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2.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3.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16.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codeName="ThisWorkbook"/>
  <mc:AlternateContent xmlns:mc="http://schemas.openxmlformats.org/markup-compatibility/2006">
    <mc:Choice Requires="x15">
      <x15ac:absPath xmlns:x15ac="http://schemas.microsoft.com/office/spreadsheetml/2010/11/ac" url="D:\DSSE\SPAC\Publications\BTC\2023T4\Version22-03-24\"/>
    </mc:Choice>
  </mc:AlternateContent>
  <xr:revisionPtr revIDLastSave="0" documentId="13_ncr:1_{5B6B6724-A197-450A-9D29-37DFA29BDDAE}" xr6:coauthVersionLast="47" xr6:coauthVersionMax="47" xr10:uidLastSave="{00000000-0000-0000-0000-000000000000}"/>
  <bookViews>
    <workbookView xWindow="-96" yWindow="-96" windowWidth="23232" windowHeight="13872" tabRatio="809" xr2:uid="{00000000-000D-0000-FFFF-FFFF00000000}"/>
  </bookViews>
  <sheets>
    <sheet name="Couv" sheetId="33" r:id="rId1"/>
    <sheet name="SOMMAIRE" sheetId="34" r:id="rId2"/>
    <sheet name="AV-PROPOS" sheetId="35" r:id="rId3"/>
    <sheet name="SIGLES" sheetId="36" r:id="rId4"/>
    <sheet name="LISTE DES TAB" sheetId="43" r:id="rId5"/>
    <sheet name="Taux de change" sheetId="5" r:id="rId6"/>
    <sheet name="Matprem" sheetId="7" r:id="rId7"/>
    <sheet name="Agriculture" sheetId="8" r:id="rId8"/>
    <sheet name="Elevage" sheetId="1" r:id="rId9"/>
    <sheet name="Stat Ind" sheetId="16" r:id="rId10"/>
    <sheet name="ptod ind" sheetId="19" r:id="rId11"/>
    <sheet name="Eau,Elec" sheetId="10" r:id="rId12"/>
    <sheet name="Transport" sheetId="11" r:id="rId13"/>
    <sheet name="Telecom" sheetId="20" r:id="rId14"/>
    <sheet name="Tourism" sheetId="21" r:id="rId15"/>
    <sheet name="Com Ex" sheetId="22" r:id="rId16"/>
    <sheet name="Prix1" sheetId="12" r:id="rId17"/>
    <sheet name="prix2" sheetId="13" r:id="rId18"/>
    <sheet name="Emploi" sheetId="23" r:id="rId19"/>
    <sheet name="TOFE" sheetId="14" r:id="rId20"/>
    <sheet name="Serie_Graph1" sheetId="4" state="hidden" r:id="rId21"/>
    <sheet name="Base_Annuelle" sheetId="9" state="hidden" r:id="rId22"/>
    <sheet name="Monnaie" sheetId="15" r:id="rId23"/>
    <sheet name="Serie_Graph2" sheetId="18" state="hidden" r:id="rId24"/>
    <sheet name="Serie_Graph3" sheetId="6" state="hidden" r:id="rId25"/>
    <sheet name="ANN" sheetId="25" r:id="rId26"/>
    <sheet name="Ann ChangMatAgricElev" sheetId="24" r:id="rId27"/>
    <sheet name="AnnProdInd" sheetId="38" r:id="rId28"/>
    <sheet name="PrAnn" sheetId="29" r:id="rId29"/>
    <sheet name="Ann Eau, ElecTransTouris" sheetId="31" r:id="rId30"/>
    <sheet name="EmploiAnn" sheetId="27" r:id="rId31"/>
    <sheet name="TofeAnn" sheetId="26" r:id="rId32"/>
    <sheet name="MonAnn" sheetId="28" r:id="rId33"/>
    <sheet name="crédit-équipe" sheetId="39" r:id="rId34"/>
    <sheet name="Base_Mensuelle" sheetId="2" r:id="rId35"/>
    <sheet name="Base_Trimestrielle" sheetId="17" r:id="rId36"/>
    <sheet name="Feuil2" sheetId="41" state="hidden" r:id="rId37"/>
    <sheet name="Feuil1" sheetId="42" state="hidden" r:id="rId38"/>
    <sheet name="ANN_Base_mens" sheetId="3" state="hidden"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_123Graph_A" localSheetId="25" hidden="1">[1]B!#REF!</definedName>
    <definedName name="__123Graph_A" localSheetId="26" hidden="1">[1]B!#REF!</definedName>
    <definedName name="__123Graph_A" localSheetId="29" hidden="1">[1]B!#REF!</definedName>
    <definedName name="__123Graph_A" localSheetId="27" hidden="1">[1]B!#REF!</definedName>
    <definedName name="__123Graph_A" localSheetId="2" hidden="1">[1]B!#REF!</definedName>
    <definedName name="__123Graph_A" localSheetId="33" hidden="1">[2]B!#REF!</definedName>
    <definedName name="__123Graph_A" localSheetId="30" hidden="1">[1]B!#REF!</definedName>
    <definedName name="__123Graph_A" localSheetId="4" hidden="1">[1]B!#REF!</definedName>
    <definedName name="__123Graph_A" localSheetId="32" hidden="1">[1]B!#REF!</definedName>
    <definedName name="__123Graph_A" localSheetId="28" hidden="1">[1]B!#REF!</definedName>
    <definedName name="__123Graph_A" localSheetId="3" hidden="1">[1]B!#REF!</definedName>
    <definedName name="__123Graph_A" localSheetId="1" hidden="1">[1]B!#REF!</definedName>
    <definedName name="__123Graph_A" localSheetId="31" hidden="1">[1]B!#REF!</definedName>
    <definedName name="__123Graph_A" hidden="1">[1]B!#REF!</definedName>
    <definedName name="__123Graph_ACONJONC1" localSheetId="25" hidden="1">[3]SaisieSR!#REF!</definedName>
    <definedName name="__123Graph_ACONJONC1" localSheetId="26" hidden="1">[3]SaisieSR!#REF!</definedName>
    <definedName name="__123Graph_ACONJONC1" localSheetId="29" hidden="1">[3]SaisieSR!#REF!</definedName>
    <definedName name="__123Graph_ACONJONC1" localSheetId="27" hidden="1">[3]SaisieSR!#REF!</definedName>
    <definedName name="__123Graph_ACONJONC1" localSheetId="2" hidden="1">[3]SaisieSR!#REF!</definedName>
    <definedName name="__123Graph_ACONJONC1" localSheetId="33" hidden="1">[4]SaisieSR!#REF!</definedName>
    <definedName name="__123Graph_ACONJONC1" localSheetId="30" hidden="1">[3]SaisieSR!#REF!</definedName>
    <definedName name="__123Graph_ACONJONC1" localSheetId="4" hidden="1">[3]SaisieSR!#REF!</definedName>
    <definedName name="__123Graph_ACONJONC1" localSheetId="32" hidden="1">[3]SaisieSR!#REF!</definedName>
    <definedName name="__123Graph_ACONJONC1" localSheetId="28" hidden="1">[3]SaisieSR!#REF!</definedName>
    <definedName name="__123Graph_ACONJONC1" localSheetId="3" hidden="1">[3]SaisieSR!#REF!</definedName>
    <definedName name="__123Graph_ACONJONC1" localSheetId="1" hidden="1">[3]SaisieSR!#REF!</definedName>
    <definedName name="__123Graph_ACONJONC1" localSheetId="31" hidden="1">[3]SaisieSR!#REF!</definedName>
    <definedName name="__123Graph_ACONJONC1" hidden="1">[3]SaisieSR!#REF!</definedName>
    <definedName name="__123Graph_AELEV1" localSheetId="2" hidden="1">[3]SaisieSR!$D$87:$L$87</definedName>
    <definedName name="__123Graph_AELEV1" localSheetId="33" hidden="1">[4]SaisieSR!$D$87:$L$87</definedName>
    <definedName name="__123Graph_AELEV1" hidden="1">[3]SaisieSR!$D$87:$L$87</definedName>
    <definedName name="__123Graph_AELEV2" localSheetId="2" hidden="1">[3]SaisieSR!$D$91:$L$91</definedName>
    <definedName name="__123Graph_AELEV2" localSheetId="33" hidden="1">[4]SaisieSR!$D$91:$L$91</definedName>
    <definedName name="__123Graph_AELEV2" hidden="1">[3]SaisieSR!$D$91:$L$91</definedName>
    <definedName name="__123Graph_AGRAPH1" localSheetId="25" hidden="1">[3]SaisieSM!#REF!</definedName>
    <definedName name="__123Graph_AGRAPH1" localSheetId="29" hidden="1">[3]SaisieSM!#REF!</definedName>
    <definedName name="__123Graph_AGRAPH1" localSheetId="2" hidden="1">[3]SaisieSM!#REF!</definedName>
    <definedName name="__123Graph_AGRAPH1" localSheetId="33" hidden="1">[4]SaisieSM!#REF!</definedName>
    <definedName name="__123Graph_AGRAPH1" localSheetId="30" hidden="1">[3]SaisieSM!#REF!</definedName>
    <definedName name="__123Graph_AGRAPH1" localSheetId="32" hidden="1">[3]SaisieSM!#REF!</definedName>
    <definedName name="__123Graph_AGRAPH1" localSheetId="28" hidden="1">[3]SaisieSM!#REF!</definedName>
    <definedName name="__123Graph_AGRAPH1" localSheetId="31" hidden="1">[3]SaisieSM!#REF!</definedName>
    <definedName name="__123Graph_AGRAPH1" hidden="1">[3]SaisieSM!#REF!</definedName>
    <definedName name="__123Graph_AGRAPH10" localSheetId="25" hidden="1">[3]SaisieSR!#REF!</definedName>
    <definedName name="__123Graph_AGRAPH10" localSheetId="29" hidden="1">[3]SaisieSR!#REF!</definedName>
    <definedName name="__123Graph_AGRAPH10" localSheetId="2" hidden="1">[3]SaisieSR!#REF!</definedName>
    <definedName name="__123Graph_AGRAPH10" localSheetId="33" hidden="1">[4]SaisieSR!#REF!</definedName>
    <definedName name="__123Graph_AGRAPH10" localSheetId="30" hidden="1">[3]SaisieSR!#REF!</definedName>
    <definedName name="__123Graph_AGRAPH10" localSheetId="32" hidden="1">[3]SaisieSR!#REF!</definedName>
    <definedName name="__123Graph_AGRAPH10" localSheetId="28" hidden="1">[3]SaisieSR!#REF!</definedName>
    <definedName name="__123Graph_AGRAPH10" localSheetId="31" hidden="1">[3]SaisieSR!#REF!</definedName>
    <definedName name="__123Graph_AGRAPH10" hidden="1">[3]SaisieSR!#REF!</definedName>
    <definedName name="__123Graph_AGRAPH12" localSheetId="2" hidden="1">[3]SaisieSE!$C$30:$E$30</definedName>
    <definedName name="__123Graph_AGRAPH12" localSheetId="33" hidden="1">[4]SaisieSE!$C$30:$E$30</definedName>
    <definedName name="__123Graph_AGRAPH12" hidden="1">[3]SaisieSE!$C$30:$E$30</definedName>
    <definedName name="__123Graph_AGRAPH16" localSheetId="25" hidden="1">[3]SaisieSR!#REF!</definedName>
    <definedName name="__123Graph_AGRAPH16" localSheetId="29" hidden="1">[3]SaisieSR!#REF!</definedName>
    <definedName name="__123Graph_AGRAPH16" localSheetId="2" hidden="1">[3]SaisieSR!#REF!</definedName>
    <definedName name="__123Graph_AGRAPH16" localSheetId="33" hidden="1">[4]SaisieSR!#REF!</definedName>
    <definedName name="__123Graph_AGRAPH16" localSheetId="30" hidden="1">[3]SaisieSR!#REF!</definedName>
    <definedName name="__123Graph_AGRAPH16" localSheetId="32" hidden="1">[3]SaisieSR!#REF!</definedName>
    <definedName name="__123Graph_AGRAPH16" localSheetId="28" hidden="1">[3]SaisieSR!#REF!</definedName>
    <definedName name="__123Graph_AGRAPH16" localSheetId="31" hidden="1">[3]SaisieSR!#REF!</definedName>
    <definedName name="__123Graph_AGRAPH16" hidden="1">[3]SaisieSR!#REF!</definedName>
    <definedName name="__123Graph_AGRAPH17" localSheetId="25" hidden="1">[3]SaisieSR!#REF!</definedName>
    <definedName name="__123Graph_AGRAPH17" localSheetId="29" hidden="1">[3]SaisieSR!#REF!</definedName>
    <definedName name="__123Graph_AGRAPH17" localSheetId="2" hidden="1">[3]SaisieSR!#REF!</definedName>
    <definedName name="__123Graph_AGRAPH17" localSheetId="33" hidden="1">[4]SaisieSR!#REF!</definedName>
    <definedName name="__123Graph_AGRAPH17" localSheetId="30" hidden="1">[3]SaisieSR!#REF!</definedName>
    <definedName name="__123Graph_AGRAPH17" localSheetId="32" hidden="1">[3]SaisieSR!#REF!</definedName>
    <definedName name="__123Graph_AGRAPH17" localSheetId="28" hidden="1">[3]SaisieSR!#REF!</definedName>
    <definedName name="__123Graph_AGRAPH17" localSheetId="31" hidden="1">[3]SaisieSR!#REF!</definedName>
    <definedName name="__123Graph_AGRAPH17" hidden="1">[3]SaisieSR!#REF!</definedName>
    <definedName name="__123Graph_AGRAPH18" localSheetId="25" hidden="1">[3]SaisieSR!#REF!</definedName>
    <definedName name="__123Graph_AGRAPH18" localSheetId="29" hidden="1">[3]SaisieSR!#REF!</definedName>
    <definedName name="__123Graph_AGRAPH18" localSheetId="2" hidden="1">[3]SaisieSR!#REF!</definedName>
    <definedName name="__123Graph_AGRAPH18" localSheetId="33" hidden="1">[4]SaisieSR!#REF!</definedName>
    <definedName name="__123Graph_AGRAPH18" hidden="1">[3]SaisieSR!#REF!</definedName>
    <definedName name="__123Graph_AGRAPH19" localSheetId="25" hidden="1">[3]SaisieSR!#REF!</definedName>
    <definedName name="__123Graph_AGRAPH19" localSheetId="29" hidden="1">[3]SaisieSR!#REF!</definedName>
    <definedName name="__123Graph_AGRAPH19" localSheetId="2" hidden="1">[3]SaisieSR!#REF!</definedName>
    <definedName name="__123Graph_AGRAPH19" localSheetId="33" hidden="1">[4]SaisieSR!#REF!</definedName>
    <definedName name="__123Graph_AGRAPH19" hidden="1">[3]SaisieSR!#REF!</definedName>
    <definedName name="__123Graph_AGRAPH20" localSheetId="2" hidden="1">[5]A!$R$278:$U$278</definedName>
    <definedName name="__123Graph_AGRAPH20" localSheetId="33" hidden="1">[6]A!$R$278:$U$278</definedName>
    <definedName name="__123Graph_AGRAPH20" hidden="1">[5]A!$R$278:$U$278</definedName>
    <definedName name="__123Graph_AGRAPH21" localSheetId="2" hidden="1">[5]A!$R$277:$U$277</definedName>
    <definedName name="__123Graph_AGRAPH21" localSheetId="33" hidden="1">[6]A!$R$277:$U$277</definedName>
    <definedName name="__123Graph_AGRAPH21" hidden="1">[5]A!$R$277:$U$277</definedName>
    <definedName name="__123Graph_AGRAPH3" localSheetId="25" hidden="1">[3]SaisieSM!#REF!</definedName>
    <definedName name="__123Graph_AGRAPH3" localSheetId="29" hidden="1">[3]SaisieSM!#REF!</definedName>
    <definedName name="__123Graph_AGRAPH3" localSheetId="2" hidden="1">[3]SaisieSM!#REF!</definedName>
    <definedName name="__123Graph_AGRAPH3" localSheetId="33" hidden="1">[4]SaisieSM!#REF!</definedName>
    <definedName name="__123Graph_AGRAPH3" localSheetId="30" hidden="1">[3]SaisieSM!#REF!</definedName>
    <definedName name="__123Graph_AGRAPH3" localSheetId="32" hidden="1">[3]SaisieSM!#REF!</definedName>
    <definedName name="__123Graph_AGRAPH3" localSheetId="28" hidden="1">[3]SaisieSM!#REF!</definedName>
    <definedName name="__123Graph_AGRAPH3" localSheetId="31" hidden="1">[3]SaisieSM!#REF!</definedName>
    <definedName name="__123Graph_AGRAPH3" hidden="1">[3]SaisieSM!#REF!</definedName>
    <definedName name="__123Graph_AGRAPH6" localSheetId="25" hidden="1">[3]SaisieSM!#REF!</definedName>
    <definedName name="__123Graph_AGRAPH6" localSheetId="29" hidden="1">[3]SaisieSM!#REF!</definedName>
    <definedName name="__123Graph_AGRAPH6" localSheetId="2" hidden="1">[3]SaisieSM!#REF!</definedName>
    <definedName name="__123Graph_AGRAPH6" localSheetId="33" hidden="1">[4]SaisieSM!#REF!</definedName>
    <definedName name="__123Graph_AGRAPH6" localSheetId="30" hidden="1">[3]SaisieSM!#REF!</definedName>
    <definedName name="__123Graph_AGRAPH6" localSheetId="32" hidden="1">[3]SaisieSM!#REF!</definedName>
    <definedName name="__123Graph_AGRAPH6" localSheetId="28" hidden="1">[3]SaisieSM!#REF!</definedName>
    <definedName name="__123Graph_AGRAPH6" localSheetId="31" hidden="1">[3]SaisieSM!#REF!</definedName>
    <definedName name="__123Graph_AGRAPH6" hidden="1">[3]SaisieSM!#REF!</definedName>
    <definedName name="__123Graph_AGRAPH7" localSheetId="25" hidden="1">[3]SaisieSM!#REF!</definedName>
    <definedName name="__123Graph_AGRAPH7" localSheetId="29" hidden="1">[3]SaisieSM!#REF!</definedName>
    <definedName name="__123Graph_AGRAPH7" localSheetId="2" hidden="1">[3]SaisieSM!#REF!</definedName>
    <definedName name="__123Graph_AGRAPH7" localSheetId="33" hidden="1">[4]SaisieSM!#REF!</definedName>
    <definedName name="__123Graph_AGRAPH7" hidden="1">[3]SaisieSM!#REF!</definedName>
    <definedName name="__123Graph_AGRAPH8" localSheetId="25" hidden="1">[3]SaisieSM!#REF!</definedName>
    <definedName name="__123Graph_AGRAPH8" localSheetId="29" hidden="1">[3]SaisieSM!#REF!</definedName>
    <definedName name="__123Graph_AGRAPH8" localSheetId="2" hidden="1">[3]SaisieSM!#REF!</definedName>
    <definedName name="__123Graph_AGRAPH8" localSheetId="33" hidden="1">[4]SaisieSM!#REF!</definedName>
    <definedName name="__123Graph_AGRAPH8" hidden="1">[3]SaisieSM!#REF!</definedName>
    <definedName name="__123Graph_AINDICE_P1" localSheetId="25" hidden="1">[1]B!#REF!</definedName>
    <definedName name="__123Graph_AINDICE_P1" localSheetId="29" hidden="1">[1]B!#REF!</definedName>
    <definedName name="__123Graph_AINDICE_P1" localSheetId="2" hidden="1">[1]B!#REF!</definedName>
    <definedName name="__123Graph_AINDICE_P1" localSheetId="33" hidden="1">[2]B!#REF!</definedName>
    <definedName name="__123Graph_AINDICE_P1" hidden="1">[1]B!#REF!</definedName>
    <definedName name="__123Graph_AINDICE_P2" localSheetId="25" hidden="1">[1]B!#REF!</definedName>
    <definedName name="__123Graph_AINDICE_P2" localSheetId="29" hidden="1">[1]B!#REF!</definedName>
    <definedName name="__123Graph_AINDICE_P2" localSheetId="2" hidden="1">[1]B!#REF!</definedName>
    <definedName name="__123Graph_AINDICE_P2" localSheetId="33" hidden="1">[2]B!#REF!</definedName>
    <definedName name="__123Graph_AINDICE_P2" hidden="1">[1]B!#REF!</definedName>
    <definedName name="__123Graph_AIPC1" localSheetId="25" hidden="1">[3]SaisieSR!#REF!</definedName>
    <definedName name="__123Graph_AIPC1" localSheetId="29" hidden="1">[3]SaisieSR!#REF!</definedName>
    <definedName name="__123Graph_AIPC1" localSheetId="2" hidden="1">[3]SaisieSR!#REF!</definedName>
    <definedName name="__123Graph_AIPC1" localSheetId="33" hidden="1">[4]SaisieSR!#REF!</definedName>
    <definedName name="__123Graph_AIPC1" hidden="1">[3]SaisieSR!#REF!</definedName>
    <definedName name="__123Graph_AIPC2" localSheetId="25" hidden="1">[3]SaisieSR!#REF!</definedName>
    <definedName name="__123Graph_AIPC2" localSheetId="29" hidden="1">[3]SaisieSR!#REF!</definedName>
    <definedName name="__123Graph_AIPC2" localSheetId="2" hidden="1">[3]SaisieSR!#REF!</definedName>
    <definedName name="__123Graph_AIPC2" localSheetId="33" hidden="1">[4]SaisieSR!#REF!</definedName>
    <definedName name="__123Graph_AIPC2" hidden="1">[3]SaisieSR!#REF!</definedName>
    <definedName name="__123Graph_AIPI1" localSheetId="25" hidden="1">[3]SaisieSR!#REF!</definedName>
    <definedName name="__123Graph_AIPI1" localSheetId="29" hidden="1">[3]SaisieSR!#REF!</definedName>
    <definedName name="__123Graph_AIPI1" localSheetId="2" hidden="1">[3]SaisieSR!#REF!</definedName>
    <definedName name="__123Graph_AIPI1" localSheetId="33" hidden="1">[4]SaisieSR!#REF!</definedName>
    <definedName name="__123Graph_AIPI1" hidden="1">[3]SaisieSR!#REF!</definedName>
    <definedName name="__123Graph_APRODEXPORT1" localSheetId="25" hidden="1">[3]SaisieSE!#REF!</definedName>
    <definedName name="__123Graph_APRODEXPORT1" localSheetId="29" hidden="1">[3]SaisieSE!#REF!</definedName>
    <definedName name="__123Graph_APRODEXPORT1" localSheetId="2" hidden="1">[3]SaisieSE!#REF!</definedName>
    <definedName name="__123Graph_APRODEXPORT1" localSheetId="33" hidden="1">[4]SaisieSE!#REF!</definedName>
    <definedName name="__123Graph_APRODEXPORT1" hidden="1">[3]SaisieSE!#REF!</definedName>
    <definedName name="__123Graph_APRODEXPORT2" localSheetId="25" hidden="1">[3]SaisieSE!#REF!</definedName>
    <definedName name="__123Graph_APRODEXPORT2" localSheetId="29" hidden="1">[3]SaisieSE!#REF!</definedName>
    <definedName name="__123Graph_APRODEXPORT2" localSheetId="2" hidden="1">[3]SaisieSE!#REF!</definedName>
    <definedName name="__123Graph_APRODEXPORT2" localSheetId="33" hidden="1">[4]SaisieSE!#REF!</definedName>
    <definedName name="__123Graph_APRODEXPORT2" hidden="1">[3]SaisieSE!#REF!</definedName>
    <definedName name="__123Graph_APRODEXPORT3" localSheetId="25" hidden="1">[3]SaisieSE!#REF!</definedName>
    <definedName name="__123Graph_APRODEXPORT3" localSheetId="29" hidden="1">[3]SaisieSE!#REF!</definedName>
    <definedName name="__123Graph_APRODEXPORT3" localSheetId="2" hidden="1">[3]SaisieSE!#REF!</definedName>
    <definedName name="__123Graph_APRODEXPORT3" localSheetId="33" hidden="1">[4]SaisieSE!#REF!</definedName>
    <definedName name="__123Graph_APRODEXPORT3" hidden="1">[3]SaisieSE!#REF!</definedName>
    <definedName name="__123Graph_ASIM1" localSheetId="2" hidden="1">[3]SaisieSR!$F$69:$H$69</definedName>
    <definedName name="__123Graph_ASIM1" localSheetId="33" hidden="1">[4]SaisieSR!$F$69:$H$69</definedName>
    <definedName name="__123Graph_ASIM1" hidden="1">[3]SaisieSR!$F$69:$H$69</definedName>
    <definedName name="__123Graph_ASIM2" localSheetId="2" hidden="1">[3]SaisieSR!$F$73:$H$73</definedName>
    <definedName name="__123Graph_ASIM2" localSheetId="33" hidden="1">[4]SaisieSR!$F$73:$H$73</definedName>
    <definedName name="__123Graph_ASIM2" hidden="1">[3]SaisieSR!$F$73:$H$73</definedName>
    <definedName name="__123Graph_B" localSheetId="25" hidden="1">[1]B!#REF!</definedName>
    <definedName name="__123Graph_B" localSheetId="29" hidden="1">[1]B!#REF!</definedName>
    <definedName name="__123Graph_B" localSheetId="2" hidden="1">[1]B!#REF!</definedName>
    <definedName name="__123Graph_B" localSheetId="33" hidden="1">[2]B!#REF!</definedName>
    <definedName name="__123Graph_B" localSheetId="30" hidden="1">[1]B!#REF!</definedName>
    <definedName name="__123Graph_B" localSheetId="32" hidden="1">[1]B!#REF!</definedName>
    <definedName name="__123Graph_B" localSheetId="28" hidden="1">[1]B!#REF!</definedName>
    <definedName name="__123Graph_B" localSheetId="31" hidden="1">[1]B!#REF!</definedName>
    <definedName name="__123Graph_B" hidden="1">[1]B!#REF!</definedName>
    <definedName name="__123Graph_BCONJONC1" localSheetId="25" hidden="1">[3]SaisieSR!#REF!</definedName>
    <definedName name="__123Graph_BCONJONC1" localSheetId="29" hidden="1">[3]SaisieSR!#REF!</definedName>
    <definedName name="__123Graph_BCONJONC1" localSheetId="2" hidden="1">[3]SaisieSR!#REF!</definedName>
    <definedName name="__123Graph_BCONJONC1" localSheetId="33" hidden="1">[4]SaisieSR!#REF!</definedName>
    <definedName name="__123Graph_BCONJONC1" localSheetId="30" hidden="1">[3]SaisieSR!#REF!</definedName>
    <definedName name="__123Graph_BCONJONC1" localSheetId="32" hidden="1">[3]SaisieSR!#REF!</definedName>
    <definedName name="__123Graph_BCONJONC1" localSheetId="28" hidden="1">[3]SaisieSR!#REF!</definedName>
    <definedName name="__123Graph_BCONJONC1" localSheetId="31" hidden="1">[3]SaisieSR!#REF!</definedName>
    <definedName name="__123Graph_BCONJONC1" hidden="1">[3]SaisieSR!#REF!</definedName>
    <definedName name="__123Graph_BELEV1" localSheetId="2" hidden="1">[3]SaisieSR!$D$88:$L$88</definedName>
    <definedName name="__123Graph_BELEV1" localSheetId="33" hidden="1">[4]SaisieSR!$D$88:$L$88</definedName>
    <definedName name="__123Graph_BELEV1" hidden="1">[3]SaisieSR!$D$88:$L$88</definedName>
    <definedName name="__123Graph_BELEV2" localSheetId="2" hidden="1">[3]SaisieSR!$D$92:$L$92</definedName>
    <definedName name="__123Graph_BELEV2" localSheetId="33" hidden="1">[4]SaisieSR!$D$92:$L$92</definedName>
    <definedName name="__123Graph_BELEV2" hidden="1">[3]SaisieSR!$D$92:$L$92</definedName>
    <definedName name="__123Graph_BGRAPH10" localSheetId="25" hidden="1">[3]SaisieSR!#REF!</definedName>
    <definedName name="__123Graph_BGRAPH10" localSheetId="29" hidden="1">[3]SaisieSR!#REF!</definedName>
    <definedName name="__123Graph_BGRAPH10" localSheetId="2" hidden="1">[3]SaisieSR!#REF!</definedName>
    <definedName name="__123Graph_BGRAPH10" localSheetId="33" hidden="1">[4]SaisieSR!#REF!</definedName>
    <definedName name="__123Graph_BGRAPH10" localSheetId="30" hidden="1">[3]SaisieSR!#REF!</definedName>
    <definedName name="__123Graph_BGRAPH10" localSheetId="32" hidden="1">[3]SaisieSR!#REF!</definedName>
    <definedName name="__123Graph_BGRAPH10" localSheetId="28" hidden="1">[3]SaisieSR!#REF!</definedName>
    <definedName name="__123Graph_BGRAPH10" localSheetId="31" hidden="1">[3]SaisieSR!#REF!</definedName>
    <definedName name="__123Graph_BGRAPH10" hidden="1">[3]SaisieSR!#REF!</definedName>
    <definedName name="__123Graph_BGRAPH11" localSheetId="2" hidden="1">[5]A!$AA$287:$AE$287</definedName>
    <definedName name="__123Graph_BGRAPH11" localSheetId="33" hidden="1">[6]A!$AA$287:$AE$287</definedName>
    <definedName name="__123Graph_BGRAPH11" hidden="1">[5]A!$AA$287:$AE$287</definedName>
    <definedName name="__123Graph_BGRAPH12" localSheetId="2" hidden="1">[3]SaisieSE!$C$58:$E$58</definedName>
    <definedName name="__123Graph_BGRAPH12" localSheetId="33" hidden="1">[4]SaisieSE!$C$58:$E$58</definedName>
    <definedName name="__123Graph_BGRAPH12" hidden="1">[3]SaisieSE!$C$58:$E$58</definedName>
    <definedName name="__123Graph_BGRAPH16" localSheetId="25" hidden="1">[3]SaisieSR!#REF!</definedName>
    <definedName name="__123Graph_BGRAPH16" localSheetId="29" hidden="1">[3]SaisieSR!#REF!</definedName>
    <definedName name="__123Graph_BGRAPH16" localSheetId="2" hidden="1">[3]SaisieSR!#REF!</definedName>
    <definedName name="__123Graph_BGRAPH16" localSheetId="33" hidden="1">[4]SaisieSR!#REF!</definedName>
    <definedName name="__123Graph_BGRAPH16" localSheetId="30" hidden="1">[3]SaisieSR!#REF!</definedName>
    <definedName name="__123Graph_BGRAPH16" localSheetId="32" hidden="1">[3]SaisieSR!#REF!</definedName>
    <definedName name="__123Graph_BGRAPH16" localSheetId="28" hidden="1">[3]SaisieSR!#REF!</definedName>
    <definedName name="__123Graph_BGRAPH16" localSheetId="31" hidden="1">[3]SaisieSR!#REF!</definedName>
    <definedName name="__123Graph_BGRAPH16" hidden="1">[3]SaisieSR!#REF!</definedName>
    <definedName name="__123Graph_BGRAPH17" localSheetId="25" hidden="1">[3]SaisieSR!#REF!</definedName>
    <definedName name="__123Graph_BGRAPH17" localSheetId="29" hidden="1">[3]SaisieSR!#REF!</definedName>
    <definedName name="__123Graph_BGRAPH17" localSheetId="2" hidden="1">[3]SaisieSR!#REF!</definedName>
    <definedName name="__123Graph_BGRAPH17" localSheetId="33" hidden="1">[4]SaisieSR!#REF!</definedName>
    <definedName name="__123Graph_BGRAPH17" localSheetId="30" hidden="1">[3]SaisieSR!#REF!</definedName>
    <definedName name="__123Graph_BGRAPH17" localSheetId="32" hidden="1">[3]SaisieSR!#REF!</definedName>
    <definedName name="__123Graph_BGRAPH17" localSheetId="28" hidden="1">[3]SaisieSR!#REF!</definedName>
    <definedName name="__123Graph_BGRAPH17" localSheetId="31" hidden="1">[3]SaisieSR!#REF!</definedName>
    <definedName name="__123Graph_BGRAPH17" hidden="1">[3]SaisieSR!#REF!</definedName>
    <definedName name="__123Graph_BGRAPH18" localSheetId="25" hidden="1">[3]SaisieSR!#REF!</definedName>
    <definedName name="__123Graph_BGRAPH18" localSheetId="29" hidden="1">[3]SaisieSR!#REF!</definedName>
    <definedName name="__123Graph_BGRAPH18" localSheetId="2" hidden="1">[3]SaisieSR!#REF!</definedName>
    <definedName name="__123Graph_BGRAPH18" localSheetId="33" hidden="1">[4]SaisieSR!#REF!</definedName>
    <definedName name="__123Graph_BGRAPH18" hidden="1">[3]SaisieSR!#REF!</definedName>
    <definedName name="__123Graph_BGRAPH19" localSheetId="25" hidden="1">[3]SaisieSR!#REF!</definedName>
    <definedName name="__123Graph_BGRAPH19" localSheetId="29" hidden="1">[3]SaisieSR!#REF!</definedName>
    <definedName name="__123Graph_BGRAPH19" localSheetId="2" hidden="1">[3]SaisieSR!#REF!</definedName>
    <definedName name="__123Graph_BGRAPH19" localSheetId="33" hidden="1">[4]SaisieSR!#REF!</definedName>
    <definedName name="__123Graph_BGRAPH19" hidden="1">[3]SaisieSR!#REF!</definedName>
    <definedName name="__123Graph_BGRAPH2" localSheetId="2" hidden="1">[5]A!$AA$273:$AE$273</definedName>
    <definedName name="__123Graph_BGRAPH2" localSheetId="33" hidden="1">[6]A!$AA$273:$AE$273</definedName>
    <definedName name="__123Graph_BGRAPH2" hidden="1">[5]A!$AA$273:$AE$273</definedName>
    <definedName name="__123Graph_BGRAPH20" localSheetId="2" hidden="1">[5]A!$R$279:$U$279</definedName>
    <definedName name="__123Graph_BGRAPH20" localSheetId="33" hidden="1">[6]A!$R$279:$U$279</definedName>
    <definedName name="__123Graph_BGRAPH20" hidden="1">[5]A!$R$279:$U$279</definedName>
    <definedName name="__123Graph_BGRAPH21" localSheetId="2" hidden="1">[5]A!$R$284:$U$284</definedName>
    <definedName name="__123Graph_BGRAPH21" localSheetId="33" hidden="1">[6]A!$R$284:$U$284</definedName>
    <definedName name="__123Graph_BGRAPH21" hidden="1">[5]A!$R$284:$U$284</definedName>
    <definedName name="__123Graph_BGRAPH4" localSheetId="2" hidden="1">[5]A!$AA$281:$AE$281</definedName>
    <definedName name="__123Graph_BGRAPH4" localSheetId="33" hidden="1">[6]A!$AA$281:$AE$281</definedName>
    <definedName name="__123Graph_BGRAPH4" hidden="1">[5]A!$AA$281:$AE$281</definedName>
    <definedName name="__123Graph_BGRAPH5" localSheetId="2" hidden="1">[3]FinPub!$C$129:$G$129</definedName>
    <definedName name="__123Graph_BGRAPH5" localSheetId="33" hidden="1">[4]FinPub!$C$129:$G$129</definedName>
    <definedName name="__123Graph_BGRAPH5" hidden="1">[3]FinPub!$C$129:$G$129</definedName>
    <definedName name="__123Graph_BGRAPH8" localSheetId="25" hidden="1">[3]SaisieSM!#REF!</definedName>
    <definedName name="__123Graph_BGRAPH8" localSheetId="29" hidden="1">[3]SaisieSM!#REF!</definedName>
    <definedName name="__123Graph_BGRAPH8" localSheetId="2" hidden="1">[3]SaisieSM!#REF!</definedName>
    <definedName name="__123Graph_BGRAPH8" localSheetId="33" hidden="1">[4]SaisieSM!#REF!</definedName>
    <definedName name="__123Graph_BGRAPH8" localSheetId="30" hidden="1">[3]SaisieSM!#REF!</definedName>
    <definedName name="__123Graph_BGRAPH8" localSheetId="32" hidden="1">[3]SaisieSM!#REF!</definedName>
    <definedName name="__123Graph_BGRAPH8" localSheetId="28" hidden="1">[3]SaisieSM!#REF!</definedName>
    <definedName name="__123Graph_BGRAPH8" localSheetId="31" hidden="1">[3]SaisieSM!#REF!</definedName>
    <definedName name="__123Graph_BGRAPH8" hidden="1">[3]SaisieSM!#REF!</definedName>
    <definedName name="__123Graph_BGRAPH9" localSheetId="25" hidden="1">[3]SaisieSM!#REF!</definedName>
    <definedName name="__123Graph_BGRAPH9" localSheetId="29" hidden="1">[3]SaisieSM!#REF!</definedName>
    <definedName name="__123Graph_BGRAPH9" localSheetId="2" hidden="1">[3]SaisieSM!#REF!</definedName>
    <definedName name="__123Graph_BGRAPH9" localSheetId="33" hidden="1">[4]SaisieSM!#REF!</definedName>
    <definedName name="__123Graph_BGRAPH9" localSheetId="30" hidden="1">[3]SaisieSM!#REF!</definedName>
    <definedName name="__123Graph_BGRAPH9" localSheetId="32" hidden="1">[3]SaisieSM!#REF!</definedName>
    <definedName name="__123Graph_BGRAPH9" localSheetId="28" hidden="1">[3]SaisieSM!#REF!</definedName>
    <definedName name="__123Graph_BGRAPH9" localSheetId="31" hidden="1">[3]SaisieSM!#REF!</definedName>
    <definedName name="__123Graph_BGRAPH9" hidden="1">[3]SaisieSM!#REF!</definedName>
    <definedName name="__123Graph_BINDICE_P1" localSheetId="25" hidden="1">[1]B!#REF!</definedName>
    <definedName name="__123Graph_BINDICE_P1" localSheetId="29" hidden="1">[1]B!#REF!</definedName>
    <definedName name="__123Graph_BINDICE_P1" localSheetId="2" hidden="1">[1]B!#REF!</definedName>
    <definedName name="__123Graph_BINDICE_P1" localSheetId="33" hidden="1">[2]B!#REF!</definedName>
    <definedName name="__123Graph_BINDICE_P1" hidden="1">[1]B!#REF!</definedName>
    <definedName name="__123Graph_BINDICE_P2" localSheetId="25" hidden="1">[1]B!#REF!</definedName>
    <definedName name="__123Graph_BINDICE_P2" localSheetId="29" hidden="1">[1]B!#REF!</definedName>
    <definedName name="__123Graph_BINDICE_P2" localSheetId="2" hidden="1">[1]B!#REF!</definedName>
    <definedName name="__123Graph_BINDICE_P2" localSheetId="33" hidden="1">[2]B!#REF!</definedName>
    <definedName name="__123Graph_BINDICE_P2" hidden="1">[1]B!#REF!</definedName>
    <definedName name="__123Graph_BIPC1" localSheetId="25" hidden="1">[3]SaisieSR!#REF!</definedName>
    <definedName name="__123Graph_BIPC1" localSheetId="29" hidden="1">[3]SaisieSR!#REF!</definedName>
    <definedName name="__123Graph_BIPC1" localSheetId="2" hidden="1">[3]SaisieSR!#REF!</definedName>
    <definedName name="__123Graph_BIPC1" localSheetId="33" hidden="1">[4]SaisieSR!#REF!</definedName>
    <definedName name="__123Graph_BIPC1" hidden="1">[3]SaisieSR!#REF!</definedName>
    <definedName name="__123Graph_BIPC2" localSheetId="25" hidden="1">[3]SaisieSR!#REF!</definedName>
    <definedName name="__123Graph_BIPC2" localSheetId="29" hidden="1">[3]SaisieSR!#REF!</definedName>
    <definedName name="__123Graph_BIPC2" localSheetId="2" hidden="1">[3]SaisieSR!#REF!</definedName>
    <definedName name="__123Graph_BIPC2" localSheetId="33" hidden="1">[4]SaisieSR!#REF!</definedName>
    <definedName name="__123Graph_BIPC2" hidden="1">[3]SaisieSR!#REF!</definedName>
    <definedName name="__123Graph_BIPI1" localSheetId="25" hidden="1">[3]SaisieSR!#REF!</definedName>
    <definedName name="__123Graph_BIPI1" localSheetId="29" hidden="1">[3]SaisieSR!#REF!</definedName>
    <definedName name="__123Graph_BIPI1" localSheetId="2" hidden="1">[3]SaisieSR!#REF!</definedName>
    <definedName name="__123Graph_BIPI1" localSheetId="33" hidden="1">[4]SaisieSR!#REF!</definedName>
    <definedName name="__123Graph_BIPI1" hidden="1">[3]SaisieSR!#REF!</definedName>
    <definedName name="__123Graph_BPRODEXPORT1" localSheetId="25" hidden="1">[3]SaisieSE!#REF!</definedName>
    <definedName name="__123Graph_BPRODEXPORT1" localSheetId="29" hidden="1">[3]SaisieSE!#REF!</definedName>
    <definedName name="__123Graph_BPRODEXPORT1" localSheetId="2" hidden="1">[3]SaisieSE!#REF!</definedName>
    <definedName name="__123Graph_BPRODEXPORT1" localSheetId="33" hidden="1">[4]SaisieSE!#REF!</definedName>
    <definedName name="__123Graph_BPRODEXPORT1" hidden="1">[3]SaisieSE!#REF!</definedName>
    <definedName name="__123Graph_BPRODEXPORT2" localSheetId="25" hidden="1">[3]SaisieSE!#REF!</definedName>
    <definedName name="__123Graph_BPRODEXPORT2" localSheetId="29" hidden="1">[3]SaisieSE!#REF!</definedName>
    <definedName name="__123Graph_BPRODEXPORT2" localSheetId="2" hidden="1">[3]SaisieSE!#REF!</definedName>
    <definedName name="__123Graph_BPRODEXPORT2" localSheetId="33" hidden="1">[4]SaisieSE!#REF!</definedName>
    <definedName name="__123Graph_BPRODEXPORT2" hidden="1">[3]SaisieSE!#REF!</definedName>
    <definedName name="__123Graph_BPRODEXPORT3" localSheetId="25" hidden="1">[3]SaisieSE!#REF!</definedName>
    <definedName name="__123Graph_BPRODEXPORT3" localSheetId="29" hidden="1">[3]SaisieSE!#REF!</definedName>
    <definedName name="__123Graph_BPRODEXPORT3" localSheetId="2" hidden="1">[3]SaisieSE!#REF!</definedName>
    <definedName name="__123Graph_BPRODEXPORT3" localSheetId="33" hidden="1">[4]SaisieSE!#REF!</definedName>
    <definedName name="__123Graph_BPRODEXPORT3" hidden="1">[3]SaisieSE!#REF!</definedName>
    <definedName name="__123Graph_BSIM1" localSheetId="2" hidden="1">[3]SaisieSR!$F$70:$H$70</definedName>
    <definedName name="__123Graph_BSIM1" localSheetId="33" hidden="1">[4]SaisieSR!$F$70:$H$70</definedName>
    <definedName name="__123Graph_BSIM1" hidden="1">[3]SaisieSR!$F$70:$H$70</definedName>
    <definedName name="__123Graph_BSIM2" localSheetId="2" hidden="1">[3]SaisieSR!$F$74:$H$74</definedName>
    <definedName name="__123Graph_BSIM2" localSheetId="33" hidden="1">[4]SaisieSR!$F$74:$H$74</definedName>
    <definedName name="__123Graph_BSIM2" hidden="1">[3]SaisieSR!$F$74:$H$74</definedName>
    <definedName name="__123Graph_C" localSheetId="25" hidden="1">[1]B!#REF!</definedName>
    <definedName name="__123Graph_C" localSheetId="29" hidden="1">[1]B!#REF!</definedName>
    <definedName name="__123Graph_C" localSheetId="2" hidden="1">[1]B!#REF!</definedName>
    <definedName name="__123Graph_C" localSheetId="33" hidden="1">[2]B!#REF!</definedName>
    <definedName name="__123Graph_C" localSheetId="30" hidden="1">[1]B!#REF!</definedName>
    <definedName name="__123Graph_C" localSheetId="32" hidden="1">[1]B!#REF!</definedName>
    <definedName name="__123Graph_C" localSheetId="28" hidden="1">[1]B!#REF!</definedName>
    <definedName name="__123Graph_C" localSheetId="31" hidden="1">[1]B!#REF!</definedName>
    <definedName name="__123Graph_C" hidden="1">[1]B!#REF!</definedName>
    <definedName name="__123Graph_CELEV1" localSheetId="2" hidden="1">[3]SaisieSR!$D$89:$L$89</definedName>
    <definedName name="__123Graph_CELEV1" localSheetId="33" hidden="1">[4]SaisieSR!$D$89:$L$89</definedName>
    <definedName name="__123Graph_CELEV1" hidden="1">[3]SaisieSR!$D$89:$L$89</definedName>
    <definedName name="__123Graph_CELEV2" localSheetId="2" hidden="1">[3]SaisieSR!$D$94:$L$94</definedName>
    <definedName name="__123Graph_CELEV2" localSheetId="33" hidden="1">[4]SaisieSR!$D$94:$L$94</definedName>
    <definedName name="__123Graph_CELEV2" hidden="1">[3]SaisieSR!$D$94:$L$94</definedName>
    <definedName name="__123Graph_CGRAPH13" localSheetId="25" hidden="1">[5]A!#REF!</definedName>
    <definedName name="__123Graph_CGRAPH13" localSheetId="29" hidden="1">[5]A!#REF!</definedName>
    <definedName name="__123Graph_CGRAPH13" localSheetId="2" hidden="1">[5]A!#REF!</definedName>
    <definedName name="__123Graph_CGRAPH13" localSheetId="33" hidden="1">[6]A!#REF!</definedName>
    <definedName name="__123Graph_CGRAPH13" localSheetId="30" hidden="1">[5]A!#REF!</definedName>
    <definedName name="__123Graph_CGRAPH13" localSheetId="32" hidden="1">[5]A!#REF!</definedName>
    <definedName name="__123Graph_CGRAPH13" localSheetId="28" hidden="1">[5]A!#REF!</definedName>
    <definedName name="__123Graph_CGRAPH13" localSheetId="31" hidden="1">[5]A!#REF!</definedName>
    <definedName name="__123Graph_CGRAPH13" hidden="1">[5]A!#REF!</definedName>
    <definedName name="__123Graph_CGRAPH2" localSheetId="2" hidden="1">[5]A!$AA$279:$AE$279</definedName>
    <definedName name="__123Graph_CGRAPH2" localSheetId="33" hidden="1">[6]A!$AA$279:$AE$279</definedName>
    <definedName name="__123Graph_CGRAPH2" hidden="1">[5]A!$AA$279:$AE$279</definedName>
    <definedName name="__123Graph_CGRAPH20" localSheetId="2" hidden="1">[5]A!$R$280:$U$280</definedName>
    <definedName name="__123Graph_CGRAPH20" localSheetId="33" hidden="1">[6]A!$R$280:$U$280</definedName>
    <definedName name="__123Graph_CGRAPH20" hidden="1">[5]A!$R$280:$U$280</definedName>
    <definedName name="__123Graph_CGRAPH4" localSheetId="2" hidden="1">[5]A!$AA$284:$AE$284</definedName>
    <definedName name="__123Graph_CGRAPH4" localSheetId="33" hidden="1">[6]A!$AA$284:$AE$284</definedName>
    <definedName name="__123Graph_CGRAPH4" hidden="1">[5]A!$AA$284:$AE$284</definedName>
    <definedName name="__123Graph_CGRAPH5" localSheetId="2" hidden="1">[3]FinPub!$C$126:$G$126</definedName>
    <definedName name="__123Graph_CGRAPH5" localSheetId="33" hidden="1">[4]FinPub!$C$126:$G$126</definedName>
    <definedName name="__123Graph_CGRAPH5" hidden="1">[3]FinPub!$C$126:$G$126</definedName>
    <definedName name="__123Graph_CGRAPH9" localSheetId="25" hidden="1">[3]SaisieSM!#REF!</definedName>
    <definedName name="__123Graph_CGRAPH9" localSheetId="29" hidden="1">[3]SaisieSM!#REF!</definedName>
    <definedName name="__123Graph_CGRAPH9" localSheetId="2" hidden="1">[3]SaisieSM!#REF!</definedName>
    <definedName name="__123Graph_CGRAPH9" localSheetId="33" hidden="1">[4]SaisieSM!#REF!</definedName>
    <definedName name="__123Graph_CGRAPH9" localSheetId="30" hidden="1">[3]SaisieSM!#REF!</definedName>
    <definedName name="__123Graph_CGRAPH9" localSheetId="32" hidden="1">[3]SaisieSM!#REF!</definedName>
    <definedName name="__123Graph_CGRAPH9" localSheetId="28" hidden="1">[3]SaisieSM!#REF!</definedName>
    <definedName name="__123Graph_CGRAPH9" localSheetId="31" hidden="1">[3]SaisieSM!#REF!</definedName>
    <definedName name="__123Graph_CGRAPH9" hidden="1">[3]SaisieSM!#REF!</definedName>
    <definedName name="__123Graph_CINDICE_P1" localSheetId="25" hidden="1">[1]B!#REF!</definedName>
    <definedName name="__123Graph_CINDICE_P1" localSheetId="29" hidden="1">[1]B!#REF!</definedName>
    <definedName name="__123Graph_CINDICE_P1" localSheetId="2" hidden="1">[1]B!#REF!</definedName>
    <definedName name="__123Graph_CINDICE_P1" localSheetId="33" hidden="1">[2]B!#REF!</definedName>
    <definedName name="__123Graph_CINDICE_P1" localSheetId="30" hidden="1">[1]B!#REF!</definedName>
    <definedName name="__123Graph_CINDICE_P1" localSheetId="32" hidden="1">[1]B!#REF!</definedName>
    <definedName name="__123Graph_CINDICE_P1" localSheetId="28" hidden="1">[1]B!#REF!</definedName>
    <definedName name="__123Graph_CINDICE_P1" localSheetId="31" hidden="1">[1]B!#REF!</definedName>
    <definedName name="__123Graph_CINDICE_P1" hidden="1">[1]B!#REF!</definedName>
    <definedName name="__123Graph_CINDICE_P2" localSheetId="25" hidden="1">[1]B!#REF!</definedName>
    <definedName name="__123Graph_CINDICE_P2" localSheetId="29" hidden="1">[1]B!#REF!</definedName>
    <definedName name="__123Graph_CINDICE_P2" localSheetId="2" hidden="1">[1]B!#REF!</definedName>
    <definedName name="__123Graph_CINDICE_P2" localSheetId="33" hidden="1">[2]B!#REF!</definedName>
    <definedName name="__123Graph_CINDICE_P2" hidden="1">[1]B!#REF!</definedName>
    <definedName name="__123Graph_CIPC1" localSheetId="25" hidden="1">[3]SaisieSR!#REF!</definedName>
    <definedName name="__123Graph_CIPC1" localSheetId="29" hidden="1">[3]SaisieSR!#REF!</definedName>
    <definedName name="__123Graph_CIPC1" localSheetId="2" hidden="1">[3]SaisieSR!#REF!</definedName>
    <definedName name="__123Graph_CIPC1" localSheetId="33" hidden="1">[4]SaisieSR!#REF!</definedName>
    <definedName name="__123Graph_CIPC1" hidden="1">[3]SaisieSR!#REF!</definedName>
    <definedName name="__123Graph_CIPI1" localSheetId="25" hidden="1">[3]SaisieSR!#REF!</definedName>
    <definedName name="__123Graph_CIPI1" localSheetId="29" hidden="1">[3]SaisieSR!#REF!</definedName>
    <definedName name="__123Graph_CIPI1" localSheetId="2" hidden="1">[3]SaisieSR!#REF!</definedName>
    <definedName name="__123Graph_CIPI1" localSheetId="33" hidden="1">[4]SaisieSR!#REF!</definedName>
    <definedName name="__123Graph_CIPI1" hidden="1">[3]SaisieSR!#REF!</definedName>
    <definedName name="__123Graph_CSIM1" localSheetId="2" hidden="1">[3]SaisieSR!$F$71:$H$71</definedName>
    <definedName name="__123Graph_CSIM1" localSheetId="33" hidden="1">[4]SaisieSR!$F$71:$H$71</definedName>
    <definedName name="__123Graph_CSIM1" hidden="1">[3]SaisieSR!$F$71:$H$71</definedName>
    <definedName name="__123Graph_CSIM2" localSheetId="2" hidden="1">[3]SaisieSR!$F$75:$H$75</definedName>
    <definedName name="__123Graph_CSIM2" localSheetId="33" hidden="1">[4]SaisieSR!$F$75:$H$75</definedName>
    <definedName name="__123Graph_CSIM2" hidden="1">[3]SaisieSR!$F$75:$H$75</definedName>
    <definedName name="__123Graph_D" localSheetId="25" hidden="1">[1]B!#REF!</definedName>
    <definedName name="__123Graph_D" localSheetId="29" hidden="1">[1]B!#REF!</definedName>
    <definedName name="__123Graph_D" localSheetId="2" hidden="1">[1]B!#REF!</definedName>
    <definedName name="__123Graph_D" localSheetId="33" hidden="1">[2]B!#REF!</definedName>
    <definedName name="__123Graph_D" localSheetId="30" hidden="1">[1]B!#REF!</definedName>
    <definedName name="__123Graph_D" localSheetId="32" hidden="1">[1]B!#REF!</definedName>
    <definedName name="__123Graph_D" localSheetId="28" hidden="1">[1]B!#REF!</definedName>
    <definedName name="__123Graph_D" localSheetId="31" hidden="1">[1]B!#REF!</definedName>
    <definedName name="__123Graph_D" hidden="1">[1]B!#REF!</definedName>
    <definedName name="__123Graph_DCONJONC1" localSheetId="25" hidden="1">[3]SaisieSR!#REF!</definedName>
    <definedName name="__123Graph_DCONJONC1" localSheetId="29" hidden="1">[3]SaisieSR!#REF!</definedName>
    <definedName name="__123Graph_DCONJONC1" localSheetId="2" hidden="1">[3]SaisieSR!#REF!</definedName>
    <definedName name="__123Graph_DCONJONC1" localSheetId="33" hidden="1">[4]SaisieSR!#REF!</definedName>
    <definedName name="__123Graph_DCONJONC1" localSheetId="30" hidden="1">[3]SaisieSR!#REF!</definedName>
    <definedName name="__123Graph_DCONJONC1" localSheetId="32" hidden="1">[3]SaisieSR!#REF!</definedName>
    <definedName name="__123Graph_DCONJONC1" localSheetId="28" hidden="1">[3]SaisieSR!#REF!</definedName>
    <definedName name="__123Graph_DCONJONC1" localSheetId="31" hidden="1">[3]SaisieSR!#REF!</definedName>
    <definedName name="__123Graph_DCONJONC1" hidden="1">[3]SaisieSR!#REF!</definedName>
    <definedName name="__123Graph_DELEV2" localSheetId="2" hidden="1">[3]SaisieSR!$D$95:$L$95</definedName>
    <definedName name="__123Graph_DELEV2" localSheetId="33" hidden="1">[4]SaisieSR!$D$95:$L$95</definedName>
    <definedName name="__123Graph_DELEV2" hidden="1">[3]SaisieSR!$D$95:$L$95</definedName>
    <definedName name="__123Graph_DGRAPH13" localSheetId="25" hidden="1">[5]A!#REF!</definedName>
    <definedName name="__123Graph_DGRAPH13" localSheetId="29" hidden="1">[5]A!#REF!</definedName>
    <definedName name="__123Graph_DGRAPH13" localSheetId="2" hidden="1">[5]A!#REF!</definedName>
    <definedName name="__123Graph_DGRAPH13" localSheetId="33" hidden="1">[6]A!#REF!</definedName>
    <definedName name="__123Graph_DGRAPH13" localSheetId="30" hidden="1">[5]A!#REF!</definedName>
    <definedName name="__123Graph_DGRAPH13" localSheetId="32" hidden="1">[5]A!#REF!</definedName>
    <definedName name="__123Graph_DGRAPH13" localSheetId="28" hidden="1">[5]A!#REF!</definedName>
    <definedName name="__123Graph_DGRAPH13" localSheetId="31" hidden="1">[5]A!#REF!</definedName>
    <definedName name="__123Graph_DGRAPH13" hidden="1">[5]A!#REF!</definedName>
    <definedName name="__123Graph_DGRAPH16" localSheetId="25" hidden="1">[3]SaisieSR!#REF!</definedName>
    <definedName name="__123Graph_DGRAPH16" localSheetId="29" hidden="1">[3]SaisieSR!#REF!</definedName>
    <definedName name="__123Graph_DGRAPH16" localSheetId="2" hidden="1">[3]SaisieSR!#REF!</definedName>
    <definedName name="__123Graph_DGRAPH16" localSheetId="33" hidden="1">[4]SaisieSR!#REF!</definedName>
    <definedName name="__123Graph_DGRAPH16" localSheetId="30" hidden="1">[3]SaisieSR!#REF!</definedName>
    <definedName name="__123Graph_DGRAPH16" localSheetId="32" hidden="1">[3]SaisieSR!#REF!</definedName>
    <definedName name="__123Graph_DGRAPH16" localSheetId="28" hidden="1">[3]SaisieSR!#REF!</definedName>
    <definedName name="__123Graph_DGRAPH16" localSheetId="31" hidden="1">[3]SaisieSR!#REF!</definedName>
    <definedName name="__123Graph_DGRAPH16" hidden="1">[3]SaisieSR!#REF!</definedName>
    <definedName name="__123Graph_DGRAPH17" localSheetId="25" hidden="1">[3]SaisieSR!#REF!</definedName>
    <definedName name="__123Graph_DGRAPH17" localSheetId="29" hidden="1">[3]SaisieSR!#REF!</definedName>
    <definedName name="__123Graph_DGRAPH17" localSheetId="2" hidden="1">[3]SaisieSR!#REF!</definedName>
    <definedName name="__123Graph_DGRAPH17" localSheetId="33" hidden="1">[4]SaisieSR!#REF!</definedName>
    <definedName name="__123Graph_DGRAPH17" hidden="1">[3]SaisieSR!#REF!</definedName>
    <definedName name="__123Graph_DGRAPH18" localSheetId="25" hidden="1">[3]SaisieSR!#REF!</definedName>
    <definedName name="__123Graph_DGRAPH18" localSheetId="29" hidden="1">[3]SaisieSR!#REF!</definedName>
    <definedName name="__123Graph_DGRAPH18" localSheetId="2" hidden="1">[3]SaisieSR!#REF!</definedName>
    <definedName name="__123Graph_DGRAPH18" localSheetId="33" hidden="1">[4]SaisieSR!#REF!</definedName>
    <definedName name="__123Graph_DGRAPH18" hidden="1">[3]SaisieSR!#REF!</definedName>
    <definedName name="__123Graph_DGRAPH19" localSheetId="25" hidden="1">[3]SaisieSR!#REF!</definedName>
    <definedName name="__123Graph_DGRAPH19" localSheetId="29" hidden="1">[3]SaisieSR!#REF!</definedName>
    <definedName name="__123Graph_DGRAPH19" localSheetId="2" hidden="1">[3]SaisieSR!#REF!</definedName>
    <definedName name="__123Graph_DGRAPH19" localSheetId="33" hidden="1">[4]SaisieSR!#REF!</definedName>
    <definedName name="__123Graph_DGRAPH19" hidden="1">[3]SaisieSR!#REF!</definedName>
    <definedName name="__123Graph_DGRAPH20" localSheetId="2" hidden="1">[5]A!$R$283:$U$283</definedName>
    <definedName name="__123Graph_DGRAPH20" localSheetId="33" hidden="1">[6]A!$R$283:$U$283</definedName>
    <definedName name="__123Graph_DGRAPH20" hidden="1">[5]A!$R$283:$U$283</definedName>
    <definedName name="__123Graph_DGRAPH9" localSheetId="25" hidden="1">[3]SaisieSM!#REF!</definedName>
    <definedName name="__123Graph_DGRAPH9" localSheetId="29" hidden="1">[3]SaisieSM!#REF!</definedName>
    <definedName name="__123Graph_DGRAPH9" localSheetId="2" hidden="1">[3]SaisieSM!#REF!</definedName>
    <definedName name="__123Graph_DGRAPH9" localSheetId="33" hidden="1">[4]SaisieSM!#REF!</definedName>
    <definedName name="__123Graph_DGRAPH9" localSheetId="30" hidden="1">[3]SaisieSM!#REF!</definedName>
    <definedName name="__123Graph_DGRAPH9" localSheetId="32" hidden="1">[3]SaisieSM!#REF!</definedName>
    <definedName name="__123Graph_DGRAPH9" localSheetId="28" hidden="1">[3]SaisieSM!#REF!</definedName>
    <definedName name="__123Graph_DGRAPH9" localSheetId="31" hidden="1">[3]SaisieSM!#REF!</definedName>
    <definedName name="__123Graph_DGRAPH9" hidden="1">[3]SaisieSM!#REF!</definedName>
    <definedName name="__123Graph_DINDICE_P1" localSheetId="25" hidden="1">[1]B!#REF!</definedName>
    <definedName name="__123Graph_DINDICE_P1" localSheetId="29" hidden="1">[1]B!#REF!</definedName>
    <definedName name="__123Graph_DINDICE_P1" localSheetId="2" hidden="1">[1]B!#REF!</definedName>
    <definedName name="__123Graph_DINDICE_P1" localSheetId="33" hidden="1">[2]B!#REF!</definedName>
    <definedName name="__123Graph_DINDICE_P1" localSheetId="30" hidden="1">[1]B!#REF!</definedName>
    <definedName name="__123Graph_DINDICE_P1" localSheetId="32" hidden="1">[1]B!#REF!</definedName>
    <definedName name="__123Graph_DINDICE_P1" localSheetId="28" hidden="1">[1]B!#REF!</definedName>
    <definedName name="__123Graph_DINDICE_P1" localSheetId="31" hidden="1">[1]B!#REF!</definedName>
    <definedName name="__123Graph_DINDICE_P1" hidden="1">[1]B!#REF!</definedName>
    <definedName name="__123Graph_DINDICE_P2" localSheetId="25" hidden="1">[1]B!#REF!</definedName>
    <definedName name="__123Graph_DINDICE_P2" localSheetId="29" hidden="1">[1]B!#REF!</definedName>
    <definedName name="__123Graph_DINDICE_P2" localSheetId="2" hidden="1">[1]B!#REF!</definedName>
    <definedName name="__123Graph_DINDICE_P2" localSheetId="33" hidden="1">[2]B!#REF!</definedName>
    <definedName name="__123Graph_DINDICE_P2" hidden="1">[1]B!#REF!</definedName>
    <definedName name="__123Graph_DIPC2" localSheetId="25" hidden="1">[3]SaisieSR!#REF!</definedName>
    <definedName name="__123Graph_DIPC2" localSheetId="29" hidden="1">[3]SaisieSR!#REF!</definedName>
    <definedName name="__123Graph_DIPC2" localSheetId="2" hidden="1">[3]SaisieSR!#REF!</definedName>
    <definedName name="__123Graph_DIPC2" localSheetId="33" hidden="1">[4]SaisieSR!#REF!</definedName>
    <definedName name="__123Graph_DIPC2" hidden="1">[3]SaisieSR!#REF!</definedName>
    <definedName name="__123Graph_EGRAPH13" localSheetId="25" hidden="1">[5]A!#REF!</definedName>
    <definedName name="__123Graph_EGRAPH13" localSheetId="29" hidden="1">[5]A!#REF!</definedName>
    <definedName name="__123Graph_EGRAPH13" localSheetId="2" hidden="1">[5]A!#REF!</definedName>
    <definedName name="__123Graph_EGRAPH13" localSheetId="33" hidden="1">[6]A!#REF!</definedName>
    <definedName name="__123Graph_EGRAPH13" hidden="1">[5]A!#REF!</definedName>
    <definedName name="__123Graph_EGRAPH9" localSheetId="25" hidden="1">[3]SaisieSM!#REF!</definedName>
    <definedName name="__123Graph_EGRAPH9" localSheetId="29" hidden="1">[3]SaisieSM!#REF!</definedName>
    <definedName name="__123Graph_EGRAPH9" localSheetId="2" hidden="1">[3]SaisieSM!#REF!</definedName>
    <definedName name="__123Graph_EGRAPH9" localSheetId="33" hidden="1">[4]SaisieSM!#REF!</definedName>
    <definedName name="__123Graph_EGRAPH9" hidden="1">[3]SaisieSM!#REF!</definedName>
    <definedName name="__123Graph_X" localSheetId="25" hidden="1">[1]B!#REF!</definedName>
    <definedName name="__123Graph_X" localSheetId="29" hidden="1">[1]B!#REF!</definedName>
    <definedName name="__123Graph_X" localSheetId="2" hidden="1">[1]B!#REF!</definedName>
    <definedName name="__123Graph_X" localSheetId="33" hidden="1">[2]B!#REF!</definedName>
    <definedName name="__123Graph_X" hidden="1">[1]B!#REF!</definedName>
    <definedName name="__123Graph_XCONJONC1" localSheetId="25" hidden="1">[3]SaisieSR!#REF!</definedName>
    <definedName name="__123Graph_XCONJONC1" localSheetId="29" hidden="1">[3]SaisieSR!#REF!</definedName>
    <definedName name="__123Graph_XCONJONC1" localSheetId="2" hidden="1">[3]SaisieSR!#REF!</definedName>
    <definedName name="__123Graph_XCONJONC1" localSheetId="33" hidden="1">[4]SaisieSR!#REF!</definedName>
    <definedName name="__123Graph_XCONJONC1" hidden="1">[3]SaisieSR!#REF!</definedName>
    <definedName name="__123Graph_XELEV1" localSheetId="2" hidden="1">[3]SaisieSR!$D$83:$L$83</definedName>
    <definedName name="__123Graph_XELEV1" localSheetId="33" hidden="1">[4]SaisieSR!$D$83:$L$83</definedName>
    <definedName name="__123Graph_XELEV1" hidden="1">[3]SaisieSR!$D$83:$L$83</definedName>
    <definedName name="__123Graph_XELEV2" localSheetId="2" hidden="1">[3]SaisieSR!$D$83:$L$83</definedName>
    <definedName name="__123Graph_XELEV2" localSheetId="33" hidden="1">[4]SaisieSR!$D$83:$L$83</definedName>
    <definedName name="__123Graph_XELEV2" hidden="1">[3]SaisieSR!$D$83:$L$83</definedName>
    <definedName name="__123Graph_XGRAPH16" localSheetId="25" hidden="1">[3]SaisieSR!#REF!</definedName>
    <definedName name="__123Graph_XGRAPH16" localSheetId="29" hidden="1">[3]SaisieSR!#REF!</definedName>
    <definedName name="__123Graph_XGRAPH16" localSheetId="2" hidden="1">[3]SaisieSR!#REF!</definedName>
    <definedName name="__123Graph_XGRAPH16" localSheetId="33" hidden="1">[4]SaisieSR!#REF!</definedName>
    <definedName name="__123Graph_XGRAPH16" localSheetId="30" hidden="1">[3]SaisieSR!#REF!</definedName>
    <definedName name="__123Graph_XGRAPH16" localSheetId="32" hidden="1">[3]SaisieSR!#REF!</definedName>
    <definedName name="__123Graph_XGRAPH16" localSheetId="28" hidden="1">[3]SaisieSR!#REF!</definedName>
    <definedName name="__123Graph_XGRAPH16" localSheetId="31" hidden="1">[3]SaisieSR!#REF!</definedName>
    <definedName name="__123Graph_XGRAPH16" hidden="1">[3]SaisieSR!#REF!</definedName>
    <definedName name="__123Graph_XGRAPH17" localSheetId="25" hidden="1">[3]SaisieSR!#REF!</definedName>
    <definedName name="__123Graph_XGRAPH17" localSheetId="29" hidden="1">[3]SaisieSR!#REF!</definedName>
    <definedName name="__123Graph_XGRAPH17" localSheetId="2" hidden="1">[3]SaisieSR!#REF!</definedName>
    <definedName name="__123Graph_XGRAPH17" localSheetId="33" hidden="1">[4]SaisieSR!#REF!</definedName>
    <definedName name="__123Graph_XGRAPH17" localSheetId="30" hidden="1">[3]SaisieSR!#REF!</definedName>
    <definedName name="__123Graph_XGRAPH17" localSheetId="32" hidden="1">[3]SaisieSR!#REF!</definedName>
    <definedName name="__123Graph_XGRAPH17" localSheetId="28" hidden="1">[3]SaisieSR!#REF!</definedName>
    <definedName name="__123Graph_XGRAPH17" localSheetId="31" hidden="1">[3]SaisieSR!#REF!</definedName>
    <definedName name="__123Graph_XGRAPH17" hidden="1">[3]SaisieSR!#REF!</definedName>
    <definedName name="__123Graph_XGRAPH18" localSheetId="25" hidden="1">[3]SaisieSR!#REF!</definedName>
    <definedName name="__123Graph_XGRAPH18" localSheetId="29" hidden="1">[3]SaisieSR!#REF!</definedName>
    <definedName name="__123Graph_XGRAPH18" localSheetId="2" hidden="1">[3]SaisieSR!#REF!</definedName>
    <definedName name="__123Graph_XGRAPH18" localSheetId="33" hidden="1">[4]SaisieSR!#REF!</definedName>
    <definedName name="__123Graph_XGRAPH18" hidden="1">[3]SaisieSR!#REF!</definedName>
    <definedName name="__123Graph_XGRAPH19" localSheetId="25" hidden="1">[3]SaisieSR!#REF!</definedName>
    <definedName name="__123Graph_XGRAPH19" localSheetId="29" hidden="1">[3]SaisieSR!#REF!</definedName>
    <definedName name="__123Graph_XGRAPH19" localSheetId="2" hidden="1">[3]SaisieSR!#REF!</definedName>
    <definedName name="__123Graph_XGRAPH19" localSheetId="33" hidden="1">[4]SaisieSR!#REF!</definedName>
    <definedName name="__123Graph_XGRAPH19" hidden="1">[3]SaisieSR!#REF!</definedName>
    <definedName name="__123Graph_XGRAPH2" localSheetId="2" hidden="1">[5]A!$AA$270:$AE$270</definedName>
    <definedName name="__123Graph_XGRAPH2" localSheetId="33" hidden="1">[6]A!$AA$270:$AE$270</definedName>
    <definedName name="__123Graph_XGRAPH2" hidden="1">[5]A!$AA$270:$AE$270</definedName>
    <definedName name="__123Graph_XGRAPH3" localSheetId="25" hidden="1">[3]SaisieSM!#REF!</definedName>
    <definedName name="__123Graph_XGRAPH3" localSheetId="29" hidden="1">[3]SaisieSM!#REF!</definedName>
    <definedName name="__123Graph_XGRAPH3" localSheetId="2" hidden="1">[3]SaisieSM!#REF!</definedName>
    <definedName name="__123Graph_XGRAPH3" localSheetId="33" hidden="1">[4]SaisieSM!#REF!</definedName>
    <definedName name="__123Graph_XGRAPH3" localSheetId="30" hidden="1">[3]SaisieSM!#REF!</definedName>
    <definedName name="__123Graph_XGRAPH3" localSheetId="32" hidden="1">[3]SaisieSM!#REF!</definedName>
    <definedName name="__123Graph_XGRAPH3" localSheetId="28" hidden="1">[3]SaisieSM!#REF!</definedName>
    <definedName name="__123Graph_XGRAPH3" localSheetId="31" hidden="1">[3]SaisieSM!#REF!</definedName>
    <definedName name="__123Graph_XGRAPH3" hidden="1">[3]SaisieSM!#REF!</definedName>
    <definedName name="__123Graph_XGRAPH4" localSheetId="2" hidden="1">[5]A!$AA$270:$AE$270</definedName>
    <definedName name="__123Graph_XGRAPH4" localSheetId="33" hidden="1">[6]A!$AA$270:$AE$270</definedName>
    <definedName name="__123Graph_XGRAPH4" hidden="1">[5]A!$AA$270:$AE$270</definedName>
    <definedName name="__123Graph_XGRAPH5" localSheetId="2" hidden="1">[3]FinPub!$C$121:$G$121</definedName>
    <definedName name="__123Graph_XGRAPH5" localSheetId="33" hidden="1">[4]FinPub!$C$121:$G$121</definedName>
    <definedName name="__123Graph_XGRAPH5" hidden="1">[3]FinPub!$C$121:$G$121</definedName>
    <definedName name="__123Graph_XGRAPH6" localSheetId="25" hidden="1">[3]SaisieSM!#REF!</definedName>
    <definedName name="__123Graph_XGRAPH6" localSheetId="29" hidden="1">[3]SaisieSM!#REF!</definedName>
    <definedName name="__123Graph_XGRAPH6" localSheetId="2" hidden="1">[3]SaisieSM!#REF!</definedName>
    <definedName name="__123Graph_XGRAPH6" localSheetId="33" hidden="1">[4]SaisieSM!#REF!</definedName>
    <definedName name="__123Graph_XGRAPH6" localSheetId="30" hidden="1">[3]SaisieSM!#REF!</definedName>
    <definedName name="__123Graph_XGRAPH6" localSheetId="32" hidden="1">[3]SaisieSM!#REF!</definedName>
    <definedName name="__123Graph_XGRAPH6" localSheetId="28" hidden="1">[3]SaisieSM!#REF!</definedName>
    <definedName name="__123Graph_XGRAPH6" localSheetId="31" hidden="1">[3]SaisieSM!#REF!</definedName>
    <definedName name="__123Graph_XGRAPH6" hidden="1">[3]SaisieSM!#REF!</definedName>
    <definedName name="__123Graph_XGRAPH7" localSheetId="25" hidden="1">[3]SaisieSM!#REF!</definedName>
    <definedName name="__123Graph_XGRAPH7" localSheetId="29" hidden="1">[3]SaisieSM!#REF!</definedName>
    <definedName name="__123Graph_XGRAPH7" localSheetId="2" hidden="1">[3]SaisieSM!#REF!</definedName>
    <definedName name="__123Graph_XGRAPH7" localSheetId="33" hidden="1">[4]SaisieSM!#REF!</definedName>
    <definedName name="__123Graph_XGRAPH7" localSheetId="30" hidden="1">[3]SaisieSM!#REF!</definedName>
    <definedName name="__123Graph_XGRAPH7" localSheetId="32" hidden="1">[3]SaisieSM!#REF!</definedName>
    <definedName name="__123Graph_XGRAPH7" localSheetId="28" hidden="1">[3]SaisieSM!#REF!</definedName>
    <definedName name="__123Graph_XGRAPH7" localSheetId="31" hidden="1">[3]SaisieSM!#REF!</definedName>
    <definedName name="__123Graph_XGRAPH7" hidden="1">[3]SaisieSM!#REF!</definedName>
    <definedName name="__123Graph_XGRAPH8" localSheetId="25" hidden="1">[3]SaisieSM!#REF!</definedName>
    <definedName name="__123Graph_XGRAPH8" localSheetId="29" hidden="1">[3]SaisieSM!#REF!</definedName>
    <definedName name="__123Graph_XGRAPH8" localSheetId="2" hidden="1">[3]SaisieSM!#REF!</definedName>
    <definedName name="__123Graph_XGRAPH8" localSheetId="33" hidden="1">[4]SaisieSM!#REF!</definedName>
    <definedName name="__123Graph_XGRAPH8" hidden="1">[3]SaisieSM!#REF!</definedName>
    <definedName name="__123Graph_XGRAPH9" localSheetId="25" hidden="1">[3]SaisieSM!#REF!</definedName>
    <definedName name="__123Graph_XGRAPH9" localSheetId="29" hidden="1">[3]SaisieSM!#REF!</definedName>
    <definedName name="__123Graph_XGRAPH9" localSheetId="2" hidden="1">[3]SaisieSM!#REF!</definedName>
    <definedName name="__123Graph_XGRAPH9" localSheetId="33" hidden="1">[4]SaisieSM!#REF!</definedName>
    <definedName name="__123Graph_XGRAPH9" hidden="1">[3]SaisieSM!#REF!</definedName>
    <definedName name="__123Graph_XINDICE_P1" localSheetId="25" hidden="1">[1]B!#REF!</definedName>
    <definedName name="__123Graph_XINDICE_P1" localSheetId="29" hidden="1">[1]B!#REF!</definedName>
    <definedName name="__123Graph_XINDICE_P1" localSheetId="2" hidden="1">[1]B!#REF!</definedName>
    <definedName name="__123Graph_XINDICE_P1" localSheetId="33" hidden="1">[2]B!#REF!</definedName>
    <definedName name="__123Graph_XINDICE_P1" hidden="1">[1]B!#REF!</definedName>
    <definedName name="__123Graph_XINDICE_P2" localSheetId="25" hidden="1">[1]B!#REF!</definedName>
    <definedName name="__123Graph_XINDICE_P2" localSheetId="29" hidden="1">[1]B!#REF!</definedName>
    <definedName name="__123Graph_XINDICE_P2" localSheetId="2" hidden="1">[1]B!#REF!</definedName>
    <definedName name="__123Graph_XINDICE_P2" localSheetId="33" hidden="1">[2]B!#REF!</definedName>
    <definedName name="__123Graph_XINDICE_P2" hidden="1">[1]B!#REF!</definedName>
    <definedName name="__123Graph_XIPI1" localSheetId="25" hidden="1">[3]SaisieSR!#REF!</definedName>
    <definedName name="__123Graph_XIPI1" localSheetId="29" hidden="1">[3]SaisieSR!#REF!</definedName>
    <definedName name="__123Graph_XIPI1" localSheetId="2" hidden="1">[3]SaisieSR!#REF!</definedName>
    <definedName name="__123Graph_XIPI1" localSheetId="33" hidden="1">[4]SaisieSR!#REF!</definedName>
    <definedName name="__123Graph_XIPI1" hidden="1">[3]SaisieSR!#REF!</definedName>
    <definedName name="__123Graph_XPRODEXPORT3" localSheetId="25" hidden="1">[3]SaisieSE!#REF!</definedName>
    <definedName name="__123Graph_XPRODEXPORT3" localSheetId="29" hidden="1">[3]SaisieSE!#REF!</definedName>
    <definedName name="__123Graph_XPRODEXPORT3" localSheetId="2" hidden="1">[3]SaisieSE!#REF!</definedName>
    <definedName name="__123Graph_XPRODEXPORT3" localSheetId="33" hidden="1">[4]SaisieSE!#REF!</definedName>
    <definedName name="__123Graph_XPRODEXPORT3" hidden="1">[3]SaisieSE!#REF!</definedName>
    <definedName name="__123Graph_XSIM1" localSheetId="2" hidden="1">[3]SaisieSR!$F$65:$H$65</definedName>
    <definedName name="__123Graph_XSIM1" localSheetId="33" hidden="1">[4]SaisieSR!$F$65:$H$65</definedName>
    <definedName name="__123Graph_XSIM1" hidden="1">[3]SaisieSR!$F$65:$H$65</definedName>
    <definedName name="__123Graph_XSIM2" localSheetId="2" hidden="1">[3]SaisieSR!$F$65:$H$65</definedName>
    <definedName name="__123Graph_XSIM2" localSheetId="33" hidden="1">[4]SaisieSR!$F$65:$H$65</definedName>
    <definedName name="__123Graph_XSIM2" hidden="1">[3]SaisieSR!$F$65:$H$65</definedName>
    <definedName name="_Hlk15569485" localSheetId="11">'Eau,Elec'!$A$4</definedName>
    <definedName name="_Order1" hidden="1">255</definedName>
    <definedName name="_Order2" hidden="1">255</definedName>
    <definedName name="_Regression_Out" localSheetId="25" hidden="1">[7]A!#REF!</definedName>
    <definedName name="_Regression_Out" localSheetId="29" hidden="1">[7]A!#REF!</definedName>
    <definedName name="_Regression_Out" localSheetId="2" hidden="1">[7]A!#REF!</definedName>
    <definedName name="_Regression_Out" localSheetId="33" hidden="1">[8]A!#REF!</definedName>
    <definedName name="_Regression_Out" hidden="1">[7]A!#REF!</definedName>
    <definedName name="Accueil" localSheetId="25">#REF!</definedName>
    <definedName name="Accueil" localSheetId="29">#REF!</definedName>
    <definedName name="Accueil" localSheetId="30">#REF!</definedName>
    <definedName name="Accueil" localSheetId="4">#REF!</definedName>
    <definedName name="Accueil" localSheetId="32">#REF!</definedName>
    <definedName name="Accueil" localSheetId="28">#REF!</definedName>
    <definedName name="Accueil" localSheetId="3">#REF!</definedName>
    <definedName name="Accueil" localSheetId="1">#REF!</definedName>
    <definedName name="Accueil" localSheetId="31">#REF!</definedName>
    <definedName name="Accueil">#REF!</definedName>
    <definedName name="AccueilMois" localSheetId="25">#REF!</definedName>
    <definedName name="AccueilMois" localSheetId="29">#REF!</definedName>
    <definedName name="AccueilMois" localSheetId="4">#REF!</definedName>
    <definedName name="AccueilMois" localSheetId="3">#REF!</definedName>
    <definedName name="AccueilMois" localSheetId="1">#REF!</definedName>
    <definedName name="AccueilMois">#REF!</definedName>
    <definedName name="CoinSupérieurGauche" localSheetId="25">#REF!</definedName>
    <definedName name="CoinSupérieurGauche" localSheetId="29">#REF!</definedName>
    <definedName name="CoinSupérieurGauche" localSheetId="4">#REF!</definedName>
    <definedName name="CoinSupérieurGauche" localSheetId="3">#REF!</definedName>
    <definedName name="CoinSupérieurGauche" localSheetId="1">#REF!</definedName>
    <definedName name="CoinSupérieurGauche">#REF!</definedName>
    <definedName name="df" localSheetId="25" hidden="1">[3]SaisieSR!#REF!</definedName>
    <definedName name="df" localSheetId="29" hidden="1">[3]SaisieSR!#REF!</definedName>
    <definedName name="df" localSheetId="2" hidden="1">[3]SaisieSR!#REF!</definedName>
    <definedName name="df" localSheetId="33" hidden="1">[4]SaisieSR!#REF!</definedName>
    <definedName name="df" localSheetId="30" hidden="1">[3]SaisieSR!#REF!</definedName>
    <definedName name="df" localSheetId="32" hidden="1">[3]SaisieSR!#REF!</definedName>
    <definedName name="df" localSheetId="28" hidden="1">[3]SaisieSR!#REF!</definedName>
    <definedName name="df" localSheetId="31" hidden="1">[3]SaisieSR!#REF!</definedName>
    <definedName name="df" hidden="1">[3]SaisieSR!#REF!</definedName>
    <definedName name="jhhjhuryttettete" localSheetId="25" hidden="1">[3]SaisieSE!#REF!</definedName>
    <definedName name="jhhjhuryttettete" localSheetId="29" hidden="1">[3]SaisieSE!#REF!</definedName>
    <definedName name="jhhjhuryttettete" localSheetId="2" hidden="1">[3]SaisieSE!#REF!</definedName>
    <definedName name="jhhjhuryttettete" localSheetId="33" hidden="1">[4]SaisieSE!#REF!</definedName>
    <definedName name="jhhjhuryttettete" localSheetId="30" hidden="1">[3]SaisieSE!#REF!</definedName>
    <definedName name="jhhjhuryttettete" localSheetId="32" hidden="1">[3]SaisieSE!#REF!</definedName>
    <definedName name="jhhjhuryttettete" localSheetId="28" hidden="1">[3]SaisieSE!#REF!</definedName>
    <definedName name="jhhjhuryttettete" localSheetId="31" hidden="1">[3]SaisieSE!#REF!</definedName>
    <definedName name="jhhjhuryttettete" hidden="1">[3]SaisieSE!#REF!</definedName>
    <definedName name="JKKJKLK" localSheetId="25" hidden="1">[3]SaisieSR!#REF!</definedName>
    <definedName name="JKKJKLK" localSheetId="29" hidden="1">[3]SaisieSR!#REF!</definedName>
    <definedName name="JKKJKLK" localSheetId="2" hidden="1">[3]SaisieSR!#REF!</definedName>
    <definedName name="JKKJKLK" localSheetId="33" hidden="1">[4]SaisieSR!#REF!</definedName>
    <definedName name="JKKJKLK" hidden="1">[3]SaisieSR!#REF!</definedName>
    <definedName name="louip" localSheetId="25" hidden="1">[3]SaisieSR!#REF!</definedName>
    <definedName name="louip" localSheetId="29" hidden="1">[3]SaisieSR!#REF!</definedName>
    <definedName name="louip" localSheetId="2" hidden="1">[3]SaisieSR!#REF!</definedName>
    <definedName name="louip" localSheetId="33" hidden="1">[4]SaisieSR!#REF!</definedName>
    <definedName name="louip" hidden="1">[3]SaisieSR!#REF!</definedName>
    <definedName name="OLE_LINK2" localSheetId="21">Base_Annuelle!#REF!</definedName>
    <definedName name="Print_Area" localSheetId="3">SIGLES!$A$1:$G$53</definedName>
    <definedName name="SaisieAnnéesBdP" localSheetId="2">[9]SaisieType6!$X$30:$X$292</definedName>
    <definedName name="SaisieAnnéesBdP" localSheetId="33">[10]SaisieType6!$X$30:$X$292</definedName>
    <definedName name="SaisieAnnéesBdP">[9]SaisieType6!$X$30:$X$292</definedName>
    <definedName name="SaisieAnnéesProdAgricole" localSheetId="2">[9]SaisieType6!$A$30:$A$292</definedName>
    <definedName name="SaisieAnnéesProdAgricole" localSheetId="33">[10]SaisieType6!$A$30:$A$292</definedName>
    <definedName name="SaisieAnnéesProdAgricole">[9]SaisieType6!$A$30:$A$292</definedName>
    <definedName name="SaisieAnnéesProdElevage" localSheetId="2">[9]SaisieType6!$L$30:$L$292</definedName>
    <definedName name="SaisieAnnéesProdElevage" localSheetId="33">[10]SaisieType6!$L$30:$L$292</definedName>
    <definedName name="SaisieAnnéesProdElevage">[9]SaisieType6!$L$30:$L$292</definedName>
    <definedName name="SaisieAnnéesUEMOA" localSheetId="2">[9]SaisieType6!$BD$30:$BD$292</definedName>
    <definedName name="SaisieAnnéesUEMOA" localSheetId="33">[10]SaisieType6!$BD$30:$BD$292</definedName>
    <definedName name="SaisieAnnéesUEMOA">[9]SaisieType6!$BD$30:$BD$292</definedName>
    <definedName name="SaisieColonneDonnéesAnnuellesTexte" localSheetId="25">#REF!</definedName>
    <definedName name="SaisieColonneDonnéesAnnuellesTexte" localSheetId="29">#REF!</definedName>
    <definedName name="SaisieColonneDonnéesAnnuellesTexte" localSheetId="30">#REF!</definedName>
    <definedName name="SaisieColonneDonnéesAnnuellesTexte" localSheetId="4">#REF!</definedName>
    <definedName name="SaisieColonneDonnéesAnnuellesTexte" localSheetId="32">#REF!</definedName>
    <definedName name="SaisieColonneDonnéesAnnuellesTexte" localSheetId="28">#REF!</definedName>
    <definedName name="SaisieColonneDonnéesAnnuellesTexte" localSheetId="3">#REF!</definedName>
    <definedName name="SaisieColonneDonnéesAnnuellesTexte" localSheetId="1">#REF!</definedName>
    <definedName name="SaisieColonneDonnéesAnnuellesTexte" localSheetId="31">#REF!</definedName>
    <definedName name="SaisieColonneDonnéesAnnuellesTexte">#REF!</definedName>
    <definedName name="SaisieColonneImpExp" localSheetId="25">#REF!</definedName>
    <definedName name="SaisieColonneImpExp" localSheetId="29">#REF!</definedName>
    <definedName name="SaisieColonneImpExp" localSheetId="4">#REF!</definedName>
    <definedName name="SaisieColonneImpExp" localSheetId="3">#REF!</definedName>
    <definedName name="SaisieColonneImpExp" localSheetId="1">#REF!</definedName>
    <definedName name="SaisieColonneImpExp">#REF!</definedName>
    <definedName name="SaisieColonnePrixProduitsEssentiels" localSheetId="25">#REF!</definedName>
    <definedName name="SaisieColonnePrixProduitsEssentiels" localSheetId="29">#REF!</definedName>
    <definedName name="SaisieColonnePrixProduitsEssentiels" localSheetId="4">#REF!</definedName>
    <definedName name="SaisieColonnePrixProduitsEssentiels" localSheetId="3">#REF!</definedName>
    <definedName name="SaisieColonnePrixProduitsEssentiels" localSheetId="1">#REF!</definedName>
    <definedName name="SaisieColonnePrixProduitsEssentiels">#REF!</definedName>
    <definedName name="SaisieColonneTOFE" localSheetId="25">#REF!</definedName>
    <definedName name="SaisieColonneTOFE" localSheetId="29">#REF!</definedName>
    <definedName name="SaisieColonneTOFE" localSheetId="4">#REF!</definedName>
    <definedName name="SaisieColonneTOFE" localSheetId="3">#REF!</definedName>
    <definedName name="SaisieColonneTOFE" localSheetId="1">#REF!</definedName>
    <definedName name="SaisieColonneTOFE">#REF!</definedName>
    <definedName name="SaisieColonneTrimImpExp" localSheetId="25">#REF!</definedName>
    <definedName name="SaisieColonneTrimImpExp" localSheetId="29">#REF!</definedName>
    <definedName name="SaisieColonneTrimImpExp" localSheetId="4">#REF!</definedName>
    <definedName name="SaisieColonneTrimImpExp" localSheetId="3">#REF!</definedName>
    <definedName name="SaisieColonneTrimImpExp" localSheetId="1">#REF!</definedName>
    <definedName name="SaisieColonneTrimImpExp">#REF!</definedName>
    <definedName name="SaisieColonneTrimPrixProduitsEssentiels" localSheetId="25">#REF!</definedName>
    <definedName name="SaisieColonneTrimPrixProduitsEssentiels" localSheetId="29">#REF!</definedName>
    <definedName name="SaisieColonneTrimPrixProduitsEssentiels" localSheetId="4">#REF!</definedName>
    <definedName name="SaisieColonneTrimPrixProduitsEssentiels" localSheetId="3">#REF!</definedName>
    <definedName name="SaisieColonneTrimPrixProduitsEssentiels" localSheetId="1">#REF!</definedName>
    <definedName name="SaisieColonneTrimPrixProduitsEssentiels">#REF!</definedName>
    <definedName name="SaisieColonneTrimTOFE" localSheetId="25">#REF!</definedName>
    <definedName name="SaisieColonneTrimTOFE" localSheetId="29">#REF!</definedName>
    <definedName name="SaisieColonneTrimTOFE" localSheetId="4">#REF!</definedName>
    <definedName name="SaisieColonneTrimTOFE" localSheetId="3">#REF!</definedName>
    <definedName name="SaisieColonneTrimTOFE" localSheetId="1">#REF!</definedName>
    <definedName name="SaisieColonneTrimTOFE">#REF!</definedName>
    <definedName name="SaisieColonneValidationImpExp" localSheetId="25">#REF!</definedName>
    <definedName name="SaisieColonneValidationImpExp" localSheetId="29">#REF!</definedName>
    <definedName name="SaisieColonneValidationImpExp" localSheetId="4">#REF!</definedName>
    <definedName name="SaisieColonneValidationImpExp" localSheetId="3">#REF!</definedName>
    <definedName name="SaisieColonneValidationImpExp" localSheetId="1">#REF!</definedName>
    <definedName name="SaisieColonneValidationImpExp">#REF!</definedName>
    <definedName name="SaisieColonneValidationPrixProduitsEssentiels" localSheetId="25">#REF!</definedName>
    <definedName name="SaisieColonneValidationPrixProduitsEssentiels" localSheetId="29">#REF!</definedName>
    <definedName name="SaisieColonneValidationPrixProduitsEssentiels" localSheetId="4">#REF!</definedName>
    <definedName name="SaisieColonneValidationPrixProduitsEssentiels" localSheetId="3">#REF!</definedName>
    <definedName name="SaisieColonneValidationPrixProduitsEssentiels" localSheetId="1">#REF!</definedName>
    <definedName name="SaisieColonneValidationPrixProduitsEssentiels">#REF!</definedName>
    <definedName name="SaisieColonneValidationTOFE" localSheetId="25">#REF!</definedName>
    <definedName name="SaisieColonneValidationTOFE" localSheetId="29">#REF!</definedName>
    <definedName name="SaisieColonneValidationTOFE" localSheetId="4">#REF!</definedName>
    <definedName name="SaisieColonneValidationTOFE" localSheetId="3">#REF!</definedName>
    <definedName name="SaisieColonneValidationTOFE" localSheetId="1">#REF!</definedName>
    <definedName name="SaisieColonneValidationTOFE">#REF!</definedName>
    <definedName name="SaisieDonnéesAgricoles" localSheetId="2">[9]SaisieType2!$AV$38:$BI$255</definedName>
    <definedName name="SaisieDonnéesAgricoles" localSheetId="33">[10]SaisieType2!$AV$38:$BI$255</definedName>
    <definedName name="SaisieDonnéesAgricoles">[9]SaisieType2!$AV$38:$BI$255</definedName>
    <definedName name="SaisieDonnéesBCEAO" localSheetId="2">[9]SaisieType1!$BL$37:$CA$324</definedName>
    <definedName name="SaisieDonnéesBCEAO" localSheetId="33">[10]SaisieType1!$BL$37:$CA$324</definedName>
    <definedName name="SaisieDonnéesBCEAO">[9]SaisieType1!$BL$37:$CA$324</definedName>
    <definedName name="SaisieDonnéesBdP" localSheetId="2">[9]SaisieType6!$Y$30:$AY$292</definedName>
    <definedName name="SaisieDonnéesBdP" localSheetId="33">[10]SaisieType6!$Y$30:$AY$292</definedName>
    <definedName name="SaisieDonnéesBdP">[9]SaisieType6!$Y$30:$AY$292</definedName>
    <definedName name="SaisieDonnéesCoursMat" localSheetId="2">[9]SaisieType1!$AQ$37:$BF$324</definedName>
    <definedName name="SaisieDonnéesCoursMat" localSheetId="33">[10]SaisieType1!$AQ$37:$BF$324</definedName>
    <definedName name="SaisieDonnéesCoursMat">[9]SaisieType1!$AQ$37:$BF$324</definedName>
    <definedName name="SaisieDonnéesElevage" localSheetId="2">[9]SaisieType2!$Y$38:$AP$255</definedName>
    <definedName name="SaisieDonnéesElevage" localSheetId="33">[10]SaisieType2!$Y$38:$AP$255</definedName>
    <definedName name="SaisieDonnéesElevage">[9]SaisieType2!$Y$38:$AP$255</definedName>
    <definedName name="SaisieDonnéesETC" localSheetId="2">[9]SaisieType2!$B$38:$S$255</definedName>
    <definedName name="SaisieDonnéesETC" localSheetId="33">[10]SaisieType2!$B$38:$S$255</definedName>
    <definedName name="SaisieDonnéesETC">[9]SaisieType2!$B$38:$S$255</definedName>
    <definedName name="SaisieDonnéesIHPC" localSheetId="2">[9]SaisieType1!$B$37:$O$324</definedName>
    <definedName name="SaisieDonnéesIHPC" localSheetId="33">[10]SaisieType1!$B$37:$O$324</definedName>
    <definedName name="SaisieDonnéesIHPC">[9]SaisieType1!$B$37:$O$324</definedName>
    <definedName name="SaisieDonnéesIntérêt" localSheetId="2">[9]SaisieType1!$CG$37:$CV$324</definedName>
    <definedName name="SaisieDonnéesIntérêt" localSheetId="33">[10]SaisieType1!$CG$37:$CV$324</definedName>
    <definedName name="SaisieDonnéesIntérêt">[9]SaisieType1!$CG$37:$CV$324</definedName>
    <definedName name="SaisieDonnéesIPI" localSheetId="2">[9]SaisieType1!$U$37:$AK$324</definedName>
    <definedName name="SaisieDonnéesIPI" localSheetId="33">[10]SaisieType1!$U$37:$AK$324</definedName>
    <definedName name="SaisieDonnéesIPI">[9]SaisieType1!$U$37:$AK$324</definedName>
    <definedName name="SaisieDonnéesProdAgricole" localSheetId="2">[9]SaisieType6!$B$30:$G$292</definedName>
    <definedName name="SaisieDonnéesProdAgricole" localSheetId="33">[10]SaisieType6!$B$30:$G$292</definedName>
    <definedName name="SaisieDonnéesProdAgricole">[9]SaisieType6!$B$30:$G$292</definedName>
    <definedName name="SaisieDonnéesProdElevage" localSheetId="2">[9]SaisieType6!$M$30:$S$292</definedName>
    <definedName name="SaisieDonnéesProdElevage" localSheetId="33">[10]SaisieType6!$M$30:$S$292</definedName>
    <definedName name="SaisieDonnéesProdElevage">[9]SaisieType6!$M$30:$S$292</definedName>
    <definedName name="SaisieDonnéesSectExtérieur" localSheetId="2">[9]SaisieType5!$G$282:$DV$357</definedName>
    <definedName name="SaisieDonnéesSectExtérieur" localSheetId="33">[10]SaisieType5!$G$282:$DV$357</definedName>
    <definedName name="SaisieDonnéesSectExtérieur">[9]SaisieType5!$G$282:$DV$357</definedName>
    <definedName name="SaisieDonnéesTOFE" localSheetId="2">[9]SaisieType3!$F$281:$EC$352</definedName>
    <definedName name="SaisieDonnéesTOFE" localSheetId="33">[10]SaisieType3!$F$281:$EC$352</definedName>
    <definedName name="SaisieDonnéesTOFE">[9]SaisieType3!$F$281:$EC$352</definedName>
    <definedName name="SaisieDonnéesUEMOA" localSheetId="2">[9]SaisieType6!$BE$30:$BV$108</definedName>
    <definedName name="SaisieDonnéesUEMOA" localSheetId="33">[10]SaisieType6!$BE$30:$BV$108</definedName>
    <definedName name="SaisieDonnéesUEMOA">[9]SaisieType6!$BE$30:$BV$108</definedName>
    <definedName name="SaisieEduc_ligne" localSheetId="2">[11]Education!$IH$3:$IH$262</definedName>
    <definedName name="SaisieEduc_ligne" localSheetId="33">[12]Education!$IH$3:$IH$262</definedName>
    <definedName name="SaisieEduc_ligne">[11]Education!$IH$3:$IH$262</definedName>
    <definedName name="SaisieEduc_mois" localSheetId="2">[11]Education!$A$3:$A$262</definedName>
    <definedName name="SaisieEduc_mois" localSheetId="33">[12]Education!$A$3:$A$262</definedName>
    <definedName name="SaisieEduc_mois">[11]Education!$A$3:$A$262</definedName>
    <definedName name="SaisieLigneBCEAO" localSheetId="2">[9]SaisieType1!$CD$37:$CD$324</definedName>
    <definedName name="SaisieLigneBCEAO" localSheetId="33">[10]SaisieType1!$CD$37:$CD$324</definedName>
    <definedName name="SaisieLigneBCEAO">[9]SaisieType1!$CD$37:$CD$324</definedName>
    <definedName name="SaisieLigneBdp" localSheetId="2">[9]SaisieType6!$BB$30:$BB$292</definedName>
    <definedName name="SaisieLigneBdp" localSheetId="33">[10]SaisieType6!$BB$30:$BB$292</definedName>
    <definedName name="SaisieLigneBdp">[9]SaisieType6!$BB$30:$BB$292</definedName>
    <definedName name="SaisieLigneCoursMat" localSheetId="2">[9]SaisieType1!$BI$37:$BI$324</definedName>
    <definedName name="SaisieLigneCoursMat" localSheetId="33">[10]SaisieType1!$BI$37:$BI$324</definedName>
    <definedName name="SaisieLigneCoursMat">[9]SaisieType1!$BI$37:$BI$324</definedName>
    <definedName name="SaisieLigneElevage" localSheetId="2">[9]SaisieType2!$AS$38:$AS$255</definedName>
    <definedName name="SaisieLigneElevage" localSheetId="33">[10]SaisieType2!$AS$38:$AS$255</definedName>
    <definedName name="SaisieLigneElevage">[9]SaisieType2!$AS$38:$AS$255</definedName>
    <definedName name="SaisieLigneEnquete" localSheetId="2">[9]SaisieType2!$V$38:$V$255</definedName>
    <definedName name="SaisieLigneEnquete" localSheetId="33">[10]SaisieType2!$V$38:$V$255</definedName>
    <definedName name="SaisieLigneEnquete">[9]SaisieType2!$V$38:$V$255</definedName>
    <definedName name="SaisieLigneIHPC" localSheetId="2">[9]SaisieType1!$R$37:$R$324</definedName>
    <definedName name="SaisieLigneIHPC" localSheetId="33">[10]SaisieType1!$R$37:$R$324</definedName>
    <definedName name="SaisieLigneIHPC">[9]SaisieType1!$R$37:$R$324</definedName>
    <definedName name="SaisieLigneIntérêt" localSheetId="2">[9]SaisieType1!$CY$37:$CY$324</definedName>
    <definedName name="SaisieLigneIntérêt" localSheetId="33">[10]SaisieType1!$CY$37:$CY$324</definedName>
    <definedName name="SaisieLigneIntérêt">[9]SaisieType1!$CY$37:$CY$324</definedName>
    <definedName name="SaisieLigneIPI" localSheetId="2">[9]SaisieType1!$AN$37:$AN$324</definedName>
    <definedName name="SaisieLigneIPI" localSheetId="33">[10]SaisieType1!$AN$37:$AN$324</definedName>
    <definedName name="SaisieLigneIPI">[9]SaisieType1!$AN$37:$AN$324</definedName>
    <definedName name="SaisieLigneMonnaie" localSheetId="2">[9]SaisieType4!$BW$174:$BW$245</definedName>
    <definedName name="SaisieLigneMonnaie" localSheetId="33">[10]SaisieType4!$BW$174:$BW$245</definedName>
    <definedName name="SaisieLigneMonnaie">[9]SaisieType4!$BW$174:$BW$245</definedName>
    <definedName name="SaisieLignePrixAgri" localSheetId="2">[9]SaisieType2!$BL$38:$BL$255</definedName>
    <definedName name="SaisieLignePrixAgri" localSheetId="33">[10]SaisieType2!$BL$38:$BL$255</definedName>
    <definedName name="SaisieLignePrixAgri">[9]SaisieType2!$BL$38:$BL$255</definedName>
    <definedName name="SaisieLigneProdAgricole" localSheetId="2">[9]SaisieType6!$J$30:$J$292</definedName>
    <definedName name="SaisieLigneProdAgricole" localSheetId="33">[10]SaisieType6!$J$30:$J$292</definedName>
    <definedName name="SaisieLigneProdAgricole">[9]SaisieType6!$J$30:$J$292</definedName>
    <definedName name="SaisieLigneProdElevage" localSheetId="2">[9]SaisieType6!$V$30:$V$292</definedName>
    <definedName name="SaisieLigneProdElevage" localSheetId="33">[10]SaisieType6!$V$30:$V$292</definedName>
    <definedName name="SaisieLigneProdElevage">[9]SaisieType6!$V$30:$V$292</definedName>
    <definedName name="SaisieLigneSectExtérieur" localSheetId="2">[9]SaisieType5!$DY$282:$DY$353</definedName>
    <definedName name="SaisieLigneSectExtérieur" localSheetId="33">[10]SaisieType5!$DY$282:$DY$353</definedName>
    <definedName name="SaisieLigneSectExtérieur">[9]SaisieType5!$DY$282:$DY$353</definedName>
    <definedName name="SaisieLigneTOFE" localSheetId="2">[9]SaisieType3!$EF$281:$EF$352</definedName>
    <definedName name="SaisieLigneTOFE" localSheetId="33">[10]SaisieType3!$EF$281:$EF$352</definedName>
    <definedName name="SaisieLigneTOFE">[9]SaisieType3!$EF$281:$EF$352</definedName>
    <definedName name="SaisieLigneUEMOA" localSheetId="2">[9]SaisieType6!$BY$30:$BY$292</definedName>
    <definedName name="SaisieLigneUEMOA" localSheetId="33">[10]SaisieType6!$BY$30:$BY$292</definedName>
    <definedName name="SaisieLigneUEMOA">[9]SaisieType6!$BY$30:$BY$292</definedName>
    <definedName name="SaisieMensIHPC" localSheetId="25">#REF!</definedName>
    <definedName name="SaisieMensIHPC" localSheetId="29">#REF!</definedName>
    <definedName name="SaisieMensIHPC" localSheetId="30">#REF!</definedName>
    <definedName name="SaisieMensIHPC" localSheetId="4">#REF!</definedName>
    <definedName name="SaisieMensIHPC" localSheetId="32">#REF!</definedName>
    <definedName name="SaisieMensIHPC" localSheetId="28">#REF!</definedName>
    <definedName name="SaisieMensIHPC" localSheetId="3">#REF!</definedName>
    <definedName name="SaisieMensIHPC" localSheetId="1">#REF!</definedName>
    <definedName name="SaisieMensIHPC" localSheetId="31">#REF!</definedName>
    <definedName name="SaisieMensIHPC">#REF!</definedName>
    <definedName name="SaisieMensImpExp" localSheetId="25">#REF!</definedName>
    <definedName name="SaisieMensImpExp" localSheetId="29">#REF!</definedName>
    <definedName name="SaisieMensImpExp" localSheetId="4">#REF!</definedName>
    <definedName name="SaisieMensImpExp" localSheetId="3">#REF!</definedName>
    <definedName name="SaisieMensImpExp" localSheetId="1">#REF!</definedName>
    <definedName name="SaisieMensImpExp">#REF!</definedName>
    <definedName name="SaisieMensIntérêts" localSheetId="25">#REF!</definedName>
    <definedName name="SaisieMensIntérêts" localSheetId="29">#REF!</definedName>
    <definedName name="SaisieMensIntérêts" localSheetId="4">#REF!</definedName>
    <definedName name="SaisieMensIntérêts" localSheetId="3">#REF!</definedName>
    <definedName name="SaisieMensIntérêts" localSheetId="1">#REF!</definedName>
    <definedName name="SaisieMensIntérêts">#REF!</definedName>
    <definedName name="SaisieMensPrévisionsTOFE" localSheetId="25">#REF!</definedName>
    <definedName name="SaisieMensPrévisionsTOFE" localSheetId="29">#REF!</definedName>
    <definedName name="SaisieMensPrévisionsTOFE" localSheetId="4">#REF!</definedName>
    <definedName name="SaisieMensPrévisionsTOFE" localSheetId="3">#REF!</definedName>
    <definedName name="SaisieMensPrévisionsTOFE" localSheetId="1">#REF!</definedName>
    <definedName name="SaisieMensPrévisionsTOFE">#REF!</definedName>
    <definedName name="SaisieMensPrixProduitsEssentiels" localSheetId="25">#REF!</definedName>
    <definedName name="SaisieMensPrixProduitsEssentiels" localSheetId="29">#REF!</definedName>
    <definedName name="SaisieMensPrixProduitsEssentiels" localSheetId="4">#REF!</definedName>
    <definedName name="SaisieMensPrixProduitsEssentiels" localSheetId="3">#REF!</definedName>
    <definedName name="SaisieMensPrixProduitsEssentiels" localSheetId="1">#REF!</definedName>
    <definedName name="SaisieMensPrixProduitsEssentiels">#REF!</definedName>
    <definedName name="SaisieMensRéalisationsTOFE" localSheetId="25">#REF!</definedName>
    <definedName name="SaisieMensRéalisationsTOFE" localSheetId="29">#REF!</definedName>
    <definedName name="SaisieMensRéalisationsTOFE" localSheetId="4">#REF!</definedName>
    <definedName name="SaisieMensRéalisationsTOFE" localSheetId="3">#REF!</definedName>
    <definedName name="SaisieMensRéalisationsTOFE" localSheetId="1">#REF!</definedName>
    <definedName name="SaisieMensRéalisationsTOFE">#REF!</definedName>
    <definedName name="SaisieMensSMI" localSheetId="25">#REF!</definedName>
    <definedName name="SaisieMensSMI" localSheetId="29">#REF!</definedName>
    <definedName name="SaisieMensSMI" localSheetId="4">#REF!</definedName>
    <definedName name="SaisieMensSMI" localSheetId="3">#REF!</definedName>
    <definedName name="SaisieMensSMI" localSheetId="1">#REF!</definedName>
    <definedName name="SaisieMensSMI">#REF!</definedName>
    <definedName name="SaisieMensuelleActivitésPrix" localSheetId="25">#REF!</definedName>
    <definedName name="SaisieMensuelleActivitésPrix" localSheetId="29">#REF!</definedName>
    <definedName name="SaisieMensuelleActivitésPrix" localSheetId="4">#REF!</definedName>
    <definedName name="SaisieMensuelleActivitésPrix" localSheetId="3">#REF!</definedName>
    <definedName name="SaisieMensuelleActivitésPrix" localSheetId="1">#REF!</definedName>
    <definedName name="SaisieMensuelleActivitésPrix">#REF!</definedName>
    <definedName name="SaisieMensuelleActivitésPrixLignes" localSheetId="25">#REF!</definedName>
    <definedName name="SaisieMensuelleActivitésPrixLignes" localSheetId="29">#REF!</definedName>
    <definedName name="SaisieMensuelleActivitésPrixLignes" localSheetId="4">#REF!</definedName>
    <definedName name="SaisieMensuelleActivitésPrixLignes" localSheetId="3">#REF!</definedName>
    <definedName name="SaisieMensuelleActivitésPrixLignes" localSheetId="1">#REF!</definedName>
    <definedName name="SaisieMensuelleActivitésPrixLignes">#REF!</definedName>
    <definedName name="SaisieMoisBCEAO" localSheetId="2">[9]SaisieType1!$BK$37:$BK$324</definedName>
    <definedName name="SaisieMoisBCEAO" localSheetId="33">[10]SaisieType1!$BK$37:$BK$324</definedName>
    <definedName name="SaisieMoisBCEAO">[9]SaisieType1!$BK$37:$BK$324</definedName>
    <definedName name="SaisieMoisCoursMat" localSheetId="2">[9]SaisieType1!$AP$37:$AP$324</definedName>
    <definedName name="SaisieMoisCoursMat" localSheetId="33">[10]SaisieType1!$AP$37:$AP$324</definedName>
    <definedName name="SaisieMoisCoursMat">[9]SaisieType1!$AP$37:$AP$324</definedName>
    <definedName name="SaisieMoisIHPC" localSheetId="2">[9]SaisieType1!$A$37:$A$324</definedName>
    <definedName name="SaisieMoisIHPC" localSheetId="33">[10]SaisieType1!$A$37:$A$324</definedName>
    <definedName name="SaisieMoisIHPC">[9]SaisieType1!$A$37:$A$324</definedName>
    <definedName name="SaisieMoisIntérêt" localSheetId="2">[9]SaisieType1!$CF$37:$CF$324</definedName>
    <definedName name="SaisieMoisIntérêt" localSheetId="33">[10]SaisieType1!$CF$37:$CF$324</definedName>
    <definedName name="SaisieMoisIntérêt">[9]SaisieType1!$CF$37:$CF$324</definedName>
    <definedName name="SaisieMoisIPI" localSheetId="2">[9]SaisieType1!$T$37:$T$324</definedName>
    <definedName name="SaisieMoisIPI" localSheetId="33">[10]SaisieType1!$T$37:$T$324</definedName>
    <definedName name="SaisieMoisIPI">[9]SaisieType1!$T$37:$T$324</definedName>
    <definedName name="SaisieSecond_mois" localSheetId="2">'[11]Enseign. secondaire'!$A$4:$A$264</definedName>
    <definedName name="SaisieSecond_mois" localSheetId="33">'[12]Enseign. secondaire'!$A$4:$A$264</definedName>
    <definedName name="SaisieSecond_mois">'[11]Enseign. secondaire'!$A$4:$A$264</definedName>
    <definedName name="SaisieTrimAgricole" localSheetId="2">[9]SaisieType2!$AU$38:$AU$255</definedName>
    <definedName name="SaisieTrimAgricole" localSheetId="33">[10]SaisieType2!$AU$38:$AU$255</definedName>
    <definedName name="SaisieTrimAgricole">[9]SaisieType2!$AU$38:$AU$255</definedName>
    <definedName name="SaisieTrimElevage" localSheetId="2">[9]SaisieType2!$X$38:$X$255</definedName>
    <definedName name="SaisieTrimElevage" localSheetId="33">[10]SaisieType2!$X$38:$X$255</definedName>
    <definedName name="SaisieTrimElevage">[9]SaisieType2!$X$38:$X$255</definedName>
    <definedName name="SaisieTrimEnquete" localSheetId="2">[9]SaisieType2!$A$38:$A$255</definedName>
    <definedName name="SaisieTrimEnquete" localSheetId="33">[10]SaisieType2!$A$38:$A$255</definedName>
    <definedName name="SaisieTrimEnquete">[9]SaisieType2!$A$38:$A$255</definedName>
    <definedName name="SaisieTrimETC" localSheetId="2">[9]SaisieType2!$A$38:$A$255</definedName>
    <definedName name="SaisieTrimETC" localSheetId="33">[10]SaisieType2!$A$38:$A$255</definedName>
    <definedName name="SaisieTrimETC">[9]SaisieType2!$A$38:$A$255</definedName>
    <definedName name="SaisieTrimIPI" localSheetId="2">[9]SaisieType1!$T$37:$T$324</definedName>
    <definedName name="SaisieTrimIPI" localSheetId="33">[10]SaisieType1!$T$37:$T$324</definedName>
    <definedName name="SaisieTrimIPI">[9]SaisieType1!$T$37:$T$324</definedName>
    <definedName name="SaisieTrimMonnaie" localSheetId="2">[9]SaisieType4!$E$174:$E$245</definedName>
    <definedName name="SaisieTrimMonnaie" localSheetId="33">[10]SaisieType4!$E$174:$E$245</definedName>
    <definedName name="SaisieTrimMonnaie">[9]SaisieType4!$E$174:$E$245</definedName>
    <definedName name="SaisieTrimPrixAgri" localSheetId="2">[9]SaisieType2!$AU$38:$AU$255</definedName>
    <definedName name="SaisieTrimPrixAgri" localSheetId="33">[10]SaisieType2!$AU$38:$AU$255</definedName>
    <definedName name="SaisieTrimPrixAgri">[9]SaisieType2!$AU$38:$AU$255</definedName>
    <definedName name="SaisieTrimSectExtérieur" localSheetId="2">[9]SaisieType5!$F$282:$F$353</definedName>
    <definedName name="SaisieTrimSectExtérieur" localSheetId="33">[10]SaisieType5!$F$282:$F$353</definedName>
    <definedName name="SaisieTrimSectExtérieur">[9]SaisieType5!$F$282:$F$353</definedName>
    <definedName name="SaisieTrimTOFE" localSheetId="2">[9]SaisieType3!$E$281:$E$352</definedName>
    <definedName name="SaisieTrimTOFE" localSheetId="33">[10]SaisieType3!$E$281:$E$352</definedName>
    <definedName name="SaisieTrimTOFE">[9]SaisieType3!$E$281:$E$352</definedName>
    <definedName name="SITMON" localSheetId="2">[3]N!$C$130</definedName>
    <definedName name="SITMON" localSheetId="33">[4]N!$C$130</definedName>
    <definedName name="SITMON">[3]N!$C$130</definedName>
    <definedName name="SortieActivitésPortAéroport" localSheetId="25">#REF!</definedName>
    <definedName name="SortieActivitésPortAéroport" localSheetId="29">#REF!</definedName>
    <definedName name="SortieActivitésPortAéroport" localSheetId="30">#REF!</definedName>
    <definedName name="SortieActivitésPortAéroport" localSheetId="4">#REF!</definedName>
    <definedName name="SortieActivitésPortAéroport" localSheetId="32">#REF!</definedName>
    <definedName name="SortieActivitésPortAéroport" localSheetId="28">#REF!</definedName>
    <definedName name="SortieActivitésPortAéroport" localSheetId="3">#REF!</definedName>
    <definedName name="SortieActivitésPortAéroport" localSheetId="1">#REF!</definedName>
    <definedName name="SortieActivitésPortAéroport" localSheetId="31">#REF!</definedName>
    <definedName name="SortieActivitésPortAéroport">#REF!</definedName>
    <definedName name="SortieCoursProduitsAlimentaires" localSheetId="25">#REF!</definedName>
    <definedName name="SortieCoursProduitsAlimentaires" localSheetId="29">#REF!</definedName>
    <definedName name="SortieCoursProduitsAlimentaires" localSheetId="4">#REF!</definedName>
    <definedName name="SortieCoursProduitsAlimentaires" localSheetId="3">#REF!</definedName>
    <definedName name="SortieCoursProduitsAlimentaires" localSheetId="1">#REF!</definedName>
    <definedName name="SortieCoursProduitsAlimentaires">#REF!</definedName>
    <definedName name="SortieEffectifsCivilsFP" localSheetId="25">#REF!</definedName>
    <definedName name="SortieEffectifsCivilsFP" localSheetId="29">#REF!</definedName>
    <definedName name="SortieEffectifsCivilsFP" localSheetId="4">#REF!</definedName>
    <definedName name="SortieEffectifsCivilsFP" localSheetId="3">#REF!</definedName>
    <definedName name="SortieEffectifsCivilsFP" localSheetId="1">#REF!</definedName>
    <definedName name="SortieEffectifsCivilsFP">#REF!</definedName>
    <definedName name="SortieIHPC" localSheetId="25">#REF!</definedName>
    <definedName name="SortieIHPC" localSheetId="29">#REF!</definedName>
    <definedName name="SortieIHPC" localSheetId="4">#REF!</definedName>
    <definedName name="SortieIHPC" localSheetId="3">#REF!</definedName>
    <definedName name="SortieIHPC" localSheetId="1">#REF!</definedName>
    <definedName name="SortieIHPC">#REF!</definedName>
    <definedName name="SortieIntérêts" localSheetId="25">#REF!</definedName>
    <definedName name="SortieIntérêts" localSheetId="29">#REF!</definedName>
    <definedName name="SortieIntérêts" localSheetId="4">#REF!</definedName>
    <definedName name="SortieIntérêts" localSheetId="3">#REF!</definedName>
    <definedName name="SortieIntérêts" localSheetId="1">#REF!</definedName>
    <definedName name="SortieIntérêts">#REF!</definedName>
    <definedName name="SortiePageGarde" localSheetId="25">#REF!</definedName>
    <definedName name="SortiePageGarde" localSheetId="29">#REF!</definedName>
    <definedName name="SortiePageGarde" localSheetId="4">#REF!</definedName>
    <definedName name="SortiePageGarde" localSheetId="3">#REF!</definedName>
    <definedName name="SortiePageGarde" localSheetId="1">#REF!</definedName>
    <definedName name="SortiePageGarde">#REF!</definedName>
    <definedName name="SortiePrixProduitsEssentiels" localSheetId="25">#REF!</definedName>
    <definedName name="SortiePrixProduitsEssentiels" localSheetId="29">#REF!</definedName>
    <definedName name="SortiePrixProduitsEssentiels" localSheetId="4">#REF!</definedName>
    <definedName name="SortiePrixProduitsEssentiels" localSheetId="3">#REF!</definedName>
    <definedName name="SortiePrixProduitsEssentiels" localSheetId="1">#REF!</definedName>
    <definedName name="SortiePrixProduitsEssentiels">#REF!</definedName>
    <definedName name="SSS" localSheetId="25" hidden="1">[3]SaisieSR!#REF!</definedName>
    <definedName name="SSS" localSheetId="29" hidden="1">[3]SaisieSR!#REF!</definedName>
    <definedName name="SSS" localSheetId="2" hidden="1">[3]SaisieSR!#REF!</definedName>
    <definedName name="SSS" localSheetId="33" hidden="1">[4]SaisieSR!#REF!</definedName>
    <definedName name="SSS" localSheetId="30" hidden="1">[3]SaisieSR!#REF!</definedName>
    <definedName name="SSS" localSheetId="32" hidden="1">[3]SaisieSR!#REF!</definedName>
    <definedName name="SSS" localSheetId="28" hidden="1">[3]SaisieSR!#REF!</definedName>
    <definedName name="SSS" localSheetId="31" hidden="1">[3]SaisieSR!#REF!</definedName>
    <definedName name="SSS" hidden="1">[3]SaisieSR!#REF!</definedName>
    <definedName name="_xlnm.Print_Area" localSheetId="7">Agriculture!$A$1:$H$153</definedName>
    <definedName name="_xlnm.Print_Area" localSheetId="25">ANN!$A$1:$B$26</definedName>
    <definedName name="_xlnm.Print_Area" localSheetId="26">'Ann ChangMatAgricElev'!$A$1:$K$180</definedName>
    <definedName name="_xlnm.Print_Area" localSheetId="29">'Ann Eau, ElecTransTouris'!$A$1:$L$104</definedName>
    <definedName name="_xlnm.Print_Area" localSheetId="27">AnnProdInd!$A$1:$J$126</definedName>
    <definedName name="_xlnm.Print_Area" localSheetId="2">'AV-PROPOS'!$A$1:$H$40</definedName>
    <definedName name="_xlnm.Print_Area" localSheetId="15">'Com Ex'!$A$1:$H$214</definedName>
    <definedName name="_xlnm.Print_Area" localSheetId="0">Couv!$A$1:$I$56</definedName>
    <definedName name="_xlnm.Print_Area" localSheetId="18">Emploi!$A$1:$H$117</definedName>
    <definedName name="_xlnm.Print_Area" localSheetId="30">EmploiAnn!$A$1:$J$127</definedName>
    <definedName name="_xlnm.Print_Area" localSheetId="4">'LISTE DES TAB'!$A$1:$B$104</definedName>
    <definedName name="_xlnm.Print_Area" localSheetId="32">MonAnn!$A$1:$M$234</definedName>
    <definedName name="_xlnm.Print_Area" localSheetId="22">Monnaie!$A$1:$H$219,Monnaie!$I$1:$Q$76</definedName>
    <definedName name="_xlnm.Print_Area" localSheetId="28">PrAnn!$A$1:$M$254</definedName>
    <definedName name="_xlnm.Print_Area" localSheetId="16">Prix1!$J$1:$S$58,Prix1!$A$1:$I$91</definedName>
    <definedName name="_xlnm.Print_Area" localSheetId="17">prix2!$A$1:$I$223,prix2!$J$1:$R$81</definedName>
    <definedName name="_xlnm.Print_Area" localSheetId="10">'ptod ind'!$A$1:$I$82</definedName>
    <definedName name="_xlnm.Print_Area" localSheetId="1">SOMMAIRE!$A$1:$C$27</definedName>
    <definedName name="_xlnm.Print_Area" localSheetId="9">'Stat Ind'!$A$1:$I$75</definedName>
    <definedName name="_xlnm.Print_Area" localSheetId="5">'Taux de change'!$A$1:$H$64</definedName>
    <definedName name="_xlnm.Print_Area" localSheetId="13">Telecom!$A$1:$H$60</definedName>
    <definedName name="_xlnm.Print_Area" localSheetId="19">TOFE!$A$1:$H$61</definedName>
    <definedName name="_xlnm.Print_Area" localSheetId="31">TofeAnn!$A$1:$M$127</definedName>
    <definedName name="_xlnm.Print_Area" localSheetId="14">Tourism!$A$1:$H$66</definedName>
    <definedName name="_xlnm.Print_Area" localSheetId="12">Transport!$A$1:$H$70</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59" i="13" l="1"/>
  <c r="H159" i="13"/>
  <c r="I158" i="13"/>
  <c r="H158" i="13"/>
  <c r="I157" i="13"/>
  <c r="H157" i="13"/>
  <c r="I156" i="13"/>
  <c r="H156" i="13"/>
  <c r="I155" i="13"/>
  <c r="H155" i="13"/>
  <c r="I154" i="13"/>
  <c r="H154" i="13"/>
  <c r="I153" i="13"/>
  <c r="H153" i="13"/>
  <c r="J14" i="38" a="1"/>
  <c r="J14" i="38" s="1"/>
  <c r="J13" i="38" a="1"/>
  <c r="J13" i="38" s="1"/>
  <c r="J12" i="38" a="1"/>
  <c r="J12" i="38" s="1"/>
  <c r="J11" i="38" a="1"/>
  <c r="J11" i="38" s="1"/>
  <c r="J10" i="38" a="1"/>
  <c r="J10" i="38" s="1"/>
  <c r="J9" i="38" a="1"/>
  <c r="J9" i="38" s="1"/>
  <c r="J8" i="38" a="1"/>
  <c r="J8" i="38" s="1"/>
  <c r="J7" i="38" a="1"/>
  <c r="J7" i="38" s="1"/>
  <c r="J6" i="38" a="1"/>
  <c r="J6" i="38" s="1"/>
  <c r="J5" i="38" a="1"/>
  <c r="J5" i="38" s="1"/>
  <c r="J4" i="38" a="1"/>
  <c r="J4" i="38" s="1"/>
  <c r="J3" i="38" a="1"/>
  <c r="J3" i="38" s="1"/>
  <c r="J28" i="38" a="1"/>
  <c r="J28" i="38" s="1"/>
  <c r="J27" i="38" a="1"/>
  <c r="J27" i="38" s="1"/>
  <c r="J26" i="38" a="1"/>
  <c r="J26" i="38" s="1"/>
  <c r="J25" i="38" a="1"/>
  <c r="J25" i="38" s="1"/>
  <c r="J24" i="38" a="1"/>
  <c r="J24" i="38" s="1"/>
  <c r="J23" i="38" a="1"/>
  <c r="J23" i="38" s="1"/>
  <c r="J22" i="38" a="1"/>
  <c r="J22" i="38" s="1"/>
  <c r="J21" i="38" a="1"/>
  <c r="J21" i="38" s="1"/>
  <c r="J20" i="38" a="1"/>
  <c r="J20" i="38" s="1"/>
  <c r="J19" i="38" a="1"/>
  <c r="J19" i="38" s="1"/>
  <c r="J18" i="38" a="1"/>
  <c r="J18" i="38" s="1"/>
  <c r="J17" i="38" a="1"/>
  <c r="J17" i="38" s="1"/>
  <c r="J42" i="38" a="1"/>
  <c r="J42" i="38" s="1"/>
  <c r="J41" i="38" a="1"/>
  <c r="J41" i="38" s="1"/>
  <c r="J40" i="38" a="1"/>
  <c r="J40" i="38" s="1"/>
  <c r="J39" i="38" a="1"/>
  <c r="J39" i="38" s="1"/>
  <c r="J38" i="38" a="1"/>
  <c r="J38" i="38" s="1"/>
  <c r="J37" i="38" a="1"/>
  <c r="J37" i="38" s="1"/>
  <c r="J36" i="38" a="1"/>
  <c r="J36" i="38" s="1"/>
  <c r="J35" i="38" a="1"/>
  <c r="J35" i="38" s="1"/>
  <c r="J34" i="38" a="1"/>
  <c r="J34" i="38" s="1"/>
  <c r="J33" i="38" a="1"/>
  <c r="J33" i="38" s="1"/>
  <c r="I32" i="38" a="1"/>
  <c r="I32" i="38" s="1"/>
  <c r="J32" i="38" a="1"/>
  <c r="J32" i="38" s="1"/>
  <c r="J31" i="38" a="1"/>
  <c r="J31" i="38" s="1"/>
  <c r="I30" i="38"/>
  <c r="I31" i="38" s="1" a="1"/>
  <c r="I31" i="38" s="1"/>
  <c r="J56" i="38" a="1"/>
  <c r="J56" i="38" s="1"/>
  <c r="J55" i="38" a="1"/>
  <c r="J55" i="38" s="1"/>
  <c r="J54" i="38" a="1"/>
  <c r="J54" i="38" s="1"/>
  <c r="J53" i="38" a="1"/>
  <c r="J53" i="38" s="1"/>
  <c r="J52" i="38" a="1"/>
  <c r="J52" i="38" s="1"/>
  <c r="J51" i="38" a="1"/>
  <c r="J51" i="38" s="1"/>
  <c r="J50" i="38" a="1"/>
  <c r="J50" i="38" s="1"/>
  <c r="J49" i="38" a="1"/>
  <c r="J49" i="38" s="1"/>
  <c r="J48" i="38" a="1"/>
  <c r="J48" i="38" s="1"/>
  <c r="J47" i="38" a="1"/>
  <c r="J47" i="38" s="1"/>
  <c r="J46" i="38" a="1"/>
  <c r="J46" i="38" s="1"/>
  <c r="J45" i="38" a="1"/>
  <c r="J45" i="38" s="1"/>
  <c r="I2" i="38"/>
  <c r="H2" i="38" s="1"/>
  <c r="G2" i="38" s="1"/>
  <c r="F2" i="38" s="1"/>
  <c r="E2" i="38" s="1"/>
  <c r="D2" i="38" s="1"/>
  <c r="C2" i="38" s="1"/>
  <c r="C3" i="38" s="1" a="1"/>
  <c r="C3" i="38" s="1"/>
  <c r="I16" i="38"/>
  <c r="H16" i="38" s="1"/>
  <c r="G16" i="38" s="1"/>
  <c r="F16" i="38" s="1"/>
  <c r="E16" i="38" s="1"/>
  <c r="D16" i="38" s="1"/>
  <c r="C16" i="38" s="1"/>
  <c r="C19" i="38" s="1" a="1"/>
  <c r="C19" i="38" s="1"/>
  <c r="I44" i="38"/>
  <c r="I46" i="38" s="1" a="1"/>
  <c r="I46" i="38" s="1"/>
  <c r="J71" i="38" a="1"/>
  <c r="J71" i="38" s="1"/>
  <c r="J70" i="38" a="1"/>
  <c r="J70" i="38" s="1"/>
  <c r="J69" i="38" a="1"/>
  <c r="J69" i="38" s="1"/>
  <c r="J68" i="38" a="1"/>
  <c r="J68" i="38" s="1"/>
  <c r="J67" i="38" a="1"/>
  <c r="J67" i="38" s="1"/>
  <c r="J66" i="38" a="1"/>
  <c r="J66" i="38" s="1"/>
  <c r="J65" i="38" a="1"/>
  <c r="J65" i="38" s="1"/>
  <c r="J64" i="38" a="1"/>
  <c r="J64" i="38" s="1"/>
  <c r="J63" i="38" a="1"/>
  <c r="J63" i="38" s="1"/>
  <c r="J62" i="38" a="1"/>
  <c r="J62" i="38" s="1"/>
  <c r="I60" i="38" a="1"/>
  <c r="I60" i="38" s="1"/>
  <c r="J61" i="38" a="1"/>
  <c r="J61" i="38" s="1"/>
  <c r="J60" i="38" a="1"/>
  <c r="J60" i="38" s="1"/>
  <c r="H59" i="38"/>
  <c r="G59" i="38" s="1"/>
  <c r="F59" i="38" s="1"/>
  <c r="E59" i="38" s="1"/>
  <c r="D59" i="38" s="1"/>
  <c r="C59" i="38" s="1"/>
  <c r="C61" i="38" s="1" a="1"/>
  <c r="C61" i="38" s="1"/>
  <c r="I59" i="38"/>
  <c r="I71" i="38" s="1" a="1"/>
  <c r="I71" i="38" s="1"/>
  <c r="I103" i="38" a="1"/>
  <c r="I103" i="38" s="1"/>
  <c r="H103" i="38" a="1"/>
  <c r="H103" i="38" s="1"/>
  <c r="G103" i="38" a="1"/>
  <c r="G103" i="38" s="1"/>
  <c r="F103" i="38" a="1"/>
  <c r="F103" i="38" s="1"/>
  <c r="E103" i="38" a="1"/>
  <c r="E103" i="38" s="1"/>
  <c r="D103" i="38" a="1"/>
  <c r="D103" i="38" s="1"/>
  <c r="C103" i="38" a="1"/>
  <c r="C103" i="38" s="1"/>
  <c r="J103" i="38" a="1"/>
  <c r="J103" i="38" s="1"/>
  <c r="J78" i="38" a="1"/>
  <c r="J78" i="38" s="1"/>
  <c r="I78" i="38" a="1"/>
  <c r="I78" i="38" s="1"/>
  <c r="H78" i="38" a="1"/>
  <c r="H78" i="38" s="1"/>
  <c r="G78" i="38" a="1"/>
  <c r="G78" i="38" s="1"/>
  <c r="F78" i="38" a="1"/>
  <c r="F78" i="38" s="1"/>
  <c r="E78" i="38" a="1"/>
  <c r="E78" i="38" s="1"/>
  <c r="D78" i="38" a="1"/>
  <c r="D78" i="38" s="1"/>
  <c r="C78" i="38" a="1"/>
  <c r="C78" i="38" s="1"/>
  <c r="J100" i="38" a="1"/>
  <c r="J100" i="38" s="1"/>
  <c r="I100" i="38" a="1"/>
  <c r="I100" i="38" s="1"/>
  <c r="H100" i="38" a="1"/>
  <c r="H100" i="38" s="1"/>
  <c r="G100" i="38" a="1"/>
  <c r="G100" i="38" s="1"/>
  <c r="F100" i="38" a="1"/>
  <c r="F100" i="38" s="1"/>
  <c r="E100" i="38" a="1"/>
  <c r="E100" i="38" s="1"/>
  <c r="D100" i="38" a="1"/>
  <c r="D100" i="38" s="1"/>
  <c r="C100" i="38" a="1"/>
  <c r="C100" i="38" s="1"/>
  <c r="J99" i="38" a="1"/>
  <c r="J99" i="38" s="1"/>
  <c r="I99" i="38" a="1"/>
  <c r="I99" i="38" s="1"/>
  <c r="H99" i="38" a="1"/>
  <c r="H99" i="38" s="1"/>
  <c r="G99" i="38" a="1"/>
  <c r="G99" i="38" s="1"/>
  <c r="F99" i="38" a="1"/>
  <c r="F99" i="38" s="1"/>
  <c r="E99" i="38" a="1"/>
  <c r="E99" i="38" s="1"/>
  <c r="D99" i="38" a="1"/>
  <c r="D99" i="38" s="1"/>
  <c r="C99" i="38" a="1"/>
  <c r="C99" i="38" s="1"/>
  <c r="J98" i="38" a="1"/>
  <c r="J98" i="38" s="1"/>
  <c r="I98" i="38" a="1"/>
  <c r="I98" i="38" s="1"/>
  <c r="H98" i="38" a="1"/>
  <c r="H98" i="38" s="1"/>
  <c r="G98" i="38" a="1"/>
  <c r="G98" i="38" s="1"/>
  <c r="F98" i="38" a="1"/>
  <c r="F98" i="38" s="1"/>
  <c r="E98" i="38" a="1"/>
  <c r="E98" i="38" s="1"/>
  <c r="D98" i="38" a="1"/>
  <c r="D98" i="38" s="1"/>
  <c r="C98" i="38" a="1"/>
  <c r="C98" i="38" s="1"/>
  <c r="J97" i="38" a="1"/>
  <c r="J97" i="38" s="1"/>
  <c r="I97" i="38" a="1"/>
  <c r="I97" i="38" s="1"/>
  <c r="H97" i="38" a="1"/>
  <c r="H97" i="38" s="1"/>
  <c r="G97" i="38" a="1"/>
  <c r="G97" i="38" s="1"/>
  <c r="F97" i="38" a="1"/>
  <c r="F97" i="38" s="1"/>
  <c r="E97" i="38" a="1"/>
  <c r="E97" i="38" s="1"/>
  <c r="D97" i="38" a="1"/>
  <c r="D97" i="38" s="1"/>
  <c r="C97" i="38" a="1"/>
  <c r="C97" i="38" s="1"/>
  <c r="J96" i="38" a="1"/>
  <c r="J96" i="38" s="1"/>
  <c r="I96" i="38" a="1"/>
  <c r="I96" i="38" s="1"/>
  <c r="H96" i="38" a="1"/>
  <c r="H96" i="38" s="1"/>
  <c r="G96" i="38" a="1"/>
  <c r="G96" i="38" s="1"/>
  <c r="F96" i="38" a="1"/>
  <c r="F96" i="38" s="1"/>
  <c r="E96" i="38" a="1"/>
  <c r="E96" i="38" s="1"/>
  <c r="D96" i="38" a="1"/>
  <c r="D96" i="38" s="1"/>
  <c r="C96" i="38" a="1"/>
  <c r="C96" i="38" s="1"/>
  <c r="J95" i="38" a="1"/>
  <c r="J95" i="38" s="1"/>
  <c r="I95" i="38" a="1"/>
  <c r="I95" i="38" s="1"/>
  <c r="H95" i="38" a="1"/>
  <c r="H95" i="38" s="1"/>
  <c r="G95" i="38" a="1"/>
  <c r="G95" i="38" s="1"/>
  <c r="F95" i="38" a="1"/>
  <c r="F95" i="38" s="1"/>
  <c r="E95" i="38" a="1"/>
  <c r="E95" i="38" s="1"/>
  <c r="D95" i="38" a="1"/>
  <c r="D95" i="38" s="1"/>
  <c r="C95" i="38" a="1"/>
  <c r="C95" i="38" s="1"/>
  <c r="J94" i="38" a="1"/>
  <c r="J94" i="38" s="1"/>
  <c r="I94" i="38" a="1"/>
  <c r="I94" i="38" s="1"/>
  <c r="H94" i="38" a="1"/>
  <c r="H94" i="38" s="1"/>
  <c r="G94" i="38" a="1"/>
  <c r="G94" i="38" s="1"/>
  <c r="F94" i="38" a="1"/>
  <c r="F94" i="38" s="1"/>
  <c r="E94" i="38" a="1"/>
  <c r="E94" i="38" s="1"/>
  <c r="D94" i="38" a="1"/>
  <c r="D94" i="38" s="1"/>
  <c r="C94" i="38" a="1"/>
  <c r="C94" i="38" s="1"/>
  <c r="J93" i="38" a="1"/>
  <c r="J93" i="38" s="1"/>
  <c r="I93" i="38" a="1"/>
  <c r="I93" i="38" s="1"/>
  <c r="H93" i="38" a="1"/>
  <c r="H93" i="38" s="1"/>
  <c r="G93" i="38" a="1"/>
  <c r="G93" i="38" s="1"/>
  <c r="F93" i="38" a="1"/>
  <c r="F93" i="38" s="1"/>
  <c r="E93" i="38" a="1"/>
  <c r="E93" i="38" s="1"/>
  <c r="D93" i="38" a="1"/>
  <c r="D93" i="38" s="1"/>
  <c r="C93" i="38" a="1"/>
  <c r="C93" i="38" s="1"/>
  <c r="J92" i="38" a="1"/>
  <c r="J92" i="38" s="1"/>
  <c r="I92" i="38" a="1"/>
  <c r="I92" i="38" s="1"/>
  <c r="H92" i="38" a="1"/>
  <c r="H92" i="38" s="1"/>
  <c r="G92" i="38" a="1"/>
  <c r="G92" i="38" s="1"/>
  <c r="F92" i="38" a="1"/>
  <c r="F92" i="38" s="1"/>
  <c r="E92" i="38" a="1"/>
  <c r="E92" i="38" s="1"/>
  <c r="D92" i="38" a="1"/>
  <c r="D92" i="38" s="1"/>
  <c r="C92" i="38" a="1"/>
  <c r="C92" i="38" s="1"/>
  <c r="J91" i="38" a="1"/>
  <c r="J91" i="38" s="1"/>
  <c r="I91" i="38" a="1"/>
  <c r="I91" i="38" s="1"/>
  <c r="H91" i="38" a="1"/>
  <c r="H91" i="38" s="1"/>
  <c r="G91" i="38" a="1"/>
  <c r="G91" i="38" s="1"/>
  <c r="F91" i="38" a="1"/>
  <c r="F91" i="38" s="1"/>
  <c r="E91" i="38" a="1"/>
  <c r="E91" i="38" s="1"/>
  <c r="D91" i="38" a="1"/>
  <c r="D91" i="38" s="1"/>
  <c r="C91" i="38" a="1"/>
  <c r="C91" i="38" s="1"/>
  <c r="J90" i="38" a="1"/>
  <c r="J90" i="38" s="1"/>
  <c r="I90" i="38" a="1"/>
  <c r="I90" i="38" s="1"/>
  <c r="H90" i="38" a="1"/>
  <c r="H90" i="38" s="1"/>
  <c r="G90" i="38" a="1"/>
  <c r="G90" i="38" s="1"/>
  <c r="F90" i="38" a="1"/>
  <c r="F90" i="38" s="1"/>
  <c r="E90" i="38" a="1"/>
  <c r="E90" i="38" s="1"/>
  <c r="D90" i="38" a="1"/>
  <c r="D90" i="38" s="1"/>
  <c r="C90" i="38" a="1"/>
  <c r="C90" i="38" s="1"/>
  <c r="J89" i="38" a="1"/>
  <c r="J89" i="38" s="1"/>
  <c r="I89" i="38" a="1"/>
  <c r="I89" i="38" s="1"/>
  <c r="H89" i="38" a="1"/>
  <c r="H89" i="38" s="1"/>
  <c r="G89" i="38" a="1"/>
  <c r="G89" i="38" s="1"/>
  <c r="F89" i="38" a="1"/>
  <c r="F89" i="38" s="1"/>
  <c r="E89" i="38" a="1"/>
  <c r="E89" i="38" s="1"/>
  <c r="D89" i="38" a="1"/>
  <c r="D89" i="38" s="1"/>
  <c r="C89" i="38" a="1"/>
  <c r="C89" i="38" s="1"/>
  <c r="J88" i="38" a="1"/>
  <c r="J88" i="38" s="1"/>
  <c r="I88" i="38" a="1"/>
  <c r="I88" i="38" s="1"/>
  <c r="H88" i="38" a="1"/>
  <c r="H88" i="38" s="1"/>
  <c r="G88" i="38" a="1"/>
  <c r="G88" i="38" s="1"/>
  <c r="F88" i="38" a="1"/>
  <c r="F88" i="38" s="1"/>
  <c r="E88" i="38" a="1"/>
  <c r="E88" i="38" s="1"/>
  <c r="D88" i="38" a="1"/>
  <c r="D88" i="38" s="1"/>
  <c r="C88" i="38" a="1"/>
  <c r="C88" i="38" s="1"/>
  <c r="J87" i="38" a="1"/>
  <c r="J87" i="38" s="1"/>
  <c r="I87" i="38" a="1"/>
  <c r="I87" i="38" s="1"/>
  <c r="H87" i="38" a="1"/>
  <c r="H87" i="38" s="1"/>
  <c r="G87" i="38" a="1"/>
  <c r="G87" i="38" s="1"/>
  <c r="F87" i="38" a="1"/>
  <c r="F87" i="38" s="1"/>
  <c r="E87" i="38" a="1"/>
  <c r="E87" i="38" s="1"/>
  <c r="D87" i="38" a="1"/>
  <c r="D87" i="38" s="1"/>
  <c r="C87" i="38" a="1"/>
  <c r="C87" i="38" s="1"/>
  <c r="J86" i="38" a="1"/>
  <c r="J86" i="38" s="1"/>
  <c r="I86" i="38" a="1"/>
  <c r="I86" i="38" s="1"/>
  <c r="H86" i="38" a="1"/>
  <c r="H86" i="38" s="1"/>
  <c r="G86" i="38" a="1"/>
  <c r="G86" i="38" s="1"/>
  <c r="F86" i="38" a="1"/>
  <c r="F86" i="38" s="1"/>
  <c r="E86" i="38" a="1"/>
  <c r="E86" i="38" s="1"/>
  <c r="D86" i="38" a="1"/>
  <c r="D86" i="38" s="1"/>
  <c r="C86" i="38" a="1"/>
  <c r="C86" i="38" s="1"/>
  <c r="J85" i="38" a="1"/>
  <c r="J85" i="38" s="1"/>
  <c r="I85" i="38" a="1"/>
  <c r="I85" i="38" s="1"/>
  <c r="H85" i="38" a="1"/>
  <c r="H85" i="38" s="1"/>
  <c r="G85" i="38" a="1"/>
  <c r="G85" i="38" s="1"/>
  <c r="F85" i="38" a="1"/>
  <c r="F85" i="38" s="1"/>
  <c r="E85" i="38" a="1"/>
  <c r="E85" i="38" s="1"/>
  <c r="D85" i="38" a="1"/>
  <c r="D85" i="38" s="1"/>
  <c r="C85" i="38" a="1"/>
  <c r="C85" i="38" s="1"/>
  <c r="J84" i="38" a="1"/>
  <c r="J84" i="38" s="1"/>
  <c r="I84" i="38" a="1"/>
  <c r="I84" i="38" s="1"/>
  <c r="H84" i="38" a="1"/>
  <c r="H84" i="38" s="1"/>
  <c r="G84" i="38" a="1"/>
  <c r="G84" i="38" s="1"/>
  <c r="F84" i="38" a="1"/>
  <c r="F84" i="38" s="1"/>
  <c r="E84" i="38" a="1"/>
  <c r="E84" i="38" s="1"/>
  <c r="D84" i="38" a="1"/>
  <c r="D84" i="38" s="1"/>
  <c r="C84" i="38" a="1"/>
  <c r="C84" i="38" s="1"/>
  <c r="J83" i="38" a="1"/>
  <c r="J83" i="38" s="1"/>
  <c r="I83" i="38" a="1"/>
  <c r="I83" i="38" s="1"/>
  <c r="H83" i="38" a="1"/>
  <c r="H83" i="38" s="1"/>
  <c r="G83" i="38" a="1"/>
  <c r="G83" i="38" s="1"/>
  <c r="F83" i="38" a="1"/>
  <c r="F83" i="38" s="1"/>
  <c r="E83" i="38" a="1"/>
  <c r="E83" i="38" s="1"/>
  <c r="D83" i="38" a="1"/>
  <c r="D83" i="38" s="1"/>
  <c r="C83" i="38" a="1"/>
  <c r="C83" i="38" s="1"/>
  <c r="J82" i="38" a="1"/>
  <c r="J82" i="38" s="1"/>
  <c r="I82" i="38" a="1"/>
  <c r="I82" i="38" s="1"/>
  <c r="H82" i="38" a="1"/>
  <c r="H82" i="38" s="1"/>
  <c r="G82" i="38" a="1"/>
  <c r="G82" i="38" s="1"/>
  <c r="F82" i="38" a="1"/>
  <c r="F82" i="38" s="1"/>
  <c r="E82" i="38" a="1"/>
  <c r="E82" i="38" s="1"/>
  <c r="D82" i="38" a="1"/>
  <c r="D82" i="38" s="1"/>
  <c r="C82" i="38" a="1"/>
  <c r="C82" i="38" s="1"/>
  <c r="J81" i="38" a="1"/>
  <c r="J81" i="38" s="1"/>
  <c r="I81" i="38" a="1"/>
  <c r="I81" i="38" s="1"/>
  <c r="H81" i="38" a="1"/>
  <c r="H81" i="38" s="1"/>
  <c r="G81" i="38" a="1"/>
  <c r="G81" i="38" s="1"/>
  <c r="F81" i="38" a="1"/>
  <c r="F81" i="38" s="1"/>
  <c r="E81" i="38" a="1"/>
  <c r="E81" i="38" s="1"/>
  <c r="D81" i="38" a="1"/>
  <c r="D81" i="38" s="1"/>
  <c r="C81" i="38" a="1"/>
  <c r="C81" i="38" s="1"/>
  <c r="J80" i="38" a="1"/>
  <c r="J80" i="38" s="1"/>
  <c r="I80" i="38" a="1"/>
  <c r="I80" i="38" s="1"/>
  <c r="H80" i="38" a="1"/>
  <c r="H80" i="38" s="1"/>
  <c r="G80" i="38" a="1"/>
  <c r="G80" i="38" s="1"/>
  <c r="F80" i="38" a="1"/>
  <c r="F80" i="38" s="1"/>
  <c r="E80" i="38" a="1"/>
  <c r="E80" i="38" s="1"/>
  <c r="D80" i="38" a="1"/>
  <c r="D80" i="38" s="1"/>
  <c r="C80" i="38" a="1"/>
  <c r="C80" i="38" s="1"/>
  <c r="I79" i="38" a="1"/>
  <c r="I79" i="38" s="1"/>
  <c r="H79" i="38" a="1"/>
  <c r="H79" i="38" s="1"/>
  <c r="G79" i="38" a="1"/>
  <c r="G79" i="38" s="1"/>
  <c r="F79" i="38" a="1"/>
  <c r="F79" i="38" s="1"/>
  <c r="E79" i="38" a="1"/>
  <c r="E79" i="38" s="1"/>
  <c r="D79" i="38" a="1"/>
  <c r="D79" i="38" s="1"/>
  <c r="C79" i="38" a="1"/>
  <c r="C79" i="38" s="1"/>
  <c r="J79" i="38" a="1"/>
  <c r="J79" i="38" s="1"/>
  <c r="J125" i="38" a="1"/>
  <c r="J125" i="38" s="1"/>
  <c r="I125" i="38" a="1"/>
  <c r="I125" i="38" s="1"/>
  <c r="H125" i="38" a="1"/>
  <c r="H125" i="38" s="1"/>
  <c r="G125" i="38" a="1"/>
  <c r="G125" i="38" s="1"/>
  <c r="F125" i="38" a="1"/>
  <c r="F125" i="38" s="1"/>
  <c r="E125" i="38" a="1"/>
  <c r="E125" i="38" s="1"/>
  <c r="D125" i="38" a="1"/>
  <c r="D125" i="38" s="1"/>
  <c r="C125" i="38" a="1"/>
  <c r="C125" i="38" s="1"/>
  <c r="J124" i="38" a="1"/>
  <c r="J124" i="38" s="1"/>
  <c r="I124" i="38" a="1"/>
  <c r="I124" i="38" s="1"/>
  <c r="H124" i="38" a="1"/>
  <c r="H124" i="38" s="1"/>
  <c r="G124" i="38" a="1"/>
  <c r="G124" i="38" s="1"/>
  <c r="F124" i="38" a="1"/>
  <c r="F124" i="38" s="1"/>
  <c r="E124" i="38" a="1"/>
  <c r="E124" i="38" s="1"/>
  <c r="D124" i="38" a="1"/>
  <c r="D124" i="38" s="1"/>
  <c r="C124" i="38" a="1"/>
  <c r="C124" i="38" s="1"/>
  <c r="J123" i="38" a="1"/>
  <c r="J123" i="38" s="1"/>
  <c r="I123" i="38" a="1"/>
  <c r="I123" i="38" s="1"/>
  <c r="H123" i="38" a="1"/>
  <c r="H123" i="38" s="1"/>
  <c r="G123" i="38" a="1"/>
  <c r="G123" i="38" s="1"/>
  <c r="F123" i="38" a="1"/>
  <c r="F123" i="38" s="1"/>
  <c r="E123" i="38" a="1"/>
  <c r="E123" i="38" s="1"/>
  <c r="D123" i="38" a="1"/>
  <c r="D123" i="38" s="1"/>
  <c r="C123" i="38" a="1"/>
  <c r="C123" i="38" s="1"/>
  <c r="J122" i="38" a="1"/>
  <c r="J122" i="38" s="1"/>
  <c r="I122" i="38" a="1"/>
  <c r="I122" i="38" s="1"/>
  <c r="H122" i="38" a="1"/>
  <c r="H122" i="38" s="1"/>
  <c r="G122" i="38" a="1"/>
  <c r="G122" i="38" s="1"/>
  <c r="F122" i="38" a="1"/>
  <c r="F122" i="38" s="1"/>
  <c r="E122" i="38" a="1"/>
  <c r="E122" i="38" s="1"/>
  <c r="D122" i="38" a="1"/>
  <c r="D122" i="38" s="1"/>
  <c r="C122" i="38" a="1"/>
  <c r="C122" i="38" s="1"/>
  <c r="J121" i="38" a="1"/>
  <c r="J121" i="38" s="1"/>
  <c r="I121" i="38" a="1"/>
  <c r="I121" i="38" s="1"/>
  <c r="H121" i="38" a="1"/>
  <c r="H121" i="38" s="1"/>
  <c r="G121" i="38" a="1"/>
  <c r="G121" i="38" s="1"/>
  <c r="F121" i="38" a="1"/>
  <c r="F121" i="38" s="1"/>
  <c r="E121" i="38" a="1"/>
  <c r="E121" i="38" s="1"/>
  <c r="D121" i="38" a="1"/>
  <c r="D121" i="38" s="1"/>
  <c r="C121" i="38" a="1"/>
  <c r="C121" i="38" s="1"/>
  <c r="J120" i="38" a="1"/>
  <c r="J120" i="38" s="1"/>
  <c r="I120" i="38" a="1"/>
  <c r="I120" i="38" s="1"/>
  <c r="H120" i="38" a="1"/>
  <c r="H120" i="38" s="1"/>
  <c r="G120" i="38" a="1"/>
  <c r="G120" i="38" s="1"/>
  <c r="F120" i="38" a="1"/>
  <c r="F120" i="38" s="1"/>
  <c r="E120" i="38" a="1"/>
  <c r="E120" i="38" s="1"/>
  <c r="D120" i="38" a="1"/>
  <c r="D120" i="38" s="1"/>
  <c r="C120" i="38" a="1"/>
  <c r="C120" i="38" s="1"/>
  <c r="J119" i="38" a="1"/>
  <c r="J119" i="38" s="1"/>
  <c r="I119" i="38" a="1"/>
  <c r="I119" i="38" s="1"/>
  <c r="H119" i="38" a="1"/>
  <c r="H119" i="38" s="1"/>
  <c r="G119" i="38" a="1"/>
  <c r="G119" i="38" s="1"/>
  <c r="F119" i="38" a="1"/>
  <c r="F119" i="38" s="1"/>
  <c r="E119" i="38" a="1"/>
  <c r="E119" i="38" s="1"/>
  <c r="D119" i="38" a="1"/>
  <c r="D119" i="38" s="1"/>
  <c r="C119" i="38" a="1"/>
  <c r="C119" i="38" s="1"/>
  <c r="J118" i="38" a="1"/>
  <c r="J118" i="38" s="1"/>
  <c r="I118" i="38" a="1"/>
  <c r="I118" i="38" s="1"/>
  <c r="H118" i="38" a="1"/>
  <c r="H118" i="38" s="1"/>
  <c r="G118" i="38" a="1"/>
  <c r="G118" i="38" s="1"/>
  <c r="F118" i="38" a="1"/>
  <c r="F118" i="38" s="1"/>
  <c r="E118" i="38" a="1"/>
  <c r="E118" i="38" s="1"/>
  <c r="D118" i="38" a="1"/>
  <c r="D118" i="38" s="1"/>
  <c r="C118" i="38" a="1"/>
  <c r="C118" i="38" s="1"/>
  <c r="J117" i="38" a="1"/>
  <c r="J117" i="38" s="1"/>
  <c r="I117" i="38" a="1"/>
  <c r="I117" i="38" s="1"/>
  <c r="H117" i="38" a="1"/>
  <c r="H117" i="38" s="1"/>
  <c r="G117" i="38" a="1"/>
  <c r="G117" i="38" s="1"/>
  <c r="F117" i="38" a="1"/>
  <c r="F117" i="38" s="1"/>
  <c r="E117" i="38" a="1"/>
  <c r="E117" i="38" s="1"/>
  <c r="D117" i="38" a="1"/>
  <c r="D117" i="38" s="1"/>
  <c r="C117" i="38" a="1"/>
  <c r="C117" i="38" s="1"/>
  <c r="J116" i="38" a="1"/>
  <c r="J116" i="38" s="1"/>
  <c r="I116" i="38" a="1"/>
  <c r="I116" i="38" s="1"/>
  <c r="H116" i="38" a="1"/>
  <c r="H116" i="38" s="1"/>
  <c r="G116" i="38" a="1"/>
  <c r="G116" i="38" s="1"/>
  <c r="F116" i="38" a="1"/>
  <c r="F116" i="38" s="1"/>
  <c r="E116" i="38" a="1"/>
  <c r="E116" i="38" s="1"/>
  <c r="D116" i="38" a="1"/>
  <c r="D116" i="38" s="1"/>
  <c r="C116" i="38" a="1"/>
  <c r="C116" i="38" s="1"/>
  <c r="J115" i="38" a="1"/>
  <c r="J115" i="38" s="1"/>
  <c r="I115" i="38" a="1"/>
  <c r="I115" i="38" s="1"/>
  <c r="H115" i="38" a="1"/>
  <c r="H115" i="38" s="1"/>
  <c r="G115" i="38" a="1"/>
  <c r="G115" i="38" s="1"/>
  <c r="F115" i="38" a="1"/>
  <c r="F115" i="38" s="1"/>
  <c r="E115" i="38" a="1"/>
  <c r="E115" i="38" s="1"/>
  <c r="D115" i="38" a="1"/>
  <c r="D115" i="38" s="1"/>
  <c r="C115" i="38" a="1"/>
  <c r="C115" i="38" s="1"/>
  <c r="J114" i="38" a="1"/>
  <c r="J114" i="38" s="1"/>
  <c r="I114" i="38" a="1"/>
  <c r="I114" i="38" s="1"/>
  <c r="H114" i="38" a="1"/>
  <c r="H114" i="38" s="1"/>
  <c r="G114" i="38" a="1"/>
  <c r="G114" i="38" s="1"/>
  <c r="F114" i="38" a="1"/>
  <c r="F114" i="38" s="1"/>
  <c r="E114" i="38" a="1"/>
  <c r="E114" i="38" s="1"/>
  <c r="D114" i="38" a="1"/>
  <c r="D114" i="38" s="1"/>
  <c r="C114" i="38" a="1"/>
  <c r="C114" i="38" s="1"/>
  <c r="J113" i="38" a="1"/>
  <c r="J113" i="38" s="1"/>
  <c r="I113" i="38" a="1"/>
  <c r="I113" i="38" s="1"/>
  <c r="H113" i="38" a="1"/>
  <c r="H113" i="38" s="1"/>
  <c r="G113" i="38" a="1"/>
  <c r="G113" i="38" s="1"/>
  <c r="F113" i="38" a="1"/>
  <c r="F113" i="38" s="1"/>
  <c r="E113" i="38" a="1"/>
  <c r="E113" i="38" s="1"/>
  <c r="D113" i="38" a="1"/>
  <c r="D113" i="38" s="1"/>
  <c r="C113" i="38" a="1"/>
  <c r="C113" i="38" s="1"/>
  <c r="J112" i="38" a="1"/>
  <c r="J112" i="38" s="1"/>
  <c r="I112" i="38" a="1"/>
  <c r="I112" i="38" s="1"/>
  <c r="H112" i="38" a="1"/>
  <c r="H112" i="38" s="1"/>
  <c r="G112" i="38" a="1"/>
  <c r="G112" i="38" s="1"/>
  <c r="F112" i="38" a="1"/>
  <c r="F112" i="38" s="1"/>
  <c r="E112" i="38" a="1"/>
  <c r="E112" i="38" s="1"/>
  <c r="D112" i="38" a="1"/>
  <c r="D112" i="38" s="1"/>
  <c r="C112" i="38" a="1"/>
  <c r="C112" i="38" s="1"/>
  <c r="J111" i="38" a="1"/>
  <c r="J111" i="38" s="1"/>
  <c r="I111" i="38" a="1"/>
  <c r="I111" i="38" s="1"/>
  <c r="H111" i="38" a="1"/>
  <c r="H111" i="38" s="1"/>
  <c r="G111" i="38" a="1"/>
  <c r="G111" i="38" s="1"/>
  <c r="F111" i="38" a="1"/>
  <c r="F111" i="38" s="1"/>
  <c r="E111" i="38" a="1"/>
  <c r="E111" i="38" s="1"/>
  <c r="D111" i="38" a="1"/>
  <c r="D111" i="38" s="1"/>
  <c r="C111" i="38" a="1"/>
  <c r="C111" i="38" s="1"/>
  <c r="J110" i="38" a="1"/>
  <c r="J110" i="38" s="1"/>
  <c r="I110" i="38" a="1"/>
  <c r="I110" i="38" s="1"/>
  <c r="H110" i="38" a="1"/>
  <c r="H110" i="38" s="1"/>
  <c r="G110" i="38" a="1"/>
  <c r="G110" i="38" s="1"/>
  <c r="F110" i="38" a="1"/>
  <c r="F110" i="38" s="1"/>
  <c r="E110" i="38" a="1"/>
  <c r="E110" i="38" s="1"/>
  <c r="D110" i="38" a="1"/>
  <c r="D110" i="38" s="1"/>
  <c r="C110" i="38" a="1"/>
  <c r="C110" i="38" s="1"/>
  <c r="J109" i="38" a="1"/>
  <c r="J109" i="38" s="1"/>
  <c r="I109" i="38" a="1"/>
  <c r="I109" i="38" s="1"/>
  <c r="H109" i="38" a="1"/>
  <c r="H109" i="38" s="1"/>
  <c r="G109" i="38" a="1"/>
  <c r="G109" i="38" s="1"/>
  <c r="F109" i="38" a="1"/>
  <c r="F109" i="38" s="1"/>
  <c r="E109" i="38" a="1"/>
  <c r="E109" i="38" s="1"/>
  <c r="D109" i="38" a="1"/>
  <c r="D109" i="38" s="1"/>
  <c r="C109" i="38" a="1"/>
  <c r="C109" i="38" s="1"/>
  <c r="J108" i="38" a="1"/>
  <c r="J108" i="38" s="1"/>
  <c r="I108" i="38" a="1"/>
  <c r="I108" i="38" s="1"/>
  <c r="H108" i="38" a="1"/>
  <c r="H108" i="38" s="1"/>
  <c r="G108" i="38" a="1"/>
  <c r="G108" i="38" s="1"/>
  <c r="F108" i="38" a="1"/>
  <c r="F108" i="38" s="1"/>
  <c r="E108" i="38" a="1"/>
  <c r="E108" i="38" s="1"/>
  <c r="D108" i="38" a="1"/>
  <c r="D108" i="38" s="1"/>
  <c r="C108" i="38" a="1"/>
  <c r="C108" i="38" s="1"/>
  <c r="J107" i="38" a="1"/>
  <c r="J107" i="38" s="1"/>
  <c r="I107" i="38" a="1"/>
  <c r="I107" i="38" s="1"/>
  <c r="H107" i="38" a="1"/>
  <c r="H107" i="38" s="1"/>
  <c r="G107" i="38" a="1"/>
  <c r="G107" i="38" s="1"/>
  <c r="F107" i="38" a="1"/>
  <c r="F107" i="38" s="1"/>
  <c r="E107" i="38" a="1"/>
  <c r="E107" i="38" s="1"/>
  <c r="D107" i="38" a="1"/>
  <c r="D107" i="38" s="1"/>
  <c r="C107" i="38" a="1"/>
  <c r="C107" i="38" s="1"/>
  <c r="J106" i="38" a="1"/>
  <c r="J106" i="38" s="1"/>
  <c r="I106" i="38" a="1"/>
  <c r="I106" i="38" s="1"/>
  <c r="H106" i="38" a="1"/>
  <c r="H106" i="38" s="1"/>
  <c r="G106" i="38" a="1"/>
  <c r="G106" i="38" s="1"/>
  <c r="F106" i="38" a="1"/>
  <c r="F106" i="38" s="1"/>
  <c r="E106" i="38" a="1"/>
  <c r="E106" i="38" s="1"/>
  <c r="D106" i="38" a="1"/>
  <c r="D106" i="38" s="1"/>
  <c r="C106" i="38" a="1"/>
  <c r="C106" i="38" s="1"/>
  <c r="J105" i="38" a="1"/>
  <c r="J105" i="38" s="1"/>
  <c r="I105" i="38" a="1"/>
  <c r="I105" i="38" s="1"/>
  <c r="H105" i="38" a="1"/>
  <c r="H105" i="38" s="1"/>
  <c r="G105" i="38" a="1"/>
  <c r="G105" i="38" s="1"/>
  <c r="F105" i="38" a="1"/>
  <c r="F105" i="38" s="1"/>
  <c r="E105" i="38" a="1"/>
  <c r="E105" i="38" s="1"/>
  <c r="D105" i="38" a="1"/>
  <c r="D105" i="38" s="1"/>
  <c r="C105" i="38" a="1"/>
  <c r="C105" i="38" s="1"/>
  <c r="I104" i="38" a="1"/>
  <c r="I104" i="38" s="1"/>
  <c r="H104" i="38" a="1"/>
  <c r="H104" i="38" s="1"/>
  <c r="G104" i="38" a="1"/>
  <c r="G104" i="38" s="1"/>
  <c r="F104" i="38" a="1"/>
  <c r="F104" i="38" s="1"/>
  <c r="E104" i="38" a="1"/>
  <c r="E104" i="38" s="1"/>
  <c r="D104" i="38" a="1"/>
  <c r="D104" i="38" s="1"/>
  <c r="C104" i="38" a="1"/>
  <c r="C104" i="38" s="1"/>
  <c r="J104" i="38" a="1"/>
  <c r="J104" i="38" s="1"/>
  <c r="NH37" i="17"/>
  <c r="NG37" i="17"/>
  <c r="NF37" i="17"/>
  <c r="NE37" i="17"/>
  <c r="ND37" i="17"/>
  <c r="NH36" i="17"/>
  <c r="NG36" i="17"/>
  <c r="NF36" i="17"/>
  <c r="NE36" i="17"/>
  <c r="ND36" i="17"/>
  <c r="NH35" i="17"/>
  <c r="NG35" i="17"/>
  <c r="NF35" i="17"/>
  <c r="NE35" i="17"/>
  <c r="ND35" i="17"/>
  <c r="NH34" i="17"/>
  <c r="NG34" i="17"/>
  <c r="NF34" i="17"/>
  <c r="NE34" i="17"/>
  <c r="ND34" i="17"/>
  <c r="NH33" i="17"/>
  <c r="NG33" i="17"/>
  <c r="NF33" i="17"/>
  <c r="NE33" i="17"/>
  <c r="ND33" i="17"/>
  <c r="NH32" i="17"/>
  <c r="NG32" i="17"/>
  <c r="NF32" i="17"/>
  <c r="NE32" i="17"/>
  <c r="ND32" i="17"/>
  <c r="NH31" i="17"/>
  <c r="NG31" i="17"/>
  <c r="NF31" i="17"/>
  <c r="NE31" i="17"/>
  <c r="ND31" i="17"/>
  <c r="NH30" i="17"/>
  <c r="NG30" i="17"/>
  <c r="NF30" i="17"/>
  <c r="NE30" i="17"/>
  <c r="ND30" i="17"/>
  <c r="NH29" i="17"/>
  <c r="NG29" i="17"/>
  <c r="NF29" i="17"/>
  <c r="NE29" i="17"/>
  <c r="ND29" i="17"/>
  <c r="NH28" i="17"/>
  <c r="NG28" i="17"/>
  <c r="NF28" i="17"/>
  <c r="NE28" i="17"/>
  <c r="ND28" i="17"/>
  <c r="NH27" i="17"/>
  <c r="NG27" i="17"/>
  <c r="NF27" i="17"/>
  <c r="NE27" i="17"/>
  <c r="ND27" i="17"/>
  <c r="NH26" i="17"/>
  <c r="NG26" i="17"/>
  <c r="NF26" i="17"/>
  <c r="NE26" i="17"/>
  <c r="ND26" i="17"/>
  <c r="NH25" i="17"/>
  <c r="NG25" i="17"/>
  <c r="NF25" i="17"/>
  <c r="NE25" i="17"/>
  <c r="ND25" i="17"/>
  <c r="NH24" i="17"/>
  <c r="NG24" i="17"/>
  <c r="NF24" i="17"/>
  <c r="NE24" i="17"/>
  <c r="ND24" i="17"/>
  <c r="NH23" i="17"/>
  <c r="NG23" i="17"/>
  <c r="NF23" i="17"/>
  <c r="NE23" i="17"/>
  <c r="ND23" i="17"/>
  <c r="NH22" i="17"/>
  <c r="NG22" i="17"/>
  <c r="NF22" i="17"/>
  <c r="NE22" i="17"/>
  <c r="ND22" i="17"/>
  <c r="NH21" i="17"/>
  <c r="NG21" i="17"/>
  <c r="NF21" i="17"/>
  <c r="NE21" i="17"/>
  <c r="ND21" i="17"/>
  <c r="NH20" i="17"/>
  <c r="NG20" i="17"/>
  <c r="NF20" i="17"/>
  <c r="NE20" i="17"/>
  <c r="ND20" i="17"/>
  <c r="NH19" i="17"/>
  <c r="NG19" i="17"/>
  <c r="NF19" i="17"/>
  <c r="NE19" i="17"/>
  <c r="ND19" i="17"/>
  <c r="NH18" i="17"/>
  <c r="NG18" i="17"/>
  <c r="NF18" i="17"/>
  <c r="NE18" i="17"/>
  <c r="ND18" i="17"/>
  <c r="NH17" i="17"/>
  <c r="NG17" i="17"/>
  <c r="NF17" i="17"/>
  <c r="NE17" i="17"/>
  <c r="ND17" i="17"/>
  <c r="NH16" i="17"/>
  <c r="NG16" i="17"/>
  <c r="NF16" i="17"/>
  <c r="NE16" i="17"/>
  <c r="ND16" i="17"/>
  <c r="NH15" i="17"/>
  <c r="NG15" i="17"/>
  <c r="NF15" i="17"/>
  <c r="NE15" i="17"/>
  <c r="ND15" i="17"/>
  <c r="NH14" i="17"/>
  <c r="NG14" i="17"/>
  <c r="NF14" i="17"/>
  <c r="NE14" i="17"/>
  <c r="ND14" i="17"/>
  <c r="NH13" i="17"/>
  <c r="NG13" i="17"/>
  <c r="NF13" i="17"/>
  <c r="NE13" i="17"/>
  <c r="ND13" i="17"/>
  <c r="NH12" i="17"/>
  <c r="NG12" i="17"/>
  <c r="NF12" i="17"/>
  <c r="NE12" i="17"/>
  <c r="ND12" i="17"/>
  <c r="NG11" i="17"/>
  <c r="NF11" i="17"/>
  <c r="NE11" i="17"/>
  <c r="ND11" i="17"/>
  <c r="NH11" i="17"/>
  <c r="I5" i="19"/>
  <c r="H5" i="19"/>
  <c r="E3" i="38" l="1" a="1"/>
  <c r="E3" i="38" s="1"/>
  <c r="I3" i="38" a="1"/>
  <c r="I3" i="38" s="1"/>
  <c r="F4" i="38" a="1"/>
  <c r="F4" i="38" s="1"/>
  <c r="C5" i="38" a="1"/>
  <c r="C5" i="38" s="1"/>
  <c r="G5" i="38" a="1"/>
  <c r="G5" i="38" s="1"/>
  <c r="C6" i="38" a="1"/>
  <c r="C6" i="38" s="1"/>
  <c r="G6" i="38" a="1"/>
  <c r="G6" i="38" s="1"/>
  <c r="C7" i="38" a="1"/>
  <c r="C7" i="38" s="1"/>
  <c r="G7" i="38" a="1"/>
  <c r="G7" i="38" s="1"/>
  <c r="C8" i="38" a="1"/>
  <c r="C8" i="38" s="1"/>
  <c r="G8" i="38" a="1"/>
  <c r="G8" i="38" s="1"/>
  <c r="C9" i="38" a="1"/>
  <c r="C9" i="38" s="1"/>
  <c r="G9" i="38" a="1"/>
  <c r="G9" i="38" s="1"/>
  <c r="C10" i="38" a="1"/>
  <c r="C10" i="38" s="1"/>
  <c r="G10" i="38" a="1"/>
  <c r="G10" i="38" s="1"/>
  <c r="C11" i="38" a="1"/>
  <c r="C11" i="38" s="1"/>
  <c r="G11" i="38" a="1"/>
  <c r="G11" i="38" s="1"/>
  <c r="C12" i="38" a="1"/>
  <c r="C12" i="38" s="1"/>
  <c r="G12" i="38" a="1"/>
  <c r="G12" i="38" s="1"/>
  <c r="C13" i="38" a="1"/>
  <c r="C13" i="38" s="1"/>
  <c r="G13" i="38" a="1"/>
  <c r="G13" i="38" s="1"/>
  <c r="C14" i="38" a="1"/>
  <c r="C14" i="38" s="1"/>
  <c r="G14" i="38" a="1"/>
  <c r="G14" i="38" s="1"/>
  <c r="F3" i="38" a="1"/>
  <c r="F3" i="38" s="1"/>
  <c r="C4" i="38" a="1"/>
  <c r="C4" i="38" s="1"/>
  <c r="G4" i="38" a="1"/>
  <c r="G4" i="38" s="1"/>
  <c r="D5" i="38" a="1"/>
  <c r="D5" i="38" s="1"/>
  <c r="H5" i="38" a="1"/>
  <c r="H5" i="38" s="1"/>
  <c r="D6" i="38" a="1"/>
  <c r="D6" i="38" s="1"/>
  <c r="H6" i="38" a="1"/>
  <c r="H6" i="38" s="1"/>
  <c r="D7" i="38" a="1"/>
  <c r="D7" i="38" s="1"/>
  <c r="H7" i="38" a="1"/>
  <c r="H7" i="38" s="1"/>
  <c r="D8" i="38" a="1"/>
  <c r="D8" i="38" s="1"/>
  <c r="H8" i="38" a="1"/>
  <c r="H8" i="38" s="1"/>
  <c r="D9" i="38" a="1"/>
  <c r="D9" i="38" s="1"/>
  <c r="H9" i="38" a="1"/>
  <c r="H9" i="38" s="1"/>
  <c r="D10" i="38" a="1"/>
  <c r="D10" i="38" s="1"/>
  <c r="H10" i="38" a="1"/>
  <c r="H10" i="38" s="1"/>
  <c r="D11" i="38" a="1"/>
  <c r="D11" i="38" s="1"/>
  <c r="H11" i="38" a="1"/>
  <c r="H11" i="38" s="1"/>
  <c r="D12" i="38" a="1"/>
  <c r="D12" i="38" s="1"/>
  <c r="H12" i="38" a="1"/>
  <c r="H12" i="38" s="1"/>
  <c r="D13" i="38" a="1"/>
  <c r="D13" i="38" s="1"/>
  <c r="H13" i="38" a="1"/>
  <c r="H13" i="38" s="1"/>
  <c r="D14" i="38" a="1"/>
  <c r="D14" i="38" s="1"/>
  <c r="H14" i="38" a="1"/>
  <c r="H14" i="38" s="1"/>
  <c r="D61" i="38" a="1"/>
  <c r="D61" i="38" s="1"/>
  <c r="H30" i="38"/>
  <c r="G30" i="38" s="1"/>
  <c r="G3" i="38" a="1"/>
  <c r="G3" i="38" s="1"/>
  <c r="D4" i="38" a="1"/>
  <c r="D4" i="38" s="1"/>
  <c r="H4" i="38" a="1"/>
  <c r="H4" i="38" s="1"/>
  <c r="E5" i="38" a="1"/>
  <c r="E5" i="38" s="1"/>
  <c r="I5" i="38" a="1"/>
  <c r="I5" i="38" s="1"/>
  <c r="E6" i="38" a="1"/>
  <c r="E6" i="38" s="1"/>
  <c r="I6" i="38" a="1"/>
  <c r="I6" i="38" s="1"/>
  <c r="E7" i="38" a="1"/>
  <c r="E7" i="38" s="1"/>
  <c r="I7" i="38" a="1"/>
  <c r="I7" i="38" s="1"/>
  <c r="E8" i="38" a="1"/>
  <c r="E8" i="38" s="1"/>
  <c r="I8" i="38" a="1"/>
  <c r="I8" i="38" s="1"/>
  <c r="E9" i="38" a="1"/>
  <c r="E9" i="38" s="1"/>
  <c r="I9" i="38" a="1"/>
  <c r="I9" i="38" s="1"/>
  <c r="E10" i="38" a="1"/>
  <c r="E10" i="38" s="1"/>
  <c r="I10" i="38" a="1"/>
  <c r="I10" i="38" s="1"/>
  <c r="E11" i="38" a="1"/>
  <c r="E11" i="38" s="1"/>
  <c r="I11" i="38" a="1"/>
  <c r="I11" i="38" s="1"/>
  <c r="E12" i="38" a="1"/>
  <c r="E12" i="38" s="1"/>
  <c r="I12" i="38" a="1"/>
  <c r="I12" i="38" s="1"/>
  <c r="E13" i="38" a="1"/>
  <c r="E13" i="38" s="1"/>
  <c r="I13" i="38" a="1"/>
  <c r="I13" i="38" s="1"/>
  <c r="E14" i="38" a="1"/>
  <c r="E14" i="38" s="1"/>
  <c r="I14" i="38" a="1"/>
  <c r="I14" i="38" s="1"/>
  <c r="D3" i="38" a="1"/>
  <c r="D3" i="38" s="1"/>
  <c r="H3" i="38" a="1"/>
  <c r="H3" i="38" s="1"/>
  <c r="E4" i="38" a="1"/>
  <c r="E4" i="38" s="1"/>
  <c r="I4" i="38" a="1"/>
  <c r="I4" i="38" s="1"/>
  <c r="F5" i="38" a="1"/>
  <c r="F5" i="38" s="1"/>
  <c r="F6" i="38" a="1"/>
  <c r="F6" i="38" s="1"/>
  <c r="F7" i="38" a="1"/>
  <c r="F7" i="38" s="1"/>
  <c r="F8" i="38" a="1"/>
  <c r="F8" i="38" s="1"/>
  <c r="F9" i="38" a="1"/>
  <c r="F9" i="38" s="1"/>
  <c r="F10" i="38" a="1"/>
  <c r="F10" i="38" s="1"/>
  <c r="F11" i="38" a="1"/>
  <c r="F11" i="38" s="1"/>
  <c r="F12" i="38" a="1"/>
  <c r="F12" i="38" s="1"/>
  <c r="F13" i="38" a="1"/>
  <c r="F13" i="38" s="1"/>
  <c r="F14" i="38" a="1"/>
  <c r="F14" i="38" s="1"/>
  <c r="E60" i="38" a="1"/>
  <c r="E60" i="38" s="1"/>
  <c r="F70" i="38" a="1"/>
  <c r="F70" i="38" s="1"/>
  <c r="F71" i="38" a="1"/>
  <c r="F71" i="38" s="1"/>
  <c r="E61" i="38" a="1"/>
  <c r="E61" i="38" s="1"/>
  <c r="I61" i="38" a="1"/>
  <c r="I61" i="38" s="1"/>
  <c r="F60" i="38" a="1"/>
  <c r="F60" i="38" s="1"/>
  <c r="C62" i="38" a="1"/>
  <c r="C62" i="38" s="1"/>
  <c r="G62" i="38" a="1"/>
  <c r="G62" i="38" s="1"/>
  <c r="C63" i="38" a="1"/>
  <c r="C63" i="38" s="1"/>
  <c r="G63" i="38" a="1"/>
  <c r="G63" i="38" s="1"/>
  <c r="C64" i="38" a="1"/>
  <c r="C64" i="38" s="1"/>
  <c r="G64" i="38" a="1"/>
  <c r="G64" i="38" s="1"/>
  <c r="C65" i="38" a="1"/>
  <c r="C65" i="38" s="1"/>
  <c r="G65" i="38" a="1"/>
  <c r="G65" i="38" s="1"/>
  <c r="C66" i="38" a="1"/>
  <c r="C66" i="38" s="1"/>
  <c r="G66" i="38" a="1"/>
  <c r="G66" i="38" s="1"/>
  <c r="C67" i="38" a="1"/>
  <c r="C67" i="38" s="1"/>
  <c r="G67" i="38" a="1"/>
  <c r="G67" i="38" s="1"/>
  <c r="C68" i="38" a="1"/>
  <c r="C68" i="38" s="1"/>
  <c r="G68" i="38" a="1"/>
  <c r="G68" i="38" s="1"/>
  <c r="C69" i="38" a="1"/>
  <c r="C69" i="38" s="1"/>
  <c r="G69" i="38" a="1"/>
  <c r="G69" i="38" s="1"/>
  <c r="C70" i="38" a="1"/>
  <c r="C70" i="38" s="1"/>
  <c r="G70" i="38" a="1"/>
  <c r="G70" i="38" s="1"/>
  <c r="C71" i="38" a="1"/>
  <c r="C71" i="38" s="1"/>
  <c r="G71" i="38" a="1"/>
  <c r="G71" i="38" s="1"/>
  <c r="F64" i="38" a="1"/>
  <c r="F64" i="38" s="1"/>
  <c r="F65" i="38" a="1"/>
  <c r="F65" i="38" s="1"/>
  <c r="F69" i="38" a="1"/>
  <c r="F69" i="38" s="1"/>
  <c r="F61" i="38" a="1"/>
  <c r="F61" i="38" s="1"/>
  <c r="C60" i="38" a="1"/>
  <c r="C60" i="38" s="1"/>
  <c r="G60" i="38" a="1"/>
  <c r="G60" i="38" s="1"/>
  <c r="D62" i="38" a="1"/>
  <c r="D62" i="38" s="1"/>
  <c r="H62" i="38" a="1"/>
  <c r="H62" i="38" s="1"/>
  <c r="D63" i="38" a="1"/>
  <c r="D63" i="38" s="1"/>
  <c r="H63" i="38" a="1"/>
  <c r="H63" i="38" s="1"/>
  <c r="D64" i="38" a="1"/>
  <c r="D64" i="38" s="1"/>
  <c r="H64" i="38" a="1"/>
  <c r="H64" i="38" s="1"/>
  <c r="D65" i="38" a="1"/>
  <c r="D65" i="38" s="1"/>
  <c r="H65" i="38" a="1"/>
  <c r="H65" i="38" s="1"/>
  <c r="D66" i="38" a="1"/>
  <c r="D66" i="38" s="1"/>
  <c r="H66" i="38" a="1"/>
  <c r="H66" i="38" s="1"/>
  <c r="D67" i="38" a="1"/>
  <c r="D67" i="38" s="1"/>
  <c r="H67" i="38" a="1"/>
  <c r="H67" i="38" s="1"/>
  <c r="D68" i="38" a="1"/>
  <c r="D68" i="38" s="1"/>
  <c r="H68" i="38" a="1"/>
  <c r="H68" i="38" s="1"/>
  <c r="D69" i="38" a="1"/>
  <c r="D69" i="38" s="1"/>
  <c r="H69" i="38" a="1"/>
  <c r="H69" i="38" s="1"/>
  <c r="D70" i="38" a="1"/>
  <c r="D70" i="38" s="1"/>
  <c r="H70" i="38" a="1"/>
  <c r="H70" i="38" s="1"/>
  <c r="D71" i="38" a="1"/>
  <c r="D71" i="38" s="1"/>
  <c r="H71" i="38" a="1"/>
  <c r="H71" i="38" s="1"/>
  <c r="H61" i="38" a="1"/>
  <c r="H61" i="38" s="1"/>
  <c r="F62" i="38" a="1"/>
  <c r="F62" i="38" s="1"/>
  <c r="F63" i="38" a="1"/>
  <c r="F63" i="38" s="1"/>
  <c r="F66" i="38" a="1"/>
  <c r="F66" i="38" s="1"/>
  <c r="F67" i="38" a="1"/>
  <c r="F67" i="38" s="1"/>
  <c r="F68" i="38" a="1"/>
  <c r="F68" i="38" s="1"/>
  <c r="G61" i="38" a="1"/>
  <c r="G61" i="38" s="1"/>
  <c r="D60" i="38" a="1"/>
  <c r="D60" i="38" s="1"/>
  <c r="H60" i="38" a="1"/>
  <c r="H60" i="38" s="1"/>
  <c r="E62" i="38" a="1"/>
  <c r="E62" i="38" s="1"/>
  <c r="I62" i="38" a="1"/>
  <c r="I62" i="38" s="1"/>
  <c r="E63" i="38" a="1"/>
  <c r="E63" i="38" s="1"/>
  <c r="I63" i="38" a="1"/>
  <c r="I63" i="38" s="1"/>
  <c r="E64" i="38" a="1"/>
  <c r="E64" i="38" s="1"/>
  <c r="I64" i="38" a="1"/>
  <c r="I64" i="38" s="1"/>
  <c r="E65" i="38" a="1"/>
  <c r="E65" i="38" s="1"/>
  <c r="I65" i="38" a="1"/>
  <c r="I65" i="38" s="1"/>
  <c r="E66" i="38" a="1"/>
  <c r="E66" i="38" s="1"/>
  <c r="I66" i="38" a="1"/>
  <c r="I66" i="38" s="1"/>
  <c r="E67" i="38" a="1"/>
  <c r="E67" i="38" s="1"/>
  <c r="I67" i="38" a="1"/>
  <c r="I67" i="38" s="1"/>
  <c r="E68" i="38" a="1"/>
  <c r="E68" i="38" s="1"/>
  <c r="I68" i="38" a="1"/>
  <c r="I68" i="38" s="1"/>
  <c r="E69" i="38" a="1"/>
  <c r="E69" i="38" s="1"/>
  <c r="I69" i="38" a="1"/>
  <c r="I69" i="38" s="1"/>
  <c r="E70" i="38" a="1"/>
  <c r="E70" i="38" s="1"/>
  <c r="I70" i="38" a="1"/>
  <c r="I70" i="38" s="1"/>
  <c r="E71" i="38" a="1"/>
  <c r="E71" i="38" s="1"/>
  <c r="H44" i="38"/>
  <c r="I52" i="38" a="1"/>
  <c r="I52" i="38" s="1"/>
  <c r="I53" i="38" a="1"/>
  <c r="I53" i="38" s="1"/>
  <c r="I54" i="38" a="1"/>
  <c r="I54" i="38" s="1"/>
  <c r="I55" i="38" a="1"/>
  <c r="I55" i="38" s="1"/>
  <c r="I56" i="38" a="1"/>
  <c r="I56" i="38" s="1"/>
  <c r="I45" i="38" a="1"/>
  <c r="I45" i="38" s="1"/>
  <c r="I47" i="38" a="1"/>
  <c r="I47" i="38" s="1"/>
  <c r="I48" i="38" a="1"/>
  <c r="I48" i="38" s="1"/>
  <c r="I49" i="38" a="1"/>
  <c r="I49" i="38" s="1"/>
  <c r="I50" i="38" a="1"/>
  <c r="I50" i="38" s="1"/>
  <c r="I51" i="38" a="1"/>
  <c r="I51" i="38" s="1"/>
  <c r="G42" i="38" a="1"/>
  <c r="G42" i="38" s="1"/>
  <c r="G32" i="38" a="1"/>
  <c r="G32" i="38" s="1"/>
  <c r="H33" i="38" a="1"/>
  <c r="H33" i="38" s="1"/>
  <c r="H34" i="38" a="1"/>
  <c r="H34" i="38" s="1"/>
  <c r="H35" i="38" a="1"/>
  <c r="H35" i="38" s="1"/>
  <c r="H36" i="38" a="1"/>
  <c r="H36" i="38" s="1"/>
  <c r="H37" i="38" a="1"/>
  <c r="H37" i="38" s="1"/>
  <c r="H38" i="38" a="1"/>
  <c r="H38" i="38" s="1"/>
  <c r="H39" i="38" a="1"/>
  <c r="H39" i="38" s="1"/>
  <c r="H40" i="38" a="1"/>
  <c r="H40" i="38" s="1"/>
  <c r="H41" i="38" a="1"/>
  <c r="H41" i="38" s="1"/>
  <c r="H42" i="38" a="1"/>
  <c r="H42" i="38" s="1"/>
  <c r="G40" i="38" a="1"/>
  <c r="G40" i="38" s="1"/>
  <c r="G41" i="38" a="1"/>
  <c r="G41" i="38" s="1"/>
  <c r="G31" i="38" a="1"/>
  <c r="G31" i="38" s="1"/>
  <c r="H32" i="38" a="1"/>
  <c r="H32" i="38" s="1"/>
  <c r="I33" i="38" a="1"/>
  <c r="I33" i="38" s="1"/>
  <c r="I34" i="38" a="1"/>
  <c r="I34" i="38" s="1"/>
  <c r="I35" i="38" a="1"/>
  <c r="I35" i="38" s="1"/>
  <c r="I36" i="38" a="1"/>
  <c r="I36" i="38" s="1"/>
  <c r="I37" i="38" a="1"/>
  <c r="I37" i="38" s="1"/>
  <c r="I38" i="38" a="1"/>
  <c r="I38" i="38" s="1"/>
  <c r="I39" i="38" a="1"/>
  <c r="I39" i="38" s="1"/>
  <c r="I40" i="38" a="1"/>
  <c r="I40" i="38" s="1"/>
  <c r="I41" i="38" a="1"/>
  <c r="I41" i="38" s="1"/>
  <c r="I42" i="38" a="1"/>
  <c r="I42" i="38" s="1"/>
  <c r="H31" i="38" a="1"/>
  <c r="H31" i="38" s="1"/>
  <c r="C18" i="38" a="1"/>
  <c r="C18" i="38" s="1"/>
  <c r="D19" i="38" a="1"/>
  <c r="D19" i="38" s="1"/>
  <c r="C20" i="38" a="1"/>
  <c r="C20" i="38" s="1"/>
  <c r="C21" i="38" a="1"/>
  <c r="C21" i="38" s="1"/>
  <c r="C22" i="38" a="1"/>
  <c r="C22" i="38" s="1"/>
  <c r="C23" i="38" a="1"/>
  <c r="C23" i="38" s="1"/>
  <c r="C24" i="38" a="1"/>
  <c r="C24" i="38" s="1"/>
  <c r="C25" i="38" a="1"/>
  <c r="C25" i="38" s="1"/>
  <c r="C26" i="38" a="1"/>
  <c r="C26" i="38" s="1"/>
  <c r="G27" i="38" a="1"/>
  <c r="G27" i="38" s="1"/>
  <c r="C28" i="38" a="1"/>
  <c r="C28" i="38" s="1"/>
  <c r="C17" i="38" a="1"/>
  <c r="C17" i="38" s="1"/>
  <c r="G17" i="38" a="1"/>
  <c r="G17" i="38" s="1"/>
  <c r="D18" i="38" a="1"/>
  <c r="D18" i="38" s="1"/>
  <c r="H18" i="38" a="1"/>
  <c r="H18" i="38" s="1"/>
  <c r="E19" i="38" a="1"/>
  <c r="E19" i="38" s="1"/>
  <c r="H19" i="38" a="1"/>
  <c r="H19" i="38" s="1"/>
  <c r="D20" i="38" a="1"/>
  <c r="D20" i="38" s="1"/>
  <c r="H20" i="38" a="1"/>
  <c r="H20" i="38" s="1"/>
  <c r="D21" i="38" a="1"/>
  <c r="D21" i="38" s="1"/>
  <c r="H21" i="38" a="1"/>
  <c r="H21" i="38" s="1"/>
  <c r="D22" i="38" a="1"/>
  <c r="D22" i="38" s="1"/>
  <c r="H22" i="38" a="1"/>
  <c r="H22" i="38" s="1"/>
  <c r="D23" i="38" a="1"/>
  <c r="D23" i="38" s="1"/>
  <c r="H23" i="38" a="1"/>
  <c r="H23" i="38" s="1"/>
  <c r="D24" i="38" a="1"/>
  <c r="D24" i="38" s="1"/>
  <c r="H24" i="38" a="1"/>
  <c r="H24" i="38" s="1"/>
  <c r="D25" i="38" a="1"/>
  <c r="D25" i="38" s="1"/>
  <c r="H25" i="38" a="1"/>
  <c r="H25" i="38" s="1"/>
  <c r="D26" i="38" a="1"/>
  <c r="D26" i="38" s="1"/>
  <c r="H26" i="38" a="1"/>
  <c r="H26" i="38" s="1"/>
  <c r="D27" i="38" a="1"/>
  <c r="D27" i="38" s="1"/>
  <c r="H27" i="38" a="1"/>
  <c r="H27" i="38" s="1"/>
  <c r="D28" i="38" a="1"/>
  <c r="D28" i="38" s="1"/>
  <c r="H28" i="38" a="1"/>
  <c r="H28" i="38" s="1"/>
  <c r="F17" i="38" a="1"/>
  <c r="F17" i="38" s="1"/>
  <c r="G18" i="38" a="1"/>
  <c r="G18" i="38" s="1"/>
  <c r="G20" i="38" a="1"/>
  <c r="G20" i="38" s="1"/>
  <c r="G21" i="38" a="1"/>
  <c r="G21" i="38" s="1"/>
  <c r="G22" i="38" a="1"/>
  <c r="G22" i="38" s="1"/>
  <c r="G23" i="38" a="1"/>
  <c r="G23" i="38" s="1"/>
  <c r="G24" i="38" a="1"/>
  <c r="G24" i="38" s="1"/>
  <c r="G25" i="38" a="1"/>
  <c r="G25" i="38" s="1"/>
  <c r="G26" i="38" a="1"/>
  <c r="G26" i="38" s="1"/>
  <c r="C27" i="38" a="1"/>
  <c r="C27" i="38" s="1"/>
  <c r="G28" i="38" a="1"/>
  <c r="G28" i="38" s="1"/>
  <c r="D17" i="38" a="1"/>
  <c r="D17" i="38" s="1"/>
  <c r="H17" i="38" a="1"/>
  <c r="H17" i="38" s="1"/>
  <c r="E18" i="38" a="1"/>
  <c r="E18" i="38" s="1"/>
  <c r="I18" i="38" a="1"/>
  <c r="I18" i="38" s="1"/>
  <c r="F19" i="38" a="1"/>
  <c r="F19" i="38" s="1"/>
  <c r="I19" i="38" a="1"/>
  <c r="I19" i="38" s="1"/>
  <c r="E20" i="38" a="1"/>
  <c r="E20" i="38" s="1"/>
  <c r="I20" i="38" a="1"/>
  <c r="I20" i="38" s="1"/>
  <c r="E21" i="38" a="1"/>
  <c r="E21" i="38" s="1"/>
  <c r="I21" i="38" a="1"/>
  <c r="I21" i="38" s="1"/>
  <c r="E22" i="38" a="1"/>
  <c r="E22" i="38" s="1"/>
  <c r="I22" i="38" a="1"/>
  <c r="I22" i="38" s="1"/>
  <c r="E23" i="38" a="1"/>
  <c r="E23" i="38" s="1"/>
  <c r="I23" i="38" a="1"/>
  <c r="I23" i="38" s="1"/>
  <c r="E24" i="38" a="1"/>
  <c r="E24" i="38" s="1"/>
  <c r="I24" i="38" a="1"/>
  <c r="I24" i="38" s="1"/>
  <c r="E25" i="38" a="1"/>
  <c r="E25" i="38" s="1"/>
  <c r="I25" i="38" a="1"/>
  <c r="I25" i="38" s="1"/>
  <c r="E26" i="38" a="1"/>
  <c r="E26" i="38" s="1"/>
  <c r="I26" i="38" a="1"/>
  <c r="I26" i="38" s="1"/>
  <c r="E27" i="38" a="1"/>
  <c r="E27" i="38" s="1"/>
  <c r="I27" i="38" a="1"/>
  <c r="I27" i="38" s="1"/>
  <c r="E28" i="38" a="1"/>
  <c r="E28" i="38" s="1"/>
  <c r="I28" i="38" a="1"/>
  <c r="I28" i="38" s="1"/>
  <c r="E17" i="38" a="1"/>
  <c r="E17" i="38" s="1"/>
  <c r="I17" i="38" a="1"/>
  <c r="I17" i="38" s="1"/>
  <c r="F18" i="38" a="1"/>
  <c r="F18" i="38" s="1"/>
  <c r="G19" i="38" a="1"/>
  <c r="G19" i="38" s="1"/>
  <c r="F20" i="38" a="1"/>
  <c r="F20" i="38" s="1"/>
  <c r="F21" i="38" a="1"/>
  <c r="F21" i="38" s="1"/>
  <c r="F22" i="38" a="1"/>
  <c r="F22" i="38" s="1"/>
  <c r="F23" i="38" a="1"/>
  <c r="F23" i="38" s="1"/>
  <c r="F24" i="38" a="1"/>
  <c r="F24" i="38" s="1"/>
  <c r="F25" i="38" a="1"/>
  <c r="F25" i="38" s="1"/>
  <c r="F26" i="38" a="1"/>
  <c r="F26" i="38" s="1"/>
  <c r="F27" i="38" a="1"/>
  <c r="F27" i="38" s="1"/>
  <c r="F28" i="38" a="1"/>
  <c r="F28" i="38" s="1"/>
  <c r="S165" i="17"/>
  <c r="S169" i="17" s="1"/>
  <c r="F30" i="38" l="1"/>
  <c r="G39" i="38" a="1"/>
  <c r="G39" i="38" s="1"/>
  <c r="G36" i="38" a="1"/>
  <c r="G36" i="38" s="1"/>
  <c r="G37" i="38" a="1"/>
  <c r="G37" i="38" s="1"/>
  <c r="G33" i="38" a="1"/>
  <c r="G33" i="38" s="1"/>
  <c r="G38" i="38" a="1"/>
  <c r="G38" i="38" s="1"/>
  <c r="G34" i="38" a="1"/>
  <c r="G34" i="38" s="1"/>
  <c r="G35" i="38" a="1"/>
  <c r="G35" i="38" s="1"/>
  <c r="G44" i="38"/>
  <c r="H45" i="38" a="1"/>
  <c r="H45" i="38" s="1"/>
  <c r="H54" i="38" a="1"/>
  <c r="H54" i="38" s="1"/>
  <c r="H46" i="38" a="1"/>
  <c r="H46" i="38" s="1"/>
  <c r="H55" i="38" a="1"/>
  <c r="H55" i="38" s="1"/>
  <c r="H51" i="38" a="1"/>
  <c r="H51" i="38" s="1"/>
  <c r="H50" i="38" a="1"/>
  <c r="H50" i="38" s="1"/>
  <c r="H49" i="38" a="1"/>
  <c r="H49" i="38" s="1"/>
  <c r="H48" i="38" a="1"/>
  <c r="H48" i="38" s="1"/>
  <c r="H47" i="38" a="1"/>
  <c r="H47" i="38" s="1"/>
  <c r="H56" i="38" a="1"/>
  <c r="H56" i="38" s="1"/>
  <c r="H53" i="38" a="1"/>
  <c r="H53" i="38" s="1"/>
  <c r="H52" i="38" a="1"/>
  <c r="H52" i="38" s="1"/>
  <c r="P276" i="17"/>
  <c r="P275" i="17"/>
  <c r="P274" i="17"/>
  <c r="P273" i="17"/>
  <c r="P272" i="17"/>
  <c r="P271" i="17"/>
  <c r="P270" i="17"/>
  <c r="P269" i="17"/>
  <c r="P268" i="17"/>
  <c r="P267" i="17"/>
  <c r="P266" i="17"/>
  <c r="P265" i="17"/>
  <c r="P264" i="17"/>
  <c r="P263" i="17"/>
  <c r="P262" i="17"/>
  <c r="P261" i="17"/>
  <c r="P260" i="17"/>
  <c r="P259" i="17"/>
  <c r="P258" i="17"/>
  <c r="P257" i="17"/>
  <c r="P256" i="17"/>
  <c r="P255" i="17"/>
  <c r="P254" i="17"/>
  <c r="P253" i="17"/>
  <c r="P252" i="17"/>
  <c r="P251" i="17"/>
  <c r="P250" i="17"/>
  <c r="P249" i="17"/>
  <c r="P248" i="17"/>
  <c r="P247" i="17"/>
  <c r="P246" i="17"/>
  <c r="P245" i="17"/>
  <c r="P244" i="17"/>
  <c r="P243" i="17"/>
  <c r="P242" i="17"/>
  <c r="P241" i="17"/>
  <c r="P240" i="17"/>
  <c r="P239" i="17"/>
  <c r="P238" i="17"/>
  <c r="P237" i="17"/>
  <c r="P236" i="17"/>
  <c r="P235" i="17"/>
  <c r="P234" i="17"/>
  <c r="P233" i="17"/>
  <c r="P232" i="17"/>
  <c r="P231" i="17"/>
  <c r="P230" i="17"/>
  <c r="P229" i="17"/>
  <c r="P228" i="17"/>
  <c r="P227" i="17"/>
  <c r="P226" i="17"/>
  <c r="P225" i="17"/>
  <c r="P224" i="17"/>
  <c r="P223" i="17"/>
  <c r="P222" i="17"/>
  <c r="P221" i="17"/>
  <c r="P220" i="17"/>
  <c r="P219" i="17"/>
  <c r="P218" i="17"/>
  <c r="P217" i="17"/>
  <c r="P216" i="17"/>
  <c r="P215" i="17"/>
  <c r="P214" i="17"/>
  <c r="P213" i="17"/>
  <c r="P212" i="17"/>
  <c r="P211" i="17"/>
  <c r="P210" i="17"/>
  <c r="P209" i="17"/>
  <c r="P208" i="17"/>
  <c r="P207" i="17"/>
  <c r="P206" i="17"/>
  <c r="P205" i="17"/>
  <c r="P204" i="17"/>
  <c r="P203" i="17"/>
  <c r="P202" i="17"/>
  <c r="P201" i="17"/>
  <c r="P200" i="17"/>
  <c r="P199" i="17"/>
  <c r="P198" i="17"/>
  <c r="P197" i="17"/>
  <c r="P196" i="17"/>
  <c r="P195" i="17"/>
  <c r="P194" i="17"/>
  <c r="P193" i="17"/>
  <c r="P192" i="17"/>
  <c r="P191" i="17"/>
  <c r="P190" i="17"/>
  <c r="P189" i="17"/>
  <c r="P188" i="17"/>
  <c r="P187" i="17"/>
  <c r="P186" i="17"/>
  <c r="P185" i="17"/>
  <c r="P184" i="17"/>
  <c r="P183" i="17"/>
  <c r="P182" i="17"/>
  <c r="P181" i="17"/>
  <c r="P180" i="17"/>
  <c r="P179" i="17"/>
  <c r="P178" i="17"/>
  <c r="P177" i="17"/>
  <c r="P176" i="17"/>
  <c r="P175" i="17"/>
  <c r="P174" i="17"/>
  <c r="P173" i="17"/>
  <c r="P172" i="17"/>
  <c r="P171" i="17"/>
  <c r="P170" i="17"/>
  <c r="P169" i="17"/>
  <c r="P168" i="17"/>
  <c r="P167" i="17"/>
  <c r="P166" i="17"/>
  <c r="P165" i="17"/>
  <c r="P164" i="17"/>
  <c r="P163" i="17"/>
  <c r="P162" i="17"/>
  <c r="P161" i="17"/>
  <c r="P160" i="17"/>
  <c r="P159" i="17"/>
  <c r="P158" i="17"/>
  <c r="P157" i="17"/>
  <c r="P156" i="17"/>
  <c r="P155" i="17"/>
  <c r="P154" i="17"/>
  <c r="P153" i="17"/>
  <c r="P152" i="17"/>
  <c r="P151" i="17"/>
  <c r="P150" i="17"/>
  <c r="P149" i="17"/>
  <c r="P148" i="17"/>
  <c r="P147" i="17"/>
  <c r="P146" i="17"/>
  <c r="P145" i="17"/>
  <c r="P144" i="17"/>
  <c r="P143" i="17"/>
  <c r="P142" i="17"/>
  <c r="P141" i="17"/>
  <c r="P140" i="17"/>
  <c r="P139" i="17"/>
  <c r="P138" i="17"/>
  <c r="P137" i="17"/>
  <c r="P136" i="17"/>
  <c r="P135" i="17"/>
  <c r="P134" i="17"/>
  <c r="P133" i="17"/>
  <c r="P132" i="17"/>
  <c r="P131" i="17"/>
  <c r="P130" i="17"/>
  <c r="P129" i="17"/>
  <c r="P128" i="17"/>
  <c r="P127" i="17"/>
  <c r="P126" i="17"/>
  <c r="P125" i="17"/>
  <c r="P124" i="17"/>
  <c r="P123" i="17"/>
  <c r="P122" i="17"/>
  <c r="P121" i="17"/>
  <c r="P120" i="17"/>
  <c r="P119" i="17"/>
  <c r="P118" i="17"/>
  <c r="P117" i="17"/>
  <c r="P116" i="17"/>
  <c r="P115" i="17"/>
  <c r="P114" i="17"/>
  <c r="P113" i="17"/>
  <c r="P112" i="17"/>
  <c r="P111" i="17"/>
  <c r="P110" i="17"/>
  <c r="P109" i="17"/>
  <c r="P108" i="17"/>
  <c r="P107" i="17"/>
  <c r="P106" i="17"/>
  <c r="P105" i="17"/>
  <c r="P104" i="17"/>
  <c r="P103" i="17"/>
  <c r="P102" i="17"/>
  <c r="P101" i="17"/>
  <c r="P100" i="17"/>
  <c r="P99" i="17"/>
  <c r="P98" i="17"/>
  <c r="P97" i="17"/>
  <c r="P96" i="17"/>
  <c r="P95" i="17"/>
  <c r="P94" i="17"/>
  <c r="P93" i="17"/>
  <c r="P92" i="17"/>
  <c r="P91" i="17"/>
  <c r="P90" i="17"/>
  <c r="P89" i="17"/>
  <c r="P88" i="17"/>
  <c r="P87" i="17"/>
  <c r="P86" i="17"/>
  <c r="P85" i="17"/>
  <c r="P84" i="17"/>
  <c r="P83" i="17"/>
  <c r="P82" i="17"/>
  <c r="P81" i="17"/>
  <c r="P80" i="17"/>
  <c r="P79" i="17"/>
  <c r="P78" i="17"/>
  <c r="P77" i="17"/>
  <c r="P76" i="17"/>
  <c r="P75" i="17"/>
  <c r="P74" i="17"/>
  <c r="J132" i="24"/>
  <c r="I132" i="24"/>
  <c r="H132" i="24"/>
  <c r="G132" i="24"/>
  <c r="F132" i="24"/>
  <c r="E132" i="24"/>
  <c r="D132" i="24"/>
  <c r="C132" i="24"/>
  <c r="B132" i="24"/>
  <c r="K132" i="24"/>
  <c r="U160" i="17"/>
  <c r="U159" i="17"/>
  <c r="U158" i="17"/>
  <c r="U157" i="17"/>
  <c r="U161" i="17" s="1"/>
  <c r="E30" i="38" l="1"/>
  <c r="F32" i="38" a="1"/>
  <c r="F32" i="38" s="1"/>
  <c r="F36" i="38" a="1"/>
  <c r="F36" i="38" s="1"/>
  <c r="F40" i="38" a="1"/>
  <c r="F40" i="38" s="1"/>
  <c r="F31" i="38" a="1"/>
  <c r="F31" i="38" s="1"/>
  <c r="F33" i="38" a="1"/>
  <c r="F33" i="38" s="1"/>
  <c r="F37" i="38" a="1"/>
  <c r="F37" i="38" s="1"/>
  <c r="F41" i="38" a="1"/>
  <c r="F41" i="38" s="1"/>
  <c r="F34" i="38" a="1"/>
  <c r="F34" i="38" s="1"/>
  <c r="F38" i="38" a="1"/>
  <c r="F38" i="38" s="1"/>
  <c r="F42" i="38" a="1"/>
  <c r="F42" i="38" s="1"/>
  <c r="F35" i="38" a="1"/>
  <c r="F35" i="38" s="1"/>
  <c r="F39" i="38" a="1"/>
  <c r="F39" i="38" s="1"/>
  <c r="F44" i="38"/>
  <c r="G56" i="38" a="1"/>
  <c r="G56" i="38" s="1"/>
  <c r="G55" i="38" a="1"/>
  <c r="G55" i="38" s="1"/>
  <c r="G54" i="38" a="1"/>
  <c r="G54" i="38" s="1"/>
  <c r="G53" i="38" a="1"/>
  <c r="G53" i="38" s="1"/>
  <c r="G52" i="38" a="1"/>
  <c r="G52" i="38" s="1"/>
  <c r="G49" i="38" a="1"/>
  <c r="G49" i="38" s="1"/>
  <c r="G45" i="38" a="1"/>
  <c r="G45" i="38" s="1"/>
  <c r="G50" i="38" a="1"/>
  <c r="G50" i="38" s="1"/>
  <c r="G47" i="38" a="1"/>
  <c r="G47" i="38" s="1"/>
  <c r="G46" i="38" a="1"/>
  <c r="G46" i="38" s="1"/>
  <c r="G51" i="38" a="1"/>
  <c r="G51" i="38" s="1"/>
  <c r="G48" i="38" a="1"/>
  <c r="G48" i="38" s="1"/>
  <c r="B136" i="24"/>
  <c r="B134" i="24"/>
  <c r="B133" i="24"/>
  <c r="B135" i="24"/>
  <c r="F136" i="24"/>
  <c r="F134" i="24"/>
  <c r="F133" i="24"/>
  <c r="F135" i="24"/>
  <c r="C133" i="24"/>
  <c r="C135" i="24"/>
  <c r="C134" i="24"/>
  <c r="C136" i="24"/>
  <c r="D135" i="24"/>
  <c r="D136" i="24"/>
  <c r="D134" i="24"/>
  <c r="D133" i="24"/>
  <c r="H135" i="24"/>
  <c r="H134" i="24"/>
  <c r="H136" i="24"/>
  <c r="H133" i="24"/>
  <c r="J136" i="24"/>
  <c r="J134" i="24"/>
  <c r="J133" i="24"/>
  <c r="J135" i="24"/>
  <c r="G133" i="24"/>
  <c r="G135" i="24"/>
  <c r="G136" i="24"/>
  <c r="G134" i="24"/>
  <c r="K133" i="24"/>
  <c r="K135" i="24"/>
  <c r="K134" i="24"/>
  <c r="K136" i="24"/>
  <c r="E135" i="24"/>
  <c r="E136" i="24"/>
  <c r="E134" i="24"/>
  <c r="E133" i="24"/>
  <c r="I136" i="24"/>
  <c r="I134" i="24"/>
  <c r="I133" i="24"/>
  <c r="I135" i="24"/>
  <c r="J123" i="24"/>
  <c r="I123" i="24"/>
  <c r="H123" i="24"/>
  <c r="G123" i="24"/>
  <c r="F123" i="24"/>
  <c r="E123" i="24"/>
  <c r="D123" i="24"/>
  <c r="C123" i="24"/>
  <c r="B123" i="24"/>
  <c r="K123" i="24"/>
  <c r="MJ76" i="17"/>
  <c r="MJ77" i="17"/>
  <c r="MJ78" i="17"/>
  <c r="MJ79" i="17"/>
  <c r="MJ80" i="17"/>
  <c r="MJ81" i="17"/>
  <c r="MJ82" i="17"/>
  <c r="MJ83" i="17"/>
  <c r="MJ84" i="17"/>
  <c r="MJ85" i="17"/>
  <c r="MJ86" i="17"/>
  <c r="MJ87" i="17"/>
  <c r="MJ88" i="17"/>
  <c r="MJ89" i="17"/>
  <c r="MJ90" i="17"/>
  <c r="MJ91" i="17"/>
  <c r="MJ92" i="17"/>
  <c r="MJ93" i="17"/>
  <c r="MJ94" i="17"/>
  <c r="MJ95" i="17"/>
  <c r="MJ96" i="17"/>
  <c r="MJ97" i="17"/>
  <c r="MJ98" i="17"/>
  <c r="MJ99" i="17"/>
  <c r="MJ100" i="17"/>
  <c r="MJ101" i="17"/>
  <c r="MJ102" i="17"/>
  <c r="MJ103" i="17"/>
  <c r="MJ104" i="17"/>
  <c r="MJ105" i="17"/>
  <c r="MJ106" i="17"/>
  <c r="MJ107" i="17"/>
  <c r="MJ108" i="17"/>
  <c r="MJ109" i="17"/>
  <c r="MJ110" i="17"/>
  <c r="MJ111" i="17"/>
  <c r="MJ112" i="17"/>
  <c r="MJ113" i="17"/>
  <c r="MJ114" i="17"/>
  <c r="MJ115" i="17"/>
  <c r="MJ116" i="17"/>
  <c r="MJ117" i="17"/>
  <c r="MJ118" i="17"/>
  <c r="MJ119" i="17"/>
  <c r="MJ120" i="17"/>
  <c r="MJ121" i="17"/>
  <c r="MJ122" i="17"/>
  <c r="MJ123" i="17"/>
  <c r="MJ124" i="17"/>
  <c r="MJ125" i="17"/>
  <c r="MJ126" i="17"/>
  <c r="MJ127" i="17"/>
  <c r="MJ128" i="17"/>
  <c r="MJ129" i="17"/>
  <c r="MJ130" i="17"/>
  <c r="MJ131" i="17"/>
  <c r="MJ132" i="17"/>
  <c r="MJ133" i="17"/>
  <c r="MJ134" i="17"/>
  <c r="MJ135" i="17"/>
  <c r="MJ136" i="17"/>
  <c r="MJ137" i="17"/>
  <c r="MJ138" i="17"/>
  <c r="MJ139" i="17"/>
  <c r="MJ140" i="17"/>
  <c r="MJ141" i="17"/>
  <c r="MJ142" i="17"/>
  <c r="MJ143" i="17"/>
  <c r="MJ144" i="17"/>
  <c r="MJ145" i="17"/>
  <c r="MJ146" i="17"/>
  <c r="MJ147" i="17"/>
  <c r="MJ148" i="17"/>
  <c r="MJ149" i="17"/>
  <c r="MJ150" i="17"/>
  <c r="MJ151" i="17"/>
  <c r="MJ152" i="17"/>
  <c r="MJ153" i="17"/>
  <c r="MJ154" i="17"/>
  <c r="MJ155" i="17"/>
  <c r="MJ156" i="17"/>
  <c r="MJ157" i="17"/>
  <c r="MJ158" i="17"/>
  <c r="MJ159" i="17"/>
  <c r="MJ160" i="17"/>
  <c r="MJ161" i="17"/>
  <c r="MJ162" i="17"/>
  <c r="MJ163" i="17"/>
  <c r="MJ164" i="17"/>
  <c r="MJ165" i="17"/>
  <c r="MJ166" i="17"/>
  <c r="MJ167" i="17"/>
  <c r="MJ168" i="17"/>
  <c r="MJ169" i="17"/>
  <c r="MJ170" i="17"/>
  <c r="MJ171" i="17"/>
  <c r="MJ172" i="17"/>
  <c r="MJ173" i="17"/>
  <c r="MJ174" i="17"/>
  <c r="MJ175" i="17"/>
  <c r="MJ176" i="17"/>
  <c r="MJ177" i="17"/>
  <c r="MJ178" i="17"/>
  <c r="MJ179" i="17"/>
  <c r="MJ180" i="17"/>
  <c r="MJ181" i="17"/>
  <c r="MJ182" i="17"/>
  <c r="MJ183" i="17"/>
  <c r="MJ184" i="17"/>
  <c r="MJ185" i="17"/>
  <c r="MJ186" i="17"/>
  <c r="MJ187" i="17"/>
  <c r="MJ188" i="17"/>
  <c r="MJ189" i="17"/>
  <c r="MJ190" i="17"/>
  <c r="MJ191" i="17"/>
  <c r="MJ192" i="17"/>
  <c r="MJ193" i="17"/>
  <c r="MJ194" i="17"/>
  <c r="MJ195" i="17"/>
  <c r="MJ196" i="17"/>
  <c r="MJ197" i="17"/>
  <c r="MJ198" i="17"/>
  <c r="MJ199" i="17"/>
  <c r="MJ200" i="17"/>
  <c r="MJ201" i="17"/>
  <c r="MJ202" i="17"/>
  <c r="MJ203" i="17"/>
  <c r="MJ204" i="17"/>
  <c r="MJ205" i="17"/>
  <c r="MJ206" i="17"/>
  <c r="MJ207" i="17"/>
  <c r="MJ208" i="17"/>
  <c r="MJ209" i="17"/>
  <c r="MJ210" i="17"/>
  <c r="MJ211" i="17"/>
  <c r="MJ212" i="17"/>
  <c r="MJ213" i="17"/>
  <c r="MJ214" i="17"/>
  <c r="MJ215" i="17"/>
  <c r="MJ216" i="17"/>
  <c r="MJ217" i="17"/>
  <c r="MJ218" i="17"/>
  <c r="MJ219" i="17"/>
  <c r="MJ220" i="17"/>
  <c r="MJ221" i="17"/>
  <c r="MJ222" i="17"/>
  <c r="MJ223" i="17"/>
  <c r="MJ224" i="17"/>
  <c r="MJ225" i="17"/>
  <c r="MJ226" i="17"/>
  <c r="MJ227" i="17"/>
  <c r="MJ228" i="17"/>
  <c r="MJ229" i="17"/>
  <c r="MJ230" i="17"/>
  <c r="MJ231" i="17"/>
  <c r="MJ232" i="17"/>
  <c r="MJ233" i="17"/>
  <c r="MJ234" i="17"/>
  <c r="MJ235" i="17"/>
  <c r="MJ236" i="17"/>
  <c r="MJ237" i="17"/>
  <c r="MJ238" i="17"/>
  <c r="MJ239" i="17"/>
  <c r="MJ240" i="17"/>
  <c r="MJ241" i="17"/>
  <c r="MJ242" i="17"/>
  <c r="MJ243" i="17"/>
  <c r="MJ244" i="17"/>
  <c r="MJ245" i="17"/>
  <c r="MJ246" i="17"/>
  <c r="MJ247" i="17"/>
  <c r="MJ248" i="17"/>
  <c r="MJ249" i="17"/>
  <c r="MJ250" i="17"/>
  <c r="MJ251" i="17"/>
  <c r="MJ252" i="17"/>
  <c r="MJ253" i="17"/>
  <c r="MJ254" i="17"/>
  <c r="MJ255" i="17"/>
  <c r="MJ256" i="17"/>
  <c r="MJ257" i="17"/>
  <c r="MJ258" i="17"/>
  <c r="MJ259" i="17"/>
  <c r="MJ260" i="17"/>
  <c r="MJ261" i="17"/>
  <c r="MJ262" i="17"/>
  <c r="MJ263" i="17"/>
  <c r="MJ264" i="17"/>
  <c r="MJ265" i="17"/>
  <c r="MJ266" i="17"/>
  <c r="MJ267" i="17"/>
  <c r="MJ268" i="17"/>
  <c r="MJ269" i="17"/>
  <c r="MJ270" i="17"/>
  <c r="MJ271" i="17"/>
  <c r="MJ272" i="17"/>
  <c r="MJ273" i="17"/>
  <c r="MJ274" i="17"/>
  <c r="MJ275" i="17"/>
  <c r="MJ276" i="17"/>
  <c r="MJ75" i="17"/>
  <c r="MJ74" i="17"/>
  <c r="G201" i="13"/>
  <c r="G202" i="13"/>
  <c r="G203" i="13"/>
  <c r="G204" i="13"/>
  <c r="I209" i="13"/>
  <c r="I214" i="13"/>
  <c r="I215" i="13"/>
  <c r="I216" i="13"/>
  <c r="L28" i="31"/>
  <c r="L45" i="31"/>
  <c r="K45" i="31" s="1"/>
  <c r="J45" i="31" s="1"/>
  <c r="I45" i="31" s="1"/>
  <c r="H45" i="31" s="1"/>
  <c r="G45" i="31" s="1"/>
  <c r="F45" i="31" s="1"/>
  <c r="E45" i="31" s="1"/>
  <c r="D45" i="31" s="1"/>
  <c r="C45" i="31" s="1"/>
  <c r="B45" i="31" s="1"/>
  <c r="D30" i="38" l="1"/>
  <c r="E31" i="38" a="1"/>
  <c r="E31" i="38" s="1"/>
  <c r="E34" i="38" a="1"/>
  <c r="E34" i="38" s="1"/>
  <c r="E36" i="38" a="1"/>
  <c r="E36" i="38" s="1"/>
  <c r="E38" i="38" a="1"/>
  <c r="E38" i="38" s="1"/>
  <c r="E40" i="38" a="1"/>
  <c r="E40" i="38" s="1"/>
  <c r="E42" i="38" a="1"/>
  <c r="E42" i="38" s="1"/>
  <c r="E32" i="38" a="1"/>
  <c r="E32" i="38" s="1"/>
  <c r="E33" i="38" a="1"/>
  <c r="E33" i="38" s="1"/>
  <c r="E35" i="38" a="1"/>
  <c r="E35" i="38" s="1"/>
  <c r="E37" i="38" a="1"/>
  <c r="E37" i="38" s="1"/>
  <c r="E39" i="38" a="1"/>
  <c r="E39" i="38" s="1"/>
  <c r="E41" i="38" a="1"/>
  <c r="E41" i="38" s="1"/>
  <c r="E44" i="38"/>
  <c r="F51" i="38" a="1"/>
  <c r="F51" i="38" s="1"/>
  <c r="F50" i="38" a="1"/>
  <c r="F50" i="38" s="1"/>
  <c r="F49" i="38" a="1"/>
  <c r="F49" i="38" s="1"/>
  <c r="F48" i="38" a="1"/>
  <c r="F48" i="38" s="1"/>
  <c r="F47" i="38" a="1"/>
  <c r="F47" i="38" s="1"/>
  <c r="F46" i="38" a="1"/>
  <c r="F46" i="38" s="1"/>
  <c r="F56" i="38" a="1"/>
  <c r="F56" i="38" s="1"/>
  <c r="F55" i="38" a="1"/>
  <c r="F55" i="38" s="1"/>
  <c r="F54" i="38" a="1"/>
  <c r="F54" i="38" s="1"/>
  <c r="F53" i="38" a="1"/>
  <c r="F53" i="38" s="1"/>
  <c r="F52" i="38" a="1"/>
  <c r="F52" i="38" s="1"/>
  <c r="F45" i="38" a="1"/>
  <c r="F45" i="38" s="1"/>
  <c r="K127" i="24"/>
  <c r="K126" i="24"/>
  <c r="K124" i="24"/>
  <c r="K125" i="24"/>
  <c r="CX328" i="2"/>
  <c r="C30" i="38" l="1"/>
  <c r="D33" i="38" a="1"/>
  <c r="D33" i="38" s="1"/>
  <c r="D35" i="38" a="1"/>
  <c r="D35" i="38" s="1"/>
  <c r="D37" i="38" a="1"/>
  <c r="D37" i="38" s="1"/>
  <c r="D39" i="38" a="1"/>
  <c r="D39" i="38" s="1"/>
  <c r="D41" i="38" a="1"/>
  <c r="D41" i="38" s="1"/>
  <c r="D32" i="38" a="1"/>
  <c r="D32" i="38" s="1"/>
  <c r="D34" i="38" a="1"/>
  <c r="D34" i="38" s="1"/>
  <c r="D36" i="38" a="1"/>
  <c r="D36" i="38" s="1"/>
  <c r="D38" i="38" a="1"/>
  <c r="D38" i="38" s="1"/>
  <c r="D40" i="38" a="1"/>
  <c r="D40" i="38" s="1"/>
  <c r="D42" i="38" a="1"/>
  <c r="D42" i="38" s="1"/>
  <c r="D31" i="38" a="1"/>
  <c r="D31" i="38" s="1"/>
  <c r="D44" i="38"/>
  <c r="E52" i="38" a="1"/>
  <c r="E52" i="38" s="1"/>
  <c r="E46" i="38" a="1"/>
  <c r="E46" i="38" s="1"/>
  <c r="E51" i="38" a="1"/>
  <c r="E51" i="38" s="1"/>
  <c r="E50" i="38" a="1"/>
  <c r="E50" i="38" s="1"/>
  <c r="E49" i="38" a="1"/>
  <c r="E49" i="38" s="1"/>
  <c r="E48" i="38" a="1"/>
  <c r="E48" i="38" s="1"/>
  <c r="E47" i="38" a="1"/>
  <c r="E47" i="38" s="1"/>
  <c r="E56" i="38" a="1"/>
  <c r="E56" i="38" s="1"/>
  <c r="E55" i="38" a="1"/>
  <c r="E55" i="38" s="1"/>
  <c r="E54" i="38" a="1"/>
  <c r="E54" i="38" s="1"/>
  <c r="E53" i="38" a="1"/>
  <c r="E53" i="38" s="1"/>
  <c r="E45" i="38" a="1"/>
  <c r="E45" i="38" s="1"/>
  <c r="FJ353" i="2"/>
  <c r="FJ354" i="2"/>
  <c r="FJ355" i="2"/>
  <c r="FD353" i="2"/>
  <c r="FD354" i="2"/>
  <c r="FD355" i="2"/>
  <c r="EY353" i="2"/>
  <c r="EY354" i="2"/>
  <c r="EY355" i="2"/>
  <c r="ES353" i="2"/>
  <c r="ES354" i="2"/>
  <c r="ES355" i="2"/>
  <c r="ES348" i="2"/>
  <c r="ES347" i="2"/>
  <c r="EF353" i="2"/>
  <c r="EG353" i="2"/>
  <c r="EI353" i="2"/>
  <c r="EJ353" i="2"/>
  <c r="EK353" i="2"/>
  <c r="EL353" i="2"/>
  <c r="EM353" i="2"/>
  <c r="EF354" i="2"/>
  <c r="EG354" i="2"/>
  <c r="EI354" i="2"/>
  <c r="EJ354" i="2"/>
  <c r="EK354" i="2"/>
  <c r="EL354" i="2"/>
  <c r="EM354" i="2"/>
  <c r="EF355" i="2"/>
  <c r="EG355" i="2"/>
  <c r="EI355" i="2"/>
  <c r="EJ355" i="2"/>
  <c r="EK355" i="2"/>
  <c r="EL355" i="2"/>
  <c r="EM355" i="2"/>
  <c r="C31" i="38" l="1" a="1"/>
  <c r="C31" i="38" s="1"/>
  <c r="C35" i="38" a="1"/>
  <c r="C35" i="38" s="1"/>
  <c r="C36" i="38" a="1"/>
  <c r="C36" i="38" s="1"/>
  <c r="C37" i="38" a="1"/>
  <c r="C37" i="38" s="1"/>
  <c r="C33" i="38" a="1"/>
  <c r="C33" i="38" s="1"/>
  <c r="C38" i="38" a="1"/>
  <c r="C38" i="38" s="1"/>
  <c r="C34" i="38" a="1"/>
  <c r="C34" i="38" s="1"/>
  <c r="C39" i="38" a="1"/>
  <c r="C39" i="38" s="1"/>
  <c r="C40" i="38" a="1"/>
  <c r="C40" i="38" s="1"/>
  <c r="C32" i="38" a="1"/>
  <c r="C32" i="38" s="1"/>
  <c r="C42" i="38" a="1"/>
  <c r="C42" i="38" s="1"/>
  <c r="C41" i="38" a="1"/>
  <c r="C41" i="38" s="1"/>
  <c r="C44" i="38"/>
  <c r="D45" i="38" a="1"/>
  <c r="D45" i="38" s="1"/>
  <c r="D46" i="38" a="1"/>
  <c r="D46" i="38" s="1"/>
  <c r="D56" i="38" a="1"/>
  <c r="D56" i="38" s="1"/>
  <c r="D54" i="38" a="1"/>
  <c r="D54" i="38" s="1"/>
  <c r="D53" i="38" a="1"/>
  <c r="D53" i="38" s="1"/>
  <c r="D52" i="38" a="1"/>
  <c r="D52" i="38" s="1"/>
  <c r="D51" i="38" a="1"/>
  <c r="D51" i="38" s="1"/>
  <c r="D50" i="38" a="1"/>
  <c r="D50" i="38" s="1"/>
  <c r="D49" i="38" a="1"/>
  <c r="D49" i="38" s="1"/>
  <c r="D48" i="38" a="1"/>
  <c r="D48" i="38" s="1"/>
  <c r="D47" i="38" a="1"/>
  <c r="D47" i="38" s="1"/>
  <c r="D55" i="38" a="1"/>
  <c r="D55" i="38" s="1"/>
  <c r="EH353" i="2"/>
  <c r="EN354" i="2"/>
  <c r="EN353" i="2"/>
  <c r="EN355" i="2"/>
  <c r="EH355" i="2"/>
  <c r="EH354" i="2"/>
  <c r="X168" i="17"/>
  <c r="W168" i="17"/>
  <c r="C56" i="38" l="1" a="1"/>
  <c r="C56" i="38" s="1"/>
  <c r="C55" i="38" a="1"/>
  <c r="C55" i="38" s="1"/>
  <c r="C54" i="38" a="1"/>
  <c r="C54" i="38" s="1"/>
  <c r="C53" i="38" a="1"/>
  <c r="C53" i="38" s="1"/>
  <c r="C51" i="38" a="1"/>
  <c r="C51" i="38" s="1"/>
  <c r="C48" i="38" a="1"/>
  <c r="C48" i="38" s="1"/>
  <c r="C45" i="38" a="1"/>
  <c r="C45" i="38" s="1"/>
  <c r="C52" i="38" a="1"/>
  <c r="C52" i="38" s="1"/>
  <c r="C49" i="38" a="1"/>
  <c r="C49" i="38" s="1"/>
  <c r="C46" i="38" a="1"/>
  <c r="C46" i="38" s="1"/>
  <c r="C50" i="38" a="1"/>
  <c r="C50" i="38" s="1"/>
  <c r="C47" i="38" a="1"/>
  <c r="C47" i="38" s="1"/>
  <c r="G75" i="22"/>
  <c r="H75" i="22"/>
  <c r="G60" i="22"/>
  <c r="CF168" i="17" l="1"/>
  <c r="CF167" i="17"/>
  <c r="CF166" i="17"/>
  <c r="CF165" i="17"/>
  <c r="CF164" i="17"/>
  <c r="BF355" i="2" l="1"/>
  <c r="BJ355" i="2" s="1"/>
  <c r="AO355" i="2"/>
  <c r="AS355" i="2" s="1"/>
  <c r="X355" i="2"/>
  <c r="BU339" i="2"/>
  <c r="BU340" i="2"/>
  <c r="BU341" i="2"/>
  <c r="BU342" i="2"/>
  <c r="BU343" i="2"/>
  <c r="BU344" i="2"/>
  <c r="BU345" i="2"/>
  <c r="BU346" i="2"/>
  <c r="BU347" i="2"/>
  <c r="BU348" i="2"/>
  <c r="BU349" i="2"/>
  <c r="BU350" i="2"/>
  <c r="BU351" i="2"/>
  <c r="BU352" i="2"/>
  <c r="BU353" i="2"/>
  <c r="BU354" i="2"/>
  <c r="BU355" i="2"/>
  <c r="BU332" i="2"/>
  <c r="BU333" i="2"/>
  <c r="BU334" i="2"/>
  <c r="BU335" i="2"/>
  <c r="BU336" i="2"/>
  <c r="BU337" i="2"/>
  <c r="BJ339" i="2"/>
  <c r="BJ340" i="2"/>
  <c r="BJ341" i="2"/>
  <c r="BJ342" i="2"/>
  <c r="BJ343" i="2"/>
  <c r="BJ344" i="2"/>
  <c r="BJ345" i="2"/>
  <c r="BJ346" i="2"/>
  <c r="BJ347" i="2"/>
  <c r="BJ348" i="2"/>
  <c r="BJ349" i="2"/>
  <c r="BJ350" i="2"/>
  <c r="BJ351" i="2"/>
  <c r="BJ352" i="2"/>
  <c r="BJ353" i="2"/>
  <c r="BJ354" i="2"/>
  <c r="BJ332" i="2"/>
  <c r="BJ333" i="2"/>
  <c r="BJ334" i="2"/>
  <c r="BJ335" i="2"/>
  <c r="BJ336" i="2"/>
  <c r="BJ337" i="2"/>
  <c r="AS333" i="2"/>
  <c r="AS334" i="2"/>
  <c r="AS335" i="2"/>
  <c r="AS336" i="2"/>
  <c r="AS337" i="2"/>
  <c r="AS338" i="2"/>
  <c r="AS339" i="2"/>
  <c r="AS340" i="2"/>
  <c r="AS341" i="2"/>
  <c r="AS342" i="2"/>
  <c r="AS343" i="2"/>
  <c r="AS344" i="2"/>
  <c r="AS345" i="2"/>
  <c r="AS346" i="2"/>
  <c r="AS347" i="2"/>
  <c r="AS348" i="2"/>
  <c r="AS349" i="2"/>
  <c r="AS350" i="2"/>
  <c r="AS351" i="2"/>
  <c r="AS352" i="2"/>
  <c r="AS353" i="2"/>
  <c r="AS354" i="2"/>
  <c r="AS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32" i="2"/>
  <c r="K355" i="2"/>
  <c r="K344" i="2"/>
  <c r="K345" i="2"/>
  <c r="K346" i="2"/>
  <c r="K347" i="2"/>
  <c r="K348" i="2"/>
  <c r="K349" i="2"/>
  <c r="K350" i="2"/>
  <c r="K351" i="2"/>
  <c r="K352" i="2"/>
  <c r="K353" i="2"/>
  <c r="K354" i="2"/>
  <c r="K332" i="2"/>
  <c r="K333" i="2"/>
  <c r="K334" i="2"/>
  <c r="K335" i="2"/>
  <c r="K336" i="2"/>
  <c r="K337" i="2"/>
  <c r="CT354" i="2" l="1"/>
  <c r="EM352" i="2" l="1"/>
  <c r="EL352" i="2"/>
  <c r="EK352" i="2"/>
  <c r="EM351" i="2"/>
  <c r="EL351" i="2"/>
  <c r="EK351" i="2"/>
  <c r="EM350" i="2"/>
  <c r="EL350" i="2"/>
  <c r="EK350" i="2"/>
  <c r="EJ352" i="2"/>
  <c r="EJ351" i="2"/>
  <c r="FJ352" i="2"/>
  <c r="FJ351" i="2"/>
  <c r="FJ350" i="2"/>
  <c r="EJ350" i="2"/>
  <c r="EI352" i="2"/>
  <c r="EI351" i="2"/>
  <c r="EI350" i="2"/>
  <c r="EG352" i="2"/>
  <c r="FD352" i="2"/>
  <c r="EG351" i="2"/>
  <c r="FD351" i="2"/>
  <c r="EG350" i="2"/>
  <c r="FD350" i="2"/>
  <c r="EF352" i="2"/>
  <c r="EF351" i="2"/>
  <c r="EF350" i="2"/>
  <c r="EY352" i="2"/>
  <c r="EY351" i="2"/>
  <c r="EY350" i="2"/>
  <c r="ES352" i="2"/>
  <c r="ES351" i="2"/>
  <c r="ES350" i="2"/>
  <c r="EH352" i="2" l="1"/>
  <c r="EN352" i="2"/>
  <c r="EN350" i="2"/>
  <c r="EN351" i="2"/>
  <c r="EH350" i="2"/>
  <c r="EH351" i="2"/>
  <c r="AH16" i="3" l="1"/>
  <c r="AH17" i="3" s="1"/>
  <c r="D21" i="42"/>
  <c r="D20" i="42"/>
  <c r="D19" i="42"/>
  <c r="D18" i="42"/>
  <c r="D17" i="42"/>
  <c r="D16" i="42"/>
  <c r="D15" i="42"/>
  <c r="D14" i="42"/>
  <c r="D13" i="42"/>
  <c r="D12" i="42"/>
  <c r="D11" i="42" l="1"/>
  <c r="D10" i="42"/>
  <c r="M200" i="28" l="1"/>
  <c r="L200" i="28"/>
  <c r="K200" i="28"/>
  <c r="J200" i="28"/>
  <c r="I200" i="28"/>
  <c r="H200" i="28"/>
  <c r="G200" i="28"/>
  <c r="F200" i="28"/>
  <c r="F218" i="28" s="1"/>
  <c r="E200" i="28"/>
  <c r="E218" i="28" s="1"/>
  <c r="D200" i="28"/>
  <c r="C200" i="28"/>
  <c r="B200" i="28"/>
  <c r="B218" i="28" s="1"/>
  <c r="M161" i="28"/>
  <c r="M194" i="28" s="1"/>
  <c r="L161" i="28"/>
  <c r="L194" i="28" s="1"/>
  <c r="K161" i="28"/>
  <c r="K194" i="28" s="1"/>
  <c r="J161" i="28"/>
  <c r="J194" i="28" s="1"/>
  <c r="I161" i="28"/>
  <c r="I194" i="28" s="1"/>
  <c r="H161" i="28"/>
  <c r="H194" i="28" s="1"/>
  <c r="G161" i="28"/>
  <c r="G194" i="28" s="1"/>
  <c r="F161" i="28"/>
  <c r="F194" i="28" s="1"/>
  <c r="E161" i="28"/>
  <c r="E194" i="28" s="1"/>
  <c r="D161" i="28"/>
  <c r="D194" i="28" s="1"/>
  <c r="C161" i="28"/>
  <c r="C194" i="28" s="1"/>
  <c r="B161" i="28"/>
  <c r="B194" i="28" s="1"/>
  <c r="M122" i="28"/>
  <c r="M155" i="28" s="1"/>
  <c r="L122" i="28"/>
  <c r="L155" i="28" s="1"/>
  <c r="K122" i="28"/>
  <c r="K155" i="28" s="1"/>
  <c r="J122" i="28"/>
  <c r="J155" i="28" s="1"/>
  <c r="I122" i="28"/>
  <c r="I155" i="28" s="1"/>
  <c r="H122" i="28"/>
  <c r="H155" i="28" s="1"/>
  <c r="G122" i="28"/>
  <c r="G155" i="28" s="1"/>
  <c r="F122" i="28"/>
  <c r="F155" i="28" s="1"/>
  <c r="E122" i="28"/>
  <c r="E155" i="28" s="1"/>
  <c r="D122" i="28"/>
  <c r="D155" i="28" s="1"/>
  <c r="C122" i="28"/>
  <c r="C155" i="28" s="1"/>
  <c r="B122" i="28"/>
  <c r="B155" i="28" s="1"/>
  <c r="M83" i="28"/>
  <c r="M116" i="28" s="1"/>
  <c r="L83" i="28"/>
  <c r="L116" i="28" s="1"/>
  <c r="K83" i="28"/>
  <c r="K112" i="28" s="1"/>
  <c r="J83" i="28"/>
  <c r="J116" i="28" s="1"/>
  <c r="I83" i="28"/>
  <c r="I116" i="28" s="1"/>
  <c r="H83" i="28"/>
  <c r="H116" i="28" s="1"/>
  <c r="G83" i="28"/>
  <c r="G110" i="28" s="1"/>
  <c r="F83" i="28"/>
  <c r="E83" i="28"/>
  <c r="E116" i="28" s="1"/>
  <c r="D83" i="28"/>
  <c r="D116" i="28" s="1"/>
  <c r="C83" i="28"/>
  <c r="C110" i="28" s="1"/>
  <c r="B83" i="28"/>
  <c r="M44" i="28"/>
  <c r="L44" i="28"/>
  <c r="K44" i="28"/>
  <c r="K52" i="28" s="1"/>
  <c r="J44" i="28"/>
  <c r="J75" i="28" s="1"/>
  <c r="I44" i="28"/>
  <c r="I52" i="28" s="1"/>
  <c r="H44" i="28"/>
  <c r="G44" i="28"/>
  <c r="G52" i="28" s="1"/>
  <c r="F44" i="28"/>
  <c r="F77" i="28" s="1"/>
  <c r="E44" i="28"/>
  <c r="E52" i="28" s="1"/>
  <c r="D44" i="28"/>
  <c r="C44" i="28"/>
  <c r="C52" i="28" s="1"/>
  <c r="B44" i="28"/>
  <c r="B75" i="28" s="1"/>
  <c r="M5" i="28"/>
  <c r="M23" i="28" s="1"/>
  <c r="L5" i="28"/>
  <c r="L15" i="28" s="1"/>
  <c r="K5" i="28"/>
  <c r="K38" i="28" s="1"/>
  <c r="J5" i="28"/>
  <c r="J30" i="28" s="1"/>
  <c r="I5" i="28"/>
  <c r="I26" i="28" s="1"/>
  <c r="H5" i="28"/>
  <c r="H22" i="28" s="1"/>
  <c r="G5" i="28"/>
  <c r="G38" i="28" s="1"/>
  <c r="F5" i="28"/>
  <c r="F30" i="28" s="1"/>
  <c r="E5" i="28"/>
  <c r="E30" i="28" s="1"/>
  <c r="D5" i="28"/>
  <c r="D20" i="28" s="1"/>
  <c r="C5" i="28"/>
  <c r="C38" i="28" s="1"/>
  <c r="B5" i="28"/>
  <c r="B32" i="28" s="1"/>
  <c r="K202" i="28" l="1"/>
  <c r="K207" i="28"/>
  <c r="K212" i="28"/>
  <c r="K217" i="28"/>
  <c r="K225" i="28"/>
  <c r="K233" i="28"/>
  <c r="K206" i="28"/>
  <c r="K211" i="28"/>
  <c r="K216" i="28"/>
  <c r="K223" i="28"/>
  <c r="K231" i="28"/>
  <c r="K204" i="28"/>
  <c r="K210" i="28"/>
  <c r="K215" i="28"/>
  <c r="K221" i="28"/>
  <c r="K229" i="28"/>
  <c r="K203" i="28"/>
  <c r="K208" i="28"/>
  <c r="K214" i="28"/>
  <c r="K218" i="28"/>
  <c r="K227" i="28"/>
  <c r="L203" i="28"/>
  <c r="L208" i="28"/>
  <c r="L214" i="28"/>
  <c r="L218" i="28"/>
  <c r="L227" i="28"/>
  <c r="L202" i="28"/>
  <c r="L207" i="28"/>
  <c r="L212" i="28"/>
  <c r="L217" i="28"/>
  <c r="L225" i="28"/>
  <c r="L233" i="28"/>
  <c r="L206" i="28"/>
  <c r="L211" i="28"/>
  <c r="L216" i="28"/>
  <c r="L223" i="28"/>
  <c r="L231" i="28"/>
  <c r="L204" i="28"/>
  <c r="L210" i="28"/>
  <c r="L215" i="28"/>
  <c r="L221" i="28"/>
  <c r="L229" i="28"/>
  <c r="M204" i="28"/>
  <c r="M210" i="28"/>
  <c r="M215" i="28"/>
  <c r="M221" i="28"/>
  <c r="M229" i="28"/>
  <c r="M203" i="28"/>
  <c r="M208" i="28"/>
  <c r="M214" i="28"/>
  <c r="M218" i="28"/>
  <c r="M227" i="28"/>
  <c r="M202" i="28"/>
  <c r="M207" i="28"/>
  <c r="M212" i="28"/>
  <c r="M217" i="28"/>
  <c r="M225" i="28"/>
  <c r="M233" i="28"/>
  <c r="M206" i="28"/>
  <c r="M211" i="28"/>
  <c r="M216" i="28"/>
  <c r="M223" i="28"/>
  <c r="M231" i="28"/>
  <c r="J204" i="28"/>
  <c r="J210" i="28"/>
  <c r="J215" i="28"/>
  <c r="J221" i="28"/>
  <c r="J229" i="28"/>
  <c r="J203" i="28"/>
  <c r="J208" i="28"/>
  <c r="J214" i="28"/>
  <c r="J218" i="28"/>
  <c r="J227" i="28"/>
  <c r="J202" i="28"/>
  <c r="J207" i="28"/>
  <c r="J212" i="28"/>
  <c r="J217" i="28"/>
  <c r="J225" i="28"/>
  <c r="J233" i="28"/>
  <c r="J206" i="28"/>
  <c r="J211" i="28"/>
  <c r="J216" i="28"/>
  <c r="J223" i="28"/>
  <c r="J231" i="28"/>
  <c r="H202" i="28"/>
  <c r="H207" i="28"/>
  <c r="H212" i="28"/>
  <c r="H217" i="28"/>
  <c r="H225" i="28"/>
  <c r="H233" i="28"/>
  <c r="H206" i="28"/>
  <c r="H211" i="28"/>
  <c r="H216" i="28"/>
  <c r="H223" i="28"/>
  <c r="H231" i="28"/>
  <c r="H204" i="28"/>
  <c r="H210" i="28"/>
  <c r="H215" i="28"/>
  <c r="H221" i="28"/>
  <c r="H229" i="28"/>
  <c r="H203" i="28"/>
  <c r="H208" i="28"/>
  <c r="H214" i="28"/>
  <c r="H218" i="28"/>
  <c r="H227" i="28"/>
  <c r="I203" i="28"/>
  <c r="I208" i="28"/>
  <c r="I214" i="28"/>
  <c r="I218" i="28"/>
  <c r="I227" i="28"/>
  <c r="I202" i="28"/>
  <c r="I207" i="28"/>
  <c r="I212" i="28"/>
  <c r="I217" i="28"/>
  <c r="I225" i="28"/>
  <c r="I233" i="28"/>
  <c r="I206" i="28"/>
  <c r="I211" i="28"/>
  <c r="I216" i="28"/>
  <c r="I223" i="28"/>
  <c r="I231" i="28"/>
  <c r="I204" i="28"/>
  <c r="I210" i="28"/>
  <c r="I215" i="28"/>
  <c r="I221" i="28"/>
  <c r="I229" i="28"/>
  <c r="C87" i="28"/>
  <c r="K106" i="28"/>
  <c r="K100" i="28"/>
  <c r="G94" i="28"/>
  <c r="K90" i="28"/>
  <c r="F34" i="28"/>
  <c r="J36" i="28"/>
  <c r="C54" i="28"/>
  <c r="K56" i="28"/>
  <c r="G60" i="28"/>
  <c r="C65" i="28"/>
  <c r="K69" i="28"/>
  <c r="G75" i="28"/>
  <c r="C86" i="28"/>
  <c r="K89" i="28"/>
  <c r="G93" i="28"/>
  <c r="C97" i="28"/>
  <c r="K99" i="28"/>
  <c r="G106" i="28"/>
  <c r="K114" i="28"/>
  <c r="B38" i="28"/>
  <c r="B34" i="28"/>
  <c r="F36" i="28"/>
  <c r="J38" i="28"/>
  <c r="C56" i="28"/>
  <c r="K59" i="28"/>
  <c r="G62" i="28"/>
  <c r="C69" i="28"/>
  <c r="K73" i="28"/>
  <c r="K85" i="28"/>
  <c r="G89" i="28"/>
  <c r="C93" i="28"/>
  <c r="K95" i="28"/>
  <c r="G99" i="28"/>
  <c r="G104" i="28"/>
  <c r="G112" i="28"/>
  <c r="F32" i="28"/>
  <c r="J34" i="28"/>
  <c r="J32" i="28"/>
  <c r="B36" i="28"/>
  <c r="F38" i="28"/>
  <c r="G55" i="28"/>
  <c r="C59" i="28"/>
  <c r="K61" i="28"/>
  <c r="G67" i="28"/>
  <c r="C73" i="28"/>
  <c r="K77" i="28"/>
  <c r="G87" i="28"/>
  <c r="C91" i="28"/>
  <c r="K94" i="28"/>
  <c r="G98" i="28"/>
  <c r="C101" i="28"/>
  <c r="K108" i="28"/>
  <c r="K54" i="28"/>
  <c r="G58" i="28"/>
  <c r="C61" i="28"/>
  <c r="K65" i="28"/>
  <c r="G71" i="28"/>
  <c r="C77" i="28"/>
  <c r="C98" i="28"/>
  <c r="M77" i="28"/>
  <c r="M75" i="28"/>
  <c r="M73" i="28"/>
  <c r="M71" i="28"/>
  <c r="M69" i="28"/>
  <c r="M67" i="28"/>
  <c r="M65" i="28"/>
  <c r="M62" i="28"/>
  <c r="M61" i="28"/>
  <c r="M60" i="28"/>
  <c r="M59" i="28"/>
  <c r="M58" i="28"/>
  <c r="M56" i="28"/>
  <c r="M55" i="28"/>
  <c r="M54" i="28"/>
  <c r="M52" i="28"/>
  <c r="E7" i="28"/>
  <c r="M7" i="28"/>
  <c r="I8" i="28"/>
  <c r="E9" i="28"/>
  <c r="M9" i="28"/>
  <c r="I11" i="28"/>
  <c r="E12" i="28"/>
  <c r="M12" i="28"/>
  <c r="I13" i="28"/>
  <c r="E15" i="28"/>
  <c r="M15" i="28"/>
  <c r="I16" i="28"/>
  <c r="E17" i="28"/>
  <c r="M17" i="28"/>
  <c r="I19" i="28"/>
  <c r="E20" i="28"/>
  <c r="M20" i="28"/>
  <c r="I21" i="28"/>
  <c r="E22" i="28"/>
  <c r="M22" i="28"/>
  <c r="I23" i="28"/>
  <c r="E26" i="28"/>
  <c r="M26" i="28"/>
  <c r="I28" i="28"/>
  <c r="M28" i="28"/>
  <c r="I30" i="28"/>
  <c r="M30" i="28"/>
  <c r="H7" i="28"/>
  <c r="L9" i="28"/>
  <c r="D13" i="28"/>
  <c r="D16" i="28"/>
  <c r="L17" i="28"/>
  <c r="L19" i="28"/>
  <c r="H20" i="28"/>
  <c r="L20" i="28"/>
  <c r="D21" i="28"/>
  <c r="H21" i="28"/>
  <c r="L21" i="28"/>
  <c r="D22" i="28"/>
  <c r="D23" i="28"/>
  <c r="H23" i="28"/>
  <c r="L23" i="28"/>
  <c r="D26" i="28"/>
  <c r="H26" i="28"/>
  <c r="L26" i="28"/>
  <c r="D28" i="28"/>
  <c r="H28" i="28"/>
  <c r="L28" i="28"/>
  <c r="D30" i="28"/>
  <c r="H30" i="28"/>
  <c r="L30" i="28"/>
  <c r="E32" i="28"/>
  <c r="I32" i="28"/>
  <c r="M32" i="28"/>
  <c r="E34" i="28"/>
  <c r="I34" i="28"/>
  <c r="M34" i="28"/>
  <c r="E36" i="28"/>
  <c r="I36" i="28"/>
  <c r="M36" i="28"/>
  <c r="E38" i="28"/>
  <c r="I38" i="28"/>
  <c r="M38" i="28"/>
  <c r="E46" i="28"/>
  <c r="I46" i="28"/>
  <c r="M46" i="28"/>
  <c r="E47" i="28"/>
  <c r="I47" i="28"/>
  <c r="M47" i="28"/>
  <c r="E48" i="28"/>
  <c r="I48" i="28"/>
  <c r="M48" i="28"/>
  <c r="E50" i="28"/>
  <c r="I50" i="28"/>
  <c r="M50" i="28"/>
  <c r="E51" i="28"/>
  <c r="I51" i="28"/>
  <c r="M51" i="28"/>
  <c r="B54" i="28"/>
  <c r="J54" i="28"/>
  <c r="F55" i="28"/>
  <c r="B56" i="28"/>
  <c r="J56" i="28"/>
  <c r="F58" i="28"/>
  <c r="B59" i="28"/>
  <c r="J59" i="28"/>
  <c r="F60" i="28"/>
  <c r="B61" i="28"/>
  <c r="J61" i="28"/>
  <c r="F62" i="28"/>
  <c r="B65" i="28"/>
  <c r="J65" i="28"/>
  <c r="F67" i="28"/>
  <c r="B69" i="28"/>
  <c r="J69" i="28"/>
  <c r="F71" i="28"/>
  <c r="B73" i="28"/>
  <c r="J73" i="28"/>
  <c r="F75" i="28"/>
  <c r="B77" i="28"/>
  <c r="J77" i="28"/>
  <c r="C104" i="28"/>
  <c r="C112" i="28"/>
  <c r="G114" i="28"/>
  <c r="K116" i="28"/>
  <c r="I77" i="28"/>
  <c r="I75" i="28"/>
  <c r="I73" i="28"/>
  <c r="I71" i="28"/>
  <c r="I69" i="28"/>
  <c r="I67" i="28"/>
  <c r="I65" i="28"/>
  <c r="I62" i="28"/>
  <c r="I61" i="28"/>
  <c r="I60" i="28"/>
  <c r="I59" i="28"/>
  <c r="I58" i="28"/>
  <c r="I56" i="28"/>
  <c r="I55" i="28"/>
  <c r="I54" i="28"/>
  <c r="D77" i="28"/>
  <c r="D75" i="28"/>
  <c r="D73" i="28"/>
  <c r="D71" i="28"/>
  <c r="D69" i="28"/>
  <c r="D67" i="28"/>
  <c r="D65" i="28"/>
  <c r="D62" i="28"/>
  <c r="D61" i="28"/>
  <c r="D60" i="28"/>
  <c r="D59" i="28"/>
  <c r="D58" i="28"/>
  <c r="D56" i="28"/>
  <c r="D55" i="28"/>
  <c r="D54" i="28"/>
  <c r="H77" i="28"/>
  <c r="H75" i="28"/>
  <c r="H73" i="28"/>
  <c r="H71" i="28"/>
  <c r="H69" i="28"/>
  <c r="H67" i="28"/>
  <c r="H65" i="28"/>
  <c r="H62" i="28"/>
  <c r="H61" i="28"/>
  <c r="H60" i="28"/>
  <c r="H59" i="28"/>
  <c r="H58" i="28"/>
  <c r="H56" i="28"/>
  <c r="H55" i="28"/>
  <c r="H54" i="28"/>
  <c r="L77" i="28"/>
  <c r="L75" i="28"/>
  <c r="L73" i="28"/>
  <c r="L71" i="28"/>
  <c r="L69" i="28"/>
  <c r="L67" i="28"/>
  <c r="L65" i="28"/>
  <c r="L62" i="28"/>
  <c r="L61" i="28"/>
  <c r="L60" i="28"/>
  <c r="L59" i="28"/>
  <c r="L58" i="28"/>
  <c r="L56" i="28"/>
  <c r="L55" i="28"/>
  <c r="L54" i="28"/>
  <c r="B46" i="28"/>
  <c r="J46" i="28"/>
  <c r="F47" i="28"/>
  <c r="B48" i="28"/>
  <c r="J48" i="28"/>
  <c r="F50" i="28"/>
  <c r="B51" i="28"/>
  <c r="J51" i="28"/>
  <c r="F52" i="28"/>
  <c r="D8" i="28"/>
  <c r="L8" i="28"/>
  <c r="H9" i="28"/>
  <c r="H11" i="28"/>
  <c r="D12" i="28"/>
  <c r="L12" i="28"/>
  <c r="L13" i="28"/>
  <c r="H15" i="28"/>
  <c r="L16" i="28"/>
  <c r="H17" i="28"/>
  <c r="H19" i="28"/>
  <c r="L22" i="28"/>
  <c r="C7" i="28"/>
  <c r="G7" i="28"/>
  <c r="K7" i="28"/>
  <c r="C8" i="28"/>
  <c r="G8" i="28"/>
  <c r="K8" i="28"/>
  <c r="C9" i="28"/>
  <c r="G9" i="28"/>
  <c r="K9" i="28"/>
  <c r="C11" i="28"/>
  <c r="G11" i="28"/>
  <c r="K11" i="28"/>
  <c r="C12" i="28"/>
  <c r="G12" i="28"/>
  <c r="K12" i="28"/>
  <c r="C13" i="28"/>
  <c r="G13" i="28"/>
  <c r="K13" i="28"/>
  <c r="C15" i="28"/>
  <c r="G15" i="28"/>
  <c r="K15" i="28"/>
  <c r="C16" i="28"/>
  <c r="G16" i="28"/>
  <c r="K16" i="28"/>
  <c r="C17" i="28"/>
  <c r="G17" i="28"/>
  <c r="K17" i="28"/>
  <c r="C19" i="28"/>
  <c r="G19" i="28"/>
  <c r="K19" i="28"/>
  <c r="C20" i="28"/>
  <c r="G20" i="28"/>
  <c r="K20" i="28"/>
  <c r="C21" i="28"/>
  <c r="G21" i="28"/>
  <c r="K21" i="28"/>
  <c r="C22" i="28"/>
  <c r="G22" i="28"/>
  <c r="K22" i="28"/>
  <c r="C23" i="28"/>
  <c r="G23" i="28"/>
  <c r="K23" i="28"/>
  <c r="C26" i="28"/>
  <c r="G26" i="28"/>
  <c r="K26" i="28"/>
  <c r="C28" i="28"/>
  <c r="G28" i="28"/>
  <c r="K28" i="28"/>
  <c r="C30" i="28"/>
  <c r="G30" i="28"/>
  <c r="K30" i="28"/>
  <c r="D32" i="28"/>
  <c r="H32" i="28"/>
  <c r="L32" i="28"/>
  <c r="D34" i="28"/>
  <c r="H34" i="28"/>
  <c r="L34" i="28"/>
  <c r="D36" i="28"/>
  <c r="H36" i="28"/>
  <c r="L36" i="28"/>
  <c r="D38" i="28"/>
  <c r="H38" i="28"/>
  <c r="L38" i="28"/>
  <c r="D46" i="28"/>
  <c r="H46" i="28"/>
  <c r="L46" i="28"/>
  <c r="D47" i="28"/>
  <c r="H47" i="28"/>
  <c r="L47" i="28"/>
  <c r="D48" i="28"/>
  <c r="H48" i="28"/>
  <c r="L48" i="28"/>
  <c r="D50" i="28"/>
  <c r="H50" i="28"/>
  <c r="L50" i="28"/>
  <c r="D51" i="28"/>
  <c r="H51" i="28"/>
  <c r="L51" i="28"/>
  <c r="D52" i="28"/>
  <c r="H52" i="28"/>
  <c r="L52" i="28"/>
  <c r="G54" i="28"/>
  <c r="C55" i="28"/>
  <c r="K55" i="28"/>
  <c r="G56" i="28"/>
  <c r="C58" i="28"/>
  <c r="K58" i="28"/>
  <c r="G59" i="28"/>
  <c r="C60" i="28"/>
  <c r="K60" i="28"/>
  <c r="G61" i="28"/>
  <c r="C62" i="28"/>
  <c r="K62" i="28"/>
  <c r="G65" i="28"/>
  <c r="C67" i="28"/>
  <c r="K67" i="28"/>
  <c r="G69" i="28"/>
  <c r="C71" i="28"/>
  <c r="K71" i="28"/>
  <c r="G73" i="28"/>
  <c r="C75" i="28"/>
  <c r="K75" i="28"/>
  <c r="G77" i="28"/>
  <c r="G85" i="28"/>
  <c r="K86" i="28"/>
  <c r="C89" i="28"/>
  <c r="G90" i="28"/>
  <c r="K91" i="28"/>
  <c r="C94" i="28"/>
  <c r="G95" i="28"/>
  <c r="K97" i="28"/>
  <c r="C99" i="28"/>
  <c r="G100" i="28"/>
  <c r="K101" i="28"/>
  <c r="C106" i="28"/>
  <c r="G108" i="28"/>
  <c r="K110" i="28"/>
  <c r="C114" i="28"/>
  <c r="G116" i="28"/>
  <c r="E77" i="28"/>
  <c r="E75" i="28"/>
  <c r="E73" i="28"/>
  <c r="E71" i="28"/>
  <c r="E69" i="28"/>
  <c r="E67" i="28"/>
  <c r="E65" i="28"/>
  <c r="E62" i="28"/>
  <c r="E61" i="28"/>
  <c r="E60" i="28"/>
  <c r="E59" i="28"/>
  <c r="E58" i="28"/>
  <c r="E56" i="28"/>
  <c r="E55" i="28"/>
  <c r="E54" i="28"/>
  <c r="B116" i="28"/>
  <c r="B114" i="28"/>
  <c r="B112" i="28"/>
  <c r="B110" i="28"/>
  <c r="B108" i="28"/>
  <c r="B106" i="28"/>
  <c r="B104" i="28"/>
  <c r="B101" i="28"/>
  <c r="B100" i="28"/>
  <c r="B99" i="28"/>
  <c r="B98" i="28"/>
  <c r="B97" i="28"/>
  <c r="B95" i="28"/>
  <c r="B94" i="28"/>
  <c r="B93" i="28"/>
  <c r="B91" i="28"/>
  <c r="B90" i="28"/>
  <c r="B89" i="28"/>
  <c r="B87" i="28"/>
  <c r="B86" i="28"/>
  <c r="B85" i="28"/>
  <c r="F116" i="28"/>
  <c r="F114" i="28"/>
  <c r="F112" i="28"/>
  <c r="F110" i="28"/>
  <c r="F108" i="28"/>
  <c r="F106" i="28"/>
  <c r="F104" i="28"/>
  <c r="F101" i="28"/>
  <c r="F100" i="28"/>
  <c r="F99" i="28"/>
  <c r="F98" i="28"/>
  <c r="F97" i="28"/>
  <c r="F95" i="28"/>
  <c r="F94" i="28"/>
  <c r="F93" i="28"/>
  <c r="F91" i="28"/>
  <c r="F90" i="28"/>
  <c r="F89" i="28"/>
  <c r="F87" i="28"/>
  <c r="F86" i="28"/>
  <c r="F85" i="28"/>
  <c r="F46" i="28"/>
  <c r="B47" i="28"/>
  <c r="J47" i="28"/>
  <c r="F48" i="28"/>
  <c r="B50" i="28"/>
  <c r="J50" i="28"/>
  <c r="F51" i="28"/>
  <c r="B52" i="28"/>
  <c r="J52" i="28"/>
  <c r="D7" i="28"/>
  <c r="L7" i="28"/>
  <c r="H8" i="28"/>
  <c r="D9" i="28"/>
  <c r="D11" i="28"/>
  <c r="L11" i="28"/>
  <c r="H12" i="28"/>
  <c r="H13" i="28"/>
  <c r="D15" i="28"/>
  <c r="H16" i="28"/>
  <c r="D17" i="28"/>
  <c r="D19" i="28"/>
  <c r="B7" i="28"/>
  <c r="F7" i="28"/>
  <c r="J7" i="28"/>
  <c r="B8" i="28"/>
  <c r="F8" i="28"/>
  <c r="J8" i="28"/>
  <c r="B9" i="28"/>
  <c r="F9" i="28"/>
  <c r="J9" i="28"/>
  <c r="B11" i="28"/>
  <c r="F11" i="28"/>
  <c r="J11" i="28"/>
  <c r="B12" i="28"/>
  <c r="F12" i="28"/>
  <c r="J12" i="28"/>
  <c r="B13" i="28"/>
  <c r="F13" i="28"/>
  <c r="J13" i="28"/>
  <c r="B15" i="28"/>
  <c r="F15" i="28"/>
  <c r="J15" i="28"/>
  <c r="B16" i="28"/>
  <c r="F16" i="28"/>
  <c r="J16" i="28"/>
  <c r="B17" i="28"/>
  <c r="F17" i="28"/>
  <c r="J17" i="28"/>
  <c r="B19" i="28"/>
  <c r="F19" i="28"/>
  <c r="J19" i="28"/>
  <c r="B20" i="28"/>
  <c r="F20" i="28"/>
  <c r="J20" i="28"/>
  <c r="B21" i="28"/>
  <c r="F21" i="28"/>
  <c r="J21" i="28"/>
  <c r="B22" i="28"/>
  <c r="F22" i="28"/>
  <c r="J22" i="28"/>
  <c r="B23" i="28"/>
  <c r="F23" i="28"/>
  <c r="J23" i="28"/>
  <c r="B26" i="28"/>
  <c r="F26" i="28"/>
  <c r="J26" i="28"/>
  <c r="B28" i="28"/>
  <c r="F28" i="28"/>
  <c r="J28" i="28"/>
  <c r="B30" i="28"/>
  <c r="G32" i="28"/>
  <c r="K32" i="28"/>
  <c r="C34" i="28"/>
  <c r="G34" i="28"/>
  <c r="K34" i="28"/>
  <c r="C36" i="28"/>
  <c r="G36" i="28"/>
  <c r="K36" i="28"/>
  <c r="C46" i="28"/>
  <c r="G46" i="28"/>
  <c r="K46" i="28"/>
  <c r="C47" i="28"/>
  <c r="G47" i="28"/>
  <c r="K47" i="28"/>
  <c r="C48" i="28"/>
  <c r="G48" i="28"/>
  <c r="K48" i="28"/>
  <c r="C50" i="28"/>
  <c r="G50" i="28"/>
  <c r="K50" i="28"/>
  <c r="C51" i="28"/>
  <c r="G51" i="28"/>
  <c r="K51" i="28"/>
  <c r="F54" i="28"/>
  <c r="B55" i="28"/>
  <c r="J55" i="28"/>
  <c r="F56" i="28"/>
  <c r="B58" i="28"/>
  <c r="J58" i="28"/>
  <c r="F59" i="28"/>
  <c r="B60" i="28"/>
  <c r="J60" i="28"/>
  <c r="F61" i="28"/>
  <c r="B62" i="28"/>
  <c r="J62" i="28"/>
  <c r="F65" i="28"/>
  <c r="B67" i="28"/>
  <c r="J67" i="28"/>
  <c r="F69" i="28"/>
  <c r="B71" i="28"/>
  <c r="J71" i="28"/>
  <c r="F73" i="28"/>
  <c r="C85" i="28"/>
  <c r="G86" i="28"/>
  <c r="K87" i="28"/>
  <c r="C90" i="28"/>
  <c r="G91" i="28"/>
  <c r="K93" i="28"/>
  <c r="C95" i="28"/>
  <c r="G97" i="28"/>
  <c r="K98" i="28"/>
  <c r="C100" i="28"/>
  <c r="G101" i="28"/>
  <c r="K104" i="28"/>
  <c r="C108" i="28"/>
  <c r="C116" i="28"/>
  <c r="I7" i="28"/>
  <c r="E8" i="28"/>
  <c r="M8" i="28"/>
  <c r="I9" i="28"/>
  <c r="E11" i="28"/>
  <c r="M11" i="28"/>
  <c r="I12" i="28"/>
  <c r="E13" i="28"/>
  <c r="M13" i="28"/>
  <c r="I15" i="28"/>
  <c r="E16" i="28"/>
  <c r="M16" i="28"/>
  <c r="I17" i="28"/>
  <c r="E19" i="28"/>
  <c r="M19" i="28"/>
  <c r="I20" i="28"/>
  <c r="E21" i="28"/>
  <c r="M21" i="28"/>
  <c r="I22" i="28"/>
  <c r="E23" i="28"/>
  <c r="E28" i="28"/>
  <c r="D231" i="28"/>
  <c r="D227" i="28"/>
  <c r="D223" i="28"/>
  <c r="D233" i="28"/>
  <c r="D229" i="28"/>
  <c r="D225" i="28"/>
  <c r="D85" i="28"/>
  <c r="H85" i="28"/>
  <c r="L85" i="28"/>
  <c r="D86" i="28"/>
  <c r="H86" i="28"/>
  <c r="L86" i="28"/>
  <c r="D87" i="28"/>
  <c r="H87" i="28"/>
  <c r="L87" i="28"/>
  <c r="D89" i="28"/>
  <c r="H89" i="28"/>
  <c r="L89" i="28"/>
  <c r="D90" i="28"/>
  <c r="H90" i="28"/>
  <c r="L90" i="28"/>
  <c r="D91" i="28"/>
  <c r="H91" i="28"/>
  <c r="L91" i="28"/>
  <c r="D93" i="28"/>
  <c r="H93" i="28"/>
  <c r="L93" i="28"/>
  <c r="D94" i="28"/>
  <c r="H94" i="28"/>
  <c r="L94" i="28"/>
  <c r="D95" i="28"/>
  <c r="H95" i="28"/>
  <c r="L95" i="28"/>
  <c r="D97" i="28"/>
  <c r="H97" i="28"/>
  <c r="L97" i="28"/>
  <c r="D98" i="28"/>
  <c r="H98" i="28"/>
  <c r="L98" i="28"/>
  <c r="D99" i="28"/>
  <c r="H99" i="28"/>
  <c r="L99" i="28"/>
  <c r="D100" i="28"/>
  <c r="H100" i="28"/>
  <c r="L100" i="28"/>
  <c r="D101" i="28"/>
  <c r="H101" i="28"/>
  <c r="L101" i="28"/>
  <c r="D104" i="28"/>
  <c r="H104" i="28"/>
  <c r="L104" i="28"/>
  <c r="D106" i="28"/>
  <c r="H106" i="28"/>
  <c r="L106" i="28"/>
  <c r="D108" i="28"/>
  <c r="H108" i="28"/>
  <c r="L108" i="28"/>
  <c r="D110" i="28"/>
  <c r="H110" i="28"/>
  <c r="L110" i="28"/>
  <c r="D112" i="28"/>
  <c r="H112" i="28"/>
  <c r="L112" i="28"/>
  <c r="D114" i="28"/>
  <c r="H114" i="28"/>
  <c r="L114" i="28"/>
  <c r="D124" i="28"/>
  <c r="H124" i="28"/>
  <c r="L124" i="28"/>
  <c r="D125" i="28"/>
  <c r="H125" i="28"/>
  <c r="L125" i="28"/>
  <c r="D126" i="28"/>
  <c r="H126" i="28"/>
  <c r="L126" i="28"/>
  <c r="D128" i="28"/>
  <c r="H128" i="28"/>
  <c r="L128" i="28"/>
  <c r="D129" i="28"/>
  <c r="H129" i="28"/>
  <c r="L129" i="28"/>
  <c r="D130" i="28"/>
  <c r="H130" i="28"/>
  <c r="L130" i="28"/>
  <c r="D132" i="28"/>
  <c r="H132" i="28"/>
  <c r="L132" i="28"/>
  <c r="D133" i="28"/>
  <c r="H133" i="28"/>
  <c r="L133" i="28"/>
  <c r="D134" i="28"/>
  <c r="H134" i="28"/>
  <c r="L134" i="28"/>
  <c r="D136" i="28"/>
  <c r="H136" i="28"/>
  <c r="L136" i="28"/>
  <c r="D137" i="28"/>
  <c r="H137" i="28"/>
  <c r="L137" i="28"/>
  <c r="D138" i="28"/>
  <c r="H138" i="28"/>
  <c r="L138" i="28"/>
  <c r="D139" i="28"/>
  <c r="H139" i="28"/>
  <c r="L139" i="28"/>
  <c r="D140" i="28"/>
  <c r="H140" i="28"/>
  <c r="L140" i="28"/>
  <c r="D143" i="28"/>
  <c r="H143" i="28"/>
  <c r="L143" i="28"/>
  <c r="D145" i="28"/>
  <c r="H145" i="28"/>
  <c r="L145" i="28"/>
  <c r="D147" i="28"/>
  <c r="H147" i="28"/>
  <c r="L147" i="28"/>
  <c r="D149" i="28"/>
  <c r="H149" i="28"/>
  <c r="L149" i="28"/>
  <c r="D151" i="28"/>
  <c r="H151" i="28"/>
  <c r="L151" i="28"/>
  <c r="D153" i="28"/>
  <c r="H153" i="28"/>
  <c r="L153" i="28"/>
  <c r="D163" i="28"/>
  <c r="H163" i="28"/>
  <c r="L163" i="28"/>
  <c r="D164" i="28"/>
  <c r="H164" i="28"/>
  <c r="L164" i="28"/>
  <c r="D165" i="28"/>
  <c r="H165" i="28"/>
  <c r="L165" i="28"/>
  <c r="D167" i="28"/>
  <c r="H167" i="28"/>
  <c r="L167" i="28"/>
  <c r="D168" i="28"/>
  <c r="H168" i="28"/>
  <c r="L168" i="28"/>
  <c r="D169" i="28"/>
  <c r="H169" i="28"/>
  <c r="L169" i="28"/>
  <c r="D171" i="28"/>
  <c r="H171" i="28"/>
  <c r="L171" i="28"/>
  <c r="D172" i="28"/>
  <c r="H172" i="28"/>
  <c r="L172" i="28"/>
  <c r="D173" i="28"/>
  <c r="H173" i="28"/>
  <c r="L173" i="28"/>
  <c r="D175" i="28"/>
  <c r="H175" i="28"/>
  <c r="L175" i="28"/>
  <c r="D176" i="28"/>
  <c r="H176" i="28"/>
  <c r="L176" i="28"/>
  <c r="D177" i="28"/>
  <c r="H177" i="28"/>
  <c r="L177" i="28"/>
  <c r="D178" i="28"/>
  <c r="H178" i="28"/>
  <c r="L178" i="28"/>
  <c r="D179" i="28"/>
  <c r="H179" i="28"/>
  <c r="L179" i="28"/>
  <c r="D182" i="28"/>
  <c r="H182" i="28"/>
  <c r="L182" i="28"/>
  <c r="D184" i="28"/>
  <c r="H184" i="28"/>
  <c r="L184" i="28"/>
  <c r="D186" i="28"/>
  <c r="H186" i="28"/>
  <c r="L186" i="28"/>
  <c r="D188" i="28"/>
  <c r="H188" i="28"/>
  <c r="L188" i="28"/>
  <c r="D190" i="28"/>
  <c r="H190" i="28"/>
  <c r="L190" i="28"/>
  <c r="D192" i="28"/>
  <c r="H192" i="28"/>
  <c r="L192" i="28"/>
  <c r="D202" i="28"/>
  <c r="B203" i="28"/>
  <c r="F203" i="28"/>
  <c r="D204" i="28"/>
  <c r="B206" i="28"/>
  <c r="F206" i="28"/>
  <c r="D207" i="28"/>
  <c r="B208" i="28"/>
  <c r="F208" i="28"/>
  <c r="D210" i="28"/>
  <c r="B211" i="28"/>
  <c r="F211" i="28"/>
  <c r="D212" i="28"/>
  <c r="B214" i="28"/>
  <c r="F214" i="28"/>
  <c r="D215" i="28"/>
  <c r="B216" i="28"/>
  <c r="F216" i="28"/>
  <c r="D217" i="28"/>
  <c r="D221" i="28"/>
  <c r="C227" i="28"/>
  <c r="C233" i="28"/>
  <c r="C229" i="28"/>
  <c r="C225" i="28"/>
  <c r="C223" i="28"/>
  <c r="C231" i="28"/>
  <c r="G231" i="28"/>
  <c r="G233" i="28"/>
  <c r="G229" i="28"/>
  <c r="G225" i="28"/>
  <c r="G221" i="28"/>
  <c r="G227" i="28"/>
  <c r="G223" i="28"/>
  <c r="C124" i="28"/>
  <c r="G124" i="28"/>
  <c r="K124" i="28"/>
  <c r="C125" i="28"/>
  <c r="G125" i="28"/>
  <c r="K125" i="28"/>
  <c r="C126" i="28"/>
  <c r="G126" i="28"/>
  <c r="K126" i="28"/>
  <c r="C128" i="28"/>
  <c r="G128" i="28"/>
  <c r="K128" i="28"/>
  <c r="C129" i="28"/>
  <c r="G129" i="28"/>
  <c r="K129" i="28"/>
  <c r="C130" i="28"/>
  <c r="G130" i="28"/>
  <c r="K130" i="28"/>
  <c r="C132" i="28"/>
  <c r="G132" i="28"/>
  <c r="K132" i="28"/>
  <c r="C133" i="28"/>
  <c r="G133" i="28"/>
  <c r="K133" i="28"/>
  <c r="C134" i="28"/>
  <c r="G134" i="28"/>
  <c r="K134" i="28"/>
  <c r="C136" i="28"/>
  <c r="G136" i="28"/>
  <c r="K136" i="28"/>
  <c r="C137" i="28"/>
  <c r="G137" i="28"/>
  <c r="K137" i="28"/>
  <c r="C138" i="28"/>
  <c r="G138" i="28"/>
  <c r="K138" i="28"/>
  <c r="C139" i="28"/>
  <c r="G139" i="28"/>
  <c r="K139" i="28"/>
  <c r="C140" i="28"/>
  <c r="G140" i="28"/>
  <c r="K140" i="28"/>
  <c r="C143" i="28"/>
  <c r="G143" i="28"/>
  <c r="K143" i="28"/>
  <c r="C145" i="28"/>
  <c r="G145" i="28"/>
  <c r="K145" i="28"/>
  <c r="C147" i="28"/>
  <c r="G147" i="28"/>
  <c r="K147" i="28"/>
  <c r="C149" i="28"/>
  <c r="G149" i="28"/>
  <c r="K149" i="28"/>
  <c r="C151" i="28"/>
  <c r="G151" i="28"/>
  <c r="K151" i="28"/>
  <c r="C153" i="28"/>
  <c r="G153" i="28"/>
  <c r="K153" i="28"/>
  <c r="C163" i="28"/>
  <c r="G163" i="28"/>
  <c r="K163" i="28"/>
  <c r="C164" i="28"/>
  <c r="G164" i="28"/>
  <c r="K164" i="28"/>
  <c r="C165" i="28"/>
  <c r="G165" i="28"/>
  <c r="K165" i="28"/>
  <c r="C167" i="28"/>
  <c r="G167" i="28"/>
  <c r="K167" i="28"/>
  <c r="C168" i="28"/>
  <c r="G168" i="28"/>
  <c r="K168" i="28"/>
  <c r="C169" i="28"/>
  <c r="G169" i="28"/>
  <c r="K169" i="28"/>
  <c r="C171" i="28"/>
  <c r="G171" i="28"/>
  <c r="K171" i="28"/>
  <c r="C172" i="28"/>
  <c r="G172" i="28"/>
  <c r="K172" i="28"/>
  <c r="C173" i="28"/>
  <c r="G173" i="28"/>
  <c r="K173" i="28"/>
  <c r="C175" i="28"/>
  <c r="G175" i="28"/>
  <c r="K175" i="28"/>
  <c r="C176" i="28"/>
  <c r="G176" i="28"/>
  <c r="K176" i="28"/>
  <c r="C177" i="28"/>
  <c r="G177" i="28"/>
  <c r="K177" i="28"/>
  <c r="C178" i="28"/>
  <c r="G178" i="28"/>
  <c r="K178" i="28"/>
  <c r="C179" i="28"/>
  <c r="G179" i="28"/>
  <c r="K179" i="28"/>
  <c r="C182" i="28"/>
  <c r="G182" i="28"/>
  <c r="K182" i="28"/>
  <c r="C184" i="28"/>
  <c r="G184" i="28"/>
  <c r="K184" i="28"/>
  <c r="C186" i="28"/>
  <c r="G186" i="28"/>
  <c r="K186" i="28"/>
  <c r="C188" i="28"/>
  <c r="G188" i="28"/>
  <c r="K188" i="28"/>
  <c r="C190" i="28"/>
  <c r="G190" i="28"/>
  <c r="K190" i="28"/>
  <c r="C192" i="28"/>
  <c r="G192" i="28"/>
  <c r="K192" i="28"/>
  <c r="C202" i="28"/>
  <c r="G202" i="28"/>
  <c r="E203" i="28"/>
  <c r="C204" i="28"/>
  <c r="G204" i="28"/>
  <c r="E206" i="28"/>
  <c r="C207" i="28"/>
  <c r="G207" i="28"/>
  <c r="E208" i="28"/>
  <c r="C210" i="28"/>
  <c r="G210" i="28"/>
  <c r="E211" i="28"/>
  <c r="C212" i="28"/>
  <c r="G212" i="28"/>
  <c r="E214" i="28"/>
  <c r="C215" i="28"/>
  <c r="G215" i="28"/>
  <c r="E216" i="28"/>
  <c r="C217" i="28"/>
  <c r="G217" i="28"/>
  <c r="C221" i="28"/>
  <c r="B233" i="28"/>
  <c r="B229" i="28"/>
  <c r="B225" i="28"/>
  <c r="B231" i="28"/>
  <c r="B227" i="28"/>
  <c r="B223" i="28"/>
  <c r="F233" i="28"/>
  <c r="F229" i="28"/>
  <c r="F225" i="28"/>
  <c r="F221" i="28"/>
  <c r="F231" i="28"/>
  <c r="F227" i="28"/>
  <c r="F223" i="28"/>
  <c r="J85" i="28"/>
  <c r="J86" i="28"/>
  <c r="J87" i="28"/>
  <c r="J89" i="28"/>
  <c r="J90" i="28"/>
  <c r="J91" i="28"/>
  <c r="J93" i="28"/>
  <c r="J94" i="28"/>
  <c r="J95" i="28"/>
  <c r="J97" i="28"/>
  <c r="J98" i="28"/>
  <c r="J99" i="28"/>
  <c r="J100" i="28"/>
  <c r="J101" i="28"/>
  <c r="J104" i="28"/>
  <c r="J106" i="28"/>
  <c r="J108" i="28"/>
  <c r="J110" i="28"/>
  <c r="J112" i="28"/>
  <c r="J114" i="28"/>
  <c r="B124" i="28"/>
  <c r="F124" i="28"/>
  <c r="J124" i="28"/>
  <c r="B125" i="28"/>
  <c r="F125" i="28"/>
  <c r="J125" i="28"/>
  <c r="B126" i="28"/>
  <c r="F126" i="28"/>
  <c r="J126" i="28"/>
  <c r="B128" i="28"/>
  <c r="F128" i="28"/>
  <c r="J128" i="28"/>
  <c r="B129" i="28"/>
  <c r="F129" i="28"/>
  <c r="J129" i="28"/>
  <c r="B130" i="28"/>
  <c r="F130" i="28"/>
  <c r="J130" i="28"/>
  <c r="B132" i="28"/>
  <c r="F132" i="28"/>
  <c r="J132" i="28"/>
  <c r="B133" i="28"/>
  <c r="F133" i="28"/>
  <c r="J133" i="28"/>
  <c r="B134" i="28"/>
  <c r="F134" i="28"/>
  <c r="J134" i="28"/>
  <c r="B136" i="28"/>
  <c r="F136" i="28"/>
  <c r="J136" i="28"/>
  <c r="B137" i="28"/>
  <c r="F137" i="28"/>
  <c r="J137" i="28"/>
  <c r="B138" i="28"/>
  <c r="F138" i="28"/>
  <c r="J138" i="28"/>
  <c r="B139" i="28"/>
  <c r="F139" i="28"/>
  <c r="J139" i="28"/>
  <c r="B140" i="28"/>
  <c r="F140" i="28"/>
  <c r="J140" i="28"/>
  <c r="B143" i="28"/>
  <c r="F143" i="28"/>
  <c r="J143" i="28"/>
  <c r="B145" i="28"/>
  <c r="F145" i="28"/>
  <c r="J145" i="28"/>
  <c r="B147" i="28"/>
  <c r="F147" i="28"/>
  <c r="J147" i="28"/>
  <c r="B149" i="28"/>
  <c r="F149" i="28"/>
  <c r="J149" i="28"/>
  <c r="B151" i="28"/>
  <c r="F151" i="28"/>
  <c r="J151" i="28"/>
  <c r="B153" i="28"/>
  <c r="F153" i="28"/>
  <c r="J153" i="28"/>
  <c r="B163" i="28"/>
  <c r="F163" i="28"/>
  <c r="J163" i="28"/>
  <c r="B164" i="28"/>
  <c r="F164" i="28"/>
  <c r="J164" i="28"/>
  <c r="B165" i="28"/>
  <c r="F165" i="28"/>
  <c r="J165" i="28"/>
  <c r="B167" i="28"/>
  <c r="F167" i="28"/>
  <c r="J167" i="28"/>
  <c r="B168" i="28"/>
  <c r="F168" i="28"/>
  <c r="J168" i="28"/>
  <c r="B169" i="28"/>
  <c r="F169" i="28"/>
  <c r="J169" i="28"/>
  <c r="B171" i="28"/>
  <c r="F171" i="28"/>
  <c r="J171" i="28"/>
  <c r="B172" i="28"/>
  <c r="F172" i="28"/>
  <c r="J172" i="28"/>
  <c r="B173" i="28"/>
  <c r="F173" i="28"/>
  <c r="J173" i="28"/>
  <c r="B175" i="28"/>
  <c r="F175" i="28"/>
  <c r="J175" i="28"/>
  <c r="B176" i="28"/>
  <c r="F176" i="28"/>
  <c r="J176" i="28"/>
  <c r="B177" i="28"/>
  <c r="F177" i="28"/>
  <c r="J177" i="28"/>
  <c r="B178" i="28"/>
  <c r="F178" i="28"/>
  <c r="J178" i="28"/>
  <c r="B179" i="28"/>
  <c r="F179" i="28"/>
  <c r="J179" i="28"/>
  <c r="B182" i="28"/>
  <c r="F182" i="28"/>
  <c r="J182" i="28"/>
  <c r="B184" i="28"/>
  <c r="F184" i="28"/>
  <c r="J184" i="28"/>
  <c r="B186" i="28"/>
  <c r="F186" i="28"/>
  <c r="J186" i="28"/>
  <c r="B188" i="28"/>
  <c r="F188" i="28"/>
  <c r="J188" i="28"/>
  <c r="B190" i="28"/>
  <c r="F190" i="28"/>
  <c r="J190" i="28"/>
  <c r="B192" i="28"/>
  <c r="F192" i="28"/>
  <c r="J192" i="28"/>
  <c r="B202" i="28"/>
  <c r="F202" i="28"/>
  <c r="D203" i="28"/>
  <c r="B204" i="28"/>
  <c r="F204" i="28"/>
  <c r="D206" i="28"/>
  <c r="B207" i="28"/>
  <c r="F207" i="28"/>
  <c r="D208" i="28"/>
  <c r="B210" i="28"/>
  <c r="F210" i="28"/>
  <c r="D211" i="28"/>
  <c r="B212" i="28"/>
  <c r="F212" i="28"/>
  <c r="D214" i="28"/>
  <c r="B215" i="28"/>
  <c r="F215" i="28"/>
  <c r="D216" i="28"/>
  <c r="B217" i="28"/>
  <c r="F217" i="28"/>
  <c r="D218" i="28"/>
  <c r="B221" i="28"/>
  <c r="E227" i="28"/>
  <c r="E223" i="28"/>
  <c r="E221" i="28"/>
  <c r="E231" i="28"/>
  <c r="E229" i="28"/>
  <c r="E233" i="28"/>
  <c r="E225" i="28"/>
  <c r="E85" i="28"/>
  <c r="I85" i="28"/>
  <c r="M85" i="28"/>
  <c r="E86" i="28"/>
  <c r="I86" i="28"/>
  <c r="M86" i="28"/>
  <c r="E87" i="28"/>
  <c r="I87" i="28"/>
  <c r="M87" i="28"/>
  <c r="E89" i="28"/>
  <c r="I89" i="28"/>
  <c r="M89" i="28"/>
  <c r="E90" i="28"/>
  <c r="I90" i="28"/>
  <c r="M90" i="28"/>
  <c r="E91" i="28"/>
  <c r="I91" i="28"/>
  <c r="M91" i="28"/>
  <c r="E93" i="28"/>
  <c r="I93" i="28"/>
  <c r="M93" i="28"/>
  <c r="E94" i="28"/>
  <c r="I94" i="28"/>
  <c r="M94" i="28"/>
  <c r="E95" i="28"/>
  <c r="I95" i="28"/>
  <c r="M95" i="28"/>
  <c r="E97" i="28"/>
  <c r="I97" i="28"/>
  <c r="M97" i="28"/>
  <c r="E98" i="28"/>
  <c r="I98" i="28"/>
  <c r="M98" i="28"/>
  <c r="E99" i="28"/>
  <c r="I99" i="28"/>
  <c r="M99" i="28"/>
  <c r="E100" i="28"/>
  <c r="I100" i="28"/>
  <c r="M100" i="28"/>
  <c r="E101" i="28"/>
  <c r="I101" i="28"/>
  <c r="M101" i="28"/>
  <c r="E104" i="28"/>
  <c r="I104" i="28"/>
  <c r="M104" i="28"/>
  <c r="E106" i="28"/>
  <c r="I106" i="28"/>
  <c r="M106" i="28"/>
  <c r="E108" i="28"/>
  <c r="I108" i="28"/>
  <c r="M108" i="28"/>
  <c r="E110" i="28"/>
  <c r="I110" i="28"/>
  <c r="M110" i="28"/>
  <c r="E112" i="28"/>
  <c r="I112" i="28"/>
  <c r="M112" i="28"/>
  <c r="E114" i="28"/>
  <c r="I114" i="28"/>
  <c r="M114" i="28"/>
  <c r="E124" i="28"/>
  <c r="I124" i="28"/>
  <c r="M124" i="28"/>
  <c r="E125" i="28"/>
  <c r="I125" i="28"/>
  <c r="M125" i="28"/>
  <c r="E126" i="28"/>
  <c r="I126" i="28"/>
  <c r="M126" i="28"/>
  <c r="E128" i="28"/>
  <c r="I128" i="28"/>
  <c r="M128" i="28"/>
  <c r="E129" i="28"/>
  <c r="I129" i="28"/>
  <c r="M129" i="28"/>
  <c r="E130" i="28"/>
  <c r="I130" i="28"/>
  <c r="M130" i="28"/>
  <c r="E132" i="28"/>
  <c r="I132" i="28"/>
  <c r="M132" i="28"/>
  <c r="E133" i="28"/>
  <c r="I133" i="28"/>
  <c r="M133" i="28"/>
  <c r="E134" i="28"/>
  <c r="I134" i="28"/>
  <c r="M134" i="28"/>
  <c r="E136" i="28"/>
  <c r="I136" i="28"/>
  <c r="M136" i="28"/>
  <c r="E137" i="28"/>
  <c r="I137" i="28"/>
  <c r="M137" i="28"/>
  <c r="E138" i="28"/>
  <c r="I138" i="28"/>
  <c r="M138" i="28"/>
  <c r="E139" i="28"/>
  <c r="I139" i="28"/>
  <c r="M139" i="28"/>
  <c r="E140" i="28"/>
  <c r="I140" i="28"/>
  <c r="M140" i="28"/>
  <c r="E143" i="28"/>
  <c r="I143" i="28"/>
  <c r="M143" i="28"/>
  <c r="E145" i="28"/>
  <c r="I145" i="28"/>
  <c r="M145" i="28"/>
  <c r="E147" i="28"/>
  <c r="I147" i="28"/>
  <c r="M147" i="28"/>
  <c r="E149" i="28"/>
  <c r="I149" i="28"/>
  <c r="M149" i="28"/>
  <c r="E151" i="28"/>
  <c r="I151" i="28"/>
  <c r="M151" i="28"/>
  <c r="E153" i="28"/>
  <c r="I153" i="28"/>
  <c r="M153" i="28"/>
  <c r="E163" i="28"/>
  <c r="I163" i="28"/>
  <c r="M163" i="28"/>
  <c r="E164" i="28"/>
  <c r="I164" i="28"/>
  <c r="M164" i="28"/>
  <c r="E165" i="28"/>
  <c r="I165" i="28"/>
  <c r="M165" i="28"/>
  <c r="E167" i="28"/>
  <c r="I167" i="28"/>
  <c r="M167" i="28"/>
  <c r="E168" i="28"/>
  <c r="I168" i="28"/>
  <c r="M168" i="28"/>
  <c r="E169" i="28"/>
  <c r="I169" i="28"/>
  <c r="M169" i="28"/>
  <c r="E171" i="28"/>
  <c r="I171" i="28"/>
  <c r="M171" i="28"/>
  <c r="E172" i="28"/>
  <c r="I172" i="28"/>
  <c r="M172" i="28"/>
  <c r="E173" i="28"/>
  <c r="I173" i="28"/>
  <c r="M173" i="28"/>
  <c r="E175" i="28"/>
  <c r="I175" i="28"/>
  <c r="M175" i="28"/>
  <c r="E176" i="28"/>
  <c r="I176" i="28"/>
  <c r="M176" i="28"/>
  <c r="E177" i="28"/>
  <c r="I177" i="28"/>
  <c r="M177" i="28"/>
  <c r="E178" i="28"/>
  <c r="I178" i="28"/>
  <c r="M178" i="28"/>
  <c r="E179" i="28"/>
  <c r="I179" i="28"/>
  <c r="M179" i="28"/>
  <c r="E182" i="28"/>
  <c r="I182" i="28"/>
  <c r="M182" i="28"/>
  <c r="E184" i="28"/>
  <c r="I184" i="28"/>
  <c r="M184" i="28"/>
  <c r="E186" i="28"/>
  <c r="I186" i="28"/>
  <c r="M186" i="28"/>
  <c r="E188" i="28"/>
  <c r="I188" i="28"/>
  <c r="M188" i="28"/>
  <c r="E190" i="28"/>
  <c r="I190" i="28"/>
  <c r="M190" i="28"/>
  <c r="E192" i="28"/>
  <c r="I192" i="28"/>
  <c r="M192" i="28"/>
  <c r="E202" i="28"/>
  <c r="C203" i="28"/>
  <c r="G203" i="28"/>
  <c r="E204" i="28"/>
  <c r="C206" i="28"/>
  <c r="G206" i="28"/>
  <c r="E207" i="28"/>
  <c r="C208" i="28"/>
  <c r="G208" i="28"/>
  <c r="E210" i="28"/>
  <c r="C211" i="28"/>
  <c r="G211" i="28"/>
  <c r="E212" i="28"/>
  <c r="C214" i="28"/>
  <c r="G214" i="28"/>
  <c r="E215" i="28"/>
  <c r="C216" i="28"/>
  <c r="G216" i="28"/>
  <c r="E217" i="28"/>
  <c r="C218" i="28"/>
  <c r="G218" i="28"/>
  <c r="M87" i="26"/>
  <c r="L87" i="26"/>
  <c r="K87" i="26"/>
  <c r="J87" i="26"/>
  <c r="I87" i="26"/>
  <c r="H87" i="26"/>
  <c r="G87" i="26"/>
  <c r="G89" i="26" s="1"/>
  <c r="F87" i="26"/>
  <c r="M89" i="26" l="1"/>
  <c r="M93" i="26"/>
  <c r="M97" i="26"/>
  <c r="M101" i="26"/>
  <c r="M105" i="26"/>
  <c r="M109" i="26"/>
  <c r="M113" i="26"/>
  <c r="M117" i="26"/>
  <c r="M121" i="26"/>
  <c r="M125" i="26"/>
  <c r="M88" i="26"/>
  <c r="M92" i="26"/>
  <c r="M96" i="26"/>
  <c r="M100" i="26"/>
  <c r="M104" i="26"/>
  <c r="M108" i="26"/>
  <c r="M112" i="26"/>
  <c r="M116" i="26"/>
  <c r="M120" i="26"/>
  <c r="M124" i="26"/>
  <c r="M91" i="26"/>
  <c r="M95" i="26"/>
  <c r="M99" i="26"/>
  <c r="M103" i="26"/>
  <c r="M107" i="26"/>
  <c r="M111" i="26"/>
  <c r="M115" i="26"/>
  <c r="M119" i="26"/>
  <c r="M123" i="26"/>
  <c r="M90" i="26"/>
  <c r="M94" i="26"/>
  <c r="M98" i="26"/>
  <c r="M102" i="26"/>
  <c r="M106" i="26"/>
  <c r="M110" i="26"/>
  <c r="M114" i="26"/>
  <c r="M118" i="26"/>
  <c r="M122" i="26"/>
  <c r="K91" i="26"/>
  <c r="K95" i="26"/>
  <c r="K99" i="26"/>
  <c r="K103" i="26"/>
  <c r="K107" i="26"/>
  <c r="K111" i="26"/>
  <c r="K115" i="26"/>
  <c r="K119" i="26"/>
  <c r="K123" i="26"/>
  <c r="K90" i="26"/>
  <c r="K94" i="26"/>
  <c r="K98" i="26"/>
  <c r="K102" i="26"/>
  <c r="K106" i="26"/>
  <c r="K110" i="26"/>
  <c r="K114" i="26"/>
  <c r="K118" i="26"/>
  <c r="K122" i="26"/>
  <c r="K89" i="26"/>
  <c r="K93" i="26"/>
  <c r="K97" i="26"/>
  <c r="K101" i="26"/>
  <c r="K105" i="26"/>
  <c r="K109" i="26"/>
  <c r="K113" i="26"/>
  <c r="K117" i="26"/>
  <c r="K121" i="26"/>
  <c r="K125" i="26"/>
  <c r="K88" i="26"/>
  <c r="K92" i="26"/>
  <c r="K96" i="26"/>
  <c r="K100" i="26"/>
  <c r="K104" i="26"/>
  <c r="K108" i="26"/>
  <c r="K112" i="26"/>
  <c r="K116" i="26"/>
  <c r="K120" i="26"/>
  <c r="K124" i="26"/>
  <c r="L88" i="26"/>
  <c r="L92" i="26"/>
  <c r="L96" i="26"/>
  <c r="L100" i="26"/>
  <c r="L104" i="26"/>
  <c r="L108" i="26"/>
  <c r="L112" i="26"/>
  <c r="L116" i="26"/>
  <c r="L120" i="26"/>
  <c r="L124" i="26"/>
  <c r="L91" i="26"/>
  <c r="L95" i="26"/>
  <c r="L99" i="26"/>
  <c r="L103" i="26"/>
  <c r="L107" i="26"/>
  <c r="L111" i="26"/>
  <c r="L115" i="26"/>
  <c r="L119" i="26"/>
  <c r="L123" i="26"/>
  <c r="L90" i="26"/>
  <c r="L94" i="26"/>
  <c r="L98" i="26"/>
  <c r="L102" i="26"/>
  <c r="L106" i="26"/>
  <c r="L110" i="26"/>
  <c r="L114" i="26"/>
  <c r="L118" i="26"/>
  <c r="L122" i="26"/>
  <c r="L89" i="26"/>
  <c r="L93" i="26"/>
  <c r="L97" i="26"/>
  <c r="L101" i="26"/>
  <c r="L105" i="26"/>
  <c r="L109" i="26"/>
  <c r="L113" i="26"/>
  <c r="L117" i="26"/>
  <c r="L121" i="26"/>
  <c r="L125" i="26"/>
  <c r="J89" i="26"/>
  <c r="J93" i="26"/>
  <c r="J97" i="26"/>
  <c r="J101" i="26"/>
  <c r="J105" i="26"/>
  <c r="J109" i="26"/>
  <c r="J113" i="26"/>
  <c r="J117" i="26"/>
  <c r="J121" i="26"/>
  <c r="J125" i="26"/>
  <c r="J88" i="26"/>
  <c r="J92" i="26"/>
  <c r="J96" i="26"/>
  <c r="J100" i="26"/>
  <c r="J104" i="26"/>
  <c r="J108" i="26"/>
  <c r="J112" i="26"/>
  <c r="J116" i="26"/>
  <c r="J120" i="26"/>
  <c r="J124" i="26"/>
  <c r="J91" i="26"/>
  <c r="J95" i="26"/>
  <c r="J99" i="26"/>
  <c r="J103" i="26"/>
  <c r="J107" i="26"/>
  <c r="J111" i="26"/>
  <c r="J115" i="26"/>
  <c r="J119" i="26"/>
  <c r="J123" i="26"/>
  <c r="J90" i="26"/>
  <c r="J94" i="26"/>
  <c r="J98" i="26"/>
  <c r="J102" i="26"/>
  <c r="J106" i="26"/>
  <c r="J110" i="26"/>
  <c r="J114" i="26"/>
  <c r="J118" i="26"/>
  <c r="J122" i="26"/>
  <c r="H91" i="26"/>
  <c r="H95" i="26"/>
  <c r="H99" i="26"/>
  <c r="H103" i="26"/>
  <c r="H107" i="26"/>
  <c r="H111" i="26"/>
  <c r="H115" i="26"/>
  <c r="H119" i="26"/>
  <c r="H123" i="26"/>
  <c r="H90" i="26"/>
  <c r="H94" i="26"/>
  <c r="H98" i="26"/>
  <c r="H102" i="26"/>
  <c r="H106" i="26"/>
  <c r="H110" i="26"/>
  <c r="H114" i="26"/>
  <c r="H118" i="26"/>
  <c r="H122" i="26"/>
  <c r="H89" i="26"/>
  <c r="H93" i="26"/>
  <c r="H97" i="26"/>
  <c r="H101" i="26"/>
  <c r="H105" i="26"/>
  <c r="H109" i="26"/>
  <c r="H113" i="26"/>
  <c r="H117" i="26"/>
  <c r="H121" i="26"/>
  <c r="H125" i="26"/>
  <c r="H88" i="26"/>
  <c r="H92" i="26"/>
  <c r="H96" i="26"/>
  <c r="H100" i="26"/>
  <c r="H104" i="26"/>
  <c r="H108" i="26"/>
  <c r="H112" i="26"/>
  <c r="H116" i="26"/>
  <c r="H120" i="26"/>
  <c r="H124" i="26"/>
  <c r="I88" i="26"/>
  <c r="I92" i="26"/>
  <c r="I96" i="26"/>
  <c r="I100" i="26"/>
  <c r="I104" i="26"/>
  <c r="I108" i="26"/>
  <c r="I112" i="26"/>
  <c r="I116" i="26"/>
  <c r="I120" i="26"/>
  <c r="I124" i="26"/>
  <c r="I91" i="26"/>
  <c r="I95" i="26"/>
  <c r="I99" i="26"/>
  <c r="I103" i="26"/>
  <c r="I107" i="26"/>
  <c r="I111" i="26"/>
  <c r="I115" i="26"/>
  <c r="I119" i="26"/>
  <c r="I123" i="26"/>
  <c r="I90" i="26"/>
  <c r="I94" i="26"/>
  <c r="I98" i="26"/>
  <c r="I102" i="26"/>
  <c r="I106" i="26"/>
  <c r="I110" i="26"/>
  <c r="I114" i="26"/>
  <c r="I118" i="26"/>
  <c r="I122" i="26"/>
  <c r="I89" i="26"/>
  <c r="I93" i="26"/>
  <c r="I97" i="26"/>
  <c r="I101" i="26"/>
  <c r="I105" i="26"/>
  <c r="I109" i="26"/>
  <c r="I113" i="26"/>
  <c r="I117" i="26"/>
  <c r="I121" i="26"/>
  <c r="I125" i="26"/>
  <c r="G122" i="26"/>
  <c r="G120" i="26"/>
  <c r="G118" i="26"/>
  <c r="G116" i="26"/>
  <c r="G114" i="26"/>
  <c r="G112" i="26"/>
  <c r="G110" i="26"/>
  <c r="G108" i="26"/>
  <c r="G106" i="26"/>
  <c r="G104" i="26"/>
  <c r="G102" i="26"/>
  <c r="G100" i="26"/>
  <c r="G98" i="26"/>
  <c r="G96" i="26"/>
  <c r="G94" i="26"/>
  <c r="G92" i="26"/>
  <c r="G117" i="26"/>
  <c r="G113" i="26"/>
  <c r="G111" i="26"/>
  <c r="G105" i="26"/>
  <c r="G103" i="26"/>
  <c r="G97" i="26"/>
  <c r="G109" i="26"/>
  <c r="G107" i="26"/>
  <c r="G101" i="26"/>
  <c r="G99" i="26"/>
  <c r="G95" i="26"/>
  <c r="G93" i="26"/>
  <c r="G125" i="26"/>
  <c r="G124" i="26"/>
  <c r="G123" i="26"/>
  <c r="G121" i="26"/>
  <c r="G119" i="26"/>
  <c r="G115" i="26"/>
  <c r="G91" i="26"/>
  <c r="G88" i="26"/>
  <c r="G90" i="26"/>
  <c r="F123" i="26"/>
  <c r="F121" i="26"/>
  <c r="F119" i="26"/>
  <c r="F117" i="26"/>
  <c r="F115" i="26"/>
  <c r="F113" i="26"/>
  <c r="F111" i="26"/>
  <c r="F109" i="26"/>
  <c r="F107" i="26"/>
  <c r="F105" i="26"/>
  <c r="F103" i="26"/>
  <c r="F101" i="26"/>
  <c r="F99" i="26"/>
  <c r="F97" i="26"/>
  <c r="F95" i="26"/>
  <c r="F93" i="26"/>
  <c r="F91" i="26"/>
  <c r="F122" i="26"/>
  <c r="F120" i="26"/>
  <c r="F118" i="26"/>
  <c r="F116" i="26"/>
  <c r="F114" i="26"/>
  <c r="F112" i="26"/>
  <c r="F110" i="26"/>
  <c r="F108" i="26"/>
  <c r="F106" i="26"/>
  <c r="F104" i="26"/>
  <c r="F102" i="26"/>
  <c r="F100" i="26"/>
  <c r="F98" i="26"/>
  <c r="F96" i="26"/>
  <c r="F94" i="26"/>
  <c r="F125" i="26"/>
  <c r="F124" i="26"/>
  <c r="F92" i="26"/>
  <c r="F88" i="26"/>
  <c r="F90" i="26"/>
  <c r="F89" i="26"/>
  <c r="E87" i="26"/>
  <c r="D87" i="26"/>
  <c r="C87" i="26"/>
  <c r="B87" i="26"/>
  <c r="M46" i="26"/>
  <c r="M84" i="26" s="1"/>
  <c r="L46" i="26"/>
  <c r="L81" i="26" s="1"/>
  <c r="K46" i="26"/>
  <c r="K84" i="26" s="1"/>
  <c r="J46" i="26"/>
  <c r="J84" i="26" s="1"/>
  <c r="I46" i="26"/>
  <c r="I84" i="26" s="1"/>
  <c r="H46" i="26"/>
  <c r="H81" i="26" s="1"/>
  <c r="G46" i="26"/>
  <c r="G84" i="26" s="1"/>
  <c r="F46" i="26"/>
  <c r="F84" i="26" s="1"/>
  <c r="E46" i="26"/>
  <c r="E84" i="26" s="1"/>
  <c r="D46" i="26"/>
  <c r="D81" i="26" s="1"/>
  <c r="C46" i="26"/>
  <c r="C84" i="26" s="1"/>
  <c r="B46" i="26"/>
  <c r="B84" i="26" s="1"/>
  <c r="M4" i="26"/>
  <c r="M16" i="26" s="1"/>
  <c r="L4" i="26"/>
  <c r="L42" i="26" s="1"/>
  <c r="K4" i="26"/>
  <c r="K31" i="26" s="1"/>
  <c r="J4" i="26"/>
  <c r="J18" i="26" s="1"/>
  <c r="I4" i="26"/>
  <c r="I16" i="26" s="1"/>
  <c r="H4" i="26"/>
  <c r="H42" i="26" s="1"/>
  <c r="G4" i="26"/>
  <c r="G31" i="26" s="1"/>
  <c r="F4" i="26"/>
  <c r="F18" i="26" s="1"/>
  <c r="E4" i="26"/>
  <c r="E17" i="26" s="1"/>
  <c r="D4" i="26"/>
  <c r="D42" i="26" s="1"/>
  <c r="C4" i="26"/>
  <c r="C31" i="26" s="1"/>
  <c r="B4" i="26"/>
  <c r="B19" i="26" s="1"/>
  <c r="J124" i="27"/>
  <c r="I124" i="27"/>
  <c r="G124" i="27"/>
  <c r="F124" i="27"/>
  <c r="E124" i="27"/>
  <c r="D124" i="27"/>
  <c r="C124" i="27"/>
  <c r="J123" i="27"/>
  <c r="I123" i="27"/>
  <c r="G123" i="27"/>
  <c r="F123" i="27"/>
  <c r="E123" i="27"/>
  <c r="D123" i="27"/>
  <c r="C123" i="27"/>
  <c r="J122" i="27"/>
  <c r="I122" i="27"/>
  <c r="G122" i="27"/>
  <c r="F122" i="27"/>
  <c r="E122" i="27"/>
  <c r="D122" i="27"/>
  <c r="C122" i="27"/>
  <c r="J121" i="27"/>
  <c r="I121" i="27"/>
  <c r="G121" i="27"/>
  <c r="F121" i="27"/>
  <c r="E121" i="27"/>
  <c r="D121" i="27"/>
  <c r="C121" i="27"/>
  <c r="J120" i="27"/>
  <c r="I120" i="27"/>
  <c r="G120" i="27"/>
  <c r="F120" i="27"/>
  <c r="E120" i="27"/>
  <c r="D120" i="27"/>
  <c r="C120" i="27"/>
  <c r="J119" i="27"/>
  <c r="I119" i="27"/>
  <c r="G119" i="27"/>
  <c r="F119" i="27"/>
  <c r="E119" i="27"/>
  <c r="D119" i="27"/>
  <c r="C119" i="27"/>
  <c r="J118" i="27"/>
  <c r="I118" i="27"/>
  <c r="G118" i="27"/>
  <c r="F118" i="27"/>
  <c r="E118" i="27"/>
  <c r="D118" i="27"/>
  <c r="C118" i="27"/>
  <c r="J117" i="27"/>
  <c r="I117" i="27"/>
  <c r="G117" i="27"/>
  <c r="F117" i="27"/>
  <c r="E117" i="27"/>
  <c r="D117" i="27"/>
  <c r="C117" i="27"/>
  <c r="J116" i="27"/>
  <c r="I116" i="27"/>
  <c r="G116" i="27"/>
  <c r="F116" i="27"/>
  <c r="E116" i="27"/>
  <c r="D116" i="27"/>
  <c r="C116" i="27"/>
  <c r="J115" i="27"/>
  <c r="I115" i="27"/>
  <c r="G115" i="27"/>
  <c r="F115" i="27"/>
  <c r="E115" i="27"/>
  <c r="D115" i="27"/>
  <c r="C115" i="27"/>
  <c r="J114" i="27"/>
  <c r="I114" i="27"/>
  <c r="H114" i="27"/>
  <c r="G114" i="27"/>
  <c r="F114" i="27"/>
  <c r="E114" i="27"/>
  <c r="D114" i="27"/>
  <c r="C114" i="27"/>
  <c r="J113" i="27"/>
  <c r="I113" i="27"/>
  <c r="H113" i="27"/>
  <c r="G113" i="27"/>
  <c r="F113" i="27"/>
  <c r="E113" i="27"/>
  <c r="D113" i="27"/>
  <c r="C113" i="27"/>
  <c r="J109" i="27"/>
  <c r="I109" i="27"/>
  <c r="H109" i="27"/>
  <c r="G109" i="27"/>
  <c r="F109" i="27"/>
  <c r="E109" i="27"/>
  <c r="D109" i="27"/>
  <c r="C109" i="27"/>
  <c r="J108" i="27"/>
  <c r="I108" i="27"/>
  <c r="H108" i="27"/>
  <c r="G108" i="27"/>
  <c r="F108" i="27"/>
  <c r="E108" i="27"/>
  <c r="D108" i="27"/>
  <c r="C108" i="27"/>
  <c r="J107" i="27"/>
  <c r="I107" i="27"/>
  <c r="H107" i="27"/>
  <c r="G107" i="27"/>
  <c r="F107" i="27"/>
  <c r="E107" i="27"/>
  <c r="D107" i="27"/>
  <c r="C107" i="27"/>
  <c r="J106" i="27"/>
  <c r="I106" i="27"/>
  <c r="H106" i="27"/>
  <c r="G106" i="27"/>
  <c r="F106" i="27"/>
  <c r="E106" i="27"/>
  <c r="D106" i="27"/>
  <c r="C106" i="27"/>
  <c r="J105" i="27"/>
  <c r="I105" i="27"/>
  <c r="H105" i="27"/>
  <c r="G105" i="27"/>
  <c r="F105" i="27"/>
  <c r="E105" i="27"/>
  <c r="D105" i="27"/>
  <c r="C105" i="27"/>
  <c r="J104" i="27"/>
  <c r="I104" i="27"/>
  <c r="H104" i="27"/>
  <c r="G104" i="27"/>
  <c r="F104" i="27"/>
  <c r="E104" i="27"/>
  <c r="D104" i="27"/>
  <c r="C104" i="27"/>
  <c r="J103" i="27"/>
  <c r="I103" i="27"/>
  <c r="H103" i="27"/>
  <c r="G103" i="27"/>
  <c r="F103" i="27"/>
  <c r="E103" i="27"/>
  <c r="D103" i="27"/>
  <c r="C103" i="27"/>
  <c r="J102" i="27"/>
  <c r="I102" i="27"/>
  <c r="H102" i="27"/>
  <c r="G102" i="27"/>
  <c r="F102" i="27"/>
  <c r="E102" i="27"/>
  <c r="D102" i="27"/>
  <c r="C102" i="27"/>
  <c r="J101" i="27"/>
  <c r="I101" i="27"/>
  <c r="H101" i="27"/>
  <c r="G101" i="27"/>
  <c r="F101" i="27"/>
  <c r="E101" i="27"/>
  <c r="D101" i="27"/>
  <c r="C101" i="27"/>
  <c r="J100" i="27"/>
  <c r="I100" i="27"/>
  <c r="H100" i="27"/>
  <c r="G100" i="27"/>
  <c r="F100" i="27"/>
  <c r="E100" i="27"/>
  <c r="D100" i="27"/>
  <c r="C100" i="27"/>
  <c r="J99" i="27"/>
  <c r="I99" i="27"/>
  <c r="H99" i="27"/>
  <c r="G99" i="27"/>
  <c r="F99" i="27"/>
  <c r="F110" i="27" s="1"/>
  <c r="E99" i="27"/>
  <c r="D99" i="27"/>
  <c r="C99" i="27"/>
  <c r="J98" i="27"/>
  <c r="I98" i="27"/>
  <c r="H98" i="27"/>
  <c r="G98" i="27"/>
  <c r="F98" i="27"/>
  <c r="E98" i="27"/>
  <c r="D98" i="27"/>
  <c r="C98" i="27"/>
  <c r="J95" i="27"/>
  <c r="I95" i="27"/>
  <c r="H95" i="27"/>
  <c r="G95" i="27"/>
  <c r="F95" i="27"/>
  <c r="E95" i="27"/>
  <c r="D95" i="27"/>
  <c r="C95" i="27"/>
  <c r="J94" i="27"/>
  <c r="I94" i="27"/>
  <c r="H94" i="27"/>
  <c r="G94" i="27"/>
  <c r="F94" i="27"/>
  <c r="E94" i="27"/>
  <c r="D94" i="27"/>
  <c r="C94" i="27"/>
  <c r="J93" i="27"/>
  <c r="I93" i="27"/>
  <c r="H93" i="27"/>
  <c r="G93" i="27"/>
  <c r="F93" i="27"/>
  <c r="E93" i="27"/>
  <c r="D93" i="27"/>
  <c r="C93" i="27"/>
  <c r="J92" i="27"/>
  <c r="I92" i="27"/>
  <c r="H92" i="27"/>
  <c r="G92" i="27"/>
  <c r="F92" i="27"/>
  <c r="E92" i="27"/>
  <c r="D92" i="27"/>
  <c r="C92" i="27"/>
  <c r="J91" i="27"/>
  <c r="I91" i="27"/>
  <c r="H91" i="27"/>
  <c r="G91" i="27"/>
  <c r="F91" i="27"/>
  <c r="E91" i="27"/>
  <c r="D91" i="27"/>
  <c r="C91" i="27"/>
  <c r="J90" i="27"/>
  <c r="I90" i="27"/>
  <c r="H90" i="27"/>
  <c r="G90" i="27"/>
  <c r="F90" i="27"/>
  <c r="E90" i="27"/>
  <c r="D90" i="27"/>
  <c r="C90" i="27"/>
  <c r="J89" i="27"/>
  <c r="I89" i="27"/>
  <c r="H89" i="27"/>
  <c r="G89" i="27"/>
  <c r="F89" i="27"/>
  <c r="E89" i="27"/>
  <c r="D89" i="27"/>
  <c r="C89" i="27"/>
  <c r="J88" i="27"/>
  <c r="I88" i="27"/>
  <c r="H88" i="27"/>
  <c r="G88" i="27"/>
  <c r="F88" i="27"/>
  <c r="E88" i="27"/>
  <c r="D88" i="27"/>
  <c r="C88" i="27"/>
  <c r="J87" i="27"/>
  <c r="I87" i="27"/>
  <c r="H87" i="27"/>
  <c r="G87" i="27"/>
  <c r="F87" i="27"/>
  <c r="E87" i="27"/>
  <c r="D87" i="27"/>
  <c r="C87" i="27"/>
  <c r="J86" i="27"/>
  <c r="I86" i="27"/>
  <c r="H86" i="27"/>
  <c r="G86" i="27"/>
  <c r="F86" i="27"/>
  <c r="E86" i="27"/>
  <c r="D86" i="27"/>
  <c r="C86" i="27"/>
  <c r="J85" i="27"/>
  <c r="I85" i="27"/>
  <c r="H85" i="27"/>
  <c r="G85" i="27"/>
  <c r="F85" i="27"/>
  <c r="E85" i="27"/>
  <c r="D85" i="27"/>
  <c r="C85" i="27"/>
  <c r="J84" i="27"/>
  <c r="I84" i="27"/>
  <c r="H84" i="27"/>
  <c r="G84" i="27"/>
  <c r="F84" i="27"/>
  <c r="E84" i="27"/>
  <c r="D84" i="27"/>
  <c r="C84" i="27"/>
  <c r="J110" i="27" l="1"/>
  <c r="G110" i="27"/>
  <c r="H96" i="27"/>
  <c r="I110" i="27"/>
  <c r="E96" i="27"/>
  <c r="I96" i="27"/>
  <c r="D125" i="27"/>
  <c r="C96" i="27"/>
  <c r="J96" i="27"/>
  <c r="H110" i="27"/>
  <c r="G96" i="27"/>
  <c r="C110" i="27"/>
  <c r="F96" i="27"/>
  <c r="E110" i="27"/>
  <c r="D96" i="27"/>
  <c r="D110" i="27"/>
  <c r="E125" i="27"/>
  <c r="F125" i="27"/>
  <c r="I125" i="27"/>
  <c r="C125" i="27"/>
  <c r="G125" i="27"/>
  <c r="H18" i="26"/>
  <c r="H17" i="26"/>
  <c r="L18" i="26"/>
  <c r="L19" i="26"/>
  <c r="H20" i="26"/>
  <c r="D21" i="26"/>
  <c r="L21" i="26"/>
  <c r="H22" i="26"/>
  <c r="D23" i="26"/>
  <c r="L23" i="26"/>
  <c r="H24" i="26"/>
  <c r="D25" i="26"/>
  <c r="L25" i="26"/>
  <c r="H26" i="26"/>
  <c r="D27" i="26"/>
  <c r="L27" i="26"/>
  <c r="H28" i="26"/>
  <c r="D29" i="26"/>
  <c r="L29" i="26"/>
  <c r="H30" i="26"/>
  <c r="D31" i="26"/>
  <c r="L31" i="26"/>
  <c r="M32" i="26"/>
  <c r="E34" i="26"/>
  <c r="I35" i="26"/>
  <c r="M36" i="26"/>
  <c r="E38" i="26"/>
  <c r="I39" i="26"/>
  <c r="M40" i="26"/>
  <c r="E42" i="26"/>
  <c r="L17" i="26"/>
  <c r="E19" i="26"/>
  <c r="D19" i="26" s="1"/>
  <c r="M19" i="26"/>
  <c r="I20" i="26"/>
  <c r="E21" i="26"/>
  <c r="M21" i="26"/>
  <c r="I22" i="26"/>
  <c r="E23" i="26"/>
  <c r="M23" i="26"/>
  <c r="I24" i="26"/>
  <c r="E25" i="26"/>
  <c r="M25" i="26"/>
  <c r="I26" i="26"/>
  <c r="E27" i="26"/>
  <c r="M27" i="26"/>
  <c r="I28" i="26"/>
  <c r="E29" i="26"/>
  <c r="M29" i="26"/>
  <c r="I30" i="26"/>
  <c r="E31" i="26"/>
  <c r="M31" i="26"/>
  <c r="E33" i="26"/>
  <c r="I34" i="26"/>
  <c r="M35" i="26"/>
  <c r="E37" i="26"/>
  <c r="I38" i="26"/>
  <c r="M39" i="26"/>
  <c r="E41" i="26"/>
  <c r="I42" i="26"/>
  <c r="D18" i="26"/>
  <c r="H19" i="26"/>
  <c r="D20" i="26"/>
  <c r="L20" i="26"/>
  <c r="H21" i="26"/>
  <c r="D22" i="26"/>
  <c r="L22" i="26"/>
  <c r="H23" i="26"/>
  <c r="D24" i="26"/>
  <c r="L24" i="26"/>
  <c r="H25" i="26"/>
  <c r="D26" i="26"/>
  <c r="L26" i="26"/>
  <c r="H27" i="26"/>
  <c r="D28" i="26"/>
  <c r="L28" i="26"/>
  <c r="H29" i="26"/>
  <c r="D30" i="26"/>
  <c r="L30" i="26"/>
  <c r="H31" i="26"/>
  <c r="E32" i="26"/>
  <c r="I33" i="26"/>
  <c r="M34" i="26"/>
  <c r="E36" i="26"/>
  <c r="I37" i="26"/>
  <c r="M38" i="26"/>
  <c r="E40" i="26"/>
  <c r="I41" i="26"/>
  <c r="M42" i="26"/>
  <c r="I19" i="26"/>
  <c r="E20" i="26"/>
  <c r="M20" i="26"/>
  <c r="I21" i="26"/>
  <c r="E22" i="26"/>
  <c r="M22" i="26"/>
  <c r="I23" i="26"/>
  <c r="E24" i="26"/>
  <c r="M24" i="26"/>
  <c r="I25" i="26"/>
  <c r="E26" i="26"/>
  <c r="M26" i="26"/>
  <c r="I27" i="26"/>
  <c r="E28" i="26"/>
  <c r="M28" i="26"/>
  <c r="I29" i="26"/>
  <c r="E30" i="26"/>
  <c r="M30" i="26"/>
  <c r="I31" i="26"/>
  <c r="I32" i="26"/>
  <c r="M33" i="26"/>
  <c r="E35" i="26"/>
  <c r="I36" i="26"/>
  <c r="M37" i="26"/>
  <c r="E39" i="26"/>
  <c r="I40" i="26"/>
  <c r="M41" i="26"/>
  <c r="D93" i="26"/>
  <c r="D124" i="26"/>
  <c r="C124" i="26" s="1"/>
  <c r="D122" i="26"/>
  <c r="D120" i="26"/>
  <c r="D118" i="26"/>
  <c r="D116" i="26"/>
  <c r="D114" i="26"/>
  <c r="D112" i="26"/>
  <c r="D110" i="26"/>
  <c r="D108" i="26"/>
  <c r="D106" i="26"/>
  <c r="D104" i="26"/>
  <c r="D102" i="26"/>
  <c r="D100" i="26"/>
  <c r="D98" i="26"/>
  <c r="D96" i="26"/>
  <c r="D94" i="26"/>
  <c r="D92" i="26"/>
  <c r="D123" i="26"/>
  <c r="D121" i="26"/>
  <c r="D119" i="26"/>
  <c r="D117" i="26"/>
  <c r="D115" i="26"/>
  <c r="D113" i="26"/>
  <c r="D111" i="26"/>
  <c r="D109" i="26"/>
  <c r="D107" i="26"/>
  <c r="D105" i="26"/>
  <c r="D103" i="26"/>
  <c r="D101" i="26"/>
  <c r="D99" i="26"/>
  <c r="D97" i="26"/>
  <c r="D95" i="26"/>
  <c r="D90" i="26"/>
  <c r="D88" i="26"/>
  <c r="D91" i="26"/>
  <c r="D89" i="26"/>
  <c r="D5" i="26"/>
  <c r="H5" i="26"/>
  <c r="L5" i="26"/>
  <c r="D6" i="26"/>
  <c r="H6" i="26"/>
  <c r="L6" i="26"/>
  <c r="D7" i="26"/>
  <c r="H7" i="26"/>
  <c r="L7" i="26"/>
  <c r="D8" i="26"/>
  <c r="H8" i="26"/>
  <c r="L8" i="26"/>
  <c r="D9" i="26"/>
  <c r="H9" i="26"/>
  <c r="L9" i="26"/>
  <c r="D10" i="26"/>
  <c r="H10" i="26"/>
  <c r="L10" i="26"/>
  <c r="D11" i="26"/>
  <c r="H11" i="26"/>
  <c r="L11" i="26"/>
  <c r="D12" i="26"/>
  <c r="H12" i="26"/>
  <c r="L12" i="26"/>
  <c r="D13" i="26"/>
  <c r="H13" i="26"/>
  <c r="L13" i="26"/>
  <c r="D14" i="26"/>
  <c r="H14" i="26"/>
  <c r="L14" i="26"/>
  <c r="D15" i="26"/>
  <c r="H15" i="26"/>
  <c r="L15" i="26"/>
  <c r="D16" i="26"/>
  <c r="H16" i="26"/>
  <c r="L16" i="26"/>
  <c r="D17" i="26"/>
  <c r="I17" i="26"/>
  <c r="M17" i="26"/>
  <c r="E18" i="26"/>
  <c r="I18" i="26"/>
  <c r="M18" i="26"/>
  <c r="F19" i="26"/>
  <c r="J19" i="26"/>
  <c r="B20" i="26"/>
  <c r="F20" i="26"/>
  <c r="J20" i="26"/>
  <c r="B21" i="26"/>
  <c r="F21" i="26"/>
  <c r="J21" i="26"/>
  <c r="B22" i="26"/>
  <c r="F22" i="26"/>
  <c r="J22" i="26"/>
  <c r="B23" i="26"/>
  <c r="F23" i="26"/>
  <c r="J23" i="26"/>
  <c r="B24" i="26"/>
  <c r="F24" i="26"/>
  <c r="J24" i="26"/>
  <c r="B25" i="26"/>
  <c r="F25" i="26"/>
  <c r="J25" i="26"/>
  <c r="B26" i="26"/>
  <c r="F26" i="26"/>
  <c r="J26" i="26"/>
  <c r="B27" i="26"/>
  <c r="F27" i="26"/>
  <c r="J27" i="26"/>
  <c r="B28" i="26"/>
  <c r="F28" i="26"/>
  <c r="J28" i="26"/>
  <c r="B29" i="26"/>
  <c r="F29" i="26"/>
  <c r="J29" i="26"/>
  <c r="B30" i="26"/>
  <c r="F30" i="26"/>
  <c r="J30" i="26"/>
  <c r="B31" i="26"/>
  <c r="F31" i="26"/>
  <c r="J31" i="26"/>
  <c r="B32" i="26"/>
  <c r="G32" i="26"/>
  <c r="K32" i="26"/>
  <c r="C33" i="26"/>
  <c r="G33" i="26"/>
  <c r="K33" i="26"/>
  <c r="C34" i="26"/>
  <c r="G34" i="26"/>
  <c r="K34" i="26"/>
  <c r="C35" i="26"/>
  <c r="G35" i="26"/>
  <c r="K35" i="26"/>
  <c r="C36" i="26"/>
  <c r="G36" i="26"/>
  <c r="K36" i="26"/>
  <c r="C37" i="26"/>
  <c r="G37" i="26"/>
  <c r="K37" i="26"/>
  <c r="C38" i="26"/>
  <c r="G38" i="26"/>
  <c r="K38" i="26"/>
  <c r="C39" i="26"/>
  <c r="G39" i="26"/>
  <c r="K39" i="26"/>
  <c r="C40" i="26"/>
  <c r="G40" i="26"/>
  <c r="K40" i="26"/>
  <c r="C41" i="26"/>
  <c r="G41" i="26"/>
  <c r="K41" i="26"/>
  <c r="C42" i="26"/>
  <c r="G42" i="26"/>
  <c r="K42" i="26"/>
  <c r="C47" i="26"/>
  <c r="G47" i="26"/>
  <c r="K47" i="26"/>
  <c r="C48" i="26"/>
  <c r="G48" i="26"/>
  <c r="K48" i="26"/>
  <c r="C49" i="26"/>
  <c r="G49" i="26"/>
  <c r="K49" i="26"/>
  <c r="C50" i="26"/>
  <c r="G50" i="26"/>
  <c r="K50" i="26"/>
  <c r="C51" i="26"/>
  <c r="G51" i="26"/>
  <c r="K51" i="26"/>
  <c r="C52" i="26"/>
  <c r="G52" i="26"/>
  <c r="K52" i="26"/>
  <c r="C53" i="26"/>
  <c r="G53" i="26"/>
  <c r="K53" i="26"/>
  <c r="C54" i="26"/>
  <c r="G54" i="26"/>
  <c r="K54" i="26"/>
  <c r="C55" i="26"/>
  <c r="G55" i="26"/>
  <c r="K55" i="26"/>
  <c r="C56" i="26"/>
  <c r="G56" i="26"/>
  <c r="K56" i="26"/>
  <c r="C57" i="26"/>
  <c r="G57" i="26"/>
  <c r="K57" i="26"/>
  <c r="C58" i="26"/>
  <c r="G58" i="26"/>
  <c r="K58" i="26"/>
  <c r="C59" i="26"/>
  <c r="G59" i="26"/>
  <c r="K59" i="26"/>
  <c r="C60" i="26"/>
  <c r="G60" i="26"/>
  <c r="K60" i="26"/>
  <c r="C61" i="26"/>
  <c r="G61" i="26"/>
  <c r="K61" i="26"/>
  <c r="C62" i="26"/>
  <c r="G62" i="26"/>
  <c r="K62" i="26"/>
  <c r="C63" i="26"/>
  <c r="G63" i="26"/>
  <c r="K63" i="26"/>
  <c r="C64" i="26"/>
  <c r="G64" i="26"/>
  <c r="K64" i="26"/>
  <c r="C65" i="26"/>
  <c r="G65" i="26"/>
  <c r="K65" i="26"/>
  <c r="C66" i="26"/>
  <c r="G66" i="26"/>
  <c r="K66" i="26"/>
  <c r="C67" i="26"/>
  <c r="G67" i="26"/>
  <c r="K67" i="26"/>
  <c r="C68" i="26"/>
  <c r="G68" i="26"/>
  <c r="K68" i="26"/>
  <c r="C69" i="26"/>
  <c r="G69" i="26"/>
  <c r="K69" i="26"/>
  <c r="C70" i="26"/>
  <c r="G70" i="26"/>
  <c r="K70" i="26"/>
  <c r="C71" i="26"/>
  <c r="G71" i="26"/>
  <c r="K71" i="26"/>
  <c r="C72" i="26"/>
  <c r="G72" i="26"/>
  <c r="K72" i="26"/>
  <c r="C73" i="26"/>
  <c r="G73" i="26"/>
  <c r="K73" i="26"/>
  <c r="C74" i="26"/>
  <c r="G74" i="26"/>
  <c r="K74" i="26"/>
  <c r="C75" i="26"/>
  <c r="G75" i="26"/>
  <c r="K75" i="26"/>
  <c r="C76" i="26"/>
  <c r="G76" i="26"/>
  <c r="K76" i="26"/>
  <c r="C77" i="26"/>
  <c r="G77" i="26"/>
  <c r="K77" i="26"/>
  <c r="C78" i="26"/>
  <c r="G78" i="26"/>
  <c r="K78" i="26"/>
  <c r="C79" i="26"/>
  <c r="G79" i="26"/>
  <c r="K79" i="26"/>
  <c r="C80" i="26"/>
  <c r="G80" i="26"/>
  <c r="K80" i="26"/>
  <c r="C81" i="26"/>
  <c r="G81" i="26"/>
  <c r="K81" i="26"/>
  <c r="D82" i="26"/>
  <c r="H82" i="26"/>
  <c r="L82" i="26"/>
  <c r="D83" i="26"/>
  <c r="H83" i="26"/>
  <c r="L83" i="26"/>
  <c r="D84" i="26"/>
  <c r="H84" i="26"/>
  <c r="L84" i="26"/>
  <c r="C125" i="26"/>
  <c r="B125" i="26" s="1"/>
  <c r="C122" i="26"/>
  <c r="C120" i="26"/>
  <c r="C118" i="26"/>
  <c r="C116" i="26"/>
  <c r="C114" i="26"/>
  <c r="C112" i="26"/>
  <c r="C110" i="26"/>
  <c r="C108" i="26"/>
  <c r="C106" i="26"/>
  <c r="C104" i="26"/>
  <c r="C102" i="26"/>
  <c r="C100" i="26"/>
  <c r="C98" i="26"/>
  <c r="C96" i="26"/>
  <c r="C94" i="26"/>
  <c r="C92" i="26"/>
  <c r="C109" i="26"/>
  <c r="C107" i="26"/>
  <c r="C99" i="26"/>
  <c r="C95" i="26"/>
  <c r="C93" i="26"/>
  <c r="C111" i="26"/>
  <c r="C103" i="26"/>
  <c r="C97" i="26"/>
  <c r="C123" i="26"/>
  <c r="C121" i="26"/>
  <c r="C119" i="26"/>
  <c r="C117" i="26"/>
  <c r="C115" i="26"/>
  <c r="C113" i="26"/>
  <c r="C105" i="26"/>
  <c r="C101" i="26"/>
  <c r="C89" i="26"/>
  <c r="C90" i="26"/>
  <c r="C88" i="26"/>
  <c r="C91" i="26"/>
  <c r="C5" i="26"/>
  <c r="G5" i="26"/>
  <c r="K5" i="26"/>
  <c r="C6" i="26"/>
  <c r="G6" i="26"/>
  <c r="K6" i="26"/>
  <c r="C7" i="26"/>
  <c r="G7" i="26"/>
  <c r="K7" i="26"/>
  <c r="C8" i="26"/>
  <c r="G8" i="26"/>
  <c r="K8" i="26"/>
  <c r="C9" i="26"/>
  <c r="G9" i="26"/>
  <c r="K9" i="26"/>
  <c r="C10" i="26"/>
  <c r="G10" i="26"/>
  <c r="K10" i="26"/>
  <c r="C11" i="26"/>
  <c r="G11" i="26"/>
  <c r="K11" i="26"/>
  <c r="C12" i="26"/>
  <c r="G12" i="26"/>
  <c r="K12" i="26"/>
  <c r="C13" i="26"/>
  <c r="G13" i="26"/>
  <c r="K13" i="26"/>
  <c r="C14" i="26"/>
  <c r="G14" i="26"/>
  <c r="K14" i="26"/>
  <c r="C15" i="26"/>
  <c r="G15" i="26"/>
  <c r="K15" i="26"/>
  <c r="C16" i="26"/>
  <c r="G16" i="26"/>
  <c r="K16" i="26"/>
  <c r="C17" i="26"/>
  <c r="F32" i="26"/>
  <c r="J32" i="26"/>
  <c r="B33" i="26"/>
  <c r="F33" i="26"/>
  <c r="J33" i="26"/>
  <c r="B34" i="26"/>
  <c r="F34" i="26"/>
  <c r="J34" i="26"/>
  <c r="B35" i="26"/>
  <c r="F35" i="26"/>
  <c r="J35" i="26"/>
  <c r="B36" i="26"/>
  <c r="F36" i="26"/>
  <c r="J36" i="26"/>
  <c r="B37" i="26"/>
  <c r="F37" i="26"/>
  <c r="J37" i="26"/>
  <c r="B38" i="26"/>
  <c r="F38" i="26"/>
  <c r="J38" i="26"/>
  <c r="B39" i="26"/>
  <c r="F39" i="26"/>
  <c r="J39" i="26"/>
  <c r="B40" i="26"/>
  <c r="F40" i="26"/>
  <c r="J40" i="26"/>
  <c r="B41" i="26"/>
  <c r="F41" i="26"/>
  <c r="J41" i="26"/>
  <c r="B42" i="26"/>
  <c r="F42" i="26"/>
  <c r="J42" i="26"/>
  <c r="B47" i="26"/>
  <c r="F47" i="26"/>
  <c r="J47" i="26"/>
  <c r="B48" i="26"/>
  <c r="F48" i="26"/>
  <c r="J48" i="26"/>
  <c r="B49" i="26"/>
  <c r="F49" i="26"/>
  <c r="J49" i="26"/>
  <c r="B50" i="26"/>
  <c r="F50" i="26"/>
  <c r="J50" i="26"/>
  <c r="B51" i="26"/>
  <c r="F51" i="26"/>
  <c r="J51" i="26"/>
  <c r="B52" i="26"/>
  <c r="F52" i="26"/>
  <c r="J52" i="26"/>
  <c r="B53" i="26"/>
  <c r="F53" i="26"/>
  <c r="J53" i="26"/>
  <c r="B54" i="26"/>
  <c r="F54" i="26"/>
  <c r="J54" i="26"/>
  <c r="B55" i="26"/>
  <c r="F55" i="26"/>
  <c r="J55" i="26"/>
  <c r="B56" i="26"/>
  <c r="F56" i="26"/>
  <c r="J56" i="26"/>
  <c r="B57" i="26"/>
  <c r="F57" i="26"/>
  <c r="J57" i="26"/>
  <c r="B58" i="26"/>
  <c r="F58" i="26"/>
  <c r="J58" i="26"/>
  <c r="B59" i="26"/>
  <c r="F59" i="26"/>
  <c r="J59" i="26"/>
  <c r="B60" i="26"/>
  <c r="F60" i="26"/>
  <c r="J60" i="26"/>
  <c r="B61" i="26"/>
  <c r="F61" i="26"/>
  <c r="J61" i="26"/>
  <c r="B62" i="26"/>
  <c r="F62" i="26"/>
  <c r="J62" i="26"/>
  <c r="B63" i="26"/>
  <c r="F63" i="26"/>
  <c r="J63" i="26"/>
  <c r="B64" i="26"/>
  <c r="F64" i="26"/>
  <c r="J64" i="26"/>
  <c r="B65" i="26"/>
  <c r="F65" i="26"/>
  <c r="J65" i="26"/>
  <c r="B66" i="26"/>
  <c r="F66" i="26"/>
  <c r="J66" i="26"/>
  <c r="B67" i="26"/>
  <c r="F67" i="26"/>
  <c r="J67" i="26"/>
  <c r="B68" i="26"/>
  <c r="F68" i="26"/>
  <c r="J68" i="26"/>
  <c r="B69" i="26"/>
  <c r="F69" i="26"/>
  <c r="J69" i="26"/>
  <c r="B70" i="26"/>
  <c r="F70" i="26"/>
  <c r="J70" i="26"/>
  <c r="B71" i="26"/>
  <c r="F71" i="26"/>
  <c r="J71" i="26"/>
  <c r="B72" i="26"/>
  <c r="F72" i="26"/>
  <c r="J72" i="26"/>
  <c r="B73" i="26"/>
  <c r="F73" i="26"/>
  <c r="J73" i="26"/>
  <c r="B74" i="26"/>
  <c r="F74" i="26"/>
  <c r="J74" i="26"/>
  <c r="B75" i="26"/>
  <c r="F75" i="26"/>
  <c r="J75" i="26"/>
  <c r="B76" i="26"/>
  <c r="F76" i="26"/>
  <c r="J76" i="26"/>
  <c r="B77" i="26"/>
  <c r="F77" i="26"/>
  <c r="J77" i="26"/>
  <c r="B78" i="26"/>
  <c r="F78" i="26"/>
  <c r="J78" i="26"/>
  <c r="B79" i="26"/>
  <c r="F79" i="26"/>
  <c r="J79" i="26"/>
  <c r="B80" i="26"/>
  <c r="F80" i="26"/>
  <c r="J80" i="26"/>
  <c r="B81" i="26"/>
  <c r="F81" i="26"/>
  <c r="J81" i="26"/>
  <c r="C82" i="26"/>
  <c r="B82" i="26" s="1"/>
  <c r="G82" i="26"/>
  <c r="K82" i="26"/>
  <c r="C83" i="26"/>
  <c r="G83" i="26"/>
  <c r="K83" i="26"/>
  <c r="B123" i="26"/>
  <c r="B121" i="26"/>
  <c r="B119" i="26"/>
  <c r="B117" i="26"/>
  <c r="B115" i="26"/>
  <c r="B113" i="26"/>
  <c r="B111" i="26"/>
  <c r="B109" i="26"/>
  <c r="B107" i="26"/>
  <c r="B105" i="26"/>
  <c r="B103" i="26"/>
  <c r="B101" i="26"/>
  <c r="B99" i="26"/>
  <c r="B97" i="26"/>
  <c r="B95" i="26"/>
  <c r="B93" i="26"/>
  <c r="B124" i="26"/>
  <c r="B122" i="26"/>
  <c r="B120" i="26"/>
  <c r="B118" i="26"/>
  <c r="B116" i="26"/>
  <c r="B114" i="26"/>
  <c r="B112" i="26"/>
  <c r="B110" i="26"/>
  <c r="B108" i="26"/>
  <c r="B106" i="26"/>
  <c r="B104" i="26"/>
  <c r="B102" i="26"/>
  <c r="B100" i="26"/>
  <c r="B98" i="26"/>
  <c r="B96" i="26"/>
  <c r="B94" i="26"/>
  <c r="B92" i="26"/>
  <c r="B91" i="26"/>
  <c r="B89" i="26"/>
  <c r="B90" i="26"/>
  <c r="B88" i="26"/>
  <c r="B5" i="26"/>
  <c r="F5" i="26"/>
  <c r="J5" i="26"/>
  <c r="B6" i="26"/>
  <c r="F6" i="26"/>
  <c r="J6" i="26"/>
  <c r="B7" i="26"/>
  <c r="F7" i="26"/>
  <c r="J7" i="26"/>
  <c r="B8" i="26"/>
  <c r="F8" i="26"/>
  <c r="J8" i="26"/>
  <c r="B9" i="26"/>
  <c r="F9" i="26"/>
  <c r="J9" i="26"/>
  <c r="B10" i="26"/>
  <c r="F10" i="26"/>
  <c r="J10" i="26"/>
  <c r="B11" i="26"/>
  <c r="F11" i="26"/>
  <c r="J11" i="26"/>
  <c r="B12" i="26"/>
  <c r="F12" i="26"/>
  <c r="J12" i="26"/>
  <c r="B13" i="26"/>
  <c r="F13" i="26"/>
  <c r="J13" i="26"/>
  <c r="B14" i="26"/>
  <c r="F14" i="26"/>
  <c r="J14" i="26"/>
  <c r="B15" i="26"/>
  <c r="F15" i="26"/>
  <c r="J15" i="26"/>
  <c r="B16" i="26"/>
  <c r="F16" i="26"/>
  <c r="J16" i="26"/>
  <c r="B17" i="26"/>
  <c r="G17" i="26"/>
  <c r="F17" i="26" s="1"/>
  <c r="K17" i="26"/>
  <c r="C18" i="26"/>
  <c r="G18" i="26"/>
  <c r="K18" i="26"/>
  <c r="C19" i="26"/>
  <c r="E47" i="26"/>
  <c r="I47" i="26"/>
  <c r="M47" i="26"/>
  <c r="E48" i="26"/>
  <c r="I48" i="26"/>
  <c r="M48" i="26"/>
  <c r="E49" i="26"/>
  <c r="I49" i="26"/>
  <c r="M49" i="26"/>
  <c r="E50" i="26"/>
  <c r="I50" i="26"/>
  <c r="M50" i="26"/>
  <c r="E51" i="26"/>
  <c r="I51" i="26"/>
  <c r="M51" i="26"/>
  <c r="E52" i="26"/>
  <c r="I52" i="26"/>
  <c r="M52" i="26"/>
  <c r="E53" i="26"/>
  <c r="I53" i="26"/>
  <c r="M53" i="26"/>
  <c r="E54" i="26"/>
  <c r="I54" i="26"/>
  <c r="M54" i="26"/>
  <c r="E55" i="26"/>
  <c r="I55" i="26"/>
  <c r="M55" i="26"/>
  <c r="E56" i="26"/>
  <c r="I56" i="26"/>
  <c r="M56" i="26"/>
  <c r="E57" i="26"/>
  <c r="I57" i="26"/>
  <c r="M57" i="26"/>
  <c r="E58" i="26"/>
  <c r="I58" i="26"/>
  <c r="M58" i="26"/>
  <c r="E59" i="26"/>
  <c r="I59" i="26"/>
  <c r="M59" i="26"/>
  <c r="E60" i="26"/>
  <c r="I60" i="26"/>
  <c r="M60" i="26"/>
  <c r="E61" i="26"/>
  <c r="I61" i="26"/>
  <c r="M61" i="26"/>
  <c r="E62" i="26"/>
  <c r="I62" i="26"/>
  <c r="M62" i="26"/>
  <c r="E63" i="26"/>
  <c r="I63" i="26"/>
  <c r="M63" i="26"/>
  <c r="E64" i="26"/>
  <c r="I64" i="26"/>
  <c r="M64" i="26"/>
  <c r="E65" i="26"/>
  <c r="I65" i="26"/>
  <c r="M65" i="26"/>
  <c r="E66" i="26"/>
  <c r="I66" i="26"/>
  <c r="M66" i="26"/>
  <c r="E67" i="26"/>
  <c r="I67" i="26"/>
  <c r="M67" i="26"/>
  <c r="E68" i="26"/>
  <c r="I68" i="26"/>
  <c r="M68" i="26"/>
  <c r="E69" i="26"/>
  <c r="I69" i="26"/>
  <c r="M69" i="26"/>
  <c r="E70" i="26"/>
  <c r="I70" i="26"/>
  <c r="M70" i="26"/>
  <c r="E71" i="26"/>
  <c r="I71" i="26"/>
  <c r="M71" i="26"/>
  <c r="E72" i="26"/>
  <c r="I72" i="26"/>
  <c r="M72" i="26"/>
  <c r="E73" i="26"/>
  <c r="I73" i="26"/>
  <c r="M73" i="26"/>
  <c r="E74" i="26"/>
  <c r="I74" i="26"/>
  <c r="M74" i="26"/>
  <c r="E75" i="26"/>
  <c r="I75" i="26"/>
  <c r="M75" i="26"/>
  <c r="E76" i="26"/>
  <c r="I76" i="26"/>
  <c r="M76" i="26"/>
  <c r="E77" i="26"/>
  <c r="I77" i="26"/>
  <c r="M77" i="26"/>
  <c r="E78" i="26"/>
  <c r="I78" i="26"/>
  <c r="M78" i="26"/>
  <c r="E79" i="26"/>
  <c r="I79" i="26"/>
  <c r="M79" i="26"/>
  <c r="E80" i="26"/>
  <c r="I80" i="26"/>
  <c r="M80" i="26"/>
  <c r="E81" i="26"/>
  <c r="I81" i="26"/>
  <c r="M81" i="26"/>
  <c r="F82" i="26"/>
  <c r="J82" i="26"/>
  <c r="B83" i="26"/>
  <c r="F83" i="26"/>
  <c r="J83" i="26"/>
  <c r="E123" i="26"/>
  <c r="E121" i="26"/>
  <c r="E119" i="26"/>
  <c r="E117" i="26"/>
  <c r="E115" i="26"/>
  <c r="E113" i="26"/>
  <c r="E111" i="26"/>
  <c r="E109" i="26"/>
  <c r="E107" i="26"/>
  <c r="E105" i="26"/>
  <c r="E103" i="26"/>
  <c r="E101" i="26"/>
  <c r="E99" i="26"/>
  <c r="E97" i="26"/>
  <c r="E95" i="26"/>
  <c r="E93" i="26"/>
  <c r="E102" i="26"/>
  <c r="E100" i="26"/>
  <c r="E96" i="26"/>
  <c r="E125" i="26"/>
  <c r="D125" i="26" s="1"/>
  <c r="E124" i="26"/>
  <c r="E118" i="26"/>
  <c r="E114" i="26"/>
  <c r="E106" i="26"/>
  <c r="E104" i="26"/>
  <c r="E92" i="26"/>
  <c r="E122" i="26"/>
  <c r="E120" i="26"/>
  <c r="E116" i="26"/>
  <c r="E112" i="26"/>
  <c r="E110" i="26"/>
  <c r="E108" i="26"/>
  <c r="E98" i="26"/>
  <c r="E94" i="26"/>
  <c r="E88" i="26"/>
  <c r="E91" i="26"/>
  <c r="E89" i="26"/>
  <c r="E90" i="26"/>
  <c r="E5" i="26"/>
  <c r="I5" i="26"/>
  <c r="M5" i="26"/>
  <c r="E6" i="26"/>
  <c r="I6" i="26"/>
  <c r="M6" i="26"/>
  <c r="E7" i="26"/>
  <c r="I7" i="26"/>
  <c r="M7" i="26"/>
  <c r="E8" i="26"/>
  <c r="I8" i="26"/>
  <c r="M8" i="26"/>
  <c r="E9" i="26"/>
  <c r="I9" i="26"/>
  <c r="M9" i="26"/>
  <c r="E10" i="26"/>
  <c r="I10" i="26"/>
  <c r="M10" i="26"/>
  <c r="E11" i="26"/>
  <c r="I11" i="26"/>
  <c r="M11" i="26"/>
  <c r="E12" i="26"/>
  <c r="I12" i="26"/>
  <c r="M12" i="26"/>
  <c r="E13" i="26"/>
  <c r="I13" i="26"/>
  <c r="M13" i="26"/>
  <c r="E14" i="26"/>
  <c r="I14" i="26"/>
  <c r="M14" i="26"/>
  <c r="E15" i="26"/>
  <c r="I15" i="26"/>
  <c r="M15" i="26"/>
  <c r="E16" i="26"/>
  <c r="J17" i="26"/>
  <c r="B18" i="26"/>
  <c r="G19" i="26"/>
  <c r="K19" i="26"/>
  <c r="C20" i="26"/>
  <c r="G20" i="26"/>
  <c r="K20" i="26"/>
  <c r="C21" i="26"/>
  <c r="G21" i="26"/>
  <c r="K21" i="26"/>
  <c r="C22" i="26"/>
  <c r="G22" i="26"/>
  <c r="K22" i="26"/>
  <c r="C23" i="26"/>
  <c r="G23" i="26"/>
  <c r="K23" i="26"/>
  <c r="C24" i="26"/>
  <c r="G24" i="26"/>
  <c r="K24" i="26"/>
  <c r="C25" i="26"/>
  <c r="G25" i="26"/>
  <c r="K25" i="26"/>
  <c r="C26" i="26"/>
  <c r="G26" i="26"/>
  <c r="K26" i="26"/>
  <c r="C27" i="26"/>
  <c r="G27" i="26"/>
  <c r="K27" i="26"/>
  <c r="C28" i="26"/>
  <c r="G28" i="26"/>
  <c r="K28" i="26"/>
  <c r="C29" i="26"/>
  <c r="G29" i="26"/>
  <c r="K29" i="26"/>
  <c r="C30" i="26"/>
  <c r="G30" i="26"/>
  <c r="K30" i="26"/>
  <c r="D32" i="26"/>
  <c r="H32" i="26"/>
  <c r="L32" i="26"/>
  <c r="D33" i="26"/>
  <c r="H33" i="26"/>
  <c r="L33" i="26"/>
  <c r="D34" i="26"/>
  <c r="H34" i="26"/>
  <c r="L34" i="26"/>
  <c r="D35" i="26"/>
  <c r="H35" i="26"/>
  <c r="L35" i="26"/>
  <c r="D36" i="26"/>
  <c r="H36" i="26"/>
  <c r="L36" i="26"/>
  <c r="D37" i="26"/>
  <c r="H37" i="26"/>
  <c r="L37" i="26"/>
  <c r="D38" i="26"/>
  <c r="H38" i="26"/>
  <c r="L38" i="26"/>
  <c r="D39" i="26"/>
  <c r="H39" i="26"/>
  <c r="L39" i="26"/>
  <c r="D40" i="26"/>
  <c r="H40" i="26"/>
  <c r="L40" i="26"/>
  <c r="D41" i="26"/>
  <c r="H41" i="26"/>
  <c r="L41" i="26"/>
  <c r="D47" i="26"/>
  <c r="H47" i="26"/>
  <c r="L47" i="26"/>
  <c r="D48" i="26"/>
  <c r="H48" i="26"/>
  <c r="L48" i="26"/>
  <c r="D49" i="26"/>
  <c r="H49" i="26"/>
  <c r="L49" i="26"/>
  <c r="D50" i="26"/>
  <c r="H50" i="26"/>
  <c r="L50" i="26"/>
  <c r="D51" i="26"/>
  <c r="H51" i="26"/>
  <c r="L51" i="26"/>
  <c r="D52" i="26"/>
  <c r="H52" i="26"/>
  <c r="L52" i="26"/>
  <c r="D53" i="26"/>
  <c r="H53" i="26"/>
  <c r="L53" i="26"/>
  <c r="D54" i="26"/>
  <c r="H54" i="26"/>
  <c r="L54" i="26"/>
  <c r="D55" i="26"/>
  <c r="H55" i="26"/>
  <c r="L55" i="26"/>
  <c r="D56" i="26"/>
  <c r="H56" i="26"/>
  <c r="L56" i="26"/>
  <c r="D57" i="26"/>
  <c r="H57" i="26"/>
  <c r="L57" i="26"/>
  <c r="D58" i="26"/>
  <c r="H58" i="26"/>
  <c r="L58" i="26"/>
  <c r="D59" i="26"/>
  <c r="H59" i="26"/>
  <c r="L59" i="26"/>
  <c r="D60" i="26"/>
  <c r="H60" i="26"/>
  <c r="L60" i="26"/>
  <c r="D61" i="26"/>
  <c r="H61" i="26"/>
  <c r="L61" i="26"/>
  <c r="D62" i="26"/>
  <c r="H62" i="26"/>
  <c r="L62" i="26"/>
  <c r="D63" i="26"/>
  <c r="H63" i="26"/>
  <c r="L63" i="26"/>
  <c r="D64" i="26"/>
  <c r="H64" i="26"/>
  <c r="L64" i="26"/>
  <c r="D65" i="26"/>
  <c r="H65" i="26"/>
  <c r="L65" i="26"/>
  <c r="D66" i="26"/>
  <c r="H66" i="26"/>
  <c r="L66" i="26"/>
  <c r="D67" i="26"/>
  <c r="H67" i="26"/>
  <c r="L67" i="26"/>
  <c r="D68" i="26"/>
  <c r="H68" i="26"/>
  <c r="L68" i="26"/>
  <c r="D69" i="26"/>
  <c r="H69" i="26"/>
  <c r="L69" i="26"/>
  <c r="D70" i="26"/>
  <c r="H70" i="26"/>
  <c r="L70" i="26"/>
  <c r="D71" i="26"/>
  <c r="H71" i="26"/>
  <c r="L71" i="26"/>
  <c r="D72" i="26"/>
  <c r="H72" i="26"/>
  <c r="L72" i="26"/>
  <c r="D73" i="26"/>
  <c r="H73" i="26"/>
  <c r="L73" i="26"/>
  <c r="D74" i="26"/>
  <c r="H74" i="26"/>
  <c r="L74" i="26"/>
  <c r="D75" i="26"/>
  <c r="H75" i="26"/>
  <c r="L75" i="26"/>
  <c r="D76" i="26"/>
  <c r="H76" i="26"/>
  <c r="L76" i="26"/>
  <c r="D77" i="26"/>
  <c r="H77" i="26"/>
  <c r="L77" i="26"/>
  <c r="D78" i="26"/>
  <c r="H78" i="26"/>
  <c r="L78" i="26"/>
  <c r="D79" i="26"/>
  <c r="H79" i="26"/>
  <c r="L79" i="26"/>
  <c r="D80" i="26"/>
  <c r="H80" i="26"/>
  <c r="L80" i="26"/>
  <c r="E82" i="26"/>
  <c r="I82" i="26"/>
  <c r="M82" i="26"/>
  <c r="E83" i="26"/>
  <c r="I83" i="26"/>
  <c r="M83" i="26"/>
  <c r="J81" i="27"/>
  <c r="I81" i="27"/>
  <c r="H81" i="27"/>
  <c r="G81" i="27"/>
  <c r="F81" i="27" l="1"/>
  <c r="E81" i="27"/>
  <c r="D81" i="27"/>
  <c r="C81" i="27"/>
  <c r="J80" i="27"/>
  <c r="I80" i="27"/>
  <c r="H80" i="27"/>
  <c r="G80" i="27"/>
  <c r="F80" i="27"/>
  <c r="E80" i="27"/>
  <c r="D80" i="27"/>
  <c r="C80" i="27"/>
  <c r="J79" i="27"/>
  <c r="I79" i="27"/>
  <c r="H79" i="27"/>
  <c r="G79" i="27"/>
  <c r="F79" i="27"/>
  <c r="E79" i="27"/>
  <c r="D79" i="27"/>
  <c r="C79" i="27"/>
  <c r="J78" i="27"/>
  <c r="I78" i="27"/>
  <c r="H78" i="27"/>
  <c r="G78" i="27"/>
  <c r="F78" i="27"/>
  <c r="E78" i="27"/>
  <c r="D78" i="27"/>
  <c r="C78" i="27"/>
  <c r="J77" i="27"/>
  <c r="I77" i="27"/>
  <c r="H77" i="27"/>
  <c r="G77" i="27"/>
  <c r="F77" i="27"/>
  <c r="E77" i="27"/>
  <c r="D77" i="27"/>
  <c r="C77" i="27"/>
  <c r="J76" i="27"/>
  <c r="I76" i="27"/>
  <c r="H76" i="27"/>
  <c r="G76" i="27"/>
  <c r="F76" i="27"/>
  <c r="E76" i="27"/>
  <c r="D76" i="27"/>
  <c r="C76" i="27"/>
  <c r="J75" i="27"/>
  <c r="I75" i="27"/>
  <c r="H75" i="27"/>
  <c r="G75" i="27"/>
  <c r="F75" i="27"/>
  <c r="E75" i="27"/>
  <c r="D75" i="27"/>
  <c r="C75" i="27"/>
  <c r="J74" i="27"/>
  <c r="I74" i="27"/>
  <c r="H74" i="27"/>
  <c r="G74" i="27"/>
  <c r="F74" i="27"/>
  <c r="E74" i="27"/>
  <c r="D74" i="27"/>
  <c r="C74" i="27"/>
  <c r="J73" i="27"/>
  <c r="I73" i="27"/>
  <c r="H73" i="27"/>
  <c r="G73" i="27"/>
  <c r="F73" i="27"/>
  <c r="E73" i="27"/>
  <c r="D73" i="27"/>
  <c r="C73" i="27"/>
  <c r="J72" i="27"/>
  <c r="I72" i="27"/>
  <c r="H72" i="27"/>
  <c r="G72" i="27"/>
  <c r="F72" i="27"/>
  <c r="E72" i="27"/>
  <c r="D72" i="27"/>
  <c r="C72" i="27"/>
  <c r="J71" i="27"/>
  <c r="I71" i="27"/>
  <c r="H71" i="27"/>
  <c r="G71" i="27"/>
  <c r="F71" i="27"/>
  <c r="E71" i="27"/>
  <c r="D71" i="27"/>
  <c r="C71" i="27"/>
  <c r="J70" i="27"/>
  <c r="I70" i="27"/>
  <c r="H70" i="27"/>
  <c r="G70" i="27"/>
  <c r="F70" i="27"/>
  <c r="E70" i="27"/>
  <c r="D70" i="27"/>
  <c r="C70" i="27"/>
  <c r="J82" i="27" l="1"/>
  <c r="G82" i="27"/>
  <c r="H82" i="27"/>
  <c r="F82" i="27"/>
  <c r="I82" i="27"/>
  <c r="J64" i="27"/>
  <c r="I64" i="27"/>
  <c r="H64" i="27"/>
  <c r="G64" i="27"/>
  <c r="F64" i="27"/>
  <c r="E64" i="27"/>
  <c r="D64" i="27"/>
  <c r="C64" i="27"/>
  <c r="J63" i="27"/>
  <c r="I63" i="27"/>
  <c r="G63" i="27"/>
  <c r="F63" i="27"/>
  <c r="E63" i="27"/>
  <c r="D63" i="27"/>
  <c r="C63" i="27"/>
  <c r="J62" i="27"/>
  <c r="J65" i="27" s="1"/>
  <c r="I62" i="27"/>
  <c r="G62" i="27"/>
  <c r="F62" i="27"/>
  <c r="E62" i="27"/>
  <c r="D62" i="27"/>
  <c r="C62" i="27"/>
  <c r="J61" i="27"/>
  <c r="I61" i="27"/>
  <c r="H61" i="27"/>
  <c r="G61" i="27"/>
  <c r="F61" i="27"/>
  <c r="E61" i="27"/>
  <c r="D61" i="27"/>
  <c r="C61" i="27"/>
  <c r="F65" i="27" l="1"/>
  <c r="I65" i="27"/>
  <c r="E65" i="27"/>
  <c r="C65" i="27"/>
  <c r="G65" i="27"/>
  <c r="D65" i="27"/>
  <c r="J58" i="27"/>
  <c r="I58" i="27"/>
  <c r="H58" i="27"/>
  <c r="G58" i="27"/>
  <c r="F58" i="27"/>
  <c r="E58" i="27"/>
  <c r="D58" i="27"/>
  <c r="C58" i="27"/>
  <c r="J57" i="27"/>
  <c r="I57" i="27"/>
  <c r="H57" i="27"/>
  <c r="G57" i="27"/>
  <c r="F57" i="27"/>
  <c r="E57" i="27"/>
  <c r="D57" i="27"/>
  <c r="C57" i="27"/>
  <c r="J56" i="27"/>
  <c r="J59" i="27" s="1"/>
  <c r="I56" i="27"/>
  <c r="H56" i="27"/>
  <c r="G56" i="27"/>
  <c r="G59" i="27" s="1"/>
  <c r="F56" i="27"/>
  <c r="E56" i="27"/>
  <c r="E59" i="27" s="1"/>
  <c r="D56" i="27"/>
  <c r="C56" i="27"/>
  <c r="J55" i="27"/>
  <c r="I55" i="27"/>
  <c r="H55" i="27"/>
  <c r="G55" i="27"/>
  <c r="F55" i="27"/>
  <c r="E55" i="27"/>
  <c r="D55" i="27"/>
  <c r="C55" i="27"/>
  <c r="J52" i="27"/>
  <c r="I52" i="27"/>
  <c r="H52" i="27"/>
  <c r="G52" i="27"/>
  <c r="F52" i="27"/>
  <c r="E52" i="27"/>
  <c r="D52" i="27"/>
  <c r="C52" i="27"/>
  <c r="J51" i="27"/>
  <c r="I51" i="27"/>
  <c r="H51" i="27"/>
  <c r="G51" i="27"/>
  <c r="F51" i="27"/>
  <c r="E51" i="27"/>
  <c r="D51" i="27"/>
  <c r="C51" i="27"/>
  <c r="J50" i="27"/>
  <c r="J53" i="27" s="1"/>
  <c r="I50" i="27"/>
  <c r="I53" i="27" s="1"/>
  <c r="H50" i="27"/>
  <c r="G50" i="27"/>
  <c r="F50" i="27"/>
  <c r="E50" i="27"/>
  <c r="D50" i="27"/>
  <c r="C50" i="27"/>
  <c r="J49" i="27"/>
  <c r="I49" i="27"/>
  <c r="H49" i="27"/>
  <c r="G49" i="27"/>
  <c r="F49" i="27"/>
  <c r="E49" i="27"/>
  <c r="D49" i="27"/>
  <c r="C49" i="27"/>
  <c r="J46" i="27"/>
  <c r="I46" i="27"/>
  <c r="H46" i="27"/>
  <c r="G46" i="27"/>
  <c r="F46" i="27"/>
  <c r="E46" i="27"/>
  <c r="D46" i="27"/>
  <c r="C46" i="27"/>
  <c r="J45" i="27"/>
  <c r="I45" i="27"/>
  <c r="H45" i="27"/>
  <c r="G45" i="27"/>
  <c r="F45" i="27"/>
  <c r="E45" i="27"/>
  <c r="D45" i="27"/>
  <c r="C45" i="27"/>
  <c r="J44" i="27"/>
  <c r="I44" i="27"/>
  <c r="H44" i="27"/>
  <c r="G44" i="27"/>
  <c r="F44" i="27"/>
  <c r="E44" i="27"/>
  <c r="D44" i="27"/>
  <c r="C44" i="27"/>
  <c r="J43" i="27"/>
  <c r="I43" i="27"/>
  <c r="H43" i="27"/>
  <c r="G43" i="27"/>
  <c r="F43" i="27"/>
  <c r="E43" i="27"/>
  <c r="D43" i="27"/>
  <c r="C43" i="27"/>
  <c r="J37" i="27"/>
  <c r="H37" i="27"/>
  <c r="G37" i="27"/>
  <c r="F37" i="27"/>
  <c r="E37" i="27"/>
  <c r="D37" i="27"/>
  <c r="C37" i="27"/>
  <c r="J36" i="27"/>
  <c r="H36" i="27"/>
  <c r="G36" i="27"/>
  <c r="F36" i="27"/>
  <c r="E36" i="27"/>
  <c r="D36" i="27"/>
  <c r="C36" i="27"/>
  <c r="J35" i="27"/>
  <c r="I35" i="27"/>
  <c r="H35" i="27"/>
  <c r="G35" i="27"/>
  <c r="F35" i="27"/>
  <c r="E35" i="27"/>
  <c r="D35" i="27"/>
  <c r="C35" i="27"/>
  <c r="J32" i="27"/>
  <c r="I32" i="27"/>
  <c r="H32" i="27"/>
  <c r="G32" i="27"/>
  <c r="F32" i="27"/>
  <c r="E32" i="27"/>
  <c r="D32" i="27"/>
  <c r="C32" i="27"/>
  <c r="J31" i="27"/>
  <c r="I31" i="27"/>
  <c r="H31" i="27"/>
  <c r="H33" i="27" s="1"/>
  <c r="G31" i="27"/>
  <c r="G33" i="27" s="1"/>
  <c r="F31" i="27"/>
  <c r="F33" i="27" s="1"/>
  <c r="E31" i="27"/>
  <c r="E33" i="27" s="1"/>
  <c r="D31" i="27"/>
  <c r="C31" i="27"/>
  <c r="C33" i="27" s="1"/>
  <c r="J30" i="27"/>
  <c r="I30" i="27"/>
  <c r="H30" i="27"/>
  <c r="G30" i="27"/>
  <c r="F30" i="27"/>
  <c r="E30" i="27"/>
  <c r="D30" i="27"/>
  <c r="C30" i="27"/>
  <c r="J27" i="27"/>
  <c r="I27" i="27"/>
  <c r="H27" i="27"/>
  <c r="G27" i="27"/>
  <c r="F27" i="27"/>
  <c r="E27" i="27"/>
  <c r="D27" i="27"/>
  <c r="C27" i="27"/>
  <c r="J26" i="27"/>
  <c r="I26" i="27"/>
  <c r="H26" i="27"/>
  <c r="H28" i="27" s="1"/>
  <c r="G26" i="27"/>
  <c r="G28" i="27" s="1"/>
  <c r="F26" i="27"/>
  <c r="F28" i="27" s="1"/>
  <c r="E26" i="27"/>
  <c r="E28" i="27" s="1"/>
  <c r="D26" i="27"/>
  <c r="D28" i="27" s="1"/>
  <c r="C26" i="27"/>
  <c r="J25" i="27"/>
  <c r="I25" i="27"/>
  <c r="H25" i="27"/>
  <c r="G25" i="27"/>
  <c r="F25" i="27"/>
  <c r="E25" i="27"/>
  <c r="D25" i="27"/>
  <c r="C25" i="27"/>
  <c r="C53" i="27" l="1"/>
  <c r="E47" i="27"/>
  <c r="I47" i="27"/>
  <c r="J47" i="27"/>
  <c r="F53" i="27"/>
  <c r="F47" i="27"/>
  <c r="G53" i="27"/>
  <c r="H53" i="27"/>
  <c r="D59" i="27"/>
  <c r="D38" i="27"/>
  <c r="E53" i="27"/>
  <c r="J33" i="27"/>
  <c r="J28" i="27"/>
  <c r="C38" i="27"/>
  <c r="G38" i="27"/>
  <c r="D47" i="27"/>
  <c r="C47" i="27" s="1"/>
  <c r="H47" i="27"/>
  <c r="G47" i="27" s="1"/>
  <c r="C59" i="27"/>
  <c r="D53" i="27"/>
  <c r="H38" i="27"/>
  <c r="D33" i="27"/>
  <c r="E38" i="27"/>
  <c r="J38" i="27"/>
  <c r="I33" i="27"/>
  <c r="F38" i="27"/>
  <c r="C28" i="27"/>
  <c r="I28" i="27"/>
  <c r="F59" i="27"/>
  <c r="I59" i="27"/>
  <c r="H59" i="27" s="1"/>
  <c r="J22" i="27"/>
  <c r="I22" i="27"/>
  <c r="H22" i="27"/>
  <c r="G22" i="27"/>
  <c r="F22" i="27"/>
  <c r="E22" i="27"/>
  <c r="D22" i="27"/>
  <c r="C22" i="27"/>
  <c r="J21" i="27"/>
  <c r="I21" i="27"/>
  <c r="H21" i="27"/>
  <c r="H23" i="27" s="1"/>
  <c r="G21" i="27"/>
  <c r="F21" i="27"/>
  <c r="E21" i="27"/>
  <c r="D21" i="27"/>
  <c r="D23" i="27" s="1"/>
  <c r="C21" i="27"/>
  <c r="J20" i="27"/>
  <c r="I20" i="27"/>
  <c r="H20" i="27"/>
  <c r="G20" i="27"/>
  <c r="F20" i="27"/>
  <c r="E20" i="27"/>
  <c r="D20" i="27"/>
  <c r="C20" i="27"/>
  <c r="E23" i="27" l="1"/>
  <c r="J23" i="27"/>
  <c r="C23" i="27"/>
  <c r="F23" i="27"/>
  <c r="G23" i="27"/>
  <c r="I23" i="27"/>
  <c r="J3" i="27"/>
  <c r="J6" i="27" s="1"/>
  <c r="J13" i="27" l="1"/>
  <c r="J14" i="27"/>
  <c r="J11" i="27"/>
  <c r="J15" i="27"/>
  <c r="J12" i="27"/>
  <c r="J5" i="27"/>
  <c r="J10" i="27"/>
  <c r="I3" i="27"/>
  <c r="H3" i="27" s="1"/>
  <c r="J4" i="27"/>
  <c r="H15" i="27" l="1"/>
  <c r="H12" i="27"/>
  <c r="H13" i="27"/>
  <c r="H14" i="27"/>
  <c r="H6" i="27"/>
  <c r="H7" i="27"/>
  <c r="H8" i="27"/>
  <c r="H4" i="27"/>
  <c r="H5" i="27"/>
  <c r="H11" i="27"/>
  <c r="H10" i="27"/>
  <c r="H9" i="27"/>
  <c r="I15" i="27"/>
  <c r="I14" i="27"/>
  <c r="I11" i="27"/>
  <c r="I13" i="27"/>
  <c r="I12" i="27"/>
  <c r="I10" i="27"/>
  <c r="I9" i="27"/>
  <c r="I5" i="27"/>
  <c r="I6" i="27"/>
  <c r="I7" i="27"/>
  <c r="I4" i="27"/>
  <c r="I8" i="27"/>
  <c r="G3" i="27"/>
  <c r="G15" i="27" l="1"/>
  <c r="G12" i="27"/>
  <c r="G13" i="27"/>
  <c r="G14" i="27"/>
  <c r="G7" i="27"/>
  <c r="G6" i="27"/>
  <c r="G8" i="27"/>
  <c r="G4" i="27"/>
  <c r="G11" i="27"/>
  <c r="G10" i="27"/>
  <c r="G9" i="27"/>
  <c r="G5" i="27"/>
  <c r="F3" i="27"/>
  <c r="F15" i="27" l="1"/>
  <c r="F13" i="27"/>
  <c r="F14" i="27"/>
  <c r="F12" i="27"/>
  <c r="F8" i="27"/>
  <c r="F4" i="27"/>
  <c r="F9" i="27"/>
  <c r="F5" i="27"/>
  <c r="F7" i="27"/>
  <c r="F6" i="27"/>
  <c r="E3" i="27"/>
  <c r="E15" i="27" l="1"/>
  <c r="E14" i="27"/>
  <c r="E13" i="27"/>
  <c r="E12" i="27"/>
  <c r="E9" i="27"/>
  <c r="E5" i="27"/>
  <c r="E4" i="27"/>
  <c r="E11" i="27"/>
  <c r="E10" i="27"/>
  <c r="E6" i="27"/>
  <c r="E7" i="27"/>
  <c r="E8" i="27"/>
  <c r="D3" i="27"/>
  <c r="L94" i="31"/>
  <c r="L101" i="31" l="1"/>
  <c r="K94" i="31"/>
  <c r="D15" i="27"/>
  <c r="D12" i="27"/>
  <c r="D14" i="27"/>
  <c r="D13" i="27"/>
  <c r="D11" i="27"/>
  <c r="D10" i="27"/>
  <c r="D6" i="27"/>
  <c r="D7" i="27"/>
  <c r="D5" i="27"/>
  <c r="D8" i="27"/>
  <c r="D4" i="27"/>
  <c r="D9" i="27"/>
  <c r="C3" i="27"/>
  <c r="L96" i="31"/>
  <c r="L100" i="31"/>
  <c r="L95" i="31"/>
  <c r="L99" i="31"/>
  <c r="L98" i="31"/>
  <c r="L102" i="31"/>
  <c r="L97" i="31"/>
  <c r="J94" i="31" l="1"/>
  <c r="C15" i="27"/>
  <c r="C12" i="27"/>
  <c r="C13" i="27"/>
  <c r="C14" i="27"/>
  <c r="C7" i="27"/>
  <c r="C4" i="27"/>
  <c r="C8" i="27"/>
  <c r="C9" i="27"/>
  <c r="C5" i="27"/>
  <c r="C11" i="27"/>
  <c r="C10" i="27"/>
  <c r="C6" i="27"/>
  <c r="B3" i="27"/>
  <c r="L79" i="31"/>
  <c r="K79" i="31" l="1"/>
  <c r="J79" i="31" s="1"/>
  <c r="I79" i="31" s="1"/>
  <c r="H79" i="31" s="1"/>
  <c r="G79" i="31" s="1"/>
  <c r="F79" i="31" s="1"/>
  <c r="E79" i="31" s="1"/>
  <c r="D79" i="31" s="1"/>
  <c r="C79" i="31" s="1"/>
  <c r="B79" i="31" s="1"/>
  <c r="I94" i="31"/>
  <c r="B13" i="27"/>
  <c r="B14" i="27"/>
  <c r="B12" i="27"/>
  <c r="B15" i="27"/>
  <c r="B8" i="27"/>
  <c r="B4" i="27"/>
  <c r="B9" i="27"/>
  <c r="B5" i="27"/>
  <c r="B11" i="27"/>
  <c r="B10" i="27"/>
  <c r="B6" i="27"/>
  <c r="B7" i="27"/>
  <c r="L63" i="31"/>
  <c r="H94" i="31" l="1"/>
  <c r="K63" i="31"/>
  <c r="G94" i="31" l="1"/>
  <c r="J63" i="31"/>
  <c r="F94" i="31" l="1"/>
  <c r="I63" i="31"/>
  <c r="L57" i="31"/>
  <c r="K57" i="31"/>
  <c r="I57" i="31"/>
  <c r="H57" i="31"/>
  <c r="G57" i="31"/>
  <c r="E57" i="31"/>
  <c r="D57" i="31"/>
  <c r="C57" i="31"/>
  <c r="B57" i="31"/>
  <c r="L56" i="31"/>
  <c r="K56" i="31"/>
  <c r="I56" i="31"/>
  <c r="H56" i="31"/>
  <c r="G56" i="31" s="1"/>
  <c r="E56" i="31"/>
  <c r="D56" i="31"/>
  <c r="C56" i="31"/>
  <c r="B56" i="31"/>
  <c r="L55" i="31"/>
  <c r="K55" i="31"/>
  <c r="H63" i="31" l="1"/>
  <c r="E94" i="31"/>
  <c r="I55" i="31"/>
  <c r="H55" i="31"/>
  <c r="G55" i="31" s="1"/>
  <c r="E55" i="31"/>
  <c r="D55" i="31"/>
  <c r="C55" i="31"/>
  <c r="B55" i="31"/>
  <c r="L54" i="31"/>
  <c r="K54" i="31"/>
  <c r="I54" i="31"/>
  <c r="H54" i="31"/>
  <c r="G54" i="31"/>
  <c r="E54" i="31"/>
  <c r="D54" i="31"/>
  <c r="C54" i="31"/>
  <c r="B54" i="31"/>
  <c r="L53" i="31"/>
  <c r="K53" i="31"/>
  <c r="H53" i="31"/>
  <c r="G53" i="31"/>
  <c r="D94" i="31" l="1"/>
  <c r="G63" i="31"/>
  <c r="E53" i="31"/>
  <c r="C53" i="31"/>
  <c r="B53" i="31"/>
  <c r="L52" i="31"/>
  <c r="K52" i="31"/>
  <c r="H52" i="31"/>
  <c r="F63" i="31" l="1"/>
  <c r="C94" i="31"/>
  <c r="G52" i="31"/>
  <c r="C52" i="31"/>
  <c r="B52" i="31"/>
  <c r="L51" i="31"/>
  <c r="K51" i="31"/>
  <c r="J51" i="31"/>
  <c r="I51" i="31"/>
  <c r="H51" i="31"/>
  <c r="G51" i="31"/>
  <c r="F51" i="31"/>
  <c r="E51" i="31"/>
  <c r="D51" i="31"/>
  <c r="C51" i="31"/>
  <c r="B51" i="31"/>
  <c r="L50" i="31"/>
  <c r="K50" i="31"/>
  <c r="J50" i="31"/>
  <c r="I50" i="31"/>
  <c r="H50" i="31"/>
  <c r="G50" i="31"/>
  <c r="F50" i="31"/>
  <c r="D50" i="31"/>
  <c r="C50" i="31"/>
  <c r="B50" i="31"/>
  <c r="L49" i="31"/>
  <c r="K49" i="31"/>
  <c r="J49" i="31"/>
  <c r="I49" i="31"/>
  <c r="H49" i="31"/>
  <c r="G49" i="31"/>
  <c r="F49" i="31"/>
  <c r="D49" i="31"/>
  <c r="C49" i="31"/>
  <c r="B49" i="31"/>
  <c r="J48" i="31"/>
  <c r="I48" i="31"/>
  <c r="H48" i="31"/>
  <c r="G48" i="31"/>
  <c r="F48" i="31"/>
  <c r="E48" i="31"/>
  <c r="D48" i="31"/>
  <c r="C48" i="31"/>
  <c r="B48" i="31"/>
  <c r="J47" i="31"/>
  <c r="I47" i="31"/>
  <c r="H47" i="31"/>
  <c r="G47" i="31"/>
  <c r="F47" i="31"/>
  <c r="E47" i="31"/>
  <c r="D47" i="31"/>
  <c r="C47" i="31"/>
  <c r="B47" i="31"/>
  <c r="J46" i="31"/>
  <c r="I46" i="31"/>
  <c r="H46" i="31"/>
  <c r="G46" i="31"/>
  <c r="F46" i="31"/>
  <c r="E46" i="31"/>
  <c r="D46" i="31"/>
  <c r="C46" i="31"/>
  <c r="B46" i="31"/>
  <c r="B94" i="31" l="1"/>
  <c r="E63" i="31"/>
  <c r="L20" i="31"/>
  <c r="D63" i="31" l="1"/>
  <c r="K28" i="31"/>
  <c r="K20" i="31"/>
  <c r="C63" i="31" l="1"/>
  <c r="J28" i="31"/>
  <c r="J20" i="31"/>
  <c r="I20" i="31" s="1"/>
  <c r="B63" i="31" l="1"/>
  <c r="I28" i="31"/>
  <c r="H20" i="31"/>
  <c r="H28" i="31" l="1"/>
  <c r="G20" i="31"/>
  <c r="G28" i="31" l="1"/>
  <c r="F20" i="31"/>
  <c r="F28" i="31" l="1"/>
  <c r="E20" i="31"/>
  <c r="E28" i="31" l="1"/>
  <c r="F38" i="31"/>
  <c r="F35" i="31"/>
  <c r="F33" i="31"/>
  <c r="F32" i="31"/>
  <c r="F37" i="31"/>
  <c r="F39" i="31"/>
  <c r="F40" i="31"/>
  <c r="F36" i="31"/>
  <c r="F34" i="31"/>
  <c r="F31" i="31"/>
  <c r="F30" i="31"/>
  <c r="F29" i="31"/>
  <c r="D20" i="31"/>
  <c r="D28" i="31" l="1"/>
  <c r="E39" i="31"/>
  <c r="E32" i="31"/>
  <c r="E40" i="31"/>
  <c r="E34" i="31"/>
  <c r="E38" i="31"/>
  <c r="E35" i="31"/>
  <c r="E33" i="31"/>
  <c r="E36" i="31"/>
  <c r="E37" i="31"/>
  <c r="E30" i="31"/>
  <c r="E31" i="31"/>
  <c r="E29" i="31"/>
  <c r="C20" i="31"/>
  <c r="C28" i="31" l="1"/>
  <c r="D40" i="31"/>
  <c r="D36" i="31"/>
  <c r="D34" i="31"/>
  <c r="D39" i="31"/>
  <c r="D32" i="31"/>
  <c r="D37" i="31"/>
  <c r="D38" i="31"/>
  <c r="D35" i="31"/>
  <c r="D33" i="31"/>
  <c r="D31" i="31"/>
  <c r="D30" i="31"/>
  <c r="D29" i="31"/>
  <c r="B20" i="31"/>
  <c r="L19" i="31"/>
  <c r="K19" i="31"/>
  <c r="J19" i="31"/>
  <c r="I19" i="31"/>
  <c r="H19" i="31"/>
  <c r="G19" i="31"/>
  <c r="F19" i="31"/>
  <c r="E19" i="31"/>
  <c r="D19" i="31"/>
  <c r="C19" i="31"/>
  <c r="B19" i="31"/>
  <c r="B28" i="31" l="1"/>
  <c r="C37" i="31"/>
  <c r="C35" i="31"/>
  <c r="C33" i="31"/>
  <c r="C40" i="31"/>
  <c r="C36" i="31"/>
  <c r="C34" i="31"/>
  <c r="C38" i="31"/>
  <c r="C39" i="31"/>
  <c r="C32" i="31"/>
  <c r="C31" i="31"/>
  <c r="C30" i="31"/>
  <c r="C29" i="31"/>
  <c r="L3" i="31"/>
  <c r="L10" i="31" s="1"/>
  <c r="K3" i="31" l="1"/>
  <c r="L4" i="31"/>
  <c r="L8" i="31"/>
  <c r="L12" i="31"/>
  <c r="L5" i="31"/>
  <c r="L9" i="31"/>
  <c r="L13" i="31"/>
  <c r="L6" i="31"/>
  <c r="L14" i="31"/>
  <c r="L15" i="31"/>
  <c r="B38" i="31"/>
  <c r="B35" i="31"/>
  <c r="B33" i="31"/>
  <c r="B37" i="31"/>
  <c r="B39" i="31"/>
  <c r="B32" i="31"/>
  <c r="B40" i="31"/>
  <c r="B36" i="31"/>
  <c r="B34" i="31"/>
  <c r="B31" i="31"/>
  <c r="B30" i="31"/>
  <c r="B29" i="31"/>
  <c r="L7" i="31"/>
  <c r="L11" i="31"/>
  <c r="K14" i="31" l="1"/>
  <c r="K15" i="31"/>
  <c r="K10" i="31"/>
  <c r="K6" i="31"/>
  <c r="K13" i="31"/>
  <c r="K9" i="31"/>
  <c r="K5" i="31"/>
  <c r="K12" i="31"/>
  <c r="K8" i="31"/>
  <c r="K4" i="31"/>
  <c r="J3" i="31"/>
  <c r="K11" i="31"/>
  <c r="K7" i="31"/>
  <c r="J15" i="31" l="1"/>
  <c r="J14" i="31"/>
  <c r="J13" i="31"/>
  <c r="J9" i="31"/>
  <c r="J5" i="31"/>
  <c r="J12" i="31"/>
  <c r="J8" i="31"/>
  <c r="J4" i="31"/>
  <c r="I3" i="31"/>
  <c r="J11" i="31"/>
  <c r="J7" i="31"/>
  <c r="J10" i="31"/>
  <c r="J6" i="31"/>
  <c r="I15" i="31" l="1"/>
  <c r="I14" i="31"/>
  <c r="I12" i="31"/>
  <c r="I8" i="31"/>
  <c r="I4" i="31"/>
  <c r="I11" i="31"/>
  <c r="I7" i="31"/>
  <c r="I10" i="31"/>
  <c r="I6" i="31"/>
  <c r="I13" i="31"/>
  <c r="I9" i="31"/>
  <c r="I5" i="31"/>
  <c r="H3" i="31"/>
  <c r="M247" i="29"/>
  <c r="L247" i="29"/>
  <c r="K247" i="29"/>
  <c r="J247" i="29"/>
  <c r="I247" i="29"/>
  <c r="H247" i="29"/>
  <c r="G247" i="29"/>
  <c r="F247" i="29"/>
  <c r="E247" i="29"/>
  <c r="D247" i="29"/>
  <c r="C247" i="29"/>
  <c r="B247" i="29"/>
  <c r="M239" i="29"/>
  <c r="M245" i="29" s="1"/>
  <c r="L239" i="29"/>
  <c r="L245" i="29" s="1"/>
  <c r="K239" i="29"/>
  <c r="K245" i="29" s="1"/>
  <c r="J239" i="29"/>
  <c r="J245" i="29" s="1"/>
  <c r="I239" i="29"/>
  <c r="I245" i="29" s="1"/>
  <c r="H239" i="29"/>
  <c r="H245" i="29" s="1"/>
  <c r="G239" i="29"/>
  <c r="G245" i="29" s="1"/>
  <c r="F239" i="29"/>
  <c r="F245" i="29" s="1"/>
  <c r="E239" i="29"/>
  <c r="E245" i="29" s="1"/>
  <c r="D239" i="29"/>
  <c r="D245" i="29" s="1"/>
  <c r="C239" i="29"/>
  <c r="C245" i="29" s="1"/>
  <c r="B239" i="29"/>
  <c r="B245" i="29" s="1"/>
  <c r="K249" i="29" l="1"/>
  <c r="K253" i="29"/>
  <c r="K248" i="29"/>
  <c r="K252" i="29"/>
  <c r="K251" i="29"/>
  <c r="K250" i="29"/>
  <c r="L250" i="29"/>
  <c r="L249" i="29"/>
  <c r="L253" i="29"/>
  <c r="L248" i="29"/>
  <c r="L252" i="29"/>
  <c r="L251" i="29"/>
  <c r="M251" i="29"/>
  <c r="M250" i="29"/>
  <c r="M249" i="29"/>
  <c r="M253" i="29"/>
  <c r="M252" i="29"/>
  <c r="M248" i="29"/>
  <c r="H249" i="29"/>
  <c r="H253" i="29"/>
  <c r="H248" i="29"/>
  <c r="H252" i="29"/>
  <c r="H251" i="29"/>
  <c r="H250" i="29"/>
  <c r="I250" i="29"/>
  <c r="I249" i="29"/>
  <c r="I253" i="29"/>
  <c r="I248" i="29"/>
  <c r="I252" i="29"/>
  <c r="I251" i="29"/>
  <c r="J251" i="29"/>
  <c r="J250" i="29"/>
  <c r="J249" i="29"/>
  <c r="J248" i="29"/>
  <c r="J252" i="29"/>
  <c r="J253" i="29"/>
  <c r="G253" i="29"/>
  <c r="G251" i="29"/>
  <c r="G249" i="29"/>
  <c r="G252" i="29"/>
  <c r="G250" i="29"/>
  <c r="G248" i="29"/>
  <c r="B251" i="29"/>
  <c r="B252" i="29"/>
  <c r="B250" i="29"/>
  <c r="B253" i="29"/>
  <c r="B249" i="29"/>
  <c r="F252" i="29"/>
  <c r="F250" i="29"/>
  <c r="F253" i="29"/>
  <c r="F251" i="29"/>
  <c r="F249" i="29"/>
  <c r="F248" i="29"/>
  <c r="B240" i="29"/>
  <c r="F240" i="29"/>
  <c r="J240" i="29"/>
  <c r="B241" i="29"/>
  <c r="F241" i="29"/>
  <c r="J241" i="29"/>
  <c r="B242" i="29"/>
  <c r="F242" i="29"/>
  <c r="J242" i="29"/>
  <c r="B243" i="29"/>
  <c r="F243" i="29"/>
  <c r="J243" i="29"/>
  <c r="B244" i="29"/>
  <c r="F244" i="29"/>
  <c r="J244" i="29"/>
  <c r="B248" i="29"/>
  <c r="C253" i="29"/>
  <c r="C251" i="29"/>
  <c r="C252" i="29"/>
  <c r="C250" i="29"/>
  <c r="C249" i="29"/>
  <c r="C248" i="29"/>
  <c r="E252" i="29"/>
  <c r="E250" i="29"/>
  <c r="E253" i="29"/>
  <c r="E251" i="29"/>
  <c r="E249" i="29"/>
  <c r="E248" i="29"/>
  <c r="E240" i="29"/>
  <c r="I240" i="29"/>
  <c r="M240" i="29"/>
  <c r="E241" i="29"/>
  <c r="I241" i="29"/>
  <c r="M241" i="29"/>
  <c r="E242" i="29"/>
  <c r="I242" i="29"/>
  <c r="M242" i="29"/>
  <c r="E243" i="29"/>
  <c r="I243" i="29"/>
  <c r="M243" i="29"/>
  <c r="E244" i="29"/>
  <c r="I244" i="29"/>
  <c r="M244" i="29"/>
  <c r="H14" i="31"/>
  <c r="H15" i="31"/>
  <c r="H11" i="31"/>
  <c r="H7" i="31"/>
  <c r="H10" i="31"/>
  <c r="H6" i="31"/>
  <c r="H13" i="31"/>
  <c r="H9" i="31"/>
  <c r="H5" i="31"/>
  <c r="H12" i="31"/>
  <c r="H8" i="31"/>
  <c r="H4" i="31"/>
  <c r="G3" i="31"/>
  <c r="D253" i="29"/>
  <c r="D251" i="29"/>
  <c r="D252" i="29"/>
  <c r="D250" i="29"/>
  <c r="D249" i="29"/>
  <c r="D248" i="29"/>
  <c r="C240" i="29"/>
  <c r="G240" i="29"/>
  <c r="K240" i="29"/>
  <c r="C241" i="29"/>
  <c r="G241" i="29"/>
  <c r="K241" i="29"/>
  <c r="C242" i="29"/>
  <c r="G242" i="29"/>
  <c r="K242" i="29"/>
  <c r="C243" i="29"/>
  <c r="G243" i="29"/>
  <c r="K243" i="29"/>
  <c r="C244" i="29"/>
  <c r="G244" i="29"/>
  <c r="K244" i="29"/>
  <c r="D240" i="29"/>
  <c r="H240" i="29"/>
  <c r="L240" i="29"/>
  <c r="D241" i="29"/>
  <c r="H241" i="29"/>
  <c r="L241" i="29"/>
  <c r="D242" i="29"/>
  <c r="H242" i="29"/>
  <c r="L242" i="29"/>
  <c r="D243" i="29"/>
  <c r="H243" i="29"/>
  <c r="L243" i="29"/>
  <c r="D244" i="29"/>
  <c r="H244" i="29"/>
  <c r="L244" i="29"/>
  <c r="M231" i="29"/>
  <c r="L231" i="29"/>
  <c r="K231" i="29"/>
  <c r="J231" i="29"/>
  <c r="I231" i="29"/>
  <c r="I235" i="29" s="1"/>
  <c r="H231" i="29"/>
  <c r="G231" i="29"/>
  <c r="F231" i="29"/>
  <c r="E231" i="29"/>
  <c r="E234" i="29" s="1"/>
  <c r="D231" i="29"/>
  <c r="D237" i="29" s="1"/>
  <c r="C231" i="29"/>
  <c r="C237" i="29" s="1"/>
  <c r="B231" i="29"/>
  <c r="B237" i="29" s="1"/>
  <c r="M223" i="29"/>
  <c r="M224" i="29" s="1"/>
  <c r="L223" i="29"/>
  <c r="L229" i="29" s="1"/>
  <c r="K223" i="29"/>
  <c r="K229" i="29" s="1"/>
  <c r="J223" i="29"/>
  <c r="J229" i="29" s="1"/>
  <c r="I223" i="29"/>
  <c r="I229" i="29" s="1"/>
  <c r="H223" i="29"/>
  <c r="H229" i="29" s="1"/>
  <c r="G223" i="29"/>
  <c r="G229" i="29" s="1"/>
  <c r="F223" i="29"/>
  <c r="F229" i="29" s="1"/>
  <c r="E223" i="29"/>
  <c r="E229" i="29" s="1"/>
  <c r="D223" i="29"/>
  <c r="D229" i="29" s="1"/>
  <c r="C223" i="29"/>
  <c r="C229" i="29" s="1"/>
  <c r="B223" i="29"/>
  <c r="B229" i="29" s="1"/>
  <c r="M237" i="29" l="1"/>
  <c r="M236" i="29"/>
  <c r="I232" i="29"/>
  <c r="E233" i="29"/>
  <c r="M233" i="29"/>
  <c r="I234" i="29"/>
  <c r="E235" i="29"/>
  <c r="M235" i="29"/>
  <c r="H237" i="29"/>
  <c r="H236" i="29"/>
  <c r="L237" i="29"/>
  <c r="L236" i="29"/>
  <c r="E224" i="29"/>
  <c r="I224" i="29"/>
  <c r="E225" i="29"/>
  <c r="I225" i="29"/>
  <c r="M225" i="29"/>
  <c r="E226" i="29"/>
  <c r="I226" i="29"/>
  <c r="M226" i="29"/>
  <c r="E227" i="29"/>
  <c r="I227" i="29"/>
  <c r="M227" i="29"/>
  <c r="E228" i="29"/>
  <c r="I228" i="29"/>
  <c r="M228" i="29"/>
  <c r="M229" i="29"/>
  <c r="D224" i="29"/>
  <c r="H224" i="29"/>
  <c r="L224" i="29"/>
  <c r="D225" i="29"/>
  <c r="H225" i="29"/>
  <c r="L225" i="29"/>
  <c r="D226" i="29"/>
  <c r="H226" i="29"/>
  <c r="L226" i="29"/>
  <c r="D227" i="29"/>
  <c r="H227" i="29"/>
  <c r="L227" i="29"/>
  <c r="D228" i="29"/>
  <c r="H228" i="29"/>
  <c r="L228" i="29"/>
  <c r="D232" i="29"/>
  <c r="H232" i="29"/>
  <c r="L232" i="29"/>
  <c r="D233" i="29"/>
  <c r="H233" i="29"/>
  <c r="L233" i="29"/>
  <c r="D234" i="29"/>
  <c r="H234" i="29"/>
  <c r="L234" i="29"/>
  <c r="D235" i="29"/>
  <c r="H235" i="29"/>
  <c r="L235" i="29"/>
  <c r="D236" i="29"/>
  <c r="I237" i="29"/>
  <c r="I236" i="29"/>
  <c r="G15" i="31"/>
  <c r="G14" i="31"/>
  <c r="G10" i="31"/>
  <c r="G6" i="31"/>
  <c r="G13" i="31"/>
  <c r="G9" i="31"/>
  <c r="G5" i="31"/>
  <c r="G12" i="31"/>
  <c r="G8" i="31"/>
  <c r="G4" i="31"/>
  <c r="F3" i="31"/>
  <c r="G11" i="31"/>
  <c r="G7" i="31"/>
  <c r="G237" i="29"/>
  <c r="G236" i="29"/>
  <c r="K237" i="29"/>
  <c r="K236" i="29"/>
  <c r="E232" i="29"/>
  <c r="M232" i="29"/>
  <c r="I233" i="29"/>
  <c r="M234" i="29"/>
  <c r="C224" i="29"/>
  <c r="G224" i="29"/>
  <c r="K224" i="29"/>
  <c r="C225" i="29"/>
  <c r="G225" i="29"/>
  <c r="K225" i="29"/>
  <c r="C226" i="29"/>
  <c r="G226" i="29"/>
  <c r="K226" i="29"/>
  <c r="C227" i="29"/>
  <c r="G227" i="29"/>
  <c r="K227" i="29"/>
  <c r="C228" i="29"/>
  <c r="G228" i="29"/>
  <c r="K228" i="29"/>
  <c r="C232" i="29"/>
  <c r="G232" i="29"/>
  <c r="K232" i="29"/>
  <c r="C233" i="29"/>
  <c r="G233" i="29"/>
  <c r="K233" i="29"/>
  <c r="C234" i="29"/>
  <c r="G234" i="29"/>
  <c r="K234" i="29"/>
  <c r="C235" i="29"/>
  <c r="G235" i="29"/>
  <c r="K235" i="29"/>
  <c r="C236" i="29"/>
  <c r="E237" i="29"/>
  <c r="E236" i="29"/>
  <c r="F237" i="29"/>
  <c r="F236" i="29"/>
  <c r="J237" i="29"/>
  <c r="J236" i="29"/>
  <c r="B224" i="29"/>
  <c r="F224" i="29"/>
  <c r="J224" i="29"/>
  <c r="B225" i="29"/>
  <c r="F225" i="29"/>
  <c r="J225" i="29"/>
  <c r="B226" i="29"/>
  <c r="F226" i="29"/>
  <c r="J226" i="29"/>
  <c r="B227" i="29"/>
  <c r="F227" i="29"/>
  <c r="J227" i="29"/>
  <c r="B228" i="29"/>
  <c r="F228" i="29"/>
  <c r="J228" i="29"/>
  <c r="B232" i="29"/>
  <c r="F232" i="29"/>
  <c r="J232" i="29"/>
  <c r="B233" i="29"/>
  <c r="F233" i="29"/>
  <c r="J233" i="29"/>
  <c r="B234" i="29"/>
  <c r="F234" i="29"/>
  <c r="J234" i="29"/>
  <c r="B235" i="29"/>
  <c r="F235" i="29"/>
  <c r="J235" i="29"/>
  <c r="B236" i="29"/>
  <c r="M215" i="29"/>
  <c r="L215" i="29"/>
  <c r="K215" i="29"/>
  <c r="J215" i="29"/>
  <c r="I215" i="29"/>
  <c r="H215" i="29"/>
  <c r="G215" i="29"/>
  <c r="F215" i="29"/>
  <c r="E215" i="29"/>
  <c r="D215" i="29"/>
  <c r="C215" i="29"/>
  <c r="B215" i="29"/>
  <c r="M207" i="29"/>
  <c r="M213" i="29" s="1"/>
  <c r="L207" i="29"/>
  <c r="L213" i="29" s="1"/>
  <c r="K207" i="29"/>
  <c r="K213" i="29" s="1"/>
  <c r="J207" i="29"/>
  <c r="J213" i="29" s="1"/>
  <c r="I207" i="29"/>
  <c r="I213" i="29" s="1"/>
  <c r="H207" i="29"/>
  <c r="H213" i="29" s="1"/>
  <c r="G207" i="29"/>
  <c r="G213" i="29" s="1"/>
  <c r="F207" i="29"/>
  <c r="F213" i="29" s="1"/>
  <c r="E207" i="29"/>
  <c r="E213" i="29" s="1"/>
  <c r="D207" i="29"/>
  <c r="D213" i="29" s="1"/>
  <c r="C207" i="29"/>
  <c r="C213" i="29" s="1"/>
  <c r="B207" i="29"/>
  <c r="B213" i="29" s="1"/>
  <c r="M199" i="29"/>
  <c r="M205" i="29" s="1"/>
  <c r="L199" i="29"/>
  <c r="L205" i="29" s="1"/>
  <c r="K199" i="29"/>
  <c r="K205" i="29" s="1"/>
  <c r="J199" i="29"/>
  <c r="J205" i="29" s="1"/>
  <c r="I199" i="29"/>
  <c r="I205" i="29" s="1"/>
  <c r="H199" i="29"/>
  <c r="H205" i="29" s="1"/>
  <c r="G199" i="29"/>
  <c r="G205" i="29" s="1"/>
  <c r="F199" i="29"/>
  <c r="F205" i="29" s="1"/>
  <c r="E199" i="29"/>
  <c r="E205" i="29" s="1"/>
  <c r="D199" i="29"/>
  <c r="D205" i="29" s="1"/>
  <c r="C199" i="29"/>
  <c r="C205" i="29" s="1"/>
  <c r="B199" i="29"/>
  <c r="B205" i="29" s="1"/>
  <c r="M191" i="29"/>
  <c r="M197" i="29" s="1"/>
  <c r="L191" i="29"/>
  <c r="L197" i="29" s="1"/>
  <c r="K191" i="29"/>
  <c r="K197" i="29" s="1"/>
  <c r="J191" i="29"/>
  <c r="J197" i="29" s="1"/>
  <c r="I191" i="29"/>
  <c r="I197" i="29" s="1"/>
  <c r="H191" i="29"/>
  <c r="H197" i="29" s="1"/>
  <c r="G191" i="29"/>
  <c r="G197" i="29" s="1"/>
  <c r="F191" i="29"/>
  <c r="F197" i="29" s="1"/>
  <c r="E191" i="29"/>
  <c r="E197" i="29" s="1"/>
  <c r="D191" i="29"/>
  <c r="D197" i="29" s="1"/>
  <c r="C191" i="29"/>
  <c r="C197" i="29" s="1"/>
  <c r="B191" i="29"/>
  <c r="B197" i="29" s="1"/>
  <c r="M183" i="29"/>
  <c r="M188" i="29" s="1"/>
  <c r="L183" i="29"/>
  <c r="L189" i="29" s="1"/>
  <c r="K183" i="29"/>
  <c r="K189" i="29" s="1"/>
  <c r="J183" i="29"/>
  <c r="J189" i="29" s="1"/>
  <c r="I183" i="29"/>
  <c r="I186" i="29" s="1"/>
  <c r="H183" i="29"/>
  <c r="H189" i="29" s="1"/>
  <c r="G183" i="29"/>
  <c r="G189" i="29" s="1"/>
  <c r="F183" i="29"/>
  <c r="F189" i="29" s="1"/>
  <c r="E183" i="29"/>
  <c r="E184" i="29" s="1"/>
  <c r="D183" i="29"/>
  <c r="D189" i="29" s="1"/>
  <c r="C183" i="29"/>
  <c r="C189" i="29" s="1"/>
  <c r="B183" i="29"/>
  <c r="B189" i="29" s="1"/>
  <c r="M175" i="29"/>
  <c r="M181" i="29" s="1"/>
  <c r="L175" i="29"/>
  <c r="L181" i="29" s="1"/>
  <c r="K175" i="29"/>
  <c r="K181" i="29" s="1"/>
  <c r="J175" i="29"/>
  <c r="J181" i="29" s="1"/>
  <c r="I175" i="29"/>
  <c r="I180" i="29" s="1"/>
  <c r="H175" i="29"/>
  <c r="H181" i="29" s="1"/>
  <c r="G175" i="29"/>
  <c r="G181" i="29" s="1"/>
  <c r="F175" i="29"/>
  <c r="F181" i="29" s="1"/>
  <c r="E175" i="29"/>
  <c r="E181" i="29" s="1"/>
  <c r="D175" i="29"/>
  <c r="D181" i="29" s="1"/>
  <c r="C175" i="29"/>
  <c r="C181" i="29" s="1"/>
  <c r="B175" i="29"/>
  <c r="B181" i="29" s="1"/>
  <c r="C221" i="29" l="1"/>
  <c r="C220" i="29"/>
  <c r="C219" i="29"/>
  <c r="C218" i="29"/>
  <c r="G221" i="29"/>
  <c r="G220" i="29"/>
  <c r="G219" i="29"/>
  <c r="G218" i="29"/>
  <c r="G217" i="29"/>
  <c r="K221" i="29"/>
  <c r="K220" i="29"/>
  <c r="K219" i="29"/>
  <c r="K218" i="29"/>
  <c r="K217" i="29"/>
  <c r="E176" i="29"/>
  <c r="M176" i="29"/>
  <c r="I177" i="29"/>
  <c r="E178" i="29"/>
  <c r="M178" i="29"/>
  <c r="I179" i="29"/>
  <c r="E180" i="29"/>
  <c r="M180" i="29"/>
  <c r="I181" i="29"/>
  <c r="I184" i="29"/>
  <c r="E185" i="29"/>
  <c r="E186" i="29"/>
  <c r="E189" i="29"/>
  <c r="C176" i="29"/>
  <c r="G176" i="29"/>
  <c r="K176" i="29"/>
  <c r="C177" i="29"/>
  <c r="G177" i="29"/>
  <c r="K177" i="29"/>
  <c r="C178" i="29"/>
  <c r="G178" i="29"/>
  <c r="K178" i="29"/>
  <c r="C179" i="29"/>
  <c r="G179" i="29"/>
  <c r="K179" i="29"/>
  <c r="C180" i="29"/>
  <c r="G180" i="29"/>
  <c r="K180" i="29"/>
  <c r="C184" i="29"/>
  <c r="G184" i="29"/>
  <c r="K184" i="29"/>
  <c r="C185" i="29"/>
  <c r="G185" i="29"/>
  <c r="K185" i="29"/>
  <c r="C186" i="29"/>
  <c r="G186" i="29"/>
  <c r="K186" i="29"/>
  <c r="C187" i="29"/>
  <c r="G187" i="29"/>
  <c r="K187" i="29"/>
  <c r="C188" i="29"/>
  <c r="G188" i="29"/>
  <c r="K188" i="29"/>
  <c r="C192" i="29"/>
  <c r="G192" i="29"/>
  <c r="K192" i="29"/>
  <c r="C193" i="29"/>
  <c r="G193" i="29"/>
  <c r="K193" i="29"/>
  <c r="C194" i="29"/>
  <c r="G194" i="29"/>
  <c r="K194" i="29"/>
  <c r="C195" i="29"/>
  <c r="G195" i="29"/>
  <c r="K195" i="29"/>
  <c r="C196" i="29"/>
  <c r="G196" i="29"/>
  <c r="K196" i="29"/>
  <c r="C200" i="29"/>
  <c r="G200" i="29"/>
  <c r="K200" i="29"/>
  <c r="C201" i="29"/>
  <c r="G201" i="29"/>
  <c r="K201" i="29"/>
  <c r="C202" i="29"/>
  <c r="G202" i="29"/>
  <c r="K202" i="29"/>
  <c r="C203" i="29"/>
  <c r="G203" i="29"/>
  <c r="K203" i="29"/>
  <c r="C204" i="29"/>
  <c r="G204" i="29"/>
  <c r="K204" i="29"/>
  <c r="C208" i="29"/>
  <c r="G208" i="29"/>
  <c r="K208" i="29"/>
  <c r="C209" i="29"/>
  <c r="G209" i="29"/>
  <c r="K209" i="29"/>
  <c r="C210" i="29"/>
  <c r="G210" i="29"/>
  <c r="K210" i="29"/>
  <c r="C211" i="29"/>
  <c r="G211" i="29"/>
  <c r="K211" i="29"/>
  <c r="C212" i="29"/>
  <c r="G212" i="29"/>
  <c r="K212" i="29"/>
  <c r="C216" i="29"/>
  <c r="G216" i="29"/>
  <c r="K216" i="29"/>
  <c r="C217" i="29"/>
  <c r="B221" i="29"/>
  <c r="B220" i="29"/>
  <c r="B219" i="29"/>
  <c r="B218" i="29"/>
  <c r="F221" i="29"/>
  <c r="F220" i="29"/>
  <c r="F219" i="29"/>
  <c r="F218" i="29"/>
  <c r="F217" i="29"/>
  <c r="J221" i="29"/>
  <c r="J220" i="29"/>
  <c r="J219" i="29"/>
  <c r="J218" i="29"/>
  <c r="J217" i="29"/>
  <c r="B192" i="29"/>
  <c r="F192" i="29"/>
  <c r="J192" i="29"/>
  <c r="B193" i="29"/>
  <c r="F193" i="29"/>
  <c r="J193" i="29"/>
  <c r="B194" i="29"/>
  <c r="F194" i="29"/>
  <c r="J194" i="29"/>
  <c r="B195" i="29"/>
  <c r="F195" i="29"/>
  <c r="J195" i="29"/>
  <c r="B196" i="29"/>
  <c r="F196" i="29"/>
  <c r="J196" i="29"/>
  <c r="B200" i="29"/>
  <c r="F200" i="29"/>
  <c r="J200" i="29"/>
  <c r="B201" i="29"/>
  <c r="F201" i="29"/>
  <c r="J201" i="29"/>
  <c r="B202" i="29"/>
  <c r="F202" i="29"/>
  <c r="J202" i="29"/>
  <c r="B203" i="29"/>
  <c r="F203" i="29"/>
  <c r="J203" i="29"/>
  <c r="B204" i="29"/>
  <c r="F204" i="29"/>
  <c r="J204" i="29"/>
  <c r="B208" i="29"/>
  <c r="F208" i="29"/>
  <c r="J208" i="29"/>
  <c r="B209" i="29"/>
  <c r="F209" i="29"/>
  <c r="J209" i="29"/>
  <c r="B210" i="29"/>
  <c r="F210" i="29"/>
  <c r="J210" i="29"/>
  <c r="B211" i="29"/>
  <c r="F211" i="29"/>
  <c r="J211" i="29"/>
  <c r="B212" i="29"/>
  <c r="F212" i="29"/>
  <c r="J212" i="29"/>
  <c r="B216" i="29"/>
  <c r="F216" i="29"/>
  <c r="J216" i="29"/>
  <c r="B217" i="29"/>
  <c r="E221" i="29"/>
  <c r="E220" i="29"/>
  <c r="E219" i="29"/>
  <c r="E218" i="29"/>
  <c r="E217" i="29"/>
  <c r="I221" i="29"/>
  <c r="I220" i="29"/>
  <c r="I219" i="29"/>
  <c r="I218" i="29"/>
  <c r="I217" i="29"/>
  <c r="M221" i="29"/>
  <c r="M220" i="29"/>
  <c r="M219" i="29"/>
  <c r="M218" i="29"/>
  <c r="M217" i="29"/>
  <c r="M184" i="29"/>
  <c r="M185" i="29"/>
  <c r="M186" i="29"/>
  <c r="E187" i="29"/>
  <c r="I187" i="29"/>
  <c r="M187" i="29"/>
  <c r="E188" i="29"/>
  <c r="I188" i="29"/>
  <c r="I189" i="29"/>
  <c r="M189" i="29"/>
  <c r="E192" i="29"/>
  <c r="I192" i="29"/>
  <c r="M192" i="29"/>
  <c r="E193" i="29"/>
  <c r="I193" i="29"/>
  <c r="M193" i="29"/>
  <c r="E194" i="29"/>
  <c r="I194" i="29"/>
  <c r="M194" i="29"/>
  <c r="E195" i="29"/>
  <c r="I195" i="29"/>
  <c r="M195" i="29"/>
  <c r="E196" i="29"/>
  <c r="I196" i="29"/>
  <c r="M196" i="29"/>
  <c r="E200" i="29"/>
  <c r="I200" i="29"/>
  <c r="M200" i="29"/>
  <c r="E201" i="29"/>
  <c r="I201" i="29"/>
  <c r="M201" i="29"/>
  <c r="E202" i="29"/>
  <c r="I202" i="29"/>
  <c r="M202" i="29"/>
  <c r="E203" i="29"/>
  <c r="I203" i="29"/>
  <c r="M203" i="29"/>
  <c r="E204" i="29"/>
  <c r="I204" i="29"/>
  <c r="M204" i="29"/>
  <c r="E208" i="29"/>
  <c r="I208" i="29"/>
  <c r="M208" i="29"/>
  <c r="E209" i="29"/>
  <c r="I209" i="29"/>
  <c r="M209" i="29"/>
  <c r="E210" i="29"/>
  <c r="I210" i="29"/>
  <c r="M210" i="29"/>
  <c r="E211" i="29"/>
  <c r="I211" i="29"/>
  <c r="M211" i="29"/>
  <c r="E212" i="29"/>
  <c r="I212" i="29"/>
  <c r="M212" i="29"/>
  <c r="E216" i="29"/>
  <c r="I216" i="29"/>
  <c r="M216" i="29"/>
  <c r="D221" i="29"/>
  <c r="D220" i="29"/>
  <c r="D219" i="29"/>
  <c r="D218" i="29"/>
  <c r="D217" i="29"/>
  <c r="H221" i="29"/>
  <c r="H220" i="29"/>
  <c r="H219" i="29"/>
  <c r="H218" i="29"/>
  <c r="H217" i="29"/>
  <c r="L221" i="29"/>
  <c r="L220" i="29"/>
  <c r="L219" i="29"/>
  <c r="L218" i="29"/>
  <c r="L217" i="29"/>
  <c r="F15" i="31"/>
  <c r="F14" i="31"/>
  <c r="F13" i="31"/>
  <c r="F9" i="31"/>
  <c r="F5" i="31"/>
  <c r="F12" i="31"/>
  <c r="F8" i="31"/>
  <c r="F4" i="31"/>
  <c r="E3" i="31"/>
  <c r="F11" i="31"/>
  <c r="F7" i="31"/>
  <c r="F10" i="31"/>
  <c r="F6" i="31"/>
  <c r="B176" i="29"/>
  <c r="F176" i="29"/>
  <c r="J176" i="29"/>
  <c r="B177" i="29"/>
  <c r="F177" i="29"/>
  <c r="J177" i="29"/>
  <c r="B178" i="29"/>
  <c r="F178" i="29"/>
  <c r="J178" i="29"/>
  <c r="B179" i="29"/>
  <c r="F179" i="29"/>
  <c r="J179" i="29"/>
  <c r="B180" i="29"/>
  <c r="F180" i="29"/>
  <c r="J180" i="29"/>
  <c r="B184" i="29"/>
  <c r="F184" i="29"/>
  <c r="J184" i="29"/>
  <c r="B185" i="29"/>
  <c r="F185" i="29"/>
  <c r="J185" i="29"/>
  <c r="B186" i="29"/>
  <c r="F186" i="29"/>
  <c r="J186" i="29"/>
  <c r="B187" i="29"/>
  <c r="F187" i="29"/>
  <c r="J187" i="29"/>
  <c r="B188" i="29"/>
  <c r="F188" i="29"/>
  <c r="J188" i="29"/>
  <c r="I176" i="29"/>
  <c r="E177" i="29"/>
  <c r="M177" i="29"/>
  <c r="I178" i="29"/>
  <c r="E179" i="29"/>
  <c r="M179" i="29"/>
  <c r="I185" i="29"/>
  <c r="D176" i="29"/>
  <c r="H176" i="29"/>
  <c r="L176" i="29"/>
  <c r="D177" i="29"/>
  <c r="H177" i="29"/>
  <c r="L177" i="29"/>
  <c r="D178" i="29"/>
  <c r="H178" i="29"/>
  <c r="L178" i="29"/>
  <c r="D179" i="29"/>
  <c r="H179" i="29"/>
  <c r="L179" i="29"/>
  <c r="D180" i="29"/>
  <c r="H180" i="29"/>
  <c r="L180" i="29"/>
  <c r="D184" i="29"/>
  <c r="H184" i="29"/>
  <c r="L184" i="29"/>
  <c r="D185" i="29"/>
  <c r="H185" i="29"/>
  <c r="L185" i="29"/>
  <c r="D186" i="29"/>
  <c r="H186" i="29"/>
  <c r="L186" i="29"/>
  <c r="D187" i="29"/>
  <c r="H187" i="29"/>
  <c r="L187" i="29"/>
  <c r="D188" i="29"/>
  <c r="H188" i="29"/>
  <c r="L188" i="29"/>
  <c r="D192" i="29"/>
  <c r="H192" i="29"/>
  <c r="L192" i="29"/>
  <c r="D193" i="29"/>
  <c r="H193" i="29"/>
  <c r="L193" i="29"/>
  <c r="D194" i="29"/>
  <c r="H194" i="29"/>
  <c r="L194" i="29"/>
  <c r="D195" i="29"/>
  <c r="H195" i="29"/>
  <c r="L195" i="29"/>
  <c r="D196" i="29"/>
  <c r="H196" i="29"/>
  <c r="L196" i="29"/>
  <c r="D200" i="29"/>
  <c r="H200" i="29"/>
  <c r="L200" i="29"/>
  <c r="D201" i="29"/>
  <c r="H201" i="29"/>
  <c r="L201" i="29"/>
  <c r="D202" i="29"/>
  <c r="H202" i="29"/>
  <c r="L202" i="29"/>
  <c r="D203" i="29"/>
  <c r="H203" i="29"/>
  <c r="L203" i="29"/>
  <c r="D204" i="29"/>
  <c r="H204" i="29"/>
  <c r="L204" i="29"/>
  <c r="D208" i="29"/>
  <c r="H208" i="29"/>
  <c r="L208" i="29"/>
  <c r="D209" i="29"/>
  <c r="H209" i="29"/>
  <c r="L209" i="29"/>
  <c r="D210" i="29"/>
  <c r="H210" i="29"/>
  <c r="L210" i="29"/>
  <c r="D211" i="29"/>
  <c r="H211" i="29"/>
  <c r="L211" i="29"/>
  <c r="D212" i="29"/>
  <c r="H212" i="29"/>
  <c r="L212" i="29"/>
  <c r="D216" i="29"/>
  <c r="H216" i="29"/>
  <c r="L216" i="29"/>
  <c r="M157" i="29"/>
  <c r="L157" i="29"/>
  <c r="K157" i="29"/>
  <c r="J157" i="29"/>
  <c r="I157" i="29"/>
  <c r="H157" i="29"/>
  <c r="G157" i="29"/>
  <c r="F157" i="29"/>
  <c r="E157" i="29"/>
  <c r="D157" i="29"/>
  <c r="C157" i="29"/>
  <c r="B157" i="29"/>
  <c r="M141" i="29"/>
  <c r="M154" i="29" s="1"/>
  <c r="L141" i="29"/>
  <c r="L154" i="29" s="1"/>
  <c r="K141" i="29"/>
  <c r="K154" i="29" s="1"/>
  <c r="J141" i="29"/>
  <c r="J154" i="29" s="1"/>
  <c r="I141" i="29"/>
  <c r="I154" i="29" s="1"/>
  <c r="H141" i="29"/>
  <c r="H154" i="29" s="1"/>
  <c r="G141" i="29"/>
  <c r="G154" i="29" s="1"/>
  <c r="F141" i="29"/>
  <c r="F154" i="29" s="1"/>
  <c r="E141" i="29"/>
  <c r="E154" i="29" s="1"/>
  <c r="D141" i="29"/>
  <c r="D154" i="29" s="1"/>
  <c r="C141" i="29"/>
  <c r="C154" i="29" s="1"/>
  <c r="B141" i="29"/>
  <c r="B154" i="29" s="1"/>
  <c r="M125" i="29"/>
  <c r="M138" i="29" s="1"/>
  <c r="L125" i="29"/>
  <c r="L138" i="29" s="1"/>
  <c r="K125" i="29"/>
  <c r="K138" i="29" s="1"/>
  <c r="J125" i="29"/>
  <c r="J138" i="29" s="1"/>
  <c r="I125" i="29"/>
  <c r="I138" i="29" s="1"/>
  <c r="H125" i="29"/>
  <c r="H138" i="29" s="1"/>
  <c r="G125" i="29"/>
  <c r="G138" i="29" s="1"/>
  <c r="F125" i="29"/>
  <c r="F138" i="29" s="1"/>
  <c r="E125" i="29"/>
  <c r="E138" i="29" s="1"/>
  <c r="D125" i="29"/>
  <c r="D138" i="29" s="1"/>
  <c r="C125" i="29"/>
  <c r="C138" i="29" s="1"/>
  <c r="B125" i="29"/>
  <c r="B138" i="29" s="1"/>
  <c r="M109" i="29"/>
  <c r="M122" i="29" s="1"/>
  <c r="L109" i="29"/>
  <c r="L122" i="29" s="1"/>
  <c r="K109" i="29"/>
  <c r="K122" i="29" s="1"/>
  <c r="J109" i="29"/>
  <c r="J122" i="29" s="1"/>
  <c r="I109" i="29"/>
  <c r="I122" i="29" s="1"/>
  <c r="H109" i="29"/>
  <c r="H122" i="29" s="1"/>
  <c r="G109" i="29"/>
  <c r="G122" i="29" s="1"/>
  <c r="F109" i="29"/>
  <c r="F122" i="29" s="1"/>
  <c r="E109" i="29"/>
  <c r="E122" i="29" s="1"/>
  <c r="D109" i="29"/>
  <c r="D122" i="29" s="1"/>
  <c r="C109" i="29"/>
  <c r="C122" i="29" s="1"/>
  <c r="B109" i="29"/>
  <c r="B122" i="29" s="1"/>
  <c r="E170" i="29" l="1"/>
  <c r="E169" i="29"/>
  <c r="E168" i="29"/>
  <c r="E167" i="29"/>
  <c r="E166" i="29"/>
  <c r="E165" i="29"/>
  <c r="E164" i="29"/>
  <c r="E163" i="29"/>
  <c r="E162" i="29"/>
  <c r="E161" i="29"/>
  <c r="I170" i="29"/>
  <c r="I169" i="29"/>
  <c r="I168" i="29"/>
  <c r="I167" i="29"/>
  <c r="I166" i="29"/>
  <c r="I165" i="29"/>
  <c r="I164" i="29"/>
  <c r="I163" i="29"/>
  <c r="I162" i="29"/>
  <c r="I161" i="29"/>
  <c r="M170" i="29"/>
  <c r="M169" i="29"/>
  <c r="M168" i="29"/>
  <c r="M167" i="29"/>
  <c r="M166" i="29"/>
  <c r="M165" i="29"/>
  <c r="M164" i="29"/>
  <c r="M163" i="29"/>
  <c r="M162" i="29"/>
  <c r="M161" i="29"/>
  <c r="E126" i="29"/>
  <c r="M126" i="29"/>
  <c r="I127" i="29"/>
  <c r="E128" i="29"/>
  <c r="M128" i="29"/>
  <c r="I129" i="29"/>
  <c r="E130" i="29"/>
  <c r="M130" i="29"/>
  <c r="I131" i="29"/>
  <c r="E132" i="29"/>
  <c r="M132" i="29"/>
  <c r="M133" i="29"/>
  <c r="I135" i="29"/>
  <c r="E142" i="29"/>
  <c r="I142" i="29"/>
  <c r="M142" i="29"/>
  <c r="E143" i="29"/>
  <c r="I143" i="29"/>
  <c r="M143" i="29"/>
  <c r="E144" i="29"/>
  <c r="I144" i="29"/>
  <c r="M144" i="29"/>
  <c r="E145" i="29"/>
  <c r="I145" i="29"/>
  <c r="M145" i="29"/>
  <c r="E146" i="29"/>
  <c r="I146" i="29"/>
  <c r="M146" i="29"/>
  <c r="E147" i="29"/>
  <c r="I147" i="29"/>
  <c r="M147" i="29"/>
  <c r="E148" i="29"/>
  <c r="I148" i="29"/>
  <c r="M148" i="29"/>
  <c r="E149" i="29"/>
  <c r="I149" i="29"/>
  <c r="M149" i="29"/>
  <c r="E150" i="29"/>
  <c r="I150" i="29"/>
  <c r="M150" i="29"/>
  <c r="E151" i="29"/>
  <c r="I151" i="29"/>
  <c r="M151" i="29"/>
  <c r="E152" i="29"/>
  <c r="I152" i="29"/>
  <c r="M152" i="29"/>
  <c r="E153" i="29"/>
  <c r="I153" i="29"/>
  <c r="M153" i="29"/>
  <c r="E158" i="29"/>
  <c r="I158" i="29"/>
  <c r="M158" i="29"/>
  <c r="E159" i="29"/>
  <c r="I159" i="29"/>
  <c r="M159" i="29"/>
  <c r="E160" i="29"/>
  <c r="I160" i="29"/>
  <c r="M160" i="29"/>
  <c r="D170" i="29"/>
  <c r="D169" i="29"/>
  <c r="D168" i="29"/>
  <c r="D167" i="29"/>
  <c r="D166" i="29"/>
  <c r="D165" i="29"/>
  <c r="D164" i="29"/>
  <c r="D163" i="29"/>
  <c r="D162" i="29"/>
  <c r="H170" i="29"/>
  <c r="H169" i="29"/>
  <c r="H168" i="29"/>
  <c r="H167" i="29"/>
  <c r="H166" i="29"/>
  <c r="H165" i="29"/>
  <c r="H164" i="29"/>
  <c r="H163" i="29"/>
  <c r="H162" i="29"/>
  <c r="H161" i="29"/>
  <c r="L170" i="29"/>
  <c r="L169" i="29"/>
  <c r="L168" i="29"/>
  <c r="L167" i="29"/>
  <c r="L166" i="29"/>
  <c r="L165" i="29"/>
  <c r="L164" i="29"/>
  <c r="L163" i="29"/>
  <c r="L162" i="29"/>
  <c r="L161" i="29"/>
  <c r="E15" i="31"/>
  <c r="E14" i="31"/>
  <c r="E12" i="31"/>
  <c r="E8" i="31"/>
  <c r="E4" i="31"/>
  <c r="E11" i="31"/>
  <c r="E7" i="31"/>
  <c r="E10" i="31"/>
  <c r="E6" i="31"/>
  <c r="E13" i="31"/>
  <c r="E9" i="31"/>
  <c r="E5" i="31"/>
  <c r="D3" i="31"/>
  <c r="I126" i="29"/>
  <c r="E127" i="29"/>
  <c r="M127" i="29"/>
  <c r="I128" i="29"/>
  <c r="E129" i="29"/>
  <c r="M129" i="29"/>
  <c r="I130" i="29"/>
  <c r="E131" i="29"/>
  <c r="M131" i="29"/>
  <c r="I132" i="29"/>
  <c r="E133" i="29"/>
  <c r="I133" i="29"/>
  <c r="E134" i="29"/>
  <c r="I134" i="29"/>
  <c r="M134" i="29"/>
  <c r="E135" i="29"/>
  <c r="M135" i="29"/>
  <c r="E136" i="29"/>
  <c r="I136" i="29"/>
  <c r="M136" i="29"/>
  <c r="E137" i="29"/>
  <c r="I137" i="29"/>
  <c r="M137" i="29"/>
  <c r="D110" i="29"/>
  <c r="H110" i="29"/>
  <c r="L110" i="29"/>
  <c r="D111" i="29"/>
  <c r="H111" i="29"/>
  <c r="L111" i="29"/>
  <c r="D112" i="29"/>
  <c r="H112" i="29"/>
  <c r="L112" i="29"/>
  <c r="D113" i="29"/>
  <c r="H113" i="29"/>
  <c r="L113" i="29"/>
  <c r="D114" i="29"/>
  <c r="H114" i="29"/>
  <c r="L114" i="29"/>
  <c r="D115" i="29"/>
  <c r="H115" i="29"/>
  <c r="L115" i="29"/>
  <c r="D116" i="29"/>
  <c r="H116" i="29"/>
  <c r="L116" i="29"/>
  <c r="D117" i="29"/>
  <c r="H117" i="29"/>
  <c r="L117" i="29"/>
  <c r="D118" i="29"/>
  <c r="H118" i="29"/>
  <c r="L118" i="29"/>
  <c r="D119" i="29"/>
  <c r="H119" i="29"/>
  <c r="L119" i="29"/>
  <c r="D120" i="29"/>
  <c r="H120" i="29"/>
  <c r="L120" i="29"/>
  <c r="D121" i="29"/>
  <c r="H121" i="29"/>
  <c r="L121" i="29"/>
  <c r="D126" i="29"/>
  <c r="H126" i="29"/>
  <c r="L126" i="29"/>
  <c r="D127" i="29"/>
  <c r="H127" i="29"/>
  <c r="L127" i="29"/>
  <c r="D128" i="29"/>
  <c r="H128" i="29"/>
  <c r="L128" i="29"/>
  <c r="D129" i="29"/>
  <c r="H129" i="29"/>
  <c r="L129" i="29"/>
  <c r="D130" i="29"/>
  <c r="H130" i="29"/>
  <c r="L130" i="29"/>
  <c r="D131" i="29"/>
  <c r="H131" i="29"/>
  <c r="L131" i="29"/>
  <c r="D132" i="29"/>
  <c r="H132" i="29"/>
  <c r="L132" i="29"/>
  <c r="D133" i="29"/>
  <c r="H133" i="29"/>
  <c r="L133" i="29"/>
  <c r="D134" i="29"/>
  <c r="H134" i="29"/>
  <c r="L134" i="29"/>
  <c r="D135" i="29"/>
  <c r="H135" i="29"/>
  <c r="L135" i="29"/>
  <c r="D136" i="29"/>
  <c r="H136" i="29"/>
  <c r="L136" i="29"/>
  <c r="D137" i="29"/>
  <c r="H137" i="29"/>
  <c r="L137" i="29"/>
  <c r="D142" i="29"/>
  <c r="H142" i="29"/>
  <c r="L142" i="29"/>
  <c r="D143" i="29"/>
  <c r="H143" i="29"/>
  <c r="L143" i="29"/>
  <c r="D144" i="29"/>
  <c r="H144" i="29"/>
  <c r="L144" i="29"/>
  <c r="D145" i="29"/>
  <c r="H145" i="29"/>
  <c r="L145" i="29"/>
  <c r="D146" i="29"/>
  <c r="H146" i="29"/>
  <c r="L146" i="29"/>
  <c r="D147" i="29"/>
  <c r="H147" i="29"/>
  <c r="L147" i="29"/>
  <c r="D148" i="29"/>
  <c r="H148" i="29"/>
  <c r="L148" i="29"/>
  <c r="D149" i="29"/>
  <c r="H149" i="29"/>
  <c r="L149" i="29"/>
  <c r="D150" i="29"/>
  <c r="H150" i="29"/>
  <c r="L150" i="29"/>
  <c r="D151" i="29"/>
  <c r="H151" i="29"/>
  <c r="L151" i="29"/>
  <c r="D152" i="29"/>
  <c r="H152" i="29"/>
  <c r="L152" i="29"/>
  <c r="D153" i="29"/>
  <c r="H153" i="29"/>
  <c r="L153" i="29"/>
  <c r="D158" i="29"/>
  <c r="H158" i="29"/>
  <c r="L158" i="29"/>
  <c r="D159" i="29"/>
  <c r="H159" i="29"/>
  <c r="L159" i="29"/>
  <c r="D160" i="29"/>
  <c r="H160" i="29"/>
  <c r="L160" i="29"/>
  <c r="D161" i="29"/>
  <c r="C170" i="29"/>
  <c r="C169" i="29"/>
  <c r="C168" i="29"/>
  <c r="C167" i="29"/>
  <c r="C166" i="29"/>
  <c r="C165" i="29"/>
  <c r="C164" i="29"/>
  <c r="C163" i="29"/>
  <c r="C162" i="29"/>
  <c r="G170" i="29"/>
  <c r="G169" i="29"/>
  <c r="G168" i="29"/>
  <c r="G167" i="29"/>
  <c r="G166" i="29"/>
  <c r="G165" i="29"/>
  <c r="G164" i="29"/>
  <c r="G163" i="29"/>
  <c r="G162" i="29"/>
  <c r="G161" i="29"/>
  <c r="K170" i="29"/>
  <c r="K169" i="29"/>
  <c r="K168" i="29"/>
  <c r="K167" i="29"/>
  <c r="K166" i="29"/>
  <c r="K165" i="29"/>
  <c r="K164" i="29"/>
  <c r="K163" i="29"/>
  <c r="K162" i="29"/>
  <c r="K161" i="29"/>
  <c r="C110" i="29"/>
  <c r="G110" i="29"/>
  <c r="K110" i="29"/>
  <c r="C111" i="29"/>
  <c r="G111" i="29"/>
  <c r="K111" i="29"/>
  <c r="C112" i="29"/>
  <c r="G112" i="29"/>
  <c r="K112" i="29"/>
  <c r="C113" i="29"/>
  <c r="G113" i="29"/>
  <c r="K113" i="29"/>
  <c r="C114" i="29"/>
  <c r="G114" i="29"/>
  <c r="K114" i="29"/>
  <c r="C115" i="29"/>
  <c r="G115" i="29"/>
  <c r="K115" i="29"/>
  <c r="C116" i="29"/>
  <c r="G116" i="29"/>
  <c r="K116" i="29"/>
  <c r="C117" i="29"/>
  <c r="G117" i="29"/>
  <c r="K117" i="29"/>
  <c r="C118" i="29"/>
  <c r="G118" i="29"/>
  <c r="K118" i="29"/>
  <c r="C119" i="29"/>
  <c r="G119" i="29"/>
  <c r="K119" i="29"/>
  <c r="C120" i="29"/>
  <c r="G120" i="29"/>
  <c r="K120" i="29"/>
  <c r="C121" i="29"/>
  <c r="G121" i="29"/>
  <c r="K121" i="29"/>
  <c r="C126" i="29"/>
  <c r="G126" i="29"/>
  <c r="K126" i="29"/>
  <c r="C127" i="29"/>
  <c r="G127" i="29"/>
  <c r="K127" i="29"/>
  <c r="C128" i="29"/>
  <c r="G128" i="29"/>
  <c r="K128" i="29"/>
  <c r="C129" i="29"/>
  <c r="G129" i="29"/>
  <c r="K129" i="29"/>
  <c r="C130" i="29"/>
  <c r="G130" i="29"/>
  <c r="K130" i="29"/>
  <c r="C131" i="29"/>
  <c r="G131" i="29"/>
  <c r="K131" i="29"/>
  <c r="C132" i="29"/>
  <c r="G132" i="29"/>
  <c r="K132" i="29"/>
  <c r="C133" i="29"/>
  <c r="G133" i="29"/>
  <c r="K133" i="29"/>
  <c r="C134" i="29"/>
  <c r="G134" i="29"/>
  <c r="K134" i="29"/>
  <c r="C135" i="29"/>
  <c r="G135" i="29"/>
  <c r="K135" i="29"/>
  <c r="C136" i="29"/>
  <c r="G136" i="29"/>
  <c r="K136" i="29"/>
  <c r="C137" i="29"/>
  <c r="G137" i="29"/>
  <c r="K137" i="29"/>
  <c r="C142" i="29"/>
  <c r="G142" i="29"/>
  <c r="K142" i="29"/>
  <c r="C143" i="29"/>
  <c r="G143" i="29"/>
  <c r="K143" i="29"/>
  <c r="C144" i="29"/>
  <c r="G144" i="29"/>
  <c r="K144" i="29"/>
  <c r="C145" i="29"/>
  <c r="G145" i="29"/>
  <c r="K145" i="29"/>
  <c r="C146" i="29"/>
  <c r="G146" i="29"/>
  <c r="K146" i="29"/>
  <c r="C147" i="29"/>
  <c r="G147" i="29"/>
  <c r="K147" i="29"/>
  <c r="C148" i="29"/>
  <c r="G148" i="29"/>
  <c r="K148" i="29"/>
  <c r="C149" i="29"/>
  <c r="G149" i="29"/>
  <c r="K149" i="29"/>
  <c r="C150" i="29"/>
  <c r="G150" i="29"/>
  <c r="K150" i="29"/>
  <c r="C151" i="29"/>
  <c r="G151" i="29"/>
  <c r="K151" i="29"/>
  <c r="C152" i="29"/>
  <c r="G152" i="29"/>
  <c r="K152" i="29"/>
  <c r="C153" i="29"/>
  <c r="G153" i="29"/>
  <c r="K153" i="29"/>
  <c r="C158" i="29"/>
  <c r="G158" i="29"/>
  <c r="K158" i="29"/>
  <c r="C159" i="29"/>
  <c r="G159" i="29"/>
  <c r="K159" i="29"/>
  <c r="C160" i="29"/>
  <c r="G160" i="29"/>
  <c r="K160" i="29"/>
  <c r="C161" i="29"/>
  <c r="B169" i="29"/>
  <c r="B168" i="29"/>
  <c r="B166" i="29"/>
  <c r="B164" i="29"/>
  <c r="B163" i="29"/>
  <c r="B170" i="29"/>
  <c r="B167" i="29"/>
  <c r="B165" i="29"/>
  <c r="B162" i="29"/>
  <c r="F170" i="29"/>
  <c r="F169" i="29"/>
  <c r="F168" i="29"/>
  <c r="F167" i="29"/>
  <c r="F165" i="29"/>
  <c r="F162" i="29"/>
  <c r="F166" i="29"/>
  <c r="F164" i="29"/>
  <c r="F163" i="29"/>
  <c r="F161" i="29"/>
  <c r="J170" i="29"/>
  <c r="J169" i="29"/>
  <c r="J168" i="29"/>
  <c r="J167" i="29"/>
  <c r="J166" i="29"/>
  <c r="J164" i="29"/>
  <c r="J161" i="29"/>
  <c r="J165" i="29"/>
  <c r="J163" i="29"/>
  <c r="J162" i="29"/>
  <c r="E110" i="29"/>
  <c r="I110" i="29"/>
  <c r="M110" i="29"/>
  <c r="E111" i="29"/>
  <c r="I111" i="29"/>
  <c r="M111" i="29"/>
  <c r="E112" i="29"/>
  <c r="I112" i="29"/>
  <c r="M112" i="29"/>
  <c r="E113" i="29"/>
  <c r="I113" i="29"/>
  <c r="M113" i="29"/>
  <c r="E114" i="29"/>
  <c r="I114" i="29"/>
  <c r="M114" i="29"/>
  <c r="E115" i="29"/>
  <c r="I115" i="29"/>
  <c r="M115" i="29"/>
  <c r="E116" i="29"/>
  <c r="I116" i="29"/>
  <c r="M116" i="29"/>
  <c r="E117" i="29"/>
  <c r="I117" i="29"/>
  <c r="M117" i="29"/>
  <c r="E118" i="29"/>
  <c r="I118" i="29"/>
  <c r="M118" i="29"/>
  <c r="E119" i="29"/>
  <c r="I119" i="29"/>
  <c r="M119" i="29"/>
  <c r="E120" i="29"/>
  <c r="I120" i="29"/>
  <c r="M120" i="29"/>
  <c r="E121" i="29"/>
  <c r="I121" i="29"/>
  <c r="M121" i="29"/>
  <c r="B110" i="29"/>
  <c r="F110" i="29"/>
  <c r="J110" i="29"/>
  <c r="B111" i="29"/>
  <c r="F111" i="29"/>
  <c r="J111" i="29"/>
  <c r="B112" i="29"/>
  <c r="F112" i="29"/>
  <c r="J112" i="29"/>
  <c r="B113" i="29"/>
  <c r="F113" i="29"/>
  <c r="J113" i="29"/>
  <c r="B114" i="29"/>
  <c r="F114" i="29"/>
  <c r="J114" i="29"/>
  <c r="B115" i="29"/>
  <c r="F115" i="29"/>
  <c r="J115" i="29"/>
  <c r="B116" i="29"/>
  <c r="F116" i="29"/>
  <c r="J116" i="29"/>
  <c r="B117" i="29"/>
  <c r="F117" i="29"/>
  <c r="J117" i="29"/>
  <c r="B118" i="29"/>
  <c r="F118" i="29"/>
  <c r="J118" i="29"/>
  <c r="B119" i="29"/>
  <c r="F119" i="29"/>
  <c r="J119" i="29"/>
  <c r="B120" i="29"/>
  <c r="F120" i="29"/>
  <c r="J120" i="29"/>
  <c r="B121" i="29"/>
  <c r="F121" i="29"/>
  <c r="J121" i="29"/>
  <c r="B126" i="29"/>
  <c r="F126" i="29"/>
  <c r="J126" i="29"/>
  <c r="B127" i="29"/>
  <c r="F127" i="29"/>
  <c r="J127" i="29"/>
  <c r="B128" i="29"/>
  <c r="F128" i="29"/>
  <c r="J128" i="29"/>
  <c r="B129" i="29"/>
  <c r="F129" i="29"/>
  <c r="J129" i="29"/>
  <c r="B130" i="29"/>
  <c r="F130" i="29"/>
  <c r="J130" i="29"/>
  <c r="B131" i="29"/>
  <c r="F131" i="29"/>
  <c r="J131" i="29"/>
  <c r="B132" i="29"/>
  <c r="F132" i="29"/>
  <c r="J132" i="29"/>
  <c r="B133" i="29"/>
  <c r="F133" i="29"/>
  <c r="J133" i="29"/>
  <c r="B134" i="29"/>
  <c r="F134" i="29"/>
  <c r="J134" i="29"/>
  <c r="B135" i="29"/>
  <c r="F135" i="29"/>
  <c r="J135" i="29"/>
  <c r="B136" i="29"/>
  <c r="F136" i="29"/>
  <c r="J136" i="29"/>
  <c r="B137" i="29"/>
  <c r="F137" i="29"/>
  <c r="J137" i="29"/>
  <c r="B142" i="29"/>
  <c r="F142" i="29"/>
  <c r="J142" i="29"/>
  <c r="B143" i="29"/>
  <c r="F143" i="29"/>
  <c r="J143" i="29"/>
  <c r="B144" i="29"/>
  <c r="F144" i="29"/>
  <c r="J144" i="29"/>
  <c r="B145" i="29"/>
  <c r="F145" i="29"/>
  <c r="J145" i="29"/>
  <c r="B146" i="29"/>
  <c r="F146" i="29"/>
  <c r="J146" i="29"/>
  <c r="B147" i="29"/>
  <c r="F147" i="29"/>
  <c r="J147" i="29"/>
  <c r="B148" i="29"/>
  <c r="F148" i="29"/>
  <c r="J148" i="29"/>
  <c r="B149" i="29"/>
  <c r="F149" i="29"/>
  <c r="J149" i="29"/>
  <c r="B150" i="29"/>
  <c r="F150" i="29"/>
  <c r="J150" i="29"/>
  <c r="B151" i="29"/>
  <c r="F151" i="29"/>
  <c r="J151" i="29"/>
  <c r="B152" i="29"/>
  <c r="F152" i="29"/>
  <c r="J152" i="29"/>
  <c r="B153" i="29"/>
  <c r="F153" i="29"/>
  <c r="J153" i="29"/>
  <c r="B158" i="29"/>
  <c r="F158" i="29"/>
  <c r="J158" i="29"/>
  <c r="B159" i="29"/>
  <c r="F159" i="29"/>
  <c r="J159" i="29"/>
  <c r="B160" i="29"/>
  <c r="F160" i="29"/>
  <c r="J160" i="29"/>
  <c r="B161" i="29"/>
  <c r="M94" i="29"/>
  <c r="M107" i="29" s="1"/>
  <c r="L94" i="29"/>
  <c r="L107" i="29" s="1"/>
  <c r="K94" i="29"/>
  <c r="K107" i="29" s="1"/>
  <c r="J94" i="29"/>
  <c r="J107" i="29" s="1"/>
  <c r="I94" i="29"/>
  <c r="I107" i="29" s="1"/>
  <c r="H94" i="29"/>
  <c r="H107" i="29" s="1"/>
  <c r="G94" i="29"/>
  <c r="G107" i="29" s="1"/>
  <c r="F94" i="29"/>
  <c r="F107" i="29" s="1"/>
  <c r="E94" i="29"/>
  <c r="E107" i="29" s="1"/>
  <c r="D94" i="29"/>
  <c r="D107" i="29" s="1"/>
  <c r="C94" i="29"/>
  <c r="C107" i="29" s="1"/>
  <c r="B94" i="29"/>
  <c r="B107" i="29" s="1"/>
  <c r="M79" i="29"/>
  <c r="M92" i="29" s="1"/>
  <c r="L79" i="29"/>
  <c r="L92" i="29" s="1"/>
  <c r="K79" i="29"/>
  <c r="K92" i="29" s="1"/>
  <c r="J79" i="29"/>
  <c r="J92" i="29" s="1"/>
  <c r="I79" i="29"/>
  <c r="I92" i="29" s="1"/>
  <c r="H79" i="29"/>
  <c r="H92" i="29" s="1"/>
  <c r="G79" i="29"/>
  <c r="G92" i="29" s="1"/>
  <c r="F79" i="29"/>
  <c r="F92" i="29" s="1"/>
  <c r="E79" i="29"/>
  <c r="E92" i="29" s="1"/>
  <c r="D79" i="29"/>
  <c r="D92" i="29" s="1"/>
  <c r="C79" i="29"/>
  <c r="C92" i="29" s="1"/>
  <c r="B79" i="29"/>
  <c r="B92" i="29" s="1"/>
  <c r="M64" i="29"/>
  <c r="M77" i="29" s="1"/>
  <c r="L64" i="29"/>
  <c r="L77" i="29" s="1"/>
  <c r="K64" i="29"/>
  <c r="K77" i="29" s="1"/>
  <c r="J64" i="29"/>
  <c r="J77" i="29" s="1"/>
  <c r="I64" i="29"/>
  <c r="I77" i="29" s="1"/>
  <c r="H64" i="29"/>
  <c r="H77" i="29" s="1"/>
  <c r="G64" i="29"/>
  <c r="G77" i="29" s="1"/>
  <c r="F64" i="29"/>
  <c r="F77" i="29" s="1"/>
  <c r="E64" i="29"/>
  <c r="E77" i="29" s="1"/>
  <c r="D64" i="29"/>
  <c r="D77" i="29" s="1"/>
  <c r="C64" i="29"/>
  <c r="C77" i="29" s="1"/>
  <c r="B64" i="29"/>
  <c r="B77" i="29" s="1"/>
  <c r="M49" i="29"/>
  <c r="M62" i="29" s="1"/>
  <c r="L49" i="29"/>
  <c r="L62" i="29" s="1"/>
  <c r="K49" i="29"/>
  <c r="K62" i="29" s="1"/>
  <c r="J49" i="29"/>
  <c r="J62" i="29" s="1"/>
  <c r="I49" i="29"/>
  <c r="I62" i="29" s="1"/>
  <c r="H49" i="29"/>
  <c r="H62" i="29" s="1"/>
  <c r="G49" i="29"/>
  <c r="G62" i="29" s="1"/>
  <c r="F49" i="29"/>
  <c r="F62" i="29" s="1"/>
  <c r="E49" i="29"/>
  <c r="E62" i="29" s="1"/>
  <c r="D49" i="29"/>
  <c r="D62" i="29" s="1"/>
  <c r="C49" i="29"/>
  <c r="C62" i="29" s="1"/>
  <c r="B49" i="29"/>
  <c r="B62" i="29" s="1"/>
  <c r="M34" i="29"/>
  <c r="M47" i="29" s="1"/>
  <c r="L34" i="29"/>
  <c r="L45" i="29" s="1"/>
  <c r="K34" i="29"/>
  <c r="K47" i="29" s="1"/>
  <c r="J34" i="29"/>
  <c r="J47" i="29" s="1"/>
  <c r="I34" i="29"/>
  <c r="H34" i="29"/>
  <c r="H44" i="29" s="1"/>
  <c r="G34" i="29"/>
  <c r="G47" i="29" s="1"/>
  <c r="F34" i="29"/>
  <c r="F47" i="29" s="1"/>
  <c r="E34" i="29"/>
  <c r="D34" i="29"/>
  <c r="D47" i="29" s="1"/>
  <c r="C34" i="29"/>
  <c r="C47" i="29" s="1"/>
  <c r="B34" i="29"/>
  <c r="B47" i="29" s="1"/>
  <c r="M19" i="29"/>
  <c r="M31" i="29" s="1"/>
  <c r="L19" i="29"/>
  <c r="L31" i="29" s="1"/>
  <c r="K19" i="29"/>
  <c r="K32" i="29" s="1"/>
  <c r="J19" i="29"/>
  <c r="J32" i="29" s="1"/>
  <c r="I19" i="29"/>
  <c r="I31" i="29" s="1"/>
  <c r="H19" i="29"/>
  <c r="H32" i="29" s="1"/>
  <c r="G19" i="29"/>
  <c r="G32" i="29" s="1"/>
  <c r="F19" i="29"/>
  <c r="F32" i="29" s="1"/>
  <c r="E19" i="29"/>
  <c r="E31" i="29" s="1"/>
  <c r="D19" i="29"/>
  <c r="D31" i="29" s="1"/>
  <c r="C19" i="29"/>
  <c r="C31" i="29" s="1"/>
  <c r="B19" i="29"/>
  <c r="M4" i="29"/>
  <c r="M17" i="29" s="1"/>
  <c r="L4" i="29"/>
  <c r="L16" i="29" s="1"/>
  <c r="K4" i="29"/>
  <c r="J4" i="29"/>
  <c r="J13" i="29" s="1"/>
  <c r="I4" i="29"/>
  <c r="I17" i="29" s="1"/>
  <c r="H4" i="29"/>
  <c r="H15" i="29" s="1"/>
  <c r="G4" i="29"/>
  <c r="F4" i="29"/>
  <c r="F16" i="29" s="1"/>
  <c r="E4" i="29"/>
  <c r="E13" i="29" s="1"/>
  <c r="D4" i="29"/>
  <c r="D14" i="29" s="1"/>
  <c r="C4" i="29"/>
  <c r="B4" i="29"/>
  <c r="B15" i="29" s="1"/>
  <c r="M9" i="29" l="1"/>
  <c r="M10" i="29"/>
  <c r="M13" i="29"/>
  <c r="M14" i="29"/>
  <c r="E11" i="29"/>
  <c r="I12" i="29"/>
  <c r="F15" i="29"/>
  <c r="J17" i="29"/>
  <c r="D22" i="29"/>
  <c r="L24" i="29"/>
  <c r="H27" i="29"/>
  <c r="D30" i="29"/>
  <c r="I32" i="29"/>
  <c r="B10" i="29"/>
  <c r="F11" i="29"/>
  <c r="J12" i="29"/>
  <c r="B14" i="29"/>
  <c r="J15" i="29"/>
  <c r="D20" i="29"/>
  <c r="L22" i="29"/>
  <c r="H25" i="29"/>
  <c r="D28" i="29"/>
  <c r="L30" i="29"/>
  <c r="L32" i="29"/>
  <c r="F10" i="29"/>
  <c r="J11" i="29"/>
  <c r="B13" i="29"/>
  <c r="F14" i="29"/>
  <c r="E16" i="29"/>
  <c r="L20" i="29"/>
  <c r="H23" i="29"/>
  <c r="D26" i="29"/>
  <c r="L28" i="29"/>
  <c r="H31" i="29"/>
  <c r="M32" i="29"/>
  <c r="I9" i="29"/>
  <c r="E12" i="29"/>
  <c r="I13" i="29"/>
  <c r="J16" i="29"/>
  <c r="H21" i="29"/>
  <c r="D24" i="29"/>
  <c r="L26" i="29"/>
  <c r="H29" i="29"/>
  <c r="E32" i="29"/>
  <c r="E47" i="29"/>
  <c r="E46" i="29"/>
  <c r="E45" i="29"/>
  <c r="E44" i="29"/>
  <c r="E43" i="29"/>
  <c r="E42" i="29"/>
  <c r="E41" i="29"/>
  <c r="E40" i="29"/>
  <c r="E39" i="29"/>
  <c r="E38" i="29"/>
  <c r="E37" i="29"/>
  <c r="E36" i="29"/>
  <c r="E35" i="29"/>
  <c r="I47" i="29"/>
  <c r="I46" i="29"/>
  <c r="I45" i="29"/>
  <c r="I44" i="29"/>
  <c r="I43" i="29"/>
  <c r="I42" i="29"/>
  <c r="I41" i="29"/>
  <c r="I40" i="29"/>
  <c r="I39" i="29"/>
  <c r="I38" i="29"/>
  <c r="I37" i="29"/>
  <c r="I36" i="29"/>
  <c r="I35" i="29"/>
  <c r="D5" i="29"/>
  <c r="H5" i="29"/>
  <c r="L5" i="29"/>
  <c r="D6" i="29"/>
  <c r="H6" i="29"/>
  <c r="L6" i="29"/>
  <c r="D7" i="29"/>
  <c r="H7" i="29"/>
  <c r="L7" i="29"/>
  <c r="D8" i="29"/>
  <c r="H8" i="29"/>
  <c r="L8" i="29"/>
  <c r="D9" i="29"/>
  <c r="H10" i="29"/>
  <c r="L11" i="29"/>
  <c r="D13" i="29"/>
  <c r="H14" i="29"/>
  <c r="L15" i="29"/>
  <c r="D36" i="29"/>
  <c r="H37" i="29"/>
  <c r="L38" i="29"/>
  <c r="D40" i="29"/>
  <c r="H41" i="29"/>
  <c r="L42" i="29"/>
  <c r="D44" i="29"/>
  <c r="H45" i="29"/>
  <c r="L46" i="29"/>
  <c r="C16" i="29"/>
  <c r="C15" i="29"/>
  <c r="C14" i="29"/>
  <c r="C13" i="29"/>
  <c r="C12" i="29"/>
  <c r="C11" i="29"/>
  <c r="C10" i="29"/>
  <c r="G16" i="29"/>
  <c r="G15" i="29"/>
  <c r="G14" i="29"/>
  <c r="G13" i="29"/>
  <c r="G12" i="29"/>
  <c r="G11" i="29"/>
  <c r="G10" i="29"/>
  <c r="G9" i="29"/>
  <c r="K16" i="29"/>
  <c r="K15" i="29"/>
  <c r="K14" i="29"/>
  <c r="K13" i="29"/>
  <c r="K12" i="29"/>
  <c r="K11" i="29"/>
  <c r="K10" i="29"/>
  <c r="K9" i="29"/>
  <c r="B32" i="29"/>
  <c r="B31" i="29"/>
  <c r="B30" i="29"/>
  <c r="B29" i="29"/>
  <c r="B28" i="29"/>
  <c r="B27" i="29"/>
  <c r="B26" i="29"/>
  <c r="B25" i="29"/>
  <c r="B24" i="29"/>
  <c r="B23" i="29"/>
  <c r="B22" i="29"/>
  <c r="B21" i="29"/>
  <c r="B20" i="29"/>
  <c r="C5" i="29"/>
  <c r="G5" i="29"/>
  <c r="K5" i="29"/>
  <c r="C6" i="29"/>
  <c r="G6" i="29"/>
  <c r="K6" i="29"/>
  <c r="C7" i="29"/>
  <c r="G7" i="29"/>
  <c r="K7" i="29"/>
  <c r="C8" i="29"/>
  <c r="G8" i="29"/>
  <c r="K8" i="29"/>
  <c r="C9" i="29"/>
  <c r="H9" i="29"/>
  <c r="L10" i="29"/>
  <c r="D12" i="29"/>
  <c r="H13" i="29"/>
  <c r="L14" i="29"/>
  <c r="E15" i="29"/>
  <c r="D16" i="29"/>
  <c r="I16" i="29"/>
  <c r="H17" i="29"/>
  <c r="G17" i="29" s="1"/>
  <c r="F17" i="29" s="1"/>
  <c r="E17" i="29" s="1"/>
  <c r="D17" i="29" s="1"/>
  <c r="C17" i="29" s="1"/>
  <c r="B17" i="29" s="1"/>
  <c r="C20" i="29"/>
  <c r="K20" i="29"/>
  <c r="G21" i="29"/>
  <c r="C22" i="29"/>
  <c r="K22" i="29"/>
  <c r="G23" i="29"/>
  <c r="C24" i="29"/>
  <c r="K24" i="29"/>
  <c r="G25" i="29"/>
  <c r="C26" i="29"/>
  <c r="K26" i="29"/>
  <c r="G27" i="29"/>
  <c r="C28" i="29"/>
  <c r="K28" i="29"/>
  <c r="G29" i="29"/>
  <c r="C30" i="29"/>
  <c r="K30" i="29"/>
  <c r="G31" i="29"/>
  <c r="D32" i="29"/>
  <c r="L35" i="29"/>
  <c r="D37" i="29"/>
  <c r="H38" i="29"/>
  <c r="L39" i="29"/>
  <c r="D41" i="29"/>
  <c r="H42" i="29"/>
  <c r="L43" i="29"/>
  <c r="D45" i="29"/>
  <c r="H46" i="29"/>
  <c r="L47" i="29"/>
  <c r="B5" i="29"/>
  <c r="F5" i="29"/>
  <c r="J5" i="29"/>
  <c r="B6" i="29"/>
  <c r="F6" i="29"/>
  <c r="J6" i="29"/>
  <c r="B7" i="29"/>
  <c r="F7" i="29"/>
  <c r="J7" i="29"/>
  <c r="B8" i="29"/>
  <c r="F8" i="29"/>
  <c r="J8" i="29"/>
  <c r="B9" i="29"/>
  <c r="F9" i="29"/>
  <c r="L9" i="29"/>
  <c r="E10" i="29"/>
  <c r="J10" i="29"/>
  <c r="D11" i="29"/>
  <c r="I11" i="29"/>
  <c r="B12" i="29"/>
  <c r="H12" i="29"/>
  <c r="M12" i="29"/>
  <c r="F13" i="29"/>
  <c r="L13" i="29"/>
  <c r="E14" i="29"/>
  <c r="J14" i="29"/>
  <c r="D15" i="29"/>
  <c r="I15" i="29"/>
  <c r="B16" i="29"/>
  <c r="H16" i="29"/>
  <c r="M16" i="29"/>
  <c r="L17" i="29"/>
  <c r="H20" i="29"/>
  <c r="D21" i="29"/>
  <c r="L21" i="29"/>
  <c r="H22" i="29"/>
  <c r="D23" i="29"/>
  <c r="L23" i="29"/>
  <c r="H24" i="29"/>
  <c r="D25" i="29"/>
  <c r="L25" i="29"/>
  <c r="H26" i="29"/>
  <c r="D27" i="29"/>
  <c r="L27" i="29"/>
  <c r="H28" i="29"/>
  <c r="D29" i="29"/>
  <c r="L29" i="29"/>
  <c r="H30" i="29"/>
  <c r="H35" i="29"/>
  <c r="L36" i="29"/>
  <c r="D38" i="29"/>
  <c r="H39" i="29"/>
  <c r="L40" i="29"/>
  <c r="D42" i="29"/>
  <c r="H43" i="29"/>
  <c r="L44" i="29"/>
  <c r="D46" i="29"/>
  <c r="H47" i="29"/>
  <c r="E5" i="29"/>
  <c r="I5" i="29"/>
  <c r="M5" i="29"/>
  <c r="E6" i="29"/>
  <c r="I6" i="29"/>
  <c r="M6" i="29"/>
  <c r="E7" i="29"/>
  <c r="I7" i="29"/>
  <c r="M7" i="29"/>
  <c r="E8" i="29"/>
  <c r="I8" i="29"/>
  <c r="M8" i="29"/>
  <c r="E9" i="29"/>
  <c r="J9" i="29"/>
  <c r="D10" i="29"/>
  <c r="I10" i="29"/>
  <c r="B11" i="29"/>
  <c r="H11" i="29"/>
  <c r="M11" i="29"/>
  <c r="F12" i="29"/>
  <c r="L12" i="29"/>
  <c r="I14" i="29"/>
  <c r="M15" i="29"/>
  <c r="K17" i="29"/>
  <c r="G20" i="29"/>
  <c r="C21" i="29"/>
  <c r="K21" i="29"/>
  <c r="G22" i="29"/>
  <c r="C23" i="29"/>
  <c r="K23" i="29"/>
  <c r="G24" i="29"/>
  <c r="C25" i="29"/>
  <c r="K25" i="29"/>
  <c r="G26" i="29"/>
  <c r="C27" i="29"/>
  <c r="K27" i="29"/>
  <c r="G28" i="29"/>
  <c r="C29" i="29"/>
  <c r="K29" i="29"/>
  <c r="G30" i="29"/>
  <c r="K31" i="29"/>
  <c r="D35" i="29"/>
  <c r="H36" i="29"/>
  <c r="L37" i="29"/>
  <c r="D39" i="29"/>
  <c r="H40" i="29"/>
  <c r="L41" i="29"/>
  <c r="D43" i="29"/>
  <c r="F20" i="29"/>
  <c r="J20" i="29"/>
  <c r="F21" i="29"/>
  <c r="J21" i="29"/>
  <c r="F22" i="29"/>
  <c r="J22" i="29"/>
  <c r="F23" i="29"/>
  <c r="J23" i="29"/>
  <c r="F24" i="29"/>
  <c r="J24" i="29"/>
  <c r="F25" i="29"/>
  <c r="J25" i="29"/>
  <c r="F26" i="29"/>
  <c r="J26" i="29"/>
  <c r="F27" i="29"/>
  <c r="J27" i="29"/>
  <c r="F28" i="29"/>
  <c r="J28" i="29"/>
  <c r="F29" i="29"/>
  <c r="J29" i="29"/>
  <c r="F30" i="29"/>
  <c r="J30" i="29"/>
  <c r="F31" i="29"/>
  <c r="J31" i="29"/>
  <c r="C35" i="29"/>
  <c r="G35" i="29"/>
  <c r="K35" i="29"/>
  <c r="C36" i="29"/>
  <c r="G36" i="29"/>
  <c r="K36" i="29"/>
  <c r="C37" i="29"/>
  <c r="G37" i="29"/>
  <c r="K37" i="29"/>
  <c r="C38" i="29"/>
  <c r="G38" i="29"/>
  <c r="K38" i="29"/>
  <c r="C39" i="29"/>
  <c r="G39" i="29"/>
  <c r="K39" i="29"/>
  <c r="C40" i="29"/>
  <c r="G40" i="29"/>
  <c r="K40" i="29"/>
  <c r="C41" i="29"/>
  <c r="G41" i="29"/>
  <c r="K41" i="29"/>
  <c r="C42" i="29"/>
  <c r="G42" i="29"/>
  <c r="K42" i="29"/>
  <c r="C43" i="29"/>
  <c r="G43" i="29"/>
  <c r="K43" i="29"/>
  <c r="C44" i="29"/>
  <c r="G44" i="29"/>
  <c r="K44" i="29"/>
  <c r="C45" i="29"/>
  <c r="G45" i="29"/>
  <c r="K45" i="29"/>
  <c r="C46" i="29"/>
  <c r="G46" i="29"/>
  <c r="K46" i="29"/>
  <c r="C50" i="29"/>
  <c r="G50" i="29"/>
  <c r="K50" i="29"/>
  <c r="C51" i="29"/>
  <c r="G51" i="29"/>
  <c r="K51" i="29"/>
  <c r="C52" i="29"/>
  <c r="G52" i="29"/>
  <c r="K52" i="29"/>
  <c r="C53" i="29"/>
  <c r="G53" i="29"/>
  <c r="K53" i="29"/>
  <c r="C54" i="29"/>
  <c r="G54" i="29"/>
  <c r="K54" i="29"/>
  <c r="C55" i="29"/>
  <c r="G55" i="29"/>
  <c r="K55" i="29"/>
  <c r="C56" i="29"/>
  <c r="G56" i="29"/>
  <c r="K56" i="29"/>
  <c r="C57" i="29"/>
  <c r="G57" i="29"/>
  <c r="K57" i="29"/>
  <c r="C58" i="29"/>
  <c r="G58" i="29"/>
  <c r="K58" i="29"/>
  <c r="C59" i="29"/>
  <c r="G59" i="29"/>
  <c r="K59" i="29"/>
  <c r="C60" i="29"/>
  <c r="G60" i="29"/>
  <c r="K60" i="29"/>
  <c r="C61" i="29"/>
  <c r="G61" i="29"/>
  <c r="K61" i="29"/>
  <c r="C65" i="29"/>
  <c r="G65" i="29"/>
  <c r="K65" i="29"/>
  <c r="C66" i="29"/>
  <c r="G66" i="29"/>
  <c r="K66" i="29"/>
  <c r="C67" i="29"/>
  <c r="G67" i="29"/>
  <c r="K67" i="29"/>
  <c r="C68" i="29"/>
  <c r="G68" i="29"/>
  <c r="K68" i="29"/>
  <c r="C69" i="29"/>
  <c r="G69" i="29"/>
  <c r="K69" i="29"/>
  <c r="C70" i="29"/>
  <c r="G70" i="29"/>
  <c r="K70" i="29"/>
  <c r="C71" i="29"/>
  <c r="G71" i="29"/>
  <c r="K71" i="29"/>
  <c r="C72" i="29"/>
  <c r="G72" i="29"/>
  <c r="K72" i="29"/>
  <c r="C73" i="29"/>
  <c r="G73" i="29"/>
  <c r="K73" i="29"/>
  <c r="C74" i="29"/>
  <c r="G74" i="29"/>
  <c r="K74" i="29"/>
  <c r="C75" i="29"/>
  <c r="G75" i="29"/>
  <c r="K75" i="29"/>
  <c r="C76" i="29"/>
  <c r="G76" i="29"/>
  <c r="K76" i="29"/>
  <c r="C80" i="29"/>
  <c r="G80" i="29"/>
  <c r="K80" i="29"/>
  <c r="C81" i="29"/>
  <c r="G81" i="29"/>
  <c r="K81" i="29"/>
  <c r="C82" i="29"/>
  <c r="G82" i="29"/>
  <c r="K82" i="29"/>
  <c r="C83" i="29"/>
  <c r="G83" i="29"/>
  <c r="K83" i="29"/>
  <c r="C84" i="29"/>
  <c r="G84" i="29"/>
  <c r="K84" i="29"/>
  <c r="C85" i="29"/>
  <c r="G85" i="29"/>
  <c r="K85" i="29"/>
  <c r="C86" i="29"/>
  <c r="G86" i="29"/>
  <c r="K86" i="29"/>
  <c r="C87" i="29"/>
  <c r="G87" i="29"/>
  <c r="K87" i="29"/>
  <c r="C88" i="29"/>
  <c r="G88" i="29"/>
  <c r="K88" i="29"/>
  <c r="C89" i="29"/>
  <c r="G89" i="29"/>
  <c r="K89" i="29"/>
  <c r="C90" i="29"/>
  <c r="G90" i="29"/>
  <c r="K90" i="29"/>
  <c r="C91" i="29"/>
  <c r="G91" i="29"/>
  <c r="K91" i="29"/>
  <c r="C95" i="29"/>
  <c r="G95" i="29"/>
  <c r="K95" i="29"/>
  <c r="C96" i="29"/>
  <c r="G96" i="29"/>
  <c r="K96" i="29"/>
  <c r="C97" i="29"/>
  <c r="G97" i="29"/>
  <c r="K97" i="29"/>
  <c r="C98" i="29"/>
  <c r="G98" i="29"/>
  <c r="K98" i="29"/>
  <c r="C99" i="29"/>
  <c r="G99" i="29"/>
  <c r="K99" i="29"/>
  <c r="C100" i="29"/>
  <c r="G100" i="29"/>
  <c r="K100" i="29"/>
  <c r="C101" i="29"/>
  <c r="G101" i="29"/>
  <c r="K101" i="29"/>
  <c r="C102" i="29"/>
  <c r="G102" i="29"/>
  <c r="K102" i="29"/>
  <c r="C103" i="29"/>
  <c r="G103" i="29"/>
  <c r="K103" i="29"/>
  <c r="C104" i="29"/>
  <c r="G104" i="29"/>
  <c r="K104" i="29"/>
  <c r="C105" i="29"/>
  <c r="G105" i="29"/>
  <c r="K105" i="29"/>
  <c r="C106" i="29"/>
  <c r="G106" i="29"/>
  <c r="K106" i="29"/>
  <c r="D14" i="31"/>
  <c r="D15" i="31"/>
  <c r="D11" i="31"/>
  <c r="D7" i="31"/>
  <c r="D10" i="31"/>
  <c r="D6" i="31"/>
  <c r="D13" i="31"/>
  <c r="D9" i="31"/>
  <c r="D5" i="31"/>
  <c r="D12" i="31"/>
  <c r="D8" i="31"/>
  <c r="D4" i="31"/>
  <c r="C3" i="31"/>
  <c r="E20" i="29"/>
  <c r="I20" i="29"/>
  <c r="M20" i="29"/>
  <c r="E21" i="29"/>
  <c r="I21" i="29"/>
  <c r="M21" i="29"/>
  <c r="E22" i="29"/>
  <c r="I22" i="29"/>
  <c r="M22" i="29"/>
  <c r="E23" i="29"/>
  <c r="I23" i="29"/>
  <c r="M23" i="29"/>
  <c r="E24" i="29"/>
  <c r="I24" i="29"/>
  <c r="M24" i="29"/>
  <c r="E25" i="29"/>
  <c r="I25" i="29"/>
  <c r="M25" i="29"/>
  <c r="E26" i="29"/>
  <c r="I26" i="29"/>
  <c r="M26" i="29"/>
  <c r="E27" i="29"/>
  <c r="I27" i="29"/>
  <c r="M27" i="29"/>
  <c r="E28" i="29"/>
  <c r="I28" i="29"/>
  <c r="M28" i="29"/>
  <c r="E29" i="29"/>
  <c r="I29" i="29"/>
  <c r="M29" i="29"/>
  <c r="E30" i="29"/>
  <c r="I30" i="29"/>
  <c r="M30" i="29"/>
  <c r="B35" i="29"/>
  <c r="F35" i="29"/>
  <c r="J35" i="29"/>
  <c r="B36" i="29"/>
  <c r="F36" i="29"/>
  <c r="J36" i="29"/>
  <c r="B37" i="29"/>
  <c r="F37" i="29"/>
  <c r="J37" i="29"/>
  <c r="B38" i="29"/>
  <c r="F38" i="29"/>
  <c r="J38" i="29"/>
  <c r="B39" i="29"/>
  <c r="F39" i="29"/>
  <c r="J39" i="29"/>
  <c r="B40" i="29"/>
  <c r="F40" i="29"/>
  <c r="J40" i="29"/>
  <c r="B41" i="29"/>
  <c r="F41" i="29"/>
  <c r="J41" i="29"/>
  <c r="B42" i="29"/>
  <c r="F42" i="29"/>
  <c r="J42" i="29"/>
  <c r="B43" i="29"/>
  <c r="F43" i="29"/>
  <c r="J43" i="29"/>
  <c r="B44" i="29"/>
  <c r="F44" i="29"/>
  <c r="J44" i="29"/>
  <c r="B45" i="29"/>
  <c r="F45" i="29"/>
  <c r="J45" i="29"/>
  <c r="B46" i="29"/>
  <c r="F46" i="29"/>
  <c r="J46" i="29"/>
  <c r="B50" i="29"/>
  <c r="F50" i="29"/>
  <c r="J50" i="29"/>
  <c r="B51" i="29"/>
  <c r="F51" i="29"/>
  <c r="J51" i="29"/>
  <c r="B52" i="29"/>
  <c r="F52" i="29"/>
  <c r="J52" i="29"/>
  <c r="B53" i="29"/>
  <c r="F53" i="29"/>
  <c r="J53" i="29"/>
  <c r="B54" i="29"/>
  <c r="F54" i="29"/>
  <c r="J54" i="29"/>
  <c r="B55" i="29"/>
  <c r="F55" i="29"/>
  <c r="J55" i="29"/>
  <c r="B56" i="29"/>
  <c r="F56" i="29"/>
  <c r="J56" i="29"/>
  <c r="B57" i="29"/>
  <c r="F57" i="29"/>
  <c r="J57" i="29"/>
  <c r="B58" i="29"/>
  <c r="F58" i="29"/>
  <c r="J58" i="29"/>
  <c r="B59" i="29"/>
  <c r="F59" i="29"/>
  <c r="J59" i="29"/>
  <c r="B60" i="29"/>
  <c r="F60" i="29"/>
  <c r="J60" i="29"/>
  <c r="B61" i="29"/>
  <c r="F61" i="29"/>
  <c r="J61" i="29"/>
  <c r="B65" i="29"/>
  <c r="F65" i="29"/>
  <c r="J65" i="29"/>
  <c r="B66" i="29"/>
  <c r="F66" i="29"/>
  <c r="J66" i="29"/>
  <c r="B67" i="29"/>
  <c r="F67" i="29"/>
  <c r="J67" i="29"/>
  <c r="B68" i="29"/>
  <c r="F68" i="29"/>
  <c r="J68" i="29"/>
  <c r="B69" i="29"/>
  <c r="F69" i="29"/>
  <c r="J69" i="29"/>
  <c r="B70" i="29"/>
  <c r="F70" i="29"/>
  <c r="J70" i="29"/>
  <c r="B71" i="29"/>
  <c r="F71" i="29"/>
  <c r="J71" i="29"/>
  <c r="B72" i="29"/>
  <c r="F72" i="29"/>
  <c r="J72" i="29"/>
  <c r="B73" i="29"/>
  <c r="F73" i="29"/>
  <c r="J73" i="29"/>
  <c r="B74" i="29"/>
  <c r="F74" i="29"/>
  <c r="J74" i="29"/>
  <c r="B75" i="29"/>
  <c r="F75" i="29"/>
  <c r="J75" i="29"/>
  <c r="B76" i="29"/>
  <c r="F76" i="29"/>
  <c r="J76" i="29"/>
  <c r="B80" i="29"/>
  <c r="F80" i="29"/>
  <c r="J80" i="29"/>
  <c r="B81" i="29"/>
  <c r="F81" i="29"/>
  <c r="J81" i="29"/>
  <c r="B82" i="29"/>
  <c r="F82" i="29"/>
  <c r="J82" i="29"/>
  <c r="B83" i="29"/>
  <c r="F83" i="29"/>
  <c r="J83" i="29"/>
  <c r="B84" i="29"/>
  <c r="F84" i="29"/>
  <c r="J84" i="29"/>
  <c r="B85" i="29"/>
  <c r="F85" i="29"/>
  <c r="J85" i="29"/>
  <c r="B86" i="29"/>
  <c r="F86" i="29"/>
  <c r="J86" i="29"/>
  <c r="B87" i="29"/>
  <c r="F87" i="29"/>
  <c r="J87" i="29"/>
  <c r="B88" i="29"/>
  <c r="F88" i="29"/>
  <c r="J88" i="29"/>
  <c r="B89" i="29"/>
  <c r="F89" i="29"/>
  <c r="J89" i="29"/>
  <c r="B90" i="29"/>
  <c r="F90" i="29"/>
  <c r="J90" i="29"/>
  <c r="B91" i="29"/>
  <c r="F91" i="29"/>
  <c r="J91" i="29"/>
  <c r="B95" i="29"/>
  <c r="F95" i="29"/>
  <c r="J95" i="29"/>
  <c r="B96" i="29"/>
  <c r="F96" i="29"/>
  <c r="J96" i="29"/>
  <c r="B97" i="29"/>
  <c r="F97" i="29"/>
  <c r="J97" i="29"/>
  <c r="B98" i="29"/>
  <c r="F98" i="29"/>
  <c r="J98" i="29"/>
  <c r="B99" i="29"/>
  <c r="F99" i="29"/>
  <c r="J99" i="29"/>
  <c r="B100" i="29"/>
  <c r="F100" i="29"/>
  <c r="J100" i="29"/>
  <c r="B101" i="29"/>
  <c r="F101" i="29"/>
  <c r="J101" i="29"/>
  <c r="B102" i="29"/>
  <c r="F102" i="29"/>
  <c r="J102" i="29"/>
  <c r="B103" i="29"/>
  <c r="F103" i="29"/>
  <c r="J103" i="29"/>
  <c r="B104" i="29"/>
  <c r="F104" i="29"/>
  <c r="J104" i="29"/>
  <c r="B105" i="29"/>
  <c r="F105" i="29"/>
  <c r="J105" i="29"/>
  <c r="B106" i="29"/>
  <c r="F106" i="29"/>
  <c r="J106" i="29"/>
  <c r="M35" i="29"/>
  <c r="M36" i="29"/>
  <c r="M37" i="29"/>
  <c r="M38" i="29"/>
  <c r="M39" i="29"/>
  <c r="M40" i="29"/>
  <c r="M41" i="29"/>
  <c r="M42" i="29"/>
  <c r="M43" i="29"/>
  <c r="M44" i="29"/>
  <c r="M45" i="29"/>
  <c r="M46" i="29"/>
  <c r="E50" i="29"/>
  <c r="I50" i="29"/>
  <c r="M50" i="29"/>
  <c r="E51" i="29"/>
  <c r="I51" i="29"/>
  <c r="M51" i="29"/>
  <c r="E52" i="29"/>
  <c r="I52" i="29"/>
  <c r="M52" i="29"/>
  <c r="E53" i="29"/>
  <c r="I53" i="29"/>
  <c r="M53" i="29"/>
  <c r="E54" i="29"/>
  <c r="I54" i="29"/>
  <c r="M54" i="29"/>
  <c r="E55" i="29"/>
  <c r="I55" i="29"/>
  <c r="M55" i="29"/>
  <c r="E56" i="29"/>
  <c r="I56" i="29"/>
  <c r="M56" i="29"/>
  <c r="E57" i="29"/>
  <c r="I57" i="29"/>
  <c r="M57" i="29"/>
  <c r="E58" i="29"/>
  <c r="I58" i="29"/>
  <c r="M58" i="29"/>
  <c r="E59" i="29"/>
  <c r="I59" i="29"/>
  <c r="M59" i="29"/>
  <c r="E60" i="29"/>
  <c r="I60" i="29"/>
  <c r="M60" i="29"/>
  <c r="E61" i="29"/>
  <c r="I61" i="29"/>
  <c r="M61" i="29"/>
  <c r="E65" i="29"/>
  <c r="I65" i="29"/>
  <c r="M65" i="29"/>
  <c r="E66" i="29"/>
  <c r="I66" i="29"/>
  <c r="M66" i="29"/>
  <c r="E67" i="29"/>
  <c r="I67" i="29"/>
  <c r="M67" i="29"/>
  <c r="E68" i="29"/>
  <c r="I68" i="29"/>
  <c r="M68" i="29"/>
  <c r="E69" i="29"/>
  <c r="I69" i="29"/>
  <c r="M69" i="29"/>
  <c r="E70" i="29"/>
  <c r="I70" i="29"/>
  <c r="M70" i="29"/>
  <c r="E71" i="29"/>
  <c r="I71" i="29"/>
  <c r="M71" i="29"/>
  <c r="E72" i="29"/>
  <c r="I72" i="29"/>
  <c r="M72" i="29"/>
  <c r="E73" i="29"/>
  <c r="I73" i="29"/>
  <c r="M73" i="29"/>
  <c r="E74" i="29"/>
  <c r="I74" i="29"/>
  <c r="M74" i="29"/>
  <c r="E75" i="29"/>
  <c r="I75" i="29"/>
  <c r="M75" i="29"/>
  <c r="E76" i="29"/>
  <c r="I76" i="29"/>
  <c r="M76" i="29"/>
  <c r="E80" i="29"/>
  <c r="I80" i="29"/>
  <c r="M80" i="29"/>
  <c r="E81" i="29"/>
  <c r="I81" i="29"/>
  <c r="M81" i="29"/>
  <c r="E82" i="29"/>
  <c r="I82" i="29"/>
  <c r="M82" i="29"/>
  <c r="E83" i="29"/>
  <c r="I83" i="29"/>
  <c r="M83" i="29"/>
  <c r="E84" i="29"/>
  <c r="I84" i="29"/>
  <c r="M84" i="29"/>
  <c r="E85" i="29"/>
  <c r="I85" i="29"/>
  <c r="M85" i="29"/>
  <c r="E86" i="29"/>
  <c r="I86" i="29"/>
  <c r="M86" i="29"/>
  <c r="E87" i="29"/>
  <c r="I87" i="29"/>
  <c r="M87" i="29"/>
  <c r="E88" i="29"/>
  <c r="I88" i="29"/>
  <c r="M88" i="29"/>
  <c r="E89" i="29"/>
  <c r="I89" i="29"/>
  <c r="M89" i="29"/>
  <c r="E90" i="29"/>
  <c r="I90" i="29"/>
  <c r="M90" i="29"/>
  <c r="E91" i="29"/>
  <c r="I91" i="29"/>
  <c r="M91" i="29"/>
  <c r="E95" i="29"/>
  <c r="I95" i="29"/>
  <c r="M95" i="29"/>
  <c r="E96" i="29"/>
  <c r="I96" i="29"/>
  <c r="M96" i="29"/>
  <c r="E97" i="29"/>
  <c r="I97" i="29"/>
  <c r="M97" i="29"/>
  <c r="E98" i="29"/>
  <c r="I98" i="29"/>
  <c r="M98" i="29"/>
  <c r="E99" i="29"/>
  <c r="I99" i="29"/>
  <c r="M99" i="29"/>
  <c r="E100" i="29"/>
  <c r="I100" i="29"/>
  <c r="M100" i="29"/>
  <c r="E101" i="29"/>
  <c r="I101" i="29"/>
  <c r="M101" i="29"/>
  <c r="E102" i="29"/>
  <c r="I102" i="29"/>
  <c r="M102" i="29"/>
  <c r="E103" i="29"/>
  <c r="I103" i="29"/>
  <c r="M103" i="29"/>
  <c r="E104" i="29"/>
  <c r="I104" i="29"/>
  <c r="M104" i="29"/>
  <c r="E105" i="29"/>
  <c r="I105" i="29"/>
  <c r="M105" i="29"/>
  <c r="E106" i="29"/>
  <c r="I106" i="29"/>
  <c r="M106" i="29"/>
  <c r="D50" i="29"/>
  <c r="H50" i="29"/>
  <c r="L50" i="29"/>
  <c r="D51" i="29"/>
  <c r="H51" i="29"/>
  <c r="L51" i="29"/>
  <c r="D52" i="29"/>
  <c r="H52" i="29"/>
  <c r="L52" i="29"/>
  <c r="D53" i="29"/>
  <c r="H53" i="29"/>
  <c r="L53" i="29"/>
  <c r="D54" i="29"/>
  <c r="H54" i="29"/>
  <c r="L54" i="29"/>
  <c r="D55" i="29"/>
  <c r="H55" i="29"/>
  <c r="L55" i="29"/>
  <c r="D56" i="29"/>
  <c r="H56" i="29"/>
  <c r="L56" i="29"/>
  <c r="D57" i="29"/>
  <c r="H57" i="29"/>
  <c r="L57" i="29"/>
  <c r="D58" i="29"/>
  <c r="H58" i="29"/>
  <c r="L58" i="29"/>
  <c r="D59" i="29"/>
  <c r="H59" i="29"/>
  <c r="L59" i="29"/>
  <c r="D60" i="29"/>
  <c r="H60" i="29"/>
  <c r="L60" i="29"/>
  <c r="D61" i="29"/>
  <c r="H61" i="29"/>
  <c r="L61" i="29"/>
  <c r="D65" i="29"/>
  <c r="H65" i="29"/>
  <c r="L65" i="29"/>
  <c r="D66" i="29"/>
  <c r="H66" i="29"/>
  <c r="L66" i="29"/>
  <c r="D67" i="29"/>
  <c r="H67" i="29"/>
  <c r="L67" i="29"/>
  <c r="D68" i="29"/>
  <c r="H68" i="29"/>
  <c r="L68" i="29"/>
  <c r="D69" i="29"/>
  <c r="H69" i="29"/>
  <c r="L69" i="29"/>
  <c r="D70" i="29"/>
  <c r="H70" i="29"/>
  <c r="L70" i="29"/>
  <c r="D71" i="29"/>
  <c r="H71" i="29"/>
  <c r="L71" i="29"/>
  <c r="D72" i="29"/>
  <c r="H72" i="29"/>
  <c r="L72" i="29"/>
  <c r="D73" i="29"/>
  <c r="H73" i="29"/>
  <c r="L73" i="29"/>
  <c r="D74" i="29"/>
  <c r="H74" i="29"/>
  <c r="L74" i="29"/>
  <c r="D75" i="29"/>
  <c r="H75" i="29"/>
  <c r="L75" i="29"/>
  <c r="D76" i="29"/>
  <c r="H76" i="29"/>
  <c r="L76" i="29"/>
  <c r="D80" i="29"/>
  <c r="H80" i="29"/>
  <c r="L80" i="29"/>
  <c r="D81" i="29"/>
  <c r="H81" i="29"/>
  <c r="L81" i="29"/>
  <c r="D82" i="29"/>
  <c r="H82" i="29"/>
  <c r="L82" i="29"/>
  <c r="D83" i="29"/>
  <c r="H83" i="29"/>
  <c r="L83" i="29"/>
  <c r="D84" i="29"/>
  <c r="H84" i="29"/>
  <c r="L84" i="29"/>
  <c r="D85" i="29"/>
  <c r="H85" i="29"/>
  <c r="L85" i="29"/>
  <c r="D86" i="29"/>
  <c r="H86" i="29"/>
  <c r="L86" i="29"/>
  <c r="D87" i="29"/>
  <c r="H87" i="29"/>
  <c r="L87" i="29"/>
  <c r="D88" i="29"/>
  <c r="H88" i="29"/>
  <c r="L88" i="29"/>
  <c r="D89" i="29"/>
  <c r="H89" i="29"/>
  <c r="L89" i="29"/>
  <c r="D90" i="29"/>
  <c r="H90" i="29"/>
  <c r="L90" i="29"/>
  <c r="D91" i="29"/>
  <c r="H91" i="29"/>
  <c r="L91" i="29"/>
  <c r="D95" i="29"/>
  <c r="H95" i="29"/>
  <c r="L95" i="29"/>
  <c r="D96" i="29"/>
  <c r="H96" i="29"/>
  <c r="L96" i="29"/>
  <c r="D97" i="29"/>
  <c r="H97" i="29"/>
  <c r="L97" i="29"/>
  <c r="D98" i="29"/>
  <c r="H98" i="29"/>
  <c r="L98" i="29"/>
  <c r="D99" i="29"/>
  <c r="H99" i="29"/>
  <c r="L99" i="29"/>
  <c r="D100" i="29"/>
  <c r="H100" i="29"/>
  <c r="L100" i="29"/>
  <c r="D101" i="29"/>
  <c r="H101" i="29"/>
  <c r="L101" i="29"/>
  <c r="D102" i="29"/>
  <c r="H102" i="29"/>
  <c r="L102" i="29"/>
  <c r="D103" i="29"/>
  <c r="H103" i="29"/>
  <c r="L103" i="29"/>
  <c r="D104" i="29"/>
  <c r="H104" i="29"/>
  <c r="L104" i="29"/>
  <c r="D105" i="29"/>
  <c r="H105" i="29"/>
  <c r="L105" i="29"/>
  <c r="D106" i="29"/>
  <c r="H106" i="29"/>
  <c r="L106" i="29"/>
  <c r="C14" i="31" l="1"/>
  <c r="C15" i="31"/>
  <c r="C10" i="31"/>
  <c r="C6" i="31"/>
  <c r="C13" i="31"/>
  <c r="C9" i="31"/>
  <c r="C5" i="31"/>
  <c r="C12" i="31"/>
  <c r="C8" i="31"/>
  <c r="C4" i="31"/>
  <c r="B3" i="31"/>
  <c r="C11" i="31"/>
  <c r="C7" i="31"/>
  <c r="J124" i="24" l="1"/>
  <c r="J127" i="24"/>
  <c r="J125" i="24"/>
  <c r="J126" i="24"/>
  <c r="B15" i="31"/>
  <c r="B13" i="31"/>
  <c r="B9" i="31"/>
  <c r="B5" i="31"/>
  <c r="B12" i="31"/>
  <c r="B8" i="31"/>
  <c r="B4" i="31"/>
  <c r="B11" i="31"/>
  <c r="B7" i="31"/>
  <c r="B14" i="31"/>
  <c r="B10" i="31"/>
  <c r="B6" i="31"/>
  <c r="I126" i="24" l="1"/>
  <c r="I125" i="24"/>
  <c r="I124" i="24"/>
  <c r="I127" i="24"/>
  <c r="K110" i="24"/>
  <c r="H110" i="24" s="1"/>
  <c r="K109" i="24"/>
  <c r="H124" i="24" l="1"/>
  <c r="H125" i="24"/>
  <c r="H126" i="24"/>
  <c r="H127" i="24"/>
  <c r="D110" i="24"/>
  <c r="C110" i="24"/>
  <c r="G110" i="24"/>
  <c r="B110" i="24"/>
  <c r="F110" i="24"/>
  <c r="J110" i="24"/>
  <c r="J109" i="24" s="1"/>
  <c r="J112" i="24" s="1"/>
  <c r="I110" i="24"/>
  <c r="E110" i="24"/>
  <c r="K105" i="24"/>
  <c r="G127" i="24" l="1"/>
  <c r="G125" i="24"/>
  <c r="G126" i="24"/>
  <c r="G124" i="24"/>
  <c r="I109" i="24"/>
  <c r="F126" i="24" l="1"/>
  <c r="F127" i="24"/>
  <c r="F125" i="24"/>
  <c r="F124" i="24"/>
  <c r="H109" i="24"/>
  <c r="E126" i="24" l="1"/>
  <c r="E127" i="24"/>
  <c r="E125" i="24"/>
  <c r="E124" i="24"/>
  <c r="G109" i="24"/>
  <c r="K72" i="24"/>
  <c r="K71" i="24"/>
  <c r="K70" i="24"/>
  <c r="K69" i="24"/>
  <c r="K68" i="24"/>
  <c r="K67" i="24"/>
  <c r="K66" i="24"/>
  <c r="K65" i="24"/>
  <c r="K64" i="24"/>
  <c r="K63" i="24"/>
  <c r="K62" i="24"/>
  <c r="K61" i="24"/>
  <c r="K60" i="24"/>
  <c r="J71" i="24" s="1"/>
  <c r="D124" i="24" l="1"/>
  <c r="D127" i="24"/>
  <c r="D126" i="24"/>
  <c r="D125" i="24"/>
  <c r="F109" i="24"/>
  <c r="J60" i="24"/>
  <c r="J62" i="24"/>
  <c r="J64" i="24"/>
  <c r="J66" i="24"/>
  <c r="J68" i="24"/>
  <c r="J70" i="24"/>
  <c r="J72" i="24"/>
  <c r="J61" i="24"/>
  <c r="J63" i="24"/>
  <c r="J65" i="24"/>
  <c r="J67" i="24"/>
  <c r="J69" i="24"/>
  <c r="K59" i="24"/>
  <c r="J59" i="24"/>
  <c r="C127" i="24" l="1"/>
  <c r="C125" i="24"/>
  <c r="C124" i="24"/>
  <c r="C126" i="24"/>
  <c r="I70" i="24"/>
  <c r="I66" i="24"/>
  <c r="I60" i="24"/>
  <c r="I72" i="24"/>
  <c r="I68" i="24"/>
  <c r="I64" i="24"/>
  <c r="I67" i="24"/>
  <c r="I63" i="24"/>
  <c r="I71" i="24"/>
  <c r="I69" i="24"/>
  <c r="I65" i="24"/>
  <c r="I61" i="24"/>
  <c r="I62" i="24"/>
  <c r="E109" i="24"/>
  <c r="I59" i="24"/>
  <c r="K55" i="24"/>
  <c r="B124" i="24" l="1"/>
  <c r="B127" i="24"/>
  <c r="B125" i="24"/>
  <c r="B126" i="24"/>
  <c r="D109" i="24"/>
  <c r="C109" i="24" s="1"/>
  <c r="B109" i="24" s="1"/>
  <c r="H72" i="24"/>
  <c r="H70" i="24"/>
  <c r="H68" i="24"/>
  <c r="H66" i="24"/>
  <c r="H64" i="24"/>
  <c r="H62" i="24"/>
  <c r="H60" i="24"/>
  <c r="H71" i="24"/>
  <c r="H69" i="24"/>
  <c r="H67" i="24"/>
  <c r="H65" i="24"/>
  <c r="H63" i="24"/>
  <c r="H61" i="24"/>
  <c r="H59" i="24"/>
  <c r="G71" i="24" l="1"/>
  <c r="G67" i="24"/>
  <c r="G61" i="24"/>
  <c r="G69" i="24"/>
  <c r="G65" i="24"/>
  <c r="G68" i="24"/>
  <c r="G64" i="24"/>
  <c r="G72" i="24"/>
  <c r="G70" i="24"/>
  <c r="G66" i="24"/>
  <c r="G62" i="24"/>
  <c r="G60" i="24"/>
  <c r="G63" i="24"/>
  <c r="G59" i="24"/>
  <c r="F71" i="24" l="1"/>
  <c r="F69" i="24"/>
  <c r="F67" i="24"/>
  <c r="F65" i="24"/>
  <c r="F63" i="24"/>
  <c r="F61" i="24"/>
  <c r="F72" i="24"/>
  <c r="F70" i="24"/>
  <c r="F68" i="24"/>
  <c r="F66" i="24"/>
  <c r="F64" i="24"/>
  <c r="F62" i="24"/>
  <c r="F60" i="24"/>
  <c r="F59" i="24"/>
  <c r="K54" i="24"/>
  <c r="K53" i="24"/>
  <c r="K52" i="24"/>
  <c r="K51" i="24"/>
  <c r="K50" i="24"/>
  <c r="K49" i="24"/>
  <c r="E70" i="24" l="1"/>
  <c r="E66" i="24"/>
  <c r="E60" i="24"/>
  <c r="E72" i="24"/>
  <c r="E68" i="24"/>
  <c r="E64" i="24"/>
  <c r="E67" i="24"/>
  <c r="E63" i="24"/>
  <c r="E71" i="24"/>
  <c r="E69" i="24"/>
  <c r="E65" i="24"/>
  <c r="E61" i="24"/>
  <c r="E62" i="24"/>
  <c r="E59" i="24"/>
  <c r="K48" i="24"/>
  <c r="K47" i="24"/>
  <c r="K46" i="24"/>
  <c r="K45" i="24"/>
  <c r="K44" i="24"/>
  <c r="K43" i="24"/>
  <c r="J42" i="24" s="1"/>
  <c r="K42" i="24"/>
  <c r="K34" i="24"/>
  <c r="K33" i="24"/>
  <c r="J55" i="24" l="1"/>
  <c r="J53" i="24"/>
  <c r="J51" i="24"/>
  <c r="J49" i="24"/>
  <c r="J54" i="24"/>
  <c r="J52" i="24"/>
  <c r="J50" i="24"/>
  <c r="J43" i="24"/>
  <c r="J45" i="24"/>
  <c r="J47" i="24"/>
  <c r="D72" i="24"/>
  <c r="D70" i="24"/>
  <c r="D68" i="24"/>
  <c r="D66" i="24"/>
  <c r="D64" i="24"/>
  <c r="D62" i="24"/>
  <c r="D60" i="24"/>
  <c r="D71" i="24"/>
  <c r="D69" i="24"/>
  <c r="D67" i="24"/>
  <c r="D65" i="24"/>
  <c r="D63" i="24"/>
  <c r="D61" i="24"/>
  <c r="D59" i="24"/>
  <c r="J44" i="24"/>
  <c r="J46" i="24"/>
  <c r="J48" i="24"/>
  <c r="K32" i="24"/>
  <c r="K31" i="24"/>
  <c r="K30" i="24"/>
  <c r="K29" i="24"/>
  <c r="K28" i="24"/>
  <c r="K27" i="24"/>
  <c r="K26" i="24"/>
  <c r="K25" i="24"/>
  <c r="K24" i="24"/>
  <c r="K23" i="24"/>
  <c r="K22" i="24"/>
  <c r="J31" i="24" s="1"/>
  <c r="K21" i="24"/>
  <c r="K17" i="24"/>
  <c r="K16" i="24"/>
  <c r="K15" i="24"/>
  <c r="K14" i="24"/>
  <c r="K13" i="24"/>
  <c r="K12" i="24"/>
  <c r="K11" i="24"/>
  <c r="K10" i="24"/>
  <c r="K9" i="24"/>
  <c r="K8" i="24"/>
  <c r="K7" i="24"/>
  <c r="K6" i="24"/>
  <c r="K5" i="24"/>
  <c r="J17" i="24" s="1"/>
  <c r="K4" i="24"/>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O56" i="9"/>
  <c r="AN56" i="9"/>
  <c r="AM56" i="9"/>
  <c r="AL56" i="9"/>
  <c r="AK56" i="9"/>
  <c r="AJ56" i="9"/>
  <c r="AI56" i="9"/>
  <c r="AH56" i="9"/>
  <c r="AG56" i="9"/>
  <c r="AF56" i="9"/>
  <c r="AE56" i="9"/>
  <c r="AD56" i="9"/>
  <c r="AC56" i="9"/>
  <c r="K99" i="24" l="1"/>
  <c r="C99" i="24"/>
  <c r="I99" i="24"/>
  <c r="J99" i="24"/>
  <c r="B99" i="24"/>
  <c r="E99" i="24"/>
  <c r="D99" i="24"/>
  <c r="K88" i="24"/>
  <c r="C88" i="24"/>
  <c r="J77" i="24"/>
  <c r="B77" i="24"/>
  <c r="J88" i="24"/>
  <c r="B88" i="24"/>
  <c r="I77" i="24"/>
  <c r="E77" i="24"/>
  <c r="I88" i="24"/>
  <c r="E88" i="24"/>
  <c r="D77" i="24"/>
  <c r="D88" i="24"/>
  <c r="K77" i="24"/>
  <c r="C77" i="24"/>
  <c r="J21" i="24"/>
  <c r="J27" i="24"/>
  <c r="J23" i="24"/>
  <c r="J25" i="24"/>
  <c r="C71" i="24"/>
  <c r="C67" i="24"/>
  <c r="C61" i="24"/>
  <c r="C69" i="24"/>
  <c r="C65" i="24"/>
  <c r="C68" i="24"/>
  <c r="C64" i="24"/>
  <c r="C72" i="24"/>
  <c r="C70" i="24"/>
  <c r="C66" i="24"/>
  <c r="C62" i="24"/>
  <c r="C60" i="24"/>
  <c r="C63" i="24"/>
  <c r="C59" i="24"/>
  <c r="J28" i="24"/>
  <c r="J30" i="24"/>
  <c r="J32" i="24"/>
  <c r="J4" i="24"/>
  <c r="J6" i="24"/>
  <c r="J8" i="24"/>
  <c r="J10" i="24"/>
  <c r="J12" i="24"/>
  <c r="J14" i="24"/>
  <c r="J16" i="24"/>
  <c r="J29" i="24"/>
  <c r="J34" i="24"/>
  <c r="J33" i="24"/>
  <c r="I43" i="24"/>
  <c r="I55" i="24"/>
  <c r="I51" i="24"/>
  <c r="I52" i="24"/>
  <c r="I54" i="24"/>
  <c r="I50" i="24"/>
  <c r="I53" i="24"/>
  <c r="I49" i="24"/>
  <c r="I42" i="24"/>
  <c r="I45" i="24"/>
  <c r="I47" i="24"/>
  <c r="I46" i="24"/>
  <c r="I48" i="24"/>
  <c r="I44" i="24"/>
  <c r="J5" i="24"/>
  <c r="J7" i="24"/>
  <c r="J9" i="24"/>
  <c r="J11" i="24"/>
  <c r="J13" i="24"/>
  <c r="J15" i="24"/>
  <c r="J22" i="24"/>
  <c r="J24" i="24"/>
  <c r="J26" i="24"/>
  <c r="A56" i="9"/>
  <c r="H77" i="24" s="1"/>
  <c r="H98" i="24" l="1"/>
  <c r="H76" i="24"/>
  <c r="H87" i="24"/>
  <c r="K98" i="24"/>
  <c r="K76" i="24"/>
  <c r="K87" i="24"/>
  <c r="I98" i="24"/>
  <c r="I87" i="24"/>
  <c r="I76" i="24"/>
  <c r="B76" i="24"/>
  <c r="B87" i="24"/>
  <c r="B98" i="24"/>
  <c r="C98" i="24"/>
  <c r="C76" i="24"/>
  <c r="C87" i="24"/>
  <c r="H88" i="24"/>
  <c r="J98" i="24"/>
  <c r="J76" i="24"/>
  <c r="J87" i="24"/>
  <c r="H99" i="24"/>
  <c r="D98" i="24"/>
  <c r="D76" i="24"/>
  <c r="D87" i="24"/>
  <c r="E98" i="24"/>
  <c r="E87" i="24"/>
  <c r="E76" i="24"/>
  <c r="I14" i="24"/>
  <c r="I10" i="24"/>
  <c r="I6" i="24"/>
  <c r="I4" i="24"/>
  <c r="I5" i="24"/>
  <c r="I16" i="24"/>
  <c r="I12" i="24"/>
  <c r="I8" i="24"/>
  <c r="I13" i="24"/>
  <c r="I9" i="24"/>
  <c r="I17" i="24"/>
  <c r="I15" i="24"/>
  <c r="I11" i="24"/>
  <c r="I7" i="24"/>
  <c r="I33" i="24"/>
  <c r="I34" i="24"/>
  <c r="I31" i="24"/>
  <c r="I29" i="24"/>
  <c r="I23" i="24"/>
  <c r="I21" i="24"/>
  <c r="I27" i="24"/>
  <c r="I25" i="24"/>
  <c r="I32" i="24"/>
  <c r="I30" i="24"/>
  <c r="I28" i="24"/>
  <c r="I26" i="24"/>
  <c r="I24" i="24"/>
  <c r="I22" i="24"/>
  <c r="H55" i="24"/>
  <c r="H54" i="24"/>
  <c r="H52" i="24"/>
  <c r="H50" i="24"/>
  <c r="H53" i="24"/>
  <c r="H51" i="24"/>
  <c r="H49" i="24"/>
  <c r="H47" i="24"/>
  <c r="H45" i="24"/>
  <c r="H48" i="24"/>
  <c r="H46" i="24"/>
  <c r="H44" i="24"/>
  <c r="H42" i="24"/>
  <c r="H43" i="24"/>
  <c r="B71" i="24"/>
  <c r="B69" i="24"/>
  <c r="B67" i="24"/>
  <c r="B65" i="24"/>
  <c r="B63" i="24"/>
  <c r="B61" i="24"/>
  <c r="B72" i="24"/>
  <c r="B70" i="24"/>
  <c r="B68" i="24"/>
  <c r="B66" i="24"/>
  <c r="B64" i="24"/>
  <c r="B62" i="24"/>
  <c r="B59" i="24"/>
  <c r="B60" i="24"/>
  <c r="A55" i="9"/>
  <c r="A54" i="9"/>
  <c r="AX52" i="9"/>
  <c r="AX53" i="9" s="1"/>
  <c r="AX54" i="9" s="1"/>
  <c r="AX55" i="9" s="1"/>
  <c r="AW52" i="9"/>
  <c r="AW53" i="9" s="1"/>
  <c r="AW54" i="9" s="1"/>
  <c r="AW55" i="9" s="1"/>
  <c r="AV52" i="9"/>
  <c r="AV53" i="9" s="1"/>
  <c r="AU52" i="9"/>
  <c r="AT52" i="9"/>
  <c r="AS52" i="9"/>
  <c r="AR52" i="9"/>
  <c r="AR53" i="9" s="1"/>
  <c r="AR54" i="9" s="1"/>
  <c r="AQ52" i="9"/>
  <c r="AQ53" i="9" s="1"/>
  <c r="AQ54" i="9" l="1"/>
  <c r="AR55" i="9"/>
  <c r="AU53" i="9"/>
  <c r="AV54" i="9"/>
  <c r="AV55" i="9" s="1"/>
  <c r="F88" i="24"/>
  <c r="F77" i="24"/>
  <c r="F99" i="24"/>
  <c r="G77" i="24"/>
  <c r="G99" i="24"/>
  <c r="G88" i="24"/>
  <c r="E102" i="24"/>
  <c r="E90" i="24"/>
  <c r="E89" i="24"/>
  <c r="E101" i="24"/>
  <c r="E81" i="24"/>
  <c r="E82" i="24"/>
  <c r="E104" i="24"/>
  <c r="E100" i="24"/>
  <c r="E79" i="24"/>
  <c r="E80" i="24"/>
  <c r="E103" i="24"/>
  <c r="E92" i="24"/>
  <c r="E91" i="24"/>
  <c r="E78" i="24"/>
  <c r="D92" i="24"/>
  <c r="D79" i="24"/>
  <c r="D102" i="24"/>
  <c r="D80" i="24"/>
  <c r="D82" i="24"/>
  <c r="D101" i="24"/>
  <c r="D91" i="24"/>
  <c r="D78" i="24"/>
  <c r="D89" i="24"/>
  <c r="D81" i="24"/>
  <c r="D104" i="24"/>
  <c r="D100" i="24"/>
  <c r="D90" i="24"/>
  <c r="D103" i="24"/>
  <c r="J78" i="24"/>
  <c r="J79" i="24"/>
  <c r="J80" i="24"/>
  <c r="J92" i="24"/>
  <c r="J91" i="24"/>
  <c r="J90" i="24"/>
  <c r="J89" i="24"/>
  <c r="J81" i="24"/>
  <c r="J82" i="24"/>
  <c r="C78" i="24"/>
  <c r="C81" i="24"/>
  <c r="C92" i="24"/>
  <c r="C103" i="24"/>
  <c r="C80" i="24"/>
  <c r="C100" i="24"/>
  <c r="C82" i="24"/>
  <c r="C79" i="24"/>
  <c r="C90" i="24"/>
  <c r="C102" i="24"/>
  <c r="C91" i="24"/>
  <c r="C104" i="24"/>
  <c r="C101" i="24"/>
  <c r="C89" i="24"/>
  <c r="B104" i="24"/>
  <c r="B100" i="24"/>
  <c r="B90" i="24"/>
  <c r="B82" i="24"/>
  <c r="B103" i="24"/>
  <c r="B78" i="24"/>
  <c r="B81" i="24"/>
  <c r="B80" i="24"/>
  <c r="B102" i="24"/>
  <c r="B79" i="24"/>
  <c r="K78" i="24" s="1"/>
  <c r="B91" i="24"/>
  <c r="B101" i="24"/>
  <c r="B92" i="24"/>
  <c r="B89" i="24"/>
  <c r="H92" i="24"/>
  <c r="H90" i="24"/>
  <c r="H103" i="24"/>
  <c r="H78" i="24"/>
  <c r="H89" i="24"/>
  <c r="H79" i="24"/>
  <c r="H102" i="24"/>
  <c r="H80" i="24"/>
  <c r="H101" i="24"/>
  <c r="H82" i="24"/>
  <c r="H91" i="24"/>
  <c r="H81" i="24"/>
  <c r="H104" i="24"/>
  <c r="H100" i="24"/>
  <c r="I104" i="24"/>
  <c r="I100" i="24"/>
  <c r="I79" i="24"/>
  <c r="I80" i="24"/>
  <c r="I103" i="24"/>
  <c r="I92" i="24"/>
  <c r="I91" i="24"/>
  <c r="I78" i="24"/>
  <c r="I102" i="24"/>
  <c r="I90" i="24"/>
  <c r="I89" i="24"/>
  <c r="I101" i="24"/>
  <c r="I81" i="24"/>
  <c r="I82" i="24"/>
  <c r="K91" i="24"/>
  <c r="K89" i="24"/>
  <c r="K92" i="24"/>
  <c r="K82" i="24"/>
  <c r="K79" i="24"/>
  <c r="K90" i="24"/>
  <c r="K81" i="24"/>
  <c r="K80" i="24"/>
  <c r="H16" i="24"/>
  <c r="H14" i="24"/>
  <c r="H12" i="24"/>
  <c r="H10" i="24"/>
  <c r="H8" i="24"/>
  <c r="H6" i="24"/>
  <c r="H4" i="24"/>
  <c r="H17" i="24"/>
  <c r="H15" i="24"/>
  <c r="H13" i="24"/>
  <c r="H11" i="24"/>
  <c r="H9" i="24"/>
  <c r="H7" i="24"/>
  <c r="H5" i="24"/>
  <c r="G55" i="24"/>
  <c r="G52" i="24"/>
  <c r="G53" i="24"/>
  <c r="G51" i="24"/>
  <c r="G54" i="24"/>
  <c r="G50" i="24"/>
  <c r="G49" i="24"/>
  <c r="G43" i="24"/>
  <c r="G46" i="24"/>
  <c r="G48" i="24"/>
  <c r="G42" i="24"/>
  <c r="G47" i="24"/>
  <c r="G45" i="24"/>
  <c r="G44" i="24"/>
  <c r="H33" i="24"/>
  <c r="H34" i="24"/>
  <c r="H27" i="24"/>
  <c r="H25" i="24"/>
  <c r="H23" i="24"/>
  <c r="H21" i="24"/>
  <c r="H32" i="24"/>
  <c r="H30" i="24"/>
  <c r="H28" i="24"/>
  <c r="H26" i="24"/>
  <c r="H24" i="24"/>
  <c r="H22" i="24"/>
  <c r="H31" i="24"/>
  <c r="H29" i="24"/>
  <c r="AP52" i="9"/>
  <c r="AP53" i="9" s="1"/>
  <c r="AY52" i="9" s="1"/>
  <c r="AY53" i="9" s="1"/>
  <c r="AY54" i="9" s="1"/>
  <c r="AY55" i="9" s="1"/>
  <c r="AY51" i="9"/>
  <c r="AN18" i="9"/>
  <c r="AM18" i="9"/>
  <c r="AL18" i="9"/>
  <c r="AK18" i="9"/>
  <c r="AJ18" i="9"/>
  <c r="AF18" i="9"/>
  <c r="AE18" i="9"/>
  <c r="AD18" i="9"/>
  <c r="AC18" i="9"/>
  <c r="AB18" i="9"/>
  <c r="AN17" i="9"/>
  <c r="AM17" i="9"/>
  <c r="AL17" i="9"/>
  <c r="AK17" i="9"/>
  <c r="AJ17" i="9"/>
  <c r="AF17" i="9"/>
  <c r="AE17" i="9"/>
  <c r="AD17" i="9"/>
  <c r="AC17" i="9"/>
  <c r="AB17" i="9"/>
  <c r="E83" i="24" l="1"/>
  <c r="I83" i="24"/>
  <c r="H105" i="24"/>
  <c r="I105" i="24"/>
  <c r="H83" i="24"/>
  <c r="K83" i="24"/>
  <c r="B83" i="24"/>
  <c r="B105" i="24"/>
  <c r="C83" i="24"/>
  <c r="J83" i="24"/>
  <c r="AT53" i="9"/>
  <c r="AU54" i="9"/>
  <c r="AU55" i="9" s="1"/>
  <c r="E105" i="24"/>
  <c r="F98" i="24"/>
  <c r="F87" i="24"/>
  <c r="F76" i="24"/>
  <c r="AQ55" i="9"/>
  <c r="C105" i="24"/>
  <c r="AP54" i="9"/>
  <c r="D105" i="24"/>
  <c r="D83" i="24"/>
  <c r="G98" i="24"/>
  <c r="G87" i="24"/>
  <c r="G76" i="24"/>
  <c r="F55" i="24"/>
  <c r="F53" i="24"/>
  <c r="F51" i="24"/>
  <c r="F49" i="24"/>
  <c r="F54" i="24"/>
  <c r="F52" i="24"/>
  <c r="F50" i="24"/>
  <c r="F48" i="24"/>
  <c r="F46" i="24"/>
  <c r="F44" i="24"/>
  <c r="F47" i="24"/>
  <c r="F45" i="24"/>
  <c r="F43" i="24"/>
  <c r="F42" i="24"/>
  <c r="G15" i="24"/>
  <c r="G11" i="24"/>
  <c r="G7" i="24"/>
  <c r="G5" i="24"/>
  <c r="G6" i="24"/>
  <c r="G4" i="24"/>
  <c r="G17" i="24"/>
  <c r="G13" i="24"/>
  <c r="G9" i="24"/>
  <c r="G14" i="24"/>
  <c r="G10" i="24"/>
  <c r="G16" i="24"/>
  <c r="G12" i="24"/>
  <c r="G8" i="24"/>
  <c r="G34" i="24"/>
  <c r="G33" i="24"/>
  <c r="G32" i="24"/>
  <c r="G30" i="24"/>
  <c r="G28" i="24"/>
  <c r="G24" i="24"/>
  <c r="G22" i="24"/>
  <c r="G26" i="24"/>
  <c r="G31" i="24"/>
  <c r="G29" i="24"/>
  <c r="G27" i="24"/>
  <c r="G25" i="24"/>
  <c r="G23" i="24"/>
  <c r="G21" i="24"/>
  <c r="AN16" i="9"/>
  <c r="AM16" i="9"/>
  <c r="AL16" i="9"/>
  <c r="AK16" i="9"/>
  <c r="AJ16" i="9"/>
  <c r="AF16" i="9"/>
  <c r="AE16" i="9"/>
  <c r="AD16" i="9"/>
  <c r="AC16" i="9"/>
  <c r="AB16" i="9"/>
  <c r="AV15" i="9"/>
  <c r="AU15" i="9"/>
  <c r="AT15" i="9"/>
  <c r="AS53" i="9" l="1"/>
  <c r="AS54" i="9" s="1"/>
  <c r="AS55" i="9" s="1"/>
  <c r="AT54" i="9"/>
  <c r="AT55" i="9" s="1"/>
  <c r="AP55" i="9"/>
  <c r="G92" i="24"/>
  <c r="G102" i="24"/>
  <c r="G82" i="24"/>
  <c r="G78" i="24"/>
  <c r="G89" i="24"/>
  <c r="G81" i="24"/>
  <c r="G101" i="24"/>
  <c r="G80" i="24"/>
  <c r="G103" i="24"/>
  <c r="G79" i="24"/>
  <c r="G90" i="24"/>
  <c r="G104" i="24"/>
  <c r="G100" i="24"/>
  <c r="G91" i="24"/>
  <c r="F104" i="24"/>
  <c r="F100" i="24"/>
  <c r="F81" i="24"/>
  <c r="F82" i="24"/>
  <c r="F103" i="24"/>
  <c r="F78" i="24"/>
  <c r="F79" i="24"/>
  <c r="F80" i="24"/>
  <c r="F102" i="24"/>
  <c r="F92" i="24"/>
  <c r="F91" i="24"/>
  <c r="F101" i="24"/>
  <c r="F90" i="24"/>
  <c r="F89" i="24"/>
  <c r="E55" i="24"/>
  <c r="E51" i="24"/>
  <c r="E52" i="24"/>
  <c r="E54" i="24"/>
  <c r="E50" i="24"/>
  <c r="E53" i="24"/>
  <c r="E49" i="24"/>
  <c r="E42" i="24"/>
  <c r="E45" i="24"/>
  <c r="E47" i="24"/>
  <c r="E43" i="24"/>
  <c r="E46" i="24"/>
  <c r="E48" i="24"/>
  <c r="E44" i="24"/>
  <c r="F17" i="24"/>
  <c r="F15" i="24"/>
  <c r="F13" i="24"/>
  <c r="F11" i="24"/>
  <c r="F9" i="24"/>
  <c r="F7" i="24"/>
  <c r="F5" i="24"/>
  <c r="F16" i="24"/>
  <c r="F14" i="24"/>
  <c r="F12" i="24"/>
  <c r="F10" i="24"/>
  <c r="F8" i="24"/>
  <c r="F6" i="24"/>
  <c r="F4" i="24"/>
  <c r="F34" i="24"/>
  <c r="F33" i="24"/>
  <c r="F26" i="24"/>
  <c r="F24" i="24"/>
  <c r="F22" i="24"/>
  <c r="F31" i="24"/>
  <c r="F29" i="24"/>
  <c r="F27" i="24"/>
  <c r="F25" i="24"/>
  <c r="F23" i="24"/>
  <c r="F21" i="24"/>
  <c r="F32" i="24"/>
  <c r="F30" i="24"/>
  <c r="F28" i="24"/>
  <c r="AS15" i="9"/>
  <c r="AR15" i="9"/>
  <c r="AN15" i="9"/>
  <c r="AM15" i="9"/>
  <c r="AL15" i="9"/>
  <c r="AK15" i="9"/>
  <c r="AJ15" i="9"/>
  <c r="AF15" i="9"/>
  <c r="AE15" i="9"/>
  <c r="AD15" i="9"/>
  <c r="AC15" i="9"/>
  <c r="AB15" i="9"/>
  <c r="AV14" i="9"/>
  <c r="AU14" i="9"/>
  <c r="AT14" i="9"/>
  <c r="AS14" i="9" s="1"/>
  <c r="AR14" i="9"/>
  <c r="AN14" i="9"/>
  <c r="AM14" i="9"/>
  <c r="AL14" i="9"/>
  <c r="AK14" i="9"/>
  <c r="AJ14" i="9"/>
  <c r="AF14" i="9"/>
  <c r="AE14" i="9"/>
  <c r="AD14" i="9"/>
  <c r="AC14" i="9"/>
  <c r="AB14" i="9"/>
  <c r="AV13" i="9"/>
  <c r="AU13" i="9"/>
  <c r="AT13" i="9" s="1"/>
  <c r="AS13" i="9"/>
  <c r="AR13" i="9"/>
  <c r="AN13" i="9"/>
  <c r="AM13" i="9"/>
  <c r="AL13" i="9"/>
  <c r="AK13" i="9"/>
  <c r="AJ13" i="9"/>
  <c r="AF13" i="9"/>
  <c r="AE13" i="9"/>
  <c r="AD13" i="9"/>
  <c r="AC13" i="9"/>
  <c r="AB13" i="9"/>
  <c r="AV12" i="9"/>
  <c r="AU12" i="9"/>
  <c r="AT12" i="9"/>
  <c r="AS12" i="9"/>
  <c r="AR12" i="9"/>
  <c r="AN12" i="9"/>
  <c r="AM12" i="9"/>
  <c r="AL12" i="9"/>
  <c r="AK12" i="9"/>
  <c r="AJ12" i="9"/>
  <c r="AF12" i="9"/>
  <c r="AE12" i="9"/>
  <c r="AD12" i="9"/>
  <c r="AC12" i="9"/>
  <c r="AB12" i="9"/>
  <c r="AV11" i="9"/>
  <c r="AU11" i="9" s="1"/>
  <c r="AT11" i="9"/>
  <c r="AS11" i="9"/>
  <c r="AR11" i="9"/>
  <c r="AN11" i="9"/>
  <c r="AM11" i="9"/>
  <c r="AL11" i="9"/>
  <c r="AK11" i="9"/>
  <c r="AJ11" i="9"/>
  <c r="AF11" i="9"/>
  <c r="AE11" i="9"/>
  <c r="AD11" i="9"/>
  <c r="AC11" i="9"/>
  <c r="AB11" i="9"/>
  <c r="H11" i="9"/>
  <c r="G11" i="9"/>
  <c r="F11" i="9"/>
  <c r="E11" i="9"/>
  <c r="D11" i="9"/>
  <c r="AV10" i="9"/>
  <c r="AU10" i="9"/>
  <c r="AT10" i="9"/>
  <c r="AN10" i="9"/>
  <c r="AM10" i="9"/>
  <c r="AL10" i="9"/>
  <c r="AK10" i="9"/>
  <c r="AJ10" i="9"/>
  <c r="AF10" i="9"/>
  <c r="AE10" i="9"/>
  <c r="AD10" i="9"/>
  <c r="AC10" i="9"/>
  <c r="AB10" i="9"/>
  <c r="H10" i="9"/>
  <c r="G10" i="9"/>
  <c r="F10" i="9"/>
  <c r="E10" i="9"/>
  <c r="D10" i="9"/>
  <c r="AV9" i="9"/>
  <c r="AU9" i="9"/>
  <c r="AT9" i="9" s="1"/>
  <c r="AS9" i="9"/>
  <c r="AR9" i="9"/>
  <c r="AN9" i="9"/>
  <c r="AM9" i="9"/>
  <c r="AL9" i="9"/>
  <c r="AK9" i="9"/>
  <c r="AJ9" i="9"/>
  <c r="AF9" i="9"/>
  <c r="AE9" i="9"/>
  <c r="AD9" i="9"/>
  <c r="AC9" i="9"/>
  <c r="AB9" i="9"/>
  <c r="X9" i="9"/>
  <c r="W9" i="9"/>
  <c r="V9" i="9"/>
  <c r="U9" i="9"/>
  <c r="T9" i="9"/>
  <c r="P9" i="9"/>
  <c r="O9" i="9"/>
  <c r="N9" i="9"/>
  <c r="M9" i="9"/>
  <c r="L9" i="9"/>
  <c r="H9" i="9"/>
  <c r="G9" i="9"/>
  <c r="F9" i="9"/>
  <c r="E9" i="9"/>
  <c r="D9" i="9"/>
  <c r="AV8" i="9"/>
  <c r="AU8" i="9"/>
  <c r="AT8" i="9"/>
  <c r="AS8" i="9" s="1"/>
  <c r="AR8" i="9" s="1"/>
  <c r="AN8" i="9"/>
  <c r="AM8" i="9"/>
  <c r="AL8" i="9"/>
  <c r="AK8" i="9"/>
  <c r="AJ8" i="9"/>
  <c r="AF8" i="9"/>
  <c r="AE8" i="9"/>
  <c r="AD8" i="9"/>
  <c r="AC8" i="9"/>
  <c r="AB8" i="9"/>
  <c r="X8" i="9"/>
  <c r="W8" i="9"/>
  <c r="V8" i="9"/>
  <c r="U8" i="9"/>
  <c r="T8" i="9"/>
  <c r="P8" i="9"/>
  <c r="O8" i="9"/>
  <c r="N8" i="9"/>
  <c r="M8" i="9"/>
  <c r="L8" i="9"/>
  <c r="H8" i="9"/>
  <c r="G8" i="9"/>
  <c r="F8" i="9"/>
  <c r="E8" i="9"/>
  <c r="D8" i="9"/>
  <c r="AV7" i="9"/>
  <c r="AU7" i="9"/>
  <c r="AT7" i="9"/>
  <c r="AS7" i="9"/>
  <c r="AR7" i="9"/>
  <c r="AN7" i="9"/>
  <c r="AM7" i="9"/>
  <c r="AL7" i="9"/>
  <c r="AK7" i="9"/>
  <c r="AJ7" i="9"/>
  <c r="AF7" i="9"/>
  <c r="AE7" i="9"/>
  <c r="AD7" i="9"/>
  <c r="AC7" i="9"/>
  <c r="AB7" i="9"/>
  <c r="X7" i="9"/>
  <c r="W7" i="9"/>
  <c r="V7" i="9"/>
  <c r="U7" i="9"/>
  <c r="T7" i="9"/>
  <c r="P7" i="9"/>
  <c r="O7" i="9"/>
  <c r="N7" i="9"/>
  <c r="M7" i="9"/>
  <c r="L7" i="9"/>
  <c r="H7" i="9"/>
  <c r="G7" i="9"/>
  <c r="F7" i="9"/>
  <c r="E7" i="9"/>
  <c r="D7" i="9"/>
  <c r="AV6" i="9"/>
  <c r="AV16" i="9" s="1"/>
  <c r="AU6" i="9"/>
  <c r="AU16" i="9" s="1"/>
  <c r="AT6" i="9"/>
  <c r="AS6" i="9"/>
  <c r="AR6" i="9"/>
  <c r="AN6" i="9"/>
  <c r="AN19" i="9" s="1"/>
  <c r="AM6" i="9"/>
  <c r="AM19" i="9" s="1"/>
  <c r="AL6" i="9"/>
  <c r="AL19" i="9" s="1"/>
  <c r="AK6" i="9"/>
  <c r="AK19" i="9" s="1"/>
  <c r="AJ6" i="9"/>
  <c r="AF6" i="9"/>
  <c r="AF19" i="9" s="1"/>
  <c r="AE6" i="9"/>
  <c r="AE19" i="9" s="1"/>
  <c r="AD6" i="9"/>
  <c r="AD19" i="9" s="1"/>
  <c r="AC6" i="9"/>
  <c r="AC19" i="9" s="1"/>
  <c r="AB6" i="9"/>
  <c r="X6" i="9"/>
  <c r="X10" i="9" s="1"/>
  <c r="W6" i="9"/>
  <c r="W10" i="9" s="1"/>
  <c r="V6" i="9"/>
  <c r="V10" i="9" s="1"/>
  <c r="U6" i="9"/>
  <c r="U10" i="9" s="1"/>
  <c r="T6" i="9"/>
  <c r="P6" i="9"/>
  <c r="P10" i="9" s="1"/>
  <c r="O6" i="9"/>
  <c r="O10" i="9" s="1"/>
  <c r="N6" i="9"/>
  <c r="N10" i="9" s="1"/>
  <c r="M6" i="9"/>
  <c r="M10" i="9" s="1"/>
  <c r="L6" i="9"/>
  <c r="H6" i="9"/>
  <c r="H12" i="9" s="1"/>
  <c r="G6" i="9"/>
  <c r="G12" i="9" s="1"/>
  <c r="F6" i="9"/>
  <c r="F12" i="9" s="1"/>
  <c r="E6" i="9"/>
  <c r="E12" i="9" s="1"/>
  <c r="G105" i="24" l="1"/>
  <c r="AT16" i="9"/>
  <c r="AR10" i="9"/>
  <c r="AR16" i="9" s="1"/>
  <c r="AS10" i="9"/>
  <c r="AS16" i="9" s="1"/>
  <c r="F83" i="24"/>
  <c r="F105" i="24"/>
  <c r="G83" i="24"/>
  <c r="AJ19" i="9"/>
  <c r="E14" i="24"/>
  <c r="E10" i="24"/>
  <c r="E6" i="24"/>
  <c r="E4" i="24"/>
  <c r="E5" i="24"/>
  <c r="E16" i="24"/>
  <c r="E12" i="24"/>
  <c r="E8" i="24"/>
  <c r="E13" i="24"/>
  <c r="E9" i="24"/>
  <c r="E17" i="24"/>
  <c r="E15" i="24"/>
  <c r="E11" i="24"/>
  <c r="E7" i="24"/>
  <c r="AB19" i="9"/>
  <c r="D55" i="24"/>
  <c r="D54" i="24"/>
  <c r="D52" i="24"/>
  <c r="D50" i="24"/>
  <c r="D53" i="24"/>
  <c r="D51" i="24"/>
  <c r="D49" i="24"/>
  <c r="D47" i="24"/>
  <c r="D45" i="24"/>
  <c r="D48" i="24"/>
  <c r="D46" i="24"/>
  <c r="D44" i="24"/>
  <c r="D42" i="24"/>
  <c r="D43" i="24"/>
  <c r="E34" i="24"/>
  <c r="E33" i="24"/>
  <c r="E31" i="24"/>
  <c r="E29" i="24"/>
  <c r="E23" i="24"/>
  <c r="E21" i="24"/>
  <c r="E27" i="24"/>
  <c r="E25" i="24"/>
  <c r="E32" i="24"/>
  <c r="E30" i="24"/>
  <c r="E28" i="24"/>
  <c r="E26" i="24"/>
  <c r="E24" i="24"/>
  <c r="E22" i="24"/>
  <c r="L10" i="9"/>
  <c r="T10" i="9"/>
  <c r="D6" i="9"/>
  <c r="D12" i="9" s="1"/>
  <c r="AV5" i="9"/>
  <c r="AU5" i="9" s="1"/>
  <c r="AT5" i="9" s="1"/>
  <c r="AN5" i="9"/>
  <c r="AM5" i="9"/>
  <c r="AL5" i="9"/>
  <c r="AL4" i="9" s="1"/>
  <c r="AK5" i="9"/>
  <c r="AF5" i="9"/>
  <c r="AE5" i="9"/>
  <c r="AD5" i="9"/>
  <c r="AD4" i="9" s="1"/>
  <c r="AC5" i="9"/>
  <c r="X5" i="9"/>
  <c r="W5" i="9"/>
  <c r="V5" i="9"/>
  <c r="V4" i="9" s="1"/>
  <c r="U5" i="9"/>
  <c r="P5" i="9"/>
  <c r="O4" i="9" s="1"/>
  <c r="O5" i="9"/>
  <c r="N5" i="9"/>
  <c r="M4" i="9" s="1"/>
  <c r="M5" i="9"/>
  <c r="H5" i="9"/>
  <c r="G4" i="9" s="1"/>
  <c r="G5" i="9"/>
  <c r="F5" i="9"/>
  <c r="E4" i="9" s="1"/>
  <c r="E5" i="9"/>
  <c r="AV4" i="9"/>
  <c r="AU4" i="9"/>
  <c r="AR4" i="9"/>
  <c r="AN4" i="9"/>
  <c r="AJ4" i="9"/>
  <c r="AF4" i="9"/>
  <c r="AB4" i="9"/>
  <c r="X4" i="9"/>
  <c r="W4" i="9"/>
  <c r="T4" i="9"/>
  <c r="P4" i="9"/>
  <c r="N4" i="9"/>
  <c r="L4" i="9"/>
  <c r="H4" i="9"/>
  <c r="F4" i="9"/>
  <c r="D4" i="9"/>
  <c r="A111" i="6"/>
  <c r="A110" i="6" s="1"/>
  <c r="A109" i="6" s="1"/>
  <c r="AX109" i="6"/>
  <c r="AW109" i="6"/>
  <c r="AV109" i="6"/>
  <c r="AU109" i="6"/>
  <c r="AT109" i="6"/>
  <c r="AS109" i="6"/>
  <c r="AE109" i="6"/>
  <c r="AE108" i="6"/>
  <c r="AE107" i="6"/>
  <c r="AE106" i="6"/>
  <c r="AB109" i="6" l="1"/>
  <c r="AR109" i="6" s="1"/>
  <c r="B108" i="6"/>
  <c r="AX108" i="6" s="1"/>
  <c r="A108" i="6"/>
  <c r="AK4" i="9"/>
  <c r="AE4" i="9"/>
  <c r="AM4" i="9"/>
  <c r="U4" i="9"/>
  <c r="AC4" i="9"/>
  <c r="AS5" i="9"/>
  <c r="AS4" i="9" s="1"/>
  <c r="AT4" i="9"/>
  <c r="Q108" i="6"/>
  <c r="Y108" i="6" s="1"/>
  <c r="A107" i="6"/>
  <c r="AB107" i="6" s="1"/>
  <c r="AP107" i="6" s="1"/>
  <c r="AO107" i="6" s="1"/>
  <c r="AB108" i="6"/>
  <c r="AO108" i="6" s="1"/>
  <c r="M108" i="6"/>
  <c r="G108" i="6"/>
  <c r="D108" i="6"/>
  <c r="AM108" i="6"/>
  <c r="C108" i="6"/>
  <c r="K108" i="6"/>
  <c r="H108" i="6"/>
  <c r="C55" i="24"/>
  <c r="C52" i="24"/>
  <c r="C53" i="24"/>
  <c r="C51" i="24"/>
  <c r="C54" i="24"/>
  <c r="C50" i="24"/>
  <c r="C49" i="24"/>
  <c r="C43" i="24"/>
  <c r="C46" i="24"/>
  <c r="C48" i="24"/>
  <c r="C42" i="24"/>
  <c r="C47" i="24"/>
  <c r="C45" i="24"/>
  <c r="C44" i="24"/>
  <c r="D16" i="24"/>
  <c r="D14" i="24"/>
  <c r="D12" i="24"/>
  <c r="D10" i="24"/>
  <c r="D8" i="24"/>
  <c r="D6" i="24"/>
  <c r="D4" i="24"/>
  <c r="D17" i="24"/>
  <c r="D15" i="24"/>
  <c r="D13" i="24"/>
  <c r="D11" i="24"/>
  <c r="D9" i="24"/>
  <c r="D7" i="24"/>
  <c r="D5" i="24"/>
  <c r="AL107" i="6"/>
  <c r="E108" i="6"/>
  <c r="I108" i="6"/>
  <c r="AS108" i="6"/>
  <c r="AW108" i="6"/>
  <c r="AC109" i="6"/>
  <c r="AI109" i="6"/>
  <c r="AH109" i="6" s="1"/>
  <c r="AM109" i="6"/>
  <c r="AQ109" i="6"/>
  <c r="AV108" i="6"/>
  <c r="AG109" i="6"/>
  <c r="AL109" i="6"/>
  <c r="AP109" i="6"/>
  <c r="D34" i="24"/>
  <c r="D27" i="24"/>
  <c r="D25" i="24"/>
  <c r="D23" i="24"/>
  <c r="D21" i="24"/>
  <c r="D32" i="24"/>
  <c r="D28" i="24"/>
  <c r="D26" i="24"/>
  <c r="D24" i="24"/>
  <c r="D22" i="24"/>
  <c r="D33" i="24"/>
  <c r="D31" i="24"/>
  <c r="AU108" i="6"/>
  <c r="AF109" i="6"/>
  <c r="AK109" i="6"/>
  <c r="AO109" i="6"/>
  <c r="AG107" i="6"/>
  <c r="AK107" i="6"/>
  <c r="F108" i="6"/>
  <c r="J108" i="6"/>
  <c r="AT108" i="6"/>
  <c r="AJ109" i="6"/>
  <c r="AN109" i="6"/>
  <c r="Q106" i="6"/>
  <c r="X106" i="6" s="1"/>
  <c r="B106" i="6"/>
  <c r="K106" i="6" s="1"/>
  <c r="A106" i="6"/>
  <c r="AB106" i="6" s="1"/>
  <c r="AK106" i="6" s="1"/>
  <c r="AE105" i="6"/>
  <c r="Q107" i="6" l="1"/>
  <c r="B107" i="6"/>
  <c r="AP108" i="6"/>
  <c r="AA108" i="6"/>
  <c r="U108" i="6"/>
  <c r="W108" i="6"/>
  <c r="AH108" i="6"/>
  <c r="AK108" i="6"/>
  <c r="AG108" i="6"/>
  <c r="AR108" i="6"/>
  <c r="AM107" i="6"/>
  <c r="AC108" i="6"/>
  <c r="AN108" i="6"/>
  <c r="X108" i="6"/>
  <c r="AI107" i="6"/>
  <c r="AN107" i="6"/>
  <c r="AQ107" i="6"/>
  <c r="AR107" i="6"/>
  <c r="AH107" i="6"/>
  <c r="AF107" i="6"/>
  <c r="AJ108" i="6"/>
  <c r="AQ108" i="6"/>
  <c r="AI108" i="6"/>
  <c r="R108" i="6"/>
  <c r="T108" i="6"/>
  <c r="AF108" i="6"/>
  <c r="AC107" i="6"/>
  <c r="AJ107" i="6"/>
  <c r="Z108" i="6"/>
  <c r="S108" i="6"/>
  <c r="AL108" i="6"/>
  <c r="V108" i="6"/>
  <c r="AF106" i="6"/>
  <c r="AP106" i="6"/>
  <c r="AQ106" i="6"/>
  <c r="AR106" i="6"/>
  <c r="AL106" i="6"/>
  <c r="AI106" i="6"/>
  <c r="AN106" i="6"/>
  <c r="AH106" i="6"/>
  <c r="AG106" i="6" s="1"/>
  <c r="AM106" i="6"/>
  <c r="AC106" i="6"/>
  <c r="AJ106" i="6"/>
  <c r="AO106" i="6"/>
  <c r="D106" i="6"/>
  <c r="H106" i="6"/>
  <c r="M106" i="6"/>
  <c r="S106" i="6"/>
  <c r="W106" i="6"/>
  <c r="AA106" i="6"/>
  <c r="C106" i="6"/>
  <c r="G106" i="6"/>
  <c r="R106" i="6"/>
  <c r="V106" i="6"/>
  <c r="Z106" i="6"/>
  <c r="U106" i="6"/>
  <c r="Y106" i="6"/>
  <c r="AS106" i="6"/>
  <c r="AV106" i="6"/>
  <c r="AW106" i="6"/>
  <c r="AX106" i="6"/>
  <c r="AT106" i="6"/>
  <c r="AU106" i="6"/>
  <c r="F106" i="6"/>
  <c r="J106" i="6"/>
  <c r="E106" i="6"/>
  <c r="I106" i="6"/>
  <c r="T106" i="6"/>
  <c r="C34" i="24"/>
  <c r="C32" i="24"/>
  <c r="C30" i="24"/>
  <c r="C28" i="24"/>
  <c r="C24" i="24"/>
  <c r="C22" i="24"/>
  <c r="C26" i="24"/>
  <c r="C33" i="24"/>
  <c r="C31" i="24"/>
  <c r="C29" i="24"/>
  <c r="C27" i="24"/>
  <c r="C25" i="24"/>
  <c r="C23" i="24"/>
  <c r="C21" i="24"/>
  <c r="C15" i="24"/>
  <c r="C11" i="24"/>
  <c r="C7" i="24"/>
  <c r="C5" i="24"/>
  <c r="C6" i="24"/>
  <c r="C4" i="24"/>
  <c r="C17" i="24"/>
  <c r="C13" i="24"/>
  <c r="C9" i="24"/>
  <c r="C14" i="24"/>
  <c r="C10" i="24"/>
  <c r="C16" i="24"/>
  <c r="C12" i="24"/>
  <c r="C8" i="24"/>
  <c r="B55" i="24"/>
  <c r="B53" i="24"/>
  <c r="B51" i="24"/>
  <c r="B49" i="24"/>
  <c r="B54" i="24"/>
  <c r="B52" i="24"/>
  <c r="B50" i="24"/>
  <c r="B48" i="24"/>
  <c r="B46" i="24"/>
  <c r="B44" i="24"/>
  <c r="B47" i="24"/>
  <c r="B45" i="24"/>
  <c r="B43" i="24"/>
  <c r="B42" i="24"/>
  <c r="Q105" i="6"/>
  <c r="Z105" i="6" s="1"/>
  <c r="B105" i="6"/>
  <c r="K105" i="6" s="1"/>
  <c r="A105" i="6"/>
  <c r="AB105" i="6" s="1"/>
  <c r="AO105" i="6" s="1"/>
  <c r="AE104" i="6"/>
  <c r="AU107" i="6" l="1"/>
  <c r="AV107" i="6"/>
  <c r="M107" i="6"/>
  <c r="H107" i="6"/>
  <c r="D107" i="6"/>
  <c r="AT107" i="6"/>
  <c r="E107" i="6"/>
  <c r="K107" i="6"/>
  <c r="C107" i="6"/>
  <c r="F107" i="6"/>
  <c r="AS107" i="6"/>
  <c r="AX107" i="6"/>
  <c r="I107" i="6"/>
  <c r="G107" i="6"/>
  <c r="AW107" i="6"/>
  <c r="J107" i="6"/>
  <c r="Y107" i="6"/>
  <c r="AA107" i="6"/>
  <c r="U107" i="6"/>
  <c r="T107" i="6"/>
  <c r="S107" i="6"/>
  <c r="Z107" i="6"/>
  <c r="X107" i="6"/>
  <c r="R107" i="6"/>
  <c r="V107" i="6"/>
  <c r="W107" i="6"/>
  <c r="AH105" i="6"/>
  <c r="AN105" i="6"/>
  <c r="AR105" i="6"/>
  <c r="AF105" i="6"/>
  <c r="AK105" i="6"/>
  <c r="AP105" i="6"/>
  <c r="AJ105" i="6"/>
  <c r="AQ105" i="6"/>
  <c r="AG105" i="6"/>
  <c r="AL105" i="6"/>
  <c r="AM105" i="6"/>
  <c r="AI105" i="6"/>
  <c r="B17" i="24"/>
  <c r="B15" i="24"/>
  <c r="B13" i="24"/>
  <c r="B11" i="24"/>
  <c r="B9" i="24"/>
  <c r="B7" i="24"/>
  <c r="B5" i="24"/>
  <c r="B16" i="24"/>
  <c r="B14" i="24"/>
  <c r="B12" i="24"/>
  <c r="B10" i="24"/>
  <c r="B8" i="24"/>
  <c r="B6" i="24"/>
  <c r="B4" i="24"/>
  <c r="B34" i="24"/>
  <c r="B26" i="24"/>
  <c r="B24" i="24"/>
  <c r="B22" i="24"/>
  <c r="B33" i="24"/>
  <c r="B31" i="24"/>
  <c r="B29" i="24"/>
  <c r="B27" i="24"/>
  <c r="B25" i="24"/>
  <c r="B23" i="24"/>
  <c r="B21" i="24"/>
  <c r="B32" i="24"/>
  <c r="B30" i="24"/>
  <c r="B28" i="24"/>
  <c r="U105" i="6"/>
  <c r="Y105" i="6"/>
  <c r="E105" i="6"/>
  <c r="I105" i="6"/>
  <c r="T105" i="6"/>
  <c r="X105" i="6"/>
  <c r="D105" i="6"/>
  <c r="H105" i="6"/>
  <c r="M105" i="6"/>
  <c r="S105" i="6"/>
  <c r="W105" i="6"/>
  <c r="AA105" i="6"/>
  <c r="C105" i="6"/>
  <c r="G105" i="6"/>
  <c r="R105" i="6"/>
  <c r="V105" i="6"/>
  <c r="AV105" i="6"/>
  <c r="AU105" i="6"/>
  <c r="AW105" i="6"/>
  <c r="AS105" i="6"/>
  <c r="AX105" i="6"/>
  <c r="AT105" i="6"/>
  <c r="F105" i="6"/>
  <c r="J105" i="6"/>
  <c r="Q104" i="6"/>
  <c r="AA104" i="6" s="1"/>
  <c r="B104" i="6"/>
  <c r="A104" i="6"/>
  <c r="AB104" i="6" s="1"/>
  <c r="AO104" i="6" s="1"/>
  <c r="AE103" i="6"/>
  <c r="AG104" i="6" l="1"/>
  <c r="AJ104" i="6"/>
  <c r="AP104" i="6"/>
  <c r="AM104" i="6"/>
  <c r="AH104" i="6"/>
  <c r="AF104" i="6"/>
  <c r="AL104" i="6"/>
  <c r="AI104" i="6"/>
  <c r="AR104" i="6"/>
  <c r="AK104" i="6"/>
  <c r="AN104" i="6"/>
  <c r="AQ104" i="6"/>
  <c r="E104" i="6"/>
  <c r="I104" i="6"/>
  <c r="T104" i="6"/>
  <c r="X104" i="6"/>
  <c r="AW104" i="6"/>
  <c r="AS104" i="6"/>
  <c r="AV104" i="6"/>
  <c r="AX104" i="6"/>
  <c r="AT104" i="6"/>
  <c r="AU104" i="6"/>
  <c r="F104" i="6"/>
  <c r="J104" i="6"/>
  <c r="D104" i="6"/>
  <c r="H104" i="6"/>
  <c r="M104" i="6"/>
  <c r="S104" i="6"/>
  <c r="W104" i="6"/>
  <c r="C104" i="6"/>
  <c r="G104" i="6"/>
  <c r="K104" i="6"/>
  <c r="R104" i="6"/>
  <c r="V104" i="6"/>
  <c r="Z104" i="6"/>
  <c r="U104" i="6"/>
  <c r="Y104" i="6"/>
  <c r="Q103" i="6"/>
  <c r="AA103" i="6" s="1"/>
  <c r="B103" i="6"/>
  <c r="K103" i="6" s="1"/>
  <c r="A103" i="6"/>
  <c r="AB103" i="6" s="1"/>
  <c r="AO103" i="6" s="1"/>
  <c r="AE102" i="6"/>
  <c r="AQ103" i="6" l="1"/>
  <c r="AG103" i="6"/>
  <c r="AP103" i="6"/>
  <c r="AK103" i="6"/>
  <c r="AN103" i="6"/>
  <c r="AJ103" i="6"/>
  <c r="AI103" i="6"/>
  <c r="AR103" i="6"/>
  <c r="AH103" i="6"/>
  <c r="AF103" i="6"/>
  <c r="AC103" i="6"/>
  <c r="AM103" i="6"/>
  <c r="AL103" i="6" s="1"/>
  <c r="U103" i="6"/>
  <c r="Y103" i="6"/>
  <c r="E103" i="6"/>
  <c r="I103" i="6"/>
  <c r="T103" i="6"/>
  <c r="X103" i="6"/>
  <c r="C103" i="6"/>
  <c r="G103" i="6"/>
  <c r="R103" i="6"/>
  <c r="V103" i="6"/>
  <c r="Z103" i="6"/>
  <c r="AV103" i="6"/>
  <c r="AW103" i="6"/>
  <c r="AS103" i="6"/>
  <c r="AX103" i="6"/>
  <c r="AT103" i="6"/>
  <c r="AU103" i="6"/>
  <c r="F103" i="6"/>
  <c r="J103" i="6"/>
  <c r="D103" i="6"/>
  <c r="H103" i="6"/>
  <c r="M103" i="6"/>
  <c r="S103" i="6"/>
  <c r="W103" i="6"/>
  <c r="Q102" i="6"/>
  <c r="Z102" i="6" s="1"/>
  <c r="B102" i="6"/>
  <c r="A102" i="6"/>
  <c r="AB102" i="6" s="1"/>
  <c r="AO102" i="6" s="1"/>
  <c r="AE101" i="6"/>
  <c r="AK102" i="6" l="1"/>
  <c r="AI102" i="6"/>
  <c r="AF102" i="6"/>
  <c r="AH102" i="6"/>
  <c r="AG102" i="6"/>
  <c r="AC102" i="6"/>
  <c r="AR102" i="6"/>
  <c r="AQ102" i="6" s="1"/>
  <c r="AN102" i="6"/>
  <c r="AP102" i="6"/>
  <c r="AM102" i="6"/>
  <c r="AJ102" i="6"/>
  <c r="AL102" i="6"/>
  <c r="AX102" i="6"/>
  <c r="AT102" i="6"/>
  <c r="AV102" i="6"/>
  <c r="AW102" i="6"/>
  <c r="AS102" i="6"/>
  <c r="AU102" i="6"/>
  <c r="F102" i="6"/>
  <c r="J102" i="6"/>
  <c r="U102" i="6"/>
  <c r="Y102" i="6"/>
  <c r="E102" i="6"/>
  <c r="I102" i="6"/>
  <c r="T102" i="6"/>
  <c r="X102" i="6"/>
  <c r="D102" i="6"/>
  <c r="H102" i="6"/>
  <c r="S102" i="6"/>
  <c r="W102" i="6"/>
  <c r="AA102" i="6"/>
  <c r="C102" i="6"/>
  <c r="G102" i="6"/>
  <c r="K102" i="6"/>
  <c r="R102" i="6"/>
  <c r="V102" i="6"/>
  <c r="Q101" i="6"/>
  <c r="X101" i="6" s="1"/>
  <c r="B101" i="6"/>
  <c r="K101" i="6" s="1"/>
  <c r="A101" i="6"/>
  <c r="AB101" i="6" s="1"/>
  <c r="AO101" i="6" s="1"/>
  <c r="AE100" i="6"/>
  <c r="AF101" i="6" l="1"/>
  <c r="AL101" i="6"/>
  <c r="AM101" i="6"/>
  <c r="AH101" i="6"/>
  <c r="AG101" i="6" s="1"/>
  <c r="AI101" i="6"/>
  <c r="AR101" i="6"/>
  <c r="AC101" i="6"/>
  <c r="AN101" i="6"/>
  <c r="AK101" i="6"/>
  <c r="AP101" i="6"/>
  <c r="AQ101" i="6"/>
  <c r="AJ101" i="6"/>
  <c r="D101" i="6"/>
  <c r="H101" i="6"/>
  <c r="S101" i="6"/>
  <c r="W101" i="6"/>
  <c r="AA101" i="6"/>
  <c r="C101" i="6"/>
  <c r="G101" i="6"/>
  <c r="R101" i="6"/>
  <c r="V101" i="6"/>
  <c r="Z101" i="6"/>
  <c r="U101" i="6"/>
  <c r="Y101" i="6"/>
  <c r="AW101" i="6"/>
  <c r="AS101" i="6"/>
  <c r="AT101" i="6"/>
  <c r="AU101" i="6"/>
  <c r="AX101" i="6"/>
  <c r="AV101" i="6"/>
  <c r="J101" i="6"/>
  <c r="I101" i="6"/>
  <c r="T101" i="6"/>
  <c r="F101" i="6"/>
  <c r="E101" i="6"/>
  <c r="Q100" i="6"/>
  <c r="Z100" i="6" s="1"/>
  <c r="B100" i="6"/>
  <c r="A100" i="6"/>
  <c r="AB100" i="6" s="1"/>
  <c r="AM100" i="6" s="1"/>
  <c r="AE99" i="6"/>
  <c r="AN100" i="6" l="1"/>
  <c r="AC100" i="6"/>
  <c r="AI100" i="6"/>
  <c r="AQ100" i="6"/>
  <c r="AO100" i="6"/>
  <c r="AH100" i="6"/>
  <c r="AJ100" i="6"/>
  <c r="AP100" i="6"/>
  <c r="AR100" i="6"/>
  <c r="AF100" i="6"/>
  <c r="AL100" i="6"/>
  <c r="AK100" i="6" s="1"/>
  <c r="AG100" i="6"/>
  <c r="U100" i="6"/>
  <c r="Y100" i="6"/>
  <c r="D100" i="6"/>
  <c r="H100" i="6"/>
  <c r="S100" i="6"/>
  <c r="W100" i="6"/>
  <c r="AA100" i="6"/>
  <c r="AV100" i="6"/>
  <c r="AU100" i="6"/>
  <c r="AW100" i="6"/>
  <c r="AS100" i="6"/>
  <c r="AX100" i="6"/>
  <c r="AT100" i="6"/>
  <c r="F100" i="6"/>
  <c r="J100" i="6"/>
  <c r="E100" i="6"/>
  <c r="I100" i="6"/>
  <c r="T100" i="6"/>
  <c r="X100" i="6"/>
  <c r="C100" i="6"/>
  <c r="G100" i="6"/>
  <c r="K100" i="6"/>
  <c r="R100" i="6"/>
  <c r="V100" i="6"/>
  <c r="Q99" i="6"/>
  <c r="Z99" i="6" s="1"/>
  <c r="B99" i="6"/>
  <c r="A99" i="6"/>
  <c r="AB99" i="6" s="1"/>
  <c r="AO99" i="6" s="1"/>
  <c r="AE98" i="6"/>
  <c r="AK99" i="6" l="1"/>
  <c r="AP99" i="6"/>
  <c r="AQ99" i="6"/>
  <c r="AG99" i="6"/>
  <c r="AL99" i="6"/>
  <c r="AM99" i="6"/>
  <c r="AI99" i="6"/>
  <c r="AH99" i="6"/>
  <c r="AN99" i="6"/>
  <c r="AR99" i="6"/>
  <c r="AF99" i="6"/>
  <c r="AJ99" i="6"/>
  <c r="AW99" i="6"/>
  <c r="AS99" i="6"/>
  <c r="AU99" i="6"/>
  <c r="AX99" i="6"/>
  <c r="AT99" i="6"/>
  <c r="AV99" i="6"/>
  <c r="F99" i="6"/>
  <c r="J99" i="6"/>
  <c r="D99" i="6"/>
  <c r="H99" i="6"/>
  <c r="S99" i="6"/>
  <c r="W99" i="6"/>
  <c r="AA99" i="6"/>
  <c r="U99" i="6"/>
  <c r="Y99" i="6"/>
  <c r="E99" i="6"/>
  <c r="I99" i="6"/>
  <c r="T99" i="6"/>
  <c r="X99" i="6"/>
  <c r="C99" i="6"/>
  <c r="G99" i="6"/>
  <c r="K99" i="6"/>
  <c r="R99" i="6"/>
  <c r="V99" i="6"/>
  <c r="Q98" i="6"/>
  <c r="AA98" i="6" s="1"/>
  <c r="B98" i="6"/>
  <c r="K98" i="6" s="1"/>
  <c r="A98" i="6"/>
  <c r="AB98" i="6" s="1"/>
  <c r="AO98" i="6" s="1"/>
  <c r="AE97" i="6"/>
  <c r="AQ98" i="6" l="1"/>
  <c r="AK98" i="6"/>
  <c r="AL98" i="6"/>
  <c r="AJ98" i="6"/>
  <c r="AI98" i="6" s="1"/>
  <c r="AP98" i="6"/>
  <c r="AN98" i="6"/>
  <c r="AM98" i="6"/>
  <c r="AF98" i="6"/>
  <c r="AH98" i="6"/>
  <c r="AG98" i="6"/>
  <c r="AC98" i="6"/>
  <c r="AR98" i="6"/>
  <c r="H98" i="6"/>
  <c r="C98" i="6"/>
  <c r="G98" i="6"/>
  <c r="R98" i="6"/>
  <c r="V98" i="6"/>
  <c r="Z98" i="6"/>
  <c r="U98" i="6"/>
  <c r="Y98" i="6"/>
  <c r="AW98" i="6"/>
  <c r="AS98" i="6"/>
  <c r="AU98" i="6"/>
  <c r="AX98" i="6"/>
  <c r="AT98" i="6"/>
  <c r="AV98" i="6"/>
  <c r="F98" i="6"/>
  <c r="J98" i="6"/>
  <c r="E98" i="6"/>
  <c r="I98" i="6"/>
  <c r="T98" i="6"/>
  <c r="X98" i="6"/>
  <c r="D98" i="6"/>
  <c r="S98" i="6"/>
  <c r="W98" i="6"/>
  <c r="Q97" i="6"/>
  <c r="X97" i="6" s="1"/>
  <c r="B97" i="6"/>
  <c r="K97" i="6" s="1"/>
  <c r="A97" i="6"/>
  <c r="AB97" i="6" s="1"/>
  <c r="AO97" i="6" s="1"/>
  <c r="AE96" i="6"/>
  <c r="AG97" i="6" l="1"/>
  <c r="AH97" i="6"/>
  <c r="AM97" i="6"/>
  <c r="AC97" i="6"/>
  <c r="AN97" i="6"/>
  <c r="AK97" i="6"/>
  <c r="AQ97" i="6"/>
  <c r="AP97" i="6" s="1"/>
  <c r="AJ97" i="6"/>
  <c r="AR97" i="6"/>
  <c r="AL97" i="6"/>
  <c r="AF97" i="6"/>
  <c r="AI97" i="6"/>
  <c r="AA97" i="6"/>
  <c r="H97" i="6"/>
  <c r="W97" i="6"/>
  <c r="D97" i="6"/>
  <c r="S97" i="6"/>
  <c r="C97" i="6"/>
  <c r="G97" i="6"/>
  <c r="R97" i="6"/>
  <c r="V97" i="6"/>
  <c r="Z97" i="6"/>
  <c r="AX97" i="6"/>
  <c r="AU97" i="6"/>
  <c r="AV97" i="6"/>
  <c r="AW97" i="6"/>
  <c r="AS97" i="6"/>
  <c r="AT97" i="6"/>
  <c r="F97" i="6"/>
  <c r="J97" i="6"/>
  <c r="U97" i="6"/>
  <c r="Y97" i="6"/>
  <c r="E97" i="6"/>
  <c r="I97" i="6"/>
  <c r="T97" i="6"/>
  <c r="Q96" i="6"/>
  <c r="Z96" i="6" s="1"/>
  <c r="B96" i="6"/>
  <c r="K96" i="6" s="1"/>
  <c r="A96" i="6"/>
  <c r="AB96" i="6" s="1"/>
  <c r="AQ96" i="6" s="1"/>
  <c r="AE95" i="6"/>
  <c r="AI96" i="6" l="1"/>
  <c r="AN96" i="6"/>
  <c r="AP96" i="6"/>
  <c r="AR96" i="6"/>
  <c r="AJ96" i="6"/>
  <c r="AO96" i="6"/>
  <c r="AH96" i="6"/>
  <c r="AF96" i="6"/>
  <c r="AK96" i="6"/>
  <c r="AM96" i="6"/>
  <c r="AL96" i="6"/>
  <c r="AG96" i="6"/>
  <c r="U96" i="6"/>
  <c r="Y96" i="6"/>
  <c r="E96" i="6"/>
  <c r="I96" i="6"/>
  <c r="T96" i="6"/>
  <c r="X96" i="6"/>
  <c r="D96" i="6"/>
  <c r="H96" i="6"/>
  <c r="M96" i="6"/>
  <c r="S96" i="6"/>
  <c r="W96" i="6"/>
  <c r="AA96" i="6"/>
  <c r="C96" i="6"/>
  <c r="G96" i="6"/>
  <c r="R96" i="6"/>
  <c r="V96" i="6"/>
  <c r="AU96" i="6"/>
  <c r="AT96" i="6"/>
  <c r="AV96" i="6"/>
  <c r="AW96" i="6"/>
  <c r="AS96" i="6"/>
  <c r="AX96" i="6"/>
  <c r="F96" i="6"/>
  <c r="J96" i="6"/>
  <c r="Q95" i="6"/>
  <c r="AA95" i="6" s="1"/>
  <c r="B95" i="6"/>
  <c r="K95" i="6" s="1"/>
  <c r="A95" i="6"/>
  <c r="AB95" i="6" s="1"/>
  <c r="AN95" i="6" s="1"/>
  <c r="AE94" i="6"/>
  <c r="AF95" i="6" l="1"/>
  <c r="AK95" i="6"/>
  <c r="AL95" i="6"/>
  <c r="AG95" i="6"/>
  <c r="AH95" i="6"/>
  <c r="AI95" i="6"/>
  <c r="AC95" i="6"/>
  <c r="AM95" i="6"/>
  <c r="AJ95" i="6"/>
  <c r="AO95" i="6"/>
  <c r="AP95" i="6"/>
  <c r="AQ95" i="6"/>
  <c r="U95" i="6"/>
  <c r="Y95" i="6"/>
  <c r="E95" i="6"/>
  <c r="I95" i="6"/>
  <c r="T95" i="6"/>
  <c r="X95" i="6"/>
  <c r="C95" i="6"/>
  <c r="G95" i="6"/>
  <c r="R95" i="6"/>
  <c r="V95" i="6"/>
  <c r="Z95" i="6"/>
  <c r="AW95" i="6"/>
  <c r="AS95" i="6"/>
  <c r="AR95" i="6" s="1"/>
  <c r="AX95" i="6"/>
  <c r="AT95" i="6"/>
  <c r="AV95" i="6"/>
  <c r="AU95" i="6"/>
  <c r="J95" i="6"/>
  <c r="F95" i="6"/>
  <c r="D95" i="6"/>
  <c r="H95" i="6"/>
  <c r="M95" i="6"/>
  <c r="S95" i="6"/>
  <c r="W95" i="6"/>
  <c r="Q94" i="6"/>
  <c r="AA94" i="6" s="1"/>
  <c r="B94" i="6"/>
  <c r="K94" i="6" s="1"/>
  <c r="A94" i="6"/>
  <c r="AB94" i="6" s="1"/>
  <c r="AP94" i="6" s="1"/>
  <c r="AE93" i="6"/>
  <c r="AB93" i="6"/>
  <c r="AO93" i="6" s="1"/>
  <c r="Q93" i="6"/>
  <c r="Y93" i="6" s="1"/>
  <c r="B93" i="6"/>
  <c r="AX93" i="6" s="1"/>
  <c r="A93" i="6"/>
  <c r="AE92" i="6"/>
  <c r="AB92" i="6"/>
  <c r="AR92" i="6" s="1"/>
  <c r="Q92" i="6"/>
  <c r="AA92" i="6" s="1"/>
  <c r="B92" i="6"/>
  <c r="AU92" i="6" s="1"/>
  <c r="A92" i="6"/>
  <c r="AE91" i="6"/>
  <c r="AL94" i="6" l="1"/>
  <c r="AN94" i="6"/>
  <c r="AG94" i="6"/>
  <c r="AF94" i="6" s="1"/>
  <c r="AI94" i="6"/>
  <c r="AH94" i="6"/>
  <c r="AJ94" i="6"/>
  <c r="AC94" i="6"/>
  <c r="AO94" i="6"/>
  <c r="AQ94" i="6"/>
  <c r="AR94" i="6"/>
  <c r="AK94" i="6"/>
  <c r="AM94" i="6"/>
  <c r="R93" i="6"/>
  <c r="AG92" i="6"/>
  <c r="AO92" i="6"/>
  <c r="Z92" i="6"/>
  <c r="AL92" i="6"/>
  <c r="AI92" i="6"/>
  <c r="AP92" i="6"/>
  <c r="E93" i="6"/>
  <c r="S93" i="6"/>
  <c r="X93" i="6"/>
  <c r="K92" i="6"/>
  <c r="G92" i="6"/>
  <c r="V92" i="6"/>
  <c r="C92" i="6"/>
  <c r="R92" i="6"/>
  <c r="AC92" i="6"/>
  <c r="AK92" i="6"/>
  <c r="AQ92" i="6"/>
  <c r="K93" i="6"/>
  <c r="W93" i="6"/>
  <c r="AH92" i="6"/>
  <c r="AM92" i="6"/>
  <c r="AT92" i="6"/>
  <c r="C93" i="6"/>
  <c r="H93" i="6"/>
  <c r="T93" i="6"/>
  <c r="Z93" i="6"/>
  <c r="AF93" i="6"/>
  <c r="AN93" i="6"/>
  <c r="AW93" i="6"/>
  <c r="G93" i="6"/>
  <c r="M93" i="6"/>
  <c r="AM93" i="6"/>
  <c r="AV93" i="6"/>
  <c r="AJ93" i="6"/>
  <c r="AS93" i="6"/>
  <c r="AR93" i="6" s="1"/>
  <c r="AX92" i="6"/>
  <c r="D93" i="6"/>
  <c r="I93" i="6"/>
  <c r="V93" i="6"/>
  <c r="AA93" i="6"/>
  <c r="AI93" i="6"/>
  <c r="AQ93" i="6"/>
  <c r="C94" i="6"/>
  <c r="G94" i="6"/>
  <c r="R94" i="6"/>
  <c r="V94" i="6"/>
  <c r="Z94" i="6"/>
  <c r="AX94" i="6"/>
  <c r="AT94" i="6"/>
  <c r="AV94" i="6"/>
  <c r="AW94" i="6"/>
  <c r="AS94" i="6"/>
  <c r="AU94" i="6"/>
  <c r="F92" i="6"/>
  <c r="J92" i="6"/>
  <c r="F94" i="6"/>
  <c r="J94" i="6"/>
  <c r="U94" i="6"/>
  <c r="Y94" i="6"/>
  <c r="U92" i="6"/>
  <c r="Y92" i="6"/>
  <c r="AS92" i="6"/>
  <c r="AW92" i="6"/>
  <c r="E92" i="6"/>
  <c r="I92" i="6"/>
  <c r="T92" i="6"/>
  <c r="X92" i="6"/>
  <c r="AF92" i="6"/>
  <c r="AJ92" i="6"/>
  <c r="AN92" i="6"/>
  <c r="AV92" i="6"/>
  <c r="F93" i="6"/>
  <c r="J93" i="6"/>
  <c r="U93" i="6"/>
  <c r="AC93" i="6"/>
  <c r="AH93" i="6"/>
  <c r="AL93" i="6"/>
  <c r="AP93" i="6"/>
  <c r="AU93" i="6"/>
  <c r="E94" i="6"/>
  <c r="I94" i="6"/>
  <c r="T94" i="6"/>
  <c r="X94" i="6"/>
  <c r="D92" i="6"/>
  <c r="H92" i="6"/>
  <c r="M92" i="6"/>
  <c r="S92" i="6"/>
  <c r="W92" i="6"/>
  <c r="AG93" i="6"/>
  <c r="AK93" i="6"/>
  <c r="AT93" i="6"/>
  <c r="D94" i="6"/>
  <c r="H94" i="6"/>
  <c r="M94" i="6"/>
  <c r="S94" i="6"/>
  <c r="W94" i="6"/>
  <c r="B91" i="6"/>
  <c r="K91" i="6" s="1"/>
  <c r="A91" i="6"/>
  <c r="AB91" i="6" s="1"/>
  <c r="AP91" i="6" s="1"/>
  <c r="AE90" i="6"/>
  <c r="AG91" i="6" l="1"/>
  <c r="AH91" i="6"/>
  <c r="AO91" i="6"/>
  <c r="AK91" i="6"/>
  <c r="AJ91" i="6"/>
  <c r="AI91" i="6" s="1"/>
  <c r="AR91" i="6"/>
  <c r="AC91" i="6"/>
  <c r="AM91" i="6"/>
  <c r="AL91" i="6"/>
  <c r="AN91" i="6"/>
  <c r="AQ91" i="6"/>
  <c r="AF91" i="6"/>
  <c r="C91" i="6"/>
  <c r="G91" i="6"/>
  <c r="AX91" i="6"/>
  <c r="AS91" i="6"/>
  <c r="AW91" i="6"/>
  <c r="AU91" i="6"/>
  <c r="AT91" i="6" s="1"/>
  <c r="AV91" i="6"/>
  <c r="F91" i="6"/>
  <c r="J91" i="6"/>
  <c r="E91" i="6"/>
  <c r="I91" i="6"/>
  <c r="D91" i="6"/>
  <c r="H91" i="6"/>
  <c r="M91" i="6"/>
  <c r="Q90" i="6"/>
  <c r="Z90" i="6" s="1"/>
  <c r="B90" i="6"/>
  <c r="K90" i="6" s="1"/>
  <c r="A90" i="6"/>
  <c r="AB90" i="6" s="1"/>
  <c r="AP90" i="6" s="1"/>
  <c r="AE89" i="6"/>
  <c r="AL90" i="6" l="1"/>
  <c r="AF90" i="6"/>
  <c r="AO90" i="6"/>
  <c r="AH90" i="6"/>
  <c r="AR90" i="6"/>
  <c r="AJ90" i="6"/>
  <c r="AQ90" i="6"/>
  <c r="AM90" i="6"/>
  <c r="AN90" i="6"/>
  <c r="AK90" i="6"/>
  <c r="AG90" i="6"/>
  <c r="AI90" i="6"/>
  <c r="U90" i="6"/>
  <c r="Y90" i="6"/>
  <c r="E90" i="6"/>
  <c r="I90" i="6"/>
  <c r="T90" i="6"/>
  <c r="X90" i="6"/>
  <c r="D90" i="6"/>
  <c r="H90" i="6"/>
  <c r="S90" i="6"/>
  <c r="W90" i="6"/>
  <c r="AA90" i="6"/>
  <c r="C90" i="6"/>
  <c r="G90" i="6"/>
  <c r="R90" i="6"/>
  <c r="V90" i="6"/>
  <c r="AX90" i="6"/>
  <c r="AT90" i="6"/>
  <c r="AU90" i="6"/>
  <c r="AV90" i="6"/>
  <c r="AW90" i="6"/>
  <c r="AS90" i="6"/>
  <c r="F90" i="6"/>
  <c r="J90" i="6"/>
  <c r="Q89" i="6"/>
  <c r="Z89" i="6" s="1"/>
  <c r="B89" i="6"/>
  <c r="A89" i="6"/>
  <c r="AB89" i="6" s="1"/>
  <c r="AR89" i="6" s="1"/>
  <c r="AE88" i="6"/>
  <c r="AJ89" i="6" l="1"/>
  <c r="AM89" i="6"/>
  <c r="AG89" i="6"/>
  <c r="AF89" i="6"/>
  <c r="AH89" i="6"/>
  <c r="AI89" i="6"/>
  <c r="AL89" i="6"/>
  <c r="AO89" i="6"/>
  <c r="AN89" i="6"/>
  <c r="AK89" i="6"/>
  <c r="AP89" i="6"/>
  <c r="AQ89" i="6"/>
  <c r="AV89" i="6"/>
  <c r="AW89" i="6"/>
  <c r="AS89" i="6"/>
  <c r="AX89" i="6"/>
  <c r="AT89" i="6"/>
  <c r="AU89" i="6"/>
  <c r="F89" i="6"/>
  <c r="J89" i="6"/>
  <c r="U89" i="6"/>
  <c r="Y89" i="6"/>
  <c r="E89" i="6"/>
  <c r="I89" i="6"/>
  <c r="T89" i="6"/>
  <c r="X89" i="6"/>
  <c r="D89" i="6"/>
  <c r="H89" i="6"/>
  <c r="S89" i="6"/>
  <c r="W89" i="6"/>
  <c r="AA89" i="6"/>
  <c r="C89" i="6"/>
  <c r="G89" i="6"/>
  <c r="K89" i="6"/>
  <c r="R89" i="6"/>
  <c r="V89" i="6"/>
  <c r="Q88" i="6"/>
  <c r="Z88" i="6" s="1"/>
  <c r="B88" i="6"/>
  <c r="A88" i="6"/>
  <c r="AB88" i="6" s="1"/>
  <c r="AP88" i="6" s="1"/>
  <c r="AO88" i="6" s="1"/>
  <c r="AE87" i="6"/>
  <c r="AC88" i="6" l="1"/>
  <c r="AH88" i="6"/>
  <c r="AK88" i="6"/>
  <c r="AQ88" i="6"/>
  <c r="AR88" i="6"/>
  <c r="AG88" i="6"/>
  <c r="AN88" i="6"/>
  <c r="AJ88" i="6"/>
  <c r="AL88" i="6"/>
  <c r="AI88" i="6"/>
  <c r="AM88" i="6"/>
  <c r="AF88" i="6"/>
  <c r="U88" i="6"/>
  <c r="Y88" i="6"/>
  <c r="AW88" i="6"/>
  <c r="AS88" i="6"/>
  <c r="AX88" i="6"/>
  <c r="AT88" i="6"/>
  <c r="AU88" i="6"/>
  <c r="AV88" i="6"/>
  <c r="F88" i="6"/>
  <c r="D88" i="6"/>
  <c r="H88" i="6"/>
  <c r="S88" i="6"/>
  <c r="W88" i="6"/>
  <c r="AA88" i="6"/>
  <c r="J88" i="6"/>
  <c r="E88" i="6"/>
  <c r="I88" i="6"/>
  <c r="T88" i="6"/>
  <c r="X88" i="6"/>
  <c r="C88" i="6"/>
  <c r="G88" i="6"/>
  <c r="K88" i="6"/>
  <c r="R88" i="6"/>
  <c r="V88" i="6"/>
  <c r="Q87" i="6"/>
  <c r="X87" i="6" s="1"/>
  <c r="B87" i="6"/>
  <c r="J87" i="6" s="1"/>
  <c r="A87" i="6"/>
  <c r="AB87" i="6" s="1"/>
  <c r="AO87" i="6" s="1"/>
  <c r="AE86" i="6"/>
  <c r="AQ87" i="6" l="1"/>
  <c r="AG87" i="6"/>
  <c r="AP87" i="6"/>
  <c r="AM87" i="6"/>
  <c r="AI87" i="6"/>
  <c r="AL87" i="6"/>
  <c r="AN87" i="6"/>
  <c r="AR87" i="6"/>
  <c r="AK87" i="6"/>
  <c r="AH87" i="6"/>
  <c r="AF87" i="6"/>
  <c r="AJ87" i="6"/>
  <c r="U87" i="6"/>
  <c r="Y87" i="6"/>
  <c r="D87" i="6"/>
  <c r="H87" i="6"/>
  <c r="S87" i="6"/>
  <c r="W87" i="6"/>
  <c r="AA87" i="6"/>
  <c r="C87" i="6"/>
  <c r="G87" i="6"/>
  <c r="K87" i="6"/>
  <c r="R87" i="6"/>
  <c r="V87" i="6"/>
  <c r="Z87" i="6"/>
  <c r="AW87" i="6"/>
  <c r="AS87" i="6"/>
  <c r="AU87" i="6"/>
  <c r="AV87" i="6"/>
  <c r="AX87" i="6"/>
  <c r="AT87" i="6"/>
  <c r="F87" i="6"/>
  <c r="E87" i="6"/>
  <c r="I87" i="6"/>
  <c r="T87" i="6"/>
  <c r="Q86" i="6"/>
  <c r="Y86" i="6" s="1"/>
  <c r="B86" i="6"/>
  <c r="A86" i="6"/>
  <c r="AB86" i="6" s="1"/>
  <c r="AQ86" i="6" s="1"/>
  <c r="AE85" i="6"/>
  <c r="AG86" i="6" l="1"/>
  <c r="AR86" i="6"/>
  <c r="AN86" i="6"/>
  <c r="AO86" i="6"/>
  <c r="AC86" i="6"/>
  <c r="AH86" i="6"/>
  <c r="AJ86" i="6"/>
  <c r="AI86" i="6" s="1"/>
  <c r="AK86" i="6"/>
  <c r="AP86" i="6"/>
  <c r="AM86" i="6"/>
  <c r="AF86" i="6"/>
  <c r="AL86" i="6"/>
  <c r="AU86" i="6"/>
  <c r="AV86" i="6"/>
  <c r="AW86" i="6"/>
  <c r="AS86" i="6"/>
  <c r="AX86" i="6"/>
  <c r="AT86" i="6"/>
  <c r="F86" i="6"/>
  <c r="J86" i="6"/>
  <c r="I86" i="6"/>
  <c r="T86" i="6"/>
  <c r="X86" i="6"/>
  <c r="E86" i="6"/>
  <c r="D86" i="6"/>
  <c r="H86" i="6"/>
  <c r="S86" i="6"/>
  <c r="W86" i="6"/>
  <c r="AA86" i="6"/>
  <c r="C86" i="6"/>
  <c r="G86" i="6"/>
  <c r="K86" i="6"/>
  <c r="R86" i="6"/>
  <c r="V86" i="6"/>
  <c r="Z86" i="6"/>
  <c r="U86" i="6"/>
  <c r="Q85" i="6"/>
  <c r="X85" i="6" s="1"/>
  <c r="B85" i="6"/>
  <c r="A85" i="6"/>
  <c r="AB85" i="6" s="1"/>
  <c r="AO85" i="6" s="1"/>
  <c r="AE84" i="6"/>
  <c r="AN85" i="6" l="1"/>
  <c r="AP85" i="6"/>
  <c r="AQ85" i="6"/>
  <c r="AJ85" i="6"/>
  <c r="AK85" i="6"/>
  <c r="AG85" i="6"/>
  <c r="AL85" i="6"/>
  <c r="AI85" i="6"/>
  <c r="AF85" i="6"/>
  <c r="AH85" i="6"/>
  <c r="AR85" i="6"/>
  <c r="AM85" i="6"/>
  <c r="AW85" i="6"/>
  <c r="AS85" i="6"/>
  <c r="AX85" i="6"/>
  <c r="AT85" i="6"/>
  <c r="AV85" i="6"/>
  <c r="AU85" i="6"/>
  <c r="J85" i="6"/>
  <c r="I85" i="6"/>
  <c r="D85" i="6"/>
  <c r="H85" i="6"/>
  <c r="S85" i="6"/>
  <c r="W85" i="6"/>
  <c r="AA85" i="6"/>
  <c r="C85" i="6"/>
  <c r="G85" i="6"/>
  <c r="K85" i="6"/>
  <c r="R85" i="6"/>
  <c r="V85" i="6"/>
  <c r="Z85" i="6"/>
  <c r="U85" i="6"/>
  <c r="Y85" i="6"/>
  <c r="F85" i="6"/>
  <c r="E85" i="6"/>
  <c r="T85" i="6"/>
  <c r="Q84" i="6"/>
  <c r="AA84" i="6" s="1"/>
  <c r="B84" i="6"/>
  <c r="K84" i="6" s="1"/>
  <c r="A84" i="6"/>
  <c r="AB84" i="6" s="1"/>
  <c r="AL84" i="6" s="1"/>
  <c r="AE83" i="6"/>
  <c r="AM84" i="6" l="1"/>
  <c r="AF84" i="6"/>
  <c r="AK84" i="6"/>
  <c r="AH84" i="6"/>
  <c r="AC84" i="6"/>
  <c r="AI84" i="6"/>
  <c r="AG84" i="6"/>
  <c r="AO84" i="6"/>
  <c r="AN84" i="6" s="1"/>
  <c r="AR84" i="6"/>
  <c r="AJ84" i="6"/>
  <c r="AP84" i="6"/>
  <c r="AQ84" i="6"/>
  <c r="C84" i="6"/>
  <c r="G84" i="6"/>
  <c r="R84" i="6"/>
  <c r="V84" i="6"/>
  <c r="Z84" i="6"/>
  <c r="AU84" i="6"/>
  <c r="AV84" i="6"/>
  <c r="AW84" i="6"/>
  <c r="AS84" i="6"/>
  <c r="AX84" i="6"/>
  <c r="AT84" i="6"/>
  <c r="F84" i="6"/>
  <c r="J84" i="6"/>
  <c r="U84" i="6"/>
  <c r="Y84" i="6"/>
  <c r="E84" i="6"/>
  <c r="I84" i="6"/>
  <c r="T84" i="6"/>
  <c r="X84" i="6"/>
  <c r="D84" i="6"/>
  <c r="H84" i="6"/>
  <c r="S84" i="6"/>
  <c r="W84" i="6"/>
  <c r="Q83" i="6"/>
  <c r="Z83" i="6" s="1"/>
  <c r="B83" i="6"/>
  <c r="A83" i="6"/>
  <c r="AB83" i="6" s="1"/>
  <c r="AO83" i="6" s="1"/>
  <c r="AE82" i="6"/>
  <c r="AK83" i="6" l="1"/>
  <c r="AM83" i="6"/>
  <c r="AL83" i="6"/>
  <c r="AG83" i="6"/>
  <c r="AI83" i="6"/>
  <c r="AH83" i="6"/>
  <c r="AN83" i="6"/>
  <c r="AC83" i="6"/>
  <c r="AJ83" i="6"/>
  <c r="AR83" i="6"/>
  <c r="AQ83" i="6"/>
  <c r="AP83" i="6" s="1"/>
  <c r="AF83" i="6"/>
  <c r="AX83" i="6"/>
  <c r="AT83" i="6"/>
  <c r="AV83" i="6"/>
  <c r="AU83" i="6"/>
  <c r="AW83" i="6"/>
  <c r="AS83" i="6"/>
  <c r="F83" i="6"/>
  <c r="J83" i="6"/>
  <c r="E83" i="6"/>
  <c r="I83" i="6"/>
  <c r="T83" i="6"/>
  <c r="X83" i="6"/>
  <c r="U83" i="6"/>
  <c r="Y83" i="6"/>
  <c r="D83" i="6"/>
  <c r="H83" i="6"/>
  <c r="S83" i="6"/>
  <c r="W83" i="6"/>
  <c r="AA83" i="6"/>
  <c r="C83" i="6"/>
  <c r="G83" i="6"/>
  <c r="K83" i="6"/>
  <c r="R83" i="6"/>
  <c r="V83" i="6"/>
  <c r="Q82" i="6"/>
  <c r="X82" i="6" s="1"/>
  <c r="B82" i="6"/>
  <c r="K82" i="6" s="1"/>
  <c r="A82" i="6"/>
  <c r="AB82" i="6" s="1"/>
  <c r="AO82" i="6" s="1"/>
  <c r="AE81" i="6"/>
  <c r="AG82" i="6" l="1"/>
  <c r="AF82" i="6" s="1"/>
  <c r="AL82" i="6"/>
  <c r="AC82" i="6"/>
  <c r="AH82" i="6"/>
  <c r="AQ82" i="6"/>
  <c r="AR82" i="6"/>
  <c r="AM82" i="6"/>
  <c r="AN82" i="6"/>
  <c r="AK82" i="6"/>
  <c r="AP82" i="6"/>
  <c r="AI82" i="6"/>
  <c r="AJ82" i="6"/>
  <c r="W82" i="6"/>
  <c r="H82" i="6"/>
  <c r="R82" i="6"/>
  <c r="Z82" i="6"/>
  <c r="G82" i="6"/>
  <c r="D82" i="6"/>
  <c r="V82" i="6"/>
  <c r="C82" i="6"/>
  <c r="S82" i="6"/>
  <c r="AA82" i="6"/>
  <c r="U82" i="6"/>
  <c r="Y82" i="6"/>
  <c r="AW82" i="6"/>
  <c r="AS82" i="6"/>
  <c r="AX82" i="6"/>
  <c r="AT82" i="6"/>
  <c r="AU82" i="6"/>
  <c r="AV82" i="6"/>
  <c r="F82" i="6"/>
  <c r="J82" i="6"/>
  <c r="E82" i="6"/>
  <c r="I82" i="6"/>
  <c r="T82" i="6"/>
  <c r="Q81" i="6"/>
  <c r="AA81" i="6" s="1"/>
  <c r="B81" i="6"/>
  <c r="C81" i="6" s="1"/>
  <c r="A81" i="6"/>
  <c r="AB81" i="6" s="1"/>
  <c r="AQ81" i="6" s="1"/>
  <c r="AE80" i="6"/>
  <c r="AM81" i="6" l="1"/>
  <c r="AH81" i="6"/>
  <c r="AR81" i="6"/>
  <c r="AJ81" i="6"/>
  <c r="AG81" i="6"/>
  <c r="AC81" i="6"/>
  <c r="AN81" i="6"/>
  <c r="AF81" i="6"/>
  <c r="AI81" i="6"/>
  <c r="AP81" i="6"/>
  <c r="AO81" i="6"/>
  <c r="AL81" i="6"/>
  <c r="AK81" i="6" s="1"/>
  <c r="K81" i="6"/>
  <c r="Z81" i="6"/>
  <c r="G81" i="6"/>
  <c r="V81" i="6"/>
  <c r="R81" i="6"/>
  <c r="U81" i="6"/>
  <c r="Y81" i="6"/>
  <c r="AU81" i="6"/>
  <c r="AV81" i="6"/>
  <c r="AW81" i="6"/>
  <c r="AS81" i="6"/>
  <c r="AX81" i="6"/>
  <c r="AT81" i="6"/>
  <c r="F81" i="6"/>
  <c r="J81" i="6"/>
  <c r="E81" i="6"/>
  <c r="I81" i="6"/>
  <c r="T81" i="6"/>
  <c r="X81" i="6"/>
  <c r="D81" i="6"/>
  <c r="H81" i="6"/>
  <c r="S81" i="6"/>
  <c r="W81" i="6"/>
  <c r="Q80" i="6"/>
  <c r="AA80" i="6" s="1"/>
  <c r="B80" i="6"/>
  <c r="K80" i="6" s="1"/>
  <c r="A80" i="6"/>
  <c r="AB80" i="6" s="1"/>
  <c r="AP80" i="6" s="1"/>
  <c r="AE79" i="6"/>
  <c r="AL80" i="6" l="1"/>
  <c r="AM80" i="6"/>
  <c r="AF80" i="6"/>
  <c r="AH80" i="6"/>
  <c r="AI80" i="6"/>
  <c r="AC80" i="6"/>
  <c r="AO80" i="6"/>
  <c r="AR80" i="6"/>
  <c r="AK80" i="6"/>
  <c r="AQ80" i="6"/>
  <c r="AG80" i="6"/>
  <c r="AJ80" i="6"/>
  <c r="AN80" i="6"/>
  <c r="C80" i="6"/>
  <c r="G80" i="6"/>
  <c r="R80" i="6"/>
  <c r="V80" i="6"/>
  <c r="Z80" i="6"/>
  <c r="AX80" i="6"/>
  <c r="AT80" i="6"/>
  <c r="AV80" i="6"/>
  <c r="AU80" i="6"/>
  <c r="AW80" i="6"/>
  <c r="AS80" i="6"/>
  <c r="F80" i="6"/>
  <c r="J80" i="6"/>
  <c r="U80" i="6"/>
  <c r="Y80" i="6"/>
  <c r="E80" i="6"/>
  <c r="I80" i="6"/>
  <c r="T80" i="6"/>
  <c r="X80" i="6"/>
  <c r="D80" i="6"/>
  <c r="H80" i="6"/>
  <c r="S80" i="6"/>
  <c r="W80" i="6"/>
  <c r="Q79" i="6"/>
  <c r="Z79" i="6" s="1"/>
  <c r="B79" i="6"/>
  <c r="A79" i="6"/>
  <c r="AB79" i="6" s="1"/>
  <c r="AO79" i="6" s="1"/>
  <c r="AE78" i="6"/>
  <c r="AG79" i="6" l="1"/>
  <c r="AH79" i="6"/>
  <c r="AQ79" i="6"/>
  <c r="AC79" i="6"/>
  <c r="AN79" i="6"/>
  <c r="AM79" i="6"/>
  <c r="AP79" i="6"/>
  <c r="AJ79" i="6"/>
  <c r="AI79" i="6"/>
  <c r="AK79" i="6"/>
  <c r="AL79" i="6"/>
  <c r="AF79" i="6"/>
  <c r="AX79" i="6"/>
  <c r="AT79" i="6"/>
  <c r="AU79" i="6"/>
  <c r="AW79" i="6"/>
  <c r="AS79" i="6"/>
  <c r="AR79" i="6" s="1"/>
  <c r="AV79" i="6"/>
  <c r="F79" i="6"/>
  <c r="J79" i="6"/>
  <c r="U79" i="6"/>
  <c r="Y79" i="6"/>
  <c r="E79" i="6"/>
  <c r="I79" i="6"/>
  <c r="T79" i="6"/>
  <c r="X79" i="6"/>
  <c r="D79" i="6"/>
  <c r="H79" i="6"/>
  <c r="S79" i="6"/>
  <c r="W79" i="6"/>
  <c r="AA79" i="6"/>
  <c r="C79" i="6"/>
  <c r="G79" i="6"/>
  <c r="K79" i="6"/>
  <c r="R79" i="6"/>
  <c r="V79" i="6"/>
  <c r="Q78" i="6"/>
  <c r="X78" i="6" s="1"/>
  <c r="B78" i="6"/>
  <c r="K78" i="6" s="1"/>
  <c r="A78" i="6"/>
  <c r="AB78" i="6" s="1"/>
  <c r="AN78" i="6" s="1"/>
  <c r="AE77" i="6"/>
  <c r="AF78" i="6" l="1"/>
  <c r="AK78" i="6"/>
  <c r="AL78" i="6"/>
  <c r="AG78" i="6"/>
  <c r="AH78" i="6"/>
  <c r="AI78" i="6"/>
  <c r="AC78" i="6"/>
  <c r="AM78" i="6"/>
  <c r="AJ78" i="6"/>
  <c r="AO78" i="6"/>
  <c r="AP78" i="6"/>
  <c r="AR78" i="6"/>
  <c r="AQ78" i="6" s="1"/>
  <c r="H78" i="6"/>
  <c r="W78" i="6"/>
  <c r="D78" i="6"/>
  <c r="S78" i="6"/>
  <c r="M78" i="6"/>
  <c r="AA78" i="6"/>
  <c r="C78" i="6"/>
  <c r="G78" i="6"/>
  <c r="R78" i="6"/>
  <c r="V78" i="6"/>
  <c r="Z78" i="6"/>
  <c r="AW78" i="6"/>
  <c r="AS78" i="6"/>
  <c r="AX78" i="6"/>
  <c r="AT78" i="6"/>
  <c r="AV78" i="6"/>
  <c r="AU78" i="6"/>
  <c r="F78" i="6"/>
  <c r="J78" i="6"/>
  <c r="U78" i="6"/>
  <c r="Y78" i="6"/>
  <c r="E78" i="6"/>
  <c r="I78" i="6"/>
  <c r="T78" i="6"/>
  <c r="Q77" i="6"/>
  <c r="X77" i="6" s="1"/>
  <c r="B77" i="6"/>
  <c r="K77" i="6" s="1"/>
  <c r="A77" i="6"/>
  <c r="AB77" i="6" s="1"/>
  <c r="AQ77" i="6" s="1"/>
  <c r="AE76" i="6"/>
  <c r="AM77" i="6" l="1"/>
  <c r="AI77" i="6"/>
  <c r="AR77" i="6"/>
  <c r="AO77" i="6"/>
  <c r="AL77" i="6"/>
  <c r="AC77" i="6"/>
  <c r="AN77" i="6"/>
  <c r="AK77" i="6"/>
  <c r="AH77" i="6"/>
  <c r="AG77" i="6" s="1"/>
  <c r="AJ77" i="6"/>
  <c r="AF77" i="6"/>
  <c r="AP77" i="6"/>
  <c r="W77" i="6"/>
  <c r="M77" i="6"/>
  <c r="V77" i="6"/>
  <c r="H77" i="6"/>
  <c r="S77" i="6"/>
  <c r="D77" i="6"/>
  <c r="R77" i="6"/>
  <c r="AA77" i="6"/>
  <c r="C77" i="6"/>
  <c r="G77" i="6"/>
  <c r="Z77" i="6"/>
  <c r="AU77" i="6"/>
  <c r="AV77" i="6"/>
  <c r="AW77" i="6"/>
  <c r="AS77" i="6"/>
  <c r="AX77" i="6"/>
  <c r="AT77" i="6"/>
  <c r="F77" i="6"/>
  <c r="J77" i="6"/>
  <c r="U77" i="6"/>
  <c r="Y77" i="6"/>
  <c r="E77" i="6"/>
  <c r="I77" i="6"/>
  <c r="T77" i="6"/>
  <c r="Q76" i="6"/>
  <c r="AA76" i="6" s="1"/>
  <c r="B76" i="6"/>
  <c r="K76" i="6" s="1"/>
  <c r="A76" i="6"/>
  <c r="AB76" i="6" s="1"/>
  <c r="AQ76" i="6" s="1"/>
  <c r="AE75" i="6"/>
  <c r="AI76" i="6" l="1"/>
  <c r="AR76" i="6"/>
  <c r="AL76" i="6"/>
  <c r="AG76" i="6"/>
  <c r="AC76" i="6"/>
  <c r="AN76" i="6"/>
  <c r="AH76" i="6"/>
  <c r="AJ76" i="6"/>
  <c r="AK76" i="6"/>
  <c r="AM76" i="6"/>
  <c r="AF76" i="6"/>
  <c r="AP76" i="6"/>
  <c r="AO76" i="6"/>
  <c r="C76" i="6"/>
  <c r="G76" i="6"/>
  <c r="R76" i="6"/>
  <c r="V76" i="6"/>
  <c r="Z76" i="6"/>
  <c r="AU76" i="6"/>
  <c r="AV76" i="6"/>
  <c r="AX76" i="6"/>
  <c r="AT76" i="6"/>
  <c r="AW76" i="6"/>
  <c r="AS76" i="6"/>
  <c r="F76" i="6"/>
  <c r="J76" i="6"/>
  <c r="U76" i="6"/>
  <c r="Y76" i="6"/>
  <c r="E76" i="6"/>
  <c r="I76" i="6"/>
  <c r="T76" i="6"/>
  <c r="X76" i="6"/>
  <c r="D76" i="6"/>
  <c r="H76" i="6"/>
  <c r="M76" i="6"/>
  <c r="S76" i="6"/>
  <c r="W76" i="6"/>
  <c r="Q75" i="6"/>
  <c r="Z75" i="6" s="1"/>
  <c r="B75" i="6"/>
  <c r="A75" i="6"/>
  <c r="AB75" i="6" s="1"/>
  <c r="AP75" i="6" s="1"/>
  <c r="AO75" i="6" s="1"/>
  <c r="AE74" i="6"/>
  <c r="AG75" i="6" l="1"/>
  <c r="AN75" i="6"/>
  <c r="AF75" i="6"/>
  <c r="AI75" i="6"/>
  <c r="AM75" i="6"/>
  <c r="AQ75" i="6"/>
  <c r="AR75" i="6"/>
  <c r="AC75" i="6"/>
  <c r="AH75" i="6"/>
  <c r="AK75" i="6"/>
  <c r="AJ75" i="6"/>
  <c r="AL75" i="6"/>
  <c r="U75" i="6"/>
  <c r="Y75" i="6"/>
  <c r="AX75" i="6"/>
  <c r="AT75" i="6"/>
  <c r="AV75" i="6"/>
  <c r="AU75" i="6"/>
  <c r="AW75" i="6"/>
  <c r="AS75" i="6"/>
  <c r="J75" i="6"/>
  <c r="E75" i="6"/>
  <c r="I75" i="6"/>
  <c r="T75" i="6"/>
  <c r="X75" i="6"/>
  <c r="F75" i="6"/>
  <c r="H75" i="6"/>
  <c r="S75" i="6"/>
  <c r="AA75" i="6"/>
  <c r="D75" i="6"/>
  <c r="M75" i="6"/>
  <c r="W75" i="6"/>
  <c r="C75" i="6"/>
  <c r="G75" i="6"/>
  <c r="K75" i="6"/>
  <c r="R75" i="6"/>
  <c r="V75" i="6"/>
  <c r="Q74" i="6"/>
  <c r="Z74" i="6" s="1"/>
  <c r="B74" i="6"/>
  <c r="M74" i="6" s="1"/>
  <c r="A74" i="6"/>
  <c r="AB74" i="6" s="1"/>
  <c r="AO74" i="6" s="1"/>
  <c r="AE73" i="6"/>
  <c r="AG74" i="6" l="1"/>
  <c r="AF74" i="6" s="1"/>
  <c r="AP74" i="6"/>
  <c r="AR74" i="6"/>
  <c r="AQ74" i="6"/>
  <c r="AH74" i="6"/>
  <c r="AL74" i="6"/>
  <c r="AN74" i="6"/>
  <c r="AM74" i="6"/>
  <c r="AK74" i="6"/>
  <c r="AI74" i="6"/>
  <c r="AJ74" i="6"/>
  <c r="AC74" i="6"/>
  <c r="U74" i="6"/>
  <c r="Y74" i="6"/>
  <c r="D74" i="6"/>
  <c r="H74" i="6"/>
  <c r="S74" i="6"/>
  <c r="W74" i="6"/>
  <c r="AA74" i="6"/>
  <c r="AW74" i="6"/>
  <c r="AS74" i="6"/>
  <c r="AT74" i="6"/>
  <c r="AX74" i="6"/>
  <c r="AV74" i="6"/>
  <c r="AU74" i="6"/>
  <c r="F74" i="6"/>
  <c r="J74" i="6"/>
  <c r="E74" i="6"/>
  <c r="I74" i="6"/>
  <c r="T74" i="6"/>
  <c r="X74" i="6"/>
  <c r="C74" i="6"/>
  <c r="G74" i="6"/>
  <c r="K74" i="6"/>
  <c r="R74" i="6"/>
  <c r="V74" i="6"/>
  <c r="Q73" i="6"/>
  <c r="Z73" i="6" s="1"/>
  <c r="B73" i="6"/>
  <c r="A73" i="6"/>
  <c r="AB73" i="6" s="1"/>
  <c r="AO73" i="6" s="1"/>
  <c r="AE72" i="6"/>
  <c r="AK73" i="6" l="1"/>
  <c r="AJ73" i="6" s="1"/>
  <c r="AM73" i="6"/>
  <c r="AL73" i="6"/>
  <c r="AN73" i="6"/>
  <c r="AF73" i="6"/>
  <c r="AC73" i="6"/>
  <c r="AG73" i="6"/>
  <c r="AI73" i="6"/>
  <c r="AH73" i="6"/>
  <c r="AQ73" i="6"/>
  <c r="AP73" i="6"/>
  <c r="AR73" i="6"/>
  <c r="U73" i="6"/>
  <c r="Y73" i="6"/>
  <c r="AW73" i="6"/>
  <c r="AS73" i="6"/>
  <c r="AU73" i="6"/>
  <c r="AX73" i="6"/>
  <c r="AT73" i="6"/>
  <c r="AV73" i="6"/>
  <c r="F73" i="6"/>
  <c r="J73" i="6"/>
  <c r="D73" i="6"/>
  <c r="H73" i="6"/>
  <c r="M73" i="6"/>
  <c r="S73" i="6"/>
  <c r="W73" i="6"/>
  <c r="AA73" i="6"/>
  <c r="E73" i="6"/>
  <c r="I73" i="6"/>
  <c r="T73" i="6"/>
  <c r="X73" i="6"/>
  <c r="C73" i="6"/>
  <c r="G73" i="6"/>
  <c r="K73" i="6"/>
  <c r="R73" i="6"/>
  <c r="V73" i="6"/>
  <c r="Q72" i="6"/>
  <c r="AA72" i="6" s="1"/>
  <c r="B72" i="6"/>
  <c r="K72" i="6" s="1"/>
  <c r="A72" i="6"/>
  <c r="AB72" i="6" s="1"/>
  <c r="AN72" i="6" s="1"/>
  <c r="AE71" i="6"/>
  <c r="AF72" i="6" l="1"/>
  <c r="AH72" i="6"/>
  <c r="AO72" i="6"/>
  <c r="AC72" i="6"/>
  <c r="AK72" i="6"/>
  <c r="AI72" i="6"/>
  <c r="AP72" i="6"/>
  <c r="AG72" i="6"/>
  <c r="AM72" i="6"/>
  <c r="AJ72" i="6"/>
  <c r="AL72" i="6"/>
  <c r="AR72" i="6"/>
  <c r="AQ72" i="6" s="1"/>
  <c r="C72" i="6"/>
  <c r="G72" i="6"/>
  <c r="R72" i="6"/>
  <c r="V72" i="6"/>
  <c r="Z72" i="6"/>
  <c r="U72" i="6"/>
  <c r="Y72" i="6"/>
  <c r="AW72" i="6"/>
  <c r="AS72" i="6"/>
  <c r="AU72" i="6"/>
  <c r="AX72" i="6"/>
  <c r="AT72" i="6"/>
  <c r="AV72" i="6"/>
  <c r="F72" i="6"/>
  <c r="J72" i="6"/>
  <c r="E72" i="6"/>
  <c r="I72" i="6"/>
  <c r="T72" i="6"/>
  <c r="X72" i="6"/>
  <c r="D72" i="6"/>
  <c r="H72" i="6"/>
  <c r="M72" i="6"/>
  <c r="S72" i="6"/>
  <c r="W72" i="6"/>
  <c r="Q71" i="6"/>
  <c r="Z71" i="6" s="1"/>
  <c r="B71" i="6"/>
  <c r="E71" i="6" s="1"/>
  <c r="A71" i="6"/>
  <c r="AB71" i="6" s="1"/>
  <c r="AP71" i="6" s="1"/>
  <c r="AE70" i="6"/>
  <c r="AG71" i="6" l="1"/>
  <c r="AH71" i="6"/>
  <c r="AR71" i="6"/>
  <c r="AK71" i="6"/>
  <c r="AL71" i="6"/>
  <c r="AC71" i="6"/>
  <c r="AO71" i="6"/>
  <c r="AN71" i="6"/>
  <c r="AM71" i="6" s="1"/>
  <c r="AF71" i="6"/>
  <c r="AQ71" i="6"/>
  <c r="AJ71" i="6"/>
  <c r="AI71" i="6"/>
  <c r="I71" i="6"/>
  <c r="X71" i="6"/>
  <c r="T71" i="6"/>
  <c r="AX71" i="6"/>
  <c r="AT71" i="6"/>
  <c r="AU71" i="6"/>
  <c r="AW71" i="6"/>
  <c r="AS71" i="6"/>
  <c r="AV71" i="6"/>
  <c r="F71" i="6"/>
  <c r="J71" i="6"/>
  <c r="U71" i="6"/>
  <c r="Y71" i="6"/>
  <c r="D71" i="6"/>
  <c r="H71" i="6"/>
  <c r="M71" i="6"/>
  <c r="S71" i="6"/>
  <c r="W71" i="6"/>
  <c r="AA71" i="6"/>
  <c r="C71" i="6"/>
  <c r="G71" i="6"/>
  <c r="K71" i="6"/>
  <c r="R71" i="6"/>
  <c r="V71" i="6"/>
  <c r="Q70" i="6"/>
  <c r="Z70" i="6" s="1"/>
  <c r="B70" i="6"/>
  <c r="A70" i="6"/>
  <c r="AB70" i="6" s="1"/>
  <c r="AO70" i="6" s="1"/>
  <c r="AE69" i="6"/>
  <c r="AR70" i="6" l="1"/>
  <c r="AH70" i="6"/>
  <c r="AG70" i="6" s="1"/>
  <c r="AM70" i="6"/>
  <c r="AQ70" i="6"/>
  <c r="AK70" i="6"/>
  <c r="AP70" i="6"/>
  <c r="AN70" i="6"/>
  <c r="AF70" i="6"/>
  <c r="AL70" i="6"/>
  <c r="AI70" i="6"/>
  <c r="AJ70" i="6"/>
  <c r="AC70" i="6"/>
  <c r="U70" i="6"/>
  <c r="Y70" i="6"/>
  <c r="AW70" i="6"/>
  <c r="AS70" i="6"/>
  <c r="AX70" i="6"/>
  <c r="AT70" i="6"/>
  <c r="AU70" i="6"/>
  <c r="AV70" i="6"/>
  <c r="F70" i="6"/>
  <c r="J70" i="6"/>
  <c r="E70" i="6"/>
  <c r="I70" i="6"/>
  <c r="T70" i="6"/>
  <c r="X70" i="6"/>
  <c r="D70" i="6"/>
  <c r="H70" i="6"/>
  <c r="M70" i="6"/>
  <c r="S70" i="6"/>
  <c r="W70" i="6"/>
  <c r="AA70" i="6"/>
  <c r="C70" i="6"/>
  <c r="G70" i="6"/>
  <c r="K70" i="6"/>
  <c r="R70" i="6"/>
  <c r="V70" i="6"/>
  <c r="Q69" i="6"/>
  <c r="AA69" i="6" s="1"/>
  <c r="B69" i="6"/>
  <c r="K69" i="6" s="1"/>
  <c r="A69" i="6"/>
  <c r="AB69" i="6" s="1"/>
  <c r="AO69" i="6" s="1"/>
  <c r="AE68" i="6"/>
  <c r="AH69" i="6" l="1"/>
  <c r="AF69" i="6"/>
  <c r="AI69" i="6"/>
  <c r="AR69" i="6"/>
  <c r="AC69" i="6"/>
  <c r="AK69" i="6"/>
  <c r="AP69" i="6"/>
  <c r="AN69" i="6"/>
  <c r="AQ69" i="6"/>
  <c r="AG69" i="6"/>
  <c r="AL69" i="6"/>
  <c r="AJ69" i="6"/>
  <c r="AM69" i="6"/>
  <c r="C69" i="6"/>
  <c r="G69" i="6"/>
  <c r="R69" i="6"/>
  <c r="V69" i="6"/>
  <c r="Z69" i="6"/>
  <c r="U69" i="6"/>
  <c r="Y69" i="6"/>
  <c r="AW69" i="6"/>
  <c r="AS69" i="6"/>
  <c r="AX69" i="6"/>
  <c r="AT69" i="6"/>
  <c r="AV69" i="6"/>
  <c r="AU69" i="6"/>
  <c r="F69" i="6"/>
  <c r="J69" i="6"/>
  <c r="E69" i="6"/>
  <c r="I69" i="6"/>
  <c r="T69" i="6"/>
  <c r="X69" i="6"/>
  <c r="D69" i="6"/>
  <c r="H69" i="6"/>
  <c r="M69" i="6"/>
  <c r="S69" i="6"/>
  <c r="W69" i="6"/>
  <c r="Q68" i="6"/>
  <c r="Y68" i="6" s="1"/>
  <c r="B68" i="6"/>
  <c r="A68" i="6"/>
  <c r="AB68" i="6" s="1"/>
  <c r="AP68" i="6" s="1"/>
  <c r="AE67" i="6"/>
  <c r="AG68" i="6" l="1"/>
  <c r="AH68" i="6"/>
  <c r="AR68" i="6"/>
  <c r="AC68" i="6"/>
  <c r="AO68" i="6"/>
  <c r="AN68" i="6" s="1"/>
  <c r="AM68" i="6"/>
  <c r="AQ68" i="6"/>
  <c r="AJ68" i="6"/>
  <c r="AI68" i="6"/>
  <c r="AK68" i="6"/>
  <c r="AL68" i="6"/>
  <c r="AF68" i="6"/>
  <c r="AX68" i="6"/>
  <c r="AT68" i="6"/>
  <c r="AU68" i="6"/>
  <c r="AW68" i="6"/>
  <c r="AS68" i="6"/>
  <c r="AV68" i="6"/>
  <c r="X68" i="6"/>
  <c r="F68" i="6"/>
  <c r="J68" i="6"/>
  <c r="E68" i="6"/>
  <c r="I68" i="6"/>
  <c r="T68" i="6"/>
  <c r="D68" i="6"/>
  <c r="H68" i="6"/>
  <c r="M68" i="6"/>
  <c r="S68" i="6"/>
  <c r="W68" i="6"/>
  <c r="AA68" i="6"/>
  <c r="C68" i="6"/>
  <c r="G68" i="6"/>
  <c r="K68" i="6"/>
  <c r="R68" i="6"/>
  <c r="V68" i="6"/>
  <c r="Z68" i="6"/>
  <c r="U68" i="6"/>
  <c r="Q67" i="6"/>
  <c r="Z67" i="6" s="1"/>
  <c r="B67" i="6"/>
  <c r="A67" i="6"/>
  <c r="AB67" i="6" s="1"/>
  <c r="AN67" i="6" s="1"/>
  <c r="AE66" i="6"/>
  <c r="AH67" i="6" l="1"/>
  <c r="AM67" i="6"/>
  <c r="AL67" i="6"/>
  <c r="AJ67" i="6"/>
  <c r="AO67" i="6"/>
  <c r="AI67" i="6"/>
  <c r="AC67" i="6"/>
  <c r="AF67" i="6"/>
  <c r="AK67" i="6"/>
  <c r="AG67" i="6"/>
  <c r="AQ67" i="6"/>
  <c r="AP67" i="6" s="1"/>
  <c r="AR67" i="6"/>
  <c r="U67" i="6"/>
  <c r="Y67" i="6"/>
  <c r="AW67" i="6"/>
  <c r="AS67" i="6"/>
  <c r="AX67" i="6"/>
  <c r="AT67" i="6"/>
  <c r="AU67" i="6"/>
  <c r="AV67" i="6"/>
  <c r="F67" i="6"/>
  <c r="J67" i="6"/>
  <c r="E67" i="6"/>
  <c r="I67" i="6"/>
  <c r="T67" i="6"/>
  <c r="X67" i="6"/>
  <c r="D67" i="6"/>
  <c r="H67" i="6"/>
  <c r="M67" i="6"/>
  <c r="S67" i="6"/>
  <c r="W67" i="6"/>
  <c r="AA67" i="6"/>
  <c r="C67" i="6"/>
  <c r="G67" i="6"/>
  <c r="K67" i="6"/>
  <c r="R67" i="6"/>
  <c r="V67" i="6"/>
  <c r="Q66" i="6"/>
  <c r="Y66" i="6" s="1"/>
  <c r="B66" i="6"/>
  <c r="A66" i="6"/>
  <c r="AB66" i="6" s="1"/>
  <c r="AN66" i="6" s="1"/>
  <c r="AE65" i="6"/>
  <c r="AF66" i="6" l="1"/>
  <c r="AK66" i="6"/>
  <c r="AL66" i="6"/>
  <c r="AM66" i="6"/>
  <c r="AG66" i="6"/>
  <c r="AH66" i="6"/>
  <c r="AC66" i="6"/>
  <c r="AJ66" i="6"/>
  <c r="AO66" i="6"/>
  <c r="AP66" i="6"/>
  <c r="AQ66" i="6"/>
  <c r="AI66" i="6"/>
  <c r="AW66" i="6"/>
  <c r="AS66" i="6"/>
  <c r="AR66" i="6" s="1"/>
  <c r="AX66" i="6"/>
  <c r="AT66" i="6"/>
  <c r="AU66" i="6"/>
  <c r="AV66" i="6"/>
  <c r="F66" i="6"/>
  <c r="J66" i="6"/>
  <c r="E66" i="6"/>
  <c r="I66" i="6"/>
  <c r="T66" i="6"/>
  <c r="X66" i="6"/>
  <c r="D66" i="6"/>
  <c r="H66" i="6"/>
  <c r="M66" i="6"/>
  <c r="S66" i="6"/>
  <c r="W66" i="6"/>
  <c r="AA66" i="6"/>
  <c r="C66" i="6"/>
  <c r="G66" i="6"/>
  <c r="K66" i="6"/>
  <c r="R66" i="6"/>
  <c r="V66" i="6"/>
  <c r="Z66" i="6"/>
  <c r="U66" i="6"/>
  <c r="Q65" i="6"/>
  <c r="Z65" i="6" s="1"/>
  <c r="B65" i="6"/>
  <c r="A65" i="6"/>
  <c r="AB65" i="6" s="1"/>
  <c r="AO65" i="6" s="1"/>
  <c r="AN65" i="6" s="1"/>
  <c r="AE64" i="6"/>
  <c r="AC65" i="6" l="1"/>
  <c r="AJ65" i="6"/>
  <c r="AP65" i="6"/>
  <c r="AQ65" i="6"/>
  <c r="AR65" i="6"/>
  <c r="AF65" i="6"/>
  <c r="AK65" i="6"/>
  <c r="AL65" i="6"/>
  <c r="AM65" i="6"/>
  <c r="AG65" i="6"/>
  <c r="AH65" i="6"/>
  <c r="AI65" i="6"/>
  <c r="U65" i="6"/>
  <c r="Y65" i="6"/>
  <c r="AW65" i="6"/>
  <c r="AS65" i="6"/>
  <c r="AX65" i="6"/>
  <c r="AU65" i="6"/>
  <c r="AT65" i="6"/>
  <c r="AV65" i="6"/>
  <c r="F65" i="6"/>
  <c r="J65" i="6"/>
  <c r="E65" i="6"/>
  <c r="I65" i="6"/>
  <c r="T65" i="6"/>
  <c r="X65" i="6"/>
  <c r="M65" i="6"/>
  <c r="W65" i="6"/>
  <c r="AA65" i="6"/>
  <c r="D65" i="6"/>
  <c r="H65" i="6"/>
  <c r="S65" i="6"/>
  <c r="C65" i="6"/>
  <c r="G65" i="6"/>
  <c r="K65" i="6"/>
  <c r="R65" i="6"/>
  <c r="V65" i="6"/>
  <c r="Q64" i="6"/>
  <c r="Z64" i="6" s="1"/>
  <c r="B64" i="6"/>
  <c r="A64" i="6"/>
  <c r="AB64" i="6" s="1"/>
  <c r="AN64" i="6" s="1"/>
  <c r="AE63" i="6"/>
  <c r="AL64" i="6" l="1"/>
  <c r="AO64" i="6"/>
  <c r="AF64" i="6"/>
  <c r="AM64" i="6"/>
  <c r="AK64" i="6"/>
  <c r="AG64" i="6"/>
  <c r="AH64" i="6"/>
  <c r="AI64" i="6"/>
  <c r="AC64" i="6"/>
  <c r="AJ64" i="6"/>
  <c r="AP64" i="6"/>
  <c r="AR64" i="6"/>
  <c r="AQ64" i="6" s="1"/>
  <c r="U64" i="6"/>
  <c r="Y64" i="6"/>
  <c r="AW64" i="6"/>
  <c r="AS64" i="6"/>
  <c r="AT64" i="6"/>
  <c r="AX64" i="6"/>
  <c r="AU64" i="6"/>
  <c r="AV64" i="6"/>
  <c r="F64" i="6"/>
  <c r="J64" i="6"/>
  <c r="D64" i="6"/>
  <c r="H64" i="6"/>
  <c r="M64" i="6"/>
  <c r="S64" i="6"/>
  <c r="W64" i="6"/>
  <c r="AA64" i="6"/>
  <c r="E64" i="6"/>
  <c r="I64" i="6"/>
  <c r="T64" i="6"/>
  <c r="X64" i="6"/>
  <c r="C64" i="6"/>
  <c r="G64" i="6"/>
  <c r="K64" i="6"/>
  <c r="R64" i="6"/>
  <c r="V64" i="6"/>
  <c r="Q63" i="6"/>
  <c r="V63" i="6" s="1"/>
  <c r="B63" i="6"/>
  <c r="A63" i="6"/>
  <c r="AB63" i="6" s="1"/>
  <c r="AO63" i="6" s="1"/>
  <c r="AE62" i="6"/>
  <c r="AM63" i="6" l="1"/>
  <c r="AN63" i="6"/>
  <c r="AL63" i="6"/>
  <c r="AH63" i="6"/>
  <c r="AI63" i="6"/>
  <c r="AJ63" i="6"/>
  <c r="AP63" i="6"/>
  <c r="AK63" i="6"/>
  <c r="AC63" i="6"/>
  <c r="AF63" i="6"/>
  <c r="AG63" i="6"/>
  <c r="AQ63" i="6"/>
  <c r="AR63" i="6"/>
  <c r="S63" i="6"/>
  <c r="AW63" i="6"/>
  <c r="AS63" i="6"/>
  <c r="AT63" i="6"/>
  <c r="AU63" i="6"/>
  <c r="AV63" i="6"/>
  <c r="AX63" i="6"/>
  <c r="F63" i="6"/>
  <c r="J63" i="6"/>
  <c r="E63" i="6"/>
  <c r="I63" i="6"/>
  <c r="T63" i="6"/>
  <c r="X63" i="6"/>
  <c r="W63" i="6"/>
  <c r="D63" i="6"/>
  <c r="H63" i="6"/>
  <c r="M63" i="6"/>
  <c r="C63" i="6"/>
  <c r="G63" i="6"/>
  <c r="K63" i="6"/>
  <c r="R63" i="6"/>
  <c r="AA63" i="6"/>
  <c r="Z63" i="6"/>
  <c r="U63" i="6"/>
  <c r="Y63" i="6"/>
  <c r="Q62" i="6"/>
  <c r="Y62" i="6" s="1"/>
  <c r="B62" i="6"/>
  <c r="A62" i="6"/>
  <c r="AB62" i="6" s="1"/>
  <c r="AR62" i="6" s="1"/>
  <c r="AE61" i="6"/>
  <c r="AI62" i="6" l="1"/>
  <c r="AO62" i="6"/>
  <c r="AN62" i="6" s="1"/>
  <c r="AH62" i="6"/>
  <c r="AM62" i="6"/>
  <c r="AK62" i="6"/>
  <c r="AJ62" i="6"/>
  <c r="AC62" i="6"/>
  <c r="AF62" i="6"/>
  <c r="AP62" i="6"/>
  <c r="AQ62" i="6"/>
  <c r="AG62" i="6"/>
  <c r="AL62" i="6"/>
  <c r="AV62" i="6"/>
  <c r="AW62" i="6"/>
  <c r="AS62" i="6"/>
  <c r="AX62" i="6"/>
  <c r="AT62" i="6"/>
  <c r="AU62" i="6"/>
  <c r="F62" i="6"/>
  <c r="J62" i="6"/>
  <c r="E62" i="6"/>
  <c r="I62" i="6"/>
  <c r="T62" i="6"/>
  <c r="X62" i="6"/>
  <c r="D62" i="6"/>
  <c r="H62" i="6"/>
  <c r="M62" i="6"/>
  <c r="S62" i="6"/>
  <c r="W62" i="6"/>
  <c r="AA62" i="6"/>
  <c r="C62" i="6"/>
  <c r="G62" i="6"/>
  <c r="K62" i="6"/>
  <c r="R62" i="6"/>
  <c r="V62" i="6"/>
  <c r="Z62" i="6"/>
  <c r="U62" i="6"/>
  <c r="Q61" i="6"/>
  <c r="Z61" i="6" s="1"/>
  <c r="B61" i="6"/>
  <c r="A61" i="6"/>
  <c r="AB61" i="6" s="1"/>
  <c r="AO61" i="6" s="1"/>
  <c r="AE60" i="6"/>
  <c r="AR61" i="6" l="1"/>
  <c r="AQ61" i="6"/>
  <c r="AK61" i="6"/>
  <c r="AP61" i="6"/>
  <c r="AN61" i="6"/>
  <c r="AM61" i="6"/>
  <c r="AF61" i="6"/>
  <c r="AL61" i="6"/>
  <c r="AJ61" i="6"/>
  <c r="AI61" i="6"/>
  <c r="AH61" i="6" s="1"/>
  <c r="AG61" i="6"/>
  <c r="AC61" i="6"/>
  <c r="AD84" i="6" s="1"/>
  <c r="U61" i="6"/>
  <c r="Y61" i="6"/>
  <c r="F61" i="6"/>
  <c r="E61" i="6"/>
  <c r="T61" i="6"/>
  <c r="X61" i="6"/>
  <c r="AW61" i="6"/>
  <c r="AS61" i="6"/>
  <c r="AX61" i="6"/>
  <c r="AT61" i="6"/>
  <c r="AV61" i="6"/>
  <c r="AU61" i="6"/>
  <c r="J61" i="6"/>
  <c r="I61" i="6"/>
  <c r="D61" i="6"/>
  <c r="H61" i="6"/>
  <c r="M61" i="6"/>
  <c r="S61" i="6"/>
  <c r="W61" i="6"/>
  <c r="AA61" i="6"/>
  <c r="C61" i="6"/>
  <c r="G61" i="6"/>
  <c r="K61" i="6"/>
  <c r="R61" i="6"/>
  <c r="V61" i="6"/>
  <c r="Q60" i="6"/>
  <c r="Z60" i="6" s="1"/>
  <c r="B60" i="6"/>
  <c r="M60" i="6" s="1"/>
  <c r="A60" i="6"/>
  <c r="AB60" i="6" s="1"/>
  <c r="AO60" i="6" s="1"/>
  <c r="AE59" i="6"/>
  <c r="AP60" i="6" l="1"/>
  <c r="AF60" i="6"/>
  <c r="AQ60" i="6"/>
  <c r="AR60" i="6"/>
  <c r="AK60" i="6"/>
  <c r="AL60" i="6"/>
  <c r="AI60" i="6"/>
  <c r="AM60" i="6"/>
  <c r="AN60" i="6"/>
  <c r="AG60" i="6"/>
  <c r="AH60" i="6"/>
  <c r="AC60" i="6"/>
  <c r="AD83" i="6" s="1"/>
  <c r="AJ60" i="6"/>
  <c r="U60" i="6"/>
  <c r="Y60" i="6"/>
  <c r="D60" i="6"/>
  <c r="H60" i="6"/>
  <c r="S60" i="6"/>
  <c r="W60" i="6"/>
  <c r="AA60" i="6"/>
  <c r="AW60" i="6"/>
  <c r="AS60" i="6"/>
  <c r="AX60" i="6"/>
  <c r="AT60" i="6"/>
  <c r="AU60" i="6"/>
  <c r="AV60" i="6"/>
  <c r="F60" i="6"/>
  <c r="J60" i="6"/>
  <c r="E60" i="6"/>
  <c r="I60" i="6"/>
  <c r="T60" i="6"/>
  <c r="X60" i="6"/>
  <c r="C60" i="6"/>
  <c r="G60" i="6"/>
  <c r="K60" i="6"/>
  <c r="R60" i="6"/>
  <c r="V60" i="6"/>
  <c r="Q59" i="6"/>
  <c r="V59" i="6" s="1"/>
  <c r="B59" i="6"/>
  <c r="K59" i="6" s="1"/>
  <c r="A59" i="6"/>
  <c r="AB59" i="6" s="1"/>
  <c r="AN59" i="6" s="1"/>
  <c r="AE58" i="6"/>
  <c r="AF59" i="6" l="1"/>
  <c r="AH59" i="6"/>
  <c r="AK59" i="6"/>
  <c r="AI59" i="6"/>
  <c r="AC59" i="6"/>
  <c r="AG59" i="6"/>
  <c r="AQ59" i="6"/>
  <c r="AR59" i="6"/>
  <c r="AJ59" i="6"/>
  <c r="AL59" i="6"/>
  <c r="AP59" i="6"/>
  <c r="AO59" i="6" s="1"/>
  <c r="AM59" i="6"/>
  <c r="C59" i="6"/>
  <c r="G59" i="6"/>
  <c r="R59" i="6"/>
  <c r="AA59" i="6"/>
  <c r="Z59" i="6"/>
  <c r="Y59" i="6"/>
  <c r="AW59" i="6"/>
  <c r="AS59" i="6"/>
  <c r="AU59" i="6"/>
  <c r="AX59" i="6"/>
  <c r="AT59" i="6"/>
  <c r="AV59" i="6"/>
  <c r="F59" i="6"/>
  <c r="J59" i="6"/>
  <c r="U59" i="6"/>
  <c r="E59" i="6"/>
  <c r="I59" i="6"/>
  <c r="T59" i="6"/>
  <c r="X59" i="6"/>
  <c r="D59" i="6"/>
  <c r="H59" i="6"/>
  <c r="M59" i="6"/>
  <c r="S59" i="6"/>
  <c r="W59" i="6"/>
  <c r="Q58" i="6"/>
  <c r="Z58" i="6" s="1"/>
  <c r="B58" i="6"/>
  <c r="J58" i="6" s="1"/>
  <c r="A58" i="6"/>
  <c r="AB58" i="6" s="1"/>
  <c r="AP58" i="6" s="1"/>
  <c r="AE57" i="6"/>
  <c r="AH58" i="6" l="1"/>
  <c r="AI58" i="6"/>
  <c r="AR58" i="6"/>
  <c r="AC58" i="6"/>
  <c r="AO58" i="6"/>
  <c r="AN58" i="6"/>
  <c r="AQ58" i="6"/>
  <c r="AK58" i="6"/>
  <c r="AJ58" i="6"/>
  <c r="AL58" i="6"/>
  <c r="AM58" i="6"/>
  <c r="AG58" i="6"/>
  <c r="AF58" i="6"/>
  <c r="AX58" i="6"/>
  <c r="AT58" i="6"/>
  <c r="AU58" i="6"/>
  <c r="AW58" i="6"/>
  <c r="AS58" i="6"/>
  <c r="AV58" i="6"/>
  <c r="F58" i="6"/>
  <c r="U58" i="6"/>
  <c r="Y58" i="6"/>
  <c r="E58" i="6"/>
  <c r="I58" i="6"/>
  <c r="T58" i="6"/>
  <c r="X58" i="6"/>
  <c r="H58" i="6"/>
  <c r="D58" i="6"/>
  <c r="M58" i="6"/>
  <c r="S58" i="6"/>
  <c r="W58" i="6"/>
  <c r="AA58" i="6"/>
  <c r="C58" i="6"/>
  <c r="G58" i="6"/>
  <c r="K58" i="6"/>
  <c r="R58" i="6"/>
  <c r="V58" i="6"/>
  <c r="Q57" i="6"/>
  <c r="Y57" i="6" s="1"/>
  <c r="B57" i="6"/>
  <c r="A57" i="6"/>
  <c r="AB57" i="6" s="1"/>
  <c r="AO57" i="6" s="1"/>
  <c r="AE56" i="6"/>
  <c r="AF57" i="6" l="1"/>
  <c r="AM57" i="6"/>
  <c r="AR57" i="6"/>
  <c r="AL57" i="6"/>
  <c r="AK57" i="6" s="1"/>
  <c r="AH57" i="6"/>
  <c r="AN57" i="6"/>
  <c r="AP57" i="6"/>
  <c r="AC57" i="6"/>
  <c r="AI57" i="6"/>
  <c r="AJ57" i="6"/>
  <c r="AG57" i="6"/>
  <c r="AQ57" i="6"/>
  <c r="AW57" i="6"/>
  <c r="AS57" i="6"/>
  <c r="AX57" i="6"/>
  <c r="AT57" i="6"/>
  <c r="AU57" i="6"/>
  <c r="AV57" i="6"/>
  <c r="F57" i="6"/>
  <c r="J57" i="6"/>
  <c r="E57" i="6"/>
  <c r="I57" i="6"/>
  <c r="T57" i="6"/>
  <c r="X57" i="6"/>
  <c r="D57" i="6"/>
  <c r="H57" i="6"/>
  <c r="M57" i="6"/>
  <c r="S57" i="6"/>
  <c r="W57" i="6"/>
  <c r="AA57" i="6"/>
  <c r="C57" i="6"/>
  <c r="G57" i="6"/>
  <c r="K57" i="6"/>
  <c r="R57" i="6"/>
  <c r="V57" i="6"/>
  <c r="Z57" i="6"/>
  <c r="U57" i="6"/>
  <c r="Q56" i="6"/>
  <c r="Z56" i="6" s="1"/>
  <c r="B56" i="6"/>
  <c r="A56" i="6"/>
  <c r="AB56" i="6" s="1"/>
  <c r="AR56" i="6" s="1"/>
  <c r="AE55" i="6"/>
  <c r="AJ56" i="6" l="1"/>
  <c r="AK56" i="6"/>
  <c r="AP56" i="6"/>
  <c r="AQ56" i="6"/>
  <c r="AF56" i="6"/>
  <c r="AL56" i="6"/>
  <c r="AM56" i="6"/>
  <c r="AH56" i="6"/>
  <c r="AG56" i="6" s="1"/>
  <c r="AI56" i="6"/>
  <c r="AN56" i="6"/>
  <c r="AO56" i="6"/>
  <c r="AC56" i="6"/>
  <c r="U56" i="6"/>
  <c r="Y56" i="6"/>
  <c r="AV56" i="6"/>
  <c r="AW56" i="6"/>
  <c r="AS56" i="6"/>
  <c r="AX56" i="6"/>
  <c r="AT56" i="6"/>
  <c r="AU56" i="6"/>
  <c r="F56" i="6"/>
  <c r="J56" i="6"/>
  <c r="E56" i="6"/>
  <c r="I56" i="6"/>
  <c r="T56" i="6"/>
  <c r="X56" i="6"/>
  <c r="D56" i="6"/>
  <c r="H56" i="6"/>
  <c r="M56" i="6"/>
  <c r="S56" i="6"/>
  <c r="W56" i="6"/>
  <c r="AA56" i="6"/>
  <c r="C56" i="6"/>
  <c r="G56" i="6"/>
  <c r="K56" i="6"/>
  <c r="R56" i="6"/>
  <c r="V56" i="6"/>
  <c r="Q55" i="6"/>
  <c r="V55" i="6" s="1"/>
  <c r="B55" i="6"/>
  <c r="K55" i="6" s="1"/>
  <c r="A55" i="6"/>
  <c r="AB55" i="6" s="1"/>
  <c r="AO55" i="6" s="1"/>
  <c r="AE54" i="6"/>
  <c r="AH55" i="6" l="1"/>
  <c r="AG55" i="6"/>
  <c r="AF55" i="6"/>
  <c r="AR55" i="6"/>
  <c r="AC55" i="6"/>
  <c r="AN55" i="6"/>
  <c r="AP55" i="6"/>
  <c r="AQ55" i="6"/>
  <c r="AJ55" i="6"/>
  <c r="AI55" i="6"/>
  <c r="AL55" i="6"/>
  <c r="AK55" i="6" s="1"/>
  <c r="AM55" i="6"/>
  <c r="D55" i="6"/>
  <c r="H55" i="6"/>
  <c r="M55" i="6"/>
  <c r="S55" i="6"/>
  <c r="W55" i="6"/>
  <c r="C55" i="6"/>
  <c r="G55" i="6"/>
  <c r="R55" i="6"/>
  <c r="AA55" i="6"/>
  <c r="Z55" i="6"/>
  <c r="U55" i="6"/>
  <c r="Y55" i="6"/>
  <c r="AW55" i="6"/>
  <c r="AS55" i="6"/>
  <c r="AV55" i="6"/>
  <c r="AX55" i="6"/>
  <c r="AT55" i="6"/>
  <c r="AU55" i="6"/>
  <c r="F55" i="6"/>
  <c r="J55" i="6"/>
  <c r="E55" i="6"/>
  <c r="I55" i="6"/>
  <c r="T55" i="6"/>
  <c r="X55" i="6"/>
  <c r="Q54" i="6"/>
  <c r="Y54" i="6" s="1"/>
  <c r="B54" i="6"/>
  <c r="K54" i="6" s="1"/>
  <c r="A54" i="6"/>
  <c r="AB54" i="6" s="1"/>
  <c r="AQ54" i="6" s="1"/>
  <c r="AE53" i="6"/>
  <c r="AH54" i="6" l="1"/>
  <c r="AR54" i="6"/>
  <c r="AO54" i="6"/>
  <c r="AP54" i="6"/>
  <c r="AC54" i="6"/>
  <c r="AN54" i="6"/>
  <c r="AK54" i="6"/>
  <c r="AL54" i="6"/>
  <c r="AM54" i="6"/>
  <c r="AJ54" i="6"/>
  <c r="AI54" i="6" s="1"/>
  <c r="AF54" i="6"/>
  <c r="AG54" i="6"/>
  <c r="X54" i="6"/>
  <c r="T54" i="6"/>
  <c r="D54" i="6"/>
  <c r="H54" i="6"/>
  <c r="M54" i="6"/>
  <c r="S54" i="6"/>
  <c r="W54" i="6"/>
  <c r="AA54" i="6"/>
  <c r="E54" i="6"/>
  <c r="I54" i="6"/>
  <c r="C54" i="6"/>
  <c r="G54" i="6"/>
  <c r="R54" i="6"/>
  <c r="V54" i="6"/>
  <c r="Z54" i="6"/>
  <c r="AU54" i="6"/>
  <c r="AV54" i="6"/>
  <c r="AW54" i="6"/>
  <c r="AS54" i="6"/>
  <c r="AX54" i="6"/>
  <c r="AT54" i="6"/>
  <c r="F54" i="6"/>
  <c r="J54" i="6"/>
  <c r="U54" i="6"/>
  <c r="Q53" i="6"/>
  <c r="X53" i="6" s="1"/>
  <c r="B53" i="6"/>
  <c r="K53" i="6" s="1"/>
  <c r="A53" i="6"/>
  <c r="AB53" i="6" s="1"/>
  <c r="AN53" i="6" s="1"/>
  <c r="AE52" i="6"/>
  <c r="AR53" i="6" l="1"/>
  <c r="AQ53" i="6" s="1"/>
  <c r="AC53" i="6"/>
  <c r="AJ53" i="6"/>
  <c r="AO53" i="6"/>
  <c r="AI53" i="6"/>
  <c r="AH53" i="6"/>
  <c r="AF53" i="6"/>
  <c r="AG53" i="6"/>
  <c r="AM53" i="6"/>
  <c r="AK53" i="6"/>
  <c r="AL53" i="6"/>
  <c r="AP53" i="6"/>
  <c r="D53" i="6"/>
  <c r="H53" i="6"/>
  <c r="M53" i="6"/>
  <c r="S53" i="6"/>
  <c r="W53" i="6"/>
  <c r="AA53" i="6"/>
  <c r="C53" i="6"/>
  <c r="G53" i="6"/>
  <c r="R53" i="6"/>
  <c r="V53" i="6"/>
  <c r="Z53" i="6"/>
  <c r="AV53" i="6"/>
  <c r="AW53" i="6"/>
  <c r="AS53" i="6"/>
  <c r="AU53" i="6"/>
  <c r="AX53" i="6"/>
  <c r="AT53" i="6"/>
  <c r="F53" i="6"/>
  <c r="J53" i="6"/>
  <c r="U53" i="6"/>
  <c r="Y53" i="6"/>
  <c r="E53" i="6"/>
  <c r="I53" i="6"/>
  <c r="T53" i="6"/>
  <c r="Q52" i="6"/>
  <c r="Z52" i="6" s="1"/>
  <c r="B52" i="6"/>
  <c r="K52" i="6" s="1"/>
  <c r="A52" i="6"/>
  <c r="AB52" i="6" s="1"/>
  <c r="AP52" i="6" s="1"/>
  <c r="AE51" i="6"/>
  <c r="AH52" i="6" l="1"/>
  <c r="AR52" i="6"/>
  <c r="AQ52" i="6" s="1"/>
  <c r="AC52" i="6"/>
  <c r="AN52" i="6"/>
  <c r="AM52" i="6"/>
  <c r="AO52" i="6"/>
  <c r="AJ52" i="6"/>
  <c r="AI52" i="6"/>
  <c r="AK52" i="6"/>
  <c r="AL52" i="6"/>
  <c r="AF52" i="6"/>
  <c r="AG52" i="6"/>
  <c r="D52" i="6"/>
  <c r="H52" i="6"/>
  <c r="M52" i="6"/>
  <c r="S52" i="6"/>
  <c r="W52" i="6"/>
  <c r="AA52" i="6"/>
  <c r="U52" i="6"/>
  <c r="Y52" i="6"/>
  <c r="E52" i="6"/>
  <c r="I52" i="6"/>
  <c r="T52" i="6"/>
  <c r="X52" i="6"/>
  <c r="C52" i="6"/>
  <c r="G52" i="6"/>
  <c r="R52" i="6"/>
  <c r="V52" i="6"/>
  <c r="AU52" i="6"/>
  <c r="AW52" i="6"/>
  <c r="AS52" i="6"/>
  <c r="AV52" i="6"/>
  <c r="AX52" i="6"/>
  <c r="AT52" i="6"/>
  <c r="F52" i="6"/>
  <c r="J52" i="6"/>
  <c r="Q51" i="6"/>
  <c r="V51" i="6" s="1"/>
  <c r="B51" i="6"/>
  <c r="K51" i="6" s="1"/>
  <c r="A51" i="6"/>
  <c r="AB51" i="6" s="1"/>
  <c r="AO51" i="6" s="1"/>
  <c r="AE50" i="6"/>
  <c r="AC51" i="6" l="1"/>
  <c r="AR51" i="6"/>
  <c r="AQ51" i="6"/>
  <c r="AN51" i="6"/>
  <c r="AK51" i="6"/>
  <c r="AM51" i="6"/>
  <c r="AL51" i="6"/>
  <c r="AJ51" i="6"/>
  <c r="AG51" i="6"/>
  <c r="AI51" i="6"/>
  <c r="AH51" i="6"/>
  <c r="AF51" i="6"/>
  <c r="D51" i="6"/>
  <c r="M51" i="6"/>
  <c r="T51" i="6"/>
  <c r="X51" i="6"/>
  <c r="I51" i="6"/>
  <c r="S51" i="6"/>
  <c r="H51" i="6"/>
  <c r="E51" i="6"/>
  <c r="W51" i="6"/>
  <c r="C51" i="6"/>
  <c r="G51" i="6"/>
  <c r="R51" i="6"/>
  <c r="AW51" i="6"/>
  <c r="AS51" i="6"/>
  <c r="AU51" i="6"/>
  <c r="AX51" i="6"/>
  <c r="AT51" i="6"/>
  <c r="AV51" i="6"/>
  <c r="AA51" i="6"/>
  <c r="Z51" i="6"/>
  <c r="F51" i="6"/>
  <c r="J51" i="6"/>
  <c r="U51" i="6"/>
  <c r="Y51" i="6"/>
  <c r="Q50" i="6"/>
  <c r="AA50" i="6" s="1"/>
  <c r="B50" i="6"/>
  <c r="C50" i="6" s="1"/>
  <c r="A50" i="6"/>
  <c r="AB50" i="6" s="1"/>
  <c r="AR50" i="6" s="1"/>
  <c r="AE49" i="6"/>
  <c r="AK50" i="6" l="1"/>
  <c r="AJ50" i="6" s="1"/>
  <c r="AG50" i="6"/>
  <c r="AQ50" i="6"/>
  <c r="AF50" i="6"/>
  <c r="AC50" i="6"/>
  <c r="AN50" i="6"/>
  <c r="AP50" i="6"/>
  <c r="AH50" i="6"/>
  <c r="AM50" i="6"/>
  <c r="AI50" i="6"/>
  <c r="AO50" i="6"/>
  <c r="AL50" i="6"/>
  <c r="K50" i="6"/>
  <c r="Z50" i="6"/>
  <c r="G50" i="6"/>
  <c r="V50" i="6"/>
  <c r="R50" i="6"/>
  <c r="U50" i="6"/>
  <c r="Y50" i="6"/>
  <c r="AU50" i="6"/>
  <c r="AV50" i="6"/>
  <c r="AW50" i="6"/>
  <c r="AS50" i="6"/>
  <c r="AX50" i="6"/>
  <c r="AT50" i="6"/>
  <c r="F50" i="6"/>
  <c r="E50" i="6"/>
  <c r="I50" i="6"/>
  <c r="T50" i="6"/>
  <c r="X50" i="6"/>
  <c r="D50" i="6"/>
  <c r="H50" i="6"/>
  <c r="M50" i="6"/>
  <c r="S50" i="6"/>
  <c r="W50" i="6"/>
  <c r="Q49" i="6"/>
  <c r="Z49" i="6" s="1"/>
  <c r="B49" i="6"/>
  <c r="A49" i="6"/>
  <c r="AB49" i="6" s="1"/>
  <c r="AP49" i="6" s="1"/>
  <c r="AE48" i="6"/>
  <c r="AL49" i="6" l="1"/>
  <c r="AM49" i="6"/>
  <c r="AN49" i="6"/>
  <c r="AG49" i="6"/>
  <c r="AI49" i="6"/>
  <c r="AH49" i="6" s="1"/>
  <c r="AC49" i="6"/>
  <c r="AO49" i="6"/>
  <c r="AR49" i="6"/>
  <c r="AQ49" i="6"/>
  <c r="AF49" i="6"/>
  <c r="AJ49" i="6"/>
  <c r="AK49" i="6"/>
  <c r="AX49" i="6"/>
  <c r="AT49" i="6"/>
  <c r="AV49" i="6"/>
  <c r="AU49" i="6"/>
  <c r="AW49" i="6"/>
  <c r="AS49" i="6"/>
  <c r="F49" i="6"/>
  <c r="E49" i="6"/>
  <c r="I49" i="6"/>
  <c r="T49" i="6"/>
  <c r="X49" i="6"/>
  <c r="D49" i="6"/>
  <c r="H49" i="6"/>
  <c r="M49" i="6"/>
  <c r="S49" i="6"/>
  <c r="W49" i="6"/>
  <c r="AA49" i="6"/>
  <c r="U49" i="6"/>
  <c r="Y49" i="6"/>
  <c r="C49" i="6"/>
  <c r="G49" i="6"/>
  <c r="K49" i="6"/>
  <c r="R49" i="6"/>
  <c r="V49" i="6"/>
  <c r="Q48" i="6"/>
  <c r="AA48" i="6" s="1"/>
  <c r="B48" i="6"/>
  <c r="A48" i="6"/>
  <c r="AB48" i="6" s="1"/>
  <c r="AO48" i="6" s="1"/>
  <c r="AE47" i="6"/>
  <c r="AQ48" i="6" l="1"/>
  <c r="AL48" i="6"/>
  <c r="AM48" i="6"/>
  <c r="AR48" i="6"/>
  <c r="AK48" i="6"/>
  <c r="AI48" i="6"/>
  <c r="AJ48" i="6"/>
  <c r="AC48" i="6"/>
  <c r="AN48" i="6"/>
  <c r="AW48" i="6"/>
  <c r="AS48" i="6"/>
  <c r="AX48" i="6"/>
  <c r="AT48" i="6"/>
  <c r="AV48" i="6"/>
  <c r="AU48" i="6"/>
  <c r="F48" i="6"/>
  <c r="U48" i="6"/>
  <c r="Y48" i="6"/>
  <c r="E48" i="6"/>
  <c r="I48" i="6"/>
  <c r="T48" i="6"/>
  <c r="X48" i="6"/>
  <c r="C48" i="6"/>
  <c r="G48" i="6"/>
  <c r="K48" i="6"/>
  <c r="R48" i="6"/>
  <c r="V48" i="6"/>
  <c r="Z48" i="6"/>
  <c r="D48" i="6"/>
  <c r="H48" i="6"/>
  <c r="M48" i="6"/>
  <c r="S48" i="6"/>
  <c r="W48" i="6"/>
  <c r="Q47" i="6"/>
  <c r="W47" i="6" s="1"/>
  <c r="B47" i="6"/>
  <c r="M47" i="6" s="1"/>
  <c r="A47" i="6"/>
  <c r="AB47" i="6" s="1"/>
  <c r="AO47" i="6" s="1"/>
  <c r="AE46" i="6"/>
  <c r="AC47" i="6" l="1"/>
  <c r="AR47" i="6"/>
  <c r="AM47" i="6"/>
  <c r="AN47" i="6"/>
  <c r="AQ47" i="6"/>
  <c r="AK47" i="6"/>
  <c r="AI47" i="6"/>
  <c r="AJ47" i="6"/>
  <c r="AL47" i="6"/>
  <c r="K47" i="6"/>
  <c r="G47" i="6"/>
  <c r="V47" i="6"/>
  <c r="C47" i="6"/>
  <c r="R47" i="6"/>
  <c r="D47" i="6"/>
  <c r="H47" i="6"/>
  <c r="S47" i="6"/>
  <c r="Z47" i="6"/>
  <c r="AA47" i="6"/>
  <c r="U47" i="6"/>
  <c r="Y47" i="6"/>
  <c r="AX47" i="6"/>
  <c r="AT47" i="6"/>
  <c r="AV47" i="6"/>
  <c r="AW47" i="6"/>
  <c r="AS47" i="6"/>
  <c r="AU47" i="6"/>
  <c r="F47" i="6"/>
  <c r="E47" i="6"/>
  <c r="I47" i="6"/>
  <c r="T47" i="6"/>
  <c r="X47" i="6"/>
  <c r="Q46" i="6"/>
  <c r="Y46" i="6" s="1"/>
  <c r="B46" i="6"/>
  <c r="A46" i="6"/>
  <c r="AB46" i="6" s="1"/>
  <c r="AQ46" i="6" s="1"/>
  <c r="AE45" i="6"/>
  <c r="AH46" i="6" l="1"/>
  <c r="AI46" i="6"/>
  <c r="AP46" i="6"/>
  <c r="AO46" i="6"/>
  <c r="AM46" i="6"/>
  <c r="AC46" i="6"/>
  <c r="AR46" i="6"/>
  <c r="AL46" i="6"/>
  <c r="AK46" i="6" s="1"/>
  <c r="AJ46" i="6"/>
  <c r="AN46" i="6"/>
  <c r="AG46" i="6"/>
  <c r="AF46" i="6"/>
  <c r="AU46" i="6"/>
  <c r="AW46" i="6"/>
  <c r="AS46" i="6"/>
  <c r="AV46" i="6"/>
  <c r="AX46" i="6"/>
  <c r="AT46" i="6"/>
  <c r="F46" i="6"/>
  <c r="E46" i="6"/>
  <c r="I46" i="6"/>
  <c r="T46" i="6"/>
  <c r="X46" i="6"/>
  <c r="D46" i="6"/>
  <c r="H46" i="6"/>
  <c r="M46" i="6"/>
  <c r="S46" i="6"/>
  <c r="W46" i="6"/>
  <c r="AA46" i="6"/>
  <c r="C46" i="6"/>
  <c r="G46" i="6"/>
  <c r="K46" i="6"/>
  <c r="R46" i="6"/>
  <c r="V46" i="6"/>
  <c r="Z46" i="6"/>
  <c r="U46" i="6"/>
  <c r="Q45" i="6"/>
  <c r="AA45" i="6" s="1"/>
  <c r="B45" i="6"/>
  <c r="K45" i="6" s="1"/>
  <c r="A45" i="6"/>
  <c r="AB45" i="6" s="1"/>
  <c r="AO45" i="6" s="1"/>
  <c r="AE44" i="6"/>
  <c r="AK45" i="6" l="1"/>
  <c r="AL45" i="6"/>
  <c r="AM45" i="6"/>
  <c r="AR45" i="6"/>
  <c r="AI45" i="6"/>
  <c r="AC45" i="6"/>
  <c r="AN45" i="6"/>
  <c r="AJ45" i="6"/>
  <c r="AQ45" i="6"/>
  <c r="U45" i="6"/>
  <c r="Y45" i="6"/>
  <c r="E45" i="6"/>
  <c r="I45" i="6"/>
  <c r="T45" i="6"/>
  <c r="X45" i="6"/>
  <c r="C45" i="6"/>
  <c r="G45" i="6"/>
  <c r="R45" i="6"/>
  <c r="V45" i="6"/>
  <c r="Z45" i="6"/>
  <c r="F45" i="6"/>
  <c r="D45" i="6"/>
  <c r="H45" i="6"/>
  <c r="M45" i="6"/>
  <c r="S45" i="6"/>
  <c r="W45" i="6"/>
  <c r="Q44" i="6"/>
  <c r="Z44" i="6" s="1"/>
  <c r="B44" i="6"/>
  <c r="H44" i="6" s="1"/>
  <c r="A44" i="6"/>
  <c r="AB44" i="6" s="1"/>
  <c r="AE43" i="6"/>
  <c r="AR44" i="6" l="1"/>
  <c r="AC44" i="6"/>
  <c r="AN44" i="6"/>
  <c r="AO44" i="6"/>
  <c r="AQ44" i="6"/>
  <c r="AL44" i="6"/>
  <c r="AJ44" i="6"/>
  <c r="AK44" i="6"/>
  <c r="AM44" i="6"/>
  <c r="AI44" i="6"/>
  <c r="S44" i="6"/>
  <c r="AA44" i="6"/>
  <c r="F44" i="6"/>
  <c r="U44" i="6"/>
  <c r="Y44" i="6"/>
  <c r="E44" i="6"/>
  <c r="I44" i="6"/>
  <c r="T44" i="6"/>
  <c r="X44" i="6"/>
  <c r="D44" i="6"/>
  <c r="M44" i="6"/>
  <c r="W44" i="6"/>
  <c r="C44" i="6"/>
  <c r="G44" i="6"/>
  <c r="K44" i="6"/>
  <c r="R44" i="6"/>
  <c r="V44" i="6"/>
  <c r="Q43" i="6"/>
  <c r="V43" i="6" s="1"/>
  <c r="B43" i="6"/>
  <c r="K43" i="6" s="1"/>
  <c r="A43" i="6"/>
  <c r="AB43" i="6" s="1"/>
  <c r="AN43" i="6" s="1"/>
  <c r="AE42" i="6"/>
  <c r="AR43" i="6" l="1"/>
  <c r="AQ43" i="6" s="1"/>
  <c r="AL43" i="6"/>
  <c r="AM43" i="6"/>
  <c r="AH43" i="6"/>
  <c r="AF43" i="6"/>
  <c r="AK43" i="6"/>
  <c r="AG43" i="6"/>
  <c r="AC43" i="6"/>
  <c r="AI43" i="6"/>
  <c r="AJ43" i="6"/>
  <c r="AP43" i="6"/>
  <c r="AO43" i="6"/>
  <c r="C43" i="6"/>
  <c r="G43" i="6"/>
  <c r="R43" i="6"/>
  <c r="AA43" i="6"/>
  <c r="Z43" i="6"/>
  <c r="U43" i="6"/>
  <c r="Y43" i="6"/>
  <c r="F43" i="6"/>
  <c r="E43" i="6"/>
  <c r="I43" i="6"/>
  <c r="T43" i="6"/>
  <c r="X43" i="6"/>
  <c r="D43" i="6"/>
  <c r="H43" i="6"/>
  <c r="M43" i="6"/>
  <c r="S43" i="6"/>
  <c r="W43" i="6"/>
  <c r="Q42" i="6"/>
  <c r="X42" i="6" s="1"/>
  <c r="B42" i="6"/>
  <c r="K42" i="6" s="1"/>
  <c r="A42" i="6"/>
  <c r="AB42" i="6" s="1"/>
  <c r="AP42" i="6" s="1"/>
  <c r="AE41" i="6"/>
  <c r="AH42" i="6" l="1"/>
  <c r="AR42" i="6"/>
  <c r="AC42" i="6"/>
  <c r="AO42" i="6"/>
  <c r="AN42" i="6"/>
  <c r="AM42" i="6" s="1"/>
  <c r="AG42" i="6"/>
  <c r="AQ42" i="6"/>
  <c r="AJ42" i="6"/>
  <c r="AI42" i="6"/>
  <c r="AK42" i="6"/>
  <c r="AL42" i="6"/>
  <c r="AF42" i="6"/>
  <c r="D42" i="6"/>
  <c r="H42" i="6"/>
  <c r="M42" i="6"/>
  <c r="S42" i="6"/>
  <c r="W42" i="6"/>
  <c r="AA42" i="6"/>
  <c r="C42" i="6"/>
  <c r="G42" i="6"/>
  <c r="R42" i="6"/>
  <c r="V42" i="6"/>
  <c r="Z42" i="6"/>
  <c r="F42" i="6"/>
  <c r="U42" i="6"/>
  <c r="Y42" i="6"/>
  <c r="E42" i="6"/>
  <c r="I42" i="6"/>
  <c r="T42" i="6"/>
  <c r="Q41" i="6"/>
  <c r="Z41" i="6" s="1"/>
  <c r="B41" i="6"/>
  <c r="K41" i="6" s="1"/>
  <c r="A41" i="6"/>
  <c r="AB41" i="6" s="1"/>
  <c r="AQ41" i="6" s="1"/>
  <c r="AE40" i="6"/>
  <c r="AI41" i="6" l="1"/>
  <c r="AH41" i="6"/>
  <c r="AG41" i="6" s="1"/>
  <c r="AC41" i="6"/>
  <c r="AO41" i="6"/>
  <c r="AR41" i="6"/>
  <c r="AK41" i="6"/>
  <c r="AP41" i="6"/>
  <c r="AN41" i="6"/>
  <c r="AM41" i="6"/>
  <c r="AF41" i="6"/>
  <c r="AL41" i="6"/>
  <c r="AJ41" i="6"/>
  <c r="F41" i="6"/>
  <c r="D41" i="6"/>
  <c r="H41" i="6"/>
  <c r="M41" i="6"/>
  <c r="S41" i="6"/>
  <c r="W41" i="6"/>
  <c r="AA41" i="6"/>
  <c r="U41" i="6"/>
  <c r="Y41" i="6"/>
  <c r="E41" i="6"/>
  <c r="I41" i="6"/>
  <c r="T41" i="6"/>
  <c r="X41" i="6"/>
  <c r="C41" i="6"/>
  <c r="G41" i="6"/>
  <c r="R41" i="6"/>
  <c r="V41" i="6"/>
  <c r="Q40" i="6"/>
  <c r="Z40" i="6" s="1"/>
  <c r="B40" i="6"/>
  <c r="A40" i="6"/>
  <c r="AB40" i="6" s="1"/>
  <c r="AO40" i="6" s="1"/>
  <c r="AE39" i="6"/>
  <c r="AQ40" i="6" l="1"/>
  <c r="AP40" i="6"/>
  <c r="AR40" i="6"/>
  <c r="AK40" i="6"/>
  <c r="AM40" i="6"/>
  <c r="AL40" i="6"/>
  <c r="AN40" i="6"/>
  <c r="AG40" i="6"/>
  <c r="AI40" i="6"/>
  <c r="AH40" i="6"/>
  <c r="AJ40" i="6"/>
  <c r="AC40" i="6"/>
  <c r="AF40" i="6"/>
  <c r="F40" i="6"/>
  <c r="U40" i="6"/>
  <c r="Y40" i="6"/>
  <c r="E40" i="6"/>
  <c r="I40" i="6"/>
  <c r="T40" i="6"/>
  <c r="X40" i="6"/>
  <c r="D40" i="6"/>
  <c r="H40" i="6"/>
  <c r="M40" i="6"/>
  <c r="S40" i="6"/>
  <c r="W40" i="6"/>
  <c r="AA40" i="6"/>
  <c r="C40" i="6"/>
  <c r="G40" i="6"/>
  <c r="K40" i="6"/>
  <c r="R40" i="6"/>
  <c r="V40" i="6"/>
  <c r="Q39" i="6"/>
  <c r="V39" i="6" s="1"/>
  <c r="B39" i="6"/>
  <c r="K39" i="6" s="1"/>
  <c r="A39" i="6"/>
  <c r="AB39" i="6" s="1"/>
  <c r="AO39" i="6" s="1"/>
  <c r="AN39" i="6" s="1"/>
  <c r="AE38" i="6"/>
  <c r="AF39" i="6" l="1"/>
  <c r="AG39" i="6"/>
  <c r="AH39" i="6"/>
  <c r="AR39" i="6"/>
  <c r="AC39" i="6"/>
  <c r="AM39" i="6"/>
  <c r="AJ39" i="6"/>
  <c r="AP39" i="6"/>
  <c r="AQ39" i="6"/>
  <c r="AI39" i="6"/>
  <c r="AK39" i="6"/>
  <c r="AL39" i="6"/>
  <c r="D39" i="6"/>
  <c r="H39" i="6"/>
  <c r="S39" i="6"/>
  <c r="W39" i="6"/>
  <c r="C39" i="6"/>
  <c r="G39" i="6"/>
  <c r="R39" i="6"/>
  <c r="AA39" i="6"/>
  <c r="Z39" i="6"/>
  <c r="U39" i="6"/>
  <c r="Y39" i="6"/>
  <c r="AW39" i="6"/>
  <c r="AS39" i="6"/>
  <c r="AX39" i="6"/>
  <c r="AT39" i="6"/>
  <c r="F39" i="6"/>
  <c r="E39" i="6"/>
  <c r="I39" i="6"/>
  <c r="T39" i="6"/>
  <c r="X39" i="6"/>
  <c r="Q38" i="6"/>
  <c r="Y38" i="6" s="1"/>
  <c r="B38" i="6"/>
  <c r="A38" i="6"/>
  <c r="AB38" i="6" s="1"/>
  <c r="AQ38" i="6" s="1"/>
  <c r="AE37" i="6"/>
  <c r="AJ38" i="6" l="1"/>
  <c r="AK38" i="6"/>
  <c r="AI38" i="6"/>
  <c r="AL38" i="6"/>
  <c r="AF38" i="6"/>
  <c r="AG38" i="6"/>
  <c r="AH38" i="6"/>
  <c r="AR38" i="6"/>
  <c r="AC38" i="6"/>
  <c r="AO38" i="6"/>
  <c r="AP38" i="6"/>
  <c r="AN38" i="6"/>
  <c r="AM38" i="6" s="1"/>
  <c r="F38" i="6"/>
  <c r="E38" i="6"/>
  <c r="I38" i="6"/>
  <c r="T38" i="6"/>
  <c r="X38" i="6"/>
  <c r="AW38" i="6"/>
  <c r="AS38" i="6"/>
  <c r="AX38" i="6"/>
  <c r="AT38" i="6"/>
  <c r="D38" i="6"/>
  <c r="H38" i="6"/>
  <c r="S38" i="6"/>
  <c r="W38" i="6"/>
  <c r="AA38" i="6"/>
  <c r="C38" i="6"/>
  <c r="G38" i="6"/>
  <c r="K38" i="6"/>
  <c r="R38" i="6"/>
  <c r="V38" i="6"/>
  <c r="Z38" i="6"/>
  <c r="U38" i="6"/>
  <c r="Q37" i="6"/>
  <c r="Z37" i="6" s="1"/>
  <c r="B37" i="6"/>
  <c r="K37" i="6" s="1"/>
  <c r="A37" i="6"/>
  <c r="AB37" i="6" s="1"/>
  <c r="AO37" i="6" s="1"/>
  <c r="AE36" i="6"/>
  <c r="AH37" i="6" l="1"/>
  <c r="AG37" i="6" s="1"/>
  <c r="AQ37" i="6"/>
  <c r="AM37" i="6"/>
  <c r="AR37" i="6"/>
  <c r="AK37" i="6"/>
  <c r="AP37" i="6"/>
  <c r="AI37" i="6"/>
  <c r="AN37" i="6"/>
  <c r="AF37" i="6"/>
  <c r="AL37" i="6"/>
  <c r="AC37" i="6"/>
  <c r="AJ37" i="6"/>
  <c r="D37" i="6"/>
  <c r="H37" i="6"/>
  <c r="S37" i="6"/>
  <c r="W37" i="6"/>
  <c r="AA37" i="6"/>
  <c r="U37" i="6"/>
  <c r="Y37" i="6"/>
  <c r="E37" i="6"/>
  <c r="I37" i="6"/>
  <c r="T37" i="6"/>
  <c r="X37" i="6"/>
  <c r="C37" i="6"/>
  <c r="G37" i="6"/>
  <c r="R37" i="6"/>
  <c r="V37" i="6"/>
  <c r="AW37" i="6"/>
  <c r="AS37" i="6"/>
  <c r="AX37" i="6"/>
  <c r="AT37" i="6"/>
  <c r="F37" i="6"/>
  <c r="Q36" i="6"/>
  <c r="Y36" i="6" s="1"/>
  <c r="B36" i="6"/>
  <c r="A36" i="6"/>
  <c r="AB36" i="6" s="1"/>
  <c r="AO36" i="6" s="1"/>
  <c r="AN36" i="6" s="1"/>
  <c r="AE35" i="6"/>
  <c r="AC36" i="6" l="1"/>
  <c r="AR36" i="6"/>
  <c r="AQ36" i="6"/>
  <c r="AM36" i="6"/>
  <c r="AJ36" i="6"/>
  <c r="AL36" i="6"/>
  <c r="AK36" i="6"/>
  <c r="AI36" i="6"/>
  <c r="D36" i="6"/>
  <c r="H36" i="6"/>
  <c r="S36" i="6"/>
  <c r="W36" i="6"/>
  <c r="AA36" i="6"/>
  <c r="AW36" i="6"/>
  <c r="AS36" i="6"/>
  <c r="AU36" i="6"/>
  <c r="AX36" i="6"/>
  <c r="AT36" i="6"/>
  <c r="AV36" i="6"/>
  <c r="F36" i="6"/>
  <c r="E36" i="6"/>
  <c r="I36" i="6"/>
  <c r="N36" i="6"/>
  <c r="T36" i="6"/>
  <c r="X36" i="6"/>
  <c r="C36" i="6"/>
  <c r="G36" i="6"/>
  <c r="K36" i="6"/>
  <c r="R36" i="6"/>
  <c r="V36" i="6"/>
  <c r="Z36" i="6"/>
  <c r="U36" i="6"/>
  <c r="Q35" i="6"/>
  <c r="V35" i="6" s="1"/>
  <c r="B35" i="6"/>
  <c r="K35" i="6" s="1"/>
  <c r="A35" i="6"/>
  <c r="AB35" i="6" s="1"/>
  <c r="AO35" i="6" s="1"/>
  <c r="AN35" i="6" s="1"/>
  <c r="AE34" i="6"/>
  <c r="AQ35" i="6" l="1"/>
  <c r="AR35" i="6"/>
  <c r="AJ35" i="6"/>
  <c r="AL35" i="6"/>
  <c r="AM35" i="6"/>
  <c r="AK35" i="6"/>
  <c r="AI35" i="6"/>
  <c r="AC35" i="6"/>
  <c r="C35" i="6"/>
  <c r="G35" i="6"/>
  <c r="R35" i="6"/>
  <c r="AA35" i="6"/>
  <c r="Z35" i="6"/>
  <c r="U35" i="6"/>
  <c r="Y35" i="6"/>
  <c r="F35" i="6"/>
  <c r="E35" i="6"/>
  <c r="I35" i="6"/>
  <c r="N35" i="6"/>
  <c r="T35" i="6"/>
  <c r="X35" i="6"/>
  <c r="D35" i="6"/>
  <c r="H35" i="6"/>
  <c r="S35" i="6"/>
  <c r="W35" i="6"/>
  <c r="Q34" i="6"/>
  <c r="Y34" i="6" s="1"/>
  <c r="B34" i="6"/>
  <c r="A34" i="6"/>
  <c r="AB34" i="6" s="1"/>
  <c r="AE33" i="6"/>
  <c r="AL34" i="6" l="1"/>
  <c r="AM34" i="6"/>
  <c r="AF34" i="6"/>
  <c r="AH34" i="6"/>
  <c r="AG34" i="6" s="1"/>
  <c r="AI34" i="6"/>
  <c r="AR34" i="6"/>
  <c r="AC34" i="6"/>
  <c r="AO34" i="6"/>
  <c r="AN34" i="6"/>
  <c r="AQ34" i="6"/>
  <c r="AK34" i="6"/>
  <c r="AJ34" i="6"/>
  <c r="F34" i="6"/>
  <c r="E34" i="6"/>
  <c r="I34" i="6"/>
  <c r="N34" i="6"/>
  <c r="T34" i="6"/>
  <c r="X34" i="6"/>
  <c r="D34" i="6"/>
  <c r="H34" i="6"/>
  <c r="S34" i="6"/>
  <c r="W34" i="6"/>
  <c r="AA34" i="6"/>
  <c r="C34" i="6"/>
  <c r="G34" i="6"/>
  <c r="K34" i="6"/>
  <c r="R34" i="6"/>
  <c r="V34" i="6"/>
  <c r="Z34" i="6"/>
  <c r="U34" i="6"/>
  <c r="Q33" i="6"/>
  <c r="Z33" i="6" s="1"/>
  <c r="B33" i="6"/>
  <c r="A33" i="6"/>
  <c r="AB33" i="6" s="1"/>
  <c r="AR33" i="6" s="1"/>
  <c r="AE32" i="6"/>
  <c r="AL33" i="6" l="1"/>
  <c r="AK33" i="6" s="1"/>
  <c r="AM33" i="6"/>
  <c r="AN33" i="6"/>
  <c r="AO33" i="6"/>
  <c r="AC33" i="6"/>
  <c r="AI33" i="6"/>
  <c r="AJ33" i="6"/>
  <c r="AQ33" i="6"/>
  <c r="U33" i="6"/>
  <c r="Y33" i="6"/>
  <c r="F33" i="6"/>
  <c r="I33" i="6"/>
  <c r="N33" i="6"/>
  <c r="T33" i="6"/>
  <c r="X33" i="6"/>
  <c r="D33" i="6"/>
  <c r="H33" i="6"/>
  <c r="S33" i="6"/>
  <c r="W33" i="6"/>
  <c r="AA33" i="6"/>
  <c r="AV33" i="6"/>
  <c r="AW33" i="6"/>
  <c r="AX33" i="6"/>
  <c r="AT33" i="6"/>
  <c r="AU33" i="6"/>
  <c r="E33" i="6"/>
  <c r="C33" i="6"/>
  <c r="G33" i="6"/>
  <c r="K33" i="6"/>
  <c r="R33" i="6"/>
  <c r="V33" i="6"/>
  <c r="Q32" i="6"/>
  <c r="Y32" i="6" s="1"/>
  <c r="B32" i="6"/>
  <c r="K32" i="6" s="1"/>
  <c r="A32" i="6"/>
  <c r="AB32" i="6" s="1"/>
  <c r="AO32" i="6" s="1"/>
  <c r="AE31" i="6"/>
  <c r="AK32" i="6" l="1"/>
  <c r="AC32" i="6"/>
  <c r="AM32" i="6"/>
  <c r="AN32" i="6"/>
  <c r="AI32" i="6"/>
  <c r="AJ32" i="6"/>
  <c r="AL32" i="6"/>
  <c r="AQ32" i="6"/>
  <c r="AR32" i="6"/>
  <c r="F32" i="6"/>
  <c r="E32" i="6"/>
  <c r="I32" i="6"/>
  <c r="N32" i="6"/>
  <c r="T32" i="6"/>
  <c r="X32" i="6"/>
  <c r="D32" i="6"/>
  <c r="H32" i="6"/>
  <c r="S32" i="6"/>
  <c r="W32" i="6"/>
  <c r="AA32" i="6"/>
  <c r="C32" i="6"/>
  <c r="G32" i="6"/>
  <c r="R32" i="6"/>
  <c r="V32" i="6"/>
  <c r="Z32" i="6"/>
  <c r="U32" i="6"/>
  <c r="Q31" i="6"/>
  <c r="V31" i="6" s="1"/>
  <c r="B31" i="6"/>
  <c r="K31" i="6" s="1"/>
  <c r="A31" i="6"/>
  <c r="AB31" i="6" s="1"/>
  <c r="AN31" i="6" s="1"/>
  <c r="AE30" i="6"/>
  <c r="AF31" i="6" l="1"/>
  <c r="AK31" i="6"/>
  <c r="AL31" i="6"/>
  <c r="AG31" i="6"/>
  <c r="AH31" i="6"/>
  <c r="AR31" i="6"/>
  <c r="AC31" i="6"/>
  <c r="AM31" i="6"/>
  <c r="AJ31" i="6"/>
  <c r="AO31" i="6"/>
  <c r="AQ31" i="6"/>
  <c r="AI31" i="6"/>
  <c r="C31" i="6"/>
  <c r="G31" i="6"/>
  <c r="R31" i="6"/>
  <c r="AA31" i="6"/>
  <c r="Z31" i="6"/>
  <c r="U31" i="6"/>
  <c r="Y31" i="6"/>
  <c r="F31" i="6"/>
  <c r="E31" i="6"/>
  <c r="I31" i="6"/>
  <c r="N31" i="6"/>
  <c r="T31" i="6"/>
  <c r="X31" i="6"/>
  <c r="D31" i="6"/>
  <c r="H31" i="6"/>
  <c r="S31" i="6"/>
  <c r="W31" i="6"/>
  <c r="Q30" i="6"/>
  <c r="AA30" i="6" s="1"/>
  <c r="B30" i="6"/>
  <c r="K30" i="6" s="1"/>
  <c r="A30" i="6"/>
  <c r="AB30" i="6" s="1"/>
  <c r="AP30" i="6" s="1"/>
  <c r="AE29" i="6"/>
  <c r="AK30" i="6" l="1"/>
  <c r="AL30" i="6"/>
  <c r="AI30" i="6"/>
  <c r="AG30" i="6"/>
  <c r="AH30" i="6"/>
  <c r="AN30" i="6"/>
  <c r="AM30" i="6" s="1"/>
  <c r="AC30" i="6"/>
  <c r="AJ30" i="6"/>
  <c r="AO30" i="6"/>
  <c r="AQ30" i="6"/>
  <c r="AR30" i="6"/>
  <c r="AF30" i="6"/>
  <c r="C30" i="6"/>
  <c r="G30" i="6"/>
  <c r="R30" i="6"/>
  <c r="V30" i="6"/>
  <c r="Z30" i="6"/>
  <c r="AX30" i="6"/>
  <c r="AT30" i="6"/>
  <c r="AV30" i="6"/>
  <c r="AU30" i="6"/>
  <c r="AW30" i="6"/>
  <c r="F30" i="6"/>
  <c r="U30" i="6"/>
  <c r="Y30" i="6"/>
  <c r="E30" i="6"/>
  <c r="I30" i="6"/>
  <c r="N30" i="6"/>
  <c r="T30" i="6"/>
  <c r="X30" i="6"/>
  <c r="D30" i="6"/>
  <c r="H30" i="6"/>
  <c r="M30" i="6"/>
  <c r="S30" i="6"/>
  <c r="W30" i="6"/>
  <c r="Q29" i="6"/>
  <c r="Y29" i="6" s="1"/>
  <c r="B29" i="6"/>
  <c r="A29" i="6"/>
  <c r="AB29" i="6" s="1"/>
  <c r="AP29" i="6" s="1"/>
  <c r="AE28" i="6"/>
  <c r="AK29" i="6" l="1"/>
  <c r="AM29" i="6"/>
  <c r="AL29" i="6" s="1"/>
  <c r="AF29" i="6"/>
  <c r="AG29" i="6"/>
  <c r="AH29" i="6"/>
  <c r="AR29" i="6"/>
  <c r="AC29" i="6"/>
  <c r="AO29" i="6"/>
  <c r="AN29" i="6"/>
  <c r="AQ29" i="6"/>
  <c r="AJ29" i="6"/>
  <c r="AI29" i="6"/>
  <c r="AX29" i="6"/>
  <c r="AT29" i="6"/>
  <c r="AU29" i="6"/>
  <c r="AW29" i="6"/>
  <c r="AV29" i="6"/>
  <c r="F29" i="6"/>
  <c r="E29" i="6"/>
  <c r="D29" i="6"/>
  <c r="H29" i="6"/>
  <c r="M29" i="6"/>
  <c r="S29" i="6"/>
  <c r="W29" i="6"/>
  <c r="AA29" i="6"/>
  <c r="I29" i="6"/>
  <c r="N29" i="6"/>
  <c r="T29" i="6"/>
  <c r="X29" i="6"/>
  <c r="C29" i="6"/>
  <c r="G29" i="6"/>
  <c r="K29" i="6"/>
  <c r="R29" i="6"/>
  <c r="V29" i="6"/>
  <c r="Z29" i="6"/>
  <c r="U29" i="6"/>
  <c r="Q28" i="6"/>
  <c r="AA28" i="6" s="1"/>
  <c r="B28" i="6"/>
  <c r="K28" i="6" s="1"/>
  <c r="A28" i="6"/>
  <c r="AB28" i="6" s="1"/>
  <c r="AO28" i="6" s="1"/>
  <c r="AE27" i="6"/>
  <c r="AK28" i="6" l="1"/>
  <c r="AC28" i="6"/>
  <c r="AJ28" i="6"/>
  <c r="AP28" i="6"/>
  <c r="AI28" i="6"/>
  <c r="AG28" i="6"/>
  <c r="AF28" i="6"/>
  <c r="AL28" i="6"/>
  <c r="AQ28" i="6"/>
  <c r="AR28" i="6"/>
  <c r="AH28" i="6"/>
  <c r="AM28" i="6"/>
  <c r="AN28" i="6"/>
  <c r="U28" i="6"/>
  <c r="Y28" i="6"/>
  <c r="E28" i="6"/>
  <c r="I28" i="6"/>
  <c r="N28" i="6"/>
  <c r="T28" i="6"/>
  <c r="X28" i="6"/>
  <c r="C28" i="6"/>
  <c r="G28" i="6"/>
  <c r="R28" i="6"/>
  <c r="V28" i="6"/>
  <c r="Z28" i="6"/>
  <c r="AW28" i="6"/>
  <c r="AU28" i="6"/>
  <c r="AV28" i="6"/>
  <c r="AX28" i="6"/>
  <c r="AT28" i="6"/>
  <c r="F28" i="6"/>
  <c r="D28" i="6"/>
  <c r="H28" i="6"/>
  <c r="M28" i="6"/>
  <c r="S28" i="6"/>
  <c r="W28" i="6"/>
  <c r="Q27" i="6"/>
  <c r="AA27" i="6" s="1"/>
  <c r="B27" i="6"/>
  <c r="K27" i="6" s="1"/>
  <c r="A27" i="6"/>
  <c r="AB27" i="6" s="1"/>
  <c r="AO27" i="6" s="1"/>
  <c r="AE26" i="6"/>
  <c r="AG27" i="6" l="1"/>
  <c r="AC27" i="6"/>
  <c r="AQ27" i="6"/>
  <c r="AN27" i="6"/>
  <c r="AP27" i="6"/>
  <c r="AM27" i="6"/>
  <c r="AJ27" i="6"/>
  <c r="AL27" i="6"/>
  <c r="AK27" i="6"/>
  <c r="AI27" i="6"/>
  <c r="AF27" i="6"/>
  <c r="AH27" i="6"/>
  <c r="D27" i="6"/>
  <c r="H27" i="6"/>
  <c r="M27" i="6"/>
  <c r="S27" i="6"/>
  <c r="W27" i="6"/>
  <c r="C27" i="6"/>
  <c r="G27" i="6"/>
  <c r="R27" i="6"/>
  <c r="V27" i="6"/>
  <c r="Z27" i="6"/>
  <c r="U27" i="6"/>
  <c r="AX27" i="6"/>
  <c r="AT27" i="6"/>
  <c r="AV27" i="6"/>
  <c r="AW27" i="6"/>
  <c r="AU27" i="6"/>
  <c r="F27" i="6"/>
  <c r="Y27" i="6"/>
  <c r="E27" i="6"/>
  <c r="I27" i="6"/>
  <c r="N27" i="6"/>
  <c r="T27" i="6"/>
  <c r="X27" i="6"/>
  <c r="Q26" i="6"/>
  <c r="Y26" i="6" s="1"/>
  <c r="B26" i="6"/>
  <c r="A26" i="6"/>
  <c r="AB26" i="6" s="1"/>
  <c r="AQ26" i="6" s="1"/>
  <c r="AE25" i="6"/>
  <c r="AM26" i="6" l="1"/>
  <c r="AF26" i="6"/>
  <c r="AH26" i="6"/>
  <c r="AG26" i="6" s="1"/>
  <c r="AR26" i="6"/>
  <c r="AI26" i="6"/>
  <c r="AC26" i="6"/>
  <c r="AO26" i="6"/>
  <c r="AP26" i="6"/>
  <c r="AN26" i="6"/>
  <c r="AK26" i="6"/>
  <c r="AL26" i="6"/>
  <c r="AJ26" i="6"/>
  <c r="AU26" i="6"/>
  <c r="AW26" i="6"/>
  <c r="AX26" i="6"/>
  <c r="AT26" i="6"/>
  <c r="AV26" i="6"/>
  <c r="F26" i="6"/>
  <c r="E26" i="6"/>
  <c r="I26" i="6"/>
  <c r="N26" i="6"/>
  <c r="T26" i="6"/>
  <c r="X26" i="6"/>
  <c r="D26" i="6"/>
  <c r="H26" i="6"/>
  <c r="M26" i="6"/>
  <c r="S26" i="6"/>
  <c r="W26" i="6"/>
  <c r="AA26" i="6"/>
  <c r="C26" i="6"/>
  <c r="G26" i="6"/>
  <c r="K26" i="6"/>
  <c r="R26" i="6"/>
  <c r="V26" i="6"/>
  <c r="Z26" i="6"/>
  <c r="U26" i="6"/>
  <c r="Q25" i="6"/>
  <c r="Z25" i="6" s="1"/>
  <c r="B25" i="6"/>
  <c r="F25" i="6" s="1"/>
  <c r="A25" i="6"/>
  <c r="AB25" i="6" s="1"/>
  <c r="AO25" i="6" s="1"/>
  <c r="AE24" i="6"/>
  <c r="AN25" i="6" l="1"/>
  <c r="AP25" i="6"/>
  <c r="AQ25" i="6"/>
  <c r="AR25" i="6"/>
  <c r="AJ25" i="6"/>
  <c r="AI25" i="6"/>
  <c r="AK25" i="6"/>
  <c r="AM25" i="6"/>
  <c r="AL25" i="6" s="1"/>
  <c r="AF25" i="6"/>
  <c r="AG25" i="6"/>
  <c r="AH25" i="6"/>
  <c r="AC25" i="6"/>
  <c r="U25" i="6"/>
  <c r="Y25" i="6"/>
  <c r="AW25" i="6"/>
  <c r="AV25" i="6"/>
  <c r="AX25" i="6"/>
  <c r="AT25" i="6"/>
  <c r="AU25" i="6"/>
  <c r="E25" i="6"/>
  <c r="I25" i="6"/>
  <c r="N25" i="6"/>
  <c r="T25" i="6"/>
  <c r="X25" i="6"/>
  <c r="D25" i="6"/>
  <c r="H25" i="6"/>
  <c r="M25" i="6"/>
  <c r="S25" i="6"/>
  <c r="W25" i="6"/>
  <c r="AA25" i="6"/>
  <c r="C25" i="6"/>
  <c r="G25" i="6"/>
  <c r="K25" i="6"/>
  <c r="R25" i="6"/>
  <c r="V25" i="6"/>
  <c r="Q24" i="6"/>
  <c r="Y24" i="6" s="1"/>
  <c r="B24" i="6"/>
  <c r="A24" i="6"/>
  <c r="AB24" i="6" s="1"/>
  <c r="AO24" i="6" s="1"/>
  <c r="AE23" i="6"/>
  <c r="AP24" i="6" l="1"/>
  <c r="AF24" i="6"/>
  <c r="AL24" i="6"/>
  <c r="AK24" i="6" s="1"/>
  <c r="AH24" i="6"/>
  <c r="AI24" i="6"/>
  <c r="AQ24" i="6"/>
  <c r="AN24" i="6"/>
  <c r="AG24" i="6"/>
  <c r="AC24" i="6"/>
  <c r="AM24" i="6"/>
  <c r="AJ24" i="6"/>
  <c r="AR24" i="6"/>
  <c r="Z24" i="6"/>
  <c r="V24" i="6"/>
  <c r="R24" i="6"/>
  <c r="AW24" i="6"/>
  <c r="AS24" i="6"/>
  <c r="AX24" i="6"/>
  <c r="AT24" i="6"/>
  <c r="AU24" i="6"/>
  <c r="AV24" i="6"/>
  <c r="F24" i="6"/>
  <c r="E24" i="6"/>
  <c r="I24" i="6"/>
  <c r="N24" i="6"/>
  <c r="T24" i="6"/>
  <c r="X24" i="6"/>
  <c r="D24" i="6"/>
  <c r="H24" i="6"/>
  <c r="M24" i="6"/>
  <c r="S24" i="6"/>
  <c r="W24" i="6"/>
  <c r="AA24" i="6"/>
  <c r="C24" i="6"/>
  <c r="G24" i="6"/>
  <c r="K24" i="6"/>
  <c r="U24" i="6"/>
  <c r="Q23" i="6"/>
  <c r="B23" i="6"/>
  <c r="A23" i="6"/>
  <c r="AB23" i="6" s="1"/>
  <c r="AR23" i="6" s="1"/>
  <c r="AE22" i="6"/>
  <c r="AJ23" i="6" l="1"/>
  <c r="AH23" i="6"/>
  <c r="AG23" i="6" s="1"/>
  <c r="AI23" i="6"/>
  <c r="AC23" i="6"/>
  <c r="AP23" i="6"/>
  <c r="AQ23" i="6"/>
  <c r="AF23" i="6"/>
  <c r="AN23" i="6"/>
  <c r="AL23" i="6"/>
  <c r="AM23" i="6"/>
  <c r="AO23" i="6"/>
  <c r="AK23" i="6"/>
  <c r="Z23" i="6"/>
  <c r="AA23" i="6"/>
  <c r="U23" i="6"/>
  <c r="Y23" i="6"/>
  <c r="AV23" i="6"/>
  <c r="AW23" i="6"/>
  <c r="AS23" i="6"/>
  <c r="AX23" i="6"/>
  <c r="AT23" i="6"/>
  <c r="AU23" i="6"/>
  <c r="F23" i="6"/>
  <c r="E23" i="6"/>
  <c r="I23" i="6"/>
  <c r="N23" i="6"/>
  <c r="T23" i="6"/>
  <c r="X23" i="6"/>
  <c r="H23" i="6"/>
  <c r="W23" i="6"/>
  <c r="D23" i="6"/>
  <c r="M23" i="6"/>
  <c r="S23" i="6"/>
  <c r="C23" i="6"/>
  <c r="K23" i="6"/>
  <c r="R23" i="6"/>
  <c r="V23" i="6"/>
  <c r="Q22" i="6"/>
  <c r="AA22" i="6" s="1"/>
  <c r="B22" i="6"/>
  <c r="N22" i="6" s="1"/>
  <c r="A22" i="6"/>
  <c r="AB22" i="6" s="1"/>
  <c r="AO22" i="6" s="1"/>
  <c r="AE21" i="6"/>
  <c r="AG22" i="6" l="1"/>
  <c r="AC22" i="6"/>
  <c r="AQ22" i="6"/>
  <c r="AR22" i="6"/>
  <c r="AJ22" i="6"/>
  <c r="AM22" i="6"/>
  <c r="AN22" i="6"/>
  <c r="AF22" i="6"/>
  <c r="AP22" i="6"/>
  <c r="AL22" i="6"/>
  <c r="AK22" i="6" s="1"/>
  <c r="AH22" i="6"/>
  <c r="AI22" i="6"/>
  <c r="C22" i="6"/>
  <c r="K22" i="6"/>
  <c r="R22" i="6"/>
  <c r="V22" i="6"/>
  <c r="Z22" i="6"/>
  <c r="U22" i="6"/>
  <c r="Y22" i="6"/>
  <c r="E22" i="6"/>
  <c r="I22" i="6"/>
  <c r="T22" i="6"/>
  <c r="X22" i="6"/>
  <c r="AW22" i="6"/>
  <c r="AS22" i="6"/>
  <c r="AT22" i="6"/>
  <c r="AX22" i="6"/>
  <c r="AU22" i="6"/>
  <c r="AV22" i="6"/>
  <c r="F22" i="6"/>
  <c r="D22" i="6"/>
  <c r="H22" i="6"/>
  <c r="M22" i="6"/>
  <c r="S22" i="6"/>
  <c r="W22" i="6"/>
  <c r="Q21" i="6"/>
  <c r="AA21" i="6" s="1"/>
  <c r="B21" i="6"/>
  <c r="K21" i="6" s="1"/>
  <c r="A21" i="6"/>
  <c r="AB21" i="6" s="1"/>
  <c r="AO21" i="6" s="1"/>
  <c r="AE20" i="6"/>
  <c r="AC21" i="6" l="1"/>
  <c r="AN21" i="6"/>
  <c r="AQ21" i="6"/>
  <c r="AR21" i="6"/>
  <c r="AM21" i="6"/>
  <c r="AJ21" i="6"/>
  <c r="AL21" i="6"/>
  <c r="AI21" i="6"/>
  <c r="AK21" i="6"/>
  <c r="C21" i="6"/>
  <c r="G21" i="6"/>
  <c r="R21" i="6"/>
  <c r="V21" i="6"/>
  <c r="Z21" i="6"/>
  <c r="U21" i="6"/>
  <c r="Y21" i="6"/>
  <c r="AX21" i="6"/>
  <c r="AT21" i="6"/>
  <c r="AU21" i="6"/>
  <c r="AV21" i="6"/>
  <c r="AW21" i="6"/>
  <c r="AS21" i="6"/>
  <c r="F21" i="6"/>
  <c r="E21" i="6"/>
  <c r="I21" i="6"/>
  <c r="N21" i="6"/>
  <c r="T21" i="6"/>
  <c r="X21" i="6"/>
  <c r="D21" i="6"/>
  <c r="H21" i="6"/>
  <c r="M21" i="6"/>
  <c r="S21" i="6"/>
  <c r="W21" i="6"/>
  <c r="Q20" i="6"/>
  <c r="Y20" i="6" s="1"/>
  <c r="B20" i="6"/>
  <c r="A20" i="6"/>
  <c r="AB20" i="6" s="1"/>
  <c r="AO20" i="6" s="1"/>
  <c r="AE19" i="6"/>
  <c r="AQ20" i="6" l="1"/>
  <c r="AC20" i="6"/>
  <c r="AN20" i="6"/>
  <c r="AM20" i="6"/>
  <c r="AJ20" i="6"/>
  <c r="AI20" i="6"/>
  <c r="AK20" i="6"/>
  <c r="AL20" i="6"/>
  <c r="D20" i="6"/>
  <c r="H20" i="6"/>
  <c r="S20" i="6"/>
  <c r="W20" i="6"/>
  <c r="AA20" i="6"/>
  <c r="F20" i="6"/>
  <c r="E20" i="6"/>
  <c r="I20" i="6"/>
  <c r="N20" i="6"/>
  <c r="T20" i="6"/>
  <c r="X20" i="6"/>
  <c r="C20" i="6"/>
  <c r="K20" i="6"/>
  <c r="R20" i="6"/>
  <c r="V20" i="6"/>
  <c r="Z20" i="6"/>
  <c r="U20" i="6"/>
  <c r="Q19" i="6"/>
  <c r="AA19" i="6" s="1"/>
  <c r="B19" i="6"/>
  <c r="K19" i="6" s="1"/>
  <c r="A19" i="6"/>
  <c r="AB19" i="6" s="1"/>
  <c r="AO19" i="6" s="1"/>
  <c r="AE18" i="6"/>
  <c r="AQ19" i="6" l="1"/>
  <c r="AR19" i="6"/>
  <c r="AM19" i="6"/>
  <c r="AP19" i="6"/>
  <c r="AN19" i="6"/>
  <c r="AK19" i="6"/>
  <c r="AF19" i="6"/>
  <c r="AI19" i="6"/>
  <c r="AL19" i="6"/>
  <c r="AJ19" i="6"/>
  <c r="AC19" i="6"/>
  <c r="AH19" i="6"/>
  <c r="AG19" i="6" s="1"/>
  <c r="D19" i="6"/>
  <c r="H19" i="6"/>
  <c r="S19" i="6"/>
  <c r="W19" i="6"/>
  <c r="C19" i="6"/>
  <c r="R19" i="6"/>
  <c r="V19" i="6"/>
  <c r="Z19" i="6"/>
  <c r="U19" i="6"/>
  <c r="Y19" i="6"/>
  <c r="F19" i="6"/>
  <c r="E19" i="6"/>
  <c r="I19" i="6"/>
  <c r="N19" i="6"/>
  <c r="T19" i="6"/>
  <c r="X19" i="6"/>
  <c r="Q18" i="6"/>
  <c r="Z18" i="6" s="1"/>
  <c r="B18" i="6"/>
  <c r="M18" i="6" s="1"/>
  <c r="A18" i="6"/>
  <c r="AB18" i="6" s="1"/>
  <c r="AQ18" i="6" s="1"/>
  <c r="AE17" i="6"/>
  <c r="AM18" i="6" l="1"/>
  <c r="AI18" i="6"/>
  <c r="AR18" i="6"/>
  <c r="AC18" i="6"/>
  <c r="AO18" i="6"/>
  <c r="AN18" i="6"/>
  <c r="AK18" i="6"/>
  <c r="AL18" i="6"/>
  <c r="AJ18" i="6"/>
  <c r="D18" i="6"/>
  <c r="H18" i="6"/>
  <c r="S18" i="6"/>
  <c r="W18" i="6"/>
  <c r="AA18" i="6"/>
  <c r="AU18" i="6"/>
  <c r="AW18" i="6"/>
  <c r="AS18" i="6"/>
  <c r="AX18" i="6"/>
  <c r="AT18" i="6"/>
  <c r="AV18" i="6"/>
  <c r="F18" i="6"/>
  <c r="U18" i="6"/>
  <c r="Y18" i="6"/>
  <c r="E18" i="6"/>
  <c r="I18" i="6"/>
  <c r="N18" i="6"/>
  <c r="T18" i="6"/>
  <c r="X18" i="6"/>
  <c r="C18" i="6"/>
  <c r="G18" i="6"/>
  <c r="K18" i="6"/>
  <c r="R18" i="6"/>
  <c r="V18" i="6"/>
  <c r="Q17" i="6"/>
  <c r="Y17" i="6" s="1"/>
  <c r="B17" i="6"/>
  <c r="A17" i="6"/>
  <c r="AB17" i="6" s="1"/>
  <c r="AO17" i="6" s="1"/>
  <c r="AE16" i="6"/>
  <c r="AJ17" i="6" l="1"/>
  <c r="AM17" i="6"/>
  <c r="AR17" i="6"/>
  <c r="AC17" i="6"/>
  <c r="AN17" i="6"/>
  <c r="AQ17" i="6"/>
  <c r="AL17" i="6"/>
  <c r="AK17" i="6" s="1"/>
  <c r="AI17" i="6"/>
  <c r="F17" i="6"/>
  <c r="E17" i="6"/>
  <c r="I17" i="6"/>
  <c r="N17" i="6"/>
  <c r="T17" i="6"/>
  <c r="X17" i="6"/>
  <c r="D17" i="6"/>
  <c r="H17" i="6"/>
  <c r="S17" i="6"/>
  <c r="W17" i="6"/>
  <c r="AA17" i="6"/>
  <c r="C17" i="6"/>
  <c r="G17" i="6"/>
  <c r="K17" i="6"/>
  <c r="R17" i="6"/>
  <c r="V17" i="6"/>
  <c r="Z17" i="6"/>
  <c r="U17" i="6"/>
  <c r="Q16" i="6"/>
  <c r="Z16" i="6" s="1"/>
  <c r="B16" i="6"/>
  <c r="A16" i="6"/>
  <c r="AB16" i="6" s="1"/>
  <c r="AR16" i="6" s="1"/>
  <c r="AE15" i="6"/>
  <c r="AN16" i="6" l="1"/>
  <c r="AO16" i="6"/>
  <c r="AC16" i="6"/>
  <c r="AJ16" i="6"/>
  <c r="AK16" i="6"/>
  <c r="AP16" i="6"/>
  <c r="AQ16" i="6"/>
  <c r="AF16" i="6"/>
  <c r="AL16" i="6"/>
  <c r="AM16" i="6"/>
  <c r="AH16" i="6"/>
  <c r="AG16" i="6" s="1"/>
  <c r="AI16" i="6"/>
  <c r="U16" i="6"/>
  <c r="Y16" i="6"/>
  <c r="I16" i="6"/>
  <c r="D16" i="6"/>
  <c r="H16" i="6"/>
  <c r="S16" i="6"/>
  <c r="W16" i="6"/>
  <c r="AA16" i="6"/>
  <c r="F16" i="6"/>
  <c r="E16" i="6"/>
  <c r="N16" i="6"/>
  <c r="T16" i="6"/>
  <c r="X16" i="6"/>
  <c r="C16" i="6"/>
  <c r="G16" i="6"/>
  <c r="K16" i="6"/>
  <c r="R16" i="6"/>
  <c r="V16" i="6"/>
  <c r="Q15" i="6"/>
  <c r="V15" i="6" s="1"/>
  <c r="B15" i="6"/>
  <c r="K15" i="6" s="1"/>
  <c r="A15" i="6"/>
  <c r="AB15" i="6" s="1"/>
  <c r="AN15" i="6" s="1"/>
  <c r="AE14" i="6"/>
  <c r="AF15" i="6" l="1"/>
  <c r="AC15" i="6"/>
  <c r="AI15" i="6"/>
  <c r="AK15" i="6"/>
  <c r="AG15" i="6"/>
  <c r="AP15" i="6"/>
  <c r="AQ15" i="6"/>
  <c r="AL15" i="6"/>
  <c r="AJ15" i="6"/>
  <c r="AH15" i="6"/>
  <c r="AM15" i="6"/>
  <c r="AO15" i="6"/>
  <c r="D15" i="6"/>
  <c r="H15" i="6"/>
  <c r="M15" i="6"/>
  <c r="S15" i="6"/>
  <c r="W15" i="6"/>
  <c r="C15" i="6"/>
  <c r="G15" i="6"/>
  <c r="R15" i="6"/>
  <c r="AA15" i="6"/>
  <c r="Z15" i="6"/>
  <c r="AW15" i="6"/>
  <c r="AS15" i="6"/>
  <c r="AR15" i="6" s="1"/>
  <c r="AT15" i="6"/>
  <c r="AU15" i="6"/>
  <c r="AV15" i="6"/>
  <c r="AX15" i="6"/>
  <c r="F15" i="6"/>
  <c r="U15" i="6"/>
  <c r="Y15" i="6"/>
  <c r="E15" i="6"/>
  <c r="I15" i="6"/>
  <c r="N15" i="6"/>
  <c r="T15" i="6"/>
  <c r="X15" i="6"/>
  <c r="Q14" i="6"/>
  <c r="Y14" i="6" s="1"/>
  <c r="B14" i="6"/>
  <c r="D14" i="6" s="1"/>
  <c r="A14" i="6"/>
  <c r="AB14" i="6" s="1"/>
  <c r="AQ14" i="6" s="1"/>
  <c r="AE13" i="6"/>
  <c r="AM14" i="6" l="1"/>
  <c r="AF14" i="6"/>
  <c r="AH14" i="6"/>
  <c r="AR14" i="6"/>
  <c r="AP14" i="6"/>
  <c r="AC14" i="6"/>
  <c r="AO14" i="6"/>
  <c r="AN14" i="6"/>
  <c r="AL14" i="6"/>
  <c r="AK14" i="6" s="1"/>
  <c r="AJ14" i="6"/>
  <c r="AI14" i="6"/>
  <c r="AG14" i="6"/>
  <c r="S14" i="6"/>
  <c r="AU14" i="6"/>
  <c r="AW14" i="6"/>
  <c r="AS14" i="6"/>
  <c r="AV14" i="6"/>
  <c r="AX14" i="6"/>
  <c r="AT14" i="6"/>
  <c r="E14" i="6"/>
  <c r="I14" i="6"/>
  <c r="N14" i="6"/>
  <c r="T14" i="6"/>
  <c r="X14" i="6"/>
  <c r="H14" i="6"/>
  <c r="M14" i="6"/>
  <c r="W14" i="6"/>
  <c r="AA14" i="6"/>
  <c r="C14" i="6"/>
  <c r="G14" i="6"/>
  <c r="K14" i="6"/>
  <c r="R14" i="6"/>
  <c r="V14" i="6"/>
  <c r="Z14" i="6"/>
  <c r="F14" i="6"/>
  <c r="U14" i="6"/>
  <c r="Q13" i="6"/>
  <c r="Y13" i="6" s="1"/>
  <c r="B13" i="6"/>
  <c r="M13" i="6" s="1"/>
  <c r="A13" i="6"/>
  <c r="AB13" i="6" s="1"/>
  <c r="AR13" i="6" s="1"/>
  <c r="AE12" i="6"/>
  <c r="AP13" i="6" l="1"/>
  <c r="AM13" i="6"/>
  <c r="AN13" i="6"/>
  <c r="AO13" i="6"/>
  <c r="AG13" i="6"/>
  <c r="AH13" i="6"/>
  <c r="AI13" i="6"/>
  <c r="AJ13" i="6"/>
  <c r="AC13" i="6"/>
  <c r="AF13" i="6"/>
  <c r="AQ13" i="6"/>
  <c r="AL13" i="6"/>
  <c r="AK13" i="6" s="1"/>
  <c r="D13" i="6"/>
  <c r="K13" i="6"/>
  <c r="I13" i="6"/>
  <c r="W13" i="6"/>
  <c r="E13" i="6"/>
  <c r="R13" i="6"/>
  <c r="V13" i="6"/>
  <c r="AA13" i="6"/>
  <c r="C13" i="6"/>
  <c r="H13" i="6"/>
  <c r="N13" i="6"/>
  <c r="T13" i="6"/>
  <c r="Z13" i="6"/>
  <c r="G13" i="6"/>
  <c r="S13" i="6"/>
  <c r="X13" i="6"/>
  <c r="AV13" i="6"/>
  <c r="AW13" i="6"/>
  <c r="AS13" i="6"/>
  <c r="AX13" i="6"/>
  <c r="AU13" i="6"/>
  <c r="AT13" i="6"/>
  <c r="F13" i="6"/>
  <c r="U13" i="6"/>
  <c r="Q12" i="6"/>
  <c r="Y12" i="6" s="1"/>
  <c r="B12" i="6"/>
  <c r="A12" i="6"/>
  <c r="AB12" i="6" s="1"/>
  <c r="AR12" i="6" s="1"/>
  <c r="AE11" i="6"/>
  <c r="AN12" i="6" l="1"/>
  <c r="AK12" i="6"/>
  <c r="AQ12" i="6"/>
  <c r="AJ12" i="6"/>
  <c r="AG12" i="6"/>
  <c r="AL12" i="6"/>
  <c r="AM12" i="6"/>
  <c r="AF12" i="6"/>
  <c r="AH12" i="6"/>
  <c r="AI12" i="6"/>
  <c r="AP12" i="6"/>
  <c r="AO12" i="6" s="1"/>
  <c r="AC12" i="6"/>
  <c r="AV12" i="6"/>
  <c r="AW12" i="6"/>
  <c r="AS12" i="6"/>
  <c r="AX12" i="6"/>
  <c r="AT12" i="6"/>
  <c r="AU12" i="6"/>
  <c r="F12" i="6"/>
  <c r="E12" i="6"/>
  <c r="I12" i="6"/>
  <c r="N12" i="6"/>
  <c r="T12" i="6"/>
  <c r="X12" i="6"/>
  <c r="D12" i="6"/>
  <c r="H12" i="6"/>
  <c r="M12" i="6"/>
  <c r="S12" i="6"/>
  <c r="W12" i="6"/>
  <c r="AA12" i="6"/>
  <c r="C12" i="6"/>
  <c r="G12" i="6"/>
  <c r="K12" i="6"/>
  <c r="R12" i="6"/>
  <c r="V12" i="6"/>
  <c r="Z12" i="6"/>
  <c r="U12" i="6"/>
  <c r="Q11" i="6"/>
  <c r="AA11" i="6" s="1"/>
  <c r="B11" i="6"/>
  <c r="A11" i="6"/>
  <c r="AB11" i="6" s="1"/>
  <c r="AR11" i="6" s="1"/>
  <c r="AE10" i="6"/>
  <c r="AF11" i="6" l="1"/>
  <c r="AP11" i="6"/>
  <c r="AO11" i="6" s="1"/>
  <c r="AQ11" i="6"/>
  <c r="AI11" i="6"/>
  <c r="AK11" i="6"/>
  <c r="AL11" i="6"/>
  <c r="AM11" i="6"/>
  <c r="AN11" i="6"/>
  <c r="AG11" i="6"/>
  <c r="AH11" i="6"/>
  <c r="AJ11" i="6"/>
  <c r="AC11" i="6"/>
  <c r="AW11" i="6"/>
  <c r="AS11" i="6"/>
  <c r="AV11" i="6"/>
  <c r="AX11" i="6"/>
  <c r="AT11" i="6"/>
  <c r="AU11" i="6"/>
  <c r="E11" i="6"/>
  <c r="I11" i="6"/>
  <c r="N11" i="6"/>
  <c r="T11" i="6"/>
  <c r="X11" i="6"/>
  <c r="F11" i="6"/>
  <c r="D11" i="6"/>
  <c r="H11" i="6"/>
  <c r="S11" i="6"/>
  <c r="W11" i="6"/>
  <c r="C11" i="6"/>
  <c r="G11" i="6"/>
  <c r="K11" i="6"/>
  <c r="R11" i="6"/>
  <c r="V11" i="6"/>
  <c r="Z11" i="6"/>
  <c r="U11" i="6"/>
  <c r="Y11" i="6"/>
  <c r="Q10" i="6"/>
  <c r="Z10" i="6" s="1"/>
  <c r="B10" i="6"/>
  <c r="A10" i="6"/>
  <c r="AB10" i="6" s="1"/>
  <c r="AO10" i="6" s="1"/>
  <c r="AE9" i="6"/>
  <c r="AQ10" i="6" l="1"/>
  <c r="AR10" i="6"/>
  <c r="AM10" i="6"/>
  <c r="AP10" i="6"/>
  <c r="AH10" i="6"/>
  <c r="AN10" i="6"/>
  <c r="AJ10" i="6"/>
  <c r="AL10" i="6"/>
  <c r="AK10" i="6" s="1"/>
  <c r="AC10" i="6"/>
  <c r="AI10" i="6"/>
  <c r="AF10" i="6"/>
  <c r="AG10" i="6"/>
  <c r="U10" i="6"/>
  <c r="Y10" i="6"/>
  <c r="AW10" i="6"/>
  <c r="AS10" i="6"/>
  <c r="AX10" i="6"/>
  <c r="AT10" i="6"/>
  <c r="AV10" i="6"/>
  <c r="AU10" i="6"/>
  <c r="F10" i="6"/>
  <c r="E10" i="6"/>
  <c r="I10" i="6"/>
  <c r="N10" i="6"/>
  <c r="T10" i="6"/>
  <c r="X10" i="6"/>
  <c r="D10" i="6"/>
  <c r="H10" i="6"/>
  <c r="S10" i="6"/>
  <c r="W10" i="6"/>
  <c r="AA10" i="6"/>
  <c r="C10" i="6"/>
  <c r="G10" i="6"/>
  <c r="K10" i="6"/>
  <c r="R10" i="6"/>
  <c r="V10" i="6"/>
  <c r="Q9" i="6"/>
  <c r="X9" i="6" s="1"/>
  <c r="B9" i="6"/>
  <c r="H9" i="6" s="1"/>
  <c r="A9" i="6"/>
  <c r="AB9" i="6" s="1"/>
  <c r="AO9" i="6" s="1"/>
  <c r="AE8" i="6"/>
  <c r="AH9" i="6" l="1"/>
  <c r="AG9" i="6"/>
  <c r="AF9" i="6"/>
  <c r="AR9" i="6"/>
  <c r="AC9" i="6"/>
  <c r="AN9" i="6"/>
  <c r="AP9" i="6"/>
  <c r="AQ9" i="6"/>
  <c r="AJ9" i="6"/>
  <c r="AI9" i="6"/>
  <c r="AK9" i="6"/>
  <c r="AM9" i="6"/>
  <c r="AL9" i="6" s="1"/>
  <c r="G9" i="6"/>
  <c r="W9" i="6"/>
  <c r="D9" i="6"/>
  <c r="M9" i="6"/>
  <c r="V9" i="6"/>
  <c r="C9" i="6"/>
  <c r="K9" i="6"/>
  <c r="S9" i="6"/>
  <c r="AA9" i="6"/>
  <c r="R9" i="6"/>
  <c r="Z9" i="6"/>
  <c r="AW9" i="6"/>
  <c r="AS9" i="6"/>
  <c r="AV9" i="6"/>
  <c r="AX9" i="6"/>
  <c r="AT9" i="6"/>
  <c r="AU9" i="6"/>
  <c r="F9" i="6"/>
  <c r="U9" i="6"/>
  <c r="Y9" i="6"/>
  <c r="E9" i="6"/>
  <c r="I9" i="6"/>
  <c r="N9" i="6"/>
  <c r="T9" i="6"/>
  <c r="Q8" i="6"/>
  <c r="AA8" i="6" s="1"/>
  <c r="B8" i="6"/>
  <c r="A8" i="6"/>
  <c r="AB8" i="6" s="1"/>
  <c r="AP8" i="6" s="1"/>
  <c r="AE7" i="6"/>
  <c r="AM8" i="6" l="1"/>
  <c r="AF8" i="6"/>
  <c r="AK8" i="6"/>
  <c r="AL8" i="6"/>
  <c r="AI8" i="6"/>
  <c r="AR8" i="6"/>
  <c r="AG8" i="6"/>
  <c r="AH8" i="6"/>
  <c r="AC8" i="6"/>
  <c r="AN8" i="6"/>
  <c r="AQ8" i="6"/>
  <c r="AJ8" i="6"/>
  <c r="AO8" i="6"/>
  <c r="AX8" i="6"/>
  <c r="AT8" i="6"/>
  <c r="AU8" i="6"/>
  <c r="AV8" i="6"/>
  <c r="AW8" i="6"/>
  <c r="AS8" i="6"/>
  <c r="F8" i="6"/>
  <c r="U8" i="6"/>
  <c r="C8" i="6"/>
  <c r="G8" i="6"/>
  <c r="K8" i="6"/>
  <c r="R8" i="6"/>
  <c r="V8" i="6"/>
  <c r="Z8" i="6"/>
  <c r="Y8" i="6"/>
  <c r="E8" i="6"/>
  <c r="I8" i="6"/>
  <c r="N8" i="6"/>
  <c r="T8" i="6"/>
  <c r="X8" i="6"/>
  <c r="D8" i="6"/>
  <c r="H8" i="6"/>
  <c r="S8" i="6"/>
  <c r="W8" i="6"/>
  <c r="Q7" i="6"/>
  <c r="V7" i="6" s="1"/>
  <c r="B7" i="6"/>
  <c r="K7" i="6" s="1"/>
  <c r="A7" i="6"/>
  <c r="AB7" i="6" s="1"/>
  <c r="AO7" i="6" s="1"/>
  <c r="AE6" i="6"/>
  <c r="AC7" i="6" l="1"/>
  <c r="AI7" i="6"/>
  <c r="AJ7" i="6"/>
  <c r="AP7" i="6"/>
  <c r="AF7" i="6"/>
  <c r="AK7" i="6"/>
  <c r="AL7" i="6"/>
  <c r="AR7" i="6"/>
  <c r="AQ7" i="6" s="1"/>
  <c r="AG7" i="6"/>
  <c r="AH7" i="6"/>
  <c r="AM7" i="6"/>
  <c r="AN7" i="6"/>
  <c r="D7" i="6"/>
  <c r="H7" i="6"/>
  <c r="S7" i="6"/>
  <c r="W7" i="6"/>
  <c r="C7" i="6"/>
  <c r="G7" i="6"/>
  <c r="R7" i="6"/>
  <c r="Z7" i="6"/>
  <c r="AA7" i="6"/>
  <c r="U7" i="6"/>
  <c r="Y7" i="6"/>
  <c r="AX7" i="6"/>
  <c r="AT7" i="6"/>
  <c r="AU7" i="6"/>
  <c r="AV7" i="6"/>
  <c r="AW7" i="6"/>
  <c r="AS7" i="6"/>
  <c r="F7" i="6"/>
  <c r="E7" i="6"/>
  <c r="I7" i="6"/>
  <c r="N7" i="6"/>
  <c r="T7" i="6"/>
  <c r="X7" i="6"/>
  <c r="Q6" i="6"/>
  <c r="Y6" i="6" s="1"/>
  <c r="B6" i="6"/>
  <c r="A6" i="6"/>
  <c r="AB6" i="6" s="1"/>
  <c r="AQ6" i="6" s="1"/>
  <c r="AE5" i="6"/>
  <c r="AM6" i="6" l="1"/>
  <c r="AO6" i="6"/>
  <c r="AP6" i="6"/>
  <c r="AI6" i="6"/>
  <c r="AR6" i="6"/>
  <c r="AK6" i="6"/>
  <c r="AL6" i="6"/>
  <c r="AC6" i="6"/>
  <c r="AJ6" i="6"/>
  <c r="AF6" i="6"/>
  <c r="AH6" i="6"/>
  <c r="AG6" i="6" s="1"/>
  <c r="AN6" i="6"/>
  <c r="AU6" i="6"/>
  <c r="AW6" i="6"/>
  <c r="AS6" i="6"/>
  <c r="AX6" i="6"/>
  <c r="AT6" i="6"/>
  <c r="AV6" i="6"/>
  <c r="E6" i="6"/>
  <c r="I6" i="6"/>
  <c r="N6" i="6"/>
  <c r="T6" i="6"/>
  <c r="X6" i="6"/>
  <c r="D6" i="6"/>
  <c r="H6" i="6"/>
  <c r="M6" i="6"/>
  <c r="S6" i="6"/>
  <c r="W6" i="6"/>
  <c r="AA6" i="6"/>
  <c r="F6" i="6"/>
  <c r="C6" i="6"/>
  <c r="G6" i="6"/>
  <c r="K6" i="6"/>
  <c r="R6" i="6"/>
  <c r="V6" i="6"/>
  <c r="Z6" i="6"/>
  <c r="U6" i="6"/>
  <c r="Q5" i="6"/>
  <c r="Z5" i="6" s="1"/>
  <c r="B5" i="6"/>
  <c r="A5" i="6"/>
  <c r="AB5" i="6" s="1"/>
  <c r="AO5" i="6" s="1"/>
  <c r="AE4" i="6"/>
  <c r="AJ5" i="6" l="1"/>
  <c r="AC5" i="6"/>
  <c r="AI5" i="6"/>
  <c r="AK5" i="6"/>
  <c r="AH5" i="6"/>
  <c r="AG5" i="6"/>
  <c r="AF5" i="6"/>
  <c r="AR5" i="6"/>
  <c r="AM5" i="6"/>
  <c r="AL5" i="6" s="1"/>
  <c r="AN5" i="6"/>
  <c r="AP5" i="6"/>
  <c r="AQ5" i="6"/>
  <c r="F5" i="6"/>
  <c r="I5" i="6"/>
  <c r="T5" i="6"/>
  <c r="D5" i="6"/>
  <c r="H5" i="6"/>
  <c r="M5" i="6"/>
  <c r="S5" i="6"/>
  <c r="W5" i="6"/>
  <c r="AA5" i="6"/>
  <c r="U5" i="6"/>
  <c r="Y5" i="6"/>
  <c r="E5" i="6"/>
  <c r="N5" i="6"/>
  <c r="X5" i="6"/>
  <c r="C5" i="6"/>
  <c r="G5" i="6"/>
  <c r="K5" i="6"/>
  <c r="R5" i="6"/>
  <c r="V5" i="6"/>
  <c r="Q4" i="6"/>
  <c r="Z4" i="6" s="1"/>
  <c r="B4" i="6"/>
  <c r="M4" i="6" s="1"/>
  <c r="A4" i="6"/>
  <c r="Y4" i="6" l="1"/>
  <c r="E4" i="6"/>
  <c r="I4" i="6"/>
  <c r="N4" i="6"/>
  <c r="T4" i="6"/>
  <c r="X4" i="6"/>
  <c r="D4" i="6"/>
  <c r="H4" i="6"/>
  <c r="S4" i="6"/>
  <c r="W4" i="6"/>
  <c r="AA4" i="6"/>
  <c r="F4" i="6"/>
  <c r="U4" i="6"/>
  <c r="C4" i="6"/>
  <c r="G4" i="6"/>
  <c r="K4" i="6"/>
  <c r="R4" i="6"/>
  <c r="V4" i="6"/>
  <c r="F78" i="18"/>
  <c r="B78" i="18"/>
  <c r="H78" i="18" s="1"/>
  <c r="A78" i="18"/>
  <c r="F77" i="18" s="1"/>
  <c r="B77" i="18"/>
  <c r="K77" i="18" s="1"/>
  <c r="A77" i="18"/>
  <c r="J77" i="18" l="1"/>
  <c r="E77" i="18"/>
  <c r="I77" i="18"/>
  <c r="D77" i="18"/>
  <c r="H77" i="18"/>
  <c r="L77" i="18"/>
  <c r="E78" i="18"/>
  <c r="D78" i="18" s="1"/>
  <c r="C77" i="18"/>
  <c r="G77" i="18"/>
  <c r="C78" i="18"/>
  <c r="K78" i="18"/>
  <c r="I78" i="18"/>
  <c r="L78" i="18"/>
  <c r="J78" i="18"/>
  <c r="G78" i="18"/>
  <c r="F76" i="18"/>
  <c r="B76" i="18"/>
  <c r="E76" i="18" s="1"/>
  <c r="A76" i="18"/>
  <c r="F75" i="18" s="1"/>
  <c r="A75" i="18" l="1"/>
  <c r="F74" i="18" s="1"/>
  <c r="C76" i="18"/>
  <c r="D76" i="18"/>
  <c r="B75" i="18"/>
  <c r="K76" i="18"/>
  <c r="G76" i="18"/>
  <c r="L76" i="18"/>
  <c r="I76" i="18"/>
  <c r="J76" i="18"/>
  <c r="B74" i="18"/>
  <c r="A74" i="18"/>
  <c r="J75" i="18" l="1"/>
  <c r="L75" i="18"/>
  <c r="K75" i="18" s="1"/>
  <c r="E75" i="18"/>
  <c r="G75" i="18"/>
  <c r="C75" i="18"/>
  <c r="I75" i="18"/>
  <c r="D75" i="18"/>
  <c r="I74" i="18"/>
  <c r="E74" i="18"/>
  <c r="J74" i="18"/>
  <c r="D74" i="18"/>
  <c r="K74" i="18"/>
  <c r="G74" i="18"/>
  <c r="C74" i="18"/>
  <c r="L74" i="18"/>
  <c r="H74" i="18"/>
  <c r="F73" i="18"/>
  <c r="B73" i="18"/>
  <c r="L73" i="18" s="1"/>
  <c r="D73" i="18" l="1"/>
  <c r="K73" i="18"/>
  <c r="I73" i="18"/>
  <c r="H73" i="18"/>
  <c r="J73" i="18"/>
  <c r="E73" i="18"/>
  <c r="C73" i="18"/>
  <c r="G73" i="18"/>
  <c r="A73" i="18"/>
  <c r="F72" i="18" l="1"/>
  <c r="B72" i="18"/>
  <c r="A72" i="18" s="1"/>
  <c r="B71" i="18" s="1"/>
  <c r="K71" i="18" s="1"/>
  <c r="F71" i="18" l="1"/>
  <c r="A71" i="18"/>
  <c r="J71" i="18"/>
  <c r="C72" i="18"/>
  <c r="G72" i="18"/>
  <c r="L72" i="18"/>
  <c r="K72" i="18"/>
  <c r="J72" i="18" s="1"/>
  <c r="D71" i="18"/>
  <c r="L71" i="18"/>
  <c r="E72" i="18"/>
  <c r="I72" i="18"/>
  <c r="E71" i="18"/>
  <c r="I71" i="18"/>
  <c r="C71" i="18"/>
  <c r="G71" i="18"/>
  <c r="D72" i="18"/>
  <c r="F70" i="18" l="1"/>
  <c r="A70" i="18"/>
  <c r="B70" i="18"/>
  <c r="K70" i="18" l="1"/>
  <c r="I70" i="18"/>
  <c r="G70" i="18"/>
  <c r="L70" i="18"/>
  <c r="J70" i="18"/>
  <c r="E70" i="18"/>
  <c r="C70" i="18"/>
  <c r="D70" i="18"/>
  <c r="F69" i="18"/>
  <c r="A69" i="18"/>
  <c r="F68" i="18" s="1"/>
  <c r="B69" i="18"/>
  <c r="B68" i="18" l="1"/>
  <c r="C68" i="18" s="1"/>
  <c r="A68" i="18"/>
  <c r="B67" i="18"/>
  <c r="K67" i="18" s="1"/>
  <c r="C69" i="18"/>
  <c r="K69" i="18"/>
  <c r="E69" i="18"/>
  <c r="J69" i="18"/>
  <c r="G69" i="18"/>
  <c r="L69" i="18"/>
  <c r="I69" i="18"/>
  <c r="D69" i="18"/>
  <c r="K68" i="18"/>
  <c r="J68" i="18"/>
  <c r="H68" i="18" l="1"/>
  <c r="L68" i="18"/>
  <c r="G68" i="18"/>
  <c r="D68" i="18"/>
  <c r="I68" i="18"/>
  <c r="E68" i="18"/>
  <c r="A67" i="18"/>
  <c r="F67" i="18"/>
  <c r="E67" i="18"/>
  <c r="C67" i="18"/>
  <c r="J67" i="18"/>
  <c r="L67" i="18"/>
  <c r="G67" i="18"/>
  <c r="D67" i="18"/>
  <c r="I67" i="18"/>
  <c r="H67" i="18"/>
  <c r="F66" i="18" l="1"/>
  <c r="B66" i="18"/>
  <c r="A66" i="18"/>
  <c r="F65" i="18" l="1"/>
  <c r="B65" i="18"/>
  <c r="A65" i="18"/>
  <c r="K66" i="18"/>
  <c r="H66" i="18"/>
  <c r="E66" i="18"/>
  <c r="I66" i="18"/>
  <c r="C66" i="18"/>
  <c r="J66" i="18"/>
  <c r="G66" i="18"/>
  <c r="L66" i="18"/>
  <c r="D66" i="18"/>
  <c r="A64" i="18" l="1"/>
  <c r="B64" i="18"/>
  <c r="F64" i="18"/>
  <c r="I65" i="18"/>
  <c r="G65" i="18"/>
  <c r="J65" i="18"/>
  <c r="D65" i="18"/>
  <c r="L65" i="18"/>
  <c r="E65" i="18"/>
  <c r="C65" i="18"/>
  <c r="H65" i="18"/>
  <c r="K65" i="18"/>
  <c r="E64" i="18" l="1"/>
  <c r="L64" i="18"/>
  <c r="K64" i="18"/>
  <c r="H64" i="18"/>
  <c r="G64" i="18"/>
  <c r="I64" i="18"/>
  <c r="C64" i="18"/>
  <c r="J64" i="18"/>
  <c r="D64" i="18"/>
  <c r="F63" i="18"/>
  <c r="A63" i="18"/>
  <c r="F62" i="18" s="1"/>
  <c r="B63" i="18"/>
  <c r="A62" i="18"/>
  <c r="L63" i="18" l="1"/>
  <c r="E63" i="18"/>
  <c r="C63" i="18"/>
  <c r="H63" i="18"/>
  <c r="J63" i="18"/>
  <c r="D63" i="18"/>
  <c r="K63" i="18"/>
  <c r="I63" i="18"/>
  <c r="G63" i="18"/>
  <c r="B62" i="18"/>
  <c r="I62" i="18" s="1"/>
  <c r="F61" i="18"/>
  <c r="G62" i="18" l="1"/>
  <c r="E62" i="18"/>
  <c r="H62" i="18"/>
  <c r="J62" i="18"/>
  <c r="L62" i="18"/>
  <c r="C62" i="18"/>
  <c r="K62" i="18"/>
  <c r="D62" i="18"/>
  <c r="B61" i="18"/>
  <c r="A61" i="18"/>
  <c r="K61" i="18" l="1"/>
  <c r="L61" i="18"/>
  <c r="I61" i="18"/>
  <c r="J61" i="18"/>
  <c r="G61" i="18"/>
  <c r="C61" i="18"/>
  <c r="H61" i="18"/>
  <c r="E61" i="18"/>
  <c r="D61" i="18"/>
  <c r="F60" i="18"/>
  <c r="B60" i="18"/>
  <c r="C60" i="18" s="1"/>
  <c r="A60" i="18"/>
  <c r="F59" i="18" s="1"/>
  <c r="K60" i="18" l="1"/>
  <c r="G60" i="18"/>
  <c r="L60" i="18"/>
  <c r="H60" i="18"/>
  <c r="I60" i="18"/>
  <c r="J60" i="18"/>
  <c r="E60" i="18"/>
  <c r="D60" i="18"/>
  <c r="B59" i="18"/>
  <c r="A59" i="18"/>
  <c r="F58" i="18"/>
  <c r="L59" i="18" l="1"/>
  <c r="H59" i="18"/>
  <c r="D59" i="18"/>
  <c r="I59" i="18"/>
  <c r="E59" i="18"/>
  <c r="K59" i="18"/>
  <c r="G59" i="18"/>
  <c r="C59" i="18"/>
  <c r="J59" i="18"/>
  <c r="B58" i="18"/>
  <c r="A58" i="18"/>
  <c r="F57" i="18"/>
  <c r="G58" i="18" l="1"/>
  <c r="C58" i="18"/>
  <c r="L58" i="18"/>
  <c r="H58" i="18"/>
  <c r="D58" i="18"/>
  <c r="J58" i="18"/>
  <c r="I58" i="18"/>
  <c r="E58" i="18"/>
  <c r="B57" i="18"/>
  <c r="A57" i="18"/>
  <c r="L57" i="18" l="1"/>
  <c r="G57" i="18"/>
  <c r="C57" i="18"/>
  <c r="I57" i="18"/>
  <c r="H57" i="18" s="1"/>
  <c r="D57" i="18"/>
  <c r="J57" i="18"/>
  <c r="E57" i="18"/>
  <c r="F56" i="18"/>
  <c r="B56" i="18"/>
  <c r="A56" i="18"/>
  <c r="F55" i="18" s="1"/>
  <c r="I56" i="18" l="1"/>
  <c r="H56" i="18" s="1"/>
  <c r="L56" i="18"/>
  <c r="G56" i="18"/>
  <c r="J56" i="18"/>
  <c r="D56" i="18"/>
  <c r="E56" i="18"/>
  <c r="C56" i="18"/>
  <c r="B55" i="18"/>
  <c r="A55" i="18"/>
  <c r="F54" i="18" s="1"/>
  <c r="J55" i="18" l="1"/>
  <c r="G55" i="18"/>
  <c r="C55" i="18"/>
  <c r="I55" i="18"/>
  <c r="E55" i="18"/>
  <c r="L55" i="18"/>
  <c r="D55" i="18"/>
  <c r="B54" i="18"/>
  <c r="A54" i="18"/>
  <c r="F53" i="18" s="1"/>
  <c r="G54" i="18" l="1"/>
  <c r="C54" i="18"/>
  <c r="L54" i="18"/>
  <c r="D54" i="18"/>
  <c r="I54" i="18"/>
  <c r="E54" i="18"/>
  <c r="J54" i="18"/>
  <c r="B53" i="18"/>
  <c r="A53" i="18"/>
  <c r="L53" i="18" l="1"/>
  <c r="D53" i="18"/>
  <c r="C53" i="18"/>
  <c r="I53" i="18"/>
  <c r="E53" i="18"/>
  <c r="J53" i="18"/>
  <c r="G53" i="18"/>
  <c r="F52" i="18"/>
  <c r="B52" i="18"/>
  <c r="C52" i="18" s="1"/>
  <c r="A52" i="18"/>
  <c r="F51" i="18" s="1"/>
  <c r="L52" i="18" l="1"/>
  <c r="G52" i="18"/>
  <c r="I52" i="18"/>
  <c r="H52" i="18" s="1"/>
  <c r="J52" i="18"/>
  <c r="E52" i="18"/>
  <c r="D52" i="18"/>
  <c r="B51" i="18"/>
  <c r="A51" i="18"/>
  <c r="F50" i="18" s="1"/>
  <c r="L51" i="18" l="1"/>
  <c r="H51" i="18"/>
  <c r="D51" i="18"/>
  <c r="J51" i="18"/>
  <c r="I51" i="18"/>
  <c r="E51" i="18"/>
  <c r="G51" i="18"/>
  <c r="C51" i="18"/>
  <c r="B50" i="18"/>
  <c r="A50" i="18"/>
  <c r="F49" i="18" s="1"/>
  <c r="G50" i="18" l="1"/>
  <c r="C50" i="18"/>
  <c r="J50" i="18"/>
  <c r="L50" i="18"/>
  <c r="H50" i="18"/>
  <c r="D50" i="18"/>
  <c r="I50" i="18"/>
  <c r="E50" i="18"/>
  <c r="B49" i="18"/>
  <c r="A49" i="18"/>
  <c r="L49" i="18" l="1"/>
  <c r="G49" i="18"/>
  <c r="C49" i="18"/>
  <c r="I49" i="18"/>
  <c r="H49" i="18" s="1"/>
  <c r="D49" i="18"/>
  <c r="J49" i="18"/>
  <c r="E49" i="18"/>
  <c r="F48" i="18"/>
  <c r="B48" i="18" l="1"/>
  <c r="C48" i="18" s="1"/>
  <c r="A48" i="18"/>
  <c r="F47" i="18"/>
  <c r="B47" i="18"/>
  <c r="I47" i="18" s="1"/>
  <c r="A47" i="18"/>
  <c r="F46" i="18" s="1"/>
  <c r="D47" i="18" l="1"/>
  <c r="H47" i="18"/>
  <c r="L47" i="18"/>
  <c r="D48" i="18"/>
  <c r="C47" i="18"/>
  <c r="G47" i="18"/>
  <c r="I48" i="18"/>
  <c r="J48" i="18"/>
  <c r="G48" i="18"/>
  <c r="L48" i="18"/>
  <c r="H48" i="18"/>
  <c r="E48" i="18"/>
  <c r="J47" i="18"/>
  <c r="E47" i="18"/>
  <c r="B46" i="18"/>
  <c r="A46" i="18"/>
  <c r="F45" i="18"/>
  <c r="I46" i="18" l="1"/>
  <c r="E46" i="18"/>
  <c r="G46" i="18"/>
  <c r="C46" i="18"/>
  <c r="L46" i="18"/>
  <c r="H46" i="18"/>
  <c r="D46" i="18"/>
  <c r="J46" i="18"/>
  <c r="B45" i="18"/>
  <c r="A45" i="18"/>
  <c r="J45" i="18" l="1"/>
  <c r="E45" i="18"/>
  <c r="L45" i="18"/>
  <c r="G45" i="18"/>
  <c r="C45" i="18"/>
  <c r="I45" i="18"/>
  <c r="H45" i="18" s="1"/>
  <c r="D45" i="18"/>
  <c r="F44" i="18"/>
  <c r="B44" i="18"/>
  <c r="E44" i="18" s="1"/>
  <c r="A44" i="18"/>
  <c r="F43" i="18"/>
  <c r="C44" i="18" l="1"/>
  <c r="D44" i="18"/>
  <c r="L44" i="18"/>
  <c r="H44" i="18"/>
  <c r="I44" i="18"/>
  <c r="J44" i="18"/>
  <c r="G44" i="18"/>
  <c r="B43" i="18"/>
  <c r="A43" i="18"/>
  <c r="F42" i="18"/>
  <c r="J43" i="18" l="1"/>
  <c r="L43" i="18"/>
  <c r="H43" i="18"/>
  <c r="D43" i="18"/>
  <c r="I43" i="18"/>
  <c r="E43" i="18"/>
  <c r="G43" i="18"/>
  <c r="C43" i="18"/>
  <c r="B42" i="18"/>
  <c r="A42" i="18"/>
  <c r="F41" i="18" s="1"/>
  <c r="I42" i="18" l="1"/>
  <c r="H42" i="18" s="1"/>
  <c r="D42" i="18"/>
  <c r="J42" i="18"/>
  <c r="E42" i="18"/>
  <c r="L42" i="18"/>
  <c r="G42" i="18"/>
  <c r="C42" i="18"/>
  <c r="B41" i="18"/>
  <c r="A41" i="18"/>
  <c r="L41" i="18" l="1"/>
  <c r="G41" i="18"/>
  <c r="C41" i="18"/>
  <c r="H41" i="18"/>
  <c r="D41" i="18"/>
  <c r="J41" i="18"/>
  <c r="I41" i="18"/>
  <c r="E41" i="18"/>
  <c r="F40" i="18"/>
  <c r="B40" i="18"/>
  <c r="E40" i="18" s="1"/>
  <c r="A40" i="18"/>
  <c r="F39" i="18"/>
  <c r="J40" i="18" l="1"/>
  <c r="L40" i="18"/>
  <c r="G40" i="18"/>
  <c r="I40" i="18"/>
  <c r="H40" i="18" s="1"/>
  <c r="D40" i="18"/>
  <c r="C40" i="18"/>
  <c r="B39" i="18"/>
  <c r="A39" i="18"/>
  <c r="F38" i="18" s="1"/>
  <c r="G39" i="18" l="1"/>
  <c r="C39" i="18"/>
  <c r="H39" i="18"/>
  <c r="L39" i="18"/>
  <c r="D39" i="18"/>
  <c r="I39" i="18"/>
  <c r="E39" i="18"/>
  <c r="J39" i="18"/>
  <c r="B38" i="18"/>
  <c r="A38" i="18"/>
  <c r="F37" i="18" s="1"/>
  <c r="J38" i="18" l="1"/>
  <c r="L38" i="18"/>
  <c r="H38" i="18"/>
  <c r="D38" i="18"/>
  <c r="I38" i="18"/>
  <c r="E38" i="18"/>
  <c r="G38" i="18"/>
  <c r="C38" i="18"/>
  <c r="B37" i="18"/>
  <c r="A37" i="18"/>
  <c r="L37" i="18" l="1"/>
  <c r="H37" i="18"/>
  <c r="D37" i="18"/>
  <c r="I37" i="18"/>
  <c r="E37" i="18"/>
  <c r="G37" i="18"/>
  <c r="C37" i="18"/>
  <c r="J37" i="18"/>
  <c r="F36" i="18"/>
  <c r="B36" i="18"/>
  <c r="E36" i="18" s="1"/>
  <c r="A36" i="18"/>
  <c r="F35" i="18" s="1"/>
  <c r="C36" i="18" l="1"/>
  <c r="L36" i="18"/>
  <c r="H36" i="18"/>
  <c r="G36" i="18"/>
  <c r="I36" i="18"/>
  <c r="J36" i="18"/>
  <c r="D36" i="18"/>
  <c r="B35" i="18"/>
  <c r="A35" i="18"/>
  <c r="F34" i="18"/>
  <c r="L35" i="18" l="1"/>
  <c r="H35" i="18"/>
  <c r="D35" i="18"/>
  <c r="I35" i="18"/>
  <c r="E35" i="18"/>
  <c r="G35" i="18"/>
  <c r="C35" i="18"/>
  <c r="J35" i="18"/>
  <c r="B34" i="18"/>
  <c r="A34" i="18"/>
  <c r="F33" i="18"/>
  <c r="G34" i="18" l="1"/>
  <c r="C34" i="18"/>
  <c r="L34" i="18"/>
  <c r="H34" i="18"/>
  <c r="D34" i="18"/>
  <c r="I34" i="18"/>
  <c r="E34" i="18"/>
  <c r="J34" i="18"/>
  <c r="B33" i="18"/>
  <c r="A33" i="18"/>
  <c r="L33" i="18" l="1"/>
  <c r="G33" i="18"/>
  <c r="C33" i="18"/>
  <c r="I33" i="18"/>
  <c r="E33" i="18"/>
  <c r="H33" i="18"/>
  <c r="D33" i="18"/>
  <c r="J33" i="18"/>
  <c r="F32" i="18"/>
  <c r="B32" i="18"/>
  <c r="A32" i="18"/>
  <c r="F31" i="18"/>
  <c r="L32" i="18" l="1"/>
  <c r="G32" i="18"/>
  <c r="I32" i="18"/>
  <c r="H32" i="18" s="1"/>
  <c r="J32" i="18"/>
  <c r="E32" i="18"/>
  <c r="D32" i="18"/>
  <c r="C32" i="18"/>
  <c r="B31" i="18"/>
  <c r="A31" i="18"/>
  <c r="F30" i="18" s="1"/>
  <c r="G31" i="18" l="1"/>
  <c r="C31" i="18"/>
  <c r="J31" i="18"/>
  <c r="L31" i="18"/>
  <c r="H31" i="18"/>
  <c r="D31" i="18"/>
  <c r="I31" i="18"/>
  <c r="E31" i="18"/>
  <c r="B30" i="18"/>
  <c r="A30" i="18"/>
  <c r="F29" i="18"/>
  <c r="G30" i="18" l="1"/>
  <c r="C30" i="18"/>
  <c r="L30" i="18"/>
  <c r="H30" i="18"/>
  <c r="D30" i="18"/>
  <c r="J30" i="18"/>
  <c r="I30" i="18"/>
  <c r="E30" i="18"/>
  <c r="B29" i="18"/>
  <c r="A29" i="18"/>
  <c r="L29" i="18" l="1"/>
  <c r="G29" i="18"/>
  <c r="C29" i="18"/>
  <c r="H29" i="18"/>
  <c r="D29" i="18"/>
  <c r="J29" i="18"/>
  <c r="I29" i="18"/>
  <c r="E29" i="18"/>
  <c r="F28" i="18"/>
  <c r="B28" i="18"/>
  <c r="E28" i="18" s="1"/>
  <c r="A28" i="18"/>
  <c r="F27" i="18" s="1"/>
  <c r="I28" i="18" l="1"/>
  <c r="J28" i="18"/>
  <c r="G28" i="18"/>
  <c r="L28" i="18"/>
  <c r="H28" i="18"/>
  <c r="D28" i="18"/>
  <c r="C28" i="18"/>
  <c r="B27" i="18"/>
  <c r="A27" i="18"/>
  <c r="F26" i="18"/>
  <c r="G27" i="18" l="1"/>
  <c r="C27" i="18"/>
  <c r="D27" i="18"/>
  <c r="L27" i="18"/>
  <c r="H27" i="18"/>
  <c r="I27" i="18"/>
  <c r="E27" i="18"/>
  <c r="J27" i="18"/>
  <c r="B26" i="18"/>
  <c r="A26" i="18"/>
  <c r="F25" i="18" s="1"/>
  <c r="G26" i="18" l="1"/>
  <c r="C26" i="18"/>
  <c r="L26" i="18"/>
  <c r="H26" i="18"/>
  <c r="D26" i="18"/>
  <c r="E26" i="18"/>
  <c r="I26" i="18"/>
  <c r="J26" i="18"/>
  <c r="B25" i="18"/>
  <c r="A25" i="18"/>
  <c r="L25" i="18" l="1"/>
  <c r="H25" i="18"/>
  <c r="D25" i="18"/>
  <c r="I25" i="18"/>
  <c r="E25" i="18"/>
  <c r="J25" i="18"/>
  <c r="G25" i="18"/>
  <c r="C25" i="18"/>
  <c r="F24" i="18"/>
  <c r="B24" i="18"/>
  <c r="E24" i="18" s="1"/>
  <c r="A24" i="18"/>
  <c r="F23" i="18" s="1"/>
  <c r="C24" i="18" l="1"/>
  <c r="L24" i="18"/>
  <c r="H24" i="18"/>
  <c r="G24" i="18"/>
  <c r="I24" i="18"/>
  <c r="J24" i="18"/>
  <c r="D24" i="18"/>
  <c r="B23" i="18"/>
  <c r="A23" i="18"/>
  <c r="F22" i="18" s="1"/>
  <c r="L23" i="18" l="1"/>
  <c r="H23" i="18"/>
  <c r="D23" i="18"/>
  <c r="I23" i="18"/>
  <c r="E23" i="18"/>
  <c r="J23" i="18"/>
  <c r="G23" i="18"/>
  <c r="C23" i="18"/>
  <c r="B22" i="18"/>
  <c r="A22" i="18"/>
  <c r="F21" i="18" s="1"/>
  <c r="G22" i="18" l="1"/>
  <c r="C22" i="18"/>
  <c r="H22" i="18"/>
  <c r="D22" i="18"/>
  <c r="E22" i="18"/>
  <c r="L22" i="18"/>
  <c r="J22" i="18"/>
  <c r="I22" i="18"/>
  <c r="B21" i="18"/>
  <c r="A21" i="18"/>
  <c r="L21" i="18" l="1"/>
  <c r="H21" i="18"/>
  <c r="D21" i="18"/>
  <c r="J21" i="18"/>
  <c r="C21" i="18"/>
  <c r="I21" i="18"/>
  <c r="E21" i="18"/>
  <c r="G21" i="18"/>
  <c r="F20" i="18"/>
  <c r="B20" i="18"/>
  <c r="E20" i="18" s="1"/>
  <c r="A20" i="18"/>
  <c r="F19" i="18"/>
  <c r="C20" i="18" l="1"/>
  <c r="L20" i="18"/>
  <c r="H20" i="18"/>
  <c r="G20" i="18"/>
  <c r="I20" i="18"/>
  <c r="J20" i="18"/>
  <c r="D20" i="18"/>
  <c r="B19" i="18"/>
  <c r="A19" i="18"/>
  <c r="L19" i="18" l="1"/>
  <c r="G19" i="18"/>
  <c r="C19" i="18"/>
  <c r="I19" i="18"/>
  <c r="H19" i="18" s="1"/>
  <c r="D19" i="18"/>
  <c r="J19" i="18"/>
  <c r="E19" i="18"/>
  <c r="F18" i="18"/>
  <c r="B18" i="18" l="1"/>
  <c r="A18" i="18"/>
  <c r="F17" i="18"/>
  <c r="L18" i="18" l="1"/>
  <c r="G18" i="18"/>
  <c r="C18" i="18"/>
  <c r="I18" i="18"/>
  <c r="H18" i="18" s="1"/>
  <c r="D18" i="18"/>
  <c r="J18" i="18"/>
  <c r="E18" i="18"/>
  <c r="B17" i="18"/>
  <c r="A17" i="18"/>
  <c r="G17" i="18" l="1"/>
  <c r="C17" i="18"/>
  <c r="L17" i="18"/>
  <c r="H17" i="18"/>
  <c r="D17" i="18"/>
  <c r="J17" i="18"/>
  <c r="I17" i="18"/>
  <c r="E17" i="18"/>
  <c r="F16" i="18"/>
  <c r="B16" i="18"/>
  <c r="C16" i="18" s="1"/>
  <c r="A16" i="18"/>
  <c r="F15" i="18" s="1"/>
  <c r="L16" i="18" l="1"/>
  <c r="G16" i="18"/>
  <c r="J16" i="18"/>
  <c r="I16" i="18"/>
  <c r="H16" i="18" s="1"/>
  <c r="E16" i="18"/>
  <c r="D16" i="18"/>
  <c r="B15" i="18"/>
  <c r="A15" i="18"/>
  <c r="F14" i="18" s="1"/>
  <c r="L15" i="18" l="1"/>
  <c r="H15" i="18"/>
  <c r="D15" i="18"/>
  <c r="I15" i="18"/>
  <c r="E15" i="18"/>
  <c r="J15" i="18"/>
  <c r="G15" i="18"/>
  <c r="C15" i="18"/>
  <c r="B14" i="18"/>
  <c r="A14" i="18"/>
  <c r="F13" i="18"/>
  <c r="L14" i="18" l="1"/>
  <c r="G14" i="18"/>
  <c r="C14" i="18"/>
  <c r="I14" i="18"/>
  <c r="H14" i="18" s="1"/>
  <c r="D14" i="18"/>
  <c r="J14" i="18"/>
  <c r="E14" i="18"/>
  <c r="B13" i="18"/>
  <c r="A13" i="18"/>
  <c r="L13" i="18" l="1"/>
  <c r="G13" i="18"/>
  <c r="C13" i="18"/>
  <c r="H13" i="18"/>
  <c r="D13" i="18"/>
  <c r="I13" i="18"/>
  <c r="E13" i="18"/>
  <c r="J13" i="18"/>
  <c r="F12" i="18"/>
  <c r="B12" i="18"/>
  <c r="A12" i="18"/>
  <c r="F11" i="18"/>
  <c r="G12" i="18" l="1"/>
  <c r="L12" i="18"/>
  <c r="H12" i="18"/>
  <c r="I12" i="18"/>
  <c r="J12" i="18"/>
  <c r="E12" i="18"/>
  <c r="D12" i="18"/>
  <c r="C12" i="18"/>
  <c r="B11" i="18"/>
  <c r="A11" i="18"/>
  <c r="F10" i="18" s="1"/>
  <c r="G11" i="18" l="1"/>
  <c r="C11" i="18"/>
  <c r="J11" i="18"/>
  <c r="L11" i="18"/>
  <c r="H11" i="18"/>
  <c r="D11" i="18"/>
  <c r="I11" i="18"/>
  <c r="E11" i="18"/>
  <c r="B10" i="18"/>
  <c r="A10" i="18"/>
  <c r="F9" i="18"/>
  <c r="L10" i="18" l="1"/>
  <c r="G10" i="18"/>
  <c r="C10" i="18"/>
  <c r="J10" i="18"/>
  <c r="H10" i="18"/>
  <c r="D10" i="18"/>
  <c r="I10" i="18"/>
  <c r="E10" i="18"/>
  <c r="B9" i="18"/>
  <c r="A9" i="18"/>
  <c r="L9" i="18" l="1"/>
  <c r="H9" i="18"/>
  <c r="D9" i="18"/>
  <c r="G9" i="18"/>
  <c r="C9" i="18"/>
  <c r="I9" i="18"/>
  <c r="E9" i="18"/>
  <c r="J9" i="18"/>
  <c r="F8" i="18"/>
  <c r="B8" i="18"/>
  <c r="E8" i="18" s="1"/>
  <c r="A8" i="18"/>
  <c r="F7" i="18" s="1"/>
  <c r="C8" i="18" l="1"/>
  <c r="G8" i="18"/>
  <c r="L8" i="18"/>
  <c r="H8" i="18"/>
  <c r="I8" i="18"/>
  <c r="J8" i="18"/>
  <c r="D8" i="18"/>
  <c r="B7" i="18"/>
  <c r="A7" i="18"/>
  <c r="F6" i="18" s="1"/>
  <c r="L7" i="18" l="1"/>
  <c r="G7" i="18"/>
  <c r="C7" i="18"/>
  <c r="I7" i="18"/>
  <c r="H7" i="18" s="1"/>
  <c r="D7" i="18"/>
  <c r="J7" i="18"/>
  <c r="E7" i="18"/>
  <c r="B6" i="18"/>
  <c r="A6" i="18"/>
  <c r="F5" i="18" s="1"/>
  <c r="J6" i="18" l="1"/>
  <c r="L6" i="18"/>
  <c r="G6" i="18"/>
  <c r="C6" i="18"/>
  <c r="H6" i="18"/>
  <c r="D6" i="18"/>
  <c r="I6" i="18"/>
  <c r="E6" i="18"/>
  <c r="B5" i="18"/>
  <c r="A5" i="18"/>
  <c r="L5" i="18" l="1"/>
  <c r="G5" i="18"/>
  <c r="C5" i="18"/>
  <c r="H5" i="18"/>
  <c r="D5" i="18"/>
  <c r="E5" i="18"/>
  <c r="J5" i="18"/>
  <c r="I5" i="18"/>
  <c r="F4" i="18"/>
  <c r="B4" i="18" l="1"/>
  <c r="C4" i="18" s="1"/>
  <c r="A4" i="18"/>
  <c r="H218" i="15"/>
  <c r="G218" i="15"/>
  <c r="H216" i="15"/>
  <c r="G216" i="15"/>
  <c r="H214" i="15"/>
  <c r="G214" i="15"/>
  <c r="H212" i="15"/>
  <c r="G212" i="15"/>
  <c r="H210" i="15"/>
  <c r="G210" i="15"/>
  <c r="H208" i="15"/>
  <c r="G208" i="15"/>
  <c r="H206" i="15"/>
  <c r="G206" i="15"/>
  <c r="H204" i="15"/>
  <c r="G204" i="15"/>
  <c r="H203" i="15"/>
  <c r="G203" i="15"/>
  <c r="H197" i="15"/>
  <c r="G197" i="15"/>
  <c r="H193" i="15"/>
  <c r="G193" i="15"/>
  <c r="H188" i="15"/>
  <c r="G188" i="15"/>
  <c r="H175" i="15"/>
  <c r="G175" i="15"/>
  <c r="H173" i="15"/>
  <c r="G173" i="15"/>
  <c r="H164" i="15"/>
  <c r="G164" i="15"/>
  <c r="H163" i="15"/>
  <c r="G163" i="15"/>
  <c r="H159" i="15"/>
  <c r="G159" i="15"/>
  <c r="E4" i="18" l="1"/>
  <c r="D4" i="18"/>
  <c r="G4" i="18"/>
  <c r="L4" i="18"/>
  <c r="H4" i="18"/>
  <c r="I4" i="18"/>
  <c r="J4" i="18"/>
  <c r="H155" i="15"/>
  <c r="G155" i="15"/>
  <c r="H153" i="15"/>
  <c r="G153" i="15"/>
  <c r="H129" i="15" l="1"/>
  <c r="G129" i="15"/>
  <c r="H112" i="15"/>
  <c r="G112" i="15"/>
  <c r="H110" i="15"/>
  <c r="G110" i="15"/>
  <c r="H108" i="15" l="1"/>
  <c r="G108" i="15"/>
  <c r="H106" i="15"/>
  <c r="G106" i="15"/>
  <c r="H104" i="15"/>
  <c r="G104" i="15"/>
  <c r="H102" i="15"/>
  <c r="G102" i="15"/>
  <c r="H100" i="15"/>
  <c r="G100" i="15"/>
  <c r="H99" i="15"/>
  <c r="G99" i="15"/>
  <c r="H93" i="15"/>
  <c r="G93" i="15"/>
  <c r="H89" i="15"/>
  <c r="G89" i="15"/>
  <c r="H85" i="15"/>
  <c r="G85" i="15"/>
  <c r="H70" i="15"/>
  <c r="G70" i="15"/>
  <c r="H64" i="15"/>
  <c r="G64" i="15"/>
  <c r="H62" i="15"/>
  <c r="G62" i="15"/>
  <c r="H24" i="14" l="1"/>
  <c r="H143" i="13" l="1"/>
  <c r="H138" i="13" l="1"/>
  <c r="H126" i="13"/>
  <c r="I119" i="13"/>
  <c r="H119" i="13"/>
  <c r="I118" i="13"/>
  <c r="I117" i="13"/>
  <c r="I116" i="13"/>
  <c r="I115" i="13"/>
  <c r="I114" i="13"/>
  <c r="H114" i="13"/>
  <c r="I101" i="13"/>
  <c r="H101" i="13"/>
  <c r="H22" i="13" l="1"/>
  <c r="I81" i="12" l="1"/>
  <c r="H81" i="12"/>
  <c r="CX679" i="2" l="1"/>
  <c r="A679" i="2" l="1"/>
  <c r="CX678" i="2"/>
  <c r="A678" i="2"/>
  <c r="CX677" i="2"/>
  <c r="A677" i="2"/>
  <c r="CX676" i="2"/>
  <c r="A676" i="2"/>
  <c r="CX675" i="2"/>
  <c r="A675" i="2"/>
  <c r="CX674" i="2"/>
  <c r="A674" i="2"/>
  <c r="CX673" i="2"/>
  <c r="A673" i="2"/>
  <c r="CX672" i="2"/>
  <c r="A672" i="2"/>
  <c r="CX671" i="2"/>
  <c r="A671" i="2"/>
  <c r="CX670" i="2"/>
  <c r="A670" i="2"/>
  <c r="CX669" i="2"/>
  <c r="A669" i="2"/>
  <c r="CX668" i="2"/>
  <c r="A668" i="2"/>
  <c r="CX667" i="2"/>
  <c r="A667" i="2"/>
  <c r="CX666" i="2"/>
  <c r="A666" i="2"/>
  <c r="CX665" i="2"/>
  <c r="A665" i="2"/>
  <c r="CX664" i="2"/>
  <c r="A664" i="2"/>
  <c r="CX663" i="2"/>
  <c r="A663" i="2"/>
  <c r="CX662" i="2"/>
  <c r="A662" i="2"/>
  <c r="CX661" i="2"/>
  <c r="A661" i="2"/>
  <c r="CX660" i="2"/>
  <c r="A660" i="2"/>
  <c r="CX659" i="2"/>
  <c r="A659" i="2"/>
  <c r="CX658" i="2"/>
  <c r="A658" i="2"/>
  <c r="CX657" i="2"/>
  <c r="A657" i="2"/>
  <c r="CX656" i="2"/>
  <c r="A656" i="2"/>
  <c r="CX655" i="2"/>
  <c r="A655" i="2"/>
  <c r="CX654" i="2"/>
  <c r="A654" i="2"/>
  <c r="CX653" i="2"/>
  <c r="A653" i="2"/>
  <c r="CX652" i="2"/>
  <c r="A652" i="2"/>
  <c r="CX651" i="2"/>
  <c r="A651" i="2"/>
  <c r="CX650" i="2"/>
  <c r="A650" i="2"/>
  <c r="CX649" i="2"/>
  <c r="A649" i="2"/>
  <c r="CX648" i="2"/>
  <c r="A648" i="2"/>
  <c r="CX647" i="2"/>
  <c r="A647" i="2"/>
  <c r="CX646" i="2"/>
  <c r="A646" i="2"/>
  <c r="CX645" i="2"/>
  <c r="A645" i="2"/>
  <c r="CX644" i="2"/>
  <c r="A644" i="2"/>
  <c r="CX643" i="2"/>
  <c r="A643" i="2"/>
  <c r="CX642" i="2"/>
  <c r="A642" i="2"/>
  <c r="CX641" i="2"/>
  <c r="A641" i="2"/>
  <c r="CX640" i="2"/>
  <c r="A640" i="2"/>
  <c r="CX639" i="2"/>
  <c r="A639" i="2"/>
  <c r="CX638" i="2"/>
  <c r="A638" i="2"/>
  <c r="CX637" i="2"/>
  <c r="A637" i="2"/>
  <c r="CX636" i="2"/>
  <c r="A636" i="2"/>
  <c r="CX635" i="2"/>
  <c r="A635" i="2"/>
  <c r="CX634" i="2"/>
  <c r="A634" i="2"/>
  <c r="CX633" i="2"/>
  <c r="A633" i="2"/>
  <c r="CX632" i="2"/>
  <c r="A632" i="2"/>
  <c r="CX631" i="2"/>
  <c r="A631" i="2"/>
  <c r="CX630" i="2"/>
  <c r="A630" i="2"/>
  <c r="CX629" i="2"/>
  <c r="A629" i="2"/>
  <c r="CX628" i="2"/>
  <c r="A628" i="2"/>
  <c r="CX627" i="2"/>
  <c r="A627" i="2"/>
  <c r="CX626" i="2"/>
  <c r="A626" i="2"/>
  <c r="CX625" i="2"/>
  <c r="A625" i="2"/>
  <c r="CX624" i="2"/>
  <c r="A624" i="2"/>
  <c r="CX623" i="2"/>
  <c r="A623" i="2"/>
  <c r="CX622" i="2"/>
  <c r="A622" i="2"/>
  <c r="CX621" i="2"/>
  <c r="A621" i="2"/>
  <c r="CX620" i="2"/>
  <c r="A620" i="2"/>
  <c r="CX619" i="2"/>
  <c r="A619" i="2"/>
  <c r="CX618" i="2"/>
  <c r="A618" i="2"/>
  <c r="CX617" i="2"/>
  <c r="A617" i="2"/>
  <c r="CX616" i="2"/>
  <c r="A616" i="2"/>
  <c r="CX615" i="2"/>
  <c r="A615" i="2"/>
  <c r="CX614" i="2"/>
  <c r="A614" i="2"/>
  <c r="CX613" i="2"/>
  <c r="A613" i="2"/>
  <c r="CX612" i="2"/>
  <c r="A612" i="2"/>
  <c r="CX611" i="2"/>
  <c r="A611" i="2"/>
  <c r="CX610" i="2"/>
  <c r="A610" i="2"/>
  <c r="CX609" i="2"/>
  <c r="A609" i="2"/>
  <c r="CX608" i="2"/>
  <c r="A608" i="2"/>
  <c r="CX607" i="2"/>
  <c r="A607" i="2"/>
  <c r="CX606" i="2"/>
  <c r="A606" i="2"/>
  <c r="CX605" i="2"/>
  <c r="A605" i="2"/>
  <c r="CX604" i="2"/>
  <c r="A604" i="2"/>
  <c r="CX603" i="2"/>
  <c r="A603" i="2"/>
  <c r="CX602" i="2"/>
  <c r="A602" i="2"/>
  <c r="CX601" i="2"/>
  <c r="A601" i="2"/>
  <c r="CX600" i="2"/>
  <c r="A600" i="2"/>
  <c r="CX599" i="2"/>
  <c r="A599" i="2"/>
  <c r="CX598" i="2"/>
  <c r="A598" i="2"/>
  <c r="CX597" i="2"/>
  <c r="A597" i="2"/>
  <c r="CX596" i="2"/>
  <c r="A596" i="2"/>
  <c r="CX595" i="2"/>
  <c r="A595" i="2"/>
  <c r="CX594" i="2"/>
  <c r="A594" i="2"/>
  <c r="CX593" i="2"/>
  <c r="A593" i="2"/>
  <c r="CX592" i="2"/>
  <c r="A592" i="2"/>
  <c r="CX591" i="2"/>
  <c r="A591" i="2"/>
  <c r="CX590" i="2"/>
  <c r="A590" i="2"/>
  <c r="CX589" i="2"/>
  <c r="A589" i="2"/>
  <c r="CX588" i="2"/>
  <c r="A588" i="2"/>
  <c r="CX587" i="2"/>
  <c r="A587" i="2"/>
  <c r="CX586" i="2"/>
  <c r="A586" i="2"/>
  <c r="CX585" i="2"/>
  <c r="A585" i="2"/>
  <c r="CX584" i="2"/>
  <c r="A584" i="2"/>
  <c r="CX583" i="2"/>
  <c r="A583" i="2"/>
  <c r="CX582" i="2"/>
  <c r="A582" i="2"/>
  <c r="CX581" i="2"/>
  <c r="A581" i="2"/>
  <c r="CX580" i="2"/>
  <c r="A580" i="2"/>
  <c r="CX579" i="2"/>
  <c r="A579" i="2"/>
  <c r="CX578" i="2"/>
  <c r="A578" i="2"/>
  <c r="CX577" i="2"/>
  <c r="A577" i="2"/>
  <c r="CX576" i="2"/>
  <c r="A576" i="2"/>
  <c r="CX575" i="2"/>
  <c r="A575" i="2"/>
  <c r="CX574" i="2"/>
  <c r="A574" i="2"/>
  <c r="CX573" i="2"/>
  <c r="A573" i="2"/>
  <c r="CX572" i="2"/>
  <c r="A572" i="2"/>
  <c r="CX571" i="2"/>
  <c r="A571" i="2"/>
  <c r="CX570" i="2"/>
  <c r="A570" i="2"/>
  <c r="CX569" i="2"/>
  <c r="A569" i="2"/>
  <c r="CX568" i="2"/>
  <c r="A568" i="2"/>
  <c r="CX567" i="2"/>
  <c r="A567" i="2"/>
  <c r="CX566" i="2"/>
  <c r="A566" i="2"/>
  <c r="CX565" i="2"/>
  <c r="A565" i="2"/>
  <c r="CX564" i="2"/>
  <c r="A564" i="2"/>
  <c r="CX563" i="2"/>
  <c r="A563" i="2"/>
  <c r="CX562" i="2"/>
  <c r="A562" i="2"/>
  <c r="CX561" i="2"/>
  <c r="A561" i="2"/>
  <c r="CX560" i="2"/>
  <c r="A560" i="2"/>
  <c r="CX559" i="2"/>
  <c r="A559" i="2"/>
  <c r="CX558" i="2"/>
  <c r="A558" i="2"/>
  <c r="CX557" i="2"/>
  <c r="A557" i="2"/>
  <c r="CX556" i="2"/>
  <c r="A556" i="2"/>
  <c r="CX555" i="2"/>
  <c r="A555" i="2"/>
  <c r="CX554" i="2"/>
  <c r="A554" i="2"/>
  <c r="CX553" i="2"/>
  <c r="A553" i="2"/>
  <c r="CX552" i="2"/>
  <c r="A552" i="2"/>
  <c r="CX551" i="2"/>
  <c r="A551" i="2"/>
  <c r="CX550" i="2"/>
  <c r="A550" i="2"/>
  <c r="CX549" i="2"/>
  <c r="A549" i="2"/>
  <c r="CX548" i="2"/>
  <c r="A548" i="2"/>
  <c r="CX547" i="2"/>
  <c r="A547" i="2"/>
  <c r="CX546" i="2"/>
  <c r="A546" i="2"/>
  <c r="CX545" i="2"/>
  <c r="A545" i="2"/>
  <c r="CX544" i="2"/>
  <c r="A544" i="2"/>
  <c r="CX543" i="2"/>
  <c r="A543" i="2"/>
  <c r="CX542" i="2"/>
  <c r="A542" i="2"/>
  <c r="CX541" i="2"/>
  <c r="A541" i="2"/>
  <c r="CX540" i="2"/>
  <c r="A540" i="2"/>
  <c r="CX539" i="2"/>
  <c r="A539" i="2"/>
  <c r="CX538" i="2"/>
  <c r="A538" i="2"/>
  <c r="CX537" i="2"/>
  <c r="A537" i="2"/>
  <c r="CX536" i="2"/>
  <c r="A536" i="2"/>
  <c r="CX535" i="2"/>
  <c r="A535" i="2"/>
  <c r="CX534" i="2"/>
  <c r="A534" i="2"/>
  <c r="CX533" i="2"/>
  <c r="A533" i="2"/>
  <c r="CX532" i="2"/>
  <c r="A532" i="2"/>
  <c r="CX531" i="2"/>
  <c r="A531" i="2"/>
  <c r="CX530" i="2"/>
  <c r="A530" i="2"/>
  <c r="CX529" i="2"/>
  <c r="A529" i="2"/>
  <c r="CX528" i="2"/>
  <c r="A528" i="2"/>
  <c r="CX527" i="2"/>
  <c r="A527" i="2"/>
  <c r="CX526" i="2"/>
  <c r="A526" i="2"/>
  <c r="CX525" i="2"/>
  <c r="A525" i="2"/>
  <c r="CX524" i="2"/>
  <c r="A524" i="2"/>
  <c r="CX523" i="2"/>
  <c r="A523" i="2"/>
  <c r="CX522" i="2"/>
  <c r="A522" i="2"/>
  <c r="CX521" i="2"/>
  <c r="A521" i="2"/>
  <c r="CX520" i="2"/>
  <c r="A520" i="2"/>
  <c r="CX519" i="2"/>
  <c r="A519" i="2"/>
  <c r="CX518" i="2"/>
  <c r="A518" i="2"/>
  <c r="CX517" i="2"/>
  <c r="A517" i="2"/>
  <c r="CX516" i="2"/>
  <c r="A516" i="2"/>
  <c r="CX515" i="2"/>
  <c r="A515" i="2"/>
  <c r="CX514" i="2"/>
  <c r="A514" i="2"/>
  <c r="CX513" i="2"/>
  <c r="A513" i="2"/>
  <c r="CX512" i="2"/>
  <c r="A512" i="2"/>
  <c r="CX511" i="2"/>
  <c r="A511" i="2"/>
  <c r="CX510" i="2"/>
  <c r="A510" i="2"/>
  <c r="CX509" i="2"/>
  <c r="A509" i="2"/>
  <c r="CX508" i="2"/>
  <c r="A508" i="2"/>
  <c r="CX507" i="2"/>
  <c r="A507" i="2"/>
  <c r="CX506" i="2"/>
  <c r="A506" i="2"/>
  <c r="CX505" i="2"/>
  <c r="A505" i="2"/>
  <c r="CX504" i="2"/>
  <c r="A504" i="2"/>
  <c r="CX503" i="2"/>
  <c r="A503" i="2"/>
  <c r="CX502" i="2"/>
  <c r="A502" i="2"/>
  <c r="CX501" i="2"/>
  <c r="A501" i="2"/>
  <c r="CX500" i="2"/>
  <c r="A500" i="2"/>
  <c r="CX499" i="2"/>
  <c r="A499" i="2"/>
  <c r="CX498" i="2"/>
  <c r="A498" i="2"/>
  <c r="CX497" i="2"/>
  <c r="A497" i="2"/>
  <c r="CX496" i="2"/>
  <c r="A496" i="2"/>
  <c r="CX495" i="2"/>
  <c r="A495" i="2"/>
  <c r="CX494" i="2"/>
  <c r="A494" i="2"/>
  <c r="CX493" i="2"/>
  <c r="A493" i="2"/>
  <c r="CX492" i="2"/>
  <c r="A492" i="2"/>
  <c r="CX491" i="2"/>
  <c r="A491" i="2"/>
  <c r="CX490" i="2"/>
  <c r="A490" i="2"/>
  <c r="CX489" i="2"/>
  <c r="A489" i="2"/>
  <c r="CX488" i="2"/>
  <c r="A488" i="2"/>
  <c r="CX487" i="2"/>
  <c r="A487" i="2"/>
  <c r="CX486" i="2"/>
  <c r="A486" i="2"/>
  <c r="CX485" i="2"/>
  <c r="A485" i="2"/>
  <c r="CX484" i="2"/>
  <c r="A484" i="2"/>
  <c r="CX483" i="2"/>
  <c r="A483" i="2"/>
  <c r="CX482" i="2"/>
  <c r="A482" i="2"/>
  <c r="CX481" i="2"/>
  <c r="A481" i="2"/>
  <c r="CX480" i="2"/>
  <c r="A480" i="2"/>
  <c r="CX479" i="2"/>
  <c r="A479" i="2"/>
  <c r="CX478" i="2"/>
  <c r="A478" i="2"/>
  <c r="CX477" i="2"/>
  <c r="A477" i="2"/>
  <c r="CX476" i="2"/>
  <c r="A476" i="2"/>
  <c r="CX475" i="2"/>
  <c r="A475" i="2"/>
  <c r="CX474" i="2"/>
  <c r="A474" i="2"/>
  <c r="CX473" i="2"/>
  <c r="A473" i="2"/>
  <c r="CX472" i="2"/>
  <c r="A472" i="2"/>
  <c r="CX471" i="2"/>
  <c r="A471" i="2"/>
  <c r="CX470" i="2"/>
  <c r="A470" i="2"/>
  <c r="CX469" i="2"/>
  <c r="A469" i="2"/>
  <c r="CX468" i="2"/>
  <c r="A468" i="2"/>
  <c r="CX467" i="2"/>
  <c r="A467" i="2"/>
  <c r="CX466" i="2"/>
  <c r="A466" i="2"/>
  <c r="CX465" i="2"/>
  <c r="A465" i="2"/>
  <c r="CX464" i="2"/>
  <c r="A464" i="2"/>
  <c r="CX463" i="2"/>
  <c r="A463" i="2"/>
  <c r="CX462" i="2"/>
  <c r="A462" i="2"/>
  <c r="CX461" i="2"/>
  <c r="A461" i="2"/>
  <c r="CX460" i="2"/>
  <c r="A460" i="2"/>
  <c r="CX459" i="2"/>
  <c r="A459" i="2"/>
  <c r="CX458" i="2"/>
  <c r="A458" i="2"/>
  <c r="CX457" i="2"/>
  <c r="A457" i="2"/>
  <c r="CX456" i="2"/>
  <c r="A456" i="2"/>
  <c r="CX455" i="2"/>
  <c r="A455" i="2"/>
  <c r="CX454" i="2"/>
  <c r="A454" i="2"/>
  <c r="CX453" i="2"/>
  <c r="A453" i="2"/>
  <c r="CX452" i="2"/>
  <c r="A452" i="2"/>
  <c r="CX451" i="2"/>
  <c r="A451" i="2"/>
  <c r="CX450" i="2"/>
  <c r="A450" i="2"/>
  <c r="CX449" i="2"/>
  <c r="A449" i="2"/>
  <c r="CX448" i="2"/>
  <c r="A448" i="2"/>
  <c r="CX447" i="2"/>
  <c r="A447" i="2"/>
  <c r="CX446" i="2"/>
  <c r="A446" i="2"/>
  <c r="CX445" i="2"/>
  <c r="A445" i="2"/>
  <c r="CX444" i="2"/>
  <c r="A444" i="2"/>
  <c r="CX443" i="2"/>
  <c r="A443" i="2"/>
  <c r="CX442" i="2"/>
  <c r="A442" i="2"/>
  <c r="CX441" i="2"/>
  <c r="A441" i="2"/>
  <c r="CX440" i="2"/>
  <c r="A440" i="2"/>
  <c r="CX439" i="2"/>
  <c r="A439" i="2"/>
  <c r="CX438" i="2"/>
  <c r="A438" i="2"/>
  <c r="CX437" i="2"/>
  <c r="A437" i="2"/>
  <c r="CX436" i="2"/>
  <c r="A436" i="2"/>
  <c r="CX435" i="2"/>
  <c r="A435" i="2"/>
  <c r="CX434" i="2"/>
  <c r="A434" i="2"/>
  <c r="CX433" i="2"/>
  <c r="A433" i="2"/>
  <c r="CX432" i="2"/>
  <c r="A432" i="2"/>
  <c r="CX431" i="2"/>
  <c r="A431" i="2"/>
  <c r="CX430" i="2"/>
  <c r="A430" i="2"/>
  <c r="CX429" i="2"/>
  <c r="A429" i="2"/>
  <c r="CX428" i="2"/>
  <c r="A428" i="2"/>
  <c r="CX427" i="2"/>
  <c r="A427" i="2"/>
  <c r="CX426" i="2"/>
  <c r="A426" i="2"/>
  <c r="CX425" i="2"/>
  <c r="A425" i="2"/>
  <c r="CX424" i="2"/>
  <c r="A424" i="2"/>
  <c r="CX423" i="2"/>
  <c r="A423" i="2"/>
  <c r="CX422" i="2"/>
  <c r="A422" i="2"/>
  <c r="CX421" i="2"/>
  <c r="A421" i="2"/>
  <c r="CX420" i="2"/>
  <c r="A420" i="2"/>
  <c r="CX419" i="2"/>
  <c r="A419" i="2"/>
  <c r="CX418" i="2"/>
  <c r="A418" i="2"/>
  <c r="CX417" i="2"/>
  <c r="A417" i="2"/>
  <c r="CX416" i="2"/>
  <c r="A416" i="2"/>
  <c r="CX415" i="2"/>
  <c r="A415" i="2"/>
  <c r="CX414" i="2"/>
  <c r="A414" i="2"/>
  <c r="CX413" i="2"/>
  <c r="A413" i="2"/>
  <c r="CX412" i="2"/>
  <c r="A412" i="2"/>
  <c r="CX411" i="2"/>
  <c r="A411" i="2"/>
  <c r="CX410" i="2"/>
  <c r="A410" i="2"/>
  <c r="CX409" i="2"/>
  <c r="A409" i="2"/>
  <c r="CX408" i="2"/>
  <c r="A408" i="2"/>
  <c r="CX407" i="2"/>
  <c r="A407" i="2"/>
  <c r="CX406" i="2"/>
  <c r="A406" i="2"/>
  <c r="CX405" i="2"/>
  <c r="A405" i="2"/>
  <c r="CX404" i="2"/>
  <c r="A404" i="2"/>
  <c r="CX403" i="2"/>
  <c r="A403" i="2"/>
  <c r="CX402" i="2"/>
  <c r="A402" i="2"/>
  <c r="CX401" i="2"/>
  <c r="A401" i="2"/>
  <c r="CX400" i="2"/>
  <c r="A400" i="2"/>
  <c r="CX399" i="2"/>
  <c r="A399" i="2"/>
  <c r="CX398" i="2"/>
  <c r="A398" i="2"/>
  <c r="CX397" i="2"/>
  <c r="A397" i="2"/>
  <c r="CX396" i="2"/>
  <c r="A396" i="2"/>
  <c r="CX395" i="2"/>
  <c r="A395" i="2"/>
  <c r="CX394" i="2"/>
  <c r="A394" i="2"/>
  <c r="CX393" i="2"/>
  <c r="A393" i="2"/>
  <c r="CX392" i="2"/>
  <c r="A392" i="2"/>
  <c r="CX391" i="2"/>
  <c r="A391" i="2"/>
  <c r="CX390" i="2"/>
  <c r="A390" i="2"/>
  <c r="CX389" i="2"/>
  <c r="A389" i="2"/>
  <c r="CX388" i="2"/>
  <c r="A388" i="2"/>
  <c r="CX387" i="2"/>
  <c r="A387" i="2"/>
  <c r="CX386" i="2"/>
  <c r="A386" i="2"/>
  <c r="CX385" i="2"/>
  <c r="A385" i="2"/>
  <c r="CX384" i="2"/>
  <c r="A384" i="2"/>
  <c r="CX383" i="2"/>
  <c r="A383" i="2"/>
  <c r="CX382" i="2"/>
  <c r="A382" i="2"/>
  <c r="CX381" i="2"/>
  <c r="A381" i="2"/>
  <c r="CX380" i="2"/>
  <c r="A380" i="2"/>
  <c r="CX379" i="2"/>
  <c r="A379" i="2"/>
  <c r="CX378" i="2"/>
  <c r="A378" i="2"/>
  <c r="CX377" i="2"/>
  <c r="A377" i="2"/>
  <c r="CX376" i="2"/>
  <c r="A376" i="2"/>
  <c r="CX375" i="2"/>
  <c r="A375" i="2"/>
  <c r="CX374" i="2"/>
  <c r="A374" i="2"/>
  <c r="CX373" i="2"/>
  <c r="A373" i="2"/>
  <c r="CX372" i="2"/>
  <c r="A372" i="2"/>
  <c r="CX371" i="2"/>
  <c r="A371" i="2"/>
  <c r="CX370" i="2"/>
  <c r="A370" i="2"/>
  <c r="CX369" i="2"/>
  <c r="A369" i="2"/>
  <c r="CX368" i="2"/>
  <c r="A368" i="2"/>
  <c r="CX367" i="2"/>
  <c r="A367" i="2"/>
  <c r="CX366" i="2"/>
  <c r="A366" i="2"/>
  <c r="CX365" i="2"/>
  <c r="A365" i="2"/>
  <c r="CX364" i="2"/>
  <c r="A364" i="2"/>
  <c r="CX363" i="2"/>
  <c r="A363" i="2"/>
  <c r="CX362" i="2"/>
  <c r="A362" i="2"/>
  <c r="CX361" i="2"/>
  <c r="A361" i="2"/>
  <c r="CX360" i="2"/>
  <c r="A360" i="2"/>
  <c r="CX359" i="2"/>
  <c r="A359" i="2"/>
  <c r="CX358" i="2"/>
  <c r="A358" i="2"/>
  <c r="CX357" i="2"/>
  <c r="A357" i="2"/>
  <c r="CX356" i="2"/>
  <c r="A356" i="2"/>
  <c r="DO355" i="2"/>
  <c r="CX355" i="2"/>
  <c r="A355" i="2"/>
  <c r="DO354" i="2"/>
  <c r="CX354" i="2"/>
  <c r="A354" i="2"/>
  <c r="DO353" i="2"/>
  <c r="CX353" i="2"/>
  <c r="A353" i="2"/>
  <c r="DO352" i="2"/>
  <c r="N108" i="6" s="1"/>
  <c r="CX352" i="2"/>
  <c r="A352" i="2"/>
  <c r="DO351" i="2"/>
  <c r="N107" i="6" s="1"/>
  <c r="CX351" i="2"/>
  <c r="A351" i="2"/>
  <c r="DO350" i="2"/>
  <c r="CX350" i="2"/>
  <c r="A350" i="2"/>
  <c r="N106" i="6" l="1"/>
  <c r="FJ349" i="2"/>
  <c r="FD349" i="2"/>
  <c r="EY349" i="2"/>
  <c r="ES349" i="2"/>
  <c r="EM349" i="2"/>
  <c r="EL349" i="2"/>
  <c r="EK349" i="2"/>
  <c r="EJ349" i="2"/>
  <c r="EI349" i="2"/>
  <c r="EG349" i="2"/>
  <c r="EF349" i="2"/>
  <c r="DO349" i="2"/>
  <c r="N105" i="6" s="1"/>
  <c r="CX349" i="2"/>
  <c r="A349" i="2"/>
  <c r="FJ348" i="2"/>
  <c r="FD348" i="2"/>
  <c r="EY348" i="2"/>
  <c r="EM348" i="2"/>
  <c r="EL348" i="2"/>
  <c r="EK348" i="2"/>
  <c r="EJ348" i="2"/>
  <c r="EI348" i="2"/>
  <c r="EG348" i="2"/>
  <c r="EF348" i="2"/>
  <c r="DO348" i="2"/>
  <c r="N104" i="6" s="1"/>
  <c r="CX348" i="2"/>
  <c r="A348" i="2"/>
  <c r="EH349" i="2" l="1"/>
  <c r="EN348" i="2"/>
  <c r="EN349" i="2"/>
  <c r="EH348" i="2"/>
  <c r="RV347" i="2"/>
  <c r="RV348" i="2" s="1"/>
  <c r="RU347" i="2"/>
  <c r="FJ347" i="2"/>
  <c r="FD347" i="2"/>
  <c r="EY347" i="2"/>
  <c r="RU348" i="2" l="1"/>
  <c r="RV349" i="2"/>
  <c r="RU349" i="2" s="1"/>
  <c r="EM347" i="2"/>
  <c r="EL347" i="2"/>
  <c r="EK347" i="2"/>
  <c r="EJ347" i="2"/>
  <c r="EN347" i="2" s="1"/>
  <c r="EI347" i="2"/>
  <c r="EG347" i="2"/>
  <c r="EF347" i="2"/>
  <c r="DO347" i="2"/>
  <c r="N103" i="6" s="1"/>
  <c r="CX347" i="2"/>
  <c r="A347" i="2"/>
  <c r="FJ346" i="2"/>
  <c r="FD346" i="2"/>
  <c r="EY346" i="2"/>
  <c r="ES346" i="2"/>
  <c r="EM346" i="2"/>
  <c r="EL346" i="2"/>
  <c r="EK346" i="2"/>
  <c r="EJ346" i="2"/>
  <c r="EI346" i="2"/>
  <c r="EG346" i="2"/>
  <c r="EF346" i="2"/>
  <c r="CX346" i="2"/>
  <c r="A346" i="2"/>
  <c r="FJ345" i="2"/>
  <c r="FD345" i="2"/>
  <c r="EY345" i="2"/>
  <c r="ES345" i="2"/>
  <c r="EM345" i="2"/>
  <c r="EL345" i="2"/>
  <c r="EK345" i="2"/>
  <c r="EJ345" i="2"/>
  <c r="EI345" i="2"/>
  <c r="EG345" i="2"/>
  <c r="EF345" i="2"/>
  <c r="CX345" i="2"/>
  <c r="A345" i="2"/>
  <c r="FJ344" i="2"/>
  <c r="FD344" i="2"/>
  <c r="EY344" i="2"/>
  <c r="ES344" i="2"/>
  <c r="EM344" i="2"/>
  <c r="EL344" i="2"/>
  <c r="EK344" i="2"/>
  <c r="EJ344" i="2"/>
  <c r="EI344" i="2"/>
  <c r="EG344" i="2"/>
  <c r="EF344" i="2"/>
  <c r="DN344" i="2"/>
  <c r="DM344" i="2"/>
  <c r="DL344" i="2"/>
  <c r="DK344" i="2"/>
  <c r="DO344" i="2" s="1"/>
  <c r="N100" i="6" s="1"/>
  <c r="DJ344" i="2"/>
  <c r="DI344" i="2"/>
  <c r="DH344" i="2"/>
  <c r="M97" i="6" s="1"/>
  <c r="CX344" i="2"/>
  <c r="A344" i="2"/>
  <c r="FJ343" i="2"/>
  <c r="FD343" i="2"/>
  <c r="EY343" i="2"/>
  <c r="ES343" i="2"/>
  <c r="EN346" i="2" l="1"/>
  <c r="EN345" i="2"/>
  <c r="EN344" i="2"/>
  <c r="EH346" i="2"/>
  <c r="EH345" i="2"/>
  <c r="EH347" i="2"/>
  <c r="EH344" i="2"/>
  <c r="L46" i="31"/>
  <c r="M100" i="6"/>
  <c r="EM343" i="2"/>
  <c r="EL343" i="2"/>
  <c r="EK343" i="2"/>
  <c r="EJ343" i="2"/>
  <c r="EI343" i="2"/>
  <c r="EH343" i="2"/>
  <c r="EG343" i="2"/>
  <c r="EF343" i="2"/>
  <c r="DO343" i="2"/>
  <c r="CX343" i="2"/>
  <c r="K343" i="2"/>
  <c r="A343" i="2"/>
  <c r="FJ342" i="2"/>
  <c r="FD342" i="2"/>
  <c r="EY342" i="2"/>
  <c r="ES342" i="2"/>
  <c r="EM342" i="2"/>
  <c r="EL342" i="2"/>
  <c r="EK342" i="2"/>
  <c r="EJ342" i="2"/>
  <c r="EI342" i="2"/>
  <c r="EG342" i="2"/>
  <c r="EF342" i="2"/>
  <c r="DO342" i="2"/>
  <c r="CX342" i="2"/>
  <c r="K342" i="2"/>
  <c r="A342" i="2"/>
  <c r="JS341" i="2"/>
  <c r="IE341" i="2"/>
  <c r="FJ341" i="2"/>
  <c r="FD341" i="2"/>
  <c r="EY341" i="2"/>
  <c r="ES341" i="2"/>
  <c r="EM341" i="2"/>
  <c r="EL341" i="2"/>
  <c r="EK341" i="2"/>
  <c r="EJ341" i="2"/>
  <c r="EI341" i="2"/>
  <c r="EH341" i="2" s="1"/>
  <c r="EG341" i="2"/>
  <c r="EF341" i="2"/>
  <c r="DO341" i="2"/>
  <c r="CX341" i="2"/>
  <c r="K341" i="2"/>
  <c r="A341" i="2"/>
  <c r="FJ340" i="2"/>
  <c r="FD340" i="2"/>
  <c r="EY340" i="2"/>
  <c r="ES340" i="2"/>
  <c r="EM340" i="2"/>
  <c r="EL340" i="2"/>
  <c r="EK340" i="2"/>
  <c r="EJ340" i="2"/>
  <c r="EI340" i="2"/>
  <c r="EG340" i="2"/>
  <c r="EF340" i="2"/>
  <c r="DO340" i="2"/>
  <c r="CX340" i="2"/>
  <c r="A340" i="2"/>
  <c r="FJ339" i="2"/>
  <c r="FD339" i="2"/>
  <c r="EY339" i="2"/>
  <c r="ES339" i="2"/>
  <c r="EM339" i="2"/>
  <c r="EL339" i="2"/>
  <c r="EK339" i="2"/>
  <c r="EJ339" i="2"/>
  <c r="EN339" i="2" s="1"/>
  <c r="EI339" i="2"/>
  <c r="EG339" i="2"/>
  <c r="EF339" i="2"/>
  <c r="EH339" i="2" s="1"/>
  <c r="DO339" i="2"/>
  <c r="CX339" i="2"/>
  <c r="A339" i="2"/>
  <c r="FJ338" i="2"/>
  <c r="FD338" i="2"/>
  <c r="EY338" i="2"/>
  <c r="ES338" i="2"/>
  <c r="EM338" i="2"/>
  <c r="EL338" i="2"/>
  <c r="EK338" i="2"/>
  <c r="EJ338" i="2"/>
  <c r="EI338" i="2"/>
  <c r="EG338" i="2"/>
  <c r="EF338" i="2"/>
  <c r="DO338" i="2"/>
  <c r="CX338" i="2"/>
  <c r="BU338" i="2"/>
  <c r="EN341" i="2" l="1"/>
  <c r="EH340" i="2"/>
  <c r="EN338" i="2"/>
  <c r="EN340" i="2"/>
  <c r="EN342" i="2"/>
  <c r="EH338" i="2"/>
  <c r="L40" i="31"/>
  <c r="L37" i="31"/>
  <c r="N96" i="6"/>
  <c r="L38" i="31"/>
  <c r="N97" i="6"/>
  <c r="EH342" i="2"/>
  <c r="L35" i="31"/>
  <c r="N94" i="6"/>
  <c r="L36" i="31"/>
  <c r="N95" i="6"/>
  <c r="L39" i="31"/>
  <c r="EN343" i="2"/>
  <c r="JS342" i="2"/>
  <c r="BJ338" i="2"/>
  <c r="K338" i="2"/>
  <c r="A338" i="2"/>
  <c r="FJ337" i="2"/>
  <c r="FD337" i="2"/>
  <c r="EY337" i="2"/>
  <c r="ES337" i="2"/>
  <c r="EM337" i="2"/>
  <c r="EL337" i="2"/>
  <c r="EK337" i="2"/>
  <c r="EJ337" i="2"/>
  <c r="EI337" i="2"/>
  <c r="EG337" i="2"/>
  <c r="EF337" i="2"/>
  <c r="DO337" i="2"/>
  <c r="CX337" i="2"/>
  <c r="A337" i="2"/>
  <c r="FJ336" i="2"/>
  <c r="FD336" i="2"/>
  <c r="EY336" i="2"/>
  <c r="ES336" i="2"/>
  <c r="EM336" i="2"/>
  <c r="EL336" i="2"/>
  <c r="EK336" i="2"/>
  <c r="EJ336" i="2"/>
  <c r="EI336" i="2"/>
  <c r="EH336" i="2"/>
  <c r="EG336" i="2"/>
  <c r="EF336" i="2"/>
  <c r="DO336" i="2"/>
  <c r="CX336" i="2"/>
  <c r="A336" i="2"/>
  <c r="RV335" i="2"/>
  <c r="RV336" i="2" s="1"/>
  <c r="RV337" i="2" s="1"/>
  <c r="RU335" i="2"/>
  <c r="RU336" i="2" s="1"/>
  <c r="EH337" i="2" l="1"/>
  <c r="EN337" i="2"/>
  <c r="EN336" i="2"/>
  <c r="RU337" i="2"/>
  <c r="L33" i="31"/>
  <c r="N92" i="6"/>
  <c r="L34" i="31"/>
  <c r="N93" i="6"/>
  <c r="IE342" i="2"/>
  <c r="JS343" i="2"/>
  <c r="RP335" i="2"/>
  <c r="RP336" i="2" s="1"/>
  <c r="RO336" i="2" s="1"/>
  <c r="J8" i="27" s="1"/>
  <c r="RO335" i="2"/>
  <c r="J7" i="27" s="1"/>
  <c r="FJ335" i="2"/>
  <c r="FD335" i="2"/>
  <c r="EY335" i="2"/>
  <c r="ES335" i="2"/>
  <c r="EM335" i="2"/>
  <c r="EL335" i="2"/>
  <c r="EK335" i="2"/>
  <c r="EJ335" i="2"/>
  <c r="EN335" i="2" s="1"/>
  <c r="EI335" i="2"/>
  <c r="EG335" i="2"/>
  <c r="EF335" i="2"/>
  <c r="EH335" i="2" s="1"/>
  <c r="DO335" i="2"/>
  <c r="CX335" i="2"/>
  <c r="A335" i="2"/>
  <c r="FJ334" i="2"/>
  <c r="FD334" i="2"/>
  <c r="EY334" i="2"/>
  <c r="ES334" i="2"/>
  <c r="EM334" i="2"/>
  <c r="EL334" i="2"/>
  <c r="EK334" i="2"/>
  <c r="EJ334" i="2"/>
  <c r="EI334" i="2"/>
  <c r="EG334" i="2"/>
  <c r="EF334" i="2"/>
  <c r="CX334" i="2"/>
  <c r="A334" i="2"/>
  <c r="FJ333" i="2"/>
  <c r="FD333" i="2"/>
  <c r="EY333" i="2"/>
  <c r="ES333" i="2"/>
  <c r="EM333" i="2"/>
  <c r="EL333" i="2"/>
  <c r="EK333" i="2"/>
  <c r="EJ333" i="2"/>
  <c r="EI333" i="2"/>
  <c r="EG333" i="2"/>
  <c r="EF333" i="2"/>
  <c r="CX333" i="2"/>
  <c r="A333" i="2"/>
  <c r="FJ332" i="2"/>
  <c r="FD332" i="2"/>
  <c r="EY332" i="2"/>
  <c r="ES332" i="2"/>
  <c r="EM332" i="2"/>
  <c r="EL332" i="2"/>
  <c r="EK332" i="2"/>
  <c r="EJ332" i="2"/>
  <c r="EN332" i="2" s="1"/>
  <c r="EI332" i="2"/>
  <c r="EG332" i="2"/>
  <c r="EF332" i="2"/>
  <c r="EH332" i="2" s="1"/>
  <c r="CX332" i="2"/>
  <c r="A332" i="2"/>
  <c r="FJ331" i="2"/>
  <c r="FD331" i="2"/>
  <c r="EY331" i="2"/>
  <c r="ES331" i="2"/>
  <c r="EM331" i="2"/>
  <c r="EL331" i="2"/>
  <c r="EK331" i="2"/>
  <c r="EJ331" i="2"/>
  <c r="EI331" i="2"/>
  <c r="EG331" i="2"/>
  <c r="EF331" i="2"/>
  <c r="CX331" i="2"/>
  <c r="A331" i="2"/>
  <c r="FJ330" i="2"/>
  <c r="FD330" i="2"/>
  <c r="EY330" i="2"/>
  <c r="ES330" i="2"/>
  <c r="EM330" i="2"/>
  <c r="EL330" i="2"/>
  <c r="EK330" i="2"/>
  <c r="EJ330" i="2"/>
  <c r="EI330" i="2"/>
  <c r="EG330" i="2"/>
  <c r="EF330" i="2"/>
  <c r="CX330" i="2"/>
  <c r="A330" i="2"/>
  <c r="FJ329" i="2"/>
  <c r="FD329" i="2"/>
  <c r="EY329" i="2"/>
  <c r="ES329" i="2"/>
  <c r="EM329" i="2"/>
  <c r="EL329" i="2"/>
  <c r="EK329" i="2"/>
  <c r="EJ329" i="2"/>
  <c r="EI329" i="2"/>
  <c r="EG329" i="2"/>
  <c r="EF329" i="2"/>
  <c r="CX329" i="2"/>
  <c r="A329" i="2"/>
  <c r="FJ328" i="2"/>
  <c r="FD328" i="2"/>
  <c r="EY328" i="2"/>
  <c r="ES328" i="2"/>
  <c r="EM328" i="2"/>
  <c r="EL328" i="2"/>
  <c r="EK328" i="2"/>
  <c r="EJ328" i="2"/>
  <c r="EN328" i="2" s="1"/>
  <c r="EI328" i="2"/>
  <c r="EG328" i="2"/>
  <c r="EF328" i="2"/>
  <c r="A328" i="2"/>
  <c r="FJ327" i="2"/>
  <c r="FD327" i="2"/>
  <c r="ES327" i="2"/>
  <c r="EM327" i="2"/>
  <c r="EL327" i="2"/>
  <c r="EK327" i="2"/>
  <c r="EJ327" i="2"/>
  <c r="EI327" i="2"/>
  <c r="EH327" i="2" s="1"/>
  <c r="EG327" i="2"/>
  <c r="EF327" i="2"/>
  <c r="CX327" i="2"/>
  <c r="A327" i="2"/>
  <c r="FJ326" i="2"/>
  <c r="FD326" i="2"/>
  <c r="ES326" i="2"/>
  <c r="EM326" i="2"/>
  <c r="EL326" i="2"/>
  <c r="EK326" i="2"/>
  <c r="EJ326" i="2"/>
  <c r="EI326" i="2"/>
  <c r="EG326" i="2"/>
  <c r="EF326" i="2"/>
  <c r="DN326" i="2"/>
  <c r="DM326" i="2"/>
  <c r="DL326" i="2"/>
  <c r="DK326" i="2"/>
  <c r="DJ326" i="2"/>
  <c r="DI326" i="2"/>
  <c r="DO326" i="2" s="1"/>
  <c r="DH326" i="2"/>
  <c r="M79" i="6" s="1"/>
  <c r="CX326" i="2"/>
  <c r="A326" i="2"/>
  <c r="FJ325" i="2"/>
  <c r="FD325" i="2"/>
  <c r="ES325" i="2"/>
  <c r="EM325" i="2"/>
  <c r="EL325" i="2"/>
  <c r="EK325" i="2"/>
  <c r="EJ325" i="2"/>
  <c r="EI325" i="2"/>
  <c r="EG325" i="2"/>
  <c r="EH325" i="2" s="1"/>
  <c r="EF325" i="2"/>
  <c r="DO325" i="2"/>
  <c r="CX325" i="2"/>
  <c r="A325" i="2"/>
  <c r="FJ324" i="2"/>
  <c r="FD324" i="2"/>
  <c r="ES324" i="2"/>
  <c r="EM324" i="2"/>
  <c r="EL324" i="2"/>
  <c r="EK324" i="2"/>
  <c r="EJ324" i="2"/>
  <c r="EI324" i="2"/>
  <c r="EG324" i="2"/>
  <c r="EF324" i="2"/>
  <c r="DO324" i="2"/>
  <c r="CX324" i="2"/>
  <c r="A324" i="2"/>
  <c r="FJ323" i="2"/>
  <c r="FD323" i="2"/>
  <c r="ES323" i="2"/>
  <c r="EN327" i="2" l="1"/>
  <c r="EN329" i="2"/>
  <c r="EN324" i="2"/>
  <c r="EN326" i="2"/>
  <c r="EN330" i="2"/>
  <c r="EH331" i="2"/>
  <c r="EH333" i="2"/>
  <c r="EN334" i="2"/>
  <c r="IE343" i="2"/>
  <c r="EH329" i="2"/>
  <c r="EN331" i="2"/>
  <c r="K35" i="31"/>
  <c r="K33" i="31"/>
  <c r="K34" i="31"/>
  <c r="EH324" i="2"/>
  <c r="EN325" i="2"/>
  <c r="EH330" i="2"/>
  <c r="EN333" i="2"/>
  <c r="J52" i="31"/>
  <c r="I52" i="31" s="1"/>
  <c r="EH326" i="2"/>
  <c r="EH328" i="2"/>
  <c r="EH334" i="2"/>
  <c r="L32" i="31"/>
  <c r="N91" i="6"/>
  <c r="RP337" i="2"/>
  <c r="RO337" i="2" s="1"/>
  <c r="J9" i="27" s="1"/>
  <c r="EM323" i="2"/>
  <c r="EL323" i="2"/>
  <c r="EK323" i="2"/>
  <c r="EJ323" i="2"/>
  <c r="EN323" i="2" s="1"/>
  <c r="EI323" i="2"/>
  <c r="EG323" i="2"/>
  <c r="EF323" i="2"/>
  <c r="DO323" i="2"/>
  <c r="CX323" i="2"/>
  <c r="A323" i="2"/>
  <c r="FJ322" i="2"/>
  <c r="FD322" i="2"/>
  <c r="ES322" i="2"/>
  <c r="EM322" i="2"/>
  <c r="EL322" i="2"/>
  <c r="EK322" i="2"/>
  <c r="EJ322" i="2"/>
  <c r="EI322" i="2"/>
  <c r="EG322" i="2"/>
  <c r="EF322" i="2"/>
  <c r="DO322" i="2"/>
  <c r="CX322" i="2"/>
  <c r="A322" i="2"/>
  <c r="FJ321" i="2"/>
  <c r="FD321" i="2"/>
  <c r="ES321" i="2"/>
  <c r="EM321" i="2"/>
  <c r="EL321" i="2"/>
  <c r="EK321" i="2"/>
  <c r="EJ321" i="2"/>
  <c r="EI321" i="2"/>
  <c r="EG321" i="2"/>
  <c r="EF321" i="2"/>
  <c r="DO321" i="2"/>
  <c r="CX321" i="2"/>
  <c r="A321" i="2"/>
  <c r="FD320" i="2"/>
  <c r="ES320" i="2"/>
  <c r="EM320" i="2"/>
  <c r="EL320" i="2"/>
  <c r="EK320" i="2"/>
  <c r="EJ320" i="2"/>
  <c r="EI320" i="2"/>
  <c r="EG320" i="2"/>
  <c r="EH320" i="2" s="1"/>
  <c r="EF320" i="2"/>
  <c r="DO320" i="2"/>
  <c r="CX320" i="2"/>
  <c r="A320" i="2"/>
  <c r="DO319" i="2"/>
  <c r="CX319" i="2"/>
  <c r="EN320" i="2" l="1"/>
  <c r="EH321" i="2"/>
  <c r="EN322" i="2"/>
  <c r="N77" i="6"/>
  <c r="N75" i="6"/>
  <c r="EH323" i="2"/>
  <c r="K32" i="31"/>
  <c r="N79" i="6"/>
  <c r="EN321" i="2"/>
  <c r="EH322" i="2"/>
  <c r="N76" i="6"/>
  <c r="N78" i="6"/>
  <c r="A319" i="2"/>
  <c r="DO318" i="2"/>
  <c r="N74" i="6" s="1"/>
  <c r="CX318" i="2"/>
  <c r="A318" i="2"/>
  <c r="DO317" i="2"/>
  <c r="N73" i="6" s="1"/>
  <c r="CX317" i="2"/>
  <c r="A317" i="2"/>
  <c r="DO316" i="2"/>
  <c r="N72" i="6" s="1"/>
  <c r="CX316" i="2"/>
  <c r="A316" i="2"/>
  <c r="DO315" i="2"/>
  <c r="CX315" i="2"/>
  <c r="A315" i="2"/>
  <c r="DO314" i="2"/>
  <c r="CX314" i="2"/>
  <c r="A314" i="2"/>
  <c r="DO313" i="2"/>
  <c r="CX313" i="2"/>
  <c r="A313" i="2"/>
  <c r="DO312" i="2"/>
  <c r="CX312" i="2"/>
  <c r="A312" i="2"/>
  <c r="DO311" i="2"/>
  <c r="CX311" i="2"/>
  <c r="N71" i="6" l="1"/>
  <c r="J34" i="31"/>
  <c r="N69" i="6"/>
  <c r="J33" i="31"/>
  <c r="N68" i="6"/>
  <c r="J32" i="31"/>
  <c r="N67" i="6"/>
  <c r="J35" i="31"/>
  <c r="N70" i="6"/>
  <c r="A311" i="2"/>
  <c r="DO310" i="2"/>
  <c r="CX310" i="2"/>
  <c r="A310" i="2"/>
  <c r="DO309" i="2"/>
  <c r="CX309" i="2"/>
  <c r="A309" i="2"/>
  <c r="DO308" i="2"/>
  <c r="CX308" i="2"/>
  <c r="A308" i="2"/>
  <c r="DO307" i="2"/>
  <c r="CX307" i="2"/>
  <c r="A307" i="2"/>
  <c r="DO306" i="2"/>
  <c r="CX306" i="2"/>
  <c r="A306" i="2"/>
  <c r="DO305" i="2"/>
  <c r="CX305" i="2"/>
  <c r="A305" i="2"/>
  <c r="DO304" i="2"/>
  <c r="CX304" i="2"/>
  <c r="A304" i="2"/>
  <c r="DO303" i="2"/>
  <c r="CX303" i="2"/>
  <c r="A303" i="2"/>
  <c r="DO302" i="2"/>
  <c r="CX302" i="2"/>
  <c r="I36" i="31" l="1"/>
  <c r="N59" i="6"/>
  <c r="I40" i="31"/>
  <c r="N63" i="6"/>
  <c r="I37" i="31"/>
  <c r="N60" i="6"/>
  <c r="J29" i="31"/>
  <c r="N64" i="6"/>
  <c r="I35" i="31"/>
  <c r="N58" i="6"/>
  <c r="I39" i="31"/>
  <c r="N62" i="6"/>
  <c r="J31" i="31"/>
  <c r="N66" i="6"/>
  <c r="I38" i="31"/>
  <c r="N61" i="6"/>
  <c r="J30" i="31"/>
  <c r="N65" i="6"/>
  <c r="I34" i="31"/>
  <c r="A302" i="2"/>
  <c r="DO301" i="2"/>
  <c r="N57" i="6" s="1"/>
  <c r="CX301" i="2"/>
  <c r="A301" i="2"/>
  <c r="DO300" i="2"/>
  <c r="N56" i="6" s="1"/>
  <c r="CX300" i="2"/>
  <c r="A300" i="2"/>
  <c r="DO299" i="2"/>
  <c r="CX299" i="2"/>
  <c r="A299" i="2"/>
  <c r="DO298" i="2"/>
  <c r="CX298" i="2"/>
  <c r="A298" i="2"/>
  <c r="DO297" i="2"/>
  <c r="CX297" i="2"/>
  <c r="A297" i="2"/>
  <c r="DO296" i="2"/>
  <c r="CX296" i="2"/>
  <c r="A296" i="2"/>
  <c r="FD295" i="2"/>
  <c r="EY295" i="2"/>
  <c r="EH295" i="2"/>
  <c r="DO295" i="2"/>
  <c r="G40" i="31" s="1"/>
  <c r="CX295" i="2"/>
  <c r="A295" i="2"/>
  <c r="LC294" i="2"/>
  <c r="LB294" i="2"/>
  <c r="FD294" i="2"/>
  <c r="EY294" i="2"/>
  <c r="EH294" i="2"/>
  <c r="DO294" i="2"/>
  <c r="G39" i="31" s="1"/>
  <c r="DE294" i="2"/>
  <c r="DD294" i="2"/>
  <c r="DC294" i="2"/>
  <c r="J50" i="6" s="1"/>
  <c r="CX294" i="2"/>
  <c r="A294" i="2"/>
  <c r="FD293" i="2"/>
  <c r="EY293" i="2"/>
  <c r="EH293" i="2"/>
  <c r="I32" i="31" l="1"/>
  <c r="N55" i="6"/>
  <c r="H39" i="31"/>
  <c r="N50" i="6"/>
  <c r="H40" i="31"/>
  <c r="N51" i="6"/>
  <c r="LC295" i="2"/>
  <c r="LB295" i="2" s="1"/>
  <c r="I31" i="31"/>
  <c r="N54" i="6"/>
  <c r="I30" i="31"/>
  <c r="N53" i="6"/>
  <c r="I29" i="31"/>
  <c r="N52" i="6"/>
  <c r="I33" i="31"/>
  <c r="DX293" i="2"/>
  <c r="DX294" i="2" s="1"/>
  <c r="DW293" i="2"/>
  <c r="DV293" i="2"/>
  <c r="DU293" i="2"/>
  <c r="DT293" i="2"/>
  <c r="DS293" i="2"/>
  <c r="DR293" i="2"/>
  <c r="DO293" i="2"/>
  <c r="G38" i="31" s="1"/>
  <c r="CX293" i="2"/>
  <c r="A293" i="2"/>
  <c r="FD292" i="2"/>
  <c r="EY292" i="2"/>
  <c r="EH292" i="2"/>
  <c r="DO292" i="2"/>
  <c r="G37" i="31" s="1"/>
  <c r="CX292" i="2"/>
  <c r="A292" i="2"/>
  <c r="RP291" i="2" s="1"/>
  <c r="FD291" i="2"/>
  <c r="EY291" i="2"/>
  <c r="EH291" i="2"/>
  <c r="DO291" i="2"/>
  <c r="G36" i="31" s="1"/>
  <c r="CX291" i="2"/>
  <c r="A291" i="2"/>
  <c r="RP290" i="2"/>
  <c r="RO290" i="2"/>
  <c r="F10" i="27" s="1"/>
  <c r="JE290" i="2"/>
  <c r="AP44" i="6" s="1"/>
  <c r="JC290" i="2"/>
  <c r="JB290" i="2"/>
  <c r="JA290" i="2"/>
  <c r="IZ290" i="2"/>
  <c r="IY290" i="2"/>
  <c r="IX290" i="2"/>
  <c r="IV290" i="2"/>
  <c r="IU290" i="2"/>
  <c r="IT290" i="2"/>
  <c r="IS290" i="2"/>
  <c r="IR290" i="2"/>
  <c r="IQ290" i="2"/>
  <c r="IN290" i="2"/>
  <c r="HH290" i="2"/>
  <c r="HG290" i="2"/>
  <c r="HF290" i="2"/>
  <c r="HE290" i="2"/>
  <c r="HD290" i="2"/>
  <c r="HC290" i="2"/>
  <c r="HB290" i="2"/>
  <c r="HA290" i="2"/>
  <c r="GZ290" i="2"/>
  <c r="GY290" i="2"/>
  <c r="GX290" i="2"/>
  <c r="GW290" i="2"/>
  <c r="GV290" i="2"/>
  <c r="GU290" i="2"/>
  <c r="GT290" i="2"/>
  <c r="GS290" i="2"/>
  <c r="GR290" i="2"/>
  <c r="GQ290" i="2"/>
  <c r="FD290" i="2"/>
  <c r="EY290" i="2"/>
  <c r="EH290" i="2"/>
  <c r="DO290" i="2"/>
  <c r="G35" i="31" s="1"/>
  <c r="CX290" i="2"/>
  <c r="A290" i="2"/>
  <c r="FD289" i="2"/>
  <c r="EY289" i="2"/>
  <c r="EH289" i="2"/>
  <c r="DO289" i="2"/>
  <c r="G34" i="31" s="1"/>
  <c r="CX289" i="2"/>
  <c r="A289" i="2"/>
  <c r="FD288" i="2"/>
  <c r="EY288" i="2"/>
  <c r="EH288" i="2"/>
  <c r="DO288" i="2"/>
  <c r="G33" i="31" s="1"/>
  <c r="CX288" i="2"/>
  <c r="A288" i="2"/>
  <c r="KY287" i="2"/>
  <c r="KX287" i="2"/>
  <c r="KW287" i="2"/>
  <c r="KV287" i="2"/>
  <c r="KU287" i="2"/>
  <c r="AW40" i="6" s="1"/>
  <c r="KR287" i="2"/>
  <c r="KQ287" i="2"/>
  <c r="KP287" i="2"/>
  <c r="KO287" i="2"/>
  <c r="KN287" i="2"/>
  <c r="KD287" i="2"/>
  <c r="KC287" i="2"/>
  <c r="KB287" i="2"/>
  <c r="KA287" i="2"/>
  <c r="JZ287" i="2"/>
  <c r="JY287" i="2"/>
  <c r="JU287" i="2"/>
  <c r="JT287" i="2"/>
  <c r="JR287" i="2"/>
  <c r="JQ287" i="2"/>
  <c r="JP287" i="2"/>
  <c r="JN287" i="2"/>
  <c r="JM287" i="2"/>
  <c r="JL287" i="2"/>
  <c r="JK287" i="2"/>
  <c r="JJ287" i="2"/>
  <c r="JI287" i="2"/>
  <c r="JH287" i="2"/>
  <c r="JG287" i="2"/>
  <c r="FD287" i="2"/>
  <c r="EY287" i="2"/>
  <c r="EH287" i="2"/>
  <c r="DO287" i="2"/>
  <c r="G32" i="31" s="1"/>
  <c r="CX287" i="2"/>
  <c r="A287" i="2"/>
  <c r="FD286" i="2"/>
  <c r="EY286" i="2"/>
  <c r="EH286" i="2"/>
  <c r="DO286" i="2"/>
  <c r="CX286" i="2"/>
  <c r="A286" i="2"/>
  <c r="FD285" i="2"/>
  <c r="EY285" i="2"/>
  <c r="EH285" i="2"/>
  <c r="DO285" i="2"/>
  <c r="CX285" i="2"/>
  <c r="A285" i="2"/>
  <c r="KK284" i="2"/>
  <c r="KJ284" i="2"/>
  <c r="KI284" i="2"/>
  <c r="KH284" i="2"/>
  <c r="KG284" i="2"/>
  <c r="AU37" i="6" s="1"/>
  <c r="FD284" i="2"/>
  <c r="EY284" i="2"/>
  <c r="EH284" i="2"/>
  <c r="DO284" i="2"/>
  <c r="CX284" i="2"/>
  <c r="A284" i="2"/>
  <c r="CX283" i="2"/>
  <c r="A283" i="2"/>
  <c r="DE282" i="2"/>
  <c r="DD282" i="2"/>
  <c r="DC282" i="2"/>
  <c r="CX282" i="2"/>
  <c r="A282" i="2"/>
  <c r="CX281" i="2"/>
  <c r="A281" i="2"/>
  <c r="CX280" i="2"/>
  <c r="A280" i="2"/>
  <c r="CX279" i="2"/>
  <c r="A279" i="2"/>
  <c r="KY278" i="2"/>
  <c r="KX278" i="2"/>
  <c r="KW278" i="2"/>
  <c r="KV278" i="2"/>
  <c r="KU278" i="2"/>
  <c r="AW31" i="6" s="1"/>
  <c r="KR278" i="2"/>
  <c r="KQ278" i="2"/>
  <c r="KP278" i="2"/>
  <c r="KO278" i="2"/>
  <c r="KN278" i="2"/>
  <c r="KK278" i="2"/>
  <c r="AV31" i="6" s="1"/>
  <c r="KI278" i="2"/>
  <c r="KI279" i="2" s="1"/>
  <c r="KH279" i="2" s="1"/>
  <c r="KG279" i="2" s="1"/>
  <c r="AU32" i="6" s="1"/>
  <c r="KH278" i="2"/>
  <c r="KG278" i="2"/>
  <c r="KD278" i="2"/>
  <c r="AT31" i="6" s="1"/>
  <c r="KB278" i="2"/>
  <c r="KA278" i="2"/>
  <c r="JZ278" i="2"/>
  <c r="JU278" i="2"/>
  <c r="JT278" i="2"/>
  <c r="JR278" i="2"/>
  <c r="JQ278" i="2"/>
  <c r="JP278" i="2"/>
  <c r="JN278" i="2"/>
  <c r="JM278" i="2"/>
  <c r="JL278" i="2"/>
  <c r="JK278" i="2"/>
  <c r="JJ278" i="2"/>
  <c r="JI278" i="2"/>
  <c r="JH278" i="2"/>
  <c r="JG278" i="2"/>
  <c r="JC278" i="2"/>
  <c r="JB278" i="2"/>
  <c r="JA278" i="2"/>
  <c r="IZ278" i="2"/>
  <c r="IY278" i="2"/>
  <c r="IV278" i="2"/>
  <c r="IU278" i="2"/>
  <c r="IT278" i="2"/>
  <c r="IS278" i="2"/>
  <c r="IR278" i="2"/>
  <c r="IQ278" i="2"/>
  <c r="IN278" i="2"/>
  <c r="HH278" i="2"/>
  <c r="HG278" i="2"/>
  <c r="HF278" i="2"/>
  <c r="HE278" i="2"/>
  <c r="HD278" i="2"/>
  <c r="HC278" i="2"/>
  <c r="HB278" i="2"/>
  <c r="HA278" i="2"/>
  <c r="GZ278" i="2"/>
  <c r="GY278" i="2"/>
  <c r="GX278" i="2"/>
  <c r="GW278" i="2"/>
  <c r="GV278" i="2"/>
  <c r="GU278" i="2"/>
  <c r="GT278" i="2"/>
  <c r="GS278" i="2"/>
  <c r="GR278" i="2"/>
  <c r="AG35" i="6" s="1"/>
  <c r="GQ278" i="2"/>
  <c r="DH278" i="2"/>
  <c r="M31" i="6" s="1"/>
  <c r="CX278" i="2"/>
  <c r="A278" i="2"/>
  <c r="KJ277" i="2"/>
  <c r="KC277" i="2"/>
  <c r="JE277" i="2"/>
  <c r="AP31" i="6" s="1"/>
  <c r="CX277" i="2"/>
  <c r="A277" i="2"/>
  <c r="CX276" i="2"/>
  <c r="A276" i="2"/>
  <c r="IX275" i="2"/>
  <c r="CX275" i="2"/>
  <c r="A275" i="2"/>
  <c r="CX274" i="2"/>
  <c r="A274" i="2"/>
  <c r="CX273" i="2"/>
  <c r="A273" i="2"/>
  <c r="JY272" i="2"/>
  <c r="JD272" i="2"/>
  <c r="IZ272" i="2"/>
  <c r="CX272" i="2"/>
  <c r="A272" i="2"/>
  <c r="CX271" i="2"/>
  <c r="A271" i="2"/>
  <c r="DE270" i="2"/>
  <c r="DD270" i="2"/>
  <c r="DC270" i="2"/>
  <c r="CX270" i="2"/>
  <c r="A270" i="2"/>
  <c r="KT269" i="2"/>
  <c r="KM269" i="2"/>
  <c r="JZ269" i="2"/>
  <c r="JX269" i="2"/>
  <c r="DE269" i="2" s="1"/>
  <c r="CX269" i="2"/>
  <c r="A269" i="2"/>
  <c r="CX268" i="2"/>
  <c r="A268" i="2"/>
  <c r="CX267" i="2"/>
  <c r="A267" i="2"/>
  <c r="EY266" i="2"/>
  <c r="EX266" i="2"/>
  <c r="EW266" i="2"/>
  <c r="EV266" i="2"/>
  <c r="EU266" i="2"/>
  <c r="ET266" i="2"/>
  <c r="ES266" i="2"/>
  <c r="ER266" i="2"/>
  <c r="EQ266" i="2"/>
  <c r="EN266" i="2"/>
  <c r="EM266" i="2"/>
  <c r="EL266" i="2"/>
  <c r="EL267" i="2" s="1"/>
  <c r="EK267" i="2" s="1"/>
  <c r="EJ267" i="2" s="1"/>
  <c r="EI267" i="2" s="1"/>
  <c r="EH267" i="2" s="1"/>
  <c r="EG267" i="2" s="1"/>
  <c r="EF267" i="2" s="1"/>
  <c r="EK266" i="2"/>
  <c r="EJ266" i="2"/>
  <c r="EI266" i="2"/>
  <c r="EH266" i="2"/>
  <c r="EG266" i="2"/>
  <c r="EF266" i="2"/>
  <c r="CX266" i="2"/>
  <c r="CC266" i="2"/>
  <c r="G19" i="6" s="1"/>
  <c r="A266" i="2"/>
  <c r="CX265" i="2"/>
  <c r="A265" i="2"/>
  <c r="CX264" i="2"/>
  <c r="A264" i="2"/>
  <c r="KY263" i="2"/>
  <c r="KX263" i="2"/>
  <c r="KW263" i="2"/>
  <c r="KV263" i="2"/>
  <c r="KU263" i="2"/>
  <c r="KT263" i="2"/>
  <c r="KR263" i="2"/>
  <c r="KQ263" i="2"/>
  <c r="KP263" i="2"/>
  <c r="KO263" i="2"/>
  <c r="KO264" i="2" s="1"/>
  <c r="KN263" i="2"/>
  <c r="KM263" i="2"/>
  <c r="KK263" i="2"/>
  <c r="KJ263" i="2"/>
  <c r="KI263" i="2"/>
  <c r="KH263" i="2"/>
  <c r="KG263" i="2"/>
  <c r="KF263" i="2"/>
  <c r="KD263" i="2"/>
  <c r="KC263" i="2"/>
  <c r="KB263" i="2"/>
  <c r="KA263" i="2"/>
  <c r="JZ263" i="2"/>
  <c r="JY263" i="2"/>
  <c r="JX263" i="2"/>
  <c r="JX264" i="2" s="1"/>
  <c r="JU263" i="2"/>
  <c r="JT263" i="2"/>
  <c r="JR263" i="2"/>
  <c r="JQ263" i="2"/>
  <c r="JP263" i="2"/>
  <c r="JN263" i="2"/>
  <c r="JM263" i="2"/>
  <c r="JL263" i="2"/>
  <c r="JK263" i="2"/>
  <c r="JJ263" i="2"/>
  <c r="JI263" i="2"/>
  <c r="JH263" i="2"/>
  <c r="JG263" i="2"/>
  <c r="JE263" i="2"/>
  <c r="JD263" i="2"/>
  <c r="JC263" i="2"/>
  <c r="JB263" i="2"/>
  <c r="JB264" i="2" s="1"/>
  <c r="JA264" i="2" s="1"/>
  <c r="IZ264" i="2" s="1"/>
  <c r="IY264" i="2" s="1"/>
  <c r="IX264" i="2" s="1"/>
  <c r="IV264" i="2" s="1"/>
  <c r="JA263" i="2"/>
  <c r="IZ263" i="2"/>
  <c r="IY263" i="2"/>
  <c r="IX263" i="2"/>
  <c r="IV263" i="2"/>
  <c r="IU263" i="2"/>
  <c r="IU264" i="2" s="1"/>
  <c r="IT263" i="2"/>
  <c r="IS263" i="2"/>
  <c r="IR263" i="2"/>
  <c r="IQ263" i="2"/>
  <c r="AV19" i="6" l="1"/>
  <c r="AV16" i="6"/>
  <c r="AP20" i="6"/>
  <c r="AP17" i="6"/>
  <c r="AT19" i="6"/>
  <c r="AT16" i="6"/>
  <c r="KT270" i="2"/>
  <c r="AF35" i="6"/>
  <c r="AF32" i="6"/>
  <c r="AH35" i="6"/>
  <c r="AH32" i="6"/>
  <c r="AG32" i="6" s="1"/>
  <c r="AX34" i="6"/>
  <c r="AX31" i="6"/>
  <c r="G29" i="31"/>
  <c r="N37" i="6"/>
  <c r="AV37" i="6"/>
  <c r="AS43" i="6"/>
  <c r="AS40" i="6"/>
  <c r="G31" i="31"/>
  <c r="N39" i="6"/>
  <c r="AT43" i="6"/>
  <c r="AT40" i="6"/>
  <c r="DW294" i="2"/>
  <c r="DV294" i="2" s="1"/>
  <c r="DU294" i="2" s="1"/>
  <c r="DT294" i="2" s="1"/>
  <c r="DS294" i="2" s="1"/>
  <c r="DR294" i="2" s="1"/>
  <c r="AU19" i="6"/>
  <c r="AU16" i="6"/>
  <c r="AX19" i="6"/>
  <c r="AX16" i="6"/>
  <c r="AS25" i="6"/>
  <c r="AF47" i="6"/>
  <c r="AF44" i="6"/>
  <c r="AH47" i="6"/>
  <c r="AH44" i="6"/>
  <c r="JU264" i="2"/>
  <c r="JT264" i="2" s="1"/>
  <c r="JR264" i="2" s="1"/>
  <c r="JQ264" i="2" s="1"/>
  <c r="JP264" i="2" s="1"/>
  <c r="JN264" i="2" s="1"/>
  <c r="JM264" i="2" s="1"/>
  <c r="JL264" i="2" s="1"/>
  <c r="JK264" i="2" s="1"/>
  <c r="JJ264" i="2" s="1"/>
  <c r="JI264" i="2" s="1"/>
  <c r="JH264" i="2" s="1"/>
  <c r="JG264" i="2" s="1"/>
  <c r="JE264" i="2" s="1"/>
  <c r="AP18" i="6" s="1"/>
  <c r="AW19" i="6"/>
  <c r="AW16" i="6"/>
  <c r="CC267" i="2"/>
  <c r="G20" i="6" s="1"/>
  <c r="IT264" i="2"/>
  <c r="IS264" i="2" s="1"/>
  <c r="IR264" i="2" s="1"/>
  <c r="IQ264" i="2" s="1"/>
  <c r="AS19" i="6"/>
  <c r="AS16" i="6"/>
  <c r="DD269" i="2"/>
  <c r="DC269" i="2" s="1"/>
  <c r="AU34" i="6"/>
  <c r="AU31" i="6"/>
  <c r="G30" i="31"/>
  <c r="N38" i="6"/>
  <c r="AX43" i="6"/>
  <c r="AX40" i="6"/>
  <c r="AG47" i="6"/>
  <c r="AG44" i="6"/>
  <c r="JD264" i="2"/>
  <c r="JC264" i="2" s="1"/>
  <c r="AP21" i="6"/>
  <c r="KD279" i="2"/>
  <c r="AT32" i="6" s="1"/>
  <c r="AU35" i="6"/>
  <c r="EY267" i="2"/>
  <c r="EX267" i="2" s="1"/>
  <c r="EW267" i="2" s="1"/>
  <c r="EV267" i="2" s="1"/>
  <c r="EU267" i="2" s="1"/>
  <c r="ET267" i="2" s="1"/>
  <c r="ES267" i="2" s="1"/>
  <c r="ER267" i="2" s="1"/>
  <c r="EQ267" i="2" s="1"/>
  <c r="EN267" i="2" s="1"/>
  <c r="EM267" i="2" s="1"/>
  <c r="F52" i="31"/>
  <c r="E52" i="31" s="1"/>
  <c r="H29" i="31"/>
  <c r="N40" i="6"/>
  <c r="H30" i="31"/>
  <c r="N41" i="6"/>
  <c r="H32" i="31"/>
  <c r="N43" i="6"/>
  <c r="AW43" i="6"/>
  <c r="H33" i="31"/>
  <c r="N44" i="6"/>
  <c r="KY288" i="2"/>
  <c r="AX41" i="6" s="1"/>
  <c r="H35" i="31"/>
  <c r="N46" i="6"/>
  <c r="DE293" i="2"/>
  <c r="DD293" i="2" s="1"/>
  <c r="DC293" i="2" s="1"/>
  <c r="J49" i="6" s="1"/>
  <c r="H38" i="31"/>
  <c r="N49" i="6"/>
  <c r="LC296" i="2"/>
  <c r="KN264" i="2"/>
  <c r="KM264" i="2" s="1"/>
  <c r="KK264" i="2" s="1"/>
  <c r="AV17" i="6" s="1"/>
  <c r="D29" i="24"/>
  <c r="G22" i="6"/>
  <c r="KM270" i="2"/>
  <c r="JZ270" i="2" s="1"/>
  <c r="JX270" i="2" s="1"/>
  <c r="AW34" i="6"/>
  <c r="DH279" i="2"/>
  <c r="M32" i="6" s="1"/>
  <c r="KY264" i="2"/>
  <c r="AX17" i="6" s="1"/>
  <c r="H31" i="31"/>
  <c r="N42" i="6"/>
  <c r="H34" i="31"/>
  <c r="N45" i="6"/>
  <c r="DE292" i="2"/>
  <c r="DD292" i="2" s="1"/>
  <c r="DC292" i="2" s="1"/>
  <c r="H37" i="31"/>
  <c r="N48" i="6"/>
  <c r="D30" i="24"/>
  <c r="G23" i="6"/>
  <c r="DE268" i="2"/>
  <c r="DD268" i="2" s="1"/>
  <c r="DC268" i="2" s="1"/>
  <c r="KT271" i="2"/>
  <c r="AP34" i="6"/>
  <c r="JE278" i="2"/>
  <c r="AP32" i="6" s="1"/>
  <c r="KC278" i="2"/>
  <c r="AT34" i="6"/>
  <c r="KJ278" i="2"/>
  <c r="AV34" i="6"/>
  <c r="KY279" i="2"/>
  <c r="AX32" i="6" s="1"/>
  <c r="AP47" i="6"/>
  <c r="DE291" i="2"/>
  <c r="DD291" i="2" s="1"/>
  <c r="H36" i="31"/>
  <c r="N47" i="6"/>
  <c r="RO291" i="2"/>
  <c r="IN263" i="2"/>
  <c r="IN264" i="2" s="1"/>
  <c r="HH263" i="2"/>
  <c r="HG263" i="2"/>
  <c r="HF263" i="2"/>
  <c r="HF264" i="2" s="1"/>
  <c r="HE263" i="2"/>
  <c r="HD263" i="2"/>
  <c r="HC263" i="2"/>
  <c r="HB263" i="2"/>
  <c r="HA263" i="2"/>
  <c r="GZ263" i="2"/>
  <c r="GY263" i="2"/>
  <c r="GX263" i="2"/>
  <c r="GW263" i="2"/>
  <c r="GV263" i="2"/>
  <c r="GU263" i="2"/>
  <c r="GT263" i="2"/>
  <c r="GS263" i="2"/>
  <c r="GR263" i="2"/>
  <c r="AG17" i="6" s="1"/>
  <c r="GQ263" i="2"/>
  <c r="DH263" i="2"/>
  <c r="M16" i="6" s="1"/>
  <c r="CX263" i="2"/>
  <c r="A263" i="2"/>
  <c r="CX262" i="2"/>
  <c r="A262" i="2"/>
  <c r="CX261" i="2"/>
  <c r="A261" i="2"/>
  <c r="CX260" i="2"/>
  <c r="A260" i="2"/>
  <c r="CX259" i="2"/>
  <c r="A259" i="2"/>
  <c r="DE258" i="2"/>
  <c r="DD258" i="2"/>
  <c r="DC258" i="2"/>
  <c r="CX258" i="2"/>
  <c r="A258" i="2"/>
  <c r="DE257" i="2" s="1"/>
  <c r="CX257" i="2"/>
  <c r="A257" i="2"/>
  <c r="CX256" i="2"/>
  <c r="A256" i="2"/>
  <c r="CX255" i="2"/>
  <c r="A255" i="2"/>
  <c r="DH254" i="2"/>
  <c r="M7" i="6" s="1"/>
  <c r="CX254" i="2"/>
  <c r="A254" i="2"/>
  <c r="CX253" i="2"/>
  <c r="A253" i="2"/>
  <c r="IQ252" i="2"/>
  <c r="CX252" i="2"/>
  <c r="A252" i="2"/>
  <c r="IZ251" i="2"/>
  <c r="EY251" i="2"/>
  <c r="EX251" i="2"/>
  <c r="EW251" i="2"/>
  <c r="EV251" i="2"/>
  <c r="EU251" i="2"/>
  <c r="ET251" i="2"/>
  <c r="ES251" i="2"/>
  <c r="ER251" i="2"/>
  <c r="EQ251" i="2"/>
  <c r="EN251" i="2"/>
  <c r="EM251" i="2"/>
  <c r="EL251" i="2"/>
  <c r="EK251" i="2"/>
  <c r="EJ251" i="2"/>
  <c r="EI251" i="2"/>
  <c r="EH251" i="2"/>
  <c r="EG251" i="2"/>
  <c r="EF251" i="2"/>
  <c r="CX251" i="2"/>
  <c r="A251" i="2"/>
  <c r="IZ250" i="2" s="1"/>
  <c r="IZ247" i="2" s="1"/>
  <c r="CX250" i="2"/>
  <c r="A250" i="2"/>
  <c r="CX249" i="2"/>
  <c r="A249" i="2"/>
  <c r="KY248" i="2"/>
  <c r="AX4" i="6" s="1"/>
  <c r="KX248" i="2"/>
  <c r="KW248" i="2"/>
  <c r="KV248" i="2"/>
  <c r="KU248" i="2"/>
  <c r="AW4" i="6" s="1"/>
  <c r="KT248" i="2"/>
  <c r="KR248" i="2"/>
  <c r="KQ248" i="2"/>
  <c r="KP248" i="2"/>
  <c r="KO248" i="2"/>
  <c r="KN248" i="2"/>
  <c r="KM248" i="2"/>
  <c r="KK248" i="2"/>
  <c r="AV4" i="6" s="1"/>
  <c r="KJ248" i="2"/>
  <c r="KI248" i="2"/>
  <c r="KH248" i="2"/>
  <c r="KG248" i="2"/>
  <c r="AU4" i="6" s="1"/>
  <c r="KF248" i="2"/>
  <c r="KD248" i="2"/>
  <c r="AT4" i="6" s="1"/>
  <c r="KC248" i="2"/>
  <c r="KB248" i="2"/>
  <c r="KA248" i="2"/>
  <c r="JZ248" i="2"/>
  <c r="JY248" i="2"/>
  <c r="AS4" i="6" s="1"/>
  <c r="JX248" i="2"/>
  <c r="CX248" i="2"/>
  <c r="A248" i="2"/>
  <c r="CX247" i="2"/>
  <c r="A247" i="2"/>
  <c r="DE246" i="2"/>
  <c r="DD246" i="2"/>
  <c r="DC246" i="2"/>
  <c r="CX246" i="2"/>
  <c r="A246" i="2"/>
  <c r="DE245" i="2" s="1"/>
  <c r="CX245" i="2"/>
  <c r="A245" i="2"/>
  <c r="JD244" i="2"/>
  <c r="CX244" i="2"/>
  <c r="A244" i="2"/>
  <c r="CX243" i="2"/>
  <c r="A243" i="2"/>
  <c r="CX242" i="2"/>
  <c r="A242" i="2"/>
  <c r="CX241" i="2"/>
  <c r="A241" i="2"/>
  <c r="CX240" i="2"/>
  <c r="A240" i="2"/>
  <c r="CX239" i="2"/>
  <c r="A239" i="2"/>
  <c r="EY238" i="2" s="1"/>
  <c r="CX238" i="2"/>
  <c r="A238" i="2"/>
  <c r="EY237" i="2" s="1"/>
  <c r="CX237" i="2"/>
  <c r="A237" i="2"/>
  <c r="EY236" i="2"/>
  <c r="EX236" i="2"/>
  <c r="EW236" i="2"/>
  <c r="EV236" i="2"/>
  <c r="EU236" i="2"/>
  <c r="ET236" i="2"/>
  <c r="ES236" i="2"/>
  <c r="ER236" i="2"/>
  <c r="EQ236" i="2"/>
  <c r="EN236" i="2"/>
  <c r="EM236" i="2"/>
  <c r="EL236" i="2"/>
  <c r="EK236" i="2"/>
  <c r="EJ236" i="2"/>
  <c r="EI236" i="2"/>
  <c r="EI237" i="2" s="1"/>
  <c r="EH236" i="2"/>
  <c r="EH237" i="2" s="1"/>
  <c r="EG236" i="2"/>
  <c r="EG237" i="2" s="1"/>
  <c r="EF236" i="2"/>
  <c r="CX236" i="2"/>
  <c r="A236" i="2"/>
  <c r="CX235" i="2"/>
  <c r="A235" i="2"/>
  <c r="DE234" i="2"/>
  <c r="DD234" i="2"/>
  <c r="DC234" i="2"/>
  <c r="CX234" i="2"/>
  <c r="A234" i="2"/>
  <c r="DE233" i="2" s="1"/>
  <c r="CX233" i="2"/>
  <c r="A233" i="2"/>
  <c r="CX232" i="2"/>
  <c r="A232" i="2"/>
  <c r="CX231" i="2"/>
  <c r="A231" i="2"/>
  <c r="CX230" i="2"/>
  <c r="A230" i="2"/>
  <c r="CX229" i="2"/>
  <c r="A229" i="2"/>
  <c r="CX228" i="2"/>
  <c r="A228" i="2"/>
  <c r="CX227" i="2"/>
  <c r="A227" i="2"/>
  <c r="CX226" i="2"/>
  <c r="A226" i="2"/>
  <c r="CX225" i="2"/>
  <c r="A225" i="2"/>
  <c r="CX224" i="2"/>
  <c r="A224" i="2"/>
  <c r="CX223" i="2"/>
  <c r="A223" i="2"/>
  <c r="DE222" i="2"/>
  <c r="DD222" i="2"/>
  <c r="DC222" i="2"/>
  <c r="CX222" i="2"/>
  <c r="A222" i="2"/>
  <c r="DE221" i="2" s="1"/>
  <c r="CX221" i="2"/>
  <c r="A221" i="2"/>
  <c r="DE220" i="2" s="1"/>
  <c r="CX220" i="2"/>
  <c r="A220" i="2"/>
  <c r="CX219" i="2"/>
  <c r="A219" i="2"/>
  <c r="CX218" i="2"/>
  <c r="A218" i="2"/>
  <c r="CX217" i="2"/>
  <c r="A217" i="2"/>
  <c r="CX216" i="2"/>
  <c r="A216" i="2"/>
  <c r="CX215" i="2"/>
  <c r="A215" i="2"/>
  <c r="CX214" i="2"/>
  <c r="A214" i="2"/>
  <c r="CX213" i="2"/>
  <c r="A213" i="2"/>
  <c r="CX212" i="2"/>
  <c r="A212" i="2"/>
  <c r="CX211" i="2"/>
  <c r="A211" i="2"/>
  <c r="DE210" i="2"/>
  <c r="DD210" i="2"/>
  <c r="DC210" i="2"/>
  <c r="CX210" i="2"/>
  <c r="A210" i="2"/>
  <c r="DE209" i="2" s="1"/>
  <c r="DD209" i="2" s="1"/>
  <c r="CX209" i="2"/>
  <c r="A209" i="2"/>
  <c r="CX208" i="2"/>
  <c r="A208" i="2"/>
  <c r="CX207" i="2"/>
  <c r="A207" i="2"/>
  <c r="CX206" i="2"/>
  <c r="A206" i="2"/>
  <c r="CX205" i="2"/>
  <c r="A205" i="2"/>
  <c r="CX204" i="2"/>
  <c r="A204" i="2"/>
  <c r="CX203" i="2"/>
  <c r="A203" i="2"/>
  <c r="CX202" i="2"/>
  <c r="A202" i="2"/>
  <c r="CX201" i="2"/>
  <c r="A201" i="2"/>
  <c r="CX200" i="2"/>
  <c r="A200" i="2"/>
  <c r="CX199" i="2"/>
  <c r="A199" i="2"/>
  <c r="DE198" i="2"/>
  <c r="DD198" i="2"/>
  <c r="DC198" i="2"/>
  <c r="CX198" i="2"/>
  <c r="A198" i="2"/>
  <c r="DE197" i="2" s="1"/>
  <c r="CX197" i="2"/>
  <c r="A197" i="2"/>
  <c r="CX196" i="2"/>
  <c r="A196" i="2"/>
  <c r="CX195" i="2"/>
  <c r="A195" i="2"/>
  <c r="CX194" i="2"/>
  <c r="A194" i="2"/>
  <c r="CX193" i="2"/>
  <c r="A193" i="2"/>
  <c r="CX192" i="2"/>
  <c r="A192" i="2"/>
  <c r="CX191" i="2"/>
  <c r="A191" i="2"/>
  <c r="CX190" i="2"/>
  <c r="A190" i="2"/>
  <c r="CX189" i="2"/>
  <c r="A189" i="2"/>
  <c r="CX188" i="2"/>
  <c r="A188" i="2"/>
  <c r="CX187" i="2"/>
  <c r="A187" i="2"/>
  <c r="DE186" i="2"/>
  <c r="DD186" i="2"/>
  <c r="DC186" i="2"/>
  <c r="CX186" i="2"/>
  <c r="A186" i="2"/>
  <c r="DE185" i="2" s="1"/>
  <c r="CX185" i="2"/>
  <c r="A185" i="2"/>
  <c r="CX184" i="2"/>
  <c r="A184" i="2"/>
  <c r="CX183" i="2"/>
  <c r="A183" i="2"/>
  <c r="CX182" i="2"/>
  <c r="A182" i="2"/>
  <c r="CX181" i="2"/>
  <c r="A181" i="2"/>
  <c r="CX180" i="2"/>
  <c r="A180" i="2"/>
  <c r="CX179" i="2"/>
  <c r="A179" i="2"/>
  <c r="CX178" i="2"/>
  <c r="A178" i="2"/>
  <c r="CX177" i="2"/>
  <c r="A177" i="2"/>
  <c r="CX176" i="2"/>
  <c r="A176" i="2"/>
  <c r="CX175" i="2"/>
  <c r="A175" i="2"/>
  <c r="DE174" i="2"/>
  <c r="DD174" i="2"/>
  <c r="DC174" i="2"/>
  <c r="CX174" i="2"/>
  <c r="A174" i="2"/>
  <c r="DE173" i="2" s="1"/>
  <c r="CX173" i="2"/>
  <c r="A173" i="2"/>
  <c r="DE172" i="2" s="1"/>
  <c r="CX172" i="2"/>
  <c r="A172" i="2"/>
  <c r="CX171" i="2"/>
  <c r="A171" i="2"/>
  <c r="CX170" i="2"/>
  <c r="A170" i="2"/>
  <c r="CX169" i="2"/>
  <c r="A169" i="2"/>
  <c r="CX168" i="2"/>
  <c r="A168" i="2"/>
  <c r="CX167" i="2"/>
  <c r="A167" i="2"/>
  <c r="CX166" i="2"/>
  <c r="A166" i="2"/>
  <c r="CX165" i="2"/>
  <c r="A165" i="2"/>
  <c r="CX164" i="2"/>
  <c r="A164" i="2"/>
  <c r="CX163" i="2"/>
  <c r="A163" i="2"/>
  <c r="DE162" i="2"/>
  <c r="DD162" i="2"/>
  <c r="DC162" i="2"/>
  <c r="CX162" i="2"/>
  <c r="A162" i="2"/>
  <c r="DE161" i="2" s="1"/>
  <c r="DD161" i="2" s="1"/>
  <c r="CX161" i="2"/>
  <c r="A161" i="2"/>
  <c r="CX160" i="2"/>
  <c r="A160" i="2"/>
  <c r="CX159" i="2"/>
  <c r="A159" i="2"/>
  <c r="CX158" i="2"/>
  <c r="A158" i="2"/>
  <c r="CX157" i="2"/>
  <c r="A157" i="2"/>
  <c r="CX156" i="2"/>
  <c r="A156" i="2"/>
  <c r="CX155" i="2"/>
  <c r="A155" i="2"/>
  <c r="CX154" i="2"/>
  <c r="A154" i="2"/>
  <c r="CX153" i="2"/>
  <c r="A153" i="2"/>
  <c r="CX152" i="2"/>
  <c r="A152" i="2"/>
  <c r="CX151" i="2"/>
  <c r="A151" i="2"/>
  <c r="DE150" i="2"/>
  <c r="DD150" i="2"/>
  <c r="DC150" i="2"/>
  <c r="CX150" i="2"/>
  <c r="A150" i="2"/>
  <c r="DE149" i="2" s="1"/>
  <c r="CX149" i="2"/>
  <c r="A149" i="2"/>
  <c r="CX148" i="2"/>
  <c r="A148" i="2"/>
  <c r="CX147" i="2"/>
  <c r="A147" i="2"/>
  <c r="CX146" i="2"/>
  <c r="A146" i="2"/>
  <c r="CX145" i="2"/>
  <c r="A145" i="2"/>
  <c r="CX144" i="2"/>
  <c r="A144" i="2"/>
  <c r="CX143" i="2"/>
  <c r="A143" i="2"/>
  <c r="CX142" i="2"/>
  <c r="A142" i="2"/>
  <c r="CX141" i="2"/>
  <c r="A141" i="2"/>
  <c r="CX140" i="2"/>
  <c r="A140" i="2"/>
  <c r="CX139" i="2"/>
  <c r="A139" i="2"/>
  <c r="DC138" i="2"/>
  <c r="CX138" i="2"/>
  <c r="A138" i="2"/>
  <c r="CX137" i="2"/>
  <c r="A137" i="2"/>
  <c r="CX136" i="2"/>
  <c r="A136" i="2"/>
  <c r="CX135" i="2"/>
  <c r="A135" i="2"/>
  <c r="CX134" i="2"/>
  <c r="A134" i="2"/>
  <c r="CX133" i="2"/>
  <c r="A133" i="2"/>
  <c r="CX132" i="2"/>
  <c r="A132" i="2"/>
  <c r="CX131" i="2"/>
  <c r="A131" i="2"/>
  <c r="CX130" i="2"/>
  <c r="A130" i="2"/>
  <c r="CX129" i="2"/>
  <c r="A129" i="2"/>
  <c r="CX128" i="2"/>
  <c r="A128" i="2"/>
  <c r="CX127" i="2"/>
  <c r="A127" i="2"/>
  <c r="DC126" i="2"/>
  <c r="CX126" i="2"/>
  <c r="A126" i="2"/>
  <c r="CX125" i="2"/>
  <c r="A125" i="2"/>
  <c r="CX124" i="2"/>
  <c r="A124" i="2"/>
  <c r="CX123" i="2"/>
  <c r="A123" i="2"/>
  <c r="CX122" i="2"/>
  <c r="A122" i="2"/>
  <c r="CX121" i="2"/>
  <c r="A121" i="2"/>
  <c r="CX120" i="2"/>
  <c r="A120" i="2"/>
  <c r="CX119" i="2"/>
  <c r="A119" i="2"/>
  <c r="CX118" i="2"/>
  <c r="A118" i="2"/>
  <c r="CX117" i="2"/>
  <c r="A117" i="2"/>
  <c r="CX116" i="2"/>
  <c r="A116" i="2"/>
  <c r="CX115" i="2"/>
  <c r="A115" i="2"/>
  <c r="CX114" i="2"/>
  <c r="A114" i="2"/>
  <c r="CX113" i="2"/>
  <c r="A113" i="2"/>
  <c r="CX112" i="2"/>
  <c r="A112" i="2"/>
  <c r="CX111" i="2"/>
  <c r="A111" i="2"/>
  <c r="CX110" i="2"/>
  <c r="A110" i="2"/>
  <c r="CX109" i="2"/>
  <c r="A109" i="2"/>
  <c r="CX108" i="2"/>
  <c r="A108" i="2"/>
  <c r="CX107" i="2"/>
  <c r="A107" i="2"/>
  <c r="CX106" i="2"/>
  <c r="A106" i="2"/>
  <c r="CX105" i="2"/>
  <c r="A105" i="2"/>
  <c r="CX104" i="2"/>
  <c r="A104" i="2"/>
  <c r="CX103" i="2"/>
  <c r="A103" i="2"/>
  <c r="CX102" i="2"/>
  <c r="A102" i="2"/>
  <c r="CX101" i="2"/>
  <c r="A101" i="2"/>
  <c r="CX100" i="2"/>
  <c r="A100" i="2"/>
  <c r="CX99" i="2"/>
  <c r="A99" i="2"/>
  <c r="CX98" i="2"/>
  <c r="A98" i="2"/>
  <c r="CX97" i="2"/>
  <c r="A97" i="2"/>
  <c r="CX96" i="2"/>
  <c r="A96" i="2"/>
  <c r="CX95" i="2"/>
  <c r="A95" i="2"/>
  <c r="CX94" i="2"/>
  <c r="A94" i="2"/>
  <c r="CX93" i="2"/>
  <c r="A93" i="2"/>
  <c r="CX92" i="2"/>
  <c r="A92" i="2"/>
  <c r="CX91" i="2"/>
  <c r="A91" i="2"/>
  <c r="CX90" i="2"/>
  <c r="A90" i="2"/>
  <c r="CX89" i="2"/>
  <c r="A89" i="2"/>
  <c r="CX88" i="2"/>
  <c r="A88" i="2"/>
  <c r="CX87" i="2"/>
  <c r="A87" i="2"/>
  <c r="CX86" i="2"/>
  <c r="A86" i="2"/>
  <c r="CX85" i="2"/>
  <c r="A85" i="2"/>
  <c r="CX84" i="2"/>
  <c r="A84" i="2"/>
  <c r="CX83" i="2"/>
  <c r="A83" i="2"/>
  <c r="CX82" i="2"/>
  <c r="A82" i="2"/>
  <c r="CX81" i="2"/>
  <c r="A81" i="2"/>
  <c r="CX80" i="2"/>
  <c r="A80" i="2"/>
  <c r="CX79" i="2"/>
  <c r="A79" i="2"/>
  <c r="CX78" i="2"/>
  <c r="A78" i="2"/>
  <c r="CX77" i="2"/>
  <c r="A77" i="2"/>
  <c r="CX76" i="2"/>
  <c r="A76" i="2"/>
  <c r="CX75" i="2"/>
  <c r="A75" i="2"/>
  <c r="CX74" i="2"/>
  <c r="A74" i="2"/>
  <c r="CX73" i="2"/>
  <c r="A73" i="2"/>
  <c r="CX72" i="2"/>
  <c r="A72" i="2"/>
  <c r="CX71" i="2"/>
  <c r="A71" i="2"/>
  <c r="CX70" i="2"/>
  <c r="A70" i="2"/>
  <c r="CX69" i="2"/>
  <c r="A69" i="2"/>
  <c r="CX68" i="2"/>
  <c r="A68" i="2"/>
  <c r="CI63" i="2"/>
  <c r="MJ60" i="2"/>
  <c r="F60" i="14" s="1"/>
  <c r="E60" i="14" s="1"/>
  <c r="MI60" i="2"/>
  <c r="MH60" i="2"/>
  <c r="MG60" i="2"/>
  <c r="MF60" i="2"/>
  <c r="MJ59" i="2"/>
  <c r="F59" i="14" s="1"/>
  <c r="MI59" i="2"/>
  <c r="MH59" i="2"/>
  <c r="MG59" i="2"/>
  <c r="MF59" i="2"/>
  <c r="MJ58" i="2"/>
  <c r="F58" i="14" s="1"/>
  <c r="MI58" i="2"/>
  <c r="MH58" i="2"/>
  <c r="MG58" i="2"/>
  <c r="MF58" i="2"/>
  <c r="MJ57" i="2"/>
  <c r="F57" i="14" s="1"/>
  <c r="MI57" i="2"/>
  <c r="MH57" i="2"/>
  <c r="MG57" i="2"/>
  <c r="MF57" i="2"/>
  <c r="MJ56" i="2"/>
  <c r="MI56" i="2"/>
  <c r="MH56" i="2"/>
  <c r="MG56" i="2"/>
  <c r="MF56" i="2"/>
  <c r="MJ55" i="2"/>
  <c r="F55" i="14" s="1"/>
  <c r="MI55" i="2"/>
  <c r="MH55" i="2"/>
  <c r="MG55" i="2"/>
  <c r="MF55" i="2"/>
  <c r="MJ54" i="2"/>
  <c r="F54" i="14" s="1"/>
  <c r="MI54" i="2"/>
  <c r="MH54" i="2"/>
  <c r="MG54" i="2"/>
  <c r="MF54" i="2"/>
  <c r="MJ53" i="2"/>
  <c r="F53" i="14" s="1"/>
  <c r="MI53" i="2"/>
  <c r="MH53" i="2"/>
  <c r="MG53" i="2"/>
  <c r="MF53" i="2"/>
  <c r="MJ52" i="2"/>
  <c r="F52" i="14" s="1"/>
  <c r="MI52" i="2"/>
  <c r="MH52" i="2"/>
  <c r="MG52" i="2"/>
  <c r="MF52" i="2"/>
  <c r="MJ51" i="2"/>
  <c r="F51" i="14" s="1"/>
  <c r="MI51" i="2"/>
  <c r="MH51" i="2"/>
  <c r="MG51" i="2"/>
  <c r="MF51" i="2"/>
  <c r="MJ50" i="2"/>
  <c r="F50" i="14" s="1"/>
  <c r="MI50" i="2"/>
  <c r="MH50" i="2"/>
  <c r="MG50" i="2"/>
  <c r="MF50" i="2"/>
  <c r="MJ49" i="2"/>
  <c r="F49" i="14" s="1"/>
  <c r="MI49" i="2"/>
  <c r="MH49" i="2"/>
  <c r="MG49" i="2"/>
  <c r="MF49" i="2"/>
  <c r="MJ48" i="2"/>
  <c r="F48" i="14" s="1"/>
  <c r="MI48" i="2"/>
  <c r="MH48" i="2"/>
  <c r="MG48" i="2"/>
  <c r="MF48" i="2"/>
  <c r="MJ47" i="2"/>
  <c r="F47" i="14" s="1"/>
  <c r="MI47" i="2"/>
  <c r="MH47" i="2"/>
  <c r="MG47" i="2"/>
  <c r="MF47" i="2"/>
  <c r="MJ46" i="2"/>
  <c r="F46" i="14" s="1"/>
  <c r="MI46" i="2"/>
  <c r="MH46" i="2"/>
  <c r="MG46" i="2"/>
  <c r="MF46" i="2"/>
  <c r="MJ45" i="2"/>
  <c r="F45" i="14" s="1"/>
  <c r="MI45" i="2"/>
  <c r="MH45" i="2"/>
  <c r="MG45" i="2"/>
  <c r="MF45" i="2"/>
  <c r="MJ44" i="2"/>
  <c r="F44" i="14" s="1"/>
  <c r="MI44" i="2"/>
  <c r="MH44" i="2"/>
  <c r="MG44" i="2"/>
  <c r="MF44" i="2"/>
  <c r="MJ43" i="2"/>
  <c r="F43" i="14" s="1"/>
  <c r="MI43" i="2"/>
  <c r="MH43" i="2"/>
  <c r="MG43" i="2"/>
  <c r="MF43" i="2"/>
  <c r="MJ42" i="2"/>
  <c r="F42" i="14" s="1"/>
  <c r="MI42" i="2"/>
  <c r="MH42" i="2"/>
  <c r="MG42" i="2"/>
  <c r="MF42" i="2"/>
  <c r="MJ41" i="2"/>
  <c r="F41" i="14" s="1"/>
  <c r="MI41" i="2"/>
  <c r="MH41" i="2"/>
  <c r="MG41" i="2"/>
  <c r="MF41" i="2"/>
  <c r="MJ40" i="2"/>
  <c r="F40" i="14" s="1"/>
  <c r="MI40" i="2"/>
  <c r="MH40" i="2"/>
  <c r="MG40" i="2"/>
  <c r="MF40" i="2"/>
  <c r="MJ39" i="2"/>
  <c r="F39" i="14" s="1"/>
  <c r="MI39" i="2"/>
  <c r="MH39" i="2"/>
  <c r="MG39" i="2"/>
  <c r="MF39" i="2"/>
  <c r="MJ38" i="2"/>
  <c r="F38" i="14" s="1"/>
  <c r="MI38" i="2"/>
  <c r="MH38" i="2"/>
  <c r="MG38" i="2"/>
  <c r="MF38" i="2"/>
  <c r="E42" i="14" l="1"/>
  <c r="D42" i="14" s="1"/>
  <c r="C42" i="14" s="1"/>
  <c r="E50" i="14"/>
  <c r="D50" i="14" s="1"/>
  <c r="C50" i="14" s="1"/>
  <c r="DE148" i="2"/>
  <c r="DE196" i="2"/>
  <c r="DE256" i="2"/>
  <c r="HH264" i="2"/>
  <c r="HG264" i="2" s="1"/>
  <c r="KY289" i="2"/>
  <c r="AX42" i="6" s="1"/>
  <c r="L88" i="31"/>
  <c r="L80" i="31"/>
  <c r="L87" i="31"/>
  <c r="L83" i="31"/>
  <c r="L85" i="31"/>
  <c r="L86" i="31"/>
  <c r="L81" i="31"/>
  <c r="L64" i="31"/>
  <c r="K64" i="31"/>
  <c r="K71" i="31"/>
  <c r="K67" i="31"/>
  <c r="K73" i="31"/>
  <c r="K65" i="31"/>
  <c r="K70" i="31"/>
  <c r="K72" i="31"/>
  <c r="K69" i="31"/>
  <c r="K66" i="31"/>
  <c r="J64" i="31"/>
  <c r="J69" i="31"/>
  <c r="J67" i="31"/>
  <c r="J70" i="31"/>
  <c r="J73" i="31"/>
  <c r="J72" i="31"/>
  <c r="J71" i="31"/>
  <c r="J66" i="31"/>
  <c r="J65" i="31"/>
  <c r="I70" i="31"/>
  <c r="I71" i="31"/>
  <c r="I64" i="31"/>
  <c r="I73" i="31"/>
  <c r="I67" i="31"/>
  <c r="I69" i="31"/>
  <c r="I65" i="31"/>
  <c r="I66" i="31"/>
  <c r="I72" i="31"/>
  <c r="H72" i="31"/>
  <c r="H65" i="31"/>
  <c r="H66" i="31"/>
  <c r="H69" i="31"/>
  <c r="H64" i="31"/>
  <c r="H73" i="31"/>
  <c r="H67" i="31"/>
  <c r="H70" i="31"/>
  <c r="H71" i="31"/>
  <c r="G69" i="31"/>
  <c r="G66" i="31"/>
  <c r="G64" i="31"/>
  <c r="G70" i="31"/>
  <c r="G67" i="31"/>
  <c r="G72" i="31"/>
  <c r="G71" i="31"/>
  <c r="G73" i="31"/>
  <c r="G65" i="31"/>
  <c r="F65" i="31"/>
  <c r="F66" i="31"/>
  <c r="F67" i="31"/>
  <c r="F73" i="31"/>
  <c r="F70" i="31"/>
  <c r="F64" i="31"/>
  <c r="F69" i="31"/>
  <c r="F71" i="31"/>
  <c r="F72" i="31"/>
  <c r="E70" i="31"/>
  <c r="E65" i="31"/>
  <c r="E64" i="31"/>
  <c r="E69" i="31"/>
  <c r="E67" i="31"/>
  <c r="E72" i="31"/>
  <c r="E66" i="31"/>
  <c r="E71" i="31"/>
  <c r="E73" i="31"/>
  <c r="L65" i="31"/>
  <c r="L82" i="31"/>
  <c r="L71" i="31"/>
  <c r="L70" i="31"/>
  <c r="L67" i="31"/>
  <c r="L89" i="31"/>
  <c r="L69" i="31"/>
  <c r="L72" i="31"/>
  <c r="L66" i="31"/>
  <c r="L73" i="31"/>
  <c r="DC161" i="2"/>
  <c r="DC209" i="2"/>
  <c r="EF237" i="2"/>
  <c r="DD245" i="2"/>
  <c r="DC245" i="2" s="1"/>
  <c r="EY252" i="2"/>
  <c r="EX252" i="2" s="1"/>
  <c r="EW252" i="2" s="1"/>
  <c r="AF20" i="6"/>
  <c r="AF17" i="6"/>
  <c r="AH20" i="6"/>
  <c r="AH17" i="6"/>
  <c r="DD185" i="2"/>
  <c r="DC185" i="2" s="1"/>
  <c r="DD233" i="2"/>
  <c r="DC233" i="2" s="1"/>
  <c r="E46" i="14"/>
  <c r="D60" i="14"/>
  <c r="E57" i="14"/>
  <c r="D57" i="14" s="1"/>
  <c r="C57" i="14" s="1"/>
  <c r="E38" i="14"/>
  <c r="D38" i="14" s="1"/>
  <c r="C38" i="14" s="1"/>
  <c r="D46" i="14"/>
  <c r="C46" i="14" s="1"/>
  <c r="B38" i="14"/>
  <c r="E40" i="14"/>
  <c r="D40" i="14" s="1"/>
  <c r="C40" i="14" s="1"/>
  <c r="B40" i="14" s="1"/>
  <c r="H39" i="14" s="1"/>
  <c r="E44" i="14"/>
  <c r="D44" i="14" s="1"/>
  <c r="C44" i="14" s="1"/>
  <c r="B44" i="14" s="1"/>
  <c r="H43" i="14" s="1"/>
  <c r="E48" i="14"/>
  <c r="D48" i="14" s="1"/>
  <c r="C48" i="14" s="1"/>
  <c r="B48" i="14" s="1"/>
  <c r="H47" i="14" s="1"/>
  <c r="H48" i="14"/>
  <c r="E52" i="14"/>
  <c r="D52" i="14" s="1"/>
  <c r="C52" i="14" s="1"/>
  <c r="B52" i="14" s="1"/>
  <c r="H51" i="14" s="1"/>
  <c r="H52" i="14"/>
  <c r="C60" i="14"/>
  <c r="B60" i="14" s="1"/>
  <c r="H59" i="14" s="1"/>
  <c r="IQ253" i="2"/>
  <c r="AG20" i="6"/>
  <c r="GR264" i="2"/>
  <c r="AX45" i="6"/>
  <c r="F53" i="31"/>
  <c r="DH280" i="2"/>
  <c r="KC279" i="2"/>
  <c r="KB279" i="2" s="1"/>
  <c r="KA279" i="2" s="1"/>
  <c r="JZ279" i="2" s="1"/>
  <c r="AT35" i="6"/>
  <c r="E41" i="14"/>
  <c r="D41" i="14" s="1"/>
  <c r="C41" i="14" s="1"/>
  <c r="B41" i="14" s="1"/>
  <c r="H40" i="14" s="1"/>
  <c r="H41" i="14"/>
  <c r="E45" i="14"/>
  <c r="D45" i="14" s="1"/>
  <c r="C45" i="14" s="1"/>
  <c r="B45" i="14" s="1"/>
  <c r="H44" i="14" s="1"/>
  <c r="H45" i="14"/>
  <c r="E49" i="14"/>
  <c r="D49" i="14" s="1"/>
  <c r="C49" i="14" s="1"/>
  <c r="B49" i="14" s="1"/>
  <c r="H49" i="14"/>
  <c r="E53" i="14"/>
  <c r="D53" i="14" s="1"/>
  <c r="C53" i="14" s="1"/>
  <c r="B53" i="14" s="1"/>
  <c r="H53" i="14"/>
  <c r="B57" i="14"/>
  <c r="H56" i="14" s="1"/>
  <c r="F56" i="14" s="1"/>
  <c r="E56" i="14" s="1"/>
  <c r="D56" i="14" s="1"/>
  <c r="C56" i="14" s="1"/>
  <c r="B56" i="14" s="1"/>
  <c r="H55" i="14" s="1"/>
  <c r="EV252" i="2"/>
  <c r="EU252" i="2" s="1"/>
  <c r="ET252" i="2" s="1"/>
  <c r="ES252" i="2" s="1"/>
  <c r="ER252" i="2" s="1"/>
  <c r="EQ252" i="2" s="1"/>
  <c r="EN252" i="2" s="1"/>
  <c r="EM252" i="2" s="1"/>
  <c r="EL252" i="2" s="1"/>
  <c r="EK252" i="2" s="1"/>
  <c r="EJ252" i="2" s="1"/>
  <c r="EI252" i="2" s="1"/>
  <c r="EH252" i="2" s="1"/>
  <c r="EG252" i="2" s="1"/>
  <c r="EF252" i="2" s="1"/>
  <c r="J24" i="6"/>
  <c r="K50" i="18"/>
  <c r="KX264" i="2"/>
  <c r="KW264" i="2" s="1"/>
  <c r="KV264" i="2" s="1"/>
  <c r="KU264" i="2" s="1"/>
  <c r="AW17" i="6" s="1"/>
  <c r="AX20" i="6"/>
  <c r="B42" i="14"/>
  <c r="B46" i="14"/>
  <c r="B50" i="14"/>
  <c r="E54" i="14"/>
  <c r="D54" i="14" s="1"/>
  <c r="C54" i="14" s="1"/>
  <c r="B54" i="14" s="1"/>
  <c r="E58" i="14"/>
  <c r="D58" i="14" s="1"/>
  <c r="C58" i="14" s="1"/>
  <c r="B58" i="14" s="1"/>
  <c r="H57" i="14" s="1"/>
  <c r="H58" i="14"/>
  <c r="AF27" i="3"/>
  <c r="AG26" i="3"/>
  <c r="AE27" i="3"/>
  <c r="AH27" i="3"/>
  <c r="AH26" i="3"/>
  <c r="AG27" i="3"/>
  <c r="AF26" i="3"/>
  <c r="AT25" i="3"/>
  <c r="AP25" i="3"/>
  <c r="AL25" i="3"/>
  <c r="AH25" i="3"/>
  <c r="AV24" i="3"/>
  <c r="AR24" i="3"/>
  <c r="AN24" i="3"/>
  <c r="AJ24" i="3"/>
  <c r="AF24" i="3"/>
  <c r="H24" i="3"/>
  <c r="D24" i="3"/>
  <c r="AE26" i="3"/>
  <c r="AS25" i="3"/>
  <c r="AO25" i="3"/>
  <c r="AK25" i="3"/>
  <c r="AG25" i="3"/>
  <c r="AU24" i="3"/>
  <c r="AQ24" i="3"/>
  <c r="AM24" i="3"/>
  <c r="AI24" i="3"/>
  <c r="AE24" i="3"/>
  <c r="G24" i="3"/>
  <c r="C24" i="3"/>
  <c r="AU23" i="3"/>
  <c r="AQ23" i="3"/>
  <c r="AM23" i="3"/>
  <c r="AI23" i="3"/>
  <c r="AE23" i="3"/>
  <c r="O23" i="3"/>
  <c r="H23" i="3"/>
  <c r="D23" i="3"/>
  <c r="AS22" i="3"/>
  <c r="AO22" i="3"/>
  <c r="AK22" i="3"/>
  <c r="AG22" i="3"/>
  <c r="Q22" i="3"/>
  <c r="J22" i="3"/>
  <c r="F22" i="3"/>
  <c r="AU21" i="3"/>
  <c r="AQ21" i="3"/>
  <c r="AM21" i="3"/>
  <c r="AI21" i="3"/>
  <c r="AE21" i="3"/>
  <c r="O21" i="3"/>
  <c r="H21" i="3"/>
  <c r="D21" i="3"/>
  <c r="AS20" i="3"/>
  <c r="AO20" i="3"/>
  <c r="Q20" i="3"/>
  <c r="J20" i="3"/>
  <c r="F20" i="3"/>
  <c r="AV18" i="3"/>
  <c r="AR18" i="3"/>
  <c r="AN18" i="3"/>
  <c r="AJ18" i="3"/>
  <c r="AF18" i="3"/>
  <c r="AU18" i="3"/>
  <c r="AI18" i="3"/>
  <c r="AV25" i="3"/>
  <c r="AR25" i="3"/>
  <c r="AN25" i="3"/>
  <c r="AJ25" i="3"/>
  <c r="AF25" i="3"/>
  <c r="AT24" i="3"/>
  <c r="AP24" i="3"/>
  <c r="AL24" i="3"/>
  <c r="AH24" i="3"/>
  <c r="J24" i="3"/>
  <c r="F24" i="3"/>
  <c r="AT23" i="3"/>
  <c r="AP23" i="3"/>
  <c r="AL23" i="3"/>
  <c r="AH23" i="3"/>
  <c r="R23" i="3"/>
  <c r="N23" i="3"/>
  <c r="G23" i="3"/>
  <c r="C23" i="3"/>
  <c r="AV22" i="3"/>
  <c r="AR22" i="3"/>
  <c r="AN22" i="3"/>
  <c r="AJ22" i="3"/>
  <c r="AF22" i="3"/>
  <c r="P22" i="3"/>
  <c r="I22" i="3"/>
  <c r="E22" i="3"/>
  <c r="AT21" i="3"/>
  <c r="AP21" i="3"/>
  <c r="AL21" i="3"/>
  <c r="AH21" i="3"/>
  <c r="R21" i="3"/>
  <c r="N21" i="3"/>
  <c r="G21" i="3"/>
  <c r="C21" i="3"/>
  <c r="AV20" i="3"/>
  <c r="AR20" i="3"/>
  <c r="AN20" i="3"/>
  <c r="P20" i="3"/>
  <c r="I20" i="3"/>
  <c r="E20" i="3"/>
  <c r="AQ18" i="3"/>
  <c r="AM18" i="3"/>
  <c r="AE18" i="3"/>
  <c r="AL18" i="3"/>
  <c r="AU25" i="3"/>
  <c r="AQ25" i="3"/>
  <c r="AM25" i="3"/>
  <c r="AI25" i="3"/>
  <c r="AE25" i="3"/>
  <c r="AS24" i="3"/>
  <c r="AO24" i="3"/>
  <c r="AK24" i="3"/>
  <c r="AG24" i="3"/>
  <c r="I24" i="3"/>
  <c r="E24" i="3"/>
  <c r="AS23" i="3"/>
  <c r="AO23" i="3"/>
  <c r="AK23" i="3"/>
  <c r="AG23" i="3"/>
  <c r="Q23" i="3"/>
  <c r="J23" i="3"/>
  <c r="F23" i="3"/>
  <c r="AU22" i="3"/>
  <c r="AQ22" i="3"/>
  <c r="AM22" i="3"/>
  <c r="AI22" i="3"/>
  <c r="AE22" i="3"/>
  <c r="O22" i="3"/>
  <c r="H22" i="3"/>
  <c r="D22" i="3"/>
  <c r="AS21" i="3"/>
  <c r="AO21" i="3"/>
  <c r="AK21" i="3"/>
  <c r="AG21" i="3"/>
  <c r="Q21" i="3"/>
  <c r="J21" i="3"/>
  <c r="F21" i="3"/>
  <c r="AU20" i="3"/>
  <c r="AQ20" i="3"/>
  <c r="O20" i="3"/>
  <c r="H20" i="3"/>
  <c r="D20" i="3"/>
  <c r="AO19" i="3"/>
  <c r="AT18" i="3"/>
  <c r="AP18" i="3"/>
  <c r="AH18" i="3"/>
  <c r="AR23" i="3"/>
  <c r="P23" i="3"/>
  <c r="AP22" i="3"/>
  <c r="N22" i="3"/>
  <c r="AN21" i="3"/>
  <c r="I21" i="3"/>
  <c r="G20" i="3"/>
  <c r="AK18" i="3"/>
  <c r="N20" i="3"/>
  <c r="AN19" i="3"/>
  <c r="AN23" i="3"/>
  <c r="I23" i="3"/>
  <c r="AL22" i="3"/>
  <c r="G22" i="3"/>
  <c r="AJ21" i="3"/>
  <c r="E21" i="3"/>
  <c r="C20" i="3"/>
  <c r="K20" i="3" s="1"/>
  <c r="AG18" i="3"/>
  <c r="AV23" i="3"/>
  <c r="AT22" i="3"/>
  <c r="P21" i="3"/>
  <c r="AJ23" i="3"/>
  <c r="E23" i="3"/>
  <c r="AH22" i="3"/>
  <c r="C22" i="3"/>
  <c r="K22" i="3" s="1"/>
  <c r="AV21" i="3"/>
  <c r="AF21" i="3"/>
  <c r="AT20" i="3"/>
  <c r="R20" i="3"/>
  <c r="AS18" i="3"/>
  <c r="AF23" i="3"/>
  <c r="R22" i="3"/>
  <c r="AR21" i="3"/>
  <c r="AP20" i="3"/>
  <c r="AO18" i="3"/>
  <c r="BD9" i="3"/>
  <c r="BC8" i="3"/>
  <c r="BE6" i="3"/>
  <c r="BD5" i="3"/>
  <c r="BE9" i="3"/>
  <c r="BC7" i="3"/>
  <c r="BD10" i="3"/>
  <c r="BC9" i="3"/>
  <c r="BE7" i="3"/>
  <c r="BD6" i="3"/>
  <c r="BC5" i="3"/>
  <c r="BC10" i="3"/>
  <c r="BE8" i="3"/>
  <c r="BD7" i="3"/>
  <c r="BC6" i="3"/>
  <c r="BD8" i="3"/>
  <c r="BE5" i="3"/>
  <c r="J114" i="24"/>
  <c r="J111" i="24"/>
  <c r="J117" i="24"/>
  <c r="J115" i="24"/>
  <c r="J113" i="24"/>
  <c r="J116" i="24"/>
  <c r="I117" i="24"/>
  <c r="I116" i="24"/>
  <c r="I113" i="24"/>
  <c r="I115" i="24"/>
  <c r="I111" i="24"/>
  <c r="I112" i="24"/>
  <c r="I114" i="24"/>
  <c r="H114" i="24"/>
  <c r="H116" i="24"/>
  <c r="H117" i="24"/>
  <c r="H115" i="24"/>
  <c r="H113" i="24"/>
  <c r="H112" i="24"/>
  <c r="H111" i="24"/>
  <c r="G114" i="24"/>
  <c r="G115" i="24"/>
  <c r="G117" i="24"/>
  <c r="G116" i="24"/>
  <c r="G113" i="24"/>
  <c r="G111" i="24"/>
  <c r="G112" i="24"/>
  <c r="F111" i="24"/>
  <c r="F116" i="24"/>
  <c r="F114" i="24"/>
  <c r="F117" i="24"/>
  <c r="F115" i="24"/>
  <c r="F113" i="24"/>
  <c r="F112" i="24"/>
  <c r="E117" i="24"/>
  <c r="E116" i="24"/>
  <c r="E113" i="24"/>
  <c r="E115" i="24"/>
  <c r="E111" i="24"/>
  <c r="E112" i="24"/>
  <c r="E114" i="24"/>
  <c r="EX237" i="2"/>
  <c r="EW237" i="2" s="1"/>
  <c r="EV237" i="2" s="1"/>
  <c r="EU237" i="2" s="1"/>
  <c r="ET237" i="2" s="1"/>
  <c r="ES237" i="2" s="1"/>
  <c r="ER237" i="2" s="1"/>
  <c r="EQ237" i="2" s="1"/>
  <c r="EN237" i="2" s="1"/>
  <c r="EM237" i="2" s="1"/>
  <c r="EL237" i="2" s="1"/>
  <c r="EK237" i="2" s="1"/>
  <c r="EJ237" i="2" s="1"/>
  <c r="EY239" i="2"/>
  <c r="EY240" i="2" s="1"/>
  <c r="IZ246" i="2"/>
  <c r="IZ244" i="2" s="1"/>
  <c r="DE244" i="2" s="1"/>
  <c r="D52" i="31"/>
  <c r="M10" i="6"/>
  <c r="DH255" i="2"/>
  <c r="M8" i="6" s="1"/>
  <c r="E49" i="31"/>
  <c r="M19" i="6"/>
  <c r="DH264" i="2"/>
  <c r="M17" i="6" s="1"/>
  <c r="HE264" i="2"/>
  <c r="HD264" i="2" s="1"/>
  <c r="HC264" i="2" s="1"/>
  <c r="AH18" i="6" s="1"/>
  <c r="AG18" i="6" s="1"/>
  <c r="F11" i="27"/>
  <c r="KX279" i="2"/>
  <c r="KW279" i="2" s="1"/>
  <c r="KV279" i="2" s="1"/>
  <c r="KU279" i="2" s="1"/>
  <c r="AW32" i="6" s="1"/>
  <c r="AX35" i="6"/>
  <c r="KJ264" i="2"/>
  <c r="KI264" i="2" s="1"/>
  <c r="KH264" i="2" s="1"/>
  <c r="KG264" i="2" s="1"/>
  <c r="AU17" i="6" s="1"/>
  <c r="AV20" i="6"/>
  <c r="DE290" i="2"/>
  <c r="E39" i="14"/>
  <c r="D39" i="14" s="1"/>
  <c r="C39" i="14" s="1"/>
  <c r="B39" i="14" s="1"/>
  <c r="H38" i="14" s="1"/>
  <c r="E43" i="14"/>
  <c r="D43" i="14" s="1"/>
  <c r="C43" i="14" s="1"/>
  <c r="B43" i="14" s="1"/>
  <c r="H42" i="14" s="1"/>
  <c r="E47" i="14"/>
  <c r="D47" i="14" s="1"/>
  <c r="C47" i="14" s="1"/>
  <c r="B47" i="14" s="1"/>
  <c r="H46" i="14" s="1"/>
  <c r="E51" i="14"/>
  <c r="D51" i="14" s="1"/>
  <c r="C51" i="14" s="1"/>
  <c r="B51" i="14" s="1"/>
  <c r="H50" i="14" s="1"/>
  <c r="E55" i="14"/>
  <c r="D55" i="14" s="1"/>
  <c r="C55" i="14" s="1"/>
  <c r="B55" i="14" s="1"/>
  <c r="H54" i="14" s="1"/>
  <c r="E59" i="14"/>
  <c r="D59" i="14" s="1"/>
  <c r="C59" i="14" s="1"/>
  <c r="B59" i="14" s="1"/>
  <c r="L22" i="31"/>
  <c r="N22" i="31"/>
  <c r="L21" i="31"/>
  <c r="L23" i="31"/>
  <c r="K23" i="31"/>
  <c r="K22" i="31"/>
  <c r="K21" i="31"/>
  <c r="J21" i="31"/>
  <c r="J23" i="31"/>
  <c r="J22" i="31"/>
  <c r="DC125" i="2"/>
  <c r="DC124" i="2" s="1"/>
  <c r="DC123" i="2" s="1"/>
  <c r="DC122" i="2" s="1"/>
  <c r="DC121" i="2" s="1"/>
  <c r="DC137" i="2"/>
  <c r="DC136" i="2" s="1"/>
  <c r="DE147" i="2"/>
  <c r="DD149" i="2"/>
  <c r="DC149" i="2" s="1"/>
  <c r="DE160" i="2"/>
  <c r="DD160" i="2" s="1"/>
  <c r="DC160" i="2" s="1"/>
  <c r="DE171" i="2"/>
  <c r="DD173" i="2"/>
  <c r="DC173" i="2" s="1"/>
  <c r="DE184" i="2"/>
  <c r="DD184" i="2" s="1"/>
  <c r="DC184" i="2" s="1"/>
  <c r="DE195" i="2"/>
  <c r="DD197" i="2"/>
  <c r="DC197" i="2" s="1"/>
  <c r="DE208" i="2"/>
  <c r="DD208" i="2" s="1"/>
  <c r="DC208" i="2" s="1"/>
  <c r="DE219" i="2"/>
  <c r="DD221" i="2"/>
  <c r="DC221" i="2" s="1"/>
  <c r="DE232" i="2"/>
  <c r="DD232" i="2" s="1"/>
  <c r="DC232" i="2" s="1"/>
  <c r="KY249" i="2"/>
  <c r="DD257" i="2"/>
  <c r="DC257" i="2" s="1"/>
  <c r="AP35" i="6"/>
  <c r="KM271" i="2"/>
  <c r="KT272" i="2"/>
  <c r="KT273" i="2" s="1"/>
  <c r="J48" i="6"/>
  <c r="K58" i="18"/>
  <c r="DC291" i="2"/>
  <c r="J47" i="6" s="1"/>
  <c r="LB296" i="2"/>
  <c r="LC297" i="2"/>
  <c r="KX288" i="2"/>
  <c r="KW288" i="2" s="1"/>
  <c r="KV288" i="2" s="1"/>
  <c r="KU288" i="2" s="1"/>
  <c r="AW41" i="6" s="1"/>
  <c r="AX44" i="6"/>
  <c r="DE267" i="2"/>
  <c r="GY38" i="2"/>
  <c r="GX38" i="2"/>
  <c r="GW38" i="2"/>
  <c r="GV38" i="2"/>
  <c r="GU38" i="2"/>
  <c r="MJ37" i="2"/>
  <c r="F37" i="14" s="1"/>
  <c r="MI37" i="2"/>
  <c r="MH37" i="2"/>
  <c r="MG37" i="2"/>
  <c r="MF37" i="2"/>
  <c r="GY37" i="2"/>
  <c r="GX37" i="2"/>
  <c r="GW37" i="2"/>
  <c r="GV37" i="2"/>
  <c r="GU37" i="2"/>
  <c r="MJ36" i="2"/>
  <c r="F36" i="14" s="1"/>
  <c r="MI36" i="2"/>
  <c r="MH36" i="2"/>
  <c r="MG36" i="2"/>
  <c r="MF36" i="2"/>
  <c r="QG35" i="2"/>
  <c r="QI35" i="2" s="1"/>
  <c r="MJ35" i="2"/>
  <c r="F35" i="14" s="1"/>
  <c r="MI35" i="2"/>
  <c r="MH35" i="2"/>
  <c r="MG35" i="2"/>
  <c r="MF35" i="2"/>
  <c r="GY35" i="2"/>
  <c r="GX35" i="2"/>
  <c r="GW35" i="2"/>
  <c r="GV35" i="2"/>
  <c r="GU35" i="2"/>
  <c r="QG34" i="2"/>
  <c r="QI34" i="2" s="1"/>
  <c r="PE34" i="2"/>
  <c r="PI34" i="2" s="1"/>
  <c r="MJ34" i="2"/>
  <c r="F34" i="14" s="1"/>
  <c r="MI34" i="2"/>
  <c r="MH34" i="2"/>
  <c r="MG34" i="2"/>
  <c r="MF34" i="2"/>
  <c r="GY34" i="2"/>
  <c r="GX34" i="2"/>
  <c r="GW34" i="2"/>
  <c r="GV34" i="2"/>
  <c r="GU34" i="2"/>
  <c r="QG33" i="2"/>
  <c r="QJ33" i="2" s="1"/>
  <c r="PE33" i="2"/>
  <c r="PI33" i="2" s="1"/>
  <c r="MJ33" i="2"/>
  <c r="F33" i="14" s="1"/>
  <c r="MI33" i="2"/>
  <c r="MH33" i="2"/>
  <c r="MG33" i="2"/>
  <c r="MF33" i="2"/>
  <c r="GY33" i="2"/>
  <c r="GX33" i="2"/>
  <c r="GW33" i="2"/>
  <c r="GV33" i="2"/>
  <c r="GU33" i="2"/>
  <c r="QG32" i="2"/>
  <c r="QK32" i="2" s="1"/>
  <c r="PE32" i="2"/>
  <c r="PI32" i="2" s="1"/>
  <c r="MJ32" i="2"/>
  <c r="F32" i="14" s="1"/>
  <c r="MI32" i="2"/>
  <c r="MH32" i="2"/>
  <c r="MG32" i="2"/>
  <c r="MF32" i="2"/>
  <c r="GY32" i="2"/>
  <c r="GX32" i="2"/>
  <c r="GW32" i="2"/>
  <c r="GV32" i="2"/>
  <c r="GU32" i="2"/>
  <c r="QG31" i="2"/>
  <c r="QI31" i="2" s="1"/>
  <c r="PE31" i="2"/>
  <c r="PI31" i="2" s="1"/>
  <c r="MJ31" i="2"/>
  <c r="F31" i="14" s="1"/>
  <c r="MI31" i="2"/>
  <c r="MH31" i="2"/>
  <c r="MG31" i="2"/>
  <c r="MF31" i="2"/>
  <c r="GY31" i="2"/>
  <c r="GX31" i="2"/>
  <c r="GW31" i="2"/>
  <c r="GV31" i="2"/>
  <c r="GU31" i="2"/>
  <c r="QG30" i="2"/>
  <c r="QK30" i="2" s="1"/>
  <c r="PE30" i="2"/>
  <c r="PI30" i="2" s="1"/>
  <c r="OL30" i="2"/>
  <c r="OK30" i="2"/>
  <c r="OJ30" i="2"/>
  <c r="OI30" i="2"/>
  <c r="OH30" i="2"/>
  <c r="MJ30" i="2"/>
  <c r="F30" i="14" s="1"/>
  <c r="MI30" i="2"/>
  <c r="MH30" i="2"/>
  <c r="MG30" i="2"/>
  <c r="MF30" i="2"/>
  <c r="GY30" i="2"/>
  <c r="GX30" i="2"/>
  <c r="GW30" i="2"/>
  <c r="GV30" i="2"/>
  <c r="GU30" i="2"/>
  <c r="QG29" i="2"/>
  <c r="QK29" i="2" s="1"/>
  <c r="PE29" i="2"/>
  <c r="PH29" i="2" s="1"/>
  <c r="OL29" i="2"/>
  <c r="OK29" i="2"/>
  <c r="OJ29" i="2"/>
  <c r="OI29" i="2"/>
  <c r="OH29" i="2"/>
  <c r="MJ29" i="2"/>
  <c r="F29" i="14" s="1"/>
  <c r="MI29" i="2"/>
  <c r="MH29" i="2"/>
  <c r="MG29" i="2"/>
  <c r="MF29" i="2"/>
  <c r="QG28" i="2"/>
  <c r="QL28" i="2" s="1"/>
  <c r="PE28" i="2"/>
  <c r="PJ28" i="2" s="1"/>
  <c r="OL28" i="2"/>
  <c r="OK28" i="2"/>
  <c r="OJ28" i="2"/>
  <c r="OI28" i="2"/>
  <c r="OH28" i="2"/>
  <c r="MJ28" i="2"/>
  <c r="F28" i="14" s="1"/>
  <c r="E28" i="14" s="1"/>
  <c r="MI28" i="2"/>
  <c r="MH28" i="2"/>
  <c r="MG28" i="2"/>
  <c r="MF28" i="2"/>
  <c r="GY28" i="2"/>
  <c r="GX28" i="2"/>
  <c r="GW28" i="2"/>
  <c r="GV28" i="2"/>
  <c r="GU28" i="2"/>
  <c r="CM28" i="2"/>
  <c r="CL28" i="2"/>
  <c r="CK28" i="2"/>
  <c r="CJ28" i="2"/>
  <c r="CI28" i="2"/>
  <c r="QG27" i="2"/>
  <c r="QJ27" i="2" s="1"/>
  <c r="PE27" i="2"/>
  <c r="PG27" i="2" s="1"/>
  <c r="OL27" i="2"/>
  <c r="OK27" i="2"/>
  <c r="OJ27" i="2"/>
  <c r="OI27" i="2"/>
  <c r="OH27" i="2"/>
  <c r="MJ27" i="2"/>
  <c r="F27" i="14" s="1"/>
  <c r="MI27" i="2"/>
  <c r="MH27" i="2"/>
  <c r="MG27" i="2"/>
  <c r="MF27" i="2"/>
  <c r="GY27" i="2"/>
  <c r="GX27" i="2"/>
  <c r="GW27" i="2"/>
  <c r="GV27" i="2"/>
  <c r="GU27" i="2"/>
  <c r="CM27" i="2"/>
  <c r="CL27" i="2"/>
  <c r="CK27" i="2"/>
  <c r="CJ27" i="2"/>
  <c r="CI27" i="2"/>
  <c r="QG26" i="2"/>
  <c r="QK26" i="2" s="1"/>
  <c r="PE26" i="2"/>
  <c r="PG26" i="2" s="1"/>
  <c r="OL26" i="2"/>
  <c r="OK26" i="2"/>
  <c r="OJ26" i="2"/>
  <c r="OI26" i="2"/>
  <c r="OH26" i="2"/>
  <c r="MJ26" i="2"/>
  <c r="F26" i="14" s="1"/>
  <c r="MI26" i="2"/>
  <c r="MH26" i="2"/>
  <c r="MG26" i="2"/>
  <c r="MF26" i="2"/>
  <c r="GY26" i="2"/>
  <c r="GX26" i="2"/>
  <c r="GW26" i="2"/>
  <c r="GV26" i="2"/>
  <c r="GU26" i="2"/>
  <c r="CM26" i="2"/>
  <c r="CL26" i="2"/>
  <c r="CK26" i="2"/>
  <c r="CJ26" i="2"/>
  <c r="CI26" i="2"/>
  <c r="QG25" i="2"/>
  <c r="QK25" i="2" s="1"/>
  <c r="PJ25" i="2"/>
  <c r="PE25" i="2"/>
  <c r="PG25" i="2" s="1"/>
  <c r="OL25" i="2"/>
  <c r="OK25" i="2"/>
  <c r="OJ25" i="2"/>
  <c r="OI25" i="2"/>
  <c r="OH25" i="2"/>
  <c r="MJ25" i="2"/>
  <c r="F25" i="14" s="1"/>
  <c r="MI25" i="2"/>
  <c r="MH25" i="2"/>
  <c r="MG25" i="2"/>
  <c r="MF25" i="2"/>
  <c r="GY25" i="2"/>
  <c r="GX25" i="2"/>
  <c r="GW25" i="2"/>
  <c r="GV25" i="2"/>
  <c r="GU25" i="2"/>
  <c r="QG24" i="2"/>
  <c r="QJ24" i="2" s="1"/>
  <c r="PE24" i="2"/>
  <c r="PI24" i="2" s="1"/>
  <c r="E61" i="15" s="1"/>
  <c r="OL24" i="2"/>
  <c r="OK24" i="2"/>
  <c r="OJ24" i="2"/>
  <c r="OI24" i="2"/>
  <c r="OH24" i="2"/>
  <c r="MJ24" i="2"/>
  <c r="F24" i="14" s="1"/>
  <c r="MI24" i="2"/>
  <c r="MH24" i="2"/>
  <c r="MG24" i="2"/>
  <c r="MF24" i="2"/>
  <c r="GY24" i="2"/>
  <c r="GX24" i="2"/>
  <c r="GW24" i="2"/>
  <c r="GV24" i="2"/>
  <c r="GU24" i="2"/>
  <c r="CM24" i="2"/>
  <c r="CL24" i="2"/>
  <c r="CK24" i="2"/>
  <c r="CJ24" i="2"/>
  <c r="CI24" i="2"/>
  <c r="QG23" i="2"/>
  <c r="QK23" i="2" s="1"/>
  <c r="PE23" i="2"/>
  <c r="PI23" i="2" s="1"/>
  <c r="OL23" i="2"/>
  <c r="OK23" i="2"/>
  <c r="OJ23" i="2"/>
  <c r="OI23" i="2"/>
  <c r="OH23" i="2"/>
  <c r="MJ23" i="2"/>
  <c r="F23" i="14" s="1"/>
  <c r="MI23" i="2"/>
  <c r="MH23" i="2"/>
  <c r="MG23" i="2"/>
  <c r="MF23" i="2"/>
  <c r="GY23" i="2"/>
  <c r="GX23" i="2"/>
  <c r="GW23" i="2"/>
  <c r="GV23" i="2"/>
  <c r="GU23" i="2"/>
  <c r="QG22" i="2"/>
  <c r="QK22" i="2" s="1"/>
  <c r="PE22" i="2"/>
  <c r="PI22" i="2" s="1"/>
  <c r="OL22" i="2"/>
  <c r="OK22" i="2"/>
  <c r="OJ22" i="2"/>
  <c r="OI22" i="2"/>
  <c r="OH22" i="2"/>
  <c r="MJ22" i="2"/>
  <c r="F22" i="14" s="1"/>
  <c r="MI22" i="2"/>
  <c r="MH22" i="2"/>
  <c r="MG22" i="2"/>
  <c r="MF22" i="2"/>
  <c r="CM22" i="2"/>
  <c r="CL22" i="2"/>
  <c r="CK22" i="2"/>
  <c r="CJ22" i="2"/>
  <c r="CI22" i="2"/>
  <c r="QG21" i="2"/>
  <c r="QJ21" i="2" s="1"/>
  <c r="PE21" i="2"/>
  <c r="PG21" i="2" s="1"/>
  <c r="OL21" i="2"/>
  <c r="OK21" i="2"/>
  <c r="OJ21" i="2"/>
  <c r="OI21" i="2"/>
  <c r="OH21" i="2"/>
  <c r="MJ21" i="2"/>
  <c r="F21" i="14" s="1"/>
  <c r="MI21" i="2"/>
  <c r="MH21" i="2"/>
  <c r="MG21" i="2"/>
  <c r="MF21" i="2"/>
  <c r="GY21" i="2"/>
  <c r="GX21" i="2"/>
  <c r="GW21" i="2"/>
  <c r="GV21" i="2"/>
  <c r="GU21" i="2"/>
  <c r="QG20" i="2"/>
  <c r="QL20" i="2" s="1"/>
  <c r="PE20" i="2"/>
  <c r="PG20" i="2" s="1"/>
  <c r="OL20" i="2"/>
  <c r="OK20" i="2"/>
  <c r="OJ20" i="2"/>
  <c r="OI20" i="2"/>
  <c r="OH20" i="2"/>
  <c r="MJ20" i="2"/>
  <c r="F20" i="14" s="1"/>
  <c r="MI20" i="2"/>
  <c r="MH20" i="2"/>
  <c r="MG20" i="2"/>
  <c r="MF20" i="2"/>
  <c r="GY20" i="2"/>
  <c r="GX20" i="2"/>
  <c r="GW20" i="2"/>
  <c r="GV20" i="2"/>
  <c r="GU20" i="2"/>
  <c r="GI20" i="2"/>
  <c r="GH20" i="2"/>
  <c r="GG20" i="2"/>
  <c r="GF20" i="2"/>
  <c r="GE20" i="2"/>
  <c r="FT20" i="2"/>
  <c r="FS20" i="2"/>
  <c r="FR20" i="2"/>
  <c r="FQ20" i="2"/>
  <c r="FP20" i="2"/>
  <c r="CM20" i="2"/>
  <c r="CL20" i="2"/>
  <c r="CK20" i="2"/>
  <c r="CJ20" i="2"/>
  <c r="CI20" i="2"/>
  <c r="BB20" i="2"/>
  <c r="BA20" i="2"/>
  <c r="AZ20" i="2"/>
  <c r="AX20" i="2"/>
  <c r="AK20" i="2"/>
  <c r="AJ20" i="2"/>
  <c r="AI20" i="2"/>
  <c r="AG20" i="2"/>
  <c r="U20" i="2"/>
  <c r="T20" i="2"/>
  <c r="S20" i="2"/>
  <c r="Q20" i="2"/>
  <c r="QG19" i="2"/>
  <c r="QJ19" i="2" s="1"/>
  <c r="PE19" i="2"/>
  <c r="PG19" i="2" s="1"/>
  <c r="OL19" i="2"/>
  <c r="OK19" i="2"/>
  <c r="OJ19" i="2"/>
  <c r="OI19" i="2"/>
  <c r="OH19" i="2"/>
  <c r="MJ19" i="2"/>
  <c r="F19" i="14" s="1"/>
  <c r="MI19" i="2"/>
  <c r="MH19" i="2"/>
  <c r="MG19" i="2"/>
  <c r="MF19" i="2"/>
  <c r="GY19" i="2"/>
  <c r="GX19" i="2"/>
  <c r="GW19" i="2"/>
  <c r="GV19" i="2"/>
  <c r="GU19" i="2"/>
  <c r="GI19" i="2"/>
  <c r="GH19" i="2"/>
  <c r="GG19" i="2"/>
  <c r="GF19" i="2"/>
  <c r="GE19" i="2"/>
  <c r="FT19" i="2"/>
  <c r="FS19" i="2"/>
  <c r="FR19" i="2"/>
  <c r="FQ19" i="2"/>
  <c r="FP19" i="2"/>
  <c r="BB19" i="2"/>
  <c r="BA19" i="2"/>
  <c r="AZ19" i="2"/>
  <c r="AX19" i="2"/>
  <c r="AK19" i="2"/>
  <c r="AJ19" i="2"/>
  <c r="AI19" i="2"/>
  <c r="AG19" i="2"/>
  <c r="U19" i="2"/>
  <c r="T19" i="2"/>
  <c r="S19" i="2"/>
  <c r="Q19" i="2"/>
  <c r="QG18" i="2"/>
  <c r="QK18" i="2" s="1"/>
  <c r="PE18" i="2"/>
  <c r="PG18" i="2" s="1"/>
  <c r="OL18" i="2"/>
  <c r="OK18" i="2"/>
  <c r="OJ18" i="2"/>
  <c r="OI18" i="2"/>
  <c r="OH18" i="2"/>
  <c r="MJ18" i="2"/>
  <c r="F18" i="14" s="1"/>
  <c r="MI18" i="2"/>
  <c r="MH18" i="2"/>
  <c r="MG18" i="2"/>
  <c r="MF18" i="2"/>
  <c r="QI18" i="2" l="1"/>
  <c r="M33" i="6"/>
  <c r="H53" i="18"/>
  <c r="PF26" i="2"/>
  <c r="PH26" i="2"/>
  <c r="PJ26" i="2"/>
  <c r="PF32" i="2"/>
  <c r="PJ30" i="2"/>
  <c r="D28" i="14"/>
  <c r="C28" i="14" s="1"/>
  <c r="E30" i="14"/>
  <c r="D30" i="14" s="1"/>
  <c r="C30" i="14" s="1"/>
  <c r="B30" i="14" s="1"/>
  <c r="DD244" i="2"/>
  <c r="DC244" i="2" s="1"/>
  <c r="DE243" i="2"/>
  <c r="K6" i="18"/>
  <c r="DC135" i="2"/>
  <c r="DC134" i="2" s="1"/>
  <c r="DC133" i="2" s="1"/>
  <c r="E23" i="14"/>
  <c r="D23" i="14" s="1"/>
  <c r="C23" i="14" s="1"/>
  <c r="B23" i="14" s="1"/>
  <c r="H23" i="14"/>
  <c r="B28" i="14"/>
  <c r="H27" i="14" s="1"/>
  <c r="PI18" i="2"/>
  <c r="PF20" i="2"/>
  <c r="PG22" i="2"/>
  <c r="PJ20" i="2"/>
  <c r="E22" i="14"/>
  <c r="D22" i="14" s="1"/>
  <c r="C22" i="14" s="1"/>
  <c r="B22" i="14" s="1"/>
  <c r="H21" i="14" s="1"/>
  <c r="H22" i="14"/>
  <c r="E24" i="14"/>
  <c r="D24" i="14" s="1"/>
  <c r="C24" i="14" s="1"/>
  <c r="B24" i="14" s="1"/>
  <c r="PF25" i="2"/>
  <c r="QJ25" i="2"/>
  <c r="QH18" i="2"/>
  <c r="E19" i="14"/>
  <c r="D19" i="14" s="1"/>
  <c r="C19" i="14" s="1"/>
  <c r="B19" i="14" s="1"/>
  <c r="H18" i="14" s="1"/>
  <c r="H19" i="14"/>
  <c r="E25" i="14"/>
  <c r="D25" i="14" s="1"/>
  <c r="C25" i="14" s="1"/>
  <c r="B25" i="14" s="1"/>
  <c r="H25" i="14"/>
  <c r="PH25" i="2"/>
  <c r="PJ27" i="2"/>
  <c r="PF28" i="2"/>
  <c r="E29" i="14"/>
  <c r="D29" i="14" s="1"/>
  <c r="C29" i="14" s="1"/>
  <c r="B29" i="14" s="1"/>
  <c r="H28" i="14" s="1"/>
  <c r="H29" i="14"/>
  <c r="PF30" i="2"/>
  <c r="QL30" i="2"/>
  <c r="PH31" i="2"/>
  <c r="QL32" i="2"/>
  <c r="E36" i="14"/>
  <c r="D36" i="14" s="1"/>
  <c r="C36" i="14" s="1"/>
  <c r="B36" i="14" s="1"/>
  <c r="H35" i="14" s="1"/>
  <c r="DD267" i="2"/>
  <c r="DC267" i="2" s="1"/>
  <c r="J23" i="6" s="1"/>
  <c r="DE266" i="2"/>
  <c r="KT274" i="2"/>
  <c r="KX249" i="2"/>
  <c r="KW249" i="2" s="1"/>
  <c r="KV249" i="2" s="1"/>
  <c r="KU249" i="2" s="1"/>
  <c r="AX5" i="6"/>
  <c r="KF264" i="2"/>
  <c r="KD264" i="2" s="1"/>
  <c r="AT17" i="6" s="1"/>
  <c r="AU20" i="6"/>
  <c r="DD220" i="2"/>
  <c r="DC220" i="2" s="1"/>
  <c r="DE183" i="2"/>
  <c r="F54" i="31"/>
  <c r="DH281" i="2"/>
  <c r="M34" i="6" s="1"/>
  <c r="EX238" i="2"/>
  <c r="EW238" i="2" s="1"/>
  <c r="EV238" i="2" s="1"/>
  <c r="DD256" i="2"/>
  <c r="DC256" i="2" s="1"/>
  <c r="DD196" i="2"/>
  <c r="DC196" i="2" s="1"/>
  <c r="DE159" i="2"/>
  <c r="KX289" i="2"/>
  <c r="KW289" i="2" s="1"/>
  <c r="KV289" i="2" s="1"/>
  <c r="KU289" i="2" s="1"/>
  <c r="AW42" i="6" s="1"/>
  <c r="K14" i="18"/>
  <c r="DC159" i="2"/>
  <c r="E21" i="14"/>
  <c r="D21" i="14" s="1"/>
  <c r="C21" i="14" s="1"/>
  <c r="B21" i="14" s="1"/>
  <c r="E26" i="14"/>
  <c r="D26" i="14" s="1"/>
  <c r="C26" i="14" s="1"/>
  <c r="B26" i="14" s="1"/>
  <c r="PF27" i="2"/>
  <c r="QL27" i="2"/>
  <c r="QH28" i="2"/>
  <c r="E31" i="14"/>
  <c r="D31" i="14" s="1"/>
  <c r="C31" i="14" s="1"/>
  <c r="B31" i="14" s="1"/>
  <c r="H30" i="14" s="1"/>
  <c r="E33" i="14"/>
  <c r="D33" i="14" s="1"/>
  <c r="C33" i="14" s="1"/>
  <c r="B33" i="14" s="1"/>
  <c r="H32" i="14" s="1"/>
  <c r="H33" i="14"/>
  <c r="E34" i="14"/>
  <c r="D34" i="14" s="1"/>
  <c r="C34" i="14" s="1"/>
  <c r="B34" i="14" s="1"/>
  <c r="E35" i="14"/>
  <c r="D35" i="14" s="1"/>
  <c r="C35" i="14" s="1"/>
  <c r="B35" i="14" s="1"/>
  <c r="H34" i="14" s="1"/>
  <c r="E37" i="14"/>
  <c r="D37" i="14" s="1"/>
  <c r="C37" i="14" s="1"/>
  <c r="B37" i="14" s="1"/>
  <c r="H36" i="14" s="1"/>
  <c r="H37" i="14"/>
  <c r="AW44" i="6"/>
  <c r="DD290" i="2"/>
  <c r="DC290" i="2" s="1"/>
  <c r="J46" i="6" s="1"/>
  <c r="DE289" i="2"/>
  <c r="AW35" i="6"/>
  <c r="E50" i="31"/>
  <c r="M20" i="6"/>
  <c r="K21" i="3"/>
  <c r="KT264" i="2"/>
  <c r="KR264" i="2" s="1"/>
  <c r="KQ264" i="2" s="1"/>
  <c r="KP264" i="2" s="1"/>
  <c r="AW20" i="6"/>
  <c r="DE231" i="2"/>
  <c r="DD172" i="2"/>
  <c r="DC172" i="2" s="1"/>
  <c r="GQ264" i="2"/>
  <c r="AG21" i="6"/>
  <c r="EN253" i="2"/>
  <c r="JZ271" i="2"/>
  <c r="JX271" i="2" s="1"/>
  <c r="KM272" i="2"/>
  <c r="KM273" i="2" s="1"/>
  <c r="JY273" i="2" s="1"/>
  <c r="AS26" i="6" s="1"/>
  <c r="K30" i="18"/>
  <c r="DC207" i="2"/>
  <c r="HB264" i="2"/>
  <c r="HA264" i="2" s="1"/>
  <c r="GZ264" i="2" s="1"/>
  <c r="GY264" i="2" s="1"/>
  <c r="GX264" i="2" s="1"/>
  <c r="GW264" i="2" s="1"/>
  <c r="GV264" i="2" s="1"/>
  <c r="GU264" i="2" s="1"/>
  <c r="GT264" i="2" s="1"/>
  <c r="GS264" i="2" s="1"/>
  <c r="AH21" i="6"/>
  <c r="EX239" i="2"/>
  <c r="EW239" i="2" s="1"/>
  <c r="EV239" i="2" s="1"/>
  <c r="K24" i="3"/>
  <c r="E18" i="14"/>
  <c r="D18" i="14" s="1"/>
  <c r="C18" i="14" s="1"/>
  <c r="B18" i="14" s="1"/>
  <c r="E20" i="14"/>
  <c r="D20" i="14" s="1"/>
  <c r="C20" i="14" s="1"/>
  <c r="B20" i="14" s="1"/>
  <c r="H20" i="14"/>
  <c r="E27" i="14"/>
  <c r="D27" i="14" s="1"/>
  <c r="C27" i="14" s="1"/>
  <c r="B27" i="14" s="1"/>
  <c r="H26" i="14" s="1"/>
  <c r="PH27" i="2"/>
  <c r="QI28" i="2"/>
  <c r="QH30" i="2"/>
  <c r="E32" i="14"/>
  <c r="D32" i="14" s="1"/>
  <c r="C32" i="14" s="1"/>
  <c r="B32" i="14" s="1"/>
  <c r="H31" i="14" s="1"/>
  <c r="QH32" i="2"/>
  <c r="LB297" i="2"/>
  <c r="LC298" i="2"/>
  <c r="LB298" i="2" s="1"/>
  <c r="K38" i="18"/>
  <c r="DC231" i="2"/>
  <c r="DD219" i="2"/>
  <c r="K22" i="18"/>
  <c r="DC183" i="2"/>
  <c r="DD171" i="2"/>
  <c r="DE255" i="2"/>
  <c r="D53" i="31"/>
  <c r="M11" i="6"/>
  <c r="K23" i="3"/>
  <c r="DE207" i="2"/>
  <c r="DD148" i="2"/>
  <c r="DC148" i="2" s="1"/>
  <c r="DE218" i="2"/>
  <c r="DE194" i="2"/>
  <c r="DE170" i="2"/>
  <c r="DE146" i="2"/>
  <c r="QL22" i="2"/>
  <c r="QJ23" i="2"/>
  <c r="QI21" i="2"/>
  <c r="QJ22" i="2"/>
  <c r="QI23" i="2"/>
  <c r="QI25" i="2"/>
  <c r="QH22" i="2"/>
  <c r="QH23" i="2"/>
  <c r="QJ26" i="2"/>
  <c r="QL18" i="2"/>
  <c r="QL23" i="2"/>
  <c r="QH25" i="2"/>
  <c r="QI27" i="2"/>
  <c r="QJ18" i="2"/>
  <c r="QI19" i="2"/>
  <c r="QI24" i="2"/>
  <c r="QL25" i="2"/>
  <c r="QH27" i="2"/>
  <c r="QH29" i="2"/>
  <c r="QJ31" i="2"/>
  <c r="QK20" i="2"/>
  <c r="QH19" i="2"/>
  <c r="QL19" i="2"/>
  <c r="QJ20" i="2"/>
  <c r="QH21" i="2"/>
  <c r="QL21" i="2"/>
  <c r="QI22" i="2"/>
  <c r="QH24" i="2"/>
  <c r="QL24" i="2"/>
  <c r="QI26" i="2"/>
  <c r="QK27" i="2"/>
  <c r="QK28" i="2"/>
  <c r="QJ29" i="2"/>
  <c r="QJ30" i="2"/>
  <c r="QH31" i="2"/>
  <c r="QL31" i="2"/>
  <c r="QJ32" i="2"/>
  <c r="QI33" i="2"/>
  <c r="QH34" i="2"/>
  <c r="QL34" i="2"/>
  <c r="QH35" i="2"/>
  <c r="QL35" i="2"/>
  <c r="QK21" i="2"/>
  <c r="QK24" i="2"/>
  <c r="QH26" i="2"/>
  <c r="QL26" i="2"/>
  <c r="QJ28" i="2"/>
  <c r="QI29" i="2"/>
  <c r="QI30" i="2"/>
  <c r="QK31" i="2"/>
  <c r="QI32" i="2"/>
  <c r="QH33" i="2"/>
  <c r="QL33" i="2"/>
  <c r="QK34" i="2"/>
  <c r="QK35" i="2"/>
  <c r="QK19" i="2"/>
  <c r="QI20" i="2"/>
  <c r="QH20" i="2"/>
  <c r="QL29" i="2"/>
  <c r="QK33" i="2"/>
  <c r="QJ34" i="2"/>
  <c r="QJ35" i="2"/>
  <c r="PJ22" i="2"/>
  <c r="PF31" i="2"/>
  <c r="PG33" i="2"/>
  <c r="PH20" i="2"/>
  <c r="PH22" i="2"/>
  <c r="PG23" i="2"/>
  <c r="PG24" i="2"/>
  <c r="C61" i="15" s="1"/>
  <c r="PJ31" i="2"/>
  <c r="PF33" i="2"/>
  <c r="PF22" i="2"/>
  <c r="PH30" i="2"/>
  <c r="PG31" i="2"/>
  <c r="PH33" i="2"/>
  <c r="PF18" i="2"/>
  <c r="PJ18" i="2"/>
  <c r="PF19" i="2"/>
  <c r="PJ19" i="2"/>
  <c r="PI20" i="2"/>
  <c r="PF21" i="2"/>
  <c r="PJ21" i="2"/>
  <c r="PH23" i="2"/>
  <c r="PH24" i="2"/>
  <c r="D61" i="15" s="1"/>
  <c r="PI25" i="2"/>
  <c r="PI26" i="2"/>
  <c r="PI27" i="2"/>
  <c r="PI28" i="2"/>
  <c r="PG29" i="2"/>
  <c r="PH32" i="2"/>
  <c r="PJ33" i="2"/>
  <c r="PH34" i="2"/>
  <c r="PI19" i="2"/>
  <c r="PI21" i="2"/>
  <c r="PH28" i="2"/>
  <c r="PF29" i="2"/>
  <c r="PJ29" i="2"/>
  <c r="PG30" i="2"/>
  <c r="PG32" i="2"/>
  <c r="PG34" i="2"/>
  <c r="PH18" i="2"/>
  <c r="PH19" i="2"/>
  <c r="PH21" i="2"/>
  <c r="PF23" i="2"/>
  <c r="PJ23" i="2"/>
  <c r="PF24" i="2"/>
  <c r="B61" i="15" s="1"/>
  <c r="PJ24" i="2"/>
  <c r="F61" i="15" s="1"/>
  <c r="G61" i="15" s="1"/>
  <c r="PG28" i="2"/>
  <c r="PI29" i="2"/>
  <c r="PJ32" i="2"/>
  <c r="PF34" i="2"/>
  <c r="PJ34" i="2"/>
  <c r="LZ18" i="2"/>
  <c r="LY18" i="2"/>
  <c r="LX18" i="2"/>
  <c r="LW18" i="2"/>
  <c r="LV18" i="2"/>
  <c r="GY18" i="2"/>
  <c r="GX18" i="2"/>
  <c r="GW18" i="2"/>
  <c r="GV18" i="2"/>
  <c r="GU18" i="2"/>
  <c r="GI18" i="2"/>
  <c r="GH18" i="2"/>
  <c r="GG18" i="2"/>
  <c r="GF18" i="2"/>
  <c r="GE18" i="2"/>
  <c r="FT18" i="2"/>
  <c r="FS18" i="2"/>
  <c r="FR18" i="2"/>
  <c r="FQ18" i="2"/>
  <c r="FP18" i="2"/>
  <c r="CM18" i="2"/>
  <c r="CL18" i="2"/>
  <c r="CK18" i="2"/>
  <c r="CJ18" i="2"/>
  <c r="CI18" i="2"/>
  <c r="BB18" i="2"/>
  <c r="BA18" i="2"/>
  <c r="AZ18" i="2"/>
  <c r="AX18" i="2"/>
  <c r="AK18" i="2"/>
  <c r="AJ18" i="2"/>
  <c r="AI18" i="2"/>
  <c r="AG18" i="2"/>
  <c r="U18" i="2"/>
  <c r="T18" i="2"/>
  <c r="S18" i="2"/>
  <c r="Q18" i="2"/>
  <c r="QG17" i="2"/>
  <c r="QK17" i="2" s="1"/>
  <c r="PE17" i="2"/>
  <c r="PG17" i="2" s="1"/>
  <c r="OL17" i="2"/>
  <c r="OK17" i="2"/>
  <c r="OJ17" i="2"/>
  <c r="OI17" i="2"/>
  <c r="OH17" i="2"/>
  <c r="MJ17" i="2"/>
  <c r="F17" i="14" s="1"/>
  <c r="MI17" i="2"/>
  <c r="MH17" i="2"/>
  <c r="MG17" i="2"/>
  <c r="MF17" i="2"/>
  <c r="LZ17" i="2"/>
  <c r="LY17" i="2"/>
  <c r="LX17" i="2"/>
  <c r="LW17" i="2"/>
  <c r="LV17" i="2"/>
  <c r="GY17" i="2"/>
  <c r="GX17" i="2"/>
  <c r="GW17" i="2"/>
  <c r="GV17" i="2"/>
  <c r="GU17" i="2"/>
  <c r="GI17" i="2"/>
  <c r="GH17" i="2"/>
  <c r="GG17" i="2"/>
  <c r="GF17" i="2"/>
  <c r="GE17" i="2"/>
  <c r="FT17" i="2"/>
  <c r="FS17" i="2"/>
  <c r="FR17" i="2"/>
  <c r="FQ17" i="2"/>
  <c r="FP17" i="2"/>
  <c r="CM17" i="2"/>
  <c r="CL17" i="2"/>
  <c r="CK17" i="2"/>
  <c r="CJ17" i="2"/>
  <c r="CI17" i="2"/>
  <c r="BB17" i="2"/>
  <c r="BA17" i="2"/>
  <c r="AZ17" i="2"/>
  <c r="AX17" i="2"/>
  <c r="AK17" i="2"/>
  <c r="AJ17" i="2"/>
  <c r="AI17" i="2"/>
  <c r="AG17" i="2"/>
  <c r="U17" i="2"/>
  <c r="T17" i="2"/>
  <c r="S17" i="2"/>
  <c r="Q17" i="2"/>
  <c r="QG16" i="2"/>
  <c r="QJ16" i="2" s="1"/>
  <c r="PE16" i="2"/>
  <c r="PI16" i="2" s="1"/>
  <c r="OL16" i="2"/>
  <c r="OK16" i="2"/>
  <c r="OJ16" i="2"/>
  <c r="OI16" i="2"/>
  <c r="OH16" i="2"/>
  <c r="MJ16" i="2"/>
  <c r="F16" i="14" s="1"/>
  <c r="MI16" i="2"/>
  <c r="MH16" i="2"/>
  <c r="MG16" i="2"/>
  <c r="MF16" i="2"/>
  <c r="LZ16" i="2"/>
  <c r="LY16" i="2"/>
  <c r="LX16" i="2"/>
  <c r="LW16" i="2"/>
  <c r="LV16" i="2"/>
  <c r="GY16" i="2"/>
  <c r="GX16" i="2"/>
  <c r="GW16" i="2"/>
  <c r="GV16" i="2"/>
  <c r="GU16" i="2"/>
  <c r="GI16" i="2"/>
  <c r="GH16" i="2"/>
  <c r="GG16" i="2"/>
  <c r="GF16" i="2"/>
  <c r="GE16" i="2"/>
  <c r="FT16" i="2"/>
  <c r="FS16" i="2"/>
  <c r="FR16" i="2"/>
  <c r="FQ16" i="2"/>
  <c r="FP16" i="2"/>
  <c r="FH16" i="2"/>
  <c r="FG16" i="2"/>
  <c r="FF16" i="2"/>
  <c r="FE16" i="2"/>
  <c r="FD16" i="2"/>
  <c r="EY16" i="2"/>
  <c r="EX16" i="2"/>
  <c r="EW16" i="2"/>
  <c r="EV16" i="2"/>
  <c r="EU16" i="2"/>
  <c r="EP16" i="2"/>
  <c r="F15" i="11" s="1"/>
  <c r="EO16" i="2"/>
  <c r="EN16" i="2"/>
  <c r="EM16" i="2"/>
  <c r="EL16" i="2"/>
  <c r="CM16" i="2"/>
  <c r="CL16" i="2"/>
  <c r="CK16" i="2"/>
  <c r="CJ16" i="2"/>
  <c r="CI16" i="2"/>
  <c r="BB16" i="2"/>
  <c r="BA16" i="2"/>
  <c r="AZ16" i="2"/>
  <c r="AX16" i="2"/>
  <c r="AK16" i="2"/>
  <c r="AJ16" i="2"/>
  <c r="AI16" i="2"/>
  <c r="AG16" i="2"/>
  <c r="U16" i="2"/>
  <c r="T16" i="2"/>
  <c r="S16" i="2"/>
  <c r="Q16" i="2"/>
  <c r="QG15" i="2"/>
  <c r="QK15" i="2" s="1"/>
  <c r="PE15" i="2"/>
  <c r="PG15" i="2" s="1"/>
  <c r="OL15" i="2"/>
  <c r="OK15" i="2"/>
  <c r="OJ15" i="2"/>
  <c r="OI15" i="2"/>
  <c r="OH15" i="2"/>
  <c r="MJ15" i="2"/>
  <c r="F15" i="14" s="1"/>
  <c r="MI15" i="2"/>
  <c r="MH15" i="2"/>
  <c r="MG15" i="2"/>
  <c r="MF15" i="2"/>
  <c r="LZ15" i="2"/>
  <c r="LY15" i="2"/>
  <c r="LX15" i="2"/>
  <c r="LW15" i="2"/>
  <c r="LV15" i="2"/>
  <c r="JN15" i="2"/>
  <c r="JM15" i="2"/>
  <c r="JL15" i="2"/>
  <c r="JK15" i="2"/>
  <c r="JJ15" i="2"/>
  <c r="JF15" i="2"/>
  <c r="JE15" i="2"/>
  <c r="JD15" i="2"/>
  <c r="JC15" i="2"/>
  <c r="JB15" i="2"/>
  <c r="DD195" i="2" l="1"/>
  <c r="AF21" i="6"/>
  <c r="AF18" i="6"/>
  <c r="PH15" i="2"/>
  <c r="E17" i="14"/>
  <c r="D17" i="14" s="1"/>
  <c r="C17" i="14" s="1"/>
  <c r="JD273" i="2"/>
  <c r="DE145" i="2"/>
  <c r="EM253" i="2"/>
  <c r="EN254" i="2"/>
  <c r="DD231" i="2"/>
  <c r="DE230" i="2"/>
  <c r="DD289" i="2"/>
  <c r="DC289" i="2" s="1"/>
  <c r="DE288" i="2"/>
  <c r="DD159" i="2"/>
  <c r="DE158" i="2"/>
  <c r="DE281" i="2"/>
  <c r="F55" i="31"/>
  <c r="M37" i="6"/>
  <c r="DH282" i="2"/>
  <c r="M35" i="6" s="1"/>
  <c r="KC264" i="2"/>
  <c r="KB264" i="2" s="1"/>
  <c r="KA264" i="2" s="1"/>
  <c r="JZ264" i="2" s="1"/>
  <c r="JY264" i="2" s="1"/>
  <c r="AT20" i="6"/>
  <c r="E15" i="14"/>
  <c r="D15" i="14" s="1"/>
  <c r="C15" i="14" s="1"/>
  <c r="B15" i="14" s="1"/>
  <c r="H15" i="14"/>
  <c r="PG16" i="2"/>
  <c r="DD170" i="2"/>
  <c r="DE169" i="2"/>
  <c r="K10" i="18"/>
  <c r="DC147" i="2"/>
  <c r="DD255" i="2"/>
  <c r="DE254" i="2"/>
  <c r="K26" i="18"/>
  <c r="DC195" i="2"/>
  <c r="DD183" i="2"/>
  <c r="DE182" i="2"/>
  <c r="DD266" i="2"/>
  <c r="DC266" i="2" s="1"/>
  <c r="J22" i="6" s="1"/>
  <c r="DE265" i="2"/>
  <c r="DD243" i="2"/>
  <c r="DE242" i="2"/>
  <c r="QJ15" i="2"/>
  <c r="E16" i="14"/>
  <c r="D16" i="14" s="1"/>
  <c r="C16" i="14" s="1"/>
  <c r="B16" i="14" s="1"/>
  <c r="H16" i="14"/>
  <c r="DD194" i="2"/>
  <c r="DE193" i="2"/>
  <c r="DD207" i="2"/>
  <c r="DE206" i="2"/>
  <c r="H17" i="14"/>
  <c r="J12" i="6"/>
  <c r="K46" i="18"/>
  <c r="DC255" i="2"/>
  <c r="J11" i="6" s="1"/>
  <c r="K34" i="18"/>
  <c r="DC219" i="2"/>
  <c r="KT249" i="2"/>
  <c r="KM249" i="2" s="1"/>
  <c r="KK249" i="2" s="1"/>
  <c r="AW5" i="6"/>
  <c r="EX240" i="2"/>
  <c r="EW240" i="2" s="1"/>
  <c r="EV240" i="2" s="1"/>
  <c r="K42" i="18"/>
  <c r="DC243" i="2"/>
  <c r="B17" i="14"/>
  <c r="QI17" i="2"/>
  <c r="DD218" i="2"/>
  <c r="DC218" i="2" s="1"/>
  <c r="DE217" i="2"/>
  <c r="DD147" i="2"/>
  <c r="DD146" i="2" s="1"/>
  <c r="DC146" i="2" s="1"/>
  <c r="K18" i="18"/>
  <c r="DC171" i="2"/>
  <c r="AW45" i="6"/>
  <c r="EU238" i="2"/>
  <c r="AU19" i="3"/>
  <c r="KM274" i="2"/>
  <c r="JY274" i="2" s="1"/>
  <c r="AS27" i="6" s="1"/>
  <c r="AR27" i="6" s="1"/>
  <c r="KT275" i="2"/>
  <c r="K5" i="18"/>
  <c r="DC132" i="2"/>
  <c r="DC131" i="2" s="1"/>
  <c r="DC130" i="2" s="1"/>
  <c r="QI16" i="2"/>
  <c r="QH15" i="2"/>
  <c r="QJ17" i="2"/>
  <c r="QH17" i="2"/>
  <c r="QL17" i="2"/>
  <c r="QI15" i="2"/>
  <c r="QH16" i="2"/>
  <c r="QL16" i="2"/>
  <c r="QL15" i="2"/>
  <c r="QK16" i="2"/>
  <c r="H61" i="15"/>
  <c r="PF15" i="2"/>
  <c r="PJ15" i="2"/>
  <c r="PI15" i="2"/>
  <c r="PH16" i="2"/>
  <c r="PF17" i="2"/>
  <c r="PJ17" i="2"/>
  <c r="PI17" i="2"/>
  <c r="PF16" i="2"/>
  <c r="PJ16" i="2"/>
  <c r="PH17" i="2"/>
  <c r="IP15" i="2"/>
  <c r="IO15" i="2"/>
  <c r="IN15" i="2"/>
  <c r="IM15" i="2"/>
  <c r="AS20" i="6" l="1"/>
  <c r="AR20" i="6" s="1"/>
  <c r="AS17" i="6"/>
  <c r="JD274" i="2"/>
  <c r="DD217" i="2"/>
  <c r="DC217" i="2" s="1"/>
  <c r="DE216" i="2"/>
  <c r="KJ249" i="2"/>
  <c r="KI249" i="2" s="1"/>
  <c r="KH249" i="2" s="1"/>
  <c r="KG249" i="2" s="1"/>
  <c r="AV5" i="6"/>
  <c r="DD265" i="2"/>
  <c r="DC265" i="2" s="1"/>
  <c r="DE264" i="2"/>
  <c r="DC170" i="2"/>
  <c r="DD288" i="2"/>
  <c r="DE287" i="2"/>
  <c r="EM254" i="2"/>
  <c r="EN255" i="2"/>
  <c r="D73" i="31" s="1"/>
  <c r="DD145" i="2"/>
  <c r="DC145" i="2" s="1"/>
  <c r="DE144" i="2"/>
  <c r="K4" i="18"/>
  <c r="DC129" i="2"/>
  <c r="DC128" i="2" s="1"/>
  <c r="BE10" i="3" s="1"/>
  <c r="DD193" i="2"/>
  <c r="DE192" i="2"/>
  <c r="DD281" i="2"/>
  <c r="DC281" i="2" s="1"/>
  <c r="DE280" i="2"/>
  <c r="J45" i="6"/>
  <c r="K57" i="18"/>
  <c r="DC288" i="2"/>
  <c r="J44" i="6" s="1"/>
  <c r="ET238" i="2"/>
  <c r="DC194" i="2"/>
  <c r="DD242" i="2"/>
  <c r="DC242" i="2" s="1"/>
  <c r="DE241" i="2"/>
  <c r="DD241" i="2" s="1"/>
  <c r="DC241" i="2" s="1"/>
  <c r="AV19" i="3"/>
  <c r="F56" i="31"/>
  <c r="M38" i="6"/>
  <c r="DH283" i="2"/>
  <c r="DD158" i="2"/>
  <c r="DC158" i="2" s="1"/>
  <c r="DE157" i="2"/>
  <c r="DD230" i="2"/>
  <c r="DC230" i="2" s="1"/>
  <c r="DE229" i="2"/>
  <c r="EL253" i="2"/>
  <c r="KM275" i="2"/>
  <c r="JY275" i="2" s="1"/>
  <c r="AS28" i="6" s="1"/>
  <c r="KT276" i="2"/>
  <c r="DD206" i="2"/>
  <c r="DC206" i="2" s="1"/>
  <c r="DE205" i="2"/>
  <c r="DD182" i="2"/>
  <c r="DC182" i="2" s="1"/>
  <c r="DE181" i="2"/>
  <c r="DD254" i="2"/>
  <c r="DC254" i="2" s="1"/>
  <c r="J10" i="6" s="1"/>
  <c r="DD169" i="2"/>
  <c r="DC169" i="2" s="1"/>
  <c r="DE168" i="2"/>
  <c r="EU239" i="2"/>
  <c r="IL15" i="2"/>
  <c r="C38" i="13" s="1"/>
  <c r="HZ15" i="2"/>
  <c r="HY15" i="2"/>
  <c r="HX15" i="2"/>
  <c r="HW15" i="2"/>
  <c r="HV15" i="2"/>
  <c r="GI15" i="2"/>
  <c r="GH15" i="2"/>
  <c r="GG15" i="2"/>
  <c r="GF15" i="2"/>
  <c r="GE15" i="2"/>
  <c r="FT15" i="2"/>
  <c r="FS15" i="2"/>
  <c r="FR15" i="2"/>
  <c r="FQ15" i="2"/>
  <c r="FP15" i="2"/>
  <c r="FH15" i="2"/>
  <c r="FG15" i="2"/>
  <c r="FF15" i="2"/>
  <c r="FE15" i="2"/>
  <c r="FD15" i="2"/>
  <c r="EY15" i="2"/>
  <c r="EX15" i="2"/>
  <c r="EW15" i="2"/>
  <c r="EV15" i="2"/>
  <c r="EU15" i="2"/>
  <c r="EP15" i="2"/>
  <c r="EO15" i="2"/>
  <c r="EN15" i="2"/>
  <c r="EM15" i="2"/>
  <c r="EL15" i="2"/>
  <c r="CM15" i="2"/>
  <c r="CL15" i="2"/>
  <c r="CK15" i="2"/>
  <c r="CJ15" i="2"/>
  <c r="CI15" i="2"/>
  <c r="BB15" i="2"/>
  <c r="BA15" i="2"/>
  <c r="AZ15" i="2"/>
  <c r="AX15" i="2"/>
  <c r="AK15" i="2"/>
  <c r="AJ15" i="2"/>
  <c r="AI15" i="2"/>
  <c r="AG15" i="2"/>
  <c r="U15" i="2"/>
  <c r="T15" i="2"/>
  <c r="S15" i="2"/>
  <c r="Q15" i="2"/>
  <c r="H15" i="2"/>
  <c r="G15" i="2"/>
  <c r="F15" i="2"/>
  <c r="D15" i="2"/>
  <c r="RU14" i="2"/>
  <c r="RT14" i="2"/>
  <c r="RS14" i="2"/>
  <c r="RR14" i="2"/>
  <c r="ET239" i="2" l="1"/>
  <c r="H54" i="18"/>
  <c r="M36" i="6"/>
  <c r="K17" i="18"/>
  <c r="DC168" i="2"/>
  <c r="DD205" i="2"/>
  <c r="DC205" i="2" s="1"/>
  <c r="DE204" i="2"/>
  <c r="DD157" i="2"/>
  <c r="DC157" i="2" s="1"/>
  <c r="DE156" i="2"/>
  <c r="EL254" i="2"/>
  <c r="DD264" i="2"/>
  <c r="DC264" i="2" s="1"/>
  <c r="J20" i="6" s="1"/>
  <c r="DE263" i="2"/>
  <c r="DD216" i="2"/>
  <c r="DE215" i="2"/>
  <c r="EK253" i="2"/>
  <c r="EU240" i="2"/>
  <c r="ET240" i="2" s="1"/>
  <c r="DD192" i="2"/>
  <c r="DE191" i="2"/>
  <c r="DD144" i="2"/>
  <c r="DE143" i="2"/>
  <c r="DD287" i="2"/>
  <c r="DC287" i="2" s="1"/>
  <c r="J43" i="6" s="1"/>
  <c r="DE286" i="2"/>
  <c r="J21" i="6"/>
  <c r="K49" i="18"/>
  <c r="K33" i="18"/>
  <c r="DC216" i="2"/>
  <c r="DD181" i="2"/>
  <c r="DC181" i="2" s="1"/>
  <c r="DE180" i="2"/>
  <c r="KM276" i="2"/>
  <c r="JY276" i="2" s="1"/>
  <c r="AS29" i="6" s="1"/>
  <c r="KT277" i="2"/>
  <c r="DD229" i="2"/>
  <c r="DC229" i="2" s="1"/>
  <c r="DE228" i="2"/>
  <c r="F57" i="31"/>
  <c r="M39" i="6"/>
  <c r="H55" i="18"/>
  <c r="K41" i="18"/>
  <c r="DC240" i="2"/>
  <c r="AT19" i="3"/>
  <c r="DC193" i="2"/>
  <c r="K9" i="18"/>
  <c r="DC144" i="2"/>
  <c r="DD168" i="2"/>
  <c r="DE167" i="2"/>
  <c r="JD275" i="2"/>
  <c r="ES238" i="2"/>
  <c r="ES239" i="2" s="1"/>
  <c r="AS19" i="3"/>
  <c r="DD280" i="2"/>
  <c r="DC280" i="2" s="1"/>
  <c r="DE279" i="2"/>
  <c r="EM255" i="2"/>
  <c r="D72" i="31" s="1"/>
  <c r="AM20" i="3"/>
  <c r="KF249" i="2"/>
  <c r="KD249" i="2" s="1"/>
  <c r="AU5" i="6"/>
  <c r="RQ14" i="2"/>
  <c r="QG14" i="2"/>
  <c r="QK14" i="2" s="1"/>
  <c r="PE14" i="2"/>
  <c r="PJ14" i="2" s="1"/>
  <c r="OL14" i="2"/>
  <c r="OK14" i="2"/>
  <c r="OJ14" i="2"/>
  <c r="OI14" i="2"/>
  <c r="OH14" i="2"/>
  <c r="MJ14" i="2"/>
  <c r="F14" i="14" s="1"/>
  <c r="MI14" i="2"/>
  <c r="MH14" i="2"/>
  <c r="MG14" i="2"/>
  <c r="MF14" i="2"/>
  <c r="LZ14" i="2"/>
  <c r="LY14" i="2"/>
  <c r="LX14" i="2"/>
  <c r="LW14" i="2"/>
  <c r="LV14" i="2"/>
  <c r="QJ14" i="2" l="1"/>
  <c r="DD279" i="2"/>
  <c r="DE278" i="2"/>
  <c r="DD278" i="2" s="1"/>
  <c r="JD276" i="2"/>
  <c r="JY277" i="2"/>
  <c r="AS30" i="6" s="1"/>
  <c r="DD204" i="2"/>
  <c r="DE203" i="2"/>
  <c r="PI14" i="2"/>
  <c r="QL14" i="2"/>
  <c r="KC249" i="2"/>
  <c r="KB249" i="2" s="1"/>
  <c r="KA249" i="2" s="1"/>
  <c r="JZ249" i="2" s="1"/>
  <c r="JY249" i="2" s="1"/>
  <c r="AT5" i="6"/>
  <c r="J36" i="6"/>
  <c r="K54" i="18"/>
  <c r="DC279" i="2"/>
  <c r="J35" i="6" s="1"/>
  <c r="DD228" i="2"/>
  <c r="DE227" i="2"/>
  <c r="DD180" i="2"/>
  <c r="DE179" i="2"/>
  <c r="DD143" i="2"/>
  <c r="DC143" i="2" s="1"/>
  <c r="DE142" i="2"/>
  <c r="ES240" i="2"/>
  <c r="DD215" i="2"/>
  <c r="DC215" i="2" s="1"/>
  <c r="DE214" i="2"/>
  <c r="EK254" i="2"/>
  <c r="EJ254" i="2" s="1"/>
  <c r="K29" i="18"/>
  <c r="DC204" i="2"/>
  <c r="E14" i="14"/>
  <c r="D14" i="14" s="1"/>
  <c r="C14" i="14" s="1"/>
  <c r="B14" i="14" s="1"/>
  <c r="H14" i="14"/>
  <c r="DD167" i="2"/>
  <c r="DC167" i="2" s="1"/>
  <c r="DE166" i="2"/>
  <c r="K25" i="18"/>
  <c r="DC192" i="2"/>
  <c r="K37" i="18"/>
  <c r="DC228" i="2"/>
  <c r="K21" i="18"/>
  <c r="DC180" i="2"/>
  <c r="DD156" i="2"/>
  <c r="DE155" i="2"/>
  <c r="QH14" i="2"/>
  <c r="EL255" i="2"/>
  <c r="D71" i="31" s="1"/>
  <c r="AL20" i="3"/>
  <c r="ER238" i="2"/>
  <c r="AR19" i="3"/>
  <c r="KM277" i="2"/>
  <c r="KM278" i="2" s="1"/>
  <c r="KT278" i="2"/>
  <c r="KT279" i="2" s="1"/>
  <c r="DD286" i="2"/>
  <c r="DC286" i="2" s="1"/>
  <c r="DE285" i="2"/>
  <c r="DD191" i="2"/>
  <c r="DC191" i="2" s="1"/>
  <c r="DE190" i="2"/>
  <c r="EJ253" i="2"/>
  <c r="DD263" i="2"/>
  <c r="DC263" i="2" s="1"/>
  <c r="J19" i="6" s="1"/>
  <c r="DE262" i="2"/>
  <c r="K13" i="18"/>
  <c r="DC156" i="2"/>
  <c r="QI14" i="2"/>
  <c r="PH14" i="2"/>
  <c r="PG14" i="2"/>
  <c r="PF14" i="2"/>
  <c r="LJ14" i="2"/>
  <c r="G159" i="13" s="1"/>
  <c r="LI14" i="2"/>
  <c r="LH14" i="2"/>
  <c r="LG14" i="2"/>
  <c r="LF14" i="2"/>
  <c r="KD14" i="2"/>
  <c r="KC14" i="2"/>
  <c r="KB14" i="2"/>
  <c r="KA14" i="2"/>
  <c r="JZ14" i="2"/>
  <c r="JN14" i="2"/>
  <c r="JM14" i="2"/>
  <c r="JL14" i="2"/>
  <c r="JK14" i="2"/>
  <c r="JJ14" i="2"/>
  <c r="JF14" i="2"/>
  <c r="JE14" i="2"/>
  <c r="JD14" i="2"/>
  <c r="JC14" i="2"/>
  <c r="JB14" i="2"/>
  <c r="IP14" i="2"/>
  <c r="IO14" i="2"/>
  <c r="IN14" i="2"/>
  <c r="IM14" i="2"/>
  <c r="IL14" i="2"/>
  <c r="HZ14" i="2"/>
  <c r="HY14" i="2"/>
  <c r="HX14" i="2"/>
  <c r="HW14" i="2"/>
  <c r="HV14" i="2"/>
  <c r="GY14" i="2"/>
  <c r="GX14" i="2"/>
  <c r="GW14" i="2"/>
  <c r="GV14" i="2"/>
  <c r="GU14" i="2"/>
  <c r="GI14" i="2"/>
  <c r="GH14" i="2"/>
  <c r="GG14" i="2"/>
  <c r="GF14" i="2"/>
  <c r="GE14" i="2"/>
  <c r="FT14" i="2"/>
  <c r="FS14" i="2"/>
  <c r="FR14" i="2"/>
  <c r="FQ14" i="2"/>
  <c r="FP14" i="2"/>
  <c r="FH14" i="2"/>
  <c r="FG14" i="2"/>
  <c r="FF14" i="2"/>
  <c r="FE14" i="2"/>
  <c r="FD14" i="2"/>
  <c r="EY14" i="2"/>
  <c r="EX14" i="2"/>
  <c r="EW14" i="2"/>
  <c r="EV14" i="2"/>
  <c r="EU14" i="2"/>
  <c r="EP14" i="2"/>
  <c r="EO14" i="2"/>
  <c r="EN14" i="2"/>
  <c r="EM14" i="2"/>
  <c r="EL14" i="2"/>
  <c r="DX14" i="2"/>
  <c r="DW14" i="2"/>
  <c r="DV14" i="2"/>
  <c r="DU14" i="2"/>
  <c r="DT14" i="2"/>
  <c r="DO14" i="2"/>
  <c r="DN14" i="2"/>
  <c r="DM14" i="2"/>
  <c r="DK14" i="2"/>
  <c r="CM14" i="2"/>
  <c r="CL14" i="2"/>
  <c r="CK14" i="2"/>
  <c r="CJ14" i="2"/>
  <c r="CI14" i="2"/>
  <c r="BT14" i="2"/>
  <c r="BS14" i="2"/>
  <c r="BR14" i="2"/>
  <c r="BP14" i="2"/>
  <c r="BB14" i="2"/>
  <c r="BA14" i="2"/>
  <c r="AZ14" i="2"/>
  <c r="AX14" i="2"/>
  <c r="AK14" i="2"/>
  <c r="AJ14" i="2"/>
  <c r="AI14" i="2"/>
  <c r="AG14" i="2"/>
  <c r="U14" i="2"/>
  <c r="T14" i="2"/>
  <c r="S14" i="2"/>
  <c r="Q14" i="2"/>
  <c r="H14" i="2"/>
  <c r="G14" i="2"/>
  <c r="F14" i="2"/>
  <c r="D14" i="2"/>
  <c r="RU13" i="2"/>
  <c r="RT13" i="2"/>
  <c r="RS13" i="2"/>
  <c r="RR13" i="2"/>
  <c r="RQ13" i="2"/>
  <c r="QG13" i="2"/>
  <c r="QJ13" i="2" s="1"/>
  <c r="PE13" i="2"/>
  <c r="PI13" i="2" s="1"/>
  <c r="OL13" i="2"/>
  <c r="OK13" i="2"/>
  <c r="OJ13" i="2"/>
  <c r="OI13" i="2"/>
  <c r="OH13" i="2"/>
  <c r="MJ13" i="2"/>
  <c r="F13" i="14" s="1"/>
  <c r="MI13" i="2"/>
  <c r="MH13" i="2"/>
  <c r="MG13" i="2"/>
  <c r="MF13" i="2"/>
  <c r="LR13" i="2"/>
  <c r="LQ13" i="2"/>
  <c r="LP13" i="2"/>
  <c r="LO13" i="2"/>
  <c r="LN13" i="2"/>
  <c r="LJ13" i="2"/>
  <c r="LI13" i="2"/>
  <c r="LH13" i="2"/>
  <c r="LG13" i="2"/>
  <c r="LF13" i="2"/>
  <c r="J39" i="6" l="1"/>
  <c r="K55" i="18"/>
  <c r="E13" i="14"/>
  <c r="PG13" i="2"/>
  <c r="DD285" i="2"/>
  <c r="DE284" i="2"/>
  <c r="H13" i="14"/>
  <c r="DD214" i="2"/>
  <c r="DC214" i="2" s="1"/>
  <c r="K31" i="18" s="1"/>
  <c r="DE213" i="2"/>
  <c r="DD203" i="2"/>
  <c r="DC203" i="2" s="1"/>
  <c r="DE202" i="2"/>
  <c r="IX276" i="2"/>
  <c r="JD277" i="2"/>
  <c r="D13" i="14"/>
  <c r="C13" i="14" s="1"/>
  <c r="B13" i="14" s="1"/>
  <c r="EI253" i="2"/>
  <c r="J42" i="6"/>
  <c r="K56" i="18"/>
  <c r="DC285" i="2"/>
  <c r="EQ238" i="2"/>
  <c r="DD155" i="2"/>
  <c r="DC155" i="2" s="1"/>
  <c r="DE154" i="2"/>
  <c r="DD166" i="2"/>
  <c r="DC166" i="2" s="1"/>
  <c r="K15" i="18" s="1"/>
  <c r="DE165" i="2"/>
  <c r="DD179" i="2"/>
  <c r="DC179" i="2" s="1"/>
  <c r="DE178" i="2"/>
  <c r="JX249" i="2"/>
  <c r="AS5" i="6"/>
  <c r="DC278" i="2"/>
  <c r="J34" i="6" s="1"/>
  <c r="QH13" i="2"/>
  <c r="DD262" i="2"/>
  <c r="DC262" i="2" s="1"/>
  <c r="DE261" i="2"/>
  <c r="DD190" i="2"/>
  <c r="DC190" i="2" s="1"/>
  <c r="K23" i="18" s="1"/>
  <c r="DE189" i="2"/>
  <c r="KR279" i="2"/>
  <c r="KQ279" i="2" s="1"/>
  <c r="KP279" i="2" s="1"/>
  <c r="KO279" i="2" s="1"/>
  <c r="KN279" i="2" s="1"/>
  <c r="KM279" i="2" s="1"/>
  <c r="KK279" i="2" s="1"/>
  <c r="AV32" i="6" s="1"/>
  <c r="KT280" i="2"/>
  <c r="AS33" i="6"/>
  <c r="JY278" i="2"/>
  <c r="AS31" i="6" s="1"/>
  <c r="F159" i="13"/>
  <c r="E159" i="13" s="1"/>
  <c r="D159" i="13" s="1"/>
  <c r="C159" i="13" s="1"/>
  <c r="G158" i="13" s="1"/>
  <c r="F158" i="13" s="1"/>
  <c r="E158" i="13" s="1"/>
  <c r="D158" i="13" s="1"/>
  <c r="C158" i="13" s="1"/>
  <c r="EK255" i="2"/>
  <c r="D70" i="31" s="1"/>
  <c r="AK20" i="3"/>
  <c r="EI254" i="2"/>
  <c r="DD142" i="2"/>
  <c r="DC142" i="2" s="1"/>
  <c r="K7" i="18" s="1"/>
  <c r="DE141" i="2"/>
  <c r="DD227" i="2"/>
  <c r="DC227" i="2" s="1"/>
  <c r="DE226" i="2"/>
  <c r="ER239" i="2"/>
  <c r="ER240" i="2" s="1"/>
  <c r="QI13" i="2"/>
  <c r="QL13" i="2"/>
  <c r="QK13" i="2"/>
  <c r="PF13" i="2"/>
  <c r="PJ13" i="2"/>
  <c r="PH13" i="2"/>
  <c r="LB13" i="2"/>
  <c r="LA13" i="2"/>
  <c r="KZ13" i="2"/>
  <c r="KY13" i="2"/>
  <c r="KX13" i="2"/>
  <c r="KT13" i="2"/>
  <c r="KS13" i="2"/>
  <c r="KR13" i="2"/>
  <c r="KQ13" i="2"/>
  <c r="KP13" i="2"/>
  <c r="KL13" i="2"/>
  <c r="KK13" i="2"/>
  <c r="KJ13" i="2"/>
  <c r="KI13" i="2"/>
  <c r="KH13" i="2"/>
  <c r="KD13" i="2"/>
  <c r="KC13" i="2"/>
  <c r="KB13" i="2"/>
  <c r="KA13" i="2"/>
  <c r="JZ13" i="2"/>
  <c r="JV13" i="2"/>
  <c r="JU13" i="2"/>
  <c r="JT13" i="2"/>
  <c r="JS13" i="2"/>
  <c r="JR13" i="2"/>
  <c r="JN13" i="2"/>
  <c r="JM13" i="2"/>
  <c r="JL13" i="2"/>
  <c r="JK13" i="2"/>
  <c r="JJ13" i="2"/>
  <c r="JF13" i="2"/>
  <c r="JE13" i="2"/>
  <c r="JD13" i="2"/>
  <c r="JC13" i="2"/>
  <c r="JB13" i="2"/>
  <c r="J15" i="6" l="1"/>
  <c r="K47" i="18"/>
  <c r="J41" i="6"/>
  <c r="J38" i="6"/>
  <c r="DD189" i="2"/>
  <c r="DE188" i="2"/>
  <c r="DD178" i="2"/>
  <c r="DC178" i="2" s="1"/>
  <c r="K19" i="18" s="1"/>
  <c r="DE177" i="2"/>
  <c r="DD154" i="2"/>
  <c r="DC154" i="2" s="1"/>
  <c r="K11" i="18" s="1"/>
  <c r="DE153" i="2"/>
  <c r="EH253" i="2"/>
  <c r="DD202" i="2"/>
  <c r="DC202" i="2" s="1"/>
  <c r="K27" i="18" s="1"/>
  <c r="DE201" i="2"/>
  <c r="DD141" i="2"/>
  <c r="DE140" i="2"/>
  <c r="EJ255" i="2"/>
  <c r="AJ20" i="3"/>
  <c r="K24" i="18"/>
  <c r="DC189" i="2"/>
  <c r="DD284" i="2"/>
  <c r="BD23" i="3"/>
  <c r="I22" i="31"/>
  <c r="EQ239" i="2"/>
  <c r="K8" i="18"/>
  <c r="DC141" i="2"/>
  <c r="KM280" i="2"/>
  <c r="KT281" i="2"/>
  <c r="DD261" i="2"/>
  <c r="DC261" i="2" s="1"/>
  <c r="DE260" i="2"/>
  <c r="DD165" i="2"/>
  <c r="DE164" i="2"/>
  <c r="AQ19" i="3"/>
  <c r="IX277" i="2"/>
  <c r="JD278" i="2"/>
  <c r="DD213" i="2"/>
  <c r="DE212" i="2"/>
  <c r="DD226" i="2"/>
  <c r="DC226" i="2" s="1"/>
  <c r="K35" i="18" s="1"/>
  <c r="DE225" i="2"/>
  <c r="EH254" i="2"/>
  <c r="AS34" i="6"/>
  <c r="JY279" i="2"/>
  <c r="AS32" i="6" s="1"/>
  <c r="KJ279" i="2"/>
  <c r="AV35" i="6"/>
  <c r="J18" i="6"/>
  <c r="K48" i="18"/>
  <c r="K16" i="18"/>
  <c r="DC165" i="2"/>
  <c r="EN238" i="2"/>
  <c r="K32" i="18"/>
  <c r="DC213" i="2"/>
  <c r="IX13" i="2"/>
  <c r="IW13" i="2"/>
  <c r="IV13" i="2"/>
  <c r="IU13" i="2"/>
  <c r="IT13" i="2"/>
  <c r="IP13" i="2"/>
  <c r="IO13" i="2"/>
  <c r="IN13" i="2"/>
  <c r="IM13" i="2"/>
  <c r="IL13" i="2"/>
  <c r="IH13" i="2"/>
  <c r="IG13" i="2"/>
  <c r="IF13" i="2"/>
  <c r="IE13" i="2"/>
  <c r="ID13" i="2"/>
  <c r="HZ13" i="2"/>
  <c r="HY13" i="2"/>
  <c r="HX13" i="2"/>
  <c r="HW13" i="2"/>
  <c r="HV13" i="2"/>
  <c r="GY13" i="2"/>
  <c r="GX13" i="2"/>
  <c r="GW13" i="2"/>
  <c r="GV13" i="2"/>
  <c r="GU13" i="2"/>
  <c r="GI13" i="2"/>
  <c r="GH13" i="2"/>
  <c r="GG13" i="2"/>
  <c r="GF13" i="2"/>
  <c r="GE13" i="2"/>
  <c r="FT13" i="2"/>
  <c r="FS13" i="2"/>
  <c r="FR13" i="2"/>
  <c r="FQ13" i="2"/>
  <c r="FP13" i="2"/>
  <c r="FH13" i="2"/>
  <c r="FG13" i="2"/>
  <c r="FF13" i="2"/>
  <c r="FE13" i="2"/>
  <c r="FD13" i="2"/>
  <c r="EY13" i="2"/>
  <c r="EX13" i="2"/>
  <c r="EW13" i="2"/>
  <c r="EV13" i="2"/>
  <c r="EU13" i="2"/>
  <c r="EP13" i="2"/>
  <c r="EO13" i="2"/>
  <c r="EN13" i="2"/>
  <c r="EM13" i="2"/>
  <c r="EL13" i="2"/>
  <c r="DX13" i="2"/>
  <c r="DW13" i="2"/>
  <c r="DV13" i="2"/>
  <c r="DU13" i="2"/>
  <c r="DT13" i="2"/>
  <c r="DO13" i="2"/>
  <c r="DN13" i="2"/>
  <c r="DM13" i="2"/>
  <c r="DK13" i="2"/>
  <c r="DD13" i="2"/>
  <c r="DC13" i="2"/>
  <c r="DB13" i="2"/>
  <c r="DA13" i="2"/>
  <c r="CZ13" i="2"/>
  <c r="CM13" i="2"/>
  <c r="CL13" i="2"/>
  <c r="CK13" i="2"/>
  <c r="CJ13" i="2"/>
  <c r="CI13" i="2"/>
  <c r="BT13" i="2"/>
  <c r="BS13" i="2"/>
  <c r="BR13" i="2"/>
  <c r="BP13" i="2"/>
  <c r="BB13" i="2"/>
  <c r="BA13" i="2"/>
  <c r="AZ13" i="2"/>
  <c r="AX13" i="2"/>
  <c r="AK13" i="2"/>
  <c r="AJ13" i="2"/>
  <c r="AI13" i="2"/>
  <c r="AG13" i="2"/>
  <c r="U13" i="2"/>
  <c r="T13" i="2"/>
  <c r="S13" i="2"/>
  <c r="Q13" i="2"/>
  <c r="H13" i="2"/>
  <c r="G13" i="2"/>
  <c r="F13" i="2"/>
  <c r="D13" i="2"/>
  <c r="RU12" i="2"/>
  <c r="RU11" i="2" s="1"/>
  <c r="RT12" i="2"/>
  <c r="RT11" i="2" s="1"/>
  <c r="RS12" i="2"/>
  <c r="RS11" i="2" s="1"/>
  <c r="RR12" i="2"/>
  <c r="RR11" i="2" s="1"/>
  <c r="RQ12" i="2"/>
  <c r="QG12" i="2"/>
  <c r="QI12" i="2" s="1"/>
  <c r="PE12" i="2"/>
  <c r="PI12" i="2" s="1"/>
  <c r="OL12" i="2"/>
  <c r="OK12" i="2"/>
  <c r="OJ12" i="2"/>
  <c r="OI12" i="2"/>
  <c r="OH12" i="2"/>
  <c r="MJ12" i="2"/>
  <c r="F12" i="14" s="1"/>
  <c r="MI12" i="2"/>
  <c r="MH12" i="2"/>
  <c r="MG12" i="2"/>
  <c r="MF12" i="2"/>
  <c r="LZ12" i="2"/>
  <c r="LY12" i="2"/>
  <c r="LX12" i="2"/>
  <c r="LW12" i="2"/>
  <c r="LV12" i="2"/>
  <c r="LR12" i="2"/>
  <c r="LQ12" i="2"/>
  <c r="LP12" i="2"/>
  <c r="LO12" i="2"/>
  <c r="LN12" i="2"/>
  <c r="LJ12" i="2"/>
  <c r="G157" i="13" s="1"/>
  <c r="LI12" i="2"/>
  <c r="LH12" i="2"/>
  <c r="LG12" i="2"/>
  <c r="LF12" i="2"/>
  <c r="LB12" i="2"/>
  <c r="LA12" i="2"/>
  <c r="KZ12" i="2"/>
  <c r="KY12" i="2"/>
  <c r="KX12" i="2"/>
  <c r="KT12" i="2"/>
  <c r="KS12" i="2"/>
  <c r="KR12" i="2"/>
  <c r="KQ12" i="2"/>
  <c r="KP12" i="2"/>
  <c r="KL12" i="2"/>
  <c r="KK12" i="2"/>
  <c r="KJ12" i="2"/>
  <c r="KI12" i="2"/>
  <c r="KH12" i="2"/>
  <c r="KD12" i="2"/>
  <c r="KC12" i="2"/>
  <c r="KB12" i="2"/>
  <c r="KA12" i="2"/>
  <c r="JZ12" i="2"/>
  <c r="JV12" i="2"/>
  <c r="JU12" i="2"/>
  <c r="JT12" i="2"/>
  <c r="JS12" i="2"/>
  <c r="JR12" i="2"/>
  <c r="JN12" i="2"/>
  <c r="JM12" i="2"/>
  <c r="JL12" i="2"/>
  <c r="JK12" i="2"/>
  <c r="JJ12" i="2"/>
  <c r="JF12" i="2"/>
  <c r="JE12" i="2"/>
  <c r="JD12" i="2"/>
  <c r="JC12" i="2"/>
  <c r="JB12" i="2"/>
  <c r="IX12" i="2"/>
  <c r="IW12" i="2"/>
  <c r="IV12" i="2"/>
  <c r="IU12" i="2"/>
  <c r="IT12" i="2"/>
  <c r="IP12" i="2"/>
  <c r="IO12" i="2"/>
  <c r="IN12" i="2"/>
  <c r="IM12" i="2"/>
  <c r="IL12" i="2"/>
  <c r="IH12" i="2"/>
  <c r="IG12" i="2"/>
  <c r="IF12" i="2"/>
  <c r="IE12" i="2"/>
  <c r="ID12" i="2"/>
  <c r="HZ12" i="2"/>
  <c r="HY12" i="2"/>
  <c r="HX12" i="2"/>
  <c r="HW12" i="2"/>
  <c r="HV12" i="2"/>
  <c r="GY12" i="2"/>
  <c r="GX12" i="2"/>
  <c r="GW12" i="2"/>
  <c r="GV12" i="2"/>
  <c r="GU12" i="2"/>
  <c r="GI12" i="2"/>
  <c r="GH12" i="2"/>
  <c r="GG12" i="2"/>
  <c r="GF12" i="2"/>
  <c r="GE12" i="2"/>
  <c r="FT12" i="2"/>
  <c r="FS12" i="2"/>
  <c r="FR12" i="2"/>
  <c r="FQ12" i="2"/>
  <c r="FP12" i="2"/>
  <c r="FH12" i="2"/>
  <c r="FG12" i="2"/>
  <c r="FF12" i="2"/>
  <c r="FE12" i="2"/>
  <c r="FD12" i="2"/>
  <c r="EY12" i="2"/>
  <c r="EX12" i="2"/>
  <c r="EW12" i="2"/>
  <c r="EV12" i="2"/>
  <c r="EU12" i="2"/>
  <c r="EP12" i="2"/>
  <c r="EO12" i="2"/>
  <c r="EN12" i="2"/>
  <c r="EM12" i="2"/>
  <c r="EL12" i="2"/>
  <c r="DX12" i="2"/>
  <c r="DW12" i="2"/>
  <c r="DV12" i="2"/>
  <c r="DU12" i="2"/>
  <c r="DT12" i="2"/>
  <c r="DO12" i="2"/>
  <c r="DN12" i="2"/>
  <c r="DM12" i="2"/>
  <c r="DK12" i="2"/>
  <c r="DD12" i="2"/>
  <c r="DC12" i="2"/>
  <c r="DB12" i="2"/>
  <c r="DA12" i="2"/>
  <c r="CZ12" i="2"/>
  <c r="BT12" i="2"/>
  <c r="BS12" i="2"/>
  <c r="BR12" i="2"/>
  <c r="BP12" i="2"/>
  <c r="BB12" i="2"/>
  <c r="BA12" i="2"/>
  <c r="AZ12" i="2"/>
  <c r="AX12" i="2"/>
  <c r="AK12" i="2"/>
  <c r="AJ12" i="2"/>
  <c r="AI12" i="2"/>
  <c r="AG12" i="2"/>
  <c r="U12" i="2"/>
  <c r="T12" i="2"/>
  <c r="S12" i="2"/>
  <c r="Q12" i="2"/>
  <c r="H12" i="2"/>
  <c r="G12" i="2"/>
  <c r="F12" i="2"/>
  <c r="D12" i="2"/>
  <c r="J17" i="6" l="1"/>
  <c r="J14" i="6"/>
  <c r="D69" i="31"/>
  <c r="F157" i="13"/>
  <c r="E157" i="13" s="1"/>
  <c r="D157" i="13" s="1"/>
  <c r="C157" i="13" s="1"/>
  <c r="EM238" i="2"/>
  <c r="JU279" i="2"/>
  <c r="JT279" i="2" s="1"/>
  <c r="JR279" i="2" s="1"/>
  <c r="JQ279" i="2" s="1"/>
  <c r="JP279" i="2" s="1"/>
  <c r="JN279" i="2" s="1"/>
  <c r="JM279" i="2" s="1"/>
  <c r="JL279" i="2" s="1"/>
  <c r="JK279" i="2" s="1"/>
  <c r="JJ279" i="2" s="1"/>
  <c r="JI279" i="2" s="1"/>
  <c r="JH279" i="2" s="1"/>
  <c r="JG279" i="2" s="1"/>
  <c r="JE279" i="2" s="1"/>
  <c r="AP33" i="6" s="1"/>
  <c r="AS35" i="6"/>
  <c r="K36" i="18"/>
  <c r="DC225" i="2"/>
  <c r="DE277" i="2"/>
  <c r="IX278" i="2"/>
  <c r="DD260" i="2"/>
  <c r="G22" i="31"/>
  <c r="BD21" i="3"/>
  <c r="EG253" i="2"/>
  <c r="EG254" i="2" s="1"/>
  <c r="K20" i="18"/>
  <c r="DC177" i="2"/>
  <c r="DD212" i="2"/>
  <c r="C22" i="31"/>
  <c r="BD17" i="3"/>
  <c r="DD201" i="2"/>
  <c r="DE200" i="2"/>
  <c r="DD153" i="2"/>
  <c r="DE152" i="2"/>
  <c r="DD188" i="2"/>
  <c r="BD15" i="3"/>
  <c r="E12" i="14"/>
  <c r="D12" i="14" s="1"/>
  <c r="C12" i="14" s="1"/>
  <c r="B12" i="14" s="1"/>
  <c r="H12" i="14"/>
  <c r="DD164" i="2"/>
  <c r="BD13" i="3"/>
  <c r="KM281" i="2"/>
  <c r="KT282" i="2"/>
  <c r="DC284" i="2"/>
  <c r="J37" i="6" s="1"/>
  <c r="BC23" i="3"/>
  <c r="I21" i="31"/>
  <c r="EI255" i="2"/>
  <c r="D67" i="31" s="1"/>
  <c r="AI20" i="3"/>
  <c r="K28" i="18"/>
  <c r="DC201" i="2"/>
  <c r="K12" i="18"/>
  <c r="DC153" i="2"/>
  <c r="DD225" i="2"/>
  <c r="DE224" i="2"/>
  <c r="EN239" i="2"/>
  <c r="EM239" i="2" s="1"/>
  <c r="DD140" i="2"/>
  <c r="BD11" i="3"/>
  <c r="DD177" i="2"/>
  <c r="DE176" i="2"/>
  <c r="EQ240" i="2"/>
  <c r="QH12" i="2"/>
  <c r="QL12" i="2"/>
  <c r="QK12" i="2"/>
  <c r="QJ12" i="2"/>
  <c r="PH12" i="2"/>
  <c r="PF12" i="2"/>
  <c r="PG12" i="2"/>
  <c r="PJ12" i="2"/>
  <c r="RQ11" i="2"/>
  <c r="QG11" i="2"/>
  <c r="QI11" i="2" s="1"/>
  <c r="PE11" i="2"/>
  <c r="PI11" i="2" s="1"/>
  <c r="OL11" i="2"/>
  <c r="OK11" i="2"/>
  <c r="OJ11" i="2"/>
  <c r="OI11" i="2"/>
  <c r="OH11" i="2"/>
  <c r="MJ11" i="2"/>
  <c r="F11" i="14" s="1"/>
  <c r="MI11" i="2"/>
  <c r="MH11" i="2"/>
  <c r="MG11" i="2"/>
  <c r="MF11" i="2"/>
  <c r="LZ11" i="2"/>
  <c r="LY11" i="2"/>
  <c r="LX11" i="2"/>
  <c r="LW11" i="2"/>
  <c r="LV11" i="2"/>
  <c r="LR11" i="2"/>
  <c r="LQ11" i="2"/>
  <c r="LP11" i="2"/>
  <c r="LO11" i="2"/>
  <c r="LN11" i="2"/>
  <c r="LJ11" i="2"/>
  <c r="G156" i="13" s="1"/>
  <c r="LI11" i="2"/>
  <c r="LH11" i="2"/>
  <c r="LG11" i="2"/>
  <c r="LF11" i="2"/>
  <c r="LB11" i="2"/>
  <c r="LA11" i="2"/>
  <c r="KZ11" i="2"/>
  <c r="KY11" i="2"/>
  <c r="KX11" i="2"/>
  <c r="KT11" i="2"/>
  <c r="KS11" i="2"/>
  <c r="KR11" i="2"/>
  <c r="KQ11" i="2"/>
  <c r="KP11" i="2"/>
  <c r="KL11" i="2"/>
  <c r="KK11" i="2"/>
  <c r="KJ11" i="2"/>
  <c r="KI11" i="2"/>
  <c r="KH11" i="2"/>
  <c r="KD11" i="2"/>
  <c r="KC11" i="2"/>
  <c r="KB11" i="2"/>
  <c r="KA11" i="2"/>
  <c r="JZ11" i="2"/>
  <c r="JV11" i="2"/>
  <c r="JU11" i="2"/>
  <c r="JT11" i="2"/>
  <c r="JS11" i="2"/>
  <c r="JR11" i="2"/>
  <c r="JN11" i="2"/>
  <c r="JM11" i="2"/>
  <c r="JL11" i="2"/>
  <c r="JK11" i="2"/>
  <c r="JJ11" i="2"/>
  <c r="JF11" i="2"/>
  <c r="JE11" i="2"/>
  <c r="JD11" i="2"/>
  <c r="JC11" i="2"/>
  <c r="JB11" i="2"/>
  <c r="IX11" i="2"/>
  <c r="IW11" i="2"/>
  <c r="IV11" i="2"/>
  <c r="IU11" i="2"/>
  <c r="IT11" i="2"/>
  <c r="IP11" i="2"/>
  <c r="IO11" i="2"/>
  <c r="IN11" i="2"/>
  <c r="IM11" i="2"/>
  <c r="IL11" i="2"/>
  <c r="IH11" i="2"/>
  <c r="G22" i="13" s="1"/>
  <c r="IG11" i="2"/>
  <c r="IF11" i="2"/>
  <c r="IE11" i="2"/>
  <c r="ID11" i="2"/>
  <c r="HZ11" i="2"/>
  <c r="HY11" i="2"/>
  <c r="HX11" i="2"/>
  <c r="HW11" i="2"/>
  <c r="HV11" i="2"/>
  <c r="GY11" i="2"/>
  <c r="GX11" i="2"/>
  <c r="GW11" i="2"/>
  <c r="GV11" i="2"/>
  <c r="GU11" i="2"/>
  <c r="GI11" i="2"/>
  <c r="GH11" i="2"/>
  <c r="GG11" i="2"/>
  <c r="GF11" i="2"/>
  <c r="GE11" i="2"/>
  <c r="FT11" i="2"/>
  <c r="FS11" i="2"/>
  <c r="FR11" i="2"/>
  <c r="FQ11" i="2"/>
  <c r="FP11" i="2"/>
  <c r="FH11" i="2"/>
  <c r="FG11" i="2"/>
  <c r="FF11" i="2"/>
  <c r="FE11" i="2"/>
  <c r="FD11" i="2"/>
  <c r="EY11" i="2"/>
  <c r="EX11" i="2"/>
  <c r="EW11" i="2"/>
  <c r="EV11" i="2"/>
  <c r="EU11" i="2"/>
  <c r="EP11" i="2"/>
  <c r="EO11" i="2"/>
  <c r="EN11" i="2"/>
  <c r="EM11" i="2"/>
  <c r="EL11" i="2"/>
  <c r="DX11" i="2"/>
  <c r="DW11" i="2"/>
  <c r="DV11" i="2"/>
  <c r="DU11" i="2"/>
  <c r="DT11" i="2"/>
  <c r="DO11" i="2"/>
  <c r="DN11" i="2"/>
  <c r="DM11" i="2"/>
  <c r="DK11" i="2"/>
  <c r="DD11" i="2"/>
  <c r="DC11" i="2"/>
  <c r="DB11" i="2"/>
  <c r="DA11" i="2"/>
  <c r="CZ11" i="2"/>
  <c r="CM11" i="2"/>
  <c r="CL11" i="2"/>
  <c r="CK11" i="2"/>
  <c r="CJ11" i="2"/>
  <c r="CI11" i="2"/>
  <c r="CD11" i="2"/>
  <c r="CC11" i="2"/>
  <c r="CB11" i="2"/>
  <c r="CA11" i="2"/>
  <c r="BZ11" i="2"/>
  <c r="BT11" i="2"/>
  <c r="BS11" i="2"/>
  <c r="BR11" i="2"/>
  <c r="BP11" i="2"/>
  <c r="BB11" i="2"/>
  <c r="BA11" i="2"/>
  <c r="AZ11" i="2"/>
  <c r="AX11" i="2"/>
  <c r="AK11" i="2"/>
  <c r="AJ11" i="2"/>
  <c r="AI11" i="2"/>
  <c r="AG11" i="2"/>
  <c r="U11" i="2"/>
  <c r="T11" i="2"/>
  <c r="S11" i="2"/>
  <c r="Q11" i="2"/>
  <c r="H11" i="2"/>
  <c r="G11" i="2"/>
  <c r="F11" i="2"/>
  <c r="D11" i="2"/>
  <c r="QG10" i="2"/>
  <c r="QI10" i="2" s="1"/>
  <c r="PE10" i="2"/>
  <c r="PI10" i="2" s="1"/>
  <c r="OL10" i="2"/>
  <c r="OK10" i="2"/>
  <c r="OJ10" i="2"/>
  <c r="OI10" i="2"/>
  <c r="OH10" i="2"/>
  <c r="MJ10" i="2"/>
  <c r="F10" i="14" s="1"/>
  <c r="MI10" i="2"/>
  <c r="MH10" i="2"/>
  <c r="MG10" i="2"/>
  <c r="MF10" i="2"/>
  <c r="LZ10" i="2"/>
  <c r="LY10" i="2"/>
  <c r="LX10" i="2"/>
  <c r="LW10" i="2"/>
  <c r="LV10" i="2"/>
  <c r="LR10" i="2"/>
  <c r="LQ10" i="2"/>
  <c r="LP10" i="2"/>
  <c r="LO10" i="2"/>
  <c r="LN10" i="2"/>
  <c r="LJ10" i="2"/>
  <c r="LI10" i="2"/>
  <c r="LH10" i="2"/>
  <c r="LG10" i="2"/>
  <c r="LF10" i="2"/>
  <c r="LB10" i="2"/>
  <c r="LA10" i="2"/>
  <c r="KZ10" i="2"/>
  <c r="KY10" i="2"/>
  <c r="KX10" i="2"/>
  <c r="KT10" i="2"/>
  <c r="KS10" i="2"/>
  <c r="KR10" i="2"/>
  <c r="KQ10" i="2"/>
  <c r="KP10" i="2"/>
  <c r="KL10" i="2"/>
  <c r="KK10" i="2"/>
  <c r="KJ10" i="2"/>
  <c r="KI10" i="2"/>
  <c r="KH10" i="2"/>
  <c r="KD10" i="2"/>
  <c r="KC10" i="2"/>
  <c r="KB10" i="2"/>
  <c r="KA10" i="2"/>
  <c r="JZ10" i="2"/>
  <c r="JV10" i="2"/>
  <c r="JU10" i="2"/>
  <c r="JT10" i="2"/>
  <c r="JS10" i="2"/>
  <c r="JR10" i="2"/>
  <c r="JN10" i="2"/>
  <c r="JM10" i="2"/>
  <c r="JL10" i="2"/>
  <c r="JK10" i="2"/>
  <c r="JJ10" i="2"/>
  <c r="JF10" i="2"/>
  <c r="JE10" i="2"/>
  <c r="JD10" i="2"/>
  <c r="JC10" i="2"/>
  <c r="JB10" i="2"/>
  <c r="IX10" i="2"/>
  <c r="IW10" i="2"/>
  <c r="IV10" i="2"/>
  <c r="IU10" i="2"/>
  <c r="IT10" i="2"/>
  <c r="IP10" i="2"/>
  <c r="IO10" i="2"/>
  <c r="IN10" i="2"/>
  <c r="IM10" i="2"/>
  <c r="IL10" i="2"/>
  <c r="IH10" i="2"/>
  <c r="IG10" i="2"/>
  <c r="IF10" i="2"/>
  <c r="IE10" i="2"/>
  <c r="ID10" i="2"/>
  <c r="HZ10" i="2"/>
  <c r="HY10" i="2"/>
  <c r="HX10" i="2"/>
  <c r="HW10" i="2"/>
  <c r="HV10" i="2"/>
  <c r="GY10" i="2"/>
  <c r="GX10" i="2"/>
  <c r="GW10" i="2"/>
  <c r="GV10" i="2"/>
  <c r="GU10" i="2"/>
  <c r="GI10" i="2"/>
  <c r="GH10" i="2"/>
  <c r="GG10" i="2"/>
  <c r="GF10" i="2"/>
  <c r="GE10" i="2"/>
  <c r="FT10" i="2"/>
  <c r="FS10" i="2"/>
  <c r="FR10" i="2"/>
  <c r="FQ10" i="2"/>
  <c r="FP10" i="2"/>
  <c r="FH10" i="2"/>
  <c r="FG10" i="2"/>
  <c r="FF10" i="2" s="1"/>
  <c r="FE10" i="2"/>
  <c r="FD10" i="2"/>
  <c r="EY10" i="2"/>
  <c r="EX10" i="2"/>
  <c r="EW10" i="2"/>
  <c r="EV10" i="2"/>
  <c r="EU10" i="2"/>
  <c r="EP10" i="2"/>
  <c r="EO10" i="2"/>
  <c r="EN10" i="2"/>
  <c r="EM10" i="2"/>
  <c r="EL10" i="2"/>
  <c r="EG10" i="2"/>
  <c r="EF10" i="2"/>
  <c r="EE10" i="2"/>
  <c r="ED10" i="2"/>
  <c r="EC10" i="2"/>
  <c r="DX10" i="2"/>
  <c r="DW10" i="2"/>
  <c r="DV10" i="2"/>
  <c r="DU10" i="2"/>
  <c r="DT10" i="2"/>
  <c r="DO10" i="2"/>
  <c r="DN10" i="2"/>
  <c r="DM10" i="2"/>
  <c r="DK10" i="2"/>
  <c r="DD10" i="2"/>
  <c r="DC10" i="2"/>
  <c r="DB10" i="2"/>
  <c r="DA10" i="2"/>
  <c r="CZ10" i="2"/>
  <c r="CM10" i="2"/>
  <c r="CL10" i="2"/>
  <c r="CK10" i="2"/>
  <c r="CJ10" i="2"/>
  <c r="CI10" i="2"/>
  <c r="CD10" i="2"/>
  <c r="CC10" i="2"/>
  <c r="CB10" i="2"/>
  <c r="CA10" i="2"/>
  <c r="BZ10" i="2"/>
  <c r="BT10" i="2"/>
  <c r="BS10" i="2"/>
  <c r="BR10" i="2"/>
  <c r="BP10" i="2"/>
  <c r="BB10" i="2"/>
  <c r="BA10" i="2"/>
  <c r="AZ10" i="2"/>
  <c r="AX10" i="2"/>
  <c r="AK10" i="2"/>
  <c r="AJ10" i="2"/>
  <c r="AI10" i="2"/>
  <c r="AG10" i="2"/>
  <c r="U10" i="2"/>
  <c r="T10" i="2"/>
  <c r="S10" i="2"/>
  <c r="Q10" i="2"/>
  <c r="H10" i="2"/>
  <c r="G10" i="2"/>
  <c r="F10" i="2"/>
  <c r="E10" i="2"/>
  <c r="D10" i="2"/>
  <c r="QG9" i="2"/>
  <c r="QK9" i="2" s="1"/>
  <c r="PE9" i="2"/>
  <c r="PI9" i="2" s="1"/>
  <c r="OL9" i="2"/>
  <c r="OK9" i="2"/>
  <c r="OJ9" i="2"/>
  <c r="OI9" i="2"/>
  <c r="OH9" i="2"/>
  <c r="MJ9" i="2"/>
  <c r="F9" i="14" s="1"/>
  <c r="MI9" i="2"/>
  <c r="MH9" i="2"/>
  <c r="MG9" i="2"/>
  <c r="MF9" i="2"/>
  <c r="LZ9" i="2"/>
  <c r="LY9" i="2"/>
  <c r="LX9" i="2"/>
  <c r="LW9" i="2"/>
  <c r="LV9" i="2"/>
  <c r="LR9" i="2"/>
  <c r="LQ9" i="2"/>
  <c r="LP9" i="2"/>
  <c r="LO9" i="2"/>
  <c r="LN9" i="2"/>
  <c r="LJ9" i="2"/>
  <c r="LI9" i="2"/>
  <c r="LH9" i="2"/>
  <c r="LG9" i="2"/>
  <c r="LF9" i="2"/>
  <c r="LB9" i="2"/>
  <c r="LA9" i="2"/>
  <c r="KZ9" i="2"/>
  <c r="KY9" i="2"/>
  <c r="KX9" i="2"/>
  <c r="KT9" i="2"/>
  <c r="KS9" i="2"/>
  <c r="KR9" i="2"/>
  <c r="KQ9" i="2"/>
  <c r="KP9" i="2"/>
  <c r="KL9" i="2"/>
  <c r="KK9" i="2"/>
  <c r="KJ9" i="2"/>
  <c r="KI9" i="2"/>
  <c r="KH9" i="2"/>
  <c r="KD9" i="2"/>
  <c r="KC9" i="2"/>
  <c r="KB9" i="2"/>
  <c r="KA9" i="2"/>
  <c r="JZ9" i="2"/>
  <c r="JV9" i="2"/>
  <c r="JU9" i="2"/>
  <c r="JT9" i="2"/>
  <c r="JS9" i="2"/>
  <c r="JR9" i="2"/>
  <c r="JN9" i="2"/>
  <c r="JM9" i="2"/>
  <c r="JL9" i="2"/>
  <c r="JK9" i="2"/>
  <c r="JJ9" i="2"/>
  <c r="JF9" i="2"/>
  <c r="JE9" i="2"/>
  <c r="JD9" i="2"/>
  <c r="JC9" i="2"/>
  <c r="JB9" i="2"/>
  <c r="IX9" i="2"/>
  <c r="IW9" i="2"/>
  <c r="IV9" i="2"/>
  <c r="IU9" i="2"/>
  <c r="IT9" i="2"/>
  <c r="IP9" i="2"/>
  <c r="IO9" i="2"/>
  <c r="IN9" i="2"/>
  <c r="IM9" i="2"/>
  <c r="IL9" i="2"/>
  <c r="IH9" i="2"/>
  <c r="IG9" i="2"/>
  <c r="IF9" i="2"/>
  <c r="IE9" i="2"/>
  <c r="ID9" i="2"/>
  <c r="HZ9" i="2"/>
  <c r="HY9" i="2"/>
  <c r="HX9" i="2"/>
  <c r="HW9" i="2"/>
  <c r="HV9" i="2"/>
  <c r="GY9" i="2"/>
  <c r="GX9" i="2"/>
  <c r="GW9" i="2"/>
  <c r="GV9" i="2"/>
  <c r="GU9" i="2"/>
  <c r="GI9" i="2"/>
  <c r="GH9" i="2"/>
  <c r="GG9" i="2"/>
  <c r="GF9" i="2"/>
  <c r="GE9" i="2"/>
  <c r="FT9" i="2"/>
  <c r="FS9" i="2"/>
  <c r="FR9" i="2"/>
  <c r="FQ9" i="2"/>
  <c r="FP9" i="2"/>
  <c r="FH9" i="2"/>
  <c r="FG9" i="2"/>
  <c r="FF9" i="2"/>
  <c r="FE9" i="2"/>
  <c r="FD9" i="2"/>
  <c r="EY9" i="2"/>
  <c r="EX9" i="2"/>
  <c r="EW9" i="2"/>
  <c r="EV9" i="2"/>
  <c r="EU9" i="2"/>
  <c r="EP9" i="2"/>
  <c r="EO9" i="2"/>
  <c r="EN9" i="2"/>
  <c r="EM9" i="2"/>
  <c r="EL9" i="2"/>
  <c r="EG9" i="2"/>
  <c r="EF9" i="2"/>
  <c r="EE9" i="2"/>
  <c r="ED9" i="2"/>
  <c r="EC9" i="2"/>
  <c r="DX9" i="2"/>
  <c r="DW9" i="2"/>
  <c r="DV9" i="2"/>
  <c r="DU9" i="2"/>
  <c r="DT9" i="2"/>
  <c r="DO9" i="2"/>
  <c r="DN9" i="2"/>
  <c r="DM9" i="2"/>
  <c r="DK9" i="2"/>
  <c r="DD9" i="2"/>
  <c r="DC9" i="2"/>
  <c r="DB9" i="2"/>
  <c r="DA9" i="2"/>
  <c r="CZ9" i="2"/>
  <c r="CM9" i="2"/>
  <c r="CL9" i="2"/>
  <c r="CK9" i="2"/>
  <c r="CJ9" i="2"/>
  <c r="CI9" i="2"/>
  <c r="CD9" i="2"/>
  <c r="CC9" i="2"/>
  <c r="CB9" i="2"/>
  <c r="CA9" i="2"/>
  <c r="BZ9" i="2"/>
  <c r="BT9" i="2"/>
  <c r="BS9" i="2"/>
  <c r="BR9" i="2"/>
  <c r="BP9" i="2"/>
  <c r="BB9" i="2"/>
  <c r="BA9" i="2"/>
  <c r="AZ9" i="2"/>
  <c r="AX9" i="2"/>
  <c r="AK9" i="2"/>
  <c r="AJ9" i="2"/>
  <c r="AI9" i="2"/>
  <c r="AG9" i="2"/>
  <c r="U9" i="2"/>
  <c r="T9" i="2"/>
  <c r="S9" i="2"/>
  <c r="Q9" i="2"/>
  <c r="H9" i="2"/>
  <c r="G9" i="2"/>
  <c r="F9" i="2"/>
  <c r="D9" i="2"/>
  <c r="RU8" i="2"/>
  <c r="RT8" i="2"/>
  <c r="RS8" i="2"/>
  <c r="RR8" i="2"/>
  <c r="RQ8" i="2"/>
  <c r="QL8" i="2"/>
  <c r="QK8" i="2"/>
  <c r="QJ8" i="2"/>
  <c r="QI8" i="2"/>
  <c r="QH8" i="2"/>
  <c r="OL8" i="2"/>
  <c r="OK8" i="2"/>
  <c r="OJ8" i="2"/>
  <c r="OI8" i="2"/>
  <c r="OH8" i="2"/>
  <c r="MJ8" i="2"/>
  <c r="F8" i="14" s="1"/>
  <c r="MI8" i="2"/>
  <c r="MH8" i="2"/>
  <c r="MG8" i="2"/>
  <c r="MF8" i="2"/>
  <c r="LR8" i="2"/>
  <c r="LQ8" i="2"/>
  <c r="LP8" i="2"/>
  <c r="LO8" i="2"/>
  <c r="LN8" i="2"/>
  <c r="LJ8" i="2"/>
  <c r="LI8" i="2"/>
  <c r="LH8" i="2"/>
  <c r="LG8" i="2"/>
  <c r="LF8" i="2"/>
  <c r="LB8" i="2"/>
  <c r="LA8" i="2"/>
  <c r="KZ8" i="2"/>
  <c r="KY8" i="2"/>
  <c r="D138" i="13" s="1"/>
  <c r="KX8" i="2"/>
  <c r="KT8" i="2"/>
  <c r="KS8" i="2"/>
  <c r="KR8" i="2"/>
  <c r="KQ8" i="2"/>
  <c r="D126" i="13" s="1"/>
  <c r="C126" i="13" s="1"/>
  <c r="KP8" i="2"/>
  <c r="KL8" i="2"/>
  <c r="KK8" i="2"/>
  <c r="KJ8" i="2"/>
  <c r="KI8" i="2"/>
  <c r="KH8" i="2"/>
  <c r="KD8" i="2"/>
  <c r="KC8" i="2"/>
  <c r="KB8" i="2"/>
  <c r="KA8" i="2"/>
  <c r="JZ8" i="2"/>
  <c r="JV8" i="2"/>
  <c r="JU8" i="2"/>
  <c r="JT8" i="2"/>
  <c r="JS8" i="2"/>
  <c r="JR8" i="2"/>
  <c r="JN8" i="2"/>
  <c r="JM8" i="2"/>
  <c r="JL8" i="2"/>
  <c r="JK8" i="2"/>
  <c r="JJ8" i="2"/>
  <c r="JF8" i="2"/>
  <c r="JE8" i="2"/>
  <c r="JD8" i="2"/>
  <c r="JC8" i="2"/>
  <c r="JB8" i="2"/>
  <c r="IX8" i="2"/>
  <c r="IW8" i="2"/>
  <c r="IV8" i="2"/>
  <c r="IU8" i="2"/>
  <c r="IT8" i="2"/>
  <c r="IP8" i="2"/>
  <c r="IO8" i="2"/>
  <c r="IN8" i="2"/>
  <c r="IM8" i="2"/>
  <c r="IL8" i="2"/>
  <c r="C31" i="13" s="1"/>
  <c r="IH8" i="2"/>
  <c r="IG8" i="2"/>
  <c r="IF8" i="2"/>
  <c r="IE8" i="2"/>
  <c r="ID8" i="2"/>
  <c r="HZ8" i="2"/>
  <c r="HY8" i="2"/>
  <c r="HX8" i="2"/>
  <c r="HW8" i="2"/>
  <c r="HV8" i="2"/>
  <c r="GI8" i="2"/>
  <c r="GH8" i="2"/>
  <c r="GG8" i="2"/>
  <c r="GF8" i="2"/>
  <c r="GE8" i="2"/>
  <c r="FT8" i="2"/>
  <c r="FS8" i="2"/>
  <c r="FR8" i="2"/>
  <c r="FQ8" i="2"/>
  <c r="FP8" i="2"/>
  <c r="FH8" i="2"/>
  <c r="FG8" i="2"/>
  <c r="FF8" i="2"/>
  <c r="FE8" i="2"/>
  <c r="FD8" i="2"/>
  <c r="EY8" i="2"/>
  <c r="EX8" i="2"/>
  <c r="EW8" i="2"/>
  <c r="EV8" i="2"/>
  <c r="EU8" i="2"/>
  <c r="EP8" i="2"/>
  <c r="EO8" i="2"/>
  <c r="EN8" i="2"/>
  <c r="EM8" i="2"/>
  <c r="EL8" i="2"/>
  <c r="EG8" i="2"/>
  <c r="EF8" i="2"/>
  <c r="EE8" i="2"/>
  <c r="ED8" i="2"/>
  <c r="EC8" i="2"/>
  <c r="DX8" i="2"/>
  <c r="DW8" i="2"/>
  <c r="DV8" i="2"/>
  <c r="DU8" i="2"/>
  <c r="DT8" i="2"/>
  <c r="DO8" i="2"/>
  <c r="DN8" i="2"/>
  <c r="DM8" i="2"/>
  <c r="DK8" i="2"/>
  <c r="DD8" i="2"/>
  <c r="DC8" i="2"/>
  <c r="DB8" i="2"/>
  <c r="DA8" i="2"/>
  <c r="CZ8" i="2"/>
  <c r="CM8" i="2"/>
  <c r="CL8" i="2"/>
  <c r="CK8" i="2"/>
  <c r="CJ8" i="2"/>
  <c r="CI8" i="2"/>
  <c r="CD8" i="2"/>
  <c r="CC8" i="2"/>
  <c r="CB8" i="2"/>
  <c r="CA8" i="2"/>
  <c r="BZ8" i="2"/>
  <c r="BT8" i="2"/>
  <c r="BS8" i="2"/>
  <c r="BR8" i="2"/>
  <c r="BP8" i="2"/>
  <c r="BB8" i="2"/>
  <c r="BA8" i="2"/>
  <c r="AZ8" i="2"/>
  <c r="AX8" i="2"/>
  <c r="AK8" i="2"/>
  <c r="AJ8" i="2"/>
  <c r="AI8" i="2"/>
  <c r="AG8" i="2"/>
  <c r="U8" i="2"/>
  <c r="T8" i="2"/>
  <c r="S8" i="2"/>
  <c r="Q8" i="2"/>
  <c r="J8" i="2"/>
  <c r="H8" i="2"/>
  <c r="G8" i="2"/>
  <c r="F8" i="2"/>
  <c r="D8" i="2"/>
  <c r="RU7" i="2"/>
  <c r="RT7" i="2"/>
  <c r="RS7" i="2"/>
  <c r="RR7" i="2"/>
  <c r="RQ7" i="2"/>
  <c r="B53" i="23" s="1"/>
  <c r="QL7" i="2"/>
  <c r="F80" i="15" s="1"/>
  <c r="QK7" i="2"/>
  <c r="E80" i="15" s="1"/>
  <c r="QJ7" i="2"/>
  <c r="D80" i="15" s="1"/>
  <c r="QI7" i="2"/>
  <c r="C80" i="15" s="1"/>
  <c r="QH7" i="2"/>
  <c r="B80" i="15" s="1"/>
  <c r="PJ7" i="2"/>
  <c r="F41" i="15" s="1"/>
  <c r="PI7" i="2"/>
  <c r="E41" i="15" s="1"/>
  <c r="PH7" i="2"/>
  <c r="D41" i="15" s="1"/>
  <c r="PG7" i="2"/>
  <c r="C41" i="15" s="1"/>
  <c r="PF7" i="2"/>
  <c r="B41" i="15" s="1"/>
  <c r="OL7" i="2"/>
  <c r="F6" i="15" s="1"/>
  <c r="OK7" i="2"/>
  <c r="E6" i="15" s="1"/>
  <c r="OJ7" i="2"/>
  <c r="D6" i="15" s="1"/>
  <c r="OI7" i="2"/>
  <c r="C6" i="15" s="1"/>
  <c r="OH7" i="2"/>
  <c r="B6" i="15" s="1"/>
  <c r="H60" i="14" s="1"/>
  <c r="MJ7" i="2"/>
  <c r="F7" i="14" s="1"/>
  <c r="MI7" i="2"/>
  <c r="E7" i="14" s="1"/>
  <c r="MH7" i="2"/>
  <c r="D7" i="14" s="1"/>
  <c r="MG7" i="2"/>
  <c r="C7" i="14" s="1"/>
  <c r="MF7" i="2"/>
  <c r="B7" i="14" s="1"/>
  <c r="LZ7" i="2"/>
  <c r="LY7" i="2"/>
  <c r="LX7" i="2"/>
  <c r="LW7" i="2"/>
  <c r="LV7" i="2"/>
  <c r="LR7" i="2"/>
  <c r="LQ7" i="2"/>
  <c r="LP7" i="2"/>
  <c r="LO7" i="2"/>
  <c r="LN7" i="2"/>
  <c r="LJ7" i="2"/>
  <c r="G152" i="13" s="1"/>
  <c r="LI7" i="2"/>
  <c r="F152" i="13" s="1"/>
  <c r="LH7" i="2"/>
  <c r="E152" i="13" s="1"/>
  <c r="LG7" i="2"/>
  <c r="D152" i="13" s="1"/>
  <c r="LF7" i="2"/>
  <c r="C152" i="13" s="1"/>
  <c r="I143" i="13" s="1"/>
  <c r="LB7" i="2"/>
  <c r="G137" i="13" s="1"/>
  <c r="LA7" i="2"/>
  <c r="F137" i="13" s="1"/>
  <c r="KZ7" i="2"/>
  <c r="E137" i="13" s="1"/>
  <c r="KY7" i="2"/>
  <c r="D137" i="13" s="1"/>
  <c r="KX7" i="2"/>
  <c r="C137" i="13" s="1"/>
  <c r="KT7" i="2"/>
  <c r="G125" i="13" s="1"/>
  <c r="KS7" i="2"/>
  <c r="F125" i="13" s="1"/>
  <c r="KR7" i="2"/>
  <c r="E125" i="13" s="1"/>
  <c r="KQ7" i="2"/>
  <c r="D125" i="13" s="1"/>
  <c r="KP7" i="2"/>
  <c r="C125" i="13" s="1"/>
  <c r="KL7" i="2"/>
  <c r="G113" i="13" s="1"/>
  <c r="KK7" i="2"/>
  <c r="F113" i="13" s="1"/>
  <c r="KJ7" i="2"/>
  <c r="E113" i="13" s="1"/>
  <c r="KI7" i="2"/>
  <c r="D113" i="13" s="1"/>
  <c r="KH7" i="2"/>
  <c r="C113" i="13" s="1"/>
  <c r="KD7" i="2"/>
  <c r="G100" i="13" s="1"/>
  <c r="KC7" i="2"/>
  <c r="F100" i="13" s="1"/>
  <c r="KB7" i="2"/>
  <c r="E100" i="13" s="1"/>
  <c r="KA7" i="2"/>
  <c r="D100" i="13" s="1"/>
  <c r="JZ7" i="2"/>
  <c r="C100" i="13" s="1"/>
  <c r="JV7" i="2"/>
  <c r="G86" i="13" s="1"/>
  <c r="JU7" i="2"/>
  <c r="F86" i="13" s="1"/>
  <c r="JT7" i="2"/>
  <c r="E86" i="13" s="1"/>
  <c r="JS7" i="2"/>
  <c r="D86" i="13" s="1"/>
  <c r="JR7" i="2"/>
  <c r="C86" i="13" s="1"/>
  <c r="JN7" i="2"/>
  <c r="G72" i="13" s="1"/>
  <c r="JM7" i="2"/>
  <c r="F72" i="13" s="1"/>
  <c r="JL7" i="2"/>
  <c r="E72" i="13" s="1"/>
  <c r="JK7" i="2"/>
  <c r="D72" i="13" s="1"/>
  <c r="JJ7" i="2"/>
  <c r="C72" i="13" s="1"/>
  <c r="JF7" i="2"/>
  <c r="G58" i="13" s="1"/>
  <c r="JE7" i="2"/>
  <c r="F58" i="13" s="1"/>
  <c r="JD7" i="2"/>
  <c r="E58" i="13" s="1"/>
  <c r="JC7" i="2"/>
  <c r="D58" i="13" s="1"/>
  <c r="JB7" i="2"/>
  <c r="C58" i="13" s="1"/>
  <c r="IX7" i="2"/>
  <c r="G44" i="13" s="1"/>
  <c r="IW7" i="2"/>
  <c r="F44" i="13" s="1"/>
  <c r="IV7" i="2"/>
  <c r="E44" i="13" s="1"/>
  <c r="IU7" i="2"/>
  <c r="D44" i="13" s="1"/>
  <c r="IT7" i="2"/>
  <c r="C44" i="13" s="1"/>
  <c r="IP7" i="2"/>
  <c r="G30" i="13" s="1"/>
  <c r="IO7" i="2"/>
  <c r="F30" i="13" s="1"/>
  <c r="IN7" i="2"/>
  <c r="E30" i="13" s="1"/>
  <c r="IM7" i="2"/>
  <c r="D30" i="13" s="1"/>
  <c r="IL7" i="2"/>
  <c r="C30" i="13" s="1"/>
  <c r="IH7" i="2"/>
  <c r="G18" i="13" s="1"/>
  <c r="IG7" i="2"/>
  <c r="F18" i="13" s="1"/>
  <c r="IF7" i="2"/>
  <c r="E18" i="13" s="1"/>
  <c r="IE7" i="2"/>
  <c r="D18" i="13" s="1"/>
  <c r="ID7" i="2"/>
  <c r="C18" i="13" s="1"/>
  <c r="HZ7" i="2"/>
  <c r="HY7" i="2"/>
  <c r="HX7" i="2"/>
  <c r="HW7" i="2"/>
  <c r="HV7" i="2"/>
  <c r="GY7" i="2"/>
  <c r="G60" i="12" s="1"/>
  <c r="GX7" i="2"/>
  <c r="GW7" i="2"/>
  <c r="E60" i="12" s="1"/>
  <c r="GV7" i="2"/>
  <c r="D60" i="12" s="1"/>
  <c r="GU7" i="2"/>
  <c r="C60" i="12" s="1"/>
  <c r="GI7" i="2"/>
  <c r="P27" i="12" s="1"/>
  <c r="GH7" i="2"/>
  <c r="O27" i="12" s="1"/>
  <c r="GG7" i="2"/>
  <c r="N27" i="12" s="1"/>
  <c r="GF7" i="2"/>
  <c r="M27" i="12" s="1"/>
  <c r="GE7" i="2"/>
  <c r="L27" i="12" s="1"/>
  <c r="FT7" i="2"/>
  <c r="P7" i="12" s="1"/>
  <c r="FS7" i="2"/>
  <c r="O7" i="12" s="1"/>
  <c r="FR7" i="2"/>
  <c r="N7" i="12" s="1"/>
  <c r="FQ7" i="2"/>
  <c r="M7" i="12" s="1"/>
  <c r="FP7" i="2"/>
  <c r="L7" i="12" s="1"/>
  <c r="FH7" i="2"/>
  <c r="FG7" i="2"/>
  <c r="FF7" i="2"/>
  <c r="FE7" i="2"/>
  <c r="FD7" i="2"/>
  <c r="EY7" i="2"/>
  <c r="EX7" i="2"/>
  <c r="EW7" i="2"/>
  <c r="EV7" i="2"/>
  <c r="EU7" i="2"/>
  <c r="EP7" i="2"/>
  <c r="EO7" i="2"/>
  <c r="EN7" i="2"/>
  <c r="EM7" i="2"/>
  <c r="EL7" i="2"/>
  <c r="EG7" i="2"/>
  <c r="EF7" i="2"/>
  <c r="EE7" i="2"/>
  <c r="ED7" i="2"/>
  <c r="EC7" i="2"/>
  <c r="DX7" i="2"/>
  <c r="DW7" i="2"/>
  <c r="DV7" i="2"/>
  <c r="DU7" i="2"/>
  <c r="DT7" i="2"/>
  <c r="DO7" i="2"/>
  <c r="DN7" i="2"/>
  <c r="DM7" i="2"/>
  <c r="DL7" i="2"/>
  <c r="DK7" i="2"/>
  <c r="DD7" i="2"/>
  <c r="DC7" i="2"/>
  <c r="DB7" i="2"/>
  <c r="DA7" i="2"/>
  <c r="CZ7" i="2"/>
  <c r="CD7" i="2"/>
  <c r="CC7" i="2"/>
  <c r="CB7" i="2"/>
  <c r="CA7" i="2"/>
  <c r="BZ7" i="2"/>
  <c r="BT7" i="2"/>
  <c r="BS7" i="2"/>
  <c r="BR7" i="2"/>
  <c r="BP7" i="2"/>
  <c r="BB7" i="2"/>
  <c r="BA7" i="2"/>
  <c r="AZ7" i="2"/>
  <c r="AX7" i="2"/>
  <c r="AK7" i="2"/>
  <c r="AJ7" i="2"/>
  <c r="AI7" i="2"/>
  <c r="AG7" i="2"/>
  <c r="U7" i="2"/>
  <c r="T7" i="2"/>
  <c r="S7" i="2"/>
  <c r="Q7" i="2"/>
  <c r="H7" i="2"/>
  <c r="G7" i="2"/>
  <c r="F7" i="2"/>
  <c r="D7" i="2"/>
  <c r="RU6" i="2"/>
  <c r="RT6" i="2"/>
  <c r="E52" i="23" s="1"/>
  <c r="RS6" i="2"/>
  <c r="D52" i="23" s="1"/>
  <c r="RR6" i="2"/>
  <c r="C52" i="23" s="1"/>
  <c r="RQ6" i="2"/>
  <c r="B52" i="23" s="1"/>
  <c r="MJ6" i="2"/>
  <c r="F156" i="13" l="1"/>
  <c r="E156" i="13" s="1"/>
  <c r="D156" i="13" s="1"/>
  <c r="C156" i="13" s="1"/>
  <c r="G155" i="13" s="1"/>
  <c r="F155" i="13" s="1"/>
  <c r="E155" i="13" s="1"/>
  <c r="D155" i="13" s="1"/>
  <c r="C155" i="13" s="1"/>
  <c r="G154" i="13" s="1"/>
  <c r="F154" i="13" s="1"/>
  <c r="E154" i="13" s="1"/>
  <c r="D154" i="13" s="1"/>
  <c r="C154" i="13" s="1"/>
  <c r="G153" i="13" s="1"/>
  <c r="F153" i="13" s="1"/>
  <c r="E153" i="13" s="1"/>
  <c r="D153" i="13" s="1"/>
  <c r="C153" i="13" s="1"/>
  <c r="QJ6" i="2"/>
  <c r="QI6" i="2"/>
  <c r="PH6" i="2"/>
  <c r="PI6" i="2"/>
  <c r="MF6" i="2"/>
  <c r="LZ6" i="2" s="1"/>
  <c r="E11" i="14"/>
  <c r="D11" i="14" s="1"/>
  <c r="C11" i="14" s="1"/>
  <c r="MG6" i="2"/>
  <c r="MH6" i="2"/>
  <c r="MI6" i="2"/>
  <c r="E8" i="14"/>
  <c r="D8" i="14" s="1"/>
  <c r="C8" i="14" s="1"/>
  <c r="B8" i="14" s="1"/>
  <c r="H8" i="14"/>
  <c r="QH9" i="2"/>
  <c r="PF10" i="2"/>
  <c r="QH10" i="2"/>
  <c r="B11" i="14"/>
  <c r="H10" i="14" s="1"/>
  <c r="EH255" i="2"/>
  <c r="D66" i="31" s="1"/>
  <c r="AH20" i="3"/>
  <c r="KM282" i="2"/>
  <c r="KT283" i="2"/>
  <c r="DC188" i="2"/>
  <c r="BE15" i="3" s="1"/>
  <c r="BC15" i="3"/>
  <c r="DD277" i="2"/>
  <c r="DC277" i="2" s="1"/>
  <c r="DE276" i="2"/>
  <c r="JD279" i="2"/>
  <c r="AP36" i="6"/>
  <c r="LY6" i="2"/>
  <c r="LX6" i="2" s="1"/>
  <c r="LW6" i="2" s="1"/>
  <c r="LV6" i="2" s="1"/>
  <c r="LR6" i="2" s="1"/>
  <c r="LQ6" i="2" s="1"/>
  <c r="LP6" i="2" s="1"/>
  <c r="LO6" i="2" s="1"/>
  <c r="LN6" i="2" s="1"/>
  <c r="QJ9" i="2"/>
  <c r="E10" i="14"/>
  <c r="D10" i="14" s="1"/>
  <c r="C10" i="14" s="1"/>
  <c r="B10" i="14" s="1"/>
  <c r="PG10" i="2"/>
  <c r="QL10" i="2"/>
  <c r="DD224" i="2"/>
  <c r="BD18" i="3"/>
  <c r="D22" i="31"/>
  <c r="DD152" i="2"/>
  <c r="BD12" i="3"/>
  <c r="F60" i="12"/>
  <c r="C138" i="13"/>
  <c r="PG9" i="2"/>
  <c r="QL9" i="2"/>
  <c r="PH10" i="2"/>
  <c r="EN240" i="2"/>
  <c r="AM19" i="3" s="1"/>
  <c r="AP19" i="3"/>
  <c r="DC140" i="2"/>
  <c r="BE11" i="3" s="1"/>
  <c r="BC11" i="3"/>
  <c r="H11" i="14"/>
  <c r="DC260" i="2"/>
  <c r="J13" i="6" s="1"/>
  <c r="G21" i="31"/>
  <c r="BC21" i="3"/>
  <c r="EL238" i="2"/>
  <c r="E9" i="14"/>
  <c r="D9" i="14" s="1"/>
  <c r="C9" i="14" s="1"/>
  <c r="B9" i="14" s="1"/>
  <c r="H9" i="14"/>
  <c r="D22" i="13"/>
  <c r="C22" i="13" s="1"/>
  <c r="I22" i="13" s="1"/>
  <c r="PG11" i="2"/>
  <c r="DD176" i="2"/>
  <c r="BD14" i="3"/>
  <c r="EL239" i="2"/>
  <c r="J40" i="6"/>
  <c r="BE23" i="3"/>
  <c r="I23" i="31"/>
  <c r="DC164" i="2"/>
  <c r="BE13" i="3" s="1"/>
  <c r="BC13" i="3"/>
  <c r="DD200" i="2"/>
  <c r="B22" i="31"/>
  <c r="BD16" i="3"/>
  <c r="DC212" i="2"/>
  <c r="BC17" i="3"/>
  <c r="C21" i="31"/>
  <c r="EF253" i="2"/>
  <c r="QH11" i="2"/>
  <c r="QL11" i="2"/>
  <c r="QI9" i="2"/>
  <c r="QK10" i="2"/>
  <c r="QK11" i="2"/>
  <c r="QJ10" i="2"/>
  <c r="QJ11" i="2"/>
  <c r="PF9" i="2"/>
  <c r="PH11" i="2"/>
  <c r="PJ9" i="2"/>
  <c r="PH9" i="2"/>
  <c r="PJ10" i="2"/>
  <c r="PF11" i="2"/>
  <c r="PJ11" i="2"/>
  <c r="PF6" i="2"/>
  <c r="OL6" i="2" s="1"/>
  <c r="OK6" i="2" s="1"/>
  <c r="PJ6" i="2"/>
  <c r="QL6" i="2"/>
  <c r="QK6" i="2"/>
  <c r="OJ6" i="2"/>
  <c r="OI6" i="2" s="1"/>
  <c r="OH6" i="2" s="1"/>
  <c r="PG6" i="2"/>
  <c r="QH6" i="2"/>
  <c r="F52" i="23"/>
  <c r="LJ6" i="2"/>
  <c r="LI6" i="2"/>
  <c r="LH6" i="2"/>
  <c r="LG6" i="2"/>
  <c r="LF6" i="2"/>
  <c r="LB6" i="2" s="1"/>
  <c r="LA6" i="2" s="1"/>
  <c r="KZ6" i="2" s="1"/>
  <c r="KY6" i="2" s="1"/>
  <c r="KX6" i="2" s="1"/>
  <c r="KT6" i="2" s="1"/>
  <c r="KS6" i="2" s="1"/>
  <c r="KR6" i="2" s="1"/>
  <c r="KQ6" i="2" s="1"/>
  <c r="KP6" i="2" s="1"/>
  <c r="KL6" i="2" s="1"/>
  <c r="KK6" i="2" s="1"/>
  <c r="KJ6" i="2" s="1"/>
  <c r="KI6" i="2" s="1"/>
  <c r="KH6" i="2" s="1"/>
  <c r="KD6" i="2" s="1"/>
  <c r="KC6" i="2" s="1"/>
  <c r="KB6" i="2" s="1"/>
  <c r="KA6" i="2" s="1"/>
  <c r="JZ6" i="2" s="1"/>
  <c r="JV6" i="2"/>
  <c r="JU6" i="2" s="1"/>
  <c r="JT6" i="2" s="1"/>
  <c r="JS6" i="2"/>
  <c r="JR6" i="2"/>
  <c r="JN6" i="2" s="1"/>
  <c r="JM6" i="2"/>
  <c r="JL6" i="2" s="1"/>
  <c r="JK6" i="2" s="1"/>
  <c r="JJ6" i="2" s="1"/>
  <c r="JF6" i="2" s="1"/>
  <c r="JE6" i="2"/>
  <c r="JD6" i="2"/>
  <c r="JC6" i="2" s="1"/>
  <c r="JB6" i="2" s="1"/>
  <c r="IX6" i="2"/>
  <c r="IW6" i="2"/>
  <c r="IV6" i="2"/>
  <c r="IU6" i="2"/>
  <c r="IT6" i="2"/>
  <c r="IP6" i="2" s="1"/>
  <c r="IO6" i="2" s="1"/>
  <c r="IN6" i="2" s="1"/>
  <c r="IM6" i="2" s="1"/>
  <c r="IL6" i="2" s="1"/>
  <c r="IH6" i="2" s="1"/>
  <c r="IG6" i="2" s="1"/>
  <c r="IF6" i="2" s="1"/>
  <c r="IE6" i="2" s="1"/>
  <c r="ID6" i="2" s="1"/>
  <c r="HZ6" i="2"/>
  <c r="HY6" i="2"/>
  <c r="HX6" i="2"/>
  <c r="HW6" i="2"/>
  <c r="HV6" i="2"/>
  <c r="GY6" i="2" s="1"/>
  <c r="GX6" i="2"/>
  <c r="GW6" i="2" s="1"/>
  <c r="GV6" i="2" s="1"/>
  <c r="GU6" i="2" s="1"/>
  <c r="GI6" i="2"/>
  <c r="GH6" i="2"/>
  <c r="GG6" i="2"/>
  <c r="GF6" i="2"/>
  <c r="GE6" i="2"/>
  <c r="FT6" i="2"/>
  <c r="FS6" i="2"/>
  <c r="FR6" i="2"/>
  <c r="FQ6" i="2"/>
  <c r="FP6" i="2"/>
  <c r="FH6" i="2" s="1"/>
  <c r="FG6" i="2" s="1"/>
  <c r="FF6" i="2" s="1"/>
  <c r="FE6" i="2" s="1"/>
  <c r="FD6" i="2" s="1"/>
  <c r="EY6" i="2" s="1"/>
  <c r="EX6" i="2" s="1"/>
  <c r="EW6" i="2" s="1"/>
  <c r="EV6" i="2" s="1"/>
  <c r="EU6" i="2" s="1"/>
  <c r="EP6" i="2" s="1"/>
  <c r="EO6" i="2" s="1"/>
  <c r="EN6" i="2" s="1"/>
  <c r="EM6" i="2" s="1"/>
  <c r="EL6" i="2"/>
  <c r="EG6" i="2" s="1"/>
  <c r="EF6" i="2" s="1"/>
  <c r="EE6" i="2" s="1"/>
  <c r="ED6" i="2" s="1"/>
  <c r="EC6" i="2"/>
  <c r="DX6" i="2"/>
  <c r="DW6" i="2"/>
  <c r="DV6" i="2"/>
  <c r="DU6" i="2"/>
  <c r="DT6" i="2"/>
  <c r="DO6" i="2"/>
  <c r="DN6" i="2"/>
  <c r="DM6" i="2"/>
  <c r="DL6" i="2"/>
  <c r="DK6" i="2"/>
  <c r="DD6" i="2" s="1"/>
  <c r="DC6" i="2" s="1"/>
  <c r="DB6" i="2" s="1"/>
  <c r="DA6" i="2" s="1"/>
  <c r="CZ6" i="2" s="1"/>
  <c r="CM6" i="2"/>
  <c r="CL6" i="2"/>
  <c r="CK6" i="2"/>
  <c r="CJ6" i="2"/>
  <c r="CI6" i="2"/>
  <c r="CD6" i="2"/>
  <c r="CC6" i="2"/>
  <c r="CB6" i="2"/>
  <c r="CA6" i="2"/>
  <c r="BZ6" i="2"/>
  <c r="BT6" i="2"/>
  <c r="BS6" i="2"/>
  <c r="BR6" i="2"/>
  <c r="BQ6" i="2"/>
  <c r="BP6" i="2"/>
  <c r="BB6" i="2"/>
  <c r="BA6" i="2"/>
  <c r="AZ6" i="2"/>
  <c r="AY6" i="2"/>
  <c r="AX6" i="2"/>
  <c r="AK6" i="2"/>
  <c r="AK5" i="2" s="1"/>
  <c r="AJ6" i="2"/>
  <c r="AI6" i="2"/>
  <c r="AH6" i="2"/>
  <c r="AG6" i="2"/>
  <c r="U6" i="2"/>
  <c r="U5" i="2" s="1"/>
  <c r="T6" i="2"/>
  <c r="T5" i="2" s="1"/>
  <c r="S6" i="2"/>
  <c r="S5" i="2" s="1"/>
  <c r="R6" i="2"/>
  <c r="R5" i="2" s="1"/>
  <c r="Q6" i="2"/>
  <c r="Q5" i="2" s="1"/>
  <c r="H6" i="2"/>
  <c r="H5" i="2" s="1"/>
  <c r="G6" i="2"/>
  <c r="F6" i="2"/>
  <c r="E6" i="2"/>
  <c r="D6" i="2"/>
  <c r="RU5" i="2"/>
  <c r="RT5" i="2" s="1"/>
  <c r="RS5" i="2" s="1"/>
  <c r="RR5" i="2" s="1"/>
  <c r="RQ5" i="2"/>
  <c r="EM240" i="2" l="1"/>
  <c r="C73" i="31"/>
  <c r="AJ5" i="2"/>
  <c r="AI5" i="2"/>
  <c r="AH5" i="2" s="1"/>
  <c r="AG5" i="2" s="1"/>
  <c r="G5" i="2"/>
  <c r="F5" i="2"/>
  <c r="E5" i="2" s="1"/>
  <c r="D5" i="2" s="1"/>
  <c r="CM5" i="2"/>
  <c r="C23" i="31"/>
  <c r="BE17" i="3"/>
  <c r="CL5" i="2"/>
  <c r="CK5" i="2" s="1"/>
  <c r="CJ5" i="2" s="1"/>
  <c r="CI5" i="2" s="1"/>
  <c r="DE253" i="2"/>
  <c r="EK239" i="2"/>
  <c r="EK238" i="2"/>
  <c r="EL240" i="2"/>
  <c r="DC152" i="2"/>
  <c r="BE12" i="3" s="1"/>
  <c r="BC12" i="3"/>
  <c r="DC224" i="2"/>
  <c r="D21" i="31"/>
  <c r="BC18" i="3"/>
  <c r="DD276" i="2"/>
  <c r="DE275" i="2"/>
  <c r="EF254" i="2"/>
  <c r="EG255" i="2"/>
  <c r="D65" i="31" s="1"/>
  <c r="AG20" i="3"/>
  <c r="J16" i="6"/>
  <c r="BE21" i="3"/>
  <c r="G23" i="31"/>
  <c r="JC279" i="2"/>
  <c r="JB279" i="2" s="1"/>
  <c r="JA279" i="2" s="1"/>
  <c r="IZ279" i="2" s="1"/>
  <c r="IY279" i="2" s="1"/>
  <c r="IX279" i="2" s="1"/>
  <c r="IV279" i="2" s="1"/>
  <c r="IU279" i="2" s="1"/>
  <c r="IT279" i="2" s="1"/>
  <c r="IS279" i="2" s="1"/>
  <c r="IR279" i="2" s="1"/>
  <c r="IQ279" i="2" s="1"/>
  <c r="IN279" i="2" s="1"/>
  <c r="HH279" i="2" s="1"/>
  <c r="HG279" i="2" s="1"/>
  <c r="HF279" i="2" s="1"/>
  <c r="HE279" i="2" s="1"/>
  <c r="HD279" i="2" s="1"/>
  <c r="HC279" i="2" s="1"/>
  <c r="AH33" i="6" s="1"/>
  <c r="JD280" i="2"/>
  <c r="JD281" i="2" s="1"/>
  <c r="J33" i="6"/>
  <c r="K53" i="18"/>
  <c r="DC276" i="2"/>
  <c r="J32" i="6" s="1"/>
  <c r="KM283" i="2"/>
  <c r="KT284" i="2"/>
  <c r="DC200" i="2"/>
  <c r="BC16" i="3"/>
  <c r="B21" i="31"/>
  <c r="DC176" i="2"/>
  <c r="BE14" i="3" s="1"/>
  <c r="BC14" i="3"/>
  <c r="JD282" i="2"/>
  <c r="CD5" i="2"/>
  <c r="CC5" i="2" s="1"/>
  <c r="CB5" i="2" s="1"/>
  <c r="CA5" i="2" s="1"/>
  <c r="BZ5" i="2" s="1"/>
  <c r="BT5" i="2" s="1"/>
  <c r="BS5" i="2" s="1"/>
  <c r="BR5" i="2" s="1"/>
  <c r="BQ5" i="2" s="1"/>
  <c r="BP5" i="2" s="1"/>
  <c r="BB5" i="2" s="1"/>
  <c r="BA5" i="2" s="1"/>
  <c r="AZ5" i="2" s="1"/>
  <c r="AY5" i="2" s="1"/>
  <c r="AX5" i="2" s="1"/>
  <c r="O276" i="17"/>
  <c r="A276" i="17"/>
  <c r="O275" i="17"/>
  <c r="A275" i="17"/>
  <c r="O274" i="17"/>
  <c r="A274" i="17"/>
  <c r="O273" i="17"/>
  <c r="A273" i="17"/>
  <c r="O272" i="17"/>
  <c r="A272" i="17"/>
  <c r="O271" i="17"/>
  <c r="A271" i="17"/>
  <c r="O270" i="17"/>
  <c r="A270" i="17"/>
  <c r="O269" i="17"/>
  <c r="A269" i="17"/>
  <c r="O268" i="17"/>
  <c r="A268" i="17"/>
  <c r="O267" i="17"/>
  <c r="A267" i="17"/>
  <c r="O266" i="17"/>
  <c r="A266" i="17"/>
  <c r="O265" i="17"/>
  <c r="A265" i="17"/>
  <c r="O264" i="17"/>
  <c r="A264" i="17"/>
  <c r="O263" i="17"/>
  <c r="A263" i="17"/>
  <c r="O262" i="17"/>
  <c r="A262" i="17"/>
  <c r="O261" i="17"/>
  <c r="A261" i="17"/>
  <c r="O260" i="17"/>
  <c r="A260" i="17"/>
  <c r="O259" i="17"/>
  <c r="A259" i="17"/>
  <c r="O258" i="17"/>
  <c r="A258" i="17"/>
  <c r="O257" i="17"/>
  <c r="A257" i="17"/>
  <c r="O256" i="17"/>
  <c r="A256" i="17"/>
  <c r="O255" i="17"/>
  <c r="A255" i="17"/>
  <c r="O254" i="17"/>
  <c r="A254" i="17"/>
  <c r="O253" i="17"/>
  <c r="A253" i="17"/>
  <c r="O252" i="17"/>
  <c r="A252" i="17"/>
  <c r="O251" i="17"/>
  <c r="A251" i="17"/>
  <c r="O250" i="17"/>
  <c r="A250" i="17"/>
  <c r="O249" i="17"/>
  <c r="A249" i="17"/>
  <c r="O248" i="17"/>
  <c r="A248" i="17"/>
  <c r="O247" i="17"/>
  <c r="A247" i="17"/>
  <c r="O246" i="17"/>
  <c r="A246" i="17"/>
  <c r="O245" i="17"/>
  <c r="A245" i="17"/>
  <c r="O244" i="17"/>
  <c r="A244" i="17"/>
  <c r="O243" i="17"/>
  <c r="A243" i="17"/>
  <c r="O242" i="17"/>
  <c r="A242" i="17"/>
  <c r="O241" i="17"/>
  <c r="A241" i="17"/>
  <c r="O240" i="17"/>
  <c r="A240" i="17"/>
  <c r="O239" i="17"/>
  <c r="A239" i="17"/>
  <c r="O238" i="17"/>
  <c r="A238" i="17"/>
  <c r="O237" i="17"/>
  <c r="A237" i="17"/>
  <c r="O236" i="17"/>
  <c r="A236" i="17"/>
  <c r="O235" i="17"/>
  <c r="A235" i="17"/>
  <c r="O234" i="17"/>
  <c r="A234" i="17"/>
  <c r="O233" i="17"/>
  <c r="A233" i="17"/>
  <c r="O232" i="17"/>
  <c r="A232" i="17"/>
  <c r="O231" i="17"/>
  <c r="A231" i="17"/>
  <c r="O230" i="17"/>
  <c r="A230" i="17"/>
  <c r="O229" i="17"/>
  <c r="A229" i="17"/>
  <c r="O228" i="17"/>
  <c r="A228" i="17"/>
  <c r="O227" i="17"/>
  <c r="A227" i="17"/>
  <c r="O226" i="17"/>
  <c r="A226" i="17"/>
  <c r="O225" i="17"/>
  <c r="A225" i="17"/>
  <c r="O224" i="17"/>
  <c r="A224" i="17"/>
  <c r="O223" i="17"/>
  <c r="A223" i="17"/>
  <c r="O222" i="17"/>
  <c r="A222" i="17"/>
  <c r="O221" i="17"/>
  <c r="A221" i="17"/>
  <c r="O220" i="17"/>
  <c r="A220" i="17"/>
  <c r="O219" i="17"/>
  <c r="A219" i="17"/>
  <c r="O218" i="17"/>
  <c r="A218" i="17"/>
  <c r="O217" i="17"/>
  <c r="A217" i="17"/>
  <c r="O216" i="17"/>
  <c r="A216" i="17"/>
  <c r="O215" i="17"/>
  <c r="A215" i="17"/>
  <c r="O214" i="17"/>
  <c r="A214" i="17"/>
  <c r="O213" i="17"/>
  <c r="A213" i="17"/>
  <c r="O212" i="17"/>
  <c r="A212" i="17"/>
  <c r="O211" i="17"/>
  <c r="A211" i="17"/>
  <c r="O210" i="17"/>
  <c r="A210" i="17"/>
  <c r="O209" i="17"/>
  <c r="A209" i="17"/>
  <c r="O208" i="17"/>
  <c r="A208" i="17"/>
  <c r="O207" i="17"/>
  <c r="A207" i="17"/>
  <c r="O206" i="17"/>
  <c r="A206" i="17"/>
  <c r="O205" i="17"/>
  <c r="A205" i="17"/>
  <c r="O204" i="17"/>
  <c r="A204" i="17"/>
  <c r="O203" i="17"/>
  <c r="A203" i="17"/>
  <c r="O202" i="17"/>
  <c r="A202" i="17"/>
  <c r="O201" i="17"/>
  <c r="A201" i="17"/>
  <c r="O200" i="17"/>
  <c r="A200" i="17"/>
  <c r="O199" i="17"/>
  <c r="A199" i="17"/>
  <c r="O198" i="17"/>
  <c r="A198" i="17"/>
  <c r="O197" i="17"/>
  <c r="A197" i="17"/>
  <c r="O196" i="17"/>
  <c r="A196" i="17"/>
  <c r="O195" i="17"/>
  <c r="A195" i="17"/>
  <c r="O194" i="17"/>
  <c r="A194" i="17"/>
  <c r="O193" i="17"/>
  <c r="A193" i="17"/>
  <c r="O192" i="17"/>
  <c r="A192" i="17"/>
  <c r="O191" i="17"/>
  <c r="A191" i="17"/>
  <c r="O190" i="17"/>
  <c r="A190" i="17"/>
  <c r="O189" i="17"/>
  <c r="A189" i="17"/>
  <c r="O188" i="17"/>
  <c r="A188" i="17"/>
  <c r="O187" i="17"/>
  <c r="A187" i="17"/>
  <c r="O186" i="17"/>
  <c r="A186" i="17"/>
  <c r="O185" i="17"/>
  <c r="A185" i="17"/>
  <c r="O184" i="17"/>
  <c r="A184" i="17"/>
  <c r="O183" i="17"/>
  <c r="A183" i="17"/>
  <c r="O182" i="17"/>
  <c r="A182" i="17"/>
  <c r="O181" i="17"/>
  <c r="A181" i="17"/>
  <c r="O180" i="17"/>
  <c r="A180" i="17"/>
  <c r="O179" i="17"/>
  <c r="A179" i="17"/>
  <c r="O178" i="17"/>
  <c r="A178" i="17"/>
  <c r="O177" i="17"/>
  <c r="A177" i="17"/>
  <c r="O176" i="17"/>
  <c r="A176" i="17"/>
  <c r="O175" i="17"/>
  <c r="A175" i="17"/>
  <c r="O174" i="17"/>
  <c r="A174" i="17"/>
  <c r="O173" i="17"/>
  <c r="A173" i="17"/>
  <c r="O172" i="17"/>
  <c r="A172" i="17"/>
  <c r="O171" i="17"/>
  <c r="A171" i="17"/>
  <c r="O170" i="17"/>
  <c r="A170" i="17"/>
  <c r="O169" i="17"/>
  <c r="A169" i="17"/>
  <c r="O168" i="17"/>
  <c r="A168" i="17"/>
  <c r="O167" i="17"/>
  <c r="A167" i="17"/>
  <c r="O166" i="17"/>
  <c r="A166" i="17"/>
  <c r="O165" i="17"/>
  <c r="A165" i="17"/>
  <c r="O164" i="17"/>
  <c r="A164" i="17"/>
  <c r="GI163" i="17"/>
  <c r="H124" i="27" s="1"/>
  <c r="GH163" i="17"/>
  <c r="H123" i="27" s="1"/>
  <c r="GG163" i="17"/>
  <c r="H122" i="27" s="1"/>
  <c r="GF163" i="17"/>
  <c r="H121" i="27" s="1"/>
  <c r="GE163" i="17"/>
  <c r="H120" i="27" s="1"/>
  <c r="GD163" i="17"/>
  <c r="H119" i="27" s="1"/>
  <c r="GC163" i="17"/>
  <c r="H118" i="27" s="1"/>
  <c r="GB163" i="17"/>
  <c r="H117" i="27" s="1"/>
  <c r="GA163" i="17"/>
  <c r="H116" i="27" s="1"/>
  <c r="FZ163" i="17"/>
  <c r="H115" i="27" s="1"/>
  <c r="FV163" i="17"/>
  <c r="FU163" i="17"/>
  <c r="FT163" i="17"/>
  <c r="FS163" i="17"/>
  <c r="FR163" i="17"/>
  <c r="FQ163" i="17"/>
  <c r="FP163" i="17"/>
  <c r="FO163" i="17"/>
  <c r="FN163" i="17"/>
  <c r="FK163" i="17"/>
  <c r="H63" i="27" s="1"/>
  <c r="FJ163" i="17"/>
  <c r="O163" i="17"/>
  <c r="A163" i="17"/>
  <c r="EK240" i="2" l="1"/>
  <c r="C70" i="31"/>
  <c r="C72" i="31"/>
  <c r="AL19" i="3"/>
  <c r="C71" i="31"/>
  <c r="H125" i="27"/>
  <c r="JD283" i="2"/>
  <c r="JD284" i="2" s="1"/>
  <c r="DD275" i="2"/>
  <c r="DC275" i="2" s="1"/>
  <c r="J31" i="6" s="1"/>
  <c r="DE274" i="2"/>
  <c r="BE18" i="3"/>
  <c r="D23" i="31"/>
  <c r="AK19" i="3"/>
  <c r="DD253" i="2"/>
  <c r="DC253" i="2" s="1"/>
  <c r="DE252" i="2"/>
  <c r="HB279" i="2"/>
  <c r="HA279" i="2" s="1"/>
  <c r="GZ279" i="2" s="1"/>
  <c r="GY279" i="2" s="1"/>
  <c r="GX279" i="2" s="1"/>
  <c r="GW279" i="2" s="1"/>
  <c r="GV279" i="2" s="1"/>
  <c r="GU279" i="2" s="1"/>
  <c r="GT279" i="2" s="1"/>
  <c r="GS279" i="2" s="1"/>
  <c r="GR279" i="2" s="1"/>
  <c r="AG33" i="6" s="1"/>
  <c r="AH36" i="6"/>
  <c r="EJ238" i="2"/>
  <c r="AJ19" i="3"/>
  <c r="B23" i="31"/>
  <c r="BE16" i="3"/>
  <c r="EF255" i="2"/>
  <c r="AF20" i="3"/>
  <c r="EJ239" i="2"/>
  <c r="H62" i="27"/>
  <c r="H65" i="27" s="1"/>
  <c r="KM284" i="2"/>
  <c r="KT285" i="2"/>
  <c r="EJ240" i="2"/>
  <c r="I36" i="27"/>
  <c r="I37" i="27"/>
  <c r="O162" i="17"/>
  <c r="A162" i="17"/>
  <c r="O161" i="17"/>
  <c r="A161" i="17"/>
  <c r="O160" i="17"/>
  <c r="A160" i="17"/>
  <c r="O159" i="17"/>
  <c r="A159" i="17"/>
  <c r="O158" i="17"/>
  <c r="A158" i="17"/>
  <c r="O157" i="17"/>
  <c r="A157" i="17"/>
  <c r="O156" i="17"/>
  <c r="A156" i="17"/>
  <c r="O155" i="17"/>
  <c r="A155" i="17"/>
  <c r="O154" i="17"/>
  <c r="A154" i="17"/>
  <c r="CF153" i="17"/>
  <c r="O153" i="17"/>
  <c r="A153" i="17"/>
  <c r="ME152" i="17"/>
  <c r="MD152" i="17"/>
  <c r="MC152" i="17"/>
  <c r="MB152" i="17"/>
  <c r="MA152" i="17"/>
  <c r="AE20" i="3" l="1"/>
  <c r="D64" i="31"/>
  <c r="C69" i="31"/>
  <c r="KM285" i="2"/>
  <c r="KK285" i="2" s="1"/>
  <c r="AV38" i="6" s="1"/>
  <c r="KT286" i="2"/>
  <c r="GQ279" i="2"/>
  <c r="AG36" i="6"/>
  <c r="DD252" i="2"/>
  <c r="DE251" i="2"/>
  <c r="EI238" i="2"/>
  <c r="AI19" i="3"/>
  <c r="J9" i="6"/>
  <c r="K45" i="18"/>
  <c r="DC252" i="2"/>
  <c r="J8" i="6" s="1"/>
  <c r="DD274" i="2"/>
  <c r="DC274" i="2" s="1"/>
  <c r="DE273" i="2"/>
  <c r="I38" i="27"/>
  <c r="IU152" i="17"/>
  <c r="GZ61" i="17" s="1"/>
  <c r="IT152" i="17"/>
  <c r="GZ60" i="17" s="1"/>
  <c r="IS152" i="17"/>
  <c r="GZ59" i="17" s="1"/>
  <c r="IR152" i="17"/>
  <c r="GZ58" i="17" s="1"/>
  <c r="IQ152" i="17"/>
  <c r="IP152" i="17"/>
  <c r="IO152" i="17"/>
  <c r="GZ55" i="17" s="1"/>
  <c r="IN152" i="17"/>
  <c r="GZ54" i="17" s="1"/>
  <c r="IM152" i="17"/>
  <c r="GZ53" i="17" s="1"/>
  <c r="IL152" i="17"/>
  <c r="GZ52" i="17" s="1"/>
  <c r="IK152" i="17"/>
  <c r="GZ51" i="17" s="1"/>
  <c r="IJ152" i="17"/>
  <c r="II152" i="17"/>
  <c r="IH152" i="17"/>
  <c r="IG152" i="17"/>
  <c r="IF152" i="17"/>
  <c r="IE152" i="17"/>
  <c r="ID152" i="17"/>
  <c r="IC152" i="17"/>
  <c r="IB152" i="17"/>
  <c r="IA152" i="17"/>
  <c r="HZ152" i="17"/>
  <c r="HY152" i="17"/>
  <c r="HX152" i="17"/>
  <c r="HW152" i="17"/>
  <c r="HV152" i="17"/>
  <c r="HU152" i="17"/>
  <c r="HT152" i="17"/>
  <c r="HS152" i="17"/>
  <c r="HR152" i="17"/>
  <c r="HQ152" i="17"/>
  <c r="HP152" i="17"/>
  <c r="HO152" i="17"/>
  <c r="HN152" i="17"/>
  <c r="HM152" i="17"/>
  <c r="HL152" i="17"/>
  <c r="HK152" i="17"/>
  <c r="HJ152" i="17"/>
  <c r="HI152" i="17"/>
  <c r="HH152" i="17"/>
  <c r="HG152" i="17"/>
  <c r="HF152" i="17"/>
  <c r="HE152" i="17"/>
  <c r="HD152" i="17"/>
  <c r="HC152" i="17"/>
  <c r="HB152" i="17"/>
  <c r="HA152" i="17"/>
  <c r="GZ152" i="17"/>
  <c r="GY152" i="17"/>
  <c r="GX152" i="17"/>
  <c r="GW152" i="17"/>
  <c r="GV152" i="17"/>
  <c r="GU152" i="17"/>
  <c r="CF152" i="17"/>
  <c r="O152" i="17"/>
  <c r="A152" i="17"/>
  <c r="ME151" i="17"/>
  <c r="MD151" i="17"/>
  <c r="MC151" i="17"/>
  <c r="MB151" i="17"/>
  <c r="MA151" i="17"/>
  <c r="IU151" i="17"/>
  <c r="GY61" i="17" s="1"/>
  <c r="IT151" i="17"/>
  <c r="GY60" i="17" s="1"/>
  <c r="IS151" i="17"/>
  <c r="IR151" i="17"/>
  <c r="GY58" i="17" s="1"/>
  <c r="IQ151" i="17"/>
  <c r="GY57" i="17" s="1"/>
  <c r="IP151" i="17"/>
  <c r="GY56" i="17" s="1"/>
  <c r="IO151" i="17"/>
  <c r="IN151" i="17"/>
  <c r="IM151" i="17"/>
  <c r="IL151" i="17"/>
  <c r="GY52" i="17" s="1"/>
  <c r="IK151" i="17"/>
  <c r="IJ151" i="17"/>
  <c r="II151" i="17"/>
  <c r="IH151" i="17"/>
  <c r="IG151" i="17"/>
  <c r="IF151" i="17"/>
  <c r="IE151" i="17"/>
  <c r="ID151" i="17"/>
  <c r="IC151" i="17"/>
  <c r="IB151" i="17"/>
  <c r="IA151" i="17"/>
  <c r="HZ151" i="17"/>
  <c r="HY151" i="17"/>
  <c r="HX151" i="17"/>
  <c r="HW151" i="17"/>
  <c r="HV151" i="17"/>
  <c r="HU151" i="17"/>
  <c r="HT151" i="17"/>
  <c r="HS151" i="17"/>
  <c r="HR151" i="17"/>
  <c r="HQ151" i="17"/>
  <c r="HP151" i="17"/>
  <c r="HO151" i="17"/>
  <c r="HN151" i="17"/>
  <c r="HM151" i="17"/>
  <c r="HL151" i="17"/>
  <c r="HK151" i="17"/>
  <c r="HJ151" i="17"/>
  <c r="HI151" i="17"/>
  <c r="HH151" i="17"/>
  <c r="HG151" i="17"/>
  <c r="HF151" i="17"/>
  <c r="HE151" i="17"/>
  <c r="HD151" i="17"/>
  <c r="HC151" i="17"/>
  <c r="HB151" i="17"/>
  <c r="HA151" i="17"/>
  <c r="GZ151" i="17"/>
  <c r="GY151" i="17"/>
  <c r="GX151" i="17"/>
  <c r="GW151" i="17"/>
  <c r="GV151" i="17"/>
  <c r="GU151" i="17"/>
  <c r="O151" i="17"/>
  <c r="A151" i="17"/>
  <c r="ME150" i="17"/>
  <c r="MD150" i="17"/>
  <c r="MC150" i="17"/>
  <c r="MB150" i="17"/>
  <c r="MA150" i="17"/>
  <c r="LZ150" i="17"/>
  <c r="LY150" i="17"/>
  <c r="LX150" i="17"/>
  <c r="LW150" i="17"/>
  <c r="LV150" i="17"/>
  <c r="LU150" i="17"/>
  <c r="LT150" i="17"/>
  <c r="LS150" i="17"/>
  <c r="LR150" i="17"/>
  <c r="LQ150" i="17"/>
  <c r="LP150" i="17"/>
  <c r="LO150" i="17"/>
  <c r="LN150" i="17"/>
  <c r="LM150" i="17"/>
  <c r="LL150" i="17"/>
  <c r="LK150" i="17"/>
  <c r="LJ150" i="17"/>
  <c r="LI150" i="17"/>
  <c r="LH150" i="17"/>
  <c r="LG150" i="17"/>
  <c r="LF150" i="17"/>
  <c r="LE150" i="17"/>
  <c r="LD150" i="17"/>
  <c r="LC150" i="17"/>
  <c r="LB150" i="17"/>
  <c r="LA150" i="17"/>
  <c r="KZ150" i="17"/>
  <c r="KV150" i="17"/>
  <c r="KU150" i="17"/>
  <c r="KT150" i="17"/>
  <c r="KS150" i="17"/>
  <c r="KR150" i="17"/>
  <c r="KQ150" i="17"/>
  <c r="KP150" i="17"/>
  <c r="KO150" i="17"/>
  <c r="KN150" i="17"/>
  <c r="KM150" i="17"/>
  <c r="KL150" i="17"/>
  <c r="KK150" i="17"/>
  <c r="KJ150" i="17"/>
  <c r="KI150" i="17"/>
  <c r="KH150" i="17"/>
  <c r="KG150" i="17"/>
  <c r="KF150" i="17"/>
  <c r="KE150" i="17"/>
  <c r="KD150" i="17"/>
  <c r="KC150" i="17"/>
  <c r="KB150" i="17"/>
  <c r="KA150" i="17"/>
  <c r="JZ150" i="17"/>
  <c r="JY150" i="17"/>
  <c r="JX150" i="17"/>
  <c r="JW150" i="17"/>
  <c r="O150" i="17"/>
  <c r="A150" i="17"/>
  <c r="ME149" i="17"/>
  <c r="MD149" i="17"/>
  <c r="MC149" i="17"/>
  <c r="MB149" i="17"/>
  <c r="MA149" i="17"/>
  <c r="LZ149" i="17"/>
  <c r="LY149" i="17"/>
  <c r="LX149" i="17"/>
  <c r="LW149" i="17"/>
  <c r="LV149" i="17"/>
  <c r="LU149" i="17"/>
  <c r="LT149" i="17"/>
  <c r="LS149" i="17"/>
  <c r="LR149" i="17"/>
  <c r="LQ149" i="17"/>
  <c r="LP149" i="17"/>
  <c r="LO149" i="17"/>
  <c r="LN149" i="17"/>
  <c r="LM149" i="17"/>
  <c r="LL149" i="17"/>
  <c r="LK149" i="17"/>
  <c r="LJ149" i="17"/>
  <c r="LI149" i="17"/>
  <c r="LH149" i="17"/>
  <c r="LG149" i="17"/>
  <c r="LF149" i="17"/>
  <c r="LE149" i="17"/>
  <c r="LD149" i="17"/>
  <c r="LC149" i="17"/>
  <c r="LB149" i="17"/>
  <c r="LA149" i="17"/>
  <c r="KZ149" i="17"/>
  <c r="KV149" i="17"/>
  <c r="KU149" i="17"/>
  <c r="KT149" i="17"/>
  <c r="KS149" i="17"/>
  <c r="KR149" i="17"/>
  <c r="KQ149" i="17"/>
  <c r="KP149" i="17"/>
  <c r="KO149" i="17"/>
  <c r="KN149" i="17"/>
  <c r="KM149" i="17"/>
  <c r="KL149" i="17"/>
  <c r="KK149" i="17"/>
  <c r="KJ149" i="17"/>
  <c r="KI149" i="17"/>
  <c r="KH149" i="17"/>
  <c r="KG149" i="17"/>
  <c r="KF149" i="17"/>
  <c r="KE149" i="17"/>
  <c r="KD149" i="17"/>
  <c r="KC149" i="17"/>
  <c r="KB149" i="17"/>
  <c r="KA149" i="17"/>
  <c r="JZ149" i="17"/>
  <c r="JY149" i="17"/>
  <c r="JX149" i="17"/>
  <c r="JW149" i="17"/>
  <c r="O149" i="17"/>
  <c r="A149" i="17"/>
  <c r="ME148" i="17"/>
  <c r="MD148" i="17"/>
  <c r="MC148" i="17"/>
  <c r="MB148" i="17"/>
  <c r="MA148" i="17"/>
  <c r="LZ148" i="17"/>
  <c r="LY148" i="17"/>
  <c r="LX148" i="17"/>
  <c r="LW148" i="17"/>
  <c r="LV148" i="17"/>
  <c r="LU148" i="17"/>
  <c r="LT148" i="17"/>
  <c r="LS148" i="17"/>
  <c r="LR148" i="17"/>
  <c r="LQ148" i="17"/>
  <c r="LP148" i="17"/>
  <c r="LO148" i="17"/>
  <c r="LN148" i="17"/>
  <c r="LM148" i="17"/>
  <c r="LL148" i="17"/>
  <c r="LK148" i="17"/>
  <c r="LJ148" i="17"/>
  <c r="LI148" i="17"/>
  <c r="LH148" i="17"/>
  <c r="LG148" i="17"/>
  <c r="LF148" i="17"/>
  <c r="LE148" i="17"/>
  <c r="LD148" i="17"/>
  <c r="LC148" i="17"/>
  <c r="LB148" i="17"/>
  <c r="LA148" i="17"/>
  <c r="KZ148" i="17"/>
  <c r="KV148" i="17"/>
  <c r="KU148" i="17"/>
  <c r="KT148" i="17"/>
  <c r="KS148" i="17"/>
  <c r="KR148" i="17"/>
  <c r="KQ148" i="17"/>
  <c r="KP148" i="17"/>
  <c r="KO148" i="17"/>
  <c r="KN148" i="17"/>
  <c r="KM148" i="17"/>
  <c r="KL148" i="17"/>
  <c r="KK148" i="17"/>
  <c r="KJ148" i="17"/>
  <c r="KI148" i="17"/>
  <c r="KH148" i="17"/>
  <c r="KG148" i="17"/>
  <c r="KF148" i="17"/>
  <c r="KE148" i="17"/>
  <c r="KD148" i="17"/>
  <c r="KC148" i="17"/>
  <c r="KB148" i="17"/>
  <c r="KA148" i="17"/>
  <c r="JZ148" i="17"/>
  <c r="JY148" i="17"/>
  <c r="JX148" i="17"/>
  <c r="JW148" i="17"/>
  <c r="O148" i="17"/>
  <c r="A148" i="17"/>
  <c r="ME147" i="17"/>
  <c r="MD147" i="17"/>
  <c r="MC147" i="17"/>
  <c r="MB147" i="17"/>
  <c r="MA147" i="17"/>
  <c r="LZ147" i="17"/>
  <c r="LY147" i="17"/>
  <c r="LX147" i="17"/>
  <c r="LW147" i="17"/>
  <c r="LV147" i="17"/>
  <c r="LU147" i="17"/>
  <c r="LT147" i="17"/>
  <c r="LS147" i="17"/>
  <c r="LR147" i="17"/>
  <c r="LQ147" i="17"/>
  <c r="LP147" i="17"/>
  <c r="LO147" i="17"/>
  <c r="LN147" i="17"/>
  <c r="LM147" i="17"/>
  <c r="LL147" i="17"/>
  <c r="LK147" i="17"/>
  <c r="LJ147" i="17"/>
  <c r="LI147" i="17"/>
  <c r="LH147" i="17"/>
  <c r="LG147" i="17"/>
  <c r="LF147" i="17"/>
  <c r="LE147" i="17"/>
  <c r="LD147" i="17"/>
  <c r="LC147" i="17"/>
  <c r="LB147" i="17"/>
  <c r="LA147" i="17"/>
  <c r="KZ147" i="17"/>
  <c r="KV147" i="17"/>
  <c r="KU147" i="17"/>
  <c r="KT147" i="17"/>
  <c r="KS147" i="17"/>
  <c r="KR147" i="17"/>
  <c r="KQ147" i="17"/>
  <c r="KP147" i="17"/>
  <c r="KO147" i="17"/>
  <c r="KN147" i="17"/>
  <c r="KM147" i="17"/>
  <c r="KL147" i="17"/>
  <c r="KK147" i="17"/>
  <c r="KJ147" i="17"/>
  <c r="KI147" i="17"/>
  <c r="KH147" i="17"/>
  <c r="KG147" i="17"/>
  <c r="KF147" i="17"/>
  <c r="KE147" i="17"/>
  <c r="KD147" i="17"/>
  <c r="KC147" i="17"/>
  <c r="KB147" i="17"/>
  <c r="KA147" i="17"/>
  <c r="JZ147" i="17"/>
  <c r="JY147" i="17"/>
  <c r="JX147" i="17"/>
  <c r="JW147" i="17"/>
  <c r="O147" i="17"/>
  <c r="A147" i="17"/>
  <c r="ME146" i="17"/>
  <c r="MD146" i="17"/>
  <c r="MC146" i="17"/>
  <c r="MB146" i="17"/>
  <c r="MA146" i="17"/>
  <c r="LZ146" i="17"/>
  <c r="LY146" i="17"/>
  <c r="LX146" i="17"/>
  <c r="LW146" i="17"/>
  <c r="LV146" i="17"/>
  <c r="LU146" i="17"/>
  <c r="LT146" i="17"/>
  <c r="LS146" i="17"/>
  <c r="LR146" i="17"/>
  <c r="LQ146" i="17"/>
  <c r="LP146" i="17"/>
  <c r="LO146" i="17"/>
  <c r="LN146" i="17"/>
  <c r="LM146" i="17"/>
  <c r="LL146" i="17"/>
  <c r="LK146" i="17"/>
  <c r="LJ146" i="17"/>
  <c r="LI146" i="17"/>
  <c r="LH146" i="17"/>
  <c r="LG146" i="17"/>
  <c r="LF146" i="17"/>
  <c r="LE146" i="17"/>
  <c r="LD146" i="17"/>
  <c r="LC146" i="17"/>
  <c r="LB146" i="17"/>
  <c r="LA146" i="17"/>
  <c r="KZ146" i="17"/>
  <c r="KV146" i="17"/>
  <c r="KU146" i="17"/>
  <c r="KT146" i="17"/>
  <c r="KS146" i="17"/>
  <c r="KR146" i="17"/>
  <c r="KQ146" i="17"/>
  <c r="KP146" i="17"/>
  <c r="KO146" i="17"/>
  <c r="KN146" i="17"/>
  <c r="KM146" i="17"/>
  <c r="KL146" i="17"/>
  <c r="KK146" i="17"/>
  <c r="KJ146" i="17"/>
  <c r="KI146" i="17"/>
  <c r="KH146" i="17"/>
  <c r="KG146" i="17"/>
  <c r="KF146" i="17"/>
  <c r="KE146" i="17"/>
  <c r="KD146" i="17"/>
  <c r="KC146" i="17"/>
  <c r="KB146" i="17"/>
  <c r="KA146" i="17"/>
  <c r="JZ146" i="17"/>
  <c r="JY146" i="17"/>
  <c r="JX146" i="17"/>
  <c r="JW146" i="17"/>
  <c r="O146" i="17"/>
  <c r="A146" i="17"/>
  <c r="ME145" i="17"/>
  <c r="MD145" i="17"/>
  <c r="MC145" i="17"/>
  <c r="MB145" i="17"/>
  <c r="MA145" i="17"/>
  <c r="LZ145" i="17"/>
  <c r="LY145" i="17"/>
  <c r="LX145" i="17"/>
  <c r="LW145" i="17"/>
  <c r="LV145" i="17"/>
  <c r="LU145" i="17"/>
  <c r="LT145" i="17"/>
  <c r="LS145" i="17"/>
  <c r="LR145" i="17"/>
  <c r="LQ145" i="17"/>
  <c r="LP145" i="17"/>
  <c r="LO145" i="17"/>
  <c r="LN145" i="17"/>
  <c r="LM145" i="17"/>
  <c r="LL145" i="17"/>
  <c r="LK145" i="17"/>
  <c r="LJ145" i="17"/>
  <c r="LI145" i="17"/>
  <c r="LH145" i="17"/>
  <c r="LG145" i="17"/>
  <c r="LF145" i="17"/>
  <c r="LE145" i="17"/>
  <c r="LD145" i="17"/>
  <c r="LC145" i="17"/>
  <c r="LB145" i="17"/>
  <c r="LA145" i="17"/>
  <c r="KZ145" i="17"/>
  <c r="KV145" i="17"/>
  <c r="KU145" i="17"/>
  <c r="KT145" i="17"/>
  <c r="KS145" i="17"/>
  <c r="KR145" i="17"/>
  <c r="KQ145" i="17"/>
  <c r="KP145" i="17"/>
  <c r="KO145" i="17"/>
  <c r="KN145" i="17"/>
  <c r="KM145" i="17"/>
  <c r="KL145" i="17"/>
  <c r="KK145" i="17"/>
  <c r="KJ145" i="17"/>
  <c r="KI145" i="17"/>
  <c r="KH145" i="17"/>
  <c r="KG145" i="17"/>
  <c r="KF145" i="17"/>
  <c r="KE145" i="17"/>
  <c r="KD145" i="17"/>
  <c r="KC145" i="17"/>
  <c r="KB145" i="17"/>
  <c r="KA145" i="17"/>
  <c r="JZ145" i="17"/>
  <c r="JY145" i="17"/>
  <c r="JX145" i="17"/>
  <c r="JW145" i="17"/>
  <c r="O145" i="17"/>
  <c r="A145" i="17"/>
  <c r="ME144" i="17"/>
  <c r="MD144" i="17"/>
  <c r="MC144" i="17"/>
  <c r="MB144" i="17"/>
  <c r="MA144" i="17"/>
  <c r="LZ144" i="17"/>
  <c r="LY144" i="17"/>
  <c r="LX144" i="17"/>
  <c r="LW144" i="17"/>
  <c r="LV144" i="17"/>
  <c r="LU144" i="17"/>
  <c r="LT144" i="17"/>
  <c r="LS144" i="17"/>
  <c r="LR144" i="17"/>
  <c r="LQ144" i="17"/>
  <c r="LP144" i="17"/>
  <c r="LO144" i="17"/>
  <c r="LN144" i="17"/>
  <c r="LM144" i="17"/>
  <c r="LL144" i="17"/>
  <c r="LK144" i="17"/>
  <c r="LJ144" i="17"/>
  <c r="LI144" i="17"/>
  <c r="LH144" i="17"/>
  <c r="LG144" i="17"/>
  <c r="LF144" i="17"/>
  <c r="LE144" i="17"/>
  <c r="LD144" i="17"/>
  <c r="LC144" i="17"/>
  <c r="LB144" i="17"/>
  <c r="LA144" i="17"/>
  <c r="KZ144" i="17"/>
  <c r="KV144" i="17"/>
  <c r="KU144" i="17"/>
  <c r="KT144" i="17"/>
  <c r="KS144" i="17"/>
  <c r="KR144" i="17"/>
  <c r="KQ144" i="17"/>
  <c r="KP144" i="17"/>
  <c r="KO144" i="17"/>
  <c r="KN144" i="17"/>
  <c r="KM144" i="17"/>
  <c r="KL144" i="17"/>
  <c r="KK144" i="17"/>
  <c r="KJ144" i="17"/>
  <c r="KI144" i="17"/>
  <c r="KH144" i="17"/>
  <c r="KG144" i="17"/>
  <c r="KF144" i="17"/>
  <c r="KE144" i="17"/>
  <c r="KD144" i="17"/>
  <c r="KC144" i="17"/>
  <c r="KB144" i="17"/>
  <c r="KA144" i="17"/>
  <c r="JZ144" i="17"/>
  <c r="JY144" i="17"/>
  <c r="JX144" i="17"/>
  <c r="JW144" i="17"/>
  <c r="O144" i="17"/>
  <c r="A144" i="17"/>
  <c r="ME143" i="17"/>
  <c r="MD143" i="17"/>
  <c r="MC143" i="17"/>
  <c r="MB143" i="17"/>
  <c r="MA143" i="17"/>
  <c r="LZ143" i="17"/>
  <c r="LY143" i="17"/>
  <c r="LX143" i="17"/>
  <c r="LW143" i="17"/>
  <c r="LV143" i="17"/>
  <c r="LU143" i="17"/>
  <c r="LT143" i="17"/>
  <c r="LS143" i="17"/>
  <c r="LR143" i="17"/>
  <c r="LQ143" i="17"/>
  <c r="LP143" i="17"/>
  <c r="LO143" i="17"/>
  <c r="LN143" i="17"/>
  <c r="LM143" i="17"/>
  <c r="LL143" i="17"/>
  <c r="LK143" i="17"/>
  <c r="LJ143" i="17"/>
  <c r="LI143" i="17"/>
  <c r="LH143" i="17"/>
  <c r="LG143" i="17"/>
  <c r="LF143" i="17"/>
  <c r="LE143" i="17"/>
  <c r="LD143" i="17"/>
  <c r="LC143" i="17"/>
  <c r="LB143" i="17"/>
  <c r="LA143" i="17"/>
  <c r="KZ143" i="17"/>
  <c r="KV143" i="17"/>
  <c r="KU143" i="17"/>
  <c r="KT143" i="17"/>
  <c r="KS143" i="17"/>
  <c r="KR143" i="17"/>
  <c r="KQ143" i="17"/>
  <c r="KP143" i="17"/>
  <c r="KO143" i="17"/>
  <c r="KN143" i="17"/>
  <c r="KM143" i="17"/>
  <c r="KL143" i="17"/>
  <c r="KK143" i="17"/>
  <c r="KJ143" i="17"/>
  <c r="KI143" i="17"/>
  <c r="KH143" i="17"/>
  <c r="KG143" i="17"/>
  <c r="KF143" i="17"/>
  <c r="KE143" i="17"/>
  <c r="KD143" i="17"/>
  <c r="KC143" i="17"/>
  <c r="KB143" i="17"/>
  <c r="KA143" i="17"/>
  <c r="JZ143" i="17"/>
  <c r="JY143" i="17"/>
  <c r="JX143" i="17"/>
  <c r="JW143" i="17"/>
  <c r="O143" i="17"/>
  <c r="A143" i="17"/>
  <c r="ME142" i="17"/>
  <c r="MD142" i="17"/>
  <c r="MC142" i="17"/>
  <c r="MB142" i="17"/>
  <c r="MA142" i="17"/>
  <c r="LZ142" i="17"/>
  <c r="LY142" i="17"/>
  <c r="LX142" i="17"/>
  <c r="LW142" i="17"/>
  <c r="LV142" i="17"/>
  <c r="LU142" i="17"/>
  <c r="LT142" i="17"/>
  <c r="LS142" i="17"/>
  <c r="LR142" i="17"/>
  <c r="LQ142" i="17"/>
  <c r="LP142" i="17"/>
  <c r="LO142" i="17"/>
  <c r="LN142" i="17"/>
  <c r="LM142" i="17"/>
  <c r="LL142" i="17"/>
  <c r="LK142" i="17"/>
  <c r="LJ142" i="17"/>
  <c r="LI142" i="17"/>
  <c r="LH142" i="17"/>
  <c r="LG142" i="17"/>
  <c r="LF142" i="17"/>
  <c r="LE142" i="17"/>
  <c r="LD142" i="17"/>
  <c r="LC142" i="17"/>
  <c r="LB142" i="17"/>
  <c r="LA142" i="17"/>
  <c r="KZ142" i="17"/>
  <c r="KV142" i="17"/>
  <c r="KU142" i="17"/>
  <c r="KT142" i="17"/>
  <c r="KS142" i="17"/>
  <c r="KR142" i="17"/>
  <c r="KQ142" i="17"/>
  <c r="KP142" i="17"/>
  <c r="KO142" i="17"/>
  <c r="KN142" i="17"/>
  <c r="KM142" i="17"/>
  <c r="KL142" i="17"/>
  <c r="KK142" i="17"/>
  <c r="KJ142" i="17"/>
  <c r="KI142" i="17"/>
  <c r="KH142" i="17"/>
  <c r="KG142" i="17"/>
  <c r="KF142" i="17"/>
  <c r="KE142" i="17"/>
  <c r="KD142" i="17"/>
  <c r="KC142" i="17"/>
  <c r="KB142" i="17"/>
  <c r="KA142" i="17"/>
  <c r="JZ142" i="17"/>
  <c r="JY142" i="17"/>
  <c r="JX142" i="17"/>
  <c r="JW142" i="17"/>
  <c r="DB142" i="17"/>
  <c r="DB143" i="17" s="1"/>
  <c r="DA142" i="17"/>
  <c r="DA143" i="17" s="1"/>
  <c r="CZ142" i="17"/>
  <c r="CZ143" i="17" s="1"/>
  <c r="CY142" i="17"/>
  <c r="CY143" i="17" s="1"/>
  <c r="CX142" i="17"/>
  <c r="CX143" i="17" s="1"/>
  <c r="CW142" i="17"/>
  <c r="CW143" i="17" s="1"/>
  <c r="CV142" i="17"/>
  <c r="CV143" i="17" s="1"/>
  <c r="CU142" i="17"/>
  <c r="CU143" i="17" s="1"/>
  <c r="CS142" i="17"/>
  <c r="CR142" i="17"/>
  <c r="CQ142" i="17"/>
  <c r="CP142" i="17"/>
  <c r="CO142" i="17"/>
  <c r="CN142" i="17"/>
  <c r="CM142" i="17"/>
  <c r="CL142" i="17"/>
  <c r="CK142" i="17"/>
  <c r="CJ142" i="17"/>
  <c r="CI142" i="17"/>
  <c r="CH142" i="17"/>
  <c r="O142" i="17"/>
  <c r="A142" i="17"/>
  <c r="ME141" i="17"/>
  <c r="MD141" i="17"/>
  <c r="MC141" i="17"/>
  <c r="MB141" i="17"/>
  <c r="MA141" i="17"/>
  <c r="LZ141" i="17"/>
  <c r="LY141" i="17"/>
  <c r="LX141" i="17"/>
  <c r="LW141" i="17"/>
  <c r="LV141" i="17"/>
  <c r="LU141" i="17"/>
  <c r="LT141" i="17"/>
  <c r="LS141" i="17"/>
  <c r="LR141" i="17"/>
  <c r="LQ141" i="17"/>
  <c r="LP141" i="17"/>
  <c r="LO141" i="17"/>
  <c r="LN141" i="17"/>
  <c r="LM141" i="17"/>
  <c r="LL141" i="17"/>
  <c r="LK141" i="17"/>
  <c r="LJ141" i="17"/>
  <c r="LI141" i="17"/>
  <c r="LH141" i="17"/>
  <c r="LG141" i="17"/>
  <c r="LF141" i="17"/>
  <c r="LE141" i="17"/>
  <c r="LD141" i="17"/>
  <c r="LC141" i="17"/>
  <c r="LB141" i="17"/>
  <c r="LA141" i="17"/>
  <c r="KZ141" i="17"/>
  <c r="KV141" i="17"/>
  <c r="KU141" i="17"/>
  <c r="KT141" i="17"/>
  <c r="KS141" i="17"/>
  <c r="KR141" i="17"/>
  <c r="KQ141" i="17"/>
  <c r="KP141" i="17"/>
  <c r="KO141" i="17"/>
  <c r="KN141" i="17"/>
  <c r="KM141" i="17"/>
  <c r="KL141" i="17"/>
  <c r="KK141" i="17"/>
  <c r="KJ141" i="17"/>
  <c r="KI141" i="17"/>
  <c r="KH141" i="17"/>
  <c r="KG141" i="17"/>
  <c r="KF141" i="17"/>
  <c r="KE141" i="17"/>
  <c r="KD141" i="17"/>
  <c r="KC141" i="17"/>
  <c r="KB141" i="17"/>
  <c r="KA141" i="17"/>
  <c r="JZ141" i="17"/>
  <c r="JY141" i="17"/>
  <c r="JX141" i="17"/>
  <c r="JW141" i="17"/>
  <c r="O141" i="17"/>
  <c r="A141" i="17"/>
  <c r="ME140" i="17"/>
  <c r="MD140" i="17"/>
  <c r="MC140" i="17"/>
  <c r="MB140" i="17"/>
  <c r="MA140" i="17"/>
  <c r="LZ140" i="17"/>
  <c r="LY140" i="17"/>
  <c r="LX140" i="17"/>
  <c r="LW140" i="17"/>
  <c r="LV140" i="17"/>
  <c r="LU140" i="17"/>
  <c r="LT140" i="17"/>
  <c r="LS140" i="17"/>
  <c r="LR140" i="17"/>
  <c r="LQ140" i="17"/>
  <c r="LP140" i="17"/>
  <c r="LO140" i="17"/>
  <c r="LN140" i="17"/>
  <c r="LM140" i="17"/>
  <c r="LL140" i="17"/>
  <c r="LK140" i="17"/>
  <c r="LJ140" i="17"/>
  <c r="LI140" i="17"/>
  <c r="LH140" i="17"/>
  <c r="LG140" i="17"/>
  <c r="LF140" i="17"/>
  <c r="LE140" i="17"/>
  <c r="LD140" i="17"/>
  <c r="LC140" i="17"/>
  <c r="LB140" i="17"/>
  <c r="LA140" i="17"/>
  <c r="KZ140" i="17"/>
  <c r="KV140" i="17"/>
  <c r="KU140" i="17"/>
  <c r="KT140" i="17"/>
  <c r="KS140" i="17"/>
  <c r="KR140" i="17"/>
  <c r="KQ140" i="17"/>
  <c r="KP140" i="17"/>
  <c r="KO140" i="17"/>
  <c r="KN140" i="17"/>
  <c r="KM140" i="17"/>
  <c r="KL140" i="17"/>
  <c r="KK140" i="17"/>
  <c r="KJ140" i="17"/>
  <c r="KI140" i="17"/>
  <c r="KH140" i="17"/>
  <c r="KG140" i="17"/>
  <c r="KF140" i="17"/>
  <c r="KE140" i="17"/>
  <c r="KD140" i="17"/>
  <c r="KC140" i="17"/>
  <c r="KB140" i="17"/>
  <c r="KA140" i="17"/>
  <c r="JZ140" i="17"/>
  <c r="JY140" i="17"/>
  <c r="JX140" i="17"/>
  <c r="JW140" i="17"/>
  <c r="O140" i="17"/>
  <c r="A140" i="17"/>
  <c r="ME139" i="17"/>
  <c r="MD139" i="17"/>
  <c r="MC139" i="17"/>
  <c r="MB139" i="17"/>
  <c r="MA139" i="17"/>
  <c r="LZ139" i="17"/>
  <c r="LY139" i="17"/>
  <c r="LX139" i="17"/>
  <c r="LW139" i="17"/>
  <c r="LV139" i="17"/>
  <c r="LU139" i="17"/>
  <c r="LT139" i="17"/>
  <c r="LS139" i="17"/>
  <c r="LR139" i="17"/>
  <c r="LQ139" i="17"/>
  <c r="LP139" i="17"/>
  <c r="LO139" i="17"/>
  <c r="LN139" i="17"/>
  <c r="LM139" i="17"/>
  <c r="LL139" i="17"/>
  <c r="LK139" i="17"/>
  <c r="LJ139" i="17"/>
  <c r="LI139" i="17"/>
  <c r="LH139" i="17"/>
  <c r="LG139" i="17"/>
  <c r="LF139" i="17"/>
  <c r="LE139" i="17"/>
  <c r="LD139" i="17"/>
  <c r="LC139" i="17"/>
  <c r="LB139" i="17"/>
  <c r="LA139" i="17"/>
  <c r="KZ139" i="17"/>
  <c r="KV139" i="17"/>
  <c r="KU139" i="17"/>
  <c r="KT139" i="17"/>
  <c r="KS139" i="17"/>
  <c r="KR139" i="17"/>
  <c r="KQ139" i="17"/>
  <c r="KP139" i="17"/>
  <c r="KO139" i="17"/>
  <c r="KN139" i="17"/>
  <c r="KM139" i="17"/>
  <c r="KL139" i="17"/>
  <c r="KK139" i="17"/>
  <c r="KJ139" i="17"/>
  <c r="KI139" i="17"/>
  <c r="KH139" i="17"/>
  <c r="KG139" i="17"/>
  <c r="KF139" i="17"/>
  <c r="KE139" i="17"/>
  <c r="KD139" i="17"/>
  <c r="KC139" i="17"/>
  <c r="KB139" i="17"/>
  <c r="KA139" i="17"/>
  <c r="JZ139" i="17"/>
  <c r="JY139" i="17"/>
  <c r="JX139" i="17"/>
  <c r="JW139" i="17"/>
  <c r="O139" i="17"/>
  <c r="A139" i="17"/>
  <c r="ME138" i="17"/>
  <c r="MD138" i="17"/>
  <c r="MC138" i="17"/>
  <c r="MB138" i="17"/>
  <c r="MA138" i="17"/>
  <c r="LZ138" i="17"/>
  <c r="LY138" i="17"/>
  <c r="LX138" i="17"/>
  <c r="LW138" i="17"/>
  <c r="LV138" i="17"/>
  <c r="LU138" i="17"/>
  <c r="LT138" i="17"/>
  <c r="LS138" i="17"/>
  <c r="LR138" i="17"/>
  <c r="LQ138" i="17"/>
  <c r="LP138" i="17"/>
  <c r="LO138" i="17"/>
  <c r="LN138" i="17"/>
  <c r="LM138" i="17"/>
  <c r="LL138" i="17"/>
  <c r="LK138" i="17"/>
  <c r="LJ138" i="17"/>
  <c r="LI138" i="17"/>
  <c r="LH138" i="17"/>
  <c r="LG138" i="17"/>
  <c r="LF138" i="17"/>
  <c r="LE138" i="17"/>
  <c r="LD138" i="17"/>
  <c r="LC138" i="17"/>
  <c r="LB138" i="17"/>
  <c r="LA138" i="17"/>
  <c r="KZ138" i="17"/>
  <c r="KV138" i="17"/>
  <c r="KU138" i="17"/>
  <c r="KT138" i="17"/>
  <c r="KS138" i="17"/>
  <c r="KR138" i="17"/>
  <c r="KQ138" i="17"/>
  <c r="KP138" i="17"/>
  <c r="KO138" i="17"/>
  <c r="KN138" i="17"/>
  <c r="KM138" i="17"/>
  <c r="KL138" i="17"/>
  <c r="KK138" i="17"/>
  <c r="KJ138" i="17"/>
  <c r="KI138" i="17"/>
  <c r="KH138" i="17"/>
  <c r="KG138" i="17"/>
  <c r="KF138" i="17"/>
  <c r="KE138" i="17"/>
  <c r="KD138" i="17"/>
  <c r="KC138" i="17"/>
  <c r="KB138" i="17"/>
  <c r="KA138" i="17"/>
  <c r="JZ138" i="17"/>
  <c r="JY138" i="17"/>
  <c r="JX138" i="17"/>
  <c r="JW138" i="17"/>
  <c r="O138" i="17"/>
  <c r="A138" i="17"/>
  <c r="ME137" i="17"/>
  <c r="MD137" i="17"/>
  <c r="MC137" i="17"/>
  <c r="MB137" i="17"/>
  <c r="MA137" i="17"/>
  <c r="LZ137" i="17"/>
  <c r="LY137" i="17"/>
  <c r="LX137" i="17"/>
  <c r="LW137" i="17"/>
  <c r="LV137" i="17"/>
  <c r="LU137" i="17"/>
  <c r="LT137" i="17"/>
  <c r="LS137" i="17"/>
  <c r="LR137" i="17"/>
  <c r="LQ137" i="17"/>
  <c r="LP137" i="17"/>
  <c r="LO137" i="17"/>
  <c r="LN137" i="17"/>
  <c r="LM137" i="17"/>
  <c r="LL137" i="17"/>
  <c r="LK137" i="17"/>
  <c r="LJ137" i="17"/>
  <c r="LI137" i="17"/>
  <c r="LH137" i="17"/>
  <c r="LG137" i="17"/>
  <c r="LF137" i="17"/>
  <c r="LE137" i="17"/>
  <c r="LD137" i="17"/>
  <c r="LC137" i="17"/>
  <c r="LB137" i="17"/>
  <c r="LA137" i="17"/>
  <c r="KZ137" i="17"/>
  <c r="KV137" i="17"/>
  <c r="KU137" i="17"/>
  <c r="KT137" i="17"/>
  <c r="KS137" i="17"/>
  <c r="KR137" i="17"/>
  <c r="KQ137" i="17"/>
  <c r="KP137" i="17"/>
  <c r="KO137" i="17"/>
  <c r="KN137" i="17"/>
  <c r="KM137" i="17"/>
  <c r="KL137" i="17"/>
  <c r="KK137" i="17"/>
  <c r="KJ137" i="17"/>
  <c r="KI137" i="17"/>
  <c r="KH137" i="17"/>
  <c r="KG137" i="17"/>
  <c r="KF137" i="17"/>
  <c r="KE137" i="17"/>
  <c r="KD137" i="17"/>
  <c r="KC137" i="17"/>
  <c r="KB137" i="17"/>
  <c r="KA137" i="17"/>
  <c r="JZ137" i="17"/>
  <c r="JY137" i="17"/>
  <c r="JX137" i="17"/>
  <c r="JW137" i="17"/>
  <c r="O137" i="17"/>
  <c r="A137" i="17"/>
  <c r="ME136" i="17"/>
  <c r="MD136" i="17"/>
  <c r="MC136" i="17"/>
  <c r="MB136" i="17"/>
  <c r="MA136" i="17"/>
  <c r="LZ136" i="17"/>
  <c r="LY136" i="17"/>
  <c r="LX136" i="17"/>
  <c r="LW136" i="17"/>
  <c r="LV136" i="17"/>
  <c r="LU136" i="17"/>
  <c r="LT136" i="17"/>
  <c r="LS136" i="17"/>
  <c r="LR136" i="17"/>
  <c r="LQ136" i="17"/>
  <c r="LP136" i="17"/>
  <c r="LO136" i="17"/>
  <c r="LN136" i="17"/>
  <c r="LM136" i="17"/>
  <c r="LL136" i="17"/>
  <c r="LK136" i="17"/>
  <c r="LJ136" i="17"/>
  <c r="LI136" i="17"/>
  <c r="LH136" i="17"/>
  <c r="LG136" i="17"/>
  <c r="LF136" i="17"/>
  <c r="LE136" i="17"/>
  <c r="LD136" i="17"/>
  <c r="LC136" i="17"/>
  <c r="LB136" i="17"/>
  <c r="LA136" i="17"/>
  <c r="KZ136" i="17"/>
  <c r="KV136" i="17"/>
  <c r="KU136" i="17"/>
  <c r="KT136" i="17"/>
  <c r="KS136" i="17"/>
  <c r="KR136" i="17"/>
  <c r="KQ136" i="17"/>
  <c r="KP136" i="17"/>
  <c r="KO136" i="17"/>
  <c r="KN136" i="17"/>
  <c r="KM136" i="17"/>
  <c r="KL136" i="17"/>
  <c r="KK136" i="17"/>
  <c r="KJ136" i="17"/>
  <c r="KI136" i="17"/>
  <c r="KH136" i="17"/>
  <c r="KG136" i="17"/>
  <c r="KF136" i="17"/>
  <c r="KE136" i="17"/>
  <c r="KD136" i="17"/>
  <c r="KC136" i="17"/>
  <c r="KB136" i="17"/>
  <c r="KA136" i="17"/>
  <c r="JZ136" i="17"/>
  <c r="JY136" i="17"/>
  <c r="JX136" i="17"/>
  <c r="JW136" i="17"/>
  <c r="O136" i="17"/>
  <c r="A136" i="17"/>
  <c r="ME135" i="17"/>
  <c r="MD135" i="17"/>
  <c r="MC135" i="17"/>
  <c r="MB135" i="17"/>
  <c r="MA135" i="17"/>
  <c r="LZ135" i="17"/>
  <c r="LY135" i="17"/>
  <c r="LX135" i="17"/>
  <c r="LW135" i="17"/>
  <c r="LV135" i="17"/>
  <c r="LU135" i="17"/>
  <c r="LT135" i="17"/>
  <c r="LS135" i="17"/>
  <c r="LR135" i="17"/>
  <c r="LQ135" i="17"/>
  <c r="LP135" i="17"/>
  <c r="LO135" i="17"/>
  <c r="LN135" i="17"/>
  <c r="LM135" i="17"/>
  <c r="LL135" i="17"/>
  <c r="LK135" i="17"/>
  <c r="LJ135" i="17"/>
  <c r="LI135" i="17"/>
  <c r="LH135" i="17"/>
  <c r="LG135" i="17"/>
  <c r="LF135" i="17"/>
  <c r="LE135" i="17"/>
  <c r="LD135" i="17"/>
  <c r="LC135" i="17"/>
  <c r="LB135" i="17"/>
  <c r="LA135" i="17"/>
  <c r="KZ135" i="17"/>
  <c r="KV135" i="17"/>
  <c r="KU135" i="17"/>
  <c r="KT135" i="17"/>
  <c r="KS135" i="17"/>
  <c r="KR135" i="17"/>
  <c r="KQ135" i="17"/>
  <c r="KP135" i="17"/>
  <c r="KO135" i="17"/>
  <c r="KN135" i="17"/>
  <c r="KM135" i="17"/>
  <c r="KL135" i="17"/>
  <c r="KK135" i="17"/>
  <c r="KJ135" i="17"/>
  <c r="KI135" i="17"/>
  <c r="KH135" i="17"/>
  <c r="KG135" i="17"/>
  <c r="KF135" i="17"/>
  <c r="KE135" i="17"/>
  <c r="KD135" i="17"/>
  <c r="KC135" i="17"/>
  <c r="KB135" i="17"/>
  <c r="KA135" i="17"/>
  <c r="JZ135" i="17"/>
  <c r="JY135" i="17"/>
  <c r="JX135" i="17"/>
  <c r="JW135" i="17"/>
  <c r="O135" i="17"/>
  <c r="A135" i="17"/>
  <c r="ME134" i="17"/>
  <c r="MD134" i="17"/>
  <c r="MC134" i="17"/>
  <c r="MB134" i="17"/>
  <c r="MA134" i="17"/>
  <c r="LZ134" i="17"/>
  <c r="LY134" i="17"/>
  <c r="LX134" i="17"/>
  <c r="LW134" i="17"/>
  <c r="LV134" i="17"/>
  <c r="LU134" i="17"/>
  <c r="LT134" i="17"/>
  <c r="LS134" i="17"/>
  <c r="LR134" i="17"/>
  <c r="LQ134" i="17"/>
  <c r="LP134" i="17"/>
  <c r="LO134" i="17"/>
  <c r="LN134" i="17"/>
  <c r="LM134" i="17"/>
  <c r="LL134" i="17"/>
  <c r="LK134" i="17"/>
  <c r="LJ134" i="17"/>
  <c r="LI134" i="17"/>
  <c r="LH134" i="17"/>
  <c r="LG134" i="17"/>
  <c r="LF134" i="17"/>
  <c r="LE134" i="17"/>
  <c r="LD134" i="17"/>
  <c r="LC134" i="17"/>
  <c r="LB134" i="17"/>
  <c r="LA134" i="17"/>
  <c r="KZ134" i="17"/>
  <c r="KV134" i="17"/>
  <c r="KU134" i="17"/>
  <c r="KT134" i="17"/>
  <c r="KS134" i="17"/>
  <c r="KR134" i="17"/>
  <c r="KQ134" i="17"/>
  <c r="KP134" i="17"/>
  <c r="KO134" i="17"/>
  <c r="KN134" i="17"/>
  <c r="KM134" i="17"/>
  <c r="KL134" i="17"/>
  <c r="KK134" i="17"/>
  <c r="KJ134" i="17"/>
  <c r="KI134" i="17"/>
  <c r="KH134" i="17"/>
  <c r="KG134" i="17"/>
  <c r="KF134" i="17"/>
  <c r="KE134" i="17"/>
  <c r="KD134" i="17"/>
  <c r="KC134" i="17"/>
  <c r="KB134" i="17"/>
  <c r="KA134" i="17"/>
  <c r="JZ134" i="17"/>
  <c r="JY134" i="17"/>
  <c r="JX134" i="17"/>
  <c r="JW134" i="17"/>
  <c r="O134" i="17"/>
  <c r="A134" i="17"/>
  <c r="ME133" i="17"/>
  <c r="MD133" i="17"/>
  <c r="MC133" i="17"/>
  <c r="MB133" i="17"/>
  <c r="MA133" i="17"/>
  <c r="LZ133" i="17"/>
  <c r="LY133" i="17"/>
  <c r="LX133" i="17"/>
  <c r="LW133" i="17"/>
  <c r="LV133" i="17"/>
  <c r="LU133" i="17"/>
  <c r="LT133" i="17"/>
  <c r="LS133" i="17"/>
  <c r="LR133" i="17"/>
  <c r="LQ133" i="17"/>
  <c r="LP133" i="17"/>
  <c r="LO133" i="17"/>
  <c r="LN133" i="17"/>
  <c r="LM133" i="17"/>
  <c r="LL133" i="17"/>
  <c r="LK133" i="17"/>
  <c r="LJ133" i="17"/>
  <c r="LI133" i="17"/>
  <c r="LH133" i="17"/>
  <c r="LG133" i="17"/>
  <c r="LF133" i="17"/>
  <c r="LE133" i="17"/>
  <c r="LD133" i="17"/>
  <c r="LC133" i="17"/>
  <c r="LB133" i="17"/>
  <c r="LA133" i="17"/>
  <c r="KZ133" i="17"/>
  <c r="KV133" i="17"/>
  <c r="KU133" i="17"/>
  <c r="KT133" i="17"/>
  <c r="KS133" i="17"/>
  <c r="KR133" i="17"/>
  <c r="KQ133" i="17"/>
  <c r="KP133" i="17"/>
  <c r="KO133" i="17"/>
  <c r="KN133" i="17"/>
  <c r="KM133" i="17"/>
  <c r="KL133" i="17"/>
  <c r="KK133" i="17"/>
  <c r="KJ133" i="17"/>
  <c r="KI133" i="17"/>
  <c r="KH133" i="17"/>
  <c r="KG133" i="17"/>
  <c r="KF133" i="17"/>
  <c r="KE133" i="17"/>
  <c r="KD133" i="17"/>
  <c r="KC133" i="17"/>
  <c r="KB133" i="17"/>
  <c r="KA133" i="17"/>
  <c r="JZ133" i="17"/>
  <c r="JY133" i="17"/>
  <c r="JX133" i="17"/>
  <c r="JW133" i="17"/>
  <c r="CF133" i="17"/>
  <c r="O133" i="17"/>
  <c r="A133" i="17"/>
  <c r="ME132" i="17"/>
  <c r="MD132" i="17"/>
  <c r="MC132" i="17"/>
  <c r="MB132" i="17"/>
  <c r="MA132" i="17"/>
  <c r="LZ132" i="17"/>
  <c r="LY132" i="17"/>
  <c r="LX132" i="17"/>
  <c r="LW132" i="17"/>
  <c r="LV132" i="17"/>
  <c r="LU132" i="17"/>
  <c r="LT132" i="17"/>
  <c r="LS132" i="17"/>
  <c r="LR132" i="17"/>
  <c r="LQ132" i="17"/>
  <c r="LP132" i="17"/>
  <c r="LO132" i="17"/>
  <c r="LN132" i="17"/>
  <c r="LM132" i="17"/>
  <c r="LL132" i="17"/>
  <c r="LK132" i="17"/>
  <c r="LJ132" i="17"/>
  <c r="LI132" i="17"/>
  <c r="LH132" i="17"/>
  <c r="LG132" i="17"/>
  <c r="LF132" i="17"/>
  <c r="LE132" i="17"/>
  <c r="LD132" i="17"/>
  <c r="LC132" i="17"/>
  <c r="LB132" i="17"/>
  <c r="LA132" i="17"/>
  <c r="KZ132" i="17"/>
  <c r="KV132" i="17"/>
  <c r="KU132" i="17"/>
  <c r="KT132" i="17"/>
  <c r="KS132" i="17"/>
  <c r="KR132" i="17"/>
  <c r="KQ132" i="17"/>
  <c r="KP132" i="17"/>
  <c r="KO132" i="17"/>
  <c r="KN132" i="17"/>
  <c r="KM132" i="17"/>
  <c r="KL132" i="17"/>
  <c r="KK132" i="17"/>
  <c r="KJ132" i="17"/>
  <c r="KI132" i="17"/>
  <c r="KH132" i="17"/>
  <c r="KG132" i="17"/>
  <c r="KF132" i="17"/>
  <c r="KE132" i="17"/>
  <c r="KD132" i="17"/>
  <c r="KC132" i="17"/>
  <c r="KB132" i="17"/>
  <c r="KA132" i="17"/>
  <c r="JZ132" i="17"/>
  <c r="JY132" i="17"/>
  <c r="JX132" i="17"/>
  <c r="JW132" i="17"/>
  <c r="O132" i="17"/>
  <c r="A132" i="17"/>
  <c r="ME131" i="17"/>
  <c r="MD131" i="17"/>
  <c r="MC131" i="17"/>
  <c r="MB131" i="17"/>
  <c r="MA131" i="17"/>
  <c r="LZ131" i="17"/>
  <c r="LY131" i="17"/>
  <c r="LX131" i="17"/>
  <c r="LW131" i="17"/>
  <c r="LV131" i="17"/>
  <c r="LU131" i="17"/>
  <c r="LT131" i="17"/>
  <c r="LS131" i="17"/>
  <c r="LR131" i="17"/>
  <c r="LQ131" i="17"/>
  <c r="LP131" i="17"/>
  <c r="LO131" i="17"/>
  <c r="LN131" i="17"/>
  <c r="LM131" i="17"/>
  <c r="LL131" i="17"/>
  <c r="LK131" i="17"/>
  <c r="LJ131" i="17"/>
  <c r="LI131" i="17"/>
  <c r="LH131" i="17"/>
  <c r="LG131" i="17"/>
  <c r="LF131" i="17"/>
  <c r="LE131" i="17"/>
  <c r="LD131" i="17"/>
  <c r="LC131" i="17"/>
  <c r="LB131" i="17"/>
  <c r="LA131" i="17"/>
  <c r="KZ131" i="17"/>
  <c r="KV131" i="17"/>
  <c r="KU131" i="17"/>
  <c r="KT131" i="17"/>
  <c r="KS131" i="17"/>
  <c r="KR131" i="17"/>
  <c r="KQ131" i="17"/>
  <c r="KP131" i="17"/>
  <c r="KO131" i="17"/>
  <c r="KN131" i="17"/>
  <c r="KM131" i="17"/>
  <c r="KL131" i="17"/>
  <c r="KK131" i="17"/>
  <c r="KJ131" i="17"/>
  <c r="KI131" i="17"/>
  <c r="KH131" i="17"/>
  <c r="KG131" i="17"/>
  <c r="KF131" i="17"/>
  <c r="KE131" i="17"/>
  <c r="KD131" i="17"/>
  <c r="KC131" i="17"/>
  <c r="KB131" i="17"/>
  <c r="KA131" i="17"/>
  <c r="JZ131" i="17"/>
  <c r="JY131" i="17"/>
  <c r="JX131" i="17"/>
  <c r="JW131" i="17"/>
  <c r="O131" i="17"/>
  <c r="A131" i="17"/>
  <c r="ME130" i="17"/>
  <c r="MD130" i="17"/>
  <c r="MC130" i="17"/>
  <c r="MB130" i="17"/>
  <c r="MA130" i="17"/>
  <c r="LZ130" i="17"/>
  <c r="LY130" i="17"/>
  <c r="LX130" i="17"/>
  <c r="LW130" i="17"/>
  <c r="LV130" i="17"/>
  <c r="LU130" i="17"/>
  <c r="LT130" i="17"/>
  <c r="LS130" i="17"/>
  <c r="LR130" i="17"/>
  <c r="LQ130" i="17"/>
  <c r="LP130" i="17"/>
  <c r="LO130" i="17"/>
  <c r="LN130" i="17"/>
  <c r="LM130" i="17"/>
  <c r="LL130" i="17"/>
  <c r="LK130" i="17"/>
  <c r="LJ130" i="17"/>
  <c r="LI130" i="17"/>
  <c r="LH130" i="17"/>
  <c r="LG130" i="17"/>
  <c r="LF130" i="17"/>
  <c r="LE130" i="17"/>
  <c r="LD130" i="17"/>
  <c r="LC130" i="17"/>
  <c r="LB130" i="17"/>
  <c r="LA130" i="17"/>
  <c r="KZ130" i="17"/>
  <c r="KV130" i="17"/>
  <c r="KU130" i="17"/>
  <c r="KT130" i="17"/>
  <c r="KS130" i="17"/>
  <c r="KR130" i="17"/>
  <c r="KQ130" i="17"/>
  <c r="KP130" i="17"/>
  <c r="KO130" i="17"/>
  <c r="KN130" i="17"/>
  <c r="KM130" i="17"/>
  <c r="KL130" i="17"/>
  <c r="KK130" i="17"/>
  <c r="KJ130" i="17"/>
  <c r="KI130" i="17"/>
  <c r="KH130" i="17"/>
  <c r="KG130" i="17"/>
  <c r="KF130" i="17"/>
  <c r="KE130" i="17"/>
  <c r="KD130" i="17"/>
  <c r="KC130" i="17"/>
  <c r="KB130" i="17"/>
  <c r="KA130" i="17"/>
  <c r="JZ130" i="17"/>
  <c r="JY130" i="17"/>
  <c r="JX130" i="17"/>
  <c r="JW130" i="17"/>
  <c r="DB130" i="17"/>
  <c r="DB131" i="17" s="1"/>
  <c r="DA130" i="17"/>
  <c r="DA131" i="17" s="1"/>
  <c r="CZ130" i="17"/>
  <c r="CZ131" i="17" s="1"/>
  <c r="CY130" i="17"/>
  <c r="CY131" i="17" s="1"/>
  <c r="CX130" i="17"/>
  <c r="CX131" i="17" s="1"/>
  <c r="CW130" i="17"/>
  <c r="CW131" i="17" s="1"/>
  <c r="CV130" i="17"/>
  <c r="CV131" i="17" s="1"/>
  <c r="CU130" i="17"/>
  <c r="CU131" i="17" s="1"/>
  <c r="CS130" i="17"/>
  <c r="CR130" i="17"/>
  <c r="CQ130" i="17"/>
  <c r="CP130" i="17"/>
  <c r="CO130" i="17"/>
  <c r="CN130" i="17"/>
  <c r="CM130" i="17"/>
  <c r="CL130" i="17"/>
  <c r="CK130" i="17"/>
  <c r="CJ130" i="17"/>
  <c r="CI130" i="17"/>
  <c r="CH130" i="17"/>
  <c r="O130" i="17"/>
  <c r="A130" i="17"/>
  <c r="ME129" i="17"/>
  <c r="MD129" i="17"/>
  <c r="MC129" i="17"/>
  <c r="MB129" i="17"/>
  <c r="MA129" i="17"/>
  <c r="LZ129" i="17"/>
  <c r="LY129" i="17"/>
  <c r="LX129" i="17"/>
  <c r="LW129" i="17"/>
  <c r="LV129" i="17"/>
  <c r="LU129" i="17"/>
  <c r="LT129" i="17"/>
  <c r="LS129" i="17"/>
  <c r="LR129" i="17"/>
  <c r="LQ129" i="17"/>
  <c r="LP129" i="17"/>
  <c r="LO129" i="17"/>
  <c r="LN129" i="17"/>
  <c r="LM129" i="17"/>
  <c r="LL129" i="17"/>
  <c r="LK129" i="17"/>
  <c r="LJ129" i="17"/>
  <c r="LI129" i="17"/>
  <c r="LH129" i="17"/>
  <c r="LG129" i="17"/>
  <c r="LF129" i="17"/>
  <c r="LE129" i="17"/>
  <c r="LD129" i="17"/>
  <c r="LC129" i="17"/>
  <c r="LB129" i="17"/>
  <c r="LA129" i="17"/>
  <c r="KZ129" i="17"/>
  <c r="KV129" i="17"/>
  <c r="KU129" i="17"/>
  <c r="KT129" i="17"/>
  <c r="KS129" i="17"/>
  <c r="KR129" i="17"/>
  <c r="KQ129" i="17"/>
  <c r="KP129" i="17"/>
  <c r="KO129" i="17"/>
  <c r="KN129" i="17"/>
  <c r="KM129" i="17"/>
  <c r="KL129" i="17"/>
  <c r="KK129" i="17"/>
  <c r="KJ129" i="17"/>
  <c r="KI129" i="17"/>
  <c r="KH129" i="17"/>
  <c r="KG129" i="17"/>
  <c r="KF129" i="17"/>
  <c r="KE129" i="17"/>
  <c r="KD129" i="17"/>
  <c r="KC129" i="17"/>
  <c r="KB129" i="17"/>
  <c r="KA129" i="17"/>
  <c r="JZ129" i="17"/>
  <c r="JY129" i="17"/>
  <c r="JX129" i="17"/>
  <c r="JW129" i="17"/>
  <c r="O129" i="17"/>
  <c r="A129" i="17"/>
  <c r="ME128" i="17"/>
  <c r="MD128" i="17"/>
  <c r="MC128" i="17"/>
  <c r="MB128" i="17"/>
  <c r="MA128" i="17"/>
  <c r="LZ128" i="17"/>
  <c r="LY128" i="17"/>
  <c r="LX128" i="17"/>
  <c r="LW128" i="17"/>
  <c r="LV128" i="17"/>
  <c r="LU128" i="17"/>
  <c r="LT128" i="17"/>
  <c r="LS128" i="17"/>
  <c r="LR128" i="17"/>
  <c r="LQ128" i="17"/>
  <c r="LP128" i="17"/>
  <c r="LO128" i="17"/>
  <c r="LN128" i="17"/>
  <c r="LM128" i="17"/>
  <c r="LL128" i="17"/>
  <c r="LK128" i="17"/>
  <c r="LJ128" i="17"/>
  <c r="LI128" i="17"/>
  <c r="LH128" i="17"/>
  <c r="LG128" i="17"/>
  <c r="LF128" i="17"/>
  <c r="LE128" i="17"/>
  <c r="LD128" i="17"/>
  <c r="LC128" i="17"/>
  <c r="LB128" i="17"/>
  <c r="LA128" i="17"/>
  <c r="KZ128" i="17"/>
  <c r="KV128" i="17"/>
  <c r="KU128" i="17"/>
  <c r="KT128" i="17"/>
  <c r="KS128" i="17"/>
  <c r="KR128" i="17"/>
  <c r="KQ128" i="17"/>
  <c r="KP128" i="17"/>
  <c r="KO128" i="17"/>
  <c r="KN128" i="17"/>
  <c r="KM128" i="17"/>
  <c r="KL128" i="17"/>
  <c r="KK128" i="17"/>
  <c r="KJ128" i="17"/>
  <c r="KI128" i="17"/>
  <c r="KH128" i="17"/>
  <c r="KG128" i="17"/>
  <c r="KF128" i="17"/>
  <c r="KE128" i="17"/>
  <c r="KD128" i="17"/>
  <c r="KC128" i="17"/>
  <c r="KB128" i="17"/>
  <c r="KA128" i="17"/>
  <c r="JZ128" i="17"/>
  <c r="JY128" i="17"/>
  <c r="JX128" i="17"/>
  <c r="JW128" i="17"/>
  <c r="O128" i="17"/>
  <c r="A128" i="17"/>
  <c r="ME127" i="17"/>
  <c r="MD127" i="17"/>
  <c r="MC127" i="17"/>
  <c r="MB127" i="17"/>
  <c r="MA127" i="17"/>
  <c r="LZ127" i="17"/>
  <c r="LY127" i="17"/>
  <c r="LX127" i="17"/>
  <c r="LW127" i="17"/>
  <c r="LV127" i="17"/>
  <c r="LU127" i="17"/>
  <c r="LT127" i="17"/>
  <c r="LS127" i="17"/>
  <c r="LR127" i="17"/>
  <c r="LQ127" i="17"/>
  <c r="LP127" i="17"/>
  <c r="LO127" i="17"/>
  <c r="LN127" i="17"/>
  <c r="LM127" i="17"/>
  <c r="LL127" i="17"/>
  <c r="LK127" i="17"/>
  <c r="LJ127" i="17"/>
  <c r="LI127" i="17"/>
  <c r="LH127" i="17"/>
  <c r="LG127" i="17"/>
  <c r="LF127" i="17"/>
  <c r="LE127" i="17"/>
  <c r="LD127" i="17"/>
  <c r="LC127" i="17"/>
  <c r="LB127" i="17"/>
  <c r="LA127" i="17"/>
  <c r="KZ127" i="17"/>
  <c r="KV127" i="17"/>
  <c r="KU127" i="17"/>
  <c r="KT127" i="17"/>
  <c r="KS127" i="17"/>
  <c r="KR127" i="17"/>
  <c r="KQ127" i="17"/>
  <c r="KP127" i="17"/>
  <c r="KO127" i="17"/>
  <c r="KN127" i="17"/>
  <c r="KM127" i="17"/>
  <c r="KL127" i="17"/>
  <c r="KK127" i="17"/>
  <c r="KJ127" i="17"/>
  <c r="KI127" i="17"/>
  <c r="KH127" i="17"/>
  <c r="KG127" i="17"/>
  <c r="KF127" i="17"/>
  <c r="KE127" i="17"/>
  <c r="KD127" i="17"/>
  <c r="KC127" i="17"/>
  <c r="KB127" i="17"/>
  <c r="KA127" i="17"/>
  <c r="JZ127" i="17"/>
  <c r="JY127" i="17"/>
  <c r="JX127" i="17"/>
  <c r="JW127" i="17"/>
  <c r="O127" i="17"/>
  <c r="A127" i="17"/>
  <c r="ME126" i="17"/>
  <c r="MD126" i="17"/>
  <c r="MC126" i="17"/>
  <c r="MB126" i="17"/>
  <c r="MA126" i="17"/>
  <c r="LZ126" i="17"/>
  <c r="LY126" i="17"/>
  <c r="LX126" i="17"/>
  <c r="LW126" i="17"/>
  <c r="LV126" i="17"/>
  <c r="LU126" i="17"/>
  <c r="LT126" i="17"/>
  <c r="LS126" i="17"/>
  <c r="LR126" i="17"/>
  <c r="LQ126" i="17"/>
  <c r="LP126" i="17"/>
  <c r="LO126" i="17"/>
  <c r="LN126" i="17"/>
  <c r="LM126" i="17"/>
  <c r="LL126" i="17"/>
  <c r="LK126" i="17"/>
  <c r="LJ126" i="17"/>
  <c r="LI126" i="17"/>
  <c r="LH126" i="17"/>
  <c r="LG126" i="17"/>
  <c r="LF126" i="17"/>
  <c r="LE126" i="17"/>
  <c r="LD126" i="17"/>
  <c r="LC126" i="17"/>
  <c r="LB126" i="17"/>
  <c r="LA126" i="17"/>
  <c r="KZ126" i="17"/>
  <c r="KV126" i="17"/>
  <c r="KU126" i="17"/>
  <c r="KT126" i="17"/>
  <c r="KS126" i="17"/>
  <c r="KR126" i="17"/>
  <c r="KQ126" i="17"/>
  <c r="KP126" i="17"/>
  <c r="KO126" i="17"/>
  <c r="KN126" i="17"/>
  <c r="KM126" i="17"/>
  <c r="KL126" i="17"/>
  <c r="KK126" i="17"/>
  <c r="KJ126" i="17"/>
  <c r="KI126" i="17"/>
  <c r="KH126" i="17"/>
  <c r="KG126" i="17"/>
  <c r="KF126" i="17"/>
  <c r="KE126" i="17"/>
  <c r="KD126" i="17"/>
  <c r="KC126" i="17"/>
  <c r="KB126" i="17"/>
  <c r="KA126" i="17"/>
  <c r="JZ126" i="17"/>
  <c r="JY126" i="17"/>
  <c r="JX126" i="17"/>
  <c r="JW126" i="17"/>
  <c r="O126" i="17"/>
  <c r="A126" i="17"/>
  <c r="ME125" i="17"/>
  <c r="MD125" i="17"/>
  <c r="MC125" i="17"/>
  <c r="MB125" i="17"/>
  <c r="MA125" i="17"/>
  <c r="LZ125" i="17"/>
  <c r="LY125" i="17"/>
  <c r="LX125" i="17"/>
  <c r="LW125" i="17"/>
  <c r="LV125" i="17"/>
  <c r="LU125" i="17"/>
  <c r="LT125" i="17"/>
  <c r="LS125" i="17"/>
  <c r="LR125" i="17"/>
  <c r="LQ125" i="17"/>
  <c r="LP125" i="17"/>
  <c r="LO125" i="17"/>
  <c r="LN125" i="17"/>
  <c r="LM125" i="17"/>
  <c r="LL125" i="17"/>
  <c r="LK125" i="17"/>
  <c r="LJ125" i="17"/>
  <c r="LI125" i="17"/>
  <c r="LH125" i="17"/>
  <c r="LG125" i="17"/>
  <c r="LF125" i="17"/>
  <c r="LE125" i="17"/>
  <c r="LD125" i="17"/>
  <c r="LC125" i="17"/>
  <c r="LB125" i="17"/>
  <c r="LA125" i="17"/>
  <c r="KZ125" i="17"/>
  <c r="KV125" i="17"/>
  <c r="KU125" i="17"/>
  <c r="KT125" i="17"/>
  <c r="KS125" i="17"/>
  <c r="KR125" i="17"/>
  <c r="KQ125" i="17"/>
  <c r="KP125" i="17"/>
  <c r="KO125" i="17"/>
  <c r="KN125" i="17"/>
  <c r="KM125" i="17"/>
  <c r="KL125" i="17"/>
  <c r="KK125" i="17"/>
  <c r="KJ125" i="17"/>
  <c r="KI125" i="17"/>
  <c r="KH125" i="17"/>
  <c r="KG125" i="17"/>
  <c r="KF125" i="17"/>
  <c r="KE125" i="17"/>
  <c r="KD125" i="17"/>
  <c r="KC125" i="17"/>
  <c r="KB125" i="17"/>
  <c r="KA125" i="17"/>
  <c r="JZ125" i="17"/>
  <c r="JY125" i="17"/>
  <c r="JX125" i="17"/>
  <c r="JW125" i="17"/>
  <c r="O125" i="17"/>
  <c r="A125" i="17"/>
  <c r="ME124" i="17"/>
  <c r="MD124" i="17"/>
  <c r="MC124" i="17"/>
  <c r="MB124" i="17"/>
  <c r="MA124" i="17"/>
  <c r="LZ124" i="17"/>
  <c r="LY124" i="17"/>
  <c r="LX124" i="17"/>
  <c r="LW124" i="17"/>
  <c r="LV124" i="17"/>
  <c r="LU124" i="17"/>
  <c r="LT124" i="17"/>
  <c r="LS124" i="17"/>
  <c r="LR124" i="17"/>
  <c r="LQ124" i="17"/>
  <c r="LP124" i="17"/>
  <c r="LO124" i="17"/>
  <c r="LN124" i="17"/>
  <c r="LM124" i="17"/>
  <c r="LL124" i="17"/>
  <c r="LK124" i="17"/>
  <c r="LJ124" i="17"/>
  <c r="LI124" i="17"/>
  <c r="LH124" i="17"/>
  <c r="LG124" i="17"/>
  <c r="LF124" i="17"/>
  <c r="LE124" i="17"/>
  <c r="LD124" i="17"/>
  <c r="LC124" i="17"/>
  <c r="LB124" i="17"/>
  <c r="LA124" i="17"/>
  <c r="KZ124" i="17"/>
  <c r="KV124" i="17"/>
  <c r="KU124" i="17"/>
  <c r="KT124" i="17"/>
  <c r="KS124" i="17"/>
  <c r="KR124" i="17"/>
  <c r="KQ124" i="17"/>
  <c r="KP124" i="17"/>
  <c r="KO124" i="17"/>
  <c r="KN124" i="17"/>
  <c r="KM124" i="17"/>
  <c r="KL124" i="17"/>
  <c r="KK124" i="17"/>
  <c r="KJ124" i="17"/>
  <c r="KI124" i="17"/>
  <c r="KH124" i="17"/>
  <c r="KG124" i="17"/>
  <c r="KF124" i="17"/>
  <c r="KE124" i="17"/>
  <c r="KD124" i="17"/>
  <c r="KC124" i="17"/>
  <c r="KB124" i="17"/>
  <c r="KA124" i="17"/>
  <c r="JZ124" i="17"/>
  <c r="JY124" i="17"/>
  <c r="JX124" i="17"/>
  <c r="JW124" i="17"/>
  <c r="O124" i="17"/>
  <c r="A124" i="17"/>
  <c r="ME123" i="17"/>
  <c r="MD123" i="17"/>
  <c r="MC123" i="17"/>
  <c r="MB123" i="17"/>
  <c r="MA123" i="17"/>
  <c r="LZ123" i="17"/>
  <c r="LY123" i="17"/>
  <c r="LX123" i="17"/>
  <c r="LW123" i="17"/>
  <c r="LV123" i="17"/>
  <c r="LU123" i="17"/>
  <c r="LT123" i="17"/>
  <c r="LS123" i="17"/>
  <c r="LR123" i="17"/>
  <c r="LQ123" i="17"/>
  <c r="LP123" i="17"/>
  <c r="LO123" i="17"/>
  <c r="LN123" i="17"/>
  <c r="LM123" i="17"/>
  <c r="LL123" i="17"/>
  <c r="LK123" i="17"/>
  <c r="LJ123" i="17"/>
  <c r="LI123" i="17"/>
  <c r="LH123" i="17"/>
  <c r="LG123" i="17"/>
  <c r="LF123" i="17"/>
  <c r="LE123" i="17"/>
  <c r="LD123" i="17"/>
  <c r="LC123" i="17"/>
  <c r="LB123" i="17"/>
  <c r="LA123" i="17"/>
  <c r="KZ123" i="17"/>
  <c r="KV123" i="17"/>
  <c r="KU123" i="17"/>
  <c r="KT123" i="17"/>
  <c r="KS123" i="17"/>
  <c r="KR123" i="17"/>
  <c r="KQ123" i="17"/>
  <c r="KP123" i="17"/>
  <c r="KO123" i="17"/>
  <c r="KN123" i="17"/>
  <c r="KM123" i="17"/>
  <c r="KL123" i="17"/>
  <c r="KK123" i="17"/>
  <c r="KJ123" i="17"/>
  <c r="KI123" i="17"/>
  <c r="KH123" i="17"/>
  <c r="KG123" i="17"/>
  <c r="KF123" i="17"/>
  <c r="KE123" i="17"/>
  <c r="KD123" i="17"/>
  <c r="KC123" i="17"/>
  <c r="KB123" i="17"/>
  <c r="KA123" i="17"/>
  <c r="JZ123" i="17"/>
  <c r="JY123" i="17"/>
  <c r="JX123" i="17"/>
  <c r="JW123" i="17"/>
  <c r="O123" i="17"/>
  <c r="A123" i="17"/>
  <c r="ME122" i="17"/>
  <c r="MD122" i="17"/>
  <c r="MC122" i="17"/>
  <c r="MB122" i="17"/>
  <c r="MA122" i="17"/>
  <c r="LZ122" i="17"/>
  <c r="LY122" i="17"/>
  <c r="LX122" i="17"/>
  <c r="LW122" i="17"/>
  <c r="LV122" i="17"/>
  <c r="LU122" i="17"/>
  <c r="LT122" i="17"/>
  <c r="LS122" i="17"/>
  <c r="LR122" i="17"/>
  <c r="LQ122" i="17"/>
  <c r="LP122" i="17"/>
  <c r="LO122" i="17"/>
  <c r="LN122" i="17"/>
  <c r="LM122" i="17"/>
  <c r="LL122" i="17"/>
  <c r="LK122" i="17"/>
  <c r="LJ122" i="17"/>
  <c r="LI122" i="17"/>
  <c r="LH122" i="17"/>
  <c r="LG122" i="17"/>
  <c r="LF122" i="17"/>
  <c r="LE122" i="17"/>
  <c r="LD122" i="17"/>
  <c r="LC122" i="17"/>
  <c r="LB122" i="17"/>
  <c r="LA122" i="17"/>
  <c r="KZ122" i="17"/>
  <c r="KV122" i="17"/>
  <c r="KU122" i="17"/>
  <c r="KT122" i="17"/>
  <c r="KS122" i="17"/>
  <c r="KR122" i="17"/>
  <c r="KQ122" i="17"/>
  <c r="KP122" i="17"/>
  <c r="KO122" i="17"/>
  <c r="KN122" i="17"/>
  <c r="KM122" i="17"/>
  <c r="KL122" i="17"/>
  <c r="KK122" i="17"/>
  <c r="KJ122" i="17"/>
  <c r="KI122" i="17"/>
  <c r="KH122" i="17"/>
  <c r="KG122" i="17"/>
  <c r="KF122" i="17"/>
  <c r="KE122" i="17"/>
  <c r="KD122" i="17"/>
  <c r="KC122" i="17"/>
  <c r="KB122" i="17"/>
  <c r="KA122" i="17"/>
  <c r="JZ122" i="17"/>
  <c r="JY122" i="17"/>
  <c r="JX122" i="17"/>
  <c r="JW122" i="17"/>
  <c r="O122" i="17"/>
  <c r="A122" i="17"/>
  <c r="ME121" i="17"/>
  <c r="MD121" i="17"/>
  <c r="MC121" i="17"/>
  <c r="MB121" i="17"/>
  <c r="MA121" i="17"/>
  <c r="LZ121" i="17"/>
  <c r="LY121" i="17"/>
  <c r="LX121" i="17"/>
  <c r="LW121" i="17"/>
  <c r="LV121" i="17"/>
  <c r="LU121" i="17"/>
  <c r="LT121" i="17"/>
  <c r="LS121" i="17"/>
  <c r="LR121" i="17"/>
  <c r="LQ121" i="17"/>
  <c r="LP121" i="17"/>
  <c r="LO121" i="17"/>
  <c r="LN121" i="17"/>
  <c r="LM121" i="17"/>
  <c r="LL121" i="17"/>
  <c r="LK121" i="17"/>
  <c r="LJ121" i="17"/>
  <c r="LI121" i="17"/>
  <c r="LH121" i="17"/>
  <c r="LG121" i="17"/>
  <c r="LF121" i="17"/>
  <c r="LE121" i="17"/>
  <c r="LD121" i="17"/>
  <c r="LC121" i="17"/>
  <c r="LB121" i="17"/>
  <c r="LA121" i="17"/>
  <c r="KZ121" i="17"/>
  <c r="KV121" i="17"/>
  <c r="KU121" i="17"/>
  <c r="KT121" i="17"/>
  <c r="KS121" i="17"/>
  <c r="KR121" i="17"/>
  <c r="KQ121" i="17"/>
  <c r="KP121" i="17"/>
  <c r="KO121" i="17"/>
  <c r="KN121" i="17"/>
  <c r="KM121" i="17"/>
  <c r="KL121" i="17"/>
  <c r="KK121" i="17"/>
  <c r="KJ121" i="17"/>
  <c r="KI121" i="17"/>
  <c r="KH121" i="17"/>
  <c r="KG121" i="17"/>
  <c r="KF121" i="17"/>
  <c r="KE121" i="17"/>
  <c r="KD121" i="17"/>
  <c r="KC121" i="17"/>
  <c r="KB121" i="17"/>
  <c r="KA121" i="17"/>
  <c r="JZ121" i="17"/>
  <c r="JY121" i="17"/>
  <c r="JX121" i="17"/>
  <c r="JW121" i="17"/>
  <c r="O121" i="17"/>
  <c r="A121" i="17"/>
  <c r="ME120" i="17"/>
  <c r="MD120" i="17"/>
  <c r="MC120" i="17"/>
  <c r="MB120" i="17"/>
  <c r="MA120" i="17"/>
  <c r="LZ120" i="17"/>
  <c r="LY120" i="17"/>
  <c r="LX120" i="17"/>
  <c r="LW120" i="17"/>
  <c r="LV120" i="17"/>
  <c r="LU120" i="17"/>
  <c r="LT120" i="17"/>
  <c r="LS120" i="17"/>
  <c r="LR120" i="17"/>
  <c r="LQ120" i="17"/>
  <c r="LP120" i="17"/>
  <c r="LO120" i="17"/>
  <c r="LN120" i="17"/>
  <c r="LM120" i="17"/>
  <c r="LL120" i="17"/>
  <c r="LK120" i="17"/>
  <c r="LJ120" i="17"/>
  <c r="LI120" i="17"/>
  <c r="LH120" i="17"/>
  <c r="LG120" i="17"/>
  <c r="LF120" i="17"/>
  <c r="LE120" i="17"/>
  <c r="LD120" i="17"/>
  <c r="LC120" i="17"/>
  <c r="LB120" i="17"/>
  <c r="LA120" i="17"/>
  <c r="KZ120" i="17"/>
  <c r="KV120" i="17"/>
  <c r="KU120" i="17"/>
  <c r="KT120" i="17"/>
  <c r="KS120" i="17"/>
  <c r="KR120" i="17"/>
  <c r="KQ120" i="17"/>
  <c r="KP120" i="17"/>
  <c r="KO120" i="17"/>
  <c r="KN120" i="17"/>
  <c r="KM120" i="17"/>
  <c r="KL120" i="17"/>
  <c r="KK120" i="17"/>
  <c r="KJ120" i="17"/>
  <c r="KI120" i="17"/>
  <c r="KH120" i="17"/>
  <c r="KG120" i="17"/>
  <c r="KF120" i="17"/>
  <c r="KE120" i="17"/>
  <c r="KD120" i="17"/>
  <c r="KC120" i="17"/>
  <c r="KB120" i="17"/>
  <c r="KA120" i="17"/>
  <c r="JZ120" i="17"/>
  <c r="JY120" i="17"/>
  <c r="JX120" i="17"/>
  <c r="JW120" i="17"/>
  <c r="O120" i="17"/>
  <c r="A120" i="17"/>
  <c r="ME119" i="17"/>
  <c r="MD119" i="17"/>
  <c r="MC119" i="17"/>
  <c r="MB119" i="17"/>
  <c r="MA119" i="17"/>
  <c r="LZ119" i="17"/>
  <c r="LY119" i="17"/>
  <c r="LX119" i="17"/>
  <c r="LW119" i="17"/>
  <c r="LV119" i="17"/>
  <c r="LU119" i="17"/>
  <c r="LT119" i="17"/>
  <c r="LS119" i="17"/>
  <c r="LR119" i="17"/>
  <c r="LQ119" i="17"/>
  <c r="LP119" i="17"/>
  <c r="LO119" i="17"/>
  <c r="LN119" i="17"/>
  <c r="LM119" i="17"/>
  <c r="LL119" i="17"/>
  <c r="LK119" i="17"/>
  <c r="LJ119" i="17"/>
  <c r="LI119" i="17"/>
  <c r="LH119" i="17"/>
  <c r="LG119" i="17"/>
  <c r="LF119" i="17"/>
  <c r="LE119" i="17"/>
  <c r="LD119" i="17"/>
  <c r="LC119" i="17"/>
  <c r="LB119" i="17"/>
  <c r="LA119" i="17"/>
  <c r="KZ119" i="17"/>
  <c r="KV119" i="17"/>
  <c r="KU119" i="17"/>
  <c r="KT119" i="17"/>
  <c r="KS119" i="17"/>
  <c r="KR119" i="17"/>
  <c r="KQ119" i="17"/>
  <c r="KP119" i="17"/>
  <c r="KO119" i="17"/>
  <c r="KN119" i="17"/>
  <c r="KM119" i="17"/>
  <c r="KL119" i="17"/>
  <c r="KK119" i="17"/>
  <c r="KJ119" i="17"/>
  <c r="KI119" i="17"/>
  <c r="KH119" i="17"/>
  <c r="KG119" i="17"/>
  <c r="KF119" i="17"/>
  <c r="KE119" i="17"/>
  <c r="KD119" i="17"/>
  <c r="KC119" i="17"/>
  <c r="KB119" i="17"/>
  <c r="KA119" i="17"/>
  <c r="JZ119" i="17"/>
  <c r="JY119" i="17"/>
  <c r="JX119" i="17"/>
  <c r="JW119" i="17"/>
  <c r="O119" i="17"/>
  <c r="A119" i="17"/>
  <c r="ME118" i="17"/>
  <c r="MD118" i="17"/>
  <c r="MC118" i="17"/>
  <c r="MB118" i="17"/>
  <c r="MA118" i="17"/>
  <c r="LZ118" i="17"/>
  <c r="LY118" i="17"/>
  <c r="LX118" i="17"/>
  <c r="LW118" i="17"/>
  <c r="LV118" i="17"/>
  <c r="LU118" i="17"/>
  <c r="LT118" i="17"/>
  <c r="LS118" i="17"/>
  <c r="LR118" i="17"/>
  <c r="LQ118" i="17"/>
  <c r="LP118" i="17"/>
  <c r="LO118" i="17"/>
  <c r="LN118" i="17"/>
  <c r="LM118" i="17"/>
  <c r="LL118" i="17"/>
  <c r="LK118" i="17"/>
  <c r="LJ118" i="17"/>
  <c r="LI118" i="17"/>
  <c r="LH118" i="17"/>
  <c r="LG118" i="17"/>
  <c r="LF118" i="17"/>
  <c r="LE118" i="17"/>
  <c r="LD118" i="17"/>
  <c r="LC118" i="17"/>
  <c r="LB118" i="17"/>
  <c r="LA118" i="17"/>
  <c r="KZ118" i="17"/>
  <c r="KV118" i="17"/>
  <c r="KU118" i="17"/>
  <c r="KT118" i="17"/>
  <c r="KS118" i="17"/>
  <c r="KR118" i="17"/>
  <c r="KQ118" i="17"/>
  <c r="KP118" i="17"/>
  <c r="KO118" i="17"/>
  <c r="KN118" i="17"/>
  <c r="KM118" i="17"/>
  <c r="KL118" i="17"/>
  <c r="KK118" i="17"/>
  <c r="KJ118" i="17"/>
  <c r="KI118" i="17"/>
  <c r="KH118" i="17"/>
  <c r="KG118" i="17"/>
  <c r="KF118" i="17"/>
  <c r="KE118" i="17"/>
  <c r="KD118" i="17"/>
  <c r="KC118" i="17"/>
  <c r="KB118" i="17"/>
  <c r="KA118" i="17"/>
  <c r="JZ118" i="17"/>
  <c r="JY118" i="17"/>
  <c r="JX118" i="17"/>
  <c r="JW118" i="17"/>
  <c r="O118" i="17"/>
  <c r="A118" i="17"/>
  <c r="ME117" i="17"/>
  <c r="MD117" i="17"/>
  <c r="MC117" i="17"/>
  <c r="MB117" i="17"/>
  <c r="MA117" i="17"/>
  <c r="LZ117" i="17"/>
  <c r="LY117" i="17"/>
  <c r="LX117" i="17"/>
  <c r="LW117" i="17"/>
  <c r="LV117" i="17"/>
  <c r="LU117" i="17"/>
  <c r="LT117" i="17"/>
  <c r="LS117" i="17"/>
  <c r="LR117" i="17"/>
  <c r="LQ117" i="17"/>
  <c r="LP117" i="17"/>
  <c r="LO117" i="17"/>
  <c r="LN117" i="17"/>
  <c r="LM117" i="17"/>
  <c r="LL117" i="17"/>
  <c r="LK117" i="17"/>
  <c r="LJ117" i="17"/>
  <c r="LI117" i="17"/>
  <c r="LH117" i="17"/>
  <c r="LG117" i="17"/>
  <c r="LF117" i="17"/>
  <c r="LE117" i="17"/>
  <c r="LD117" i="17"/>
  <c r="LC117" i="17"/>
  <c r="LB117" i="17"/>
  <c r="LA117" i="17"/>
  <c r="KZ117" i="17"/>
  <c r="KV117" i="17"/>
  <c r="KU117" i="17"/>
  <c r="KT117" i="17"/>
  <c r="KS117" i="17"/>
  <c r="KR117" i="17"/>
  <c r="KQ117" i="17"/>
  <c r="KP117" i="17"/>
  <c r="KO117" i="17"/>
  <c r="KN117" i="17"/>
  <c r="KM117" i="17"/>
  <c r="KL117" i="17"/>
  <c r="KK117" i="17"/>
  <c r="KJ117" i="17"/>
  <c r="KI117" i="17"/>
  <c r="KH117" i="17"/>
  <c r="KG117" i="17"/>
  <c r="KF117" i="17"/>
  <c r="KE117" i="17"/>
  <c r="KD117" i="17"/>
  <c r="KC117" i="17"/>
  <c r="KB117" i="17"/>
  <c r="KA117" i="17"/>
  <c r="JZ117" i="17"/>
  <c r="JY117" i="17"/>
  <c r="JX117" i="17"/>
  <c r="JW117" i="17"/>
  <c r="O117" i="17"/>
  <c r="A117" i="17"/>
  <c r="ME116" i="17"/>
  <c r="MD116" i="17"/>
  <c r="MC116" i="17"/>
  <c r="MB116" i="17"/>
  <c r="MA116" i="17"/>
  <c r="LZ116" i="17"/>
  <c r="LY116" i="17"/>
  <c r="LX116" i="17"/>
  <c r="LW116" i="17"/>
  <c r="LV116" i="17"/>
  <c r="LU116" i="17"/>
  <c r="LT116" i="17"/>
  <c r="LS116" i="17"/>
  <c r="LR116" i="17"/>
  <c r="LQ116" i="17"/>
  <c r="LP116" i="17"/>
  <c r="LO116" i="17"/>
  <c r="LN116" i="17"/>
  <c r="LM116" i="17"/>
  <c r="LL116" i="17"/>
  <c r="LK116" i="17"/>
  <c r="LJ116" i="17"/>
  <c r="LI116" i="17"/>
  <c r="LH116" i="17"/>
  <c r="LG116" i="17"/>
  <c r="LF116" i="17"/>
  <c r="LE116" i="17"/>
  <c r="LD116" i="17"/>
  <c r="LC116" i="17"/>
  <c r="LB116" i="17"/>
  <c r="LA116" i="17"/>
  <c r="KZ116" i="17"/>
  <c r="KV116" i="17"/>
  <c r="KU116" i="17"/>
  <c r="KT116" i="17"/>
  <c r="KS116" i="17"/>
  <c r="KR116" i="17"/>
  <c r="KQ116" i="17"/>
  <c r="KP116" i="17"/>
  <c r="KO116" i="17"/>
  <c r="KN116" i="17"/>
  <c r="KM116" i="17"/>
  <c r="KL116" i="17"/>
  <c r="KK116" i="17"/>
  <c r="KJ116" i="17"/>
  <c r="KI116" i="17"/>
  <c r="KH116" i="17"/>
  <c r="KG116" i="17"/>
  <c r="KF116" i="17"/>
  <c r="KE116" i="17"/>
  <c r="KD116" i="17"/>
  <c r="KC116" i="17"/>
  <c r="KB116" i="17"/>
  <c r="KA116" i="17"/>
  <c r="JZ116" i="17"/>
  <c r="JY116" i="17"/>
  <c r="JX116" i="17"/>
  <c r="JW116" i="17"/>
  <c r="O116" i="17"/>
  <c r="A116" i="17"/>
  <c r="ME115" i="17"/>
  <c r="MD115" i="17"/>
  <c r="MC115" i="17"/>
  <c r="MB115" i="17"/>
  <c r="MA115" i="17"/>
  <c r="LZ115" i="17"/>
  <c r="LY115" i="17"/>
  <c r="LX115" i="17"/>
  <c r="LW115" i="17"/>
  <c r="LV115" i="17"/>
  <c r="LU115" i="17"/>
  <c r="LT115" i="17"/>
  <c r="LS115" i="17"/>
  <c r="LR115" i="17"/>
  <c r="LQ115" i="17"/>
  <c r="LP115" i="17"/>
  <c r="LO115" i="17"/>
  <c r="LN115" i="17"/>
  <c r="LM115" i="17"/>
  <c r="LL115" i="17"/>
  <c r="LK115" i="17"/>
  <c r="LJ115" i="17"/>
  <c r="LI115" i="17"/>
  <c r="LH115" i="17"/>
  <c r="LG115" i="17"/>
  <c r="LF115" i="17"/>
  <c r="LE115" i="17"/>
  <c r="LD115" i="17"/>
  <c r="LC115" i="17"/>
  <c r="LB115" i="17"/>
  <c r="LA115" i="17"/>
  <c r="KZ115" i="17"/>
  <c r="KV115" i="17"/>
  <c r="KU115" i="17"/>
  <c r="KT115" i="17"/>
  <c r="KS115" i="17"/>
  <c r="KR115" i="17"/>
  <c r="KQ115" i="17"/>
  <c r="KP115" i="17"/>
  <c r="KO115" i="17"/>
  <c r="KN115" i="17"/>
  <c r="KM115" i="17"/>
  <c r="KL115" i="17"/>
  <c r="KK115" i="17"/>
  <c r="KJ115" i="17"/>
  <c r="KI115" i="17"/>
  <c r="KH115" i="17"/>
  <c r="KG115" i="17"/>
  <c r="KF115" i="17"/>
  <c r="KE115" i="17"/>
  <c r="KD115" i="17"/>
  <c r="KC115" i="17"/>
  <c r="KB115" i="17"/>
  <c r="KA115" i="17"/>
  <c r="JZ115" i="17"/>
  <c r="JY115" i="17"/>
  <c r="JX115" i="17"/>
  <c r="JW115" i="17"/>
  <c r="O115" i="17"/>
  <c r="A115" i="17"/>
  <c r="ME114" i="17"/>
  <c r="MD114" i="17"/>
  <c r="MC114" i="17"/>
  <c r="MB114" i="17"/>
  <c r="MA114" i="17"/>
  <c r="LZ114" i="17"/>
  <c r="LY114" i="17"/>
  <c r="LX114" i="17"/>
  <c r="LW114" i="17"/>
  <c r="LV114" i="17"/>
  <c r="LU114" i="17"/>
  <c r="LT114" i="17"/>
  <c r="LS114" i="17"/>
  <c r="LR114" i="17"/>
  <c r="LQ114" i="17"/>
  <c r="LP114" i="17"/>
  <c r="LO114" i="17"/>
  <c r="LN114" i="17"/>
  <c r="LM114" i="17"/>
  <c r="LL114" i="17"/>
  <c r="LK114" i="17"/>
  <c r="LJ114" i="17"/>
  <c r="LI114" i="17"/>
  <c r="LH114" i="17"/>
  <c r="LG114" i="17"/>
  <c r="LF114" i="17"/>
  <c r="LE114" i="17"/>
  <c r="LD114" i="17"/>
  <c r="LC114" i="17"/>
  <c r="LB114" i="17"/>
  <c r="LA114" i="17"/>
  <c r="KZ114" i="17"/>
  <c r="KV114" i="17"/>
  <c r="KU114" i="17"/>
  <c r="KT114" i="17"/>
  <c r="KS114" i="17"/>
  <c r="KR114" i="17"/>
  <c r="KQ114" i="17"/>
  <c r="KP114" i="17"/>
  <c r="KO114" i="17"/>
  <c r="KN114" i="17"/>
  <c r="KM114" i="17"/>
  <c r="KL114" i="17"/>
  <c r="KK114" i="17"/>
  <c r="KJ114" i="17"/>
  <c r="KI114" i="17"/>
  <c r="KH114" i="17"/>
  <c r="KG114" i="17"/>
  <c r="KF114" i="17"/>
  <c r="KE114" i="17"/>
  <c r="KD114" i="17"/>
  <c r="KC114" i="17"/>
  <c r="KB114" i="17"/>
  <c r="KA114" i="17"/>
  <c r="JZ114" i="17"/>
  <c r="JY114" i="17"/>
  <c r="JX114" i="17"/>
  <c r="JW114" i="17"/>
  <c r="O114" i="17"/>
  <c r="A114" i="17"/>
  <c r="ME113" i="17"/>
  <c r="MD113" i="17"/>
  <c r="MC113" i="17"/>
  <c r="MB113" i="17"/>
  <c r="MA113" i="17"/>
  <c r="LZ113" i="17"/>
  <c r="LY113" i="17"/>
  <c r="LX113" i="17"/>
  <c r="LW113" i="17"/>
  <c r="LV113" i="17"/>
  <c r="LU113" i="17"/>
  <c r="LT113" i="17"/>
  <c r="LS113" i="17"/>
  <c r="LR113" i="17"/>
  <c r="LQ113" i="17"/>
  <c r="LP113" i="17"/>
  <c r="LO113" i="17"/>
  <c r="LN113" i="17"/>
  <c r="LM113" i="17"/>
  <c r="LL113" i="17"/>
  <c r="LK113" i="17"/>
  <c r="LJ113" i="17"/>
  <c r="LI113" i="17"/>
  <c r="LH113" i="17"/>
  <c r="LG113" i="17"/>
  <c r="LF113" i="17"/>
  <c r="LE113" i="17"/>
  <c r="LD113" i="17"/>
  <c r="LC113" i="17"/>
  <c r="LB113" i="17"/>
  <c r="LA113" i="17"/>
  <c r="KZ113" i="17"/>
  <c r="KV113" i="17"/>
  <c r="KU113" i="17"/>
  <c r="KT113" i="17"/>
  <c r="KS113" i="17"/>
  <c r="KR113" i="17"/>
  <c r="KQ113" i="17"/>
  <c r="KP113" i="17"/>
  <c r="KO113" i="17"/>
  <c r="KN113" i="17"/>
  <c r="KM113" i="17"/>
  <c r="KL113" i="17"/>
  <c r="KK113" i="17"/>
  <c r="KJ113" i="17"/>
  <c r="KI113" i="17"/>
  <c r="KH113" i="17"/>
  <c r="KG113" i="17"/>
  <c r="KF113" i="17"/>
  <c r="KE113" i="17"/>
  <c r="KD113" i="17"/>
  <c r="KC113" i="17"/>
  <c r="KB113" i="17"/>
  <c r="KA113" i="17"/>
  <c r="JZ113" i="17"/>
  <c r="JY113" i="17"/>
  <c r="JX113" i="17"/>
  <c r="JW113" i="17"/>
  <c r="O113" i="17"/>
  <c r="A113" i="17"/>
  <c r="ME112" i="17"/>
  <c r="MD112" i="17"/>
  <c r="MC112" i="17"/>
  <c r="MB112" i="17"/>
  <c r="MA112" i="17"/>
  <c r="LZ112" i="17"/>
  <c r="LY112" i="17"/>
  <c r="LX112" i="17"/>
  <c r="LW112" i="17"/>
  <c r="LV112" i="17"/>
  <c r="LU112" i="17"/>
  <c r="LT112" i="17"/>
  <c r="LS112" i="17"/>
  <c r="LR112" i="17"/>
  <c r="LQ112" i="17"/>
  <c r="LP112" i="17"/>
  <c r="LO112" i="17"/>
  <c r="LN112" i="17"/>
  <c r="LM112" i="17"/>
  <c r="LL112" i="17"/>
  <c r="LK112" i="17"/>
  <c r="LJ112" i="17"/>
  <c r="LI112" i="17"/>
  <c r="LH112" i="17"/>
  <c r="LG112" i="17"/>
  <c r="LF112" i="17"/>
  <c r="LE112" i="17"/>
  <c r="LD112" i="17"/>
  <c r="LC112" i="17"/>
  <c r="LB112" i="17"/>
  <c r="LA112" i="17"/>
  <c r="KZ112" i="17"/>
  <c r="KV112" i="17"/>
  <c r="KU112" i="17"/>
  <c r="KT112" i="17"/>
  <c r="KS112" i="17"/>
  <c r="KR112" i="17"/>
  <c r="KQ112" i="17"/>
  <c r="KP112" i="17"/>
  <c r="KO112" i="17"/>
  <c r="KN112" i="17"/>
  <c r="KM112" i="17"/>
  <c r="KL112" i="17"/>
  <c r="KK112" i="17"/>
  <c r="KJ112" i="17"/>
  <c r="KI112" i="17"/>
  <c r="KH112" i="17"/>
  <c r="KG112" i="17"/>
  <c r="KF112" i="17"/>
  <c r="KE112" i="17"/>
  <c r="KD112" i="17"/>
  <c r="KC112" i="17"/>
  <c r="KB112" i="17"/>
  <c r="KA112" i="17"/>
  <c r="JZ112" i="17"/>
  <c r="JY112" i="17"/>
  <c r="JX112" i="17"/>
  <c r="JW112" i="17"/>
  <c r="O112" i="17"/>
  <c r="A112" i="17"/>
  <c r="ME111" i="17"/>
  <c r="MD111" i="17"/>
  <c r="MC111" i="17"/>
  <c r="MB111" i="17"/>
  <c r="MA111" i="17"/>
  <c r="LZ111" i="17"/>
  <c r="LY111" i="17"/>
  <c r="LX111" i="17"/>
  <c r="LW111" i="17"/>
  <c r="LV111" i="17"/>
  <c r="LU111" i="17"/>
  <c r="LT111" i="17"/>
  <c r="LS111" i="17"/>
  <c r="LR111" i="17"/>
  <c r="LQ111" i="17"/>
  <c r="LP111" i="17"/>
  <c r="LO111" i="17"/>
  <c r="LN111" i="17"/>
  <c r="LM111" i="17"/>
  <c r="LL111" i="17"/>
  <c r="LK111" i="17"/>
  <c r="LJ111" i="17"/>
  <c r="LI111" i="17"/>
  <c r="LH111" i="17"/>
  <c r="LG111" i="17"/>
  <c r="LF111" i="17"/>
  <c r="LE111" i="17"/>
  <c r="LD111" i="17"/>
  <c r="LC111" i="17"/>
  <c r="LB111" i="17"/>
  <c r="LA111" i="17"/>
  <c r="KZ111" i="17"/>
  <c r="KV111" i="17"/>
  <c r="KU111" i="17"/>
  <c r="KT111" i="17"/>
  <c r="KS111" i="17"/>
  <c r="KR111" i="17"/>
  <c r="KQ111" i="17"/>
  <c r="KP111" i="17"/>
  <c r="KO111" i="17"/>
  <c r="KN111" i="17"/>
  <c r="KM111" i="17"/>
  <c r="KL111" i="17"/>
  <c r="KK111" i="17"/>
  <c r="KJ111" i="17"/>
  <c r="KI111" i="17"/>
  <c r="KH111" i="17"/>
  <c r="KG111" i="17"/>
  <c r="KF111" i="17"/>
  <c r="KE111" i="17"/>
  <c r="KD111" i="17"/>
  <c r="KC111" i="17"/>
  <c r="KB111" i="17"/>
  <c r="KA111" i="17"/>
  <c r="JZ111" i="17"/>
  <c r="JY111" i="17"/>
  <c r="JX111" i="17"/>
  <c r="JW111" i="17"/>
  <c r="O111" i="17"/>
  <c r="A111" i="17"/>
  <c r="ME110" i="17"/>
  <c r="MD110" i="17"/>
  <c r="MC110" i="17"/>
  <c r="MB110" i="17"/>
  <c r="MA110" i="17"/>
  <c r="LZ110" i="17"/>
  <c r="LY110" i="17"/>
  <c r="LX110" i="17"/>
  <c r="LW110" i="17"/>
  <c r="LV110" i="17"/>
  <c r="LU110" i="17"/>
  <c r="LT110" i="17"/>
  <c r="LS110" i="17"/>
  <c r="LR110" i="17"/>
  <c r="LQ110" i="17"/>
  <c r="LP110" i="17"/>
  <c r="LO110" i="17"/>
  <c r="LN110" i="17"/>
  <c r="LM110" i="17"/>
  <c r="LL110" i="17"/>
  <c r="LK110" i="17"/>
  <c r="LJ110" i="17"/>
  <c r="LI110" i="17"/>
  <c r="LH110" i="17"/>
  <c r="LG110" i="17"/>
  <c r="LF110" i="17"/>
  <c r="LE110" i="17"/>
  <c r="LD110" i="17"/>
  <c r="LC110" i="17"/>
  <c r="LB110" i="17"/>
  <c r="LA110" i="17"/>
  <c r="KZ110" i="17"/>
  <c r="KV110" i="17"/>
  <c r="KU110" i="17"/>
  <c r="KT110" i="17"/>
  <c r="KS110" i="17"/>
  <c r="KR110" i="17"/>
  <c r="KQ110" i="17"/>
  <c r="KP110" i="17"/>
  <c r="KO110" i="17"/>
  <c r="KN110" i="17"/>
  <c r="KM110" i="17"/>
  <c r="KL110" i="17"/>
  <c r="KK110" i="17"/>
  <c r="KJ110" i="17"/>
  <c r="KI110" i="17"/>
  <c r="KH110" i="17"/>
  <c r="KG110" i="17"/>
  <c r="KF110" i="17"/>
  <c r="KE110" i="17"/>
  <c r="KD110" i="17"/>
  <c r="KC110" i="17"/>
  <c r="KB110" i="17"/>
  <c r="KA110" i="17"/>
  <c r="JZ110" i="17"/>
  <c r="JY110" i="17"/>
  <c r="JX110" i="17"/>
  <c r="JW110" i="17"/>
  <c r="O110" i="17"/>
  <c r="A110" i="17"/>
  <c r="ME109" i="17"/>
  <c r="MD109" i="17"/>
  <c r="MC109" i="17"/>
  <c r="MB109" i="17"/>
  <c r="MA109" i="17"/>
  <c r="LZ109" i="17"/>
  <c r="LY109" i="17"/>
  <c r="LX109" i="17"/>
  <c r="LW109" i="17"/>
  <c r="LV109" i="17"/>
  <c r="LU109" i="17"/>
  <c r="LT109" i="17"/>
  <c r="LS109" i="17"/>
  <c r="LR109" i="17"/>
  <c r="LQ109" i="17"/>
  <c r="LP109" i="17"/>
  <c r="LO109" i="17"/>
  <c r="LN109" i="17"/>
  <c r="LM109" i="17"/>
  <c r="LL109" i="17"/>
  <c r="LK109" i="17"/>
  <c r="LJ109" i="17"/>
  <c r="LI109" i="17"/>
  <c r="LH109" i="17"/>
  <c r="LG109" i="17"/>
  <c r="LF109" i="17"/>
  <c r="LE109" i="17"/>
  <c r="LD109" i="17"/>
  <c r="LC109" i="17"/>
  <c r="LB109" i="17"/>
  <c r="LA109" i="17"/>
  <c r="KZ109" i="17"/>
  <c r="KV109" i="17"/>
  <c r="KU109" i="17"/>
  <c r="KT109" i="17"/>
  <c r="KS109" i="17"/>
  <c r="KR109" i="17"/>
  <c r="KQ109" i="17"/>
  <c r="KP109" i="17"/>
  <c r="KO109" i="17"/>
  <c r="KN109" i="17"/>
  <c r="KM109" i="17"/>
  <c r="KL109" i="17"/>
  <c r="KK109" i="17"/>
  <c r="KJ109" i="17"/>
  <c r="KI109" i="17"/>
  <c r="KH109" i="17"/>
  <c r="KG109" i="17"/>
  <c r="KF109" i="17"/>
  <c r="KE109" i="17"/>
  <c r="KD109" i="17"/>
  <c r="KC109" i="17"/>
  <c r="KB109" i="17"/>
  <c r="KA109" i="17"/>
  <c r="JZ109" i="17"/>
  <c r="JY109" i="17"/>
  <c r="JX109" i="17"/>
  <c r="JW109" i="17"/>
  <c r="O109" i="17"/>
  <c r="A109" i="17"/>
  <c r="ME108" i="17"/>
  <c r="MD108" i="17"/>
  <c r="MC108" i="17"/>
  <c r="MB108" i="17"/>
  <c r="MA108" i="17"/>
  <c r="LZ108" i="17"/>
  <c r="LY108" i="17"/>
  <c r="LX108" i="17"/>
  <c r="LW108" i="17"/>
  <c r="LV108" i="17"/>
  <c r="LU108" i="17"/>
  <c r="LT108" i="17"/>
  <c r="LS108" i="17"/>
  <c r="LR108" i="17"/>
  <c r="LQ108" i="17"/>
  <c r="LP108" i="17"/>
  <c r="LO108" i="17"/>
  <c r="LN108" i="17"/>
  <c r="LM108" i="17"/>
  <c r="LL108" i="17"/>
  <c r="LK108" i="17"/>
  <c r="LJ108" i="17"/>
  <c r="LI108" i="17"/>
  <c r="LH108" i="17"/>
  <c r="LG108" i="17"/>
  <c r="LF108" i="17"/>
  <c r="LE108" i="17"/>
  <c r="LD108" i="17"/>
  <c r="LC108" i="17"/>
  <c r="LB108" i="17"/>
  <c r="LA108" i="17"/>
  <c r="KZ108" i="17"/>
  <c r="KV108" i="17"/>
  <c r="KU108" i="17"/>
  <c r="KT108" i="17"/>
  <c r="KS108" i="17"/>
  <c r="KR108" i="17"/>
  <c r="KQ108" i="17"/>
  <c r="KP108" i="17"/>
  <c r="KO108" i="17"/>
  <c r="KN108" i="17"/>
  <c r="KM108" i="17"/>
  <c r="KL108" i="17"/>
  <c r="KK108" i="17"/>
  <c r="KJ108" i="17"/>
  <c r="KI108" i="17"/>
  <c r="KH108" i="17"/>
  <c r="KG108" i="17"/>
  <c r="KF108" i="17"/>
  <c r="KE108" i="17"/>
  <c r="KD108" i="17"/>
  <c r="KC108" i="17"/>
  <c r="KB108" i="17"/>
  <c r="KA108" i="17"/>
  <c r="JZ108" i="17"/>
  <c r="JY108" i="17"/>
  <c r="JX108" i="17"/>
  <c r="JW108" i="17"/>
  <c r="O108" i="17"/>
  <c r="A108" i="17"/>
  <c r="ME107" i="17"/>
  <c r="MD107" i="17"/>
  <c r="MC107" i="17"/>
  <c r="MB107" i="17"/>
  <c r="MA107" i="17"/>
  <c r="LZ107" i="17"/>
  <c r="LY107" i="17"/>
  <c r="LX107" i="17"/>
  <c r="LW107" i="17"/>
  <c r="LV107" i="17"/>
  <c r="LU107" i="17"/>
  <c r="LT107" i="17"/>
  <c r="LS107" i="17"/>
  <c r="LR107" i="17"/>
  <c r="LQ107" i="17"/>
  <c r="LP107" i="17"/>
  <c r="LO107" i="17"/>
  <c r="LN107" i="17"/>
  <c r="LM107" i="17"/>
  <c r="LL107" i="17"/>
  <c r="LK107" i="17"/>
  <c r="LJ107" i="17"/>
  <c r="LI107" i="17"/>
  <c r="LH107" i="17"/>
  <c r="LG107" i="17"/>
  <c r="LF107" i="17"/>
  <c r="LE107" i="17"/>
  <c r="LD107" i="17"/>
  <c r="LC107" i="17"/>
  <c r="LB107" i="17"/>
  <c r="LA107" i="17"/>
  <c r="KZ107" i="17"/>
  <c r="KV107" i="17"/>
  <c r="KU107" i="17"/>
  <c r="KT107" i="17"/>
  <c r="KS107" i="17"/>
  <c r="KR107" i="17"/>
  <c r="KQ107" i="17"/>
  <c r="KP107" i="17"/>
  <c r="KO107" i="17"/>
  <c r="KN107" i="17"/>
  <c r="KM107" i="17"/>
  <c r="KL107" i="17"/>
  <c r="KK107" i="17"/>
  <c r="KJ107" i="17"/>
  <c r="KI107" i="17"/>
  <c r="KH107" i="17"/>
  <c r="KG107" i="17"/>
  <c r="KF107" i="17"/>
  <c r="KE107" i="17"/>
  <c r="KD107" i="17"/>
  <c r="KC107" i="17"/>
  <c r="KB107" i="17"/>
  <c r="KA107" i="17"/>
  <c r="JZ107" i="17"/>
  <c r="JY107" i="17"/>
  <c r="JX107" i="17"/>
  <c r="JW107" i="17"/>
  <c r="O107" i="17"/>
  <c r="A107" i="17"/>
  <c r="ME106" i="17"/>
  <c r="MD106" i="17"/>
  <c r="MC106" i="17"/>
  <c r="MB106" i="17"/>
  <c r="MA106" i="17"/>
  <c r="LZ106" i="17"/>
  <c r="LY106" i="17"/>
  <c r="LX106" i="17"/>
  <c r="LW106" i="17"/>
  <c r="LV106" i="17"/>
  <c r="LU106" i="17"/>
  <c r="LT106" i="17"/>
  <c r="LS106" i="17"/>
  <c r="LR106" i="17"/>
  <c r="LQ106" i="17"/>
  <c r="LP106" i="17"/>
  <c r="LO106" i="17"/>
  <c r="LN106" i="17"/>
  <c r="LM106" i="17"/>
  <c r="LL106" i="17"/>
  <c r="LK106" i="17"/>
  <c r="LJ106" i="17"/>
  <c r="LI106" i="17"/>
  <c r="LH106" i="17"/>
  <c r="LG106" i="17"/>
  <c r="LF106" i="17"/>
  <c r="LE106" i="17"/>
  <c r="LD106" i="17"/>
  <c r="LC106" i="17"/>
  <c r="LB106" i="17"/>
  <c r="LA106" i="17"/>
  <c r="KZ106" i="17"/>
  <c r="KV106" i="17"/>
  <c r="KU106" i="17"/>
  <c r="KT106" i="17"/>
  <c r="KS106" i="17"/>
  <c r="KR106" i="17"/>
  <c r="KQ106" i="17"/>
  <c r="KP106" i="17"/>
  <c r="KO106" i="17"/>
  <c r="KN106" i="17"/>
  <c r="KM106" i="17"/>
  <c r="KL106" i="17"/>
  <c r="KK106" i="17"/>
  <c r="KJ106" i="17"/>
  <c r="KI106" i="17"/>
  <c r="KH106" i="17"/>
  <c r="KG106" i="17"/>
  <c r="KF106" i="17"/>
  <c r="KE106" i="17"/>
  <c r="KD106" i="17"/>
  <c r="KC106" i="17"/>
  <c r="KB106" i="17"/>
  <c r="KA106" i="17"/>
  <c r="JZ106" i="17"/>
  <c r="JY106" i="17"/>
  <c r="JX106" i="17"/>
  <c r="JW106" i="17"/>
  <c r="O106" i="17"/>
  <c r="A106" i="17"/>
  <c r="ME105" i="17"/>
  <c r="MD105" i="17"/>
  <c r="MC105" i="17"/>
  <c r="MB105" i="17"/>
  <c r="MA105" i="17"/>
  <c r="LZ105" i="17"/>
  <c r="LY105" i="17"/>
  <c r="LX105" i="17"/>
  <c r="LW105" i="17"/>
  <c r="LV105" i="17"/>
  <c r="LU105" i="17"/>
  <c r="LT105" i="17"/>
  <c r="LS105" i="17"/>
  <c r="LR105" i="17"/>
  <c r="LQ105" i="17"/>
  <c r="LP105" i="17"/>
  <c r="LO105" i="17"/>
  <c r="LN105" i="17"/>
  <c r="LM105" i="17"/>
  <c r="LL105" i="17"/>
  <c r="LK105" i="17"/>
  <c r="LJ105" i="17"/>
  <c r="LI105" i="17"/>
  <c r="LH105" i="17"/>
  <c r="LG105" i="17"/>
  <c r="LF105" i="17"/>
  <c r="LE105" i="17"/>
  <c r="LD105" i="17"/>
  <c r="LC105" i="17"/>
  <c r="LB105" i="17"/>
  <c r="LA105" i="17"/>
  <c r="KZ105" i="17"/>
  <c r="KV105" i="17"/>
  <c r="KU105" i="17"/>
  <c r="KT105" i="17"/>
  <c r="KS105" i="17"/>
  <c r="KR105" i="17"/>
  <c r="KQ105" i="17"/>
  <c r="KP105" i="17"/>
  <c r="KO105" i="17"/>
  <c r="KN105" i="17"/>
  <c r="KM105" i="17"/>
  <c r="KL105" i="17"/>
  <c r="KK105" i="17"/>
  <c r="KJ105" i="17"/>
  <c r="KI105" i="17"/>
  <c r="KH105" i="17"/>
  <c r="KG105" i="17"/>
  <c r="KF105" i="17"/>
  <c r="KE105" i="17"/>
  <c r="KD105" i="17"/>
  <c r="KC105" i="17"/>
  <c r="KB105" i="17"/>
  <c r="KA105" i="17"/>
  <c r="JZ105" i="17"/>
  <c r="JY105" i="17"/>
  <c r="JX105" i="17"/>
  <c r="JW105" i="17"/>
  <c r="O105" i="17"/>
  <c r="A105" i="17"/>
  <c r="ME104" i="17"/>
  <c r="MD104" i="17"/>
  <c r="MC104" i="17"/>
  <c r="MB104" i="17"/>
  <c r="MA104" i="17"/>
  <c r="LZ104" i="17"/>
  <c r="LY104" i="17"/>
  <c r="LX104" i="17"/>
  <c r="LW104" i="17"/>
  <c r="LV104" i="17"/>
  <c r="LU104" i="17"/>
  <c r="LT104" i="17"/>
  <c r="LS104" i="17"/>
  <c r="LR104" i="17"/>
  <c r="LQ104" i="17"/>
  <c r="LP104" i="17"/>
  <c r="LO104" i="17"/>
  <c r="LN104" i="17"/>
  <c r="LM104" i="17"/>
  <c r="LL104" i="17"/>
  <c r="LK104" i="17"/>
  <c r="LJ104" i="17"/>
  <c r="LI104" i="17"/>
  <c r="LH104" i="17"/>
  <c r="LG104" i="17"/>
  <c r="LF104" i="17"/>
  <c r="LE104" i="17"/>
  <c r="LD104" i="17"/>
  <c r="LC104" i="17"/>
  <c r="LB104" i="17"/>
  <c r="LA104" i="17"/>
  <c r="KZ104" i="17"/>
  <c r="KV104" i="17"/>
  <c r="KU104" i="17"/>
  <c r="KT104" i="17"/>
  <c r="KS104" i="17"/>
  <c r="KR104" i="17"/>
  <c r="KQ104" i="17"/>
  <c r="KP104" i="17"/>
  <c r="KO104" i="17"/>
  <c r="KN104" i="17"/>
  <c r="KM104" i="17"/>
  <c r="KL104" i="17"/>
  <c r="KK104" i="17"/>
  <c r="KJ104" i="17"/>
  <c r="KI104" i="17"/>
  <c r="KH104" i="17"/>
  <c r="KG104" i="17"/>
  <c r="KF104" i="17"/>
  <c r="KE104" i="17"/>
  <c r="KD104" i="17"/>
  <c r="KC104" i="17"/>
  <c r="KB104" i="17"/>
  <c r="KA104" i="17"/>
  <c r="JZ104" i="17"/>
  <c r="JY104" i="17"/>
  <c r="JX104" i="17"/>
  <c r="JW104" i="17"/>
  <c r="O104" i="17"/>
  <c r="A104" i="17"/>
  <c r="ME103" i="17"/>
  <c r="MD103" i="17"/>
  <c r="MC103" i="17"/>
  <c r="MB103" i="17"/>
  <c r="MA103" i="17"/>
  <c r="LZ103" i="17"/>
  <c r="LY103" i="17"/>
  <c r="LX103" i="17"/>
  <c r="LW103" i="17"/>
  <c r="LV103" i="17"/>
  <c r="LU103" i="17"/>
  <c r="LT103" i="17"/>
  <c r="LS103" i="17"/>
  <c r="LR103" i="17"/>
  <c r="LQ103" i="17"/>
  <c r="LP103" i="17"/>
  <c r="LO103" i="17"/>
  <c r="LN103" i="17"/>
  <c r="LM103" i="17"/>
  <c r="LL103" i="17"/>
  <c r="LK103" i="17"/>
  <c r="LJ103" i="17"/>
  <c r="LI103" i="17"/>
  <c r="LH103" i="17"/>
  <c r="LG103" i="17"/>
  <c r="LF103" i="17"/>
  <c r="LE103" i="17"/>
  <c r="LD103" i="17"/>
  <c r="LC103" i="17"/>
  <c r="LB103" i="17"/>
  <c r="LA103" i="17"/>
  <c r="KZ103" i="17"/>
  <c r="KV103" i="17"/>
  <c r="KU103" i="17"/>
  <c r="KT103" i="17"/>
  <c r="KS103" i="17"/>
  <c r="KR103" i="17"/>
  <c r="KQ103" i="17"/>
  <c r="KP103" i="17"/>
  <c r="KO103" i="17"/>
  <c r="KN103" i="17"/>
  <c r="KM103" i="17"/>
  <c r="KL103" i="17"/>
  <c r="KK103" i="17"/>
  <c r="KJ103" i="17"/>
  <c r="KI103" i="17"/>
  <c r="KH103" i="17"/>
  <c r="KG103" i="17"/>
  <c r="KF103" i="17"/>
  <c r="KE103" i="17"/>
  <c r="KD103" i="17"/>
  <c r="KC103" i="17"/>
  <c r="KB103" i="17"/>
  <c r="KA103" i="17"/>
  <c r="JZ103" i="17"/>
  <c r="JY103" i="17"/>
  <c r="JX103" i="17"/>
  <c r="JW103" i="17"/>
  <c r="O103" i="17"/>
  <c r="A103" i="17"/>
  <c r="ME102" i="17"/>
  <c r="MD102" i="17"/>
  <c r="MC102" i="17"/>
  <c r="MB102" i="17"/>
  <c r="MA102" i="17"/>
  <c r="LZ102" i="17"/>
  <c r="LY102" i="17"/>
  <c r="LX102" i="17"/>
  <c r="LW102" i="17"/>
  <c r="LV102" i="17"/>
  <c r="LU102" i="17"/>
  <c r="LT102" i="17"/>
  <c r="LS102" i="17"/>
  <c r="LR102" i="17"/>
  <c r="LQ102" i="17"/>
  <c r="LP102" i="17"/>
  <c r="LO102" i="17"/>
  <c r="LN102" i="17"/>
  <c r="LM102" i="17"/>
  <c r="LL102" i="17"/>
  <c r="LK102" i="17"/>
  <c r="LJ102" i="17"/>
  <c r="LI102" i="17"/>
  <c r="LH102" i="17"/>
  <c r="LG102" i="17"/>
  <c r="LF102" i="17"/>
  <c r="LE102" i="17"/>
  <c r="LD102" i="17"/>
  <c r="LC102" i="17"/>
  <c r="LB102" i="17"/>
  <c r="LA102" i="17"/>
  <c r="KZ102" i="17"/>
  <c r="KV102" i="17"/>
  <c r="KU102" i="17"/>
  <c r="KT102" i="17"/>
  <c r="KS102" i="17"/>
  <c r="KR102" i="17"/>
  <c r="KQ102" i="17"/>
  <c r="KP102" i="17"/>
  <c r="KO102" i="17"/>
  <c r="KN102" i="17"/>
  <c r="KM102" i="17"/>
  <c r="KL102" i="17"/>
  <c r="KK102" i="17"/>
  <c r="KJ102" i="17"/>
  <c r="KI102" i="17"/>
  <c r="KH102" i="17"/>
  <c r="KG102" i="17"/>
  <c r="KF102" i="17"/>
  <c r="KE102" i="17"/>
  <c r="KD102" i="17"/>
  <c r="KC102" i="17"/>
  <c r="KB102" i="17"/>
  <c r="KA102" i="17"/>
  <c r="JZ102" i="17"/>
  <c r="JY102" i="17"/>
  <c r="JX102" i="17"/>
  <c r="JW102" i="17"/>
  <c r="O102" i="17"/>
  <c r="A102" i="17"/>
  <c r="ME101" i="17"/>
  <c r="MD101" i="17"/>
  <c r="MC101" i="17"/>
  <c r="MB101" i="17"/>
  <c r="MA101" i="17"/>
  <c r="LZ101" i="17"/>
  <c r="LY101" i="17"/>
  <c r="LX101" i="17"/>
  <c r="LW101" i="17"/>
  <c r="LV101" i="17"/>
  <c r="LU101" i="17"/>
  <c r="LT101" i="17"/>
  <c r="LS101" i="17"/>
  <c r="LR101" i="17"/>
  <c r="LQ101" i="17"/>
  <c r="LP101" i="17"/>
  <c r="LO101" i="17"/>
  <c r="LN101" i="17"/>
  <c r="LM101" i="17"/>
  <c r="LL101" i="17"/>
  <c r="LK101" i="17"/>
  <c r="LJ101" i="17"/>
  <c r="LI101" i="17"/>
  <c r="LH101" i="17"/>
  <c r="LG101" i="17"/>
  <c r="LF101" i="17"/>
  <c r="LE101" i="17"/>
  <c r="LD101" i="17"/>
  <c r="LC101" i="17"/>
  <c r="LB101" i="17"/>
  <c r="LA101" i="17"/>
  <c r="KZ101" i="17"/>
  <c r="KV101" i="17"/>
  <c r="KU101" i="17"/>
  <c r="KT101" i="17"/>
  <c r="KS101" i="17"/>
  <c r="KR101" i="17"/>
  <c r="KQ101" i="17"/>
  <c r="KP101" i="17"/>
  <c r="KO101" i="17"/>
  <c r="KN101" i="17"/>
  <c r="KM101" i="17"/>
  <c r="KL101" i="17"/>
  <c r="KK101" i="17"/>
  <c r="KJ101" i="17"/>
  <c r="KI101" i="17"/>
  <c r="KH101" i="17"/>
  <c r="KG101" i="17"/>
  <c r="KF101" i="17"/>
  <c r="KE101" i="17"/>
  <c r="KD101" i="17"/>
  <c r="KC101" i="17"/>
  <c r="KB101" i="17"/>
  <c r="KA101" i="17"/>
  <c r="JZ101" i="17"/>
  <c r="JY101" i="17"/>
  <c r="JX101" i="17"/>
  <c r="JW101" i="17"/>
  <c r="O101" i="17"/>
  <c r="A101" i="17"/>
  <c r="ME100" i="17"/>
  <c r="MD100" i="17"/>
  <c r="MC100" i="17"/>
  <c r="MB100" i="17"/>
  <c r="MA100" i="17"/>
  <c r="LZ100" i="17"/>
  <c r="LY100" i="17"/>
  <c r="LX100" i="17"/>
  <c r="LW100" i="17"/>
  <c r="LV100" i="17"/>
  <c r="LU100" i="17"/>
  <c r="LT100" i="17"/>
  <c r="LS100" i="17"/>
  <c r="LR100" i="17"/>
  <c r="LQ100" i="17"/>
  <c r="LP100" i="17"/>
  <c r="LO100" i="17"/>
  <c r="LN100" i="17"/>
  <c r="LM100" i="17"/>
  <c r="LL100" i="17"/>
  <c r="LK100" i="17"/>
  <c r="LJ100" i="17"/>
  <c r="LI100" i="17"/>
  <c r="LH100" i="17"/>
  <c r="LG100" i="17"/>
  <c r="LF100" i="17"/>
  <c r="LE100" i="17"/>
  <c r="LD100" i="17"/>
  <c r="LC100" i="17"/>
  <c r="LB100" i="17"/>
  <c r="LA100" i="17"/>
  <c r="KZ100" i="17"/>
  <c r="KV100" i="17"/>
  <c r="KU100" i="17"/>
  <c r="KT100" i="17"/>
  <c r="KS100" i="17"/>
  <c r="KR100" i="17"/>
  <c r="KQ100" i="17"/>
  <c r="KP100" i="17"/>
  <c r="KO100" i="17"/>
  <c r="KN100" i="17"/>
  <c r="KM100" i="17"/>
  <c r="KL100" i="17"/>
  <c r="KK100" i="17"/>
  <c r="KJ100" i="17"/>
  <c r="KI100" i="17"/>
  <c r="KH100" i="17"/>
  <c r="KG100" i="17"/>
  <c r="KF100" i="17"/>
  <c r="KE100" i="17"/>
  <c r="KD100" i="17"/>
  <c r="KC100" i="17"/>
  <c r="KB100" i="17"/>
  <c r="KA100" i="17"/>
  <c r="JZ100" i="17"/>
  <c r="JY100" i="17"/>
  <c r="JX100" i="17"/>
  <c r="JW100" i="17"/>
  <c r="O100" i="17"/>
  <c r="A100" i="17"/>
  <c r="ME99" i="17"/>
  <c r="MD99" i="17"/>
  <c r="MC99" i="17"/>
  <c r="MB99" i="17"/>
  <c r="MA99" i="17"/>
  <c r="LZ99" i="17"/>
  <c r="LY99" i="17"/>
  <c r="LX99" i="17"/>
  <c r="LW99" i="17"/>
  <c r="LV99" i="17"/>
  <c r="LU99" i="17"/>
  <c r="LT99" i="17"/>
  <c r="LS99" i="17"/>
  <c r="LR99" i="17"/>
  <c r="LQ99" i="17"/>
  <c r="LP99" i="17"/>
  <c r="LO99" i="17"/>
  <c r="LN99" i="17"/>
  <c r="LM99" i="17"/>
  <c r="LL99" i="17"/>
  <c r="LK99" i="17"/>
  <c r="LJ99" i="17"/>
  <c r="LI99" i="17"/>
  <c r="LH99" i="17"/>
  <c r="LG99" i="17"/>
  <c r="LF99" i="17"/>
  <c r="LE99" i="17"/>
  <c r="LD99" i="17"/>
  <c r="LC99" i="17"/>
  <c r="LB99" i="17"/>
  <c r="LA99" i="17"/>
  <c r="KZ99" i="17"/>
  <c r="KV99" i="17"/>
  <c r="KU99" i="17"/>
  <c r="KT99" i="17"/>
  <c r="KS99" i="17"/>
  <c r="KR99" i="17"/>
  <c r="KQ99" i="17"/>
  <c r="KP99" i="17"/>
  <c r="KO99" i="17"/>
  <c r="KN99" i="17"/>
  <c r="KM99" i="17"/>
  <c r="KL99" i="17"/>
  <c r="KK99" i="17"/>
  <c r="KJ99" i="17"/>
  <c r="KI99" i="17"/>
  <c r="KH99" i="17"/>
  <c r="KG99" i="17"/>
  <c r="KF99" i="17"/>
  <c r="KE99" i="17"/>
  <c r="KD99" i="17"/>
  <c r="KC99" i="17"/>
  <c r="KB99" i="17"/>
  <c r="KA99" i="17"/>
  <c r="JZ99" i="17"/>
  <c r="JY99" i="17"/>
  <c r="JX99" i="17"/>
  <c r="JW99" i="17"/>
  <c r="O99" i="17"/>
  <c r="A99" i="17"/>
  <c r="ME98" i="17"/>
  <c r="MD98" i="17"/>
  <c r="MC98" i="17"/>
  <c r="MB98" i="17"/>
  <c r="MA98" i="17"/>
  <c r="LZ98" i="17"/>
  <c r="LY98" i="17"/>
  <c r="LX98" i="17"/>
  <c r="LW98" i="17"/>
  <c r="LV98" i="17"/>
  <c r="LU98" i="17"/>
  <c r="LT98" i="17"/>
  <c r="LS98" i="17"/>
  <c r="LR98" i="17"/>
  <c r="LQ98" i="17"/>
  <c r="LP98" i="17"/>
  <c r="LO98" i="17"/>
  <c r="LN98" i="17"/>
  <c r="LM98" i="17"/>
  <c r="LL98" i="17"/>
  <c r="LK98" i="17"/>
  <c r="LJ98" i="17"/>
  <c r="LI98" i="17"/>
  <c r="LH98" i="17"/>
  <c r="LG98" i="17"/>
  <c r="LF98" i="17"/>
  <c r="LE98" i="17"/>
  <c r="LD98" i="17"/>
  <c r="LC98" i="17"/>
  <c r="LB98" i="17"/>
  <c r="LA98" i="17"/>
  <c r="KZ98" i="17"/>
  <c r="KV98" i="17"/>
  <c r="KU98" i="17"/>
  <c r="KT98" i="17"/>
  <c r="KS98" i="17"/>
  <c r="KR98" i="17"/>
  <c r="KQ98" i="17"/>
  <c r="KP98" i="17"/>
  <c r="KO98" i="17"/>
  <c r="KN98" i="17"/>
  <c r="KM98" i="17"/>
  <c r="KL98" i="17"/>
  <c r="KK98" i="17"/>
  <c r="KJ98" i="17"/>
  <c r="KI98" i="17"/>
  <c r="KH98" i="17"/>
  <c r="KG98" i="17"/>
  <c r="KF98" i="17"/>
  <c r="KE98" i="17"/>
  <c r="KD98" i="17"/>
  <c r="KC98" i="17"/>
  <c r="KB98" i="17"/>
  <c r="KA98" i="17"/>
  <c r="JZ98" i="17"/>
  <c r="JY98" i="17"/>
  <c r="JX98" i="17"/>
  <c r="JW98" i="17"/>
  <c r="O98" i="17"/>
  <c r="A98" i="17"/>
  <c r="ME97" i="17"/>
  <c r="MD97" i="17"/>
  <c r="MC97" i="17"/>
  <c r="MB97" i="17"/>
  <c r="MA97" i="17"/>
  <c r="LZ97" i="17"/>
  <c r="LY97" i="17"/>
  <c r="LX97" i="17"/>
  <c r="LW97" i="17"/>
  <c r="LV97" i="17"/>
  <c r="LU97" i="17"/>
  <c r="LT97" i="17"/>
  <c r="LS97" i="17"/>
  <c r="LR97" i="17"/>
  <c r="LQ97" i="17"/>
  <c r="LP97" i="17"/>
  <c r="LO97" i="17"/>
  <c r="LN97" i="17"/>
  <c r="LM97" i="17"/>
  <c r="LL97" i="17"/>
  <c r="LK97" i="17"/>
  <c r="LJ97" i="17"/>
  <c r="LI97" i="17"/>
  <c r="LH97" i="17"/>
  <c r="LG97" i="17"/>
  <c r="LF97" i="17"/>
  <c r="LE97" i="17"/>
  <c r="LD97" i="17"/>
  <c r="LC97" i="17"/>
  <c r="LB97" i="17"/>
  <c r="LA97" i="17"/>
  <c r="KZ97" i="17"/>
  <c r="KV97" i="17"/>
  <c r="KU97" i="17"/>
  <c r="KT97" i="17"/>
  <c r="KS97" i="17"/>
  <c r="KR97" i="17"/>
  <c r="KQ97" i="17"/>
  <c r="KP97" i="17"/>
  <c r="KO97" i="17"/>
  <c r="KN97" i="17"/>
  <c r="KM97" i="17"/>
  <c r="KL97" i="17"/>
  <c r="KK97" i="17"/>
  <c r="KJ97" i="17"/>
  <c r="KI97" i="17"/>
  <c r="KH97" i="17"/>
  <c r="KG97" i="17"/>
  <c r="KF97" i="17"/>
  <c r="KE97" i="17"/>
  <c r="KD97" i="17"/>
  <c r="KC97" i="17"/>
  <c r="KB97" i="17"/>
  <c r="KA97" i="17"/>
  <c r="JZ97" i="17"/>
  <c r="JY97" i="17"/>
  <c r="JX97" i="17"/>
  <c r="JW97" i="17"/>
  <c r="O97" i="17"/>
  <c r="A97" i="17"/>
  <c r="ME96" i="17"/>
  <c r="MD96" i="17"/>
  <c r="MC96" i="17"/>
  <c r="MB96" i="17"/>
  <c r="MA96" i="17"/>
  <c r="LZ96" i="17"/>
  <c r="LY96" i="17"/>
  <c r="LX96" i="17"/>
  <c r="LW96" i="17"/>
  <c r="LV96" i="17"/>
  <c r="LU96" i="17"/>
  <c r="LT96" i="17"/>
  <c r="LS96" i="17"/>
  <c r="LR96" i="17"/>
  <c r="LQ96" i="17"/>
  <c r="LP96" i="17"/>
  <c r="LO96" i="17"/>
  <c r="LN96" i="17"/>
  <c r="LM96" i="17"/>
  <c r="LL96" i="17"/>
  <c r="LK96" i="17"/>
  <c r="LJ96" i="17"/>
  <c r="LI96" i="17"/>
  <c r="LH96" i="17"/>
  <c r="LG96" i="17"/>
  <c r="LF96" i="17"/>
  <c r="LE96" i="17"/>
  <c r="LD96" i="17"/>
  <c r="LC96" i="17"/>
  <c r="LB96" i="17"/>
  <c r="LA96" i="17"/>
  <c r="KZ96" i="17"/>
  <c r="KV96" i="17"/>
  <c r="KU96" i="17"/>
  <c r="KT96" i="17"/>
  <c r="KS96" i="17"/>
  <c r="KR96" i="17"/>
  <c r="KQ96" i="17"/>
  <c r="KP96" i="17"/>
  <c r="KO96" i="17"/>
  <c r="KN96" i="17"/>
  <c r="KM96" i="17"/>
  <c r="KL96" i="17"/>
  <c r="KK96" i="17"/>
  <c r="KJ96" i="17"/>
  <c r="KI96" i="17"/>
  <c r="KH96" i="17"/>
  <c r="KG96" i="17"/>
  <c r="KF96" i="17"/>
  <c r="KE96" i="17"/>
  <c r="KD96" i="17"/>
  <c r="KC96" i="17"/>
  <c r="KB96" i="17"/>
  <c r="KA96" i="17"/>
  <c r="JZ96" i="17"/>
  <c r="JY96" i="17"/>
  <c r="JX96" i="17"/>
  <c r="JW96" i="17"/>
  <c r="O96" i="17"/>
  <c r="A96" i="17"/>
  <c r="ME95" i="17"/>
  <c r="MD95" i="17"/>
  <c r="MC95" i="17"/>
  <c r="MB95" i="17"/>
  <c r="MA95" i="17"/>
  <c r="LZ95" i="17"/>
  <c r="LY95" i="17"/>
  <c r="LX95" i="17"/>
  <c r="LW95" i="17"/>
  <c r="LV95" i="17"/>
  <c r="LU95" i="17"/>
  <c r="LT95" i="17"/>
  <c r="LS95" i="17"/>
  <c r="LR95" i="17"/>
  <c r="LQ95" i="17"/>
  <c r="LP95" i="17"/>
  <c r="LO95" i="17"/>
  <c r="LN95" i="17"/>
  <c r="LM95" i="17"/>
  <c r="LL95" i="17"/>
  <c r="LK95" i="17"/>
  <c r="LJ95" i="17"/>
  <c r="LI95" i="17"/>
  <c r="LH95" i="17"/>
  <c r="LG95" i="17"/>
  <c r="LF95" i="17"/>
  <c r="LE95" i="17"/>
  <c r="LD95" i="17"/>
  <c r="LC95" i="17"/>
  <c r="LB95" i="17"/>
  <c r="LA95" i="17"/>
  <c r="KZ95" i="17"/>
  <c r="KV95" i="17"/>
  <c r="KU95" i="17"/>
  <c r="KT95" i="17"/>
  <c r="KS95" i="17"/>
  <c r="KR95" i="17"/>
  <c r="KQ95" i="17"/>
  <c r="KP95" i="17"/>
  <c r="KO95" i="17"/>
  <c r="KN95" i="17"/>
  <c r="KM95" i="17"/>
  <c r="KL95" i="17"/>
  <c r="KK95" i="17"/>
  <c r="KJ95" i="17"/>
  <c r="KI95" i="17"/>
  <c r="KH95" i="17"/>
  <c r="KG95" i="17"/>
  <c r="KF95" i="17"/>
  <c r="KE95" i="17"/>
  <c r="KD95" i="17"/>
  <c r="KC95" i="17"/>
  <c r="KB95" i="17"/>
  <c r="KA95" i="17"/>
  <c r="JZ95" i="17"/>
  <c r="JY95" i="17"/>
  <c r="JX95" i="17"/>
  <c r="JW95" i="17"/>
  <c r="O95" i="17"/>
  <c r="A95" i="17"/>
  <c r="ME94" i="17"/>
  <c r="MD94" i="17"/>
  <c r="MC94" i="17"/>
  <c r="MB94" i="17"/>
  <c r="MA94" i="17"/>
  <c r="LZ94" i="17"/>
  <c r="LY94" i="17"/>
  <c r="LX94" i="17"/>
  <c r="LW94" i="17"/>
  <c r="LV94" i="17"/>
  <c r="LU94" i="17"/>
  <c r="LT94" i="17"/>
  <c r="LS94" i="17"/>
  <c r="LR94" i="17"/>
  <c r="LQ94" i="17"/>
  <c r="LP94" i="17"/>
  <c r="LO94" i="17"/>
  <c r="LN94" i="17"/>
  <c r="LM94" i="17"/>
  <c r="LL94" i="17"/>
  <c r="LK94" i="17"/>
  <c r="LJ94" i="17"/>
  <c r="LI94" i="17"/>
  <c r="LH94" i="17"/>
  <c r="LG94" i="17"/>
  <c r="LF94" i="17"/>
  <c r="LE94" i="17"/>
  <c r="LD94" i="17"/>
  <c r="LC94" i="17"/>
  <c r="LB94" i="17"/>
  <c r="LA94" i="17"/>
  <c r="KZ94" i="17"/>
  <c r="KV94" i="17"/>
  <c r="KU94" i="17"/>
  <c r="KT94" i="17"/>
  <c r="KS94" i="17"/>
  <c r="KR94" i="17"/>
  <c r="KQ94" i="17"/>
  <c r="KP94" i="17"/>
  <c r="KO94" i="17"/>
  <c r="KN94" i="17"/>
  <c r="KM94" i="17"/>
  <c r="KL94" i="17"/>
  <c r="KK94" i="17"/>
  <c r="KJ94" i="17"/>
  <c r="KI94" i="17"/>
  <c r="KH94" i="17"/>
  <c r="KG94" i="17"/>
  <c r="KF94" i="17"/>
  <c r="KE94" i="17"/>
  <c r="KD94" i="17"/>
  <c r="KC94" i="17"/>
  <c r="KB94" i="17"/>
  <c r="KA94" i="17"/>
  <c r="JZ94" i="17"/>
  <c r="JY94" i="17"/>
  <c r="JX94" i="17"/>
  <c r="JW94" i="17"/>
  <c r="O94" i="17"/>
  <c r="A94" i="17"/>
  <c r="ME93" i="17"/>
  <c r="MD93" i="17"/>
  <c r="MC93" i="17"/>
  <c r="MB93" i="17"/>
  <c r="MA93" i="17"/>
  <c r="LZ93" i="17"/>
  <c r="LY93" i="17"/>
  <c r="LX93" i="17"/>
  <c r="LW93" i="17"/>
  <c r="LV93" i="17"/>
  <c r="LU93" i="17"/>
  <c r="LT93" i="17"/>
  <c r="LS93" i="17"/>
  <c r="LR93" i="17"/>
  <c r="LQ93" i="17"/>
  <c r="LP93" i="17"/>
  <c r="LO93" i="17"/>
  <c r="LN93" i="17"/>
  <c r="LM93" i="17"/>
  <c r="LL93" i="17"/>
  <c r="LK93" i="17"/>
  <c r="LJ93" i="17"/>
  <c r="LI93" i="17"/>
  <c r="LH93" i="17"/>
  <c r="LG93" i="17"/>
  <c r="LF93" i="17"/>
  <c r="LE93" i="17"/>
  <c r="LD93" i="17"/>
  <c r="LC93" i="17"/>
  <c r="LB93" i="17"/>
  <c r="LA93" i="17"/>
  <c r="KZ93" i="17"/>
  <c r="KV93" i="17"/>
  <c r="KU93" i="17"/>
  <c r="KT93" i="17"/>
  <c r="KS93" i="17"/>
  <c r="KR93" i="17"/>
  <c r="KQ93" i="17"/>
  <c r="KP93" i="17"/>
  <c r="KO93" i="17"/>
  <c r="KN93" i="17"/>
  <c r="KM93" i="17"/>
  <c r="KL93" i="17"/>
  <c r="KK93" i="17"/>
  <c r="KJ93" i="17"/>
  <c r="KI93" i="17"/>
  <c r="KH93" i="17"/>
  <c r="KG93" i="17"/>
  <c r="KF93" i="17"/>
  <c r="KE93" i="17"/>
  <c r="KD93" i="17"/>
  <c r="KC93" i="17"/>
  <c r="KB93" i="17"/>
  <c r="KA93" i="17"/>
  <c r="JZ93" i="17"/>
  <c r="JY93" i="17"/>
  <c r="JX93" i="17"/>
  <c r="JW93" i="17"/>
  <c r="O93" i="17"/>
  <c r="A93" i="17"/>
  <c r="ME92" i="17"/>
  <c r="MD92" i="17"/>
  <c r="MC92" i="17"/>
  <c r="MB92" i="17"/>
  <c r="MA92" i="17"/>
  <c r="LZ92" i="17"/>
  <c r="LY92" i="17"/>
  <c r="LX92" i="17"/>
  <c r="LW92" i="17"/>
  <c r="LV92" i="17"/>
  <c r="LU92" i="17"/>
  <c r="LT92" i="17"/>
  <c r="LS92" i="17"/>
  <c r="LR92" i="17"/>
  <c r="LQ92" i="17"/>
  <c r="LP92" i="17"/>
  <c r="LO92" i="17"/>
  <c r="LN92" i="17"/>
  <c r="LM92" i="17"/>
  <c r="LL92" i="17"/>
  <c r="LK92" i="17"/>
  <c r="LJ92" i="17"/>
  <c r="LI92" i="17"/>
  <c r="LH92" i="17"/>
  <c r="LG92" i="17"/>
  <c r="LF92" i="17"/>
  <c r="LE92" i="17"/>
  <c r="LD92" i="17"/>
  <c r="LC92" i="17"/>
  <c r="LB92" i="17"/>
  <c r="LA92" i="17"/>
  <c r="KZ92" i="17"/>
  <c r="KV92" i="17"/>
  <c r="KU92" i="17"/>
  <c r="KT92" i="17"/>
  <c r="KS92" i="17"/>
  <c r="KR92" i="17"/>
  <c r="KQ92" i="17"/>
  <c r="KP92" i="17"/>
  <c r="KO92" i="17"/>
  <c r="KN92" i="17"/>
  <c r="KM92" i="17"/>
  <c r="KL92" i="17"/>
  <c r="KK92" i="17"/>
  <c r="KJ92" i="17"/>
  <c r="KI92" i="17"/>
  <c r="KH92" i="17"/>
  <c r="KG92" i="17"/>
  <c r="KF92" i="17"/>
  <c r="KE92" i="17"/>
  <c r="KD92" i="17"/>
  <c r="KC92" i="17"/>
  <c r="KB92" i="17"/>
  <c r="KA92" i="17"/>
  <c r="JZ92" i="17"/>
  <c r="JY92" i="17"/>
  <c r="JX92" i="17"/>
  <c r="JW92" i="17"/>
  <c r="O92" i="17"/>
  <c r="A92" i="17"/>
  <c r="ME91" i="17"/>
  <c r="MD91" i="17"/>
  <c r="MC91" i="17"/>
  <c r="MB91" i="17"/>
  <c r="MA91" i="17"/>
  <c r="LZ91" i="17"/>
  <c r="LY91" i="17"/>
  <c r="LX91" i="17"/>
  <c r="LW91" i="17"/>
  <c r="LV91" i="17"/>
  <c r="LU91" i="17"/>
  <c r="LT91" i="17"/>
  <c r="LS91" i="17"/>
  <c r="LR91" i="17"/>
  <c r="LQ91" i="17"/>
  <c r="LP91" i="17"/>
  <c r="LO91" i="17"/>
  <c r="LN91" i="17"/>
  <c r="LM91" i="17"/>
  <c r="LL91" i="17"/>
  <c r="LK91" i="17"/>
  <c r="LJ91" i="17"/>
  <c r="LI91" i="17"/>
  <c r="LH91" i="17"/>
  <c r="LG91" i="17"/>
  <c r="LF91" i="17"/>
  <c r="LE91" i="17"/>
  <c r="LD91" i="17"/>
  <c r="LC91" i="17"/>
  <c r="LB91" i="17"/>
  <c r="LA91" i="17"/>
  <c r="KZ91" i="17"/>
  <c r="KV91" i="17"/>
  <c r="KU91" i="17"/>
  <c r="KT91" i="17"/>
  <c r="KS91" i="17"/>
  <c r="KR91" i="17"/>
  <c r="KQ91" i="17"/>
  <c r="KP91" i="17"/>
  <c r="KO91" i="17"/>
  <c r="KN91" i="17"/>
  <c r="KM91" i="17"/>
  <c r="KL91" i="17"/>
  <c r="KK91" i="17"/>
  <c r="KJ91" i="17"/>
  <c r="KI91" i="17"/>
  <c r="KH91" i="17"/>
  <c r="KG91" i="17"/>
  <c r="KF91" i="17"/>
  <c r="KE91" i="17"/>
  <c r="KD91" i="17"/>
  <c r="KC91" i="17"/>
  <c r="KB91" i="17"/>
  <c r="KA91" i="17"/>
  <c r="JZ91" i="17"/>
  <c r="JY91" i="17"/>
  <c r="JX91" i="17"/>
  <c r="JW91" i="17"/>
  <c r="O91" i="17"/>
  <c r="A91" i="17"/>
  <c r="ME90" i="17"/>
  <c r="MD90" i="17"/>
  <c r="MC90" i="17"/>
  <c r="MB90" i="17"/>
  <c r="MA90" i="17"/>
  <c r="LZ90" i="17"/>
  <c r="LY90" i="17"/>
  <c r="LX90" i="17"/>
  <c r="LW90" i="17"/>
  <c r="LV90" i="17"/>
  <c r="LU90" i="17"/>
  <c r="LT90" i="17"/>
  <c r="LS90" i="17"/>
  <c r="LR90" i="17"/>
  <c r="LQ90" i="17"/>
  <c r="LP90" i="17"/>
  <c r="LO90" i="17"/>
  <c r="LN90" i="17"/>
  <c r="LM90" i="17"/>
  <c r="LL90" i="17"/>
  <c r="LK90" i="17"/>
  <c r="LJ90" i="17"/>
  <c r="LI90" i="17"/>
  <c r="LH90" i="17"/>
  <c r="LG90" i="17"/>
  <c r="LF90" i="17"/>
  <c r="LE90" i="17"/>
  <c r="LD90" i="17"/>
  <c r="LC90" i="17"/>
  <c r="LB90" i="17"/>
  <c r="LA90" i="17"/>
  <c r="KZ90" i="17"/>
  <c r="KV90" i="17"/>
  <c r="KU90" i="17"/>
  <c r="KT90" i="17"/>
  <c r="KS90" i="17"/>
  <c r="KR90" i="17"/>
  <c r="KQ90" i="17"/>
  <c r="KP90" i="17"/>
  <c r="KO90" i="17"/>
  <c r="KN90" i="17"/>
  <c r="KM90" i="17"/>
  <c r="KL90" i="17"/>
  <c r="KK90" i="17"/>
  <c r="KJ90" i="17"/>
  <c r="KI90" i="17"/>
  <c r="KH90" i="17"/>
  <c r="KG90" i="17"/>
  <c r="KF90" i="17"/>
  <c r="KE90" i="17"/>
  <c r="KD90" i="17"/>
  <c r="KC90" i="17"/>
  <c r="KB90" i="17"/>
  <c r="KA90" i="17"/>
  <c r="JZ90" i="17"/>
  <c r="JY90" i="17"/>
  <c r="JX90" i="17"/>
  <c r="JW90" i="17"/>
  <c r="O90" i="17"/>
  <c r="A90" i="17"/>
  <c r="O89" i="17"/>
  <c r="A89" i="17"/>
  <c r="O88" i="17"/>
  <c r="A88" i="17"/>
  <c r="O87" i="17"/>
  <c r="A87" i="17"/>
  <c r="O86" i="17"/>
  <c r="A86" i="17"/>
  <c r="O85" i="17"/>
  <c r="A85" i="17"/>
  <c r="O84" i="17"/>
  <c r="A84" i="17"/>
  <c r="O83" i="17"/>
  <c r="A83" i="17"/>
  <c r="O82" i="17"/>
  <c r="A82" i="17"/>
  <c r="O81" i="17"/>
  <c r="A81" i="17"/>
  <c r="O80" i="17"/>
  <c r="A80" i="17"/>
  <c r="O79" i="17"/>
  <c r="A79" i="17"/>
  <c r="O78" i="17"/>
  <c r="A78" i="17"/>
  <c r="O77" i="17"/>
  <c r="A77" i="17"/>
  <c r="O76" i="17"/>
  <c r="A76" i="17"/>
  <c r="O75" i="17"/>
  <c r="A75" i="17"/>
  <c r="O74" i="17"/>
  <c r="A74" i="17"/>
  <c r="EI62" i="17"/>
  <c r="EH62" i="17"/>
  <c r="EG62" i="17"/>
  <c r="EF62" i="17"/>
  <c r="EE62" i="17"/>
  <c r="HA61" i="17"/>
  <c r="GX61" i="17"/>
  <c r="GW61" i="17"/>
  <c r="EI61" i="17"/>
  <c r="EH61" i="17"/>
  <c r="EG61" i="17"/>
  <c r="EF61" i="17"/>
  <c r="EE61" i="17"/>
  <c r="HA60" i="17"/>
  <c r="GX60" i="17"/>
  <c r="GW60" i="17"/>
  <c r="EI60" i="17"/>
  <c r="EH60" i="17"/>
  <c r="EG60" i="17"/>
  <c r="EF60" i="17"/>
  <c r="EE60" i="17"/>
  <c r="HA59" i="17"/>
  <c r="GY59" i="17"/>
  <c r="GX59" i="17"/>
  <c r="GW59" i="17"/>
  <c r="EI59" i="17"/>
  <c r="EH59" i="17"/>
  <c r="EG59" i="17"/>
  <c r="EF59" i="17"/>
  <c r="EE59" i="17"/>
  <c r="HA58" i="17"/>
  <c r="GX58" i="17"/>
  <c r="GW58" i="17"/>
  <c r="EI58" i="17"/>
  <c r="EH58" i="17"/>
  <c r="EG58" i="17"/>
  <c r="EF58" i="17"/>
  <c r="EE58" i="17"/>
  <c r="HA57" i="17"/>
  <c r="GZ57" i="17"/>
  <c r="GX57" i="17"/>
  <c r="GW57" i="17"/>
  <c r="EI57" i="17"/>
  <c r="EI54" i="17" s="1"/>
  <c r="EH57" i="17"/>
  <c r="EH54" i="17" s="1"/>
  <c r="EG57" i="17"/>
  <c r="EG56" i="17" s="1"/>
  <c r="EF57" i="17"/>
  <c r="EF56" i="17" s="1"/>
  <c r="EE57" i="17"/>
  <c r="EE54" i="17" s="1"/>
  <c r="HA56" i="17"/>
  <c r="GZ56" i="17"/>
  <c r="GX56" i="17"/>
  <c r="GW56" i="17"/>
  <c r="EA56" i="17"/>
  <c r="DZ56" i="17"/>
  <c r="DY56" i="17"/>
  <c r="DX56" i="17"/>
  <c r="DW56" i="17"/>
  <c r="HA55" i="17"/>
  <c r="GY55" i="17"/>
  <c r="GX55" i="17"/>
  <c r="GW55" i="17"/>
  <c r="EA55" i="17"/>
  <c r="DZ55" i="17"/>
  <c r="DY55" i="17"/>
  <c r="DX55" i="17"/>
  <c r="DW55" i="17"/>
  <c r="CR55" i="17"/>
  <c r="CQ55" i="17"/>
  <c r="CP55" i="17"/>
  <c r="CO55" i="17"/>
  <c r="CN55" i="17"/>
  <c r="HA54" i="17"/>
  <c r="GY54" i="17"/>
  <c r="GX54" i="17"/>
  <c r="GW54" i="17"/>
  <c r="GE54" i="17"/>
  <c r="GD54" i="17"/>
  <c r="GC54" i="17"/>
  <c r="GB54" i="17"/>
  <c r="GA54" i="17"/>
  <c r="EA54" i="17"/>
  <c r="EA51" i="17" s="1"/>
  <c r="DZ54" i="17"/>
  <c r="DZ51" i="17" s="1"/>
  <c r="DY54" i="17"/>
  <c r="DY53" i="17" s="1"/>
  <c r="DX54" i="17"/>
  <c r="DW54" i="17"/>
  <c r="DW51" i="17" s="1"/>
  <c r="CR54" i="17"/>
  <c r="CQ54" i="17"/>
  <c r="CP54" i="17"/>
  <c r="CO54" i="17"/>
  <c r="CN54" i="17"/>
  <c r="HA53" i="17"/>
  <c r="GY53" i="17"/>
  <c r="GX53" i="17"/>
  <c r="GW53" i="17"/>
  <c r="GE53" i="17"/>
  <c r="GD53" i="17"/>
  <c r="GC53" i="17"/>
  <c r="GB53" i="17"/>
  <c r="GA53" i="17"/>
  <c r="FW53" i="17"/>
  <c r="FV53" i="17"/>
  <c r="FU53" i="17"/>
  <c r="FT53" i="17"/>
  <c r="FS53" i="17"/>
  <c r="FA53" i="17"/>
  <c r="EZ53" i="17"/>
  <c r="EY53" i="17"/>
  <c r="EX53" i="17"/>
  <c r="EW53" i="17"/>
  <c r="ER53" i="17"/>
  <c r="EQ53" i="17"/>
  <c r="EP53" i="17"/>
  <c r="EO53" i="17"/>
  <c r="EN53" i="17"/>
  <c r="CR53" i="17"/>
  <c r="CQ53" i="17"/>
  <c r="CP53" i="17"/>
  <c r="CO53" i="17"/>
  <c r="CN53" i="17"/>
  <c r="HA52" i="17"/>
  <c r="GX52" i="17"/>
  <c r="GW52" i="17"/>
  <c r="GE52" i="17"/>
  <c r="GD52" i="17"/>
  <c r="GC52" i="17"/>
  <c r="GB52" i="17"/>
  <c r="GA52" i="17"/>
  <c r="FW52" i="17"/>
  <c r="FV52" i="17"/>
  <c r="FU52" i="17"/>
  <c r="FT52" i="17"/>
  <c r="FS52" i="17"/>
  <c r="FA52" i="17"/>
  <c r="EZ52" i="17"/>
  <c r="EY52" i="17"/>
  <c r="EX52" i="17"/>
  <c r="EW52" i="17"/>
  <c r="ER52" i="17"/>
  <c r="EQ52" i="17"/>
  <c r="EP52" i="17"/>
  <c r="EO52" i="17"/>
  <c r="EN52" i="17"/>
  <c r="CR52" i="17"/>
  <c r="CQ52" i="17"/>
  <c r="CP52" i="17"/>
  <c r="CO52" i="17"/>
  <c r="CN52" i="17"/>
  <c r="HA51" i="17"/>
  <c r="GY51" i="17"/>
  <c r="GX51" i="17"/>
  <c r="GW51" i="17"/>
  <c r="GE51" i="17"/>
  <c r="GD51" i="17"/>
  <c r="GC51" i="17"/>
  <c r="GB51" i="17"/>
  <c r="GA51" i="17"/>
  <c r="FW51" i="17"/>
  <c r="FV51" i="17"/>
  <c r="FU51" i="17"/>
  <c r="FT51" i="17"/>
  <c r="FS51" i="17"/>
  <c r="FA51" i="17"/>
  <c r="EZ51" i="17"/>
  <c r="EY51" i="17"/>
  <c r="EX51" i="17"/>
  <c r="EW51" i="17"/>
  <c r="ER51" i="17"/>
  <c r="EQ51" i="17"/>
  <c r="EP51" i="17"/>
  <c r="EO51" i="17"/>
  <c r="EN51" i="17"/>
  <c r="DX51" i="17"/>
  <c r="DA51" i="17"/>
  <c r="CS131" i="17" l="1"/>
  <c r="CF134" i="17"/>
  <c r="CS143" i="17"/>
  <c r="CR143" i="17" s="1"/>
  <c r="CQ143" i="17" s="1"/>
  <c r="CR131" i="17"/>
  <c r="CQ131" i="17" s="1"/>
  <c r="CP131" i="17" s="1"/>
  <c r="CO131" i="17" s="1"/>
  <c r="CN131" i="17" s="1"/>
  <c r="CM131" i="17" s="1"/>
  <c r="CL131" i="17" s="1"/>
  <c r="CK131" i="17" s="1"/>
  <c r="CJ131" i="17" s="1"/>
  <c r="CI131" i="17" s="1"/>
  <c r="CH131" i="17" s="1"/>
  <c r="CP143" i="17"/>
  <c r="CO143" i="17" s="1"/>
  <c r="CN143" i="17" s="1"/>
  <c r="CM143" i="17" s="1"/>
  <c r="CL143" i="17" s="1"/>
  <c r="CK143" i="17" s="1"/>
  <c r="CJ143" i="17" s="1"/>
  <c r="CI143" i="17" s="1"/>
  <c r="CH143" i="17" s="1"/>
  <c r="J27" i="6"/>
  <c r="K51" i="18"/>
  <c r="EI239" i="2"/>
  <c r="AF36" i="6"/>
  <c r="AF33" i="6"/>
  <c r="K102" i="31"/>
  <c r="K95" i="31"/>
  <c r="K100" i="31"/>
  <c r="K101" i="31"/>
  <c r="K98" i="31"/>
  <c r="K99" i="31"/>
  <c r="K96" i="31"/>
  <c r="K97" i="31"/>
  <c r="J100" i="31"/>
  <c r="J99" i="31"/>
  <c r="J98" i="31"/>
  <c r="J97" i="31"/>
  <c r="J96" i="31"/>
  <c r="J95" i="31"/>
  <c r="J102" i="31"/>
  <c r="J101" i="31"/>
  <c r="I95" i="31"/>
  <c r="I96" i="31"/>
  <c r="I98" i="31"/>
  <c r="I101" i="31"/>
  <c r="I102" i="31"/>
  <c r="I99" i="31"/>
  <c r="I100" i="31"/>
  <c r="I97" i="31"/>
  <c r="H97" i="31"/>
  <c r="H98" i="31"/>
  <c r="H99" i="31"/>
  <c r="H100" i="31"/>
  <c r="H95" i="31"/>
  <c r="H96" i="31"/>
  <c r="H101" i="31"/>
  <c r="H102" i="31"/>
  <c r="G98" i="31"/>
  <c r="G97" i="31"/>
  <c r="G96" i="31"/>
  <c r="G95" i="31"/>
  <c r="G100" i="31"/>
  <c r="G99" i="31"/>
  <c r="G102" i="31"/>
  <c r="G101" i="31"/>
  <c r="F100" i="31"/>
  <c r="F99" i="31"/>
  <c r="F98" i="31"/>
  <c r="F97" i="31"/>
  <c r="F96" i="31"/>
  <c r="F95" i="31"/>
  <c r="F102" i="31"/>
  <c r="F101" i="31"/>
  <c r="E95" i="31"/>
  <c r="E96" i="31"/>
  <c r="E101" i="31"/>
  <c r="E102" i="31"/>
  <c r="E99" i="31"/>
  <c r="E100" i="31"/>
  <c r="E97" i="31"/>
  <c r="E98" i="31"/>
  <c r="D99" i="31"/>
  <c r="D100" i="31"/>
  <c r="D97" i="31"/>
  <c r="D98" i="31"/>
  <c r="D95" i="31"/>
  <c r="D96" i="31"/>
  <c r="D101" i="31"/>
  <c r="D102" i="31"/>
  <c r="B98" i="31"/>
  <c r="B97" i="31"/>
  <c r="B95" i="31"/>
  <c r="B102" i="31"/>
  <c r="B101" i="31"/>
  <c r="B100" i="31"/>
  <c r="B99" i="31"/>
  <c r="B96" i="31"/>
  <c r="EI240" i="2"/>
  <c r="C67" i="31" s="1"/>
  <c r="EA53" i="17"/>
  <c r="DD251" i="2"/>
  <c r="DC251" i="2" s="1"/>
  <c r="J7" i="6" s="1"/>
  <c r="DE250" i="2"/>
  <c r="DB132" i="17"/>
  <c r="DA132" i="17" s="1"/>
  <c r="CZ132" i="17" s="1"/>
  <c r="CY132" i="17" s="1"/>
  <c r="CX132" i="17" s="1"/>
  <c r="CW132" i="17" s="1"/>
  <c r="CV132" i="17" s="1"/>
  <c r="CU132" i="17" s="1"/>
  <c r="CS132" i="17" s="1"/>
  <c r="DD273" i="2"/>
  <c r="DE272" i="2"/>
  <c r="KM286" i="2"/>
  <c r="KT287" i="2"/>
  <c r="KT288" i="2" s="1"/>
  <c r="CF135" i="17"/>
  <c r="CF136" i="17" s="1"/>
  <c r="CF137" i="17" s="1"/>
  <c r="J30" i="6"/>
  <c r="K52" i="18"/>
  <c r="DC273" i="2"/>
  <c r="KJ285" i="2"/>
  <c r="KI285" i="2" s="1"/>
  <c r="KH285" i="2" s="1"/>
  <c r="KG285" i="2" s="1"/>
  <c r="AU38" i="6" s="1"/>
  <c r="BO23" i="3"/>
  <c r="BN23" i="3"/>
  <c r="BJ23" i="3"/>
  <c r="AZ23" i="3"/>
  <c r="BO22" i="3"/>
  <c r="BK22" i="3"/>
  <c r="AX22" i="3"/>
  <c r="BQ21" i="3"/>
  <c r="BM21" i="3"/>
  <c r="AZ21" i="3"/>
  <c r="BO20" i="3"/>
  <c r="BK20" i="3"/>
  <c r="AX20" i="3"/>
  <c r="BM19" i="3"/>
  <c r="AZ19" i="3"/>
  <c r="BN18" i="3"/>
  <c r="BJ18" i="3"/>
  <c r="BA18" i="3"/>
  <c r="BO17" i="3"/>
  <c r="BK17" i="3"/>
  <c r="BQ18" i="3"/>
  <c r="AZ18" i="3"/>
  <c r="BQ17" i="3"/>
  <c r="BQ23" i="3"/>
  <c r="BM23" i="3"/>
  <c r="BH23" i="3"/>
  <c r="AY23" i="3"/>
  <c r="BN22" i="3"/>
  <c r="BJ22" i="3"/>
  <c r="BA22" i="3"/>
  <c r="BP21" i="3"/>
  <c r="BL21" i="3"/>
  <c r="AY21" i="3"/>
  <c r="BN20" i="3"/>
  <c r="BJ20" i="3"/>
  <c r="BA20" i="3"/>
  <c r="BL19" i="3"/>
  <c r="AY19" i="3"/>
  <c r="BM18" i="3"/>
  <c r="BN17" i="3"/>
  <c r="BJ17" i="3"/>
  <c r="BP23" i="3"/>
  <c r="BL23" i="3"/>
  <c r="BG23" i="3"/>
  <c r="AX23" i="3"/>
  <c r="BQ22" i="3"/>
  <c r="BM22" i="3"/>
  <c r="AZ22" i="3"/>
  <c r="BO21" i="3"/>
  <c r="BK21" i="3"/>
  <c r="AX21" i="3"/>
  <c r="BQ20" i="3"/>
  <c r="BM20" i="3"/>
  <c r="AZ20" i="3"/>
  <c r="AX19" i="3"/>
  <c r="BP18" i="3"/>
  <c r="BL18" i="3"/>
  <c r="AY18" i="3"/>
  <c r="BK23" i="3"/>
  <c r="BL22" i="3"/>
  <c r="BJ21" i="3"/>
  <c r="BA19" i="3"/>
  <c r="BL17" i="3"/>
  <c r="BF23" i="3"/>
  <c r="BA21" i="3"/>
  <c r="AY20" i="3"/>
  <c r="AX18" i="3"/>
  <c r="BP22" i="3"/>
  <c r="BK18" i="3"/>
  <c r="BM17" i="3"/>
  <c r="BA23" i="3"/>
  <c r="AY22" i="3"/>
  <c r="BP20" i="3"/>
  <c r="BO18" i="3"/>
  <c r="BP17" i="3"/>
  <c r="BN21" i="3"/>
  <c r="BL20" i="3"/>
  <c r="BJ19" i="3"/>
  <c r="EH238" i="2"/>
  <c r="AH19" i="3"/>
  <c r="DY51" i="17"/>
  <c r="EG54" i="17"/>
  <c r="EF54" i="17" s="1"/>
  <c r="DZ53" i="17"/>
  <c r="DX53" i="17"/>
  <c r="DW53" i="17" s="1"/>
  <c r="EI56" i="17"/>
  <c r="EH56" i="17" s="1"/>
  <c r="EE56" i="17"/>
  <c r="CZ51" i="17"/>
  <c r="CY51" i="17"/>
  <c r="CX51" i="17"/>
  <c r="CW51" i="17"/>
  <c r="CR51" i="17"/>
  <c r="CQ51" i="17"/>
  <c r="CP51" i="17"/>
  <c r="CO51" i="17"/>
  <c r="CN51" i="17"/>
  <c r="HA50" i="17"/>
  <c r="GZ50" i="17"/>
  <c r="GY50" i="17"/>
  <c r="GX50" i="17"/>
  <c r="GW50" i="17"/>
  <c r="GE50" i="17"/>
  <c r="GD50" i="17"/>
  <c r="GC50" i="17"/>
  <c r="GB50" i="17"/>
  <c r="GA50" i="17"/>
  <c r="FW50" i="17"/>
  <c r="FV50" i="17"/>
  <c r="FU50" i="17"/>
  <c r="FT50" i="17"/>
  <c r="FS50" i="17"/>
  <c r="FA50" i="17"/>
  <c r="EZ50" i="17"/>
  <c r="EY50" i="17"/>
  <c r="EX50" i="17"/>
  <c r="EW50" i="17"/>
  <c r="ER50" i="17"/>
  <c r="EQ50" i="17"/>
  <c r="EP50" i="17"/>
  <c r="EO50" i="17"/>
  <c r="EN50" i="17"/>
  <c r="DA50" i="17"/>
  <c r="F30" i="21" s="1"/>
  <c r="CZ50" i="17"/>
  <c r="E30" i="21" s="1"/>
  <c r="CY50" i="17"/>
  <c r="D30" i="21" s="1"/>
  <c r="CX50" i="17"/>
  <c r="C30" i="21" s="1"/>
  <c r="CW50" i="17"/>
  <c r="B30" i="21" s="1"/>
  <c r="CR50" i="17"/>
  <c r="CQ50" i="17"/>
  <c r="CP50" i="17"/>
  <c r="CO50" i="17"/>
  <c r="CN50" i="17"/>
  <c r="HA49" i="17"/>
  <c r="GZ49" i="17"/>
  <c r="GY49" i="17"/>
  <c r="GX49" i="17"/>
  <c r="GW49" i="17"/>
  <c r="GE49" i="17"/>
  <c r="GD49" i="17"/>
  <c r="GC49" i="17"/>
  <c r="GB49" i="17"/>
  <c r="GA49" i="17"/>
  <c r="FW49" i="17"/>
  <c r="FV49" i="17"/>
  <c r="FU49" i="17"/>
  <c r="FT49" i="17"/>
  <c r="FS49" i="17"/>
  <c r="FA49" i="17"/>
  <c r="EZ49" i="17"/>
  <c r="EY49" i="17"/>
  <c r="EX49" i="17"/>
  <c r="EW49" i="17"/>
  <c r="ER49" i="17"/>
  <c r="EQ49" i="17"/>
  <c r="EP49" i="17"/>
  <c r="EO49" i="17"/>
  <c r="EN49" i="17"/>
  <c r="DA49" i="17"/>
  <c r="F29" i="21" s="1"/>
  <c r="CZ49" i="17"/>
  <c r="E29" i="21" s="1"/>
  <c r="CY49" i="17"/>
  <c r="D29" i="21" s="1"/>
  <c r="CX49" i="17"/>
  <c r="C29" i="21" s="1"/>
  <c r="CW49" i="17"/>
  <c r="B29" i="21" s="1"/>
  <c r="CR49" i="17"/>
  <c r="CQ49" i="17"/>
  <c r="CP49" i="17"/>
  <c r="CO49" i="17"/>
  <c r="CN49" i="17"/>
  <c r="HA48" i="17"/>
  <c r="GZ48" i="17"/>
  <c r="GY48" i="17"/>
  <c r="GX48" i="17"/>
  <c r="GW48" i="17"/>
  <c r="GE48" i="17"/>
  <c r="GD48" i="17"/>
  <c r="GC48" i="17"/>
  <c r="GB48" i="17"/>
  <c r="GA48" i="17"/>
  <c r="FW48" i="17"/>
  <c r="FV48" i="17"/>
  <c r="FU48" i="17"/>
  <c r="FT48" i="17"/>
  <c r="FS48" i="17"/>
  <c r="FA48" i="17"/>
  <c r="EZ48" i="17"/>
  <c r="EY48" i="17"/>
  <c r="EX48" i="17"/>
  <c r="EW48" i="17"/>
  <c r="ER48" i="17"/>
  <c r="EQ48" i="17"/>
  <c r="EP48" i="17"/>
  <c r="EO48" i="17"/>
  <c r="EN48" i="17"/>
  <c r="EI48" i="17"/>
  <c r="EH48" i="17"/>
  <c r="EG48" i="17"/>
  <c r="EF48" i="17"/>
  <c r="EE48" i="17"/>
  <c r="DA48" i="17"/>
  <c r="F28" i="21" s="1"/>
  <c r="CZ48" i="17"/>
  <c r="E28" i="21" s="1"/>
  <c r="CY48" i="17"/>
  <c r="D28" i="21" s="1"/>
  <c r="CX48" i="17"/>
  <c r="C28" i="21" s="1"/>
  <c r="CW48" i="17"/>
  <c r="B28" i="21" s="1"/>
  <c r="CR48" i="17"/>
  <c r="CQ48" i="17"/>
  <c r="CP48" i="17"/>
  <c r="CO48" i="17"/>
  <c r="CN48" i="17"/>
  <c r="HA47" i="17"/>
  <c r="GZ47" i="17"/>
  <c r="GY47" i="17"/>
  <c r="GX47" i="17"/>
  <c r="GW47" i="17"/>
  <c r="GE47" i="17"/>
  <c r="GD47" i="17"/>
  <c r="GC47" i="17"/>
  <c r="GB47" i="17"/>
  <c r="GA47" i="17"/>
  <c r="FW47" i="17"/>
  <c r="FV47" i="17"/>
  <c r="FU47" i="17"/>
  <c r="FT47" i="17"/>
  <c r="FS47" i="17"/>
  <c r="FA47" i="17"/>
  <c r="EZ47" i="17"/>
  <c r="EY47" i="17"/>
  <c r="EX47" i="17"/>
  <c r="EW47" i="17"/>
  <c r="ER47" i="17"/>
  <c r="EQ47" i="17"/>
  <c r="EP47" i="17"/>
  <c r="EO47" i="17"/>
  <c r="EN47" i="17"/>
  <c r="EI47" i="17"/>
  <c r="EH47" i="17"/>
  <c r="EG47" i="17"/>
  <c r="EF47" i="17"/>
  <c r="EE47" i="17"/>
  <c r="DA47" i="17"/>
  <c r="F27" i="21" s="1"/>
  <c r="CZ47" i="17"/>
  <c r="E27" i="21" s="1"/>
  <c r="CY47" i="17"/>
  <c r="D27" i="21" s="1"/>
  <c r="CX47" i="17"/>
  <c r="C27" i="21" s="1"/>
  <c r="CW47" i="17"/>
  <c r="B27" i="21" s="1"/>
  <c r="CR47" i="17"/>
  <c r="CQ47" i="17"/>
  <c r="CP47" i="17"/>
  <c r="CO47" i="17"/>
  <c r="CN47" i="17"/>
  <c r="HA46" i="17"/>
  <c r="GZ46" i="17"/>
  <c r="GY46" i="17"/>
  <c r="GX46" i="17"/>
  <c r="GW46" i="17"/>
  <c r="GE46" i="17"/>
  <c r="GD46" i="17"/>
  <c r="GC46" i="17"/>
  <c r="GB46" i="17"/>
  <c r="GA46" i="17"/>
  <c r="FW46" i="17"/>
  <c r="FV46" i="17"/>
  <c r="FU46" i="17"/>
  <c r="FT46" i="17"/>
  <c r="FS46" i="17"/>
  <c r="FO46" i="17"/>
  <c r="FN46" i="17"/>
  <c r="FM46" i="17"/>
  <c r="FL46" i="17"/>
  <c r="FK46" i="17"/>
  <c r="B9" i="23" s="1"/>
  <c r="H9" i="23" s="1"/>
  <c r="FA46" i="17"/>
  <c r="EZ46" i="17"/>
  <c r="EY46" i="17"/>
  <c r="EX46" i="17"/>
  <c r="EW46" i="17"/>
  <c r="ER46" i="17"/>
  <c r="EQ46" i="17"/>
  <c r="EP46" i="17"/>
  <c r="EO46" i="17"/>
  <c r="EN46" i="17"/>
  <c r="EI46" i="17"/>
  <c r="EH46" i="17"/>
  <c r="EG46" i="17"/>
  <c r="EF46" i="17"/>
  <c r="EE46" i="17"/>
  <c r="EA46" i="17"/>
  <c r="DZ46" i="17"/>
  <c r="DY46" i="17"/>
  <c r="DX46" i="17"/>
  <c r="DW46" i="17"/>
  <c r="DA46" i="17"/>
  <c r="F26" i="21" s="1"/>
  <c r="CZ46" i="17"/>
  <c r="E26" i="21" s="1"/>
  <c r="CY46" i="17"/>
  <c r="D26" i="21" s="1"/>
  <c r="CX46" i="17"/>
  <c r="C26" i="21" s="1"/>
  <c r="CW46" i="17"/>
  <c r="B26" i="21" s="1"/>
  <c r="CR46" i="17"/>
  <c r="CQ46" i="17"/>
  <c r="CP46" i="17"/>
  <c r="CO46" i="17"/>
  <c r="CN46" i="17"/>
  <c r="CJ46" i="17"/>
  <c r="CI46" i="17"/>
  <c r="CH46" i="17"/>
  <c r="CG46" i="17"/>
  <c r="CF46" i="17"/>
  <c r="HA45" i="17"/>
  <c r="GZ45" i="17"/>
  <c r="GY45" i="17"/>
  <c r="GX45" i="17"/>
  <c r="GW45" i="17"/>
  <c r="GS45" i="17"/>
  <c r="GR45" i="17"/>
  <c r="GQ45" i="17"/>
  <c r="GP45" i="17"/>
  <c r="GO45" i="17"/>
  <c r="GE45" i="17"/>
  <c r="GD45" i="17"/>
  <c r="GC45" i="17"/>
  <c r="GB45" i="17"/>
  <c r="GA45" i="17"/>
  <c r="FW45" i="17"/>
  <c r="FV45" i="17"/>
  <c r="FU45" i="17"/>
  <c r="FT45" i="17"/>
  <c r="FS45" i="17"/>
  <c r="FO45" i="17"/>
  <c r="FN45" i="17"/>
  <c r="FM45" i="17"/>
  <c r="FL45" i="17"/>
  <c r="FK45" i="17"/>
  <c r="B8" i="23" s="1"/>
  <c r="FA45" i="17"/>
  <c r="EZ45" i="17"/>
  <c r="EY45" i="17"/>
  <c r="EX45" i="17"/>
  <c r="EW45" i="17"/>
  <c r="ER45" i="17"/>
  <c r="EQ45" i="17"/>
  <c r="EP45" i="17"/>
  <c r="EO45" i="17"/>
  <c r="EN45" i="17"/>
  <c r="EI45" i="17"/>
  <c r="EH45" i="17"/>
  <c r="EG45" i="17"/>
  <c r="EF45" i="17"/>
  <c r="EE45" i="17"/>
  <c r="EA45" i="17"/>
  <c r="DZ45" i="17"/>
  <c r="DY45" i="17"/>
  <c r="DX45" i="17"/>
  <c r="DW45" i="17"/>
  <c r="DS45" i="17"/>
  <c r="DR45" i="17"/>
  <c r="DQ45" i="17"/>
  <c r="DP45" i="17"/>
  <c r="DO45" i="17"/>
  <c r="DK45" i="17"/>
  <c r="DJ45" i="17"/>
  <c r="DI45" i="17"/>
  <c r="DH45" i="17"/>
  <c r="DG45" i="17"/>
  <c r="DA45" i="17"/>
  <c r="F25" i="21" s="1"/>
  <c r="CZ45" i="17"/>
  <c r="E25" i="21" s="1"/>
  <c r="CY45" i="17"/>
  <c r="D25" i="21" s="1"/>
  <c r="CX45" i="17"/>
  <c r="C25" i="21" s="1"/>
  <c r="CW45" i="17"/>
  <c r="B25" i="21" s="1"/>
  <c r="CR45" i="17"/>
  <c r="CQ45" i="17"/>
  <c r="CP45" i="17"/>
  <c r="CO45" i="17"/>
  <c r="CN45" i="17"/>
  <c r="CJ45" i="17"/>
  <c r="CI45" i="17"/>
  <c r="CH45" i="17"/>
  <c r="CG45" i="17"/>
  <c r="CF45" i="17"/>
  <c r="AC45" i="17"/>
  <c r="G25" i="19" s="1"/>
  <c r="AB45" i="17"/>
  <c r="F25" i="19" s="1"/>
  <c r="AA45" i="17"/>
  <c r="E25" i="19" s="1"/>
  <c r="Z45" i="17"/>
  <c r="D25" i="19" s="1"/>
  <c r="Y45" i="17"/>
  <c r="HA44" i="17"/>
  <c r="GZ44" i="17"/>
  <c r="GY44" i="17"/>
  <c r="GX44" i="17"/>
  <c r="GW44" i="17"/>
  <c r="GS44" i="17"/>
  <c r="GR44" i="17"/>
  <c r="GQ44" i="17"/>
  <c r="GP44" i="17"/>
  <c r="GO44" i="17"/>
  <c r="GE44" i="17"/>
  <c r="GD44" i="17"/>
  <c r="GC44" i="17"/>
  <c r="GB44" i="17"/>
  <c r="GA44" i="17"/>
  <c r="FW44" i="17"/>
  <c r="FV44" i="17"/>
  <c r="FU44" i="17"/>
  <c r="FT44" i="17"/>
  <c r="FS44" i="17"/>
  <c r="FO44" i="17"/>
  <c r="FN44" i="17"/>
  <c r="FM44" i="17"/>
  <c r="FL44" i="17"/>
  <c r="FK44" i="17"/>
  <c r="B7" i="23" s="1"/>
  <c r="FA44" i="17"/>
  <c r="EZ44" i="17"/>
  <c r="EY44" i="17"/>
  <c r="EX44" i="17"/>
  <c r="EW44" i="17"/>
  <c r="ER44" i="17"/>
  <c r="EQ44" i="17"/>
  <c r="EP44" i="17"/>
  <c r="EO44" i="17"/>
  <c r="EN44" i="17"/>
  <c r="EI44" i="17"/>
  <c r="EH44" i="17"/>
  <c r="EG44" i="17"/>
  <c r="EF44" i="17"/>
  <c r="EE44" i="17"/>
  <c r="EA44" i="17"/>
  <c r="DZ44" i="17"/>
  <c r="DY44" i="17"/>
  <c r="DX44" i="17"/>
  <c r="DW44" i="17"/>
  <c r="DS44" i="17"/>
  <c r="DR44" i="17"/>
  <c r="DQ44" i="17"/>
  <c r="DP44" i="17"/>
  <c r="DO44" i="17"/>
  <c r="DK44" i="17"/>
  <c r="DJ44" i="17"/>
  <c r="E7" i="22" s="1"/>
  <c r="DI44" i="17"/>
  <c r="DH44" i="17"/>
  <c r="DG44" i="17"/>
  <c r="DA44" i="17"/>
  <c r="F24" i="21" s="1"/>
  <c r="CZ44" i="17"/>
  <c r="E24" i="21" s="1"/>
  <c r="CY44" i="17"/>
  <c r="D24" i="21" s="1"/>
  <c r="CX44" i="17"/>
  <c r="C24" i="21" s="1"/>
  <c r="CW44" i="17"/>
  <c r="B24" i="21" s="1"/>
  <c r="CR44" i="17"/>
  <c r="CQ44" i="17"/>
  <c r="CP44" i="17"/>
  <c r="CO44" i="17"/>
  <c r="CN44" i="17"/>
  <c r="CJ44" i="17"/>
  <c r="CI44" i="17"/>
  <c r="CH44" i="17"/>
  <c r="CG44" i="17"/>
  <c r="CF44" i="17"/>
  <c r="BK44" i="17"/>
  <c r="BJ44" i="17"/>
  <c r="BI44" i="17"/>
  <c r="BH44" i="17"/>
  <c r="BG44" i="17"/>
  <c r="AC44" i="17"/>
  <c r="G24" i="19" s="1"/>
  <c r="AB44" i="17"/>
  <c r="F24" i="19" s="1"/>
  <c r="AA44" i="17"/>
  <c r="E24" i="19" s="1"/>
  <c r="Z44" i="17"/>
  <c r="Y44" i="17"/>
  <c r="BN19" i="3" l="1"/>
  <c r="BK19" i="3"/>
  <c r="BP19" i="3"/>
  <c r="BQ19" i="3"/>
  <c r="BO19" i="3"/>
  <c r="CR132" i="17"/>
  <c r="CQ132" i="17" s="1"/>
  <c r="CP132" i="17" s="1"/>
  <c r="CO132" i="17" s="1"/>
  <c r="CN132" i="17" s="1"/>
  <c r="CM132" i="17" s="1"/>
  <c r="CL132" i="17" s="1"/>
  <c r="CK132" i="17" s="1"/>
  <c r="CJ132" i="17" s="1"/>
  <c r="CI132" i="17" s="1"/>
  <c r="CH132" i="17" s="1"/>
  <c r="C97" i="31"/>
  <c r="C101" i="31"/>
  <c r="C98" i="31"/>
  <c r="C102" i="31"/>
  <c r="J29" i="6"/>
  <c r="J26" i="6"/>
  <c r="C99" i="31"/>
  <c r="C95" i="31"/>
  <c r="C100" i="31"/>
  <c r="C96" i="31"/>
  <c r="H25" i="19"/>
  <c r="H26" i="21"/>
  <c r="G26" i="21"/>
  <c r="C31" i="21"/>
  <c r="G30" i="21"/>
  <c r="H30" i="21"/>
  <c r="D31" i="21"/>
  <c r="H25" i="21"/>
  <c r="H27" i="21"/>
  <c r="H28" i="21"/>
  <c r="H29" i="21"/>
  <c r="F31" i="21"/>
  <c r="G25" i="21"/>
  <c r="G27" i="21"/>
  <c r="G28" i="21"/>
  <c r="G29" i="21"/>
  <c r="DD272" i="2"/>
  <c r="BD22" i="3"/>
  <c r="H22" i="31"/>
  <c r="E31" i="21"/>
  <c r="G24" i="21"/>
  <c r="H24" i="21"/>
  <c r="B31" i="21"/>
  <c r="EG238" i="2"/>
  <c r="KR288" i="2"/>
  <c r="KQ288" i="2" s="1"/>
  <c r="KP288" i="2" s="1"/>
  <c r="KO288" i="2" s="1"/>
  <c r="KN288" i="2" s="1"/>
  <c r="KT289" i="2"/>
  <c r="JD285" i="2"/>
  <c r="KK286" i="2"/>
  <c r="AV39" i="6" s="1"/>
  <c r="KM287" i="2"/>
  <c r="DD250" i="2"/>
  <c r="DC250" i="2" s="1"/>
  <c r="K43" i="18" s="1"/>
  <c r="DE249" i="2"/>
  <c r="EH239" i="2"/>
  <c r="EG239" i="2" s="1"/>
  <c r="B10" i="23"/>
  <c r="KZ43" i="17"/>
  <c r="HA43" i="17"/>
  <c r="GZ43" i="17"/>
  <c r="GY43" i="17"/>
  <c r="GX43" i="17"/>
  <c r="GW43" i="17"/>
  <c r="GS43" i="17"/>
  <c r="GR43" i="17"/>
  <c r="GQ43" i="17"/>
  <c r="GP43" i="17"/>
  <c r="GO43" i="17"/>
  <c r="GE43" i="17"/>
  <c r="GD43" i="17"/>
  <c r="GC43" i="17"/>
  <c r="GB43" i="17"/>
  <c r="GA43" i="17"/>
  <c r="FW43" i="17"/>
  <c r="FV43" i="17"/>
  <c r="FU43" i="17"/>
  <c r="FT43" i="17"/>
  <c r="FS43" i="17"/>
  <c r="FO43" i="17"/>
  <c r="FN43" i="17"/>
  <c r="FM43" i="17"/>
  <c r="FL43" i="17"/>
  <c r="FK43" i="17"/>
  <c r="FA43" i="17"/>
  <c r="EZ43" i="17"/>
  <c r="EY43" i="17"/>
  <c r="EX43" i="17"/>
  <c r="EW43" i="17"/>
  <c r="ER43" i="17"/>
  <c r="EQ43" i="17"/>
  <c r="EP43" i="17"/>
  <c r="EO43" i="17"/>
  <c r="EN43" i="17"/>
  <c r="EI43" i="17"/>
  <c r="EH43" i="17"/>
  <c r="EG43" i="17"/>
  <c r="EF43" i="17"/>
  <c r="EE43" i="17"/>
  <c r="EA43" i="17"/>
  <c r="DZ43" i="17"/>
  <c r="DY43" i="17"/>
  <c r="DX43" i="17"/>
  <c r="DW43" i="17"/>
  <c r="DS43" i="17"/>
  <c r="DR43" i="17"/>
  <c r="DQ43" i="17"/>
  <c r="DP43" i="17"/>
  <c r="DO43" i="17"/>
  <c r="DK43" i="17"/>
  <c r="DJ43" i="17"/>
  <c r="DI43" i="17"/>
  <c r="DH43" i="17"/>
  <c r="DG43" i="17"/>
  <c r="DA43" i="17"/>
  <c r="CZ43" i="17"/>
  <c r="CY43" i="17"/>
  <c r="CX43" i="17"/>
  <c r="KM288" i="2" l="1"/>
  <c r="G31" i="21"/>
  <c r="H31" i="21"/>
  <c r="KK287" i="2"/>
  <c r="AV40" i="6" s="1"/>
  <c r="EH240" i="2"/>
  <c r="EF238" i="2"/>
  <c r="KJ286" i="2"/>
  <c r="KI286" i="2" s="1"/>
  <c r="KH286" i="2" s="1"/>
  <c r="KG286" i="2" s="1"/>
  <c r="AU39" i="6" s="1"/>
  <c r="KR289" i="2"/>
  <c r="KQ289" i="2" s="1"/>
  <c r="KP289" i="2" s="1"/>
  <c r="KO289" i="2" s="1"/>
  <c r="KN289" i="2" s="1"/>
  <c r="KM289" i="2" s="1"/>
  <c r="KT290" i="2"/>
  <c r="KT291" i="2" s="1"/>
  <c r="DD249" i="2"/>
  <c r="DE248" i="2"/>
  <c r="KK288" i="2"/>
  <c r="AV41" i="6" s="1"/>
  <c r="J6" i="6"/>
  <c r="K44" i="18"/>
  <c r="DC249" i="2"/>
  <c r="J5" i="6" s="1"/>
  <c r="AG19" i="3"/>
  <c r="DC272" i="2"/>
  <c r="J25" i="6" s="1"/>
  <c r="BC22" i="3"/>
  <c r="H21" i="31"/>
  <c r="LD43" i="17"/>
  <c r="E219" i="15" s="1"/>
  <c r="LE43" i="17"/>
  <c r="LB43" i="17"/>
  <c r="LA43" i="17"/>
  <c r="LC43" i="17"/>
  <c r="CW43" i="17"/>
  <c r="CW40" i="17" s="1"/>
  <c r="CR43" i="17"/>
  <c r="CR40" i="17" s="1"/>
  <c r="CQ43" i="17"/>
  <c r="CQ40" i="17" s="1"/>
  <c r="CP43" i="17"/>
  <c r="CP40" i="17" s="1"/>
  <c r="CO43" i="17"/>
  <c r="CO42" i="17" s="1"/>
  <c r="CN43" i="17"/>
  <c r="CN40" i="17" s="1"/>
  <c r="CJ43" i="17"/>
  <c r="CJ40" i="17" s="1"/>
  <c r="CI43" i="17"/>
  <c r="CI40" i="17" s="1"/>
  <c r="CH43" i="17"/>
  <c r="CH40" i="17" s="1"/>
  <c r="CG43" i="17"/>
  <c r="CG42" i="17" s="1"/>
  <c r="CF43" i="17"/>
  <c r="CF40" i="17" s="1"/>
  <c r="BK43" i="17"/>
  <c r="BJ43" i="17"/>
  <c r="BI43" i="17"/>
  <c r="BH43" i="17"/>
  <c r="BG43" i="17"/>
  <c r="AC43" i="17"/>
  <c r="G23" i="19" s="1"/>
  <c r="AB43" i="17"/>
  <c r="F23" i="19" s="1"/>
  <c r="AA43" i="17"/>
  <c r="E23" i="19" s="1"/>
  <c r="Z43" i="17"/>
  <c r="D23" i="19" s="1"/>
  <c r="Y43" i="17"/>
  <c r="HA42" i="17"/>
  <c r="GZ42" i="17"/>
  <c r="GY42" i="17"/>
  <c r="GX42" i="17"/>
  <c r="GW42" i="17"/>
  <c r="GS42" i="17" s="1"/>
  <c r="GR42" i="17" s="1"/>
  <c r="GQ42" i="17"/>
  <c r="GP42" i="17"/>
  <c r="GO42" i="17" s="1"/>
  <c r="GE42" i="17"/>
  <c r="GD42" i="17" s="1"/>
  <c r="GC42" i="17" s="1"/>
  <c r="GB42" i="17" s="1"/>
  <c r="GA42" i="17" s="1"/>
  <c r="FW42" i="17" s="1"/>
  <c r="FV42" i="17"/>
  <c r="FU42" i="17" s="1"/>
  <c r="FT42" i="17"/>
  <c r="FS42" i="17" s="1"/>
  <c r="FO42" i="17" s="1"/>
  <c r="FN42" i="17" s="1"/>
  <c r="FM42" i="17"/>
  <c r="FL42" i="17" s="1"/>
  <c r="FK42" i="17"/>
  <c r="FA42" i="17" s="1"/>
  <c r="EZ42" i="17" s="1"/>
  <c r="EY42" i="17" s="1"/>
  <c r="EX42" i="17"/>
  <c r="EW42" i="17"/>
  <c r="ER42" i="17"/>
  <c r="EQ42" i="17"/>
  <c r="EP42" i="17" s="1"/>
  <c r="EO42" i="17" s="1"/>
  <c r="EN42" i="17" s="1"/>
  <c r="EI42" i="17" s="1"/>
  <c r="EH42" i="17"/>
  <c r="EG42" i="17"/>
  <c r="EF42" i="17" s="1"/>
  <c r="EE42" i="17" s="1"/>
  <c r="EA42" i="17"/>
  <c r="DZ42" i="17" s="1"/>
  <c r="DY42" i="17" s="1"/>
  <c r="DX42" i="17"/>
  <c r="DW42" i="17"/>
  <c r="DS42" i="17" s="1"/>
  <c r="DR42" i="17" s="1"/>
  <c r="DQ42" i="17"/>
  <c r="DP42" i="17" s="1"/>
  <c r="DO42" i="17" s="1"/>
  <c r="DK42" i="17"/>
  <c r="DJ42" i="17"/>
  <c r="DI42" i="17" s="1"/>
  <c r="DH42" i="17" s="1"/>
  <c r="DG42" i="17"/>
  <c r="DA42" i="17" s="1"/>
  <c r="CZ42" i="17" s="1"/>
  <c r="CY42" i="17" s="1"/>
  <c r="CX42" i="17" s="1"/>
  <c r="BK42" i="17"/>
  <c r="BJ42" i="17"/>
  <c r="BI42" i="17"/>
  <c r="BH42" i="17"/>
  <c r="BG42" i="17"/>
  <c r="AM42" i="17"/>
  <c r="AL42" i="17"/>
  <c r="AK42" i="17"/>
  <c r="AJ42" i="17"/>
  <c r="AI42" i="17"/>
  <c r="AC42" i="17"/>
  <c r="G22" i="19" s="1"/>
  <c r="AB42" i="17"/>
  <c r="F22" i="19" s="1"/>
  <c r="AA42" i="17"/>
  <c r="E22" i="19" s="1"/>
  <c r="Z42" i="17"/>
  <c r="D22" i="19" s="1"/>
  <c r="Y42" i="17"/>
  <c r="KZ41" i="17"/>
  <c r="LB41" i="17" s="1"/>
  <c r="HA41" i="17"/>
  <c r="GZ41" i="17"/>
  <c r="GY41" i="17"/>
  <c r="GX41" i="17"/>
  <c r="GW41" i="17"/>
  <c r="BK41" i="17"/>
  <c r="BJ41" i="17"/>
  <c r="BI41" i="17"/>
  <c r="BH41" i="17"/>
  <c r="BG41" i="17"/>
  <c r="AM41" i="17"/>
  <c r="AL41" i="17"/>
  <c r="AK41" i="17"/>
  <c r="AJ41" i="17"/>
  <c r="AI41" i="17"/>
  <c r="AC41" i="17"/>
  <c r="G21" i="19" s="1"/>
  <c r="AB41" i="17"/>
  <c r="F21" i="19" s="1"/>
  <c r="AA41" i="17"/>
  <c r="E21" i="19" s="1"/>
  <c r="Z41" i="17"/>
  <c r="D21" i="19" s="1"/>
  <c r="Y41" i="17"/>
  <c r="HA40" i="17"/>
  <c r="GZ40" i="17"/>
  <c r="GY40" i="17"/>
  <c r="GX40" i="17"/>
  <c r="GW40" i="17"/>
  <c r="GS40" i="17"/>
  <c r="GR40" i="17"/>
  <c r="GQ40" i="17" s="1"/>
  <c r="GP40" i="17" s="1"/>
  <c r="GO40" i="17"/>
  <c r="GE40" i="17" s="1"/>
  <c r="GD40" i="17"/>
  <c r="GC40" i="17"/>
  <c r="GB40" i="17"/>
  <c r="GA40" i="17"/>
  <c r="B33" i="23" s="1"/>
  <c r="FW40" i="17"/>
  <c r="FV40" i="17" s="1"/>
  <c r="FU40" i="17"/>
  <c r="FT40" i="17"/>
  <c r="FS40" i="17"/>
  <c r="FO40" i="17"/>
  <c r="F6" i="23" s="1"/>
  <c r="FN40" i="17"/>
  <c r="FM40" i="17" s="1"/>
  <c r="FL40" i="17"/>
  <c r="FK40" i="17"/>
  <c r="FA40" i="17"/>
  <c r="EZ40" i="17"/>
  <c r="EY40" i="17"/>
  <c r="EX40" i="17" s="1"/>
  <c r="EW40" i="17" s="1"/>
  <c r="ER40" i="17" s="1"/>
  <c r="EQ40" i="17" s="1"/>
  <c r="EP40" i="17"/>
  <c r="EO40" i="17"/>
  <c r="EN40" i="17"/>
  <c r="EI40" i="17"/>
  <c r="EH40" i="17" s="1"/>
  <c r="EG40" i="17" s="1"/>
  <c r="EF40" i="17"/>
  <c r="EE40" i="17"/>
  <c r="EA40" i="17" s="1"/>
  <c r="DZ40" i="17"/>
  <c r="DY40" i="17"/>
  <c r="DX40" i="17" s="1"/>
  <c r="DW40" i="17" s="1"/>
  <c r="DS40" i="17"/>
  <c r="DR40" i="17"/>
  <c r="DQ40" i="17" s="1"/>
  <c r="DP40" i="17"/>
  <c r="DO40" i="17"/>
  <c r="DK40" i="17" s="1"/>
  <c r="DJ40" i="17" s="1"/>
  <c r="DI40" i="17"/>
  <c r="DH40" i="17"/>
  <c r="DG40" i="17" s="1"/>
  <c r="DA40" i="17"/>
  <c r="F23" i="21" s="1"/>
  <c r="CZ40" i="17"/>
  <c r="CY40" i="17"/>
  <c r="CX40" i="17"/>
  <c r="BK40" i="17"/>
  <c r="BJ40" i="17"/>
  <c r="BI40" i="17"/>
  <c r="BH40" i="17"/>
  <c r="BG40" i="17"/>
  <c r="AM40" i="17"/>
  <c r="AL40" i="17"/>
  <c r="AK40" i="17"/>
  <c r="AJ40" i="17"/>
  <c r="AI40" i="17"/>
  <c r="AC40" i="17"/>
  <c r="G20" i="19" s="1"/>
  <c r="AB40" i="17"/>
  <c r="F20" i="19" s="1"/>
  <c r="AA40" i="17"/>
  <c r="E20" i="19" s="1"/>
  <c r="Z40" i="17"/>
  <c r="D20" i="19" s="1"/>
  <c r="Y40" i="17"/>
  <c r="R40" i="17"/>
  <c r="Q40" i="17"/>
  <c r="F11" i="19" s="1"/>
  <c r="O40" i="17"/>
  <c r="E11" i="19" s="1"/>
  <c r="N40" i="17"/>
  <c r="M40" i="17"/>
  <c r="C11" i="19" s="1"/>
  <c r="KZ39" i="17"/>
  <c r="LB39" i="17" s="1"/>
  <c r="HA39" i="17"/>
  <c r="GZ39" i="17"/>
  <c r="GY39" i="17"/>
  <c r="GX39" i="17"/>
  <c r="GW39" i="17"/>
  <c r="BK39" i="17"/>
  <c r="BJ39" i="17"/>
  <c r="BI39" i="17"/>
  <c r="BH39" i="17"/>
  <c r="BG39" i="17"/>
  <c r="AM39" i="17"/>
  <c r="AL39" i="17"/>
  <c r="AK39" i="17"/>
  <c r="AJ39" i="17"/>
  <c r="AI39" i="17"/>
  <c r="AC39" i="17"/>
  <c r="G19" i="19" s="1"/>
  <c r="AB39" i="17"/>
  <c r="F19" i="19" s="1"/>
  <c r="AA39" i="17"/>
  <c r="E19" i="19" s="1"/>
  <c r="Z39" i="17"/>
  <c r="D19" i="19" s="1"/>
  <c r="Y39" i="17"/>
  <c r="R39" i="17"/>
  <c r="Q39" i="17"/>
  <c r="O39" i="17"/>
  <c r="N39" i="17"/>
  <c r="M39" i="17"/>
  <c r="HA38" i="17"/>
  <c r="GZ38" i="17"/>
  <c r="GY38" i="17"/>
  <c r="GX38" i="17"/>
  <c r="GW38" i="17"/>
  <c r="BK38" i="17"/>
  <c r="BJ38" i="17"/>
  <c r="BI38" i="17"/>
  <c r="BH38" i="17"/>
  <c r="BG38" i="17"/>
  <c r="AM38" i="17"/>
  <c r="AL38" i="17"/>
  <c r="AK38" i="17"/>
  <c r="AJ38" i="17"/>
  <c r="AI38" i="17"/>
  <c r="AC38" i="17"/>
  <c r="G18" i="19" s="1"/>
  <c r="AB38" i="17"/>
  <c r="F18" i="19" s="1"/>
  <c r="AA38" i="17"/>
  <c r="E18" i="19" s="1"/>
  <c r="Z38" i="17"/>
  <c r="D18" i="19" s="1"/>
  <c r="Y38" i="17"/>
  <c r="R38" i="17"/>
  <c r="Q38" i="17"/>
  <c r="F9" i="19" s="1"/>
  <c r="O38" i="17"/>
  <c r="E9" i="19" s="1"/>
  <c r="N38" i="17"/>
  <c r="M38" i="17"/>
  <c r="C9" i="19" s="1"/>
  <c r="KZ37" i="17"/>
  <c r="LC37" i="17" s="1"/>
  <c r="D213" i="15" s="1"/>
  <c r="HA37" i="17"/>
  <c r="GZ37" i="17"/>
  <c r="GY37" i="17"/>
  <c r="GX37" i="17"/>
  <c r="GW37" i="17"/>
  <c r="BK37" i="17"/>
  <c r="BJ37" i="17"/>
  <c r="BI37" i="17"/>
  <c r="BH37" i="17"/>
  <c r="BG37" i="17"/>
  <c r="AM37" i="17"/>
  <c r="AL37" i="17"/>
  <c r="AK37" i="17"/>
  <c r="AJ37" i="17"/>
  <c r="AI37" i="17"/>
  <c r="AC37" i="17"/>
  <c r="G17" i="19" s="1"/>
  <c r="AB37" i="17"/>
  <c r="F17" i="19" s="1"/>
  <c r="AA37" i="17"/>
  <c r="E17" i="19" s="1"/>
  <c r="Z37" i="17"/>
  <c r="D17" i="19" s="1"/>
  <c r="Y37" i="17"/>
  <c r="R37" i="17"/>
  <c r="Q37" i="17"/>
  <c r="O37" i="17"/>
  <c r="N37" i="17"/>
  <c r="M37" i="17"/>
  <c r="HA36" i="17"/>
  <c r="GZ36" i="17"/>
  <c r="GY36" i="17"/>
  <c r="GX36" i="17"/>
  <c r="GW36" i="17"/>
  <c r="BK36" i="17"/>
  <c r="BJ36" i="17"/>
  <c r="BI36" i="17"/>
  <c r="BH36" i="17"/>
  <c r="BG36" i="17"/>
  <c r="AM36" i="17"/>
  <c r="AL36" i="17"/>
  <c r="AK36" i="17"/>
  <c r="AJ36" i="17"/>
  <c r="AI36" i="17"/>
  <c r="AC36" i="17"/>
  <c r="AC33" i="17" s="1"/>
  <c r="AB36" i="17"/>
  <c r="AB35" i="17" s="1"/>
  <c r="AA36" i="17"/>
  <c r="AA33" i="17" s="1"/>
  <c r="Z36" i="17"/>
  <c r="Z33" i="17" s="1"/>
  <c r="Y36" i="17"/>
  <c r="Y33" i="17" s="1"/>
  <c r="R36" i="17"/>
  <c r="R35" i="17" s="1"/>
  <c r="Q36" i="17"/>
  <c r="Q33" i="17" s="1"/>
  <c r="E8" i="19" s="1"/>
  <c r="O36" i="17"/>
  <c r="O33" i="17" s="1"/>
  <c r="D8" i="19" s="1"/>
  <c r="N36" i="17"/>
  <c r="N33" i="17" s="1"/>
  <c r="M36" i="17"/>
  <c r="M33" i="17" s="1"/>
  <c r="C8" i="19" s="1"/>
  <c r="KZ35" i="17"/>
  <c r="LE35" i="17" s="1"/>
  <c r="HA35" i="17"/>
  <c r="GZ35" i="17"/>
  <c r="GY35" i="17"/>
  <c r="GX35" i="17"/>
  <c r="GW35" i="17"/>
  <c r="BK35" i="17"/>
  <c r="BJ35" i="17"/>
  <c r="BI35" i="17"/>
  <c r="BH35" i="17"/>
  <c r="BG35" i="17"/>
  <c r="AM35" i="17"/>
  <c r="AL35" i="17"/>
  <c r="AK35" i="17"/>
  <c r="AJ35" i="17"/>
  <c r="AI35" i="17"/>
  <c r="KZ34" i="17"/>
  <c r="JX34" i="17"/>
  <c r="JZ34" i="17" s="1"/>
  <c r="HA34" i="17"/>
  <c r="GZ34" i="17"/>
  <c r="GY34" i="17"/>
  <c r="GX34" i="17"/>
  <c r="GW34" i="17"/>
  <c r="BK34" i="17"/>
  <c r="BJ34" i="17"/>
  <c r="BI34" i="17"/>
  <c r="BH34" i="17"/>
  <c r="BG34" i="17"/>
  <c r="AM34" i="17"/>
  <c r="AL34" i="17"/>
  <c r="AK34" i="17"/>
  <c r="AJ34" i="17"/>
  <c r="AI34" i="17"/>
  <c r="KZ33" i="17"/>
  <c r="LD33" i="17" s="1"/>
  <c r="JX33" i="17"/>
  <c r="JZ33" i="17" s="1"/>
  <c r="HA33" i="17"/>
  <c r="GZ33" i="17"/>
  <c r="GY33" i="17"/>
  <c r="GX33" i="17"/>
  <c r="GW33" i="17"/>
  <c r="BK33" i="17"/>
  <c r="BJ33" i="17"/>
  <c r="BI33" i="17"/>
  <c r="BH33" i="17"/>
  <c r="BG33" i="17"/>
  <c r="AM33" i="17"/>
  <c r="AL33" i="17"/>
  <c r="AK33" i="17"/>
  <c r="AJ33" i="17"/>
  <c r="AI33" i="17"/>
  <c r="KZ32" i="17"/>
  <c r="JX32" i="17"/>
  <c r="JZ32" i="17" s="1"/>
  <c r="HA32" i="17"/>
  <c r="GZ32" i="17"/>
  <c r="GY32" i="17"/>
  <c r="GX32" i="17"/>
  <c r="GW32" i="17"/>
  <c r="GS32" i="17"/>
  <c r="GR32" i="17"/>
  <c r="GQ32" i="17"/>
  <c r="GP32" i="17"/>
  <c r="GO32" i="17"/>
  <c r="B69" i="23" s="1"/>
  <c r="BK32" i="17"/>
  <c r="BJ32" i="17"/>
  <c r="BI32" i="17"/>
  <c r="BH32" i="17"/>
  <c r="BG32" i="17"/>
  <c r="AM32" i="17"/>
  <c r="AL32" i="17"/>
  <c r="AK32" i="17"/>
  <c r="AJ32" i="17"/>
  <c r="AI32" i="17"/>
  <c r="KZ31" i="17"/>
  <c r="LD31" i="17" s="1"/>
  <c r="JX31" i="17"/>
  <c r="KA31" i="17" s="1"/>
  <c r="HA31" i="17"/>
  <c r="GZ31" i="17"/>
  <c r="GY31" i="17"/>
  <c r="GX31" i="17"/>
  <c r="GW31" i="17"/>
  <c r="GS31" i="17"/>
  <c r="GR31" i="17"/>
  <c r="GQ31" i="17"/>
  <c r="GP31" i="17"/>
  <c r="GO31" i="17"/>
  <c r="B68" i="23" s="1"/>
  <c r="BK31" i="17"/>
  <c r="BJ31" i="17"/>
  <c r="BI31" i="17"/>
  <c r="BH31" i="17"/>
  <c r="BG31" i="17"/>
  <c r="AM31" i="17"/>
  <c r="AL31" i="17"/>
  <c r="AK31" i="17"/>
  <c r="AJ31" i="17"/>
  <c r="AI31" i="17"/>
  <c r="KZ30" i="17"/>
  <c r="JX30" i="17"/>
  <c r="KA30" i="17" s="1"/>
  <c r="JD30" i="17"/>
  <c r="JC30" i="17"/>
  <c r="JB30" i="17"/>
  <c r="JA30" i="17"/>
  <c r="IZ30" i="17"/>
  <c r="HA30" i="17"/>
  <c r="GZ30" i="17"/>
  <c r="GY30" i="17"/>
  <c r="GX30" i="17"/>
  <c r="GW30" i="17"/>
  <c r="GS30" i="17"/>
  <c r="GS29" i="17" s="1"/>
  <c r="GR30" i="17"/>
  <c r="GR29" i="17" s="1"/>
  <c r="GQ30" i="17"/>
  <c r="GQ29" i="17" s="1"/>
  <c r="GP30" i="17"/>
  <c r="GO30" i="17"/>
  <c r="BK30" i="17"/>
  <c r="BJ30" i="17"/>
  <c r="BI30" i="17"/>
  <c r="BH30" i="17"/>
  <c r="BG30" i="17"/>
  <c r="AM30" i="17"/>
  <c r="AL30" i="17"/>
  <c r="AK30" i="17"/>
  <c r="AJ30" i="17"/>
  <c r="AI30" i="17"/>
  <c r="KZ29" i="17"/>
  <c r="LC29" i="17" s="1"/>
  <c r="JX29" i="17"/>
  <c r="KC29" i="17" s="1"/>
  <c r="JD29" i="17"/>
  <c r="JC29" i="17"/>
  <c r="JB29" i="17"/>
  <c r="JA29" i="17"/>
  <c r="IZ29" i="17"/>
  <c r="HA29" i="17"/>
  <c r="GZ29" i="17"/>
  <c r="GY29" i="17"/>
  <c r="GX29" i="17"/>
  <c r="GW29" i="17"/>
  <c r="AB33" i="17" l="1"/>
  <c r="EG240" i="2"/>
  <c r="C66" i="31"/>
  <c r="H17" i="19"/>
  <c r="H21" i="19"/>
  <c r="CG40" i="17"/>
  <c r="H18" i="19"/>
  <c r="G9" i="19"/>
  <c r="H9" i="19" s="1"/>
  <c r="D11" i="19"/>
  <c r="G11" i="19"/>
  <c r="I11" i="19" s="1"/>
  <c r="D9" i="19"/>
  <c r="H20" i="19"/>
  <c r="H19" i="19"/>
  <c r="H22" i="19"/>
  <c r="H23" i="19"/>
  <c r="R33" i="17"/>
  <c r="F8" i="19" s="1"/>
  <c r="CF42" i="17"/>
  <c r="CW42" i="17"/>
  <c r="CR42" i="17" s="1"/>
  <c r="CQ42" i="17" s="1"/>
  <c r="CP42" i="17" s="1"/>
  <c r="CN42" i="17"/>
  <c r="CJ42" i="17" s="1"/>
  <c r="CI42" i="17" s="1"/>
  <c r="CH42" i="17" s="1"/>
  <c r="AC35" i="17"/>
  <c r="CO40" i="17"/>
  <c r="AA35" i="17"/>
  <c r="Z35" i="17" s="1"/>
  <c r="Y35" i="17" s="1"/>
  <c r="AV44" i="6"/>
  <c r="KK289" i="2"/>
  <c r="AV42" i="6" s="1"/>
  <c r="KM290" i="2"/>
  <c r="KM291" i="2" s="1"/>
  <c r="DD248" i="2"/>
  <c r="F22" i="31"/>
  <c r="BD20" i="3"/>
  <c r="E23" i="21"/>
  <c r="D23" i="21" s="1"/>
  <c r="C23" i="21" s="1"/>
  <c r="B23" i="21" s="1"/>
  <c r="JD286" i="2"/>
  <c r="JD287" i="2" s="1"/>
  <c r="Q35" i="17"/>
  <c r="O35" i="17" s="1"/>
  <c r="N35" i="17" s="1"/>
  <c r="M35" i="17" s="1"/>
  <c r="J28" i="6"/>
  <c r="BE22" i="3"/>
  <c r="H23" i="31"/>
  <c r="KT292" i="2"/>
  <c r="EF239" i="2"/>
  <c r="KJ287" i="2"/>
  <c r="KI287" i="2" s="1"/>
  <c r="KH287" i="2" s="1"/>
  <c r="KG287" i="2" s="1"/>
  <c r="AV43" i="6"/>
  <c r="E6" i="23"/>
  <c r="D6" i="23" s="1"/>
  <c r="C6" i="23"/>
  <c r="B6" i="23" s="1"/>
  <c r="B70" i="23"/>
  <c r="JY30" i="17"/>
  <c r="LA31" i="17"/>
  <c r="LA29" i="17"/>
  <c r="KA29" i="17"/>
  <c r="KC30" i="17"/>
  <c r="JY31" i="17"/>
  <c r="JZ29" i="17"/>
  <c r="LE29" i="17"/>
  <c r="LB31" i="17"/>
  <c r="LE31" i="17"/>
  <c r="LB33" i="17"/>
  <c r="LC35" i="17"/>
  <c r="KC31" i="17"/>
  <c r="LC31" i="17"/>
  <c r="LA33" i="17"/>
  <c r="LB35" i="17"/>
  <c r="LE33" i="17"/>
  <c r="LD29" i="17"/>
  <c r="KB29" i="17"/>
  <c r="LB29" i="17"/>
  <c r="JZ30" i="17"/>
  <c r="JZ31" i="17"/>
  <c r="JY32" i="17"/>
  <c r="KC32" i="17"/>
  <c r="JY33" i="17"/>
  <c r="KC33" i="17"/>
  <c r="LC33" i="17"/>
  <c r="JY34" i="17"/>
  <c r="KC34" i="17"/>
  <c r="LD35" i="17"/>
  <c r="LB37" i="17"/>
  <c r="C213" i="15" s="1"/>
  <c r="LA39" i="17"/>
  <c r="LE39" i="17"/>
  <c r="LA41" i="17"/>
  <c r="LE41" i="17"/>
  <c r="D219" i="15"/>
  <c r="C219" i="15" s="1"/>
  <c r="B219" i="15" s="1"/>
  <c r="KB32" i="17"/>
  <c r="KB33" i="17"/>
  <c r="KB34" i="17"/>
  <c r="LA37" i="17"/>
  <c r="LE37" i="17"/>
  <c r="LD39" i="17"/>
  <c r="E215" i="15" s="1"/>
  <c r="LD41" i="17"/>
  <c r="E217" i="15" s="1"/>
  <c r="KB30" i="17"/>
  <c r="KB31" i="17"/>
  <c r="KA32" i="17"/>
  <c r="KA33" i="17"/>
  <c r="KA34" i="17"/>
  <c r="LD37" i="17"/>
  <c r="E213" i="15" s="1"/>
  <c r="LC39" i="17"/>
  <c r="LC41" i="17"/>
  <c r="JY29" i="17"/>
  <c r="LA35" i="17"/>
  <c r="GP29" i="17"/>
  <c r="GO29" i="17"/>
  <c r="EA29" i="17"/>
  <c r="DZ29" i="17"/>
  <c r="DY29" i="17"/>
  <c r="DX29" i="17"/>
  <c r="DW29" i="17"/>
  <c r="DS29" i="17"/>
  <c r="DR29" i="17"/>
  <c r="DQ29" i="17"/>
  <c r="DP29" i="17"/>
  <c r="DO29" i="17"/>
  <c r="BK29" i="17"/>
  <c r="BJ29" i="17"/>
  <c r="BI29" i="17"/>
  <c r="BH29" i="17"/>
  <c r="BG29" i="17"/>
  <c r="AM29" i="17"/>
  <c r="AL29" i="17"/>
  <c r="AK29" i="17"/>
  <c r="AJ29" i="17"/>
  <c r="AI29" i="17"/>
  <c r="KZ28" i="17"/>
  <c r="LB28" i="17" s="1"/>
  <c r="JX28" i="17"/>
  <c r="KB28" i="17" s="1"/>
  <c r="JD28" i="17"/>
  <c r="JC28" i="17"/>
  <c r="JB28" i="17"/>
  <c r="JA28" i="17"/>
  <c r="IZ28" i="17"/>
  <c r="HA28" i="17"/>
  <c r="GZ28" i="17"/>
  <c r="GY28" i="17"/>
  <c r="GX28" i="17"/>
  <c r="GW28" i="17"/>
  <c r="EA28" i="17"/>
  <c r="DZ28" i="17"/>
  <c r="DY28" i="17"/>
  <c r="DX28" i="17"/>
  <c r="DW28" i="17"/>
  <c r="DS28" i="17"/>
  <c r="DR28" i="17"/>
  <c r="DQ28" i="17"/>
  <c r="DP28" i="17"/>
  <c r="DO28" i="17"/>
  <c r="BK28" i="17"/>
  <c r="BJ28" i="17"/>
  <c r="BI28" i="17"/>
  <c r="BH28" i="17"/>
  <c r="BG28" i="17"/>
  <c r="AM28" i="17"/>
  <c r="AL28" i="17"/>
  <c r="AK28" i="17"/>
  <c r="AJ28" i="17"/>
  <c r="AI28" i="17"/>
  <c r="KZ27" i="17"/>
  <c r="JX27" i="17"/>
  <c r="JZ27" i="17" s="1"/>
  <c r="JD27" i="17"/>
  <c r="JC27" i="17"/>
  <c r="JB27" i="17"/>
  <c r="JA27" i="17"/>
  <c r="IZ27" i="17"/>
  <c r="HA27" i="17"/>
  <c r="GZ27" i="17"/>
  <c r="GY27" i="17"/>
  <c r="GX27" i="17"/>
  <c r="GW27" i="17"/>
  <c r="GS27" i="17" s="1"/>
  <c r="GR27" i="17" s="1"/>
  <c r="GQ27" i="17" s="1"/>
  <c r="GP27" i="17" s="1"/>
  <c r="GO27" i="17" s="1"/>
  <c r="EA27" i="17"/>
  <c r="DZ27" i="17"/>
  <c r="DY27" i="17"/>
  <c r="DX27" i="17"/>
  <c r="DW27" i="17"/>
  <c r="DS27" i="17"/>
  <c r="DR27" i="17"/>
  <c r="DQ27" i="17"/>
  <c r="DP27" i="17"/>
  <c r="DO27" i="17"/>
  <c r="BK27" i="17"/>
  <c r="BJ27" i="17"/>
  <c r="BI27" i="17"/>
  <c r="BH27" i="17"/>
  <c r="BG27" i="17"/>
  <c r="AM27" i="17"/>
  <c r="AL27" i="17"/>
  <c r="AK27" i="17"/>
  <c r="AJ27" i="17"/>
  <c r="AI27" i="17"/>
  <c r="KZ26" i="17"/>
  <c r="LC26" i="17" s="1"/>
  <c r="JX26" i="17"/>
  <c r="KC26" i="17" s="1"/>
  <c r="JD26" i="17"/>
  <c r="JC26" i="17"/>
  <c r="JB26" i="17"/>
  <c r="JA26" i="17"/>
  <c r="IZ26" i="17"/>
  <c r="HA26" i="17"/>
  <c r="GZ26" i="17"/>
  <c r="GY26" i="17"/>
  <c r="GX26" i="17"/>
  <c r="GW26" i="17"/>
  <c r="EA26" i="17"/>
  <c r="EA23" i="17" s="1"/>
  <c r="DZ26" i="17"/>
  <c r="DZ23" i="17" s="1"/>
  <c r="DY26" i="17"/>
  <c r="DY23" i="17" s="1"/>
  <c r="DX26" i="17"/>
  <c r="DX23" i="17" s="1"/>
  <c r="DW26" i="17"/>
  <c r="DW23" i="17" s="1"/>
  <c r="DS26" i="17"/>
  <c r="DR26" i="17"/>
  <c r="DQ26" i="17"/>
  <c r="DP26" i="17"/>
  <c r="DO26" i="17"/>
  <c r="BK26" i="17"/>
  <c r="BJ26" i="17"/>
  <c r="BI26" i="17"/>
  <c r="BH26" i="17"/>
  <c r="BG26" i="17"/>
  <c r="AM26" i="17"/>
  <c r="AL26" i="17"/>
  <c r="AK26" i="17"/>
  <c r="AJ26" i="17"/>
  <c r="AI26" i="17"/>
  <c r="KZ25" i="17"/>
  <c r="LB25" i="17" s="1"/>
  <c r="JX25" i="17"/>
  <c r="KB25" i="17" s="1"/>
  <c r="JD25" i="17"/>
  <c r="JC25" i="17"/>
  <c r="JB25" i="17"/>
  <c r="JA25" i="17"/>
  <c r="IZ25" i="17"/>
  <c r="HA25" i="17"/>
  <c r="GZ25" i="17"/>
  <c r="GY25" i="17"/>
  <c r="GX25" i="17"/>
  <c r="GW25" i="17"/>
  <c r="DS25" i="17"/>
  <c r="DS24" i="17" s="1"/>
  <c r="DR25" i="17"/>
  <c r="DR22" i="17" s="1"/>
  <c r="DQ25" i="17"/>
  <c r="DQ24" i="17" s="1"/>
  <c r="DP25" i="17"/>
  <c r="DP24" i="17" s="1"/>
  <c r="DO25" i="17"/>
  <c r="DO24" i="17" s="1"/>
  <c r="BK25" i="17"/>
  <c r="BJ25" i="17"/>
  <c r="BI25" i="17"/>
  <c r="BH25" i="17"/>
  <c r="BG25" i="17"/>
  <c r="AM25" i="17"/>
  <c r="AL25" i="17"/>
  <c r="AK25" i="17"/>
  <c r="AJ25" i="17"/>
  <c r="AI25" i="17"/>
  <c r="KZ24" i="17"/>
  <c r="LD24" i="17" s="1"/>
  <c r="JX24" i="17"/>
  <c r="JZ24" i="17" s="1"/>
  <c r="JD24" i="17"/>
  <c r="JC24" i="17"/>
  <c r="JB24" i="17"/>
  <c r="JA24" i="17"/>
  <c r="IZ24" i="17"/>
  <c r="HA24" i="17"/>
  <c r="GZ24" i="17"/>
  <c r="GY24" i="17"/>
  <c r="GX24" i="17"/>
  <c r="GW24" i="17"/>
  <c r="BK24" i="17"/>
  <c r="BJ24" i="17"/>
  <c r="BI24" i="17"/>
  <c r="BH24" i="17"/>
  <c r="BG24" i="17"/>
  <c r="AM24" i="17"/>
  <c r="AL24" i="17"/>
  <c r="AK24" i="17"/>
  <c r="AJ24" i="17"/>
  <c r="AI24" i="17"/>
  <c r="KZ23" i="17"/>
  <c r="LB23" i="17" s="1"/>
  <c r="JX23" i="17"/>
  <c r="KB23" i="17" s="1"/>
  <c r="JD23" i="17"/>
  <c r="JC23" i="17"/>
  <c r="JB23" i="17"/>
  <c r="JA23" i="17"/>
  <c r="IZ23" i="17"/>
  <c r="HA23" i="17"/>
  <c r="GZ23" i="17"/>
  <c r="GY23" i="17"/>
  <c r="GX23" i="17"/>
  <c r="GW23" i="17"/>
  <c r="BK23" i="17"/>
  <c r="BJ23" i="17"/>
  <c r="BI23" i="17"/>
  <c r="BH23" i="17"/>
  <c r="BG23" i="17"/>
  <c r="AM23" i="17"/>
  <c r="AL23" i="17"/>
  <c r="AK23" i="17"/>
  <c r="AJ23" i="17"/>
  <c r="AI23" i="17"/>
  <c r="KZ22" i="17"/>
  <c r="LD22" i="17" s="1"/>
  <c r="E198" i="15" s="1"/>
  <c r="JX22" i="17"/>
  <c r="JZ22" i="17" s="1"/>
  <c r="JD22" i="17"/>
  <c r="JC22" i="17"/>
  <c r="JB22" i="17"/>
  <c r="JA22" i="17"/>
  <c r="IZ22" i="17"/>
  <c r="HA22" i="17"/>
  <c r="GZ22" i="17"/>
  <c r="GY22" i="17"/>
  <c r="GX22" i="17"/>
  <c r="GW22" i="17"/>
  <c r="BK22" i="17"/>
  <c r="BJ22" i="17"/>
  <c r="BI22" i="17"/>
  <c r="BH22" i="17"/>
  <c r="BG22" i="17"/>
  <c r="AM22" i="17"/>
  <c r="AL22" i="17"/>
  <c r="AK22" i="17"/>
  <c r="AJ22" i="17"/>
  <c r="AI22" i="17"/>
  <c r="KZ21" i="17"/>
  <c r="JX21" i="17"/>
  <c r="KB21" i="17" s="1"/>
  <c r="JD21" i="17"/>
  <c r="JC21" i="17"/>
  <c r="JB21" i="17"/>
  <c r="JA21" i="17"/>
  <c r="IZ21" i="17"/>
  <c r="HA21" i="17"/>
  <c r="GZ21" i="17"/>
  <c r="GY21" i="17"/>
  <c r="GX21" i="17"/>
  <c r="GW21" i="17"/>
  <c r="BK21" i="17"/>
  <c r="BJ21" i="17"/>
  <c r="BI21" i="17"/>
  <c r="BH21" i="17"/>
  <c r="BG21" i="17"/>
  <c r="AM21" i="17"/>
  <c r="AL21" i="17"/>
  <c r="AK21" i="17"/>
  <c r="AJ21" i="17"/>
  <c r="AI21" i="17"/>
  <c r="KZ20" i="17"/>
  <c r="LC20" i="17" s="1"/>
  <c r="JX20" i="17"/>
  <c r="KB20" i="17" s="1"/>
  <c r="JD20" i="17"/>
  <c r="JC20" i="17"/>
  <c r="JB20" i="17"/>
  <c r="JA20" i="17"/>
  <c r="IZ20" i="17"/>
  <c r="HA20" i="17"/>
  <c r="GZ20" i="17"/>
  <c r="GY20" i="17"/>
  <c r="GX20" i="17"/>
  <c r="GW20" i="17"/>
  <c r="BK20" i="17"/>
  <c r="BJ20" i="17"/>
  <c r="BI20" i="17"/>
  <c r="BH20" i="17"/>
  <c r="BG20" i="17"/>
  <c r="AM20" i="17"/>
  <c r="AL20" i="17"/>
  <c r="AK20" i="17"/>
  <c r="AJ20" i="17"/>
  <c r="AI20" i="17"/>
  <c r="KZ19" i="17"/>
  <c r="LD19" i="17" s="1"/>
  <c r="JX19" i="17"/>
  <c r="JZ19" i="17" s="1"/>
  <c r="JD19" i="17"/>
  <c r="JC19" i="17"/>
  <c r="JB19" i="17"/>
  <c r="JA19" i="17"/>
  <c r="IZ19" i="17"/>
  <c r="HA19" i="17"/>
  <c r="GZ19" i="17"/>
  <c r="GY19" i="17"/>
  <c r="GX19" i="17"/>
  <c r="GW19" i="17"/>
  <c r="BK19" i="17"/>
  <c r="BK16" i="17" s="1"/>
  <c r="BJ19" i="17"/>
  <c r="BJ18" i="17" s="1"/>
  <c r="BI19" i="17"/>
  <c r="BI18" i="17" s="1"/>
  <c r="BH19" i="17"/>
  <c r="BH18" i="17" s="1"/>
  <c r="BG19" i="17"/>
  <c r="BG16" i="17" s="1"/>
  <c r="AM19" i="17"/>
  <c r="AM18" i="17" s="1"/>
  <c r="AL19" i="17"/>
  <c r="AL16" i="17" s="1"/>
  <c r="AK19" i="17"/>
  <c r="AK16" i="17" s="1"/>
  <c r="AJ19" i="17"/>
  <c r="AJ16" i="17" s="1"/>
  <c r="AI19" i="17"/>
  <c r="AI18" i="17" s="1"/>
  <c r="KZ18" i="17"/>
  <c r="LD18" i="17" s="1"/>
  <c r="JX18" i="17"/>
  <c r="KA18" i="17" s="1"/>
  <c r="JD18" i="17"/>
  <c r="JC18" i="17"/>
  <c r="JB18" i="17"/>
  <c r="JA18" i="17"/>
  <c r="IZ18" i="17"/>
  <c r="HA18" i="17"/>
  <c r="GZ18" i="17"/>
  <c r="GY18" i="17"/>
  <c r="GX18" i="17"/>
  <c r="GW18" i="17"/>
  <c r="KZ17" i="17"/>
  <c r="JX17" i="17"/>
  <c r="JZ17" i="17" s="1"/>
  <c r="JD17" i="17"/>
  <c r="JC17" i="17"/>
  <c r="JB17" i="17"/>
  <c r="JA17" i="17"/>
  <c r="IZ17" i="17"/>
  <c r="HA17" i="17"/>
  <c r="GZ17" i="17"/>
  <c r="GY17" i="17"/>
  <c r="GX17" i="17"/>
  <c r="GW17" i="17"/>
  <c r="KZ16" i="17"/>
  <c r="LC16" i="17" s="1"/>
  <c r="JX16" i="17"/>
  <c r="KB16" i="17" s="1"/>
  <c r="JD16" i="17"/>
  <c r="JC16" i="17"/>
  <c r="JB16" i="17"/>
  <c r="JA16" i="17"/>
  <c r="IZ16" i="17"/>
  <c r="HA16" i="17"/>
  <c r="GZ16" i="17"/>
  <c r="GY16" i="17"/>
  <c r="GX16" i="17"/>
  <c r="GW16" i="17"/>
  <c r="KZ15" i="17"/>
  <c r="LC15" i="17" s="1"/>
  <c r="JX15" i="17"/>
  <c r="KB15" i="17" s="1"/>
  <c r="JD15" i="17"/>
  <c r="JC15" i="17"/>
  <c r="JB15" i="17"/>
  <c r="JA15" i="17"/>
  <c r="IZ15" i="17"/>
  <c r="HA15" i="17"/>
  <c r="GZ15" i="17"/>
  <c r="GY15" i="17"/>
  <c r="GX15" i="17"/>
  <c r="GW15" i="17"/>
  <c r="KZ14" i="17"/>
  <c r="LB14" i="17" s="1"/>
  <c r="JX14" i="17"/>
  <c r="KA14" i="17" s="1"/>
  <c r="JD14" i="17"/>
  <c r="JC14" i="17"/>
  <c r="JB14" i="17"/>
  <c r="JA14" i="17"/>
  <c r="IZ14" i="17"/>
  <c r="HA14" i="17"/>
  <c r="GZ14" i="17"/>
  <c r="GY14" i="17"/>
  <c r="GX14" i="17"/>
  <c r="GW14" i="17"/>
  <c r="KZ13" i="17"/>
  <c r="LD13" i="17" s="1"/>
  <c r="JX13" i="17"/>
  <c r="KB13" i="17" s="1"/>
  <c r="JD13" i="17"/>
  <c r="JC13" i="17"/>
  <c r="JB13" i="17"/>
  <c r="JA13" i="17"/>
  <c r="IZ13" i="17"/>
  <c r="HA13" i="17"/>
  <c r="GZ13" i="17"/>
  <c r="GY13" i="17"/>
  <c r="GX13" i="17"/>
  <c r="GW13" i="17"/>
  <c r="KZ12" i="17"/>
  <c r="C65" i="31" l="1"/>
  <c r="AF19" i="3"/>
  <c r="AU43" i="6"/>
  <c r="AU40" i="6"/>
  <c r="AM16" i="17"/>
  <c r="H11" i="19"/>
  <c r="I9" i="19"/>
  <c r="AI16" i="17"/>
  <c r="BJ16" i="17"/>
  <c r="BI16" i="17"/>
  <c r="BH16" i="17" s="1"/>
  <c r="BG18" i="17"/>
  <c r="JY23" i="17"/>
  <c r="KC23" i="17"/>
  <c r="DS22" i="17"/>
  <c r="EA25" i="17"/>
  <c r="BK18" i="17"/>
  <c r="AL18" i="17"/>
  <c r="AK18" i="17" s="1"/>
  <c r="AJ18" i="17" s="1"/>
  <c r="KM292" i="2"/>
  <c r="KT293" i="2"/>
  <c r="AV45" i="6"/>
  <c r="EF240" i="2"/>
  <c r="DC248" i="2"/>
  <c r="BC20" i="3"/>
  <c r="F21" i="31"/>
  <c r="KJ288" i="2"/>
  <c r="KI288" i="2" s="1"/>
  <c r="KH288" i="2" s="1"/>
  <c r="KG288" i="2" s="1"/>
  <c r="AU41" i="6" s="1"/>
  <c r="F67" i="23"/>
  <c r="E67" i="23" s="1"/>
  <c r="D67" i="23" s="1"/>
  <c r="C67" i="23" s="1"/>
  <c r="B67" i="23" s="1"/>
  <c r="LE26" i="17"/>
  <c r="LB24" i="17"/>
  <c r="JY13" i="17"/>
  <c r="LE20" i="17"/>
  <c r="JZ21" i="17"/>
  <c r="LA20" i="17"/>
  <c r="JY21" i="17"/>
  <c r="KC21" i="17"/>
  <c r="LA19" i="17"/>
  <c r="B213" i="15"/>
  <c r="H213" i="15" s="1"/>
  <c r="LE15" i="17"/>
  <c r="LE16" i="17"/>
  <c r="KC18" i="17"/>
  <c r="LA26" i="17"/>
  <c r="KC13" i="17"/>
  <c r="LA15" i="17"/>
  <c r="LA16" i="17"/>
  <c r="JY18" i="17"/>
  <c r="LC13" i="17"/>
  <c r="KC14" i="17"/>
  <c r="KA15" i="17"/>
  <c r="KA16" i="17"/>
  <c r="LC18" i="17"/>
  <c r="KA20" i="17"/>
  <c r="LE22" i="17"/>
  <c r="F198" i="15" s="1"/>
  <c r="LA24" i="17"/>
  <c r="KC25" i="17"/>
  <c r="JZ28" i="17"/>
  <c r="LE13" i="17"/>
  <c r="KC15" i="17"/>
  <c r="LB13" i="17"/>
  <c r="JZ14" i="17"/>
  <c r="JZ15" i="17"/>
  <c r="JZ16" i="17"/>
  <c r="LB18" i="17"/>
  <c r="LE19" i="17"/>
  <c r="JZ20" i="17"/>
  <c r="LB22" i="17"/>
  <c r="C198" i="15" s="1"/>
  <c r="JZ25" i="17"/>
  <c r="KA26" i="17"/>
  <c r="G213" i="15"/>
  <c r="F213" i="15" s="1"/>
  <c r="LA13" i="17"/>
  <c r="JY14" i="17"/>
  <c r="JY15" i="17"/>
  <c r="JY16" i="17"/>
  <c r="LA18" i="17"/>
  <c r="LB19" i="17"/>
  <c r="JY20" i="17"/>
  <c r="LA22" i="17"/>
  <c r="B198" i="15" s="1"/>
  <c r="JZ23" i="17"/>
  <c r="LE24" i="17"/>
  <c r="JY25" i="17"/>
  <c r="JZ26" i="17"/>
  <c r="KC16" i="17"/>
  <c r="LE18" i="17"/>
  <c r="KC20" i="17"/>
  <c r="G198" i="15"/>
  <c r="DR24" i="17"/>
  <c r="DZ25" i="17"/>
  <c r="DY25" i="17"/>
  <c r="DX25" i="17" s="1"/>
  <c r="DW25" i="17" s="1"/>
  <c r="DQ22" i="17"/>
  <c r="DP22" i="17" s="1"/>
  <c r="DO22" i="17" s="1"/>
  <c r="LC14" i="17"/>
  <c r="KA13" i="17"/>
  <c r="KB14" i="17"/>
  <c r="JZ13" i="17"/>
  <c r="LA14" i="17"/>
  <c r="LE14" i="17"/>
  <c r="LB15" i="17"/>
  <c r="LB16" i="17"/>
  <c r="JY17" i="17"/>
  <c r="KC17" i="17"/>
  <c r="JZ18" i="17"/>
  <c r="JY19" i="17"/>
  <c r="KC19" i="17"/>
  <c r="LC19" i="17"/>
  <c r="LB20" i="17"/>
  <c r="KA21" i="17"/>
  <c r="JY22" i="17"/>
  <c r="KC22" i="17"/>
  <c r="LC22" i="17"/>
  <c r="D198" i="15" s="1"/>
  <c r="KA23" i="17"/>
  <c r="LA23" i="17"/>
  <c r="LE23" i="17"/>
  <c r="JY24" i="17"/>
  <c r="KC24" i="17"/>
  <c r="LC24" i="17"/>
  <c r="KA25" i="17"/>
  <c r="LA25" i="17"/>
  <c r="LE25" i="17"/>
  <c r="KB26" i="17"/>
  <c r="LB26" i="17"/>
  <c r="JY27" i="17"/>
  <c r="KC27" i="17"/>
  <c r="KA28" i="17"/>
  <c r="LA28" i="17"/>
  <c r="LE28" i="17"/>
  <c r="LD14" i="17"/>
  <c r="KB17" i="17"/>
  <c r="KB19" i="17"/>
  <c r="KB22" i="17"/>
  <c r="LD23" i="17"/>
  <c r="KB24" i="17"/>
  <c r="LD25" i="17"/>
  <c r="KB27" i="17"/>
  <c r="LD28" i="17"/>
  <c r="D215" i="15"/>
  <c r="C215" i="15" s="1"/>
  <c r="B215" i="15" s="1"/>
  <c r="LD15" i="17"/>
  <c r="LD16" i="17"/>
  <c r="KA17" i="17"/>
  <c r="KB18" i="17"/>
  <c r="KA19" i="17"/>
  <c r="LD20" i="17"/>
  <c r="KA22" i="17"/>
  <c r="LC23" i="17"/>
  <c r="KA24" i="17"/>
  <c r="LC25" i="17"/>
  <c r="LD26" i="17"/>
  <c r="KA27" i="17"/>
  <c r="JY28" i="17"/>
  <c r="KC28" i="17"/>
  <c r="LC28" i="17"/>
  <c r="D217" i="15"/>
  <c r="C217" i="15" s="1"/>
  <c r="B217" i="15" s="1"/>
  <c r="JY26" i="17"/>
  <c r="JX12" i="17"/>
  <c r="JD12" i="17"/>
  <c r="JC12" i="17"/>
  <c r="JB12" i="17"/>
  <c r="JA12" i="17"/>
  <c r="IZ12" i="17"/>
  <c r="HA12" i="17"/>
  <c r="GZ12" i="17"/>
  <c r="GY12" i="17"/>
  <c r="GX12" i="17"/>
  <c r="GW12" i="17"/>
  <c r="KZ11" i="17"/>
  <c r="LB11" i="17" s="1"/>
  <c r="JX11" i="17"/>
  <c r="KB11" i="17" s="1"/>
  <c r="JD11" i="17"/>
  <c r="JC11" i="17"/>
  <c r="JB11" i="17"/>
  <c r="JA11" i="17"/>
  <c r="IZ11" i="17"/>
  <c r="HA11" i="17"/>
  <c r="GZ11" i="17"/>
  <c r="GY11" i="17"/>
  <c r="GX11" i="17"/>
  <c r="GW11" i="17"/>
  <c r="NH10" i="17"/>
  <c r="NH9" i="17" s="1"/>
  <c r="NG10" i="17"/>
  <c r="NF10" i="17"/>
  <c r="NE10" i="17"/>
  <c r="ND10" i="17"/>
  <c r="KZ10" i="17"/>
  <c r="LE10" i="17" s="1"/>
  <c r="JX10" i="17"/>
  <c r="KA10" i="17" s="1"/>
  <c r="JD10" i="17"/>
  <c r="JC10" i="17"/>
  <c r="JB10" i="17"/>
  <c r="JA10" i="17"/>
  <c r="IZ10" i="17"/>
  <c r="HA10" i="17"/>
  <c r="GZ10" i="17"/>
  <c r="GY10" i="17"/>
  <c r="GX10" i="17"/>
  <c r="GW10" i="17"/>
  <c r="H198" i="15" l="1"/>
  <c r="DE240" i="2"/>
  <c r="DD240" i="2" s="1"/>
  <c r="C64" i="31"/>
  <c r="AE19" i="3"/>
  <c r="DE239" i="2"/>
  <c r="J4" i="6"/>
  <c r="BE20" i="3"/>
  <c r="F23" i="31"/>
  <c r="KJ289" i="2"/>
  <c r="KI289" i="2" s="1"/>
  <c r="KH289" i="2" s="1"/>
  <c r="KG289" i="2" s="1"/>
  <c r="AU42" i="6" s="1"/>
  <c r="KD288" i="2"/>
  <c r="AT41" i="6" s="1"/>
  <c r="AU44" i="6"/>
  <c r="KM293" i="2"/>
  <c r="KT294" i="2"/>
  <c r="LC10" i="17"/>
  <c r="KC10" i="17"/>
  <c r="JZ10" i="17"/>
  <c r="JZ11" i="17"/>
  <c r="JY10" i="17"/>
  <c r="KC12" i="17"/>
  <c r="KA12" i="17"/>
  <c r="KB12" i="17"/>
  <c r="JZ12" i="17"/>
  <c r="LD10" i="17"/>
  <c r="KA11" i="17"/>
  <c r="LA11" i="17"/>
  <c r="LE11" i="17"/>
  <c r="LD11" i="17"/>
  <c r="KB10" i="17"/>
  <c r="LB10" i="17"/>
  <c r="JY11" i="17"/>
  <c r="KC11" i="17"/>
  <c r="LC11" i="17"/>
  <c r="LA10" i="17"/>
  <c r="JY12" i="17"/>
  <c r="NG9" i="17"/>
  <c r="NF9" i="17"/>
  <c r="NE9" i="17"/>
  <c r="ND9" i="17"/>
  <c r="KZ9" i="17"/>
  <c r="LD9" i="17" s="1"/>
  <c r="JX9" i="17"/>
  <c r="KA9" i="17" s="1"/>
  <c r="JD9" i="17"/>
  <c r="JC9" i="17"/>
  <c r="JB9" i="17"/>
  <c r="JA9" i="17"/>
  <c r="IZ9" i="17"/>
  <c r="HA9" i="17"/>
  <c r="GZ9" i="17"/>
  <c r="GY9" i="17"/>
  <c r="GX9" i="17"/>
  <c r="GW9" i="17"/>
  <c r="LE8" i="17"/>
  <c r="LD8" i="17"/>
  <c r="LC8" i="17"/>
  <c r="LB8" i="17"/>
  <c r="LA8" i="17"/>
  <c r="KC8" i="17"/>
  <c r="KB8" i="17"/>
  <c r="KA8" i="17"/>
  <c r="JZ8" i="17"/>
  <c r="JY8" i="17"/>
  <c r="JD8" i="17"/>
  <c r="JC8" i="17"/>
  <c r="JB8" i="17"/>
  <c r="JA8" i="17"/>
  <c r="IZ8" i="17"/>
  <c r="HA8" i="17"/>
  <c r="GZ8" i="17"/>
  <c r="GZ7" i="17" s="1"/>
  <c r="GY8" i="17"/>
  <c r="GX8" i="17"/>
  <c r="GW8" i="17"/>
  <c r="NH7" i="17" s="1"/>
  <c r="NG7" i="17" s="1"/>
  <c r="NF7" i="17" s="1"/>
  <c r="NE7" i="17" s="1"/>
  <c r="ND7" i="17" s="1"/>
  <c r="LE7" i="17"/>
  <c r="LE6" i="17" s="1"/>
  <c r="LD7" i="17"/>
  <c r="LC7" i="17"/>
  <c r="LC6" i="17" s="1"/>
  <c r="LB7" i="17"/>
  <c r="LB6" i="17" s="1"/>
  <c r="LA7" i="17"/>
  <c r="LA6" i="17" s="1"/>
  <c r="KC7" i="17"/>
  <c r="KC6" i="17" s="1"/>
  <c r="KB7" i="17"/>
  <c r="KB6" i="17" s="1"/>
  <c r="KA7" i="17"/>
  <c r="JZ7" i="17"/>
  <c r="JY7" i="17"/>
  <c r="JD7" i="17"/>
  <c r="JD6" i="17" s="1"/>
  <c r="JC7" i="17"/>
  <c r="JC6" i="17" s="1"/>
  <c r="JB7" i="17"/>
  <c r="JA7" i="17"/>
  <c r="IZ7" i="17"/>
  <c r="GY7" i="17" l="1"/>
  <c r="LD6" i="17"/>
  <c r="HA7" i="17"/>
  <c r="GX7" i="17"/>
  <c r="GW7" i="17" s="1"/>
  <c r="KC288" i="2"/>
  <c r="KB288" i="2" s="1"/>
  <c r="KA288" i="2" s="1"/>
  <c r="JZ288" i="2" s="1"/>
  <c r="JY288" i="2" s="1"/>
  <c r="AS41" i="6" s="1"/>
  <c r="AT44" i="6"/>
  <c r="KM294" i="2"/>
  <c r="KT295" i="2"/>
  <c r="KM295" i="2" s="1"/>
  <c r="KD289" i="2"/>
  <c r="AT42" i="6" s="1"/>
  <c r="AU45" i="6"/>
  <c r="DD239" i="2"/>
  <c r="DC239" i="2" s="1"/>
  <c r="DE238" i="2"/>
  <c r="KA6" i="17"/>
  <c r="JZ6" i="17"/>
  <c r="JY6" i="17"/>
  <c r="JZ9" i="17"/>
  <c r="JY9" i="17"/>
  <c r="KC9" i="17"/>
  <c r="LC9" i="17"/>
  <c r="KB9" i="17"/>
  <c r="LB9" i="17"/>
  <c r="LA9" i="17"/>
  <c r="LE9" i="17"/>
  <c r="JB6" i="17"/>
  <c r="JA6" i="17"/>
  <c r="IZ6" i="17"/>
  <c r="HA5" i="17"/>
  <c r="GZ5" i="17" s="1"/>
  <c r="GY5" i="17"/>
  <c r="GX5" i="17"/>
  <c r="KC289" i="2" l="1"/>
  <c r="KB289" i="2" s="1"/>
  <c r="KA289" i="2" s="1"/>
  <c r="JZ289" i="2" s="1"/>
  <c r="JY289" i="2" s="1"/>
  <c r="AS42" i="6" s="1"/>
  <c r="AT45" i="6"/>
  <c r="JU288" i="2"/>
  <c r="JT288" i="2" s="1"/>
  <c r="JR288" i="2" s="1"/>
  <c r="JQ288" i="2" s="1"/>
  <c r="JP288" i="2" s="1"/>
  <c r="JN288" i="2" s="1"/>
  <c r="JM288" i="2" s="1"/>
  <c r="JL288" i="2" s="1"/>
  <c r="JK288" i="2" s="1"/>
  <c r="JJ288" i="2" s="1"/>
  <c r="JI288" i="2" s="1"/>
  <c r="JH288" i="2" s="1"/>
  <c r="JG288" i="2" s="1"/>
  <c r="JD288" i="2" s="1"/>
  <c r="AS44" i="6"/>
  <c r="DD238" i="2"/>
  <c r="DC238" i="2" s="1"/>
  <c r="K39" i="18" s="1"/>
  <c r="DE237" i="2"/>
  <c r="GW5" i="17"/>
  <c r="LE4" i="17" s="1"/>
  <c r="LD4" i="17"/>
  <c r="LC4" i="17"/>
  <c r="LB4" i="17" s="1"/>
  <c r="LA4" i="17" s="1"/>
  <c r="KC4" i="17" s="1"/>
  <c r="KB4" i="17" s="1"/>
  <c r="KA4" i="17"/>
  <c r="JZ4" i="17"/>
  <c r="JY4" i="17"/>
  <c r="JD4" i="17" s="1"/>
  <c r="JC4" i="17" s="1"/>
  <c r="JB4" i="17" s="1"/>
  <c r="JA4" i="17" s="1"/>
  <c r="IZ4" i="17" s="1"/>
  <c r="DD237" i="2" l="1"/>
  <c r="DE236" i="2"/>
  <c r="K40" i="18"/>
  <c r="DC237" i="2"/>
  <c r="JU289" i="2"/>
  <c r="AS45" i="6"/>
  <c r="B25" i="4"/>
  <c r="DD236" i="2" l="1"/>
  <c r="E22" i="31"/>
  <c r="BD19" i="3"/>
  <c r="JT289" i="2"/>
  <c r="JR289" i="2" s="1"/>
  <c r="JQ289" i="2" s="1"/>
  <c r="JP289" i="2" s="1"/>
  <c r="JN289" i="2" s="1"/>
  <c r="JM289" i="2" s="1"/>
  <c r="JL289" i="2" s="1"/>
  <c r="JK289" i="2" s="1"/>
  <c r="JJ289" i="2" s="1"/>
  <c r="JI289" i="2" s="1"/>
  <c r="JH289" i="2" s="1"/>
  <c r="JG289" i="2" s="1"/>
  <c r="JD289" i="2" s="1"/>
  <c r="JD290" i="2" s="1"/>
  <c r="JU290" i="2"/>
  <c r="AB25" i="4"/>
  <c r="V25" i="4"/>
  <c r="S25" i="4"/>
  <c r="Y25" i="4"/>
  <c r="T25" i="4"/>
  <c r="P25" i="4"/>
  <c r="L25" i="4"/>
  <c r="U25" i="4"/>
  <c r="Q25" i="4"/>
  <c r="R25" i="4"/>
  <c r="O25" i="4"/>
  <c r="AA25" i="4"/>
  <c r="Z25" i="4" s="1"/>
  <c r="M25" i="4"/>
  <c r="N25" i="4"/>
  <c r="F25" i="4"/>
  <c r="JT290" i="2" l="1"/>
  <c r="JR290" i="2" s="1"/>
  <c r="JQ290" i="2" s="1"/>
  <c r="JP290" i="2" s="1"/>
  <c r="JN290" i="2" s="1"/>
  <c r="JM290" i="2" s="1"/>
  <c r="JL290" i="2" s="1"/>
  <c r="JK290" i="2" s="1"/>
  <c r="JJ290" i="2" s="1"/>
  <c r="JI290" i="2" s="1"/>
  <c r="JH290" i="2" s="1"/>
  <c r="JG290" i="2" s="1"/>
  <c r="JU291" i="2"/>
  <c r="JT291" i="2" s="1"/>
  <c r="JR291" i="2" s="1"/>
  <c r="JQ291" i="2" s="1"/>
  <c r="JP291" i="2" s="1"/>
  <c r="DC236" i="2"/>
  <c r="E21" i="31"/>
  <c r="BC19" i="3"/>
  <c r="JN291" i="2" l="1"/>
  <c r="JM291" i="2" s="1"/>
  <c r="JL291" i="2" s="1"/>
  <c r="JK291" i="2" s="1"/>
  <c r="JJ291" i="2" s="1"/>
  <c r="JI291" i="2" s="1"/>
  <c r="JH291" i="2" s="1"/>
  <c r="JG291" i="2" s="1"/>
  <c r="JE291" i="2" s="1"/>
  <c r="AP45" i="6" s="1"/>
  <c r="BE19" i="3"/>
  <c r="E23" i="31"/>
  <c r="JD291" i="2"/>
  <c r="JC291" i="2" s="1"/>
  <c r="JB291" i="2" s="1"/>
  <c r="JA291" i="2" s="1"/>
  <c r="IZ291" i="2" s="1"/>
  <c r="AP48" i="6"/>
  <c r="JE294" i="2"/>
  <c r="I20" i="4"/>
  <c r="G20" i="4"/>
  <c r="D20" i="4"/>
  <c r="IY291" i="2" l="1"/>
  <c r="IX291" i="2" s="1"/>
  <c r="IV291" i="2" s="1"/>
  <c r="IU291" i="2" s="1"/>
  <c r="IT291" i="2" s="1"/>
  <c r="IS291" i="2" s="1"/>
  <c r="IR291" i="2" s="1"/>
  <c r="IQ291" i="2" s="1"/>
  <c r="IN291" i="2" s="1"/>
  <c r="HH291" i="2" s="1"/>
  <c r="HG291" i="2" s="1"/>
  <c r="HF291" i="2" s="1"/>
  <c r="HE291" i="2" s="1"/>
  <c r="HD291" i="2" s="1"/>
  <c r="HC291" i="2" s="1"/>
  <c r="AH45" i="6" s="1"/>
  <c r="IZ292" i="2"/>
  <c r="IZ293" i="2" s="1"/>
  <c r="IX293" i="2" s="1"/>
  <c r="AP51" i="6"/>
  <c r="I19" i="4"/>
  <c r="G19" i="4"/>
  <c r="D19" i="4"/>
  <c r="IZ294" i="2" l="1"/>
  <c r="IX294" i="2" s="1"/>
  <c r="IX295" i="2" s="1"/>
  <c r="HB291" i="2"/>
  <c r="HA291" i="2" s="1"/>
  <c r="GZ291" i="2" s="1"/>
  <c r="GY291" i="2" s="1"/>
  <c r="GX291" i="2" s="1"/>
  <c r="GW291" i="2" s="1"/>
  <c r="GV291" i="2" s="1"/>
  <c r="GU291" i="2" s="1"/>
  <c r="GT291" i="2" s="1"/>
  <c r="GS291" i="2" s="1"/>
  <c r="GR291" i="2" s="1"/>
  <c r="AG45" i="6" s="1"/>
  <c r="AH48" i="6"/>
  <c r="I18" i="4"/>
  <c r="G18" i="4"/>
  <c r="D18" i="4"/>
  <c r="GQ291" i="2" l="1"/>
  <c r="AG48" i="6"/>
  <c r="I17" i="4"/>
  <c r="G17" i="4"/>
  <c r="D17" i="4"/>
  <c r="I16" i="4"/>
  <c r="G16" i="4"/>
  <c r="D16" i="4"/>
  <c r="AF48" i="6" l="1"/>
  <c r="AF45" i="6"/>
  <c r="I15" i="4"/>
  <c r="G15" i="4"/>
  <c r="D15" i="4"/>
  <c r="I14" i="4"/>
  <c r="G14" i="4"/>
  <c r="D14" i="4"/>
  <c r="I13" i="4"/>
  <c r="G13" i="4"/>
  <c r="D13" i="4"/>
  <c r="I12" i="4"/>
  <c r="G12" i="4"/>
  <c r="D12" i="4"/>
  <c r="I11" i="4"/>
  <c r="G11" i="4"/>
  <c r="D11" i="4"/>
  <c r="I10" i="4"/>
  <c r="G10" i="4"/>
  <c r="D10" i="4"/>
  <c r="I9" i="4"/>
  <c r="G9" i="4"/>
  <c r="D9" i="4"/>
  <c r="I8" i="4"/>
  <c r="G8" i="4"/>
  <c r="D8" i="4"/>
  <c r="F38" i="11" l="1"/>
  <c r="E38" i="11"/>
  <c r="D38" i="11"/>
  <c r="C38" i="11"/>
  <c r="B38" i="11"/>
  <c r="E15" i="11"/>
  <c r="D15" i="11" s="1"/>
  <c r="C15" i="11" s="1"/>
  <c r="B15" i="11" s="1"/>
  <c r="F14" i="11"/>
  <c r="E14" i="11" s="1"/>
  <c r="D14" i="11" s="1"/>
  <c r="C14" i="11" s="1"/>
  <c r="F13" i="11"/>
  <c r="E13" i="11" s="1"/>
  <c r="D13" i="11" s="1"/>
  <c r="C13" i="11" s="1"/>
  <c r="B13" i="11" l="1"/>
  <c r="H13" i="11" s="1"/>
  <c r="G13" i="11"/>
  <c r="B14" i="11"/>
  <c r="H14" i="11" s="1"/>
  <c r="G14" i="11"/>
  <c r="G15" i="11"/>
  <c r="H15" i="11"/>
  <c r="F12" i="11"/>
  <c r="E12" i="11" s="1"/>
  <c r="D12" i="11" s="1"/>
  <c r="C12" i="11" s="1"/>
  <c r="B12" i="11" s="1"/>
  <c r="H12" i="11" s="1"/>
  <c r="G12" i="11" s="1"/>
  <c r="F11" i="11"/>
  <c r="E11" i="11" s="1"/>
  <c r="D11" i="11" s="1"/>
  <c r="C11" i="11" s="1"/>
  <c r="B11" i="11" s="1"/>
  <c r="H11" i="11" s="1"/>
  <c r="G11" i="11" s="1"/>
  <c r="F5" i="11"/>
  <c r="E5" i="11"/>
  <c r="D5" i="11"/>
  <c r="C5" i="11"/>
  <c r="B5" i="11" s="1"/>
  <c r="F27" i="10" l="1"/>
  <c r="E27" i="10"/>
  <c r="D27" i="10" s="1"/>
  <c r="C27" i="10"/>
  <c r="B27" i="10" s="1"/>
  <c r="F20" i="10"/>
  <c r="E20" i="10"/>
  <c r="D20" i="10"/>
  <c r="C20" i="10"/>
  <c r="B20" i="10"/>
  <c r="C13" i="10"/>
  <c r="B13" i="10" s="1"/>
  <c r="C12" i="10"/>
  <c r="B12" i="10" s="1"/>
  <c r="C11" i="10"/>
  <c r="B11" i="10" s="1"/>
  <c r="C10" i="10"/>
  <c r="B10" i="10" s="1"/>
  <c r="C9" i="10"/>
  <c r="B9" i="10" s="1"/>
  <c r="C8" i="10"/>
  <c r="B8" i="10" s="1"/>
  <c r="C25" i="19"/>
  <c r="I25" i="19" s="1"/>
  <c r="F7" i="10" l="1"/>
  <c r="E7" i="10" s="1"/>
  <c r="D7" i="10" s="1"/>
  <c r="C7" i="10" s="1"/>
  <c r="B7" i="10" s="1"/>
  <c r="B28" i="10"/>
  <c r="C8" i="16" l="1"/>
  <c r="G7" i="16"/>
  <c r="F7" i="16"/>
  <c r="E7" i="16"/>
  <c r="D7" i="16"/>
  <c r="C7" i="16"/>
  <c r="B47" i="1" l="1"/>
  <c r="E21" i="1"/>
  <c r="D21" i="1"/>
  <c r="C21" i="1"/>
  <c r="B21" i="1"/>
  <c r="F128" i="8"/>
  <c r="E128" i="8"/>
  <c r="D128" i="8"/>
  <c r="C128" i="8"/>
  <c r="E37" i="8"/>
  <c r="D37" i="8"/>
  <c r="C37" i="8"/>
  <c r="B37" i="8" s="1"/>
  <c r="F36" i="8" s="1"/>
  <c r="E36" i="8" s="1"/>
  <c r="D36" i="8" s="1"/>
  <c r="C36" i="8" s="1"/>
  <c r="F31" i="8"/>
  <c r="E31" i="8"/>
  <c r="G31" i="8" s="1"/>
  <c r="D31" i="8"/>
  <c r="C31" i="8"/>
  <c r="B31" i="8"/>
  <c r="H31" i="8" s="1"/>
  <c r="F30" i="8"/>
  <c r="E30" i="8"/>
  <c r="G30" i="8" s="1"/>
  <c r="D30" i="8"/>
  <c r="C30" i="8"/>
  <c r="B30" i="8"/>
  <c r="H30" i="8" s="1"/>
  <c r="F29" i="8"/>
  <c r="G29" i="8" s="1"/>
  <c r="E29" i="8"/>
  <c r="D29" i="8"/>
  <c r="C29" i="8"/>
  <c r="B29" i="8"/>
  <c r="H29" i="8" s="1"/>
  <c r="F28" i="8"/>
  <c r="E28" i="8"/>
  <c r="G28" i="8" s="1"/>
  <c r="D28" i="8"/>
  <c r="C28" i="8"/>
  <c r="B28" i="8"/>
  <c r="F27" i="8" s="1"/>
  <c r="E27" i="8" s="1"/>
  <c r="D27" i="8" s="1"/>
  <c r="C27" i="8" s="1"/>
  <c r="B21" i="8"/>
  <c r="B20" i="8"/>
  <c r="B19" i="8"/>
  <c r="D18" i="8"/>
  <c r="C18" i="8" s="1"/>
  <c r="B18" i="8"/>
  <c r="F17" i="8" s="1"/>
  <c r="E17" i="8" s="1"/>
  <c r="D17" i="8" s="1"/>
  <c r="C17" i="8" s="1"/>
  <c r="C10" i="8"/>
  <c r="B10" i="8" s="1"/>
  <c r="B6" i="8"/>
  <c r="F5" i="8" s="1"/>
  <c r="E5" i="8" s="1"/>
  <c r="D5" i="8" s="1"/>
  <c r="C5" i="8" s="1"/>
  <c r="B22" i="8" l="1"/>
  <c r="H28" i="8"/>
  <c r="F18" i="7" l="1"/>
  <c r="E18" i="7"/>
  <c r="D18" i="7"/>
  <c r="C18" i="7"/>
  <c r="G15" i="7" l="1"/>
  <c r="F15" i="7" l="1"/>
  <c r="C6" i="7"/>
  <c r="G4" i="7"/>
  <c r="F4" i="7"/>
  <c r="E4" i="7"/>
  <c r="D4" i="7"/>
  <c r="C4" i="7"/>
  <c r="E15" i="7" l="1"/>
  <c r="B56" i="8"/>
  <c r="B57" i="8"/>
  <c r="B58" i="8"/>
  <c r="B59" i="8"/>
  <c r="B60" i="8"/>
  <c r="B61" i="8"/>
  <c r="B62" i="8"/>
  <c r="B63" i="8"/>
  <c r="B64" i="8"/>
  <c r="B65" i="8"/>
  <c r="B66" i="8"/>
  <c r="B67" i="8"/>
  <c r="B68" i="8"/>
  <c r="E68" i="8"/>
  <c r="D68" i="8"/>
  <c r="C68" i="8"/>
  <c r="E67" i="8"/>
  <c r="D67" i="8"/>
  <c r="C67" i="8"/>
  <c r="E66" i="8"/>
  <c r="D66" i="8"/>
  <c r="C66" i="8"/>
  <c r="E65" i="8"/>
  <c r="D65" i="8"/>
  <c r="C65" i="8"/>
  <c r="E64" i="8"/>
  <c r="D64" i="8"/>
  <c r="C64" i="8"/>
  <c r="E63" i="8"/>
  <c r="D63" i="8"/>
  <c r="C63" i="8"/>
  <c r="E62" i="8"/>
  <c r="D62" i="8"/>
  <c r="C62" i="8"/>
  <c r="E61" i="8"/>
  <c r="D61" i="8"/>
  <c r="C61" i="8"/>
  <c r="E60" i="8"/>
  <c r="D60" i="8"/>
  <c r="C60" i="8"/>
  <c r="E59" i="8"/>
  <c r="D59" i="8"/>
  <c r="C59" i="8"/>
  <c r="E58" i="8"/>
  <c r="D58" i="8"/>
  <c r="C58" i="8"/>
  <c r="E57" i="8"/>
  <c r="D57" i="8"/>
  <c r="C57" i="8"/>
  <c r="E56" i="8"/>
  <c r="D56" i="8"/>
  <c r="C56" i="8"/>
  <c r="F55" i="8"/>
  <c r="E55" i="8"/>
  <c r="D55" i="8"/>
  <c r="C55" i="8"/>
  <c r="C69" i="8" l="1"/>
  <c r="B69" i="8"/>
  <c r="D15" i="7"/>
  <c r="E69" i="8"/>
  <c r="D69" i="8"/>
  <c r="C15" i="7" l="1"/>
  <c r="I15" i="7"/>
  <c r="H15" i="7" s="1"/>
  <c r="E10" i="5"/>
  <c r="F10" i="5"/>
  <c r="C10" i="5"/>
  <c r="D10" i="5"/>
  <c r="B10" i="5"/>
  <c r="E12" i="5"/>
  <c r="F12" i="5"/>
  <c r="C12" i="5"/>
  <c r="D12" i="5"/>
  <c r="B12" i="5"/>
  <c r="B11" i="5"/>
  <c r="F11" i="5"/>
  <c r="E11" i="5"/>
  <c r="C11" i="5"/>
  <c r="D11" i="5"/>
  <c r="B13" i="5"/>
  <c r="F13" i="5"/>
  <c r="F9" i="5"/>
  <c r="G45" i="7" s="1"/>
  <c r="E9" i="5"/>
  <c r="E13" i="5"/>
  <c r="C13" i="5"/>
  <c r="D13" i="5"/>
  <c r="D9" i="5"/>
  <c r="C9" i="5"/>
  <c r="D45" i="7" s="1"/>
  <c r="B9" i="5"/>
  <c r="F8" i="5"/>
  <c r="E8" i="5"/>
  <c r="D8" i="5"/>
  <c r="C8" i="5"/>
  <c r="B8" i="5"/>
  <c r="G18" i="7"/>
  <c r="H18" i="7" s="1"/>
  <c r="E6" i="7"/>
  <c r="E36" i="7" s="1"/>
  <c r="D6" i="7"/>
  <c r="G6" i="7"/>
  <c r="G36" i="7" s="1"/>
  <c r="G34" i="7"/>
  <c r="F34" i="7"/>
  <c r="E34" i="7"/>
  <c r="D34" i="7"/>
  <c r="C34" i="7"/>
  <c r="C8" i="7"/>
  <c r="C38" i="7" s="1"/>
  <c r="G8" i="7"/>
  <c r="G38" i="7" s="1"/>
  <c r="D9" i="7"/>
  <c r="D39" i="7" s="1"/>
  <c r="C9" i="7"/>
  <c r="C39" i="7" s="1"/>
  <c r="C11" i="7"/>
  <c r="G11" i="7"/>
  <c r="G41" i="7" s="1"/>
  <c r="F12" i="7"/>
  <c r="F42" i="7" s="1"/>
  <c r="G12" i="7"/>
  <c r="G42" i="7" s="1"/>
  <c r="D12" i="7"/>
  <c r="D42" i="7" s="1"/>
  <c r="E12" i="7"/>
  <c r="E42" i="7" s="1"/>
  <c r="G13" i="7"/>
  <c r="G43" i="7" s="1"/>
  <c r="F13" i="7"/>
  <c r="F43" i="7" s="1"/>
  <c r="F6" i="7"/>
  <c r="F36" i="7" s="1"/>
  <c r="E7" i="7"/>
  <c r="E37" i="7" s="1"/>
  <c r="D7" i="7"/>
  <c r="D37" i="7" s="1"/>
  <c r="C7" i="7"/>
  <c r="C37" i="7" s="1"/>
  <c r="G7" i="7"/>
  <c r="G37" i="7" s="1"/>
  <c r="F8" i="7"/>
  <c r="F38" i="7" s="1"/>
  <c r="D8" i="7"/>
  <c r="D38" i="7" s="1"/>
  <c r="E8" i="7"/>
  <c r="E38" i="7" s="1"/>
  <c r="G9" i="7"/>
  <c r="G39" i="7" s="1"/>
  <c r="F9" i="7"/>
  <c r="F39" i="7" s="1"/>
  <c r="D11" i="7"/>
  <c r="D41" i="7" s="1"/>
  <c r="F11" i="7"/>
  <c r="F41" i="7" s="1"/>
  <c r="C12" i="7"/>
  <c r="D13" i="7"/>
  <c r="D43" i="7" s="1"/>
  <c r="E13" i="7"/>
  <c r="E43" i="7" s="1"/>
  <c r="C14" i="7"/>
  <c r="C44" i="7" s="1"/>
  <c r="G14" i="7"/>
  <c r="G44" i="7" s="1"/>
  <c r="F14" i="7"/>
  <c r="F44" i="7" s="1"/>
  <c r="F18" i="8"/>
  <c r="F19" i="8"/>
  <c r="F20" i="8"/>
  <c r="F21" i="8"/>
  <c r="H21" i="8"/>
  <c r="E21" i="8"/>
  <c r="F7" i="7"/>
  <c r="F37" i="7" s="1"/>
  <c r="E9" i="7"/>
  <c r="E39" i="7" s="1"/>
  <c r="C13" i="7"/>
  <c r="C43" i="7" s="1"/>
  <c r="D14" i="7"/>
  <c r="D44" i="7" s="1"/>
  <c r="E14" i="7"/>
  <c r="E44" i="7" s="1"/>
  <c r="E11" i="7"/>
  <c r="E41" i="7" s="1"/>
  <c r="E16" i="7"/>
  <c r="E46" i="7" s="1"/>
  <c r="D16" i="7"/>
  <c r="D46" i="7" s="1"/>
  <c r="G20" i="7"/>
  <c r="G50" i="7" s="1"/>
  <c r="F20" i="7"/>
  <c r="F50" i="7" s="1"/>
  <c r="E24" i="7"/>
  <c r="E54" i="7" s="1"/>
  <c r="D24" i="7"/>
  <c r="D54" i="7" s="1"/>
  <c r="H20" i="8"/>
  <c r="E20" i="8"/>
  <c r="F16" i="7"/>
  <c r="F46" i="7" s="1"/>
  <c r="G16" i="7"/>
  <c r="G46" i="7" s="1"/>
  <c r="D20" i="7"/>
  <c r="D50" i="7" s="1"/>
  <c r="E20" i="7"/>
  <c r="E50" i="7" s="1"/>
  <c r="G22" i="7"/>
  <c r="F22" i="7"/>
  <c r="F24" i="7"/>
  <c r="F54" i="7" s="1"/>
  <c r="G24" i="7"/>
  <c r="G54" i="7" s="1"/>
  <c r="D19" i="8"/>
  <c r="D20" i="8"/>
  <c r="D21" i="8"/>
  <c r="C19" i="8"/>
  <c r="F10" i="8"/>
  <c r="H10" i="8" s="1"/>
  <c r="E10" i="8"/>
  <c r="C16" i="7"/>
  <c r="C46" i="7" s="1"/>
  <c r="D22" i="7"/>
  <c r="C22" i="7"/>
  <c r="B38" i="8"/>
  <c r="B39" i="8"/>
  <c r="B40" i="8"/>
  <c r="B41" i="8"/>
  <c r="B42" i="8"/>
  <c r="B43" i="8"/>
  <c r="B44" i="8"/>
  <c r="B45" i="8"/>
  <c r="B46" i="8"/>
  <c r="B47" i="8"/>
  <c r="B48" i="8"/>
  <c r="B49" i="8"/>
  <c r="F37" i="8"/>
  <c r="F38" i="8"/>
  <c r="F39" i="8"/>
  <c r="F40" i="8"/>
  <c r="F41" i="8"/>
  <c r="F42" i="8"/>
  <c r="F43" i="8"/>
  <c r="F44" i="8"/>
  <c r="F45" i="8"/>
  <c r="F46" i="8"/>
  <c r="F47" i="8"/>
  <c r="F48" i="8"/>
  <c r="F49" i="8"/>
  <c r="F50" i="8"/>
  <c r="E38" i="8"/>
  <c r="E39" i="8"/>
  <c r="E40" i="8"/>
  <c r="E41" i="8"/>
  <c r="E42" i="8"/>
  <c r="E43" i="8"/>
  <c r="E44" i="8"/>
  <c r="E45" i="8"/>
  <c r="E50" i="8" s="1"/>
  <c r="G50" i="8" s="1"/>
  <c r="E46" i="8"/>
  <c r="E47" i="8"/>
  <c r="E48" i="8"/>
  <c r="E49" i="8"/>
  <c r="C20" i="8"/>
  <c r="C22" i="8" s="1"/>
  <c r="C21" i="8"/>
  <c r="C20" i="7"/>
  <c r="E22" i="7"/>
  <c r="C24" i="7"/>
  <c r="B46" i="1"/>
  <c r="F46" i="1"/>
  <c r="B45" i="1"/>
  <c r="F45" i="1"/>
  <c r="E45" i="1"/>
  <c r="D45" i="1"/>
  <c r="B44" i="1"/>
  <c r="F44" i="1"/>
  <c r="B7" i="8"/>
  <c r="B8" i="8"/>
  <c r="B9" i="8"/>
  <c r="B11" i="8"/>
  <c r="H11" i="8" s="1"/>
  <c r="F6" i="8"/>
  <c r="F7" i="8"/>
  <c r="F8" i="8"/>
  <c r="F9" i="8"/>
  <c r="F11" i="8"/>
  <c r="H19" i="8"/>
  <c r="E19" i="8"/>
  <c r="D26" i="7"/>
  <c r="D56" i="7" s="1"/>
  <c r="C26" i="7"/>
  <c r="C56" i="7" s="1"/>
  <c r="E18" i="8"/>
  <c r="E22" i="8"/>
  <c r="G38" i="8"/>
  <c r="D38" i="8"/>
  <c r="D39" i="8"/>
  <c r="D40" i="8"/>
  <c r="D41" i="8"/>
  <c r="D42" i="8"/>
  <c r="D43" i="8"/>
  <c r="D44" i="8"/>
  <c r="D45" i="8"/>
  <c r="D46" i="8"/>
  <c r="D47" i="8"/>
  <c r="D48" i="8"/>
  <c r="D49" i="8"/>
  <c r="C38" i="8"/>
  <c r="C39" i="8"/>
  <c r="C40" i="8"/>
  <c r="C41" i="8"/>
  <c r="C42" i="8"/>
  <c r="C43" i="8"/>
  <c r="C44" i="8"/>
  <c r="C45" i="8"/>
  <c r="C46" i="8"/>
  <c r="C47" i="8"/>
  <c r="C48" i="8"/>
  <c r="C49" i="8"/>
  <c r="E23" i="1"/>
  <c r="F23" i="1"/>
  <c r="G23" i="1" s="1"/>
  <c r="D23" i="1"/>
  <c r="B23" i="1"/>
  <c r="B22" i="1"/>
  <c r="F22" i="1"/>
  <c r="E30" i="1"/>
  <c r="G30" i="1" s="1"/>
  <c r="F30" i="1"/>
  <c r="D30" i="1"/>
  <c r="B30" i="1"/>
  <c r="H30" i="1" s="1"/>
  <c r="B29" i="1"/>
  <c r="F29" i="1"/>
  <c r="D22" i="1"/>
  <c r="D24" i="1"/>
  <c r="D25" i="1"/>
  <c r="D26" i="1"/>
  <c r="D27" i="1"/>
  <c r="D28" i="1"/>
  <c r="D29" i="1"/>
  <c r="D31" i="1"/>
  <c r="D32" i="1"/>
  <c r="D33" i="1"/>
  <c r="D34" i="1"/>
  <c r="F25" i="7"/>
  <c r="F55" i="7" s="1"/>
  <c r="G25" i="7"/>
  <c r="G55" i="7" s="1"/>
  <c r="D25" i="7"/>
  <c r="D55" i="7" s="1"/>
  <c r="E25" i="7"/>
  <c r="E55" i="7" s="1"/>
  <c r="G26" i="7"/>
  <c r="G56" i="7" s="1"/>
  <c r="F26" i="7"/>
  <c r="F56" i="7" s="1"/>
  <c r="D6" i="8"/>
  <c r="D7" i="8"/>
  <c r="D8" i="8"/>
  <c r="D9" i="8"/>
  <c r="D10" i="8"/>
  <c r="D11" i="8"/>
  <c r="C6" i="8"/>
  <c r="G19" i="8"/>
  <c r="G21" i="8"/>
  <c r="H18" i="8"/>
  <c r="G41" i="8"/>
  <c r="G45" i="8"/>
  <c r="G49" i="8"/>
  <c r="E9" i="1"/>
  <c r="F9" i="1"/>
  <c r="G9" i="1" s="1"/>
  <c r="D9" i="1"/>
  <c r="B9" i="1"/>
  <c r="B11" i="1"/>
  <c r="F11" i="1"/>
  <c r="E14" i="1"/>
  <c r="F14" i="1"/>
  <c r="D14" i="1"/>
  <c r="B14" i="1"/>
  <c r="B13" i="1"/>
  <c r="F13" i="1"/>
  <c r="E26" i="1"/>
  <c r="F26" i="1"/>
  <c r="B26" i="1"/>
  <c r="E29" i="1"/>
  <c r="B28" i="1"/>
  <c r="F28" i="1"/>
  <c r="E33" i="1"/>
  <c r="F33" i="1"/>
  <c r="B33" i="1"/>
  <c r="B32" i="1"/>
  <c r="F32" i="1"/>
  <c r="E32" i="1"/>
  <c r="E22" i="1"/>
  <c r="E24" i="1"/>
  <c r="E25" i="1"/>
  <c r="E27" i="1"/>
  <c r="E28" i="1"/>
  <c r="E31" i="1"/>
  <c r="E34" i="1"/>
  <c r="F24" i="1"/>
  <c r="F25" i="1"/>
  <c r="F27" i="1"/>
  <c r="F31" i="1"/>
  <c r="F34" i="1"/>
  <c r="G34" i="1" s="1"/>
  <c r="E46" i="1"/>
  <c r="G46" i="1" s="1"/>
  <c r="D46" i="1"/>
  <c r="G10" i="8"/>
  <c r="E6" i="8"/>
  <c r="E7" i="8"/>
  <c r="E8" i="8"/>
  <c r="E9" i="8"/>
  <c r="E11" i="8"/>
  <c r="G42" i="8"/>
  <c r="E10" i="1"/>
  <c r="F10" i="1"/>
  <c r="D10" i="1"/>
  <c r="B10" i="1"/>
  <c r="F8" i="1"/>
  <c r="F12" i="1"/>
  <c r="E8" i="1"/>
  <c r="B25" i="1"/>
  <c r="B34" i="1"/>
  <c r="C25" i="7"/>
  <c r="E26" i="7"/>
  <c r="E56" i="7" s="1"/>
  <c r="G9" i="8"/>
  <c r="C9" i="8"/>
  <c r="C7" i="8"/>
  <c r="C8" i="8"/>
  <c r="C12" i="8" s="1"/>
  <c r="C11" i="8"/>
  <c r="G40" i="8"/>
  <c r="G44" i="8"/>
  <c r="G48" i="8"/>
  <c r="B8" i="1"/>
  <c r="H8" i="1" s="1"/>
  <c r="B12" i="1"/>
  <c r="F7" i="1"/>
  <c r="E7" i="1"/>
  <c r="D7" i="1"/>
  <c r="C7" i="1"/>
  <c r="B7" i="1"/>
  <c r="C138" i="8"/>
  <c r="B138" i="8"/>
  <c r="C137" i="8"/>
  <c r="B137" i="8"/>
  <c r="C136" i="8"/>
  <c r="B136" i="8"/>
  <c r="C135" i="8"/>
  <c r="B135" i="8"/>
  <c r="C134" i="8"/>
  <c r="B134" i="8"/>
  <c r="C133" i="8"/>
  <c r="B133" i="8"/>
  <c r="C132" i="8"/>
  <c r="B132" i="8"/>
  <c r="C131" i="8"/>
  <c r="B131" i="8"/>
  <c r="C130" i="8"/>
  <c r="B130" i="8"/>
  <c r="C129" i="8"/>
  <c r="B129" i="8"/>
  <c r="E11" i="1"/>
  <c r="G11" i="1" s="1"/>
  <c r="D11" i="1"/>
  <c r="E13" i="1"/>
  <c r="G13" i="1" s="1"/>
  <c r="D13" i="1"/>
  <c r="D8" i="1"/>
  <c r="D12" i="1"/>
  <c r="B27" i="1"/>
  <c r="B31" i="1"/>
  <c r="H31" i="1" s="1"/>
  <c r="B24" i="1"/>
  <c r="H24" i="1" s="1"/>
  <c r="F21" i="1"/>
  <c r="E44" i="1"/>
  <c r="G44" i="1" s="1"/>
  <c r="D44" i="1"/>
  <c r="B43" i="1"/>
  <c r="F43" i="1"/>
  <c r="G7" i="8"/>
  <c r="G46" i="8"/>
  <c r="E12" i="1"/>
  <c r="G12" i="1" s="1"/>
  <c r="G8" i="8"/>
  <c r="G11" i="8"/>
  <c r="H6" i="8"/>
  <c r="G18" i="8"/>
  <c r="G20" i="8"/>
  <c r="G39" i="8"/>
  <c r="G43" i="8"/>
  <c r="G47" i="8"/>
  <c r="H37" i="8"/>
  <c r="G37" i="8"/>
  <c r="E43" i="1"/>
  <c r="D43" i="1"/>
  <c r="B42" i="1"/>
  <c r="F42" i="1"/>
  <c r="E52" i="1"/>
  <c r="F52" i="1"/>
  <c r="G52" i="1" s="1"/>
  <c r="D52" i="1"/>
  <c r="B52" i="1"/>
  <c r="E62" i="1"/>
  <c r="F62" i="1"/>
  <c r="D62" i="1"/>
  <c r="B62" i="1"/>
  <c r="E70" i="1"/>
  <c r="F70" i="1"/>
  <c r="D70" i="1"/>
  <c r="B70" i="1"/>
  <c r="F61" i="1"/>
  <c r="F63" i="1"/>
  <c r="F64" i="1"/>
  <c r="F65" i="1"/>
  <c r="F66" i="1"/>
  <c r="F67" i="1"/>
  <c r="F68" i="1"/>
  <c r="F69" i="1"/>
  <c r="F71" i="1"/>
  <c r="F72" i="1"/>
  <c r="F73" i="1"/>
  <c r="E61" i="1"/>
  <c r="B85" i="1"/>
  <c r="F85" i="1"/>
  <c r="F28" i="10"/>
  <c r="F29" i="10"/>
  <c r="F30" i="10"/>
  <c r="F31" i="10"/>
  <c r="F32" i="10"/>
  <c r="F33" i="10"/>
  <c r="E48" i="1"/>
  <c r="F48" i="1"/>
  <c r="D48" i="1"/>
  <c r="B48" i="1"/>
  <c r="H47" i="1"/>
  <c r="B51" i="1"/>
  <c r="F51" i="1"/>
  <c r="B50" i="1"/>
  <c r="F50" i="1"/>
  <c r="E54" i="1"/>
  <c r="F54" i="1"/>
  <c r="D54" i="1"/>
  <c r="B54" i="1"/>
  <c r="H54" i="1" s="1"/>
  <c r="E42" i="1"/>
  <c r="E47" i="1"/>
  <c r="E49" i="1"/>
  <c r="E50" i="1"/>
  <c r="E51" i="1"/>
  <c r="G51" i="1" s="1"/>
  <c r="E53" i="1"/>
  <c r="D42" i="1"/>
  <c r="B64" i="1"/>
  <c r="E64" i="1"/>
  <c r="D64" i="1"/>
  <c r="E67" i="1"/>
  <c r="D67" i="1"/>
  <c r="B67" i="1"/>
  <c r="B69" i="1"/>
  <c r="H69" i="1" s="1"/>
  <c r="B71" i="1"/>
  <c r="E81" i="1"/>
  <c r="F81" i="1"/>
  <c r="H81" i="1" s="1"/>
  <c r="D81" i="1"/>
  <c r="B81" i="1"/>
  <c r="E83" i="1"/>
  <c r="F83" i="1"/>
  <c r="D83" i="1"/>
  <c r="B83" i="1"/>
  <c r="E85" i="1"/>
  <c r="G85" i="1" s="1"/>
  <c r="D85" i="1"/>
  <c r="B87" i="1"/>
  <c r="F87" i="1"/>
  <c r="B86" i="1"/>
  <c r="F86" i="1"/>
  <c r="B49" i="1"/>
  <c r="F49" i="1"/>
  <c r="G49" i="1" s="1"/>
  <c r="D49" i="1"/>
  <c r="F47" i="1"/>
  <c r="F53" i="1"/>
  <c r="B65" i="1"/>
  <c r="E65" i="1"/>
  <c r="D65" i="1"/>
  <c r="B72" i="1"/>
  <c r="H72" i="1" s="1"/>
  <c r="E72" i="1"/>
  <c r="G72" i="1" s="1"/>
  <c r="D72" i="1"/>
  <c r="D47" i="1"/>
  <c r="D51" i="1"/>
  <c r="B53" i="1"/>
  <c r="D53" i="1"/>
  <c r="D50" i="1"/>
  <c r="E63" i="1"/>
  <c r="E66" i="1"/>
  <c r="E68" i="1"/>
  <c r="G68" i="1" s="1"/>
  <c r="E69" i="1"/>
  <c r="E71" i="1"/>
  <c r="E73" i="1"/>
  <c r="D61" i="1"/>
  <c r="B61" i="1"/>
  <c r="B63" i="1"/>
  <c r="B66" i="1"/>
  <c r="D69" i="1"/>
  <c r="D71" i="1"/>
  <c r="B68" i="1"/>
  <c r="B73" i="1"/>
  <c r="F60" i="1"/>
  <c r="E60" i="1"/>
  <c r="D60" i="1"/>
  <c r="C60" i="1"/>
  <c r="B60" i="1"/>
  <c r="B82" i="1"/>
  <c r="F82" i="1"/>
  <c r="B84" i="1"/>
  <c r="F84" i="1"/>
  <c r="E87" i="1"/>
  <c r="D87" i="1"/>
  <c r="F41" i="1"/>
  <c r="E41" i="1"/>
  <c r="D41" i="1"/>
  <c r="C41" i="1"/>
  <c r="B41" i="1"/>
  <c r="D68" i="1"/>
  <c r="F80" i="1"/>
  <c r="E80" i="1"/>
  <c r="D80" i="1"/>
  <c r="C80" i="1"/>
  <c r="B80" i="1"/>
  <c r="E88" i="1"/>
  <c r="F88" i="1"/>
  <c r="D88" i="1"/>
  <c r="B88" i="1"/>
  <c r="D63" i="1"/>
  <c r="D66" i="1"/>
  <c r="H67" i="1"/>
  <c r="H70" i="1"/>
  <c r="D73" i="1"/>
  <c r="E82" i="1"/>
  <c r="G82" i="1" s="1"/>
  <c r="D82" i="1"/>
  <c r="E84" i="1"/>
  <c r="D84" i="1"/>
  <c r="E86" i="1"/>
  <c r="D86" i="1"/>
  <c r="C10" i="16"/>
  <c r="G10" i="16"/>
  <c r="C16" i="16"/>
  <c r="G16" i="16"/>
  <c r="C18" i="16"/>
  <c r="G18" i="16"/>
  <c r="C22" i="16"/>
  <c r="G22" i="16"/>
  <c r="F10" i="16"/>
  <c r="E10" i="16"/>
  <c r="D10" i="16"/>
  <c r="F22" i="16"/>
  <c r="E22" i="16"/>
  <c r="D22" i="16"/>
  <c r="C14" i="16"/>
  <c r="G14" i="16"/>
  <c r="C20" i="16"/>
  <c r="G20" i="16"/>
  <c r="C24" i="16"/>
  <c r="G24" i="16"/>
  <c r="C26" i="16"/>
  <c r="G26" i="16"/>
  <c r="F12" i="16"/>
  <c r="G12" i="16"/>
  <c r="E12" i="16"/>
  <c r="D12" i="16"/>
  <c r="C12" i="16"/>
  <c r="F16" i="16"/>
  <c r="E16" i="16"/>
  <c r="D16" i="16"/>
  <c r="C9" i="16"/>
  <c r="G9" i="16"/>
  <c r="F8" i="16"/>
  <c r="E8" i="16"/>
  <c r="D8" i="16"/>
  <c r="C11" i="16"/>
  <c r="G11" i="16"/>
  <c r="C13" i="16"/>
  <c r="G13" i="16"/>
  <c r="C15" i="16"/>
  <c r="G15" i="16"/>
  <c r="C17" i="16"/>
  <c r="G17" i="16"/>
  <c r="C19" i="16"/>
  <c r="G19" i="16"/>
  <c r="C21" i="16"/>
  <c r="G21" i="16"/>
  <c r="C23" i="16"/>
  <c r="G23" i="16"/>
  <c r="C25" i="16"/>
  <c r="G25" i="16"/>
  <c r="C27" i="16"/>
  <c r="G27" i="16"/>
  <c r="F14" i="16"/>
  <c r="E14" i="16"/>
  <c r="D14" i="16"/>
  <c r="F18" i="16"/>
  <c r="E18" i="16"/>
  <c r="D18" i="16"/>
  <c r="F20" i="16"/>
  <c r="E20" i="16"/>
  <c r="D20" i="16"/>
  <c r="F24" i="16"/>
  <c r="E24" i="16"/>
  <c r="D24" i="16"/>
  <c r="F26" i="16"/>
  <c r="E26" i="16"/>
  <c r="D26" i="16"/>
  <c r="F9" i="16"/>
  <c r="E9" i="16"/>
  <c r="D9" i="16"/>
  <c r="F11" i="16"/>
  <c r="E11" i="16"/>
  <c r="D11" i="16"/>
  <c r="F13" i="16"/>
  <c r="E13" i="16"/>
  <c r="D13" i="16"/>
  <c r="F15" i="16"/>
  <c r="E15" i="16"/>
  <c r="D15" i="16"/>
  <c r="F17" i="16"/>
  <c r="E17" i="16"/>
  <c r="D17" i="16"/>
  <c r="F19" i="16"/>
  <c r="E19" i="16"/>
  <c r="D19" i="16"/>
  <c r="F21" i="16"/>
  <c r="E21" i="16"/>
  <c r="D21" i="16"/>
  <c r="F23" i="16"/>
  <c r="E23" i="16"/>
  <c r="D23" i="16"/>
  <c r="F25" i="16"/>
  <c r="E25" i="16"/>
  <c r="D25" i="16"/>
  <c r="F27" i="16"/>
  <c r="E27" i="16"/>
  <c r="D27" i="16"/>
  <c r="C33" i="16"/>
  <c r="G33" i="16"/>
  <c r="F13" i="10"/>
  <c r="H13" i="10" s="1"/>
  <c r="E13" i="10"/>
  <c r="G13" i="10" s="1"/>
  <c r="D13" i="10"/>
  <c r="F9" i="10"/>
  <c r="H9" i="10" s="1"/>
  <c r="E9" i="10"/>
  <c r="G9" i="10" s="1"/>
  <c r="C31" i="16"/>
  <c r="G31" i="16"/>
  <c r="F29" i="16"/>
  <c r="G29" i="16"/>
  <c r="E29" i="16"/>
  <c r="D29" i="16"/>
  <c r="C29" i="16"/>
  <c r="F31" i="16"/>
  <c r="E31" i="16"/>
  <c r="D31" i="16"/>
  <c r="F33" i="16"/>
  <c r="E33" i="16"/>
  <c r="D33" i="16"/>
  <c r="F8" i="10"/>
  <c r="H8" i="10" s="1"/>
  <c r="E8" i="10"/>
  <c r="G8" i="10" s="1"/>
  <c r="D8" i="10"/>
  <c r="F12" i="10"/>
  <c r="H12" i="10" s="1"/>
  <c r="E12" i="10"/>
  <c r="G12" i="10" s="1"/>
  <c r="D12" i="10"/>
  <c r="E30" i="10"/>
  <c r="H24" i="19"/>
  <c r="D24" i="19"/>
  <c r="C24" i="19"/>
  <c r="C30" i="16"/>
  <c r="C32" i="16"/>
  <c r="G32" i="16"/>
  <c r="F11" i="10"/>
  <c r="H11" i="10" s="1"/>
  <c r="E11" i="10"/>
  <c r="G11" i="10" s="1"/>
  <c r="D11" i="10"/>
  <c r="F21" i="10"/>
  <c r="E21" i="10"/>
  <c r="E29" i="10"/>
  <c r="I28" i="16"/>
  <c r="H28" i="16"/>
  <c r="F30" i="16"/>
  <c r="G30" i="16"/>
  <c r="E30" i="16"/>
  <c r="D30" i="16"/>
  <c r="F32" i="16"/>
  <c r="E32" i="16"/>
  <c r="D32" i="16"/>
  <c r="C23" i="19"/>
  <c r="I23" i="19" s="1"/>
  <c r="C22" i="19"/>
  <c r="I22" i="19" s="1"/>
  <c r="C21" i="19"/>
  <c r="I21" i="19" s="1"/>
  <c r="C20" i="19"/>
  <c r="I20" i="19" s="1"/>
  <c r="C19" i="19"/>
  <c r="I19" i="19" s="1"/>
  <c r="C18" i="19"/>
  <c r="I18" i="19" s="1"/>
  <c r="C17" i="19"/>
  <c r="I17" i="19" s="1"/>
  <c r="G16" i="19"/>
  <c r="F16" i="19"/>
  <c r="E16" i="19"/>
  <c r="D16" i="19"/>
  <c r="C16" i="19"/>
  <c r="F10" i="10"/>
  <c r="H10" i="10" s="1"/>
  <c r="E10" i="10"/>
  <c r="D30" i="10"/>
  <c r="E32" i="10"/>
  <c r="D9" i="10"/>
  <c r="E31" i="10"/>
  <c r="D10" i="10"/>
  <c r="E33" i="10"/>
  <c r="D21" i="10"/>
  <c r="D29" i="10"/>
  <c r="D33" i="10"/>
  <c r="D31" i="10"/>
  <c r="D32" i="10"/>
  <c r="D28" i="10"/>
  <c r="E28" i="10"/>
  <c r="B42" i="10"/>
  <c r="H42" i="10" s="1"/>
  <c r="F42" i="10"/>
  <c r="E44" i="10"/>
  <c r="F44" i="10"/>
  <c r="D44" i="10"/>
  <c r="C44" i="10"/>
  <c r="B44" i="10"/>
  <c r="E46" i="10"/>
  <c r="F46" i="10"/>
  <c r="D46" i="10"/>
  <c r="C46" i="10"/>
  <c r="B46" i="10"/>
  <c r="H46" i="10" s="1"/>
  <c r="B45" i="10"/>
  <c r="H45" i="10" s="1"/>
  <c r="F45" i="10"/>
  <c r="E42" i="10"/>
  <c r="D42" i="10"/>
  <c r="C42" i="10"/>
  <c r="B43" i="10"/>
  <c r="F43" i="10"/>
  <c r="E43" i="10"/>
  <c r="G43" i="10" s="1"/>
  <c r="D43" i="10"/>
  <c r="C43" i="10"/>
  <c r="E45" i="10"/>
  <c r="D45" i="10"/>
  <c r="C45" i="10"/>
  <c r="B9" i="11"/>
  <c r="F9" i="11"/>
  <c r="C9" i="11"/>
  <c r="E9" i="11"/>
  <c r="D9" i="11"/>
  <c r="B8" i="11"/>
  <c r="F8" i="11"/>
  <c r="B41" i="10"/>
  <c r="H41" i="10" s="1"/>
  <c r="F41" i="10"/>
  <c r="F40" i="10"/>
  <c r="E40" i="10"/>
  <c r="D40" i="10"/>
  <c r="C40" i="10"/>
  <c r="B40" i="10"/>
  <c r="E41" i="10"/>
  <c r="B48" i="10"/>
  <c r="H48" i="10" s="1"/>
  <c r="F48" i="10"/>
  <c r="C8" i="11"/>
  <c r="E8" i="11"/>
  <c r="D8" i="11"/>
  <c r="B7" i="11"/>
  <c r="F7" i="11"/>
  <c r="C41" i="10"/>
  <c r="D41" i="10"/>
  <c r="C7" i="11"/>
  <c r="E7" i="11"/>
  <c r="D7" i="11"/>
  <c r="C6" i="11"/>
  <c r="F6" i="11"/>
  <c r="E6" i="11"/>
  <c r="D6" i="11"/>
  <c r="B6" i="11"/>
  <c r="E48" i="10"/>
  <c r="G48" i="10" s="1"/>
  <c r="D48" i="10"/>
  <c r="C48" i="10"/>
  <c r="B28" i="11"/>
  <c r="F28" i="11"/>
  <c r="C41" i="11"/>
  <c r="F41" i="11"/>
  <c r="E41" i="11"/>
  <c r="D41" i="11"/>
  <c r="B41" i="11"/>
  <c r="C47" i="11"/>
  <c r="F47" i="11"/>
  <c r="E47" i="11"/>
  <c r="D47" i="11"/>
  <c r="B47" i="11"/>
  <c r="B46" i="11"/>
  <c r="C46" i="11"/>
  <c r="F46" i="11"/>
  <c r="E46" i="11"/>
  <c r="D46" i="11"/>
  <c r="B45" i="11"/>
  <c r="C45" i="11"/>
  <c r="F45" i="11"/>
  <c r="E45" i="11"/>
  <c r="D45" i="11"/>
  <c r="B44" i="11"/>
  <c r="F44" i="11"/>
  <c r="C44" i="11"/>
  <c r="B23" i="11"/>
  <c r="F23" i="11"/>
  <c r="E27" i="11"/>
  <c r="E28" i="11"/>
  <c r="E29" i="11"/>
  <c r="E30" i="11"/>
  <c r="D27" i="11"/>
  <c r="C23" i="11"/>
  <c r="E23" i="11"/>
  <c r="D23" i="11"/>
  <c r="C25" i="11"/>
  <c r="F25" i="11"/>
  <c r="E25" i="11"/>
  <c r="D25" i="11"/>
  <c r="B25" i="11"/>
  <c r="C28" i="11"/>
  <c r="D28" i="11"/>
  <c r="D29" i="11"/>
  <c r="D30" i="11"/>
  <c r="C27" i="11"/>
  <c r="B27" i="11"/>
  <c r="B29" i="11"/>
  <c r="B30" i="11"/>
  <c r="F27" i="11"/>
  <c r="F29" i="11"/>
  <c r="F30" i="11"/>
  <c r="C30" i="11"/>
  <c r="C29" i="11"/>
  <c r="B40" i="11"/>
  <c r="F40" i="11"/>
  <c r="C40" i="11"/>
  <c r="E40" i="11"/>
  <c r="D40" i="11"/>
  <c r="B42" i="11"/>
  <c r="F42" i="11"/>
  <c r="B22" i="11"/>
  <c r="F22" i="11"/>
  <c r="F21" i="11"/>
  <c r="E21" i="11"/>
  <c r="D21" i="11"/>
  <c r="C21" i="11"/>
  <c r="B21" i="11"/>
  <c r="B24" i="11"/>
  <c r="F24" i="11"/>
  <c r="B39" i="11"/>
  <c r="F39" i="11"/>
  <c r="C42" i="11"/>
  <c r="E42" i="11"/>
  <c r="D42" i="11"/>
  <c r="C22" i="11"/>
  <c r="E22" i="11"/>
  <c r="D22" i="11"/>
  <c r="C24" i="11"/>
  <c r="E24" i="11"/>
  <c r="D24" i="11"/>
  <c r="C39" i="11"/>
  <c r="E39" i="11"/>
  <c r="D39" i="11"/>
  <c r="B24" i="4"/>
  <c r="B23" i="4" s="1"/>
  <c r="B22" i="4" s="1"/>
  <c r="E22" i="4" s="1"/>
  <c r="E44" i="11"/>
  <c r="D44" i="11"/>
  <c r="E5" i="20"/>
  <c r="F5" i="20"/>
  <c r="D5" i="20"/>
  <c r="C5" i="20"/>
  <c r="B5" i="20"/>
  <c r="E7" i="20"/>
  <c r="F7" i="20"/>
  <c r="D7" i="20"/>
  <c r="C7" i="20"/>
  <c r="B7" i="20"/>
  <c r="F4" i="20"/>
  <c r="E4" i="20"/>
  <c r="D4" i="20"/>
  <c r="C4" i="20"/>
  <c r="B4" i="20"/>
  <c r="B6" i="20"/>
  <c r="F6" i="20"/>
  <c r="E6" i="20"/>
  <c r="D6" i="20"/>
  <c r="C6" i="20"/>
  <c r="C22" i="4"/>
  <c r="D23" i="4"/>
  <c r="E23" i="4"/>
  <c r="G23" i="4"/>
  <c r="H23" i="4"/>
  <c r="I23" i="4"/>
  <c r="J23" i="4"/>
  <c r="W23" i="4"/>
  <c r="AB23" i="4"/>
  <c r="M23" i="4"/>
  <c r="Q23" i="4"/>
  <c r="V23" i="4"/>
  <c r="AA23" i="4"/>
  <c r="L23" i="4"/>
  <c r="P23" i="4"/>
  <c r="U23" i="4"/>
  <c r="T23" i="4"/>
  <c r="Z23" i="4"/>
  <c r="N23" i="4"/>
  <c r="O23" i="4"/>
  <c r="S23" i="4"/>
  <c r="Y23" i="4"/>
  <c r="C24" i="4"/>
  <c r="D24" i="4"/>
  <c r="E24" i="4"/>
  <c r="F24" i="4"/>
  <c r="G24" i="4"/>
  <c r="H24" i="4"/>
  <c r="I24" i="4"/>
  <c r="J24" i="4"/>
  <c r="AB24" i="4"/>
  <c r="N24" i="4"/>
  <c r="R24" i="4"/>
  <c r="V24" i="4"/>
  <c r="M24" i="4"/>
  <c r="Q24" i="4"/>
  <c r="U24" i="4"/>
  <c r="AA24" i="4"/>
  <c r="L24" i="4"/>
  <c r="P24" i="4"/>
  <c r="T24" i="4"/>
  <c r="Z24" i="4"/>
  <c r="Y24" i="4"/>
  <c r="O24" i="4"/>
  <c r="S24" i="4"/>
  <c r="F217" i="15"/>
  <c r="G217" i="15" s="1"/>
  <c r="F215" i="15"/>
  <c r="H215" i="15" s="1"/>
  <c r="F219" i="15"/>
  <c r="G219" i="15" s="1"/>
  <c r="E6" i="21"/>
  <c r="F6" i="21"/>
  <c r="D6" i="21"/>
  <c r="C6" i="21"/>
  <c r="B6" i="21"/>
  <c r="E8" i="21"/>
  <c r="F8" i="21"/>
  <c r="D8" i="21"/>
  <c r="C8" i="21"/>
  <c r="B8" i="21"/>
  <c r="E10" i="21"/>
  <c r="F10" i="21"/>
  <c r="D10" i="21"/>
  <c r="C10" i="21"/>
  <c r="B10" i="21"/>
  <c r="E12" i="21"/>
  <c r="F12" i="21"/>
  <c r="D12" i="21"/>
  <c r="C12" i="21"/>
  <c r="B12" i="21"/>
  <c r="E14" i="21"/>
  <c r="F14" i="21"/>
  <c r="D14" i="21"/>
  <c r="C14" i="21"/>
  <c r="B14" i="21"/>
  <c r="E16" i="21"/>
  <c r="F16" i="21"/>
  <c r="D16" i="21"/>
  <c r="C16" i="21"/>
  <c r="B16" i="21"/>
  <c r="B7" i="21"/>
  <c r="F7" i="21"/>
  <c r="B9" i="21"/>
  <c r="F9" i="21"/>
  <c r="B11" i="21"/>
  <c r="F11" i="21"/>
  <c r="B13" i="21"/>
  <c r="F13" i="21"/>
  <c r="B15" i="21"/>
  <c r="F15" i="21"/>
  <c r="B17" i="21"/>
  <c r="F17" i="21"/>
  <c r="E7" i="21"/>
  <c r="D7" i="21"/>
  <c r="C7" i="21"/>
  <c r="E9" i="21"/>
  <c r="D9" i="21"/>
  <c r="C9" i="21"/>
  <c r="E11" i="21"/>
  <c r="D11" i="21"/>
  <c r="C11" i="21"/>
  <c r="E13" i="21"/>
  <c r="D13" i="21"/>
  <c r="C13" i="21"/>
  <c r="E15" i="21"/>
  <c r="D15" i="21"/>
  <c r="C15" i="21"/>
  <c r="E17" i="21"/>
  <c r="D17" i="21"/>
  <c r="C17" i="21"/>
  <c r="F5" i="21"/>
  <c r="E5" i="21"/>
  <c r="D5" i="21"/>
  <c r="C5" i="21"/>
  <c r="B5" i="21"/>
  <c r="B15" i="22"/>
  <c r="F15" i="22"/>
  <c r="F14" i="22"/>
  <c r="E14" i="22"/>
  <c r="D14" i="22"/>
  <c r="C14" i="22"/>
  <c r="B14" i="22"/>
  <c r="B25" i="22"/>
  <c r="F25" i="22"/>
  <c r="B7" i="22"/>
  <c r="F7" i="22"/>
  <c r="F6" i="22"/>
  <c r="E6" i="22"/>
  <c r="D6" i="22"/>
  <c r="C6" i="22"/>
  <c r="B6" i="22"/>
  <c r="B23" i="22"/>
  <c r="F23" i="22"/>
  <c r="F22" i="22"/>
  <c r="E22" i="22"/>
  <c r="D22" i="22"/>
  <c r="C22" i="22"/>
  <c r="B22" i="22"/>
  <c r="D7" i="22"/>
  <c r="C7" i="22"/>
  <c r="E15" i="22"/>
  <c r="D15" i="22"/>
  <c r="C15" i="22"/>
  <c r="E23" i="22"/>
  <c r="D23" i="22"/>
  <c r="C23" i="22"/>
  <c r="E25" i="22"/>
  <c r="D25" i="22"/>
  <c r="C25" i="22"/>
  <c r="B8" i="22"/>
  <c r="F8" i="22"/>
  <c r="B16" i="22"/>
  <c r="F16" i="22"/>
  <c r="B24" i="22"/>
  <c r="F24" i="22"/>
  <c r="E8" i="22"/>
  <c r="D8" i="22"/>
  <c r="C8" i="22"/>
  <c r="E16" i="22"/>
  <c r="D16" i="22"/>
  <c r="C16" i="22"/>
  <c r="E24" i="22"/>
  <c r="D24" i="22"/>
  <c r="C24" i="22"/>
  <c r="B45" i="22"/>
  <c r="F45" i="22"/>
  <c r="B54" i="22"/>
  <c r="F54" i="22"/>
  <c r="H86" i="22"/>
  <c r="B34" i="22"/>
  <c r="F34" i="22"/>
  <c r="E26" i="22"/>
  <c r="F26" i="22"/>
  <c r="D26" i="22"/>
  <c r="C26" i="22"/>
  <c r="B26" i="22"/>
  <c r="E34" i="22"/>
  <c r="D34" i="22"/>
  <c r="C34" i="22"/>
  <c r="E43" i="22"/>
  <c r="F43" i="22"/>
  <c r="D43" i="22"/>
  <c r="C43" i="22"/>
  <c r="B43" i="22"/>
  <c r="E45" i="22"/>
  <c r="D45" i="22"/>
  <c r="C45" i="22"/>
  <c r="E54" i="22"/>
  <c r="D54" i="22"/>
  <c r="C54" i="22"/>
  <c r="G72" i="22"/>
  <c r="G86" i="22"/>
  <c r="F42" i="22"/>
  <c r="E42" i="22"/>
  <c r="D42" i="22"/>
  <c r="C42" i="22"/>
  <c r="B42" i="22"/>
  <c r="B33" i="22"/>
  <c r="F33" i="22"/>
  <c r="F32" i="22"/>
  <c r="E32" i="22"/>
  <c r="D32" i="22"/>
  <c r="C32" i="22"/>
  <c r="B32" i="22"/>
  <c r="B35" i="22"/>
  <c r="F35" i="22"/>
  <c r="B44" i="22"/>
  <c r="F44" i="22"/>
  <c r="B53" i="22"/>
  <c r="F53" i="22"/>
  <c r="F52" i="22"/>
  <c r="E52" i="22"/>
  <c r="D52" i="22"/>
  <c r="C52" i="22"/>
  <c r="B52" i="22"/>
  <c r="F59" i="22"/>
  <c r="E59" i="22"/>
  <c r="D59" i="22"/>
  <c r="C59" i="22"/>
  <c r="B59" i="22"/>
  <c r="F70" i="22"/>
  <c r="E70" i="22"/>
  <c r="D70" i="22"/>
  <c r="C70" i="22"/>
  <c r="B70" i="22"/>
  <c r="F82" i="22"/>
  <c r="E82" i="22"/>
  <c r="D82" i="22"/>
  <c r="C82" i="22"/>
  <c r="B82" i="22"/>
  <c r="F100" i="22"/>
  <c r="E100" i="22"/>
  <c r="D100" i="22"/>
  <c r="C100" i="22"/>
  <c r="B100" i="22"/>
  <c r="E33" i="22"/>
  <c r="D33" i="22"/>
  <c r="C33" i="22"/>
  <c r="E35" i="22"/>
  <c r="D35" i="22"/>
  <c r="C35" i="22"/>
  <c r="E44" i="22"/>
  <c r="D44" i="22"/>
  <c r="C44" i="22"/>
  <c r="E53" i="22"/>
  <c r="D53" i="22"/>
  <c r="C53" i="22"/>
  <c r="O11" i="12"/>
  <c r="P11" i="12"/>
  <c r="N11" i="12"/>
  <c r="M11" i="12"/>
  <c r="L11" i="12"/>
  <c r="L12" i="12"/>
  <c r="P12" i="12"/>
  <c r="O14" i="12"/>
  <c r="P14" i="12"/>
  <c r="N14" i="12"/>
  <c r="M14" i="12"/>
  <c r="L14" i="12"/>
  <c r="S14" i="12" s="1"/>
  <c r="L15" i="12"/>
  <c r="P15" i="12"/>
  <c r="O17" i="12"/>
  <c r="P17" i="12"/>
  <c r="N17" i="12"/>
  <c r="M17" i="12"/>
  <c r="L17" i="12"/>
  <c r="L18" i="12"/>
  <c r="P18" i="12"/>
  <c r="P20" i="12"/>
  <c r="Q20" i="12" s="1"/>
  <c r="M20" i="12"/>
  <c r="O20" i="12"/>
  <c r="P28" i="12"/>
  <c r="M28" i="12"/>
  <c r="O28" i="12"/>
  <c r="L29" i="12"/>
  <c r="P29" i="12"/>
  <c r="L40" i="12"/>
  <c r="P40" i="12"/>
  <c r="P8" i="12"/>
  <c r="M8" i="12"/>
  <c r="O8" i="12"/>
  <c r="N8" i="12"/>
  <c r="L8" i="12"/>
  <c r="P9" i="12"/>
  <c r="M9" i="12"/>
  <c r="O9" i="12"/>
  <c r="L10" i="12"/>
  <c r="S10" i="12" s="1"/>
  <c r="P10" i="12"/>
  <c r="M12" i="12"/>
  <c r="O12" i="12"/>
  <c r="L13" i="12"/>
  <c r="P13" i="12"/>
  <c r="M15" i="12"/>
  <c r="O15" i="12"/>
  <c r="L16" i="12"/>
  <c r="P16" i="12"/>
  <c r="M18" i="12"/>
  <c r="O18" i="12"/>
  <c r="N20" i="12"/>
  <c r="L20" i="12"/>
  <c r="S20" i="12" s="1"/>
  <c r="N28" i="12"/>
  <c r="L28" i="12"/>
  <c r="M29" i="12"/>
  <c r="O29" i="12"/>
  <c r="L30" i="12"/>
  <c r="P30" i="12"/>
  <c r="L9" i="12"/>
  <c r="N9" i="12"/>
  <c r="M10" i="12"/>
  <c r="R10" i="12" s="1"/>
  <c r="O10" i="12"/>
  <c r="Q10" i="12" s="1"/>
  <c r="N12" i="12"/>
  <c r="M13" i="12"/>
  <c r="O13" i="12"/>
  <c r="N15" i="12"/>
  <c r="M16" i="12"/>
  <c r="O16" i="12"/>
  <c r="N18" i="12"/>
  <c r="P19" i="12"/>
  <c r="M19" i="12"/>
  <c r="O19" i="12"/>
  <c r="Q19" i="12" s="1"/>
  <c r="N29" i="12"/>
  <c r="M30" i="12"/>
  <c r="R30" i="12" s="1"/>
  <c r="O30" i="12"/>
  <c r="S8" i="12"/>
  <c r="N10" i="12"/>
  <c r="N13" i="12"/>
  <c r="N16" i="12"/>
  <c r="R17" i="12"/>
  <c r="N19" i="12"/>
  <c r="L19" i="12"/>
  <c r="N30" i="12"/>
  <c r="P32" i="12"/>
  <c r="M32" i="12"/>
  <c r="O32" i="12"/>
  <c r="P34" i="12"/>
  <c r="M34" i="12"/>
  <c r="O34" i="12"/>
  <c r="O36" i="12"/>
  <c r="P36" i="12"/>
  <c r="R36" i="12" s="1"/>
  <c r="N36" i="12"/>
  <c r="M36" i="12"/>
  <c r="L36" i="12"/>
  <c r="P37" i="12"/>
  <c r="M37" i="12"/>
  <c r="O37" i="12"/>
  <c r="O39" i="12"/>
  <c r="P39" i="12"/>
  <c r="N39" i="12"/>
  <c r="M39" i="12"/>
  <c r="L39" i="12"/>
  <c r="M40" i="12"/>
  <c r="O40" i="12"/>
  <c r="C62" i="12"/>
  <c r="G62" i="12"/>
  <c r="C64" i="12"/>
  <c r="G64" i="12"/>
  <c r="F68" i="12"/>
  <c r="G68" i="12"/>
  <c r="E68" i="12"/>
  <c r="D68" i="12"/>
  <c r="C68" i="12"/>
  <c r="F70" i="12"/>
  <c r="G70" i="12"/>
  <c r="I70" i="12" s="1"/>
  <c r="E70" i="12"/>
  <c r="D70" i="12"/>
  <c r="C70" i="12"/>
  <c r="F72" i="12"/>
  <c r="G72" i="12"/>
  <c r="E72" i="12"/>
  <c r="D72" i="12"/>
  <c r="C72" i="12"/>
  <c r="I72" i="12" s="1"/>
  <c r="F75" i="12"/>
  <c r="G75" i="12"/>
  <c r="E75" i="12"/>
  <c r="D75" i="12"/>
  <c r="C75" i="12"/>
  <c r="F77" i="12"/>
  <c r="G77" i="12"/>
  <c r="E77" i="12"/>
  <c r="D77" i="12"/>
  <c r="C77" i="12"/>
  <c r="F79" i="12"/>
  <c r="G79" i="12"/>
  <c r="I79" i="12" s="1"/>
  <c r="E79" i="12"/>
  <c r="D79" i="12"/>
  <c r="C79" i="12"/>
  <c r="F83" i="12"/>
  <c r="G83" i="12"/>
  <c r="E83" i="12"/>
  <c r="D83" i="12"/>
  <c r="C83" i="12"/>
  <c r="F85" i="12"/>
  <c r="G85" i="12"/>
  <c r="E85" i="12"/>
  <c r="D85" i="12"/>
  <c r="C85" i="12"/>
  <c r="F87" i="12"/>
  <c r="G87" i="12"/>
  <c r="E87" i="12"/>
  <c r="D87" i="12"/>
  <c r="C87" i="12"/>
  <c r="F90" i="12"/>
  <c r="G90" i="12"/>
  <c r="E90" i="12"/>
  <c r="D90" i="12"/>
  <c r="C90" i="12"/>
  <c r="F6" i="13"/>
  <c r="G6" i="13"/>
  <c r="E6" i="13"/>
  <c r="D6" i="13"/>
  <c r="C6" i="13"/>
  <c r="F8" i="13"/>
  <c r="G8" i="13"/>
  <c r="E8" i="13"/>
  <c r="D8" i="13"/>
  <c r="C8" i="13"/>
  <c r="F10" i="13"/>
  <c r="G10" i="13"/>
  <c r="E10" i="13"/>
  <c r="D10" i="13"/>
  <c r="C10" i="13"/>
  <c r="I10" i="13" s="1"/>
  <c r="C12" i="13"/>
  <c r="G12" i="13"/>
  <c r="C11" i="13"/>
  <c r="G11" i="13"/>
  <c r="C20" i="13"/>
  <c r="G20" i="13"/>
  <c r="C19" i="13"/>
  <c r="G19" i="13"/>
  <c r="I19" i="13" s="1"/>
  <c r="G31" i="13"/>
  <c r="I31" i="13" s="1"/>
  <c r="F31" i="13"/>
  <c r="O31" i="12"/>
  <c r="P31" i="12"/>
  <c r="N31" i="12"/>
  <c r="M31" i="12"/>
  <c r="L31" i="12"/>
  <c r="N32" i="12"/>
  <c r="L32" i="12"/>
  <c r="N34" i="12"/>
  <c r="L34" i="12"/>
  <c r="S34" i="12" s="1"/>
  <c r="P35" i="12"/>
  <c r="M35" i="12"/>
  <c r="O35" i="12"/>
  <c r="N37" i="12"/>
  <c r="L37" i="12"/>
  <c r="P38" i="12"/>
  <c r="M38" i="12"/>
  <c r="O38" i="12"/>
  <c r="N40" i="12"/>
  <c r="F62" i="12"/>
  <c r="H62" i="12" s="1"/>
  <c r="E62" i="12"/>
  <c r="D62" i="12"/>
  <c r="F64" i="12"/>
  <c r="E64" i="12"/>
  <c r="D64" i="12"/>
  <c r="F66" i="12"/>
  <c r="G66" i="12"/>
  <c r="E66" i="12"/>
  <c r="D66" i="12"/>
  <c r="C66" i="12"/>
  <c r="C69" i="12"/>
  <c r="G69" i="12"/>
  <c r="C71" i="12"/>
  <c r="G71" i="12"/>
  <c r="I71" i="12" s="1"/>
  <c r="C73" i="12"/>
  <c r="G73" i="12"/>
  <c r="C76" i="12"/>
  <c r="G76" i="12"/>
  <c r="C78" i="12"/>
  <c r="G78" i="12"/>
  <c r="H78" i="12" s="1"/>
  <c r="C80" i="12"/>
  <c r="G80" i="12"/>
  <c r="C82" i="12"/>
  <c r="G82" i="12"/>
  <c r="C84" i="12"/>
  <c r="G84" i="12"/>
  <c r="C86" i="12"/>
  <c r="G86" i="12"/>
  <c r="I86" i="12" s="1"/>
  <c r="C89" i="12"/>
  <c r="G89" i="12"/>
  <c r="C5" i="13"/>
  <c r="G5" i="13"/>
  <c r="G4" i="13"/>
  <c r="F4" i="13"/>
  <c r="E4" i="13"/>
  <c r="D4" i="13"/>
  <c r="C4" i="13"/>
  <c r="C7" i="13"/>
  <c r="G7" i="13"/>
  <c r="C9" i="13"/>
  <c r="G9" i="13"/>
  <c r="F12" i="13"/>
  <c r="E12" i="13"/>
  <c r="D12" i="13"/>
  <c r="F20" i="13"/>
  <c r="H20" i="13" s="1"/>
  <c r="E20" i="13"/>
  <c r="D20" i="13"/>
  <c r="C24" i="13"/>
  <c r="G24" i="13"/>
  <c r="P33" i="12"/>
  <c r="M33" i="12"/>
  <c r="O33" i="12"/>
  <c r="N35" i="12"/>
  <c r="L35" i="12"/>
  <c r="N38" i="12"/>
  <c r="L38" i="12"/>
  <c r="C61" i="12"/>
  <c r="G61" i="12"/>
  <c r="C63" i="12"/>
  <c r="G63" i="12"/>
  <c r="C65" i="12"/>
  <c r="G65" i="12"/>
  <c r="F69" i="12"/>
  <c r="E69" i="12"/>
  <c r="D69" i="12"/>
  <c r="F71" i="12"/>
  <c r="E71" i="12"/>
  <c r="D71" i="12"/>
  <c r="F73" i="12"/>
  <c r="E73" i="12"/>
  <c r="D73" i="12"/>
  <c r="F76" i="12"/>
  <c r="H76" i="12" s="1"/>
  <c r="E76" i="12"/>
  <c r="D76" i="12"/>
  <c r="F78" i="12"/>
  <c r="E78" i="12"/>
  <c r="D78" i="12"/>
  <c r="F80" i="12"/>
  <c r="H80" i="12" s="1"/>
  <c r="E80" i="12"/>
  <c r="D80" i="12"/>
  <c r="F82" i="12"/>
  <c r="E82" i="12"/>
  <c r="D82" i="12"/>
  <c r="F84" i="12"/>
  <c r="H84" i="12"/>
  <c r="E84" i="12"/>
  <c r="D84" i="12"/>
  <c r="F86" i="12"/>
  <c r="E86" i="12"/>
  <c r="D86" i="12"/>
  <c r="F89" i="12"/>
  <c r="H89" i="12" s="1"/>
  <c r="E89" i="12"/>
  <c r="D89" i="12"/>
  <c r="F5" i="13"/>
  <c r="E5" i="13"/>
  <c r="D5" i="13"/>
  <c r="F7" i="13"/>
  <c r="E7" i="13"/>
  <c r="D7" i="13"/>
  <c r="F9" i="13"/>
  <c r="E9" i="13"/>
  <c r="D9" i="13"/>
  <c r="F11" i="13"/>
  <c r="H11" i="13" s="1"/>
  <c r="E11" i="13"/>
  <c r="D11" i="13"/>
  <c r="F19" i="13"/>
  <c r="E19" i="13"/>
  <c r="D19" i="13"/>
  <c r="C37" i="13"/>
  <c r="G37" i="13"/>
  <c r="C36" i="13"/>
  <c r="I36" i="13" s="1"/>
  <c r="G36" i="13"/>
  <c r="N33" i="12"/>
  <c r="L33" i="12"/>
  <c r="F61" i="12"/>
  <c r="E61" i="12"/>
  <c r="D61" i="12"/>
  <c r="F63" i="12"/>
  <c r="E63" i="12"/>
  <c r="D63" i="12"/>
  <c r="F65" i="12"/>
  <c r="E65" i="12"/>
  <c r="D65" i="12"/>
  <c r="I68" i="12"/>
  <c r="I66" i="12"/>
  <c r="I75" i="12"/>
  <c r="I8" i="13"/>
  <c r="G38" i="13"/>
  <c r="I38" i="13" s="1"/>
  <c r="F38" i="13"/>
  <c r="C32" i="13"/>
  <c r="G32" i="13"/>
  <c r="I32" i="13" s="1"/>
  <c r="C107" i="13"/>
  <c r="I107" i="13" s="1"/>
  <c r="C92" i="13"/>
  <c r="G92" i="13"/>
  <c r="F21" i="13"/>
  <c r="G21" i="13"/>
  <c r="E21" i="13"/>
  <c r="D21" i="13"/>
  <c r="C21" i="13"/>
  <c r="F35" i="13"/>
  <c r="G35" i="13"/>
  <c r="E35" i="13"/>
  <c r="D35" i="13"/>
  <c r="C35" i="13"/>
  <c r="F45" i="13"/>
  <c r="H45" i="13" s="1"/>
  <c r="G45" i="13"/>
  <c r="E45" i="13"/>
  <c r="D45" i="13"/>
  <c r="C45" i="13"/>
  <c r="I45" i="13" s="1"/>
  <c r="F32" i="13"/>
  <c r="E32" i="13"/>
  <c r="D32" i="13"/>
  <c r="F34" i="13"/>
  <c r="G34" i="13"/>
  <c r="E34" i="13"/>
  <c r="D34" i="13"/>
  <c r="C34" i="13"/>
  <c r="F37" i="13"/>
  <c r="H37" i="13" s="1"/>
  <c r="E37" i="13"/>
  <c r="D37" i="13"/>
  <c r="C46" i="13"/>
  <c r="G46" i="13"/>
  <c r="E9" i="23"/>
  <c r="G9" i="23" s="1"/>
  <c r="F9" i="23"/>
  <c r="D9" i="23"/>
  <c r="C9" i="23"/>
  <c r="F23" i="13"/>
  <c r="G23" i="13"/>
  <c r="E23" i="13"/>
  <c r="D23" i="13"/>
  <c r="C23" i="13"/>
  <c r="F24" i="13"/>
  <c r="E24" i="13"/>
  <c r="D24" i="13"/>
  <c r="C33" i="13"/>
  <c r="G33" i="13"/>
  <c r="F36" i="13"/>
  <c r="E36" i="13"/>
  <c r="D36" i="13"/>
  <c r="F46" i="13"/>
  <c r="E46" i="13"/>
  <c r="D46" i="13"/>
  <c r="C50" i="13"/>
  <c r="G50" i="13"/>
  <c r="C49" i="13"/>
  <c r="G49" i="13"/>
  <c r="E31" i="13"/>
  <c r="D31" i="13"/>
  <c r="F33" i="13"/>
  <c r="E33" i="13"/>
  <c r="D33" i="13"/>
  <c r="E38" i="13"/>
  <c r="D38" i="13"/>
  <c r="C80" i="13"/>
  <c r="G80" i="13"/>
  <c r="F47" i="13"/>
  <c r="G47" i="13"/>
  <c r="E47" i="13"/>
  <c r="D47" i="13"/>
  <c r="C47" i="13"/>
  <c r="F49" i="13"/>
  <c r="E49" i="13"/>
  <c r="D49" i="13"/>
  <c r="F60" i="13"/>
  <c r="G60" i="13"/>
  <c r="E60" i="13"/>
  <c r="D60" i="13"/>
  <c r="C60" i="13"/>
  <c r="C62" i="13"/>
  <c r="G62" i="13"/>
  <c r="C61" i="13"/>
  <c r="G61" i="13"/>
  <c r="C64" i="13"/>
  <c r="G64" i="13"/>
  <c r="C66" i="13"/>
  <c r="G66" i="13"/>
  <c r="F74" i="13"/>
  <c r="G74" i="13"/>
  <c r="E74" i="13"/>
  <c r="D74" i="13"/>
  <c r="C74" i="13"/>
  <c r="C77" i="13"/>
  <c r="G77" i="13"/>
  <c r="C76" i="13"/>
  <c r="G76" i="13"/>
  <c r="C79" i="13"/>
  <c r="G79" i="13"/>
  <c r="C87" i="13"/>
  <c r="G87" i="13"/>
  <c r="F90" i="13"/>
  <c r="G90" i="13"/>
  <c r="E90" i="13"/>
  <c r="D90" i="13"/>
  <c r="C90" i="13"/>
  <c r="I90" i="13" s="1"/>
  <c r="C102" i="13"/>
  <c r="I102" i="13" s="1"/>
  <c r="F105" i="13"/>
  <c r="G105" i="13"/>
  <c r="E105" i="13"/>
  <c r="D105" i="13"/>
  <c r="C105" i="13"/>
  <c r="I105" i="13" s="1"/>
  <c r="F107" i="13"/>
  <c r="G107" i="13"/>
  <c r="E107" i="13"/>
  <c r="D107" i="13"/>
  <c r="F115" i="13"/>
  <c r="G115" i="13"/>
  <c r="E115" i="13"/>
  <c r="D115" i="13"/>
  <c r="C127" i="13"/>
  <c r="I127" i="13" s="1"/>
  <c r="I126" i="13"/>
  <c r="F131" i="13"/>
  <c r="H131" i="13" s="1"/>
  <c r="G131" i="13"/>
  <c r="E131" i="13"/>
  <c r="D131" i="13"/>
  <c r="C131" i="13"/>
  <c r="I131" i="13" s="1"/>
  <c r="F139" i="13"/>
  <c r="G139" i="13"/>
  <c r="E139" i="13"/>
  <c r="D139" i="13"/>
  <c r="C139" i="13"/>
  <c r="I139" i="13" s="1"/>
  <c r="C48" i="13"/>
  <c r="G48" i="13"/>
  <c r="F59" i="13"/>
  <c r="G59" i="13"/>
  <c r="E59" i="13"/>
  <c r="D59" i="13"/>
  <c r="C59" i="13"/>
  <c r="F62" i="13"/>
  <c r="E62" i="13"/>
  <c r="D62" i="13"/>
  <c r="F64" i="13"/>
  <c r="E64" i="13"/>
  <c r="D64" i="13"/>
  <c r="F66" i="13"/>
  <c r="E66" i="13"/>
  <c r="D66" i="13"/>
  <c r="C73" i="13"/>
  <c r="G73" i="13"/>
  <c r="F77" i="13"/>
  <c r="H77" i="13" s="1"/>
  <c r="E77" i="13"/>
  <c r="D77" i="13"/>
  <c r="F79" i="13"/>
  <c r="E79" i="13"/>
  <c r="D79" i="13"/>
  <c r="F87" i="13"/>
  <c r="H87" i="13" s="1"/>
  <c r="E87" i="13"/>
  <c r="D87" i="13"/>
  <c r="C89" i="13"/>
  <c r="G89" i="13"/>
  <c r="C88" i="13"/>
  <c r="G88" i="13"/>
  <c r="F92" i="13"/>
  <c r="E92" i="13"/>
  <c r="D92" i="13"/>
  <c r="F102" i="13"/>
  <c r="G102" i="13"/>
  <c r="E102" i="13"/>
  <c r="D102" i="13"/>
  <c r="F104" i="13"/>
  <c r="H104" i="13" s="1"/>
  <c r="G104" i="13"/>
  <c r="E104" i="13"/>
  <c r="D104" i="13"/>
  <c r="C104" i="13"/>
  <c r="I104" i="13" s="1"/>
  <c r="C106" i="13"/>
  <c r="I106" i="13" s="1"/>
  <c r="F117" i="13"/>
  <c r="G117" i="13"/>
  <c r="E117" i="13"/>
  <c r="D117" i="13"/>
  <c r="F127" i="13"/>
  <c r="G127" i="13"/>
  <c r="E127" i="13"/>
  <c r="D127" i="13"/>
  <c r="F130" i="13"/>
  <c r="G130" i="13"/>
  <c r="E130" i="13"/>
  <c r="D130" i="13"/>
  <c r="C130" i="13"/>
  <c r="I130" i="13" s="1"/>
  <c r="C129" i="13"/>
  <c r="I129" i="13" s="1"/>
  <c r="F7" i="23"/>
  <c r="H7" i="23" s="1"/>
  <c r="F8" i="23"/>
  <c r="H8" i="23" s="1"/>
  <c r="F48" i="13"/>
  <c r="E48" i="13"/>
  <c r="D48" i="13"/>
  <c r="F61" i="13"/>
  <c r="E61" i="13"/>
  <c r="D61" i="13"/>
  <c r="C63" i="13"/>
  <c r="G63" i="13"/>
  <c r="C65" i="13"/>
  <c r="G65" i="13"/>
  <c r="F73" i="13"/>
  <c r="E73" i="13"/>
  <c r="D73" i="13"/>
  <c r="F76" i="13"/>
  <c r="E76" i="13"/>
  <c r="D76" i="13"/>
  <c r="C75" i="13"/>
  <c r="G75" i="13"/>
  <c r="C78" i="13"/>
  <c r="G78" i="13"/>
  <c r="F89" i="13"/>
  <c r="E89" i="13"/>
  <c r="D89" i="13"/>
  <c r="C91" i="13"/>
  <c r="G91" i="13"/>
  <c r="C103" i="13"/>
  <c r="I103" i="13" s="1"/>
  <c r="F106" i="13"/>
  <c r="G106" i="13"/>
  <c r="E106" i="13"/>
  <c r="D106" i="13"/>
  <c r="F129" i="13"/>
  <c r="G129" i="13"/>
  <c r="E129" i="13"/>
  <c r="D129" i="13"/>
  <c r="C128" i="13"/>
  <c r="I128" i="13" s="1"/>
  <c r="C142" i="13"/>
  <c r="I142" i="13" s="1"/>
  <c r="F50" i="13"/>
  <c r="E50" i="13"/>
  <c r="D50" i="13"/>
  <c r="F63" i="13"/>
  <c r="H63" i="13" s="1"/>
  <c r="E63" i="13"/>
  <c r="D63" i="13"/>
  <c r="F65" i="13"/>
  <c r="E65" i="13"/>
  <c r="D65" i="13"/>
  <c r="F75" i="13"/>
  <c r="E75" i="13"/>
  <c r="D75" i="13"/>
  <c r="F78" i="13"/>
  <c r="E78" i="13"/>
  <c r="D78" i="13"/>
  <c r="F80" i="13"/>
  <c r="H80" i="13" s="1"/>
  <c r="E80" i="13"/>
  <c r="D80" i="13"/>
  <c r="F88" i="13"/>
  <c r="E88" i="13"/>
  <c r="D88" i="13"/>
  <c r="F91" i="13"/>
  <c r="E91" i="13"/>
  <c r="D91" i="13"/>
  <c r="F103" i="13"/>
  <c r="H103" i="13" s="1"/>
  <c r="G103" i="13"/>
  <c r="E103" i="13"/>
  <c r="D103" i="13"/>
  <c r="F118" i="13"/>
  <c r="G118" i="13"/>
  <c r="E118" i="13"/>
  <c r="D118" i="13"/>
  <c r="F128" i="13"/>
  <c r="H128" i="13" s="1"/>
  <c r="G128" i="13"/>
  <c r="E128" i="13"/>
  <c r="D128" i="13"/>
  <c r="I138" i="13"/>
  <c r="F140" i="13"/>
  <c r="H140" i="13" s="1"/>
  <c r="G140" i="13"/>
  <c r="E140" i="13"/>
  <c r="D140" i="13"/>
  <c r="C140" i="13"/>
  <c r="I140" i="13" s="1"/>
  <c r="F141" i="13"/>
  <c r="G141" i="13"/>
  <c r="E141" i="13"/>
  <c r="D141" i="13"/>
  <c r="C141" i="13"/>
  <c r="I141" i="13" s="1"/>
  <c r="F142" i="13"/>
  <c r="G142" i="13"/>
  <c r="E142" i="13"/>
  <c r="D142" i="13"/>
  <c r="E8" i="23"/>
  <c r="D8" i="23"/>
  <c r="C8" i="23"/>
  <c r="C7" i="23"/>
  <c r="E7" i="23"/>
  <c r="D7" i="23"/>
  <c r="B22" i="23"/>
  <c r="F22" i="23"/>
  <c r="B19" i="23"/>
  <c r="F19" i="23"/>
  <c r="B25" i="23"/>
  <c r="F25" i="23"/>
  <c r="B35" i="23"/>
  <c r="F35" i="23"/>
  <c r="B34" i="23"/>
  <c r="H34" i="23" s="1"/>
  <c r="E41" i="23"/>
  <c r="F41" i="23"/>
  <c r="D41" i="23"/>
  <c r="C41" i="23"/>
  <c r="B41" i="23"/>
  <c r="E43" i="23"/>
  <c r="F43" i="23"/>
  <c r="D43" i="23"/>
  <c r="C43" i="23"/>
  <c r="B43" i="23"/>
  <c r="C34" i="23"/>
  <c r="C35" i="23"/>
  <c r="C36" i="23"/>
  <c r="C37" i="23"/>
  <c r="C38" i="23"/>
  <c r="C39" i="23"/>
  <c r="C40" i="23"/>
  <c r="C42" i="23"/>
  <c r="C44" i="23"/>
  <c r="E34" i="23"/>
  <c r="G34" i="23" s="1"/>
  <c r="E35" i="23"/>
  <c r="E36" i="23"/>
  <c r="E37" i="23"/>
  <c r="E38" i="23"/>
  <c r="E39" i="23"/>
  <c r="E40" i="23"/>
  <c r="E42" i="23"/>
  <c r="E44" i="23"/>
  <c r="F34" i="23"/>
  <c r="F36" i="23"/>
  <c r="F37" i="23"/>
  <c r="F38" i="23"/>
  <c r="F39" i="23"/>
  <c r="F40" i="23"/>
  <c r="F42" i="23"/>
  <c r="F44" i="23"/>
  <c r="E54" i="23"/>
  <c r="F54" i="23"/>
  <c r="D54" i="23"/>
  <c r="C54" i="23"/>
  <c r="B54" i="23"/>
  <c r="F69" i="23"/>
  <c r="H69" i="23" s="1"/>
  <c r="E69" i="23"/>
  <c r="B20" i="23"/>
  <c r="F20" i="23"/>
  <c r="B21" i="23"/>
  <c r="F21" i="23"/>
  <c r="B23" i="23"/>
  <c r="F23" i="23"/>
  <c r="D17" i="23"/>
  <c r="D18" i="23"/>
  <c r="D19" i="23"/>
  <c r="D20" i="23"/>
  <c r="D21" i="23"/>
  <c r="D22" i="23"/>
  <c r="D23" i="23"/>
  <c r="D24" i="23"/>
  <c r="D25" i="23"/>
  <c r="D26" i="23"/>
  <c r="C17" i="23"/>
  <c r="B17" i="23"/>
  <c r="B18" i="23"/>
  <c r="B24" i="23"/>
  <c r="B26" i="23"/>
  <c r="H26" i="23" s="1"/>
  <c r="F17" i="23"/>
  <c r="F18" i="23"/>
  <c r="F24" i="23"/>
  <c r="F26" i="23"/>
  <c r="B38" i="23"/>
  <c r="B37" i="23"/>
  <c r="E19" i="23"/>
  <c r="C19" i="23"/>
  <c r="E21" i="23"/>
  <c r="C21" i="23"/>
  <c r="E23" i="23"/>
  <c r="C23" i="23"/>
  <c r="E25" i="23"/>
  <c r="C25" i="23"/>
  <c r="C18" i="23"/>
  <c r="C20" i="23"/>
  <c r="C22" i="23"/>
  <c r="C24" i="23"/>
  <c r="C26" i="23"/>
  <c r="E17" i="23"/>
  <c r="E18" i="23"/>
  <c r="E20" i="23"/>
  <c r="E22" i="23"/>
  <c r="E24" i="23"/>
  <c r="E26" i="23"/>
  <c r="G26" i="23" s="1"/>
  <c r="D35" i="23"/>
  <c r="D38" i="23"/>
  <c r="D40" i="23"/>
  <c r="B40" i="23"/>
  <c r="B42" i="23"/>
  <c r="B36" i="23"/>
  <c r="B39" i="23"/>
  <c r="B44" i="23"/>
  <c r="F33" i="23"/>
  <c r="E33" i="23"/>
  <c r="D33" i="23"/>
  <c r="C33" i="23"/>
  <c r="E53" i="23"/>
  <c r="F53" i="23"/>
  <c r="H53" i="23" s="1"/>
  <c r="D53" i="23"/>
  <c r="C53" i="23"/>
  <c r="B61" i="23"/>
  <c r="F61" i="23"/>
  <c r="F60" i="23"/>
  <c r="E60" i="23"/>
  <c r="D60" i="23"/>
  <c r="C60" i="23"/>
  <c r="B60" i="23"/>
  <c r="D37" i="23"/>
  <c r="D42" i="23"/>
  <c r="D44" i="23"/>
  <c r="D34" i="23"/>
  <c r="E61" i="23"/>
  <c r="D61" i="23"/>
  <c r="C61" i="23"/>
  <c r="F16" i="23"/>
  <c r="E16" i="23"/>
  <c r="D16" i="23"/>
  <c r="C16" i="23"/>
  <c r="B16" i="23"/>
  <c r="D36" i="23"/>
  <c r="D39" i="23"/>
  <c r="B62" i="23"/>
  <c r="F62" i="23"/>
  <c r="E62" i="23"/>
  <c r="D62" i="23"/>
  <c r="C62" i="23"/>
  <c r="F68" i="23"/>
  <c r="E68" i="23"/>
  <c r="D69" i="23"/>
  <c r="C69" i="23"/>
  <c r="D68" i="23"/>
  <c r="C68" i="23"/>
  <c r="B79" i="23"/>
  <c r="F79" i="23"/>
  <c r="E79" i="23"/>
  <c r="D79" i="23"/>
  <c r="C79" i="23"/>
  <c r="B78" i="23"/>
  <c r="F78" i="23"/>
  <c r="F77" i="23"/>
  <c r="E77" i="23"/>
  <c r="D77" i="23"/>
  <c r="C77" i="23"/>
  <c r="B77" i="23"/>
  <c r="E78" i="23"/>
  <c r="D78" i="23"/>
  <c r="C78" i="23"/>
  <c r="E8" i="15"/>
  <c r="F8" i="15"/>
  <c r="D8" i="15"/>
  <c r="C8" i="15"/>
  <c r="B8" i="15"/>
  <c r="E10" i="15"/>
  <c r="F10" i="15"/>
  <c r="D10" i="15"/>
  <c r="C10" i="15"/>
  <c r="B10" i="15"/>
  <c r="E12" i="15"/>
  <c r="F12" i="15"/>
  <c r="D12" i="15"/>
  <c r="C12" i="15"/>
  <c r="B12" i="15"/>
  <c r="E14" i="15"/>
  <c r="F14" i="15"/>
  <c r="D14" i="15"/>
  <c r="C14" i="15"/>
  <c r="B14" i="15"/>
  <c r="E17" i="15"/>
  <c r="F17" i="15"/>
  <c r="D17" i="15"/>
  <c r="C17" i="15"/>
  <c r="B17" i="15"/>
  <c r="E19" i="15"/>
  <c r="F19" i="15"/>
  <c r="D19" i="15"/>
  <c r="C19" i="15"/>
  <c r="B19" i="15"/>
  <c r="E21" i="15"/>
  <c r="F21" i="15"/>
  <c r="D21" i="15"/>
  <c r="C21" i="15"/>
  <c r="B21" i="15"/>
  <c r="E23" i="15"/>
  <c r="F23" i="15"/>
  <c r="D23" i="15"/>
  <c r="C23" i="15"/>
  <c r="B23" i="15"/>
  <c r="E25" i="15"/>
  <c r="F25" i="15"/>
  <c r="D25" i="15"/>
  <c r="C25" i="15"/>
  <c r="B25" i="15"/>
  <c r="E27" i="15"/>
  <c r="F27" i="15"/>
  <c r="D27" i="15"/>
  <c r="C27" i="15"/>
  <c r="B27" i="15"/>
  <c r="E29" i="15"/>
  <c r="F29" i="15"/>
  <c r="D29" i="15"/>
  <c r="C29" i="15"/>
  <c r="B29" i="15"/>
  <c r="B43" i="15"/>
  <c r="F43" i="15"/>
  <c r="B45" i="15"/>
  <c r="F45" i="15"/>
  <c r="B49" i="15"/>
  <c r="F49" i="15"/>
  <c r="B51" i="15"/>
  <c r="F51" i="15"/>
  <c r="B54" i="15"/>
  <c r="F54" i="15"/>
  <c r="B58" i="15"/>
  <c r="F58" i="15"/>
  <c r="B63" i="15"/>
  <c r="H63" i="15" s="1"/>
  <c r="E63" i="15"/>
  <c r="G63" i="15" s="1"/>
  <c r="F63" i="15"/>
  <c r="D63" i="15"/>
  <c r="C63" i="15"/>
  <c r="B9" i="15"/>
  <c r="F9" i="15"/>
  <c r="B11" i="15"/>
  <c r="F11" i="15"/>
  <c r="B13" i="15"/>
  <c r="F13" i="15"/>
  <c r="B15" i="15"/>
  <c r="F15" i="15"/>
  <c r="B18" i="15"/>
  <c r="F18" i="15"/>
  <c r="B20" i="15"/>
  <c r="F20" i="15"/>
  <c r="B22" i="15"/>
  <c r="F22" i="15"/>
  <c r="B24" i="15"/>
  <c r="F24" i="15"/>
  <c r="B26" i="15"/>
  <c r="F26" i="15"/>
  <c r="B28" i="15"/>
  <c r="F28" i="15"/>
  <c r="E43" i="15"/>
  <c r="D43" i="15"/>
  <c r="C43" i="15"/>
  <c r="E45" i="15"/>
  <c r="D45" i="15"/>
  <c r="C45" i="15"/>
  <c r="E49" i="15"/>
  <c r="D49" i="15"/>
  <c r="C49" i="15"/>
  <c r="E51" i="15"/>
  <c r="D51" i="15"/>
  <c r="C51" i="15"/>
  <c r="E54" i="15"/>
  <c r="G54" i="15" s="1"/>
  <c r="D54" i="15"/>
  <c r="C54" i="15"/>
  <c r="E58" i="15"/>
  <c r="D58" i="15"/>
  <c r="C58" i="15"/>
  <c r="B69" i="15"/>
  <c r="H69" i="15" s="1"/>
  <c r="E69" i="15"/>
  <c r="G69" i="15" s="1"/>
  <c r="F69" i="15"/>
  <c r="D69" i="15"/>
  <c r="C69" i="15"/>
  <c r="E9" i="15"/>
  <c r="D9" i="15"/>
  <c r="C9" i="15"/>
  <c r="E11" i="15"/>
  <c r="D11" i="15"/>
  <c r="C11" i="15"/>
  <c r="E13" i="15"/>
  <c r="G13" i="15" s="1"/>
  <c r="D13" i="15"/>
  <c r="C13" i="15"/>
  <c r="E15" i="15"/>
  <c r="D15" i="15"/>
  <c r="C15" i="15"/>
  <c r="E18" i="15"/>
  <c r="D18" i="15"/>
  <c r="C18" i="15"/>
  <c r="E20" i="15"/>
  <c r="D20" i="15"/>
  <c r="C20" i="15"/>
  <c r="E22" i="15"/>
  <c r="G22" i="15" s="1"/>
  <c r="D22" i="15"/>
  <c r="C22" i="15"/>
  <c r="E24" i="15"/>
  <c r="D24" i="15"/>
  <c r="C24" i="15"/>
  <c r="E26" i="15"/>
  <c r="D26" i="15"/>
  <c r="C26" i="15"/>
  <c r="E28" i="15"/>
  <c r="D28" i="15"/>
  <c r="C28" i="15"/>
  <c r="B44" i="15"/>
  <c r="F44" i="15"/>
  <c r="B47" i="15"/>
  <c r="F47" i="15"/>
  <c r="B50" i="15"/>
  <c r="F50" i="15"/>
  <c r="B53" i="15"/>
  <c r="F53" i="15"/>
  <c r="B55" i="15"/>
  <c r="F55" i="15"/>
  <c r="E60" i="15"/>
  <c r="F60" i="15"/>
  <c r="D60" i="15"/>
  <c r="C60" i="15"/>
  <c r="B60" i="15"/>
  <c r="E44" i="15"/>
  <c r="D44" i="15"/>
  <c r="C44" i="15"/>
  <c r="E47" i="15"/>
  <c r="D47" i="15"/>
  <c r="C47" i="15"/>
  <c r="E50" i="15"/>
  <c r="D50" i="15"/>
  <c r="C50" i="15"/>
  <c r="E53" i="15"/>
  <c r="D53" i="15"/>
  <c r="C53" i="15"/>
  <c r="E55" i="15"/>
  <c r="D55" i="15"/>
  <c r="C55" i="15"/>
  <c r="E59" i="15"/>
  <c r="F59" i="15"/>
  <c r="D59" i="15"/>
  <c r="C59" i="15"/>
  <c r="B59" i="15"/>
  <c r="E68" i="15"/>
  <c r="F68" i="15"/>
  <c r="D68" i="15"/>
  <c r="C68" i="15"/>
  <c r="B68" i="15"/>
  <c r="E71" i="15"/>
  <c r="F71" i="15"/>
  <c r="D71" i="15"/>
  <c r="C71" i="15"/>
  <c r="B71" i="15"/>
  <c r="B83" i="15"/>
  <c r="F83" i="15"/>
  <c r="B87" i="15"/>
  <c r="F87" i="15"/>
  <c r="B91" i="15"/>
  <c r="F91" i="15"/>
  <c r="B95" i="15"/>
  <c r="F95" i="15"/>
  <c r="B97" i="15"/>
  <c r="F97" i="15"/>
  <c r="B101" i="15"/>
  <c r="F101" i="15"/>
  <c r="B103" i="15"/>
  <c r="F103" i="15"/>
  <c r="B105" i="15"/>
  <c r="F105" i="15"/>
  <c r="B107" i="15"/>
  <c r="F107" i="15"/>
  <c r="B109" i="15"/>
  <c r="F109" i="15"/>
  <c r="B65" i="15"/>
  <c r="F65" i="15"/>
  <c r="B73" i="15"/>
  <c r="F73" i="15"/>
  <c r="E83" i="15"/>
  <c r="D83" i="15"/>
  <c r="C83" i="15"/>
  <c r="E87" i="15"/>
  <c r="G87" i="15" s="1"/>
  <c r="D87" i="15"/>
  <c r="C87" i="15"/>
  <c r="E91" i="15"/>
  <c r="D91" i="15"/>
  <c r="C91" i="15"/>
  <c r="E95" i="15"/>
  <c r="D95" i="15"/>
  <c r="C95" i="15"/>
  <c r="E97" i="15"/>
  <c r="D97" i="15"/>
  <c r="C97" i="15"/>
  <c r="E101" i="15"/>
  <c r="D101" i="15"/>
  <c r="C101" i="15"/>
  <c r="E103" i="15"/>
  <c r="D103" i="15"/>
  <c r="C103" i="15"/>
  <c r="E105" i="15"/>
  <c r="D105" i="15"/>
  <c r="C105" i="15"/>
  <c r="E107" i="15"/>
  <c r="D107" i="15"/>
  <c r="C107" i="15"/>
  <c r="E109" i="15"/>
  <c r="D109" i="15"/>
  <c r="C109" i="15"/>
  <c r="E65" i="15"/>
  <c r="D65" i="15"/>
  <c r="C65" i="15"/>
  <c r="E73" i="15"/>
  <c r="D73" i="15"/>
  <c r="C73" i="15"/>
  <c r="B82" i="15"/>
  <c r="F82" i="15"/>
  <c r="B84" i="15"/>
  <c r="F84" i="15"/>
  <c r="B86" i="15"/>
  <c r="F86" i="15"/>
  <c r="B88" i="15"/>
  <c r="F88" i="15"/>
  <c r="B90" i="15"/>
  <c r="F90" i="15"/>
  <c r="B92" i="15"/>
  <c r="F92" i="15"/>
  <c r="B94" i="15"/>
  <c r="F94" i="15"/>
  <c r="B96" i="15"/>
  <c r="F96" i="15"/>
  <c r="B98" i="15"/>
  <c r="F98" i="15"/>
  <c r="B67" i="15"/>
  <c r="H67" i="15" s="1"/>
  <c r="E67" i="15"/>
  <c r="G67" i="15" s="1"/>
  <c r="F67" i="15"/>
  <c r="D67" i="15"/>
  <c r="C67" i="15"/>
  <c r="B66" i="15"/>
  <c r="H66" i="15" s="1"/>
  <c r="E66" i="15"/>
  <c r="G66" i="15" s="1"/>
  <c r="F66" i="15"/>
  <c r="D66" i="15"/>
  <c r="C66" i="15"/>
  <c r="E82" i="15"/>
  <c r="D82" i="15"/>
  <c r="C82" i="15"/>
  <c r="E84" i="15"/>
  <c r="D84" i="15"/>
  <c r="C84" i="15"/>
  <c r="E86" i="15"/>
  <c r="D86" i="15"/>
  <c r="C86" i="15"/>
  <c r="E88" i="15"/>
  <c r="D88" i="15"/>
  <c r="C88" i="15"/>
  <c r="E90" i="15"/>
  <c r="D90" i="15"/>
  <c r="C90" i="15"/>
  <c r="E92" i="15"/>
  <c r="G92" i="15" s="1"/>
  <c r="D92" i="15"/>
  <c r="C92" i="15"/>
  <c r="E94" i="15"/>
  <c r="D94" i="15"/>
  <c r="C94" i="15"/>
  <c r="E96" i="15"/>
  <c r="D96" i="15"/>
  <c r="C96" i="15"/>
  <c r="E98" i="15"/>
  <c r="D98" i="15"/>
  <c r="C98" i="15"/>
  <c r="E131" i="15"/>
  <c r="F131" i="15"/>
  <c r="D131" i="15"/>
  <c r="C131" i="15"/>
  <c r="B131" i="15"/>
  <c r="E121" i="15"/>
  <c r="F121" i="15"/>
  <c r="D121" i="15"/>
  <c r="C121" i="15"/>
  <c r="B121" i="15"/>
  <c r="E125" i="15"/>
  <c r="F125" i="15"/>
  <c r="D125" i="15"/>
  <c r="C125" i="15"/>
  <c r="B125" i="15"/>
  <c r="E127" i="15"/>
  <c r="F127" i="15"/>
  <c r="D127" i="15"/>
  <c r="C127" i="15"/>
  <c r="B127" i="15"/>
  <c r="B111" i="15"/>
  <c r="F111" i="15"/>
  <c r="B113" i="15"/>
  <c r="F113" i="15"/>
  <c r="B122" i="15"/>
  <c r="F122" i="15"/>
  <c r="B124" i="15"/>
  <c r="F124" i="15"/>
  <c r="B126" i="15"/>
  <c r="F126" i="15"/>
  <c r="B128" i="15"/>
  <c r="F128" i="15"/>
  <c r="B130" i="15"/>
  <c r="F130" i="15"/>
  <c r="E123" i="15"/>
  <c r="F123" i="15"/>
  <c r="D123" i="15"/>
  <c r="C123" i="15"/>
  <c r="B123" i="15"/>
  <c r="E111" i="15"/>
  <c r="D111" i="15"/>
  <c r="C111" i="15"/>
  <c r="E113" i="15"/>
  <c r="D113" i="15"/>
  <c r="C113" i="15"/>
  <c r="E122" i="15"/>
  <c r="G122" i="15" s="1"/>
  <c r="D122" i="15"/>
  <c r="C122" i="15"/>
  <c r="E124" i="15"/>
  <c r="D124" i="15"/>
  <c r="C124" i="15"/>
  <c r="E126" i="15"/>
  <c r="D126" i="15"/>
  <c r="C126" i="15"/>
  <c r="E128" i="15"/>
  <c r="D128" i="15"/>
  <c r="C128" i="15"/>
  <c r="E130" i="15"/>
  <c r="D130" i="15"/>
  <c r="C130" i="15"/>
  <c r="F119" i="15"/>
  <c r="E119" i="15"/>
  <c r="D119" i="15"/>
  <c r="C119" i="15"/>
  <c r="B119" i="15"/>
  <c r="B135" i="15"/>
  <c r="F135" i="15"/>
  <c r="B139" i="15"/>
  <c r="F139" i="15"/>
  <c r="B150" i="15"/>
  <c r="F150" i="15"/>
  <c r="F148" i="15"/>
  <c r="E148" i="15"/>
  <c r="D148" i="15"/>
  <c r="C148" i="15"/>
  <c r="B148" i="15"/>
  <c r="E133" i="15"/>
  <c r="F133" i="15"/>
  <c r="D133" i="15"/>
  <c r="C133" i="15"/>
  <c r="B133" i="15"/>
  <c r="E135" i="15"/>
  <c r="D135" i="15"/>
  <c r="C135" i="15"/>
  <c r="E137" i="15"/>
  <c r="F137" i="15"/>
  <c r="D137" i="15"/>
  <c r="C137" i="15"/>
  <c r="B137" i="15"/>
  <c r="E139" i="15"/>
  <c r="D139" i="15"/>
  <c r="C139" i="15"/>
  <c r="E141" i="15"/>
  <c r="F141" i="15"/>
  <c r="D141" i="15"/>
  <c r="C141" i="15"/>
  <c r="B141" i="15"/>
  <c r="E150" i="15"/>
  <c r="D150" i="15"/>
  <c r="C150" i="15"/>
  <c r="E152" i="15"/>
  <c r="F152" i="15"/>
  <c r="D152" i="15"/>
  <c r="C152" i="15"/>
  <c r="B152" i="15"/>
  <c r="E154" i="15"/>
  <c r="F154" i="15"/>
  <c r="D154" i="15"/>
  <c r="C154" i="15"/>
  <c r="B154" i="15"/>
  <c r="E156" i="15"/>
  <c r="F156" i="15"/>
  <c r="D156" i="15"/>
  <c r="C156" i="15"/>
  <c r="B156" i="15"/>
  <c r="E132" i="15"/>
  <c r="F132" i="15"/>
  <c r="D132" i="15"/>
  <c r="C132" i="15"/>
  <c r="B132" i="15"/>
  <c r="B134" i="15"/>
  <c r="F134" i="15"/>
  <c r="B136" i="15"/>
  <c r="F136" i="15"/>
  <c r="B138" i="15"/>
  <c r="F138" i="15"/>
  <c r="B140" i="15"/>
  <c r="F140" i="15"/>
  <c r="B142" i="15"/>
  <c r="F142" i="15"/>
  <c r="B151" i="15"/>
  <c r="F151" i="15"/>
  <c r="B157" i="15"/>
  <c r="F157" i="15"/>
  <c r="E134" i="15"/>
  <c r="D134" i="15"/>
  <c r="C134" i="15"/>
  <c r="E136" i="15"/>
  <c r="D136" i="15"/>
  <c r="C136" i="15"/>
  <c r="E138" i="15"/>
  <c r="D138" i="15"/>
  <c r="C138" i="15"/>
  <c r="E140" i="15"/>
  <c r="D140" i="15"/>
  <c r="C140" i="15"/>
  <c r="E142" i="15"/>
  <c r="D142" i="15"/>
  <c r="C142" i="15"/>
  <c r="E151" i="15"/>
  <c r="D151" i="15"/>
  <c r="C151" i="15"/>
  <c r="E157" i="15"/>
  <c r="D157" i="15"/>
  <c r="C157" i="15"/>
  <c r="B192" i="15"/>
  <c r="H192" i="15" s="1"/>
  <c r="B161" i="15"/>
  <c r="F161" i="15"/>
  <c r="B165" i="15"/>
  <c r="F165" i="15"/>
  <c r="B167" i="15"/>
  <c r="F167" i="15"/>
  <c r="B171" i="15"/>
  <c r="F171" i="15"/>
  <c r="B185" i="15"/>
  <c r="F185" i="15"/>
  <c r="F183" i="15"/>
  <c r="E183" i="15"/>
  <c r="D183" i="15"/>
  <c r="C183" i="15"/>
  <c r="B183" i="15"/>
  <c r="B187" i="15"/>
  <c r="F187" i="15"/>
  <c r="B189" i="15"/>
  <c r="F189" i="15"/>
  <c r="B191" i="15"/>
  <c r="F191" i="15"/>
  <c r="E194" i="15"/>
  <c r="F194" i="15"/>
  <c r="D194" i="15"/>
  <c r="C194" i="15"/>
  <c r="B194" i="15"/>
  <c r="E196" i="15"/>
  <c r="F196" i="15"/>
  <c r="D196" i="15"/>
  <c r="C196" i="15"/>
  <c r="B196" i="15"/>
  <c r="B199" i="15"/>
  <c r="F199" i="15"/>
  <c r="B202" i="15"/>
  <c r="F202" i="15"/>
  <c r="E161" i="15"/>
  <c r="D161" i="15"/>
  <c r="C161" i="15"/>
  <c r="E165" i="15"/>
  <c r="D165" i="15"/>
  <c r="C165" i="15"/>
  <c r="E167" i="15"/>
  <c r="D167" i="15"/>
  <c r="C167" i="15"/>
  <c r="E171" i="15"/>
  <c r="D171" i="15"/>
  <c r="C171" i="15"/>
  <c r="E185" i="15"/>
  <c r="D185" i="15"/>
  <c r="C185" i="15"/>
  <c r="E187" i="15"/>
  <c r="D187" i="15"/>
  <c r="C187" i="15"/>
  <c r="E189" i="15"/>
  <c r="D189" i="15"/>
  <c r="C189" i="15"/>
  <c r="E191" i="15"/>
  <c r="D191" i="15"/>
  <c r="C191" i="15"/>
  <c r="B195" i="15"/>
  <c r="F195" i="15"/>
  <c r="E199" i="15"/>
  <c r="D199" i="15"/>
  <c r="C199" i="15"/>
  <c r="E202" i="15"/>
  <c r="D202" i="15"/>
  <c r="C202" i="15"/>
  <c r="B158" i="15"/>
  <c r="F158" i="15"/>
  <c r="B160" i="15"/>
  <c r="F160" i="15"/>
  <c r="B162" i="15"/>
  <c r="F162" i="15"/>
  <c r="B166" i="15"/>
  <c r="F166" i="15"/>
  <c r="B168" i="15"/>
  <c r="F168" i="15"/>
  <c r="B172" i="15"/>
  <c r="F172" i="15"/>
  <c r="B174" i="15"/>
  <c r="F174" i="15"/>
  <c r="B176" i="15"/>
  <c r="F176" i="15"/>
  <c r="B186" i="15"/>
  <c r="F186" i="15"/>
  <c r="B190" i="15"/>
  <c r="F190" i="15"/>
  <c r="E195" i="15"/>
  <c r="D195" i="15"/>
  <c r="C195" i="15"/>
  <c r="B201" i="15"/>
  <c r="F201" i="15"/>
  <c r="F200" i="15"/>
  <c r="E200" i="15"/>
  <c r="D200" i="15"/>
  <c r="C200" i="15"/>
  <c r="B200" i="15"/>
  <c r="B205" i="15"/>
  <c r="F205" i="15"/>
  <c r="B207" i="15"/>
  <c r="F207" i="15"/>
  <c r="B209" i="15"/>
  <c r="F209" i="15"/>
  <c r="B211" i="15"/>
  <c r="F211" i="15"/>
  <c r="E158" i="15"/>
  <c r="D158" i="15"/>
  <c r="C158" i="15"/>
  <c r="E160" i="15"/>
  <c r="D160" i="15"/>
  <c r="C160" i="15"/>
  <c r="E162" i="15"/>
  <c r="D162" i="15"/>
  <c r="C162" i="15"/>
  <c r="E166" i="15"/>
  <c r="D166" i="15"/>
  <c r="C166" i="15"/>
  <c r="E168" i="15"/>
  <c r="D168" i="15"/>
  <c r="C168" i="15"/>
  <c r="E172" i="15"/>
  <c r="D172" i="15"/>
  <c r="C172" i="15"/>
  <c r="E174" i="15"/>
  <c r="D174" i="15"/>
  <c r="C174" i="15"/>
  <c r="E176" i="15"/>
  <c r="D176" i="15"/>
  <c r="C176" i="15"/>
  <c r="E186" i="15"/>
  <c r="D186" i="15"/>
  <c r="C186" i="15"/>
  <c r="E190" i="15"/>
  <c r="D190" i="15"/>
  <c r="C190" i="15"/>
  <c r="E192" i="15"/>
  <c r="G192" i="15" s="1"/>
  <c r="F192" i="15"/>
  <c r="D192" i="15"/>
  <c r="C192" i="15"/>
  <c r="E201" i="15"/>
  <c r="G201" i="15" s="1"/>
  <c r="D201" i="15"/>
  <c r="C201" i="15"/>
  <c r="E205" i="15"/>
  <c r="D205" i="15"/>
  <c r="C205" i="15"/>
  <c r="E207" i="15"/>
  <c r="D207" i="15"/>
  <c r="C207" i="15"/>
  <c r="E209" i="15"/>
  <c r="D209" i="15"/>
  <c r="C209" i="15"/>
  <c r="E211" i="15"/>
  <c r="D211" i="15"/>
  <c r="C211" i="15"/>
  <c r="AB4" i="6"/>
  <c r="AJ4" i="6" s="1"/>
  <c r="Q91" i="6"/>
  <c r="R91" i="6" s="1"/>
  <c r="AC85" i="6"/>
  <c r="AD85" i="6" s="1"/>
  <c r="AC87" i="6"/>
  <c r="AC89" i="6"/>
  <c r="AC90" i="6"/>
  <c r="AC96" i="6"/>
  <c r="AC99" i="6"/>
  <c r="AC104" i="6"/>
  <c r="AC105" i="6"/>
  <c r="H24" i="13" l="1"/>
  <c r="H66" i="13"/>
  <c r="H39" i="23"/>
  <c r="H18" i="16"/>
  <c r="H21" i="16"/>
  <c r="G25" i="23"/>
  <c r="G130" i="15"/>
  <c r="G39" i="23"/>
  <c r="G44" i="23"/>
  <c r="G22" i="23"/>
  <c r="H27" i="16"/>
  <c r="H11" i="16"/>
  <c r="G8" i="23"/>
  <c r="H10" i="16"/>
  <c r="G37" i="23"/>
  <c r="I10" i="16"/>
  <c r="G25" i="22"/>
  <c r="H130" i="15"/>
  <c r="G40" i="23"/>
  <c r="H17" i="16"/>
  <c r="H9" i="16"/>
  <c r="H92" i="13"/>
  <c r="I6" i="13"/>
  <c r="I21" i="13"/>
  <c r="H61" i="13"/>
  <c r="H139" i="13"/>
  <c r="I74" i="13"/>
  <c r="H74" i="13"/>
  <c r="I60" i="13"/>
  <c r="H49" i="13"/>
  <c r="H33" i="13"/>
  <c r="H12" i="13"/>
  <c r="H91" i="13"/>
  <c r="I50" i="13"/>
  <c r="H9" i="13"/>
  <c r="H62" i="13"/>
  <c r="I49" i="13"/>
  <c r="H36" i="13"/>
  <c r="H5" i="13"/>
  <c r="H76" i="13"/>
  <c r="I88" i="13"/>
  <c r="H64" i="13"/>
  <c r="I79" i="13"/>
  <c r="H38" i="13"/>
  <c r="I20" i="13"/>
  <c r="H89" i="13"/>
  <c r="H118" i="13"/>
  <c r="H88" i="13"/>
  <c r="H129" i="13"/>
  <c r="H106" i="13"/>
  <c r="H48" i="13"/>
  <c r="H127" i="13"/>
  <c r="H79" i="13"/>
  <c r="I48" i="13"/>
  <c r="H46" i="13"/>
  <c r="I47" i="13"/>
  <c r="I35" i="13"/>
  <c r="H78" i="13"/>
  <c r="H75" i="13"/>
  <c r="I78" i="13"/>
  <c r="I76" i="13"/>
  <c r="I9" i="13"/>
  <c r="H142" i="13"/>
  <c r="I75" i="13"/>
  <c r="I65" i="13"/>
  <c r="H115" i="13"/>
  <c r="H60" i="13"/>
  <c r="H47" i="13"/>
  <c r="I46" i="13"/>
  <c r="H19" i="13"/>
  <c r="I7" i="13"/>
  <c r="I91" i="13"/>
  <c r="I63" i="13"/>
  <c r="I59" i="13"/>
  <c r="I77" i="13"/>
  <c r="I66" i="13"/>
  <c r="I61" i="13"/>
  <c r="H7" i="13"/>
  <c r="H65" i="13"/>
  <c r="H73" i="13"/>
  <c r="H117" i="13"/>
  <c r="I87" i="13"/>
  <c r="I62" i="13"/>
  <c r="I23" i="13"/>
  <c r="H23" i="13"/>
  <c r="H82" i="12"/>
  <c r="H43" i="10"/>
  <c r="G84" i="1"/>
  <c r="G47" i="1"/>
  <c r="H28" i="10"/>
  <c r="C50" i="8"/>
  <c r="H9" i="8"/>
  <c r="H48" i="8"/>
  <c r="H44" i="8"/>
  <c r="H40" i="8"/>
  <c r="D36" i="7"/>
  <c r="H17" i="23"/>
  <c r="H141" i="13"/>
  <c r="H59" i="13"/>
  <c r="H107" i="13"/>
  <c r="H31" i="13"/>
  <c r="I34" i="13"/>
  <c r="H34" i="13"/>
  <c r="I37" i="13"/>
  <c r="H86" i="12"/>
  <c r="I65" i="12"/>
  <c r="I61" i="12"/>
  <c r="I24" i="13"/>
  <c r="I5" i="13"/>
  <c r="S37" i="12"/>
  <c r="I12" i="13"/>
  <c r="H10" i="13"/>
  <c r="I90" i="12"/>
  <c r="H87" i="12"/>
  <c r="H79" i="12"/>
  <c r="H68" i="12"/>
  <c r="S19" i="12"/>
  <c r="R9" i="12"/>
  <c r="S11" i="12"/>
  <c r="E12" i="8"/>
  <c r="D12" i="8"/>
  <c r="D50" i="8"/>
  <c r="I20" i="7"/>
  <c r="C50" i="7"/>
  <c r="I12" i="7"/>
  <c r="C42" i="7"/>
  <c r="H36" i="23"/>
  <c r="S38" i="12"/>
  <c r="G41" i="10"/>
  <c r="G46" i="10"/>
  <c r="G83" i="1"/>
  <c r="H85" i="1"/>
  <c r="H13" i="1"/>
  <c r="F12" i="8"/>
  <c r="H7" i="8"/>
  <c r="F22" i="8"/>
  <c r="H22" i="8" s="1"/>
  <c r="E48" i="7"/>
  <c r="E45" i="7"/>
  <c r="F48" i="7"/>
  <c r="F45" i="7"/>
  <c r="H122" i="15"/>
  <c r="H50" i="13"/>
  <c r="H102" i="13"/>
  <c r="I89" i="13"/>
  <c r="H35" i="13"/>
  <c r="H21" i="13"/>
  <c r="H63" i="12"/>
  <c r="I84" i="12"/>
  <c r="I11" i="13"/>
  <c r="H8" i="13"/>
  <c r="H6" i="13"/>
  <c r="R40" i="12"/>
  <c r="S17" i="12"/>
  <c r="G45" i="10"/>
  <c r="G42" i="10"/>
  <c r="H44" i="10"/>
  <c r="G44" i="10"/>
  <c r="G10" i="10"/>
  <c r="I30" i="16"/>
  <c r="H83" i="1"/>
  <c r="H52" i="1"/>
  <c r="H26" i="1"/>
  <c r="D22" i="8"/>
  <c r="C45" i="7"/>
  <c r="I83" i="12"/>
  <c r="H73" i="12"/>
  <c r="I87" i="12"/>
  <c r="I89" i="12"/>
  <c r="H69" i="12"/>
  <c r="H71" i="12"/>
  <c r="I73" i="12"/>
  <c r="I64" i="12"/>
  <c r="I80" i="12"/>
  <c r="H90" i="12"/>
  <c r="H77" i="12"/>
  <c r="I85" i="12"/>
  <c r="H65" i="12"/>
  <c r="H64" i="12"/>
  <c r="H61" i="12"/>
  <c r="I63" i="12"/>
  <c r="I82" i="12"/>
  <c r="H83" i="12"/>
  <c r="H75" i="12"/>
  <c r="H70" i="12"/>
  <c r="H66" i="12"/>
  <c r="I62" i="12"/>
  <c r="I78" i="12"/>
  <c r="H85" i="12"/>
  <c r="H72" i="12"/>
  <c r="I69" i="12"/>
  <c r="I76" i="12"/>
  <c r="I77" i="12"/>
  <c r="G42" i="23"/>
  <c r="H24" i="23"/>
  <c r="G21" i="23"/>
  <c r="G38" i="23"/>
  <c r="H42" i="23"/>
  <c r="G19" i="23"/>
  <c r="D10" i="23"/>
  <c r="G7" i="23"/>
  <c r="E70" i="23"/>
  <c r="G35" i="23"/>
  <c r="H44" i="23"/>
  <c r="E34" i="10"/>
  <c r="F34" i="10"/>
  <c r="D34" i="10"/>
  <c r="G41" i="11"/>
  <c r="F48" i="11"/>
  <c r="G42" i="11"/>
  <c r="D48" i="11"/>
  <c r="G29" i="11"/>
  <c r="G30" i="11"/>
  <c r="G7" i="11"/>
  <c r="H27" i="11"/>
  <c r="G28" i="11"/>
  <c r="G23" i="11"/>
  <c r="H28" i="11"/>
  <c r="H29" i="11"/>
  <c r="I24" i="19"/>
  <c r="H30" i="16"/>
  <c r="H19" i="16"/>
  <c r="H25" i="16"/>
  <c r="H33" i="16"/>
  <c r="I9" i="16"/>
  <c r="H14" i="16"/>
  <c r="H31" i="16"/>
  <c r="I11" i="16"/>
  <c r="H13" i="16"/>
  <c r="I15" i="16"/>
  <c r="H22" i="16"/>
  <c r="H15" i="16"/>
  <c r="I21" i="16"/>
  <c r="I14" i="16"/>
  <c r="I32" i="16"/>
  <c r="I18" i="16"/>
  <c r="H23" i="16"/>
  <c r="H24" i="16"/>
  <c r="I16" i="16"/>
  <c r="H26" i="16"/>
  <c r="I17" i="16"/>
  <c r="H20" i="16"/>
  <c r="I13" i="16"/>
  <c r="I22" i="16"/>
  <c r="H29" i="16"/>
  <c r="I26" i="16"/>
  <c r="H32" i="16"/>
  <c r="H16" i="16"/>
  <c r="I31" i="16"/>
  <c r="I12" i="16"/>
  <c r="I24" i="16"/>
  <c r="I29" i="16"/>
  <c r="I23" i="16"/>
  <c r="I20" i="16"/>
  <c r="I27" i="16"/>
  <c r="I33" i="16"/>
  <c r="I25" i="16"/>
  <c r="I19" i="16"/>
  <c r="H12" i="16"/>
  <c r="H8" i="15"/>
  <c r="G54" i="23"/>
  <c r="G167" i="15"/>
  <c r="G109" i="15"/>
  <c r="G140" i="15"/>
  <c r="H54" i="23"/>
  <c r="G28" i="15"/>
  <c r="G11" i="15"/>
  <c r="H131" i="15"/>
  <c r="H71" i="15"/>
  <c r="G94" i="15"/>
  <c r="G158" i="15"/>
  <c r="H29" i="15"/>
  <c r="G186" i="15"/>
  <c r="G191" i="15"/>
  <c r="G101" i="15"/>
  <c r="G195" i="15"/>
  <c r="G168" i="15"/>
  <c r="G150" i="15"/>
  <c r="G135" i="15"/>
  <c r="H133" i="15"/>
  <c r="G18" i="15"/>
  <c r="G26" i="15"/>
  <c r="G9" i="15"/>
  <c r="G162" i="15"/>
  <c r="H126" i="15"/>
  <c r="G126" i="15"/>
  <c r="G199" i="15"/>
  <c r="G53" i="23"/>
  <c r="H127" i="15"/>
  <c r="G53" i="15"/>
  <c r="G174" i="15"/>
  <c r="G187" i="15"/>
  <c r="G111" i="15"/>
  <c r="G20" i="15"/>
  <c r="H121" i="15"/>
  <c r="Q31" i="12"/>
  <c r="Q29" i="12"/>
  <c r="S36" i="12"/>
  <c r="S39" i="12"/>
  <c r="R33" i="12"/>
  <c r="R35" i="12"/>
  <c r="Q37" i="12"/>
  <c r="R34" i="12"/>
  <c r="Q38" i="12"/>
  <c r="Q36" i="12"/>
  <c r="Q30" i="12"/>
  <c r="Q34" i="12"/>
  <c r="R39" i="12"/>
  <c r="S32" i="12"/>
  <c r="Q40" i="12"/>
  <c r="Q33" i="12"/>
  <c r="Q35" i="12"/>
  <c r="S29" i="12"/>
  <c r="S31" i="12"/>
  <c r="S30" i="12"/>
  <c r="Q28" i="12"/>
  <c r="S35" i="12"/>
  <c r="R31" i="12"/>
  <c r="R32" i="12"/>
  <c r="S28" i="12"/>
  <c r="S40" i="12"/>
  <c r="R29" i="12"/>
  <c r="R37" i="12"/>
  <c r="Q32" i="12"/>
  <c r="R38" i="12"/>
  <c r="Q39" i="12"/>
  <c r="R28" i="12"/>
  <c r="Q13" i="12"/>
  <c r="R12" i="12"/>
  <c r="R11" i="12"/>
  <c r="R19" i="12"/>
  <c r="S9" i="12"/>
  <c r="R13" i="12"/>
  <c r="Q12" i="12"/>
  <c r="S15" i="12"/>
  <c r="S16" i="12"/>
  <c r="Q18" i="12"/>
  <c r="R8" i="12"/>
  <c r="Q9" i="12"/>
  <c r="Q17" i="12"/>
  <c r="R16" i="12"/>
  <c r="Q8" i="12"/>
  <c r="Q16" i="12"/>
  <c r="R15" i="12"/>
  <c r="R14" i="12"/>
  <c r="Q15" i="12"/>
  <c r="S18" i="12"/>
  <c r="R18" i="12"/>
  <c r="S13" i="12"/>
  <c r="R20" i="12"/>
  <c r="Q14" i="12"/>
  <c r="S12" i="12"/>
  <c r="G61" i="22"/>
  <c r="G45" i="22"/>
  <c r="G34" i="22"/>
  <c r="G74" i="22"/>
  <c r="H26" i="22"/>
  <c r="H7" i="22"/>
  <c r="G54" i="22"/>
  <c r="G64" i="22"/>
  <c r="G35" i="22"/>
  <c r="G102" i="22"/>
  <c r="H35" i="22"/>
  <c r="H34" i="22"/>
  <c r="G84" i="22"/>
  <c r="H7" i="20"/>
  <c r="G12" i="21"/>
  <c r="H10" i="21"/>
  <c r="G11" i="21"/>
  <c r="G15" i="21"/>
  <c r="H13" i="21"/>
  <c r="G14" i="21"/>
  <c r="H6" i="21"/>
  <c r="G13" i="21"/>
  <c r="H8" i="21"/>
  <c r="G7" i="21"/>
  <c r="G17" i="21"/>
  <c r="G9" i="21"/>
  <c r="G6" i="20"/>
  <c r="G5" i="20"/>
  <c r="G16" i="21"/>
  <c r="G10" i="21"/>
  <c r="H6" i="20"/>
  <c r="H9" i="21"/>
  <c r="H14" i="21"/>
  <c r="G6" i="21"/>
  <c r="G7" i="20"/>
  <c r="G8" i="21"/>
  <c r="H17" i="21"/>
  <c r="H15" i="21"/>
  <c r="H5" i="20"/>
  <c r="H7" i="21"/>
  <c r="H16" i="21"/>
  <c r="H11" i="21"/>
  <c r="H12" i="21"/>
  <c r="G64" i="1"/>
  <c r="G67" i="1"/>
  <c r="H42" i="1"/>
  <c r="H44" i="1"/>
  <c r="G42" i="1"/>
  <c r="H49" i="1"/>
  <c r="H48" i="1"/>
  <c r="G24" i="1"/>
  <c r="H82" i="1"/>
  <c r="G87" i="1"/>
  <c r="G88" i="1"/>
  <c r="G86" i="1"/>
  <c r="H87" i="1"/>
  <c r="H84" i="1"/>
  <c r="G81" i="1"/>
  <c r="H86" i="1"/>
  <c r="H88" i="1"/>
  <c r="G63" i="1"/>
  <c r="H68" i="1"/>
  <c r="G61" i="1"/>
  <c r="G65" i="1"/>
  <c r="H66" i="1"/>
  <c r="G66" i="1"/>
  <c r="G70" i="1"/>
  <c r="G62" i="1"/>
  <c r="H73" i="1"/>
  <c r="H64" i="1"/>
  <c r="H63" i="1"/>
  <c r="G73" i="1"/>
  <c r="H62" i="1"/>
  <c r="H61" i="1"/>
  <c r="F74" i="1"/>
  <c r="D74" i="1"/>
  <c r="G71" i="1"/>
  <c r="H71" i="1"/>
  <c r="G69" i="1"/>
  <c r="B74" i="1"/>
  <c r="E74" i="1"/>
  <c r="H65" i="1"/>
  <c r="G48" i="1"/>
  <c r="H45" i="1"/>
  <c r="H43" i="1"/>
  <c r="G53" i="1"/>
  <c r="G43" i="1"/>
  <c r="G45" i="1"/>
  <c r="H46" i="1"/>
  <c r="F55" i="1"/>
  <c r="G54" i="1"/>
  <c r="H53" i="1"/>
  <c r="G50" i="1"/>
  <c r="D55" i="1"/>
  <c r="H50" i="1"/>
  <c r="H51" i="1"/>
  <c r="B55" i="1"/>
  <c r="H29" i="1"/>
  <c r="H23" i="1"/>
  <c r="G27" i="1"/>
  <c r="H33" i="1"/>
  <c r="G31" i="1"/>
  <c r="G29" i="1"/>
  <c r="G28" i="1"/>
  <c r="G33" i="1"/>
  <c r="D35" i="1"/>
  <c r="H34" i="1"/>
  <c r="G25" i="1"/>
  <c r="E35" i="1"/>
  <c r="H25" i="1"/>
  <c r="B35" i="1"/>
  <c r="F35" i="1"/>
  <c r="G32" i="1"/>
  <c r="H28" i="1"/>
  <c r="H22" i="1"/>
  <c r="H32" i="1"/>
  <c r="H27" i="1"/>
  <c r="G26" i="1"/>
  <c r="G22" i="1"/>
  <c r="R23" i="4"/>
  <c r="H10" i="1"/>
  <c r="H12" i="1"/>
  <c r="U22" i="4"/>
  <c r="H11" i="1"/>
  <c r="D22" i="4"/>
  <c r="G10" i="1"/>
  <c r="F23" i="4"/>
  <c r="C23" i="4"/>
  <c r="D15" i="1"/>
  <c r="P22" i="4"/>
  <c r="H14" i="1"/>
  <c r="L22" i="4"/>
  <c r="Q22" i="4"/>
  <c r="H9" i="1"/>
  <c r="E15" i="1"/>
  <c r="S22" i="4"/>
  <c r="N22" i="4"/>
  <c r="I22" i="4"/>
  <c r="AA22" i="4"/>
  <c r="Y22" i="4"/>
  <c r="G22" i="4"/>
  <c r="G8" i="1"/>
  <c r="K24" i="4"/>
  <c r="V22" i="4"/>
  <c r="R22" i="4"/>
  <c r="F22" i="4"/>
  <c r="B15" i="1"/>
  <c r="G14" i="1"/>
  <c r="Z22" i="4"/>
  <c r="AB22" i="4"/>
  <c r="F15" i="1"/>
  <c r="G15" i="1" s="1"/>
  <c r="T22" i="4"/>
  <c r="W22" i="4"/>
  <c r="J22" i="4"/>
  <c r="O22" i="4"/>
  <c r="M22" i="4"/>
  <c r="H22" i="4"/>
  <c r="I18" i="7"/>
  <c r="I11" i="7"/>
  <c r="I9" i="7"/>
  <c r="H6" i="7"/>
  <c r="H24" i="7"/>
  <c r="H8" i="7"/>
  <c r="I25" i="7"/>
  <c r="H11" i="7"/>
  <c r="H26" i="7"/>
  <c r="I24" i="7"/>
  <c r="H22" i="7"/>
  <c r="I13" i="7"/>
  <c r="I7" i="7"/>
  <c r="H9" i="7"/>
  <c r="H12" i="7"/>
  <c r="H13" i="7"/>
  <c r="I22" i="7"/>
  <c r="H7" i="7"/>
  <c r="H14" i="7"/>
  <c r="H25" i="7"/>
  <c r="I6" i="7"/>
  <c r="H16" i="7"/>
  <c r="I16" i="7"/>
  <c r="I14" i="7"/>
  <c r="H20" i="7"/>
  <c r="I8" i="7"/>
  <c r="C52" i="7"/>
  <c r="D52" i="7"/>
  <c r="I50" i="7"/>
  <c r="I56" i="7"/>
  <c r="E52" i="7"/>
  <c r="F52" i="7"/>
  <c r="G52" i="7"/>
  <c r="H10" i="5"/>
  <c r="G48" i="7"/>
  <c r="D47" i="10"/>
  <c r="E47" i="10"/>
  <c r="G47" i="10" s="1"/>
  <c r="C47" i="10"/>
  <c r="B47" i="10"/>
  <c r="H62" i="23"/>
  <c r="H61" i="23"/>
  <c r="G62" i="23"/>
  <c r="H38" i="8"/>
  <c r="H154" i="15"/>
  <c r="H26" i="15"/>
  <c r="H18" i="15"/>
  <c r="H13" i="15"/>
  <c r="H9" i="15"/>
  <c r="H17" i="15"/>
  <c r="H14" i="15"/>
  <c r="G8" i="15"/>
  <c r="G24" i="23"/>
  <c r="G17" i="23"/>
  <c r="H130" i="13"/>
  <c r="H90" i="13"/>
  <c r="I80" i="13"/>
  <c r="I33" i="13"/>
  <c r="I92" i="13"/>
  <c r="G23" i="23"/>
  <c r="H105" i="13"/>
  <c r="H32" i="13"/>
  <c r="G86" i="15"/>
  <c r="H55" i="15"/>
  <c r="G29" i="15"/>
  <c r="H27" i="15"/>
  <c r="H21" i="15"/>
  <c r="G21" i="15"/>
  <c r="H12" i="15"/>
  <c r="G10" i="15"/>
  <c r="G61" i="23"/>
  <c r="G20" i="23"/>
  <c r="H37" i="23"/>
  <c r="I73" i="13"/>
  <c r="I64" i="13"/>
  <c r="S33" i="12"/>
  <c r="G83" i="22"/>
  <c r="G33" i="22"/>
  <c r="H105" i="22"/>
  <c r="B21" i="4"/>
  <c r="Q11" i="12"/>
  <c r="G215" i="15"/>
  <c r="F47" i="10"/>
  <c r="E55" i="1"/>
  <c r="G6" i="8"/>
  <c r="I26" i="7"/>
  <c r="H47" i="8"/>
  <c r="H43" i="8"/>
  <c r="H39" i="8"/>
  <c r="H8" i="8"/>
  <c r="H46" i="8"/>
  <c r="H42" i="8"/>
  <c r="G10" i="5"/>
  <c r="B31" i="11"/>
  <c r="H30" i="11"/>
  <c r="H49" i="8"/>
  <c r="H45" i="8"/>
  <c r="H41" i="8"/>
  <c r="H43" i="23"/>
  <c r="D80" i="23"/>
  <c r="G18" i="23"/>
  <c r="G36" i="23"/>
  <c r="H41" i="23"/>
  <c r="H18" i="23"/>
  <c r="F70" i="23"/>
  <c r="C80" i="23"/>
  <c r="H40" i="23"/>
  <c r="G69" i="23"/>
  <c r="G78" i="23"/>
  <c r="F80" i="23"/>
  <c r="D45" i="23"/>
  <c r="H38" i="23"/>
  <c r="F10" i="23"/>
  <c r="H10" i="23" s="1"/>
  <c r="H19" i="23"/>
  <c r="C10" i="23"/>
  <c r="H21" i="23"/>
  <c r="F45" i="23"/>
  <c r="E80" i="23"/>
  <c r="G68" i="23"/>
  <c r="C70" i="23"/>
  <c r="F27" i="23"/>
  <c r="G79" i="23"/>
  <c r="D70" i="23"/>
  <c r="H25" i="23"/>
  <c r="H22" i="23"/>
  <c r="D27" i="23"/>
  <c r="H20" i="23"/>
  <c r="C45" i="23"/>
  <c r="G41" i="23"/>
  <c r="H35" i="23"/>
  <c r="C27" i="23"/>
  <c r="E45" i="23"/>
  <c r="H68" i="23"/>
  <c r="E27" i="23"/>
  <c r="H23" i="23"/>
  <c r="B45" i="23"/>
  <c r="G43" i="23"/>
  <c r="B80" i="23"/>
  <c r="H79" i="23"/>
  <c r="B27" i="23"/>
  <c r="H78" i="23"/>
  <c r="E10" i="23"/>
  <c r="H156" i="15"/>
  <c r="H186" i="15"/>
  <c r="H174" i="15"/>
  <c r="G165" i="15"/>
  <c r="H141" i="15"/>
  <c r="H60" i="15"/>
  <c r="G209" i="15"/>
  <c r="G105" i="15"/>
  <c r="G95" i="15"/>
  <c r="G47" i="15"/>
  <c r="G49" i="15"/>
  <c r="H194" i="15"/>
  <c r="H95" i="15"/>
  <c r="H87" i="15"/>
  <c r="H165" i="15"/>
  <c r="H125" i="15"/>
  <c r="G17" i="15"/>
  <c r="H19" i="15"/>
  <c r="H68" i="15"/>
  <c r="G60" i="15"/>
  <c r="H138" i="15"/>
  <c r="G139" i="15"/>
  <c r="G124" i="15"/>
  <c r="G103" i="15"/>
  <c r="G91" i="15"/>
  <c r="G205" i="15"/>
  <c r="G185" i="15"/>
  <c r="G161" i="15"/>
  <c r="G98" i="15"/>
  <c r="G90" i="15"/>
  <c r="G82" i="15"/>
  <c r="G65" i="15"/>
  <c r="H43" i="15"/>
  <c r="G190" i="15"/>
  <c r="G172" i="15"/>
  <c r="G160" i="15"/>
  <c r="G128" i="15"/>
  <c r="G113" i="15"/>
  <c r="G107" i="15"/>
  <c r="G97" i="15"/>
  <c r="G83" i="15"/>
  <c r="G51" i="15"/>
  <c r="G19" i="15"/>
  <c r="H10" i="15"/>
  <c r="G58" i="15"/>
  <c r="G45" i="15"/>
  <c r="H15" i="15"/>
  <c r="H158" i="15"/>
  <c r="H88" i="15"/>
  <c r="H53" i="15"/>
  <c r="H195" i="15"/>
  <c r="H191" i="15"/>
  <c r="H187" i="15"/>
  <c r="H25" i="15"/>
  <c r="H137" i="15"/>
  <c r="H150" i="15"/>
  <c r="H151" i="15"/>
  <c r="H128" i="15"/>
  <c r="H65" i="15"/>
  <c r="H107" i="15"/>
  <c r="H58" i="15"/>
  <c r="H51" i="15"/>
  <c r="H209" i="15"/>
  <c r="G132" i="15"/>
  <c r="H135" i="15"/>
  <c r="H96" i="15"/>
  <c r="H92" i="15"/>
  <c r="H202" i="15"/>
  <c r="H196" i="15"/>
  <c r="H189" i="15"/>
  <c r="H113" i="15"/>
  <c r="G121" i="15"/>
  <c r="H97" i="15"/>
  <c r="H45" i="15"/>
  <c r="H59" i="15"/>
  <c r="G131" i="15"/>
  <c r="H47" i="15"/>
  <c r="H54" i="15"/>
  <c r="G14" i="15"/>
  <c r="G142" i="15"/>
  <c r="G134" i="15"/>
  <c r="H49" i="15"/>
  <c r="H132" i="15"/>
  <c r="H23" i="15"/>
  <c r="G157" i="15"/>
  <c r="G138" i="15"/>
  <c r="H152" i="15"/>
  <c r="G71" i="15"/>
  <c r="G207" i="15"/>
  <c r="H176" i="15"/>
  <c r="H123" i="15"/>
  <c r="G123" i="15"/>
  <c r="G127" i="15"/>
  <c r="H86" i="15"/>
  <c r="H28" i="15"/>
  <c r="H211" i="15"/>
  <c r="H140" i="15"/>
  <c r="H124" i="15"/>
  <c r="G84" i="15"/>
  <c r="G55" i="15"/>
  <c r="G44" i="15"/>
  <c r="H160" i="15"/>
  <c r="G196" i="15"/>
  <c r="H205" i="15"/>
  <c r="H201" i="15"/>
  <c r="H190" i="15"/>
  <c r="H168" i="15"/>
  <c r="G202" i="15"/>
  <c r="G171" i="15"/>
  <c r="H185" i="15"/>
  <c r="H142" i="15"/>
  <c r="H111" i="15"/>
  <c r="H90" i="15"/>
  <c r="H82" i="15"/>
  <c r="G73" i="15"/>
  <c r="H103" i="15"/>
  <c r="G24" i="15"/>
  <c r="G15" i="15"/>
  <c r="G43" i="15"/>
  <c r="G27" i="15"/>
  <c r="G211" i="15"/>
  <c r="G176" i="15"/>
  <c r="G166" i="15"/>
  <c r="H207" i="15"/>
  <c r="G189" i="15"/>
  <c r="G194" i="15"/>
  <c r="G151" i="15"/>
  <c r="G136" i="15"/>
  <c r="G96" i="15"/>
  <c r="G88" i="15"/>
  <c r="H84" i="15"/>
  <c r="H73" i="15"/>
  <c r="H105" i="15"/>
  <c r="H101" i="15"/>
  <c r="H83" i="15"/>
  <c r="G50" i="15"/>
  <c r="G23" i="15"/>
  <c r="G68" i="15"/>
  <c r="G59" i="15"/>
  <c r="H50" i="15"/>
  <c r="H44" i="15"/>
  <c r="H11" i="15"/>
  <c r="H172" i="15"/>
  <c r="H162" i="15"/>
  <c r="H167" i="15"/>
  <c r="H161" i="15"/>
  <c r="H134" i="15"/>
  <c r="G156" i="15"/>
  <c r="G154" i="15"/>
  <c r="G137" i="15"/>
  <c r="G133" i="15"/>
  <c r="G125" i="15"/>
  <c r="H109" i="15"/>
  <c r="H20" i="15"/>
  <c r="H219" i="15"/>
  <c r="H24" i="15"/>
  <c r="G25" i="15"/>
  <c r="H166" i="15"/>
  <c r="H199" i="15"/>
  <c r="H171" i="15"/>
  <c r="H157" i="15"/>
  <c r="H136" i="15"/>
  <c r="G152" i="15"/>
  <c r="G141" i="15"/>
  <c r="H139" i="15"/>
  <c r="H98" i="15"/>
  <c r="H94" i="15"/>
  <c r="H91" i="15"/>
  <c r="H22" i="15"/>
  <c r="G12" i="15"/>
  <c r="H217" i="15"/>
  <c r="B48" i="11"/>
  <c r="H40" i="11"/>
  <c r="E48" i="11"/>
  <c r="H8" i="11"/>
  <c r="G9" i="11"/>
  <c r="C48" i="11"/>
  <c r="H41" i="11"/>
  <c r="G40" i="11"/>
  <c r="H9" i="11"/>
  <c r="G8" i="11"/>
  <c r="H6" i="11"/>
  <c r="G39" i="11"/>
  <c r="H39" i="11"/>
  <c r="H42" i="11"/>
  <c r="G6" i="11"/>
  <c r="H7" i="11"/>
  <c r="G24" i="11"/>
  <c r="H24" i="11"/>
  <c r="G22" i="11"/>
  <c r="G27" i="11"/>
  <c r="F31" i="11"/>
  <c r="H25" i="11"/>
  <c r="H22" i="11"/>
  <c r="G25" i="11"/>
  <c r="D31" i="11"/>
  <c r="E31" i="11"/>
  <c r="H23" i="11"/>
  <c r="C31" i="11"/>
  <c r="H23" i="22"/>
  <c r="H25" i="22"/>
  <c r="H43" i="22"/>
  <c r="G73" i="22"/>
  <c r="H60" i="22"/>
  <c r="G44" i="22"/>
  <c r="G92" i="22"/>
  <c r="G7" i="22"/>
  <c r="G103" i="22"/>
  <c r="H83" i="22"/>
  <c r="H71" i="22"/>
  <c r="H33" i="22"/>
  <c r="G105" i="22"/>
  <c r="H74" i="22"/>
  <c r="H54" i="22"/>
  <c r="G8" i="22"/>
  <c r="G23" i="22"/>
  <c r="H61" i="22"/>
  <c r="G24" i="22"/>
  <c r="G88" i="22"/>
  <c r="H108" i="22"/>
  <c r="G85" i="22"/>
  <c r="G62" i="22"/>
  <c r="H16" i="22"/>
  <c r="H109" i="22"/>
  <c r="G108" i="22"/>
  <c r="G90" i="22"/>
  <c r="G106" i="22"/>
  <c r="H24" i="22"/>
  <c r="H110" i="22"/>
  <c r="H101" i="22"/>
  <c r="G87" i="22"/>
  <c r="G43" i="22"/>
  <c r="H92" i="22"/>
  <c r="G15" i="22"/>
  <c r="H85" i="22"/>
  <c r="H64" i="22"/>
  <c r="H8" i="22"/>
  <c r="G53" i="22"/>
  <c r="H84" i="22"/>
  <c r="G109" i="22"/>
  <c r="G110" i="22"/>
  <c r="H106" i="22"/>
  <c r="H90" i="22"/>
  <c r="H62" i="22"/>
  <c r="H44" i="22"/>
  <c r="H102" i="22"/>
  <c r="H88" i="22"/>
  <c r="H45" i="22"/>
  <c r="G101" i="22"/>
  <c r="G71" i="22"/>
  <c r="H103" i="22"/>
  <c r="H87" i="22"/>
  <c r="H73" i="22"/>
  <c r="H53" i="22"/>
  <c r="G26" i="22"/>
  <c r="H72" i="22"/>
  <c r="G16" i="22"/>
  <c r="H15" i="22"/>
  <c r="H44" i="7"/>
  <c r="H12" i="5"/>
  <c r="I45" i="7"/>
  <c r="G13" i="5"/>
  <c r="C54" i="7"/>
  <c r="I54" i="7" s="1"/>
  <c r="I44" i="7"/>
  <c r="C55" i="7"/>
  <c r="I55" i="7" s="1"/>
  <c r="I46" i="7"/>
  <c r="G9" i="5"/>
  <c r="D48" i="7"/>
  <c r="H11" i="5"/>
  <c r="AD86" i="6"/>
  <c r="Z91" i="6"/>
  <c r="AD88" i="6"/>
  <c r="AD93" i="6"/>
  <c r="AD87" i="6"/>
  <c r="S91" i="6"/>
  <c r="H41" i="7"/>
  <c r="I38" i="7"/>
  <c r="C36" i="7"/>
  <c r="I36" i="7" s="1"/>
  <c r="H13" i="5"/>
  <c r="G11" i="5"/>
  <c r="C41" i="7"/>
  <c r="I41" i="7" s="1"/>
  <c r="H45" i="7"/>
  <c r="G12" i="5"/>
  <c r="AD108" i="6"/>
  <c r="V91" i="6"/>
  <c r="C48" i="7"/>
  <c r="H9" i="5"/>
  <c r="AD104" i="6"/>
  <c r="W91" i="6"/>
  <c r="U91" i="6"/>
  <c r="AD105" i="6"/>
  <c r="AD109" i="6"/>
  <c r="AQ4" i="6"/>
  <c r="AH4" i="6"/>
  <c r="AN4" i="6"/>
  <c r="AD94" i="6"/>
  <c r="AD90" i="6"/>
  <c r="AD102" i="6"/>
  <c r="AD101" i="6"/>
  <c r="AD97" i="6"/>
  <c r="AD95" i="6"/>
  <c r="AD100" i="6"/>
  <c r="AG4" i="6"/>
  <c r="AL4" i="6"/>
  <c r="AR4" i="6"/>
  <c r="AD106" i="6"/>
  <c r="AD103" i="6"/>
  <c r="AD98" i="6"/>
  <c r="AD92" i="6"/>
  <c r="AD89" i="6"/>
  <c r="AA91" i="6"/>
  <c r="T91" i="6"/>
  <c r="Y91" i="6"/>
  <c r="AK4" i="6"/>
  <c r="AP4" i="6"/>
  <c r="AM4" i="6"/>
  <c r="AF4" i="6"/>
  <c r="AD91" i="6"/>
  <c r="AD107" i="6"/>
  <c r="AD99" i="6"/>
  <c r="AD96" i="6"/>
  <c r="X91" i="6"/>
  <c r="AO4" i="6"/>
  <c r="AI4" i="6"/>
  <c r="AC4" i="6"/>
  <c r="B12" i="8"/>
  <c r="H12" i="8" s="1"/>
  <c r="B50" i="8"/>
  <c r="H50" i="8" s="1"/>
  <c r="G12" i="8" l="1"/>
  <c r="G34" i="10"/>
  <c r="H47" i="10"/>
  <c r="G22" i="8"/>
  <c r="G70" i="23"/>
  <c r="G80" i="23"/>
  <c r="H70" i="23"/>
  <c r="G31" i="11"/>
  <c r="H31" i="11"/>
  <c r="H74" i="1"/>
  <c r="G74" i="1"/>
  <c r="H55" i="1"/>
  <c r="G55" i="1"/>
  <c r="H35" i="1"/>
  <c r="G35" i="1"/>
  <c r="K23" i="4"/>
  <c r="K22" i="4"/>
  <c r="H15" i="1"/>
  <c r="H38" i="7"/>
  <c r="H37" i="7"/>
  <c r="H46" i="7"/>
  <c r="H55" i="7"/>
  <c r="I37" i="7"/>
  <c r="H52" i="7"/>
  <c r="H42" i="7"/>
  <c r="I48" i="7"/>
  <c r="H54" i="7"/>
  <c r="I52" i="7"/>
  <c r="H36" i="7"/>
  <c r="H50" i="7"/>
  <c r="H56" i="7"/>
  <c r="I39" i="7"/>
  <c r="H48" i="7"/>
  <c r="I42" i="7"/>
  <c r="I43" i="7"/>
  <c r="H43" i="7"/>
  <c r="H39" i="7"/>
  <c r="B20" i="4"/>
  <c r="E21" i="4"/>
  <c r="I21" i="4"/>
  <c r="R21" i="4"/>
  <c r="Q21" i="4"/>
  <c r="O21" i="4"/>
  <c r="T21" i="4"/>
  <c r="G21" i="4"/>
  <c r="N21" i="4"/>
  <c r="V21" i="4"/>
  <c r="L21" i="4"/>
  <c r="C21" i="4"/>
  <c r="H21" i="4"/>
  <c r="W21" i="4"/>
  <c r="U21" i="4"/>
  <c r="P21" i="4"/>
  <c r="D21" i="4"/>
  <c r="J21" i="4"/>
  <c r="Y21" i="4"/>
  <c r="AA21" i="4"/>
  <c r="Z21" i="4"/>
  <c r="F21" i="4"/>
  <c r="M21" i="4"/>
  <c r="S21" i="4"/>
  <c r="AB21" i="4"/>
  <c r="G10" i="23"/>
  <c r="H27" i="23"/>
  <c r="H45" i="23"/>
  <c r="G45" i="23"/>
  <c r="G27" i="23"/>
  <c r="H80" i="23"/>
  <c r="K21" i="4" l="1"/>
  <c r="B19" i="4"/>
  <c r="O20" i="4"/>
  <c r="S20" i="4"/>
  <c r="P20" i="4"/>
  <c r="AA20" i="4"/>
  <c r="T20" i="4"/>
  <c r="Q20" i="4"/>
  <c r="Z20" i="4"/>
  <c r="N20" i="4"/>
  <c r="Y20" i="4"/>
  <c r="L20" i="4"/>
  <c r="R20" i="4"/>
  <c r="V20" i="4"/>
  <c r="U20" i="4"/>
  <c r="M20" i="4"/>
  <c r="AB20" i="4"/>
  <c r="O19" i="4" l="1"/>
  <c r="AB19" i="4"/>
  <c r="R19" i="4"/>
  <c r="P19" i="4"/>
  <c r="B18" i="4"/>
  <c r="N19" i="4"/>
  <c r="AA19" i="4"/>
  <c r="T19" i="4"/>
  <c r="V19" i="4"/>
  <c r="M19" i="4"/>
  <c r="Z19" i="4"/>
  <c r="S19" i="4"/>
  <c r="U19" i="4"/>
  <c r="Y19" i="4"/>
  <c r="Q19" i="4"/>
  <c r="L19" i="4"/>
  <c r="Z18" i="4" l="1"/>
  <c r="L18" i="4"/>
  <c r="N18" i="4"/>
  <c r="B17" i="4"/>
  <c r="M18" i="4"/>
  <c r="Q18" i="4"/>
  <c r="Y18" i="4"/>
  <c r="AA18" i="4"/>
  <c r="U18" i="4"/>
  <c r="R18" i="4"/>
  <c r="P18" i="4"/>
  <c r="T18" i="4"/>
  <c r="V18" i="4"/>
  <c r="O18" i="4"/>
  <c r="S18" i="4"/>
  <c r="AB18" i="4"/>
  <c r="B16" i="4" l="1"/>
  <c r="R17" i="4"/>
  <c r="Q17" i="4"/>
  <c r="T17" i="4"/>
  <c r="AB17" i="4"/>
  <c r="O17" i="4"/>
  <c r="P17" i="4"/>
  <c r="AA17" i="4"/>
  <c r="S17" i="4"/>
  <c r="M17" i="4"/>
  <c r="Z17" i="4"/>
  <c r="N17" i="4"/>
  <c r="U17" i="4"/>
  <c r="Y17" i="4"/>
  <c r="V17" i="4"/>
  <c r="L17" i="4"/>
  <c r="B15" i="4" l="1"/>
  <c r="Y16" i="4"/>
  <c r="AB16" i="4"/>
  <c r="AA16" i="4"/>
  <c r="Z16" i="4"/>
  <c r="Y15" i="4" l="1"/>
  <c r="B14" i="4"/>
  <c r="AB15" i="4"/>
  <c r="AA15" i="4"/>
  <c r="Z15" i="4"/>
  <c r="AA14" i="4" l="1"/>
  <c r="Z14" i="4"/>
  <c r="AB14" i="4"/>
  <c r="B13" i="4"/>
  <c r="Y14" i="4"/>
  <c r="B12" i="4" l="1"/>
  <c r="B11" i="4" s="1"/>
  <c r="B10" i="4" s="1"/>
  <c r="B9" i="4" s="1"/>
  <c r="B8" i="4" s="1"/>
  <c r="B7" i="4" s="1"/>
  <c r="B6" i="4" s="1"/>
  <c r="AB13" i="4"/>
  <c r="Y13" i="4"/>
  <c r="AA13" i="4"/>
  <c r="Z13" i="4"/>
  <c r="DM345" i="2"/>
  <c r="DM346" i="2" s="1"/>
  <c r="DO346" i="2" s="1"/>
  <c r="DL13" i="2"/>
  <c r="C32" i="10" s="1"/>
  <c r="G32" i="10" s="1"/>
  <c r="B32" i="10"/>
  <c r="H32" i="10" s="1"/>
  <c r="DN345" i="2"/>
  <c r="DN346" i="2" s="1"/>
  <c r="DL14" i="2"/>
  <c r="C33" i="10" s="1"/>
  <c r="G33" i="10" s="1"/>
  <c r="B33" i="10"/>
  <c r="H33" i="10" s="1"/>
  <c r="DH345" i="2"/>
  <c r="M98" i="6" s="1"/>
  <c r="DH346" i="2"/>
  <c r="DL8" i="2"/>
  <c r="C21" i="10" s="1"/>
  <c r="G21" i="10" s="1"/>
  <c r="B21" i="10"/>
  <c r="H21" i="10" s="1"/>
  <c r="DK345" i="2"/>
  <c r="DK346" i="2"/>
  <c r="DL11" i="2"/>
  <c r="C30" i="10" s="1"/>
  <c r="G30" i="10" s="1"/>
  <c r="B30" i="10"/>
  <c r="H30" i="10" s="1"/>
  <c r="AY12" i="2"/>
  <c r="C66" i="1"/>
  <c r="BQ14" i="2"/>
  <c r="C88" i="1" s="1"/>
  <c r="AH18" i="2"/>
  <c r="C53" i="1" s="1"/>
  <c r="AH12" i="2"/>
  <c r="C47" i="1" s="1"/>
  <c r="AY18" i="2"/>
  <c r="C72" i="1" s="1"/>
  <c r="AH14" i="2"/>
  <c r="C49" i="1" s="1"/>
  <c r="BQ11" i="2"/>
  <c r="C85" i="1" s="1"/>
  <c r="AY16" i="2"/>
  <c r="C70" i="1" s="1"/>
  <c r="AH17" i="2"/>
  <c r="C52" i="1" s="1"/>
  <c r="AH8" i="2"/>
  <c r="C43" i="1" s="1"/>
  <c r="AH9" i="2"/>
  <c r="C44" i="1" s="1"/>
  <c r="E7" i="2"/>
  <c r="C8" i="1" s="1"/>
  <c r="E13" i="2"/>
  <c r="C13" i="1" s="1"/>
  <c r="E11" i="2"/>
  <c r="C11" i="1" s="1"/>
  <c r="R8" i="2"/>
  <c r="C22" i="1" s="1"/>
  <c r="R9" i="2"/>
  <c r="C23" i="1" s="1"/>
  <c r="R10" i="2"/>
  <c r="C24" i="1" s="1"/>
  <c r="R11" i="2"/>
  <c r="C25" i="1" s="1"/>
  <c r="R12" i="2"/>
  <c r="C26" i="1" s="1"/>
  <c r="R13" i="2"/>
  <c r="C27" i="1" s="1"/>
  <c r="R14" i="2"/>
  <c r="C28" i="1" s="1"/>
  <c r="R15" i="2"/>
  <c r="C29" i="1" s="1"/>
  <c r="R16" i="2"/>
  <c r="C30" i="1" s="1"/>
  <c r="R17" i="2"/>
  <c r="C31" i="1" s="1"/>
  <c r="R18" i="2"/>
  <c r="C32" i="1" s="1"/>
  <c r="R19" i="2"/>
  <c r="C33" i="1" s="1"/>
  <c r="R20" i="2"/>
  <c r="C34" i="1" s="1"/>
  <c r="AY19" i="2"/>
  <c r="C73" i="1" s="1"/>
  <c r="AH15" i="2"/>
  <c r="C50" i="1" s="1"/>
  <c r="BQ13" i="2"/>
  <c r="C87" i="1" s="1"/>
  <c r="AH7" i="2"/>
  <c r="C42" i="1" s="1"/>
  <c r="AH16" i="2"/>
  <c r="C51" i="1" s="1"/>
  <c r="BQ9" i="2"/>
  <c r="C83" i="1" s="1"/>
  <c r="AY13" i="2"/>
  <c r="C67" i="1" s="1"/>
  <c r="AY10" i="2"/>
  <c r="C64" i="1" s="1"/>
  <c r="AH19" i="2"/>
  <c r="C54" i="1" s="1"/>
  <c r="E8" i="2"/>
  <c r="C9" i="1" s="1"/>
  <c r="E9" i="2"/>
  <c r="C10" i="1" s="1"/>
  <c r="E12" i="2"/>
  <c r="C12" i="1" s="1"/>
  <c r="E14" i="2"/>
  <c r="C14" i="1" s="1"/>
  <c r="AH11" i="2"/>
  <c r="C46" i="1" s="1"/>
  <c r="AH10" i="2"/>
  <c r="C45" i="1" s="1"/>
  <c r="DL345" i="2"/>
  <c r="DL346" i="2"/>
  <c r="DL12" i="2"/>
  <c r="C31" i="10" s="1"/>
  <c r="G31" i="10" s="1"/>
  <c r="B31" i="10"/>
  <c r="H31" i="10" s="1"/>
  <c r="DJ345" i="2"/>
  <c r="DJ346" i="2"/>
  <c r="DL10" i="2"/>
  <c r="C29" i="10" s="1"/>
  <c r="G29" i="10" s="1"/>
  <c r="B29" i="10"/>
  <c r="H29" i="10" s="1"/>
  <c r="BQ12" i="2"/>
  <c r="C86" i="1" s="1"/>
  <c r="BQ10" i="2"/>
  <c r="C84" i="1" s="1"/>
  <c r="BQ8" i="2"/>
  <c r="C82" i="1" s="1"/>
  <c r="AY7" i="2"/>
  <c r="C61" i="1" s="1"/>
  <c r="AY8" i="2"/>
  <c r="C62" i="1" s="1"/>
  <c r="AY9" i="2"/>
  <c r="C63" i="1" s="1"/>
  <c r="AY11" i="2"/>
  <c r="C65" i="1" s="1"/>
  <c r="AY14" i="2"/>
  <c r="C68" i="1" s="1"/>
  <c r="AY15" i="2"/>
  <c r="C69" i="1" s="1"/>
  <c r="AY17" i="2"/>
  <c r="C71" i="1" s="1"/>
  <c r="AH13" i="2"/>
  <c r="C48" i="1" s="1"/>
  <c r="BQ7" i="2"/>
  <c r="C81" i="1" s="1"/>
  <c r="DI345" i="2"/>
  <c r="DI346" i="2"/>
  <c r="DL9" i="2"/>
  <c r="C28" i="10" s="1"/>
  <c r="G28" i="10" s="1"/>
  <c r="C25" i="4"/>
  <c r="D25" i="4"/>
  <c r="E25" i="4"/>
  <c r="G25" i="4"/>
  <c r="H25" i="4"/>
  <c r="I25" i="4"/>
  <c r="J25" i="4"/>
  <c r="R7" i="2"/>
  <c r="K340" i="2"/>
  <c r="E15" i="2"/>
  <c r="K115" i="24"/>
  <c r="K114" i="24"/>
  <c r="K116" i="24"/>
  <c r="AH20" i="2"/>
  <c r="AY20" i="2"/>
  <c r="K113" i="24"/>
  <c r="DI327" i="2"/>
  <c r="DI328" i="2" s="1"/>
  <c r="DJ327" i="2"/>
  <c r="DO327" i="2" s="1"/>
  <c r="DJ328" i="2"/>
  <c r="DJ329" i="2" s="1"/>
  <c r="DJ330" i="2" s="1"/>
  <c r="DJ331" i="2" s="1"/>
  <c r="DJ332" i="2" s="1"/>
  <c r="DJ333" i="2" s="1"/>
  <c r="DJ334" i="2" s="1"/>
  <c r="DK327" i="2"/>
  <c r="DK328" i="2" s="1"/>
  <c r="DK329" i="2" s="1"/>
  <c r="DK330" i="2" s="1"/>
  <c r="DK331" i="2" s="1"/>
  <c r="DK332" i="2" s="1"/>
  <c r="DK333" i="2" s="1"/>
  <c r="DK334" i="2" s="1"/>
  <c r="DL327" i="2"/>
  <c r="DL328" i="2"/>
  <c r="DL329" i="2" s="1"/>
  <c r="DL330" i="2" s="1"/>
  <c r="DL331" i="2" s="1"/>
  <c r="DL332" i="2" s="1"/>
  <c r="DL333" i="2" s="1"/>
  <c r="DL334" i="2" s="1"/>
  <c r="DM327" i="2"/>
  <c r="DM328" i="2" s="1"/>
  <c r="DM329" i="2" s="1"/>
  <c r="DM330" i="2" s="1"/>
  <c r="DM331" i="2" s="1"/>
  <c r="DM332" i="2" s="1"/>
  <c r="DM333" i="2" s="1"/>
  <c r="DM334" i="2" s="1"/>
  <c r="DN327" i="2"/>
  <c r="DN328" i="2"/>
  <c r="DN329" i="2" s="1"/>
  <c r="DN330" i="2" s="1"/>
  <c r="DN331" i="2" s="1"/>
  <c r="DN332" i="2" s="1"/>
  <c r="DN333" i="2" s="1"/>
  <c r="DN334" i="2" s="1"/>
  <c r="DH327" i="2"/>
  <c r="M80" i="6" s="1"/>
  <c r="DH328" i="2"/>
  <c r="K117" i="24"/>
  <c r="K339" i="2"/>
  <c r="DO345" i="2"/>
  <c r="N98" i="6" s="1"/>
  <c r="N101" i="6"/>
  <c r="N102" i="6"/>
  <c r="K39" i="31"/>
  <c r="K37" i="31"/>
  <c r="K40" i="31"/>
  <c r="K38" i="31"/>
  <c r="K36" i="31"/>
  <c r="N90" i="6"/>
  <c r="N89" i="6"/>
  <c r="L30" i="31"/>
  <c r="N88" i="6"/>
  <c r="L29" i="31"/>
  <c r="H72" i="18"/>
  <c r="M90" i="6"/>
  <c r="M89" i="6"/>
  <c r="H76" i="18"/>
  <c r="M102" i="6"/>
  <c r="L48" i="31"/>
  <c r="W25" i="4"/>
  <c r="M88" i="6"/>
  <c r="M101" i="6"/>
  <c r="L47" i="31"/>
  <c r="I53" i="31"/>
  <c r="J53" i="31"/>
  <c r="J54" i="31"/>
  <c r="N80" i="6" l="1"/>
  <c r="J36" i="31"/>
  <c r="DO328" i="2"/>
  <c r="DI329" i="2"/>
  <c r="N99" i="6"/>
  <c r="L31" i="31"/>
  <c r="M99" i="6"/>
  <c r="H75" i="18"/>
  <c r="M81" i="6"/>
  <c r="H69" i="18"/>
  <c r="DH329" i="2"/>
  <c r="B34" i="10"/>
  <c r="H34" i="10" s="1"/>
  <c r="C34" i="10"/>
  <c r="C74" i="1"/>
  <c r="C55" i="1"/>
  <c r="C35" i="1"/>
  <c r="C15" i="1"/>
  <c r="K25" i="4"/>
  <c r="DI330" i="2" l="1"/>
  <c r="DO329" i="2"/>
  <c r="M82" i="6"/>
  <c r="DH330" i="2"/>
  <c r="J55" i="31"/>
  <c r="N81" i="6"/>
  <c r="J37" i="31"/>
  <c r="DH331" i="2" l="1"/>
  <c r="M83" i="6"/>
  <c r="J56" i="31"/>
  <c r="N82" i="6"/>
  <c r="J38" i="31"/>
  <c r="DI331" i="2"/>
  <c r="DO330" i="2"/>
  <c r="N83" i="6" l="1"/>
  <c r="J39" i="31"/>
  <c r="DO331" i="2"/>
  <c r="DI332" i="2"/>
  <c r="H70" i="18"/>
  <c r="DH332" i="2"/>
  <c r="M84" i="6"/>
  <c r="J57" i="31"/>
  <c r="DO332" i="2" l="1"/>
  <c r="DI333" i="2"/>
  <c r="W24" i="4"/>
  <c r="DH333" i="2"/>
  <c r="K46" i="31"/>
  <c r="M85" i="6"/>
  <c r="J40" i="31"/>
  <c r="N84" i="6"/>
  <c r="DH334" i="2" l="1"/>
  <c r="K47" i="31"/>
  <c r="M86" i="6"/>
  <c r="DI334" i="2"/>
  <c r="DO334" i="2" s="1"/>
  <c r="DO333" i="2"/>
  <c r="K29" i="31"/>
  <c r="N85" i="6"/>
  <c r="K31" i="31" l="1"/>
  <c r="N87" i="6"/>
  <c r="K30" i="31"/>
  <c r="N86" i="6"/>
  <c r="K48" i="31"/>
  <c r="H71" i="18"/>
  <c r="M87"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<sst xmlns="http://schemas.openxmlformats.org/spreadsheetml/2006/main" count="4971" uniqueCount="1254">
  <si>
    <t>Date</t>
  </si>
  <si>
    <t>Tableau 3-1: Evolution des abattages contrôlés par espèces en nombre de têtes</t>
  </si>
  <si>
    <t>Asins</t>
  </si>
  <si>
    <t>Bovins</t>
  </si>
  <si>
    <t>Camelins</t>
  </si>
  <si>
    <t>Canins</t>
  </si>
  <si>
    <t>Caprins</t>
  </si>
  <si>
    <t>Equins</t>
  </si>
  <si>
    <t>Ovins</t>
  </si>
  <si>
    <t>Porcins</t>
  </si>
  <si>
    <t>Totale</t>
  </si>
  <si>
    <t>V-A</t>
  </si>
  <si>
    <t>Mois</t>
  </si>
  <si>
    <t>Burkina Faso</t>
  </si>
  <si>
    <t>Tableau de synthèse</t>
  </si>
  <si>
    <t>NL</t>
  </si>
  <si>
    <t>Années</t>
  </si>
  <si>
    <t>3. STATISTIQUES DE L'ELEVAGE</t>
  </si>
  <si>
    <t>Glissement</t>
  </si>
  <si>
    <t>Mens. (%)</t>
  </si>
  <si>
    <t>Annuel (%)</t>
  </si>
  <si>
    <r>
      <rPr>
        <b/>
        <u/>
        <sz val="10"/>
        <rFont val="Arial"/>
        <family val="2"/>
      </rPr>
      <t>Source:</t>
    </r>
    <r>
      <rPr>
        <sz val="10"/>
        <rFont val="Arial"/>
        <family val="2"/>
      </rPr>
      <t xml:space="preserve"> Système d'informations sur les ressources animales/DGESS/MRA</t>
    </r>
  </si>
  <si>
    <t>Tableau 3-2: Evolution des bovins abattus par région en nombre de têtes</t>
  </si>
  <si>
    <t>Boucle du Mouhoun</t>
  </si>
  <si>
    <t>Cascades</t>
  </si>
  <si>
    <t>Centre</t>
  </si>
  <si>
    <t>Centre-Est</t>
  </si>
  <si>
    <t>Centre-Nord</t>
  </si>
  <si>
    <t>Centre-Ouest</t>
  </si>
  <si>
    <t>Centre-Sud</t>
  </si>
  <si>
    <t>Est</t>
  </si>
  <si>
    <t>Hauts-Bassins</t>
  </si>
  <si>
    <t>Nord</t>
  </si>
  <si>
    <t>Plateau Central</t>
  </si>
  <si>
    <t>Sahel</t>
  </si>
  <si>
    <t>Sud-Ouest</t>
  </si>
  <si>
    <t>Série 3-1: Evolution des abattages contrôlés par espèces en nombre de têtes</t>
  </si>
  <si>
    <t>Tableau 3-3: Evolution des ovins abattus par région en nombre de têtes</t>
  </si>
  <si>
    <t>Série 3-3: Evolution des ovins abattus par région en nombre de têtes</t>
  </si>
  <si>
    <t>Tableau 3-4: Evolution des caprins abattus par région en nombre de têtes</t>
  </si>
  <si>
    <t>Série 3-4: Evolution des caprins abattus par région en nombre de têtes</t>
  </si>
  <si>
    <t>Tableau 3-5: Evolution de la production de viande par espèce en tonnes</t>
  </si>
  <si>
    <t>Série 3-5: Evolution de la production de viande par espèce en tonnes</t>
  </si>
  <si>
    <t>1. ENVIRONNEMENT INTERNATIONAL</t>
  </si>
  <si>
    <t>Tableau 1-1 : Taux de change - devises en Fcfa</t>
  </si>
  <si>
    <t>(1 devise = n monnaie nationale)</t>
  </si>
  <si>
    <t>1 dollar US            /FCFA</t>
  </si>
  <si>
    <t>1 euro                   /FCFA</t>
  </si>
  <si>
    <t>1 CHF (Suisse)      /FCFA</t>
  </si>
  <si>
    <t>1 rand                  /FCFA</t>
  </si>
  <si>
    <t>1 cédi (Ghana)       /FCFA</t>
  </si>
  <si>
    <t>Série 1-1 : Taux de change - devises en Fcfa</t>
  </si>
  <si>
    <t>1 dollar US/FCFA</t>
  </si>
  <si>
    <t>1 euro/FCFA</t>
  </si>
  <si>
    <t>1 CHF (Suisse) /FCFA</t>
  </si>
  <si>
    <t>1 rand/FCFA</t>
  </si>
  <si>
    <t>1 cédi (Ghana) /FCFA</t>
  </si>
  <si>
    <t>1 euro /FCFA</t>
  </si>
  <si>
    <t>1 CHF (Suisse)/FCFA</t>
  </si>
  <si>
    <t>Tableau 1-2 : Moyennes mensuelles des prix des matières premières</t>
  </si>
  <si>
    <t>Matières premières</t>
  </si>
  <si>
    <t>Unités</t>
  </si>
  <si>
    <t>Principales</t>
  </si>
  <si>
    <t>Coton (1)</t>
  </si>
  <si>
    <t>1000 CFA / tonne</t>
  </si>
  <si>
    <t>Or (2)</t>
  </si>
  <si>
    <t>1000 CFA / g</t>
  </si>
  <si>
    <t>Pétrole Average (3)</t>
  </si>
  <si>
    <t>1000 CFA / baril</t>
  </si>
  <si>
    <t>Pétrole Brent (4)</t>
  </si>
  <si>
    <t>Alimentaires</t>
  </si>
  <si>
    <t>Riz (5)</t>
  </si>
  <si>
    <t>Maïs (6)</t>
  </si>
  <si>
    <t>Sucre 1 (7)</t>
  </si>
  <si>
    <t>Sucre 2 (8)</t>
  </si>
  <si>
    <t>Blé (9)</t>
  </si>
  <si>
    <t>Viande de bœuf (10)</t>
  </si>
  <si>
    <t>Oléagineux</t>
  </si>
  <si>
    <t>Huile d'arachide (11)</t>
  </si>
  <si>
    <t>Boissons</t>
  </si>
  <si>
    <t>Thé (12)</t>
  </si>
  <si>
    <t>Végétaux</t>
  </si>
  <si>
    <t>Caoutchouc (13)</t>
  </si>
  <si>
    <t>Phosphate (14)</t>
  </si>
  <si>
    <t>Fer (15)</t>
  </si>
  <si>
    <t>Zinc (17)</t>
  </si>
  <si>
    <t>Coton</t>
  </si>
  <si>
    <t>Or</t>
  </si>
  <si>
    <t xml:space="preserve">Pétrole Average </t>
  </si>
  <si>
    <t xml:space="preserve">Pétrole Brent </t>
  </si>
  <si>
    <t>Riz</t>
  </si>
  <si>
    <t>Maïs</t>
  </si>
  <si>
    <t>Sucre 1</t>
  </si>
  <si>
    <t xml:space="preserve">Sucre 2 </t>
  </si>
  <si>
    <t xml:space="preserve">Blé </t>
  </si>
  <si>
    <t xml:space="preserve">Viande de bœuf </t>
  </si>
  <si>
    <t xml:space="preserve">Huile d'arachide </t>
  </si>
  <si>
    <t xml:space="preserve">Thé </t>
  </si>
  <si>
    <t xml:space="preserve">Caoutchouc </t>
  </si>
  <si>
    <t xml:space="preserve">Phosphate </t>
  </si>
  <si>
    <t xml:space="preserve">Fer </t>
  </si>
  <si>
    <t xml:space="preserve">Zinc </t>
  </si>
  <si>
    <t>(1) Indice A de Liverpool</t>
  </si>
  <si>
    <t>(9) Prix à l’importation des matières premières importées - Blé (Chicago)</t>
  </si>
  <si>
    <t>(2) Moyenne quotidienne des cotes au fixing de l’après-midi sur le marché de Londres</t>
  </si>
  <si>
    <t>(10) Prix à l’importation CAF de viandes australien et néozélandaise dans les ports de la Côte Est des Etats-Unis d’Amérique</t>
  </si>
  <si>
    <t xml:space="preserve">(3) Moyenne des cours quotidiens de trois qualités différentes : West Texas Intermediate 40° API, </t>
  </si>
  <si>
    <t>(11) Prix à l’importation CAF à Rotterdam</t>
  </si>
  <si>
    <t>Brent de mer du Nord 38° API et Dubaï Fateh 32° API</t>
  </si>
  <si>
    <t>(12) Cours relevés à Londre, tous thés</t>
  </si>
  <si>
    <t>(4) Prix au comptant du Brent du Royaume-Uni 38°API fab dans les ports du Royaume Uni</t>
  </si>
  <si>
    <t>(13) Prix d’achat à Singapour du caoutchouc importé en Europe du Nord CAF</t>
  </si>
  <si>
    <t>(5) Prix à l’exportation FAB à Bangkok du riz thaïlandais A1 spécial</t>
  </si>
  <si>
    <t>(14) Origine Maroc, à Casablanca</t>
  </si>
  <si>
    <t>(6) Prix à l’exportation FAB des Etats-Unis d’Amérique</t>
  </si>
  <si>
    <t>(15) Prix contractuel d’importation en Europe du minerai brésilien de Carajas à 67,55% de fer</t>
  </si>
  <si>
    <t>(7) Prix à l’exportation FAB des grands ports des Antilles</t>
  </si>
  <si>
    <t xml:space="preserve">(16) Prix à l'importation à Londres </t>
  </si>
  <si>
    <t>(8) Prix à l’importation en UE en provenance des ACP</t>
  </si>
  <si>
    <t>2. STATISTIQUES AGRICOLES</t>
  </si>
  <si>
    <t>Tableau 2-1: Production céréalière définitive (en tonnes)</t>
  </si>
  <si>
    <t>Moy. 5 dern. camp. (5)</t>
  </si>
  <si>
    <t>%   (1)/(2)</t>
  </si>
  <si>
    <t>%    (1)/(5)</t>
  </si>
  <si>
    <t>Mil</t>
  </si>
  <si>
    <t>Fonio</t>
  </si>
  <si>
    <t>Sorgho blanc</t>
  </si>
  <si>
    <t>Sorgho rouge</t>
  </si>
  <si>
    <t>Total</t>
  </si>
  <si>
    <r>
      <rPr>
        <b/>
        <u/>
        <sz val="10"/>
        <rFont val="Arial"/>
        <family val="2"/>
      </rPr>
      <t>Source:</t>
    </r>
    <r>
      <rPr>
        <sz val="10"/>
        <rFont val="Arial"/>
        <family val="2"/>
      </rPr>
      <t xml:space="preserve"> DSS/DGESS/MARHASA</t>
    </r>
  </si>
  <si>
    <t>Tableau 2-2: Production définitive des cultures de rente (en tonnes)</t>
  </si>
  <si>
    <t>%       (1)/(2)</t>
  </si>
  <si>
    <t>%   (1)/(5)</t>
  </si>
  <si>
    <t>Arachide</t>
  </si>
  <si>
    <t>Soja</t>
  </si>
  <si>
    <t>Sésame</t>
  </si>
  <si>
    <t>Tableau 2-3: Production définitive des autres cultures vivrières (en tonnes)</t>
  </si>
  <si>
    <t>%    (1)/(2)</t>
  </si>
  <si>
    <t>Niébé</t>
  </si>
  <si>
    <t>Vouandzou</t>
  </si>
  <si>
    <t>Igname</t>
  </si>
  <si>
    <t>Patate</t>
  </si>
  <si>
    <t>%     (1)/(2)</t>
  </si>
  <si>
    <t>*: Y compris les superficies des périmètres irrigués et des bas-fonds aménagés</t>
  </si>
  <si>
    <t xml:space="preserve"> Production céréalière définitive (en tonnes)</t>
  </si>
  <si>
    <t xml:space="preserve"> Production définitive des cultures de rente (en tonnes)</t>
  </si>
  <si>
    <t>Production définitive des autres cultures vivrières (en tonnes)</t>
  </si>
  <si>
    <t>Production céréalière définitive (en tonnes) par région</t>
  </si>
  <si>
    <t xml:space="preserve"> Superficie définitive totale (en ha) des cultures céréalières par région*</t>
  </si>
  <si>
    <t>Ensemble Céréales</t>
  </si>
  <si>
    <t>Tableau 2-6: Evolution des hauteurs de pluie annuelles dans les principales stations</t>
  </si>
  <si>
    <t>(en mm)</t>
  </si>
  <si>
    <t>Moy. 5 dern. an. (5)</t>
  </si>
  <si>
    <t>Bobo-Dioulasso</t>
  </si>
  <si>
    <t>Bogande</t>
  </si>
  <si>
    <t>Boromo</t>
  </si>
  <si>
    <t>Dédougou</t>
  </si>
  <si>
    <t>Dori</t>
  </si>
  <si>
    <t>Fada N'Gourma</t>
  </si>
  <si>
    <t>Gaoua</t>
  </si>
  <si>
    <t>Ouagadougou</t>
  </si>
  <si>
    <t>Ouahigouya</t>
  </si>
  <si>
    <t>Po</t>
  </si>
  <si>
    <t xml:space="preserve"> Evolution des hauteurs de pluie annuelles dans les principales stations</t>
  </si>
  <si>
    <t>Evolution des hauteurs de pluie (en mm)</t>
  </si>
  <si>
    <t xml:space="preserve">Tableau 5-1: Energie électrique </t>
  </si>
  <si>
    <t>Libellés</t>
  </si>
  <si>
    <t>Consommation en 1000MWh*</t>
  </si>
  <si>
    <t xml:space="preserve"> dont basse tension</t>
  </si>
  <si>
    <t xml:space="preserve"> moyenne tension</t>
  </si>
  <si>
    <t>Nombre d'abonnés à l'électricité</t>
  </si>
  <si>
    <r>
      <rPr>
        <b/>
        <u/>
        <sz val="10"/>
        <color indexed="8"/>
        <rFont val="Arial"/>
        <family val="2"/>
      </rPr>
      <t>Source:</t>
    </r>
    <r>
      <rPr>
        <sz val="10"/>
        <color indexed="8"/>
        <rFont val="Arial"/>
        <family val="2"/>
      </rPr>
      <t xml:space="preserve"> SONABEL </t>
    </r>
  </si>
  <si>
    <t>Tableau 5-2: Nombre d'abonnés à l'eau potable (abonnés actifs**, bornes fontaines)</t>
  </si>
  <si>
    <r>
      <rPr>
        <b/>
        <u/>
        <sz val="10"/>
        <rFont val="Arial"/>
        <family val="2"/>
      </rPr>
      <t>Source:</t>
    </r>
    <r>
      <rPr>
        <sz val="10"/>
        <rFont val="Arial"/>
        <family val="2"/>
      </rPr>
      <t xml:space="preserve"> ONEA</t>
    </r>
  </si>
  <si>
    <r>
      <t>Tableau 5-3: Consommation totale d'eau potable (en milliers de m</t>
    </r>
    <r>
      <rPr>
        <b/>
        <u/>
        <sz val="10"/>
        <rFont val="Calibri"/>
        <family val="2"/>
      </rPr>
      <t>³</t>
    </r>
    <r>
      <rPr>
        <b/>
        <u/>
        <sz val="10"/>
        <rFont val="Arial"/>
        <family val="2"/>
      </rPr>
      <t>)</t>
    </r>
  </si>
  <si>
    <t>Ménages</t>
  </si>
  <si>
    <t>Grandes maisons et industries</t>
  </si>
  <si>
    <t>Collectivités et communes</t>
  </si>
  <si>
    <t>Administration</t>
  </si>
  <si>
    <t>Onea</t>
  </si>
  <si>
    <t>Bornes fontaines</t>
  </si>
  <si>
    <r>
      <t>Tableau 5-4: Vente de produits pétroliers (en milliers m</t>
    </r>
    <r>
      <rPr>
        <b/>
        <u/>
        <sz val="10"/>
        <rFont val="Calibri"/>
        <family val="2"/>
      </rPr>
      <t>³</t>
    </r>
    <r>
      <rPr>
        <b/>
        <u/>
        <sz val="10"/>
        <rFont val="Arial"/>
        <family val="2"/>
      </rPr>
      <t>)</t>
    </r>
  </si>
  <si>
    <t>Super carburant</t>
  </si>
  <si>
    <t>Pétrole</t>
  </si>
  <si>
    <t>Gasoil</t>
  </si>
  <si>
    <t>Diesel distillé oil (Ddo)</t>
  </si>
  <si>
    <t>Fuel Oil</t>
  </si>
  <si>
    <t>Jet oil</t>
  </si>
  <si>
    <t>Gaz</t>
  </si>
  <si>
    <r>
      <rPr>
        <b/>
        <u/>
        <sz val="10"/>
        <rFont val="Arial"/>
        <family val="2"/>
      </rPr>
      <t>Source:</t>
    </r>
    <r>
      <rPr>
        <sz val="10"/>
        <rFont val="Arial"/>
        <family val="2"/>
      </rPr>
      <t xml:space="preserve"> SONABHY</t>
    </r>
  </si>
  <si>
    <t>* La consommation d'énergie électrique est exprimé en milliers de mégawatt-heure</t>
  </si>
  <si>
    <t>** Abonnés actifs = Ménages, Grandes maisons et industries, Collectivités et communes, Administration, Onea</t>
  </si>
  <si>
    <t>Séries Energie électrique</t>
  </si>
  <si>
    <t>Série: Evolution des bovins abattus par région en nombre de têtes</t>
  </si>
  <si>
    <t>Nombre d'abonnés</t>
  </si>
  <si>
    <t>Consommation</t>
  </si>
  <si>
    <t>Consommation d'électricité en 1000MWh*</t>
  </si>
  <si>
    <t>Nombre d'abonnés à l'eau potable (abonnés actifs**, bornes fontaines)</t>
  </si>
  <si>
    <t>Consommation totale d'eau potable (en milliers de m³)</t>
  </si>
  <si>
    <t>Totale consommation</t>
  </si>
  <si>
    <t>Nombre d'abonnés à l'eau potable</t>
  </si>
  <si>
    <t>Aller :    Burkina Faso - Côte d'Ivoire</t>
  </si>
  <si>
    <t>Retour : Côte d'Ivoire - Burkina Faso</t>
  </si>
  <si>
    <t>Intérieur Burkina Faso</t>
  </si>
  <si>
    <t>Tableau 5-6: Navigation aérienne à l'aéroport de Ouagadougou et de Bobo-Dioulasso</t>
  </si>
  <si>
    <t>Arrivées</t>
  </si>
  <si>
    <t>Départs</t>
  </si>
  <si>
    <t>Total passagers</t>
  </si>
  <si>
    <t>En transit</t>
  </si>
  <si>
    <t>Arrivées en frêt (en tonnes)</t>
  </si>
  <si>
    <t>Départs en frêt (en tonnes)</t>
  </si>
  <si>
    <t>Arrivées par la Poste (en tonnes)</t>
  </si>
  <si>
    <t>Départs par la Poste (en tonnes)</t>
  </si>
  <si>
    <t xml:space="preserve">Total frets (y c par la Poste) </t>
  </si>
  <si>
    <r>
      <t>Source :</t>
    </r>
    <r>
      <rPr>
        <b/>
        <sz val="10"/>
        <rFont val="Arial"/>
        <family val="2"/>
      </rPr>
      <t xml:space="preserve"> </t>
    </r>
    <r>
      <rPr>
        <sz val="10"/>
        <rFont val="Arial"/>
        <family val="2"/>
      </rPr>
      <t>ANAC</t>
    </r>
  </si>
  <si>
    <t>Tableau 5-7: Navigation aérienne à l'aéroport de Ouagadougou</t>
  </si>
  <si>
    <r>
      <t>Source :</t>
    </r>
    <r>
      <rPr>
        <b/>
        <sz val="10"/>
        <rFont val="Arial"/>
        <family val="2"/>
      </rPr>
      <t xml:space="preserve"> </t>
    </r>
    <r>
      <rPr>
        <sz val="10"/>
        <rFont val="Arial"/>
        <family val="2"/>
      </rPr>
      <t xml:space="preserve">ANAC </t>
    </r>
  </si>
  <si>
    <t xml:space="preserve"> Série: Trafic ferroviaire de marchandises (tonnes)</t>
  </si>
  <si>
    <t>Série: Navigation aérienne à l'aéroport de Ouagadougou et de Bobo-Dioulasso</t>
  </si>
  <si>
    <t>Série: Navigation aérienne à l'aéroport de Ouagadougou</t>
  </si>
  <si>
    <t>7. STATISTIQUES DE PRIX</t>
  </si>
  <si>
    <t>Pond.</t>
  </si>
  <si>
    <t>INDICE GLOBAL</t>
  </si>
  <si>
    <t>Produits alimentaires et boissons non alcoolisées</t>
  </si>
  <si>
    <t>Boissons alcoolisées, tabac et stupéfiants</t>
  </si>
  <si>
    <t>Articles d'habillement et chaussures</t>
  </si>
  <si>
    <t>Logement, eau, gaz, électricité et autres combustibles</t>
  </si>
  <si>
    <t>Meubles, articles de ménage et entretien courant du foyer</t>
  </si>
  <si>
    <t>Santé</t>
  </si>
  <si>
    <t>Transports</t>
  </si>
  <si>
    <t>Communication</t>
  </si>
  <si>
    <t>Loisirs et culture</t>
  </si>
  <si>
    <t>Enseignement</t>
  </si>
  <si>
    <t>Restaurants et hôtels</t>
  </si>
  <si>
    <t>Biens et services divers</t>
  </si>
  <si>
    <r>
      <rPr>
        <b/>
        <u/>
        <sz val="10"/>
        <rFont val="Arial"/>
        <family val="2"/>
      </rPr>
      <t>Source</t>
    </r>
    <r>
      <rPr>
        <b/>
        <sz val="10"/>
        <rFont val="Arial"/>
        <family val="2"/>
      </rPr>
      <t xml:space="preserve"> :</t>
    </r>
    <r>
      <rPr>
        <sz val="10"/>
        <rFont val="Arial"/>
        <family val="2"/>
      </rPr>
      <t xml:space="preserve"> INSD</t>
    </r>
  </si>
  <si>
    <t>Tableau 7-2: Indice harmonisé des prix à la consommation  des nomenclatures secondaires</t>
  </si>
  <si>
    <t xml:space="preserve"> (Base 100: année 2014)</t>
  </si>
  <si>
    <t>Importé</t>
  </si>
  <si>
    <t>local</t>
  </si>
  <si>
    <t>Energie</t>
  </si>
  <si>
    <t>Produits frais</t>
  </si>
  <si>
    <t>Hors produits frais et énergie</t>
  </si>
  <si>
    <t>Primaire</t>
  </si>
  <si>
    <t>Secondaire</t>
  </si>
  <si>
    <t>Tertiaire</t>
  </si>
  <si>
    <t>Durable</t>
  </si>
  <si>
    <t>Non durable</t>
  </si>
  <si>
    <t>Semi durable</t>
  </si>
  <si>
    <t>Service</t>
  </si>
  <si>
    <t>Tableau 7-3: Prix à la consommation des biens locaux dans la ville de Ouagadougou</t>
  </si>
  <si>
    <t>(prix moyen unitaire en FCFA)</t>
  </si>
  <si>
    <t>Céréales</t>
  </si>
  <si>
    <t>Unité</t>
  </si>
  <si>
    <t>Mil (petit mil)</t>
  </si>
  <si>
    <t>kg</t>
  </si>
  <si>
    <t>Sorgho rouge local</t>
  </si>
  <si>
    <t>Maïs blanc</t>
  </si>
  <si>
    <t>Riz local fumé</t>
  </si>
  <si>
    <t>Légumes et légumineuses</t>
  </si>
  <si>
    <t>Haricot local blanc</t>
  </si>
  <si>
    <t>Voandzou ou pois de terre</t>
  </si>
  <si>
    <t>Tomate cérise</t>
  </si>
  <si>
    <t>Oignon frais rond</t>
  </si>
  <si>
    <t>Chou vert</t>
  </si>
  <si>
    <t>Gombo frais</t>
  </si>
  <si>
    <t>Produits de l'élevage</t>
  </si>
  <si>
    <t>Viande de boeuf avec os</t>
  </si>
  <si>
    <t>Viande fraîche de mouton avec os</t>
  </si>
  <si>
    <t>Viande fraîche de chèvre avec os</t>
  </si>
  <si>
    <t>Viande fraîche de porc</t>
  </si>
  <si>
    <t>Poulet local sur pied</t>
  </si>
  <si>
    <t>Pintade sur pied</t>
  </si>
  <si>
    <t>Agroalimentaires et boissons</t>
  </si>
  <si>
    <t>Pain en baguette</t>
  </si>
  <si>
    <t>Beurre de karité</t>
  </si>
  <si>
    <t>Pâte d'arachide</t>
  </si>
  <si>
    <t>Huile de coton</t>
  </si>
  <si>
    <t>litre</t>
  </si>
  <si>
    <t>Soumbala sec</t>
  </si>
  <si>
    <t>Bière traditionnelle (dolo)</t>
  </si>
  <si>
    <t>Biens non alimentaires</t>
  </si>
  <si>
    <t>Bois de chauffe arbre de brousse</t>
  </si>
  <si>
    <t>Charbon de bois</t>
  </si>
  <si>
    <t xml:space="preserve">Série: Indice harmonisé des prix à la consommation  par fonction </t>
  </si>
  <si>
    <t>Série: Indice harmonisé des prix à la consommation  des nomenclatures secondaires</t>
  </si>
  <si>
    <t>Série: Prix à la consommation des biens locaux dans la ville de Ouagadougou</t>
  </si>
  <si>
    <t xml:space="preserve">Tableau 7-4: Prix (FCFA/Kg) moyen mensuel à la consommation du mil </t>
  </si>
  <si>
    <t>Marchés de détail*</t>
  </si>
  <si>
    <t>Banfora</t>
  </si>
  <si>
    <t>Fada</t>
  </si>
  <si>
    <t>Gayéri</t>
  </si>
  <si>
    <t>Koudougou</t>
  </si>
  <si>
    <t>Bobo-Dioulasso (Niéneta)</t>
  </si>
  <si>
    <t>Tenkodogo</t>
  </si>
  <si>
    <t>Ouagadougou (Sankaryaré)</t>
  </si>
  <si>
    <r>
      <rPr>
        <b/>
        <u/>
        <sz val="10"/>
        <rFont val="Arial"/>
        <family val="2"/>
      </rPr>
      <t>Source:</t>
    </r>
    <r>
      <rPr>
        <sz val="10"/>
        <rFont val="Arial"/>
        <family val="2"/>
      </rPr>
      <t xml:space="preserve"> SIM/SONAGESS</t>
    </r>
  </si>
  <si>
    <t xml:space="preserve">Tableau 7-5: Prix (FCFA/Kg) moyen mensuel au producteur du mil </t>
  </si>
  <si>
    <t>Marchés de collecte**</t>
  </si>
  <si>
    <t>Batié</t>
  </si>
  <si>
    <t>Faramana</t>
  </si>
  <si>
    <t>Hamélé</t>
  </si>
  <si>
    <t>Kompienga</t>
  </si>
  <si>
    <t>Manga</t>
  </si>
  <si>
    <t>Solenzo</t>
  </si>
  <si>
    <t>Tableau 7-6: Prix (FCFA/Kg) moyen mensuel à la consommation du maïs blanc</t>
  </si>
  <si>
    <t>Marchés de détail</t>
  </si>
  <si>
    <t>Yako</t>
  </si>
  <si>
    <t>Tableau 7-7: Prix (FCFA/Kg) moyen mensuel au producteur du maïs blanc</t>
  </si>
  <si>
    <t>Marchés de collecte</t>
  </si>
  <si>
    <t>* Marché de détail: marché urbain ou semi urbain dans lequel les transactions se font entre un consommateur et un commerçant</t>
  </si>
  <si>
    <t>** Marché de collecte: marché rural dans lequel les transactions se font entre un producteur et un commerçant</t>
  </si>
  <si>
    <t>Tableau 7-8: Prix (FCFA/Kg) moyen mensuel à la consommation du riz importé</t>
  </si>
  <si>
    <t>Boussé</t>
  </si>
  <si>
    <t>Diébougou</t>
  </si>
  <si>
    <t>Tougan</t>
  </si>
  <si>
    <t>Tableau 7-9: Prix (FCFA/Kg) moyen mensuel à la consommation du sorgho blanc</t>
  </si>
  <si>
    <t>Tableau 7-10: Prix (FCFA/Kg) moyen mensuel au producteur du sorgho blanc</t>
  </si>
  <si>
    <t>Tableau 7-11: Prix moyen des bœufs et taureaux (1000 CFA)</t>
  </si>
  <si>
    <t>Marchés</t>
  </si>
  <si>
    <r>
      <t xml:space="preserve">Bena </t>
    </r>
    <r>
      <rPr>
        <vertAlign val="superscript"/>
        <sz val="10"/>
        <rFont val="Arial"/>
        <family val="2"/>
      </rPr>
      <t>(1)</t>
    </r>
  </si>
  <si>
    <r>
      <t xml:space="preserve">Bobo- Abattoir </t>
    </r>
    <r>
      <rPr>
        <vertAlign val="superscript"/>
        <sz val="10"/>
        <rFont val="Arial"/>
        <family val="2"/>
      </rPr>
      <t>(3)</t>
    </r>
  </si>
  <si>
    <r>
      <t xml:space="preserve">Bobo- Colma </t>
    </r>
    <r>
      <rPr>
        <vertAlign val="superscript"/>
        <sz val="10"/>
        <rFont val="Arial"/>
        <family val="2"/>
      </rPr>
      <t>(4)</t>
    </r>
  </si>
  <si>
    <r>
      <t xml:space="preserve">Djibo </t>
    </r>
    <r>
      <rPr>
        <vertAlign val="superscript"/>
        <sz val="10"/>
        <rFont val="Arial"/>
        <family val="2"/>
      </rPr>
      <t>(2)</t>
    </r>
  </si>
  <si>
    <r>
      <t xml:space="preserve">Dori </t>
    </r>
    <r>
      <rPr>
        <vertAlign val="superscript"/>
        <sz val="10"/>
        <rFont val="Arial"/>
        <family val="2"/>
      </rPr>
      <t>(2)</t>
    </r>
  </si>
  <si>
    <r>
      <t xml:space="preserve">Fada N’gourma </t>
    </r>
    <r>
      <rPr>
        <vertAlign val="superscript"/>
        <sz val="10"/>
        <rFont val="Arial"/>
        <family val="2"/>
      </rPr>
      <t>(4)</t>
    </r>
  </si>
  <si>
    <r>
      <t xml:space="preserve">Ouaga –Abattoir </t>
    </r>
    <r>
      <rPr>
        <vertAlign val="superscript"/>
        <sz val="10"/>
        <rFont val="Arial"/>
        <family val="2"/>
      </rPr>
      <t>(3)</t>
    </r>
  </si>
  <si>
    <r>
      <rPr>
        <b/>
        <u/>
        <sz val="10"/>
        <rFont val="Arial"/>
        <family val="2"/>
      </rPr>
      <t>Source</t>
    </r>
    <r>
      <rPr>
        <sz val="10"/>
        <rFont val="Arial"/>
        <family val="2"/>
      </rPr>
      <t>: SIM Bétail/DGESS/MRAH</t>
    </r>
  </si>
  <si>
    <t>Tableau 7-12: Prix moyen des béliers (1000 CFA)</t>
  </si>
  <si>
    <r>
      <t xml:space="preserve">Ouaga- Tanghin </t>
    </r>
    <r>
      <rPr>
        <vertAlign val="superscript"/>
        <sz val="10"/>
        <rFont val="Arial"/>
        <family val="2"/>
      </rPr>
      <t>(3)</t>
    </r>
  </si>
  <si>
    <t>Tableau 7-13: Prix moyen des boucs (1000 CFA)</t>
  </si>
  <si>
    <t>Tableau 7-14: Prix moyen des chèvres (1000 CFA)</t>
  </si>
  <si>
    <t>(1) Marché de production</t>
  </si>
  <si>
    <t>(2) Marché de regroupement ou de collecte</t>
  </si>
  <si>
    <t>(3) Marché de consommation</t>
  </si>
  <si>
    <t>(4) Marché d'exportation</t>
  </si>
  <si>
    <t>Tableau 7-15: Prix des produits pétroliers importés et de gaz (en FCFA)</t>
  </si>
  <si>
    <t>Pétrole (1 litre)</t>
  </si>
  <si>
    <t>Mélange 2 temps (1 litre)</t>
  </si>
  <si>
    <t>Essence super (1 litre)</t>
  </si>
  <si>
    <t>Huile de moteur 40 (1 litre)</t>
  </si>
  <si>
    <t>Gaz-oil (1 litre)</t>
  </si>
  <si>
    <t>Chargement d'une bouteille de gaz de 12,5 kg</t>
  </si>
  <si>
    <t>Chargement d'une bouteille de gaz de 6 kg</t>
  </si>
  <si>
    <r>
      <rPr>
        <b/>
        <u/>
        <sz val="10"/>
        <rFont val="Arial"/>
        <family val="2"/>
      </rPr>
      <t>Source:</t>
    </r>
    <r>
      <rPr>
        <sz val="10"/>
        <rFont val="Arial"/>
        <family val="2"/>
      </rPr>
      <t xml:space="preserve"> INSD</t>
    </r>
  </si>
  <si>
    <t>Tableau 7-16: Tarifs d'électricité de la SONABEL (en FCFA par kWH)</t>
  </si>
  <si>
    <t>Basse tension 5/30 ampères</t>
  </si>
  <si>
    <t>de 0 à 50 kWh par mois</t>
  </si>
  <si>
    <t>de 51 à 200 kWh par mois</t>
  </si>
  <si>
    <t>plus de 200 kWh par mois</t>
  </si>
  <si>
    <t>Triphasé 10/30 ampères</t>
  </si>
  <si>
    <t>Tableau 7-17: Tarifs de l'eau de l'ONEA (en FCFA par m3)</t>
  </si>
  <si>
    <t>Tranche de 0 à 8m3</t>
  </si>
  <si>
    <t>Tranche de 9m3 à 15m3</t>
  </si>
  <si>
    <t>Tranche de 16m3 à 25m3</t>
  </si>
  <si>
    <t>tranche de plus de 25m3</t>
  </si>
  <si>
    <t>Sceau de 20 litress</t>
  </si>
  <si>
    <t>Bassine de 40 litres</t>
  </si>
  <si>
    <t xml:space="preserve">fut de 220 litres </t>
  </si>
  <si>
    <t>tarif unique par m3</t>
  </si>
  <si>
    <r>
      <rPr>
        <b/>
        <u/>
        <sz val="10"/>
        <rFont val="Arial"/>
        <family val="2"/>
      </rPr>
      <t>Source</t>
    </r>
    <r>
      <rPr>
        <b/>
        <u/>
        <sz val="8"/>
        <color indexed="8"/>
        <rFont val="Arial"/>
        <family val="2"/>
      </rPr>
      <t>:</t>
    </r>
    <r>
      <rPr>
        <sz val="8"/>
        <color indexed="8"/>
        <rFont val="Arial"/>
        <family val="2"/>
      </rPr>
      <t xml:space="preserve"> </t>
    </r>
    <r>
      <rPr>
        <sz val="10"/>
        <color indexed="8"/>
        <rFont val="Arial"/>
        <family val="2"/>
      </rPr>
      <t>ONEA</t>
    </r>
  </si>
  <si>
    <t xml:space="preserve">Série: Prix (FCFA/Kg) moyen mensuel à la consommation du mil </t>
  </si>
  <si>
    <t xml:space="preserve">Série: Prix (FCFA/Kg) moyen mensuel au producteur du mil </t>
  </si>
  <si>
    <t>Série: Prix (FCFA/Kg) moyen mensuel à la consommation du maïs blanc</t>
  </si>
  <si>
    <t>Série: Prix (FCFA/Kg) moyen mensuel au producteur du maïs blanc</t>
  </si>
  <si>
    <t>Série: Prix (FCFA/Kg) moyen mensuel à la consommation du riz importé</t>
  </si>
  <si>
    <t>Série: Prix (FCFA/Kg) moyen mensuel à la consommation du sorgho blanc</t>
  </si>
  <si>
    <t>Série: Prix (FCFA/Kg) moyen mensuel au producteur du sorgho blanc</t>
  </si>
  <si>
    <t>Bena (1)</t>
  </si>
  <si>
    <t>Bobo- Abattoir (3)</t>
  </si>
  <si>
    <t>Bobo- Colma (4)</t>
  </si>
  <si>
    <t>Djibo (2)</t>
  </si>
  <si>
    <t>Dori (2)</t>
  </si>
  <si>
    <t>Fada N’gourma (4)</t>
  </si>
  <si>
    <t>Ouaga –Abattoir (3)</t>
  </si>
  <si>
    <t>Série: Prix moyen des bœufs et taureaux (1000 CFA)</t>
  </si>
  <si>
    <t>Série: Prix moyen des béliers (1000 CFA)</t>
  </si>
  <si>
    <t>Ouaga- Tanghin (3)</t>
  </si>
  <si>
    <t>Série: Prix moyen des boucs (1000 CFA)</t>
  </si>
  <si>
    <t>Série: Prix moyen des chèvres (1000 CFA)</t>
  </si>
  <si>
    <t>Série: Prix des produits pétroliers importés et de gaz (en FCFA)</t>
  </si>
  <si>
    <t>Série: Tarifs de l'eau de l'ONEA (en FCFA par m3)</t>
  </si>
  <si>
    <t>Série: Tarifs d'électricité de la SONABEL (en FCFA par kWH)</t>
  </si>
  <si>
    <t>9. FINANCES PUBLIQUES</t>
  </si>
  <si>
    <t>Taux exéc. (%)</t>
  </si>
  <si>
    <t>1. Recettes totales et dons</t>
  </si>
  <si>
    <t>1.1.  Recettes totales</t>
  </si>
  <si>
    <t>1.1.1.  Recettes courantes</t>
  </si>
  <si>
    <t>1.1.1.1. Recettes fiscales</t>
  </si>
  <si>
    <t>Impôts sur revenus et bénéfices</t>
  </si>
  <si>
    <t>Impôt sur la main d'œuvre</t>
  </si>
  <si>
    <t>Impôt sur la propriété</t>
  </si>
  <si>
    <t>Taxes sur biens et services</t>
  </si>
  <si>
    <t>Impôts sur comm. et transact. int.</t>
  </si>
  <si>
    <t>Autres recettes fiscales</t>
  </si>
  <si>
    <t>1.1.1.2. Recettes non fiscales</t>
  </si>
  <si>
    <t>Droits et frais administratifs</t>
  </si>
  <si>
    <t>Ventes non industrielles</t>
  </si>
  <si>
    <t>Amendes et cond. pécuniaires</t>
  </si>
  <si>
    <t>Produits financiers</t>
  </si>
  <si>
    <t>Autres recettes non fiscales</t>
  </si>
  <si>
    <t>1.1.2. Recettes en capital</t>
  </si>
  <si>
    <t>1.2.  Dons extérieurs</t>
  </si>
  <si>
    <t>1.2.1.  Projets</t>
  </si>
  <si>
    <t>1.2.2.  Programmes</t>
  </si>
  <si>
    <t>2. Dépenses totales et prêts nets</t>
  </si>
  <si>
    <t>2.1.  Dépenses totales</t>
  </si>
  <si>
    <t>2.1.1.  Dépenses courantes</t>
  </si>
  <si>
    <t>2.1.1.1. Salaires</t>
  </si>
  <si>
    <t>2.1.1.2. Dépenses de fctionnt</t>
  </si>
  <si>
    <t>2.1.1.3. Intérêts dus</t>
  </si>
  <si>
    <t>sur dette intérieure</t>
  </si>
  <si>
    <t>sur dette extérieure</t>
  </si>
  <si>
    <t>2.1.1.4. Transferts courants</t>
  </si>
  <si>
    <t>dont Collectivités</t>
  </si>
  <si>
    <t>dont EPE</t>
  </si>
  <si>
    <t>dont subv prod pétroliers (sociales)</t>
  </si>
  <si>
    <t>dont subventions SONABEL</t>
  </si>
  <si>
    <t>2.1.2.  Dépenses en capital</t>
  </si>
  <si>
    <t>Investiss. sur ress. propres</t>
  </si>
  <si>
    <t>Transferts en capital et restruct.</t>
  </si>
  <si>
    <t>Investiss. sur ress. extérieures</t>
  </si>
  <si>
    <t>2.2.  Prêts nets</t>
  </si>
  <si>
    <t>3. Solde global (base eng.)</t>
  </si>
  <si>
    <t>Solde global h. dons (base eng.)</t>
  </si>
  <si>
    <t>Solde primaire</t>
  </si>
  <si>
    <t>Solde de base</t>
  </si>
  <si>
    <t xml:space="preserve">5. Solde global base caisse </t>
  </si>
  <si>
    <t>Solde global base caisse h. dons</t>
  </si>
  <si>
    <t>6. Financement</t>
  </si>
  <si>
    <t>6.1. Financement extérieur</t>
  </si>
  <si>
    <t>Décaissements</t>
  </si>
  <si>
    <t>Amortissement de la dette extérieure</t>
  </si>
  <si>
    <t xml:space="preserve">    Ajustement taux de change</t>
  </si>
  <si>
    <t>6.2. Financement intérieur</t>
  </si>
  <si>
    <t>Financement bancaire</t>
  </si>
  <si>
    <t>Secteur non bancaire</t>
  </si>
  <si>
    <t>Gap de financement</t>
  </si>
  <si>
    <r>
      <rPr>
        <b/>
        <u/>
        <sz val="10"/>
        <rFont val="Arial"/>
        <family val="2"/>
      </rPr>
      <t>Source</t>
    </r>
    <r>
      <rPr>
        <b/>
        <sz val="10"/>
        <rFont val="Arial"/>
        <family val="2"/>
      </rPr>
      <t xml:space="preserve"> :</t>
    </r>
    <r>
      <rPr>
        <sz val="10"/>
        <rFont val="Arial"/>
        <family val="2"/>
      </rPr>
      <t xml:space="preserve"> Direction générale du Trésor et de la comptabilité publique </t>
    </r>
  </si>
  <si>
    <t>Trimestre</t>
  </si>
  <si>
    <t>dont subv prods pétroliers (sociales)</t>
  </si>
  <si>
    <t>Série: Recettes et dépenses budgétaires (en milliards FCFA)</t>
  </si>
  <si>
    <t>10. STATISTIQUES MONETAIRES</t>
  </si>
  <si>
    <t>Tableau 10-1: Agrégats de monnaie - Encours en milliards FCFA</t>
  </si>
  <si>
    <t>Monnaie au sens large et ses composantes</t>
  </si>
  <si>
    <t>Circulation fiduciaire</t>
  </si>
  <si>
    <t>Dépôts transférables</t>
  </si>
  <si>
    <t>BCEAO</t>
  </si>
  <si>
    <t>Banques</t>
  </si>
  <si>
    <t>CCP et CNE</t>
  </si>
  <si>
    <t>M1</t>
  </si>
  <si>
    <t>Autres dépôts inclus dans la masse monétaire (1)</t>
  </si>
  <si>
    <t>Masse monétaire (M2)</t>
  </si>
  <si>
    <t>Contreparties de la masse monétaire</t>
  </si>
  <si>
    <t>Actifs extérieurs nets</t>
  </si>
  <si>
    <t>Créances intérieures</t>
  </si>
  <si>
    <t xml:space="preserve">    Créances nettes sur l'Administration Centrale</t>
  </si>
  <si>
    <t xml:space="preserve">        BCEAO</t>
  </si>
  <si>
    <t xml:space="preserve">        Banques</t>
  </si>
  <si>
    <t xml:space="preserve">    Créances sur les autres secteurs</t>
  </si>
  <si>
    <t>Passifs à caractère non monétaire (2)</t>
  </si>
  <si>
    <t>Autres postes nets (3)</t>
  </si>
  <si>
    <t>Total des contreparties de M2 (4)</t>
  </si>
  <si>
    <r>
      <rPr>
        <b/>
        <u/>
        <sz val="10"/>
        <color indexed="8"/>
        <rFont val="Arial"/>
        <family val="2"/>
      </rPr>
      <t>Source</t>
    </r>
    <r>
      <rPr>
        <b/>
        <sz val="10"/>
        <color indexed="8"/>
        <rFont val="Arial"/>
        <family val="2"/>
      </rPr>
      <t xml:space="preserve"> :</t>
    </r>
    <r>
      <rPr>
        <sz val="10"/>
        <color indexed="8"/>
        <rFont val="Arial"/>
        <family val="2"/>
      </rPr>
      <t xml:space="preserve"> Banque centrale des Etats de l'Afrique de l'Ouest (BCEAO)</t>
    </r>
  </si>
  <si>
    <t>(1) Dépôts à terme et comptes d'épargne à régime spécial ouverts auprès des banques, dépôts rémunérés ouverts dans livres de la Banque Centrale</t>
  </si>
  <si>
    <t>(2) Composés des actions et autres participations dans les institutions de dépôt et de leurs engagements non monétaires envers les autres secteurs.</t>
  </si>
  <si>
    <t>(3) Composé des ajustements de consolidation et de la balance nette des actifs non classifiés notamment les éléments divers et les actifs non financiers</t>
  </si>
  <si>
    <t>(4) Total des contreparties = Actifs extérieurs nets + Créances intérieures - Passifs à caractère non monétaire - Autres postes nets</t>
  </si>
  <si>
    <t>Tableau 10-2: Situation de la Banque centrale en milliards FCFA</t>
  </si>
  <si>
    <t>ACTIFS</t>
  </si>
  <si>
    <t>Créances sur les non-résidents</t>
  </si>
  <si>
    <t>Engagements envers les non-résidents</t>
  </si>
  <si>
    <t/>
  </si>
  <si>
    <t>Créances sur les autres institutions de dépôt</t>
  </si>
  <si>
    <t>Créances nettes sur l'administration centrale</t>
  </si>
  <si>
    <t>Créances sur l'administration centrale</t>
  </si>
  <si>
    <t>Engagements envers l'administration centrale</t>
  </si>
  <si>
    <t>Créances sur l'économie</t>
  </si>
  <si>
    <t>Créances sur les autres sociétés financières</t>
  </si>
  <si>
    <t>Créances sur le secteur privé</t>
  </si>
  <si>
    <t>PASSIFS</t>
  </si>
  <si>
    <t>Base monétaire</t>
  </si>
  <si>
    <t>Engagements envers les autres institutions de dépôt</t>
  </si>
  <si>
    <t>Engagements envers les autres secteurs</t>
  </si>
  <si>
    <t>Dépôts et titres autres qu'actions exclus de la base monétaire</t>
  </si>
  <si>
    <t>Dépôts exclus de la masse monétaire au sens large</t>
  </si>
  <si>
    <t>Actions et autres titres de participation</t>
  </si>
  <si>
    <t>Autres postes (net)</t>
  </si>
  <si>
    <t>Masse monétaire : M1+QM (monnaie fiduciaire en circulation+monnaie scripturale)</t>
  </si>
  <si>
    <t>Tableau 10-3: Situation des banques de dépôt en milliards FCFA</t>
  </si>
  <si>
    <t>ACTIF</t>
  </si>
  <si>
    <t>Créances sur la Banque Centrale</t>
  </si>
  <si>
    <t>Numéraire</t>
  </si>
  <si>
    <t>Dépôts</t>
  </si>
  <si>
    <t>Créances sur les administrations d'états fédérés et locales</t>
  </si>
  <si>
    <t>Créances sur les sociétés non-financières publiques</t>
  </si>
  <si>
    <t>PASSIF</t>
  </si>
  <si>
    <t>Engagements envers la banque centrale</t>
  </si>
  <si>
    <t>Dépôts transférables inclus dans la masse monétaire au sens large</t>
  </si>
  <si>
    <t>Autres dépôts inclus dans la masse monétaire au sens large</t>
  </si>
  <si>
    <t>Emprunts</t>
  </si>
  <si>
    <t>Tableau 10-5: Agrégats de monnaie - Encours en milliards FCFA (évolution trimestrielle)</t>
  </si>
  <si>
    <t>Tableau 10-6: Situation de la Banque centrale en milliards FCFA (évolution trimestrielle)</t>
  </si>
  <si>
    <t>Trim. (%)</t>
  </si>
  <si>
    <t>Tableau 10-7: Situation des banques de dépôt en milliards FCFA (évolution trimestrielle)</t>
  </si>
  <si>
    <t>Autres créances sur la banque centrale</t>
  </si>
  <si>
    <t>Titres autres qu'actions exclus de la masse monétaire au sens large</t>
  </si>
  <si>
    <t>Série: Situation de la Banque centrale en milliards FCFA</t>
  </si>
  <si>
    <t>Série: Agrégats de monnaie - Encours en milliards FCFA</t>
  </si>
  <si>
    <t>Série: Situation des banques de dépôt en milliards FCFA</t>
  </si>
  <si>
    <t xml:space="preserve">cumul </t>
  </si>
  <si>
    <t>Agrégats de monnaie - Encours en milliards FCFA</t>
  </si>
  <si>
    <t>Situation de la Banque centrale en milliards FCFA</t>
  </si>
  <si>
    <t xml:space="preserve">Trafic aérien de passagers à l'aéroport de Ouagadougou et Bobo-Dioulasso
</t>
  </si>
  <si>
    <t>Série: Navigation aérienne à l'aéroport de Bobo Dioulasso</t>
  </si>
  <si>
    <t>Tableau 5-8: Navigation aérienne à l'aéroport de Bobo-Dioulasso</t>
  </si>
  <si>
    <t>Total frets (y c par la Poste)</t>
  </si>
  <si>
    <t>IHPC</t>
  </si>
  <si>
    <t>Inflation moyenne</t>
  </si>
  <si>
    <t>Critère UEMOA</t>
  </si>
  <si>
    <t>Prix à la consommation</t>
  </si>
  <si>
    <t>Riz importé</t>
  </si>
  <si>
    <t>Prix producteur du Mil</t>
  </si>
  <si>
    <t>Prix moyen des bœufs et taureaux (1000 CFA)</t>
  </si>
  <si>
    <t>Prix moyen des béliers (1000 CFA)</t>
  </si>
  <si>
    <t xml:space="preserve"> Prix moyen des chèvres (1000 CFA)</t>
  </si>
  <si>
    <t>4. STATISTIQUES INDUSTRIELLES ET MINIERES</t>
  </si>
  <si>
    <t>Trimestres</t>
  </si>
  <si>
    <t>Sous branches / branches</t>
  </si>
  <si>
    <t>Extraction de minerais métalliques</t>
  </si>
  <si>
    <t>Fabrication de produits alimentaires et de boissons</t>
  </si>
  <si>
    <t>Fabrication des produits à base de tabac</t>
  </si>
  <si>
    <t>Fabrication de textiles</t>
  </si>
  <si>
    <t>Travail du cuir ; fabrication d'articles de voyage ; fabrication de chaussures</t>
  </si>
  <si>
    <t>Fabrication de produits chimiques</t>
  </si>
  <si>
    <t>Fabrication de verre, poteries et matériaux pour la construction</t>
  </si>
  <si>
    <t>Métallurgie ; fonderie</t>
  </si>
  <si>
    <t>Production et distribution électricité et de gaz</t>
  </si>
  <si>
    <t>Captage, traitement et distribution d'eau</t>
  </si>
  <si>
    <t>Indice global</t>
  </si>
  <si>
    <r>
      <rPr>
        <b/>
        <u/>
        <sz val="10"/>
        <rFont val="Arial"/>
        <family val="2"/>
      </rPr>
      <t>Source:</t>
    </r>
    <r>
      <rPr>
        <sz val="10"/>
        <rFont val="Arial"/>
        <family val="2"/>
      </rPr>
      <t xml:space="preserve"> INSD / IHPI</t>
    </r>
  </si>
  <si>
    <t>Tableau 4-2: Evolution trimestrielle des principales productions</t>
  </si>
  <si>
    <t>Produits</t>
  </si>
  <si>
    <t>tonne</t>
  </si>
  <si>
    <t>Coton fibre</t>
  </si>
  <si>
    <t>1000 t</t>
  </si>
  <si>
    <t>Fil coton</t>
  </si>
  <si>
    <t>Ciment</t>
  </si>
  <si>
    <r>
      <rPr>
        <b/>
        <u/>
        <sz val="10"/>
        <rFont val="Arial"/>
        <family val="2"/>
      </rPr>
      <t>Source:</t>
    </r>
    <r>
      <rPr>
        <sz val="10"/>
        <rFont val="Arial"/>
        <family val="2"/>
      </rPr>
      <t xml:space="preserve"> INSD / SPAC / SSEC</t>
    </r>
  </si>
  <si>
    <t>Tableau 4-3: Evolution trimestrielle des productions d'autres produits</t>
  </si>
  <si>
    <t>Sucre morceaux blond de 25kg</t>
  </si>
  <si>
    <t>Sucre granulé blond 50kg</t>
  </si>
  <si>
    <t>Bière</t>
  </si>
  <si>
    <t>1000 hl</t>
  </si>
  <si>
    <t>Boisson gazeuse</t>
  </si>
  <si>
    <t>Cigarettes</t>
  </si>
  <si>
    <t>Millions paquets</t>
  </si>
  <si>
    <t>Pneu</t>
  </si>
  <si>
    <t>1000 pièces</t>
  </si>
  <si>
    <t>Chambre à air</t>
  </si>
  <si>
    <t>Electricité</t>
  </si>
  <si>
    <t>Millions kwh</t>
  </si>
  <si>
    <t>Eau distribuée</t>
  </si>
  <si>
    <r>
      <t>Millions m</t>
    </r>
    <r>
      <rPr>
        <vertAlign val="superscript"/>
        <sz val="10"/>
        <rFont val="Arial"/>
        <family val="2"/>
      </rPr>
      <t>3</t>
    </r>
  </si>
  <si>
    <t xml:space="preserve">Tableau 4-4 : Soldes d'opinions des chefs d'entreprises par rapport à l'ensemble de l'économie </t>
  </si>
  <si>
    <t>(en %)</t>
  </si>
  <si>
    <t>Recettes</t>
  </si>
  <si>
    <t xml:space="preserve">Par rapport </t>
  </si>
  <si>
    <t>Production</t>
  </si>
  <si>
    <t xml:space="preserve">au trimestre </t>
  </si>
  <si>
    <t>Emploi</t>
  </si>
  <si>
    <t xml:space="preserve">correspondant </t>
  </si>
  <si>
    <t>Tarifs</t>
  </si>
  <si>
    <t>de l'année</t>
  </si>
  <si>
    <t>Salaires</t>
  </si>
  <si>
    <t>précédente</t>
  </si>
  <si>
    <t>Prix locaux</t>
  </si>
  <si>
    <t>Prix importés</t>
  </si>
  <si>
    <t>Tarifs douaniers</t>
  </si>
  <si>
    <t>précédent</t>
  </si>
  <si>
    <t>Climat des affaires ensemble</t>
  </si>
  <si>
    <t>Capacité de production</t>
  </si>
  <si>
    <t>Actuellement</t>
  </si>
  <si>
    <t>Stock matières premières</t>
  </si>
  <si>
    <t>Stock produits finis</t>
  </si>
  <si>
    <t>Trésorerie actuelle</t>
  </si>
  <si>
    <t xml:space="preserve">Pour le trimestre </t>
  </si>
  <si>
    <t>à venir</t>
  </si>
  <si>
    <t>Trésorerie</t>
  </si>
  <si>
    <t xml:space="preserve">Tableau 4-5 : Soldes d'opinions  des chefs d'entreprises de l'industrie </t>
  </si>
  <si>
    <t>Climat des affaires secteur</t>
  </si>
  <si>
    <t>Evolution trimestrielle des principales productions</t>
  </si>
  <si>
    <t>Evolution trimestrielle des productions d'autres produits</t>
  </si>
  <si>
    <t xml:space="preserve">Soldes d'opinions des chefs d'entreprises par rapport à l'ensemble de l'économie </t>
  </si>
  <si>
    <t xml:space="preserve">Soldes d'opinions  des chefs d'entreprises de l'industrie </t>
  </si>
  <si>
    <t>Par rapport au trimestre correspondant de l'année précédente</t>
  </si>
  <si>
    <t>Par rapport au trimestre précédent</t>
  </si>
  <si>
    <t>Pour le trimestre à venir</t>
  </si>
  <si>
    <t>Tableau 5-9: Parc des abonnés de téléphonie tous opérateurs</t>
  </si>
  <si>
    <t>Parc des abonnés du fixe</t>
  </si>
  <si>
    <t>Parc des abonnés du mobile</t>
  </si>
  <si>
    <t>Parc des utilisateurs de l’Internet fixe et mobile</t>
  </si>
  <si>
    <t>Nota Bene concernant ONATEL SA :</t>
  </si>
  <si>
    <t>1- Le parc actif mobile est constitué des clients prépayés, ayant émis ou reçu un appel voix (payant ou gratuit) ou ayant émis</t>
  </si>
  <si>
    <t xml:space="preserve"> un SMS ou MMS durant les trois derniers mois et des clients postpayés non résiliés;</t>
  </si>
  <si>
    <t xml:space="preserve">2- A partir de 2013, le parc fixe correspond aux clients actifs ayant émis ou reçu un appel voix ou SMS pendant les 3 </t>
  </si>
  <si>
    <t>derniers mois;</t>
  </si>
  <si>
    <t>Parc des abonnés de téléphonie tous opérateurs</t>
  </si>
  <si>
    <t>Tableau 5-10: Répartition des arrivées globales dans les lieux d'hébergement par nationalité</t>
  </si>
  <si>
    <t>Total africains</t>
  </si>
  <si>
    <t>dont Ivoiriens</t>
  </si>
  <si>
    <t xml:space="preserve">       Maliens</t>
  </si>
  <si>
    <t>Total européens</t>
  </si>
  <si>
    <t>dont Français</t>
  </si>
  <si>
    <t xml:space="preserve">       Belges</t>
  </si>
  <si>
    <t>Américains</t>
  </si>
  <si>
    <t>Reste du monde</t>
  </si>
  <si>
    <t>Burkinabès résidents à l'étranger</t>
  </si>
  <si>
    <t>Etrangers résidents au Burkina</t>
  </si>
  <si>
    <t>Burkinabès résidents au Burkina</t>
  </si>
  <si>
    <r>
      <rPr>
        <b/>
        <u/>
        <sz val="10"/>
        <rFont val="Arial"/>
        <family val="2"/>
      </rPr>
      <t xml:space="preserve">Source </t>
    </r>
    <r>
      <rPr>
        <b/>
        <sz val="10"/>
        <rFont val="Arial"/>
        <family val="2"/>
      </rPr>
      <t>:</t>
    </r>
    <r>
      <rPr>
        <sz val="10"/>
        <rFont val="Arial"/>
        <family val="2"/>
      </rPr>
      <t xml:space="preserve"> Direction générale du tourisme</t>
    </r>
  </si>
  <si>
    <t>Tableau 5-11: Répartition des arrivées dans les lieux d'hébergement par motif de voyage</t>
  </si>
  <si>
    <t>Vacances-loisirs</t>
  </si>
  <si>
    <t>Affaires et motifs professionnels</t>
  </si>
  <si>
    <t>Visite à des parents et amis</t>
  </si>
  <si>
    <t>Traitement médical</t>
  </si>
  <si>
    <t>Religion-pèlerinage</t>
  </si>
  <si>
    <t>Safari-chasse</t>
  </si>
  <si>
    <t>Autres</t>
  </si>
  <si>
    <t>Répartition des arrivées globales dans les lieux d'hébergement par nationalité</t>
  </si>
  <si>
    <t>Répartition des arrivées dans les lieux d'hébergement par motif de voyage</t>
  </si>
  <si>
    <t>6. COMMERCE EXTERIEUR</t>
  </si>
  <si>
    <t xml:space="preserve">Tableau 6-1: Evolution des exportations en valeur et en volume </t>
  </si>
  <si>
    <t>Exportations FAB (en milliards FCFA)</t>
  </si>
  <si>
    <t>Exportations (en milliers de tonnes)</t>
  </si>
  <si>
    <r>
      <t>Tableau 6-2 :</t>
    </r>
    <r>
      <rPr>
        <i/>
        <u/>
        <sz val="10"/>
        <rFont val="Arial"/>
        <family val="2"/>
      </rPr>
      <t xml:space="preserve"> </t>
    </r>
    <r>
      <rPr>
        <b/>
        <u/>
        <sz val="10"/>
        <rFont val="Arial"/>
        <family val="2"/>
      </rPr>
      <t>Evolution des importations en valeur et en volume</t>
    </r>
    <r>
      <rPr>
        <i/>
        <u/>
        <sz val="10"/>
        <rFont val="Arial"/>
        <family val="2"/>
      </rPr>
      <t xml:space="preserve"> </t>
    </r>
  </si>
  <si>
    <t>Importations CAF (en milliards FCFA)</t>
  </si>
  <si>
    <t>Importations (en milliers de tonnes)</t>
  </si>
  <si>
    <r>
      <t>Tableau 6-3 :</t>
    </r>
    <r>
      <rPr>
        <i/>
        <u/>
        <sz val="10"/>
        <rFont val="Arial"/>
        <family val="2"/>
      </rPr>
      <t xml:space="preserve"> </t>
    </r>
    <r>
      <rPr>
        <b/>
        <u/>
        <sz val="10"/>
        <rFont val="Arial"/>
        <family val="2"/>
      </rPr>
      <t>Evolution de la balance commerciale et du taux de couverture</t>
    </r>
  </si>
  <si>
    <t>Balance commerciale (en milliards FCFA)</t>
  </si>
  <si>
    <t>Taux de couverture (%)</t>
  </si>
  <si>
    <r>
      <t>Tableau 6-4 :</t>
    </r>
    <r>
      <rPr>
        <i/>
        <u/>
        <sz val="10"/>
        <rFont val="Arial"/>
        <family val="2"/>
      </rPr>
      <t xml:space="preserve"> </t>
    </r>
    <r>
      <rPr>
        <b/>
        <u/>
        <sz val="10"/>
        <rFont val="Arial"/>
        <family val="2"/>
      </rPr>
      <t>Evolution des indices synthétiques à l'exportation, base 100 en 2007</t>
    </r>
  </si>
  <si>
    <t>Indice Paasche des prix (IPP)</t>
  </si>
  <si>
    <t>Indice Laspeyres des quantités (ILQ)</t>
  </si>
  <si>
    <t>Indice des Valeurs Totales (IVT)=(IPP)*(ILQ)</t>
  </si>
  <si>
    <r>
      <t>Tableau 6-5 :</t>
    </r>
    <r>
      <rPr>
        <i/>
        <u/>
        <sz val="10"/>
        <rFont val="Arial"/>
        <family val="2"/>
      </rPr>
      <t xml:space="preserve"> </t>
    </r>
    <r>
      <rPr>
        <b/>
        <u/>
        <sz val="10"/>
        <rFont val="Arial"/>
        <family val="2"/>
      </rPr>
      <t>Evolution des indices synthétiques à l'importation, base 100 en 2007</t>
    </r>
  </si>
  <si>
    <t>Indice des valeurs totales (IVT)=(IPP)*(ILQ)</t>
  </si>
  <si>
    <r>
      <t>Tableau 6-6 :</t>
    </r>
    <r>
      <rPr>
        <i/>
        <u/>
        <sz val="10"/>
        <rFont val="Arial"/>
        <family val="2"/>
      </rPr>
      <t xml:space="preserve"> </t>
    </r>
    <r>
      <rPr>
        <b/>
        <u/>
        <sz val="10"/>
        <rFont val="Arial"/>
        <family val="2"/>
      </rPr>
      <t>Evolution d'autres indices du commerce extérieur</t>
    </r>
  </si>
  <si>
    <t>Indice des termes de l'échange</t>
  </si>
  <si>
    <t xml:space="preserve">Indice de gain à l'exportation </t>
  </si>
  <si>
    <t>Tableau 6-7: Evolution des principaux produits exportés valeur FAB (milliards de FCFA)</t>
  </si>
  <si>
    <t>Or, non monétaire (à l'exclusion des minerais et concentré d'or)</t>
  </si>
  <si>
    <t>Graines et fruits oléagineux, même concassés, servant à extraire l'huile</t>
  </si>
  <si>
    <t>Graines et fruits oléagineux, servant à extraire autres huiles fixes</t>
  </si>
  <si>
    <t>Fruits (à l'exception des fruits oléagineux), frais ou secs</t>
  </si>
  <si>
    <r>
      <t>Tableau 6-8 : Evolution des principaux produits importés valeur CAF (milliards de FCFA)</t>
    </r>
    <r>
      <rPr>
        <u/>
        <sz val="10"/>
        <rFont val="Arial"/>
        <family val="2"/>
      </rPr>
      <t xml:space="preserve"> </t>
    </r>
  </si>
  <si>
    <t>Produits raffinés du pétrole</t>
  </si>
  <si>
    <t>Engrais manufacturés</t>
  </si>
  <si>
    <t>Voitures automobiles à tous moteurs, pour le transport des marchandises</t>
  </si>
  <si>
    <t>Chaux, ciments et matériaux de construction fabriqués (excepté argile, verre)</t>
  </si>
  <si>
    <t>Appareils et matériels de génies civils et de construction, et leurs pièces</t>
  </si>
  <si>
    <r>
      <t>Tableau 6-9 :</t>
    </r>
    <r>
      <rPr>
        <i/>
        <u/>
        <sz val="10"/>
        <rFont val="Arial"/>
        <family val="2"/>
      </rPr>
      <t xml:space="preserve"> </t>
    </r>
    <r>
      <rPr>
        <b/>
        <u/>
        <sz val="10"/>
        <rFont val="Arial"/>
        <family val="2"/>
      </rPr>
      <t xml:space="preserve">Statistiques trimestrielles des exportations par pays </t>
    </r>
  </si>
  <si>
    <t xml:space="preserve">valeur Fab (milliards de FCFA) </t>
  </si>
  <si>
    <t>Suisse</t>
  </si>
  <si>
    <t>Singapour</t>
  </si>
  <si>
    <t>Cote d'Ivoire</t>
  </si>
  <si>
    <t>Afrique du sud</t>
  </si>
  <si>
    <t>France</t>
  </si>
  <si>
    <t>Ghana</t>
  </si>
  <si>
    <t>Royaume-Uni (Grande Bretagne)</t>
  </si>
  <si>
    <t>Togo</t>
  </si>
  <si>
    <t>Malaysia(malai.sabah,sarawak)</t>
  </si>
  <si>
    <t>Mali</t>
  </si>
  <si>
    <r>
      <t>Tableau 6-10 :</t>
    </r>
    <r>
      <rPr>
        <i/>
        <u/>
        <sz val="10"/>
        <color rgb="FF4F81BD"/>
        <rFont val="Arial"/>
        <family val="2"/>
      </rPr>
      <t xml:space="preserve"> </t>
    </r>
    <r>
      <rPr>
        <b/>
        <u/>
        <sz val="10"/>
        <color theme="1"/>
        <rFont val="Arial"/>
        <family val="2"/>
      </rPr>
      <t xml:space="preserve">Statistiques trimestrielles des importations par pays valeur Caf (milliards de FCFA) </t>
    </r>
  </si>
  <si>
    <t>Cote d'ivoire</t>
  </si>
  <si>
    <t>Benin</t>
  </si>
  <si>
    <t>Chine(République populaire de)</t>
  </si>
  <si>
    <t>Niger</t>
  </si>
  <si>
    <t>Inde</t>
  </si>
  <si>
    <t>Belgique,Luxembourg</t>
  </si>
  <si>
    <t>Etats-Unis d'amerique(potorico)</t>
  </si>
  <si>
    <t xml:space="preserve"> Evolution des exportations en valeur et en volume </t>
  </si>
  <si>
    <r>
      <t>Evolution des importations en valeur et en volume</t>
    </r>
    <r>
      <rPr>
        <i/>
        <u/>
        <sz val="10"/>
        <rFont val="Arial"/>
        <family val="2"/>
      </rPr>
      <t xml:space="preserve"> </t>
    </r>
  </si>
  <si>
    <t>Evolution des indices synthétiques à l'exportation, base 100 en 2007</t>
  </si>
  <si>
    <t>Evolution des indices synthétiques à l'importation, base 100 en 2007</t>
  </si>
  <si>
    <r>
      <rPr>
        <i/>
        <u/>
        <sz val="10"/>
        <rFont val="Arial"/>
        <family val="2"/>
      </rPr>
      <t xml:space="preserve"> </t>
    </r>
    <r>
      <rPr>
        <b/>
        <u/>
        <sz val="10"/>
        <rFont val="Arial"/>
        <family val="2"/>
      </rPr>
      <t>Evolution d'autres indices du commerce extérieur</t>
    </r>
  </si>
  <si>
    <t>Evolution des principaux produits exportés valeur FAB (milliards de FCFA)</t>
  </si>
  <si>
    <r>
      <t>Evolution des principaux produits importés valeur CAF (milliards de FCFA)</t>
    </r>
    <r>
      <rPr>
        <u/>
        <sz val="10"/>
        <rFont val="Arial"/>
        <family val="2"/>
      </rPr>
      <t xml:space="preserve"> </t>
    </r>
  </si>
  <si>
    <t xml:space="preserve">Statistiques trimestrielles des exportations par pays valeur Fab (milliards de FCFA) </t>
  </si>
  <si>
    <t xml:space="preserve">Statistiques trimestrielles des importations par pays valeur Caf (milliards de FCFA) </t>
  </si>
  <si>
    <t>8. EMPLOI</t>
  </si>
  <si>
    <t>Tableau 8-1 : Répartition des demandeurs d'emploi à l'ANPE selon le sexe</t>
  </si>
  <si>
    <t>Masculin</t>
  </si>
  <si>
    <t>Féminin</t>
  </si>
  <si>
    <t>Non déclarés</t>
  </si>
  <si>
    <r>
      <rPr>
        <b/>
        <u/>
        <sz val="10"/>
        <rFont val="Arial"/>
        <family val="2"/>
      </rPr>
      <t>Source:</t>
    </r>
    <r>
      <rPr>
        <sz val="10"/>
        <rFont val="Arial"/>
        <family val="2"/>
      </rPr>
      <t xml:space="preserve"> ANPE</t>
    </r>
  </si>
  <si>
    <t>Tableau 8-2 : Répartition des demandeurs d'emploi à l'ANPE selon le groupe d'âge</t>
  </si>
  <si>
    <t>Moins de 20 ans</t>
  </si>
  <si>
    <t>20 à 24 ans</t>
  </si>
  <si>
    <t>25 à 29 ans</t>
  </si>
  <si>
    <t>30 à 34 ans</t>
  </si>
  <si>
    <t>35 à 39 ans</t>
  </si>
  <si>
    <t>40 à 44 ans</t>
  </si>
  <si>
    <t>45 à 49 ans</t>
  </si>
  <si>
    <t>50 à 54 ans</t>
  </si>
  <si>
    <t>55 ans et plus</t>
  </si>
  <si>
    <t>Tableau 8-3 : Répartition des demandeurs d'emploi à l'ANPE selon le niveau d'instruction</t>
  </si>
  <si>
    <t>Illettrés</t>
  </si>
  <si>
    <t>Sans diplôme</t>
  </si>
  <si>
    <t>CEP</t>
  </si>
  <si>
    <t>CAP</t>
  </si>
  <si>
    <t>BEPC</t>
  </si>
  <si>
    <t>BEP</t>
  </si>
  <si>
    <t>BAC</t>
  </si>
  <si>
    <t>DUT/BTS</t>
  </si>
  <si>
    <t>DEUG</t>
  </si>
  <si>
    <t>Licence et plus</t>
  </si>
  <si>
    <t xml:space="preserve">Tableau 8-4 : Evolution du nombre d'entreprises et d'emplois créés mensuellement </t>
  </si>
  <si>
    <t>Nombre d'entreprises créées</t>
  </si>
  <si>
    <t>Nombre d'emplois créés</t>
  </si>
  <si>
    <t>Hommes</t>
  </si>
  <si>
    <t>Femmes</t>
  </si>
  <si>
    <r>
      <rPr>
        <b/>
        <u/>
        <sz val="10"/>
        <rFont val="Arial"/>
        <family val="2"/>
      </rPr>
      <t>Source:</t>
    </r>
    <r>
      <rPr>
        <sz val="10"/>
        <rFont val="Arial"/>
        <family val="2"/>
      </rPr>
      <t xml:space="preserve"> CNSS</t>
    </r>
  </si>
  <si>
    <t>Ensemble</t>
  </si>
  <si>
    <t>Répartition des demandeurs d'emploi à l'ANPE selon le sexe</t>
  </si>
  <si>
    <t>Répartition des demandeurs d'emploi à l'ANPE selon le groupe d'âge</t>
  </si>
  <si>
    <t>Répartition des demandeurs d'emploi à l'ANPE selon le niveau d'instruction</t>
  </si>
  <si>
    <t xml:space="preserve">Evolution du nombre d'entreprises et d'emplois créés mensuellement </t>
  </si>
  <si>
    <t>Evolution des travailleurs immatriculés à la CNSS</t>
  </si>
  <si>
    <t>Age moyen des travailleurs immatriculés à la CNSS</t>
  </si>
  <si>
    <t>Agrégats de monnaie - Encours en milliards FCFA (évolution trimestrielle)</t>
  </si>
  <si>
    <t>Situation de la Banque centrale en milliards FCFA (évolution trimestrielle)</t>
  </si>
  <si>
    <t>Situation des banques de dépôt en milliards FCFA (évolution trimestrielle)</t>
  </si>
  <si>
    <t>Tableau AN-1 : Taux de change - FCFA par Dollar des États-Unis et Cédis du Ghana</t>
  </si>
  <si>
    <t>(1 Dollar US = n FCFA)</t>
  </si>
  <si>
    <t>Janvier</t>
  </si>
  <si>
    <t>Février</t>
  </si>
  <si>
    <t>Mars</t>
  </si>
  <si>
    <t>Avril</t>
  </si>
  <si>
    <t>Mai</t>
  </si>
  <si>
    <t>Juin</t>
  </si>
  <si>
    <t>Juillet</t>
  </si>
  <si>
    <t>Août</t>
  </si>
  <si>
    <t>Septembre</t>
  </si>
  <si>
    <t>Octobre</t>
  </si>
  <si>
    <t>Novembre</t>
  </si>
  <si>
    <t>Décembre</t>
  </si>
  <si>
    <r>
      <rPr>
        <b/>
        <u/>
        <sz val="10"/>
        <rFont val="Arial"/>
        <family val="2"/>
      </rPr>
      <t>Source:</t>
    </r>
    <r>
      <rPr>
        <sz val="10"/>
        <rFont val="Arial"/>
        <family val="2"/>
      </rPr>
      <t xml:space="preserve"> INSEE/AFRISTAT</t>
    </r>
  </si>
  <si>
    <t>(1 Cédis = n FCFA)</t>
  </si>
  <si>
    <t>NB : 1 Euro = 655,957 FCFA</t>
  </si>
  <si>
    <t>Tableau AN-2 : Moyennes mensuelles des prix des matières premières</t>
  </si>
  <si>
    <r>
      <rPr>
        <b/>
        <u/>
        <sz val="10"/>
        <rFont val="Arial"/>
        <family val="2"/>
      </rPr>
      <t>Source:</t>
    </r>
    <r>
      <rPr>
        <sz val="10"/>
        <rFont val="Arial"/>
        <family val="2"/>
      </rPr>
      <t xml:space="preserve"> INSEE</t>
    </r>
  </si>
  <si>
    <t>Tableau AN-3: Production céréalière définitive (en tonne)</t>
  </si>
  <si>
    <t>Sorgho</t>
  </si>
  <si>
    <r>
      <rPr>
        <b/>
        <u/>
        <sz val="10"/>
        <rFont val="Arial"/>
        <family val="2"/>
      </rPr>
      <t>Source:</t>
    </r>
    <r>
      <rPr>
        <sz val="10"/>
        <rFont val="Arial"/>
        <family val="2"/>
      </rPr>
      <t xml:space="preserve"> Direction générale des études et des statistiques sectorielles du MARHASA</t>
    </r>
  </si>
  <si>
    <t>Tableau AN-4: Production définitive des cultures de rente (en tonne)</t>
  </si>
  <si>
    <t>Tableau AN-5: Superficie définitive totale (en ha) des cultures céréalières</t>
  </si>
  <si>
    <t>Tableau AN-6 : Evolution des abattages contrôlés par espèce</t>
  </si>
  <si>
    <r>
      <rPr>
        <b/>
        <u/>
        <sz val="10"/>
        <rFont val="Arial"/>
        <family val="2"/>
      </rPr>
      <t>Source :</t>
    </r>
    <r>
      <rPr>
        <sz val="10"/>
        <rFont val="Arial"/>
        <family val="2"/>
      </rPr>
      <t xml:space="preserve"> Direction générale des études et des statistiques sectorielles du MRA</t>
    </r>
  </si>
  <si>
    <t>Trimestre 1</t>
  </si>
  <si>
    <t>Trimestre 2</t>
  </si>
  <si>
    <t>Trimestre 3</t>
  </si>
  <si>
    <t>Trimestre 4</t>
  </si>
  <si>
    <r>
      <rPr>
        <b/>
        <u/>
        <sz val="10"/>
        <rFont val="Arial"/>
        <family val="2"/>
      </rPr>
      <t>Source :</t>
    </r>
    <r>
      <rPr>
        <sz val="10"/>
        <rFont val="Arial"/>
        <family val="2"/>
      </rPr>
      <t xml:space="preserve"> Institut national de la statistique et de la démographie</t>
    </r>
  </si>
  <si>
    <t>Or (tonne)</t>
  </si>
  <si>
    <r>
      <rPr>
        <b/>
        <u/>
        <sz val="10"/>
        <rFont val="Arial"/>
        <family val="2"/>
      </rPr>
      <t>Source:</t>
    </r>
    <r>
      <rPr>
        <sz val="10"/>
        <rFont val="Arial"/>
        <family val="2"/>
      </rPr>
      <t xml:space="preserve"> Direction générale des mines, de la géologie et des carrières (DGMGC)</t>
    </r>
  </si>
  <si>
    <t>Coton (milliers de tonnes)</t>
  </si>
  <si>
    <t>v</t>
  </si>
  <si>
    <t>ANNEXES</t>
  </si>
  <si>
    <t>(en milliards FCFA)</t>
  </si>
  <si>
    <t>Recettes totales et dons</t>
  </si>
  <si>
    <t>Recettes totales</t>
  </si>
  <si>
    <t>Recettes courantes</t>
  </si>
  <si>
    <t>Recettes fiscales</t>
  </si>
  <si>
    <t>Recettes non fiscales</t>
  </si>
  <si>
    <t>Recettes en capital</t>
  </si>
  <si>
    <t>Dons</t>
  </si>
  <si>
    <t>Projets</t>
  </si>
  <si>
    <t>Programmes</t>
  </si>
  <si>
    <t>Dépenses et prêts nets</t>
  </si>
  <si>
    <t>Dépenses totales</t>
  </si>
  <si>
    <t>Dépenses courantes</t>
  </si>
  <si>
    <t>Dépenses de fonctionnement</t>
  </si>
  <si>
    <t>Intérêts dus</t>
  </si>
  <si>
    <t>Sur dette intérieure</t>
  </si>
  <si>
    <t>Sur dette extérieure</t>
  </si>
  <si>
    <t>Transferts courants</t>
  </si>
  <si>
    <t>Dépenses en capital</t>
  </si>
  <si>
    <t>Financées sur ressources propres</t>
  </si>
  <si>
    <t>Transferts en capital et restructurations</t>
  </si>
  <si>
    <t>Financées sur ressour-ces extérieures</t>
  </si>
  <si>
    <t>Prêts nets</t>
  </si>
  <si>
    <t>Solde global (base engagement)</t>
  </si>
  <si>
    <t>Solde global hors dons (base engagement)</t>
  </si>
  <si>
    <t xml:space="preserve">Solde global base caisse </t>
  </si>
  <si>
    <t>Solde global base caisse hors dons</t>
  </si>
  <si>
    <t>Financement</t>
  </si>
  <si>
    <t>Financement extérieur</t>
  </si>
  <si>
    <t>Ajustement taux de change</t>
  </si>
  <si>
    <t>Financement intérieur</t>
  </si>
  <si>
    <r>
      <t>Source</t>
    </r>
    <r>
      <rPr>
        <sz val="10"/>
        <rFont val="Arial"/>
        <family val="2"/>
      </rPr>
      <t xml:space="preserve"> : Direction générale du trésor et de la comptabilité publique</t>
    </r>
  </si>
  <si>
    <t>Sans Diplôme</t>
  </si>
  <si>
    <t>Non Déclarés</t>
  </si>
  <si>
    <t>1: Situation  des institutions monétaires en milliards FCFA</t>
  </si>
  <si>
    <t>1: Situation  des institutions monétaires en milliards FCFA (suite)</t>
  </si>
  <si>
    <t>Produits importés</t>
  </si>
  <si>
    <t>Produits locaux</t>
  </si>
  <si>
    <t>XII- Biens et services divers</t>
  </si>
  <si>
    <t>XI- Restaurants et hôtels</t>
  </si>
  <si>
    <t>X- Enseignement</t>
  </si>
  <si>
    <t>IX-Loisirs et culture</t>
  </si>
  <si>
    <t>VIII- Communication</t>
  </si>
  <si>
    <t>VII-Transports</t>
  </si>
  <si>
    <t>VI- Santé</t>
  </si>
  <si>
    <t>V- Meubles, articles de ménage et entretien</t>
  </si>
  <si>
    <t>IV- Logement, eau, gaz, électricité et autres combustibles</t>
  </si>
  <si>
    <t>III- Articles d'habillement et chaussures</t>
  </si>
  <si>
    <t>II- Boissons alcoolisées, tabac et stupéfiants</t>
  </si>
  <si>
    <t>I- Produits alimentaires et boissons non alcoolisées</t>
  </si>
  <si>
    <t>(Base 100: année 2008)</t>
  </si>
  <si>
    <t>Série 4-1: Evolution trimestrielle de l'indice harmonisé de la production industrielle (base 100 en 2007)</t>
  </si>
  <si>
    <r>
      <rPr>
        <b/>
        <u/>
        <sz val="9"/>
        <color indexed="8"/>
        <rFont val="Arial"/>
        <family val="2"/>
      </rPr>
      <t>Source:</t>
    </r>
    <r>
      <rPr>
        <sz val="9"/>
        <color indexed="8"/>
        <rFont val="Arial"/>
        <family val="2"/>
      </rPr>
      <t xml:space="preserve"> SONABEL</t>
    </r>
  </si>
  <si>
    <t>Abonnés basse tension</t>
  </si>
  <si>
    <t>Abonnés moy. tension</t>
  </si>
  <si>
    <r>
      <rPr>
        <b/>
        <u/>
        <sz val="9"/>
        <color indexed="8"/>
        <rFont val="Arial"/>
        <family val="2"/>
      </rPr>
      <t>Source:</t>
    </r>
    <r>
      <rPr>
        <sz val="9"/>
        <color indexed="8"/>
        <rFont val="Arial"/>
        <family val="2"/>
      </rPr>
      <t xml:space="preserve"> SONABEL, *fin septembre 2014</t>
    </r>
  </si>
  <si>
    <r>
      <rPr>
        <b/>
        <u/>
        <sz val="9"/>
        <rFont val="Arial"/>
        <family val="2"/>
      </rPr>
      <t>Source:</t>
    </r>
    <r>
      <rPr>
        <sz val="9"/>
        <rFont val="Arial"/>
        <family val="2"/>
      </rPr>
      <t xml:space="preserve"> ONEA</t>
    </r>
  </si>
  <si>
    <t>Arrivées en frêt (en tonne)</t>
  </si>
  <si>
    <t>Départs en frêt (en tonne)</t>
  </si>
  <si>
    <t>Arrivées par la Poste (en tonne)</t>
  </si>
  <si>
    <r>
      <t>Source :</t>
    </r>
    <r>
      <rPr>
        <b/>
        <sz val="9"/>
        <rFont val="Arial"/>
        <family val="2"/>
      </rPr>
      <t xml:space="preserve"> </t>
    </r>
    <r>
      <rPr>
        <sz val="9"/>
        <rFont val="Arial"/>
        <family val="2"/>
      </rPr>
      <t>ANAC</t>
    </r>
  </si>
  <si>
    <r>
      <rPr>
        <b/>
        <u/>
        <sz val="9"/>
        <rFont val="Arial"/>
        <family val="2"/>
      </rPr>
      <t xml:space="preserve">Source </t>
    </r>
    <r>
      <rPr>
        <b/>
        <sz val="9"/>
        <rFont val="Arial"/>
        <family val="2"/>
      </rPr>
      <t>:</t>
    </r>
    <r>
      <rPr>
        <sz val="9"/>
        <rFont val="Arial"/>
        <family val="2"/>
      </rPr>
      <t xml:space="preserve"> Direction générale du tourisme</t>
    </r>
  </si>
  <si>
    <t>Côte d'Ivoire</t>
  </si>
  <si>
    <t>Nombre d'abonnés à l'énergie électrique au 31 décembre</t>
  </si>
  <si>
    <t>Abonnés moyenne tension</t>
  </si>
  <si>
    <r>
      <t xml:space="preserve">SOMMAIRE </t>
    </r>
    <r>
      <rPr>
        <sz val="13"/>
        <color theme="1"/>
        <rFont val="Arial"/>
        <family val="2"/>
      </rPr>
      <t>-----------------------------------------</t>
    </r>
  </si>
  <si>
    <t>AVANT PROPOS ------------------------------------------------------------------------------------------------</t>
  </si>
  <si>
    <t>SIGLES ET ABREVIATIONS ---------------------------------------------------------------------------------</t>
  </si>
  <si>
    <t>LISTE DES TABLEAUX ---------------------------------------------------------------------------------------</t>
  </si>
  <si>
    <t>1. ENVIRONNEMENT INTERNATIONAL ---------------------------------------------------------------------------</t>
  </si>
  <si>
    <t>2. STATISTIQUES AGRICOLES ---------------------------------------------------------------------------</t>
  </si>
  <si>
    <t>3. STATISTIQUES DE L'ELEVAGE ---------------------------------------------------------------------------</t>
  </si>
  <si>
    <t>4. STATISTIQUES INDUSTRIELLES ET MINIERES ----------------------------------------------------------------------</t>
  </si>
  <si>
    <t>5. STATISTIQUES DE L'ENERGIE, DES TELECOMMUNICATIONS,</t>
  </si>
  <si>
    <t xml:space="preserve">    DU TRANSPORT ET DU TOURISME ----------------------------------------------</t>
  </si>
  <si>
    <t>6. COMMERCE EXTERIEUR -------------------------------------------------------------------------------------------</t>
  </si>
  <si>
    <t>7. STATISTIQUES DE PRIX --------------------------------------------------------------------------------</t>
  </si>
  <si>
    <t>8. EMPLOI ---------------------------------------------------------------------------------------</t>
  </si>
  <si>
    <t>9. FINANCES PUBLIQUES ---------------------------------------------------------------------</t>
  </si>
  <si>
    <t>10. MONNAIE----------------------------------------------------------------------------------------</t>
  </si>
  <si>
    <t>ANNEXES ---------------------------------------------------------------------------------------------------------</t>
  </si>
  <si>
    <t>SIGLES ET ABREVIATIONS</t>
  </si>
  <si>
    <t>ANAC :</t>
  </si>
  <si>
    <t>Agence nationale de l'aviation civile (Ex DGACM)</t>
  </si>
  <si>
    <t>ANPE :</t>
  </si>
  <si>
    <t>Agence nationale pour l'emploi</t>
  </si>
  <si>
    <t>BCEAO :</t>
  </si>
  <si>
    <t>Banque centrale des Etats de l'Afrique de l'ouest</t>
  </si>
  <si>
    <t>BF :</t>
  </si>
  <si>
    <t>CI :</t>
  </si>
  <si>
    <t>CCP :</t>
  </si>
  <si>
    <t>Comptes courants postaux</t>
  </si>
  <si>
    <t>CNE :</t>
  </si>
  <si>
    <t>Caisse nationale d'épargne</t>
  </si>
  <si>
    <t>CNSS :</t>
  </si>
  <si>
    <t>Caisse nationale de sécurité sociale</t>
  </si>
  <si>
    <t>DGACM :</t>
  </si>
  <si>
    <t>Direction générale de l'aviation civile et de la météorologie</t>
  </si>
  <si>
    <t>DGMG :</t>
  </si>
  <si>
    <t>Direction générale des mines et de la géologie</t>
  </si>
  <si>
    <t>DSOFE :</t>
  </si>
  <si>
    <t>Direction du suivi des opérations financières de l'Etat</t>
  </si>
  <si>
    <t>DTS :</t>
  </si>
  <si>
    <t>Droits de tirage spéciaux</t>
  </si>
  <si>
    <t>EPE :</t>
  </si>
  <si>
    <t>Etablissement public de l'Etat</t>
  </si>
  <si>
    <t>FMI :</t>
  </si>
  <si>
    <t>Fonds monétaire international</t>
  </si>
  <si>
    <t>hl :</t>
  </si>
  <si>
    <t>Hectolitres</t>
  </si>
  <si>
    <t>IHPC :</t>
  </si>
  <si>
    <t>Indice harmonisé des prix à la consommation</t>
  </si>
  <si>
    <t>INSD :</t>
  </si>
  <si>
    <t>Institut national de la statistique et de la démographie</t>
  </si>
  <si>
    <t>kg :</t>
  </si>
  <si>
    <t>Kilogramme</t>
  </si>
  <si>
    <t>Mwh :</t>
  </si>
  <si>
    <t>Mégawatheure</t>
  </si>
  <si>
    <r>
      <t>m</t>
    </r>
    <r>
      <rPr>
        <b/>
        <vertAlign val="superscript"/>
        <sz val="11"/>
        <color indexed="8"/>
        <rFont val="Arial"/>
        <family val="2"/>
      </rPr>
      <t>3</t>
    </r>
    <r>
      <rPr>
        <b/>
        <sz val="11"/>
        <color indexed="8"/>
        <rFont val="Arial"/>
        <family val="2"/>
      </rPr>
      <t xml:space="preserve"> :</t>
    </r>
  </si>
  <si>
    <t>Mètre-cube</t>
  </si>
  <si>
    <t>ONEA :</t>
  </si>
  <si>
    <t>Office national de l'eau et de l'assainissement</t>
  </si>
  <si>
    <t>SITARAIL :</t>
  </si>
  <si>
    <t>Société internationale de transport africain par rail</t>
  </si>
  <si>
    <t>SONABEL :</t>
  </si>
  <si>
    <t>Société nationale d'électricité du Burkina</t>
  </si>
  <si>
    <t>SOPAFER-B :</t>
  </si>
  <si>
    <t>Société de gestion du patrimoine ferroviaire du Burkina</t>
  </si>
  <si>
    <t>TOFE :</t>
  </si>
  <si>
    <t>Tableau des opérations financières de l'Etat</t>
  </si>
  <si>
    <t>LISTE DES TABLEAUX</t>
  </si>
  <si>
    <t>Tableau 2-1 : Production céréalière définitive ou prévisionnelle</t>
  </si>
  <si>
    <t>Tableau 2-2 : Production définitive ou prévisionnelle des cultures de rente</t>
  </si>
  <si>
    <t>Tableau 2-3 : Production définitive ou prévisionnelle des autres cultures vivrières</t>
  </si>
  <si>
    <t>Tableau 2-4 : Production céréalière définitive ou prévisionnelle par région</t>
  </si>
  <si>
    <t>Tableau 2-5 : Superficie définitive ou prévisionnelle totale des cultures céréalières par région</t>
  </si>
  <si>
    <t>Tableau 2-6 : Evolution des hauteurs de pluie annuelle dans les principales stations</t>
  </si>
  <si>
    <t>Tableau 3-1 : Evolution des abattages contrôlés par espèces</t>
  </si>
  <si>
    <t>Tableau 3-2 : Evolution des bovins abattus par région</t>
  </si>
  <si>
    <t>Tableau 3-3 : Evolution des ovins abattus par région</t>
  </si>
  <si>
    <t>Tableau 3-4 : Evolution des caprins abattus par région</t>
  </si>
  <si>
    <t>Tableau 3-5 : Evolution de la production de viande par espèces</t>
  </si>
  <si>
    <t>Tableau 4-1 : Evolution trimestrielle de l'indice harmonisé de la production industrielle (base 100 en 2007)</t>
  </si>
  <si>
    <t>Tableau 4-2 :  Evolution trimestrielle des principales productions</t>
  </si>
  <si>
    <t>Tableau 4-3 :  Evolution trimestrielle des productions d'autres produits</t>
  </si>
  <si>
    <t xml:space="preserve">Tableau 5-1 : Energie électrique </t>
  </si>
  <si>
    <t>Tableau 5-2 : Nombre d'abonnés à l'eau potable</t>
  </si>
  <si>
    <t>Tableau 5-3 : Consommation totale d'eau potable</t>
  </si>
  <si>
    <t>Tableau 5-4 : Vente de produits pétroliers</t>
  </si>
  <si>
    <t>Tableau 5-5 : Trafic ferroviaire de marchandises</t>
  </si>
  <si>
    <t>Tableau 5-6 : Navigation aérienne à l'aéroport de Ouagadougou et de Bobo-Dioulasso</t>
  </si>
  <si>
    <t>Tableau 5-7 : Navigation aérienne à l'aéroport de Ouagadougou</t>
  </si>
  <si>
    <t>Tableau 5-8 :  Navigation aérienne à l'aéroport de Bobo-Dioulasso</t>
  </si>
  <si>
    <t>Tableau 5-9 :  Parc des abonnés tous opérateurs</t>
  </si>
  <si>
    <t>Tableau 5-10 : Répartition des arrivées globales dans les lieux d'hébergement par nationalité</t>
  </si>
  <si>
    <t>Tableau 5-11 : Répartition des arrivées dans les lieux d'hébergement par motif de voyage</t>
  </si>
  <si>
    <t xml:space="preserve">Tableau 6-1 : Evolution des exportations en valeur et en volume </t>
  </si>
  <si>
    <r>
      <t>Tableau 6-2 :</t>
    </r>
    <r>
      <rPr>
        <i/>
        <sz val="10"/>
        <color rgb="FF4F81BD"/>
        <rFont val="Arial"/>
        <family val="2"/>
      </rPr>
      <t xml:space="preserve"> </t>
    </r>
    <r>
      <rPr>
        <sz val="10"/>
        <color theme="1"/>
        <rFont val="Arial"/>
        <family val="2"/>
      </rPr>
      <t>Evolution des importations en valeur et en volume</t>
    </r>
    <r>
      <rPr>
        <i/>
        <sz val="10"/>
        <color rgb="FF4F81BD"/>
        <rFont val="Arial"/>
        <family val="2"/>
      </rPr>
      <t xml:space="preserve"> </t>
    </r>
  </si>
  <si>
    <r>
      <t>Tableau 6-3 :</t>
    </r>
    <r>
      <rPr>
        <i/>
        <sz val="10"/>
        <rFont val="Arial"/>
        <family val="2"/>
      </rPr>
      <t xml:space="preserve"> </t>
    </r>
    <r>
      <rPr>
        <sz val="10"/>
        <rFont val="Arial"/>
        <family val="2"/>
      </rPr>
      <t>Evolution de la balance commerciale et du taux de couverture</t>
    </r>
  </si>
  <si>
    <r>
      <t>Tableau 6-4 :</t>
    </r>
    <r>
      <rPr>
        <i/>
        <sz val="10"/>
        <rFont val="Arial"/>
        <family val="2"/>
      </rPr>
      <t xml:space="preserve"> </t>
    </r>
    <r>
      <rPr>
        <sz val="10"/>
        <rFont val="Arial"/>
        <family val="2"/>
      </rPr>
      <t>Evolution des indices synthétiques à l'exportation, base 100 en 2007</t>
    </r>
  </si>
  <si>
    <r>
      <t>Tableau 6-5 :</t>
    </r>
    <r>
      <rPr>
        <i/>
        <sz val="10"/>
        <rFont val="Arial"/>
        <family val="2"/>
      </rPr>
      <t xml:space="preserve"> </t>
    </r>
    <r>
      <rPr>
        <sz val="10"/>
        <rFont val="Arial"/>
        <family val="2"/>
      </rPr>
      <t>Evolution des indices synthétiques à l'importation, base 100 en 2007</t>
    </r>
  </si>
  <si>
    <r>
      <t>Tableau 6-6 :</t>
    </r>
    <r>
      <rPr>
        <i/>
        <sz val="10"/>
        <color theme="1"/>
        <rFont val="Arial"/>
        <family val="2"/>
      </rPr>
      <t xml:space="preserve"> </t>
    </r>
    <r>
      <rPr>
        <sz val="10"/>
        <color theme="1"/>
        <rFont val="Arial"/>
        <family val="2"/>
      </rPr>
      <t>Evolution d'autres indices du commerce extérieur</t>
    </r>
  </si>
  <si>
    <t xml:space="preserve">Tableau 6-7 : Evolution des principaux produits exportés valeur FAB </t>
  </si>
  <si>
    <t>Tableau 6-8 : Evolution des principaux produits importés valeur CAF</t>
  </si>
  <si>
    <r>
      <t>Tableau 6-9 :</t>
    </r>
    <r>
      <rPr>
        <i/>
        <sz val="10"/>
        <color theme="1"/>
        <rFont val="Arial"/>
        <family val="2"/>
      </rPr>
      <t xml:space="preserve"> </t>
    </r>
    <r>
      <rPr>
        <sz val="10"/>
        <color theme="1"/>
        <rFont val="Arial"/>
        <family val="2"/>
      </rPr>
      <t xml:space="preserve">Statistiques trimestrielles des exportations par pays </t>
    </r>
  </si>
  <si>
    <r>
      <t>Tableau 6-10 :</t>
    </r>
    <r>
      <rPr>
        <i/>
        <sz val="10"/>
        <color rgb="FF4F81BD"/>
        <rFont val="Arial"/>
        <family val="2"/>
      </rPr>
      <t xml:space="preserve"> </t>
    </r>
    <r>
      <rPr>
        <sz val="10"/>
        <color theme="1"/>
        <rFont val="Arial"/>
        <family val="2"/>
      </rPr>
      <t xml:space="preserve">Statistiques trimestrielles des importations par pays </t>
    </r>
  </si>
  <si>
    <t>Tableau 7-1 : Indice harmonisé des prix à la consommation  par fonction (Base 100 : année 2008)</t>
  </si>
  <si>
    <t>Tableau 7-2 : Indice harmonisé des prix à la consommation  des nomenclatures secondaires  (Base 100 : année 2008)</t>
  </si>
  <si>
    <t>Tableau 7-3 : Prix à la consommation des biens locaux dans la ville de Ouagadougou</t>
  </si>
  <si>
    <t xml:space="preserve">Tableau 7-4 : Prix moyen mensuel à la consommation du mil </t>
  </si>
  <si>
    <t xml:space="preserve">Tableau 7-5 : Prix moyen mensuel au producteur du mil </t>
  </si>
  <si>
    <t>Tableau 7-6 : Prix moyen mensuel à la consommation du maïs blanc</t>
  </si>
  <si>
    <t>Tableau 7-7 : Prix moyen mensuel au producteur du maïs blanc</t>
  </si>
  <si>
    <t>Tableau 7-8 : Prix moyen mensuel à la consommation du riz importé</t>
  </si>
  <si>
    <t>Tableau 7-9 : Prix moyen mensuel à la consommation du sorgho blanc</t>
  </si>
  <si>
    <t>Tableau 7-10 : Prix moyen mensuel au producteur du sorgho blanc</t>
  </si>
  <si>
    <t>Tableau 7-11 : Prix moyen des bœufs et taureaux</t>
  </si>
  <si>
    <t>Tableau 7-12 : Prix moyen des béliers</t>
  </si>
  <si>
    <t>Tableau 7-13 : Prix moyen des boucs</t>
  </si>
  <si>
    <t>Tableau 7-14 : Prix moyen des chèvres</t>
  </si>
  <si>
    <t>Tableau 7-15 : Prix des produits pétroliers importés et de gaz</t>
  </si>
  <si>
    <t>Tableau 7-16 : Tarifs d'électricité de la SONABEL</t>
  </si>
  <si>
    <t>Tableau 7-17 : Tarifs de l'eau de l'ONEA</t>
  </si>
  <si>
    <t>LISTE DES TABLEAUX (suite)</t>
  </si>
  <si>
    <t>Tableau 8-2 : Répartition des demandeurs d'emploi à l'ANPE selon le groupe d'age</t>
  </si>
  <si>
    <t xml:space="preserve">Tableau 9.1 : Recettes et dépenses budgétaires </t>
  </si>
  <si>
    <t xml:space="preserve">Tableau 10-1 : Situation  des institutions monétaires </t>
  </si>
  <si>
    <t>Tableau 10-2 : Situation de la Banque centrale</t>
  </si>
  <si>
    <t xml:space="preserve">Tableau 10-3 : Situation des banques de dépôt </t>
  </si>
  <si>
    <t xml:space="preserve">Tableau 10-4 : Position nette du gouvernement (PNG) </t>
  </si>
  <si>
    <t>Tableau 10-5 : Situation des institutions monétaires (évolution trimestrielle)</t>
  </si>
  <si>
    <t>Tableau 10-6 : Situation de la Banque centrale (évolution trimestrielle)</t>
  </si>
  <si>
    <t>Tableau 10-7 : Situation des banques de dépôt (évolution trimestrielle)</t>
  </si>
  <si>
    <t>Tableau 10-8 : Position nette du gouvernement (PNG) (évolution trimestrielle)</t>
  </si>
  <si>
    <t>Tableau AN-1 : Taux de change - FCFA par Dollar des États Unis et Cédis du Ghana</t>
  </si>
  <si>
    <t xml:space="preserve">Tableau AN-3 : Production céréalière définitive </t>
  </si>
  <si>
    <t xml:space="preserve">Tableau AN-4 : Production définitive des cultures de rente </t>
  </si>
  <si>
    <t>Tableau AN-5 : Superficie définitive totale des cultures céréalières</t>
  </si>
  <si>
    <t>Tableau AN-7 : Evolution de l'indice de production industrielle, base 100 en 2007</t>
  </si>
  <si>
    <t xml:space="preserve">5. STATISTIQUES DE L'ENERGIE, DES TELECOMMUNICATIONS, </t>
  </si>
  <si>
    <t>DU TRANSPORT ET DU TOURISME</t>
  </si>
  <si>
    <t>Tableau 7-1: Indice harmonisé des prix à la consommation  par fonction (Base 100: année 2014)</t>
  </si>
  <si>
    <t>---------</t>
  </si>
  <si>
    <t>Secrétariat Général</t>
  </si>
  <si>
    <t>(INSD)</t>
  </si>
  <si>
    <t xml:space="preserve">Directeur Général : </t>
  </si>
  <si>
    <t xml:space="preserve">Directeur Général Adjoint : </t>
  </si>
  <si>
    <r>
      <t>Directeur des Statistiques et des Synthèses Economiques :</t>
    </r>
    <r>
      <rPr>
        <b/>
        <sz val="11"/>
        <color theme="1"/>
        <rFont val="Arial"/>
        <family val="2"/>
      </rPr>
      <t xml:space="preserve"> </t>
    </r>
  </si>
  <si>
    <t>Barbi KABORE</t>
  </si>
  <si>
    <t xml:space="preserve">Responsable de la publication : </t>
  </si>
  <si>
    <t xml:space="preserve">Avenue Pascal ZAGRE, Ouaga 2000, 01 BP 374 Ouagadougou 01, BURKINA FASO, </t>
  </si>
  <si>
    <t xml:space="preserve">Site Web: www.insd.bf, Email: insd@insd.bf </t>
  </si>
  <si>
    <t>Bernard BERE</t>
  </si>
  <si>
    <t>Titres autres qu'actions inclus dans la masse monétaire au sens large</t>
  </si>
  <si>
    <t>Dérivés financiers</t>
  </si>
  <si>
    <t>Réserves techniques d'assurance</t>
  </si>
  <si>
    <t>V1</t>
  </si>
  <si>
    <t>V2</t>
  </si>
  <si>
    <t>V3</t>
  </si>
  <si>
    <t>V4</t>
  </si>
  <si>
    <t>V5</t>
  </si>
  <si>
    <t>V6</t>
  </si>
  <si>
    <t>V7</t>
  </si>
  <si>
    <t>V8</t>
  </si>
  <si>
    <t>Autres engagements envers autres institutions de dépôt</t>
  </si>
  <si>
    <t>Dépôts inclus dans la masse monétaire au sens large</t>
  </si>
  <si>
    <t>Boureima OUEDRAOGO</t>
  </si>
  <si>
    <r>
      <rPr>
        <b/>
        <u/>
        <sz val="9"/>
        <rFont val="Arial"/>
        <family val="2"/>
      </rPr>
      <t>Source:</t>
    </r>
    <r>
      <rPr>
        <sz val="9"/>
        <rFont val="Arial"/>
        <family val="2"/>
      </rPr>
      <t xml:space="preserve"> (World Bank Commodity Price Data) - Cours en CFA calculés à partir du taux de change Dollar - Euro en vigueur.</t>
    </r>
  </si>
  <si>
    <t>Tableau 3-1: Evolution des abattages contrôlés par espèce en nombre de têtes</t>
  </si>
  <si>
    <t>Burkinabè résidents au Burkina</t>
  </si>
  <si>
    <t>Gaz(m3)</t>
  </si>
  <si>
    <t>Burkinabès résidents
 à l'étranger</t>
  </si>
  <si>
    <t>Etrangers résidents 
au Burkina</t>
  </si>
  <si>
    <t>Burkinabès résidents 
au Burkina</t>
  </si>
  <si>
    <t>Chargement d'une bouteille
 de gaz de 12,5 kg</t>
  </si>
  <si>
    <t>Chargement d'une bouteille
 de gaz de 6 kg</t>
  </si>
  <si>
    <t>3e trimestre 2019</t>
  </si>
  <si>
    <t xml:space="preserve"> </t>
  </si>
  <si>
    <t>0r</t>
  </si>
  <si>
    <t>Départs par la Poste
 (en tonne)</t>
  </si>
  <si>
    <t>Arrivées par la Poste
 (en tonne)</t>
  </si>
  <si>
    <t>Nombre d'abonnés
 (abonnés actifs; bornes fontaines)</t>
  </si>
  <si>
    <t>4e trimestre 2019</t>
  </si>
  <si>
    <t>Tableau 1-2 : Moyennes mensuelles des prix des matières premières en dollar ($)</t>
  </si>
  <si>
    <t>($/kg)</t>
  </si>
  <si>
    <t>($/troy oz)</t>
  </si>
  <si>
    <t>($/bbl)</t>
  </si>
  <si>
    <t>($/mt)</t>
  </si>
  <si>
    <t>($/dmtu)</t>
  </si>
  <si>
    <t>($/tonne)</t>
  </si>
  <si>
    <t xml:space="preserve">Tableau 1-2 : Moyennes mensuelles des prix des matières premières en France CFA </t>
  </si>
  <si>
    <t>Source: Banque de France</t>
  </si>
  <si>
    <t>Or ($/once)</t>
  </si>
  <si>
    <t>17 941</t>
  </si>
  <si>
    <t>12 148</t>
  </si>
  <si>
    <t>2 281</t>
  </si>
  <si>
    <t>9 926</t>
  </si>
  <si>
    <t>5 696</t>
  </si>
  <si>
    <t>1 587</t>
  </si>
  <si>
    <t>2 201</t>
  </si>
  <si>
    <t>1 676</t>
  </si>
  <si>
    <t>1 291</t>
  </si>
  <si>
    <t>102 294</t>
  </si>
  <si>
    <t>136 916</t>
  </si>
  <si>
    <t>15 602</t>
  </si>
  <si>
    <t>86 815</t>
  </si>
  <si>
    <t>16 696</t>
  </si>
  <si>
    <t>1 194</t>
  </si>
  <si>
    <t>1 160</t>
  </si>
  <si>
    <t>14 629</t>
  </si>
  <si>
    <t>Source ANPE</t>
  </si>
  <si>
    <t>CEFORE</t>
  </si>
  <si>
    <t>ANPE</t>
  </si>
  <si>
    <t xml:space="preserve">Tableau 8-5 : Evolution du nombre d'entreprises et d'emplois créés mensuellement </t>
  </si>
  <si>
    <t>Tableau 8-7 : Age moyen des travailleurs immatriculés à la CNSS</t>
  </si>
  <si>
    <t>CEFORE:</t>
  </si>
  <si>
    <t>Tableau 8-4 : Evolution du nombre d'entreprises et d'emplois créés mensuellement (ANPE)</t>
  </si>
  <si>
    <t>Tableau 8-5 : Evolution du nombre d'entreprises et d'emplois créés mensuellement (CEFORE)</t>
  </si>
  <si>
    <t>Tableau 8-6 : Evolution des travailleurs immatriculés à la CNSS</t>
  </si>
  <si>
    <t>Sceau de 20 litres</t>
  </si>
  <si>
    <t>Source: (World Bank Commodity Price Data) - Cours en CFA calculés à partir du taux de change Dollar - Euro en vigueur.</t>
  </si>
  <si>
    <t>Covid</t>
  </si>
  <si>
    <t>Source: MEBF</t>
  </si>
  <si>
    <t>Nombre d'entreprises fermées</t>
  </si>
  <si>
    <t>Centre de Formalite des entreprises</t>
  </si>
  <si>
    <t>Tableau 9.1: Recettes et dépenses budgétaires (en milliards FCFA)</t>
  </si>
  <si>
    <t>Tableau 2-4: Production céréalière (en tonnes) par région</t>
  </si>
  <si>
    <t>Tableau 2-5: Superficie totale (en ha) des cultures céréalières par région*</t>
  </si>
  <si>
    <r>
      <rPr>
        <b/>
        <u/>
        <sz val="10"/>
        <rFont val="Arial"/>
        <family val="2"/>
      </rPr>
      <t>Source:</t>
    </r>
    <r>
      <rPr>
        <sz val="10"/>
        <rFont val="Arial"/>
        <family val="2"/>
      </rPr>
      <t xml:space="preserve"> INSD/DSCVM</t>
    </r>
  </si>
  <si>
    <t>Germain GOUBA</t>
  </si>
  <si>
    <t>Source: Direction de la météorologie / Ministère des infrastructures, du désenclavement et des transports</t>
  </si>
  <si>
    <t>source sonabel</t>
  </si>
  <si>
    <t>ministere des mines</t>
  </si>
  <si>
    <t>Trimestriel(%)</t>
  </si>
  <si>
    <t xml:space="preserve">Source : ARCEP </t>
  </si>
  <si>
    <t>Poids Brut(TMH)</t>
  </si>
  <si>
    <t>Poids Valorisable(TMS)</t>
  </si>
  <si>
    <t>Prix/tonne(FCFA)</t>
  </si>
  <si>
    <t>EGRENAGE DU COTON</t>
  </si>
  <si>
    <t>INDUSTRIES EXTRACTIVES</t>
  </si>
  <si>
    <t>INDUSTRIES MANUFACTURIÈRES</t>
  </si>
  <si>
    <t>INDUSTRIES DE PRODUCTION ET DE DISTRIBUTION D’ÉLECTRICITÉ, DE GAZ ET D’EAU</t>
  </si>
  <si>
    <t>EXTRACTION DE MINERAIS MÉTALLIQUES</t>
  </si>
  <si>
    <t>ACTIVITÉS DE SOUTIEN AUX INDUSTRIES EXTRACTIVES</t>
  </si>
  <si>
    <t>FABRICATION DE PRODUITS ALIMENTAIRES</t>
  </si>
  <si>
    <t>FABRICATION DE BOISSONS</t>
  </si>
  <si>
    <t>FABRICATION DE PRODUITS A BASE DE TABAC</t>
  </si>
  <si>
    <t>ACTIVITES DE FABRICATION DE TEXTILES</t>
  </si>
  <si>
    <t>FABRICATION D'ARTICLES D'HABILLEMENT</t>
  </si>
  <si>
    <t>TRAVAIL DU CUIR ; FABRICATION D'ARTICLES DE VOYAGE ET DE CHAUSSURES</t>
  </si>
  <si>
    <t>TRAVAIL DU BOIS ET FABRICATION D'ARTICLES EN BOIS HORS MEUBLES</t>
  </si>
  <si>
    <t>FABRICATION DU PAPIER ET DU CARTON</t>
  </si>
  <si>
    <t>IMPRIMERIE ET REPRODUCTION D'ENREGISTREMENTS</t>
  </si>
  <si>
    <t>FABRICATION DE PRODUITS CHIMIQUES</t>
  </si>
  <si>
    <t>TRAVAIL DU CAOUTCHOUC ET DU PLASTIQUE</t>
  </si>
  <si>
    <t>FABRICATION DE MATERIAUX MINERAUX</t>
  </si>
  <si>
    <t>MÉTALLURGIE</t>
  </si>
  <si>
    <t>FABRICATION D'OUVRAGES EN MÉTAUX</t>
  </si>
  <si>
    <t>FABRICATION D'EQUIPEMENTS ELECTRIQUES</t>
  </si>
  <si>
    <t>FABRICATION DE MEUBLES ET MATELAS</t>
  </si>
  <si>
    <t>AUTRES INDUSTRIES MANUFACTURIERES</t>
  </si>
  <si>
    <t>PRODUCTION ET DISTRIBUTION D'ÉLECTRICITÉ ET DE GAZ</t>
  </si>
  <si>
    <t>CAPTAGE, TRAITEMENT ET DISTRIBUTION D'EAU</t>
  </si>
  <si>
    <t>ENSEMBLE</t>
  </si>
  <si>
    <t>Industries extractives</t>
  </si>
  <si>
    <t>Activites de fabrication de textile</t>
  </si>
  <si>
    <t>Production et distribution électricité, de gaz et de l'eau</t>
  </si>
  <si>
    <t>Tableau 4-1: Evolution trimestrielle de l'indice harmonisé de la production industrielle (base 100 en 2015)</t>
  </si>
  <si>
    <t>Source: INSD/SSEC</t>
  </si>
  <si>
    <t>Source MEBF</t>
  </si>
  <si>
    <t>112,47</t>
  </si>
  <si>
    <t>,</t>
  </si>
  <si>
    <t xml:space="preserve">Institut National de la Statistique et de la Démographie </t>
  </si>
  <si>
    <t xml:space="preserve">Chef de Service de la Prévision et de l’Analyse de Conjoncture : </t>
  </si>
  <si>
    <r>
      <t xml:space="preserve">Distribution : </t>
    </r>
    <r>
      <rPr>
        <sz val="11"/>
        <color theme="1"/>
        <rFont val="Arial"/>
        <family val="2"/>
      </rPr>
      <t>Direction de l’Informatique et du Management de l’Information Statistique</t>
    </r>
  </si>
  <si>
    <t xml:space="preserve">Pour toute information, s’adresser au Service de la Prévision et de l’Analyse de Conjoncture  </t>
  </si>
  <si>
    <t>MINISTERE DE L’ECONOMIE, DES FINANCES ET DE LA PROSPECTIVE</t>
  </si>
  <si>
    <t>Tableau AN-8: Evolution de la production de coton fibre (millier de tonnes)</t>
  </si>
  <si>
    <t>Tableau AN-9: Evolution de la production d'or (tonne)</t>
  </si>
  <si>
    <t>Tableau AN-10: Evolution de la production de zinc (tonne)</t>
  </si>
  <si>
    <t>Tableau AN-11: Evolution de l'indice de production industrielle selon les branches (Base 2007)</t>
  </si>
  <si>
    <t>Tableau AN-12: Evolution de l'indice de production industrielle selon les branches (Base 2015)</t>
  </si>
  <si>
    <t xml:space="preserve">Tableau AN-13 : Indice harmonisé des prix à la consommation  par fonction </t>
  </si>
  <si>
    <t xml:space="preserve">Tableau AN-14: Indice harmonisé des prix à la consommation des nomenclatures </t>
  </si>
  <si>
    <t>Tableau AN-15: Evolution de la consommation d'énergie électrique (en 1000 MWh)</t>
  </si>
  <si>
    <t>Tableau AN-16: Nombre d'abonnés à l'énergie électrique au 31 décembre</t>
  </si>
  <si>
    <r>
      <t>Tableau AN-17: Consommation totale d'eau potable (en milliers de m</t>
    </r>
    <r>
      <rPr>
        <b/>
        <u/>
        <sz val="9"/>
        <rFont val="Calibri"/>
        <family val="2"/>
      </rPr>
      <t>³)</t>
    </r>
  </si>
  <si>
    <t>Tableau AN-18: Nombre d'abonnés à l'eau potable (actifs; bornes fontaines)</t>
  </si>
  <si>
    <t>Tableau AN-19: Navigation aérienne à l'aéroport de Ouagadougou et de Bobo-Dioulasso</t>
  </si>
  <si>
    <t>Tableau AN-20: Navigation aérienne à l'aéroport de Ouagadougou</t>
  </si>
  <si>
    <t>Tableau AN-21: Répartition des arrivées dans les lieux d'hébergement par motif de voyage</t>
  </si>
  <si>
    <t xml:space="preserve">Tableau AN-22: Evolution du nombre d'entreprises créées </t>
  </si>
  <si>
    <t>Tableau AN-23: Evolution des travailleurs immatriculés à la CNSS</t>
  </si>
  <si>
    <t>Tableau AN-24: Répartition des demandeurs d'emploi à l'ANPE selon le sexe</t>
  </si>
  <si>
    <t>Tableau AN-25: Répartition des demandeurs d'emploi à l'ANPE selon le niveau d'instruction</t>
  </si>
  <si>
    <t xml:space="preserve">Tableau AN-26: Tableau des opérations financières de l'Etat (réalisations y compris PPTE) </t>
  </si>
  <si>
    <t>Tableau AN-27: Situation des institutions monétaires (en milliards FCFA)</t>
  </si>
  <si>
    <t>Tableau AN-8 :  Evolution de la production de coton fibre (millier de tonnes)</t>
  </si>
  <si>
    <t>Tableau AN-9 : Evolution de la production d'or (tonne)</t>
  </si>
  <si>
    <t>Tableau AN-10 : Evolution de la production de zinc (tonne)</t>
  </si>
  <si>
    <t>Tableau AN-11 : Evolution de l'indice de production industrielle selon les branches (Base 2007)</t>
  </si>
  <si>
    <t>Tableau AN-12 : Evolution de l'indice de production industrielle selon les branches (Base 2015)</t>
  </si>
  <si>
    <t>Tableau AN-13 :Indice harmonisé des prix à la consommation  par fonction (Base 100: année 2008)</t>
  </si>
  <si>
    <t xml:space="preserve">Tableau AN-14 : Indice harmonisé des prix à la consommation des nomenclatures </t>
  </si>
  <si>
    <t>Tableau AN-15 : Evolution de la consommation d'énergie électrique (en 1000 MWh)</t>
  </si>
  <si>
    <t>Tableau AN-16 :  Nombre d'abonnés à l'énergie électrique au 31 décembre</t>
  </si>
  <si>
    <t>Tableau AN-17 :  Consommation totale d'eau potable (en milliers de m³)</t>
  </si>
  <si>
    <t>Tableau AN-18 : Nombre d'abonnés à l'eau potable (actifs; bornes fontaines)</t>
  </si>
  <si>
    <t>Tableau AN-19 : Navigation aérienne à l'aéroport de Ouagadougou et de Bobo-Dioulasso</t>
  </si>
  <si>
    <t>Tableau AN-20 : Navigation aérienne à l'aéroport de Ouagadougou</t>
  </si>
  <si>
    <r>
      <t>Tableau AN-21 :</t>
    </r>
    <r>
      <rPr>
        <i/>
        <sz val="10"/>
        <color rgb="FF4F81BD"/>
        <rFont val="Arial"/>
        <family val="2"/>
      </rPr>
      <t xml:space="preserve"> </t>
    </r>
    <r>
      <rPr>
        <sz val="10"/>
        <color theme="1"/>
        <rFont val="Arial"/>
        <family val="2"/>
      </rPr>
      <t xml:space="preserve"> Répartition des arrivées dans les lieux d'hébergement par motif de voyage</t>
    </r>
  </si>
  <si>
    <t>Tableau AN-22 : Evolution du nombre d'entreprises créées</t>
  </si>
  <si>
    <t>Tableau AN-23 : Evolution des travailleurs immatriculés à la CNSS</t>
  </si>
  <si>
    <t>Tableau AN-24 : Répartition des demandeurs d'emploi à l'ANPE selon le sexe</t>
  </si>
  <si>
    <r>
      <t>Tableau AN-25 :</t>
    </r>
    <r>
      <rPr>
        <i/>
        <sz val="10"/>
        <rFont val="Arial"/>
        <family val="2"/>
      </rPr>
      <t xml:space="preserve"> </t>
    </r>
    <r>
      <rPr>
        <sz val="10"/>
        <rFont val="Arial"/>
        <family val="2"/>
      </rPr>
      <t>Répartition des demandeurs d'emploi à l'ANPE selon le niveau d'instruction</t>
    </r>
  </si>
  <si>
    <t>Tableau AN-26 : Tableau des opérations financières de l'Etat (réalisations y compris PPTE) (en milliards FCFA)</t>
  </si>
  <si>
    <t>Tableau AN-27 :Situation des institutions monétaires (en milliards FCFA)</t>
  </si>
  <si>
    <t>-</t>
  </si>
  <si>
    <t>Tableau 5-4: Vente de produits pétroliers (en millier de mètre cube)</t>
  </si>
  <si>
    <t>Trim(%)</t>
  </si>
  <si>
    <t>Prév. 2023</t>
  </si>
  <si>
    <t>3T2023</t>
  </si>
  <si>
    <t>4T2022</t>
  </si>
  <si>
    <t>1T2023</t>
  </si>
  <si>
    <t>2T2023</t>
  </si>
  <si>
    <t>OR, NON MONETAIRE (A L'EXCLUSION DES MINERAIS ET CONCENTRE D'OR)</t>
  </si>
  <si>
    <t>Chaux,Ciments et matériaux de construction fabriqués(excepté argile,verre)</t>
  </si>
  <si>
    <t>Produits médicinaux et pharmaceutiques</t>
  </si>
  <si>
    <t>Energie électrique</t>
  </si>
  <si>
    <t>Gaz naturel et gaz manufacturé</t>
  </si>
  <si>
    <t>SUISSE</t>
  </si>
  <si>
    <t>DUBAI</t>
  </si>
  <si>
    <t>INDE</t>
  </si>
  <si>
    <t>MALI</t>
  </si>
  <si>
    <t>GHANA</t>
  </si>
  <si>
    <t>COTE D'IVOIRE</t>
  </si>
  <si>
    <t>SINGAPOUR</t>
  </si>
  <si>
    <t>TOGO</t>
  </si>
  <si>
    <t>DANEMARK</t>
  </si>
  <si>
    <t>CHINE(REPUBLIQUE POPULAIRE DE)</t>
  </si>
  <si>
    <t>RUSSIE (ex U.R.S.S)</t>
  </si>
  <si>
    <t>FRANCE</t>
  </si>
  <si>
    <t>ETATS-UNIS D'AMERIQUE(POTORICO</t>
  </si>
  <si>
    <t>BELGIQUE,LUXEMBOURG</t>
  </si>
  <si>
    <t>ITALIE</t>
  </si>
  <si>
    <t>TURQUIE</t>
  </si>
  <si>
    <t>4T2023</t>
  </si>
  <si>
    <t>4ème  trimestre 2023</t>
  </si>
  <si>
    <t>Redevance service des abonnés</t>
  </si>
  <si>
    <t>FCFA/m3</t>
  </si>
  <si>
    <t>Redevance assainissement autonome</t>
  </si>
  <si>
    <t>Redevance assainissement collectif</t>
  </si>
  <si>
    <t>Prix unitaire</t>
  </si>
  <si>
    <t>FCFA/Facture</t>
  </si>
  <si>
    <t>TVA</t>
  </si>
  <si>
    <t>18%</t>
  </si>
  <si>
    <t>Grandes maison, industrie,communes, collectivités, administration</t>
  </si>
  <si>
    <t>Tarif unique (sans tranche)</t>
  </si>
  <si>
    <t>Bornes fontaines/Sociétés</t>
  </si>
  <si>
    <t>FCFA</t>
  </si>
  <si>
    <t>Fût de 220 litres</t>
  </si>
  <si>
    <t>postes d'eau autonome</t>
  </si>
  <si>
    <t>Eau brute</t>
  </si>
  <si>
    <t>Redevance assainissement/Bornes fontaines</t>
  </si>
  <si>
    <t>Redevance assainissement/postes d'eau autonome</t>
  </si>
  <si>
    <t>Redevance assainissement/Eau brute</t>
  </si>
  <si>
    <t>Coton ($/kg)</t>
  </si>
  <si>
    <t>Tableau AN-7: Evolution trimestrielle de l'indice harmonisé de la production industrielle (base 100 en 2015)</t>
  </si>
  <si>
    <t>Issaka NIANGAO</t>
  </si>
  <si>
    <t xml:space="preserve">Tél : (226) 25 49 85 00 Email: insd@insd.bf </t>
  </si>
  <si>
    <t>Evolution de IHPI</t>
  </si>
  <si>
    <t>TENSION</t>
  </si>
  <si>
    <t>Categories et tranches tarifaires</t>
  </si>
  <si>
    <t>FACTURATION DES CONSOMMATIONS</t>
  </si>
  <si>
    <t>Tarifs du kWh (F CFA )</t>
  </si>
  <si>
    <t>Redevance mensuelle Prime fixe mensuelle (F CFA) (F CFA)</t>
  </si>
  <si>
    <t>B A S S E    T E N S I O N    B T</t>
  </si>
  <si>
    <t>MONOPHASE 2 FILS</t>
  </si>
  <si>
    <t>Tarif type A (monophase social)</t>
  </si>
  <si>
    <t>Tranche 1 (0 a 75 kWh)</t>
  </si>
  <si>
    <t>Tranche 2 (76 a 100 kWh)</t>
  </si>
  <si>
    <t>T ranche 3 (plus de 100 kWh)</t>
  </si>
  <si>
    <t>1A a 3A</t>
  </si>
  <si>
    <t>Tarif type B1 (monophase normal)</t>
  </si>
  <si>
    <t>Tranche 1 (0 a 50 kWh)</t>
  </si>
  <si>
    <t>Tranche 2 (51 a 200 kWh)</t>
  </si>
  <si>
    <t>Tranche 3 (plus de 200 kWh)</t>
  </si>
  <si>
    <t>5A - 15A</t>
  </si>
  <si>
    <t>355 par Ampere</t>
  </si>
  <si>
    <t>20A - 30A</t>
  </si>
  <si>
    <t>Tarif type B2 (monophase special)</t>
  </si>
  <si>
    <t>Tranche unique</t>
  </si>
  <si>
    <t>TRIPHASE 4 FILS</t>
  </si>
  <si>
    <t>Tarif type C1 (triphase normal)</t>
  </si>
  <si>
    <t>10A - 15A</t>
  </si>
  <si>
    <t>1 061 par Ampere</t>
  </si>
  <si>
    <t>Tarif type C2 (triphase special)</t>
  </si>
  <si>
    <t>POSTES HORAIRES</t>
  </si>
  <si>
    <t>T arif type D</t>
  </si>
  <si>
    <t>Heures pleines (00h00 - 17h00)</t>
  </si>
  <si>
    <t>Heures de pointe (17h00 - 24h00)</t>
  </si>
  <si>
    <t>Tarif type D1 Non industriel</t>
  </si>
  <si>
    <t>2 882 par kW</t>
  </si>
  <si>
    <t>Tarif type D2 Industriel</t>
  </si>
  <si>
    <t>2 402 par kW</t>
  </si>
  <si>
    <t>Tarif type D3 Special</t>
  </si>
  <si>
    <t>MOYENNE TENSION (MT)</t>
  </si>
  <si>
    <t>T arif type E</t>
  </si>
  <si>
    <t>Tarif type E1 Non industriel</t>
  </si>
  <si>
    <t>5 903 par kW</t>
  </si>
  <si>
    <t>Tarif type E2 Industriel</t>
  </si>
  <si>
    <t>5 366 par kW</t>
  </si>
  <si>
    <t>Tarif type E3 Special</t>
  </si>
  <si>
    <t>INDUSTRIES EXTRACTIVES ET HAUTE TENSION (HT)</t>
  </si>
  <si>
    <t>Tarif type G</t>
  </si>
  <si>
    <t>Heures pleines (00h00 - 10h00)</t>
  </si>
  <si>
    <t>Heures de pointe (10h00 - 24h00)</t>
  </si>
  <si>
    <t>ECLAIRAGE PUBLIC</t>
  </si>
  <si>
    <t>Tarif type F</t>
  </si>
  <si>
    <t>Tarif unique</t>
  </si>
  <si>
    <t>5A - 15A mono</t>
  </si>
  <si>
    <t>- PS = Puissance Souscrite et K = Frais de police + impots et taxes - Pour la tarification a postes horaires BT, MT et HT : Penalisation si Cos phi &lt; 0,93 - L'administration est dispensee du versement de l'avance sur consommation</t>
  </si>
  <si>
    <t>2 0A et p l u s mo no</t>
  </si>
  <si>
    <t>10A - 15A triphase</t>
  </si>
  <si>
    <t>20A et plus triphase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</si>
</sst>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0_-;\-* #,##0_-;_-* &quot;-&quot;_-;_-@_-"/>
    <numFmt numFmtId="164" formatCode="_-* #,##0.00\ &quot;€&quot;_-;\-* #,##0.00\ &quot;€&quot;_-;_-* &quot;-&quot;??\ &quot;€&quot;_-;_-@_-"/>
    <numFmt numFmtId="165" formatCode="_-* #,##0.00\ _€_-;\-* #,##0.00\ _€_-;_-* &quot;-&quot;??\ _€_-;_-@_-"/>
    <numFmt numFmtId="166" formatCode="_(* #,##0.00_);_(* \(#,##0.00\);_(* &quot;-&quot;??_);_(@_)"/>
    <numFmt numFmtId="167" formatCode="[$-40C]mmm\-yy;@"/>
    <numFmt numFmtId="168" formatCode="#,##0.0"/>
    <numFmt numFmtId="169" formatCode="_-* #,##0\ _€_-;\-* #,##0\ _€_-;_-* &quot;-&quot;??\ _€_-;_-@_-"/>
    <numFmt numFmtId="170" formatCode="0.0"/>
    <numFmt numFmtId="171" formatCode="#,##0_ ;\-#,##0\ "/>
    <numFmt numFmtId="172" formatCode="#,##0.0_ ;\-#,##0.0\ "/>
    <numFmt numFmtId="173" formatCode="0.0%"/>
    <numFmt numFmtId="174" formatCode="_-* #,##0.0\ _€_-;\-* #,##0.0\ _€_-;_-* &quot;-&quot;??\ _€_-;_-@_-"/>
    <numFmt numFmtId="175" formatCode="mm\ yyyy"/>
    <numFmt numFmtId="176" formatCode="_(* #,##0_);_(* \(#,##0\);_(* &quot;-&quot;??_);_(@_)"/>
    <numFmt numFmtId="177" formatCode="_-* #,##0.00\ [$€]_-;\-* #,##0.00\ [$€]_-;_-* &quot;-&quot;??\ [$€]_-;_-@_-"/>
    <numFmt numFmtId="178" formatCode="#,##0.00[$€];[Red]\-#,##0.00[$€]"/>
    <numFmt numFmtId="179" formatCode="&quot; &quot;#,##0.00&quot;    &quot;;&quot;-&quot;#,##0.00&quot;    &quot;;&quot; -&quot;#&quot;    &quot;;@&quot; &quot;"/>
    <numFmt numFmtId="180" formatCode="_-* #,##0.00\ _F_-;\-* #,##0.00\ _F_-;_-* &quot;-&quot;??\ _F_-;_-@_-"/>
    <numFmt numFmtId="181" formatCode="_-* #,##0\ _F_-;\-* #,##0\ _F_-;_-* &quot;-&quot;??\ _F_-;_-@_-"/>
    <numFmt numFmtId="182" formatCode="_ * #,##0.00_)_C_F_A_ ;_ * \(#,##0.00\)_C_F_A_ ;_ * &quot;-&quot;??_)_C_F_A_ ;_ @_ "/>
    <numFmt numFmtId="183" formatCode="#,##0&quot; €&quot;;\-#,##0&quot; €&quot;"/>
    <numFmt numFmtId="184" formatCode="#,##0.00&quot; &quot;[$€-40C];[Red]&quot;-&quot;#,##0.00&quot; &quot;[$€-40C]"/>
    <numFmt numFmtId="185" formatCode="dd/mm/yy;@"/>
    <numFmt numFmtId="186" formatCode="0.0000000"/>
    <numFmt numFmtId="187" formatCode="#,##0.0000"/>
    <numFmt numFmtId="188" formatCode="0.000"/>
    <numFmt numFmtId="189" formatCode="#,##0.000000_ ;\-#,##0.000000\ "/>
    <numFmt numFmtId="190" formatCode="#,##0.000000"/>
    <numFmt numFmtId="191" formatCode="#,##0.0000_ ;\-#,##0.0000\ "/>
    <numFmt numFmtId="192" formatCode="[$-F800]dddd\,\ mmmm\ dd\,\ yyyy"/>
    <numFmt numFmtId="193" formatCode="0.000000000"/>
    <numFmt numFmtId="194" formatCode="0.0000"/>
    <numFmt numFmtId="195" formatCode="#,##0.00000"/>
    <numFmt numFmtId="196" formatCode="0.00000"/>
    <numFmt numFmtId="197" formatCode="_-* #,##0.0_-;\-* #,##0.0_-;_-* &quot;-&quot;_-;_-@_-"/>
  </numFmts>
  <fonts count="139">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rgb="FFFF0000"/>
      <name val="Arial"/>
      <family val="2"/>
    </font>
    <font>
      <b/>
      <sz val="10"/>
      <color theme="1"/>
      <name val="Arial"/>
      <family val="2"/>
    </font>
    <font>
      <sz val="11"/>
      <color theme="1"/>
      <name val="Calibri"/>
      <family val="2"/>
      <scheme val="minor"/>
    </font>
    <font>
      <b/>
      <u/>
      <sz val="10"/>
      <color theme="1"/>
      <name val="Arial"/>
      <family val="2"/>
    </font>
    <font>
      <sz val="12"/>
      <name val="Times New Roman"/>
      <family val="1"/>
    </font>
    <font>
      <sz val="10"/>
      <name val="Arial"/>
      <family val="2"/>
    </font>
    <font>
      <b/>
      <sz val="14"/>
      <name val="Arial"/>
      <family val="2"/>
    </font>
    <font>
      <b/>
      <sz val="12"/>
      <name val="Arial"/>
      <family val="2"/>
    </font>
    <font>
      <b/>
      <sz val="10"/>
      <name val="Arial"/>
      <family val="2"/>
    </font>
    <font>
      <sz val="10"/>
      <color theme="0" tint="-0.34998626667073579"/>
      <name val="Arial"/>
      <family val="2"/>
    </font>
    <font>
      <sz val="10"/>
      <color theme="0" tint="-0.249977111117893"/>
      <name val="Arial"/>
      <family val="2"/>
    </font>
    <font>
      <b/>
      <sz val="14"/>
      <color theme="1"/>
      <name val="Arial"/>
      <family val="2"/>
    </font>
    <font>
      <b/>
      <sz val="10"/>
      <color theme="0" tint="-0.249977111117893"/>
      <name val="Arial"/>
      <family val="2"/>
    </font>
    <font>
      <b/>
      <u/>
      <sz val="10"/>
      <name val="Arial"/>
      <family val="2"/>
    </font>
    <font>
      <b/>
      <sz val="12"/>
      <color theme="1"/>
      <name val="Arial"/>
      <family val="2"/>
    </font>
    <font>
      <sz val="11"/>
      <color theme="1"/>
      <name val="Arial"/>
      <family val="2"/>
    </font>
    <font>
      <sz val="9"/>
      <name val="Arial"/>
      <family val="2"/>
    </font>
    <font>
      <b/>
      <u/>
      <sz val="9"/>
      <name val="Arial"/>
      <family val="2"/>
    </font>
    <font>
      <sz val="7"/>
      <name val="Arial"/>
      <family val="2"/>
    </font>
    <font>
      <b/>
      <sz val="10"/>
      <color rgb="FF000000"/>
      <name val="Arial"/>
      <family val="2"/>
    </font>
    <font>
      <i/>
      <sz val="10"/>
      <name val="Arial"/>
      <family val="2"/>
    </font>
    <font>
      <sz val="10"/>
      <color indexed="8"/>
      <name val="Arial"/>
      <family val="2"/>
    </font>
    <font>
      <b/>
      <u/>
      <sz val="10"/>
      <color indexed="8"/>
      <name val="Arial"/>
      <family val="2"/>
    </font>
    <font>
      <b/>
      <u/>
      <sz val="10"/>
      <name val="Calibri"/>
      <family val="2"/>
    </font>
    <font>
      <sz val="8"/>
      <color theme="1"/>
      <name val="Arial"/>
      <family val="2"/>
    </font>
    <font>
      <u/>
      <sz val="10"/>
      <name val="Arial"/>
      <family val="2"/>
    </font>
    <font>
      <vertAlign val="superscript"/>
      <sz val="10"/>
      <name val="Arial"/>
      <family val="2"/>
    </font>
    <font>
      <sz val="11"/>
      <name val="Calibri"/>
      <family val="2"/>
      <scheme val="minor"/>
    </font>
    <font>
      <sz val="10"/>
      <color theme="1"/>
      <name val="Calibri"/>
      <family val="2"/>
      <scheme val="minor"/>
    </font>
    <font>
      <b/>
      <u/>
      <sz val="8"/>
      <color indexed="8"/>
      <name val="Arial"/>
      <family val="2"/>
    </font>
    <font>
      <sz val="8"/>
      <color indexed="8"/>
      <name val="Arial"/>
      <family val="2"/>
    </font>
    <font>
      <sz val="10"/>
      <name val="Times New Roman"/>
      <family val="1"/>
    </font>
    <font>
      <b/>
      <i/>
      <sz val="10"/>
      <name val="Arial"/>
      <family val="2"/>
    </font>
    <font>
      <b/>
      <sz val="9"/>
      <name val="Arial"/>
      <family val="2"/>
    </font>
    <font>
      <u/>
      <sz val="10"/>
      <color indexed="8"/>
      <name val="Arial"/>
      <family val="2"/>
    </font>
    <font>
      <b/>
      <sz val="10"/>
      <color indexed="8"/>
      <name val="Arial"/>
      <family val="2"/>
    </font>
    <font>
      <u/>
      <sz val="8"/>
      <color indexed="8"/>
      <name val="Arial"/>
      <family val="2"/>
    </font>
    <font>
      <b/>
      <sz val="10"/>
      <name val="SWISS"/>
      <family val="2"/>
    </font>
    <font>
      <b/>
      <sz val="10"/>
      <color theme="0" tint="-0.34998626667073579"/>
      <name val="SWISS"/>
    </font>
    <font>
      <sz val="8"/>
      <name val="Arial"/>
      <family val="2"/>
    </font>
    <font>
      <b/>
      <sz val="7.5"/>
      <name val="Arial"/>
      <family val="2"/>
    </font>
    <font>
      <sz val="10"/>
      <color rgb="FF000000"/>
      <name val="Arial"/>
      <family val="2"/>
    </font>
    <font>
      <i/>
      <u/>
      <sz val="10"/>
      <name val="Arial"/>
      <family val="2"/>
    </font>
    <font>
      <i/>
      <u/>
      <sz val="10"/>
      <color rgb="FF4F81BD"/>
      <name val="Arial"/>
      <family val="2"/>
    </font>
    <font>
      <sz val="10"/>
      <color theme="0"/>
      <name val="Arial"/>
      <family val="2"/>
    </font>
    <font>
      <b/>
      <sz val="22"/>
      <name val="Times New Roman"/>
      <family val="1"/>
    </font>
    <font>
      <sz val="22"/>
      <name val="Helv"/>
    </font>
    <font>
      <b/>
      <sz val="20"/>
      <name val="Arial"/>
      <family val="2"/>
    </font>
    <font>
      <sz val="10"/>
      <name val="MS Sans Serif"/>
      <family val="2"/>
    </font>
    <font>
      <sz val="10"/>
      <color theme="1"/>
      <name val="Arial1"/>
    </font>
    <font>
      <b/>
      <i/>
      <sz val="16"/>
      <color theme="1"/>
      <name val="Arial"/>
      <family val="2"/>
    </font>
    <font>
      <sz val="10"/>
      <name val="Courier"/>
      <family val="3"/>
    </font>
    <font>
      <b/>
      <i/>
      <u/>
      <sz val="11"/>
      <color theme="1"/>
      <name val="Arial"/>
      <family val="2"/>
    </font>
    <font>
      <i/>
      <sz val="10"/>
      <color theme="1"/>
      <name val="Arial"/>
      <family val="2"/>
    </font>
    <font>
      <sz val="9"/>
      <color theme="1"/>
      <name val="Arial"/>
      <family val="2"/>
    </font>
    <font>
      <b/>
      <sz val="9"/>
      <color theme="1"/>
      <name val="Arial"/>
      <family val="2"/>
    </font>
    <font>
      <sz val="9"/>
      <color indexed="8"/>
      <name val="Arial"/>
      <family val="2"/>
    </font>
    <font>
      <b/>
      <u/>
      <sz val="9"/>
      <color indexed="8"/>
      <name val="Arial"/>
      <family val="2"/>
    </font>
    <font>
      <b/>
      <u/>
      <sz val="9"/>
      <name val="Calibri"/>
      <family val="2"/>
    </font>
    <font>
      <b/>
      <u/>
      <sz val="9"/>
      <color theme="1"/>
      <name val="Arial"/>
      <family val="2"/>
    </font>
    <font>
      <u/>
      <sz val="9"/>
      <name val="Arial"/>
      <family val="2"/>
    </font>
    <font>
      <b/>
      <sz val="11"/>
      <color theme="1"/>
      <name val="Calibri"/>
      <family val="2"/>
      <scheme val="minor"/>
    </font>
    <font>
      <b/>
      <sz val="12"/>
      <color indexed="8"/>
      <name val="Arial"/>
      <family val="2"/>
    </font>
    <font>
      <b/>
      <sz val="12"/>
      <color indexed="8"/>
      <name val="Arial Narrow"/>
      <family val="2"/>
    </font>
    <font>
      <b/>
      <sz val="12"/>
      <name val="Arial Narrow"/>
      <family val="2"/>
    </font>
    <font>
      <b/>
      <sz val="16"/>
      <name val="Arial"/>
      <family val="2"/>
    </font>
    <font>
      <b/>
      <sz val="15"/>
      <name val="Arial"/>
      <family val="2"/>
    </font>
    <font>
      <b/>
      <sz val="14"/>
      <name val="Arial Narrow"/>
      <family val="2"/>
    </font>
    <font>
      <b/>
      <sz val="14"/>
      <color theme="1"/>
      <name val="Arial Narrow"/>
      <family val="2"/>
    </font>
    <font>
      <sz val="16"/>
      <color rgb="FFFF0000"/>
      <name val="Arial"/>
      <family val="2"/>
    </font>
    <font>
      <b/>
      <sz val="12"/>
      <color indexed="10"/>
      <name val="Arial Narrow"/>
      <family val="2"/>
    </font>
    <font>
      <sz val="12"/>
      <color indexed="8"/>
      <name val="Arial Narrow"/>
      <family val="2"/>
    </font>
    <font>
      <b/>
      <sz val="14"/>
      <color indexed="8"/>
      <name val="Arial Narrow"/>
      <family val="2"/>
    </font>
    <font>
      <sz val="13"/>
      <color theme="1"/>
      <name val="Arial"/>
      <family val="2"/>
    </font>
    <font>
      <sz val="13"/>
      <color theme="0"/>
      <name val="Arial"/>
      <family val="2"/>
    </font>
    <font>
      <b/>
      <sz val="13"/>
      <color theme="1"/>
      <name val="Arial"/>
      <family val="2"/>
    </font>
    <font>
      <sz val="11"/>
      <color theme="0"/>
      <name val="Calibri"/>
      <family val="2"/>
      <scheme val="minor"/>
    </font>
    <font>
      <b/>
      <sz val="11"/>
      <color theme="1"/>
      <name val="Arial"/>
      <family val="2"/>
    </font>
    <font>
      <sz val="11"/>
      <color theme="0"/>
      <name val="Arial"/>
      <family val="2"/>
    </font>
    <font>
      <b/>
      <vertAlign val="superscript"/>
      <sz val="11"/>
      <color indexed="8"/>
      <name val="Arial"/>
      <family val="2"/>
    </font>
    <font>
      <b/>
      <sz val="11"/>
      <color indexed="8"/>
      <name val="Arial"/>
      <family val="2"/>
    </font>
    <font>
      <b/>
      <u/>
      <sz val="11"/>
      <color theme="1"/>
      <name val="Arial"/>
      <family val="2"/>
    </font>
    <font>
      <i/>
      <sz val="10"/>
      <color rgb="FF4F81BD"/>
      <name val="Arial"/>
      <family val="2"/>
    </font>
    <font>
      <b/>
      <sz val="11"/>
      <name val="Arial"/>
      <family val="2"/>
    </font>
    <font>
      <sz val="11"/>
      <name val="Arial"/>
      <family val="2"/>
    </font>
    <font>
      <i/>
      <sz val="11"/>
      <color theme="1"/>
      <name val="Arial"/>
      <family val="2"/>
    </font>
    <font>
      <u/>
      <sz val="11"/>
      <color theme="10"/>
      <name val="Calibri"/>
      <family val="2"/>
      <scheme val="minor"/>
    </font>
    <font>
      <u/>
      <sz val="11"/>
      <color theme="3" tint="0.39997558519241921"/>
      <name val="Arial"/>
      <family val="2"/>
    </font>
    <font>
      <u/>
      <sz val="11"/>
      <color rgb="FFFF0000"/>
      <name val="Arial"/>
      <family val="2"/>
    </font>
    <font>
      <sz val="10"/>
      <color theme="0" tint="-0.499984740745262"/>
      <name val="Arial"/>
      <family val="2"/>
    </font>
    <font>
      <b/>
      <sz val="10"/>
      <color theme="5"/>
      <name val="Arial"/>
      <family val="2"/>
    </font>
    <font>
      <sz val="10"/>
      <color theme="5"/>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name val="Arial"/>
      <family val="2"/>
    </font>
    <font>
      <sz val="11"/>
      <color indexed="8"/>
      <name val="Calibri"/>
      <family val="2"/>
    </font>
    <font>
      <b/>
      <u/>
      <sz val="10"/>
      <name val="SWISS"/>
      <family val="2"/>
    </font>
    <font>
      <u/>
      <sz val="10"/>
      <color theme="10"/>
      <name val="Arial"/>
      <family val="2"/>
    </font>
    <font>
      <u/>
      <sz val="10"/>
      <color indexed="12"/>
      <name val="Arial"/>
      <family val="2"/>
    </font>
    <font>
      <sz val="12"/>
      <color theme="1"/>
      <name val="Times New Roman"/>
      <family val="2"/>
    </font>
    <font>
      <sz val="9"/>
      <color theme="0"/>
      <name val="Arial"/>
      <family val="2"/>
    </font>
    <font>
      <sz val="18"/>
      <color theme="3"/>
      <name val="Calibri Light"/>
      <family val="2"/>
      <scheme val="major"/>
    </font>
    <font>
      <b/>
      <sz val="8"/>
      <name val="Arial"/>
      <family val="2"/>
    </font>
    <font>
      <sz val="12"/>
      <color rgb="FF000000"/>
      <name val="Arial"/>
      <family val="2"/>
    </font>
    <font>
      <b/>
      <sz val="12"/>
      <color theme="0" tint="-0.499984740745262"/>
      <name val="Arial"/>
      <family val="2"/>
    </font>
    <font>
      <sz val="11"/>
      <color rgb="FF000000"/>
      <name val="Arial"/>
      <family val="2"/>
    </font>
    <font>
      <b/>
      <sz val="11"/>
      <color rgb="FF000000"/>
      <name val="Arial"/>
      <family val="2"/>
    </font>
    <font>
      <sz val="10"/>
      <name val="Arial"/>
      <family val="2"/>
    </font>
    <font>
      <b/>
      <sz val="16"/>
      <color theme="1"/>
      <name val="Arial"/>
      <family val="2"/>
    </font>
    <font>
      <sz val="10"/>
      <name val="SWISS"/>
    </font>
    <font>
      <b/>
      <sz val="10"/>
      <name val="SWISS"/>
    </font>
    <font>
      <b/>
      <sz val="10"/>
      <name val="Times New Roman"/>
      <family val="1"/>
    </font>
    <font>
      <b/>
      <sz val="10"/>
      <color theme="0"/>
      <name val="Times New Roman"/>
      <family val="1"/>
    </font>
    <font>
      <b/>
      <sz val="6"/>
      <name val="Times New Roman"/>
      <family val="1"/>
    </font>
  </fonts>
  <fills count="54">
    <fill>
      <patternFill patternType="none"/>
    </fill>
    <fill>
      <patternFill patternType="gray125"/>
    </fill>
    <fill>
      <patternFill patternType="solid">
        <fgColor indexed="9"/>
        <bgColor indexed="64"/>
      </patternFill>
    </fill>
    <fill>
      <patternFill patternType="solid">
        <fgColor rgb="FF99CCFF"/>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rgb="FFFFFF00"/>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125">
        <fgColor indexed="8"/>
      </patternFill>
    </fill>
    <fill>
      <patternFill patternType="solid">
        <fgColor rgb="FFFF0000"/>
        <bgColor indexed="64"/>
      </patternFill>
    </fill>
    <fill>
      <patternFill patternType="solid">
        <fgColor rgb="FFFFC000"/>
        <bgColor indexed="64"/>
      </patternFill>
    </fill>
    <fill>
      <patternFill patternType="solid">
        <fgColor rgb="FF538234"/>
      </patternFill>
    </fill>
    <fill>
      <patternFill patternType="solid">
        <fgColor rgb="FFBFBFBF"/>
      </patternFill>
    </fill>
  </fills>
  <borders count="178">
    <border>
      <left/>
      <right/>
      <top/>
      <bottom/>
      <diagonal/>
    </border>
    <border>
      <left/>
      <right/>
      <top style="thin">
        <color indexed="64"/>
      </top>
      <bottom/>
      <diagonal/>
    </border>
    <border>
      <left style="thick">
        <color auto="1"/>
      </left>
      <right style="thick">
        <color auto="1"/>
      </right>
      <top style="thick">
        <color auto="1"/>
      </top>
      <bottom style="thick">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style="thick">
        <color auto="1"/>
      </left>
      <right style="thin">
        <color auto="1"/>
      </right>
      <top/>
      <bottom/>
      <diagonal/>
    </border>
    <border>
      <left style="thin">
        <color auto="1"/>
      </left>
      <right style="thin">
        <color auto="1"/>
      </right>
      <top/>
      <bottom/>
      <diagonal/>
    </border>
    <border>
      <left style="thin">
        <color auto="1"/>
      </left>
      <right style="thick">
        <color auto="1"/>
      </right>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auto="1"/>
      </left>
      <right/>
      <top/>
      <bottom/>
      <diagonal/>
    </border>
    <border>
      <left/>
      <right style="thick">
        <color auto="1"/>
      </right>
      <top style="thick">
        <color auto="1"/>
      </top>
      <bottom style="thick">
        <color auto="1"/>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thin">
        <color indexed="64"/>
      </left>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auto="1"/>
      </left>
      <right style="thin">
        <color auto="1"/>
      </right>
      <top style="medium">
        <color auto="1"/>
      </top>
      <bottom style="thin">
        <color indexed="64"/>
      </bottom>
      <diagonal/>
    </border>
    <border>
      <left style="thin">
        <color auto="1"/>
      </left>
      <right style="thin">
        <color auto="1"/>
      </right>
      <top style="medium">
        <color auto="1"/>
      </top>
      <bottom style="thin">
        <color indexed="64"/>
      </bottom>
      <diagonal/>
    </border>
    <border>
      <left style="thin">
        <color auto="1"/>
      </left>
      <right style="medium">
        <color auto="1"/>
      </right>
      <top style="medium">
        <color auto="1"/>
      </top>
      <bottom style="thin">
        <color indexed="64"/>
      </bottom>
      <diagonal/>
    </border>
    <border>
      <left style="medium">
        <color auto="1"/>
      </left>
      <right style="thin">
        <color auto="1"/>
      </right>
      <top style="thin">
        <color indexed="64"/>
      </top>
      <bottom style="medium">
        <color auto="1"/>
      </bottom>
      <diagonal/>
    </border>
    <border>
      <left style="thin">
        <color auto="1"/>
      </left>
      <right style="medium">
        <color auto="1"/>
      </right>
      <top style="thin">
        <color indexed="64"/>
      </top>
      <bottom style="medium">
        <color auto="1"/>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indexed="64"/>
      </left>
      <right style="thin">
        <color indexed="64"/>
      </right>
      <top/>
      <bottom style="thin">
        <color indexed="64"/>
      </bottom>
      <diagonal/>
    </border>
    <border>
      <left/>
      <right/>
      <top/>
      <bottom style="thick">
        <color auto="1"/>
      </bottom>
      <diagonal/>
    </border>
    <border>
      <left style="medium">
        <color auto="1"/>
      </left>
      <right style="medium">
        <color auto="1"/>
      </right>
      <top/>
      <bottom/>
      <diagonal/>
    </border>
    <border>
      <left style="thick">
        <color auto="1"/>
      </left>
      <right style="thick">
        <color auto="1"/>
      </right>
      <top/>
      <bottom style="medium">
        <color auto="1"/>
      </bottom>
      <diagonal/>
    </border>
    <border>
      <left style="thick">
        <color auto="1"/>
      </left>
      <right/>
      <top/>
      <bottom/>
      <diagonal/>
    </border>
    <border>
      <left style="medium">
        <color auto="1"/>
      </left>
      <right style="thin">
        <color auto="1"/>
      </right>
      <top style="thin">
        <color indexed="64"/>
      </top>
      <bottom/>
      <diagonal/>
    </border>
    <border>
      <left style="thin">
        <color auto="1"/>
      </left>
      <right style="medium">
        <color auto="1"/>
      </right>
      <top style="thin">
        <color indexed="64"/>
      </top>
      <bottom/>
      <diagonal/>
    </border>
    <border>
      <left style="medium">
        <color auto="1"/>
      </left>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auto="1"/>
      </left>
      <right style="thin">
        <color auto="1"/>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auto="1"/>
      </left>
      <right style="medium">
        <color auto="1"/>
      </right>
      <top style="medium">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auto="1"/>
      </right>
      <top style="medium">
        <color indexed="64"/>
      </top>
      <bottom style="thin">
        <color indexed="64"/>
      </bottom>
      <diagonal/>
    </border>
    <border>
      <left style="medium">
        <color auto="1"/>
      </left>
      <right/>
      <top style="medium">
        <color indexed="64"/>
      </top>
      <bottom style="thin">
        <color indexed="64"/>
      </bottom>
      <diagonal/>
    </border>
    <border>
      <left style="thick">
        <color auto="1"/>
      </left>
      <right/>
      <top/>
      <bottom style="thick">
        <color auto="1"/>
      </bottom>
      <diagonal/>
    </border>
    <border>
      <left/>
      <right style="thin">
        <color auto="1"/>
      </right>
      <top/>
      <bottom style="thick">
        <color auto="1"/>
      </bottom>
      <diagonal/>
    </border>
    <border>
      <left/>
      <right style="thin">
        <color auto="1"/>
      </right>
      <top style="thick">
        <color auto="1"/>
      </top>
      <bottom style="thick">
        <color auto="1"/>
      </bottom>
      <diagonal/>
    </border>
    <border>
      <left style="thin">
        <color auto="1"/>
      </left>
      <right/>
      <top style="thick">
        <color auto="1"/>
      </top>
      <bottom style="thick">
        <color auto="1"/>
      </bottom>
      <diagonal/>
    </border>
    <border>
      <left style="thin">
        <color auto="1"/>
      </left>
      <right/>
      <top style="thick">
        <color auto="1"/>
      </top>
      <bottom/>
      <diagonal/>
    </border>
    <border>
      <left style="thin">
        <color auto="1"/>
      </left>
      <right/>
      <top/>
      <bottom style="thick">
        <color auto="1"/>
      </bottom>
      <diagonal/>
    </border>
    <border>
      <left/>
      <right style="thin">
        <color auto="1"/>
      </right>
      <top style="thick">
        <color auto="1"/>
      </top>
      <bottom/>
      <diagonal/>
    </border>
    <border>
      <left style="thin">
        <color indexed="64"/>
      </left>
      <right/>
      <top/>
      <bottom style="medium">
        <color indexed="64"/>
      </bottom>
      <diagonal/>
    </border>
    <border>
      <left/>
      <right style="thin">
        <color auto="1"/>
      </right>
      <top style="medium">
        <color auto="1"/>
      </top>
      <bottom/>
      <diagonal/>
    </border>
    <border>
      <left/>
      <right style="thin">
        <color indexed="64"/>
      </right>
      <top/>
      <bottom style="medium">
        <color indexed="64"/>
      </bottom>
      <diagonal/>
    </border>
    <border>
      <left/>
      <right style="thin">
        <color indexed="64"/>
      </right>
      <top style="medium">
        <color indexed="64"/>
      </top>
      <bottom style="medium">
        <color auto="1"/>
      </bottom>
      <diagonal/>
    </border>
    <border>
      <left/>
      <right/>
      <top style="thick">
        <color auto="1"/>
      </top>
      <bottom style="thick">
        <color auto="1"/>
      </bottom>
      <diagonal/>
    </border>
    <border>
      <left/>
      <right style="thin">
        <color auto="1"/>
      </right>
      <top style="medium">
        <color auto="1"/>
      </top>
      <bottom style="thin">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medium">
        <color auto="1"/>
      </left>
      <right style="medium">
        <color auto="1"/>
      </right>
      <top style="thin">
        <color indexed="64"/>
      </top>
      <bottom style="medium">
        <color indexed="64"/>
      </bottom>
      <diagonal/>
    </border>
    <border>
      <left style="thick">
        <color auto="1"/>
      </left>
      <right style="thick">
        <color auto="1"/>
      </right>
      <top style="thin">
        <color auto="1"/>
      </top>
      <bottom style="thick">
        <color auto="1"/>
      </bottom>
      <diagonal/>
    </border>
    <border>
      <left style="thin">
        <color auto="1"/>
      </left>
      <right style="thick">
        <color auto="1"/>
      </right>
      <top style="medium">
        <color auto="1"/>
      </top>
      <bottom style="thin">
        <color indexed="64"/>
      </bottom>
      <diagonal/>
    </border>
    <border>
      <left style="thin">
        <color auto="1"/>
      </left>
      <right style="thick">
        <color auto="1"/>
      </right>
      <top style="thin">
        <color indexed="64"/>
      </top>
      <bottom style="medium">
        <color auto="1"/>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auto="1"/>
      </top>
      <bottom style="thick">
        <color auto="1"/>
      </bottom>
      <diagonal/>
    </border>
    <border>
      <left style="thick">
        <color auto="1"/>
      </left>
      <right style="thick">
        <color auto="1"/>
      </right>
      <top style="thin">
        <color indexed="64"/>
      </top>
      <bottom/>
      <diagonal/>
    </border>
    <border>
      <left style="thick">
        <color auto="1"/>
      </left>
      <right/>
      <top style="thick">
        <color auto="1"/>
      </top>
      <bottom style="thick">
        <color auto="1"/>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medium">
        <color auto="1"/>
      </right>
      <top style="medium">
        <color indexed="64"/>
      </top>
      <bottom style="thin">
        <color indexed="64"/>
      </bottom>
      <diagonal/>
    </border>
    <border>
      <left style="medium">
        <color theme="2" tint="-0.499984740745262"/>
      </left>
      <right style="thin">
        <color indexed="64"/>
      </right>
      <top style="medium">
        <color theme="2" tint="-0.499984740745262"/>
      </top>
      <bottom style="thin">
        <color indexed="64"/>
      </bottom>
      <diagonal/>
    </border>
    <border>
      <left style="thin">
        <color indexed="64"/>
      </left>
      <right style="thin">
        <color theme="1"/>
      </right>
      <top style="thin">
        <color indexed="64"/>
      </top>
      <bottom style="thin">
        <color indexed="64"/>
      </bottom>
      <diagonal/>
    </border>
    <border>
      <left style="thin">
        <color theme="1"/>
      </left>
      <right/>
      <top/>
      <bottom/>
      <diagonal/>
    </border>
    <border>
      <left/>
      <right style="thin">
        <color theme="1"/>
      </right>
      <top/>
      <bottom/>
      <diagonal/>
    </border>
    <border>
      <left style="thin">
        <color theme="1"/>
      </left>
      <right style="thin">
        <color indexed="64"/>
      </right>
      <top/>
      <bottom/>
      <diagonal/>
    </border>
    <border>
      <left style="medium">
        <color theme="2" tint="-0.499984740745262"/>
      </left>
      <right/>
      <top/>
      <bottom/>
      <diagonal/>
    </border>
    <border>
      <left style="medium">
        <color theme="2" tint="-0.499984740745262"/>
      </left>
      <right/>
      <top/>
      <bottom style="medium">
        <color theme="2" tint="-0.499984740745262"/>
      </bottom>
      <diagonal/>
    </border>
    <border>
      <left style="thin">
        <color auto="1"/>
      </left>
      <right style="thin">
        <color auto="1"/>
      </right>
      <top/>
      <bottom style="medium">
        <color theme="2" tint="-0.499984740745262"/>
      </bottom>
      <diagonal/>
    </border>
    <border>
      <left style="medium">
        <color auto="1"/>
      </left>
      <right style="medium">
        <color auto="1"/>
      </right>
      <top style="thin">
        <color indexed="64"/>
      </top>
      <bottom style="thin">
        <color indexed="64"/>
      </bottom>
      <diagonal/>
    </border>
    <border>
      <left style="thick">
        <color auto="1"/>
      </left>
      <right style="thin">
        <color auto="1"/>
      </right>
      <top style="medium">
        <color indexed="64"/>
      </top>
      <bottom/>
      <diagonal/>
    </border>
    <border>
      <left style="thin">
        <color auto="1"/>
      </left>
      <right style="thick">
        <color auto="1"/>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ck">
        <color auto="1"/>
      </left>
      <right style="thin">
        <color auto="1"/>
      </right>
      <top style="thick">
        <color auto="1"/>
      </top>
      <bottom style="medium">
        <color indexed="64"/>
      </bottom>
      <diagonal/>
    </border>
    <border>
      <left style="thin">
        <color indexed="64"/>
      </left>
      <right style="thin">
        <color indexed="64"/>
      </right>
      <top style="thick">
        <color auto="1"/>
      </top>
      <bottom style="medium">
        <color indexed="64"/>
      </bottom>
      <diagonal/>
    </border>
    <border>
      <left style="thin">
        <color auto="1"/>
      </left>
      <right style="medium">
        <color auto="1"/>
      </right>
      <top style="thick">
        <color auto="1"/>
      </top>
      <bottom style="medium">
        <color indexed="64"/>
      </bottom>
      <diagonal/>
    </border>
    <border>
      <left style="thin">
        <color indexed="8"/>
      </left>
      <right/>
      <top/>
      <bottom style="thin">
        <color indexed="8"/>
      </bottom>
      <diagonal/>
    </border>
    <border>
      <left style="thin">
        <color indexed="8"/>
      </left>
      <right/>
      <top/>
      <bottom style="thick">
        <color auto="1"/>
      </bottom>
      <diagonal/>
    </border>
    <border>
      <left style="thick">
        <color auto="1"/>
      </left>
      <right style="thin">
        <color auto="1"/>
      </right>
      <top style="medium">
        <color indexed="64"/>
      </top>
      <bottom style="thick">
        <color auto="1"/>
      </bottom>
      <diagonal/>
    </border>
    <border>
      <left style="thin">
        <color auto="1"/>
      </left>
      <right style="thin">
        <color auto="1"/>
      </right>
      <top style="medium">
        <color indexed="64"/>
      </top>
      <bottom style="thick">
        <color auto="1"/>
      </bottom>
      <diagonal/>
    </border>
    <border>
      <left style="thin">
        <color auto="1"/>
      </left>
      <right style="thick">
        <color auto="1"/>
      </right>
      <top style="medium">
        <color indexed="64"/>
      </top>
      <bottom style="thick">
        <color auto="1"/>
      </bottom>
      <diagonal/>
    </border>
    <border>
      <left style="medium">
        <color indexed="64"/>
      </left>
      <right/>
      <top/>
      <bottom style="thin">
        <color indexed="8"/>
      </bottom>
      <diagonal/>
    </border>
    <border>
      <left style="thin">
        <color indexed="8"/>
      </left>
      <right style="medium">
        <color indexed="64"/>
      </right>
      <top/>
      <bottom style="thin">
        <color indexed="8"/>
      </bottom>
      <diagonal/>
    </border>
    <border>
      <left style="thick">
        <color auto="1"/>
      </left>
      <right style="thick">
        <color auto="1"/>
      </right>
      <top/>
      <bottom style="thin">
        <color indexed="8"/>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ck">
        <color auto="1"/>
      </left>
      <right/>
      <top style="thick">
        <color auto="1"/>
      </top>
      <bottom/>
      <diagonal/>
    </border>
    <border>
      <left style="thick">
        <color auto="1"/>
      </left>
      <right style="thick">
        <color auto="1"/>
      </right>
      <top style="thick">
        <color auto="1"/>
      </top>
      <bottom style="thin">
        <color indexed="8"/>
      </bottom>
      <diagonal/>
    </border>
    <border>
      <left style="thick">
        <color auto="1"/>
      </left>
      <right style="thick">
        <color auto="1"/>
      </right>
      <top/>
      <bottom style="thin">
        <color indexed="64"/>
      </bottom>
      <diagonal/>
    </border>
    <border>
      <left style="thick">
        <color auto="1"/>
      </left>
      <right style="thick">
        <color auto="1"/>
      </right>
      <top style="thick">
        <color auto="1"/>
      </top>
      <bottom style="thin">
        <color indexed="64"/>
      </bottom>
      <diagonal/>
    </border>
    <border>
      <left style="thick">
        <color auto="1"/>
      </left>
      <right style="thick">
        <color auto="1"/>
      </right>
      <top style="thin">
        <color indexed="64"/>
      </top>
      <bottom style="thin">
        <color indexed="64"/>
      </bottom>
      <diagonal/>
    </border>
    <border>
      <left style="thick">
        <color auto="1"/>
      </left>
      <right/>
      <top style="thick">
        <color auto="1"/>
      </top>
      <bottom style="medium">
        <color indexed="64"/>
      </bottom>
      <diagonal/>
    </border>
    <border>
      <left style="thin">
        <color indexed="8"/>
      </left>
      <right/>
      <top/>
      <bottom/>
      <diagonal/>
    </border>
    <border>
      <left style="thin">
        <color indexed="8"/>
      </left>
      <right style="medium">
        <color indexed="64"/>
      </right>
      <top/>
      <bottom/>
      <diagonal/>
    </border>
    <border>
      <left style="thin">
        <color indexed="64"/>
      </left>
      <right style="thin">
        <color indexed="64"/>
      </right>
      <top/>
      <bottom/>
      <diagonal/>
    </border>
    <border>
      <left style="thin">
        <color indexed="64"/>
      </left>
      <right/>
      <top/>
      <bottom/>
      <diagonal/>
    </border>
    <border>
      <left style="medium">
        <color auto="1"/>
      </left>
      <right style="thin">
        <color auto="1"/>
      </right>
      <top style="thick">
        <color auto="1"/>
      </top>
      <bottom/>
      <diagonal/>
    </border>
    <border>
      <left style="thin">
        <color auto="1"/>
      </left>
      <right style="thick">
        <color auto="1"/>
      </right>
      <top/>
      <bottom style="medium">
        <color auto="1"/>
      </bottom>
      <diagonal/>
    </border>
    <border>
      <left style="thin">
        <color indexed="64"/>
      </left>
      <right style="thin">
        <color indexed="64"/>
      </right>
      <top/>
      <bottom style="thin">
        <color rgb="FF000000"/>
      </bottom>
      <diagonal/>
    </border>
    <border>
      <left style="medium">
        <color theme="2" tint="-0.499984740745262"/>
      </left>
      <right style="thin">
        <color indexed="64"/>
      </right>
      <top style="thin">
        <color indexed="64"/>
      </top>
      <bottom/>
      <diagonal/>
    </border>
    <border>
      <left style="medium">
        <color theme="2" tint="-0.499984740745262"/>
      </left>
      <right style="thin">
        <color indexed="64"/>
      </right>
      <top/>
      <bottom/>
      <diagonal/>
    </border>
    <border>
      <left style="medium">
        <color theme="2" tint="-0.499984740745262"/>
      </left>
      <right style="thin">
        <color indexed="64"/>
      </right>
      <top/>
      <bottom style="thin">
        <color indexed="64"/>
      </bottom>
      <diagonal/>
    </border>
    <border>
      <left style="medium">
        <color theme="2" tint="-0.499984740745262"/>
      </left>
      <right style="thin">
        <color auto="1"/>
      </right>
      <top/>
      <bottom style="medium">
        <color theme="2"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top style="thin">
        <color indexed="8"/>
      </top>
      <bottom style="thin">
        <color indexed="8"/>
      </bottom>
      <diagonal/>
    </border>
    <border>
      <left style="thin">
        <color auto="1"/>
      </left>
      <right style="thick">
        <color auto="1"/>
      </right>
      <top/>
      <bottom/>
      <diagonal/>
    </border>
    <border>
      <left style="thin">
        <color indexed="64"/>
      </left>
      <right style="thin">
        <color indexed="64"/>
      </right>
      <top/>
      <bottom/>
      <diagonal/>
    </border>
    <border>
      <left style="thin">
        <color indexed="64"/>
      </left>
      <right style="thin">
        <color indexed="64"/>
      </right>
      <top/>
      <bottom/>
      <diagonal/>
    </border>
    <border>
      <left style="medium">
        <color theme="2" tint="-0.499984740745262"/>
      </left>
      <right style="thin">
        <color indexed="64"/>
      </right>
      <top style="thin">
        <color indexed="64"/>
      </top>
      <bottom style="thin">
        <color indexed="64"/>
      </bottom>
      <diagonal/>
    </border>
    <border>
      <left style="medium">
        <color theme="2" tint="-0.499984740745262"/>
      </left>
      <right/>
      <top style="medium">
        <color theme="2" tint="-0.499984740745262"/>
      </top>
      <bottom style="medium">
        <color theme="2" tint="-0.499984740745262"/>
      </bottom>
      <diagonal/>
    </border>
    <border>
      <left style="thin">
        <color auto="1"/>
      </left>
      <right style="thin">
        <color auto="1"/>
      </right>
      <top style="medium">
        <color theme="2" tint="-0.499984740745262"/>
      </top>
      <bottom style="medium">
        <color theme="2" tint="-0.499984740745262"/>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ck">
        <color indexed="64"/>
      </left>
      <right/>
      <top style="medium">
        <color auto="1"/>
      </top>
      <bottom/>
      <diagonal/>
    </border>
    <border>
      <left style="thick">
        <color indexed="64"/>
      </left>
      <right/>
      <top/>
      <bottom style="medium">
        <color auto="1"/>
      </bottom>
      <diagonal/>
    </border>
    <border>
      <left/>
      <right style="medium">
        <color auto="1"/>
      </right>
      <top/>
      <bottom/>
      <diagonal/>
    </border>
  </borders>
  <cellStyleXfs count="1194">
    <xf numFmtId="0" fontId="0" fillId="0" borderId="0"/>
    <xf numFmtId="165" fontId="12" fillId="0" borderId="0" applyFont="0" applyFill="0" applyBorder="0" applyAlignment="0" applyProtection="0"/>
    <xf numFmtId="9" fontId="12" fillId="0" borderId="0" applyFont="0" applyFill="0" applyBorder="0" applyAlignment="0" applyProtection="0"/>
    <xf numFmtId="0" fontId="15" fillId="0" borderId="0"/>
    <xf numFmtId="0" fontId="17" fillId="0" borderId="0"/>
    <xf numFmtId="0" fontId="18" fillId="0" borderId="0"/>
    <xf numFmtId="9" fontId="18" fillId="0" borderId="0" applyFont="0" applyFill="0" applyBorder="0" applyAlignment="0" applyProtection="0"/>
    <xf numFmtId="0" fontId="18" fillId="0" borderId="0"/>
    <xf numFmtId="0" fontId="18" fillId="0" borderId="0"/>
    <xf numFmtId="0" fontId="44" fillId="0" borderId="0"/>
    <xf numFmtId="0" fontId="18" fillId="0" borderId="0" applyNumberFormat="0" applyFill="0" applyBorder="0" applyAlignment="0" applyProtection="0"/>
    <xf numFmtId="0" fontId="18" fillId="0" borderId="0"/>
    <xf numFmtId="165" fontId="15" fillId="0" borderId="0" applyFont="0" applyFill="0" applyBorder="0" applyAlignment="0" applyProtection="0"/>
    <xf numFmtId="165" fontId="15" fillId="0" borderId="0" applyFont="0" applyFill="0" applyBorder="0" applyAlignment="0" applyProtection="0"/>
    <xf numFmtId="0" fontId="11" fillId="0" borderId="0"/>
    <xf numFmtId="177" fontId="18"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8" fontId="61"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9" fontId="62" fillId="0" borderId="0"/>
    <xf numFmtId="0" fontId="63" fillId="0" borderId="0">
      <alignment horizontal="center"/>
    </xf>
    <xf numFmtId="0" fontId="63" fillId="0" borderId="0">
      <alignment horizontal="center" textRotation="90"/>
    </xf>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82" fontId="11" fillId="0" borderId="0" applyFont="0" applyFill="0" applyBorder="0" applyAlignment="0" applyProtection="0"/>
    <xf numFmtId="0" fontId="64" fillId="0" borderId="0"/>
    <xf numFmtId="0" fontId="18" fillId="0" borderId="0"/>
    <xf numFmtId="0" fontId="18" fillId="0" borderId="0"/>
    <xf numFmtId="0" fontId="18" fillId="0" borderId="0"/>
    <xf numFmtId="0" fontId="18" fillId="0" borderId="0"/>
    <xf numFmtId="0" fontId="18" fillId="0" borderId="0"/>
    <xf numFmtId="0" fontId="18" fillId="0" borderId="0"/>
    <xf numFmtId="183" fontId="18" fillId="0" borderId="26"/>
    <xf numFmtId="0" fontId="18" fillId="0" borderId="0"/>
    <xf numFmtId="0" fontId="18" fillId="0" borderId="0"/>
    <xf numFmtId="0" fontId="18" fillId="0" borderId="0"/>
    <xf numFmtId="0" fontId="18" fillId="0" borderId="0"/>
    <xf numFmtId="0" fontId="18" fillId="0" borderId="0"/>
    <xf numFmtId="0" fontId="18" fillId="0" borderId="0"/>
    <xf numFmtId="183" fontId="18" fillId="0" borderId="26"/>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65" fillId="0" borderId="0"/>
    <xf numFmtId="184" fontId="65" fillId="0" borderId="0"/>
    <xf numFmtId="165" fontId="11" fillId="0" borderId="0" applyFont="0" applyFill="0" applyBorder="0" applyAlignment="0" applyProtection="0"/>
    <xf numFmtId="0" fontId="10" fillId="0" borderId="0"/>
    <xf numFmtId="0" fontId="99" fillId="0" borderId="0" applyNumberFormat="0" applyFill="0" applyBorder="0" applyAlignment="0" applyProtection="0"/>
    <xf numFmtId="0" fontId="9" fillId="0" borderId="0"/>
    <xf numFmtId="0" fontId="105" fillId="0" borderId="0" applyNumberFormat="0" applyFill="0" applyBorder="0" applyAlignment="0" applyProtection="0"/>
    <xf numFmtId="0" fontId="106" fillId="0" borderId="154" applyNumberFormat="0" applyFill="0" applyAlignment="0" applyProtection="0"/>
    <xf numFmtId="0" fontId="107" fillId="0" borderId="155" applyNumberFormat="0" applyFill="0" applyAlignment="0" applyProtection="0"/>
    <xf numFmtId="0" fontId="108" fillId="0" borderId="156" applyNumberFormat="0" applyFill="0" applyAlignment="0" applyProtection="0"/>
    <xf numFmtId="0" fontId="108" fillId="0" borderId="0" applyNumberFormat="0" applyFill="0" applyBorder="0" applyAlignment="0" applyProtection="0"/>
    <xf numFmtId="0" fontId="109" fillId="18" borderId="0" applyNumberFormat="0" applyBorder="0" applyAlignment="0" applyProtection="0"/>
    <xf numFmtId="0" fontId="110" fillId="19" borderId="0" applyNumberFormat="0" applyBorder="0" applyAlignment="0" applyProtection="0"/>
    <xf numFmtId="0" fontId="111" fillId="20" borderId="0" applyNumberFormat="0" applyBorder="0" applyAlignment="0" applyProtection="0"/>
    <xf numFmtId="0" fontId="112" fillId="21" borderId="157" applyNumberFormat="0" applyAlignment="0" applyProtection="0"/>
    <xf numFmtId="0" fontId="113" fillId="22" borderId="158" applyNumberFormat="0" applyAlignment="0" applyProtection="0"/>
    <xf numFmtId="0" fontId="114" fillId="22" borderId="157" applyNumberFormat="0" applyAlignment="0" applyProtection="0"/>
    <xf numFmtId="0" fontId="115" fillId="0" borderId="159" applyNumberFormat="0" applyFill="0" applyAlignment="0" applyProtection="0"/>
    <xf numFmtId="0" fontId="116" fillId="23" borderId="160"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74" fillId="0" borderId="162" applyNumberFormat="0" applyFill="0" applyAlignment="0" applyProtection="0"/>
    <xf numFmtId="0" fontId="89"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9" fillId="48" borderId="0" applyNumberFormat="0" applyBorder="0" applyAlignment="0" applyProtection="0"/>
    <xf numFmtId="0" fontId="119" fillId="0" borderId="0"/>
    <xf numFmtId="0" fontId="124" fillId="0" borderId="0"/>
    <xf numFmtId="0" fontId="124" fillId="0" borderId="0"/>
    <xf numFmtId="0" fontId="124" fillId="0" borderId="0"/>
    <xf numFmtId="168"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8" fillId="24" borderId="161" applyNumberFormat="0" applyFont="0" applyAlignment="0" applyProtection="0"/>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64" fillId="0" borderId="163"/>
    <xf numFmtId="0" fontId="124" fillId="0" borderId="0"/>
    <xf numFmtId="0" fontId="18" fillId="0" borderId="0"/>
    <xf numFmtId="0" fontId="18" fillId="0" borderId="0"/>
    <xf numFmtId="0" fontId="18" fillId="0" borderId="0"/>
    <xf numFmtId="0" fontId="18" fillId="0" borderId="0"/>
    <xf numFmtId="0" fontId="18" fillId="0" borderId="0"/>
    <xf numFmtId="0" fontId="121" fillId="0" borderId="0"/>
    <xf numFmtId="0" fontId="50" fillId="49" borderId="0"/>
    <xf numFmtId="0" fontId="124" fillId="0" borderId="0"/>
    <xf numFmtId="0" fontId="122" fillId="0" borderId="0" applyNumberFormat="0" applyFill="0" applyBorder="0" applyAlignment="0" applyProtection="0">
      <alignment vertical="top"/>
      <protection locked="0"/>
    </xf>
    <xf numFmtId="0" fontId="124"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24" fillId="0" borderId="0"/>
    <xf numFmtId="17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4" fontId="18" fillId="0" borderId="0" applyFont="0" applyFill="0" applyBorder="0" applyAlignment="0" applyProtection="0"/>
    <xf numFmtId="165" fontId="18" fillId="0" borderId="0" applyFont="0" applyFill="0" applyBorder="0" applyAlignment="0" applyProtection="0"/>
    <xf numFmtId="174" fontId="18" fillId="0" borderId="0" applyFont="0" applyFill="0" applyBorder="0" applyAlignment="0" applyProtection="0"/>
    <xf numFmtId="165" fontId="18" fillId="0" borderId="0" applyFont="0" applyFill="0" applyBorder="0" applyAlignment="0" applyProtection="0"/>
    <xf numFmtId="174" fontId="18" fillId="0" borderId="0" applyFont="0" applyFill="0" applyBorder="0" applyAlignment="0" applyProtection="0"/>
    <xf numFmtId="165" fontId="18" fillId="0" borderId="0" applyFont="0" applyFill="0" applyBorder="0" applyAlignment="0" applyProtection="0"/>
    <xf numFmtId="174" fontId="18" fillId="0" borderId="0" applyFont="0" applyFill="0" applyBorder="0" applyAlignment="0" applyProtection="0"/>
    <xf numFmtId="165"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65"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66" fontId="18" fillId="0" borderId="0" applyFont="0" applyFill="0" applyBorder="0" applyAlignment="0" applyProtection="0"/>
    <xf numFmtId="0" fontId="124" fillId="0" borderId="0"/>
    <xf numFmtId="166"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applyNumberFormat="0" applyFill="0" applyBorder="0" applyAlignment="0" applyProtection="0"/>
    <xf numFmtId="0" fontId="18" fillId="0" borderId="0" applyFont="0" applyFill="0" applyBorder="0" applyAlignment="0" applyProtection="0"/>
    <xf numFmtId="0" fontId="124" fillId="0" borderId="0"/>
    <xf numFmtId="165" fontId="18" fillId="0" borderId="0" applyFont="0" applyFill="0" applyBorder="0" applyAlignment="0" applyProtection="0"/>
    <xf numFmtId="0" fontId="18" fillId="0" borderId="0" applyNumberForma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8" fillId="0" borderId="0" applyFont="0" applyFill="0" applyBorder="0" applyAlignment="0" applyProtection="0"/>
    <xf numFmtId="165" fontId="120"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64" fontId="18" fillId="0" borderId="0" applyFont="0" applyFill="0" applyBorder="0" applyAlignment="0" applyProtection="0"/>
    <xf numFmtId="0" fontId="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NumberFormat="0" applyFont="0" applyFill="0" applyBorder="0" applyAlignment="0" applyProtection="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ont="0" applyFill="0" applyBorder="0" applyAlignment="0" applyProtection="0">
      <alignment vertical="top"/>
    </xf>
    <xf numFmtId="0" fontId="18" fillId="0" borderId="0" applyNumberFormat="0" applyFont="0" applyFill="0" applyBorder="0" applyAlignment="0" applyProtection="0">
      <alignment vertical="top"/>
    </xf>
    <xf numFmtId="0" fontId="18" fillId="0" borderId="0" applyNumberFormat="0" applyFont="0" applyFill="0" applyBorder="0" applyAlignment="0" applyProtection="0">
      <alignment vertical="top"/>
    </xf>
    <xf numFmtId="0" fontId="18" fillId="0" borderId="0" applyNumberFormat="0" applyFont="0" applyFill="0" applyBorder="0" applyAlignment="0" applyProtection="0">
      <alignment vertical="top"/>
    </xf>
    <xf numFmtId="0" fontId="18" fillId="0" borderId="0" applyNumberFormat="0" applyFont="0" applyFill="0" applyBorder="0" applyAlignment="0" applyProtection="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1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24" fillId="0" borderId="0"/>
    <xf numFmtId="0" fontId="8" fillId="0" borderId="0"/>
    <xf numFmtId="0" fontId="18" fillId="0" borderId="0"/>
    <xf numFmtId="0" fontId="1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24"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3" fontId="29" fillId="0" borderId="33" applyFill="0" applyProtection="0">
      <alignment horizontal="left" wrapText="1"/>
    </xf>
    <xf numFmtId="3" fontId="29" fillId="0" borderId="33" applyFill="0" applyProtection="0">
      <alignment horizontal="left" wrapText="1"/>
    </xf>
    <xf numFmtId="3" fontId="29" fillId="0" borderId="33" applyFill="0" applyProtection="0">
      <alignment horizontal="left" wrapText="1"/>
    </xf>
    <xf numFmtId="3" fontId="29" fillId="0" borderId="33" applyFill="0" applyProtection="0">
      <alignment horizontal="left" wrapText="1"/>
    </xf>
    <xf numFmtId="3" fontId="29" fillId="0" borderId="33" applyFill="0" applyProtection="0">
      <alignment horizontal="left" wrapText="1"/>
    </xf>
    <xf numFmtId="3" fontId="29" fillId="0" borderId="33" applyFill="0" applyProtection="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23" fillId="0" borderId="0" applyNumberFormat="0" applyFill="0" applyBorder="0" applyAlignment="0" applyProtection="0">
      <alignment vertical="top"/>
      <protection locked="0"/>
    </xf>
    <xf numFmtId="0" fontId="7" fillId="0" borderId="0"/>
    <xf numFmtId="0" fontId="7"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182"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0" fontId="6" fillId="24" borderId="161" applyNumberFormat="0" applyFont="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126" fillId="0" borderId="0" applyNumberFormat="0" applyFill="0" applyBorder="0" applyAlignment="0" applyProtection="0"/>
    <xf numFmtId="0" fontId="5" fillId="24" borderId="161" applyNumberFormat="0" applyFont="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4" fillId="0" borderId="0"/>
    <xf numFmtId="165" fontId="4"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40" fontId="6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82"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105" fillId="0" borderId="0" applyNumberForma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4" fontId="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82"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0" fontId="4" fillId="24" borderId="161" applyNumberFormat="0" applyFont="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161" applyNumberFormat="0" applyFont="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3" fillId="0" borderId="0"/>
    <xf numFmtId="165" fontId="3" fillId="0" borderId="0" applyFont="0" applyFill="0" applyBorder="0" applyAlignment="0" applyProtection="0"/>
    <xf numFmtId="0" fontId="2" fillId="0" borderId="0"/>
    <xf numFmtId="0" fontId="1" fillId="0" borderId="0"/>
    <xf numFmtId="0" fontId="132" fillId="0" borderId="0"/>
    <xf numFmtId="41" fontId="12" fillId="0" borderId="0" applyFont="0" applyFill="0" applyBorder="0" applyAlignment="0" applyProtection="0"/>
  </cellStyleXfs>
  <cellXfs count="2176">
    <xf numFmtId="0" fontId="0" fillId="0" borderId="0" xfId="0"/>
    <xf numFmtId="0" fontId="16" fillId="0" borderId="0" xfId="3" applyFont="1" applyAlignment="1">
      <alignment vertical="center"/>
    </xf>
    <xf numFmtId="0" fontId="20" fillId="0" borderId="3" xfId="4" applyFont="1" applyBorder="1" applyAlignment="1">
      <alignment horizontal="center" vertical="center"/>
    </xf>
    <xf numFmtId="0" fontId="20" fillId="0" borderId="4" xfId="4" applyFont="1" applyBorder="1" applyAlignment="1">
      <alignment horizontal="center" vertical="center"/>
    </xf>
    <xf numFmtId="0" fontId="20" fillId="0" borderId="5" xfId="4" applyFont="1" applyBorder="1" applyAlignment="1">
      <alignment horizontal="center" vertical="center"/>
    </xf>
    <xf numFmtId="4" fontId="0" fillId="0" borderId="6" xfId="0" applyNumberFormat="1" applyBorder="1"/>
    <xf numFmtId="4" fontId="0" fillId="0" borderId="7" xfId="0" applyNumberFormat="1" applyBorder="1"/>
    <xf numFmtId="4" fontId="0" fillId="0" borderId="8" xfId="0" applyNumberFormat="1" applyBorder="1"/>
    <xf numFmtId="4" fontId="0" fillId="0" borderId="9" xfId="0" applyNumberFormat="1" applyBorder="1"/>
    <xf numFmtId="4" fontId="0" fillId="0" borderId="10" xfId="0" applyNumberFormat="1" applyBorder="1"/>
    <xf numFmtId="4" fontId="0" fillId="0" borderId="11" xfId="0" applyNumberFormat="1" applyBorder="1"/>
    <xf numFmtId="4" fontId="0" fillId="0" borderId="12" xfId="0" applyNumberFormat="1" applyBorder="1"/>
    <xf numFmtId="4" fontId="0" fillId="0" borderId="13" xfId="0" applyNumberFormat="1" applyBorder="1"/>
    <xf numFmtId="4" fontId="0" fillId="0" borderId="14" xfId="0" applyNumberFormat="1" applyBorder="1"/>
    <xf numFmtId="14" fontId="0" fillId="0" borderId="16" xfId="0" applyNumberFormat="1" applyBorder="1"/>
    <xf numFmtId="14" fontId="0" fillId="0" borderId="17" xfId="0" applyNumberFormat="1" applyBorder="1"/>
    <xf numFmtId="0" fontId="14" fillId="0" borderId="2" xfId="0" applyFont="1" applyBorder="1"/>
    <xf numFmtId="0" fontId="0" fillId="0" borderId="6" xfId="0" applyBorder="1"/>
    <xf numFmtId="0" fontId="0" fillId="0" borderId="8" xfId="0" applyBorder="1"/>
    <xf numFmtId="0" fontId="0" fillId="0" borderId="9" xfId="0" applyBorder="1"/>
    <xf numFmtId="0" fontId="0" fillId="0" borderId="11" xfId="0" applyBorder="1"/>
    <xf numFmtId="0" fontId="0" fillId="0" borderId="12" xfId="0" applyBorder="1"/>
    <xf numFmtId="0" fontId="0" fillId="0" borderId="14" xfId="0" applyBorder="1"/>
    <xf numFmtId="0" fontId="20" fillId="0" borderId="19" xfId="4" applyFont="1" applyBorder="1" applyAlignment="1">
      <alignment horizontal="center" vertical="center"/>
    </xf>
    <xf numFmtId="0" fontId="0" fillId="0" borderId="20" xfId="0" applyBorder="1"/>
    <xf numFmtId="0" fontId="0" fillId="0" borderId="21" xfId="0" applyBorder="1"/>
    <xf numFmtId="0" fontId="0" fillId="0" borderId="22" xfId="0" applyBorder="1"/>
    <xf numFmtId="0" fontId="20" fillId="0" borderId="2" xfId="4" applyFont="1" applyBorder="1" applyAlignment="1">
      <alignment horizontal="center" vertical="center"/>
    </xf>
    <xf numFmtId="0" fontId="0" fillId="0" borderId="15" xfId="0" applyBorder="1"/>
    <xf numFmtId="0" fontId="0" fillId="0" borderId="16" xfId="0" applyBorder="1"/>
    <xf numFmtId="0" fontId="0" fillId="0" borderId="17" xfId="0" applyBorder="1"/>
    <xf numFmtId="0" fontId="12" fillId="0" borderId="0" xfId="0" applyFont="1" applyAlignment="1">
      <alignment vertical="center"/>
    </xf>
    <xf numFmtId="3" fontId="21" fillId="0" borderId="26" xfId="5" quotePrefix="1" applyNumberFormat="1" applyFont="1" applyBorder="1" applyAlignment="1">
      <alignment horizontal="center" vertical="center" wrapText="1"/>
    </xf>
    <xf numFmtId="3" fontId="18" fillId="0" borderId="27" xfId="4" applyNumberFormat="1" applyFont="1" applyBorder="1" applyAlignment="1">
      <alignment horizontal="right" vertical="center"/>
    </xf>
    <xf numFmtId="3" fontId="18" fillId="3" borderId="10" xfId="4" applyNumberFormat="1" applyFont="1" applyFill="1" applyBorder="1" applyAlignment="1">
      <alignment horizontal="right" vertical="center"/>
    </xf>
    <xf numFmtId="3" fontId="18" fillId="0" borderId="10" xfId="4" applyNumberFormat="1" applyFont="1" applyBorder="1" applyAlignment="1">
      <alignment horizontal="right" vertical="center"/>
    </xf>
    <xf numFmtId="0" fontId="12" fillId="0" borderId="33" xfId="0" applyFont="1" applyBorder="1" applyAlignment="1">
      <alignment vertical="center"/>
    </xf>
    <xf numFmtId="0" fontId="21" fillId="0" borderId="34" xfId="4" applyFont="1" applyBorder="1" applyAlignment="1">
      <alignment horizontal="left" vertical="center" wrapText="1"/>
    </xf>
    <xf numFmtId="0" fontId="18" fillId="0" borderId="35" xfId="4" applyFont="1" applyBorder="1" applyAlignment="1">
      <alignment horizontal="left" vertical="center"/>
    </xf>
    <xf numFmtId="0" fontId="18" fillId="0" borderId="36" xfId="4" applyFont="1" applyBorder="1" applyAlignment="1">
      <alignment horizontal="left" vertical="center"/>
    </xf>
    <xf numFmtId="0" fontId="21" fillId="0" borderId="37" xfId="4" applyFont="1" applyBorder="1" applyAlignment="1">
      <alignment horizontal="left" vertical="center"/>
    </xf>
    <xf numFmtId="0" fontId="23" fillId="4" borderId="0" xfId="0" applyFont="1" applyFill="1"/>
    <xf numFmtId="0" fontId="24" fillId="0" borderId="0" xfId="0" applyFont="1"/>
    <xf numFmtId="0" fontId="0" fillId="0" borderId="33" xfId="0" applyBorder="1" applyAlignment="1">
      <alignment vertical="center"/>
    </xf>
    <xf numFmtId="3" fontId="18" fillId="0" borderId="23" xfId="4" applyNumberFormat="1" applyFont="1" applyBorder="1" applyAlignment="1">
      <alignment horizontal="right" vertical="center"/>
    </xf>
    <xf numFmtId="167" fontId="0" fillId="0" borderId="43" xfId="0" applyNumberFormat="1" applyBorder="1"/>
    <xf numFmtId="167" fontId="0" fillId="0" borderId="44" xfId="0" applyNumberFormat="1" applyBorder="1"/>
    <xf numFmtId="167" fontId="0" fillId="0" borderId="45" xfId="0" applyNumberFormat="1" applyBorder="1"/>
    <xf numFmtId="14" fontId="0" fillId="0" borderId="46" xfId="0" applyNumberFormat="1" applyBorder="1"/>
    <xf numFmtId="14" fontId="0" fillId="0" borderId="38" xfId="0" applyNumberFormat="1" applyBorder="1"/>
    <xf numFmtId="14" fontId="0" fillId="0" borderId="47" xfId="0" applyNumberFormat="1" applyBorder="1"/>
    <xf numFmtId="3" fontId="18" fillId="0" borderId="48" xfId="4" applyNumberFormat="1" applyFont="1" applyBorder="1" applyAlignment="1">
      <alignment horizontal="right" vertical="center"/>
    </xf>
    <xf numFmtId="3" fontId="21" fillId="0" borderId="49" xfId="4" applyNumberFormat="1" applyFont="1" applyBorder="1" applyAlignment="1">
      <alignment horizontal="right" vertical="center"/>
    </xf>
    <xf numFmtId="3" fontId="21" fillId="0" borderId="50" xfId="4" applyNumberFormat="1" applyFont="1" applyBorder="1" applyAlignment="1">
      <alignment horizontal="right" vertical="center"/>
    </xf>
    <xf numFmtId="3" fontId="21" fillId="0" borderId="51" xfId="4" applyNumberFormat="1" applyFont="1" applyBorder="1" applyAlignment="1">
      <alignment horizontal="right" vertical="center"/>
    </xf>
    <xf numFmtId="3" fontId="18" fillId="0" borderId="52" xfId="4" applyNumberFormat="1" applyFont="1" applyBorder="1" applyAlignment="1">
      <alignment horizontal="right" vertical="center"/>
    </xf>
    <xf numFmtId="3" fontId="18" fillId="0" borderId="53" xfId="4" applyNumberFormat="1" applyFont="1" applyBorder="1" applyAlignment="1">
      <alignment horizontal="right" vertical="center"/>
    </xf>
    <xf numFmtId="3" fontId="18" fillId="0" borderId="54" xfId="4" applyNumberFormat="1" applyFont="1" applyBorder="1" applyAlignment="1">
      <alignment horizontal="right" vertical="center"/>
    </xf>
    <xf numFmtId="3" fontId="18" fillId="0" borderId="55" xfId="4" applyNumberFormat="1" applyFont="1" applyBorder="1" applyAlignment="1">
      <alignment horizontal="right" vertical="center"/>
    </xf>
    <xf numFmtId="3" fontId="18" fillId="0" borderId="56" xfId="4" applyNumberFormat="1" applyFont="1" applyBorder="1" applyAlignment="1">
      <alignment horizontal="right" vertical="center"/>
    </xf>
    <xf numFmtId="3" fontId="18" fillId="0" borderId="57" xfId="4" applyNumberFormat="1" applyFont="1" applyBorder="1" applyAlignment="1">
      <alignment horizontal="right" vertical="center"/>
    </xf>
    <xf numFmtId="3" fontId="18" fillId="0" borderId="49" xfId="4" applyNumberFormat="1" applyFont="1" applyBorder="1" applyAlignment="1">
      <alignment horizontal="right" vertical="center"/>
    </xf>
    <xf numFmtId="3" fontId="18" fillId="0" borderId="58" xfId="4" applyNumberFormat="1" applyFont="1" applyBorder="1" applyAlignment="1">
      <alignment horizontal="right" vertical="center"/>
    </xf>
    <xf numFmtId="3" fontId="23" fillId="4" borderId="23" xfId="4" applyNumberFormat="1" applyFont="1" applyFill="1" applyBorder="1" applyAlignment="1">
      <alignment horizontal="right" vertical="center"/>
    </xf>
    <xf numFmtId="3" fontId="23" fillId="4" borderId="48" xfId="4" applyNumberFormat="1" applyFont="1" applyFill="1" applyBorder="1" applyAlignment="1">
      <alignment horizontal="right" vertical="center"/>
    </xf>
    <xf numFmtId="3" fontId="23" fillId="4" borderId="18" xfId="4" applyNumberFormat="1" applyFont="1" applyFill="1" applyBorder="1" applyAlignment="1">
      <alignment horizontal="right" vertical="center"/>
    </xf>
    <xf numFmtId="3" fontId="25" fillId="4" borderId="38" xfId="4" applyNumberFormat="1" applyFont="1" applyFill="1" applyBorder="1" applyAlignment="1">
      <alignment horizontal="right" vertical="center"/>
    </xf>
    <xf numFmtId="168" fontId="12" fillId="0" borderId="0" xfId="0" applyNumberFormat="1" applyFont="1" applyAlignment="1">
      <alignment vertical="center"/>
    </xf>
    <xf numFmtId="0" fontId="16" fillId="0" borderId="0" xfId="0" applyFont="1" applyAlignment="1">
      <alignment vertical="center"/>
    </xf>
    <xf numFmtId="3" fontId="18" fillId="0" borderId="0" xfId="0" applyNumberFormat="1" applyFont="1" applyAlignment="1">
      <alignment horizontal="right" vertical="center"/>
    </xf>
    <xf numFmtId="168" fontId="18" fillId="0" borderId="0" xfId="0" applyNumberFormat="1" applyFont="1" applyAlignment="1">
      <alignment horizontal="right" vertical="center"/>
    </xf>
    <xf numFmtId="168" fontId="21" fillId="0" borderId="24" xfId="5" quotePrefix="1" applyNumberFormat="1" applyFont="1" applyBorder="1" applyAlignment="1">
      <alignment horizontal="center" vertical="center" wrapText="1"/>
    </xf>
    <xf numFmtId="168" fontId="18" fillId="0" borderId="0" xfId="4" applyNumberFormat="1" applyFont="1" applyAlignment="1">
      <alignment horizontal="right" vertical="center"/>
    </xf>
    <xf numFmtId="3" fontId="18" fillId="0" borderId="0" xfId="0" applyNumberFormat="1" applyFont="1" applyAlignment="1">
      <alignment vertical="center"/>
    </xf>
    <xf numFmtId="169" fontId="0" fillId="0" borderId="0" xfId="1" applyNumberFormat="1" applyFont="1"/>
    <xf numFmtId="3" fontId="0" fillId="0" borderId="10" xfId="0" applyNumberFormat="1" applyBorder="1"/>
    <xf numFmtId="3" fontId="0" fillId="0" borderId="11" xfId="0" applyNumberFormat="1" applyBorder="1"/>
    <xf numFmtId="169" fontId="0" fillId="0" borderId="16" xfId="0" applyNumberFormat="1" applyBorder="1"/>
    <xf numFmtId="167" fontId="14" fillId="0" borderId="43" xfId="0" applyNumberFormat="1" applyFont="1" applyBorder="1"/>
    <xf numFmtId="167" fontId="14" fillId="0" borderId="44" xfId="0" applyNumberFormat="1" applyFont="1" applyBorder="1"/>
    <xf numFmtId="167" fontId="14" fillId="0" borderId="45" xfId="0" applyNumberFormat="1" applyFont="1" applyBorder="1"/>
    <xf numFmtId="168" fontId="18" fillId="0" borderId="10" xfId="4" applyNumberFormat="1" applyFont="1" applyBorder="1" applyAlignment="1">
      <alignment horizontal="right" vertical="center"/>
    </xf>
    <xf numFmtId="168" fontId="18" fillId="3" borderId="10" xfId="4" applyNumberFormat="1" applyFont="1" applyFill="1" applyBorder="1" applyAlignment="1">
      <alignment horizontal="right" vertical="center"/>
    </xf>
    <xf numFmtId="3" fontId="18" fillId="3" borderId="59" xfId="4" applyNumberFormat="1" applyFont="1" applyFill="1" applyBorder="1" applyAlignment="1">
      <alignment horizontal="right" vertical="center"/>
    </xf>
    <xf numFmtId="3" fontId="0" fillId="0" borderId="13" xfId="0" applyNumberFormat="1" applyBorder="1"/>
    <xf numFmtId="3" fontId="0" fillId="0" borderId="0" xfId="0" applyNumberFormat="1"/>
    <xf numFmtId="0" fontId="26" fillId="0" borderId="0" xfId="0" applyFont="1" applyAlignment="1">
      <alignment vertical="center"/>
    </xf>
    <xf numFmtId="168" fontId="21" fillId="0" borderId="26" xfId="5" quotePrefix="1" applyNumberFormat="1" applyFont="1" applyBorder="1" applyAlignment="1">
      <alignment horizontal="center" vertical="center" wrapText="1"/>
    </xf>
    <xf numFmtId="3" fontId="18" fillId="0" borderId="59" xfId="4" applyNumberFormat="1" applyFont="1" applyBorder="1" applyAlignment="1">
      <alignment horizontal="right" vertical="center"/>
    </xf>
    <xf numFmtId="0" fontId="20" fillId="0" borderId="3" xfId="4" applyFont="1" applyBorder="1" applyAlignment="1">
      <alignment horizontal="center" vertical="center" wrapText="1"/>
    </xf>
    <xf numFmtId="0" fontId="20" fillId="0" borderId="2" xfId="4" applyFont="1" applyBorder="1" applyAlignment="1">
      <alignment horizontal="center" vertical="center" wrapText="1"/>
    </xf>
    <xf numFmtId="0" fontId="0" fillId="0" borderId="61" xfId="0" applyBorder="1"/>
    <xf numFmtId="0" fontId="0" fillId="0" borderId="7" xfId="0" applyBorder="1"/>
    <xf numFmtId="0" fontId="0" fillId="0" borderId="10" xfId="0" applyBorder="1"/>
    <xf numFmtId="0" fontId="0" fillId="0" borderId="13" xfId="0" applyBorder="1"/>
    <xf numFmtId="0" fontId="20" fillId="0" borderId="4" xfId="4" applyFont="1" applyBorder="1" applyAlignment="1">
      <alignment horizontal="center" vertical="center" wrapText="1"/>
    </xf>
    <xf numFmtId="0" fontId="20" fillId="0" borderId="5" xfId="4" applyFont="1" applyBorder="1" applyAlignment="1">
      <alignment horizontal="center" vertical="center" wrapText="1"/>
    </xf>
    <xf numFmtId="0" fontId="0" fillId="6" borderId="16" xfId="0" applyFill="1" applyBorder="1"/>
    <xf numFmtId="0" fontId="0" fillId="6" borderId="62" xfId="0" applyFill="1" applyBorder="1"/>
    <xf numFmtId="1" fontId="0" fillId="0" borderId="10" xfId="0" applyNumberFormat="1" applyBorder="1"/>
    <xf numFmtId="1" fontId="0" fillId="7" borderId="10" xfId="0" applyNumberFormat="1" applyFill="1" applyBorder="1"/>
    <xf numFmtId="3" fontId="14" fillId="0" borderId="41" xfId="0" applyNumberFormat="1" applyFont="1" applyBorder="1" applyAlignment="1">
      <alignment horizontal="center" vertical="center"/>
    </xf>
    <xf numFmtId="3" fontId="14" fillId="0" borderId="39" xfId="0" applyNumberFormat="1" applyFont="1" applyBorder="1" applyAlignment="1">
      <alignment horizontal="center" vertical="center"/>
    </xf>
    <xf numFmtId="3" fontId="14" fillId="0" borderId="42" xfId="0" applyNumberFormat="1" applyFont="1" applyBorder="1" applyAlignment="1">
      <alignment horizontal="center" vertical="center"/>
    </xf>
    <xf numFmtId="3" fontId="23" fillId="4" borderId="33" xfId="4" applyNumberFormat="1" applyFont="1" applyFill="1" applyBorder="1" applyAlignment="1">
      <alignment horizontal="right" vertical="center"/>
    </xf>
    <xf numFmtId="3" fontId="23" fillId="4" borderId="36" xfId="4" applyNumberFormat="1" applyFont="1" applyFill="1" applyBorder="1" applyAlignment="1">
      <alignment horizontal="right" vertical="center"/>
    </xf>
    <xf numFmtId="1" fontId="0" fillId="0" borderId="55" xfId="0" applyNumberFormat="1" applyBorder="1"/>
    <xf numFmtId="1" fontId="0" fillId="0" borderId="56" xfId="0" applyNumberFormat="1" applyBorder="1"/>
    <xf numFmtId="3" fontId="23" fillId="4" borderId="0" xfId="4" applyNumberFormat="1" applyFont="1" applyFill="1" applyAlignment="1">
      <alignment horizontal="right" vertical="center"/>
    </xf>
    <xf numFmtId="0" fontId="18" fillId="0" borderId="61" xfId="4" applyFont="1" applyBorder="1" applyAlignment="1">
      <alignment horizontal="left" vertical="center"/>
    </xf>
    <xf numFmtId="167" fontId="0" fillId="0" borderId="52" xfId="0" applyNumberFormat="1" applyBorder="1"/>
    <xf numFmtId="167" fontId="0" fillId="0" borderId="53" xfId="0" applyNumberFormat="1" applyBorder="1"/>
    <xf numFmtId="167" fontId="0" fillId="0" borderId="54" xfId="0" applyNumberFormat="1" applyBorder="1"/>
    <xf numFmtId="0" fontId="18" fillId="0" borderId="32" xfId="4" applyFont="1" applyBorder="1" applyAlignment="1">
      <alignment horizontal="left" vertical="center"/>
    </xf>
    <xf numFmtId="3" fontId="23" fillId="4" borderId="69" xfId="4" applyNumberFormat="1" applyFont="1" applyFill="1" applyBorder="1" applyAlignment="1">
      <alignment horizontal="right" vertical="center"/>
    </xf>
    <xf numFmtId="14" fontId="0" fillId="0" borderId="70" xfId="0" applyNumberFormat="1" applyBorder="1"/>
    <xf numFmtId="14" fontId="0" fillId="0" borderId="71" xfId="0" applyNumberFormat="1" applyBorder="1"/>
    <xf numFmtId="14" fontId="0" fillId="0" borderId="72" xfId="0" applyNumberFormat="1" applyBorder="1"/>
    <xf numFmtId="168" fontId="21" fillId="0" borderId="25" xfId="5" quotePrefix="1" applyNumberFormat="1" applyFont="1" applyBorder="1" applyAlignment="1">
      <alignment horizontal="center" vertical="center" wrapText="1"/>
    </xf>
    <xf numFmtId="167" fontId="14" fillId="0" borderId="26" xfId="0" applyNumberFormat="1" applyFont="1" applyBorder="1"/>
    <xf numFmtId="168" fontId="18" fillId="0" borderId="27" xfId="4" applyNumberFormat="1" applyFont="1" applyBorder="1" applyAlignment="1">
      <alignment horizontal="right" vertical="center"/>
    </xf>
    <xf numFmtId="0" fontId="14" fillId="0" borderId="17" xfId="0" applyFont="1" applyBorder="1"/>
    <xf numFmtId="0" fontId="20" fillId="0" borderId="12" xfId="4" applyFont="1" applyBorder="1" applyAlignment="1">
      <alignment horizontal="center" vertical="center"/>
    </xf>
    <xf numFmtId="0" fontId="20" fillId="0" borderId="13" xfId="4" applyFont="1" applyBorder="1" applyAlignment="1">
      <alignment horizontal="center" vertical="center"/>
    </xf>
    <xf numFmtId="0" fontId="20" fillId="0" borderId="14" xfId="4" applyFont="1" applyBorder="1" applyAlignment="1">
      <alignment horizontal="center" vertical="center"/>
    </xf>
    <xf numFmtId="0" fontId="20" fillId="0" borderId="17" xfId="4" applyFont="1" applyBorder="1" applyAlignment="1">
      <alignment horizontal="center" vertical="center"/>
    </xf>
    <xf numFmtId="0" fontId="20" fillId="0" borderId="22" xfId="4" applyFont="1" applyBorder="1" applyAlignment="1">
      <alignment horizontal="center" vertical="center"/>
    </xf>
    <xf numFmtId="0" fontId="20" fillId="0" borderId="12" xfId="4" applyFont="1" applyBorder="1" applyAlignment="1">
      <alignment horizontal="center" vertical="center" wrapText="1"/>
    </xf>
    <xf numFmtId="0" fontId="20" fillId="0" borderId="13" xfId="4" applyFont="1" applyBorder="1" applyAlignment="1">
      <alignment horizontal="center" vertical="center" wrapText="1"/>
    </xf>
    <xf numFmtId="0" fontId="20" fillId="0" borderId="14" xfId="4" applyFont="1" applyBorder="1" applyAlignment="1">
      <alignment horizontal="center" vertical="center" wrapText="1"/>
    </xf>
    <xf numFmtId="0" fontId="22" fillId="6" borderId="69" xfId="0" applyFont="1" applyFill="1" applyBorder="1"/>
    <xf numFmtId="0" fontId="22" fillId="6" borderId="74" xfId="0" applyFont="1" applyFill="1" applyBorder="1"/>
    <xf numFmtId="1" fontId="0" fillId="0" borderId="11" xfId="0" applyNumberFormat="1" applyBorder="1"/>
    <xf numFmtId="0" fontId="21" fillId="0" borderId="75" xfId="4" applyFont="1" applyBorder="1" applyAlignment="1">
      <alignment horizontal="left" vertical="center"/>
    </xf>
    <xf numFmtId="3" fontId="25" fillId="4" borderId="76" xfId="4" applyNumberFormat="1" applyFont="1" applyFill="1" applyBorder="1" applyAlignment="1">
      <alignment horizontal="right" vertical="center"/>
    </xf>
    <xf numFmtId="1" fontId="14" fillId="0" borderId="43" xfId="0" applyNumberFormat="1" applyFont="1" applyBorder="1"/>
    <xf numFmtId="1" fontId="14" fillId="0" borderId="44" xfId="0" applyNumberFormat="1" applyFont="1" applyBorder="1"/>
    <xf numFmtId="1" fontId="14" fillId="0" borderId="45" xfId="0" applyNumberFormat="1" applyFont="1" applyBorder="1"/>
    <xf numFmtId="0" fontId="21" fillId="0" borderId="32" xfId="4" applyFont="1" applyBorder="1" applyAlignment="1">
      <alignment horizontal="left" vertical="center"/>
    </xf>
    <xf numFmtId="3" fontId="25" fillId="4" borderId="69" xfId="4" applyNumberFormat="1" applyFont="1" applyFill="1" applyBorder="1" applyAlignment="1">
      <alignment horizontal="right" vertical="center"/>
    </xf>
    <xf numFmtId="1" fontId="14" fillId="0" borderId="70" xfId="0" applyNumberFormat="1" applyFont="1" applyBorder="1"/>
    <xf numFmtId="1" fontId="14" fillId="0" borderId="71" xfId="0" applyNumberFormat="1" applyFont="1" applyBorder="1"/>
    <xf numFmtId="1" fontId="14" fillId="0" borderId="72" xfId="0" applyNumberFormat="1" applyFont="1" applyBorder="1"/>
    <xf numFmtId="168" fontId="21" fillId="0" borderId="27" xfId="5" quotePrefix="1" applyNumberFormat="1" applyFont="1" applyBorder="1" applyAlignment="1">
      <alignment horizontal="center" vertical="center" wrapText="1"/>
    </xf>
    <xf numFmtId="167" fontId="21" fillId="0" borderId="26" xfId="5" quotePrefix="1" applyNumberFormat="1" applyFont="1" applyBorder="1" applyAlignment="1">
      <alignment horizontal="center" vertical="center" wrapText="1"/>
    </xf>
    <xf numFmtId="0" fontId="18" fillId="0" borderId="0" xfId="4" applyFont="1" applyAlignment="1">
      <alignment horizontal="left" vertical="center"/>
    </xf>
    <xf numFmtId="168" fontId="18" fillId="0" borderId="59" xfId="4" applyNumberFormat="1" applyFont="1" applyBorder="1" applyAlignment="1">
      <alignment horizontal="right" vertical="center"/>
    </xf>
    <xf numFmtId="168" fontId="18" fillId="3" borderId="59" xfId="4" applyNumberFormat="1" applyFont="1" applyFill="1" applyBorder="1" applyAlignment="1">
      <alignment horizontal="right" vertical="center"/>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3" fontId="23" fillId="4" borderId="71" xfId="4" applyNumberFormat="1" applyFont="1" applyFill="1" applyBorder="1" applyAlignment="1">
      <alignment horizontal="right" vertical="center"/>
    </xf>
    <xf numFmtId="167" fontId="21" fillId="0" borderId="27" xfId="5" quotePrefix="1" applyNumberFormat="1" applyFont="1" applyBorder="1" applyAlignment="1">
      <alignment horizontal="center" vertical="center" wrapText="1"/>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0" fillId="0" borderId="77" xfId="0" applyBorder="1"/>
    <xf numFmtId="0" fontId="0" fillId="0" borderId="60" xfId="0" applyBorder="1"/>
    <xf numFmtId="0" fontId="0" fillId="0" borderId="78" xfId="0" applyBorder="1"/>
    <xf numFmtId="0" fontId="28" fillId="0" borderId="0" xfId="0" applyFont="1"/>
    <xf numFmtId="170" fontId="28" fillId="0" borderId="0" xfId="0" applyNumberFormat="1" applyFont="1"/>
    <xf numFmtId="3" fontId="29" fillId="0" borderId="0" xfId="0" applyNumberFormat="1" applyFont="1" applyAlignment="1">
      <alignment vertical="center"/>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18" fillId="0" borderId="36" xfId="4" applyFont="1" applyBorder="1" applyAlignment="1">
      <alignment horizontal="left" vertical="center" wrapText="1"/>
    </xf>
    <xf numFmtId="0" fontId="0" fillId="0" borderId="52" xfId="0" applyBorder="1"/>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49" xfId="0" applyBorder="1"/>
    <xf numFmtId="0" fontId="0" fillId="0" borderId="58" xfId="0" applyBorder="1"/>
    <xf numFmtId="0" fontId="0" fillId="0" borderId="33" xfId="0" applyBorder="1" applyAlignment="1">
      <alignment vertical="center" wrapText="1"/>
    </xf>
    <xf numFmtId="0" fontId="18" fillId="0" borderId="66" xfId="4" applyFont="1" applyBorder="1" applyAlignment="1">
      <alignment horizontal="left" vertical="center" wrapText="1"/>
    </xf>
    <xf numFmtId="0" fontId="23" fillId="6" borderId="0" xfId="0" applyFont="1" applyFill="1"/>
    <xf numFmtId="0" fontId="14" fillId="0" borderId="2" xfId="0" applyFont="1" applyBorder="1" applyAlignment="1">
      <alignment horizontal="center" vertical="center" wrapText="1"/>
    </xf>
    <xf numFmtId="0" fontId="20" fillId="0" borderId="19" xfId="4" applyFont="1" applyBorder="1" applyAlignment="1">
      <alignment horizontal="center" vertical="center" wrapText="1"/>
    </xf>
    <xf numFmtId="0" fontId="23" fillId="6" borderId="0" xfId="0" applyFont="1" applyFill="1" applyAlignment="1">
      <alignment horizontal="center" vertical="center" wrapText="1"/>
    </xf>
    <xf numFmtId="1" fontId="0" fillId="0" borderId="9" xfId="0" applyNumberFormat="1" applyBorder="1"/>
    <xf numFmtId="169" fontId="0" fillId="0" borderId="63" xfId="1" applyNumberFormat="1" applyFont="1" applyBorder="1"/>
    <xf numFmtId="169" fontId="0" fillId="0" borderId="9" xfId="1" applyNumberFormat="1" applyFont="1" applyBorder="1"/>
    <xf numFmtId="169" fontId="0" fillId="0" borderId="10" xfId="1" applyNumberFormat="1" applyFont="1" applyBorder="1"/>
    <xf numFmtId="1" fontId="0" fillId="0" borderId="12" xfId="0" applyNumberFormat="1" applyBorder="1"/>
    <xf numFmtId="1" fontId="0" fillId="0" borderId="6" xfId="0" applyNumberFormat="1" applyBorder="1"/>
    <xf numFmtId="1" fontId="0" fillId="0" borderId="7" xfId="0" applyNumberFormat="1" applyBorder="1"/>
    <xf numFmtId="1" fontId="0" fillId="0" borderId="8" xfId="0" applyNumberFormat="1" applyBorder="1"/>
    <xf numFmtId="1" fontId="0" fillId="0" borderId="13" xfId="0" applyNumberFormat="1" applyBorder="1"/>
    <xf numFmtId="1" fontId="0" fillId="0" borderId="14" xfId="0" applyNumberFormat="1" applyBorder="1"/>
    <xf numFmtId="0" fontId="0" fillId="8" borderId="73" xfId="0" applyFill="1" applyBorder="1"/>
    <xf numFmtId="0" fontId="0" fillId="8" borderId="69" xfId="0" applyFill="1" applyBorder="1"/>
    <xf numFmtId="0" fontId="0" fillId="8" borderId="74" xfId="0" applyFill="1" applyBorder="1"/>
    <xf numFmtId="0" fontId="18" fillId="0" borderId="0" xfId="0" applyFont="1" applyAlignment="1">
      <alignment vertical="center"/>
    </xf>
    <xf numFmtId="0" fontId="18" fillId="2" borderId="27" xfId="4" applyFont="1" applyFill="1" applyBorder="1" applyAlignment="1">
      <alignment horizontal="left" vertical="center" wrapText="1"/>
    </xf>
    <xf numFmtId="168" fontId="18" fillId="0" borderId="28" xfId="4" applyNumberFormat="1" applyFont="1" applyBorder="1" applyAlignment="1">
      <alignment horizontal="right" vertical="center"/>
    </xf>
    <xf numFmtId="0" fontId="18" fillId="3" borderId="10" xfId="4" applyFont="1" applyFill="1" applyBorder="1" applyAlignment="1">
      <alignment horizontal="left" vertical="center" wrapText="1"/>
    </xf>
    <xf numFmtId="168" fontId="18" fillId="3" borderId="29" xfId="4" applyNumberFormat="1" applyFont="1" applyFill="1" applyBorder="1" applyAlignment="1">
      <alignment horizontal="right" vertical="center"/>
    </xf>
    <xf numFmtId="0" fontId="18" fillId="2" borderId="10" xfId="4" applyFont="1" applyFill="1" applyBorder="1" applyAlignment="1">
      <alignment horizontal="left" vertical="center" wrapText="1"/>
    </xf>
    <xf numFmtId="168" fontId="18" fillId="0" borderId="29" xfId="4" applyNumberFormat="1" applyFont="1" applyBorder="1" applyAlignment="1">
      <alignment horizontal="right" vertical="center"/>
    </xf>
    <xf numFmtId="168" fontId="18" fillId="3" borderId="31" xfId="4" applyNumberFormat="1" applyFont="1" applyFill="1" applyBorder="1" applyAlignment="1">
      <alignment horizontal="right" vertical="center"/>
    </xf>
    <xf numFmtId="168" fontId="18" fillId="3" borderId="27" xfId="4" applyNumberFormat="1" applyFont="1" applyFill="1" applyBorder="1" applyAlignment="1">
      <alignment horizontal="right" vertical="center"/>
    </xf>
    <xf numFmtId="168" fontId="18" fillId="3" borderId="28" xfId="4" applyNumberFormat="1" applyFont="1" applyFill="1" applyBorder="1" applyAlignment="1">
      <alignment horizontal="right" vertical="center"/>
    </xf>
    <xf numFmtId="0" fontId="18" fillId="2" borderId="59" xfId="4" applyFont="1" applyFill="1" applyBorder="1" applyAlignment="1">
      <alignment horizontal="left" vertical="center" wrapText="1"/>
    </xf>
    <xf numFmtId="168" fontId="18" fillId="0" borderId="31" xfId="4" applyNumberFormat="1" applyFont="1" applyBorder="1" applyAlignment="1">
      <alignment horizontal="right" vertical="center"/>
    </xf>
    <xf numFmtId="168" fontId="18" fillId="0" borderId="26" xfId="4" applyNumberFormat="1" applyFont="1" applyBorder="1" applyAlignment="1">
      <alignment horizontal="right" vertical="center"/>
    </xf>
    <xf numFmtId="168" fontId="18" fillId="0" borderId="24" xfId="4" applyNumberFormat="1" applyFont="1" applyBorder="1" applyAlignment="1">
      <alignment horizontal="right" vertical="center"/>
    </xf>
    <xf numFmtId="168" fontId="18" fillId="3" borderId="23" xfId="4" applyNumberFormat="1" applyFont="1" applyFill="1" applyBorder="1" applyAlignment="1">
      <alignment horizontal="right" vertical="center"/>
    </xf>
    <xf numFmtId="168" fontId="18" fillId="3" borderId="26" xfId="4" applyNumberFormat="1" applyFont="1" applyFill="1" applyBorder="1" applyAlignment="1">
      <alignment horizontal="right" vertical="center"/>
    </xf>
    <xf numFmtId="168" fontId="18" fillId="3" borderId="24" xfId="4" applyNumberFormat="1" applyFont="1" applyFill="1" applyBorder="1" applyAlignment="1">
      <alignment horizontal="right" vertical="center"/>
    </xf>
    <xf numFmtId="0" fontId="18" fillId="3" borderId="59" xfId="4" applyFont="1" applyFill="1" applyBorder="1" applyAlignment="1">
      <alignment horizontal="left" vertical="center" wrapText="1"/>
    </xf>
    <xf numFmtId="168" fontId="18" fillId="3" borderId="30" xfId="4" applyNumberFormat="1" applyFont="1" applyFill="1" applyBorder="1" applyAlignment="1">
      <alignment horizontal="right" vertical="center"/>
    </xf>
    <xf numFmtId="0" fontId="21" fillId="0" borderId="27" xfId="4" applyFont="1" applyBorder="1" applyAlignment="1">
      <alignment horizontal="center" vertical="center" wrapText="1"/>
    </xf>
    <xf numFmtId="0" fontId="22" fillId="6" borderId="0" xfId="0" applyFont="1" applyFill="1"/>
    <xf numFmtId="0" fontId="0" fillId="0" borderId="81" xfId="0" applyBorder="1"/>
    <xf numFmtId="0" fontId="0" fillId="0" borderId="18" xfId="0" applyBorder="1"/>
    <xf numFmtId="0" fontId="0" fillId="0" borderId="82" xfId="0" applyBorder="1"/>
    <xf numFmtId="0" fontId="14" fillId="0" borderId="79" xfId="0" applyFont="1" applyBorder="1" applyAlignment="1">
      <alignment horizontal="center" vertical="center" wrapText="1"/>
    </xf>
    <xf numFmtId="0" fontId="14" fillId="0" borderId="5" xfId="0" applyFont="1" applyBorder="1" applyAlignment="1">
      <alignment horizontal="center" vertical="center" wrapText="1"/>
    </xf>
    <xf numFmtId="0" fontId="0" fillId="0" borderId="83" xfId="0" applyBorder="1"/>
    <xf numFmtId="0" fontId="0" fillId="0" borderId="29" xfId="0" applyBorder="1"/>
    <xf numFmtId="1" fontId="0" fillId="0" borderId="29" xfId="0" applyNumberFormat="1" applyBorder="1"/>
    <xf numFmtId="1" fontId="0" fillId="0" borderId="18" xfId="0" applyNumberFormat="1" applyBorder="1"/>
    <xf numFmtId="1" fontId="0" fillId="0" borderId="22" xfId="0" applyNumberFormat="1" applyBorder="1"/>
    <xf numFmtId="0" fontId="31" fillId="0" borderId="0" xfId="0" applyFont="1" applyAlignment="1">
      <alignment vertical="center"/>
    </xf>
    <xf numFmtId="0" fontId="31" fillId="0" borderId="0" xfId="0" applyFont="1"/>
    <xf numFmtId="0" fontId="12" fillId="0" borderId="26" xfId="0" applyFont="1" applyBorder="1" applyAlignment="1">
      <alignment vertical="center"/>
    </xf>
    <xf numFmtId="0" fontId="21" fillId="2" borderId="26" xfId="4" applyFont="1" applyFill="1" applyBorder="1" applyAlignment="1">
      <alignment horizontal="center" vertical="center" wrapText="1"/>
    </xf>
    <xf numFmtId="0" fontId="21" fillId="0" borderId="26" xfId="4" applyFont="1" applyBorder="1" applyAlignment="1">
      <alignment horizontal="center" vertical="center" wrapText="1"/>
    </xf>
    <xf numFmtId="3" fontId="18" fillId="3" borderId="27" xfId="5" applyNumberFormat="1" applyFill="1" applyBorder="1" applyAlignment="1">
      <alignment horizontal="left" vertical="center" wrapText="1"/>
    </xf>
    <xf numFmtId="171" fontId="18" fillId="3" borderId="27" xfId="1" applyNumberFormat="1" applyFont="1" applyFill="1" applyBorder="1" applyAlignment="1">
      <alignment horizontal="right" vertical="center" wrapText="1"/>
    </xf>
    <xf numFmtId="170" fontId="18" fillId="3" borderId="27" xfId="2" applyNumberFormat="1" applyFont="1" applyFill="1" applyBorder="1" applyAlignment="1">
      <alignment horizontal="right" vertical="center"/>
    </xf>
    <xf numFmtId="3" fontId="18" fillId="0" borderId="10" xfId="5" applyNumberFormat="1" applyBorder="1" applyAlignment="1">
      <alignment horizontal="left" vertical="center" wrapText="1"/>
    </xf>
    <xf numFmtId="170" fontId="18" fillId="0" borderId="10" xfId="2" applyNumberFormat="1" applyFont="1" applyBorder="1" applyAlignment="1">
      <alignment horizontal="right" vertical="center"/>
    </xf>
    <xf numFmtId="3" fontId="18" fillId="3" borderId="10" xfId="5" applyNumberFormat="1" applyFill="1" applyBorder="1" applyAlignment="1">
      <alignment horizontal="left" vertical="center" wrapText="1"/>
    </xf>
    <xf numFmtId="170" fontId="18" fillId="3" borderId="10" xfId="2" applyNumberFormat="1" applyFont="1" applyFill="1" applyBorder="1" applyAlignment="1">
      <alignment horizontal="right" vertical="center"/>
    </xf>
    <xf numFmtId="3" fontId="21" fillId="3" borderId="26" xfId="5" applyNumberFormat="1" applyFont="1" applyFill="1" applyBorder="1" applyAlignment="1">
      <alignment horizontal="left" vertical="center" wrapText="1"/>
    </xf>
    <xf numFmtId="3" fontId="21" fillId="3" borderId="26" xfId="4" applyNumberFormat="1" applyFont="1" applyFill="1" applyBorder="1" applyAlignment="1">
      <alignment horizontal="right" vertical="center"/>
    </xf>
    <xf numFmtId="170" fontId="21" fillId="3" borderId="26" xfId="2" applyNumberFormat="1" applyFont="1" applyFill="1" applyBorder="1" applyAlignment="1">
      <alignment horizontal="right" vertical="center"/>
    </xf>
    <xf numFmtId="171" fontId="18" fillId="0" borderId="10" xfId="1" applyNumberFormat="1" applyFont="1" applyBorder="1" applyAlignment="1">
      <alignment horizontal="right" vertical="center" wrapText="1"/>
    </xf>
    <xf numFmtId="171" fontId="18" fillId="3" borderId="10" xfId="1" applyNumberFormat="1" applyFont="1" applyFill="1" applyBorder="1" applyAlignment="1">
      <alignment horizontal="right" vertical="center" wrapText="1"/>
    </xf>
    <xf numFmtId="3" fontId="18" fillId="0" borderId="59" xfId="5" applyNumberFormat="1" applyBorder="1" applyAlignment="1">
      <alignment horizontal="left" vertical="center" wrapText="1"/>
    </xf>
    <xf numFmtId="171" fontId="18" fillId="0" borderId="59" xfId="1" applyNumberFormat="1" applyFont="1" applyBorder="1" applyAlignment="1">
      <alignment horizontal="right" vertical="center" wrapText="1"/>
    </xf>
    <xf numFmtId="170" fontId="18" fillId="0" borderId="59" xfId="2" applyNumberFormat="1" applyFont="1" applyBorder="1" applyAlignment="1">
      <alignment horizontal="right" vertical="center"/>
    </xf>
    <xf numFmtId="3" fontId="18" fillId="3" borderId="26" xfId="5" applyNumberFormat="1" applyFill="1" applyBorder="1" applyAlignment="1">
      <alignment horizontal="left" vertical="center" wrapText="1"/>
    </xf>
    <xf numFmtId="171" fontId="18" fillId="3" borderId="26" xfId="1" applyNumberFormat="1" applyFont="1" applyFill="1" applyBorder="1" applyAlignment="1">
      <alignment horizontal="right" vertical="center" wrapText="1"/>
    </xf>
    <xf numFmtId="170" fontId="18" fillId="3" borderId="26" xfId="2" applyNumberFormat="1" applyFont="1" applyFill="1" applyBorder="1" applyAlignment="1">
      <alignment horizontal="right" vertical="center"/>
    </xf>
    <xf numFmtId="3" fontId="18" fillId="0" borderId="26" xfId="5" applyNumberFormat="1" applyBorder="1" applyAlignment="1">
      <alignment horizontal="left" vertical="center" wrapText="1"/>
    </xf>
    <xf numFmtId="171" fontId="18" fillId="0" borderId="26" xfId="1" applyNumberFormat="1" applyFont="1" applyBorder="1" applyAlignment="1">
      <alignment horizontal="right" vertical="center" wrapText="1"/>
    </xf>
    <xf numFmtId="170" fontId="18" fillId="0" borderId="26" xfId="2" applyNumberFormat="1" applyFont="1" applyBorder="1" applyAlignment="1">
      <alignment horizontal="right" vertical="center"/>
    </xf>
    <xf numFmtId="3" fontId="12" fillId="0" borderId="0" xfId="0" applyNumberFormat="1" applyFont="1" applyAlignment="1">
      <alignment horizontal="right" vertical="center"/>
    </xf>
    <xf numFmtId="0" fontId="18" fillId="2" borderId="27" xfId="4" applyFont="1" applyFill="1" applyBorder="1" applyAlignment="1">
      <alignment horizontal="left" vertical="center"/>
    </xf>
    <xf numFmtId="170" fontId="18" fillId="0" borderId="27" xfId="2" applyNumberFormat="1" applyFont="1" applyBorder="1" applyAlignment="1">
      <alignment horizontal="right" vertical="center"/>
    </xf>
    <xf numFmtId="0" fontId="18" fillId="3" borderId="10" xfId="4" applyFont="1" applyFill="1" applyBorder="1" applyAlignment="1">
      <alignment horizontal="left" vertical="center"/>
    </xf>
    <xf numFmtId="0" fontId="18" fillId="2" borderId="10" xfId="4" applyFont="1" applyFill="1" applyBorder="1" applyAlignment="1">
      <alignment horizontal="left" vertical="center"/>
    </xf>
    <xf numFmtId="0" fontId="18" fillId="0" borderId="10" xfId="4" applyFont="1" applyBorder="1" applyAlignment="1">
      <alignment horizontal="left" vertical="center"/>
    </xf>
    <xf numFmtId="0" fontId="18" fillId="2" borderId="59" xfId="4" applyFont="1" applyFill="1" applyBorder="1" applyAlignment="1">
      <alignment horizontal="left" vertical="center"/>
    </xf>
    <xf numFmtId="3" fontId="12" fillId="0" borderId="0" xfId="0" applyNumberFormat="1" applyFont="1" applyAlignment="1">
      <alignment vertical="center"/>
    </xf>
    <xf numFmtId="0" fontId="21" fillId="0" borderId="26" xfId="4" applyFont="1" applyBorder="1" applyAlignment="1">
      <alignment horizontal="left" vertical="center" wrapText="1"/>
    </xf>
    <xf numFmtId="0" fontId="14" fillId="0" borderId="5" xfId="0" applyFont="1" applyBorder="1" applyAlignment="1">
      <alignment horizontal="center" vertical="center"/>
    </xf>
    <xf numFmtId="0" fontId="14" fillId="0" borderId="79" xfId="0" applyFont="1" applyBorder="1" applyAlignment="1">
      <alignment horizontal="center" vertical="center"/>
    </xf>
    <xf numFmtId="0" fontId="21" fillId="0" borderId="35" xfId="4" applyFont="1" applyBorder="1" applyAlignment="1">
      <alignment horizontal="left" vertical="center" wrapText="1"/>
    </xf>
    <xf numFmtId="0" fontId="21" fillId="2" borderId="27" xfId="4" applyFont="1" applyFill="1" applyBorder="1" applyAlignment="1">
      <alignment horizontal="center" vertical="center" wrapText="1"/>
    </xf>
    <xf numFmtId="0" fontId="18" fillId="0" borderId="52" xfId="4" applyFont="1" applyBorder="1" applyAlignment="1">
      <alignment horizontal="left" vertical="center"/>
    </xf>
    <xf numFmtId="0" fontId="18" fillId="0" borderId="55" xfId="4" applyFont="1" applyBorder="1" applyAlignment="1">
      <alignment horizontal="left" vertical="center"/>
    </xf>
    <xf numFmtId="3" fontId="0" fillId="0" borderId="49" xfId="0" applyNumberFormat="1" applyBorder="1"/>
    <xf numFmtId="3" fontId="0" fillId="0" borderId="58" xfId="0" applyNumberFormat="1" applyBorder="1"/>
    <xf numFmtId="0" fontId="14" fillId="0" borderId="80" xfId="0" applyFont="1" applyBorder="1" applyAlignment="1">
      <alignment horizontal="center" vertical="center"/>
    </xf>
    <xf numFmtId="0" fontId="18" fillId="0" borderId="70" xfId="4" applyFont="1" applyBorder="1" applyAlignment="1">
      <alignment horizontal="left" vertical="center"/>
    </xf>
    <xf numFmtId="0" fontId="0" fillId="0" borderId="69" xfId="0" applyBorder="1"/>
    <xf numFmtId="3" fontId="0" fillId="0" borderId="69" xfId="0" applyNumberFormat="1" applyBorder="1"/>
    <xf numFmtId="3" fontId="0" fillId="0" borderId="74" xfId="0" applyNumberFormat="1" applyBorder="1"/>
    <xf numFmtId="3" fontId="23" fillId="4" borderId="41" xfId="4" applyNumberFormat="1" applyFont="1" applyFill="1" applyBorder="1" applyAlignment="1">
      <alignment horizontal="right" vertical="center"/>
    </xf>
    <xf numFmtId="3" fontId="23" fillId="4" borderId="84" xfId="4" applyNumberFormat="1" applyFont="1" applyFill="1" applyBorder="1" applyAlignment="1">
      <alignment horizontal="right" vertical="center"/>
    </xf>
    <xf numFmtId="3" fontId="0" fillId="0" borderId="57" xfId="0" applyNumberFormat="1" applyBorder="1"/>
    <xf numFmtId="3" fontId="0" fillId="0" borderId="73" xfId="0" applyNumberFormat="1" applyBorder="1"/>
    <xf numFmtId="0" fontId="0" fillId="0" borderId="67" xfId="0" applyBorder="1"/>
    <xf numFmtId="0" fontId="22" fillId="6" borderId="85" xfId="0" applyFont="1" applyFill="1" applyBorder="1"/>
    <xf numFmtId="0" fontId="22" fillId="6" borderId="29" xfId="0" applyFont="1" applyFill="1" applyBorder="1"/>
    <xf numFmtId="0" fontId="22" fillId="6" borderId="87" xfId="0" applyFont="1" applyFill="1" applyBorder="1"/>
    <xf numFmtId="169" fontId="18" fillId="0" borderId="52" xfId="1" applyNumberFormat="1" applyFont="1" applyFill="1" applyBorder="1" applyAlignment="1">
      <alignment horizontal="right" vertical="center"/>
    </xf>
    <xf numFmtId="169" fontId="0" fillId="0" borderId="53" xfId="1" applyNumberFormat="1" applyFont="1" applyBorder="1"/>
    <xf numFmtId="169" fontId="0" fillId="0" borderId="54" xfId="1" applyNumberFormat="1" applyFont="1" applyBorder="1"/>
    <xf numFmtId="169" fontId="0" fillId="0" borderId="56" xfId="1" applyNumberFormat="1" applyFont="1" applyBorder="1"/>
    <xf numFmtId="169" fontId="14" fillId="0" borderId="71" xfId="1" applyNumberFormat="1" applyFont="1" applyBorder="1"/>
    <xf numFmtId="169" fontId="14" fillId="0" borderId="72" xfId="1" applyNumberFormat="1" applyFont="1" applyBorder="1"/>
    <xf numFmtId="0" fontId="14" fillId="0" borderId="32" xfId="0" applyFont="1" applyBorder="1"/>
    <xf numFmtId="3" fontId="23" fillId="4" borderId="46" xfId="4" applyNumberFormat="1" applyFont="1" applyFill="1" applyBorder="1" applyAlignment="1">
      <alignment horizontal="right" vertical="center"/>
    </xf>
    <xf numFmtId="0" fontId="21" fillId="2" borderId="38" xfId="4" applyFont="1" applyFill="1" applyBorder="1" applyAlignment="1">
      <alignment horizontal="center" vertical="center" wrapText="1"/>
    </xf>
    <xf numFmtId="0" fontId="21" fillId="0" borderId="38" xfId="4" applyFont="1" applyBorder="1" applyAlignment="1">
      <alignment horizontal="center" vertical="center" wrapText="1"/>
    </xf>
    <xf numFmtId="0" fontId="21" fillId="0" borderId="47" xfId="4" applyFont="1" applyBorder="1" applyAlignment="1">
      <alignment horizontal="center" vertical="center" wrapText="1"/>
    </xf>
    <xf numFmtId="169" fontId="0" fillId="0" borderId="11" xfId="1" applyNumberFormat="1" applyFont="1" applyBorder="1"/>
    <xf numFmtId="169" fontId="0" fillId="0" borderId="8" xfId="1" applyNumberFormat="1" applyFont="1" applyBorder="1"/>
    <xf numFmtId="169" fontId="0" fillId="0" borderId="15" xfId="1" applyNumberFormat="1" applyFont="1" applyBorder="1"/>
    <xf numFmtId="169" fontId="0" fillId="0" borderId="20" xfId="1" applyNumberFormat="1" applyFont="1" applyBorder="1"/>
    <xf numFmtId="169" fontId="0" fillId="0" borderId="16" xfId="1" applyNumberFormat="1" applyFont="1" applyBorder="1"/>
    <xf numFmtId="169" fontId="0" fillId="0" borderId="21" xfId="1" applyNumberFormat="1" applyFont="1" applyBorder="1"/>
    <xf numFmtId="169" fontId="0" fillId="0" borderId="14" xfId="1" applyNumberFormat="1" applyFont="1" applyBorder="1"/>
    <xf numFmtId="169" fontId="0" fillId="0" borderId="17" xfId="1" applyNumberFormat="1" applyFont="1" applyBorder="1"/>
    <xf numFmtId="169" fontId="0" fillId="0" borderId="22" xfId="1" applyNumberFormat="1" applyFont="1" applyBorder="1"/>
    <xf numFmtId="0" fontId="0" fillId="9" borderId="33" xfId="0" applyFill="1" applyBorder="1"/>
    <xf numFmtId="0" fontId="0" fillId="9" borderId="39" xfId="0" applyFill="1" applyBorder="1"/>
    <xf numFmtId="0" fontId="0" fillId="9" borderId="42" xfId="0" applyFill="1" applyBorder="1"/>
    <xf numFmtId="0" fontId="0" fillId="9" borderId="66" xfId="0" applyFill="1" applyBorder="1"/>
    <xf numFmtId="0" fontId="0" fillId="9" borderId="50" xfId="0" applyFill="1" applyBorder="1"/>
    <xf numFmtId="0" fontId="0" fillId="9" borderId="51" xfId="0" applyFill="1" applyBorder="1"/>
    <xf numFmtId="0" fontId="14" fillId="0" borderId="88" xfId="0" applyFont="1" applyBorder="1" applyAlignment="1">
      <alignment horizontal="center" vertical="center" wrapText="1"/>
    </xf>
    <xf numFmtId="1" fontId="0" fillId="7" borderId="11" xfId="0" applyNumberFormat="1" applyFill="1" applyBorder="1"/>
    <xf numFmtId="0" fontId="21" fillId="2" borderId="24" xfId="4" applyFont="1" applyFill="1" applyBorder="1" applyAlignment="1">
      <alignment horizontal="center" vertical="center" wrapText="1"/>
    </xf>
    <xf numFmtId="0" fontId="21" fillId="2" borderId="23" xfId="4" applyFont="1" applyFill="1" applyBorder="1" applyAlignment="1">
      <alignment horizontal="center" vertical="center" wrapText="1"/>
    </xf>
    <xf numFmtId="170" fontId="18" fillId="3" borderId="59" xfId="2" applyNumberFormat="1" applyFont="1" applyFill="1" applyBorder="1" applyAlignment="1">
      <alignment horizontal="right" vertical="center"/>
    </xf>
    <xf numFmtId="3" fontId="23" fillId="4" borderId="64" xfId="4" applyNumberFormat="1" applyFont="1" applyFill="1" applyBorder="1" applyAlignment="1">
      <alignment horizontal="right" vertical="center"/>
    </xf>
    <xf numFmtId="0" fontId="21" fillId="0" borderId="65" xfId="4" applyFont="1" applyBorder="1" applyAlignment="1">
      <alignment horizontal="center" vertical="center" wrapText="1"/>
    </xf>
    <xf numFmtId="0" fontId="0" fillId="0" borderId="33" xfId="0" applyBorder="1"/>
    <xf numFmtId="0" fontId="0" fillId="0" borderId="36" xfId="0" applyBorder="1"/>
    <xf numFmtId="0" fontId="0" fillId="0" borderId="66" xfId="0" applyBorder="1"/>
    <xf numFmtId="0" fontId="22" fillId="6" borderId="67" xfId="0" applyFont="1" applyFill="1" applyBorder="1"/>
    <xf numFmtId="0" fontId="22" fillId="6" borderId="61" xfId="0" applyFont="1" applyFill="1" applyBorder="1"/>
    <xf numFmtId="0" fontId="22" fillId="6" borderId="68" xfId="0" applyFont="1" applyFill="1" applyBorder="1"/>
    <xf numFmtId="169" fontId="0" fillId="7" borderId="9" xfId="1" applyNumberFormat="1" applyFont="1" applyFill="1" applyBorder="1"/>
    <xf numFmtId="169" fontId="0" fillId="7" borderId="10" xfId="1" applyNumberFormat="1" applyFont="1" applyFill="1" applyBorder="1"/>
    <xf numFmtId="169" fontId="0" fillId="7" borderId="11" xfId="1" applyNumberFormat="1" applyFont="1" applyFill="1" applyBorder="1"/>
    <xf numFmtId="169" fontId="0" fillId="0" borderId="49" xfId="1" applyNumberFormat="1" applyFont="1" applyBorder="1"/>
    <xf numFmtId="169" fontId="0" fillId="0" borderId="58" xfId="1" applyNumberFormat="1" applyFont="1" applyBorder="1"/>
    <xf numFmtId="169" fontId="0" fillId="0" borderId="85" xfId="1" applyNumberFormat="1" applyFont="1" applyBorder="1"/>
    <xf numFmtId="169" fontId="0" fillId="0" borderId="29" xfId="1" applyNumberFormat="1" applyFont="1" applyBorder="1"/>
    <xf numFmtId="169" fontId="0" fillId="0" borderId="86" xfId="1" applyNumberFormat="1" applyFont="1" applyBorder="1"/>
    <xf numFmtId="169" fontId="14" fillId="0" borderId="70" xfId="0" applyNumberFormat="1" applyFont="1" applyBorder="1"/>
    <xf numFmtId="169" fontId="14" fillId="0" borderId="71" xfId="0" applyNumberFormat="1" applyFont="1" applyBorder="1"/>
    <xf numFmtId="169" fontId="14" fillId="0" borderId="72" xfId="0" applyNumberFormat="1" applyFont="1" applyBorder="1"/>
    <xf numFmtId="0" fontId="32" fillId="0" borderId="0" xfId="0" applyFont="1" applyAlignment="1">
      <alignment horizontal="center" vertical="center" readingOrder="1"/>
    </xf>
    <xf numFmtId="0" fontId="12" fillId="0" borderId="0" xfId="0" applyFont="1" applyAlignment="1">
      <alignment horizontal="right" vertical="center"/>
    </xf>
    <xf numFmtId="171" fontId="18" fillId="0" borderId="10" xfId="0" applyNumberFormat="1" applyFont="1" applyBorder="1" applyAlignment="1">
      <alignment horizontal="right" vertical="center"/>
    </xf>
    <xf numFmtId="3" fontId="18" fillId="0" borderId="10" xfId="0" applyNumberFormat="1" applyFont="1" applyBorder="1" applyAlignment="1">
      <alignment horizontal="right" vertical="center"/>
    </xf>
    <xf numFmtId="3" fontId="33" fillId="0" borderId="59" xfId="0" applyNumberFormat="1" applyFont="1" applyBorder="1" applyAlignment="1">
      <alignment horizontal="right" vertical="center"/>
    </xf>
    <xf numFmtId="172" fontId="18" fillId="0" borderId="59" xfId="1" applyNumberFormat="1" applyFont="1" applyBorder="1" applyAlignment="1">
      <alignment horizontal="right" vertical="center"/>
    </xf>
    <xf numFmtId="0" fontId="34" fillId="0" borderId="0" xfId="0" applyFont="1" applyAlignment="1">
      <alignment horizontal="left" vertical="center"/>
    </xf>
    <xf numFmtId="170" fontId="12" fillId="0" borderId="0" xfId="0" applyNumberFormat="1" applyFont="1" applyAlignment="1">
      <alignment horizontal="right" vertical="center"/>
    </xf>
    <xf numFmtId="0" fontId="26" fillId="0" borderId="0" xfId="0" applyFont="1" applyAlignment="1">
      <alignment horizontal="left" vertical="center"/>
    </xf>
    <xf numFmtId="3" fontId="21" fillId="0" borderId="0" xfId="0" applyNumberFormat="1" applyFont="1" applyAlignment="1">
      <alignment horizontal="right" vertical="center"/>
    </xf>
    <xf numFmtId="173" fontId="18" fillId="0" borderId="0" xfId="2" applyNumberFormat="1" applyFont="1" applyAlignment="1">
      <alignment horizontal="right" vertical="center"/>
    </xf>
    <xf numFmtId="168" fontId="18" fillId="3" borderId="48" xfId="4" applyNumberFormat="1" applyFont="1" applyFill="1" applyBorder="1" applyAlignment="1">
      <alignment horizontal="left" vertical="center"/>
    </xf>
    <xf numFmtId="0" fontId="12" fillId="0" borderId="10" xfId="0" applyFont="1" applyBorder="1" applyAlignment="1">
      <alignment horizontal="left" vertical="center"/>
    </xf>
    <xf numFmtId="172" fontId="18" fillId="0" borderId="29" xfId="1" applyNumberFormat="1" applyFont="1" applyBorder="1" applyAlignment="1">
      <alignment horizontal="right" vertical="center"/>
    </xf>
    <xf numFmtId="168" fontId="18" fillId="3" borderId="18" xfId="4" applyNumberFormat="1" applyFont="1" applyFill="1" applyBorder="1" applyAlignment="1">
      <alignment horizontal="left" vertical="center"/>
    </xf>
    <xf numFmtId="168" fontId="18" fillId="3" borderId="0" xfId="4" applyNumberFormat="1" applyFont="1" applyFill="1" applyAlignment="1">
      <alignment horizontal="right" vertical="center"/>
    </xf>
    <xf numFmtId="0" fontId="12" fillId="0" borderId="59" xfId="0" applyFont="1" applyBorder="1" applyAlignment="1">
      <alignment horizontal="left" vertical="center"/>
    </xf>
    <xf numFmtId="172" fontId="18" fillId="0" borderId="31" xfId="1" applyNumberFormat="1" applyFont="1" applyBorder="1" applyAlignment="1">
      <alignment horizontal="right" vertical="center"/>
    </xf>
    <xf numFmtId="168" fontId="18" fillId="3" borderId="40" xfId="4" applyNumberFormat="1" applyFont="1" applyFill="1" applyBorder="1" applyAlignment="1">
      <alignment horizontal="left" vertical="center"/>
    </xf>
    <xf numFmtId="0" fontId="18" fillId="0" borderId="0" xfId="0" applyFont="1" applyAlignment="1">
      <alignment horizontal="left" vertical="center"/>
    </xf>
    <xf numFmtId="172" fontId="18" fillId="0" borderId="27" xfId="1" applyNumberFormat="1" applyFont="1" applyBorder="1" applyAlignment="1"/>
    <xf numFmtId="171" fontId="18" fillId="0" borderId="27" xfId="1" applyNumberFormat="1" applyFont="1" applyBorder="1" applyAlignment="1">
      <alignment horizontal="right" vertical="center"/>
    </xf>
    <xf numFmtId="172" fontId="18" fillId="0" borderId="27" xfId="1" applyNumberFormat="1" applyFont="1" applyBorder="1" applyAlignment="1">
      <alignment horizontal="right" vertical="center"/>
    </xf>
    <xf numFmtId="172" fontId="18" fillId="0" borderId="28" xfId="1" applyNumberFormat="1" applyFont="1" applyBorder="1" applyAlignment="1">
      <alignment horizontal="right" vertical="center"/>
    </xf>
    <xf numFmtId="168" fontId="18" fillId="3" borderId="18" xfId="4" applyNumberFormat="1" applyFont="1" applyFill="1" applyBorder="1"/>
    <xf numFmtId="172" fontId="18" fillId="0" borderId="10" xfId="1" applyNumberFormat="1" applyFont="1" applyBorder="1" applyAlignment="1"/>
    <xf numFmtId="171" fontId="18" fillId="0" borderId="10" xfId="1" applyNumberFormat="1" applyFont="1" applyBorder="1" applyAlignment="1">
      <alignment horizontal="right" vertical="center"/>
    </xf>
    <xf numFmtId="168" fontId="18" fillId="3" borderId="40" xfId="4" applyNumberFormat="1" applyFont="1" applyFill="1" applyBorder="1"/>
    <xf numFmtId="0" fontId="18" fillId="0" borderId="0" xfId="0" applyFont="1"/>
    <xf numFmtId="0" fontId="37" fillId="0" borderId="0" xfId="0" applyFont="1" applyAlignment="1">
      <alignment vertical="center"/>
    </xf>
    <xf numFmtId="3" fontId="14" fillId="0" borderId="53" xfId="0" applyNumberFormat="1" applyFont="1" applyBorder="1" applyAlignment="1">
      <alignment horizontal="center" vertical="center"/>
    </xf>
    <xf numFmtId="3" fontId="14" fillId="0" borderId="54" xfId="0" applyNumberFormat="1" applyFont="1" applyBorder="1" applyAlignment="1">
      <alignment horizontal="center" vertical="center"/>
    </xf>
    <xf numFmtId="3" fontId="14" fillId="0" borderId="85" xfId="0" applyNumberFormat="1" applyFont="1" applyBorder="1" applyAlignment="1">
      <alignment horizontal="center" vertical="center"/>
    </xf>
    <xf numFmtId="167" fontId="0" fillId="0" borderId="89" xfId="0" applyNumberFormat="1" applyBorder="1"/>
    <xf numFmtId="14" fontId="0" fillId="0" borderId="90" xfId="0" applyNumberFormat="1" applyBorder="1"/>
    <xf numFmtId="0" fontId="0" fillId="0" borderId="67" xfId="0" applyBorder="1" applyAlignment="1">
      <alignment vertical="center" wrapText="1"/>
    </xf>
    <xf numFmtId="3" fontId="23" fillId="4" borderId="91" xfId="4" applyNumberFormat="1" applyFont="1" applyFill="1" applyBorder="1" applyAlignment="1">
      <alignment horizontal="right" vertical="center"/>
    </xf>
    <xf numFmtId="0" fontId="18" fillId="0" borderId="61" xfId="4" applyFont="1" applyBorder="1" applyAlignment="1">
      <alignment horizontal="left" vertical="center" wrapText="1"/>
    </xf>
    <xf numFmtId="0" fontId="18" fillId="0" borderId="68" xfId="4" applyFont="1" applyBorder="1" applyAlignment="1">
      <alignment horizontal="left" vertical="center" wrapText="1"/>
    </xf>
    <xf numFmtId="3" fontId="23" fillId="4" borderId="92" xfId="4" applyNumberFormat="1" applyFont="1" applyFill="1" applyBorder="1" applyAlignment="1">
      <alignment horizontal="right" vertical="center"/>
    </xf>
    <xf numFmtId="169" fontId="0" fillId="7" borderId="9" xfId="0" applyNumberFormat="1" applyFill="1" applyBorder="1"/>
    <xf numFmtId="3" fontId="14" fillId="0" borderId="7" xfId="0" applyNumberFormat="1" applyFont="1" applyBorder="1" applyAlignment="1">
      <alignment horizontal="center" vertical="center"/>
    </xf>
    <xf numFmtId="3" fontId="14" fillId="0" borderId="8" xfId="0" applyNumberFormat="1" applyFont="1" applyBorder="1" applyAlignment="1">
      <alignment horizontal="center" vertical="center"/>
    </xf>
    <xf numFmtId="167" fontId="0" fillId="0" borderId="94" xfId="0" applyNumberFormat="1" applyBorder="1"/>
    <xf numFmtId="14" fontId="0" fillId="0" borderId="95" xfId="0" applyNumberFormat="1" applyBorder="1"/>
    <xf numFmtId="0" fontId="0" fillId="0" borderId="96" xfId="0" applyBorder="1"/>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3" fontId="23" fillId="4" borderId="15" xfId="4" applyNumberFormat="1" applyFont="1" applyFill="1" applyBorder="1" applyAlignment="1">
      <alignment horizontal="right" vertical="center"/>
    </xf>
    <xf numFmtId="3" fontId="23" fillId="4" borderId="99" xfId="4" applyNumberFormat="1" applyFont="1" applyFill="1" applyBorder="1" applyAlignment="1">
      <alignment horizontal="right" vertical="center"/>
    </xf>
    <xf numFmtId="3" fontId="23" fillId="4" borderId="93" xfId="4" applyNumberFormat="1" applyFont="1" applyFill="1" applyBorder="1" applyAlignment="1">
      <alignment horizontal="right" vertical="center"/>
    </xf>
    <xf numFmtId="169" fontId="0" fillId="0" borderId="78" xfId="1" applyNumberFormat="1" applyFont="1" applyBorder="1"/>
    <xf numFmtId="169" fontId="0" fillId="0" borderId="13" xfId="1" applyNumberFormat="1" applyFont="1" applyBorder="1"/>
    <xf numFmtId="169" fontId="18" fillId="3" borderId="27" xfId="1" applyNumberFormat="1" applyFont="1" applyFill="1" applyBorder="1" applyAlignment="1">
      <alignment horizontal="center" vertical="center" wrapText="1"/>
    </xf>
    <xf numFmtId="168" fontId="18" fillId="3" borderId="27" xfId="4" applyNumberFormat="1" applyFont="1" applyFill="1" applyBorder="1" applyAlignment="1">
      <alignment horizontal="center" vertical="center" wrapText="1"/>
    </xf>
    <xf numFmtId="169" fontId="12" fillId="0" borderId="10" xfId="1" applyNumberFormat="1" applyFont="1" applyBorder="1" applyAlignment="1">
      <alignment horizontal="center" vertical="center" wrapText="1"/>
    </xf>
    <xf numFmtId="169" fontId="18" fillId="3" borderId="10" xfId="1" applyNumberFormat="1" applyFont="1" applyFill="1" applyBorder="1" applyAlignment="1">
      <alignment horizontal="center" vertical="center" wrapText="1"/>
    </xf>
    <xf numFmtId="169" fontId="18" fillId="3" borderId="0" xfId="1" applyNumberFormat="1" applyFont="1" applyFill="1" applyBorder="1" applyAlignment="1">
      <alignment horizontal="center" vertical="center" wrapText="1"/>
    </xf>
    <xf numFmtId="169" fontId="12" fillId="0" borderId="59" xfId="1" applyNumberFormat="1" applyFont="1" applyBorder="1" applyAlignment="1">
      <alignment horizontal="center" vertical="center" wrapText="1"/>
    </xf>
    <xf numFmtId="172" fontId="18" fillId="0" borderId="59" xfId="1" applyNumberFormat="1" applyFont="1" applyBorder="1" applyAlignment="1">
      <alignment horizontal="center" vertical="center" wrapText="1"/>
    </xf>
    <xf numFmtId="169" fontId="18" fillId="3" borderId="59" xfId="1" applyNumberFormat="1" applyFont="1" applyFill="1" applyBorder="1" applyAlignment="1">
      <alignment horizontal="center" vertical="center" wrapText="1"/>
    </xf>
    <xf numFmtId="169" fontId="18" fillId="3" borderId="30" xfId="1" applyNumberFormat="1" applyFont="1" applyFill="1" applyBorder="1" applyAlignment="1">
      <alignment horizontal="center" vertical="center" wrapText="1"/>
    </xf>
    <xf numFmtId="0" fontId="0" fillId="7" borderId="0" xfId="0" applyFill="1"/>
    <xf numFmtId="0" fontId="14" fillId="0" borderId="80" xfId="0" applyFont="1" applyBorder="1" applyAlignment="1">
      <alignment horizontal="center" vertical="center" wrapText="1"/>
    </xf>
    <xf numFmtId="169" fontId="0" fillId="0" borderId="7" xfId="1" applyNumberFormat="1" applyFont="1" applyBorder="1"/>
    <xf numFmtId="0" fontId="0" fillId="10" borderId="73" xfId="0" applyFill="1" applyBorder="1"/>
    <xf numFmtId="0" fontId="0" fillId="10" borderId="69" xfId="0" applyFill="1" applyBorder="1"/>
    <xf numFmtId="0" fontId="0" fillId="10" borderId="74" xfId="0" applyFill="1" applyBorder="1"/>
    <xf numFmtId="3" fontId="18" fillId="0" borderId="0" xfId="5" applyNumberFormat="1" applyAlignment="1">
      <alignment horizontal="right" vertical="center"/>
    </xf>
    <xf numFmtId="168" fontId="18" fillId="0" borderId="0" xfId="5" applyNumberFormat="1" applyAlignment="1">
      <alignment horizontal="right" vertical="center"/>
    </xf>
    <xf numFmtId="0" fontId="21" fillId="0" borderId="0" xfId="4" applyFont="1" applyAlignment="1">
      <alignment horizontal="center" vertical="center" wrapText="1"/>
    </xf>
    <xf numFmtId="3" fontId="18" fillId="0" borderId="27" xfId="0" applyNumberFormat="1" applyFont="1" applyBorder="1" applyAlignment="1">
      <alignment horizontal="right" vertical="center"/>
    </xf>
    <xf numFmtId="168" fontId="18" fillId="0" borderId="27" xfId="0" applyNumberFormat="1" applyFont="1" applyBorder="1" applyAlignment="1">
      <alignment horizontal="right" vertical="center"/>
    </xf>
    <xf numFmtId="168" fontId="18" fillId="0" borderId="27" xfId="5" applyNumberFormat="1" applyBorder="1" applyAlignment="1">
      <alignment horizontal="right" vertical="center"/>
    </xf>
    <xf numFmtId="3" fontId="18" fillId="3" borderId="10" xfId="0" applyNumberFormat="1" applyFont="1" applyFill="1" applyBorder="1" applyAlignment="1">
      <alignment horizontal="right" vertical="center"/>
    </xf>
    <xf numFmtId="168" fontId="21" fillId="3" borderId="26" xfId="0" applyNumberFormat="1" applyFont="1" applyFill="1" applyBorder="1" applyAlignment="1">
      <alignment horizontal="right" vertical="center"/>
    </xf>
    <xf numFmtId="168" fontId="21" fillId="3" borderId="26" xfId="5" applyNumberFormat="1" applyFont="1" applyFill="1" applyBorder="1" applyAlignment="1">
      <alignment horizontal="right" vertical="center"/>
    </xf>
    <xf numFmtId="168" fontId="21" fillId="3" borderId="23" xfId="0" applyNumberFormat="1" applyFont="1" applyFill="1" applyBorder="1" applyAlignment="1">
      <alignment horizontal="right" vertical="center"/>
    </xf>
    <xf numFmtId="168" fontId="21" fillId="3" borderId="24" xfId="5" applyNumberFormat="1" applyFont="1" applyFill="1" applyBorder="1" applyAlignment="1">
      <alignment horizontal="right" vertical="center"/>
    </xf>
    <xf numFmtId="0" fontId="38" fillId="0" borderId="0" xfId="5" applyFont="1" applyAlignment="1">
      <alignment vertical="center"/>
    </xf>
    <xf numFmtId="168" fontId="18" fillId="0" borderId="10" xfId="0" applyNumberFormat="1" applyFont="1" applyBorder="1" applyAlignment="1">
      <alignment horizontal="right" vertical="center"/>
    </xf>
    <xf numFmtId="3" fontId="18" fillId="0" borderId="59" xfId="0" applyNumberFormat="1" applyFont="1" applyBorder="1" applyAlignment="1">
      <alignment horizontal="right" vertical="center"/>
    </xf>
    <xf numFmtId="0" fontId="21" fillId="3" borderId="26" xfId="0" applyFont="1" applyFill="1" applyBorder="1" applyAlignment="1">
      <alignment vertical="center"/>
    </xf>
    <xf numFmtId="168" fontId="21" fillId="3" borderId="25" xfId="0" applyNumberFormat="1" applyFont="1" applyFill="1" applyBorder="1" applyAlignment="1">
      <alignment horizontal="right" vertical="center"/>
    </xf>
    <xf numFmtId="0" fontId="26" fillId="0" borderId="0" xfId="5" applyFont="1" applyAlignment="1">
      <alignment vertical="center"/>
    </xf>
    <xf numFmtId="0" fontId="18" fillId="0" borderId="0" xfId="5" applyAlignment="1">
      <alignment vertical="center"/>
    </xf>
    <xf numFmtId="3" fontId="21" fillId="3" borderId="26" xfId="0" applyNumberFormat="1" applyFont="1" applyFill="1" applyBorder="1" applyAlignment="1">
      <alignment horizontal="right" vertical="center"/>
    </xf>
    <xf numFmtId="0" fontId="14" fillId="0" borderId="100" xfId="0" applyFont="1" applyBorder="1" applyAlignment="1">
      <alignment horizontal="center" vertical="center" wrapText="1"/>
    </xf>
    <xf numFmtId="0" fontId="0" fillId="0" borderId="68" xfId="0" applyBorder="1"/>
    <xf numFmtId="1" fontId="0" fillId="7" borderId="9" xfId="0" applyNumberFormat="1" applyFill="1" applyBorder="1"/>
    <xf numFmtId="1" fontId="0" fillId="7" borderId="18" xfId="0" applyNumberFormat="1" applyFill="1" applyBorder="1"/>
    <xf numFmtId="0" fontId="0" fillId="0" borderId="61" xfId="0" applyBorder="1" applyAlignment="1">
      <alignment horizontal="center" vertical="center" wrapText="1"/>
    </xf>
    <xf numFmtId="0" fontId="22" fillId="6" borderId="61" xfId="0" applyFont="1" applyFill="1" applyBorder="1" applyAlignment="1">
      <alignment horizontal="center" vertical="center" wrapText="1"/>
    </xf>
    <xf numFmtId="0" fontId="0" fillId="0" borderId="36" xfId="0" applyBorder="1" applyAlignment="1">
      <alignment horizontal="center" vertical="center" wrapText="1"/>
    </xf>
    <xf numFmtId="0" fontId="0" fillId="0" borderId="66" xfId="0" applyBorder="1" applyAlignment="1">
      <alignment horizontal="center" vertical="center" wrapText="1"/>
    </xf>
    <xf numFmtId="0" fontId="22" fillId="6" borderId="68" xfId="0" applyFont="1" applyFill="1" applyBorder="1" applyAlignment="1">
      <alignment horizontal="center" vertical="center" wrapText="1"/>
    </xf>
    <xf numFmtId="0" fontId="0" fillId="0" borderId="68" xfId="0" applyBorder="1" applyAlignment="1">
      <alignment horizontal="center" vertical="center" wrapText="1"/>
    </xf>
    <xf numFmtId="0" fontId="0" fillId="0" borderId="32" xfId="0" applyBorder="1" applyAlignment="1">
      <alignment horizontal="center" vertical="center" wrapText="1"/>
    </xf>
    <xf numFmtId="0" fontId="0" fillId="0" borderId="75" xfId="0" applyBorder="1" applyAlignment="1">
      <alignment horizontal="center" vertical="center" wrapText="1"/>
    </xf>
    <xf numFmtId="169" fontId="0" fillId="0" borderId="52" xfId="1" applyNumberFormat="1" applyFont="1" applyBorder="1"/>
    <xf numFmtId="169" fontId="0" fillId="0" borderId="55" xfId="1" applyNumberFormat="1" applyFont="1" applyBorder="1"/>
    <xf numFmtId="169" fontId="0" fillId="0" borderId="57" xfId="1" applyNumberFormat="1" applyFont="1" applyBorder="1"/>
    <xf numFmtId="173" fontId="18" fillId="0" borderId="0" xfId="2" applyNumberFormat="1" applyFont="1" applyAlignment="1">
      <alignment vertical="center"/>
    </xf>
    <xf numFmtId="0" fontId="16" fillId="0" borderId="0" xfId="0" applyFont="1" applyAlignment="1">
      <alignment horizontal="center" vertical="center"/>
    </xf>
    <xf numFmtId="17" fontId="21" fillId="0" borderId="26" xfId="5" applyNumberFormat="1" applyFont="1" applyBorder="1" applyAlignment="1">
      <alignment horizontal="center" vertical="center" wrapText="1"/>
    </xf>
    <xf numFmtId="169" fontId="21" fillId="3" borderId="27" xfId="1" applyNumberFormat="1" applyFont="1" applyFill="1" applyBorder="1" applyAlignment="1">
      <alignment horizontal="right" vertical="center" wrapText="1"/>
    </xf>
    <xf numFmtId="170" fontId="21" fillId="3" borderId="27" xfId="5" applyNumberFormat="1" applyFont="1" applyFill="1" applyBorder="1" applyAlignment="1">
      <alignment horizontal="right" vertical="center"/>
    </xf>
    <xf numFmtId="0" fontId="18" fillId="0" borderId="0" xfId="5" applyAlignment="1">
      <alignment vertical="center" wrapText="1"/>
    </xf>
    <xf numFmtId="169" fontId="18" fillId="2" borderId="10" xfId="1" applyNumberFormat="1" applyFont="1" applyFill="1" applyBorder="1" applyAlignment="1">
      <alignment horizontal="right" vertical="center" wrapText="1"/>
    </xf>
    <xf numFmtId="170" fontId="34" fillId="0" borderId="10" xfId="6" applyNumberFormat="1" applyFont="1" applyBorder="1" applyAlignment="1">
      <alignment horizontal="right" vertical="center" wrapText="1"/>
    </xf>
    <xf numFmtId="169" fontId="18" fillId="3" borderId="10" xfId="1" applyNumberFormat="1" applyFont="1" applyFill="1" applyBorder="1" applyAlignment="1">
      <alignment horizontal="right" vertical="center" wrapText="1"/>
    </xf>
    <xf numFmtId="170" fontId="18" fillId="3" borderId="10" xfId="5" applyNumberFormat="1" applyFill="1" applyBorder="1" applyAlignment="1">
      <alignment horizontal="right" vertical="center" wrapText="1"/>
    </xf>
    <xf numFmtId="169" fontId="18" fillId="0" borderId="10" xfId="1" applyNumberFormat="1" applyFont="1" applyBorder="1" applyAlignment="1">
      <alignment horizontal="right" vertical="center" wrapText="1"/>
    </xf>
    <xf numFmtId="170" fontId="18" fillId="0" borderId="10" xfId="5" applyNumberFormat="1" applyBorder="1" applyAlignment="1">
      <alignment horizontal="right" vertical="center" wrapText="1"/>
    </xf>
    <xf numFmtId="169" fontId="18" fillId="3" borderId="59" xfId="1" applyNumberFormat="1" applyFont="1" applyFill="1" applyBorder="1" applyAlignment="1">
      <alignment horizontal="right" vertical="center" wrapText="1"/>
    </xf>
    <xf numFmtId="170" fontId="18" fillId="3" borderId="59" xfId="5" applyNumberFormat="1" applyFill="1" applyBorder="1" applyAlignment="1">
      <alignment horizontal="right" vertical="center" wrapText="1"/>
    </xf>
    <xf numFmtId="0" fontId="38" fillId="0" borderId="0" xfId="0" applyFont="1" applyAlignment="1">
      <alignment vertical="center"/>
    </xf>
    <xf numFmtId="0" fontId="18" fillId="0" borderId="0" xfId="5" applyAlignment="1">
      <alignment horizontal="center" vertical="center"/>
    </xf>
    <xf numFmtId="3" fontId="21" fillId="0" borderId="24" xfId="5" quotePrefix="1" applyNumberFormat="1" applyFont="1" applyBorder="1" applyAlignment="1">
      <alignment horizontal="center" vertical="center" wrapText="1"/>
    </xf>
    <xf numFmtId="3" fontId="21" fillId="0" borderId="25" xfId="5" quotePrefix="1" applyNumberFormat="1" applyFont="1" applyBorder="1" applyAlignment="1">
      <alignment horizontal="center" vertical="center" wrapText="1"/>
    </xf>
    <xf numFmtId="3" fontId="21" fillId="0" borderId="48" xfId="5" quotePrefix="1" applyNumberFormat="1" applyFont="1" applyBorder="1" applyAlignment="1">
      <alignment horizontal="center" vertical="center" wrapText="1"/>
    </xf>
    <xf numFmtId="169" fontId="21" fillId="3" borderId="26" xfId="1" applyNumberFormat="1" applyFont="1" applyFill="1" applyBorder="1" applyAlignment="1">
      <alignment horizontal="right" vertical="center" wrapText="1"/>
    </xf>
    <xf numFmtId="170" fontId="21" fillId="3" borderId="26" xfId="5" applyNumberFormat="1" applyFont="1" applyFill="1" applyBorder="1" applyAlignment="1">
      <alignment horizontal="right" vertical="center"/>
    </xf>
    <xf numFmtId="168" fontId="21" fillId="3" borderId="26" xfId="5" applyNumberFormat="1" applyFont="1" applyFill="1" applyBorder="1" applyAlignment="1">
      <alignment horizontal="right" vertical="center" wrapText="1"/>
    </xf>
    <xf numFmtId="168" fontId="18" fillId="3" borderId="59" xfId="5" applyNumberFormat="1" applyFill="1" applyBorder="1" applyAlignment="1">
      <alignment horizontal="right" vertical="center"/>
    </xf>
    <xf numFmtId="169" fontId="18" fillId="0" borderId="27" xfId="1" applyNumberFormat="1" applyFont="1" applyBorder="1" applyAlignment="1">
      <alignment horizontal="right" vertical="center" wrapText="1"/>
    </xf>
    <xf numFmtId="170" fontId="18" fillId="0" borderId="27" xfId="5" applyNumberFormat="1" applyBorder="1" applyAlignment="1">
      <alignment horizontal="right" vertical="center" wrapText="1"/>
    </xf>
    <xf numFmtId="169" fontId="18" fillId="0" borderId="59" xfId="1" applyNumberFormat="1" applyFont="1" applyBorder="1" applyAlignment="1">
      <alignment horizontal="right" vertical="center" wrapText="1"/>
    </xf>
    <xf numFmtId="169" fontId="18" fillId="3" borderId="27" xfId="1" applyNumberFormat="1" applyFont="1" applyFill="1" applyBorder="1" applyAlignment="1">
      <alignment horizontal="right" vertical="center" wrapText="1"/>
    </xf>
    <xf numFmtId="170" fontId="18" fillId="3" borderId="27" xfId="5" applyNumberFormat="1" applyFill="1" applyBorder="1" applyAlignment="1">
      <alignment horizontal="right" vertical="center" wrapText="1"/>
    </xf>
    <xf numFmtId="0" fontId="26" fillId="0" borderId="0" xfId="5" applyFont="1" applyAlignment="1">
      <alignment horizontal="left"/>
    </xf>
    <xf numFmtId="0" fontId="18" fillId="0" borderId="0" xfId="5" applyAlignment="1">
      <alignment horizontal="left"/>
    </xf>
    <xf numFmtId="0" fontId="18" fillId="0" borderId="0" xfId="5" applyAlignment="1">
      <alignment horizontal="center"/>
    </xf>
    <xf numFmtId="0" fontId="18" fillId="0" borderId="0" xfId="5" applyAlignment="1">
      <alignment vertical="top" wrapText="1"/>
    </xf>
    <xf numFmtId="0" fontId="18" fillId="0" borderId="0" xfId="5" applyAlignment="1">
      <alignment horizontal="center" vertical="top" wrapText="1"/>
    </xf>
    <xf numFmtId="0" fontId="21" fillId="0" borderId="26" xfId="5" applyFont="1" applyBorder="1" applyAlignment="1">
      <alignment horizontal="center" vertical="center" wrapText="1"/>
    </xf>
    <xf numFmtId="3" fontId="21" fillId="0" borderId="23" xfId="5" quotePrefix="1" applyNumberFormat="1" applyFont="1" applyBorder="1" applyAlignment="1">
      <alignment horizontal="center" vertical="center" wrapText="1"/>
    </xf>
    <xf numFmtId="168" fontId="18" fillId="3" borderId="10" xfId="0" quotePrefix="1" applyNumberFormat="1" applyFont="1" applyFill="1" applyBorder="1" applyAlignment="1">
      <alignment horizontal="center" vertical="center"/>
    </xf>
    <xf numFmtId="168" fontId="18" fillId="3" borderId="10" xfId="0" quotePrefix="1" applyNumberFormat="1" applyFont="1" applyFill="1" applyBorder="1" applyAlignment="1">
      <alignment horizontal="right" vertical="center"/>
    </xf>
    <xf numFmtId="0" fontId="18" fillId="0" borderId="10" xfId="5" applyBorder="1" applyAlignment="1">
      <alignment horizontal="center" vertical="center" wrapText="1"/>
    </xf>
    <xf numFmtId="168" fontId="18" fillId="0" borderId="10" xfId="5" applyNumberFormat="1" applyBorder="1" applyAlignment="1">
      <alignment vertical="center"/>
    </xf>
    <xf numFmtId="0" fontId="18" fillId="0" borderId="59" xfId="5" applyBorder="1" applyAlignment="1">
      <alignment horizontal="center" vertical="center" wrapText="1"/>
    </xf>
    <xf numFmtId="168" fontId="18" fillId="0" borderId="59" xfId="5" applyNumberFormat="1" applyBorder="1" applyAlignment="1">
      <alignment vertical="center"/>
    </xf>
    <xf numFmtId="0" fontId="21" fillId="0" borderId="10" xfId="5" applyFont="1" applyBorder="1" applyAlignment="1">
      <alignment horizontal="center" wrapText="1"/>
    </xf>
    <xf numFmtId="168" fontId="18" fillId="0" borderId="0" xfId="5" applyNumberFormat="1" applyAlignment="1">
      <alignment vertical="center"/>
    </xf>
    <xf numFmtId="0" fontId="18" fillId="11" borderId="10" xfId="5" applyFill="1" applyBorder="1" applyAlignment="1">
      <alignment horizontal="center" vertical="center" wrapText="1"/>
    </xf>
    <xf numFmtId="168" fontId="18" fillId="11" borderId="10" xfId="5" applyNumberFormat="1" applyFill="1" applyBorder="1" applyAlignment="1">
      <alignment vertical="center"/>
    </xf>
    <xf numFmtId="168" fontId="18" fillId="3" borderId="59" xfId="0" quotePrefix="1" applyNumberFormat="1" applyFont="1" applyFill="1" applyBorder="1" applyAlignment="1">
      <alignment horizontal="center" vertical="center"/>
    </xf>
    <xf numFmtId="0" fontId="18" fillId="0" borderId="59" xfId="5" applyBorder="1" applyAlignment="1">
      <alignment horizontal="center" vertical="center"/>
    </xf>
    <xf numFmtId="3" fontId="21" fillId="0" borderId="28" xfId="5" quotePrefix="1" applyNumberFormat="1" applyFont="1" applyBorder="1" applyAlignment="1">
      <alignment horizontal="center" vertical="center" wrapText="1"/>
    </xf>
    <xf numFmtId="0" fontId="0" fillId="0" borderId="33" xfId="0" applyBorder="1" applyAlignment="1">
      <alignment wrapText="1"/>
    </xf>
    <xf numFmtId="0" fontId="0" fillId="0" borderId="36" xfId="0" applyBorder="1" applyAlignment="1">
      <alignment wrapText="1"/>
    </xf>
    <xf numFmtId="0" fontId="0" fillId="0" borderId="66" xfId="0" applyBorder="1" applyAlignment="1">
      <alignment wrapText="1"/>
    </xf>
    <xf numFmtId="0" fontId="22" fillId="6" borderId="67" xfId="0" applyFont="1" applyFill="1" applyBorder="1" applyAlignment="1">
      <alignment horizontal="center" vertical="center" wrapText="1"/>
    </xf>
    <xf numFmtId="1" fontId="0" fillId="0" borderId="52" xfId="0" applyNumberFormat="1" applyBorder="1"/>
    <xf numFmtId="1" fontId="0" fillId="0" borderId="53" xfId="0" applyNumberFormat="1" applyBorder="1"/>
    <xf numFmtId="1" fontId="0" fillId="0" borderId="54" xfId="0" applyNumberFormat="1" applyBorder="1"/>
    <xf numFmtId="1" fontId="0" fillId="0" borderId="57" xfId="0" applyNumberFormat="1" applyBorder="1"/>
    <xf numFmtId="1" fontId="0" fillId="0" borderId="49" xfId="0" applyNumberFormat="1" applyBorder="1"/>
    <xf numFmtId="1" fontId="0" fillId="0" borderId="58" xfId="0" applyNumberFormat="1" applyBorder="1"/>
    <xf numFmtId="0" fontId="0" fillId="0" borderId="74" xfId="0" applyBorder="1" applyAlignment="1">
      <alignment horizontal="center" vertical="center" wrapText="1"/>
    </xf>
    <xf numFmtId="0" fontId="0" fillId="0" borderId="107" xfId="0" applyBorder="1" applyAlignment="1">
      <alignment horizontal="center" vertical="center" wrapText="1"/>
    </xf>
    <xf numFmtId="0" fontId="22" fillId="6" borderId="51" xfId="0" applyFont="1" applyFill="1" applyBorder="1" applyAlignment="1">
      <alignment horizontal="center" vertical="center" wrapText="1"/>
    </xf>
    <xf numFmtId="168" fontId="12" fillId="3" borderId="61" xfId="0" applyNumberFormat="1" applyFont="1" applyFill="1" applyBorder="1" applyAlignment="1">
      <alignment horizontal="left" vertical="center" wrapText="1"/>
    </xf>
    <xf numFmtId="0" fontId="18" fillId="0" borderId="61" xfId="5" applyBorder="1" applyAlignment="1">
      <alignment horizontal="justify" vertical="center" wrapText="1"/>
    </xf>
    <xf numFmtId="0" fontId="12" fillId="0" borderId="61" xfId="0" applyFont="1" applyBorder="1"/>
    <xf numFmtId="0" fontId="21" fillId="0" borderId="61" xfId="5" applyFont="1" applyBorder="1"/>
    <xf numFmtId="168" fontId="12" fillId="3" borderId="61" xfId="0" applyNumberFormat="1" applyFont="1" applyFill="1" applyBorder="1" applyAlignment="1">
      <alignment horizontal="center" vertical="center" wrapText="1"/>
    </xf>
    <xf numFmtId="0" fontId="18" fillId="0" borderId="61" xfId="5" applyBorder="1" applyAlignment="1">
      <alignment vertical="center" wrapText="1"/>
    </xf>
    <xf numFmtId="0" fontId="12" fillId="11" borderId="61" xfId="0" applyFont="1" applyFill="1" applyBorder="1"/>
    <xf numFmtId="0" fontId="12" fillId="0" borderId="68" xfId="0" applyFont="1" applyBorder="1"/>
    <xf numFmtId="0" fontId="21" fillId="0" borderId="91" xfId="5" applyFont="1" applyBorder="1" applyAlignment="1">
      <alignment horizontal="left" wrapText="1"/>
    </xf>
    <xf numFmtId="168" fontId="12" fillId="3" borderId="67" xfId="0" applyNumberFormat="1" applyFont="1" applyFill="1" applyBorder="1" applyAlignment="1">
      <alignment horizontal="left" vertical="center" wrapText="1"/>
    </xf>
    <xf numFmtId="0" fontId="18" fillId="0" borderId="68" xfId="7" applyBorder="1"/>
    <xf numFmtId="168" fontId="12" fillId="3" borderId="67" xfId="0" applyNumberFormat="1" applyFont="1" applyFill="1" applyBorder="1" applyAlignment="1">
      <alignment horizontal="center" vertical="center" wrapText="1"/>
    </xf>
    <xf numFmtId="168" fontId="12" fillId="3" borderId="68" xfId="0" applyNumberFormat="1" applyFont="1" applyFill="1" applyBorder="1" applyAlignment="1">
      <alignment horizontal="center" vertical="center" wrapText="1"/>
    </xf>
    <xf numFmtId="0" fontId="18" fillId="0" borderId="68" xfId="5" applyBorder="1" applyAlignment="1">
      <alignment vertical="center" wrapText="1"/>
    </xf>
    <xf numFmtId="0" fontId="0" fillId="0" borderId="73" xfId="0" applyBorder="1"/>
    <xf numFmtId="0" fontId="0" fillId="0" borderId="74" xfId="0" applyBorder="1"/>
    <xf numFmtId="0" fontId="21" fillId="0" borderId="32" xfId="5" applyFont="1" applyBorder="1"/>
    <xf numFmtId="0" fontId="22" fillId="0" borderId="32" xfId="0" applyFont="1" applyBorder="1"/>
    <xf numFmtId="169" fontId="18" fillId="7" borderId="10" xfId="1" applyNumberFormat="1" applyFont="1" applyFill="1" applyBorder="1"/>
    <xf numFmtId="169" fontId="18" fillId="7" borderId="11" xfId="1" applyNumberFormat="1" applyFont="1" applyFill="1" applyBorder="1"/>
    <xf numFmtId="169" fontId="18" fillId="7" borderId="9" xfId="1" applyNumberFormat="1" applyFont="1" applyFill="1" applyBorder="1"/>
    <xf numFmtId="169" fontId="18" fillId="7" borderId="29" xfId="1" applyNumberFormat="1" applyFont="1" applyFill="1" applyBorder="1"/>
    <xf numFmtId="1" fontId="0" fillId="0" borderId="73" xfId="0" applyNumberFormat="1" applyBorder="1"/>
    <xf numFmtId="1" fontId="0" fillId="0" borderId="69" xfId="0" applyNumberFormat="1" applyBorder="1"/>
    <xf numFmtId="1" fontId="0" fillId="0" borderId="74" xfId="0" applyNumberFormat="1" applyBorder="1"/>
    <xf numFmtId="167" fontId="21" fillId="0" borderId="24" xfId="5" quotePrefix="1" applyNumberFormat="1" applyFont="1" applyBorder="1" applyAlignment="1">
      <alignment horizontal="center" vertical="center" wrapText="1"/>
    </xf>
    <xf numFmtId="167" fontId="21" fillId="0" borderId="25" xfId="5" quotePrefix="1" applyNumberFormat="1" applyFont="1" applyBorder="1" applyAlignment="1">
      <alignment horizontal="center" vertical="center" wrapText="1"/>
    </xf>
    <xf numFmtId="168" fontId="18" fillId="0" borderId="0" xfId="0" applyNumberFormat="1" applyFont="1" applyAlignment="1">
      <alignment vertical="center"/>
    </xf>
    <xf numFmtId="168" fontId="12" fillId="0" borderId="0" xfId="0" applyNumberFormat="1" applyFont="1"/>
    <xf numFmtId="0" fontId="18" fillId="0" borderId="30" xfId="0" applyFont="1" applyBorder="1"/>
    <xf numFmtId="0" fontId="31" fillId="0" borderId="0" xfId="5" applyFont="1" applyAlignment="1">
      <alignment vertical="center"/>
    </xf>
    <xf numFmtId="168" fontId="21" fillId="0" borderId="48" xfId="5" quotePrefix="1" applyNumberFormat="1" applyFont="1" applyBorder="1" applyAlignment="1">
      <alignment horizontal="center" vertical="center" wrapText="1"/>
    </xf>
    <xf numFmtId="3" fontId="18" fillId="3" borderId="27" xfId="4" applyNumberFormat="1" applyFont="1" applyFill="1" applyBorder="1" applyAlignment="1">
      <alignment horizontal="right" vertical="center"/>
    </xf>
    <xf numFmtId="0" fontId="26" fillId="0" borderId="0" xfId="0" applyFont="1"/>
    <xf numFmtId="168" fontId="21" fillId="0" borderId="23" xfId="5" quotePrefix="1" applyNumberFormat="1" applyFont="1" applyBorder="1" applyAlignment="1">
      <alignment horizontal="center" vertical="center" wrapText="1"/>
    </xf>
    <xf numFmtId="0" fontId="40" fillId="0" borderId="0" xfId="0" applyFont="1"/>
    <xf numFmtId="168" fontId="0" fillId="0" borderId="0" xfId="0" applyNumberFormat="1"/>
    <xf numFmtId="168" fontId="12" fillId="0" borderId="0" xfId="0" applyNumberFormat="1" applyFont="1" applyAlignment="1">
      <alignment horizontal="right" vertical="center"/>
    </xf>
    <xf numFmtId="168" fontId="18" fillId="0" borderId="10" xfId="1" applyNumberFormat="1" applyFont="1" applyBorder="1" applyAlignment="1">
      <alignment horizontal="right" vertical="center"/>
    </xf>
    <xf numFmtId="168" fontId="18" fillId="0" borderId="0" xfId="1" applyNumberFormat="1" applyFont="1" applyAlignment="1">
      <alignment horizontal="right" vertical="center"/>
    </xf>
    <xf numFmtId="0" fontId="29" fillId="0" borderId="0" xfId="8" applyFont="1"/>
    <xf numFmtId="168" fontId="40" fillId="0" borderId="0" xfId="0" applyNumberFormat="1" applyFont="1"/>
    <xf numFmtId="3" fontId="14" fillId="0" borderId="52" xfId="0" applyNumberFormat="1" applyFont="1" applyBorder="1" applyAlignment="1">
      <alignment horizontal="center" vertical="center"/>
    </xf>
    <xf numFmtId="0" fontId="20" fillId="0" borderId="100" xfId="4" applyFont="1" applyBorder="1" applyAlignment="1">
      <alignment horizontal="center" vertical="center" wrapText="1"/>
    </xf>
    <xf numFmtId="0" fontId="0" fillId="0" borderId="4" xfId="0" applyBorder="1" applyAlignment="1">
      <alignment horizontal="center" vertical="center" wrapText="1"/>
    </xf>
    <xf numFmtId="1" fontId="0" fillId="0" borderId="85" xfId="0" applyNumberFormat="1" applyBorder="1"/>
    <xf numFmtId="0" fontId="0" fillId="0" borderId="79" xfId="0" applyBorder="1" applyAlignment="1">
      <alignment horizontal="center" vertical="center" wrapText="1"/>
    </xf>
    <xf numFmtId="0" fontId="0" fillId="0" borderId="80" xfId="0" applyBorder="1" applyAlignment="1">
      <alignment horizontal="center" vertical="center" wrapText="1"/>
    </xf>
    <xf numFmtId="1" fontId="0" fillId="0" borderId="86" xfId="0" applyNumberFormat="1" applyBorder="1"/>
    <xf numFmtId="0" fontId="14" fillId="0" borderId="0" xfId="0" applyFont="1"/>
    <xf numFmtId="0" fontId="21" fillId="0" borderId="30" xfId="4" applyFont="1" applyBorder="1" applyAlignment="1">
      <alignment horizontal="center" vertical="center" wrapText="1"/>
    </xf>
    <xf numFmtId="0" fontId="21" fillId="0" borderId="24" xfId="4" applyFont="1" applyBorder="1" applyAlignment="1">
      <alignment horizontal="left" vertical="center" wrapText="1"/>
    </xf>
    <xf numFmtId="0" fontId="22" fillId="6" borderId="42" xfId="0" applyFont="1" applyFill="1" applyBorder="1"/>
    <xf numFmtId="0" fontId="0" fillId="0" borderId="67" xfId="0" applyBorder="1" applyAlignment="1">
      <alignment horizontal="left" vertical="center" wrapText="1"/>
    </xf>
    <xf numFmtId="0" fontId="0" fillId="0" borderId="61" xfId="0" applyBorder="1" applyAlignment="1">
      <alignment horizontal="left" vertical="center" wrapText="1"/>
    </xf>
    <xf numFmtId="0" fontId="0" fillId="0" borderId="68" xfId="0" applyBorder="1" applyAlignment="1">
      <alignment horizontal="left" vertical="center" wrapText="1"/>
    </xf>
    <xf numFmtId="0" fontId="0" fillId="6" borderId="61" xfId="0" applyFill="1" applyBorder="1"/>
    <xf numFmtId="0" fontId="0" fillId="6" borderId="67" xfId="0" applyFill="1" applyBorder="1" applyAlignment="1">
      <alignment horizontal="left" vertical="center" wrapText="1"/>
    </xf>
    <xf numFmtId="1" fontId="0" fillId="6" borderId="52" xfId="0" applyNumberFormat="1" applyFill="1" applyBorder="1"/>
    <xf numFmtId="1" fontId="0" fillId="6" borderId="53" xfId="0" applyNumberFormat="1" applyFill="1" applyBorder="1"/>
    <xf numFmtId="1" fontId="0" fillId="6" borderId="54" xfId="0" applyNumberFormat="1" applyFill="1" applyBorder="1"/>
    <xf numFmtId="0" fontId="0" fillId="6" borderId="55" xfId="0" applyFill="1" applyBorder="1"/>
    <xf numFmtId="0" fontId="0" fillId="6" borderId="10" xfId="0" applyFill="1" applyBorder="1"/>
    <xf numFmtId="0" fontId="0" fillId="6" borderId="56" xfId="0" applyFill="1" applyBorder="1"/>
    <xf numFmtId="168" fontId="12" fillId="0" borderId="0" xfId="1" applyNumberFormat="1" applyFont="1" applyAlignment="1">
      <alignment horizontal="right" vertical="center"/>
    </xf>
    <xf numFmtId="174" fontId="12" fillId="0" borderId="0" xfId="1" applyNumberFormat="1" applyFont="1" applyAlignment="1">
      <alignment horizontal="right" vertical="center"/>
    </xf>
    <xf numFmtId="165" fontId="12" fillId="0" borderId="0" xfId="1" applyFont="1" applyAlignment="1">
      <alignment vertical="center"/>
    </xf>
    <xf numFmtId="0" fontId="12" fillId="0" borderId="30" xfId="0" applyFont="1" applyBorder="1" applyAlignment="1">
      <alignment vertical="center"/>
    </xf>
    <xf numFmtId="0" fontId="21" fillId="0" borderId="0" xfId="0" applyFont="1" applyAlignment="1">
      <alignment horizontal="left" vertical="center"/>
    </xf>
    <xf numFmtId="168" fontId="12" fillId="0" borderId="18" xfId="1" applyNumberFormat="1" applyFont="1" applyBorder="1" applyAlignment="1">
      <alignment horizontal="right" vertical="center"/>
    </xf>
    <xf numFmtId="0" fontId="22" fillId="6" borderId="67" xfId="0" applyFont="1" applyFill="1" applyBorder="1" applyAlignment="1">
      <alignment wrapText="1"/>
    </xf>
    <xf numFmtId="0" fontId="0" fillId="0" borderId="61" xfId="0" applyBorder="1" applyAlignment="1">
      <alignment wrapText="1"/>
    </xf>
    <xf numFmtId="0" fontId="0" fillId="0" borderId="68" xfId="0" applyBorder="1" applyAlignment="1">
      <alignment wrapText="1"/>
    </xf>
    <xf numFmtId="0" fontId="22" fillId="6" borderId="61" xfId="0" applyFont="1" applyFill="1" applyBorder="1" applyAlignment="1">
      <alignment wrapText="1"/>
    </xf>
    <xf numFmtId="0" fontId="22" fillId="6" borderId="68" xfId="0" applyFont="1" applyFill="1" applyBorder="1" applyAlignment="1">
      <alignment wrapText="1"/>
    </xf>
    <xf numFmtId="2" fontId="0" fillId="0" borderId="10" xfId="0" applyNumberFormat="1" applyBorder="1"/>
    <xf numFmtId="170" fontId="0" fillId="0" borderId="53" xfId="0" applyNumberFormat="1" applyBorder="1"/>
    <xf numFmtId="170" fontId="0" fillId="0" borderId="10" xfId="0" applyNumberFormat="1" applyBorder="1"/>
    <xf numFmtId="168" fontId="21" fillId="0" borderId="0" xfId="0" applyNumberFormat="1" applyFont="1" applyAlignment="1">
      <alignment horizontal="center" vertical="center"/>
    </xf>
    <xf numFmtId="173" fontId="12" fillId="0" borderId="0" xfId="2" applyNumberFormat="1" applyFont="1" applyAlignment="1">
      <alignment vertical="center"/>
    </xf>
    <xf numFmtId="0" fontId="21" fillId="0" borderId="29" xfId="0" applyFont="1" applyBorder="1" applyAlignment="1">
      <alignment horizontal="center" vertical="center"/>
    </xf>
    <xf numFmtId="168" fontId="21" fillId="3" borderId="26" xfId="0" applyNumberFormat="1" applyFont="1" applyFill="1" applyBorder="1" applyAlignment="1">
      <alignment vertical="center"/>
    </xf>
    <xf numFmtId="168" fontId="14" fillId="3" borderId="23" xfId="0" applyNumberFormat="1" applyFont="1" applyFill="1" applyBorder="1" applyAlignment="1">
      <alignment vertical="center"/>
    </xf>
    <xf numFmtId="168" fontId="21" fillId="3" borderId="24" xfId="0" applyNumberFormat="1" applyFont="1" applyFill="1" applyBorder="1" applyAlignment="1">
      <alignment vertical="center"/>
    </xf>
    <xf numFmtId="168" fontId="14" fillId="3" borderId="24" xfId="0" applyNumberFormat="1" applyFont="1" applyFill="1" applyBorder="1" applyAlignment="1">
      <alignment vertical="center"/>
    </xf>
    <xf numFmtId="168" fontId="14" fillId="3" borderId="25" xfId="0" applyNumberFormat="1" applyFont="1" applyFill="1" applyBorder="1" applyAlignment="1">
      <alignment vertical="center"/>
    </xf>
    <xf numFmtId="168" fontId="21" fillId="3" borderId="23" xfId="0" applyNumberFormat="1" applyFont="1" applyFill="1" applyBorder="1" applyAlignment="1">
      <alignment vertical="center"/>
    </xf>
    <xf numFmtId="168" fontId="21" fillId="0" borderId="10" xfId="0" applyNumberFormat="1" applyFont="1" applyBorder="1" applyAlignment="1">
      <alignment vertical="center"/>
    </xf>
    <xf numFmtId="168" fontId="14" fillId="0" borderId="18" xfId="0" applyNumberFormat="1" applyFont="1" applyBorder="1" applyAlignment="1">
      <alignment vertical="center"/>
    </xf>
    <xf numFmtId="168" fontId="21" fillId="0" borderId="0" xfId="0" applyNumberFormat="1" applyFont="1" applyAlignment="1">
      <alignment vertical="center"/>
    </xf>
    <xf numFmtId="168" fontId="14" fillId="0" borderId="0" xfId="0" applyNumberFormat="1" applyFont="1" applyAlignment="1">
      <alignment vertical="center"/>
    </xf>
    <xf numFmtId="168" fontId="14" fillId="0" borderId="29" xfId="0" applyNumberFormat="1" applyFont="1" applyBorder="1" applyAlignment="1">
      <alignment vertical="center"/>
    </xf>
    <xf numFmtId="168" fontId="21" fillId="0" borderId="18" xfId="0" applyNumberFormat="1" applyFont="1" applyBorder="1" applyAlignment="1">
      <alignment vertical="center"/>
    </xf>
    <xf numFmtId="168" fontId="21" fillId="12" borderId="10" xfId="0" applyNumberFormat="1" applyFont="1" applyFill="1" applyBorder="1" applyAlignment="1">
      <alignment vertical="center"/>
    </xf>
    <xf numFmtId="168" fontId="14" fillId="12" borderId="18" xfId="0" applyNumberFormat="1" applyFont="1" applyFill="1" applyBorder="1" applyAlignment="1">
      <alignment vertical="center"/>
    </xf>
    <xf numFmtId="168" fontId="21" fillId="12" borderId="0" xfId="0" applyNumberFormat="1" applyFont="1" applyFill="1" applyAlignment="1">
      <alignment vertical="center"/>
    </xf>
    <xf numFmtId="168" fontId="14" fillId="12" borderId="0" xfId="0" applyNumberFormat="1" applyFont="1" applyFill="1" applyAlignment="1">
      <alignment vertical="center"/>
    </xf>
    <xf numFmtId="168" fontId="14" fillId="12" borderId="29" xfId="0" applyNumberFormat="1" applyFont="1" applyFill="1" applyBorder="1" applyAlignment="1">
      <alignment vertical="center"/>
    </xf>
    <xf numFmtId="168" fontId="12" fillId="12" borderId="18" xfId="0" applyNumberFormat="1" applyFont="1" applyFill="1" applyBorder="1" applyAlignment="1">
      <alignment vertical="center"/>
    </xf>
    <xf numFmtId="168" fontId="18" fillId="12" borderId="0" xfId="0" applyNumberFormat="1" applyFont="1" applyFill="1" applyAlignment="1">
      <alignment vertical="center"/>
    </xf>
    <xf numFmtId="168" fontId="18" fillId="0" borderId="10" xfId="0" applyNumberFormat="1" applyFont="1" applyBorder="1" applyAlignment="1">
      <alignment vertical="center"/>
    </xf>
    <xf numFmtId="168" fontId="12" fillId="0" borderId="18" xfId="0" applyNumberFormat="1" applyFont="1" applyBorder="1" applyAlignment="1">
      <alignment vertical="center"/>
    </xf>
    <xf numFmtId="168" fontId="12" fillId="0" borderId="29" xfId="0" applyNumberFormat="1" applyFont="1" applyBorder="1" applyAlignment="1">
      <alignment vertical="center"/>
    </xf>
    <xf numFmtId="168" fontId="18" fillId="12" borderId="10" xfId="0" applyNumberFormat="1" applyFont="1" applyFill="1" applyBorder="1" applyAlignment="1">
      <alignment vertical="center"/>
    </xf>
    <xf numFmtId="168" fontId="12" fillId="12" borderId="0" xfId="0" applyNumberFormat="1" applyFont="1" applyFill="1" applyAlignment="1">
      <alignment vertical="center"/>
    </xf>
    <xf numFmtId="168" fontId="12" fillId="12" borderId="29" xfId="0" applyNumberFormat="1" applyFont="1" applyFill="1" applyBorder="1" applyAlignment="1">
      <alignment vertical="center"/>
    </xf>
    <xf numFmtId="168" fontId="21" fillId="12" borderId="18" xfId="0" applyNumberFormat="1" applyFont="1" applyFill="1" applyBorder="1" applyAlignment="1">
      <alignment vertical="center"/>
    </xf>
    <xf numFmtId="0" fontId="14" fillId="0" borderId="0" xfId="0" applyFont="1" applyAlignment="1">
      <alignment vertical="center"/>
    </xf>
    <xf numFmtId="0" fontId="21" fillId="0" borderId="24" xfId="0" applyFont="1" applyBorder="1" applyAlignment="1">
      <alignment horizontal="left" vertical="center"/>
    </xf>
    <xf numFmtId="168" fontId="21" fillId="0" borderId="26" xfId="0" applyNumberFormat="1" applyFont="1" applyBorder="1" applyAlignment="1">
      <alignment vertical="center"/>
    </xf>
    <xf numFmtId="168" fontId="14" fillId="0" borderId="23" xfId="0" applyNumberFormat="1" applyFont="1" applyBorder="1" applyAlignment="1">
      <alignment vertical="center"/>
    </xf>
    <xf numFmtId="168" fontId="21" fillId="0" borderId="24" xfId="0" applyNumberFormat="1" applyFont="1" applyBorder="1" applyAlignment="1">
      <alignment vertical="center"/>
    </xf>
    <xf numFmtId="168" fontId="14" fillId="0" borderId="24" xfId="0" applyNumberFormat="1" applyFont="1" applyBorder="1" applyAlignment="1">
      <alignment vertical="center"/>
    </xf>
    <xf numFmtId="168" fontId="14" fillId="0" borderId="25" xfId="0" applyNumberFormat="1" applyFont="1" applyBorder="1" applyAlignment="1">
      <alignment vertical="center"/>
    </xf>
    <xf numFmtId="168" fontId="21" fillId="0" borderId="23" xfId="0" applyNumberFormat="1" applyFont="1" applyBorder="1" applyAlignment="1">
      <alignment vertical="center"/>
    </xf>
    <xf numFmtId="168" fontId="21" fillId="3" borderId="10" xfId="0" applyNumberFormat="1" applyFont="1" applyFill="1" applyBorder="1" applyAlignment="1">
      <alignment vertical="center"/>
    </xf>
    <xf numFmtId="168" fontId="14" fillId="3" borderId="18" xfId="0" applyNumberFormat="1" applyFont="1" applyFill="1" applyBorder="1" applyAlignment="1">
      <alignment vertical="center"/>
    </xf>
    <xf numFmtId="168" fontId="21" fillId="3" borderId="0" xfId="0" applyNumberFormat="1" applyFont="1" applyFill="1" applyAlignment="1">
      <alignment vertical="center"/>
    </xf>
    <xf numFmtId="168" fontId="14" fillId="3" borderId="0" xfId="0" applyNumberFormat="1" applyFont="1" applyFill="1" applyAlignment="1">
      <alignment vertical="center"/>
    </xf>
    <xf numFmtId="168" fontId="14" fillId="3" borderId="29" xfId="0" applyNumberFormat="1" applyFont="1" applyFill="1" applyBorder="1" applyAlignment="1">
      <alignment vertical="center"/>
    </xf>
    <xf numFmtId="168" fontId="21" fillId="3" borderId="18" xfId="0" applyNumberFormat="1" applyFont="1" applyFill="1" applyBorder="1" applyAlignment="1">
      <alignment vertical="center"/>
    </xf>
    <xf numFmtId="168" fontId="18" fillId="3" borderId="10" xfId="0" applyNumberFormat="1" applyFont="1" applyFill="1" applyBorder="1" applyAlignment="1">
      <alignment vertical="center"/>
    </xf>
    <xf numFmtId="168" fontId="12" fillId="3" borderId="18" xfId="0" applyNumberFormat="1" applyFont="1" applyFill="1" applyBorder="1" applyAlignment="1">
      <alignment vertical="center"/>
    </xf>
    <xf numFmtId="168" fontId="18" fillId="3" borderId="0" xfId="0" applyNumberFormat="1" applyFont="1" applyFill="1" applyAlignment="1">
      <alignment vertical="center"/>
    </xf>
    <xf numFmtId="168" fontId="12" fillId="3" borderId="0" xfId="0" applyNumberFormat="1" applyFont="1" applyFill="1" applyAlignment="1">
      <alignment vertical="center"/>
    </xf>
    <xf numFmtId="168" fontId="12" fillId="3" borderId="29" xfId="0" applyNumberFormat="1" applyFont="1" applyFill="1" applyBorder="1" applyAlignment="1">
      <alignment vertical="center"/>
    </xf>
    <xf numFmtId="168" fontId="21" fillId="3" borderId="59" xfId="0" applyNumberFormat="1" applyFont="1" applyFill="1" applyBorder="1" applyAlignment="1">
      <alignment vertical="center"/>
    </xf>
    <xf numFmtId="168" fontId="14" fillId="3" borderId="40" xfId="0" applyNumberFormat="1" applyFont="1" applyFill="1" applyBorder="1" applyAlignment="1">
      <alignment vertical="center"/>
    </xf>
    <xf numFmtId="168" fontId="21" fillId="3" borderId="30" xfId="0" applyNumberFormat="1" applyFont="1" applyFill="1" applyBorder="1" applyAlignment="1">
      <alignment vertical="center"/>
    </xf>
    <xf numFmtId="168" fontId="14" fillId="3" borderId="30" xfId="0" applyNumberFormat="1" applyFont="1" applyFill="1" applyBorder="1" applyAlignment="1">
      <alignment vertical="center"/>
    </xf>
    <xf numFmtId="168" fontId="14" fillId="3" borderId="31" xfId="0" applyNumberFormat="1" applyFont="1" applyFill="1" applyBorder="1" applyAlignment="1">
      <alignment vertical="center"/>
    </xf>
    <xf numFmtId="168" fontId="21" fillId="3" borderId="40" xfId="0" applyNumberFormat="1" applyFont="1" applyFill="1" applyBorder="1" applyAlignment="1">
      <alignment vertical="center"/>
    </xf>
    <xf numFmtId="0" fontId="47" fillId="0" borderId="0" xfId="0" applyFont="1" applyAlignment="1">
      <alignment vertical="center"/>
    </xf>
    <xf numFmtId="168" fontId="21" fillId="0" borderId="0" xfId="0" applyNumberFormat="1" applyFont="1" applyAlignment="1">
      <alignment horizontal="right" vertical="center"/>
    </xf>
    <xf numFmtId="0" fontId="37" fillId="0" borderId="0" xfId="0" applyFont="1"/>
    <xf numFmtId="0" fontId="46" fillId="13" borderId="108" xfId="0" applyFont="1" applyFill="1" applyBorder="1"/>
    <xf numFmtId="0" fontId="46" fillId="13" borderId="109" xfId="0" applyFont="1" applyFill="1" applyBorder="1"/>
    <xf numFmtId="0" fontId="46" fillId="13" borderId="110" xfId="0" applyFont="1" applyFill="1" applyBorder="1"/>
    <xf numFmtId="0" fontId="46" fillId="13" borderId="0" xfId="0" applyFont="1" applyFill="1"/>
    <xf numFmtId="0" fontId="46" fillId="13" borderId="111" xfId="0" applyFont="1" applyFill="1" applyBorder="1"/>
    <xf numFmtId="0" fontId="46" fillId="13" borderId="112" xfId="0" applyFont="1" applyFill="1" applyBorder="1"/>
    <xf numFmtId="168" fontId="21" fillId="12" borderId="27" xfId="0" applyNumberFormat="1" applyFont="1" applyFill="1" applyBorder="1" applyAlignment="1">
      <alignment vertical="center"/>
    </xf>
    <xf numFmtId="168" fontId="14" fillId="12" borderId="48" xfId="0" applyNumberFormat="1" applyFont="1" applyFill="1" applyBorder="1" applyAlignment="1">
      <alignment vertical="center"/>
    </xf>
    <xf numFmtId="168" fontId="21" fillId="12" borderId="1" xfId="0" applyNumberFormat="1" applyFont="1" applyFill="1" applyBorder="1" applyAlignment="1">
      <alignment vertical="center"/>
    </xf>
    <xf numFmtId="168" fontId="14" fillId="12" borderId="1" xfId="0" applyNumberFormat="1" applyFont="1" applyFill="1" applyBorder="1" applyAlignment="1">
      <alignment vertical="center"/>
    </xf>
    <xf numFmtId="168" fontId="14" fillId="12" borderId="28" xfId="0" applyNumberFormat="1" applyFont="1" applyFill="1" applyBorder="1" applyAlignment="1">
      <alignment vertical="center"/>
    </xf>
    <xf numFmtId="0" fontId="29" fillId="0" borderId="113" xfId="0" applyFont="1" applyBorder="1" applyAlignment="1">
      <alignment horizontal="left" indent="1"/>
    </xf>
    <xf numFmtId="168" fontId="12" fillId="0" borderId="10" xfId="0" applyNumberFormat="1" applyFont="1" applyBorder="1" applyAlignment="1">
      <alignment vertical="center"/>
    </xf>
    <xf numFmtId="168" fontId="12" fillId="12" borderId="10" xfId="0" applyNumberFormat="1" applyFont="1" applyFill="1" applyBorder="1" applyAlignment="1">
      <alignment vertical="center"/>
    </xf>
    <xf numFmtId="168" fontId="14" fillId="12" borderId="10" xfId="0" applyNumberFormat="1" applyFont="1" applyFill="1" applyBorder="1" applyAlignment="1">
      <alignment vertical="center"/>
    </xf>
    <xf numFmtId="0" fontId="46" fillId="0" borderId="113" xfId="0" applyFont="1" applyBorder="1"/>
    <xf numFmtId="168" fontId="33" fillId="0" borderId="10" xfId="0" applyNumberFormat="1" applyFont="1" applyBorder="1" applyAlignment="1">
      <alignment vertical="center"/>
    </xf>
    <xf numFmtId="0" fontId="46" fillId="0" borderId="0" xfId="0" applyFont="1" applyAlignment="1">
      <alignment horizontal="left" indent="1"/>
    </xf>
    <xf numFmtId="0" fontId="46" fillId="0" borderId="110" xfId="0" applyFont="1" applyBorder="1" applyAlignment="1">
      <alignment horizontal="left" indent="1"/>
    </xf>
    <xf numFmtId="0" fontId="46" fillId="0" borderId="111" xfId="0" applyFont="1" applyBorder="1" applyAlignment="1">
      <alignment horizontal="left" indent="1"/>
    </xf>
    <xf numFmtId="0" fontId="46" fillId="0" borderId="112" xfId="0" applyFont="1" applyBorder="1" applyAlignment="1">
      <alignment vertical="center"/>
    </xf>
    <xf numFmtId="0" fontId="46" fillId="0" borderId="10" xfId="0" applyFont="1" applyBorder="1" applyAlignment="1">
      <alignment vertical="center"/>
    </xf>
    <xf numFmtId="0" fontId="46" fillId="13" borderId="112" xfId="0" applyFont="1" applyFill="1" applyBorder="1" applyAlignment="1">
      <alignment vertical="center"/>
    </xf>
    <xf numFmtId="0" fontId="46" fillId="13" borderId="10" xfId="0" applyFont="1" applyFill="1" applyBorder="1" applyAlignment="1">
      <alignment vertical="center"/>
    </xf>
    <xf numFmtId="168" fontId="21" fillId="12" borderId="59" xfId="0" applyNumberFormat="1" applyFont="1" applyFill="1" applyBorder="1" applyAlignment="1">
      <alignment vertical="center"/>
    </xf>
    <xf numFmtId="168" fontId="14" fillId="12" borderId="40" xfId="0" applyNumberFormat="1" applyFont="1" applyFill="1" applyBorder="1" applyAlignment="1">
      <alignment vertical="center"/>
    </xf>
    <xf numFmtId="168" fontId="21" fillId="12" borderId="30" xfId="0" applyNumberFormat="1" applyFont="1" applyFill="1" applyBorder="1" applyAlignment="1">
      <alignment vertical="center"/>
    </xf>
    <xf numFmtId="168" fontId="14" fillId="12" borderId="30" xfId="0" applyNumberFormat="1" applyFont="1" applyFill="1" applyBorder="1" applyAlignment="1">
      <alignment vertical="center"/>
    </xf>
    <xf numFmtId="168" fontId="14" fillId="12" borderId="31" xfId="0" applyNumberFormat="1" applyFont="1" applyFill="1" applyBorder="1" applyAlignment="1">
      <alignment vertical="center"/>
    </xf>
    <xf numFmtId="168" fontId="14" fillId="12" borderId="59" xfId="0" applyNumberFormat="1" applyFont="1" applyFill="1" applyBorder="1" applyAlignment="1">
      <alignment vertical="center"/>
    </xf>
    <xf numFmtId="0" fontId="49" fillId="0" borderId="0" xfId="0" applyFont="1" applyAlignment="1">
      <alignment vertical="center"/>
    </xf>
    <xf numFmtId="0" fontId="46" fillId="13" borderId="113" xfId="0" applyFont="1" applyFill="1" applyBorder="1"/>
    <xf numFmtId="0" fontId="46" fillId="13" borderId="26" xfId="0" applyFont="1" applyFill="1" applyBorder="1"/>
    <xf numFmtId="168" fontId="21" fillId="12" borderId="10" xfId="0" applyNumberFormat="1" applyFont="1" applyFill="1" applyBorder="1" applyAlignment="1">
      <alignment horizontal="right" vertical="center"/>
    </xf>
    <xf numFmtId="168" fontId="29" fillId="0" borderId="10" xfId="0" applyNumberFormat="1" applyFont="1" applyBorder="1" applyAlignment="1">
      <alignment horizontal="right" vertical="center"/>
    </xf>
    <xf numFmtId="168" fontId="29" fillId="0" borderId="10" xfId="0" applyNumberFormat="1" applyFont="1" applyBorder="1" applyAlignment="1">
      <alignment horizontal="right" vertical="center" indent="1"/>
    </xf>
    <xf numFmtId="168" fontId="29" fillId="0" borderId="10" xfId="0" applyNumberFormat="1" applyFont="1" applyBorder="1" applyAlignment="1">
      <alignment vertical="center"/>
    </xf>
    <xf numFmtId="0" fontId="29" fillId="12" borderId="113" xfId="0" applyFont="1" applyFill="1" applyBorder="1" applyAlignment="1">
      <alignment horizontal="left" indent="1"/>
    </xf>
    <xf numFmtId="168" fontId="29" fillId="12" borderId="10" xfId="0" applyNumberFormat="1" applyFont="1" applyFill="1" applyBorder="1" applyAlignment="1">
      <alignment horizontal="right" vertical="center"/>
    </xf>
    <xf numFmtId="168" fontId="29" fillId="12" borderId="10" xfId="0" applyNumberFormat="1" applyFont="1" applyFill="1" applyBorder="1" applyAlignment="1">
      <alignment horizontal="right" vertical="center" indent="1"/>
    </xf>
    <xf numFmtId="168" fontId="29" fillId="12" borderId="10" xfId="0" applyNumberFormat="1" applyFont="1" applyFill="1" applyBorder="1" applyAlignment="1">
      <alignment vertical="center"/>
    </xf>
    <xf numFmtId="0" fontId="46" fillId="12" borderId="113" xfId="0" applyFont="1" applyFill="1" applyBorder="1"/>
    <xf numFmtId="168" fontId="46" fillId="12" borderId="10" xfId="0" applyNumberFormat="1" applyFont="1" applyFill="1" applyBorder="1" applyAlignment="1">
      <alignment horizontal="right" vertical="center"/>
    </xf>
    <xf numFmtId="168" fontId="46" fillId="12" borderId="10" xfId="0" applyNumberFormat="1" applyFont="1" applyFill="1" applyBorder="1" applyAlignment="1">
      <alignment vertical="center"/>
    </xf>
    <xf numFmtId="168" fontId="46" fillId="0" borderId="10" xfId="0" applyNumberFormat="1" applyFont="1" applyBorder="1" applyAlignment="1">
      <alignment horizontal="right" vertical="center"/>
    </xf>
    <xf numFmtId="168" fontId="46" fillId="0" borderId="10" xfId="0" applyNumberFormat="1" applyFont="1" applyBorder="1" applyAlignment="1">
      <alignment horizontal="right" vertical="center" indent="1"/>
    </xf>
    <xf numFmtId="168" fontId="46" fillId="0" borderId="10" xfId="0" applyNumberFormat="1" applyFont="1" applyBorder="1" applyAlignment="1">
      <alignment vertical="center"/>
    </xf>
    <xf numFmtId="168" fontId="46" fillId="13" borderId="10" xfId="0" applyNumberFormat="1" applyFont="1" applyFill="1" applyBorder="1" applyAlignment="1">
      <alignment vertical="center"/>
    </xf>
    <xf numFmtId="0" fontId="46" fillId="12" borderId="114" xfId="0" applyFont="1" applyFill="1" applyBorder="1"/>
    <xf numFmtId="168" fontId="46" fillId="12" borderId="115" xfId="0" applyNumberFormat="1" applyFont="1" applyFill="1" applyBorder="1" applyAlignment="1">
      <alignment horizontal="right" vertical="center"/>
    </xf>
    <xf numFmtId="168" fontId="46" fillId="12" borderId="59" xfId="0" applyNumberFormat="1" applyFont="1" applyFill="1" applyBorder="1" applyAlignment="1">
      <alignment vertical="center"/>
    </xf>
    <xf numFmtId="0" fontId="21" fillId="0" borderId="0" xfId="0" applyFont="1" applyAlignment="1">
      <alignment horizontal="center" vertical="center"/>
    </xf>
    <xf numFmtId="168" fontId="21" fillId="0" borderId="23" xfId="1" quotePrefix="1" applyNumberFormat="1" applyFont="1" applyBorder="1" applyAlignment="1">
      <alignment horizontal="right" vertical="center" wrapText="1"/>
    </xf>
    <xf numFmtId="168" fontId="21" fillId="0" borderId="24" xfId="5" quotePrefix="1" applyNumberFormat="1" applyFont="1" applyBorder="1" applyAlignment="1">
      <alignment horizontal="right" vertical="center" wrapText="1"/>
    </xf>
    <xf numFmtId="168" fontId="21" fillId="0" borderId="25" xfId="5" quotePrefix="1" applyNumberFormat="1" applyFont="1" applyBorder="1" applyAlignment="1">
      <alignment horizontal="right" vertical="center" wrapText="1"/>
    </xf>
    <xf numFmtId="168" fontId="21" fillId="0" borderId="48" xfId="1" quotePrefix="1" applyNumberFormat="1" applyFont="1" applyBorder="1" applyAlignment="1">
      <alignment horizontal="right" vertical="center" wrapText="1"/>
    </xf>
    <xf numFmtId="168" fontId="21" fillId="0" borderId="1" xfId="5" quotePrefix="1" applyNumberFormat="1" applyFont="1" applyBorder="1" applyAlignment="1">
      <alignment horizontal="right" vertical="center" wrapText="1"/>
    </xf>
    <xf numFmtId="168" fontId="21" fillId="0" borderId="28" xfId="5" quotePrefix="1" applyNumberFormat="1" applyFont="1" applyBorder="1" applyAlignment="1">
      <alignment horizontal="right" vertical="center" wrapText="1"/>
    </xf>
    <xf numFmtId="168" fontId="21" fillId="12" borderId="48" xfId="0" applyNumberFormat="1" applyFont="1" applyFill="1" applyBorder="1" applyAlignment="1">
      <alignment vertical="center"/>
    </xf>
    <xf numFmtId="168" fontId="21" fillId="12" borderId="48" xfId="0" applyNumberFormat="1" applyFont="1" applyFill="1" applyBorder="1" applyAlignment="1">
      <alignment horizontal="right" vertical="center"/>
    </xf>
    <xf numFmtId="168" fontId="18" fillId="0" borderId="18" xfId="0" applyNumberFormat="1" applyFont="1" applyBorder="1" applyAlignment="1">
      <alignment vertical="center"/>
    </xf>
    <xf numFmtId="168" fontId="18" fillId="12" borderId="18" xfId="0" applyNumberFormat="1" applyFont="1" applyFill="1" applyBorder="1" applyAlignment="1">
      <alignment vertical="center"/>
    </xf>
    <xf numFmtId="168" fontId="21" fillId="0" borderId="27" xfId="1" quotePrefix="1" applyNumberFormat="1" applyFont="1" applyBorder="1" applyAlignment="1">
      <alignment horizontal="right" vertical="center" wrapText="1"/>
    </xf>
    <xf numFmtId="168" fontId="18" fillId="12" borderId="10" xfId="0" applyNumberFormat="1" applyFont="1" applyFill="1" applyBorder="1" applyAlignment="1">
      <alignment horizontal="right" vertical="center"/>
    </xf>
    <xf numFmtId="168" fontId="21" fillId="0" borderId="10" xfId="0" applyNumberFormat="1" applyFont="1" applyBorder="1" applyAlignment="1">
      <alignment horizontal="right" vertical="center"/>
    </xf>
    <xf numFmtId="0" fontId="46" fillId="12" borderId="113" xfId="0" applyFont="1" applyFill="1" applyBorder="1" applyAlignment="1">
      <alignment horizontal="left" indent="1"/>
    </xf>
    <xf numFmtId="0" fontId="29" fillId="0" borderId="113" xfId="0" applyFont="1" applyBorder="1"/>
    <xf numFmtId="0" fontId="21" fillId="0" borderId="75" xfId="0" applyFont="1" applyBorder="1" applyAlignment="1">
      <alignment vertical="center" wrapText="1"/>
    </xf>
    <xf numFmtId="168" fontId="46" fillId="0" borderId="61" xfId="10" applyNumberFormat="1" applyFont="1" applyFill="1" applyBorder="1" applyAlignment="1">
      <alignment wrapText="1"/>
    </xf>
    <xf numFmtId="0" fontId="14" fillId="0" borderId="61" xfId="0" applyFont="1" applyBorder="1" applyAlignment="1">
      <alignment vertical="center" wrapText="1"/>
    </xf>
    <xf numFmtId="0" fontId="12" fillId="0" borderId="61" xfId="0" applyFont="1" applyBorder="1" applyAlignment="1">
      <alignment vertical="center" wrapText="1"/>
    </xf>
    <xf numFmtId="0" fontId="18" fillId="0" borderId="61" xfId="0" applyFont="1" applyBorder="1" applyAlignment="1">
      <alignment horizontal="left" vertical="center" wrapText="1"/>
    </xf>
    <xf numFmtId="0" fontId="21" fillId="0" borderId="116" xfId="0" applyFont="1" applyBorder="1" applyAlignment="1">
      <alignment horizontal="left" vertical="center" wrapText="1"/>
    </xf>
    <xf numFmtId="0" fontId="21" fillId="0" borderId="61" xfId="0" applyFont="1" applyBorder="1" applyAlignment="1">
      <alignment horizontal="left" vertical="center" wrapText="1"/>
    </xf>
    <xf numFmtId="0" fontId="21" fillId="0" borderId="68" xfId="0" applyFont="1" applyBorder="1" applyAlignment="1">
      <alignment horizontal="left" vertical="center" wrapText="1"/>
    </xf>
    <xf numFmtId="0" fontId="29" fillId="0" borderId="61" xfId="0" applyFont="1" applyBorder="1" applyAlignment="1">
      <alignment horizontal="left" wrapText="1"/>
    </xf>
    <xf numFmtId="0" fontId="46" fillId="0" borderId="61" xfId="0" applyFont="1" applyBorder="1" applyAlignment="1">
      <alignment wrapText="1"/>
    </xf>
    <xf numFmtId="0" fontId="46" fillId="0" borderId="75" xfId="0" applyFont="1" applyBorder="1"/>
    <xf numFmtId="168" fontId="21" fillId="0" borderId="91" xfId="0" applyNumberFormat="1" applyFont="1" applyBorder="1" applyAlignment="1">
      <alignment vertical="center"/>
    </xf>
    <xf numFmtId="0" fontId="29" fillId="0" borderId="61" xfId="0" applyFont="1" applyBorder="1" applyAlignment="1">
      <alignment horizontal="left" indent="1"/>
    </xf>
    <xf numFmtId="168" fontId="18" fillId="0" borderId="61" xfId="0" applyNumberFormat="1" applyFont="1" applyBorder="1" applyAlignment="1">
      <alignment vertical="center"/>
    </xf>
    <xf numFmtId="0" fontId="46" fillId="0" borderId="61" xfId="0" applyFont="1" applyBorder="1" applyAlignment="1">
      <alignment horizontal="left" indent="1"/>
    </xf>
    <xf numFmtId="168" fontId="21" fillId="0" borderId="61" xfId="0" applyNumberFormat="1" applyFont="1" applyBorder="1" applyAlignment="1">
      <alignment vertical="center"/>
    </xf>
    <xf numFmtId="0" fontId="46" fillId="0" borderId="61" xfId="0" applyFont="1" applyBorder="1"/>
    <xf numFmtId="168" fontId="21" fillId="0" borderId="61" xfId="0" applyNumberFormat="1" applyFont="1" applyBorder="1" applyAlignment="1">
      <alignment horizontal="left" vertical="center" indent="1"/>
    </xf>
    <xf numFmtId="168" fontId="18" fillId="0" borderId="61" xfId="0" applyNumberFormat="1" applyFont="1" applyBorder="1" applyAlignment="1">
      <alignment horizontal="left" vertical="center" indent="1"/>
    </xf>
    <xf numFmtId="168" fontId="21" fillId="0" borderId="68" xfId="0" applyNumberFormat="1" applyFont="1" applyBorder="1" applyAlignment="1">
      <alignment vertical="center"/>
    </xf>
    <xf numFmtId="0" fontId="29" fillId="0" borderId="61" xfId="0" applyFont="1" applyBorder="1" applyAlignment="1">
      <alignment wrapText="1"/>
    </xf>
    <xf numFmtId="0" fontId="22" fillId="6" borderId="32" xfId="0" applyFont="1" applyFill="1" applyBorder="1" applyAlignment="1">
      <alignment wrapText="1"/>
    </xf>
    <xf numFmtId="169" fontId="0" fillId="0" borderId="87" xfId="1" applyNumberFormat="1" applyFont="1" applyBorder="1"/>
    <xf numFmtId="169" fontId="0" fillId="0" borderId="71" xfId="1" applyNumberFormat="1" applyFont="1" applyBorder="1"/>
    <xf numFmtId="169" fontId="0" fillId="0" borderId="72" xfId="1" applyNumberFormat="1" applyFont="1" applyBorder="1"/>
    <xf numFmtId="0" fontId="14" fillId="0" borderId="27" xfId="0" applyFont="1" applyBorder="1" applyAlignment="1">
      <alignment horizontal="center" vertical="center"/>
    </xf>
    <xf numFmtId="167" fontId="21" fillId="0" borderId="59" xfId="5" quotePrefix="1" applyNumberFormat="1" applyFont="1" applyBorder="1" applyAlignment="1">
      <alignment horizontal="center" vertical="center" wrapText="1"/>
    </xf>
    <xf numFmtId="3" fontId="12" fillId="12" borderId="10" xfId="0" applyNumberFormat="1" applyFont="1" applyFill="1" applyBorder="1" applyAlignment="1">
      <alignment vertical="center"/>
    </xf>
    <xf numFmtId="0" fontId="14" fillId="0" borderId="70" xfId="0" applyFont="1" applyBorder="1" applyAlignment="1">
      <alignment horizontal="center" vertical="center" wrapText="1"/>
    </xf>
    <xf numFmtId="0" fontId="14" fillId="0" borderId="71" xfId="0" applyFont="1" applyBorder="1" applyAlignment="1">
      <alignment horizontal="center" vertical="center" wrapText="1"/>
    </xf>
    <xf numFmtId="0" fontId="14" fillId="0" borderId="72" xfId="0" applyFont="1" applyBorder="1" applyAlignment="1">
      <alignment horizontal="center" vertical="center" wrapText="1"/>
    </xf>
    <xf numFmtId="0" fontId="0" fillId="0" borderId="117" xfId="0" applyBorder="1"/>
    <xf numFmtId="0" fontId="0" fillId="0" borderId="118" xfId="0" applyBorder="1"/>
    <xf numFmtId="170" fontId="0" fillId="0" borderId="12" xfId="0" applyNumberFormat="1" applyBorder="1"/>
    <xf numFmtId="170" fontId="0" fillId="0" borderId="13" xfId="0" applyNumberFormat="1" applyBorder="1"/>
    <xf numFmtId="170" fontId="0" fillId="0" borderId="14" xfId="0" applyNumberFormat="1" applyBorder="1"/>
    <xf numFmtId="170" fontId="0" fillId="0" borderId="117" xfId="0" applyNumberFormat="1" applyBorder="1"/>
    <xf numFmtId="170" fontId="0" fillId="0" borderId="118" xfId="0" applyNumberFormat="1" applyBorder="1"/>
    <xf numFmtId="170" fontId="0" fillId="0" borderId="9" xfId="0" applyNumberFormat="1" applyBorder="1"/>
    <xf numFmtId="170" fontId="0" fillId="0" borderId="11" xfId="0" applyNumberFormat="1" applyBorder="1"/>
    <xf numFmtId="0" fontId="22" fillId="6" borderId="27" xfId="4" applyFont="1" applyFill="1" applyBorder="1" applyAlignment="1">
      <alignment horizontal="left" vertical="center" wrapText="1"/>
    </xf>
    <xf numFmtId="0" fontId="22" fillId="6" borderId="10" xfId="4" applyFont="1" applyFill="1" applyBorder="1" applyAlignment="1">
      <alignment horizontal="left" vertical="center" wrapText="1"/>
    </xf>
    <xf numFmtId="0" fontId="21" fillId="0" borderId="30" xfId="4" applyFont="1" applyBorder="1" applyAlignment="1">
      <alignment horizontal="left" vertical="center" wrapText="1"/>
    </xf>
    <xf numFmtId="0" fontId="0" fillId="0" borderId="39" xfId="0" applyBorder="1"/>
    <xf numFmtId="0" fontId="21" fillId="0" borderId="119" xfId="4" applyFont="1" applyBorder="1" applyAlignment="1">
      <alignment horizontal="left" vertical="center" wrapText="1"/>
    </xf>
    <xf numFmtId="0" fontId="21" fillId="0" borderId="120" xfId="4" applyFont="1" applyBorder="1" applyAlignment="1">
      <alignment horizontal="left" vertical="center" wrapText="1"/>
    </xf>
    <xf numFmtId="0" fontId="18" fillId="2" borderId="35" xfId="4" applyFont="1" applyFill="1" applyBorder="1" applyAlignment="1">
      <alignment horizontal="left" vertical="center"/>
    </xf>
    <xf numFmtId="168" fontId="18" fillId="0" borderId="65" xfId="4" applyNumberFormat="1" applyFont="1" applyBorder="1" applyAlignment="1">
      <alignment horizontal="right" vertical="center"/>
    </xf>
    <xf numFmtId="0" fontId="18" fillId="3" borderId="36" xfId="4" applyFont="1" applyFill="1" applyBorder="1" applyAlignment="1">
      <alignment horizontal="left" vertical="center"/>
    </xf>
    <xf numFmtId="168" fontId="18" fillId="3" borderId="56" xfId="4" applyNumberFormat="1" applyFont="1" applyFill="1" applyBorder="1" applyAlignment="1">
      <alignment horizontal="right" vertical="center"/>
    </xf>
    <xf numFmtId="0" fontId="18" fillId="2" borderId="36" xfId="4" applyFont="1" applyFill="1" applyBorder="1" applyAlignment="1">
      <alignment horizontal="left" vertical="center"/>
    </xf>
    <xf numFmtId="168" fontId="18" fillId="0" borderId="56" xfId="4" applyNumberFormat="1" applyFont="1" applyBorder="1" applyAlignment="1">
      <alignment horizontal="right" vertical="center"/>
    </xf>
    <xf numFmtId="168" fontId="18" fillId="3" borderId="121" xfId="4" applyNumberFormat="1" applyFont="1" applyFill="1" applyBorder="1" applyAlignment="1">
      <alignment horizontal="right" vertical="center"/>
    </xf>
    <xf numFmtId="0" fontId="21" fillId="0" borderId="122" xfId="4" applyFont="1" applyBorder="1" applyAlignment="1">
      <alignment horizontal="left" vertical="center" wrapText="1"/>
    </xf>
    <xf numFmtId="168" fontId="18" fillId="3" borderId="65" xfId="4" applyNumberFormat="1" applyFont="1" applyFill="1" applyBorder="1" applyAlignment="1">
      <alignment horizontal="right" vertical="center"/>
    </xf>
    <xf numFmtId="0" fontId="18" fillId="2" borderId="119" xfId="4" applyFont="1" applyFill="1" applyBorder="1" applyAlignment="1">
      <alignment horizontal="left" vertical="center"/>
    </xf>
    <xf numFmtId="168" fontId="18" fillId="0" borderId="121" xfId="4" applyNumberFormat="1" applyFont="1" applyBorder="1" applyAlignment="1">
      <alignment horizontal="right" vertical="center"/>
    </xf>
    <xf numFmtId="0" fontId="18" fillId="2" borderId="119" xfId="4" applyFont="1" applyFill="1" applyBorder="1" applyAlignment="1">
      <alignment horizontal="left" vertical="center" wrapText="1"/>
    </xf>
    <xf numFmtId="168" fontId="18" fillId="0" borderId="123" xfId="4" applyNumberFormat="1" applyFont="1" applyBorder="1" applyAlignment="1">
      <alignment horizontal="right" vertical="center"/>
    </xf>
    <xf numFmtId="168" fontId="18" fillId="3" borderId="123" xfId="4" applyNumberFormat="1" applyFont="1" applyFill="1" applyBorder="1" applyAlignment="1">
      <alignment horizontal="right" vertical="center"/>
    </xf>
    <xf numFmtId="0" fontId="18" fillId="3" borderId="119" xfId="4" applyFont="1" applyFill="1" applyBorder="1" applyAlignment="1">
      <alignment horizontal="left" vertical="center"/>
    </xf>
    <xf numFmtId="0" fontId="22" fillId="6" borderId="59" xfId="4" applyFont="1" applyFill="1" applyBorder="1" applyAlignment="1">
      <alignment horizontal="left" vertical="center" wrapText="1"/>
    </xf>
    <xf numFmtId="0" fontId="22" fillId="6" borderId="18" xfId="4" applyFont="1" applyFill="1" applyBorder="1" applyAlignment="1">
      <alignment horizontal="left" vertical="center" wrapText="1"/>
    </xf>
    <xf numFmtId="14" fontId="0" fillId="0" borderId="28" xfId="0" applyNumberFormat="1" applyBorder="1"/>
    <xf numFmtId="14" fontId="0" fillId="0" borderId="27" xfId="0" applyNumberFormat="1" applyBorder="1"/>
    <xf numFmtId="14" fontId="0" fillId="0" borderId="65" xfId="0" applyNumberFormat="1" applyBorder="1"/>
    <xf numFmtId="0" fontId="14" fillId="0" borderId="124" xfId="0" applyFont="1" applyBorder="1" applyAlignment="1">
      <alignment horizontal="center" vertical="center" wrapText="1"/>
    </xf>
    <xf numFmtId="0" fontId="14" fillId="0" borderId="125" xfId="0" applyFont="1" applyBorder="1" applyAlignment="1">
      <alignment horizontal="center" vertical="center" wrapText="1"/>
    </xf>
    <xf numFmtId="0" fontId="14" fillId="0" borderId="126" xfId="0" applyFont="1" applyBorder="1" applyAlignment="1">
      <alignment horizontal="center" vertical="center" wrapText="1"/>
    </xf>
    <xf numFmtId="169" fontId="0" fillId="0" borderId="12" xfId="1" applyNumberFormat="1" applyFont="1" applyBorder="1"/>
    <xf numFmtId="169" fontId="0" fillId="7" borderId="56" xfId="1" applyNumberFormat="1" applyFont="1" applyFill="1" applyBorder="1"/>
    <xf numFmtId="3" fontId="18" fillId="0" borderId="28" xfId="0" applyNumberFormat="1" applyFont="1" applyBorder="1" applyAlignment="1">
      <alignment horizontal="right" vertical="center"/>
    </xf>
    <xf numFmtId="3" fontId="18" fillId="0" borderId="29" xfId="0" applyNumberFormat="1" applyFont="1" applyBorder="1" applyAlignment="1">
      <alignment horizontal="right" vertical="center"/>
    </xf>
    <xf numFmtId="3" fontId="18" fillId="0" borderId="31" xfId="0" applyNumberFormat="1" applyFont="1" applyBorder="1" applyAlignment="1">
      <alignment horizontal="right" vertical="center"/>
    </xf>
    <xf numFmtId="168" fontId="18" fillId="0" borderId="29" xfId="0" applyNumberFormat="1" applyFont="1" applyBorder="1" applyAlignment="1">
      <alignment horizontal="right" vertical="center"/>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10" fontId="0" fillId="0" borderId="10" xfId="2" applyNumberFormat="1" applyFont="1" applyBorder="1"/>
    <xf numFmtId="10" fontId="0" fillId="0" borderId="13" xfId="2" applyNumberFormat="1" applyFont="1" applyBorder="1"/>
    <xf numFmtId="0" fontId="0" fillId="14" borderId="0" xfId="0" applyFill="1"/>
    <xf numFmtId="0" fontId="14" fillId="0" borderId="4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170" fontId="0" fillId="0" borderId="6" xfId="0" applyNumberFormat="1" applyBorder="1"/>
    <xf numFmtId="170" fontId="0" fillId="0" borderId="8" xfId="0" applyNumberFormat="1" applyBorder="1"/>
    <xf numFmtId="171" fontId="18" fillId="0" borderId="0" xfId="1" applyNumberFormat="1" applyFont="1" applyAlignment="1">
      <alignment horizontal="right" vertical="center" wrapText="1"/>
    </xf>
    <xf numFmtId="171" fontId="21" fillId="0" borderId="26" xfId="1" applyNumberFormat="1" applyFont="1" applyBorder="1" applyAlignment="1">
      <alignment horizontal="right" vertical="center" wrapText="1"/>
    </xf>
    <xf numFmtId="168" fontId="21" fillId="0" borderId="26" xfId="1" quotePrefix="1" applyNumberFormat="1" applyFont="1" applyBorder="1" applyAlignment="1">
      <alignment horizontal="right" vertical="center" wrapText="1"/>
    </xf>
    <xf numFmtId="168" fontId="21" fillId="0" borderId="26" xfId="5" quotePrefix="1" applyNumberFormat="1" applyFont="1" applyBorder="1" applyAlignment="1">
      <alignment horizontal="right" vertical="center" wrapText="1"/>
    </xf>
    <xf numFmtId="175" fontId="50" fillId="0" borderId="127" xfId="0" applyNumberFormat="1" applyFont="1" applyBorder="1"/>
    <xf numFmtId="0" fontId="23" fillId="4" borderId="60" xfId="0" applyFont="1" applyFill="1" applyBorder="1"/>
    <xf numFmtId="175" fontId="50" fillId="0" borderId="128" xfId="0" applyNumberFormat="1" applyFont="1" applyBorder="1"/>
    <xf numFmtId="0" fontId="20" fillId="0" borderId="129" xfId="4" applyFont="1" applyBorder="1" applyAlignment="1">
      <alignment horizontal="center" vertical="center" wrapText="1"/>
    </xf>
    <xf numFmtId="0" fontId="20" fillId="0" borderId="130" xfId="4" applyFont="1" applyBorder="1" applyAlignment="1">
      <alignment horizontal="center" vertical="center" wrapText="1"/>
    </xf>
    <xf numFmtId="0" fontId="20" fillId="0" borderId="131" xfId="4" applyFont="1" applyBorder="1" applyAlignment="1">
      <alignment horizontal="center" vertical="center" wrapText="1"/>
    </xf>
    <xf numFmtId="0" fontId="18" fillId="0" borderId="67" xfId="4" applyFont="1" applyBorder="1" applyAlignment="1">
      <alignment horizontal="left" vertical="center" wrapText="1"/>
    </xf>
    <xf numFmtId="3" fontId="22" fillId="6" borderId="67" xfId="4" applyNumberFormat="1" applyFont="1" applyFill="1" applyBorder="1" applyAlignment="1">
      <alignment horizontal="right" vertical="center"/>
    </xf>
    <xf numFmtId="168" fontId="18" fillId="0" borderId="52" xfId="4" applyNumberFormat="1" applyFont="1" applyBorder="1" applyAlignment="1">
      <alignment horizontal="right" vertical="center"/>
    </xf>
    <xf numFmtId="168" fontId="18" fillId="0" borderId="53" xfId="4" applyNumberFormat="1" applyFont="1" applyBorder="1" applyAlignment="1">
      <alignment horizontal="right" vertical="center"/>
    </xf>
    <xf numFmtId="168" fontId="18" fillId="0" borderId="54" xfId="4" applyNumberFormat="1" applyFont="1" applyBorder="1" applyAlignment="1">
      <alignment horizontal="right" vertical="center"/>
    </xf>
    <xf numFmtId="168" fontId="0" fillId="0" borderId="55" xfId="0" applyNumberFormat="1" applyBorder="1"/>
    <xf numFmtId="168" fontId="0" fillId="0" borderId="10" xfId="0" applyNumberFormat="1" applyBorder="1"/>
    <xf numFmtId="168" fontId="0" fillId="0" borderId="56" xfId="0" applyNumberFormat="1" applyBorder="1"/>
    <xf numFmtId="168" fontId="0" fillId="0" borderId="57" xfId="0" applyNumberFormat="1" applyBorder="1"/>
    <xf numFmtId="168" fontId="0" fillId="0" borderId="49" xfId="0" applyNumberFormat="1" applyBorder="1"/>
    <xf numFmtId="168" fontId="0" fillId="0" borderId="58" xfId="0" applyNumberFormat="1" applyBorder="1"/>
    <xf numFmtId="3" fontId="0" fillId="0" borderId="55" xfId="0" applyNumberFormat="1" applyBorder="1"/>
    <xf numFmtId="3" fontId="0" fillId="0" borderId="56" xfId="0" applyNumberFormat="1" applyBorder="1"/>
    <xf numFmtId="175" fontId="50" fillId="0" borderId="132" xfId="0" applyNumberFormat="1" applyFont="1" applyBorder="1"/>
    <xf numFmtId="175" fontId="50" fillId="0" borderId="133" xfId="0" applyNumberFormat="1" applyFont="1" applyBorder="1"/>
    <xf numFmtId="14" fontId="0" fillId="0" borderId="0" xfId="0" applyNumberFormat="1"/>
    <xf numFmtId="0" fontId="51" fillId="6" borderId="0" xfId="0" applyFont="1" applyFill="1" applyAlignment="1">
      <alignment horizontal="right"/>
    </xf>
    <xf numFmtId="0" fontId="14" fillId="0" borderId="0" xfId="0" applyFont="1" applyAlignment="1">
      <alignment horizontal="center" vertical="center"/>
    </xf>
    <xf numFmtId="171" fontId="18" fillId="0" borderId="0" xfId="1" applyNumberFormat="1" applyFont="1" applyAlignment="1">
      <alignment horizontal="left" vertical="center" wrapText="1"/>
    </xf>
    <xf numFmtId="171" fontId="21" fillId="0" borderId="26" xfId="1" applyNumberFormat="1" applyFont="1" applyBorder="1" applyAlignment="1">
      <alignment horizontal="left" vertical="center" wrapText="1"/>
    </xf>
    <xf numFmtId="171" fontId="18" fillId="3" borderId="27" xfId="1" applyNumberFormat="1" applyFont="1" applyFill="1" applyBorder="1" applyAlignment="1">
      <alignment horizontal="left" vertical="center" wrapText="1"/>
    </xf>
    <xf numFmtId="168" fontId="18" fillId="3" borderId="101" xfId="4" applyNumberFormat="1" applyFont="1" applyFill="1" applyBorder="1" applyAlignment="1">
      <alignment horizontal="right" vertical="center"/>
    </xf>
    <xf numFmtId="171" fontId="18" fillId="0" borderId="10" xfId="1" applyNumberFormat="1" applyFont="1" applyBorder="1" applyAlignment="1">
      <alignment horizontal="left" vertical="center" wrapText="1"/>
    </xf>
    <xf numFmtId="168" fontId="18" fillId="0" borderId="102" xfId="4" applyNumberFormat="1" applyFont="1" applyBorder="1" applyAlignment="1">
      <alignment horizontal="right" vertical="center"/>
    </xf>
    <xf numFmtId="168" fontId="18" fillId="0" borderId="103" xfId="4" applyNumberFormat="1" applyFont="1" applyBorder="1" applyAlignment="1">
      <alignment horizontal="right" vertical="center"/>
    </xf>
    <xf numFmtId="168" fontId="18" fillId="0" borderId="104" xfId="4" applyNumberFormat="1" applyFont="1" applyBorder="1" applyAlignment="1">
      <alignment horizontal="right" vertical="center"/>
    </xf>
    <xf numFmtId="171" fontId="18" fillId="3" borderId="10" xfId="1" applyNumberFormat="1" applyFont="1" applyFill="1" applyBorder="1" applyAlignment="1">
      <alignment horizontal="left" vertical="center" wrapText="1"/>
    </xf>
    <xf numFmtId="168" fontId="18" fillId="3" borderId="102" xfId="1" applyNumberFormat="1" applyFont="1" applyFill="1" applyBorder="1" applyAlignment="1">
      <alignment horizontal="right" vertical="center"/>
    </xf>
    <xf numFmtId="168" fontId="18" fillId="3" borderId="103" xfId="0" applyNumberFormat="1" applyFont="1" applyFill="1" applyBorder="1" applyAlignment="1">
      <alignment horizontal="right" vertical="center"/>
    </xf>
    <xf numFmtId="168" fontId="18" fillId="3" borderId="103" xfId="1" applyNumberFormat="1" applyFont="1" applyFill="1" applyBorder="1" applyAlignment="1">
      <alignment horizontal="right" vertical="center"/>
    </xf>
    <xf numFmtId="168" fontId="18" fillId="3" borderId="104" xfId="0" applyNumberFormat="1" applyFont="1" applyFill="1" applyBorder="1" applyAlignment="1">
      <alignment horizontal="right" vertical="center"/>
    </xf>
    <xf numFmtId="171" fontId="18" fillId="0" borderId="59" xfId="1" applyNumberFormat="1" applyFont="1" applyBorder="1" applyAlignment="1">
      <alignment horizontal="left" vertical="center" wrapText="1"/>
    </xf>
    <xf numFmtId="168" fontId="18" fillId="0" borderId="105" xfId="1" applyNumberFormat="1" applyFont="1" applyBorder="1" applyAlignment="1">
      <alignment horizontal="right" vertical="center"/>
    </xf>
    <xf numFmtId="168" fontId="18" fillId="0" borderId="106" xfId="0" applyNumberFormat="1" applyFont="1" applyBorder="1" applyAlignment="1">
      <alignment horizontal="right" vertical="center"/>
    </xf>
    <xf numFmtId="168" fontId="18" fillId="0" borderId="106" xfId="1" applyNumberFormat="1" applyFont="1" applyBorder="1" applyAlignment="1">
      <alignment horizontal="right" vertical="center"/>
    </xf>
    <xf numFmtId="0" fontId="18" fillId="0" borderId="0" xfId="0" applyFont="1" applyAlignment="1">
      <alignment vertical="center" wrapText="1"/>
    </xf>
    <xf numFmtId="168" fontId="18" fillId="3" borderId="27" xfId="1" applyNumberFormat="1" applyFont="1" applyFill="1" applyBorder="1" applyAlignment="1">
      <alignment horizontal="right" vertical="center"/>
    </xf>
    <xf numFmtId="171" fontId="18" fillId="3" borderId="59" xfId="1" applyNumberFormat="1" applyFont="1" applyFill="1" applyBorder="1" applyAlignment="1">
      <alignment horizontal="left" vertical="center" wrapText="1"/>
    </xf>
    <xf numFmtId="168" fontId="18" fillId="3" borderId="59" xfId="1" applyNumberFormat="1" applyFont="1" applyFill="1" applyBorder="1" applyAlignment="1">
      <alignment horizontal="right" vertical="center"/>
    </xf>
    <xf numFmtId="0" fontId="21" fillId="0" borderId="30" xfId="0" applyFont="1" applyBorder="1" applyAlignment="1">
      <alignment vertical="center"/>
    </xf>
    <xf numFmtId="0" fontId="21" fillId="0" borderId="30" xfId="0" applyFont="1" applyBorder="1"/>
    <xf numFmtId="168" fontId="21" fillId="0" borderId="27" xfId="5" quotePrefix="1" applyNumberFormat="1" applyFont="1" applyBorder="1" applyAlignment="1">
      <alignment horizontal="right" vertical="center" wrapText="1"/>
    </xf>
    <xf numFmtId="0" fontId="18" fillId="3" borderId="48" xfId="0" applyFont="1" applyFill="1" applyBorder="1"/>
    <xf numFmtId="0" fontId="18" fillId="3" borderId="1" xfId="0" applyFont="1" applyFill="1" applyBorder="1"/>
    <xf numFmtId="0" fontId="18" fillId="0" borderId="18" xfId="0" applyFont="1" applyBorder="1"/>
    <xf numFmtId="170" fontId="18" fillId="0" borderId="10" xfId="0" applyNumberFormat="1" applyFont="1" applyBorder="1" applyAlignment="1">
      <alignment horizontal="right"/>
    </xf>
    <xf numFmtId="0" fontId="18" fillId="3" borderId="18" xfId="0" applyFont="1" applyFill="1" applyBorder="1"/>
    <xf numFmtId="0" fontId="18" fillId="3" borderId="0" xfId="0" applyFont="1" applyFill="1"/>
    <xf numFmtId="170" fontId="18" fillId="3" borderId="10" xfId="0" applyNumberFormat="1" applyFont="1" applyFill="1" applyBorder="1" applyAlignment="1">
      <alignment horizontal="right"/>
    </xf>
    <xf numFmtId="0" fontId="18" fillId="0" borderId="40" xfId="0" applyFont="1" applyBorder="1"/>
    <xf numFmtId="170" fontId="18" fillId="3" borderId="27" xfId="0" applyNumberFormat="1" applyFont="1" applyFill="1" applyBorder="1" applyAlignment="1">
      <alignment horizontal="right"/>
    </xf>
    <xf numFmtId="170" fontId="18" fillId="3" borderId="59" xfId="0" applyNumberFormat="1" applyFont="1" applyFill="1" applyBorder="1" applyAlignment="1">
      <alignment horizontal="right"/>
    </xf>
    <xf numFmtId="0" fontId="18" fillId="0" borderId="48" xfId="0" applyFont="1" applyBorder="1"/>
    <xf numFmtId="0" fontId="18" fillId="0" borderId="1" xfId="0" applyFont="1" applyBorder="1"/>
    <xf numFmtId="0" fontId="18" fillId="3" borderId="40" xfId="0" applyFont="1" applyFill="1" applyBorder="1"/>
    <xf numFmtId="0" fontId="18" fillId="3" borderId="30" xfId="0" applyFont="1" applyFill="1" applyBorder="1"/>
    <xf numFmtId="170" fontId="18" fillId="0" borderId="59" xfId="0" applyNumberFormat="1" applyFont="1" applyBorder="1" applyAlignment="1">
      <alignment horizontal="right"/>
    </xf>
    <xf numFmtId="175" fontId="50" fillId="0" borderId="134" xfId="0" applyNumberFormat="1" applyFont="1" applyBorder="1"/>
    <xf numFmtId="175" fontId="50" fillId="0" borderId="17" xfId="0" applyNumberFormat="1" applyFont="1" applyBorder="1"/>
    <xf numFmtId="0" fontId="18" fillId="0" borderId="52" xfId="0" applyFont="1" applyBorder="1"/>
    <xf numFmtId="0" fontId="18" fillId="3" borderId="54" xfId="0" applyFont="1" applyFill="1" applyBorder="1"/>
    <xf numFmtId="0" fontId="18" fillId="0" borderId="55" xfId="0" applyFont="1" applyBorder="1" applyAlignment="1">
      <alignment vertical="center"/>
    </xf>
    <xf numFmtId="0" fontId="18" fillId="0" borderId="56" xfId="0" applyFont="1" applyBorder="1"/>
    <xf numFmtId="0" fontId="18" fillId="3" borderId="56" xfId="0" applyFont="1" applyFill="1" applyBorder="1"/>
    <xf numFmtId="0" fontId="18" fillId="0" borderId="55" xfId="0" applyFont="1" applyBorder="1"/>
    <xf numFmtId="0" fontId="18" fillId="0" borderId="135" xfId="0" applyFont="1" applyBorder="1"/>
    <xf numFmtId="0" fontId="18" fillId="0" borderId="121" xfId="0" applyFont="1" applyBorder="1"/>
    <xf numFmtId="0" fontId="18" fillId="0" borderId="64" xfId="0" applyFont="1" applyBorder="1"/>
    <xf numFmtId="0" fontId="18" fillId="0" borderId="65" xfId="0" applyFont="1" applyBorder="1"/>
    <xf numFmtId="0" fontId="18" fillId="3" borderId="121" xfId="0" applyFont="1" applyFill="1" applyBorder="1"/>
    <xf numFmtId="0" fontId="18" fillId="0" borderId="57" xfId="0" applyFont="1" applyBorder="1"/>
    <xf numFmtId="0" fontId="18" fillId="3" borderId="58" xfId="0" applyFont="1" applyFill="1" applyBorder="1"/>
    <xf numFmtId="3" fontId="22" fillId="6" borderId="52" xfId="4" applyNumberFormat="1" applyFont="1" applyFill="1" applyBorder="1" applyAlignment="1">
      <alignment horizontal="right" vertical="center"/>
    </xf>
    <xf numFmtId="0" fontId="22" fillId="6" borderId="55" xfId="0" applyFont="1" applyFill="1" applyBorder="1"/>
    <xf numFmtId="0" fontId="22" fillId="6" borderId="57" xfId="0" applyFont="1" applyFill="1" applyBorder="1"/>
    <xf numFmtId="0" fontId="18" fillId="0" borderId="67" xfId="0" applyFont="1" applyBorder="1"/>
    <xf numFmtId="0" fontId="18" fillId="3" borderId="67" xfId="0" applyFont="1" applyFill="1" applyBorder="1"/>
    <xf numFmtId="0" fontId="18" fillId="0" borderId="61" xfId="0" applyFont="1" applyBorder="1" applyAlignment="1">
      <alignment vertical="center"/>
    </xf>
    <xf numFmtId="0" fontId="18" fillId="0" borderId="61" xfId="0" applyFont="1" applyBorder="1"/>
    <xf numFmtId="0" fontId="18" fillId="3" borderId="61" xfId="0" applyFont="1" applyFill="1" applyBorder="1"/>
    <xf numFmtId="0" fontId="18" fillId="0" borderId="136" xfId="0" applyFont="1" applyBorder="1"/>
    <xf numFmtId="0" fontId="18" fillId="0" borderId="91" xfId="0" applyFont="1" applyBorder="1"/>
    <xf numFmtId="0" fontId="18" fillId="3" borderId="91" xfId="0" applyFont="1" applyFill="1" applyBorder="1"/>
    <xf numFmtId="0" fontId="18" fillId="0" borderId="68" xfId="0" applyFont="1" applyBorder="1"/>
    <xf numFmtId="0" fontId="18" fillId="3" borderId="68" xfId="0" applyFont="1" applyFill="1" applyBorder="1"/>
    <xf numFmtId="3" fontId="21" fillId="0" borderId="27" xfId="5" quotePrefix="1" applyNumberFormat="1" applyFont="1" applyBorder="1" applyAlignment="1">
      <alignment horizontal="center" vertical="center" wrapText="1"/>
    </xf>
    <xf numFmtId="3" fontId="18" fillId="3" borderId="29" xfId="0" applyNumberFormat="1" applyFont="1" applyFill="1" applyBorder="1" applyAlignment="1">
      <alignment horizontal="right" vertical="center"/>
    </xf>
    <xf numFmtId="0" fontId="52" fillId="0" borderId="0" xfId="5" applyFont="1" applyAlignment="1">
      <alignment vertical="center"/>
    </xf>
    <xf numFmtId="3" fontId="18" fillId="0" borderId="0" xfId="5" quotePrefix="1" applyNumberFormat="1" applyAlignment="1">
      <alignment horizontal="right" vertical="center"/>
    </xf>
    <xf numFmtId="0" fontId="53" fillId="0" borderId="0" xfId="5" applyFont="1" applyAlignment="1">
      <alignment vertical="center"/>
    </xf>
    <xf numFmtId="3" fontId="18" fillId="0" borderId="67" xfId="0" applyNumberFormat="1" applyFont="1" applyBorder="1" applyAlignment="1">
      <alignment horizontal="left" vertical="center" wrapText="1"/>
    </xf>
    <xf numFmtId="3" fontId="18" fillId="3" borderId="61" xfId="0" applyNumberFormat="1" applyFont="1" applyFill="1" applyBorder="1" applyAlignment="1">
      <alignment horizontal="left" vertical="center" wrapText="1"/>
    </xf>
    <xf numFmtId="3" fontId="18" fillId="0" borderId="68" xfId="0" applyNumberFormat="1" applyFont="1" applyBorder="1" applyAlignment="1">
      <alignment horizontal="left" vertical="center" wrapText="1"/>
    </xf>
    <xf numFmtId="3" fontId="18" fillId="3" borderId="10" xfId="0" quotePrefix="1" applyNumberFormat="1" applyFont="1" applyFill="1" applyBorder="1" applyAlignment="1">
      <alignment horizontal="right" vertical="center"/>
    </xf>
    <xf numFmtId="3" fontId="18" fillId="3" borderId="29" xfId="0" quotePrefix="1" applyNumberFormat="1" applyFont="1" applyFill="1" applyBorder="1" applyAlignment="1">
      <alignment horizontal="right" vertical="center"/>
    </xf>
    <xf numFmtId="3" fontId="14" fillId="5" borderId="15" xfId="0" applyNumberFormat="1" applyFont="1" applyFill="1" applyBorder="1" applyAlignment="1">
      <alignment horizontal="left" vertical="center" wrapText="1"/>
    </xf>
    <xf numFmtId="3" fontId="22" fillId="6" borderId="15" xfId="4" applyNumberFormat="1" applyFont="1" applyFill="1" applyBorder="1" applyAlignment="1">
      <alignment horizontal="right" vertical="center"/>
    </xf>
    <xf numFmtId="3" fontId="12" fillId="0" borderId="16" xfId="0" applyNumberFormat="1" applyFont="1" applyBorder="1" applyAlignment="1">
      <alignment horizontal="left" vertical="center" wrapText="1" indent="1"/>
    </xf>
    <xf numFmtId="0" fontId="22" fillId="6" borderId="16" xfId="0" applyFont="1" applyFill="1" applyBorder="1"/>
    <xf numFmtId="3" fontId="12" fillId="3" borderId="16" xfId="0" applyNumberFormat="1" applyFont="1" applyFill="1" applyBorder="1" applyAlignment="1">
      <alignment horizontal="left" vertical="center" wrapText="1" indent="1"/>
    </xf>
    <xf numFmtId="3" fontId="14" fillId="0" borderId="16" xfId="0" applyNumberFormat="1" applyFont="1" applyBorder="1" applyAlignment="1">
      <alignment horizontal="left" vertical="center" wrapText="1"/>
    </xf>
    <xf numFmtId="3" fontId="14" fillId="5" borderId="16" xfId="0" applyNumberFormat="1" applyFont="1" applyFill="1" applyBorder="1" applyAlignment="1">
      <alignment horizontal="left" vertical="center" wrapText="1"/>
    </xf>
    <xf numFmtId="14" fontId="0" fillId="0" borderId="64" xfId="0" applyNumberFormat="1" applyBorder="1"/>
    <xf numFmtId="3" fontId="18" fillId="0" borderId="6" xfId="4" applyNumberFormat="1" applyFont="1" applyBorder="1" applyAlignment="1">
      <alignment horizontal="right" vertical="center"/>
    </xf>
    <xf numFmtId="3" fontId="18" fillId="0" borderId="7" xfId="4" applyNumberFormat="1" applyFont="1" applyBorder="1" applyAlignment="1">
      <alignment horizontal="right" vertical="center"/>
    </xf>
    <xf numFmtId="3" fontId="18" fillId="0" borderId="8" xfId="4" applyNumberFormat="1" applyFont="1" applyBorder="1" applyAlignment="1">
      <alignment horizontal="right" vertical="center"/>
    </xf>
    <xf numFmtId="3" fontId="0" fillId="0" borderId="9" xfId="0" applyNumberFormat="1" applyBorder="1"/>
    <xf numFmtId="0" fontId="22" fillId="6" borderId="17" xfId="0" applyFont="1" applyFill="1" applyBorder="1"/>
    <xf numFmtId="3" fontId="12" fillId="0" borderId="15" xfId="0" applyNumberFormat="1" applyFont="1" applyBorder="1" applyAlignment="1">
      <alignment horizontal="left" vertical="center" wrapText="1"/>
    </xf>
    <xf numFmtId="3" fontId="12" fillId="3" borderId="16" xfId="0" applyNumberFormat="1" applyFont="1" applyFill="1" applyBorder="1" applyAlignment="1">
      <alignment horizontal="left" vertical="center" wrapText="1"/>
    </xf>
    <xf numFmtId="3" fontId="12" fillId="0" borderId="16" xfId="0" applyNumberFormat="1" applyFont="1" applyBorder="1" applyAlignment="1">
      <alignment horizontal="left" vertical="center" wrapText="1"/>
    </xf>
    <xf numFmtId="3" fontId="21" fillId="3" borderId="93" xfId="0" applyNumberFormat="1" applyFont="1" applyFill="1" applyBorder="1" applyAlignment="1">
      <alignment horizontal="left" vertical="center" wrapText="1"/>
    </xf>
    <xf numFmtId="172" fontId="12" fillId="0" borderId="0" xfId="1" applyNumberFormat="1" applyFont="1" applyAlignment="1">
      <alignment horizontal="right" vertical="center"/>
    </xf>
    <xf numFmtId="0" fontId="21" fillId="0" borderId="0" xfId="4" applyFont="1" applyAlignment="1">
      <alignment horizontal="left" vertical="center" wrapText="1"/>
    </xf>
    <xf numFmtId="0" fontId="54" fillId="0" borderId="1" xfId="0" applyFont="1" applyBorder="1" applyAlignment="1">
      <alignment vertical="center" wrapText="1"/>
    </xf>
    <xf numFmtId="3" fontId="12" fillId="3" borderId="30" xfId="0" applyNumberFormat="1" applyFont="1" applyFill="1" applyBorder="1" applyAlignment="1">
      <alignment horizontal="left" vertical="center" wrapText="1"/>
    </xf>
    <xf numFmtId="168" fontId="18" fillId="3" borderId="59" xfId="0" quotePrefix="1" applyNumberFormat="1" applyFont="1" applyFill="1" applyBorder="1" applyAlignment="1">
      <alignment horizontal="right" vertical="center"/>
    </xf>
    <xf numFmtId="0" fontId="54" fillId="0" borderId="0" xfId="0" applyFont="1" applyAlignment="1">
      <alignment horizontal="right" vertical="center"/>
    </xf>
    <xf numFmtId="0" fontId="54" fillId="0" borderId="0" xfId="0" applyFont="1" applyAlignment="1">
      <alignment vertical="center" wrapText="1"/>
    </xf>
    <xf numFmtId="170" fontId="54" fillId="0" borderId="0" xfId="0" applyNumberFormat="1" applyFont="1" applyAlignment="1">
      <alignment horizontal="right" vertical="center"/>
    </xf>
    <xf numFmtId="168" fontId="21" fillId="0" borderId="24" xfId="1" quotePrefix="1" applyNumberFormat="1" applyFont="1" applyBorder="1" applyAlignment="1">
      <alignment horizontal="right"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170" fontId="0" fillId="0" borderId="9" xfId="0" applyNumberFormat="1" applyBorder="1" applyAlignment="1">
      <alignment horizontal="center" vertical="center" wrapText="1"/>
    </xf>
    <xf numFmtId="170" fontId="0" fillId="0" borderId="10" xfId="0" applyNumberFormat="1" applyBorder="1" applyAlignment="1">
      <alignment horizontal="center" vertical="center" wrapText="1"/>
    </xf>
    <xf numFmtId="170" fontId="0" fillId="0" borderId="11" xfId="0" applyNumberFormat="1" applyBorder="1" applyAlignment="1">
      <alignment horizontal="center" vertical="center" wrapText="1"/>
    </xf>
    <xf numFmtId="0" fontId="54" fillId="0" borderId="137" xfId="0" applyFont="1" applyBorder="1" applyAlignment="1">
      <alignment vertical="center" wrapText="1"/>
    </xf>
    <xf numFmtId="3" fontId="12" fillId="3" borderId="77" xfId="0" applyNumberFormat="1" applyFont="1" applyFill="1" applyBorder="1" applyAlignment="1">
      <alignment horizontal="left" vertical="center" wrapText="1"/>
    </xf>
    <xf numFmtId="3" fontId="0" fillId="0" borderId="12" xfId="0" applyNumberFormat="1" applyBorder="1"/>
    <xf numFmtId="3" fontId="0" fillId="0" borderId="14" xfId="0" applyNumberFormat="1" applyBorder="1"/>
    <xf numFmtId="0" fontId="54" fillId="0" borderId="67" xfId="0" applyFont="1" applyBorder="1" applyAlignment="1">
      <alignment vertical="center"/>
    </xf>
    <xf numFmtId="3" fontId="12" fillId="3" borderId="61" xfId="0" applyNumberFormat="1" applyFont="1" applyFill="1" applyBorder="1" applyAlignment="1">
      <alignment horizontal="left" vertical="center" wrapText="1"/>
    </xf>
    <xf numFmtId="0" fontId="54" fillId="0" borderId="61" xfId="0" applyFont="1" applyBorder="1" applyAlignment="1">
      <alignment vertical="center"/>
    </xf>
    <xf numFmtId="3" fontId="12" fillId="3" borderId="68" xfId="0" applyNumberFormat="1" applyFont="1" applyFill="1" applyBorder="1" applyAlignment="1">
      <alignment horizontal="left" vertical="center" wrapText="1"/>
    </xf>
    <xf numFmtId="3" fontId="22" fillId="6" borderId="48" xfId="4" applyNumberFormat="1" applyFont="1" applyFill="1" applyBorder="1" applyAlignment="1">
      <alignment horizontal="right" vertical="center"/>
    </xf>
    <xf numFmtId="0" fontId="54" fillId="0" borderId="15" xfId="0" applyFont="1" applyBorder="1" applyAlignment="1">
      <alignment vertical="center"/>
    </xf>
    <xf numFmtId="0" fontId="54" fillId="0" borderId="17" xfId="0" applyFont="1" applyBorder="1" applyAlignment="1">
      <alignment vertical="center" wrapText="1"/>
    </xf>
    <xf numFmtId="168" fontId="18" fillId="0" borderId="6" xfId="4" applyNumberFormat="1" applyFont="1" applyBorder="1" applyAlignment="1">
      <alignment horizontal="right" vertical="center"/>
    </xf>
    <xf numFmtId="168" fontId="18" fillId="0" borderId="7" xfId="4" applyNumberFormat="1" applyFont="1" applyBorder="1" applyAlignment="1">
      <alignment horizontal="right" vertical="center"/>
    </xf>
    <xf numFmtId="168" fontId="18" fillId="0" borderId="8" xfId="4" applyNumberFormat="1" applyFont="1" applyBorder="1" applyAlignment="1">
      <alignment horizontal="right" vertical="center"/>
    </xf>
    <xf numFmtId="168" fontId="0" fillId="0" borderId="9" xfId="0" applyNumberFormat="1" applyBorder="1"/>
    <xf numFmtId="168" fontId="0" fillId="0" borderId="11" xfId="0" applyNumberFormat="1" applyBorder="1"/>
    <xf numFmtId="168" fontId="0" fillId="0" borderId="12" xfId="0" applyNumberFormat="1" applyBorder="1"/>
    <xf numFmtId="168" fontId="0" fillId="0" borderId="13" xfId="0" applyNumberFormat="1" applyBorder="1"/>
    <xf numFmtId="168" fontId="0" fillId="0" borderId="14" xfId="0" applyNumberFormat="1" applyBorder="1"/>
    <xf numFmtId="0" fontId="54" fillId="5" borderId="17" xfId="0" applyFont="1" applyFill="1" applyBorder="1" applyAlignment="1">
      <alignment vertical="center"/>
    </xf>
    <xf numFmtId="0" fontId="54" fillId="0" borderId="15" xfId="0" applyFont="1" applyBorder="1" applyAlignment="1">
      <alignment vertical="center" wrapText="1"/>
    </xf>
    <xf numFmtId="0" fontId="54" fillId="5" borderId="17" xfId="0" applyFont="1" applyFill="1" applyBorder="1" applyAlignment="1">
      <alignment vertical="center" wrapText="1"/>
    </xf>
    <xf numFmtId="0" fontId="54" fillId="5" borderId="16" xfId="0" applyFont="1" applyFill="1" applyBorder="1" applyAlignment="1">
      <alignment vertical="center" wrapText="1"/>
    </xf>
    <xf numFmtId="0" fontId="54" fillId="0" borderId="16" xfId="0" applyFont="1" applyBorder="1" applyAlignment="1">
      <alignment vertical="center" wrapText="1"/>
    </xf>
    <xf numFmtId="0" fontId="54" fillId="5" borderId="16" xfId="0" applyFont="1" applyFill="1" applyBorder="1" applyAlignment="1">
      <alignment vertical="center"/>
    </xf>
    <xf numFmtId="0" fontId="54" fillId="0" borderId="16" xfId="0" applyFont="1" applyBorder="1" applyAlignment="1">
      <alignment vertical="center"/>
    </xf>
    <xf numFmtId="0" fontId="21" fillId="2" borderId="30" xfId="5" applyFont="1" applyFill="1" applyBorder="1" applyAlignment="1">
      <alignment horizontal="center" vertical="center" wrapText="1"/>
    </xf>
    <xf numFmtId="3" fontId="18" fillId="2" borderId="27" xfId="5" applyNumberFormat="1" applyFill="1" applyBorder="1" applyAlignment="1">
      <alignment horizontal="right" vertical="center" wrapText="1"/>
    </xf>
    <xf numFmtId="3" fontId="18" fillId="2" borderId="1" xfId="5" applyNumberFormat="1" applyFill="1" applyBorder="1" applyAlignment="1">
      <alignment horizontal="right" vertical="center" wrapText="1"/>
    </xf>
    <xf numFmtId="3" fontId="18" fillId="2" borderId="28" xfId="5" applyNumberFormat="1" applyFill="1" applyBorder="1" applyAlignment="1">
      <alignment horizontal="right" vertical="center" wrapText="1"/>
    </xf>
    <xf numFmtId="168" fontId="18" fillId="2" borderId="48" xfId="5" applyNumberFormat="1" applyFill="1" applyBorder="1" applyAlignment="1">
      <alignment horizontal="right" vertical="center" wrapText="1"/>
    </xf>
    <xf numFmtId="3" fontId="18" fillId="3" borderId="10" xfId="5" applyNumberFormat="1" applyFill="1" applyBorder="1" applyAlignment="1">
      <alignment horizontal="right" vertical="center" wrapText="1"/>
    </xf>
    <xf numFmtId="3" fontId="18" fillId="3" borderId="0" xfId="5" applyNumberFormat="1" applyFill="1" applyAlignment="1">
      <alignment horizontal="right" vertical="center" wrapText="1"/>
    </xf>
    <xf numFmtId="3" fontId="18" fillId="3" borderId="29" xfId="5" applyNumberFormat="1" applyFill="1" applyBorder="1" applyAlignment="1">
      <alignment horizontal="right" vertical="center" wrapText="1"/>
    </xf>
    <xf numFmtId="3" fontId="18" fillId="2" borderId="10" xfId="5" applyNumberFormat="1" applyFill="1" applyBorder="1" applyAlignment="1">
      <alignment horizontal="right" vertical="center" wrapText="1"/>
    </xf>
    <xf numFmtId="3" fontId="18" fillId="2" borderId="0" xfId="5" applyNumberFormat="1" applyFill="1" applyAlignment="1">
      <alignment horizontal="right" vertical="center" wrapText="1"/>
    </xf>
    <xf numFmtId="3" fontId="18" fillId="2" borderId="29" xfId="5" applyNumberFormat="1" applyFill="1" applyBorder="1" applyAlignment="1">
      <alignment horizontal="right" vertical="center" wrapText="1"/>
    </xf>
    <xf numFmtId="3" fontId="21" fillId="2" borderId="26" xfId="5" applyNumberFormat="1" applyFont="1" applyFill="1" applyBorder="1" applyAlignment="1">
      <alignment horizontal="right" vertical="center" wrapText="1"/>
    </xf>
    <xf numFmtId="3" fontId="21" fillId="2" borderId="24" xfId="5" applyNumberFormat="1" applyFont="1" applyFill="1" applyBorder="1" applyAlignment="1">
      <alignment horizontal="right" vertical="center" wrapText="1"/>
    </xf>
    <xf numFmtId="3" fontId="21" fillId="2" borderId="25" xfId="5" applyNumberFormat="1" applyFont="1" applyFill="1" applyBorder="1" applyAlignment="1">
      <alignment horizontal="right" vertical="center" wrapText="1"/>
    </xf>
    <xf numFmtId="168" fontId="21" fillId="2" borderId="23" xfId="5" applyNumberFormat="1" applyFont="1" applyFill="1" applyBorder="1" applyAlignment="1">
      <alignment horizontal="right" vertical="center" wrapText="1"/>
    </xf>
    <xf numFmtId="0" fontId="18" fillId="2" borderId="0" xfId="5" applyFill="1" applyAlignment="1">
      <alignment horizontal="left" vertical="center"/>
    </xf>
    <xf numFmtId="168" fontId="18" fillId="2" borderId="48" xfId="5" quotePrefix="1" applyNumberFormat="1" applyFill="1" applyBorder="1" applyAlignment="1">
      <alignment horizontal="right" vertical="center" wrapText="1"/>
    </xf>
    <xf numFmtId="3" fontId="18" fillId="3" borderId="59" xfId="5" applyNumberFormat="1" applyFill="1" applyBorder="1" applyAlignment="1">
      <alignment horizontal="right" vertical="center" wrapText="1"/>
    </xf>
    <xf numFmtId="3" fontId="18" fillId="3" borderId="30" xfId="5" applyNumberFormat="1" applyFill="1" applyBorder="1" applyAlignment="1">
      <alignment horizontal="right" vertical="center" wrapText="1"/>
    </xf>
    <xf numFmtId="3" fontId="18" fillId="3" borderId="31" xfId="5" applyNumberFormat="1" applyFill="1" applyBorder="1" applyAlignment="1">
      <alignment horizontal="right" vertical="center" wrapText="1"/>
    </xf>
    <xf numFmtId="0" fontId="21" fillId="0" borderId="0" xfId="5" applyFont="1" applyAlignment="1">
      <alignment vertical="center"/>
    </xf>
    <xf numFmtId="0" fontId="21" fillId="2" borderId="31" xfId="5" applyFont="1" applyFill="1" applyBorder="1" applyAlignment="1">
      <alignment horizontal="center" vertical="center" wrapText="1"/>
    </xf>
    <xf numFmtId="168" fontId="18" fillId="3" borderId="40" xfId="5" applyNumberFormat="1" applyFill="1" applyBorder="1" applyAlignment="1">
      <alignment horizontal="right" vertical="center" wrapText="1"/>
    </xf>
    <xf numFmtId="3" fontId="21" fillId="3" borderId="24" xfId="0" applyNumberFormat="1" applyFont="1" applyFill="1" applyBorder="1" applyAlignment="1">
      <alignment horizontal="right" vertical="center"/>
    </xf>
    <xf numFmtId="3" fontId="21" fillId="3" borderId="25" xfId="0" applyNumberFormat="1" applyFont="1" applyFill="1" applyBorder="1" applyAlignment="1">
      <alignment horizontal="right" vertical="center"/>
    </xf>
    <xf numFmtId="3" fontId="18" fillId="0" borderId="0" xfId="5" applyNumberFormat="1" applyAlignment="1">
      <alignment vertical="center"/>
    </xf>
    <xf numFmtId="0" fontId="18" fillId="0" borderId="0" xfId="0" applyFont="1" applyAlignment="1">
      <alignment horizontal="center" vertical="center"/>
    </xf>
    <xf numFmtId="175" fontId="50" fillId="0" borderId="138" xfId="0" applyNumberFormat="1" applyFont="1" applyBorder="1"/>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4" fillId="7" borderId="3" xfId="0" applyFont="1" applyFill="1" applyBorder="1" applyAlignment="1">
      <alignment horizontal="center" vertical="center" wrapText="1"/>
    </xf>
    <xf numFmtId="0" fontId="14" fillId="7" borderId="5" xfId="0" applyFont="1" applyFill="1" applyBorder="1" applyAlignment="1">
      <alignment horizontal="center" vertical="center" wrapText="1"/>
    </xf>
    <xf numFmtId="0" fontId="18" fillId="2" borderId="33" xfId="5" applyFill="1" applyBorder="1" applyAlignment="1">
      <alignment horizontal="left" vertical="center" wrapText="1"/>
    </xf>
    <xf numFmtId="0" fontId="18" fillId="3" borderId="66" xfId="5" applyFill="1" applyBorder="1" applyAlignment="1">
      <alignment horizontal="left" vertical="center" wrapText="1"/>
    </xf>
    <xf numFmtId="169" fontId="0" fillId="0" borderId="70" xfId="1" applyNumberFormat="1" applyFont="1" applyBorder="1"/>
    <xf numFmtId="168" fontId="18" fillId="0" borderId="83" xfId="4" applyNumberFormat="1" applyFont="1" applyBorder="1" applyAlignment="1">
      <alignment horizontal="right" vertical="center"/>
    </xf>
    <xf numFmtId="0" fontId="18" fillId="2" borderId="6" xfId="0" applyFont="1" applyFill="1" applyBorder="1" applyAlignment="1">
      <alignment horizontal="left" vertical="center" wrapText="1"/>
    </xf>
    <xf numFmtId="3" fontId="22" fillId="6" borderId="8" xfId="4" applyNumberFormat="1" applyFont="1" applyFill="1" applyBorder="1" applyAlignment="1">
      <alignment horizontal="right" vertical="center"/>
    </xf>
    <xf numFmtId="0" fontId="18" fillId="3" borderId="9" xfId="0" applyFont="1" applyFill="1" applyBorder="1" applyAlignment="1">
      <alignment horizontal="left" vertical="center" wrapText="1"/>
    </xf>
    <xf numFmtId="0" fontId="18" fillId="2" borderId="12" xfId="5" applyFill="1" applyBorder="1" applyAlignment="1">
      <alignment horizontal="left" vertical="center" wrapText="1"/>
    </xf>
    <xf numFmtId="0" fontId="22" fillId="6" borderId="11" xfId="0" applyFont="1" applyFill="1" applyBorder="1"/>
    <xf numFmtId="0" fontId="22" fillId="6" borderId="14" xfId="0" applyFont="1" applyFill="1" applyBorder="1"/>
    <xf numFmtId="0" fontId="18" fillId="2" borderId="15" xfId="5" applyFill="1" applyBorder="1" applyAlignment="1">
      <alignment horizontal="left" vertical="center" wrapText="1"/>
    </xf>
    <xf numFmtId="0" fontId="18" fillId="3" borderId="16" xfId="5" applyFill="1" applyBorder="1" applyAlignment="1">
      <alignment horizontal="left" vertical="center" wrapText="1"/>
    </xf>
    <xf numFmtId="0" fontId="18" fillId="2" borderId="16" xfId="5" applyFill="1" applyBorder="1" applyAlignment="1">
      <alignment horizontal="left" vertical="center" wrapText="1"/>
    </xf>
    <xf numFmtId="0" fontId="18" fillId="3" borderId="17" xfId="5" applyFill="1" applyBorder="1" applyAlignment="1">
      <alignment horizontal="left" vertical="center" wrapText="1"/>
    </xf>
    <xf numFmtId="0" fontId="18" fillId="2" borderId="17" xfId="5" applyFill="1" applyBorder="1" applyAlignment="1">
      <alignment horizontal="left" vertical="center" wrapText="1"/>
    </xf>
    <xf numFmtId="0" fontId="21" fillId="0" borderId="15" xfId="4" applyFont="1" applyBorder="1" applyAlignment="1">
      <alignment horizontal="left" vertical="center" wrapText="1"/>
    </xf>
    <xf numFmtId="0" fontId="18" fillId="5" borderId="16" xfId="5" applyFill="1" applyBorder="1" applyAlignment="1">
      <alignment horizontal="left" vertical="center" wrapText="1"/>
    </xf>
    <xf numFmtId="3" fontId="22" fillId="6" borderId="16" xfId="4" applyNumberFormat="1" applyFont="1" applyFill="1" applyBorder="1" applyAlignment="1">
      <alignment horizontal="right" vertical="center"/>
    </xf>
    <xf numFmtId="0" fontId="18" fillId="11" borderId="17" xfId="5" applyFill="1" applyBorder="1" applyAlignment="1">
      <alignment horizontal="left" vertical="center" wrapText="1"/>
    </xf>
    <xf numFmtId="0" fontId="21" fillId="0" borderId="3" xfId="4" applyFont="1" applyBorder="1" applyAlignment="1">
      <alignment horizontal="left" vertical="center" wrapText="1"/>
    </xf>
    <xf numFmtId="3" fontId="22" fillId="6" borderId="5" xfId="4" applyNumberFormat="1" applyFont="1" applyFill="1" applyBorder="1" applyAlignment="1">
      <alignment horizontal="right" vertical="center"/>
    </xf>
    <xf numFmtId="3" fontId="14" fillId="0" borderId="33" xfId="0" applyNumberFormat="1" applyFont="1" applyBorder="1" applyAlignment="1">
      <alignment horizontal="center" vertical="center"/>
    </xf>
    <xf numFmtId="170" fontId="18" fillId="3" borderId="23" xfId="4" applyNumberFormat="1" applyFont="1" applyFill="1" applyBorder="1" applyAlignment="1">
      <alignment horizontal="right" vertical="center" wrapText="1"/>
    </xf>
    <xf numFmtId="170" fontId="18" fillId="3" borderId="123" xfId="4" applyNumberFormat="1" applyFont="1" applyFill="1" applyBorder="1" applyAlignment="1">
      <alignment horizontal="right" vertical="center" wrapText="1"/>
    </xf>
    <xf numFmtId="2" fontId="18" fillId="3" borderId="23" xfId="4" applyNumberFormat="1" applyFont="1" applyFill="1" applyBorder="1" applyAlignment="1">
      <alignment horizontal="right" vertical="top" wrapText="1"/>
    </xf>
    <xf numFmtId="14" fontId="0" fillId="0" borderId="7" xfId="0" applyNumberFormat="1" applyBorder="1"/>
    <xf numFmtId="0" fontId="21" fillId="0" borderId="15" xfId="0" applyFont="1" applyBorder="1" applyAlignment="1">
      <alignment vertical="center"/>
    </xf>
    <xf numFmtId="0" fontId="21" fillId="12" borderId="16" xfId="0" applyFont="1" applyFill="1" applyBorder="1" applyAlignment="1">
      <alignment horizontal="left" vertical="center"/>
    </xf>
    <xf numFmtId="0" fontId="21" fillId="0" borderId="16" xfId="0" applyFont="1" applyBorder="1" applyAlignment="1">
      <alignment horizontal="left" vertical="center"/>
    </xf>
    <xf numFmtId="0" fontId="18" fillId="12" borderId="16" xfId="0" applyFont="1" applyFill="1" applyBorder="1" applyAlignment="1">
      <alignment horizontal="left" vertical="center" wrapText="1"/>
    </xf>
    <xf numFmtId="0" fontId="18" fillId="0" borderId="16" xfId="9" applyFont="1" applyBorder="1" applyAlignment="1">
      <alignment horizontal="left" vertical="center"/>
    </xf>
    <xf numFmtId="0" fontId="18" fillId="12" borderId="16" xfId="9" applyFont="1" applyFill="1" applyBorder="1" applyAlignment="1">
      <alignment horizontal="left" vertical="center"/>
    </xf>
    <xf numFmtId="0" fontId="18" fillId="0" borderId="16" xfId="9" applyFont="1" applyBorder="1" applyAlignment="1">
      <alignment horizontal="left" vertical="center" wrapText="1"/>
    </xf>
    <xf numFmtId="0" fontId="18" fillId="0" borderId="16" xfId="0" applyFont="1" applyBorder="1" applyAlignment="1">
      <alignment horizontal="left" vertical="center" wrapText="1"/>
    </xf>
    <xf numFmtId="0" fontId="21" fillId="0" borderId="139" xfId="0" applyFont="1" applyBorder="1" applyAlignment="1">
      <alignment horizontal="left" vertical="center"/>
    </xf>
    <xf numFmtId="0" fontId="21" fillId="0" borderId="16" xfId="0" applyFont="1" applyBorder="1" applyAlignment="1">
      <alignment vertical="center" wrapText="1"/>
    </xf>
    <xf numFmtId="0" fontId="18" fillId="12" borderId="16" xfId="9" applyFont="1" applyFill="1" applyBorder="1" applyAlignment="1">
      <alignment horizontal="left" vertical="center" wrapText="1"/>
    </xf>
    <xf numFmtId="0" fontId="21" fillId="12" borderId="16" xfId="0" applyFont="1" applyFill="1" applyBorder="1" applyAlignment="1">
      <alignment horizontal="left" vertical="center" wrapText="1"/>
    </xf>
    <xf numFmtId="0" fontId="21" fillId="12" borderId="139" xfId="0" applyFont="1" applyFill="1" applyBorder="1" applyAlignment="1">
      <alignment horizontal="left" vertical="center" wrapText="1"/>
    </xf>
    <xf numFmtId="0" fontId="33" fillId="12" borderId="16" xfId="9" applyFont="1" applyFill="1" applyBorder="1" applyAlignment="1">
      <alignment horizontal="left" vertical="center" wrapText="1"/>
    </xf>
    <xf numFmtId="0" fontId="33" fillId="0" borderId="16" xfId="9" applyFont="1" applyBorder="1" applyAlignment="1">
      <alignment horizontal="left" vertical="center" wrapText="1"/>
    </xf>
    <xf numFmtId="0" fontId="33" fillId="12" borderId="139" xfId="9" applyFont="1" applyFill="1" applyBorder="1" applyAlignment="1">
      <alignment horizontal="left" vertical="center" wrapText="1"/>
    </xf>
    <xf numFmtId="0" fontId="21" fillId="0" borderId="16" xfId="9" applyFont="1" applyBorder="1" applyAlignment="1">
      <alignment vertical="center" wrapText="1"/>
    </xf>
    <xf numFmtId="0" fontId="45" fillId="12" borderId="16" xfId="9" applyFont="1" applyFill="1" applyBorder="1" applyAlignment="1">
      <alignment vertical="center" wrapText="1"/>
    </xf>
    <xf numFmtId="0" fontId="45" fillId="12" borderId="16" xfId="9" applyFont="1" applyFill="1" applyBorder="1" applyAlignment="1">
      <alignment vertical="center"/>
    </xf>
    <xf numFmtId="0" fontId="21" fillId="0" borderId="17" xfId="9" applyFont="1" applyBorder="1" applyAlignment="1">
      <alignment vertical="center"/>
    </xf>
    <xf numFmtId="0" fontId="21" fillId="3" borderId="140" xfId="0" applyFont="1" applyFill="1" applyBorder="1" applyAlignment="1">
      <alignment vertical="center" wrapText="1"/>
    </xf>
    <xf numFmtId="168" fontId="46" fillId="0" borderId="16" xfId="10" applyNumberFormat="1" applyFont="1" applyBorder="1" applyAlignment="1">
      <alignment wrapText="1"/>
    </xf>
    <xf numFmtId="0" fontId="14" fillId="12" borderId="16" xfId="0" applyFont="1" applyFill="1" applyBorder="1" applyAlignment="1">
      <alignment vertical="center" wrapText="1"/>
    </xf>
    <xf numFmtId="0" fontId="12" fillId="0" borderId="16" xfId="0" applyFont="1" applyBorder="1" applyAlignment="1">
      <alignment vertical="center" wrapText="1"/>
    </xf>
    <xf numFmtId="0" fontId="14" fillId="0" borderId="16" xfId="0" applyFont="1" applyBorder="1" applyAlignment="1">
      <alignment vertical="center" wrapText="1"/>
    </xf>
    <xf numFmtId="0" fontId="21" fillId="0" borderId="141" xfId="0" applyFont="1" applyBorder="1" applyAlignment="1">
      <alignment horizontal="left" vertical="center" wrapText="1"/>
    </xf>
    <xf numFmtId="0" fontId="21" fillId="3" borderId="16" xfId="0" applyFont="1" applyFill="1" applyBorder="1" applyAlignment="1">
      <alignment horizontal="left" vertical="center" wrapText="1"/>
    </xf>
    <xf numFmtId="0" fontId="12" fillId="3" borderId="16" xfId="0" applyFont="1" applyFill="1" applyBorder="1" applyAlignment="1">
      <alignment vertical="center" wrapText="1"/>
    </xf>
    <xf numFmtId="0" fontId="14" fillId="3" borderId="16" xfId="0" applyFont="1" applyFill="1" applyBorder="1" applyAlignment="1">
      <alignment vertical="center" wrapText="1"/>
    </xf>
    <xf numFmtId="0" fontId="21" fillId="3" borderId="17" xfId="0" applyFont="1" applyFill="1" applyBorder="1" applyAlignment="1">
      <alignment horizontal="left" vertical="center" wrapText="1"/>
    </xf>
    <xf numFmtId="174" fontId="0" fillId="0" borderId="10" xfId="1" applyNumberFormat="1" applyFont="1" applyBorder="1"/>
    <xf numFmtId="174" fontId="0" fillId="0" borderId="11" xfId="1" applyNumberFormat="1" applyFont="1" applyBorder="1"/>
    <xf numFmtId="174" fontId="0" fillId="0" borderId="9" xfId="1" applyNumberFormat="1" applyFont="1" applyBorder="1"/>
    <xf numFmtId="0" fontId="21" fillId="12" borderId="67" xfId="0" applyFont="1" applyFill="1" applyBorder="1" applyAlignment="1">
      <alignment vertical="center"/>
    </xf>
    <xf numFmtId="0" fontId="12" fillId="0" borderId="61" xfId="0" applyFont="1" applyBorder="1" applyAlignment="1">
      <alignment vertical="center"/>
    </xf>
    <xf numFmtId="0" fontId="12" fillId="12" borderId="61" xfId="0" applyFont="1" applyFill="1" applyBorder="1" applyAlignment="1">
      <alignment vertical="center"/>
    </xf>
    <xf numFmtId="0" fontId="21" fillId="0" borderId="61" xfId="0" applyFont="1" applyBorder="1" applyAlignment="1">
      <alignment vertical="center"/>
    </xf>
    <xf numFmtId="0" fontId="21" fillId="12" borderId="61" xfId="0" applyFont="1" applyFill="1" applyBorder="1" applyAlignment="1">
      <alignment vertical="center"/>
    </xf>
    <xf numFmtId="0" fontId="33" fillId="0" borderId="61" xfId="0" applyFont="1" applyBorder="1" applyAlignment="1">
      <alignment horizontal="left" vertical="center"/>
    </xf>
    <xf numFmtId="0" fontId="12" fillId="12" borderId="68" xfId="0" applyFont="1" applyFill="1" applyBorder="1" applyAlignment="1">
      <alignment vertical="center"/>
    </xf>
    <xf numFmtId="0" fontId="21" fillId="0" borderId="142" xfId="0" applyFont="1" applyBorder="1" applyAlignment="1">
      <alignment horizontal="center" vertical="center"/>
    </xf>
    <xf numFmtId="3" fontId="22" fillId="6" borderId="32" xfId="4" applyNumberFormat="1" applyFont="1" applyFill="1" applyBorder="1" applyAlignment="1">
      <alignment horizontal="right" vertical="center"/>
    </xf>
    <xf numFmtId="175" fontId="50" fillId="0" borderId="36" xfId="0" applyNumberFormat="1" applyFont="1" applyBorder="1"/>
    <xf numFmtId="175" fontId="50" fillId="0" borderId="143" xfId="0" applyNumberFormat="1" applyFont="1" applyBorder="1"/>
    <xf numFmtId="175" fontId="50" fillId="0" borderId="144" xfId="0" applyNumberFormat="1" applyFont="1" applyBorder="1"/>
    <xf numFmtId="14" fontId="0" fillId="0" borderId="3" xfId="0" applyNumberFormat="1" applyBorder="1"/>
    <xf numFmtId="14" fontId="0" fillId="0" borderId="4" xfId="0" applyNumberFormat="1" applyBorder="1"/>
    <xf numFmtId="14" fontId="0" fillId="0" borderId="5" xfId="0" applyNumberFormat="1" applyBorder="1"/>
    <xf numFmtId="0" fontId="22" fillId="6" borderId="33" xfId="0" applyFont="1" applyFill="1" applyBorder="1"/>
    <xf numFmtId="0" fontId="22" fillId="6" borderId="36" xfId="0" applyFont="1" applyFill="1" applyBorder="1"/>
    <xf numFmtId="0" fontId="22" fillId="6" borderId="66" xfId="0" applyFont="1" applyFill="1" applyBorder="1"/>
    <xf numFmtId="170" fontId="0" fillId="0" borderId="7" xfId="0" applyNumberFormat="1" applyBorder="1"/>
    <xf numFmtId="0" fontId="21" fillId="0" borderId="6" xfId="4" applyFont="1" applyBorder="1" applyAlignment="1">
      <alignment horizontal="left" vertical="center" wrapText="1"/>
    </xf>
    <xf numFmtId="0" fontId="46" fillId="13" borderId="67" xfId="0" applyFont="1" applyFill="1" applyBorder="1"/>
    <xf numFmtId="0" fontId="46" fillId="12" borderId="61" xfId="0" applyFont="1" applyFill="1" applyBorder="1" applyAlignment="1">
      <alignment wrapText="1"/>
    </xf>
    <xf numFmtId="0" fontId="29" fillId="12" borderId="61" xfId="0" applyFont="1" applyFill="1" applyBorder="1" applyAlignment="1">
      <alignment horizontal="left" wrapText="1"/>
    </xf>
    <xf numFmtId="0" fontId="46" fillId="12" borderId="61" xfId="0" applyFont="1" applyFill="1" applyBorder="1" applyAlignment="1">
      <alignment horizontal="left" wrapText="1"/>
    </xf>
    <xf numFmtId="0" fontId="46" fillId="13" borderId="61" xfId="0" applyFont="1" applyFill="1" applyBorder="1" applyAlignment="1">
      <alignment wrapText="1"/>
    </xf>
    <xf numFmtId="0" fontId="46" fillId="12" borderId="68" xfId="0" applyFont="1" applyFill="1" applyBorder="1" applyAlignment="1">
      <alignment wrapText="1"/>
    </xf>
    <xf numFmtId="14" fontId="0" fillId="0" borderId="6" xfId="0" applyNumberFormat="1" applyBorder="1"/>
    <xf numFmtId="14" fontId="0" fillId="0" borderId="8" xfId="0" applyNumberFormat="1" applyBorder="1"/>
    <xf numFmtId="0" fontId="12" fillId="0" borderId="0" xfId="3" applyFont="1" applyAlignment="1">
      <alignment vertical="center"/>
    </xf>
    <xf numFmtId="0" fontId="14" fillId="5" borderId="0" xfId="3" applyFont="1" applyFill="1" applyAlignment="1">
      <alignment horizontal="left" vertical="center"/>
    </xf>
    <xf numFmtId="0" fontId="12" fillId="0" borderId="24" xfId="3" applyFont="1" applyBorder="1" applyAlignment="1">
      <alignment horizontal="center" vertical="center"/>
    </xf>
    <xf numFmtId="168" fontId="12" fillId="15" borderId="1" xfId="3" applyNumberFormat="1" applyFont="1" applyFill="1" applyBorder="1" applyAlignment="1">
      <alignment horizontal="center" vertical="center"/>
    </xf>
    <xf numFmtId="168" fontId="12" fillId="0" borderId="0" xfId="3" applyNumberFormat="1" applyFont="1" applyAlignment="1">
      <alignment horizontal="center" vertical="center"/>
    </xf>
    <xf numFmtId="168" fontId="12" fillId="15" borderId="0" xfId="3" applyNumberFormat="1" applyFont="1" applyFill="1" applyAlignment="1">
      <alignment horizontal="center" vertical="center"/>
    </xf>
    <xf numFmtId="168" fontId="12" fillId="0" borderId="30" xfId="3" applyNumberFormat="1" applyFont="1" applyBorder="1" applyAlignment="1">
      <alignment horizontal="center" vertical="center"/>
    </xf>
    <xf numFmtId="3" fontId="18" fillId="0" borderId="0" xfId="3" applyNumberFormat="1" applyFont="1" applyAlignment="1">
      <alignment vertical="center"/>
    </xf>
    <xf numFmtId="0" fontId="12" fillId="0" borderId="0" xfId="3" applyFont="1" applyAlignment="1">
      <alignment horizontal="center" vertical="center"/>
    </xf>
    <xf numFmtId="0" fontId="14" fillId="0" borderId="0" xfId="3" applyFont="1" applyAlignment="1">
      <alignment vertical="center"/>
    </xf>
    <xf numFmtId="168" fontId="12" fillId="15" borderId="1" xfId="3" applyNumberFormat="1" applyFont="1" applyFill="1" applyBorder="1" applyAlignment="1">
      <alignment horizontal="right" vertical="center" indent="1"/>
    </xf>
    <xf numFmtId="168" fontId="12" fillId="0" borderId="0" xfId="3" applyNumberFormat="1" applyFont="1" applyAlignment="1">
      <alignment horizontal="right" vertical="center" indent="1"/>
    </xf>
    <xf numFmtId="168" fontId="12" fillId="0" borderId="0" xfId="3" applyNumberFormat="1" applyFont="1" applyAlignment="1">
      <alignment vertical="center"/>
    </xf>
    <xf numFmtId="168" fontId="12" fillId="15" borderId="0" xfId="3" applyNumberFormat="1" applyFont="1" applyFill="1" applyAlignment="1">
      <alignment horizontal="right" vertical="center" indent="1"/>
    </xf>
    <xf numFmtId="168" fontId="12" fillId="0" borderId="30" xfId="3" applyNumberFormat="1" applyFont="1" applyBorder="1" applyAlignment="1">
      <alignment horizontal="right" vertical="center" indent="1"/>
    </xf>
    <xf numFmtId="168" fontId="12" fillId="0" borderId="30" xfId="3" applyNumberFormat="1" applyFont="1" applyBorder="1" applyAlignment="1">
      <alignment vertical="center"/>
    </xf>
    <xf numFmtId="3" fontId="12" fillId="0" borderId="0" xfId="3" applyNumberFormat="1" applyFont="1" applyAlignment="1">
      <alignment vertical="center"/>
    </xf>
    <xf numFmtId="0" fontId="18" fillId="0" borderId="0" xfId="3" applyFont="1" applyAlignment="1">
      <alignment vertical="center"/>
    </xf>
    <xf numFmtId="0" fontId="21" fillId="11" borderId="0" xfId="3" applyFont="1" applyFill="1" applyAlignment="1">
      <alignment vertical="center"/>
    </xf>
    <xf numFmtId="0" fontId="18" fillId="11" borderId="0" xfId="3" applyFont="1" applyFill="1" applyAlignment="1">
      <alignment vertical="center"/>
    </xf>
    <xf numFmtId="3" fontId="18" fillId="0" borderId="0" xfId="3" applyNumberFormat="1" applyFont="1" applyAlignment="1">
      <alignment horizontal="right" vertical="center"/>
    </xf>
    <xf numFmtId="3" fontId="18" fillId="0" borderId="0" xfId="3" applyNumberFormat="1" applyFont="1" applyAlignment="1">
      <alignment horizontal="center" vertical="center"/>
    </xf>
    <xf numFmtId="0" fontId="18" fillId="0" borderId="0" xfId="3" applyFont="1" applyAlignment="1">
      <alignment horizontal="left" vertical="center"/>
    </xf>
    <xf numFmtId="3" fontId="29" fillId="0" borderId="1" xfId="3" applyNumberFormat="1" applyFont="1" applyBorder="1" applyAlignment="1">
      <alignment horizontal="right" vertical="center" indent="1"/>
    </xf>
    <xf numFmtId="176" fontId="29" fillId="0" borderId="1" xfId="13" applyNumberFormat="1" applyFont="1" applyBorder="1" applyAlignment="1">
      <alignment horizontal="right" vertical="center"/>
    </xf>
    <xf numFmtId="171" fontId="18" fillId="0" borderId="0" xfId="13" applyNumberFormat="1" applyFont="1" applyAlignment="1">
      <alignment horizontal="right" vertical="center" wrapText="1"/>
    </xf>
    <xf numFmtId="0" fontId="12" fillId="0" borderId="24" xfId="3" applyFont="1" applyBorder="1" applyAlignment="1">
      <alignment vertical="center"/>
    </xf>
    <xf numFmtId="168" fontId="12" fillId="5" borderId="0" xfId="3" applyNumberFormat="1" applyFont="1" applyFill="1" applyAlignment="1">
      <alignment vertical="center"/>
    </xf>
    <xf numFmtId="0" fontId="14" fillId="0" borderId="30" xfId="3" applyFont="1" applyBorder="1" applyAlignment="1">
      <alignment horizontal="left" vertical="center"/>
    </xf>
    <xf numFmtId="0" fontId="18" fillId="0" borderId="0" xfId="5"/>
    <xf numFmtId="0" fontId="57" fillId="0" borderId="0" xfId="5" applyFont="1"/>
    <xf numFmtId="0" fontId="58" fillId="0" borderId="0" xfId="5" quotePrefix="1" applyFont="1" applyAlignment="1">
      <alignment horizontal="center" vertical="top"/>
    </xf>
    <xf numFmtId="0" fontId="59" fillId="0" borderId="0" xfId="5" applyFont="1"/>
    <xf numFmtId="0" fontId="60" fillId="0" borderId="0" xfId="5" applyFont="1" applyAlignment="1">
      <alignment horizontal="center"/>
    </xf>
    <xf numFmtId="0" fontId="58" fillId="0" borderId="0" xfId="5" applyFont="1" applyAlignment="1">
      <alignment horizontal="center"/>
    </xf>
    <xf numFmtId="168" fontId="12" fillId="15" borderId="28" xfId="3" applyNumberFormat="1" applyFont="1" applyFill="1" applyBorder="1" applyAlignment="1">
      <alignment horizontal="center" vertical="center"/>
    </xf>
    <xf numFmtId="168" fontId="12" fillId="0" borderId="29" xfId="3" applyNumberFormat="1" applyFont="1" applyBorder="1" applyAlignment="1">
      <alignment horizontal="center" vertical="center"/>
    </xf>
    <xf numFmtId="168" fontId="12" fillId="15" borderId="29" xfId="3" applyNumberFormat="1" applyFont="1" applyFill="1" applyBorder="1" applyAlignment="1">
      <alignment horizontal="center" vertical="center"/>
    </xf>
    <xf numFmtId="168" fontId="12" fillId="0" borderId="31" xfId="3" applyNumberFormat="1" applyFont="1" applyBorder="1" applyAlignment="1">
      <alignment horizontal="center" vertical="center"/>
    </xf>
    <xf numFmtId="0" fontId="26" fillId="0" borderId="0" xfId="14" applyFont="1" applyAlignment="1">
      <alignment horizontal="left" vertical="center"/>
    </xf>
    <xf numFmtId="0" fontId="18" fillId="0" borderId="0" xfId="9" applyFont="1"/>
    <xf numFmtId="0" fontId="41" fillId="0" borderId="0" xfId="14" applyFont="1"/>
    <xf numFmtId="3" fontId="18" fillId="0" borderId="0" xfId="9" applyNumberFormat="1" applyFont="1"/>
    <xf numFmtId="168" fontId="21" fillId="5" borderId="27" xfId="9" applyNumberFormat="1" applyFont="1" applyFill="1" applyBorder="1" applyAlignment="1">
      <alignment horizontal="right" vertical="center"/>
    </xf>
    <xf numFmtId="168" fontId="18" fillId="0" borderId="10" xfId="9" applyNumberFormat="1" applyFont="1" applyBorder="1" applyAlignment="1">
      <alignment horizontal="right" vertical="center"/>
    </xf>
    <xf numFmtId="168" fontId="18" fillId="5" borderId="10" xfId="9" applyNumberFormat="1" applyFont="1" applyFill="1" applyBorder="1" applyAlignment="1">
      <alignment horizontal="right" vertical="center"/>
    </xf>
    <xf numFmtId="168" fontId="21" fillId="0" borderId="10" xfId="9" applyNumberFormat="1" applyFont="1" applyBorder="1" applyAlignment="1">
      <alignment horizontal="right" vertical="center"/>
    </xf>
    <xf numFmtId="168" fontId="21" fillId="5" borderId="10" xfId="9" applyNumberFormat="1" applyFont="1" applyFill="1" applyBorder="1" applyAlignment="1">
      <alignment horizontal="right" vertical="center"/>
    </xf>
    <xf numFmtId="170" fontId="18" fillId="0" borderId="10" xfId="9" applyNumberFormat="1" applyFont="1" applyBorder="1" applyAlignment="1">
      <alignment horizontal="right" vertical="center"/>
    </xf>
    <xf numFmtId="168" fontId="18" fillId="0" borderId="59" xfId="9" applyNumberFormat="1" applyFont="1" applyBorder="1" applyAlignment="1">
      <alignment horizontal="right" vertical="center"/>
    </xf>
    <xf numFmtId="0" fontId="38" fillId="0" borderId="0" xfId="14" applyFont="1"/>
    <xf numFmtId="0" fontId="12" fillId="0" borderId="0" xfId="14" applyFont="1" applyAlignment="1">
      <alignment wrapText="1"/>
    </xf>
    <xf numFmtId="0" fontId="12" fillId="0" borderId="0" xfId="14" applyFont="1" applyAlignment="1">
      <alignment horizontal="right" vertical="center"/>
    </xf>
    <xf numFmtId="0" fontId="12" fillId="0" borderId="0" xfId="14" applyFont="1"/>
    <xf numFmtId="0" fontId="12" fillId="0" borderId="0" xfId="14" applyFont="1" applyAlignment="1">
      <alignment horizontal="left" vertical="center"/>
    </xf>
    <xf numFmtId="3" fontId="12" fillId="0" borderId="0" xfId="14" applyNumberFormat="1" applyFont="1" applyAlignment="1">
      <alignment horizontal="right" vertical="center"/>
    </xf>
    <xf numFmtId="0" fontId="14" fillId="0" borderId="26" xfId="14" applyFont="1" applyBorder="1" applyAlignment="1">
      <alignment horizontal="center" vertical="center"/>
    </xf>
    <xf numFmtId="3" fontId="12" fillId="15" borderId="10" xfId="14" applyNumberFormat="1" applyFont="1" applyFill="1" applyBorder="1" applyAlignment="1">
      <alignment horizontal="center" vertical="center"/>
    </xf>
    <xf numFmtId="3" fontId="12" fillId="15" borderId="10" xfId="14" applyNumberFormat="1" applyFont="1" applyFill="1" applyBorder="1" applyAlignment="1">
      <alignment horizontal="right" vertical="center" indent="1"/>
    </xf>
    <xf numFmtId="0" fontId="12" fillId="0" borderId="0" xfId="14" applyFont="1" applyAlignment="1">
      <alignment vertical="center"/>
    </xf>
    <xf numFmtId="3" fontId="12" fillId="0" borderId="10" xfId="14" applyNumberFormat="1" applyFont="1" applyBorder="1" applyAlignment="1">
      <alignment horizontal="center" vertical="center"/>
    </xf>
    <xf numFmtId="3" fontId="12" fillId="0" borderId="10" xfId="14" applyNumberFormat="1" applyFont="1" applyBorder="1" applyAlignment="1">
      <alignment horizontal="right" vertical="center" indent="1"/>
    </xf>
    <xf numFmtId="3" fontId="12" fillId="0" borderId="59" xfId="14" applyNumberFormat="1" applyFont="1" applyBorder="1" applyAlignment="1">
      <alignment horizontal="center" vertical="center"/>
    </xf>
    <xf numFmtId="3" fontId="12" fillId="0" borderId="59" xfId="14" applyNumberFormat="1" applyFont="1" applyBorder="1" applyAlignment="1">
      <alignment horizontal="right" vertical="center" indent="1"/>
    </xf>
    <xf numFmtId="168" fontId="12" fillId="0" borderId="0" xfId="14" applyNumberFormat="1" applyFont="1" applyAlignment="1">
      <alignment horizontal="right" vertical="center"/>
    </xf>
    <xf numFmtId="168" fontId="18" fillId="0" borderId="0" xfId="14" applyNumberFormat="1" applyFont="1" applyAlignment="1">
      <alignment horizontal="right" vertical="center"/>
    </xf>
    <xf numFmtId="0" fontId="12" fillId="0" borderId="0" xfId="14" applyFont="1" applyAlignment="1">
      <alignment horizontal="left"/>
    </xf>
    <xf numFmtId="0" fontId="12" fillId="0" borderId="24" xfId="14" applyFont="1" applyBorder="1" applyAlignment="1">
      <alignment horizontal="left"/>
    </xf>
    <xf numFmtId="3" fontId="18" fillId="0" borderId="0" xfId="5" applyNumberFormat="1" applyAlignment="1">
      <alignment horizontal="left" vertical="center"/>
    </xf>
    <xf numFmtId="0" fontId="48" fillId="0" borderId="0" xfId="5" applyFont="1" applyAlignment="1">
      <alignment vertical="center"/>
    </xf>
    <xf numFmtId="0" fontId="16" fillId="0" borderId="0" xfId="14" applyFont="1" applyAlignment="1">
      <alignment vertical="center"/>
    </xf>
    <xf numFmtId="0" fontId="18" fillId="0" borderId="24" xfId="5" applyBorder="1" applyAlignment="1">
      <alignment vertical="center"/>
    </xf>
    <xf numFmtId="0" fontId="47" fillId="0" borderId="0" xfId="14" applyFont="1" applyAlignment="1">
      <alignment vertical="center"/>
    </xf>
    <xf numFmtId="168" fontId="18" fillId="5" borderId="30" xfId="14" applyNumberFormat="1" applyFont="1" applyFill="1" applyBorder="1" applyAlignment="1">
      <alignment horizontal="right" vertical="center"/>
    </xf>
    <xf numFmtId="0" fontId="34" fillId="5" borderId="30" xfId="14" applyFont="1" applyFill="1" applyBorder="1" applyAlignment="1">
      <alignment vertical="center" wrapText="1"/>
    </xf>
    <xf numFmtId="168" fontId="18" fillId="5" borderId="1" xfId="14" applyNumberFormat="1" applyFont="1" applyFill="1" applyBorder="1" applyAlignment="1">
      <alignment horizontal="right" vertical="center"/>
    </xf>
    <xf numFmtId="168" fontId="21" fillId="0" borderId="24" xfId="14" applyNumberFormat="1" applyFont="1" applyBorder="1" applyAlignment="1">
      <alignment horizontal="right" vertical="center"/>
    </xf>
    <xf numFmtId="0" fontId="18" fillId="0" borderId="24" xfId="5" applyBorder="1" applyAlignment="1">
      <alignment horizontal="center" vertical="center"/>
    </xf>
    <xf numFmtId="168" fontId="18" fillId="3" borderId="30" xfId="5" applyNumberFormat="1" applyFill="1" applyBorder="1" applyAlignment="1">
      <alignment horizontal="right" vertical="center"/>
    </xf>
    <xf numFmtId="168" fontId="18" fillId="0" borderId="10" xfId="5" applyNumberFormat="1" applyBorder="1" applyAlignment="1">
      <alignment horizontal="right" vertical="center"/>
    </xf>
    <xf numFmtId="168" fontId="18" fillId="3" borderId="0" xfId="5" applyNumberFormat="1" applyFill="1" applyAlignment="1">
      <alignment horizontal="right" vertical="center"/>
    </xf>
    <xf numFmtId="168" fontId="18" fillId="3" borderId="10" xfId="5" applyNumberFormat="1" applyFill="1" applyBorder="1" applyAlignment="1">
      <alignment horizontal="right" vertical="center"/>
    </xf>
    <xf numFmtId="168" fontId="18" fillId="0" borderId="30" xfId="5" applyNumberFormat="1" applyBorder="1" applyAlignment="1">
      <alignment horizontal="right" vertical="center"/>
    </xf>
    <xf numFmtId="0" fontId="13" fillId="0" borderId="0" xfId="5" applyFont="1" applyAlignment="1">
      <alignment vertical="center"/>
    </xf>
    <xf numFmtId="1" fontId="0" fillId="0" borderId="0" xfId="0" applyNumberFormat="1"/>
    <xf numFmtId="0" fontId="48" fillId="0" borderId="26" xfId="14" applyFont="1" applyBorder="1" applyAlignment="1">
      <alignment vertical="center" wrapText="1"/>
    </xf>
    <xf numFmtId="0" fontId="34" fillId="5" borderId="27" xfId="14" applyFont="1" applyFill="1" applyBorder="1" applyAlignment="1">
      <alignment vertical="center" wrapText="1"/>
    </xf>
    <xf numFmtId="0" fontId="34" fillId="0" borderId="145" xfId="14" applyFont="1" applyBorder="1" applyAlignment="1">
      <alignment vertical="center" wrapText="1"/>
    </xf>
    <xf numFmtId="0" fontId="34" fillId="5" borderId="59" xfId="14" applyFont="1" applyFill="1" applyBorder="1" applyAlignment="1">
      <alignment vertical="center" wrapText="1"/>
    </xf>
    <xf numFmtId="168" fontId="21" fillId="12" borderId="48" xfId="0" applyNumberFormat="1" applyFont="1" applyFill="1" applyBorder="1" applyAlignment="1">
      <alignment horizontal="left" vertical="center" wrapText="1"/>
    </xf>
    <xf numFmtId="0" fontId="29" fillId="0" borderId="113" xfId="0" applyFont="1" applyBorder="1" applyAlignment="1">
      <alignment horizontal="left" wrapText="1"/>
    </xf>
    <xf numFmtId="0" fontId="29" fillId="12" borderId="113" xfId="0" applyFont="1" applyFill="1" applyBorder="1" applyAlignment="1">
      <alignment horizontal="left" wrapText="1"/>
    </xf>
    <xf numFmtId="0" fontId="46" fillId="12" borderId="113" xfId="0" applyFont="1" applyFill="1" applyBorder="1" applyAlignment="1">
      <alignment wrapText="1"/>
    </xf>
    <xf numFmtId="0" fontId="46" fillId="0" borderId="113" xfId="0" applyFont="1" applyBorder="1" applyAlignment="1">
      <alignment horizontal="left" wrapText="1"/>
    </xf>
    <xf numFmtId="0" fontId="46" fillId="0" borderId="113" xfId="0" applyFont="1" applyBorder="1" applyAlignment="1">
      <alignment wrapText="1"/>
    </xf>
    <xf numFmtId="0" fontId="29" fillId="12" borderId="113" xfId="0" applyFont="1" applyFill="1" applyBorder="1" applyAlignment="1">
      <alignment wrapText="1"/>
    </xf>
    <xf numFmtId="0" fontId="46" fillId="13" borderId="113" xfId="0" applyFont="1" applyFill="1" applyBorder="1" applyAlignment="1">
      <alignment wrapText="1"/>
    </xf>
    <xf numFmtId="0" fontId="46" fillId="12" borderId="114" xfId="0" applyFont="1" applyFill="1" applyBorder="1" applyAlignment="1">
      <alignment wrapText="1"/>
    </xf>
    <xf numFmtId="0" fontId="21" fillId="11" borderId="0" xfId="14" applyFont="1" applyFill="1" applyAlignment="1">
      <alignment vertical="center"/>
    </xf>
    <xf numFmtId="3" fontId="12" fillId="0" borderId="0" xfId="14" applyNumberFormat="1" applyFont="1" applyAlignment="1">
      <alignment vertical="center"/>
    </xf>
    <xf numFmtId="0" fontId="11" fillId="0" borderId="0" xfId="14"/>
    <xf numFmtId="3" fontId="18" fillId="0" borderId="26" xfId="14" applyNumberFormat="1" applyFont="1" applyBorder="1" applyAlignment="1">
      <alignment horizontal="center" vertical="center" wrapText="1"/>
    </xf>
    <xf numFmtId="0" fontId="18" fillId="0" borderId="0" xfId="14" applyFont="1" applyAlignment="1">
      <alignment horizontal="left" vertical="center"/>
    </xf>
    <xf numFmtId="3" fontId="11" fillId="0" borderId="0" xfId="14" applyNumberFormat="1"/>
    <xf numFmtId="0" fontId="30" fillId="0" borderId="0" xfId="14" applyFont="1" applyAlignment="1">
      <alignment horizontal="left" vertical="center"/>
    </xf>
    <xf numFmtId="0" fontId="67" fillId="0" borderId="0" xfId="14" applyFont="1" applyAlignment="1">
      <alignment horizontal="left" vertical="center"/>
    </xf>
    <xf numFmtId="0" fontId="67" fillId="0" borderId="0" xfId="14" applyFont="1" applyAlignment="1">
      <alignment horizontal="right" vertical="center"/>
    </xf>
    <xf numFmtId="0" fontId="67" fillId="0" borderId="0" xfId="14" applyFont="1" applyAlignment="1">
      <alignment vertical="center"/>
    </xf>
    <xf numFmtId="3" fontId="67" fillId="0" borderId="0" xfId="14" applyNumberFormat="1" applyFont="1" applyAlignment="1">
      <alignment horizontal="right" vertical="center"/>
    </xf>
    <xf numFmtId="0" fontId="67" fillId="0" borderId="27" xfId="14" applyFont="1" applyBorder="1" applyAlignment="1">
      <alignment horizontal="center" vertical="center"/>
    </xf>
    <xf numFmtId="0" fontId="67" fillId="0" borderId="26" xfId="14" applyFont="1" applyBorder="1" applyAlignment="1">
      <alignment horizontal="center" vertical="center"/>
    </xf>
    <xf numFmtId="0" fontId="69" fillId="0" borderId="0" xfId="14" applyFont="1" applyAlignment="1">
      <alignment horizontal="left" vertical="center"/>
    </xf>
    <xf numFmtId="168" fontId="67" fillId="0" borderId="0" xfId="14" applyNumberFormat="1" applyFont="1" applyAlignment="1">
      <alignment horizontal="left" vertical="center"/>
    </xf>
    <xf numFmtId="168" fontId="67" fillId="0" borderId="0" xfId="14" applyNumberFormat="1" applyFont="1" applyAlignment="1">
      <alignment horizontal="right" vertical="center"/>
    </xf>
    <xf numFmtId="168" fontId="67" fillId="15" borderId="27" xfId="14" applyNumberFormat="1" applyFont="1" applyFill="1" applyBorder="1" applyAlignment="1">
      <alignment vertical="center"/>
    </xf>
    <xf numFmtId="168" fontId="67" fillId="0" borderId="145" xfId="14" applyNumberFormat="1" applyFont="1" applyBorder="1" applyAlignment="1">
      <alignment vertical="center"/>
    </xf>
    <xf numFmtId="168" fontId="67" fillId="15" borderId="145" xfId="14" applyNumberFormat="1" applyFont="1" applyFill="1" applyBorder="1" applyAlignment="1">
      <alignment vertical="center"/>
    </xf>
    <xf numFmtId="168" fontId="67" fillId="0" borderId="59" xfId="14" applyNumberFormat="1" applyFont="1" applyBorder="1" applyAlignment="1">
      <alignment vertical="center"/>
    </xf>
    <xf numFmtId="0" fontId="29" fillId="0" borderId="0" xfId="14" applyFont="1" applyAlignment="1">
      <alignment horizontal="left" vertical="center"/>
    </xf>
    <xf numFmtId="3" fontId="46" fillId="0" borderId="0" xfId="14" applyNumberFormat="1" applyFont="1" applyAlignment="1">
      <alignment horizontal="left" vertical="center"/>
    </xf>
    <xf numFmtId="3" fontId="46" fillId="0" borderId="0" xfId="14" applyNumberFormat="1" applyFont="1" applyAlignment="1">
      <alignment horizontal="right" vertical="center"/>
    </xf>
    <xf numFmtId="0" fontId="46" fillId="0" borderId="0" xfId="14" applyFont="1" applyAlignment="1">
      <alignment horizontal="left" vertical="center"/>
    </xf>
    <xf numFmtId="3" fontId="67" fillId="15" borderId="27" xfId="14" applyNumberFormat="1" applyFont="1" applyFill="1" applyBorder="1" applyAlignment="1">
      <alignment vertical="center"/>
    </xf>
    <xf numFmtId="3" fontId="67" fillId="0" borderId="145" xfId="14" applyNumberFormat="1" applyFont="1" applyBorder="1" applyAlignment="1">
      <alignment vertical="center"/>
    </xf>
    <xf numFmtId="3" fontId="67" fillId="15" borderId="145" xfId="14" applyNumberFormat="1" applyFont="1" applyFill="1" applyBorder="1" applyAlignment="1">
      <alignment vertical="center"/>
    </xf>
    <xf numFmtId="3" fontId="67" fillId="0" borderId="59" xfId="14" applyNumberFormat="1" applyFont="1" applyBorder="1" applyAlignment="1">
      <alignment vertical="center"/>
    </xf>
    <xf numFmtId="3" fontId="29" fillId="0" borderId="0" xfId="14" applyNumberFormat="1" applyFont="1" applyAlignment="1">
      <alignment horizontal="left" vertical="center"/>
    </xf>
    <xf numFmtId="3" fontId="29" fillId="0" borderId="0" xfId="14" applyNumberFormat="1" applyFont="1" applyAlignment="1">
      <alignment horizontal="right" vertical="center"/>
    </xf>
    <xf numFmtId="0" fontId="72" fillId="0" borderId="0" xfId="14" applyFont="1" applyAlignment="1">
      <alignment horizontal="left" vertical="center"/>
    </xf>
    <xf numFmtId="0" fontId="73" fillId="0" borderId="0" xfId="5" applyFont="1" applyAlignment="1">
      <alignment horizontal="left" vertical="center"/>
    </xf>
    <xf numFmtId="0" fontId="29" fillId="0" borderId="0" xfId="14" applyFont="1" applyAlignment="1">
      <alignment vertical="center"/>
    </xf>
    <xf numFmtId="3" fontId="67" fillId="0" borderId="145" xfId="14" applyNumberFormat="1" applyFont="1" applyBorder="1" applyAlignment="1">
      <alignment horizontal="right" vertical="center"/>
    </xf>
    <xf numFmtId="3" fontId="67" fillId="0" borderId="27" xfId="14" applyNumberFormat="1" applyFont="1" applyBorder="1" applyAlignment="1">
      <alignment horizontal="right" vertical="center"/>
    </xf>
    <xf numFmtId="3" fontId="67" fillId="0" borderId="59" xfId="14" applyNumberFormat="1" applyFont="1" applyBorder="1" applyAlignment="1">
      <alignment horizontal="right" vertical="center"/>
    </xf>
    <xf numFmtId="0" fontId="30" fillId="0" borderId="0" xfId="5" applyFont="1" applyAlignment="1">
      <alignment vertical="center"/>
    </xf>
    <xf numFmtId="0" fontId="67" fillId="0" borderId="24" xfId="14" applyFont="1" applyBorder="1" applyAlignment="1">
      <alignment horizontal="center" vertical="center"/>
    </xf>
    <xf numFmtId="169" fontId="0" fillId="0" borderId="145" xfId="1" applyNumberFormat="1" applyFont="1" applyBorder="1"/>
    <xf numFmtId="0" fontId="0" fillId="0" borderId="145" xfId="0" applyBorder="1"/>
    <xf numFmtId="0" fontId="0" fillId="0" borderId="147" xfId="0" applyBorder="1"/>
    <xf numFmtId="0" fontId="0" fillId="0" borderId="148" xfId="0" applyBorder="1"/>
    <xf numFmtId="168" fontId="67" fillId="0" borderId="27" xfId="14" applyNumberFormat="1" applyFont="1" applyBorder="1" applyAlignment="1">
      <alignment horizontal="right" vertical="center"/>
    </xf>
    <xf numFmtId="168" fontId="67" fillId="0" borderId="145" xfId="14" applyNumberFormat="1" applyFont="1" applyBorder="1" applyAlignment="1">
      <alignment horizontal="right" vertical="center"/>
    </xf>
    <xf numFmtId="168" fontId="67" fillId="0" borderId="59" xfId="14" applyNumberFormat="1" applyFont="1" applyBorder="1" applyAlignment="1">
      <alignment horizontal="right" vertical="center"/>
    </xf>
    <xf numFmtId="1" fontId="0" fillId="0" borderId="145" xfId="0" applyNumberFormat="1" applyBorder="1"/>
    <xf numFmtId="1" fontId="14" fillId="0" borderId="145" xfId="0" applyNumberFormat="1" applyFont="1" applyBorder="1" applyAlignment="1">
      <alignment horizontal="center" vertical="center" wrapText="1"/>
    </xf>
    <xf numFmtId="0" fontId="16" fillId="16" borderId="0" xfId="3" applyFont="1" applyFill="1" applyAlignment="1">
      <alignment vertical="center"/>
    </xf>
    <xf numFmtId="0" fontId="12" fillId="16" borderId="0" xfId="3" applyFont="1" applyFill="1" applyAlignment="1">
      <alignment vertical="center"/>
    </xf>
    <xf numFmtId="0" fontId="75" fillId="0" borderId="0" xfId="5" applyFont="1" applyAlignment="1">
      <alignment horizontal="center"/>
    </xf>
    <xf numFmtId="0" fontId="75" fillId="0" borderId="0" xfId="5" applyFont="1"/>
    <xf numFmtId="0" fontId="76" fillId="0" borderId="0" xfId="5" applyFont="1"/>
    <xf numFmtId="0" fontId="77" fillId="0" borderId="0" xfId="5" applyFont="1" applyAlignment="1">
      <alignment horizontal="center"/>
    </xf>
    <xf numFmtId="0" fontId="78" fillId="0" borderId="0" xfId="5" applyFont="1"/>
    <xf numFmtId="0" fontId="79" fillId="0" borderId="0" xfId="5" applyFont="1"/>
    <xf numFmtId="1" fontId="80" fillId="0" borderId="0" xfId="5" applyNumberFormat="1" applyFont="1"/>
    <xf numFmtId="0" fontId="81" fillId="0" borderId="0" xfId="14" applyFont="1" applyAlignment="1">
      <alignment vertical="center"/>
    </xf>
    <xf numFmtId="0" fontId="20" fillId="0" borderId="0" xfId="5" applyFont="1"/>
    <xf numFmtId="0" fontId="86" fillId="0" borderId="0" xfId="14" applyFont="1"/>
    <xf numFmtId="0" fontId="86" fillId="0" borderId="0" xfId="14" applyFont="1" applyAlignment="1">
      <alignment horizontal="left"/>
    </xf>
    <xf numFmtId="0" fontId="87" fillId="11" borderId="0" xfId="14" applyFont="1" applyFill="1"/>
    <xf numFmtId="0" fontId="86" fillId="0" borderId="0" xfId="14" applyFont="1" applyAlignment="1">
      <alignment vertical="center" wrapText="1"/>
    </xf>
    <xf numFmtId="0" fontId="86" fillId="0" borderId="0" xfId="14" quotePrefix="1" applyFont="1" applyAlignment="1">
      <alignment horizontal="left"/>
    </xf>
    <xf numFmtId="0" fontId="89" fillId="0" borderId="0" xfId="14" applyFont="1"/>
    <xf numFmtId="0" fontId="11" fillId="0" borderId="0" xfId="14" quotePrefix="1"/>
    <xf numFmtId="0" fontId="28" fillId="0" borderId="0" xfId="14" applyFont="1"/>
    <xf numFmtId="0" fontId="91" fillId="0" borderId="0" xfId="14" applyFont="1"/>
    <xf numFmtId="0" fontId="90" fillId="0" borderId="0" xfId="14" applyFont="1"/>
    <xf numFmtId="0" fontId="28" fillId="0" borderId="0" xfId="14" quotePrefix="1" applyFont="1"/>
    <xf numFmtId="167" fontId="96" fillId="0" borderId="26" xfId="5" quotePrefix="1" applyNumberFormat="1" applyFont="1" applyBorder="1" applyAlignment="1">
      <alignment horizontal="center" vertical="center" wrapText="1"/>
    </xf>
    <xf numFmtId="3" fontId="96" fillId="0" borderId="26" xfId="5" quotePrefix="1" applyNumberFormat="1" applyFont="1" applyBorder="1" applyAlignment="1">
      <alignment horizontal="center" vertical="center" wrapText="1"/>
    </xf>
    <xf numFmtId="168" fontId="97" fillId="3" borderId="27" xfId="4" applyNumberFormat="1" applyFont="1" applyFill="1" applyBorder="1" applyAlignment="1">
      <alignment horizontal="right" vertical="center" indent="1"/>
    </xf>
    <xf numFmtId="168" fontId="97" fillId="3" borderId="10" xfId="4" applyNumberFormat="1" applyFont="1" applyFill="1" applyBorder="1" applyAlignment="1">
      <alignment horizontal="right" vertical="center" indent="1"/>
    </xf>
    <xf numFmtId="168" fontId="97" fillId="0" borderId="10" xfId="4" applyNumberFormat="1" applyFont="1" applyBorder="1" applyAlignment="1">
      <alignment horizontal="right" vertical="center" indent="1"/>
    </xf>
    <xf numFmtId="168" fontId="97" fillId="3" borderId="59" xfId="4" applyNumberFormat="1" applyFont="1" applyFill="1" applyBorder="1" applyAlignment="1">
      <alignment horizontal="right" vertical="center" indent="1"/>
    </xf>
    <xf numFmtId="0" fontId="0" fillId="0" borderId="42" xfId="0" applyBorder="1"/>
    <xf numFmtId="0" fontId="18" fillId="2" borderId="48" xfId="4" applyFont="1" applyFill="1" applyBorder="1" applyAlignment="1">
      <alignment horizontal="left" vertical="center"/>
    </xf>
    <xf numFmtId="0" fontId="18" fillId="3" borderId="146" xfId="4" applyFont="1" applyFill="1" applyBorder="1" applyAlignment="1">
      <alignment horizontal="left" vertical="center"/>
    </xf>
    <xf numFmtId="168" fontId="18" fillId="3" borderId="145" xfId="4" applyNumberFormat="1" applyFont="1" applyFill="1" applyBorder="1" applyAlignment="1">
      <alignment horizontal="right" vertical="center"/>
    </xf>
    <xf numFmtId="0" fontId="18" fillId="2" borderId="146" xfId="4" applyFont="1" applyFill="1" applyBorder="1" applyAlignment="1">
      <alignment horizontal="left" vertical="center"/>
    </xf>
    <xf numFmtId="168" fontId="18" fillId="0" borderId="145" xfId="4" applyNumberFormat="1" applyFont="1" applyBorder="1" applyAlignment="1">
      <alignment horizontal="right" vertical="center"/>
    </xf>
    <xf numFmtId="0" fontId="18" fillId="2" borderId="40" xfId="4" applyFont="1" applyFill="1" applyBorder="1" applyAlignment="1">
      <alignment horizontal="left" vertical="center"/>
    </xf>
    <xf numFmtId="170" fontId="18" fillId="3" borderId="145" xfId="4" applyNumberFormat="1" applyFont="1" applyFill="1" applyBorder="1" applyAlignment="1">
      <alignment horizontal="left" vertical="center" wrapText="1"/>
    </xf>
    <xf numFmtId="0" fontId="18" fillId="3" borderId="40" xfId="4" applyFont="1" applyFill="1" applyBorder="1" applyAlignment="1">
      <alignment horizontal="left" vertical="center"/>
    </xf>
    <xf numFmtId="0" fontId="97" fillId="3" borderId="27" xfId="4" applyFont="1" applyFill="1" applyBorder="1" applyAlignment="1">
      <alignment horizontal="left" vertical="center"/>
    </xf>
    <xf numFmtId="0" fontId="97" fillId="0" borderId="145" xfId="4" applyFont="1" applyBorder="1" applyAlignment="1">
      <alignment horizontal="left" vertical="center"/>
    </xf>
    <xf numFmtId="0" fontId="97" fillId="3" borderId="145" xfId="4" applyFont="1" applyFill="1" applyBorder="1" applyAlignment="1">
      <alignment horizontal="left" vertical="center"/>
    </xf>
    <xf numFmtId="0" fontId="97" fillId="3" borderId="59" xfId="4" applyFont="1" applyFill="1" applyBorder="1" applyAlignment="1">
      <alignment horizontal="left" vertical="center"/>
    </xf>
    <xf numFmtId="168" fontId="97" fillId="3" borderId="145" xfId="4" applyNumberFormat="1" applyFont="1" applyFill="1" applyBorder="1" applyAlignment="1">
      <alignment horizontal="right" vertical="center" indent="1"/>
    </xf>
    <xf numFmtId="168" fontId="97" fillId="3" borderId="29" xfId="4" applyNumberFormat="1" applyFont="1" applyFill="1" applyBorder="1" applyAlignment="1">
      <alignment horizontal="right" vertical="center" indent="1"/>
    </xf>
    <xf numFmtId="168" fontId="97" fillId="0" borderId="145" xfId="4" applyNumberFormat="1" applyFont="1" applyBorder="1" applyAlignment="1">
      <alignment horizontal="right" vertical="center" indent="1"/>
    </xf>
    <xf numFmtId="168" fontId="97" fillId="0" borderId="29" xfId="4" applyNumberFormat="1" applyFont="1" applyBorder="1" applyAlignment="1">
      <alignment horizontal="right" vertical="center" indent="1"/>
    </xf>
    <xf numFmtId="168" fontId="97" fillId="3" borderId="31" xfId="4" applyNumberFormat="1" applyFont="1" applyFill="1" applyBorder="1" applyAlignment="1">
      <alignment horizontal="right" vertical="center" indent="1"/>
    </xf>
    <xf numFmtId="168" fontId="18" fillId="0" borderId="145" xfId="4" applyNumberFormat="1" applyFont="1" applyBorder="1" applyAlignment="1">
      <alignment horizontal="left" vertical="center" wrapText="1"/>
    </xf>
    <xf numFmtId="168" fontId="18" fillId="3" borderId="27" xfId="4" applyNumberFormat="1" applyFont="1" applyFill="1" applyBorder="1" applyAlignment="1">
      <alignment horizontal="left" vertical="center" wrapText="1"/>
    </xf>
    <xf numFmtId="0" fontId="18" fillId="3" borderId="145" xfId="0" applyFont="1" applyFill="1" applyBorder="1" applyAlignment="1">
      <alignment vertical="center" wrapText="1"/>
    </xf>
    <xf numFmtId="0" fontId="18" fillId="0" borderId="59" xfId="0" applyFont="1" applyBorder="1" applyAlignment="1">
      <alignment vertical="center" wrapText="1"/>
    </xf>
    <xf numFmtId="168" fontId="18" fillId="3" borderId="145" xfId="1" applyNumberFormat="1" applyFont="1" applyFill="1" applyBorder="1" applyAlignment="1">
      <alignment horizontal="right" vertical="center"/>
    </xf>
    <xf numFmtId="168" fontId="18" fillId="3" borderId="29" xfId="1" applyNumberFormat="1" applyFont="1" applyFill="1" applyBorder="1" applyAlignment="1">
      <alignment horizontal="right" vertical="center"/>
    </xf>
    <xf numFmtId="0" fontId="18" fillId="3" borderId="27" xfId="0" applyFont="1" applyFill="1" applyBorder="1" applyAlignment="1">
      <alignment vertical="center" wrapText="1"/>
    </xf>
    <xf numFmtId="0" fontId="18" fillId="0" borderId="145" xfId="0" applyFont="1" applyBorder="1" applyAlignment="1">
      <alignment vertical="center" wrapText="1"/>
    </xf>
    <xf numFmtId="0" fontId="18" fillId="3" borderId="59" xfId="0" applyFont="1" applyFill="1" applyBorder="1" applyAlignment="1">
      <alignment vertical="center" wrapText="1"/>
    </xf>
    <xf numFmtId="0" fontId="18" fillId="0" borderId="27" xfId="0" applyFont="1" applyBorder="1"/>
    <xf numFmtId="0" fontId="18" fillId="0" borderId="145" xfId="0" applyFont="1" applyBorder="1" applyAlignment="1">
      <alignment vertical="center"/>
    </xf>
    <xf numFmtId="0" fontId="18" fillId="0" borderId="145" xfId="0" applyFont="1" applyBorder="1"/>
    <xf numFmtId="0" fontId="18" fillId="0" borderId="59" xfId="0" applyFont="1" applyBorder="1"/>
    <xf numFmtId="170" fontId="18" fillId="0" borderId="145" xfId="0" applyNumberFormat="1" applyFont="1" applyBorder="1" applyAlignment="1">
      <alignment horizontal="right"/>
    </xf>
    <xf numFmtId="170" fontId="18" fillId="3" borderId="145" xfId="0" applyNumberFormat="1" applyFont="1" applyFill="1" applyBorder="1" applyAlignment="1">
      <alignment horizontal="right"/>
    </xf>
    <xf numFmtId="0" fontId="24" fillId="0" borderId="0" xfId="0" applyFont="1" applyAlignment="1">
      <alignment horizontal="left" vertical="center" wrapText="1" indent="8"/>
    </xf>
    <xf numFmtId="168" fontId="18" fillId="3" borderId="145" xfId="4" applyNumberFormat="1" applyFont="1" applyFill="1" applyBorder="1" applyAlignment="1">
      <alignment horizontal="left" vertical="center"/>
    </xf>
    <xf numFmtId="0" fontId="33" fillId="0" borderId="145" xfId="0" applyFont="1" applyBorder="1" applyAlignment="1">
      <alignment horizontal="left" vertical="center" wrapText="1" indent="4"/>
    </xf>
    <xf numFmtId="0" fontId="18" fillId="0" borderId="145" xfId="0" applyFont="1" applyBorder="1" applyAlignment="1">
      <alignment horizontal="left" vertical="center" wrapText="1"/>
    </xf>
    <xf numFmtId="0" fontId="33" fillId="0" borderId="59" xfId="0" applyFont="1" applyBorder="1" applyAlignment="1">
      <alignment horizontal="left" vertical="center" wrapText="1" indent="4"/>
    </xf>
    <xf numFmtId="172" fontId="18" fillId="0" borderId="145" xfId="1" applyNumberFormat="1" applyFont="1" applyBorder="1" applyAlignment="1">
      <alignment horizontal="right" vertical="center"/>
    </xf>
    <xf numFmtId="172" fontId="18" fillId="0" borderId="145" xfId="1" applyNumberFormat="1" applyFont="1" applyBorder="1" applyAlignment="1">
      <alignment horizontal="center" vertical="center" wrapText="1"/>
    </xf>
    <xf numFmtId="168" fontId="18" fillId="3" borderId="145" xfId="4" applyNumberFormat="1" applyFont="1" applyFill="1" applyBorder="1" applyAlignment="1">
      <alignment horizontal="center" vertical="center" wrapText="1"/>
    </xf>
    <xf numFmtId="168" fontId="18" fillId="3" borderId="146" xfId="4" applyNumberFormat="1" applyFont="1" applyFill="1" applyBorder="1" applyAlignment="1">
      <alignment horizontal="center" vertical="center" wrapText="1"/>
    </xf>
    <xf numFmtId="168" fontId="18" fillId="3" borderId="40" xfId="4" applyNumberFormat="1" applyFont="1" applyFill="1" applyBorder="1" applyAlignment="1">
      <alignment horizontal="center" vertical="center" wrapText="1"/>
    </xf>
    <xf numFmtId="168" fontId="18" fillId="3" borderId="146" xfId="4" applyNumberFormat="1" applyFont="1" applyFill="1" applyBorder="1" applyAlignment="1">
      <alignment horizontal="right" vertical="center"/>
    </xf>
    <xf numFmtId="168" fontId="18" fillId="3" borderId="40" xfId="4" applyNumberFormat="1" applyFont="1" applyFill="1" applyBorder="1" applyAlignment="1">
      <alignment horizontal="right" vertical="center"/>
    </xf>
    <xf numFmtId="0" fontId="18" fillId="0" borderId="26" xfId="5" applyBorder="1" applyAlignment="1">
      <alignment horizontal="center" vertical="center" wrapText="1"/>
    </xf>
    <xf numFmtId="0" fontId="21" fillId="3" borderId="27" xfId="5" applyFont="1" applyFill="1" applyBorder="1" applyAlignment="1">
      <alignment horizontal="left" vertical="center" wrapText="1"/>
    </xf>
    <xf numFmtId="0" fontId="18" fillId="0" borderId="145" xfId="5" applyBorder="1" applyAlignment="1">
      <alignment vertical="center" wrapText="1"/>
    </xf>
    <xf numFmtId="0" fontId="18" fillId="3" borderId="145" xfId="5" applyFill="1" applyBorder="1" applyAlignment="1">
      <alignment horizontal="justify" vertical="center" wrapText="1"/>
    </xf>
    <xf numFmtId="0" fontId="18" fillId="0" borderId="145" xfId="5" applyBorder="1" applyAlignment="1">
      <alignment horizontal="left" vertical="center" wrapText="1"/>
    </xf>
    <xf numFmtId="0" fontId="18" fillId="3" borderId="145" xfId="5" applyFill="1" applyBorder="1" applyAlignment="1">
      <alignment horizontal="left" vertical="center" wrapText="1"/>
    </xf>
    <xf numFmtId="0" fontId="18" fillId="3" borderId="145" xfId="5" applyFill="1" applyBorder="1" applyAlignment="1">
      <alignment vertical="center" wrapText="1"/>
    </xf>
    <xf numFmtId="0" fontId="18" fillId="3" borderId="59" xfId="5" applyFill="1" applyBorder="1" applyAlignment="1">
      <alignment vertical="center" wrapText="1"/>
    </xf>
    <xf numFmtId="0" fontId="21" fillId="3" borderId="26" xfId="5" applyFont="1" applyFill="1" applyBorder="1" applyAlignment="1">
      <alignment horizontal="left" vertical="center" wrapText="1"/>
    </xf>
    <xf numFmtId="0" fontId="18" fillId="3" borderId="59" xfId="5" applyFill="1" applyBorder="1" applyAlignment="1">
      <alignment horizontal="justify" vertical="center" wrapText="1"/>
    </xf>
    <xf numFmtId="0" fontId="18" fillId="0" borderId="27" xfId="5" applyBorder="1" applyAlignment="1">
      <alignment horizontal="left" vertical="center" wrapText="1"/>
    </xf>
    <xf numFmtId="0" fontId="18" fillId="0" borderId="59" xfId="5" applyBorder="1" applyAlignment="1">
      <alignment vertical="center" wrapText="1"/>
    </xf>
    <xf numFmtId="0" fontId="18" fillId="3" borderId="27" xfId="5" applyFill="1" applyBorder="1" applyAlignment="1">
      <alignment vertical="center" wrapText="1"/>
    </xf>
    <xf numFmtId="0" fontId="21" fillId="0" borderId="26" xfId="5" applyFont="1" applyBorder="1" applyAlignment="1">
      <alignment horizontal="left" wrapText="1"/>
    </xf>
    <xf numFmtId="168" fontId="12" fillId="3" borderId="145" xfId="0" applyNumberFormat="1" applyFont="1" applyFill="1" applyBorder="1" applyAlignment="1">
      <alignment horizontal="left" vertical="center" wrapText="1"/>
    </xf>
    <xf numFmtId="0" fontId="12" fillId="0" borderId="59" xfId="0" applyFont="1" applyBorder="1"/>
    <xf numFmtId="168" fontId="12" fillId="3" borderId="145" xfId="0" applyNumberFormat="1" applyFont="1" applyFill="1" applyBorder="1" applyAlignment="1">
      <alignment horizontal="center" vertical="center" wrapText="1"/>
    </xf>
    <xf numFmtId="0" fontId="72" fillId="0" borderId="0" xfId="0" applyFont="1" applyAlignment="1">
      <alignment vertical="center"/>
    </xf>
    <xf numFmtId="168" fontId="18" fillId="3" borderId="145" xfId="0" quotePrefix="1" applyNumberFormat="1" applyFont="1" applyFill="1" applyBorder="1" applyAlignment="1">
      <alignment horizontal="right" vertical="center"/>
    </xf>
    <xf numFmtId="168" fontId="12" fillId="3" borderId="146" xfId="0" applyNumberFormat="1" applyFont="1" applyFill="1" applyBorder="1" applyAlignment="1">
      <alignment horizontal="center" vertical="center" wrapText="1"/>
    </xf>
    <xf numFmtId="3" fontId="18" fillId="0" borderId="145" xfId="4" applyNumberFormat="1" applyFont="1" applyBorder="1" applyAlignment="1">
      <alignment vertical="center"/>
    </xf>
    <xf numFmtId="3" fontId="18" fillId="3" borderId="145" xfId="4" applyNumberFormat="1" applyFont="1" applyFill="1" applyBorder="1" applyAlignment="1">
      <alignment vertical="center"/>
    </xf>
    <xf numFmtId="168" fontId="21" fillId="0" borderId="28" xfId="5" quotePrefix="1" applyNumberFormat="1" applyFont="1" applyBorder="1" applyAlignment="1">
      <alignment horizontal="center" vertical="center" wrapText="1"/>
    </xf>
    <xf numFmtId="3" fontId="18" fillId="3" borderId="145" xfId="4" applyNumberFormat="1" applyFont="1" applyFill="1" applyBorder="1" applyAlignment="1">
      <alignment horizontal="right" vertical="center"/>
    </xf>
    <xf numFmtId="3" fontId="18" fillId="0" borderId="145" xfId="4" applyNumberFormat="1" applyFont="1" applyBorder="1" applyAlignment="1">
      <alignment horizontal="right" vertical="center"/>
    </xf>
    <xf numFmtId="0" fontId="21" fillId="0" borderId="145" xfId="4" applyFont="1" applyBorder="1" applyAlignment="1">
      <alignment horizontal="center" vertical="center" wrapText="1"/>
    </xf>
    <xf numFmtId="0" fontId="12" fillId="0" borderId="145" xfId="0" applyFont="1" applyBorder="1" applyAlignment="1">
      <alignment vertical="center"/>
    </xf>
    <xf numFmtId="168" fontId="18" fillId="2" borderId="28" xfId="5" applyNumberFormat="1" applyFill="1" applyBorder="1" applyAlignment="1">
      <alignment horizontal="right" vertical="center" wrapText="1"/>
    </xf>
    <xf numFmtId="168" fontId="18" fillId="3" borderId="146" xfId="5" applyNumberFormat="1" applyFill="1" applyBorder="1" applyAlignment="1">
      <alignment horizontal="right" vertical="center" wrapText="1"/>
    </xf>
    <xf numFmtId="168" fontId="18" fillId="3" borderId="29" xfId="5" applyNumberFormat="1" applyFill="1" applyBorder="1" applyAlignment="1">
      <alignment horizontal="right" vertical="center" wrapText="1"/>
    </xf>
    <xf numFmtId="168" fontId="18" fillId="2" borderId="146" xfId="5" applyNumberFormat="1" applyFill="1" applyBorder="1" applyAlignment="1">
      <alignment horizontal="right" vertical="center" wrapText="1"/>
    </xf>
    <xf numFmtId="168" fontId="18" fillId="2" borderId="29" xfId="5" applyNumberFormat="1" applyFill="1" applyBorder="1" applyAlignment="1">
      <alignment horizontal="right" vertical="center" wrapText="1"/>
    </xf>
    <xf numFmtId="168" fontId="21" fillId="2" borderId="25" xfId="5" applyNumberFormat="1" applyFont="1" applyFill="1" applyBorder="1" applyAlignment="1">
      <alignment horizontal="right" vertical="center" wrapText="1"/>
    </xf>
    <xf numFmtId="0" fontId="18" fillId="2" borderId="27" xfId="0" applyFont="1" applyFill="1" applyBorder="1" applyAlignment="1">
      <alignment horizontal="left" vertical="center" wrapText="1"/>
    </xf>
    <xf numFmtId="0" fontId="18" fillId="3" borderId="145" xfId="0" applyFont="1" applyFill="1" applyBorder="1" applyAlignment="1">
      <alignment horizontal="left" vertical="center" wrapText="1"/>
    </xf>
    <xf numFmtId="0" fontId="18" fillId="2" borderId="145" xfId="5" applyFill="1" applyBorder="1" applyAlignment="1">
      <alignment horizontal="left" vertical="center" wrapText="1"/>
    </xf>
    <xf numFmtId="0" fontId="18" fillId="2" borderId="27" xfId="5" applyFill="1" applyBorder="1" applyAlignment="1">
      <alignment horizontal="left" vertical="center" wrapText="1"/>
    </xf>
    <xf numFmtId="0" fontId="18" fillId="3" borderId="59" xfId="5" applyFill="1" applyBorder="1" applyAlignment="1">
      <alignment horizontal="left" vertical="center" wrapText="1"/>
    </xf>
    <xf numFmtId="168" fontId="18" fillId="3" borderId="31" xfId="5" applyNumberFormat="1" applyFill="1" applyBorder="1" applyAlignment="1">
      <alignment horizontal="right" vertical="center" wrapText="1"/>
    </xf>
    <xf numFmtId="0" fontId="21" fillId="3" borderId="59" xfId="0" applyFont="1" applyFill="1" applyBorder="1" applyAlignment="1">
      <alignment horizontal="left" vertical="center"/>
    </xf>
    <xf numFmtId="168" fontId="18" fillId="0" borderId="146" xfId="0" applyNumberFormat="1" applyFont="1" applyBorder="1" applyAlignment="1">
      <alignment horizontal="right" vertical="center"/>
    </xf>
    <xf numFmtId="0" fontId="21" fillId="0" borderId="27" xfId="0" applyFont="1" applyBorder="1" applyAlignment="1">
      <alignment vertical="center"/>
    </xf>
    <xf numFmtId="0" fontId="21" fillId="0" borderId="145" xfId="0" applyFont="1" applyBorder="1" applyAlignment="1">
      <alignment horizontal="left" vertical="center"/>
    </xf>
    <xf numFmtId="0" fontId="18" fillId="0" borderId="145" xfId="9" applyFont="1" applyBorder="1" applyAlignment="1">
      <alignment horizontal="left" vertical="center"/>
    </xf>
    <xf numFmtId="0" fontId="18" fillId="0" borderId="145" xfId="9" applyFont="1" applyBorder="1" applyAlignment="1">
      <alignment horizontal="left" vertical="center" wrapText="1"/>
    </xf>
    <xf numFmtId="0" fontId="21" fillId="0" borderId="145" xfId="0" applyFont="1" applyBorder="1" applyAlignment="1">
      <alignment vertical="center" wrapText="1"/>
    </xf>
    <xf numFmtId="0" fontId="21" fillId="0" borderId="145" xfId="9" applyFont="1" applyBorder="1" applyAlignment="1">
      <alignment vertical="center" wrapText="1"/>
    </xf>
    <xf numFmtId="0" fontId="21" fillId="0" borderId="23" xfId="4" applyFont="1" applyBorder="1" applyAlignment="1">
      <alignment horizontal="left" vertical="center" wrapText="1"/>
    </xf>
    <xf numFmtId="168" fontId="21" fillId="3" borderId="25" xfId="0" applyNumberFormat="1" applyFont="1" applyFill="1" applyBorder="1" applyAlignment="1">
      <alignment vertical="center"/>
    </xf>
    <xf numFmtId="168" fontId="21" fillId="0" borderId="146" xfId="0" applyNumberFormat="1" applyFont="1" applyBorder="1" applyAlignment="1">
      <alignment vertical="center"/>
    </xf>
    <xf numFmtId="168" fontId="21" fillId="0" borderId="29" xfId="0" applyNumberFormat="1" applyFont="1" applyBorder="1" applyAlignment="1">
      <alignment vertical="center"/>
    </xf>
    <xf numFmtId="168" fontId="12" fillId="12" borderId="146" xfId="0" applyNumberFormat="1" applyFont="1" applyFill="1" applyBorder="1" applyAlignment="1">
      <alignment vertical="center"/>
    </xf>
    <xf numFmtId="168" fontId="18" fillId="12" borderId="29" xfId="0" applyNumberFormat="1" applyFont="1" applyFill="1" applyBorder="1" applyAlignment="1">
      <alignment vertical="center"/>
    </xf>
    <xf numFmtId="168" fontId="12" fillId="0" borderId="146" xfId="0" applyNumberFormat="1" applyFont="1" applyBorder="1" applyAlignment="1">
      <alignment vertical="center"/>
    </xf>
    <xf numFmtId="168" fontId="18" fillId="0" borderId="29" xfId="0" applyNumberFormat="1" applyFont="1" applyBorder="1" applyAlignment="1">
      <alignment vertical="center"/>
    </xf>
    <xf numFmtId="168" fontId="21" fillId="12" borderId="146" xfId="0" applyNumberFormat="1" applyFont="1" applyFill="1" applyBorder="1" applyAlignment="1">
      <alignment vertical="center"/>
    </xf>
    <xf numFmtId="168" fontId="21" fillId="12" borderId="29" xfId="0" applyNumberFormat="1" applyFont="1" applyFill="1" applyBorder="1" applyAlignment="1">
      <alignment vertical="center"/>
    </xf>
    <xf numFmtId="168" fontId="21" fillId="3" borderId="28" xfId="0" applyNumberFormat="1" applyFont="1" applyFill="1" applyBorder="1" applyAlignment="1">
      <alignment vertical="center"/>
    </xf>
    <xf numFmtId="168" fontId="18" fillId="3" borderId="29" xfId="0" applyNumberFormat="1" applyFont="1" applyFill="1" applyBorder="1" applyAlignment="1">
      <alignment vertical="center"/>
    </xf>
    <xf numFmtId="168" fontId="21" fillId="3" borderId="31" xfId="0" applyNumberFormat="1" applyFont="1" applyFill="1" applyBorder="1" applyAlignment="1">
      <alignment vertical="center"/>
    </xf>
    <xf numFmtId="0" fontId="21" fillId="3" borderId="27" xfId="0" applyFont="1" applyFill="1" applyBorder="1" applyAlignment="1">
      <alignment horizontal="left" vertical="center"/>
    </xf>
    <xf numFmtId="0" fontId="12" fillId="3" borderId="145" xfId="0" applyFont="1" applyFill="1" applyBorder="1" applyAlignment="1">
      <alignment vertical="center"/>
    </xf>
    <xf numFmtId="0" fontId="14" fillId="0" borderId="145" xfId="0" applyFont="1" applyBorder="1" applyAlignment="1">
      <alignment vertical="center"/>
    </xf>
    <xf numFmtId="0" fontId="14" fillId="3" borderId="145" xfId="0" applyFont="1" applyFill="1" applyBorder="1" applyAlignment="1">
      <alignment vertical="center"/>
    </xf>
    <xf numFmtId="168" fontId="46" fillId="0" borderId="145" xfId="10" applyNumberFormat="1" applyFont="1" applyBorder="1"/>
    <xf numFmtId="168" fontId="21" fillId="12" borderId="150" xfId="0" applyNumberFormat="1" applyFont="1" applyFill="1" applyBorder="1" applyAlignment="1">
      <alignment vertical="center"/>
    </xf>
    <xf numFmtId="0" fontId="29" fillId="0" borderId="151" xfId="0" applyFont="1" applyBorder="1" applyAlignment="1">
      <alignment horizontal="left" indent="1"/>
    </xf>
    <xf numFmtId="168" fontId="18" fillId="12" borderId="151" xfId="0" applyNumberFormat="1" applyFont="1" applyFill="1" applyBorder="1" applyAlignment="1">
      <alignment vertical="center"/>
    </xf>
    <xf numFmtId="0" fontId="46" fillId="0" borderId="151" xfId="0" applyFont="1" applyBorder="1" applyAlignment="1">
      <alignment horizontal="left" indent="1"/>
    </xf>
    <xf numFmtId="168" fontId="21" fillId="12" borderId="151" xfId="0" applyNumberFormat="1" applyFont="1" applyFill="1" applyBorder="1" applyAlignment="1">
      <alignment vertical="center"/>
    </xf>
    <xf numFmtId="0" fontId="46" fillId="0" borderId="151" xfId="0" applyFont="1" applyBorder="1"/>
    <xf numFmtId="168" fontId="21" fillId="12" borderId="151" xfId="0" applyNumberFormat="1" applyFont="1" applyFill="1" applyBorder="1" applyAlignment="1">
      <alignment horizontal="left" vertical="center" indent="1"/>
    </xf>
    <xf numFmtId="168" fontId="18" fillId="0" borderId="151" xfId="0" applyNumberFormat="1" applyFont="1" applyBorder="1" applyAlignment="1">
      <alignment horizontal="left" vertical="center" indent="1"/>
    </xf>
    <xf numFmtId="0" fontId="46" fillId="13" borderId="151" xfId="0" applyFont="1" applyFill="1" applyBorder="1"/>
    <xf numFmtId="168" fontId="18" fillId="0" borderId="151" xfId="0" applyNumberFormat="1" applyFont="1" applyBorder="1" applyAlignment="1">
      <alignment vertical="center"/>
    </xf>
    <xf numFmtId="168" fontId="21" fillId="12" borderId="152" xfId="0" applyNumberFormat="1" applyFont="1" applyFill="1" applyBorder="1" applyAlignment="1">
      <alignment vertical="center"/>
    </xf>
    <xf numFmtId="168" fontId="29" fillId="0" borderId="145" xfId="0" applyNumberFormat="1" applyFont="1" applyBorder="1" applyAlignment="1">
      <alignment vertical="center"/>
    </xf>
    <xf numFmtId="168" fontId="29" fillId="12" borderId="145" xfId="0" applyNumberFormat="1" applyFont="1" applyFill="1" applyBorder="1" applyAlignment="1">
      <alignment vertical="center"/>
    </xf>
    <xf numFmtId="168" fontId="46" fillId="12" borderId="145" xfId="0" applyNumberFormat="1" applyFont="1" applyFill="1" applyBorder="1" applyAlignment="1">
      <alignment vertical="center"/>
    </xf>
    <xf numFmtId="168" fontId="46" fillId="0" borderId="145" xfId="0" applyNumberFormat="1" applyFont="1" applyBorder="1" applyAlignment="1">
      <alignment vertical="center"/>
    </xf>
    <xf numFmtId="168" fontId="21" fillId="12" borderId="150" xfId="0" applyNumberFormat="1" applyFont="1" applyFill="1" applyBorder="1" applyAlignment="1">
      <alignment horizontal="left" vertical="center"/>
    </xf>
    <xf numFmtId="0" fontId="29" fillId="12" borderId="151" xfId="0" applyFont="1" applyFill="1" applyBorder="1" applyAlignment="1">
      <alignment horizontal="left" indent="1"/>
    </xf>
    <xf numFmtId="0" fontId="46" fillId="12" borderId="151" xfId="0" applyFont="1" applyFill="1" applyBorder="1"/>
    <xf numFmtId="0" fontId="29" fillId="12" borderId="151" xfId="0" applyFont="1" applyFill="1" applyBorder="1"/>
    <xf numFmtId="0" fontId="46" fillId="12" borderId="153" xfId="0" applyFont="1" applyFill="1" applyBorder="1"/>
    <xf numFmtId="168" fontId="21" fillId="0" borderId="25" xfId="0" applyNumberFormat="1" applyFont="1" applyBorder="1" applyAlignment="1">
      <alignment vertical="center"/>
    </xf>
    <xf numFmtId="168" fontId="21" fillId="3" borderId="146" xfId="0" applyNumberFormat="1" applyFont="1" applyFill="1" applyBorder="1" applyAlignment="1">
      <alignment vertical="center"/>
    </xf>
    <xf numFmtId="168" fontId="21" fillId="3" borderId="29" xfId="0" applyNumberFormat="1" applyFont="1" applyFill="1" applyBorder="1" applyAlignment="1">
      <alignment vertical="center"/>
    </xf>
    <xf numFmtId="168" fontId="12" fillId="3" borderId="146" xfId="0" applyNumberFormat="1" applyFont="1" applyFill="1" applyBorder="1" applyAlignment="1">
      <alignment vertical="center"/>
    </xf>
    <xf numFmtId="0" fontId="21" fillId="0" borderId="26" xfId="0" applyFont="1" applyBorder="1" applyAlignment="1">
      <alignment horizontal="left" vertical="center"/>
    </xf>
    <xf numFmtId="0" fontId="21" fillId="3" borderId="145" xfId="0" applyFont="1" applyFill="1" applyBorder="1" applyAlignment="1">
      <alignment horizontal="left" vertical="center"/>
    </xf>
    <xf numFmtId="168" fontId="21" fillId="12" borderId="28" xfId="0" applyNumberFormat="1" applyFont="1" applyFill="1" applyBorder="1" applyAlignment="1">
      <alignment vertical="center"/>
    </xf>
    <xf numFmtId="168" fontId="12" fillId="0" borderId="146" xfId="0" applyNumberFormat="1" applyFont="1" applyBorder="1" applyAlignment="1">
      <alignment horizontal="right" vertical="center"/>
    </xf>
    <xf numFmtId="168" fontId="12" fillId="12" borderId="146" xfId="0" applyNumberFormat="1" applyFont="1" applyFill="1" applyBorder="1" applyAlignment="1">
      <alignment horizontal="right" vertical="center"/>
    </xf>
    <xf numFmtId="168" fontId="21" fillId="0" borderId="146" xfId="0" applyNumberFormat="1" applyFont="1" applyBorder="1" applyAlignment="1">
      <alignment horizontal="right" vertical="center"/>
    </xf>
    <xf numFmtId="168" fontId="21" fillId="12" borderId="146" xfId="0" applyNumberFormat="1" applyFont="1" applyFill="1" applyBorder="1" applyAlignment="1">
      <alignment horizontal="right" vertical="center"/>
    </xf>
    <xf numFmtId="168" fontId="33" fillId="0" borderId="146" xfId="0" applyNumberFormat="1" applyFont="1" applyBorder="1" applyAlignment="1">
      <alignment horizontal="right" vertical="center"/>
    </xf>
    <xf numFmtId="0" fontId="21" fillId="12" borderId="27" xfId="0" applyFont="1" applyFill="1" applyBorder="1" applyAlignment="1">
      <alignment vertical="center"/>
    </xf>
    <xf numFmtId="0" fontId="12" fillId="12" borderId="145" xfId="0" applyFont="1" applyFill="1" applyBorder="1" applyAlignment="1">
      <alignment vertical="center"/>
    </xf>
    <xf numFmtId="0" fontId="21" fillId="0" borderId="145" xfId="0" applyFont="1" applyBorder="1" applyAlignment="1">
      <alignment vertical="center"/>
    </xf>
    <xf numFmtId="0" fontId="21" fillId="12" borderId="145" xfId="0" applyFont="1" applyFill="1" applyBorder="1" applyAlignment="1">
      <alignment vertical="center"/>
    </xf>
    <xf numFmtId="0" fontId="33" fillId="0" borderId="145" xfId="0" applyFont="1" applyBorder="1" applyAlignment="1">
      <alignment horizontal="left" vertical="center"/>
    </xf>
    <xf numFmtId="168" fontId="21" fillId="12" borderId="28" xfId="0" applyNumberFormat="1" applyFont="1" applyFill="1" applyBorder="1" applyAlignment="1">
      <alignment horizontal="right" vertical="center"/>
    </xf>
    <xf numFmtId="168" fontId="18" fillId="12" borderId="29" xfId="0" applyNumberFormat="1" applyFont="1" applyFill="1" applyBorder="1" applyAlignment="1">
      <alignment horizontal="right" vertical="center"/>
    </xf>
    <xf numFmtId="168" fontId="21" fillId="0" borderId="29" xfId="0" applyNumberFormat="1" applyFont="1" applyBorder="1" applyAlignment="1">
      <alignment horizontal="right" vertical="center"/>
    </xf>
    <xf numFmtId="168" fontId="21" fillId="12" borderId="29" xfId="0" applyNumberFormat="1" applyFont="1" applyFill="1" applyBorder="1" applyAlignment="1">
      <alignment horizontal="right" vertical="center"/>
    </xf>
    <xf numFmtId="168" fontId="18" fillId="0" borderId="146" xfId="0" applyNumberFormat="1" applyFont="1" applyBorder="1" applyAlignment="1">
      <alignment vertical="center"/>
    </xf>
    <xf numFmtId="0" fontId="46" fillId="13" borderId="145" xfId="0" applyFont="1" applyFill="1" applyBorder="1"/>
    <xf numFmtId="168" fontId="12" fillId="0" borderId="145" xfId="0" applyNumberFormat="1" applyFont="1" applyBorder="1" applyAlignment="1">
      <alignment vertical="center"/>
    </xf>
    <xf numFmtId="168" fontId="18" fillId="0" borderId="145" xfId="0" applyNumberFormat="1" applyFont="1" applyBorder="1" applyAlignment="1">
      <alignment vertical="center"/>
    </xf>
    <xf numFmtId="168" fontId="12" fillId="12" borderId="145" xfId="0" applyNumberFormat="1" applyFont="1" applyFill="1" applyBorder="1" applyAlignment="1">
      <alignment vertical="center"/>
    </xf>
    <xf numFmtId="168" fontId="18" fillId="12" borderId="145" xfId="0" applyNumberFormat="1" applyFont="1" applyFill="1" applyBorder="1" applyAlignment="1">
      <alignment vertical="center"/>
    </xf>
    <xf numFmtId="0" fontId="12" fillId="0" borderId="25" xfId="3" applyFont="1" applyBorder="1" applyAlignment="1">
      <alignment horizontal="center" vertical="center"/>
    </xf>
    <xf numFmtId="0" fontId="14" fillId="0" borderId="23" xfId="3" applyFont="1" applyBorder="1" applyAlignment="1">
      <alignment vertical="center"/>
    </xf>
    <xf numFmtId="0" fontId="12" fillId="15" borderId="48" xfId="3" applyFont="1" applyFill="1" applyBorder="1" applyAlignment="1">
      <alignment vertical="center"/>
    </xf>
    <xf numFmtId="0" fontId="12" fillId="0" borderId="146" xfId="3" applyFont="1" applyBorder="1" applyAlignment="1">
      <alignment vertical="center"/>
    </xf>
    <xf numFmtId="0" fontId="12" fillId="15" borderId="146" xfId="3" applyFont="1" applyFill="1" applyBorder="1" applyAlignment="1">
      <alignment vertical="center"/>
    </xf>
    <xf numFmtId="0" fontId="12" fillId="0" borderId="40" xfId="3" applyFont="1" applyBorder="1" applyAlignment="1">
      <alignment vertical="center"/>
    </xf>
    <xf numFmtId="168" fontId="12" fillId="0" borderId="29" xfId="3" applyNumberFormat="1" applyFont="1" applyBorder="1" applyAlignment="1">
      <alignment horizontal="right" vertical="center" indent="1"/>
    </xf>
    <xf numFmtId="168" fontId="12" fillId="0" borderId="31" xfId="3" applyNumberFormat="1" applyFont="1" applyBorder="1" applyAlignment="1">
      <alignment horizontal="right" vertical="center" indent="1"/>
    </xf>
    <xf numFmtId="168" fontId="18" fillId="0" borderId="145" xfId="4" applyNumberFormat="1" applyFont="1" applyBorder="1" applyAlignment="1">
      <alignment vertical="center" wrapText="1"/>
    </xf>
    <xf numFmtId="168" fontId="18" fillId="3" borderId="145" xfId="4" applyNumberFormat="1" applyFont="1" applyFill="1" applyBorder="1" applyAlignment="1">
      <alignment vertical="center" wrapText="1"/>
    </xf>
    <xf numFmtId="0" fontId="68" fillId="0" borderId="26" xfId="14" applyFont="1" applyBorder="1" applyAlignment="1">
      <alignment vertical="center"/>
    </xf>
    <xf numFmtId="0" fontId="67" fillId="0" borderId="145" xfId="14" applyFont="1" applyBorder="1" applyAlignment="1">
      <alignment vertical="center"/>
    </xf>
    <xf numFmtId="0" fontId="67" fillId="0" borderId="59" xfId="14" applyFont="1" applyBorder="1" applyAlignment="1">
      <alignment vertical="center"/>
    </xf>
    <xf numFmtId="0" fontId="67" fillId="0" borderId="26" xfId="14" applyFont="1" applyBorder="1" applyAlignment="1">
      <alignment horizontal="left"/>
    </xf>
    <xf numFmtId="0" fontId="68" fillId="0" borderId="23" xfId="14" applyFont="1" applyBorder="1" applyAlignment="1">
      <alignment vertical="center"/>
    </xf>
    <xf numFmtId="0" fontId="67" fillId="15" borderId="48" xfId="14" applyFont="1" applyFill="1" applyBorder="1" applyAlignment="1">
      <alignment vertical="center"/>
    </xf>
    <xf numFmtId="0" fontId="67" fillId="0" borderId="146" xfId="14" applyFont="1" applyBorder="1" applyAlignment="1">
      <alignment vertical="center"/>
    </xf>
    <xf numFmtId="0" fontId="67" fillId="15" borderId="146" xfId="14" applyFont="1" applyFill="1" applyBorder="1" applyAlignment="1">
      <alignment vertical="center"/>
    </xf>
    <xf numFmtId="0" fontId="67" fillId="0" borderId="40" xfId="14" applyFont="1" applyBorder="1" applyAlignment="1">
      <alignment vertical="center"/>
    </xf>
    <xf numFmtId="0" fontId="67" fillId="15" borderId="27" xfId="14" applyFont="1" applyFill="1" applyBorder="1" applyAlignment="1">
      <alignment vertical="center"/>
    </xf>
    <xf numFmtId="0" fontId="67" fillId="15" borderId="145" xfId="14" applyFont="1" applyFill="1" applyBorder="1" applyAlignment="1">
      <alignment vertical="center"/>
    </xf>
    <xf numFmtId="0" fontId="46" fillId="0" borderId="23" xfId="4" applyFont="1" applyBorder="1" applyAlignment="1">
      <alignment horizontal="center" vertical="center" wrapText="1"/>
    </xf>
    <xf numFmtId="3" fontId="67" fillId="0" borderId="48" xfId="14" applyNumberFormat="1" applyFont="1" applyBorder="1" applyAlignment="1">
      <alignment horizontal="left" vertical="center" wrapText="1"/>
    </xf>
    <xf numFmtId="0" fontId="29" fillId="0" borderId="146" xfId="14" applyFont="1" applyBorder="1" applyAlignment="1">
      <alignment vertical="center"/>
    </xf>
    <xf numFmtId="0" fontId="29" fillId="0" borderId="146" xfId="14" applyFont="1" applyBorder="1" applyAlignment="1">
      <alignment vertical="center" wrapText="1"/>
    </xf>
    <xf numFmtId="3" fontId="67" fillId="0" borderId="40" xfId="14" applyNumberFormat="1" applyFont="1" applyBorder="1" applyAlignment="1">
      <alignment horizontal="left" vertical="center" wrapText="1"/>
    </xf>
    <xf numFmtId="0" fontId="67" fillId="0" borderId="23" xfId="14" applyFont="1" applyBorder="1" applyAlignment="1">
      <alignment horizontal="left" vertical="center"/>
    </xf>
    <xf numFmtId="0" fontId="14" fillId="0" borderId="26" xfId="14" applyFont="1" applyBorder="1" applyAlignment="1">
      <alignment vertical="center"/>
    </xf>
    <xf numFmtId="0" fontId="12" fillId="15" borderId="27" xfId="14" applyFont="1" applyFill="1" applyBorder="1" applyAlignment="1">
      <alignment vertical="center"/>
    </xf>
    <xf numFmtId="0" fontId="12" fillId="0" borderId="145" xfId="14" applyFont="1" applyBorder="1" applyAlignment="1">
      <alignment vertical="center"/>
    </xf>
    <xf numFmtId="0" fontId="12" fillId="15" borderId="145" xfId="14" applyFont="1" applyFill="1" applyBorder="1" applyAlignment="1">
      <alignment vertical="center"/>
    </xf>
    <xf numFmtId="0" fontId="12" fillId="0" borderId="59" xfId="14" applyFont="1" applyBorder="1" applyAlignment="1">
      <alignment vertical="center"/>
    </xf>
    <xf numFmtId="0" fontId="12" fillId="0" borderId="23" xfId="14" applyFont="1" applyBorder="1" applyAlignment="1">
      <alignment horizontal="left"/>
    </xf>
    <xf numFmtId="3" fontId="18" fillId="0" borderId="146" xfId="5" applyNumberFormat="1" applyBorder="1" applyAlignment="1">
      <alignment horizontal="left" vertical="center"/>
    </xf>
    <xf numFmtId="0" fontId="12" fillId="0" borderId="25" xfId="14" applyFont="1" applyBorder="1" applyAlignment="1">
      <alignment horizontal="left"/>
    </xf>
    <xf numFmtId="3" fontId="18" fillId="0" borderId="29" xfId="5" applyNumberFormat="1" applyBorder="1" applyAlignment="1">
      <alignment horizontal="left" vertical="center"/>
    </xf>
    <xf numFmtId="0" fontId="21" fillId="2" borderId="23" xfId="5" applyFont="1" applyFill="1" applyBorder="1" applyAlignment="1">
      <alignment horizontal="left" vertical="center" wrapText="1"/>
    </xf>
    <xf numFmtId="0" fontId="18" fillId="2" borderId="146" xfId="5" applyFill="1" applyBorder="1" applyAlignment="1">
      <alignment horizontal="left" vertical="center"/>
    </xf>
    <xf numFmtId="0" fontId="18" fillId="2" borderId="29" xfId="5" applyFill="1" applyBorder="1" applyAlignment="1">
      <alignment horizontal="left" vertical="center"/>
    </xf>
    <xf numFmtId="0" fontId="12" fillId="0" borderId="29" xfId="14" applyFont="1" applyBorder="1"/>
    <xf numFmtId="0" fontId="18" fillId="3" borderId="146" xfId="5" applyFill="1" applyBorder="1" applyAlignment="1">
      <alignment horizontal="left" vertical="center" wrapText="1"/>
    </xf>
    <xf numFmtId="0" fontId="12" fillId="0" borderId="146" xfId="14" applyFont="1" applyBorder="1" applyAlignment="1">
      <alignment horizontal="left"/>
    </xf>
    <xf numFmtId="0" fontId="12" fillId="0" borderId="29" xfId="14" applyFont="1" applyBorder="1" applyAlignment="1">
      <alignment horizontal="left"/>
    </xf>
    <xf numFmtId="3" fontId="18" fillId="2" borderId="145" xfId="5" applyNumberFormat="1" applyFill="1" applyBorder="1" applyAlignment="1">
      <alignment horizontal="right" vertical="center" wrapText="1"/>
    </xf>
    <xf numFmtId="3" fontId="18" fillId="0" borderId="26" xfId="9" applyNumberFormat="1" applyFont="1" applyBorder="1" applyAlignment="1">
      <alignment horizontal="center" wrapText="1"/>
    </xf>
    <xf numFmtId="0" fontId="21" fillId="5" borderId="27" xfId="9" applyFont="1" applyFill="1" applyBorder="1" applyAlignment="1">
      <alignment vertical="center" wrapText="1"/>
    </xf>
    <xf numFmtId="0" fontId="18" fillId="5" borderId="145" xfId="9" applyFont="1" applyFill="1" applyBorder="1" applyAlignment="1">
      <alignment horizontal="left" vertical="center" wrapText="1"/>
    </xf>
    <xf numFmtId="0" fontId="21" fillId="5" borderId="145" xfId="9" applyFont="1" applyFill="1" applyBorder="1" applyAlignment="1">
      <alignment horizontal="left" vertical="center" wrapText="1"/>
    </xf>
    <xf numFmtId="0" fontId="18" fillId="5" borderId="145" xfId="9" applyFont="1" applyFill="1" applyBorder="1" applyAlignment="1">
      <alignment vertical="center" wrapText="1"/>
    </xf>
    <xf numFmtId="0" fontId="18" fillId="0" borderId="59" xfId="9" applyFont="1" applyBorder="1" applyAlignment="1">
      <alignment vertical="center" wrapText="1"/>
    </xf>
    <xf numFmtId="0" fontId="18" fillId="0" borderId="23" xfId="5" applyBorder="1" applyAlignment="1">
      <alignment horizontal="center" vertical="center"/>
    </xf>
    <xf numFmtId="0" fontId="21" fillId="3" borderId="23" xfId="5" applyFont="1" applyFill="1" applyBorder="1" applyAlignment="1">
      <alignment horizontal="left" vertical="center" wrapText="1"/>
    </xf>
    <xf numFmtId="0" fontId="18" fillId="0" borderId="146" xfId="5" applyBorder="1" applyAlignment="1">
      <alignment vertical="center" wrapText="1"/>
    </xf>
    <xf numFmtId="0" fontId="18" fillId="0" borderId="146" xfId="5" applyBorder="1" applyAlignment="1">
      <alignment horizontal="left" vertical="center" wrapText="1"/>
    </xf>
    <xf numFmtId="0" fontId="18" fillId="3" borderId="146" xfId="5" applyFill="1" applyBorder="1" applyAlignment="1">
      <alignment vertical="center" wrapText="1"/>
    </xf>
    <xf numFmtId="0" fontId="18" fillId="3" borderId="40" xfId="5" applyFill="1" applyBorder="1" applyAlignment="1">
      <alignment vertical="center" wrapText="1"/>
    </xf>
    <xf numFmtId="0" fontId="18" fillId="0" borderId="146" xfId="5" applyBorder="1" applyAlignment="1">
      <alignment vertical="center"/>
    </xf>
    <xf numFmtId="168" fontId="18" fillId="3" borderId="145" xfId="5" applyNumberFormat="1" applyFill="1" applyBorder="1" applyAlignment="1">
      <alignment horizontal="right" vertical="center"/>
    </xf>
    <xf numFmtId="168" fontId="18" fillId="0" borderId="145" xfId="5" applyNumberFormat="1" applyBorder="1" applyAlignment="1">
      <alignment horizontal="right" vertical="center"/>
    </xf>
    <xf numFmtId="0" fontId="18" fillId="0" borderId="29" xfId="5" applyBorder="1" applyAlignment="1">
      <alignment vertical="center"/>
    </xf>
    <xf numFmtId="0" fontId="18" fillId="0" borderId="40" xfId="5" applyBorder="1" applyAlignment="1">
      <alignment vertical="center" wrapText="1"/>
    </xf>
    <xf numFmtId="0" fontId="18" fillId="0" borderId="26" xfId="5" applyBorder="1" applyAlignment="1">
      <alignment horizontal="center" vertical="center"/>
    </xf>
    <xf numFmtId="168" fontId="21" fillId="3" borderId="25" xfId="5" applyNumberFormat="1" applyFont="1" applyFill="1" applyBorder="1" applyAlignment="1">
      <alignment horizontal="right" vertical="center"/>
    </xf>
    <xf numFmtId="168" fontId="18" fillId="0" borderId="29" xfId="5" applyNumberFormat="1" applyBorder="1" applyAlignment="1">
      <alignment horizontal="right" vertical="center"/>
    </xf>
    <xf numFmtId="168" fontId="18" fillId="3" borderId="29" xfId="5" applyNumberFormat="1" applyFill="1" applyBorder="1" applyAlignment="1">
      <alignment horizontal="right" vertical="center"/>
    </xf>
    <xf numFmtId="168" fontId="18" fillId="3" borderId="31" xfId="5" applyNumberFormat="1" applyFill="1" applyBorder="1" applyAlignment="1">
      <alignment horizontal="right" vertical="center"/>
    </xf>
    <xf numFmtId="168" fontId="21" fillId="0" borderId="25" xfId="14" applyNumberFormat="1" applyFont="1" applyBorder="1" applyAlignment="1">
      <alignment horizontal="right" vertical="center"/>
    </xf>
    <xf numFmtId="168" fontId="18" fillId="5" borderId="28" xfId="14" applyNumberFormat="1" applyFont="1" applyFill="1" applyBorder="1" applyAlignment="1">
      <alignment horizontal="right" vertical="center"/>
    </xf>
    <xf numFmtId="168" fontId="18" fillId="0" borderId="29" xfId="14" applyNumberFormat="1" applyFont="1" applyBorder="1" applyAlignment="1">
      <alignment horizontal="right" vertical="center"/>
    </xf>
    <xf numFmtId="168" fontId="18" fillId="5" borderId="31" xfId="14" applyNumberFormat="1" applyFont="1" applyFill="1" applyBorder="1" applyAlignment="1">
      <alignment horizontal="right" vertical="center"/>
    </xf>
    <xf numFmtId="168" fontId="18" fillId="5" borderId="29" xfId="14" applyNumberFormat="1" applyFont="1" applyFill="1" applyBorder="1" applyAlignment="1">
      <alignment horizontal="right" vertical="center"/>
    </xf>
    <xf numFmtId="171" fontId="21" fillId="0" borderId="27" xfId="1" applyNumberFormat="1" applyFont="1" applyBorder="1" applyAlignment="1">
      <alignment horizontal="right" vertical="center" wrapText="1"/>
    </xf>
    <xf numFmtId="0" fontId="18" fillId="2" borderId="145" xfId="4" applyFont="1" applyFill="1" applyBorder="1" applyAlignment="1">
      <alignment horizontal="left" vertical="center"/>
    </xf>
    <xf numFmtId="0" fontId="18" fillId="3" borderId="145" xfId="4" applyFont="1" applyFill="1" applyBorder="1" applyAlignment="1">
      <alignment horizontal="left" vertical="center"/>
    </xf>
    <xf numFmtId="168" fontId="18" fillId="0" borderId="145" xfId="0" applyNumberFormat="1" applyFont="1" applyBorder="1" applyAlignment="1">
      <alignment horizontal="right" vertical="center"/>
    </xf>
    <xf numFmtId="168" fontId="18" fillId="0" borderId="28" xfId="0" applyNumberFormat="1" applyFont="1" applyBorder="1" applyAlignment="1">
      <alignment horizontal="right" vertical="center"/>
    </xf>
    <xf numFmtId="0" fontId="18" fillId="0" borderId="146" xfId="0" applyFont="1" applyBorder="1" applyAlignment="1">
      <alignment vertical="center"/>
    </xf>
    <xf numFmtId="168" fontId="18" fillId="3" borderId="145" xfId="0" applyNumberFormat="1" applyFont="1" applyFill="1" applyBorder="1" applyAlignment="1">
      <alignment horizontal="right" vertical="center"/>
    </xf>
    <xf numFmtId="168" fontId="18" fillId="3" borderId="29" xfId="0" applyNumberFormat="1" applyFont="1" applyFill="1" applyBorder="1" applyAlignment="1">
      <alignment horizontal="right" vertical="center"/>
    </xf>
    <xf numFmtId="3" fontId="21" fillId="3" borderId="26" xfId="0" applyNumberFormat="1" applyFont="1" applyFill="1" applyBorder="1" applyAlignment="1">
      <alignment horizontal="left" vertical="center" wrapText="1"/>
    </xf>
    <xf numFmtId="3" fontId="18" fillId="0" borderId="29" xfId="5" applyNumberFormat="1" applyBorder="1" applyAlignment="1">
      <alignment horizontal="right" vertical="center"/>
    </xf>
    <xf numFmtId="168" fontId="18" fillId="3" borderId="29" xfId="0" quotePrefix="1" applyNumberFormat="1" applyFont="1" applyFill="1" applyBorder="1" applyAlignment="1">
      <alignment horizontal="right" vertical="center"/>
    </xf>
    <xf numFmtId="3" fontId="18" fillId="0" borderId="145" xfId="0" applyNumberFormat="1" applyFont="1" applyBorder="1" applyAlignment="1">
      <alignment horizontal="right" vertical="center"/>
    </xf>
    <xf numFmtId="168" fontId="21" fillId="3" borderId="27" xfId="5" applyNumberFormat="1" applyFont="1" applyFill="1" applyBorder="1" applyAlignment="1">
      <alignment horizontal="right" vertical="center" wrapText="1"/>
    </xf>
    <xf numFmtId="168" fontId="21" fillId="3" borderId="27" xfId="5" applyNumberFormat="1" applyFont="1" applyFill="1" applyBorder="1" applyAlignment="1">
      <alignment horizontal="right" vertical="center"/>
    </xf>
    <xf numFmtId="170" fontId="34" fillId="0" borderId="145" xfId="6" applyNumberFormat="1" applyFont="1" applyBorder="1" applyAlignment="1">
      <alignment horizontal="right" vertical="center" wrapText="1"/>
    </xf>
    <xf numFmtId="168" fontId="18" fillId="2" borderId="145" xfId="5" applyNumberFormat="1" applyFill="1" applyBorder="1" applyAlignment="1">
      <alignment horizontal="right" vertical="center" wrapText="1"/>
    </xf>
    <xf numFmtId="170" fontId="18" fillId="3" borderId="145" xfId="5" applyNumberFormat="1" applyFill="1" applyBorder="1" applyAlignment="1">
      <alignment horizontal="right" vertical="center" wrapText="1"/>
    </xf>
    <xf numFmtId="168" fontId="18" fillId="3" borderId="145" xfId="5" applyNumberFormat="1" applyFill="1" applyBorder="1" applyAlignment="1">
      <alignment horizontal="right" vertical="center" wrapText="1"/>
    </xf>
    <xf numFmtId="170" fontId="18" fillId="0" borderId="145" xfId="5" applyNumberFormat="1" applyBorder="1" applyAlignment="1">
      <alignment horizontal="right" vertical="center" wrapText="1"/>
    </xf>
    <xf numFmtId="168" fontId="18" fillId="0" borderId="145" xfId="5" applyNumberFormat="1" applyBorder="1" applyAlignment="1">
      <alignment horizontal="right" vertical="center" wrapText="1"/>
    </xf>
    <xf numFmtId="168" fontId="18" fillId="3" borderId="59" xfId="5" applyNumberFormat="1" applyFill="1" applyBorder="1" applyAlignment="1">
      <alignment horizontal="right" vertical="center" wrapText="1"/>
    </xf>
    <xf numFmtId="0" fontId="21" fillId="2" borderId="28" xfId="4" applyFont="1" applyFill="1" applyBorder="1" applyAlignment="1">
      <alignment horizontal="center" vertical="center" wrapText="1"/>
    </xf>
    <xf numFmtId="170" fontId="18" fillId="3" borderId="145" xfId="2" applyNumberFormat="1" applyFont="1" applyFill="1" applyBorder="1" applyAlignment="1">
      <alignment horizontal="right" vertical="center"/>
    </xf>
    <xf numFmtId="170" fontId="18" fillId="0" borderId="145" xfId="2" applyNumberFormat="1" applyFont="1" applyBorder="1" applyAlignment="1">
      <alignment horizontal="right" vertical="center"/>
    </xf>
    <xf numFmtId="168" fontId="18" fillId="3" borderId="31" xfId="0" quotePrefix="1" applyNumberFormat="1" applyFont="1" applyFill="1" applyBorder="1" applyAlignment="1">
      <alignment horizontal="right" vertical="center"/>
    </xf>
    <xf numFmtId="0" fontId="28" fillId="0" borderId="0" xfId="217" applyFont="1"/>
    <xf numFmtId="0" fontId="28" fillId="0" borderId="146" xfId="217" applyFont="1" applyBorder="1"/>
    <xf numFmtId="0" fontId="28" fillId="0" borderId="0" xfId="217" applyFont="1" applyAlignment="1">
      <alignment vertical="center"/>
    </xf>
    <xf numFmtId="0" fontId="28" fillId="0" borderId="29" xfId="217" applyFont="1" applyBorder="1"/>
    <xf numFmtId="0" fontId="98" fillId="0" borderId="0" xfId="217" applyFont="1" applyAlignment="1">
      <alignment vertical="center"/>
    </xf>
    <xf numFmtId="0" fontId="100" fillId="0" borderId="0" xfId="218" applyFont="1" applyBorder="1" applyAlignment="1">
      <alignment vertical="center"/>
    </xf>
    <xf numFmtId="0" fontId="97" fillId="0" borderId="0" xfId="217" applyFont="1"/>
    <xf numFmtId="0" fontId="101" fillId="0" borderId="0" xfId="218" applyFont="1" applyBorder="1" applyAlignment="1">
      <alignment vertical="center"/>
    </xf>
    <xf numFmtId="0" fontId="28" fillId="0" borderId="40" xfId="217" applyFont="1" applyBorder="1"/>
    <xf numFmtId="0" fontId="28" fillId="0" borderId="30" xfId="217" applyFont="1" applyBorder="1" applyAlignment="1">
      <alignment horizontal="center" vertical="center"/>
    </xf>
    <xf numFmtId="0" fontId="28" fillId="0" borderId="30" xfId="217" applyFont="1" applyBorder="1"/>
    <xf numFmtId="0" fontId="28" fillId="0" borderId="31" xfId="217" applyFont="1" applyBorder="1"/>
    <xf numFmtId="185" fontId="0" fillId="0" borderId="16" xfId="0" applyNumberFormat="1" applyBorder="1"/>
    <xf numFmtId="169" fontId="0" fillId="7" borderId="145" xfId="0" applyNumberFormat="1" applyFill="1" applyBorder="1"/>
    <xf numFmtId="169" fontId="0" fillId="7" borderId="11" xfId="0" applyNumberFormat="1" applyFill="1" applyBorder="1"/>
    <xf numFmtId="185" fontId="0" fillId="0" borderId="17" xfId="0" applyNumberFormat="1" applyBorder="1"/>
    <xf numFmtId="2" fontId="0" fillId="0" borderId="9" xfId="0" applyNumberFormat="1" applyBorder="1"/>
    <xf numFmtId="2" fontId="0" fillId="0" borderId="11" xfId="0" applyNumberFormat="1" applyBorder="1"/>
    <xf numFmtId="169" fontId="18" fillId="7" borderId="21" xfId="1" applyNumberFormat="1" applyFont="1" applyFill="1" applyBorder="1"/>
    <xf numFmtId="0" fontId="102" fillId="17" borderId="67" xfId="0" applyFont="1" applyFill="1" applyBorder="1"/>
    <xf numFmtId="0" fontId="102" fillId="17" borderId="61" xfId="0" applyFont="1" applyFill="1" applyBorder="1"/>
    <xf numFmtId="0" fontId="102" fillId="17" borderId="68" xfId="0" applyFont="1" applyFill="1" applyBorder="1"/>
    <xf numFmtId="168" fontId="18" fillId="3" borderId="145" xfId="0" quotePrefix="1" applyNumberFormat="1" applyFont="1" applyFill="1" applyBorder="1" applyAlignment="1">
      <alignment horizontal="center" vertical="center" wrapText="1"/>
    </xf>
    <xf numFmtId="168" fontId="18" fillId="0" borderId="145" xfId="5" applyNumberFormat="1" applyBorder="1" applyAlignment="1">
      <alignment horizontal="center" vertical="center" wrapText="1"/>
    </xf>
    <xf numFmtId="168" fontId="18" fillId="0" borderId="59" xfId="5" applyNumberFormat="1" applyBorder="1" applyAlignment="1">
      <alignment horizontal="center" vertical="center" wrapText="1"/>
    </xf>
    <xf numFmtId="168" fontId="18" fillId="11" borderId="145" xfId="5" applyNumberFormat="1" applyFill="1" applyBorder="1" applyAlignment="1">
      <alignment horizontal="center" vertical="center" wrapText="1"/>
    </xf>
    <xf numFmtId="185" fontId="18" fillId="0" borderId="0" xfId="5" applyNumberFormat="1" applyAlignment="1">
      <alignment vertical="center"/>
    </xf>
    <xf numFmtId="167" fontId="18" fillId="0" borderId="26" xfId="5" applyNumberFormat="1" applyBorder="1" applyAlignment="1">
      <alignment horizontal="center" vertical="center"/>
    </xf>
    <xf numFmtId="169" fontId="18" fillId="0" borderId="0" xfId="1" applyNumberFormat="1" applyFont="1" applyAlignment="1">
      <alignment vertical="center"/>
    </xf>
    <xf numFmtId="167" fontId="18" fillId="0" borderId="23" xfId="5" applyNumberFormat="1" applyBorder="1" applyAlignment="1">
      <alignment horizontal="center" vertical="center"/>
    </xf>
    <xf numFmtId="167" fontId="18" fillId="0" borderId="24" xfId="5" applyNumberFormat="1" applyBorder="1" applyAlignment="1">
      <alignment horizontal="center" vertical="center"/>
    </xf>
    <xf numFmtId="167" fontId="18" fillId="0" borderId="27" xfId="5" applyNumberFormat="1" applyBorder="1" applyAlignment="1">
      <alignment horizontal="center" vertical="center"/>
    </xf>
    <xf numFmtId="168" fontId="18" fillId="12" borderId="151" xfId="0" applyNumberFormat="1" applyFont="1" applyFill="1" applyBorder="1" applyAlignment="1">
      <alignment horizontal="left" vertical="center" indent="1"/>
    </xf>
    <xf numFmtId="168" fontId="21" fillId="12" borderId="151" xfId="0" applyNumberFormat="1" applyFont="1" applyFill="1" applyBorder="1" applyAlignment="1">
      <alignment vertical="center" wrapText="1"/>
    </xf>
    <xf numFmtId="170" fontId="0" fillId="0" borderId="10" xfId="1" applyNumberFormat="1" applyFont="1" applyBorder="1"/>
    <xf numFmtId="169" fontId="0" fillId="0" borderId="10" xfId="0" applyNumberFormat="1" applyBorder="1"/>
    <xf numFmtId="169" fontId="0" fillId="0" borderId="11" xfId="0" applyNumberFormat="1" applyBorder="1"/>
    <xf numFmtId="175" fontId="50" fillId="0" borderId="16" xfId="0" applyNumberFormat="1" applyFont="1" applyBorder="1"/>
    <xf numFmtId="0" fontId="103" fillId="0" borderId="10" xfId="0" applyFont="1" applyBorder="1" applyAlignment="1">
      <alignment horizontal="center" vertical="center" wrapText="1"/>
    </xf>
    <xf numFmtId="0" fontId="103" fillId="0" borderId="11" xfId="0" applyFont="1" applyBorder="1" applyAlignment="1">
      <alignment horizontal="center" vertical="center" wrapText="1"/>
    </xf>
    <xf numFmtId="0" fontId="104" fillId="0" borderId="9" xfId="0" applyFont="1" applyBorder="1"/>
    <xf numFmtId="0" fontId="104" fillId="0" borderId="10" xfId="0" applyFont="1" applyBorder="1"/>
    <xf numFmtId="0" fontId="104" fillId="0" borderId="11" xfId="0" applyFont="1" applyBorder="1"/>
    <xf numFmtId="0" fontId="104" fillId="0" borderId="18" xfId="0" applyFont="1" applyBorder="1"/>
    <xf numFmtId="1" fontId="104" fillId="0" borderId="10" xfId="0" applyNumberFormat="1" applyFont="1" applyBorder="1"/>
    <xf numFmtId="1" fontId="104" fillId="0" borderId="11" xfId="0" applyNumberFormat="1" applyFont="1" applyBorder="1"/>
    <xf numFmtId="0" fontId="104" fillId="0" borderId="16" xfId="0" applyFont="1" applyBorder="1"/>
    <xf numFmtId="170" fontId="0" fillId="0" borderId="18" xfId="0" applyNumberFormat="1" applyBorder="1"/>
    <xf numFmtId="0" fontId="18" fillId="0" borderId="146" xfId="4" applyFont="1" applyBorder="1" applyAlignment="1">
      <alignment horizontal="left" vertical="center"/>
    </xf>
    <xf numFmtId="169" fontId="18" fillId="0" borderId="10" xfId="1" applyNumberFormat="1" applyFont="1" applyBorder="1" applyAlignment="1">
      <alignment horizontal="center" vertical="center" wrapText="1"/>
    </xf>
    <xf numFmtId="169" fontId="18" fillId="0" borderId="59" xfId="1" applyNumberFormat="1" applyFont="1" applyBorder="1" applyAlignment="1">
      <alignment horizontal="center" vertical="center" wrapText="1"/>
    </xf>
    <xf numFmtId="0" fontId="21" fillId="0" borderId="27" xfId="4" applyFont="1" applyBorder="1" applyAlignment="1">
      <alignment horizontal="left" vertical="center" wrapText="1"/>
    </xf>
    <xf numFmtId="168" fontId="18" fillId="7" borderId="10" xfId="4" applyNumberFormat="1" applyFont="1" applyFill="1" applyBorder="1" applyAlignment="1">
      <alignment horizontal="right" vertical="center"/>
    </xf>
    <xf numFmtId="0" fontId="18" fillId="14" borderId="0" xfId="0" applyFont="1" applyFill="1"/>
    <xf numFmtId="0" fontId="88" fillId="0" borderId="0" xfId="14" applyFont="1" applyAlignment="1">
      <alignment horizontal="left"/>
    </xf>
    <xf numFmtId="170" fontId="0" fillId="7" borderId="10" xfId="0" applyNumberFormat="1" applyFill="1" applyBorder="1"/>
    <xf numFmtId="170" fontId="18" fillId="0" borderId="59" xfId="5" applyNumberFormat="1" applyBorder="1" applyAlignment="1">
      <alignment horizontal="right" vertical="center" wrapText="1"/>
    </xf>
    <xf numFmtId="171" fontId="18" fillId="0" borderId="10" xfId="1" applyNumberFormat="1" applyFont="1" applyFill="1" applyBorder="1" applyAlignment="1">
      <alignment horizontal="right" vertical="center" wrapText="1"/>
    </xf>
    <xf numFmtId="3" fontId="18" fillId="0" borderId="10" xfId="5" applyNumberFormat="1" applyBorder="1" applyAlignment="1">
      <alignment horizontal="right" vertical="center" wrapText="1"/>
    </xf>
    <xf numFmtId="3" fontId="12" fillId="15" borderId="0" xfId="3" applyNumberFormat="1" applyFont="1" applyFill="1" applyAlignment="1">
      <alignment vertical="center"/>
    </xf>
    <xf numFmtId="3" fontId="12" fillId="15" borderId="1" xfId="3" applyNumberFormat="1" applyFont="1" applyFill="1" applyBorder="1" applyAlignment="1">
      <alignment vertical="center"/>
    </xf>
    <xf numFmtId="3" fontId="12" fillId="15" borderId="28" xfId="3" applyNumberFormat="1" applyFont="1" applyFill="1" applyBorder="1" applyAlignment="1">
      <alignment vertical="center"/>
    </xf>
    <xf numFmtId="3" fontId="12" fillId="0" borderId="29" xfId="3" applyNumberFormat="1" applyFont="1" applyBorder="1" applyAlignment="1">
      <alignment vertical="center"/>
    </xf>
    <xf numFmtId="3" fontId="12" fillId="15" borderId="29" xfId="3" applyNumberFormat="1" applyFont="1" applyFill="1" applyBorder="1" applyAlignment="1">
      <alignment vertical="center"/>
    </xf>
    <xf numFmtId="3" fontId="12" fillId="0" borderId="30" xfId="3" applyNumberFormat="1" applyFont="1" applyBorder="1" applyAlignment="1">
      <alignment vertical="center"/>
    </xf>
    <xf numFmtId="3" fontId="12" fillId="0" borderId="31" xfId="3" applyNumberFormat="1" applyFont="1" applyBorder="1" applyAlignment="1">
      <alignment vertical="center"/>
    </xf>
    <xf numFmtId="3" fontId="12" fillId="15" borderId="1" xfId="3" applyNumberFormat="1" applyFont="1" applyFill="1" applyBorder="1" applyAlignment="1">
      <alignment horizontal="center" vertical="center"/>
    </xf>
    <xf numFmtId="3" fontId="12" fillId="15" borderId="28" xfId="3" applyNumberFormat="1" applyFont="1" applyFill="1" applyBorder="1" applyAlignment="1">
      <alignment horizontal="center" vertical="center"/>
    </xf>
    <xf numFmtId="170" fontId="12" fillId="15" borderId="1" xfId="3" applyNumberFormat="1" applyFont="1" applyFill="1" applyBorder="1" applyAlignment="1">
      <alignment vertical="center"/>
    </xf>
    <xf numFmtId="170" fontId="12" fillId="0" borderId="0" xfId="3" applyNumberFormat="1" applyFont="1" applyAlignment="1">
      <alignment vertical="center"/>
    </xf>
    <xf numFmtId="170" fontId="12" fillId="15" borderId="0" xfId="3" applyNumberFormat="1" applyFont="1" applyFill="1" applyAlignment="1">
      <alignment vertical="center"/>
    </xf>
    <xf numFmtId="170" fontId="12" fillId="0" borderId="30" xfId="3" applyNumberFormat="1" applyFont="1" applyBorder="1" applyAlignment="1">
      <alignment vertical="center"/>
    </xf>
    <xf numFmtId="1" fontId="12" fillId="0" borderId="0" xfId="3" applyNumberFormat="1" applyFont="1" applyAlignment="1">
      <alignment vertical="center"/>
    </xf>
    <xf numFmtId="0" fontId="0" fillId="0" borderId="25" xfId="3" applyFont="1" applyBorder="1" applyAlignment="1">
      <alignment horizontal="center" vertical="center"/>
    </xf>
    <xf numFmtId="0" fontId="0" fillId="50" borderId="9" xfId="0" applyFill="1" applyBorder="1"/>
    <xf numFmtId="0" fontId="0" fillId="50" borderId="10" xfId="0" applyFill="1" applyBorder="1"/>
    <xf numFmtId="0" fontId="0" fillId="50" borderId="11" xfId="0" applyFill="1" applyBorder="1"/>
    <xf numFmtId="170" fontId="0" fillId="50" borderId="9" xfId="0" applyNumberFormat="1" applyFill="1" applyBorder="1"/>
    <xf numFmtId="170" fontId="0" fillId="50" borderId="10" xfId="0" applyNumberFormat="1" applyFill="1" applyBorder="1"/>
    <xf numFmtId="170" fontId="0" fillId="50" borderId="11" xfId="0" applyNumberFormat="1" applyFill="1" applyBorder="1"/>
    <xf numFmtId="186" fontId="0" fillId="0" borderId="0" xfId="0" applyNumberFormat="1"/>
    <xf numFmtId="169" fontId="18" fillId="3" borderId="26" xfId="1" applyNumberFormat="1" applyFont="1" applyFill="1" applyBorder="1" applyAlignment="1">
      <alignment horizontal="center" vertical="center" wrapText="1"/>
    </xf>
    <xf numFmtId="168" fontId="18" fillId="3" borderId="26" xfId="4" applyNumberFormat="1" applyFont="1" applyFill="1" applyBorder="1" applyAlignment="1">
      <alignment horizontal="center" vertical="center" wrapText="1"/>
    </xf>
    <xf numFmtId="3" fontId="21" fillId="0" borderId="10" xfId="0" applyNumberFormat="1" applyFont="1" applyBorder="1" applyAlignment="1">
      <alignment vertical="center" wrapText="1"/>
    </xf>
    <xf numFmtId="3" fontId="21" fillId="0" borderId="145" xfId="0" applyNumberFormat="1" applyFont="1" applyBorder="1" applyAlignment="1">
      <alignment horizontal="left" vertical="center"/>
    </xf>
    <xf numFmtId="3" fontId="21" fillId="3" borderId="10" xfId="0" applyNumberFormat="1" applyFont="1" applyFill="1" applyBorder="1" applyAlignment="1">
      <alignment horizontal="left" vertical="center"/>
    </xf>
    <xf numFmtId="3" fontId="21" fillId="0" borderId="10" xfId="0" applyNumberFormat="1" applyFont="1" applyBorder="1" applyAlignment="1">
      <alignment horizontal="left" vertical="center"/>
    </xf>
    <xf numFmtId="3" fontId="21" fillId="3" borderId="10" xfId="0" quotePrefix="1" applyNumberFormat="1" applyFont="1" applyFill="1" applyBorder="1" applyAlignment="1">
      <alignment horizontal="left" vertical="center"/>
    </xf>
    <xf numFmtId="3" fontId="21" fillId="3" borderId="10" xfId="0" applyNumberFormat="1" applyFont="1" applyFill="1" applyBorder="1" applyAlignment="1">
      <alignment vertical="center" wrapText="1"/>
    </xf>
    <xf numFmtId="3" fontId="18" fillId="0" borderId="145" xfId="4" applyNumberFormat="1" applyFont="1" applyBorder="1" applyAlignment="1">
      <alignment vertical="center" wrapText="1"/>
    </xf>
    <xf numFmtId="3" fontId="18" fillId="3" borderId="59" xfId="4" applyNumberFormat="1" applyFont="1" applyFill="1" applyBorder="1" applyAlignment="1">
      <alignment vertical="center" wrapText="1"/>
    </xf>
    <xf numFmtId="3" fontId="18" fillId="0" borderId="59" xfId="4" applyNumberFormat="1" applyFont="1" applyBorder="1" applyAlignment="1">
      <alignment vertical="center"/>
    </xf>
    <xf numFmtId="3" fontId="18" fillId="3" borderId="59" xfId="4" applyNumberFormat="1" applyFont="1" applyFill="1" applyBorder="1" applyAlignment="1">
      <alignment vertical="center"/>
    </xf>
    <xf numFmtId="169" fontId="18" fillId="0" borderId="145" xfId="1" applyNumberFormat="1" applyFont="1" applyBorder="1" applyAlignment="1">
      <alignment horizontal="right" vertical="center" wrapText="1"/>
    </xf>
    <xf numFmtId="169" fontId="18" fillId="2" borderId="145" xfId="1" applyNumberFormat="1" applyFont="1" applyFill="1" applyBorder="1" applyAlignment="1">
      <alignment horizontal="right" vertical="center" wrapText="1"/>
    </xf>
    <xf numFmtId="0" fontId="18" fillId="2" borderId="26" xfId="5" applyFill="1" applyBorder="1" applyAlignment="1">
      <alignment horizontal="left" vertical="center" wrapText="1"/>
    </xf>
    <xf numFmtId="168" fontId="21" fillId="12" borderId="10" xfId="0" applyNumberFormat="1" applyFont="1" applyFill="1" applyBorder="1" applyAlignment="1">
      <alignment horizontal="left" vertical="center"/>
    </xf>
    <xf numFmtId="0" fontId="29" fillId="13" borderId="24" xfId="0" applyFont="1" applyFill="1" applyBorder="1"/>
    <xf numFmtId="168" fontId="0" fillId="12" borderId="0" xfId="0" applyNumberFormat="1" applyFill="1" applyAlignment="1">
      <alignment vertical="center"/>
    </xf>
    <xf numFmtId="168" fontId="0" fillId="12" borderId="29" xfId="0" applyNumberFormat="1" applyFill="1" applyBorder="1" applyAlignment="1">
      <alignment vertical="center"/>
    </xf>
    <xf numFmtId="168" fontId="18" fillId="12" borderId="146" xfId="0" applyNumberFormat="1" applyFont="1" applyFill="1" applyBorder="1" applyAlignment="1">
      <alignment horizontal="right" vertical="center"/>
    </xf>
    <xf numFmtId="168" fontId="14" fillId="12" borderId="146" xfId="0" applyNumberFormat="1" applyFont="1" applyFill="1" applyBorder="1" applyAlignment="1">
      <alignment horizontal="right" vertical="center"/>
    </xf>
    <xf numFmtId="168" fontId="0" fillId="0" borderId="0" xfId="0" applyNumberFormat="1" applyAlignment="1">
      <alignment vertical="center"/>
    </xf>
    <xf numFmtId="168" fontId="0" fillId="0" borderId="29" xfId="0" applyNumberFormat="1" applyBorder="1" applyAlignment="1">
      <alignment vertical="center"/>
    </xf>
    <xf numFmtId="168" fontId="14" fillId="12" borderId="146" xfId="0" applyNumberFormat="1" applyFont="1" applyFill="1" applyBorder="1" applyAlignment="1">
      <alignment vertical="center"/>
    </xf>
    <xf numFmtId="168" fontId="14" fillId="0" borderId="10" xfId="0" applyNumberFormat="1" applyFont="1" applyBorder="1" applyAlignment="1">
      <alignment vertical="center"/>
    </xf>
    <xf numFmtId="168" fontId="14" fillId="0" borderId="146" xfId="0" applyNumberFormat="1" applyFont="1" applyBorder="1" applyAlignment="1">
      <alignment vertical="center"/>
    </xf>
    <xf numFmtId="3" fontId="21" fillId="3" borderId="145" xfId="0" applyNumberFormat="1" applyFont="1" applyFill="1" applyBorder="1" applyAlignment="1">
      <alignment horizontal="left" vertical="center"/>
    </xf>
    <xf numFmtId="0" fontId="18" fillId="0" borderId="59" xfId="9" applyFont="1" applyBorder="1" applyAlignment="1">
      <alignment horizontal="left" vertical="center"/>
    </xf>
    <xf numFmtId="3" fontId="21" fillId="3" borderId="59" xfId="0" applyNumberFormat="1" applyFont="1" applyFill="1" applyBorder="1" applyAlignment="1">
      <alignment horizontal="left" vertical="center"/>
    </xf>
    <xf numFmtId="165" fontId="12" fillId="0" borderId="59" xfId="1" applyFont="1" applyBorder="1" applyAlignment="1">
      <alignment horizontal="center" vertical="center" wrapText="1"/>
    </xf>
    <xf numFmtId="3" fontId="18" fillId="3" borderId="26" xfId="0" applyNumberFormat="1" applyFont="1" applyFill="1" applyBorder="1" applyAlignment="1">
      <alignment horizontal="left" vertical="center" wrapText="1"/>
    </xf>
    <xf numFmtId="3" fontId="18" fillId="0" borderId="26" xfId="0" applyNumberFormat="1" applyFont="1" applyBorder="1" applyAlignment="1">
      <alignment horizontal="left" vertical="center" wrapText="1"/>
    </xf>
    <xf numFmtId="3" fontId="14" fillId="0" borderId="27" xfId="0" applyNumberFormat="1" applyFont="1" applyBorder="1" applyAlignment="1">
      <alignment horizontal="left" vertical="center" wrapText="1"/>
    </xf>
    <xf numFmtId="3" fontId="14" fillId="3" borderId="145" xfId="0" applyNumberFormat="1" applyFont="1" applyFill="1" applyBorder="1" applyAlignment="1">
      <alignment horizontal="left" vertical="center" wrapText="1"/>
    </xf>
    <xf numFmtId="3" fontId="14" fillId="0" borderId="145" xfId="0" applyNumberFormat="1" applyFont="1" applyBorder="1" applyAlignment="1">
      <alignment horizontal="left" vertical="center" wrapText="1"/>
    </xf>
    <xf numFmtId="3" fontId="18" fillId="3" borderId="27" xfId="4" applyNumberFormat="1" applyFont="1" applyFill="1" applyBorder="1" applyAlignment="1">
      <alignment horizontal="center" vertical="center" wrapText="1"/>
    </xf>
    <xf numFmtId="3" fontId="18" fillId="0" borderId="145" xfId="1" applyNumberFormat="1" applyFont="1" applyBorder="1" applyAlignment="1">
      <alignment horizontal="center" vertical="center" wrapText="1"/>
    </xf>
    <xf numFmtId="3" fontId="18" fillId="3" borderId="145" xfId="4" applyNumberFormat="1" applyFont="1" applyFill="1" applyBorder="1" applyAlignment="1">
      <alignment horizontal="center" vertical="center" wrapText="1"/>
    </xf>
    <xf numFmtId="3" fontId="18" fillId="0" borderId="59" xfId="1" applyNumberFormat="1" applyFont="1" applyBorder="1" applyAlignment="1">
      <alignment horizontal="center" vertical="center" wrapText="1"/>
    </xf>
    <xf numFmtId="187" fontId="14" fillId="0" borderId="25" xfId="0" applyNumberFormat="1" applyFont="1" applyBorder="1" applyAlignment="1">
      <alignment vertical="center"/>
    </xf>
    <xf numFmtId="169" fontId="0" fillId="0" borderId="164" xfId="1" applyNumberFormat="1" applyFont="1" applyBorder="1"/>
    <xf numFmtId="0" fontId="0" fillId="0" borderId="164" xfId="0" applyBorder="1"/>
    <xf numFmtId="0" fontId="21" fillId="2" borderId="0" xfId="5" applyFont="1" applyFill="1" applyAlignment="1">
      <alignment horizontal="left" vertical="center" wrapText="1"/>
    </xf>
    <xf numFmtId="3" fontId="21" fillId="2" borderId="0" xfId="5" applyNumberFormat="1" applyFont="1" applyFill="1" applyAlignment="1">
      <alignment horizontal="right" vertical="center" wrapText="1"/>
    </xf>
    <xf numFmtId="168" fontId="21" fillId="2" borderId="0" xfId="5" applyNumberFormat="1" applyFont="1" applyFill="1" applyAlignment="1">
      <alignment horizontal="right" vertical="center" wrapText="1"/>
    </xf>
    <xf numFmtId="3" fontId="21" fillId="3" borderId="26" xfId="5" applyNumberFormat="1" applyFont="1" applyFill="1" applyBorder="1" applyAlignment="1">
      <alignment horizontal="right" vertical="center" wrapText="1"/>
    </xf>
    <xf numFmtId="3" fontId="21" fillId="3" borderId="24" xfId="5" applyNumberFormat="1" applyFont="1" applyFill="1" applyBorder="1" applyAlignment="1">
      <alignment horizontal="right" vertical="center" wrapText="1"/>
    </xf>
    <xf numFmtId="3" fontId="21" fillId="3" borderId="25" xfId="5" applyNumberFormat="1" applyFont="1" applyFill="1" applyBorder="1" applyAlignment="1">
      <alignment horizontal="right" vertical="center" wrapText="1"/>
    </xf>
    <xf numFmtId="168" fontId="21" fillId="3" borderId="23" xfId="5" applyNumberFormat="1" applyFont="1" applyFill="1" applyBorder="1" applyAlignment="1">
      <alignment horizontal="right" vertical="center" wrapText="1"/>
    </xf>
    <xf numFmtId="168" fontId="21" fillId="3" borderId="25" xfId="5" applyNumberFormat="1" applyFont="1" applyFill="1" applyBorder="1" applyAlignment="1">
      <alignment horizontal="right" vertical="center" wrapText="1"/>
    </xf>
    <xf numFmtId="0" fontId="21" fillId="3" borderId="26" xfId="0" applyFont="1" applyFill="1" applyBorder="1" applyAlignment="1">
      <alignment horizontal="left" vertical="center" wrapText="1"/>
    </xf>
    <xf numFmtId="169" fontId="0" fillId="7" borderId="10" xfId="0" applyNumberFormat="1" applyFill="1" applyBorder="1"/>
    <xf numFmtId="3" fontId="0" fillId="0" borderId="13" xfId="0" applyNumberFormat="1" applyBorder="1" applyAlignment="1">
      <alignment horizontal="center"/>
    </xf>
    <xf numFmtId="188" fontId="0" fillId="0" borderId="10" xfId="0" applyNumberFormat="1" applyBorder="1"/>
    <xf numFmtId="14" fontId="57" fillId="0" borderId="0" xfId="3" applyNumberFormat="1" applyFont="1" applyAlignment="1">
      <alignment vertical="center"/>
    </xf>
    <xf numFmtId="169" fontId="0" fillId="0" borderId="10" xfId="1" applyNumberFormat="1" applyFont="1" applyFill="1" applyBorder="1"/>
    <xf numFmtId="169" fontId="0" fillId="0" borderId="11" xfId="1" applyNumberFormat="1" applyFont="1" applyFill="1" applyBorder="1"/>
    <xf numFmtId="0" fontId="57" fillId="0" borderId="0" xfId="3" applyFont="1" applyAlignment="1">
      <alignment vertical="center"/>
    </xf>
    <xf numFmtId="3" fontId="57" fillId="0" borderId="0" xfId="3" applyNumberFormat="1" applyFont="1" applyAlignment="1">
      <alignment vertical="center"/>
    </xf>
    <xf numFmtId="3" fontId="14" fillId="0" borderId="30" xfId="3" applyNumberFormat="1" applyFont="1" applyBorder="1" applyAlignment="1">
      <alignment vertical="center"/>
    </xf>
    <xf numFmtId="0" fontId="14" fillId="0" borderId="40" xfId="3" applyFont="1" applyBorder="1" applyAlignment="1">
      <alignment vertical="center"/>
    </xf>
    <xf numFmtId="3" fontId="12" fillId="0" borderId="0" xfId="3" applyNumberFormat="1" applyFont="1" applyAlignment="1">
      <alignment horizontal="center" vertical="center"/>
    </xf>
    <xf numFmtId="0" fontId="12" fillId="15" borderId="40" xfId="3" applyFont="1" applyFill="1" applyBorder="1" applyAlignment="1">
      <alignment vertical="center"/>
    </xf>
    <xf numFmtId="3" fontId="12" fillId="15" borderId="30" xfId="3" applyNumberFormat="1" applyFont="1" applyFill="1" applyBorder="1" applyAlignment="1">
      <alignment horizontal="center" vertical="center"/>
    </xf>
    <xf numFmtId="0" fontId="38" fillId="0" borderId="0" xfId="3" applyFont="1" applyAlignment="1">
      <alignment horizontal="left" vertical="center"/>
    </xf>
    <xf numFmtId="0" fontId="12" fillId="0" borderId="1" xfId="3" applyFont="1" applyBorder="1" applyAlignment="1">
      <alignment vertical="center"/>
    </xf>
    <xf numFmtId="3" fontId="67" fillId="0" borderId="27" xfId="14" applyNumberFormat="1" applyFont="1" applyBorder="1" applyAlignment="1">
      <alignment vertical="center"/>
    </xf>
    <xf numFmtId="3" fontId="67" fillId="15" borderId="59" xfId="14" applyNumberFormat="1" applyFont="1" applyFill="1" applyBorder="1" applyAlignment="1">
      <alignment vertical="center"/>
    </xf>
    <xf numFmtId="3" fontId="67" fillId="15" borderId="145" xfId="14" applyNumberFormat="1" applyFont="1" applyFill="1" applyBorder="1" applyAlignment="1">
      <alignment vertical="center" wrapText="1"/>
    </xf>
    <xf numFmtId="3" fontId="67" fillId="0" borderId="145" xfId="14" applyNumberFormat="1" applyFont="1" applyBorder="1" applyAlignment="1">
      <alignment vertical="center" wrapText="1"/>
    </xf>
    <xf numFmtId="168" fontId="67" fillId="15" borderId="59" xfId="14" applyNumberFormat="1" applyFont="1" applyFill="1" applyBorder="1" applyAlignment="1">
      <alignment vertical="center"/>
    </xf>
    <xf numFmtId="3" fontId="12" fillId="15" borderId="59" xfId="14" applyNumberFormat="1" applyFont="1" applyFill="1" applyBorder="1" applyAlignment="1">
      <alignment horizontal="center" vertical="center"/>
    </xf>
    <xf numFmtId="3" fontId="12" fillId="15" borderId="59" xfId="14" applyNumberFormat="1" applyFont="1" applyFill="1" applyBorder="1" applyAlignment="1">
      <alignment horizontal="right" vertical="center" indent="1"/>
    </xf>
    <xf numFmtId="3" fontId="12" fillId="15" borderId="26" xfId="14" applyNumberFormat="1" applyFont="1" applyFill="1" applyBorder="1" applyAlignment="1">
      <alignment horizontal="center" vertical="center"/>
    </xf>
    <xf numFmtId="3" fontId="12" fillId="15" borderId="26" xfId="14" applyNumberFormat="1" applyFont="1" applyFill="1" applyBorder="1" applyAlignment="1">
      <alignment horizontal="right" vertical="center" indent="1"/>
    </xf>
    <xf numFmtId="3" fontId="12" fillId="15" borderId="48" xfId="14" applyNumberFormat="1" applyFont="1" applyFill="1" applyBorder="1" applyAlignment="1">
      <alignment horizontal="center" vertical="center"/>
    </xf>
    <xf numFmtId="3" fontId="12" fillId="15" borderId="28" xfId="14" applyNumberFormat="1" applyFont="1" applyFill="1" applyBorder="1" applyAlignment="1">
      <alignment horizontal="center" vertical="center"/>
    </xf>
    <xf numFmtId="3" fontId="12" fillId="15" borderId="146" xfId="14" applyNumberFormat="1" applyFont="1" applyFill="1" applyBorder="1" applyAlignment="1">
      <alignment horizontal="center" vertical="center"/>
    </xf>
    <xf numFmtId="3" fontId="12" fillId="15" borderId="29" xfId="14" applyNumberFormat="1" applyFont="1" applyFill="1" applyBorder="1" applyAlignment="1">
      <alignment horizontal="center" vertical="center"/>
    </xf>
    <xf numFmtId="3" fontId="12" fillId="15" borderId="40" xfId="14" applyNumberFormat="1" applyFont="1" applyFill="1" applyBorder="1" applyAlignment="1">
      <alignment horizontal="center" vertical="center"/>
    </xf>
    <xf numFmtId="3" fontId="12" fillId="15" borderId="31" xfId="14" applyNumberFormat="1" applyFont="1" applyFill="1" applyBorder="1" applyAlignment="1">
      <alignment horizontal="center" vertical="center"/>
    </xf>
    <xf numFmtId="3" fontId="12" fillId="0" borderId="146" xfId="14" applyNumberFormat="1" applyFont="1" applyBorder="1" applyAlignment="1">
      <alignment horizontal="center" vertical="center"/>
    </xf>
    <xf numFmtId="3" fontId="12" fillId="15" borderId="23" xfId="14" applyNumberFormat="1" applyFont="1" applyFill="1" applyBorder="1" applyAlignment="1">
      <alignment horizontal="center" vertical="center"/>
    </xf>
    <xf numFmtId="3" fontId="12" fillId="0" borderId="29" xfId="14" applyNumberFormat="1" applyFont="1" applyBorder="1" applyAlignment="1">
      <alignment horizontal="center" vertical="center"/>
    </xf>
    <xf numFmtId="3" fontId="12" fillId="15" borderId="25" xfId="14" applyNumberFormat="1" applyFont="1" applyFill="1" applyBorder="1" applyAlignment="1">
      <alignment horizontal="center" vertical="center"/>
    </xf>
    <xf numFmtId="3" fontId="12" fillId="0" borderId="23" xfId="14" applyNumberFormat="1" applyFont="1" applyBorder="1" applyAlignment="1">
      <alignment horizontal="center" vertical="center"/>
    </xf>
    <xf numFmtId="3" fontId="12" fillId="0" borderId="25" xfId="14" applyNumberFormat="1" applyFont="1" applyBorder="1" applyAlignment="1">
      <alignment horizontal="center" vertical="center"/>
    </xf>
    <xf numFmtId="3" fontId="12" fillId="0" borderId="26" xfId="14" applyNumberFormat="1" applyFont="1" applyBorder="1" applyAlignment="1">
      <alignment horizontal="center" vertical="center"/>
    </xf>
    <xf numFmtId="3" fontId="12" fillId="0" borderId="26" xfId="14" applyNumberFormat="1" applyFont="1" applyBorder="1" applyAlignment="1">
      <alignment horizontal="right" vertical="center" indent="1"/>
    </xf>
    <xf numFmtId="0" fontId="18" fillId="2" borderId="26" xfId="4" applyFont="1" applyFill="1" applyBorder="1" applyAlignment="1">
      <alignment horizontal="left" vertical="center"/>
    </xf>
    <xf numFmtId="3" fontId="18" fillId="0" borderId="26" xfId="4" applyNumberFormat="1" applyFont="1" applyBorder="1" applyAlignment="1">
      <alignment horizontal="right" vertical="center"/>
    </xf>
    <xf numFmtId="168" fontId="18" fillId="0" borderId="25" xfId="4" applyNumberFormat="1" applyFont="1" applyBorder="1" applyAlignment="1">
      <alignment horizontal="right" vertical="center"/>
    </xf>
    <xf numFmtId="3" fontId="18" fillId="3" borderId="26" xfId="4" applyNumberFormat="1" applyFont="1" applyFill="1" applyBorder="1" applyAlignment="1">
      <alignment horizontal="right" vertical="center"/>
    </xf>
    <xf numFmtId="172" fontId="18" fillId="0" borderId="145" xfId="0" applyNumberFormat="1" applyFont="1" applyBorder="1" applyAlignment="1">
      <alignment horizontal="right" vertical="center"/>
    </xf>
    <xf numFmtId="168" fontId="18" fillId="3" borderId="26" xfId="4" applyNumberFormat="1" applyFont="1" applyFill="1" applyBorder="1" applyAlignment="1">
      <alignment horizontal="right" vertical="center" wrapText="1"/>
    </xf>
    <xf numFmtId="3" fontId="12" fillId="3" borderId="26" xfId="0" applyNumberFormat="1" applyFont="1" applyFill="1" applyBorder="1" applyAlignment="1">
      <alignment horizontal="left" vertical="center" wrapText="1"/>
    </xf>
    <xf numFmtId="0" fontId="54" fillId="0" borderId="26" xfId="0" applyFont="1" applyBorder="1" applyAlignment="1">
      <alignment vertical="center" wrapText="1"/>
    </xf>
    <xf numFmtId="170" fontId="18" fillId="0" borderId="26" xfId="4" applyNumberFormat="1" applyFont="1" applyBorder="1" applyAlignment="1">
      <alignment horizontal="right" vertical="center"/>
    </xf>
    <xf numFmtId="170" fontId="18" fillId="0" borderId="25" xfId="4" applyNumberFormat="1" applyFont="1" applyBorder="1" applyAlignment="1">
      <alignment horizontal="right" vertical="center"/>
    </xf>
    <xf numFmtId="168" fontId="18" fillId="3" borderId="26" xfId="0" quotePrefix="1" applyNumberFormat="1" applyFont="1" applyFill="1" applyBorder="1" applyAlignment="1">
      <alignment horizontal="right" vertical="center"/>
    </xf>
    <xf numFmtId="0" fontId="54" fillId="0" borderId="26" xfId="0" applyFont="1" applyBorder="1" applyAlignment="1">
      <alignment vertical="center"/>
    </xf>
    <xf numFmtId="3" fontId="18" fillId="3" borderId="26" xfId="0" applyNumberFormat="1" applyFont="1" applyFill="1" applyBorder="1" applyAlignment="1">
      <alignment horizontal="right" vertical="center"/>
    </xf>
    <xf numFmtId="168" fontId="18" fillId="3" borderId="26" xfId="0" applyNumberFormat="1" applyFont="1" applyFill="1" applyBorder="1" applyAlignment="1">
      <alignment horizontal="right" vertical="center"/>
    </xf>
    <xf numFmtId="168" fontId="18" fillId="3" borderId="25" xfId="0" applyNumberFormat="1" applyFont="1" applyFill="1" applyBorder="1" applyAlignment="1">
      <alignment horizontal="right" vertical="center"/>
    </xf>
    <xf numFmtId="3" fontId="12" fillId="0" borderId="26" xfId="0" applyNumberFormat="1" applyFont="1" applyBorder="1" applyAlignment="1">
      <alignment horizontal="left" vertical="center" wrapText="1"/>
    </xf>
    <xf numFmtId="168" fontId="18" fillId="0" borderId="26" xfId="0" applyNumberFormat="1" applyFont="1" applyBorder="1" applyAlignment="1">
      <alignment horizontal="right" vertical="center"/>
    </xf>
    <xf numFmtId="168" fontId="18" fillId="0" borderId="25" xfId="0" applyNumberFormat="1" applyFont="1" applyBorder="1" applyAlignment="1">
      <alignment horizontal="right" vertical="center"/>
    </xf>
    <xf numFmtId="3" fontId="18" fillId="0" borderId="26" xfId="5" applyNumberFormat="1" applyBorder="1" applyAlignment="1">
      <alignment horizontal="right" vertical="center"/>
    </xf>
    <xf numFmtId="3" fontId="21" fillId="3" borderId="26" xfId="0" applyNumberFormat="1" applyFont="1" applyFill="1" applyBorder="1" applyAlignment="1">
      <alignment horizontal="left" vertical="center"/>
    </xf>
    <xf numFmtId="0" fontId="14" fillId="15" borderId="146" xfId="3" applyFont="1" applyFill="1" applyBorder="1" applyAlignment="1">
      <alignment vertical="center"/>
    </xf>
    <xf numFmtId="0" fontId="14" fillId="15" borderId="0" xfId="3" applyFont="1" applyFill="1" applyAlignment="1">
      <alignment vertical="center"/>
    </xf>
    <xf numFmtId="3" fontId="12" fillId="15" borderId="0" xfId="3" applyNumberFormat="1" applyFont="1" applyFill="1" applyAlignment="1">
      <alignment horizontal="center" vertical="center"/>
    </xf>
    <xf numFmtId="0" fontId="21" fillId="3" borderId="26" xfId="4" applyFont="1" applyFill="1" applyBorder="1" applyAlignment="1">
      <alignment horizontal="left" vertical="center"/>
    </xf>
    <xf numFmtId="0" fontId="18" fillId="3" borderId="26" xfId="4" applyFont="1" applyFill="1" applyBorder="1" applyAlignment="1">
      <alignment horizontal="left" vertical="center"/>
    </xf>
    <xf numFmtId="0" fontId="14" fillId="0" borderId="2" xfId="0" applyFont="1" applyBorder="1" applyAlignment="1">
      <alignment horizontal="center" vertical="center"/>
    </xf>
    <xf numFmtId="3" fontId="0" fillId="0" borderId="10" xfId="14" applyNumberFormat="1" applyFont="1" applyBorder="1" applyAlignment="1">
      <alignment horizontal="center" vertical="center"/>
    </xf>
    <xf numFmtId="14" fontId="67" fillId="0" borderId="0" xfId="14" applyNumberFormat="1" applyFont="1" applyAlignment="1">
      <alignment horizontal="right" vertical="center"/>
    </xf>
    <xf numFmtId="14" fontId="125" fillId="0" borderId="0" xfId="14" applyNumberFormat="1" applyFont="1" applyAlignment="1">
      <alignment horizontal="left" vertical="center"/>
    </xf>
    <xf numFmtId="14" fontId="125" fillId="0" borderId="0" xfId="14" applyNumberFormat="1" applyFont="1" applyAlignment="1">
      <alignment horizontal="right" vertical="center"/>
    </xf>
    <xf numFmtId="169" fontId="0" fillId="7" borderId="9" xfId="1" applyNumberFormat="1" applyFont="1" applyFill="1" applyBorder="1" applyAlignment="1">
      <alignment horizontal="center"/>
    </xf>
    <xf numFmtId="169" fontId="18" fillId="7" borderId="10" xfId="1" applyNumberFormat="1" applyFont="1" applyFill="1" applyBorder="1" applyAlignment="1">
      <alignment horizontal="center"/>
    </xf>
    <xf numFmtId="169" fontId="18" fillId="7" borderId="11" xfId="1" applyNumberFormat="1" applyFont="1" applyFill="1" applyBorder="1" applyAlignment="1">
      <alignment horizontal="center"/>
    </xf>
    <xf numFmtId="169" fontId="0" fillId="0" borderId="9" xfId="1" applyNumberFormat="1" applyFont="1" applyBorder="1" applyAlignment="1">
      <alignment horizontal="center"/>
    </xf>
    <xf numFmtId="169" fontId="0" fillId="0" borderId="10" xfId="1" applyNumberFormat="1" applyFont="1" applyBorder="1" applyAlignment="1">
      <alignment horizontal="center"/>
    </xf>
    <xf numFmtId="169" fontId="0" fillId="0" borderId="11" xfId="1" applyNumberFormat="1" applyFont="1" applyBorder="1" applyAlignment="1">
      <alignment horizontal="center"/>
    </xf>
    <xf numFmtId="14" fontId="89" fillId="0" borderId="0" xfId="14" applyNumberFormat="1" applyFont="1"/>
    <xf numFmtId="14" fontId="46" fillId="0" borderId="0" xfId="14" applyNumberFormat="1" applyFont="1" applyAlignment="1">
      <alignment horizontal="right" vertical="center"/>
    </xf>
    <xf numFmtId="0" fontId="0" fillId="51" borderId="10" xfId="0" applyFill="1" applyBorder="1"/>
    <xf numFmtId="0" fontId="18" fillId="0" borderId="0" xfId="4" applyFont="1" applyAlignment="1">
      <alignment horizontal="left" vertical="center" wrapText="1"/>
    </xf>
    <xf numFmtId="0" fontId="18" fillId="2" borderId="27" xfId="4" applyFont="1" applyFill="1" applyBorder="1" applyAlignment="1">
      <alignment horizontal="center" vertical="center" wrapText="1"/>
    </xf>
    <xf numFmtId="0" fontId="18" fillId="3" borderId="145" xfId="4" applyFont="1" applyFill="1" applyBorder="1" applyAlignment="1">
      <alignment horizontal="center" vertical="center" wrapText="1"/>
    </xf>
    <xf numFmtId="0" fontId="18" fillId="2" borderId="145" xfId="4" applyFont="1" applyFill="1" applyBorder="1" applyAlignment="1">
      <alignment horizontal="center" vertical="center" wrapText="1"/>
    </xf>
    <xf numFmtId="0" fontId="18" fillId="3" borderId="59" xfId="4" applyFont="1" applyFill="1" applyBorder="1" applyAlignment="1">
      <alignment horizontal="center" vertical="center" wrapText="1"/>
    </xf>
    <xf numFmtId="170" fontId="18" fillId="3" borderId="146" xfId="4" applyNumberFormat="1" applyFont="1" applyFill="1" applyBorder="1" applyAlignment="1">
      <alignment horizontal="right" vertical="center"/>
    </xf>
    <xf numFmtId="170" fontId="18" fillId="3" borderId="145" xfId="4" applyNumberFormat="1" applyFont="1" applyFill="1" applyBorder="1" applyAlignment="1">
      <alignment horizontal="right" vertical="center" wrapText="1"/>
    </xf>
    <xf numFmtId="2" fontId="0" fillId="0" borderId="29" xfId="0" applyNumberFormat="1" applyBorder="1"/>
    <xf numFmtId="2" fontId="0" fillId="0" borderId="18" xfId="0" applyNumberFormat="1" applyBorder="1"/>
    <xf numFmtId="2" fontId="0" fillId="7" borderId="10" xfId="0" applyNumberFormat="1" applyFill="1" applyBorder="1"/>
    <xf numFmtId="4" fontId="18" fillId="3" borderId="27" xfId="4" applyNumberFormat="1" applyFont="1" applyFill="1" applyBorder="1" applyAlignment="1">
      <alignment horizontal="center" vertical="center"/>
    </xf>
    <xf numFmtId="0" fontId="18" fillId="3" borderId="165" xfId="4" applyFont="1" applyFill="1" applyBorder="1" applyAlignment="1">
      <alignment horizontal="left" vertical="center" wrapText="1"/>
    </xf>
    <xf numFmtId="0" fontId="18" fillId="2" borderId="165" xfId="4" applyFont="1" applyFill="1" applyBorder="1" applyAlignment="1">
      <alignment horizontal="left" vertical="center" wrapText="1"/>
    </xf>
    <xf numFmtId="0" fontId="18" fillId="3" borderId="166" xfId="4" applyFont="1" applyFill="1" applyBorder="1" applyAlignment="1">
      <alignment horizontal="left" vertical="center" wrapText="1"/>
    </xf>
    <xf numFmtId="0" fontId="18" fillId="2" borderId="166" xfId="4" applyFont="1" applyFill="1" applyBorder="1" applyAlignment="1">
      <alignment horizontal="left" vertical="center" wrapText="1"/>
    </xf>
    <xf numFmtId="170" fontId="127" fillId="0" borderId="166" xfId="857" applyNumberFormat="1" applyFont="1" applyBorder="1"/>
    <xf numFmtId="170" fontId="127" fillId="0" borderId="59" xfId="857" applyNumberFormat="1" applyFont="1" applyBorder="1"/>
    <xf numFmtId="170" fontId="127" fillId="0" borderId="27" xfId="857" applyNumberFormat="1" applyFont="1" applyBorder="1"/>
    <xf numFmtId="0" fontId="13" fillId="50" borderId="11" xfId="0" applyFont="1" applyFill="1" applyBorder="1"/>
    <xf numFmtId="169" fontId="13" fillId="50" borderId="11" xfId="0" applyNumberFormat="1" applyFont="1" applyFill="1" applyBorder="1"/>
    <xf numFmtId="168" fontId="14" fillId="0" borderId="27" xfId="1" applyNumberFormat="1" applyFont="1" applyBorder="1" applyAlignment="1">
      <alignment vertical="center"/>
    </xf>
    <xf numFmtId="168" fontId="14" fillId="0" borderId="145" xfId="1" applyNumberFormat="1" applyFont="1" applyBorder="1" applyAlignment="1">
      <alignment vertical="center"/>
    </xf>
    <xf numFmtId="168" fontId="12" fillId="0" borderId="145" xfId="1" applyNumberFormat="1" applyFont="1" applyBorder="1" applyAlignment="1">
      <alignment vertical="center"/>
    </xf>
    <xf numFmtId="168" fontId="21" fillId="0" borderId="145" xfId="1" applyNumberFormat="1" applyFont="1" applyBorder="1" applyAlignment="1">
      <alignment vertical="center"/>
    </xf>
    <xf numFmtId="168" fontId="12" fillId="0" borderId="59" xfId="1" applyNumberFormat="1" applyFont="1" applyBorder="1" applyAlignment="1">
      <alignment vertical="center"/>
    </xf>
    <xf numFmtId="0" fontId="0" fillId="51" borderId="0" xfId="0" applyFill="1"/>
    <xf numFmtId="0" fontId="26" fillId="51" borderId="0" xfId="0" applyFont="1" applyFill="1" applyAlignment="1">
      <alignment vertical="center"/>
    </xf>
    <xf numFmtId="0" fontId="0" fillId="51" borderId="32" xfId="0" applyFill="1" applyBorder="1" applyAlignment="1">
      <alignment horizontal="center" vertical="center" wrapText="1"/>
    </xf>
    <xf numFmtId="0" fontId="0" fillId="51" borderId="75" xfId="0" applyFill="1" applyBorder="1" applyAlignment="1">
      <alignment horizontal="center" vertical="center" wrapText="1"/>
    </xf>
    <xf numFmtId="0" fontId="0" fillId="51" borderId="68" xfId="0" applyFill="1" applyBorder="1" applyAlignment="1">
      <alignment horizontal="center" vertical="center" wrapText="1"/>
    </xf>
    <xf numFmtId="0" fontId="46" fillId="51" borderId="32" xfId="0" applyFont="1" applyFill="1" applyBorder="1" applyAlignment="1">
      <alignment wrapText="1"/>
    </xf>
    <xf numFmtId="168" fontId="21" fillId="51" borderId="61" xfId="0" applyNumberFormat="1" applyFont="1" applyFill="1" applyBorder="1" applyAlignment="1">
      <alignment horizontal="left" vertical="center" wrapText="1"/>
    </xf>
    <xf numFmtId="0" fontId="29" fillId="51" borderId="61" xfId="0" applyFont="1" applyFill="1" applyBorder="1" applyAlignment="1">
      <alignment horizontal="left" wrapText="1"/>
    </xf>
    <xf numFmtId="0" fontId="46" fillId="51" borderId="61" xfId="0" applyFont="1" applyFill="1" applyBorder="1" applyAlignment="1">
      <alignment wrapText="1"/>
    </xf>
    <xf numFmtId="0" fontId="46" fillId="51" borderId="61" xfId="0" applyFont="1" applyFill="1" applyBorder="1" applyAlignment="1">
      <alignment horizontal="left" wrapText="1"/>
    </xf>
    <xf numFmtId="0" fontId="29" fillId="51" borderId="61" xfId="0" applyFont="1" applyFill="1" applyBorder="1" applyAlignment="1">
      <alignment wrapText="1"/>
    </xf>
    <xf numFmtId="0" fontId="46" fillId="51" borderId="68" xfId="0" applyFont="1" applyFill="1" applyBorder="1" applyAlignment="1">
      <alignment wrapText="1"/>
    </xf>
    <xf numFmtId="0" fontId="20" fillId="51" borderId="2" xfId="4" applyFont="1" applyFill="1" applyBorder="1" applyAlignment="1">
      <alignment horizontal="center" vertical="center" wrapText="1"/>
    </xf>
    <xf numFmtId="0" fontId="0" fillId="51" borderId="16" xfId="0" applyFill="1" applyBorder="1"/>
    <xf numFmtId="0" fontId="0" fillId="51" borderId="17" xfId="0" applyFill="1" applyBorder="1"/>
    <xf numFmtId="170" fontId="12" fillId="15" borderId="1" xfId="3" applyNumberFormat="1" applyFont="1" applyFill="1" applyBorder="1" applyAlignment="1">
      <alignment horizontal="center" vertical="center"/>
    </xf>
    <xf numFmtId="170" fontId="12" fillId="15" borderId="28" xfId="3" applyNumberFormat="1" applyFont="1" applyFill="1" applyBorder="1" applyAlignment="1">
      <alignment horizontal="center" vertical="center"/>
    </xf>
    <xf numFmtId="170" fontId="12" fillId="0" borderId="0" xfId="3" applyNumberFormat="1" applyFont="1" applyAlignment="1">
      <alignment horizontal="center" vertical="center"/>
    </xf>
    <xf numFmtId="170" fontId="12" fillId="0" borderId="29" xfId="3" applyNumberFormat="1" applyFont="1" applyBorder="1" applyAlignment="1">
      <alignment horizontal="center" vertical="center"/>
    </xf>
    <xf numFmtId="170" fontId="12" fillId="15" borderId="0" xfId="3" applyNumberFormat="1" applyFont="1" applyFill="1" applyAlignment="1">
      <alignment horizontal="center" vertical="center"/>
    </xf>
    <xf numFmtId="170" fontId="12" fillId="15" borderId="29" xfId="3" applyNumberFormat="1" applyFont="1" applyFill="1" applyBorder="1" applyAlignment="1">
      <alignment horizontal="center" vertical="center"/>
    </xf>
    <xf numFmtId="170" fontId="0" fillId="0" borderId="0" xfId="3" applyNumberFormat="1" applyFont="1" applyAlignment="1">
      <alignment horizontal="center" vertical="center"/>
    </xf>
    <xf numFmtId="170" fontId="18" fillId="0" borderId="0" xfId="3" applyNumberFormat="1" applyFont="1" applyAlignment="1">
      <alignment horizontal="center" vertical="center"/>
    </xf>
    <xf numFmtId="170" fontId="18" fillId="0" borderId="29" xfId="3" applyNumberFormat="1" applyFont="1" applyBorder="1" applyAlignment="1">
      <alignment horizontal="center" vertical="center"/>
    </xf>
    <xf numFmtId="170" fontId="18" fillId="15" borderId="0" xfId="3" applyNumberFormat="1" applyFont="1" applyFill="1" applyAlignment="1">
      <alignment horizontal="center" vertical="center"/>
    </xf>
    <xf numFmtId="170" fontId="18" fillId="15" borderId="29" xfId="3" applyNumberFormat="1" applyFont="1" applyFill="1" applyBorder="1" applyAlignment="1">
      <alignment horizontal="center" vertical="center"/>
    </xf>
    <xf numFmtId="170" fontId="12" fillId="0" borderId="30" xfId="3" applyNumberFormat="1" applyFont="1" applyBorder="1" applyAlignment="1">
      <alignment horizontal="center" vertical="center"/>
    </xf>
    <xf numFmtId="170" fontId="18" fillId="0" borderId="30" xfId="3" applyNumberFormat="1" applyFont="1" applyBorder="1" applyAlignment="1">
      <alignment horizontal="center" vertical="center"/>
    </xf>
    <xf numFmtId="170" fontId="18" fillId="0" borderId="31" xfId="3" applyNumberFormat="1" applyFont="1" applyBorder="1" applyAlignment="1">
      <alignment horizontal="center" vertical="center"/>
    </xf>
    <xf numFmtId="3" fontId="67" fillId="15" borderId="28" xfId="3" applyNumberFormat="1" applyFont="1" applyFill="1" applyBorder="1" applyAlignment="1">
      <alignment horizontal="right" vertical="center"/>
    </xf>
    <xf numFmtId="3" fontId="67" fillId="15" borderId="59" xfId="14" applyNumberFormat="1" applyFont="1" applyFill="1" applyBorder="1" applyAlignment="1">
      <alignment horizontal="right" vertical="center"/>
    </xf>
    <xf numFmtId="168" fontId="54" fillId="0" borderId="23" xfId="0" applyNumberFormat="1" applyFont="1" applyBorder="1" applyAlignment="1">
      <alignment horizontal="right" vertical="center"/>
    </xf>
    <xf numFmtId="168" fontId="54" fillId="0" borderId="26" xfId="0" applyNumberFormat="1" applyFont="1" applyBorder="1" applyAlignment="1">
      <alignment horizontal="right" vertical="center"/>
    </xf>
    <xf numFmtId="14" fontId="67" fillId="0" borderId="0" xfId="14" applyNumberFormat="1" applyFont="1" applyAlignment="1">
      <alignment vertical="center"/>
    </xf>
    <xf numFmtId="170" fontId="18" fillId="3" borderId="23" xfId="4" applyNumberFormat="1" applyFont="1" applyFill="1" applyBorder="1" applyAlignment="1">
      <alignment horizontal="right" vertical="top" wrapText="1"/>
    </xf>
    <xf numFmtId="168" fontId="12" fillId="15" borderId="1" xfId="3" applyNumberFormat="1" applyFont="1" applyFill="1" applyBorder="1" applyAlignment="1">
      <alignment vertical="center"/>
    </xf>
    <xf numFmtId="168" fontId="12" fillId="15" borderId="28" xfId="3" applyNumberFormat="1" applyFont="1" applyFill="1" applyBorder="1" applyAlignment="1">
      <alignment vertical="center"/>
    </xf>
    <xf numFmtId="168" fontId="12" fillId="0" borderId="29" xfId="3" applyNumberFormat="1" applyFont="1" applyBorder="1" applyAlignment="1">
      <alignment vertical="center"/>
    </xf>
    <xf numFmtId="168" fontId="12" fillId="15" borderId="0" xfId="3" applyNumberFormat="1" applyFont="1" applyFill="1" applyAlignment="1">
      <alignment vertical="center"/>
    </xf>
    <xf numFmtId="168" fontId="12" fillId="15" borderId="29" xfId="3" applyNumberFormat="1" applyFont="1" applyFill="1" applyBorder="1" applyAlignment="1">
      <alignment vertical="center"/>
    </xf>
    <xf numFmtId="168" fontId="12" fillId="0" borderId="31" xfId="3" applyNumberFormat="1" applyFont="1" applyBorder="1" applyAlignment="1">
      <alignment vertical="center"/>
    </xf>
    <xf numFmtId="0" fontId="0" fillId="7" borderId="9" xfId="0" applyFill="1" applyBorder="1"/>
    <xf numFmtId="1" fontId="0" fillId="0" borderId="21" xfId="0" applyNumberFormat="1" applyBorder="1"/>
    <xf numFmtId="0" fontId="128" fillId="0" borderId="74" xfId="0" applyFont="1" applyBorder="1" applyAlignment="1">
      <alignment horizontal="center" vertical="center" wrapText="1"/>
    </xf>
    <xf numFmtId="0" fontId="128" fillId="0" borderId="51" xfId="0" applyFont="1" applyBorder="1" applyAlignment="1">
      <alignment horizontal="center" vertical="center" wrapText="1"/>
    </xf>
    <xf numFmtId="0" fontId="27" fillId="0" borderId="68" xfId="0" applyFont="1" applyBorder="1" applyAlignment="1">
      <alignment horizontal="center" vertical="center" wrapText="1"/>
    </xf>
    <xf numFmtId="0" fontId="0" fillId="0" borderId="9" xfId="0" applyBorder="1" applyAlignment="1">
      <alignment horizontal="right"/>
    </xf>
    <xf numFmtId="0" fontId="0" fillId="0" borderId="10" xfId="0" applyBorder="1" applyAlignment="1">
      <alignment horizontal="right"/>
    </xf>
    <xf numFmtId="0" fontId="0" fillId="0" borderId="11" xfId="0" applyBorder="1" applyAlignment="1">
      <alignment horizontal="right"/>
    </xf>
    <xf numFmtId="0" fontId="26" fillId="2" borderId="0" xfId="5" applyFont="1" applyFill="1" applyAlignment="1">
      <alignment horizontal="left" vertical="center"/>
    </xf>
    <xf numFmtId="168" fontId="18" fillId="0" borderId="166" xfId="5" applyNumberFormat="1" applyBorder="1" applyAlignment="1">
      <alignment horizontal="right" vertical="center"/>
    </xf>
    <xf numFmtId="170" fontId="18" fillId="3" borderId="166" xfId="5" applyNumberFormat="1" applyFill="1" applyBorder="1" applyAlignment="1">
      <alignment horizontal="right" vertical="center" wrapText="1"/>
    </xf>
    <xf numFmtId="168" fontId="18" fillId="3" borderId="166" xfId="5" applyNumberFormat="1" applyFill="1" applyBorder="1" applyAlignment="1">
      <alignment horizontal="right" vertical="center"/>
    </xf>
    <xf numFmtId="168" fontId="18" fillId="3" borderId="27" xfId="5" applyNumberFormat="1" applyFill="1" applyBorder="1" applyAlignment="1">
      <alignment horizontal="right" vertical="center"/>
    </xf>
    <xf numFmtId="170" fontId="18" fillId="0" borderId="166" xfId="5" applyNumberFormat="1" applyBorder="1" applyAlignment="1">
      <alignment horizontal="right" vertical="center" wrapText="1"/>
    </xf>
    <xf numFmtId="169" fontId="18" fillId="3" borderId="146" xfId="1" applyNumberFormat="1" applyFont="1" applyFill="1" applyBorder="1" applyAlignment="1">
      <alignment horizontal="right" vertical="center" wrapText="1"/>
    </xf>
    <xf numFmtId="0" fontId="21" fillId="0" borderId="27" xfId="5" applyFont="1" applyBorder="1" applyAlignment="1">
      <alignment horizontal="center" wrapText="1"/>
    </xf>
    <xf numFmtId="3" fontId="18" fillId="3" borderId="27" xfId="4" applyNumberFormat="1" applyFont="1" applyFill="1" applyBorder="1" applyAlignment="1">
      <alignment vertical="center"/>
    </xf>
    <xf numFmtId="0" fontId="18" fillId="0" borderId="27" xfId="5" applyBorder="1" applyAlignment="1">
      <alignment vertical="center" wrapText="1"/>
    </xf>
    <xf numFmtId="168" fontId="12" fillId="0" borderId="0" xfId="1" applyNumberFormat="1" applyFont="1" applyBorder="1" applyAlignment="1">
      <alignment horizontal="right" vertical="center"/>
    </xf>
    <xf numFmtId="0" fontId="46" fillId="13" borderId="167" xfId="0" applyFont="1" applyFill="1" applyBorder="1"/>
    <xf numFmtId="0" fontId="21" fillId="3" borderId="26" xfId="0" applyFont="1" applyFill="1" applyBorder="1" applyAlignment="1">
      <alignment horizontal="left" vertical="center"/>
    </xf>
    <xf numFmtId="168" fontId="14" fillId="3" borderId="146" xfId="0" applyNumberFormat="1" applyFont="1" applyFill="1" applyBorder="1" applyAlignment="1">
      <alignment vertical="center"/>
    </xf>
    <xf numFmtId="0" fontId="29" fillId="0" borderId="113" xfId="0" applyFont="1" applyBorder="1" applyAlignment="1">
      <alignment wrapText="1"/>
    </xf>
    <xf numFmtId="168" fontId="18" fillId="12" borderId="27" xfId="0" applyNumberFormat="1" applyFont="1" applyFill="1" applyBorder="1" applyAlignment="1">
      <alignment vertical="center"/>
    </xf>
    <xf numFmtId="0" fontId="46" fillId="13" borderId="168" xfId="0" applyFont="1" applyFill="1" applyBorder="1" applyAlignment="1">
      <alignment wrapText="1"/>
    </xf>
    <xf numFmtId="168" fontId="46" fillId="13" borderId="169" xfId="0" applyNumberFormat="1" applyFont="1" applyFill="1" applyBorder="1" applyAlignment="1">
      <alignment vertical="center"/>
    </xf>
    <xf numFmtId="0" fontId="46" fillId="0" borderId="114" xfId="0" applyFont="1" applyBorder="1" applyAlignment="1">
      <alignment wrapText="1"/>
    </xf>
    <xf numFmtId="168" fontId="46" fillId="0" borderId="115" xfId="0" applyNumberFormat="1" applyFont="1" applyBorder="1" applyAlignment="1">
      <alignment vertical="center"/>
    </xf>
    <xf numFmtId="3" fontId="99" fillId="0" borderId="1" xfId="218" applyNumberFormat="1" applyBorder="1" applyAlignment="1">
      <alignment vertical="center"/>
    </xf>
    <xf numFmtId="3" fontId="99" fillId="0" borderId="0" xfId="218" applyNumberFormat="1" applyAlignment="1">
      <alignment vertical="center"/>
    </xf>
    <xf numFmtId="3" fontId="0" fillId="0" borderId="10" xfId="0" applyNumberFormat="1" applyBorder="1" applyAlignment="1">
      <alignment horizontal="right"/>
    </xf>
    <xf numFmtId="0" fontId="129" fillId="17" borderId="13" xfId="4" applyFont="1" applyFill="1" applyBorder="1" applyAlignment="1">
      <alignment horizontal="center" vertical="center"/>
    </xf>
    <xf numFmtId="0" fontId="102" fillId="17" borderId="0" xfId="0" applyFont="1" applyFill="1"/>
    <xf numFmtId="3" fontId="0" fillId="3" borderId="26" xfId="0" applyNumberFormat="1" applyFill="1" applyBorder="1" applyAlignment="1">
      <alignment horizontal="left" vertical="center" wrapText="1"/>
    </xf>
    <xf numFmtId="171" fontId="12" fillId="0" borderId="0" xfId="0" applyNumberFormat="1" applyFont="1" applyAlignment="1">
      <alignment vertical="center"/>
    </xf>
    <xf numFmtId="0" fontId="0" fillId="0" borderId="18" xfId="0" applyBorder="1" applyAlignment="1">
      <alignment horizontal="right"/>
    </xf>
    <xf numFmtId="0" fontId="0" fillId="0" borderId="9" xfId="0" applyBorder="1" applyAlignment="1">
      <alignment horizontal="center" vertical="center" wrapText="1"/>
    </xf>
    <xf numFmtId="0" fontId="96" fillId="0" borderId="0" xfId="14" applyFont="1"/>
    <xf numFmtId="0" fontId="13" fillId="0" borderId="10" xfId="0" applyFont="1" applyBorder="1"/>
    <xf numFmtId="2" fontId="0" fillId="0" borderId="15" xfId="0" applyNumberFormat="1" applyBorder="1" applyProtection="1">
      <protection locked="0"/>
    </xf>
    <xf numFmtId="2" fontId="0" fillId="0" borderId="16" xfId="0" applyNumberFormat="1" applyBorder="1" applyProtection="1">
      <protection locked="0"/>
    </xf>
    <xf numFmtId="2" fontId="0" fillId="0" borderId="17" xfId="0" applyNumberFormat="1" applyBorder="1" applyProtection="1">
      <protection locked="0"/>
    </xf>
    <xf numFmtId="1" fontId="0" fillId="0" borderId="6" xfId="0" applyNumberFormat="1" applyBorder="1" applyProtection="1">
      <protection locked="0"/>
    </xf>
    <xf numFmtId="1" fontId="0" fillId="0" borderId="7" xfId="0" applyNumberFormat="1" applyBorder="1" applyProtection="1">
      <protection locked="0"/>
    </xf>
    <xf numFmtId="1" fontId="102" fillId="17" borderId="7" xfId="0" applyNumberFormat="1" applyFont="1" applyFill="1" applyBorder="1" applyProtection="1">
      <protection locked="0"/>
    </xf>
    <xf numFmtId="1" fontId="0" fillId="0" borderId="8" xfId="0" applyNumberFormat="1" applyBorder="1" applyProtection="1">
      <protection locked="0"/>
    </xf>
    <xf numFmtId="1" fontId="0" fillId="0" borderId="9" xfId="0" applyNumberFormat="1" applyBorder="1" applyProtection="1">
      <protection locked="0"/>
    </xf>
    <xf numFmtId="1" fontId="0" fillId="0" borderId="10" xfId="0" applyNumberFormat="1" applyBorder="1" applyProtection="1">
      <protection locked="0"/>
    </xf>
    <xf numFmtId="1" fontId="102" fillId="17" borderId="10" xfId="0" applyNumberFormat="1" applyFont="1" applyFill="1" applyBorder="1" applyProtection="1">
      <protection locked="0"/>
    </xf>
    <xf numFmtId="1" fontId="0" fillId="0" borderId="11" xfId="0" applyNumberFormat="1" applyBorder="1" applyProtection="1">
      <protection locked="0"/>
    </xf>
    <xf numFmtId="1" fontId="0" fillId="0" borderId="12" xfId="0" applyNumberFormat="1" applyBorder="1" applyProtection="1">
      <protection locked="0"/>
    </xf>
    <xf numFmtId="1" fontId="0" fillId="0" borderId="13" xfId="0" applyNumberFormat="1" applyBorder="1" applyProtection="1">
      <protection locked="0"/>
    </xf>
    <xf numFmtId="1" fontId="102" fillId="17" borderId="13" xfId="0" applyNumberFormat="1" applyFont="1" applyFill="1" applyBorder="1" applyProtection="1">
      <protection locked="0"/>
    </xf>
    <xf numFmtId="1" fontId="0" fillId="0" borderId="14" xfId="0" applyNumberFormat="1" applyBorder="1" applyProtection="1">
      <protection locked="0"/>
    </xf>
    <xf numFmtId="170" fontId="14" fillId="0" borderId="27" xfId="1" applyNumberFormat="1" applyFont="1" applyBorder="1" applyAlignment="1">
      <alignment horizontal="right" vertical="center"/>
    </xf>
    <xf numFmtId="170" fontId="14" fillId="0" borderId="28" xfId="1" applyNumberFormat="1" applyFont="1" applyBorder="1" applyAlignment="1">
      <alignment horizontal="right" vertical="center"/>
    </xf>
    <xf numFmtId="170" fontId="21" fillId="3" borderId="145" xfId="0" applyNumberFormat="1" applyFont="1" applyFill="1" applyBorder="1" applyAlignment="1">
      <alignment horizontal="right" vertical="center"/>
    </xf>
    <xf numFmtId="170" fontId="14" fillId="0" borderId="10" xfId="1" applyNumberFormat="1" applyFont="1" applyBorder="1" applyAlignment="1">
      <alignment horizontal="right" vertical="center"/>
    </xf>
    <xf numFmtId="170" fontId="14" fillId="0" borderId="29" xfId="1" applyNumberFormat="1" applyFont="1" applyBorder="1" applyAlignment="1">
      <alignment horizontal="right" vertical="center"/>
    </xf>
    <xf numFmtId="170" fontId="12" fillId="0" borderId="10" xfId="1" applyNumberFormat="1" applyFont="1" applyBorder="1" applyAlignment="1">
      <alignment horizontal="right" vertical="center"/>
    </xf>
    <xf numFmtId="170" fontId="12" fillId="0" borderId="29" xfId="1" applyNumberFormat="1" applyFont="1" applyBorder="1" applyAlignment="1">
      <alignment horizontal="right" vertical="center"/>
    </xf>
    <xf numFmtId="170" fontId="14" fillId="0" borderId="145" xfId="1" applyNumberFormat="1" applyFont="1" applyBorder="1" applyAlignment="1">
      <alignment horizontal="right" vertical="center"/>
    </xf>
    <xf numFmtId="170" fontId="21" fillId="3" borderId="59" xfId="0" applyNumberFormat="1" applyFont="1" applyFill="1" applyBorder="1" applyAlignment="1">
      <alignment horizontal="right" vertical="center"/>
    </xf>
    <xf numFmtId="170" fontId="21" fillId="0" borderId="145" xfId="1" applyNumberFormat="1" applyFont="1" applyBorder="1" applyAlignment="1">
      <alignment horizontal="right" vertical="center"/>
    </xf>
    <xf numFmtId="170" fontId="12" fillId="0" borderId="59" xfId="1" applyNumberFormat="1" applyFont="1" applyBorder="1" applyAlignment="1">
      <alignment horizontal="right" vertical="center"/>
    </xf>
    <xf numFmtId="170" fontId="12" fillId="0" borderId="31" xfId="1" applyNumberFormat="1" applyFont="1" applyBorder="1" applyAlignment="1">
      <alignment horizontal="right" vertical="center"/>
    </xf>
    <xf numFmtId="170" fontId="0" fillId="0" borderId="0" xfId="0" applyNumberFormat="1"/>
    <xf numFmtId="170" fontId="0" fillId="0" borderId="9" xfId="0" applyNumberFormat="1" applyBorder="1" applyProtection="1">
      <protection locked="0"/>
    </xf>
    <xf numFmtId="170" fontId="0" fillId="0" borderId="10" xfId="0" applyNumberFormat="1" applyBorder="1" applyProtection="1">
      <protection locked="0"/>
    </xf>
    <xf numFmtId="170" fontId="102" fillId="17" borderId="10" xfId="0" applyNumberFormat="1" applyFont="1" applyFill="1" applyBorder="1" applyProtection="1">
      <protection locked="0"/>
    </xf>
    <xf numFmtId="170" fontId="0" fillId="0" borderId="11" xfId="0" applyNumberFormat="1" applyBorder="1" applyProtection="1">
      <protection locked="0"/>
    </xf>
    <xf numFmtId="189" fontId="12" fillId="0" borderId="0" xfId="0" applyNumberFormat="1" applyFont="1" applyAlignment="1">
      <alignment vertical="center"/>
    </xf>
    <xf numFmtId="0" fontId="18" fillId="0" borderId="0" xfId="5" applyAlignment="1">
      <alignment horizontal="center" vertical="center" wrapText="1"/>
    </xf>
    <xf numFmtId="17" fontId="21" fillId="0" borderId="0" xfId="5" applyNumberFormat="1" applyFont="1" applyAlignment="1">
      <alignment horizontal="center" vertical="center" wrapText="1"/>
    </xf>
    <xf numFmtId="167" fontId="21" fillId="0" borderId="0" xfId="5" quotePrefix="1" applyNumberFormat="1" applyFont="1" applyAlignment="1">
      <alignment horizontal="center" vertical="center" wrapText="1"/>
    </xf>
    <xf numFmtId="3" fontId="21" fillId="0" borderId="0" xfId="5" quotePrefix="1" applyNumberFormat="1" applyFont="1" applyAlignment="1">
      <alignment horizontal="center" vertical="center" wrapText="1"/>
    </xf>
    <xf numFmtId="0" fontId="21" fillId="0" borderId="0" xfId="5" applyFont="1" applyAlignment="1">
      <alignment horizontal="left" vertical="center" wrapText="1"/>
    </xf>
    <xf numFmtId="169" fontId="21" fillId="0" borderId="0" xfId="1" applyNumberFormat="1" applyFont="1" applyFill="1" applyBorder="1" applyAlignment="1">
      <alignment horizontal="right" vertical="center" wrapText="1"/>
    </xf>
    <xf numFmtId="170" fontId="21" fillId="0" borderId="0" xfId="5" applyNumberFormat="1" applyFont="1" applyAlignment="1">
      <alignment horizontal="right" vertical="center"/>
    </xf>
    <xf numFmtId="168" fontId="21" fillId="0" borderId="0" xfId="5" applyNumberFormat="1" applyFont="1" applyAlignment="1">
      <alignment horizontal="right" vertical="center" wrapText="1"/>
    </xf>
    <xf numFmtId="168" fontId="21" fillId="0" borderId="0" xfId="5" applyNumberFormat="1" applyFont="1" applyAlignment="1">
      <alignment horizontal="right" vertical="center"/>
    </xf>
    <xf numFmtId="169" fontId="18" fillId="0" borderId="0" xfId="1" applyNumberFormat="1" applyFont="1" applyFill="1" applyBorder="1" applyAlignment="1">
      <alignment horizontal="right" vertical="center" wrapText="1"/>
    </xf>
    <xf numFmtId="170" fontId="34" fillId="0" borderId="0" xfId="6" applyNumberFormat="1" applyFont="1" applyFill="1" applyBorder="1" applyAlignment="1">
      <alignment horizontal="right" vertical="center" wrapText="1"/>
    </xf>
    <xf numFmtId="168" fontId="18" fillId="0" borderId="0" xfId="5" applyNumberFormat="1" applyAlignment="1">
      <alignment horizontal="right" vertical="center" wrapText="1"/>
    </xf>
    <xf numFmtId="0" fontId="18" fillId="0" borderId="0" xfId="5" applyAlignment="1">
      <alignment horizontal="justify" vertical="center" wrapText="1"/>
    </xf>
    <xf numFmtId="170" fontId="18" fillId="0" borderId="0" xfId="5" applyNumberFormat="1" applyAlignment="1">
      <alignment horizontal="right" vertical="center" wrapText="1"/>
    </xf>
    <xf numFmtId="0" fontId="18" fillId="0" borderId="0" xfId="5" applyAlignment="1">
      <alignment horizontal="left" vertical="center" wrapText="1"/>
    </xf>
    <xf numFmtId="3" fontId="32" fillId="0" borderId="32" xfId="0" applyNumberFormat="1" applyFont="1" applyBorder="1" applyAlignment="1">
      <alignment horizontal="center" vertical="center" wrapText="1"/>
    </xf>
    <xf numFmtId="3" fontId="54" fillId="0" borderId="68" xfId="0" applyNumberFormat="1" applyFont="1" applyBorder="1" applyAlignment="1">
      <alignment horizontal="center" vertical="center" wrapText="1"/>
    </xf>
    <xf numFmtId="3" fontId="32" fillId="0" borderId="68" xfId="0" applyNumberFormat="1" applyFont="1" applyBorder="1" applyAlignment="1">
      <alignment horizontal="center" vertical="center" wrapText="1"/>
    </xf>
    <xf numFmtId="0" fontId="54" fillId="0" borderId="68" xfId="0" applyFont="1" applyBorder="1" applyAlignment="1">
      <alignment horizontal="center" vertical="center" wrapText="1"/>
    </xf>
    <xf numFmtId="3" fontId="130" fillId="0" borderId="32" xfId="0" applyNumberFormat="1" applyFont="1" applyBorder="1" applyAlignment="1">
      <alignment horizontal="right" vertical="center" wrapText="1"/>
    </xf>
    <xf numFmtId="3" fontId="130" fillId="0" borderId="68" xfId="0" applyNumberFormat="1" applyFont="1" applyBorder="1" applyAlignment="1">
      <alignment horizontal="right" vertical="center" wrapText="1"/>
    </xf>
    <xf numFmtId="0" fontId="130" fillId="0" borderId="68" xfId="0" applyFont="1" applyBorder="1" applyAlignment="1">
      <alignment horizontal="right" vertical="center" wrapText="1"/>
    </xf>
    <xf numFmtId="3" fontId="131" fillId="0" borderId="68" xfId="0" applyNumberFormat="1" applyFont="1" applyBorder="1" applyAlignment="1">
      <alignment horizontal="right" vertical="center" wrapText="1"/>
    </xf>
    <xf numFmtId="0" fontId="90" fillId="0" borderId="0" xfId="1191" applyFont="1" applyAlignment="1">
      <alignment horizontal="center" vertical="center"/>
    </xf>
    <xf numFmtId="0" fontId="94" fillId="0" borderId="0" xfId="1191" applyFont="1"/>
    <xf numFmtId="0" fontId="12" fillId="0" borderId="0" xfId="1191" applyFont="1"/>
    <xf numFmtId="0" fontId="12" fillId="0" borderId="0" xfId="1191" applyFont="1" applyAlignment="1">
      <alignment horizontal="center"/>
    </xf>
    <xf numFmtId="0" fontId="12" fillId="0" borderId="0" xfId="1191" applyFont="1" applyAlignment="1">
      <alignment vertical="center"/>
    </xf>
    <xf numFmtId="0" fontId="18" fillId="0" borderId="0" xfId="1191" applyFont="1" applyAlignment="1">
      <alignment vertical="center"/>
    </xf>
    <xf numFmtId="0" fontId="18" fillId="0" borderId="0" xfId="1191" applyFont="1" applyAlignment="1">
      <alignment horizontal="left" vertical="center"/>
    </xf>
    <xf numFmtId="0" fontId="0" fillId="0" borderId="0" xfId="1191" applyFont="1"/>
    <xf numFmtId="0" fontId="12" fillId="0" borderId="0" xfId="1191" applyFont="1" applyAlignment="1">
      <alignment vertical="center" wrapText="1"/>
    </xf>
    <xf numFmtId="0" fontId="18" fillId="0" borderId="0" xfId="1191" applyFont="1"/>
    <xf numFmtId="0" fontId="96" fillId="0" borderId="0" xfId="1191" applyFont="1" applyAlignment="1">
      <alignment horizontal="center" vertical="center"/>
    </xf>
    <xf numFmtId="0" fontId="18" fillId="11" borderId="0" xfId="1191" applyFont="1" applyFill="1" applyAlignment="1">
      <alignment vertical="center"/>
    </xf>
    <xf numFmtId="169" fontId="0" fillId="0" borderId="9" xfId="1" applyNumberFormat="1" applyFont="1" applyFill="1" applyBorder="1"/>
    <xf numFmtId="1" fontId="0" fillId="0" borderId="9" xfId="0" applyNumberFormat="1" applyBorder="1" applyAlignment="1">
      <alignment horizontal="center"/>
    </xf>
    <xf numFmtId="1" fontId="0" fillId="0" borderId="10" xfId="0" applyNumberFormat="1" applyBorder="1" applyAlignment="1">
      <alignment horizontal="center"/>
    </xf>
    <xf numFmtId="1" fontId="0" fillId="0" borderId="11" xfId="0" applyNumberFormat="1" applyBorder="1" applyAlignment="1">
      <alignment horizontal="center"/>
    </xf>
    <xf numFmtId="190" fontId="18" fillId="0" borderId="0" xfId="0" applyNumberFormat="1" applyFont="1" applyAlignment="1">
      <alignment horizontal="right" vertical="center"/>
    </xf>
    <xf numFmtId="0" fontId="90" fillId="0" borderId="0" xfId="0" applyFont="1" applyAlignment="1">
      <alignment horizontal="center"/>
    </xf>
    <xf numFmtId="191" fontId="12" fillId="0" borderId="0" xfId="0" applyNumberFormat="1" applyFont="1" applyAlignment="1">
      <alignment vertical="center"/>
    </xf>
    <xf numFmtId="0" fontId="13" fillId="0" borderId="9" xfId="0" applyFont="1" applyBorder="1"/>
    <xf numFmtId="170" fontId="21" fillId="5" borderId="27" xfId="9" applyNumberFormat="1" applyFont="1" applyFill="1" applyBorder="1" applyAlignment="1">
      <alignment horizontal="right" vertical="center"/>
    </xf>
    <xf numFmtId="170" fontId="18" fillId="5" borderId="10" xfId="9" applyNumberFormat="1" applyFont="1" applyFill="1" applyBorder="1" applyAlignment="1">
      <alignment horizontal="right" vertical="center"/>
    </xf>
    <xf numFmtId="170" fontId="21" fillId="0" borderId="10" xfId="9" applyNumberFormat="1" applyFont="1" applyBorder="1" applyAlignment="1">
      <alignment horizontal="right" vertical="center"/>
    </xf>
    <xf numFmtId="170" fontId="21" fillId="5" borderId="10" xfId="9" applyNumberFormat="1" applyFont="1" applyFill="1" applyBorder="1" applyAlignment="1">
      <alignment horizontal="right" vertical="center"/>
    </xf>
    <xf numFmtId="170" fontId="18" fillId="0" borderId="59" xfId="9" applyNumberFormat="1" applyFont="1" applyBorder="1" applyAlignment="1">
      <alignment horizontal="right" vertical="center"/>
    </xf>
    <xf numFmtId="0" fontId="99" fillId="0" borderId="0" xfId="218" applyAlignment="1">
      <alignment vertical="center"/>
    </xf>
    <xf numFmtId="0" fontId="0" fillId="3" borderId="145" xfId="0" applyFill="1" applyBorder="1" applyAlignment="1">
      <alignment vertical="center"/>
    </xf>
    <xf numFmtId="170" fontId="0" fillId="0" borderId="21" xfId="0" applyNumberFormat="1" applyBorder="1"/>
    <xf numFmtId="175" fontId="50" fillId="51" borderId="127" xfId="0" applyNumberFormat="1" applyFont="1" applyFill="1" applyBorder="1"/>
    <xf numFmtId="170" fontId="0" fillId="51" borderId="9" xfId="0" applyNumberFormat="1" applyFill="1" applyBorder="1"/>
    <xf numFmtId="170" fontId="0" fillId="51" borderId="10" xfId="0" applyNumberFormat="1" applyFill="1" applyBorder="1"/>
    <xf numFmtId="170" fontId="0" fillId="51" borderId="11" xfId="0" applyNumberFormat="1" applyFill="1" applyBorder="1"/>
    <xf numFmtId="0" fontId="0" fillId="51" borderId="21" xfId="0" applyFill="1" applyBorder="1"/>
    <xf numFmtId="0" fontId="0" fillId="51" borderId="73" xfId="0" applyFill="1" applyBorder="1"/>
    <xf numFmtId="0" fontId="0" fillId="51" borderId="69" xfId="0" applyFill="1" applyBorder="1"/>
    <xf numFmtId="0" fontId="0" fillId="51" borderId="74" xfId="0" applyFill="1" applyBorder="1"/>
    <xf numFmtId="0" fontId="127" fillId="0" borderId="2" xfId="4" applyFont="1" applyBorder="1" applyAlignment="1">
      <alignment horizontal="center" vertical="center" wrapText="1"/>
    </xf>
    <xf numFmtId="0" fontId="52" fillId="0" borderId="67" xfId="4" applyFont="1" applyBorder="1" applyAlignment="1">
      <alignment horizontal="left" vertical="center" wrapText="1"/>
    </xf>
    <xf numFmtId="0" fontId="37" fillId="0" borderId="61" xfId="0" applyFont="1" applyBorder="1" applyAlignment="1">
      <alignment wrapText="1"/>
    </xf>
    <xf numFmtId="0" fontId="37" fillId="0" borderId="32" xfId="0" applyFont="1" applyBorder="1" applyAlignment="1">
      <alignment wrapText="1"/>
    </xf>
    <xf numFmtId="0" fontId="22" fillId="6" borderId="32" xfId="0" applyFont="1" applyFill="1" applyBorder="1"/>
    <xf numFmtId="3" fontId="0" fillId="0" borderId="70" xfId="0" applyNumberFormat="1" applyBorder="1"/>
    <xf numFmtId="3" fontId="0" fillId="0" borderId="71" xfId="0" applyNumberFormat="1" applyBorder="1"/>
    <xf numFmtId="3" fontId="0" fillId="0" borderId="72" xfId="0" applyNumberFormat="1" applyBorder="1"/>
    <xf numFmtId="0" fontId="96" fillId="0" borderId="4" xfId="4" applyFont="1" applyBorder="1" applyAlignment="1">
      <alignment horizontal="center" vertical="center" wrapText="1"/>
    </xf>
    <xf numFmtId="168" fontId="21" fillId="0" borderId="70" xfId="4" applyNumberFormat="1" applyFont="1" applyBorder="1" applyAlignment="1">
      <alignment vertical="center" wrapText="1"/>
    </xf>
    <xf numFmtId="171" fontId="21" fillId="0" borderId="71" xfId="1" applyNumberFormat="1" applyFont="1" applyFill="1" applyBorder="1" applyAlignment="1">
      <alignment horizontal="right" vertical="center" wrapText="1"/>
    </xf>
    <xf numFmtId="168" fontId="21" fillId="0" borderId="71" xfId="4" applyNumberFormat="1" applyFont="1" applyBorder="1" applyAlignment="1">
      <alignment horizontal="right" vertical="center"/>
    </xf>
    <xf numFmtId="168" fontId="21" fillId="0" borderId="72" xfId="4" applyNumberFormat="1" applyFont="1" applyBorder="1" applyAlignment="1">
      <alignment horizontal="right" vertical="center"/>
    </xf>
    <xf numFmtId="168" fontId="18" fillId="0" borderId="49" xfId="4" applyNumberFormat="1" applyFont="1" applyBorder="1" applyAlignment="1">
      <alignment vertical="center" wrapText="1"/>
    </xf>
    <xf numFmtId="171" fontId="18" fillId="0" borderId="49" xfId="1" applyNumberFormat="1" applyFont="1" applyFill="1" applyBorder="1" applyAlignment="1">
      <alignment horizontal="right" vertical="center" wrapText="1"/>
    </xf>
    <xf numFmtId="168" fontId="18" fillId="0" borderId="49" xfId="4" applyNumberFormat="1" applyFont="1" applyBorder="1" applyAlignment="1">
      <alignment horizontal="right" vertical="center"/>
    </xf>
    <xf numFmtId="187" fontId="18" fillId="0" borderId="0" xfId="0" applyNumberFormat="1" applyFont="1" applyAlignment="1">
      <alignment horizontal="right" vertical="center"/>
    </xf>
    <xf numFmtId="0" fontId="21" fillId="0" borderId="0" xfId="0" applyFont="1" applyAlignment="1">
      <alignment vertical="center"/>
    </xf>
    <xf numFmtId="170" fontId="0" fillId="0" borderId="9" xfId="1" applyNumberFormat="1" applyFont="1" applyBorder="1"/>
    <xf numFmtId="192" fontId="0" fillId="0" borderId="0" xfId="0" applyNumberFormat="1"/>
    <xf numFmtId="193" fontId="0" fillId="0" borderId="0" xfId="0" applyNumberFormat="1"/>
    <xf numFmtId="195" fontId="0" fillId="0" borderId="0" xfId="0" applyNumberFormat="1"/>
    <xf numFmtId="194" fontId="12" fillId="0" borderId="0" xfId="2" applyNumberFormat="1" applyFont="1" applyAlignment="1">
      <alignment vertical="center"/>
    </xf>
    <xf numFmtId="187" fontId="12" fillId="0" borderId="0" xfId="0" applyNumberFormat="1" applyFont="1" applyAlignment="1">
      <alignment vertical="center"/>
    </xf>
    <xf numFmtId="173" fontId="0" fillId="0" borderId="0" xfId="2" applyNumberFormat="1" applyFont="1"/>
    <xf numFmtId="0" fontId="0" fillId="7" borderId="11" xfId="0" applyFill="1" applyBorder="1"/>
    <xf numFmtId="0" fontId="14" fillId="7" borderId="11" xfId="0" applyFont="1" applyFill="1" applyBorder="1" applyAlignment="1">
      <alignment horizontal="center" vertical="center" wrapText="1"/>
    </xf>
    <xf numFmtId="1" fontId="14" fillId="7" borderId="10" xfId="0" applyNumberFormat="1" applyFont="1" applyFill="1" applyBorder="1" applyAlignment="1">
      <alignment horizontal="center" vertical="center" wrapText="1"/>
    </xf>
    <xf numFmtId="1" fontId="14" fillId="7" borderId="11" xfId="0" applyNumberFormat="1" applyFont="1" applyFill="1" applyBorder="1" applyAlignment="1">
      <alignment horizontal="center" vertical="center" wrapText="1"/>
    </xf>
    <xf numFmtId="0" fontId="0" fillId="7" borderId="10" xfId="0" applyFill="1" applyBorder="1"/>
    <xf numFmtId="0" fontId="0" fillId="0" borderId="0" xfId="1191" applyFont="1" applyAlignment="1">
      <alignment vertical="center"/>
    </xf>
    <xf numFmtId="0" fontId="0" fillId="0" borderId="0" xfId="1191" applyFont="1" applyAlignment="1">
      <alignment horizontal="left" vertical="center"/>
    </xf>
    <xf numFmtId="0" fontId="0" fillId="0" borderId="0" xfId="1191" applyFont="1" applyAlignment="1">
      <alignment vertical="center" wrapText="1"/>
    </xf>
    <xf numFmtId="2" fontId="0" fillId="0" borderId="0" xfId="2" applyNumberFormat="1" applyFont="1"/>
    <xf numFmtId="169" fontId="0" fillId="7" borderId="21" xfId="1" applyNumberFormat="1" applyFont="1" applyFill="1" applyBorder="1"/>
    <xf numFmtId="10" fontId="0" fillId="0" borderId="0" xfId="0" applyNumberFormat="1"/>
    <xf numFmtId="10" fontId="12" fillId="0" borderId="0" xfId="0" applyNumberFormat="1" applyFont="1" applyAlignment="1">
      <alignment horizontal="right" vertical="center"/>
    </xf>
    <xf numFmtId="10" fontId="18" fillId="0" borderId="0" xfId="0" applyNumberFormat="1" applyFont="1" applyAlignment="1">
      <alignment horizontal="right" vertical="center"/>
    </xf>
    <xf numFmtId="170" fontId="14" fillId="0" borderId="9" xfId="0" applyNumberFormat="1" applyFont="1" applyBorder="1" applyAlignment="1">
      <alignment horizontal="center" vertical="center" wrapText="1"/>
    </xf>
    <xf numFmtId="170" fontId="14" fillId="0" borderId="10" xfId="0" applyNumberFormat="1" applyFont="1" applyBorder="1" applyAlignment="1">
      <alignment horizontal="center" vertical="center" wrapText="1"/>
    </xf>
    <xf numFmtId="170" fontId="14" fillId="0" borderId="11" xfId="0" applyNumberFormat="1" applyFont="1" applyBorder="1" applyAlignment="1">
      <alignment horizontal="center" vertical="center" wrapText="1"/>
    </xf>
    <xf numFmtId="0" fontId="12" fillId="0" borderId="145" xfId="0" applyFont="1" applyBorder="1" applyAlignment="1">
      <alignment horizontal="left"/>
    </xf>
    <xf numFmtId="0" fontId="18" fillId="0" borderId="59" xfId="7" applyBorder="1" applyAlignment="1">
      <alignment horizontal="left"/>
    </xf>
    <xf numFmtId="0" fontId="21" fillId="0" borderId="145" xfId="5" applyFont="1" applyBorder="1" applyAlignment="1">
      <alignment horizontal="left"/>
    </xf>
    <xf numFmtId="0" fontId="12" fillId="0" borderId="59" xfId="0" applyFont="1" applyBorder="1" applyAlignment="1">
      <alignment horizontal="left"/>
    </xf>
    <xf numFmtId="0" fontId="12" fillId="11" borderId="145" xfId="0" applyFont="1" applyFill="1" applyBorder="1" applyAlignment="1">
      <alignment horizontal="left"/>
    </xf>
    <xf numFmtId="0" fontId="21" fillId="0" borderId="27" xfId="5" applyFont="1" applyBorder="1" applyAlignment="1">
      <alignment horizontal="left"/>
    </xf>
    <xf numFmtId="170" fontId="0" fillId="0" borderId="29" xfId="0" applyNumberFormat="1" applyBorder="1"/>
    <xf numFmtId="1" fontId="0" fillId="0" borderId="10" xfId="0" applyNumberFormat="1" applyBorder="1" applyAlignment="1">
      <alignment horizontal="right"/>
    </xf>
    <xf numFmtId="170" fontId="0" fillId="0" borderId="9" xfId="0" applyNumberFormat="1" applyBorder="1" applyAlignment="1">
      <alignment horizontal="right"/>
    </xf>
    <xf numFmtId="170" fontId="0" fillId="0" borderId="11" xfId="0" applyNumberFormat="1" applyBorder="1" applyAlignment="1">
      <alignment horizontal="right"/>
    </xf>
    <xf numFmtId="1" fontId="0" fillId="0" borderId="16" xfId="0" applyNumberFormat="1" applyBorder="1" applyAlignment="1">
      <alignment horizontal="right"/>
    </xf>
    <xf numFmtId="0" fontId="29" fillId="0" borderId="30" xfId="8" applyFont="1" applyBorder="1"/>
    <xf numFmtId="1" fontId="18" fillId="0" borderId="24" xfId="8" applyNumberFormat="1" applyBorder="1" applyAlignment="1">
      <alignment horizontal="right" vertical="center"/>
    </xf>
    <xf numFmtId="168" fontId="18" fillId="0" borderId="25" xfId="1" applyNumberFormat="1" applyFont="1" applyFill="1" applyBorder="1" applyAlignment="1">
      <alignment horizontal="right" vertical="center"/>
    </xf>
    <xf numFmtId="194" fontId="0" fillId="0" borderId="0" xfId="0" applyNumberFormat="1"/>
    <xf numFmtId="196" fontId="0" fillId="0" borderId="0" xfId="0" applyNumberFormat="1"/>
    <xf numFmtId="0" fontId="18" fillId="0" borderId="40" xfId="4" applyFont="1" applyBorder="1" applyAlignment="1">
      <alignment horizontal="left" vertical="center"/>
    </xf>
    <xf numFmtId="168" fontId="21" fillId="3" borderId="145" xfId="0" applyNumberFormat="1" applyFont="1" applyFill="1" applyBorder="1" applyAlignment="1">
      <alignment vertical="center"/>
    </xf>
    <xf numFmtId="0" fontId="21" fillId="0" borderId="1" xfId="8" applyFont="1" applyBorder="1"/>
    <xf numFmtId="1" fontId="18" fillId="0" borderId="69" xfId="8" applyNumberFormat="1" applyBorder="1" applyAlignment="1">
      <alignment horizontal="right" vertical="center"/>
    </xf>
    <xf numFmtId="168" fontId="18" fillId="0" borderId="170" xfId="1" applyNumberFormat="1" applyFont="1" applyFill="1" applyBorder="1" applyAlignment="1">
      <alignment horizontal="right" vertical="center"/>
    </xf>
    <xf numFmtId="168" fontId="18" fillId="0" borderId="87" xfId="1" applyNumberFormat="1" applyFont="1" applyFill="1" applyBorder="1" applyAlignment="1">
      <alignment horizontal="right" vertical="center"/>
    </xf>
    <xf numFmtId="168" fontId="18" fillId="0" borderId="44" xfId="1" applyNumberFormat="1" applyFont="1" applyFill="1" applyBorder="1" applyAlignment="1">
      <alignment horizontal="right" vertical="center"/>
    </xf>
    <xf numFmtId="168" fontId="18" fillId="0" borderId="89" xfId="1" quotePrefix="1" applyNumberFormat="1" applyFont="1" applyFill="1" applyBorder="1" applyAlignment="1">
      <alignment horizontal="right" vertical="center"/>
    </xf>
    <xf numFmtId="168" fontId="18" fillId="0" borderId="26" xfId="1" applyNumberFormat="1" applyFont="1" applyFill="1" applyBorder="1" applyAlignment="1">
      <alignment horizontal="right" vertical="center"/>
    </xf>
    <xf numFmtId="168" fontId="18" fillId="0" borderId="25" xfId="1" quotePrefix="1" applyNumberFormat="1" applyFont="1" applyFill="1" applyBorder="1" applyAlignment="1">
      <alignment horizontal="right" vertical="center"/>
    </xf>
    <xf numFmtId="168" fontId="18" fillId="0" borderId="38" xfId="1" applyNumberFormat="1" applyFont="1" applyFill="1" applyBorder="1" applyAlignment="1">
      <alignment horizontal="right" vertical="center"/>
    </xf>
    <xf numFmtId="168" fontId="18" fillId="0" borderId="90" xfId="1" quotePrefix="1" applyNumberFormat="1" applyFont="1" applyFill="1" applyBorder="1" applyAlignment="1">
      <alignment horizontal="right" vertical="center"/>
    </xf>
    <xf numFmtId="168" fontId="18" fillId="0" borderId="71" xfId="1" applyNumberFormat="1" applyFont="1" applyFill="1" applyBorder="1" applyAlignment="1">
      <alignment horizontal="right" vertical="center"/>
    </xf>
    <xf numFmtId="168" fontId="18" fillId="0" borderId="89" xfId="1" applyNumberFormat="1" applyFont="1" applyFill="1" applyBorder="1" applyAlignment="1">
      <alignment horizontal="right" vertical="center"/>
    </xf>
    <xf numFmtId="168" fontId="18" fillId="0" borderId="24" xfId="1" applyNumberFormat="1" applyFont="1" applyFill="1" applyBorder="1" applyAlignment="1">
      <alignment horizontal="right" vertical="center"/>
    </xf>
    <xf numFmtId="0" fontId="0" fillId="0" borderId="24" xfId="0" applyBorder="1"/>
    <xf numFmtId="0" fontId="12" fillId="0" borderId="24" xfId="0" applyFont="1" applyBorder="1" applyAlignment="1">
      <alignment vertical="center"/>
    </xf>
    <xf numFmtId="0" fontId="12" fillId="0" borderId="25" xfId="0" applyFont="1" applyBorder="1" applyAlignment="1">
      <alignment vertical="center"/>
    </xf>
    <xf numFmtId="0" fontId="0" fillId="0" borderId="24" xfId="0" applyBorder="1" applyAlignment="1">
      <alignment vertical="center"/>
    </xf>
    <xf numFmtId="0" fontId="0" fillId="0" borderId="174" xfId="0" applyBorder="1"/>
    <xf numFmtId="0" fontId="12" fillId="0" borderId="174" xfId="0" applyFont="1" applyBorder="1" applyAlignment="1">
      <alignment vertical="center"/>
    </xf>
    <xf numFmtId="1" fontId="18" fillId="0" borderId="174" xfId="8" applyNumberFormat="1" applyBorder="1" applyAlignment="1">
      <alignment horizontal="right" vertical="center"/>
    </xf>
    <xf numFmtId="168" fontId="18" fillId="0" borderId="174" xfId="1" applyNumberFormat="1" applyFont="1" applyFill="1" applyBorder="1" applyAlignment="1">
      <alignment horizontal="right" vertical="center"/>
    </xf>
    <xf numFmtId="1" fontId="18" fillId="0" borderId="89" xfId="8" applyNumberFormat="1" applyBorder="1" applyAlignment="1">
      <alignment horizontal="right" vertical="center"/>
    </xf>
    <xf numFmtId="1" fontId="18" fillId="0" borderId="25" xfId="8" applyNumberFormat="1" applyBorder="1" applyAlignment="1">
      <alignment horizontal="right" vertical="center"/>
    </xf>
    <xf numFmtId="1" fontId="18" fillId="0" borderId="90" xfId="8" applyNumberFormat="1" applyBorder="1" applyAlignment="1">
      <alignment horizontal="right" vertical="center"/>
    </xf>
    <xf numFmtId="1" fontId="18" fillId="0" borderId="87" xfId="8" applyNumberFormat="1" applyBorder="1" applyAlignment="1">
      <alignment horizontal="right" vertical="center"/>
    </xf>
    <xf numFmtId="0" fontId="12" fillId="0" borderId="90" xfId="0" applyFont="1" applyBorder="1" applyAlignment="1">
      <alignment vertical="center"/>
    </xf>
    <xf numFmtId="1" fontId="57" fillId="0" borderId="0" xfId="3" applyNumberFormat="1" applyFont="1" applyAlignment="1">
      <alignment vertical="center"/>
    </xf>
    <xf numFmtId="170" fontId="12" fillId="15" borderId="1" xfId="3" applyNumberFormat="1" applyFont="1" applyFill="1" applyBorder="1" applyAlignment="1">
      <alignment horizontal="right" vertical="center" indent="1"/>
    </xf>
    <xf numFmtId="170" fontId="12" fillId="0" borderId="0" xfId="3" applyNumberFormat="1" applyFont="1" applyAlignment="1">
      <alignment horizontal="right" vertical="center" indent="1"/>
    </xf>
    <xf numFmtId="170" fontId="12" fillId="15" borderId="0" xfId="3" applyNumberFormat="1" applyFont="1" applyFill="1" applyAlignment="1">
      <alignment horizontal="right" vertical="center" indent="1"/>
    </xf>
    <xf numFmtId="170" fontId="12" fillId="0" borderId="30" xfId="3" applyNumberFormat="1" applyFont="1" applyBorder="1" applyAlignment="1">
      <alignment horizontal="right" vertical="center" indent="1"/>
    </xf>
    <xf numFmtId="3" fontId="0" fillId="0" borderId="166" xfId="0" applyNumberFormat="1" applyBorder="1"/>
    <xf numFmtId="175" fontId="134" fillId="0" borderId="26" xfId="0" applyNumberFormat="1" applyFont="1" applyBorder="1"/>
    <xf numFmtId="168" fontId="52" fillId="3" borderId="145" xfId="4" applyNumberFormat="1" applyFont="1" applyFill="1" applyBorder="1" applyAlignment="1">
      <alignment vertical="center" wrapText="1"/>
    </xf>
    <xf numFmtId="168" fontId="0" fillId="0" borderId="16" xfId="0" applyNumberFormat="1" applyBorder="1" applyAlignment="1">
      <alignment horizontal="center" vertical="center"/>
    </xf>
    <xf numFmtId="168" fontId="0" fillId="0" borderId="17" xfId="0" applyNumberFormat="1" applyBorder="1" applyAlignment="1">
      <alignment horizontal="center" vertical="center"/>
    </xf>
    <xf numFmtId="197" fontId="18" fillId="0" borderId="52" xfId="1193" applyNumberFormat="1" applyFont="1" applyBorder="1" applyAlignment="1">
      <alignment horizontal="right" vertical="center"/>
    </xf>
    <xf numFmtId="197" fontId="18" fillId="0" borderId="53" xfId="1193" applyNumberFormat="1" applyFont="1" applyBorder="1" applyAlignment="1">
      <alignment horizontal="right" vertical="center"/>
    </xf>
    <xf numFmtId="197" fontId="18" fillId="0" borderId="54" xfId="1193" applyNumberFormat="1" applyFont="1" applyBorder="1" applyAlignment="1">
      <alignment horizontal="right" vertical="center"/>
    </xf>
    <xf numFmtId="197" fontId="0" fillId="0" borderId="55" xfId="1193" applyNumberFormat="1" applyFont="1" applyBorder="1"/>
    <xf numFmtId="197" fontId="0" fillId="0" borderId="10" xfId="1193" applyNumberFormat="1" applyFont="1" applyBorder="1"/>
    <xf numFmtId="197" fontId="0" fillId="0" borderId="56" xfId="1193" applyNumberFormat="1" applyFont="1" applyBorder="1"/>
    <xf numFmtId="0" fontId="37" fillId="7" borderId="61" xfId="0" applyFont="1" applyFill="1" applyBorder="1" applyAlignment="1">
      <alignment wrapText="1"/>
    </xf>
    <xf numFmtId="0" fontId="22" fillId="7" borderId="61" xfId="0" applyFont="1" applyFill="1" applyBorder="1"/>
    <xf numFmtId="197" fontId="0" fillId="7" borderId="55" xfId="1193" applyNumberFormat="1" applyFont="1" applyFill="1" applyBorder="1"/>
    <xf numFmtId="197" fontId="0" fillId="7" borderId="10" xfId="1193" applyNumberFormat="1" applyFont="1" applyFill="1" applyBorder="1"/>
    <xf numFmtId="197" fontId="0" fillId="7" borderId="56" xfId="1193" applyNumberFormat="1" applyFont="1" applyFill="1" applyBorder="1"/>
    <xf numFmtId="168" fontId="52" fillId="0" borderId="145" xfId="4" applyNumberFormat="1" applyFont="1" applyBorder="1" applyAlignment="1">
      <alignment vertical="center" wrapText="1"/>
    </xf>
    <xf numFmtId="168" fontId="52" fillId="3" borderId="145" xfId="4" applyNumberFormat="1" applyFont="1" applyFill="1" applyBorder="1" applyAlignment="1">
      <alignment horizontal="center" vertical="center" wrapText="1"/>
    </xf>
    <xf numFmtId="168" fontId="52" fillId="0" borderId="145" xfId="4" applyNumberFormat="1" applyFont="1" applyBorder="1" applyAlignment="1">
      <alignment horizontal="center" vertical="center" wrapText="1"/>
    </xf>
    <xf numFmtId="0" fontId="21" fillId="0" borderId="26" xfId="0" applyFont="1" applyBorder="1" applyAlignment="1">
      <alignment vertical="center" wrapText="1"/>
    </xf>
    <xf numFmtId="171" fontId="21" fillId="0" borderId="26" xfId="1" applyNumberFormat="1" applyFont="1" applyFill="1" applyBorder="1" applyAlignment="1">
      <alignment horizontal="right" vertical="center" wrapText="1"/>
    </xf>
    <xf numFmtId="168" fontId="21" fillId="0" borderId="26" xfId="1" applyNumberFormat="1" applyFont="1" applyFill="1" applyBorder="1" applyAlignment="1">
      <alignment horizontal="right" vertical="center" wrapText="1"/>
    </xf>
    <xf numFmtId="175" fontId="135" fillId="0" borderId="26" xfId="0" applyNumberFormat="1" applyFont="1" applyBorder="1" applyAlignment="1">
      <alignment horizontal="center" vertical="center"/>
    </xf>
    <xf numFmtId="168" fontId="21" fillId="3" borderId="166" xfId="4" applyNumberFormat="1" applyFont="1" applyFill="1" applyBorder="1" applyAlignment="1">
      <alignment vertical="center" wrapText="1"/>
    </xf>
    <xf numFmtId="3" fontId="57" fillId="0" borderId="0" xfId="14" applyNumberFormat="1" applyFont="1" applyAlignment="1">
      <alignment vertical="center"/>
    </xf>
    <xf numFmtId="168" fontId="52" fillId="0" borderId="0" xfId="4" applyNumberFormat="1" applyFont="1" applyFill="1" applyBorder="1" applyAlignment="1">
      <alignment vertical="center" wrapText="1"/>
    </xf>
    <xf numFmtId="168" fontId="52" fillId="0" borderId="0" xfId="4" applyNumberFormat="1" applyFont="1" applyFill="1" applyBorder="1" applyAlignment="1">
      <alignment horizontal="center" vertical="center" wrapText="1"/>
    </xf>
    <xf numFmtId="168" fontId="52" fillId="3" borderId="166" xfId="4" applyNumberFormat="1" applyFont="1" applyFill="1" applyBorder="1" applyAlignment="1">
      <alignment horizontal="center" vertical="center" wrapText="1"/>
    </xf>
    <xf numFmtId="168" fontId="52" fillId="0" borderId="166" xfId="4" applyNumberFormat="1" applyFont="1" applyBorder="1" applyAlignment="1">
      <alignment vertical="center" wrapText="1"/>
    </xf>
    <xf numFmtId="168" fontId="52" fillId="0" borderId="166" xfId="4" applyNumberFormat="1" applyFont="1" applyBorder="1" applyAlignment="1">
      <alignment horizontal="center" vertical="center" wrapText="1"/>
    </xf>
    <xf numFmtId="168" fontId="52" fillId="3" borderId="166" xfId="4" applyNumberFormat="1" applyFont="1" applyFill="1" applyBorder="1" applyAlignment="1">
      <alignment vertical="center" wrapText="1"/>
    </xf>
    <xf numFmtId="168" fontId="52" fillId="3" borderId="59" xfId="4" applyNumberFormat="1" applyFont="1" applyFill="1" applyBorder="1" applyAlignment="1">
      <alignment vertical="center" wrapText="1"/>
    </xf>
    <xf numFmtId="168" fontId="52" fillId="3" borderId="59" xfId="4" applyNumberFormat="1" applyFont="1" applyFill="1" applyBorder="1" applyAlignment="1">
      <alignment horizontal="center" vertical="center" wrapText="1"/>
    </xf>
    <xf numFmtId="0" fontId="44" fillId="0" borderId="32" xfId="0" applyFont="1" applyBorder="1" applyAlignment="1">
      <alignment horizontal="center" vertical="center"/>
    </xf>
    <xf numFmtId="0" fontId="44" fillId="0" borderId="32" xfId="0" applyFont="1" applyBorder="1" applyAlignment="1">
      <alignment horizontal="center" wrapText="1"/>
    </xf>
    <xf numFmtId="0" fontId="44" fillId="0" borderId="32" xfId="0" applyFont="1" applyBorder="1" applyAlignment="1">
      <alignment horizontal="left" wrapText="1" indent="1"/>
    </xf>
    <xf numFmtId="0" fontId="44" fillId="0" borderId="73" xfId="0" applyFont="1" applyBorder="1" applyAlignment="1">
      <alignment horizontal="left" vertical="top"/>
    </xf>
    <xf numFmtId="0" fontId="44" fillId="0" borderId="74" xfId="0" applyFont="1" applyBorder="1" applyAlignment="1">
      <alignment horizontal="left" vertical="top"/>
    </xf>
    <xf numFmtId="0" fontId="136" fillId="0" borderId="32" xfId="0" applyFont="1" applyBorder="1" applyAlignment="1">
      <alignment horizontal="left" vertical="top"/>
    </xf>
    <xf numFmtId="1" fontId="136" fillId="0" borderId="32" xfId="0" applyNumberFormat="1" applyFont="1" applyBorder="1" applyAlignment="1">
      <alignment horizontal="center" vertical="top"/>
    </xf>
    <xf numFmtId="0" fontId="136" fillId="0" borderId="32" xfId="0" applyFont="1" applyBorder="1" applyAlignment="1">
      <alignment horizontal="left"/>
    </xf>
    <xf numFmtId="1" fontId="136" fillId="0" borderId="32" xfId="0" applyNumberFormat="1" applyFont="1" applyBorder="1" applyAlignment="1">
      <alignment horizontal="center"/>
    </xf>
    <xf numFmtId="0" fontId="136" fillId="0" borderId="32" xfId="0" applyFont="1" applyBorder="1" applyAlignment="1">
      <alignment horizontal="center"/>
    </xf>
    <xf numFmtId="0" fontId="44" fillId="0" borderId="32" xfId="0" applyFont="1" applyBorder="1" applyAlignment="1">
      <alignment horizontal="center" vertical="top"/>
    </xf>
    <xf numFmtId="1" fontId="136" fillId="0" borderId="73" xfId="0" applyNumberFormat="1" applyFont="1" applyBorder="1" applyAlignment="1">
      <alignment horizontal="right" vertical="top"/>
    </xf>
    <xf numFmtId="1" fontId="136" fillId="0" borderId="74" xfId="0" applyNumberFormat="1" applyFont="1" applyBorder="1" applyAlignment="1">
      <alignment horizontal="right" vertical="top"/>
    </xf>
    <xf numFmtId="0" fontId="44" fillId="0" borderId="32" xfId="0" applyFont="1" applyBorder="1" applyAlignment="1">
      <alignment horizontal="left" vertical="top" indent="1"/>
    </xf>
    <xf numFmtId="0" fontId="44" fillId="53" borderId="32" xfId="0" applyFont="1" applyFill="1" applyBorder="1" applyAlignment="1">
      <alignment horizontal="left" vertical="top" indent="1"/>
    </xf>
    <xf numFmtId="0" fontId="44" fillId="0" borderId="32" xfId="0" applyFont="1" applyBorder="1" applyAlignment="1">
      <alignment horizontal="right" wrapText="1"/>
    </xf>
    <xf numFmtId="0" fontId="136" fillId="0" borderId="67" xfId="0" applyFont="1" applyBorder="1" applyAlignment="1">
      <alignment horizontal="justify" vertical="top" wrapText="1"/>
    </xf>
    <xf numFmtId="0" fontId="136" fillId="0" borderId="61" xfId="0" applyFont="1" applyBorder="1" applyAlignment="1">
      <alignment horizontal="justify" vertical="top" wrapText="1"/>
    </xf>
    <xf numFmtId="0" fontId="136" fillId="0" borderId="68" xfId="0" applyFont="1" applyBorder="1" applyAlignment="1">
      <alignment horizontal="justify" vertical="top" wrapText="1"/>
    </xf>
    <xf numFmtId="0" fontId="44" fillId="0" borderId="32" xfId="0" applyFont="1" applyBorder="1" applyAlignment="1">
      <alignment horizontal="center" vertical="center" wrapText="1"/>
    </xf>
    <xf numFmtId="0" fontId="85" fillId="0" borderId="0" xfId="5" applyFont="1" applyAlignment="1">
      <alignment horizontal="center"/>
    </xf>
    <xf numFmtId="0" fontId="82" fillId="0" borderId="0" xfId="5" applyFont="1" applyAlignment="1">
      <alignment horizontal="center" vertical="center"/>
    </xf>
    <xf numFmtId="0" fontId="83" fillId="0" borderId="0" xfId="5" applyFont="1" applyAlignment="1">
      <alignment horizontal="center"/>
    </xf>
    <xf numFmtId="0" fontId="76" fillId="0" borderId="0" xfId="5" applyFont="1" applyAlignment="1">
      <alignment horizontal="center"/>
    </xf>
    <xf numFmtId="17" fontId="84" fillId="0" borderId="0" xfId="5" quotePrefix="1" applyNumberFormat="1" applyFont="1" applyAlignment="1">
      <alignment horizontal="right"/>
    </xf>
    <xf numFmtId="0" fontId="84" fillId="0" borderId="0" xfId="5" applyFont="1" applyAlignment="1">
      <alignment horizontal="right"/>
    </xf>
    <xf numFmtId="0" fontId="90" fillId="0" borderId="0" xfId="14" applyFont="1" applyAlignment="1">
      <alignment horizontal="center"/>
    </xf>
    <xf numFmtId="0" fontId="19" fillId="0" borderId="0" xfId="5" applyFont="1" applyAlignment="1">
      <alignment horizontal="center"/>
    </xf>
    <xf numFmtId="0" fontId="96" fillId="0" borderId="27" xfId="4" applyFont="1" applyBorder="1" applyAlignment="1">
      <alignment horizontal="center" vertical="center" wrapText="1"/>
    </xf>
    <xf numFmtId="0" fontId="96" fillId="0" borderId="59" xfId="4" applyFont="1" applyBorder="1" applyAlignment="1">
      <alignment horizontal="center" vertical="center" wrapText="1"/>
    </xf>
    <xf numFmtId="3" fontId="90" fillId="0" borderId="23" xfId="0" applyNumberFormat="1" applyFont="1" applyBorder="1" applyAlignment="1">
      <alignment horizontal="center" vertical="center"/>
    </xf>
    <xf numFmtId="3" fontId="90" fillId="0" borderId="24" xfId="0" applyNumberFormat="1" applyFont="1" applyBorder="1" applyAlignment="1">
      <alignment horizontal="center" vertical="center"/>
    </xf>
    <xf numFmtId="3" fontId="90" fillId="0" borderId="25" xfId="0" applyNumberFormat="1" applyFont="1" applyBorder="1" applyAlignment="1">
      <alignment horizontal="center" vertical="center"/>
    </xf>
    <xf numFmtId="0" fontId="31" fillId="0" borderId="0" xfId="0" applyFont="1" applyAlignment="1">
      <alignment horizontal="left" vertical="center" wrapText="1"/>
    </xf>
    <xf numFmtId="0" fontId="21" fillId="0" borderId="23" xfId="4" applyFont="1" applyBorder="1" applyAlignment="1">
      <alignment horizontal="left" vertical="center" wrapText="1"/>
    </xf>
    <xf numFmtId="0" fontId="21" fillId="0" borderId="24" xfId="4" applyFont="1" applyBorder="1" applyAlignment="1">
      <alignment horizontal="left" vertical="center" wrapText="1"/>
    </xf>
    <xf numFmtId="0" fontId="21" fillId="0" borderId="25" xfId="4" applyFont="1" applyBorder="1" applyAlignment="1">
      <alignment horizontal="left" vertical="center" wrapText="1"/>
    </xf>
    <xf numFmtId="0" fontId="31" fillId="0" borderId="0" xfId="0" applyFont="1" applyAlignment="1">
      <alignment horizontal="left" vertical="center"/>
    </xf>
    <xf numFmtId="0" fontId="21" fillId="0" borderId="48" xfId="4" applyFont="1" applyBorder="1" applyAlignment="1">
      <alignment horizontal="center" vertical="center" wrapText="1"/>
    </xf>
    <xf numFmtId="0" fontId="21" fillId="0" borderId="40" xfId="4" applyFont="1" applyBorder="1" applyAlignment="1">
      <alignment horizontal="center" vertical="center" wrapText="1"/>
    </xf>
    <xf numFmtId="0" fontId="21" fillId="0" borderId="27" xfId="4" applyFont="1" applyBorder="1" applyAlignment="1">
      <alignment horizontal="center" vertical="center" wrapText="1"/>
    </xf>
    <xf numFmtId="0" fontId="21" fillId="0" borderId="59" xfId="4" applyFont="1" applyBorder="1" applyAlignment="1">
      <alignment horizontal="center" vertical="center" wrapText="1"/>
    </xf>
    <xf numFmtId="3" fontId="21" fillId="0" borderId="24" xfId="0" applyNumberFormat="1" applyFont="1" applyBorder="1" applyAlignment="1">
      <alignment horizontal="center" vertical="center"/>
    </xf>
    <xf numFmtId="3" fontId="21" fillId="0" borderId="23" xfId="0" applyNumberFormat="1" applyFont="1" applyBorder="1" applyAlignment="1">
      <alignment horizontal="center" vertical="center"/>
    </xf>
    <xf numFmtId="3" fontId="21" fillId="0" borderId="25" xfId="0" applyNumberFormat="1" applyFont="1" applyBorder="1" applyAlignment="1">
      <alignment horizontal="center" vertical="center"/>
    </xf>
    <xf numFmtId="3" fontId="99" fillId="0" borderId="1" xfId="218" applyNumberFormat="1" applyBorder="1" applyAlignment="1">
      <alignment horizontal="left" vertical="center" wrapText="1"/>
    </xf>
    <xf numFmtId="3" fontId="14" fillId="0" borderId="23" xfId="0" applyNumberFormat="1" applyFont="1" applyBorder="1" applyAlignment="1">
      <alignment horizontal="center" vertical="center"/>
    </xf>
    <xf numFmtId="3" fontId="14" fillId="0" borderId="24" xfId="0" applyNumberFormat="1" applyFont="1" applyBorder="1" applyAlignment="1">
      <alignment horizontal="center" vertical="center"/>
    </xf>
    <xf numFmtId="3" fontId="14" fillId="0" borderId="25" xfId="0" applyNumberFormat="1" applyFont="1" applyBorder="1" applyAlignment="1">
      <alignment horizontal="center" vertical="center"/>
    </xf>
    <xf numFmtId="168" fontId="14" fillId="0" borderId="23" xfId="0" applyNumberFormat="1" applyFont="1" applyBorder="1" applyAlignment="1">
      <alignment horizontal="center" vertical="center"/>
    </xf>
    <xf numFmtId="168" fontId="14" fillId="0" borderId="25" xfId="0" applyNumberFormat="1" applyFont="1" applyBorder="1" applyAlignment="1">
      <alignment horizontal="center" vertical="center"/>
    </xf>
    <xf numFmtId="168" fontId="14" fillId="0" borderId="26" xfId="0" applyNumberFormat="1" applyFont="1" applyBorder="1" applyAlignment="1">
      <alignment horizontal="center" vertical="center"/>
    </xf>
    <xf numFmtId="0" fontId="19" fillId="0" borderId="0" xfId="5" applyFont="1" applyAlignment="1">
      <alignment horizontal="center" vertical="center"/>
    </xf>
    <xf numFmtId="168" fontId="14" fillId="0" borderId="24" xfId="0" applyNumberFormat="1" applyFont="1" applyBorder="1" applyAlignment="1">
      <alignment horizontal="center" vertical="center"/>
    </xf>
    <xf numFmtId="3" fontId="14" fillId="0" borderId="48" xfId="0" applyNumberFormat="1" applyFont="1" applyBorder="1" applyAlignment="1">
      <alignment horizontal="center" vertical="center"/>
    </xf>
    <xf numFmtId="3" fontId="14" fillId="0" borderId="1" xfId="0" applyNumberFormat="1" applyFont="1" applyBorder="1" applyAlignment="1">
      <alignment horizontal="center" vertical="center"/>
    </xf>
    <xf numFmtId="3" fontId="14" fillId="0" borderId="28" xfId="0" applyNumberFormat="1" applyFont="1" applyBorder="1" applyAlignment="1">
      <alignment horizontal="center" vertical="center"/>
    </xf>
    <xf numFmtId="0" fontId="26" fillId="0" borderId="0" xfId="0" applyFont="1" applyAlignment="1">
      <alignment horizontal="left" vertical="center" wrapText="1"/>
    </xf>
    <xf numFmtId="168" fontId="21" fillId="0" borderId="23" xfId="1" applyNumberFormat="1" applyFont="1" applyBorder="1" applyAlignment="1">
      <alignment horizontal="center" vertical="center"/>
    </xf>
    <xf numFmtId="168" fontId="21" fillId="0" borderId="24" xfId="1" applyNumberFormat="1" applyFont="1" applyBorder="1" applyAlignment="1">
      <alignment horizontal="center" vertical="center"/>
    </xf>
    <xf numFmtId="168" fontId="21" fillId="0" borderId="25" xfId="1" applyNumberFormat="1" applyFont="1" applyBorder="1" applyAlignment="1">
      <alignment horizontal="center" vertical="center"/>
    </xf>
    <xf numFmtId="0" fontId="24" fillId="0" borderId="0" xfId="0" applyFont="1" applyAlignment="1">
      <alignment horizontal="center" vertical="center" wrapText="1"/>
    </xf>
    <xf numFmtId="0" fontId="21" fillId="0" borderId="27" xfId="0" applyFont="1" applyBorder="1" applyAlignment="1">
      <alignment horizontal="center" vertical="center"/>
    </xf>
    <xf numFmtId="0" fontId="21" fillId="0" borderId="59" xfId="0" applyFont="1" applyBorder="1" applyAlignment="1">
      <alignment horizontal="center" vertical="center"/>
    </xf>
    <xf numFmtId="0" fontId="14" fillId="0" borderId="27" xfId="0" applyFont="1" applyBorder="1" applyAlignment="1">
      <alignment horizontal="center" vertical="center"/>
    </xf>
    <xf numFmtId="0" fontId="14" fillId="0" borderId="59" xfId="0" applyFont="1" applyBorder="1" applyAlignment="1">
      <alignment horizontal="center" vertical="center"/>
    </xf>
    <xf numFmtId="0" fontId="24" fillId="0" borderId="0" xfId="0" applyFont="1" applyAlignment="1">
      <alignment horizontal="left" vertical="center" wrapText="1" indent="8"/>
    </xf>
    <xf numFmtId="0" fontId="0" fillId="0" borderId="25" xfId="0" applyBorder="1" applyAlignment="1">
      <alignment horizontal="center" vertical="center"/>
    </xf>
    <xf numFmtId="0" fontId="31" fillId="0" borderId="0" xfId="5" applyFont="1" applyAlignment="1">
      <alignment horizontal="left" vertical="center" wrapText="1"/>
    </xf>
    <xf numFmtId="0" fontId="90" fillId="0" borderId="0" xfId="0" applyFont="1" applyAlignment="1">
      <alignment horizontal="center"/>
    </xf>
    <xf numFmtId="3" fontId="14" fillId="0" borderId="0" xfId="0" applyNumberFormat="1" applyFont="1" applyAlignment="1">
      <alignment horizontal="center" vertical="center"/>
    </xf>
    <xf numFmtId="0" fontId="136" fillId="0" borderId="33" xfId="0" applyFont="1" applyBorder="1" applyAlignment="1">
      <alignment horizontal="center" vertical="center" wrapText="1"/>
    </xf>
    <xf numFmtId="0" fontId="136" fillId="0" borderId="42" xfId="0" applyFont="1" applyBorder="1" applyAlignment="1">
      <alignment horizontal="center" vertical="center" wrapText="1"/>
    </xf>
    <xf numFmtId="0" fontId="136" fillId="0" borderId="36" xfId="0" applyFont="1" applyBorder="1" applyAlignment="1">
      <alignment horizontal="center" vertical="center" wrapText="1"/>
    </xf>
    <xf numFmtId="0" fontId="136" fillId="0" borderId="177" xfId="0" applyFont="1" applyBorder="1" applyAlignment="1">
      <alignment horizontal="center" vertical="center" wrapText="1"/>
    </xf>
    <xf numFmtId="0" fontId="136" fillId="0" borderId="66" xfId="0" applyFont="1" applyBorder="1" applyAlignment="1">
      <alignment horizontal="center" vertical="center" wrapText="1"/>
    </xf>
    <xf numFmtId="0" fontId="136" fillId="0" borderId="51" xfId="0" applyFont="1" applyBorder="1" applyAlignment="1">
      <alignment horizontal="center" vertical="center" wrapText="1"/>
    </xf>
    <xf numFmtId="0" fontId="136" fillId="0" borderId="33" xfId="0" applyFont="1" applyBorder="1" applyAlignment="1">
      <alignment horizontal="center" wrapText="1"/>
    </xf>
    <xf numFmtId="0" fontId="136" fillId="0" borderId="42" xfId="0" applyFont="1" applyBorder="1" applyAlignment="1">
      <alignment horizontal="center" wrapText="1"/>
    </xf>
    <xf numFmtId="0" fontId="136" fillId="0" borderId="66" xfId="0" applyFont="1" applyBorder="1" applyAlignment="1">
      <alignment horizontal="center" wrapText="1"/>
    </xf>
    <xf numFmtId="0" fontId="136" fillId="0" borderId="51" xfId="0" applyFont="1" applyBorder="1" applyAlignment="1">
      <alignment horizontal="center" wrapText="1"/>
    </xf>
    <xf numFmtId="0" fontId="136" fillId="0" borderId="33" xfId="0" applyFont="1" applyBorder="1" applyAlignment="1">
      <alignment horizontal="center" vertical="center"/>
    </xf>
    <xf numFmtId="0" fontId="136" fillId="0" borderId="42" xfId="0" applyFont="1" applyBorder="1" applyAlignment="1">
      <alignment horizontal="center" vertical="center"/>
    </xf>
    <xf numFmtId="0" fontId="136" fillId="0" borderId="36" xfId="0" applyFont="1" applyBorder="1" applyAlignment="1">
      <alignment horizontal="center" vertical="center"/>
    </xf>
    <xf numFmtId="0" fontId="136" fillId="0" borderId="177" xfId="0" applyFont="1" applyBorder="1" applyAlignment="1">
      <alignment horizontal="center" vertical="center"/>
    </xf>
    <xf numFmtId="0" fontId="136" fillId="0" borderId="66" xfId="0" applyFont="1" applyBorder="1" applyAlignment="1">
      <alignment horizontal="center" vertical="center"/>
    </xf>
    <xf numFmtId="0" fontId="136" fillId="0" borderId="51" xfId="0" applyFont="1" applyBorder="1" applyAlignment="1">
      <alignment horizontal="center" vertical="center"/>
    </xf>
    <xf numFmtId="0" fontId="44" fillId="0" borderId="73" xfId="0" applyFont="1" applyBorder="1" applyAlignment="1">
      <alignment horizontal="center" vertical="top"/>
    </xf>
    <xf numFmtId="0" fontId="44" fillId="0" borderId="69" xfId="0" applyFont="1" applyBorder="1" applyAlignment="1">
      <alignment horizontal="center" vertical="top"/>
    </xf>
    <xf numFmtId="0" fontId="44" fillId="0" borderId="74" xfId="0" applyFont="1" applyBorder="1" applyAlignment="1">
      <alignment horizontal="center" vertical="top"/>
    </xf>
    <xf numFmtId="1" fontId="136" fillId="0" borderId="73" xfId="0" applyNumberFormat="1" applyFont="1" applyBorder="1" applyAlignment="1">
      <alignment horizontal="center"/>
    </xf>
    <xf numFmtId="1" fontId="136" fillId="0" borderId="69" xfId="0" applyNumberFormat="1" applyFont="1" applyBorder="1" applyAlignment="1">
      <alignment horizontal="center"/>
    </xf>
    <xf numFmtId="1" fontId="136" fillId="0" borderId="74" xfId="0" applyNumberFormat="1" applyFont="1" applyBorder="1" applyAlignment="1">
      <alignment horizontal="center"/>
    </xf>
    <xf numFmtId="0" fontId="136" fillId="0" borderId="50" xfId="0" applyFont="1" applyBorder="1" applyAlignment="1">
      <alignment horizontal="center" wrapText="1"/>
    </xf>
    <xf numFmtId="0" fontId="136" fillId="0" borderId="73" xfId="0" applyFont="1" applyBorder="1" applyAlignment="1">
      <alignment horizontal="center" wrapText="1"/>
    </xf>
    <xf numFmtId="0" fontId="136" fillId="0" borderId="74" xfId="0" applyFont="1" applyBorder="1" applyAlignment="1">
      <alignment horizontal="center" wrapText="1"/>
    </xf>
    <xf numFmtId="0" fontId="138" fillId="0" borderId="67" xfId="0" applyFont="1" applyBorder="1" applyAlignment="1">
      <alignment horizontal="center" vertical="center" textRotation="255" wrapText="1"/>
    </xf>
    <xf numFmtId="0" fontId="138" fillId="0" borderId="61" xfId="0" applyFont="1" applyBorder="1" applyAlignment="1">
      <alignment horizontal="center" vertical="center" textRotation="255" wrapText="1"/>
    </xf>
    <xf numFmtId="0" fontId="138" fillId="0" borderId="68" xfId="0" applyFont="1" applyBorder="1" applyAlignment="1">
      <alignment horizontal="center" vertical="center" textRotation="255" wrapText="1"/>
    </xf>
    <xf numFmtId="0" fontId="136" fillId="0" borderId="67" xfId="0" applyFont="1" applyBorder="1" applyAlignment="1">
      <alignment horizontal="center" vertical="center" wrapText="1"/>
    </xf>
    <xf numFmtId="0" fontId="136" fillId="0" borderId="61" xfId="0" applyFont="1" applyBorder="1" applyAlignment="1">
      <alignment horizontal="center" vertical="center" wrapText="1"/>
    </xf>
    <xf numFmtId="0" fontId="136" fillId="0" borderId="68" xfId="0" applyFont="1" applyBorder="1" applyAlignment="1">
      <alignment horizontal="center" vertical="center" wrapText="1"/>
    </xf>
    <xf numFmtId="0" fontId="21" fillId="0" borderId="145" xfId="4" applyFont="1" applyBorder="1" applyAlignment="1">
      <alignment horizontal="center" vertical="center" wrapText="1"/>
    </xf>
    <xf numFmtId="0" fontId="21" fillId="0" borderId="149" xfId="4" applyFont="1" applyBorder="1" applyAlignment="1">
      <alignment horizontal="center" vertical="center" wrapText="1"/>
    </xf>
    <xf numFmtId="0" fontId="0" fillId="0" borderId="24" xfId="0" applyBorder="1" applyAlignment="1">
      <alignment horizontal="center" vertical="center"/>
    </xf>
    <xf numFmtId="0" fontId="12" fillId="0" borderId="23" xfId="0" applyFont="1" applyBorder="1" applyAlignment="1">
      <alignment vertical="center"/>
    </xf>
    <xf numFmtId="0" fontId="12" fillId="0" borderId="24" xfId="0" applyFont="1" applyBorder="1" applyAlignment="1">
      <alignment vertical="center"/>
    </xf>
    <xf numFmtId="0" fontId="12" fillId="0" borderId="25" xfId="0" applyFont="1" applyBorder="1" applyAlignment="1">
      <alignment vertical="center"/>
    </xf>
    <xf numFmtId="0" fontId="133" fillId="0" borderId="170" xfId="0" applyFont="1" applyBorder="1" applyAlignment="1">
      <alignment vertical="center"/>
    </xf>
    <xf numFmtId="0" fontId="133" fillId="0" borderId="69" xfId="0" applyFont="1" applyBorder="1" applyAlignment="1">
      <alignment vertical="center"/>
    </xf>
    <xf numFmtId="0" fontId="133" fillId="0" borderId="87" xfId="0" applyFont="1" applyBorder="1" applyAlignment="1">
      <alignment vertical="center"/>
    </xf>
    <xf numFmtId="0" fontId="136" fillId="0" borderId="175" xfId="0" applyFont="1" applyBorder="1" applyAlignment="1">
      <alignment horizontal="center" vertical="center"/>
    </xf>
    <xf numFmtId="0" fontId="136" fillId="0" borderId="176" xfId="0" applyFont="1" applyBorder="1" applyAlignment="1">
      <alignment horizontal="center" vertical="center"/>
    </xf>
    <xf numFmtId="0" fontId="137" fillId="52" borderId="39" xfId="0" applyFont="1" applyFill="1" applyBorder="1" applyAlignment="1">
      <alignment horizontal="center" vertical="top"/>
    </xf>
    <xf numFmtId="0" fontId="137" fillId="52" borderId="42" xfId="0" applyFont="1" applyFill="1" applyBorder="1" applyAlignment="1">
      <alignment horizontal="center" vertical="top"/>
    </xf>
    <xf numFmtId="0" fontId="0" fillId="0" borderId="23" xfId="0" applyBorder="1" applyAlignment="1">
      <alignment vertical="center"/>
    </xf>
    <xf numFmtId="0" fontId="0" fillId="0" borderId="173" xfId="0" applyBorder="1" applyAlignment="1">
      <alignment vertical="center"/>
    </xf>
    <xf numFmtId="0" fontId="12" fillId="0" borderId="174" xfId="0" applyFont="1" applyBorder="1" applyAlignment="1">
      <alignment vertical="center"/>
    </xf>
    <xf numFmtId="0" fontId="12" fillId="0" borderId="90" xfId="0" applyFont="1" applyBorder="1" applyAlignment="1">
      <alignment vertical="center"/>
    </xf>
    <xf numFmtId="0" fontId="0" fillId="0" borderId="171" xfId="0" applyBorder="1" applyAlignment="1">
      <alignment vertical="center"/>
    </xf>
    <xf numFmtId="0" fontId="12" fillId="0" borderId="172" xfId="0" applyFont="1" applyBorder="1" applyAlignment="1">
      <alignment vertical="center"/>
    </xf>
    <xf numFmtId="0" fontId="12" fillId="0" borderId="89" xfId="0" applyFont="1" applyBorder="1" applyAlignment="1">
      <alignment vertical="center"/>
    </xf>
    <xf numFmtId="0" fontId="12" fillId="0" borderId="171" xfId="0" applyFont="1" applyBorder="1" applyAlignment="1">
      <alignment vertical="center"/>
    </xf>
    <xf numFmtId="3" fontId="14" fillId="0" borderId="41" xfId="0" applyNumberFormat="1" applyFont="1" applyBorder="1" applyAlignment="1">
      <alignment horizontal="center" vertical="center"/>
    </xf>
    <xf numFmtId="3" fontId="14" fillId="0" borderId="39" xfId="0" applyNumberFormat="1" applyFont="1" applyBorder="1" applyAlignment="1">
      <alignment horizontal="center" vertical="center"/>
    </xf>
    <xf numFmtId="3" fontId="14" fillId="0" borderId="42" xfId="0" applyNumberFormat="1" applyFont="1" applyBorder="1" applyAlignment="1">
      <alignment horizontal="center" vertical="center"/>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14" fillId="0" borderId="0" xfId="0" applyFont="1"/>
    <xf numFmtId="0" fontId="0" fillId="0" borderId="0" xfId="0"/>
    <xf numFmtId="0" fontId="0" fillId="0" borderId="4" xfId="0" applyBorder="1" applyAlignment="1">
      <alignment horizontal="center" vertical="center" wrapText="1"/>
    </xf>
    <xf numFmtId="0" fontId="30" fillId="0" borderId="0" xfId="14" applyFont="1" applyAlignment="1">
      <alignment horizontal="left" vertical="center" wrapText="1"/>
    </xf>
    <xf numFmtId="0" fontId="98" fillId="0" borderId="0" xfId="217" applyFont="1" applyAlignment="1">
      <alignment horizontal="left" vertical="center" wrapText="1"/>
    </xf>
    <xf numFmtId="0" fontId="24" fillId="0" borderId="48" xfId="217" applyFont="1" applyBorder="1" applyAlignment="1">
      <alignment horizontal="center" wrapText="1"/>
    </xf>
    <xf numFmtId="0" fontId="24" fillId="0" borderId="1" xfId="217" applyFont="1" applyBorder="1" applyAlignment="1">
      <alignment horizontal="center" wrapText="1"/>
    </xf>
    <xf numFmtId="0" fontId="24" fillId="0" borderId="28" xfId="217" applyFont="1" applyBorder="1" applyAlignment="1">
      <alignment horizontal="center" wrapText="1"/>
    </xf>
    <xf numFmtId="0" fontId="24" fillId="0" borderId="146" xfId="217" applyFont="1" applyBorder="1" applyAlignment="1">
      <alignment horizontal="center"/>
    </xf>
    <xf numFmtId="0" fontId="24" fillId="0" borderId="0" xfId="217" applyFont="1" applyAlignment="1">
      <alignment horizontal="center"/>
    </xf>
    <xf numFmtId="0" fontId="24" fillId="0" borderId="29" xfId="217" applyFont="1" applyBorder="1" applyAlignment="1">
      <alignment horizontal="center"/>
    </xf>
    <xf numFmtId="0" fontId="28" fillId="0" borderId="146" xfId="217" applyFont="1" applyBorder="1" applyAlignment="1">
      <alignment horizontal="center"/>
    </xf>
    <xf numFmtId="0" fontId="28" fillId="0" borderId="0" xfId="217" applyFont="1" applyAlignment="1">
      <alignment horizontal="center"/>
    </xf>
    <xf numFmtId="0" fontId="28" fillId="0" borderId="29" xfId="217" applyFont="1" applyBorder="1" applyAlignment="1">
      <alignment horizontal="center"/>
    </xf>
    <xf numFmtId="0" fontId="24" fillId="0" borderId="146" xfId="217" applyFont="1" applyBorder="1" applyAlignment="1">
      <alignment horizontal="center" vertical="center"/>
    </xf>
    <xf numFmtId="0" fontId="24" fillId="0" borderId="0" xfId="217" applyFont="1" applyAlignment="1">
      <alignment horizontal="center" vertical="center"/>
    </xf>
    <xf numFmtId="0" fontId="24" fillId="0" borderId="29" xfId="217" applyFont="1" applyBorder="1" applyAlignment="1">
      <alignment horizontal="center" vertical="center"/>
    </xf>
    <xf numFmtId="0" fontId="0" fillId="0" borderId="97" xfId="0" applyBorder="1" applyAlignment="1">
      <alignment horizontal="center" vertical="center" textRotation="90" wrapText="1"/>
    </xf>
    <xf numFmtId="0" fontId="0" fillId="0" borderId="98" xfId="0" applyBorder="1" applyAlignment="1">
      <alignment horizontal="center" vertical="center" textRotation="90" wrapText="1"/>
    </xf>
    <xf numFmtId="3" fontId="14" fillId="0" borderId="33" xfId="0" applyNumberFormat="1" applyFont="1" applyBorder="1" applyAlignment="1">
      <alignment horizontal="center" vertical="center"/>
    </xf>
    <xf numFmtId="0" fontId="0" fillId="0" borderId="60" xfId="0" applyBorder="1" applyAlignment="1">
      <alignment horizontal="center"/>
    </xf>
    <xf numFmtId="0" fontId="0" fillId="0" borderId="0" xfId="0" applyAlignment="1">
      <alignment horizontal="center"/>
    </xf>
    <xf numFmtId="168" fontId="46" fillId="0" borderId="25" xfId="5" quotePrefix="1" applyNumberFormat="1" applyFont="1" applyBorder="1" applyAlignment="1">
      <alignment horizontal="center" vertical="center" wrapText="1"/>
    </xf>
    <xf numFmtId="168" fontId="21" fillId="0" borderId="25" xfId="5" quotePrefix="1" applyNumberFormat="1" applyFont="1" applyBorder="1" applyAlignment="1">
      <alignment horizontal="center" vertical="center"/>
    </xf>
    <xf numFmtId="168" fontId="21" fillId="0" borderId="24" xfId="216" quotePrefix="1" applyNumberFormat="1" applyFont="1" applyFill="1" applyBorder="1" applyAlignment="1">
      <alignment horizontal="center" vertical="center" wrapText="1"/>
    </xf>
    <xf numFmtId="0" fontId="12" fillId="0" borderId="0" xfId="14" applyFont="1" applyAlignment="1">
      <alignment horizontal="center"/>
    </xf>
    <xf numFmtId="0" fontId="12" fillId="0" borderId="29" xfId="14" applyFont="1" applyBorder="1" applyAlignment="1">
      <alignment horizontal="center"/>
    </xf>
  </cellXfs>
  <cellStyles count="1194">
    <cellStyle name="?_x001d_?½_x000c_'ÿ-_x000a_ ÿU_x0001_?_x0005_ˆ_x0008__x0007__x0001__x0001_" xfId="10" xr:uid="{00000000-0005-0000-0000-000000000000}"/>
    <cellStyle name="20 % - Accent1" xfId="237" builtinId="30" customBuiltin="1"/>
    <cellStyle name="20 % - Accent1 2" xfId="781" xr:uid="{00000000-0005-0000-0000-000002000000}"/>
    <cellStyle name="20 % - Accent1 2 2" xfId="1098" xr:uid="{00000000-0005-0000-0000-000003000000}"/>
    <cellStyle name="20 % - Accent1 3" xfId="860" xr:uid="{00000000-0005-0000-0000-000004000000}"/>
    <cellStyle name="20 % - Accent1 3 2" xfId="1176" xr:uid="{00000000-0005-0000-0000-000005000000}"/>
    <cellStyle name="20 % - Accent1 4" xfId="888" xr:uid="{00000000-0005-0000-0000-000006000000}"/>
    <cellStyle name="20 % - Accent2" xfId="241" builtinId="34" customBuiltin="1"/>
    <cellStyle name="20 % - Accent2 2" xfId="783" xr:uid="{00000000-0005-0000-0000-000008000000}"/>
    <cellStyle name="20 % - Accent2 2 2" xfId="1100" xr:uid="{00000000-0005-0000-0000-000009000000}"/>
    <cellStyle name="20 % - Accent2 3" xfId="862" xr:uid="{00000000-0005-0000-0000-00000A000000}"/>
    <cellStyle name="20 % - Accent2 3 2" xfId="1178" xr:uid="{00000000-0005-0000-0000-00000B000000}"/>
    <cellStyle name="20 % - Accent2 4" xfId="890" xr:uid="{00000000-0005-0000-0000-00000C000000}"/>
    <cellStyle name="20 % - Accent3" xfId="245" builtinId="38" customBuiltin="1"/>
    <cellStyle name="20 % - Accent3 2" xfId="785" xr:uid="{00000000-0005-0000-0000-00000E000000}"/>
    <cellStyle name="20 % - Accent3 2 2" xfId="1102" xr:uid="{00000000-0005-0000-0000-00000F000000}"/>
    <cellStyle name="20 % - Accent3 3" xfId="864" xr:uid="{00000000-0005-0000-0000-000010000000}"/>
    <cellStyle name="20 % - Accent3 3 2" xfId="1180" xr:uid="{00000000-0005-0000-0000-000011000000}"/>
    <cellStyle name="20 % - Accent3 4" xfId="892" xr:uid="{00000000-0005-0000-0000-000012000000}"/>
    <cellStyle name="20 % - Accent4" xfId="249" builtinId="42" customBuiltin="1"/>
    <cellStyle name="20 % - Accent4 2" xfId="787" xr:uid="{00000000-0005-0000-0000-000014000000}"/>
    <cellStyle name="20 % - Accent4 2 2" xfId="1104" xr:uid="{00000000-0005-0000-0000-000015000000}"/>
    <cellStyle name="20 % - Accent4 3" xfId="866" xr:uid="{00000000-0005-0000-0000-000016000000}"/>
    <cellStyle name="20 % - Accent4 3 2" xfId="1182" xr:uid="{00000000-0005-0000-0000-000017000000}"/>
    <cellStyle name="20 % - Accent4 4" xfId="894" xr:uid="{00000000-0005-0000-0000-000018000000}"/>
    <cellStyle name="20 % - Accent5" xfId="253" builtinId="46" customBuiltin="1"/>
    <cellStyle name="20 % - Accent5 2" xfId="789" xr:uid="{00000000-0005-0000-0000-00001A000000}"/>
    <cellStyle name="20 % - Accent5 2 2" xfId="1106" xr:uid="{00000000-0005-0000-0000-00001B000000}"/>
    <cellStyle name="20 % - Accent5 3" xfId="868" xr:uid="{00000000-0005-0000-0000-00001C000000}"/>
    <cellStyle name="20 % - Accent5 3 2" xfId="1184" xr:uid="{00000000-0005-0000-0000-00001D000000}"/>
    <cellStyle name="20 % - Accent5 4" xfId="896" xr:uid="{00000000-0005-0000-0000-00001E000000}"/>
    <cellStyle name="20 % - Accent6" xfId="257" builtinId="50" customBuiltin="1"/>
    <cellStyle name="20 % - Accent6 2" xfId="791" xr:uid="{00000000-0005-0000-0000-000020000000}"/>
    <cellStyle name="20 % - Accent6 2 2" xfId="1108" xr:uid="{00000000-0005-0000-0000-000021000000}"/>
    <cellStyle name="20 % - Accent6 3" xfId="870" xr:uid="{00000000-0005-0000-0000-000022000000}"/>
    <cellStyle name="20 % - Accent6 3 2" xfId="1186" xr:uid="{00000000-0005-0000-0000-000023000000}"/>
    <cellStyle name="20 % - Accent6 4" xfId="898" xr:uid="{00000000-0005-0000-0000-000024000000}"/>
    <cellStyle name="40 % - Accent1" xfId="238" builtinId="31" customBuiltin="1"/>
    <cellStyle name="40 % - Accent1 2" xfId="782" xr:uid="{00000000-0005-0000-0000-000026000000}"/>
    <cellStyle name="40 % - Accent1 2 2" xfId="1099" xr:uid="{00000000-0005-0000-0000-000027000000}"/>
    <cellStyle name="40 % - Accent1 3" xfId="861" xr:uid="{00000000-0005-0000-0000-000028000000}"/>
    <cellStyle name="40 % - Accent1 3 2" xfId="1177" xr:uid="{00000000-0005-0000-0000-000029000000}"/>
    <cellStyle name="40 % - Accent1 4" xfId="889" xr:uid="{00000000-0005-0000-0000-00002A000000}"/>
    <cellStyle name="40 % - Accent2" xfId="242" builtinId="35" customBuiltin="1"/>
    <cellStyle name="40 % - Accent2 2" xfId="784" xr:uid="{00000000-0005-0000-0000-00002C000000}"/>
    <cellStyle name="40 % - Accent2 2 2" xfId="1101" xr:uid="{00000000-0005-0000-0000-00002D000000}"/>
    <cellStyle name="40 % - Accent2 3" xfId="863" xr:uid="{00000000-0005-0000-0000-00002E000000}"/>
    <cellStyle name="40 % - Accent2 3 2" xfId="1179" xr:uid="{00000000-0005-0000-0000-00002F000000}"/>
    <cellStyle name="40 % - Accent2 4" xfId="891" xr:uid="{00000000-0005-0000-0000-000030000000}"/>
    <cellStyle name="40 % - Accent3" xfId="246" builtinId="39" customBuiltin="1"/>
    <cellStyle name="40 % - Accent3 2" xfId="786" xr:uid="{00000000-0005-0000-0000-000032000000}"/>
    <cellStyle name="40 % - Accent3 2 2" xfId="1103" xr:uid="{00000000-0005-0000-0000-000033000000}"/>
    <cellStyle name="40 % - Accent3 3" xfId="865" xr:uid="{00000000-0005-0000-0000-000034000000}"/>
    <cellStyle name="40 % - Accent3 3 2" xfId="1181" xr:uid="{00000000-0005-0000-0000-000035000000}"/>
    <cellStyle name="40 % - Accent3 4" xfId="893" xr:uid="{00000000-0005-0000-0000-000036000000}"/>
    <cellStyle name="40 % - Accent4" xfId="250" builtinId="43" customBuiltin="1"/>
    <cellStyle name="40 % - Accent4 2" xfId="788" xr:uid="{00000000-0005-0000-0000-000038000000}"/>
    <cellStyle name="40 % - Accent4 2 2" xfId="1105" xr:uid="{00000000-0005-0000-0000-000039000000}"/>
    <cellStyle name="40 % - Accent4 3" xfId="867" xr:uid="{00000000-0005-0000-0000-00003A000000}"/>
    <cellStyle name="40 % - Accent4 3 2" xfId="1183" xr:uid="{00000000-0005-0000-0000-00003B000000}"/>
    <cellStyle name="40 % - Accent4 4" xfId="895" xr:uid="{00000000-0005-0000-0000-00003C000000}"/>
    <cellStyle name="40 % - Accent5" xfId="254" builtinId="47" customBuiltin="1"/>
    <cellStyle name="40 % - Accent5 2" xfId="790" xr:uid="{00000000-0005-0000-0000-00003E000000}"/>
    <cellStyle name="40 % - Accent5 2 2" xfId="1107" xr:uid="{00000000-0005-0000-0000-00003F000000}"/>
    <cellStyle name="40 % - Accent5 3" xfId="869" xr:uid="{00000000-0005-0000-0000-000040000000}"/>
    <cellStyle name="40 % - Accent5 3 2" xfId="1185" xr:uid="{00000000-0005-0000-0000-000041000000}"/>
    <cellStyle name="40 % - Accent5 4" xfId="897" xr:uid="{00000000-0005-0000-0000-000042000000}"/>
    <cellStyle name="40 % - Accent6" xfId="258" builtinId="51" customBuiltin="1"/>
    <cellStyle name="40 % - Accent6 2" xfId="792" xr:uid="{00000000-0005-0000-0000-000044000000}"/>
    <cellStyle name="40 % - Accent6 2 2" xfId="1109" xr:uid="{00000000-0005-0000-0000-000045000000}"/>
    <cellStyle name="40 % - Accent6 3" xfId="871" xr:uid="{00000000-0005-0000-0000-000046000000}"/>
    <cellStyle name="40 % - Accent6 3 2" xfId="1187" xr:uid="{00000000-0005-0000-0000-000047000000}"/>
    <cellStyle name="40 % - Accent6 4" xfId="899" xr:uid="{00000000-0005-0000-0000-000048000000}"/>
    <cellStyle name="60 % - Accent1" xfId="239" builtinId="32" customBuiltin="1"/>
    <cellStyle name="60 % - Accent2" xfId="243" builtinId="36" customBuiltin="1"/>
    <cellStyle name="60 % - Accent3" xfId="247" builtinId="40" customBuiltin="1"/>
    <cellStyle name="60 % - Accent4" xfId="251" builtinId="44" customBuiltin="1"/>
    <cellStyle name="60 % - Accent5" xfId="255" builtinId="48" customBuiltin="1"/>
    <cellStyle name="60 % - Accent6" xfId="259" builtinId="52" customBuiltin="1"/>
    <cellStyle name="Accent1" xfId="236" builtinId="29" customBuiltin="1"/>
    <cellStyle name="Accent2" xfId="240" builtinId="33" customBuiltin="1"/>
    <cellStyle name="Accent3" xfId="244" builtinId="37" customBuiltin="1"/>
    <cellStyle name="Accent4" xfId="248" builtinId="41" customBuiltin="1"/>
    <cellStyle name="Accent5" xfId="252" builtinId="45" customBuiltin="1"/>
    <cellStyle name="Accent6" xfId="256" builtinId="49" customBuiltin="1"/>
    <cellStyle name="Avertissement" xfId="233" builtinId="11" customBuiltin="1"/>
    <cellStyle name="Calcul" xfId="230" builtinId="22" customBuiltin="1"/>
    <cellStyle name="Cellule liée" xfId="231" builtinId="24" customBuiltin="1"/>
    <cellStyle name="Comma 2" xfId="264" xr:uid="{00000000-0005-0000-0000-000058000000}"/>
    <cellStyle name="Comma 2 2" xfId="265" xr:uid="{00000000-0005-0000-0000-000059000000}"/>
    <cellStyle name="Comma 2 2 2" xfId="266" xr:uid="{00000000-0005-0000-0000-00005A000000}"/>
    <cellStyle name="Comma 2 2 2 2" xfId="267" xr:uid="{00000000-0005-0000-0000-00005B000000}"/>
    <cellStyle name="Comma 2 2 2 2 2" xfId="970" xr:uid="{00000000-0005-0000-0000-00005C000000}"/>
    <cellStyle name="Comma 2 2 2 3" xfId="268" xr:uid="{00000000-0005-0000-0000-00005D000000}"/>
    <cellStyle name="Comma 2 2 2 3 2" xfId="971" xr:uid="{00000000-0005-0000-0000-00005E000000}"/>
    <cellStyle name="Comma 2 2 3" xfId="269" xr:uid="{00000000-0005-0000-0000-00005F000000}"/>
    <cellStyle name="Comma 2 2 4" xfId="969" xr:uid="{00000000-0005-0000-0000-000060000000}"/>
    <cellStyle name="Comma 2 3" xfId="270" xr:uid="{00000000-0005-0000-0000-000061000000}"/>
    <cellStyle name="Comma 2 3 2" xfId="972" xr:uid="{00000000-0005-0000-0000-000062000000}"/>
    <cellStyle name="Comma 2 4" xfId="271" xr:uid="{00000000-0005-0000-0000-000063000000}"/>
    <cellStyle name="Comma 2 4 2" xfId="973" xr:uid="{00000000-0005-0000-0000-000064000000}"/>
    <cellStyle name="Comma 2 5" xfId="272" xr:uid="{00000000-0005-0000-0000-000065000000}"/>
    <cellStyle name="Comma 2 5 2" xfId="974" xr:uid="{00000000-0005-0000-0000-000066000000}"/>
    <cellStyle name="Comma 2 6" xfId="273" xr:uid="{00000000-0005-0000-0000-000067000000}"/>
    <cellStyle name="Comma 2 6 2" xfId="975" xr:uid="{00000000-0005-0000-0000-000068000000}"/>
    <cellStyle name="Comma 2 7" xfId="274" xr:uid="{00000000-0005-0000-0000-000069000000}"/>
    <cellStyle name="Comma 2 7 2" xfId="976" xr:uid="{00000000-0005-0000-0000-00006A000000}"/>
    <cellStyle name="Commentaire 2" xfId="275" xr:uid="{00000000-0005-0000-0000-00006B000000}"/>
    <cellStyle name="Commentaire 2 2" xfId="276" xr:uid="{00000000-0005-0000-0000-00006C000000}"/>
    <cellStyle name="Commentaire 2 2 2" xfId="794" xr:uid="{00000000-0005-0000-0000-00006D000000}"/>
    <cellStyle name="Commentaire 2 2 2 2" xfId="1111" xr:uid="{00000000-0005-0000-0000-00006E000000}"/>
    <cellStyle name="Commentaire 2 2 3" xfId="978" xr:uid="{00000000-0005-0000-0000-00006F000000}"/>
    <cellStyle name="Commentaire 2 3" xfId="277" xr:uid="{00000000-0005-0000-0000-000070000000}"/>
    <cellStyle name="Commentaire 2 3 2" xfId="795" xr:uid="{00000000-0005-0000-0000-000071000000}"/>
    <cellStyle name="Commentaire 2 3 2 2" xfId="1112" xr:uid="{00000000-0005-0000-0000-000072000000}"/>
    <cellStyle name="Commentaire 2 3 3" xfId="979" xr:uid="{00000000-0005-0000-0000-000073000000}"/>
    <cellStyle name="Commentaire 2 4" xfId="278" xr:uid="{00000000-0005-0000-0000-000074000000}"/>
    <cellStyle name="Commentaire 2 4 2" xfId="796" xr:uid="{00000000-0005-0000-0000-000075000000}"/>
    <cellStyle name="Commentaire 2 4 2 2" xfId="1113" xr:uid="{00000000-0005-0000-0000-000076000000}"/>
    <cellStyle name="Commentaire 2 4 3" xfId="980" xr:uid="{00000000-0005-0000-0000-000077000000}"/>
    <cellStyle name="Commentaire 2 5" xfId="279" xr:uid="{00000000-0005-0000-0000-000078000000}"/>
    <cellStyle name="Commentaire 2 5 2" xfId="797" xr:uid="{00000000-0005-0000-0000-000079000000}"/>
    <cellStyle name="Commentaire 2 5 2 2" xfId="1114" xr:uid="{00000000-0005-0000-0000-00007A000000}"/>
    <cellStyle name="Commentaire 2 5 3" xfId="981" xr:uid="{00000000-0005-0000-0000-00007B000000}"/>
    <cellStyle name="Commentaire 2 6" xfId="793" xr:uid="{00000000-0005-0000-0000-00007C000000}"/>
    <cellStyle name="Commentaire 2 6 2" xfId="1110" xr:uid="{00000000-0005-0000-0000-00007D000000}"/>
    <cellStyle name="Commentaire 2 7" xfId="977" xr:uid="{00000000-0005-0000-0000-00007E000000}"/>
    <cellStyle name="Commentaire 3" xfId="280" xr:uid="{00000000-0005-0000-0000-00007F000000}"/>
    <cellStyle name="Commentaire 3 2" xfId="281" xr:uid="{00000000-0005-0000-0000-000080000000}"/>
    <cellStyle name="Commentaire 3 2 2" xfId="799" xr:uid="{00000000-0005-0000-0000-000081000000}"/>
    <cellStyle name="Commentaire 3 2 2 2" xfId="1116" xr:uid="{00000000-0005-0000-0000-000082000000}"/>
    <cellStyle name="Commentaire 3 2 3" xfId="983" xr:uid="{00000000-0005-0000-0000-000083000000}"/>
    <cellStyle name="Commentaire 3 3" xfId="282" xr:uid="{00000000-0005-0000-0000-000084000000}"/>
    <cellStyle name="Commentaire 3 3 2" xfId="800" xr:uid="{00000000-0005-0000-0000-000085000000}"/>
    <cellStyle name="Commentaire 3 3 2 2" xfId="1117" xr:uid="{00000000-0005-0000-0000-000086000000}"/>
    <cellStyle name="Commentaire 3 3 3" xfId="984" xr:uid="{00000000-0005-0000-0000-000087000000}"/>
    <cellStyle name="Commentaire 3 4" xfId="283" xr:uid="{00000000-0005-0000-0000-000088000000}"/>
    <cellStyle name="Commentaire 3 4 2" xfId="801" xr:uid="{00000000-0005-0000-0000-000089000000}"/>
    <cellStyle name="Commentaire 3 4 2 2" xfId="1118" xr:uid="{00000000-0005-0000-0000-00008A000000}"/>
    <cellStyle name="Commentaire 3 4 3" xfId="985" xr:uid="{00000000-0005-0000-0000-00008B000000}"/>
    <cellStyle name="Commentaire 3 5" xfId="284" xr:uid="{00000000-0005-0000-0000-00008C000000}"/>
    <cellStyle name="Commentaire 3 5 2" xfId="802" xr:uid="{00000000-0005-0000-0000-00008D000000}"/>
    <cellStyle name="Commentaire 3 5 2 2" xfId="1119" xr:uid="{00000000-0005-0000-0000-00008E000000}"/>
    <cellStyle name="Commentaire 3 5 3" xfId="986" xr:uid="{00000000-0005-0000-0000-00008F000000}"/>
    <cellStyle name="Commentaire 3 6" xfId="798" xr:uid="{00000000-0005-0000-0000-000090000000}"/>
    <cellStyle name="Commentaire 3 6 2" xfId="1115" xr:uid="{00000000-0005-0000-0000-000091000000}"/>
    <cellStyle name="Commentaire 3 7" xfId="982" xr:uid="{00000000-0005-0000-0000-000092000000}"/>
    <cellStyle name="Commentaire 4" xfId="285" xr:uid="{00000000-0005-0000-0000-000093000000}"/>
    <cellStyle name="Commentaire 4 2" xfId="286" xr:uid="{00000000-0005-0000-0000-000094000000}"/>
    <cellStyle name="Commentaire 4 2 2" xfId="804" xr:uid="{00000000-0005-0000-0000-000095000000}"/>
    <cellStyle name="Commentaire 4 2 2 2" xfId="1121" xr:uid="{00000000-0005-0000-0000-000096000000}"/>
    <cellStyle name="Commentaire 4 2 3" xfId="988" xr:uid="{00000000-0005-0000-0000-000097000000}"/>
    <cellStyle name="Commentaire 4 3" xfId="287" xr:uid="{00000000-0005-0000-0000-000098000000}"/>
    <cellStyle name="Commentaire 4 3 2" xfId="805" xr:uid="{00000000-0005-0000-0000-000099000000}"/>
    <cellStyle name="Commentaire 4 3 2 2" xfId="1122" xr:uid="{00000000-0005-0000-0000-00009A000000}"/>
    <cellStyle name="Commentaire 4 3 3" xfId="989" xr:uid="{00000000-0005-0000-0000-00009B000000}"/>
    <cellStyle name="Commentaire 4 4" xfId="288" xr:uid="{00000000-0005-0000-0000-00009C000000}"/>
    <cellStyle name="Commentaire 4 4 2" xfId="806" xr:uid="{00000000-0005-0000-0000-00009D000000}"/>
    <cellStyle name="Commentaire 4 4 2 2" xfId="1123" xr:uid="{00000000-0005-0000-0000-00009E000000}"/>
    <cellStyle name="Commentaire 4 4 3" xfId="990" xr:uid="{00000000-0005-0000-0000-00009F000000}"/>
    <cellStyle name="Commentaire 4 5" xfId="289" xr:uid="{00000000-0005-0000-0000-0000A0000000}"/>
    <cellStyle name="Commentaire 4 5 2" xfId="807" xr:uid="{00000000-0005-0000-0000-0000A1000000}"/>
    <cellStyle name="Commentaire 4 5 2 2" xfId="1124" xr:uid="{00000000-0005-0000-0000-0000A2000000}"/>
    <cellStyle name="Commentaire 4 5 3" xfId="991" xr:uid="{00000000-0005-0000-0000-0000A3000000}"/>
    <cellStyle name="Commentaire 4 6" xfId="803" xr:uid="{00000000-0005-0000-0000-0000A4000000}"/>
    <cellStyle name="Commentaire 4 6 2" xfId="1120" xr:uid="{00000000-0005-0000-0000-0000A5000000}"/>
    <cellStyle name="Commentaire 4 7" xfId="987" xr:uid="{00000000-0005-0000-0000-0000A6000000}"/>
    <cellStyle name="Commentaire 5" xfId="290" xr:uid="{00000000-0005-0000-0000-0000A7000000}"/>
    <cellStyle name="Commentaire 5 2" xfId="291" xr:uid="{00000000-0005-0000-0000-0000A8000000}"/>
    <cellStyle name="Commentaire 5 2 2" xfId="809" xr:uid="{00000000-0005-0000-0000-0000A9000000}"/>
    <cellStyle name="Commentaire 5 2 2 2" xfId="1126" xr:uid="{00000000-0005-0000-0000-0000AA000000}"/>
    <cellStyle name="Commentaire 5 2 3" xfId="993" xr:uid="{00000000-0005-0000-0000-0000AB000000}"/>
    <cellStyle name="Commentaire 5 3" xfId="292" xr:uid="{00000000-0005-0000-0000-0000AC000000}"/>
    <cellStyle name="Commentaire 5 3 2" xfId="810" xr:uid="{00000000-0005-0000-0000-0000AD000000}"/>
    <cellStyle name="Commentaire 5 3 2 2" xfId="1127" xr:uid="{00000000-0005-0000-0000-0000AE000000}"/>
    <cellStyle name="Commentaire 5 3 3" xfId="994" xr:uid="{00000000-0005-0000-0000-0000AF000000}"/>
    <cellStyle name="Commentaire 5 4" xfId="293" xr:uid="{00000000-0005-0000-0000-0000B0000000}"/>
    <cellStyle name="Commentaire 5 4 2" xfId="811" xr:uid="{00000000-0005-0000-0000-0000B1000000}"/>
    <cellStyle name="Commentaire 5 4 2 2" xfId="1128" xr:uid="{00000000-0005-0000-0000-0000B2000000}"/>
    <cellStyle name="Commentaire 5 4 3" xfId="995" xr:uid="{00000000-0005-0000-0000-0000B3000000}"/>
    <cellStyle name="Commentaire 5 5" xfId="294" xr:uid="{00000000-0005-0000-0000-0000B4000000}"/>
    <cellStyle name="Commentaire 5 5 2" xfId="812" xr:uid="{00000000-0005-0000-0000-0000B5000000}"/>
    <cellStyle name="Commentaire 5 5 2 2" xfId="1129" xr:uid="{00000000-0005-0000-0000-0000B6000000}"/>
    <cellStyle name="Commentaire 5 5 3" xfId="996" xr:uid="{00000000-0005-0000-0000-0000B7000000}"/>
    <cellStyle name="Commentaire 5 6" xfId="808" xr:uid="{00000000-0005-0000-0000-0000B8000000}"/>
    <cellStyle name="Commentaire 5 6 2" xfId="1125" xr:uid="{00000000-0005-0000-0000-0000B9000000}"/>
    <cellStyle name="Commentaire 5 7" xfId="992" xr:uid="{00000000-0005-0000-0000-0000BA000000}"/>
    <cellStyle name="Commentaire 6" xfId="295" xr:uid="{00000000-0005-0000-0000-0000BB000000}"/>
    <cellStyle name="Commentaire 6 2" xfId="296" xr:uid="{00000000-0005-0000-0000-0000BC000000}"/>
    <cellStyle name="Commentaire 6 2 2" xfId="814" xr:uid="{00000000-0005-0000-0000-0000BD000000}"/>
    <cellStyle name="Commentaire 6 2 2 2" xfId="1131" xr:uid="{00000000-0005-0000-0000-0000BE000000}"/>
    <cellStyle name="Commentaire 6 2 3" xfId="998" xr:uid="{00000000-0005-0000-0000-0000BF000000}"/>
    <cellStyle name="Commentaire 6 3" xfId="297" xr:uid="{00000000-0005-0000-0000-0000C0000000}"/>
    <cellStyle name="Commentaire 6 3 2" xfId="815" xr:uid="{00000000-0005-0000-0000-0000C1000000}"/>
    <cellStyle name="Commentaire 6 3 2 2" xfId="1132" xr:uid="{00000000-0005-0000-0000-0000C2000000}"/>
    <cellStyle name="Commentaire 6 3 3" xfId="999" xr:uid="{00000000-0005-0000-0000-0000C3000000}"/>
    <cellStyle name="Commentaire 6 4" xfId="813" xr:uid="{00000000-0005-0000-0000-0000C4000000}"/>
    <cellStyle name="Commentaire 6 4 2" xfId="1130" xr:uid="{00000000-0005-0000-0000-0000C5000000}"/>
    <cellStyle name="Commentaire 6 5" xfId="997" xr:uid="{00000000-0005-0000-0000-0000C6000000}"/>
    <cellStyle name="Commentaire 7" xfId="298" xr:uid="{00000000-0005-0000-0000-0000C7000000}"/>
    <cellStyle name="Commentaire 7 2" xfId="299" xr:uid="{00000000-0005-0000-0000-0000C8000000}"/>
    <cellStyle name="Commentaire 7 2 2" xfId="817" xr:uid="{00000000-0005-0000-0000-0000C9000000}"/>
    <cellStyle name="Commentaire 7 2 2 2" xfId="1134" xr:uid="{00000000-0005-0000-0000-0000CA000000}"/>
    <cellStyle name="Commentaire 7 2 3" xfId="1001" xr:uid="{00000000-0005-0000-0000-0000CB000000}"/>
    <cellStyle name="Commentaire 7 3" xfId="300" xr:uid="{00000000-0005-0000-0000-0000CC000000}"/>
    <cellStyle name="Commentaire 7 3 2" xfId="818" xr:uid="{00000000-0005-0000-0000-0000CD000000}"/>
    <cellStyle name="Commentaire 7 3 2 2" xfId="1135" xr:uid="{00000000-0005-0000-0000-0000CE000000}"/>
    <cellStyle name="Commentaire 7 3 3" xfId="1002" xr:uid="{00000000-0005-0000-0000-0000CF000000}"/>
    <cellStyle name="Commentaire 7 4" xfId="816" xr:uid="{00000000-0005-0000-0000-0000D0000000}"/>
    <cellStyle name="Commentaire 7 4 2" xfId="1133" xr:uid="{00000000-0005-0000-0000-0000D1000000}"/>
    <cellStyle name="Commentaire 7 5" xfId="1000" xr:uid="{00000000-0005-0000-0000-0000D2000000}"/>
    <cellStyle name="contour" xfId="301" xr:uid="{00000000-0005-0000-0000-0000D3000000}"/>
    <cellStyle name="contour 10" xfId="302" xr:uid="{00000000-0005-0000-0000-0000D4000000}"/>
    <cellStyle name="contour 10 2" xfId="303" xr:uid="{00000000-0005-0000-0000-0000D5000000}"/>
    <cellStyle name="contour 10 3" xfId="304" xr:uid="{00000000-0005-0000-0000-0000D6000000}"/>
    <cellStyle name="contour 10 4" xfId="305" xr:uid="{00000000-0005-0000-0000-0000D7000000}"/>
    <cellStyle name="contour 10 5" xfId="306" xr:uid="{00000000-0005-0000-0000-0000D8000000}"/>
    <cellStyle name="contour 10 6" xfId="307" xr:uid="{00000000-0005-0000-0000-0000D9000000}"/>
    <cellStyle name="contour 11" xfId="308" xr:uid="{00000000-0005-0000-0000-0000DA000000}"/>
    <cellStyle name="contour 11 2" xfId="309" xr:uid="{00000000-0005-0000-0000-0000DB000000}"/>
    <cellStyle name="contour 11 3" xfId="310" xr:uid="{00000000-0005-0000-0000-0000DC000000}"/>
    <cellStyle name="contour 11 4" xfId="311" xr:uid="{00000000-0005-0000-0000-0000DD000000}"/>
    <cellStyle name="contour 11 5" xfId="312" xr:uid="{00000000-0005-0000-0000-0000DE000000}"/>
    <cellStyle name="contour 11 6" xfId="313" xr:uid="{00000000-0005-0000-0000-0000DF000000}"/>
    <cellStyle name="contour 12" xfId="314" xr:uid="{00000000-0005-0000-0000-0000E0000000}"/>
    <cellStyle name="contour 12 2" xfId="315" xr:uid="{00000000-0005-0000-0000-0000E1000000}"/>
    <cellStyle name="contour 12 3" xfId="316" xr:uid="{00000000-0005-0000-0000-0000E2000000}"/>
    <cellStyle name="contour 12 4" xfId="317" xr:uid="{00000000-0005-0000-0000-0000E3000000}"/>
    <cellStyle name="contour 12 5" xfId="318" xr:uid="{00000000-0005-0000-0000-0000E4000000}"/>
    <cellStyle name="contour 12 6" xfId="319" xr:uid="{00000000-0005-0000-0000-0000E5000000}"/>
    <cellStyle name="contour 13" xfId="320" xr:uid="{00000000-0005-0000-0000-0000E6000000}"/>
    <cellStyle name="contour 13 2" xfId="321" xr:uid="{00000000-0005-0000-0000-0000E7000000}"/>
    <cellStyle name="contour 13 3" xfId="322" xr:uid="{00000000-0005-0000-0000-0000E8000000}"/>
    <cellStyle name="contour 13 4" xfId="323" xr:uid="{00000000-0005-0000-0000-0000E9000000}"/>
    <cellStyle name="contour 13 5" xfId="324" xr:uid="{00000000-0005-0000-0000-0000EA000000}"/>
    <cellStyle name="contour 13 6" xfId="325" xr:uid="{00000000-0005-0000-0000-0000EB000000}"/>
    <cellStyle name="contour 14" xfId="326" xr:uid="{00000000-0005-0000-0000-0000EC000000}"/>
    <cellStyle name="contour 14 2" xfId="327" xr:uid="{00000000-0005-0000-0000-0000ED000000}"/>
    <cellStyle name="contour 14 3" xfId="328" xr:uid="{00000000-0005-0000-0000-0000EE000000}"/>
    <cellStyle name="contour 14 4" xfId="329" xr:uid="{00000000-0005-0000-0000-0000EF000000}"/>
    <cellStyle name="contour 14 5" xfId="330" xr:uid="{00000000-0005-0000-0000-0000F0000000}"/>
    <cellStyle name="contour 14 6" xfId="331" xr:uid="{00000000-0005-0000-0000-0000F1000000}"/>
    <cellStyle name="contour 15" xfId="332" xr:uid="{00000000-0005-0000-0000-0000F2000000}"/>
    <cellStyle name="contour 15 2" xfId="333" xr:uid="{00000000-0005-0000-0000-0000F3000000}"/>
    <cellStyle name="contour 15 3" xfId="334" xr:uid="{00000000-0005-0000-0000-0000F4000000}"/>
    <cellStyle name="contour 15 4" xfId="335" xr:uid="{00000000-0005-0000-0000-0000F5000000}"/>
    <cellStyle name="contour 15 5" xfId="336" xr:uid="{00000000-0005-0000-0000-0000F6000000}"/>
    <cellStyle name="contour 15 6" xfId="337" xr:uid="{00000000-0005-0000-0000-0000F7000000}"/>
    <cellStyle name="contour 16" xfId="338" xr:uid="{00000000-0005-0000-0000-0000F8000000}"/>
    <cellStyle name="contour 16 2" xfId="339" xr:uid="{00000000-0005-0000-0000-0000F9000000}"/>
    <cellStyle name="contour 16 3" xfId="340" xr:uid="{00000000-0005-0000-0000-0000FA000000}"/>
    <cellStyle name="contour 16 4" xfId="341" xr:uid="{00000000-0005-0000-0000-0000FB000000}"/>
    <cellStyle name="contour 16 5" xfId="342" xr:uid="{00000000-0005-0000-0000-0000FC000000}"/>
    <cellStyle name="contour 16 6" xfId="343" xr:uid="{00000000-0005-0000-0000-0000FD000000}"/>
    <cellStyle name="contour 17" xfId="344" xr:uid="{00000000-0005-0000-0000-0000FE000000}"/>
    <cellStyle name="contour 17 2" xfId="345" xr:uid="{00000000-0005-0000-0000-0000FF000000}"/>
    <cellStyle name="contour 17 3" xfId="346" xr:uid="{00000000-0005-0000-0000-000000010000}"/>
    <cellStyle name="contour 17 4" xfId="347" xr:uid="{00000000-0005-0000-0000-000001010000}"/>
    <cellStyle name="contour 17 5" xfId="348" xr:uid="{00000000-0005-0000-0000-000002010000}"/>
    <cellStyle name="contour 17 6" xfId="349" xr:uid="{00000000-0005-0000-0000-000003010000}"/>
    <cellStyle name="contour 18" xfId="350" xr:uid="{00000000-0005-0000-0000-000004010000}"/>
    <cellStyle name="contour 18 2" xfId="351" xr:uid="{00000000-0005-0000-0000-000005010000}"/>
    <cellStyle name="contour 18 3" xfId="352" xr:uid="{00000000-0005-0000-0000-000006010000}"/>
    <cellStyle name="contour 18 4" xfId="353" xr:uid="{00000000-0005-0000-0000-000007010000}"/>
    <cellStyle name="contour 18 5" xfId="354" xr:uid="{00000000-0005-0000-0000-000008010000}"/>
    <cellStyle name="contour 18 6" xfId="355" xr:uid="{00000000-0005-0000-0000-000009010000}"/>
    <cellStyle name="contour 2" xfId="356" xr:uid="{00000000-0005-0000-0000-00000A010000}"/>
    <cellStyle name="contour 2 2" xfId="357" xr:uid="{00000000-0005-0000-0000-00000B010000}"/>
    <cellStyle name="contour 2 3" xfId="358" xr:uid="{00000000-0005-0000-0000-00000C010000}"/>
    <cellStyle name="contour 2 4" xfId="359" xr:uid="{00000000-0005-0000-0000-00000D010000}"/>
    <cellStyle name="contour 2 5" xfId="360" xr:uid="{00000000-0005-0000-0000-00000E010000}"/>
    <cellStyle name="contour 2 6" xfId="361" xr:uid="{00000000-0005-0000-0000-00000F010000}"/>
    <cellStyle name="contour 3" xfId="362" xr:uid="{00000000-0005-0000-0000-000010010000}"/>
    <cellStyle name="contour 3 2" xfId="363" xr:uid="{00000000-0005-0000-0000-000011010000}"/>
    <cellStyle name="contour 3 3" xfId="364" xr:uid="{00000000-0005-0000-0000-000012010000}"/>
    <cellStyle name="contour 3 4" xfId="365" xr:uid="{00000000-0005-0000-0000-000013010000}"/>
    <cellStyle name="contour 3 5" xfId="366" xr:uid="{00000000-0005-0000-0000-000014010000}"/>
    <cellStyle name="contour 3 6" xfId="367" xr:uid="{00000000-0005-0000-0000-000015010000}"/>
    <cellStyle name="contour 4" xfId="368" xr:uid="{00000000-0005-0000-0000-000016010000}"/>
    <cellStyle name="contour 4 2" xfId="369" xr:uid="{00000000-0005-0000-0000-000017010000}"/>
    <cellStyle name="contour 4 3" xfId="370" xr:uid="{00000000-0005-0000-0000-000018010000}"/>
    <cellStyle name="contour 4 4" xfId="371" xr:uid="{00000000-0005-0000-0000-000019010000}"/>
    <cellStyle name="contour 4 5" xfId="372" xr:uid="{00000000-0005-0000-0000-00001A010000}"/>
    <cellStyle name="contour 4 6" xfId="373" xr:uid="{00000000-0005-0000-0000-00001B010000}"/>
    <cellStyle name="contour 5" xfId="374" xr:uid="{00000000-0005-0000-0000-00001C010000}"/>
    <cellStyle name="contour 5 2" xfId="375" xr:uid="{00000000-0005-0000-0000-00001D010000}"/>
    <cellStyle name="contour 5 3" xfId="376" xr:uid="{00000000-0005-0000-0000-00001E010000}"/>
    <cellStyle name="contour 5 4" xfId="377" xr:uid="{00000000-0005-0000-0000-00001F010000}"/>
    <cellStyle name="contour 5 5" xfId="378" xr:uid="{00000000-0005-0000-0000-000020010000}"/>
    <cellStyle name="contour 5 6" xfId="379" xr:uid="{00000000-0005-0000-0000-000021010000}"/>
    <cellStyle name="contour 6" xfId="380" xr:uid="{00000000-0005-0000-0000-000022010000}"/>
    <cellStyle name="contour 6 2" xfId="381" xr:uid="{00000000-0005-0000-0000-000023010000}"/>
    <cellStyle name="contour 6 3" xfId="382" xr:uid="{00000000-0005-0000-0000-000024010000}"/>
    <cellStyle name="contour 6 4" xfId="383" xr:uid="{00000000-0005-0000-0000-000025010000}"/>
    <cellStyle name="contour 6 5" xfId="384" xr:uid="{00000000-0005-0000-0000-000026010000}"/>
    <cellStyle name="contour 6 6" xfId="385" xr:uid="{00000000-0005-0000-0000-000027010000}"/>
    <cellStyle name="contour 7" xfId="386" xr:uid="{00000000-0005-0000-0000-000028010000}"/>
    <cellStyle name="contour 7 2" xfId="387" xr:uid="{00000000-0005-0000-0000-000029010000}"/>
    <cellStyle name="contour 7 3" xfId="388" xr:uid="{00000000-0005-0000-0000-00002A010000}"/>
    <cellStyle name="contour 7 4" xfId="389" xr:uid="{00000000-0005-0000-0000-00002B010000}"/>
    <cellStyle name="contour 7 5" xfId="390" xr:uid="{00000000-0005-0000-0000-00002C010000}"/>
    <cellStyle name="contour 7 6" xfId="391" xr:uid="{00000000-0005-0000-0000-00002D010000}"/>
    <cellStyle name="contour 8" xfId="392" xr:uid="{00000000-0005-0000-0000-00002E010000}"/>
    <cellStyle name="contour 8 2" xfId="393" xr:uid="{00000000-0005-0000-0000-00002F010000}"/>
    <cellStyle name="contour 8 3" xfId="394" xr:uid="{00000000-0005-0000-0000-000030010000}"/>
    <cellStyle name="contour 8 4" xfId="395" xr:uid="{00000000-0005-0000-0000-000031010000}"/>
    <cellStyle name="contour 8 5" xfId="396" xr:uid="{00000000-0005-0000-0000-000032010000}"/>
    <cellStyle name="contour 8 6" xfId="397" xr:uid="{00000000-0005-0000-0000-000033010000}"/>
    <cellStyle name="contour 9" xfId="398" xr:uid="{00000000-0005-0000-0000-000034010000}"/>
    <cellStyle name="contour 9 2" xfId="399" xr:uid="{00000000-0005-0000-0000-000035010000}"/>
    <cellStyle name="contour 9 3" xfId="400" xr:uid="{00000000-0005-0000-0000-000036010000}"/>
    <cellStyle name="contour 9 4" xfId="401" xr:uid="{00000000-0005-0000-0000-000037010000}"/>
    <cellStyle name="contour 9 5" xfId="402" xr:uid="{00000000-0005-0000-0000-000038010000}"/>
    <cellStyle name="contour 9 6" xfId="403" xr:uid="{00000000-0005-0000-0000-000039010000}"/>
    <cellStyle name="Entrée" xfId="228" builtinId="20" customBuiltin="1"/>
    <cellStyle name="Euro" xfId="15" xr:uid="{00000000-0005-0000-0000-00003B010000}"/>
    <cellStyle name="Euro 2" xfId="16" xr:uid="{00000000-0005-0000-0000-00003C010000}"/>
    <cellStyle name="Euro 2 2" xfId="17" xr:uid="{00000000-0005-0000-0000-00003D010000}"/>
    <cellStyle name="Euro 2 2 10" xfId="18" xr:uid="{00000000-0005-0000-0000-00003E010000}"/>
    <cellStyle name="Euro 2 2 11" xfId="19" xr:uid="{00000000-0005-0000-0000-00003F010000}"/>
    <cellStyle name="Euro 2 2 12" xfId="20" xr:uid="{00000000-0005-0000-0000-000040010000}"/>
    <cellStyle name="Euro 2 2 13" xfId="21" xr:uid="{00000000-0005-0000-0000-000041010000}"/>
    <cellStyle name="Euro 2 2 14" xfId="22" xr:uid="{00000000-0005-0000-0000-000042010000}"/>
    <cellStyle name="Euro 2 2 2" xfId="23" xr:uid="{00000000-0005-0000-0000-000043010000}"/>
    <cellStyle name="Euro 2 2 3" xfId="24" xr:uid="{00000000-0005-0000-0000-000044010000}"/>
    <cellStyle name="Euro 2 2 4" xfId="25" xr:uid="{00000000-0005-0000-0000-000045010000}"/>
    <cellStyle name="Euro 2 2 5" xfId="26" xr:uid="{00000000-0005-0000-0000-000046010000}"/>
    <cellStyle name="Euro 2 2 6" xfId="27" xr:uid="{00000000-0005-0000-0000-000047010000}"/>
    <cellStyle name="Euro 2 2 7" xfId="28" xr:uid="{00000000-0005-0000-0000-000048010000}"/>
    <cellStyle name="Euro 2 2 8" xfId="29" xr:uid="{00000000-0005-0000-0000-000049010000}"/>
    <cellStyle name="Euro 2 2 9" xfId="30" xr:uid="{00000000-0005-0000-0000-00004A010000}"/>
    <cellStyle name="Euro 2 3" xfId="406" xr:uid="{00000000-0005-0000-0000-00004B010000}"/>
    <cellStyle name="Euro 3" xfId="31" xr:uid="{00000000-0005-0000-0000-00004C010000}"/>
    <cellStyle name="Euro 3 10" xfId="32" xr:uid="{00000000-0005-0000-0000-00004D010000}"/>
    <cellStyle name="Euro 3 11" xfId="33" xr:uid="{00000000-0005-0000-0000-00004E010000}"/>
    <cellStyle name="Euro 3 12" xfId="34" xr:uid="{00000000-0005-0000-0000-00004F010000}"/>
    <cellStyle name="Euro 3 13" xfId="35" xr:uid="{00000000-0005-0000-0000-000050010000}"/>
    <cellStyle name="Euro 3 14" xfId="407" xr:uid="{00000000-0005-0000-0000-000051010000}"/>
    <cellStyle name="Euro 3 2" xfId="36" xr:uid="{00000000-0005-0000-0000-000052010000}"/>
    <cellStyle name="Euro 3 3" xfId="37" xr:uid="{00000000-0005-0000-0000-000053010000}"/>
    <cellStyle name="Euro 3 4" xfId="38" xr:uid="{00000000-0005-0000-0000-000054010000}"/>
    <cellStyle name="Euro 3 5" xfId="39" xr:uid="{00000000-0005-0000-0000-000055010000}"/>
    <cellStyle name="Euro 3 6" xfId="40" xr:uid="{00000000-0005-0000-0000-000056010000}"/>
    <cellStyle name="Euro 3 7" xfId="41" xr:uid="{00000000-0005-0000-0000-000057010000}"/>
    <cellStyle name="Euro 3 8" xfId="42" xr:uid="{00000000-0005-0000-0000-000058010000}"/>
    <cellStyle name="Euro 3 9" xfId="43" xr:uid="{00000000-0005-0000-0000-000059010000}"/>
    <cellStyle name="Euro 4" xfId="408" xr:uid="{00000000-0005-0000-0000-00005A010000}"/>
    <cellStyle name="Euro 5" xfId="409" xr:uid="{00000000-0005-0000-0000-00005B010000}"/>
    <cellStyle name="Euro 6" xfId="405" xr:uid="{00000000-0005-0000-0000-00005C010000}"/>
    <cellStyle name="Excel_BuiltIn_Comma" xfId="44" xr:uid="{00000000-0005-0000-0000-00005D010000}"/>
    <cellStyle name="gras et souligné" xfId="410" xr:uid="{00000000-0005-0000-0000-00005E010000}"/>
    <cellStyle name="gras et trame moyenne" xfId="411" xr:uid="{00000000-0005-0000-0000-00005F010000}"/>
    <cellStyle name="Heading" xfId="45" xr:uid="{00000000-0005-0000-0000-000060010000}"/>
    <cellStyle name="Heading1" xfId="46" xr:uid="{00000000-0005-0000-0000-000061010000}"/>
    <cellStyle name="Insatisfaisant" xfId="226" builtinId="27" customBuiltin="1"/>
    <cellStyle name="Lien hypertexte" xfId="218" builtinId="8"/>
    <cellStyle name="Lien hypertexte 2" xfId="413" xr:uid="{00000000-0005-0000-0000-000064010000}"/>
    <cellStyle name="Lien hypertexte 3" xfId="770" xr:uid="{00000000-0005-0000-0000-000065010000}"/>
    <cellStyle name="Milliers" xfId="1" builtinId="3"/>
    <cellStyle name="Milliers [0]" xfId="1193" builtinId="6"/>
    <cellStyle name="Milliers 10" xfId="1189" xr:uid="{00000000-0005-0000-0000-000067010000}"/>
    <cellStyle name="Milliers 11" xfId="415" xr:uid="{00000000-0005-0000-0000-000068010000}"/>
    <cellStyle name="Milliers 11 2" xfId="416" xr:uid="{00000000-0005-0000-0000-000069010000}"/>
    <cellStyle name="Milliers 11 2 2" xfId="1004" xr:uid="{00000000-0005-0000-0000-00006A010000}"/>
    <cellStyle name="Milliers 11 3" xfId="417" xr:uid="{00000000-0005-0000-0000-00006B010000}"/>
    <cellStyle name="Milliers 11 3 2" xfId="1005" xr:uid="{00000000-0005-0000-0000-00006C010000}"/>
    <cellStyle name="Milliers 11 4" xfId="1003" xr:uid="{00000000-0005-0000-0000-00006D010000}"/>
    <cellStyle name="Milliers 2" xfId="12" xr:uid="{00000000-0005-0000-0000-00006E010000}"/>
    <cellStyle name="Milliers 2 10" xfId="904" xr:uid="{00000000-0005-0000-0000-00006F010000}"/>
    <cellStyle name="Milliers 2 11" xfId="874" xr:uid="{00000000-0005-0000-0000-000070010000}"/>
    <cellStyle name="Milliers 2 2" xfId="47" xr:uid="{00000000-0005-0000-0000-000071010000}"/>
    <cellStyle name="Milliers 2 2 10" xfId="48" xr:uid="{00000000-0005-0000-0000-000072010000}"/>
    <cellStyle name="Milliers 2 2 10 2" xfId="420" xr:uid="{00000000-0005-0000-0000-000073010000}"/>
    <cellStyle name="Milliers 2 2 10 2 2" xfId="1006" xr:uid="{00000000-0005-0000-0000-000074010000}"/>
    <cellStyle name="Milliers 2 2 10 3" xfId="908" xr:uid="{00000000-0005-0000-0000-000075010000}"/>
    <cellStyle name="Milliers 2 2 11" xfId="49" xr:uid="{00000000-0005-0000-0000-000076010000}"/>
    <cellStyle name="Milliers 2 2 11 2" xfId="421" xr:uid="{00000000-0005-0000-0000-000077010000}"/>
    <cellStyle name="Milliers 2 2 11 2 2" xfId="1007" xr:uid="{00000000-0005-0000-0000-000078010000}"/>
    <cellStyle name="Milliers 2 2 11 3" xfId="909" xr:uid="{00000000-0005-0000-0000-000079010000}"/>
    <cellStyle name="Milliers 2 2 12" xfId="50" xr:uid="{00000000-0005-0000-0000-00007A010000}"/>
    <cellStyle name="Milliers 2 2 12 2" xfId="910" xr:uid="{00000000-0005-0000-0000-00007B010000}"/>
    <cellStyle name="Milliers 2 2 13" xfId="51" xr:uid="{00000000-0005-0000-0000-00007C010000}"/>
    <cellStyle name="Milliers 2 2 13 2" xfId="911" xr:uid="{00000000-0005-0000-0000-00007D010000}"/>
    <cellStyle name="Milliers 2 2 14" xfId="52" xr:uid="{00000000-0005-0000-0000-00007E010000}"/>
    <cellStyle name="Milliers 2 2 14 2" xfId="912" xr:uid="{00000000-0005-0000-0000-00007F010000}"/>
    <cellStyle name="Milliers 2 2 15" xfId="419" xr:uid="{00000000-0005-0000-0000-000080010000}"/>
    <cellStyle name="Milliers 2 2 16" xfId="907" xr:uid="{00000000-0005-0000-0000-000081010000}"/>
    <cellStyle name="Milliers 2 2 17" xfId="875" xr:uid="{00000000-0005-0000-0000-000082010000}"/>
    <cellStyle name="Milliers 2 2 2" xfId="53" xr:uid="{00000000-0005-0000-0000-000083010000}"/>
    <cellStyle name="Milliers 2 2 2 10" xfId="876" xr:uid="{00000000-0005-0000-0000-000084010000}"/>
    <cellStyle name="Milliers 2 2 2 2" xfId="423" xr:uid="{00000000-0005-0000-0000-000085010000}"/>
    <cellStyle name="Milliers 2 2 2 2 2" xfId="424" xr:uid="{00000000-0005-0000-0000-000086010000}"/>
    <cellStyle name="Milliers 2 2 2 2 2 2" xfId="425" xr:uid="{00000000-0005-0000-0000-000087010000}"/>
    <cellStyle name="Milliers 2 2 2 2 2 2 2" xfId="426" xr:uid="{00000000-0005-0000-0000-000088010000}"/>
    <cellStyle name="Milliers 2 2 2 2 2 2 2 2" xfId="427" xr:uid="{00000000-0005-0000-0000-000089010000}"/>
    <cellStyle name="Milliers 2 2 2 2 2 2 2 2 2" xfId="428" xr:uid="{00000000-0005-0000-0000-00008A010000}"/>
    <cellStyle name="Milliers 2 2 2 2 2 2 2 2 2 2" xfId="429" xr:uid="{00000000-0005-0000-0000-00008B010000}"/>
    <cellStyle name="Milliers 2 2 2 2 2 2 2 2 2 2 2" xfId="430" xr:uid="{00000000-0005-0000-0000-00008C010000}"/>
    <cellStyle name="Milliers 2 2 2 2 2 2 2 2 2 2 2 2" xfId="431" xr:uid="{00000000-0005-0000-0000-00008D010000}"/>
    <cellStyle name="Milliers 2 2 2 2 2 2 2 2 2 2 2 3" xfId="1012" xr:uid="{00000000-0005-0000-0000-00008E010000}"/>
    <cellStyle name="Milliers 2 2 2 2 2 2 2 2 2 3" xfId="432" xr:uid="{00000000-0005-0000-0000-00008F010000}"/>
    <cellStyle name="Milliers 2 2 2 2 2 2 2 2 2 4" xfId="1011" xr:uid="{00000000-0005-0000-0000-000090010000}"/>
    <cellStyle name="Milliers 2 2 2 2 2 2 2 2 3" xfId="433" xr:uid="{00000000-0005-0000-0000-000091010000}"/>
    <cellStyle name="Milliers 2 2 2 2 2 2 2 2 3 2" xfId="1013" xr:uid="{00000000-0005-0000-0000-000092010000}"/>
    <cellStyle name="Milliers 2 2 2 2 2 2 2 3" xfId="434" xr:uid="{00000000-0005-0000-0000-000093010000}"/>
    <cellStyle name="Milliers 2 2 2 2 2 2 2 4" xfId="435" xr:uid="{00000000-0005-0000-0000-000094010000}"/>
    <cellStyle name="Milliers 2 2 2 2 2 2 2 5" xfId="436" xr:uid="{00000000-0005-0000-0000-000095010000}"/>
    <cellStyle name="Milliers 2 2 2 2 2 2 2 6" xfId="1010" xr:uid="{00000000-0005-0000-0000-000096010000}"/>
    <cellStyle name="Milliers 2 2 2 2 2 2 3" xfId="437" xr:uid="{00000000-0005-0000-0000-000097010000}"/>
    <cellStyle name="Milliers 2 2 2 2 2 2 3 2" xfId="1014" xr:uid="{00000000-0005-0000-0000-000098010000}"/>
    <cellStyle name="Milliers 2 2 2 2 2 2 4" xfId="438" xr:uid="{00000000-0005-0000-0000-000099010000}"/>
    <cellStyle name="Milliers 2 2 2 2 2 2 4 2" xfId="1015" xr:uid="{00000000-0005-0000-0000-00009A010000}"/>
    <cellStyle name="Milliers 2 2 2 2 2 2 5" xfId="439" xr:uid="{00000000-0005-0000-0000-00009B010000}"/>
    <cellStyle name="Milliers 2 2 2 2 2 2 5 2" xfId="1016" xr:uid="{00000000-0005-0000-0000-00009C010000}"/>
    <cellStyle name="Milliers 2 2 2 2 2 3" xfId="440" xr:uid="{00000000-0005-0000-0000-00009D010000}"/>
    <cellStyle name="Milliers 2 2 2 2 2 4" xfId="441" xr:uid="{00000000-0005-0000-0000-00009E010000}"/>
    <cellStyle name="Milliers 2 2 2 2 2 5" xfId="442" xr:uid="{00000000-0005-0000-0000-00009F010000}"/>
    <cellStyle name="Milliers 2 2 2 2 2 6" xfId="443" xr:uid="{00000000-0005-0000-0000-0000A0010000}"/>
    <cellStyle name="Milliers 2 2 2 2 2 7" xfId="1009" xr:uid="{00000000-0005-0000-0000-0000A1010000}"/>
    <cellStyle name="Milliers 2 2 2 2 3" xfId="444" xr:uid="{00000000-0005-0000-0000-0000A2010000}"/>
    <cellStyle name="Milliers 2 2 2 2 3 2" xfId="1017" xr:uid="{00000000-0005-0000-0000-0000A3010000}"/>
    <cellStyle name="Milliers 2 2 2 2 4" xfId="445" xr:uid="{00000000-0005-0000-0000-0000A4010000}"/>
    <cellStyle name="Milliers 2 2 2 2 4 2" xfId="1018" xr:uid="{00000000-0005-0000-0000-0000A5010000}"/>
    <cellStyle name="Milliers 2 2 2 2 5" xfId="446" xr:uid="{00000000-0005-0000-0000-0000A6010000}"/>
    <cellStyle name="Milliers 2 2 2 2 5 2" xfId="1019" xr:uid="{00000000-0005-0000-0000-0000A7010000}"/>
    <cellStyle name="Milliers 2 2 2 2 6" xfId="447" xr:uid="{00000000-0005-0000-0000-0000A8010000}"/>
    <cellStyle name="Milliers 2 2 2 2 6 2" xfId="1020" xr:uid="{00000000-0005-0000-0000-0000A9010000}"/>
    <cellStyle name="Milliers 2 2 2 3" xfId="448" xr:uid="{00000000-0005-0000-0000-0000AA010000}"/>
    <cellStyle name="Milliers 2 2 2 3 2" xfId="449" xr:uid="{00000000-0005-0000-0000-0000AB010000}"/>
    <cellStyle name="Milliers 2 2 2 3 3" xfId="450" xr:uid="{00000000-0005-0000-0000-0000AC010000}"/>
    <cellStyle name="Milliers 2 2 2 3 4" xfId="451" xr:uid="{00000000-0005-0000-0000-0000AD010000}"/>
    <cellStyle name="Milliers 2 2 2 3 5" xfId="452" xr:uid="{00000000-0005-0000-0000-0000AE010000}"/>
    <cellStyle name="Milliers 2 2 2 4" xfId="453" xr:uid="{00000000-0005-0000-0000-0000AF010000}"/>
    <cellStyle name="Milliers 2 2 2 5" xfId="454" xr:uid="{00000000-0005-0000-0000-0000B0010000}"/>
    <cellStyle name="Milliers 2 2 2 6" xfId="455" xr:uid="{00000000-0005-0000-0000-0000B1010000}"/>
    <cellStyle name="Milliers 2 2 2 7" xfId="456" xr:uid="{00000000-0005-0000-0000-0000B2010000}"/>
    <cellStyle name="Milliers 2 2 2 8" xfId="422" xr:uid="{00000000-0005-0000-0000-0000B3010000}"/>
    <cellStyle name="Milliers 2 2 2 8 2" xfId="1008" xr:uid="{00000000-0005-0000-0000-0000B4010000}"/>
    <cellStyle name="Milliers 2 2 2 9" xfId="913" xr:uid="{00000000-0005-0000-0000-0000B5010000}"/>
    <cellStyle name="Milliers 2 2 3" xfId="54" xr:uid="{00000000-0005-0000-0000-0000B6010000}"/>
    <cellStyle name="Milliers 2 2 3 2" xfId="458" xr:uid="{00000000-0005-0000-0000-0000B7010000}"/>
    <cellStyle name="Milliers 2 2 3 2 2" xfId="1022" xr:uid="{00000000-0005-0000-0000-0000B8010000}"/>
    <cellStyle name="Milliers 2 2 3 3" xfId="459" xr:uid="{00000000-0005-0000-0000-0000B9010000}"/>
    <cellStyle name="Milliers 2 2 3 3 2" xfId="1023" xr:uid="{00000000-0005-0000-0000-0000BA010000}"/>
    <cellStyle name="Milliers 2 2 3 4" xfId="460" xr:uid="{00000000-0005-0000-0000-0000BB010000}"/>
    <cellStyle name="Milliers 2 2 3 4 2" xfId="1024" xr:uid="{00000000-0005-0000-0000-0000BC010000}"/>
    <cellStyle name="Milliers 2 2 3 5" xfId="461" xr:uid="{00000000-0005-0000-0000-0000BD010000}"/>
    <cellStyle name="Milliers 2 2 3 5 2" xfId="1025" xr:uid="{00000000-0005-0000-0000-0000BE010000}"/>
    <cellStyle name="Milliers 2 2 3 6" xfId="457" xr:uid="{00000000-0005-0000-0000-0000BF010000}"/>
    <cellStyle name="Milliers 2 2 3 6 2" xfId="1021" xr:uid="{00000000-0005-0000-0000-0000C0010000}"/>
    <cellStyle name="Milliers 2 2 3 7" xfId="914" xr:uid="{00000000-0005-0000-0000-0000C1010000}"/>
    <cellStyle name="Milliers 2 2 3 8" xfId="877" xr:uid="{00000000-0005-0000-0000-0000C2010000}"/>
    <cellStyle name="Milliers 2 2 4" xfId="55" xr:uid="{00000000-0005-0000-0000-0000C3010000}"/>
    <cellStyle name="Milliers 2 2 4 2" xfId="462" xr:uid="{00000000-0005-0000-0000-0000C4010000}"/>
    <cellStyle name="Milliers 2 2 4 3" xfId="915" xr:uid="{00000000-0005-0000-0000-0000C5010000}"/>
    <cellStyle name="Milliers 2 2 5" xfId="56" xr:uid="{00000000-0005-0000-0000-0000C6010000}"/>
    <cellStyle name="Milliers 2 2 5 2" xfId="463" xr:uid="{00000000-0005-0000-0000-0000C7010000}"/>
    <cellStyle name="Milliers 2 2 5 3" xfId="916" xr:uid="{00000000-0005-0000-0000-0000C8010000}"/>
    <cellStyle name="Milliers 2 2 6" xfId="57" xr:uid="{00000000-0005-0000-0000-0000C9010000}"/>
    <cellStyle name="Milliers 2 2 6 2" xfId="464" xr:uid="{00000000-0005-0000-0000-0000CA010000}"/>
    <cellStyle name="Milliers 2 2 6 3" xfId="917" xr:uid="{00000000-0005-0000-0000-0000CB010000}"/>
    <cellStyle name="Milliers 2 2 7" xfId="58" xr:uid="{00000000-0005-0000-0000-0000CC010000}"/>
    <cellStyle name="Milliers 2 2 7 2" xfId="465" xr:uid="{00000000-0005-0000-0000-0000CD010000}"/>
    <cellStyle name="Milliers 2 2 7 3" xfId="918" xr:uid="{00000000-0005-0000-0000-0000CE010000}"/>
    <cellStyle name="Milliers 2 2 8" xfId="59" xr:uid="{00000000-0005-0000-0000-0000CF010000}"/>
    <cellStyle name="Milliers 2 2 8 2" xfId="466" xr:uid="{00000000-0005-0000-0000-0000D0010000}"/>
    <cellStyle name="Milliers 2 2 8 3" xfId="919" xr:uid="{00000000-0005-0000-0000-0000D1010000}"/>
    <cellStyle name="Milliers 2 2 9" xfId="60" xr:uid="{00000000-0005-0000-0000-0000D2010000}"/>
    <cellStyle name="Milliers 2 2 9 2" xfId="467" xr:uid="{00000000-0005-0000-0000-0000D3010000}"/>
    <cellStyle name="Milliers 2 2 9 3" xfId="920" xr:uid="{00000000-0005-0000-0000-0000D4010000}"/>
    <cellStyle name="Milliers 2 3" xfId="61" xr:uid="{00000000-0005-0000-0000-0000D5010000}"/>
    <cellStyle name="Milliers 2 3 10" xfId="62" xr:uid="{00000000-0005-0000-0000-0000D6010000}"/>
    <cellStyle name="Milliers 2 3 10 2" xfId="922" xr:uid="{00000000-0005-0000-0000-0000D7010000}"/>
    <cellStyle name="Milliers 2 3 11" xfId="63" xr:uid="{00000000-0005-0000-0000-0000D8010000}"/>
    <cellStyle name="Milliers 2 3 11 2" xfId="923" xr:uid="{00000000-0005-0000-0000-0000D9010000}"/>
    <cellStyle name="Milliers 2 3 12" xfId="64" xr:uid="{00000000-0005-0000-0000-0000DA010000}"/>
    <cellStyle name="Milliers 2 3 12 2" xfId="924" xr:uid="{00000000-0005-0000-0000-0000DB010000}"/>
    <cellStyle name="Milliers 2 3 13" xfId="65" xr:uid="{00000000-0005-0000-0000-0000DC010000}"/>
    <cellStyle name="Milliers 2 3 13 2" xfId="925" xr:uid="{00000000-0005-0000-0000-0000DD010000}"/>
    <cellStyle name="Milliers 2 3 14" xfId="468" xr:uid="{00000000-0005-0000-0000-0000DE010000}"/>
    <cellStyle name="Milliers 2 3 14 2" xfId="1026" xr:uid="{00000000-0005-0000-0000-0000DF010000}"/>
    <cellStyle name="Milliers 2 3 15" xfId="921" xr:uid="{00000000-0005-0000-0000-0000E0010000}"/>
    <cellStyle name="Milliers 2 3 16" xfId="878" xr:uid="{00000000-0005-0000-0000-0000E1010000}"/>
    <cellStyle name="Milliers 2 3 2" xfId="66" xr:uid="{00000000-0005-0000-0000-0000E2010000}"/>
    <cellStyle name="Milliers 2 3 2 2" xfId="470" xr:uid="{00000000-0005-0000-0000-0000E3010000}"/>
    <cellStyle name="Milliers 2 3 2 2 2" xfId="1027" xr:uid="{00000000-0005-0000-0000-0000E4010000}"/>
    <cellStyle name="Milliers 2 3 2 3" xfId="471" xr:uid="{00000000-0005-0000-0000-0000E5010000}"/>
    <cellStyle name="Milliers 2 3 2 3 2" xfId="1028" xr:uid="{00000000-0005-0000-0000-0000E6010000}"/>
    <cellStyle name="Milliers 2 3 2 4" xfId="926" xr:uid="{00000000-0005-0000-0000-0000E7010000}"/>
    <cellStyle name="Milliers 2 3 2 5" xfId="879" xr:uid="{00000000-0005-0000-0000-0000E8010000}"/>
    <cellStyle name="Milliers 2 3 3" xfId="67" xr:uid="{00000000-0005-0000-0000-0000E9010000}"/>
    <cellStyle name="Milliers 2 3 3 2" xfId="927" xr:uid="{00000000-0005-0000-0000-0000EA010000}"/>
    <cellStyle name="Milliers 2 3 4" xfId="68" xr:uid="{00000000-0005-0000-0000-0000EB010000}"/>
    <cellStyle name="Milliers 2 3 4 2" xfId="928" xr:uid="{00000000-0005-0000-0000-0000EC010000}"/>
    <cellStyle name="Milliers 2 3 5" xfId="69" xr:uid="{00000000-0005-0000-0000-0000ED010000}"/>
    <cellStyle name="Milliers 2 3 5 2" xfId="929" xr:uid="{00000000-0005-0000-0000-0000EE010000}"/>
    <cellStyle name="Milliers 2 3 6" xfId="70" xr:uid="{00000000-0005-0000-0000-0000EF010000}"/>
    <cellStyle name="Milliers 2 3 6 2" xfId="930" xr:uid="{00000000-0005-0000-0000-0000F0010000}"/>
    <cellStyle name="Milliers 2 3 7" xfId="71" xr:uid="{00000000-0005-0000-0000-0000F1010000}"/>
    <cellStyle name="Milliers 2 3 7 2" xfId="931" xr:uid="{00000000-0005-0000-0000-0000F2010000}"/>
    <cellStyle name="Milliers 2 3 8" xfId="72" xr:uid="{00000000-0005-0000-0000-0000F3010000}"/>
    <cellStyle name="Milliers 2 3 8 2" xfId="932" xr:uid="{00000000-0005-0000-0000-0000F4010000}"/>
    <cellStyle name="Milliers 2 3 9" xfId="73" xr:uid="{00000000-0005-0000-0000-0000F5010000}"/>
    <cellStyle name="Milliers 2 3 9 2" xfId="933" xr:uid="{00000000-0005-0000-0000-0000F6010000}"/>
    <cellStyle name="Milliers 2 4" xfId="74" xr:uid="{00000000-0005-0000-0000-0000F7010000}"/>
    <cellStyle name="Milliers 2 4 10" xfId="75" xr:uid="{00000000-0005-0000-0000-0000F8010000}"/>
    <cellStyle name="Milliers 2 4 11" xfId="76" xr:uid="{00000000-0005-0000-0000-0000F9010000}"/>
    <cellStyle name="Milliers 2 4 12" xfId="77" xr:uid="{00000000-0005-0000-0000-0000FA010000}"/>
    <cellStyle name="Milliers 2 4 13" xfId="78" xr:uid="{00000000-0005-0000-0000-0000FB010000}"/>
    <cellStyle name="Milliers 2 4 14" xfId="473" xr:uid="{00000000-0005-0000-0000-0000FC010000}"/>
    <cellStyle name="Milliers 2 4 14 2" xfId="1029" xr:uid="{00000000-0005-0000-0000-0000FD010000}"/>
    <cellStyle name="Milliers 2 4 2" xfId="79" xr:uid="{00000000-0005-0000-0000-0000FE010000}"/>
    <cellStyle name="Milliers 2 4 3" xfId="80" xr:uid="{00000000-0005-0000-0000-0000FF010000}"/>
    <cellStyle name="Milliers 2 4 4" xfId="81" xr:uid="{00000000-0005-0000-0000-000000020000}"/>
    <cellStyle name="Milliers 2 4 5" xfId="82" xr:uid="{00000000-0005-0000-0000-000001020000}"/>
    <cellStyle name="Milliers 2 4 6" xfId="83" xr:uid="{00000000-0005-0000-0000-000002020000}"/>
    <cellStyle name="Milliers 2 4 7" xfId="84" xr:uid="{00000000-0005-0000-0000-000003020000}"/>
    <cellStyle name="Milliers 2 4 8" xfId="85" xr:uid="{00000000-0005-0000-0000-000004020000}"/>
    <cellStyle name="Milliers 2 4 9" xfId="86" xr:uid="{00000000-0005-0000-0000-000005020000}"/>
    <cellStyle name="Milliers 2 5" xfId="474" xr:uid="{00000000-0005-0000-0000-000006020000}"/>
    <cellStyle name="Milliers 2 5 2" xfId="1030" xr:uid="{00000000-0005-0000-0000-000007020000}"/>
    <cellStyle name="Milliers 2 6" xfId="475" xr:uid="{00000000-0005-0000-0000-000008020000}"/>
    <cellStyle name="Milliers 2 6 2" xfId="1031" xr:uid="{00000000-0005-0000-0000-000009020000}"/>
    <cellStyle name="Milliers 2 7" xfId="476" xr:uid="{00000000-0005-0000-0000-00000A020000}"/>
    <cellStyle name="Milliers 2 7 2" xfId="1032" xr:uid="{00000000-0005-0000-0000-00000B020000}"/>
    <cellStyle name="Milliers 2 8" xfId="477" xr:uid="{00000000-0005-0000-0000-00000C020000}"/>
    <cellStyle name="Milliers 2 8 2" xfId="1033" xr:uid="{00000000-0005-0000-0000-00000D020000}"/>
    <cellStyle name="Milliers 2 9" xfId="774" xr:uid="{00000000-0005-0000-0000-00000E020000}"/>
    <cellStyle name="Milliers 2 9 2" xfId="1091" xr:uid="{00000000-0005-0000-0000-00000F020000}"/>
    <cellStyle name="Milliers 3" xfId="87" xr:uid="{00000000-0005-0000-0000-000010020000}"/>
    <cellStyle name="Milliers 3 10" xfId="88" xr:uid="{00000000-0005-0000-0000-000011020000}"/>
    <cellStyle name="Milliers 3 10 2" xfId="935" xr:uid="{00000000-0005-0000-0000-000012020000}"/>
    <cellStyle name="Milliers 3 11" xfId="89" xr:uid="{00000000-0005-0000-0000-000013020000}"/>
    <cellStyle name="Milliers 3 11 2" xfId="936" xr:uid="{00000000-0005-0000-0000-000014020000}"/>
    <cellStyle name="Milliers 3 12" xfId="90" xr:uid="{00000000-0005-0000-0000-000015020000}"/>
    <cellStyle name="Milliers 3 12 2" xfId="937" xr:uid="{00000000-0005-0000-0000-000016020000}"/>
    <cellStyle name="Milliers 3 13" xfId="91" xr:uid="{00000000-0005-0000-0000-000017020000}"/>
    <cellStyle name="Milliers 3 13 2" xfId="938" xr:uid="{00000000-0005-0000-0000-000018020000}"/>
    <cellStyle name="Milliers 3 14" xfId="92" xr:uid="{00000000-0005-0000-0000-000019020000}"/>
    <cellStyle name="Milliers 3 14 2" xfId="939" xr:uid="{00000000-0005-0000-0000-00001A020000}"/>
    <cellStyle name="Milliers 3 15" xfId="93" xr:uid="{00000000-0005-0000-0000-00001B020000}"/>
    <cellStyle name="Milliers 3 15 2" xfId="940" xr:uid="{00000000-0005-0000-0000-00001C020000}"/>
    <cellStyle name="Milliers 3 16" xfId="94" xr:uid="{00000000-0005-0000-0000-00001D020000}"/>
    <cellStyle name="Milliers 3 16 2" xfId="941" xr:uid="{00000000-0005-0000-0000-00001E020000}"/>
    <cellStyle name="Milliers 3 17" xfId="95" xr:uid="{00000000-0005-0000-0000-00001F020000}"/>
    <cellStyle name="Milliers 3 17 2" xfId="942" xr:uid="{00000000-0005-0000-0000-000020020000}"/>
    <cellStyle name="Milliers 3 18" xfId="478" xr:uid="{00000000-0005-0000-0000-000021020000}"/>
    <cellStyle name="Milliers 3 19" xfId="934" xr:uid="{00000000-0005-0000-0000-000022020000}"/>
    <cellStyle name="Milliers 3 2" xfId="96" xr:uid="{00000000-0005-0000-0000-000023020000}"/>
    <cellStyle name="Milliers 3 2 10" xfId="97" xr:uid="{00000000-0005-0000-0000-000024020000}"/>
    <cellStyle name="Milliers 3 2 10 2" xfId="944" xr:uid="{00000000-0005-0000-0000-000025020000}"/>
    <cellStyle name="Milliers 3 2 11" xfId="98" xr:uid="{00000000-0005-0000-0000-000026020000}"/>
    <cellStyle name="Milliers 3 2 11 2" xfId="945" xr:uid="{00000000-0005-0000-0000-000027020000}"/>
    <cellStyle name="Milliers 3 2 12" xfId="99" xr:uid="{00000000-0005-0000-0000-000028020000}"/>
    <cellStyle name="Milliers 3 2 12 2" xfId="946" xr:uid="{00000000-0005-0000-0000-000029020000}"/>
    <cellStyle name="Milliers 3 2 13" xfId="100" xr:uid="{00000000-0005-0000-0000-00002A020000}"/>
    <cellStyle name="Milliers 3 2 13 2" xfId="947" xr:uid="{00000000-0005-0000-0000-00002B020000}"/>
    <cellStyle name="Milliers 3 2 14" xfId="101" xr:uid="{00000000-0005-0000-0000-00002C020000}"/>
    <cellStyle name="Milliers 3 2 14 2" xfId="948" xr:uid="{00000000-0005-0000-0000-00002D020000}"/>
    <cellStyle name="Milliers 3 2 15" xfId="479" xr:uid="{00000000-0005-0000-0000-00002E020000}"/>
    <cellStyle name="Milliers 3 2 16" xfId="943" xr:uid="{00000000-0005-0000-0000-00002F020000}"/>
    <cellStyle name="Milliers 3 2 17" xfId="881" xr:uid="{00000000-0005-0000-0000-000030020000}"/>
    <cellStyle name="Milliers 3 2 2" xfId="102" xr:uid="{00000000-0005-0000-0000-000031020000}"/>
    <cellStyle name="Milliers 3 2 2 2" xfId="481" xr:uid="{00000000-0005-0000-0000-000032020000}"/>
    <cellStyle name="Milliers 3 2 2 2 2" xfId="1034" xr:uid="{00000000-0005-0000-0000-000033020000}"/>
    <cellStyle name="Milliers 3 2 2 3" xfId="949" xr:uid="{00000000-0005-0000-0000-000034020000}"/>
    <cellStyle name="Milliers 3 2 2 4" xfId="882" xr:uid="{00000000-0005-0000-0000-000035020000}"/>
    <cellStyle name="Milliers 3 2 3" xfId="103" xr:uid="{00000000-0005-0000-0000-000036020000}"/>
    <cellStyle name="Milliers 3 2 3 2" xfId="950" xr:uid="{00000000-0005-0000-0000-000037020000}"/>
    <cellStyle name="Milliers 3 2 3 3" xfId="883" xr:uid="{00000000-0005-0000-0000-000038020000}"/>
    <cellStyle name="Milliers 3 2 4" xfId="104" xr:uid="{00000000-0005-0000-0000-000039020000}"/>
    <cellStyle name="Milliers 3 2 4 2" xfId="951" xr:uid="{00000000-0005-0000-0000-00003A020000}"/>
    <cellStyle name="Milliers 3 2 5" xfId="105" xr:uid="{00000000-0005-0000-0000-00003B020000}"/>
    <cellStyle name="Milliers 3 2 5 2" xfId="952" xr:uid="{00000000-0005-0000-0000-00003C020000}"/>
    <cellStyle name="Milliers 3 2 6" xfId="106" xr:uid="{00000000-0005-0000-0000-00003D020000}"/>
    <cellStyle name="Milliers 3 2 6 2" xfId="953" xr:uid="{00000000-0005-0000-0000-00003E020000}"/>
    <cellStyle name="Milliers 3 2 7" xfId="107" xr:uid="{00000000-0005-0000-0000-00003F020000}"/>
    <cellStyle name="Milliers 3 2 7 2" xfId="954" xr:uid="{00000000-0005-0000-0000-000040020000}"/>
    <cellStyle name="Milliers 3 2 8" xfId="108" xr:uid="{00000000-0005-0000-0000-000041020000}"/>
    <cellStyle name="Milliers 3 2 8 2" xfId="955" xr:uid="{00000000-0005-0000-0000-000042020000}"/>
    <cellStyle name="Milliers 3 2 9" xfId="109" xr:uid="{00000000-0005-0000-0000-000043020000}"/>
    <cellStyle name="Milliers 3 2 9 2" xfId="956" xr:uid="{00000000-0005-0000-0000-000044020000}"/>
    <cellStyle name="Milliers 3 20" xfId="880" xr:uid="{00000000-0005-0000-0000-000045020000}"/>
    <cellStyle name="Milliers 3 3" xfId="110" xr:uid="{00000000-0005-0000-0000-000046020000}"/>
    <cellStyle name="Milliers 3 3 2" xfId="482" xr:uid="{00000000-0005-0000-0000-000047020000}"/>
    <cellStyle name="Milliers 3 3 3" xfId="957" xr:uid="{00000000-0005-0000-0000-000048020000}"/>
    <cellStyle name="Milliers 3 3 4" xfId="884" xr:uid="{00000000-0005-0000-0000-000049020000}"/>
    <cellStyle name="Milliers 3 4" xfId="111" xr:uid="{00000000-0005-0000-0000-00004A020000}"/>
    <cellStyle name="Milliers 3 4 2" xfId="958" xr:uid="{00000000-0005-0000-0000-00004B020000}"/>
    <cellStyle name="Milliers 3 4 3" xfId="885" xr:uid="{00000000-0005-0000-0000-00004C020000}"/>
    <cellStyle name="Milliers 3 5" xfId="112" xr:uid="{00000000-0005-0000-0000-00004D020000}"/>
    <cellStyle name="Milliers 3 5 10" xfId="113" xr:uid="{00000000-0005-0000-0000-00004E020000}"/>
    <cellStyle name="Milliers 3 5 11" xfId="114" xr:uid="{00000000-0005-0000-0000-00004F020000}"/>
    <cellStyle name="Milliers 3 5 12" xfId="115" xr:uid="{00000000-0005-0000-0000-000050020000}"/>
    <cellStyle name="Milliers 3 5 13" xfId="116" xr:uid="{00000000-0005-0000-0000-000051020000}"/>
    <cellStyle name="Milliers 3 5 2" xfId="117" xr:uid="{00000000-0005-0000-0000-000052020000}"/>
    <cellStyle name="Milliers 3 5 3" xfId="118" xr:uid="{00000000-0005-0000-0000-000053020000}"/>
    <cellStyle name="Milliers 3 5 4" xfId="119" xr:uid="{00000000-0005-0000-0000-000054020000}"/>
    <cellStyle name="Milliers 3 5 5" xfId="120" xr:uid="{00000000-0005-0000-0000-000055020000}"/>
    <cellStyle name="Milliers 3 5 6" xfId="121" xr:uid="{00000000-0005-0000-0000-000056020000}"/>
    <cellStyle name="Milliers 3 5 7" xfId="122" xr:uid="{00000000-0005-0000-0000-000057020000}"/>
    <cellStyle name="Milliers 3 5 8" xfId="123" xr:uid="{00000000-0005-0000-0000-000058020000}"/>
    <cellStyle name="Milliers 3 5 9" xfId="124" xr:uid="{00000000-0005-0000-0000-000059020000}"/>
    <cellStyle name="Milliers 3 6" xfId="125" xr:uid="{00000000-0005-0000-0000-00005A020000}"/>
    <cellStyle name="Milliers 3 6 2" xfId="959" xr:uid="{00000000-0005-0000-0000-00005B020000}"/>
    <cellStyle name="Milliers 3 6 3" xfId="886" xr:uid="{00000000-0005-0000-0000-00005C020000}"/>
    <cellStyle name="Milliers 3 7" xfId="126" xr:uid="{00000000-0005-0000-0000-00005D020000}"/>
    <cellStyle name="Milliers 3 7 2" xfId="960" xr:uid="{00000000-0005-0000-0000-00005E020000}"/>
    <cellStyle name="Milliers 3 8" xfId="127" xr:uid="{00000000-0005-0000-0000-00005F020000}"/>
    <cellStyle name="Milliers 3 8 2" xfId="961" xr:uid="{00000000-0005-0000-0000-000060020000}"/>
    <cellStyle name="Milliers 3 9" xfId="128" xr:uid="{00000000-0005-0000-0000-000061020000}"/>
    <cellStyle name="Milliers 3 9 2" xfId="962" xr:uid="{00000000-0005-0000-0000-000062020000}"/>
    <cellStyle name="Milliers 33" xfId="483" xr:uid="{00000000-0005-0000-0000-000063020000}"/>
    <cellStyle name="Milliers 33 2" xfId="484" xr:uid="{00000000-0005-0000-0000-000064020000}"/>
    <cellStyle name="Milliers 33 2 2" xfId="485" xr:uid="{00000000-0005-0000-0000-000065020000}"/>
    <cellStyle name="Milliers 33 2 2 2" xfId="1037" xr:uid="{00000000-0005-0000-0000-000066020000}"/>
    <cellStyle name="Milliers 33 2 3" xfId="486" xr:uid="{00000000-0005-0000-0000-000067020000}"/>
    <cellStyle name="Milliers 33 2 3 2" xfId="1038" xr:uid="{00000000-0005-0000-0000-000068020000}"/>
    <cellStyle name="Milliers 33 2 4" xfId="487" xr:uid="{00000000-0005-0000-0000-000069020000}"/>
    <cellStyle name="Milliers 33 2 4 2" xfId="1039" xr:uid="{00000000-0005-0000-0000-00006A020000}"/>
    <cellStyle name="Milliers 33 2 5" xfId="488" xr:uid="{00000000-0005-0000-0000-00006B020000}"/>
    <cellStyle name="Milliers 33 2 5 2" xfId="1040" xr:uid="{00000000-0005-0000-0000-00006C020000}"/>
    <cellStyle name="Milliers 33 2 6" xfId="1036" xr:uid="{00000000-0005-0000-0000-00006D020000}"/>
    <cellStyle name="Milliers 33 3" xfId="489" xr:uid="{00000000-0005-0000-0000-00006E020000}"/>
    <cellStyle name="Milliers 33 3 2" xfId="1041" xr:uid="{00000000-0005-0000-0000-00006F020000}"/>
    <cellStyle name="Milliers 33 4" xfId="490" xr:uid="{00000000-0005-0000-0000-000070020000}"/>
    <cellStyle name="Milliers 33 4 2" xfId="1042" xr:uid="{00000000-0005-0000-0000-000071020000}"/>
    <cellStyle name="Milliers 33 5" xfId="491" xr:uid="{00000000-0005-0000-0000-000072020000}"/>
    <cellStyle name="Milliers 33 5 2" xfId="1043" xr:uid="{00000000-0005-0000-0000-000073020000}"/>
    <cellStyle name="Milliers 33 6" xfId="492" xr:uid="{00000000-0005-0000-0000-000074020000}"/>
    <cellStyle name="Milliers 33 6 2" xfId="1044" xr:uid="{00000000-0005-0000-0000-000075020000}"/>
    <cellStyle name="Milliers 33 7" xfId="1035" xr:uid="{00000000-0005-0000-0000-000076020000}"/>
    <cellStyle name="Milliers 4" xfId="13" xr:uid="{00000000-0005-0000-0000-000077020000}"/>
    <cellStyle name="Milliers 4 2" xfId="494" xr:uid="{00000000-0005-0000-0000-000078020000}"/>
    <cellStyle name="Milliers 4 2 2" xfId="1046" xr:uid="{00000000-0005-0000-0000-000079020000}"/>
    <cellStyle name="Milliers 4 3" xfId="493" xr:uid="{00000000-0005-0000-0000-00007A020000}"/>
    <cellStyle name="Milliers 4 3 2" xfId="819" xr:uid="{00000000-0005-0000-0000-00007B020000}"/>
    <cellStyle name="Milliers 4 3 2 2" xfId="1136" xr:uid="{00000000-0005-0000-0000-00007C020000}"/>
    <cellStyle name="Milliers 4 3 3" xfId="1045" xr:uid="{00000000-0005-0000-0000-00007D020000}"/>
    <cellStyle name="Milliers 4 4" xfId="775" xr:uid="{00000000-0005-0000-0000-00007E020000}"/>
    <cellStyle name="Milliers 4 4 2" xfId="1092" xr:uid="{00000000-0005-0000-0000-00007F020000}"/>
    <cellStyle name="Milliers 4 5" xfId="905" xr:uid="{00000000-0005-0000-0000-000080020000}"/>
    <cellStyle name="Milliers 4 6" xfId="887" xr:uid="{00000000-0005-0000-0000-000081020000}"/>
    <cellStyle name="Milliers 5" xfId="129" xr:uid="{00000000-0005-0000-0000-000082020000}"/>
    <cellStyle name="Milliers 5 2" xfId="777" xr:uid="{00000000-0005-0000-0000-000083020000}"/>
    <cellStyle name="Milliers 5 2 2" xfId="1094" xr:uid="{00000000-0005-0000-0000-000084020000}"/>
    <cellStyle name="Milliers 5 3" xfId="963" xr:uid="{00000000-0005-0000-0000-000085020000}"/>
    <cellStyle name="Milliers 6" xfId="216" xr:uid="{00000000-0005-0000-0000-000086020000}"/>
    <cellStyle name="Milliers 6 2" xfId="495" xr:uid="{00000000-0005-0000-0000-000087020000}"/>
    <cellStyle name="Milliers 6 2 2" xfId="496" xr:uid="{00000000-0005-0000-0000-000088020000}"/>
    <cellStyle name="Milliers 6 2 3" xfId="497" xr:uid="{00000000-0005-0000-0000-000089020000}"/>
    <cellStyle name="Milliers 6 2 4" xfId="498" xr:uid="{00000000-0005-0000-0000-00008A020000}"/>
    <cellStyle name="Milliers 6 2 5" xfId="499" xr:uid="{00000000-0005-0000-0000-00008B020000}"/>
    <cellStyle name="Milliers 6 3" xfId="778" xr:uid="{00000000-0005-0000-0000-00008C020000}"/>
    <cellStyle name="Milliers 6 3 2" xfId="1095" xr:uid="{00000000-0005-0000-0000-00008D020000}"/>
    <cellStyle name="Milliers 6 4" xfId="964" xr:uid="{00000000-0005-0000-0000-00008E020000}"/>
    <cellStyle name="Milliers 7" xfId="901" xr:uid="{00000000-0005-0000-0000-00008F020000}"/>
    <cellStyle name="Milliers 7 2" xfId="500" xr:uid="{00000000-0005-0000-0000-000090020000}"/>
    <cellStyle name="Milliers 7 2 2" xfId="501" xr:uid="{00000000-0005-0000-0000-000091020000}"/>
    <cellStyle name="Milliers 7 2 3" xfId="502" xr:uid="{00000000-0005-0000-0000-000092020000}"/>
    <cellStyle name="Milliers 7 2 4" xfId="503" xr:uid="{00000000-0005-0000-0000-000093020000}"/>
    <cellStyle name="Milliers 7 2 5" xfId="504" xr:uid="{00000000-0005-0000-0000-000094020000}"/>
    <cellStyle name="Milliers 8" xfId="505" xr:uid="{00000000-0005-0000-0000-000095020000}"/>
    <cellStyle name="Milliers 8 2" xfId="506" xr:uid="{00000000-0005-0000-0000-000096020000}"/>
    <cellStyle name="Milliers 8 2 2" xfId="1048" xr:uid="{00000000-0005-0000-0000-000097020000}"/>
    <cellStyle name="Milliers 8 3" xfId="507" xr:uid="{00000000-0005-0000-0000-000098020000}"/>
    <cellStyle name="Milliers 8 3 2" xfId="1049" xr:uid="{00000000-0005-0000-0000-000099020000}"/>
    <cellStyle name="Milliers 8 4" xfId="508" xr:uid="{00000000-0005-0000-0000-00009A020000}"/>
    <cellStyle name="Milliers 8 4 2" xfId="1050" xr:uid="{00000000-0005-0000-0000-00009B020000}"/>
    <cellStyle name="Milliers 8 5" xfId="509" xr:uid="{00000000-0005-0000-0000-00009C020000}"/>
    <cellStyle name="Milliers 8 5 2" xfId="1051" xr:uid="{00000000-0005-0000-0000-00009D020000}"/>
    <cellStyle name="Milliers 8 6" xfId="1047" xr:uid="{00000000-0005-0000-0000-00009E020000}"/>
    <cellStyle name="Milliers 9" xfId="873" xr:uid="{00000000-0005-0000-0000-00009F020000}"/>
    <cellStyle name="Milliers 9 2" xfId="510" xr:uid="{00000000-0005-0000-0000-0000A0020000}"/>
    <cellStyle name="Milliers 9 2 2" xfId="511" xr:uid="{00000000-0005-0000-0000-0000A1020000}"/>
    <cellStyle name="Milliers 9 2 3" xfId="512" xr:uid="{00000000-0005-0000-0000-0000A2020000}"/>
    <cellStyle name="Milliers 9 2 4" xfId="513" xr:uid="{00000000-0005-0000-0000-0000A3020000}"/>
    <cellStyle name="Milliers 9 2 5" xfId="514" xr:uid="{00000000-0005-0000-0000-0000A4020000}"/>
    <cellStyle name="Monétaire 2" xfId="515" xr:uid="{00000000-0005-0000-0000-0000A5020000}"/>
    <cellStyle name="Monétaire 2 2" xfId="1052" xr:uid="{00000000-0005-0000-0000-0000A6020000}"/>
    <cellStyle name="Neutre" xfId="227" builtinId="28" customBuiltin="1"/>
    <cellStyle name="Non d‚fini" xfId="130" xr:uid="{00000000-0005-0000-0000-0000A8020000}"/>
    <cellStyle name="Non défini" xfId="517" xr:uid="{00000000-0005-0000-0000-0000A9020000}"/>
    <cellStyle name="Non défini 10" xfId="518" xr:uid="{00000000-0005-0000-0000-0000AA020000}"/>
    <cellStyle name="Non défini 10 2" xfId="519" xr:uid="{00000000-0005-0000-0000-0000AB020000}"/>
    <cellStyle name="Non défini 10 3" xfId="520" xr:uid="{00000000-0005-0000-0000-0000AC020000}"/>
    <cellStyle name="Non défini 10 4" xfId="521" xr:uid="{00000000-0005-0000-0000-0000AD020000}"/>
    <cellStyle name="Non défini 10 5" xfId="522" xr:uid="{00000000-0005-0000-0000-0000AE020000}"/>
    <cellStyle name="Non défini 10 6" xfId="523" xr:uid="{00000000-0005-0000-0000-0000AF020000}"/>
    <cellStyle name="Non défini 11" xfId="524" xr:uid="{00000000-0005-0000-0000-0000B0020000}"/>
    <cellStyle name="Non défini 11 2" xfId="525" xr:uid="{00000000-0005-0000-0000-0000B1020000}"/>
    <cellStyle name="Non défini 11 3" xfId="526" xr:uid="{00000000-0005-0000-0000-0000B2020000}"/>
    <cellStyle name="Non défini 11 4" xfId="527" xr:uid="{00000000-0005-0000-0000-0000B3020000}"/>
    <cellStyle name="Non défini 11 5" xfId="528" xr:uid="{00000000-0005-0000-0000-0000B4020000}"/>
    <cellStyle name="Non défini 11 6" xfId="529" xr:uid="{00000000-0005-0000-0000-0000B5020000}"/>
    <cellStyle name="Non défini 12" xfId="530" xr:uid="{00000000-0005-0000-0000-0000B6020000}"/>
    <cellStyle name="Non défini 12 2" xfId="531" xr:uid="{00000000-0005-0000-0000-0000B7020000}"/>
    <cellStyle name="Non défini 12 3" xfId="532" xr:uid="{00000000-0005-0000-0000-0000B8020000}"/>
    <cellStyle name="Non défini 12 4" xfId="533" xr:uid="{00000000-0005-0000-0000-0000B9020000}"/>
    <cellStyle name="Non défini 12 5" xfId="534" xr:uid="{00000000-0005-0000-0000-0000BA020000}"/>
    <cellStyle name="Non défini 12 6" xfId="535" xr:uid="{00000000-0005-0000-0000-0000BB020000}"/>
    <cellStyle name="Non défini 13" xfId="536" xr:uid="{00000000-0005-0000-0000-0000BC020000}"/>
    <cellStyle name="Non défini 13 2" xfId="537" xr:uid="{00000000-0005-0000-0000-0000BD020000}"/>
    <cellStyle name="Non défini 13 3" xfId="538" xr:uid="{00000000-0005-0000-0000-0000BE020000}"/>
    <cellStyle name="Non défini 13 4" xfId="539" xr:uid="{00000000-0005-0000-0000-0000BF020000}"/>
    <cellStyle name="Non défini 13 5" xfId="540" xr:uid="{00000000-0005-0000-0000-0000C0020000}"/>
    <cellStyle name="Non défini 13 6" xfId="541" xr:uid="{00000000-0005-0000-0000-0000C1020000}"/>
    <cellStyle name="Non défini 14" xfId="542" xr:uid="{00000000-0005-0000-0000-0000C2020000}"/>
    <cellStyle name="Non défini 14 2" xfId="543" xr:uid="{00000000-0005-0000-0000-0000C3020000}"/>
    <cellStyle name="Non défini 14 3" xfId="544" xr:uid="{00000000-0005-0000-0000-0000C4020000}"/>
    <cellStyle name="Non défini 14 4" xfId="545" xr:uid="{00000000-0005-0000-0000-0000C5020000}"/>
    <cellStyle name="Non défini 14 5" xfId="546" xr:uid="{00000000-0005-0000-0000-0000C6020000}"/>
    <cellStyle name="Non défini 14 6" xfId="547" xr:uid="{00000000-0005-0000-0000-0000C7020000}"/>
    <cellStyle name="Non défini 15" xfId="548" xr:uid="{00000000-0005-0000-0000-0000C8020000}"/>
    <cellStyle name="Non défini 15 2" xfId="549" xr:uid="{00000000-0005-0000-0000-0000C9020000}"/>
    <cellStyle name="Non défini 15 3" xfId="550" xr:uid="{00000000-0005-0000-0000-0000CA020000}"/>
    <cellStyle name="Non défini 15 4" xfId="551" xr:uid="{00000000-0005-0000-0000-0000CB020000}"/>
    <cellStyle name="Non défini 15 5" xfId="552" xr:uid="{00000000-0005-0000-0000-0000CC020000}"/>
    <cellStyle name="Non défini 15 6" xfId="553" xr:uid="{00000000-0005-0000-0000-0000CD020000}"/>
    <cellStyle name="Non défini 16" xfId="554" xr:uid="{00000000-0005-0000-0000-0000CE020000}"/>
    <cellStyle name="Non défini 16 2" xfId="555" xr:uid="{00000000-0005-0000-0000-0000CF020000}"/>
    <cellStyle name="Non défini 16 3" xfId="556" xr:uid="{00000000-0005-0000-0000-0000D0020000}"/>
    <cellStyle name="Non défini 16 4" xfId="557" xr:uid="{00000000-0005-0000-0000-0000D1020000}"/>
    <cellStyle name="Non défini 16 5" xfId="558" xr:uid="{00000000-0005-0000-0000-0000D2020000}"/>
    <cellStyle name="Non défini 16 6" xfId="559" xr:uid="{00000000-0005-0000-0000-0000D3020000}"/>
    <cellStyle name="Non défini 17" xfId="560" xr:uid="{00000000-0005-0000-0000-0000D4020000}"/>
    <cellStyle name="Non défini 17 2" xfId="561" xr:uid="{00000000-0005-0000-0000-0000D5020000}"/>
    <cellStyle name="Non défini 17 3" xfId="562" xr:uid="{00000000-0005-0000-0000-0000D6020000}"/>
    <cellStyle name="Non défini 17 4" xfId="563" xr:uid="{00000000-0005-0000-0000-0000D7020000}"/>
    <cellStyle name="Non défini 17 5" xfId="564" xr:uid="{00000000-0005-0000-0000-0000D8020000}"/>
    <cellStyle name="Non défini 17 6" xfId="565" xr:uid="{00000000-0005-0000-0000-0000D9020000}"/>
    <cellStyle name="Non défini 18" xfId="566" xr:uid="{00000000-0005-0000-0000-0000DA020000}"/>
    <cellStyle name="Non défini 18 2" xfId="567" xr:uid="{00000000-0005-0000-0000-0000DB020000}"/>
    <cellStyle name="Non défini 18 3" xfId="568" xr:uid="{00000000-0005-0000-0000-0000DC020000}"/>
    <cellStyle name="Non défini 18 4" xfId="569" xr:uid="{00000000-0005-0000-0000-0000DD020000}"/>
    <cellStyle name="Non défini 18 5" xfId="570" xr:uid="{00000000-0005-0000-0000-0000DE020000}"/>
    <cellStyle name="Non défini 18 6" xfId="571" xr:uid="{00000000-0005-0000-0000-0000DF020000}"/>
    <cellStyle name="Non défini 2" xfId="572" xr:uid="{00000000-0005-0000-0000-0000E0020000}"/>
    <cellStyle name="Non défini 2 2" xfId="573" xr:uid="{00000000-0005-0000-0000-0000E1020000}"/>
    <cellStyle name="Non défini 2 3" xfId="574" xr:uid="{00000000-0005-0000-0000-0000E2020000}"/>
    <cellStyle name="Non défini 2 4" xfId="575" xr:uid="{00000000-0005-0000-0000-0000E3020000}"/>
    <cellStyle name="Non défini 2 5" xfId="576" xr:uid="{00000000-0005-0000-0000-0000E4020000}"/>
    <cellStyle name="Non défini 2 6" xfId="577" xr:uid="{00000000-0005-0000-0000-0000E5020000}"/>
    <cellStyle name="Non défini 3" xfId="578" xr:uid="{00000000-0005-0000-0000-0000E6020000}"/>
    <cellStyle name="Non défini 3 2" xfId="579" xr:uid="{00000000-0005-0000-0000-0000E7020000}"/>
    <cellStyle name="Non défini 3 3" xfId="580" xr:uid="{00000000-0005-0000-0000-0000E8020000}"/>
    <cellStyle name="Non défini 3 4" xfId="581" xr:uid="{00000000-0005-0000-0000-0000E9020000}"/>
    <cellStyle name="Non défini 3 5" xfId="582" xr:uid="{00000000-0005-0000-0000-0000EA020000}"/>
    <cellStyle name="Non défini 3 6" xfId="583" xr:uid="{00000000-0005-0000-0000-0000EB020000}"/>
    <cellStyle name="Non défini 4" xfId="584" xr:uid="{00000000-0005-0000-0000-0000EC020000}"/>
    <cellStyle name="Non défini 4 2" xfId="585" xr:uid="{00000000-0005-0000-0000-0000ED020000}"/>
    <cellStyle name="Non défini 4 3" xfId="586" xr:uid="{00000000-0005-0000-0000-0000EE020000}"/>
    <cellStyle name="Non défini 4 4" xfId="587" xr:uid="{00000000-0005-0000-0000-0000EF020000}"/>
    <cellStyle name="Non défini 4 5" xfId="588" xr:uid="{00000000-0005-0000-0000-0000F0020000}"/>
    <cellStyle name="Non défini 4 6" xfId="589" xr:uid="{00000000-0005-0000-0000-0000F1020000}"/>
    <cellStyle name="Non défini 5" xfId="590" xr:uid="{00000000-0005-0000-0000-0000F2020000}"/>
    <cellStyle name="Non défini 5 2" xfId="591" xr:uid="{00000000-0005-0000-0000-0000F3020000}"/>
    <cellStyle name="Non défini 5 3" xfId="592" xr:uid="{00000000-0005-0000-0000-0000F4020000}"/>
    <cellStyle name="Non défini 5 4" xfId="593" xr:uid="{00000000-0005-0000-0000-0000F5020000}"/>
    <cellStyle name="Non défini 5 5" xfId="594" xr:uid="{00000000-0005-0000-0000-0000F6020000}"/>
    <cellStyle name="Non défini 5 6" xfId="595" xr:uid="{00000000-0005-0000-0000-0000F7020000}"/>
    <cellStyle name="Non défini 6" xfId="596" xr:uid="{00000000-0005-0000-0000-0000F8020000}"/>
    <cellStyle name="Non défini 6 2" xfId="597" xr:uid="{00000000-0005-0000-0000-0000F9020000}"/>
    <cellStyle name="Non défini 6 3" xfId="598" xr:uid="{00000000-0005-0000-0000-0000FA020000}"/>
    <cellStyle name="Non défini 6 4" xfId="599" xr:uid="{00000000-0005-0000-0000-0000FB020000}"/>
    <cellStyle name="Non défini 6 5" xfId="600" xr:uid="{00000000-0005-0000-0000-0000FC020000}"/>
    <cellStyle name="Non défini 6 6" xfId="601" xr:uid="{00000000-0005-0000-0000-0000FD020000}"/>
    <cellStyle name="Non défini 7" xfId="602" xr:uid="{00000000-0005-0000-0000-0000FE020000}"/>
    <cellStyle name="Non défini 7 2" xfId="603" xr:uid="{00000000-0005-0000-0000-0000FF020000}"/>
    <cellStyle name="Non défini 7 3" xfId="604" xr:uid="{00000000-0005-0000-0000-000000030000}"/>
    <cellStyle name="Non défini 7 4" xfId="605" xr:uid="{00000000-0005-0000-0000-000001030000}"/>
    <cellStyle name="Non défini 7 5" xfId="606" xr:uid="{00000000-0005-0000-0000-000002030000}"/>
    <cellStyle name="Non défini 7 6" xfId="607" xr:uid="{00000000-0005-0000-0000-000003030000}"/>
    <cellStyle name="Non défini 8" xfId="608" xr:uid="{00000000-0005-0000-0000-000004030000}"/>
    <cellStyle name="Non défini 8 2" xfId="609" xr:uid="{00000000-0005-0000-0000-000005030000}"/>
    <cellStyle name="Non défini 8 3" xfId="610" xr:uid="{00000000-0005-0000-0000-000006030000}"/>
    <cellStyle name="Non défini 8 4" xfId="611" xr:uid="{00000000-0005-0000-0000-000007030000}"/>
    <cellStyle name="Non défini 8 5" xfId="612" xr:uid="{00000000-0005-0000-0000-000008030000}"/>
    <cellStyle name="Non défini 8 6" xfId="613" xr:uid="{00000000-0005-0000-0000-000009030000}"/>
    <cellStyle name="Non défini 9" xfId="614" xr:uid="{00000000-0005-0000-0000-00000A030000}"/>
    <cellStyle name="Non défini 9 2" xfId="615" xr:uid="{00000000-0005-0000-0000-00000B030000}"/>
    <cellStyle name="Non défini 9 3" xfId="616" xr:uid="{00000000-0005-0000-0000-00000C030000}"/>
    <cellStyle name="Non défini 9 4" xfId="617" xr:uid="{00000000-0005-0000-0000-00000D030000}"/>
    <cellStyle name="Non défini 9 5" xfId="618" xr:uid="{00000000-0005-0000-0000-00000E030000}"/>
    <cellStyle name="Non défini 9 6" xfId="619" xr:uid="{00000000-0005-0000-0000-00000F030000}"/>
    <cellStyle name="Normal" xfId="0" builtinId="0"/>
    <cellStyle name="Normal 10" xfId="771" xr:uid="{00000000-0005-0000-0000-000011030000}"/>
    <cellStyle name="Normal 10 2" xfId="8" xr:uid="{00000000-0005-0000-0000-000012030000}"/>
    <cellStyle name="Normal 10 2 2" xfId="621" xr:uid="{00000000-0005-0000-0000-000013030000}"/>
    <cellStyle name="Normal 10 2 3" xfId="622" xr:uid="{00000000-0005-0000-0000-000014030000}"/>
    <cellStyle name="Normal 10 2 4" xfId="623" xr:uid="{00000000-0005-0000-0000-000015030000}"/>
    <cellStyle name="Normal 10 2 5" xfId="624" xr:uid="{00000000-0005-0000-0000-000016030000}"/>
    <cellStyle name="Normal 10 3" xfId="625" xr:uid="{00000000-0005-0000-0000-000017030000}"/>
    <cellStyle name="Normal 10 3 2" xfId="821" xr:uid="{00000000-0005-0000-0000-000018030000}"/>
    <cellStyle name="Normal 10 3 2 2" xfId="1138" xr:uid="{00000000-0005-0000-0000-000019030000}"/>
    <cellStyle name="Normal 10 3 3" xfId="1054" xr:uid="{00000000-0005-0000-0000-00001A030000}"/>
    <cellStyle name="Normal 10 4" xfId="855" xr:uid="{00000000-0005-0000-0000-00001B030000}"/>
    <cellStyle name="Normal 10 4 2" xfId="1172" xr:uid="{00000000-0005-0000-0000-00001C030000}"/>
    <cellStyle name="Normal 10 5" xfId="1088" xr:uid="{00000000-0005-0000-0000-00001D030000}"/>
    <cellStyle name="Normal 11" xfId="857" xr:uid="{00000000-0005-0000-0000-00001E030000}"/>
    <cellStyle name="Normal 11 2" xfId="626" xr:uid="{00000000-0005-0000-0000-00001F030000}"/>
    <cellStyle name="Normal 11 2 2" xfId="822" xr:uid="{00000000-0005-0000-0000-000020030000}"/>
    <cellStyle name="Normal 11 2 2 2" xfId="1139" xr:uid="{00000000-0005-0000-0000-000021030000}"/>
    <cellStyle name="Normal 11 2 3" xfId="1055" xr:uid="{00000000-0005-0000-0000-000022030000}"/>
    <cellStyle name="Normal 11 3" xfId="1174" xr:uid="{00000000-0005-0000-0000-000023030000}"/>
    <cellStyle name="Normal 12" xfId="900" xr:uid="{00000000-0005-0000-0000-000024030000}"/>
    <cellStyle name="Normal 12 2" xfId="627" xr:uid="{00000000-0005-0000-0000-000025030000}"/>
    <cellStyle name="Normal 12 2 2" xfId="823" xr:uid="{00000000-0005-0000-0000-000026030000}"/>
    <cellStyle name="Normal 12 2 2 2" xfId="1140" xr:uid="{00000000-0005-0000-0000-000027030000}"/>
    <cellStyle name="Normal 12 2 3" xfId="1056" xr:uid="{00000000-0005-0000-0000-000028030000}"/>
    <cellStyle name="Normal 13" xfId="872" xr:uid="{00000000-0005-0000-0000-000029030000}"/>
    <cellStyle name="Normal 13 2" xfId="628" xr:uid="{00000000-0005-0000-0000-00002A030000}"/>
    <cellStyle name="Normal 13 2 2" xfId="824" xr:uid="{00000000-0005-0000-0000-00002B030000}"/>
    <cellStyle name="Normal 13 2 2 2" xfId="1141" xr:uid="{00000000-0005-0000-0000-00002C030000}"/>
    <cellStyle name="Normal 13 2 3" xfId="1057" xr:uid="{00000000-0005-0000-0000-00002D030000}"/>
    <cellStyle name="Normal 14" xfId="1188" xr:uid="{00000000-0005-0000-0000-00002E030000}"/>
    <cellStyle name="Normal 14 2" xfId="629" xr:uid="{00000000-0005-0000-0000-00002F030000}"/>
    <cellStyle name="Normal 14 2 2" xfId="825" xr:uid="{00000000-0005-0000-0000-000030030000}"/>
    <cellStyle name="Normal 14 2 2 2" xfId="1142" xr:uid="{00000000-0005-0000-0000-000031030000}"/>
    <cellStyle name="Normal 14 2 3" xfId="1058" xr:uid="{00000000-0005-0000-0000-000032030000}"/>
    <cellStyle name="Normal 15" xfId="1190" xr:uid="{00000000-0005-0000-0000-000033030000}"/>
    <cellStyle name="Normal 15 2" xfId="630" xr:uid="{00000000-0005-0000-0000-000034030000}"/>
    <cellStyle name="Normal 15 2 2" xfId="826" xr:uid="{00000000-0005-0000-0000-000035030000}"/>
    <cellStyle name="Normal 15 2 2 2" xfId="1143" xr:uid="{00000000-0005-0000-0000-000036030000}"/>
    <cellStyle name="Normal 15 2 3" xfId="1059" xr:uid="{00000000-0005-0000-0000-000037030000}"/>
    <cellStyle name="Normal 16" xfId="1192" xr:uid="{00000000-0005-0000-0000-000038030000}"/>
    <cellStyle name="Normal 16 2" xfId="631" xr:uid="{00000000-0005-0000-0000-000039030000}"/>
    <cellStyle name="Normal 16 2 2" xfId="827" xr:uid="{00000000-0005-0000-0000-00003A030000}"/>
    <cellStyle name="Normal 16 2 2 2" xfId="1144" xr:uid="{00000000-0005-0000-0000-00003B030000}"/>
    <cellStyle name="Normal 16 2 3" xfId="1060" xr:uid="{00000000-0005-0000-0000-00003C030000}"/>
    <cellStyle name="Normal 17 2" xfId="632" xr:uid="{00000000-0005-0000-0000-00003D030000}"/>
    <cellStyle name="Normal 17 2 2" xfId="828" xr:uid="{00000000-0005-0000-0000-00003E030000}"/>
    <cellStyle name="Normal 17 2 2 2" xfId="1145" xr:uid="{00000000-0005-0000-0000-00003F030000}"/>
    <cellStyle name="Normal 17 2 3" xfId="1061" xr:uid="{00000000-0005-0000-0000-000040030000}"/>
    <cellStyle name="Normal 18 2" xfId="633" xr:uid="{00000000-0005-0000-0000-000041030000}"/>
    <cellStyle name="Normal 18 2 2" xfId="829" xr:uid="{00000000-0005-0000-0000-000042030000}"/>
    <cellStyle name="Normal 18 2 2 2" xfId="1146" xr:uid="{00000000-0005-0000-0000-000043030000}"/>
    <cellStyle name="Normal 18 2 3" xfId="1062" xr:uid="{00000000-0005-0000-0000-000044030000}"/>
    <cellStyle name="Normal 19 2" xfId="634" xr:uid="{00000000-0005-0000-0000-000045030000}"/>
    <cellStyle name="Normal 19 2 2" xfId="830" xr:uid="{00000000-0005-0000-0000-000046030000}"/>
    <cellStyle name="Normal 19 2 2 2" xfId="1147" xr:uid="{00000000-0005-0000-0000-000047030000}"/>
    <cellStyle name="Normal 19 2 3" xfId="1063" xr:uid="{00000000-0005-0000-0000-000048030000}"/>
    <cellStyle name="Normal 2" xfId="5" xr:uid="{00000000-0005-0000-0000-000049030000}"/>
    <cellStyle name="Normal 2 10" xfId="636" xr:uid="{00000000-0005-0000-0000-00004A030000}"/>
    <cellStyle name="Normal 2 10 2" xfId="732" xr:uid="{00000000-0005-0000-0000-00004B030000}"/>
    <cellStyle name="Normal 2 11" xfId="731" xr:uid="{00000000-0005-0000-0000-00004C030000}"/>
    <cellStyle name="Normal 2 12" xfId="730" xr:uid="{00000000-0005-0000-0000-00004D030000}"/>
    <cellStyle name="Normal 2 13" xfId="729" xr:uid="{00000000-0005-0000-0000-00004E030000}"/>
    <cellStyle name="Normal 2 14" xfId="728" xr:uid="{00000000-0005-0000-0000-00004F030000}"/>
    <cellStyle name="Normal 2 15" xfId="727" xr:uid="{00000000-0005-0000-0000-000050030000}"/>
    <cellStyle name="Normal 2 16" xfId="733" xr:uid="{00000000-0005-0000-0000-000051030000}"/>
    <cellStyle name="Normal 2 2" xfId="131" xr:uid="{00000000-0005-0000-0000-000052030000}"/>
    <cellStyle name="Normal 2 2 10" xfId="132" xr:uid="{00000000-0005-0000-0000-000053030000}"/>
    <cellStyle name="Normal 2 2 11" xfId="133" xr:uid="{00000000-0005-0000-0000-000054030000}"/>
    <cellStyle name="Normal 2 2 12" xfId="134" xr:uid="{00000000-0005-0000-0000-000055030000}"/>
    <cellStyle name="Normal 2 2 13" xfId="135" xr:uid="{00000000-0005-0000-0000-000056030000}"/>
    <cellStyle name="Normal 2 2 14" xfId="136" xr:uid="{00000000-0005-0000-0000-000057030000}"/>
    <cellStyle name="Normal 2 2 2" xfId="137" xr:uid="{00000000-0005-0000-0000-000058030000}"/>
    <cellStyle name="Normal 2 2 2 2" xfId="639" xr:uid="{00000000-0005-0000-0000-000059030000}"/>
    <cellStyle name="Normal 2 2 2 2 2" xfId="640" xr:uid="{00000000-0005-0000-0000-00005A030000}"/>
    <cellStyle name="Normal 2 2 2 2 3" xfId="641" xr:uid="{00000000-0005-0000-0000-00005B030000}"/>
    <cellStyle name="Normal 2 2 2 2 4" xfId="642" xr:uid="{00000000-0005-0000-0000-00005C030000}"/>
    <cellStyle name="Normal 2 2 2 2 5" xfId="643" xr:uid="{00000000-0005-0000-0000-00005D030000}"/>
    <cellStyle name="Normal 2 2 2 3" xfId="644" xr:uid="{00000000-0005-0000-0000-00005E030000}"/>
    <cellStyle name="Normal 2 2 2 4" xfId="645" xr:uid="{00000000-0005-0000-0000-00005F030000}"/>
    <cellStyle name="Normal 2 2 2 5" xfId="646" xr:uid="{00000000-0005-0000-0000-000060030000}"/>
    <cellStyle name="Normal 2 2 2 6" xfId="647" xr:uid="{00000000-0005-0000-0000-000061030000}"/>
    <cellStyle name="Normal 2 2 2 7" xfId="638" xr:uid="{00000000-0005-0000-0000-000062030000}"/>
    <cellStyle name="Normal 2 2 3" xfId="11" xr:uid="{00000000-0005-0000-0000-000063030000}"/>
    <cellStyle name="Normal 2 2 4" xfId="138" xr:uid="{00000000-0005-0000-0000-000064030000}"/>
    <cellStyle name="Normal 2 2 4 2" xfId="685" xr:uid="{00000000-0005-0000-0000-000065030000}"/>
    <cellStyle name="Normal 2 2 5" xfId="139" xr:uid="{00000000-0005-0000-0000-000066030000}"/>
    <cellStyle name="Normal 2 2 6" xfId="140" xr:uid="{00000000-0005-0000-0000-000067030000}"/>
    <cellStyle name="Normal 2 2 7" xfId="141" xr:uid="{00000000-0005-0000-0000-000068030000}"/>
    <cellStyle name="Normal 2 2 8" xfId="142" xr:uid="{00000000-0005-0000-0000-000069030000}"/>
    <cellStyle name="Normal 2 2 9" xfId="143" xr:uid="{00000000-0005-0000-0000-00006A030000}"/>
    <cellStyle name="Normal 2 3" xfId="144" xr:uid="{00000000-0005-0000-0000-00006B030000}"/>
    <cellStyle name="Normal 2 3 2" xfId="651" xr:uid="{00000000-0005-0000-0000-00006C030000}"/>
    <cellStyle name="Normal 2 3 3" xfId="652" xr:uid="{00000000-0005-0000-0000-00006D030000}"/>
    <cellStyle name="Normal 2 3 4" xfId="653" xr:uid="{00000000-0005-0000-0000-00006E030000}"/>
    <cellStyle name="Normal 2 3 5" xfId="654" xr:uid="{00000000-0005-0000-0000-00006F030000}"/>
    <cellStyle name="Normal 2 3 6" xfId="650" xr:uid="{00000000-0005-0000-0000-000070030000}"/>
    <cellStyle name="Normal 2 4" xfId="655" xr:uid="{00000000-0005-0000-0000-000071030000}"/>
    <cellStyle name="Normal 2 4 2" xfId="656" xr:uid="{00000000-0005-0000-0000-000072030000}"/>
    <cellStyle name="Normal 2 4 3" xfId="657" xr:uid="{00000000-0005-0000-0000-000073030000}"/>
    <cellStyle name="Normal 2 4 4" xfId="658" xr:uid="{00000000-0005-0000-0000-000074030000}"/>
    <cellStyle name="Normal 2 4 5" xfId="659" xr:uid="{00000000-0005-0000-0000-000075030000}"/>
    <cellStyle name="Normal 2 5" xfId="660" xr:uid="{00000000-0005-0000-0000-000076030000}"/>
    <cellStyle name="Normal 2 5 2" xfId="649" xr:uid="{00000000-0005-0000-0000-000077030000}"/>
    <cellStyle name="Normal 2 6" xfId="661" xr:uid="{00000000-0005-0000-0000-000078030000}"/>
    <cellStyle name="Normal 2 6 2" xfId="648" xr:uid="{00000000-0005-0000-0000-000079030000}"/>
    <cellStyle name="Normal 2 7" xfId="662" xr:uid="{00000000-0005-0000-0000-00007A030000}"/>
    <cellStyle name="Normal 2 7 2" xfId="637" xr:uid="{00000000-0005-0000-0000-00007B030000}"/>
    <cellStyle name="Normal 2 8" xfId="663" xr:uid="{00000000-0005-0000-0000-00007C030000}"/>
    <cellStyle name="Normal 2 8 2" xfId="635" xr:uid="{00000000-0005-0000-0000-00007D030000}"/>
    <cellStyle name="Normal 2 9" xfId="664" xr:uid="{00000000-0005-0000-0000-00007E030000}"/>
    <cellStyle name="Normal 2 9 2" xfId="620" xr:uid="{00000000-0005-0000-0000-00007F030000}"/>
    <cellStyle name="Normal 20 2" xfId="665" xr:uid="{00000000-0005-0000-0000-000080030000}"/>
    <cellStyle name="Normal 20 2 2" xfId="831" xr:uid="{00000000-0005-0000-0000-000081030000}"/>
    <cellStyle name="Normal 20 2 2 2" xfId="1148" xr:uid="{00000000-0005-0000-0000-000082030000}"/>
    <cellStyle name="Normal 20 2 3" xfId="1064" xr:uid="{00000000-0005-0000-0000-000083030000}"/>
    <cellStyle name="Normal 21 2" xfId="666" xr:uid="{00000000-0005-0000-0000-000084030000}"/>
    <cellStyle name="Normal 21 2 2" xfId="832" xr:uid="{00000000-0005-0000-0000-000085030000}"/>
    <cellStyle name="Normal 21 2 2 2" xfId="1149" xr:uid="{00000000-0005-0000-0000-000086030000}"/>
    <cellStyle name="Normal 21 2 3" xfId="1065" xr:uid="{00000000-0005-0000-0000-000087030000}"/>
    <cellStyle name="Normal 22 2" xfId="667" xr:uid="{00000000-0005-0000-0000-000088030000}"/>
    <cellStyle name="Normal 22 2 2" xfId="833" xr:uid="{00000000-0005-0000-0000-000089030000}"/>
    <cellStyle name="Normal 22 2 2 2" xfId="1150" xr:uid="{00000000-0005-0000-0000-00008A030000}"/>
    <cellStyle name="Normal 22 2 3" xfId="1066" xr:uid="{00000000-0005-0000-0000-00008B030000}"/>
    <cellStyle name="Normal 23 2" xfId="668" xr:uid="{00000000-0005-0000-0000-00008C030000}"/>
    <cellStyle name="Normal 23 2 2" xfId="834" xr:uid="{00000000-0005-0000-0000-00008D030000}"/>
    <cellStyle name="Normal 23 2 2 2" xfId="1151" xr:uid="{00000000-0005-0000-0000-00008E030000}"/>
    <cellStyle name="Normal 23 2 3" xfId="1067" xr:uid="{00000000-0005-0000-0000-00008F030000}"/>
    <cellStyle name="Normal 24 2" xfId="669" xr:uid="{00000000-0005-0000-0000-000090030000}"/>
    <cellStyle name="Normal 24 2 2" xfId="835" xr:uid="{00000000-0005-0000-0000-000091030000}"/>
    <cellStyle name="Normal 24 2 2 2" xfId="1152" xr:uid="{00000000-0005-0000-0000-000092030000}"/>
    <cellStyle name="Normal 24 2 3" xfId="1068" xr:uid="{00000000-0005-0000-0000-000093030000}"/>
    <cellStyle name="Normal 27" xfId="516" xr:uid="{00000000-0005-0000-0000-000094030000}"/>
    <cellStyle name="Normal 27 2" xfId="670" xr:uid="{00000000-0005-0000-0000-000095030000}"/>
    <cellStyle name="Normal 27 2 2" xfId="836" xr:uid="{00000000-0005-0000-0000-000096030000}"/>
    <cellStyle name="Normal 27 2 2 2" xfId="1153" xr:uid="{00000000-0005-0000-0000-000097030000}"/>
    <cellStyle name="Normal 27 2 3" xfId="1069" xr:uid="{00000000-0005-0000-0000-000098030000}"/>
    <cellStyle name="Normal 27 3" xfId="772" xr:uid="{00000000-0005-0000-0000-000099030000}"/>
    <cellStyle name="Normal 27 3 2" xfId="856" xr:uid="{00000000-0005-0000-0000-00009A030000}"/>
    <cellStyle name="Normal 27 3 2 2" xfId="1173" xr:uid="{00000000-0005-0000-0000-00009B030000}"/>
    <cellStyle name="Normal 27 3 3" xfId="1089" xr:uid="{00000000-0005-0000-0000-00009C030000}"/>
    <cellStyle name="Normal 27 4" xfId="820" xr:uid="{00000000-0005-0000-0000-00009D030000}"/>
    <cellStyle name="Normal 27 4 2" xfId="1137" xr:uid="{00000000-0005-0000-0000-00009E030000}"/>
    <cellStyle name="Normal 27 5" xfId="1053" xr:uid="{00000000-0005-0000-0000-00009F030000}"/>
    <cellStyle name="Normal 3" xfId="3" xr:uid="{00000000-0005-0000-0000-0000A0030000}"/>
    <cellStyle name="Normal 3 10" xfId="480" xr:uid="{00000000-0005-0000-0000-0000A1030000}"/>
    <cellStyle name="Normal 3 11" xfId="472" xr:uid="{00000000-0005-0000-0000-0000A2030000}"/>
    <cellStyle name="Normal 3 12" xfId="773" xr:uid="{00000000-0005-0000-0000-0000A3030000}"/>
    <cellStyle name="Normal 3 12 2" xfId="1090" xr:uid="{00000000-0005-0000-0000-0000A4030000}"/>
    <cellStyle name="Normal 3 13" xfId="903" xr:uid="{00000000-0005-0000-0000-0000A5030000}"/>
    <cellStyle name="Normal 3 2" xfId="145" xr:uid="{00000000-0005-0000-0000-0000A6030000}"/>
    <cellStyle name="Normal 3 2 10" xfId="146" xr:uid="{00000000-0005-0000-0000-0000A7030000}"/>
    <cellStyle name="Normal 3 2 11" xfId="147" xr:uid="{00000000-0005-0000-0000-0000A8030000}"/>
    <cellStyle name="Normal 3 2 12" xfId="148" xr:uid="{00000000-0005-0000-0000-0000A9030000}"/>
    <cellStyle name="Normal 3 2 13" xfId="149" xr:uid="{00000000-0005-0000-0000-0000AA030000}"/>
    <cellStyle name="Normal 3 2 14" xfId="150" xr:uid="{00000000-0005-0000-0000-0000AB030000}"/>
    <cellStyle name="Normal 3 2 15" xfId="672" xr:uid="{00000000-0005-0000-0000-0000AC030000}"/>
    <cellStyle name="Normal 3 2 16" xfId="469" xr:uid="{00000000-0005-0000-0000-0000AD030000}"/>
    <cellStyle name="Normal 3 2 2" xfId="151" xr:uid="{00000000-0005-0000-0000-0000AE030000}"/>
    <cellStyle name="Normal 3 2 2 2" xfId="674" xr:uid="{00000000-0005-0000-0000-0000AF030000}"/>
    <cellStyle name="Normal 3 2 2 2 2" xfId="675" xr:uid="{00000000-0005-0000-0000-0000B0030000}"/>
    <cellStyle name="Normal 3 2 2 2 2 2" xfId="839" xr:uid="{00000000-0005-0000-0000-0000B1030000}"/>
    <cellStyle name="Normal 3 2 2 2 2 2 2" xfId="1156" xr:uid="{00000000-0005-0000-0000-0000B2030000}"/>
    <cellStyle name="Normal 3 2 2 2 2 3" xfId="1072" xr:uid="{00000000-0005-0000-0000-0000B3030000}"/>
    <cellStyle name="Normal 3 2 2 2 3" xfId="676" xr:uid="{00000000-0005-0000-0000-0000B4030000}"/>
    <cellStyle name="Normal 3 2 2 2 3 2" xfId="840" xr:uid="{00000000-0005-0000-0000-0000B5030000}"/>
    <cellStyle name="Normal 3 2 2 2 3 2 2" xfId="1157" xr:uid="{00000000-0005-0000-0000-0000B6030000}"/>
    <cellStyle name="Normal 3 2 2 2 3 3" xfId="1073" xr:uid="{00000000-0005-0000-0000-0000B7030000}"/>
    <cellStyle name="Normal 3 2 2 3" xfId="677" xr:uid="{00000000-0005-0000-0000-0000B8030000}"/>
    <cellStyle name="Normal 3 2 2 4" xfId="673" xr:uid="{00000000-0005-0000-0000-0000B9030000}"/>
    <cellStyle name="Normal 3 2 2 4 2" xfId="838" xr:uid="{00000000-0005-0000-0000-0000BA030000}"/>
    <cellStyle name="Normal 3 2 2 4 2 2" xfId="1155" xr:uid="{00000000-0005-0000-0000-0000BB030000}"/>
    <cellStyle name="Normal 3 2 2 4 3" xfId="1071" xr:uid="{00000000-0005-0000-0000-0000BC030000}"/>
    <cellStyle name="Normal 3 2 3" xfId="152" xr:uid="{00000000-0005-0000-0000-0000BD030000}"/>
    <cellStyle name="Normal 3 2 3 2" xfId="678" xr:uid="{00000000-0005-0000-0000-0000BE030000}"/>
    <cellStyle name="Normal 3 2 3 2 2" xfId="841" xr:uid="{00000000-0005-0000-0000-0000BF030000}"/>
    <cellStyle name="Normal 3 2 3 2 2 2" xfId="1158" xr:uid="{00000000-0005-0000-0000-0000C0030000}"/>
    <cellStyle name="Normal 3 2 3 2 3" xfId="1074" xr:uid="{00000000-0005-0000-0000-0000C1030000}"/>
    <cellStyle name="Normal 3 2 4" xfId="153" xr:uid="{00000000-0005-0000-0000-0000C2030000}"/>
    <cellStyle name="Normal 3 2 4 2" xfId="679" xr:uid="{00000000-0005-0000-0000-0000C3030000}"/>
    <cellStyle name="Normal 3 2 4 2 2" xfId="842" xr:uid="{00000000-0005-0000-0000-0000C4030000}"/>
    <cellStyle name="Normal 3 2 4 2 2 2" xfId="1159" xr:uid="{00000000-0005-0000-0000-0000C5030000}"/>
    <cellStyle name="Normal 3 2 4 2 3" xfId="1075" xr:uid="{00000000-0005-0000-0000-0000C6030000}"/>
    <cellStyle name="Normal 3 2 5" xfId="154" xr:uid="{00000000-0005-0000-0000-0000C7030000}"/>
    <cellStyle name="Normal 3 2 5 2" xfId="680" xr:uid="{00000000-0005-0000-0000-0000C8030000}"/>
    <cellStyle name="Normal 3 2 5 2 2" xfId="843" xr:uid="{00000000-0005-0000-0000-0000C9030000}"/>
    <cellStyle name="Normal 3 2 5 2 2 2" xfId="1160" xr:uid="{00000000-0005-0000-0000-0000CA030000}"/>
    <cellStyle name="Normal 3 2 5 2 3" xfId="1076" xr:uid="{00000000-0005-0000-0000-0000CB030000}"/>
    <cellStyle name="Normal 3 2 6" xfId="155" xr:uid="{00000000-0005-0000-0000-0000CC030000}"/>
    <cellStyle name="Normal 3 2 6 2" xfId="681" xr:uid="{00000000-0005-0000-0000-0000CD030000}"/>
    <cellStyle name="Normal 3 2 6 2 2" xfId="844" xr:uid="{00000000-0005-0000-0000-0000CE030000}"/>
    <cellStyle name="Normal 3 2 6 2 2 2" xfId="1161" xr:uid="{00000000-0005-0000-0000-0000CF030000}"/>
    <cellStyle name="Normal 3 2 6 2 3" xfId="1077" xr:uid="{00000000-0005-0000-0000-0000D0030000}"/>
    <cellStyle name="Normal 3 2 7" xfId="156" xr:uid="{00000000-0005-0000-0000-0000D1030000}"/>
    <cellStyle name="Normal 3 2 7 2" xfId="682" xr:uid="{00000000-0005-0000-0000-0000D2030000}"/>
    <cellStyle name="Normal 3 2 7 2 2" xfId="845" xr:uid="{00000000-0005-0000-0000-0000D3030000}"/>
    <cellStyle name="Normal 3 2 7 2 2 2" xfId="1162" xr:uid="{00000000-0005-0000-0000-0000D4030000}"/>
    <cellStyle name="Normal 3 2 7 2 3" xfId="1078" xr:uid="{00000000-0005-0000-0000-0000D5030000}"/>
    <cellStyle name="Normal 3 2 8" xfId="157" xr:uid="{00000000-0005-0000-0000-0000D6030000}"/>
    <cellStyle name="Normal 3 2 8 2" xfId="683" xr:uid="{00000000-0005-0000-0000-0000D7030000}"/>
    <cellStyle name="Normal 3 2 9" xfId="158" xr:uid="{00000000-0005-0000-0000-0000D8030000}"/>
    <cellStyle name="Normal 3 2 9 2" xfId="684" xr:uid="{00000000-0005-0000-0000-0000D9030000}"/>
    <cellStyle name="Normal 3 3" xfId="159" xr:uid="{00000000-0005-0000-0000-0000DA030000}"/>
    <cellStyle name="Normal 3 3 10" xfId="160" xr:uid="{00000000-0005-0000-0000-0000DB030000}"/>
    <cellStyle name="Normal 3 3 11" xfId="161" xr:uid="{00000000-0005-0000-0000-0000DC030000}"/>
    <cellStyle name="Normal 3 3 12" xfId="162" xr:uid="{00000000-0005-0000-0000-0000DD030000}"/>
    <cellStyle name="Normal 3 3 13" xfId="163" xr:uid="{00000000-0005-0000-0000-0000DE030000}"/>
    <cellStyle name="Normal 3 3 14" xfId="418" xr:uid="{00000000-0005-0000-0000-0000DF030000}"/>
    <cellStyle name="Normal 3 3 2" xfId="164" xr:uid="{00000000-0005-0000-0000-0000E0030000}"/>
    <cellStyle name="Normal 3 3 2 2" xfId="687" xr:uid="{00000000-0005-0000-0000-0000E1030000}"/>
    <cellStyle name="Normal 3 3 2 3" xfId="688" xr:uid="{00000000-0005-0000-0000-0000E2030000}"/>
    <cellStyle name="Normal 3 3 2 4" xfId="686" xr:uid="{00000000-0005-0000-0000-0000E3030000}"/>
    <cellStyle name="Normal 3 3 2 4 2" xfId="846" xr:uid="{00000000-0005-0000-0000-0000E4030000}"/>
    <cellStyle name="Normal 3 3 2 4 2 2" xfId="1163" xr:uid="{00000000-0005-0000-0000-0000E5030000}"/>
    <cellStyle name="Normal 3 3 2 4 3" xfId="1079" xr:uid="{00000000-0005-0000-0000-0000E6030000}"/>
    <cellStyle name="Normal 3 3 3" xfId="165" xr:uid="{00000000-0005-0000-0000-0000E7030000}"/>
    <cellStyle name="Normal 3 3 3 2" xfId="689" xr:uid="{00000000-0005-0000-0000-0000E8030000}"/>
    <cellStyle name="Normal 3 3 3 2 2" xfId="847" xr:uid="{00000000-0005-0000-0000-0000E9030000}"/>
    <cellStyle name="Normal 3 3 3 2 2 2" xfId="1164" xr:uid="{00000000-0005-0000-0000-0000EA030000}"/>
    <cellStyle name="Normal 3 3 3 2 3" xfId="1080" xr:uid="{00000000-0005-0000-0000-0000EB030000}"/>
    <cellStyle name="Normal 3 3 4" xfId="166" xr:uid="{00000000-0005-0000-0000-0000EC030000}"/>
    <cellStyle name="Normal 3 3 5" xfId="167" xr:uid="{00000000-0005-0000-0000-0000ED030000}"/>
    <cellStyle name="Normal 3 3 6" xfId="168" xr:uid="{00000000-0005-0000-0000-0000EE030000}"/>
    <cellStyle name="Normal 3 3 7" xfId="169" xr:uid="{00000000-0005-0000-0000-0000EF030000}"/>
    <cellStyle name="Normal 3 3 8" xfId="170" xr:uid="{00000000-0005-0000-0000-0000F0030000}"/>
    <cellStyle name="Normal 3 3 9" xfId="171" xr:uid="{00000000-0005-0000-0000-0000F1030000}"/>
    <cellStyle name="Normal 3 4" xfId="690" xr:uid="{00000000-0005-0000-0000-0000F2030000}"/>
    <cellStyle name="Normal 3 4 2" xfId="414" xr:uid="{00000000-0005-0000-0000-0000F3030000}"/>
    <cellStyle name="Normal 3 5" xfId="691" xr:uid="{00000000-0005-0000-0000-0000F4030000}"/>
    <cellStyle name="Normal 3 5 2" xfId="412" xr:uid="{00000000-0005-0000-0000-0000F5030000}"/>
    <cellStyle name="Normal 3 6" xfId="692" xr:uid="{00000000-0005-0000-0000-0000F6030000}"/>
    <cellStyle name="Normal 3 6 2" xfId="404" xr:uid="{00000000-0005-0000-0000-0000F7030000}"/>
    <cellStyle name="Normal 3 7" xfId="693" xr:uid="{00000000-0005-0000-0000-0000F8030000}"/>
    <cellStyle name="Normal 3 7 2" xfId="263" xr:uid="{00000000-0005-0000-0000-0000F9030000}"/>
    <cellStyle name="Normal 3 8" xfId="694" xr:uid="{00000000-0005-0000-0000-0000FA030000}"/>
    <cellStyle name="Normal 3 8 2" xfId="262" xr:uid="{00000000-0005-0000-0000-0000FB030000}"/>
    <cellStyle name="Normal 3 9" xfId="671" xr:uid="{00000000-0005-0000-0000-0000FC030000}"/>
    <cellStyle name="Normal 3 9 2" xfId="261" xr:uid="{00000000-0005-0000-0000-0000FD030000}"/>
    <cellStyle name="Normal 3 9 3" xfId="837" xr:uid="{00000000-0005-0000-0000-0000FE030000}"/>
    <cellStyle name="Normal 3 9 3 2" xfId="1154" xr:uid="{00000000-0005-0000-0000-0000FF030000}"/>
    <cellStyle name="Normal 3 9 4" xfId="1070" xr:uid="{00000000-0005-0000-0000-000000040000}"/>
    <cellStyle name="Normal 4" xfId="7" xr:uid="{00000000-0005-0000-0000-000001040000}"/>
    <cellStyle name="Normal 4 2" xfId="695" xr:uid="{00000000-0005-0000-0000-000002040000}"/>
    <cellStyle name="Normal 4 2 2" xfId="696" xr:uid="{00000000-0005-0000-0000-000003040000}"/>
    <cellStyle name="Normal 4 2 3" xfId="697" xr:uid="{00000000-0005-0000-0000-000004040000}"/>
    <cellStyle name="Normal 4 2 4" xfId="698" xr:uid="{00000000-0005-0000-0000-000005040000}"/>
    <cellStyle name="Normal 4 2 5" xfId="699" xr:uid="{00000000-0005-0000-0000-000006040000}"/>
    <cellStyle name="Normal 4 3" xfId="700" xr:uid="{00000000-0005-0000-0000-000007040000}"/>
    <cellStyle name="Normal 4 4" xfId="701" xr:uid="{00000000-0005-0000-0000-000008040000}"/>
    <cellStyle name="Normal 4 5" xfId="702" xr:uid="{00000000-0005-0000-0000-000009040000}"/>
    <cellStyle name="Normal 4 6" xfId="703" xr:uid="{00000000-0005-0000-0000-00000A040000}"/>
    <cellStyle name="Normal 4 7" xfId="704" xr:uid="{00000000-0005-0000-0000-00000B040000}"/>
    <cellStyle name="Normal 4 8" xfId="705" xr:uid="{00000000-0005-0000-0000-00000C040000}"/>
    <cellStyle name="Normal 5" xfId="14" xr:uid="{00000000-0005-0000-0000-00000D040000}"/>
    <cellStyle name="Normal 5 10" xfId="172" xr:uid="{00000000-0005-0000-0000-00000E040000}"/>
    <cellStyle name="Normal 5 11" xfId="173" xr:uid="{00000000-0005-0000-0000-00000F040000}"/>
    <cellStyle name="Normal 5 12" xfId="174" xr:uid="{00000000-0005-0000-0000-000010040000}"/>
    <cellStyle name="Normal 5 13" xfId="175" xr:uid="{00000000-0005-0000-0000-000011040000}"/>
    <cellStyle name="Normal 5 14" xfId="176" xr:uid="{00000000-0005-0000-0000-000012040000}"/>
    <cellStyle name="Normal 5 15" xfId="177" xr:uid="{00000000-0005-0000-0000-000013040000}"/>
    <cellStyle name="Normal 5 16" xfId="178" xr:uid="{00000000-0005-0000-0000-000014040000}"/>
    <cellStyle name="Normal 5 17" xfId="706" xr:uid="{00000000-0005-0000-0000-000015040000}"/>
    <cellStyle name="Normal 5 18" xfId="776" xr:uid="{00000000-0005-0000-0000-000016040000}"/>
    <cellStyle name="Normal 5 18 2" xfId="1093" xr:uid="{00000000-0005-0000-0000-000017040000}"/>
    <cellStyle name="Normal 5 19" xfId="906" xr:uid="{00000000-0005-0000-0000-000018040000}"/>
    <cellStyle name="Normal 5 2" xfId="179" xr:uid="{00000000-0005-0000-0000-000019040000}"/>
    <cellStyle name="Normal 5 2 10" xfId="180" xr:uid="{00000000-0005-0000-0000-00001A040000}"/>
    <cellStyle name="Normal 5 2 11" xfId="181" xr:uid="{00000000-0005-0000-0000-00001B040000}"/>
    <cellStyle name="Normal 5 2 12" xfId="182" xr:uid="{00000000-0005-0000-0000-00001C040000}"/>
    <cellStyle name="Normal 5 2 13" xfId="183" xr:uid="{00000000-0005-0000-0000-00001D040000}"/>
    <cellStyle name="Normal 5 2 14" xfId="184" xr:uid="{00000000-0005-0000-0000-00001E040000}"/>
    <cellStyle name="Normal 5 2 2" xfId="185" xr:uid="{00000000-0005-0000-0000-00001F040000}"/>
    <cellStyle name="Normal 5 2 2 2" xfId="708" xr:uid="{00000000-0005-0000-0000-000020040000}"/>
    <cellStyle name="Normal 5 2 2 2 2" xfId="709" xr:uid="{00000000-0005-0000-0000-000021040000}"/>
    <cellStyle name="Normal 5 2 2 2 3" xfId="710" xr:uid="{00000000-0005-0000-0000-000022040000}"/>
    <cellStyle name="Normal 5 2 2 3" xfId="711" xr:uid="{00000000-0005-0000-0000-000023040000}"/>
    <cellStyle name="Normal 5 2 2 4" xfId="707" xr:uid="{00000000-0005-0000-0000-000024040000}"/>
    <cellStyle name="Normal 5 2 3" xfId="186" xr:uid="{00000000-0005-0000-0000-000025040000}"/>
    <cellStyle name="Normal 5 2 3 2" xfId="712" xr:uid="{00000000-0005-0000-0000-000026040000}"/>
    <cellStyle name="Normal 5 2 4" xfId="187" xr:uid="{00000000-0005-0000-0000-000027040000}"/>
    <cellStyle name="Normal 5 2 4 2" xfId="713" xr:uid="{00000000-0005-0000-0000-000028040000}"/>
    <cellStyle name="Normal 5 2 5" xfId="188" xr:uid="{00000000-0005-0000-0000-000029040000}"/>
    <cellStyle name="Normal 5 2 5 2" xfId="714" xr:uid="{00000000-0005-0000-0000-00002A040000}"/>
    <cellStyle name="Normal 5 2 6" xfId="189" xr:uid="{00000000-0005-0000-0000-00002B040000}"/>
    <cellStyle name="Normal 5 2 6 2" xfId="715" xr:uid="{00000000-0005-0000-0000-00002C040000}"/>
    <cellStyle name="Normal 5 2 7" xfId="190" xr:uid="{00000000-0005-0000-0000-00002D040000}"/>
    <cellStyle name="Normal 5 2 7 2" xfId="716" xr:uid="{00000000-0005-0000-0000-00002E040000}"/>
    <cellStyle name="Normal 5 2 8" xfId="191" xr:uid="{00000000-0005-0000-0000-00002F040000}"/>
    <cellStyle name="Normal 5 2 9" xfId="192" xr:uid="{00000000-0005-0000-0000-000030040000}"/>
    <cellStyle name="Normal 5 20" xfId="1191" xr:uid="{00000000-0005-0000-0000-000031040000}"/>
    <cellStyle name="Normal 5 3" xfId="193" xr:uid="{00000000-0005-0000-0000-000032040000}"/>
    <cellStyle name="Normal 5 4" xfId="194" xr:uid="{00000000-0005-0000-0000-000033040000}"/>
    <cellStyle name="Normal 5 5" xfId="195" xr:uid="{00000000-0005-0000-0000-000034040000}"/>
    <cellStyle name="Normal 5 6" xfId="196" xr:uid="{00000000-0005-0000-0000-000035040000}"/>
    <cellStyle name="Normal 5 7" xfId="197" xr:uid="{00000000-0005-0000-0000-000036040000}"/>
    <cellStyle name="Normal 5 8" xfId="198" xr:uid="{00000000-0005-0000-0000-000037040000}"/>
    <cellStyle name="Normal 5 9" xfId="199" xr:uid="{00000000-0005-0000-0000-000038040000}"/>
    <cellStyle name="Normal 6" xfId="200" xr:uid="{00000000-0005-0000-0000-000039040000}"/>
    <cellStyle name="Normal 6 2" xfId="717" xr:uid="{00000000-0005-0000-0000-00003A040000}"/>
    <cellStyle name="Normal 6 3" xfId="718" xr:uid="{00000000-0005-0000-0000-00003B040000}"/>
    <cellStyle name="Normal 7" xfId="217" xr:uid="{00000000-0005-0000-0000-00003C040000}"/>
    <cellStyle name="Normal 7 2" xfId="719" xr:uid="{00000000-0005-0000-0000-00003D040000}"/>
    <cellStyle name="Normal 7 2 2" xfId="848" xr:uid="{00000000-0005-0000-0000-00003E040000}"/>
    <cellStyle name="Normal 7 2 2 2" xfId="1165" xr:uid="{00000000-0005-0000-0000-00003F040000}"/>
    <cellStyle name="Normal 7 2 3" xfId="1081" xr:uid="{00000000-0005-0000-0000-000040040000}"/>
    <cellStyle name="Normal 7 3" xfId="720" xr:uid="{00000000-0005-0000-0000-000041040000}"/>
    <cellStyle name="Normal 7 3 2" xfId="849" xr:uid="{00000000-0005-0000-0000-000042040000}"/>
    <cellStyle name="Normal 7 3 2 2" xfId="1166" xr:uid="{00000000-0005-0000-0000-000043040000}"/>
    <cellStyle name="Normal 7 3 3" xfId="1082" xr:uid="{00000000-0005-0000-0000-000044040000}"/>
    <cellStyle name="Normal 7 4" xfId="721" xr:uid="{00000000-0005-0000-0000-000045040000}"/>
    <cellStyle name="Normal 7 4 2" xfId="850" xr:uid="{00000000-0005-0000-0000-000046040000}"/>
    <cellStyle name="Normal 7 4 2 2" xfId="1167" xr:uid="{00000000-0005-0000-0000-000047040000}"/>
    <cellStyle name="Normal 7 4 3" xfId="1083" xr:uid="{00000000-0005-0000-0000-000048040000}"/>
    <cellStyle name="Normal 7 5" xfId="779" xr:uid="{00000000-0005-0000-0000-000049040000}"/>
    <cellStyle name="Normal 7 5 2" xfId="1096" xr:uid="{00000000-0005-0000-0000-00004A040000}"/>
    <cellStyle name="Normal 7 6" xfId="965" xr:uid="{00000000-0005-0000-0000-00004B040000}"/>
    <cellStyle name="Normal 8" xfId="219" xr:uid="{00000000-0005-0000-0000-00004C040000}"/>
    <cellStyle name="Normal 8 2" xfId="722" xr:uid="{00000000-0005-0000-0000-00004D040000}"/>
    <cellStyle name="Normal 8 2 2" xfId="851" xr:uid="{00000000-0005-0000-0000-00004E040000}"/>
    <cellStyle name="Normal 8 2 2 2" xfId="1168" xr:uid="{00000000-0005-0000-0000-00004F040000}"/>
    <cellStyle name="Normal 8 2 3" xfId="1084" xr:uid="{00000000-0005-0000-0000-000050040000}"/>
    <cellStyle name="Normal 8 3" xfId="723" xr:uid="{00000000-0005-0000-0000-000051040000}"/>
    <cellStyle name="Normal 8 3 2" xfId="852" xr:uid="{00000000-0005-0000-0000-000052040000}"/>
    <cellStyle name="Normal 8 3 2 2" xfId="1169" xr:uid="{00000000-0005-0000-0000-000053040000}"/>
    <cellStyle name="Normal 8 3 3" xfId="1085" xr:uid="{00000000-0005-0000-0000-000054040000}"/>
    <cellStyle name="Normal 8 4" xfId="724" xr:uid="{00000000-0005-0000-0000-000055040000}"/>
    <cellStyle name="Normal 8 4 2" xfId="853" xr:uid="{00000000-0005-0000-0000-000056040000}"/>
    <cellStyle name="Normal 8 4 2 2" xfId="1170" xr:uid="{00000000-0005-0000-0000-000057040000}"/>
    <cellStyle name="Normal 8 4 3" xfId="1086" xr:uid="{00000000-0005-0000-0000-000058040000}"/>
    <cellStyle name="Normal 8 5" xfId="780" xr:uid="{00000000-0005-0000-0000-000059040000}"/>
    <cellStyle name="Normal 8 5 2" xfId="1097" xr:uid="{00000000-0005-0000-0000-00005A040000}"/>
    <cellStyle name="Normal 8 6" xfId="966" xr:uid="{00000000-0005-0000-0000-00005B040000}"/>
    <cellStyle name="Normal 9" xfId="260" xr:uid="{00000000-0005-0000-0000-00005C040000}"/>
    <cellStyle name="Normal 9 2" xfId="725" xr:uid="{00000000-0005-0000-0000-00005D040000}"/>
    <cellStyle name="Normal 9 2 2" xfId="854" xr:uid="{00000000-0005-0000-0000-00005E040000}"/>
    <cellStyle name="Normal 9 2 2 2" xfId="1171" xr:uid="{00000000-0005-0000-0000-00005F040000}"/>
    <cellStyle name="Normal 9 2 3" xfId="1087" xr:uid="{00000000-0005-0000-0000-000060040000}"/>
    <cellStyle name="Normal 9 3" xfId="968" xr:uid="{00000000-0005-0000-0000-000061040000}"/>
    <cellStyle name="Normal_DCB produc&amp;desp MAY07-MAY08" xfId="4" xr:uid="{00000000-0005-0000-0000-000062040000}"/>
    <cellStyle name="Normal_QUEST-00-1" xfId="9" xr:uid="{00000000-0005-0000-0000-000063040000}"/>
    <cellStyle name="Note 2" xfId="859" xr:uid="{00000000-0005-0000-0000-000064040000}"/>
    <cellStyle name="Note 2 2" xfId="1175" xr:uid="{00000000-0005-0000-0000-000065040000}"/>
    <cellStyle name="Percent 2" xfId="726" xr:uid="{00000000-0005-0000-0000-000066040000}"/>
    <cellStyle name="Pourcentage" xfId="2" builtinId="5"/>
    <cellStyle name="Pourcentage 2" xfId="6" xr:uid="{00000000-0005-0000-0000-000068040000}"/>
    <cellStyle name="Pourcentage 2 2" xfId="201" xr:uid="{00000000-0005-0000-0000-000069040000}"/>
    <cellStyle name="Pourcentage 2 2 10" xfId="202" xr:uid="{00000000-0005-0000-0000-00006A040000}"/>
    <cellStyle name="Pourcentage 2 2 11" xfId="203" xr:uid="{00000000-0005-0000-0000-00006B040000}"/>
    <cellStyle name="Pourcentage 2 2 12" xfId="204" xr:uid="{00000000-0005-0000-0000-00006C040000}"/>
    <cellStyle name="Pourcentage 2 2 13" xfId="205" xr:uid="{00000000-0005-0000-0000-00006D040000}"/>
    <cellStyle name="Pourcentage 2 2 2" xfId="206" xr:uid="{00000000-0005-0000-0000-00006E040000}"/>
    <cellStyle name="Pourcentage 2 2 3" xfId="207" xr:uid="{00000000-0005-0000-0000-00006F040000}"/>
    <cellStyle name="Pourcentage 2 2 4" xfId="208" xr:uid="{00000000-0005-0000-0000-000070040000}"/>
    <cellStyle name="Pourcentage 2 2 5" xfId="209" xr:uid="{00000000-0005-0000-0000-000071040000}"/>
    <cellStyle name="Pourcentage 2 2 6" xfId="210" xr:uid="{00000000-0005-0000-0000-000072040000}"/>
    <cellStyle name="Pourcentage 2 2 7" xfId="211" xr:uid="{00000000-0005-0000-0000-000073040000}"/>
    <cellStyle name="Pourcentage 2 2 8" xfId="212" xr:uid="{00000000-0005-0000-0000-000074040000}"/>
    <cellStyle name="Pourcentage 2 2 9" xfId="213" xr:uid="{00000000-0005-0000-0000-000075040000}"/>
    <cellStyle name="Pourcentage 2 3" xfId="734" xr:uid="{00000000-0005-0000-0000-000076040000}"/>
    <cellStyle name="Pourcentage 2 3 2" xfId="735" xr:uid="{00000000-0005-0000-0000-000077040000}"/>
    <cellStyle name="Pourcentage 2 3 3" xfId="736" xr:uid="{00000000-0005-0000-0000-000078040000}"/>
    <cellStyle name="Pourcentage 2 3 4" xfId="737" xr:uid="{00000000-0005-0000-0000-000079040000}"/>
    <cellStyle name="Pourcentage 2 3 5" xfId="738" xr:uid="{00000000-0005-0000-0000-00007A040000}"/>
    <cellStyle name="Pourcentage 2 4" xfId="739" xr:uid="{00000000-0005-0000-0000-00007B040000}"/>
    <cellStyle name="Pourcentage 2 5" xfId="740" xr:uid="{00000000-0005-0000-0000-00007C040000}"/>
    <cellStyle name="Pourcentage 2 6" xfId="741" xr:uid="{00000000-0005-0000-0000-00007D040000}"/>
    <cellStyle name="Pourcentage 2 7" xfId="742" xr:uid="{00000000-0005-0000-0000-00007E040000}"/>
    <cellStyle name="Pourcentage 2 8" xfId="743" xr:uid="{00000000-0005-0000-0000-00007F040000}"/>
    <cellStyle name="Pourcentage 2 9" xfId="744" xr:uid="{00000000-0005-0000-0000-000080040000}"/>
    <cellStyle name="Pourcentage 3" xfId="902" xr:uid="{00000000-0005-0000-0000-000081040000}"/>
    <cellStyle name="Pourcentage 4 2" xfId="745" xr:uid="{00000000-0005-0000-0000-000082040000}"/>
    <cellStyle name="Pourcentage 4 2 2" xfId="746" xr:uid="{00000000-0005-0000-0000-000083040000}"/>
    <cellStyle name="Pourcentage 4 2 3" xfId="747" xr:uid="{00000000-0005-0000-0000-000084040000}"/>
    <cellStyle name="Pourcentage 4 2 4" xfId="748" xr:uid="{00000000-0005-0000-0000-000085040000}"/>
    <cellStyle name="Pourcentage 4 2 5" xfId="749" xr:uid="{00000000-0005-0000-0000-000086040000}"/>
    <cellStyle name="Pourcentage 5 2" xfId="750" xr:uid="{00000000-0005-0000-0000-000087040000}"/>
    <cellStyle name="Pourcentage 5 2 2" xfId="751" xr:uid="{00000000-0005-0000-0000-000088040000}"/>
    <cellStyle name="Pourcentage 5 2 3" xfId="752" xr:uid="{00000000-0005-0000-0000-000089040000}"/>
    <cellStyle name="Pourcentage 5 2 4" xfId="753" xr:uid="{00000000-0005-0000-0000-00008A040000}"/>
    <cellStyle name="Pourcentage 5 2 5" xfId="754" xr:uid="{00000000-0005-0000-0000-00008B040000}"/>
    <cellStyle name="Pourcentage 6 2" xfId="755" xr:uid="{00000000-0005-0000-0000-00008C040000}"/>
    <cellStyle name="Pourcentage 6 2 2" xfId="756" xr:uid="{00000000-0005-0000-0000-00008D040000}"/>
    <cellStyle name="Pourcentage 6 2 3" xfId="757" xr:uid="{00000000-0005-0000-0000-00008E040000}"/>
    <cellStyle name="Pourcentage 6 2 4" xfId="758" xr:uid="{00000000-0005-0000-0000-00008F040000}"/>
    <cellStyle name="Pourcentage 6 2 5" xfId="759" xr:uid="{00000000-0005-0000-0000-000090040000}"/>
    <cellStyle name="Pourcentage 7 2" xfId="760" xr:uid="{00000000-0005-0000-0000-000091040000}"/>
    <cellStyle name="Pourcentage 7 2 2" xfId="761" xr:uid="{00000000-0005-0000-0000-000092040000}"/>
    <cellStyle name="Pourcentage 7 2 3" xfId="762" xr:uid="{00000000-0005-0000-0000-000093040000}"/>
    <cellStyle name="Pourcentage 7 2 4" xfId="763" xr:uid="{00000000-0005-0000-0000-000094040000}"/>
    <cellStyle name="Pourcentage 7 2 5" xfId="764" xr:uid="{00000000-0005-0000-0000-000095040000}"/>
    <cellStyle name="Pourcentage 9 2" xfId="765" xr:uid="{00000000-0005-0000-0000-000096040000}"/>
    <cellStyle name="Pourcentage 9 2 2" xfId="766" xr:uid="{00000000-0005-0000-0000-000097040000}"/>
    <cellStyle name="Pourcentage 9 2 3" xfId="767" xr:uid="{00000000-0005-0000-0000-000098040000}"/>
    <cellStyle name="Pourcentage 9 2 4" xfId="768" xr:uid="{00000000-0005-0000-0000-000099040000}"/>
    <cellStyle name="Pourcentage 9 2 5" xfId="769" xr:uid="{00000000-0005-0000-0000-00009A040000}"/>
    <cellStyle name="Result" xfId="214" xr:uid="{00000000-0005-0000-0000-00009B040000}"/>
    <cellStyle name="Result2" xfId="215" xr:uid="{00000000-0005-0000-0000-00009C040000}"/>
    <cellStyle name="Satisfaisant" xfId="225" builtinId="26" customBuiltin="1"/>
    <cellStyle name="Sortie" xfId="229" builtinId="21" customBuiltin="1"/>
    <cellStyle name="Texte explicatif" xfId="234" builtinId="53" customBuiltin="1"/>
    <cellStyle name="Titre" xfId="220" builtinId="15" customBuiltin="1"/>
    <cellStyle name="Titre 2" xfId="858" xr:uid="{00000000-0005-0000-0000-0000A1040000}"/>
    <cellStyle name="Titre 3" xfId="967" xr:uid="{00000000-0005-0000-0000-0000A2040000}"/>
    <cellStyle name="Titre 1" xfId="221" builtinId="16" customBuiltin="1"/>
    <cellStyle name="Titre 2" xfId="222" builtinId="17" customBuiltin="1"/>
    <cellStyle name="Titre 3" xfId="223" builtinId="18" customBuiltin="1"/>
    <cellStyle name="Titre 4" xfId="224" builtinId="19" customBuiltin="1"/>
    <cellStyle name="Total" xfId="235" builtinId="25" customBuiltin="1"/>
    <cellStyle name="Vérification" xfId="232" builtinId="23" customBuiltin="1"/>
  </cellStyles>
  <dxfs count="0"/>
  <tableStyles count="0" defaultTableStyle="TableStyleMedium2" defaultPivotStyle="PivotStyleLight16"/>
  <colors>
    <mruColors>
      <color rgb="FF0099FF"/>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externalLink" Target="externalLinks/externalLink11.xml"/><Relationship Id="rId55"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a:t>1 dollar US   /FCFA</a:t>
            </a:r>
          </a:p>
        </c:rich>
      </c:tx>
      <c:layout>
        <c:manualLayout>
          <c:xMode val="edge"/>
          <c:yMode val="edge"/>
          <c:x val="0.38948389745121204"/>
          <c:y val="0.46783625730994666"/>
        </c:manualLayout>
      </c:layout>
      <c:overlay val="0"/>
      <c:spPr>
        <a:noFill/>
        <a:ln>
          <a:noFill/>
        </a:ln>
        <a:effectLst/>
      </c:spPr>
    </c:title>
    <c:autoTitleDeleted val="0"/>
    <c:plotArea>
      <c:layout>
        <c:manualLayout>
          <c:layoutTarget val="inner"/>
          <c:xMode val="edge"/>
          <c:yMode val="edge"/>
          <c:x val="8.5527056370701265E-2"/>
          <c:y val="4.9046676183021796E-2"/>
          <c:w val="0.89019685039370655"/>
          <c:h val="0.58613318131612813"/>
        </c:manualLayout>
      </c:layout>
      <c:lineChart>
        <c:grouping val="standard"/>
        <c:varyColors val="0"/>
        <c:ser>
          <c:idx val="0"/>
          <c:order val="0"/>
          <c:tx>
            <c:strRef>
              <c:f>'Taux de change'!$A$9</c:f>
              <c:strCache>
                <c:ptCount val="1"/>
                <c:pt idx="0">
                  <c:v>1 dollar US            /FCFA</c:v>
                </c:pt>
              </c:strCache>
            </c:strRef>
          </c:tx>
          <c:spPr>
            <a:ln w="28575" cap="rnd">
              <a:solidFill>
                <a:schemeClr val="accent1"/>
              </a:solidFill>
              <a:round/>
            </a:ln>
            <a:effectLst/>
          </c:spPr>
          <c:marker>
            <c:symbol val="none"/>
          </c:marker>
          <c:cat>
            <c:numRef>
              <c:f>Serie_Graph3!$B$60:$B$111</c:f>
              <c:numCache>
                <c:formatCode>m/d/yyyy</c:formatCode>
                <c:ptCount val="5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numCache>
            </c:numRef>
          </c:cat>
          <c:val>
            <c:numRef>
              <c:f>Serie_Graph3!$C$60:$C$111</c:f>
              <c:numCache>
                <c:formatCode>0</c:formatCode>
                <c:ptCount val="52"/>
                <c:pt idx="0">
                  <c:v>590.55523858727179</c:v>
                </c:pt>
                <c:pt idx="1">
                  <c:v>590.94804782289521</c:v>
                </c:pt>
                <c:pt idx="2">
                  <c:v>601.55754203225399</c:v>
                </c:pt>
                <c:pt idx="3">
                  <c:v>593.1056497772405</c:v>
                </c:pt>
                <c:pt idx="4">
                  <c:v>603.44190000000003</c:v>
                </c:pt>
                <c:pt idx="5">
                  <c:v>601.72820000000002</c:v>
                </c:pt>
                <c:pt idx="6">
                  <c:v>582.85950000000003</c:v>
                </c:pt>
                <c:pt idx="7">
                  <c:v>572.30690000000004</c:v>
                </c:pt>
                <c:pt idx="8">
                  <c:v>554.55909999999994</c:v>
                </c:pt>
                <c:pt idx="9">
                  <c:v>556.53909999999996</c:v>
                </c:pt>
                <c:pt idx="10">
                  <c:v>557.48490000000004</c:v>
                </c:pt>
                <c:pt idx="11">
                  <c:v>554.13679999999999</c:v>
                </c:pt>
                <c:pt idx="12">
                  <c:v>538.90219999999999</c:v>
                </c:pt>
                <c:pt idx="13">
                  <c:v>539.01620000000003</c:v>
                </c:pt>
                <c:pt idx="14">
                  <c:v>542.25729999999999</c:v>
                </c:pt>
                <c:pt idx="15">
                  <c:v>551.19949999999994</c:v>
                </c:pt>
                <c:pt idx="16">
                  <c:v>548.00160000000005</c:v>
                </c:pt>
                <c:pt idx="17">
                  <c:v>539.96630000000005</c:v>
                </c:pt>
                <c:pt idx="18">
                  <c:v>544.90890000000002</c:v>
                </c:pt>
                <c:pt idx="19">
                  <c:v>554.9171</c:v>
                </c:pt>
                <c:pt idx="20">
                  <c:v>557.40319999999997</c:v>
                </c:pt>
                <c:pt idx="21">
                  <c:v>557.553</c:v>
                </c:pt>
                <c:pt idx="22">
                  <c:v>565.56439999999998</c:v>
                </c:pt>
                <c:pt idx="23">
                  <c:v>575.23609999999996</c:v>
                </c:pt>
                <c:pt idx="24">
                  <c:v>579.99710000000005</c:v>
                </c:pt>
                <c:pt idx="25">
                  <c:v>579.59969999999998</c:v>
                </c:pt>
                <c:pt idx="26">
                  <c:v>578.24890000000005</c:v>
                </c:pt>
                <c:pt idx="27">
                  <c:v>595.45839999999998</c:v>
                </c:pt>
                <c:pt idx="28">
                  <c:v>607.45389999999998</c:v>
                </c:pt>
                <c:pt idx="29">
                  <c:v>619.9171</c:v>
                </c:pt>
                <c:pt idx="30">
                  <c:v>620.94889999999998</c:v>
                </c:pt>
                <c:pt idx="31">
                  <c:v>644.24630000000002</c:v>
                </c:pt>
                <c:pt idx="32">
                  <c:v>648.02859999999998</c:v>
                </c:pt>
                <c:pt idx="33">
                  <c:v>662.44029999999998</c:v>
                </c:pt>
                <c:pt idx="34">
                  <c:v>666.50040000000001</c:v>
                </c:pt>
                <c:pt idx="35">
                  <c:v>642.43140000000005</c:v>
                </c:pt>
                <c:pt idx="36">
                  <c:v>619.12440000000004</c:v>
                </c:pt>
                <c:pt idx="37">
                  <c:v>608.52</c:v>
                </c:pt>
                <c:pt idx="38">
                  <c:v>612.79</c:v>
                </c:pt>
                <c:pt idx="39">
                  <c:v>612.02</c:v>
                </c:pt>
                <c:pt idx="40">
                  <c:v>597.29999999999995</c:v>
                </c:pt>
                <c:pt idx="41">
                  <c:v>603.36</c:v>
                </c:pt>
                <c:pt idx="42">
                  <c:v>604.67999999999995</c:v>
                </c:pt>
                <c:pt idx="43">
                  <c:v>593.1</c:v>
                </c:pt>
                <c:pt idx="44">
                  <c:v>601.23</c:v>
                </c:pt>
                <c:pt idx="45">
                  <c:v>614.52</c:v>
                </c:pt>
                <c:pt idx="46">
                  <c:v>620.83000000000004</c:v>
                </c:pt>
                <c:pt idx="47">
                  <c:v>606.28</c:v>
                </c:pt>
                <c:pt idx="48">
                  <c:v>600.58000000000004</c:v>
                </c:pt>
              </c:numCache>
            </c:numRef>
          </c:val>
          <c:smooth val="0"/>
          <c:extLst>
            <c:ext xmlns:c16="http://schemas.microsoft.com/office/drawing/2014/chart" uri="{C3380CC4-5D6E-409C-BE32-E72D297353CC}">
              <c16:uniqueId val="{00000000-D310-467F-ABE9-75C7EEE416D6}"/>
            </c:ext>
          </c:extLst>
        </c:ser>
        <c:dLbls>
          <c:showLegendKey val="0"/>
          <c:showVal val="0"/>
          <c:showCatName val="0"/>
          <c:showSerName val="0"/>
          <c:showPercent val="0"/>
          <c:showBubbleSize val="0"/>
        </c:dLbls>
        <c:smooth val="0"/>
        <c:axId val="146012032"/>
        <c:axId val="146013568"/>
      </c:lineChart>
      <c:dateAx>
        <c:axId val="146012032"/>
        <c:scaling>
          <c:orientation val="minMax"/>
        </c:scaling>
        <c:delete val="0"/>
        <c:axPos val="b"/>
        <c:numFmt formatCode="[$-40C]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fr-BF"/>
          </a:p>
        </c:txPr>
        <c:crossAx val="146013568"/>
        <c:crosses val="autoZero"/>
        <c:auto val="1"/>
        <c:lblOffset val="100"/>
        <c:baseTimeUnit val="months"/>
      </c:dateAx>
      <c:valAx>
        <c:axId val="146013568"/>
        <c:scaling>
          <c:orientation val="minMax"/>
          <c:max val="670"/>
          <c:min val="52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6012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4803149606299846" l="0.70866141732284194" r="0.70866141732284194" t="0.74803149606299846" header="0.31496062992126572" footer="0.3149606299212657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r>
              <a:rPr lang="en-US" sz="1200" b="1" i="0" baseline="0">
                <a:effectLst/>
              </a:rPr>
              <a:t>Production d'arachide</a:t>
            </a:r>
            <a:endParaRPr lang="fr-FR" sz="1200">
              <a:effectLst/>
            </a:endParaRPr>
          </a:p>
        </c:rich>
      </c:tx>
      <c:layout>
        <c:manualLayout>
          <c:xMode val="edge"/>
          <c:yMode val="edge"/>
          <c:x val="0.38250933469585652"/>
          <c:y val="5.5894120735655972E-2"/>
        </c:manualLayout>
      </c:layout>
      <c:overlay val="0"/>
      <c:spPr>
        <a:noFill/>
        <a:ln>
          <a:noFill/>
        </a:ln>
        <a:effectLst/>
      </c:spPr>
    </c:title>
    <c:autoTitleDeleted val="0"/>
    <c:plotArea>
      <c:layout>
        <c:manualLayout>
          <c:layoutTarget val="inner"/>
          <c:xMode val="edge"/>
          <c:yMode val="edge"/>
          <c:x val="0.13917256309689369"/>
          <c:y val="3.6800801909811602E-2"/>
          <c:w val="0.83602123425153341"/>
          <c:h val="0.72066135385284469"/>
        </c:manualLayout>
      </c:layout>
      <c:lineChart>
        <c:grouping val="standard"/>
        <c:varyColors val="0"/>
        <c:ser>
          <c:idx val="0"/>
          <c:order val="0"/>
          <c:tx>
            <c:strRef>
              <c:f>Serie_Graph1!$Q$5</c:f>
              <c:strCache>
                <c:ptCount val="1"/>
                <c:pt idx="0">
                  <c:v>Arachide</c:v>
                </c:pt>
              </c:strCache>
            </c:strRef>
          </c:tx>
          <c:spPr>
            <a:ln w="28575" cap="rnd">
              <a:solidFill>
                <a:schemeClr val="accent1"/>
              </a:solidFill>
              <a:round/>
            </a:ln>
            <a:effectLst/>
          </c:spPr>
          <c:marker>
            <c:symbol val="none"/>
          </c:marker>
          <c:cat>
            <c:numRef>
              <c:f>Serie_Graph1!$B$17:$B$25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Serie_Graph1!$Q$17:$Q$25</c:f>
              <c:numCache>
                <c:formatCode>_-* #,##0\ _€_-;\-* #,##0\ _€_-;_-* "-"??\ _€_-;_-@_-</c:formatCode>
                <c:ptCount val="9"/>
                <c:pt idx="0">
                  <c:v>365887.07009204442</c:v>
                </c:pt>
                <c:pt idx="1">
                  <c:v>519345.28784296091</c:v>
                </c:pt>
                <c:pt idx="2">
                  <c:v>334327.83543372271</c:v>
                </c:pt>
                <c:pt idx="3">
                  <c:v>329783.40731657366</c:v>
                </c:pt>
                <c:pt idx="4">
                  <c:v>396128.73759972042</c:v>
                </c:pt>
                <c:pt idx="5">
                  <c:v>630525.75122875546</c:v>
                </c:pt>
                <c:pt idx="6">
                  <c:v>535284.92384218785</c:v>
                </c:pt>
                <c:pt idx="7">
                  <c:v>559064.38548850967</c:v>
                </c:pt>
                <c:pt idx="8">
                  <c:v>667055.68733472005</c:v>
                </c:pt>
              </c:numCache>
            </c:numRef>
          </c:val>
          <c:smooth val="0"/>
          <c:extLst>
            <c:ext xmlns:c16="http://schemas.microsoft.com/office/drawing/2014/chart" uri="{C3380CC4-5D6E-409C-BE32-E72D297353CC}">
              <c16:uniqueId val="{00000000-667C-4614-B855-A2985F9C5E8E}"/>
            </c:ext>
          </c:extLst>
        </c:ser>
        <c:dLbls>
          <c:showLegendKey val="0"/>
          <c:showVal val="0"/>
          <c:showCatName val="0"/>
          <c:showSerName val="0"/>
          <c:showPercent val="0"/>
          <c:showBubbleSize val="0"/>
        </c:dLbls>
        <c:smooth val="0"/>
        <c:axId val="147551744"/>
        <c:axId val="147553280"/>
      </c:lineChart>
      <c:catAx>
        <c:axId val="1475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7553280"/>
        <c:crosses val="autoZero"/>
        <c:auto val="1"/>
        <c:lblAlgn val="ctr"/>
        <c:lblOffset val="100"/>
        <c:noMultiLvlLbl val="0"/>
      </c:catAx>
      <c:valAx>
        <c:axId val="147553280"/>
        <c:scaling>
          <c:orientation val="minMax"/>
          <c:min val="250000"/>
        </c:scaling>
        <c:delete val="0"/>
        <c:axPos val="l"/>
        <c:majorGridlines>
          <c:spPr>
            <a:ln w="9525" cap="flat" cmpd="sng" algn="ctr">
              <a:solidFill>
                <a:schemeClr val="tx1">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7551744"/>
        <c:crosses val="autoZero"/>
        <c:crossBetween val="between"/>
      </c:valAx>
      <c:spPr>
        <a:noFill/>
        <a:ln>
          <a:noFill/>
        </a:ln>
        <a:effectLst/>
      </c:spPr>
    </c:plotArea>
    <c:legend>
      <c:legendPos val="b"/>
      <c:layout>
        <c:manualLayout>
          <c:xMode val="edge"/>
          <c:yMode val="edge"/>
          <c:x val="0.29863613828685581"/>
          <c:y val="0.92830083801604713"/>
          <c:w val="0.25139994346245581"/>
          <c:h val="7.16994005107250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r>
              <a:rPr lang="fr-FR" sz="1200" b="1" i="0" u="none" strike="noStrike" baseline="0">
                <a:effectLst/>
              </a:rPr>
              <a:t>Evolution des hauteurs de pluie (en mm</a:t>
            </a:r>
            <a:endParaRPr lang="fr-FR" sz="1200" b="1">
              <a:effectLst/>
            </a:endParaRPr>
          </a:p>
        </c:rich>
      </c:tx>
      <c:layout>
        <c:manualLayout>
          <c:xMode val="edge"/>
          <c:yMode val="edge"/>
          <c:x val="2.088515349659141E-2"/>
          <c:y val="4.0432304193778724E-2"/>
        </c:manualLayout>
      </c:layout>
      <c:overlay val="0"/>
      <c:spPr>
        <a:noFill/>
        <a:ln>
          <a:noFill/>
        </a:ln>
        <a:effectLst/>
      </c:spPr>
    </c:title>
    <c:autoTitleDeleted val="0"/>
    <c:plotArea>
      <c:layout>
        <c:manualLayout>
          <c:layoutTarget val="inner"/>
          <c:xMode val="edge"/>
          <c:yMode val="edge"/>
          <c:x val="0.13917256309689369"/>
          <c:y val="3.6800801909811602E-2"/>
          <c:w val="0.83602123425153341"/>
          <c:h val="0.72066135385284469"/>
        </c:manualLayout>
      </c:layout>
      <c:lineChart>
        <c:grouping val="standard"/>
        <c:varyColors val="0"/>
        <c:ser>
          <c:idx val="0"/>
          <c:order val="0"/>
          <c:tx>
            <c:strRef>
              <c:f>Serie_Graph1!$R$5</c:f>
              <c:strCache>
                <c:ptCount val="1"/>
                <c:pt idx="0">
                  <c:v>Ouagadougou</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Serie_Graph1!$B$17:$B$25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Serie_Graph1!$R$17:$R$25</c:f>
              <c:numCache>
                <c:formatCode>_-* #,##0\ _€_-;\-* #,##0\ _€_-;_-* "-"??\ _€_-;_-@_-</c:formatCode>
                <c:ptCount val="9"/>
                <c:pt idx="0">
                  <c:v>874.9</c:v>
                </c:pt>
                <c:pt idx="1">
                  <c:v>974.1</c:v>
                </c:pt>
                <c:pt idx="2">
                  <c:v>994.67802323436399</c:v>
                </c:pt>
                <c:pt idx="3">
                  <c:v>1011.6135992424839</c:v>
                </c:pt>
                <c:pt idx="4">
                  <c:v>1013.6521799237888</c:v>
                </c:pt>
                <c:pt idx="5">
                  <c:v>1021.2448517460836</c:v>
                </c:pt>
                <c:pt idx="6">
                  <c:v>0</c:v>
                </c:pt>
                <c:pt idx="7">
                  <c:v>0</c:v>
                </c:pt>
                <c:pt idx="8">
                  <c:v>0</c:v>
                </c:pt>
              </c:numCache>
            </c:numRef>
          </c:val>
          <c:smooth val="0"/>
          <c:extLst>
            <c:ext xmlns:c16="http://schemas.microsoft.com/office/drawing/2014/chart" uri="{C3380CC4-5D6E-409C-BE32-E72D297353CC}">
              <c16:uniqueId val="{00000000-6EF3-4FA4-8E24-3C394DCAA555}"/>
            </c:ext>
          </c:extLst>
        </c:ser>
        <c:ser>
          <c:idx val="1"/>
          <c:order val="1"/>
          <c:tx>
            <c:strRef>
              <c:f>Serie_Graph1!$S$5</c:f>
              <c:strCache>
                <c:ptCount val="1"/>
                <c:pt idx="0">
                  <c:v>Bobo-Dioulasso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Serie_Graph1!$B$17:$B$25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Serie_Graph1!$S$17:$S$25</c:f>
              <c:numCache>
                <c:formatCode>_-* #,##0\ _€_-;\-* #,##0\ _€_-;_-* "-"??\ _€_-;_-@_-</c:formatCode>
                <c:ptCount val="9"/>
                <c:pt idx="0">
                  <c:v>1155.4000000000001</c:v>
                </c:pt>
                <c:pt idx="1">
                  <c:v>1190.5999999999999</c:v>
                </c:pt>
                <c:pt idx="2">
                  <c:v>1151.6705015408004</c:v>
                </c:pt>
                <c:pt idx="3">
                  <c:v>1150.3853877999252</c:v>
                </c:pt>
                <c:pt idx="4">
                  <c:v>1132.1996417074711</c:v>
                </c:pt>
                <c:pt idx="5">
                  <c:v>1140.650674892737</c:v>
                </c:pt>
                <c:pt idx="6">
                  <c:v>0</c:v>
                </c:pt>
                <c:pt idx="7">
                  <c:v>0</c:v>
                </c:pt>
                <c:pt idx="8">
                  <c:v>0</c:v>
                </c:pt>
              </c:numCache>
            </c:numRef>
          </c:val>
          <c:smooth val="0"/>
          <c:extLst>
            <c:ext xmlns:c16="http://schemas.microsoft.com/office/drawing/2014/chart" uri="{C3380CC4-5D6E-409C-BE32-E72D297353CC}">
              <c16:uniqueId val="{00000001-6EF3-4FA4-8E24-3C394DCAA555}"/>
            </c:ext>
          </c:extLst>
        </c:ser>
        <c:ser>
          <c:idx val="2"/>
          <c:order val="2"/>
          <c:tx>
            <c:strRef>
              <c:f>Serie_Graph1!$T$5</c:f>
              <c:strCache>
                <c:ptCount val="1"/>
                <c:pt idx="0">
                  <c:v>Gaoua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Serie_Graph1!$B$17:$B$25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Serie_Graph1!$T$17:$T$25</c:f>
              <c:numCache>
                <c:formatCode>_-* #,##0\ _€_-;\-* #,##0\ _€_-;_-* "-"??\ _€_-;_-@_-</c:formatCode>
                <c:ptCount val="9"/>
                <c:pt idx="0">
                  <c:v>1113.5</c:v>
                </c:pt>
                <c:pt idx="1">
                  <c:v>1104.8</c:v>
                </c:pt>
                <c:pt idx="2">
                  <c:v>1140.1810728525904</c:v>
                </c:pt>
                <c:pt idx="3">
                  <c:v>1141.4295364816421</c:v>
                </c:pt>
                <c:pt idx="4">
                  <c:v>1159.0623781662757</c:v>
                </c:pt>
                <c:pt idx="5">
                  <c:v>1150.8708726533537</c:v>
                </c:pt>
                <c:pt idx="6">
                  <c:v>0</c:v>
                </c:pt>
                <c:pt idx="7">
                  <c:v>0</c:v>
                </c:pt>
                <c:pt idx="8">
                  <c:v>0</c:v>
                </c:pt>
              </c:numCache>
            </c:numRef>
          </c:val>
          <c:smooth val="0"/>
          <c:extLst>
            <c:ext xmlns:c16="http://schemas.microsoft.com/office/drawing/2014/chart" uri="{C3380CC4-5D6E-409C-BE32-E72D297353CC}">
              <c16:uniqueId val="{00000002-6EF3-4FA4-8E24-3C394DCAA555}"/>
            </c:ext>
          </c:extLst>
        </c:ser>
        <c:ser>
          <c:idx val="3"/>
          <c:order val="3"/>
          <c:tx>
            <c:strRef>
              <c:f>Serie_Graph1!$U$5</c:f>
              <c:strCache>
                <c:ptCount val="1"/>
                <c:pt idx="0">
                  <c:v>Ouahigouya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Serie_Graph1!$B$17:$B$25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Serie_Graph1!$U$17:$U$25</c:f>
              <c:numCache>
                <c:formatCode>_-* #,##0\ _€_-;\-* #,##0\ _€_-;_-* "-"??\ _€_-;_-@_-</c:formatCode>
                <c:ptCount val="9"/>
                <c:pt idx="0">
                  <c:v>815.3</c:v>
                </c:pt>
                <c:pt idx="1">
                  <c:v>920.8</c:v>
                </c:pt>
                <c:pt idx="2">
                  <c:v>945.54247813673294</c:v>
                </c:pt>
                <c:pt idx="3">
                  <c:v>966.32532368729574</c:v>
                </c:pt>
                <c:pt idx="4">
                  <c:v>968.63756299533884</c:v>
                </c:pt>
                <c:pt idx="5">
                  <c:v>978.10126763168967</c:v>
                </c:pt>
                <c:pt idx="6">
                  <c:v>0</c:v>
                </c:pt>
                <c:pt idx="7">
                  <c:v>0</c:v>
                </c:pt>
                <c:pt idx="8">
                  <c:v>0</c:v>
                </c:pt>
              </c:numCache>
            </c:numRef>
          </c:val>
          <c:smooth val="0"/>
          <c:extLst>
            <c:ext xmlns:c16="http://schemas.microsoft.com/office/drawing/2014/chart" uri="{C3380CC4-5D6E-409C-BE32-E72D297353CC}">
              <c16:uniqueId val="{00000003-6EF3-4FA4-8E24-3C394DCAA555}"/>
            </c:ext>
          </c:extLst>
        </c:ser>
        <c:dLbls>
          <c:showLegendKey val="0"/>
          <c:showVal val="0"/>
          <c:showCatName val="0"/>
          <c:showSerName val="0"/>
          <c:showPercent val="0"/>
          <c:showBubbleSize val="0"/>
        </c:dLbls>
        <c:marker val="1"/>
        <c:smooth val="0"/>
        <c:axId val="147677952"/>
        <c:axId val="147679872"/>
      </c:lineChart>
      <c:catAx>
        <c:axId val="14767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7679872"/>
        <c:crosses val="autoZero"/>
        <c:auto val="1"/>
        <c:lblAlgn val="ctr"/>
        <c:lblOffset val="100"/>
        <c:noMultiLvlLbl val="0"/>
      </c:catAx>
      <c:valAx>
        <c:axId val="147679872"/>
        <c:scaling>
          <c:orientation val="minMax"/>
          <c:max val="1400"/>
          <c:min val="480"/>
        </c:scaling>
        <c:delete val="0"/>
        <c:axPos val="l"/>
        <c:majorGridlines>
          <c:spPr>
            <a:ln w="9525" cap="flat" cmpd="sng" algn="ctr">
              <a:solidFill>
                <a:schemeClr val="tx1">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7677952"/>
        <c:crosses val="autoZero"/>
        <c:crossBetween val="between"/>
      </c:valAx>
      <c:spPr>
        <a:noFill/>
        <a:ln w="25400">
          <a:noFill/>
        </a:ln>
        <a:effectLst/>
      </c:spPr>
    </c:plotArea>
    <c:legend>
      <c:legendPos val="b"/>
      <c:layout>
        <c:manualLayout>
          <c:xMode val="edge"/>
          <c:yMode val="edge"/>
          <c:x val="0.29863613828685581"/>
          <c:y val="0.92830083801604713"/>
          <c:w val="0.70136386171314447"/>
          <c:h val="7.16994005107250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22394682249164"/>
          <c:y val="2.5428331875182269E-2"/>
          <c:w val="0.71584279614911905"/>
          <c:h val="0.67733690291849291"/>
        </c:manualLayout>
      </c:layout>
      <c:lineChart>
        <c:grouping val="standard"/>
        <c:varyColors val="0"/>
        <c:ser>
          <c:idx val="0"/>
          <c:order val="0"/>
          <c:tx>
            <c:v>Evolution des abatages de Bovin</c:v>
          </c:tx>
          <c:spPr>
            <a:ln w="28575" cap="rnd">
              <a:solidFill>
                <a:schemeClr val="accent1"/>
              </a:solidFill>
              <a:round/>
            </a:ln>
            <a:effectLst/>
          </c:spPr>
          <c:marker>
            <c:symbol val="none"/>
          </c:marker>
          <c:cat>
            <c:numRef>
              <c:f>Serie_Graph1!$B$9:$B$25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Serie_Graph1!$D$9:$D$25</c:f>
              <c:numCache>
                <c:formatCode>#,##0</c:formatCode>
                <c:ptCount val="17"/>
                <c:pt idx="0">
                  <c:v>195675</c:v>
                </c:pt>
                <c:pt idx="1">
                  <c:v>152112</c:v>
                </c:pt>
                <c:pt idx="2">
                  <c:v>195284</c:v>
                </c:pt>
                <c:pt idx="3">
                  <c:v>173670</c:v>
                </c:pt>
                <c:pt idx="4">
                  <c:v>186170</c:v>
                </c:pt>
                <c:pt idx="5">
                  <c:v>212519</c:v>
                </c:pt>
                <c:pt idx="6">
                  <c:v>217168</c:v>
                </c:pt>
                <c:pt idx="7">
                  <c:v>225381</c:v>
                </c:pt>
                <c:pt idx="8">
                  <c:v>226111</c:v>
                </c:pt>
                <c:pt idx="9">
                  <c:v>250297</c:v>
                </c:pt>
                <c:pt idx="10">
                  <c:v>260463</c:v>
                </c:pt>
                <c:pt idx="11">
                  <c:v>237497</c:v>
                </c:pt>
                <c:pt idx="12">
                  <c:v>260731</c:v>
                </c:pt>
                <c:pt idx="13">
                  <c:v>338996</c:v>
                </c:pt>
                <c:pt idx="14">
                  <c:v>390101</c:v>
                </c:pt>
                <c:pt idx="15">
                  <c:v>371448.8573928207</c:v>
                </c:pt>
                <c:pt idx="16">
                  <c:v>338290</c:v>
                </c:pt>
              </c:numCache>
            </c:numRef>
          </c:val>
          <c:smooth val="0"/>
          <c:extLst>
            <c:ext xmlns:c16="http://schemas.microsoft.com/office/drawing/2014/chart" uri="{C3380CC4-5D6E-409C-BE32-E72D297353CC}">
              <c16:uniqueId val="{00000000-BFDC-40C4-9B9C-8BD47EAF9844}"/>
            </c:ext>
          </c:extLst>
        </c:ser>
        <c:ser>
          <c:idx val="1"/>
          <c:order val="1"/>
          <c:tx>
            <c:v>Evolution des abatage d'ovin</c:v>
          </c:tx>
          <c:spPr>
            <a:ln w="28575" cap="rnd">
              <a:solidFill>
                <a:schemeClr val="accent2"/>
              </a:solidFill>
              <a:round/>
            </a:ln>
            <a:effectLst/>
          </c:spPr>
          <c:marker>
            <c:symbol val="none"/>
          </c:marker>
          <c:cat>
            <c:numRef>
              <c:f>Serie_Graph1!$B$9:$B$25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Serie_Graph1!$I$9:$I$25</c:f>
              <c:numCache>
                <c:formatCode>#,##0</c:formatCode>
                <c:ptCount val="17"/>
                <c:pt idx="0">
                  <c:v>318596</c:v>
                </c:pt>
                <c:pt idx="1">
                  <c:v>278680</c:v>
                </c:pt>
                <c:pt idx="2">
                  <c:v>228272</c:v>
                </c:pt>
                <c:pt idx="3">
                  <c:v>213270</c:v>
                </c:pt>
                <c:pt idx="4">
                  <c:v>307031</c:v>
                </c:pt>
                <c:pt idx="5">
                  <c:v>287191</c:v>
                </c:pt>
                <c:pt idx="6">
                  <c:v>295592</c:v>
                </c:pt>
                <c:pt idx="7">
                  <c:v>299328</c:v>
                </c:pt>
                <c:pt idx="8">
                  <c:v>319520</c:v>
                </c:pt>
                <c:pt idx="9">
                  <c:v>355739</c:v>
                </c:pt>
                <c:pt idx="10">
                  <c:v>331961</c:v>
                </c:pt>
                <c:pt idx="11">
                  <c:v>351901</c:v>
                </c:pt>
                <c:pt idx="12">
                  <c:v>343504</c:v>
                </c:pt>
                <c:pt idx="13">
                  <c:v>375736</c:v>
                </c:pt>
                <c:pt idx="14">
                  <c:v>392078</c:v>
                </c:pt>
                <c:pt idx="15">
                  <c:v>377296.46425679768</c:v>
                </c:pt>
                <c:pt idx="16">
                  <c:v>348177</c:v>
                </c:pt>
              </c:numCache>
            </c:numRef>
          </c:val>
          <c:smooth val="0"/>
          <c:extLst>
            <c:ext xmlns:c16="http://schemas.microsoft.com/office/drawing/2014/chart" uri="{C3380CC4-5D6E-409C-BE32-E72D297353CC}">
              <c16:uniqueId val="{00000001-BFDC-40C4-9B9C-8BD47EAF9844}"/>
            </c:ext>
          </c:extLst>
        </c:ser>
        <c:dLbls>
          <c:showLegendKey val="0"/>
          <c:showVal val="0"/>
          <c:showCatName val="0"/>
          <c:showSerName val="0"/>
          <c:showPercent val="0"/>
          <c:showBubbleSize val="0"/>
        </c:dLbls>
        <c:marker val="1"/>
        <c:smooth val="0"/>
        <c:axId val="147617280"/>
        <c:axId val="147618816"/>
      </c:lineChart>
      <c:lineChart>
        <c:grouping val="standard"/>
        <c:varyColors val="0"/>
        <c:ser>
          <c:idx val="2"/>
          <c:order val="2"/>
          <c:tx>
            <c:v>Evolution des abatage de caprin</c:v>
          </c:tx>
          <c:spPr>
            <a:ln w="28575" cap="rnd">
              <a:solidFill>
                <a:schemeClr val="accent3"/>
              </a:solidFill>
              <a:round/>
            </a:ln>
            <a:effectLst/>
          </c:spPr>
          <c:marker>
            <c:symbol val="none"/>
          </c:marker>
          <c:val>
            <c:numRef>
              <c:f>Serie_Graph1!$G$9:$G$25</c:f>
              <c:numCache>
                <c:formatCode>#,##0</c:formatCode>
                <c:ptCount val="17"/>
                <c:pt idx="0">
                  <c:v>797055</c:v>
                </c:pt>
                <c:pt idx="1">
                  <c:v>716871</c:v>
                </c:pt>
                <c:pt idx="2">
                  <c:v>826748</c:v>
                </c:pt>
                <c:pt idx="3">
                  <c:v>809446</c:v>
                </c:pt>
                <c:pt idx="4">
                  <c:v>828179</c:v>
                </c:pt>
                <c:pt idx="5">
                  <c:v>877222</c:v>
                </c:pt>
                <c:pt idx="6">
                  <c:v>865291</c:v>
                </c:pt>
                <c:pt idx="7">
                  <c:v>925406</c:v>
                </c:pt>
                <c:pt idx="8">
                  <c:v>971093</c:v>
                </c:pt>
                <c:pt idx="9">
                  <c:v>1061514</c:v>
                </c:pt>
                <c:pt idx="10">
                  <c:v>987395</c:v>
                </c:pt>
                <c:pt idx="11">
                  <c:v>1026913</c:v>
                </c:pt>
                <c:pt idx="12">
                  <c:v>1062756</c:v>
                </c:pt>
                <c:pt idx="13">
                  <c:v>1273588</c:v>
                </c:pt>
                <c:pt idx="14">
                  <c:v>1190992</c:v>
                </c:pt>
                <c:pt idx="15">
                  <c:v>2674827.5272509684</c:v>
                </c:pt>
                <c:pt idx="16">
                  <c:v>951687</c:v>
                </c:pt>
              </c:numCache>
            </c:numRef>
          </c:val>
          <c:smooth val="0"/>
          <c:extLst>
            <c:ext xmlns:c16="http://schemas.microsoft.com/office/drawing/2014/chart" uri="{C3380CC4-5D6E-409C-BE32-E72D297353CC}">
              <c16:uniqueId val="{00000002-BFDC-40C4-9B9C-8BD47EAF9844}"/>
            </c:ext>
          </c:extLst>
        </c:ser>
        <c:dLbls>
          <c:showLegendKey val="0"/>
          <c:showVal val="0"/>
          <c:showCatName val="0"/>
          <c:showSerName val="0"/>
          <c:showPercent val="0"/>
          <c:showBubbleSize val="0"/>
        </c:dLbls>
        <c:marker val="1"/>
        <c:smooth val="0"/>
        <c:axId val="147627008"/>
        <c:axId val="147625088"/>
      </c:lineChart>
      <c:catAx>
        <c:axId val="147617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7618816"/>
        <c:crosses val="autoZero"/>
        <c:auto val="1"/>
        <c:lblAlgn val="ctr"/>
        <c:lblOffset val="100"/>
        <c:noMultiLvlLbl val="0"/>
      </c:catAx>
      <c:valAx>
        <c:axId val="147618816"/>
        <c:scaling>
          <c:orientation val="minMax"/>
          <c:min val="50000"/>
        </c:scaling>
        <c:delete val="0"/>
        <c:axPos val="l"/>
        <c:majorGridlines>
          <c:spPr>
            <a:ln w="317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7617280"/>
        <c:crosses val="autoZero"/>
        <c:crossBetween val="between"/>
        <c:dispUnits>
          <c:builtInUnit val="thousands"/>
          <c:dispUnitsLbl/>
        </c:dispUnits>
      </c:valAx>
      <c:valAx>
        <c:axId val="1476250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7627008"/>
        <c:crosses val="max"/>
        <c:crossBetween val="between"/>
        <c:dispUnits>
          <c:builtInUnit val="thousands"/>
          <c:dispUnitsLbl/>
        </c:dispUnits>
      </c:valAx>
      <c:catAx>
        <c:axId val="147627008"/>
        <c:scaling>
          <c:orientation val="minMax"/>
        </c:scaling>
        <c:delete val="1"/>
        <c:axPos val="b"/>
        <c:majorTickMark val="out"/>
        <c:minorTickMark val="none"/>
        <c:tickLblPos val="nextTo"/>
        <c:crossAx val="147625088"/>
        <c:crosses val="autoZero"/>
        <c:auto val="1"/>
        <c:lblAlgn val="ctr"/>
        <c:lblOffset val="100"/>
        <c:noMultiLvlLbl val="0"/>
      </c:catAx>
      <c:spPr>
        <a:noFill/>
        <a:ln w="12700">
          <a:solidFill>
            <a:schemeClr val="tx1"/>
          </a:solidFill>
        </a:ln>
        <a:effectLst/>
      </c:spPr>
    </c:plotArea>
    <c:legend>
      <c:legendPos val="b"/>
      <c:layout>
        <c:manualLayout>
          <c:xMode val="edge"/>
          <c:yMode val="edge"/>
          <c:x val="7.549576244065348E-2"/>
          <c:y val="0.84274763528518737"/>
          <c:w val="0.84900847511870026"/>
          <c:h val="0.157252364714827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chart>
  <c:spPr>
    <a:solidFill>
      <a:schemeClr val="bg1"/>
    </a:solidFill>
    <a:ln w="12700" cap="flat" cmpd="sng" algn="ctr">
      <a:solidFill>
        <a:schemeClr val="tx1"/>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panose="020B0604020202020204" pitchFamily="34" charset="0"/>
                <a:ea typeface="Calibri"/>
                <a:cs typeface="Arial" panose="020B0604020202020204" pitchFamily="34" charset="0"/>
              </a:defRPr>
            </a:pPr>
            <a:r>
              <a:rPr lang="fr-FR">
                <a:latin typeface="Arial" panose="020B0604020202020204" pitchFamily="34" charset="0"/>
                <a:cs typeface="Arial" panose="020B0604020202020204" pitchFamily="34" charset="0"/>
              </a:rPr>
              <a:t>Indice de la production industrielle</a:t>
            </a:r>
          </a:p>
        </c:rich>
      </c:tx>
      <c:overlay val="0"/>
    </c:title>
    <c:autoTitleDeleted val="0"/>
    <c:plotArea>
      <c:layout/>
      <c:lineChart>
        <c:grouping val="standard"/>
        <c:varyColors val="0"/>
        <c:ser>
          <c:idx val="1"/>
          <c:order val="1"/>
          <c:tx>
            <c:strRef>
              <c:f>Serie_Graph2!$D$3</c:f>
              <c:strCache>
                <c:ptCount val="1"/>
                <c:pt idx="0">
                  <c:v>Indice global</c:v>
                </c:pt>
              </c:strCache>
            </c:strRef>
          </c:tx>
          <c:marker>
            <c:symbol val="none"/>
          </c:marker>
          <c:cat>
            <c:numRef>
              <c:f>Serie_Graph2!$B$61:$B$77</c:f>
              <c:numCache>
                <c:formatCode>m/d/yyyy</c:formatCode>
                <c:ptCount val="17"/>
                <c:pt idx="0">
                  <c:v>43709</c:v>
                </c:pt>
                <c:pt idx="1">
                  <c:v>43800</c:v>
                </c:pt>
                <c:pt idx="2">
                  <c:v>43891</c:v>
                </c:pt>
                <c:pt idx="3">
                  <c:v>43983</c:v>
                </c:pt>
                <c:pt idx="4">
                  <c:v>44075</c:v>
                </c:pt>
                <c:pt idx="5">
                  <c:v>44166</c:v>
                </c:pt>
                <c:pt idx="6">
                  <c:v>44256</c:v>
                </c:pt>
                <c:pt idx="7">
                  <c:v>44348</c:v>
                </c:pt>
                <c:pt idx="8">
                  <c:v>44440</c:v>
                </c:pt>
                <c:pt idx="9">
                  <c:v>44531</c:v>
                </c:pt>
                <c:pt idx="10">
                  <c:v>44621</c:v>
                </c:pt>
                <c:pt idx="11">
                  <c:v>44713</c:v>
                </c:pt>
                <c:pt idx="12">
                  <c:v>44805</c:v>
                </c:pt>
                <c:pt idx="13">
                  <c:v>44896</c:v>
                </c:pt>
                <c:pt idx="14">
                  <c:v>44986</c:v>
                </c:pt>
                <c:pt idx="15">
                  <c:v>45078</c:v>
                </c:pt>
                <c:pt idx="16">
                  <c:v>45170</c:v>
                </c:pt>
              </c:numCache>
            </c:numRef>
          </c:cat>
          <c:val>
            <c:numRef>
              <c:f>Serie_Graph2!$D$61:$D$77</c:f>
              <c:numCache>
                <c:formatCode>0.0</c:formatCode>
                <c:ptCount val="17"/>
                <c:pt idx="0">
                  <c:v>79</c:v>
                </c:pt>
                <c:pt idx="1">
                  <c:v>80</c:v>
                </c:pt>
                <c:pt idx="2">
                  <c:v>81</c:v>
                </c:pt>
                <c:pt idx="3">
                  <c:v>82</c:v>
                </c:pt>
                <c:pt idx="4">
                  <c:v>83</c:v>
                </c:pt>
                <c:pt idx="5">
                  <c:v>84</c:v>
                </c:pt>
                <c:pt idx="6">
                  <c:v>85</c:v>
                </c:pt>
                <c:pt idx="7">
                  <c:v>86</c:v>
                </c:pt>
                <c:pt idx="8">
                  <c:v>87</c:v>
                </c:pt>
                <c:pt idx="9">
                  <c:v>88</c:v>
                </c:pt>
                <c:pt idx="10">
                  <c:v>89</c:v>
                </c:pt>
                <c:pt idx="11">
                  <c:v>90</c:v>
                </c:pt>
                <c:pt idx="12">
                  <c:v>91</c:v>
                </c:pt>
                <c:pt idx="13">
                  <c:v>92</c:v>
                </c:pt>
                <c:pt idx="14">
                  <c:v>93</c:v>
                </c:pt>
                <c:pt idx="15">
                  <c:v>94</c:v>
                </c:pt>
                <c:pt idx="16">
                  <c:v>95</c:v>
                </c:pt>
              </c:numCache>
            </c:numRef>
          </c:val>
          <c:smooth val="0"/>
          <c:extLst>
            <c:ext xmlns:c16="http://schemas.microsoft.com/office/drawing/2014/chart" uri="{C3380CC4-5D6E-409C-BE32-E72D297353CC}">
              <c16:uniqueId val="{00000001-0658-4E2A-BA3D-17CFEEED90E1}"/>
            </c:ext>
          </c:extLst>
        </c:ser>
        <c:dLbls>
          <c:showLegendKey val="0"/>
          <c:showVal val="0"/>
          <c:showCatName val="0"/>
          <c:showSerName val="0"/>
          <c:showPercent val="0"/>
          <c:showBubbleSize val="0"/>
        </c:dLbls>
        <c:marker val="1"/>
        <c:smooth val="0"/>
        <c:axId val="147710720"/>
        <c:axId val="147712256"/>
      </c:lineChart>
      <c:lineChart>
        <c:grouping val="standard"/>
        <c:varyColors val="0"/>
        <c:ser>
          <c:idx val="0"/>
          <c:order val="0"/>
          <c:tx>
            <c:strRef>
              <c:f>Serie_Graph2!$C$3</c:f>
              <c:strCache>
                <c:ptCount val="1"/>
                <c:pt idx="0">
                  <c:v>Industries extractives</c:v>
                </c:pt>
              </c:strCache>
            </c:strRef>
          </c:tx>
          <c:marker>
            <c:symbol val="none"/>
          </c:marker>
          <c:cat>
            <c:numRef>
              <c:f>Serie_Graph2!$B$61:$B$77</c:f>
              <c:numCache>
                <c:formatCode>m/d/yyyy</c:formatCode>
                <c:ptCount val="17"/>
                <c:pt idx="0">
                  <c:v>43709</c:v>
                </c:pt>
                <c:pt idx="1">
                  <c:v>43800</c:v>
                </c:pt>
                <c:pt idx="2">
                  <c:v>43891</c:v>
                </c:pt>
                <c:pt idx="3">
                  <c:v>43983</c:v>
                </c:pt>
                <c:pt idx="4">
                  <c:v>44075</c:v>
                </c:pt>
                <c:pt idx="5">
                  <c:v>44166</c:v>
                </c:pt>
                <c:pt idx="6">
                  <c:v>44256</c:v>
                </c:pt>
                <c:pt idx="7">
                  <c:v>44348</c:v>
                </c:pt>
                <c:pt idx="8">
                  <c:v>44440</c:v>
                </c:pt>
                <c:pt idx="9">
                  <c:v>44531</c:v>
                </c:pt>
                <c:pt idx="10">
                  <c:v>44621</c:v>
                </c:pt>
                <c:pt idx="11">
                  <c:v>44713</c:v>
                </c:pt>
                <c:pt idx="12">
                  <c:v>44805</c:v>
                </c:pt>
                <c:pt idx="13">
                  <c:v>44896</c:v>
                </c:pt>
                <c:pt idx="14">
                  <c:v>44986</c:v>
                </c:pt>
                <c:pt idx="15">
                  <c:v>45078</c:v>
                </c:pt>
                <c:pt idx="16">
                  <c:v>45170</c:v>
                </c:pt>
              </c:numCache>
            </c:numRef>
          </c:cat>
          <c:val>
            <c:numRef>
              <c:f>Serie_Graph2!$C$61:$C$77</c:f>
              <c:numCache>
                <c:formatCode>0.0</c:formatCode>
                <c:ptCount val="17"/>
                <c:pt idx="0">
                  <c:v>126.90065598638252</c:v>
                </c:pt>
                <c:pt idx="1">
                  <c:v>127.7865049510963</c:v>
                </c:pt>
                <c:pt idx="2">
                  <c:v>127.73924455010344</c:v>
                </c:pt>
                <c:pt idx="3">
                  <c:v>127.73924455010344</c:v>
                </c:pt>
                <c:pt idx="4">
                  <c:v>127.73924455010344</c:v>
                </c:pt>
                <c:pt idx="5">
                  <c:v>127.73924455010344</c:v>
                </c:pt>
                <c:pt idx="6">
                  <c:v>127.73924455010351</c:v>
                </c:pt>
                <c:pt idx="7">
                  <c:v>127.73924455010351</c:v>
                </c:pt>
                <c:pt idx="8">
                  <c:v>134.33210988699639</c:v>
                </c:pt>
                <c:pt idx="9">
                  <c:v>139.50221981605392</c:v>
                </c:pt>
                <c:pt idx="10">
                  <c:v>144.37652254652119</c:v>
                </c:pt>
                <c:pt idx="11">
                  <c:v>148.6623776276362</c:v>
                </c:pt>
                <c:pt idx="12">
                  <c:v>164.82898807898135</c:v>
                </c:pt>
                <c:pt idx="13">
                  <c:v>163.57040026055947</c:v>
                </c:pt>
                <c:pt idx="14">
                  <c:v>171.83233759008618</c:v>
                </c:pt>
                <c:pt idx="15">
                  <c:v>180.18896630628549</c:v>
                </c:pt>
                <c:pt idx="16">
                  <c:v>180.57516319194769</c:v>
                </c:pt>
              </c:numCache>
            </c:numRef>
          </c:val>
          <c:smooth val="0"/>
          <c:extLst>
            <c:ext xmlns:c16="http://schemas.microsoft.com/office/drawing/2014/chart" uri="{C3380CC4-5D6E-409C-BE32-E72D297353CC}">
              <c16:uniqueId val="{00000000-0658-4E2A-BA3D-17CFEEED90E1}"/>
            </c:ext>
          </c:extLst>
        </c:ser>
        <c:dLbls>
          <c:showLegendKey val="0"/>
          <c:showVal val="0"/>
          <c:showCatName val="0"/>
          <c:showSerName val="0"/>
          <c:showPercent val="0"/>
          <c:showBubbleSize val="0"/>
        </c:dLbls>
        <c:marker val="1"/>
        <c:smooth val="0"/>
        <c:axId val="147736448"/>
        <c:axId val="147734528"/>
      </c:lineChart>
      <c:dateAx>
        <c:axId val="147710720"/>
        <c:scaling>
          <c:orientation val="minMax"/>
        </c:scaling>
        <c:delete val="0"/>
        <c:axPos val="b"/>
        <c:numFmt formatCode="m/d/yyyy" sourceLinked="1"/>
        <c:majorTickMark val="none"/>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fr-BF"/>
          </a:p>
        </c:txPr>
        <c:crossAx val="147712256"/>
        <c:crossesAt val="0"/>
        <c:auto val="1"/>
        <c:lblOffset val="100"/>
        <c:baseTimeUnit val="months"/>
        <c:majorUnit val="3"/>
        <c:majorTimeUnit val="months"/>
      </c:dateAx>
      <c:valAx>
        <c:axId val="147712256"/>
        <c:scaling>
          <c:orientation val="minMax"/>
        </c:scaling>
        <c:delete val="0"/>
        <c:axPos val="l"/>
        <c:majorGridlines>
          <c:spPr>
            <a:ln>
              <a:prstDash val="dash"/>
            </a:ln>
          </c:spPr>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147710720"/>
        <c:crosses val="autoZero"/>
        <c:crossBetween val="between"/>
      </c:valAx>
      <c:valAx>
        <c:axId val="147734528"/>
        <c:scaling>
          <c:orientation val="minMax"/>
        </c:scaling>
        <c:delete val="0"/>
        <c:axPos val="r"/>
        <c:numFmt formatCode="0.0" sourceLinked="1"/>
        <c:majorTickMark val="out"/>
        <c:minorTickMark val="none"/>
        <c:tickLblPos val="nextTo"/>
        <c:crossAx val="147736448"/>
        <c:crosses val="max"/>
        <c:crossBetween val="between"/>
        <c:dispUnits>
          <c:builtInUnit val="thousands"/>
          <c:dispUnitsLbl/>
        </c:dispUnits>
      </c:valAx>
      <c:dateAx>
        <c:axId val="147736448"/>
        <c:scaling>
          <c:orientation val="minMax"/>
        </c:scaling>
        <c:delete val="1"/>
        <c:axPos val="b"/>
        <c:numFmt formatCode="m/d/yyyy" sourceLinked="1"/>
        <c:majorTickMark val="out"/>
        <c:minorTickMark val="none"/>
        <c:tickLblPos val="nextTo"/>
        <c:crossAx val="147734528"/>
        <c:crosses val="autoZero"/>
        <c:auto val="1"/>
        <c:lblOffset val="100"/>
        <c:baseTimeUnit val="months"/>
      </c:dateAx>
    </c:plotArea>
    <c:legend>
      <c:legendPos val="b"/>
      <c:overlay val="0"/>
      <c:txPr>
        <a:bodyPr/>
        <a:lstStyle/>
        <a:p>
          <a:pPr>
            <a:defRPr sz="920" b="0" i="0" u="none" strike="noStrike" baseline="0">
              <a:solidFill>
                <a:srgbClr val="000000"/>
              </a:solidFill>
              <a:latin typeface="Calibri"/>
              <a:ea typeface="Calibri"/>
              <a:cs typeface="Calibri"/>
            </a:defRPr>
          </a:pPr>
          <a:endParaRPr lang="fr-BF"/>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fr-BF"/>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panose="020B0604020202020204" pitchFamily="34" charset="0"/>
                <a:ea typeface="Calibri"/>
                <a:cs typeface="Arial" panose="020B0604020202020204" pitchFamily="34" charset="0"/>
              </a:defRPr>
            </a:pPr>
            <a:r>
              <a:rPr lang="fr-FR" sz="1000" b="1" i="0" baseline="0">
                <a:effectLst/>
                <a:latin typeface="Arial" panose="020B0604020202020204" pitchFamily="34" charset="0"/>
                <a:cs typeface="Arial" panose="020B0604020202020204" pitchFamily="34" charset="0"/>
              </a:rPr>
              <a:t>Indice de la production industrielle </a:t>
            </a:r>
            <a:endParaRPr lang="fr-FR" sz="1000">
              <a:effectLst/>
              <a:latin typeface="Arial" panose="020B0604020202020204" pitchFamily="34" charset="0"/>
              <a:cs typeface="Arial" panose="020B0604020202020204" pitchFamily="34" charset="0"/>
            </a:endParaRPr>
          </a:p>
          <a:p>
            <a:pPr>
              <a:defRPr sz="1000" b="1" i="0" u="none" strike="noStrike" baseline="0">
                <a:solidFill>
                  <a:srgbClr val="000000"/>
                </a:solidFill>
                <a:latin typeface="Arial" panose="020B0604020202020204" pitchFamily="34" charset="0"/>
                <a:ea typeface="Calibri"/>
                <a:cs typeface="Arial" panose="020B0604020202020204" pitchFamily="34" charset="0"/>
              </a:defRPr>
            </a:pPr>
            <a:r>
              <a:rPr lang="fr-FR" sz="1000" b="1" i="0" baseline="0">
                <a:effectLst/>
                <a:latin typeface="Arial" panose="020B0604020202020204" pitchFamily="34" charset="0"/>
                <a:cs typeface="Arial" panose="020B0604020202020204" pitchFamily="34" charset="0"/>
              </a:rPr>
              <a:t>manufacturière et de l'énergie</a:t>
            </a:r>
            <a:endParaRPr lang="fr-FR" sz="1000">
              <a:effectLst/>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4.9086458252124834E-2"/>
          <c:y val="0.19326515510862349"/>
          <c:w val="0.93348779917361757"/>
          <c:h val="0.56013622995920043"/>
        </c:manualLayout>
      </c:layout>
      <c:lineChart>
        <c:grouping val="standard"/>
        <c:varyColors val="0"/>
        <c:ser>
          <c:idx val="0"/>
          <c:order val="0"/>
          <c:tx>
            <c:strRef>
              <c:f>Serie_Graph2!$E$3</c:f>
              <c:strCache>
                <c:ptCount val="1"/>
                <c:pt idx="0">
                  <c:v>Activites de fabrication de textile</c:v>
                </c:pt>
              </c:strCache>
            </c:strRef>
          </c:tx>
          <c:marker>
            <c:symbol val="none"/>
          </c:marker>
          <c:cat>
            <c:numRef>
              <c:f>Serie_Graph2!$B$66:$B$77</c:f>
              <c:numCache>
                <c:formatCode>m/d/yyyy</c:formatCode>
                <c:ptCount val="12"/>
                <c:pt idx="0">
                  <c:v>44166</c:v>
                </c:pt>
                <c:pt idx="1">
                  <c:v>44256</c:v>
                </c:pt>
                <c:pt idx="2">
                  <c:v>44348</c:v>
                </c:pt>
                <c:pt idx="3">
                  <c:v>44440</c:v>
                </c:pt>
                <c:pt idx="4">
                  <c:v>44531</c:v>
                </c:pt>
                <c:pt idx="5">
                  <c:v>44621</c:v>
                </c:pt>
                <c:pt idx="6">
                  <c:v>44713</c:v>
                </c:pt>
                <c:pt idx="7">
                  <c:v>44805</c:v>
                </c:pt>
                <c:pt idx="8">
                  <c:v>44896</c:v>
                </c:pt>
                <c:pt idx="9">
                  <c:v>44986</c:v>
                </c:pt>
                <c:pt idx="10">
                  <c:v>45078</c:v>
                </c:pt>
                <c:pt idx="11">
                  <c:v>45170</c:v>
                </c:pt>
              </c:numCache>
            </c:numRef>
          </c:cat>
          <c:val>
            <c:numRef>
              <c:f>Serie_Graph2!$E$66:$E$79</c:f>
              <c:numCache>
                <c:formatCode>0</c:formatCode>
                <c:ptCount val="14"/>
                <c:pt idx="0">
                  <c:v>100.29950046728163</c:v>
                </c:pt>
                <c:pt idx="1">
                  <c:v>100.29950046728163</c:v>
                </c:pt>
                <c:pt idx="2">
                  <c:v>100.29950046728163</c:v>
                </c:pt>
                <c:pt idx="3">
                  <c:v>100.29950046728163</c:v>
                </c:pt>
                <c:pt idx="4">
                  <c:v>100.29950046728163</c:v>
                </c:pt>
                <c:pt idx="5">
                  <c:v>100.3627705304438</c:v>
                </c:pt>
                <c:pt idx="6">
                  <c:v>100.48931065676811</c:v>
                </c:pt>
                <c:pt idx="7">
                  <c:v>100.08999602021392</c:v>
                </c:pt>
                <c:pt idx="8">
                  <c:v>100.08999602021392</c:v>
                </c:pt>
                <c:pt idx="9">
                  <c:v>99.94720577109365</c:v>
                </c:pt>
                <c:pt idx="10">
                  <c:v>99.94720577109365</c:v>
                </c:pt>
                <c:pt idx="11">
                  <c:v>99.94720577109365</c:v>
                </c:pt>
                <c:pt idx="12">
                  <c:v>0</c:v>
                </c:pt>
              </c:numCache>
            </c:numRef>
          </c:val>
          <c:smooth val="0"/>
          <c:extLst>
            <c:ext xmlns:c16="http://schemas.microsoft.com/office/drawing/2014/chart" uri="{C3380CC4-5D6E-409C-BE32-E72D297353CC}">
              <c16:uniqueId val="{00000000-5C05-4562-B157-EF2B3EE49791}"/>
            </c:ext>
          </c:extLst>
        </c:ser>
        <c:ser>
          <c:idx val="1"/>
          <c:order val="1"/>
          <c:tx>
            <c:strRef>
              <c:f>Serie_Graph2!$G$3</c:f>
              <c:strCache>
                <c:ptCount val="1"/>
                <c:pt idx="0">
                  <c:v>Production et distribution électricité, de gaz et de l'eau</c:v>
                </c:pt>
              </c:strCache>
            </c:strRef>
          </c:tx>
          <c:marker>
            <c:symbol val="none"/>
          </c:marker>
          <c:cat>
            <c:numRef>
              <c:f>Serie_Graph2!$B$66:$B$77</c:f>
              <c:numCache>
                <c:formatCode>m/d/yyyy</c:formatCode>
                <c:ptCount val="12"/>
                <c:pt idx="0">
                  <c:v>44166</c:v>
                </c:pt>
                <c:pt idx="1">
                  <c:v>44256</c:v>
                </c:pt>
                <c:pt idx="2">
                  <c:v>44348</c:v>
                </c:pt>
                <c:pt idx="3">
                  <c:v>44440</c:v>
                </c:pt>
                <c:pt idx="4">
                  <c:v>44531</c:v>
                </c:pt>
                <c:pt idx="5">
                  <c:v>44621</c:v>
                </c:pt>
                <c:pt idx="6">
                  <c:v>44713</c:v>
                </c:pt>
                <c:pt idx="7">
                  <c:v>44805</c:v>
                </c:pt>
                <c:pt idx="8">
                  <c:v>44896</c:v>
                </c:pt>
                <c:pt idx="9">
                  <c:v>44986</c:v>
                </c:pt>
                <c:pt idx="10">
                  <c:v>45078</c:v>
                </c:pt>
                <c:pt idx="11">
                  <c:v>45170</c:v>
                </c:pt>
              </c:numCache>
            </c:numRef>
          </c:cat>
          <c:val>
            <c:numRef>
              <c:f>Serie_Graph2!$G$66:$G$77</c:f>
              <c:numCache>
                <c:formatCode>0</c:formatCode>
                <c:ptCount val="12"/>
                <c:pt idx="0">
                  <c:v>100.00000000000004</c:v>
                </c:pt>
                <c:pt idx="1">
                  <c:v>100.00000000000007</c:v>
                </c:pt>
                <c:pt idx="2">
                  <c:v>100.00000000000007</c:v>
                </c:pt>
                <c:pt idx="3">
                  <c:v>100.00000000000007</c:v>
                </c:pt>
                <c:pt idx="4">
                  <c:v>100.00000000000007</c:v>
                </c:pt>
                <c:pt idx="5">
                  <c:v>100.0000000000001</c:v>
                </c:pt>
                <c:pt idx="6">
                  <c:v>100.0000000000001</c:v>
                </c:pt>
                <c:pt idx="7">
                  <c:v>100.0000000000001</c:v>
                </c:pt>
                <c:pt idx="8">
                  <c:v>100.0000000000001</c:v>
                </c:pt>
                <c:pt idx="9">
                  <c:v>100.00000000000013</c:v>
                </c:pt>
                <c:pt idx="10">
                  <c:v>100.00000000000013</c:v>
                </c:pt>
                <c:pt idx="11">
                  <c:v>100.00000000000013</c:v>
                </c:pt>
              </c:numCache>
            </c:numRef>
          </c:val>
          <c:smooth val="0"/>
          <c:extLst>
            <c:ext xmlns:c16="http://schemas.microsoft.com/office/drawing/2014/chart" uri="{C3380CC4-5D6E-409C-BE32-E72D297353CC}">
              <c16:uniqueId val="{00000001-5C05-4562-B157-EF2B3EE49791}"/>
            </c:ext>
          </c:extLst>
        </c:ser>
        <c:ser>
          <c:idx val="2"/>
          <c:order val="2"/>
          <c:tx>
            <c:strRef>
              <c:f>Serie_Graph2!$D$3</c:f>
              <c:strCache>
                <c:ptCount val="1"/>
                <c:pt idx="0">
                  <c:v>Indice global</c:v>
                </c:pt>
              </c:strCache>
            </c:strRef>
          </c:tx>
          <c:marker>
            <c:symbol val="none"/>
          </c:marker>
          <c:cat>
            <c:numRef>
              <c:f>Serie_Graph2!$B$66:$B$77</c:f>
              <c:numCache>
                <c:formatCode>m/d/yyyy</c:formatCode>
                <c:ptCount val="12"/>
                <c:pt idx="0">
                  <c:v>44166</c:v>
                </c:pt>
                <c:pt idx="1">
                  <c:v>44256</c:v>
                </c:pt>
                <c:pt idx="2">
                  <c:v>44348</c:v>
                </c:pt>
                <c:pt idx="3">
                  <c:v>44440</c:v>
                </c:pt>
                <c:pt idx="4">
                  <c:v>44531</c:v>
                </c:pt>
                <c:pt idx="5">
                  <c:v>44621</c:v>
                </c:pt>
                <c:pt idx="6">
                  <c:v>44713</c:v>
                </c:pt>
                <c:pt idx="7">
                  <c:v>44805</c:v>
                </c:pt>
                <c:pt idx="8">
                  <c:v>44896</c:v>
                </c:pt>
                <c:pt idx="9">
                  <c:v>44986</c:v>
                </c:pt>
                <c:pt idx="10">
                  <c:v>45078</c:v>
                </c:pt>
                <c:pt idx="11">
                  <c:v>45170</c:v>
                </c:pt>
              </c:numCache>
            </c:numRef>
          </c:cat>
          <c:val>
            <c:numRef>
              <c:f>Serie_Graph2!$D$66:$D$77</c:f>
              <c:numCache>
                <c:formatCode>0.0</c:formatCode>
                <c:ptCount val="12"/>
                <c:pt idx="0">
                  <c:v>84</c:v>
                </c:pt>
                <c:pt idx="1">
                  <c:v>85</c:v>
                </c:pt>
                <c:pt idx="2">
                  <c:v>86</c:v>
                </c:pt>
                <c:pt idx="3">
                  <c:v>87</c:v>
                </c:pt>
                <c:pt idx="4">
                  <c:v>88</c:v>
                </c:pt>
                <c:pt idx="5">
                  <c:v>89</c:v>
                </c:pt>
                <c:pt idx="6">
                  <c:v>90</c:v>
                </c:pt>
                <c:pt idx="7">
                  <c:v>91</c:v>
                </c:pt>
                <c:pt idx="8">
                  <c:v>92</c:v>
                </c:pt>
                <c:pt idx="9">
                  <c:v>93</c:v>
                </c:pt>
                <c:pt idx="10">
                  <c:v>94</c:v>
                </c:pt>
                <c:pt idx="11">
                  <c:v>95</c:v>
                </c:pt>
              </c:numCache>
            </c:numRef>
          </c:val>
          <c:smooth val="0"/>
          <c:extLst>
            <c:ext xmlns:c16="http://schemas.microsoft.com/office/drawing/2014/chart" uri="{C3380CC4-5D6E-409C-BE32-E72D297353CC}">
              <c16:uniqueId val="{00000002-5C05-4562-B157-EF2B3EE49791}"/>
            </c:ext>
          </c:extLst>
        </c:ser>
        <c:dLbls>
          <c:showLegendKey val="0"/>
          <c:showVal val="0"/>
          <c:showCatName val="0"/>
          <c:showSerName val="0"/>
          <c:showPercent val="0"/>
          <c:showBubbleSize val="0"/>
        </c:dLbls>
        <c:smooth val="0"/>
        <c:axId val="145898496"/>
        <c:axId val="145920768"/>
      </c:lineChart>
      <c:dateAx>
        <c:axId val="145898496"/>
        <c:scaling>
          <c:orientation val="minMax"/>
        </c:scaling>
        <c:delete val="0"/>
        <c:axPos val="b"/>
        <c:numFmt formatCode="m/d/yyyy" sourceLinked="1"/>
        <c:majorTickMark val="none"/>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fr-BF"/>
          </a:p>
        </c:txPr>
        <c:crossAx val="145920768"/>
        <c:crosses val="autoZero"/>
        <c:auto val="1"/>
        <c:lblOffset val="100"/>
        <c:baseTimeUnit val="months"/>
        <c:majorUnit val="3"/>
        <c:majorTimeUnit val="months"/>
      </c:dateAx>
      <c:valAx>
        <c:axId val="145920768"/>
        <c:scaling>
          <c:orientation val="minMax"/>
        </c:scaling>
        <c:delete val="0"/>
        <c:axPos val="l"/>
        <c:majorGridlines>
          <c:spPr>
            <a:ln>
              <a:prstDash val="dash"/>
            </a:ln>
          </c:spPr>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145898496"/>
        <c:crosses val="autoZero"/>
        <c:crossBetween val="between"/>
      </c:valAx>
    </c:plotArea>
    <c:legend>
      <c:legendPos val="b"/>
      <c:overlay val="0"/>
      <c:txPr>
        <a:bodyPr/>
        <a:lstStyle/>
        <a:p>
          <a:pPr>
            <a:defRPr sz="920" b="0" i="0" u="none" strike="noStrike" baseline="0">
              <a:solidFill>
                <a:srgbClr val="000000"/>
              </a:solidFill>
              <a:latin typeface="Calibri"/>
              <a:ea typeface="Calibri"/>
              <a:cs typeface="Calibri"/>
            </a:defRPr>
          </a:pPr>
          <a:endParaRPr lang="fr-BF"/>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fr-BF"/>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fr-BF"/>
        </a:p>
      </c:txPr>
    </c:title>
    <c:autoTitleDeleted val="0"/>
    <c:plotArea>
      <c:layout/>
      <c:lineChart>
        <c:grouping val="standard"/>
        <c:varyColors val="0"/>
        <c:ser>
          <c:idx val="0"/>
          <c:order val="0"/>
          <c:tx>
            <c:strRef>
              <c:f>Serie_Graph1!$V$5</c:f>
              <c:strCache>
                <c:ptCount val="1"/>
                <c:pt idx="0">
                  <c:v>Nombre d'abonnés à l'électricité</c:v>
                </c:pt>
              </c:strCache>
            </c:strRef>
          </c:tx>
          <c:spPr>
            <a:ln w="28575" cap="rnd">
              <a:solidFill>
                <a:schemeClr val="accent1"/>
              </a:solidFill>
              <a:round/>
            </a:ln>
            <a:effectLst/>
          </c:spPr>
          <c:marker>
            <c:symbol val="none"/>
          </c:marker>
          <c:cat>
            <c:numRef>
              <c:f>Serie_Graph1!$B$11:$B$21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Serie_Graph1!$V$11:$V$21</c:f>
              <c:numCache>
                <c:formatCode>_-* #,##0\ _€_-;\-* #,##0\ _€_-;_-* "-"??\ _€_-;_-@_-</c:formatCode>
                <c:ptCount val="11"/>
                <c:pt idx="0">
                  <c:v>254194</c:v>
                </c:pt>
                <c:pt idx="1">
                  <c:v>283908</c:v>
                </c:pt>
                <c:pt idx="2">
                  <c:v>287785</c:v>
                </c:pt>
                <c:pt idx="3">
                  <c:v>338171</c:v>
                </c:pt>
                <c:pt idx="4">
                  <c:v>338171</c:v>
                </c:pt>
                <c:pt idx="5">
                  <c:v>362165</c:v>
                </c:pt>
                <c:pt idx="6">
                  <c:v>544825</c:v>
                </c:pt>
                <c:pt idx="7">
                  <c:v>585634</c:v>
                </c:pt>
                <c:pt idx="8">
                  <c:v>628111</c:v>
                </c:pt>
                <c:pt idx="9">
                  <c:v>669448</c:v>
                </c:pt>
                <c:pt idx="10">
                  <c:v>0</c:v>
                </c:pt>
              </c:numCache>
            </c:numRef>
          </c:val>
          <c:smooth val="0"/>
          <c:extLst>
            <c:ext xmlns:c16="http://schemas.microsoft.com/office/drawing/2014/chart" uri="{C3380CC4-5D6E-409C-BE32-E72D297353CC}">
              <c16:uniqueId val="{00000000-B2E6-492E-A6E5-02B8E083E0CD}"/>
            </c:ext>
          </c:extLst>
        </c:ser>
        <c:dLbls>
          <c:showLegendKey val="0"/>
          <c:showVal val="0"/>
          <c:showCatName val="0"/>
          <c:showSerName val="0"/>
          <c:showPercent val="0"/>
          <c:showBubbleSize val="0"/>
        </c:dLbls>
        <c:smooth val="0"/>
        <c:axId val="148148992"/>
        <c:axId val="148150528"/>
      </c:lineChart>
      <c:catAx>
        <c:axId val="1481489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30000">
                <a:solidFill>
                  <a:schemeClr val="tx1">
                    <a:lumMod val="65000"/>
                    <a:lumOff val="35000"/>
                  </a:schemeClr>
                </a:solidFill>
                <a:latin typeface="+mn-lt"/>
                <a:ea typeface="+mn-ea"/>
                <a:cs typeface="+mn-cs"/>
              </a:defRPr>
            </a:pPr>
            <a:endParaRPr lang="fr-BF"/>
          </a:p>
        </c:txPr>
        <c:crossAx val="148150528"/>
        <c:crosses val="autoZero"/>
        <c:auto val="1"/>
        <c:lblAlgn val="ctr"/>
        <c:lblOffset val="100"/>
        <c:noMultiLvlLbl val="0"/>
      </c:catAx>
      <c:valAx>
        <c:axId val="148150528"/>
        <c:scaling>
          <c:orientation val="minMax"/>
          <c:min val="250000"/>
        </c:scaling>
        <c:delete val="0"/>
        <c:axPos val="l"/>
        <c:majorGridlines>
          <c:spPr>
            <a:ln w="9525" cap="flat" cmpd="sng" algn="ctr">
              <a:solidFill>
                <a:schemeClr val="tx1">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8148992"/>
        <c:crosses val="autoZero"/>
        <c:crossBetween val="between"/>
        <c:dispUnits>
          <c:builtInUnit val="thousands"/>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4803149606299846" l="0.70866141732284194" r="0.70866141732284194" t="0.74803149606299846" header="0.31496062992126572" footer="0.31496062992126572"/>
    <c:pageSetup firstPageNumber="14" orientation="portrait" useFirstPageNumber="1"/>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5320276662830001"/>
          <c:y val="1.38887647724512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fr-BF"/>
        </a:p>
      </c:txPr>
    </c:title>
    <c:autoTitleDeleted val="0"/>
    <c:plotArea>
      <c:layout>
        <c:manualLayout>
          <c:layoutTarget val="inner"/>
          <c:xMode val="edge"/>
          <c:yMode val="edge"/>
          <c:x val="0.13162307552428432"/>
          <c:y val="4.4256048661752374E-2"/>
          <c:w val="0.82393241469816991"/>
          <c:h val="0.66187481773112888"/>
        </c:manualLayout>
      </c:layout>
      <c:lineChart>
        <c:grouping val="standard"/>
        <c:varyColors val="0"/>
        <c:ser>
          <c:idx val="0"/>
          <c:order val="0"/>
          <c:tx>
            <c:strRef>
              <c:f>Serie_Graph3!$N$3</c:f>
              <c:strCache>
                <c:ptCount val="1"/>
                <c:pt idx="0">
                  <c:v>Consommation totale d'eau potable (en milliers de m³)</c:v>
                </c:pt>
              </c:strCache>
            </c:strRef>
          </c:tx>
          <c:spPr>
            <a:ln w="28575" cap="rnd">
              <a:solidFill>
                <a:schemeClr val="accent1"/>
              </a:solidFill>
              <a:round/>
            </a:ln>
            <a:effectLst/>
          </c:spPr>
          <c:marker>
            <c:symbol val="none"/>
          </c:marker>
          <c:cat>
            <c:numRef>
              <c:f>Serie_Graph3!$B$81:$B$108</c:f>
              <c:numCache>
                <c:formatCode>m/d/yyyy</c:formatCode>
                <c:ptCount val="28"/>
                <c:pt idx="0">
                  <c:v>44440</c:v>
                </c:pt>
                <c:pt idx="1">
                  <c:v>44470</c:v>
                </c:pt>
                <c:pt idx="2">
                  <c:v>44501</c:v>
                </c:pt>
                <c:pt idx="3">
                  <c:v>44531</c:v>
                </c:pt>
                <c:pt idx="4">
                  <c:v>44562</c:v>
                </c:pt>
                <c:pt idx="5">
                  <c:v>44593</c:v>
                </c:pt>
                <c:pt idx="6">
                  <c:v>44621</c:v>
                </c:pt>
                <c:pt idx="7">
                  <c:v>44652</c:v>
                </c:pt>
                <c:pt idx="8">
                  <c:v>44682</c:v>
                </c:pt>
                <c:pt idx="9">
                  <c:v>44713</c:v>
                </c:pt>
                <c:pt idx="10">
                  <c:v>44743</c:v>
                </c:pt>
                <c:pt idx="11">
                  <c:v>44774</c:v>
                </c:pt>
                <c:pt idx="12">
                  <c:v>44805</c:v>
                </c:pt>
                <c:pt idx="13">
                  <c:v>44835</c:v>
                </c:pt>
                <c:pt idx="14">
                  <c:v>44866</c:v>
                </c:pt>
                <c:pt idx="15">
                  <c:v>44896</c:v>
                </c:pt>
                <c:pt idx="16">
                  <c:v>44927</c:v>
                </c:pt>
                <c:pt idx="17">
                  <c:v>44958</c:v>
                </c:pt>
                <c:pt idx="18">
                  <c:v>44986</c:v>
                </c:pt>
                <c:pt idx="19">
                  <c:v>45017</c:v>
                </c:pt>
                <c:pt idx="20">
                  <c:v>45047</c:v>
                </c:pt>
                <c:pt idx="21">
                  <c:v>45078</c:v>
                </c:pt>
                <c:pt idx="22">
                  <c:v>45108</c:v>
                </c:pt>
                <c:pt idx="23">
                  <c:v>45139</c:v>
                </c:pt>
                <c:pt idx="24">
                  <c:v>45170</c:v>
                </c:pt>
                <c:pt idx="25">
                  <c:v>45200</c:v>
                </c:pt>
                <c:pt idx="26">
                  <c:v>45231</c:v>
                </c:pt>
                <c:pt idx="27">
                  <c:v>45261</c:v>
                </c:pt>
              </c:numCache>
            </c:numRef>
          </c:cat>
          <c:val>
            <c:numRef>
              <c:f>Serie_Graph3!$N$81:$N$108</c:f>
              <c:numCache>
                <c:formatCode>_-* #,##0\ _€_-;\-* #,##0\ _€_-;_-* "-"??\ _€_-;_-@_-</c:formatCode>
                <c:ptCount val="28"/>
                <c:pt idx="0">
                  <c:v>6342255.9304838814</c:v>
                </c:pt>
                <c:pt idx="1">
                  <c:v>6037103.5438711047</c:v>
                </c:pt>
                <c:pt idx="2">
                  <c:v>5743487.5630919347</c:v>
                </c:pt>
                <c:pt idx="3">
                  <c:v>5475965.0901094936</c:v>
                </c:pt>
                <c:pt idx="4">
                  <c:v>5224659.9704908486</c:v>
                </c:pt>
                <c:pt idx="5">
                  <c:v>4992163.1974957082</c:v>
                </c:pt>
                <c:pt idx="6">
                  <c:v>4775086.0340203578</c:v>
                </c:pt>
                <c:pt idx="7">
                  <c:v>8377437</c:v>
                </c:pt>
                <c:pt idx="8">
                  <c:v>8023995</c:v>
                </c:pt>
                <c:pt idx="9">
                  <c:v>7421695</c:v>
                </c:pt>
                <c:pt idx="10">
                  <c:v>7078121</c:v>
                </c:pt>
                <c:pt idx="11">
                  <c:v>6787466</c:v>
                </c:pt>
                <c:pt idx="12">
                  <c:v>6660346</c:v>
                </c:pt>
                <c:pt idx="13">
                  <c:v>7305331</c:v>
                </c:pt>
                <c:pt idx="14">
                  <c:v>7637631</c:v>
                </c:pt>
                <c:pt idx="15">
                  <c:v>7869919</c:v>
                </c:pt>
                <c:pt idx="16">
                  <c:v>8178808.6914653881</c:v>
                </c:pt>
                <c:pt idx="17">
                  <c:v>8482950.4321798272</c:v>
                </c:pt>
                <c:pt idx="18">
                  <c:v>8818907.2576504257</c:v>
                </c:pt>
                <c:pt idx="19">
                  <c:v>8534882</c:v>
                </c:pt>
                <c:pt idx="20">
                  <c:v>8036981</c:v>
                </c:pt>
                <c:pt idx="21">
                  <c:v>7691190</c:v>
                </c:pt>
                <c:pt idx="22">
                  <c:v>7345826</c:v>
                </c:pt>
                <c:pt idx="23">
                  <c:v>7014243</c:v>
                </c:pt>
                <c:pt idx="24">
                  <c:v>7121637</c:v>
                </c:pt>
                <c:pt idx="25">
                  <c:v>7541518</c:v>
                </c:pt>
                <c:pt idx="26">
                  <c:v>7779269</c:v>
                </c:pt>
                <c:pt idx="27">
                  <c:v>8089177</c:v>
                </c:pt>
              </c:numCache>
            </c:numRef>
          </c:val>
          <c:smooth val="0"/>
          <c:extLst>
            <c:ext xmlns:c16="http://schemas.microsoft.com/office/drawing/2014/chart" uri="{C3380CC4-5D6E-409C-BE32-E72D297353CC}">
              <c16:uniqueId val="{00000000-539E-4548-8D3A-56FBD70C6E68}"/>
            </c:ext>
          </c:extLst>
        </c:ser>
        <c:dLbls>
          <c:showLegendKey val="0"/>
          <c:showVal val="0"/>
          <c:showCatName val="0"/>
          <c:showSerName val="0"/>
          <c:showPercent val="0"/>
          <c:showBubbleSize val="0"/>
        </c:dLbls>
        <c:smooth val="0"/>
        <c:axId val="148252544"/>
        <c:axId val="148254080"/>
      </c:lineChart>
      <c:dateAx>
        <c:axId val="148252544"/>
        <c:scaling>
          <c:orientation val="minMax"/>
        </c:scaling>
        <c:delete val="0"/>
        <c:axPos val="b"/>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1860000" spcFirstLastPara="1" vertOverflow="ellipsis" vert="horz" wrap="square" anchor="ctr" anchorCtr="1"/>
          <a:lstStyle/>
          <a:p>
            <a:pPr>
              <a:defRPr sz="1200" b="1" i="0" u="none" strike="noStrike" kern="1200" baseline="30000">
                <a:solidFill>
                  <a:schemeClr val="tx1">
                    <a:lumMod val="65000"/>
                    <a:lumOff val="35000"/>
                  </a:schemeClr>
                </a:solidFill>
                <a:latin typeface="+mn-lt"/>
                <a:ea typeface="+mn-ea"/>
                <a:cs typeface="+mn-cs"/>
              </a:defRPr>
            </a:pPr>
            <a:endParaRPr lang="fr-BF"/>
          </a:p>
        </c:txPr>
        <c:crossAx val="148254080"/>
        <c:crosses val="autoZero"/>
        <c:auto val="1"/>
        <c:lblOffset val="100"/>
        <c:baseTimeUnit val="months"/>
        <c:majorUnit val="3"/>
        <c:majorTimeUnit val="months"/>
      </c:dateAx>
      <c:valAx>
        <c:axId val="148254080"/>
        <c:scaling>
          <c:orientation val="minMax"/>
          <c:min val="4300000"/>
        </c:scaling>
        <c:delete val="0"/>
        <c:axPos val="l"/>
        <c:majorGridlines>
          <c:spPr>
            <a:ln w="9525" cap="flat" cmpd="sng" algn="ctr">
              <a:solidFill>
                <a:schemeClr val="tx1">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8252544"/>
        <c:crosses val="autoZero"/>
        <c:crossBetween val="between"/>
        <c:dispUnits>
          <c:builtInUnit val="thousands"/>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fr-BF"/>
        </a:p>
      </c:txPr>
    </c:title>
    <c:autoTitleDeleted val="0"/>
    <c:plotArea>
      <c:layout>
        <c:manualLayout>
          <c:layoutTarget val="inner"/>
          <c:xMode val="edge"/>
          <c:yMode val="edge"/>
          <c:x val="0.12045178434691302"/>
          <c:y val="0.17573241269395956"/>
          <c:w val="0.86492177228153921"/>
          <c:h val="0.56252219771561096"/>
        </c:manualLayout>
      </c:layout>
      <c:lineChart>
        <c:grouping val="standard"/>
        <c:varyColors val="0"/>
        <c:ser>
          <c:idx val="0"/>
          <c:order val="0"/>
          <c:tx>
            <c:strRef>
              <c:f>Serie_Graph2!$H$3</c:f>
              <c:strCache>
                <c:ptCount val="1"/>
                <c:pt idx="0">
                  <c:v>Nombre d'abonnés à l'eau potable</c:v>
                </c:pt>
              </c:strCache>
            </c:strRef>
          </c:tx>
          <c:spPr>
            <a:ln w="28575" cap="rnd">
              <a:solidFill>
                <a:schemeClr val="accent1"/>
              </a:solidFill>
              <a:round/>
            </a:ln>
            <a:effectLst/>
          </c:spPr>
          <c:marker>
            <c:symbol val="none"/>
          </c:marker>
          <c:cat>
            <c:numRef>
              <c:f>Serie_Graph2!$B$65:$B$78</c:f>
              <c:numCache>
                <c:formatCode>m/d/yyyy</c:formatCode>
                <c:ptCount val="14"/>
                <c:pt idx="0">
                  <c:v>44075</c:v>
                </c:pt>
                <c:pt idx="1">
                  <c:v>44166</c:v>
                </c:pt>
                <c:pt idx="2">
                  <c:v>44256</c:v>
                </c:pt>
                <c:pt idx="3">
                  <c:v>44348</c:v>
                </c:pt>
                <c:pt idx="4">
                  <c:v>44440</c:v>
                </c:pt>
                <c:pt idx="5">
                  <c:v>44531</c:v>
                </c:pt>
                <c:pt idx="6">
                  <c:v>44621</c:v>
                </c:pt>
                <c:pt idx="7">
                  <c:v>44713</c:v>
                </c:pt>
                <c:pt idx="8">
                  <c:v>44805</c:v>
                </c:pt>
                <c:pt idx="9">
                  <c:v>44896</c:v>
                </c:pt>
                <c:pt idx="10">
                  <c:v>44986</c:v>
                </c:pt>
                <c:pt idx="11">
                  <c:v>45078</c:v>
                </c:pt>
                <c:pt idx="12">
                  <c:v>45170</c:v>
                </c:pt>
                <c:pt idx="13">
                  <c:v>45261</c:v>
                </c:pt>
              </c:numCache>
            </c:numRef>
          </c:cat>
          <c:val>
            <c:numRef>
              <c:f>Serie_Graph2!$H$65:$H$78</c:f>
              <c:numCache>
                <c:formatCode>_-* #,##0\ _€_-;\-* #,##0\ _€_-;_-* "-"??\ _€_-;_-@_-</c:formatCode>
                <c:ptCount val="14"/>
                <c:pt idx="0">
                  <c:v>449300</c:v>
                </c:pt>
                <c:pt idx="1">
                  <c:v>460473</c:v>
                </c:pt>
                <c:pt idx="2">
                  <c:v>469464</c:v>
                </c:pt>
                <c:pt idx="3">
                  <c:v>477559</c:v>
                </c:pt>
                <c:pt idx="4">
                  <c:v>488997.44425920915</c:v>
                </c:pt>
                <c:pt idx="5">
                  <c:v>501176.28851900029</c:v>
                </c:pt>
                <c:pt idx="6">
                  <c:v>513598.73280074878</c:v>
                </c:pt>
                <c:pt idx="7">
                  <c:v>507957</c:v>
                </c:pt>
                <c:pt idx="8">
                  <c:v>509737</c:v>
                </c:pt>
                <c:pt idx="9">
                  <c:v>511170</c:v>
                </c:pt>
                <c:pt idx="10">
                  <c:v>510006.37638283643</c:v>
                </c:pt>
                <c:pt idx="11">
                  <c:v>515114</c:v>
                </c:pt>
                <c:pt idx="12">
                  <c:v>520794</c:v>
                </c:pt>
                <c:pt idx="13">
                  <c:v>525880</c:v>
                </c:pt>
              </c:numCache>
            </c:numRef>
          </c:val>
          <c:smooth val="0"/>
          <c:extLst>
            <c:ext xmlns:c16="http://schemas.microsoft.com/office/drawing/2014/chart" uri="{C3380CC4-5D6E-409C-BE32-E72D297353CC}">
              <c16:uniqueId val="{00000000-8DB0-4550-9E5A-E2B457DCA1A6}"/>
            </c:ext>
          </c:extLst>
        </c:ser>
        <c:dLbls>
          <c:showLegendKey val="0"/>
          <c:showVal val="0"/>
          <c:showCatName val="0"/>
          <c:showSerName val="0"/>
          <c:showPercent val="0"/>
          <c:showBubbleSize val="0"/>
        </c:dLbls>
        <c:smooth val="0"/>
        <c:axId val="148274176"/>
        <c:axId val="148288256"/>
      </c:lineChart>
      <c:dateAx>
        <c:axId val="148274176"/>
        <c:scaling>
          <c:orientation val="minMax"/>
        </c:scaling>
        <c:delete val="0"/>
        <c:axPos val="b"/>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4200000" spcFirstLastPara="1" vertOverflow="ellipsis" wrap="square" anchor="ctr" anchorCtr="1"/>
          <a:lstStyle/>
          <a:p>
            <a:pPr>
              <a:defRPr sz="1000" b="1" i="0" u="none" strike="noStrike" kern="1200" baseline="30000">
                <a:solidFill>
                  <a:schemeClr val="tx1">
                    <a:lumMod val="65000"/>
                    <a:lumOff val="35000"/>
                  </a:schemeClr>
                </a:solidFill>
                <a:latin typeface="+mn-lt"/>
                <a:ea typeface="+mn-ea"/>
                <a:cs typeface="+mn-cs"/>
              </a:defRPr>
            </a:pPr>
            <a:endParaRPr lang="fr-BF"/>
          </a:p>
        </c:txPr>
        <c:crossAx val="148288256"/>
        <c:crosses val="autoZero"/>
        <c:auto val="1"/>
        <c:lblOffset val="100"/>
        <c:baseTimeUnit val="months"/>
        <c:majorUnit val="3"/>
        <c:majorTimeUnit val="months"/>
      </c:dateAx>
      <c:valAx>
        <c:axId val="148288256"/>
        <c:scaling>
          <c:orientation val="minMax"/>
          <c:min val="270000"/>
        </c:scaling>
        <c:delete val="0"/>
        <c:axPos val="l"/>
        <c:majorGridlines>
          <c:spPr>
            <a:ln w="9525" cap="flat" cmpd="sng" algn="ctr">
              <a:solidFill>
                <a:schemeClr val="tx1">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8274176"/>
        <c:crosses val="autoZero"/>
        <c:crossBetween val="between"/>
        <c:dispUnits>
          <c:builtInUnit val="thousands"/>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5320276662830001"/>
          <c:y val="1.3888888888889079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fr-BF"/>
        </a:p>
      </c:txPr>
    </c:title>
    <c:autoTitleDeleted val="0"/>
    <c:plotArea>
      <c:layout>
        <c:manualLayout>
          <c:layoutTarget val="inner"/>
          <c:xMode val="edge"/>
          <c:yMode val="edge"/>
          <c:x val="0.13162314085739513"/>
          <c:y val="2.5428331875182269E-2"/>
          <c:w val="0.82393241469816991"/>
          <c:h val="0.66187481773112888"/>
        </c:manualLayout>
      </c:layout>
      <c:lineChart>
        <c:grouping val="standard"/>
        <c:varyColors val="0"/>
        <c:ser>
          <c:idx val="0"/>
          <c:order val="0"/>
          <c:tx>
            <c:strRef>
              <c:f>Serie_Graph3!$K$3</c:f>
              <c:strCache>
                <c:ptCount val="1"/>
                <c:pt idx="0">
                  <c:v>Consommation d'électricité en 1000MWh*</c:v>
                </c:pt>
              </c:strCache>
            </c:strRef>
          </c:tx>
          <c:spPr>
            <a:ln w="28575" cap="rnd">
              <a:solidFill>
                <a:schemeClr val="accent1"/>
              </a:solidFill>
              <a:round/>
            </a:ln>
            <a:effectLst/>
          </c:spPr>
          <c:marker>
            <c:symbol val="none"/>
          </c:marker>
          <c:cat>
            <c:numRef>
              <c:f>Serie_Graph3!$B$60:$B$89</c:f>
              <c:numCache>
                <c:formatCode>m/d/yyyy</c:formatCode>
                <c:ptCount val="30"/>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numCache>
            </c:numRef>
          </c:cat>
          <c:val>
            <c:numRef>
              <c:f>Serie_Graph3!$K$60:$K$89</c:f>
              <c:numCache>
                <c:formatCode>0</c:formatCode>
                <c:ptCount val="30"/>
                <c:pt idx="0">
                  <c:v>133.40707810000001</c:v>
                </c:pt>
                <c:pt idx="1">
                  <c:v>138.5465136</c:v>
                </c:pt>
                <c:pt idx="2">
                  <c:v>133.78312000000003</c:v>
                </c:pt>
                <c:pt idx="3">
                  <c:v>149.05891700000001</c:v>
                </c:pt>
                <c:pt idx="4">
                  <c:v>168.459497</c:v>
                </c:pt>
                <c:pt idx="5">
                  <c:v>169.93623400000001</c:v>
                </c:pt>
                <c:pt idx="6">
                  <c:v>168.00785849000002</c:v>
                </c:pt>
                <c:pt idx="7">
                  <c:v>155.87472400000001</c:v>
                </c:pt>
                <c:pt idx="8">
                  <c:v>151.014937</c:v>
                </c:pt>
                <c:pt idx="9">
                  <c:v>135.88035199999999</c:v>
                </c:pt>
                <c:pt idx="10">
                  <c:v>148.63557900000001</c:v>
                </c:pt>
                <c:pt idx="11">
                  <c:v>158.72157299999998</c:v>
                </c:pt>
                <c:pt idx="12">
                  <c:v>145.17673400000001</c:v>
                </c:pt>
                <c:pt idx="13">
                  <c:v>158.93327300000001</c:v>
                </c:pt>
                <c:pt idx="14">
                  <c:v>149.86329499999999</c:v>
                </c:pt>
                <c:pt idx="15">
                  <c:v>160.32455299999998</c:v>
                </c:pt>
                <c:pt idx="16">
                  <c:v>192.780136</c:v>
                </c:pt>
                <c:pt idx="17">
                  <c:v>189.72285200000002</c:v>
                </c:pt>
                <c:pt idx="18">
                  <c:v>180.06336799999997</c:v>
                </c:pt>
                <c:pt idx="19">
                  <c:v>174.309078</c:v>
                </c:pt>
                <c:pt idx="20">
                  <c:v>162.20991100000003</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EE32-4181-BCCA-70F81DD56C07}"/>
            </c:ext>
          </c:extLst>
        </c:ser>
        <c:dLbls>
          <c:showLegendKey val="0"/>
          <c:showVal val="0"/>
          <c:showCatName val="0"/>
          <c:showSerName val="0"/>
          <c:showPercent val="0"/>
          <c:showBubbleSize val="0"/>
        </c:dLbls>
        <c:smooth val="0"/>
        <c:axId val="148193664"/>
        <c:axId val="148195200"/>
      </c:lineChart>
      <c:dateAx>
        <c:axId val="148193664"/>
        <c:scaling>
          <c:orientation val="minMax"/>
          <c:min val="43709"/>
        </c:scaling>
        <c:delete val="0"/>
        <c:axPos val="b"/>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2460000" spcFirstLastPara="1" vertOverflow="ellipsis" vert="horz" wrap="square" anchor="ctr" anchorCtr="1"/>
          <a:lstStyle/>
          <a:p>
            <a:pPr>
              <a:defRPr sz="1200" b="1" i="0" u="none" strike="noStrike" kern="1200" baseline="30000">
                <a:solidFill>
                  <a:schemeClr val="tx1">
                    <a:lumMod val="65000"/>
                    <a:lumOff val="35000"/>
                  </a:schemeClr>
                </a:solidFill>
                <a:latin typeface="+mn-lt"/>
                <a:ea typeface="+mn-ea"/>
                <a:cs typeface="+mn-cs"/>
              </a:defRPr>
            </a:pPr>
            <a:endParaRPr lang="fr-BF"/>
          </a:p>
        </c:txPr>
        <c:crossAx val="148195200"/>
        <c:crosses val="autoZero"/>
        <c:auto val="1"/>
        <c:lblOffset val="100"/>
        <c:baseTimeUnit val="months"/>
        <c:majorUnit val="1"/>
        <c:majorTimeUnit val="months"/>
        <c:minorUnit val="1"/>
        <c:minorTimeUnit val="months"/>
      </c:dateAx>
      <c:valAx>
        <c:axId val="14819520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8193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cked"/>
        <c:varyColors val="0"/>
        <c:ser>
          <c:idx val="0"/>
          <c:order val="0"/>
          <c:tx>
            <c:strRef>
              <c:f>Serie_Graph1!$Y$5</c:f>
              <c:strCache>
                <c:ptCount val="1"/>
                <c:pt idx="0">
                  <c:v>Arrivées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Serie_Graph1!$B$13:$B$25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Serie_Graph1!$Y$13:$Y$25</c:f>
              <c:numCache>
                <c:formatCode>_-* #,##0\ _€_-;\-* #,##0\ _€_-;_-* "-"??\ _€_-;_-@_-</c:formatCode>
                <c:ptCount val="13"/>
                <c:pt idx="0">
                  <c:v>185829</c:v>
                </c:pt>
                <c:pt idx="1">
                  <c:v>203284</c:v>
                </c:pt>
                <c:pt idx="2">
                  <c:v>69042</c:v>
                </c:pt>
                <c:pt idx="3">
                  <c:v>222743.88181536971</c:v>
                </c:pt>
                <c:pt idx="4" formatCode="General">
                  <c:v>219296.23428077906</c:v>
                </c:pt>
                <c:pt idx="5">
                  <c:v>230040.12554299497</c:v>
                </c:pt>
                <c:pt idx="6">
                  <c:v>252236</c:v>
                </c:pt>
                <c:pt idx="7">
                  <c:v>241603</c:v>
                </c:pt>
                <c:pt idx="8">
                  <c:v>492865</c:v>
                </c:pt>
                <c:pt idx="9">
                  <c:v>107105</c:v>
                </c:pt>
                <c:pt idx="10">
                  <c:v>182726</c:v>
                </c:pt>
                <c:pt idx="11">
                  <c:v>225875</c:v>
                </c:pt>
                <c:pt idx="12">
                  <c:v>0</c:v>
                </c:pt>
              </c:numCache>
            </c:numRef>
          </c:val>
          <c:smooth val="0"/>
          <c:extLst>
            <c:ext xmlns:c16="http://schemas.microsoft.com/office/drawing/2014/chart" uri="{C3380CC4-5D6E-409C-BE32-E72D297353CC}">
              <c16:uniqueId val="{00000000-EB99-47E9-997C-C6C1B95E66D6}"/>
            </c:ext>
          </c:extLst>
        </c:ser>
        <c:ser>
          <c:idx val="1"/>
          <c:order val="1"/>
          <c:tx>
            <c:strRef>
              <c:f>Serie_Graph1!$Z$5</c:f>
              <c:strCache>
                <c:ptCount val="1"/>
                <c:pt idx="0">
                  <c:v>Départs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Serie_Graph1!$B$13:$B$25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Serie_Graph1!$Z$13:$Z$25</c:f>
              <c:numCache>
                <c:formatCode>_-* #,##0\ _€_-;\-* #,##0\ _€_-;_-* "-"??\ _€_-;_-@_-</c:formatCode>
                <c:ptCount val="13"/>
                <c:pt idx="0">
                  <c:v>193576</c:v>
                </c:pt>
                <c:pt idx="1">
                  <c:v>210658</c:v>
                </c:pt>
                <c:pt idx="2">
                  <c:v>70144</c:v>
                </c:pt>
                <c:pt idx="3">
                  <c:v>214941.84037430913</c:v>
                </c:pt>
                <c:pt idx="4">
                  <c:v>244127.42302692463</c:v>
                </c:pt>
                <c:pt idx="5">
                  <c:v>237299.73620545771</c:v>
                </c:pt>
                <c:pt idx="6">
                  <c:v>257948</c:v>
                </c:pt>
                <c:pt idx="7">
                  <c:v>252310</c:v>
                </c:pt>
                <c:pt idx="8">
                  <c:v>529666</c:v>
                </c:pt>
                <c:pt idx="9">
                  <c:v>116867</c:v>
                </c:pt>
                <c:pt idx="10">
                  <c:v>197146</c:v>
                </c:pt>
                <c:pt idx="11">
                  <c:v>237523</c:v>
                </c:pt>
                <c:pt idx="12">
                  <c:v>0</c:v>
                </c:pt>
              </c:numCache>
            </c:numRef>
          </c:val>
          <c:smooth val="0"/>
          <c:extLst>
            <c:ext xmlns:c16="http://schemas.microsoft.com/office/drawing/2014/chart" uri="{C3380CC4-5D6E-409C-BE32-E72D297353CC}">
              <c16:uniqueId val="{00000001-EB99-47E9-997C-C6C1B95E66D6}"/>
            </c:ext>
          </c:extLst>
        </c:ser>
        <c:ser>
          <c:idx val="3"/>
          <c:order val="3"/>
          <c:tx>
            <c:strRef>
              <c:f>Serie_Graph1!$AB$5</c:f>
              <c:strCache>
                <c:ptCount val="1"/>
                <c:pt idx="0">
                  <c:v>En transit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Serie_Graph1!$B$13:$B$25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Serie_Graph1!$AB$13:$AB$25</c:f>
              <c:numCache>
                <c:formatCode>_-* #,##0\ _€_-;\-* #,##0\ _€_-;_-* "-"??\ _€_-;_-@_-</c:formatCode>
                <c:ptCount val="13"/>
                <c:pt idx="0">
                  <c:v>57444.777849784667</c:v>
                </c:pt>
                <c:pt idx="1">
                  <c:v>83254.352014399701</c:v>
                </c:pt>
                <c:pt idx="2">
                  <c:v>23911</c:v>
                </c:pt>
                <c:pt idx="3">
                  <c:v>103353.76065518135</c:v>
                </c:pt>
                <c:pt idx="4">
                  <c:v>85485.657429590719</c:v>
                </c:pt>
                <c:pt idx="5">
                  <c:v>71517.054461980966</c:v>
                </c:pt>
                <c:pt idx="6">
                  <c:v>76456</c:v>
                </c:pt>
                <c:pt idx="7">
                  <c:v>100256</c:v>
                </c:pt>
                <c:pt idx="8">
                  <c:v>99863</c:v>
                </c:pt>
                <c:pt idx="9">
                  <c:v>39558</c:v>
                </c:pt>
                <c:pt idx="10">
                  <c:v>82639</c:v>
                </c:pt>
                <c:pt idx="11">
                  <c:v>130290</c:v>
                </c:pt>
                <c:pt idx="12">
                  <c:v>0</c:v>
                </c:pt>
              </c:numCache>
            </c:numRef>
          </c:val>
          <c:smooth val="0"/>
          <c:extLst>
            <c:ext xmlns:c16="http://schemas.microsoft.com/office/drawing/2014/chart" uri="{C3380CC4-5D6E-409C-BE32-E72D297353CC}">
              <c16:uniqueId val="{00000002-EB99-47E9-997C-C6C1B95E66D6}"/>
            </c:ext>
          </c:extLst>
        </c:ser>
        <c:dLbls>
          <c:showLegendKey val="0"/>
          <c:showVal val="0"/>
          <c:showCatName val="0"/>
          <c:showSerName val="0"/>
          <c:showPercent val="0"/>
          <c:showBubbleSize val="0"/>
        </c:dLbls>
        <c:marker val="1"/>
        <c:smooth val="0"/>
        <c:axId val="148509824"/>
        <c:axId val="148511360"/>
      </c:lineChart>
      <c:lineChart>
        <c:grouping val="standard"/>
        <c:varyColors val="0"/>
        <c:ser>
          <c:idx val="2"/>
          <c:order val="2"/>
          <c:tx>
            <c:strRef>
              <c:f>Serie_Graph1!$AA$5</c:f>
              <c:strCache>
                <c:ptCount val="1"/>
                <c:pt idx="0">
                  <c:v>Total passagers</c:v>
                </c:pt>
              </c:strCache>
            </c:strRef>
          </c:tx>
          <c:spPr>
            <a:ln w="28575" cap="rnd">
              <a:solidFill>
                <a:schemeClr val="accent3"/>
              </a:solidFill>
              <a:round/>
            </a:ln>
            <a:effectLst/>
          </c:spPr>
          <c:marker>
            <c:symbol val="none"/>
          </c:marker>
          <c:cat>
            <c:numRef>
              <c:f>Serie_Graph1!$B$13:$B$25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Serie_Graph1!$AA$13:$AA$25</c:f>
              <c:numCache>
                <c:formatCode>_-* #,##0\ _€_-;\-* #,##0\ _€_-;_-* "-"??\ _€_-;_-@_-</c:formatCode>
                <c:ptCount val="13"/>
                <c:pt idx="0">
                  <c:v>379405</c:v>
                </c:pt>
                <c:pt idx="1">
                  <c:v>413942</c:v>
                </c:pt>
                <c:pt idx="2">
                  <c:v>139186</c:v>
                </c:pt>
                <c:pt idx="3">
                  <c:v>429086.08807285014</c:v>
                </c:pt>
                <c:pt idx="4">
                  <c:v>461541.14580678678</c:v>
                </c:pt>
                <c:pt idx="5">
                  <c:v>467229.66605392756</c:v>
                </c:pt>
                <c:pt idx="6">
                  <c:v>510184</c:v>
                </c:pt>
                <c:pt idx="7">
                  <c:v>493913</c:v>
                </c:pt>
                <c:pt idx="8">
                  <c:v>578765</c:v>
                </c:pt>
                <c:pt idx="9">
                  <c:v>223972</c:v>
                </c:pt>
                <c:pt idx="10">
                  <c:v>462511</c:v>
                </c:pt>
                <c:pt idx="11">
                  <c:v>593688</c:v>
                </c:pt>
                <c:pt idx="12">
                  <c:v>0</c:v>
                </c:pt>
              </c:numCache>
            </c:numRef>
          </c:val>
          <c:smooth val="0"/>
          <c:extLst>
            <c:ext xmlns:c16="http://schemas.microsoft.com/office/drawing/2014/chart" uri="{C3380CC4-5D6E-409C-BE32-E72D297353CC}">
              <c16:uniqueId val="{00000003-EB99-47E9-997C-C6C1B95E66D6}"/>
            </c:ext>
          </c:extLst>
        </c:ser>
        <c:dLbls>
          <c:showLegendKey val="0"/>
          <c:showVal val="0"/>
          <c:showCatName val="0"/>
          <c:showSerName val="0"/>
          <c:showPercent val="0"/>
          <c:showBubbleSize val="0"/>
        </c:dLbls>
        <c:marker val="1"/>
        <c:smooth val="0"/>
        <c:axId val="148514688"/>
        <c:axId val="148513152"/>
      </c:lineChart>
      <c:catAx>
        <c:axId val="148509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8511360"/>
        <c:crosses val="autoZero"/>
        <c:auto val="1"/>
        <c:lblAlgn val="ctr"/>
        <c:lblOffset val="100"/>
        <c:noMultiLvlLbl val="0"/>
      </c:catAx>
      <c:valAx>
        <c:axId val="1485113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8509824"/>
        <c:crosses val="autoZero"/>
        <c:crossBetween val="between"/>
        <c:majorUnit val="200000"/>
      </c:valAx>
      <c:valAx>
        <c:axId val="148513152"/>
        <c:scaling>
          <c:orientation val="minMax"/>
        </c:scaling>
        <c:delete val="0"/>
        <c:axPos val="r"/>
        <c:numFmt formatCode="_-* #,##0\ _€_-;\-* #,##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8514688"/>
        <c:crosses val="max"/>
        <c:crossBetween val="between"/>
      </c:valAx>
      <c:catAx>
        <c:axId val="148514688"/>
        <c:scaling>
          <c:orientation val="minMax"/>
        </c:scaling>
        <c:delete val="1"/>
        <c:axPos val="b"/>
        <c:numFmt formatCode="General" sourceLinked="1"/>
        <c:majorTickMark val="out"/>
        <c:minorTickMark val="none"/>
        <c:tickLblPos val="nextTo"/>
        <c:crossAx val="1485131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7.9247594050744524E-2"/>
          <c:y val="6.4641162278957345E-2"/>
          <c:w val="0.89019685039370655"/>
          <c:h val="0.65400673400673415"/>
        </c:manualLayout>
      </c:layout>
      <c:lineChart>
        <c:grouping val="standard"/>
        <c:varyColors val="0"/>
        <c:ser>
          <c:idx val="0"/>
          <c:order val="0"/>
          <c:tx>
            <c:strRef>
              <c:f>Serie_Graph3!$F$3</c:f>
              <c:strCache>
                <c:ptCount val="1"/>
                <c:pt idx="0">
                  <c:v>1 rand/FCFA</c:v>
                </c:pt>
              </c:strCache>
            </c:strRef>
          </c:tx>
          <c:spPr>
            <a:ln w="28575" cap="rnd">
              <a:solidFill>
                <a:schemeClr val="accent1"/>
              </a:solidFill>
              <a:round/>
            </a:ln>
            <a:effectLst/>
          </c:spPr>
          <c:marker>
            <c:symbol val="none"/>
          </c:marker>
          <c:cat>
            <c:numRef>
              <c:f>Serie_Graph3!$B$60:$B$111</c:f>
              <c:numCache>
                <c:formatCode>m/d/yyyy</c:formatCode>
                <c:ptCount val="5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numCache>
            </c:numRef>
          </c:cat>
          <c:val>
            <c:numRef>
              <c:f>Serie_Graph3!$F$60:$F$111</c:f>
              <c:numCache>
                <c:formatCode>0</c:formatCode>
                <c:ptCount val="52"/>
                <c:pt idx="0">
                  <c:v>41.575998428121416</c:v>
                </c:pt>
                <c:pt idx="1">
                  <c:v>39.779078229229839</c:v>
                </c:pt>
                <c:pt idx="2">
                  <c:v>38.368809260591597</c:v>
                </c:pt>
                <c:pt idx="3">
                  <c:v>33.450980392156865</c:v>
                </c:pt>
                <c:pt idx="4">
                  <c:v>32.447220999999999</c:v>
                </c:pt>
                <c:pt idx="5">
                  <c:v>33.145766999999999</c:v>
                </c:pt>
                <c:pt idx="6">
                  <c:v>34.035347999999999</c:v>
                </c:pt>
                <c:pt idx="7">
                  <c:v>34.122866999999999</c:v>
                </c:pt>
                <c:pt idx="8">
                  <c:v>32.205499000000003</c:v>
                </c:pt>
                <c:pt idx="9">
                  <c:v>33.285831000000002</c:v>
                </c:pt>
                <c:pt idx="10">
                  <c:v>33.880243999999998</c:v>
                </c:pt>
                <c:pt idx="11">
                  <c:v>35.715004</c:v>
                </c:pt>
                <c:pt idx="12">
                  <c:v>36.270435999999997</c:v>
                </c:pt>
                <c:pt idx="13">
                  <c:v>35.628092000000002</c:v>
                </c:pt>
                <c:pt idx="14">
                  <c:v>36.741123999999999</c:v>
                </c:pt>
                <c:pt idx="15">
                  <c:v>36.823103000000003</c:v>
                </c:pt>
                <c:pt idx="16">
                  <c:v>38.014927999999998</c:v>
                </c:pt>
                <c:pt idx="17">
                  <c:v>38.453301000000003</c:v>
                </c:pt>
                <c:pt idx="18">
                  <c:v>39.116720000000001</c:v>
                </c:pt>
                <c:pt idx="19">
                  <c:v>38.200197000000003</c:v>
                </c:pt>
                <c:pt idx="20">
                  <c:v>37.72484</c:v>
                </c:pt>
                <c:pt idx="21">
                  <c:v>38.226526999999997</c:v>
                </c:pt>
                <c:pt idx="22">
                  <c:v>38.056077000000002</c:v>
                </c:pt>
                <c:pt idx="23">
                  <c:v>37.003694000000003</c:v>
                </c:pt>
                <c:pt idx="24">
                  <c:v>36.540489999999998</c:v>
                </c:pt>
                <c:pt idx="25">
                  <c:v>37.426470999999999</c:v>
                </c:pt>
                <c:pt idx="26">
                  <c:v>37.999006000000001</c:v>
                </c:pt>
                <c:pt idx="27">
                  <c:v>39.835954000000001</c:v>
                </c:pt>
                <c:pt idx="28">
                  <c:v>40.417828</c:v>
                </c:pt>
                <c:pt idx="29">
                  <c:v>39.015141999999997</c:v>
                </c:pt>
                <c:pt idx="30">
                  <c:v>39.235460000000003</c:v>
                </c:pt>
                <c:pt idx="31">
                  <c:v>38.259470999999998</c:v>
                </c:pt>
                <c:pt idx="32">
                  <c:v>38.788525</c:v>
                </c:pt>
                <c:pt idx="33">
                  <c:v>37.658028000000002</c:v>
                </c:pt>
                <c:pt idx="34">
                  <c:v>36.815261</c:v>
                </c:pt>
                <c:pt idx="35">
                  <c:v>36.774965000000002</c:v>
                </c:pt>
                <c:pt idx="36">
                  <c:v>35.861359</c:v>
                </c:pt>
                <c:pt idx="37">
                  <c:v>35.609000000000002</c:v>
                </c:pt>
                <c:pt idx="38">
                  <c:v>34.222000000000001</c:v>
                </c:pt>
                <c:pt idx="39">
                  <c:v>33.51</c:v>
                </c:pt>
                <c:pt idx="40">
                  <c:v>32.831000000000003</c:v>
                </c:pt>
                <c:pt idx="41">
                  <c:v>31.655999999999999</c:v>
                </c:pt>
                <c:pt idx="42">
                  <c:v>32.305999999999997</c:v>
                </c:pt>
                <c:pt idx="43">
                  <c:v>32.640999999999998</c:v>
                </c:pt>
                <c:pt idx="44">
                  <c:v>32.009</c:v>
                </c:pt>
                <c:pt idx="45">
                  <c:v>32.378999999999998</c:v>
                </c:pt>
                <c:pt idx="46">
                  <c:v>32.610999999999997</c:v>
                </c:pt>
                <c:pt idx="47">
                  <c:v>32.679000000000002</c:v>
                </c:pt>
                <c:pt idx="48">
                  <c:v>32.250999999999998</c:v>
                </c:pt>
              </c:numCache>
            </c:numRef>
          </c:val>
          <c:smooth val="0"/>
          <c:extLst>
            <c:ext xmlns:c16="http://schemas.microsoft.com/office/drawing/2014/chart" uri="{C3380CC4-5D6E-409C-BE32-E72D297353CC}">
              <c16:uniqueId val="{00000000-F1B3-4BA2-8652-B515C9BD899C}"/>
            </c:ext>
          </c:extLst>
        </c:ser>
        <c:dLbls>
          <c:showLegendKey val="0"/>
          <c:showVal val="0"/>
          <c:showCatName val="0"/>
          <c:showSerName val="0"/>
          <c:showPercent val="0"/>
          <c:showBubbleSize val="0"/>
        </c:dLbls>
        <c:smooth val="0"/>
        <c:axId val="146610816"/>
        <c:axId val="146620800"/>
      </c:lineChart>
      <c:dateAx>
        <c:axId val="146610816"/>
        <c:scaling>
          <c:orientation val="minMax"/>
        </c:scaling>
        <c:delete val="0"/>
        <c:axPos val="b"/>
        <c:numFmt formatCode="[$-40C]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fr-BF"/>
          </a:p>
        </c:txPr>
        <c:crossAx val="146620800"/>
        <c:crosses val="autoZero"/>
        <c:auto val="1"/>
        <c:lblOffset val="100"/>
        <c:baseTimeUnit val="months"/>
      </c:dateAx>
      <c:valAx>
        <c:axId val="146620800"/>
        <c:scaling>
          <c:orientation val="minMax"/>
          <c:min val="3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6610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Base_Trimestrielle!$CD$73</c:f>
              <c:strCache>
                <c:ptCount val="1"/>
                <c:pt idx="0">
                  <c:v>Parc des abonnés du fixe</c:v>
                </c:pt>
              </c:strCache>
            </c:strRef>
          </c:tx>
          <c:marker>
            <c:symbol val="none"/>
          </c:marker>
          <c:cat>
            <c:numRef>
              <c:f>Base_Trimestrielle!$B$143:$B$168</c:f>
              <c:numCache>
                <c:formatCode>mm\ yyyy</c:formatCode>
                <c:ptCount val="26"/>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numCache>
            </c:numRef>
          </c:cat>
          <c:val>
            <c:numRef>
              <c:f>Base_Trimestrielle!$CD$143:$CD$168</c:f>
              <c:numCache>
                <c:formatCode>_-* #,##0\ _€_-;\-* #,##0\ _€_-;_-* "-"??\ _€_-;_-@_-</c:formatCode>
                <c:ptCount val="26"/>
                <c:pt idx="0">
                  <c:v>75576</c:v>
                </c:pt>
                <c:pt idx="1">
                  <c:v>75996</c:v>
                </c:pt>
                <c:pt idx="2">
                  <c:v>76000</c:v>
                </c:pt>
                <c:pt idx="3">
                  <c:v>76667</c:v>
                </c:pt>
                <c:pt idx="4">
                  <c:v>77021</c:v>
                </c:pt>
                <c:pt idx="5">
                  <c:v>77076</c:v>
                </c:pt>
                <c:pt idx="6">
                  <c:v>76760</c:v>
                </c:pt>
                <c:pt idx="7" formatCode="General">
                  <c:v>76555</c:v>
                </c:pt>
                <c:pt idx="8" formatCode="General">
                  <c:v>76576</c:v>
                </c:pt>
                <c:pt idx="9" formatCode="#,##0">
                  <c:v>76741</c:v>
                </c:pt>
                <c:pt idx="10" formatCode="#,##0">
                  <c:v>75291</c:v>
                </c:pt>
                <c:pt idx="11" formatCode="#,##0">
                  <c:v>74507</c:v>
                </c:pt>
                <c:pt idx="12" formatCode="General">
                  <c:v>74562</c:v>
                </c:pt>
                <c:pt idx="13" formatCode="General">
                  <c:v>74449</c:v>
                </c:pt>
                <c:pt idx="14" formatCode="General">
                  <c:v>75039</c:v>
                </c:pt>
                <c:pt idx="15" formatCode="General">
                  <c:v>75390</c:v>
                </c:pt>
                <c:pt idx="16" formatCode="General">
                  <c:v>75511</c:v>
                </c:pt>
                <c:pt idx="17" formatCode="General">
                  <c:v>81095</c:v>
                </c:pt>
                <c:pt idx="18" formatCode="General">
                  <c:v>81374</c:v>
                </c:pt>
                <c:pt idx="19" formatCode="General">
                  <c:v>82209</c:v>
                </c:pt>
                <c:pt idx="20" formatCode="General">
                  <c:v>82118</c:v>
                </c:pt>
                <c:pt idx="21" formatCode="General">
                  <c:v>82323</c:v>
                </c:pt>
                <c:pt idx="22" formatCode="General">
                  <c:v>82473</c:v>
                </c:pt>
                <c:pt idx="23" formatCode="General">
                  <c:v>82143</c:v>
                </c:pt>
                <c:pt idx="24" formatCode="General">
                  <c:v>81884</c:v>
                </c:pt>
                <c:pt idx="25" formatCode="General">
                  <c:v>81913</c:v>
                </c:pt>
              </c:numCache>
            </c:numRef>
          </c:val>
          <c:smooth val="0"/>
          <c:extLst>
            <c:ext xmlns:c16="http://schemas.microsoft.com/office/drawing/2014/chart" uri="{C3380CC4-5D6E-409C-BE32-E72D297353CC}">
              <c16:uniqueId val="{00000000-98ED-4FB2-AD5F-EE49D89A70DB}"/>
            </c:ext>
          </c:extLst>
        </c:ser>
        <c:dLbls>
          <c:showLegendKey val="0"/>
          <c:showVal val="0"/>
          <c:showCatName val="0"/>
          <c:showSerName val="0"/>
          <c:showPercent val="0"/>
          <c:showBubbleSize val="0"/>
        </c:dLbls>
        <c:marker val="1"/>
        <c:smooth val="0"/>
        <c:axId val="148557184"/>
        <c:axId val="148575360"/>
      </c:lineChart>
      <c:lineChart>
        <c:grouping val="standard"/>
        <c:varyColors val="0"/>
        <c:ser>
          <c:idx val="1"/>
          <c:order val="1"/>
          <c:tx>
            <c:strRef>
              <c:f>Base_Trimestrielle!$CF$73</c:f>
              <c:strCache>
                <c:ptCount val="1"/>
                <c:pt idx="0">
                  <c:v>Parc des utilisateurs de l’Internet fixe et mobile</c:v>
                </c:pt>
              </c:strCache>
            </c:strRef>
          </c:tx>
          <c:marker>
            <c:symbol val="none"/>
          </c:marker>
          <c:cat>
            <c:numRef>
              <c:f>Base_Trimestrielle!$B$143:$B$168</c:f>
              <c:numCache>
                <c:formatCode>mm\ yyyy</c:formatCode>
                <c:ptCount val="26"/>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numCache>
            </c:numRef>
          </c:cat>
          <c:val>
            <c:numRef>
              <c:f>Base_Trimestrielle!$CF$143:$CF$168</c:f>
              <c:numCache>
                <c:formatCode>_-* #,##0\ _€_-;\-* #,##0\ _€_-;_-* "-"??\ _€_-;_-@_-</c:formatCode>
                <c:ptCount val="26"/>
                <c:pt idx="0">
                  <c:v>4906807</c:v>
                </c:pt>
                <c:pt idx="1">
                  <c:v>4906807</c:v>
                </c:pt>
                <c:pt idx="2">
                  <c:v>5544898</c:v>
                </c:pt>
                <c:pt idx="3">
                  <c:v>6133728</c:v>
                </c:pt>
                <c:pt idx="4">
                  <c:v>6634238</c:v>
                </c:pt>
                <c:pt idx="5">
                  <c:v>6277204</c:v>
                </c:pt>
                <c:pt idx="6">
                  <c:v>5922725</c:v>
                </c:pt>
                <c:pt idx="7" formatCode="General">
                  <c:v>6250849</c:v>
                </c:pt>
                <c:pt idx="8" formatCode="General">
                  <c:v>6361830</c:v>
                </c:pt>
                <c:pt idx="9" formatCode="General">
                  <c:v>6148245</c:v>
                </c:pt>
                <c:pt idx="10" formatCode="General">
                  <c:v>6454302</c:v>
                </c:pt>
                <c:pt idx="11" formatCode="General">
                  <c:v>7931511</c:v>
                </c:pt>
                <c:pt idx="12" formatCode="General">
                  <c:v>8501841</c:v>
                </c:pt>
                <c:pt idx="13" formatCode="General">
                  <c:v>10059048</c:v>
                </c:pt>
                <c:pt idx="14" formatCode="General">
                  <c:v>10917688</c:v>
                </c:pt>
                <c:pt idx="15" formatCode="General">
                  <c:v>12522781</c:v>
                </c:pt>
                <c:pt idx="16" formatCode="General">
                  <c:v>12932660</c:v>
                </c:pt>
                <c:pt idx="17" formatCode="General">
                  <c:v>13268242</c:v>
                </c:pt>
                <c:pt idx="18" formatCode="General">
                  <c:v>13476695</c:v>
                </c:pt>
                <c:pt idx="19" formatCode="General">
                  <c:v>14079142</c:v>
                </c:pt>
                <c:pt idx="20" formatCode="General">
                  <c:v>14955575</c:v>
                </c:pt>
                <c:pt idx="21" formatCode="General">
                  <c:v>16164539</c:v>
                </c:pt>
                <c:pt idx="22" formatCode="General">
                  <c:v>16358457</c:v>
                </c:pt>
                <c:pt idx="23" formatCode="General">
                  <c:v>17060341</c:v>
                </c:pt>
                <c:pt idx="24" formatCode="General">
                  <c:v>17599050</c:v>
                </c:pt>
                <c:pt idx="25" formatCode="General">
                  <c:v>17805486</c:v>
                </c:pt>
              </c:numCache>
            </c:numRef>
          </c:val>
          <c:smooth val="0"/>
          <c:extLst>
            <c:ext xmlns:c16="http://schemas.microsoft.com/office/drawing/2014/chart" uri="{C3380CC4-5D6E-409C-BE32-E72D297353CC}">
              <c16:uniqueId val="{00000000-0237-4EA8-BF6C-E380CC1C4A2B}"/>
            </c:ext>
          </c:extLst>
        </c:ser>
        <c:dLbls>
          <c:showLegendKey val="0"/>
          <c:showVal val="0"/>
          <c:showCatName val="0"/>
          <c:showSerName val="0"/>
          <c:showPercent val="0"/>
          <c:showBubbleSize val="0"/>
        </c:dLbls>
        <c:marker val="1"/>
        <c:smooth val="0"/>
        <c:axId val="148583552"/>
        <c:axId val="148577280"/>
      </c:lineChart>
      <c:dateAx>
        <c:axId val="148557184"/>
        <c:scaling>
          <c:orientation val="minMax"/>
        </c:scaling>
        <c:delete val="0"/>
        <c:axPos val="b"/>
        <c:numFmt formatCode="mm\ yyyy" sourceLinked="1"/>
        <c:majorTickMark val="out"/>
        <c:minorTickMark val="none"/>
        <c:tickLblPos val="nextTo"/>
        <c:txPr>
          <a:bodyPr rot="-4200000"/>
          <a:lstStyle/>
          <a:p>
            <a:pPr>
              <a:defRPr b="1"/>
            </a:pPr>
            <a:endParaRPr lang="fr-BF"/>
          </a:p>
        </c:txPr>
        <c:crossAx val="148575360"/>
        <c:crosses val="autoZero"/>
        <c:auto val="1"/>
        <c:lblOffset val="100"/>
        <c:baseTimeUnit val="months"/>
        <c:majorUnit val="3"/>
        <c:majorTimeUnit val="months"/>
      </c:dateAx>
      <c:valAx>
        <c:axId val="148575360"/>
        <c:scaling>
          <c:orientation val="minMax"/>
          <c:min val="50000"/>
        </c:scaling>
        <c:delete val="0"/>
        <c:axPos val="l"/>
        <c:majorGridlines>
          <c:spPr>
            <a:ln>
              <a:prstDash val="dash"/>
            </a:ln>
          </c:spPr>
        </c:majorGridlines>
        <c:numFmt formatCode="_-* #,##0\ _€_-;\-* #,##0\ _€_-;_-* &quot;-&quot;??\ _€_-;_-@_-" sourceLinked="1"/>
        <c:majorTickMark val="out"/>
        <c:minorTickMark val="none"/>
        <c:tickLblPos val="nextTo"/>
        <c:txPr>
          <a:bodyPr/>
          <a:lstStyle/>
          <a:p>
            <a:pPr>
              <a:defRPr b="1"/>
            </a:pPr>
            <a:endParaRPr lang="fr-BF"/>
          </a:p>
        </c:txPr>
        <c:crossAx val="148557184"/>
        <c:crosses val="autoZero"/>
        <c:crossBetween val="between"/>
        <c:dispUnits>
          <c:builtInUnit val="thousands"/>
          <c:dispUnitsLbl/>
        </c:dispUnits>
      </c:valAx>
      <c:valAx>
        <c:axId val="148577280"/>
        <c:scaling>
          <c:orientation val="minMax"/>
        </c:scaling>
        <c:delete val="0"/>
        <c:axPos val="r"/>
        <c:numFmt formatCode="_-* #,##0\ _€_-;\-* #,##0\ _€_-;_-* &quot;-&quot;??\ _€_-;_-@_-" sourceLinked="1"/>
        <c:majorTickMark val="out"/>
        <c:minorTickMark val="none"/>
        <c:tickLblPos val="nextTo"/>
        <c:txPr>
          <a:bodyPr/>
          <a:lstStyle/>
          <a:p>
            <a:pPr>
              <a:defRPr b="1"/>
            </a:pPr>
            <a:endParaRPr lang="fr-BF"/>
          </a:p>
        </c:txPr>
        <c:crossAx val="148583552"/>
        <c:crosses val="max"/>
        <c:crossBetween val="between"/>
        <c:dispUnits>
          <c:builtInUnit val="millions"/>
          <c:dispUnitsLbl/>
        </c:dispUnits>
      </c:valAx>
      <c:dateAx>
        <c:axId val="148583552"/>
        <c:scaling>
          <c:orientation val="minMax"/>
        </c:scaling>
        <c:delete val="1"/>
        <c:axPos val="b"/>
        <c:numFmt formatCode="mm\ yyyy" sourceLinked="1"/>
        <c:majorTickMark val="out"/>
        <c:minorTickMark val="none"/>
        <c:tickLblPos val="nextTo"/>
        <c:crossAx val="148577280"/>
        <c:crosses val="autoZero"/>
        <c:auto val="1"/>
        <c:lblOffset val="100"/>
        <c:baseTimeUnit val="months"/>
      </c:dateAx>
    </c:plotArea>
    <c:legend>
      <c:legendPos val="b"/>
      <c:overlay val="0"/>
    </c:legend>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00"/>
          </a:pPr>
          <a:endParaRPr lang="fr-BF"/>
        </a:p>
      </c:txPr>
    </c:title>
    <c:autoTitleDeleted val="0"/>
    <c:plotArea>
      <c:layout/>
      <c:lineChart>
        <c:grouping val="standard"/>
        <c:varyColors val="0"/>
        <c:ser>
          <c:idx val="0"/>
          <c:order val="0"/>
          <c:tx>
            <c:strRef>
              <c:f>Base_Trimestrielle!$CE$73</c:f>
              <c:strCache>
                <c:ptCount val="1"/>
                <c:pt idx="0">
                  <c:v>Parc des abonnés du mobile</c:v>
                </c:pt>
              </c:strCache>
            </c:strRef>
          </c:tx>
          <c:marker>
            <c:symbol val="none"/>
          </c:marker>
          <c:cat>
            <c:numRef>
              <c:f>Base_Trimestrielle!$B$143:$B$168</c:f>
              <c:numCache>
                <c:formatCode>mm\ yyyy</c:formatCode>
                <c:ptCount val="26"/>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numCache>
            </c:numRef>
          </c:cat>
          <c:val>
            <c:numRef>
              <c:f>Base_Trimestrielle!$CE$143:$CE$168</c:f>
              <c:numCache>
                <c:formatCode>_-* #,##0\ _€_-;\-* #,##0\ _€_-;_-* "-"??\ _€_-;_-@_-</c:formatCode>
                <c:ptCount val="26"/>
                <c:pt idx="0">
                  <c:v>17287391</c:v>
                </c:pt>
                <c:pt idx="1">
                  <c:v>17287391</c:v>
                </c:pt>
                <c:pt idx="2">
                  <c:v>17946375</c:v>
                </c:pt>
                <c:pt idx="3">
                  <c:v>18870103</c:v>
                </c:pt>
                <c:pt idx="4">
                  <c:v>19230852</c:v>
                </c:pt>
                <c:pt idx="5">
                  <c:v>19112726</c:v>
                </c:pt>
                <c:pt idx="6">
                  <c:v>19339109</c:v>
                </c:pt>
                <c:pt idx="7" formatCode="General">
                  <c:v>19731861</c:v>
                </c:pt>
                <c:pt idx="8" formatCode="General">
                  <c:v>20024123</c:v>
                </c:pt>
                <c:pt idx="9" formatCode="#,##0">
                  <c:v>19720253</c:v>
                </c:pt>
                <c:pt idx="10" formatCode="#,##0">
                  <c:v>20364508</c:v>
                </c:pt>
                <c:pt idx="11" formatCode="#,##0">
                  <c:v>20771246</c:v>
                </c:pt>
                <c:pt idx="12" formatCode="General">
                  <c:v>21009043</c:v>
                </c:pt>
                <c:pt idx="13" formatCode="General">
                  <c:v>21436545</c:v>
                </c:pt>
                <c:pt idx="14" formatCode="General">
                  <c:v>22117218</c:v>
                </c:pt>
                <c:pt idx="15" formatCode="General">
                  <c:v>23466416</c:v>
                </c:pt>
                <c:pt idx="16" formatCode="General">
                  <c:v>24017391</c:v>
                </c:pt>
                <c:pt idx="17" formatCode="General">
                  <c:v>24331145</c:v>
                </c:pt>
                <c:pt idx="18" formatCode="General">
                  <c:v>24708389</c:v>
                </c:pt>
                <c:pt idx="19" formatCode="0">
                  <c:v>25325673</c:v>
                </c:pt>
                <c:pt idx="20" formatCode="0">
                  <c:v>25501977</c:v>
                </c:pt>
                <c:pt idx="21" formatCode="0">
                  <c:v>25680876</c:v>
                </c:pt>
                <c:pt idx="22" formatCode="0">
                  <c:v>25659436</c:v>
                </c:pt>
                <c:pt idx="23" formatCode="0">
                  <c:v>26044508</c:v>
                </c:pt>
                <c:pt idx="24" formatCode="0">
                  <c:v>26308462</c:v>
                </c:pt>
                <c:pt idx="25" formatCode="0">
                  <c:v>26427599</c:v>
                </c:pt>
              </c:numCache>
            </c:numRef>
          </c:val>
          <c:smooth val="0"/>
          <c:extLst>
            <c:ext xmlns:c16="http://schemas.microsoft.com/office/drawing/2014/chart" uri="{C3380CC4-5D6E-409C-BE32-E72D297353CC}">
              <c16:uniqueId val="{00000000-9F8D-4DD7-816E-1410EA7CE462}"/>
            </c:ext>
          </c:extLst>
        </c:ser>
        <c:dLbls>
          <c:showLegendKey val="0"/>
          <c:showVal val="0"/>
          <c:showCatName val="0"/>
          <c:showSerName val="0"/>
          <c:showPercent val="0"/>
          <c:showBubbleSize val="0"/>
        </c:dLbls>
        <c:smooth val="0"/>
        <c:axId val="148590976"/>
        <c:axId val="148592512"/>
      </c:lineChart>
      <c:dateAx>
        <c:axId val="148590976"/>
        <c:scaling>
          <c:orientation val="minMax"/>
        </c:scaling>
        <c:delete val="0"/>
        <c:axPos val="b"/>
        <c:numFmt formatCode="mm\ yyyy" sourceLinked="1"/>
        <c:majorTickMark val="out"/>
        <c:minorTickMark val="none"/>
        <c:tickLblPos val="nextTo"/>
        <c:txPr>
          <a:bodyPr rot="-4200000"/>
          <a:lstStyle/>
          <a:p>
            <a:pPr>
              <a:defRPr b="1"/>
            </a:pPr>
            <a:endParaRPr lang="fr-BF"/>
          </a:p>
        </c:txPr>
        <c:crossAx val="148592512"/>
        <c:crosses val="autoZero"/>
        <c:auto val="1"/>
        <c:lblOffset val="100"/>
        <c:baseTimeUnit val="months"/>
        <c:majorUnit val="3"/>
        <c:majorTimeUnit val="months"/>
        <c:minorUnit val="1"/>
        <c:minorTimeUnit val="years"/>
      </c:dateAx>
      <c:valAx>
        <c:axId val="148592512"/>
        <c:scaling>
          <c:orientation val="minMax"/>
          <c:min val="10000000"/>
        </c:scaling>
        <c:delete val="0"/>
        <c:axPos val="l"/>
        <c:majorGridlines>
          <c:spPr>
            <a:ln>
              <a:prstDash val="dash"/>
            </a:ln>
          </c:spPr>
        </c:majorGridlines>
        <c:numFmt formatCode="_-* #,##0\ _€_-;\-* #,##0\ _€_-;_-* &quot;-&quot;??\ _€_-;_-@_-" sourceLinked="1"/>
        <c:majorTickMark val="out"/>
        <c:minorTickMark val="none"/>
        <c:tickLblPos val="nextTo"/>
        <c:txPr>
          <a:bodyPr/>
          <a:lstStyle/>
          <a:p>
            <a:pPr>
              <a:defRPr b="1"/>
            </a:pPr>
            <a:endParaRPr lang="fr-BF"/>
          </a:p>
        </c:txPr>
        <c:crossAx val="148590976"/>
        <c:crosses val="autoZero"/>
        <c:crossBetween val="between"/>
        <c:dispUnits>
          <c:builtInUnit val="millions"/>
          <c:dispUnitsLbl/>
        </c:dispUnits>
      </c:valAx>
    </c:plotArea>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mn-lt"/>
                <a:cs typeface="Arial" panose="020B0604020202020204" pitchFamily="34" charset="0"/>
              </a:defRPr>
            </a:pPr>
            <a:r>
              <a:rPr lang="fr-FR" sz="1000">
                <a:latin typeface="+mn-lt"/>
                <a:cs typeface="Arial" panose="020B0604020202020204" pitchFamily="34" charset="0"/>
              </a:rPr>
              <a:t>Evolution des arrivées  dans les lieux d'hébergement selon le motif de voyage</a:t>
            </a:r>
          </a:p>
        </c:rich>
      </c:tx>
      <c:overlay val="0"/>
    </c:title>
    <c:autoTitleDeleted val="0"/>
    <c:plotArea>
      <c:layout/>
      <c:lineChart>
        <c:grouping val="standard"/>
        <c:varyColors val="0"/>
        <c:ser>
          <c:idx val="0"/>
          <c:order val="0"/>
          <c:tx>
            <c:strRef>
              <c:f>Base_Trimestrielle!$CU$73</c:f>
              <c:strCache>
                <c:ptCount val="1"/>
                <c:pt idx="0">
                  <c:v>Vacances-loisirs</c:v>
                </c:pt>
              </c:strCache>
            </c:strRef>
          </c:tx>
          <c:marker>
            <c:symbol val="none"/>
          </c:marker>
          <c:cat>
            <c:numRef>
              <c:f>Base_Trimestrielle!$B$140:$B$166</c:f>
              <c:numCache>
                <c:formatCode>mm\ yyyy</c:formatCode>
                <c:ptCount val="27"/>
                <c:pt idx="0">
                  <c:v>42614</c:v>
                </c:pt>
                <c:pt idx="1">
                  <c:v>42705</c:v>
                </c:pt>
                <c:pt idx="2">
                  <c:v>42795</c:v>
                </c:pt>
                <c:pt idx="3">
                  <c:v>42887</c:v>
                </c:pt>
                <c:pt idx="4">
                  <c:v>42979</c:v>
                </c:pt>
                <c:pt idx="5">
                  <c:v>43070</c:v>
                </c:pt>
                <c:pt idx="6">
                  <c:v>43160</c:v>
                </c:pt>
                <c:pt idx="7">
                  <c:v>43252</c:v>
                </c:pt>
                <c:pt idx="8">
                  <c:v>43344</c:v>
                </c:pt>
                <c:pt idx="9">
                  <c:v>43435</c:v>
                </c:pt>
                <c:pt idx="10">
                  <c:v>43525</c:v>
                </c:pt>
                <c:pt idx="11">
                  <c:v>43617</c:v>
                </c:pt>
                <c:pt idx="12">
                  <c:v>43709</c:v>
                </c:pt>
                <c:pt idx="13">
                  <c:v>43800</c:v>
                </c:pt>
                <c:pt idx="14">
                  <c:v>43891</c:v>
                </c:pt>
                <c:pt idx="15">
                  <c:v>43983</c:v>
                </c:pt>
                <c:pt idx="16">
                  <c:v>44075</c:v>
                </c:pt>
                <c:pt idx="17">
                  <c:v>44166</c:v>
                </c:pt>
                <c:pt idx="18">
                  <c:v>44256</c:v>
                </c:pt>
                <c:pt idx="19">
                  <c:v>44348</c:v>
                </c:pt>
                <c:pt idx="20">
                  <c:v>44440</c:v>
                </c:pt>
                <c:pt idx="21">
                  <c:v>44531</c:v>
                </c:pt>
                <c:pt idx="22">
                  <c:v>44621</c:v>
                </c:pt>
                <c:pt idx="23">
                  <c:v>44713</c:v>
                </c:pt>
                <c:pt idx="24">
                  <c:v>44805</c:v>
                </c:pt>
                <c:pt idx="25">
                  <c:v>44896</c:v>
                </c:pt>
                <c:pt idx="26">
                  <c:v>44986</c:v>
                </c:pt>
              </c:numCache>
            </c:numRef>
          </c:cat>
          <c:val>
            <c:numRef>
              <c:f>Base_Trimestrielle!$CU$140:$CU$166</c:f>
              <c:numCache>
                <c:formatCode>General</c:formatCode>
                <c:ptCount val="27"/>
                <c:pt idx="0">
                  <c:v>15113</c:v>
                </c:pt>
                <c:pt idx="1">
                  <c:v>16892</c:v>
                </c:pt>
                <c:pt idx="2" formatCode="0">
                  <c:v>18063.079522138385</c:v>
                </c:pt>
                <c:pt idx="3" formatCode="0">
                  <c:v>19752.344960185175</c:v>
                </c:pt>
                <c:pt idx="4">
                  <c:v>18421</c:v>
                </c:pt>
                <c:pt idx="5">
                  <c:v>17497</c:v>
                </c:pt>
                <c:pt idx="6">
                  <c:v>20477</c:v>
                </c:pt>
                <c:pt idx="7">
                  <c:v>21382</c:v>
                </c:pt>
                <c:pt idx="8">
                  <c:v>19816</c:v>
                </c:pt>
                <c:pt idx="9">
                  <c:v>21186</c:v>
                </c:pt>
                <c:pt idx="10">
                  <c:v>20153</c:v>
                </c:pt>
                <c:pt idx="11">
                  <c:v>16966</c:v>
                </c:pt>
                <c:pt idx="12">
                  <c:v>19568</c:v>
                </c:pt>
                <c:pt idx="13">
                  <c:v>19842</c:v>
                </c:pt>
                <c:pt idx="14">
                  <c:v>15602</c:v>
                </c:pt>
                <c:pt idx="15">
                  <c:v>2853</c:v>
                </c:pt>
                <c:pt idx="16">
                  <c:v>4932</c:v>
                </c:pt>
                <c:pt idx="17">
                  <c:v>19842</c:v>
                </c:pt>
                <c:pt idx="18">
                  <c:v>17792</c:v>
                </c:pt>
                <c:pt idx="19">
                  <c:v>18365</c:v>
                </c:pt>
                <c:pt idx="20">
                  <c:v>17684</c:v>
                </c:pt>
                <c:pt idx="21">
                  <c:v>16008</c:v>
                </c:pt>
                <c:pt idx="22">
                  <c:v>12332</c:v>
                </c:pt>
                <c:pt idx="23">
                  <c:v>10444</c:v>
                </c:pt>
                <c:pt idx="24">
                  <c:v>15217</c:v>
                </c:pt>
                <c:pt idx="25">
                  <c:v>16587</c:v>
                </c:pt>
                <c:pt idx="26">
                  <c:v>12214</c:v>
                </c:pt>
              </c:numCache>
            </c:numRef>
          </c:val>
          <c:smooth val="0"/>
          <c:extLst>
            <c:ext xmlns:c16="http://schemas.microsoft.com/office/drawing/2014/chart" uri="{C3380CC4-5D6E-409C-BE32-E72D297353CC}">
              <c16:uniqueId val="{00000000-2CDF-4928-B5A0-49A12E9CD5C0}"/>
            </c:ext>
          </c:extLst>
        </c:ser>
        <c:ser>
          <c:idx val="2"/>
          <c:order val="2"/>
          <c:tx>
            <c:strRef>
              <c:f>Base_Trimestrielle!$CW$73</c:f>
              <c:strCache>
                <c:ptCount val="1"/>
                <c:pt idx="0">
                  <c:v>Visite à des parents et amis</c:v>
                </c:pt>
              </c:strCache>
            </c:strRef>
          </c:tx>
          <c:marker>
            <c:symbol val="none"/>
          </c:marker>
          <c:cat>
            <c:numRef>
              <c:f>Base_Trimestrielle!$B$140:$B$166</c:f>
              <c:numCache>
                <c:formatCode>mm\ yyyy</c:formatCode>
                <c:ptCount val="27"/>
                <c:pt idx="0">
                  <c:v>42614</c:v>
                </c:pt>
                <c:pt idx="1">
                  <c:v>42705</c:v>
                </c:pt>
                <c:pt idx="2">
                  <c:v>42795</c:v>
                </c:pt>
                <c:pt idx="3">
                  <c:v>42887</c:v>
                </c:pt>
                <c:pt idx="4">
                  <c:v>42979</c:v>
                </c:pt>
                <c:pt idx="5">
                  <c:v>43070</c:v>
                </c:pt>
                <c:pt idx="6">
                  <c:v>43160</c:v>
                </c:pt>
                <c:pt idx="7">
                  <c:v>43252</c:v>
                </c:pt>
                <c:pt idx="8">
                  <c:v>43344</c:v>
                </c:pt>
                <c:pt idx="9">
                  <c:v>43435</c:v>
                </c:pt>
                <c:pt idx="10">
                  <c:v>43525</c:v>
                </c:pt>
                <c:pt idx="11">
                  <c:v>43617</c:v>
                </c:pt>
                <c:pt idx="12">
                  <c:v>43709</c:v>
                </c:pt>
                <c:pt idx="13">
                  <c:v>43800</c:v>
                </c:pt>
                <c:pt idx="14">
                  <c:v>43891</c:v>
                </c:pt>
                <c:pt idx="15">
                  <c:v>43983</c:v>
                </c:pt>
                <c:pt idx="16">
                  <c:v>44075</c:v>
                </c:pt>
                <c:pt idx="17">
                  <c:v>44166</c:v>
                </c:pt>
                <c:pt idx="18">
                  <c:v>44256</c:v>
                </c:pt>
                <c:pt idx="19">
                  <c:v>44348</c:v>
                </c:pt>
                <c:pt idx="20">
                  <c:v>44440</c:v>
                </c:pt>
                <c:pt idx="21">
                  <c:v>44531</c:v>
                </c:pt>
                <c:pt idx="22">
                  <c:v>44621</c:v>
                </c:pt>
                <c:pt idx="23">
                  <c:v>44713</c:v>
                </c:pt>
                <c:pt idx="24">
                  <c:v>44805</c:v>
                </c:pt>
                <c:pt idx="25">
                  <c:v>44896</c:v>
                </c:pt>
                <c:pt idx="26">
                  <c:v>44986</c:v>
                </c:pt>
              </c:numCache>
            </c:numRef>
          </c:cat>
          <c:val>
            <c:numRef>
              <c:f>Base_Trimestrielle!$CW$140:$CW$166</c:f>
              <c:numCache>
                <c:formatCode>General</c:formatCode>
                <c:ptCount val="27"/>
                <c:pt idx="0">
                  <c:v>16174</c:v>
                </c:pt>
                <c:pt idx="1">
                  <c:v>15987</c:v>
                </c:pt>
                <c:pt idx="2" formatCode="0">
                  <c:v>16706.289020743232</c:v>
                </c:pt>
                <c:pt idx="3" formatCode="0">
                  <c:v>16985.537599547599</c:v>
                </c:pt>
                <c:pt idx="4">
                  <c:v>15776</c:v>
                </c:pt>
                <c:pt idx="5">
                  <c:v>14979</c:v>
                </c:pt>
                <c:pt idx="6">
                  <c:v>15840</c:v>
                </c:pt>
                <c:pt idx="7">
                  <c:v>14939</c:v>
                </c:pt>
                <c:pt idx="8">
                  <c:v>18449</c:v>
                </c:pt>
                <c:pt idx="9">
                  <c:v>16349</c:v>
                </c:pt>
                <c:pt idx="10">
                  <c:v>18425</c:v>
                </c:pt>
                <c:pt idx="11">
                  <c:v>17532</c:v>
                </c:pt>
                <c:pt idx="12">
                  <c:v>15121</c:v>
                </c:pt>
                <c:pt idx="13">
                  <c:v>18272</c:v>
                </c:pt>
                <c:pt idx="14">
                  <c:v>16696</c:v>
                </c:pt>
                <c:pt idx="15">
                  <c:v>5067</c:v>
                </c:pt>
                <c:pt idx="16">
                  <c:v>8531</c:v>
                </c:pt>
                <c:pt idx="17">
                  <c:v>18272</c:v>
                </c:pt>
                <c:pt idx="18">
                  <c:v>14639</c:v>
                </c:pt>
                <c:pt idx="19">
                  <c:v>15755</c:v>
                </c:pt>
                <c:pt idx="20">
                  <c:v>17072</c:v>
                </c:pt>
                <c:pt idx="21">
                  <c:v>19531</c:v>
                </c:pt>
                <c:pt idx="22">
                  <c:v>17225</c:v>
                </c:pt>
                <c:pt idx="23">
                  <c:v>17153</c:v>
                </c:pt>
                <c:pt idx="24">
                  <c:v>14503</c:v>
                </c:pt>
                <c:pt idx="25">
                  <c:v>14083</c:v>
                </c:pt>
                <c:pt idx="26">
                  <c:v>8630</c:v>
                </c:pt>
              </c:numCache>
            </c:numRef>
          </c:val>
          <c:smooth val="0"/>
          <c:extLst>
            <c:ext xmlns:c16="http://schemas.microsoft.com/office/drawing/2014/chart" uri="{C3380CC4-5D6E-409C-BE32-E72D297353CC}">
              <c16:uniqueId val="{00000002-2CDF-4928-B5A0-49A12E9CD5C0}"/>
            </c:ext>
          </c:extLst>
        </c:ser>
        <c:dLbls>
          <c:showLegendKey val="0"/>
          <c:showVal val="0"/>
          <c:showCatName val="0"/>
          <c:showSerName val="0"/>
          <c:showPercent val="0"/>
          <c:showBubbleSize val="0"/>
        </c:dLbls>
        <c:marker val="1"/>
        <c:smooth val="0"/>
        <c:axId val="151753472"/>
        <c:axId val="151755008"/>
      </c:lineChart>
      <c:lineChart>
        <c:grouping val="standard"/>
        <c:varyColors val="0"/>
        <c:ser>
          <c:idx val="1"/>
          <c:order val="1"/>
          <c:tx>
            <c:strRef>
              <c:f>Base_Trimestrielle!$CV$73</c:f>
              <c:strCache>
                <c:ptCount val="1"/>
                <c:pt idx="0">
                  <c:v>Affaires et motifs professionnels</c:v>
                </c:pt>
              </c:strCache>
            </c:strRef>
          </c:tx>
          <c:marker>
            <c:symbol val="none"/>
          </c:marker>
          <c:cat>
            <c:numRef>
              <c:f>Base_Trimestrielle!$B$140:$B$166</c:f>
              <c:numCache>
                <c:formatCode>mm\ yyyy</c:formatCode>
                <c:ptCount val="27"/>
                <c:pt idx="0">
                  <c:v>42614</c:v>
                </c:pt>
                <c:pt idx="1">
                  <c:v>42705</c:v>
                </c:pt>
                <c:pt idx="2">
                  <c:v>42795</c:v>
                </c:pt>
                <c:pt idx="3">
                  <c:v>42887</c:v>
                </c:pt>
                <c:pt idx="4">
                  <c:v>42979</c:v>
                </c:pt>
                <c:pt idx="5">
                  <c:v>43070</c:v>
                </c:pt>
                <c:pt idx="6">
                  <c:v>43160</c:v>
                </c:pt>
                <c:pt idx="7">
                  <c:v>43252</c:v>
                </c:pt>
                <c:pt idx="8">
                  <c:v>43344</c:v>
                </c:pt>
                <c:pt idx="9">
                  <c:v>43435</c:v>
                </c:pt>
                <c:pt idx="10">
                  <c:v>43525</c:v>
                </c:pt>
                <c:pt idx="11">
                  <c:v>43617</c:v>
                </c:pt>
                <c:pt idx="12">
                  <c:v>43709</c:v>
                </c:pt>
                <c:pt idx="13">
                  <c:v>43800</c:v>
                </c:pt>
                <c:pt idx="14">
                  <c:v>43891</c:v>
                </c:pt>
                <c:pt idx="15">
                  <c:v>43983</c:v>
                </c:pt>
                <c:pt idx="16">
                  <c:v>44075</c:v>
                </c:pt>
                <c:pt idx="17">
                  <c:v>44166</c:v>
                </c:pt>
                <c:pt idx="18">
                  <c:v>44256</c:v>
                </c:pt>
                <c:pt idx="19">
                  <c:v>44348</c:v>
                </c:pt>
                <c:pt idx="20">
                  <c:v>44440</c:v>
                </c:pt>
                <c:pt idx="21">
                  <c:v>44531</c:v>
                </c:pt>
                <c:pt idx="22">
                  <c:v>44621</c:v>
                </c:pt>
                <c:pt idx="23">
                  <c:v>44713</c:v>
                </c:pt>
                <c:pt idx="24">
                  <c:v>44805</c:v>
                </c:pt>
                <c:pt idx="25">
                  <c:v>44896</c:v>
                </c:pt>
                <c:pt idx="26">
                  <c:v>44986</c:v>
                </c:pt>
              </c:numCache>
            </c:numRef>
          </c:cat>
          <c:val>
            <c:numRef>
              <c:f>Base_Trimestrielle!$CV$140:$CV$166</c:f>
              <c:numCache>
                <c:formatCode>General</c:formatCode>
                <c:ptCount val="27"/>
                <c:pt idx="0">
                  <c:v>75127</c:v>
                </c:pt>
                <c:pt idx="1">
                  <c:v>78824</c:v>
                </c:pt>
                <c:pt idx="2" formatCode="0">
                  <c:v>78005.859077798828</c:v>
                </c:pt>
                <c:pt idx="3" formatCode="0">
                  <c:v>79520.368831127198</c:v>
                </c:pt>
                <c:pt idx="4">
                  <c:v>78729</c:v>
                </c:pt>
                <c:pt idx="5">
                  <c:v>87137</c:v>
                </c:pt>
                <c:pt idx="6">
                  <c:v>78765</c:v>
                </c:pt>
                <c:pt idx="7">
                  <c:v>83761</c:v>
                </c:pt>
                <c:pt idx="8">
                  <c:v>86484</c:v>
                </c:pt>
                <c:pt idx="9">
                  <c:v>94501</c:v>
                </c:pt>
                <c:pt idx="10">
                  <c:v>92958</c:v>
                </c:pt>
                <c:pt idx="11">
                  <c:v>94228</c:v>
                </c:pt>
                <c:pt idx="12">
                  <c:v>93523</c:v>
                </c:pt>
                <c:pt idx="13">
                  <c:v>92050</c:v>
                </c:pt>
                <c:pt idx="14">
                  <c:v>86815</c:v>
                </c:pt>
                <c:pt idx="15">
                  <c:v>32647</c:v>
                </c:pt>
                <c:pt idx="16">
                  <c:v>82781</c:v>
                </c:pt>
                <c:pt idx="17">
                  <c:v>92050</c:v>
                </c:pt>
                <c:pt idx="18">
                  <c:v>78684</c:v>
                </c:pt>
                <c:pt idx="19">
                  <c:v>85379</c:v>
                </c:pt>
                <c:pt idx="20">
                  <c:v>82577</c:v>
                </c:pt>
                <c:pt idx="21">
                  <c:v>86444</c:v>
                </c:pt>
                <c:pt idx="22">
                  <c:v>78581</c:v>
                </c:pt>
                <c:pt idx="23">
                  <c:v>86582</c:v>
                </c:pt>
                <c:pt idx="24">
                  <c:v>81420</c:v>
                </c:pt>
                <c:pt idx="25">
                  <c:v>88788</c:v>
                </c:pt>
                <c:pt idx="26">
                  <c:v>73234</c:v>
                </c:pt>
              </c:numCache>
            </c:numRef>
          </c:val>
          <c:smooth val="0"/>
          <c:extLst>
            <c:ext xmlns:c16="http://schemas.microsoft.com/office/drawing/2014/chart" uri="{C3380CC4-5D6E-409C-BE32-E72D297353CC}">
              <c16:uniqueId val="{00000001-2CDF-4928-B5A0-49A12E9CD5C0}"/>
            </c:ext>
          </c:extLst>
        </c:ser>
        <c:dLbls>
          <c:showLegendKey val="0"/>
          <c:showVal val="0"/>
          <c:showCatName val="0"/>
          <c:showSerName val="0"/>
          <c:showPercent val="0"/>
          <c:showBubbleSize val="0"/>
        </c:dLbls>
        <c:marker val="1"/>
        <c:smooth val="0"/>
        <c:axId val="151771392"/>
        <c:axId val="151769472"/>
      </c:lineChart>
      <c:dateAx>
        <c:axId val="151753472"/>
        <c:scaling>
          <c:orientation val="minMax"/>
        </c:scaling>
        <c:delete val="0"/>
        <c:axPos val="b"/>
        <c:numFmt formatCode="mm\ yyyy" sourceLinked="1"/>
        <c:majorTickMark val="out"/>
        <c:minorTickMark val="none"/>
        <c:tickLblPos val="nextTo"/>
        <c:txPr>
          <a:bodyPr rot="-3120000"/>
          <a:lstStyle/>
          <a:p>
            <a:pPr>
              <a:defRPr/>
            </a:pPr>
            <a:endParaRPr lang="fr-BF"/>
          </a:p>
        </c:txPr>
        <c:crossAx val="151755008"/>
        <c:crosses val="autoZero"/>
        <c:auto val="1"/>
        <c:lblOffset val="100"/>
        <c:baseTimeUnit val="months"/>
        <c:majorUnit val="3"/>
        <c:majorTimeUnit val="months"/>
      </c:dateAx>
      <c:valAx>
        <c:axId val="151755008"/>
        <c:scaling>
          <c:orientation val="minMax"/>
        </c:scaling>
        <c:delete val="0"/>
        <c:axPos val="l"/>
        <c:majorGridlines>
          <c:spPr>
            <a:ln>
              <a:prstDash val="dash"/>
            </a:ln>
          </c:spPr>
        </c:majorGridlines>
        <c:numFmt formatCode="General" sourceLinked="1"/>
        <c:majorTickMark val="out"/>
        <c:minorTickMark val="none"/>
        <c:tickLblPos val="nextTo"/>
        <c:crossAx val="151753472"/>
        <c:crosses val="autoZero"/>
        <c:crossBetween val="between"/>
        <c:dispUnits>
          <c:builtInUnit val="thousands"/>
          <c:dispUnitsLbl/>
        </c:dispUnits>
      </c:valAx>
      <c:valAx>
        <c:axId val="151769472"/>
        <c:scaling>
          <c:orientation val="minMax"/>
        </c:scaling>
        <c:delete val="0"/>
        <c:axPos val="r"/>
        <c:numFmt formatCode="General" sourceLinked="1"/>
        <c:majorTickMark val="out"/>
        <c:minorTickMark val="none"/>
        <c:tickLblPos val="nextTo"/>
        <c:crossAx val="151771392"/>
        <c:crosses val="max"/>
        <c:crossBetween val="between"/>
        <c:dispUnits>
          <c:builtInUnit val="thousands"/>
          <c:dispUnitsLbl/>
        </c:dispUnits>
      </c:valAx>
      <c:dateAx>
        <c:axId val="151771392"/>
        <c:scaling>
          <c:orientation val="minMax"/>
        </c:scaling>
        <c:delete val="1"/>
        <c:axPos val="b"/>
        <c:numFmt formatCode="mm\ yyyy" sourceLinked="1"/>
        <c:majorTickMark val="out"/>
        <c:minorTickMark val="none"/>
        <c:tickLblPos val="nextTo"/>
        <c:crossAx val="151769472"/>
        <c:crosses val="autoZero"/>
        <c:auto val="1"/>
        <c:lblOffset val="100"/>
        <c:baseTimeUnit val="months"/>
      </c:dateAx>
    </c:plotArea>
    <c:legend>
      <c:legendPos val="b"/>
      <c:overlay val="0"/>
    </c:legend>
    <c:plotVisOnly val="1"/>
    <c:dispBlanksAs val="gap"/>
    <c:showDLblsOverMax val="0"/>
  </c:chart>
  <c:spPr>
    <a:ln>
      <a:noFill/>
    </a:ln>
  </c:spPr>
  <c:txPr>
    <a:bodyPr/>
    <a:lstStyle/>
    <a:p>
      <a:pPr>
        <a:defRPr sz="1000"/>
      </a:pPr>
      <a:endParaRPr lang="fr-BF"/>
    </a:p>
  </c:txPr>
  <c:printSettings>
    <c:headerFooter/>
    <c:pageMargins b="0.75000000000001465" l="0.70000000000000062" r="0.700000000000000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mn-lt"/>
                <a:cs typeface="Arial" panose="020B0604020202020204" pitchFamily="34" charset="0"/>
              </a:defRPr>
            </a:pPr>
            <a:r>
              <a:rPr lang="fr-FR" sz="900">
                <a:latin typeface="+mn-lt"/>
                <a:cs typeface="Arial" panose="020B0604020202020204" pitchFamily="34" charset="0"/>
              </a:rPr>
              <a:t>Evolution des arrivées dans les lieux d'hébergement selon les principaux groupes de nationalité</a:t>
            </a:r>
          </a:p>
        </c:rich>
      </c:tx>
      <c:overlay val="0"/>
    </c:title>
    <c:autoTitleDeleted val="0"/>
    <c:plotArea>
      <c:layout/>
      <c:lineChart>
        <c:grouping val="standard"/>
        <c:varyColors val="0"/>
        <c:ser>
          <c:idx val="0"/>
          <c:order val="0"/>
          <c:tx>
            <c:strRef>
              <c:f>Base_Trimestrielle!$CH$73</c:f>
              <c:strCache>
                <c:ptCount val="1"/>
                <c:pt idx="0">
                  <c:v>Total africains</c:v>
                </c:pt>
              </c:strCache>
            </c:strRef>
          </c:tx>
          <c:marker>
            <c:symbol val="none"/>
          </c:marker>
          <c:cat>
            <c:numRef>
              <c:f>Base_Trimestrielle!$B$140:$B$166</c:f>
              <c:numCache>
                <c:formatCode>mm\ yyyy</c:formatCode>
                <c:ptCount val="27"/>
                <c:pt idx="0">
                  <c:v>42614</c:v>
                </c:pt>
                <c:pt idx="1">
                  <c:v>42705</c:v>
                </c:pt>
                <c:pt idx="2">
                  <c:v>42795</c:v>
                </c:pt>
                <c:pt idx="3">
                  <c:v>42887</c:v>
                </c:pt>
                <c:pt idx="4">
                  <c:v>42979</c:v>
                </c:pt>
                <c:pt idx="5">
                  <c:v>43070</c:v>
                </c:pt>
                <c:pt idx="6">
                  <c:v>43160</c:v>
                </c:pt>
                <c:pt idx="7">
                  <c:v>43252</c:v>
                </c:pt>
                <c:pt idx="8">
                  <c:v>43344</c:v>
                </c:pt>
                <c:pt idx="9">
                  <c:v>43435</c:v>
                </c:pt>
                <c:pt idx="10">
                  <c:v>43525</c:v>
                </c:pt>
                <c:pt idx="11">
                  <c:v>43617</c:v>
                </c:pt>
                <c:pt idx="12">
                  <c:v>43709</c:v>
                </c:pt>
                <c:pt idx="13">
                  <c:v>43800</c:v>
                </c:pt>
                <c:pt idx="14">
                  <c:v>43891</c:v>
                </c:pt>
                <c:pt idx="15">
                  <c:v>43983</c:v>
                </c:pt>
                <c:pt idx="16">
                  <c:v>44075</c:v>
                </c:pt>
                <c:pt idx="17">
                  <c:v>44166</c:v>
                </c:pt>
                <c:pt idx="18">
                  <c:v>44256</c:v>
                </c:pt>
                <c:pt idx="19">
                  <c:v>44348</c:v>
                </c:pt>
                <c:pt idx="20">
                  <c:v>44440</c:v>
                </c:pt>
                <c:pt idx="21">
                  <c:v>44531</c:v>
                </c:pt>
                <c:pt idx="22">
                  <c:v>44621</c:v>
                </c:pt>
                <c:pt idx="23">
                  <c:v>44713</c:v>
                </c:pt>
                <c:pt idx="24">
                  <c:v>44805</c:v>
                </c:pt>
                <c:pt idx="25">
                  <c:v>44896</c:v>
                </c:pt>
                <c:pt idx="26">
                  <c:v>44986</c:v>
                </c:pt>
              </c:numCache>
            </c:numRef>
          </c:cat>
          <c:val>
            <c:numRef>
              <c:f>Base_Trimestrielle!$CH$140:$CH$166</c:f>
              <c:numCache>
                <c:formatCode>General</c:formatCode>
                <c:ptCount val="27"/>
                <c:pt idx="0">
                  <c:v>20260</c:v>
                </c:pt>
                <c:pt idx="1">
                  <c:v>21490</c:v>
                </c:pt>
                <c:pt idx="2" formatCode="0">
                  <c:v>21898.215029778097</c:v>
                </c:pt>
                <c:pt idx="3" formatCode="0">
                  <c:v>22770.928325290435</c:v>
                </c:pt>
                <c:pt idx="4">
                  <c:v>20096</c:v>
                </c:pt>
                <c:pt idx="5">
                  <c:v>20633</c:v>
                </c:pt>
                <c:pt idx="6">
                  <c:v>19725</c:v>
                </c:pt>
                <c:pt idx="7">
                  <c:v>19169</c:v>
                </c:pt>
                <c:pt idx="8">
                  <c:v>20552</c:v>
                </c:pt>
                <c:pt idx="9">
                  <c:v>22548</c:v>
                </c:pt>
                <c:pt idx="10">
                  <c:v>22660</c:v>
                </c:pt>
                <c:pt idx="11">
                  <c:v>21208</c:v>
                </c:pt>
                <c:pt idx="12">
                  <c:v>21681</c:v>
                </c:pt>
                <c:pt idx="13">
                  <c:v>20021</c:v>
                </c:pt>
                <c:pt idx="14">
                  <c:v>17940</c:v>
                </c:pt>
                <c:pt idx="15">
                  <c:v>2454</c:v>
                </c:pt>
                <c:pt idx="16">
                  <c:v>2391</c:v>
                </c:pt>
                <c:pt idx="17">
                  <c:v>20021</c:v>
                </c:pt>
                <c:pt idx="18">
                  <c:v>7767</c:v>
                </c:pt>
                <c:pt idx="19">
                  <c:v>8343</c:v>
                </c:pt>
                <c:pt idx="20">
                  <c:v>11261</c:v>
                </c:pt>
                <c:pt idx="21">
                  <c:v>11994</c:v>
                </c:pt>
                <c:pt idx="22">
                  <c:v>11706</c:v>
                </c:pt>
                <c:pt idx="23">
                  <c:v>12615</c:v>
                </c:pt>
                <c:pt idx="24">
                  <c:v>11803</c:v>
                </c:pt>
                <c:pt idx="25">
                  <c:v>13603</c:v>
                </c:pt>
                <c:pt idx="26">
                  <c:v>17606</c:v>
                </c:pt>
              </c:numCache>
            </c:numRef>
          </c:val>
          <c:smooth val="0"/>
          <c:extLst>
            <c:ext xmlns:c16="http://schemas.microsoft.com/office/drawing/2014/chart" uri="{C3380CC4-5D6E-409C-BE32-E72D297353CC}">
              <c16:uniqueId val="{00000000-0EED-49CC-A306-6951F4FFD848}"/>
            </c:ext>
          </c:extLst>
        </c:ser>
        <c:ser>
          <c:idx val="1"/>
          <c:order val="1"/>
          <c:tx>
            <c:strRef>
              <c:f>Base_Trimestrielle!$CK$73</c:f>
              <c:strCache>
                <c:ptCount val="1"/>
                <c:pt idx="0">
                  <c:v>Total européens</c:v>
                </c:pt>
              </c:strCache>
            </c:strRef>
          </c:tx>
          <c:marker>
            <c:symbol val="none"/>
          </c:marker>
          <c:cat>
            <c:numRef>
              <c:f>Base_Trimestrielle!$B$140:$B$166</c:f>
              <c:numCache>
                <c:formatCode>mm\ yyyy</c:formatCode>
                <c:ptCount val="27"/>
                <c:pt idx="0">
                  <c:v>42614</c:v>
                </c:pt>
                <c:pt idx="1">
                  <c:v>42705</c:v>
                </c:pt>
                <c:pt idx="2">
                  <c:v>42795</c:v>
                </c:pt>
                <c:pt idx="3">
                  <c:v>42887</c:v>
                </c:pt>
                <c:pt idx="4">
                  <c:v>42979</c:v>
                </c:pt>
                <c:pt idx="5">
                  <c:v>43070</c:v>
                </c:pt>
                <c:pt idx="6">
                  <c:v>43160</c:v>
                </c:pt>
                <c:pt idx="7">
                  <c:v>43252</c:v>
                </c:pt>
                <c:pt idx="8">
                  <c:v>43344</c:v>
                </c:pt>
                <c:pt idx="9">
                  <c:v>43435</c:v>
                </c:pt>
                <c:pt idx="10">
                  <c:v>43525</c:v>
                </c:pt>
                <c:pt idx="11">
                  <c:v>43617</c:v>
                </c:pt>
                <c:pt idx="12">
                  <c:v>43709</c:v>
                </c:pt>
                <c:pt idx="13">
                  <c:v>43800</c:v>
                </c:pt>
                <c:pt idx="14">
                  <c:v>43891</c:v>
                </c:pt>
                <c:pt idx="15">
                  <c:v>43983</c:v>
                </c:pt>
                <c:pt idx="16">
                  <c:v>44075</c:v>
                </c:pt>
                <c:pt idx="17">
                  <c:v>44166</c:v>
                </c:pt>
                <c:pt idx="18">
                  <c:v>44256</c:v>
                </c:pt>
                <c:pt idx="19">
                  <c:v>44348</c:v>
                </c:pt>
                <c:pt idx="20">
                  <c:v>44440</c:v>
                </c:pt>
                <c:pt idx="21">
                  <c:v>44531</c:v>
                </c:pt>
                <c:pt idx="22">
                  <c:v>44621</c:v>
                </c:pt>
                <c:pt idx="23">
                  <c:v>44713</c:v>
                </c:pt>
                <c:pt idx="24">
                  <c:v>44805</c:v>
                </c:pt>
                <c:pt idx="25">
                  <c:v>44896</c:v>
                </c:pt>
                <c:pt idx="26">
                  <c:v>44986</c:v>
                </c:pt>
              </c:numCache>
            </c:numRef>
          </c:cat>
          <c:val>
            <c:numRef>
              <c:f>Base_Trimestrielle!$CK$140:$CK$166</c:f>
              <c:numCache>
                <c:formatCode>General</c:formatCode>
                <c:ptCount val="27"/>
                <c:pt idx="0">
                  <c:v>10168</c:v>
                </c:pt>
                <c:pt idx="1">
                  <c:v>11096</c:v>
                </c:pt>
                <c:pt idx="2" formatCode="0">
                  <c:v>11550.992403486191</c:v>
                </c:pt>
                <c:pt idx="3" formatCode="0">
                  <c:v>12314.927695531784</c:v>
                </c:pt>
                <c:pt idx="4">
                  <c:v>8574</c:v>
                </c:pt>
                <c:pt idx="5">
                  <c:v>12063</c:v>
                </c:pt>
                <c:pt idx="6">
                  <c:v>11895</c:v>
                </c:pt>
                <c:pt idx="7">
                  <c:v>9036</c:v>
                </c:pt>
                <c:pt idx="8">
                  <c:v>8141</c:v>
                </c:pt>
                <c:pt idx="9">
                  <c:v>10076</c:v>
                </c:pt>
                <c:pt idx="10">
                  <c:v>9934</c:v>
                </c:pt>
                <c:pt idx="11">
                  <c:v>7149</c:v>
                </c:pt>
                <c:pt idx="12">
                  <c:v>7157</c:v>
                </c:pt>
                <c:pt idx="13">
                  <c:v>7637</c:v>
                </c:pt>
                <c:pt idx="14">
                  <c:v>9926</c:v>
                </c:pt>
                <c:pt idx="15">
                  <c:v>1079</c:v>
                </c:pt>
                <c:pt idx="16">
                  <c:v>1615</c:v>
                </c:pt>
                <c:pt idx="17">
                  <c:v>7637</c:v>
                </c:pt>
                <c:pt idx="18">
                  <c:v>5268</c:v>
                </c:pt>
                <c:pt idx="19">
                  <c:v>5200</c:v>
                </c:pt>
                <c:pt idx="20">
                  <c:v>6617</c:v>
                </c:pt>
                <c:pt idx="21">
                  <c:v>7434</c:v>
                </c:pt>
                <c:pt idx="22">
                  <c:v>7780</c:v>
                </c:pt>
                <c:pt idx="23">
                  <c:v>7297</c:v>
                </c:pt>
                <c:pt idx="24">
                  <c:v>6612</c:v>
                </c:pt>
                <c:pt idx="25">
                  <c:v>8341</c:v>
                </c:pt>
                <c:pt idx="26">
                  <c:v>7949</c:v>
                </c:pt>
              </c:numCache>
            </c:numRef>
          </c:val>
          <c:smooth val="0"/>
          <c:extLst>
            <c:ext xmlns:c16="http://schemas.microsoft.com/office/drawing/2014/chart" uri="{C3380CC4-5D6E-409C-BE32-E72D297353CC}">
              <c16:uniqueId val="{00000001-0EED-49CC-A306-6951F4FFD848}"/>
            </c:ext>
          </c:extLst>
        </c:ser>
        <c:dLbls>
          <c:showLegendKey val="0"/>
          <c:showVal val="0"/>
          <c:showCatName val="0"/>
          <c:showSerName val="0"/>
          <c:showPercent val="0"/>
          <c:showBubbleSize val="0"/>
        </c:dLbls>
        <c:marker val="1"/>
        <c:smooth val="0"/>
        <c:axId val="151819008"/>
        <c:axId val="151820544"/>
      </c:lineChart>
      <c:lineChart>
        <c:grouping val="standard"/>
        <c:varyColors val="0"/>
        <c:ser>
          <c:idx val="2"/>
          <c:order val="2"/>
          <c:tx>
            <c:strRef>
              <c:f>Base_Trimestrielle!$CR$73</c:f>
              <c:strCache>
                <c:ptCount val="1"/>
                <c:pt idx="0">
                  <c:v>Burkinabè résidents au Burkina</c:v>
                </c:pt>
              </c:strCache>
            </c:strRef>
          </c:tx>
          <c:marker>
            <c:symbol val="none"/>
          </c:marker>
          <c:cat>
            <c:numRef>
              <c:f>Base_Trimestrielle!$B$140:$B$166</c:f>
              <c:numCache>
                <c:formatCode>mm\ yyyy</c:formatCode>
                <c:ptCount val="27"/>
                <c:pt idx="0">
                  <c:v>42614</c:v>
                </c:pt>
                <c:pt idx="1">
                  <c:v>42705</c:v>
                </c:pt>
                <c:pt idx="2">
                  <c:v>42795</c:v>
                </c:pt>
                <c:pt idx="3">
                  <c:v>42887</c:v>
                </c:pt>
                <c:pt idx="4">
                  <c:v>42979</c:v>
                </c:pt>
                <c:pt idx="5">
                  <c:v>43070</c:v>
                </c:pt>
                <c:pt idx="6">
                  <c:v>43160</c:v>
                </c:pt>
                <c:pt idx="7">
                  <c:v>43252</c:v>
                </c:pt>
                <c:pt idx="8">
                  <c:v>43344</c:v>
                </c:pt>
                <c:pt idx="9">
                  <c:v>43435</c:v>
                </c:pt>
                <c:pt idx="10">
                  <c:v>43525</c:v>
                </c:pt>
                <c:pt idx="11">
                  <c:v>43617</c:v>
                </c:pt>
                <c:pt idx="12">
                  <c:v>43709</c:v>
                </c:pt>
                <c:pt idx="13">
                  <c:v>43800</c:v>
                </c:pt>
                <c:pt idx="14">
                  <c:v>43891</c:v>
                </c:pt>
                <c:pt idx="15">
                  <c:v>43983</c:v>
                </c:pt>
                <c:pt idx="16">
                  <c:v>44075</c:v>
                </c:pt>
                <c:pt idx="17">
                  <c:v>44166</c:v>
                </c:pt>
                <c:pt idx="18">
                  <c:v>44256</c:v>
                </c:pt>
                <c:pt idx="19">
                  <c:v>44348</c:v>
                </c:pt>
                <c:pt idx="20">
                  <c:v>44440</c:v>
                </c:pt>
                <c:pt idx="21">
                  <c:v>44531</c:v>
                </c:pt>
                <c:pt idx="22">
                  <c:v>44621</c:v>
                </c:pt>
                <c:pt idx="23">
                  <c:v>44713</c:v>
                </c:pt>
                <c:pt idx="24">
                  <c:v>44805</c:v>
                </c:pt>
                <c:pt idx="25">
                  <c:v>44896</c:v>
                </c:pt>
                <c:pt idx="26">
                  <c:v>44986</c:v>
                </c:pt>
              </c:numCache>
            </c:numRef>
          </c:cat>
          <c:val>
            <c:numRef>
              <c:f>Base_Trimestrielle!$CR$140:$CR$166</c:f>
              <c:numCache>
                <c:formatCode>General</c:formatCode>
                <c:ptCount val="27"/>
                <c:pt idx="0">
                  <c:v>81655</c:v>
                </c:pt>
                <c:pt idx="1">
                  <c:v>87363</c:v>
                </c:pt>
                <c:pt idx="2" formatCode="0">
                  <c:v>88604.412270210945</c:v>
                </c:pt>
                <c:pt idx="3" formatCode="0">
                  <c:v>92330.833910576897</c:v>
                </c:pt>
                <c:pt idx="4">
                  <c:v>94336</c:v>
                </c:pt>
                <c:pt idx="5">
                  <c:v>95983</c:v>
                </c:pt>
                <c:pt idx="6">
                  <c:v>89836</c:v>
                </c:pt>
                <c:pt idx="7">
                  <c:v>95926</c:v>
                </c:pt>
                <c:pt idx="8">
                  <c:v>100878</c:v>
                </c:pt>
                <c:pt idx="9">
                  <c:v>105278</c:v>
                </c:pt>
                <c:pt idx="10">
                  <c:v>103691</c:v>
                </c:pt>
                <c:pt idx="11">
                  <c:v>106214</c:v>
                </c:pt>
                <c:pt idx="12">
                  <c:v>104170</c:v>
                </c:pt>
                <c:pt idx="13">
                  <c:v>106076</c:v>
                </c:pt>
                <c:pt idx="14">
                  <c:v>102294</c:v>
                </c:pt>
                <c:pt idx="15">
                  <c:v>37657</c:v>
                </c:pt>
                <c:pt idx="16">
                  <c:v>101253</c:v>
                </c:pt>
                <c:pt idx="17">
                  <c:v>106076</c:v>
                </c:pt>
                <c:pt idx="18">
                  <c:v>100835</c:v>
                </c:pt>
                <c:pt idx="19">
                  <c:v>112845</c:v>
                </c:pt>
                <c:pt idx="20">
                  <c:v>108395</c:v>
                </c:pt>
                <c:pt idx="21">
                  <c:v>109709</c:v>
                </c:pt>
                <c:pt idx="22">
                  <c:v>96579</c:v>
                </c:pt>
                <c:pt idx="23">
                  <c:v>97894</c:v>
                </c:pt>
                <c:pt idx="24">
                  <c:v>98696</c:v>
                </c:pt>
                <c:pt idx="25">
                  <c:v>103717</c:v>
                </c:pt>
                <c:pt idx="26">
                  <c:v>98110</c:v>
                </c:pt>
              </c:numCache>
            </c:numRef>
          </c:val>
          <c:smooth val="0"/>
          <c:extLst>
            <c:ext xmlns:c16="http://schemas.microsoft.com/office/drawing/2014/chart" uri="{C3380CC4-5D6E-409C-BE32-E72D297353CC}">
              <c16:uniqueId val="{00000002-0EED-49CC-A306-6951F4FFD848}"/>
            </c:ext>
          </c:extLst>
        </c:ser>
        <c:dLbls>
          <c:showLegendKey val="0"/>
          <c:showVal val="0"/>
          <c:showCatName val="0"/>
          <c:showSerName val="0"/>
          <c:showPercent val="0"/>
          <c:showBubbleSize val="0"/>
        </c:dLbls>
        <c:marker val="1"/>
        <c:smooth val="0"/>
        <c:axId val="151841024"/>
        <c:axId val="151839104"/>
      </c:lineChart>
      <c:dateAx>
        <c:axId val="151819008"/>
        <c:scaling>
          <c:orientation val="minMax"/>
        </c:scaling>
        <c:delete val="0"/>
        <c:axPos val="b"/>
        <c:numFmt formatCode="mm\ yyyy" sourceLinked="1"/>
        <c:majorTickMark val="out"/>
        <c:minorTickMark val="none"/>
        <c:tickLblPos val="nextTo"/>
        <c:txPr>
          <a:bodyPr rot="-2700000"/>
          <a:lstStyle/>
          <a:p>
            <a:pPr>
              <a:defRPr/>
            </a:pPr>
            <a:endParaRPr lang="fr-BF"/>
          </a:p>
        </c:txPr>
        <c:crossAx val="151820544"/>
        <c:crosses val="autoZero"/>
        <c:auto val="1"/>
        <c:lblOffset val="100"/>
        <c:baseTimeUnit val="months"/>
        <c:majorUnit val="3"/>
        <c:majorTimeUnit val="months"/>
      </c:dateAx>
      <c:valAx>
        <c:axId val="151820544"/>
        <c:scaling>
          <c:orientation val="minMax"/>
        </c:scaling>
        <c:delete val="0"/>
        <c:axPos val="l"/>
        <c:majorGridlines>
          <c:spPr>
            <a:ln>
              <a:prstDash val="dash"/>
            </a:ln>
          </c:spPr>
        </c:majorGridlines>
        <c:numFmt formatCode="General" sourceLinked="1"/>
        <c:majorTickMark val="out"/>
        <c:minorTickMark val="none"/>
        <c:tickLblPos val="nextTo"/>
        <c:crossAx val="151819008"/>
        <c:crosses val="autoZero"/>
        <c:crossBetween val="between"/>
        <c:dispUnits>
          <c:builtInUnit val="thousands"/>
          <c:dispUnitsLbl/>
        </c:dispUnits>
      </c:valAx>
      <c:valAx>
        <c:axId val="151839104"/>
        <c:scaling>
          <c:orientation val="minMax"/>
        </c:scaling>
        <c:delete val="0"/>
        <c:axPos val="r"/>
        <c:numFmt formatCode="General" sourceLinked="1"/>
        <c:majorTickMark val="out"/>
        <c:minorTickMark val="none"/>
        <c:tickLblPos val="nextTo"/>
        <c:crossAx val="151841024"/>
        <c:crosses val="max"/>
        <c:crossBetween val="between"/>
        <c:dispUnits>
          <c:builtInUnit val="thousands"/>
          <c:dispUnitsLbl/>
        </c:dispUnits>
      </c:valAx>
      <c:dateAx>
        <c:axId val="151841024"/>
        <c:scaling>
          <c:orientation val="minMax"/>
        </c:scaling>
        <c:delete val="1"/>
        <c:axPos val="b"/>
        <c:numFmt formatCode="mm\ yyyy" sourceLinked="1"/>
        <c:majorTickMark val="out"/>
        <c:minorTickMark val="none"/>
        <c:tickLblPos val="nextTo"/>
        <c:crossAx val="151839104"/>
        <c:crosses val="autoZero"/>
        <c:auto val="1"/>
        <c:lblOffset val="100"/>
        <c:baseTimeUnit val="months"/>
      </c:dateAx>
    </c:plotArea>
    <c:legend>
      <c:legendPos val="b"/>
      <c:overlay val="0"/>
    </c:legend>
    <c:plotVisOnly val="1"/>
    <c:dispBlanksAs val="gap"/>
    <c:showDLblsOverMax val="0"/>
  </c:chart>
  <c:spPr>
    <a:ln>
      <a:noFill/>
    </a:ln>
  </c:spPr>
  <c:txPr>
    <a:bodyPr/>
    <a:lstStyle/>
    <a:p>
      <a:pPr>
        <a:defRPr sz="1000"/>
      </a:pPr>
      <a:endParaRPr lang="fr-BF"/>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Evolution des importations et</a:t>
            </a:r>
            <a:r>
              <a:rPr lang="fr-FR" sz="1000" baseline="0"/>
              <a:t> des exportations</a:t>
            </a:r>
            <a:endParaRPr lang="fr-FR" sz="1000"/>
          </a:p>
        </c:rich>
      </c:tx>
      <c:overlay val="0"/>
    </c:title>
    <c:autoTitleDeleted val="0"/>
    <c:plotArea>
      <c:layout>
        <c:manualLayout>
          <c:layoutTarget val="inner"/>
          <c:xMode val="edge"/>
          <c:yMode val="edge"/>
          <c:x val="9.6248715798491993E-2"/>
          <c:y val="0.155924108659345"/>
          <c:w val="0.88346543818952095"/>
          <c:h val="0.45649431834528681"/>
        </c:manualLayout>
      </c:layout>
      <c:lineChart>
        <c:grouping val="standard"/>
        <c:varyColors val="0"/>
        <c:ser>
          <c:idx val="2"/>
          <c:order val="0"/>
          <c:tx>
            <c:strRef>
              <c:f>Base_Trimestrielle!$DE$73</c:f>
              <c:strCache>
                <c:ptCount val="1"/>
                <c:pt idx="0">
                  <c:v>Exportations FAB (en milliards FCFA)</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Base_Trimestrielle!$DE$143:$DE$169</c:f>
              <c:numCache>
                <c:formatCode>0.0</c:formatCode>
                <c:ptCount val="27"/>
                <c:pt idx="0">
                  <c:v>444.22918042987999</c:v>
                </c:pt>
                <c:pt idx="1">
                  <c:v>310.08487329122994</c:v>
                </c:pt>
                <c:pt idx="2">
                  <c:v>461.48105043045001</c:v>
                </c:pt>
                <c:pt idx="3">
                  <c:v>602</c:v>
                </c:pt>
                <c:pt idx="4">
                  <c:v>438.05917716252003</c:v>
                </c:pt>
                <c:pt idx="5">
                  <c:v>315.10000000000002</c:v>
                </c:pt>
                <c:pt idx="6" formatCode="General">
                  <c:v>442.57047935554999</c:v>
                </c:pt>
                <c:pt idx="7" formatCode="General">
                  <c:v>547.38578048700003</c:v>
                </c:pt>
                <c:pt idx="8" formatCode="General">
                  <c:v>424.00195839499997</c:v>
                </c:pt>
                <c:pt idx="9" formatCode="General">
                  <c:v>401.19193285799997</c:v>
                </c:pt>
                <c:pt idx="10" formatCode="General">
                  <c:v>523.762109474</c:v>
                </c:pt>
                <c:pt idx="11" formatCode="General">
                  <c:v>577.74371242699999</c:v>
                </c:pt>
                <c:pt idx="12" formatCode="General">
                  <c:v>599.01129101599997</c:v>
                </c:pt>
                <c:pt idx="13" formatCode="General">
                  <c:v>612.31807940800002</c:v>
                </c:pt>
                <c:pt idx="14" formatCode="General">
                  <c:v>718.118584629</c:v>
                </c:pt>
                <c:pt idx="15" formatCode="General">
                  <c:v>748.87779127600004</c:v>
                </c:pt>
                <c:pt idx="16" formatCode="General">
                  <c:v>705.03057560800005</c:v>
                </c:pt>
                <c:pt idx="17" formatCode="General">
                  <c:v>615.1</c:v>
                </c:pt>
                <c:pt idx="18" formatCode="General">
                  <c:v>725.7</c:v>
                </c:pt>
                <c:pt idx="19">
                  <c:v>791.398063385</c:v>
                </c:pt>
                <c:pt idx="20" formatCode="General">
                  <c:v>780.8</c:v>
                </c:pt>
                <c:pt idx="21">
                  <c:v>521.29219374499996</c:v>
                </c:pt>
                <c:pt idx="22">
                  <c:v>748.35125717899996</c:v>
                </c:pt>
                <c:pt idx="23">
                  <c:v>693.80107024899996</c:v>
                </c:pt>
                <c:pt idx="24">
                  <c:v>686.813883519</c:v>
                </c:pt>
                <c:pt idx="25">
                  <c:v>624.37754000300004</c:v>
                </c:pt>
                <c:pt idx="26">
                  <c:v>699.56294215200001</c:v>
                </c:pt>
              </c:numCache>
            </c:numRef>
          </c:val>
          <c:smooth val="0"/>
          <c:extLst>
            <c:ext xmlns:c16="http://schemas.microsoft.com/office/drawing/2014/chart" uri="{C3380CC4-5D6E-409C-BE32-E72D297353CC}">
              <c16:uniqueId val="{00000000-4908-4D03-A3AA-DFD362D55AA1}"/>
            </c:ext>
          </c:extLst>
        </c:ser>
        <c:ser>
          <c:idx val="3"/>
          <c:order val="1"/>
          <c:tx>
            <c:strRef>
              <c:f>Base_Trimestrielle!$DH$73</c:f>
              <c:strCache>
                <c:ptCount val="1"/>
                <c:pt idx="0">
                  <c:v>Importations CAF (en milliards FCFA)</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Base_Trimestrielle!$DH$143:$DH$169</c:f>
              <c:numCache>
                <c:formatCode>0.0</c:formatCode>
                <c:ptCount val="27"/>
                <c:pt idx="0">
                  <c:v>540.89732213145999</c:v>
                </c:pt>
                <c:pt idx="1">
                  <c:v>583.72986863806011</c:v>
                </c:pt>
                <c:pt idx="2">
                  <c:v>596.4</c:v>
                </c:pt>
                <c:pt idx="3">
                  <c:v>543.79999999999995</c:v>
                </c:pt>
                <c:pt idx="4">
                  <c:v>559.1</c:v>
                </c:pt>
                <c:pt idx="5">
                  <c:v>580.5</c:v>
                </c:pt>
                <c:pt idx="6" formatCode="General">
                  <c:v>665.01257364836999</c:v>
                </c:pt>
                <c:pt idx="7" formatCode="General">
                  <c:v>585.83825790499998</c:v>
                </c:pt>
                <c:pt idx="8" formatCode="General">
                  <c:v>593.44132361100003</c:v>
                </c:pt>
                <c:pt idx="9" formatCode="General">
                  <c:v>573.87954052700002</c:v>
                </c:pt>
                <c:pt idx="10" formatCode="General">
                  <c:v>651.01221416717794</c:v>
                </c:pt>
                <c:pt idx="11" formatCode="General">
                  <c:v>616.40448347329698</c:v>
                </c:pt>
                <c:pt idx="12" formatCode="General">
                  <c:v>561.16539316246894</c:v>
                </c:pt>
                <c:pt idx="13" formatCode="General">
                  <c:v>542.42214986937097</c:v>
                </c:pt>
                <c:pt idx="14" formatCode="General">
                  <c:v>650.17078857766398</c:v>
                </c:pt>
                <c:pt idx="15" formatCode="General">
                  <c:v>548.03113596415506</c:v>
                </c:pt>
                <c:pt idx="16" formatCode="General">
                  <c:v>605.67457456494799</c:v>
                </c:pt>
                <c:pt idx="17" formatCode="General">
                  <c:v>628</c:v>
                </c:pt>
                <c:pt idx="18" formatCode="General">
                  <c:v>782.8</c:v>
                </c:pt>
                <c:pt idx="19">
                  <c:v>769.53946962325006</c:v>
                </c:pt>
                <c:pt idx="20">
                  <c:v>877.6</c:v>
                </c:pt>
                <c:pt idx="21">
                  <c:v>925.67333578950002</c:v>
                </c:pt>
                <c:pt idx="22">
                  <c:v>949.471688352</c:v>
                </c:pt>
                <c:pt idx="23">
                  <c:v>864.46288067037494</c:v>
                </c:pt>
                <c:pt idx="24">
                  <c:v>873.37362322499996</c:v>
                </c:pt>
                <c:pt idx="25">
                  <c:v>867.56550407422799</c:v>
                </c:pt>
                <c:pt idx="26">
                  <c:v>961.39779235289097</c:v>
                </c:pt>
              </c:numCache>
            </c:numRef>
          </c:val>
          <c:smooth val="0"/>
          <c:extLst>
            <c:ext xmlns:c16="http://schemas.microsoft.com/office/drawing/2014/chart" uri="{C3380CC4-5D6E-409C-BE32-E72D297353CC}">
              <c16:uniqueId val="{00000001-4908-4D03-A3AA-DFD362D55AA1}"/>
            </c:ext>
          </c:extLst>
        </c:ser>
        <c:dLbls>
          <c:showLegendKey val="0"/>
          <c:showVal val="0"/>
          <c:showCatName val="0"/>
          <c:showSerName val="0"/>
          <c:showPercent val="0"/>
          <c:showBubbleSize val="0"/>
        </c:dLbls>
        <c:smooth val="0"/>
        <c:axId val="151919616"/>
        <c:axId val="151929600"/>
      </c:lineChart>
      <c:dateAx>
        <c:axId val="151919616"/>
        <c:scaling>
          <c:orientation val="minMax"/>
        </c:scaling>
        <c:delete val="0"/>
        <c:axPos val="b"/>
        <c:numFmt formatCode="mm\ yyyy" sourceLinked="1"/>
        <c:majorTickMark val="none"/>
        <c:minorTickMark val="none"/>
        <c:tickLblPos val="nextTo"/>
        <c:txPr>
          <a:bodyPr rot="-2700000" vert="horz"/>
          <a:lstStyle/>
          <a:p>
            <a:pPr>
              <a:defRPr/>
            </a:pPr>
            <a:endParaRPr lang="fr-BF"/>
          </a:p>
        </c:txPr>
        <c:crossAx val="151929600"/>
        <c:crosses val="autoZero"/>
        <c:auto val="1"/>
        <c:lblOffset val="100"/>
        <c:baseTimeUnit val="months"/>
        <c:majorUnit val="3"/>
        <c:majorTimeUnit val="months"/>
      </c:dateAx>
      <c:valAx>
        <c:axId val="151929600"/>
        <c:scaling>
          <c:orientation val="minMax"/>
          <c:max val="950"/>
          <c:min val="300"/>
        </c:scaling>
        <c:delete val="0"/>
        <c:axPos val="l"/>
        <c:majorGridlines>
          <c:spPr>
            <a:ln>
              <a:prstDash val="dash"/>
            </a:ln>
          </c:spPr>
        </c:majorGridlines>
        <c:title>
          <c:tx>
            <c:rich>
              <a:bodyPr/>
              <a:lstStyle/>
              <a:p>
                <a:pPr>
                  <a:defRPr/>
                </a:pPr>
                <a:r>
                  <a:rPr lang="fr-FR"/>
                  <a:t>Milliards Fcfa</a:t>
                </a:r>
              </a:p>
            </c:rich>
          </c:tx>
          <c:overlay val="0"/>
        </c:title>
        <c:numFmt formatCode="#,##0" sourceLinked="0"/>
        <c:majorTickMark val="none"/>
        <c:minorTickMark val="none"/>
        <c:tickLblPos val="nextTo"/>
        <c:crossAx val="151919616"/>
        <c:crosses val="autoZero"/>
        <c:crossBetween val="between"/>
        <c:majorUnit val="250"/>
      </c:valAx>
    </c:plotArea>
    <c:legend>
      <c:legendPos val="b"/>
      <c:layout>
        <c:manualLayout>
          <c:xMode val="edge"/>
          <c:yMode val="edge"/>
          <c:x val="0.11911305692597562"/>
          <c:y val="0.89690445340983282"/>
          <c:w val="0.76177374093798444"/>
          <c:h val="0.10309554659017472"/>
        </c:manualLayout>
      </c:layout>
      <c:overlay val="0"/>
    </c:legend>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b="1" i="0" baseline="0">
                <a:effectLst/>
              </a:rPr>
              <a:t>Balance commerciale (en milliards) et taux de couverture (en %)</a:t>
            </a:r>
            <a:endParaRPr lang="fr-FR" sz="1000">
              <a:effectLst/>
            </a:endParaRPr>
          </a:p>
        </c:rich>
      </c:tx>
      <c:overlay val="0"/>
    </c:title>
    <c:autoTitleDeleted val="0"/>
    <c:plotArea>
      <c:layout>
        <c:manualLayout>
          <c:layoutTarget val="inner"/>
          <c:xMode val="edge"/>
          <c:yMode val="edge"/>
          <c:x val="0.12534735065368902"/>
          <c:y val="0.19601135498931074"/>
          <c:w val="0.83330575117370964"/>
          <c:h val="0.46674166666666667"/>
        </c:manualLayout>
      </c:layout>
      <c:lineChart>
        <c:grouping val="standard"/>
        <c:varyColors val="0"/>
        <c:ser>
          <c:idx val="2"/>
          <c:order val="0"/>
          <c:tx>
            <c:strRef>
              <c:f>Base_Trimestrielle!$DM$73</c:f>
              <c:strCache>
                <c:ptCount val="1"/>
                <c:pt idx="0">
                  <c:v>Balance commerciale (en milliards FCFA)</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Base_Trimestrielle!$DM$143:$DM$169</c:f>
              <c:numCache>
                <c:formatCode>0.0</c:formatCode>
                <c:ptCount val="27"/>
                <c:pt idx="0">
                  <c:v>-96.668141701579998</c:v>
                </c:pt>
                <c:pt idx="1">
                  <c:v>-273.64499534683017</c:v>
                </c:pt>
                <c:pt idx="2">
                  <c:v>-134.91894956954997</c:v>
                </c:pt>
                <c:pt idx="3">
                  <c:v>58.200000000000045</c:v>
                </c:pt>
                <c:pt idx="4">
                  <c:v>-121.04082283747999</c:v>
                </c:pt>
                <c:pt idx="5">
                  <c:v>-265.39999999999998</c:v>
                </c:pt>
                <c:pt idx="6" formatCode="General">
                  <c:v>-222.44209429282</c:v>
                </c:pt>
                <c:pt idx="7" formatCode="General">
                  <c:v>-38.452477417999944</c:v>
                </c:pt>
                <c:pt idx="8" formatCode="General">
                  <c:v>-169.43936521600006</c:v>
                </c:pt>
                <c:pt idx="9" formatCode="General">
                  <c:v>-172.68760766900004</c:v>
                </c:pt>
                <c:pt idx="10" formatCode="General">
                  <c:v>-127.25010469317797</c:v>
                </c:pt>
                <c:pt idx="11" formatCode="General">
                  <c:v>-38.660771046297</c:v>
                </c:pt>
                <c:pt idx="12" formatCode="General">
                  <c:v>37.845897853531007</c:v>
                </c:pt>
                <c:pt idx="13" formatCode="General">
                  <c:v>69.895929538629034</c:v>
                </c:pt>
                <c:pt idx="14" formatCode="General">
                  <c:v>67.947796051336056</c:v>
                </c:pt>
                <c:pt idx="15" formatCode="General">
                  <c:v>200.84665531184498</c:v>
                </c:pt>
                <c:pt idx="16" formatCode="General">
                  <c:v>99.356001043052004</c:v>
                </c:pt>
                <c:pt idx="17" formatCode="General">
                  <c:v>-12.9</c:v>
                </c:pt>
                <c:pt idx="18" formatCode="General">
                  <c:v>-57.1</c:v>
                </c:pt>
                <c:pt idx="19">
                  <c:v>21.858593761750001</c:v>
                </c:pt>
                <c:pt idx="20">
                  <c:v>-96.8</c:v>
                </c:pt>
                <c:pt idx="21">
                  <c:v>-404.3811420445</c:v>
                </c:pt>
                <c:pt idx="22">
                  <c:v>-201.12043117299999</c:v>
                </c:pt>
                <c:pt idx="23">
                  <c:v>-170.66181042137501</c:v>
                </c:pt>
                <c:pt idx="24">
                  <c:v>-186.55973970599999</c:v>
                </c:pt>
                <c:pt idx="25">
                  <c:v>-243.18796407122804</c:v>
                </c:pt>
                <c:pt idx="26">
                  <c:v>-261.83485020089097</c:v>
                </c:pt>
              </c:numCache>
            </c:numRef>
          </c:val>
          <c:smooth val="0"/>
          <c:extLst>
            <c:ext xmlns:c16="http://schemas.microsoft.com/office/drawing/2014/chart" uri="{C3380CC4-5D6E-409C-BE32-E72D297353CC}">
              <c16:uniqueId val="{00000000-F81E-454F-8285-C5A130F2932F}"/>
            </c:ext>
          </c:extLst>
        </c:ser>
        <c:ser>
          <c:idx val="3"/>
          <c:order val="1"/>
          <c:tx>
            <c:strRef>
              <c:f>Base_Trimestrielle!$DN$73</c:f>
              <c:strCache>
                <c:ptCount val="1"/>
                <c:pt idx="0">
                  <c:v>Taux de couverture (%)</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Base_Trimestrielle!$DN$143:$DN$169</c:f>
              <c:numCache>
                <c:formatCode>0.0</c:formatCode>
                <c:ptCount val="27"/>
                <c:pt idx="0">
                  <c:v>82.128190000895259</c:v>
                </c:pt>
                <c:pt idx="1">
                  <c:v>53.121296330905608</c:v>
                </c:pt>
                <c:pt idx="2">
                  <c:v>77.377775055407454</c:v>
                </c:pt>
                <c:pt idx="3">
                  <c:v>110.70246414122839</c:v>
                </c:pt>
                <c:pt idx="4">
                  <c:v>78.350773951443401</c:v>
                </c:pt>
                <c:pt idx="5">
                  <c:v>54.280792420327309</c:v>
                </c:pt>
                <c:pt idx="6" formatCode="General">
                  <c:v>66.550693459453626</c:v>
                </c:pt>
                <c:pt idx="7" formatCode="General">
                  <c:v>93.436332144727317</c:v>
                </c:pt>
                <c:pt idx="8" formatCode="General">
                  <c:v>71.448000253001041</c:v>
                </c:pt>
                <c:pt idx="9" formatCode="General">
                  <c:v>69.908735984834195</c:v>
                </c:pt>
                <c:pt idx="10" formatCode="General">
                  <c:v>80.453499654232218</c:v>
                </c:pt>
                <c:pt idx="11" formatCode="General">
                  <c:v>93.728019168768455</c:v>
                </c:pt>
                <c:pt idx="12" formatCode="General">
                  <c:v>106.74416104675468</c:v>
                </c:pt>
                <c:pt idx="13" formatCode="General">
                  <c:v>112.88589146948769</c:v>
                </c:pt>
                <c:pt idx="14" formatCode="General">
                  <c:v>110.45076113000724</c:v>
                </c:pt>
                <c:pt idx="15" formatCode="General">
                  <c:v>136.64876721985769</c:v>
                </c:pt>
                <c:pt idx="16" formatCode="General">
                  <c:v>116.40418885247391</c:v>
                </c:pt>
                <c:pt idx="17" formatCode="General">
                  <c:v>97.9</c:v>
                </c:pt>
                <c:pt idx="18" formatCode="General">
                  <c:v>92.7</c:v>
                </c:pt>
                <c:pt idx="19">
                  <c:v>102.84047727564273</c:v>
                </c:pt>
                <c:pt idx="20">
                  <c:v>89</c:v>
                </c:pt>
                <c:pt idx="21">
                  <c:v>56.314919485111204</c:v>
                </c:pt>
                <c:pt idx="22">
                  <c:v>78.817648420661683</c:v>
                </c:pt>
                <c:pt idx="23">
                  <c:v>80.258052226715634</c:v>
                </c:pt>
                <c:pt idx="24">
                  <c:v>78.639183192055455</c:v>
                </c:pt>
                <c:pt idx="25">
                  <c:v>71.968921893600196</c:v>
                </c:pt>
                <c:pt idx="26">
                  <c:v>72.765191236804739</c:v>
                </c:pt>
              </c:numCache>
            </c:numRef>
          </c:val>
          <c:smooth val="0"/>
          <c:extLst>
            <c:ext xmlns:c16="http://schemas.microsoft.com/office/drawing/2014/chart" uri="{C3380CC4-5D6E-409C-BE32-E72D297353CC}">
              <c16:uniqueId val="{00000001-F81E-454F-8285-C5A130F2932F}"/>
            </c:ext>
          </c:extLst>
        </c:ser>
        <c:dLbls>
          <c:showLegendKey val="0"/>
          <c:showVal val="0"/>
          <c:showCatName val="0"/>
          <c:showSerName val="0"/>
          <c:showPercent val="0"/>
          <c:showBubbleSize val="0"/>
        </c:dLbls>
        <c:smooth val="0"/>
        <c:axId val="151950848"/>
        <c:axId val="151952384"/>
      </c:lineChart>
      <c:dateAx>
        <c:axId val="151950848"/>
        <c:scaling>
          <c:orientation val="minMax"/>
        </c:scaling>
        <c:delete val="0"/>
        <c:axPos val="b"/>
        <c:numFmt formatCode="mm\ yyyy" sourceLinked="1"/>
        <c:majorTickMark val="none"/>
        <c:minorTickMark val="none"/>
        <c:tickLblPos val="low"/>
        <c:txPr>
          <a:bodyPr rot="-2040000"/>
          <a:lstStyle/>
          <a:p>
            <a:pPr>
              <a:defRPr/>
            </a:pPr>
            <a:endParaRPr lang="fr-BF"/>
          </a:p>
        </c:txPr>
        <c:crossAx val="151952384"/>
        <c:crosses val="autoZero"/>
        <c:auto val="1"/>
        <c:lblOffset val="100"/>
        <c:baseTimeUnit val="months"/>
        <c:majorUnit val="3"/>
        <c:majorTimeUnit val="months"/>
      </c:dateAx>
      <c:valAx>
        <c:axId val="151952384"/>
        <c:scaling>
          <c:orientation val="minMax"/>
          <c:max val="200"/>
        </c:scaling>
        <c:delete val="0"/>
        <c:axPos val="l"/>
        <c:majorGridlines>
          <c:spPr>
            <a:ln>
              <a:prstDash val="dash"/>
            </a:ln>
          </c:spPr>
        </c:majorGridlines>
        <c:title>
          <c:tx>
            <c:rich>
              <a:bodyPr rot="-5400000" vert="horz"/>
              <a:lstStyle/>
              <a:p>
                <a:pPr>
                  <a:defRPr/>
                </a:pPr>
                <a:r>
                  <a:rPr lang="en-US"/>
                  <a:t>Milliards Fcfa</a:t>
                </a:r>
              </a:p>
            </c:rich>
          </c:tx>
          <c:overlay val="0"/>
        </c:title>
        <c:numFmt formatCode="#,##0" sourceLinked="0"/>
        <c:majorTickMark val="none"/>
        <c:minorTickMark val="none"/>
        <c:tickLblPos val="nextTo"/>
        <c:crossAx val="151950848"/>
        <c:crossesAt val="1"/>
        <c:crossBetween val="between"/>
      </c:valAx>
    </c:plotArea>
    <c:legend>
      <c:legendPos val="b"/>
      <c:layout>
        <c:manualLayout>
          <c:xMode val="edge"/>
          <c:yMode val="edge"/>
          <c:x val="0.11108566010429921"/>
          <c:y val="0.90703789875090546"/>
          <c:w val="0.77782867979140813"/>
          <c:h val="9.2962101249094445E-2"/>
        </c:manualLayout>
      </c:layout>
      <c:overlay val="0"/>
    </c:legend>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b="1" i="0" baseline="0">
                <a:effectLst/>
              </a:rPr>
              <a:t>Evolution annuelle des principaux produits d'exportation</a:t>
            </a:r>
            <a:endParaRPr lang="fr-FR" sz="1000">
              <a:effectLst/>
            </a:endParaRPr>
          </a:p>
        </c:rich>
      </c:tx>
      <c:layout>
        <c:manualLayout>
          <c:xMode val="edge"/>
          <c:yMode val="edge"/>
          <c:x val="0.1380995412956558"/>
          <c:y val="2.3148148148148147E-2"/>
        </c:manualLayout>
      </c:layout>
      <c:overlay val="0"/>
    </c:title>
    <c:autoTitleDeleted val="0"/>
    <c:plotArea>
      <c:layout>
        <c:manualLayout>
          <c:layoutTarget val="inner"/>
          <c:xMode val="edge"/>
          <c:yMode val="edge"/>
          <c:x val="6.3509950543144705E-2"/>
          <c:y val="0.14655370100827692"/>
          <c:w val="0.60994600203112226"/>
          <c:h val="0.59816867680695851"/>
        </c:manualLayout>
      </c:layout>
      <c:lineChart>
        <c:grouping val="standard"/>
        <c:varyColors val="0"/>
        <c:ser>
          <c:idx val="6"/>
          <c:order val="1"/>
          <c:tx>
            <c:strRef>
              <c:f>Base_Trimestrielle!$EB$73</c:f>
              <c:strCache>
                <c:ptCount val="1"/>
                <c:pt idx="0">
                  <c:v>Coton</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Base_Trimestrielle!$EB$143:$EB$169</c:f>
              <c:numCache>
                <c:formatCode>0.0</c:formatCode>
                <c:ptCount val="27"/>
                <c:pt idx="0">
                  <c:v>61.286363591000004</c:v>
                </c:pt>
                <c:pt idx="1">
                  <c:v>5.1514271169999999</c:v>
                </c:pt>
                <c:pt idx="2">
                  <c:v>75.860018275000002</c:v>
                </c:pt>
                <c:pt idx="3">
                  <c:v>132.10901477499999</c:v>
                </c:pt>
                <c:pt idx="4">
                  <c:v>23.056968313000002</c:v>
                </c:pt>
                <c:pt idx="5">
                  <c:v>0.20678996599999999</c:v>
                </c:pt>
                <c:pt idx="6" formatCode="General">
                  <c:v>21.631711341999999</c:v>
                </c:pt>
                <c:pt idx="7" formatCode="General">
                  <c:v>177.00448439600001</c:v>
                </c:pt>
                <c:pt idx="8" formatCode="General">
                  <c:v>24.622404941999999</c:v>
                </c:pt>
                <c:pt idx="9" formatCode="General">
                  <c:v>0.42970466099999999</c:v>
                </c:pt>
                <c:pt idx="10" formatCode="General">
                  <c:v>64.676856549999997</c:v>
                </c:pt>
                <c:pt idx="11" formatCode="General">
                  <c:v>85.21804883099999</c:v>
                </c:pt>
                <c:pt idx="12" formatCode="General">
                  <c:v>37.183470743999997</c:v>
                </c:pt>
                <c:pt idx="13" formatCode="General">
                  <c:v>6.0154733419999999</c:v>
                </c:pt>
                <c:pt idx="14" formatCode="General">
                  <c:v>22.309568858999999</c:v>
                </c:pt>
                <c:pt idx="15" formatCode="General">
                  <c:v>106.91525126800001</c:v>
                </c:pt>
                <c:pt idx="16" formatCode="General">
                  <c:v>78.600254203000006</c:v>
                </c:pt>
                <c:pt idx="17" formatCode="General">
                  <c:v>4.4000000000000004</c:v>
                </c:pt>
                <c:pt idx="18" formatCode="General">
                  <c:v>62.2</c:v>
                </c:pt>
                <c:pt idx="19">
                  <c:v>134.670331076</c:v>
                </c:pt>
                <c:pt idx="20" formatCode="General">
                  <c:v>62.2</c:v>
                </c:pt>
                <c:pt idx="21" formatCode="General">
                  <c:v>4.0748202920000001</c:v>
                </c:pt>
                <c:pt idx="22" formatCode="General">
                  <c:v>95.074188403999997</c:v>
                </c:pt>
                <c:pt idx="23" formatCode="General">
                  <c:v>60.942253847000003</c:v>
                </c:pt>
                <c:pt idx="24" formatCode="General">
                  <c:v>47.054705376000001</c:v>
                </c:pt>
                <c:pt idx="25" formatCode="General">
                  <c:v>7.9614614560000003</c:v>
                </c:pt>
                <c:pt idx="26" formatCode="General">
                  <c:v>35.508889758999999</c:v>
                </c:pt>
              </c:numCache>
            </c:numRef>
          </c:val>
          <c:smooth val="0"/>
          <c:extLst>
            <c:ext xmlns:c16="http://schemas.microsoft.com/office/drawing/2014/chart" uri="{C3380CC4-5D6E-409C-BE32-E72D297353CC}">
              <c16:uniqueId val="{00000001-43A8-41A9-B5EE-84FAA595E8EB}"/>
            </c:ext>
          </c:extLst>
        </c:ser>
        <c:ser>
          <c:idx val="7"/>
          <c:order val="2"/>
          <c:tx>
            <c:strRef>
              <c:f>Base_Trimestrielle!$EC$73</c:f>
              <c:strCache>
                <c:ptCount val="1"/>
                <c:pt idx="0">
                  <c:v>Graines et fruits oléagineux, même concassés, servant à extraire l'huile</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Base_Trimestrielle!$EC$143:$EC$169</c:f>
              <c:numCache>
                <c:formatCode>0.0</c:formatCode>
                <c:ptCount val="27"/>
                <c:pt idx="0">
                  <c:v>11.500947585</c:v>
                </c:pt>
                <c:pt idx="1">
                  <c:v>5.267896382</c:v>
                </c:pt>
                <c:pt idx="2">
                  <c:v>20.270793867449999</c:v>
                </c:pt>
                <c:pt idx="3">
                  <c:v>36.091104227000002</c:v>
                </c:pt>
                <c:pt idx="4">
                  <c:v>5.8573285070000001</c:v>
                </c:pt>
                <c:pt idx="5">
                  <c:v>1.7504669100000001</c:v>
                </c:pt>
                <c:pt idx="6" formatCode="General">
                  <c:v>28.362362473040001</c:v>
                </c:pt>
                <c:pt idx="7" formatCode="General">
                  <c:v>72.061262117040002</c:v>
                </c:pt>
                <c:pt idx="8" formatCode="General">
                  <c:v>2.0232436040000001</c:v>
                </c:pt>
                <c:pt idx="9" formatCode="General">
                  <c:v>0.52892210299999998</c:v>
                </c:pt>
                <c:pt idx="10" formatCode="General">
                  <c:v>13.4480638</c:v>
                </c:pt>
                <c:pt idx="11" formatCode="General">
                  <c:v>24.466237612</c:v>
                </c:pt>
                <c:pt idx="12" formatCode="General">
                  <c:v>4.2055134609999998</c:v>
                </c:pt>
                <c:pt idx="13" formatCode="General">
                  <c:v>0.98459425199999995</c:v>
                </c:pt>
                <c:pt idx="14" formatCode="General">
                  <c:v>10.98249854</c:v>
                </c:pt>
                <c:pt idx="15" formatCode="General">
                  <c:v>18.962422811</c:v>
                </c:pt>
                <c:pt idx="16" formatCode="General">
                  <c:v>3.8765104830000001</c:v>
                </c:pt>
                <c:pt idx="17" formatCode="General">
                  <c:v>1</c:v>
                </c:pt>
                <c:pt idx="18" formatCode="General">
                  <c:v>17.3</c:v>
                </c:pt>
                <c:pt idx="19">
                  <c:v>19.440513693</c:v>
                </c:pt>
                <c:pt idx="20" formatCode="General">
                  <c:v>8.3000000000000007</c:v>
                </c:pt>
                <c:pt idx="21" formatCode="General">
                  <c:v>6.614305624</c:v>
                </c:pt>
                <c:pt idx="22" formatCode="General">
                  <c:v>16.288630336000001</c:v>
                </c:pt>
                <c:pt idx="23" formatCode="General">
                  <c:v>15.552852553999999</c:v>
                </c:pt>
                <c:pt idx="24" formatCode="General">
                  <c:v>8.1336953400000009</c:v>
                </c:pt>
                <c:pt idx="25" formatCode="General">
                  <c:v>0.365345484</c:v>
                </c:pt>
                <c:pt idx="26" formatCode="General">
                  <c:v>15.904607819999999</c:v>
                </c:pt>
              </c:numCache>
            </c:numRef>
          </c:val>
          <c:smooth val="0"/>
          <c:extLst>
            <c:ext xmlns:c16="http://schemas.microsoft.com/office/drawing/2014/chart" uri="{C3380CC4-5D6E-409C-BE32-E72D297353CC}">
              <c16:uniqueId val="{00000002-43A8-41A9-B5EE-84FAA595E8EB}"/>
            </c:ext>
          </c:extLst>
        </c:ser>
        <c:ser>
          <c:idx val="8"/>
          <c:order val="3"/>
          <c:tx>
            <c:strRef>
              <c:f>Base_Trimestrielle!$ED$73</c:f>
              <c:strCache>
                <c:ptCount val="1"/>
                <c:pt idx="0">
                  <c:v>Graines et fruits oléagineux, servant à extraire autres huiles fixes</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Base_Trimestrielle!$ED$143:$ED$169</c:f>
              <c:numCache>
                <c:formatCode>0.0</c:formatCode>
                <c:ptCount val="27"/>
                <c:pt idx="0">
                  <c:v>3.3677926839999999</c:v>
                </c:pt>
                <c:pt idx="1">
                  <c:v>4.8590994719999996</c:v>
                </c:pt>
                <c:pt idx="2">
                  <c:v>4.94849198</c:v>
                </c:pt>
                <c:pt idx="3">
                  <c:v>7.2999716559999994</c:v>
                </c:pt>
                <c:pt idx="4">
                  <c:v>0.41025267599999998</c:v>
                </c:pt>
                <c:pt idx="5">
                  <c:v>4.2</c:v>
                </c:pt>
                <c:pt idx="6" formatCode="General">
                  <c:v>11.345833653</c:v>
                </c:pt>
                <c:pt idx="7" formatCode="General">
                  <c:v>23.209003943999999</c:v>
                </c:pt>
                <c:pt idx="8" formatCode="General">
                  <c:v>1.6376284320000001</c:v>
                </c:pt>
                <c:pt idx="9" formatCode="General">
                  <c:v>18.009336297000001</c:v>
                </c:pt>
                <c:pt idx="10" formatCode="General">
                  <c:v>14.936668513000001</c:v>
                </c:pt>
                <c:pt idx="11" formatCode="General">
                  <c:v>9.0661723569999992</c:v>
                </c:pt>
                <c:pt idx="12" formatCode="General">
                  <c:v>5.1905795159999997</c:v>
                </c:pt>
                <c:pt idx="13" formatCode="General">
                  <c:v>1.7655982509999999</c:v>
                </c:pt>
                <c:pt idx="14" formatCode="General">
                  <c:v>10.186619781999999</c:v>
                </c:pt>
                <c:pt idx="15" formatCode="General">
                  <c:v>4.87146305</c:v>
                </c:pt>
                <c:pt idx="16" formatCode="General">
                  <c:v>3.09836</c:v>
                </c:pt>
                <c:pt idx="17" formatCode="General">
                  <c:v>3</c:v>
                </c:pt>
                <c:pt idx="18" formatCode="General">
                  <c:v>12.6</c:v>
                </c:pt>
                <c:pt idx="19">
                  <c:v>9.5653461220000011</c:v>
                </c:pt>
                <c:pt idx="20">
                  <c:v>0.52765657199999993</c:v>
                </c:pt>
                <c:pt idx="21">
                  <c:v>6.614305624</c:v>
                </c:pt>
                <c:pt idx="22">
                  <c:v>16.288630336000001</c:v>
                </c:pt>
                <c:pt idx="23">
                  <c:v>6.5112855249999999</c:v>
                </c:pt>
                <c:pt idx="24" formatCode="General">
                  <c:v>0.39523518699999999</c:v>
                </c:pt>
                <c:pt idx="25" formatCode="General">
                  <c:v>18.047975321999999</c:v>
                </c:pt>
                <c:pt idx="26" formatCode="General">
                  <c:v>24.264326642</c:v>
                </c:pt>
              </c:numCache>
            </c:numRef>
          </c:val>
          <c:smooth val="0"/>
          <c:extLst>
            <c:ext xmlns:c16="http://schemas.microsoft.com/office/drawing/2014/chart" uri="{C3380CC4-5D6E-409C-BE32-E72D297353CC}">
              <c16:uniqueId val="{00000003-43A8-41A9-B5EE-84FAA595E8EB}"/>
            </c:ext>
          </c:extLst>
        </c:ser>
        <c:ser>
          <c:idx val="9"/>
          <c:order val="4"/>
          <c:tx>
            <c:strRef>
              <c:f>Base_Trimestrielle!$EE$73</c:f>
              <c:strCache>
                <c:ptCount val="1"/>
                <c:pt idx="0">
                  <c:v>Fruits (à l'exception des fruits oléagineux), frais ou secs</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Base_Trimestrielle!$EE$143:$EE$168</c:f>
              <c:numCache>
                <c:formatCode>0.0</c:formatCode>
                <c:ptCount val="26"/>
                <c:pt idx="0">
                  <c:v>60.101161387879998</c:v>
                </c:pt>
                <c:pt idx="1">
                  <c:v>10.643223738229999</c:v>
                </c:pt>
                <c:pt idx="2">
                  <c:v>3.7424939450000001</c:v>
                </c:pt>
                <c:pt idx="3">
                  <c:v>44.739601428029999</c:v>
                </c:pt>
                <c:pt idx="4">
                  <c:v>74.642287068999991</c:v>
                </c:pt>
                <c:pt idx="5">
                  <c:v>8.1999999999999993</c:v>
                </c:pt>
                <c:pt idx="6" formatCode="General">
                  <c:v>3.4706667435100003</c:v>
                </c:pt>
                <c:pt idx="7" formatCode="General">
                  <c:v>131.07075548696997</c:v>
                </c:pt>
                <c:pt idx="8" formatCode="General">
                  <c:v>35.743373939999998</c:v>
                </c:pt>
                <c:pt idx="9" formatCode="General">
                  <c:v>10.153730202</c:v>
                </c:pt>
                <c:pt idx="10" formatCode="General">
                  <c:v>2.4253706419999999</c:v>
                </c:pt>
                <c:pt idx="11" formatCode="General">
                  <c:v>13.588475882999999</c:v>
                </c:pt>
                <c:pt idx="12" formatCode="General">
                  <c:v>22.609161574000002</c:v>
                </c:pt>
                <c:pt idx="13" formatCode="General">
                  <c:v>14.102096608</c:v>
                </c:pt>
                <c:pt idx="14" formatCode="General">
                  <c:v>4.787702854</c:v>
                </c:pt>
                <c:pt idx="15" formatCode="General">
                  <c:v>16.754334246999999</c:v>
                </c:pt>
                <c:pt idx="16" formatCode="General">
                  <c:v>40.024282385999996</c:v>
                </c:pt>
                <c:pt idx="17" formatCode="General">
                  <c:v>20.5</c:v>
                </c:pt>
                <c:pt idx="18" formatCode="General">
                  <c:v>5.2</c:v>
                </c:pt>
                <c:pt idx="19">
                  <c:v>18.737381291000002</c:v>
                </c:pt>
                <c:pt idx="20" formatCode="General">
                  <c:v>67.099999999999994</c:v>
                </c:pt>
                <c:pt idx="21" formatCode="General">
                  <c:v>17.547387978</c:v>
                </c:pt>
                <c:pt idx="22" formatCode="General">
                  <c:v>9.035467027000001</c:v>
                </c:pt>
                <c:pt idx="23" formatCode="General">
                  <c:v>28.623481165000001</c:v>
                </c:pt>
                <c:pt idx="24" formatCode="General">
                  <c:v>42.655288841000001</c:v>
                </c:pt>
                <c:pt idx="25" formatCode="General">
                  <c:v>11.583124305</c:v>
                </c:pt>
              </c:numCache>
            </c:numRef>
          </c:val>
          <c:smooth val="0"/>
          <c:extLst>
            <c:ext xmlns:c16="http://schemas.microsoft.com/office/drawing/2014/chart" uri="{C3380CC4-5D6E-409C-BE32-E72D297353CC}">
              <c16:uniqueId val="{00000004-43A8-41A9-B5EE-84FAA595E8EB}"/>
            </c:ext>
          </c:extLst>
        </c:ser>
        <c:dLbls>
          <c:showLegendKey val="0"/>
          <c:showVal val="0"/>
          <c:showCatName val="0"/>
          <c:showSerName val="0"/>
          <c:showPercent val="0"/>
          <c:showBubbleSize val="0"/>
        </c:dLbls>
        <c:marker val="1"/>
        <c:smooth val="0"/>
        <c:axId val="152026496"/>
        <c:axId val="152048768"/>
      </c:lineChart>
      <c:lineChart>
        <c:grouping val="standard"/>
        <c:varyColors val="0"/>
        <c:ser>
          <c:idx val="5"/>
          <c:order val="0"/>
          <c:tx>
            <c:strRef>
              <c:f>Base_Trimestrielle!$EA$73</c:f>
              <c:strCache>
                <c:ptCount val="1"/>
                <c:pt idx="0">
                  <c:v>Or, non monétaire (à l'exclusion des minerais et concentré d'or)</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Base_Trimestrielle!$EA$143:$EA$169</c:f>
              <c:numCache>
                <c:formatCode>0.0</c:formatCode>
                <c:ptCount val="27"/>
                <c:pt idx="0">
                  <c:v>274.04141093999999</c:v>
                </c:pt>
                <c:pt idx="1">
                  <c:v>238.82587937</c:v>
                </c:pt>
                <c:pt idx="2">
                  <c:v>297.08679319800001</c:v>
                </c:pt>
                <c:pt idx="3">
                  <c:v>322.86605718499999</c:v>
                </c:pt>
                <c:pt idx="4">
                  <c:v>290.23399403000002</c:v>
                </c:pt>
                <c:pt idx="5">
                  <c:v>266.10396977300002</c:v>
                </c:pt>
                <c:pt idx="6" formatCode="General">
                  <c:v>311.44609477</c:v>
                </c:pt>
                <c:pt idx="7" formatCode="General">
                  <c:v>1190.6501157579999</c:v>
                </c:pt>
                <c:pt idx="8" formatCode="General">
                  <c:v>307.880261975</c:v>
                </c:pt>
                <c:pt idx="9" formatCode="General">
                  <c:v>331.23095808100004</c:v>
                </c:pt>
                <c:pt idx="10" formatCode="General">
                  <c:v>366.94773023400001</c:v>
                </c:pt>
                <c:pt idx="11" formatCode="General">
                  <c:v>399.511573962</c:v>
                </c:pt>
                <c:pt idx="12" formatCode="General">
                  <c:v>481.87031654200001</c:v>
                </c:pt>
                <c:pt idx="13" formatCode="General">
                  <c:v>543.67884423700002</c:v>
                </c:pt>
                <c:pt idx="14" formatCode="General">
                  <c:v>625.70069469599991</c:v>
                </c:pt>
                <c:pt idx="15" formatCode="General">
                  <c:v>540.34656796400009</c:v>
                </c:pt>
                <c:pt idx="16" formatCode="General">
                  <c:v>522.08787517600001</c:v>
                </c:pt>
                <c:pt idx="17" formatCode="General">
                  <c:v>538.5</c:v>
                </c:pt>
                <c:pt idx="18" formatCode="General">
                  <c:v>571</c:v>
                </c:pt>
                <c:pt idx="19">
                  <c:v>524.99143391600001</c:v>
                </c:pt>
                <c:pt idx="20" formatCode="General">
                  <c:v>584.1</c:v>
                </c:pt>
                <c:pt idx="21" formatCode="General">
                  <c:v>438.50490526199997</c:v>
                </c:pt>
                <c:pt idx="22" formatCode="General">
                  <c:v>551.52482362000001</c:v>
                </c:pt>
                <c:pt idx="23" formatCode="General">
                  <c:v>512.98247863200004</c:v>
                </c:pt>
                <c:pt idx="24" formatCode="General">
                  <c:v>522.10059471800002</c:v>
                </c:pt>
                <c:pt idx="25" formatCode="General">
                  <c:v>529.29129958400006</c:v>
                </c:pt>
                <c:pt idx="26" formatCode="General">
                  <c:v>565.90447214400001</c:v>
                </c:pt>
              </c:numCache>
            </c:numRef>
          </c:val>
          <c:smooth val="0"/>
          <c:extLst>
            <c:ext xmlns:c16="http://schemas.microsoft.com/office/drawing/2014/chart" uri="{C3380CC4-5D6E-409C-BE32-E72D297353CC}">
              <c16:uniqueId val="{00000000-43A8-41A9-B5EE-84FAA595E8EB}"/>
            </c:ext>
          </c:extLst>
        </c:ser>
        <c:dLbls>
          <c:showLegendKey val="0"/>
          <c:showVal val="0"/>
          <c:showCatName val="0"/>
          <c:showSerName val="0"/>
          <c:showPercent val="0"/>
          <c:showBubbleSize val="0"/>
        </c:dLbls>
        <c:marker val="1"/>
        <c:smooth val="0"/>
        <c:axId val="152052480"/>
        <c:axId val="152050688"/>
      </c:lineChart>
      <c:dateAx>
        <c:axId val="152026496"/>
        <c:scaling>
          <c:orientation val="minMax"/>
        </c:scaling>
        <c:delete val="0"/>
        <c:axPos val="b"/>
        <c:numFmt formatCode="mm\ yyyy" sourceLinked="1"/>
        <c:majorTickMark val="out"/>
        <c:minorTickMark val="out"/>
        <c:tickLblPos val="low"/>
        <c:spPr>
          <a:ln/>
        </c:spPr>
        <c:txPr>
          <a:bodyPr rot="-4200000"/>
          <a:lstStyle/>
          <a:p>
            <a:pPr>
              <a:defRPr sz="700"/>
            </a:pPr>
            <a:endParaRPr lang="fr-BF"/>
          </a:p>
        </c:txPr>
        <c:crossAx val="152048768"/>
        <c:crosses val="autoZero"/>
        <c:auto val="0"/>
        <c:lblOffset val="100"/>
        <c:baseTimeUnit val="months"/>
        <c:majorUnit val="3"/>
        <c:majorTimeUnit val="months"/>
      </c:dateAx>
      <c:valAx>
        <c:axId val="152048768"/>
        <c:scaling>
          <c:orientation val="minMax"/>
        </c:scaling>
        <c:delete val="0"/>
        <c:axPos val="l"/>
        <c:majorGridlines>
          <c:spPr>
            <a:ln>
              <a:prstDash val="dash"/>
            </a:ln>
          </c:spPr>
        </c:majorGridlines>
        <c:title>
          <c:tx>
            <c:rich>
              <a:bodyPr/>
              <a:lstStyle/>
              <a:p>
                <a:pPr>
                  <a:defRPr/>
                </a:pPr>
                <a:r>
                  <a:rPr lang="fr-FR"/>
                  <a:t>Milliards Fcfa</a:t>
                </a:r>
              </a:p>
            </c:rich>
          </c:tx>
          <c:overlay val="0"/>
        </c:title>
        <c:numFmt formatCode="#,##0" sourceLinked="0"/>
        <c:majorTickMark val="none"/>
        <c:minorTickMark val="none"/>
        <c:tickLblPos val="nextTo"/>
        <c:crossAx val="152026496"/>
        <c:crossesAt val="41609"/>
        <c:crossBetween val="between"/>
      </c:valAx>
      <c:valAx>
        <c:axId val="152050688"/>
        <c:scaling>
          <c:orientation val="minMax"/>
        </c:scaling>
        <c:delete val="0"/>
        <c:axPos val="r"/>
        <c:numFmt formatCode="0.0" sourceLinked="1"/>
        <c:majorTickMark val="out"/>
        <c:minorTickMark val="none"/>
        <c:tickLblPos val="nextTo"/>
        <c:crossAx val="152052480"/>
        <c:crosses val="max"/>
        <c:crossBetween val="between"/>
      </c:valAx>
      <c:dateAx>
        <c:axId val="152052480"/>
        <c:scaling>
          <c:orientation val="minMax"/>
        </c:scaling>
        <c:delete val="1"/>
        <c:axPos val="b"/>
        <c:numFmt formatCode="mm\ yyyy" sourceLinked="1"/>
        <c:majorTickMark val="out"/>
        <c:minorTickMark val="none"/>
        <c:tickLblPos val="nextTo"/>
        <c:crossAx val="152050688"/>
        <c:crosses val="autoZero"/>
        <c:auto val="1"/>
        <c:lblOffset val="100"/>
        <c:baseTimeUnit val="months"/>
      </c:dateAx>
    </c:plotArea>
    <c:legend>
      <c:legendPos val="r"/>
      <c:layout>
        <c:manualLayout>
          <c:xMode val="edge"/>
          <c:yMode val="edge"/>
          <c:x val="0.74343428689883961"/>
          <c:y val="3.2361111111111202E-2"/>
          <c:w val="0.25264925373134323"/>
          <c:h val="0.90275444736074661"/>
        </c:manualLayout>
      </c:layout>
      <c:overlay val="0"/>
    </c:legend>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b="1" i="0" baseline="0">
                <a:effectLst/>
              </a:rPr>
              <a:t>Evolution trimestrielle des principaux produits à l'importation</a:t>
            </a:r>
            <a:endParaRPr lang="fr-FR" sz="1000">
              <a:effectLst/>
            </a:endParaRPr>
          </a:p>
        </c:rich>
      </c:tx>
      <c:layout>
        <c:manualLayout>
          <c:xMode val="edge"/>
          <c:yMode val="edge"/>
          <c:x val="0.12408722741433026"/>
          <c:y val="2.7777777777780253E-2"/>
        </c:manualLayout>
      </c:layout>
      <c:overlay val="0"/>
    </c:title>
    <c:autoTitleDeleted val="0"/>
    <c:plotArea>
      <c:layout>
        <c:manualLayout>
          <c:layoutTarget val="inner"/>
          <c:xMode val="edge"/>
          <c:yMode val="edge"/>
          <c:x val="8.2794735574665226E-2"/>
          <c:y val="0.11742048396231212"/>
          <c:w val="0.85024770000767613"/>
          <c:h val="0.44713613324431528"/>
        </c:manualLayout>
      </c:layout>
      <c:lineChart>
        <c:grouping val="standard"/>
        <c:varyColors val="0"/>
        <c:ser>
          <c:idx val="6"/>
          <c:order val="1"/>
          <c:tx>
            <c:strRef>
              <c:f>Base_Trimestrielle!$EH$73</c:f>
              <c:strCache>
                <c:ptCount val="1"/>
                <c:pt idx="0">
                  <c:v>Engrais manufacturés</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Base_Trimestrielle!$EH$143:$EH$168</c:f>
              <c:numCache>
                <c:formatCode>0.0</c:formatCode>
                <c:ptCount val="26"/>
                <c:pt idx="0">
                  <c:v>24.301845362000002</c:v>
                </c:pt>
                <c:pt idx="1">
                  <c:v>12.810823929</c:v>
                </c:pt>
                <c:pt idx="2">
                  <c:v>75.860018275000002</c:v>
                </c:pt>
                <c:pt idx="3">
                  <c:v>132.10901477499999</c:v>
                </c:pt>
                <c:pt idx="4">
                  <c:v>23.056968313000002</c:v>
                </c:pt>
                <c:pt idx="5">
                  <c:v>0.20678996599999999</c:v>
                </c:pt>
                <c:pt idx="6" formatCode="General">
                  <c:v>4.7093955669999996</c:v>
                </c:pt>
                <c:pt idx="7" formatCode="General">
                  <c:v>50.308577037000006</c:v>
                </c:pt>
                <c:pt idx="8" formatCode="General">
                  <c:v>8.9280010149999995</c:v>
                </c:pt>
                <c:pt idx="9" formatCode="General">
                  <c:v>5.2906164259999997</c:v>
                </c:pt>
                <c:pt idx="10" formatCode="General">
                  <c:v>1.9247458039999998</c:v>
                </c:pt>
                <c:pt idx="11" formatCode="General">
                  <c:v>18.798489019000002</c:v>
                </c:pt>
                <c:pt idx="12" formatCode="General">
                  <c:v>9.5621395079999996</c:v>
                </c:pt>
                <c:pt idx="13" formatCode="General">
                  <c:v>11.676640042000001</c:v>
                </c:pt>
                <c:pt idx="14" formatCode="General">
                  <c:v>4.7314968749999995</c:v>
                </c:pt>
                <c:pt idx="15" formatCode="General">
                  <c:v>10.724820161</c:v>
                </c:pt>
                <c:pt idx="16" formatCode="General">
                  <c:v>9.1117559700000008</c:v>
                </c:pt>
                <c:pt idx="17" formatCode="General">
                  <c:v>5.4</c:v>
                </c:pt>
                <c:pt idx="18" formatCode="General">
                  <c:v>4.4000000000000004</c:v>
                </c:pt>
                <c:pt idx="19">
                  <c:v>8.5710570839999995</c:v>
                </c:pt>
                <c:pt idx="20" formatCode="General">
                  <c:v>10</c:v>
                </c:pt>
                <c:pt idx="21" formatCode="General">
                  <c:v>15.964904404999999</c:v>
                </c:pt>
                <c:pt idx="22" formatCode="General">
                  <c:v>16.401443524999998</c:v>
                </c:pt>
                <c:pt idx="23" formatCode="General">
                  <c:v>27.670532817999998</c:v>
                </c:pt>
                <c:pt idx="24" formatCode="General">
                  <c:v>21.972677128000001</c:v>
                </c:pt>
                <c:pt idx="25" formatCode="General">
                  <c:v>16.311068414000001</c:v>
                </c:pt>
              </c:numCache>
            </c:numRef>
          </c:val>
          <c:smooth val="0"/>
          <c:extLst>
            <c:ext xmlns:c16="http://schemas.microsoft.com/office/drawing/2014/chart" uri="{C3380CC4-5D6E-409C-BE32-E72D297353CC}">
              <c16:uniqueId val="{00000001-4282-4A60-A0D1-7A42872106D1}"/>
            </c:ext>
          </c:extLst>
        </c:ser>
        <c:ser>
          <c:idx val="7"/>
          <c:order val="2"/>
          <c:tx>
            <c:strRef>
              <c:f>Base_Trimestrielle!$EI$73</c:f>
              <c:strCache>
                <c:ptCount val="1"/>
                <c:pt idx="0">
                  <c:v>Voitures automobiles à tous moteurs, pour le transport des marchandises</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Base_Trimestrielle!$EI$143:$EI$168</c:f>
              <c:numCache>
                <c:formatCode>0.0</c:formatCode>
                <c:ptCount val="26"/>
                <c:pt idx="0">
                  <c:v>17.718194511999997</c:v>
                </c:pt>
                <c:pt idx="1">
                  <c:v>14.657135222000001</c:v>
                </c:pt>
                <c:pt idx="2">
                  <c:v>20.270793867449999</c:v>
                </c:pt>
                <c:pt idx="3">
                  <c:v>36.091104227000002</c:v>
                </c:pt>
                <c:pt idx="4">
                  <c:v>5.8573285070000001</c:v>
                </c:pt>
                <c:pt idx="5">
                  <c:v>1.7504669100000001</c:v>
                </c:pt>
                <c:pt idx="6" formatCode="General">
                  <c:v>14.509065436</c:v>
                </c:pt>
                <c:pt idx="7" formatCode="General">
                  <c:v>53.465780926000001</c:v>
                </c:pt>
                <c:pt idx="8" formatCode="General">
                  <c:v>12.886090422999999</c:v>
                </c:pt>
                <c:pt idx="9" formatCode="General">
                  <c:v>12.328771046</c:v>
                </c:pt>
                <c:pt idx="10" formatCode="General">
                  <c:v>26.562767397999998</c:v>
                </c:pt>
                <c:pt idx="11" formatCode="General">
                  <c:v>10.598973432000001</c:v>
                </c:pt>
                <c:pt idx="12" formatCode="General">
                  <c:v>18.925496287999998</c:v>
                </c:pt>
                <c:pt idx="13" formatCode="General">
                  <c:v>10.372545376</c:v>
                </c:pt>
                <c:pt idx="14" formatCode="General">
                  <c:v>15.681713104</c:v>
                </c:pt>
                <c:pt idx="15" formatCode="General">
                  <c:v>13.182762813</c:v>
                </c:pt>
                <c:pt idx="16" formatCode="General">
                  <c:v>12.178006965</c:v>
                </c:pt>
                <c:pt idx="17" formatCode="General">
                  <c:v>8.6999999999999993</c:v>
                </c:pt>
                <c:pt idx="18" formatCode="General">
                  <c:v>16.7</c:v>
                </c:pt>
                <c:pt idx="19">
                  <c:v>16.969091042999999</c:v>
                </c:pt>
                <c:pt idx="20" formatCode="General">
                  <c:v>16.3</c:v>
                </c:pt>
                <c:pt idx="21" formatCode="General">
                  <c:v>18.917863947999997</c:v>
                </c:pt>
                <c:pt idx="22" formatCode="General">
                  <c:v>14.606818238000001</c:v>
                </c:pt>
                <c:pt idx="23" formatCode="General">
                  <c:v>14.918264499000001</c:v>
                </c:pt>
                <c:pt idx="24" formatCode="General">
                  <c:v>13.65846936</c:v>
                </c:pt>
                <c:pt idx="25" formatCode="General">
                  <c:v>13.876231970999999</c:v>
                </c:pt>
              </c:numCache>
            </c:numRef>
          </c:val>
          <c:smooth val="0"/>
          <c:extLst>
            <c:ext xmlns:c16="http://schemas.microsoft.com/office/drawing/2014/chart" uri="{C3380CC4-5D6E-409C-BE32-E72D297353CC}">
              <c16:uniqueId val="{00000002-4282-4A60-A0D1-7A42872106D1}"/>
            </c:ext>
          </c:extLst>
        </c:ser>
        <c:ser>
          <c:idx val="8"/>
          <c:order val="3"/>
          <c:tx>
            <c:strRef>
              <c:f>Base_Trimestrielle!$EJ$73</c:f>
              <c:strCache>
                <c:ptCount val="1"/>
                <c:pt idx="0">
                  <c:v>Chaux, ciments et matériaux de construction fabriqués (excepté argile, verre)</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Base_Trimestrielle!$EJ$143:$EJ$169</c:f>
              <c:numCache>
                <c:formatCode>0.0</c:formatCode>
                <c:ptCount val="27"/>
                <c:pt idx="0">
                  <c:v>21.089161881999999</c:v>
                </c:pt>
                <c:pt idx="1">
                  <c:v>27.590062239999998</c:v>
                </c:pt>
                <c:pt idx="2">
                  <c:v>4.94849198</c:v>
                </c:pt>
                <c:pt idx="3">
                  <c:v>7.2999716559999994</c:v>
                </c:pt>
                <c:pt idx="4">
                  <c:v>0.41025267599999998</c:v>
                </c:pt>
                <c:pt idx="5">
                  <c:v>4.2</c:v>
                </c:pt>
                <c:pt idx="6" formatCode="General">
                  <c:v>28.289231297999997</c:v>
                </c:pt>
                <c:pt idx="7" formatCode="General">
                  <c:v>78.300806374000004</c:v>
                </c:pt>
                <c:pt idx="8" formatCode="General">
                  <c:v>13.108298167999999</c:v>
                </c:pt>
                <c:pt idx="9" formatCode="General">
                  <c:v>17.755260634999999</c:v>
                </c:pt>
                <c:pt idx="10" formatCode="General">
                  <c:v>13.999834918000001</c:v>
                </c:pt>
                <c:pt idx="11" formatCode="General">
                  <c:v>27.102645171999999</c:v>
                </c:pt>
                <c:pt idx="12" formatCode="General">
                  <c:v>27.250455056</c:v>
                </c:pt>
                <c:pt idx="13" formatCode="General">
                  <c:v>24.620640577</c:v>
                </c:pt>
                <c:pt idx="14" formatCode="General">
                  <c:v>26.722871209000001</c:v>
                </c:pt>
                <c:pt idx="15" formatCode="General">
                  <c:v>23.400775061000001</c:v>
                </c:pt>
                <c:pt idx="16" formatCode="General">
                  <c:v>16.210791722</c:v>
                </c:pt>
                <c:pt idx="17" formatCode="General">
                  <c:v>22.8</c:v>
                </c:pt>
                <c:pt idx="18" formatCode="General">
                  <c:v>51.6</c:v>
                </c:pt>
                <c:pt idx="19">
                  <c:v>34.017618472999999</c:v>
                </c:pt>
                <c:pt idx="20" formatCode="General">
                  <c:v>24.8</c:v>
                </c:pt>
                <c:pt idx="21" formatCode="General">
                  <c:v>0.601352334755902</c:v>
                </c:pt>
                <c:pt idx="22" formatCode="General">
                  <c:v>0.46518418290096658</c:v>
                </c:pt>
                <c:pt idx="23" formatCode="General">
                  <c:v>0.79703719607106438</c:v>
                </c:pt>
                <c:pt idx="24" formatCode="General">
                  <c:v>0.48266642367746676</c:v>
                </c:pt>
                <c:pt idx="25" formatCode="General">
                  <c:v>0.49458853898166716</c:v>
                </c:pt>
              </c:numCache>
            </c:numRef>
          </c:val>
          <c:smooth val="0"/>
          <c:extLst>
            <c:ext xmlns:c16="http://schemas.microsoft.com/office/drawing/2014/chart" uri="{C3380CC4-5D6E-409C-BE32-E72D297353CC}">
              <c16:uniqueId val="{00000003-4282-4A60-A0D1-7A42872106D1}"/>
            </c:ext>
          </c:extLst>
        </c:ser>
        <c:ser>
          <c:idx val="9"/>
          <c:order val="4"/>
          <c:tx>
            <c:strRef>
              <c:f>Base_Trimestrielle!$EK$73</c:f>
              <c:strCache>
                <c:ptCount val="1"/>
                <c:pt idx="0">
                  <c:v>Appareils et matériels de génies civils et de construction, et leurs pièces</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Base_Trimestrielle!$EK$143:$EK$168</c:f>
              <c:numCache>
                <c:formatCode>0.0</c:formatCode>
                <c:ptCount val="26"/>
                <c:pt idx="0">
                  <c:v>13.785908109079999</c:v>
                </c:pt>
                <c:pt idx="1">
                  <c:v>9.3890461589999994</c:v>
                </c:pt>
                <c:pt idx="2">
                  <c:v>3.7424939450000001</c:v>
                </c:pt>
                <c:pt idx="3">
                  <c:v>44.739601428029999</c:v>
                </c:pt>
                <c:pt idx="4">
                  <c:v>74.642287068999991</c:v>
                </c:pt>
                <c:pt idx="5">
                  <c:v>8.1999999999999993</c:v>
                </c:pt>
                <c:pt idx="6" formatCode="General">
                  <c:v>5.4221880570000005</c:v>
                </c:pt>
                <c:pt idx="7" formatCode="General">
                  <c:v>37.286178568000004</c:v>
                </c:pt>
                <c:pt idx="8" formatCode="General">
                  <c:v>8.7624985089999985</c:v>
                </c:pt>
                <c:pt idx="9" formatCode="General">
                  <c:v>8.1163228140000001</c:v>
                </c:pt>
                <c:pt idx="10" formatCode="General">
                  <c:v>34.091137200999995</c:v>
                </c:pt>
                <c:pt idx="11" formatCode="General">
                  <c:v>16.01244732</c:v>
                </c:pt>
                <c:pt idx="12" formatCode="General">
                  <c:v>12.673689823999998</c:v>
                </c:pt>
                <c:pt idx="13" formatCode="General">
                  <c:v>7.9121113550000004</c:v>
                </c:pt>
                <c:pt idx="14" formatCode="General">
                  <c:v>11.855182443</c:v>
                </c:pt>
                <c:pt idx="15" formatCode="General">
                  <c:v>10.237324420999999</c:v>
                </c:pt>
                <c:pt idx="16" formatCode="General">
                  <c:v>9.4533250549999988</c:v>
                </c:pt>
                <c:pt idx="17" formatCode="General">
                  <c:v>8.8000000000000007</c:v>
                </c:pt>
                <c:pt idx="18" formatCode="General">
                  <c:v>7.2</c:v>
                </c:pt>
                <c:pt idx="19">
                  <c:v>12.598351044999999</c:v>
                </c:pt>
                <c:pt idx="20">
                  <c:v>9.7897822550000004</c:v>
                </c:pt>
                <c:pt idx="21">
                  <c:v>2.657577582</c:v>
                </c:pt>
                <c:pt idx="22">
                  <c:v>3.9774990859999999</c:v>
                </c:pt>
                <c:pt idx="23">
                  <c:v>22.183304811999999</c:v>
                </c:pt>
              </c:numCache>
            </c:numRef>
          </c:val>
          <c:smooth val="0"/>
          <c:extLst>
            <c:ext xmlns:c16="http://schemas.microsoft.com/office/drawing/2014/chart" uri="{C3380CC4-5D6E-409C-BE32-E72D297353CC}">
              <c16:uniqueId val="{00000004-4282-4A60-A0D1-7A42872106D1}"/>
            </c:ext>
          </c:extLst>
        </c:ser>
        <c:dLbls>
          <c:showLegendKey val="0"/>
          <c:showVal val="0"/>
          <c:showCatName val="0"/>
          <c:showSerName val="0"/>
          <c:showPercent val="0"/>
          <c:showBubbleSize val="0"/>
        </c:dLbls>
        <c:marker val="1"/>
        <c:smooth val="0"/>
        <c:axId val="152097536"/>
        <c:axId val="152099072"/>
      </c:lineChart>
      <c:lineChart>
        <c:grouping val="standard"/>
        <c:varyColors val="0"/>
        <c:ser>
          <c:idx val="5"/>
          <c:order val="0"/>
          <c:tx>
            <c:strRef>
              <c:f>Base_Trimestrielle!$EG$73</c:f>
              <c:strCache>
                <c:ptCount val="1"/>
                <c:pt idx="0">
                  <c:v>Produits raffinés du pétrole</c:v>
                </c:pt>
              </c:strCache>
            </c:strRef>
          </c:tx>
          <c:marker>
            <c:symbol val="none"/>
          </c:marker>
          <c:cat>
            <c:numRef>
              <c:f>Base_Trimestrielle!$DD$143:$DD$168</c:f>
              <c:numCache>
                <c:formatCode>mm\ yyyy</c:formatCode>
                <c:ptCount val="26"/>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numCache>
            </c:numRef>
          </c:cat>
          <c:val>
            <c:numRef>
              <c:f>Base_Trimestrielle!$EG$143:$EG$168</c:f>
              <c:numCache>
                <c:formatCode>0.0</c:formatCode>
                <c:ptCount val="26"/>
                <c:pt idx="0">
                  <c:v>121.22042900232999</c:v>
                </c:pt>
                <c:pt idx="1">
                  <c:v>117.54878792167999</c:v>
                </c:pt>
                <c:pt idx="2">
                  <c:v>297.08679319800001</c:v>
                </c:pt>
                <c:pt idx="3">
                  <c:v>322.86605718499999</c:v>
                </c:pt>
                <c:pt idx="4">
                  <c:v>290.23399403000002</c:v>
                </c:pt>
                <c:pt idx="5">
                  <c:v>266.10396977300002</c:v>
                </c:pt>
                <c:pt idx="6" formatCode="General">
                  <c:v>144.76970671848002</c:v>
                </c:pt>
                <c:pt idx="7" formatCode="General">
                  <c:v>540.66845806589004</c:v>
                </c:pt>
                <c:pt idx="8" formatCode="General">
                  <c:v>146.26845709599999</c:v>
                </c:pt>
                <c:pt idx="9" formatCode="General">
                  <c:v>142.687390161</c:v>
                </c:pt>
                <c:pt idx="10" formatCode="General">
                  <c:v>155.65789226782999</c:v>
                </c:pt>
                <c:pt idx="11" formatCode="General">
                  <c:v>149.59107592478099</c:v>
                </c:pt>
                <c:pt idx="12" formatCode="General">
                  <c:v>119.00248599928899</c:v>
                </c:pt>
                <c:pt idx="13" formatCode="General">
                  <c:v>113.26062516467599</c:v>
                </c:pt>
                <c:pt idx="14" formatCode="General">
                  <c:v>116.285982338281</c:v>
                </c:pt>
                <c:pt idx="15" formatCode="General">
                  <c:v>97.499404808438996</c:v>
                </c:pt>
                <c:pt idx="16" formatCode="General">
                  <c:v>144.148942108011</c:v>
                </c:pt>
                <c:pt idx="17" formatCode="General">
                  <c:v>148.5</c:v>
                </c:pt>
                <c:pt idx="18" formatCode="General">
                  <c:v>191.8</c:v>
                </c:pt>
                <c:pt idx="19">
                  <c:v>198.67967174</c:v>
                </c:pt>
                <c:pt idx="20" formatCode="General">
                  <c:v>282.60000000000002</c:v>
                </c:pt>
                <c:pt idx="21" formatCode="General">
                  <c:v>331.64737616799999</c:v>
                </c:pt>
                <c:pt idx="22" formatCode="General">
                  <c:v>318.41540303900001</c:v>
                </c:pt>
                <c:pt idx="23" formatCode="General">
                  <c:v>249.99553598124999</c:v>
                </c:pt>
                <c:pt idx="24" formatCode="General">
                  <c:v>278.66916553200002</c:v>
                </c:pt>
                <c:pt idx="25" formatCode="General">
                  <c:v>276.50465876300001</c:v>
                </c:pt>
              </c:numCache>
            </c:numRef>
          </c:val>
          <c:smooth val="0"/>
          <c:extLst>
            <c:ext xmlns:c16="http://schemas.microsoft.com/office/drawing/2014/chart" uri="{C3380CC4-5D6E-409C-BE32-E72D297353CC}">
              <c16:uniqueId val="{00000000-4282-4A60-A0D1-7A42872106D1}"/>
            </c:ext>
          </c:extLst>
        </c:ser>
        <c:dLbls>
          <c:showLegendKey val="0"/>
          <c:showVal val="0"/>
          <c:showCatName val="0"/>
          <c:showSerName val="0"/>
          <c:showPercent val="0"/>
          <c:showBubbleSize val="0"/>
        </c:dLbls>
        <c:marker val="1"/>
        <c:smooth val="0"/>
        <c:axId val="152115072"/>
        <c:axId val="152113536"/>
      </c:lineChart>
      <c:dateAx>
        <c:axId val="152097536"/>
        <c:scaling>
          <c:orientation val="minMax"/>
        </c:scaling>
        <c:delete val="0"/>
        <c:axPos val="b"/>
        <c:numFmt formatCode="mm\ yyyy" sourceLinked="1"/>
        <c:majorTickMark val="out"/>
        <c:minorTickMark val="none"/>
        <c:tickLblPos val="nextTo"/>
        <c:txPr>
          <a:bodyPr rot="-4200000"/>
          <a:lstStyle/>
          <a:p>
            <a:pPr>
              <a:defRPr/>
            </a:pPr>
            <a:endParaRPr lang="fr-BF"/>
          </a:p>
        </c:txPr>
        <c:crossAx val="152099072"/>
        <c:crosses val="autoZero"/>
        <c:auto val="1"/>
        <c:lblOffset val="100"/>
        <c:baseTimeUnit val="months"/>
        <c:majorUnit val="3"/>
        <c:majorTimeUnit val="months"/>
      </c:dateAx>
      <c:valAx>
        <c:axId val="152099072"/>
        <c:scaling>
          <c:orientation val="minMax"/>
        </c:scaling>
        <c:delete val="0"/>
        <c:axPos val="l"/>
        <c:majorGridlines>
          <c:spPr>
            <a:ln>
              <a:prstDash val="dash"/>
            </a:ln>
          </c:spPr>
        </c:majorGridlines>
        <c:title>
          <c:tx>
            <c:rich>
              <a:bodyPr rot="-5400000" vert="horz"/>
              <a:lstStyle/>
              <a:p>
                <a:pPr>
                  <a:defRPr/>
                </a:pPr>
                <a:r>
                  <a:rPr lang="fr-FR"/>
                  <a:t>Milliards Fcfa</a:t>
                </a:r>
              </a:p>
            </c:rich>
          </c:tx>
          <c:overlay val="0"/>
        </c:title>
        <c:numFmt formatCode="0.0" sourceLinked="1"/>
        <c:majorTickMark val="out"/>
        <c:minorTickMark val="none"/>
        <c:tickLblPos val="nextTo"/>
        <c:crossAx val="152097536"/>
        <c:crosses val="autoZero"/>
        <c:crossBetween val="between"/>
      </c:valAx>
      <c:valAx>
        <c:axId val="152113536"/>
        <c:scaling>
          <c:orientation val="minMax"/>
        </c:scaling>
        <c:delete val="0"/>
        <c:axPos val="r"/>
        <c:numFmt formatCode="0.0" sourceLinked="1"/>
        <c:majorTickMark val="out"/>
        <c:minorTickMark val="none"/>
        <c:tickLblPos val="nextTo"/>
        <c:crossAx val="152115072"/>
        <c:crosses val="max"/>
        <c:crossBetween val="between"/>
      </c:valAx>
      <c:dateAx>
        <c:axId val="152115072"/>
        <c:scaling>
          <c:orientation val="minMax"/>
        </c:scaling>
        <c:delete val="1"/>
        <c:axPos val="b"/>
        <c:numFmt formatCode="mm\ yyyy" sourceLinked="1"/>
        <c:majorTickMark val="out"/>
        <c:minorTickMark val="none"/>
        <c:tickLblPos val="nextTo"/>
        <c:crossAx val="152113536"/>
        <c:crosses val="autoZero"/>
        <c:auto val="1"/>
        <c:lblOffset val="100"/>
        <c:baseTimeUnit val="months"/>
      </c:dateAx>
      <c:spPr>
        <a:noFill/>
        <a:ln w="25400">
          <a:noFill/>
        </a:ln>
      </c:spPr>
    </c:plotArea>
    <c:legend>
      <c:legendPos val="b"/>
      <c:layout>
        <c:manualLayout>
          <c:xMode val="edge"/>
          <c:yMode val="edge"/>
          <c:x val="5.0038869961725803E-2"/>
          <c:y val="0.76978848111753462"/>
          <c:w val="0.90524738642582669"/>
          <c:h val="0.2181724116750787"/>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Exportations du Burkina dans les principaux pays</a:t>
            </a:r>
          </a:p>
        </c:rich>
      </c:tx>
      <c:overlay val="0"/>
    </c:title>
    <c:autoTitleDeleted val="0"/>
    <c:plotArea>
      <c:layout>
        <c:manualLayout>
          <c:layoutTarget val="inner"/>
          <c:xMode val="edge"/>
          <c:yMode val="edge"/>
          <c:x val="0.13672064576833556"/>
          <c:y val="0.12895412106226337"/>
          <c:w val="0.8017871952997746"/>
          <c:h val="0.57051902029765056"/>
        </c:manualLayout>
      </c:layout>
      <c:lineChart>
        <c:grouping val="standard"/>
        <c:varyColors val="0"/>
        <c:ser>
          <c:idx val="2"/>
          <c:order val="1"/>
          <c:tx>
            <c:strRef>
              <c:f>Base_Trimestrielle!$EN$73</c:f>
              <c:strCache>
                <c:ptCount val="1"/>
                <c:pt idx="0">
                  <c:v>Singapour</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Base_Trimestrielle!$EN$143:$EN$168</c:f>
              <c:numCache>
                <c:formatCode>0.0</c:formatCode>
                <c:ptCount val="26"/>
                <c:pt idx="0">
                  <c:v>67.595615104000004</c:v>
                </c:pt>
                <c:pt idx="1">
                  <c:v>10.54874991</c:v>
                </c:pt>
                <c:pt idx="2">
                  <c:v>6.5057527159999999</c:v>
                </c:pt>
                <c:pt idx="3">
                  <c:v>110.37975145599999</c:v>
                </c:pt>
                <c:pt idx="4">
                  <c:v>18.912845088000001</c:v>
                </c:pt>
                <c:pt idx="5">
                  <c:v>0.34630107500000001</c:v>
                </c:pt>
                <c:pt idx="6">
                  <c:v>10.075431320040002</c:v>
                </c:pt>
                <c:pt idx="7" formatCode="General">
                  <c:v>78.000708900999996</c:v>
                </c:pt>
                <c:pt idx="8" formatCode="General">
                  <c:v>18.708162562999998</c:v>
                </c:pt>
                <c:pt idx="9" formatCode="General">
                  <c:v>0.25803967</c:v>
                </c:pt>
                <c:pt idx="10" formatCode="General">
                  <c:v>26.817173294</c:v>
                </c:pt>
                <c:pt idx="11" formatCode="General">
                  <c:v>48.616862079999997</c:v>
                </c:pt>
                <c:pt idx="12" formatCode="General">
                  <c:v>11.589091311000001</c:v>
                </c:pt>
                <c:pt idx="13" formatCode="General">
                  <c:v>1.89025</c:v>
                </c:pt>
                <c:pt idx="14" formatCode="General">
                  <c:v>6.9093610239999999</c:v>
                </c:pt>
                <c:pt idx="15" formatCode="General">
                  <c:v>43.244327808000001</c:v>
                </c:pt>
                <c:pt idx="16" formatCode="General">
                  <c:v>27.264024672000001</c:v>
                </c:pt>
                <c:pt idx="17" formatCode="General">
                  <c:v>9.02</c:v>
                </c:pt>
                <c:pt idx="18" formatCode="General">
                  <c:v>28.43</c:v>
                </c:pt>
                <c:pt idx="19" formatCode="General">
                  <c:v>19.824276856000001</c:v>
                </c:pt>
                <c:pt idx="20" formatCode="General">
                  <c:v>41.52</c:v>
                </c:pt>
                <c:pt idx="21" formatCode="General">
                  <c:v>3.79</c:v>
                </c:pt>
                <c:pt idx="22" formatCode="General">
                  <c:v>42.08</c:v>
                </c:pt>
                <c:pt idx="23" formatCode="General">
                  <c:v>16.809999999999999</c:v>
                </c:pt>
                <c:pt idx="24" formatCode="General">
                  <c:v>14.55</c:v>
                </c:pt>
              </c:numCache>
            </c:numRef>
          </c:val>
          <c:smooth val="0"/>
          <c:extLst>
            <c:ext xmlns:c16="http://schemas.microsoft.com/office/drawing/2014/chart" uri="{C3380CC4-5D6E-409C-BE32-E72D297353CC}">
              <c16:uniqueId val="{00000001-DA65-4423-B796-9BF6A0C27CF9}"/>
            </c:ext>
          </c:extLst>
        </c:ser>
        <c:ser>
          <c:idx val="4"/>
          <c:order val="2"/>
          <c:tx>
            <c:strRef>
              <c:f>Base_Trimestrielle!$EO$73</c:f>
              <c:strCache>
                <c:ptCount val="1"/>
                <c:pt idx="0">
                  <c:v>Cote d'Ivoire</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Base_Trimestrielle!$EO$143:$EO$169</c:f>
              <c:numCache>
                <c:formatCode>0.0</c:formatCode>
                <c:ptCount val="27"/>
                <c:pt idx="0">
                  <c:v>18.870908052000001</c:v>
                </c:pt>
                <c:pt idx="1">
                  <c:v>26.987825923999999</c:v>
                </c:pt>
                <c:pt idx="2">
                  <c:v>37.119957693000003</c:v>
                </c:pt>
                <c:pt idx="3">
                  <c:v>36.737731920000002</c:v>
                </c:pt>
                <c:pt idx="4">
                  <c:v>23.416611308</c:v>
                </c:pt>
                <c:pt idx="5">
                  <c:v>21.539600089</c:v>
                </c:pt>
                <c:pt idx="6">
                  <c:v>32.532266890999999</c:v>
                </c:pt>
                <c:pt idx="7" formatCode="General">
                  <c:v>29.353555287999999</c:v>
                </c:pt>
                <c:pt idx="8" formatCode="General">
                  <c:v>28.733605319999999</c:v>
                </c:pt>
                <c:pt idx="9" formatCode="General">
                  <c:v>22.709194475</c:v>
                </c:pt>
                <c:pt idx="10" formatCode="General">
                  <c:v>22.647957859000002</c:v>
                </c:pt>
                <c:pt idx="11" formatCode="General">
                  <c:v>17.785767745000001</c:v>
                </c:pt>
                <c:pt idx="12" formatCode="General">
                  <c:v>14.599243859</c:v>
                </c:pt>
                <c:pt idx="13" formatCode="General">
                  <c:v>18.293759537</c:v>
                </c:pt>
                <c:pt idx="14" formatCode="General">
                  <c:v>20.165818223999999</c:v>
                </c:pt>
                <c:pt idx="15" formatCode="General">
                  <c:v>27.327686038</c:v>
                </c:pt>
                <c:pt idx="16" formatCode="General">
                  <c:v>23.857734083</c:v>
                </c:pt>
                <c:pt idx="17" formatCode="General">
                  <c:v>24.72</c:v>
                </c:pt>
                <c:pt idx="18" formatCode="General">
                  <c:v>24.42</c:v>
                </c:pt>
                <c:pt idx="19" formatCode="General">
                  <c:v>23.748114164</c:v>
                </c:pt>
                <c:pt idx="20" formatCode="General">
                  <c:v>16.54</c:v>
                </c:pt>
                <c:pt idx="21" formatCode="General">
                  <c:v>6.9052733159999997</c:v>
                </c:pt>
                <c:pt idx="22" formatCode="General">
                  <c:v>45.440505635000001</c:v>
                </c:pt>
                <c:pt idx="23" formatCode="General">
                  <c:v>34.472707921999998</c:v>
                </c:pt>
                <c:pt idx="24" formatCode="General">
                  <c:v>24.952565916000001</c:v>
                </c:pt>
                <c:pt idx="25" formatCode="General">
                  <c:v>4.0668122010000003</c:v>
                </c:pt>
              </c:numCache>
            </c:numRef>
          </c:val>
          <c:smooth val="0"/>
          <c:extLst>
            <c:ext xmlns:c16="http://schemas.microsoft.com/office/drawing/2014/chart" uri="{C3380CC4-5D6E-409C-BE32-E72D297353CC}">
              <c16:uniqueId val="{00000002-DA65-4423-B796-9BF6A0C27CF9}"/>
            </c:ext>
          </c:extLst>
        </c:ser>
        <c:ser>
          <c:idx val="8"/>
          <c:order val="3"/>
          <c:tx>
            <c:strRef>
              <c:f>Base_Trimestrielle!$EP$73</c:f>
              <c:strCache>
                <c:ptCount val="1"/>
                <c:pt idx="0">
                  <c:v>Afrique du sud</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Lit>
              <c:formatCode>General</c:formatCode>
              <c:ptCount val="10"/>
              <c:pt idx="0">
                <c:v>9.0800000000000006E-2</c:v>
              </c:pt>
              <c:pt idx="1">
                <c:v>0.39560000000000317</c:v>
              </c:pt>
              <c:pt idx="2">
                <c:v>0.63210000000000566</c:v>
              </c:pt>
              <c:pt idx="3">
                <c:v>0.52490000000000003</c:v>
              </c:pt>
              <c:pt idx="4">
                <c:v>19.282099999999708</c:v>
              </c:pt>
              <c:pt idx="5">
                <c:v>1.7588999999999873</c:v>
              </c:pt>
              <c:pt idx="6">
                <c:v>2.1719999999999997</c:v>
              </c:pt>
              <c:pt idx="7">
                <c:v>27.783299999999748</c:v>
              </c:pt>
              <c:pt idx="8">
                <c:v>67.5</c:v>
              </c:pt>
              <c:pt idx="9">
                <c:v>14.9</c:v>
              </c:pt>
            </c:numLit>
          </c:val>
          <c:smooth val="0"/>
          <c:extLst>
            <c:ext xmlns:c16="http://schemas.microsoft.com/office/drawing/2014/chart" uri="{C3380CC4-5D6E-409C-BE32-E72D297353CC}">
              <c16:uniqueId val="{00000003-DA65-4423-B796-9BF6A0C27CF9}"/>
            </c:ext>
          </c:extLst>
        </c:ser>
        <c:ser>
          <c:idx val="9"/>
          <c:order val="4"/>
          <c:tx>
            <c:strRef>
              <c:f>Base_Trimestrielle!$EQ$73</c:f>
              <c:strCache>
                <c:ptCount val="1"/>
                <c:pt idx="0">
                  <c:v>France</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Base_Trimestrielle!$EQ$143:$EQ$168</c:f>
              <c:numCache>
                <c:formatCode>0.0</c:formatCode>
                <c:ptCount val="26"/>
                <c:pt idx="0">
                  <c:v>3.543793108</c:v>
                </c:pt>
                <c:pt idx="1">
                  <c:v>7.925971691</c:v>
                </c:pt>
                <c:pt idx="2">
                  <c:v>28.214333025999998</c:v>
                </c:pt>
                <c:pt idx="3">
                  <c:v>30.175527574</c:v>
                </c:pt>
                <c:pt idx="4">
                  <c:v>12.014835489520001</c:v>
                </c:pt>
                <c:pt idx="5">
                  <c:v>2.4862067909999999</c:v>
                </c:pt>
                <c:pt idx="6">
                  <c:v>27.185424527999999</c:v>
                </c:pt>
                <c:pt idx="7" formatCode="General">
                  <c:v>8.2445375530000007</c:v>
                </c:pt>
                <c:pt idx="8" formatCode="General">
                  <c:v>14.129584642999999</c:v>
                </c:pt>
                <c:pt idx="9" formatCode="General">
                  <c:v>3.383991891</c:v>
                </c:pt>
                <c:pt idx="10" formatCode="General">
                  <c:v>32.775450628999998</c:v>
                </c:pt>
                <c:pt idx="11" formatCode="General">
                  <c:v>6.6783943910000003</c:v>
                </c:pt>
                <c:pt idx="12" formatCode="General">
                  <c:v>4.4233764080000002</c:v>
                </c:pt>
                <c:pt idx="13" formatCode="General">
                  <c:v>5.1822721469999999</c:v>
                </c:pt>
                <c:pt idx="14" formatCode="General">
                  <c:v>13.051937692999999</c:v>
                </c:pt>
                <c:pt idx="15" formatCode="General">
                  <c:v>4.3478588389999997</c:v>
                </c:pt>
                <c:pt idx="16" formatCode="General">
                  <c:v>9.652059801</c:v>
                </c:pt>
                <c:pt idx="17" formatCode="General">
                  <c:v>2.5099999999999998</c:v>
                </c:pt>
                <c:pt idx="18" formatCode="General">
                  <c:v>4.13</c:v>
                </c:pt>
                <c:pt idx="19">
                  <c:v>29.044168644999999</c:v>
                </c:pt>
                <c:pt idx="20">
                  <c:v>6.8</c:v>
                </c:pt>
                <c:pt idx="21">
                  <c:v>4.1496361180000001</c:v>
                </c:pt>
                <c:pt idx="22">
                  <c:v>19.503293671000002</c:v>
                </c:pt>
                <c:pt idx="23">
                  <c:v>6.8931190009999996</c:v>
                </c:pt>
                <c:pt idx="24">
                  <c:v>7.6297229849999999</c:v>
                </c:pt>
                <c:pt idx="25" formatCode="General">
                  <c:v>4.1490566170000003</c:v>
                </c:pt>
              </c:numCache>
            </c:numRef>
          </c:val>
          <c:smooth val="0"/>
          <c:extLst>
            <c:ext xmlns:c16="http://schemas.microsoft.com/office/drawing/2014/chart" uri="{C3380CC4-5D6E-409C-BE32-E72D297353CC}">
              <c16:uniqueId val="{00000004-DA65-4423-B796-9BF6A0C27CF9}"/>
            </c:ext>
          </c:extLst>
        </c:ser>
        <c:dLbls>
          <c:showLegendKey val="0"/>
          <c:showVal val="0"/>
          <c:showCatName val="0"/>
          <c:showSerName val="0"/>
          <c:showPercent val="0"/>
          <c:showBubbleSize val="0"/>
        </c:dLbls>
        <c:marker val="1"/>
        <c:smooth val="0"/>
        <c:axId val="152168320"/>
        <c:axId val="152169856"/>
      </c:lineChart>
      <c:lineChart>
        <c:grouping val="standard"/>
        <c:varyColors val="0"/>
        <c:ser>
          <c:idx val="0"/>
          <c:order val="0"/>
          <c:tx>
            <c:strRef>
              <c:f>Base_Trimestrielle!$EM$73</c:f>
              <c:strCache>
                <c:ptCount val="1"/>
                <c:pt idx="0">
                  <c:v>Suisse</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Base_Trimestrielle!$EM$143:$EM$169</c:f>
              <c:numCache>
                <c:formatCode>0.0</c:formatCode>
                <c:ptCount val="27"/>
                <c:pt idx="0">
                  <c:v>245.74969594300001</c:v>
                </c:pt>
                <c:pt idx="1">
                  <c:v>200.74948647400001</c:v>
                </c:pt>
                <c:pt idx="2">
                  <c:v>312.718843585</c:v>
                </c:pt>
                <c:pt idx="3">
                  <c:v>298.450118127</c:v>
                </c:pt>
                <c:pt idx="4">
                  <c:v>241.21063743400001</c:v>
                </c:pt>
                <c:pt idx="5">
                  <c:v>200.31495160899999</c:v>
                </c:pt>
                <c:pt idx="6">
                  <c:v>217.055105607</c:v>
                </c:pt>
                <c:pt idx="7" formatCode="General">
                  <c:v>212.802844948</c:v>
                </c:pt>
                <c:pt idx="8" formatCode="General">
                  <c:v>191.019939513</c:v>
                </c:pt>
                <c:pt idx="9" formatCode="General">
                  <c:v>318.08234667900001</c:v>
                </c:pt>
                <c:pt idx="10" formatCode="General">
                  <c:v>326.95828775000001</c:v>
                </c:pt>
                <c:pt idx="11" formatCode="General">
                  <c:v>359.86298142999999</c:v>
                </c:pt>
                <c:pt idx="12" formatCode="General">
                  <c:v>494.83997281799998</c:v>
                </c:pt>
                <c:pt idx="13" formatCode="General">
                  <c:v>499.77831787299999</c:v>
                </c:pt>
                <c:pt idx="14" formatCode="General">
                  <c:v>566.81743419500003</c:v>
                </c:pt>
                <c:pt idx="15" formatCode="General">
                  <c:v>514.19148629200004</c:v>
                </c:pt>
                <c:pt idx="16" formatCode="General">
                  <c:v>533.04162229999997</c:v>
                </c:pt>
                <c:pt idx="17" formatCode="General">
                  <c:v>482.24</c:v>
                </c:pt>
                <c:pt idx="18" formatCode="General">
                  <c:v>510.39</c:v>
                </c:pt>
                <c:pt idx="19" formatCode="General">
                  <c:v>554.03779066000004</c:v>
                </c:pt>
                <c:pt idx="20" formatCode="General">
                  <c:v>512.35</c:v>
                </c:pt>
                <c:pt idx="21" formatCode="General">
                  <c:v>415.32851616400001</c:v>
                </c:pt>
                <c:pt idx="22" formatCode="General">
                  <c:v>475.14969001899999</c:v>
                </c:pt>
                <c:pt idx="23" formatCode="General">
                  <c:v>467.43536460899998</c:v>
                </c:pt>
                <c:pt idx="24" formatCode="General">
                  <c:v>452.18488259499998</c:v>
                </c:pt>
                <c:pt idx="25" formatCode="General">
                  <c:v>456.53218923899999</c:v>
                </c:pt>
              </c:numCache>
            </c:numRef>
          </c:val>
          <c:smooth val="0"/>
          <c:extLst>
            <c:ext xmlns:c16="http://schemas.microsoft.com/office/drawing/2014/chart" uri="{C3380CC4-5D6E-409C-BE32-E72D297353CC}">
              <c16:uniqueId val="{00000000-DA65-4423-B796-9BF6A0C27CF9}"/>
            </c:ext>
          </c:extLst>
        </c:ser>
        <c:dLbls>
          <c:showLegendKey val="0"/>
          <c:showVal val="0"/>
          <c:showCatName val="0"/>
          <c:showSerName val="0"/>
          <c:showPercent val="0"/>
          <c:showBubbleSize val="0"/>
        </c:dLbls>
        <c:marker val="1"/>
        <c:smooth val="0"/>
        <c:axId val="152185856"/>
        <c:axId val="152184320"/>
      </c:lineChart>
      <c:dateAx>
        <c:axId val="152168320"/>
        <c:scaling>
          <c:orientation val="minMax"/>
        </c:scaling>
        <c:delete val="0"/>
        <c:axPos val="b"/>
        <c:numFmt formatCode="mm\ yyyy" sourceLinked="1"/>
        <c:majorTickMark val="out"/>
        <c:minorTickMark val="none"/>
        <c:tickLblPos val="nextTo"/>
        <c:txPr>
          <a:bodyPr rot="-4200000"/>
          <a:lstStyle/>
          <a:p>
            <a:pPr>
              <a:defRPr/>
            </a:pPr>
            <a:endParaRPr lang="fr-BF"/>
          </a:p>
        </c:txPr>
        <c:crossAx val="152169856"/>
        <c:crosses val="autoZero"/>
        <c:auto val="1"/>
        <c:lblOffset val="100"/>
        <c:baseTimeUnit val="months"/>
        <c:majorUnit val="3"/>
        <c:majorTimeUnit val="months"/>
      </c:dateAx>
      <c:valAx>
        <c:axId val="152169856"/>
        <c:scaling>
          <c:orientation val="minMax"/>
        </c:scaling>
        <c:delete val="0"/>
        <c:axPos val="l"/>
        <c:majorGridlines>
          <c:spPr>
            <a:ln>
              <a:prstDash val="dash"/>
            </a:ln>
          </c:spPr>
        </c:majorGridlines>
        <c:title>
          <c:tx>
            <c:rich>
              <a:bodyPr rot="-5400000" vert="horz"/>
              <a:lstStyle/>
              <a:p>
                <a:pPr>
                  <a:defRPr/>
                </a:pPr>
                <a:r>
                  <a:rPr lang="en-US"/>
                  <a:t>Milliards Fcfa</a:t>
                </a:r>
              </a:p>
            </c:rich>
          </c:tx>
          <c:overlay val="0"/>
        </c:title>
        <c:numFmt formatCode="#,##0" sourceLinked="0"/>
        <c:majorTickMark val="out"/>
        <c:minorTickMark val="none"/>
        <c:tickLblPos val="nextTo"/>
        <c:crossAx val="152168320"/>
        <c:crosses val="autoZero"/>
        <c:crossBetween val="between"/>
      </c:valAx>
      <c:valAx>
        <c:axId val="152184320"/>
        <c:scaling>
          <c:orientation val="minMax"/>
        </c:scaling>
        <c:delete val="0"/>
        <c:axPos val="r"/>
        <c:numFmt formatCode="0.0" sourceLinked="1"/>
        <c:majorTickMark val="out"/>
        <c:minorTickMark val="none"/>
        <c:tickLblPos val="nextTo"/>
        <c:crossAx val="152185856"/>
        <c:crosses val="max"/>
        <c:crossBetween val="between"/>
      </c:valAx>
      <c:dateAx>
        <c:axId val="152185856"/>
        <c:scaling>
          <c:orientation val="minMax"/>
        </c:scaling>
        <c:delete val="1"/>
        <c:axPos val="b"/>
        <c:numFmt formatCode="mm\ yyyy" sourceLinked="1"/>
        <c:majorTickMark val="out"/>
        <c:minorTickMark val="none"/>
        <c:tickLblPos val="nextTo"/>
        <c:crossAx val="152184320"/>
        <c:crosses val="autoZero"/>
        <c:auto val="1"/>
        <c:lblOffset val="100"/>
        <c:baseTimeUnit val="months"/>
      </c:dateAx>
    </c:plotArea>
    <c:legend>
      <c:legendPos val="b"/>
      <c:layout>
        <c:manualLayout>
          <c:xMode val="edge"/>
          <c:yMode val="edge"/>
          <c:x val="0.14829666616876144"/>
          <c:y val="0.92649222200883463"/>
          <c:w val="0.70340666766247761"/>
          <c:h val="7.3507777991165812E-2"/>
        </c:manualLayout>
      </c:layout>
      <c:overlay val="0"/>
    </c:legend>
    <c:plotVisOnly val="1"/>
    <c:dispBlanksAs val="gap"/>
    <c:showDLblsOverMax val="0"/>
  </c:chart>
  <c:spPr>
    <a:ln>
      <a:noFill/>
    </a:ln>
  </c:spPr>
  <c:printSettings>
    <c:headerFooter/>
    <c:pageMargins b="0.74803149606299879" l="0.70866141732284216" r="0.70866141732284216" t="0.74803149606299879" header="0.31496062992126594" footer="0.31496062992126594"/>
    <c:pageSetup firstPageNumber="21" orientation="portrait" useFirstPageNumber="1"/>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fr-FR" sz="1000" b="1" i="0" baseline="0">
                <a:effectLst/>
              </a:rPr>
              <a:t>Importations du Burkina dans les principaux pays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endParaRPr lang="fr-FR" sz="1000"/>
          </a:p>
        </c:rich>
      </c:tx>
      <c:overlay val="0"/>
    </c:title>
    <c:autoTitleDeleted val="0"/>
    <c:plotArea>
      <c:layout>
        <c:manualLayout>
          <c:layoutTarget val="inner"/>
          <c:xMode val="edge"/>
          <c:yMode val="edge"/>
          <c:x val="9.4548670546616767E-2"/>
          <c:y val="0.1008745666051003"/>
          <c:w val="0.88552379322149943"/>
          <c:h val="0.61266647224653203"/>
        </c:manualLayout>
      </c:layout>
      <c:lineChart>
        <c:grouping val="standard"/>
        <c:varyColors val="0"/>
        <c:ser>
          <c:idx val="5"/>
          <c:order val="0"/>
          <c:tx>
            <c:strRef>
              <c:f>Base_Trimestrielle!$EX$73</c:f>
              <c:strCache>
                <c:ptCount val="1"/>
                <c:pt idx="0">
                  <c:v>Cote d'ivoire</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Base_Trimestrielle!$EX$143:$EX$168</c:f>
              <c:numCache>
                <c:formatCode>0.0</c:formatCode>
                <c:ptCount val="26"/>
                <c:pt idx="0">
                  <c:v>50.757000103839999</c:v>
                </c:pt>
                <c:pt idx="1">
                  <c:v>46.689397742230007</c:v>
                </c:pt>
                <c:pt idx="2">
                  <c:v>87.411310212520007</c:v>
                </c:pt>
                <c:pt idx="3">
                  <c:v>64.436302135440002</c:v>
                </c:pt>
                <c:pt idx="4">
                  <c:v>73.099999999999994</c:v>
                </c:pt>
                <c:pt idx="5">
                  <c:v>54.3</c:v>
                </c:pt>
                <c:pt idx="6">
                  <c:v>79.182656811149997</c:v>
                </c:pt>
                <c:pt idx="7" formatCode="General">
                  <c:v>58.268389567</c:v>
                </c:pt>
                <c:pt idx="8" formatCode="General">
                  <c:v>69.309907392</c:v>
                </c:pt>
                <c:pt idx="9" formatCode="General">
                  <c:v>63.845431714999997</c:v>
                </c:pt>
                <c:pt idx="10" formatCode="General">
                  <c:v>63.857244340419996</c:v>
                </c:pt>
                <c:pt idx="11" formatCode="General">
                  <c:v>41.955531306047</c:v>
                </c:pt>
                <c:pt idx="12" formatCode="General">
                  <c:v>38.827098750219001</c:v>
                </c:pt>
                <c:pt idx="13" formatCode="General">
                  <c:v>49.531118783275005</c:v>
                </c:pt>
                <c:pt idx="14" formatCode="General">
                  <c:v>65.065101318155996</c:v>
                </c:pt>
                <c:pt idx="15" formatCode="General">
                  <c:v>48.706145901554997</c:v>
                </c:pt>
                <c:pt idx="16" formatCode="General">
                  <c:v>55.457545993126999</c:v>
                </c:pt>
                <c:pt idx="17" formatCode="General">
                  <c:v>50.4</c:v>
                </c:pt>
                <c:pt idx="18" formatCode="General">
                  <c:v>62.6</c:v>
                </c:pt>
                <c:pt idx="19">
                  <c:v>64.823488162000004</c:v>
                </c:pt>
                <c:pt idx="20" formatCode="General">
                  <c:v>99.4</c:v>
                </c:pt>
                <c:pt idx="21" formatCode="General">
                  <c:v>112.51374748000001</c:v>
                </c:pt>
                <c:pt idx="22" formatCode="General">
                  <c:v>95.245066007999995</c:v>
                </c:pt>
                <c:pt idx="23" formatCode="General">
                  <c:v>113.00471533699999</c:v>
                </c:pt>
                <c:pt idx="24" formatCode="General">
                  <c:v>113.722828647</c:v>
                </c:pt>
                <c:pt idx="25" formatCode="General">
                  <c:v>99.895209113000007</c:v>
                </c:pt>
              </c:numCache>
            </c:numRef>
          </c:val>
          <c:smooth val="0"/>
          <c:extLst>
            <c:ext xmlns:c16="http://schemas.microsoft.com/office/drawing/2014/chart" uri="{C3380CC4-5D6E-409C-BE32-E72D297353CC}">
              <c16:uniqueId val="{00000000-B267-4B50-8CA0-B9495AD0021F}"/>
            </c:ext>
          </c:extLst>
        </c:ser>
        <c:ser>
          <c:idx val="6"/>
          <c:order val="1"/>
          <c:tx>
            <c:strRef>
              <c:f>Base_Trimestrielle!$EY$73</c:f>
              <c:strCache>
                <c:ptCount val="1"/>
                <c:pt idx="0">
                  <c:v>Togo</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Base_Trimestrielle!$EY$143:$EY$168</c:f>
              <c:numCache>
                <c:formatCode>0.0</c:formatCode>
                <c:ptCount val="26"/>
                <c:pt idx="0">
                  <c:v>17.703122917849999</c:v>
                </c:pt>
                <c:pt idx="1">
                  <c:v>19.659228163790001</c:v>
                </c:pt>
                <c:pt idx="2">
                  <c:v>14.809743448959999</c:v>
                </c:pt>
                <c:pt idx="3">
                  <c:v>14.69468217112</c:v>
                </c:pt>
                <c:pt idx="4">
                  <c:v>16.056419817769999</c:v>
                </c:pt>
                <c:pt idx="5">
                  <c:v>12.8</c:v>
                </c:pt>
                <c:pt idx="6">
                  <c:v>28.599071029139999</c:v>
                </c:pt>
                <c:pt idx="7" formatCode="General">
                  <c:v>8.4824084529999997</c:v>
                </c:pt>
                <c:pt idx="8" formatCode="General">
                  <c:v>7.3543748510000002</c:v>
                </c:pt>
                <c:pt idx="9" formatCode="General">
                  <c:v>12.264648192999999</c:v>
                </c:pt>
                <c:pt idx="10" formatCode="General">
                  <c:v>12.914170231309999</c:v>
                </c:pt>
                <c:pt idx="11" formatCode="General">
                  <c:v>26.237740391500001</c:v>
                </c:pt>
                <c:pt idx="12" formatCode="General">
                  <c:v>20.133776482999998</c:v>
                </c:pt>
                <c:pt idx="13" formatCode="General">
                  <c:v>17.813620640500002</c:v>
                </c:pt>
                <c:pt idx="14" formatCode="General">
                  <c:v>17.446131309999998</c:v>
                </c:pt>
                <c:pt idx="15" formatCode="General">
                  <c:v>17.063832856219999</c:v>
                </c:pt>
                <c:pt idx="16" formatCode="General">
                  <c:v>14.101144564</c:v>
                </c:pt>
                <c:pt idx="17" formatCode="General">
                  <c:v>4.9000000000000004</c:v>
                </c:pt>
                <c:pt idx="18" formatCode="General">
                  <c:v>36.700000000000003</c:v>
                </c:pt>
                <c:pt idx="19">
                  <c:v>19.794148152000002</c:v>
                </c:pt>
                <c:pt idx="20" formatCode="General">
                  <c:v>12.6</c:v>
                </c:pt>
                <c:pt idx="21" formatCode="General">
                  <c:v>35.672815735063004</c:v>
                </c:pt>
                <c:pt idx="22" formatCode="General">
                  <c:v>55.202577695000002</c:v>
                </c:pt>
                <c:pt idx="23" formatCode="General">
                  <c:v>47.296963978999997</c:v>
                </c:pt>
                <c:pt idx="24" formatCode="General">
                  <c:v>40.76470656</c:v>
                </c:pt>
                <c:pt idx="25" formatCode="General">
                  <c:v>21.700344121000001</c:v>
                </c:pt>
              </c:numCache>
            </c:numRef>
          </c:val>
          <c:smooth val="0"/>
          <c:extLst>
            <c:ext xmlns:c16="http://schemas.microsoft.com/office/drawing/2014/chart" uri="{C3380CC4-5D6E-409C-BE32-E72D297353CC}">
              <c16:uniqueId val="{00000001-B267-4B50-8CA0-B9495AD0021F}"/>
            </c:ext>
          </c:extLst>
        </c:ser>
        <c:ser>
          <c:idx val="7"/>
          <c:order val="2"/>
          <c:tx>
            <c:strRef>
              <c:f>Base_Trimestrielle!$EZ$73</c:f>
              <c:strCache>
                <c:ptCount val="1"/>
                <c:pt idx="0">
                  <c:v>France</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Base_Trimestrielle!$EZ$143:$EZ$168</c:f>
              <c:numCache>
                <c:formatCode>0.0</c:formatCode>
                <c:ptCount val="26"/>
                <c:pt idx="0">
                  <c:v>49.544146874089996</c:v>
                </c:pt>
                <c:pt idx="1">
                  <c:v>46.101187491080005</c:v>
                </c:pt>
                <c:pt idx="2">
                  <c:v>48.890630373500002</c:v>
                </c:pt>
                <c:pt idx="3">
                  <c:v>42.216660224080002</c:v>
                </c:pt>
                <c:pt idx="4">
                  <c:v>36.233079936370004</c:v>
                </c:pt>
                <c:pt idx="5">
                  <c:v>39.9</c:v>
                </c:pt>
                <c:pt idx="6">
                  <c:v>53.806020649040001</c:v>
                </c:pt>
                <c:pt idx="7" formatCode="General">
                  <c:v>51.290542068000001</c:v>
                </c:pt>
                <c:pt idx="8" formatCode="General">
                  <c:v>42.848132446000001</c:v>
                </c:pt>
                <c:pt idx="9" formatCode="General">
                  <c:v>43.275934186999997</c:v>
                </c:pt>
                <c:pt idx="10" formatCode="General">
                  <c:v>42.873437856499997</c:v>
                </c:pt>
                <c:pt idx="11" formatCode="General">
                  <c:v>44.253830116499998</c:v>
                </c:pt>
                <c:pt idx="12" formatCode="General">
                  <c:v>48.028445451000003</c:v>
                </c:pt>
                <c:pt idx="13" formatCode="General">
                  <c:v>35.979537810780997</c:v>
                </c:pt>
                <c:pt idx="14" formatCode="General">
                  <c:v>47.411011559999999</c:v>
                </c:pt>
                <c:pt idx="15" formatCode="General">
                  <c:v>41.605282994421998</c:v>
                </c:pt>
                <c:pt idx="16" formatCode="General">
                  <c:v>52.290639748148003</c:v>
                </c:pt>
                <c:pt idx="17" formatCode="General">
                  <c:v>56.7</c:v>
                </c:pt>
                <c:pt idx="18" formatCode="General">
                  <c:v>52.5</c:v>
                </c:pt>
                <c:pt idx="19">
                  <c:v>50.375993694000002</c:v>
                </c:pt>
                <c:pt idx="20" formatCode="General">
                  <c:v>93.4</c:v>
                </c:pt>
                <c:pt idx="21" formatCode="General">
                  <c:v>75.659734551</c:v>
                </c:pt>
                <c:pt idx="22" formatCode="General">
                  <c:v>106.117880054</c:v>
                </c:pt>
                <c:pt idx="23" formatCode="General">
                  <c:v>71.016905443374995</c:v>
                </c:pt>
                <c:pt idx="24" formatCode="General">
                  <c:v>63.866997503999997</c:v>
                </c:pt>
                <c:pt idx="25" formatCode="General">
                  <c:v>71.644265686871009</c:v>
                </c:pt>
              </c:numCache>
            </c:numRef>
          </c:val>
          <c:smooth val="0"/>
          <c:extLst>
            <c:ext xmlns:c16="http://schemas.microsoft.com/office/drawing/2014/chart" uri="{C3380CC4-5D6E-409C-BE32-E72D297353CC}">
              <c16:uniqueId val="{00000002-B267-4B50-8CA0-B9495AD0021F}"/>
            </c:ext>
          </c:extLst>
        </c:ser>
        <c:ser>
          <c:idx val="8"/>
          <c:order val="3"/>
          <c:tx>
            <c:strRef>
              <c:f>Base_Trimestrielle!$FA$73</c:f>
              <c:strCache>
                <c:ptCount val="1"/>
                <c:pt idx="0">
                  <c:v>Benin</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Base_Trimestrielle!$FA$140:$FA$165</c:f>
              <c:numCache>
                <c:formatCode>0.0</c:formatCode>
                <c:ptCount val="26"/>
                <c:pt idx="0">
                  <c:v>0.16573685376</c:v>
                </c:pt>
                <c:pt idx="1">
                  <c:v>0.21770429382000001</c:v>
                </c:pt>
                <c:pt idx="2">
                  <c:v>0.1721760242</c:v>
                </c:pt>
                <c:pt idx="3">
                  <c:v>0.15222856465000001</c:v>
                </c:pt>
                <c:pt idx="4">
                  <c:v>0.28607003467000003</c:v>
                </c:pt>
                <c:pt idx="5">
                  <c:v>0.56085551875999995</c:v>
                </c:pt>
                <c:pt idx="6">
                  <c:v>0.37847460723999998</c:v>
                </c:pt>
                <c:pt idx="7">
                  <c:v>0.7520110644500001</c:v>
                </c:pt>
                <c:pt idx="8">
                  <c:v>0.41866079899999997</c:v>
                </c:pt>
                <c:pt idx="9">
                  <c:v>0.24048883099999999</c:v>
                </c:pt>
                <c:pt idx="10" formatCode="General">
                  <c:v>0.69564974499999999</c:v>
                </c:pt>
                <c:pt idx="11" formatCode="General">
                  <c:v>1.885379379</c:v>
                </c:pt>
                <c:pt idx="12" formatCode="General">
                  <c:v>3.024550756</c:v>
                </c:pt>
                <c:pt idx="13" formatCode="General">
                  <c:v>0.81871633399999999</c:v>
                </c:pt>
                <c:pt idx="14" formatCode="General">
                  <c:v>2.8976057869999998</c:v>
                </c:pt>
                <c:pt idx="15" formatCode="General">
                  <c:v>3.0519295359999998</c:v>
                </c:pt>
                <c:pt idx="16" formatCode="General">
                  <c:v>3.8868126461880004</c:v>
                </c:pt>
                <c:pt idx="17" formatCode="General">
                  <c:v>3.4013041617810003</c:v>
                </c:pt>
                <c:pt idx="18" formatCode="General">
                  <c:v>2.0288882577499998</c:v>
                </c:pt>
                <c:pt idx="19" formatCode="General">
                  <c:v>1.50788295375</c:v>
                </c:pt>
                <c:pt idx="20" formatCode="General">
                  <c:v>1.9</c:v>
                </c:pt>
                <c:pt idx="21" formatCode="General">
                  <c:v>0.6</c:v>
                </c:pt>
                <c:pt idx="22" formatCode="General">
                  <c:v>0.4</c:v>
                </c:pt>
                <c:pt idx="23" formatCode="General">
                  <c:v>0.6</c:v>
                </c:pt>
                <c:pt idx="24" formatCode="General">
                  <c:v>0.2</c:v>
                </c:pt>
                <c:pt idx="25" formatCode="General">
                  <c:v>0.3</c:v>
                </c:pt>
              </c:numCache>
            </c:numRef>
          </c:val>
          <c:smooth val="0"/>
          <c:extLst>
            <c:ext xmlns:c16="http://schemas.microsoft.com/office/drawing/2014/chart" uri="{C3380CC4-5D6E-409C-BE32-E72D297353CC}">
              <c16:uniqueId val="{00000003-B267-4B50-8CA0-B9495AD0021F}"/>
            </c:ext>
          </c:extLst>
        </c:ser>
        <c:ser>
          <c:idx val="9"/>
          <c:order val="4"/>
          <c:tx>
            <c:strRef>
              <c:f>Base_Trimestrielle!$FB$73</c:f>
              <c:strCache>
                <c:ptCount val="1"/>
                <c:pt idx="0">
                  <c:v>Chine(République populaire de)</c:v>
                </c:pt>
              </c:strCache>
            </c:strRef>
          </c:tx>
          <c:marker>
            <c:symbol val="none"/>
          </c:marker>
          <c:cat>
            <c:numRef>
              <c:f>Base_Trimestrielle!$DD$143:$DD$169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Base_Trimestrielle!$FB$143:$FB$169</c:f>
              <c:numCache>
                <c:formatCode>0.0</c:formatCode>
                <c:ptCount val="27"/>
                <c:pt idx="0">
                  <c:v>67.573974983599996</c:v>
                </c:pt>
                <c:pt idx="1">
                  <c:v>105.11664617130999</c:v>
                </c:pt>
                <c:pt idx="2">
                  <c:v>64.599999999999994</c:v>
                </c:pt>
                <c:pt idx="3">
                  <c:v>65.733822857699991</c:v>
                </c:pt>
                <c:pt idx="4">
                  <c:v>73.426828626350002</c:v>
                </c:pt>
                <c:pt idx="5">
                  <c:v>64.599999999999994</c:v>
                </c:pt>
                <c:pt idx="6">
                  <c:v>79.458201240329998</c:v>
                </c:pt>
                <c:pt idx="7" formatCode="General">
                  <c:v>67.627443744000004</c:v>
                </c:pt>
                <c:pt idx="8" formatCode="General">
                  <c:v>70.922200211000003</c:v>
                </c:pt>
                <c:pt idx="9" formatCode="General">
                  <c:v>61.881929827999997</c:v>
                </c:pt>
                <c:pt idx="10" formatCode="General">
                  <c:v>73.435014476717996</c:v>
                </c:pt>
                <c:pt idx="11" formatCode="General">
                  <c:v>68.94505255702299</c:v>
                </c:pt>
                <c:pt idx="12" formatCode="General">
                  <c:v>65.971140720999998</c:v>
                </c:pt>
                <c:pt idx="13" formatCode="General">
                  <c:v>72.638182231000002</c:v>
                </c:pt>
                <c:pt idx="14" formatCode="General">
                  <c:v>75.154914817999995</c:v>
                </c:pt>
                <c:pt idx="15" formatCode="General">
                  <c:v>79.890193099000001</c:v>
                </c:pt>
                <c:pt idx="16" formatCode="General">
                  <c:v>73.304060823499995</c:v>
                </c:pt>
                <c:pt idx="17" formatCode="General">
                  <c:v>90.2</c:v>
                </c:pt>
                <c:pt idx="18" formatCode="General">
                  <c:v>99.7</c:v>
                </c:pt>
                <c:pt idx="19">
                  <c:v>100.428506623</c:v>
                </c:pt>
                <c:pt idx="20" formatCode="General">
                  <c:v>120.5</c:v>
                </c:pt>
                <c:pt idx="21" formatCode="General">
                  <c:v>118.58349210999999</c:v>
                </c:pt>
                <c:pt idx="22" formatCode="General">
                  <c:v>117.76732165999999</c:v>
                </c:pt>
                <c:pt idx="23" formatCode="General">
                  <c:v>121.45026629175</c:v>
                </c:pt>
                <c:pt idx="24" formatCode="General">
                  <c:v>122.98584519649999</c:v>
                </c:pt>
                <c:pt idx="25" formatCode="General">
                  <c:v>128.58089812927901</c:v>
                </c:pt>
              </c:numCache>
            </c:numRef>
          </c:val>
          <c:smooth val="0"/>
          <c:extLst>
            <c:ext xmlns:c16="http://schemas.microsoft.com/office/drawing/2014/chart" uri="{C3380CC4-5D6E-409C-BE32-E72D297353CC}">
              <c16:uniqueId val="{00000004-B267-4B50-8CA0-B9495AD0021F}"/>
            </c:ext>
          </c:extLst>
        </c:ser>
        <c:dLbls>
          <c:showLegendKey val="0"/>
          <c:showVal val="0"/>
          <c:showCatName val="0"/>
          <c:showSerName val="0"/>
          <c:showPercent val="0"/>
          <c:showBubbleSize val="0"/>
        </c:dLbls>
        <c:smooth val="0"/>
        <c:axId val="152233472"/>
        <c:axId val="152235008"/>
      </c:lineChart>
      <c:dateAx>
        <c:axId val="152233472"/>
        <c:scaling>
          <c:orientation val="minMax"/>
        </c:scaling>
        <c:delete val="0"/>
        <c:axPos val="b"/>
        <c:numFmt formatCode="mm\ yyyy" sourceLinked="1"/>
        <c:majorTickMark val="out"/>
        <c:minorTickMark val="none"/>
        <c:tickLblPos val="nextTo"/>
        <c:crossAx val="152235008"/>
        <c:crosses val="autoZero"/>
        <c:auto val="1"/>
        <c:lblOffset val="100"/>
        <c:baseTimeUnit val="months"/>
      </c:dateAx>
      <c:valAx>
        <c:axId val="152235008"/>
        <c:scaling>
          <c:orientation val="minMax"/>
        </c:scaling>
        <c:delete val="0"/>
        <c:axPos val="l"/>
        <c:majorGridlines>
          <c:spPr>
            <a:ln>
              <a:prstDash val="dash"/>
            </a:ln>
          </c:spPr>
        </c:majorGridlines>
        <c:title>
          <c:tx>
            <c:rich>
              <a:bodyPr rot="-5400000" vert="horz"/>
              <a:lstStyle/>
              <a:p>
                <a:pPr>
                  <a:defRPr/>
                </a:pPr>
                <a:r>
                  <a:rPr lang="en-US"/>
                  <a:t>Milliards Fcfa</a:t>
                </a:r>
              </a:p>
            </c:rich>
          </c:tx>
          <c:overlay val="0"/>
        </c:title>
        <c:numFmt formatCode="#,##0" sourceLinked="0"/>
        <c:majorTickMark val="out"/>
        <c:minorTickMark val="none"/>
        <c:tickLblPos val="nextTo"/>
        <c:crossAx val="152233472"/>
        <c:crosses val="autoZero"/>
        <c:crossBetween val="between"/>
      </c:valAx>
    </c:plotArea>
    <c:legend>
      <c:legendPos val="b"/>
      <c:layout>
        <c:manualLayout>
          <c:xMode val="edge"/>
          <c:yMode val="edge"/>
          <c:x val="9.6503480543193007E-2"/>
          <c:y val="0.92969994491429364"/>
          <c:w val="0.80699289626841131"/>
          <c:h val="6.6184828748258318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7.9247594050744524E-2"/>
          <c:y val="6.4641162278957345E-2"/>
          <c:w val="0.89019685039370655"/>
          <c:h val="0.57371482630334136"/>
        </c:manualLayout>
      </c:layout>
      <c:lineChart>
        <c:grouping val="standard"/>
        <c:varyColors val="0"/>
        <c:ser>
          <c:idx val="0"/>
          <c:order val="0"/>
          <c:tx>
            <c:v>Franc suisse</c:v>
          </c:tx>
          <c:spPr>
            <a:ln w="28575" cap="rnd">
              <a:solidFill>
                <a:schemeClr val="accent1"/>
              </a:solidFill>
              <a:round/>
            </a:ln>
            <a:effectLst/>
          </c:spPr>
          <c:marker>
            <c:symbol val="none"/>
          </c:marker>
          <c:cat>
            <c:numRef>
              <c:f>Serie_Graph3!$B$60:$B$111</c:f>
              <c:numCache>
                <c:formatCode>m/d/yyyy</c:formatCode>
                <c:ptCount val="5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numCache>
            </c:numRef>
          </c:cat>
          <c:val>
            <c:numRef>
              <c:f>Serie_Graph3!$E$60:$E$111</c:f>
              <c:numCache>
                <c:formatCode>0</c:formatCode>
                <c:ptCount val="52"/>
                <c:pt idx="0">
                  <c:v>604.34586327621162</c:v>
                </c:pt>
                <c:pt idx="1">
                  <c:v>613.38788105479716</c:v>
                </c:pt>
                <c:pt idx="2">
                  <c:v>618.01111739212365</c:v>
                </c:pt>
                <c:pt idx="3">
                  <c:v>619.70429853566372</c:v>
                </c:pt>
                <c:pt idx="4">
                  <c:v>621.8777</c:v>
                </c:pt>
                <c:pt idx="5">
                  <c:v>620.8338</c:v>
                </c:pt>
                <c:pt idx="6">
                  <c:v>612.18439999999998</c:v>
                </c:pt>
                <c:pt idx="7">
                  <c:v>612.84439999999995</c:v>
                </c:pt>
                <c:pt idx="8">
                  <c:v>609.29740000000004</c:v>
                </c:pt>
                <c:pt idx="9">
                  <c:v>608.11429999999996</c:v>
                </c:pt>
                <c:pt idx="10">
                  <c:v>610.88630000000001</c:v>
                </c:pt>
                <c:pt idx="11">
                  <c:v>608.27779999999996</c:v>
                </c:pt>
                <c:pt idx="12">
                  <c:v>606.61959999999999</c:v>
                </c:pt>
                <c:pt idx="13">
                  <c:v>607.73820000000001</c:v>
                </c:pt>
                <c:pt idx="14">
                  <c:v>604.0213</c:v>
                </c:pt>
                <c:pt idx="15">
                  <c:v>592.91600000000005</c:v>
                </c:pt>
                <c:pt idx="16">
                  <c:v>594.58929999999998</c:v>
                </c:pt>
                <c:pt idx="17">
                  <c:v>598.31619999999998</c:v>
                </c:pt>
                <c:pt idx="18">
                  <c:v>599.93340000000001</c:v>
                </c:pt>
                <c:pt idx="19">
                  <c:v>604.92409999999995</c:v>
                </c:pt>
                <c:pt idx="20">
                  <c:v>609.52919999999995</c:v>
                </c:pt>
                <c:pt idx="21">
                  <c:v>604.18610000000001</c:v>
                </c:pt>
                <c:pt idx="22">
                  <c:v>612.82039999999995</c:v>
                </c:pt>
                <c:pt idx="23">
                  <c:v>623.86009999999999</c:v>
                </c:pt>
                <c:pt idx="24">
                  <c:v>630.20270000000005</c:v>
                </c:pt>
                <c:pt idx="25">
                  <c:v>630.58190000000002</c:v>
                </c:pt>
                <c:pt idx="26">
                  <c:v>627.01130000000001</c:v>
                </c:pt>
                <c:pt idx="27">
                  <c:v>640.55830000000003</c:v>
                </c:pt>
                <c:pt idx="28">
                  <c:v>642.3433</c:v>
                </c:pt>
                <c:pt idx="29">
                  <c:v>633.06219999999996</c:v>
                </c:pt>
                <c:pt idx="30">
                  <c:v>640.17939999999999</c:v>
                </c:pt>
                <c:pt idx="31">
                  <c:v>664.63850000000002</c:v>
                </c:pt>
                <c:pt idx="32">
                  <c:v>676.63099999999997</c:v>
                </c:pt>
                <c:pt idx="33">
                  <c:v>680.48519999999996</c:v>
                </c:pt>
                <c:pt idx="34">
                  <c:v>669.46669999999995</c:v>
                </c:pt>
                <c:pt idx="35">
                  <c:v>666.41989999999998</c:v>
                </c:pt>
                <c:pt idx="36">
                  <c:v>664.39549999999997</c:v>
                </c:pt>
                <c:pt idx="37">
                  <c:v>658.44</c:v>
                </c:pt>
                <c:pt idx="38">
                  <c:v>661.88</c:v>
                </c:pt>
                <c:pt idx="39">
                  <c:v>661.32</c:v>
                </c:pt>
                <c:pt idx="40">
                  <c:v>664.98</c:v>
                </c:pt>
                <c:pt idx="41">
                  <c:v>672.07</c:v>
                </c:pt>
                <c:pt idx="42">
                  <c:v>671.92</c:v>
                </c:pt>
                <c:pt idx="43">
                  <c:v>679.02</c:v>
                </c:pt>
                <c:pt idx="44">
                  <c:v>684.5</c:v>
                </c:pt>
                <c:pt idx="45">
                  <c:v>683.27</c:v>
                </c:pt>
                <c:pt idx="46">
                  <c:v>687.08</c:v>
                </c:pt>
                <c:pt idx="47">
                  <c:v>680.71</c:v>
                </c:pt>
                <c:pt idx="48">
                  <c:v>695</c:v>
                </c:pt>
              </c:numCache>
            </c:numRef>
          </c:val>
          <c:smooth val="0"/>
          <c:extLst>
            <c:ext xmlns:c16="http://schemas.microsoft.com/office/drawing/2014/chart" uri="{C3380CC4-5D6E-409C-BE32-E72D297353CC}">
              <c16:uniqueId val="{00000000-6923-4183-9997-8F39045B1CFD}"/>
            </c:ext>
          </c:extLst>
        </c:ser>
        <c:dLbls>
          <c:showLegendKey val="0"/>
          <c:showVal val="0"/>
          <c:showCatName val="0"/>
          <c:showSerName val="0"/>
          <c:showPercent val="0"/>
          <c:showBubbleSize val="0"/>
        </c:dLbls>
        <c:smooth val="0"/>
        <c:axId val="146632064"/>
        <c:axId val="146633856"/>
      </c:lineChart>
      <c:dateAx>
        <c:axId val="146632064"/>
        <c:scaling>
          <c:orientation val="minMax"/>
        </c:scaling>
        <c:delete val="0"/>
        <c:axPos val="b"/>
        <c:numFmt formatCode="[$-40C]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fr-BF"/>
          </a:p>
        </c:txPr>
        <c:crossAx val="146633856"/>
        <c:crosses val="autoZero"/>
        <c:auto val="1"/>
        <c:lblOffset val="100"/>
        <c:baseTimeUnit val="months"/>
      </c:dateAx>
      <c:valAx>
        <c:axId val="146633856"/>
        <c:scaling>
          <c:orientation val="minMax"/>
          <c:min val="54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663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b="1"/>
              <a:t>Indice harmonisé des prix à la consommation (base 100 en 2014)</a:t>
            </a:r>
          </a:p>
        </c:rich>
      </c:tx>
      <c:overlay val="0"/>
      <c:spPr>
        <a:noFill/>
        <a:ln>
          <a:noFill/>
        </a:ln>
        <a:effectLst/>
      </c:spPr>
    </c:title>
    <c:autoTitleDeleted val="0"/>
    <c:plotArea>
      <c:layout>
        <c:manualLayout>
          <c:layoutTarget val="inner"/>
          <c:xMode val="edge"/>
          <c:yMode val="edge"/>
          <c:x val="7.6393571390463599E-2"/>
          <c:y val="0.15450201248744036"/>
          <c:w val="0.8397520247975202"/>
          <c:h val="0.58891851851851862"/>
        </c:manualLayout>
      </c:layout>
      <c:lineChart>
        <c:grouping val="standard"/>
        <c:varyColors val="0"/>
        <c:ser>
          <c:idx val="0"/>
          <c:order val="0"/>
          <c:tx>
            <c:strRef>
              <c:f>Serie_Graph3!$AC$3</c:f>
              <c:strCache>
                <c:ptCount val="1"/>
                <c:pt idx="0">
                  <c:v>IHPC</c:v>
                </c:pt>
              </c:strCache>
            </c:strRef>
          </c:tx>
          <c:spPr>
            <a:ln w="28575" cap="rnd">
              <a:solidFill>
                <a:schemeClr val="accent1"/>
              </a:solidFill>
              <a:round/>
            </a:ln>
            <a:effectLst/>
          </c:spPr>
          <c:marker>
            <c:symbol val="none"/>
          </c:marker>
          <c:cat>
            <c:numRef>
              <c:f>Serie_Graph3!$AB$63:$AB$109</c:f>
              <c:numCache>
                <c:formatCode>m/d/yyyy</c:formatCode>
                <c:ptCount val="4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pt idx="17">
                  <c:v>44378</c:v>
                </c:pt>
                <c:pt idx="18">
                  <c:v>44409</c:v>
                </c:pt>
                <c:pt idx="19">
                  <c:v>44440</c:v>
                </c:pt>
                <c:pt idx="20">
                  <c:v>44470</c:v>
                </c:pt>
                <c:pt idx="21">
                  <c:v>44501</c:v>
                </c:pt>
                <c:pt idx="22">
                  <c:v>44531</c:v>
                </c:pt>
                <c:pt idx="23">
                  <c:v>44562</c:v>
                </c:pt>
                <c:pt idx="24">
                  <c:v>44593</c:v>
                </c:pt>
                <c:pt idx="25">
                  <c:v>44621</c:v>
                </c:pt>
                <c:pt idx="26">
                  <c:v>44652</c:v>
                </c:pt>
                <c:pt idx="27">
                  <c:v>44682</c:v>
                </c:pt>
                <c:pt idx="28">
                  <c:v>44713</c:v>
                </c:pt>
                <c:pt idx="29">
                  <c:v>44743</c:v>
                </c:pt>
                <c:pt idx="30">
                  <c:v>44774</c:v>
                </c:pt>
                <c:pt idx="31">
                  <c:v>44805</c:v>
                </c:pt>
                <c:pt idx="32">
                  <c:v>44835</c:v>
                </c:pt>
                <c:pt idx="33">
                  <c:v>44866</c:v>
                </c:pt>
                <c:pt idx="34">
                  <c:v>44896</c:v>
                </c:pt>
                <c:pt idx="35">
                  <c:v>44927</c:v>
                </c:pt>
                <c:pt idx="36">
                  <c:v>44958</c:v>
                </c:pt>
                <c:pt idx="37">
                  <c:v>44986</c:v>
                </c:pt>
                <c:pt idx="38">
                  <c:v>45017</c:v>
                </c:pt>
                <c:pt idx="39">
                  <c:v>45047</c:v>
                </c:pt>
                <c:pt idx="40">
                  <c:v>45078</c:v>
                </c:pt>
                <c:pt idx="41">
                  <c:v>45108</c:v>
                </c:pt>
                <c:pt idx="42">
                  <c:v>45139</c:v>
                </c:pt>
                <c:pt idx="43">
                  <c:v>45170</c:v>
                </c:pt>
                <c:pt idx="44">
                  <c:v>45200</c:v>
                </c:pt>
                <c:pt idx="45">
                  <c:v>45231</c:v>
                </c:pt>
                <c:pt idx="46">
                  <c:v>45261</c:v>
                </c:pt>
              </c:numCache>
            </c:numRef>
          </c:cat>
          <c:val>
            <c:numRef>
              <c:f>Serie_Graph3!$AC$63:$AC$109</c:f>
              <c:numCache>
                <c:formatCode>0</c:formatCode>
                <c:ptCount val="47"/>
                <c:pt idx="0">
                  <c:v>102.23</c:v>
                </c:pt>
                <c:pt idx="1">
                  <c:v>101.97</c:v>
                </c:pt>
                <c:pt idx="2">
                  <c:v>101.53</c:v>
                </c:pt>
                <c:pt idx="3">
                  <c:v>105.51</c:v>
                </c:pt>
                <c:pt idx="4">
                  <c:v>104.15</c:v>
                </c:pt>
                <c:pt idx="5">
                  <c:v>104.66</c:v>
                </c:pt>
                <c:pt idx="6">
                  <c:v>105.85</c:v>
                </c:pt>
                <c:pt idx="7">
                  <c:v>106.02</c:v>
                </c:pt>
                <c:pt idx="8">
                  <c:v>106.69</c:v>
                </c:pt>
                <c:pt idx="9">
                  <c:v>105.82</c:v>
                </c:pt>
                <c:pt idx="10">
                  <c:v>104.15</c:v>
                </c:pt>
                <c:pt idx="11">
                  <c:v>104.33</c:v>
                </c:pt>
                <c:pt idx="12">
                  <c:v>103.89</c:v>
                </c:pt>
                <c:pt idx="13">
                  <c:v>104.54</c:v>
                </c:pt>
                <c:pt idx="14">
                  <c:v>106.17</c:v>
                </c:pt>
                <c:pt idx="15">
                  <c:v>107.95</c:v>
                </c:pt>
                <c:pt idx="16">
                  <c:v>107.81</c:v>
                </c:pt>
                <c:pt idx="17">
                  <c:v>108.37</c:v>
                </c:pt>
                <c:pt idx="18">
                  <c:v>108.82</c:v>
                </c:pt>
                <c:pt idx="19">
                  <c:v>110.69</c:v>
                </c:pt>
                <c:pt idx="20">
                  <c:v>110.86</c:v>
                </c:pt>
                <c:pt idx="21">
                  <c:v>112.12</c:v>
                </c:pt>
                <c:pt idx="22">
                  <c:v>112.47</c:v>
                </c:pt>
                <c:pt idx="23">
                  <c:v>111.81</c:v>
                </c:pt>
                <c:pt idx="24">
                  <c:v>114.39</c:v>
                </c:pt>
                <c:pt idx="25">
                  <c:v>118.64</c:v>
                </c:pt>
                <c:pt idx="26">
                  <c:v>122.22</c:v>
                </c:pt>
                <c:pt idx="27">
                  <c:v>124.51</c:v>
                </c:pt>
                <c:pt idx="28">
                  <c:v>126.95</c:v>
                </c:pt>
                <c:pt idx="29">
                  <c:v>128.13</c:v>
                </c:pt>
                <c:pt idx="30">
                  <c:v>128.53</c:v>
                </c:pt>
                <c:pt idx="31">
                  <c:v>128.91</c:v>
                </c:pt>
                <c:pt idx="32">
                  <c:v>127.54</c:v>
                </c:pt>
                <c:pt idx="33">
                  <c:v>125.75</c:v>
                </c:pt>
                <c:pt idx="34">
                  <c:v>123.24</c:v>
                </c:pt>
                <c:pt idx="35">
                  <c:v>121</c:v>
                </c:pt>
                <c:pt idx="36">
                  <c:v>121.33</c:v>
                </c:pt>
                <c:pt idx="37">
                  <c:v>122.1</c:v>
                </c:pt>
                <c:pt idx="38">
                  <c:v>122.5</c:v>
                </c:pt>
                <c:pt idx="39">
                  <c:v>124.1</c:v>
                </c:pt>
                <c:pt idx="40">
                  <c:v>126</c:v>
                </c:pt>
                <c:pt idx="41">
                  <c:v>126.7</c:v>
                </c:pt>
                <c:pt idx="42">
                  <c:v>126</c:v>
                </c:pt>
                <c:pt idx="43">
                  <c:v>125.6</c:v>
                </c:pt>
                <c:pt idx="44">
                  <c:v>125.5</c:v>
                </c:pt>
                <c:pt idx="45">
                  <c:v>126.32015672999999</c:v>
                </c:pt>
                <c:pt idx="46">
                  <c:v>124.51924911000002</c:v>
                </c:pt>
              </c:numCache>
            </c:numRef>
          </c:val>
          <c:smooth val="0"/>
          <c:extLst>
            <c:ext xmlns:c16="http://schemas.microsoft.com/office/drawing/2014/chart" uri="{C3380CC4-5D6E-409C-BE32-E72D297353CC}">
              <c16:uniqueId val="{00000000-DA58-4CF1-9142-80130521FB8A}"/>
            </c:ext>
          </c:extLst>
        </c:ser>
        <c:dLbls>
          <c:showLegendKey val="0"/>
          <c:showVal val="0"/>
          <c:showCatName val="0"/>
          <c:showSerName val="0"/>
          <c:showPercent val="0"/>
          <c:showBubbleSize val="0"/>
        </c:dLbls>
        <c:smooth val="0"/>
        <c:axId val="82982016"/>
        <c:axId val="82983552"/>
      </c:lineChart>
      <c:dateAx>
        <c:axId val="82982016"/>
        <c:scaling>
          <c:orientation val="minMax"/>
        </c:scaling>
        <c:delete val="0"/>
        <c:axPos val="b"/>
        <c:numFmt formatCode="dd/mm/yy;@" sourceLinked="0"/>
        <c:majorTickMark val="none"/>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0"/>
          <a:lstStyle/>
          <a:p>
            <a:pPr algn="ctr">
              <a:defRPr lang="en-US" sz="800" b="1" i="0" u="none" strike="noStrike" kern="1200" baseline="0">
                <a:solidFill>
                  <a:sysClr val="windowText" lastClr="000000"/>
                </a:solidFill>
                <a:latin typeface="+mn-lt"/>
                <a:ea typeface="+mn-ea"/>
                <a:cs typeface="+mn-cs"/>
              </a:defRPr>
            </a:pPr>
            <a:endParaRPr lang="fr-BF"/>
          </a:p>
        </c:txPr>
        <c:crossAx val="82983552"/>
        <c:crosses val="autoZero"/>
        <c:auto val="1"/>
        <c:lblOffset val="100"/>
        <c:baseTimeUnit val="months"/>
        <c:majorUnit val="2"/>
        <c:majorTimeUnit val="months"/>
      </c:dateAx>
      <c:valAx>
        <c:axId val="82983552"/>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2982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fr-FR" sz="1400" b="1" i="0" baseline="0">
                <a:solidFill>
                  <a:sysClr val="windowText" lastClr="000000"/>
                </a:solidFill>
                <a:effectLst/>
              </a:rPr>
              <a:t>Variation annuelle des prix à la consommation</a:t>
            </a:r>
            <a:endParaRPr lang="fr-FR" sz="1400">
              <a:solidFill>
                <a:sysClr val="windowText" lastClr="000000"/>
              </a:solidFill>
              <a:effectLst/>
            </a:endParaRPr>
          </a:p>
        </c:rich>
      </c:tx>
      <c:layout>
        <c:manualLayout>
          <c:xMode val="edge"/>
          <c:yMode val="edge"/>
          <c:x val="0.20939635179901345"/>
          <c:y val="1.9361113736634163E-2"/>
        </c:manualLayout>
      </c:layout>
      <c:overlay val="0"/>
      <c:spPr>
        <a:noFill/>
        <a:ln>
          <a:noFill/>
        </a:ln>
        <a:effectLst/>
      </c:spPr>
    </c:title>
    <c:autoTitleDeleted val="0"/>
    <c:plotArea>
      <c:layout>
        <c:manualLayout>
          <c:layoutTarget val="inner"/>
          <c:xMode val="edge"/>
          <c:yMode val="edge"/>
          <c:x val="8.4317404076671876E-2"/>
          <c:y val="0.15849933354702392"/>
          <c:w val="0.89247456877010156"/>
          <c:h val="0.49015996623071673"/>
        </c:manualLayout>
      </c:layout>
      <c:lineChart>
        <c:grouping val="standard"/>
        <c:varyColors val="0"/>
        <c:ser>
          <c:idx val="0"/>
          <c:order val="0"/>
          <c:tx>
            <c:strRef>
              <c:f>Serie_Graph3!$AD$3</c:f>
              <c:strCache>
                <c:ptCount val="1"/>
                <c:pt idx="0">
                  <c:v>Inflation moyenne</c:v>
                </c:pt>
              </c:strCache>
            </c:strRef>
          </c:tx>
          <c:spPr>
            <a:ln w="28575" cap="rnd">
              <a:solidFill>
                <a:schemeClr val="accent1"/>
              </a:solidFill>
              <a:round/>
            </a:ln>
            <a:effectLst/>
          </c:spPr>
          <c:marker>
            <c:symbol val="none"/>
          </c:marker>
          <c:cat>
            <c:numRef>
              <c:f>Serie_Graph3!$AB$83:$AB$111</c:f>
              <c:numCache>
                <c:formatCode>m/d/yyyy</c:formatCode>
                <c:ptCount val="29"/>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pt idx="12">
                  <c:v>44835</c:v>
                </c:pt>
                <c:pt idx="13">
                  <c:v>44866</c:v>
                </c:pt>
                <c:pt idx="14">
                  <c:v>44896</c:v>
                </c:pt>
                <c:pt idx="15">
                  <c:v>44927</c:v>
                </c:pt>
                <c:pt idx="16">
                  <c:v>44958</c:v>
                </c:pt>
                <c:pt idx="17">
                  <c:v>44986</c:v>
                </c:pt>
                <c:pt idx="18">
                  <c:v>45017</c:v>
                </c:pt>
                <c:pt idx="19">
                  <c:v>45047</c:v>
                </c:pt>
                <c:pt idx="20">
                  <c:v>45078</c:v>
                </c:pt>
                <c:pt idx="21">
                  <c:v>45108</c:v>
                </c:pt>
                <c:pt idx="22">
                  <c:v>45139</c:v>
                </c:pt>
                <c:pt idx="23">
                  <c:v>45170</c:v>
                </c:pt>
                <c:pt idx="24">
                  <c:v>45200</c:v>
                </c:pt>
                <c:pt idx="25">
                  <c:v>45231</c:v>
                </c:pt>
                <c:pt idx="26">
                  <c:v>45261</c:v>
                </c:pt>
              </c:numCache>
            </c:numRef>
          </c:cat>
          <c:val>
            <c:numRef>
              <c:f>Serie_Graph3!$AD$83:$AD$111</c:f>
              <c:numCache>
                <c:formatCode>0.00%</c:formatCode>
                <c:ptCount val="29"/>
                <c:pt idx="0">
                  <c:v>3.2568467801628476E-2</c:v>
                </c:pt>
                <c:pt idx="1">
                  <c:v>3.3844229967614936E-2</c:v>
                </c:pt>
                <c:pt idx="2">
                  <c:v>3.8548934263586077E-2</c:v>
                </c:pt>
                <c:pt idx="3">
                  <c:v>4.1974283867157514E-2</c:v>
                </c:pt>
                <c:pt idx="4">
                  <c:v>4.8964984018428748E-2</c:v>
                </c:pt>
                <c:pt idx="5">
                  <c:v>5.8036495537489907E-2</c:v>
                </c:pt>
                <c:pt idx="6">
                  <c:v>6.6865856171440363E-2</c:v>
                </c:pt>
                <c:pt idx="7">
                  <c:v>7.7905744253373488E-2</c:v>
                </c:pt>
                <c:pt idx="8">
                  <c:v>8.9890210430009443E-2</c:v>
                </c:pt>
                <c:pt idx="9">
                  <c:v>0.10224993905268254</c:v>
                </c:pt>
                <c:pt idx="10">
                  <c:v>0.11514561888024133</c:v>
                </c:pt>
                <c:pt idx="11">
                  <c:v>0.12531757385302122</c:v>
                </c:pt>
                <c:pt idx="12">
                  <c:v>0.13465793984728069</c:v>
                </c:pt>
                <c:pt idx="13">
                  <c:v>0.13968364735985106</c:v>
                </c:pt>
                <c:pt idx="14">
                  <c:v>0.14067579852390533</c:v>
                </c:pt>
                <c:pt idx="15">
                  <c:v>0.14117962466487932</c:v>
                </c:pt>
                <c:pt idx="16">
                  <c:v>0.13734802431610893</c:v>
                </c:pt>
                <c:pt idx="17">
                  <c:v>0.12789263965115372</c:v>
                </c:pt>
                <c:pt idx="18">
                  <c:v>0.11465289900828246</c:v>
                </c:pt>
                <c:pt idx="19">
                  <c:v>0.10080648120289704</c:v>
                </c:pt>
                <c:pt idx="20">
                  <c:v>8.4871729927271211E-2</c:v>
                </c:pt>
                <c:pt idx="21">
                  <c:v>6.8556873880751379E-2</c:v>
                </c:pt>
                <c:pt idx="22">
                  <c:v>5.1958742577322692E-2</c:v>
                </c:pt>
                <c:pt idx="23">
                  <c:v>3.6344943523625606E-2</c:v>
                </c:pt>
                <c:pt idx="24">
                  <c:v>2.3073436705992156E-2</c:v>
                </c:pt>
                <c:pt idx="25">
                  <c:v>1.3974321685886082E-2</c:v>
                </c:pt>
                <c:pt idx="26">
                  <c:v>7.4626884953601369E-3</c:v>
                </c:pt>
              </c:numCache>
            </c:numRef>
          </c:val>
          <c:smooth val="0"/>
          <c:extLst>
            <c:ext xmlns:c16="http://schemas.microsoft.com/office/drawing/2014/chart" uri="{C3380CC4-5D6E-409C-BE32-E72D297353CC}">
              <c16:uniqueId val="{00000000-44E1-4A1B-A181-DD1139F93B57}"/>
            </c:ext>
          </c:extLst>
        </c:ser>
        <c:ser>
          <c:idx val="1"/>
          <c:order val="1"/>
          <c:tx>
            <c:strRef>
              <c:f>Serie_Graph3!$AE$3</c:f>
              <c:strCache>
                <c:ptCount val="1"/>
                <c:pt idx="0">
                  <c:v>Critère UEMOA</c:v>
                </c:pt>
              </c:strCache>
            </c:strRef>
          </c:tx>
          <c:spPr>
            <a:ln w="28575" cap="rnd">
              <a:solidFill>
                <a:schemeClr val="accent2"/>
              </a:solidFill>
              <a:round/>
            </a:ln>
            <a:effectLst/>
          </c:spPr>
          <c:marker>
            <c:symbol val="none"/>
          </c:marker>
          <c:cat>
            <c:numRef>
              <c:f>Serie_Graph3!$AB$83:$AB$111</c:f>
              <c:numCache>
                <c:formatCode>m/d/yyyy</c:formatCode>
                <c:ptCount val="29"/>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pt idx="12">
                  <c:v>44835</c:v>
                </c:pt>
                <c:pt idx="13">
                  <c:v>44866</c:v>
                </c:pt>
                <c:pt idx="14">
                  <c:v>44896</c:v>
                </c:pt>
                <c:pt idx="15">
                  <c:v>44927</c:v>
                </c:pt>
                <c:pt idx="16">
                  <c:v>44958</c:v>
                </c:pt>
                <c:pt idx="17">
                  <c:v>44986</c:v>
                </c:pt>
                <c:pt idx="18">
                  <c:v>45017</c:v>
                </c:pt>
                <c:pt idx="19">
                  <c:v>45047</c:v>
                </c:pt>
                <c:pt idx="20">
                  <c:v>45078</c:v>
                </c:pt>
                <c:pt idx="21">
                  <c:v>45108</c:v>
                </c:pt>
                <c:pt idx="22">
                  <c:v>45139</c:v>
                </c:pt>
                <c:pt idx="23">
                  <c:v>45170</c:v>
                </c:pt>
                <c:pt idx="24">
                  <c:v>45200</c:v>
                </c:pt>
                <c:pt idx="25">
                  <c:v>45231</c:v>
                </c:pt>
                <c:pt idx="26">
                  <c:v>45261</c:v>
                </c:pt>
              </c:numCache>
            </c:numRef>
          </c:cat>
          <c:val>
            <c:numRef>
              <c:f>Serie_Graph3!$AE$83:$AE$111</c:f>
              <c:numCache>
                <c:formatCode>General</c:formatCode>
                <c:ptCount val="29"/>
                <c:pt idx="0">
                  <c:v>0.03</c:v>
                </c:pt>
                <c:pt idx="1">
                  <c:v>0.03</c:v>
                </c:pt>
                <c:pt idx="2">
                  <c:v>0.03</c:v>
                </c:pt>
                <c:pt idx="3">
                  <c:v>0.03</c:v>
                </c:pt>
                <c:pt idx="4">
                  <c:v>0.03</c:v>
                </c:pt>
                <c:pt idx="5">
                  <c:v>0.03</c:v>
                </c:pt>
                <c:pt idx="6">
                  <c:v>0.03</c:v>
                </c:pt>
                <c:pt idx="7">
                  <c:v>0.03</c:v>
                </c:pt>
                <c:pt idx="8">
                  <c:v>0.03</c:v>
                </c:pt>
                <c:pt idx="9">
                  <c:v>0.03</c:v>
                </c:pt>
                <c:pt idx="10">
                  <c:v>0.03</c:v>
                </c:pt>
                <c:pt idx="11">
                  <c:v>0.03</c:v>
                </c:pt>
                <c:pt idx="12">
                  <c:v>0.03</c:v>
                </c:pt>
                <c:pt idx="13">
                  <c:v>0.03</c:v>
                </c:pt>
                <c:pt idx="14">
                  <c:v>0.03</c:v>
                </c:pt>
                <c:pt idx="15">
                  <c:v>0.03</c:v>
                </c:pt>
                <c:pt idx="16">
                  <c:v>0.03</c:v>
                </c:pt>
                <c:pt idx="17">
                  <c:v>0.03</c:v>
                </c:pt>
                <c:pt idx="18">
                  <c:v>0.03</c:v>
                </c:pt>
                <c:pt idx="19">
                  <c:v>0.03</c:v>
                </c:pt>
                <c:pt idx="20">
                  <c:v>0.03</c:v>
                </c:pt>
                <c:pt idx="21">
                  <c:v>0.03</c:v>
                </c:pt>
                <c:pt idx="22">
                  <c:v>0.03</c:v>
                </c:pt>
                <c:pt idx="23">
                  <c:v>0.03</c:v>
                </c:pt>
                <c:pt idx="24">
                  <c:v>0.03</c:v>
                </c:pt>
                <c:pt idx="25">
                  <c:v>0.03</c:v>
                </c:pt>
                <c:pt idx="26">
                  <c:v>0.03</c:v>
                </c:pt>
              </c:numCache>
            </c:numRef>
          </c:val>
          <c:smooth val="0"/>
          <c:extLst>
            <c:ext xmlns:c16="http://schemas.microsoft.com/office/drawing/2014/chart" uri="{C3380CC4-5D6E-409C-BE32-E72D297353CC}">
              <c16:uniqueId val="{00000001-44E1-4A1B-A181-DD1139F93B57}"/>
            </c:ext>
          </c:extLst>
        </c:ser>
        <c:dLbls>
          <c:showLegendKey val="0"/>
          <c:showVal val="0"/>
          <c:showCatName val="0"/>
          <c:showSerName val="0"/>
          <c:showPercent val="0"/>
          <c:showBubbleSize val="0"/>
        </c:dLbls>
        <c:smooth val="0"/>
        <c:axId val="83028608"/>
        <c:axId val="83030400"/>
      </c:lineChart>
      <c:dateAx>
        <c:axId val="83028608"/>
        <c:scaling>
          <c:orientation val="minMax"/>
        </c:scaling>
        <c:delete val="0"/>
        <c:axPos val="b"/>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36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BF"/>
          </a:p>
        </c:txPr>
        <c:crossAx val="83030400"/>
        <c:crosses val="autoZero"/>
        <c:auto val="1"/>
        <c:lblOffset val="100"/>
        <c:baseTimeUnit val="months"/>
      </c:dateAx>
      <c:valAx>
        <c:axId val="83030400"/>
        <c:scaling>
          <c:orientation val="minMax"/>
          <c:max val="0.2"/>
          <c:min val="-4.000000000000002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3028608"/>
        <c:crosses val="autoZero"/>
        <c:crossBetween val="between"/>
      </c:valAx>
      <c:spPr>
        <a:noFill/>
        <a:ln>
          <a:solidFill>
            <a:schemeClr val="accent1"/>
          </a:solidFill>
        </a:ln>
        <a:effectLst/>
      </c:spPr>
    </c:plotArea>
    <c:legend>
      <c:legendPos val="b"/>
      <c:layout>
        <c:manualLayout>
          <c:xMode val="edge"/>
          <c:yMode val="edge"/>
          <c:x val="0.27951269455827432"/>
          <c:y val="0.9127569402314033"/>
          <c:w val="0.44097444475584502"/>
          <c:h val="8.174747484363545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fr-FR" sz="1400" b="1" i="0" baseline="0">
                <a:solidFill>
                  <a:sysClr val="windowText" lastClr="000000"/>
                </a:solidFill>
                <a:effectLst/>
              </a:rPr>
              <a:t>Evolution des prix à la consommation de quelques biens locaux de la ville de Ouagadougou</a:t>
            </a:r>
            <a:endParaRPr lang="fr-FR" sz="1400">
              <a:solidFill>
                <a:sysClr val="windowText" lastClr="000000"/>
              </a:solidFill>
              <a:effectLst/>
            </a:endParaRPr>
          </a:p>
        </c:rich>
      </c:tx>
      <c:overlay val="0"/>
      <c:spPr>
        <a:noFill/>
        <a:ln>
          <a:noFill/>
        </a:ln>
        <a:effectLst/>
      </c:spPr>
    </c:title>
    <c:autoTitleDeleted val="0"/>
    <c:plotArea>
      <c:layout>
        <c:manualLayout>
          <c:layoutTarget val="inner"/>
          <c:xMode val="edge"/>
          <c:yMode val="edge"/>
          <c:x val="9.2968792682477264E-2"/>
          <c:y val="0.22824074074074074"/>
          <c:w val="0.81370285467071046"/>
          <c:h val="0.50393627879848368"/>
        </c:manualLayout>
      </c:layout>
      <c:lineChart>
        <c:grouping val="standard"/>
        <c:varyColors val="0"/>
        <c:ser>
          <c:idx val="0"/>
          <c:order val="0"/>
          <c:tx>
            <c:strRef>
              <c:f>Serie_Graph3!$AF$3</c:f>
              <c:strCache>
                <c:ptCount val="1"/>
                <c:pt idx="0">
                  <c:v>Mil (petit mil)</c:v>
                </c:pt>
              </c:strCache>
            </c:strRef>
          </c:tx>
          <c:spPr>
            <a:ln w="28575" cap="rnd">
              <a:solidFill>
                <a:schemeClr val="accent1"/>
              </a:solidFill>
              <a:round/>
            </a:ln>
            <a:effectLst/>
          </c:spPr>
          <c:marker>
            <c:symbol val="none"/>
          </c:marker>
          <c:cat>
            <c:numRef>
              <c:f>Serie_Graph3!$AB$83:$AB$111</c:f>
              <c:numCache>
                <c:formatCode>m/d/yyyy</c:formatCode>
                <c:ptCount val="29"/>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pt idx="12">
                  <c:v>44835</c:v>
                </c:pt>
                <c:pt idx="13">
                  <c:v>44866</c:v>
                </c:pt>
                <c:pt idx="14">
                  <c:v>44896</c:v>
                </c:pt>
                <c:pt idx="15">
                  <c:v>44927</c:v>
                </c:pt>
                <c:pt idx="16">
                  <c:v>44958</c:v>
                </c:pt>
                <c:pt idx="17">
                  <c:v>44986</c:v>
                </c:pt>
                <c:pt idx="18">
                  <c:v>45017</c:v>
                </c:pt>
                <c:pt idx="19">
                  <c:v>45047</c:v>
                </c:pt>
                <c:pt idx="20">
                  <c:v>45078</c:v>
                </c:pt>
                <c:pt idx="21">
                  <c:v>45108</c:v>
                </c:pt>
                <c:pt idx="22">
                  <c:v>45139</c:v>
                </c:pt>
                <c:pt idx="23">
                  <c:v>45170</c:v>
                </c:pt>
                <c:pt idx="24">
                  <c:v>45200</c:v>
                </c:pt>
                <c:pt idx="25">
                  <c:v>45231</c:v>
                </c:pt>
                <c:pt idx="26">
                  <c:v>45261</c:v>
                </c:pt>
              </c:numCache>
            </c:numRef>
          </c:cat>
          <c:val>
            <c:numRef>
              <c:f>Serie_Graph3!$AF$83:$AF$111</c:f>
              <c:numCache>
                <c:formatCode>0</c:formatCode>
                <c:ptCount val="29"/>
                <c:pt idx="0">
                  <c:v>304</c:v>
                </c:pt>
                <c:pt idx="1">
                  <c:v>359</c:v>
                </c:pt>
                <c:pt idx="2">
                  <c:v>366</c:v>
                </c:pt>
                <c:pt idx="3">
                  <c:v>349</c:v>
                </c:pt>
                <c:pt idx="4">
                  <c:v>354</c:v>
                </c:pt>
                <c:pt idx="5">
                  <c:v>390</c:v>
                </c:pt>
                <c:pt idx="6">
                  <c:v>401</c:v>
                </c:pt>
                <c:pt idx="7">
                  <c:v>416</c:v>
                </c:pt>
                <c:pt idx="8">
                  <c:v>429</c:v>
                </c:pt>
                <c:pt idx="9">
                  <c:v>427</c:v>
                </c:pt>
                <c:pt idx="10">
                  <c:v>450</c:v>
                </c:pt>
                <c:pt idx="11">
                  <c:v>474</c:v>
                </c:pt>
                <c:pt idx="12">
                  <c:v>476</c:v>
                </c:pt>
                <c:pt idx="13">
                  <c:v>359</c:v>
                </c:pt>
                <c:pt idx="14">
                  <c:v>457</c:v>
                </c:pt>
                <c:pt idx="15">
                  <c:v>415</c:v>
                </c:pt>
                <c:pt idx="16">
                  <c:v>396</c:v>
                </c:pt>
                <c:pt idx="17">
                  <c:v>397</c:v>
                </c:pt>
                <c:pt idx="18">
                  <c:v>405</c:v>
                </c:pt>
                <c:pt idx="19">
                  <c:v>409</c:v>
                </c:pt>
                <c:pt idx="20">
                  <c:v>402</c:v>
                </c:pt>
                <c:pt idx="21">
                  <c:v>391</c:v>
                </c:pt>
                <c:pt idx="22">
                  <c:v>382</c:v>
                </c:pt>
                <c:pt idx="23">
                  <c:v>391</c:v>
                </c:pt>
                <c:pt idx="24">
                  <c:v>371</c:v>
                </c:pt>
                <c:pt idx="25" formatCode="General">
                  <c:v>380</c:v>
                </c:pt>
                <c:pt idx="26" formatCode="General">
                  <c:v>361</c:v>
                </c:pt>
              </c:numCache>
            </c:numRef>
          </c:val>
          <c:smooth val="0"/>
          <c:extLst>
            <c:ext xmlns:c16="http://schemas.microsoft.com/office/drawing/2014/chart" uri="{C3380CC4-5D6E-409C-BE32-E72D297353CC}">
              <c16:uniqueId val="{00000000-93BF-4515-BE7C-EBC2FD61DA46}"/>
            </c:ext>
          </c:extLst>
        </c:ser>
        <c:ser>
          <c:idx val="1"/>
          <c:order val="1"/>
          <c:tx>
            <c:strRef>
              <c:f>Serie_Graph3!$AG$3</c:f>
              <c:strCache>
                <c:ptCount val="1"/>
                <c:pt idx="0">
                  <c:v>Sorgho blanc</c:v>
                </c:pt>
              </c:strCache>
            </c:strRef>
          </c:tx>
          <c:spPr>
            <a:ln w="28575" cap="rnd">
              <a:solidFill>
                <a:schemeClr val="accent2"/>
              </a:solidFill>
              <a:round/>
            </a:ln>
            <a:effectLst/>
          </c:spPr>
          <c:marker>
            <c:symbol val="none"/>
          </c:marker>
          <c:cat>
            <c:numRef>
              <c:f>Serie_Graph3!$AB$83:$AB$111</c:f>
              <c:numCache>
                <c:formatCode>m/d/yyyy</c:formatCode>
                <c:ptCount val="29"/>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pt idx="12">
                  <c:v>44835</c:v>
                </c:pt>
                <c:pt idx="13">
                  <c:v>44866</c:v>
                </c:pt>
                <c:pt idx="14">
                  <c:v>44896</c:v>
                </c:pt>
                <c:pt idx="15">
                  <c:v>44927</c:v>
                </c:pt>
                <c:pt idx="16">
                  <c:v>44958</c:v>
                </c:pt>
                <c:pt idx="17">
                  <c:v>44986</c:v>
                </c:pt>
                <c:pt idx="18">
                  <c:v>45017</c:v>
                </c:pt>
                <c:pt idx="19">
                  <c:v>45047</c:v>
                </c:pt>
                <c:pt idx="20">
                  <c:v>45078</c:v>
                </c:pt>
                <c:pt idx="21">
                  <c:v>45108</c:v>
                </c:pt>
                <c:pt idx="22">
                  <c:v>45139</c:v>
                </c:pt>
                <c:pt idx="23">
                  <c:v>45170</c:v>
                </c:pt>
                <c:pt idx="24">
                  <c:v>45200</c:v>
                </c:pt>
                <c:pt idx="25">
                  <c:v>45231</c:v>
                </c:pt>
                <c:pt idx="26">
                  <c:v>45261</c:v>
                </c:pt>
              </c:numCache>
            </c:numRef>
          </c:cat>
          <c:val>
            <c:numRef>
              <c:f>Serie_Graph3!$AG$83:$AG$111</c:f>
              <c:numCache>
                <c:formatCode>0</c:formatCode>
                <c:ptCount val="29"/>
                <c:pt idx="0">
                  <c:v>272</c:v>
                </c:pt>
                <c:pt idx="1">
                  <c:v>281</c:v>
                </c:pt>
                <c:pt idx="2">
                  <c:v>278</c:v>
                </c:pt>
                <c:pt idx="3">
                  <c:v>266</c:v>
                </c:pt>
                <c:pt idx="4">
                  <c:v>288</c:v>
                </c:pt>
                <c:pt idx="5">
                  <c:v>322</c:v>
                </c:pt>
                <c:pt idx="6">
                  <c:v>360</c:v>
                </c:pt>
                <c:pt idx="7">
                  <c:v>375</c:v>
                </c:pt>
                <c:pt idx="8">
                  <c:v>374</c:v>
                </c:pt>
                <c:pt idx="9">
                  <c:v>360</c:v>
                </c:pt>
                <c:pt idx="10">
                  <c:v>380</c:v>
                </c:pt>
                <c:pt idx="11">
                  <c:v>376</c:v>
                </c:pt>
                <c:pt idx="12">
                  <c:v>374</c:v>
                </c:pt>
                <c:pt idx="13">
                  <c:v>281</c:v>
                </c:pt>
                <c:pt idx="14">
                  <c:v>341</c:v>
                </c:pt>
                <c:pt idx="15">
                  <c:v>338</c:v>
                </c:pt>
                <c:pt idx="16">
                  <c:v>336</c:v>
                </c:pt>
                <c:pt idx="17">
                  <c:v>330</c:v>
                </c:pt>
                <c:pt idx="18">
                  <c:v>332</c:v>
                </c:pt>
                <c:pt idx="19">
                  <c:v>331</c:v>
                </c:pt>
                <c:pt idx="20">
                  <c:v>329</c:v>
                </c:pt>
                <c:pt idx="21">
                  <c:v>333</c:v>
                </c:pt>
                <c:pt idx="22">
                  <c:v>317</c:v>
                </c:pt>
                <c:pt idx="23">
                  <c:v>330</c:v>
                </c:pt>
                <c:pt idx="24">
                  <c:v>320</c:v>
                </c:pt>
                <c:pt idx="25" formatCode="General">
                  <c:v>329</c:v>
                </c:pt>
                <c:pt idx="26" formatCode="General">
                  <c:v>323</c:v>
                </c:pt>
              </c:numCache>
            </c:numRef>
          </c:val>
          <c:smooth val="0"/>
          <c:extLst>
            <c:ext xmlns:c16="http://schemas.microsoft.com/office/drawing/2014/chart" uri="{C3380CC4-5D6E-409C-BE32-E72D297353CC}">
              <c16:uniqueId val="{00000001-93BF-4515-BE7C-EBC2FD61DA46}"/>
            </c:ext>
          </c:extLst>
        </c:ser>
        <c:dLbls>
          <c:showLegendKey val="0"/>
          <c:showVal val="0"/>
          <c:showCatName val="0"/>
          <c:showSerName val="0"/>
          <c:showPercent val="0"/>
          <c:showBubbleSize val="0"/>
        </c:dLbls>
        <c:marker val="1"/>
        <c:smooth val="0"/>
        <c:axId val="83151488"/>
        <c:axId val="83161472"/>
      </c:lineChart>
      <c:lineChart>
        <c:grouping val="standard"/>
        <c:varyColors val="0"/>
        <c:ser>
          <c:idx val="2"/>
          <c:order val="2"/>
          <c:tx>
            <c:strRef>
              <c:f>Serie_Graph3!$AH$3</c:f>
              <c:strCache>
                <c:ptCount val="1"/>
                <c:pt idx="0">
                  <c:v>Viande de boeuf avec os</c:v>
                </c:pt>
              </c:strCache>
            </c:strRef>
          </c:tx>
          <c:spPr>
            <a:ln w="28575" cap="rnd">
              <a:solidFill>
                <a:schemeClr val="accent3"/>
              </a:solidFill>
              <a:round/>
            </a:ln>
            <a:effectLst/>
          </c:spPr>
          <c:marker>
            <c:symbol val="none"/>
          </c:marker>
          <c:cat>
            <c:numRef>
              <c:f>Serie_Graph3!$AB$83:$AB$111</c:f>
              <c:numCache>
                <c:formatCode>m/d/yyyy</c:formatCode>
                <c:ptCount val="29"/>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pt idx="12">
                  <c:v>44835</c:v>
                </c:pt>
                <c:pt idx="13">
                  <c:v>44866</c:v>
                </c:pt>
                <c:pt idx="14">
                  <c:v>44896</c:v>
                </c:pt>
                <c:pt idx="15">
                  <c:v>44927</c:v>
                </c:pt>
                <c:pt idx="16">
                  <c:v>44958</c:v>
                </c:pt>
                <c:pt idx="17">
                  <c:v>44986</c:v>
                </c:pt>
                <c:pt idx="18">
                  <c:v>45017</c:v>
                </c:pt>
                <c:pt idx="19">
                  <c:v>45047</c:v>
                </c:pt>
                <c:pt idx="20">
                  <c:v>45078</c:v>
                </c:pt>
                <c:pt idx="21">
                  <c:v>45108</c:v>
                </c:pt>
                <c:pt idx="22">
                  <c:v>45139</c:v>
                </c:pt>
                <c:pt idx="23">
                  <c:v>45170</c:v>
                </c:pt>
                <c:pt idx="24">
                  <c:v>45200</c:v>
                </c:pt>
                <c:pt idx="25">
                  <c:v>45231</c:v>
                </c:pt>
                <c:pt idx="26">
                  <c:v>45261</c:v>
                </c:pt>
              </c:numCache>
            </c:numRef>
          </c:cat>
          <c:val>
            <c:numRef>
              <c:f>Serie_Graph3!$AH$83:$AH$111</c:f>
              <c:numCache>
                <c:formatCode>0</c:formatCode>
                <c:ptCount val="29"/>
                <c:pt idx="0">
                  <c:v>2437</c:v>
                </c:pt>
                <c:pt idx="1">
                  <c:v>2759</c:v>
                </c:pt>
                <c:pt idx="2">
                  <c:v>2603</c:v>
                </c:pt>
                <c:pt idx="3">
                  <c:v>2447</c:v>
                </c:pt>
                <c:pt idx="4">
                  <c:v>2373</c:v>
                </c:pt>
                <c:pt idx="5">
                  <c:v>2604</c:v>
                </c:pt>
                <c:pt idx="6">
                  <c:v>2559</c:v>
                </c:pt>
                <c:pt idx="7">
                  <c:v>2567</c:v>
                </c:pt>
                <c:pt idx="8">
                  <c:v>2551</c:v>
                </c:pt>
                <c:pt idx="9">
                  <c:v>2640</c:v>
                </c:pt>
                <c:pt idx="10">
                  <c:v>2613</c:v>
                </c:pt>
                <c:pt idx="11">
                  <c:v>2653</c:v>
                </c:pt>
                <c:pt idx="12">
                  <c:v>2461</c:v>
                </c:pt>
                <c:pt idx="13">
                  <c:v>2759</c:v>
                </c:pt>
                <c:pt idx="14">
                  <c:v>2479</c:v>
                </c:pt>
                <c:pt idx="15">
                  <c:v>2613</c:v>
                </c:pt>
                <c:pt idx="16">
                  <c:v>2286</c:v>
                </c:pt>
                <c:pt idx="17">
                  <c:v>2418</c:v>
                </c:pt>
                <c:pt idx="18">
                  <c:v>2277</c:v>
                </c:pt>
                <c:pt idx="19">
                  <c:v>2577</c:v>
                </c:pt>
                <c:pt idx="20">
                  <c:v>2437</c:v>
                </c:pt>
                <c:pt idx="21">
                  <c:v>2404</c:v>
                </c:pt>
                <c:pt idx="22">
                  <c:v>2390</c:v>
                </c:pt>
                <c:pt idx="23">
                  <c:v>2403</c:v>
                </c:pt>
                <c:pt idx="24">
                  <c:v>2460</c:v>
                </c:pt>
                <c:pt idx="25" formatCode="General">
                  <c:v>2429</c:v>
                </c:pt>
                <c:pt idx="26" formatCode="General">
                  <c:v>2364</c:v>
                </c:pt>
              </c:numCache>
            </c:numRef>
          </c:val>
          <c:smooth val="0"/>
          <c:extLst>
            <c:ext xmlns:c16="http://schemas.microsoft.com/office/drawing/2014/chart" uri="{C3380CC4-5D6E-409C-BE32-E72D297353CC}">
              <c16:uniqueId val="{00000002-93BF-4515-BE7C-EBC2FD61DA46}"/>
            </c:ext>
          </c:extLst>
        </c:ser>
        <c:dLbls>
          <c:showLegendKey val="0"/>
          <c:showVal val="0"/>
          <c:showCatName val="0"/>
          <c:showSerName val="0"/>
          <c:showPercent val="0"/>
          <c:showBubbleSize val="0"/>
        </c:dLbls>
        <c:marker val="1"/>
        <c:smooth val="0"/>
        <c:axId val="83164544"/>
        <c:axId val="83163008"/>
      </c:lineChart>
      <c:dateAx>
        <c:axId val="83151488"/>
        <c:scaling>
          <c:orientation val="minMax"/>
        </c:scaling>
        <c:delete val="0"/>
        <c:axPos val="b"/>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BF"/>
          </a:p>
        </c:txPr>
        <c:crossAx val="83161472"/>
        <c:crosses val="autoZero"/>
        <c:auto val="1"/>
        <c:lblOffset val="100"/>
        <c:baseTimeUnit val="months"/>
        <c:majorUnit val="2"/>
        <c:majorTimeUnit val="months"/>
      </c:dateAx>
      <c:valAx>
        <c:axId val="83161472"/>
        <c:scaling>
          <c:orientation val="minMax"/>
          <c:min val="16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3151488"/>
        <c:crosses val="autoZero"/>
        <c:crossBetween val="between"/>
      </c:valAx>
      <c:valAx>
        <c:axId val="831630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3164544"/>
        <c:crosses val="max"/>
        <c:crossBetween val="between"/>
      </c:valAx>
      <c:dateAx>
        <c:axId val="83164544"/>
        <c:scaling>
          <c:orientation val="minMax"/>
        </c:scaling>
        <c:delete val="1"/>
        <c:axPos val="b"/>
        <c:numFmt formatCode="m/d/yyyy" sourceLinked="1"/>
        <c:majorTickMark val="out"/>
        <c:minorTickMark val="none"/>
        <c:tickLblPos val="nextTo"/>
        <c:crossAx val="83163008"/>
        <c:crosses val="autoZero"/>
        <c:auto val="1"/>
        <c:lblOffset val="100"/>
        <c:baseTimeUnit val="months"/>
      </c:dateAx>
      <c:spPr>
        <a:noFill/>
        <a:ln>
          <a:solidFill>
            <a:schemeClr val="accent1"/>
          </a:solidFill>
        </a:ln>
        <a:effectLst/>
      </c:spPr>
    </c:plotArea>
    <c:legend>
      <c:legendPos val="b"/>
      <c:layout>
        <c:manualLayout>
          <c:xMode val="edge"/>
          <c:yMode val="edge"/>
          <c:x val="6.2519526836877032E-2"/>
          <c:y val="0.93218706406799656"/>
          <c:w val="0.8895977681075864"/>
          <c:h val="4.4013673880091246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fr-FR" sz="1200" b="1" i="0" baseline="0">
                <a:effectLst/>
              </a:rPr>
              <a:t>Indice des nomenclatures secondaires base 100 en 2008 par type de produits</a:t>
            </a:r>
            <a:endParaRPr lang="fr-FR" sz="1200">
              <a:effectLst/>
            </a:endParaRPr>
          </a:p>
        </c:rich>
      </c:tx>
      <c:layout>
        <c:manualLayout>
          <c:xMode val="edge"/>
          <c:yMode val="edge"/>
          <c:x val="0.14157250908608188"/>
          <c:y val="9.3802359904884558E-3"/>
        </c:manualLayout>
      </c:layout>
      <c:overlay val="0"/>
      <c:spPr>
        <a:noFill/>
        <a:ln>
          <a:noFill/>
        </a:ln>
        <a:effectLst/>
      </c:spPr>
    </c:title>
    <c:autoTitleDeleted val="0"/>
    <c:plotArea>
      <c:layout>
        <c:manualLayout>
          <c:layoutTarget val="inner"/>
          <c:xMode val="edge"/>
          <c:yMode val="edge"/>
          <c:x val="9.2968792682477264E-2"/>
          <c:y val="0.16726918064377241"/>
          <c:w val="0.81370285467071046"/>
          <c:h val="0.51331642675051259"/>
        </c:manualLayout>
      </c:layout>
      <c:lineChart>
        <c:grouping val="standard"/>
        <c:varyColors val="0"/>
        <c:ser>
          <c:idx val="0"/>
          <c:order val="0"/>
          <c:tx>
            <c:strRef>
              <c:f>Serie_Graph3!$AI$3</c:f>
              <c:strCache>
                <c:ptCount val="1"/>
                <c:pt idx="0">
                  <c:v>Energie</c:v>
                </c:pt>
              </c:strCache>
            </c:strRef>
          </c:tx>
          <c:spPr>
            <a:ln w="28575" cap="rnd">
              <a:solidFill>
                <a:schemeClr val="accent1"/>
              </a:solidFill>
              <a:round/>
            </a:ln>
            <a:effectLst/>
          </c:spPr>
          <c:marker>
            <c:symbol val="none"/>
          </c:marker>
          <c:cat>
            <c:numRef>
              <c:f>Serie_Graph3!$AB$63:$AB$111</c:f>
              <c:numCache>
                <c:formatCode>m/d/yyyy</c:formatCode>
                <c:ptCount val="49"/>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pt idx="17">
                  <c:v>44378</c:v>
                </c:pt>
                <c:pt idx="18">
                  <c:v>44409</c:v>
                </c:pt>
                <c:pt idx="19">
                  <c:v>44440</c:v>
                </c:pt>
                <c:pt idx="20">
                  <c:v>44470</c:v>
                </c:pt>
                <c:pt idx="21">
                  <c:v>44501</c:v>
                </c:pt>
                <c:pt idx="22">
                  <c:v>44531</c:v>
                </c:pt>
                <c:pt idx="23">
                  <c:v>44562</c:v>
                </c:pt>
                <c:pt idx="24">
                  <c:v>44593</c:v>
                </c:pt>
                <c:pt idx="25">
                  <c:v>44621</c:v>
                </c:pt>
                <c:pt idx="26">
                  <c:v>44652</c:v>
                </c:pt>
                <c:pt idx="27">
                  <c:v>44682</c:v>
                </c:pt>
                <c:pt idx="28">
                  <c:v>44713</c:v>
                </c:pt>
                <c:pt idx="29">
                  <c:v>44743</c:v>
                </c:pt>
                <c:pt idx="30">
                  <c:v>44774</c:v>
                </c:pt>
                <c:pt idx="31">
                  <c:v>44805</c:v>
                </c:pt>
                <c:pt idx="32">
                  <c:v>44835</c:v>
                </c:pt>
                <c:pt idx="33">
                  <c:v>44866</c:v>
                </c:pt>
                <c:pt idx="34">
                  <c:v>44896</c:v>
                </c:pt>
                <c:pt idx="35">
                  <c:v>44927</c:v>
                </c:pt>
                <c:pt idx="36">
                  <c:v>44958</c:v>
                </c:pt>
                <c:pt idx="37">
                  <c:v>44986</c:v>
                </c:pt>
                <c:pt idx="38">
                  <c:v>45017</c:v>
                </c:pt>
                <c:pt idx="39">
                  <c:v>45047</c:v>
                </c:pt>
                <c:pt idx="40">
                  <c:v>45078</c:v>
                </c:pt>
                <c:pt idx="41">
                  <c:v>45108</c:v>
                </c:pt>
                <c:pt idx="42">
                  <c:v>45139</c:v>
                </c:pt>
                <c:pt idx="43">
                  <c:v>45170</c:v>
                </c:pt>
                <c:pt idx="44">
                  <c:v>45200</c:v>
                </c:pt>
                <c:pt idx="45">
                  <c:v>45231</c:v>
                </c:pt>
                <c:pt idx="46">
                  <c:v>45261</c:v>
                </c:pt>
              </c:numCache>
            </c:numRef>
          </c:cat>
          <c:val>
            <c:numRef>
              <c:f>Serie_Graph3!$AI$63:$AI$111</c:f>
              <c:numCache>
                <c:formatCode>0</c:formatCode>
                <c:ptCount val="49"/>
                <c:pt idx="0">
                  <c:v>104.87</c:v>
                </c:pt>
                <c:pt idx="1">
                  <c:v>95.83</c:v>
                </c:pt>
                <c:pt idx="2">
                  <c:v>91.83</c:v>
                </c:pt>
                <c:pt idx="3">
                  <c:v>85.72</c:v>
                </c:pt>
                <c:pt idx="4">
                  <c:v>85.78</c:v>
                </c:pt>
                <c:pt idx="5">
                  <c:v>89.18</c:v>
                </c:pt>
                <c:pt idx="6">
                  <c:v>94.01</c:v>
                </c:pt>
                <c:pt idx="7">
                  <c:v>93.47</c:v>
                </c:pt>
                <c:pt idx="8">
                  <c:v>102.37</c:v>
                </c:pt>
                <c:pt idx="9">
                  <c:v>94.47</c:v>
                </c:pt>
                <c:pt idx="10">
                  <c:v>94.02</c:v>
                </c:pt>
                <c:pt idx="11">
                  <c:v>94.02</c:v>
                </c:pt>
                <c:pt idx="12">
                  <c:v>94.86</c:v>
                </c:pt>
                <c:pt idx="13">
                  <c:v>95.96</c:v>
                </c:pt>
                <c:pt idx="14">
                  <c:v>95.96</c:v>
                </c:pt>
                <c:pt idx="15">
                  <c:v>96.31</c:v>
                </c:pt>
                <c:pt idx="16">
                  <c:v>96.22</c:v>
                </c:pt>
                <c:pt idx="17">
                  <c:v>93.94</c:v>
                </c:pt>
                <c:pt idx="18">
                  <c:v>94.07</c:v>
                </c:pt>
                <c:pt idx="19">
                  <c:v>95.82</c:v>
                </c:pt>
                <c:pt idx="20">
                  <c:v>96.33</c:v>
                </c:pt>
                <c:pt idx="21">
                  <c:v>97.65</c:v>
                </c:pt>
                <c:pt idx="22">
                  <c:v>98.47</c:v>
                </c:pt>
                <c:pt idx="23">
                  <c:v>91.12</c:v>
                </c:pt>
                <c:pt idx="24">
                  <c:v>94.75</c:v>
                </c:pt>
                <c:pt idx="25">
                  <c:v>93.92</c:v>
                </c:pt>
                <c:pt idx="26">
                  <c:v>97.37</c:v>
                </c:pt>
                <c:pt idx="27">
                  <c:v>102.37</c:v>
                </c:pt>
                <c:pt idx="28">
                  <c:v>103.9</c:v>
                </c:pt>
                <c:pt idx="29">
                  <c:v>103.94</c:v>
                </c:pt>
                <c:pt idx="30">
                  <c:v>109.47</c:v>
                </c:pt>
                <c:pt idx="31">
                  <c:v>108.87</c:v>
                </c:pt>
                <c:pt idx="32">
                  <c:v>108.72</c:v>
                </c:pt>
                <c:pt idx="33">
                  <c:v>108.16</c:v>
                </c:pt>
                <c:pt idx="34">
                  <c:v>109.05</c:v>
                </c:pt>
                <c:pt idx="35">
                  <c:v>112.56</c:v>
                </c:pt>
                <c:pt idx="36">
                  <c:v>113.77</c:v>
                </c:pt>
                <c:pt idx="37">
                  <c:v>114.3</c:v>
                </c:pt>
                <c:pt idx="38">
                  <c:v>114</c:v>
                </c:pt>
                <c:pt idx="39">
                  <c:v>114.1</c:v>
                </c:pt>
                <c:pt idx="40">
                  <c:v>122.2</c:v>
                </c:pt>
                <c:pt idx="41">
                  <c:v>124.7</c:v>
                </c:pt>
                <c:pt idx="42">
                  <c:v>126.5</c:v>
                </c:pt>
                <c:pt idx="43">
                  <c:v>125.1</c:v>
                </c:pt>
                <c:pt idx="44">
                  <c:v>125.8</c:v>
                </c:pt>
                <c:pt idx="45">
                  <c:v>126.86</c:v>
                </c:pt>
                <c:pt idx="46">
                  <c:v>125.87</c:v>
                </c:pt>
              </c:numCache>
            </c:numRef>
          </c:val>
          <c:smooth val="0"/>
          <c:extLst>
            <c:ext xmlns:c16="http://schemas.microsoft.com/office/drawing/2014/chart" uri="{C3380CC4-5D6E-409C-BE32-E72D297353CC}">
              <c16:uniqueId val="{00000000-0E76-43AC-958A-3C1A90E0849B}"/>
            </c:ext>
          </c:extLst>
        </c:ser>
        <c:ser>
          <c:idx val="1"/>
          <c:order val="1"/>
          <c:tx>
            <c:strRef>
              <c:f>Serie_Graph3!$AJ$3</c:f>
              <c:strCache>
                <c:ptCount val="1"/>
                <c:pt idx="0">
                  <c:v>Produits frais</c:v>
                </c:pt>
              </c:strCache>
            </c:strRef>
          </c:tx>
          <c:spPr>
            <a:ln w="28575" cap="rnd">
              <a:solidFill>
                <a:schemeClr val="accent2"/>
              </a:solidFill>
              <a:round/>
            </a:ln>
            <a:effectLst/>
          </c:spPr>
          <c:marker>
            <c:symbol val="none"/>
          </c:marker>
          <c:cat>
            <c:numRef>
              <c:f>Serie_Graph3!$AB$63:$AB$111</c:f>
              <c:numCache>
                <c:formatCode>m/d/yyyy</c:formatCode>
                <c:ptCount val="49"/>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pt idx="17">
                  <c:v>44378</c:v>
                </c:pt>
                <c:pt idx="18">
                  <c:v>44409</c:v>
                </c:pt>
                <c:pt idx="19">
                  <c:v>44440</c:v>
                </c:pt>
                <c:pt idx="20">
                  <c:v>44470</c:v>
                </c:pt>
                <c:pt idx="21">
                  <c:v>44501</c:v>
                </c:pt>
                <c:pt idx="22">
                  <c:v>44531</c:v>
                </c:pt>
                <c:pt idx="23">
                  <c:v>44562</c:v>
                </c:pt>
                <c:pt idx="24">
                  <c:v>44593</c:v>
                </c:pt>
                <c:pt idx="25">
                  <c:v>44621</c:v>
                </c:pt>
                <c:pt idx="26">
                  <c:v>44652</c:v>
                </c:pt>
                <c:pt idx="27">
                  <c:v>44682</c:v>
                </c:pt>
                <c:pt idx="28">
                  <c:v>44713</c:v>
                </c:pt>
                <c:pt idx="29">
                  <c:v>44743</c:v>
                </c:pt>
                <c:pt idx="30">
                  <c:v>44774</c:v>
                </c:pt>
                <c:pt idx="31">
                  <c:v>44805</c:v>
                </c:pt>
                <c:pt idx="32">
                  <c:v>44835</c:v>
                </c:pt>
                <c:pt idx="33">
                  <c:v>44866</c:v>
                </c:pt>
                <c:pt idx="34">
                  <c:v>44896</c:v>
                </c:pt>
                <c:pt idx="35">
                  <c:v>44927</c:v>
                </c:pt>
                <c:pt idx="36">
                  <c:v>44958</c:v>
                </c:pt>
                <c:pt idx="37">
                  <c:v>44986</c:v>
                </c:pt>
                <c:pt idx="38">
                  <c:v>45017</c:v>
                </c:pt>
                <c:pt idx="39">
                  <c:v>45047</c:v>
                </c:pt>
                <c:pt idx="40">
                  <c:v>45078</c:v>
                </c:pt>
                <c:pt idx="41">
                  <c:v>45108</c:v>
                </c:pt>
                <c:pt idx="42">
                  <c:v>45139</c:v>
                </c:pt>
                <c:pt idx="43">
                  <c:v>45170</c:v>
                </c:pt>
                <c:pt idx="44">
                  <c:v>45200</c:v>
                </c:pt>
                <c:pt idx="45">
                  <c:v>45231</c:v>
                </c:pt>
                <c:pt idx="46">
                  <c:v>45261</c:v>
                </c:pt>
              </c:numCache>
            </c:numRef>
          </c:cat>
          <c:val>
            <c:numRef>
              <c:f>Serie_Graph3!$AJ$63:$AJ$111</c:f>
              <c:numCache>
                <c:formatCode>0</c:formatCode>
                <c:ptCount val="49"/>
                <c:pt idx="0">
                  <c:v>100.27</c:v>
                </c:pt>
                <c:pt idx="1">
                  <c:v>101.09</c:v>
                </c:pt>
                <c:pt idx="2">
                  <c:v>100.07</c:v>
                </c:pt>
                <c:pt idx="3">
                  <c:v>112.85</c:v>
                </c:pt>
                <c:pt idx="4">
                  <c:v>109.56</c:v>
                </c:pt>
                <c:pt idx="5">
                  <c:v>111.48</c:v>
                </c:pt>
                <c:pt idx="6">
                  <c:v>112.6</c:v>
                </c:pt>
                <c:pt idx="7">
                  <c:v>113.59</c:v>
                </c:pt>
                <c:pt idx="8">
                  <c:v>113.87</c:v>
                </c:pt>
                <c:pt idx="9">
                  <c:v>113.19</c:v>
                </c:pt>
                <c:pt idx="10">
                  <c:v>107.65</c:v>
                </c:pt>
                <c:pt idx="11">
                  <c:v>107.64</c:v>
                </c:pt>
                <c:pt idx="12">
                  <c:v>106.4</c:v>
                </c:pt>
                <c:pt idx="13">
                  <c:v>108.32</c:v>
                </c:pt>
                <c:pt idx="14">
                  <c:v>113.86</c:v>
                </c:pt>
                <c:pt idx="15">
                  <c:v>118.18</c:v>
                </c:pt>
                <c:pt idx="16">
                  <c:v>118.53</c:v>
                </c:pt>
                <c:pt idx="17">
                  <c:v>120.69</c:v>
                </c:pt>
                <c:pt idx="18">
                  <c:v>119.79</c:v>
                </c:pt>
                <c:pt idx="19">
                  <c:v>123.38</c:v>
                </c:pt>
                <c:pt idx="20">
                  <c:v>123.55</c:v>
                </c:pt>
                <c:pt idx="21">
                  <c:v>126.77</c:v>
                </c:pt>
                <c:pt idx="22">
                  <c:v>127.35</c:v>
                </c:pt>
                <c:pt idx="23">
                  <c:v>128.06</c:v>
                </c:pt>
                <c:pt idx="24">
                  <c:v>134.32</c:v>
                </c:pt>
                <c:pt idx="25">
                  <c:v>145.58000000000001</c:v>
                </c:pt>
                <c:pt idx="26">
                  <c:v>156.66</c:v>
                </c:pt>
                <c:pt idx="27">
                  <c:v>161.35</c:v>
                </c:pt>
                <c:pt idx="28">
                  <c:v>166.97</c:v>
                </c:pt>
                <c:pt idx="29">
                  <c:v>169.92</c:v>
                </c:pt>
                <c:pt idx="30">
                  <c:v>168.88</c:v>
                </c:pt>
                <c:pt idx="31">
                  <c:v>170.22</c:v>
                </c:pt>
                <c:pt idx="32">
                  <c:v>165.76</c:v>
                </c:pt>
                <c:pt idx="33">
                  <c:v>160.65</c:v>
                </c:pt>
                <c:pt idx="34">
                  <c:v>154.32</c:v>
                </c:pt>
                <c:pt idx="35">
                  <c:v>146.38</c:v>
                </c:pt>
                <c:pt idx="36">
                  <c:v>147.56</c:v>
                </c:pt>
                <c:pt idx="37">
                  <c:v>148.69999999999999</c:v>
                </c:pt>
                <c:pt idx="38">
                  <c:v>149.5</c:v>
                </c:pt>
                <c:pt idx="39">
                  <c:v>153.69999999999999</c:v>
                </c:pt>
                <c:pt idx="40">
                  <c:v>158.30000000000001</c:v>
                </c:pt>
                <c:pt idx="41">
                  <c:v>158.5</c:v>
                </c:pt>
                <c:pt idx="42">
                  <c:v>156.4</c:v>
                </c:pt>
                <c:pt idx="43">
                  <c:v>154.5</c:v>
                </c:pt>
                <c:pt idx="44">
                  <c:v>153.4</c:v>
                </c:pt>
                <c:pt idx="45">
                  <c:v>155.63</c:v>
                </c:pt>
                <c:pt idx="46">
                  <c:v>150.68</c:v>
                </c:pt>
              </c:numCache>
            </c:numRef>
          </c:val>
          <c:smooth val="0"/>
          <c:extLst>
            <c:ext xmlns:c16="http://schemas.microsoft.com/office/drawing/2014/chart" uri="{C3380CC4-5D6E-409C-BE32-E72D297353CC}">
              <c16:uniqueId val="{00000001-0E76-43AC-958A-3C1A90E0849B}"/>
            </c:ext>
          </c:extLst>
        </c:ser>
        <c:dLbls>
          <c:showLegendKey val="0"/>
          <c:showVal val="0"/>
          <c:showCatName val="0"/>
          <c:showSerName val="0"/>
          <c:showPercent val="0"/>
          <c:showBubbleSize val="0"/>
        </c:dLbls>
        <c:marker val="1"/>
        <c:smooth val="0"/>
        <c:axId val="83208064"/>
        <c:axId val="83209600"/>
      </c:lineChart>
      <c:lineChart>
        <c:grouping val="standard"/>
        <c:varyColors val="0"/>
        <c:ser>
          <c:idx val="2"/>
          <c:order val="2"/>
          <c:tx>
            <c:strRef>
              <c:f>Serie_Graph3!$AK$3</c:f>
              <c:strCache>
                <c:ptCount val="1"/>
                <c:pt idx="0">
                  <c:v>Hors produits frais et énergie</c:v>
                </c:pt>
              </c:strCache>
            </c:strRef>
          </c:tx>
          <c:spPr>
            <a:ln w="28575" cap="rnd">
              <a:solidFill>
                <a:schemeClr val="accent3"/>
              </a:solidFill>
              <a:round/>
            </a:ln>
            <a:effectLst/>
          </c:spPr>
          <c:marker>
            <c:symbol val="none"/>
          </c:marker>
          <c:val>
            <c:numRef>
              <c:f>Serie_Graph3!$AK$63:$AK$111</c:f>
              <c:numCache>
                <c:formatCode>0</c:formatCode>
                <c:ptCount val="49"/>
                <c:pt idx="0">
                  <c:v>103.4</c:v>
                </c:pt>
                <c:pt idx="1">
                  <c:v>103.52</c:v>
                </c:pt>
                <c:pt idx="2">
                  <c:v>103.55</c:v>
                </c:pt>
                <c:pt idx="3">
                  <c:v>103.6</c:v>
                </c:pt>
                <c:pt idx="4">
                  <c:v>103.89</c:v>
                </c:pt>
                <c:pt idx="5">
                  <c:v>103.87</c:v>
                </c:pt>
                <c:pt idx="6">
                  <c:v>104.04</c:v>
                </c:pt>
                <c:pt idx="7">
                  <c:v>103.86</c:v>
                </c:pt>
                <c:pt idx="8">
                  <c:v>104.04</c:v>
                </c:pt>
                <c:pt idx="9">
                  <c:v>103.88</c:v>
                </c:pt>
                <c:pt idx="10">
                  <c:v>103.68</c:v>
                </c:pt>
                <c:pt idx="11">
                  <c:v>103.95</c:v>
                </c:pt>
                <c:pt idx="12">
                  <c:v>104.47</c:v>
                </c:pt>
                <c:pt idx="13">
                  <c:v>104.49</c:v>
                </c:pt>
                <c:pt idx="14">
                  <c:v>104.65</c:v>
                </c:pt>
                <c:pt idx="15">
                  <c:v>105.55</c:v>
                </c:pt>
                <c:pt idx="16">
                  <c:v>105.55</c:v>
                </c:pt>
                <c:pt idx="17">
                  <c:v>105.37</c:v>
                </c:pt>
                <c:pt idx="18">
                  <c:v>106.24</c:v>
                </c:pt>
                <c:pt idx="19">
                  <c:v>107.1</c:v>
                </c:pt>
                <c:pt idx="20">
                  <c:v>107.38</c:v>
                </c:pt>
                <c:pt idx="21">
                  <c:v>107.7</c:v>
                </c:pt>
                <c:pt idx="22">
                  <c:v>108</c:v>
                </c:pt>
                <c:pt idx="23">
                  <c:v>107.49</c:v>
                </c:pt>
                <c:pt idx="24">
                  <c:v>108.08</c:v>
                </c:pt>
                <c:pt idx="25">
                  <c:v>109.17</c:v>
                </c:pt>
                <c:pt idx="26">
                  <c:v>109.71</c:v>
                </c:pt>
                <c:pt idx="27">
                  <c:v>110.98</c:v>
                </c:pt>
                <c:pt idx="28">
                  <c:v>111.5</c:v>
                </c:pt>
                <c:pt idx="29">
                  <c:v>111.78</c:v>
                </c:pt>
                <c:pt idx="30">
                  <c:v>112.18</c:v>
                </c:pt>
                <c:pt idx="31">
                  <c:v>111.89</c:v>
                </c:pt>
                <c:pt idx="32">
                  <c:v>111.69</c:v>
                </c:pt>
                <c:pt idx="33">
                  <c:v>111.27</c:v>
                </c:pt>
                <c:pt idx="34">
                  <c:v>110.78</c:v>
                </c:pt>
                <c:pt idx="35">
                  <c:v>111.19</c:v>
                </c:pt>
                <c:pt idx="36">
                  <c:v>111.18</c:v>
                </c:pt>
                <c:pt idx="37">
                  <c:v>111.9</c:v>
                </c:pt>
                <c:pt idx="38">
                  <c:v>112.4</c:v>
                </c:pt>
                <c:pt idx="39">
                  <c:v>112.7</c:v>
                </c:pt>
                <c:pt idx="40">
                  <c:v>112.9</c:v>
                </c:pt>
                <c:pt idx="41">
                  <c:v>113.4</c:v>
                </c:pt>
                <c:pt idx="42">
                  <c:v>113</c:v>
                </c:pt>
                <c:pt idx="43">
                  <c:v>113</c:v>
                </c:pt>
                <c:pt idx="44">
                  <c:v>113.2</c:v>
                </c:pt>
                <c:pt idx="45">
                  <c:v>113.5</c:v>
                </c:pt>
                <c:pt idx="46">
                  <c:v>113.14</c:v>
                </c:pt>
              </c:numCache>
            </c:numRef>
          </c:val>
          <c:smooth val="0"/>
          <c:extLst>
            <c:ext xmlns:c16="http://schemas.microsoft.com/office/drawing/2014/chart" uri="{C3380CC4-5D6E-409C-BE32-E72D297353CC}">
              <c16:uniqueId val="{00000002-0E76-43AC-958A-3C1A90E0849B}"/>
            </c:ext>
          </c:extLst>
        </c:ser>
        <c:dLbls>
          <c:showLegendKey val="0"/>
          <c:showVal val="0"/>
          <c:showCatName val="0"/>
          <c:showSerName val="0"/>
          <c:showPercent val="0"/>
          <c:showBubbleSize val="0"/>
        </c:dLbls>
        <c:marker val="1"/>
        <c:smooth val="0"/>
        <c:axId val="83225216"/>
        <c:axId val="83223680"/>
      </c:lineChart>
      <c:dateAx>
        <c:axId val="83208064"/>
        <c:scaling>
          <c:orientation val="minMax"/>
        </c:scaling>
        <c:delete val="0"/>
        <c:axPos val="b"/>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BF"/>
          </a:p>
        </c:txPr>
        <c:crossAx val="83209600"/>
        <c:crosses val="autoZero"/>
        <c:auto val="1"/>
        <c:lblOffset val="100"/>
        <c:baseTimeUnit val="months"/>
        <c:majorUnit val="2"/>
        <c:majorTimeUnit val="months"/>
      </c:dateAx>
      <c:valAx>
        <c:axId val="83209600"/>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3208064"/>
        <c:crosses val="autoZero"/>
        <c:crossBetween val="between"/>
      </c:valAx>
      <c:valAx>
        <c:axId val="832236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3225216"/>
        <c:crosses val="max"/>
        <c:crossBetween val="between"/>
      </c:valAx>
      <c:catAx>
        <c:axId val="83225216"/>
        <c:scaling>
          <c:orientation val="minMax"/>
        </c:scaling>
        <c:delete val="1"/>
        <c:axPos val="b"/>
        <c:majorTickMark val="out"/>
        <c:minorTickMark val="none"/>
        <c:tickLblPos val="nextTo"/>
        <c:crossAx val="83223680"/>
        <c:crosses val="autoZero"/>
        <c:auto val="1"/>
        <c:lblAlgn val="ctr"/>
        <c:lblOffset val="100"/>
        <c:noMultiLvlLbl val="0"/>
      </c:catAx>
      <c:spPr>
        <a:noFill/>
        <a:ln>
          <a:solidFill>
            <a:schemeClr val="accent1"/>
          </a:solidFill>
        </a:ln>
        <a:effectLst/>
      </c:spPr>
    </c:plotArea>
    <c:legend>
      <c:legendPos val="b"/>
      <c:layout>
        <c:manualLayout>
          <c:xMode val="edge"/>
          <c:yMode val="edge"/>
          <c:x val="6.2519406806421804E-2"/>
          <c:y val="0.92602058998729331"/>
          <c:w val="0.8895977681075864"/>
          <c:h val="5.9909056026967805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fr-FR" sz="1200" b="1" i="0" baseline="0">
                <a:effectLst/>
              </a:rPr>
              <a:t>Indice des nomenclatures secondaires base 100 en 2008 par origine</a:t>
            </a:r>
          </a:p>
          <a:p>
            <a:pPr>
              <a:defRPr sz="1200" b="0" i="0" u="none" strike="noStrike" kern="1200" spc="0" baseline="0">
                <a:solidFill>
                  <a:sysClr val="windowText" lastClr="000000"/>
                </a:solidFill>
                <a:latin typeface="+mn-lt"/>
                <a:ea typeface="+mn-ea"/>
                <a:cs typeface="+mn-cs"/>
              </a:defRPr>
            </a:pPr>
            <a:endParaRPr lang="fr-FR" sz="1200">
              <a:effectLst/>
            </a:endParaRPr>
          </a:p>
        </c:rich>
      </c:tx>
      <c:overlay val="0"/>
      <c:spPr>
        <a:noFill/>
        <a:ln>
          <a:noFill/>
        </a:ln>
        <a:effectLst/>
      </c:spPr>
    </c:title>
    <c:autoTitleDeleted val="0"/>
    <c:plotArea>
      <c:layout>
        <c:manualLayout>
          <c:layoutTarget val="inner"/>
          <c:xMode val="edge"/>
          <c:yMode val="edge"/>
          <c:x val="9.2968792682477264E-2"/>
          <c:y val="0.14546946889047255"/>
          <c:w val="0.81370285467071046"/>
          <c:h val="0.47854586272386723"/>
        </c:manualLayout>
      </c:layout>
      <c:lineChart>
        <c:grouping val="standard"/>
        <c:varyColors val="0"/>
        <c:ser>
          <c:idx val="0"/>
          <c:order val="0"/>
          <c:tx>
            <c:strRef>
              <c:f>Serie_Graph3!$AL$3</c:f>
              <c:strCache>
                <c:ptCount val="1"/>
                <c:pt idx="0">
                  <c:v>Importé</c:v>
                </c:pt>
              </c:strCache>
            </c:strRef>
          </c:tx>
          <c:spPr>
            <a:ln w="28575" cap="rnd">
              <a:solidFill>
                <a:schemeClr val="accent1"/>
              </a:solidFill>
              <a:round/>
            </a:ln>
            <a:effectLst/>
          </c:spPr>
          <c:marker>
            <c:symbol val="none"/>
          </c:marker>
          <c:cat>
            <c:numRef>
              <c:f>Serie_Graph3!$AB$63:$AB$111</c:f>
              <c:numCache>
                <c:formatCode>m/d/yyyy</c:formatCode>
                <c:ptCount val="49"/>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pt idx="17">
                  <c:v>44378</c:v>
                </c:pt>
                <c:pt idx="18">
                  <c:v>44409</c:v>
                </c:pt>
                <c:pt idx="19">
                  <c:v>44440</c:v>
                </c:pt>
                <c:pt idx="20">
                  <c:v>44470</c:v>
                </c:pt>
                <c:pt idx="21">
                  <c:v>44501</c:v>
                </c:pt>
                <c:pt idx="22">
                  <c:v>44531</c:v>
                </c:pt>
                <c:pt idx="23">
                  <c:v>44562</c:v>
                </c:pt>
                <c:pt idx="24">
                  <c:v>44593</c:v>
                </c:pt>
                <c:pt idx="25">
                  <c:v>44621</c:v>
                </c:pt>
                <c:pt idx="26">
                  <c:v>44652</c:v>
                </c:pt>
                <c:pt idx="27">
                  <c:v>44682</c:v>
                </c:pt>
                <c:pt idx="28">
                  <c:v>44713</c:v>
                </c:pt>
                <c:pt idx="29">
                  <c:v>44743</c:v>
                </c:pt>
                <c:pt idx="30">
                  <c:v>44774</c:v>
                </c:pt>
                <c:pt idx="31">
                  <c:v>44805</c:v>
                </c:pt>
                <c:pt idx="32">
                  <c:v>44835</c:v>
                </c:pt>
                <c:pt idx="33">
                  <c:v>44866</c:v>
                </c:pt>
                <c:pt idx="34">
                  <c:v>44896</c:v>
                </c:pt>
                <c:pt idx="35">
                  <c:v>44927</c:v>
                </c:pt>
                <c:pt idx="36">
                  <c:v>44958</c:v>
                </c:pt>
                <c:pt idx="37">
                  <c:v>44986</c:v>
                </c:pt>
                <c:pt idx="38">
                  <c:v>45017</c:v>
                </c:pt>
                <c:pt idx="39">
                  <c:v>45047</c:v>
                </c:pt>
                <c:pt idx="40">
                  <c:v>45078</c:v>
                </c:pt>
                <c:pt idx="41">
                  <c:v>45108</c:v>
                </c:pt>
                <c:pt idx="42">
                  <c:v>45139</c:v>
                </c:pt>
                <c:pt idx="43">
                  <c:v>45170</c:v>
                </c:pt>
                <c:pt idx="44">
                  <c:v>45200</c:v>
                </c:pt>
                <c:pt idx="45">
                  <c:v>45231</c:v>
                </c:pt>
                <c:pt idx="46">
                  <c:v>45261</c:v>
                </c:pt>
              </c:numCache>
            </c:numRef>
          </c:cat>
          <c:val>
            <c:numRef>
              <c:f>Serie_Graph3!$AL$63:$AL$111</c:f>
              <c:numCache>
                <c:formatCode>0</c:formatCode>
                <c:ptCount val="49"/>
                <c:pt idx="0">
                  <c:v>102.16</c:v>
                </c:pt>
                <c:pt idx="1">
                  <c:v>102.23</c:v>
                </c:pt>
                <c:pt idx="2">
                  <c:v>100.61</c:v>
                </c:pt>
                <c:pt idx="3">
                  <c:v>102.28</c:v>
                </c:pt>
                <c:pt idx="4">
                  <c:v>102.22</c:v>
                </c:pt>
                <c:pt idx="5">
                  <c:v>102.18</c:v>
                </c:pt>
                <c:pt idx="6">
                  <c:v>103.29</c:v>
                </c:pt>
                <c:pt idx="7">
                  <c:v>102.96</c:v>
                </c:pt>
                <c:pt idx="8">
                  <c:v>102.65</c:v>
                </c:pt>
                <c:pt idx="9">
                  <c:v>102.3</c:v>
                </c:pt>
                <c:pt idx="10">
                  <c:v>101.86</c:v>
                </c:pt>
                <c:pt idx="11">
                  <c:v>102.4</c:v>
                </c:pt>
                <c:pt idx="12">
                  <c:v>101.68</c:v>
                </c:pt>
                <c:pt idx="13">
                  <c:v>101.69</c:v>
                </c:pt>
                <c:pt idx="14">
                  <c:v>102.37</c:v>
                </c:pt>
                <c:pt idx="15">
                  <c:v>102.19</c:v>
                </c:pt>
                <c:pt idx="16">
                  <c:v>102.02</c:v>
                </c:pt>
                <c:pt idx="17">
                  <c:v>103.36</c:v>
                </c:pt>
                <c:pt idx="18">
                  <c:v>103.62</c:v>
                </c:pt>
                <c:pt idx="19">
                  <c:v>103.98</c:v>
                </c:pt>
                <c:pt idx="20">
                  <c:v>103.55</c:v>
                </c:pt>
                <c:pt idx="21">
                  <c:v>103.47</c:v>
                </c:pt>
                <c:pt idx="22">
                  <c:v>103.52</c:v>
                </c:pt>
                <c:pt idx="23">
                  <c:v>102.87</c:v>
                </c:pt>
                <c:pt idx="24">
                  <c:v>103.9</c:v>
                </c:pt>
                <c:pt idx="25">
                  <c:v>104.5</c:v>
                </c:pt>
                <c:pt idx="26">
                  <c:v>107.38</c:v>
                </c:pt>
                <c:pt idx="27">
                  <c:v>107.75</c:v>
                </c:pt>
                <c:pt idx="28">
                  <c:v>108.7</c:v>
                </c:pt>
                <c:pt idx="29">
                  <c:v>108.52</c:v>
                </c:pt>
                <c:pt idx="30">
                  <c:v>108.99</c:v>
                </c:pt>
                <c:pt idx="31">
                  <c:v>109.9</c:v>
                </c:pt>
                <c:pt idx="32">
                  <c:v>109.65</c:v>
                </c:pt>
                <c:pt idx="33">
                  <c:v>109.02</c:v>
                </c:pt>
                <c:pt idx="34">
                  <c:v>109.63</c:v>
                </c:pt>
                <c:pt idx="35">
                  <c:v>109.93</c:v>
                </c:pt>
                <c:pt idx="36">
                  <c:v>110.75</c:v>
                </c:pt>
                <c:pt idx="37">
                  <c:v>111.9</c:v>
                </c:pt>
                <c:pt idx="38">
                  <c:v>111.2</c:v>
                </c:pt>
                <c:pt idx="39">
                  <c:v>111.8</c:v>
                </c:pt>
                <c:pt idx="40">
                  <c:v>112.3</c:v>
                </c:pt>
                <c:pt idx="41">
                  <c:v>113.3</c:v>
                </c:pt>
                <c:pt idx="42">
                  <c:v>113.2</c:v>
                </c:pt>
                <c:pt idx="43">
                  <c:v>112.3</c:v>
                </c:pt>
                <c:pt idx="44">
                  <c:v>111.9</c:v>
                </c:pt>
                <c:pt idx="45">
                  <c:v>112.88</c:v>
                </c:pt>
                <c:pt idx="46">
                  <c:v>113.17</c:v>
                </c:pt>
              </c:numCache>
            </c:numRef>
          </c:val>
          <c:smooth val="0"/>
          <c:extLst>
            <c:ext xmlns:c16="http://schemas.microsoft.com/office/drawing/2014/chart" uri="{C3380CC4-5D6E-409C-BE32-E72D297353CC}">
              <c16:uniqueId val="{00000000-C63B-4919-AADF-D76E4A796D22}"/>
            </c:ext>
          </c:extLst>
        </c:ser>
        <c:ser>
          <c:idx val="1"/>
          <c:order val="1"/>
          <c:tx>
            <c:strRef>
              <c:f>Serie_Graph3!$AM$3</c:f>
              <c:strCache>
                <c:ptCount val="1"/>
                <c:pt idx="0">
                  <c:v>local</c:v>
                </c:pt>
              </c:strCache>
            </c:strRef>
          </c:tx>
          <c:spPr>
            <a:ln w="28575" cap="rnd">
              <a:solidFill>
                <a:schemeClr val="accent2"/>
              </a:solidFill>
              <a:round/>
            </a:ln>
            <a:effectLst/>
          </c:spPr>
          <c:marker>
            <c:symbol val="none"/>
          </c:marker>
          <c:cat>
            <c:numRef>
              <c:f>Serie_Graph3!$AB$63:$AB$111</c:f>
              <c:numCache>
                <c:formatCode>m/d/yyyy</c:formatCode>
                <c:ptCount val="49"/>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pt idx="17">
                  <c:v>44378</c:v>
                </c:pt>
                <c:pt idx="18">
                  <c:v>44409</c:v>
                </c:pt>
                <c:pt idx="19">
                  <c:v>44440</c:v>
                </c:pt>
                <c:pt idx="20">
                  <c:v>44470</c:v>
                </c:pt>
                <c:pt idx="21">
                  <c:v>44501</c:v>
                </c:pt>
                <c:pt idx="22">
                  <c:v>44531</c:v>
                </c:pt>
                <c:pt idx="23">
                  <c:v>44562</c:v>
                </c:pt>
                <c:pt idx="24">
                  <c:v>44593</c:v>
                </c:pt>
                <c:pt idx="25">
                  <c:v>44621</c:v>
                </c:pt>
                <c:pt idx="26">
                  <c:v>44652</c:v>
                </c:pt>
                <c:pt idx="27">
                  <c:v>44682</c:v>
                </c:pt>
                <c:pt idx="28">
                  <c:v>44713</c:v>
                </c:pt>
                <c:pt idx="29">
                  <c:v>44743</c:v>
                </c:pt>
                <c:pt idx="30">
                  <c:v>44774</c:v>
                </c:pt>
                <c:pt idx="31">
                  <c:v>44805</c:v>
                </c:pt>
                <c:pt idx="32">
                  <c:v>44835</c:v>
                </c:pt>
                <c:pt idx="33">
                  <c:v>44866</c:v>
                </c:pt>
                <c:pt idx="34">
                  <c:v>44896</c:v>
                </c:pt>
                <c:pt idx="35">
                  <c:v>44927</c:v>
                </c:pt>
                <c:pt idx="36">
                  <c:v>44958</c:v>
                </c:pt>
                <c:pt idx="37">
                  <c:v>44986</c:v>
                </c:pt>
                <c:pt idx="38">
                  <c:v>45017</c:v>
                </c:pt>
                <c:pt idx="39">
                  <c:v>45047</c:v>
                </c:pt>
                <c:pt idx="40">
                  <c:v>45078</c:v>
                </c:pt>
                <c:pt idx="41">
                  <c:v>45108</c:v>
                </c:pt>
                <c:pt idx="42">
                  <c:v>45139</c:v>
                </c:pt>
                <c:pt idx="43">
                  <c:v>45170</c:v>
                </c:pt>
                <c:pt idx="44">
                  <c:v>45200</c:v>
                </c:pt>
                <c:pt idx="45">
                  <c:v>45231</c:v>
                </c:pt>
                <c:pt idx="46">
                  <c:v>45261</c:v>
                </c:pt>
              </c:numCache>
            </c:numRef>
          </c:cat>
          <c:val>
            <c:numRef>
              <c:f>Serie_Graph3!$AM$63:$AM$111</c:f>
              <c:numCache>
                <c:formatCode>0</c:formatCode>
                <c:ptCount val="49"/>
                <c:pt idx="0">
                  <c:v>102.68</c:v>
                </c:pt>
                <c:pt idx="1">
                  <c:v>102.31</c:v>
                </c:pt>
                <c:pt idx="2">
                  <c:v>102.34</c:v>
                </c:pt>
                <c:pt idx="3">
                  <c:v>107.21</c:v>
                </c:pt>
                <c:pt idx="4">
                  <c:v>105.45</c:v>
                </c:pt>
                <c:pt idx="5">
                  <c:v>106.22</c:v>
                </c:pt>
                <c:pt idx="6">
                  <c:v>107.34</c:v>
                </c:pt>
                <c:pt idx="7">
                  <c:v>107.74</c:v>
                </c:pt>
                <c:pt idx="8">
                  <c:v>108.79</c:v>
                </c:pt>
                <c:pt idx="9">
                  <c:v>107.75</c:v>
                </c:pt>
                <c:pt idx="10">
                  <c:v>105.49</c:v>
                </c:pt>
                <c:pt idx="11">
                  <c:v>105.59</c:v>
                </c:pt>
                <c:pt idx="12">
                  <c:v>105.42</c:v>
                </c:pt>
                <c:pt idx="13">
                  <c:v>106.26</c:v>
                </c:pt>
                <c:pt idx="14">
                  <c:v>108.35</c:v>
                </c:pt>
                <c:pt idx="15">
                  <c:v>111.08</c:v>
                </c:pt>
                <c:pt idx="16">
                  <c:v>111.11</c:v>
                </c:pt>
                <c:pt idx="17">
                  <c:v>111.26</c:v>
                </c:pt>
                <c:pt idx="18">
                  <c:v>111.72</c:v>
                </c:pt>
                <c:pt idx="19">
                  <c:v>114.23</c:v>
                </c:pt>
                <c:pt idx="20">
                  <c:v>114.62</c:v>
                </c:pt>
                <c:pt idx="21">
                  <c:v>116.47</c:v>
                </c:pt>
                <c:pt idx="22">
                  <c:v>117.05</c:v>
                </c:pt>
                <c:pt idx="23">
                  <c:v>116.46</c:v>
                </c:pt>
                <c:pt idx="24">
                  <c:v>119.76</c:v>
                </c:pt>
                <c:pt idx="25">
                  <c:v>125.39</c:v>
                </c:pt>
                <c:pt idx="26">
                  <c:v>129.43</c:v>
                </c:pt>
                <c:pt idx="27">
                  <c:v>132.58000000000001</c:v>
                </c:pt>
                <c:pt idx="28">
                  <c:v>135.55000000000001</c:v>
                </c:pt>
                <c:pt idx="29">
                  <c:v>137.35</c:v>
                </c:pt>
                <c:pt idx="30">
                  <c:v>137.59</c:v>
                </c:pt>
                <c:pt idx="31">
                  <c:v>137.72999999999999</c:v>
                </c:pt>
                <c:pt idx="32">
                  <c:v>135.83000000000001</c:v>
                </c:pt>
                <c:pt idx="33">
                  <c:v>133.56</c:v>
                </c:pt>
                <c:pt idx="34">
                  <c:v>129.72999999999999</c:v>
                </c:pt>
                <c:pt idx="35">
                  <c:v>126.46</c:v>
                </c:pt>
                <c:pt idx="36">
                  <c:v>126.64</c:v>
                </c:pt>
                <c:pt idx="37">
                  <c:v>127</c:v>
                </c:pt>
                <c:pt idx="38">
                  <c:v>128.1</c:v>
                </c:pt>
                <c:pt idx="39">
                  <c:v>130</c:v>
                </c:pt>
                <c:pt idx="40">
                  <c:v>132.9</c:v>
                </c:pt>
                <c:pt idx="41">
                  <c:v>133.5</c:v>
                </c:pt>
                <c:pt idx="42">
                  <c:v>132.5</c:v>
                </c:pt>
                <c:pt idx="43">
                  <c:v>132.19999999999999</c:v>
                </c:pt>
                <c:pt idx="44">
                  <c:v>132.30000000000001</c:v>
                </c:pt>
                <c:pt idx="45">
                  <c:v>133.15</c:v>
                </c:pt>
                <c:pt idx="46">
                  <c:v>130.26</c:v>
                </c:pt>
              </c:numCache>
            </c:numRef>
          </c:val>
          <c:smooth val="0"/>
          <c:extLst>
            <c:ext xmlns:c16="http://schemas.microsoft.com/office/drawing/2014/chart" uri="{C3380CC4-5D6E-409C-BE32-E72D297353CC}">
              <c16:uniqueId val="{00000001-C63B-4919-AADF-D76E4A796D22}"/>
            </c:ext>
          </c:extLst>
        </c:ser>
        <c:dLbls>
          <c:showLegendKey val="0"/>
          <c:showVal val="0"/>
          <c:showCatName val="0"/>
          <c:showSerName val="0"/>
          <c:showPercent val="0"/>
          <c:showBubbleSize val="0"/>
        </c:dLbls>
        <c:smooth val="0"/>
        <c:axId val="83241984"/>
        <c:axId val="83272448"/>
      </c:lineChart>
      <c:dateAx>
        <c:axId val="83241984"/>
        <c:scaling>
          <c:orientation val="minMax"/>
        </c:scaling>
        <c:delete val="0"/>
        <c:axPos val="b"/>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BF"/>
          </a:p>
        </c:txPr>
        <c:crossAx val="83272448"/>
        <c:crosses val="autoZero"/>
        <c:auto val="1"/>
        <c:lblOffset val="100"/>
        <c:baseTimeUnit val="months"/>
        <c:majorUnit val="2"/>
        <c:majorTimeUnit val="months"/>
      </c:dateAx>
      <c:valAx>
        <c:axId val="83272448"/>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3241984"/>
        <c:crosses val="autoZero"/>
        <c:crossBetween val="between"/>
      </c:valAx>
      <c:spPr>
        <a:noFill/>
        <a:ln>
          <a:solidFill>
            <a:schemeClr val="accent1"/>
          </a:solidFill>
        </a:ln>
        <a:effectLst/>
      </c:spPr>
    </c:plotArea>
    <c:legend>
      <c:legendPos val="b"/>
      <c:layout>
        <c:manualLayout>
          <c:xMode val="edge"/>
          <c:yMode val="edge"/>
          <c:x val="6.0355012441626922E-2"/>
          <c:y val="0.88736661383048854"/>
          <c:w val="0.8895977681075864"/>
          <c:h val="7.8125546806649182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35892388451437"/>
          <c:y val="2.5428331875182269E-2"/>
          <c:w val="0.86564107611550267"/>
          <c:h val="0.72088764946049033"/>
        </c:manualLayout>
      </c:layout>
      <c:lineChart>
        <c:grouping val="standard"/>
        <c:varyColors val="0"/>
        <c:ser>
          <c:idx val="0"/>
          <c:order val="0"/>
          <c:tx>
            <c:strRef>
              <c:f>Serie_Graph3!$AN$3</c:f>
              <c:strCache>
                <c:ptCount val="1"/>
                <c:pt idx="0">
                  <c:v>Mil</c:v>
                </c:pt>
              </c:strCache>
            </c:strRef>
          </c:tx>
          <c:spPr>
            <a:ln w="28575" cap="rnd">
              <a:solidFill>
                <a:schemeClr val="accent1"/>
              </a:solidFill>
              <a:round/>
            </a:ln>
            <a:effectLst/>
          </c:spPr>
          <c:marker>
            <c:symbol val="none"/>
          </c:marker>
          <c:cat>
            <c:numRef>
              <c:f>Serie_Graph3!$AB$60:$AB$111</c:f>
              <c:numCache>
                <c:formatCode>m/d/yyyy</c:formatCode>
                <c:ptCount val="52"/>
                <c:pt idx="0">
                  <c:v>43770</c:v>
                </c:pt>
                <c:pt idx="1">
                  <c:v>43800</c:v>
                </c:pt>
                <c:pt idx="2">
                  <c:v>43831</c:v>
                </c:pt>
                <c:pt idx="3">
                  <c:v>43862</c:v>
                </c:pt>
                <c:pt idx="4">
                  <c:v>43891</c:v>
                </c:pt>
                <c:pt idx="5">
                  <c:v>43922</c:v>
                </c:pt>
                <c:pt idx="6">
                  <c:v>43952</c:v>
                </c:pt>
                <c:pt idx="7">
                  <c:v>43983</c:v>
                </c:pt>
                <c:pt idx="8">
                  <c:v>44013</c:v>
                </c:pt>
                <c:pt idx="9">
                  <c:v>44044</c:v>
                </c:pt>
                <c:pt idx="10">
                  <c:v>44075</c:v>
                </c:pt>
                <c:pt idx="11">
                  <c:v>44105</c:v>
                </c:pt>
                <c:pt idx="12">
                  <c:v>44136</c:v>
                </c:pt>
                <c:pt idx="13">
                  <c:v>44166</c:v>
                </c:pt>
                <c:pt idx="14">
                  <c:v>44197</c:v>
                </c:pt>
                <c:pt idx="15">
                  <c:v>44228</c:v>
                </c:pt>
                <c:pt idx="16">
                  <c:v>44256</c:v>
                </c:pt>
                <c:pt idx="17">
                  <c:v>44287</c:v>
                </c:pt>
                <c:pt idx="18">
                  <c:v>44317</c:v>
                </c:pt>
                <c:pt idx="19">
                  <c:v>44348</c:v>
                </c:pt>
                <c:pt idx="20">
                  <c:v>44378</c:v>
                </c:pt>
                <c:pt idx="21">
                  <c:v>44409</c:v>
                </c:pt>
                <c:pt idx="22">
                  <c:v>44440</c:v>
                </c:pt>
                <c:pt idx="23">
                  <c:v>44470</c:v>
                </c:pt>
                <c:pt idx="24">
                  <c:v>44501</c:v>
                </c:pt>
                <c:pt idx="25">
                  <c:v>44531</c:v>
                </c:pt>
                <c:pt idx="26">
                  <c:v>44562</c:v>
                </c:pt>
                <c:pt idx="27">
                  <c:v>44593</c:v>
                </c:pt>
                <c:pt idx="28">
                  <c:v>44621</c:v>
                </c:pt>
                <c:pt idx="29">
                  <c:v>44652</c:v>
                </c:pt>
                <c:pt idx="30">
                  <c:v>44682</c:v>
                </c:pt>
                <c:pt idx="31">
                  <c:v>44713</c:v>
                </c:pt>
                <c:pt idx="32">
                  <c:v>44743</c:v>
                </c:pt>
                <c:pt idx="33">
                  <c:v>44774</c:v>
                </c:pt>
                <c:pt idx="34">
                  <c:v>44805</c:v>
                </c:pt>
                <c:pt idx="35">
                  <c:v>44835</c:v>
                </c:pt>
                <c:pt idx="36">
                  <c:v>44866</c:v>
                </c:pt>
                <c:pt idx="37">
                  <c:v>44896</c:v>
                </c:pt>
                <c:pt idx="38">
                  <c:v>44927</c:v>
                </c:pt>
                <c:pt idx="39">
                  <c:v>44958</c:v>
                </c:pt>
                <c:pt idx="40">
                  <c:v>44986</c:v>
                </c:pt>
                <c:pt idx="41">
                  <c:v>45017</c:v>
                </c:pt>
                <c:pt idx="42">
                  <c:v>45047</c:v>
                </c:pt>
                <c:pt idx="43">
                  <c:v>45078</c:v>
                </c:pt>
                <c:pt idx="44">
                  <c:v>45108</c:v>
                </c:pt>
                <c:pt idx="45">
                  <c:v>45139</c:v>
                </c:pt>
                <c:pt idx="46">
                  <c:v>45170</c:v>
                </c:pt>
                <c:pt idx="47">
                  <c:v>45200</c:v>
                </c:pt>
                <c:pt idx="48">
                  <c:v>45231</c:v>
                </c:pt>
                <c:pt idx="49">
                  <c:v>45261</c:v>
                </c:pt>
              </c:numCache>
            </c:numRef>
          </c:cat>
          <c:val>
            <c:numRef>
              <c:f>Serie_Graph3!$AN$61:$AN$113</c:f>
              <c:numCache>
                <c:formatCode>0</c:formatCode>
                <c:ptCount val="53"/>
                <c:pt idx="0">
                  <c:v>145.83333206176758</c:v>
                </c:pt>
                <c:pt idx="1">
                  <c:v>147.05882263183594</c:v>
                </c:pt>
                <c:pt idx="2">
                  <c:v>153.59477233886719</c:v>
                </c:pt>
                <c:pt idx="3">
                  <c:v>155.63725662231445</c:v>
                </c:pt>
                <c:pt idx="4">
                  <c:v>161.29032897949219</c:v>
                </c:pt>
                <c:pt idx="5">
                  <c:v>181.78105545043945</c:v>
                </c:pt>
                <c:pt idx="6">
                  <c:v>183.33333740234374</c:v>
                </c:pt>
                <c:pt idx="7">
                  <c:v>186.29032897949219</c:v>
                </c:pt>
                <c:pt idx="8">
                  <c:v>202.41936492919922</c:v>
                </c:pt>
                <c:pt idx="9">
                  <c:v>223.8709716796875</c:v>
                </c:pt>
                <c:pt idx="10">
                  <c:v>197.89690399169922</c:v>
                </c:pt>
                <c:pt idx="11">
                  <c:v>214.05229187011719</c:v>
                </c:pt>
                <c:pt idx="12">
                  <c:v>235.48387908935547</c:v>
                </c:pt>
                <c:pt idx="13">
                  <c:v>248.87484741210938</c:v>
                </c:pt>
                <c:pt idx="14">
                  <c:v>248.87484741210938</c:v>
                </c:pt>
                <c:pt idx="15">
                  <c:v>242.83494758605957</c:v>
                </c:pt>
                <c:pt idx="16">
                  <c:v>242.22159767150879</c:v>
                </c:pt>
                <c:pt idx="17">
                  <c:v>242.49131774902344</c:v>
                </c:pt>
                <c:pt idx="18">
                  <c:v>247.27234268188477</c:v>
                </c:pt>
                <c:pt idx="19">
                  <c:v>248.08685493469238</c:v>
                </c:pt>
                <c:pt idx="20">
                  <c:v>248.69004058837891</c:v>
                </c:pt>
                <c:pt idx="21">
                  <c:v>248.44434356689453</c:v>
                </c:pt>
                <c:pt idx="22">
                  <c:v>248.01383972167969</c:v>
                </c:pt>
                <c:pt idx="23">
                  <c:v>307.29327011108398</c:v>
                </c:pt>
                <c:pt idx="24">
                  <c:v>367.32015228271484</c:v>
                </c:pt>
                <c:pt idx="25">
                  <c:v>303.66275024414063</c:v>
                </c:pt>
                <c:pt idx="26">
                  <c:v>358.31101226806641</c:v>
                </c:pt>
                <c:pt idx="27">
                  <c:v>409.56693649291992</c:v>
                </c:pt>
                <c:pt idx="28">
                  <c:v>416.55543518066406</c:v>
                </c:pt>
                <c:pt idx="29">
                  <c:v>410.82721252441405</c:v>
                </c:pt>
                <c:pt idx="30">
                  <c:v>405.21469497680664</c:v>
                </c:pt>
                <c:pt idx="31">
                  <c:v>435.71430053710935</c:v>
                </c:pt>
                <c:pt idx="32">
                  <c:v>468.2274169921875</c:v>
                </c:pt>
                <c:pt idx="33">
                  <c:v>445.18185424804688</c:v>
                </c:pt>
                <c:pt idx="34">
                  <c:v>449</c:v>
                </c:pt>
                <c:pt idx="35">
                  <c:v>439</c:v>
                </c:pt>
                <c:pt idx="36">
                  <c:v>401</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0-CEB2-4DF8-8DB1-42978CD3B50A}"/>
            </c:ext>
          </c:extLst>
        </c:ser>
        <c:ser>
          <c:idx val="1"/>
          <c:order val="1"/>
          <c:tx>
            <c:strRef>
              <c:f>Serie_Graph3!$AO$3</c:f>
              <c:strCache>
                <c:ptCount val="1"/>
                <c:pt idx="0">
                  <c:v>Maïs</c:v>
                </c:pt>
              </c:strCache>
            </c:strRef>
          </c:tx>
          <c:spPr>
            <a:ln w="28575" cap="rnd">
              <a:solidFill>
                <a:schemeClr val="accent2"/>
              </a:solidFill>
              <a:round/>
            </a:ln>
            <a:effectLst/>
          </c:spPr>
          <c:marker>
            <c:symbol val="none"/>
          </c:marker>
          <c:cat>
            <c:numRef>
              <c:f>Serie_Graph3!$AB$60:$AB$111</c:f>
              <c:numCache>
                <c:formatCode>m/d/yyyy</c:formatCode>
                <c:ptCount val="52"/>
                <c:pt idx="0">
                  <c:v>43770</c:v>
                </c:pt>
                <c:pt idx="1">
                  <c:v>43800</c:v>
                </c:pt>
                <c:pt idx="2">
                  <c:v>43831</c:v>
                </c:pt>
                <c:pt idx="3">
                  <c:v>43862</c:v>
                </c:pt>
                <c:pt idx="4">
                  <c:v>43891</c:v>
                </c:pt>
                <c:pt idx="5">
                  <c:v>43922</c:v>
                </c:pt>
                <c:pt idx="6">
                  <c:v>43952</c:v>
                </c:pt>
                <c:pt idx="7">
                  <c:v>43983</c:v>
                </c:pt>
                <c:pt idx="8">
                  <c:v>44013</c:v>
                </c:pt>
                <c:pt idx="9">
                  <c:v>44044</c:v>
                </c:pt>
                <c:pt idx="10">
                  <c:v>44075</c:v>
                </c:pt>
                <c:pt idx="11">
                  <c:v>44105</c:v>
                </c:pt>
                <c:pt idx="12">
                  <c:v>44136</c:v>
                </c:pt>
                <c:pt idx="13">
                  <c:v>44166</c:v>
                </c:pt>
                <c:pt idx="14">
                  <c:v>44197</c:v>
                </c:pt>
                <c:pt idx="15">
                  <c:v>44228</c:v>
                </c:pt>
                <c:pt idx="16">
                  <c:v>44256</c:v>
                </c:pt>
                <c:pt idx="17">
                  <c:v>44287</c:v>
                </c:pt>
                <c:pt idx="18">
                  <c:v>44317</c:v>
                </c:pt>
                <c:pt idx="19">
                  <c:v>44348</c:v>
                </c:pt>
                <c:pt idx="20">
                  <c:v>44378</c:v>
                </c:pt>
                <c:pt idx="21">
                  <c:v>44409</c:v>
                </c:pt>
                <c:pt idx="22">
                  <c:v>44440</c:v>
                </c:pt>
                <c:pt idx="23">
                  <c:v>44470</c:v>
                </c:pt>
                <c:pt idx="24">
                  <c:v>44501</c:v>
                </c:pt>
                <c:pt idx="25">
                  <c:v>44531</c:v>
                </c:pt>
                <c:pt idx="26">
                  <c:v>44562</c:v>
                </c:pt>
                <c:pt idx="27">
                  <c:v>44593</c:v>
                </c:pt>
                <c:pt idx="28">
                  <c:v>44621</c:v>
                </c:pt>
                <c:pt idx="29">
                  <c:v>44652</c:v>
                </c:pt>
                <c:pt idx="30">
                  <c:v>44682</c:v>
                </c:pt>
                <c:pt idx="31">
                  <c:v>44713</c:v>
                </c:pt>
                <c:pt idx="32">
                  <c:v>44743</c:v>
                </c:pt>
                <c:pt idx="33">
                  <c:v>44774</c:v>
                </c:pt>
                <c:pt idx="34">
                  <c:v>44805</c:v>
                </c:pt>
                <c:pt idx="35">
                  <c:v>44835</c:v>
                </c:pt>
                <c:pt idx="36">
                  <c:v>44866</c:v>
                </c:pt>
                <c:pt idx="37">
                  <c:v>44896</c:v>
                </c:pt>
                <c:pt idx="38">
                  <c:v>44927</c:v>
                </c:pt>
                <c:pt idx="39">
                  <c:v>44958</c:v>
                </c:pt>
                <c:pt idx="40">
                  <c:v>44986</c:v>
                </c:pt>
                <c:pt idx="41">
                  <c:v>45017</c:v>
                </c:pt>
                <c:pt idx="42">
                  <c:v>45047</c:v>
                </c:pt>
                <c:pt idx="43">
                  <c:v>45078</c:v>
                </c:pt>
                <c:pt idx="44">
                  <c:v>45108</c:v>
                </c:pt>
                <c:pt idx="45">
                  <c:v>45139</c:v>
                </c:pt>
                <c:pt idx="46">
                  <c:v>45170</c:v>
                </c:pt>
                <c:pt idx="47">
                  <c:v>45200</c:v>
                </c:pt>
                <c:pt idx="48">
                  <c:v>45231</c:v>
                </c:pt>
                <c:pt idx="49">
                  <c:v>45261</c:v>
                </c:pt>
              </c:numCache>
            </c:numRef>
          </c:cat>
          <c:val>
            <c:numRef>
              <c:f>Serie_Graph3!$AO$61:$AO$113</c:f>
              <c:numCache>
                <c:formatCode>0</c:formatCode>
                <c:ptCount val="53"/>
                <c:pt idx="0">
                  <c:v>137.12029113769532</c:v>
                </c:pt>
                <c:pt idx="1">
                  <c:v>154.72312927246094</c:v>
                </c:pt>
                <c:pt idx="2">
                  <c:v>146.41865158081055</c:v>
                </c:pt>
                <c:pt idx="3">
                  <c:v>146.19303894042969</c:v>
                </c:pt>
                <c:pt idx="4">
                  <c:v>146.57980346679688</c:v>
                </c:pt>
                <c:pt idx="5">
                  <c:v>161.76629028320312</c:v>
                </c:pt>
                <c:pt idx="6">
                  <c:v>164.50811767578125</c:v>
                </c:pt>
                <c:pt idx="7">
                  <c:v>166.44789123535156</c:v>
                </c:pt>
                <c:pt idx="8">
                  <c:v>183.78935852050782</c:v>
                </c:pt>
                <c:pt idx="9">
                  <c:v>183.59576034545898</c:v>
                </c:pt>
                <c:pt idx="10">
                  <c:v>181.76760864257813</c:v>
                </c:pt>
                <c:pt idx="11">
                  <c:v>163.67886962890626</c:v>
                </c:pt>
                <c:pt idx="12">
                  <c:v>161.72069549560547</c:v>
                </c:pt>
                <c:pt idx="13">
                  <c:v>163.16754913330078</c:v>
                </c:pt>
                <c:pt idx="14">
                  <c:v>178.97847747802734</c:v>
                </c:pt>
                <c:pt idx="15">
                  <c:v>165.33381462097168</c:v>
                </c:pt>
                <c:pt idx="16">
                  <c:v>192.0901985168457</c:v>
                </c:pt>
                <c:pt idx="17">
                  <c:v>225.64763946533202</c:v>
                </c:pt>
                <c:pt idx="18">
                  <c:v>231.13358306884766</c:v>
                </c:pt>
                <c:pt idx="19">
                  <c:v>230.07695579528809</c:v>
                </c:pt>
                <c:pt idx="20">
                  <c:v>231.53865661621094</c:v>
                </c:pt>
                <c:pt idx="21">
                  <c:v>239.91075325012207</c:v>
                </c:pt>
                <c:pt idx="22">
                  <c:v>244.06416625976561</c:v>
                </c:pt>
                <c:pt idx="23">
                  <c:v>235.30333518981934</c:v>
                </c:pt>
                <c:pt idx="24">
                  <c:v>280.67967987060547</c:v>
                </c:pt>
                <c:pt idx="25">
                  <c:v>249.74186706542969</c:v>
                </c:pt>
                <c:pt idx="26">
                  <c:v>278.7816276550293</c:v>
                </c:pt>
                <c:pt idx="27">
                  <c:v>299.32193374633789</c:v>
                </c:pt>
                <c:pt idx="28">
                  <c:v>338.9649658203125</c:v>
                </c:pt>
                <c:pt idx="29">
                  <c:v>341.29609298706055</c:v>
                </c:pt>
                <c:pt idx="30">
                  <c:v>310.91213989257813</c:v>
                </c:pt>
                <c:pt idx="31">
                  <c:v>333.33331298828125</c:v>
                </c:pt>
                <c:pt idx="32">
                  <c:v>287.82894897460938</c:v>
                </c:pt>
                <c:pt idx="33">
                  <c:v>282.40132141113281</c:v>
                </c:pt>
                <c:pt idx="34">
                  <c:v>283</c:v>
                </c:pt>
                <c:pt idx="35">
                  <c:v>257</c:v>
                </c:pt>
                <c:pt idx="36">
                  <c:v>241</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1-CEB2-4DF8-8DB1-42978CD3B50A}"/>
            </c:ext>
          </c:extLst>
        </c:ser>
        <c:dLbls>
          <c:showLegendKey val="0"/>
          <c:showVal val="0"/>
          <c:showCatName val="0"/>
          <c:showSerName val="0"/>
          <c:showPercent val="0"/>
          <c:showBubbleSize val="0"/>
        </c:dLbls>
        <c:marker val="1"/>
        <c:smooth val="0"/>
        <c:axId val="83479936"/>
        <c:axId val="83486208"/>
      </c:lineChart>
      <c:lineChart>
        <c:grouping val="standard"/>
        <c:varyColors val="0"/>
        <c:ser>
          <c:idx val="2"/>
          <c:order val="2"/>
          <c:tx>
            <c:strRef>
              <c:f>Serie_Graph3!$AP$3</c:f>
              <c:strCache>
                <c:ptCount val="1"/>
                <c:pt idx="0">
                  <c:v>Riz importé</c:v>
                </c:pt>
              </c:strCache>
            </c:strRef>
          </c:tx>
          <c:spPr>
            <a:ln w="28575" cap="rnd">
              <a:solidFill>
                <a:schemeClr val="accent3"/>
              </a:solidFill>
              <a:round/>
            </a:ln>
            <a:effectLst/>
          </c:spPr>
          <c:marker>
            <c:symbol val="none"/>
          </c:marker>
          <c:cat>
            <c:numRef>
              <c:f>Serie_Graph3!$AB$60:$AB$111</c:f>
              <c:numCache>
                <c:formatCode>m/d/yyyy</c:formatCode>
                <c:ptCount val="52"/>
                <c:pt idx="0">
                  <c:v>43770</c:v>
                </c:pt>
                <c:pt idx="1">
                  <c:v>43800</c:v>
                </c:pt>
                <c:pt idx="2">
                  <c:v>43831</c:v>
                </c:pt>
                <c:pt idx="3">
                  <c:v>43862</c:v>
                </c:pt>
                <c:pt idx="4">
                  <c:v>43891</c:v>
                </c:pt>
                <c:pt idx="5">
                  <c:v>43922</c:v>
                </c:pt>
                <c:pt idx="6">
                  <c:v>43952</c:v>
                </c:pt>
                <c:pt idx="7">
                  <c:v>43983</c:v>
                </c:pt>
                <c:pt idx="8">
                  <c:v>44013</c:v>
                </c:pt>
                <c:pt idx="9">
                  <c:v>44044</c:v>
                </c:pt>
                <c:pt idx="10">
                  <c:v>44075</c:v>
                </c:pt>
                <c:pt idx="11">
                  <c:v>44105</c:v>
                </c:pt>
                <c:pt idx="12">
                  <c:v>44136</c:v>
                </c:pt>
                <c:pt idx="13">
                  <c:v>44166</c:v>
                </c:pt>
                <c:pt idx="14">
                  <c:v>44197</c:v>
                </c:pt>
                <c:pt idx="15">
                  <c:v>44228</c:v>
                </c:pt>
                <c:pt idx="16">
                  <c:v>44256</c:v>
                </c:pt>
                <c:pt idx="17">
                  <c:v>44287</c:v>
                </c:pt>
                <c:pt idx="18">
                  <c:v>44317</c:v>
                </c:pt>
                <c:pt idx="19">
                  <c:v>44348</c:v>
                </c:pt>
                <c:pt idx="20">
                  <c:v>44378</c:v>
                </c:pt>
                <c:pt idx="21">
                  <c:v>44409</c:v>
                </c:pt>
                <c:pt idx="22">
                  <c:v>44440</c:v>
                </c:pt>
                <c:pt idx="23">
                  <c:v>44470</c:v>
                </c:pt>
                <c:pt idx="24">
                  <c:v>44501</c:v>
                </c:pt>
                <c:pt idx="25">
                  <c:v>44531</c:v>
                </c:pt>
                <c:pt idx="26">
                  <c:v>44562</c:v>
                </c:pt>
                <c:pt idx="27">
                  <c:v>44593</c:v>
                </c:pt>
                <c:pt idx="28">
                  <c:v>44621</c:v>
                </c:pt>
                <c:pt idx="29">
                  <c:v>44652</c:v>
                </c:pt>
                <c:pt idx="30">
                  <c:v>44682</c:v>
                </c:pt>
                <c:pt idx="31">
                  <c:v>44713</c:v>
                </c:pt>
                <c:pt idx="32">
                  <c:v>44743</c:v>
                </c:pt>
                <c:pt idx="33">
                  <c:v>44774</c:v>
                </c:pt>
                <c:pt idx="34">
                  <c:v>44805</c:v>
                </c:pt>
                <c:pt idx="35">
                  <c:v>44835</c:v>
                </c:pt>
                <c:pt idx="36">
                  <c:v>44866</c:v>
                </c:pt>
                <c:pt idx="37">
                  <c:v>44896</c:v>
                </c:pt>
                <c:pt idx="38">
                  <c:v>44927</c:v>
                </c:pt>
                <c:pt idx="39">
                  <c:v>44958</c:v>
                </c:pt>
                <c:pt idx="40">
                  <c:v>44986</c:v>
                </c:pt>
                <c:pt idx="41">
                  <c:v>45017</c:v>
                </c:pt>
                <c:pt idx="42">
                  <c:v>45047</c:v>
                </c:pt>
                <c:pt idx="43">
                  <c:v>45078</c:v>
                </c:pt>
                <c:pt idx="44">
                  <c:v>45108</c:v>
                </c:pt>
                <c:pt idx="45">
                  <c:v>45139</c:v>
                </c:pt>
                <c:pt idx="46">
                  <c:v>45170</c:v>
                </c:pt>
                <c:pt idx="47">
                  <c:v>45200</c:v>
                </c:pt>
                <c:pt idx="48">
                  <c:v>45231</c:v>
                </c:pt>
                <c:pt idx="49">
                  <c:v>45261</c:v>
                </c:pt>
              </c:numCache>
            </c:numRef>
          </c:cat>
          <c:val>
            <c:numRef>
              <c:f>Serie_Graph3!$AP$61:$AP$113</c:f>
              <c:numCache>
                <c:formatCode>0</c:formatCode>
                <c:ptCount val="53"/>
                <c:pt idx="0">
                  <c:v>370</c:v>
                </c:pt>
                <c:pt idx="1">
                  <c:v>370</c:v>
                </c:pt>
                <c:pt idx="2">
                  <c:v>400</c:v>
                </c:pt>
                <c:pt idx="3">
                  <c:v>400</c:v>
                </c:pt>
                <c:pt idx="4">
                  <c:v>400</c:v>
                </c:pt>
                <c:pt idx="5">
                  <c:v>400</c:v>
                </c:pt>
                <c:pt idx="6">
                  <c:v>400</c:v>
                </c:pt>
                <c:pt idx="7">
                  <c:v>400</c:v>
                </c:pt>
                <c:pt idx="8">
                  <c:v>0</c:v>
                </c:pt>
                <c:pt idx="9">
                  <c:v>0</c:v>
                </c:pt>
                <c:pt idx="10">
                  <c:v>0</c:v>
                </c:pt>
                <c:pt idx="11">
                  <c:v>0</c:v>
                </c:pt>
                <c:pt idx="12">
                  <c:v>0</c:v>
                </c:pt>
                <c:pt idx="13">
                  <c:v>400</c:v>
                </c:pt>
                <c:pt idx="14">
                  <c:v>400</c:v>
                </c:pt>
                <c:pt idx="15">
                  <c:v>400</c:v>
                </c:pt>
                <c:pt idx="16">
                  <c:v>0</c:v>
                </c:pt>
                <c:pt idx="17">
                  <c:v>400</c:v>
                </c:pt>
                <c:pt idx="18">
                  <c:v>400</c:v>
                </c:pt>
                <c:pt idx="19">
                  <c:v>400</c:v>
                </c:pt>
                <c:pt idx="20">
                  <c:v>400</c:v>
                </c:pt>
                <c:pt idx="21">
                  <c:v>400</c:v>
                </c:pt>
                <c:pt idx="22">
                  <c:v>400</c:v>
                </c:pt>
                <c:pt idx="23">
                  <c:v>400</c:v>
                </c:pt>
                <c:pt idx="24">
                  <c:v>400</c:v>
                </c:pt>
                <c:pt idx="25">
                  <c:v>400</c:v>
                </c:pt>
                <c:pt idx="26">
                  <c:v>0</c:v>
                </c:pt>
                <c:pt idx="27">
                  <c:v>450</c:v>
                </c:pt>
                <c:pt idx="28">
                  <c:v>500</c:v>
                </c:pt>
                <c:pt idx="29">
                  <c:v>500</c:v>
                </c:pt>
                <c:pt idx="30">
                  <c:v>500</c:v>
                </c:pt>
                <c:pt idx="31">
                  <c:v>500</c:v>
                </c:pt>
                <c:pt idx="32">
                  <c:v>500</c:v>
                </c:pt>
                <c:pt idx="33">
                  <c:v>500</c:v>
                </c:pt>
                <c:pt idx="34">
                  <c:v>500</c:v>
                </c:pt>
                <c:pt idx="35">
                  <c:v>500</c:v>
                </c:pt>
                <c:pt idx="36">
                  <c:v>500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2-CEB2-4DF8-8DB1-42978CD3B50A}"/>
            </c:ext>
          </c:extLst>
        </c:ser>
        <c:dLbls>
          <c:showLegendKey val="0"/>
          <c:showVal val="0"/>
          <c:showCatName val="0"/>
          <c:showSerName val="0"/>
          <c:showPercent val="0"/>
          <c:showBubbleSize val="0"/>
        </c:dLbls>
        <c:marker val="1"/>
        <c:smooth val="0"/>
        <c:axId val="83690240"/>
        <c:axId val="83487744"/>
      </c:lineChart>
      <c:dateAx>
        <c:axId val="83479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200" b="1" i="0" baseline="0">
                    <a:effectLst/>
                  </a:rPr>
                  <a:t>Evolution des prix à la consommation des céréales à Ouagadougou</a:t>
                </a:r>
                <a:endParaRPr lang="fr-FR" sz="1200">
                  <a:effectLst/>
                </a:endParaRPr>
              </a:p>
            </c:rich>
          </c:tx>
          <c:layout>
            <c:manualLayout>
              <c:xMode val="edge"/>
              <c:yMode val="edge"/>
              <c:x val="0.16652603337692654"/>
              <c:y val="1.1721616731530821E-2"/>
            </c:manualLayout>
          </c:layout>
          <c:overlay val="0"/>
          <c:spPr>
            <a:noFill/>
            <a:ln>
              <a:noFill/>
            </a:ln>
            <a:effectLst/>
          </c:spPr>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45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BF"/>
          </a:p>
        </c:txPr>
        <c:crossAx val="83486208"/>
        <c:crosses val="autoZero"/>
        <c:auto val="1"/>
        <c:lblOffset val="100"/>
        <c:baseTimeUnit val="months"/>
      </c:dateAx>
      <c:valAx>
        <c:axId val="83486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3479936"/>
        <c:crosses val="autoZero"/>
        <c:crossBetween val="between"/>
      </c:valAx>
      <c:valAx>
        <c:axId val="8348774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3690240"/>
        <c:crosses val="max"/>
        <c:crossBetween val="between"/>
      </c:valAx>
      <c:dateAx>
        <c:axId val="83690240"/>
        <c:scaling>
          <c:orientation val="minMax"/>
        </c:scaling>
        <c:delete val="1"/>
        <c:axPos val="b"/>
        <c:numFmt formatCode="m/d/yyyy" sourceLinked="1"/>
        <c:majorTickMark val="out"/>
        <c:minorTickMark val="none"/>
        <c:tickLblPos val="nextTo"/>
        <c:crossAx val="83487744"/>
        <c:crosses val="autoZero"/>
        <c:auto val="1"/>
        <c:lblOffset val="100"/>
        <c:baseTimeUnit val="months"/>
      </c:dateAx>
      <c:spPr>
        <a:noFill/>
        <a:ln w="6350">
          <a:solidFill>
            <a:schemeClr val="tx1"/>
          </a:solidFill>
        </a:ln>
        <a:effectLst/>
      </c:spPr>
    </c:plotArea>
    <c:legend>
      <c:legendPos val="b"/>
      <c:layout>
        <c:manualLayout>
          <c:xMode val="edge"/>
          <c:yMode val="edge"/>
          <c:x val="5.7258468789849415E-2"/>
          <c:y val="0.95297297692967564"/>
          <c:w val="0.65193902498126111"/>
          <c:h val="4.70270230703249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chart>
  <c:spPr>
    <a:solidFill>
      <a:schemeClr val="bg1"/>
    </a:solidFill>
    <a:ln w="22225" cap="flat" cmpd="sng" algn="ctr">
      <a:solidFill>
        <a:schemeClr val="tx1"/>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35892388451437"/>
          <c:y val="2.5428331875182269E-2"/>
          <c:w val="0.86564107611550267"/>
          <c:h val="0.72088764946049033"/>
        </c:manualLayout>
      </c:layout>
      <c:lineChart>
        <c:grouping val="standard"/>
        <c:varyColors val="0"/>
        <c:ser>
          <c:idx val="0"/>
          <c:order val="0"/>
          <c:tx>
            <c:strRef>
              <c:f>Serie_Graph3!$AQ$3</c:f>
              <c:strCache>
                <c:ptCount val="1"/>
                <c:pt idx="0">
                  <c:v>Batié</c:v>
                </c:pt>
              </c:strCache>
            </c:strRef>
          </c:tx>
          <c:spPr>
            <a:ln w="28575" cap="rnd">
              <a:solidFill>
                <a:schemeClr val="accent1"/>
              </a:solidFill>
              <a:round/>
            </a:ln>
            <a:effectLst/>
          </c:spPr>
          <c:marker>
            <c:symbol val="none"/>
          </c:marker>
          <c:cat>
            <c:numRef>
              <c:f>Serie_Graph3!$AB$60:$AB$111</c:f>
              <c:numCache>
                <c:formatCode>m/d/yyyy</c:formatCode>
                <c:ptCount val="52"/>
                <c:pt idx="0">
                  <c:v>43770</c:v>
                </c:pt>
                <c:pt idx="1">
                  <c:v>43800</c:v>
                </c:pt>
                <c:pt idx="2">
                  <c:v>43831</c:v>
                </c:pt>
                <c:pt idx="3">
                  <c:v>43862</c:v>
                </c:pt>
                <c:pt idx="4">
                  <c:v>43891</c:v>
                </c:pt>
                <c:pt idx="5">
                  <c:v>43922</c:v>
                </c:pt>
                <c:pt idx="6">
                  <c:v>43952</c:v>
                </c:pt>
                <c:pt idx="7">
                  <c:v>43983</c:v>
                </c:pt>
                <c:pt idx="8">
                  <c:v>44013</c:v>
                </c:pt>
                <c:pt idx="9">
                  <c:v>44044</c:v>
                </c:pt>
                <c:pt idx="10">
                  <c:v>44075</c:v>
                </c:pt>
                <c:pt idx="11">
                  <c:v>44105</c:v>
                </c:pt>
                <c:pt idx="12">
                  <c:v>44136</c:v>
                </c:pt>
                <c:pt idx="13">
                  <c:v>44166</c:v>
                </c:pt>
                <c:pt idx="14">
                  <c:v>44197</c:v>
                </c:pt>
                <c:pt idx="15">
                  <c:v>44228</c:v>
                </c:pt>
                <c:pt idx="16">
                  <c:v>44256</c:v>
                </c:pt>
                <c:pt idx="17">
                  <c:v>44287</c:v>
                </c:pt>
                <c:pt idx="18">
                  <c:v>44317</c:v>
                </c:pt>
                <c:pt idx="19">
                  <c:v>44348</c:v>
                </c:pt>
                <c:pt idx="20">
                  <c:v>44378</c:v>
                </c:pt>
                <c:pt idx="21">
                  <c:v>44409</c:v>
                </c:pt>
                <c:pt idx="22">
                  <c:v>44440</c:v>
                </c:pt>
                <c:pt idx="23">
                  <c:v>44470</c:v>
                </c:pt>
                <c:pt idx="24">
                  <c:v>44501</c:v>
                </c:pt>
                <c:pt idx="25">
                  <c:v>44531</c:v>
                </c:pt>
                <c:pt idx="26">
                  <c:v>44562</c:v>
                </c:pt>
                <c:pt idx="27">
                  <c:v>44593</c:v>
                </c:pt>
                <c:pt idx="28">
                  <c:v>44621</c:v>
                </c:pt>
                <c:pt idx="29">
                  <c:v>44652</c:v>
                </c:pt>
                <c:pt idx="30">
                  <c:v>44682</c:v>
                </c:pt>
                <c:pt idx="31">
                  <c:v>44713</c:v>
                </c:pt>
                <c:pt idx="32">
                  <c:v>44743</c:v>
                </c:pt>
                <c:pt idx="33">
                  <c:v>44774</c:v>
                </c:pt>
                <c:pt idx="34">
                  <c:v>44805</c:v>
                </c:pt>
                <c:pt idx="35">
                  <c:v>44835</c:v>
                </c:pt>
                <c:pt idx="36">
                  <c:v>44866</c:v>
                </c:pt>
                <c:pt idx="37">
                  <c:v>44896</c:v>
                </c:pt>
                <c:pt idx="38">
                  <c:v>44927</c:v>
                </c:pt>
                <c:pt idx="39">
                  <c:v>44958</c:v>
                </c:pt>
                <c:pt idx="40">
                  <c:v>44986</c:v>
                </c:pt>
                <c:pt idx="41">
                  <c:v>45017</c:v>
                </c:pt>
                <c:pt idx="42">
                  <c:v>45047</c:v>
                </c:pt>
                <c:pt idx="43">
                  <c:v>45078</c:v>
                </c:pt>
                <c:pt idx="44">
                  <c:v>45108</c:v>
                </c:pt>
                <c:pt idx="45">
                  <c:v>45139</c:v>
                </c:pt>
                <c:pt idx="46">
                  <c:v>45170</c:v>
                </c:pt>
                <c:pt idx="47">
                  <c:v>45200</c:v>
                </c:pt>
                <c:pt idx="48">
                  <c:v>45231</c:v>
                </c:pt>
                <c:pt idx="49">
                  <c:v>45261</c:v>
                </c:pt>
              </c:numCache>
            </c:numRef>
          </c:cat>
          <c:val>
            <c:numRef>
              <c:f>Serie_Graph3!$AQ$60:$AQ$111</c:f>
              <c:numCache>
                <c:formatCode>0</c:formatCode>
                <c:ptCount val="52"/>
                <c:pt idx="0">
                  <c:v>136.24081802368164</c:v>
                </c:pt>
                <c:pt idx="1">
                  <c:v>126.73918914794922</c:v>
                </c:pt>
                <c:pt idx="2">
                  <c:v>127.77123641967773</c:v>
                </c:pt>
                <c:pt idx="3">
                  <c:v>141.34275817871094</c:v>
                </c:pt>
                <c:pt idx="4">
                  <c:v>141.34275817871094</c:v>
                </c:pt>
                <c:pt idx="5">
                  <c:v>153.6363639831543</c:v>
                </c:pt>
                <c:pt idx="6">
                  <c:v>157.27272796630859</c:v>
                </c:pt>
                <c:pt idx="7">
                  <c:v>144.03971099853516</c:v>
                </c:pt>
                <c:pt idx="8">
                  <c:v>132.22088012695312</c:v>
                </c:pt>
                <c:pt idx="9">
                  <c:v>123.77850341796875</c:v>
                </c:pt>
                <c:pt idx="10">
                  <c:v>143.98647460937499</c:v>
                </c:pt>
                <c:pt idx="11">
                  <c:v>147.31585184733072</c:v>
                </c:pt>
                <c:pt idx="12">
                  <c:v>147.16312789916992</c:v>
                </c:pt>
                <c:pt idx="13">
                  <c:v>140.64949645996094</c:v>
                </c:pt>
                <c:pt idx="14">
                  <c:v>220.66496276855469</c:v>
                </c:pt>
                <c:pt idx="15">
                  <c:v>225.80646133422852</c:v>
                </c:pt>
                <c:pt idx="16">
                  <c:v>250.43637084960938</c:v>
                </c:pt>
                <c:pt idx="17">
                  <c:v>267.85714721679688</c:v>
                </c:pt>
                <c:pt idx="18">
                  <c:v>292.4342041015625</c:v>
                </c:pt>
                <c:pt idx="19">
                  <c:v>314.97974853515626</c:v>
                </c:pt>
                <c:pt idx="20">
                  <c:v>316.00881958007813</c:v>
                </c:pt>
                <c:pt idx="21">
                  <c:v>296.16045761108398</c:v>
                </c:pt>
                <c:pt idx="22">
                  <c:v>355.37848510742185</c:v>
                </c:pt>
                <c:pt idx="23">
                  <c:v>320.10581970214844</c:v>
                </c:pt>
                <c:pt idx="24">
                  <c:v>304.78087615966797</c:v>
                </c:pt>
                <c:pt idx="25">
                  <c:v>315.97811889648438</c:v>
                </c:pt>
                <c:pt idx="26">
                  <c:v>256.15877914428711</c:v>
                </c:pt>
                <c:pt idx="27">
                  <c:v>262.63953018188477</c:v>
                </c:pt>
                <c:pt idx="28">
                  <c:v>297.39339599609377</c:v>
                </c:pt>
                <c:pt idx="29">
                  <c:v>372.65917205810547</c:v>
                </c:pt>
                <c:pt idx="30">
                  <c:v>363.97058868408203</c:v>
                </c:pt>
                <c:pt idx="31">
                  <c:v>353.5294128417969</c:v>
                </c:pt>
                <c:pt idx="32">
                  <c:v>337.59783172607422</c:v>
                </c:pt>
                <c:pt idx="33">
                  <c:v>321.85430297851565</c:v>
                </c:pt>
                <c:pt idx="34">
                  <c:v>409.89401245117188</c:v>
                </c:pt>
                <c:pt idx="35">
                  <c:v>403</c:v>
                </c:pt>
                <c:pt idx="36">
                  <c:v>401</c:v>
                </c:pt>
                <c:pt idx="37">
                  <c:v>402</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0-6DF5-44FC-B9D7-232708A52CEB}"/>
            </c:ext>
          </c:extLst>
        </c:ser>
        <c:ser>
          <c:idx val="1"/>
          <c:order val="1"/>
          <c:tx>
            <c:strRef>
              <c:f>Serie_Graph3!$AR$3</c:f>
              <c:strCache>
                <c:ptCount val="1"/>
                <c:pt idx="0">
                  <c:v>Faramana</c:v>
                </c:pt>
              </c:strCache>
            </c:strRef>
          </c:tx>
          <c:spPr>
            <a:ln w="28575" cap="rnd">
              <a:solidFill>
                <a:schemeClr val="accent2"/>
              </a:solidFill>
              <a:round/>
            </a:ln>
            <a:effectLst/>
          </c:spPr>
          <c:marker>
            <c:symbol val="none"/>
          </c:marker>
          <c:cat>
            <c:numRef>
              <c:f>Serie_Graph3!$AB$60:$AB$111</c:f>
              <c:numCache>
                <c:formatCode>m/d/yyyy</c:formatCode>
                <c:ptCount val="52"/>
                <c:pt idx="0">
                  <c:v>43770</c:v>
                </c:pt>
                <c:pt idx="1">
                  <c:v>43800</c:v>
                </c:pt>
                <c:pt idx="2">
                  <c:v>43831</c:v>
                </c:pt>
                <c:pt idx="3">
                  <c:v>43862</c:v>
                </c:pt>
                <c:pt idx="4">
                  <c:v>43891</c:v>
                </c:pt>
                <c:pt idx="5">
                  <c:v>43922</c:v>
                </c:pt>
                <c:pt idx="6">
                  <c:v>43952</c:v>
                </c:pt>
                <c:pt idx="7">
                  <c:v>43983</c:v>
                </c:pt>
                <c:pt idx="8">
                  <c:v>44013</c:v>
                </c:pt>
                <c:pt idx="9">
                  <c:v>44044</c:v>
                </c:pt>
                <c:pt idx="10">
                  <c:v>44075</c:v>
                </c:pt>
                <c:pt idx="11">
                  <c:v>44105</c:v>
                </c:pt>
                <c:pt idx="12">
                  <c:v>44136</c:v>
                </c:pt>
                <c:pt idx="13">
                  <c:v>44166</c:v>
                </c:pt>
                <c:pt idx="14">
                  <c:v>44197</c:v>
                </c:pt>
                <c:pt idx="15">
                  <c:v>44228</c:v>
                </c:pt>
                <c:pt idx="16">
                  <c:v>44256</c:v>
                </c:pt>
                <c:pt idx="17">
                  <c:v>44287</c:v>
                </c:pt>
                <c:pt idx="18">
                  <c:v>44317</c:v>
                </c:pt>
                <c:pt idx="19">
                  <c:v>44348</c:v>
                </c:pt>
                <c:pt idx="20">
                  <c:v>44378</c:v>
                </c:pt>
                <c:pt idx="21">
                  <c:v>44409</c:v>
                </c:pt>
                <c:pt idx="22">
                  <c:v>44440</c:v>
                </c:pt>
                <c:pt idx="23">
                  <c:v>44470</c:v>
                </c:pt>
                <c:pt idx="24">
                  <c:v>44501</c:v>
                </c:pt>
                <c:pt idx="25">
                  <c:v>44531</c:v>
                </c:pt>
                <c:pt idx="26">
                  <c:v>44562</c:v>
                </c:pt>
                <c:pt idx="27">
                  <c:v>44593</c:v>
                </c:pt>
                <c:pt idx="28">
                  <c:v>44621</c:v>
                </c:pt>
                <c:pt idx="29">
                  <c:v>44652</c:v>
                </c:pt>
                <c:pt idx="30">
                  <c:v>44682</c:v>
                </c:pt>
                <c:pt idx="31">
                  <c:v>44713</c:v>
                </c:pt>
                <c:pt idx="32">
                  <c:v>44743</c:v>
                </c:pt>
                <c:pt idx="33">
                  <c:v>44774</c:v>
                </c:pt>
                <c:pt idx="34">
                  <c:v>44805</c:v>
                </c:pt>
                <c:pt idx="35">
                  <c:v>44835</c:v>
                </c:pt>
                <c:pt idx="36">
                  <c:v>44866</c:v>
                </c:pt>
                <c:pt idx="37">
                  <c:v>44896</c:v>
                </c:pt>
                <c:pt idx="38">
                  <c:v>44927</c:v>
                </c:pt>
                <c:pt idx="39">
                  <c:v>44958</c:v>
                </c:pt>
                <c:pt idx="40">
                  <c:v>44986</c:v>
                </c:pt>
                <c:pt idx="41">
                  <c:v>45017</c:v>
                </c:pt>
                <c:pt idx="42">
                  <c:v>45047</c:v>
                </c:pt>
                <c:pt idx="43">
                  <c:v>45078</c:v>
                </c:pt>
                <c:pt idx="44">
                  <c:v>45108</c:v>
                </c:pt>
                <c:pt idx="45">
                  <c:v>45139</c:v>
                </c:pt>
                <c:pt idx="46">
                  <c:v>45170</c:v>
                </c:pt>
                <c:pt idx="47">
                  <c:v>45200</c:v>
                </c:pt>
                <c:pt idx="48">
                  <c:v>45231</c:v>
                </c:pt>
                <c:pt idx="49">
                  <c:v>45261</c:v>
                </c:pt>
              </c:numCache>
            </c:numRef>
          </c:cat>
          <c:val>
            <c:numRef>
              <c:f>Serie_Graph3!$AR$60:$AR$111</c:f>
              <c:numCache>
                <c:formatCode>0</c:formatCode>
                <c:ptCount val="52"/>
                <c:pt idx="0">
                  <c:v>74.142154693603516</c:v>
                </c:pt>
                <c:pt idx="1">
                  <c:v>77.777778625488281</c:v>
                </c:pt>
                <c:pt idx="2">
                  <c:v>83.333335876464844</c:v>
                </c:pt>
                <c:pt idx="3">
                  <c:v>83.333335876464844</c:v>
                </c:pt>
                <c:pt idx="4">
                  <c:v>88.888890075683591</c:v>
                </c:pt>
                <c:pt idx="5">
                  <c:v>97.222221374511719</c:v>
                </c:pt>
                <c:pt idx="6">
                  <c:v>97.222221374511719</c:v>
                </c:pt>
                <c:pt idx="7">
                  <c:v>97.222221374511719</c:v>
                </c:pt>
                <c:pt idx="8">
                  <c:v>106.48148345947266</c:v>
                </c:pt>
                <c:pt idx="9">
                  <c:v>116.66666870117187</c:v>
                </c:pt>
                <c:pt idx="10">
                  <c:v>131.94444274902344</c:v>
                </c:pt>
                <c:pt idx="11">
                  <c:v>114.58333587646484</c:v>
                </c:pt>
                <c:pt idx="12">
                  <c:v>93.128654479980469</c:v>
                </c:pt>
                <c:pt idx="13">
                  <c:v>99.415205001831055</c:v>
                </c:pt>
                <c:pt idx="14">
                  <c:v>131.57894897460938</c:v>
                </c:pt>
                <c:pt idx="15">
                  <c:v>144.73684692382813</c:v>
                </c:pt>
                <c:pt idx="16">
                  <c:v>154.85829544067383</c:v>
                </c:pt>
                <c:pt idx="17">
                  <c:v>166.66666030883789</c:v>
                </c:pt>
                <c:pt idx="18">
                  <c:v>159.16666259765626</c:v>
                </c:pt>
                <c:pt idx="19">
                  <c:v>156.25</c:v>
                </c:pt>
                <c:pt idx="20">
                  <c:v>157.14285659790039</c:v>
                </c:pt>
                <c:pt idx="21">
                  <c:v>153.06121826171875</c:v>
                </c:pt>
                <c:pt idx="22">
                  <c:v>168.43447875976563</c:v>
                </c:pt>
                <c:pt idx="23">
                  <c:v>176.31578674316407</c:v>
                </c:pt>
                <c:pt idx="24">
                  <c:v>194.07894897460938</c:v>
                </c:pt>
                <c:pt idx="25">
                  <c:v>199.11595916748047</c:v>
                </c:pt>
                <c:pt idx="26">
                  <c:v>213.8157958984375</c:v>
                </c:pt>
                <c:pt idx="27">
                  <c:v>233.55263137817383</c:v>
                </c:pt>
                <c:pt idx="28">
                  <c:v>256.57894897460938</c:v>
                </c:pt>
                <c:pt idx="29">
                  <c:v>302.631591796875</c:v>
                </c:pt>
                <c:pt idx="30">
                  <c:v>306.62569580078127</c:v>
                </c:pt>
                <c:pt idx="31">
                  <c:v>290.78858947753906</c:v>
                </c:pt>
                <c:pt idx="32">
                  <c:v>303.03030395507813</c:v>
                </c:pt>
                <c:pt idx="33">
                  <c:v>314.484375</c:v>
                </c:pt>
                <c:pt idx="34">
                  <c:v>316.41771697998047</c:v>
                </c:pt>
                <c:pt idx="35">
                  <c:v>313</c:v>
                </c:pt>
                <c:pt idx="36">
                  <c:v>285</c:v>
                </c:pt>
                <c:pt idx="37">
                  <c:v>214</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6DF5-44FC-B9D7-232708A52CEB}"/>
            </c:ext>
          </c:extLst>
        </c:ser>
        <c:dLbls>
          <c:showLegendKey val="0"/>
          <c:showVal val="0"/>
          <c:showCatName val="0"/>
          <c:showSerName val="0"/>
          <c:showPercent val="0"/>
          <c:showBubbleSize val="0"/>
        </c:dLbls>
        <c:smooth val="0"/>
        <c:axId val="83723392"/>
        <c:axId val="83725312"/>
      </c:lineChart>
      <c:dateAx>
        <c:axId val="8372339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r-FR" sz="1200" b="1" i="0" baseline="0">
                    <a:solidFill>
                      <a:sysClr val="windowText" lastClr="000000"/>
                    </a:solidFill>
                    <a:effectLst/>
                  </a:rPr>
                  <a:t>Evolution des prix producteur du mil à Batié et Faramana</a:t>
                </a:r>
                <a:endParaRPr lang="fr-FR" sz="1200">
                  <a:solidFill>
                    <a:sysClr val="windowText" lastClr="000000"/>
                  </a:solidFill>
                  <a:effectLst/>
                </a:endParaRPr>
              </a:p>
            </c:rich>
          </c:tx>
          <c:layout>
            <c:manualLayout>
              <c:xMode val="edge"/>
              <c:yMode val="edge"/>
              <c:x val="0.16652603337692654"/>
              <c:y val="1.1721616731530821E-2"/>
            </c:manualLayout>
          </c:layout>
          <c:overlay val="0"/>
          <c:spPr>
            <a:noFill/>
            <a:ln>
              <a:noFill/>
            </a:ln>
            <a:effectLst/>
          </c:spPr>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45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BF"/>
          </a:p>
        </c:txPr>
        <c:crossAx val="83725312"/>
        <c:crosses val="autoZero"/>
        <c:auto val="1"/>
        <c:lblOffset val="100"/>
        <c:baseTimeUnit val="months"/>
      </c:dateAx>
      <c:valAx>
        <c:axId val="83725312"/>
        <c:scaling>
          <c:orientation val="minMax"/>
          <c:max val="410"/>
          <c:min val="6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3723392"/>
        <c:crosses val="autoZero"/>
        <c:crossBetween val="between"/>
      </c:valAx>
      <c:spPr>
        <a:noFill/>
        <a:ln w="25400">
          <a:noFill/>
        </a:ln>
        <a:effectLst/>
      </c:spPr>
    </c:plotArea>
    <c:legend>
      <c:legendPos val="b"/>
      <c:layout>
        <c:manualLayout>
          <c:xMode val="edge"/>
          <c:yMode val="edge"/>
          <c:x val="5.7258468789849415E-2"/>
          <c:y val="0.95297297692967564"/>
          <c:w val="0.65193902498126111"/>
          <c:h val="4.70270230703249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chart>
  <c:spPr>
    <a:solidFill>
      <a:schemeClr val="bg1"/>
    </a:solidFill>
    <a:ln w="22225" cap="flat" cmpd="sng" algn="ctr">
      <a:solidFill>
        <a:schemeClr val="tx1"/>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35892388451437"/>
          <c:y val="2.5428331875182269E-2"/>
          <c:w val="0.86564107611550267"/>
          <c:h val="0.69346138438674398"/>
        </c:manualLayout>
      </c:layout>
      <c:lineChart>
        <c:grouping val="standard"/>
        <c:varyColors val="0"/>
        <c:ser>
          <c:idx val="0"/>
          <c:order val="0"/>
          <c:tx>
            <c:strRef>
              <c:f>Serie_Graph3!$AS$3</c:f>
              <c:strCache>
                <c:ptCount val="1"/>
                <c:pt idx="0">
                  <c:v>Bobo- Abattoir (3)</c:v>
                </c:pt>
              </c:strCache>
            </c:strRef>
          </c:tx>
          <c:spPr>
            <a:ln w="28575" cap="rnd">
              <a:solidFill>
                <a:schemeClr val="accent1"/>
              </a:solidFill>
              <a:round/>
            </a:ln>
            <a:effectLst/>
          </c:spPr>
          <c:marker>
            <c:symbol val="none"/>
          </c:marker>
          <c:cat>
            <c:numRef>
              <c:f>Serie_Graph3!$B$60:$B$111</c:f>
              <c:numCache>
                <c:formatCode>m/d/yyyy</c:formatCode>
                <c:ptCount val="5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numCache>
            </c:numRef>
          </c:cat>
          <c:val>
            <c:numRef>
              <c:f>Serie_Graph3!$AS$60:$AS$111</c:f>
              <c:numCache>
                <c:formatCode>0.0</c:formatCode>
                <c:ptCount val="52"/>
                <c:pt idx="0">
                  <c:v>278.69333333333333</c:v>
                </c:pt>
                <c:pt idx="1">
                  <c:v>287.08333333333331</c:v>
                </c:pt>
                <c:pt idx="2">
                  <c:v>302.5</c:v>
                </c:pt>
                <c:pt idx="3">
                  <c:v>297.22222222222223</c:v>
                </c:pt>
                <c:pt idx="4">
                  <c:v>312.5</c:v>
                </c:pt>
                <c:pt idx="5">
                  <c:v>315.68049999999999</c:v>
                </c:pt>
                <c:pt idx="6">
                  <c:v>315.07650000000001</c:v>
                </c:pt>
                <c:pt idx="7">
                  <c:v>315.13900000000001</c:v>
                </c:pt>
                <c:pt idx="8">
                  <c:v>326.66666666666669</c:v>
                </c:pt>
                <c:pt idx="9">
                  <c:v>314.45833333333337</c:v>
                </c:pt>
                <c:pt idx="10">
                  <c:v>0</c:v>
                </c:pt>
                <c:pt idx="11">
                  <c:v>0</c:v>
                </c:pt>
                <c:pt idx="12">
                  <c:v>0</c:v>
                </c:pt>
                <c:pt idx="13">
                  <c:v>349545</c:v>
                </c:pt>
                <c:pt idx="14">
                  <c:v>337917</c:v>
                </c:pt>
                <c:pt idx="15">
                  <c:v>360385</c:v>
                </c:pt>
                <c:pt idx="16">
                  <c:v>333929</c:v>
                </c:pt>
                <c:pt idx="17">
                  <c:v>366250</c:v>
                </c:pt>
                <c:pt idx="18">
                  <c:v>370833</c:v>
                </c:pt>
                <c:pt idx="19">
                  <c:v>376786</c:v>
                </c:pt>
                <c:pt idx="20">
                  <c:v>386154</c:v>
                </c:pt>
                <c:pt idx="21">
                  <c:v>338846</c:v>
                </c:pt>
                <c:pt idx="22">
                  <c:v>339583</c:v>
                </c:pt>
                <c:pt idx="23">
                  <c:v>338182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#N/A</c:v>
                </c:pt>
              </c:numCache>
            </c:numRef>
          </c:val>
          <c:smooth val="0"/>
          <c:extLst>
            <c:ext xmlns:c16="http://schemas.microsoft.com/office/drawing/2014/chart" uri="{C3380CC4-5D6E-409C-BE32-E72D297353CC}">
              <c16:uniqueId val="{00000000-D1A7-4A07-BE0A-3AE88DA12EF5}"/>
            </c:ext>
          </c:extLst>
        </c:ser>
        <c:ser>
          <c:idx val="1"/>
          <c:order val="1"/>
          <c:tx>
            <c:strRef>
              <c:f>Serie_Graph3!$AT$3</c:f>
              <c:strCache>
                <c:ptCount val="1"/>
                <c:pt idx="0">
                  <c:v>Ouaga –Abattoir (3)</c:v>
                </c:pt>
              </c:strCache>
            </c:strRef>
          </c:tx>
          <c:spPr>
            <a:ln w="28575" cap="rnd">
              <a:solidFill>
                <a:schemeClr val="accent2"/>
              </a:solidFill>
              <a:round/>
            </a:ln>
            <a:effectLst/>
          </c:spPr>
          <c:marker>
            <c:symbol val="none"/>
          </c:marker>
          <c:cat>
            <c:numRef>
              <c:f>Serie_Graph3!$B$60:$B$111</c:f>
              <c:numCache>
                <c:formatCode>m/d/yyyy</c:formatCode>
                <c:ptCount val="5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numCache>
            </c:numRef>
          </c:cat>
          <c:val>
            <c:numRef>
              <c:f>Serie_Graph3!$AT$60:$AT$111</c:f>
              <c:numCache>
                <c:formatCode>0.0</c:formatCode>
                <c:ptCount val="52"/>
                <c:pt idx="0">
                  <c:v>275.625</c:v>
                </c:pt>
                <c:pt idx="1">
                  <c:v>247.89473684210526</c:v>
                </c:pt>
                <c:pt idx="2">
                  <c:v>281.14848484848488</c:v>
                </c:pt>
                <c:pt idx="3">
                  <c:v>302.60416666666669</c:v>
                </c:pt>
                <c:pt idx="4">
                  <c:v>302.60416666666669</c:v>
                </c:pt>
                <c:pt idx="5">
                  <c:v>338.07299999999998</c:v>
                </c:pt>
                <c:pt idx="6">
                  <c:v>366.66686111111113</c:v>
                </c:pt>
                <c:pt idx="7">
                  <c:v>402.5</c:v>
                </c:pt>
                <c:pt idx="8">
                  <c:v>368.8888888888888</c:v>
                </c:pt>
                <c:pt idx="9">
                  <c:v>377.51388888888886</c:v>
                </c:pt>
                <c:pt idx="10">
                  <c:v>0</c:v>
                </c:pt>
                <c:pt idx="11">
                  <c:v>0</c:v>
                </c:pt>
                <c:pt idx="12">
                  <c:v>0</c:v>
                </c:pt>
                <c:pt idx="13">
                  <c:v>376250</c:v>
                </c:pt>
                <c:pt idx="14">
                  <c:v>406250</c:v>
                </c:pt>
                <c:pt idx="15">
                  <c:v>412692</c:v>
                </c:pt>
                <c:pt idx="16">
                  <c:v>418636</c:v>
                </c:pt>
                <c:pt idx="17">
                  <c:v>421818</c:v>
                </c:pt>
                <c:pt idx="18">
                  <c:v>437857</c:v>
                </c:pt>
                <c:pt idx="19">
                  <c:v>548846</c:v>
                </c:pt>
                <c:pt idx="20">
                  <c:v>468333</c:v>
                </c:pt>
                <c:pt idx="21">
                  <c:v>407308</c:v>
                </c:pt>
                <c:pt idx="22">
                  <c:v>375000</c:v>
                </c:pt>
                <c:pt idx="23">
                  <c:v>372083</c:v>
                </c:pt>
                <c:pt idx="24">
                  <c:v>378889</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#N/A</c:v>
                </c:pt>
              </c:numCache>
            </c:numRef>
          </c:val>
          <c:smooth val="0"/>
          <c:extLst>
            <c:ext xmlns:c16="http://schemas.microsoft.com/office/drawing/2014/chart" uri="{C3380CC4-5D6E-409C-BE32-E72D297353CC}">
              <c16:uniqueId val="{00000001-D1A7-4A07-BE0A-3AE88DA12EF5}"/>
            </c:ext>
          </c:extLst>
        </c:ser>
        <c:dLbls>
          <c:showLegendKey val="0"/>
          <c:showVal val="0"/>
          <c:showCatName val="0"/>
          <c:showSerName val="0"/>
          <c:showPercent val="0"/>
          <c:showBubbleSize val="0"/>
        </c:dLbls>
        <c:smooth val="0"/>
        <c:axId val="83778560"/>
        <c:axId val="83784832"/>
      </c:lineChart>
      <c:dateAx>
        <c:axId val="8377856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fr-FR" sz="1000" b="1" i="0" u="none" strike="noStrike" baseline="0">
                    <a:solidFill>
                      <a:sysClr val="windowText" lastClr="000000"/>
                    </a:solidFill>
                    <a:effectLst/>
                  </a:rPr>
                  <a:t>Evolution des prix des taureaux / boeufs en bon état</a:t>
                </a:r>
                <a:endParaRPr lang="fr-FR" sz="1200" b="1">
                  <a:solidFill>
                    <a:sysClr val="windowText" lastClr="000000"/>
                  </a:solidFill>
                  <a:effectLst/>
                </a:endParaRPr>
              </a:p>
            </c:rich>
          </c:tx>
          <c:layout>
            <c:manualLayout>
              <c:xMode val="edge"/>
              <c:yMode val="edge"/>
              <c:x val="0.33263714401887257"/>
              <c:y val="5.2860831040923956E-2"/>
            </c:manualLayout>
          </c:layout>
          <c:overlay val="0"/>
          <c:spPr>
            <a:noFill/>
            <a:ln>
              <a:noFill/>
            </a:ln>
            <a:effectLst/>
          </c:spPr>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45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BF"/>
          </a:p>
        </c:txPr>
        <c:crossAx val="83784832"/>
        <c:crosses val="autoZero"/>
        <c:auto val="1"/>
        <c:lblOffset val="100"/>
        <c:baseTimeUnit val="months"/>
        <c:majorUnit val="3"/>
        <c:majorTimeUnit val="months"/>
      </c:dateAx>
      <c:valAx>
        <c:axId val="83784832"/>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3778560"/>
        <c:crosses val="autoZero"/>
        <c:crossBetween val="between"/>
      </c:valAx>
      <c:spPr>
        <a:noFill/>
        <a:ln w="6350">
          <a:solidFill>
            <a:schemeClr val="tx1"/>
          </a:solidFill>
        </a:ln>
        <a:effectLst/>
      </c:spPr>
    </c:plotArea>
    <c:legend>
      <c:legendPos val="b"/>
      <c:layout>
        <c:manualLayout>
          <c:xMode val="edge"/>
          <c:yMode val="edge"/>
          <c:x val="5.7258468789849415E-2"/>
          <c:y val="0.93468870787954561"/>
          <c:w val="0.65193902498126111"/>
          <c:h val="6.531129212045476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bg1"/>
    </a:solidFill>
    <a:ln w="22225" cap="flat" cmpd="sng" algn="ctr">
      <a:solidFill>
        <a:schemeClr val="tx1"/>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64167568983917"/>
          <c:y val="3.8967874087717694E-2"/>
          <c:w val="0.86564107611550267"/>
          <c:h val="0.69346138438674398"/>
        </c:manualLayout>
      </c:layout>
      <c:lineChart>
        <c:grouping val="standard"/>
        <c:varyColors val="0"/>
        <c:ser>
          <c:idx val="0"/>
          <c:order val="0"/>
          <c:tx>
            <c:strRef>
              <c:f>Serie_Graph3!$AU$3</c:f>
              <c:strCache>
                <c:ptCount val="1"/>
                <c:pt idx="0">
                  <c:v>Bobo- Abattoir (3)</c:v>
                </c:pt>
              </c:strCache>
            </c:strRef>
          </c:tx>
          <c:spPr>
            <a:ln w="28575" cap="rnd">
              <a:solidFill>
                <a:schemeClr val="accent1"/>
              </a:solidFill>
              <a:round/>
            </a:ln>
            <a:effectLst/>
          </c:spPr>
          <c:marker>
            <c:symbol val="none"/>
          </c:marker>
          <c:cat>
            <c:numRef>
              <c:f>Serie_Graph3!$B$60:$B$111</c:f>
              <c:numCache>
                <c:formatCode>m/d/yyyy</c:formatCode>
                <c:ptCount val="5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numCache>
            </c:numRef>
          </c:cat>
          <c:val>
            <c:numRef>
              <c:f>Serie_Graph3!$AU$60:$AU$111</c:f>
              <c:numCache>
                <c:formatCode>0.0</c:formatCode>
                <c:ptCount val="52"/>
                <c:pt idx="0">
                  <c:v>43.621621621621621</c:v>
                </c:pt>
                <c:pt idx="1">
                  <c:v>42.227272727272727</c:v>
                </c:pt>
                <c:pt idx="2">
                  <c:v>43.45</c:v>
                </c:pt>
                <c:pt idx="3">
                  <c:v>44.9375</c:v>
                </c:pt>
                <c:pt idx="4">
                  <c:v>45.683333333333337</c:v>
                </c:pt>
                <c:pt idx="5">
                  <c:v>44.8095</c:v>
                </c:pt>
                <c:pt idx="6">
                  <c:v>46.352555555555554</c:v>
                </c:pt>
                <c:pt idx="7">
                  <c:v>53.798749999999998</c:v>
                </c:pt>
                <c:pt idx="8">
                  <c:v>47.363592592592589</c:v>
                </c:pt>
                <c:pt idx="9">
                  <c:v>47.086458333333333</c:v>
                </c:pt>
                <c:pt idx="10">
                  <c:v>0</c:v>
                </c:pt>
                <c:pt idx="11">
                  <c:v>0</c:v>
                </c:pt>
                <c:pt idx="12">
                  <c:v>0</c:v>
                </c:pt>
                <c:pt idx="13">
                  <c:v>48042</c:v>
                </c:pt>
                <c:pt idx="14">
                  <c:v>51950</c:v>
                </c:pt>
                <c:pt idx="15">
                  <c:v>52038</c:v>
                </c:pt>
                <c:pt idx="16">
                  <c:v>54192</c:v>
                </c:pt>
                <c:pt idx="17">
                  <c:v>55667</c:v>
                </c:pt>
                <c:pt idx="18">
                  <c:v>51500</c:v>
                </c:pt>
                <c:pt idx="19">
                  <c:v>54321</c:v>
                </c:pt>
                <c:pt idx="20">
                  <c:v>53500</c:v>
                </c:pt>
                <c:pt idx="21">
                  <c:v>42385</c:v>
                </c:pt>
                <c:pt idx="22">
                  <c:v>56625</c:v>
                </c:pt>
                <c:pt idx="23">
                  <c:v>56042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#N/A</c:v>
                </c:pt>
              </c:numCache>
            </c:numRef>
          </c:val>
          <c:smooth val="0"/>
          <c:extLst>
            <c:ext xmlns:c16="http://schemas.microsoft.com/office/drawing/2014/chart" uri="{C3380CC4-5D6E-409C-BE32-E72D297353CC}">
              <c16:uniqueId val="{00000000-361E-4FFB-B7AE-EAAD2E5B0855}"/>
            </c:ext>
          </c:extLst>
        </c:ser>
        <c:ser>
          <c:idx val="1"/>
          <c:order val="1"/>
          <c:tx>
            <c:strRef>
              <c:f>Serie_Graph3!$AV$3</c:f>
              <c:strCache>
                <c:ptCount val="1"/>
                <c:pt idx="0">
                  <c:v>Ouaga- Tanghin (3)</c:v>
                </c:pt>
              </c:strCache>
            </c:strRef>
          </c:tx>
          <c:spPr>
            <a:ln w="28575" cap="rnd">
              <a:solidFill>
                <a:schemeClr val="accent2"/>
              </a:solidFill>
              <a:round/>
            </a:ln>
            <a:effectLst/>
          </c:spPr>
          <c:marker>
            <c:symbol val="none"/>
          </c:marker>
          <c:cat>
            <c:numRef>
              <c:f>Serie_Graph3!$B$60:$B$111</c:f>
              <c:numCache>
                <c:formatCode>m/d/yyyy</c:formatCode>
                <c:ptCount val="5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numCache>
            </c:numRef>
          </c:cat>
          <c:val>
            <c:numRef>
              <c:f>Serie_Graph3!$AV$60:$AV$111</c:f>
              <c:numCache>
                <c:formatCode>0.0</c:formatCode>
                <c:ptCount val="52"/>
                <c:pt idx="0">
                  <c:v>77.556122448979579</c:v>
                </c:pt>
                <c:pt idx="1">
                  <c:v>89.681818181818173</c:v>
                </c:pt>
                <c:pt idx="2">
                  <c:v>90.561403508771917</c:v>
                </c:pt>
                <c:pt idx="3">
                  <c:v>87.833333333333329</c:v>
                </c:pt>
                <c:pt idx="4">
                  <c:v>87.833333333333329</c:v>
                </c:pt>
                <c:pt idx="5">
                  <c:v>91.319249999999997</c:v>
                </c:pt>
                <c:pt idx="6">
                  <c:v>90.31594444444444</c:v>
                </c:pt>
                <c:pt idx="7">
                  <c:v>72.319500000000005</c:v>
                </c:pt>
                <c:pt idx="8">
                  <c:v>74.222388888888887</c:v>
                </c:pt>
                <c:pt idx="9">
                  <c:v>93.265278687169314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#N/A</c:v>
                </c:pt>
              </c:numCache>
            </c:numRef>
          </c:val>
          <c:smooth val="0"/>
          <c:extLst>
            <c:ext xmlns:c16="http://schemas.microsoft.com/office/drawing/2014/chart" uri="{C3380CC4-5D6E-409C-BE32-E72D297353CC}">
              <c16:uniqueId val="{00000001-361E-4FFB-B7AE-EAAD2E5B0855}"/>
            </c:ext>
          </c:extLst>
        </c:ser>
        <c:dLbls>
          <c:showLegendKey val="0"/>
          <c:showVal val="0"/>
          <c:showCatName val="0"/>
          <c:showSerName val="0"/>
          <c:showPercent val="0"/>
          <c:showBubbleSize val="0"/>
        </c:dLbls>
        <c:smooth val="0"/>
        <c:axId val="83821696"/>
        <c:axId val="83823616"/>
      </c:lineChart>
      <c:dateAx>
        <c:axId val="8382169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fr-FR" sz="1200" b="1" i="0" baseline="0">
                    <a:effectLst/>
                  </a:rPr>
                  <a:t>Evolution des prix des béliers mossis en bon état</a:t>
                </a:r>
                <a:endParaRPr lang="fr-FR" sz="1200">
                  <a:effectLst/>
                </a:endParaRPr>
              </a:p>
            </c:rich>
          </c:tx>
          <c:layout>
            <c:manualLayout>
              <c:xMode val="edge"/>
              <c:yMode val="edge"/>
              <c:x val="0.31337788616376433"/>
              <c:y val="4.8289807228768217E-2"/>
            </c:manualLayout>
          </c:layout>
          <c:overlay val="0"/>
          <c:spPr>
            <a:noFill/>
            <a:ln>
              <a:noFill/>
            </a:ln>
            <a:effectLst/>
          </c:spPr>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45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BF"/>
          </a:p>
        </c:txPr>
        <c:crossAx val="83823616"/>
        <c:crosses val="autoZero"/>
        <c:auto val="1"/>
        <c:lblOffset val="100"/>
        <c:baseTimeUnit val="months"/>
        <c:majorUnit val="3"/>
        <c:majorTimeUnit val="months"/>
      </c:dateAx>
      <c:valAx>
        <c:axId val="83823616"/>
        <c:scaling>
          <c:orientation val="minMax"/>
          <c:min val="2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3821696"/>
        <c:crosses val="autoZero"/>
        <c:crossBetween val="between"/>
      </c:valAx>
      <c:spPr>
        <a:noFill/>
        <a:ln w="6350">
          <a:solidFill>
            <a:schemeClr val="tx1"/>
          </a:solidFill>
        </a:ln>
        <a:effectLst/>
      </c:spPr>
    </c:plotArea>
    <c:legend>
      <c:legendPos val="b"/>
      <c:layout>
        <c:manualLayout>
          <c:xMode val="edge"/>
          <c:yMode val="edge"/>
          <c:x val="5.7258468789849415E-2"/>
          <c:y val="0.93468870787954561"/>
          <c:w val="0.65193902498126111"/>
          <c:h val="6.531129212045476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bg1"/>
    </a:solidFill>
    <a:ln w="22225" cap="flat" cmpd="sng" algn="ctr">
      <a:solidFill>
        <a:schemeClr val="tx1"/>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35892388451437"/>
          <c:y val="2.5428331875182269E-2"/>
          <c:w val="0.86564107611550267"/>
          <c:h val="0.69346138438674398"/>
        </c:manualLayout>
      </c:layout>
      <c:lineChart>
        <c:grouping val="standard"/>
        <c:varyColors val="0"/>
        <c:ser>
          <c:idx val="0"/>
          <c:order val="0"/>
          <c:tx>
            <c:strRef>
              <c:f>Serie_Graph3!$AW$3</c:f>
              <c:strCache>
                <c:ptCount val="1"/>
                <c:pt idx="0">
                  <c:v>Bobo- Abattoir (3)</c:v>
                </c:pt>
              </c:strCache>
            </c:strRef>
          </c:tx>
          <c:spPr>
            <a:ln w="28575" cap="rnd">
              <a:solidFill>
                <a:schemeClr val="accent1"/>
              </a:solidFill>
              <a:round/>
            </a:ln>
            <a:effectLst/>
          </c:spPr>
          <c:marker>
            <c:symbol val="none"/>
          </c:marker>
          <c:cat>
            <c:numRef>
              <c:f>Serie_Graph3!$B$60:$B$111</c:f>
              <c:numCache>
                <c:formatCode>m/d/yyyy</c:formatCode>
                <c:ptCount val="5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numCache>
            </c:numRef>
          </c:cat>
          <c:val>
            <c:numRef>
              <c:f>Serie_Graph3!$AW$60:$AW$111</c:f>
              <c:numCache>
                <c:formatCode>0.0</c:formatCode>
                <c:ptCount val="52"/>
                <c:pt idx="0">
                  <c:v>23.333333333333332</c:v>
                </c:pt>
                <c:pt idx="1">
                  <c:v>23.25</c:v>
                </c:pt>
                <c:pt idx="2">
                  <c:v>23.166666666666668</c:v>
                </c:pt>
                <c:pt idx="3">
                  <c:v>22.611111111111111</c:v>
                </c:pt>
                <c:pt idx="4">
                  <c:v>23.556756756756755</c:v>
                </c:pt>
                <c:pt idx="5">
                  <c:v>24.236486486486488</c:v>
                </c:pt>
                <c:pt idx="6">
                  <c:v>24.631578947368421</c:v>
                </c:pt>
                <c:pt idx="7">
                  <c:v>24.57236842105263</c:v>
                </c:pt>
                <c:pt idx="8">
                  <c:v>23.737804878048781</c:v>
                </c:pt>
                <c:pt idx="9">
                  <c:v>23.592857142857142</c:v>
                </c:pt>
                <c:pt idx="10">
                  <c:v>0</c:v>
                </c:pt>
                <c:pt idx="11">
                  <c:v>0</c:v>
                </c:pt>
                <c:pt idx="12">
                  <c:v>0</c:v>
                </c:pt>
                <c:pt idx="13">
                  <c:v>26750</c:v>
                </c:pt>
                <c:pt idx="14">
                  <c:v>27792</c:v>
                </c:pt>
                <c:pt idx="15">
                  <c:v>32769</c:v>
                </c:pt>
                <c:pt idx="16">
                  <c:v>31000</c:v>
                </c:pt>
                <c:pt idx="17">
                  <c:v>29417</c:v>
                </c:pt>
                <c:pt idx="18">
                  <c:v>29500</c:v>
                </c:pt>
                <c:pt idx="19">
                  <c:v>28607</c:v>
                </c:pt>
                <c:pt idx="20">
                  <c:v>30500</c:v>
                </c:pt>
                <c:pt idx="21">
                  <c:v>29654</c:v>
                </c:pt>
                <c:pt idx="22">
                  <c:v>30542</c:v>
                </c:pt>
                <c:pt idx="23">
                  <c:v>31125</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#N/A</c:v>
                </c:pt>
              </c:numCache>
            </c:numRef>
          </c:val>
          <c:smooth val="0"/>
          <c:extLst>
            <c:ext xmlns:c16="http://schemas.microsoft.com/office/drawing/2014/chart" uri="{C3380CC4-5D6E-409C-BE32-E72D297353CC}">
              <c16:uniqueId val="{00000000-E255-43D2-87E2-34754F04AF04}"/>
            </c:ext>
          </c:extLst>
        </c:ser>
        <c:ser>
          <c:idx val="1"/>
          <c:order val="1"/>
          <c:tx>
            <c:strRef>
              <c:f>Serie_Graph3!$AX$3</c:f>
              <c:strCache>
                <c:ptCount val="1"/>
                <c:pt idx="0">
                  <c:v>Ouaga- Tanghin (3)</c:v>
                </c:pt>
              </c:strCache>
            </c:strRef>
          </c:tx>
          <c:spPr>
            <a:ln w="28575" cap="rnd">
              <a:solidFill>
                <a:schemeClr val="accent2"/>
              </a:solidFill>
              <a:round/>
            </a:ln>
            <a:effectLst/>
          </c:spPr>
          <c:marker>
            <c:symbol val="none"/>
          </c:marker>
          <c:cat>
            <c:numRef>
              <c:f>Serie_Graph3!$B$60:$B$111</c:f>
              <c:numCache>
                <c:formatCode>m/d/yyyy</c:formatCode>
                <c:ptCount val="5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numCache>
            </c:numRef>
          </c:cat>
          <c:val>
            <c:numRef>
              <c:f>Serie_Graph3!$AX$60:$AX$111</c:f>
              <c:numCache>
                <c:formatCode>0.0</c:formatCode>
                <c:ptCount val="52"/>
                <c:pt idx="0">
                  <c:v>25.917543859649122</c:v>
                </c:pt>
                <c:pt idx="1">
                  <c:v>35.545454545454547</c:v>
                </c:pt>
                <c:pt idx="2">
                  <c:v>34.425925925925924</c:v>
                </c:pt>
                <c:pt idx="3">
                  <c:v>33.120370370370374</c:v>
                </c:pt>
                <c:pt idx="4">
                  <c:v>30.588709677419356</c:v>
                </c:pt>
                <c:pt idx="5">
                  <c:v>31.794871794871792</c:v>
                </c:pt>
                <c:pt idx="6">
                  <c:v>33.691588785046726</c:v>
                </c:pt>
                <c:pt idx="7">
                  <c:v>31.454999999999998</c:v>
                </c:pt>
                <c:pt idx="8">
                  <c:v>35.15789473684211</c:v>
                </c:pt>
                <c:pt idx="9">
                  <c:v>32.612244897959179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#N/A</c:v>
                </c:pt>
              </c:numCache>
            </c:numRef>
          </c:val>
          <c:smooth val="0"/>
          <c:extLst>
            <c:ext xmlns:c16="http://schemas.microsoft.com/office/drawing/2014/chart" uri="{C3380CC4-5D6E-409C-BE32-E72D297353CC}">
              <c16:uniqueId val="{00000001-E255-43D2-87E2-34754F04AF04}"/>
            </c:ext>
          </c:extLst>
        </c:ser>
        <c:dLbls>
          <c:showLegendKey val="0"/>
          <c:showVal val="0"/>
          <c:showCatName val="0"/>
          <c:showSerName val="0"/>
          <c:showPercent val="0"/>
          <c:showBubbleSize val="0"/>
        </c:dLbls>
        <c:smooth val="0"/>
        <c:axId val="83869056"/>
        <c:axId val="83887616"/>
      </c:lineChart>
      <c:dateAx>
        <c:axId val="8386905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fr-FR" sz="1200" b="1" i="0" baseline="0">
                    <a:solidFill>
                      <a:sysClr val="windowText" lastClr="000000"/>
                    </a:solidFill>
                    <a:effectLst/>
                  </a:rPr>
                  <a:t>Evolution des prix des chèvres mossi en bon état</a:t>
                </a:r>
                <a:endParaRPr lang="fr-FR" sz="1200">
                  <a:solidFill>
                    <a:sysClr val="windowText" lastClr="000000"/>
                  </a:solidFill>
                  <a:effectLst/>
                </a:endParaRPr>
              </a:p>
            </c:rich>
          </c:tx>
          <c:layout>
            <c:manualLayout>
              <c:xMode val="edge"/>
              <c:yMode val="edge"/>
              <c:x val="0.20985937519252346"/>
              <c:y val="1.6292640543685493E-2"/>
            </c:manualLayout>
          </c:layout>
          <c:overlay val="0"/>
          <c:spPr>
            <a:noFill/>
            <a:ln>
              <a:noFill/>
            </a:ln>
            <a:effectLst/>
          </c:spPr>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45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BF"/>
          </a:p>
        </c:txPr>
        <c:crossAx val="83887616"/>
        <c:crosses val="autoZero"/>
        <c:auto val="1"/>
        <c:lblOffset val="100"/>
        <c:baseTimeUnit val="months"/>
        <c:majorUnit val="3"/>
        <c:majorTimeUnit val="months"/>
      </c:dateAx>
      <c:valAx>
        <c:axId val="83887616"/>
        <c:scaling>
          <c:orientation val="minMax"/>
          <c:max val="35"/>
          <c:min val="17"/>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3869056"/>
        <c:crosses val="autoZero"/>
        <c:crossBetween val="between"/>
      </c:valAx>
      <c:spPr>
        <a:noFill/>
        <a:ln w="6350">
          <a:solidFill>
            <a:schemeClr val="tx1"/>
          </a:solidFill>
        </a:ln>
        <a:effectLst/>
      </c:spPr>
    </c:plotArea>
    <c:legend>
      <c:legendPos val="b"/>
      <c:layout>
        <c:manualLayout>
          <c:xMode val="edge"/>
          <c:yMode val="edge"/>
          <c:x val="5.7258468789849415E-2"/>
          <c:y val="0.93468870787954561"/>
          <c:w val="0.65193902498126111"/>
          <c:h val="6.531129212045476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bg1"/>
    </a:solidFill>
    <a:ln w="22225" cap="flat" cmpd="sng" algn="ctr">
      <a:solidFill>
        <a:schemeClr val="tx1"/>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0424425619783311"/>
          <c:y val="5.8394160583941833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7.9247594050744524E-2"/>
          <c:y val="6.4641162278957345E-2"/>
          <c:w val="0.89019685039370655"/>
          <c:h val="0.55503210561033856"/>
        </c:manualLayout>
      </c:layout>
      <c:lineChart>
        <c:grouping val="standard"/>
        <c:varyColors val="0"/>
        <c:ser>
          <c:idx val="0"/>
          <c:order val="0"/>
          <c:tx>
            <c:strRef>
              <c:f>Serie_Graph3!$G$3</c:f>
              <c:strCache>
                <c:ptCount val="1"/>
                <c:pt idx="0">
                  <c:v>1 cédi (Ghana) /FCFA</c:v>
                </c:pt>
              </c:strCache>
            </c:strRef>
          </c:tx>
          <c:spPr>
            <a:ln w="28575" cap="rnd">
              <a:solidFill>
                <a:schemeClr val="accent1"/>
              </a:solidFill>
              <a:round/>
            </a:ln>
            <a:effectLst/>
          </c:spPr>
          <c:marker>
            <c:symbol val="none"/>
          </c:marker>
          <c:cat>
            <c:numRef>
              <c:f>Serie_Graph3!$B$60:$B$111</c:f>
              <c:numCache>
                <c:formatCode>m/d/yyyy</c:formatCode>
                <c:ptCount val="5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numCache>
            </c:numRef>
          </c:cat>
          <c:val>
            <c:numRef>
              <c:f>Serie_Graph3!$G$60:$G$111</c:f>
              <c:numCache>
                <c:formatCode>0</c:formatCode>
                <c:ptCount val="52"/>
                <c:pt idx="0">
                  <c:v>103.7959</c:v>
                </c:pt>
                <c:pt idx="1">
                  <c:v>104.8122</c:v>
                </c:pt>
                <c:pt idx="2">
                  <c:v>112.07859999999999</c:v>
                </c:pt>
                <c:pt idx="3">
                  <c:v>106.09650000000001</c:v>
                </c:pt>
                <c:pt idx="4">
                  <c:v>104.4709</c:v>
                </c:pt>
                <c:pt idx="5">
                  <c:v>104.3111</c:v>
                </c:pt>
                <c:pt idx="6">
                  <c:v>100.76609999999999</c:v>
                </c:pt>
                <c:pt idx="7">
                  <c:v>99.147818999999998</c:v>
                </c:pt>
                <c:pt idx="8">
                  <c:v>96.113944000000004</c:v>
                </c:pt>
                <c:pt idx="9">
                  <c:v>96.185803000000007</c:v>
                </c:pt>
                <c:pt idx="10">
                  <c:v>95.945536000000004</c:v>
                </c:pt>
                <c:pt idx="11">
                  <c:v>95.002768000000003</c:v>
                </c:pt>
                <c:pt idx="12">
                  <c:v>91.859295000000003</c:v>
                </c:pt>
                <c:pt idx="13">
                  <c:v>92.242249999999999</c:v>
                </c:pt>
                <c:pt idx="14">
                  <c:v>93.606089999999995</c:v>
                </c:pt>
                <c:pt idx="15">
                  <c:v>95.960318999999998</c:v>
                </c:pt>
                <c:pt idx="16">
                  <c:v>94.988721999999996</c:v>
                </c:pt>
                <c:pt idx="17">
                  <c:v>93.514653999999993</c:v>
                </c:pt>
                <c:pt idx="18">
                  <c:v>93.541899000000001</c:v>
                </c:pt>
                <c:pt idx="19">
                  <c:v>93.462480999999997</c:v>
                </c:pt>
                <c:pt idx="20">
                  <c:v>92.628103999999993</c:v>
                </c:pt>
                <c:pt idx="21">
                  <c:v>92.361744999999999</c:v>
                </c:pt>
                <c:pt idx="22">
                  <c:v>93.112174999999993</c:v>
                </c:pt>
                <c:pt idx="23">
                  <c:v>93.901216000000005</c:v>
                </c:pt>
                <c:pt idx="24">
                  <c:v>94.357647</c:v>
                </c:pt>
                <c:pt idx="25">
                  <c:v>93.181213</c:v>
                </c:pt>
                <c:pt idx="26">
                  <c:v>89.000096999999997</c:v>
                </c:pt>
                <c:pt idx="27">
                  <c:v>82.333939000000001</c:v>
                </c:pt>
                <c:pt idx="28">
                  <c:v>80.578254000000001</c:v>
                </c:pt>
                <c:pt idx="29">
                  <c:v>81.118624999999994</c:v>
                </c:pt>
                <c:pt idx="30">
                  <c:v>78.363695000000007</c:v>
                </c:pt>
                <c:pt idx="31">
                  <c:v>78.966341</c:v>
                </c:pt>
                <c:pt idx="32">
                  <c:v>69.816980000000001</c:v>
                </c:pt>
                <c:pt idx="33">
                  <c:v>65.384073000000001</c:v>
                </c:pt>
                <c:pt idx="34">
                  <c:v>56.697560000000003</c:v>
                </c:pt>
                <c:pt idx="35">
                  <c:v>44.846586000000002</c:v>
                </c:pt>
                <c:pt idx="36">
                  <c:v>57.774223999999997</c:v>
                </c:pt>
                <c:pt idx="37">
                  <c:v>53.322000000000003</c:v>
                </c:pt>
                <c:pt idx="38">
                  <c:v>49.152000000000001</c:v>
                </c:pt>
                <c:pt idx="39">
                  <c:v>49.703000000000003</c:v>
                </c:pt>
                <c:pt idx="40">
                  <c:v>52.442999999999998</c:v>
                </c:pt>
                <c:pt idx="41">
                  <c:v>53.186</c:v>
                </c:pt>
                <c:pt idx="42">
                  <c:v>53.372999999999998</c:v>
                </c:pt>
                <c:pt idx="43">
                  <c:v>51.965000000000003</c:v>
                </c:pt>
                <c:pt idx="44">
                  <c:v>53.298000000000002</c:v>
                </c:pt>
                <c:pt idx="45">
                  <c:v>53.470999999999997</c:v>
                </c:pt>
                <c:pt idx="46">
                  <c:v>52.777000000000001</c:v>
                </c:pt>
                <c:pt idx="47">
                  <c:v>50.716999999999999</c:v>
                </c:pt>
                <c:pt idx="48">
                  <c:v>49.966000000000001</c:v>
                </c:pt>
              </c:numCache>
            </c:numRef>
          </c:val>
          <c:smooth val="0"/>
          <c:extLst>
            <c:ext xmlns:c16="http://schemas.microsoft.com/office/drawing/2014/chart" uri="{C3380CC4-5D6E-409C-BE32-E72D297353CC}">
              <c16:uniqueId val="{00000000-5D21-41FE-81DC-204419BA9463}"/>
            </c:ext>
          </c:extLst>
        </c:ser>
        <c:dLbls>
          <c:showLegendKey val="0"/>
          <c:showVal val="0"/>
          <c:showCatName val="0"/>
          <c:showSerName val="0"/>
          <c:showPercent val="0"/>
          <c:showBubbleSize val="0"/>
        </c:dLbls>
        <c:smooth val="0"/>
        <c:axId val="147083648"/>
        <c:axId val="147085184"/>
      </c:lineChart>
      <c:dateAx>
        <c:axId val="147083648"/>
        <c:scaling>
          <c:orientation val="minMax"/>
        </c:scaling>
        <c:delete val="0"/>
        <c:axPos val="b"/>
        <c:numFmt formatCode="[$-40C]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fr-BF"/>
          </a:p>
        </c:txPr>
        <c:crossAx val="147085184"/>
        <c:crosses val="autoZero"/>
        <c:auto val="1"/>
        <c:lblOffset val="100"/>
        <c:baseTimeUnit val="months"/>
      </c:dateAx>
      <c:valAx>
        <c:axId val="147085184"/>
        <c:scaling>
          <c:orientation val="minMax"/>
          <c:max val="120"/>
          <c:min val="4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7083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fr-FR"/>
              <a:t>Nombre d'entreprises créées (ANPE)</a:t>
            </a:r>
          </a:p>
        </c:rich>
      </c:tx>
      <c:overlay val="0"/>
    </c:title>
    <c:autoTitleDeleted val="0"/>
    <c:plotArea>
      <c:layout>
        <c:manualLayout>
          <c:layoutTarget val="inner"/>
          <c:xMode val="edge"/>
          <c:yMode val="edge"/>
          <c:x val="6.8116694046339146E-2"/>
          <c:y val="0.1704866672899332"/>
          <c:w val="0.84167178383277663"/>
          <c:h val="0.54861751263112801"/>
        </c:manualLayout>
      </c:layout>
      <c:lineChart>
        <c:grouping val="standard"/>
        <c:varyColors val="0"/>
        <c:ser>
          <c:idx val="1"/>
          <c:order val="0"/>
          <c:tx>
            <c:strRef>
              <c:f>Base_Mensuelle!$RO$67</c:f>
              <c:strCache>
                <c:ptCount val="1"/>
                <c:pt idx="0">
                  <c:v>Nombre d'entreprises créées</c:v>
                </c:pt>
              </c:strCache>
            </c:strRef>
          </c:tx>
          <c:marker>
            <c:symbol val="none"/>
          </c:marker>
          <c:cat>
            <c:numRef>
              <c:f>Base_Mensuelle!$OF$272:$OF$340</c:f>
              <c:numCache>
                <c:formatCode>dd/mm/yy;@</c:formatCode>
                <c:ptCount val="6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numCache>
            </c:numRef>
          </c:cat>
          <c:val>
            <c:numRef>
              <c:f>Base_Mensuelle!$RO$272:$RO$340</c:f>
              <c:numCache>
                <c:formatCode>General</c:formatCode>
                <c:ptCount val="69"/>
                <c:pt idx="0">
                  <c:v>53</c:v>
                </c:pt>
                <c:pt idx="1">
                  <c:v>84</c:v>
                </c:pt>
                <c:pt idx="2">
                  <c:v>104</c:v>
                </c:pt>
                <c:pt idx="3">
                  <c:v>116</c:v>
                </c:pt>
                <c:pt idx="4">
                  <c:v>96</c:v>
                </c:pt>
                <c:pt idx="5">
                  <c:v>113</c:v>
                </c:pt>
                <c:pt idx="6">
                  <c:v>129</c:v>
                </c:pt>
                <c:pt idx="7">
                  <c:v>84</c:v>
                </c:pt>
                <c:pt idx="8">
                  <c:v>135</c:v>
                </c:pt>
                <c:pt idx="9">
                  <c:v>52</c:v>
                </c:pt>
                <c:pt idx="10">
                  <c:v>75</c:v>
                </c:pt>
                <c:pt idx="11">
                  <c:v>62</c:v>
                </c:pt>
                <c:pt idx="12">
                  <c:v>83</c:v>
                </c:pt>
                <c:pt idx="13">
                  <c:v>90</c:v>
                </c:pt>
                <c:pt idx="14">
                  <c:v>16</c:v>
                </c:pt>
                <c:pt idx="15">
                  <c:v>132</c:v>
                </c:pt>
                <c:pt idx="16">
                  <c:v>120</c:v>
                </c:pt>
                <c:pt idx="17">
                  <c:v>8</c:v>
                </c:pt>
                <c:pt idx="18" formatCode="0">
                  <c:v>12.98060606060606</c:v>
                </c:pt>
                <c:pt idx="19" formatCode="0">
                  <c:v>12.459218383838383</c:v>
                </c:pt>
                <c:pt idx="20">
                  <c:v>109</c:v>
                </c:pt>
                <c:pt idx="21">
                  <c:v>87</c:v>
                </c:pt>
                <c:pt idx="22">
                  <c:v>80</c:v>
                </c:pt>
                <c:pt idx="23">
                  <c:v>55</c:v>
                </c:pt>
                <c:pt idx="24">
                  <c:v>66</c:v>
                </c:pt>
                <c:pt idx="25">
                  <c:v>102</c:v>
                </c:pt>
                <c:pt idx="26">
                  <c:v>75</c:v>
                </c:pt>
                <c:pt idx="27">
                  <c:v>61</c:v>
                </c:pt>
                <c:pt idx="28">
                  <c:v>133</c:v>
                </c:pt>
                <c:pt idx="29">
                  <c:v>110</c:v>
                </c:pt>
                <c:pt idx="30">
                  <c:v>106</c:v>
                </c:pt>
                <c:pt idx="31">
                  <c:v>83</c:v>
                </c:pt>
                <c:pt idx="32">
                  <c:v>87</c:v>
                </c:pt>
                <c:pt idx="33">
                  <c:v>105</c:v>
                </c:pt>
                <c:pt idx="34">
                  <c:v>85</c:v>
                </c:pt>
                <c:pt idx="35">
                  <c:v>75</c:v>
                </c:pt>
                <c:pt idx="36">
                  <c:v>785</c:v>
                </c:pt>
                <c:pt idx="37">
                  <c:v>1839</c:v>
                </c:pt>
                <c:pt idx="38">
                  <c:v>514</c:v>
                </c:pt>
                <c:pt idx="39">
                  <c:v>326</c:v>
                </c:pt>
                <c:pt idx="40">
                  <c:v>113</c:v>
                </c:pt>
                <c:pt idx="41">
                  <c:v>156</c:v>
                </c:pt>
                <c:pt idx="42">
                  <c:v>110</c:v>
                </c:pt>
                <c:pt idx="43">
                  <c:v>913</c:v>
                </c:pt>
                <c:pt idx="44">
                  <c:v>134</c:v>
                </c:pt>
                <c:pt idx="45">
                  <c:v>122</c:v>
                </c:pt>
                <c:pt idx="46">
                  <c:v>166</c:v>
                </c:pt>
                <c:pt idx="47">
                  <c:v>74</c:v>
                </c:pt>
                <c:pt idx="48">
                  <c:v>1510</c:v>
                </c:pt>
                <c:pt idx="49">
                  <c:v>420</c:v>
                </c:pt>
                <c:pt idx="50">
                  <c:v>839</c:v>
                </c:pt>
                <c:pt idx="51">
                  <c:v>186</c:v>
                </c:pt>
                <c:pt idx="52">
                  <c:v>160</c:v>
                </c:pt>
                <c:pt idx="53">
                  <c:v>193</c:v>
                </c:pt>
                <c:pt idx="54">
                  <c:v>1902</c:v>
                </c:pt>
                <c:pt idx="55">
                  <c:v>519</c:v>
                </c:pt>
                <c:pt idx="56">
                  <c:v>814</c:v>
                </c:pt>
                <c:pt idx="57">
                  <c:v>374</c:v>
                </c:pt>
                <c:pt idx="58">
                  <c:v>370</c:v>
                </c:pt>
                <c:pt idx="59">
                  <c:v>644</c:v>
                </c:pt>
                <c:pt idx="60">
                  <c:v>367</c:v>
                </c:pt>
                <c:pt idx="61">
                  <c:v>186</c:v>
                </c:pt>
                <c:pt idx="62">
                  <c:v>380</c:v>
                </c:pt>
                <c:pt idx="63" formatCode="0">
                  <c:v>384.54854369108716</c:v>
                </c:pt>
                <c:pt idx="64" formatCode="0">
                  <c:v>406.15219606391281</c:v>
                </c:pt>
                <c:pt idx="65" formatCode="0">
                  <c:v>451.28219795270263</c:v>
                </c:pt>
                <c:pt idx="66">
                  <c:v>68</c:v>
                </c:pt>
                <c:pt idx="67">
                  <c:v>100</c:v>
                </c:pt>
                <c:pt idx="68">
                  <c:v>328</c:v>
                </c:pt>
              </c:numCache>
            </c:numRef>
          </c:val>
          <c:smooth val="0"/>
          <c:extLst>
            <c:ext xmlns:c16="http://schemas.microsoft.com/office/drawing/2014/chart" uri="{C3380CC4-5D6E-409C-BE32-E72D297353CC}">
              <c16:uniqueId val="{00000000-44E8-4A88-AC4F-A5C57AB05407}"/>
            </c:ext>
          </c:extLst>
        </c:ser>
        <c:dLbls>
          <c:showLegendKey val="0"/>
          <c:showVal val="0"/>
          <c:showCatName val="0"/>
          <c:showSerName val="0"/>
          <c:showPercent val="0"/>
          <c:showBubbleSize val="0"/>
        </c:dLbls>
        <c:smooth val="0"/>
        <c:axId val="83948288"/>
        <c:axId val="83949824"/>
      </c:lineChart>
      <c:dateAx>
        <c:axId val="83948288"/>
        <c:scaling>
          <c:orientation val="minMax"/>
          <c:min val="42795"/>
        </c:scaling>
        <c:delete val="0"/>
        <c:axPos val="b"/>
        <c:numFmt formatCode="dd/mm/yy;@" sourceLinked="1"/>
        <c:majorTickMark val="in"/>
        <c:minorTickMark val="none"/>
        <c:tickLblPos val="nextTo"/>
        <c:txPr>
          <a:bodyPr rot="-3000000"/>
          <a:lstStyle/>
          <a:p>
            <a:pPr>
              <a:defRPr/>
            </a:pPr>
            <a:endParaRPr lang="fr-BF"/>
          </a:p>
        </c:txPr>
        <c:crossAx val="83949824"/>
        <c:crosses val="autoZero"/>
        <c:auto val="1"/>
        <c:lblOffset val="100"/>
        <c:baseTimeUnit val="months"/>
        <c:majorUnit val="3"/>
        <c:majorTimeUnit val="months"/>
      </c:dateAx>
      <c:valAx>
        <c:axId val="83949824"/>
        <c:scaling>
          <c:orientation val="minMax"/>
        </c:scaling>
        <c:delete val="0"/>
        <c:axPos val="l"/>
        <c:majorGridlines>
          <c:spPr>
            <a:ln>
              <a:prstDash val="dash"/>
            </a:ln>
          </c:spPr>
        </c:majorGridlines>
        <c:numFmt formatCode="#\ ##0_ ;\-#\ ##0\ " sourceLinked="0"/>
        <c:majorTickMark val="out"/>
        <c:minorTickMark val="none"/>
        <c:tickLblPos val="nextTo"/>
        <c:crossAx val="83948288"/>
        <c:crosses val="autoZero"/>
        <c:crossBetween val="between"/>
      </c:valAx>
    </c:plotArea>
    <c:plotVisOnly val="1"/>
    <c:dispBlanksAs val="gap"/>
    <c:showDLblsOverMax val="0"/>
  </c:chart>
  <c:spPr>
    <a:ln>
      <a:noFill/>
    </a:ln>
  </c:spPr>
  <c:txPr>
    <a:bodyPr/>
    <a:lstStyle/>
    <a:p>
      <a:pPr algn="ctr">
        <a:defRPr lang="en-US" sz="900" b="1" i="0" u="none" strike="noStrike" kern="1200" baseline="0">
          <a:solidFill>
            <a:schemeClr val="tx1">
              <a:lumMod val="65000"/>
              <a:lumOff val="35000"/>
            </a:schemeClr>
          </a:solidFill>
          <a:latin typeface="+mn-lt"/>
          <a:ea typeface="+mn-ea"/>
          <a:cs typeface="+mn-cs"/>
        </a:defRPr>
      </a:pPr>
      <a:endParaRPr lang="fr-BF"/>
    </a:p>
  </c:txPr>
  <c:printSettings>
    <c:headerFooter/>
    <c:pageMargins b="0.75000000000001465" l="0.70000000000000062" r="0.70000000000000062" t="0.75000000000001465" header="0.30000000000000032" footer="0.30000000000000032"/>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b="1"/>
              <a:t>Evolution trimestrielle des travailleurs immatriculés à la CNSS </a:t>
            </a:r>
          </a:p>
        </c:rich>
      </c:tx>
      <c:layout>
        <c:manualLayout>
          <c:xMode val="edge"/>
          <c:yMode val="edge"/>
          <c:x val="0.15347246376811594"/>
          <c:y val="7.5595238095238104E-2"/>
        </c:manualLayout>
      </c:layout>
      <c:overlay val="0"/>
      <c:spPr>
        <a:noFill/>
        <a:ln>
          <a:noFill/>
        </a:ln>
        <a:effectLst/>
      </c:spPr>
    </c:title>
    <c:autoTitleDeleted val="0"/>
    <c:plotArea>
      <c:layout/>
      <c:lineChart>
        <c:grouping val="standard"/>
        <c:varyColors val="0"/>
        <c:ser>
          <c:idx val="2"/>
          <c:order val="0"/>
          <c:tx>
            <c:strRef>
              <c:f>Base_Trimestrielle!$GO$73</c:f>
              <c:strCache>
                <c:ptCount val="1"/>
                <c:pt idx="0">
                  <c:v>Femmes</c:v>
                </c:pt>
              </c:strCache>
            </c:strRef>
          </c:tx>
          <c:spPr>
            <a:ln w="28575" cap="rnd">
              <a:solidFill>
                <a:schemeClr val="accent3"/>
              </a:solidFill>
              <a:round/>
            </a:ln>
            <a:effectLst/>
          </c:spPr>
          <c:marker>
            <c:symbol val="none"/>
          </c:marker>
          <c:cat>
            <c:numRef>
              <c:f>Base_Trimestrielle!$FI$143:$FI$169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Base_Trimestrielle!$GO$143:$GO$169</c:f>
              <c:numCache>
                <c:formatCode>General</c:formatCode>
                <c:ptCount val="27"/>
                <c:pt idx="0">
                  <c:v>1847</c:v>
                </c:pt>
                <c:pt idx="1">
                  <c:v>1983</c:v>
                </c:pt>
                <c:pt idx="2">
                  <c:v>1718</c:v>
                </c:pt>
                <c:pt idx="3">
                  <c:v>2083</c:v>
                </c:pt>
                <c:pt idx="4">
                  <c:v>1894</c:v>
                </c:pt>
                <c:pt idx="5">
                  <c:v>1815</c:v>
                </c:pt>
                <c:pt idx="6">
                  <c:v>1930</c:v>
                </c:pt>
                <c:pt idx="7">
                  <c:v>2062</c:v>
                </c:pt>
                <c:pt idx="8">
                  <c:v>2128</c:v>
                </c:pt>
                <c:pt idx="9">
                  <c:v>1985</c:v>
                </c:pt>
                <c:pt idx="10">
                  <c:v>2041</c:v>
                </c:pt>
                <c:pt idx="11">
                  <c:v>2481</c:v>
                </c:pt>
                <c:pt idx="12">
                  <c:v>1886</c:v>
                </c:pt>
                <c:pt idx="13">
                  <c:v>1966</c:v>
                </c:pt>
                <c:pt idx="14">
                  <c:v>1957</c:v>
                </c:pt>
                <c:pt idx="15">
                  <c:v>1951</c:v>
                </c:pt>
                <c:pt idx="16">
                  <c:v>9791</c:v>
                </c:pt>
                <c:pt idx="17">
                  <c:v>2269</c:v>
                </c:pt>
                <c:pt idx="18">
                  <c:v>2567</c:v>
                </c:pt>
                <c:pt idx="19">
                  <c:v>2570</c:v>
                </c:pt>
                <c:pt idx="20">
                  <c:v>1623</c:v>
                </c:pt>
                <c:pt idx="21">
                  <c:v>1955</c:v>
                </c:pt>
                <c:pt idx="22">
                  <c:v>2406</c:v>
                </c:pt>
                <c:pt idx="23">
                  <c:v>2093</c:v>
                </c:pt>
                <c:pt idx="24">
                  <c:v>2400</c:v>
                </c:pt>
                <c:pt idx="25">
                  <c:v>2803</c:v>
                </c:pt>
                <c:pt idx="26">
                  <c:v>2711</c:v>
                </c:pt>
              </c:numCache>
            </c:numRef>
          </c:val>
          <c:smooth val="0"/>
          <c:extLst>
            <c:ext xmlns:c16="http://schemas.microsoft.com/office/drawing/2014/chart" uri="{C3380CC4-5D6E-409C-BE32-E72D297353CC}">
              <c16:uniqueId val="{00000000-AA43-4551-BAB7-E7004EAED2DB}"/>
            </c:ext>
          </c:extLst>
        </c:ser>
        <c:ser>
          <c:idx val="3"/>
          <c:order val="1"/>
          <c:tx>
            <c:strRef>
              <c:f>Base_Trimestrielle!$GN$73</c:f>
              <c:strCache>
                <c:ptCount val="1"/>
                <c:pt idx="0">
                  <c:v>Hommes</c:v>
                </c:pt>
              </c:strCache>
            </c:strRef>
          </c:tx>
          <c:spPr>
            <a:ln w="28575" cap="rnd">
              <a:solidFill>
                <a:schemeClr val="accent4"/>
              </a:solidFill>
              <a:round/>
            </a:ln>
            <a:effectLst/>
          </c:spPr>
          <c:marker>
            <c:symbol val="none"/>
          </c:marker>
          <c:cat>
            <c:numRef>
              <c:f>Base_Trimestrielle!$FI$143:$FI$169</c:f>
              <c:numCache>
                <c:formatCode>mm\ yyyy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Base_Trimestrielle!$GN$143:$GN$169</c:f>
              <c:numCache>
                <c:formatCode>General</c:formatCode>
                <c:ptCount val="27"/>
                <c:pt idx="0">
                  <c:v>5159</c:v>
                </c:pt>
                <c:pt idx="1">
                  <c:v>5191</c:v>
                </c:pt>
                <c:pt idx="2">
                  <c:v>4733</c:v>
                </c:pt>
                <c:pt idx="3">
                  <c:v>5252</c:v>
                </c:pt>
                <c:pt idx="4">
                  <c:v>4274</c:v>
                </c:pt>
                <c:pt idx="5">
                  <c:v>4791</c:v>
                </c:pt>
                <c:pt idx="6">
                  <c:v>5429</c:v>
                </c:pt>
                <c:pt idx="7">
                  <c:v>5385</c:v>
                </c:pt>
                <c:pt idx="8">
                  <c:v>5053</c:v>
                </c:pt>
                <c:pt idx="9">
                  <c:v>4752</c:v>
                </c:pt>
                <c:pt idx="10">
                  <c:v>4678</c:v>
                </c:pt>
                <c:pt idx="11">
                  <c:v>6033</c:v>
                </c:pt>
                <c:pt idx="12">
                  <c:v>4511</c:v>
                </c:pt>
                <c:pt idx="13">
                  <c:v>4750</c:v>
                </c:pt>
                <c:pt idx="14">
                  <c:v>5074</c:v>
                </c:pt>
                <c:pt idx="15">
                  <c:v>4579</c:v>
                </c:pt>
                <c:pt idx="16">
                  <c:v>6965</c:v>
                </c:pt>
                <c:pt idx="17">
                  <c:v>5017</c:v>
                </c:pt>
                <c:pt idx="18">
                  <c:v>5082</c:v>
                </c:pt>
                <c:pt idx="19">
                  <c:v>5076</c:v>
                </c:pt>
                <c:pt idx="20">
                  <c:v>2998</c:v>
                </c:pt>
                <c:pt idx="21">
                  <c:v>3847</c:v>
                </c:pt>
                <c:pt idx="22">
                  <c:v>4598</c:v>
                </c:pt>
                <c:pt idx="23">
                  <c:v>3945</c:v>
                </c:pt>
                <c:pt idx="24">
                  <c:v>4810</c:v>
                </c:pt>
                <c:pt idx="25">
                  <c:v>5572</c:v>
                </c:pt>
                <c:pt idx="26">
                  <c:v>5847</c:v>
                </c:pt>
              </c:numCache>
            </c:numRef>
          </c:val>
          <c:smooth val="0"/>
          <c:extLst>
            <c:ext xmlns:c16="http://schemas.microsoft.com/office/drawing/2014/chart" uri="{C3380CC4-5D6E-409C-BE32-E72D297353CC}">
              <c16:uniqueId val="{00000001-AA43-4551-BAB7-E7004EAED2DB}"/>
            </c:ext>
          </c:extLst>
        </c:ser>
        <c:dLbls>
          <c:showLegendKey val="0"/>
          <c:showVal val="0"/>
          <c:showCatName val="0"/>
          <c:showSerName val="0"/>
          <c:showPercent val="0"/>
          <c:showBubbleSize val="0"/>
        </c:dLbls>
        <c:smooth val="0"/>
        <c:axId val="83994880"/>
        <c:axId val="84000768"/>
      </c:lineChart>
      <c:dateAx>
        <c:axId val="83994880"/>
        <c:scaling>
          <c:orientation val="minMax"/>
        </c:scaling>
        <c:delete val="0"/>
        <c:axPos val="b"/>
        <c:numFmt formatCode="mm\ yyyy" sourceLinked="1"/>
        <c:majorTickMark val="in"/>
        <c:minorTickMark val="none"/>
        <c:tickLblPos val="nextTo"/>
        <c:spPr>
          <a:noFill/>
          <a:ln w="9525" cap="flat" cmpd="sng" algn="ctr">
            <a:solidFill>
              <a:schemeClr val="tx1">
                <a:lumMod val="15000"/>
                <a:lumOff val="85000"/>
              </a:schemeClr>
            </a:solidFill>
            <a:round/>
          </a:ln>
          <a:effectLst/>
        </c:spPr>
        <c:txPr>
          <a:bodyPr rot="-42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BF"/>
          </a:p>
        </c:txPr>
        <c:crossAx val="84000768"/>
        <c:crosses val="autoZero"/>
        <c:auto val="1"/>
        <c:lblOffset val="100"/>
        <c:baseTimeUnit val="months"/>
      </c:dateAx>
      <c:valAx>
        <c:axId val="84000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BF"/>
          </a:p>
        </c:txPr>
        <c:crossAx val="83994880"/>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BF"/>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a:solidFill>
                  <a:sysClr val="windowText" lastClr="000000"/>
                </a:solidFill>
              </a:rPr>
              <a:t>Evolution des a</a:t>
            </a:r>
          </a:p>
          <a:p>
            <a:pPr>
              <a:defRPr sz="1400" b="0" i="0" u="none" strike="noStrike" kern="1200" spc="0" baseline="0">
                <a:solidFill>
                  <a:schemeClr val="tx1">
                    <a:lumMod val="65000"/>
                    <a:lumOff val="35000"/>
                  </a:schemeClr>
                </a:solidFill>
                <a:latin typeface="+mn-lt"/>
                <a:ea typeface="+mn-ea"/>
                <a:cs typeface="+mn-cs"/>
              </a:defRPr>
            </a:pPr>
            <a:r>
              <a:rPr lang="fr-FR" b="1">
                <a:solidFill>
                  <a:sysClr val="windowText" lastClr="000000"/>
                </a:solidFill>
              </a:rPr>
              <a:t>grégats de monnaie - Encours en milliards FCFA</a:t>
            </a:r>
          </a:p>
        </c:rich>
      </c:tx>
      <c:layout>
        <c:manualLayout>
          <c:xMode val="edge"/>
          <c:yMode val="edge"/>
          <c:x val="0.15166821541445144"/>
          <c:y val="5.4362240108710394E-2"/>
        </c:manualLayout>
      </c:layout>
      <c:overlay val="0"/>
      <c:spPr>
        <a:solidFill>
          <a:sysClr val="window" lastClr="FFFFFF"/>
        </a:solidFill>
        <a:ln>
          <a:noFill/>
        </a:ln>
        <a:effectLst/>
      </c:spPr>
    </c:title>
    <c:autoTitleDeleted val="0"/>
    <c:plotArea>
      <c:layout/>
      <c:lineChart>
        <c:grouping val="standard"/>
        <c:varyColors val="0"/>
        <c:ser>
          <c:idx val="0"/>
          <c:order val="0"/>
          <c:tx>
            <c:strRef>
              <c:f>Serie_Graph3!$R$3</c:f>
              <c:strCache>
                <c:ptCount val="1"/>
                <c:pt idx="0">
                  <c:v>Actifs extérieurs nets</c:v>
                </c:pt>
              </c:strCache>
            </c:strRef>
          </c:tx>
          <c:spPr>
            <a:ln w="28575" cap="rnd">
              <a:solidFill>
                <a:schemeClr val="accent1"/>
              </a:solidFill>
              <a:round/>
            </a:ln>
            <a:effectLst/>
          </c:spPr>
          <c:marker>
            <c:symbol val="none"/>
          </c:marker>
          <c:cat>
            <c:numRef>
              <c:f>Serie_Graph3!$Q$4:$Q$111</c:f>
              <c:numCache>
                <c:formatCode>m/d/yyyy</c:formatCode>
                <c:ptCount val="10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pt idx="35">
                  <c:v>43160</c:v>
                </c:pt>
                <c:pt idx="36">
                  <c:v>43191</c:v>
                </c:pt>
                <c:pt idx="37">
                  <c:v>43221</c:v>
                </c:pt>
                <c:pt idx="38">
                  <c:v>43252</c:v>
                </c:pt>
                <c:pt idx="39">
                  <c:v>43282</c:v>
                </c:pt>
                <c:pt idx="40">
                  <c:v>43313</c:v>
                </c:pt>
                <c:pt idx="41">
                  <c:v>43344</c:v>
                </c:pt>
                <c:pt idx="42">
                  <c:v>43374</c:v>
                </c:pt>
                <c:pt idx="43">
                  <c:v>43405</c:v>
                </c:pt>
                <c:pt idx="44">
                  <c:v>43435</c:v>
                </c:pt>
                <c:pt idx="45">
                  <c:v>43466</c:v>
                </c:pt>
                <c:pt idx="46">
                  <c:v>43497</c:v>
                </c:pt>
                <c:pt idx="47">
                  <c:v>43525</c:v>
                </c:pt>
                <c:pt idx="48">
                  <c:v>43556</c:v>
                </c:pt>
                <c:pt idx="49">
                  <c:v>43586</c:v>
                </c:pt>
                <c:pt idx="50">
                  <c:v>43617</c:v>
                </c:pt>
                <c:pt idx="51">
                  <c:v>43647</c:v>
                </c:pt>
                <c:pt idx="52">
                  <c:v>43678</c:v>
                </c:pt>
                <c:pt idx="53">
                  <c:v>43709</c:v>
                </c:pt>
                <c:pt idx="54">
                  <c:v>43739</c:v>
                </c:pt>
                <c:pt idx="55">
                  <c:v>43770</c:v>
                </c:pt>
                <c:pt idx="56">
                  <c:v>43800</c:v>
                </c:pt>
                <c:pt idx="57">
                  <c:v>43831</c:v>
                </c:pt>
                <c:pt idx="58">
                  <c:v>43862</c:v>
                </c:pt>
                <c:pt idx="59">
                  <c:v>43891</c:v>
                </c:pt>
                <c:pt idx="60">
                  <c:v>43922</c:v>
                </c:pt>
                <c:pt idx="61">
                  <c:v>43952</c:v>
                </c:pt>
                <c:pt idx="62">
                  <c:v>43983</c:v>
                </c:pt>
                <c:pt idx="63">
                  <c:v>44013</c:v>
                </c:pt>
                <c:pt idx="64">
                  <c:v>44044</c:v>
                </c:pt>
                <c:pt idx="65">
                  <c:v>44075</c:v>
                </c:pt>
                <c:pt idx="66">
                  <c:v>44105</c:v>
                </c:pt>
                <c:pt idx="67">
                  <c:v>44136</c:v>
                </c:pt>
                <c:pt idx="68">
                  <c:v>44166</c:v>
                </c:pt>
                <c:pt idx="69">
                  <c:v>44197</c:v>
                </c:pt>
                <c:pt idx="70">
                  <c:v>44228</c:v>
                </c:pt>
                <c:pt idx="71">
                  <c:v>44256</c:v>
                </c:pt>
                <c:pt idx="72">
                  <c:v>44287</c:v>
                </c:pt>
                <c:pt idx="73">
                  <c:v>44317</c:v>
                </c:pt>
                <c:pt idx="74">
                  <c:v>44348</c:v>
                </c:pt>
                <c:pt idx="75">
                  <c:v>44378</c:v>
                </c:pt>
                <c:pt idx="76">
                  <c:v>44409</c:v>
                </c:pt>
                <c:pt idx="77">
                  <c:v>44440</c:v>
                </c:pt>
                <c:pt idx="78">
                  <c:v>44470</c:v>
                </c:pt>
                <c:pt idx="79">
                  <c:v>44501</c:v>
                </c:pt>
                <c:pt idx="80">
                  <c:v>44531</c:v>
                </c:pt>
                <c:pt idx="81">
                  <c:v>44562</c:v>
                </c:pt>
                <c:pt idx="82">
                  <c:v>44593</c:v>
                </c:pt>
                <c:pt idx="83">
                  <c:v>44621</c:v>
                </c:pt>
                <c:pt idx="84">
                  <c:v>44652</c:v>
                </c:pt>
                <c:pt idx="85">
                  <c:v>44682</c:v>
                </c:pt>
                <c:pt idx="86">
                  <c:v>44713</c:v>
                </c:pt>
                <c:pt idx="87">
                  <c:v>44743</c:v>
                </c:pt>
                <c:pt idx="88">
                  <c:v>44774</c:v>
                </c:pt>
                <c:pt idx="89">
                  <c:v>44805</c:v>
                </c:pt>
                <c:pt idx="90">
                  <c:v>44835</c:v>
                </c:pt>
                <c:pt idx="91">
                  <c:v>44866</c:v>
                </c:pt>
                <c:pt idx="92">
                  <c:v>44896</c:v>
                </c:pt>
                <c:pt idx="93">
                  <c:v>44927</c:v>
                </c:pt>
                <c:pt idx="94">
                  <c:v>44958</c:v>
                </c:pt>
                <c:pt idx="95">
                  <c:v>44986</c:v>
                </c:pt>
                <c:pt idx="96">
                  <c:v>45017</c:v>
                </c:pt>
                <c:pt idx="97">
                  <c:v>45047</c:v>
                </c:pt>
                <c:pt idx="98">
                  <c:v>45078</c:v>
                </c:pt>
                <c:pt idx="99">
                  <c:v>45108</c:v>
                </c:pt>
                <c:pt idx="100">
                  <c:v>45139</c:v>
                </c:pt>
                <c:pt idx="101">
                  <c:v>45170</c:v>
                </c:pt>
                <c:pt idx="102">
                  <c:v>45200</c:v>
                </c:pt>
                <c:pt idx="103">
                  <c:v>45231</c:v>
                </c:pt>
                <c:pt idx="104">
                  <c:v>45261</c:v>
                </c:pt>
              </c:numCache>
            </c:numRef>
          </c:cat>
          <c:val>
            <c:numRef>
              <c:f>Serie_Graph3!$R$4:$R$111</c:f>
              <c:numCache>
                <c:formatCode>0.0</c:formatCode>
                <c:ptCount val="108"/>
                <c:pt idx="0">
                  <c:v>559.98358548376996</c:v>
                </c:pt>
                <c:pt idx="1">
                  <c:v>518.8708046412371</c:v>
                </c:pt>
                <c:pt idx="2">
                  <c:v>491.08956981790129</c:v>
                </c:pt>
                <c:pt idx="3">
                  <c:v>631.20751971665322</c:v>
                </c:pt>
                <c:pt idx="4">
                  <c:v>717.80777560819092</c:v>
                </c:pt>
                <c:pt idx="5">
                  <c:v>650.98189194319286</c:v>
                </c:pt>
                <c:pt idx="6">
                  <c:v>653.57875080728468</c:v>
                </c:pt>
                <c:pt idx="7">
                  <c:v>673.07108670302932</c:v>
                </c:pt>
                <c:pt idx="8">
                  <c:v>737.75407879126396</c:v>
                </c:pt>
                <c:pt idx="9">
                  <c:v>745.90025919406082</c:v>
                </c:pt>
                <c:pt idx="10">
                  <c:v>742.83065835082766</c:v>
                </c:pt>
                <c:pt idx="11">
                  <c:v>823.58451706976825</c:v>
                </c:pt>
                <c:pt idx="12">
                  <c:v>834.20862182667997</c:v>
                </c:pt>
                <c:pt idx="13">
                  <c:v>782.95230764098551</c:v>
                </c:pt>
                <c:pt idx="14">
                  <c:v>830.54150418713607</c:v>
                </c:pt>
                <c:pt idx="15">
                  <c:v>804.29016402838852</c:v>
                </c:pt>
                <c:pt idx="16">
                  <c:v>859.69587498756277</c:v>
                </c:pt>
                <c:pt idx="17">
                  <c:v>925.42490973062309</c:v>
                </c:pt>
                <c:pt idx="18">
                  <c:v>871.40471790801803</c:v>
                </c:pt>
                <c:pt idx="19">
                  <c:v>925.70521319569298</c:v>
                </c:pt>
                <c:pt idx="20">
                  <c:v>1052.7629037723555</c:v>
                </c:pt>
                <c:pt idx="21">
                  <c:v>925.67964595162471</c:v>
                </c:pt>
                <c:pt idx="22">
                  <c:v>1078.5645821663361</c:v>
                </c:pt>
                <c:pt idx="23">
                  <c:v>1125.4047199810218</c:v>
                </c:pt>
                <c:pt idx="24">
                  <c:v>1128.1835295197081</c:v>
                </c:pt>
                <c:pt idx="25">
                  <c:v>1289.9405932929981</c:v>
                </c:pt>
                <c:pt idx="26">
                  <c:v>1182.612644385099</c:v>
                </c:pt>
                <c:pt idx="27">
                  <c:v>1272.1959856919721</c:v>
                </c:pt>
                <c:pt idx="28">
                  <c:v>1256.1074337078369</c:v>
                </c:pt>
                <c:pt idx="29">
                  <c:v>1260.3277636730809</c:v>
                </c:pt>
                <c:pt idx="30">
                  <c:v>1327.8259013962997</c:v>
                </c:pt>
                <c:pt idx="31">
                  <c:v>1308.7759741335954</c:v>
                </c:pt>
                <c:pt idx="32">
                  <c:v>1330.1164299021225</c:v>
                </c:pt>
                <c:pt idx="33">
                  <c:v>931.30647472300052</c:v>
                </c:pt>
                <c:pt idx="34">
                  <c:v>1210.7814527210001</c:v>
                </c:pt>
                <c:pt idx="35">
                  <c:v>1374.9749899349999</c:v>
                </c:pt>
                <c:pt idx="36">
                  <c:v>1377.32001126</c:v>
                </c:pt>
                <c:pt idx="37">
                  <c:v>1415.869067569</c:v>
                </c:pt>
                <c:pt idx="38">
                  <c:v>1482.1249953999998</c:v>
                </c:pt>
                <c:pt idx="39">
                  <c:v>1398.6189073770001</c:v>
                </c:pt>
                <c:pt idx="40">
                  <c:v>1370.4860119099999</c:v>
                </c:pt>
                <c:pt idx="41">
                  <c:v>1246.5533834439998</c:v>
                </c:pt>
                <c:pt idx="42">
                  <c:v>1257.2255482980001</c:v>
                </c:pt>
                <c:pt idx="43">
                  <c:v>1354.7896108790001</c:v>
                </c:pt>
                <c:pt idx="44">
                  <c:v>1443.5011101120001</c:v>
                </c:pt>
                <c:pt idx="45">
                  <c:v>1340.6134312300801</c:v>
                </c:pt>
                <c:pt idx="46">
                  <c:v>1400.5917088142116</c:v>
                </c:pt>
                <c:pt idx="47">
                  <c:v>1512.5554275150002</c:v>
                </c:pt>
                <c:pt idx="48">
                  <c:v>1526.3659831088935</c:v>
                </c:pt>
                <c:pt idx="49">
                  <c:v>1476.6784665473454</c:v>
                </c:pt>
                <c:pt idx="50">
                  <c:v>1466.6964526651784</c:v>
                </c:pt>
                <c:pt idx="51">
                  <c:v>1406.3030107050001</c:v>
                </c:pt>
                <c:pt idx="52">
                  <c:v>1431.2982665800005</c:v>
                </c:pt>
                <c:pt idx="53">
                  <c:v>1306.5900266479998</c:v>
                </c:pt>
                <c:pt idx="54">
                  <c:v>1401.4207834620004</c:v>
                </c:pt>
                <c:pt idx="55">
                  <c:v>1374.6962406989994</c:v>
                </c:pt>
                <c:pt idx="56">
                  <c:v>1508.5330278715433</c:v>
                </c:pt>
                <c:pt idx="57">
                  <c:v>1444.5897033276383</c:v>
                </c:pt>
                <c:pt idx="58">
                  <c:v>1488.2895143010301</c:v>
                </c:pt>
                <c:pt idx="59">
                  <c:v>1570.9718822869881</c:v>
                </c:pt>
                <c:pt idx="60">
                  <c:v>1618.1707436360928</c:v>
                </c:pt>
                <c:pt idx="61">
                  <c:v>1747.3274137899994</c:v>
                </c:pt>
                <c:pt idx="62">
                  <c:v>1962.799560616</c:v>
                </c:pt>
                <c:pt idx="63">
                  <c:v>1885.1179442890002</c:v>
                </c:pt>
                <c:pt idx="64">
                  <c:v>1939.1467026269997</c:v>
                </c:pt>
                <c:pt idx="65">
                  <c:v>1859.1540356920004</c:v>
                </c:pt>
                <c:pt idx="66">
                  <c:v>1822.7177777840002</c:v>
                </c:pt>
                <c:pt idx="67">
                  <c:v>1842.8528253551633</c:v>
                </c:pt>
                <c:pt idx="68">
                  <c:v>1983.664176386488</c:v>
                </c:pt>
                <c:pt idx="69">
                  <c:v>1910.9046273580775</c:v>
                </c:pt>
                <c:pt idx="70">
                  <c:v>2041.9268066490004</c:v>
                </c:pt>
                <c:pt idx="71">
                  <c:v>2326.5949514840004</c:v>
                </c:pt>
                <c:pt idx="72">
                  <c:v>2391.8779095509999</c:v>
                </c:pt>
                <c:pt idx="73">
                  <c:v>2418.3513485249996</c:v>
                </c:pt>
                <c:pt idx="74">
                  <c:v>2512.4441445041293</c:v>
                </c:pt>
                <c:pt idx="75">
                  <c:v>2553.5460892639999</c:v>
                </c:pt>
                <c:pt idx="76">
                  <c:v>2433.4643404187309</c:v>
                </c:pt>
                <c:pt idx="77">
                  <c:v>2431.22254079</c:v>
                </c:pt>
                <c:pt idx="78">
                  <c:v>2397.0895796999994</c:v>
                </c:pt>
                <c:pt idx="79">
                  <c:v>1851.5926633659999</c:v>
                </c:pt>
                <c:pt idx="80">
                  <c:v>2704.9815301039998</c:v>
                </c:pt>
                <c:pt idx="81">
                  <c:v>2460.6788620730003</c:v>
                </c:pt>
                <c:pt idx="82">
                  <c:v>2320.5318769280002</c:v>
                </c:pt>
                <c:pt idx="83">
                  <c:v>2406.6066683119998</c:v>
                </c:pt>
                <c:pt idx="84">
                  <c:v>2319.9172272100004</c:v>
                </c:pt>
                <c:pt idx="85">
                  <c:v>2225.5983469760004</c:v>
                </c:pt>
                <c:pt idx="86">
                  <c:v>2297.0984696430005</c:v>
                </c:pt>
                <c:pt idx="87">
                  <c:v>2254.5938493650006</c:v>
                </c:pt>
                <c:pt idx="88">
                  <c:v>2176.6161932940004</c:v>
                </c:pt>
                <c:pt idx="89">
                  <c:v>2259.3783468389993</c:v>
                </c:pt>
                <c:pt idx="90">
                  <c:v>1871.6956816160002</c:v>
                </c:pt>
                <c:pt idx="91">
                  <c:v>1951.1128035759998</c:v>
                </c:pt>
                <c:pt idx="92">
                  <c:v>1972.0706759070001</c:v>
                </c:pt>
                <c:pt idx="93">
                  <c:v>1871.558048375</c:v>
                </c:pt>
                <c:pt idx="94">
                  <c:v>1494.1240691580003</c:v>
                </c:pt>
                <c:pt idx="95">
                  <c:v>1657.7496957499998</c:v>
                </c:pt>
                <c:pt idx="96">
                  <c:v>1731.2864033989999</c:v>
                </c:pt>
                <c:pt idx="97">
                  <c:v>1764.5601100910001</c:v>
                </c:pt>
                <c:pt idx="98">
                  <c:v>1870.3018244580001</c:v>
                </c:pt>
                <c:pt idx="99">
                  <c:v>1778.1311073900001</c:v>
                </c:pt>
                <c:pt idx="100">
                  <c:v>1729.0343513259998</c:v>
                </c:pt>
                <c:pt idx="101">
                  <c:v>1900.7818864940004</c:v>
                </c:pt>
                <c:pt idx="102">
                  <c:v>1791.0793027590005</c:v>
                </c:pt>
                <c:pt idx="103">
                  <c:v>1703.4346748600001</c:v>
                </c:pt>
                <c:pt idx="104">
                  <c:v>1626.2842100790003</c:v>
                </c:pt>
              </c:numCache>
            </c:numRef>
          </c:val>
          <c:smooth val="0"/>
          <c:extLst>
            <c:ext xmlns:c16="http://schemas.microsoft.com/office/drawing/2014/chart" uri="{C3380CC4-5D6E-409C-BE32-E72D297353CC}">
              <c16:uniqueId val="{00000000-0AA5-4215-BC40-C56470CA08F1}"/>
            </c:ext>
          </c:extLst>
        </c:ser>
        <c:ser>
          <c:idx val="1"/>
          <c:order val="1"/>
          <c:tx>
            <c:strRef>
              <c:f>Serie_Graph3!$S$3</c:f>
              <c:strCache>
                <c:ptCount val="1"/>
                <c:pt idx="0">
                  <c:v>Créances intérieures</c:v>
                </c:pt>
              </c:strCache>
            </c:strRef>
          </c:tx>
          <c:spPr>
            <a:ln w="28575" cap="rnd">
              <a:solidFill>
                <a:schemeClr val="accent2"/>
              </a:solidFill>
              <a:round/>
            </a:ln>
            <a:effectLst/>
          </c:spPr>
          <c:marker>
            <c:symbol val="none"/>
          </c:marker>
          <c:cat>
            <c:numRef>
              <c:f>Serie_Graph3!$Q$4:$Q$111</c:f>
              <c:numCache>
                <c:formatCode>m/d/yyyy</c:formatCode>
                <c:ptCount val="10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pt idx="35">
                  <c:v>43160</c:v>
                </c:pt>
                <c:pt idx="36">
                  <c:v>43191</c:v>
                </c:pt>
                <c:pt idx="37">
                  <c:v>43221</c:v>
                </c:pt>
                <c:pt idx="38">
                  <c:v>43252</c:v>
                </c:pt>
                <c:pt idx="39">
                  <c:v>43282</c:v>
                </c:pt>
                <c:pt idx="40">
                  <c:v>43313</c:v>
                </c:pt>
                <c:pt idx="41">
                  <c:v>43344</c:v>
                </c:pt>
                <c:pt idx="42">
                  <c:v>43374</c:v>
                </c:pt>
                <c:pt idx="43">
                  <c:v>43405</c:v>
                </c:pt>
                <c:pt idx="44">
                  <c:v>43435</c:v>
                </c:pt>
                <c:pt idx="45">
                  <c:v>43466</c:v>
                </c:pt>
                <c:pt idx="46">
                  <c:v>43497</c:v>
                </c:pt>
                <c:pt idx="47">
                  <c:v>43525</c:v>
                </c:pt>
                <c:pt idx="48">
                  <c:v>43556</c:v>
                </c:pt>
                <c:pt idx="49">
                  <c:v>43586</c:v>
                </c:pt>
                <c:pt idx="50">
                  <c:v>43617</c:v>
                </c:pt>
                <c:pt idx="51">
                  <c:v>43647</c:v>
                </c:pt>
                <c:pt idx="52">
                  <c:v>43678</c:v>
                </c:pt>
                <c:pt idx="53">
                  <c:v>43709</c:v>
                </c:pt>
                <c:pt idx="54">
                  <c:v>43739</c:v>
                </c:pt>
                <c:pt idx="55">
                  <c:v>43770</c:v>
                </c:pt>
                <c:pt idx="56">
                  <c:v>43800</c:v>
                </c:pt>
                <c:pt idx="57">
                  <c:v>43831</c:v>
                </c:pt>
                <c:pt idx="58">
                  <c:v>43862</c:v>
                </c:pt>
                <c:pt idx="59">
                  <c:v>43891</c:v>
                </c:pt>
                <c:pt idx="60">
                  <c:v>43922</c:v>
                </c:pt>
                <c:pt idx="61">
                  <c:v>43952</c:v>
                </c:pt>
                <c:pt idx="62">
                  <c:v>43983</c:v>
                </c:pt>
                <c:pt idx="63">
                  <c:v>44013</c:v>
                </c:pt>
                <c:pt idx="64">
                  <c:v>44044</c:v>
                </c:pt>
                <c:pt idx="65">
                  <c:v>44075</c:v>
                </c:pt>
                <c:pt idx="66">
                  <c:v>44105</c:v>
                </c:pt>
                <c:pt idx="67">
                  <c:v>44136</c:v>
                </c:pt>
                <c:pt idx="68">
                  <c:v>44166</c:v>
                </c:pt>
                <c:pt idx="69">
                  <c:v>44197</c:v>
                </c:pt>
                <c:pt idx="70">
                  <c:v>44228</c:v>
                </c:pt>
                <c:pt idx="71">
                  <c:v>44256</c:v>
                </c:pt>
                <c:pt idx="72">
                  <c:v>44287</c:v>
                </c:pt>
                <c:pt idx="73">
                  <c:v>44317</c:v>
                </c:pt>
                <c:pt idx="74">
                  <c:v>44348</c:v>
                </c:pt>
                <c:pt idx="75">
                  <c:v>44378</c:v>
                </c:pt>
                <c:pt idx="76">
                  <c:v>44409</c:v>
                </c:pt>
                <c:pt idx="77">
                  <c:v>44440</c:v>
                </c:pt>
                <c:pt idx="78">
                  <c:v>44470</c:v>
                </c:pt>
                <c:pt idx="79">
                  <c:v>44501</c:v>
                </c:pt>
                <c:pt idx="80">
                  <c:v>44531</c:v>
                </c:pt>
                <c:pt idx="81">
                  <c:v>44562</c:v>
                </c:pt>
                <c:pt idx="82">
                  <c:v>44593</c:v>
                </c:pt>
                <c:pt idx="83">
                  <c:v>44621</c:v>
                </c:pt>
                <c:pt idx="84">
                  <c:v>44652</c:v>
                </c:pt>
                <c:pt idx="85">
                  <c:v>44682</c:v>
                </c:pt>
                <c:pt idx="86">
                  <c:v>44713</c:v>
                </c:pt>
                <c:pt idx="87">
                  <c:v>44743</c:v>
                </c:pt>
                <c:pt idx="88">
                  <c:v>44774</c:v>
                </c:pt>
                <c:pt idx="89">
                  <c:v>44805</c:v>
                </c:pt>
                <c:pt idx="90">
                  <c:v>44835</c:v>
                </c:pt>
                <c:pt idx="91">
                  <c:v>44866</c:v>
                </c:pt>
                <c:pt idx="92">
                  <c:v>44896</c:v>
                </c:pt>
                <c:pt idx="93">
                  <c:v>44927</c:v>
                </c:pt>
                <c:pt idx="94">
                  <c:v>44958</c:v>
                </c:pt>
                <c:pt idx="95">
                  <c:v>44986</c:v>
                </c:pt>
                <c:pt idx="96">
                  <c:v>45017</c:v>
                </c:pt>
                <c:pt idx="97">
                  <c:v>45047</c:v>
                </c:pt>
                <c:pt idx="98">
                  <c:v>45078</c:v>
                </c:pt>
                <c:pt idx="99">
                  <c:v>45108</c:v>
                </c:pt>
                <c:pt idx="100">
                  <c:v>45139</c:v>
                </c:pt>
                <c:pt idx="101">
                  <c:v>45170</c:v>
                </c:pt>
                <c:pt idx="102">
                  <c:v>45200</c:v>
                </c:pt>
                <c:pt idx="103">
                  <c:v>45231</c:v>
                </c:pt>
                <c:pt idx="104">
                  <c:v>45261</c:v>
                </c:pt>
              </c:numCache>
            </c:numRef>
          </c:cat>
          <c:val>
            <c:numRef>
              <c:f>Serie_Graph3!$S$4:$S$111</c:f>
              <c:numCache>
                <c:formatCode>0.0</c:formatCode>
                <c:ptCount val="108"/>
                <c:pt idx="0">
                  <c:v>1960.7032537471659</c:v>
                </c:pt>
                <c:pt idx="1">
                  <c:v>1948.097553209142</c:v>
                </c:pt>
                <c:pt idx="2">
                  <c:v>1961.0121917116089</c:v>
                </c:pt>
                <c:pt idx="3">
                  <c:v>1871.2250169589483</c:v>
                </c:pt>
                <c:pt idx="4">
                  <c:v>1827.8371080618426</c:v>
                </c:pt>
                <c:pt idx="5">
                  <c:v>1870.5762354640799</c:v>
                </c:pt>
                <c:pt idx="6">
                  <c:v>1922.4636985979259</c:v>
                </c:pt>
                <c:pt idx="7">
                  <c:v>1982.2230068366266</c:v>
                </c:pt>
                <c:pt idx="8">
                  <c:v>2036.1243578712526</c:v>
                </c:pt>
                <c:pt idx="9">
                  <c:v>1973.3343446695294</c:v>
                </c:pt>
                <c:pt idx="10">
                  <c:v>2052.2027244430074</c:v>
                </c:pt>
                <c:pt idx="11">
                  <c:v>2033.6743651472434</c:v>
                </c:pt>
                <c:pt idx="12">
                  <c:v>2027.7556193092828</c:v>
                </c:pt>
                <c:pt idx="13">
                  <c:v>2132.4578953333557</c:v>
                </c:pt>
                <c:pt idx="14">
                  <c:v>2079.0300702707614</c:v>
                </c:pt>
                <c:pt idx="15">
                  <c:v>2005.7084037399859</c:v>
                </c:pt>
                <c:pt idx="16">
                  <c:v>1991.4642811936615</c:v>
                </c:pt>
                <c:pt idx="17">
                  <c:v>1999.0192095841178</c:v>
                </c:pt>
                <c:pt idx="18">
                  <c:v>1993.0468990064028</c:v>
                </c:pt>
                <c:pt idx="19">
                  <c:v>2069.8125741751983</c:v>
                </c:pt>
                <c:pt idx="20">
                  <c:v>2055.8370954678235</c:v>
                </c:pt>
                <c:pt idx="21">
                  <c:v>2101.6625192667107</c:v>
                </c:pt>
                <c:pt idx="22">
                  <c:v>2166.7044665748845</c:v>
                </c:pt>
                <c:pt idx="23">
                  <c:v>2153.1102394728164</c:v>
                </c:pt>
                <c:pt idx="24">
                  <c:v>2153.377802903186</c:v>
                </c:pt>
                <c:pt idx="25">
                  <c:v>2187.8946204696394</c:v>
                </c:pt>
                <c:pt idx="26">
                  <c:v>2269.3503666219904</c:v>
                </c:pt>
                <c:pt idx="27">
                  <c:v>2262.7193068913061</c:v>
                </c:pt>
                <c:pt idx="28">
                  <c:v>2205.7952405882784</c:v>
                </c:pt>
                <c:pt idx="29">
                  <c:v>2268.2651970117604</c:v>
                </c:pt>
                <c:pt idx="30">
                  <c:v>2206.5715252970281</c:v>
                </c:pt>
                <c:pt idx="31">
                  <c:v>2341.3833981174266</c:v>
                </c:pt>
                <c:pt idx="32">
                  <c:v>2436.3076982104953</c:v>
                </c:pt>
                <c:pt idx="33">
                  <c:v>2920.9207507430001</c:v>
                </c:pt>
                <c:pt idx="34">
                  <c:v>2666.7208088909997</c:v>
                </c:pt>
                <c:pt idx="35">
                  <c:v>2594.6044734740008</c:v>
                </c:pt>
                <c:pt idx="36">
                  <c:v>2589.6169811579998</c:v>
                </c:pt>
                <c:pt idx="37">
                  <c:v>2618.7031532740002</c:v>
                </c:pt>
                <c:pt idx="38">
                  <c:v>2540.1024509100002</c:v>
                </c:pt>
                <c:pt idx="39">
                  <c:v>2535.1702227170003</c:v>
                </c:pt>
                <c:pt idx="40">
                  <c:v>2597.4150319750001</c:v>
                </c:pt>
                <c:pt idx="41">
                  <c:v>2683.7665308769997</c:v>
                </c:pt>
                <c:pt idx="42">
                  <c:v>2672.1659929669995</c:v>
                </c:pt>
                <c:pt idx="43">
                  <c:v>2701.3786013340005</c:v>
                </c:pt>
                <c:pt idx="44">
                  <c:v>2721.8996238999998</c:v>
                </c:pt>
                <c:pt idx="45">
                  <c:v>2643.9009946840001</c:v>
                </c:pt>
                <c:pt idx="46">
                  <c:v>2650.608200997</c:v>
                </c:pt>
                <c:pt idx="47">
                  <c:v>2805.8215981940002</c:v>
                </c:pt>
                <c:pt idx="48">
                  <c:v>2671.202181959</c:v>
                </c:pt>
                <c:pt idx="49">
                  <c:v>2772.2320858679996</c:v>
                </c:pt>
                <c:pt idx="50">
                  <c:v>2911.9150151310005</c:v>
                </c:pt>
                <c:pt idx="51">
                  <c:v>2876.5411164379998</c:v>
                </c:pt>
                <c:pt idx="52">
                  <c:v>2869.6861413609995</c:v>
                </c:pt>
                <c:pt idx="53">
                  <c:v>2988.6796773680003</c:v>
                </c:pt>
                <c:pt idx="54">
                  <c:v>2925.9578873259998</c:v>
                </c:pt>
                <c:pt idx="55">
                  <c:v>2967.7325393079996</c:v>
                </c:pt>
                <c:pt idx="56">
                  <c:v>3068.0108933849997</c:v>
                </c:pt>
                <c:pt idx="57">
                  <c:v>3226.1496238720001</c:v>
                </c:pt>
                <c:pt idx="58">
                  <c:v>3329.557328205</c:v>
                </c:pt>
                <c:pt idx="59">
                  <c:v>3176.0553000539999</c:v>
                </c:pt>
                <c:pt idx="60">
                  <c:v>3114.2853720630001</c:v>
                </c:pt>
                <c:pt idx="61">
                  <c:v>3153.7617437589997</c:v>
                </c:pt>
                <c:pt idx="62">
                  <c:v>3107.3741030189999</c:v>
                </c:pt>
                <c:pt idx="63">
                  <c:v>2971.4452319419997</c:v>
                </c:pt>
                <c:pt idx="64">
                  <c:v>2935.7350444039998</c:v>
                </c:pt>
                <c:pt idx="65">
                  <c:v>3105.3006282079996</c:v>
                </c:pt>
                <c:pt idx="66">
                  <c:v>3067.3807163839997</c:v>
                </c:pt>
                <c:pt idx="67">
                  <c:v>3130.037295957</c:v>
                </c:pt>
                <c:pt idx="68">
                  <c:v>3380.8458239050969</c:v>
                </c:pt>
                <c:pt idx="69">
                  <c:v>3290.8440766990002</c:v>
                </c:pt>
                <c:pt idx="70">
                  <c:v>3252.0626526297851</c:v>
                </c:pt>
                <c:pt idx="71">
                  <c:v>3216.7188229919998</c:v>
                </c:pt>
                <c:pt idx="72">
                  <c:v>3174.552579141</c:v>
                </c:pt>
                <c:pt idx="73">
                  <c:v>3083.1565170270001</c:v>
                </c:pt>
                <c:pt idx="74">
                  <c:v>3200.42611493</c:v>
                </c:pt>
                <c:pt idx="75">
                  <c:v>3172.24010567</c:v>
                </c:pt>
                <c:pt idx="76">
                  <c:v>3122.7952985309998</c:v>
                </c:pt>
                <c:pt idx="77">
                  <c:v>3296.6871737959996</c:v>
                </c:pt>
                <c:pt idx="78">
                  <c:v>3333.7935720150003</c:v>
                </c:pt>
                <c:pt idx="79">
                  <c:v>3693.784038407</c:v>
                </c:pt>
                <c:pt idx="80">
                  <c:v>3487.3946488610004</c:v>
                </c:pt>
                <c:pt idx="81">
                  <c:v>3534.092421931</c:v>
                </c:pt>
                <c:pt idx="82">
                  <c:v>3753.6763490879998</c:v>
                </c:pt>
                <c:pt idx="83">
                  <c:v>3741.5916782479999</c:v>
                </c:pt>
                <c:pt idx="84">
                  <c:v>3640.1557074620005</c:v>
                </c:pt>
                <c:pt idx="85">
                  <c:v>3784.0068229709996</c:v>
                </c:pt>
                <c:pt idx="86">
                  <c:v>3954.5169609490003</c:v>
                </c:pt>
                <c:pt idx="87">
                  <c:v>3920.7905950890004</c:v>
                </c:pt>
                <c:pt idx="88">
                  <c:v>3974.333842685</c:v>
                </c:pt>
                <c:pt idx="89">
                  <c:v>4014.8611862760004</c:v>
                </c:pt>
                <c:pt idx="90">
                  <c:v>4058.460324917</c:v>
                </c:pt>
                <c:pt idx="91">
                  <c:v>4141.4212905269997</c:v>
                </c:pt>
                <c:pt idx="92">
                  <c:v>4396.1364443080001</c:v>
                </c:pt>
                <c:pt idx="93">
                  <c:v>4416.1022129339999</c:v>
                </c:pt>
                <c:pt idx="94">
                  <c:v>4359.746941509</c:v>
                </c:pt>
                <c:pt idx="95">
                  <c:v>4317.6425430890004</c:v>
                </c:pt>
                <c:pt idx="96">
                  <c:v>4381.3401735160005</c:v>
                </c:pt>
                <c:pt idx="97">
                  <c:v>4452.6248572139993</c:v>
                </c:pt>
                <c:pt idx="98">
                  <c:v>4551.9022971499999</c:v>
                </c:pt>
                <c:pt idx="99">
                  <c:v>4446.4742233510005</c:v>
                </c:pt>
                <c:pt idx="100">
                  <c:v>4580.0022047880002</c:v>
                </c:pt>
                <c:pt idx="101">
                  <c:v>4686.3317924869998</c:v>
                </c:pt>
                <c:pt idx="102">
                  <c:v>4747.5566415049998</c:v>
                </c:pt>
                <c:pt idx="103">
                  <c:v>4666.9326713299997</c:v>
                </c:pt>
                <c:pt idx="104">
                  <c:v>4764.6858344120001</c:v>
                </c:pt>
              </c:numCache>
            </c:numRef>
          </c:val>
          <c:smooth val="0"/>
          <c:extLst>
            <c:ext xmlns:c16="http://schemas.microsoft.com/office/drawing/2014/chart" uri="{C3380CC4-5D6E-409C-BE32-E72D297353CC}">
              <c16:uniqueId val="{00000001-0AA5-4215-BC40-C56470CA08F1}"/>
            </c:ext>
          </c:extLst>
        </c:ser>
        <c:dLbls>
          <c:showLegendKey val="0"/>
          <c:showVal val="0"/>
          <c:showCatName val="0"/>
          <c:showSerName val="0"/>
          <c:showPercent val="0"/>
          <c:showBubbleSize val="0"/>
        </c:dLbls>
        <c:marker val="1"/>
        <c:smooth val="0"/>
        <c:axId val="84179968"/>
        <c:axId val="84185856"/>
      </c:lineChart>
      <c:lineChart>
        <c:grouping val="standard"/>
        <c:varyColors val="0"/>
        <c:ser>
          <c:idx val="2"/>
          <c:order val="2"/>
          <c:tx>
            <c:strRef>
              <c:f>Serie_Graph3!$T$3</c:f>
              <c:strCache>
                <c:ptCount val="1"/>
                <c:pt idx="0">
                  <c:v>Passifs à caractère non monétaire (2)</c:v>
                </c:pt>
              </c:strCache>
            </c:strRef>
          </c:tx>
          <c:spPr>
            <a:ln w="28575" cap="rnd">
              <a:solidFill>
                <a:schemeClr val="accent3"/>
              </a:solidFill>
              <a:round/>
            </a:ln>
            <a:effectLst/>
          </c:spPr>
          <c:marker>
            <c:symbol val="none"/>
          </c:marker>
          <c:cat>
            <c:numRef>
              <c:f>Serie_Graph3!$Q$4:$Q$111</c:f>
              <c:numCache>
                <c:formatCode>m/d/yyyy</c:formatCode>
                <c:ptCount val="10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pt idx="35">
                  <c:v>43160</c:v>
                </c:pt>
                <c:pt idx="36">
                  <c:v>43191</c:v>
                </c:pt>
                <c:pt idx="37">
                  <c:v>43221</c:v>
                </c:pt>
                <c:pt idx="38">
                  <c:v>43252</c:v>
                </c:pt>
                <c:pt idx="39">
                  <c:v>43282</c:v>
                </c:pt>
                <c:pt idx="40">
                  <c:v>43313</c:v>
                </c:pt>
                <c:pt idx="41">
                  <c:v>43344</c:v>
                </c:pt>
                <c:pt idx="42">
                  <c:v>43374</c:v>
                </c:pt>
                <c:pt idx="43">
                  <c:v>43405</c:v>
                </c:pt>
                <c:pt idx="44">
                  <c:v>43435</c:v>
                </c:pt>
                <c:pt idx="45">
                  <c:v>43466</c:v>
                </c:pt>
                <c:pt idx="46">
                  <c:v>43497</c:v>
                </c:pt>
                <c:pt idx="47">
                  <c:v>43525</c:v>
                </c:pt>
                <c:pt idx="48">
                  <c:v>43556</c:v>
                </c:pt>
                <c:pt idx="49">
                  <c:v>43586</c:v>
                </c:pt>
                <c:pt idx="50">
                  <c:v>43617</c:v>
                </c:pt>
                <c:pt idx="51">
                  <c:v>43647</c:v>
                </c:pt>
                <c:pt idx="52">
                  <c:v>43678</c:v>
                </c:pt>
                <c:pt idx="53">
                  <c:v>43709</c:v>
                </c:pt>
                <c:pt idx="54">
                  <c:v>43739</c:v>
                </c:pt>
                <c:pt idx="55">
                  <c:v>43770</c:v>
                </c:pt>
                <c:pt idx="56">
                  <c:v>43800</c:v>
                </c:pt>
                <c:pt idx="57">
                  <c:v>43831</c:v>
                </c:pt>
                <c:pt idx="58">
                  <c:v>43862</c:v>
                </c:pt>
                <c:pt idx="59">
                  <c:v>43891</c:v>
                </c:pt>
                <c:pt idx="60">
                  <c:v>43922</c:v>
                </c:pt>
                <c:pt idx="61">
                  <c:v>43952</c:v>
                </c:pt>
                <c:pt idx="62">
                  <c:v>43983</c:v>
                </c:pt>
                <c:pt idx="63">
                  <c:v>44013</c:v>
                </c:pt>
                <c:pt idx="64">
                  <c:v>44044</c:v>
                </c:pt>
                <c:pt idx="65">
                  <c:v>44075</c:v>
                </c:pt>
                <c:pt idx="66">
                  <c:v>44105</c:v>
                </c:pt>
                <c:pt idx="67">
                  <c:v>44136</c:v>
                </c:pt>
                <c:pt idx="68">
                  <c:v>44166</c:v>
                </c:pt>
                <c:pt idx="69">
                  <c:v>44197</c:v>
                </c:pt>
                <c:pt idx="70">
                  <c:v>44228</c:v>
                </c:pt>
                <c:pt idx="71">
                  <c:v>44256</c:v>
                </c:pt>
                <c:pt idx="72">
                  <c:v>44287</c:v>
                </c:pt>
                <c:pt idx="73">
                  <c:v>44317</c:v>
                </c:pt>
                <c:pt idx="74">
                  <c:v>44348</c:v>
                </c:pt>
                <c:pt idx="75">
                  <c:v>44378</c:v>
                </c:pt>
                <c:pt idx="76">
                  <c:v>44409</c:v>
                </c:pt>
                <c:pt idx="77">
                  <c:v>44440</c:v>
                </c:pt>
                <c:pt idx="78">
                  <c:v>44470</c:v>
                </c:pt>
                <c:pt idx="79">
                  <c:v>44501</c:v>
                </c:pt>
                <c:pt idx="80">
                  <c:v>44531</c:v>
                </c:pt>
                <c:pt idx="81">
                  <c:v>44562</c:v>
                </c:pt>
                <c:pt idx="82">
                  <c:v>44593</c:v>
                </c:pt>
                <c:pt idx="83">
                  <c:v>44621</c:v>
                </c:pt>
                <c:pt idx="84">
                  <c:v>44652</c:v>
                </c:pt>
                <c:pt idx="85">
                  <c:v>44682</c:v>
                </c:pt>
                <c:pt idx="86">
                  <c:v>44713</c:v>
                </c:pt>
                <c:pt idx="87">
                  <c:v>44743</c:v>
                </c:pt>
                <c:pt idx="88">
                  <c:v>44774</c:v>
                </c:pt>
                <c:pt idx="89">
                  <c:v>44805</c:v>
                </c:pt>
                <c:pt idx="90">
                  <c:v>44835</c:v>
                </c:pt>
                <c:pt idx="91">
                  <c:v>44866</c:v>
                </c:pt>
                <c:pt idx="92">
                  <c:v>44896</c:v>
                </c:pt>
                <c:pt idx="93">
                  <c:v>44927</c:v>
                </c:pt>
                <c:pt idx="94">
                  <c:v>44958</c:v>
                </c:pt>
                <c:pt idx="95">
                  <c:v>44986</c:v>
                </c:pt>
                <c:pt idx="96">
                  <c:v>45017</c:v>
                </c:pt>
                <c:pt idx="97">
                  <c:v>45047</c:v>
                </c:pt>
                <c:pt idx="98">
                  <c:v>45078</c:v>
                </c:pt>
                <c:pt idx="99">
                  <c:v>45108</c:v>
                </c:pt>
                <c:pt idx="100">
                  <c:v>45139</c:v>
                </c:pt>
                <c:pt idx="101">
                  <c:v>45170</c:v>
                </c:pt>
                <c:pt idx="102">
                  <c:v>45200</c:v>
                </c:pt>
                <c:pt idx="103">
                  <c:v>45231</c:v>
                </c:pt>
                <c:pt idx="104">
                  <c:v>45261</c:v>
                </c:pt>
              </c:numCache>
            </c:numRef>
          </c:cat>
          <c:val>
            <c:numRef>
              <c:f>Serie_Graph3!$T$4:$T$111</c:f>
              <c:numCache>
                <c:formatCode>0.0</c:formatCode>
                <c:ptCount val="108"/>
                <c:pt idx="0">
                  <c:v>351.76411762499998</c:v>
                </c:pt>
                <c:pt idx="1">
                  <c:v>351.90127439499997</c:v>
                </c:pt>
                <c:pt idx="2">
                  <c:v>358.77724268899999</c:v>
                </c:pt>
                <c:pt idx="3">
                  <c:v>370.47243284799998</c:v>
                </c:pt>
                <c:pt idx="4">
                  <c:v>372.28836756499993</c:v>
                </c:pt>
                <c:pt idx="5">
                  <c:v>379.979883282</c:v>
                </c:pt>
                <c:pt idx="6">
                  <c:v>380.66671841000004</c:v>
                </c:pt>
                <c:pt idx="7">
                  <c:v>398.04716454400062</c:v>
                </c:pt>
                <c:pt idx="8">
                  <c:v>394.72472733499995</c:v>
                </c:pt>
                <c:pt idx="9">
                  <c:v>377.78092597699998</c:v>
                </c:pt>
                <c:pt idx="10">
                  <c:v>381.45406901299998</c:v>
                </c:pt>
                <c:pt idx="11">
                  <c:v>379.99496468500001</c:v>
                </c:pt>
                <c:pt idx="12">
                  <c:v>372.48328018800004</c:v>
                </c:pt>
                <c:pt idx="13">
                  <c:v>387.76748473100002</c:v>
                </c:pt>
                <c:pt idx="14">
                  <c:v>394.607343077</c:v>
                </c:pt>
                <c:pt idx="15">
                  <c:v>400.416610983</c:v>
                </c:pt>
                <c:pt idx="16">
                  <c:v>404.61039947299997</c:v>
                </c:pt>
                <c:pt idx="17">
                  <c:v>420.71912774500004</c:v>
                </c:pt>
                <c:pt idx="18">
                  <c:v>419.81314606699993</c:v>
                </c:pt>
                <c:pt idx="19">
                  <c:v>433.09189092600002</c:v>
                </c:pt>
                <c:pt idx="20">
                  <c:v>487.006033011</c:v>
                </c:pt>
                <c:pt idx="21">
                  <c:v>475.96506255000003</c:v>
                </c:pt>
                <c:pt idx="22">
                  <c:v>479.85301201300001</c:v>
                </c:pt>
                <c:pt idx="23">
                  <c:v>481.59625178599998</c:v>
                </c:pt>
                <c:pt idx="24">
                  <c:v>464.76048516800006</c:v>
                </c:pt>
                <c:pt idx="25">
                  <c:v>476.21448313499997</c:v>
                </c:pt>
                <c:pt idx="26">
                  <c:v>503.6404388200001</c:v>
                </c:pt>
                <c:pt idx="27">
                  <c:v>504.67827017999997</c:v>
                </c:pt>
                <c:pt idx="28">
                  <c:v>526.50471518500001</c:v>
                </c:pt>
                <c:pt idx="29">
                  <c:v>529.239709855</c:v>
                </c:pt>
                <c:pt idx="30">
                  <c:v>545.41319115900001</c:v>
                </c:pt>
                <c:pt idx="31">
                  <c:v>554.03965761500001</c:v>
                </c:pt>
                <c:pt idx="32">
                  <c:v>571.34283875799997</c:v>
                </c:pt>
                <c:pt idx="33">
                  <c:v>680.92315385300003</c:v>
                </c:pt>
                <c:pt idx="34">
                  <c:v>675.80799599700003</c:v>
                </c:pt>
                <c:pt idx="35">
                  <c:v>652.16133164500002</c:v>
                </c:pt>
                <c:pt idx="36">
                  <c:v>616.28834292500005</c:v>
                </c:pt>
                <c:pt idx="37">
                  <c:v>615.81612464</c:v>
                </c:pt>
                <c:pt idx="38">
                  <c:v>582.11624254200001</c:v>
                </c:pt>
                <c:pt idx="39">
                  <c:v>564.01481529000012</c:v>
                </c:pt>
                <c:pt idx="40">
                  <c:v>568.26638656199998</c:v>
                </c:pt>
                <c:pt idx="41">
                  <c:v>578.66076109499932</c:v>
                </c:pt>
                <c:pt idx="42">
                  <c:v>583.78364952799939</c:v>
                </c:pt>
                <c:pt idx="43">
                  <c:v>611.73154596400002</c:v>
                </c:pt>
                <c:pt idx="44">
                  <c:v>630.06899696300002</c:v>
                </c:pt>
                <c:pt idx="45">
                  <c:v>639.38607832999992</c:v>
                </c:pt>
                <c:pt idx="46">
                  <c:v>639.42941777700003</c:v>
                </c:pt>
                <c:pt idx="47">
                  <c:v>649.07341690999999</c:v>
                </c:pt>
                <c:pt idx="48">
                  <c:v>629.90006438699993</c:v>
                </c:pt>
                <c:pt idx="49">
                  <c:v>644.86927013000002</c:v>
                </c:pt>
                <c:pt idx="50">
                  <c:v>686.61569364699994</c:v>
                </c:pt>
                <c:pt idx="51">
                  <c:v>693.33712146900007</c:v>
                </c:pt>
                <c:pt idx="52">
                  <c:v>688.68248827800016</c:v>
                </c:pt>
                <c:pt idx="53">
                  <c:v>717.61284506899995</c:v>
                </c:pt>
                <c:pt idx="54">
                  <c:v>729.03457225900002</c:v>
                </c:pt>
                <c:pt idx="55">
                  <c:v>735.527627059</c:v>
                </c:pt>
                <c:pt idx="56">
                  <c:v>719.81468277199997</c:v>
                </c:pt>
                <c:pt idx="57">
                  <c:v>704.0784050819999</c:v>
                </c:pt>
                <c:pt idx="58">
                  <c:v>703.30410308300065</c:v>
                </c:pt>
                <c:pt idx="59">
                  <c:v>709.31704002000151</c:v>
                </c:pt>
                <c:pt idx="60">
                  <c:v>736.46538613799999</c:v>
                </c:pt>
                <c:pt idx="61">
                  <c:v>753.47806763699998</c:v>
                </c:pt>
                <c:pt idx="62">
                  <c:v>790.32951198399996</c:v>
                </c:pt>
                <c:pt idx="63">
                  <c:v>801.73173338999993</c:v>
                </c:pt>
                <c:pt idx="64">
                  <c:v>815.48881685299989</c:v>
                </c:pt>
                <c:pt idx="65">
                  <c:v>837.18193674899999</c:v>
                </c:pt>
                <c:pt idx="66">
                  <c:v>850.774014502</c:v>
                </c:pt>
                <c:pt idx="67">
                  <c:v>846.13002063900001</c:v>
                </c:pt>
                <c:pt idx="68">
                  <c:v>842.29544964599984</c:v>
                </c:pt>
                <c:pt idx="69">
                  <c:v>849.43867976299953</c:v>
                </c:pt>
                <c:pt idx="70">
                  <c:v>866.0751277060001</c:v>
                </c:pt>
                <c:pt idx="71">
                  <c:v>863.43405237999991</c:v>
                </c:pt>
                <c:pt idx="72">
                  <c:v>850.31781818199988</c:v>
                </c:pt>
                <c:pt idx="73">
                  <c:v>850.54875293099917</c:v>
                </c:pt>
                <c:pt idx="74">
                  <c:v>875.24170235899987</c:v>
                </c:pt>
                <c:pt idx="75">
                  <c:v>950.14307247199986</c:v>
                </c:pt>
                <c:pt idx="76">
                  <c:v>897.23728851800001</c:v>
                </c:pt>
                <c:pt idx="77">
                  <c:v>932.78660454099997</c:v>
                </c:pt>
                <c:pt idx="78">
                  <c:v>936.84175696700004</c:v>
                </c:pt>
                <c:pt idx="79">
                  <c:v>948.27349606899998</c:v>
                </c:pt>
                <c:pt idx="80">
                  <c:v>1020.1041598080001</c:v>
                </c:pt>
                <c:pt idx="81">
                  <c:v>1023.0902241270001</c:v>
                </c:pt>
                <c:pt idx="82">
                  <c:v>1032.1833925619999</c:v>
                </c:pt>
                <c:pt idx="83">
                  <c:v>1079.9953578300001</c:v>
                </c:pt>
                <c:pt idx="84">
                  <c:v>1057.4272607299999</c:v>
                </c:pt>
                <c:pt idx="85">
                  <c:v>1051.1620466519998</c:v>
                </c:pt>
                <c:pt idx="86">
                  <c:v>1122.2492673640002</c:v>
                </c:pt>
                <c:pt idx="87">
                  <c:v>1122.010411798</c:v>
                </c:pt>
                <c:pt idx="88">
                  <c:v>1112.6084802410001</c:v>
                </c:pt>
                <c:pt idx="89">
                  <c:v>1237.963407407</c:v>
                </c:pt>
                <c:pt idx="90">
                  <c:v>1202.541161373</c:v>
                </c:pt>
                <c:pt idx="91">
                  <c:v>1236.6462403869987</c:v>
                </c:pt>
                <c:pt idx="92">
                  <c:v>1187.8806726909993</c:v>
                </c:pt>
                <c:pt idx="93">
                  <c:v>1164.405161895</c:v>
                </c:pt>
                <c:pt idx="94">
                  <c:v>1090.068858410998</c:v>
                </c:pt>
                <c:pt idx="95">
                  <c:v>1053.428432729</c:v>
                </c:pt>
                <c:pt idx="96">
                  <c:v>1155.3678230309997</c:v>
                </c:pt>
                <c:pt idx="97">
                  <c:v>1034.6412519969995</c:v>
                </c:pt>
                <c:pt idx="98">
                  <c:v>1262.5841128569991</c:v>
                </c:pt>
                <c:pt idx="99">
                  <c:v>1237.924517607001</c:v>
                </c:pt>
                <c:pt idx="100">
                  <c:v>1240.480783813</c:v>
                </c:pt>
                <c:pt idx="101">
                  <c:v>1290.1788243949986</c:v>
                </c:pt>
                <c:pt idx="102">
                  <c:v>1260.232426416</c:v>
                </c:pt>
                <c:pt idx="103">
                  <c:v>1317.60696057</c:v>
                </c:pt>
                <c:pt idx="104">
                  <c:v>1370.4811924599999</c:v>
                </c:pt>
              </c:numCache>
            </c:numRef>
          </c:val>
          <c:smooth val="0"/>
          <c:extLst>
            <c:ext xmlns:c16="http://schemas.microsoft.com/office/drawing/2014/chart" uri="{C3380CC4-5D6E-409C-BE32-E72D297353CC}">
              <c16:uniqueId val="{00000002-0AA5-4215-BC40-C56470CA08F1}"/>
            </c:ext>
          </c:extLst>
        </c:ser>
        <c:dLbls>
          <c:showLegendKey val="0"/>
          <c:showVal val="0"/>
          <c:showCatName val="0"/>
          <c:showSerName val="0"/>
          <c:showPercent val="0"/>
          <c:showBubbleSize val="0"/>
        </c:dLbls>
        <c:marker val="1"/>
        <c:smooth val="0"/>
        <c:axId val="84197376"/>
        <c:axId val="84187392"/>
      </c:lineChart>
      <c:dateAx>
        <c:axId val="84179968"/>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4500000" spcFirstLastPara="1" vertOverflow="ellipsis" wrap="square" anchor="ctr" anchorCtr="1"/>
          <a:lstStyle/>
          <a:p>
            <a:pPr>
              <a:defRPr sz="700" b="1" i="0" u="none" strike="noStrike" kern="1200" baseline="0">
                <a:solidFill>
                  <a:sysClr val="windowText" lastClr="000000"/>
                </a:solidFill>
                <a:latin typeface="+mn-lt"/>
                <a:ea typeface="+mn-ea"/>
                <a:cs typeface="+mn-cs"/>
              </a:defRPr>
            </a:pPr>
            <a:endParaRPr lang="fr-BF"/>
          </a:p>
        </c:txPr>
        <c:crossAx val="84185856"/>
        <c:crosses val="autoZero"/>
        <c:auto val="1"/>
        <c:lblOffset val="100"/>
        <c:baseTimeUnit val="months"/>
        <c:majorUnit val="1"/>
        <c:majorTimeUnit val="months"/>
      </c:dateAx>
      <c:valAx>
        <c:axId val="841858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4179968"/>
        <c:crosses val="autoZero"/>
        <c:crossBetween val="between"/>
      </c:valAx>
      <c:valAx>
        <c:axId val="8418739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4197376"/>
        <c:crosses val="max"/>
        <c:crossBetween val="between"/>
      </c:valAx>
      <c:dateAx>
        <c:axId val="84197376"/>
        <c:scaling>
          <c:orientation val="minMax"/>
        </c:scaling>
        <c:delete val="1"/>
        <c:axPos val="b"/>
        <c:numFmt formatCode="m/d/yyyy" sourceLinked="1"/>
        <c:majorTickMark val="out"/>
        <c:minorTickMark val="none"/>
        <c:tickLblPos val="nextTo"/>
        <c:crossAx val="84187392"/>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a:solidFill>
                  <a:sysClr val="windowText" lastClr="000000"/>
                </a:solidFill>
              </a:rPr>
              <a:t>Evolution des agrégats de monnaie - Encours en milliards FCFA</a:t>
            </a:r>
          </a:p>
        </c:rich>
      </c:tx>
      <c:overlay val="0"/>
      <c:spPr>
        <a:solidFill>
          <a:sysClr val="window" lastClr="FFFFFF"/>
        </a:solidFill>
        <a:ln>
          <a:noFill/>
        </a:ln>
        <a:effectLst/>
      </c:spPr>
    </c:title>
    <c:autoTitleDeleted val="0"/>
    <c:plotArea>
      <c:layout>
        <c:manualLayout>
          <c:layoutTarget val="inner"/>
          <c:xMode val="edge"/>
          <c:yMode val="edge"/>
          <c:x val="8.1003571556880594E-2"/>
          <c:y val="0.13602553797504638"/>
          <c:w val="0.89162000490045967"/>
          <c:h val="0.51611681393676256"/>
        </c:manualLayout>
      </c:layout>
      <c:lineChart>
        <c:grouping val="standard"/>
        <c:varyColors val="0"/>
        <c:ser>
          <c:idx val="2"/>
          <c:order val="0"/>
          <c:tx>
            <c:strRef>
              <c:f>Serie_Graph3!$U$3</c:f>
              <c:strCache>
                <c:ptCount val="1"/>
                <c:pt idx="0">
                  <c:v>    Créances nettes sur l'Administration Centrale</c:v>
                </c:pt>
              </c:strCache>
            </c:strRef>
          </c:tx>
          <c:spPr>
            <a:ln w="28575" cap="rnd">
              <a:solidFill>
                <a:schemeClr val="accent3"/>
              </a:solidFill>
              <a:round/>
            </a:ln>
            <a:effectLst/>
          </c:spPr>
          <c:marker>
            <c:symbol val="none"/>
          </c:marker>
          <c:cat>
            <c:numRef>
              <c:f>Serie_Graph3!$Q$4:$Q$111</c:f>
              <c:numCache>
                <c:formatCode>m/d/yyyy</c:formatCode>
                <c:ptCount val="10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pt idx="35">
                  <c:v>43160</c:v>
                </c:pt>
                <c:pt idx="36">
                  <c:v>43191</c:v>
                </c:pt>
                <c:pt idx="37">
                  <c:v>43221</c:v>
                </c:pt>
                <c:pt idx="38">
                  <c:v>43252</c:v>
                </c:pt>
                <c:pt idx="39">
                  <c:v>43282</c:v>
                </c:pt>
                <c:pt idx="40">
                  <c:v>43313</c:v>
                </c:pt>
                <c:pt idx="41">
                  <c:v>43344</c:v>
                </c:pt>
                <c:pt idx="42">
                  <c:v>43374</c:v>
                </c:pt>
                <c:pt idx="43">
                  <c:v>43405</c:v>
                </c:pt>
                <c:pt idx="44">
                  <c:v>43435</c:v>
                </c:pt>
                <c:pt idx="45">
                  <c:v>43466</c:v>
                </c:pt>
                <c:pt idx="46">
                  <c:v>43497</c:v>
                </c:pt>
                <c:pt idx="47">
                  <c:v>43525</c:v>
                </c:pt>
                <c:pt idx="48">
                  <c:v>43556</c:v>
                </c:pt>
                <c:pt idx="49">
                  <c:v>43586</c:v>
                </c:pt>
                <c:pt idx="50">
                  <c:v>43617</c:v>
                </c:pt>
                <c:pt idx="51">
                  <c:v>43647</c:v>
                </c:pt>
                <c:pt idx="52">
                  <c:v>43678</c:v>
                </c:pt>
                <c:pt idx="53">
                  <c:v>43709</c:v>
                </c:pt>
                <c:pt idx="54">
                  <c:v>43739</c:v>
                </c:pt>
                <c:pt idx="55">
                  <c:v>43770</c:v>
                </c:pt>
                <c:pt idx="56">
                  <c:v>43800</c:v>
                </c:pt>
                <c:pt idx="57">
                  <c:v>43831</c:v>
                </c:pt>
                <c:pt idx="58">
                  <c:v>43862</c:v>
                </c:pt>
                <c:pt idx="59">
                  <c:v>43891</c:v>
                </c:pt>
                <c:pt idx="60">
                  <c:v>43922</c:v>
                </c:pt>
                <c:pt idx="61">
                  <c:v>43952</c:v>
                </c:pt>
                <c:pt idx="62">
                  <c:v>43983</c:v>
                </c:pt>
                <c:pt idx="63">
                  <c:v>44013</c:v>
                </c:pt>
                <c:pt idx="64">
                  <c:v>44044</c:v>
                </c:pt>
                <c:pt idx="65">
                  <c:v>44075</c:v>
                </c:pt>
                <c:pt idx="66">
                  <c:v>44105</c:v>
                </c:pt>
                <c:pt idx="67">
                  <c:v>44136</c:v>
                </c:pt>
                <c:pt idx="68">
                  <c:v>44166</c:v>
                </c:pt>
                <c:pt idx="69">
                  <c:v>44197</c:v>
                </c:pt>
                <c:pt idx="70">
                  <c:v>44228</c:v>
                </c:pt>
                <c:pt idx="71">
                  <c:v>44256</c:v>
                </c:pt>
                <c:pt idx="72">
                  <c:v>44287</c:v>
                </c:pt>
                <c:pt idx="73">
                  <c:v>44317</c:v>
                </c:pt>
                <c:pt idx="74">
                  <c:v>44348</c:v>
                </c:pt>
                <c:pt idx="75">
                  <c:v>44378</c:v>
                </c:pt>
                <c:pt idx="76">
                  <c:v>44409</c:v>
                </c:pt>
                <c:pt idx="77">
                  <c:v>44440</c:v>
                </c:pt>
                <c:pt idx="78">
                  <c:v>44470</c:v>
                </c:pt>
                <c:pt idx="79">
                  <c:v>44501</c:v>
                </c:pt>
                <c:pt idx="80">
                  <c:v>44531</c:v>
                </c:pt>
                <c:pt idx="81">
                  <c:v>44562</c:v>
                </c:pt>
                <c:pt idx="82">
                  <c:v>44593</c:v>
                </c:pt>
                <c:pt idx="83">
                  <c:v>44621</c:v>
                </c:pt>
                <c:pt idx="84">
                  <c:v>44652</c:v>
                </c:pt>
                <c:pt idx="85">
                  <c:v>44682</c:v>
                </c:pt>
                <c:pt idx="86">
                  <c:v>44713</c:v>
                </c:pt>
                <c:pt idx="87">
                  <c:v>44743</c:v>
                </c:pt>
                <c:pt idx="88">
                  <c:v>44774</c:v>
                </c:pt>
                <c:pt idx="89">
                  <c:v>44805</c:v>
                </c:pt>
                <c:pt idx="90">
                  <c:v>44835</c:v>
                </c:pt>
                <c:pt idx="91">
                  <c:v>44866</c:v>
                </c:pt>
                <c:pt idx="92">
                  <c:v>44896</c:v>
                </c:pt>
                <c:pt idx="93">
                  <c:v>44927</c:v>
                </c:pt>
                <c:pt idx="94">
                  <c:v>44958</c:v>
                </c:pt>
                <c:pt idx="95">
                  <c:v>44986</c:v>
                </c:pt>
                <c:pt idx="96">
                  <c:v>45017</c:v>
                </c:pt>
                <c:pt idx="97">
                  <c:v>45047</c:v>
                </c:pt>
                <c:pt idx="98">
                  <c:v>45078</c:v>
                </c:pt>
                <c:pt idx="99">
                  <c:v>45108</c:v>
                </c:pt>
                <c:pt idx="100">
                  <c:v>45139</c:v>
                </c:pt>
                <c:pt idx="101">
                  <c:v>45170</c:v>
                </c:pt>
                <c:pt idx="102">
                  <c:v>45200</c:v>
                </c:pt>
                <c:pt idx="103">
                  <c:v>45231</c:v>
                </c:pt>
                <c:pt idx="104">
                  <c:v>45261</c:v>
                </c:pt>
              </c:numCache>
            </c:numRef>
          </c:cat>
          <c:val>
            <c:numRef>
              <c:f>Serie_Graph3!$U$4:$U$111</c:f>
              <c:numCache>
                <c:formatCode>0.0</c:formatCode>
                <c:ptCount val="108"/>
                <c:pt idx="0">
                  <c:v>37.079322729999994</c:v>
                </c:pt>
                <c:pt idx="1">
                  <c:v>24.91109748200001</c:v>
                </c:pt>
                <c:pt idx="2">
                  <c:v>14.844508336000015</c:v>
                </c:pt>
                <c:pt idx="3">
                  <c:v>-25.522233197000013</c:v>
                </c:pt>
                <c:pt idx="4">
                  <c:v>-75.43855176400001</c:v>
                </c:pt>
                <c:pt idx="5">
                  <c:v>-33.00151539899997</c:v>
                </c:pt>
                <c:pt idx="6">
                  <c:v>-37.399164086999917</c:v>
                </c:pt>
                <c:pt idx="7">
                  <c:v>14.048835156000024</c:v>
                </c:pt>
                <c:pt idx="8">
                  <c:v>17.871258429999983</c:v>
                </c:pt>
                <c:pt idx="9">
                  <c:v>-18.720559709999989</c:v>
                </c:pt>
                <c:pt idx="10">
                  <c:v>34.539178912000025</c:v>
                </c:pt>
                <c:pt idx="11">
                  <c:v>35.218995739999997</c:v>
                </c:pt>
                <c:pt idx="12">
                  <c:v>20.424483127999959</c:v>
                </c:pt>
                <c:pt idx="13">
                  <c:v>21.966848249999991</c:v>
                </c:pt>
                <c:pt idx="14">
                  <c:v>-3.4380817659999536</c:v>
                </c:pt>
                <c:pt idx="15">
                  <c:v>-43.826710791000039</c:v>
                </c:pt>
                <c:pt idx="16">
                  <c:v>-39.413518226000036</c:v>
                </c:pt>
                <c:pt idx="17">
                  <c:v>-12.477470770000068</c:v>
                </c:pt>
                <c:pt idx="18">
                  <c:v>-41.308974867000003</c:v>
                </c:pt>
                <c:pt idx="19">
                  <c:v>12.529201395000015</c:v>
                </c:pt>
                <c:pt idx="20">
                  <c:v>-88.478374844000058</c:v>
                </c:pt>
                <c:pt idx="21">
                  <c:v>-67.813989691000018</c:v>
                </c:pt>
                <c:pt idx="22">
                  <c:v>-6.3047001769999866</c:v>
                </c:pt>
                <c:pt idx="23">
                  <c:v>-19.762168720000062</c:v>
                </c:pt>
                <c:pt idx="24">
                  <c:v>-41.066484185000064</c:v>
                </c:pt>
                <c:pt idx="25">
                  <c:v>-70.50423609799995</c:v>
                </c:pt>
                <c:pt idx="26">
                  <c:v>-19.947977449000007</c:v>
                </c:pt>
                <c:pt idx="27">
                  <c:v>5.6714347589999932</c:v>
                </c:pt>
                <c:pt idx="28">
                  <c:v>-39.274681554000011</c:v>
                </c:pt>
                <c:pt idx="29">
                  <c:v>-6.9064918540000235</c:v>
                </c:pt>
                <c:pt idx="30">
                  <c:v>-95.16653980600006</c:v>
                </c:pt>
                <c:pt idx="31">
                  <c:v>39.023979132999926</c:v>
                </c:pt>
                <c:pt idx="32">
                  <c:v>66.063862190000023</c:v>
                </c:pt>
                <c:pt idx="33">
                  <c:v>370.23923052999999</c:v>
                </c:pt>
                <c:pt idx="34">
                  <c:v>139.15318674500006</c:v>
                </c:pt>
                <c:pt idx="35">
                  <c:v>123.27655343700005</c:v>
                </c:pt>
                <c:pt idx="36">
                  <c:v>99.704777217000014</c:v>
                </c:pt>
                <c:pt idx="37">
                  <c:v>135.27649425700002</c:v>
                </c:pt>
                <c:pt idx="38">
                  <c:v>-9.0647325489999986</c:v>
                </c:pt>
                <c:pt idx="39">
                  <c:v>14.336826566999989</c:v>
                </c:pt>
                <c:pt idx="40">
                  <c:v>54.369214928000048</c:v>
                </c:pt>
                <c:pt idx="41">
                  <c:v>78.548184442000021</c:v>
                </c:pt>
                <c:pt idx="42">
                  <c:v>73.850666772000039</c:v>
                </c:pt>
                <c:pt idx="43">
                  <c:v>98.108576945999957</c:v>
                </c:pt>
                <c:pt idx="44">
                  <c:v>57.226900240000049</c:v>
                </c:pt>
                <c:pt idx="45">
                  <c:v>0.59524108500006889</c:v>
                </c:pt>
                <c:pt idx="46">
                  <c:v>12.492446313000016</c:v>
                </c:pt>
                <c:pt idx="47">
                  <c:v>90.646441041999964</c:v>
                </c:pt>
                <c:pt idx="48">
                  <c:v>-38.758282999000016</c:v>
                </c:pt>
                <c:pt idx="49">
                  <c:v>-52.780746751000095</c:v>
                </c:pt>
                <c:pt idx="50">
                  <c:v>27.193173197000078</c:v>
                </c:pt>
                <c:pt idx="51">
                  <c:v>-27.181611855000028</c:v>
                </c:pt>
                <c:pt idx="52">
                  <c:v>-37.893976761000033</c:v>
                </c:pt>
                <c:pt idx="53">
                  <c:v>64.570710509000023</c:v>
                </c:pt>
                <c:pt idx="54">
                  <c:v>42.963796608999985</c:v>
                </c:pt>
                <c:pt idx="55">
                  <c:v>107.48071974399993</c:v>
                </c:pt>
                <c:pt idx="56">
                  <c:v>151.84025188999999</c:v>
                </c:pt>
                <c:pt idx="57">
                  <c:v>332.32602114200006</c:v>
                </c:pt>
                <c:pt idx="58">
                  <c:v>374.38322531500012</c:v>
                </c:pt>
                <c:pt idx="59">
                  <c:v>198.15003639800003</c:v>
                </c:pt>
                <c:pt idx="60">
                  <c:v>26.391159313999964</c:v>
                </c:pt>
                <c:pt idx="61">
                  <c:v>78.52592805200004</c:v>
                </c:pt>
                <c:pt idx="62">
                  <c:v>16.743145256000048</c:v>
                </c:pt>
                <c:pt idx="63">
                  <c:v>-67.239152201000081</c:v>
                </c:pt>
                <c:pt idx="64">
                  <c:v>-52.391508605999945</c:v>
                </c:pt>
                <c:pt idx="65">
                  <c:v>77.154046679999865</c:v>
                </c:pt>
                <c:pt idx="66">
                  <c:v>51.991892055000065</c:v>
                </c:pt>
                <c:pt idx="67">
                  <c:v>112.53908638899993</c:v>
                </c:pt>
                <c:pt idx="68">
                  <c:v>192.37966617509667</c:v>
                </c:pt>
                <c:pt idx="69">
                  <c:v>172.55246757500015</c:v>
                </c:pt>
                <c:pt idx="70">
                  <c:v>161.99685409878546</c:v>
                </c:pt>
                <c:pt idx="71">
                  <c:v>136.16543067900002</c:v>
                </c:pt>
                <c:pt idx="72">
                  <c:v>101.73259242299986</c:v>
                </c:pt>
                <c:pt idx="73">
                  <c:v>-19.434005538000008</c:v>
                </c:pt>
                <c:pt idx="74">
                  <c:v>-23.426340929999981</c:v>
                </c:pt>
                <c:pt idx="75">
                  <c:v>-154.40305045099996</c:v>
                </c:pt>
                <c:pt idx="76">
                  <c:v>-35.38508922900013</c:v>
                </c:pt>
                <c:pt idx="77">
                  <c:v>10.2352020350001</c:v>
                </c:pt>
                <c:pt idx="78">
                  <c:v>31.414943262000122</c:v>
                </c:pt>
                <c:pt idx="79">
                  <c:v>412.56356510300003</c:v>
                </c:pt>
                <c:pt idx="80">
                  <c:v>-66.50763390100002</c:v>
                </c:pt>
                <c:pt idx="81">
                  <c:v>34.249343700999994</c:v>
                </c:pt>
                <c:pt idx="82">
                  <c:v>199.05473839299989</c:v>
                </c:pt>
                <c:pt idx="83">
                  <c:v>135.87469418499995</c:v>
                </c:pt>
                <c:pt idx="84">
                  <c:v>-16.377977840999954</c:v>
                </c:pt>
                <c:pt idx="85">
                  <c:v>60.933205928000071</c:v>
                </c:pt>
                <c:pt idx="86">
                  <c:v>79.667420164000049</c:v>
                </c:pt>
                <c:pt idx="87">
                  <c:v>28.152355716000166</c:v>
                </c:pt>
                <c:pt idx="88">
                  <c:v>-9.6585562390000064</c:v>
                </c:pt>
                <c:pt idx="89">
                  <c:v>126.00002436700009</c:v>
                </c:pt>
                <c:pt idx="90">
                  <c:v>19.339464270000128</c:v>
                </c:pt>
                <c:pt idx="91">
                  <c:v>49.122918797000132</c:v>
                </c:pt>
                <c:pt idx="92">
                  <c:v>142.06168322100001</c:v>
                </c:pt>
                <c:pt idx="93">
                  <c:v>355.84109165100006</c:v>
                </c:pt>
                <c:pt idx="94">
                  <c:v>350.59662003399995</c:v>
                </c:pt>
                <c:pt idx="95">
                  <c:v>333.10850421300006</c:v>
                </c:pt>
                <c:pt idx="96">
                  <c:v>322.1210702460001</c:v>
                </c:pt>
                <c:pt idx="97">
                  <c:v>306.5187739779999</c:v>
                </c:pt>
                <c:pt idx="98">
                  <c:v>399.33740789299998</c:v>
                </c:pt>
                <c:pt idx="99">
                  <c:v>275.76523644500014</c:v>
                </c:pt>
                <c:pt idx="100">
                  <c:v>385.370591816</c:v>
                </c:pt>
                <c:pt idx="101">
                  <c:v>341.3764939460001</c:v>
                </c:pt>
                <c:pt idx="102">
                  <c:v>514.32491412399986</c:v>
                </c:pt>
                <c:pt idx="103">
                  <c:v>385.791473747</c:v>
                </c:pt>
                <c:pt idx="104">
                  <c:v>443.46075541800013</c:v>
                </c:pt>
              </c:numCache>
            </c:numRef>
          </c:val>
          <c:smooth val="0"/>
          <c:extLst>
            <c:ext xmlns:c16="http://schemas.microsoft.com/office/drawing/2014/chart" uri="{C3380CC4-5D6E-409C-BE32-E72D297353CC}">
              <c16:uniqueId val="{00000000-2E19-41F5-B6C7-1E0CA161A043}"/>
            </c:ext>
          </c:extLst>
        </c:ser>
        <c:dLbls>
          <c:showLegendKey val="0"/>
          <c:showVal val="0"/>
          <c:showCatName val="0"/>
          <c:showSerName val="0"/>
          <c:showPercent val="0"/>
          <c:showBubbleSize val="0"/>
        </c:dLbls>
        <c:smooth val="0"/>
        <c:axId val="84233216"/>
        <c:axId val="84235008"/>
      </c:lineChart>
      <c:dateAx>
        <c:axId val="84233216"/>
        <c:scaling>
          <c:orientation val="minMax"/>
        </c:scaling>
        <c:delete val="0"/>
        <c:axPos val="b"/>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4500000" spcFirstLastPara="1" vertOverflow="ellipsis" wrap="square" anchor="ctr" anchorCtr="1"/>
          <a:lstStyle/>
          <a:p>
            <a:pPr>
              <a:defRPr sz="700" b="1" i="0" u="none" strike="noStrike" kern="1200" baseline="0">
                <a:solidFill>
                  <a:sysClr val="windowText" lastClr="000000"/>
                </a:solidFill>
                <a:latin typeface="+mn-lt"/>
                <a:ea typeface="+mn-ea"/>
                <a:cs typeface="+mn-cs"/>
              </a:defRPr>
            </a:pPr>
            <a:endParaRPr lang="fr-BF"/>
          </a:p>
        </c:txPr>
        <c:crossAx val="84235008"/>
        <c:crosses val="autoZero"/>
        <c:auto val="1"/>
        <c:lblOffset val="100"/>
        <c:baseTimeUnit val="months"/>
        <c:majorUnit val="1"/>
        <c:majorTimeUnit val="months"/>
      </c:dateAx>
      <c:valAx>
        <c:axId val="84235008"/>
        <c:scaling>
          <c:orientation val="minMax"/>
          <c:max val="400"/>
          <c:min val="-16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4233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a:solidFill>
                  <a:sysClr val="windowText" lastClr="000000"/>
                </a:solidFill>
              </a:rPr>
              <a:t>Evolution de la situation de la banque centrale</a:t>
            </a:r>
          </a:p>
        </c:rich>
      </c:tx>
      <c:layout>
        <c:manualLayout>
          <c:xMode val="edge"/>
          <c:yMode val="edge"/>
          <c:x val="4.8017661423859173E-2"/>
          <c:y val="4.0623347410347109E-3"/>
        </c:manualLayout>
      </c:layout>
      <c:overlay val="0"/>
      <c:spPr>
        <a:solidFill>
          <a:sysClr val="window" lastClr="FFFFFF"/>
        </a:solidFill>
        <a:ln>
          <a:noFill/>
        </a:ln>
        <a:effectLst/>
      </c:spPr>
    </c:title>
    <c:autoTitleDeleted val="0"/>
    <c:plotArea>
      <c:layout>
        <c:manualLayout>
          <c:layoutTarget val="inner"/>
          <c:xMode val="edge"/>
          <c:yMode val="edge"/>
          <c:x val="9.6309049065614646E-2"/>
          <c:y val="5.0947821095817872E-2"/>
          <c:w val="0.81173928109990801"/>
          <c:h val="0.60495949637449586"/>
        </c:manualLayout>
      </c:layout>
      <c:lineChart>
        <c:grouping val="standard"/>
        <c:varyColors val="0"/>
        <c:ser>
          <c:idx val="0"/>
          <c:order val="0"/>
          <c:tx>
            <c:strRef>
              <c:f>Serie_Graph3!$V$3</c:f>
              <c:strCache>
                <c:ptCount val="1"/>
                <c:pt idx="0">
                  <c:v>Actifs extérieurs nets</c:v>
                </c:pt>
              </c:strCache>
            </c:strRef>
          </c:tx>
          <c:spPr>
            <a:ln w="28575" cap="rnd">
              <a:solidFill>
                <a:schemeClr val="accent1"/>
              </a:solidFill>
              <a:round/>
            </a:ln>
            <a:effectLst/>
          </c:spPr>
          <c:marker>
            <c:symbol val="none"/>
          </c:marker>
          <c:cat>
            <c:numRef>
              <c:f>Serie_Graph3!$Q$4:$Q$111</c:f>
              <c:numCache>
                <c:formatCode>m/d/yyyy</c:formatCode>
                <c:ptCount val="10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pt idx="35">
                  <c:v>43160</c:v>
                </c:pt>
                <c:pt idx="36">
                  <c:v>43191</c:v>
                </c:pt>
                <c:pt idx="37">
                  <c:v>43221</c:v>
                </c:pt>
                <c:pt idx="38">
                  <c:v>43252</c:v>
                </c:pt>
                <c:pt idx="39">
                  <c:v>43282</c:v>
                </c:pt>
                <c:pt idx="40">
                  <c:v>43313</c:v>
                </c:pt>
                <c:pt idx="41">
                  <c:v>43344</c:v>
                </c:pt>
                <c:pt idx="42">
                  <c:v>43374</c:v>
                </c:pt>
                <c:pt idx="43">
                  <c:v>43405</c:v>
                </c:pt>
                <c:pt idx="44">
                  <c:v>43435</c:v>
                </c:pt>
                <c:pt idx="45">
                  <c:v>43466</c:v>
                </c:pt>
                <c:pt idx="46">
                  <c:v>43497</c:v>
                </c:pt>
                <c:pt idx="47">
                  <c:v>43525</c:v>
                </c:pt>
                <c:pt idx="48">
                  <c:v>43556</c:v>
                </c:pt>
                <c:pt idx="49">
                  <c:v>43586</c:v>
                </c:pt>
                <c:pt idx="50">
                  <c:v>43617</c:v>
                </c:pt>
                <c:pt idx="51">
                  <c:v>43647</c:v>
                </c:pt>
                <c:pt idx="52">
                  <c:v>43678</c:v>
                </c:pt>
                <c:pt idx="53">
                  <c:v>43709</c:v>
                </c:pt>
                <c:pt idx="54">
                  <c:v>43739</c:v>
                </c:pt>
                <c:pt idx="55">
                  <c:v>43770</c:v>
                </c:pt>
                <c:pt idx="56">
                  <c:v>43800</c:v>
                </c:pt>
                <c:pt idx="57">
                  <c:v>43831</c:v>
                </c:pt>
                <c:pt idx="58">
                  <c:v>43862</c:v>
                </c:pt>
                <c:pt idx="59">
                  <c:v>43891</c:v>
                </c:pt>
                <c:pt idx="60">
                  <c:v>43922</c:v>
                </c:pt>
                <c:pt idx="61">
                  <c:v>43952</c:v>
                </c:pt>
                <c:pt idx="62">
                  <c:v>43983</c:v>
                </c:pt>
                <c:pt idx="63">
                  <c:v>44013</c:v>
                </c:pt>
                <c:pt idx="64">
                  <c:v>44044</c:v>
                </c:pt>
                <c:pt idx="65">
                  <c:v>44075</c:v>
                </c:pt>
                <c:pt idx="66">
                  <c:v>44105</c:v>
                </c:pt>
                <c:pt idx="67">
                  <c:v>44136</c:v>
                </c:pt>
                <c:pt idx="68">
                  <c:v>44166</c:v>
                </c:pt>
                <c:pt idx="69">
                  <c:v>44197</c:v>
                </c:pt>
                <c:pt idx="70">
                  <c:v>44228</c:v>
                </c:pt>
                <c:pt idx="71">
                  <c:v>44256</c:v>
                </c:pt>
                <c:pt idx="72">
                  <c:v>44287</c:v>
                </c:pt>
                <c:pt idx="73">
                  <c:v>44317</c:v>
                </c:pt>
                <c:pt idx="74">
                  <c:v>44348</c:v>
                </c:pt>
                <c:pt idx="75">
                  <c:v>44378</c:v>
                </c:pt>
                <c:pt idx="76">
                  <c:v>44409</c:v>
                </c:pt>
                <c:pt idx="77">
                  <c:v>44440</c:v>
                </c:pt>
                <c:pt idx="78">
                  <c:v>44470</c:v>
                </c:pt>
                <c:pt idx="79">
                  <c:v>44501</c:v>
                </c:pt>
                <c:pt idx="80">
                  <c:v>44531</c:v>
                </c:pt>
                <c:pt idx="81">
                  <c:v>44562</c:v>
                </c:pt>
                <c:pt idx="82">
                  <c:v>44593</c:v>
                </c:pt>
                <c:pt idx="83">
                  <c:v>44621</c:v>
                </c:pt>
                <c:pt idx="84">
                  <c:v>44652</c:v>
                </c:pt>
                <c:pt idx="85">
                  <c:v>44682</c:v>
                </c:pt>
                <c:pt idx="86">
                  <c:v>44713</c:v>
                </c:pt>
                <c:pt idx="87">
                  <c:v>44743</c:v>
                </c:pt>
                <c:pt idx="88">
                  <c:v>44774</c:v>
                </c:pt>
                <c:pt idx="89">
                  <c:v>44805</c:v>
                </c:pt>
                <c:pt idx="90">
                  <c:v>44835</c:v>
                </c:pt>
                <c:pt idx="91">
                  <c:v>44866</c:v>
                </c:pt>
                <c:pt idx="92">
                  <c:v>44896</c:v>
                </c:pt>
                <c:pt idx="93">
                  <c:v>44927</c:v>
                </c:pt>
                <c:pt idx="94">
                  <c:v>44958</c:v>
                </c:pt>
                <c:pt idx="95">
                  <c:v>44986</c:v>
                </c:pt>
                <c:pt idx="96">
                  <c:v>45017</c:v>
                </c:pt>
                <c:pt idx="97">
                  <c:v>45047</c:v>
                </c:pt>
                <c:pt idx="98">
                  <c:v>45078</c:v>
                </c:pt>
                <c:pt idx="99">
                  <c:v>45108</c:v>
                </c:pt>
                <c:pt idx="100">
                  <c:v>45139</c:v>
                </c:pt>
                <c:pt idx="101">
                  <c:v>45170</c:v>
                </c:pt>
                <c:pt idx="102">
                  <c:v>45200</c:v>
                </c:pt>
                <c:pt idx="103">
                  <c:v>45231</c:v>
                </c:pt>
                <c:pt idx="104">
                  <c:v>45261</c:v>
                </c:pt>
              </c:numCache>
            </c:numRef>
          </c:cat>
          <c:val>
            <c:numRef>
              <c:f>Serie_Graph3!$V$4:$V$111</c:f>
              <c:numCache>
                <c:formatCode>0.0</c:formatCode>
                <c:ptCount val="108"/>
                <c:pt idx="0">
                  <c:v>-149.31824742700002</c:v>
                </c:pt>
                <c:pt idx="1">
                  <c:v>-150.36835441300008</c:v>
                </c:pt>
                <c:pt idx="2">
                  <c:v>-81.893259354000008</c:v>
                </c:pt>
                <c:pt idx="3">
                  <c:v>-72.882122391999985</c:v>
                </c:pt>
                <c:pt idx="4">
                  <c:v>17.600834398000075</c:v>
                </c:pt>
                <c:pt idx="5">
                  <c:v>2.259052975999964</c:v>
                </c:pt>
                <c:pt idx="6">
                  <c:v>-78.582743023000035</c:v>
                </c:pt>
                <c:pt idx="7">
                  <c:v>-103.30285127500008</c:v>
                </c:pt>
                <c:pt idx="8">
                  <c:v>-136.05306034600005</c:v>
                </c:pt>
                <c:pt idx="9">
                  <c:v>-137.64523415500003</c:v>
                </c:pt>
                <c:pt idx="10">
                  <c:v>-148.94028216000015</c:v>
                </c:pt>
                <c:pt idx="11">
                  <c:v>-135.50939624600016</c:v>
                </c:pt>
                <c:pt idx="12">
                  <c:v>-134.30882126899996</c:v>
                </c:pt>
                <c:pt idx="13">
                  <c:v>-130.01416139899993</c:v>
                </c:pt>
                <c:pt idx="14">
                  <c:v>-108.78433889700011</c:v>
                </c:pt>
                <c:pt idx="15">
                  <c:v>-166.30242031799992</c:v>
                </c:pt>
                <c:pt idx="16">
                  <c:v>-137.12748439000006</c:v>
                </c:pt>
                <c:pt idx="17">
                  <c:v>-133.28973059099997</c:v>
                </c:pt>
                <c:pt idx="18">
                  <c:v>-190.99111126699995</c:v>
                </c:pt>
                <c:pt idx="19">
                  <c:v>-226.39131581699996</c:v>
                </c:pt>
                <c:pt idx="20">
                  <c:v>-136.60231978799993</c:v>
                </c:pt>
                <c:pt idx="21">
                  <c:v>-194.69075469200004</c:v>
                </c:pt>
                <c:pt idx="22">
                  <c:v>-148.29685204212115</c:v>
                </c:pt>
                <c:pt idx="23">
                  <c:v>-232.63005314100008</c:v>
                </c:pt>
                <c:pt idx="24">
                  <c:v>-229.32665080200013</c:v>
                </c:pt>
                <c:pt idx="25">
                  <c:v>-29.012201569829926</c:v>
                </c:pt>
                <c:pt idx="26">
                  <c:v>-146.20323957999994</c:v>
                </c:pt>
                <c:pt idx="27">
                  <c:v>37.980832432999932</c:v>
                </c:pt>
                <c:pt idx="28">
                  <c:v>24.929191752424799</c:v>
                </c:pt>
                <c:pt idx="29">
                  <c:v>36.945802214956075</c:v>
                </c:pt>
                <c:pt idx="30">
                  <c:v>36.355622195289129</c:v>
                </c:pt>
                <c:pt idx="31">
                  <c:v>48.98806446404194</c:v>
                </c:pt>
                <c:pt idx="32">
                  <c:v>-0.97584279913587579</c:v>
                </c:pt>
                <c:pt idx="33">
                  <c:v>60.279474723000135</c:v>
                </c:pt>
                <c:pt idx="34">
                  <c:v>78.442452720999995</c:v>
                </c:pt>
                <c:pt idx="35">
                  <c:v>175.4779899350001</c:v>
                </c:pt>
                <c:pt idx="36">
                  <c:v>255.08201126000006</c:v>
                </c:pt>
                <c:pt idx="37">
                  <c:v>301.94006756899989</c:v>
                </c:pt>
                <c:pt idx="38">
                  <c:v>415.36299539999982</c:v>
                </c:pt>
                <c:pt idx="39">
                  <c:v>355.51790737700003</c:v>
                </c:pt>
                <c:pt idx="40">
                  <c:v>300.71201191000011</c:v>
                </c:pt>
                <c:pt idx="41">
                  <c:v>216.10138344399991</c:v>
                </c:pt>
                <c:pt idx="42">
                  <c:v>228.09454829800006</c:v>
                </c:pt>
                <c:pt idx="43">
                  <c:v>230.78061087900016</c:v>
                </c:pt>
                <c:pt idx="44">
                  <c:v>310.50211011199997</c:v>
                </c:pt>
                <c:pt idx="45">
                  <c:v>253.2284312300801</c:v>
                </c:pt>
                <c:pt idx="46">
                  <c:v>260.07070881421123</c:v>
                </c:pt>
                <c:pt idx="47">
                  <c:v>259.85342751500013</c:v>
                </c:pt>
                <c:pt idx="48">
                  <c:v>384.95398310889334</c:v>
                </c:pt>
                <c:pt idx="49">
                  <c:v>349.62746654734542</c:v>
                </c:pt>
                <c:pt idx="50">
                  <c:v>320.36845266517844</c:v>
                </c:pt>
                <c:pt idx="51">
                  <c:v>334.98501070500004</c:v>
                </c:pt>
                <c:pt idx="52">
                  <c:v>326.48226657999999</c:v>
                </c:pt>
                <c:pt idx="53">
                  <c:v>161.52302664799981</c:v>
                </c:pt>
                <c:pt idx="54">
                  <c:v>222.50478346199998</c:v>
                </c:pt>
                <c:pt idx="55">
                  <c:v>216.57624069899987</c:v>
                </c:pt>
                <c:pt idx="56">
                  <c:v>76.720027871543039</c:v>
                </c:pt>
                <c:pt idx="57">
                  <c:v>216.68270332763814</c:v>
                </c:pt>
                <c:pt idx="58">
                  <c:v>263.07151430103022</c:v>
                </c:pt>
                <c:pt idx="59">
                  <c:v>324.47388228698867</c:v>
                </c:pt>
                <c:pt idx="60">
                  <c:v>246.05674363609285</c:v>
                </c:pt>
                <c:pt idx="61">
                  <c:v>154.17341378999981</c:v>
                </c:pt>
                <c:pt idx="62">
                  <c:v>301.81956061599999</c:v>
                </c:pt>
                <c:pt idx="63">
                  <c:v>400.05294428900004</c:v>
                </c:pt>
                <c:pt idx="64">
                  <c:v>295.40270262699983</c:v>
                </c:pt>
                <c:pt idx="65">
                  <c:v>190.60465125116366</c:v>
                </c:pt>
                <c:pt idx="66">
                  <c:v>117.09777778399985</c:v>
                </c:pt>
                <c:pt idx="67">
                  <c:v>16.865825355163452</c:v>
                </c:pt>
                <c:pt idx="68">
                  <c:v>205.46217638648807</c:v>
                </c:pt>
                <c:pt idx="69">
                  <c:v>289.67362735807762</c:v>
                </c:pt>
                <c:pt idx="70">
                  <c:v>308.21380664899993</c:v>
                </c:pt>
                <c:pt idx="71">
                  <c:v>539.54095148400006</c:v>
                </c:pt>
                <c:pt idx="72">
                  <c:v>616.07190955100009</c:v>
                </c:pt>
                <c:pt idx="73">
                  <c:v>655.1473485250001</c:v>
                </c:pt>
                <c:pt idx="74">
                  <c:v>600.90114450412875</c:v>
                </c:pt>
                <c:pt idx="75">
                  <c:v>726.65408926399982</c:v>
                </c:pt>
                <c:pt idx="76">
                  <c:v>583.41934041873048</c:v>
                </c:pt>
                <c:pt idx="77">
                  <c:v>595.84754078999981</c:v>
                </c:pt>
                <c:pt idx="78">
                  <c:v>540.46957969999994</c:v>
                </c:pt>
                <c:pt idx="79">
                  <c:v>452.33866336599999</c:v>
                </c:pt>
                <c:pt idx="80">
                  <c:v>535.64553010400004</c:v>
                </c:pt>
                <c:pt idx="81">
                  <c:v>449.11586207300002</c:v>
                </c:pt>
                <c:pt idx="82">
                  <c:v>258.39987692800003</c:v>
                </c:pt>
                <c:pt idx="83">
                  <c:v>214.43066831200008</c:v>
                </c:pt>
                <c:pt idx="84">
                  <c:v>77.1182272100001</c:v>
                </c:pt>
                <c:pt idx="85">
                  <c:v>28.015346975999933</c:v>
                </c:pt>
                <c:pt idx="86">
                  <c:v>-2.0185303570000315</c:v>
                </c:pt>
                <c:pt idx="87">
                  <c:v>-47.130150634999836</c:v>
                </c:pt>
                <c:pt idx="88">
                  <c:v>-14.384806705999836</c:v>
                </c:pt>
                <c:pt idx="89">
                  <c:v>-153.48265316100003</c:v>
                </c:pt>
                <c:pt idx="90">
                  <c:v>-459.45831838399988</c:v>
                </c:pt>
                <c:pt idx="91">
                  <c:v>-492.89019642399995</c:v>
                </c:pt>
                <c:pt idx="92">
                  <c:v>-624.09032409300016</c:v>
                </c:pt>
                <c:pt idx="93">
                  <c:v>-486.83395162500005</c:v>
                </c:pt>
                <c:pt idx="94">
                  <c:v>-495.10793084200003</c:v>
                </c:pt>
                <c:pt idx="95">
                  <c:v>-391.68530425</c:v>
                </c:pt>
                <c:pt idx="96">
                  <c:v>-254.81959660100006</c:v>
                </c:pt>
                <c:pt idx="97">
                  <c:v>-367.71888990900004</c:v>
                </c:pt>
                <c:pt idx="98">
                  <c:v>-404.02417554199997</c:v>
                </c:pt>
                <c:pt idx="99">
                  <c:v>-460.13589260999993</c:v>
                </c:pt>
                <c:pt idx="100">
                  <c:v>-408.75864867400003</c:v>
                </c:pt>
                <c:pt idx="101">
                  <c:v>-377.72911350600009</c:v>
                </c:pt>
                <c:pt idx="102">
                  <c:v>-320.50269724099996</c:v>
                </c:pt>
                <c:pt idx="103">
                  <c:v>-334.61732514000005</c:v>
                </c:pt>
                <c:pt idx="104">
                  <c:v>-372.52078992099985</c:v>
                </c:pt>
              </c:numCache>
            </c:numRef>
          </c:val>
          <c:smooth val="0"/>
          <c:extLst>
            <c:ext xmlns:c16="http://schemas.microsoft.com/office/drawing/2014/chart" uri="{C3380CC4-5D6E-409C-BE32-E72D297353CC}">
              <c16:uniqueId val="{00000000-E387-4287-9BD6-8B04E7D34FBF}"/>
            </c:ext>
          </c:extLst>
        </c:ser>
        <c:ser>
          <c:idx val="1"/>
          <c:order val="1"/>
          <c:tx>
            <c:strRef>
              <c:f>Serie_Graph3!$W$3</c:f>
              <c:strCache>
                <c:ptCount val="1"/>
                <c:pt idx="0">
                  <c:v>Créances sur les autres institutions de dépôt</c:v>
                </c:pt>
              </c:strCache>
            </c:strRef>
          </c:tx>
          <c:spPr>
            <a:ln w="28575" cap="rnd">
              <a:solidFill>
                <a:schemeClr val="accent2"/>
              </a:solidFill>
              <a:round/>
            </a:ln>
            <a:effectLst/>
          </c:spPr>
          <c:marker>
            <c:symbol val="none"/>
          </c:marker>
          <c:cat>
            <c:numRef>
              <c:f>Serie_Graph3!$Q$4:$Q$111</c:f>
              <c:numCache>
                <c:formatCode>m/d/yyyy</c:formatCode>
                <c:ptCount val="10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pt idx="35">
                  <c:v>43160</c:v>
                </c:pt>
                <c:pt idx="36">
                  <c:v>43191</c:v>
                </c:pt>
                <c:pt idx="37">
                  <c:v>43221</c:v>
                </c:pt>
                <c:pt idx="38">
                  <c:v>43252</c:v>
                </c:pt>
                <c:pt idx="39">
                  <c:v>43282</c:v>
                </c:pt>
                <c:pt idx="40">
                  <c:v>43313</c:v>
                </c:pt>
                <c:pt idx="41">
                  <c:v>43344</c:v>
                </c:pt>
                <c:pt idx="42">
                  <c:v>43374</c:v>
                </c:pt>
                <c:pt idx="43">
                  <c:v>43405</c:v>
                </c:pt>
                <c:pt idx="44">
                  <c:v>43435</c:v>
                </c:pt>
                <c:pt idx="45">
                  <c:v>43466</c:v>
                </c:pt>
                <c:pt idx="46">
                  <c:v>43497</c:v>
                </c:pt>
                <c:pt idx="47">
                  <c:v>43525</c:v>
                </c:pt>
                <c:pt idx="48">
                  <c:v>43556</c:v>
                </c:pt>
                <c:pt idx="49">
                  <c:v>43586</c:v>
                </c:pt>
                <c:pt idx="50">
                  <c:v>43617</c:v>
                </c:pt>
                <c:pt idx="51">
                  <c:v>43647</c:v>
                </c:pt>
                <c:pt idx="52">
                  <c:v>43678</c:v>
                </c:pt>
                <c:pt idx="53">
                  <c:v>43709</c:v>
                </c:pt>
                <c:pt idx="54">
                  <c:v>43739</c:v>
                </c:pt>
                <c:pt idx="55">
                  <c:v>43770</c:v>
                </c:pt>
                <c:pt idx="56">
                  <c:v>43800</c:v>
                </c:pt>
                <c:pt idx="57">
                  <c:v>43831</c:v>
                </c:pt>
                <c:pt idx="58">
                  <c:v>43862</c:v>
                </c:pt>
                <c:pt idx="59">
                  <c:v>43891</c:v>
                </c:pt>
                <c:pt idx="60">
                  <c:v>43922</c:v>
                </c:pt>
                <c:pt idx="61">
                  <c:v>43952</c:v>
                </c:pt>
                <c:pt idx="62">
                  <c:v>43983</c:v>
                </c:pt>
                <c:pt idx="63">
                  <c:v>44013</c:v>
                </c:pt>
                <c:pt idx="64">
                  <c:v>44044</c:v>
                </c:pt>
                <c:pt idx="65">
                  <c:v>44075</c:v>
                </c:pt>
                <c:pt idx="66">
                  <c:v>44105</c:v>
                </c:pt>
                <c:pt idx="67">
                  <c:v>44136</c:v>
                </c:pt>
                <c:pt idx="68">
                  <c:v>44166</c:v>
                </c:pt>
                <c:pt idx="69">
                  <c:v>44197</c:v>
                </c:pt>
                <c:pt idx="70">
                  <c:v>44228</c:v>
                </c:pt>
                <c:pt idx="71">
                  <c:v>44256</c:v>
                </c:pt>
                <c:pt idx="72">
                  <c:v>44287</c:v>
                </c:pt>
                <c:pt idx="73">
                  <c:v>44317</c:v>
                </c:pt>
                <c:pt idx="74">
                  <c:v>44348</c:v>
                </c:pt>
                <c:pt idx="75">
                  <c:v>44378</c:v>
                </c:pt>
                <c:pt idx="76">
                  <c:v>44409</c:v>
                </c:pt>
                <c:pt idx="77">
                  <c:v>44440</c:v>
                </c:pt>
                <c:pt idx="78">
                  <c:v>44470</c:v>
                </c:pt>
                <c:pt idx="79">
                  <c:v>44501</c:v>
                </c:pt>
                <c:pt idx="80">
                  <c:v>44531</c:v>
                </c:pt>
                <c:pt idx="81">
                  <c:v>44562</c:v>
                </c:pt>
                <c:pt idx="82">
                  <c:v>44593</c:v>
                </c:pt>
                <c:pt idx="83">
                  <c:v>44621</c:v>
                </c:pt>
                <c:pt idx="84">
                  <c:v>44652</c:v>
                </c:pt>
                <c:pt idx="85">
                  <c:v>44682</c:v>
                </c:pt>
                <c:pt idx="86">
                  <c:v>44713</c:v>
                </c:pt>
                <c:pt idx="87">
                  <c:v>44743</c:v>
                </c:pt>
                <c:pt idx="88">
                  <c:v>44774</c:v>
                </c:pt>
                <c:pt idx="89">
                  <c:v>44805</c:v>
                </c:pt>
                <c:pt idx="90">
                  <c:v>44835</c:v>
                </c:pt>
                <c:pt idx="91">
                  <c:v>44866</c:v>
                </c:pt>
                <c:pt idx="92">
                  <c:v>44896</c:v>
                </c:pt>
                <c:pt idx="93">
                  <c:v>44927</c:v>
                </c:pt>
                <c:pt idx="94">
                  <c:v>44958</c:v>
                </c:pt>
                <c:pt idx="95">
                  <c:v>44986</c:v>
                </c:pt>
                <c:pt idx="96">
                  <c:v>45017</c:v>
                </c:pt>
                <c:pt idx="97">
                  <c:v>45047</c:v>
                </c:pt>
                <c:pt idx="98">
                  <c:v>45078</c:v>
                </c:pt>
                <c:pt idx="99">
                  <c:v>45108</c:v>
                </c:pt>
                <c:pt idx="100">
                  <c:v>45139</c:v>
                </c:pt>
                <c:pt idx="101">
                  <c:v>45170</c:v>
                </c:pt>
                <c:pt idx="102">
                  <c:v>45200</c:v>
                </c:pt>
                <c:pt idx="103">
                  <c:v>45231</c:v>
                </c:pt>
                <c:pt idx="104">
                  <c:v>45261</c:v>
                </c:pt>
              </c:numCache>
            </c:numRef>
          </c:cat>
          <c:val>
            <c:numRef>
              <c:f>Serie_Graph3!$W$4:$W$111</c:f>
              <c:numCache>
                <c:formatCode>0.0</c:formatCode>
                <c:ptCount val="108"/>
                <c:pt idx="0">
                  <c:v>35.720381490000008</c:v>
                </c:pt>
                <c:pt idx="1">
                  <c:v>25.551242771000005</c:v>
                </c:pt>
                <c:pt idx="2">
                  <c:v>15.143815129000018</c:v>
                </c:pt>
                <c:pt idx="3">
                  <c:v>-44.040486928000036</c:v>
                </c:pt>
                <c:pt idx="4">
                  <c:v>-92.157823529000012</c:v>
                </c:pt>
                <c:pt idx="5">
                  <c:v>-54.783027669000006</c:v>
                </c:pt>
                <c:pt idx="6">
                  <c:v>-70.11926416999998</c:v>
                </c:pt>
                <c:pt idx="7">
                  <c:v>-11.357340805000007</c:v>
                </c:pt>
                <c:pt idx="8">
                  <c:v>-7.8990911449999999</c:v>
                </c:pt>
                <c:pt idx="9">
                  <c:v>-51.243347749999998</c:v>
                </c:pt>
                <c:pt idx="10">
                  <c:v>-5.0619434200000057</c:v>
                </c:pt>
                <c:pt idx="11">
                  <c:v>-18.299996238000006</c:v>
                </c:pt>
                <c:pt idx="12">
                  <c:v>-9.5524679039999967</c:v>
                </c:pt>
                <c:pt idx="13">
                  <c:v>-36.12776286899998</c:v>
                </c:pt>
                <c:pt idx="14">
                  <c:v>-58.055629542999981</c:v>
                </c:pt>
                <c:pt idx="15">
                  <c:v>-74.192117476000021</c:v>
                </c:pt>
                <c:pt idx="16">
                  <c:v>-93.395222290000021</c:v>
                </c:pt>
                <c:pt idx="17">
                  <c:v>-81.467496531000023</c:v>
                </c:pt>
                <c:pt idx="18">
                  <c:v>-106.03902398300002</c:v>
                </c:pt>
                <c:pt idx="19">
                  <c:v>-38.95509946300001</c:v>
                </c:pt>
                <c:pt idx="20">
                  <c:v>-141.78972330300002</c:v>
                </c:pt>
                <c:pt idx="21">
                  <c:v>-136.04505787800002</c:v>
                </c:pt>
                <c:pt idx="22">
                  <c:v>-91.60921464499998</c:v>
                </c:pt>
                <c:pt idx="23">
                  <c:v>-93.37250324499999</c:v>
                </c:pt>
                <c:pt idx="24">
                  <c:v>-112.33664147900001</c:v>
                </c:pt>
                <c:pt idx="25">
                  <c:v>-142.34405230799999</c:v>
                </c:pt>
                <c:pt idx="26">
                  <c:v>-103.880594214</c:v>
                </c:pt>
                <c:pt idx="27">
                  <c:v>-92.758903314999998</c:v>
                </c:pt>
                <c:pt idx="28">
                  <c:v>-138.97871606300001</c:v>
                </c:pt>
                <c:pt idx="29">
                  <c:v>-112.03585705299997</c:v>
                </c:pt>
                <c:pt idx="30">
                  <c:v>-196.92935972100003</c:v>
                </c:pt>
                <c:pt idx="31">
                  <c:v>-67.259676529000018</c:v>
                </c:pt>
                <c:pt idx="32">
                  <c:v>-48.107843924999997</c:v>
                </c:pt>
                <c:pt idx="33">
                  <c:v>-31.87988510000001</c:v>
                </c:pt>
                <c:pt idx="34">
                  <c:v>-28.953928884999982</c:v>
                </c:pt>
                <c:pt idx="35">
                  <c:v>-5.8269116750000194</c:v>
                </c:pt>
                <c:pt idx="36">
                  <c:v>7.9725369779999795</c:v>
                </c:pt>
                <c:pt idx="37">
                  <c:v>15.764273642999996</c:v>
                </c:pt>
                <c:pt idx="38">
                  <c:v>-99.645105565999998</c:v>
                </c:pt>
                <c:pt idx="39">
                  <c:v>-94.994678968000031</c:v>
                </c:pt>
                <c:pt idx="40">
                  <c:v>-55.748847846999993</c:v>
                </c:pt>
                <c:pt idx="41">
                  <c:v>-27.99813380099998</c:v>
                </c:pt>
                <c:pt idx="42">
                  <c:v>-43.444251175999995</c:v>
                </c:pt>
                <c:pt idx="43">
                  <c:v>-31.33232177299999</c:v>
                </c:pt>
                <c:pt idx="44">
                  <c:v>-57.326450235999999</c:v>
                </c:pt>
                <c:pt idx="45">
                  <c:v>-117.14150852999998</c:v>
                </c:pt>
                <c:pt idx="46">
                  <c:v>-96.614199224000018</c:v>
                </c:pt>
                <c:pt idx="47">
                  <c:v>-21.479845690000005</c:v>
                </c:pt>
                <c:pt idx="48">
                  <c:v>-134.40506190600001</c:v>
                </c:pt>
                <c:pt idx="49">
                  <c:v>-192.51152565800004</c:v>
                </c:pt>
                <c:pt idx="50">
                  <c:v>-145.88860571000001</c:v>
                </c:pt>
                <c:pt idx="51">
                  <c:v>-166.37339076200001</c:v>
                </c:pt>
                <c:pt idx="52">
                  <c:v>-177.04475566799999</c:v>
                </c:pt>
                <c:pt idx="53">
                  <c:v>-64.032068398000007</c:v>
                </c:pt>
                <c:pt idx="54">
                  <c:v>-149.95598229800004</c:v>
                </c:pt>
                <c:pt idx="55">
                  <c:v>-62.486059163000021</c:v>
                </c:pt>
                <c:pt idx="56">
                  <c:v>-35.447673709</c:v>
                </c:pt>
                <c:pt idx="57">
                  <c:v>-47.692563258999968</c:v>
                </c:pt>
                <c:pt idx="58">
                  <c:v>-1.3953590859999849</c:v>
                </c:pt>
                <c:pt idx="59">
                  <c:v>-211.546548003</c:v>
                </c:pt>
                <c:pt idx="60">
                  <c:v>-123.32242508700006</c:v>
                </c:pt>
                <c:pt idx="61">
                  <c:v>-119.05365634899997</c:v>
                </c:pt>
                <c:pt idx="62">
                  <c:v>-253.47443914500002</c:v>
                </c:pt>
                <c:pt idx="63">
                  <c:v>-324.74073660199997</c:v>
                </c:pt>
                <c:pt idx="64">
                  <c:v>-256.36309300699997</c:v>
                </c:pt>
                <c:pt idx="65">
                  <c:v>-106.63653772100002</c:v>
                </c:pt>
                <c:pt idx="66">
                  <c:v>-112.478692346</c:v>
                </c:pt>
                <c:pt idx="67">
                  <c:v>-88.691498012000011</c:v>
                </c:pt>
                <c:pt idx="68">
                  <c:v>30.196911073000024</c:v>
                </c:pt>
                <c:pt idx="69">
                  <c:v>2.3572497910000152</c:v>
                </c:pt>
                <c:pt idx="70">
                  <c:v>4.677016037000044</c:v>
                </c:pt>
                <c:pt idx="71">
                  <c:v>-169.31836698299995</c:v>
                </c:pt>
                <c:pt idx="72">
                  <c:v>-234.57520523900007</c:v>
                </c:pt>
                <c:pt idx="73">
                  <c:v>-370.52980319999995</c:v>
                </c:pt>
                <c:pt idx="74">
                  <c:v>-315.44013859200004</c:v>
                </c:pt>
                <c:pt idx="75">
                  <c:v>-411.28884811299997</c:v>
                </c:pt>
                <c:pt idx="76">
                  <c:v>-294.853886891</c:v>
                </c:pt>
                <c:pt idx="77">
                  <c:v>-234.57459562700001</c:v>
                </c:pt>
                <c:pt idx="78">
                  <c:v>-235.0338544</c:v>
                </c:pt>
                <c:pt idx="79">
                  <c:v>-120.62523255899998</c:v>
                </c:pt>
                <c:pt idx="80">
                  <c:v>-88.836431563000019</c:v>
                </c:pt>
                <c:pt idx="81">
                  <c:v>-33.339453961000004</c:v>
                </c:pt>
                <c:pt idx="82">
                  <c:v>63.067940730999993</c:v>
                </c:pt>
                <c:pt idx="83">
                  <c:v>72.653896523000014</c:v>
                </c:pt>
                <c:pt idx="84">
                  <c:v>27.00122449700001</c:v>
                </c:pt>
                <c:pt idx="85">
                  <c:v>25.766408265999985</c:v>
                </c:pt>
                <c:pt idx="86">
                  <c:v>43.234622502000008</c:v>
                </c:pt>
                <c:pt idx="87">
                  <c:v>9.4365580539999883</c:v>
                </c:pt>
                <c:pt idx="88">
                  <c:v>-88.103353900999991</c:v>
                </c:pt>
                <c:pt idx="89">
                  <c:v>-121.401773295</c:v>
                </c:pt>
                <c:pt idx="90">
                  <c:v>-30.112333392000039</c:v>
                </c:pt>
                <c:pt idx="91">
                  <c:v>-30.10087886499997</c:v>
                </c:pt>
                <c:pt idx="92">
                  <c:v>67.136885559000007</c:v>
                </c:pt>
                <c:pt idx="93">
                  <c:v>4.3152939889999402</c:v>
                </c:pt>
                <c:pt idx="94">
                  <c:v>20.716822371999996</c:v>
                </c:pt>
                <c:pt idx="95">
                  <c:v>28.859706550999988</c:v>
                </c:pt>
                <c:pt idx="96">
                  <c:v>57.445272584000008</c:v>
                </c:pt>
                <c:pt idx="97">
                  <c:v>54.617976316000011</c:v>
                </c:pt>
                <c:pt idx="98">
                  <c:v>123.76961023099997</c:v>
                </c:pt>
                <c:pt idx="99">
                  <c:v>30.671438783000042</c:v>
                </c:pt>
                <c:pt idx="100">
                  <c:v>93.374794153999972</c:v>
                </c:pt>
                <c:pt idx="101">
                  <c:v>91.08669628399997</c:v>
                </c:pt>
                <c:pt idx="102">
                  <c:v>133.05611646200001</c:v>
                </c:pt>
                <c:pt idx="103">
                  <c:v>181.37667608499999</c:v>
                </c:pt>
                <c:pt idx="104">
                  <c:v>206.32895775600002</c:v>
                </c:pt>
              </c:numCache>
            </c:numRef>
          </c:val>
          <c:smooth val="0"/>
          <c:extLst>
            <c:ext xmlns:c16="http://schemas.microsoft.com/office/drawing/2014/chart" uri="{C3380CC4-5D6E-409C-BE32-E72D297353CC}">
              <c16:uniqueId val="{00000001-E387-4287-9BD6-8B04E7D34FBF}"/>
            </c:ext>
          </c:extLst>
        </c:ser>
        <c:dLbls>
          <c:showLegendKey val="0"/>
          <c:showVal val="0"/>
          <c:showCatName val="0"/>
          <c:showSerName val="0"/>
          <c:showPercent val="0"/>
          <c:showBubbleSize val="0"/>
        </c:dLbls>
        <c:marker val="1"/>
        <c:smooth val="0"/>
        <c:axId val="84270464"/>
        <c:axId val="84362368"/>
      </c:lineChart>
      <c:lineChart>
        <c:grouping val="standard"/>
        <c:varyColors val="0"/>
        <c:ser>
          <c:idx val="2"/>
          <c:order val="2"/>
          <c:tx>
            <c:strRef>
              <c:f>Serie_Graph3!$S$3:$T$3</c:f>
              <c:strCache>
                <c:ptCount val="1"/>
                <c:pt idx="0">
                  <c:v>Créances intérieures Passifs à caractère non monétaire (2)</c:v>
                </c:pt>
              </c:strCache>
            </c:strRef>
          </c:tx>
          <c:spPr>
            <a:ln w="28575" cap="rnd">
              <a:solidFill>
                <a:schemeClr val="accent3"/>
              </a:solidFill>
              <a:round/>
            </a:ln>
            <a:effectLst/>
          </c:spPr>
          <c:marker>
            <c:symbol val="none"/>
          </c:marker>
          <c:val>
            <c:numRef>
              <c:f>Serie_Graph3!$X$4:$X$111</c:f>
              <c:numCache>
                <c:formatCode>0.0</c:formatCode>
                <c:ptCount val="108"/>
                <c:pt idx="0">
                  <c:v>89.130347956999998</c:v>
                </c:pt>
                <c:pt idx="1">
                  <c:v>99.319304631999998</c:v>
                </c:pt>
                <c:pt idx="2">
                  <c:v>124.683576652</c:v>
                </c:pt>
                <c:pt idx="3">
                  <c:v>183.36265032900002</c:v>
                </c:pt>
                <c:pt idx="4">
                  <c:v>231.501250562</c:v>
                </c:pt>
                <c:pt idx="5">
                  <c:v>191.67977908099999</c:v>
                </c:pt>
                <c:pt idx="6">
                  <c:v>207.05212882399999</c:v>
                </c:pt>
                <c:pt idx="7">
                  <c:v>148.25914829300001</c:v>
                </c:pt>
                <c:pt idx="8">
                  <c:v>139.98177500599999</c:v>
                </c:pt>
                <c:pt idx="9">
                  <c:v>182.812943784</c:v>
                </c:pt>
                <c:pt idx="10">
                  <c:v>136.65248363400002</c:v>
                </c:pt>
                <c:pt idx="11">
                  <c:v>147.69990406400001</c:v>
                </c:pt>
                <c:pt idx="12">
                  <c:v>138.949000907</c:v>
                </c:pt>
                <c:pt idx="13">
                  <c:v>165.54605421899998</c:v>
                </c:pt>
                <c:pt idx="14">
                  <c:v>197.63045762900001</c:v>
                </c:pt>
                <c:pt idx="15">
                  <c:v>213.26109774900002</c:v>
                </c:pt>
                <c:pt idx="16">
                  <c:v>232.48986117300001</c:v>
                </c:pt>
                <c:pt idx="17">
                  <c:v>218.63173763400002</c:v>
                </c:pt>
                <c:pt idx="18">
                  <c:v>243.187338501</c:v>
                </c:pt>
                <c:pt idx="19">
                  <c:v>176.13043647399999</c:v>
                </c:pt>
                <c:pt idx="20">
                  <c:v>277.37345301300002</c:v>
                </c:pt>
                <c:pt idx="21">
                  <c:v>270.64717908400002</c:v>
                </c:pt>
                <c:pt idx="22">
                  <c:v>226.22905846399999</c:v>
                </c:pt>
                <c:pt idx="23">
                  <c:v>226.755214884</c:v>
                </c:pt>
                <c:pt idx="24">
                  <c:v>245.70616487300001</c:v>
                </c:pt>
                <c:pt idx="25">
                  <c:v>275.73410245899998</c:v>
                </c:pt>
                <c:pt idx="26">
                  <c:v>231.64687465</c:v>
                </c:pt>
                <c:pt idx="27">
                  <c:v>223.09026533700001</c:v>
                </c:pt>
                <c:pt idx="28">
                  <c:v>269.32929780300003</c:v>
                </c:pt>
                <c:pt idx="29">
                  <c:v>241.13597633399999</c:v>
                </c:pt>
                <c:pt idx="30">
                  <c:v>326.06332271300005</c:v>
                </c:pt>
                <c:pt idx="31">
                  <c:v>196.41233978100001</c:v>
                </c:pt>
                <c:pt idx="32">
                  <c:v>168.960296559</c:v>
                </c:pt>
                <c:pt idx="33">
                  <c:v>151.74856600000001</c:v>
                </c:pt>
                <c:pt idx="34">
                  <c:v>148.84373852799999</c:v>
                </c:pt>
                <c:pt idx="35">
                  <c:v>138.446497722</c:v>
                </c:pt>
                <c:pt idx="36">
                  <c:v>124.67466977100001</c:v>
                </c:pt>
                <c:pt idx="37">
                  <c:v>116.906078345</c:v>
                </c:pt>
                <c:pt idx="38">
                  <c:v>222.825949256</c:v>
                </c:pt>
                <c:pt idx="39">
                  <c:v>217.45728645000003</c:v>
                </c:pt>
                <c:pt idx="40">
                  <c:v>178.234133977</c:v>
                </c:pt>
                <c:pt idx="41">
                  <c:v>149.18865834899998</c:v>
                </c:pt>
                <c:pt idx="42">
                  <c:v>164.65781423199999</c:v>
                </c:pt>
                <c:pt idx="43">
                  <c:v>152.570528626</c:v>
                </c:pt>
                <c:pt idx="44">
                  <c:v>168.793985139</c:v>
                </c:pt>
                <c:pt idx="45">
                  <c:v>242.36286540199998</c:v>
                </c:pt>
                <c:pt idx="46">
                  <c:v>221.85312061300002</c:v>
                </c:pt>
                <c:pt idx="47">
                  <c:v>145.412932974</c:v>
                </c:pt>
                <c:pt idx="48">
                  <c:v>258.362753403</c:v>
                </c:pt>
                <c:pt idx="49">
                  <c:v>316.49237234100002</c:v>
                </c:pt>
                <c:pt idx="50">
                  <c:v>260.396126616</c:v>
                </c:pt>
                <c:pt idx="51">
                  <c:v>279.97627908800001</c:v>
                </c:pt>
                <c:pt idx="52">
                  <c:v>290.67306356099999</c:v>
                </c:pt>
                <c:pt idx="53">
                  <c:v>190.98396457600001</c:v>
                </c:pt>
                <c:pt idx="54">
                  <c:v>276.93451547400002</c:v>
                </c:pt>
                <c:pt idx="55">
                  <c:v>189.49531088500001</c:v>
                </c:pt>
                <c:pt idx="56">
                  <c:v>154.033738852</c:v>
                </c:pt>
                <c:pt idx="57">
                  <c:v>179.84684703599999</c:v>
                </c:pt>
                <c:pt idx="58">
                  <c:v>133.56336683999999</c:v>
                </c:pt>
                <c:pt idx="59">
                  <c:v>343.643750426</c:v>
                </c:pt>
                <c:pt idx="60">
                  <c:v>324.74148284200004</c:v>
                </c:pt>
                <c:pt idx="61">
                  <c:v>320.51066655399995</c:v>
                </c:pt>
                <c:pt idx="62">
                  <c:v>454.85412327200004</c:v>
                </c:pt>
                <c:pt idx="63">
                  <c:v>526.14395804399999</c:v>
                </c:pt>
                <c:pt idx="64">
                  <c:v>457.78664563000001</c:v>
                </c:pt>
                <c:pt idx="65">
                  <c:v>307.97984643900003</c:v>
                </c:pt>
                <c:pt idx="66">
                  <c:v>313.844054078</c:v>
                </c:pt>
                <c:pt idx="67">
                  <c:v>303.72543491900001</c:v>
                </c:pt>
                <c:pt idx="68">
                  <c:v>184.51379449999999</c:v>
                </c:pt>
                <c:pt idx="69">
                  <c:v>212.361505599</c:v>
                </c:pt>
                <c:pt idx="70">
                  <c:v>210.06323779899998</c:v>
                </c:pt>
                <c:pt idx="71">
                  <c:v>383.97527580499997</c:v>
                </c:pt>
                <c:pt idx="72">
                  <c:v>441.69807183600005</c:v>
                </c:pt>
                <c:pt idx="73">
                  <c:v>577.67048343299996</c:v>
                </c:pt>
                <c:pt idx="74">
                  <c:v>522.51433905800002</c:v>
                </c:pt>
                <c:pt idx="75">
                  <c:v>618.37577584600001</c:v>
                </c:pt>
                <c:pt idx="76">
                  <c:v>501.95557551400003</c:v>
                </c:pt>
                <c:pt idx="77">
                  <c:v>533.324946114</c:v>
                </c:pt>
                <c:pt idx="78">
                  <c:v>525.40105888400001</c:v>
                </c:pt>
                <c:pt idx="79">
                  <c:v>411.03546259299998</c:v>
                </c:pt>
                <c:pt idx="80">
                  <c:v>378.81848341800003</c:v>
                </c:pt>
                <c:pt idx="81">
                  <c:v>323.33489888299999</c:v>
                </c:pt>
                <c:pt idx="82">
                  <c:v>226.94321445599999</c:v>
                </c:pt>
                <c:pt idx="83">
                  <c:v>217.383413088</c:v>
                </c:pt>
                <c:pt idx="84">
                  <c:v>263.06139532999998</c:v>
                </c:pt>
                <c:pt idx="85">
                  <c:v>264.32097923000003</c:v>
                </c:pt>
                <c:pt idx="86">
                  <c:v>239.01278034800001</c:v>
                </c:pt>
                <c:pt idx="87">
                  <c:v>272.20940082999999</c:v>
                </c:pt>
                <c:pt idx="88">
                  <c:v>369.77192718800001</c:v>
                </c:pt>
                <c:pt idx="89">
                  <c:v>403.08635272599997</c:v>
                </c:pt>
                <c:pt idx="90">
                  <c:v>311.81057351800001</c:v>
                </c:pt>
                <c:pt idx="91">
                  <c:v>311.81387584699996</c:v>
                </c:pt>
                <c:pt idx="92">
                  <c:v>208.919096776</c:v>
                </c:pt>
                <c:pt idx="93">
                  <c:v>270.77953343900003</c:v>
                </c:pt>
                <c:pt idx="94">
                  <c:v>254.39767097000001</c:v>
                </c:pt>
                <c:pt idx="95">
                  <c:v>295.28005035199999</c:v>
                </c:pt>
                <c:pt idx="96">
                  <c:v>266.71536582199997</c:v>
                </c:pt>
                <c:pt idx="97">
                  <c:v>269.60033784699999</c:v>
                </c:pt>
                <c:pt idx="98">
                  <c:v>196.480166174</c:v>
                </c:pt>
                <c:pt idx="99">
                  <c:v>288.63138561299996</c:v>
                </c:pt>
                <c:pt idx="100">
                  <c:v>225.98552818799999</c:v>
                </c:pt>
                <c:pt idx="101">
                  <c:v>246.441248863</c:v>
                </c:pt>
                <c:pt idx="102">
                  <c:v>204.55056627100001</c:v>
                </c:pt>
                <c:pt idx="103">
                  <c:v>156.27886238000002</c:v>
                </c:pt>
                <c:pt idx="104">
                  <c:v>126.84896043400001</c:v>
                </c:pt>
              </c:numCache>
            </c:numRef>
          </c:val>
          <c:smooth val="0"/>
          <c:extLst>
            <c:ext xmlns:c16="http://schemas.microsoft.com/office/drawing/2014/chart" uri="{C3380CC4-5D6E-409C-BE32-E72D297353CC}">
              <c16:uniqueId val="{00000002-E387-4287-9BD6-8B04E7D34FBF}"/>
            </c:ext>
          </c:extLst>
        </c:ser>
        <c:dLbls>
          <c:showLegendKey val="0"/>
          <c:showVal val="0"/>
          <c:showCatName val="0"/>
          <c:showSerName val="0"/>
          <c:showPercent val="0"/>
          <c:showBubbleSize val="0"/>
        </c:dLbls>
        <c:marker val="1"/>
        <c:smooth val="0"/>
        <c:axId val="84373888"/>
        <c:axId val="84363904"/>
      </c:lineChart>
      <c:dateAx>
        <c:axId val="84270464"/>
        <c:scaling>
          <c:orientation val="minMax"/>
        </c:scaling>
        <c:delete val="0"/>
        <c:axPos val="b"/>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4500000" spcFirstLastPara="1" vertOverflow="ellipsis" wrap="square" anchor="ctr" anchorCtr="1"/>
          <a:lstStyle/>
          <a:p>
            <a:pPr>
              <a:defRPr sz="700" b="1" i="0" u="none" strike="noStrike" kern="1200" baseline="0">
                <a:solidFill>
                  <a:sysClr val="windowText" lastClr="000000"/>
                </a:solidFill>
                <a:latin typeface="+mn-lt"/>
                <a:ea typeface="+mn-ea"/>
                <a:cs typeface="+mn-cs"/>
              </a:defRPr>
            </a:pPr>
            <a:endParaRPr lang="fr-BF"/>
          </a:p>
        </c:txPr>
        <c:crossAx val="84362368"/>
        <c:crosses val="autoZero"/>
        <c:auto val="1"/>
        <c:lblOffset val="100"/>
        <c:baseTimeUnit val="months"/>
        <c:majorUnit val="1"/>
        <c:majorTimeUnit val="months"/>
      </c:dateAx>
      <c:valAx>
        <c:axId val="843623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4270464"/>
        <c:crosses val="autoZero"/>
        <c:crossBetween val="between"/>
      </c:valAx>
      <c:valAx>
        <c:axId val="84363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4373888"/>
        <c:crosses val="max"/>
        <c:crossBetween val="between"/>
      </c:valAx>
      <c:catAx>
        <c:axId val="84373888"/>
        <c:scaling>
          <c:orientation val="minMax"/>
        </c:scaling>
        <c:delete val="1"/>
        <c:axPos val="b"/>
        <c:majorTickMark val="out"/>
        <c:minorTickMark val="none"/>
        <c:tickLblPos val="nextTo"/>
        <c:crossAx val="84363904"/>
        <c:crosses val="autoZero"/>
        <c:auto val="1"/>
        <c:lblAlgn val="ctr"/>
        <c:lblOffset val="100"/>
        <c:noMultiLvlLbl val="0"/>
      </c:catAx>
      <c:spPr>
        <a:noFill/>
        <a:ln>
          <a:noFill/>
        </a:ln>
        <a:effectLst/>
      </c:spPr>
    </c:plotArea>
    <c:legend>
      <c:legendPos val="b"/>
      <c:layout>
        <c:manualLayout>
          <c:xMode val="edge"/>
          <c:yMode val="edge"/>
          <c:x val="4.9905802064389757E-2"/>
          <c:y val="0.84483940505746313"/>
          <c:w val="0.94364243296226324"/>
          <c:h val="0.1250330945508754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a:solidFill>
                  <a:sysClr val="windowText" lastClr="000000"/>
                </a:solidFill>
              </a:rPr>
              <a:t>Evolution de la situation de la banque centrale</a:t>
            </a:r>
          </a:p>
        </c:rich>
      </c:tx>
      <c:layout>
        <c:manualLayout>
          <c:xMode val="edge"/>
          <c:yMode val="edge"/>
          <c:x val="4.5603548252134515E-2"/>
          <c:y val="1.275072329124368E-2"/>
        </c:manualLayout>
      </c:layout>
      <c:overlay val="0"/>
      <c:spPr>
        <a:solidFill>
          <a:sysClr val="window" lastClr="FFFFFF"/>
        </a:solidFill>
        <a:ln>
          <a:noFill/>
        </a:ln>
        <a:effectLst/>
      </c:spPr>
    </c:title>
    <c:autoTitleDeleted val="0"/>
    <c:plotArea>
      <c:layout>
        <c:manualLayout>
          <c:layoutTarget val="inner"/>
          <c:xMode val="edge"/>
          <c:yMode val="edge"/>
          <c:x val="9.6309049065614646E-2"/>
          <c:y val="5.0947821095817872E-2"/>
          <c:w val="0.81173928109990801"/>
          <c:h val="0.60495949637449586"/>
        </c:manualLayout>
      </c:layout>
      <c:lineChart>
        <c:grouping val="standard"/>
        <c:varyColors val="0"/>
        <c:ser>
          <c:idx val="1"/>
          <c:order val="1"/>
          <c:tx>
            <c:strRef>
              <c:f>Serie_Graph3!$Z$3</c:f>
              <c:strCache>
                <c:ptCount val="1"/>
                <c:pt idx="0">
                  <c:v>Base monétaire</c:v>
                </c:pt>
              </c:strCache>
            </c:strRef>
          </c:tx>
          <c:spPr>
            <a:ln w="28575" cap="rnd">
              <a:solidFill>
                <a:schemeClr val="accent2"/>
              </a:solidFill>
              <a:round/>
            </a:ln>
            <a:effectLst/>
          </c:spPr>
          <c:marker>
            <c:symbol val="none"/>
          </c:marker>
          <c:cat>
            <c:numRef>
              <c:f>Serie_Graph3!$Q$4:$Q$111</c:f>
              <c:numCache>
                <c:formatCode>m/d/yyyy</c:formatCode>
                <c:ptCount val="10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pt idx="35">
                  <c:v>43160</c:v>
                </c:pt>
                <c:pt idx="36">
                  <c:v>43191</c:v>
                </c:pt>
                <c:pt idx="37">
                  <c:v>43221</c:v>
                </c:pt>
                <c:pt idx="38">
                  <c:v>43252</c:v>
                </c:pt>
                <c:pt idx="39">
                  <c:v>43282</c:v>
                </c:pt>
                <c:pt idx="40">
                  <c:v>43313</c:v>
                </c:pt>
                <c:pt idx="41">
                  <c:v>43344</c:v>
                </c:pt>
                <c:pt idx="42">
                  <c:v>43374</c:v>
                </c:pt>
                <c:pt idx="43">
                  <c:v>43405</c:v>
                </c:pt>
                <c:pt idx="44">
                  <c:v>43435</c:v>
                </c:pt>
                <c:pt idx="45">
                  <c:v>43466</c:v>
                </c:pt>
                <c:pt idx="46">
                  <c:v>43497</c:v>
                </c:pt>
                <c:pt idx="47">
                  <c:v>43525</c:v>
                </c:pt>
                <c:pt idx="48">
                  <c:v>43556</c:v>
                </c:pt>
                <c:pt idx="49">
                  <c:v>43586</c:v>
                </c:pt>
                <c:pt idx="50">
                  <c:v>43617</c:v>
                </c:pt>
                <c:pt idx="51">
                  <c:v>43647</c:v>
                </c:pt>
                <c:pt idx="52">
                  <c:v>43678</c:v>
                </c:pt>
                <c:pt idx="53">
                  <c:v>43709</c:v>
                </c:pt>
                <c:pt idx="54">
                  <c:v>43739</c:v>
                </c:pt>
                <c:pt idx="55">
                  <c:v>43770</c:v>
                </c:pt>
                <c:pt idx="56">
                  <c:v>43800</c:v>
                </c:pt>
                <c:pt idx="57">
                  <c:v>43831</c:v>
                </c:pt>
                <c:pt idx="58">
                  <c:v>43862</c:v>
                </c:pt>
                <c:pt idx="59">
                  <c:v>43891</c:v>
                </c:pt>
                <c:pt idx="60">
                  <c:v>43922</c:v>
                </c:pt>
                <c:pt idx="61">
                  <c:v>43952</c:v>
                </c:pt>
                <c:pt idx="62">
                  <c:v>43983</c:v>
                </c:pt>
                <c:pt idx="63">
                  <c:v>44013</c:v>
                </c:pt>
                <c:pt idx="64">
                  <c:v>44044</c:v>
                </c:pt>
                <c:pt idx="65">
                  <c:v>44075</c:v>
                </c:pt>
                <c:pt idx="66">
                  <c:v>44105</c:v>
                </c:pt>
                <c:pt idx="67">
                  <c:v>44136</c:v>
                </c:pt>
                <c:pt idx="68">
                  <c:v>44166</c:v>
                </c:pt>
                <c:pt idx="69">
                  <c:v>44197</c:v>
                </c:pt>
                <c:pt idx="70">
                  <c:v>44228</c:v>
                </c:pt>
                <c:pt idx="71">
                  <c:v>44256</c:v>
                </c:pt>
                <c:pt idx="72">
                  <c:v>44287</c:v>
                </c:pt>
                <c:pt idx="73">
                  <c:v>44317</c:v>
                </c:pt>
                <c:pt idx="74">
                  <c:v>44348</c:v>
                </c:pt>
                <c:pt idx="75">
                  <c:v>44378</c:v>
                </c:pt>
                <c:pt idx="76">
                  <c:v>44409</c:v>
                </c:pt>
                <c:pt idx="77">
                  <c:v>44440</c:v>
                </c:pt>
                <c:pt idx="78">
                  <c:v>44470</c:v>
                </c:pt>
                <c:pt idx="79">
                  <c:v>44501</c:v>
                </c:pt>
                <c:pt idx="80">
                  <c:v>44531</c:v>
                </c:pt>
                <c:pt idx="81">
                  <c:v>44562</c:v>
                </c:pt>
                <c:pt idx="82">
                  <c:v>44593</c:v>
                </c:pt>
                <c:pt idx="83">
                  <c:v>44621</c:v>
                </c:pt>
                <c:pt idx="84">
                  <c:v>44652</c:v>
                </c:pt>
                <c:pt idx="85">
                  <c:v>44682</c:v>
                </c:pt>
                <c:pt idx="86">
                  <c:v>44713</c:v>
                </c:pt>
                <c:pt idx="87">
                  <c:v>44743</c:v>
                </c:pt>
                <c:pt idx="88">
                  <c:v>44774</c:v>
                </c:pt>
                <c:pt idx="89">
                  <c:v>44805</c:v>
                </c:pt>
                <c:pt idx="90">
                  <c:v>44835</c:v>
                </c:pt>
                <c:pt idx="91">
                  <c:v>44866</c:v>
                </c:pt>
                <c:pt idx="92">
                  <c:v>44896</c:v>
                </c:pt>
                <c:pt idx="93">
                  <c:v>44927</c:v>
                </c:pt>
                <c:pt idx="94">
                  <c:v>44958</c:v>
                </c:pt>
                <c:pt idx="95">
                  <c:v>44986</c:v>
                </c:pt>
                <c:pt idx="96">
                  <c:v>45017</c:v>
                </c:pt>
                <c:pt idx="97">
                  <c:v>45047</c:v>
                </c:pt>
                <c:pt idx="98">
                  <c:v>45078</c:v>
                </c:pt>
                <c:pt idx="99">
                  <c:v>45108</c:v>
                </c:pt>
                <c:pt idx="100">
                  <c:v>45139</c:v>
                </c:pt>
                <c:pt idx="101">
                  <c:v>45170</c:v>
                </c:pt>
                <c:pt idx="102">
                  <c:v>45200</c:v>
                </c:pt>
                <c:pt idx="103">
                  <c:v>45231</c:v>
                </c:pt>
                <c:pt idx="104">
                  <c:v>45261</c:v>
                </c:pt>
              </c:numCache>
            </c:numRef>
          </c:cat>
          <c:val>
            <c:numRef>
              <c:f>Serie_Graph3!$Z$4:$Z$111</c:f>
              <c:numCache>
                <c:formatCode>0.0</c:formatCode>
                <c:ptCount val="108"/>
                <c:pt idx="0">
                  <c:v>375.55789437200002</c:v>
                </c:pt>
                <c:pt idx="1">
                  <c:v>398.689017788</c:v>
                </c:pt>
                <c:pt idx="2">
                  <c:v>398.08502293599997</c:v>
                </c:pt>
                <c:pt idx="3">
                  <c:v>398.97723395200001</c:v>
                </c:pt>
                <c:pt idx="4">
                  <c:v>409.57767104999999</c:v>
                </c:pt>
                <c:pt idx="5">
                  <c:v>432.83701739700001</c:v>
                </c:pt>
                <c:pt idx="6">
                  <c:v>433.62571938300005</c:v>
                </c:pt>
                <c:pt idx="7">
                  <c:v>462.83168485599998</c:v>
                </c:pt>
                <c:pt idx="8">
                  <c:v>504.36069793500002</c:v>
                </c:pt>
                <c:pt idx="9">
                  <c:v>449.65371441899993</c:v>
                </c:pt>
                <c:pt idx="10">
                  <c:v>522.66725241199993</c:v>
                </c:pt>
                <c:pt idx="11">
                  <c:v>524.88540785099997</c:v>
                </c:pt>
                <c:pt idx="12">
                  <c:v>536.59618818600006</c:v>
                </c:pt>
                <c:pt idx="13">
                  <c:v>501.16489192899996</c:v>
                </c:pt>
                <c:pt idx="14">
                  <c:v>531.3466275479999</c:v>
                </c:pt>
                <c:pt idx="15">
                  <c:v>472.94230172999994</c:v>
                </c:pt>
                <c:pt idx="16">
                  <c:v>456.86027438799999</c:v>
                </c:pt>
                <c:pt idx="17">
                  <c:v>447.77387410599999</c:v>
                </c:pt>
                <c:pt idx="18">
                  <c:v>450.283318237</c:v>
                </c:pt>
                <c:pt idx="19">
                  <c:v>497.15191882700003</c:v>
                </c:pt>
                <c:pt idx="20">
                  <c:v>478.16496640500003</c:v>
                </c:pt>
                <c:pt idx="21">
                  <c:v>509.05170203</c:v>
                </c:pt>
                <c:pt idx="22">
                  <c:v>598.96828317787913</c:v>
                </c:pt>
                <c:pt idx="23">
                  <c:v>453.40094893799994</c:v>
                </c:pt>
                <c:pt idx="24">
                  <c:v>488.67181311399997</c:v>
                </c:pt>
                <c:pt idx="25">
                  <c:v>690.48981676417009</c:v>
                </c:pt>
                <c:pt idx="26">
                  <c:v>596.18975868300004</c:v>
                </c:pt>
                <c:pt idx="27">
                  <c:v>663.03019515999995</c:v>
                </c:pt>
                <c:pt idx="28">
                  <c:v>581.44571165542493</c:v>
                </c:pt>
                <c:pt idx="29">
                  <c:v>566.44677755395605</c:v>
                </c:pt>
                <c:pt idx="30">
                  <c:v>584.87764848328902</c:v>
                </c:pt>
                <c:pt idx="31">
                  <c:v>685.75019201804196</c:v>
                </c:pt>
                <c:pt idx="32">
                  <c:v>684.11210546686402</c:v>
                </c:pt>
                <c:pt idx="33">
                  <c:v>764.95577294999998</c:v>
                </c:pt>
                <c:pt idx="34">
                  <c:v>687.91546385499998</c:v>
                </c:pt>
                <c:pt idx="35">
                  <c:v>757.761260171</c:v>
                </c:pt>
                <c:pt idx="36">
                  <c:v>808.44709631699993</c:v>
                </c:pt>
                <c:pt idx="37">
                  <c:v>794.97065396099993</c:v>
                </c:pt>
                <c:pt idx="38">
                  <c:v>807.59245625799997</c:v>
                </c:pt>
                <c:pt idx="39">
                  <c:v>753.87792733299989</c:v>
                </c:pt>
                <c:pt idx="40">
                  <c:v>784.85506779899993</c:v>
                </c:pt>
                <c:pt idx="41">
                  <c:v>751.65964767199989</c:v>
                </c:pt>
                <c:pt idx="42">
                  <c:v>778.41706823499999</c:v>
                </c:pt>
                <c:pt idx="43">
                  <c:v>802.20925264699997</c:v>
                </c:pt>
                <c:pt idx="44">
                  <c:v>869.05638110799998</c:v>
                </c:pt>
                <c:pt idx="45">
                  <c:v>814.23450570608031</c:v>
                </c:pt>
                <c:pt idx="46">
                  <c:v>789.75853308421119</c:v>
                </c:pt>
                <c:pt idx="47">
                  <c:v>921.12590065399991</c:v>
                </c:pt>
                <c:pt idx="48">
                  <c:v>858.14583255189325</c:v>
                </c:pt>
                <c:pt idx="49">
                  <c:v>794.38525953734541</c:v>
                </c:pt>
                <c:pt idx="50">
                  <c:v>837.97206144917845</c:v>
                </c:pt>
                <c:pt idx="51">
                  <c:v>849.1370651609999</c:v>
                </c:pt>
                <c:pt idx="52">
                  <c:v>799.16696435400002</c:v>
                </c:pt>
                <c:pt idx="53">
                  <c:v>825.72287555000003</c:v>
                </c:pt>
                <c:pt idx="54">
                  <c:v>805.49127344399994</c:v>
                </c:pt>
                <c:pt idx="55">
                  <c:v>878.64581718099998</c:v>
                </c:pt>
                <c:pt idx="56">
                  <c:v>902.21040746954304</c:v>
                </c:pt>
                <c:pt idx="57">
                  <c:v>935.6470976006384</c:v>
                </c:pt>
                <c:pt idx="58">
                  <c:v>946.11966046102998</c:v>
                </c:pt>
                <c:pt idx="59">
                  <c:v>949.93498222398875</c:v>
                </c:pt>
                <c:pt idx="60">
                  <c:v>1032.0713956660929</c:v>
                </c:pt>
                <c:pt idx="61">
                  <c:v>1064.5007282250001</c:v>
                </c:pt>
                <c:pt idx="62">
                  <c:v>983.03702592799993</c:v>
                </c:pt>
                <c:pt idx="63">
                  <c:v>1011.757428596</c:v>
                </c:pt>
                <c:pt idx="64">
                  <c:v>977.06830343500008</c:v>
                </c:pt>
                <c:pt idx="65">
                  <c:v>1017.4569520471633</c:v>
                </c:pt>
                <c:pt idx="66">
                  <c:v>1029.4954732390001</c:v>
                </c:pt>
                <c:pt idx="67">
                  <c:v>1017.3196803941634</c:v>
                </c:pt>
                <c:pt idx="68">
                  <c:v>1120.9013633744883</c:v>
                </c:pt>
                <c:pt idx="69">
                  <c:v>1058.7911736260776</c:v>
                </c:pt>
                <c:pt idx="70">
                  <c:v>1034.550898771</c:v>
                </c:pt>
                <c:pt idx="71">
                  <c:v>1070.7016604299999</c:v>
                </c:pt>
                <c:pt idx="72">
                  <c:v>1017.1189289050001</c:v>
                </c:pt>
                <c:pt idx="73">
                  <c:v>1028.5216442579999</c:v>
                </c:pt>
                <c:pt idx="74">
                  <c:v>1012.5797583531289</c:v>
                </c:pt>
                <c:pt idx="75">
                  <c:v>1058.7497779329999</c:v>
                </c:pt>
                <c:pt idx="76">
                  <c:v>1054.7933421307305</c:v>
                </c:pt>
                <c:pt idx="77">
                  <c:v>1184.2242966189999</c:v>
                </c:pt>
                <c:pt idx="78">
                  <c:v>1089.4909033419999</c:v>
                </c:pt>
                <c:pt idx="79">
                  <c:v>1222.5253572940001</c:v>
                </c:pt>
                <c:pt idx="80">
                  <c:v>1541.7251113119999</c:v>
                </c:pt>
                <c:pt idx="81">
                  <c:v>1319.6822009169998</c:v>
                </c:pt>
                <c:pt idx="82">
                  <c:v>1356.2095992540001</c:v>
                </c:pt>
                <c:pt idx="83">
                  <c:v>1232.928772282</c:v>
                </c:pt>
                <c:pt idx="84">
                  <c:v>1243.8881176500001</c:v>
                </c:pt>
                <c:pt idx="85">
                  <c:v>1237.7954860929999</c:v>
                </c:pt>
                <c:pt idx="86">
                  <c:v>1228.7503124</c:v>
                </c:pt>
                <c:pt idx="87">
                  <c:v>1222.721999228</c:v>
                </c:pt>
                <c:pt idx="88">
                  <c:v>1251.746148829</c:v>
                </c:pt>
                <c:pt idx="89">
                  <c:v>1224.6552565219999</c:v>
                </c:pt>
                <c:pt idx="90">
                  <c:v>1173.143190452</c:v>
                </c:pt>
                <c:pt idx="91">
                  <c:v>1173.123606095</c:v>
                </c:pt>
                <c:pt idx="92">
                  <c:v>1262.7449119200003</c:v>
                </c:pt>
                <c:pt idx="93">
                  <c:v>1252.4485564259999</c:v>
                </c:pt>
                <c:pt idx="94">
                  <c:v>1085.0335829630001</c:v>
                </c:pt>
                <c:pt idx="95">
                  <c:v>1243.6039750799998</c:v>
                </c:pt>
                <c:pt idx="96">
                  <c:v>1381.830409678</c:v>
                </c:pt>
                <c:pt idx="97">
                  <c:v>1323.8055462990001</c:v>
                </c:pt>
                <c:pt idx="98">
                  <c:v>1349.5134398269997</c:v>
                </c:pt>
                <c:pt idx="99">
                  <c:v>1347.9180897639999</c:v>
                </c:pt>
                <c:pt idx="100">
                  <c:v>1313.5434206169998</c:v>
                </c:pt>
                <c:pt idx="101">
                  <c:v>1335.9944169970001</c:v>
                </c:pt>
                <c:pt idx="102">
                  <c:v>1298.314494235</c:v>
                </c:pt>
                <c:pt idx="103">
                  <c:v>1264.17441975</c:v>
                </c:pt>
                <c:pt idx="104">
                  <c:v>1382.586212357</c:v>
                </c:pt>
              </c:numCache>
            </c:numRef>
          </c:val>
          <c:smooth val="0"/>
          <c:extLst>
            <c:ext xmlns:c16="http://schemas.microsoft.com/office/drawing/2014/chart" uri="{C3380CC4-5D6E-409C-BE32-E72D297353CC}">
              <c16:uniqueId val="{00000000-4E2F-42ED-B367-F06453C41506}"/>
            </c:ext>
          </c:extLst>
        </c:ser>
        <c:dLbls>
          <c:showLegendKey val="0"/>
          <c:showVal val="0"/>
          <c:showCatName val="0"/>
          <c:showSerName val="0"/>
          <c:showPercent val="0"/>
          <c:showBubbleSize val="0"/>
        </c:dLbls>
        <c:marker val="1"/>
        <c:smooth val="0"/>
        <c:axId val="84413056"/>
        <c:axId val="84427136"/>
      </c:lineChart>
      <c:lineChart>
        <c:grouping val="standard"/>
        <c:varyColors val="0"/>
        <c:ser>
          <c:idx val="0"/>
          <c:order val="0"/>
          <c:tx>
            <c:strRef>
              <c:f>Serie_Graph3!$Y$3</c:f>
              <c:strCache>
                <c:ptCount val="1"/>
                <c:pt idx="0">
                  <c:v>Créances sur l'économie</c:v>
                </c:pt>
              </c:strCache>
            </c:strRef>
          </c:tx>
          <c:spPr>
            <a:ln w="28575" cap="rnd">
              <a:solidFill>
                <a:schemeClr val="accent1"/>
              </a:solidFill>
              <a:round/>
            </a:ln>
            <a:effectLst/>
          </c:spPr>
          <c:marker>
            <c:symbol val="none"/>
          </c:marker>
          <c:cat>
            <c:numRef>
              <c:f>Serie_Graph3!$Q$4:$Q$111</c:f>
              <c:numCache>
                <c:formatCode>m/d/yyyy</c:formatCode>
                <c:ptCount val="10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pt idx="35">
                  <c:v>43160</c:v>
                </c:pt>
                <c:pt idx="36">
                  <c:v>43191</c:v>
                </c:pt>
                <c:pt idx="37">
                  <c:v>43221</c:v>
                </c:pt>
                <c:pt idx="38">
                  <c:v>43252</c:v>
                </c:pt>
                <c:pt idx="39">
                  <c:v>43282</c:v>
                </c:pt>
                <c:pt idx="40">
                  <c:v>43313</c:v>
                </c:pt>
                <c:pt idx="41">
                  <c:v>43344</c:v>
                </c:pt>
                <c:pt idx="42">
                  <c:v>43374</c:v>
                </c:pt>
                <c:pt idx="43">
                  <c:v>43405</c:v>
                </c:pt>
                <c:pt idx="44">
                  <c:v>43435</c:v>
                </c:pt>
                <c:pt idx="45">
                  <c:v>43466</c:v>
                </c:pt>
                <c:pt idx="46">
                  <c:v>43497</c:v>
                </c:pt>
                <c:pt idx="47">
                  <c:v>43525</c:v>
                </c:pt>
                <c:pt idx="48">
                  <c:v>43556</c:v>
                </c:pt>
                <c:pt idx="49">
                  <c:v>43586</c:v>
                </c:pt>
                <c:pt idx="50">
                  <c:v>43617</c:v>
                </c:pt>
                <c:pt idx="51">
                  <c:v>43647</c:v>
                </c:pt>
                <c:pt idx="52">
                  <c:v>43678</c:v>
                </c:pt>
                <c:pt idx="53">
                  <c:v>43709</c:v>
                </c:pt>
                <c:pt idx="54">
                  <c:v>43739</c:v>
                </c:pt>
                <c:pt idx="55">
                  <c:v>43770</c:v>
                </c:pt>
                <c:pt idx="56">
                  <c:v>43800</c:v>
                </c:pt>
                <c:pt idx="57">
                  <c:v>43831</c:v>
                </c:pt>
                <c:pt idx="58">
                  <c:v>43862</c:v>
                </c:pt>
                <c:pt idx="59">
                  <c:v>43891</c:v>
                </c:pt>
                <c:pt idx="60">
                  <c:v>43922</c:v>
                </c:pt>
                <c:pt idx="61">
                  <c:v>43952</c:v>
                </c:pt>
                <c:pt idx="62">
                  <c:v>43983</c:v>
                </c:pt>
                <c:pt idx="63">
                  <c:v>44013</c:v>
                </c:pt>
                <c:pt idx="64">
                  <c:v>44044</c:v>
                </c:pt>
                <c:pt idx="65">
                  <c:v>44075</c:v>
                </c:pt>
                <c:pt idx="66">
                  <c:v>44105</c:v>
                </c:pt>
                <c:pt idx="67">
                  <c:v>44136</c:v>
                </c:pt>
                <c:pt idx="68">
                  <c:v>44166</c:v>
                </c:pt>
                <c:pt idx="69">
                  <c:v>44197</c:v>
                </c:pt>
                <c:pt idx="70">
                  <c:v>44228</c:v>
                </c:pt>
                <c:pt idx="71">
                  <c:v>44256</c:v>
                </c:pt>
                <c:pt idx="72">
                  <c:v>44287</c:v>
                </c:pt>
                <c:pt idx="73">
                  <c:v>44317</c:v>
                </c:pt>
                <c:pt idx="74">
                  <c:v>44348</c:v>
                </c:pt>
                <c:pt idx="75">
                  <c:v>44378</c:v>
                </c:pt>
                <c:pt idx="76">
                  <c:v>44409</c:v>
                </c:pt>
                <c:pt idx="77">
                  <c:v>44440</c:v>
                </c:pt>
                <c:pt idx="78">
                  <c:v>44470</c:v>
                </c:pt>
                <c:pt idx="79">
                  <c:v>44501</c:v>
                </c:pt>
                <c:pt idx="80">
                  <c:v>44531</c:v>
                </c:pt>
                <c:pt idx="81">
                  <c:v>44562</c:v>
                </c:pt>
                <c:pt idx="82">
                  <c:v>44593</c:v>
                </c:pt>
                <c:pt idx="83">
                  <c:v>44621</c:v>
                </c:pt>
                <c:pt idx="84">
                  <c:v>44652</c:v>
                </c:pt>
                <c:pt idx="85">
                  <c:v>44682</c:v>
                </c:pt>
                <c:pt idx="86">
                  <c:v>44713</c:v>
                </c:pt>
                <c:pt idx="87">
                  <c:v>44743</c:v>
                </c:pt>
                <c:pt idx="88">
                  <c:v>44774</c:v>
                </c:pt>
                <c:pt idx="89">
                  <c:v>44805</c:v>
                </c:pt>
                <c:pt idx="90">
                  <c:v>44835</c:v>
                </c:pt>
                <c:pt idx="91">
                  <c:v>44866</c:v>
                </c:pt>
                <c:pt idx="92">
                  <c:v>44896</c:v>
                </c:pt>
                <c:pt idx="93">
                  <c:v>44927</c:v>
                </c:pt>
                <c:pt idx="94">
                  <c:v>44958</c:v>
                </c:pt>
                <c:pt idx="95">
                  <c:v>44986</c:v>
                </c:pt>
                <c:pt idx="96">
                  <c:v>45017</c:v>
                </c:pt>
                <c:pt idx="97">
                  <c:v>45047</c:v>
                </c:pt>
                <c:pt idx="98">
                  <c:v>45078</c:v>
                </c:pt>
                <c:pt idx="99">
                  <c:v>45108</c:v>
                </c:pt>
                <c:pt idx="100">
                  <c:v>45139</c:v>
                </c:pt>
                <c:pt idx="101">
                  <c:v>45170</c:v>
                </c:pt>
                <c:pt idx="102">
                  <c:v>45200</c:v>
                </c:pt>
                <c:pt idx="103">
                  <c:v>45231</c:v>
                </c:pt>
                <c:pt idx="104">
                  <c:v>45261</c:v>
                </c:pt>
              </c:numCache>
            </c:numRef>
          </c:cat>
          <c:val>
            <c:numRef>
              <c:f>Serie_Graph3!$Y$4:$Y$111</c:f>
              <c:numCache>
                <c:formatCode>0.0</c:formatCode>
                <c:ptCount val="108"/>
                <c:pt idx="0">
                  <c:v>1919.6576517211661</c:v>
                </c:pt>
                <c:pt idx="1">
                  <c:v>1919.201267021142</c:v>
                </c:pt>
                <c:pt idx="2">
                  <c:v>1942.1369011876088</c:v>
                </c:pt>
                <c:pt idx="3">
                  <c:v>1892.6835935629483</c:v>
                </c:pt>
                <c:pt idx="4">
                  <c:v>1899.1866438838426</c:v>
                </c:pt>
                <c:pt idx="5">
                  <c:v>1899.4534670880798</c:v>
                </c:pt>
                <c:pt idx="6">
                  <c:v>1955.6302332769258</c:v>
                </c:pt>
                <c:pt idx="7">
                  <c:v>1964.0142261976266</c:v>
                </c:pt>
                <c:pt idx="8">
                  <c:v>2014.6846369172526</c:v>
                </c:pt>
                <c:pt idx="9">
                  <c:v>1988.4757794595296</c:v>
                </c:pt>
                <c:pt idx="10">
                  <c:v>2013.3861274840074</c:v>
                </c:pt>
                <c:pt idx="11">
                  <c:v>1994.9115635312435</c:v>
                </c:pt>
                <c:pt idx="12">
                  <c:v>2003.1202433962826</c:v>
                </c:pt>
                <c:pt idx="13">
                  <c:v>2106.3068736633559</c:v>
                </c:pt>
                <c:pt idx="14">
                  <c:v>2078.2104698947614</c:v>
                </c:pt>
                <c:pt idx="15">
                  <c:v>2045.2842582299861</c:v>
                </c:pt>
                <c:pt idx="16">
                  <c:v>2026.5856932146614</c:v>
                </c:pt>
                <c:pt idx="17">
                  <c:v>2007.1378873711176</c:v>
                </c:pt>
                <c:pt idx="18">
                  <c:v>2029.9984404114027</c:v>
                </c:pt>
                <c:pt idx="19">
                  <c:v>2052.9430173641981</c:v>
                </c:pt>
                <c:pt idx="20">
                  <c:v>2140.0873093918235</c:v>
                </c:pt>
                <c:pt idx="21">
                  <c:v>2165.206811539711</c:v>
                </c:pt>
                <c:pt idx="22">
                  <c:v>2168.5630209328842</c:v>
                </c:pt>
                <c:pt idx="23">
                  <c:v>2168.4142787848164</c:v>
                </c:pt>
                <c:pt idx="24">
                  <c:v>2190.0567558771859</c:v>
                </c:pt>
                <c:pt idx="25">
                  <c:v>2253.8783108456396</c:v>
                </c:pt>
                <c:pt idx="26">
                  <c:v>2284.7951203849907</c:v>
                </c:pt>
                <c:pt idx="27">
                  <c:v>2252.4939589413057</c:v>
                </c:pt>
                <c:pt idx="28">
                  <c:v>2240.5169495372784</c:v>
                </c:pt>
                <c:pt idx="29">
                  <c:v>2270.0090593227601</c:v>
                </c:pt>
                <c:pt idx="30">
                  <c:v>2296.4373380160278</c:v>
                </c:pt>
                <c:pt idx="31">
                  <c:v>2297.1461458564268</c:v>
                </c:pt>
                <c:pt idx="32">
                  <c:v>2365.0571564694951</c:v>
                </c:pt>
                <c:pt idx="33">
                  <c:v>2545.4189999999999</c:v>
                </c:pt>
                <c:pt idx="34">
                  <c:v>2510.0359999999996</c:v>
                </c:pt>
                <c:pt idx="35">
                  <c:v>2465.7370000000005</c:v>
                </c:pt>
                <c:pt idx="36">
                  <c:v>2477.4849999999997</c:v>
                </c:pt>
                <c:pt idx="37">
                  <c:v>2477.0709999999999</c:v>
                </c:pt>
                <c:pt idx="38">
                  <c:v>2542.8380000000002</c:v>
                </c:pt>
                <c:pt idx="39">
                  <c:v>2499.875</c:v>
                </c:pt>
                <c:pt idx="40">
                  <c:v>2536.442</c:v>
                </c:pt>
                <c:pt idx="41">
                  <c:v>2598.77</c:v>
                </c:pt>
                <c:pt idx="42">
                  <c:v>2591.806</c:v>
                </c:pt>
                <c:pt idx="43">
                  <c:v>2597.0320000000002</c:v>
                </c:pt>
                <c:pt idx="44">
                  <c:v>2658.9750000000004</c:v>
                </c:pt>
                <c:pt idx="45">
                  <c:v>2637.56</c:v>
                </c:pt>
                <c:pt idx="46">
                  <c:v>2632.076</c:v>
                </c:pt>
                <c:pt idx="47">
                  <c:v>2708.6520000000005</c:v>
                </c:pt>
                <c:pt idx="48">
                  <c:v>2702.989</c:v>
                </c:pt>
                <c:pt idx="49">
                  <c:v>2817.9569999999999</c:v>
                </c:pt>
                <c:pt idx="50">
                  <c:v>2877.5329999999999</c:v>
                </c:pt>
                <c:pt idx="51">
                  <c:v>2896.4969999999998</c:v>
                </c:pt>
                <c:pt idx="52">
                  <c:v>2900.3359999999993</c:v>
                </c:pt>
                <c:pt idx="53">
                  <c:v>2916.7570000000001</c:v>
                </c:pt>
                <c:pt idx="54">
                  <c:v>2875.5699999999997</c:v>
                </c:pt>
                <c:pt idx="55">
                  <c:v>2853.0519999999997</c:v>
                </c:pt>
                <c:pt idx="56">
                  <c:v>2909.8429999999998</c:v>
                </c:pt>
                <c:pt idx="57">
                  <c:v>2887.4759999999997</c:v>
                </c:pt>
                <c:pt idx="58">
                  <c:v>2948.201</c:v>
                </c:pt>
                <c:pt idx="59">
                  <c:v>2970.9789999999998</c:v>
                </c:pt>
                <c:pt idx="60">
                  <c:v>3080.9920000000002</c:v>
                </c:pt>
                <c:pt idx="61">
                  <c:v>3068.3440000000001</c:v>
                </c:pt>
                <c:pt idx="62">
                  <c:v>3083.5699999999997</c:v>
                </c:pt>
                <c:pt idx="63">
                  <c:v>3031.6240000000003</c:v>
                </c:pt>
                <c:pt idx="64">
                  <c:v>2980.0920000000001</c:v>
                </c:pt>
                <c:pt idx="65">
                  <c:v>3020.1969999999997</c:v>
                </c:pt>
                <c:pt idx="66">
                  <c:v>3007.297</c:v>
                </c:pt>
                <c:pt idx="67">
                  <c:v>3009.4740000000002</c:v>
                </c:pt>
                <c:pt idx="68">
                  <c:v>3180.578</c:v>
                </c:pt>
                <c:pt idx="69">
                  <c:v>3110.998</c:v>
                </c:pt>
                <c:pt idx="70">
                  <c:v>3082.9539999999997</c:v>
                </c:pt>
                <c:pt idx="71">
                  <c:v>3073.4369999999999</c:v>
                </c:pt>
                <c:pt idx="72">
                  <c:v>3064.6550000000002</c:v>
                </c:pt>
                <c:pt idx="73">
                  <c:v>3094.4629999999997</c:v>
                </c:pt>
                <c:pt idx="74">
                  <c:v>3215.9340000000002</c:v>
                </c:pt>
                <c:pt idx="75">
                  <c:v>3319.0340000000001</c:v>
                </c:pt>
                <c:pt idx="76">
                  <c:v>3150.2839999999997</c:v>
                </c:pt>
                <c:pt idx="77">
                  <c:v>3278.636</c:v>
                </c:pt>
                <c:pt idx="78">
                  <c:v>3294.2039999999997</c:v>
                </c:pt>
                <c:pt idx="79">
                  <c:v>3272.759</c:v>
                </c:pt>
                <c:pt idx="80">
                  <c:v>3546.2490000000003</c:v>
                </c:pt>
                <c:pt idx="81">
                  <c:v>3492.4250000000002</c:v>
                </c:pt>
                <c:pt idx="82">
                  <c:v>3546.4110000000001</c:v>
                </c:pt>
                <c:pt idx="83">
                  <c:v>3597.482</c:v>
                </c:pt>
                <c:pt idx="84">
                  <c:v>3648.3450000000003</c:v>
                </c:pt>
                <c:pt idx="85">
                  <c:v>3714.31</c:v>
                </c:pt>
                <c:pt idx="86">
                  <c:v>3865.9490000000001</c:v>
                </c:pt>
                <c:pt idx="87">
                  <c:v>3884.163</c:v>
                </c:pt>
                <c:pt idx="88">
                  <c:v>3975.2160000000003</c:v>
                </c:pt>
                <c:pt idx="89">
                  <c:v>3879.6470000000004</c:v>
                </c:pt>
                <c:pt idx="90">
                  <c:v>4029.9139999999998</c:v>
                </c:pt>
                <c:pt idx="91">
                  <c:v>4083.9989999999998</c:v>
                </c:pt>
                <c:pt idx="92">
                  <c:v>4244.9210000000003</c:v>
                </c:pt>
                <c:pt idx="93">
                  <c:v>4037.1010000000001</c:v>
                </c:pt>
                <c:pt idx="94">
                  <c:v>4001.0639999999999</c:v>
                </c:pt>
                <c:pt idx="95">
                  <c:v>3975.3029999999999</c:v>
                </c:pt>
                <c:pt idx="96">
                  <c:v>4050.2220000000002</c:v>
                </c:pt>
                <c:pt idx="97">
                  <c:v>4136.9219999999996</c:v>
                </c:pt>
                <c:pt idx="98">
                  <c:v>4143.2060000000001</c:v>
                </c:pt>
                <c:pt idx="99">
                  <c:v>4161.942</c:v>
                </c:pt>
                <c:pt idx="100">
                  <c:v>4185.768</c:v>
                </c:pt>
                <c:pt idx="101">
                  <c:v>4336.0569999999998</c:v>
                </c:pt>
                <c:pt idx="102">
                  <c:v>4224.1550000000007</c:v>
                </c:pt>
                <c:pt idx="103">
                  <c:v>4272.0509999999995</c:v>
                </c:pt>
                <c:pt idx="104">
                  <c:v>4312.223</c:v>
                </c:pt>
              </c:numCache>
            </c:numRef>
          </c:val>
          <c:smooth val="0"/>
          <c:extLst>
            <c:ext xmlns:c16="http://schemas.microsoft.com/office/drawing/2014/chart" uri="{C3380CC4-5D6E-409C-BE32-E72D297353CC}">
              <c16:uniqueId val="{00000001-4E2F-42ED-B367-F06453C41506}"/>
            </c:ext>
          </c:extLst>
        </c:ser>
        <c:ser>
          <c:idx val="2"/>
          <c:order val="2"/>
          <c:tx>
            <c:strRef>
              <c:f>Serie_Graph3!$AA$3</c:f>
              <c:strCache>
                <c:ptCount val="1"/>
                <c:pt idx="0">
                  <c:v>Actions et autres titres de participation</c:v>
                </c:pt>
              </c:strCache>
            </c:strRef>
          </c:tx>
          <c:spPr>
            <a:ln w="28575" cap="rnd">
              <a:solidFill>
                <a:schemeClr val="accent3"/>
              </a:solidFill>
              <a:round/>
            </a:ln>
            <a:effectLst/>
          </c:spPr>
          <c:marker>
            <c:symbol val="none"/>
          </c:marker>
          <c:cat>
            <c:numRef>
              <c:f>Serie_Graph3!$Q$4:$Q$111</c:f>
              <c:numCache>
                <c:formatCode>m/d/yyyy</c:formatCode>
                <c:ptCount val="10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pt idx="31">
                  <c:v>43040</c:v>
                </c:pt>
                <c:pt idx="32">
                  <c:v>43070</c:v>
                </c:pt>
                <c:pt idx="33">
                  <c:v>43101</c:v>
                </c:pt>
                <c:pt idx="34">
                  <c:v>43132</c:v>
                </c:pt>
                <c:pt idx="35">
                  <c:v>43160</c:v>
                </c:pt>
                <c:pt idx="36">
                  <c:v>43191</c:v>
                </c:pt>
                <c:pt idx="37">
                  <c:v>43221</c:v>
                </c:pt>
                <c:pt idx="38">
                  <c:v>43252</c:v>
                </c:pt>
                <c:pt idx="39">
                  <c:v>43282</c:v>
                </c:pt>
                <c:pt idx="40">
                  <c:v>43313</c:v>
                </c:pt>
                <c:pt idx="41">
                  <c:v>43344</c:v>
                </c:pt>
                <c:pt idx="42">
                  <c:v>43374</c:v>
                </c:pt>
                <c:pt idx="43">
                  <c:v>43405</c:v>
                </c:pt>
                <c:pt idx="44">
                  <c:v>43435</c:v>
                </c:pt>
                <c:pt idx="45">
                  <c:v>43466</c:v>
                </c:pt>
                <c:pt idx="46">
                  <c:v>43497</c:v>
                </c:pt>
                <c:pt idx="47">
                  <c:v>43525</c:v>
                </c:pt>
                <c:pt idx="48">
                  <c:v>43556</c:v>
                </c:pt>
                <c:pt idx="49">
                  <c:v>43586</c:v>
                </c:pt>
                <c:pt idx="50">
                  <c:v>43617</c:v>
                </c:pt>
                <c:pt idx="51">
                  <c:v>43647</c:v>
                </c:pt>
                <c:pt idx="52">
                  <c:v>43678</c:v>
                </c:pt>
                <c:pt idx="53">
                  <c:v>43709</c:v>
                </c:pt>
                <c:pt idx="54">
                  <c:v>43739</c:v>
                </c:pt>
                <c:pt idx="55">
                  <c:v>43770</c:v>
                </c:pt>
                <c:pt idx="56">
                  <c:v>43800</c:v>
                </c:pt>
                <c:pt idx="57">
                  <c:v>43831</c:v>
                </c:pt>
                <c:pt idx="58">
                  <c:v>43862</c:v>
                </c:pt>
                <c:pt idx="59">
                  <c:v>43891</c:v>
                </c:pt>
                <c:pt idx="60">
                  <c:v>43922</c:v>
                </c:pt>
                <c:pt idx="61">
                  <c:v>43952</c:v>
                </c:pt>
                <c:pt idx="62">
                  <c:v>43983</c:v>
                </c:pt>
                <c:pt idx="63">
                  <c:v>44013</c:v>
                </c:pt>
                <c:pt idx="64">
                  <c:v>44044</c:v>
                </c:pt>
                <c:pt idx="65">
                  <c:v>44075</c:v>
                </c:pt>
                <c:pt idx="66">
                  <c:v>44105</c:v>
                </c:pt>
                <c:pt idx="67">
                  <c:v>44136</c:v>
                </c:pt>
                <c:pt idx="68">
                  <c:v>44166</c:v>
                </c:pt>
                <c:pt idx="69">
                  <c:v>44197</c:v>
                </c:pt>
                <c:pt idx="70">
                  <c:v>44228</c:v>
                </c:pt>
                <c:pt idx="71">
                  <c:v>44256</c:v>
                </c:pt>
                <c:pt idx="72">
                  <c:v>44287</c:v>
                </c:pt>
                <c:pt idx="73">
                  <c:v>44317</c:v>
                </c:pt>
                <c:pt idx="74">
                  <c:v>44348</c:v>
                </c:pt>
                <c:pt idx="75">
                  <c:v>44378</c:v>
                </c:pt>
                <c:pt idx="76">
                  <c:v>44409</c:v>
                </c:pt>
                <c:pt idx="77">
                  <c:v>44440</c:v>
                </c:pt>
                <c:pt idx="78">
                  <c:v>44470</c:v>
                </c:pt>
                <c:pt idx="79">
                  <c:v>44501</c:v>
                </c:pt>
                <c:pt idx="80">
                  <c:v>44531</c:v>
                </c:pt>
                <c:pt idx="81">
                  <c:v>44562</c:v>
                </c:pt>
                <c:pt idx="82">
                  <c:v>44593</c:v>
                </c:pt>
                <c:pt idx="83">
                  <c:v>44621</c:v>
                </c:pt>
                <c:pt idx="84">
                  <c:v>44652</c:v>
                </c:pt>
                <c:pt idx="85">
                  <c:v>44682</c:v>
                </c:pt>
                <c:pt idx="86">
                  <c:v>44713</c:v>
                </c:pt>
                <c:pt idx="87">
                  <c:v>44743</c:v>
                </c:pt>
                <c:pt idx="88">
                  <c:v>44774</c:v>
                </c:pt>
                <c:pt idx="89">
                  <c:v>44805</c:v>
                </c:pt>
                <c:pt idx="90">
                  <c:v>44835</c:v>
                </c:pt>
                <c:pt idx="91">
                  <c:v>44866</c:v>
                </c:pt>
                <c:pt idx="92">
                  <c:v>44896</c:v>
                </c:pt>
                <c:pt idx="93">
                  <c:v>44927</c:v>
                </c:pt>
                <c:pt idx="94">
                  <c:v>44958</c:v>
                </c:pt>
                <c:pt idx="95">
                  <c:v>44986</c:v>
                </c:pt>
                <c:pt idx="96">
                  <c:v>45017</c:v>
                </c:pt>
                <c:pt idx="97">
                  <c:v>45047</c:v>
                </c:pt>
                <c:pt idx="98">
                  <c:v>45078</c:v>
                </c:pt>
                <c:pt idx="99">
                  <c:v>45108</c:v>
                </c:pt>
                <c:pt idx="100">
                  <c:v>45139</c:v>
                </c:pt>
                <c:pt idx="101">
                  <c:v>45170</c:v>
                </c:pt>
                <c:pt idx="102">
                  <c:v>45200</c:v>
                </c:pt>
                <c:pt idx="103">
                  <c:v>45231</c:v>
                </c:pt>
                <c:pt idx="104">
                  <c:v>45261</c:v>
                </c:pt>
              </c:numCache>
            </c:numRef>
          </c:cat>
          <c:val>
            <c:numRef>
              <c:f>Serie_Graph3!$AA$4:$AA$111</c:f>
              <c:numCache>
                <c:formatCode>0.0</c:formatCode>
                <c:ptCount val="108"/>
                <c:pt idx="0">
                  <c:v>3.4802995669999999</c:v>
                </c:pt>
                <c:pt idx="1">
                  <c:v>4.2647013520000003</c:v>
                </c:pt>
                <c:pt idx="2">
                  <c:v>5.2033969860000004</c:v>
                </c:pt>
                <c:pt idx="3">
                  <c:v>5.5669167079999999</c:v>
                </c:pt>
                <c:pt idx="4">
                  <c:v>6.3135218230000003</c:v>
                </c:pt>
                <c:pt idx="5">
                  <c:v>7.2511100099999997</c:v>
                </c:pt>
                <c:pt idx="6">
                  <c:v>7.4956492800000003</c:v>
                </c:pt>
                <c:pt idx="7">
                  <c:v>8.2791810750000003</c:v>
                </c:pt>
                <c:pt idx="8">
                  <c:v>8.7337777340000002</c:v>
                </c:pt>
                <c:pt idx="9">
                  <c:v>1.2322314569999999</c:v>
                </c:pt>
                <c:pt idx="10">
                  <c:v>1.9832287419999999</c:v>
                </c:pt>
                <c:pt idx="11">
                  <c:v>4.2393092059999997</c:v>
                </c:pt>
                <c:pt idx="12">
                  <c:v>5.4350917839999999</c:v>
                </c:pt>
                <c:pt idx="13">
                  <c:v>7.0919777020000003</c:v>
                </c:pt>
                <c:pt idx="14">
                  <c:v>8.5795674049999988</c:v>
                </c:pt>
                <c:pt idx="15">
                  <c:v>9.8845115139999997</c:v>
                </c:pt>
                <c:pt idx="16">
                  <c:v>11.624133473000001</c:v>
                </c:pt>
                <c:pt idx="17">
                  <c:v>13.058915154999999</c:v>
                </c:pt>
                <c:pt idx="18">
                  <c:v>13.940406232000001</c:v>
                </c:pt>
                <c:pt idx="19">
                  <c:v>16.474459067000002</c:v>
                </c:pt>
                <c:pt idx="20">
                  <c:v>17.945786177999999</c:v>
                </c:pt>
                <c:pt idx="21">
                  <c:v>2.2131634900000003</c:v>
                </c:pt>
                <c:pt idx="22">
                  <c:v>4.7218417379999993</c:v>
                </c:pt>
                <c:pt idx="23">
                  <c:v>7.0651509969999999</c:v>
                </c:pt>
                <c:pt idx="24">
                  <c:v>7.2601016120000006</c:v>
                </c:pt>
                <c:pt idx="25">
                  <c:v>8.7346684430000003</c:v>
                </c:pt>
                <c:pt idx="26">
                  <c:v>11.823383059999999</c:v>
                </c:pt>
                <c:pt idx="27">
                  <c:v>13.048615732</c:v>
                </c:pt>
                <c:pt idx="28">
                  <c:v>14.669613052000001</c:v>
                </c:pt>
                <c:pt idx="29">
                  <c:v>15.974240444000001</c:v>
                </c:pt>
                <c:pt idx="30">
                  <c:v>19.047195768000002</c:v>
                </c:pt>
                <c:pt idx="31">
                  <c:v>20.627583884</c:v>
                </c:pt>
                <c:pt idx="32">
                  <c:v>22.699932895</c:v>
                </c:pt>
                <c:pt idx="33">
                  <c:v>2.7099771260000001</c:v>
                </c:pt>
                <c:pt idx="34">
                  <c:v>4.6465459200000003</c:v>
                </c:pt>
                <c:pt idx="35">
                  <c:v>6.422697747</c:v>
                </c:pt>
                <c:pt idx="36">
                  <c:v>7.8803900890000005</c:v>
                </c:pt>
                <c:pt idx="37">
                  <c:v>9.6094446530000006</c:v>
                </c:pt>
                <c:pt idx="38">
                  <c:v>10.568511027</c:v>
                </c:pt>
                <c:pt idx="39">
                  <c:v>11.220388752</c:v>
                </c:pt>
                <c:pt idx="40">
                  <c:v>11.9973885</c:v>
                </c:pt>
                <c:pt idx="41">
                  <c:v>12.738534559</c:v>
                </c:pt>
                <c:pt idx="42">
                  <c:v>13.95092676</c:v>
                </c:pt>
                <c:pt idx="43">
                  <c:v>14.837343036</c:v>
                </c:pt>
                <c:pt idx="44">
                  <c:v>16.510390504</c:v>
                </c:pt>
                <c:pt idx="45">
                  <c:v>2.5268523729999997</c:v>
                </c:pt>
                <c:pt idx="46">
                  <c:v>4.3836419729999996</c:v>
                </c:pt>
                <c:pt idx="47">
                  <c:v>6.174830203</c:v>
                </c:pt>
                <c:pt idx="48">
                  <c:v>8.0577764789999993</c:v>
                </c:pt>
                <c:pt idx="49">
                  <c:v>9.1259523970000007</c:v>
                </c:pt>
                <c:pt idx="50">
                  <c:v>10.381791571000001</c:v>
                </c:pt>
                <c:pt idx="51">
                  <c:v>12.721943741999999</c:v>
                </c:pt>
                <c:pt idx="52">
                  <c:v>14.441545173000002</c:v>
                </c:pt>
                <c:pt idx="53">
                  <c:v>16.360112107999999</c:v>
                </c:pt>
                <c:pt idx="54">
                  <c:v>17.661845277000001</c:v>
                </c:pt>
                <c:pt idx="55">
                  <c:v>18.899776616</c:v>
                </c:pt>
                <c:pt idx="56">
                  <c:v>1.5537082310000001</c:v>
                </c:pt>
                <c:pt idx="57">
                  <c:v>3.9113197660000001</c:v>
                </c:pt>
                <c:pt idx="58">
                  <c:v>5.7150183459999999</c:v>
                </c:pt>
                <c:pt idx="59">
                  <c:v>6.9327861510000002</c:v>
                </c:pt>
                <c:pt idx="60">
                  <c:v>6.4231411940000003</c:v>
                </c:pt>
                <c:pt idx="61">
                  <c:v>7.4284675529999999</c:v>
                </c:pt>
                <c:pt idx="62">
                  <c:v>8.8093315580000002</c:v>
                </c:pt>
                <c:pt idx="63">
                  <c:v>9.4274306810000006</c:v>
                </c:pt>
                <c:pt idx="64">
                  <c:v>11.006864095000001</c:v>
                </c:pt>
                <c:pt idx="65">
                  <c:v>11.785490080000001</c:v>
                </c:pt>
                <c:pt idx="66">
                  <c:v>13.556936030999999</c:v>
                </c:pt>
                <c:pt idx="67">
                  <c:v>13.933262469000001</c:v>
                </c:pt>
                <c:pt idx="68">
                  <c:v>0.47495395800000001</c:v>
                </c:pt>
                <c:pt idx="69">
                  <c:v>0.98361612899999995</c:v>
                </c:pt>
                <c:pt idx="70">
                  <c:v>1.6917857700000001</c:v>
                </c:pt>
                <c:pt idx="71">
                  <c:v>2.4274730849999999</c:v>
                </c:pt>
                <c:pt idx="72">
                  <c:v>3.0511894230000003</c:v>
                </c:pt>
                <c:pt idx="73">
                  <c:v>3.3491906220000001</c:v>
                </c:pt>
                <c:pt idx="74">
                  <c:v>4.0387417150000005</c:v>
                </c:pt>
                <c:pt idx="75">
                  <c:v>4.1835597739999999</c:v>
                </c:pt>
                <c:pt idx="76">
                  <c:v>5.4628954940000005</c:v>
                </c:pt>
                <c:pt idx="77">
                  <c:v>6.221216225</c:v>
                </c:pt>
                <c:pt idx="78">
                  <c:v>7.1510504849999998</c:v>
                </c:pt>
                <c:pt idx="79">
                  <c:v>7.5291988849999996</c:v>
                </c:pt>
                <c:pt idx="80">
                  <c:v>0.496473161</c:v>
                </c:pt>
                <c:pt idx="81">
                  <c:v>1.05997316</c:v>
                </c:pt>
                <c:pt idx="82">
                  <c:v>1.8279843790000001</c:v>
                </c:pt>
                <c:pt idx="83">
                  <c:v>2.9072056179999999</c:v>
                </c:pt>
                <c:pt idx="84">
                  <c:v>3.4986653839999997</c:v>
                </c:pt>
                <c:pt idx="85">
                  <c:v>4.6377861110000005</c:v>
                </c:pt>
                <c:pt idx="86">
                  <c:v>6.1035875940000004</c:v>
                </c:pt>
                <c:pt idx="87">
                  <c:v>4.2409898580000007</c:v>
                </c:pt>
                <c:pt idx="88">
                  <c:v>8.733839304</c:v>
                </c:pt>
                <c:pt idx="89">
                  <c:v>10.957914743</c:v>
                </c:pt>
                <c:pt idx="90">
                  <c:v>15.734247637999999</c:v>
                </c:pt>
                <c:pt idx="91">
                  <c:v>16.909212038</c:v>
                </c:pt>
                <c:pt idx="92">
                  <c:v>0.50266335600000001</c:v>
                </c:pt>
                <c:pt idx="93">
                  <c:v>3.0306452579999998</c:v>
                </c:pt>
                <c:pt idx="94">
                  <c:v>5.6470300450000002</c:v>
                </c:pt>
                <c:pt idx="95">
                  <c:v>9.1908899690000005</c:v>
                </c:pt>
                <c:pt idx="96">
                  <c:v>14.181565062000001</c:v>
                </c:pt>
                <c:pt idx="97">
                  <c:v>20.448000404999998</c:v>
                </c:pt>
                <c:pt idx="98">
                  <c:v>25.694465849</c:v>
                </c:pt>
                <c:pt idx="99">
                  <c:v>29.90100335</c:v>
                </c:pt>
                <c:pt idx="100">
                  <c:v>33.931611488000001</c:v>
                </c:pt>
                <c:pt idx="101">
                  <c:v>37.880316149999999</c:v>
                </c:pt>
                <c:pt idx="102">
                  <c:v>43.416297648000004</c:v>
                </c:pt>
                <c:pt idx="103">
                  <c:v>45.646776956000004</c:v>
                </c:pt>
                <c:pt idx="104">
                  <c:v>0.48906951300000001</c:v>
                </c:pt>
              </c:numCache>
            </c:numRef>
          </c:val>
          <c:smooth val="0"/>
          <c:extLst>
            <c:ext xmlns:c16="http://schemas.microsoft.com/office/drawing/2014/chart" uri="{C3380CC4-5D6E-409C-BE32-E72D297353CC}">
              <c16:uniqueId val="{00000002-4E2F-42ED-B367-F06453C41506}"/>
            </c:ext>
          </c:extLst>
        </c:ser>
        <c:dLbls>
          <c:showLegendKey val="0"/>
          <c:showVal val="0"/>
          <c:showCatName val="0"/>
          <c:showSerName val="0"/>
          <c:showPercent val="0"/>
          <c:showBubbleSize val="0"/>
        </c:dLbls>
        <c:marker val="1"/>
        <c:smooth val="0"/>
        <c:axId val="84430208"/>
        <c:axId val="84428672"/>
      </c:lineChart>
      <c:dateAx>
        <c:axId val="84413056"/>
        <c:scaling>
          <c:orientation val="minMax"/>
          <c:min val="41061"/>
        </c:scaling>
        <c:delete val="0"/>
        <c:axPos val="b"/>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4500000" spcFirstLastPara="1" vertOverflow="ellipsis" wrap="square" anchor="ctr" anchorCtr="1"/>
          <a:lstStyle/>
          <a:p>
            <a:pPr>
              <a:defRPr sz="700" b="1" i="0" u="none" strike="noStrike" kern="1200" baseline="0">
                <a:solidFill>
                  <a:sysClr val="windowText" lastClr="000000"/>
                </a:solidFill>
                <a:latin typeface="+mn-lt"/>
                <a:ea typeface="+mn-ea"/>
                <a:cs typeface="+mn-cs"/>
              </a:defRPr>
            </a:pPr>
            <a:endParaRPr lang="fr-BF"/>
          </a:p>
        </c:txPr>
        <c:crossAx val="84427136"/>
        <c:crosses val="autoZero"/>
        <c:auto val="1"/>
        <c:lblOffset val="100"/>
        <c:baseTimeUnit val="months"/>
        <c:majorUnit val="3"/>
        <c:majorTimeUnit val="months"/>
      </c:dateAx>
      <c:valAx>
        <c:axId val="844271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4413056"/>
        <c:crossesAt val="1"/>
        <c:crossBetween val="between"/>
      </c:valAx>
      <c:valAx>
        <c:axId val="8442867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4430208"/>
        <c:crosses val="max"/>
        <c:crossBetween val="between"/>
      </c:valAx>
      <c:dateAx>
        <c:axId val="84430208"/>
        <c:scaling>
          <c:orientation val="minMax"/>
        </c:scaling>
        <c:delete val="1"/>
        <c:axPos val="b"/>
        <c:numFmt formatCode="m/d/yyyy" sourceLinked="1"/>
        <c:majorTickMark val="out"/>
        <c:minorTickMark val="none"/>
        <c:tickLblPos val="nextTo"/>
        <c:crossAx val="84428672"/>
        <c:crosses val="autoZero"/>
        <c:auto val="1"/>
        <c:lblOffset val="100"/>
        <c:baseTimeUnit val="months"/>
      </c:dateAx>
      <c:spPr>
        <a:noFill/>
        <a:ln>
          <a:noFill/>
        </a:ln>
        <a:effectLst/>
      </c:spPr>
    </c:plotArea>
    <c:legend>
      <c:legendPos val="b"/>
      <c:layout>
        <c:manualLayout>
          <c:xMode val="edge"/>
          <c:yMode val="edge"/>
          <c:x val="4.9905802064389757E-2"/>
          <c:y val="0.84483940505746313"/>
          <c:w val="0.94364243296226324"/>
          <c:h val="0.1250330945508754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5.6095158550196068E-2"/>
          <c:y val="0.17171296296296493"/>
          <c:w val="0.92525682404641152"/>
          <c:h val="0.54480934674832315"/>
        </c:manualLayout>
      </c:layout>
      <c:lineChart>
        <c:grouping val="standard"/>
        <c:varyColors val="0"/>
        <c:ser>
          <c:idx val="0"/>
          <c:order val="0"/>
          <c:tx>
            <c:strRef>
              <c:f>Serie_Graph3!$H$3</c:f>
              <c:strCache>
                <c:ptCount val="1"/>
                <c:pt idx="0">
                  <c:v>Coton</c:v>
                </c:pt>
              </c:strCache>
            </c:strRef>
          </c:tx>
          <c:spPr>
            <a:ln w="28575" cap="rnd">
              <a:solidFill>
                <a:schemeClr val="accent1"/>
              </a:solidFill>
              <a:round/>
            </a:ln>
            <a:effectLst/>
          </c:spPr>
          <c:marker>
            <c:symbol val="none"/>
          </c:marker>
          <c:cat>
            <c:numRef>
              <c:f>Serie_Graph3!$B$60:$B$111</c:f>
              <c:numCache>
                <c:formatCode>m/d/yyyy</c:formatCode>
                <c:ptCount val="5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numCache>
            </c:numRef>
          </c:cat>
          <c:val>
            <c:numRef>
              <c:f>Serie_Graph3!$H$60:$H$111</c:f>
              <c:numCache>
                <c:formatCode>0</c:formatCode>
                <c:ptCount val="52"/>
                <c:pt idx="0">
                  <c:v>1.6717633460000001</c:v>
                </c:pt>
                <c:pt idx="1">
                  <c:v>1.7431930339999999</c:v>
                </c:pt>
                <c:pt idx="2">
                  <c:v>1.688077534</c:v>
                </c:pt>
                <c:pt idx="3">
                  <c:v>1.492307278</c:v>
                </c:pt>
                <c:pt idx="4">
                  <c:v>1.400595086</c:v>
                </c:pt>
                <c:pt idx="5">
                  <c:v>1.4484353400000001</c:v>
                </c:pt>
                <c:pt idx="6">
                  <c:v>1.49473236</c:v>
                </c:pt>
                <c:pt idx="7">
                  <c:v>1.5106056240000001</c:v>
                </c:pt>
                <c:pt idx="8">
                  <c:v>1.541911228</c:v>
                </c:pt>
                <c:pt idx="9">
                  <c:v>1.5610914220000001</c:v>
                </c:pt>
                <c:pt idx="10">
                  <c:v>1.649496684</c:v>
                </c:pt>
                <c:pt idx="11">
                  <c:v>1.7134306640000001</c:v>
                </c:pt>
                <c:pt idx="12">
                  <c:v>1.7861831239999999</c:v>
                </c:pt>
                <c:pt idx="13">
                  <c:v>1.9230900259999999</c:v>
                </c:pt>
                <c:pt idx="14">
                  <c:v>2.0450055119999999</c:v>
                </c:pt>
                <c:pt idx="15">
                  <c:v>2.0161249899999998</c:v>
                </c:pt>
                <c:pt idx="16">
                  <c:v>2.0002517260000001</c:v>
                </c:pt>
                <c:pt idx="17">
                  <c:v>2.0037791180000002</c:v>
                </c:pt>
                <c:pt idx="18">
                  <c:v>2.0833659</c:v>
                </c:pt>
                <c:pt idx="19">
                  <c:v>2.1539137400000001</c:v>
                </c:pt>
                <c:pt idx="20">
                  <c:v>2.2332800599999998</c:v>
                </c:pt>
                <c:pt idx="21">
                  <c:v>2.2857500160000002</c:v>
                </c:pt>
                <c:pt idx="22">
                  <c:v>2.5877829559999999</c:v>
                </c:pt>
                <c:pt idx="23">
                  <c:v>2.7897261480000002</c:v>
                </c:pt>
                <c:pt idx="24">
                  <c:v>2.6464258479999998</c:v>
                </c:pt>
                <c:pt idx="25">
                  <c:v>2.9112007100000001</c:v>
                </c:pt>
                <c:pt idx="26">
                  <c:v>3.0514145419999998</c:v>
                </c:pt>
                <c:pt idx="27">
                  <c:v>3.1113802060000002</c:v>
                </c:pt>
                <c:pt idx="28">
                  <c:v>3.4242157839999998</c:v>
                </c:pt>
                <c:pt idx="29">
                  <c:v>3.6100652499999999</c:v>
                </c:pt>
                <c:pt idx="30">
                  <c:v>3.3988626540000002</c:v>
                </c:pt>
                <c:pt idx="31">
                  <c:v>2.8887135860000002</c:v>
                </c:pt>
                <c:pt idx="32">
                  <c:v>2.742988204</c:v>
                </c:pt>
                <c:pt idx="33">
                  <c:v>2.5926331199999999</c:v>
                </c:pt>
                <c:pt idx="34">
                  <c:v>2.1975652160000001</c:v>
                </c:pt>
                <c:pt idx="35">
                  <c:v>2.2255638900000001</c:v>
                </c:pt>
                <c:pt idx="36">
                  <c:v>2.2238001939999998</c:v>
                </c:pt>
                <c:pt idx="37">
                  <c:v>2.211013398</c:v>
                </c:pt>
                <c:pt idx="38">
                  <c:v>2.1909513559999998</c:v>
                </c:pt>
                <c:pt idx="39">
                  <c:v>2.1029870179999999</c:v>
                </c:pt>
                <c:pt idx="40">
                  <c:v>2.0979163920000001</c:v>
                </c:pt>
                <c:pt idx="41">
                  <c:v>2.0734451100000002</c:v>
                </c:pt>
                <c:pt idx="42">
                  <c:v>2.0388325759999999</c:v>
                </c:pt>
                <c:pt idx="43">
                  <c:v>2.0542649160000002</c:v>
                </c:pt>
                <c:pt idx="44">
                  <c:v>2.1148919660000001</c:v>
                </c:pt>
                <c:pt idx="45">
                  <c:v>2.1594252900000002</c:v>
                </c:pt>
                <c:pt idx="46">
                  <c:v>2.1062939479999998</c:v>
                </c:pt>
                <c:pt idx="47">
                  <c:v>1.994299252</c:v>
                </c:pt>
                <c:pt idx="48">
                  <c:v>1.9954015620000001</c:v>
                </c:pt>
              </c:numCache>
            </c:numRef>
          </c:val>
          <c:smooth val="0"/>
          <c:extLst>
            <c:ext xmlns:c16="http://schemas.microsoft.com/office/drawing/2014/chart" uri="{C3380CC4-5D6E-409C-BE32-E72D297353CC}">
              <c16:uniqueId val="{00000000-0E5B-4CB4-9443-8B1C126DB218}"/>
            </c:ext>
          </c:extLst>
        </c:ser>
        <c:dLbls>
          <c:showLegendKey val="0"/>
          <c:showVal val="0"/>
          <c:showCatName val="0"/>
          <c:showSerName val="0"/>
          <c:showPercent val="0"/>
          <c:showBubbleSize val="0"/>
        </c:dLbls>
        <c:smooth val="0"/>
        <c:axId val="147232256"/>
        <c:axId val="147233792"/>
      </c:lineChart>
      <c:dateAx>
        <c:axId val="14723225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700" b="1" i="0" u="none" strike="noStrike" kern="1200" baseline="0">
                <a:solidFill>
                  <a:sysClr val="windowText" lastClr="000000"/>
                </a:solidFill>
                <a:latin typeface="+mn-lt"/>
                <a:ea typeface="+mn-ea"/>
                <a:cs typeface="+mn-cs"/>
              </a:defRPr>
            </a:pPr>
            <a:endParaRPr lang="fr-BF"/>
          </a:p>
        </c:txPr>
        <c:crossAx val="147233792"/>
        <c:crossesAt val="0"/>
        <c:auto val="1"/>
        <c:lblOffset val="100"/>
        <c:baseTimeUnit val="months"/>
        <c:majorUnit val="3"/>
        <c:majorTimeUnit val="months"/>
      </c:dateAx>
      <c:valAx>
        <c:axId val="147233792"/>
        <c:scaling>
          <c:orientation val="minMax"/>
          <c:max val="4"/>
          <c:min val="1.3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7232256"/>
        <c:crosses val="autoZero"/>
        <c:crossBetween val="between"/>
        <c:majorUnit val="0.25"/>
      </c:valAx>
      <c:spPr>
        <a:noFill/>
        <a:ln>
          <a:noFill/>
        </a:ln>
        <a:effectLst/>
      </c:spPr>
    </c:plotArea>
    <c:legend>
      <c:legendPos val="b"/>
      <c:layout>
        <c:manualLayout>
          <c:xMode val="edge"/>
          <c:yMode val="edge"/>
          <c:x val="0.45317472151114885"/>
          <c:y val="0.93622671764100263"/>
          <c:w val="9.3650556977703983E-2"/>
          <c:h val="5.09115460245925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5.6095158550196068E-2"/>
          <c:y val="0.17171296296296493"/>
          <c:w val="0.92525682404641152"/>
          <c:h val="0.54480934674832315"/>
        </c:manualLayout>
      </c:layout>
      <c:lineChart>
        <c:grouping val="standard"/>
        <c:varyColors val="0"/>
        <c:ser>
          <c:idx val="0"/>
          <c:order val="0"/>
          <c:tx>
            <c:strRef>
              <c:f>Serie_Graph3!$I$3</c:f>
              <c:strCache>
                <c:ptCount val="1"/>
                <c:pt idx="0">
                  <c:v>Or</c:v>
                </c:pt>
              </c:strCache>
            </c:strRef>
          </c:tx>
          <c:spPr>
            <a:ln w="28575" cap="rnd">
              <a:solidFill>
                <a:schemeClr val="accent1"/>
              </a:solidFill>
              <a:round/>
            </a:ln>
            <a:effectLst/>
          </c:spPr>
          <c:marker>
            <c:symbol val="none"/>
          </c:marker>
          <c:cat>
            <c:numRef>
              <c:f>Serie_Graph3!$B$60:$B$111</c:f>
              <c:numCache>
                <c:formatCode>m/d/yyyy</c:formatCode>
                <c:ptCount val="5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numCache>
            </c:numRef>
          </c:cat>
          <c:val>
            <c:numRef>
              <c:f>Serie_Graph3!$I$60:$I$111</c:f>
              <c:numCache>
                <c:formatCode>0</c:formatCode>
                <c:ptCount val="52"/>
                <c:pt idx="0">
                  <c:v>1479.13</c:v>
                </c:pt>
                <c:pt idx="1">
                  <c:v>1560.67</c:v>
                </c:pt>
                <c:pt idx="2">
                  <c:v>1597.1</c:v>
                </c:pt>
                <c:pt idx="3">
                  <c:v>1591.93</c:v>
                </c:pt>
                <c:pt idx="4">
                  <c:v>1683.17</c:v>
                </c:pt>
                <c:pt idx="5">
                  <c:v>1715.91</c:v>
                </c:pt>
                <c:pt idx="6">
                  <c:v>1732.22</c:v>
                </c:pt>
                <c:pt idx="7">
                  <c:v>1846.51</c:v>
                </c:pt>
                <c:pt idx="8">
                  <c:v>1968.63</c:v>
                </c:pt>
                <c:pt idx="9">
                  <c:v>1921.92</c:v>
                </c:pt>
                <c:pt idx="10">
                  <c:v>1900.27</c:v>
                </c:pt>
                <c:pt idx="11">
                  <c:v>1866.3</c:v>
                </c:pt>
                <c:pt idx="12">
                  <c:v>1858.42</c:v>
                </c:pt>
                <c:pt idx="13">
                  <c:v>1866.98</c:v>
                </c:pt>
                <c:pt idx="14">
                  <c:v>1808.17</c:v>
                </c:pt>
                <c:pt idx="15">
                  <c:v>1718.23</c:v>
                </c:pt>
                <c:pt idx="16">
                  <c:v>1760.04</c:v>
                </c:pt>
                <c:pt idx="17">
                  <c:v>1850.26</c:v>
                </c:pt>
                <c:pt idx="18">
                  <c:v>1834.57</c:v>
                </c:pt>
                <c:pt idx="19">
                  <c:v>1807.84</c:v>
                </c:pt>
                <c:pt idx="20">
                  <c:v>1785.28</c:v>
                </c:pt>
                <c:pt idx="21">
                  <c:v>1775.14</c:v>
                </c:pt>
                <c:pt idx="22">
                  <c:v>1776.85</c:v>
                </c:pt>
                <c:pt idx="23">
                  <c:v>1821.76</c:v>
                </c:pt>
                <c:pt idx="24">
                  <c:v>1790.43</c:v>
                </c:pt>
                <c:pt idx="25">
                  <c:v>1816.02</c:v>
                </c:pt>
                <c:pt idx="26">
                  <c:v>1856.3</c:v>
                </c:pt>
                <c:pt idx="27">
                  <c:v>1947.83</c:v>
                </c:pt>
                <c:pt idx="28">
                  <c:v>1936.86</c:v>
                </c:pt>
                <c:pt idx="29">
                  <c:v>1848.5</c:v>
                </c:pt>
                <c:pt idx="30">
                  <c:v>1836.57</c:v>
                </c:pt>
                <c:pt idx="31">
                  <c:v>1732.74</c:v>
                </c:pt>
                <c:pt idx="32">
                  <c:v>1764.56</c:v>
                </c:pt>
                <c:pt idx="33">
                  <c:v>1680.78</c:v>
                </c:pt>
                <c:pt idx="34">
                  <c:v>1664.45</c:v>
                </c:pt>
                <c:pt idx="35">
                  <c:v>1725.07</c:v>
                </c:pt>
                <c:pt idx="36">
                  <c:v>1797.55</c:v>
                </c:pt>
                <c:pt idx="37">
                  <c:v>1897.71</c:v>
                </c:pt>
                <c:pt idx="38">
                  <c:v>1854.54</c:v>
                </c:pt>
                <c:pt idx="39">
                  <c:v>1912.73</c:v>
                </c:pt>
                <c:pt idx="40">
                  <c:v>1999.77</c:v>
                </c:pt>
                <c:pt idx="41">
                  <c:v>1992.13</c:v>
                </c:pt>
                <c:pt idx="42">
                  <c:v>1942.9</c:v>
                </c:pt>
                <c:pt idx="43">
                  <c:v>1951.02</c:v>
                </c:pt>
                <c:pt idx="44">
                  <c:v>1918.7</c:v>
                </c:pt>
                <c:pt idx="45">
                  <c:v>1915.95</c:v>
                </c:pt>
                <c:pt idx="46">
                  <c:v>1916.25</c:v>
                </c:pt>
                <c:pt idx="47">
                  <c:v>1984.11</c:v>
                </c:pt>
                <c:pt idx="48">
                  <c:v>2026.18</c:v>
                </c:pt>
              </c:numCache>
            </c:numRef>
          </c:val>
          <c:smooth val="0"/>
          <c:extLst>
            <c:ext xmlns:c16="http://schemas.microsoft.com/office/drawing/2014/chart" uri="{C3380CC4-5D6E-409C-BE32-E72D297353CC}">
              <c16:uniqueId val="{00000000-2D60-4E58-A4C2-F1590BC0B2E1}"/>
            </c:ext>
          </c:extLst>
        </c:ser>
        <c:dLbls>
          <c:showLegendKey val="0"/>
          <c:showVal val="0"/>
          <c:showCatName val="0"/>
          <c:showSerName val="0"/>
          <c:showPercent val="0"/>
          <c:showBubbleSize val="0"/>
        </c:dLbls>
        <c:smooth val="0"/>
        <c:axId val="147155584"/>
        <c:axId val="147165568"/>
      </c:lineChart>
      <c:dateAx>
        <c:axId val="1471555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700" b="1" i="0" u="none" strike="noStrike" kern="1200" baseline="0">
                <a:solidFill>
                  <a:sysClr val="windowText" lastClr="000000"/>
                </a:solidFill>
                <a:latin typeface="+mn-lt"/>
                <a:ea typeface="+mn-ea"/>
                <a:cs typeface="+mn-cs"/>
              </a:defRPr>
            </a:pPr>
            <a:endParaRPr lang="fr-BF"/>
          </a:p>
        </c:txPr>
        <c:crossAx val="147165568"/>
        <c:crosses val="autoZero"/>
        <c:auto val="1"/>
        <c:lblOffset val="100"/>
        <c:baseTimeUnit val="months"/>
        <c:majorUnit val="3"/>
        <c:majorTimeUnit val="months"/>
      </c:dateAx>
      <c:valAx>
        <c:axId val="147165568"/>
        <c:scaling>
          <c:orientation val="minMax"/>
          <c:min val="101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BF"/>
          </a:p>
        </c:txPr>
        <c:crossAx val="147155584"/>
        <c:crosses val="autoZero"/>
        <c:crossBetween val="between"/>
      </c:valAx>
      <c:spPr>
        <a:noFill/>
        <a:ln>
          <a:noFill/>
        </a:ln>
        <a:effectLst/>
      </c:spPr>
    </c:plotArea>
    <c:legend>
      <c:legendPos val="b"/>
      <c:layout>
        <c:manualLayout>
          <c:xMode val="edge"/>
          <c:yMode val="edge"/>
          <c:x val="0.45317472151114885"/>
          <c:y val="0.93622671764100263"/>
          <c:w val="9.3650556977703983E-2"/>
          <c:h val="5.09115460245925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r>
              <a:rPr lang="fr-FR" sz="900" b="1" i="0" baseline="0">
                <a:solidFill>
                  <a:schemeClr val="tx1"/>
                </a:solidFill>
                <a:effectLst/>
              </a:rPr>
              <a:t>Productions des principales cultures vivrières</a:t>
            </a:r>
            <a:endParaRPr lang="fr-FR" sz="900">
              <a:solidFill>
                <a:schemeClr val="tx1"/>
              </a:solidFill>
              <a:effectLst/>
            </a:endParaRPr>
          </a:p>
        </c:rich>
      </c:tx>
      <c:layout>
        <c:manualLayout>
          <c:xMode val="edge"/>
          <c:yMode val="edge"/>
          <c:x val="0.37189020311785698"/>
          <c:y val="6.4633888261851017E-3"/>
        </c:manualLayout>
      </c:layout>
      <c:overlay val="0"/>
      <c:spPr>
        <a:noFill/>
        <a:ln>
          <a:noFill/>
        </a:ln>
        <a:effectLst/>
      </c:spPr>
    </c:title>
    <c:autoTitleDeleted val="0"/>
    <c:plotArea>
      <c:layout>
        <c:manualLayout>
          <c:layoutTarget val="inner"/>
          <c:xMode val="edge"/>
          <c:yMode val="edge"/>
          <c:x val="0.13917256309689369"/>
          <c:y val="3.6800801909811602E-2"/>
          <c:w val="0.83602123425153341"/>
          <c:h val="0.7718028462522587"/>
        </c:manualLayout>
      </c:layout>
      <c:lineChart>
        <c:grouping val="standard"/>
        <c:varyColors val="0"/>
        <c:ser>
          <c:idx val="0"/>
          <c:order val="0"/>
          <c:tx>
            <c:strRef>
              <c:f>Serie_Graph1!$L$5</c:f>
              <c:strCache>
                <c:ptCount val="1"/>
                <c:pt idx="0">
                  <c:v>Mil</c:v>
                </c:pt>
              </c:strCache>
            </c:strRef>
          </c:tx>
          <c:spPr>
            <a:ln w="28575" cap="rnd">
              <a:solidFill>
                <a:schemeClr val="accent1"/>
              </a:solidFill>
              <a:round/>
            </a:ln>
            <a:effectLst/>
          </c:spPr>
          <c:marker>
            <c:symbol val="none"/>
          </c:marker>
          <c:cat>
            <c:numRef>
              <c:f>Serie_Graph1!$B$17:$B$25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Serie_Graph1!$L$17:$L$25</c:f>
              <c:numCache>
                <c:formatCode>_-* #,##0\ _€_-;\-* #,##0\ _€_-;_-* "-"??\ _€_-;_-@_-</c:formatCode>
                <c:ptCount val="9"/>
                <c:pt idx="0">
                  <c:v>946184.13903598441</c:v>
                </c:pt>
                <c:pt idx="1">
                  <c:v>905071.1884869365</c:v>
                </c:pt>
                <c:pt idx="2">
                  <c:v>828234.30594400514</c:v>
                </c:pt>
                <c:pt idx="3">
                  <c:v>1189078.5635154962</c:v>
                </c:pt>
                <c:pt idx="4">
                  <c:v>970175.88475286064</c:v>
                </c:pt>
                <c:pt idx="5">
                  <c:v>957252.67585186812</c:v>
                </c:pt>
                <c:pt idx="6">
                  <c:v>717777</c:v>
                </c:pt>
                <c:pt idx="7">
                  <c:v>907744.76964221837</c:v>
                </c:pt>
                <c:pt idx="8">
                  <c:v>871314.30805841333</c:v>
                </c:pt>
              </c:numCache>
            </c:numRef>
          </c:val>
          <c:smooth val="0"/>
          <c:extLst>
            <c:ext xmlns:c16="http://schemas.microsoft.com/office/drawing/2014/chart" uri="{C3380CC4-5D6E-409C-BE32-E72D297353CC}">
              <c16:uniqueId val="{00000000-54BA-4595-B107-5FB374178496}"/>
            </c:ext>
          </c:extLst>
        </c:ser>
        <c:ser>
          <c:idx val="1"/>
          <c:order val="1"/>
          <c:tx>
            <c:strRef>
              <c:f>Serie_Graph1!$M$5</c:f>
              <c:strCache>
                <c:ptCount val="1"/>
                <c:pt idx="0">
                  <c:v>Maïs</c:v>
                </c:pt>
              </c:strCache>
            </c:strRef>
          </c:tx>
          <c:spPr>
            <a:ln w="28575" cap="rnd">
              <a:solidFill>
                <a:schemeClr val="accent2"/>
              </a:solidFill>
              <a:round/>
            </a:ln>
            <a:effectLst/>
          </c:spPr>
          <c:marker>
            <c:symbol val="none"/>
          </c:marker>
          <c:cat>
            <c:numRef>
              <c:f>Serie_Graph1!$B$17:$B$25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Serie_Graph1!$M$17:$M$25</c:f>
              <c:numCache>
                <c:formatCode>_-* #,##0\ _€_-;\-* #,##0\ _€_-;_-* "-"??\ _€_-;_-@_-</c:formatCode>
                <c:ptCount val="9"/>
                <c:pt idx="0">
                  <c:v>1469611.7498937806</c:v>
                </c:pt>
                <c:pt idx="1">
                  <c:v>1602524.5979340866</c:v>
                </c:pt>
                <c:pt idx="2">
                  <c:v>1533430.7674806667</c:v>
                </c:pt>
                <c:pt idx="3">
                  <c:v>1700127.0413762112</c:v>
                </c:pt>
                <c:pt idx="4">
                  <c:v>1710897.56078783</c:v>
                </c:pt>
                <c:pt idx="5">
                  <c:v>1920101.1649852863</c:v>
                </c:pt>
                <c:pt idx="6">
                  <c:v>1912703</c:v>
                </c:pt>
                <c:pt idx="7">
                  <c:v>1810276.2817576844</c:v>
                </c:pt>
                <c:pt idx="8">
                  <c:v>2053927.2357634851</c:v>
                </c:pt>
              </c:numCache>
            </c:numRef>
          </c:val>
          <c:smooth val="0"/>
          <c:extLst>
            <c:ext xmlns:c16="http://schemas.microsoft.com/office/drawing/2014/chart" uri="{C3380CC4-5D6E-409C-BE32-E72D297353CC}">
              <c16:uniqueId val="{00000001-54BA-4595-B107-5FB374178496}"/>
            </c:ext>
          </c:extLst>
        </c:ser>
        <c:ser>
          <c:idx val="2"/>
          <c:order val="2"/>
          <c:tx>
            <c:strRef>
              <c:f>Serie_Graph1!$N$5</c:f>
              <c:strCache>
                <c:ptCount val="1"/>
                <c:pt idx="0">
                  <c:v>Sorgho blanc</c:v>
                </c:pt>
              </c:strCache>
            </c:strRef>
          </c:tx>
          <c:spPr>
            <a:ln w="28575" cap="rnd">
              <a:solidFill>
                <a:schemeClr val="accent3"/>
              </a:solidFill>
              <a:round/>
            </a:ln>
            <a:effectLst/>
          </c:spPr>
          <c:marker>
            <c:symbol val="none"/>
          </c:marker>
          <c:cat>
            <c:numRef>
              <c:f>Serie_Graph1!$B$17:$B$25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Serie_Graph1!$N$17:$N$25</c:f>
              <c:numCache>
                <c:formatCode>_-* #,##0\ _€_-;\-* #,##0\ _€_-;_-* "-"??\ _€_-;_-@_-</c:formatCode>
                <c:ptCount val="9"/>
                <c:pt idx="0">
                  <c:v>1073094.945368899</c:v>
                </c:pt>
                <c:pt idx="1">
                  <c:v>1177442.2356510342</c:v>
                </c:pt>
                <c:pt idx="2">
                  <c:v>1005214.3215854032</c:v>
                </c:pt>
                <c:pt idx="3">
                  <c:v>1528847.5255076853</c:v>
                </c:pt>
                <c:pt idx="4">
                  <c:v>1467997.6356373823</c:v>
                </c:pt>
                <c:pt idx="5">
                  <c:v>1425103.3709850935</c:v>
                </c:pt>
                <c:pt idx="6">
                  <c:v>1207977</c:v>
                </c:pt>
                <c:pt idx="7">
                  <c:v>1492369.3764321844</c:v>
                </c:pt>
                <c:pt idx="8">
                  <c:v>1446415.6994831371</c:v>
                </c:pt>
              </c:numCache>
            </c:numRef>
          </c:val>
          <c:smooth val="0"/>
          <c:extLst>
            <c:ext xmlns:c16="http://schemas.microsoft.com/office/drawing/2014/chart" uri="{C3380CC4-5D6E-409C-BE32-E72D297353CC}">
              <c16:uniqueId val="{00000002-54BA-4595-B107-5FB374178496}"/>
            </c:ext>
          </c:extLst>
        </c:ser>
        <c:dLbls>
          <c:showLegendKey val="0"/>
          <c:showVal val="0"/>
          <c:showCatName val="0"/>
          <c:showSerName val="0"/>
          <c:showPercent val="0"/>
          <c:showBubbleSize val="0"/>
        </c:dLbls>
        <c:smooth val="0"/>
        <c:axId val="147359616"/>
        <c:axId val="147361152"/>
      </c:lineChart>
      <c:catAx>
        <c:axId val="14735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7361152"/>
        <c:crosses val="autoZero"/>
        <c:auto val="1"/>
        <c:lblAlgn val="ctr"/>
        <c:lblOffset val="100"/>
        <c:noMultiLvlLbl val="0"/>
      </c:catAx>
      <c:valAx>
        <c:axId val="147361152"/>
        <c:scaling>
          <c:orientation val="minMax"/>
          <c:max val="2000000"/>
          <c:min val="750000"/>
        </c:scaling>
        <c:delete val="0"/>
        <c:axPos val="l"/>
        <c:majorGridlines>
          <c:spPr>
            <a:ln w="9525" cap="flat" cmpd="sng" algn="ctr">
              <a:solidFill>
                <a:schemeClr val="tx1">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7359616"/>
        <c:crosses val="autoZero"/>
        <c:crossBetween val="between"/>
      </c:valAx>
      <c:spPr>
        <a:noFill/>
        <a:ln>
          <a:noFill/>
        </a:ln>
        <a:effectLst/>
      </c:spPr>
    </c:plotArea>
    <c:legend>
      <c:legendPos val="b"/>
      <c:layout>
        <c:manualLayout>
          <c:xMode val="edge"/>
          <c:yMode val="edge"/>
          <c:x val="0.29863613828685581"/>
          <c:y val="0.92830083801604713"/>
          <c:w val="0.40272772342628876"/>
          <c:h val="5.912782880123552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r>
              <a:rPr lang="en-US" sz="1200" b="1" i="0" baseline="0">
                <a:effectLst/>
              </a:rPr>
              <a:t>Production de l'ensemble céréales</a:t>
            </a:r>
            <a:endParaRPr lang="fr-FR" sz="1200">
              <a:effectLst/>
            </a:endParaRPr>
          </a:p>
        </c:rich>
      </c:tx>
      <c:layout>
        <c:manualLayout>
          <c:xMode val="edge"/>
          <c:yMode val="edge"/>
          <c:x val="0.35099838228216035"/>
          <c:y val="3.3126052289266877E-2"/>
        </c:manualLayout>
      </c:layout>
      <c:overlay val="0"/>
      <c:spPr>
        <a:noFill/>
        <a:ln>
          <a:noFill/>
        </a:ln>
        <a:effectLst/>
      </c:spPr>
    </c:title>
    <c:autoTitleDeleted val="0"/>
    <c:plotArea>
      <c:layout>
        <c:manualLayout>
          <c:layoutTarget val="inner"/>
          <c:xMode val="edge"/>
          <c:yMode val="edge"/>
          <c:x val="0.13917256309689369"/>
          <c:y val="3.6800801909811602E-2"/>
          <c:w val="0.83602123425153341"/>
          <c:h val="0.72066135385284469"/>
        </c:manualLayout>
      </c:layout>
      <c:lineChart>
        <c:grouping val="standard"/>
        <c:varyColors val="0"/>
        <c:ser>
          <c:idx val="0"/>
          <c:order val="0"/>
          <c:tx>
            <c:strRef>
              <c:f>Serie_Graph1!$O$5</c:f>
              <c:strCache>
                <c:ptCount val="1"/>
                <c:pt idx="0">
                  <c:v>Ensemble Céréales</c:v>
                </c:pt>
              </c:strCache>
            </c:strRef>
          </c:tx>
          <c:spPr>
            <a:ln w="28575" cap="rnd">
              <a:solidFill>
                <a:schemeClr val="accent1"/>
              </a:solidFill>
              <a:round/>
            </a:ln>
            <a:effectLst/>
          </c:spPr>
          <c:marker>
            <c:symbol val="none"/>
          </c:marker>
          <c:cat>
            <c:numRef>
              <c:f>Serie_Graph1!$B$17:$B$25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Serie_Graph1!$O$17:$O$25</c:f>
              <c:numCache>
                <c:formatCode>_-* #,##0\ _€_-;\-* #,##0\ _€_-;_-* "-"??\ _€_-;_-@_-</c:formatCode>
                <c:ptCount val="9"/>
                <c:pt idx="0">
                  <c:v>4189665.153377939</c:v>
                </c:pt>
                <c:pt idx="1">
                  <c:v>4567065.5166683877</c:v>
                </c:pt>
                <c:pt idx="2">
                  <c:v>4063198.1376393288</c:v>
                </c:pt>
                <c:pt idx="3">
                  <c:v>5180701.9950712034</c:v>
                </c:pt>
                <c:pt idx="4">
                  <c:v>4939629.9078475805</c:v>
                </c:pt>
                <c:pt idx="5">
                  <c:v>5179104.1311345007</c:v>
                </c:pt>
                <c:pt idx="6">
                  <c:v>4709489</c:v>
                </c:pt>
                <c:pt idx="7">
                  <c:v>5179059.0179476617</c:v>
                </c:pt>
                <c:pt idx="8">
                  <c:v>5246404.5649529751</c:v>
                </c:pt>
              </c:numCache>
            </c:numRef>
          </c:val>
          <c:smooth val="0"/>
          <c:extLst>
            <c:ext xmlns:c16="http://schemas.microsoft.com/office/drawing/2014/chart" uri="{C3380CC4-5D6E-409C-BE32-E72D297353CC}">
              <c16:uniqueId val="{00000000-98D4-4DFD-80EB-19703DF861A7}"/>
            </c:ext>
          </c:extLst>
        </c:ser>
        <c:dLbls>
          <c:showLegendKey val="0"/>
          <c:showVal val="0"/>
          <c:showCatName val="0"/>
          <c:showSerName val="0"/>
          <c:showPercent val="0"/>
          <c:showBubbleSize val="0"/>
        </c:dLbls>
        <c:smooth val="0"/>
        <c:axId val="147409920"/>
        <c:axId val="147428096"/>
      </c:lineChart>
      <c:catAx>
        <c:axId val="14740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7428096"/>
        <c:crosses val="autoZero"/>
        <c:auto val="1"/>
        <c:lblAlgn val="ctr"/>
        <c:lblOffset val="100"/>
        <c:noMultiLvlLbl val="0"/>
      </c:catAx>
      <c:valAx>
        <c:axId val="147428096"/>
        <c:scaling>
          <c:orientation val="minMax"/>
          <c:max val="5500000"/>
          <c:min val="4000000"/>
        </c:scaling>
        <c:delete val="0"/>
        <c:axPos val="l"/>
        <c:majorGridlines>
          <c:spPr>
            <a:ln w="9525" cap="flat" cmpd="sng" algn="ctr">
              <a:solidFill>
                <a:schemeClr val="tx1">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7409920"/>
        <c:crosses val="autoZero"/>
        <c:crossBetween val="between"/>
      </c:valAx>
      <c:spPr>
        <a:noFill/>
        <a:ln>
          <a:noFill/>
        </a:ln>
        <a:effectLst/>
      </c:spPr>
    </c:plotArea>
    <c:legend>
      <c:legendPos val="b"/>
      <c:layout>
        <c:manualLayout>
          <c:xMode val="edge"/>
          <c:yMode val="edge"/>
          <c:x val="0.29863613828685581"/>
          <c:y val="0.92830083801604713"/>
          <c:w val="0.25139994346245581"/>
          <c:h val="7.16994005107250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r>
              <a:rPr lang="en-US" sz="1200" b="1" i="0" baseline="0">
                <a:effectLst/>
              </a:rPr>
              <a:t>Production du coton</a:t>
            </a:r>
            <a:endParaRPr lang="fr-FR" sz="1200">
              <a:effectLst/>
            </a:endParaRPr>
          </a:p>
        </c:rich>
      </c:tx>
      <c:layout>
        <c:manualLayout>
          <c:xMode val="edge"/>
          <c:yMode val="edge"/>
          <c:x val="0.44710081723741985"/>
          <c:y val="3.3126286795392527E-2"/>
        </c:manualLayout>
      </c:layout>
      <c:overlay val="0"/>
      <c:spPr>
        <a:noFill/>
        <a:ln>
          <a:noFill/>
        </a:ln>
        <a:effectLst/>
      </c:spPr>
    </c:title>
    <c:autoTitleDeleted val="0"/>
    <c:plotArea>
      <c:layout>
        <c:manualLayout>
          <c:layoutTarget val="inner"/>
          <c:xMode val="edge"/>
          <c:yMode val="edge"/>
          <c:x val="0.13917256309689369"/>
          <c:y val="3.6800801909811602E-2"/>
          <c:w val="0.83602123425153341"/>
          <c:h val="0.72066135385284469"/>
        </c:manualLayout>
      </c:layout>
      <c:lineChart>
        <c:grouping val="standard"/>
        <c:varyColors val="0"/>
        <c:ser>
          <c:idx val="0"/>
          <c:order val="0"/>
          <c:tx>
            <c:strRef>
              <c:f>Serie_Graph1!$P$5</c:f>
              <c:strCache>
                <c:ptCount val="1"/>
                <c:pt idx="0">
                  <c:v>Coton</c:v>
                </c:pt>
              </c:strCache>
            </c:strRef>
          </c:tx>
          <c:spPr>
            <a:ln w="28575" cap="rnd">
              <a:solidFill>
                <a:schemeClr val="accent1"/>
              </a:solidFill>
              <a:round/>
            </a:ln>
            <a:effectLst/>
          </c:spPr>
          <c:marker>
            <c:symbol val="none"/>
          </c:marker>
          <c:cat>
            <c:numRef>
              <c:f>Serie_Graph1!$B$17:$B$26</c:f>
              <c:numCache>
                <c:formatCode>General</c:formatCode>
                <c:ptCount val="10"/>
                <c:pt idx="0">
                  <c:v>2015</c:v>
                </c:pt>
                <c:pt idx="1">
                  <c:v>2016</c:v>
                </c:pt>
                <c:pt idx="2">
                  <c:v>2017</c:v>
                </c:pt>
                <c:pt idx="3">
                  <c:v>2018</c:v>
                </c:pt>
                <c:pt idx="4">
                  <c:v>2019</c:v>
                </c:pt>
                <c:pt idx="5">
                  <c:v>2020</c:v>
                </c:pt>
                <c:pt idx="6">
                  <c:v>2021</c:v>
                </c:pt>
                <c:pt idx="7">
                  <c:v>2022</c:v>
                </c:pt>
                <c:pt idx="8">
                  <c:v>2023</c:v>
                </c:pt>
              </c:numCache>
            </c:numRef>
          </c:cat>
          <c:val>
            <c:numRef>
              <c:f>Serie_Graph1!$P$17:$P$25</c:f>
              <c:numCache>
                <c:formatCode>_-* #,##0\ _€_-;\-* #,##0\ _€_-;_-* "-"??\ _€_-;_-@_-</c:formatCode>
                <c:ptCount val="9"/>
                <c:pt idx="0">
                  <c:v>768930.17224691447</c:v>
                </c:pt>
                <c:pt idx="1">
                  <c:v>784784.15308621898</c:v>
                </c:pt>
                <c:pt idx="2">
                  <c:v>844337.13100948383</c:v>
                </c:pt>
                <c:pt idx="3">
                  <c:v>482173.02154259849</c:v>
                </c:pt>
                <c:pt idx="4">
                  <c:v>724231.80209709122</c:v>
                </c:pt>
                <c:pt idx="5">
                  <c:v>696635.62056103267</c:v>
                </c:pt>
                <c:pt idx="6">
                  <c:v>795413.50837110472</c:v>
                </c:pt>
                <c:pt idx="7">
                  <c:v>668633.09761909652</c:v>
                </c:pt>
                <c:pt idx="8">
                  <c:v>605012.10210556793</c:v>
                </c:pt>
              </c:numCache>
            </c:numRef>
          </c:val>
          <c:smooth val="0"/>
          <c:extLst>
            <c:ext xmlns:c16="http://schemas.microsoft.com/office/drawing/2014/chart" uri="{C3380CC4-5D6E-409C-BE32-E72D297353CC}">
              <c16:uniqueId val="{00000000-55D2-460B-8F87-775865A7F0F2}"/>
            </c:ext>
          </c:extLst>
        </c:ser>
        <c:dLbls>
          <c:showLegendKey val="0"/>
          <c:showVal val="0"/>
          <c:showCatName val="0"/>
          <c:showSerName val="0"/>
          <c:showPercent val="0"/>
          <c:showBubbleSize val="0"/>
        </c:dLbls>
        <c:smooth val="0"/>
        <c:axId val="147526016"/>
        <c:axId val="147527552"/>
      </c:lineChart>
      <c:catAx>
        <c:axId val="14752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7527552"/>
        <c:crosses val="autoZero"/>
        <c:auto val="1"/>
        <c:lblAlgn val="ctr"/>
        <c:lblOffset val="100"/>
        <c:noMultiLvlLbl val="0"/>
      </c:catAx>
      <c:valAx>
        <c:axId val="147527552"/>
        <c:scaling>
          <c:orientation val="minMax"/>
          <c:min val="400000"/>
        </c:scaling>
        <c:delete val="0"/>
        <c:axPos val="l"/>
        <c:majorGridlines>
          <c:spPr>
            <a:ln w="9525" cap="flat" cmpd="sng" algn="ctr">
              <a:solidFill>
                <a:schemeClr val="tx1">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47526016"/>
        <c:crosses val="autoZero"/>
        <c:crossBetween val="between"/>
      </c:valAx>
      <c:spPr>
        <a:noFill/>
        <a:ln>
          <a:noFill/>
        </a:ln>
        <a:effectLst/>
      </c:spPr>
    </c:plotArea>
    <c:legend>
      <c:legendPos val="b"/>
      <c:layout>
        <c:manualLayout>
          <c:xMode val="edge"/>
          <c:yMode val="edge"/>
          <c:x val="0.29863613828685581"/>
          <c:y val="0.92830083801604713"/>
          <c:w val="0.25139994346245581"/>
          <c:h val="7.16994005107250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000000000000577" l="0.70000000000000062" r="0.70000000000000062" t="0.75000000000000577"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chart" Target="../charts/chart39.xml"/><Relationship Id="rId4"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chart" Target="../charts/chart4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533479</xdr:colOff>
      <xdr:row>55</xdr:row>
      <xdr:rowOff>76199</xdr:rowOff>
    </xdr:to>
    <xdr:sp macro="" textlink="">
      <xdr:nvSpPr>
        <xdr:cNvPr id="2" name="Rectangle 21">
          <a:extLst>
            <a:ext uri="{FF2B5EF4-FFF2-40B4-BE49-F238E27FC236}">
              <a16:creationId xmlns:a16="http://schemas.microsoft.com/office/drawing/2014/main" id="{00000000-0008-0000-0000-000002000000}"/>
            </a:ext>
          </a:extLst>
        </xdr:cNvPr>
        <xdr:cNvSpPr>
          <a:spLocks noChangeArrowheads="1"/>
        </xdr:cNvSpPr>
      </xdr:nvSpPr>
      <xdr:spPr bwMode="auto">
        <a:xfrm>
          <a:off x="0" y="9525"/>
          <a:ext cx="1266904" cy="10077449"/>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vert="vert270" wrap="square" lIns="91440" tIns="45720" rIns="91440" bIns="45720" anchor="ctr" upright="1"/>
        <a:lstStyle/>
        <a:p>
          <a:pPr algn="ctr" rtl="0">
            <a:defRPr sz="1000"/>
          </a:pPr>
          <a:r>
            <a:rPr lang="fr-FR" sz="3400" b="1" i="0" u="none" strike="noStrike" baseline="0">
              <a:solidFill>
                <a:srgbClr val="000000"/>
              </a:solidFill>
              <a:latin typeface="Arial"/>
              <a:cs typeface="Arial"/>
            </a:rPr>
            <a:t>BULLETIN TRIMESTRIEL DE CONJONCTURE </a:t>
          </a:r>
          <a:endParaRPr lang="fr-FR" sz="1000" b="0" i="0" u="none" strike="noStrike" baseline="0">
            <a:solidFill>
              <a:srgbClr val="000000"/>
            </a:solidFill>
            <a:latin typeface="Arial"/>
            <a:cs typeface="Arial"/>
          </a:endParaRPr>
        </a:p>
        <a:p>
          <a:pPr algn="r" rtl="0">
            <a:lnSpc>
              <a:spcPts val="2200"/>
            </a:lnSpc>
            <a:defRPr sz="1000"/>
          </a:pPr>
          <a:r>
            <a:rPr lang="fr-FR" sz="2000" b="1" i="0" u="none" strike="noStrike" baseline="0">
              <a:solidFill>
                <a:srgbClr val="000000"/>
              </a:solidFill>
              <a:latin typeface="Arial"/>
              <a:cs typeface="Arial"/>
            </a:rPr>
            <a:t> </a:t>
          </a:r>
          <a:endParaRPr lang="fr-FR" sz="1000" b="0" i="0" u="none" strike="noStrike" baseline="0">
            <a:solidFill>
              <a:srgbClr val="000000"/>
            </a:solidFill>
            <a:latin typeface="Arial"/>
            <a:cs typeface="Arial"/>
          </a:endParaRPr>
        </a:p>
        <a:p>
          <a:pPr algn="r" rtl="0">
            <a:lnSpc>
              <a:spcPts val="1300"/>
            </a:lnSpc>
            <a:defRPr sz="1000"/>
          </a:pPr>
          <a:r>
            <a:rPr lang="fr-FR" sz="1200" b="0" i="0" u="none" strike="noStrike" baseline="0">
              <a:solidFill>
                <a:srgbClr val="000000"/>
              </a:solidFill>
              <a:latin typeface="Arial"/>
              <a:cs typeface="Arial"/>
            </a:rPr>
            <a:t> </a:t>
          </a:r>
        </a:p>
      </xdr:txBody>
    </xdr:sp>
    <xdr:clientData/>
  </xdr:twoCellAnchor>
  <xdr:twoCellAnchor>
    <xdr:from>
      <xdr:col>1</xdr:col>
      <xdr:colOff>1038225</xdr:colOff>
      <xdr:row>1</xdr:row>
      <xdr:rowOff>66675</xdr:rowOff>
    </xdr:from>
    <xdr:to>
      <xdr:col>4</xdr:col>
      <xdr:colOff>266700</xdr:colOff>
      <xdr:row>5</xdr:row>
      <xdr:rowOff>30083</xdr:rowOff>
    </xdr:to>
    <xdr:sp macro="" textlink="">
      <xdr:nvSpPr>
        <xdr:cNvPr id="3" name="Zone de texte 23">
          <a:extLst>
            <a:ext uri="{FF2B5EF4-FFF2-40B4-BE49-F238E27FC236}">
              <a16:creationId xmlns:a16="http://schemas.microsoft.com/office/drawing/2014/main" id="{00000000-0008-0000-0000-000003000000}"/>
            </a:ext>
          </a:extLst>
        </xdr:cNvPr>
        <xdr:cNvSpPr txBox="1">
          <a:spLocks noChangeArrowheads="1"/>
        </xdr:cNvSpPr>
      </xdr:nvSpPr>
      <xdr:spPr bwMode="auto">
        <a:xfrm>
          <a:off x="1771650" y="228600"/>
          <a:ext cx="2247900" cy="76350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ctr" rtl="0">
            <a:defRPr sz="1000"/>
          </a:pPr>
          <a:r>
            <a:rPr lang="fr-FR" sz="1400" b="0" i="0" u="none" strike="noStrike" baseline="0">
              <a:solidFill>
                <a:srgbClr val="000000"/>
              </a:solidFill>
              <a:latin typeface="Arial"/>
              <a:cs typeface="Arial"/>
            </a:rPr>
            <a:t>Burkina Faso</a:t>
          </a:r>
          <a:endParaRPr lang="fr-FR" sz="1000" b="0" i="0" u="none" strike="noStrike" baseline="0">
            <a:solidFill>
              <a:srgbClr val="000000"/>
            </a:solidFill>
            <a:latin typeface="Arial"/>
            <a:cs typeface="Arial"/>
          </a:endParaRPr>
        </a:p>
        <a:p>
          <a:pPr algn="ctr" rtl="0">
            <a:defRPr sz="1000"/>
          </a:pPr>
          <a:r>
            <a:rPr lang="fr-FR" sz="1400" b="0" i="0" u="none" strike="noStrike" baseline="0">
              <a:solidFill>
                <a:srgbClr val="000000"/>
              </a:solidFill>
              <a:latin typeface="Arial"/>
              <a:cs typeface="Arial"/>
            </a:rPr>
            <a:t>Unité -</a:t>
          </a:r>
          <a:r>
            <a:rPr lang="fr-FR" sz="1400" b="0" i="0" u="none" strike="noStrike" baseline="0">
              <a:solidFill>
                <a:srgbClr val="000000"/>
              </a:solidFill>
              <a:latin typeface="Arial"/>
              <a:ea typeface="+mn-ea"/>
              <a:cs typeface="Arial"/>
            </a:rPr>
            <a:t> Progrès-J</a:t>
          </a:r>
          <a:r>
            <a:rPr lang="fr-FR" sz="1400" b="0" i="0" u="none" strike="noStrike" baseline="0">
              <a:solidFill>
                <a:srgbClr val="000000"/>
              </a:solidFill>
              <a:latin typeface="Arial"/>
              <a:cs typeface="Arial"/>
            </a:rPr>
            <a:t>ustice </a:t>
          </a:r>
        </a:p>
      </xdr:txBody>
    </xdr:sp>
    <xdr:clientData/>
  </xdr:twoCellAnchor>
  <xdr:twoCellAnchor>
    <xdr:from>
      <xdr:col>5</xdr:col>
      <xdr:colOff>0</xdr:colOff>
      <xdr:row>1</xdr:row>
      <xdr:rowOff>0</xdr:rowOff>
    </xdr:from>
    <xdr:to>
      <xdr:col>8</xdr:col>
      <xdr:colOff>607377</xdr:colOff>
      <xdr:row>8</xdr:row>
      <xdr:rowOff>192643</xdr:rowOff>
    </xdr:to>
    <xdr:sp macro="" textlink="">
      <xdr:nvSpPr>
        <xdr:cNvPr id="4" name="Zone de texte 31">
          <a:extLst>
            <a:ext uri="{FF2B5EF4-FFF2-40B4-BE49-F238E27FC236}">
              <a16:creationId xmlns:a16="http://schemas.microsoft.com/office/drawing/2014/main" id="{00000000-0008-0000-0000-000004000000}"/>
            </a:ext>
          </a:extLst>
        </xdr:cNvPr>
        <xdr:cNvSpPr txBox="1">
          <a:spLocks noChangeArrowheads="1"/>
        </xdr:cNvSpPr>
      </xdr:nvSpPr>
      <xdr:spPr bwMode="auto">
        <a:xfrm>
          <a:off x="4648200" y="161925"/>
          <a:ext cx="3388677" cy="159281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ctr" rtl="0">
            <a:defRPr sz="1000"/>
          </a:pPr>
          <a:r>
            <a:rPr lang="fr-FR" sz="1400" b="0" i="0" u="none" strike="noStrike" baseline="0">
              <a:solidFill>
                <a:srgbClr val="000000"/>
              </a:solidFill>
              <a:latin typeface="Arial"/>
              <a:cs typeface="Arial"/>
            </a:rPr>
            <a:t>Ministère de l’Economie, des Finances et de la Prospective</a:t>
          </a:r>
          <a:endParaRPr lang="fr-FR" sz="1000" b="0" i="0" u="none" strike="noStrike" baseline="0">
            <a:solidFill>
              <a:srgbClr val="000000"/>
            </a:solidFill>
            <a:latin typeface="Arial"/>
            <a:cs typeface="Arial"/>
          </a:endParaRPr>
        </a:p>
        <a:p>
          <a:pPr algn="ctr" rtl="0">
            <a:defRPr sz="1000"/>
          </a:pPr>
          <a:r>
            <a:rPr lang="fr-FR" sz="1400" b="0" i="0" u="none" strike="noStrike" baseline="0">
              <a:solidFill>
                <a:srgbClr val="000000"/>
              </a:solidFill>
              <a:latin typeface="Arial"/>
              <a:cs typeface="Arial"/>
            </a:rPr>
            <a:t>---------- </a:t>
          </a:r>
          <a:endParaRPr lang="fr-FR" sz="1000" b="0" i="0" u="none" strike="noStrike" baseline="0">
            <a:solidFill>
              <a:srgbClr val="000000"/>
            </a:solidFill>
            <a:latin typeface="Arial"/>
            <a:cs typeface="Arial"/>
          </a:endParaRPr>
        </a:p>
        <a:p>
          <a:pPr algn="ctr" rtl="0">
            <a:defRPr sz="1000"/>
          </a:pPr>
          <a:r>
            <a:rPr lang="fr-FR" sz="1400" b="0" i="0" u="none" strike="noStrike" baseline="0">
              <a:solidFill>
                <a:srgbClr val="000000"/>
              </a:solidFill>
              <a:latin typeface="Arial"/>
              <a:cs typeface="Arial"/>
            </a:rPr>
            <a:t>Secrétariat Général</a:t>
          </a:r>
          <a:endParaRPr lang="fr-FR" sz="1000" b="0" i="0" u="none" strike="noStrike" baseline="0">
            <a:solidFill>
              <a:srgbClr val="000000"/>
            </a:solidFill>
            <a:latin typeface="Arial"/>
            <a:cs typeface="Arial"/>
          </a:endParaRPr>
        </a:p>
        <a:p>
          <a:pPr algn="ctr" rtl="0">
            <a:defRPr sz="1000"/>
          </a:pPr>
          <a:r>
            <a:rPr lang="fr-FR" sz="1400" b="0" i="0" u="none" strike="noStrike" baseline="0">
              <a:solidFill>
                <a:srgbClr val="000000"/>
              </a:solidFill>
              <a:latin typeface="Arial"/>
              <a:cs typeface="Arial"/>
            </a:rPr>
            <a:t>---------- </a:t>
          </a:r>
          <a:endParaRPr lang="fr-FR" sz="1000" b="0" i="0" u="none" strike="noStrike" baseline="0">
            <a:solidFill>
              <a:srgbClr val="000000"/>
            </a:solidFill>
            <a:latin typeface="Arial"/>
            <a:cs typeface="Arial"/>
          </a:endParaRPr>
        </a:p>
        <a:p>
          <a:pPr algn="ctr" rtl="0">
            <a:defRPr sz="1000"/>
          </a:pPr>
          <a:r>
            <a:rPr lang="fr-FR" sz="1400" b="0" i="0" u="none" strike="noStrike" baseline="0">
              <a:solidFill>
                <a:srgbClr val="000000"/>
              </a:solidFill>
              <a:latin typeface="Arial"/>
              <a:cs typeface="Arial"/>
            </a:rPr>
            <a:t>Institut National de la Statistique</a:t>
          </a:r>
          <a:endParaRPr lang="fr-FR" sz="1000" b="0" i="0" u="none" strike="noStrike" baseline="0">
            <a:solidFill>
              <a:srgbClr val="000000"/>
            </a:solidFill>
            <a:latin typeface="Arial"/>
            <a:cs typeface="Arial"/>
          </a:endParaRPr>
        </a:p>
        <a:p>
          <a:pPr algn="ctr" rtl="0">
            <a:defRPr sz="1000"/>
          </a:pPr>
          <a:r>
            <a:rPr lang="fr-FR" sz="1400" b="0" i="0" u="none" strike="noStrike" baseline="0">
              <a:solidFill>
                <a:srgbClr val="000000"/>
              </a:solidFill>
              <a:latin typeface="Arial"/>
              <a:cs typeface="Arial"/>
            </a:rPr>
            <a:t>et de la Démographie (INSD)</a:t>
          </a:r>
        </a:p>
      </xdr:txBody>
    </xdr:sp>
    <xdr:clientData/>
  </xdr:twoCellAnchor>
  <xdr:twoCellAnchor>
    <xdr:from>
      <xdr:col>5</xdr:col>
      <xdr:colOff>971550</xdr:colOff>
      <xdr:row>10</xdr:row>
      <xdr:rowOff>123825</xdr:rowOff>
    </xdr:from>
    <xdr:to>
      <xdr:col>7</xdr:col>
      <xdr:colOff>358854</xdr:colOff>
      <xdr:row>15</xdr:row>
      <xdr:rowOff>100647</xdr:rowOff>
    </xdr:to>
    <xdr:pic>
      <xdr:nvPicPr>
        <xdr:cNvPr id="5" name="Image 118" descr="index.1.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0" y="2085975"/>
          <a:ext cx="1406604" cy="938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21</xdr:row>
      <xdr:rowOff>47625</xdr:rowOff>
    </xdr:from>
    <xdr:to>
      <xdr:col>8</xdr:col>
      <xdr:colOff>50086</xdr:colOff>
      <xdr:row>30</xdr:row>
      <xdr:rowOff>76200</xdr:rowOff>
    </xdr:to>
    <xdr:sp macro="" textlink="">
      <xdr:nvSpPr>
        <xdr:cNvPr id="6" name="Text Box 3">
          <a:extLst>
            <a:ext uri="{FF2B5EF4-FFF2-40B4-BE49-F238E27FC236}">
              <a16:creationId xmlns:a16="http://schemas.microsoft.com/office/drawing/2014/main" id="{00000000-0008-0000-0000-000006000000}"/>
            </a:ext>
          </a:extLst>
        </xdr:cNvPr>
        <xdr:cNvSpPr txBox="1">
          <a:spLocks noChangeArrowheads="1"/>
        </xdr:cNvSpPr>
      </xdr:nvSpPr>
      <xdr:spPr bwMode="auto">
        <a:xfrm>
          <a:off x="1876425" y="4171950"/>
          <a:ext cx="5603161" cy="15144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ctr" rtl="0">
            <a:defRPr sz="1000"/>
          </a:pPr>
          <a:r>
            <a:rPr lang="fr-FR" sz="3600" b="1" i="0" u="none" strike="noStrike" baseline="0">
              <a:solidFill>
                <a:srgbClr val="FF0000"/>
              </a:solidFill>
              <a:latin typeface="Arial"/>
              <a:cs typeface="Arial"/>
            </a:rPr>
            <a:t>BULLETIN TRIMESTRIEL  </a:t>
          </a:r>
          <a:endParaRPr lang="fr-FR" sz="1000" b="0" i="0" u="none" strike="noStrike" baseline="0">
            <a:solidFill>
              <a:srgbClr val="000000"/>
            </a:solidFill>
            <a:latin typeface="Arial"/>
            <a:cs typeface="Arial"/>
          </a:endParaRPr>
        </a:p>
        <a:p>
          <a:pPr algn="ctr" rtl="0">
            <a:defRPr sz="1000"/>
          </a:pPr>
          <a:r>
            <a:rPr lang="fr-FR" sz="2000" b="1" i="1" u="none" strike="noStrike" baseline="0">
              <a:solidFill>
                <a:srgbClr val="000000"/>
              </a:solidFill>
              <a:latin typeface="Arial"/>
              <a:cs typeface="Arial"/>
            </a:rPr>
            <a:t>de  conjoncture</a:t>
          </a:r>
          <a:endParaRPr lang="fr-FR" sz="1000" b="0" i="0" u="none" strike="noStrike" baseline="0">
            <a:solidFill>
              <a:srgbClr val="000000"/>
            </a:solidFill>
            <a:latin typeface="Arial"/>
            <a:cs typeface="Arial"/>
          </a:endParaRPr>
        </a:p>
        <a:p>
          <a:pPr algn="ctr" rtl="0">
            <a:defRPr sz="1000"/>
          </a:pPr>
          <a:r>
            <a:rPr lang="fr-FR" sz="1200" b="0" i="0" u="none" strike="noStrike" baseline="0">
              <a:solidFill>
                <a:srgbClr val="000000"/>
              </a:solidFill>
              <a:latin typeface="Times New Roman"/>
              <a:cs typeface="Times New Roman"/>
            </a:rPr>
            <a:t> </a:t>
          </a:r>
        </a:p>
      </xdr:txBody>
    </xdr:sp>
    <xdr:clientData/>
  </xdr:twoCellAnchor>
  <xdr:twoCellAnchor>
    <xdr:from>
      <xdr:col>4</xdr:col>
      <xdr:colOff>180975</xdr:colOff>
      <xdr:row>48</xdr:row>
      <xdr:rowOff>104775</xdr:rowOff>
    </xdr:from>
    <xdr:to>
      <xdr:col>6</xdr:col>
      <xdr:colOff>545703</xdr:colOff>
      <xdr:row>52</xdr:row>
      <xdr:rowOff>117157</xdr:rowOff>
    </xdr:to>
    <xdr:sp macro="" textlink="">
      <xdr:nvSpPr>
        <xdr:cNvPr id="7" name="Zone de texte 33">
          <a:extLst>
            <a:ext uri="{FF2B5EF4-FFF2-40B4-BE49-F238E27FC236}">
              <a16:creationId xmlns:a16="http://schemas.microsoft.com/office/drawing/2014/main" id="{00000000-0008-0000-0000-000007000000}"/>
            </a:ext>
          </a:extLst>
        </xdr:cNvPr>
        <xdr:cNvSpPr txBox="1">
          <a:spLocks noChangeArrowheads="1"/>
        </xdr:cNvSpPr>
      </xdr:nvSpPr>
      <xdr:spPr bwMode="auto">
        <a:xfrm>
          <a:off x="3933825" y="8982075"/>
          <a:ext cx="2431653" cy="660082"/>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144000" rIns="91440" bIns="144000" anchor="t" upright="1"/>
        <a:lstStyle/>
        <a:p>
          <a:pPr algn="ctr" rtl="0">
            <a:defRPr sz="1000"/>
          </a:pPr>
          <a:r>
            <a:rPr lang="fr-FR" sz="1200" b="1" i="0" u="none" strike="noStrike" baseline="0">
              <a:solidFill>
                <a:srgbClr val="000000"/>
              </a:solidFill>
              <a:latin typeface="Arial"/>
              <a:cs typeface="Arial"/>
            </a:rPr>
            <a:t>Mars 2024</a:t>
          </a:r>
        </a:p>
        <a:p>
          <a:pPr algn="ctr" rtl="0">
            <a:defRPr sz="1000"/>
          </a:pPr>
          <a:endParaRPr lang="fr-FR" sz="1200" b="1" i="0" u="none" strike="noStrike" baseline="0">
            <a:solidFill>
              <a:srgbClr val="000000"/>
            </a:solidFill>
            <a:latin typeface="Arial"/>
            <a:cs typeface="Arial"/>
          </a:endParaRPr>
        </a:p>
        <a:p>
          <a:pPr algn="ctr" rtl="0">
            <a:defRPr sz="1000"/>
          </a:pPr>
          <a:endParaRPr lang="fr-FR" sz="1200" b="1" i="0" u="none" strike="noStrike" baseline="0">
            <a:solidFill>
              <a:srgbClr val="000000"/>
            </a:solidFill>
            <a:latin typeface="Arial"/>
            <a:cs typeface="Arial"/>
          </a:endParaRPr>
        </a:p>
        <a:p>
          <a:pPr algn="ctr" rtl="0">
            <a:defRPr sz="1000"/>
          </a:pPr>
          <a:endParaRPr lang="fr-FR" sz="1200" b="1" i="0" u="none" strike="noStrike" baseline="0">
            <a:solidFill>
              <a:srgbClr val="000000"/>
            </a:solidFill>
            <a:latin typeface="Arial"/>
            <a:cs typeface="Arial"/>
          </a:endParaRPr>
        </a:p>
        <a:p>
          <a:pPr algn="ctr" rtl="0">
            <a:defRPr sz="1000"/>
          </a:pPr>
          <a:endParaRPr lang="fr-FR" sz="1200" b="1" i="0" u="none" strike="noStrike" baseline="0">
            <a:solidFill>
              <a:srgbClr val="000000"/>
            </a:solidFill>
            <a:latin typeface="Arial"/>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32</xdr:row>
      <xdr:rowOff>12699</xdr:rowOff>
    </xdr:from>
    <xdr:to>
      <xdr:col>7</xdr:col>
      <xdr:colOff>698501</xdr:colOff>
      <xdr:row>53</xdr:row>
      <xdr:rowOff>158749</xdr:rowOff>
    </xdr:to>
    <xdr:graphicFrame macro="">
      <xdr:nvGraphicFramePr>
        <xdr:cNvPr id="2" name="Graphique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63501</xdr:colOff>
      <xdr:row>9</xdr:row>
      <xdr:rowOff>76200</xdr:rowOff>
    </xdr:from>
    <xdr:to>
      <xdr:col>7</xdr:col>
      <xdr:colOff>714375</xdr:colOff>
      <xdr:row>31</xdr:row>
      <xdr:rowOff>31750</xdr:rowOff>
    </xdr:to>
    <xdr:graphicFrame macro="">
      <xdr:nvGraphicFramePr>
        <xdr:cNvPr id="3" name="Graphique 1">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46</xdr:row>
      <xdr:rowOff>142874</xdr:rowOff>
    </xdr:from>
    <xdr:to>
      <xdr:col>7</xdr:col>
      <xdr:colOff>733424</xdr:colOff>
      <xdr:row>61</xdr:row>
      <xdr:rowOff>161924</xdr:rowOff>
    </xdr:to>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9525</xdr:rowOff>
    </xdr:from>
    <xdr:to>
      <xdr:col>7</xdr:col>
      <xdr:colOff>742950</xdr:colOff>
      <xdr:row>46</xdr:row>
      <xdr:rowOff>28575</xdr:rowOff>
    </xdr:to>
    <xdr:graphicFrame macro="">
      <xdr:nvGraphicFramePr>
        <xdr:cNvPr id="3" name="Graphique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31750</xdr:colOff>
      <xdr:row>112</xdr:row>
      <xdr:rowOff>9524</xdr:rowOff>
    </xdr:from>
    <xdr:to>
      <xdr:col>7</xdr:col>
      <xdr:colOff>793750</xdr:colOff>
      <xdr:row>124</xdr:row>
      <xdr:rowOff>47625</xdr:rowOff>
    </xdr:to>
    <xdr:graphicFrame macro="">
      <xdr:nvGraphicFramePr>
        <xdr:cNvPr id="2" name="Graphique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xdr:colOff>
      <xdr:row>125</xdr:row>
      <xdr:rowOff>19051</xdr:rowOff>
    </xdr:from>
    <xdr:to>
      <xdr:col>7</xdr:col>
      <xdr:colOff>751416</xdr:colOff>
      <xdr:row>137</xdr:row>
      <xdr:rowOff>104775</xdr:rowOff>
    </xdr:to>
    <xdr:graphicFrame macro="">
      <xdr:nvGraphicFramePr>
        <xdr:cNvPr id="3" name="Graphique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74082</xdr:colOff>
      <xdr:row>138</xdr:row>
      <xdr:rowOff>28574</xdr:rowOff>
    </xdr:from>
    <xdr:to>
      <xdr:col>7</xdr:col>
      <xdr:colOff>772582</xdr:colOff>
      <xdr:row>155</xdr:row>
      <xdr:rowOff>104775</xdr:rowOff>
    </xdr:to>
    <xdr:graphicFrame macro="">
      <xdr:nvGraphicFramePr>
        <xdr:cNvPr id="4" name="Graphique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84667</xdr:colOff>
      <xdr:row>156</xdr:row>
      <xdr:rowOff>28574</xdr:rowOff>
    </xdr:from>
    <xdr:to>
      <xdr:col>7</xdr:col>
      <xdr:colOff>733425</xdr:colOff>
      <xdr:row>173</xdr:row>
      <xdr:rowOff>63500</xdr:rowOff>
    </xdr:to>
    <xdr:graphicFrame macro="">
      <xdr:nvGraphicFramePr>
        <xdr:cNvPr id="5" name="Graphique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19051</xdr:colOff>
      <xdr:row>174</xdr:row>
      <xdr:rowOff>88900</xdr:rowOff>
    </xdr:from>
    <xdr:to>
      <xdr:col>7</xdr:col>
      <xdr:colOff>717552</xdr:colOff>
      <xdr:row>193</xdr:row>
      <xdr:rowOff>17992</xdr:rowOff>
    </xdr:to>
    <xdr:graphicFrame macro="">
      <xdr:nvGraphicFramePr>
        <xdr:cNvPr id="6" name="Graphique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12700</xdr:colOff>
      <xdr:row>194</xdr:row>
      <xdr:rowOff>79376</xdr:rowOff>
    </xdr:from>
    <xdr:to>
      <xdr:col>7</xdr:col>
      <xdr:colOff>732367</xdr:colOff>
      <xdr:row>213</xdr:row>
      <xdr:rowOff>88901</xdr:rowOff>
    </xdr:to>
    <xdr:graphicFrame macro="">
      <xdr:nvGraphicFramePr>
        <xdr:cNvPr id="7" name="Graphique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106926</xdr:colOff>
      <xdr:row>41</xdr:row>
      <xdr:rowOff>83881</xdr:rowOff>
    </xdr:from>
    <xdr:to>
      <xdr:col>18</xdr:col>
      <xdr:colOff>662354</xdr:colOff>
      <xdr:row>55</xdr:row>
      <xdr:rowOff>137160</xdr:rowOff>
    </xdr:to>
    <xdr:graphicFrame macro="">
      <xdr:nvGraphicFramePr>
        <xdr:cNvPr id="2" name="Graphique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0</xdr:row>
      <xdr:rowOff>57785</xdr:rowOff>
    </xdr:from>
    <xdr:to>
      <xdr:col>8</xdr:col>
      <xdr:colOff>388620</xdr:colOff>
      <xdr:row>10</xdr:row>
      <xdr:rowOff>123553</xdr:rowOff>
    </xdr:to>
    <xdr:graphicFrame macro="">
      <xdr:nvGraphicFramePr>
        <xdr:cNvPr id="4" name="Graphique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xdr:colOff>
      <xdr:row>10</xdr:row>
      <xdr:rowOff>184468</xdr:rowOff>
    </xdr:from>
    <xdr:to>
      <xdr:col>8</xdr:col>
      <xdr:colOff>403860</xdr:colOff>
      <xdr:row>23</xdr:row>
      <xdr:rowOff>103959</xdr:rowOff>
    </xdr:to>
    <xdr:graphicFrame macro="">
      <xdr:nvGraphicFramePr>
        <xdr:cNvPr id="5" name="Graphique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26670</xdr:colOff>
      <xdr:row>24</xdr:row>
      <xdr:rowOff>2721</xdr:rowOff>
    </xdr:from>
    <xdr:to>
      <xdr:col>8</xdr:col>
      <xdr:colOff>403860</xdr:colOff>
      <xdr:row>39</xdr:row>
      <xdr:rowOff>111578</xdr:rowOff>
    </xdr:to>
    <xdr:graphicFrame macro="">
      <xdr:nvGraphicFramePr>
        <xdr:cNvPr id="6" name="Graphique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39</xdr:row>
      <xdr:rowOff>160338</xdr:rowOff>
    </xdr:from>
    <xdr:to>
      <xdr:col>8</xdr:col>
      <xdr:colOff>403860</xdr:colOff>
      <xdr:row>53</xdr:row>
      <xdr:rowOff>45720</xdr:rowOff>
    </xdr:to>
    <xdr:graphicFrame macro="">
      <xdr:nvGraphicFramePr>
        <xdr:cNvPr id="7" name="Graphique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68036</xdr:colOff>
      <xdr:row>0</xdr:row>
      <xdr:rowOff>145072</xdr:rowOff>
    </xdr:from>
    <xdr:to>
      <xdr:col>18</xdr:col>
      <xdr:colOff>0</xdr:colOff>
      <xdr:row>15</xdr:row>
      <xdr:rowOff>16933</xdr:rowOff>
    </xdr:to>
    <xdr:graphicFrame macro="">
      <xdr:nvGraphicFramePr>
        <xdr:cNvPr id="2" name="Graphique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81642</xdr:colOff>
      <xdr:row>16</xdr:row>
      <xdr:rowOff>20680</xdr:rowOff>
    </xdr:from>
    <xdr:to>
      <xdr:col>18</xdr:col>
      <xdr:colOff>0</xdr:colOff>
      <xdr:row>31</xdr:row>
      <xdr:rowOff>1</xdr:rowOff>
    </xdr:to>
    <xdr:graphicFrame macro="">
      <xdr:nvGraphicFramePr>
        <xdr:cNvPr id="3" name="Graphique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112184</xdr:colOff>
      <xdr:row>32</xdr:row>
      <xdr:rowOff>20560</xdr:rowOff>
    </xdr:from>
    <xdr:to>
      <xdr:col>18</xdr:col>
      <xdr:colOff>0</xdr:colOff>
      <xdr:row>47</xdr:row>
      <xdr:rowOff>4234</xdr:rowOff>
    </xdr:to>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107042</xdr:colOff>
      <xdr:row>48</xdr:row>
      <xdr:rowOff>37495</xdr:rowOff>
    </xdr:from>
    <xdr:to>
      <xdr:col>18</xdr:col>
      <xdr:colOff>0</xdr:colOff>
      <xdr:row>61</xdr:row>
      <xdr:rowOff>118534</xdr:rowOff>
    </xdr:to>
    <xdr:graphicFrame macro="">
      <xdr:nvGraphicFramePr>
        <xdr:cNvPr id="5" name="Graphique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118837</xdr:colOff>
      <xdr:row>62</xdr:row>
      <xdr:rowOff>135767</xdr:rowOff>
    </xdr:from>
    <xdr:to>
      <xdr:col>18</xdr:col>
      <xdr:colOff>0</xdr:colOff>
      <xdr:row>74</xdr:row>
      <xdr:rowOff>143933</xdr:rowOff>
    </xdr:to>
    <xdr:graphicFrame macro="">
      <xdr:nvGraphicFramePr>
        <xdr:cNvPr id="6" name="Graphique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59530</xdr:colOff>
      <xdr:row>98</xdr:row>
      <xdr:rowOff>104774</xdr:rowOff>
    </xdr:from>
    <xdr:to>
      <xdr:col>7</xdr:col>
      <xdr:colOff>702467</xdr:colOff>
      <xdr:row>115</xdr:row>
      <xdr:rowOff>160020</xdr:rowOff>
    </xdr:to>
    <xdr:graphicFrame macro="">
      <xdr:nvGraphicFramePr>
        <xdr:cNvPr id="2" name="Graphique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47626</xdr:colOff>
      <xdr:row>81</xdr:row>
      <xdr:rowOff>66675</xdr:rowOff>
    </xdr:from>
    <xdr:to>
      <xdr:col>7</xdr:col>
      <xdr:colOff>714374</xdr:colOff>
      <xdr:row>97</xdr:row>
      <xdr:rowOff>130969</xdr:rowOff>
    </xdr:to>
    <xdr:graphicFrame macro="">
      <xdr:nvGraphicFramePr>
        <xdr:cNvPr id="3" name="Graphique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36266</xdr:colOff>
      <xdr:row>1</xdr:row>
      <xdr:rowOff>11540</xdr:rowOff>
    </xdr:from>
    <xdr:to>
      <xdr:col>17</xdr:col>
      <xdr:colOff>0</xdr:colOff>
      <xdr:row>15</xdr:row>
      <xdr:rowOff>67224</xdr:rowOff>
    </xdr:to>
    <xdr:graphicFrame macro="">
      <xdr:nvGraphicFramePr>
        <xdr:cNvPr id="2" name="Graphique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60081</xdr:colOff>
      <xdr:row>16</xdr:row>
      <xdr:rowOff>11906</xdr:rowOff>
    </xdr:from>
    <xdr:to>
      <xdr:col>17</xdr:col>
      <xdr:colOff>0</xdr:colOff>
      <xdr:row>32</xdr:row>
      <xdr:rowOff>38099</xdr:rowOff>
    </xdr:to>
    <xdr:graphicFrame macro="">
      <xdr:nvGraphicFramePr>
        <xdr:cNvPr id="3" name="Graphique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57149</xdr:colOff>
      <xdr:row>33</xdr:row>
      <xdr:rowOff>19050</xdr:rowOff>
    </xdr:from>
    <xdr:to>
      <xdr:col>17</xdr:col>
      <xdr:colOff>0</xdr:colOff>
      <xdr:row>48</xdr:row>
      <xdr:rowOff>26377</xdr:rowOff>
    </xdr:to>
    <xdr:graphicFrame macro="">
      <xdr:nvGraphicFramePr>
        <xdr:cNvPr id="4" name="Graphique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40665</xdr:colOff>
      <xdr:row>49</xdr:row>
      <xdr:rowOff>11907</xdr:rowOff>
    </xdr:from>
    <xdr:to>
      <xdr:col>17</xdr:col>
      <xdr:colOff>0</xdr:colOff>
      <xdr:row>74</xdr:row>
      <xdr:rowOff>71437</xdr:rowOff>
    </xdr:to>
    <xdr:graphicFrame macro="">
      <xdr:nvGraphicFramePr>
        <xdr:cNvPr id="5" name="Graphique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4</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1A00-000002000000}"/>
            </a:ext>
          </a:extLst>
        </xdr:cNvPr>
        <xdr:cNvSpPr>
          <a:spLocks noChangeShapeType="1"/>
        </xdr:cNvSpPr>
      </xdr:nvSpPr>
      <xdr:spPr bwMode="auto">
        <a:xfrm>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3" name="Line 2">
          <a:extLst>
            <a:ext uri="{FF2B5EF4-FFF2-40B4-BE49-F238E27FC236}">
              <a16:creationId xmlns:a16="http://schemas.microsoft.com/office/drawing/2014/main" id="{00000000-0008-0000-1A00-000003000000}"/>
            </a:ext>
          </a:extLst>
        </xdr:cNvPr>
        <xdr:cNvSpPr>
          <a:spLocks noChangeShapeType="1"/>
        </xdr:cNvSpPr>
      </xdr:nvSpPr>
      <xdr:spPr bwMode="auto">
        <a:xfrm>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4" name="Line 3">
          <a:extLst>
            <a:ext uri="{FF2B5EF4-FFF2-40B4-BE49-F238E27FC236}">
              <a16:creationId xmlns:a16="http://schemas.microsoft.com/office/drawing/2014/main" id="{00000000-0008-0000-1A00-000004000000}"/>
            </a:ext>
          </a:extLst>
        </xdr:cNvPr>
        <xdr:cNvSpPr>
          <a:spLocks noChangeShapeType="1"/>
        </xdr:cNvSpPr>
      </xdr:nvSpPr>
      <xdr:spPr bwMode="auto">
        <a:xfrm flipV="1">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5" name="Line 4">
          <a:extLst>
            <a:ext uri="{FF2B5EF4-FFF2-40B4-BE49-F238E27FC236}">
              <a16:creationId xmlns:a16="http://schemas.microsoft.com/office/drawing/2014/main" id="{00000000-0008-0000-1A00-000005000000}"/>
            </a:ext>
          </a:extLst>
        </xdr:cNvPr>
        <xdr:cNvSpPr>
          <a:spLocks noChangeShapeType="1"/>
        </xdr:cNvSpPr>
      </xdr:nvSpPr>
      <xdr:spPr bwMode="auto">
        <a:xfrm>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6" name="Line 5">
          <a:extLst>
            <a:ext uri="{FF2B5EF4-FFF2-40B4-BE49-F238E27FC236}">
              <a16:creationId xmlns:a16="http://schemas.microsoft.com/office/drawing/2014/main" id="{00000000-0008-0000-1A00-000006000000}"/>
            </a:ext>
          </a:extLst>
        </xdr:cNvPr>
        <xdr:cNvSpPr>
          <a:spLocks noChangeShapeType="1"/>
        </xdr:cNvSpPr>
      </xdr:nvSpPr>
      <xdr:spPr bwMode="auto">
        <a:xfrm flipV="1">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7" name="Line 6">
          <a:extLst>
            <a:ext uri="{FF2B5EF4-FFF2-40B4-BE49-F238E27FC236}">
              <a16:creationId xmlns:a16="http://schemas.microsoft.com/office/drawing/2014/main" id="{00000000-0008-0000-1A00-000007000000}"/>
            </a:ext>
          </a:extLst>
        </xdr:cNvPr>
        <xdr:cNvSpPr>
          <a:spLocks noChangeShapeType="1"/>
        </xdr:cNvSpPr>
      </xdr:nvSpPr>
      <xdr:spPr bwMode="auto">
        <a:xfrm>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8" name="Line 7">
          <a:extLst>
            <a:ext uri="{FF2B5EF4-FFF2-40B4-BE49-F238E27FC236}">
              <a16:creationId xmlns:a16="http://schemas.microsoft.com/office/drawing/2014/main" id="{00000000-0008-0000-1A00-000008000000}"/>
            </a:ext>
          </a:extLst>
        </xdr:cNvPr>
        <xdr:cNvSpPr>
          <a:spLocks noChangeShapeType="1"/>
        </xdr:cNvSpPr>
      </xdr:nvSpPr>
      <xdr:spPr bwMode="auto">
        <a:xfrm>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9" name="Line 8">
          <a:extLst>
            <a:ext uri="{FF2B5EF4-FFF2-40B4-BE49-F238E27FC236}">
              <a16:creationId xmlns:a16="http://schemas.microsoft.com/office/drawing/2014/main" id="{00000000-0008-0000-1A00-000009000000}"/>
            </a:ext>
          </a:extLst>
        </xdr:cNvPr>
        <xdr:cNvSpPr>
          <a:spLocks noChangeShapeType="1"/>
        </xdr:cNvSpPr>
      </xdr:nvSpPr>
      <xdr:spPr bwMode="auto">
        <a:xfrm flipV="1">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10" name="Line 9">
          <a:extLst>
            <a:ext uri="{FF2B5EF4-FFF2-40B4-BE49-F238E27FC236}">
              <a16:creationId xmlns:a16="http://schemas.microsoft.com/office/drawing/2014/main" id="{00000000-0008-0000-1A00-00000A000000}"/>
            </a:ext>
          </a:extLst>
        </xdr:cNvPr>
        <xdr:cNvSpPr>
          <a:spLocks noChangeShapeType="1"/>
        </xdr:cNvSpPr>
      </xdr:nvSpPr>
      <xdr:spPr bwMode="auto">
        <a:xfrm>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11" name="Line 10">
          <a:extLst>
            <a:ext uri="{FF2B5EF4-FFF2-40B4-BE49-F238E27FC236}">
              <a16:creationId xmlns:a16="http://schemas.microsoft.com/office/drawing/2014/main" id="{00000000-0008-0000-1A00-00000B000000}"/>
            </a:ext>
          </a:extLst>
        </xdr:cNvPr>
        <xdr:cNvSpPr>
          <a:spLocks noChangeShapeType="1"/>
        </xdr:cNvSpPr>
      </xdr:nvSpPr>
      <xdr:spPr bwMode="auto">
        <a:xfrm flipV="1">
          <a:off x="2143125"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2" name="Line 11">
          <a:extLst>
            <a:ext uri="{FF2B5EF4-FFF2-40B4-BE49-F238E27FC236}">
              <a16:creationId xmlns:a16="http://schemas.microsoft.com/office/drawing/2014/main" id="{00000000-0008-0000-1A00-00000C000000}"/>
            </a:ext>
          </a:extLst>
        </xdr:cNvPr>
        <xdr:cNvSpPr>
          <a:spLocks noChangeShapeType="1"/>
        </xdr:cNvSpPr>
      </xdr:nvSpPr>
      <xdr:spPr bwMode="auto">
        <a:xfrm>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3" name="Line 12">
          <a:extLst>
            <a:ext uri="{FF2B5EF4-FFF2-40B4-BE49-F238E27FC236}">
              <a16:creationId xmlns:a16="http://schemas.microsoft.com/office/drawing/2014/main" id="{00000000-0008-0000-1A00-00000D000000}"/>
            </a:ext>
          </a:extLst>
        </xdr:cNvPr>
        <xdr:cNvSpPr>
          <a:spLocks noChangeShapeType="1"/>
        </xdr:cNvSpPr>
      </xdr:nvSpPr>
      <xdr:spPr bwMode="auto">
        <a:xfrm>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4" name="Line 13">
          <a:extLst>
            <a:ext uri="{FF2B5EF4-FFF2-40B4-BE49-F238E27FC236}">
              <a16:creationId xmlns:a16="http://schemas.microsoft.com/office/drawing/2014/main" id="{00000000-0008-0000-1A00-00000E000000}"/>
            </a:ext>
          </a:extLst>
        </xdr:cNvPr>
        <xdr:cNvSpPr>
          <a:spLocks noChangeShapeType="1"/>
        </xdr:cNvSpPr>
      </xdr:nvSpPr>
      <xdr:spPr bwMode="auto">
        <a:xfrm flipV="1">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5" name="Line 14">
          <a:extLst>
            <a:ext uri="{FF2B5EF4-FFF2-40B4-BE49-F238E27FC236}">
              <a16:creationId xmlns:a16="http://schemas.microsoft.com/office/drawing/2014/main" id="{00000000-0008-0000-1A00-00000F000000}"/>
            </a:ext>
          </a:extLst>
        </xdr:cNvPr>
        <xdr:cNvSpPr>
          <a:spLocks noChangeShapeType="1"/>
        </xdr:cNvSpPr>
      </xdr:nvSpPr>
      <xdr:spPr bwMode="auto">
        <a:xfrm>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6" name="Line 15">
          <a:extLst>
            <a:ext uri="{FF2B5EF4-FFF2-40B4-BE49-F238E27FC236}">
              <a16:creationId xmlns:a16="http://schemas.microsoft.com/office/drawing/2014/main" id="{00000000-0008-0000-1A00-000010000000}"/>
            </a:ext>
          </a:extLst>
        </xdr:cNvPr>
        <xdr:cNvSpPr>
          <a:spLocks noChangeShapeType="1"/>
        </xdr:cNvSpPr>
      </xdr:nvSpPr>
      <xdr:spPr bwMode="auto">
        <a:xfrm flipV="1">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7" name="Line 16">
          <a:extLst>
            <a:ext uri="{FF2B5EF4-FFF2-40B4-BE49-F238E27FC236}">
              <a16:creationId xmlns:a16="http://schemas.microsoft.com/office/drawing/2014/main" id="{00000000-0008-0000-1A00-000011000000}"/>
            </a:ext>
          </a:extLst>
        </xdr:cNvPr>
        <xdr:cNvSpPr>
          <a:spLocks noChangeShapeType="1"/>
        </xdr:cNvSpPr>
      </xdr:nvSpPr>
      <xdr:spPr bwMode="auto">
        <a:xfrm>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8" name="Line 17">
          <a:extLst>
            <a:ext uri="{FF2B5EF4-FFF2-40B4-BE49-F238E27FC236}">
              <a16:creationId xmlns:a16="http://schemas.microsoft.com/office/drawing/2014/main" id="{00000000-0008-0000-1A00-000012000000}"/>
            </a:ext>
          </a:extLst>
        </xdr:cNvPr>
        <xdr:cNvSpPr>
          <a:spLocks noChangeShapeType="1"/>
        </xdr:cNvSpPr>
      </xdr:nvSpPr>
      <xdr:spPr bwMode="auto">
        <a:xfrm>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9" name="Line 18">
          <a:extLst>
            <a:ext uri="{FF2B5EF4-FFF2-40B4-BE49-F238E27FC236}">
              <a16:creationId xmlns:a16="http://schemas.microsoft.com/office/drawing/2014/main" id="{00000000-0008-0000-1A00-000013000000}"/>
            </a:ext>
          </a:extLst>
        </xdr:cNvPr>
        <xdr:cNvSpPr>
          <a:spLocks noChangeShapeType="1"/>
        </xdr:cNvSpPr>
      </xdr:nvSpPr>
      <xdr:spPr bwMode="auto">
        <a:xfrm flipV="1">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20" name="Line 19">
          <a:extLst>
            <a:ext uri="{FF2B5EF4-FFF2-40B4-BE49-F238E27FC236}">
              <a16:creationId xmlns:a16="http://schemas.microsoft.com/office/drawing/2014/main" id="{00000000-0008-0000-1A00-000014000000}"/>
            </a:ext>
          </a:extLst>
        </xdr:cNvPr>
        <xdr:cNvSpPr>
          <a:spLocks noChangeShapeType="1"/>
        </xdr:cNvSpPr>
      </xdr:nvSpPr>
      <xdr:spPr bwMode="auto">
        <a:xfrm>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21" name="Line 20">
          <a:extLst>
            <a:ext uri="{FF2B5EF4-FFF2-40B4-BE49-F238E27FC236}">
              <a16:creationId xmlns:a16="http://schemas.microsoft.com/office/drawing/2014/main" id="{00000000-0008-0000-1A00-000015000000}"/>
            </a:ext>
          </a:extLst>
        </xdr:cNvPr>
        <xdr:cNvSpPr>
          <a:spLocks noChangeShapeType="1"/>
        </xdr:cNvSpPr>
      </xdr:nvSpPr>
      <xdr:spPr bwMode="auto">
        <a:xfrm flipV="1">
          <a:off x="2514600"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22" name="Line 21">
          <a:extLst>
            <a:ext uri="{FF2B5EF4-FFF2-40B4-BE49-F238E27FC236}">
              <a16:creationId xmlns:a16="http://schemas.microsoft.com/office/drawing/2014/main" id="{00000000-0008-0000-1A00-000016000000}"/>
            </a:ext>
          </a:extLst>
        </xdr:cNvPr>
        <xdr:cNvSpPr>
          <a:spLocks noChangeShapeType="1"/>
        </xdr:cNvSpPr>
      </xdr:nvSpPr>
      <xdr:spPr bwMode="auto">
        <a:xfrm>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23" name="Line 22">
          <a:extLst>
            <a:ext uri="{FF2B5EF4-FFF2-40B4-BE49-F238E27FC236}">
              <a16:creationId xmlns:a16="http://schemas.microsoft.com/office/drawing/2014/main" id="{00000000-0008-0000-1A00-000017000000}"/>
            </a:ext>
          </a:extLst>
        </xdr:cNvPr>
        <xdr:cNvSpPr>
          <a:spLocks noChangeShapeType="1"/>
        </xdr:cNvSpPr>
      </xdr:nvSpPr>
      <xdr:spPr bwMode="auto">
        <a:xfrm>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24" name="Line 23">
          <a:extLst>
            <a:ext uri="{FF2B5EF4-FFF2-40B4-BE49-F238E27FC236}">
              <a16:creationId xmlns:a16="http://schemas.microsoft.com/office/drawing/2014/main" id="{00000000-0008-0000-1A00-000018000000}"/>
            </a:ext>
          </a:extLst>
        </xdr:cNvPr>
        <xdr:cNvSpPr>
          <a:spLocks noChangeShapeType="1"/>
        </xdr:cNvSpPr>
      </xdr:nvSpPr>
      <xdr:spPr bwMode="auto">
        <a:xfrm flipV="1">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25" name="Line 24">
          <a:extLst>
            <a:ext uri="{FF2B5EF4-FFF2-40B4-BE49-F238E27FC236}">
              <a16:creationId xmlns:a16="http://schemas.microsoft.com/office/drawing/2014/main" id="{00000000-0008-0000-1A00-000019000000}"/>
            </a:ext>
          </a:extLst>
        </xdr:cNvPr>
        <xdr:cNvSpPr>
          <a:spLocks noChangeShapeType="1"/>
        </xdr:cNvSpPr>
      </xdr:nvSpPr>
      <xdr:spPr bwMode="auto">
        <a:xfrm>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26" name="Line 25">
          <a:extLst>
            <a:ext uri="{FF2B5EF4-FFF2-40B4-BE49-F238E27FC236}">
              <a16:creationId xmlns:a16="http://schemas.microsoft.com/office/drawing/2014/main" id="{00000000-0008-0000-1A00-00001A000000}"/>
            </a:ext>
          </a:extLst>
        </xdr:cNvPr>
        <xdr:cNvSpPr>
          <a:spLocks noChangeShapeType="1"/>
        </xdr:cNvSpPr>
      </xdr:nvSpPr>
      <xdr:spPr bwMode="auto">
        <a:xfrm flipV="1">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27" name="Line 26">
          <a:extLst>
            <a:ext uri="{FF2B5EF4-FFF2-40B4-BE49-F238E27FC236}">
              <a16:creationId xmlns:a16="http://schemas.microsoft.com/office/drawing/2014/main" id="{00000000-0008-0000-1A00-00001B000000}"/>
            </a:ext>
          </a:extLst>
        </xdr:cNvPr>
        <xdr:cNvSpPr>
          <a:spLocks noChangeShapeType="1"/>
        </xdr:cNvSpPr>
      </xdr:nvSpPr>
      <xdr:spPr bwMode="auto">
        <a:xfrm>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28" name="Line 27">
          <a:extLst>
            <a:ext uri="{FF2B5EF4-FFF2-40B4-BE49-F238E27FC236}">
              <a16:creationId xmlns:a16="http://schemas.microsoft.com/office/drawing/2014/main" id="{00000000-0008-0000-1A00-00001C000000}"/>
            </a:ext>
          </a:extLst>
        </xdr:cNvPr>
        <xdr:cNvSpPr>
          <a:spLocks noChangeShapeType="1"/>
        </xdr:cNvSpPr>
      </xdr:nvSpPr>
      <xdr:spPr bwMode="auto">
        <a:xfrm>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29" name="Line 28">
          <a:extLst>
            <a:ext uri="{FF2B5EF4-FFF2-40B4-BE49-F238E27FC236}">
              <a16:creationId xmlns:a16="http://schemas.microsoft.com/office/drawing/2014/main" id="{00000000-0008-0000-1A00-00001D000000}"/>
            </a:ext>
          </a:extLst>
        </xdr:cNvPr>
        <xdr:cNvSpPr>
          <a:spLocks noChangeShapeType="1"/>
        </xdr:cNvSpPr>
      </xdr:nvSpPr>
      <xdr:spPr bwMode="auto">
        <a:xfrm flipV="1">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30" name="Line 29">
          <a:extLst>
            <a:ext uri="{FF2B5EF4-FFF2-40B4-BE49-F238E27FC236}">
              <a16:creationId xmlns:a16="http://schemas.microsoft.com/office/drawing/2014/main" id="{00000000-0008-0000-1A00-00001E000000}"/>
            </a:ext>
          </a:extLst>
        </xdr:cNvPr>
        <xdr:cNvSpPr>
          <a:spLocks noChangeShapeType="1"/>
        </xdr:cNvSpPr>
      </xdr:nvSpPr>
      <xdr:spPr bwMode="auto">
        <a:xfrm>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31" name="Line 30">
          <a:extLst>
            <a:ext uri="{FF2B5EF4-FFF2-40B4-BE49-F238E27FC236}">
              <a16:creationId xmlns:a16="http://schemas.microsoft.com/office/drawing/2014/main" id="{00000000-0008-0000-1A00-00001F000000}"/>
            </a:ext>
          </a:extLst>
        </xdr:cNvPr>
        <xdr:cNvSpPr>
          <a:spLocks noChangeShapeType="1"/>
        </xdr:cNvSpPr>
      </xdr:nvSpPr>
      <xdr:spPr bwMode="auto">
        <a:xfrm flipV="1">
          <a:off x="29241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32" name="Line 31">
          <a:extLst>
            <a:ext uri="{FF2B5EF4-FFF2-40B4-BE49-F238E27FC236}">
              <a16:creationId xmlns:a16="http://schemas.microsoft.com/office/drawing/2014/main" id="{00000000-0008-0000-1A00-000020000000}"/>
            </a:ext>
          </a:extLst>
        </xdr:cNvPr>
        <xdr:cNvSpPr>
          <a:spLocks noChangeShapeType="1"/>
        </xdr:cNvSpPr>
      </xdr:nvSpPr>
      <xdr:spPr bwMode="auto">
        <a:xfrm>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33" name="Line 32">
          <a:extLst>
            <a:ext uri="{FF2B5EF4-FFF2-40B4-BE49-F238E27FC236}">
              <a16:creationId xmlns:a16="http://schemas.microsoft.com/office/drawing/2014/main" id="{00000000-0008-0000-1A00-000021000000}"/>
            </a:ext>
          </a:extLst>
        </xdr:cNvPr>
        <xdr:cNvSpPr>
          <a:spLocks noChangeShapeType="1"/>
        </xdr:cNvSpPr>
      </xdr:nvSpPr>
      <xdr:spPr bwMode="auto">
        <a:xfrm>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34" name="Line 33">
          <a:extLst>
            <a:ext uri="{FF2B5EF4-FFF2-40B4-BE49-F238E27FC236}">
              <a16:creationId xmlns:a16="http://schemas.microsoft.com/office/drawing/2014/main" id="{00000000-0008-0000-1A00-000022000000}"/>
            </a:ext>
          </a:extLst>
        </xdr:cNvPr>
        <xdr:cNvSpPr>
          <a:spLocks noChangeShapeType="1"/>
        </xdr:cNvSpPr>
      </xdr:nvSpPr>
      <xdr:spPr bwMode="auto">
        <a:xfrm flipV="1">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35" name="Line 34">
          <a:extLst>
            <a:ext uri="{FF2B5EF4-FFF2-40B4-BE49-F238E27FC236}">
              <a16:creationId xmlns:a16="http://schemas.microsoft.com/office/drawing/2014/main" id="{00000000-0008-0000-1A00-000023000000}"/>
            </a:ext>
          </a:extLst>
        </xdr:cNvPr>
        <xdr:cNvSpPr>
          <a:spLocks noChangeShapeType="1"/>
        </xdr:cNvSpPr>
      </xdr:nvSpPr>
      <xdr:spPr bwMode="auto">
        <a:xfrm>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36" name="Line 35">
          <a:extLst>
            <a:ext uri="{FF2B5EF4-FFF2-40B4-BE49-F238E27FC236}">
              <a16:creationId xmlns:a16="http://schemas.microsoft.com/office/drawing/2014/main" id="{00000000-0008-0000-1A00-000024000000}"/>
            </a:ext>
          </a:extLst>
        </xdr:cNvPr>
        <xdr:cNvSpPr>
          <a:spLocks noChangeShapeType="1"/>
        </xdr:cNvSpPr>
      </xdr:nvSpPr>
      <xdr:spPr bwMode="auto">
        <a:xfrm flipV="1">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37" name="Line 36">
          <a:extLst>
            <a:ext uri="{FF2B5EF4-FFF2-40B4-BE49-F238E27FC236}">
              <a16:creationId xmlns:a16="http://schemas.microsoft.com/office/drawing/2014/main" id="{00000000-0008-0000-1A00-000025000000}"/>
            </a:ext>
          </a:extLst>
        </xdr:cNvPr>
        <xdr:cNvSpPr>
          <a:spLocks noChangeShapeType="1"/>
        </xdr:cNvSpPr>
      </xdr:nvSpPr>
      <xdr:spPr bwMode="auto">
        <a:xfrm>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38" name="Line 37">
          <a:extLst>
            <a:ext uri="{FF2B5EF4-FFF2-40B4-BE49-F238E27FC236}">
              <a16:creationId xmlns:a16="http://schemas.microsoft.com/office/drawing/2014/main" id="{00000000-0008-0000-1A00-000026000000}"/>
            </a:ext>
          </a:extLst>
        </xdr:cNvPr>
        <xdr:cNvSpPr>
          <a:spLocks noChangeShapeType="1"/>
        </xdr:cNvSpPr>
      </xdr:nvSpPr>
      <xdr:spPr bwMode="auto">
        <a:xfrm>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39" name="Line 38">
          <a:extLst>
            <a:ext uri="{FF2B5EF4-FFF2-40B4-BE49-F238E27FC236}">
              <a16:creationId xmlns:a16="http://schemas.microsoft.com/office/drawing/2014/main" id="{00000000-0008-0000-1A00-000027000000}"/>
            </a:ext>
          </a:extLst>
        </xdr:cNvPr>
        <xdr:cNvSpPr>
          <a:spLocks noChangeShapeType="1"/>
        </xdr:cNvSpPr>
      </xdr:nvSpPr>
      <xdr:spPr bwMode="auto">
        <a:xfrm flipV="1">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40" name="Line 39">
          <a:extLst>
            <a:ext uri="{FF2B5EF4-FFF2-40B4-BE49-F238E27FC236}">
              <a16:creationId xmlns:a16="http://schemas.microsoft.com/office/drawing/2014/main" id="{00000000-0008-0000-1A00-000028000000}"/>
            </a:ext>
          </a:extLst>
        </xdr:cNvPr>
        <xdr:cNvSpPr>
          <a:spLocks noChangeShapeType="1"/>
        </xdr:cNvSpPr>
      </xdr:nvSpPr>
      <xdr:spPr bwMode="auto">
        <a:xfrm>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41" name="Line 40">
          <a:extLst>
            <a:ext uri="{FF2B5EF4-FFF2-40B4-BE49-F238E27FC236}">
              <a16:creationId xmlns:a16="http://schemas.microsoft.com/office/drawing/2014/main" id="{00000000-0008-0000-1A00-000029000000}"/>
            </a:ext>
          </a:extLst>
        </xdr:cNvPr>
        <xdr:cNvSpPr>
          <a:spLocks noChangeShapeType="1"/>
        </xdr:cNvSpPr>
      </xdr:nvSpPr>
      <xdr:spPr bwMode="auto">
        <a:xfrm flipV="1">
          <a:off x="3343275" y="647700"/>
          <a:ext cx="0" cy="0"/>
        </a:xfrm>
        <a:prstGeom prst="line">
          <a:avLst/>
        </a:prstGeom>
        <a:noFill/>
        <a:ln w="9525">
          <a:solidFill>
            <a:srgbClr val="000000"/>
          </a:solidFill>
          <a:round/>
          <a:headEnd/>
          <a:tailEnd/>
        </a:ln>
      </xdr:spPr>
    </xdr:sp>
    <xdr:clientData/>
  </xdr:twoCellAnchor>
  <xdr:twoCellAnchor>
    <xdr:from>
      <xdr:col>2</xdr:col>
      <xdr:colOff>0</xdr:colOff>
      <xdr:row>87</xdr:row>
      <xdr:rowOff>0</xdr:rowOff>
    </xdr:from>
    <xdr:to>
      <xdr:col>2</xdr:col>
      <xdr:colOff>0</xdr:colOff>
      <xdr:row>87</xdr:row>
      <xdr:rowOff>0</xdr:rowOff>
    </xdr:to>
    <xdr:sp macro="" textlink="">
      <xdr:nvSpPr>
        <xdr:cNvPr id="42" name="Line 1">
          <a:extLst>
            <a:ext uri="{FF2B5EF4-FFF2-40B4-BE49-F238E27FC236}">
              <a16:creationId xmlns:a16="http://schemas.microsoft.com/office/drawing/2014/main" id="{00000000-0008-0000-1A00-00002A000000}"/>
            </a:ext>
          </a:extLst>
        </xdr:cNvPr>
        <xdr:cNvSpPr>
          <a:spLocks noChangeShapeType="1"/>
        </xdr:cNvSpPr>
      </xdr:nvSpPr>
      <xdr:spPr bwMode="auto">
        <a:xfrm>
          <a:off x="2143125" y="16840200"/>
          <a:ext cx="0" cy="0"/>
        </a:xfrm>
        <a:prstGeom prst="line">
          <a:avLst/>
        </a:prstGeom>
        <a:noFill/>
        <a:ln w="9525">
          <a:solidFill>
            <a:srgbClr val="000000"/>
          </a:solidFill>
          <a:round/>
          <a:headEnd/>
          <a:tailEnd/>
        </a:ln>
      </xdr:spPr>
    </xdr:sp>
    <xdr:clientData/>
  </xdr:twoCellAnchor>
  <xdr:twoCellAnchor>
    <xdr:from>
      <xdr:col>2</xdr:col>
      <xdr:colOff>0</xdr:colOff>
      <xdr:row>87</xdr:row>
      <xdr:rowOff>0</xdr:rowOff>
    </xdr:from>
    <xdr:to>
      <xdr:col>2</xdr:col>
      <xdr:colOff>0</xdr:colOff>
      <xdr:row>87</xdr:row>
      <xdr:rowOff>0</xdr:rowOff>
    </xdr:to>
    <xdr:sp macro="" textlink="">
      <xdr:nvSpPr>
        <xdr:cNvPr id="43" name="Line 2">
          <a:extLst>
            <a:ext uri="{FF2B5EF4-FFF2-40B4-BE49-F238E27FC236}">
              <a16:creationId xmlns:a16="http://schemas.microsoft.com/office/drawing/2014/main" id="{00000000-0008-0000-1A00-00002B000000}"/>
            </a:ext>
          </a:extLst>
        </xdr:cNvPr>
        <xdr:cNvSpPr>
          <a:spLocks noChangeShapeType="1"/>
        </xdr:cNvSpPr>
      </xdr:nvSpPr>
      <xdr:spPr bwMode="auto">
        <a:xfrm>
          <a:off x="2143125" y="16840200"/>
          <a:ext cx="0" cy="0"/>
        </a:xfrm>
        <a:prstGeom prst="line">
          <a:avLst/>
        </a:prstGeom>
        <a:noFill/>
        <a:ln w="9525">
          <a:solidFill>
            <a:srgbClr val="000000"/>
          </a:solidFill>
          <a:round/>
          <a:headEnd/>
          <a:tailEnd/>
        </a:ln>
      </xdr:spPr>
    </xdr:sp>
    <xdr:clientData/>
  </xdr:twoCellAnchor>
  <xdr:twoCellAnchor>
    <xdr:from>
      <xdr:col>2</xdr:col>
      <xdr:colOff>0</xdr:colOff>
      <xdr:row>87</xdr:row>
      <xdr:rowOff>0</xdr:rowOff>
    </xdr:from>
    <xdr:to>
      <xdr:col>2</xdr:col>
      <xdr:colOff>0</xdr:colOff>
      <xdr:row>87</xdr:row>
      <xdr:rowOff>0</xdr:rowOff>
    </xdr:to>
    <xdr:sp macro="" textlink="">
      <xdr:nvSpPr>
        <xdr:cNvPr id="44" name="Line 3">
          <a:extLst>
            <a:ext uri="{FF2B5EF4-FFF2-40B4-BE49-F238E27FC236}">
              <a16:creationId xmlns:a16="http://schemas.microsoft.com/office/drawing/2014/main" id="{00000000-0008-0000-1A00-00002C000000}"/>
            </a:ext>
          </a:extLst>
        </xdr:cNvPr>
        <xdr:cNvSpPr>
          <a:spLocks noChangeShapeType="1"/>
        </xdr:cNvSpPr>
      </xdr:nvSpPr>
      <xdr:spPr bwMode="auto">
        <a:xfrm flipV="1">
          <a:off x="2143125" y="16840200"/>
          <a:ext cx="0" cy="0"/>
        </a:xfrm>
        <a:prstGeom prst="line">
          <a:avLst/>
        </a:prstGeom>
        <a:noFill/>
        <a:ln w="9525">
          <a:solidFill>
            <a:srgbClr val="000000"/>
          </a:solidFill>
          <a:round/>
          <a:headEnd/>
          <a:tailEnd/>
        </a:ln>
      </xdr:spPr>
    </xdr:sp>
    <xdr:clientData/>
  </xdr:twoCellAnchor>
  <xdr:twoCellAnchor>
    <xdr:from>
      <xdr:col>2</xdr:col>
      <xdr:colOff>0</xdr:colOff>
      <xdr:row>87</xdr:row>
      <xdr:rowOff>0</xdr:rowOff>
    </xdr:from>
    <xdr:to>
      <xdr:col>2</xdr:col>
      <xdr:colOff>0</xdr:colOff>
      <xdr:row>87</xdr:row>
      <xdr:rowOff>0</xdr:rowOff>
    </xdr:to>
    <xdr:sp macro="" textlink="">
      <xdr:nvSpPr>
        <xdr:cNvPr id="45" name="Line 4">
          <a:extLst>
            <a:ext uri="{FF2B5EF4-FFF2-40B4-BE49-F238E27FC236}">
              <a16:creationId xmlns:a16="http://schemas.microsoft.com/office/drawing/2014/main" id="{00000000-0008-0000-1A00-00002D000000}"/>
            </a:ext>
          </a:extLst>
        </xdr:cNvPr>
        <xdr:cNvSpPr>
          <a:spLocks noChangeShapeType="1"/>
        </xdr:cNvSpPr>
      </xdr:nvSpPr>
      <xdr:spPr bwMode="auto">
        <a:xfrm>
          <a:off x="2143125" y="16840200"/>
          <a:ext cx="0" cy="0"/>
        </a:xfrm>
        <a:prstGeom prst="line">
          <a:avLst/>
        </a:prstGeom>
        <a:noFill/>
        <a:ln w="9525">
          <a:solidFill>
            <a:srgbClr val="000000"/>
          </a:solidFill>
          <a:round/>
          <a:headEnd/>
          <a:tailEnd/>
        </a:ln>
      </xdr:spPr>
    </xdr:sp>
    <xdr:clientData/>
  </xdr:twoCellAnchor>
  <xdr:twoCellAnchor>
    <xdr:from>
      <xdr:col>2</xdr:col>
      <xdr:colOff>0</xdr:colOff>
      <xdr:row>87</xdr:row>
      <xdr:rowOff>0</xdr:rowOff>
    </xdr:from>
    <xdr:to>
      <xdr:col>2</xdr:col>
      <xdr:colOff>0</xdr:colOff>
      <xdr:row>87</xdr:row>
      <xdr:rowOff>0</xdr:rowOff>
    </xdr:to>
    <xdr:sp macro="" textlink="">
      <xdr:nvSpPr>
        <xdr:cNvPr id="46" name="Line 5">
          <a:extLst>
            <a:ext uri="{FF2B5EF4-FFF2-40B4-BE49-F238E27FC236}">
              <a16:creationId xmlns:a16="http://schemas.microsoft.com/office/drawing/2014/main" id="{00000000-0008-0000-1A00-00002E000000}"/>
            </a:ext>
          </a:extLst>
        </xdr:cNvPr>
        <xdr:cNvSpPr>
          <a:spLocks noChangeShapeType="1"/>
        </xdr:cNvSpPr>
      </xdr:nvSpPr>
      <xdr:spPr bwMode="auto">
        <a:xfrm flipV="1">
          <a:off x="2143125" y="16840200"/>
          <a:ext cx="0" cy="0"/>
        </a:xfrm>
        <a:prstGeom prst="line">
          <a:avLst/>
        </a:prstGeom>
        <a:noFill/>
        <a:ln w="9525">
          <a:solidFill>
            <a:srgbClr val="000000"/>
          </a:solidFill>
          <a:round/>
          <a:headEnd/>
          <a:tailEnd/>
        </a:ln>
      </xdr:spPr>
    </xdr:sp>
    <xdr:clientData/>
  </xdr:twoCellAnchor>
  <xdr:twoCellAnchor>
    <xdr:from>
      <xdr:col>2</xdr:col>
      <xdr:colOff>0</xdr:colOff>
      <xdr:row>87</xdr:row>
      <xdr:rowOff>0</xdr:rowOff>
    </xdr:from>
    <xdr:to>
      <xdr:col>2</xdr:col>
      <xdr:colOff>0</xdr:colOff>
      <xdr:row>87</xdr:row>
      <xdr:rowOff>0</xdr:rowOff>
    </xdr:to>
    <xdr:sp macro="" textlink="">
      <xdr:nvSpPr>
        <xdr:cNvPr id="47" name="Line 6">
          <a:extLst>
            <a:ext uri="{FF2B5EF4-FFF2-40B4-BE49-F238E27FC236}">
              <a16:creationId xmlns:a16="http://schemas.microsoft.com/office/drawing/2014/main" id="{00000000-0008-0000-1A00-00002F000000}"/>
            </a:ext>
          </a:extLst>
        </xdr:cNvPr>
        <xdr:cNvSpPr>
          <a:spLocks noChangeShapeType="1"/>
        </xdr:cNvSpPr>
      </xdr:nvSpPr>
      <xdr:spPr bwMode="auto">
        <a:xfrm>
          <a:off x="2143125" y="16840200"/>
          <a:ext cx="0" cy="0"/>
        </a:xfrm>
        <a:prstGeom prst="line">
          <a:avLst/>
        </a:prstGeom>
        <a:noFill/>
        <a:ln w="9525">
          <a:solidFill>
            <a:srgbClr val="000000"/>
          </a:solidFill>
          <a:round/>
          <a:headEnd/>
          <a:tailEnd/>
        </a:ln>
      </xdr:spPr>
    </xdr:sp>
    <xdr:clientData/>
  </xdr:twoCellAnchor>
  <xdr:twoCellAnchor>
    <xdr:from>
      <xdr:col>2</xdr:col>
      <xdr:colOff>0</xdr:colOff>
      <xdr:row>87</xdr:row>
      <xdr:rowOff>0</xdr:rowOff>
    </xdr:from>
    <xdr:to>
      <xdr:col>2</xdr:col>
      <xdr:colOff>0</xdr:colOff>
      <xdr:row>87</xdr:row>
      <xdr:rowOff>0</xdr:rowOff>
    </xdr:to>
    <xdr:sp macro="" textlink="">
      <xdr:nvSpPr>
        <xdr:cNvPr id="48" name="Line 7">
          <a:extLst>
            <a:ext uri="{FF2B5EF4-FFF2-40B4-BE49-F238E27FC236}">
              <a16:creationId xmlns:a16="http://schemas.microsoft.com/office/drawing/2014/main" id="{00000000-0008-0000-1A00-000030000000}"/>
            </a:ext>
          </a:extLst>
        </xdr:cNvPr>
        <xdr:cNvSpPr>
          <a:spLocks noChangeShapeType="1"/>
        </xdr:cNvSpPr>
      </xdr:nvSpPr>
      <xdr:spPr bwMode="auto">
        <a:xfrm>
          <a:off x="2143125" y="16840200"/>
          <a:ext cx="0" cy="0"/>
        </a:xfrm>
        <a:prstGeom prst="line">
          <a:avLst/>
        </a:prstGeom>
        <a:noFill/>
        <a:ln w="9525">
          <a:solidFill>
            <a:srgbClr val="000000"/>
          </a:solidFill>
          <a:round/>
          <a:headEnd/>
          <a:tailEnd/>
        </a:ln>
      </xdr:spPr>
    </xdr:sp>
    <xdr:clientData/>
  </xdr:twoCellAnchor>
  <xdr:twoCellAnchor>
    <xdr:from>
      <xdr:col>2</xdr:col>
      <xdr:colOff>0</xdr:colOff>
      <xdr:row>87</xdr:row>
      <xdr:rowOff>0</xdr:rowOff>
    </xdr:from>
    <xdr:to>
      <xdr:col>2</xdr:col>
      <xdr:colOff>0</xdr:colOff>
      <xdr:row>87</xdr:row>
      <xdr:rowOff>0</xdr:rowOff>
    </xdr:to>
    <xdr:sp macro="" textlink="">
      <xdr:nvSpPr>
        <xdr:cNvPr id="49" name="Line 8">
          <a:extLst>
            <a:ext uri="{FF2B5EF4-FFF2-40B4-BE49-F238E27FC236}">
              <a16:creationId xmlns:a16="http://schemas.microsoft.com/office/drawing/2014/main" id="{00000000-0008-0000-1A00-000031000000}"/>
            </a:ext>
          </a:extLst>
        </xdr:cNvPr>
        <xdr:cNvSpPr>
          <a:spLocks noChangeShapeType="1"/>
        </xdr:cNvSpPr>
      </xdr:nvSpPr>
      <xdr:spPr bwMode="auto">
        <a:xfrm flipV="1">
          <a:off x="2143125" y="16840200"/>
          <a:ext cx="0" cy="0"/>
        </a:xfrm>
        <a:prstGeom prst="line">
          <a:avLst/>
        </a:prstGeom>
        <a:noFill/>
        <a:ln w="9525">
          <a:solidFill>
            <a:srgbClr val="000000"/>
          </a:solidFill>
          <a:round/>
          <a:headEnd/>
          <a:tailEnd/>
        </a:ln>
      </xdr:spPr>
    </xdr:sp>
    <xdr:clientData/>
  </xdr:twoCellAnchor>
  <xdr:twoCellAnchor>
    <xdr:from>
      <xdr:col>2</xdr:col>
      <xdr:colOff>0</xdr:colOff>
      <xdr:row>87</xdr:row>
      <xdr:rowOff>0</xdr:rowOff>
    </xdr:from>
    <xdr:to>
      <xdr:col>2</xdr:col>
      <xdr:colOff>0</xdr:colOff>
      <xdr:row>87</xdr:row>
      <xdr:rowOff>0</xdr:rowOff>
    </xdr:to>
    <xdr:sp macro="" textlink="">
      <xdr:nvSpPr>
        <xdr:cNvPr id="50" name="Line 9">
          <a:extLst>
            <a:ext uri="{FF2B5EF4-FFF2-40B4-BE49-F238E27FC236}">
              <a16:creationId xmlns:a16="http://schemas.microsoft.com/office/drawing/2014/main" id="{00000000-0008-0000-1A00-000032000000}"/>
            </a:ext>
          </a:extLst>
        </xdr:cNvPr>
        <xdr:cNvSpPr>
          <a:spLocks noChangeShapeType="1"/>
        </xdr:cNvSpPr>
      </xdr:nvSpPr>
      <xdr:spPr bwMode="auto">
        <a:xfrm>
          <a:off x="2143125" y="16840200"/>
          <a:ext cx="0" cy="0"/>
        </a:xfrm>
        <a:prstGeom prst="line">
          <a:avLst/>
        </a:prstGeom>
        <a:noFill/>
        <a:ln w="9525">
          <a:solidFill>
            <a:srgbClr val="000000"/>
          </a:solidFill>
          <a:round/>
          <a:headEnd/>
          <a:tailEnd/>
        </a:ln>
      </xdr:spPr>
    </xdr:sp>
    <xdr:clientData/>
  </xdr:twoCellAnchor>
  <xdr:twoCellAnchor>
    <xdr:from>
      <xdr:col>2</xdr:col>
      <xdr:colOff>0</xdr:colOff>
      <xdr:row>87</xdr:row>
      <xdr:rowOff>0</xdr:rowOff>
    </xdr:from>
    <xdr:to>
      <xdr:col>2</xdr:col>
      <xdr:colOff>0</xdr:colOff>
      <xdr:row>87</xdr:row>
      <xdr:rowOff>0</xdr:rowOff>
    </xdr:to>
    <xdr:sp macro="" textlink="">
      <xdr:nvSpPr>
        <xdr:cNvPr id="51" name="Line 10">
          <a:extLst>
            <a:ext uri="{FF2B5EF4-FFF2-40B4-BE49-F238E27FC236}">
              <a16:creationId xmlns:a16="http://schemas.microsoft.com/office/drawing/2014/main" id="{00000000-0008-0000-1A00-000033000000}"/>
            </a:ext>
          </a:extLst>
        </xdr:cNvPr>
        <xdr:cNvSpPr>
          <a:spLocks noChangeShapeType="1"/>
        </xdr:cNvSpPr>
      </xdr:nvSpPr>
      <xdr:spPr bwMode="auto">
        <a:xfrm flipV="1">
          <a:off x="2143125" y="16840200"/>
          <a:ext cx="0" cy="0"/>
        </a:xfrm>
        <a:prstGeom prst="line">
          <a:avLst/>
        </a:prstGeom>
        <a:noFill/>
        <a:ln w="9525">
          <a:solidFill>
            <a:srgbClr val="000000"/>
          </a:solidFill>
          <a:round/>
          <a:headEnd/>
          <a:tailEnd/>
        </a:ln>
      </xdr:spPr>
    </xdr:sp>
    <xdr:clientData/>
  </xdr:twoCellAnchor>
  <xdr:twoCellAnchor>
    <xdr:from>
      <xdr:col>3</xdr:col>
      <xdr:colOff>0</xdr:colOff>
      <xdr:row>87</xdr:row>
      <xdr:rowOff>0</xdr:rowOff>
    </xdr:from>
    <xdr:to>
      <xdr:col>3</xdr:col>
      <xdr:colOff>0</xdr:colOff>
      <xdr:row>87</xdr:row>
      <xdr:rowOff>0</xdr:rowOff>
    </xdr:to>
    <xdr:sp macro="" textlink="">
      <xdr:nvSpPr>
        <xdr:cNvPr id="52" name="Line 11">
          <a:extLst>
            <a:ext uri="{FF2B5EF4-FFF2-40B4-BE49-F238E27FC236}">
              <a16:creationId xmlns:a16="http://schemas.microsoft.com/office/drawing/2014/main" id="{00000000-0008-0000-1A00-000034000000}"/>
            </a:ext>
          </a:extLst>
        </xdr:cNvPr>
        <xdr:cNvSpPr>
          <a:spLocks noChangeShapeType="1"/>
        </xdr:cNvSpPr>
      </xdr:nvSpPr>
      <xdr:spPr bwMode="auto">
        <a:xfrm>
          <a:off x="2514600" y="16840200"/>
          <a:ext cx="0" cy="0"/>
        </a:xfrm>
        <a:prstGeom prst="line">
          <a:avLst/>
        </a:prstGeom>
        <a:noFill/>
        <a:ln w="9525">
          <a:solidFill>
            <a:srgbClr val="000000"/>
          </a:solidFill>
          <a:round/>
          <a:headEnd/>
          <a:tailEnd/>
        </a:ln>
      </xdr:spPr>
    </xdr:sp>
    <xdr:clientData/>
  </xdr:twoCellAnchor>
  <xdr:twoCellAnchor>
    <xdr:from>
      <xdr:col>3</xdr:col>
      <xdr:colOff>0</xdr:colOff>
      <xdr:row>87</xdr:row>
      <xdr:rowOff>0</xdr:rowOff>
    </xdr:from>
    <xdr:to>
      <xdr:col>3</xdr:col>
      <xdr:colOff>0</xdr:colOff>
      <xdr:row>87</xdr:row>
      <xdr:rowOff>0</xdr:rowOff>
    </xdr:to>
    <xdr:sp macro="" textlink="">
      <xdr:nvSpPr>
        <xdr:cNvPr id="53" name="Line 12">
          <a:extLst>
            <a:ext uri="{FF2B5EF4-FFF2-40B4-BE49-F238E27FC236}">
              <a16:creationId xmlns:a16="http://schemas.microsoft.com/office/drawing/2014/main" id="{00000000-0008-0000-1A00-000035000000}"/>
            </a:ext>
          </a:extLst>
        </xdr:cNvPr>
        <xdr:cNvSpPr>
          <a:spLocks noChangeShapeType="1"/>
        </xdr:cNvSpPr>
      </xdr:nvSpPr>
      <xdr:spPr bwMode="auto">
        <a:xfrm>
          <a:off x="2514600" y="16840200"/>
          <a:ext cx="0" cy="0"/>
        </a:xfrm>
        <a:prstGeom prst="line">
          <a:avLst/>
        </a:prstGeom>
        <a:noFill/>
        <a:ln w="9525">
          <a:solidFill>
            <a:srgbClr val="000000"/>
          </a:solidFill>
          <a:round/>
          <a:headEnd/>
          <a:tailEnd/>
        </a:ln>
      </xdr:spPr>
    </xdr:sp>
    <xdr:clientData/>
  </xdr:twoCellAnchor>
  <xdr:twoCellAnchor>
    <xdr:from>
      <xdr:col>3</xdr:col>
      <xdr:colOff>0</xdr:colOff>
      <xdr:row>87</xdr:row>
      <xdr:rowOff>0</xdr:rowOff>
    </xdr:from>
    <xdr:to>
      <xdr:col>3</xdr:col>
      <xdr:colOff>0</xdr:colOff>
      <xdr:row>87</xdr:row>
      <xdr:rowOff>0</xdr:rowOff>
    </xdr:to>
    <xdr:sp macro="" textlink="">
      <xdr:nvSpPr>
        <xdr:cNvPr id="54" name="Line 13">
          <a:extLst>
            <a:ext uri="{FF2B5EF4-FFF2-40B4-BE49-F238E27FC236}">
              <a16:creationId xmlns:a16="http://schemas.microsoft.com/office/drawing/2014/main" id="{00000000-0008-0000-1A00-000036000000}"/>
            </a:ext>
          </a:extLst>
        </xdr:cNvPr>
        <xdr:cNvSpPr>
          <a:spLocks noChangeShapeType="1"/>
        </xdr:cNvSpPr>
      </xdr:nvSpPr>
      <xdr:spPr bwMode="auto">
        <a:xfrm flipV="1">
          <a:off x="2514600" y="16840200"/>
          <a:ext cx="0" cy="0"/>
        </a:xfrm>
        <a:prstGeom prst="line">
          <a:avLst/>
        </a:prstGeom>
        <a:noFill/>
        <a:ln w="9525">
          <a:solidFill>
            <a:srgbClr val="000000"/>
          </a:solidFill>
          <a:round/>
          <a:headEnd/>
          <a:tailEnd/>
        </a:ln>
      </xdr:spPr>
    </xdr:sp>
    <xdr:clientData/>
  </xdr:twoCellAnchor>
  <xdr:twoCellAnchor>
    <xdr:from>
      <xdr:col>3</xdr:col>
      <xdr:colOff>0</xdr:colOff>
      <xdr:row>87</xdr:row>
      <xdr:rowOff>0</xdr:rowOff>
    </xdr:from>
    <xdr:to>
      <xdr:col>3</xdr:col>
      <xdr:colOff>0</xdr:colOff>
      <xdr:row>87</xdr:row>
      <xdr:rowOff>0</xdr:rowOff>
    </xdr:to>
    <xdr:sp macro="" textlink="">
      <xdr:nvSpPr>
        <xdr:cNvPr id="55" name="Line 14">
          <a:extLst>
            <a:ext uri="{FF2B5EF4-FFF2-40B4-BE49-F238E27FC236}">
              <a16:creationId xmlns:a16="http://schemas.microsoft.com/office/drawing/2014/main" id="{00000000-0008-0000-1A00-000037000000}"/>
            </a:ext>
          </a:extLst>
        </xdr:cNvPr>
        <xdr:cNvSpPr>
          <a:spLocks noChangeShapeType="1"/>
        </xdr:cNvSpPr>
      </xdr:nvSpPr>
      <xdr:spPr bwMode="auto">
        <a:xfrm>
          <a:off x="2514600" y="16840200"/>
          <a:ext cx="0" cy="0"/>
        </a:xfrm>
        <a:prstGeom prst="line">
          <a:avLst/>
        </a:prstGeom>
        <a:noFill/>
        <a:ln w="9525">
          <a:solidFill>
            <a:srgbClr val="000000"/>
          </a:solidFill>
          <a:round/>
          <a:headEnd/>
          <a:tailEnd/>
        </a:ln>
      </xdr:spPr>
    </xdr:sp>
    <xdr:clientData/>
  </xdr:twoCellAnchor>
  <xdr:twoCellAnchor>
    <xdr:from>
      <xdr:col>3</xdr:col>
      <xdr:colOff>0</xdr:colOff>
      <xdr:row>87</xdr:row>
      <xdr:rowOff>0</xdr:rowOff>
    </xdr:from>
    <xdr:to>
      <xdr:col>3</xdr:col>
      <xdr:colOff>0</xdr:colOff>
      <xdr:row>87</xdr:row>
      <xdr:rowOff>0</xdr:rowOff>
    </xdr:to>
    <xdr:sp macro="" textlink="">
      <xdr:nvSpPr>
        <xdr:cNvPr id="56" name="Line 15">
          <a:extLst>
            <a:ext uri="{FF2B5EF4-FFF2-40B4-BE49-F238E27FC236}">
              <a16:creationId xmlns:a16="http://schemas.microsoft.com/office/drawing/2014/main" id="{00000000-0008-0000-1A00-000038000000}"/>
            </a:ext>
          </a:extLst>
        </xdr:cNvPr>
        <xdr:cNvSpPr>
          <a:spLocks noChangeShapeType="1"/>
        </xdr:cNvSpPr>
      </xdr:nvSpPr>
      <xdr:spPr bwMode="auto">
        <a:xfrm flipV="1">
          <a:off x="2514600" y="16840200"/>
          <a:ext cx="0" cy="0"/>
        </a:xfrm>
        <a:prstGeom prst="line">
          <a:avLst/>
        </a:prstGeom>
        <a:noFill/>
        <a:ln w="9525">
          <a:solidFill>
            <a:srgbClr val="000000"/>
          </a:solidFill>
          <a:round/>
          <a:headEnd/>
          <a:tailEnd/>
        </a:ln>
      </xdr:spPr>
    </xdr:sp>
    <xdr:clientData/>
  </xdr:twoCellAnchor>
  <xdr:twoCellAnchor>
    <xdr:from>
      <xdr:col>3</xdr:col>
      <xdr:colOff>0</xdr:colOff>
      <xdr:row>87</xdr:row>
      <xdr:rowOff>0</xdr:rowOff>
    </xdr:from>
    <xdr:to>
      <xdr:col>3</xdr:col>
      <xdr:colOff>0</xdr:colOff>
      <xdr:row>87</xdr:row>
      <xdr:rowOff>0</xdr:rowOff>
    </xdr:to>
    <xdr:sp macro="" textlink="">
      <xdr:nvSpPr>
        <xdr:cNvPr id="57" name="Line 16">
          <a:extLst>
            <a:ext uri="{FF2B5EF4-FFF2-40B4-BE49-F238E27FC236}">
              <a16:creationId xmlns:a16="http://schemas.microsoft.com/office/drawing/2014/main" id="{00000000-0008-0000-1A00-000039000000}"/>
            </a:ext>
          </a:extLst>
        </xdr:cNvPr>
        <xdr:cNvSpPr>
          <a:spLocks noChangeShapeType="1"/>
        </xdr:cNvSpPr>
      </xdr:nvSpPr>
      <xdr:spPr bwMode="auto">
        <a:xfrm>
          <a:off x="2514600" y="16840200"/>
          <a:ext cx="0" cy="0"/>
        </a:xfrm>
        <a:prstGeom prst="line">
          <a:avLst/>
        </a:prstGeom>
        <a:noFill/>
        <a:ln w="9525">
          <a:solidFill>
            <a:srgbClr val="000000"/>
          </a:solidFill>
          <a:round/>
          <a:headEnd/>
          <a:tailEnd/>
        </a:ln>
      </xdr:spPr>
    </xdr:sp>
    <xdr:clientData/>
  </xdr:twoCellAnchor>
  <xdr:twoCellAnchor>
    <xdr:from>
      <xdr:col>3</xdr:col>
      <xdr:colOff>0</xdr:colOff>
      <xdr:row>87</xdr:row>
      <xdr:rowOff>0</xdr:rowOff>
    </xdr:from>
    <xdr:to>
      <xdr:col>3</xdr:col>
      <xdr:colOff>0</xdr:colOff>
      <xdr:row>87</xdr:row>
      <xdr:rowOff>0</xdr:rowOff>
    </xdr:to>
    <xdr:sp macro="" textlink="">
      <xdr:nvSpPr>
        <xdr:cNvPr id="58" name="Line 17">
          <a:extLst>
            <a:ext uri="{FF2B5EF4-FFF2-40B4-BE49-F238E27FC236}">
              <a16:creationId xmlns:a16="http://schemas.microsoft.com/office/drawing/2014/main" id="{00000000-0008-0000-1A00-00003A000000}"/>
            </a:ext>
          </a:extLst>
        </xdr:cNvPr>
        <xdr:cNvSpPr>
          <a:spLocks noChangeShapeType="1"/>
        </xdr:cNvSpPr>
      </xdr:nvSpPr>
      <xdr:spPr bwMode="auto">
        <a:xfrm>
          <a:off x="2514600" y="16840200"/>
          <a:ext cx="0" cy="0"/>
        </a:xfrm>
        <a:prstGeom prst="line">
          <a:avLst/>
        </a:prstGeom>
        <a:noFill/>
        <a:ln w="9525">
          <a:solidFill>
            <a:srgbClr val="000000"/>
          </a:solidFill>
          <a:round/>
          <a:headEnd/>
          <a:tailEnd/>
        </a:ln>
      </xdr:spPr>
    </xdr:sp>
    <xdr:clientData/>
  </xdr:twoCellAnchor>
  <xdr:twoCellAnchor>
    <xdr:from>
      <xdr:col>3</xdr:col>
      <xdr:colOff>0</xdr:colOff>
      <xdr:row>87</xdr:row>
      <xdr:rowOff>0</xdr:rowOff>
    </xdr:from>
    <xdr:to>
      <xdr:col>3</xdr:col>
      <xdr:colOff>0</xdr:colOff>
      <xdr:row>87</xdr:row>
      <xdr:rowOff>0</xdr:rowOff>
    </xdr:to>
    <xdr:sp macro="" textlink="">
      <xdr:nvSpPr>
        <xdr:cNvPr id="59" name="Line 18">
          <a:extLst>
            <a:ext uri="{FF2B5EF4-FFF2-40B4-BE49-F238E27FC236}">
              <a16:creationId xmlns:a16="http://schemas.microsoft.com/office/drawing/2014/main" id="{00000000-0008-0000-1A00-00003B000000}"/>
            </a:ext>
          </a:extLst>
        </xdr:cNvPr>
        <xdr:cNvSpPr>
          <a:spLocks noChangeShapeType="1"/>
        </xdr:cNvSpPr>
      </xdr:nvSpPr>
      <xdr:spPr bwMode="auto">
        <a:xfrm flipV="1">
          <a:off x="2514600" y="16840200"/>
          <a:ext cx="0" cy="0"/>
        </a:xfrm>
        <a:prstGeom prst="line">
          <a:avLst/>
        </a:prstGeom>
        <a:noFill/>
        <a:ln w="9525">
          <a:solidFill>
            <a:srgbClr val="000000"/>
          </a:solidFill>
          <a:round/>
          <a:headEnd/>
          <a:tailEnd/>
        </a:ln>
      </xdr:spPr>
    </xdr:sp>
    <xdr:clientData/>
  </xdr:twoCellAnchor>
  <xdr:twoCellAnchor>
    <xdr:from>
      <xdr:col>3</xdr:col>
      <xdr:colOff>0</xdr:colOff>
      <xdr:row>87</xdr:row>
      <xdr:rowOff>0</xdr:rowOff>
    </xdr:from>
    <xdr:to>
      <xdr:col>3</xdr:col>
      <xdr:colOff>0</xdr:colOff>
      <xdr:row>87</xdr:row>
      <xdr:rowOff>0</xdr:rowOff>
    </xdr:to>
    <xdr:sp macro="" textlink="">
      <xdr:nvSpPr>
        <xdr:cNvPr id="60" name="Line 19">
          <a:extLst>
            <a:ext uri="{FF2B5EF4-FFF2-40B4-BE49-F238E27FC236}">
              <a16:creationId xmlns:a16="http://schemas.microsoft.com/office/drawing/2014/main" id="{00000000-0008-0000-1A00-00003C000000}"/>
            </a:ext>
          </a:extLst>
        </xdr:cNvPr>
        <xdr:cNvSpPr>
          <a:spLocks noChangeShapeType="1"/>
        </xdr:cNvSpPr>
      </xdr:nvSpPr>
      <xdr:spPr bwMode="auto">
        <a:xfrm>
          <a:off x="2514600" y="16840200"/>
          <a:ext cx="0" cy="0"/>
        </a:xfrm>
        <a:prstGeom prst="line">
          <a:avLst/>
        </a:prstGeom>
        <a:noFill/>
        <a:ln w="9525">
          <a:solidFill>
            <a:srgbClr val="000000"/>
          </a:solidFill>
          <a:round/>
          <a:headEnd/>
          <a:tailEnd/>
        </a:ln>
      </xdr:spPr>
    </xdr:sp>
    <xdr:clientData/>
  </xdr:twoCellAnchor>
  <xdr:twoCellAnchor>
    <xdr:from>
      <xdr:col>3</xdr:col>
      <xdr:colOff>0</xdr:colOff>
      <xdr:row>87</xdr:row>
      <xdr:rowOff>0</xdr:rowOff>
    </xdr:from>
    <xdr:to>
      <xdr:col>3</xdr:col>
      <xdr:colOff>0</xdr:colOff>
      <xdr:row>87</xdr:row>
      <xdr:rowOff>0</xdr:rowOff>
    </xdr:to>
    <xdr:sp macro="" textlink="">
      <xdr:nvSpPr>
        <xdr:cNvPr id="61" name="Line 20">
          <a:extLst>
            <a:ext uri="{FF2B5EF4-FFF2-40B4-BE49-F238E27FC236}">
              <a16:creationId xmlns:a16="http://schemas.microsoft.com/office/drawing/2014/main" id="{00000000-0008-0000-1A00-00003D000000}"/>
            </a:ext>
          </a:extLst>
        </xdr:cNvPr>
        <xdr:cNvSpPr>
          <a:spLocks noChangeShapeType="1"/>
        </xdr:cNvSpPr>
      </xdr:nvSpPr>
      <xdr:spPr bwMode="auto">
        <a:xfrm flipV="1">
          <a:off x="2514600" y="16840200"/>
          <a:ext cx="0" cy="0"/>
        </a:xfrm>
        <a:prstGeom prst="line">
          <a:avLst/>
        </a:prstGeom>
        <a:noFill/>
        <a:ln w="9525">
          <a:solidFill>
            <a:srgbClr val="000000"/>
          </a:solidFill>
          <a:round/>
          <a:headEnd/>
          <a:tailEnd/>
        </a:ln>
      </xdr:spPr>
    </xdr:sp>
    <xdr:clientData/>
  </xdr:twoCellAnchor>
  <xdr:twoCellAnchor>
    <xdr:from>
      <xdr:col>4</xdr:col>
      <xdr:colOff>0</xdr:colOff>
      <xdr:row>87</xdr:row>
      <xdr:rowOff>0</xdr:rowOff>
    </xdr:from>
    <xdr:to>
      <xdr:col>4</xdr:col>
      <xdr:colOff>0</xdr:colOff>
      <xdr:row>87</xdr:row>
      <xdr:rowOff>0</xdr:rowOff>
    </xdr:to>
    <xdr:sp macro="" textlink="">
      <xdr:nvSpPr>
        <xdr:cNvPr id="62" name="Line 21">
          <a:extLst>
            <a:ext uri="{FF2B5EF4-FFF2-40B4-BE49-F238E27FC236}">
              <a16:creationId xmlns:a16="http://schemas.microsoft.com/office/drawing/2014/main" id="{00000000-0008-0000-1A00-00003E000000}"/>
            </a:ext>
          </a:extLst>
        </xdr:cNvPr>
        <xdr:cNvSpPr>
          <a:spLocks noChangeShapeType="1"/>
        </xdr:cNvSpPr>
      </xdr:nvSpPr>
      <xdr:spPr bwMode="auto">
        <a:xfrm>
          <a:off x="2924175" y="16840200"/>
          <a:ext cx="0" cy="0"/>
        </a:xfrm>
        <a:prstGeom prst="line">
          <a:avLst/>
        </a:prstGeom>
        <a:noFill/>
        <a:ln w="9525">
          <a:solidFill>
            <a:srgbClr val="000000"/>
          </a:solidFill>
          <a:round/>
          <a:headEnd/>
          <a:tailEnd/>
        </a:ln>
      </xdr:spPr>
    </xdr:sp>
    <xdr:clientData/>
  </xdr:twoCellAnchor>
  <xdr:twoCellAnchor>
    <xdr:from>
      <xdr:col>4</xdr:col>
      <xdr:colOff>0</xdr:colOff>
      <xdr:row>87</xdr:row>
      <xdr:rowOff>0</xdr:rowOff>
    </xdr:from>
    <xdr:to>
      <xdr:col>4</xdr:col>
      <xdr:colOff>0</xdr:colOff>
      <xdr:row>87</xdr:row>
      <xdr:rowOff>0</xdr:rowOff>
    </xdr:to>
    <xdr:sp macro="" textlink="">
      <xdr:nvSpPr>
        <xdr:cNvPr id="63" name="Line 22">
          <a:extLst>
            <a:ext uri="{FF2B5EF4-FFF2-40B4-BE49-F238E27FC236}">
              <a16:creationId xmlns:a16="http://schemas.microsoft.com/office/drawing/2014/main" id="{00000000-0008-0000-1A00-00003F000000}"/>
            </a:ext>
          </a:extLst>
        </xdr:cNvPr>
        <xdr:cNvSpPr>
          <a:spLocks noChangeShapeType="1"/>
        </xdr:cNvSpPr>
      </xdr:nvSpPr>
      <xdr:spPr bwMode="auto">
        <a:xfrm>
          <a:off x="2924175" y="16840200"/>
          <a:ext cx="0" cy="0"/>
        </a:xfrm>
        <a:prstGeom prst="line">
          <a:avLst/>
        </a:prstGeom>
        <a:noFill/>
        <a:ln w="9525">
          <a:solidFill>
            <a:srgbClr val="000000"/>
          </a:solidFill>
          <a:round/>
          <a:headEnd/>
          <a:tailEnd/>
        </a:ln>
      </xdr:spPr>
    </xdr:sp>
    <xdr:clientData/>
  </xdr:twoCellAnchor>
  <xdr:twoCellAnchor>
    <xdr:from>
      <xdr:col>4</xdr:col>
      <xdr:colOff>0</xdr:colOff>
      <xdr:row>87</xdr:row>
      <xdr:rowOff>0</xdr:rowOff>
    </xdr:from>
    <xdr:to>
      <xdr:col>4</xdr:col>
      <xdr:colOff>0</xdr:colOff>
      <xdr:row>87</xdr:row>
      <xdr:rowOff>0</xdr:rowOff>
    </xdr:to>
    <xdr:sp macro="" textlink="">
      <xdr:nvSpPr>
        <xdr:cNvPr id="64" name="Line 23">
          <a:extLst>
            <a:ext uri="{FF2B5EF4-FFF2-40B4-BE49-F238E27FC236}">
              <a16:creationId xmlns:a16="http://schemas.microsoft.com/office/drawing/2014/main" id="{00000000-0008-0000-1A00-000040000000}"/>
            </a:ext>
          </a:extLst>
        </xdr:cNvPr>
        <xdr:cNvSpPr>
          <a:spLocks noChangeShapeType="1"/>
        </xdr:cNvSpPr>
      </xdr:nvSpPr>
      <xdr:spPr bwMode="auto">
        <a:xfrm flipV="1">
          <a:off x="2924175" y="16840200"/>
          <a:ext cx="0" cy="0"/>
        </a:xfrm>
        <a:prstGeom prst="line">
          <a:avLst/>
        </a:prstGeom>
        <a:noFill/>
        <a:ln w="9525">
          <a:solidFill>
            <a:srgbClr val="000000"/>
          </a:solidFill>
          <a:round/>
          <a:headEnd/>
          <a:tailEnd/>
        </a:ln>
      </xdr:spPr>
    </xdr:sp>
    <xdr:clientData/>
  </xdr:twoCellAnchor>
  <xdr:twoCellAnchor>
    <xdr:from>
      <xdr:col>4</xdr:col>
      <xdr:colOff>0</xdr:colOff>
      <xdr:row>87</xdr:row>
      <xdr:rowOff>0</xdr:rowOff>
    </xdr:from>
    <xdr:to>
      <xdr:col>4</xdr:col>
      <xdr:colOff>0</xdr:colOff>
      <xdr:row>87</xdr:row>
      <xdr:rowOff>0</xdr:rowOff>
    </xdr:to>
    <xdr:sp macro="" textlink="">
      <xdr:nvSpPr>
        <xdr:cNvPr id="65" name="Line 24">
          <a:extLst>
            <a:ext uri="{FF2B5EF4-FFF2-40B4-BE49-F238E27FC236}">
              <a16:creationId xmlns:a16="http://schemas.microsoft.com/office/drawing/2014/main" id="{00000000-0008-0000-1A00-000041000000}"/>
            </a:ext>
          </a:extLst>
        </xdr:cNvPr>
        <xdr:cNvSpPr>
          <a:spLocks noChangeShapeType="1"/>
        </xdr:cNvSpPr>
      </xdr:nvSpPr>
      <xdr:spPr bwMode="auto">
        <a:xfrm>
          <a:off x="2924175" y="16840200"/>
          <a:ext cx="0" cy="0"/>
        </a:xfrm>
        <a:prstGeom prst="line">
          <a:avLst/>
        </a:prstGeom>
        <a:noFill/>
        <a:ln w="9525">
          <a:solidFill>
            <a:srgbClr val="000000"/>
          </a:solidFill>
          <a:round/>
          <a:headEnd/>
          <a:tailEnd/>
        </a:ln>
      </xdr:spPr>
    </xdr:sp>
    <xdr:clientData/>
  </xdr:twoCellAnchor>
  <xdr:twoCellAnchor>
    <xdr:from>
      <xdr:col>4</xdr:col>
      <xdr:colOff>0</xdr:colOff>
      <xdr:row>87</xdr:row>
      <xdr:rowOff>0</xdr:rowOff>
    </xdr:from>
    <xdr:to>
      <xdr:col>4</xdr:col>
      <xdr:colOff>0</xdr:colOff>
      <xdr:row>87</xdr:row>
      <xdr:rowOff>0</xdr:rowOff>
    </xdr:to>
    <xdr:sp macro="" textlink="">
      <xdr:nvSpPr>
        <xdr:cNvPr id="66" name="Line 25">
          <a:extLst>
            <a:ext uri="{FF2B5EF4-FFF2-40B4-BE49-F238E27FC236}">
              <a16:creationId xmlns:a16="http://schemas.microsoft.com/office/drawing/2014/main" id="{00000000-0008-0000-1A00-000042000000}"/>
            </a:ext>
          </a:extLst>
        </xdr:cNvPr>
        <xdr:cNvSpPr>
          <a:spLocks noChangeShapeType="1"/>
        </xdr:cNvSpPr>
      </xdr:nvSpPr>
      <xdr:spPr bwMode="auto">
        <a:xfrm flipV="1">
          <a:off x="2924175" y="16840200"/>
          <a:ext cx="0" cy="0"/>
        </a:xfrm>
        <a:prstGeom prst="line">
          <a:avLst/>
        </a:prstGeom>
        <a:noFill/>
        <a:ln w="9525">
          <a:solidFill>
            <a:srgbClr val="000000"/>
          </a:solidFill>
          <a:round/>
          <a:headEnd/>
          <a:tailEnd/>
        </a:ln>
      </xdr:spPr>
    </xdr:sp>
    <xdr:clientData/>
  </xdr:twoCellAnchor>
  <xdr:twoCellAnchor>
    <xdr:from>
      <xdr:col>4</xdr:col>
      <xdr:colOff>0</xdr:colOff>
      <xdr:row>87</xdr:row>
      <xdr:rowOff>0</xdr:rowOff>
    </xdr:from>
    <xdr:to>
      <xdr:col>4</xdr:col>
      <xdr:colOff>0</xdr:colOff>
      <xdr:row>87</xdr:row>
      <xdr:rowOff>0</xdr:rowOff>
    </xdr:to>
    <xdr:sp macro="" textlink="">
      <xdr:nvSpPr>
        <xdr:cNvPr id="67" name="Line 26">
          <a:extLst>
            <a:ext uri="{FF2B5EF4-FFF2-40B4-BE49-F238E27FC236}">
              <a16:creationId xmlns:a16="http://schemas.microsoft.com/office/drawing/2014/main" id="{00000000-0008-0000-1A00-000043000000}"/>
            </a:ext>
          </a:extLst>
        </xdr:cNvPr>
        <xdr:cNvSpPr>
          <a:spLocks noChangeShapeType="1"/>
        </xdr:cNvSpPr>
      </xdr:nvSpPr>
      <xdr:spPr bwMode="auto">
        <a:xfrm>
          <a:off x="2924175" y="16840200"/>
          <a:ext cx="0" cy="0"/>
        </a:xfrm>
        <a:prstGeom prst="line">
          <a:avLst/>
        </a:prstGeom>
        <a:noFill/>
        <a:ln w="9525">
          <a:solidFill>
            <a:srgbClr val="000000"/>
          </a:solidFill>
          <a:round/>
          <a:headEnd/>
          <a:tailEnd/>
        </a:ln>
      </xdr:spPr>
    </xdr:sp>
    <xdr:clientData/>
  </xdr:twoCellAnchor>
  <xdr:twoCellAnchor>
    <xdr:from>
      <xdr:col>4</xdr:col>
      <xdr:colOff>0</xdr:colOff>
      <xdr:row>87</xdr:row>
      <xdr:rowOff>0</xdr:rowOff>
    </xdr:from>
    <xdr:to>
      <xdr:col>4</xdr:col>
      <xdr:colOff>0</xdr:colOff>
      <xdr:row>87</xdr:row>
      <xdr:rowOff>0</xdr:rowOff>
    </xdr:to>
    <xdr:sp macro="" textlink="">
      <xdr:nvSpPr>
        <xdr:cNvPr id="68" name="Line 27">
          <a:extLst>
            <a:ext uri="{FF2B5EF4-FFF2-40B4-BE49-F238E27FC236}">
              <a16:creationId xmlns:a16="http://schemas.microsoft.com/office/drawing/2014/main" id="{00000000-0008-0000-1A00-000044000000}"/>
            </a:ext>
          </a:extLst>
        </xdr:cNvPr>
        <xdr:cNvSpPr>
          <a:spLocks noChangeShapeType="1"/>
        </xdr:cNvSpPr>
      </xdr:nvSpPr>
      <xdr:spPr bwMode="auto">
        <a:xfrm>
          <a:off x="2924175" y="16840200"/>
          <a:ext cx="0" cy="0"/>
        </a:xfrm>
        <a:prstGeom prst="line">
          <a:avLst/>
        </a:prstGeom>
        <a:noFill/>
        <a:ln w="9525">
          <a:solidFill>
            <a:srgbClr val="000000"/>
          </a:solidFill>
          <a:round/>
          <a:headEnd/>
          <a:tailEnd/>
        </a:ln>
      </xdr:spPr>
    </xdr:sp>
    <xdr:clientData/>
  </xdr:twoCellAnchor>
  <xdr:twoCellAnchor>
    <xdr:from>
      <xdr:col>4</xdr:col>
      <xdr:colOff>0</xdr:colOff>
      <xdr:row>87</xdr:row>
      <xdr:rowOff>0</xdr:rowOff>
    </xdr:from>
    <xdr:to>
      <xdr:col>4</xdr:col>
      <xdr:colOff>0</xdr:colOff>
      <xdr:row>87</xdr:row>
      <xdr:rowOff>0</xdr:rowOff>
    </xdr:to>
    <xdr:sp macro="" textlink="">
      <xdr:nvSpPr>
        <xdr:cNvPr id="69" name="Line 28">
          <a:extLst>
            <a:ext uri="{FF2B5EF4-FFF2-40B4-BE49-F238E27FC236}">
              <a16:creationId xmlns:a16="http://schemas.microsoft.com/office/drawing/2014/main" id="{00000000-0008-0000-1A00-000045000000}"/>
            </a:ext>
          </a:extLst>
        </xdr:cNvPr>
        <xdr:cNvSpPr>
          <a:spLocks noChangeShapeType="1"/>
        </xdr:cNvSpPr>
      </xdr:nvSpPr>
      <xdr:spPr bwMode="auto">
        <a:xfrm flipV="1">
          <a:off x="2924175" y="16840200"/>
          <a:ext cx="0" cy="0"/>
        </a:xfrm>
        <a:prstGeom prst="line">
          <a:avLst/>
        </a:prstGeom>
        <a:noFill/>
        <a:ln w="9525">
          <a:solidFill>
            <a:srgbClr val="000000"/>
          </a:solidFill>
          <a:round/>
          <a:headEnd/>
          <a:tailEnd/>
        </a:ln>
      </xdr:spPr>
    </xdr:sp>
    <xdr:clientData/>
  </xdr:twoCellAnchor>
  <xdr:twoCellAnchor>
    <xdr:from>
      <xdr:col>4</xdr:col>
      <xdr:colOff>0</xdr:colOff>
      <xdr:row>87</xdr:row>
      <xdr:rowOff>0</xdr:rowOff>
    </xdr:from>
    <xdr:to>
      <xdr:col>4</xdr:col>
      <xdr:colOff>0</xdr:colOff>
      <xdr:row>87</xdr:row>
      <xdr:rowOff>0</xdr:rowOff>
    </xdr:to>
    <xdr:sp macro="" textlink="">
      <xdr:nvSpPr>
        <xdr:cNvPr id="70" name="Line 29">
          <a:extLst>
            <a:ext uri="{FF2B5EF4-FFF2-40B4-BE49-F238E27FC236}">
              <a16:creationId xmlns:a16="http://schemas.microsoft.com/office/drawing/2014/main" id="{00000000-0008-0000-1A00-000046000000}"/>
            </a:ext>
          </a:extLst>
        </xdr:cNvPr>
        <xdr:cNvSpPr>
          <a:spLocks noChangeShapeType="1"/>
        </xdr:cNvSpPr>
      </xdr:nvSpPr>
      <xdr:spPr bwMode="auto">
        <a:xfrm>
          <a:off x="2924175" y="16840200"/>
          <a:ext cx="0" cy="0"/>
        </a:xfrm>
        <a:prstGeom prst="line">
          <a:avLst/>
        </a:prstGeom>
        <a:noFill/>
        <a:ln w="9525">
          <a:solidFill>
            <a:srgbClr val="000000"/>
          </a:solidFill>
          <a:round/>
          <a:headEnd/>
          <a:tailEnd/>
        </a:ln>
      </xdr:spPr>
    </xdr:sp>
    <xdr:clientData/>
  </xdr:twoCellAnchor>
  <xdr:twoCellAnchor>
    <xdr:from>
      <xdr:col>4</xdr:col>
      <xdr:colOff>0</xdr:colOff>
      <xdr:row>87</xdr:row>
      <xdr:rowOff>0</xdr:rowOff>
    </xdr:from>
    <xdr:to>
      <xdr:col>4</xdr:col>
      <xdr:colOff>0</xdr:colOff>
      <xdr:row>87</xdr:row>
      <xdr:rowOff>0</xdr:rowOff>
    </xdr:to>
    <xdr:sp macro="" textlink="">
      <xdr:nvSpPr>
        <xdr:cNvPr id="71" name="Line 30">
          <a:extLst>
            <a:ext uri="{FF2B5EF4-FFF2-40B4-BE49-F238E27FC236}">
              <a16:creationId xmlns:a16="http://schemas.microsoft.com/office/drawing/2014/main" id="{00000000-0008-0000-1A00-000047000000}"/>
            </a:ext>
          </a:extLst>
        </xdr:cNvPr>
        <xdr:cNvSpPr>
          <a:spLocks noChangeShapeType="1"/>
        </xdr:cNvSpPr>
      </xdr:nvSpPr>
      <xdr:spPr bwMode="auto">
        <a:xfrm flipV="1">
          <a:off x="2924175" y="16840200"/>
          <a:ext cx="0" cy="0"/>
        </a:xfrm>
        <a:prstGeom prst="line">
          <a:avLst/>
        </a:prstGeom>
        <a:noFill/>
        <a:ln w="9525">
          <a:solidFill>
            <a:srgbClr val="000000"/>
          </a:solidFill>
          <a:round/>
          <a:headEnd/>
          <a:tailEnd/>
        </a:ln>
      </xdr:spPr>
    </xdr:sp>
    <xdr:clientData/>
  </xdr:twoCellAnchor>
  <xdr:twoCellAnchor>
    <xdr:from>
      <xdr:col>5</xdr:col>
      <xdr:colOff>0</xdr:colOff>
      <xdr:row>87</xdr:row>
      <xdr:rowOff>0</xdr:rowOff>
    </xdr:from>
    <xdr:to>
      <xdr:col>5</xdr:col>
      <xdr:colOff>0</xdr:colOff>
      <xdr:row>87</xdr:row>
      <xdr:rowOff>0</xdr:rowOff>
    </xdr:to>
    <xdr:sp macro="" textlink="">
      <xdr:nvSpPr>
        <xdr:cNvPr id="72" name="Line 31">
          <a:extLst>
            <a:ext uri="{FF2B5EF4-FFF2-40B4-BE49-F238E27FC236}">
              <a16:creationId xmlns:a16="http://schemas.microsoft.com/office/drawing/2014/main" id="{00000000-0008-0000-1A00-000048000000}"/>
            </a:ext>
          </a:extLst>
        </xdr:cNvPr>
        <xdr:cNvSpPr>
          <a:spLocks noChangeShapeType="1"/>
        </xdr:cNvSpPr>
      </xdr:nvSpPr>
      <xdr:spPr bwMode="auto">
        <a:xfrm>
          <a:off x="3343275" y="16840200"/>
          <a:ext cx="0" cy="0"/>
        </a:xfrm>
        <a:prstGeom prst="line">
          <a:avLst/>
        </a:prstGeom>
        <a:noFill/>
        <a:ln w="9525">
          <a:solidFill>
            <a:srgbClr val="000000"/>
          </a:solidFill>
          <a:round/>
          <a:headEnd/>
          <a:tailEnd/>
        </a:ln>
      </xdr:spPr>
    </xdr:sp>
    <xdr:clientData/>
  </xdr:twoCellAnchor>
  <xdr:twoCellAnchor>
    <xdr:from>
      <xdr:col>5</xdr:col>
      <xdr:colOff>0</xdr:colOff>
      <xdr:row>87</xdr:row>
      <xdr:rowOff>0</xdr:rowOff>
    </xdr:from>
    <xdr:to>
      <xdr:col>5</xdr:col>
      <xdr:colOff>0</xdr:colOff>
      <xdr:row>87</xdr:row>
      <xdr:rowOff>0</xdr:rowOff>
    </xdr:to>
    <xdr:sp macro="" textlink="">
      <xdr:nvSpPr>
        <xdr:cNvPr id="73" name="Line 32">
          <a:extLst>
            <a:ext uri="{FF2B5EF4-FFF2-40B4-BE49-F238E27FC236}">
              <a16:creationId xmlns:a16="http://schemas.microsoft.com/office/drawing/2014/main" id="{00000000-0008-0000-1A00-000049000000}"/>
            </a:ext>
          </a:extLst>
        </xdr:cNvPr>
        <xdr:cNvSpPr>
          <a:spLocks noChangeShapeType="1"/>
        </xdr:cNvSpPr>
      </xdr:nvSpPr>
      <xdr:spPr bwMode="auto">
        <a:xfrm>
          <a:off x="3343275" y="16840200"/>
          <a:ext cx="0" cy="0"/>
        </a:xfrm>
        <a:prstGeom prst="line">
          <a:avLst/>
        </a:prstGeom>
        <a:noFill/>
        <a:ln w="9525">
          <a:solidFill>
            <a:srgbClr val="000000"/>
          </a:solidFill>
          <a:round/>
          <a:headEnd/>
          <a:tailEnd/>
        </a:ln>
      </xdr:spPr>
    </xdr:sp>
    <xdr:clientData/>
  </xdr:twoCellAnchor>
  <xdr:twoCellAnchor>
    <xdr:from>
      <xdr:col>5</xdr:col>
      <xdr:colOff>0</xdr:colOff>
      <xdr:row>87</xdr:row>
      <xdr:rowOff>0</xdr:rowOff>
    </xdr:from>
    <xdr:to>
      <xdr:col>5</xdr:col>
      <xdr:colOff>0</xdr:colOff>
      <xdr:row>87</xdr:row>
      <xdr:rowOff>0</xdr:rowOff>
    </xdr:to>
    <xdr:sp macro="" textlink="">
      <xdr:nvSpPr>
        <xdr:cNvPr id="74" name="Line 33">
          <a:extLst>
            <a:ext uri="{FF2B5EF4-FFF2-40B4-BE49-F238E27FC236}">
              <a16:creationId xmlns:a16="http://schemas.microsoft.com/office/drawing/2014/main" id="{00000000-0008-0000-1A00-00004A000000}"/>
            </a:ext>
          </a:extLst>
        </xdr:cNvPr>
        <xdr:cNvSpPr>
          <a:spLocks noChangeShapeType="1"/>
        </xdr:cNvSpPr>
      </xdr:nvSpPr>
      <xdr:spPr bwMode="auto">
        <a:xfrm flipV="1">
          <a:off x="3343275" y="16840200"/>
          <a:ext cx="0" cy="0"/>
        </a:xfrm>
        <a:prstGeom prst="line">
          <a:avLst/>
        </a:prstGeom>
        <a:noFill/>
        <a:ln w="9525">
          <a:solidFill>
            <a:srgbClr val="000000"/>
          </a:solidFill>
          <a:round/>
          <a:headEnd/>
          <a:tailEnd/>
        </a:ln>
      </xdr:spPr>
    </xdr:sp>
    <xdr:clientData/>
  </xdr:twoCellAnchor>
  <xdr:twoCellAnchor>
    <xdr:from>
      <xdr:col>5</xdr:col>
      <xdr:colOff>0</xdr:colOff>
      <xdr:row>87</xdr:row>
      <xdr:rowOff>0</xdr:rowOff>
    </xdr:from>
    <xdr:to>
      <xdr:col>5</xdr:col>
      <xdr:colOff>0</xdr:colOff>
      <xdr:row>87</xdr:row>
      <xdr:rowOff>0</xdr:rowOff>
    </xdr:to>
    <xdr:sp macro="" textlink="">
      <xdr:nvSpPr>
        <xdr:cNvPr id="75" name="Line 34">
          <a:extLst>
            <a:ext uri="{FF2B5EF4-FFF2-40B4-BE49-F238E27FC236}">
              <a16:creationId xmlns:a16="http://schemas.microsoft.com/office/drawing/2014/main" id="{00000000-0008-0000-1A00-00004B000000}"/>
            </a:ext>
          </a:extLst>
        </xdr:cNvPr>
        <xdr:cNvSpPr>
          <a:spLocks noChangeShapeType="1"/>
        </xdr:cNvSpPr>
      </xdr:nvSpPr>
      <xdr:spPr bwMode="auto">
        <a:xfrm>
          <a:off x="3343275" y="16840200"/>
          <a:ext cx="0" cy="0"/>
        </a:xfrm>
        <a:prstGeom prst="line">
          <a:avLst/>
        </a:prstGeom>
        <a:noFill/>
        <a:ln w="9525">
          <a:solidFill>
            <a:srgbClr val="000000"/>
          </a:solidFill>
          <a:round/>
          <a:headEnd/>
          <a:tailEnd/>
        </a:ln>
      </xdr:spPr>
    </xdr:sp>
    <xdr:clientData/>
  </xdr:twoCellAnchor>
  <xdr:twoCellAnchor>
    <xdr:from>
      <xdr:col>5</xdr:col>
      <xdr:colOff>0</xdr:colOff>
      <xdr:row>87</xdr:row>
      <xdr:rowOff>0</xdr:rowOff>
    </xdr:from>
    <xdr:to>
      <xdr:col>5</xdr:col>
      <xdr:colOff>0</xdr:colOff>
      <xdr:row>87</xdr:row>
      <xdr:rowOff>0</xdr:rowOff>
    </xdr:to>
    <xdr:sp macro="" textlink="">
      <xdr:nvSpPr>
        <xdr:cNvPr id="76" name="Line 35">
          <a:extLst>
            <a:ext uri="{FF2B5EF4-FFF2-40B4-BE49-F238E27FC236}">
              <a16:creationId xmlns:a16="http://schemas.microsoft.com/office/drawing/2014/main" id="{00000000-0008-0000-1A00-00004C000000}"/>
            </a:ext>
          </a:extLst>
        </xdr:cNvPr>
        <xdr:cNvSpPr>
          <a:spLocks noChangeShapeType="1"/>
        </xdr:cNvSpPr>
      </xdr:nvSpPr>
      <xdr:spPr bwMode="auto">
        <a:xfrm flipV="1">
          <a:off x="3343275" y="16840200"/>
          <a:ext cx="0" cy="0"/>
        </a:xfrm>
        <a:prstGeom prst="line">
          <a:avLst/>
        </a:prstGeom>
        <a:noFill/>
        <a:ln w="9525">
          <a:solidFill>
            <a:srgbClr val="000000"/>
          </a:solidFill>
          <a:round/>
          <a:headEnd/>
          <a:tailEnd/>
        </a:ln>
      </xdr:spPr>
    </xdr:sp>
    <xdr:clientData/>
  </xdr:twoCellAnchor>
  <xdr:twoCellAnchor>
    <xdr:from>
      <xdr:col>5</xdr:col>
      <xdr:colOff>0</xdr:colOff>
      <xdr:row>87</xdr:row>
      <xdr:rowOff>0</xdr:rowOff>
    </xdr:from>
    <xdr:to>
      <xdr:col>5</xdr:col>
      <xdr:colOff>0</xdr:colOff>
      <xdr:row>87</xdr:row>
      <xdr:rowOff>0</xdr:rowOff>
    </xdr:to>
    <xdr:sp macro="" textlink="">
      <xdr:nvSpPr>
        <xdr:cNvPr id="77" name="Line 36">
          <a:extLst>
            <a:ext uri="{FF2B5EF4-FFF2-40B4-BE49-F238E27FC236}">
              <a16:creationId xmlns:a16="http://schemas.microsoft.com/office/drawing/2014/main" id="{00000000-0008-0000-1A00-00004D000000}"/>
            </a:ext>
          </a:extLst>
        </xdr:cNvPr>
        <xdr:cNvSpPr>
          <a:spLocks noChangeShapeType="1"/>
        </xdr:cNvSpPr>
      </xdr:nvSpPr>
      <xdr:spPr bwMode="auto">
        <a:xfrm>
          <a:off x="3343275" y="16840200"/>
          <a:ext cx="0" cy="0"/>
        </a:xfrm>
        <a:prstGeom prst="line">
          <a:avLst/>
        </a:prstGeom>
        <a:noFill/>
        <a:ln w="9525">
          <a:solidFill>
            <a:srgbClr val="000000"/>
          </a:solidFill>
          <a:round/>
          <a:headEnd/>
          <a:tailEnd/>
        </a:ln>
      </xdr:spPr>
    </xdr:sp>
    <xdr:clientData/>
  </xdr:twoCellAnchor>
  <xdr:twoCellAnchor>
    <xdr:from>
      <xdr:col>5</xdr:col>
      <xdr:colOff>0</xdr:colOff>
      <xdr:row>87</xdr:row>
      <xdr:rowOff>0</xdr:rowOff>
    </xdr:from>
    <xdr:to>
      <xdr:col>5</xdr:col>
      <xdr:colOff>0</xdr:colOff>
      <xdr:row>87</xdr:row>
      <xdr:rowOff>0</xdr:rowOff>
    </xdr:to>
    <xdr:sp macro="" textlink="">
      <xdr:nvSpPr>
        <xdr:cNvPr id="78" name="Line 37">
          <a:extLst>
            <a:ext uri="{FF2B5EF4-FFF2-40B4-BE49-F238E27FC236}">
              <a16:creationId xmlns:a16="http://schemas.microsoft.com/office/drawing/2014/main" id="{00000000-0008-0000-1A00-00004E000000}"/>
            </a:ext>
          </a:extLst>
        </xdr:cNvPr>
        <xdr:cNvSpPr>
          <a:spLocks noChangeShapeType="1"/>
        </xdr:cNvSpPr>
      </xdr:nvSpPr>
      <xdr:spPr bwMode="auto">
        <a:xfrm>
          <a:off x="3343275" y="16840200"/>
          <a:ext cx="0" cy="0"/>
        </a:xfrm>
        <a:prstGeom prst="line">
          <a:avLst/>
        </a:prstGeom>
        <a:noFill/>
        <a:ln w="9525">
          <a:solidFill>
            <a:srgbClr val="000000"/>
          </a:solidFill>
          <a:round/>
          <a:headEnd/>
          <a:tailEnd/>
        </a:ln>
      </xdr:spPr>
    </xdr:sp>
    <xdr:clientData/>
  </xdr:twoCellAnchor>
  <xdr:twoCellAnchor>
    <xdr:from>
      <xdr:col>5</xdr:col>
      <xdr:colOff>0</xdr:colOff>
      <xdr:row>87</xdr:row>
      <xdr:rowOff>0</xdr:rowOff>
    </xdr:from>
    <xdr:to>
      <xdr:col>5</xdr:col>
      <xdr:colOff>0</xdr:colOff>
      <xdr:row>87</xdr:row>
      <xdr:rowOff>0</xdr:rowOff>
    </xdr:to>
    <xdr:sp macro="" textlink="">
      <xdr:nvSpPr>
        <xdr:cNvPr id="79" name="Line 38">
          <a:extLst>
            <a:ext uri="{FF2B5EF4-FFF2-40B4-BE49-F238E27FC236}">
              <a16:creationId xmlns:a16="http://schemas.microsoft.com/office/drawing/2014/main" id="{00000000-0008-0000-1A00-00004F000000}"/>
            </a:ext>
          </a:extLst>
        </xdr:cNvPr>
        <xdr:cNvSpPr>
          <a:spLocks noChangeShapeType="1"/>
        </xdr:cNvSpPr>
      </xdr:nvSpPr>
      <xdr:spPr bwMode="auto">
        <a:xfrm flipV="1">
          <a:off x="3343275" y="16840200"/>
          <a:ext cx="0" cy="0"/>
        </a:xfrm>
        <a:prstGeom prst="line">
          <a:avLst/>
        </a:prstGeom>
        <a:noFill/>
        <a:ln w="9525">
          <a:solidFill>
            <a:srgbClr val="000000"/>
          </a:solidFill>
          <a:round/>
          <a:headEnd/>
          <a:tailEnd/>
        </a:ln>
      </xdr:spPr>
    </xdr:sp>
    <xdr:clientData/>
  </xdr:twoCellAnchor>
  <xdr:twoCellAnchor>
    <xdr:from>
      <xdr:col>5</xdr:col>
      <xdr:colOff>0</xdr:colOff>
      <xdr:row>87</xdr:row>
      <xdr:rowOff>0</xdr:rowOff>
    </xdr:from>
    <xdr:to>
      <xdr:col>5</xdr:col>
      <xdr:colOff>0</xdr:colOff>
      <xdr:row>87</xdr:row>
      <xdr:rowOff>0</xdr:rowOff>
    </xdr:to>
    <xdr:sp macro="" textlink="">
      <xdr:nvSpPr>
        <xdr:cNvPr id="80" name="Line 39">
          <a:extLst>
            <a:ext uri="{FF2B5EF4-FFF2-40B4-BE49-F238E27FC236}">
              <a16:creationId xmlns:a16="http://schemas.microsoft.com/office/drawing/2014/main" id="{00000000-0008-0000-1A00-000050000000}"/>
            </a:ext>
          </a:extLst>
        </xdr:cNvPr>
        <xdr:cNvSpPr>
          <a:spLocks noChangeShapeType="1"/>
        </xdr:cNvSpPr>
      </xdr:nvSpPr>
      <xdr:spPr bwMode="auto">
        <a:xfrm>
          <a:off x="3343275" y="16840200"/>
          <a:ext cx="0" cy="0"/>
        </a:xfrm>
        <a:prstGeom prst="line">
          <a:avLst/>
        </a:prstGeom>
        <a:noFill/>
        <a:ln w="9525">
          <a:solidFill>
            <a:srgbClr val="000000"/>
          </a:solidFill>
          <a:round/>
          <a:headEnd/>
          <a:tailEnd/>
        </a:ln>
      </xdr:spPr>
    </xdr:sp>
    <xdr:clientData/>
  </xdr:twoCellAnchor>
  <xdr:twoCellAnchor>
    <xdr:from>
      <xdr:col>5</xdr:col>
      <xdr:colOff>0</xdr:colOff>
      <xdr:row>87</xdr:row>
      <xdr:rowOff>0</xdr:rowOff>
    </xdr:from>
    <xdr:to>
      <xdr:col>5</xdr:col>
      <xdr:colOff>0</xdr:colOff>
      <xdr:row>87</xdr:row>
      <xdr:rowOff>0</xdr:rowOff>
    </xdr:to>
    <xdr:sp macro="" textlink="">
      <xdr:nvSpPr>
        <xdr:cNvPr id="81" name="Line 40">
          <a:extLst>
            <a:ext uri="{FF2B5EF4-FFF2-40B4-BE49-F238E27FC236}">
              <a16:creationId xmlns:a16="http://schemas.microsoft.com/office/drawing/2014/main" id="{00000000-0008-0000-1A00-000051000000}"/>
            </a:ext>
          </a:extLst>
        </xdr:cNvPr>
        <xdr:cNvSpPr>
          <a:spLocks noChangeShapeType="1"/>
        </xdr:cNvSpPr>
      </xdr:nvSpPr>
      <xdr:spPr bwMode="auto">
        <a:xfrm flipV="1">
          <a:off x="3343275" y="168402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122" name="Line 1">
          <a:extLst>
            <a:ext uri="{FF2B5EF4-FFF2-40B4-BE49-F238E27FC236}">
              <a16:creationId xmlns:a16="http://schemas.microsoft.com/office/drawing/2014/main" id="{00000000-0008-0000-1A00-00007A000000}"/>
            </a:ext>
          </a:extLst>
        </xdr:cNvPr>
        <xdr:cNvSpPr>
          <a:spLocks noChangeShapeType="1"/>
        </xdr:cNvSpPr>
      </xdr:nvSpPr>
      <xdr:spPr bwMode="auto">
        <a:xfrm>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123" name="Line 2">
          <a:extLst>
            <a:ext uri="{FF2B5EF4-FFF2-40B4-BE49-F238E27FC236}">
              <a16:creationId xmlns:a16="http://schemas.microsoft.com/office/drawing/2014/main" id="{00000000-0008-0000-1A00-00007B000000}"/>
            </a:ext>
          </a:extLst>
        </xdr:cNvPr>
        <xdr:cNvSpPr>
          <a:spLocks noChangeShapeType="1"/>
        </xdr:cNvSpPr>
      </xdr:nvSpPr>
      <xdr:spPr bwMode="auto">
        <a:xfrm>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124" name="Line 3">
          <a:extLst>
            <a:ext uri="{FF2B5EF4-FFF2-40B4-BE49-F238E27FC236}">
              <a16:creationId xmlns:a16="http://schemas.microsoft.com/office/drawing/2014/main" id="{00000000-0008-0000-1A00-00007C000000}"/>
            </a:ext>
          </a:extLst>
        </xdr:cNvPr>
        <xdr:cNvSpPr>
          <a:spLocks noChangeShapeType="1"/>
        </xdr:cNvSpPr>
      </xdr:nvSpPr>
      <xdr:spPr bwMode="auto">
        <a:xfrm flipV="1">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125" name="Line 4">
          <a:extLst>
            <a:ext uri="{FF2B5EF4-FFF2-40B4-BE49-F238E27FC236}">
              <a16:creationId xmlns:a16="http://schemas.microsoft.com/office/drawing/2014/main" id="{00000000-0008-0000-1A00-00007D000000}"/>
            </a:ext>
          </a:extLst>
        </xdr:cNvPr>
        <xdr:cNvSpPr>
          <a:spLocks noChangeShapeType="1"/>
        </xdr:cNvSpPr>
      </xdr:nvSpPr>
      <xdr:spPr bwMode="auto">
        <a:xfrm>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126" name="Line 5">
          <a:extLst>
            <a:ext uri="{FF2B5EF4-FFF2-40B4-BE49-F238E27FC236}">
              <a16:creationId xmlns:a16="http://schemas.microsoft.com/office/drawing/2014/main" id="{00000000-0008-0000-1A00-00007E000000}"/>
            </a:ext>
          </a:extLst>
        </xdr:cNvPr>
        <xdr:cNvSpPr>
          <a:spLocks noChangeShapeType="1"/>
        </xdr:cNvSpPr>
      </xdr:nvSpPr>
      <xdr:spPr bwMode="auto">
        <a:xfrm flipV="1">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127" name="Line 6">
          <a:extLst>
            <a:ext uri="{FF2B5EF4-FFF2-40B4-BE49-F238E27FC236}">
              <a16:creationId xmlns:a16="http://schemas.microsoft.com/office/drawing/2014/main" id="{00000000-0008-0000-1A00-00007F000000}"/>
            </a:ext>
          </a:extLst>
        </xdr:cNvPr>
        <xdr:cNvSpPr>
          <a:spLocks noChangeShapeType="1"/>
        </xdr:cNvSpPr>
      </xdr:nvSpPr>
      <xdr:spPr bwMode="auto">
        <a:xfrm>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128" name="Line 7">
          <a:extLst>
            <a:ext uri="{FF2B5EF4-FFF2-40B4-BE49-F238E27FC236}">
              <a16:creationId xmlns:a16="http://schemas.microsoft.com/office/drawing/2014/main" id="{00000000-0008-0000-1A00-000080000000}"/>
            </a:ext>
          </a:extLst>
        </xdr:cNvPr>
        <xdr:cNvSpPr>
          <a:spLocks noChangeShapeType="1"/>
        </xdr:cNvSpPr>
      </xdr:nvSpPr>
      <xdr:spPr bwMode="auto">
        <a:xfrm>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129" name="Line 8">
          <a:extLst>
            <a:ext uri="{FF2B5EF4-FFF2-40B4-BE49-F238E27FC236}">
              <a16:creationId xmlns:a16="http://schemas.microsoft.com/office/drawing/2014/main" id="{00000000-0008-0000-1A00-000081000000}"/>
            </a:ext>
          </a:extLst>
        </xdr:cNvPr>
        <xdr:cNvSpPr>
          <a:spLocks noChangeShapeType="1"/>
        </xdr:cNvSpPr>
      </xdr:nvSpPr>
      <xdr:spPr bwMode="auto">
        <a:xfrm flipV="1">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130" name="Line 9">
          <a:extLst>
            <a:ext uri="{FF2B5EF4-FFF2-40B4-BE49-F238E27FC236}">
              <a16:creationId xmlns:a16="http://schemas.microsoft.com/office/drawing/2014/main" id="{00000000-0008-0000-1A00-000082000000}"/>
            </a:ext>
          </a:extLst>
        </xdr:cNvPr>
        <xdr:cNvSpPr>
          <a:spLocks noChangeShapeType="1"/>
        </xdr:cNvSpPr>
      </xdr:nvSpPr>
      <xdr:spPr bwMode="auto">
        <a:xfrm>
          <a:off x="2143125" y="647700"/>
          <a:ext cx="0" cy="0"/>
        </a:xfrm>
        <a:prstGeom prst="line">
          <a:avLst/>
        </a:prstGeom>
        <a:noFill/>
        <a:ln w="9525">
          <a:solidFill>
            <a:srgbClr val="000000"/>
          </a:solidFill>
          <a:round/>
          <a:headEnd/>
          <a:tailEnd/>
        </a:ln>
      </xdr:spPr>
    </xdr:sp>
    <xdr:clientData/>
  </xdr:twoCellAnchor>
  <xdr:twoCellAnchor>
    <xdr:from>
      <xdr:col>2</xdr:col>
      <xdr:colOff>0</xdr:colOff>
      <xdr:row>4</xdr:row>
      <xdr:rowOff>0</xdr:rowOff>
    </xdr:from>
    <xdr:to>
      <xdr:col>2</xdr:col>
      <xdr:colOff>0</xdr:colOff>
      <xdr:row>4</xdr:row>
      <xdr:rowOff>0</xdr:rowOff>
    </xdr:to>
    <xdr:sp macro="" textlink="">
      <xdr:nvSpPr>
        <xdr:cNvPr id="131" name="Line 10">
          <a:extLst>
            <a:ext uri="{FF2B5EF4-FFF2-40B4-BE49-F238E27FC236}">
              <a16:creationId xmlns:a16="http://schemas.microsoft.com/office/drawing/2014/main" id="{00000000-0008-0000-1A00-000083000000}"/>
            </a:ext>
          </a:extLst>
        </xdr:cNvPr>
        <xdr:cNvSpPr>
          <a:spLocks noChangeShapeType="1"/>
        </xdr:cNvSpPr>
      </xdr:nvSpPr>
      <xdr:spPr bwMode="auto">
        <a:xfrm flipV="1">
          <a:off x="2143125"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32" name="Line 11">
          <a:extLst>
            <a:ext uri="{FF2B5EF4-FFF2-40B4-BE49-F238E27FC236}">
              <a16:creationId xmlns:a16="http://schemas.microsoft.com/office/drawing/2014/main" id="{00000000-0008-0000-1A00-000084000000}"/>
            </a:ext>
          </a:extLst>
        </xdr:cNvPr>
        <xdr:cNvSpPr>
          <a:spLocks noChangeShapeType="1"/>
        </xdr:cNvSpPr>
      </xdr:nvSpPr>
      <xdr:spPr bwMode="auto">
        <a:xfrm>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33" name="Line 12">
          <a:extLst>
            <a:ext uri="{FF2B5EF4-FFF2-40B4-BE49-F238E27FC236}">
              <a16:creationId xmlns:a16="http://schemas.microsoft.com/office/drawing/2014/main" id="{00000000-0008-0000-1A00-000085000000}"/>
            </a:ext>
          </a:extLst>
        </xdr:cNvPr>
        <xdr:cNvSpPr>
          <a:spLocks noChangeShapeType="1"/>
        </xdr:cNvSpPr>
      </xdr:nvSpPr>
      <xdr:spPr bwMode="auto">
        <a:xfrm>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34" name="Line 13">
          <a:extLst>
            <a:ext uri="{FF2B5EF4-FFF2-40B4-BE49-F238E27FC236}">
              <a16:creationId xmlns:a16="http://schemas.microsoft.com/office/drawing/2014/main" id="{00000000-0008-0000-1A00-000086000000}"/>
            </a:ext>
          </a:extLst>
        </xdr:cNvPr>
        <xdr:cNvSpPr>
          <a:spLocks noChangeShapeType="1"/>
        </xdr:cNvSpPr>
      </xdr:nvSpPr>
      <xdr:spPr bwMode="auto">
        <a:xfrm flipV="1">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35" name="Line 14">
          <a:extLst>
            <a:ext uri="{FF2B5EF4-FFF2-40B4-BE49-F238E27FC236}">
              <a16:creationId xmlns:a16="http://schemas.microsoft.com/office/drawing/2014/main" id="{00000000-0008-0000-1A00-000087000000}"/>
            </a:ext>
          </a:extLst>
        </xdr:cNvPr>
        <xdr:cNvSpPr>
          <a:spLocks noChangeShapeType="1"/>
        </xdr:cNvSpPr>
      </xdr:nvSpPr>
      <xdr:spPr bwMode="auto">
        <a:xfrm>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36" name="Line 15">
          <a:extLst>
            <a:ext uri="{FF2B5EF4-FFF2-40B4-BE49-F238E27FC236}">
              <a16:creationId xmlns:a16="http://schemas.microsoft.com/office/drawing/2014/main" id="{00000000-0008-0000-1A00-000088000000}"/>
            </a:ext>
          </a:extLst>
        </xdr:cNvPr>
        <xdr:cNvSpPr>
          <a:spLocks noChangeShapeType="1"/>
        </xdr:cNvSpPr>
      </xdr:nvSpPr>
      <xdr:spPr bwMode="auto">
        <a:xfrm flipV="1">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37" name="Line 16">
          <a:extLst>
            <a:ext uri="{FF2B5EF4-FFF2-40B4-BE49-F238E27FC236}">
              <a16:creationId xmlns:a16="http://schemas.microsoft.com/office/drawing/2014/main" id="{00000000-0008-0000-1A00-000089000000}"/>
            </a:ext>
          </a:extLst>
        </xdr:cNvPr>
        <xdr:cNvSpPr>
          <a:spLocks noChangeShapeType="1"/>
        </xdr:cNvSpPr>
      </xdr:nvSpPr>
      <xdr:spPr bwMode="auto">
        <a:xfrm>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38" name="Line 17">
          <a:extLst>
            <a:ext uri="{FF2B5EF4-FFF2-40B4-BE49-F238E27FC236}">
              <a16:creationId xmlns:a16="http://schemas.microsoft.com/office/drawing/2014/main" id="{00000000-0008-0000-1A00-00008A000000}"/>
            </a:ext>
          </a:extLst>
        </xdr:cNvPr>
        <xdr:cNvSpPr>
          <a:spLocks noChangeShapeType="1"/>
        </xdr:cNvSpPr>
      </xdr:nvSpPr>
      <xdr:spPr bwMode="auto">
        <a:xfrm>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39" name="Line 18">
          <a:extLst>
            <a:ext uri="{FF2B5EF4-FFF2-40B4-BE49-F238E27FC236}">
              <a16:creationId xmlns:a16="http://schemas.microsoft.com/office/drawing/2014/main" id="{00000000-0008-0000-1A00-00008B000000}"/>
            </a:ext>
          </a:extLst>
        </xdr:cNvPr>
        <xdr:cNvSpPr>
          <a:spLocks noChangeShapeType="1"/>
        </xdr:cNvSpPr>
      </xdr:nvSpPr>
      <xdr:spPr bwMode="auto">
        <a:xfrm flipV="1">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40" name="Line 19">
          <a:extLst>
            <a:ext uri="{FF2B5EF4-FFF2-40B4-BE49-F238E27FC236}">
              <a16:creationId xmlns:a16="http://schemas.microsoft.com/office/drawing/2014/main" id="{00000000-0008-0000-1A00-00008C000000}"/>
            </a:ext>
          </a:extLst>
        </xdr:cNvPr>
        <xdr:cNvSpPr>
          <a:spLocks noChangeShapeType="1"/>
        </xdr:cNvSpPr>
      </xdr:nvSpPr>
      <xdr:spPr bwMode="auto">
        <a:xfrm>
          <a:off x="2514600" y="647700"/>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141" name="Line 20">
          <a:extLst>
            <a:ext uri="{FF2B5EF4-FFF2-40B4-BE49-F238E27FC236}">
              <a16:creationId xmlns:a16="http://schemas.microsoft.com/office/drawing/2014/main" id="{00000000-0008-0000-1A00-00008D000000}"/>
            </a:ext>
          </a:extLst>
        </xdr:cNvPr>
        <xdr:cNvSpPr>
          <a:spLocks noChangeShapeType="1"/>
        </xdr:cNvSpPr>
      </xdr:nvSpPr>
      <xdr:spPr bwMode="auto">
        <a:xfrm flipV="1">
          <a:off x="2514600"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142" name="Line 21">
          <a:extLst>
            <a:ext uri="{FF2B5EF4-FFF2-40B4-BE49-F238E27FC236}">
              <a16:creationId xmlns:a16="http://schemas.microsoft.com/office/drawing/2014/main" id="{00000000-0008-0000-1A00-00008E000000}"/>
            </a:ext>
          </a:extLst>
        </xdr:cNvPr>
        <xdr:cNvSpPr>
          <a:spLocks noChangeShapeType="1"/>
        </xdr:cNvSpPr>
      </xdr:nvSpPr>
      <xdr:spPr bwMode="auto">
        <a:xfrm>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143" name="Line 22">
          <a:extLst>
            <a:ext uri="{FF2B5EF4-FFF2-40B4-BE49-F238E27FC236}">
              <a16:creationId xmlns:a16="http://schemas.microsoft.com/office/drawing/2014/main" id="{00000000-0008-0000-1A00-00008F000000}"/>
            </a:ext>
          </a:extLst>
        </xdr:cNvPr>
        <xdr:cNvSpPr>
          <a:spLocks noChangeShapeType="1"/>
        </xdr:cNvSpPr>
      </xdr:nvSpPr>
      <xdr:spPr bwMode="auto">
        <a:xfrm>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144" name="Line 23">
          <a:extLst>
            <a:ext uri="{FF2B5EF4-FFF2-40B4-BE49-F238E27FC236}">
              <a16:creationId xmlns:a16="http://schemas.microsoft.com/office/drawing/2014/main" id="{00000000-0008-0000-1A00-000090000000}"/>
            </a:ext>
          </a:extLst>
        </xdr:cNvPr>
        <xdr:cNvSpPr>
          <a:spLocks noChangeShapeType="1"/>
        </xdr:cNvSpPr>
      </xdr:nvSpPr>
      <xdr:spPr bwMode="auto">
        <a:xfrm flipV="1">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145" name="Line 24">
          <a:extLst>
            <a:ext uri="{FF2B5EF4-FFF2-40B4-BE49-F238E27FC236}">
              <a16:creationId xmlns:a16="http://schemas.microsoft.com/office/drawing/2014/main" id="{00000000-0008-0000-1A00-000091000000}"/>
            </a:ext>
          </a:extLst>
        </xdr:cNvPr>
        <xdr:cNvSpPr>
          <a:spLocks noChangeShapeType="1"/>
        </xdr:cNvSpPr>
      </xdr:nvSpPr>
      <xdr:spPr bwMode="auto">
        <a:xfrm>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146" name="Line 25">
          <a:extLst>
            <a:ext uri="{FF2B5EF4-FFF2-40B4-BE49-F238E27FC236}">
              <a16:creationId xmlns:a16="http://schemas.microsoft.com/office/drawing/2014/main" id="{00000000-0008-0000-1A00-000092000000}"/>
            </a:ext>
          </a:extLst>
        </xdr:cNvPr>
        <xdr:cNvSpPr>
          <a:spLocks noChangeShapeType="1"/>
        </xdr:cNvSpPr>
      </xdr:nvSpPr>
      <xdr:spPr bwMode="auto">
        <a:xfrm flipV="1">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147" name="Line 26">
          <a:extLst>
            <a:ext uri="{FF2B5EF4-FFF2-40B4-BE49-F238E27FC236}">
              <a16:creationId xmlns:a16="http://schemas.microsoft.com/office/drawing/2014/main" id="{00000000-0008-0000-1A00-000093000000}"/>
            </a:ext>
          </a:extLst>
        </xdr:cNvPr>
        <xdr:cNvSpPr>
          <a:spLocks noChangeShapeType="1"/>
        </xdr:cNvSpPr>
      </xdr:nvSpPr>
      <xdr:spPr bwMode="auto">
        <a:xfrm>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148" name="Line 27">
          <a:extLst>
            <a:ext uri="{FF2B5EF4-FFF2-40B4-BE49-F238E27FC236}">
              <a16:creationId xmlns:a16="http://schemas.microsoft.com/office/drawing/2014/main" id="{00000000-0008-0000-1A00-000094000000}"/>
            </a:ext>
          </a:extLst>
        </xdr:cNvPr>
        <xdr:cNvSpPr>
          <a:spLocks noChangeShapeType="1"/>
        </xdr:cNvSpPr>
      </xdr:nvSpPr>
      <xdr:spPr bwMode="auto">
        <a:xfrm>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149" name="Line 28">
          <a:extLst>
            <a:ext uri="{FF2B5EF4-FFF2-40B4-BE49-F238E27FC236}">
              <a16:creationId xmlns:a16="http://schemas.microsoft.com/office/drawing/2014/main" id="{00000000-0008-0000-1A00-000095000000}"/>
            </a:ext>
          </a:extLst>
        </xdr:cNvPr>
        <xdr:cNvSpPr>
          <a:spLocks noChangeShapeType="1"/>
        </xdr:cNvSpPr>
      </xdr:nvSpPr>
      <xdr:spPr bwMode="auto">
        <a:xfrm flipV="1">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150" name="Line 29">
          <a:extLst>
            <a:ext uri="{FF2B5EF4-FFF2-40B4-BE49-F238E27FC236}">
              <a16:creationId xmlns:a16="http://schemas.microsoft.com/office/drawing/2014/main" id="{00000000-0008-0000-1A00-000096000000}"/>
            </a:ext>
          </a:extLst>
        </xdr:cNvPr>
        <xdr:cNvSpPr>
          <a:spLocks noChangeShapeType="1"/>
        </xdr:cNvSpPr>
      </xdr:nvSpPr>
      <xdr:spPr bwMode="auto">
        <a:xfrm>
          <a:off x="2924175" y="647700"/>
          <a:ext cx="0" cy="0"/>
        </a:xfrm>
        <a:prstGeom prst="line">
          <a:avLst/>
        </a:prstGeom>
        <a:noFill/>
        <a:ln w="9525">
          <a:solidFill>
            <a:srgbClr val="000000"/>
          </a:solidFill>
          <a:round/>
          <a:headEnd/>
          <a:tailEnd/>
        </a:ln>
      </xdr:spPr>
    </xdr:sp>
    <xdr:clientData/>
  </xdr:twoCellAnchor>
  <xdr:twoCellAnchor>
    <xdr:from>
      <xdr:col>4</xdr:col>
      <xdr:colOff>0</xdr:colOff>
      <xdr:row>4</xdr:row>
      <xdr:rowOff>0</xdr:rowOff>
    </xdr:from>
    <xdr:to>
      <xdr:col>4</xdr:col>
      <xdr:colOff>0</xdr:colOff>
      <xdr:row>4</xdr:row>
      <xdr:rowOff>0</xdr:rowOff>
    </xdr:to>
    <xdr:sp macro="" textlink="">
      <xdr:nvSpPr>
        <xdr:cNvPr id="151" name="Line 30">
          <a:extLst>
            <a:ext uri="{FF2B5EF4-FFF2-40B4-BE49-F238E27FC236}">
              <a16:creationId xmlns:a16="http://schemas.microsoft.com/office/drawing/2014/main" id="{00000000-0008-0000-1A00-000097000000}"/>
            </a:ext>
          </a:extLst>
        </xdr:cNvPr>
        <xdr:cNvSpPr>
          <a:spLocks noChangeShapeType="1"/>
        </xdr:cNvSpPr>
      </xdr:nvSpPr>
      <xdr:spPr bwMode="auto">
        <a:xfrm flipV="1">
          <a:off x="29241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152" name="Line 31">
          <a:extLst>
            <a:ext uri="{FF2B5EF4-FFF2-40B4-BE49-F238E27FC236}">
              <a16:creationId xmlns:a16="http://schemas.microsoft.com/office/drawing/2014/main" id="{00000000-0008-0000-1A00-000098000000}"/>
            </a:ext>
          </a:extLst>
        </xdr:cNvPr>
        <xdr:cNvSpPr>
          <a:spLocks noChangeShapeType="1"/>
        </xdr:cNvSpPr>
      </xdr:nvSpPr>
      <xdr:spPr bwMode="auto">
        <a:xfrm>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153" name="Line 32">
          <a:extLst>
            <a:ext uri="{FF2B5EF4-FFF2-40B4-BE49-F238E27FC236}">
              <a16:creationId xmlns:a16="http://schemas.microsoft.com/office/drawing/2014/main" id="{00000000-0008-0000-1A00-000099000000}"/>
            </a:ext>
          </a:extLst>
        </xdr:cNvPr>
        <xdr:cNvSpPr>
          <a:spLocks noChangeShapeType="1"/>
        </xdr:cNvSpPr>
      </xdr:nvSpPr>
      <xdr:spPr bwMode="auto">
        <a:xfrm>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154" name="Line 33">
          <a:extLst>
            <a:ext uri="{FF2B5EF4-FFF2-40B4-BE49-F238E27FC236}">
              <a16:creationId xmlns:a16="http://schemas.microsoft.com/office/drawing/2014/main" id="{00000000-0008-0000-1A00-00009A000000}"/>
            </a:ext>
          </a:extLst>
        </xdr:cNvPr>
        <xdr:cNvSpPr>
          <a:spLocks noChangeShapeType="1"/>
        </xdr:cNvSpPr>
      </xdr:nvSpPr>
      <xdr:spPr bwMode="auto">
        <a:xfrm flipV="1">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155" name="Line 34">
          <a:extLst>
            <a:ext uri="{FF2B5EF4-FFF2-40B4-BE49-F238E27FC236}">
              <a16:creationId xmlns:a16="http://schemas.microsoft.com/office/drawing/2014/main" id="{00000000-0008-0000-1A00-00009B000000}"/>
            </a:ext>
          </a:extLst>
        </xdr:cNvPr>
        <xdr:cNvSpPr>
          <a:spLocks noChangeShapeType="1"/>
        </xdr:cNvSpPr>
      </xdr:nvSpPr>
      <xdr:spPr bwMode="auto">
        <a:xfrm>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156" name="Line 35">
          <a:extLst>
            <a:ext uri="{FF2B5EF4-FFF2-40B4-BE49-F238E27FC236}">
              <a16:creationId xmlns:a16="http://schemas.microsoft.com/office/drawing/2014/main" id="{00000000-0008-0000-1A00-00009C000000}"/>
            </a:ext>
          </a:extLst>
        </xdr:cNvPr>
        <xdr:cNvSpPr>
          <a:spLocks noChangeShapeType="1"/>
        </xdr:cNvSpPr>
      </xdr:nvSpPr>
      <xdr:spPr bwMode="auto">
        <a:xfrm flipV="1">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157" name="Line 36">
          <a:extLst>
            <a:ext uri="{FF2B5EF4-FFF2-40B4-BE49-F238E27FC236}">
              <a16:creationId xmlns:a16="http://schemas.microsoft.com/office/drawing/2014/main" id="{00000000-0008-0000-1A00-00009D000000}"/>
            </a:ext>
          </a:extLst>
        </xdr:cNvPr>
        <xdr:cNvSpPr>
          <a:spLocks noChangeShapeType="1"/>
        </xdr:cNvSpPr>
      </xdr:nvSpPr>
      <xdr:spPr bwMode="auto">
        <a:xfrm>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158" name="Line 37">
          <a:extLst>
            <a:ext uri="{FF2B5EF4-FFF2-40B4-BE49-F238E27FC236}">
              <a16:creationId xmlns:a16="http://schemas.microsoft.com/office/drawing/2014/main" id="{00000000-0008-0000-1A00-00009E000000}"/>
            </a:ext>
          </a:extLst>
        </xdr:cNvPr>
        <xdr:cNvSpPr>
          <a:spLocks noChangeShapeType="1"/>
        </xdr:cNvSpPr>
      </xdr:nvSpPr>
      <xdr:spPr bwMode="auto">
        <a:xfrm>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159" name="Line 38">
          <a:extLst>
            <a:ext uri="{FF2B5EF4-FFF2-40B4-BE49-F238E27FC236}">
              <a16:creationId xmlns:a16="http://schemas.microsoft.com/office/drawing/2014/main" id="{00000000-0008-0000-1A00-00009F000000}"/>
            </a:ext>
          </a:extLst>
        </xdr:cNvPr>
        <xdr:cNvSpPr>
          <a:spLocks noChangeShapeType="1"/>
        </xdr:cNvSpPr>
      </xdr:nvSpPr>
      <xdr:spPr bwMode="auto">
        <a:xfrm flipV="1">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160" name="Line 39">
          <a:extLst>
            <a:ext uri="{FF2B5EF4-FFF2-40B4-BE49-F238E27FC236}">
              <a16:creationId xmlns:a16="http://schemas.microsoft.com/office/drawing/2014/main" id="{00000000-0008-0000-1A00-0000A0000000}"/>
            </a:ext>
          </a:extLst>
        </xdr:cNvPr>
        <xdr:cNvSpPr>
          <a:spLocks noChangeShapeType="1"/>
        </xdr:cNvSpPr>
      </xdr:nvSpPr>
      <xdr:spPr bwMode="auto">
        <a:xfrm>
          <a:off x="3343275" y="647700"/>
          <a:ext cx="0" cy="0"/>
        </a:xfrm>
        <a:prstGeom prst="line">
          <a:avLst/>
        </a:prstGeom>
        <a:noFill/>
        <a:ln w="9525">
          <a:solidFill>
            <a:srgbClr val="000000"/>
          </a:solidFill>
          <a:round/>
          <a:headEnd/>
          <a:tailEnd/>
        </a:ln>
      </xdr:spPr>
    </xdr:sp>
    <xdr:clientData/>
  </xdr:twoCellAnchor>
  <xdr:twoCellAnchor>
    <xdr:from>
      <xdr:col>5</xdr:col>
      <xdr:colOff>0</xdr:colOff>
      <xdr:row>4</xdr:row>
      <xdr:rowOff>0</xdr:rowOff>
    </xdr:from>
    <xdr:to>
      <xdr:col>5</xdr:col>
      <xdr:colOff>0</xdr:colOff>
      <xdr:row>4</xdr:row>
      <xdr:rowOff>0</xdr:rowOff>
    </xdr:to>
    <xdr:sp macro="" textlink="">
      <xdr:nvSpPr>
        <xdr:cNvPr id="161" name="Line 40">
          <a:extLst>
            <a:ext uri="{FF2B5EF4-FFF2-40B4-BE49-F238E27FC236}">
              <a16:creationId xmlns:a16="http://schemas.microsoft.com/office/drawing/2014/main" id="{00000000-0008-0000-1A00-0000A1000000}"/>
            </a:ext>
          </a:extLst>
        </xdr:cNvPr>
        <xdr:cNvSpPr>
          <a:spLocks noChangeShapeType="1"/>
        </xdr:cNvSpPr>
      </xdr:nvSpPr>
      <xdr:spPr bwMode="auto">
        <a:xfrm flipV="1">
          <a:off x="3343275" y="647700"/>
          <a:ext cx="0" cy="0"/>
        </a:xfrm>
        <a:prstGeom prst="line">
          <a:avLst/>
        </a:prstGeom>
        <a:noFill/>
        <a:ln w="9525">
          <a:solidFill>
            <a:srgbClr val="000000"/>
          </a:solidFill>
          <a:round/>
          <a:headEnd/>
          <a:tailEnd/>
        </a:ln>
      </xdr:spPr>
    </xdr:sp>
    <xdr:clientData/>
  </xdr:twoCellAnchor>
  <xdr:twoCellAnchor>
    <xdr:from>
      <xdr:col>2</xdr:col>
      <xdr:colOff>0</xdr:colOff>
      <xdr:row>46</xdr:row>
      <xdr:rowOff>0</xdr:rowOff>
    </xdr:from>
    <xdr:to>
      <xdr:col>2</xdr:col>
      <xdr:colOff>0</xdr:colOff>
      <xdr:row>46</xdr:row>
      <xdr:rowOff>0</xdr:rowOff>
    </xdr:to>
    <xdr:sp macro="" textlink="">
      <xdr:nvSpPr>
        <xdr:cNvPr id="162" name="Line 1">
          <a:extLst>
            <a:ext uri="{FF2B5EF4-FFF2-40B4-BE49-F238E27FC236}">
              <a16:creationId xmlns:a16="http://schemas.microsoft.com/office/drawing/2014/main" id="{00000000-0008-0000-1A00-0000A2000000}"/>
            </a:ext>
          </a:extLst>
        </xdr:cNvPr>
        <xdr:cNvSpPr>
          <a:spLocks noChangeShapeType="1"/>
        </xdr:cNvSpPr>
      </xdr:nvSpPr>
      <xdr:spPr bwMode="auto">
        <a:xfrm>
          <a:off x="2143125" y="8743950"/>
          <a:ext cx="0" cy="0"/>
        </a:xfrm>
        <a:prstGeom prst="line">
          <a:avLst/>
        </a:prstGeom>
        <a:noFill/>
        <a:ln w="9525">
          <a:solidFill>
            <a:srgbClr val="000000"/>
          </a:solidFill>
          <a:round/>
          <a:headEnd/>
          <a:tailEnd/>
        </a:ln>
      </xdr:spPr>
    </xdr:sp>
    <xdr:clientData/>
  </xdr:twoCellAnchor>
  <xdr:twoCellAnchor>
    <xdr:from>
      <xdr:col>2</xdr:col>
      <xdr:colOff>0</xdr:colOff>
      <xdr:row>46</xdr:row>
      <xdr:rowOff>0</xdr:rowOff>
    </xdr:from>
    <xdr:to>
      <xdr:col>2</xdr:col>
      <xdr:colOff>0</xdr:colOff>
      <xdr:row>46</xdr:row>
      <xdr:rowOff>0</xdr:rowOff>
    </xdr:to>
    <xdr:sp macro="" textlink="">
      <xdr:nvSpPr>
        <xdr:cNvPr id="163" name="Line 2">
          <a:extLst>
            <a:ext uri="{FF2B5EF4-FFF2-40B4-BE49-F238E27FC236}">
              <a16:creationId xmlns:a16="http://schemas.microsoft.com/office/drawing/2014/main" id="{00000000-0008-0000-1A00-0000A3000000}"/>
            </a:ext>
          </a:extLst>
        </xdr:cNvPr>
        <xdr:cNvSpPr>
          <a:spLocks noChangeShapeType="1"/>
        </xdr:cNvSpPr>
      </xdr:nvSpPr>
      <xdr:spPr bwMode="auto">
        <a:xfrm>
          <a:off x="2143125" y="8743950"/>
          <a:ext cx="0" cy="0"/>
        </a:xfrm>
        <a:prstGeom prst="line">
          <a:avLst/>
        </a:prstGeom>
        <a:noFill/>
        <a:ln w="9525">
          <a:solidFill>
            <a:srgbClr val="000000"/>
          </a:solidFill>
          <a:round/>
          <a:headEnd/>
          <a:tailEnd/>
        </a:ln>
      </xdr:spPr>
    </xdr:sp>
    <xdr:clientData/>
  </xdr:twoCellAnchor>
  <xdr:twoCellAnchor>
    <xdr:from>
      <xdr:col>2</xdr:col>
      <xdr:colOff>0</xdr:colOff>
      <xdr:row>46</xdr:row>
      <xdr:rowOff>0</xdr:rowOff>
    </xdr:from>
    <xdr:to>
      <xdr:col>2</xdr:col>
      <xdr:colOff>0</xdr:colOff>
      <xdr:row>46</xdr:row>
      <xdr:rowOff>0</xdr:rowOff>
    </xdr:to>
    <xdr:sp macro="" textlink="">
      <xdr:nvSpPr>
        <xdr:cNvPr id="164" name="Line 3">
          <a:extLst>
            <a:ext uri="{FF2B5EF4-FFF2-40B4-BE49-F238E27FC236}">
              <a16:creationId xmlns:a16="http://schemas.microsoft.com/office/drawing/2014/main" id="{00000000-0008-0000-1A00-0000A4000000}"/>
            </a:ext>
          </a:extLst>
        </xdr:cNvPr>
        <xdr:cNvSpPr>
          <a:spLocks noChangeShapeType="1"/>
        </xdr:cNvSpPr>
      </xdr:nvSpPr>
      <xdr:spPr bwMode="auto">
        <a:xfrm flipV="1">
          <a:off x="2143125" y="8743950"/>
          <a:ext cx="0" cy="0"/>
        </a:xfrm>
        <a:prstGeom prst="line">
          <a:avLst/>
        </a:prstGeom>
        <a:noFill/>
        <a:ln w="9525">
          <a:solidFill>
            <a:srgbClr val="000000"/>
          </a:solidFill>
          <a:round/>
          <a:headEnd/>
          <a:tailEnd/>
        </a:ln>
      </xdr:spPr>
    </xdr:sp>
    <xdr:clientData/>
  </xdr:twoCellAnchor>
  <xdr:twoCellAnchor>
    <xdr:from>
      <xdr:col>2</xdr:col>
      <xdr:colOff>0</xdr:colOff>
      <xdr:row>46</xdr:row>
      <xdr:rowOff>0</xdr:rowOff>
    </xdr:from>
    <xdr:to>
      <xdr:col>2</xdr:col>
      <xdr:colOff>0</xdr:colOff>
      <xdr:row>46</xdr:row>
      <xdr:rowOff>0</xdr:rowOff>
    </xdr:to>
    <xdr:sp macro="" textlink="">
      <xdr:nvSpPr>
        <xdr:cNvPr id="165" name="Line 4">
          <a:extLst>
            <a:ext uri="{FF2B5EF4-FFF2-40B4-BE49-F238E27FC236}">
              <a16:creationId xmlns:a16="http://schemas.microsoft.com/office/drawing/2014/main" id="{00000000-0008-0000-1A00-0000A5000000}"/>
            </a:ext>
          </a:extLst>
        </xdr:cNvPr>
        <xdr:cNvSpPr>
          <a:spLocks noChangeShapeType="1"/>
        </xdr:cNvSpPr>
      </xdr:nvSpPr>
      <xdr:spPr bwMode="auto">
        <a:xfrm>
          <a:off x="2143125" y="8743950"/>
          <a:ext cx="0" cy="0"/>
        </a:xfrm>
        <a:prstGeom prst="line">
          <a:avLst/>
        </a:prstGeom>
        <a:noFill/>
        <a:ln w="9525">
          <a:solidFill>
            <a:srgbClr val="000000"/>
          </a:solidFill>
          <a:round/>
          <a:headEnd/>
          <a:tailEnd/>
        </a:ln>
      </xdr:spPr>
    </xdr:sp>
    <xdr:clientData/>
  </xdr:twoCellAnchor>
  <xdr:twoCellAnchor>
    <xdr:from>
      <xdr:col>2</xdr:col>
      <xdr:colOff>0</xdr:colOff>
      <xdr:row>46</xdr:row>
      <xdr:rowOff>0</xdr:rowOff>
    </xdr:from>
    <xdr:to>
      <xdr:col>2</xdr:col>
      <xdr:colOff>0</xdr:colOff>
      <xdr:row>46</xdr:row>
      <xdr:rowOff>0</xdr:rowOff>
    </xdr:to>
    <xdr:sp macro="" textlink="">
      <xdr:nvSpPr>
        <xdr:cNvPr id="166" name="Line 5">
          <a:extLst>
            <a:ext uri="{FF2B5EF4-FFF2-40B4-BE49-F238E27FC236}">
              <a16:creationId xmlns:a16="http://schemas.microsoft.com/office/drawing/2014/main" id="{00000000-0008-0000-1A00-0000A6000000}"/>
            </a:ext>
          </a:extLst>
        </xdr:cNvPr>
        <xdr:cNvSpPr>
          <a:spLocks noChangeShapeType="1"/>
        </xdr:cNvSpPr>
      </xdr:nvSpPr>
      <xdr:spPr bwMode="auto">
        <a:xfrm flipV="1">
          <a:off x="2143125" y="8743950"/>
          <a:ext cx="0" cy="0"/>
        </a:xfrm>
        <a:prstGeom prst="line">
          <a:avLst/>
        </a:prstGeom>
        <a:noFill/>
        <a:ln w="9525">
          <a:solidFill>
            <a:srgbClr val="000000"/>
          </a:solidFill>
          <a:round/>
          <a:headEnd/>
          <a:tailEnd/>
        </a:ln>
      </xdr:spPr>
    </xdr:sp>
    <xdr:clientData/>
  </xdr:twoCellAnchor>
  <xdr:twoCellAnchor>
    <xdr:from>
      <xdr:col>2</xdr:col>
      <xdr:colOff>0</xdr:colOff>
      <xdr:row>46</xdr:row>
      <xdr:rowOff>0</xdr:rowOff>
    </xdr:from>
    <xdr:to>
      <xdr:col>2</xdr:col>
      <xdr:colOff>0</xdr:colOff>
      <xdr:row>46</xdr:row>
      <xdr:rowOff>0</xdr:rowOff>
    </xdr:to>
    <xdr:sp macro="" textlink="">
      <xdr:nvSpPr>
        <xdr:cNvPr id="167" name="Line 6">
          <a:extLst>
            <a:ext uri="{FF2B5EF4-FFF2-40B4-BE49-F238E27FC236}">
              <a16:creationId xmlns:a16="http://schemas.microsoft.com/office/drawing/2014/main" id="{00000000-0008-0000-1A00-0000A7000000}"/>
            </a:ext>
          </a:extLst>
        </xdr:cNvPr>
        <xdr:cNvSpPr>
          <a:spLocks noChangeShapeType="1"/>
        </xdr:cNvSpPr>
      </xdr:nvSpPr>
      <xdr:spPr bwMode="auto">
        <a:xfrm>
          <a:off x="2143125" y="8743950"/>
          <a:ext cx="0" cy="0"/>
        </a:xfrm>
        <a:prstGeom prst="line">
          <a:avLst/>
        </a:prstGeom>
        <a:noFill/>
        <a:ln w="9525">
          <a:solidFill>
            <a:srgbClr val="000000"/>
          </a:solidFill>
          <a:round/>
          <a:headEnd/>
          <a:tailEnd/>
        </a:ln>
      </xdr:spPr>
    </xdr:sp>
    <xdr:clientData/>
  </xdr:twoCellAnchor>
  <xdr:twoCellAnchor>
    <xdr:from>
      <xdr:col>2</xdr:col>
      <xdr:colOff>0</xdr:colOff>
      <xdr:row>46</xdr:row>
      <xdr:rowOff>0</xdr:rowOff>
    </xdr:from>
    <xdr:to>
      <xdr:col>2</xdr:col>
      <xdr:colOff>0</xdr:colOff>
      <xdr:row>46</xdr:row>
      <xdr:rowOff>0</xdr:rowOff>
    </xdr:to>
    <xdr:sp macro="" textlink="">
      <xdr:nvSpPr>
        <xdr:cNvPr id="168" name="Line 7">
          <a:extLst>
            <a:ext uri="{FF2B5EF4-FFF2-40B4-BE49-F238E27FC236}">
              <a16:creationId xmlns:a16="http://schemas.microsoft.com/office/drawing/2014/main" id="{00000000-0008-0000-1A00-0000A8000000}"/>
            </a:ext>
          </a:extLst>
        </xdr:cNvPr>
        <xdr:cNvSpPr>
          <a:spLocks noChangeShapeType="1"/>
        </xdr:cNvSpPr>
      </xdr:nvSpPr>
      <xdr:spPr bwMode="auto">
        <a:xfrm>
          <a:off x="2143125" y="8743950"/>
          <a:ext cx="0" cy="0"/>
        </a:xfrm>
        <a:prstGeom prst="line">
          <a:avLst/>
        </a:prstGeom>
        <a:noFill/>
        <a:ln w="9525">
          <a:solidFill>
            <a:srgbClr val="000000"/>
          </a:solidFill>
          <a:round/>
          <a:headEnd/>
          <a:tailEnd/>
        </a:ln>
      </xdr:spPr>
    </xdr:sp>
    <xdr:clientData/>
  </xdr:twoCellAnchor>
  <xdr:twoCellAnchor>
    <xdr:from>
      <xdr:col>2</xdr:col>
      <xdr:colOff>0</xdr:colOff>
      <xdr:row>46</xdr:row>
      <xdr:rowOff>0</xdr:rowOff>
    </xdr:from>
    <xdr:to>
      <xdr:col>2</xdr:col>
      <xdr:colOff>0</xdr:colOff>
      <xdr:row>46</xdr:row>
      <xdr:rowOff>0</xdr:rowOff>
    </xdr:to>
    <xdr:sp macro="" textlink="">
      <xdr:nvSpPr>
        <xdr:cNvPr id="169" name="Line 8">
          <a:extLst>
            <a:ext uri="{FF2B5EF4-FFF2-40B4-BE49-F238E27FC236}">
              <a16:creationId xmlns:a16="http://schemas.microsoft.com/office/drawing/2014/main" id="{00000000-0008-0000-1A00-0000A9000000}"/>
            </a:ext>
          </a:extLst>
        </xdr:cNvPr>
        <xdr:cNvSpPr>
          <a:spLocks noChangeShapeType="1"/>
        </xdr:cNvSpPr>
      </xdr:nvSpPr>
      <xdr:spPr bwMode="auto">
        <a:xfrm flipV="1">
          <a:off x="2143125" y="8743950"/>
          <a:ext cx="0" cy="0"/>
        </a:xfrm>
        <a:prstGeom prst="line">
          <a:avLst/>
        </a:prstGeom>
        <a:noFill/>
        <a:ln w="9525">
          <a:solidFill>
            <a:srgbClr val="000000"/>
          </a:solidFill>
          <a:round/>
          <a:headEnd/>
          <a:tailEnd/>
        </a:ln>
      </xdr:spPr>
    </xdr:sp>
    <xdr:clientData/>
  </xdr:twoCellAnchor>
  <xdr:twoCellAnchor>
    <xdr:from>
      <xdr:col>2</xdr:col>
      <xdr:colOff>0</xdr:colOff>
      <xdr:row>46</xdr:row>
      <xdr:rowOff>0</xdr:rowOff>
    </xdr:from>
    <xdr:to>
      <xdr:col>2</xdr:col>
      <xdr:colOff>0</xdr:colOff>
      <xdr:row>46</xdr:row>
      <xdr:rowOff>0</xdr:rowOff>
    </xdr:to>
    <xdr:sp macro="" textlink="">
      <xdr:nvSpPr>
        <xdr:cNvPr id="170" name="Line 9">
          <a:extLst>
            <a:ext uri="{FF2B5EF4-FFF2-40B4-BE49-F238E27FC236}">
              <a16:creationId xmlns:a16="http://schemas.microsoft.com/office/drawing/2014/main" id="{00000000-0008-0000-1A00-0000AA000000}"/>
            </a:ext>
          </a:extLst>
        </xdr:cNvPr>
        <xdr:cNvSpPr>
          <a:spLocks noChangeShapeType="1"/>
        </xdr:cNvSpPr>
      </xdr:nvSpPr>
      <xdr:spPr bwMode="auto">
        <a:xfrm>
          <a:off x="2143125" y="8743950"/>
          <a:ext cx="0" cy="0"/>
        </a:xfrm>
        <a:prstGeom prst="line">
          <a:avLst/>
        </a:prstGeom>
        <a:noFill/>
        <a:ln w="9525">
          <a:solidFill>
            <a:srgbClr val="000000"/>
          </a:solidFill>
          <a:round/>
          <a:headEnd/>
          <a:tailEnd/>
        </a:ln>
      </xdr:spPr>
    </xdr:sp>
    <xdr:clientData/>
  </xdr:twoCellAnchor>
  <xdr:twoCellAnchor>
    <xdr:from>
      <xdr:col>2</xdr:col>
      <xdr:colOff>0</xdr:colOff>
      <xdr:row>46</xdr:row>
      <xdr:rowOff>0</xdr:rowOff>
    </xdr:from>
    <xdr:to>
      <xdr:col>2</xdr:col>
      <xdr:colOff>0</xdr:colOff>
      <xdr:row>46</xdr:row>
      <xdr:rowOff>0</xdr:rowOff>
    </xdr:to>
    <xdr:sp macro="" textlink="">
      <xdr:nvSpPr>
        <xdr:cNvPr id="171" name="Line 10">
          <a:extLst>
            <a:ext uri="{FF2B5EF4-FFF2-40B4-BE49-F238E27FC236}">
              <a16:creationId xmlns:a16="http://schemas.microsoft.com/office/drawing/2014/main" id="{00000000-0008-0000-1A00-0000AB000000}"/>
            </a:ext>
          </a:extLst>
        </xdr:cNvPr>
        <xdr:cNvSpPr>
          <a:spLocks noChangeShapeType="1"/>
        </xdr:cNvSpPr>
      </xdr:nvSpPr>
      <xdr:spPr bwMode="auto">
        <a:xfrm flipV="1">
          <a:off x="2143125" y="8743950"/>
          <a:ext cx="0" cy="0"/>
        </a:xfrm>
        <a:prstGeom prst="line">
          <a:avLst/>
        </a:prstGeom>
        <a:noFill/>
        <a:ln w="9525">
          <a:solidFill>
            <a:srgbClr val="000000"/>
          </a:solidFill>
          <a:round/>
          <a:headEnd/>
          <a:tailEnd/>
        </a:ln>
      </xdr:spPr>
    </xdr:sp>
    <xdr:clientData/>
  </xdr:twoCellAnchor>
  <xdr:twoCellAnchor>
    <xdr:from>
      <xdr:col>3</xdr:col>
      <xdr:colOff>0</xdr:colOff>
      <xdr:row>46</xdr:row>
      <xdr:rowOff>0</xdr:rowOff>
    </xdr:from>
    <xdr:to>
      <xdr:col>3</xdr:col>
      <xdr:colOff>0</xdr:colOff>
      <xdr:row>46</xdr:row>
      <xdr:rowOff>0</xdr:rowOff>
    </xdr:to>
    <xdr:sp macro="" textlink="">
      <xdr:nvSpPr>
        <xdr:cNvPr id="172" name="Line 11">
          <a:extLst>
            <a:ext uri="{FF2B5EF4-FFF2-40B4-BE49-F238E27FC236}">
              <a16:creationId xmlns:a16="http://schemas.microsoft.com/office/drawing/2014/main" id="{00000000-0008-0000-1A00-0000AC000000}"/>
            </a:ext>
          </a:extLst>
        </xdr:cNvPr>
        <xdr:cNvSpPr>
          <a:spLocks noChangeShapeType="1"/>
        </xdr:cNvSpPr>
      </xdr:nvSpPr>
      <xdr:spPr bwMode="auto">
        <a:xfrm>
          <a:off x="2514600" y="8743950"/>
          <a:ext cx="0" cy="0"/>
        </a:xfrm>
        <a:prstGeom prst="line">
          <a:avLst/>
        </a:prstGeom>
        <a:noFill/>
        <a:ln w="9525">
          <a:solidFill>
            <a:srgbClr val="000000"/>
          </a:solidFill>
          <a:round/>
          <a:headEnd/>
          <a:tailEnd/>
        </a:ln>
      </xdr:spPr>
    </xdr:sp>
    <xdr:clientData/>
  </xdr:twoCellAnchor>
  <xdr:twoCellAnchor>
    <xdr:from>
      <xdr:col>3</xdr:col>
      <xdr:colOff>0</xdr:colOff>
      <xdr:row>46</xdr:row>
      <xdr:rowOff>0</xdr:rowOff>
    </xdr:from>
    <xdr:to>
      <xdr:col>3</xdr:col>
      <xdr:colOff>0</xdr:colOff>
      <xdr:row>46</xdr:row>
      <xdr:rowOff>0</xdr:rowOff>
    </xdr:to>
    <xdr:sp macro="" textlink="">
      <xdr:nvSpPr>
        <xdr:cNvPr id="173" name="Line 12">
          <a:extLst>
            <a:ext uri="{FF2B5EF4-FFF2-40B4-BE49-F238E27FC236}">
              <a16:creationId xmlns:a16="http://schemas.microsoft.com/office/drawing/2014/main" id="{00000000-0008-0000-1A00-0000AD000000}"/>
            </a:ext>
          </a:extLst>
        </xdr:cNvPr>
        <xdr:cNvSpPr>
          <a:spLocks noChangeShapeType="1"/>
        </xdr:cNvSpPr>
      </xdr:nvSpPr>
      <xdr:spPr bwMode="auto">
        <a:xfrm>
          <a:off x="2514600" y="8743950"/>
          <a:ext cx="0" cy="0"/>
        </a:xfrm>
        <a:prstGeom prst="line">
          <a:avLst/>
        </a:prstGeom>
        <a:noFill/>
        <a:ln w="9525">
          <a:solidFill>
            <a:srgbClr val="000000"/>
          </a:solidFill>
          <a:round/>
          <a:headEnd/>
          <a:tailEnd/>
        </a:ln>
      </xdr:spPr>
    </xdr:sp>
    <xdr:clientData/>
  </xdr:twoCellAnchor>
  <xdr:twoCellAnchor>
    <xdr:from>
      <xdr:col>3</xdr:col>
      <xdr:colOff>0</xdr:colOff>
      <xdr:row>46</xdr:row>
      <xdr:rowOff>0</xdr:rowOff>
    </xdr:from>
    <xdr:to>
      <xdr:col>3</xdr:col>
      <xdr:colOff>0</xdr:colOff>
      <xdr:row>46</xdr:row>
      <xdr:rowOff>0</xdr:rowOff>
    </xdr:to>
    <xdr:sp macro="" textlink="">
      <xdr:nvSpPr>
        <xdr:cNvPr id="174" name="Line 13">
          <a:extLst>
            <a:ext uri="{FF2B5EF4-FFF2-40B4-BE49-F238E27FC236}">
              <a16:creationId xmlns:a16="http://schemas.microsoft.com/office/drawing/2014/main" id="{00000000-0008-0000-1A00-0000AE000000}"/>
            </a:ext>
          </a:extLst>
        </xdr:cNvPr>
        <xdr:cNvSpPr>
          <a:spLocks noChangeShapeType="1"/>
        </xdr:cNvSpPr>
      </xdr:nvSpPr>
      <xdr:spPr bwMode="auto">
        <a:xfrm flipV="1">
          <a:off x="2514600" y="8743950"/>
          <a:ext cx="0" cy="0"/>
        </a:xfrm>
        <a:prstGeom prst="line">
          <a:avLst/>
        </a:prstGeom>
        <a:noFill/>
        <a:ln w="9525">
          <a:solidFill>
            <a:srgbClr val="000000"/>
          </a:solidFill>
          <a:round/>
          <a:headEnd/>
          <a:tailEnd/>
        </a:ln>
      </xdr:spPr>
    </xdr:sp>
    <xdr:clientData/>
  </xdr:twoCellAnchor>
  <xdr:twoCellAnchor>
    <xdr:from>
      <xdr:col>3</xdr:col>
      <xdr:colOff>0</xdr:colOff>
      <xdr:row>46</xdr:row>
      <xdr:rowOff>0</xdr:rowOff>
    </xdr:from>
    <xdr:to>
      <xdr:col>3</xdr:col>
      <xdr:colOff>0</xdr:colOff>
      <xdr:row>46</xdr:row>
      <xdr:rowOff>0</xdr:rowOff>
    </xdr:to>
    <xdr:sp macro="" textlink="">
      <xdr:nvSpPr>
        <xdr:cNvPr id="175" name="Line 14">
          <a:extLst>
            <a:ext uri="{FF2B5EF4-FFF2-40B4-BE49-F238E27FC236}">
              <a16:creationId xmlns:a16="http://schemas.microsoft.com/office/drawing/2014/main" id="{00000000-0008-0000-1A00-0000AF000000}"/>
            </a:ext>
          </a:extLst>
        </xdr:cNvPr>
        <xdr:cNvSpPr>
          <a:spLocks noChangeShapeType="1"/>
        </xdr:cNvSpPr>
      </xdr:nvSpPr>
      <xdr:spPr bwMode="auto">
        <a:xfrm>
          <a:off x="2514600" y="8743950"/>
          <a:ext cx="0" cy="0"/>
        </a:xfrm>
        <a:prstGeom prst="line">
          <a:avLst/>
        </a:prstGeom>
        <a:noFill/>
        <a:ln w="9525">
          <a:solidFill>
            <a:srgbClr val="000000"/>
          </a:solidFill>
          <a:round/>
          <a:headEnd/>
          <a:tailEnd/>
        </a:ln>
      </xdr:spPr>
    </xdr:sp>
    <xdr:clientData/>
  </xdr:twoCellAnchor>
  <xdr:twoCellAnchor>
    <xdr:from>
      <xdr:col>3</xdr:col>
      <xdr:colOff>0</xdr:colOff>
      <xdr:row>46</xdr:row>
      <xdr:rowOff>0</xdr:rowOff>
    </xdr:from>
    <xdr:to>
      <xdr:col>3</xdr:col>
      <xdr:colOff>0</xdr:colOff>
      <xdr:row>46</xdr:row>
      <xdr:rowOff>0</xdr:rowOff>
    </xdr:to>
    <xdr:sp macro="" textlink="">
      <xdr:nvSpPr>
        <xdr:cNvPr id="176" name="Line 15">
          <a:extLst>
            <a:ext uri="{FF2B5EF4-FFF2-40B4-BE49-F238E27FC236}">
              <a16:creationId xmlns:a16="http://schemas.microsoft.com/office/drawing/2014/main" id="{00000000-0008-0000-1A00-0000B0000000}"/>
            </a:ext>
          </a:extLst>
        </xdr:cNvPr>
        <xdr:cNvSpPr>
          <a:spLocks noChangeShapeType="1"/>
        </xdr:cNvSpPr>
      </xdr:nvSpPr>
      <xdr:spPr bwMode="auto">
        <a:xfrm flipV="1">
          <a:off x="2514600" y="8743950"/>
          <a:ext cx="0" cy="0"/>
        </a:xfrm>
        <a:prstGeom prst="line">
          <a:avLst/>
        </a:prstGeom>
        <a:noFill/>
        <a:ln w="9525">
          <a:solidFill>
            <a:srgbClr val="000000"/>
          </a:solidFill>
          <a:round/>
          <a:headEnd/>
          <a:tailEnd/>
        </a:ln>
      </xdr:spPr>
    </xdr:sp>
    <xdr:clientData/>
  </xdr:twoCellAnchor>
  <xdr:twoCellAnchor>
    <xdr:from>
      <xdr:col>3</xdr:col>
      <xdr:colOff>0</xdr:colOff>
      <xdr:row>46</xdr:row>
      <xdr:rowOff>0</xdr:rowOff>
    </xdr:from>
    <xdr:to>
      <xdr:col>3</xdr:col>
      <xdr:colOff>0</xdr:colOff>
      <xdr:row>46</xdr:row>
      <xdr:rowOff>0</xdr:rowOff>
    </xdr:to>
    <xdr:sp macro="" textlink="">
      <xdr:nvSpPr>
        <xdr:cNvPr id="177" name="Line 16">
          <a:extLst>
            <a:ext uri="{FF2B5EF4-FFF2-40B4-BE49-F238E27FC236}">
              <a16:creationId xmlns:a16="http://schemas.microsoft.com/office/drawing/2014/main" id="{00000000-0008-0000-1A00-0000B1000000}"/>
            </a:ext>
          </a:extLst>
        </xdr:cNvPr>
        <xdr:cNvSpPr>
          <a:spLocks noChangeShapeType="1"/>
        </xdr:cNvSpPr>
      </xdr:nvSpPr>
      <xdr:spPr bwMode="auto">
        <a:xfrm>
          <a:off x="2514600" y="8743950"/>
          <a:ext cx="0" cy="0"/>
        </a:xfrm>
        <a:prstGeom prst="line">
          <a:avLst/>
        </a:prstGeom>
        <a:noFill/>
        <a:ln w="9525">
          <a:solidFill>
            <a:srgbClr val="000000"/>
          </a:solidFill>
          <a:round/>
          <a:headEnd/>
          <a:tailEnd/>
        </a:ln>
      </xdr:spPr>
    </xdr:sp>
    <xdr:clientData/>
  </xdr:twoCellAnchor>
  <xdr:twoCellAnchor>
    <xdr:from>
      <xdr:col>3</xdr:col>
      <xdr:colOff>0</xdr:colOff>
      <xdr:row>46</xdr:row>
      <xdr:rowOff>0</xdr:rowOff>
    </xdr:from>
    <xdr:to>
      <xdr:col>3</xdr:col>
      <xdr:colOff>0</xdr:colOff>
      <xdr:row>46</xdr:row>
      <xdr:rowOff>0</xdr:rowOff>
    </xdr:to>
    <xdr:sp macro="" textlink="">
      <xdr:nvSpPr>
        <xdr:cNvPr id="178" name="Line 17">
          <a:extLst>
            <a:ext uri="{FF2B5EF4-FFF2-40B4-BE49-F238E27FC236}">
              <a16:creationId xmlns:a16="http://schemas.microsoft.com/office/drawing/2014/main" id="{00000000-0008-0000-1A00-0000B2000000}"/>
            </a:ext>
          </a:extLst>
        </xdr:cNvPr>
        <xdr:cNvSpPr>
          <a:spLocks noChangeShapeType="1"/>
        </xdr:cNvSpPr>
      </xdr:nvSpPr>
      <xdr:spPr bwMode="auto">
        <a:xfrm>
          <a:off x="2514600" y="8743950"/>
          <a:ext cx="0" cy="0"/>
        </a:xfrm>
        <a:prstGeom prst="line">
          <a:avLst/>
        </a:prstGeom>
        <a:noFill/>
        <a:ln w="9525">
          <a:solidFill>
            <a:srgbClr val="000000"/>
          </a:solidFill>
          <a:round/>
          <a:headEnd/>
          <a:tailEnd/>
        </a:ln>
      </xdr:spPr>
    </xdr:sp>
    <xdr:clientData/>
  </xdr:twoCellAnchor>
  <xdr:twoCellAnchor>
    <xdr:from>
      <xdr:col>3</xdr:col>
      <xdr:colOff>0</xdr:colOff>
      <xdr:row>46</xdr:row>
      <xdr:rowOff>0</xdr:rowOff>
    </xdr:from>
    <xdr:to>
      <xdr:col>3</xdr:col>
      <xdr:colOff>0</xdr:colOff>
      <xdr:row>46</xdr:row>
      <xdr:rowOff>0</xdr:rowOff>
    </xdr:to>
    <xdr:sp macro="" textlink="">
      <xdr:nvSpPr>
        <xdr:cNvPr id="179" name="Line 18">
          <a:extLst>
            <a:ext uri="{FF2B5EF4-FFF2-40B4-BE49-F238E27FC236}">
              <a16:creationId xmlns:a16="http://schemas.microsoft.com/office/drawing/2014/main" id="{00000000-0008-0000-1A00-0000B3000000}"/>
            </a:ext>
          </a:extLst>
        </xdr:cNvPr>
        <xdr:cNvSpPr>
          <a:spLocks noChangeShapeType="1"/>
        </xdr:cNvSpPr>
      </xdr:nvSpPr>
      <xdr:spPr bwMode="auto">
        <a:xfrm flipV="1">
          <a:off x="2514600" y="8743950"/>
          <a:ext cx="0" cy="0"/>
        </a:xfrm>
        <a:prstGeom prst="line">
          <a:avLst/>
        </a:prstGeom>
        <a:noFill/>
        <a:ln w="9525">
          <a:solidFill>
            <a:srgbClr val="000000"/>
          </a:solidFill>
          <a:round/>
          <a:headEnd/>
          <a:tailEnd/>
        </a:ln>
      </xdr:spPr>
    </xdr:sp>
    <xdr:clientData/>
  </xdr:twoCellAnchor>
  <xdr:twoCellAnchor>
    <xdr:from>
      <xdr:col>3</xdr:col>
      <xdr:colOff>0</xdr:colOff>
      <xdr:row>46</xdr:row>
      <xdr:rowOff>0</xdr:rowOff>
    </xdr:from>
    <xdr:to>
      <xdr:col>3</xdr:col>
      <xdr:colOff>0</xdr:colOff>
      <xdr:row>46</xdr:row>
      <xdr:rowOff>0</xdr:rowOff>
    </xdr:to>
    <xdr:sp macro="" textlink="">
      <xdr:nvSpPr>
        <xdr:cNvPr id="180" name="Line 19">
          <a:extLst>
            <a:ext uri="{FF2B5EF4-FFF2-40B4-BE49-F238E27FC236}">
              <a16:creationId xmlns:a16="http://schemas.microsoft.com/office/drawing/2014/main" id="{00000000-0008-0000-1A00-0000B4000000}"/>
            </a:ext>
          </a:extLst>
        </xdr:cNvPr>
        <xdr:cNvSpPr>
          <a:spLocks noChangeShapeType="1"/>
        </xdr:cNvSpPr>
      </xdr:nvSpPr>
      <xdr:spPr bwMode="auto">
        <a:xfrm>
          <a:off x="2514600" y="8743950"/>
          <a:ext cx="0" cy="0"/>
        </a:xfrm>
        <a:prstGeom prst="line">
          <a:avLst/>
        </a:prstGeom>
        <a:noFill/>
        <a:ln w="9525">
          <a:solidFill>
            <a:srgbClr val="000000"/>
          </a:solidFill>
          <a:round/>
          <a:headEnd/>
          <a:tailEnd/>
        </a:ln>
      </xdr:spPr>
    </xdr:sp>
    <xdr:clientData/>
  </xdr:twoCellAnchor>
  <xdr:twoCellAnchor>
    <xdr:from>
      <xdr:col>3</xdr:col>
      <xdr:colOff>0</xdr:colOff>
      <xdr:row>46</xdr:row>
      <xdr:rowOff>0</xdr:rowOff>
    </xdr:from>
    <xdr:to>
      <xdr:col>3</xdr:col>
      <xdr:colOff>0</xdr:colOff>
      <xdr:row>46</xdr:row>
      <xdr:rowOff>0</xdr:rowOff>
    </xdr:to>
    <xdr:sp macro="" textlink="">
      <xdr:nvSpPr>
        <xdr:cNvPr id="181" name="Line 20">
          <a:extLst>
            <a:ext uri="{FF2B5EF4-FFF2-40B4-BE49-F238E27FC236}">
              <a16:creationId xmlns:a16="http://schemas.microsoft.com/office/drawing/2014/main" id="{00000000-0008-0000-1A00-0000B5000000}"/>
            </a:ext>
          </a:extLst>
        </xdr:cNvPr>
        <xdr:cNvSpPr>
          <a:spLocks noChangeShapeType="1"/>
        </xdr:cNvSpPr>
      </xdr:nvSpPr>
      <xdr:spPr bwMode="auto">
        <a:xfrm flipV="1">
          <a:off x="2514600" y="8743950"/>
          <a:ext cx="0" cy="0"/>
        </a:xfrm>
        <a:prstGeom prst="line">
          <a:avLst/>
        </a:prstGeom>
        <a:noFill/>
        <a:ln w="9525">
          <a:solidFill>
            <a:srgbClr val="000000"/>
          </a:solidFill>
          <a:round/>
          <a:headEnd/>
          <a:tailEnd/>
        </a:ln>
      </xdr:spPr>
    </xdr:sp>
    <xdr:clientData/>
  </xdr:twoCellAnchor>
  <xdr:twoCellAnchor>
    <xdr:from>
      <xdr:col>4</xdr:col>
      <xdr:colOff>0</xdr:colOff>
      <xdr:row>46</xdr:row>
      <xdr:rowOff>0</xdr:rowOff>
    </xdr:from>
    <xdr:to>
      <xdr:col>4</xdr:col>
      <xdr:colOff>0</xdr:colOff>
      <xdr:row>46</xdr:row>
      <xdr:rowOff>0</xdr:rowOff>
    </xdr:to>
    <xdr:sp macro="" textlink="">
      <xdr:nvSpPr>
        <xdr:cNvPr id="182" name="Line 21">
          <a:extLst>
            <a:ext uri="{FF2B5EF4-FFF2-40B4-BE49-F238E27FC236}">
              <a16:creationId xmlns:a16="http://schemas.microsoft.com/office/drawing/2014/main" id="{00000000-0008-0000-1A00-0000B6000000}"/>
            </a:ext>
          </a:extLst>
        </xdr:cNvPr>
        <xdr:cNvSpPr>
          <a:spLocks noChangeShapeType="1"/>
        </xdr:cNvSpPr>
      </xdr:nvSpPr>
      <xdr:spPr bwMode="auto">
        <a:xfrm>
          <a:off x="2924175" y="8743950"/>
          <a:ext cx="0" cy="0"/>
        </a:xfrm>
        <a:prstGeom prst="line">
          <a:avLst/>
        </a:prstGeom>
        <a:noFill/>
        <a:ln w="9525">
          <a:solidFill>
            <a:srgbClr val="000000"/>
          </a:solidFill>
          <a:round/>
          <a:headEnd/>
          <a:tailEnd/>
        </a:ln>
      </xdr:spPr>
    </xdr:sp>
    <xdr:clientData/>
  </xdr:twoCellAnchor>
  <xdr:twoCellAnchor>
    <xdr:from>
      <xdr:col>4</xdr:col>
      <xdr:colOff>0</xdr:colOff>
      <xdr:row>46</xdr:row>
      <xdr:rowOff>0</xdr:rowOff>
    </xdr:from>
    <xdr:to>
      <xdr:col>4</xdr:col>
      <xdr:colOff>0</xdr:colOff>
      <xdr:row>46</xdr:row>
      <xdr:rowOff>0</xdr:rowOff>
    </xdr:to>
    <xdr:sp macro="" textlink="">
      <xdr:nvSpPr>
        <xdr:cNvPr id="183" name="Line 22">
          <a:extLst>
            <a:ext uri="{FF2B5EF4-FFF2-40B4-BE49-F238E27FC236}">
              <a16:creationId xmlns:a16="http://schemas.microsoft.com/office/drawing/2014/main" id="{00000000-0008-0000-1A00-0000B7000000}"/>
            </a:ext>
          </a:extLst>
        </xdr:cNvPr>
        <xdr:cNvSpPr>
          <a:spLocks noChangeShapeType="1"/>
        </xdr:cNvSpPr>
      </xdr:nvSpPr>
      <xdr:spPr bwMode="auto">
        <a:xfrm>
          <a:off x="2924175" y="8743950"/>
          <a:ext cx="0" cy="0"/>
        </a:xfrm>
        <a:prstGeom prst="line">
          <a:avLst/>
        </a:prstGeom>
        <a:noFill/>
        <a:ln w="9525">
          <a:solidFill>
            <a:srgbClr val="000000"/>
          </a:solidFill>
          <a:round/>
          <a:headEnd/>
          <a:tailEnd/>
        </a:ln>
      </xdr:spPr>
    </xdr:sp>
    <xdr:clientData/>
  </xdr:twoCellAnchor>
  <xdr:twoCellAnchor>
    <xdr:from>
      <xdr:col>4</xdr:col>
      <xdr:colOff>0</xdr:colOff>
      <xdr:row>46</xdr:row>
      <xdr:rowOff>0</xdr:rowOff>
    </xdr:from>
    <xdr:to>
      <xdr:col>4</xdr:col>
      <xdr:colOff>0</xdr:colOff>
      <xdr:row>46</xdr:row>
      <xdr:rowOff>0</xdr:rowOff>
    </xdr:to>
    <xdr:sp macro="" textlink="">
      <xdr:nvSpPr>
        <xdr:cNvPr id="184" name="Line 23">
          <a:extLst>
            <a:ext uri="{FF2B5EF4-FFF2-40B4-BE49-F238E27FC236}">
              <a16:creationId xmlns:a16="http://schemas.microsoft.com/office/drawing/2014/main" id="{00000000-0008-0000-1A00-0000B8000000}"/>
            </a:ext>
          </a:extLst>
        </xdr:cNvPr>
        <xdr:cNvSpPr>
          <a:spLocks noChangeShapeType="1"/>
        </xdr:cNvSpPr>
      </xdr:nvSpPr>
      <xdr:spPr bwMode="auto">
        <a:xfrm flipV="1">
          <a:off x="2924175" y="8743950"/>
          <a:ext cx="0" cy="0"/>
        </a:xfrm>
        <a:prstGeom prst="line">
          <a:avLst/>
        </a:prstGeom>
        <a:noFill/>
        <a:ln w="9525">
          <a:solidFill>
            <a:srgbClr val="000000"/>
          </a:solidFill>
          <a:round/>
          <a:headEnd/>
          <a:tailEnd/>
        </a:ln>
      </xdr:spPr>
    </xdr:sp>
    <xdr:clientData/>
  </xdr:twoCellAnchor>
  <xdr:twoCellAnchor>
    <xdr:from>
      <xdr:col>4</xdr:col>
      <xdr:colOff>0</xdr:colOff>
      <xdr:row>46</xdr:row>
      <xdr:rowOff>0</xdr:rowOff>
    </xdr:from>
    <xdr:to>
      <xdr:col>4</xdr:col>
      <xdr:colOff>0</xdr:colOff>
      <xdr:row>46</xdr:row>
      <xdr:rowOff>0</xdr:rowOff>
    </xdr:to>
    <xdr:sp macro="" textlink="">
      <xdr:nvSpPr>
        <xdr:cNvPr id="185" name="Line 24">
          <a:extLst>
            <a:ext uri="{FF2B5EF4-FFF2-40B4-BE49-F238E27FC236}">
              <a16:creationId xmlns:a16="http://schemas.microsoft.com/office/drawing/2014/main" id="{00000000-0008-0000-1A00-0000B9000000}"/>
            </a:ext>
          </a:extLst>
        </xdr:cNvPr>
        <xdr:cNvSpPr>
          <a:spLocks noChangeShapeType="1"/>
        </xdr:cNvSpPr>
      </xdr:nvSpPr>
      <xdr:spPr bwMode="auto">
        <a:xfrm>
          <a:off x="2924175" y="8743950"/>
          <a:ext cx="0" cy="0"/>
        </a:xfrm>
        <a:prstGeom prst="line">
          <a:avLst/>
        </a:prstGeom>
        <a:noFill/>
        <a:ln w="9525">
          <a:solidFill>
            <a:srgbClr val="000000"/>
          </a:solidFill>
          <a:round/>
          <a:headEnd/>
          <a:tailEnd/>
        </a:ln>
      </xdr:spPr>
    </xdr:sp>
    <xdr:clientData/>
  </xdr:twoCellAnchor>
  <xdr:twoCellAnchor>
    <xdr:from>
      <xdr:col>4</xdr:col>
      <xdr:colOff>0</xdr:colOff>
      <xdr:row>46</xdr:row>
      <xdr:rowOff>0</xdr:rowOff>
    </xdr:from>
    <xdr:to>
      <xdr:col>4</xdr:col>
      <xdr:colOff>0</xdr:colOff>
      <xdr:row>46</xdr:row>
      <xdr:rowOff>0</xdr:rowOff>
    </xdr:to>
    <xdr:sp macro="" textlink="">
      <xdr:nvSpPr>
        <xdr:cNvPr id="186" name="Line 25">
          <a:extLst>
            <a:ext uri="{FF2B5EF4-FFF2-40B4-BE49-F238E27FC236}">
              <a16:creationId xmlns:a16="http://schemas.microsoft.com/office/drawing/2014/main" id="{00000000-0008-0000-1A00-0000BA000000}"/>
            </a:ext>
          </a:extLst>
        </xdr:cNvPr>
        <xdr:cNvSpPr>
          <a:spLocks noChangeShapeType="1"/>
        </xdr:cNvSpPr>
      </xdr:nvSpPr>
      <xdr:spPr bwMode="auto">
        <a:xfrm flipV="1">
          <a:off x="2924175" y="8743950"/>
          <a:ext cx="0" cy="0"/>
        </a:xfrm>
        <a:prstGeom prst="line">
          <a:avLst/>
        </a:prstGeom>
        <a:noFill/>
        <a:ln w="9525">
          <a:solidFill>
            <a:srgbClr val="000000"/>
          </a:solidFill>
          <a:round/>
          <a:headEnd/>
          <a:tailEnd/>
        </a:ln>
      </xdr:spPr>
    </xdr:sp>
    <xdr:clientData/>
  </xdr:twoCellAnchor>
  <xdr:twoCellAnchor>
    <xdr:from>
      <xdr:col>4</xdr:col>
      <xdr:colOff>0</xdr:colOff>
      <xdr:row>46</xdr:row>
      <xdr:rowOff>0</xdr:rowOff>
    </xdr:from>
    <xdr:to>
      <xdr:col>4</xdr:col>
      <xdr:colOff>0</xdr:colOff>
      <xdr:row>46</xdr:row>
      <xdr:rowOff>0</xdr:rowOff>
    </xdr:to>
    <xdr:sp macro="" textlink="">
      <xdr:nvSpPr>
        <xdr:cNvPr id="187" name="Line 26">
          <a:extLst>
            <a:ext uri="{FF2B5EF4-FFF2-40B4-BE49-F238E27FC236}">
              <a16:creationId xmlns:a16="http://schemas.microsoft.com/office/drawing/2014/main" id="{00000000-0008-0000-1A00-0000BB000000}"/>
            </a:ext>
          </a:extLst>
        </xdr:cNvPr>
        <xdr:cNvSpPr>
          <a:spLocks noChangeShapeType="1"/>
        </xdr:cNvSpPr>
      </xdr:nvSpPr>
      <xdr:spPr bwMode="auto">
        <a:xfrm>
          <a:off x="2924175" y="8743950"/>
          <a:ext cx="0" cy="0"/>
        </a:xfrm>
        <a:prstGeom prst="line">
          <a:avLst/>
        </a:prstGeom>
        <a:noFill/>
        <a:ln w="9525">
          <a:solidFill>
            <a:srgbClr val="000000"/>
          </a:solidFill>
          <a:round/>
          <a:headEnd/>
          <a:tailEnd/>
        </a:ln>
      </xdr:spPr>
    </xdr:sp>
    <xdr:clientData/>
  </xdr:twoCellAnchor>
  <xdr:twoCellAnchor>
    <xdr:from>
      <xdr:col>4</xdr:col>
      <xdr:colOff>0</xdr:colOff>
      <xdr:row>46</xdr:row>
      <xdr:rowOff>0</xdr:rowOff>
    </xdr:from>
    <xdr:to>
      <xdr:col>4</xdr:col>
      <xdr:colOff>0</xdr:colOff>
      <xdr:row>46</xdr:row>
      <xdr:rowOff>0</xdr:rowOff>
    </xdr:to>
    <xdr:sp macro="" textlink="">
      <xdr:nvSpPr>
        <xdr:cNvPr id="188" name="Line 27">
          <a:extLst>
            <a:ext uri="{FF2B5EF4-FFF2-40B4-BE49-F238E27FC236}">
              <a16:creationId xmlns:a16="http://schemas.microsoft.com/office/drawing/2014/main" id="{00000000-0008-0000-1A00-0000BC000000}"/>
            </a:ext>
          </a:extLst>
        </xdr:cNvPr>
        <xdr:cNvSpPr>
          <a:spLocks noChangeShapeType="1"/>
        </xdr:cNvSpPr>
      </xdr:nvSpPr>
      <xdr:spPr bwMode="auto">
        <a:xfrm>
          <a:off x="2924175" y="8743950"/>
          <a:ext cx="0" cy="0"/>
        </a:xfrm>
        <a:prstGeom prst="line">
          <a:avLst/>
        </a:prstGeom>
        <a:noFill/>
        <a:ln w="9525">
          <a:solidFill>
            <a:srgbClr val="000000"/>
          </a:solidFill>
          <a:round/>
          <a:headEnd/>
          <a:tailEnd/>
        </a:ln>
      </xdr:spPr>
    </xdr:sp>
    <xdr:clientData/>
  </xdr:twoCellAnchor>
  <xdr:twoCellAnchor>
    <xdr:from>
      <xdr:col>4</xdr:col>
      <xdr:colOff>0</xdr:colOff>
      <xdr:row>46</xdr:row>
      <xdr:rowOff>0</xdr:rowOff>
    </xdr:from>
    <xdr:to>
      <xdr:col>4</xdr:col>
      <xdr:colOff>0</xdr:colOff>
      <xdr:row>46</xdr:row>
      <xdr:rowOff>0</xdr:rowOff>
    </xdr:to>
    <xdr:sp macro="" textlink="">
      <xdr:nvSpPr>
        <xdr:cNvPr id="189" name="Line 28">
          <a:extLst>
            <a:ext uri="{FF2B5EF4-FFF2-40B4-BE49-F238E27FC236}">
              <a16:creationId xmlns:a16="http://schemas.microsoft.com/office/drawing/2014/main" id="{00000000-0008-0000-1A00-0000BD000000}"/>
            </a:ext>
          </a:extLst>
        </xdr:cNvPr>
        <xdr:cNvSpPr>
          <a:spLocks noChangeShapeType="1"/>
        </xdr:cNvSpPr>
      </xdr:nvSpPr>
      <xdr:spPr bwMode="auto">
        <a:xfrm flipV="1">
          <a:off x="2924175" y="8743950"/>
          <a:ext cx="0" cy="0"/>
        </a:xfrm>
        <a:prstGeom prst="line">
          <a:avLst/>
        </a:prstGeom>
        <a:noFill/>
        <a:ln w="9525">
          <a:solidFill>
            <a:srgbClr val="000000"/>
          </a:solidFill>
          <a:round/>
          <a:headEnd/>
          <a:tailEnd/>
        </a:ln>
      </xdr:spPr>
    </xdr:sp>
    <xdr:clientData/>
  </xdr:twoCellAnchor>
  <xdr:twoCellAnchor>
    <xdr:from>
      <xdr:col>4</xdr:col>
      <xdr:colOff>0</xdr:colOff>
      <xdr:row>46</xdr:row>
      <xdr:rowOff>0</xdr:rowOff>
    </xdr:from>
    <xdr:to>
      <xdr:col>4</xdr:col>
      <xdr:colOff>0</xdr:colOff>
      <xdr:row>46</xdr:row>
      <xdr:rowOff>0</xdr:rowOff>
    </xdr:to>
    <xdr:sp macro="" textlink="">
      <xdr:nvSpPr>
        <xdr:cNvPr id="190" name="Line 29">
          <a:extLst>
            <a:ext uri="{FF2B5EF4-FFF2-40B4-BE49-F238E27FC236}">
              <a16:creationId xmlns:a16="http://schemas.microsoft.com/office/drawing/2014/main" id="{00000000-0008-0000-1A00-0000BE000000}"/>
            </a:ext>
          </a:extLst>
        </xdr:cNvPr>
        <xdr:cNvSpPr>
          <a:spLocks noChangeShapeType="1"/>
        </xdr:cNvSpPr>
      </xdr:nvSpPr>
      <xdr:spPr bwMode="auto">
        <a:xfrm>
          <a:off x="2924175" y="8743950"/>
          <a:ext cx="0" cy="0"/>
        </a:xfrm>
        <a:prstGeom prst="line">
          <a:avLst/>
        </a:prstGeom>
        <a:noFill/>
        <a:ln w="9525">
          <a:solidFill>
            <a:srgbClr val="000000"/>
          </a:solidFill>
          <a:round/>
          <a:headEnd/>
          <a:tailEnd/>
        </a:ln>
      </xdr:spPr>
    </xdr:sp>
    <xdr:clientData/>
  </xdr:twoCellAnchor>
  <xdr:twoCellAnchor>
    <xdr:from>
      <xdr:col>4</xdr:col>
      <xdr:colOff>0</xdr:colOff>
      <xdr:row>46</xdr:row>
      <xdr:rowOff>0</xdr:rowOff>
    </xdr:from>
    <xdr:to>
      <xdr:col>4</xdr:col>
      <xdr:colOff>0</xdr:colOff>
      <xdr:row>46</xdr:row>
      <xdr:rowOff>0</xdr:rowOff>
    </xdr:to>
    <xdr:sp macro="" textlink="">
      <xdr:nvSpPr>
        <xdr:cNvPr id="191" name="Line 30">
          <a:extLst>
            <a:ext uri="{FF2B5EF4-FFF2-40B4-BE49-F238E27FC236}">
              <a16:creationId xmlns:a16="http://schemas.microsoft.com/office/drawing/2014/main" id="{00000000-0008-0000-1A00-0000BF000000}"/>
            </a:ext>
          </a:extLst>
        </xdr:cNvPr>
        <xdr:cNvSpPr>
          <a:spLocks noChangeShapeType="1"/>
        </xdr:cNvSpPr>
      </xdr:nvSpPr>
      <xdr:spPr bwMode="auto">
        <a:xfrm flipV="1">
          <a:off x="2924175" y="8743950"/>
          <a:ext cx="0" cy="0"/>
        </a:xfrm>
        <a:prstGeom prst="line">
          <a:avLst/>
        </a:prstGeom>
        <a:noFill/>
        <a:ln w="9525">
          <a:solidFill>
            <a:srgbClr val="000000"/>
          </a:solidFill>
          <a:round/>
          <a:headEnd/>
          <a:tailEnd/>
        </a:ln>
      </xdr:spPr>
    </xdr:sp>
    <xdr:clientData/>
  </xdr:twoCellAnchor>
  <xdr:twoCellAnchor>
    <xdr:from>
      <xdr:col>5</xdr:col>
      <xdr:colOff>0</xdr:colOff>
      <xdr:row>46</xdr:row>
      <xdr:rowOff>0</xdr:rowOff>
    </xdr:from>
    <xdr:to>
      <xdr:col>5</xdr:col>
      <xdr:colOff>0</xdr:colOff>
      <xdr:row>46</xdr:row>
      <xdr:rowOff>0</xdr:rowOff>
    </xdr:to>
    <xdr:sp macro="" textlink="">
      <xdr:nvSpPr>
        <xdr:cNvPr id="192" name="Line 31">
          <a:extLst>
            <a:ext uri="{FF2B5EF4-FFF2-40B4-BE49-F238E27FC236}">
              <a16:creationId xmlns:a16="http://schemas.microsoft.com/office/drawing/2014/main" id="{00000000-0008-0000-1A00-0000C0000000}"/>
            </a:ext>
          </a:extLst>
        </xdr:cNvPr>
        <xdr:cNvSpPr>
          <a:spLocks noChangeShapeType="1"/>
        </xdr:cNvSpPr>
      </xdr:nvSpPr>
      <xdr:spPr bwMode="auto">
        <a:xfrm>
          <a:off x="3343275" y="8743950"/>
          <a:ext cx="0" cy="0"/>
        </a:xfrm>
        <a:prstGeom prst="line">
          <a:avLst/>
        </a:prstGeom>
        <a:noFill/>
        <a:ln w="9525">
          <a:solidFill>
            <a:srgbClr val="000000"/>
          </a:solidFill>
          <a:round/>
          <a:headEnd/>
          <a:tailEnd/>
        </a:ln>
      </xdr:spPr>
    </xdr:sp>
    <xdr:clientData/>
  </xdr:twoCellAnchor>
  <xdr:twoCellAnchor>
    <xdr:from>
      <xdr:col>5</xdr:col>
      <xdr:colOff>0</xdr:colOff>
      <xdr:row>46</xdr:row>
      <xdr:rowOff>0</xdr:rowOff>
    </xdr:from>
    <xdr:to>
      <xdr:col>5</xdr:col>
      <xdr:colOff>0</xdr:colOff>
      <xdr:row>46</xdr:row>
      <xdr:rowOff>0</xdr:rowOff>
    </xdr:to>
    <xdr:sp macro="" textlink="">
      <xdr:nvSpPr>
        <xdr:cNvPr id="193" name="Line 32">
          <a:extLst>
            <a:ext uri="{FF2B5EF4-FFF2-40B4-BE49-F238E27FC236}">
              <a16:creationId xmlns:a16="http://schemas.microsoft.com/office/drawing/2014/main" id="{00000000-0008-0000-1A00-0000C1000000}"/>
            </a:ext>
          </a:extLst>
        </xdr:cNvPr>
        <xdr:cNvSpPr>
          <a:spLocks noChangeShapeType="1"/>
        </xdr:cNvSpPr>
      </xdr:nvSpPr>
      <xdr:spPr bwMode="auto">
        <a:xfrm>
          <a:off x="3343275" y="8743950"/>
          <a:ext cx="0" cy="0"/>
        </a:xfrm>
        <a:prstGeom prst="line">
          <a:avLst/>
        </a:prstGeom>
        <a:noFill/>
        <a:ln w="9525">
          <a:solidFill>
            <a:srgbClr val="000000"/>
          </a:solidFill>
          <a:round/>
          <a:headEnd/>
          <a:tailEnd/>
        </a:ln>
      </xdr:spPr>
    </xdr:sp>
    <xdr:clientData/>
  </xdr:twoCellAnchor>
  <xdr:twoCellAnchor>
    <xdr:from>
      <xdr:col>5</xdr:col>
      <xdr:colOff>0</xdr:colOff>
      <xdr:row>46</xdr:row>
      <xdr:rowOff>0</xdr:rowOff>
    </xdr:from>
    <xdr:to>
      <xdr:col>5</xdr:col>
      <xdr:colOff>0</xdr:colOff>
      <xdr:row>46</xdr:row>
      <xdr:rowOff>0</xdr:rowOff>
    </xdr:to>
    <xdr:sp macro="" textlink="">
      <xdr:nvSpPr>
        <xdr:cNvPr id="194" name="Line 33">
          <a:extLst>
            <a:ext uri="{FF2B5EF4-FFF2-40B4-BE49-F238E27FC236}">
              <a16:creationId xmlns:a16="http://schemas.microsoft.com/office/drawing/2014/main" id="{00000000-0008-0000-1A00-0000C2000000}"/>
            </a:ext>
          </a:extLst>
        </xdr:cNvPr>
        <xdr:cNvSpPr>
          <a:spLocks noChangeShapeType="1"/>
        </xdr:cNvSpPr>
      </xdr:nvSpPr>
      <xdr:spPr bwMode="auto">
        <a:xfrm flipV="1">
          <a:off x="3343275" y="8743950"/>
          <a:ext cx="0" cy="0"/>
        </a:xfrm>
        <a:prstGeom prst="line">
          <a:avLst/>
        </a:prstGeom>
        <a:noFill/>
        <a:ln w="9525">
          <a:solidFill>
            <a:srgbClr val="000000"/>
          </a:solidFill>
          <a:round/>
          <a:headEnd/>
          <a:tailEnd/>
        </a:ln>
      </xdr:spPr>
    </xdr:sp>
    <xdr:clientData/>
  </xdr:twoCellAnchor>
  <xdr:twoCellAnchor>
    <xdr:from>
      <xdr:col>5</xdr:col>
      <xdr:colOff>0</xdr:colOff>
      <xdr:row>46</xdr:row>
      <xdr:rowOff>0</xdr:rowOff>
    </xdr:from>
    <xdr:to>
      <xdr:col>5</xdr:col>
      <xdr:colOff>0</xdr:colOff>
      <xdr:row>46</xdr:row>
      <xdr:rowOff>0</xdr:rowOff>
    </xdr:to>
    <xdr:sp macro="" textlink="">
      <xdr:nvSpPr>
        <xdr:cNvPr id="195" name="Line 34">
          <a:extLst>
            <a:ext uri="{FF2B5EF4-FFF2-40B4-BE49-F238E27FC236}">
              <a16:creationId xmlns:a16="http://schemas.microsoft.com/office/drawing/2014/main" id="{00000000-0008-0000-1A00-0000C3000000}"/>
            </a:ext>
          </a:extLst>
        </xdr:cNvPr>
        <xdr:cNvSpPr>
          <a:spLocks noChangeShapeType="1"/>
        </xdr:cNvSpPr>
      </xdr:nvSpPr>
      <xdr:spPr bwMode="auto">
        <a:xfrm>
          <a:off x="3343275" y="8743950"/>
          <a:ext cx="0" cy="0"/>
        </a:xfrm>
        <a:prstGeom prst="line">
          <a:avLst/>
        </a:prstGeom>
        <a:noFill/>
        <a:ln w="9525">
          <a:solidFill>
            <a:srgbClr val="000000"/>
          </a:solidFill>
          <a:round/>
          <a:headEnd/>
          <a:tailEnd/>
        </a:ln>
      </xdr:spPr>
    </xdr:sp>
    <xdr:clientData/>
  </xdr:twoCellAnchor>
  <xdr:twoCellAnchor>
    <xdr:from>
      <xdr:col>5</xdr:col>
      <xdr:colOff>0</xdr:colOff>
      <xdr:row>46</xdr:row>
      <xdr:rowOff>0</xdr:rowOff>
    </xdr:from>
    <xdr:to>
      <xdr:col>5</xdr:col>
      <xdr:colOff>0</xdr:colOff>
      <xdr:row>46</xdr:row>
      <xdr:rowOff>0</xdr:rowOff>
    </xdr:to>
    <xdr:sp macro="" textlink="">
      <xdr:nvSpPr>
        <xdr:cNvPr id="196" name="Line 35">
          <a:extLst>
            <a:ext uri="{FF2B5EF4-FFF2-40B4-BE49-F238E27FC236}">
              <a16:creationId xmlns:a16="http://schemas.microsoft.com/office/drawing/2014/main" id="{00000000-0008-0000-1A00-0000C4000000}"/>
            </a:ext>
          </a:extLst>
        </xdr:cNvPr>
        <xdr:cNvSpPr>
          <a:spLocks noChangeShapeType="1"/>
        </xdr:cNvSpPr>
      </xdr:nvSpPr>
      <xdr:spPr bwMode="auto">
        <a:xfrm flipV="1">
          <a:off x="3343275" y="8743950"/>
          <a:ext cx="0" cy="0"/>
        </a:xfrm>
        <a:prstGeom prst="line">
          <a:avLst/>
        </a:prstGeom>
        <a:noFill/>
        <a:ln w="9525">
          <a:solidFill>
            <a:srgbClr val="000000"/>
          </a:solidFill>
          <a:round/>
          <a:headEnd/>
          <a:tailEnd/>
        </a:ln>
      </xdr:spPr>
    </xdr:sp>
    <xdr:clientData/>
  </xdr:twoCellAnchor>
  <xdr:twoCellAnchor>
    <xdr:from>
      <xdr:col>5</xdr:col>
      <xdr:colOff>0</xdr:colOff>
      <xdr:row>46</xdr:row>
      <xdr:rowOff>0</xdr:rowOff>
    </xdr:from>
    <xdr:to>
      <xdr:col>5</xdr:col>
      <xdr:colOff>0</xdr:colOff>
      <xdr:row>46</xdr:row>
      <xdr:rowOff>0</xdr:rowOff>
    </xdr:to>
    <xdr:sp macro="" textlink="">
      <xdr:nvSpPr>
        <xdr:cNvPr id="197" name="Line 36">
          <a:extLst>
            <a:ext uri="{FF2B5EF4-FFF2-40B4-BE49-F238E27FC236}">
              <a16:creationId xmlns:a16="http://schemas.microsoft.com/office/drawing/2014/main" id="{00000000-0008-0000-1A00-0000C5000000}"/>
            </a:ext>
          </a:extLst>
        </xdr:cNvPr>
        <xdr:cNvSpPr>
          <a:spLocks noChangeShapeType="1"/>
        </xdr:cNvSpPr>
      </xdr:nvSpPr>
      <xdr:spPr bwMode="auto">
        <a:xfrm>
          <a:off x="3343275" y="8743950"/>
          <a:ext cx="0" cy="0"/>
        </a:xfrm>
        <a:prstGeom prst="line">
          <a:avLst/>
        </a:prstGeom>
        <a:noFill/>
        <a:ln w="9525">
          <a:solidFill>
            <a:srgbClr val="000000"/>
          </a:solidFill>
          <a:round/>
          <a:headEnd/>
          <a:tailEnd/>
        </a:ln>
      </xdr:spPr>
    </xdr:sp>
    <xdr:clientData/>
  </xdr:twoCellAnchor>
  <xdr:twoCellAnchor>
    <xdr:from>
      <xdr:col>5</xdr:col>
      <xdr:colOff>0</xdr:colOff>
      <xdr:row>46</xdr:row>
      <xdr:rowOff>0</xdr:rowOff>
    </xdr:from>
    <xdr:to>
      <xdr:col>5</xdr:col>
      <xdr:colOff>0</xdr:colOff>
      <xdr:row>46</xdr:row>
      <xdr:rowOff>0</xdr:rowOff>
    </xdr:to>
    <xdr:sp macro="" textlink="">
      <xdr:nvSpPr>
        <xdr:cNvPr id="198" name="Line 37">
          <a:extLst>
            <a:ext uri="{FF2B5EF4-FFF2-40B4-BE49-F238E27FC236}">
              <a16:creationId xmlns:a16="http://schemas.microsoft.com/office/drawing/2014/main" id="{00000000-0008-0000-1A00-0000C6000000}"/>
            </a:ext>
          </a:extLst>
        </xdr:cNvPr>
        <xdr:cNvSpPr>
          <a:spLocks noChangeShapeType="1"/>
        </xdr:cNvSpPr>
      </xdr:nvSpPr>
      <xdr:spPr bwMode="auto">
        <a:xfrm>
          <a:off x="3343275" y="8743950"/>
          <a:ext cx="0" cy="0"/>
        </a:xfrm>
        <a:prstGeom prst="line">
          <a:avLst/>
        </a:prstGeom>
        <a:noFill/>
        <a:ln w="9525">
          <a:solidFill>
            <a:srgbClr val="000000"/>
          </a:solidFill>
          <a:round/>
          <a:headEnd/>
          <a:tailEnd/>
        </a:ln>
      </xdr:spPr>
    </xdr:sp>
    <xdr:clientData/>
  </xdr:twoCellAnchor>
  <xdr:twoCellAnchor>
    <xdr:from>
      <xdr:col>5</xdr:col>
      <xdr:colOff>0</xdr:colOff>
      <xdr:row>46</xdr:row>
      <xdr:rowOff>0</xdr:rowOff>
    </xdr:from>
    <xdr:to>
      <xdr:col>5</xdr:col>
      <xdr:colOff>0</xdr:colOff>
      <xdr:row>46</xdr:row>
      <xdr:rowOff>0</xdr:rowOff>
    </xdr:to>
    <xdr:sp macro="" textlink="">
      <xdr:nvSpPr>
        <xdr:cNvPr id="199" name="Line 38">
          <a:extLst>
            <a:ext uri="{FF2B5EF4-FFF2-40B4-BE49-F238E27FC236}">
              <a16:creationId xmlns:a16="http://schemas.microsoft.com/office/drawing/2014/main" id="{00000000-0008-0000-1A00-0000C7000000}"/>
            </a:ext>
          </a:extLst>
        </xdr:cNvPr>
        <xdr:cNvSpPr>
          <a:spLocks noChangeShapeType="1"/>
        </xdr:cNvSpPr>
      </xdr:nvSpPr>
      <xdr:spPr bwMode="auto">
        <a:xfrm flipV="1">
          <a:off x="3343275" y="8743950"/>
          <a:ext cx="0" cy="0"/>
        </a:xfrm>
        <a:prstGeom prst="line">
          <a:avLst/>
        </a:prstGeom>
        <a:noFill/>
        <a:ln w="9525">
          <a:solidFill>
            <a:srgbClr val="000000"/>
          </a:solidFill>
          <a:round/>
          <a:headEnd/>
          <a:tailEnd/>
        </a:ln>
      </xdr:spPr>
    </xdr:sp>
    <xdr:clientData/>
  </xdr:twoCellAnchor>
  <xdr:twoCellAnchor>
    <xdr:from>
      <xdr:col>5</xdr:col>
      <xdr:colOff>0</xdr:colOff>
      <xdr:row>46</xdr:row>
      <xdr:rowOff>0</xdr:rowOff>
    </xdr:from>
    <xdr:to>
      <xdr:col>5</xdr:col>
      <xdr:colOff>0</xdr:colOff>
      <xdr:row>46</xdr:row>
      <xdr:rowOff>0</xdr:rowOff>
    </xdr:to>
    <xdr:sp macro="" textlink="">
      <xdr:nvSpPr>
        <xdr:cNvPr id="200" name="Line 39">
          <a:extLst>
            <a:ext uri="{FF2B5EF4-FFF2-40B4-BE49-F238E27FC236}">
              <a16:creationId xmlns:a16="http://schemas.microsoft.com/office/drawing/2014/main" id="{00000000-0008-0000-1A00-0000C8000000}"/>
            </a:ext>
          </a:extLst>
        </xdr:cNvPr>
        <xdr:cNvSpPr>
          <a:spLocks noChangeShapeType="1"/>
        </xdr:cNvSpPr>
      </xdr:nvSpPr>
      <xdr:spPr bwMode="auto">
        <a:xfrm>
          <a:off x="3343275" y="8743950"/>
          <a:ext cx="0" cy="0"/>
        </a:xfrm>
        <a:prstGeom prst="line">
          <a:avLst/>
        </a:prstGeom>
        <a:noFill/>
        <a:ln w="9525">
          <a:solidFill>
            <a:srgbClr val="000000"/>
          </a:solidFill>
          <a:round/>
          <a:headEnd/>
          <a:tailEnd/>
        </a:ln>
      </xdr:spPr>
    </xdr:sp>
    <xdr:clientData/>
  </xdr:twoCellAnchor>
  <xdr:twoCellAnchor>
    <xdr:from>
      <xdr:col>5</xdr:col>
      <xdr:colOff>0</xdr:colOff>
      <xdr:row>46</xdr:row>
      <xdr:rowOff>0</xdr:rowOff>
    </xdr:from>
    <xdr:to>
      <xdr:col>5</xdr:col>
      <xdr:colOff>0</xdr:colOff>
      <xdr:row>46</xdr:row>
      <xdr:rowOff>0</xdr:rowOff>
    </xdr:to>
    <xdr:sp macro="" textlink="">
      <xdr:nvSpPr>
        <xdr:cNvPr id="201" name="Line 40">
          <a:extLst>
            <a:ext uri="{FF2B5EF4-FFF2-40B4-BE49-F238E27FC236}">
              <a16:creationId xmlns:a16="http://schemas.microsoft.com/office/drawing/2014/main" id="{00000000-0008-0000-1A00-0000C9000000}"/>
            </a:ext>
          </a:extLst>
        </xdr:cNvPr>
        <xdr:cNvSpPr>
          <a:spLocks noChangeShapeType="1"/>
        </xdr:cNvSpPr>
      </xdr:nvSpPr>
      <xdr:spPr bwMode="auto">
        <a:xfrm flipV="1">
          <a:off x="3343275" y="8743950"/>
          <a:ext cx="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160020</xdr:colOff>
      <xdr:row>0</xdr:row>
      <xdr:rowOff>0</xdr:rowOff>
    </xdr:from>
    <xdr:to>
      <xdr:col>7</xdr:col>
      <xdr:colOff>746760</xdr:colOff>
      <xdr:row>39</xdr:row>
      <xdr:rowOff>116206</xdr:rowOff>
    </xdr:to>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160020" y="0"/>
          <a:ext cx="7307580" cy="724852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endParaRPr lang="fr-FR" sz="1200" b="1">
            <a:solidFill>
              <a:sysClr val="windowText" lastClr="000000"/>
            </a:solidFill>
            <a:latin typeface="Book Antiqua" pitchFamily="18" charset="0"/>
            <a:ea typeface="+mn-ea"/>
            <a:cs typeface="+mn-cs"/>
          </a:endParaRPr>
        </a:p>
        <a:p>
          <a:pPr algn="ctr"/>
          <a:endParaRPr lang="fr-FR" sz="1200" b="1">
            <a:solidFill>
              <a:sysClr val="windowText" lastClr="000000"/>
            </a:solidFill>
            <a:latin typeface="Book Antiqua" pitchFamily="18" charset="0"/>
            <a:ea typeface="+mn-ea"/>
            <a:cs typeface="+mn-cs"/>
          </a:endParaRPr>
        </a:p>
        <a:p>
          <a:pPr algn="ctr"/>
          <a:endParaRPr lang="fr-FR" sz="1200" b="1">
            <a:solidFill>
              <a:sysClr val="windowText" lastClr="000000"/>
            </a:solidFill>
            <a:latin typeface="Book Antiqua" pitchFamily="18" charset="0"/>
            <a:ea typeface="+mn-ea"/>
            <a:cs typeface="+mn-cs"/>
          </a:endParaRPr>
        </a:p>
        <a:p>
          <a:pPr algn="ctr"/>
          <a:r>
            <a:rPr lang="fr-FR" sz="1100" b="1">
              <a:solidFill>
                <a:sysClr val="windowText" lastClr="000000"/>
              </a:solidFill>
              <a:latin typeface="Arial" pitchFamily="34" charset="0"/>
              <a:ea typeface="+mn-ea"/>
              <a:cs typeface="Arial" pitchFamily="34" charset="0"/>
            </a:rPr>
            <a:t>AVANT-PROPOS</a:t>
          </a:r>
          <a:endParaRPr lang="fr-FR" sz="1100">
            <a:solidFill>
              <a:sysClr val="windowText" lastClr="000000"/>
            </a:solidFill>
            <a:latin typeface="Arial" pitchFamily="34" charset="0"/>
            <a:ea typeface="+mn-ea"/>
            <a:cs typeface="Arial" pitchFamily="34" charset="0"/>
          </a:endParaRPr>
        </a:p>
        <a:p>
          <a:r>
            <a:rPr lang="fr-FR" sz="1100" b="1">
              <a:solidFill>
                <a:sysClr val="windowText" lastClr="000000"/>
              </a:solidFill>
              <a:latin typeface="Arial" pitchFamily="34" charset="0"/>
              <a:ea typeface="+mn-ea"/>
              <a:cs typeface="Arial" pitchFamily="34" charset="0"/>
            </a:rPr>
            <a:t> </a:t>
          </a:r>
          <a:endParaRPr lang="fr-FR" sz="1100">
            <a:solidFill>
              <a:sysClr val="windowText" lastClr="000000"/>
            </a:solidFill>
            <a:latin typeface="Arial" pitchFamily="34" charset="0"/>
            <a:ea typeface="+mn-ea"/>
            <a:cs typeface="Arial" pitchFamily="34" charset="0"/>
          </a:endParaRPr>
        </a:p>
        <a:p>
          <a:r>
            <a:rPr lang="fr-FR" sz="1100">
              <a:solidFill>
                <a:sysClr val="windowText" lastClr="000000"/>
              </a:solidFill>
              <a:latin typeface="Arial" pitchFamily="34" charset="0"/>
              <a:ea typeface="+mn-ea"/>
              <a:cs typeface="Arial" pitchFamily="34" charset="0"/>
            </a:rPr>
            <a:t>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L’Institut national de la statistique et de la démographie (INSD) a le plaisir de mettre à la disposition des utilisateurs de données le bulletin trimestriel de conjoncture du quatrième trimestre de l’année 2023. </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Le bulletin trimestriel de conjoncture se veut un recueil de données statistiques sur les différents domaines de la vie économique, mais de périodicité infra annuelle (mensuelle ou trimestrielle). Sa valeur ajoutée est donc de fournir des données actuelles à même d’alimenter l’analyse conjoncturelle de l’activité économique du pays.</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Les données contenues dans ce bulletin trimestriel sont issues de l’INSD, des autres administrations publiques et parapubliques, et du secteur privé. Le champ couvert par le document ainsi que le choix des indicateurs pris en compte ont été fortement contraints par la disponibilité des informations infra annuelles.  </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L’Institut remercie tous les fournisseurs de données et les partenaires qui ont contribué à l’élaboration du présent document, notamment les administrations publiquest et parapubliques qui ont bien voulu répondre favorable à nos requête de données.</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L’Institut poursuivra ses efforts pour améliorer le contenu du document avec le concours des différentes structures productrices des données en prenant en compte notamment les critiques des utilisateurs. </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fr-FR" sz="1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Le Directeur Général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fr-FR" sz="1200" b="1" i="0" u="none" strike="noStrike" kern="0" cap="none" spc="0" normalizeH="0" baseline="0" noProof="0">
              <a:ln>
                <a:noFill/>
              </a:ln>
              <a:solidFill>
                <a:srgbClr val="FF0000"/>
              </a:solidFill>
              <a:effectLst/>
              <a:uLnTx/>
              <a:uFillTx/>
              <a:latin typeface="Arial" pitchFamily="34" charset="0"/>
              <a:ea typeface="+mn-ea"/>
              <a:cs typeface="Arial" pitchFamily="34" charset="0"/>
            </a:rPr>
            <a:t>  </a:t>
          </a:r>
          <a:r>
            <a:rPr kumimoji="0" lang="fr-FR" sz="1200" b="1" i="0" u="sng" strike="noStrike" kern="0" cap="none" spc="0" normalizeH="0" baseline="0" noProof="0">
              <a:ln>
                <a:noFill/>
              </a:ln>
              <a:solidFill>
                <a:prstClr val="black"/>
              </a:solidFill>
              <a:effectLst/>
              <a:uLnTx/>
              <a:uFillTx/>
              <a:latin typeface="Arial" pitchFamily="34" charset="0"/>
              <a:ea typeface="+mn-ea"/>
              <a:cs typeface="Arial" pitchFamily="34" charset="0"/>
            </a:rPr>
            <a:t>Boureima OUEDRAOGO</a:t>
          </a:r>
          <a:endParaRPr kumimoji="0" lang="fr-FR" sz="12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1" u="none" strike="noStrike" kern="0" cap="none" spc="0" normalizeH="0" baseline="0" noProof="0">
              <a:ln>
                <a:noFill/>
              </a:ln>
              <a:solidFill>
                <a:prstClr val="black"/>
              </a:solidFill>
              <a:effectLst/>
              <a:uLnTx/>
              <a:uFillTx/>
              <a:latin typeface="Arial" pitchFamily="34" charset="0"/>
              <a:ea typeface="+mn-ea"/>
              <a:cs typeface="Arial" pitchFamily="34" charset="0"/>
            </a:rPr>
            <a:t>                                        	          </a:t>
          </a:r>
          <a:r>
            <a:rPr kumimoji="0" lang="fr-FR" sz="900" b="0" i="1" u="none" strike="noStrike" kern="0" cap="none" spc="0" normalizeH="0" baseline="0" noProof="0">
              <a:ln>
                <a:noFill/>
              </a:ln>
              <a:solidFill>
                <a:prstClr val="black"/>
              </a:solidFill>
              <a:effectLst/>
              <a:uLnTx/>
              <a:uFillTx/>
              <a:latin typeface="+mn-lt"/>
              <a:ea typeface="+mn-ea"/>
              <a:cs typeface="+mn-cs"/>
            </a:rPr>
            <a:t>Chevalier de l’Ordre du Mérite de l’Economie et des Finances</a:t>
          </a:r>
          <a:endParaRPr kumimoji="0" lang="fr-FR" sz="900" b="0" i="1" u="none" strike="noStrike" kern="0" cap="none" spc="0" normalizeH="0" baseline="0" noProof="0">
            <a:ln>
              <a:noFill/>
            </a:ln>
            <a:solidFill>
              <a:prstClr val="black"/>
            </a:solidFill>
            <a:effectLst/>
            <a:uLnTx/>
            <a:uFillTx/>
            <a:latin typeface="Arial" pitchFamily="34" charset="0"/>
            <a:ea typeface="+mn-ea"/>
            <a:cs typeface="Arial" pitchFamily="34" charset="0"/>
          </a:endParaRPr>
        </a:p>
        <a:p>
          <a:endParaRPr lang="fr-FR" sz="1100">
            <a:solidFill>
              <a:schemeClr val="dk1"/>
            </a:solidFill>
            <a:latin typeface="Arial" pitchFamily="34" charset="0"/>
            <a:ea typeface="+mn-ea"/>
            <a:cs typeface="Arial" pitchFamily="34" charset="0"/>
          </a:endParaRPr>
        </a:p>
        <a:p>
          <a:r>
            <a:rPr lang="fr-FR" sz="1100" i="1">
              <a:solidFill>
                <a:schemeClr val="dk1"/>
              </a:solidFill>
              <a:latin typeface="Arial" pitchFamily="34" charset="0"/>
              <a:ea typeface="+mn-ea"/>
              <a:cs typeface="Arial" pitchFamily="34" charset="0"/>
            </a:rPr>
            <a:t>                                        </a:t>
          </a:r>
          <a:endParaRPr lang="fr-FR" sz="1100">
            <a:solidFill>
              <a:schemeClr val="dk1"/>
            </a:solidFill>
            <a:latin typeface="Arial" pitchFamily="34" charset="0"/>
            <a:ea typeface="+mn-ea"/>
            <a:cs typeface="Arial" pitchFamily="34" charset="0"/>
          </a:endParaRPr>
        </a:p>
        <a:p>
          <a:pPr algn="l"/>
          <a:endParaRPr lang="fr-FR" sz="1100">
            <a:solidFill>
              <a:sysClr val="windowText" lastClr="000000"/>
            </a:solidFill>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28574</xdr:colOff>
      <xdr:row>15</xdr:row>
      <xdr:rowOff>47625</xdr:rowOff>
    </xdr:from>
    <xdr:to>
      <xdr:col>7</xdr:col>
      <xdr:colOff>723899</xdr:colOff>
      <xdr:row>25</xdr:row>
      <xdr:rowOff>47625</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27</xdr:row>
      <xdr:rowOff>15874</xdr:rowOff>
    </xdr:from>
    <xdr:to>
      <xdr:col>7</xdr:col>
      <xdr:colOff>721179</xdr:colOff>
      <xdr:row>38</xdr:row>
      <xdr:rowOff>146049</xdr:rowOff>
    </xdr:to>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40</xdr:row>
      <xdr:rowOff>47624</xdr:rowOff>
    </xdr:from>
    <xdr:to>
      <xdr:col>7</xdr:col>
      <xdr:colOff>695325</xdr:colOff>
      <xdr:row>50</xdr:row>
      <xdr:rowOff>111125</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31750</xdr:colOff>
      <xdr:row>52</xdr:row>
      <xdr:rowOff>79374</xdr:rowOff>
    </xdr:from>
    <xdr:to>
      <xdr:col>7</xdr:col>
      <xdr:colOff>727075</xdr:colOff>
      <xdr:row>63</xdr:row>
      <xdr:rowOff>31749</xdr:rowOff>
    </xdr:to>
    <xdr:graphicFrame macro="">
      <xdr:nvGraphicFramePr>
        <xdr:cNvPr id="5" name="Graphique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163510</xdr:colOff>
      <xdr:row>0</xdr:row>
      <xdr:rowOff>0</xdr:rowOff>
    </xdr:from>
    <xdr:to>
      <xdr:col>18</xdr:col>
      <xdr:colOff>292098</xdr:colOff>
      <xdr:row>15</xdr:row>
      <xdr:rowOff>152399</xdr:rowOff>
    </xdr:to>
    <xdr:graphicFrame macro="">
      <xdr:nvGraphicFramePr>
        <xdr:cNvPr id="2" name="Graphique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92075</xdr:colOff>
      <xdr:row>21</xdr:row>
      <xdr:rowOff>48683</xdr:rowOff>
    </xdr:from>
    <xdr:to>
      <xdr:col>18</xdr:col>
      <xdr:colOff>234950</xdr:colOff>
      <xdr:row>37</xdr:row>
      <xdr:rowOff>112182</xdr:rowOff>
    </xdr:to>
    <xdr:graphicFrame macro="">
      <xdr:nvGraphicFramePr>
        <xdr:cNvPr id="3" name="Graphique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72</xdr:row>
      <xdr:rowOff>15477</xdr:rowOff>
    </xdr:from>
    <xdr:to>
      <xdr:col>7</xdr:col>
      <xdr:colOff>541734</xdr:colOff>
      <xdr:row>86</xdr:row>
      <xdr:rowOff>29765</xdr:rowOff>
    </xdr:to>
    <xdr:graphicFrame macro="">
      <xdr:nvGraphicFramePr>
        <xdr:cNvPr id="2" name="Graphique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87</xdr:row>
      <xdr:rowOff>11905</xdr:rowOff>
    </xdr:from>
    <xdr:to>
      <xdr:col>7</xdr:col>
      <xdr:colOff>541734</xdr:colOff>
      <xdr:row>97</xdr:row>
      <xdr:rowOff>142874</xdr:rowOff>
    </xdr:to>
    <xdr:graphicFrame macro="">
      <xdr:nvGraphicFramePr>
        <xdr:cNvPr id="3" name="Graphique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19051</xdr:colOff>
      <xdr:row>99</xdr:row>
      <xdr:rowOff>8335</xdr:rowOff>
    </xdr:from>
    <xdr:to>
      <xdr:col>7</xdr:col>
      <xdr:colOff>523875</xdr:colOff>
      <xdr:row>110</xdr:row>
      <xdr:rowOff>9525</xdr:rowOff>
    </xdr:to>
    <xdr:graphicFrame macro="">
      <xdr:nvGraphicFramePr>
        <xdr:cNvPr id="4" name="Graphique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111</xdr:row>
      <xdr:rowOff>9525</xdr:rowOff>
    </xdr:from>
    <xdr:to>
      <xdr:col>7</xdr:col>
      <xdr:colOff>541734</xdr:colOff>
      <xdr:row>122</xdr:row>
      <xdr:rowOff>130969</xdr:rowOff>
    </xdr:to>
    <xdr:graphicFrame macro="">
      <xdr:nvGraphicFramePr>
        <xdr:cNvPr id="5" name="Graphique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140</xdr:row>
      <xdr:rowOff>0</xdr:rowOff>
    </xdr:from>
    <xdr:to>
      <xdr:col>7</xdr:col>
      <xdr:colOff>541734</xdr:colOff>
      <xdr:row>150</xdr:row>
      <xdr:rowOff>130969</xdr:rowOff>
    </xdr:to>
    <xdr:graphicFrame macro="">
      <xdr:nvGraphicFramePr>
        <xdr:cNvPr id="6" name="Graphique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68036</xdr:colOff>
      <xdr:row>90</xdr:row>
      <xdr:rowOff>29158</xdr:rowOff>
    </xdr:from>
    <xdr:to>
      <xdr:col>7</xdr:col>
      <xdr:colOff>699796</xdr:colOff>
      <xdr:row>109</xdr:row>
      <xdr:rowOff>131884</xdr:rowOff>
    </xdr:to>
    <xdr:graphicFrame macro="">
      <xdr:nvGraphicFramePr>
        <xdr:cNvPr id="2" name="Graphique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38101</xdr:colOff>
      <xdr:row>34</xdr:row>
      <xdr:rowOff>30480</xdr:rowOff>
    </xdr:from>
    <xdr:to>
      <xdr:col>8</xdr:col>
      <xdr:colOff>723901</xdr:colOff>
      <xdr:row>53</xdr:row>
      <xdr:rowOff>142875</xdr:rowOff>
    </xdr:to>
    <xdr:graphicFrame macro="">
      <xdr:nvGraphicFramePr>
        <xdr:cNvPr id="2" name="Graphique 2">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16509</xdr:rowOff>
    </xdr:from>
    <xdr:to>
      <xdr:col>8</xdr:col>
      <xdr:colOff>708660</xdr:colOff>
      <xdr:row>74</xdr:row>
      <xdr:rowOff>129540</xdr:rowOff>
    </xdr:to>
    <xdr:graphicFrame macro="">
      <xdr:nvGraphicFramePr>
        <xdr:cNvPr id="3" name="Graphique 3">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57150</xdr:colOff>
      <xdr:row>2</xdr:row>
      <xdr:rowOff>114300</xdr:rowOff>
    </xdr:from>
    <xdr:to>
      <xdr:col>16</xdr:col>
      <xdr:colOff>685801</xdr:colOff>
      <xdr:row>13</xdr:row>
      <xdr:rowOff>133350</xdr:rowOff>
    </xdr:to>
    <xdr:graphicFrame macro="">
      <xdr:nvGraphicFramePr>
        <xdr:cNvPr id="2" name="Graphique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21980</xdr:colOff>
      <xdr:row>43</xdr:row>
      <xdr:rowOff>0</xdr:rowOff>
    </xdr:from>
    <xdr:to>
      <xdr:col>16</xdr:col>
      <xdr:colOff>704850</xdr:colOff>
      <xdr:row>57</xdr:row>
      <xdr:rowOff>102577</xdr:rowOff>
    </xdr:to>
    <xdr:graphicFrame macro="">
      <xdr:nvGraphicFramePr>
        <xdr:cNvPr id="3" name="Graphique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57150</xdr:colOff>
      <xdr:row>15</xdr:row>
      <xdr:rowOff>7326</xdr:rowOff>
    </xdr:from>
    <xdr:to>
      <xdr:col>16</xdr:col>
      <xdr:colOff>685800</xdr:colOff>
      <xdr:row>27</xdr:row>
      <xdr:rowOff>0</xdr:rowOff>
    </xdr:to>
    <xdr:graphicFrame macro="">
      <xdr:nvGraphicFramePr>
        <xdr:cNvPr id="4" name="Graphique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21980</xdr:colOff>
      <xdr:row>28</xdr:row>
      <xdr:rowOff>21981</xdr:rowOff>
    </xdr:from>
    <xdr:to>
      <xdr:col>16</xdr:col>
      <xdr:colOff>704849</xdr:colOff>
      <xdr:row>41</xdr:row>
      <xdr:rowOff>131885</xdr:rowOff>
    </xdr:to>
    <xdr:graphicFrame macro="">
      <xdr:nvGraphicFramePr>
        <xdr:cNvPr id="5" name="Graphique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44449</xdr:colOff>
      <xdr:row>50</xdr:row>
      <xdr:rowOff>6350</xdr:rowOff>
    </xdr:from>
    <xdr:to>
      <xdr:col>7</xdr:col>
      <xdr:colOff>746125</xdr:colOff>
      <xdr:row>68</xdr:row>
      <xdr:rowOff>107950</xdr:rowOff>
    </xdr:to>
    <xdr:graphicFrame macro="">
      <xdr:nvGraphicFramePr>
        <xdr:cNvPr id="2" name="Graphique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PAC/BTC/New_BTC/T1_2019/Reprise/PRO/TBE/Tableau%20de%20Bord%202005/Tbord/Versions%20achev&#233;es/Indicateurs,%20nouvelle%20version%20(Sanou)/Enquet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ocuments%20and%20Settings\edith.kabore\Local%20Settings\Temporary%20Internet%20Files\Content.Outlook\WMIE5OXJ\SPAC\Notes%20de%20conjocture\TBE%20BF%202010%20Trimestre%202%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PAC/BTC/New_BTC/T1_2019/Reprise/PRO/TBE/Tableau%20de%20Bord%202005/Tbord/Versions%20achev&#233;es/Indicateurs,%20BDSE/BDSE%202005%2011J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PRO\TBE\Tableau%20de%20Bord%202005\Tbord\Versions%20achev&#233;es\Indicateurs,%20BDSE\BDSE%202005%2011JZ.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PRO\TBE\Tableau%20de%20Bord%202005\Tbord\Versions%20achev&#233;es\Indicateurs,%20nouvelle%20version%20(Sanou)\Enque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PAC/BTC/New_BTC/T1_2019/Reprise/PRO/TBE/Tableau%20de%20Bord%202005/Tbord/Versions%20achev&#233;es/Tableau%20de%20Bord%201999/TBE_1T01_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PRO\TBE\Tableau%20de%20Bord%202005\Tbord\Versions%20achev&#233;es\Tableau%20de%20Bord%201999\TBE_1T0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PAC/BTC/New_BTC/T1_2019/Reprise/PRO/TBE/Tableau%20de%20Bord%202005/Tbord/Versions%20achev&#233;es/Tableau%20de%20Bord%201999/Tbord/Tbord/Tbord/Tbord/Tbord/TOF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PRO\TBE\Tableau%20de%20Bord%202005\Tbord\Versions%20achev&#233;es\Tableau%20de%20Bord%201999\Tbord\Tbord\Tbord\Tbord\Tbord\TOF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PAC/BTC/New_BTC/T1_2019/Reprise/PRO/TBE/Tableau%20de%20Bord%202005/Tbord/Versions%20achev&#233;es/Indicateurs,%20nouvelle%20version%20(Sanou)/COURMA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PRO\TBE\Tableau%20de%20Bord%202005\Tbord\Versions%20achev&#233;es\Indicateurs,%20nouvelle%20version%20(Sanou)\COURMA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PAC/BTC/New_BTC/T1_2019/Reprise/Documents%20and%20Settings/edith.kabore/Local%20Settings/Temporary%20Internet%20Files/Content.Outlook/WMIE5OXJ/SPAC/Notes%20de%20conjocture/TBE%20BF%202010%20Trimestre%202%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entation"/>
      <sheetName val="A"/>
      <sheetName val="B"/>
      <sheetName val="C"/>
      <sheetName val="Menu"/>
    </sheetNames>
    <sheetDataSet>
      <sheetData sheetId="0"/>
      <sheetData sheetId="1"/>
      <sheetData sheetId="2"/>
      <sheetData sheetId="3"/>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ommaire"/>
      <sheetName val="Secteur réel"/>
      <sheetName val="Finances pub"/>
      <sheetName val="Situation monétaire"/>
      <sheetName val="Secteur extérieur"/>
      <sheetName val="Définitions &amp; abréviations"/>
      <sheetName val="Répartition"/>
      <sheetName val="SaisieType1"/>
      <sheetName val="SaisieType2"/>
      <sheetName val="SaisieType3"/>
      <sheetName val="SaisieType4"/>
      <sheetName val="SaisieType5"/>
      <sheetName val="SaisieType6"/>
      <sheetName val="GraphiquesType1"/>
      <sheetName val="GraphiquesType2"/>
      <sheetName val="GraphiquesType3"/>
      <sheetName val="Paramètres"/>
    </sheetNames>
    <sheetDataSet>
      <sheetData sheetId="0"/>
      <sheetData sheetId="1"/>
      <sheetData sheetId="2"/>
      <sheetData sheetId="3"/>
      <sheetData sheetId="4"/>
      <sheetData sheetId="5"/>
      <sheetData sheetId="6"/>
      <sheetData sheetId="7"/>
      <sheetData sheetId="8">
        <row r="37">
          <cell r="A37">
            <v>34348</v>
          </cell>
          <cell r="R37" t="str">
            <v/>
          </cell>
          <cell r="T37">
            <v>34348</v>
          </cell>
          <cell r="U37">
            <v>231.3</v>
          </cell>
          <cell r="X37">
            <v>39.200000000000003</v>
          </cell>
          <cell r="Y37">
            <v>111.9</v>
          </cell>
          <cell r="Z37">
            <v>100.9</v>
          </cell>
          <cell r="AA37">
            <v>113.2</v>
          </cell>
          <cell r="AB37">
            <v>113.8</v>
          </cell>
          <cell r="AC37">
            <v>197.8</v>
          </cell>
          <cell r="AD37">
            <v>72.7</v>
          </cell>
          <cell r="AE37">
            <v>48.1</v>
          </cell>
          <cell r="AF37">
            <v>67.8</v>
          </cell>
          <cell r="AG37">
            <v>101.1</v>
          </cell>
          <cell r="AJ37">
            <v>86.2</v>
          </cell>
          <cell r="AN37">
            <v>1</v>
          </cell>
          <cell r="AP37">
            <v>34348</v>
          </cell>
          <cell r="AQ37">
            <v>493.375</v>
          </cell>
          <cell r="AR37">
            <v>13.49</v>
          </cell>
          <cell r="AS37">
            <v>1.4981256890848951</v>
          </cell>
          <cell r="AT37">
            <v>13.646560846560845</v>
          </cell>
          <cell r="AV37">
            <v>6.65562875</v>
          </cell>
          <cell r="AW37">
            <v>0.7391377618522601</v>
          </cell>
          <cell r="AX37">
            <v>6.7328719576719571</v>
          </cell>
          <cell r="AZ37">
            <v>10</v>
          </cell>
          <cell r="BA37">
            <v>10</v>
          </cell>
          <cell r="BB37">
            <v>10</v>
          </cell>
          <cell r="BC37">
            <v>10</v>
          </cell>
          <cell r="BD37">
            <v>10</v>
          </cell>
          <cell r="BE37">
            <v>10</v>
          </cell>
          <cell r="BF37">
            <v>0.11105453588472165</v>
          </cell>
          <cell r="BI37">
            <v>1</v>
          </cell>
          <cell r="BK37">
            <v>34348</v>
          </cell>
          <cell r="CD37" t="str">
            <v/>
          </cell>
          <cell r="CF37">
            <v>34348</v>
          </cell>
          <cell r="CG37">
            <v>14.5</v>
          </cell>
          <cell r="CH37">
            <v>14.5</v>
          </cell>
          <cell r="CI37">
            <v>14.5</v>
          </cell>
          <cell r="CU37">
            <v>10</v>
          </cell>
          <cell r="CV37">
            <v>10</v>
          </cell>
          <cell r="CY37" t="str">
            <v/>
          </cell>
        </row>
        <row r="38">
          <cell r="A38">
            <v>34378.4375</v>
          </cell>
          <cell r="R38" t="str">
            <v/>
          </cell>
          <cell r="T38">
            <v>34378.4375</v>
          </cell>
          <cell r="U38">
            <v>138.6</v>
          </cell>
          <cell r="X38">
            <v>49</v>
          </cell>
          <cell r="Y38">
            <v>108.1</v>
          </cell>
          <cell r="Z38">
            <v>83.2</v>
          </cell>
          <cell r="AA38">
            <v>111</v>
          </cell>
          <cell r="AB38">
            <v>93.1</v>
          </cell>
          <cell r="AC38">
            <v>192.4</v>
          </cell>
          <cell r="AD38">
            <v>119</v>
          </cell>
          <cell r="AE38">
            <v>28.3</v>
          </cell>
          <cell r="AF38">
            <v>83.1</v>
          </cell>
          <cell r="AG38">
            <v>105.3</v>
          </cell>
          <cell r="AJ38">
            <v>81.900000000000006</v>
          </cell>
          <cell r="AN38">
            <v>2</v>
          </cell>
          <cell r="AP38">
            <v>34378.4375</v>
          </cell>
          <cell r="AQ38">
            <v>590</v>
          </cell>
          <cell r="AR38">
            <v>13.36</v>
          </cell>
          <cell r="AS38">
            <v>1.7636163175303197</v>
          </cell>
          <cell r="AT38">
            <v>13.471252204585538</v>
          </cell>
          <cell r="AV38">
            <v>7.8823999999999996</v>
          </cell>
          <cell r="AW38">
            <v>1.0405336273428887</v>
          </cell>
          <cell r="AX38">
            <v>7.9480388007054668</v>
          </cell>
          <cell r="AZ38">
            <v>10</v>
          </cell>
          <cell r="BA38">
            <v>10</v>
          </cell>
          <cell r="BB38">
            <v>10</v>
          </cell>
          <cell r="BC38">
            <v>10</v>
          </cell>
          <cell r="BD38">
            <v>10</v>
          </cell>
          <cell r="BE38">
            <v>10</v>
          </cell>
          <cell r="BF38">
            <v>0.13200720939598204</v>
          </cell>
          <cell r="BI38">
            <v>2</v>
          </cell>
          <cell r="BK38">
            <v>34378.4375</v>
          </cell>
          <cell r="CD38" t="str">
            <v/>
          </cell>
          <cell r="CF38">
            <v>34378.4375</v>
          </cell>
          <cell r="CG38">
            <v>14.5</v>
          </cell>
          <cell r="CH38">
            <v>14.5</v>
          </cell>
          <cell r="CI38">
            <v>14.5</v>
          </cell>
          <cell r="CU38">
            <v>10</v>
          </cell>
          <cell r="CV38">
            <v>10</v>
          </cell>
          <cell r="CY38" t="str">
            <v/>
          </cell>
        </row>
        <row r="39">
          <cell r="A39">
            <v>34408.875</v>
          </cell>
          <cell r="R39" t="str">
            <v/>
          </cell>
          <cell r="T39">
            <v>34408.875</v>
          </cell>
          <cell r="U39">
            <v>145</v>
          </cell>
          <cell r="X39">
            <v>39.6</v>
          </cell>
          <cell r="Y39">
            <v>118.4</v>
          </cell>
          <cell r="Z39">
            <v>89.6</v>
          </cell>
          <cell r="AA39">
            <v>121.7</v>
          </cell>
          <cell r="AB39">
            <v>101.4</v>
          </cell>
          <cell r="AC39">
            <v>204.1</v>
          </cell>
          <cell r="AD39">
            <v>118.2</v>
          </cell>
          <cell r="AE39">
            <v>32.700000000000003</v>
          </cell>
          <cell r="AF39">
            <v>69.099999999999994</v>
          </cell>
          <cell r="AG39">
            <v>132</v>
          </cell>
          <cell r="AJ39">
            <v>88</v>
          </cell>
          <cell r="AN39">
            <v>3</v>
          </cell>
          <cell r="AP39">
            <v>34408.875</v>
          </cell>
          <cell r="AQ39">
            <v>576</v>
          </cell>
          <cell r="AR39">
            <v>13.35</v>
          </cell>
          <cell r="AS39">
            <v>1.8057331863285557</v>
          </cell>
          <cell r="AT39">
            <v>13.549559082892417</v>
          </cell>
          <cell r="AV39">
            <v>7.6895999999999995</v>
          </cell>
          <cell r="AW39">
            <v>1.0401023153252482</v>
          </cell>
          <cell r="AX39">
            <v>7.8045460317460318</v>
          </cell>
          <cell r="AZ39">
            <v>10</v>
          </cell>
          <cell r="BA39">
            <v>10</v>
          </cell>
          <cell r="BB39">
            <v>10</v>
          </cell>
          <cell r="BC39">
            <v>10</v>
          </cell>
          <cell r="BD39">
            <v>10</v>
          </cell>
          <cell r="BE39">
            <v>10</v>
          </cell>
          <cell r="BF39">
            <v>0.1352609128335997</v>
          </cell>
          <cell r="BI39">
            <v>3</v>
          </cell>
          <cell r="BK39">
            <v>34408.875</v>
          </cell>
          <cell r="CD39" t="str">
            <v/>
          </cell>
          <cell r="CF39">
            <v>34408.875</v>
          </cell>
          <cell r="CG39">
            <v>14</v>
          </cell>
          <cell r="CH39">
            <v>14</v>
          </cell>
          <cell r="CI39">
            <v>14</v>
          </cell>
          <cell r="CU39">
            <v>10</v>
          </cell>
          <cell r="CV39">
            <v>10</v>
          </cell>
          <cell r="CY39" t="str">
            <v/>
          </cell>
        </row>
        <row r="40">
          <cell r="A40">
            <v>34439.3125</v>
          </cell>
          <cell r="R40" t="str">
            <v/>
          </cell>
          <cell r="T40">
            <v>34439.3125</v>
          </cell>
          <cell r="U40">
            <v>123.9</v>
          </cell>
          <cell r="X40">
            <v>40</v>
          </cell>
          <cell r="Y40">
            <v>119.1</v>
          </cell>
          <cell r="Z40">
            <v>108.4</v>
          </cell>
          <cell r="AA40">
            <v>120.3</v>
          </cell>
          <cell r="AB40">
            <v>127.6</v>
          </cell>
          <cell r="AC40">
            <v>169.3</v>
          </cell>
          <cell r="AD40">
            <v>138</v>
          </cell>
          <cell r="AE40">
            <v>47</v>
          </cell>
          <cell r="AF40">
            <v>76.599999999999994</v>
          </cell>
          <cell r="AG40">
            <v>135.5</v>
          </cell>
          <cell r="AJ40">
            <v>96.5</v>
          </cell>
          <cell r="AN40">
            <v>4</v>
          </cell>
          <cell r="AP40">
            <v>34439.3125</v>
          </cell>
          <cell r="AQ40">
            <v>581</v>
          </cell>
          <cell r="AR40">
            <v>14.84</v>
          </cell>
          <cell r="AS40">
            <v>1.844542447629548</v>
          </cell>
          <cell r="AT40">
            <v>13.307583774250441</v>
          </cell>
          <cell r="AV40">
            <v>8.6220399999999984</v>
          </cell>
          <cell r="AW40">
            <v>1.0716791620727675</v>
          </cell>
          <cell r="AX40">
            <v>7.7317061728395062</v>
          </cell>
          <cell r="AZ40">
            <v>10</v>
          </cell>
          <cell r="BA40">
            <v>10</v>
          </cell>
          <cell r="BB40">
            <v>10</v>
          </cell>
          <cell r="BC40">
            <v>10</v>
          </cell>
          <cell r="BD40">
            <v>10</v>
          </cell>
          <cell r="BE40">
            <v>10</v>
          </cell>
          <cell r="BF40">
            <v>0.12429531318258413</v>
          </cell>
          <cell r="BI40">
            <v>4</v>
          </cell>
          <cell r="BK40">
            <v>34439.3125</v>
          </cell>
          <cell r="CD40" t="str">
            <v/>
          </cell>
          <cell r="CF40">
            <v>34439.3125</v>
          </cell>
          <cell r="CG40">
            <v>14</v>
          </cell>
          <cell r="CH40">
            <v>14</v>
          </cell>
          <cell r="CI40">
            <v>14</v>
          </cell>
          <cell r="CU40">
            <v>10</v>
          </cell>
          <cell r="CV40">
            <v>10</v>
          </cell>
          <cell r="CY40" t="str">
            <v/>
          </cell>
        </row>
        <row r="41">
          <cell r="A41">
            <v>34469.75</v>
          </cell>
          <cell r="R41" t="str">
            <v/>
          </cell>
          <cell r="T41">
            <v>34469.75</v>
          </cell>
          <cell r="U41">
            <v>0</v>
          </cell>
          <cell r="X41">
            <v>40.5</v>
          </cell>
          <cell r="Y41">
            <v>96.5</v>
          </cell>
          <cell r="Z41">
            <v>105.4</v>
          </cell>
          <cell r="AA41">
            <v>95.5</v>
          </cell>
          <cell r="AB41">
            <v>109.9</v>
          </cell>
          <cell r="AC41">
            <v>79.3</v>
          </cell>
          <cell r="AD41">
            <v>123.9</v>
          </cell>
          <cell r="AE41">
            <v>58.2</v>
          </cell>
          <cell r="AF41">
            <v>76.5</v>
          </cell>
          <cell r="AG41">
            <v>135.5</v>
          </cell>
          <cell r="AJ41">
            <v>84</v>
          </cell>
          <cell r="AN41">
            <v>5</v>
          </cell>
          <cell r="AP41">
            <v>34469.75</v>
          </cell>
          <cell r="AQ41">
            <v>568</v>
          </cell>
          <cell r="AR41">
            <v>16.09</v>
          </cell>
          <cell r="AS41">
            <v>1.8478500551267916</v>
          </cell>
          <cell r="AT41">
            <v>13.453615520282188</v>
          </cell>
          <cell r="AV41">
            <v>9.1391200000000001</v>
          </cell>
          <cell r="AW41">
            <v>1.0495788313120176</v>
          </cell>
          <cell r="AX41">
            <v>7.6416536155202825</v>
          </cell>
          <cell r="AZ41">
            <v>10</v>
          </cell>
          <cell r="BA41">
            <v>10</v>
          </cell>
          <cell r="BB41">
            <v>10</v>
          </cell>
          <cell r="BC41">
            <v>10</v>
          </cell>
          <cell r="BD41">
            <v>10</v>
          </cell>
          <cell r="BE41">
            <v>10</v>
          </cell>
          <cell r="BF41">
            <v>0.11484462741620829</v>
          </cell>
          <cell r="BI41">
            <v>5</v>
          </cell>
          <cell r="BK41">
            <v>34469.75</v>
          </cell>
          <cell r="CD41" t="str">
            <v/>
          </cell>
          <cell r="CF41">
            <v>34469.75</v>
          </cell>
          <cell r="CG41">
            <v>14</v>
          </cell>
          <cell r="CH41">
            <v>14</v>
          </cell>
          <cell r="CI41">
            <v>14</v>
          </cell>
          <cell r="CU41">
            <v>10</v>
          </cell>
          <cell r="CV41">
            <v>10</v>
          </cell>
          <cell r="CY41" t="str">
            <v/>
          </cell>
        </row>
        <row r="42">
          <cell r="A42">
            <v>34500.1875</v>
          </cell>
          <cell r="R42" t="str">
            <v/>
          </cell>
          <cell r="T42">
            <v>34500.1875</v>
          </cell>
          <cell r="U42">
            <v>0</v>
          </cell>
          <cell r="X42">
            <v>31.2</v>
          </cell>
          <cell r="Y42">
            <v>88</v>
          </cell>
          <cell r="Z42">
            <v>115.9</v>
          </cell>
          <cell r="AA42">
            <v>84.8</v>
          </cell>
          <cell r="AB42">
            <v>99.3</v>
          </cell>
          <cell r="AC42">
            <v>62.7</v>
          </cell>
          <cell r="AD42">
            <v>110.7</v>
          </cell>
          <cell r="AE42">
            <v>45.5</v>
          </cell>
          <cell r="AF42">
            <v>95</v>
          </cell>
          <cell r="AG42">
            <v>121.6</v>
          </cell>
          <cell r="AJ42">
            <v>84.4</v>
          </cell>
          <cell r="AN42">
            <v>6</v>
          </cell>
          <cell r="AP42">
            <v>34500.1875</v>
          </cell>
          <cell r="AQ42">
            <v>556.79999999999995</v>
          </cell>
          <cell r="AR42">
            <v>16.54</v>
          </cell>
          <cell r="AS42">
            <v>1.8886438809261301</v>
          </cell>
          <cell r="AT42">
            <v>13.602821869488537</v>
          </cell>
          <cell r="AV42">
            <v>9.2094719999999981</v>
          </cell>
          <cell r="AW42">
            <v>1.0515969128996692</v>
          </cell>
          <cell r="AX42">
            <v>7.5740512169312169</v>
          </cell>
          <cell r="AZ42">
            <v>10</v>
          </cell>
          <cell r="BA42">
            <v>10</v>
          </cell>
          <cell r="BB42">
            <v>10</v>
          </cell>
          <cell r="BC42">
            <v>10</v>
          </cell>
          <cell r="BD42">
            <v>10</v>
          </cell>
          <cell r="BE42">
            <v>10</v>
          </cell>
          <cell r="BF42">
            <v>0.11418644987461489</v>
          </cell>
          <cell r="BI42">
            <v>6</v>
          </cell>
          <cell r="BK42">
            <v>34500.1875</v>
          </cell>
          <cell r="CD42" t="str">
            <v/>
          </cell>
          <cell r="CF42">
            <v>34500.1875</v>
          </cell>
          <cell r="CG42">
            <v>14</v>
          </cell>
          <cell r="CH42">
            <v>14</v>
          </cell>
          <cell r="CI42">
            <v>14</v>
          </cell>
          <cell r="CU42">
            <v>10</v>
          </cell>
          <cell r="CV42">
            <v>10</v>
          </cell>
          <cell r="CY42" t="str">
            <v/>
          </cell>
        </row>
        <row r="43">
          <cell r="A43">
            <v>34530.625</v>
          </cell>
          <cell r="R43" t="str">
            <v/>
          </cell>
          <cell r="T43">
            <v>34530.625</v>
          </cell>
          <cell r="U43">
            <v>0</v>
          </cell>
          <cell r="X43">
            <v>51.8</v>
          </cell>
          <cell r="Y43">
            <v>74.8</v>
          </cell>
          <cell r="Z43">
            <v>105.9</v>
          </cell>
          <cell r="AA43">
            <v>71.2</v>
          </cell>
          <cell r="AB43">
            <v>90.1</v>
          </cell>
          <cell r="AC43">
            <v>37.5</v>
          </cell>
          <cell r="AD43">
            <v>152.19999999999999</v>
          </cell>
          <cell r="AE43">
            <v>27.1</v>
          </cell>
          <cell r="AF43">
            <v>80.8</v>
          </cell>
          <cell r="AG43">
            <v>111</v>
          </cell>
          <cell r="AJ43">
            <v>82.5</v>
          </cell>
          <cell r="AN43">
            <v>7</v>
          </cell>
          <cell r="AP43">
            <v>34530.625</v>
          </cell>
          <cell r="AQ43">
            <v>538.71</v>
          </cell>
          <cell r="AR43">
            <v>17.37</v>
          </cell>
          <cell r="AS43">
            <v>1.8035281146637268</v>
          </cell>
          <cell r="AT43">
            <v>13.597530864197532</v>
          </cell>
          <cell r="AV43">
            <v>9.3573927000000001</v>
          </cell>
          <cell r="AW43">
            <v>0.97157863065049632</v>
          </cell>
          <cell r="AX43">
            <v>7.3251258518518538</v>
          </cell>
          <cell r="AZ43">
            <v>10</v>
          </cell>
          <cell r="BA43">
            <v>10</v>
          </cell>
          <cell r="BB43">
            <v>10</v>
          </cell>
          <cell r="BC43">
            <v>10</v>
          </cell>
          <cell r="BD43">
            <v>10</v>
          </cell>
          <cell r="BE43">
            <v>10</v>
          </cell>
          <cell r="BF43">
            <v>0.10383005841472233</v>
          </cell>
          <cell r="BI43">
            <v>7</v>
          </cell>
          <cell r="BK43">
            <v>34530.625</v>
          </cell>
          <cell r="CD43" t="str">
            <v/>
          </cell>
          <cell r="CF43">
            <v>34530.625</v>
          </cell>
          <cell r="CG43">
            <v>13</v>
          </cell>
          <cell r="CH43">
            <v>13</v>
          </cell>
          <cell r="CI43">
            <v>13</v>
          </cell>
          <cell r="CU43">
            <v>10</v>
          </cell>
          <cell r="CV43">
            <v>10</v>
          </cell>
          <cell r="CY43" t="str">
            <v/>
          </cell>
        </row>
        <row r="44">
          <cell r="A44">
            <v>34561.0625</v>
          </cell>
          <cell r="R44" t="str">
            <v/>
          </cell>
          <cell r="T44">
            <v>34561.0625</v>
          </cell>
          <cell r="U44">
            <v>0</v>
          </cell>
          <cell r="X44">
            <v>43.1</v>
          </cell>
          <cell r="Y44">
            <v>57</v>
          </cell>
          <cell r="Z44">
            <v>117.1</v>
          </cell>
          <cell r="AA44">
            <v>50</v>
          </cell>
          <cell r="AB44">
            <v>111.2</v>
          </cell>
          <cell r="AC44">
            <v>30</v>
          </cell>
          <cell r="AD44">
            <v>0</v>
          </cell>
          <cell r="AE44">
            <v>10.8</v>
          </cell>
          <cell r="AF44">
            <v>35.700000000000003</v>
          </cell>
          <cell r="AG44">
            <v>92.7</v>
          </cell>
          <cell r="AJ44">
            <v>81.099999999999994</v>
          </cell>
          <cell r="AN44">
            <v>8</v>
          </cell>
          <cell r="AP44">
            <v>34561.0625</v>
          </cell>
          <cell r="AQ44">
            <v>536.74</v>
          </cell>
          <cell r="AR44">
            <v>16.510000000000002</v>
          </cell>
          <cell r="AS44">
            <v>1.6919514884233737</v>
          </cell>
          <cell r="AT44">
            <v>13.416225749559084</v>
          </cell>
          <cell r="AV44">
            <v>8.8615773999999998</v>
          </cell>
          <cell r="AW44">
            <v>0.9081380418963616</v>
          </cell>
          <cell r="AX44">
            <v>7.201025008818343</v>
          </cell>
          <cell r="AZ44">
            <v>10</v>
          </cell>
          <cell r="BA44">
            <v>10</v>
          </cell>
          <cell r="BB44">
            <v>10</v>
          </cell>
          <cell r="BC44">
            <v>10</v>
          </cell>
          <cell r="BD44">
            <v>10</v>
          </cell>
          <cell r="BE44">
            <v>10</v>
          </cell>
          <cell r="BF44">
            <v>0.10248040511346904</v>
          </cell>
          <cell r="BI44">
            <v>8</v>
          </cell>
          <cell r="BK44">
            <v>34561.0625</v>
          </cell>
          <cell r="CD44" t="str">
            <v/>
          </cell>
          <cell r="CF44">
            <v>34561.0625</v>
          </cell>
          <cell r="CG44">
            <v>13</v>
          </cell>
          <cell r="CH44">
            <v>13</v>
          </cell>
          <cell r="CI44">
            <v>13</v>
          </cell>
          <cell r="CU44">
            <v>10</v>
          </cell>
          <cell r="CV44">
            <v>10</v>
          </cell>
          <cell r="CY44" t="str">
            <v/>
          </cell>
        </row>
        <row r="45">
          <cell r="A45">
            <v>34591.5</v>
          </cell>
          <cell r="R45" t="str">
            <v/>
          </cell>
          <cell r="T45">
            <v>34591.5</v>
          </cell>
          <cell r="U45">
            <v>0</v>
          </cell>
          <cell r="X45">
            <v>45.2</v>
          </cell>
          <cell r="Y45">
            <v>70.7</v>
          </cell>
          <cell r="Z45">
            <v>117</v>
          </cell>
          <cell r="AA45">
            <v>65.3</v>
          </cell>
          <cell r="AB45">
            <v>119.5</v>
          </cell>
          <cell r="AC45">
            <v>31.7</v>
          </cell>
          <cell r="AD45">
            <v>106.3</v>
          </cell>
          <cell r="AE45">
            <v>30.1</v>
          </cell>
          <cell r="AF45">
            <v>49.1</v>
          </cell>
          <cell r="AG45">
            <v>103.8</v>
          </cell>
          <cell r="AJ45">
            <v>88.7</v>
          </cell>
          <cell r="AN45">
            <v>9</v>
          </cell>
          <cell r="AP45">
            <v>34591.5</v>
          </cell>
          <cell r="AQ45">
            <v>530.63</v>
          </cell>
          <cell r="AR45">
            <v>15.66</v>
          </cell>
          <cell r="AS45">
            <v>1.657111356119074</v>
          </cell>
          <cell r="AT45">
            <v>13.811992945326278</v>
          </cell>
          <cell r="AV45">
            <v>8.3096658000000012</v>
          </cell>
          <cell r="AW45">
            <v>0.87931299889746428</v>
          </cell>
          <cell r="AX45">
            <v>7.3290578165784828</v>
          </cell>
          <cell r="AZ45">
            <v>10</v>
          </cell>
          <cell r="BA45">
            <v>10</v>
          </cell>
          <cell r="BB45">
            <v>10</v>
          </cell>
          <cell r="BC45">
            <v>10</v>
          </cell>
          <cell r="BD45">
            <v>10</v>
          </cell>
          <cell r="BE45">
            <v>10</v>
          </cell>
          <cell r="BF45">
            <v>0.10581809426047725</v>
          </cell>
          <cell r="BI45">
            <v>9</v>
          </cell>
          <cell r="BK45">
            <v>34591.5</v>
          </cell>
          <cell r="CD45" t="str">
            <v/>
          </cell>
          <cell r="CF45">
            <v>34591.5</v>
          </cell>
          <cell r="CG45">
            <v>12.25</v>
          </cell>
          <cell r="CH45">
            <v>12.25</v>
          </cell>
          <cell r="CI45">
            <v>12.25</v>
          </cell>
          <cell r="CU45">
            <v>10</v>
          </cell>
          <cell r="CV45">
            <v>10</v>
          </cell>
          <cell r="CY45" t="str">
            <v/>
          </cell>
        </row>
        <row r="46">
          <cell r="A46">
            <v>34621.9375</v>
          </cell>
          <cell r="R46" t="str">
            <v/>
          </cell>
          <cell r="T46">
            <v>34621.9375</v>
          </cell>
          <cell r="U46">
            <v>0</v>
          </cell>
          <cell r="X46">
            <v>29.6</v>
          </cell>
          <cell r="Y46">
            <v>70.7</v>
          </cell>
          <cell r="Z46">
            <v>59.5</v>
          </cell>
          <cell r="AA46">
            <v>72</v>
          </cell>
          <cell r="AB46">
            <v>95.7</v>
          </cell>
          <cell r="AC46">
            <v>48.3</v>
          </cell>
          <cell r="AD46">
            <v>97</v>
          </cell>
          <cell r="AE46">
            <v>36.700000000000003</v>
          </cell>
          <cell r="AF46">
            <v>55.2</v>
          </cell>
          <cell r="AG46">
            <v>114.8</v>
          </cell>
          <cell r="AJ46">
            <v>84.7</v>
          </cell>
          <cell r="AN46">
            <v>10</v>
          </cell>
          <cell r="AP46">
            <v>34621.9375</v>
          </cell>
          <cell r="AQ46">
            <v>520.59</v>
          </cell>
          <cell r="AR46">
            <v>15.87</v>
          </cell>
          <cell r="AS46">
            <v>1.6291069459757441</v>
          </cell>
          <cell r="AT46">
            <v>13.748500881834214</v>
          </cell>
          <cell r="AV46">
            <v>8.2617633000000001</v>
          </cell>
          <cell r="AW46">
            <v>0.84809678500551267</v>
          </cell>
          <cell r="AX46">
            <v>7.1573320740740733</v>
          </cell>
          <cell r="AZ46">
            <v>10</v>
          </cell>
          <cell r="BA46">
            <v>10</v>
          </cell>
          <cell r="BB46">
            <v>10</v>
          </cell>
          <cell r="BC46">
            <v>10</v>
          </cell>
          <cell r="BD46">
            <v>10</v>
          </cell>
          <cell r="BE46">
            <v>10</v>
          </cell>
          <cell r="BF46">
            <v>0.10265324171239723</v>
          </cell>
          <cell r="BI46">
            <v>10</v>
          </cell>
          <cell r="BK46">
            <v>34621.9375</v>
          </cell>
          <cell r="CD46" t="str">
            <v/>
          </cell>
          <cell r="CF46">
            <v>34621.9375</v>
          </cell>
          <cell r="CG46">
            <v>12.25</v>
          </cell>
          <cell r="CH46">
            <v>12.25</v>
          </cell>
          <cell r="CI46">
            <v>12.25</v>
          </cell>
          <cell r="CU46">
            <v>10</v>
          </cell>
          <cell r="CV46">
            <v>10</v>
          </cell>
          <cell r="CY46" t="str">
            <v/>
          </cell>
        </row>
        <row r="47">
          <cell r="A47">
            <v>34652.375</v>
          </cell>
          <cell r="R47" t="str">
            <v/>
          </cell>
          <cell r="T47">
            <v>34652.375</v>
          </cell>
          <cell r="U47">
            <v>0</v>
          </cell>
          <cell r="X47">
            <v>47.6</v>
          </cell>
          <cell r="Y47">
            <v>87.9</v>
          </cell>
          <cell r="Z47">
            <v>112.7</v>
          </cell>
          <cell r="AA47">
            <v>85</v>
          </cell>
          <cell r="AB47">
            <v>96.7</v>
          </cell>
          <cell r="AC47">
            <v>103.1</v>
          </cell>
          <cell r="AD47">
            <v>113</v>
          </cell>
          <cell r="AE47">
            <v>32.299999999999997</v>
          </cell>
          <cell r="AF47">
            <v>49</v>
          </cell>
          <cell r="AG47">
            <v>109.4</v>
          </cell>
          <cell r="AJ47">
            <v>80.900000000000006</v>
          </cell>
          <cell r="AN47">
            <v>11</v>
          </cell>
          <cell r="AP47">
            <v>34652.375</v>
          </cell>
          <cell r="AQ47">
            <v>529.49</v>
          </cell>
          <cell r="AR47">
            <v>16.77</v>
          </cell>
          <cell r="AS47">
            <v>1.7113561190738698</v>
          </cell>
          <cell r="AT47">
            <v>13.558730158730159</v>
          </cell>
          <cell r="AV47">
            <v>8.8795473000000005</v>
          </cell>
          <cell r="AW47">
            <v>0.90614595148842325</v>
          </cell>
          <cell r="AX47">
            <v>7.1792120317460322</v>
          </cell>
          <cell r="AZ47">
            <v>10</v>
          </cell>
          <cell r="BA47">
            <v>10</v>
          </cell>
          <cell r="BB47">
            <v>10</v>
          </cell>
          <cell r="BC47">
            <v>10</v>
          </cell>
          <cell r="BD47">
            <v>10</v>
          </cell>
          <cell r="BE47">
            <v>10</v>
          </cell>
          <cell r="BF47">
            <v>0.10204866541883539</v>
          </cell>
          <cell r="BI47">
            <v>11</v>
          </cell>
          <cell r="BK47">
            <v>34652.375</v>
          </cell>
          <cell r="CD47" t="str">
            <v/>
          </cell>
          <cell r="CF47">
            <v>34652.375</v>
          </cell>
          <cell r="CG47">
            <v>12.25</v>
          </cell>
          <cell r="CH47">
            <v>12.25</v>
          </cell>
          <cell r="CI47">
            <v>12.25</v>
          </cell>
          <cell r="CU47">
            <v>10</v>
          </cell>
          <cell r="CV47">
            <v>10</v>
          </cell>
          <cell r="CY47" t="str">
            <v/>
          </cell>
        </row>
        <row r="48">
          <cell r="A48">
            <v>34682.8125</v>
          </cell>
          <cell r="R48" t="str">
            <v/>
          </cell>
          <cell r="T48">
            <v>34682.8125</v>
          </cell>
          <cell r="U48">
            <v>198.5</v>
          </cell>
          <cell r="X48">
            <v>45.5</v>
          </cell>
          <cell r="Y48">
            <v>105.8</v>
          </cell>
          <cell r="Z48">
            <v>68.5</v>
          </cell>
          <cell r="AA48">
            <v>110.2</v>
          </cell>
          <cell r="AB48">
            <v>109.5</v>
          </cell>
          <cell r="AC48">
            <v>189.7</v>
          </cell>
          <cell r="AD48">
            <v>104.3</v>
          </cell>
          <cell r="AE48">
            <v>13.5</v>
          </cell>
          <cell r="AF48">
            <v>98.8</v>
          </cell>
          <cell r="AG48">
            <v>107</v>
          </cell>
          <cell r="AJ48">
            <v>89.8</v>
          </cell>
          <cell r="AN48">
            <v>12</v>
          </cell>
          <cell r="AP48">
            <v>34682.8125</v>
          </cell>
          <cell r="AQ48">
            <v>541.45000000000005</v>
          </cell>
          <cell r="AR48">
            <v>15.75</v>
          </cell>
          <cell r="AS48">
            <v>1.9047409040793823</v>
          </cell>
          <cell r="AT48">
            <v>13.37883597883598</v>
          </cell>
          <cell r="AV48">
            <v>8.5278375000000022</v>
          </cell>
          <cell r="AW48">
            <v>1.0313219625137817</v>
          </cell>
          <cell r="AX48">
            <v>7.2439707407407425</v>
          </cell>
          <cell r="AZ48">
            <v>10</v>
          </cell>
          <cell r="BA48">
            <v>10</v>
          </cell>
          <cell r="BB48">
            <v>10</v>
          </cell>
          <cell r="BC48">
            <v>10</v>
          </cell>
          <cell r="BD48">
            <v>10</v>
          </cell>
          <cell r="BE48">
            <v>10</v>
          </cell>
          <cell r="BF48">
            <v>0.12093593041773855</v>
          </cell>
          <cell r="BI48">
            <v>12</v>
          </cell>
          <cell r="BK48">
            <v>34682.8125</v>
          </cell>
          <cell r="CD48" t="str">
            <v/>
          </cell>
          <cell r="CF48">
            <v>34682.8125</v>
          </cell>
          <cell r="CG48">
            <v>12.25</v>
          </cell>
          <cell r="CH48">
            <v>12.25</v>
          </cell>
          <cell r="CI48">
            <v>12.25</v>
          </cell>
          <cell r="CU48">
            <v>10</v>
          </cell>
          <cell r="CV48">
            <v>10</v>
          </cell>
          <cell r="CY48" t="str">
            <v/>
          </cell>
        </row>
        <row r="49">
          <cell r="A49">
            <v>34713.25</v>
          </cell>
          <cell r="R49" t="str">
            <v/>
          </cell>
          <cell r="T49">
            <v>34713.25</v>
          </cell>
          <cell r="U49">
            <v>402.47636492431116</v>
          </cell>
          <cell r="V49">
            <v>143.87668673310185</v>
          </cell>
          <cell r="W49">
            <v>343.89493662683088</v>
          </cell>
          <cell r="X49">
            <v>60.593942639089867</v>
          </cell>
          <cell r="Y49">
            <v>102.78854693804088</v>
          </cell>
          <cell r="Z49">
            <v>112.87386333187105</v>
          </cell>
          <cell r="AA49">
            <v>101.60627415875285</v>
          </cell>
          <cell r="AB49">
            <v>130.61357610565156</v>
          </cell>
          <cell r="AC49">
            <v>165.06991272420095</v>
          </cell>
          <cell r="AD49">
            <v>80.49791924145012</v>
          </cell>
          <cell r="AE49">
            <v>46.468089529419153</v>
          </cell>
          <cell r="AF49">
            <v>30.091925012481564</v>
          </cell>
          <cell r="AG49">
            <v>99.494253823411455</v>
          </cell>
          <cell r="AH49">
            <v>27.833847910126352</v>
          </cell>
          <cell r="AI49">
            <v>151.81545572836259</v>
          </cell>
          <cell r="AJ49">
            <v>100.57</v>
          </cell>
          <cell r="AN49">
            <v>13</v>
          </cell>
          <cell r="AP49">
            <v>34713.25</v>
          </cell>
          <cell r="AQ49">
            <v>529.42999999999995</v>
          </cell>
          <cell r="AR49">
            <v>16.5</v>
          </cell>
          <cell r="AS49">
            <v>2.0899669239250276</v>
          </cell>
          <cell r="AT49">
            <v>13.352733686067021</v>
          </cell>
          <cell r="AV49">
            <v>8.735595</v>
          </cell>
          <cell r="AW49">
            <v>1.1064911885336273</v>
          </cell>
          <cell r="AX49">
            <v>7.0693377954144623</v>
          </cell>
          <cell r="AZ49">
            <v>10</v>
          </cell>
          <cell r="BA49">
            <v>10</v>
          </cell>
          <cell r="BB49">
            <v>10</v>
          </cell>
          <cell r="BC49">
            <v>10</v>
          </cell>
          <cell r="BD49">
            <v>10</v>
          </cell>
          <cell r="BE49">
            <v>10</v>
          </cell>
          <cell r="BF49">
            <v>0.12666466205606228</v>
          </cell>
          <cell r="BI49">
            <v>13</v>
          </cell>
          <cell r="BK49">
            <v>34713.25</v>
          </cell>
          <cell r="CD49" t="str">
            <v/>
          </cell>
          <cell r="CF49">
            <v>34713.25</v>
          </cell>
          <cell r="CG49">
            <v>12.25</v>
          </cell>
          <cell r="CH49">
            <v>12.25</v>
          </cell>
          <cell r="CI49">
            <v>12.25</v>
          </cell>
          <cell r="CU49">
            <v>10</v>
          </cell>
          <cell r="CV49">
            <v>10</v>
          </cell>
          <cell r="CY49" t="str">
            <v/>
          </cell>
        </row>
        <row r="50">
          <cell r="A50">
            <v>34743.6875</v>
          </cell>
          <cell r="R50" t="str">
            <v/>
          </cell>
          <cell r="T50">
            <v>34743.6875</v>
          </cell>
          <cell r="U50">
            <v>180.19452961431497</v>
          </cell>
          <cell r="V50">
            <v>128.81000854309741</v>
          </cell>
          <cell r="W50">
            <v>171.43128193759924</v>
          </cell>
          <cell r="X50">
            <v>41.887087864605753</v>
          </cell>
          <cell r="Y50">
            <v>107.29693537660184</v>
          </cell>
          <cell r="Z50">
            <v>120.87116778014885</v>
          </cell>
          <cell r="AA50">
            <v>105.70566695786775</v>
          </cell>
          <cell r="AB50">
            <v>122.82585587974447</v>
          </cell>
          <cell r="AC50">
            <v>135.30623712018939</v>
          </cell>
          <cell r="AD50">
            <v>131.99894157272402</v>
          </cell>
          <cell r="AE50">
            <v>77.510387426884321</v>
          </cell>
          <cell r="AF50">
            <v>54.988957162793241</v>
          </cell>
          <cell r="AG50">
            <v>104.7542655632259</v>
          </cell>
          <cell r="AH50">
            <v>45.848013906545937</v>
          </cell>
          <cell r="AI50">
            <v>116.69478839716157</v>
          </cell>
          <cell r="AJ50">
            <v>86.95</v>
          </cell>
          <cell r="AN50">
            <v>14</v>
          </cell>
          <cell r="AP50">
            <v>34743.6875</v>
          </cell>
          <cell r="AQ50">
            <v>522.89</v>
          </cell>
          <cell r="AR50">
            <v>17.07</v>
          </cell>
          <cell r="AS50">
            <v>2.204189636163175</v>
          </cell>
          <cell r="AT50">
            <v>13.28042328042328</v>
          </cell>
          <cell r="AV50">
            <v>8.9257323</v>
          </cell>
          <cell r="AW50">
            <v>1.1525487188533625</v>
          </cell>
          <cell r="AX50">
            <v>6.9442005291005291</v>
          </cell>
          <cell r="AZ50">
            <v>10</v>
          </cell>
          <cell r="BA50">
            <v>10</v>
          </cell>
          <cell r="BB50">
            <v>10</v>
          </cell>
          <cell r="BC50">
            <v>10</v>
          </cell>
          <cell r="BD50">
            <v>10</v>
          </cell>
          <cell r="BE50">
            <v>10</v>
          </cell>
          <cell r="BF50">
            <v>0.12912651647118775</v>
          </cell>
          <cell r="BI50">
            <v>14</v>
          </cell>
          <cell r="BK50">
            <v>34743.6875</v>
          </cell>
          <cell r="CD50" t="str">
            <v/>
          </cell>
          <cell r="CF50">
            <v>34743.6875</v>
          </cell>
          <cell r="CG50">
            <v>11.25</v>
          </cell>
          <cell r="CH50">
            <v>11.25</v>
          </cell>
          <cell r="CI50">
            <v>11.25</v>
          </cell>
          <cell r="CU50">
            <v>10</v>
          </cell>
          <cell r="CV50">
            <v>10</v>
          </cell>
          <cell r="CY50" t="str">
            <v/>
          </cell>
        </row>
        <row r="51">
          <cell r="A51">
            <v>34774.125</v>
          </cell>
          <cell r="R51" t="str">
            <v/>
          </cell>
          <cell r="T51">
            <v>34774.125</v>
          </cell>
          <cell r="U51">
            <v>143.74066071327525</v>
          </cell>
          <cell r="V51">
            <v>114.60636721833862</v>
          </cell>
          <cell r="W51">
            <v>147.07323327287597</v>
          </cell>
          <cell r="X51">
            <v>45.872461273082799</v>
          </cell>
          <cell r="Y51">
            <v>105.5274813536398</v>
          </cell>
          <cell r="Z51">
            <v>140.41610617158261</v>
          </cell>
          <cell r="AA51">
            <v>101.43758770843098</v>
          </cell>
          <cell r="AB51">
            <v>141.90714237471212</v>
          </cell>
          <cell r="AC51">
            <v>90.244755517852695</v>
          </cell>
          <cell r="AD51">
            <v>162.01490417208842</v>
          </cell>
          <cell r="AE51">
            <v>64.366128731963471</v>
          </cell>
          <cell r="AF51">
            <v>44.206219235562294</v>
          </cell>
          <cell r="AG51">
            <v>135.53085833133852</v>
          </cell>
          <cell r="AH51">
            <v>28.213683418519576</v>
          </cell>
          <cell r="AI51">
            <v>109.29153674957247</v>
          </cell>
          <cell r="AJ51">
            <v>80.290000000000006</v>
          </cell>
          <cell r="AN51">
            <v>15</v>
          </cell>
          <cell r="AP51">
            <v>34774.125</v>
          </cell>
          <cell r="AQ51">
            <v>498.33</v>
          </cell>
          <cell r="AR51">
            <v>16.96</v>
          </cell>
          <cell r="AS51">
            <v>2.4361631753031974</v>
          </cell>
          <cell r="AT51">
            <v>13.462433862433864</v>
          </cell>
          <cell r="AV51">
            <v>8.4516767999999995</v>
          </cell>
          <cell r="AW51">
            <v>1.2140131951488422</v>
          </cell>
          <cell r="AX51">
            <v>6.7087346666666674</v>
          </cell>
          <cell r="AZ51">
            <v>10</v>
          </cell>
          <cell r="BA51">
            <v>10</v>
          </cell>
          <cell r="BB51">
            <v>10</v>
          </cell>
          <cell r="BC51">
            <v>10</v>
          </cell>
          <cell r="BD51">
            <v>10</v>
          </cell>
          <cell r="BE51">
            <v>10</v>
          </cell>
          <cell r="BF51">
            <v>0.14364169665702814</v>
          </cell>
          <cell r="BI51">
            <v>15</v>
          </cell>
          <cell r="BK51">
            <v>34774.125</v>
          </cell>
          <cell r="CD51" t="str">
            <v/>
          </cell>
          <cell r="CF51">
            <v>34774.125</v>
          </cell>
          <cell r="CG51">
            <v>11.25</v>
          </cell>
          <cell r="CH51">
            <v>11.25</v>
          </cell>
          <cell r="CI51">
            <v>11.25</v>
          </cell>
          <cell r="CU51">
            <v>10</v>
          </cell>
          <cell r="CV51">
            <v>10</v>
          </cell>
          <cell r="CY51" t="str">
            <v/>
          </cell>
        </row>
        <row r="52">
          <cell r="A52">
            <v>34804.5625</v>
          </cell>
          <cell r="R52" t="str">
            <v/>
          </cell>
          <cell r="T52">
            <v>34804.5625</v>
          </cell>
          <cell r="U52">
            <v>61.728886662712647</v>
          </cell>
          <cell r="V52">
            <v>125.57862350009985</v>
          </cell>
          <cell r="W52">
            <v>74.07493499239213</v>
          </cell>
          <cell r="X52">
            <v>44.083109946827797</v>
          </cell>
          <cell r="Y52">
            <v>110.25140098021917</v>
          </cell>
          <cell r="Z52">
            <v>124.7929414059434</v>
          </cell>
          <cell r="AA52">
            <v>108.54673781023003</v>
          </cell>
          <cell r="AB52">
            <v>103.50104699237285</v>
          </cell>
          <cell r="AC52">
            <v>135.09926754860442</v>
          </cell>
          <cell r="AD52">
            <v>129.54860155447187</v>
          </cell>
          <cell r="AE52">
            <v>54.988010272551996</v>
          </cell>
          <cell r="AF52">
            <v>47.438280409737317</v>
          </cell>
          <cell r="AG52">
            <v>142.03513770478992</v>
          </cell>
          <cell r="AH52">
            <v>24.645720364268477</v>
          </cell>
          <cell r="AI52">
            <v>98.967327991501918</v>
          </cell>
          <cell r="AJ52">
            <v>78.39</v>
          </cell>
          <cell r="AN52">
            <v>16</v>
          </cell>
          <cell r="AP52">
            <v>34804.5625</v>
          </cell>
          <cell r="AQ52">
            <v>484.6</v>
          </cell>
          <cell r="AR52">
            <v>18.41</v>
          </cell>
          <cell r="AS52">
            <v>2.4968026460859978</v>
          </cell>
          <cell r="AT52">
            <v>13.793298059964727</v>
          </cell>
          <cell r="AV52">
            <v>8.9214860000000016</v>
          </cell>
          <cell r="AW52">
            <v>1.2099505622932745</v>
          </cell>
          <cell r="AX52">
            <v>6.6842322398589067</v>
          </cell>
          <cell r="AZ52">
            <v>10</v>
          </cell>
          <cell r="BA52">
            <v>10</v>
          </cell>
          <cell r="BB52">
            <v>10</v>
          </cell>
          <cell r="BC52">
            <v>10</v>
          </cell>
          <cell r="BD52">
            <v>10</v>
          </cell>
          <cell r="BE52">
            <v>10</v>
          </cell>
          <cell r="BF52">
            <v>0.1356220883262356</v>
          </cell>
          <cell r="BI52">
            <v>16</v>
          </cell>
          <cell r="BK52">
            <v>34804.5625</v>
          </cell>
          <cell r="CD52" t="str">
            <v/>
          </cell>
          <cell r="CF52">
            <v>34804.5625</v>
          </cell>
          <cell r="CG52">
            <v>11.25</v>
          </cell>
          <cell r="CH52">
            <v>11.25</v>
          </cell>
          <cell r="CI52">
            <v>11.25</v>
          </cell>
          <cell r="CU52">
            <v>10</v>
          </cell>
          <cell r="CV52">
            <v>10</v>
          </cell>
          <cell r="CY52" t="str">
            <v/>
          </cell>
        </row>
        <row r="53">
          <cell r="A53">
            <v>34835</v>
          </cell>
          <cell r="R53" t="str">
            <v/>
          </cell>
          <cell r="T53">
            <v>34835</v>
          </cell>
          <cell r="U53">
            <v>7.9471697638692991</v>
          </cell>
          <cell r="V53">
            <v>104.40763871280025</v>
          </cell>
          <cell r="W53">
            <v>20.64436741626022</v>
          </cell>
          <cell r="X53">
            <v>47.173807692177348</v>
          </cell>
          <cell r="Y53">
            <v>98.666878746185517</v>
          </cell>
          <cell r="Z53">
            <v>137.24359263079475</v>
          </cell>
          <cell r="AA53">
            <v>94.144640974046098</v>
          </cell>
          <cell r="AB53">
            <v>153.02767060850064</v>
          </cell>
          <cell r="AC53">
            <v>67.675880401878999</v>
          </cell>
          <cell r="AD53">
            <v>77.709968768320991</v>
          </cell>
          <cell r="AE53">
            <v>60.161760886970868</v>
          </cell>
          <cell r="AF53">
            <v>41.40249134536063</v>
          </cell>
          <cell r="AG53">
            <v>148.3898624411718</v>
          </cell>
          <cell r="AH53">
            <v>32.597358794074147</v>
          </cell>
          <cell r="AI53">
            <v>80.879747769329242</v>
          </cell>
          <cell r="AJ53">
            <v>87.28</v>
          </cell>
          <cell r="AN53">
            <v>17</v>
          </cell>
          <cell r="AP53">
            <v>34835</v>
          </cell>
          <cell r="AQ53">
            <v>499.08</v>
          </cell>
          <cell r="AR53">
            <v>18.100000000000001</v>
          </cell>
          <cell r="AS53">
            <v>2.55457552370452</v>
          </cell>
          <cell r="AT53">
            <v>13.588007054673723</v>
          </cell>
          <cell r="AV53">
            <v>9.0333480000000002</v>
          </cell>
          <cell r="AW53">
            <v>1.2749375523704518</v>
          </cell>
          <cell r="AX53">
            <v>6.7815025608465609</v>
          </cell>
          <cell r="AZ53">
            <v>10</v>
          </cell>
          <cell r="BA53">
            <v>10</v>
          </cell>
          <cell r="BB53">
            <v>10</v>
          </cell>
          <cell r="BC53">
            <v>10</v>
          </cell>
          <cell r="BD53">
            <v>10</v>
          </cell>
          <cell r="BE53">
            <v>10</v>
          </cell>
          <cell r="BF53">
            <v>0.14113676926544308</v>
          </cell>
          <cell r="BI53">
            <v>17</v>
          </cell>
          <cell r="BK53">
            <v>34835</v>
          </cell>
          <cell r="CD53" t="str">
            <v/>
          </cell>
          <cell r="CF53">
            <v>34835</v>
          </cell>
          <cell r="CG53">
            <v>11.25</v>
          </cell>
          <cell r="CH53">
            <v>11.25</v>
          </cell>
          <cell r="CI53">
            <v>11.25</v>
          </cell>
          <cell r="CU53">
            <v>10</v>
          </cell>
          <cell r="CV53">
            <v>10</v>
          </cell>
          <cell r="CY53" t="str">
            <v/>
          </cell>
        </row>
        <row r="54">
          <cell r="A54">
            <v>34865.4375</v>
          </cell>
          <cell r="R54" t="str">
            <v/>
          </cell>
          <cell r="T54">
            <v>34865.4375</v>
          </cell>
          <cell r="U54">
            <v>0</v>
          </cell>
          <cell r="V54">
            <v>83.142351157229186</v>
          </cell>
          <cell r="W54">
            <v>17.262654239932729</v>
          </cell>
          <cell r="X54">
            <v>27.816279708145956</v>
          </cell>
          <cell r="Y54">
            <v>86.130638161875765</v>
          </cell>
          <cell r="Z54">
            <v>142.13635493803491</v>
          </cell>
          <cell r="AA54">
            <v>79.565248258047404</v>
          </cell>
          <cell r="AB54">
            <v>110.67092472197072</v>
          </cell>
          <cell r="AC54">
            <v>41.868094928074548</v>
          </cell>
          <cell r="AD54">
            <v>94.849748571058953</v>
          </cell>
          <cell r="AE54">
            <v>71.732275685956324</v>
          </cell>
          <cell r="AF54">
            <v>46.479214828884615</v>
          </cell>
          <cell r="AG54">
            <v>121.90050260238542</v>
          </cell>
          <cell r="AH54">
            <v>52.896764652466075</v>
          </cell>
          <cell r="AI54">
            <v>68.811232923966628</v>
          </cell>
          <cell r="AJ54">
            <v>81.569999999999993</v>
          </cell>
          <cell r="AN54">
            <v>18</v>
          </cell>
          <cell r="AP54">
            <v>34865.4375</v>
          </cell>
          <cell r="AQ54">
            <v>491.64</v>
          </cell>
          <cell r="AR54">
            <v>17</v>
          </cell>
          <cell r="AS54">
            <v>2.301212789415656</v>
          </cell>
          <cell r="AT54">
            <v>13.668077601410934</v>
          </cell>
          <cell r="AV54">
            <v>8.3578799999999998</v>
          </cell>
          <cell r="AW54">
            <v>1.1313682557883131</v>
          </cell>
          <cell r="AX54">
            <v>6.7197736719576717</v>
          </cell>
          <cell r="AZ54">
            <v>10</v>
          </cell>
          <cell r="BA54">
            <v>10</v>
          </cell>
          <cell r="BB54">
            <v>10</v>
          </cell>
          <cell r="BC54">
            <v>10</v>
          </cell>
          <cell r="BD54">
            <v>10</v>
          </cell>
          <cell r="BE54">
            <v>10</v>
          </cell>
          <cell r="BF54">
            <v>0.13536545820092094</v>
          </cell>
          <cell r="BI54">
            <v>18</v>
          </cell>
          <cell r="BK54">
            <v>34865.4375</v>
          </cell>
          <cell r="CD54" t="str">
            <v/>
          </cell>
          <cell r="CF54">
            <v>34865.4375</v>
          </cell>
          <cell r="CG54">
            <v>11.25</v>
          </cell>
          <cell r="CH54">
            <v>11.25</v>
          </cell>
          <cell r="CI54">
            <v>11.25</v>
          </cell>
          <cell r="CU54">
            <v>10</v>
          </cell>
          <cell r="CV54">
            <v>10</v>
          </cell>
          <cell r="CY54" t="str">
            <v/>
          </cell>
        </row>
        <row r="55">
          <cell r="A55">
            <v>34895.875</v>
          </cell>
          <cell r="R55" t="str">
            <v/>
          </cell>
          <cell r="T55">
            <v>34895.875</v>
          </cell>
          <cell r="U55">
            <v>0</v>
          </cell>
          <cell r="V55">
            <v>78.37801715502853</v>
          </cell>
          <cell r="W55">
            <v>16.675064396732264</v>
          </cell>
          <cell r="X55">
            <v>38.633721816869389</v>
          </cell>
          <cell r="Y55">
            <v>86.260996225965172</v>
          </cell>
          <cell r="Z55">
            <v>131.93842376302419</v>
          </cell>
          <cell r="AA55">
            <v>80.906362112750529</v>
          </cell>
          <cell r="AB55">
            <v>127.14214406172835</v>
          </cell>
          <cell r="AC55">
            <v>31.083108502892287</v>
          </cell>
          <cell r="AD55">
            <v>91.621232949078376</v>
          </cell>
          <cell r="AE55">
            <v>58.234338605167352</v>
          </cell>
          <cell r="AF55">
            <v>61.166332620448813</v>
          </cell>
          <cell r="AG55">
            <v>136.82363017159261</v>
          </cell>
          <cell r="AH55">
            <v>59.459824092571928</v>
          </cell>
          <cell r="AI55">
            <v>69.409459887848371</v>
          </cell>
          <cell r="AJ55">
            <v>80.66</v>
          </cell>
          <cell r="AN55">
            <v>19</v>
          </cell>
          <cell r="AP55">
            <v>34895.875</v>
          </cell>
          <cell r="AQ55">
            <v>483.25</v>
          </cell>
          <cell r="AR55">
            <v>15.69</v>
          </cell>
          <cell r="AS55">
            <v>2.116427783902977</v>
          </cell>
          <cell r="AT55">
            <v>13.623985890652557</v>
          </cell>
          <cell r="AV55">
            <v>7.5821924999999997</v>
          </cell>
          <cell r="AW55">
            <v>1.0227637265711136</v>
          </cell>
          <cell r="AX55">
            <v>6.5837911816578476</v>
          </cell>
          <cell r="AZ55">
            <v>10</v>
          </cell>
          <cell r="BA55">
            <v>10</v>
          </cell>
          <cell r="BB55">
            <v>10</v>
          </cell>
          <cell r="BC55">
            <v>10</v>
          </cell>
          <cell r="BD55">
            <v>10</v>
          </cell>
          <cell r="BE55">
            <v>10</v>
          </cell>
          <cell r="BF55">
            <v>0.13489023479305143</v>
          </cell>
          <cell r="BI55">
            <v>19</v>
          </cell>
          <cell r="BK55">
            <v>34895.875</v>
          </cell>
          <cell r="CD55" t="str">
            <v/>
          </cell>
          <cell r="CF55">
            <v>34895.875</v>
          </cell>
          <cell r="CG55">
            <v>11.25</v>
          </cell>
          <cell r="CH55">
            <v>11.25</v>
          </cell>
          <cell r="CI55">
            <v>11.25</v>
          </cell>
          <cell r="CU55">
            <v>10</v>
          </cell>
          <cell r="CV55">
            <v>10</v>
          </cell>
          <cell r="CY55" t="str">
            <v/>
          </cell>
        </row>
        <row r="56">
          <cell r="A56">
            <v>34926.3125</v>
          </cell>
          <cell r="R56" t="str">
            <v/>
          </cell>
          <cell r="T56">
            <v>34926.3125</v>
          </cell>
          <cell r="U56">
            <v>0</v>
          </cell>
          <cell r="V56">
            <v>85.702055744966685</v>
          </cell>
          <cell r="W56">
            <v>2.2861315234034434</v>
          </cell>
          <cell r="X56">
            <v>37.576377851355062</v>
          </cell>
          <cell r="Y56">
            <v>71.706268955141084</v>
          </cell>
          <cell r="Z56">
            <v>114.15539749053448</v>
          </cell>
          <cell r="AA56">
            <v>66.730079095336961</v>
          </cell>
          <cell r="AB56">
            <v>132.78274135919335</v>
          </cell>
          <cell r="AC56">
            <v>51.827559155039374</v>
          </cell>
          <cell r="AD56">
            <v>12.561162216502437</v>
          </cell>
          <cell r="AE56">
            <v>11.564307960404895</v>
          </cell>
          <cell r="AF56">
            <v>86.278853105961602</v>
          </cell>
          <cell r="AG56">
            <v>102.25764626151582</v>
          </cell>
          <cell r="AH56">
            <v>38.020911709000337</v>
          </cell>
          <cell r="AI56">
            <v>57.947894698099546</v>
          </cell>
          <cell r="AJ56">
            <v>77.77</v>
          </cell>
          <cell r="AN56">
            <v>20</v>
          </cell>
          <cell r="AP56">
            <v>34926.3125</v>
          </cell>
          <cell r="AQ56">
            <v>497.14</v>
          </cell>
          <cell r="AR56">
            <v>16.14</v>
          </cell>
          <cell r="AS56">
            <v>1.8665931642778391</v>
          </cell>
          <cell r="AT56">
            <v>13.534391534391535</v>
          </cell>
          <cell r="AV56">
            <v>8.0238396000000005</v>
          </cell>
          <cell r="AW56">
            <v>0.92795812568908487</v>
          </cell>
          <cell r="AX56">
            <v>6.7284874074074077</v>
          </cell>
          <cell r="AZ56">
            <v>10</v>
          </cell>
          <cell r="BA56">
            <v>10</v>
          </cell>
          <cell r="BB56">
            <v>10</v>
          </cell>
          <cell r="BC56">
            <v>10</v>
          </cell>
          <cell r="BD56">
            <v>10</v>
          </cell>
          <cell r="BE56">
            <v>10</v>
          </cell>
          <cell r="BF56">
            <v>0.11565013409404205</v>
          </cell>
          <cell r="BI56">
            <v>20</v>
          </cell>
          <cell r="BK56">
            <v>34926.3125</v>
          </cell>
          <cell r="CD56" t="str">
            <v/>
          </cell>
          <cell r="CF56">
            <v>34926.3125</v>
          </cell>
          <cell r="CG56">
            <v>11.25</v>
          </cell>
          <cell r="CH56">
            <v>11.25</v>
          </cell>
          <cell r="CI56">
            <v>11.25</v>
          </cell>
          <cell r="CU56">
            <v>10</v>
          </cell>
          <cell r="CV56">
            <v>10</v>
          </cell>
          <cell r="CY56" t="str">
            <v/>
          </cell>
        </row>
        <row r="57">
          <cell r="A57">
            <v>34956.75</v>
          </cell>
          <cell r="R57" t="str">
            <v/>
          </cell>
          <cell r="T57">
            <v>34956.75</v>
          </cell>
          <cell r="U57">
            <v>0</v>
          </cell>
          <cell r="V57">
            <v>56.854947360840285</v>
          </cell>
          <cell r="W57">
            <v>13.623147211834656</v>
          </cell>
          <cell r="X57">
            <v>33.42833614049119</v>
          </cell>
          <cell r="Y57">
            <v>74.915246591928565</v>
          </cell>
          <cell r="Z57">
            <v>28.990466622773138</v>
          </cell>
          <cell r="AA57">
            <v>80.298877122899327</v>
          </cell>
          <cell r="AB57">
            <v>106.63644753640047</v>
          </cell>
          <cell r="AC57">
            <v>50.407591924066239</v>
          </cell>
          <cell r="AD57">
            <v>74.852457207882722</v>
          </cell>
          <cell r="AE57">
            <v>47.970807774789463</v>
          </cell>
          <cell r="AF57">
            <v>65.412119245218506</v>
          </cell>
          <cell r="AG57">
            <v>131.57507081389608</v>
          </cell>
          <cell r="AH57">
            <v>26.140155151389358</v>
          </cell>
          <cell r="AI57">
            <v>60.274431812455106</v>
          </cell>
          <cell r="AJ57">
            <v>72.010000000000005</v>
          </cell>
          <cell r="AN57">
            <v>21</v>
          </cell>
          <cell r="AP57">
            <v>34956.75</v>
          </cell>
          <cell r="AQ57">
            <v>504.31</v>
          </cell>
          <cell r="AR57">
            <v>16.34</v>
          </cell>
          <cell r="AS57">
            <v>2.0088202866593163</v>
          </cell>
          <cell r="AT57">
            <v>13.517460317460317</v>
          </cell>
          <cell r="AV57">
            <v>8.2404253999999995</v>
          </cell>
          <cell r="AW57">
            <v>1.0130681587651598</v>
          </cell>
          <cell r="AX57">
            <v>6.8169904126984129</v>
          </cell>
          <cell r="AZ57">
            <v>10</v>
          </cell>
          <cell r="BA57">
            <v>10</v>
          </cell>
          <cell r="BB57">
            <v>10</v>
          </cell>
          <cell r="BC57">
            <v>10</v>
          </cell>
          <cell r="BD57">
            <v>10</v>
          </cell>
          <cell r="BE57">
            <v>10</v>
          </cell>
          <cell r="BF57">
            <v>0.12293881803300589</v>
          </cell>
          <cell r="BI57">
            <v>21</v>
          </cell>
          <cell r="BK57">
            <v>34956.75</v>
          </cell>
          <cell r="CD57" t="str">
            <v/>
          </cell>
          <cell r="CF57">
            <v>34956.75</v>
          </cell>
          <cell r="CG57">
            <v>11.25</v>
          </cell>
          <cell r="CH57">
            <v>11.25</v>
          </cell>
          <cell r="CI57">
            <v>11.25</v>
          </cell>
          <cell r="CU57">
            <v>10</v>
          </cell>
          <cell r="CV57">
            <v>10</v>
          </cell>
          <cell r="CY57" t="str">
            <v/>
          </cell>
        </row>
        <row r="58">
          <cell r="A58">
            <v>34987.1875</v>
          </cell>
          <cell r="R58" t="str">
            <v/>
          </cell>
          <cell r="T58">
            <v>34987.1875</v>
          </cell>
          <cell r="U58">
            <v>0</v>
          </cell>
          <cell r="V58">
            <v>86.193890676818441</v>
          </cell>
          <cell r="W58">
            <v>18.754706023093696</v>
          </cell>
          <cell r="X58">
            <v>44.164444098021207</v>
          </cell>
          <cell r="Y58">
            <v>96.451170491223422</v>
          </cell>
          <cell r="Z58">
            <v>97.762486676112587</v>
          </cell>
          <cell r="AA58">
            <v>96.297448647515793</v>
          </cell>
          <cell r="AB58">
            <v>127.38505341869724</v>
          </cell>
          <cell r="AC58">
            <v>63.310503915287413</v>
          </cell>
          <cell r="AD58">
            <v>103.04783529172362</v>
          </cell>
          <cell r="AE58">
            <v>131.18811385673385</v>
          </cell>
          <cell r="AF58">
            <v>93.36946989378356</v>
          </cell>
          <cell r="AG58">
            <v>92.766989833428468</v>
          </cell>
          <cell r="AH58">
            <v>61.383908880990063</v>
          </cell>
          <cell r="AI58">
            <v>77.653271954775093</v>
          </cell>
          <cell r="AJ58">
            <v>96.45</v>
          </cell>
          <cell r="AN58">
            <v>22</v>
          </cell>
          <cell r="AP58">
            <v>34987.1875</v>
          </cell>
          <cell r="AQ58">
            <v>494.11</v>
          </cell>
          <cell r="AR58">
            <v>15.61</v>
          </cell>
          <cell r="AS58">
            <v>2.0183020948180816</v>
          </cell>
          <cell r="AT58">
            <v>13.512169312169311</v>
          </cell>
          <cell r="AV58">
            <v>7.7130571000000003</v>
          </cell>
          <cell r="AW58">
            <v>0.99726324807056232</v>
          </cell>
          <cell r="AX58">
            <v>6.6764979788359788</v>
          </cell>
          <cell r="AZ58">
            <v>10</v>
          </cell>
          <cell r="BA58">
            <v>10</v>
          </cell>
          <cell r="BB58">
            <v>10</v>
          </cell>
          <cell r="BC58">
            <v>10</v>
          </cell>
          <cell r="BD58">
            <v>10</v>
          </cell>
          <cell r="BE58">
            <v>10</v>
          </cell>
          <cell r="BF58">
            <v>0.12929545770775666</v>
          </cell>
          <cell r="BI58">
            <v>22</v>
          </cell>
          <cell r="BK58">
            <v>34987.1875</v>
          </cell>
          <cell r="CD58" t="str">
            <v/>
          </cell>
          <cell r="CF58">
            <v>34987.1875</v>
          </cell>
          <cell r="CG58">
            <v>11.25</v>
          </cell>
          <cell r="CH58">
            <v>11.25</v>
          </cell>
          <cell r="CI58">
            <v>11.25</v>
          </cell>
          <cell r="CU58">
            <v>10</v>
          </cell>
          <cell r="CV58">
            <v>10</v>
          </cell>
          <cell r="CY58" t="str">
            <v/>
          </cell>
        </row>
        <row r="59">
          <cell r="A59">
            <v>35017.625</v>
          </cell>
          <cell r="R59" t="str">
            <v/>
          </cell>
          <cell r="T59">
            <v>35017.625</v>
          </cell>
          <cell r="U59">
            <v>8.3495581063436948</v>
          </cell>
          <cell r="V59">
            <v>91.474636211344091</v>
          </cell>
          <cell r="W59">
            <v>31.886525133163481</v>
          </cell>
          <cell r="X59">
            <v>52.541861670942346</v>
          </cell>
          <cell r="Y59">
            <v>108.26767376251087</v>
          </cell>
          <cell r="Z59">
            <v>97.948448955989718</v>
          </cell>
          <cell r="AA59">
            <v>109.47736695563343</v>
          </cell>
          <cell r="AB59">
            <v>119.31199742407698</v>
          </cell>
          <cell r="AC59">
            <v>76.691181904009326</v>
          </cell>
          <cell r="AD59">
            <v>137.67142705415034</v>
          </cell>
          <cell r="AE59">
            <v>134.33275807150707</v>
          </cell>
          <cell r="AF59">
            <v>93.687283836385902</v>
          </cell>
          <cell r="AG59">
            <v>121.21874903160004</v>
          </cell>
          <cell r="AH59">
            <v>50.449627688555637</v>
          </cell>
          <cell r="AI59">
            <v>88.722862406606936</v>
          </cell>
          <cell r="AJ59">
            <v>84.84</v>
          </cell>
          <cell r="AN59">
            <v>23</v>
          </cell>
          <cell r="AP59">
            <v>35017.625</v>
          </cell>
          <cell r="AQ59">
            <v>488.65</v>
          </cell>
          <cell r="AR59">
            <v>17.25</v>
          </cell>
          <cell r="AS59">
            <v>1.9689084895259097</v>
          </cell>
          <cell r="AT59">
            <v>13.60458553791887</v>
          </cell>
          <cell r="AV59">
            <v>8.4292125000000002</v>
          </cell>
          <cell r="AW59">
            <v>0.96210713340683574</v>
          </cell>
          <cell r="AX59">
            <v>6.6478807231040555</v>
          </cell>
          <cell r="AZ59">
            <v>10</v>
          </cell>
          <cell r="BA59">
            <v>10</v>
          </cell>
          <cell r="BB59">
            <v>10</v>
          </cell>
          <cell r="BC59">
            <v>10</v>
          </cell>
          <cell r="BD59">
            <v>10</v>
          </cell>
          <cell r="BE59">
            <v>10</v>
          </cell>
          <cell r="BF59">
            <v>0.11413962258121214</v>
          </cell>
          <cell r="BI59">
            <v>23</v>
          </cell>
          <cell r="BK59">
            <v>35017.625</v>
          </cell>
          <cell r="CD59" t="str">
            <v/>
          </cell>
          <cell r="CF59">
            <v>35017.625</v>
          </cell>
          <cell r="CG59">
            <v>11.25</v>
          </cell>
          <cell r="CH59">
            <v>11.25</v>
          </cell>
          <cell r="CI59">
            <v>11.25</v>
          </cell>
          <cell r="CU59">
            <v>10</v>
          </cell>
          <cell r="CV59">
            <v>10</v>
          </cell>
          <cell r="CY59" t="str">
            <v/>
          </cell>
        </row>
        <row r="60">
          <cell r="A60">
            <v>35048.0625</v>
          </cell>
          <cell r="R60" t="str">
            <v/>
          </cell>
          <cell r="T60">
            <v>35048.0625</v>
          </cell>
          <cell r="U60">
            <v>162.09962883866953</v>
          </cell>
          <cell r="V60">
            <v>95.013969672590505</v>
          </cell>
          <cell r="W60">
            <v>152.69047803242773</v>
          </cell>
          <cell r="X60">
            <v>39.609731631190293</v>
          </cell>
          <cell r="Y60">
            <v>107.97773331945029</v>
          </cell>
          <cell r="Z60">
            <v>99.089595170166874</v>
          </cell>
          <cell r="AA60">
            <v>109.01966431914384</v>
          </cell>
          <cell r="AB60">
            <v>119.10525247937031</v>
          </cell>
          <cell r="AC60">
            <v>82.993847258727541</v>
          </cell>
          <cell r="AD60">
            <v>110.35972926437384</v>
          </cell>
          <cell r="AE60">
            <v>158.77082436911678</v>
          </cell>
          <cell r="AF60">
            <v>77.276966529271519</v>
          </cell>
          <cell r="AG60">
            <v>107.01442685767742</v>
          </cell>
          <cell r="AH60">
            <v>61.402589315829069</v>
          </cell>
          <cell r="AI60">
            <v>114.04697784855075</v>
          </cell>
          <cell r="AJ60">
            <v>81.05</v>
          </cell>
          <cell r="AN60">
            <v>24</v>
          </cell>
          <cell r="AP60">
            <v>35048.0625</v>
          </cell>
          <cell r="AQ60">
            <v>496.37</v>
          </cell>
          <cell r="AR60">
            <v>17.87</v>
          </cell>
          <cell r="AS60">
            <v>1.9499448732083793</v>
          </cell>
          <cell r="AT60">
            <v>13.668430335097002</v>
          </cell>
          <cell r="AV60">
            <v>8.8701319000000005</v>
          </cell>
          <cell r="AW60">
            <v>0.96789413671444324</v>
          </cell>
          <cell r="AX60">
            <v>6.7845987654320989</v>
          </cell>
          <cell r="AZ60">
            <v>10</v>
          </cell>
          <cell r="BA60">
            <v>10</v>
          </cell>
          <cell r="BB60">
            <v>10</v>
          </cell>
          <cell r="BC60">
            <v>10</v>
          </cell>
          <cell r="BD60">
            <v>10</v>
          </cell>
          <cell r="BE60">
            <v>10</v>
          </cell>
          <cell r="BF60">
            <v>0.10911834768933291</v>
          </cell>
          <cell r="BI60">
            <v>24</v>
          </cell>
          <cell r="BK60">
            <v>35048.0625</v>
          </cell>
          <cell r="CD60" t="str">
            <v/>
          </cell>
          <cell r="CF60">
            <v>35048.0625</v>
          </cell>
          <cell r="CG60">
            <v>11.25</v>
          </cell>
          <cell r="CH60">
            <v>11.25</v>
          </cell>
          <cell r="CI60">
            <v>11.25</v>
          </cell>
          <cell r="CU60">
            <v>10</v>
          </cell>
          <cell r="CV60">
            <v>10</v>
          </cell>
          <cell r="CY60" t="str">
            <v/>
          </cell>
        </row>
        <row r="61">
          <cell r="A61">
            <v>35078.5</v>
          </cell>
          <cell r="R61" t="str">
            <v/>
          </cell>
          <cell r="T61">
            <v>35078.5</v>
          </cell>
          <cell r="U61">
            <v>195.950548149328</v>
          </cell>
          <cell r="V61">
            <v>117.56846487131637</v>
          </cell>
          <cell r="W61">
            <v>175.81886573058469</v>
          </cell>
          <cell r="X61">
            <v>38.9</v>
          </cell>
          <cell r="Y61">
            <v>99.1</v>
          </cell>
          <cell r="Z61">
            <v>102.86129702894712</v>
          </cell>
          <cell r="AA61">
            <v>98.6</v>
          </cell>
          <cell r="AB61">
            <v>130.54862843798983</v>
          </cell>
          <cell r="AC61">
            <v>119.65898560289176</v>
          </cell>
          <cell r="AD61">
            <v>85.287021645867725</v>
          </cell>
          <cell r="AE61">
            <v>68.002981088706449</v>
          </cell>
          <cell r="AF61">
            <v>99.538670461398965</v>
          </cell>
          <cell r="AG61">
            <v>91.080121314410107</v>
          </cell>
          <cell r="AH61">
            <v>70.599590068235472</v>
          </cell>
          <cell r="AI61">
            <v>112.79626325420301</v>
          </cell>
          <cell r="AJ61">
            <v>85.19</v>
          </cell>
          <cell r="AN61">
            <v>25</v>
          </cell>
          <cell r="AP61">
            <v>35078.5</v>
          </cell>
          <cell r="AQ61">
            <v>500.56</v>
          </cell>
          <cell r="AR61">
            <v>17.82</v>
          </cell>
          <cell r="AS61">
            <v>1.8943770672546856</v>
          </cell>
          <cell r="AT61">
            <v>14.111816578483245</v>
          </cell>
          <cell r="AV61">
            <v>8.9199792000000002</v>
          </cell>
          <cell r="AW61">
            <v>0.94824938478500542</v>
          </cell>
          <cell r="AX61">
            <v>7.063810906525573</v>
          </cell>
          <cell r="AZ61">
            <v>10</v>
          </cell>
          <cell r="BA61">
            <v>10</v>
          </cell>
          <cell r="BB61">
            <v>10</v>
          </cell>
          <cell r="BC61">
            <v>10</v>
          </cell>
          <cell r="BD61">
            <v>10</v>
          </cell>
          <cell r="BE61">
            <v>10</v>
          </cell>
          <cell r="BF61">
            <v>0.1063062327303415</v>
          </cell>
          <cell r="BI61">
            <v>25</v>
          </cell>
          <cell r="BK61">
            <v>35078.5</v>
          </cell>
          <cell r="CD61" t="str">
            <v/>
          </cell>
          <cell r="CF61">
            <v>35078.5</v>
          </cell>
          <cell r="CG61">
            <v>10.75</v>
          </cell>
          <cell r="CH61">
            <v>10.75</v>
          </cell>
          <cell r="CI61">
            <v>10.75</v>
          </cell>
          <cell r="CU61">
            <v>10</v>
          </cell>
          <cell r="CV61">
            <v>10</v>
          </cell>
          <cell r="CY61" t="str">
            <v/>
          </cell>
        </row>
        <row r="62">
          <cell r="A62">
            <v>35108.9375</v>
          </cell>
          <cell r="R62" t="str">
            <v/>
          </cell>
          <cell r="T62">
            <v>35108.9375</v>
          </cell>
          <cell r="U62">
            <v>178.39635670888251</v>
          </cell>
          <cell r="V62">
            <v>99.617404503165702</v>
          </cell>
          <cell r="W62">
            <v>167.1529215346508</v>
          </cell>
          <cell r="X62">
            <v>38.4</v>
          </cell>
          <cell r="Y62">
            <v>98.1</v>
          </cell>
          <cell r="Z62">
            <v>100.17260207809954</v>
          </cell>
          <cell r="AA62">
            <v>97.8</v>
          </cell>
          <cell r="AB62">
            <v>104.77709526008294</v>
          </cell>
          <cell r="AC62">
            <v>97.204036600632421</v>
          </cell>
          <cell r="AD62">
            <v>116.57382262969885</v>
          </cell>
          <cell r="AE62">
            <v>63.773638052242809</v>
          </cell>
          <cell r="AF62">
            <v>120.95046499826331</v>
          </cell>
          <cell r="AG62">
            <v>108.37995500785723</v>
          </cell>
          <cell r="AH62">
            <v>65.088861790727236</v>
          </cell>
          <cell r="AI62">
            <v>108.9811554679419</v>
          </cell>
          <cell r="AJ62">
            <v>81.599999999999994</v>
          </cell>
          <cell r="AN62">
            <v>26</v>
          </cell>
          <cell r="AP62">
            <v>35108.9375</v>
          </cell>
          <cell r="AQ62">
            <v>504.06</v>
          </cell>
          <cell r="AR62">
            <v>17.670000000000002</v>
          </cell>
          <cell r="AS62">
            <v>1.913781697905182</v>
          </cell>
          <cell r="AT62">
            <v>14.267372134038801</v>
          </cell>
          <cell r="AV62">
            <v>8.9067401999999998</v>
          </cell>
          <cell r="AW62">
            <v>0.964660802646086</v>
          </cell>
          <cell r="AX62">
            <v>7.1916115978835977</v>
          </cell>
          <cell r="AZ62">
            <v>10</v>
          </cell>
          <cell r="BA62">
            <v>10</v>
          </cell>
          <cell r="BB62">
            <v>10</v>
          </cell>
          <cell r="BC62">
            <v>10</v>
          </cell>
          <cell r="BD62">
            <v>10</v>
          </cell>
          <cell r="BE62">
            <v>10</v>
          </cell>
          <cell r="BF62">
            <v>0.1083068306680918</v>
          </cell>
          <cell r="BI62">
            <v>26</v>
          </cell>
          <cell r="BK62">
            <v>35108.9375</v>
          </cell>
          <cell r="CD62" t="str">
            <v/>
          </cell>
          <cell r="CF62">
            <v>35108.9375</v>
          </cell>
          <cell r="CG62">
            <v>10.75</v>
          </cell>
          <cell r="CH62">
            <v>10.75</v>
          </cell>
          <cell r="CI62">
            <v>10.75</v>
          </cell>
          <cell r="CU62">
            <v>10</v>
          </cell>
          <cell r="CV62">
            <v>10</v>
          </cell>
          <cell r="CY62" t="str">
            <v/>
          </cell>
        </row>
        <row r="63">
          <cell r="A63">
            <v>35139.375</v>
          </cell>
          <cell r="R63" t="str">
            <v/>
          </cell>
          <cell r="T63">
            <v>35139.375</v>
          </cell>
          <cell r="U63">
            <v>179.25143193664061</v>
          </cell>
          <cell r="V63">
            <v>115.30522818830822</v>
          </cell>
          <cell r="W63">
            <v>170.54772506056304</v>
          </cell>
          <cell r="X63">
            <v>15.6</v>
          </cell>
          <cell r="Y63">
            <v>113.8</v>
          </cell>
          <cell r="Z63">
            <v>109.33055513257077</v>
          </cell>
          <cell r="AA63">
            <v>114.3</v>
          </cell>
          <cell r="AB63">
            <v>127.55506220518802</v>
          </cell>
          <cell r="AC63">
            <v>113.27169947603122</v>
          </cell>
          <cell r="AD63">
            <v>131.38323125353028</v>
          </cell>
          <cell r="AE63">
            <v>71.452082811047077</v>
          </cell>
          <cell r="AF63">
            <v>114.26555883473509</v>
          </cell>
          <cell r="AG63">
            <v>138.88371161374843</v>
          </cell>
          <cell r="AH63">
            <v>71.228498041148839</v>
          </cell>
          <cell r="AI63">
            <v>120.43913029147475</v>
          </cell>
          <cell r="AJ63">
            <v>82.65</v>
          </cell>
          <cell r="AN63">
            <v>27</v>
          </cell>
          <cell r="AP63">
            <v>35139.375</v>
          </cell>
          <cell r="AQ63">
            <v>505.91</v>
          </cell>
          <cell r="AR63">
            <v>19.36</v>
          </cell>
          <cell r="AS63">
            <v>1.8352811466372658</v>
          </cell>
          <cell r="AT63">
            <v>13.979894179894179</v>
          </cell>
          <cell r="AV63">
            <v>9.7944176000000009</v>
          </cell>
          <cell r="AW63">
            <v>0.92848708489525911</v>
          </cell>
          <cell r="AX63">
            <v>7.0725682645502648</v>
          </cell>
          <cell r="AZ63">
            <v>10</v>
          </cell>
          <cell r="BA63">
            <v>10</v>
          </cell>
          <cell r="BB63">
            <v>10</v>
          </cell>
          <cell r="BC63">
            <v>10</v>
          </cell>
          <cell r="BD63">
            <v>10</v>
          </cell>
          <cell r="BE63">
            <v>10</v>
          </cell>
          <cell r="BF63">
            <v>9.4797579888288505E-2</v>
          </cell>
          <cell r="BI63">
            <v>27</v>
          </cell>
          <cell r="BK63">
            <v>35139.375</v>
          </cell>
          <cell r="CD63" t="str">
            <v/>
          </cell>
          <cell r="CF63">
            <v>35139.375</v>
          </cell>
          <cell r="CG63">
            <v>10.75</v>
          </cell>
          <cell r="CH63">
            <v>10.75</v>
          </cell>
          <cell r="CI63">
            <v>10.75</v>
          </cell>
          <cell r="CU63">
            <v>10</v>
          </cell>
          <cell r="CV63">
            <v>10</v>
          </cell>
          <cell r="CY63" t="str">
            <v/>
          </cell>
        </row>
        <row r="64">
          <cell r="A64">
            <v>35169.8125</v>
          </cell>
          <cell r="R64" t="str">
            <v/>
          </cell>
          <cell r="T64">
            <v>35169.8125</v>
          </cell>
          <cell r="U64">
            <v>80.931612843732907</v>
          </cell>
          <cell r="V64">
            <v>89.012442914261072</v>
          </cell>
          <cell r="W64">
            <v>90.1536425199116</v>
          </cell>
          <cell r="X64">
            <v>47.823545558985899</v>
          </cell>
          <cell r="Y64">
            <v>99.9</v>
          </cell>
          <cell r="Z64">
            <v>133.41395753223628</v>
          </cell>
          <cell r="AA64">
            <v>95.9</v>
          </cell>
          <cell r="AB64">
            <v>88.679238959191565</v>
          </cell>
          <cell r="AC64">
            <v>66.646454321332726</v>
          </cell>
          <cell r="AD64">
            <v>131.58150127741726</v>
          </cell>
          <cell r="AE64">
            <v>67.163550875263098</v>
          </cell>
          <cell r="AF64">
            <v>118.18449452600919</v>
          </cell>
          <cell r="AG64">
            <v>133.42227268256559</v>
          </cell>
          <cell r="AH64">
            <v>78.769166904496274</v>
          </cell>
          <cell r="AI64">
            <v>94.249164357428583</v>
          </cell>
          <cell r="AJ64">
            <v>84.06</v>
          </cell>
          <cell r="AN64">
            <v>28</v>
          </cell>
          <cell r="AP64">
            <v>35169.8125</v>
          </cell>
          <cell r="AQ64">
            <v>510.6</v>
          </cell>
          <cell r="AR64">
            <v>20.66</v>
          </cell>
          <cell r="AS64">
            <v>1.8302094818081587</v>
          </cell>
          <cell r="AT64">
            <v>13.867372134038801</v>
          </cell>
          <cell r="AV64">
            <v>10.548996000000001</v>
          </cell>
          <cell r="AW64">
            <v>0.93450496141124584</v>
          </cell>
          <cell r="AX64">
            <v>7.0806802116402121</v>
          </cell>
          <cell r="AZ64">
            <v>10</v>
          </cell>
          <cell r="BA64">
            <v>10</v>
          </cell>
          <cell r="BB64">
            <v>10</v>
          </cell>
          <cell r="BC64">
            <v>10</v>
          </cell>
          <cell r="BD64">
            <v>10</v>
          </cell>
          <cell r="BE64">
            <v>10</v>
          </cell>
          <cell r="BF64">
            <v>8.8587099797103511E-2</v>
          </cell>
          <cell r="BI64">
            <v>28</v>
          </cell>
          <cell r="BK64">
            <v>35169.8125</v>
          </cell>
          <cell r="CD64" t="str">
            <v/>
          </cell>
          <cell r="CF64">
            <v>35169.8125</v>
          </cell>
          <cell r="CG64">
            <v>10.75</v>
          </cell>
          <cell r="CH64">
            <v>10.75</v>
          </cell>
          <cell r="CI64">
            <v>10.75</v>
          </cell>
          <cell r="CU64">
            <v>10</v>
          </cell>
          <cell r="CV64">
            <v>10</v>
          </cell>
          <cell r="CY64" t="str">
            <v/>
          </cell>
        </row>
        <row r="65">
          <cell r="A65">
            <v>35200.25</v>
          </cell>
          <cell r="R65" t="str">
            <v/>
          </cell>
          <cell r="T65">
            <v>35200.25</v>
          </cell>
          <cell r="U65">
            <v>1.4838070128743313</v>
          </cell>
          <cell r="V65">
            <v>67.980953880967675</v>
          </cell>
          <cell r="W65">
            <v>24.99367885981772</v>
          </cell>
          <cell r="X65">
            <v>39.309990883797219</v>
          </cell>
          <cell r="Y65">
            <v>90</v>
          </cell>
          <cell r="Z65">
            <v>151.17432271296786</v>
          </cell>
          <cell r="AA65">
            <v>82.9</v>
          </cell>
          <cell r="AB65">
            <v>124.06309765027174</v>
          </cell>
          <cell r="AC65">
            <v>2.6436047572562806</v>
          </cell>
          <cell r="AD65">
            <v>130.65854929018775</v>
          </cell>
          <cell r="AE65">
            <v>63.321683027530696</v>
          </cell>
          <cell r="AF65">
            <v>110.41651209246091</v>
          </cell>
          <cell r="AG65">
            <v>143.49565325959492</v>
          </cell>
          <cell r="AH65">
            <v>78.769166904496274</v>
          </cell>
          <cell r="AI65">
            <v>72.657946032619009</v>
          </cell>
          <cell r="AJ65">
            <v>81.11</v>
          </cell>
          <cell r="AN65">
            <v>29</v>
          </cell>
          <cell r="AP65">
            <v>35200.25</v>
          </cell>
          <cell r="AQ65">
            <v>519.14</v>
          </cell>
          <cell r="AR65">
            <v>19.09</v>
          </cell>
          <cell r="AS65">
            <v>1.8280044101433297</v>
          </cell>
          <cell r="AT65">
            <v>13.825396825396824</v>
          </cell>
          <cell r="AV65">
            <v>9.9103825999999984</v>
          </cell>
          <cell r="AW65">
            <v>0.94899020948180812</v>
          </cell>
          <cell r="AX65">
            <v>7.1773165079365073</v>
          </cell>
          <cell r="AZ65">
            <v>10</v>
          </cell>
          <cell r="BA65">
            <v>10</v>
          </cell>
          <cell r="BB65">
            <v>10</v>
          </cell>
          <cell r="BC65">
            <v>10</v>
          </cell>
          <cell r="BD65">
            <v>10</v>
          </cell>
          <cell r="BE65">
            <v>10</v>
          </cell>
          <cell r="BF65">
            <v>9.5757171825213719E-2</v>
          </cell>
          <cell r="BI65">
            <v>29</v>
          </cell>
          <cell r="BK65">
            <v>35200.25</v>
          </cell>
          <cell r="CD65" t="str">
            <v/>
          </cell>
          <cell r="CF65">
            <v>35200.25</v>
          </cell>
          <cell r="CG65">
            <v>10.25</v>
          </cell>
          <cell r="CH65">
            <v>10.25</v>
          </cell>
          <cell r="CI65">
            <v>10.25</v>
          </cell>
          <cell r="CU65">
            <v>10</v>
          </cell>
          <cell r="CV65">
            <v>10</v>
          </cell>
          <cell r="CY65" t="str">
            <v/>
          </cell>
        </row>
        <row r="66">
          <cell r="A66">
            <v>35230.6875</v>
          </cell>
          <cell r="R66" t="str">
            <v/>
          </cell>
          <cell r="T66">
            <v>35230.6875</v>
          </cell>
          <cell r="U66">
            <v>1.6975758198138535</v>
          </cell>
          <cell r="V66">
            <v>65.094209334147934</v>
          </cell>
          <cell r="W66">
            <v>22.686803757616154</v>
          </cell>
          <cell r="X66">
            <v>31.938440892100083</v>
          </cell>
          <cell r="Y66">
            <v>77</v>
          </cell>
          <cell r="Z66">
            <v>153.42774088740902</v>
          </cell>
          <cell r="AA66">
            <v>68</v>
          </cell>
          <cell r="AB66">
            <v>112.19982029669173</v>
          </cell>
          <cell r="AC66">
            <v>0.86081085209222896</v>
          </cell>
          <cell r="AD66">
            <v>117.0225718654883</v>
          </cell>
          <cell r="AE66">
            <v>64.064306808676292</v>
          </cell>
          <cell r="AF66">
            <v>82.774250989724194</v>
          </cell>
          <cell r="AG66">
            <v>107.56346752980201</v>
          </cell>
          <cell r="AH66">
            <v>67.716576291414782</v>
          </cell>
          <cell r="AI66">
            <v>62.099875526866327</v>
          </cell>
          <cell r="AJ66">
            <v>76.8</v>
          </cell>
          <cell r="AN66">
            <v>30</v>
          </cell>
          <cell r="AP66">
            <v>35230.6875</v>
          </cell>
          <cell r="AQ66">
            <v>517.67999999999995</v>
          </cell>
          <cell r="AR66">
            <v>18.510000000000002</v>
          </cell>
          <cell r="AS66">
            <v>1.8330760749724364</v>
          </cell>
          <cell r="AT66">
            <v>13.589770723104055</v>
          </cell>
          <cell r="AV66">
            <v>9.5822567999999997</v>
          </cell>
          <cell r="AW66">
            <v>0.94894682249173079</v>
          </cell>
          <cell r="AX66">
            <v>7.0351525079365063</v>
          </cell>
          <cell r="AZ66">
            <v>10</v>
          </cell>
          <cell r="BA66">
            <v>10</v>
          </cell>
          <cell r="BB66">
            <v>10</v>
          </cell>
          <cell r="BC66">
            <v>10</v>
          </cell>
          <cell r="BD66">
            <v>10</v>
          </cell>
          <cell r="BE66">
            <v>10</v>
          </cell>
          <cell r="BF66">
            <v>9.9031662613313684E-2</v>
          </cell>
          <cell r="BI66">
            <v>30</v>
          </cell>
          <cell r="BK66">
            <v>35230.6875</v>
          </cell>
          <cell r="CD66" t="str">
            <v/>
          </cell>
          <cell r="CF66">
            <v>35230.6875</v>
          </cell>
          <cell r="CG66">
            <v>10.25</v>
          </cell>
          <cell r="CH66">
            <v>10.25</v>
          </cell>
          <cell r="CI66">
            <v>10.25</v>
          </cell>
          <cell r="CU66">
            <v>10</v>
          </cell>
          <cell r="CV66">
            <v>10</v>
          </cell>
          <cell r="CY66" t="str">
            <v/>
          </cell>
        </row>
        <row r="67">
          <cell r="A67">
            <v>35261.125</v>
          </cell>
          <cell r="R67" t="str">
            <v/>
          </cell>
          <cell r="T67">
            <v>35261.125</v>
          </cell>
          <cell r="U67">
            <v>0</v>
          </cell>
          <cell r="V67">
            <v>78.235492718332353</v>
          </cell>
          <cell r="W67">
            <v>19.247078003000823</v>
          </cell>
          <cell r="X67">
            <v>33.169286868940183</v>
          </cell>
          <cell r="Y67">
            <v>90.8</v>
          </cell>
          <cell r="Z67">
            <v>162.68462900039867</v>
          </cell>
          <cell r="AA67">
            <v>82.4</v>
          </cell>
          <cell r="AB67">
            <v>132.77407481231813</v>
          </cell>
          <cell r="AC67">
            <v>12.899491788165546</v>
          </cell>
          <cell r="AD67">
            <v>105.75317584066386</v>
          </cell>
          <cell r="AE67">
            <v>80.76368914717122</v>
          </cell>
          <cell r="AF67">
            <v>97.265560943405006</v>
          </cell>
          <cell r="AG67">
            <v>125.56820207930352</v>
          </cell>
          <cell r="AH67">
            <v>82.760553148431612</v>
          </cell>
          <cell r="AI67">
            <v>72.743292630992386</v>
          </cell>
          <cell r="AJ67">
            <v>89.5</v>
          </cell>
          <cell r="AN67">
            <v>31</v>
          </cell>
          <cell r="AP67">
            <v>35261.125</v>
          </cell>
          <cell r="AQ67">
            <v>509.34</v>
          </cell>
          <cell r="AR67">
            <v>19.55</v>
          </cell>
          <cell r="AS67">
            <v>1.760529217199559</v>
          </cell>
          <cell r="AT67">
            <v>13.530511463844796</v>
          </cell>
          <cell r="AV67">
            <v>9.9575969999999998</v>
          </cell>
          <cell r="AW67">
            <v>0.8967079514884233</v>
          </cell>
          <cell r="AX67">
            <v>6.8916307089947075</v>
          </cell>
          <cell r="AZ67">
            <v>10</v>
          </cell>
          <cell r="BA67">
            <v>10</v>
          </cell>
          <cell r="BB67">
            <v>10</v>
          </cell>
          <cell r="BC67">
            <v>10</v>
          </cell>
          <cell r="BD67">
            <v>10</v>
          </cell>
          <cell r="BE67">
            <v>10</v>
          </cell>
          <cell r="BF67">
            <v>9.0052645381051608E-2</v>
          </cell>
          <cell r="BI67">
            <v>31</v>
          </cell>
          <cell r="BK67">
            <v>35261.125</v>
          </cell>
          <cell r="CD67" t="str">
            <v/>
          </cell>
          <cell r="CF67">
            <v>35261.125</v>
          </cell>
          <cell r="CG67">
            <v>10.25</v>
          </cell>
          <cell r="CH67">
            <v>10.25</v>
          </cell>
          <cell r="CI67">
            <v>10.25</v>
          </cell>
          <cell r="CU67">
            <v>10</v>
          </cell>
          <cell r="CV67">
            <v>10</v>
          </cell>
          <cell r="CY67" t="str">
            <v/>
          </cell>
        </row>
        <row r="68">
          <cell r="A68">
            <v>35291.5625</v>
          </cell>
          <cell r="R68" t="str">
            <v/>
          </cell>
          <cell r="T68">
            <v>35291.5625</v>
          </cell>
          <cell r="U68">
            <v>0</v>
          </cell>
          <cell r="V68">
            <v>75.38470702671404</v>
          </cell>
          <cell r="W68">
            <v>3.6732233438958959</v>
          </cell>
          <cell r="X68">
            <v>30.604089074451249</v>
          </cell>
          <cell r="Y68">
            <v>78.3</v>
          </cell>
          <cell r="Z68">
            <v>133.37229311216137</v>
          </cell>
          <cell r="AA68">
            <v>71.8</v>
          </cell>
          <cell r="AB68">
            <v>144.75710154268208</v>
          </cell>
          <cell r="AC68">
            <v>17.330680688142518</v>
          </cell>
          <cell r="AD68">
            <v>20.182545845581846</v>
          </cell>
          <cell r="AE68">
            <v>52.487724067727967</v>
          </cell>
          <cell r="AF68">
            <v>82.640674561480068</v>
          </cell>
          <cell r="AG68">
            <v>121.36108866793521</v>
          </cell>
          <cell r="AH68">
            <v>83.065666917468803</v>
          </cell>
          <cell r="AI68">
            <v>62.794627251714687</v>
          </cell>
          <cell r="AJ68">
            <v>75.430000000000007</v>
          </cell>
          <cell r="AN68">
            <v>32</v>
          </cell>
          <cell r="AP68">
            <v>35291.5625</v>
          </cell>
          <cell r="AQ68">
            <v>506</v>
          </cell>
          <cell r="AR68">
            <v>20.420000000000002</v>
          </cell>
          <cell r="AS68">
            <v>1.6915104740904077</v>
          </cell>
          <cell r="AT68">
            <v>13.667372134038802</v>
          </cell>
          <cell r="AV68">
            <v>10.332520000000001</v>
          </cell>
          <cell r="AW68">
            <v>0.85590429988974637</v>
          </cell>
          <cell r="AX68">
            <v>6.915690299823634</v>
          </cell>
          <cell r="AZ68">
            <v>10</v>
          </cell>
          <cell r="BA68">
            <v>10</v>
          </cell>
          <cell r="BB68">
            <v>10</v>
          </cell>
          <cell r="BC68">
            <v>10</v>
          </cell>
          <cell r="BD68">
            <v>10</v>
          </cell>
          <cell r="BE68">
            <v>10</v>
          </cell>
          <cell r="BF68">
            <v>8.2835968368776089E-2</v>
          </cell>
          <cell r="BI68">
            <v>32</v>
          </cell>
          <cell r="BK68">
            <v>35291.5625</v>
          </cell>
          <cell r="CD68" t="str">
            <v/>
          </cell>
          <cell r="CF68">
            <v>35291.5625</v>
          </cell>
          <cell r="CG68">
            <v>10.25</v>
          </cell>
          <cell r="CH68">
            <v>10.25</v>
          </cell>
          <cell r="CI68">
            <v>10.25</v>
          </cell>
          <cell r="CU68">
            <v>10</v>
          </cell>
          <cell r="CV68">
            <v>10</v>
          </cell>
          <cell r="CY68" t="str">
            <v/>
          </cell>
        </row>
        <row r="69">
          <cell r="A69">
            <v>35322</v>
          </cell>
          <cell r="R69" t="str">
            <v/>
          </cell>
          <cell r="T69">
            <v>35322</v>
          </cell>
          <cell r="U69">
            <v>0</v>
          </cell>
          <cell r="V69">
            <v>42.210347984355117</v>
          </cell>
          <cell r="W69">
            <v>7.7896258348656868</v>
          </cell>
          <cell r="X69">
            <v>28.085536415671736</v>
          </cell>
          <cell r="Y69">
            <v>69.099999999999994</v>
          </cell>
          <cell r="Z69">
            <v>31.533825086231776</v>
          </cell>
          <cell r="AA69">
            <v>73.5</v>
          </cell>
          <cell r="AB69">
            <v>112.64220776246118</v>
          </cell>
          <cell r="AC69">
            <v>18.519038153842583</v>
          </cell>
          <cell r="AD69">
            <v>42.800141949811461</v>
          </cell>
          <cell r="AE69">
            <v>49.677591663020664</v>
          </cell>
          <cell r="AF69">
            <v>91.268155073552123</v>
          </cell>
          <cell r="AG69">
            <v>131.95946460805746</v>
          </cell>
          <cell r="AH69">
            <v>68.507381366266245</v>
          </cell>
          <cell r="AI69">
            <v>55.49373773690975</v>
          </cell>
          <cell r="AJ69">
            <v>72.16</v>
          </cell>
          <cell r="AN69">
            <v>33</v>
          </cell>
          <cell r="AP69">
            <v>35322</v>
          </cell>
          <cell r="AQ69">
            <v>512.83000000000004</v>
          </cell>
          <cell r="AR69">
            <v>22.3</v>
          </cell>
          <cell r="AS69">
            <v>1.6628445424476295</v>
          </cell>
          <cell r="AT69">
            <v>13.508641975308644</v>
          </cell>
          <cell r="AV69">
            <v>11.436109</v>
          </cell>
          <cell r="AW69">
            <v>0.85275656670341793</v>
          </cell>
          <cell r="AX69">
            <v>6.9276368641975319</v>
          </cell>
          <cell r="AZ69">
            <v>10</v>
          </cell>
          <cell r="BA69">
            <v>10</v>
          </cell>
          <cell r="BB69">
            <v>10</v>
          </cell>
          <cell r="BC69">
            <v>10</v>
          </cell>
          <cell r="BD69">
            <v>10</v>
          </cell>
          <cell r="BE69">
            <v>10</v>
          </cell>
          <cell r="BF69">
            <v>7.4567019840700882E-2</v>
          </cell>
          <cell r="BI69">
            <v>33</v>
          </cell>
          <cell r="BK69">
            <v>35322</v>
          </cell>
          <cell r="CD69" t="str">
            <v/>
          </cell>
          <cell r="CF69">
            <v>35322</v>
          </cell>
          <cell r="CG69">
            <v>9.75</v>
          </cell>
          <cell r="CH69">
            <v>9.75</v>
          </cell>
          <cell r="CI69">
            <v>9.75</v>
          </cell>
          <cell r="CU69">
            <v>10</v>
          </cell>
          <cell r="CV69">
            <v>10</v>
          </cell>
          <cell r="CY69" t="str">
            <v/>
          </cell>
        </row>
        <row r="70">
          <cell r="A70">
            <v>35352.4375</v>
          </cell>
          <cell r="R70" t="str">
            <v/>
          </cell>
          <cell r="T70">
            <v>35352.4375</v>
          </cell>
          <cell r="U70">
            <v>0</v>
          </cell>
          <cell r="V70">
            <v>61.059959524898154</v>
          </cell>
          <cell r="W70">
            <v>18.118428924573923</v>
          </cell>
          <cell r="X70">
            <v>26.104602496280659</v>
          </cell>
          <cell r="Y70">
            <v>78</v>
          </cell>
          <cell r="Z70">
            <v>99.62</v>
          </cell>
          <cell r="AA70">
            <v>75.5</v>
          </cell>
          <cell r="AB70">
            <v>119.39</v>
          </cell>
          <cell r="AC70">
            <v>17.414937278677876</v>
          </cell>
          <cell r="AD70">
            <v>99.551807277878694</v>
          </cell>
          <cell r="AE70">
            <v>49.254513438968551</v>
          </cell>
          <cell r="AF70">
            <v>75.980682127406283</v>
          </cell>
          <cell r="AG70">
            <v>132.64175915775138</v>
          </cell>
          <cell r="AH70">
            <v>98.196819137067692</v>
          </cell>
          <cell r="AI70">
            <v>62.347710221170971</v>
          </cell>
          <cell r="AJ70">
            <v>94.55</v>
          </cell>
          <cell r="AN70">
            <v>34</v>
          </cell>
          <cell r="AP70">
            <v>35352.4375</v>
          </cell>
          <cell r="AQ70">
            <v>516.66999999999996</v>
          </cell>
          <cell r="AR70">
            <v>23.61</v>
          </cell>
          <cell r="AS70">
            <v>1.6632855567805955</v>
          </cell>
          <cell r="AT70">
            <v>13.441622574955908</v>
          </cell>
          <cell r="AV70">
            <v>12.198578699999999</v>
          </cell>
          <cell r="AW70">
            <v>0.85936974862183024</v>
          </cell>
          <cell r="AX70">
            <v>6.9448831358024679</v>
          </cell>
          <cell r="AZ70">
            <v>10</v>
          </cell>
          <cell r="BA70">
            <v>10</v>
          </cell>
          <cell r="BB70">
            <v>10</v>
          </cell>
          <cell r="BC70">
            <v>10</v>
          </cell>
          <cell r="BD70">
            <v>10</v>
          </cell>
          <cell r="BE70">
            <v>10</v>
          </cell>
          <cell r="BF70">
            <v>7.0448350562498749E-2</v>
          </cell>
          <cell r="BI70">
            <v>34</v>
          </cell>
          <cell r="BK70">
            <v>35352.4375</v>
          </cell>
          <cell r="CD70" t="str">
            <v/>
          </cell>
          <cell r="CF70">
            <v>35352.4375</v>
          </cell>
          <cell r="CG70">
            <v>9.75</v>
          </cell>
          <cell r="CH70">
            <v>9.75</v>
          </cell>
          <cell r="CI70">
            <v>9.75</v>
          </cell>
          <cell r="CU70">
            <v>10</v>
          </cell>
          <cell r="CV70">
            <v>10</v>
          </cell>
          <cell r="CY70" t="str">
            <v/>
          </cell>
        </row>
        <row r="71">
          <cell r="A71">
            <v>35382.875</v>
          </cell>
          <cell r="R71" t="str">
            <v/>
          </cell>
          <cell r="T71">
            <v>35382.875</v>
          </cell>
          <cell r="U71">
            <v>43.17115127077173</v>
          </cell>
          <cell r="V71">
            <v>101.91132523537138</v>
          </cell>
          <cell r="W71">
            <v>52.227062063437593</v>
          </cell>
          <cell r="X71">
            <v>27.185614699792257</v>
          </cell>
          <cell r="Y71">
            <v>96.1</v>
          </cell>
          <cell r="Z71">
            <v>115.14</v>
          </cell>
          <cell r="AA71">
            <v>93.8</v>
          </cell>
          <cell r="AB71">
            <v>115.34</v>
          </cell>
          <cell r="AC71">
            <v>89.658019331411396</v>
          </cell>
          <cell r="AD71">
            <v>92.917911981694274</v>
          </cell>
          <cell r="AE71">
            <v>63.37939391910745</v>
          </cell>
          <cell r="AF71">
            <v>77.691759225196137</v>
          </cell>
          <cell r="AG71">
            <v>119.18760843272578</v>
          </cell>
          <cell r="AH71">
            <v>90.780686505980327</v>
          </cell>
          <cell r="AI71">
            <v>83.922188397357928</v>
          </cell>
          <cell r="AJ71">
            <v>97.44</v>
          </cell>
          <cell r="AN71">
            <v>35</v>
          </cell>
          <cell r="AP71">
            <v>35382.875</v>
          </cell>
          <cell r="AQ71">
            <v>511.6</v>
          </cell>
          <cell r="AR71">
            <v>23.21</v>
          </cell>
          <cell r="AS71">
            <v>1.6877618522601985</v>
          </cell>
          <cell r="AT71">
            <v>13.269488536155203</v>
          </cell>
          <cell r="AV71">
            <v>11.874236000000002</v>
          </cell>
          <cell r="AW71">
            <v>0.86345896361631758</v>
          </cell>
          <cell r="AX71">
            <v>6.7886703350970024</v>
          </cell>
          <cell r="AZ71">
            <v>10</v>
          </cell>
          <cell r="BA71">
            <v>10</v>
          </cell>
          <cell r="BB71">
            <v>10</v>
          </cell>
          <cell r="BC71">
            <v>10</v>
          </cell>
          <cell r="BD71">
            <v>10</v>
          </cell>
          <cell r="BE71">
            <v>10</v>
          </cell>
          <cell r="BF71">
            <v>7.2717012161145983E-2</v>
          </cell>
          <cell r="BI71">
            <v>35</v>
          </cell>
          <cell r="BK71">
            <v>35382.875</v>
          </cell>
          <cell r="CD71" t="str">
            <v/>
          </cell>
          <cell r="CF71">
            <v>35382.875</v>
          </cell>
          <cell r="CG71">
            <v>9.75</v>
          </cell>
          <cell r="CH71">
            <v>9.75</v>
          </cell>
          <cell r="CI71">
            <v>9.75</v>
          </cell>
          <cell r="CU71">
            <v>10</v>
          </cell>
          <cell r="CV71">
            <v>10</v>
          </cell>
          <cell r="CY71" t="str">
            <v/>
          </cell>
        </row>
        <row r="72">
          <cell r="A72">
            <v>35413.3125</v>
          </cell>
          <cell r="R72" t="str">
            <v/>
          </cell>
          <cell r="T72">
            <v>35413.3125</v>
          </cell>
          <cell r="U72">
            <v>211.94859069770365</v>
          </cell>
          <cell r="V72">
            <v>135.40048086751059</v>
          </cell>
          <cell r="W72">
            <v>189.90354536431246</v>
          </cell>
          <cell r="X72">
            <v>36.451038535443054</v>
          </cell>
          <cell r="Y72">
            <v>111.6</v>
          </cell>
          <cell r="Z72">
            <v>102.02</v>
          </cell>
          <cell r="AA72">
            <v>112.7</v>
          </cell>
          <cell r="AB72">
            <v>115.24</v>
          </cell>
          <cell r="AC72">
            <v>160.64874593542305</v>
          </cell>
          <cell r="AD72">
            <v>90.768008222221567</v>
          </cell>
          <cell r="AE72">
            <v>57.352417984175034</v>
          </cell>
          <cell r="AF72">
            <v>80.025930738574289</v>
          </cell>
          <cell r="AG72">
            <v>120.92174834310977</v>
          </cell>
          <cell r="AH72">
            <v>56.203201618971015</v>
          </cell>
          <cell r="AI72">
            <v>125.19289211436393</v>
          </cell>
          <cell r="AJ72">
            <v>112.64</v>
          </cell>
          <cell r="AN72">
            <v>36</v>
          </cell>
          <cell r="AP72">
            <v>35413.3125</v>
          </cell>
          <cell r="AQ72">
            <v>524.23</v>
          </cell>
          <cell r="AR72">
            <v>22.81</v>
          </cell>
          <cell r="AS72">
            <v>1.7122381477398017</v>
          </cell>
          <cell r="AT72">
            <v>13.097354497354498</v>
          </cell>
          <cell r="AV72">
            <v>11.957686299999999</v>
          </cell>
          <cell r="AW72">
            <v>0.89760660418963634</v>
          </cell>
          <cell r="AX72">
            <v>6.8660261481481486</v>
          </cell>
          <cell r="AZ72">
            <v>10</v>
          </cell>
          <cell r="BA72">
            <v>10</v>
          </cell>
          <cell r="BB72">
            <v>10</v>
          </cell>
          <cell r="BC72">
            <v>10</v>
          </cell>
          <cell r="BD72">
            <v>10</v>
          </cell>
          <cell r="BE72">
            <v>10</v>
          </cell>
          <cell r="BF72">
            <v>7.5065241023226745E-2</v>
          </cell>
          <cell r="BI72">
            <v>36</v>
          </cell>
          <cell r="BK72">
            <v>35413.3125</v>
          </cell>
          <cell r="CD72" t="str">
            <v/>
          </cell>
          <cell r="CF72">
            <v>35413.3125</v>
          </cell>
          <cell r="CG72">
            <v>9.75</v>
          </cell>
          <cell r="CH72">
            <v>9.75</v>
          </cell>
          <cell r="CI72">
            <v>9.75</v>
          </cell>
          <cell r="CU72">
            <v>10</v>
          </cell>
          <cell r="CV72">
            <v>10</v>
          </cell>
          <cell r="CY72" t="str">
            <v/>
          </cell>
        </row>
        <row r="73">
          <cell r="A73">
            <v>35443.75</v>
          </cell>
          <cell r="B73">
            <v>97.55</v>
          </cell>
          <cell r="D73">
            <v>101.364</v>
          </cell>
          <cell r="E73">
            <v>102.584</v>
          </cell>
          <cell r="F73">
            <v>101.627</v>
          </cell>
          <cell r="G73">
            <v>99.432000000000002</v>
          </cell>
          <cell r="H73">
            <v>100.371</v>
          </cell>
          <cell r="J73">
            <v>101</v>
          </cell>
          <cell r="K73">
            <v>100.45</v>
          </cell>
          <cell r="L73">
            <v>104.676</v>
          </cell>
          <cell r="M73">
            <v>103.512</v>
          </cell>
          <cell r="N73">
            <v>100.34099999999999</v>
          </cell>
          <cell r="R73">
            <v>37</v>
          </cell>
          <cell r="T73">
            <v>35443.75</v>
          </cell>
          <cell r="U73">
            <v>236.9061366318</v>
          </cell>
          <cell r="V73">
            <v>147.08034665928182</v>
          </cell>
          <cell r="W73">
            <v>208.66500149115592</v>
          </cell>
          <cell r="X73">
            <v>8.4531120140708076</v>
          </cell>
          <cell r="Y73">
            <v>129.3373550550107</v>
          </cell>
          <cell r="Z73">
            <v>118.72890523011536</v>
          </cell>
          <cell r="AA73">
            <v>130.58095326935023</v>
          </cell>
          <cell r="AB73">
            <v>117.39293067331505</v>
          </cell>
          <cell r="AC73">
            <v>173.71630804890759</v>
          </cell>
          <cell r="AD73">
            <v>81.67475075104737</v>
          </cell>
          <cell r="AE73">
            <v>87.927756197120445</v>
          </cell>
          <cell r="AF73">
            <v>126.36085915727598</v>
          </cell>
          <cell r="AG73">
            <v>134.38288524177173</v>
          </cell>
          <cell r="AH73">
            <v>86.235114028487658</v>
          </cell>
          <cell r="AI73">
            <v>142.08661997556996</v>
          </cell>
          <cell r="AJ73">
            <v>105.68</v>
          </cell>
          <cell r="AN73">
            <v>37</v>
          </cell>
          <cell r="AP73">
            <v>35443.75</v>
          </cell>
          <cell r="AQ73">
            <v>541.69000000000005</v>
          </cell>
          <cell r="AR73">
            <v>23.22</v>
          </cell>
          <cell r="AS73">
            <v>1.7589856670341784</v>
          </cell>
          <cell r="AT73">
            <v>12.52910052910053</v>
          </cell>
          <cell r="AV73">
            <v>12.578041800000001</v>
          </cell>
          <cell r="AW73">
            <v>0.95282494597574419</v>
          </cell>
          <cell r="AX73">
            <v>6.7868884656084667</v>
          </cell>
          <cell r="AZ73">
            <v>10</v>
          </cell>
          <cell r="BA73">
            <v>10</v>
          </cell>
          <cell r="BB73">
            <v>10</v>
          </cell>
          <cell r="BC73">
            <v>10</v>
          </cell>
          <cell r="BD73">
            <v>10</v>
          </cell>
          <cell r="BE73">
            <v>10</v>
          </cell>
          <cell r="BF73">
            <v>7.5753043369258324E-2</v>
          </cell>
          <cell r="BI73">
            <v>37</v>
          </cell>
          <cell r="BK73">
            <v>35443.75</v>
          </cell>
          <cell r="CD73" t="str">
            <v/>
          </cell>
          <cell r="CF73">
            <v>35443.75</v>
          </cell>
          <cell r="CG73">
            <v>9.75</v>
          </cell>
          <cell r="CH73">
            <v>9.75</v>
          </cell>
          <cell r="CI73">
            <v>9.75</v>
          </cell>
          <cell r="CU73">
            <v>10</v>
          </cell>
          <cell r="CV73">
            <v>10</v>
          </cell>
          <cell r="CY73" t="str">
            <v/>
          </cell>
        </row>
        <row r="74">
          <cell r="A74">
            <v>35474.1875</v>
          </cell>
          <cell r="B74">
            <v>100.738</v>
          </cell>
          <cell r="D74">
            <v>101.38800000000001</v>
          </cell>
          <cell r="E74">
            <v>100.55</v>
          </cell>
          <cell r="F74">
            <v>101.627</v>
          </cell>
          <cell r="G74">
            <v>99.432000000000002</v>
          </cell>
          <cell r="H74">
            <v>99.537999999999997</v>
          </cell>
          <cell r="J74">
            <v>100.97799999999999</v>
          </cell>
          <cell r="K74">
            <v>100.45</v>
          </cell>
          <cell r="L74">
            <v>105.092</v>
          </cell>
          <cell r="M74">
            <v>103.512</v>
          </cell>
          <cell r="N74">
            <v>101.163</v>
          </cell>
          <cell r="R74">
            <v>38</v>
          </cell>
          <cell r="T74">
            <v>35474.1875</v>
          </cell>
          <cell r="U74">
            <v>242.80364077619035</v>
          </cell>
          <cell r="V74">
            <v>140.9990934868614</v>
          </cell>
          <cell r="W74">
            <v>216.50528644494997</v>
          </cell>
          <cell r="X74">
            <v>8.9606867313499095</v>
          </cell>
          <cell r="Y74">
            <v>122.17654393032568</v>
          </cell>
          <cell r="Z74">
            <v>116.74058072569679</v>
          </cell>
          <cell r="AA74">
            <v>122.81378634048703</v>
          </cell>
          <cell r="AB74">
            <v>127.50894359830296</v>
          </cell>
          <cell r="AC74">
            <v>158.86796638926779</v>
          </cell>
          <cell r="AD74">
            <v>98.245373288066915</v>
          </cell>
          <cell r="AE74">
            <v>80.433475758339441</v>
          </cell>
          <cell r="AF74">
            <v>156.14031052926174</v>
          </cell>
          <cell r="AG74">
            <v>108.13800477337853</v>
          </cell>
          <cell r="AH74">
            <v>90.593882157590215</v>
          </cell>
          <cell r="AI74">
            <v>137.49813712533305</v>
          </cell>
          <cell r="AJ74">
            <v>97.86</v>
          </cell>
          <cell r="AN74">
            <v>38</v>
          </cell>
          <cell r="AP74">
            <v>35474.1875</v>
          </cell>
          <cell r="AQ74">
            <v>565.48</v>
          </cell>
          <cell r="AR74">
            <v>20.43</v>
          </cell>
          <cell r="AS74">
            <v>1.7728776185226021</v>
          </cell>
          <cell r="AT74">
            <v>12.229629629629629</v>
          </cell>
          <cell r="AV74">
            <v>11.5527564</v>
          </cell>
          <cell r="AW74">
            <v>1.0025268357221611</v>
          </cell>
          <cell r="AX74">
            <v>6.9156109629629627</v>
          </cell>
          <cell r="AZ74">
            <v>10</v>
          </cell>
          <cell r="BA74">
            <v>10</v>
          </cell>
          <cell r="BB74">
            <v>10</v>
          </cell>
          <cell r="BC74">
            <v>10</v>
          </cell>
          <cell r="BD74">
            <v>10</v>
          </cell>
          <cell r="BE74">
            <v>10</v>
          </cell>
          <cell r="BF74">
            <v>8.6778150686373082E-2</v>
          </cell>
          <cell r="BI74">
            <v>38</v>
          </cell>
          <cell r="BK74">
            <v>35474.1875</v>
          </cell>
          <cell r="CD74" t="str">
            <v/>
          </cell>
          <cell r="CF74">
            <v>35474.1875</v>
          </cell>
          <cell r="CG74">
            <v>9.75</v>
          </cell>
          <cell r="CH74">
            <v>9.75</v>
          </cell>
          <cell r="CI74">
            <v>9.75</v>
          </cell>
          <cell r="CU74">
            <v>10</v>
          </cell>
          <cell r="CV74">
            <v>10</v>
          </cell>
          <cell r="CY74" t="str">
            <v/>
          </cell>
        </row>
        <row r="75">
          <cell r="A75">
            <v>35504.625</v>
          </cell>
          <cell r="B75">
            <v>99.504999999999995</v>
          </cell>
          <cell r="D75">
            <v>101.532</v>
          </cell>
          <cell r="E75">
            <v>100.137</v>
          </cell>
          <cell r="F75">
            <v>101.636</v>
          </cell>
          <cell r="G75">
            <v>99.432000000000002</v>
          </cell>
          <cell r="H75">
            <v>100.642</v>
          </cell>
          <cell r="J75">
            <v>100.875</v>
          </cell>
          <cell r="K75">
            <v>100.452</v>
          </cell>
          <cell r="L75">
            <v>104.59</v>
          </cell>
          <cell r="M75">
            <v>103.768</v>
          </cell>
          <cell r="N75">
            <v>100.843</v>
          </cell>
          <cell r="R75">
            <v>39</v>
          </cell>
          <cell r="T75">
            <v>35504.625</v>
          </cell>
          <cell r="U75">
            <v>227.75180184050751</v>
          </cell>
          <cell r="V75">
            <v>157.16100376327105</v>
          </cell>
          <cell r="W75">
            <v>203.63287336771</v>
          </cell>
          <cell r="X75">
            <v>9.9167550384812202</v>
          </cell>
          <cell r="Y75">
            <v>142.06371798461075</v>
          </cell>
          <cell r="Z75">
            <v>132.87398744489332</v>
          </cell>
          <cell r="AA75">
            <v>143.14100379715563</v>
          </cell>
          <cell r="AB75">
            <v>133.98853844199348</v>
          </cell>
          <cell r="AC75">
            <v>179.04505054624931</v>
          </cell>
          <cell r="AD75">
            <v>95.172233738007932</v>
          </cell>
          <cell r="AE75">
            <v>96.284054445639455</v>
          </cell>
          <cell r="AF75">
            <v>138.93083910745659</v>
          </cell>
          <cell r="AG75">
            <v>155.6919090776035</v>
          </cell>
          <cell r="AH75">
            <v>102.18197856939003</v>
          </cell>
          <cell r="AI75">
            <v>150.57590290741459</v>
          </cell>
          <cell r="AJ75">
            <v>106.01</v>
          </cell>
          <cell r="AN75">
            <v>39</v>
          </cell>
          <cell r="AP75">
            <v>35504.625</v>
          </cell>
          <cell r="AQ75">
            <v>571.95000000000005</v>
          </cell>
          <cell r="AR75">
            <v>19.329999999999998</v>
          </cell>
          <cell r="AS75">
            <v>1.7779492833517088</v>
          </cell>
          <cell r="AT75">
            <v>12.40952380952381</v>
          </cell>
          <cell r="AV75">
            <v>11.0557935</v>
          </cell>
          <cell r="AW75">
            <v>1.01689809261301</v>
          </cell>
          <cell r="AX75">
            <v>7.0976271428571431</v>
          </cell>
          <cell r="AZ75">
            <v>10</v>
          </cell>
          <cell r="BA75">
            <v>10</v>
          </cell>
          <cell r="BB75">
            <v>10</v>
          </cell>
          <cell r="BC75">
            <v>10</v>
          </cell>
          <cell r="BD75">
            <v>10</v>
          </cell>
          <cell r="BE75">
            <v>10</v>
          </cell>
          <cell r="BF75">
            <v>9.1978752372049097E-2</v>
          </cell>
          <cell r="BI75">
            <v>39</v>
          </cell>
          <cell r="BK75">
            <v>35504.625</v>
          </cell>
          <cell r="CD75" t="str">
            <v/>
          </cell>
          <cell r="CF75">
            <v>35504.625</v>
          </cell>
          <cell r="CG75">
            <v>9.75</v>
          </cell>
          <cell r="CH75">
            <v>9.75</v>
          </cell>
          <cell r="CI75">
            <v>9.75</v>
          </cell>
          <cell r="CU75">
            <v>10</v>
          </cell>
          <cell r="CV75">
            <v>10</v>
          </cell>
          <cell r="CY75" t="str">
            <v/>
          </cell>
        </row>
        <row r="76">
          <cell r="A76">
            <v>35535.0625</v>
          </cell>
          <cell r="B76">
            <v>101.08</v>
          </cell>
          <cell r="D76">
            <v>101.578</v>
          </cell>
          <cell r="E76">
            <v>99.272000000000006</v>
          </cell>
          <cell r="F76">
            <v>101.735</v>
          </cell>
          <cell r="G76">
            <v>98.875</v>
          </cell>
          <cell r="H76">
            <v>100.642</v>
          </cell>
          <cell r="J76">
            <v>100.931</v>
          </cell>
          <cell r="K76">
            <v>100.452</v>
          </cell>
          <cell r="L76">
            <v>104.976</v>
          </cell>
          <cell r="M76">
            <v>103.768</v>
          </cell>
          <cell r="N76">
            <v>101.31399999999999</v>
          </cell>
          <cell r="R76">
            <v>40</v>
          </cell>
          <cell r="T76">
            <v>35535.0625</v>
          </cell>
          <cell r="U76">
            <v>163.47026413022294</v>
          </cell>
          <cell r="V76">
            <v>117.22075458239237</v>
          </cell>
          <cell r="W76">
            <v>151.43408463218947</v>
          </cell>
          <cell r="X76">
            <v>6.8283663696840504</v>
          </cell>
          <cell r="Y76">
            <v>117.42987097064749</v>
          </cell>
          <cell r="Z76">
            <v>159.66739954166303</v>
          </cell>
          <cell r="AA76">
            <v>112.47848636912313</v>
          </cell>
          <cell r="AB76">
            <v>142.94836389775608</v>
          </cell>
          <cell r="AC76">
            <v>85.077222762151706</v>
          </cell>
          <cell r="AD76">
            <v>97.295792026084456</v>
          </cell>
          <cell r="AE76">
            <v>92.860345412748245</v>
          </cell>
          <cell r="AF76">
            <v>149.67153435059521</v>
          </cell>
          <cell r="AG76">
            <v>132.55018175347203</v>
          </cell>
          <cell r="AH76">
            <v>94.491866227330505</v>
          </cell>
          <cell r="AI76">
            <v>120.18809480402876</v>
          </cell>
          <cell r="AJ76">
            <v>103.28</v>
          </cell>
          <cell r="AN76">
            <v>40</v>
          </cell>
          <cell r="AP76">
            <v>35535.0625</v>
          </cell>
          <cell r="AQ76">
            <v>576.25</v>
          </cell>
          <cell r="AR76">
            <v>17.88</v>
          </cell>
          <cell r="AS76">
            <v>1.7382579933847848</v>
          </cell>
          <cell r="AT76">
            <v>12.154497354497355</v>
          </cell>
          <cell r="AV76">
            <v>10.303349999999998</v>
          </cell>
          <cell r="AW76">
            <v>1.0016711686879822</v>
          </cell>
          <cell r="AX76">
            <v>7.0040291005291007</v>
          </cell>
          <cell r="AZ76">
            <v>10</v>
          </cell>
          <cell r="BA76">
            <v>10</v>
          </cell>
          <cell r="BB76">
            <v>10</v>
          </cell>
          <cell r="BC76">
            <v>10</v>
          </cell>
          <cell r="BD76">
            <v>10</v>
          </cell>
          <cell r="BE76">
            <v>10</v>
          </cell>
          <cell r="BF76">
            <v>9.7218008578567397E-2</v>
          </cell>
          <cell r="BI76">
            <v>40</v>
          </cell>
          <cell r="BK76">
            <v>35535.0625</v>
          </cell>
          <cell r="CD76" t="str">
            <v/>
          </cell>
          <cell r="CF76">
            <v>35535.0625</v>
          </cell>
          <cell r="CG76">
            <v>9.75</v>
          </cell>
          <cell r="CH76">
            <v>9.75</v>
          </cell>
          <cell r="CI76">
            <v>9.75</v>
          </cell>
          <cell r="CU76">
            <v>10</v>
          </cell>
          <cell r="CV76">
            <v>10</v>
          </cell>
          <cell r="CY76" t="str">
            <v/>
          </cell>
        </row>
        <row r="77">
          <cell r="A77">
            <v>35565.5</v>
          </cell>
          <cell r="B77">
            <v>108.55</v>
          </cell>
          <cell r="D77">
            <v>101.578</v>
          </cell>
          <cell r="E77">
            <v>99.463999999999999</v>
          </cell>
          <cell r="F77">
            <v>101.747</v>
          </cell>
          <cell r="G77">
            <v>98.736000000000004</v>
          </cell>
          <cell r="H77">
            <v>101.099</v>
          </cell>
          <cell r="J77">
            <v>100.931</v>
          </cell>
          <cell r="K77">
            <v>100.449</v>
          </cell>
          <cell r="L77">
            <v>105.19799999999999</v>
          </cell>
          <cell r="M77">
            <v>103.768</v>
          </cell>
          <cell r="N77">
            <v>103.956</v>
          </cell>
          <cell r="R77">
            <v>41</v>
          </cell>
          <cell r="T77">
            <v>35565.5</v>
          </cell>
          <cell r="U77">
            <v>25.878600275384521</v>
          </cell>
          <cell r="V77">
            <v>80.101290277002533</v>
          </cell>
          <cell r="W77">
            <v>35.539453987887676</v>
          </cell>
          <cell r="X77">
            <v>8.8662455816916825</v>
          </cell>
          <cell r="Y77">
            <v>98.340839379584267</v>
          </cell>
          <cell r="Z77">
            <v>158.05758658129997</v>
          </cell>
          <cell r="AA77">
            <v>91.340415998974819</v>
          </cell>
          <cell r="AB77">
            <v>124.23338953722777</v>
          </cell>
          <cell r="AC77">
            <v>22.355957290831562</v>
          </cell>
          <cell r="AD77">
            <v>78.953625675239209</v>
          </cell>
          <cell r="AE77">
            <v>79.850087278392436</v>
          </cell>
          <cell r="AF77">
            <v>130.06792047300488</v>
          </cell>
          <cell r="AG77">
            <v>145.27595383770222</v>
          </cell>
          <cell r="AH77">
            <v>111.23576265469735</v>
          </cell>
          <cell r="AI77">
            <v>81.916667124006594</v>
          </cell>
          <cell r="AJ77">
            <v>96.46</v>
          </cell>
          <cell r="AN77">
            <v>41</v>
          </cell>
          <cell r="AP77">
            <v>35565.5</v>
          </cell>
          <cell r="AQ77">
            <v>574.30999999999995</v>
          </cell>
          <cell r="AR77">
            <v>19.399999999999999</v>
          </cell>
          <cell r="AS77">
            <v>1.7477398015435501</v>
          </cell>
          <cell r="AT77">
            <v>12.126984126984127</v>
          </cell>
          <cell r="AV77">
            <v>11.141613999999997</v>
          </cell>
          <cell r="AW77">
            <v>1.0037444454244762</v>
          </cell>
          <cell r="AX77">
            <v>6.964648253968253</v>
          </cell>
          <cell r="AZ77">
            <v>10</v>
          </cell>
          <cell r="BA77">
            <v>10</v>
          </cell>
          <cell r="BB77">
            <v>10</v>
          </cell>
          <cell r="BC77">
            <v>10</v>
          </cell>
          <cell r="BD77">
            <v>10</v>
          </cell>
          <cell r="BE77">
            <v>10</v>
          </cell>
          <cell r="BF77">
            <v>9.0089680491935581E-2</v>
          </cell>
          <cell r="BI77">
            <v>41</v>
          </cell>
          <cell r="BK77">
            <v>35565.5</v>
          </cell>
          <cell r="CD77" t="str">
            <v/>
          </cell>
          <cell r="CF77">
            <v>35565.5</v>
          </cell>
          <cell r="CG77">
            <v>9.75</v>
          </cell>
          <cell r="CH77">
            <v>9.75</v>
          </cell>
          <cell r="CI77">
            <v>9.75</v>
          </cell>
          <cell r="CU77">
            <v>10</v>
          </cell>
          <cell r="CV77">
            <v>10</v>
          </cell>
          <cell r="CY77" t="str">
            <v/>
          </cell>
        </row>
        <row r="78">
          <cell r="A78">
            <v>35595.9375</v>
          </cell>
          <cell r="B78">
            <v>109.4</v>
          </cell>
          <cell r="D78">
            <v>101.578</v>
          </cell>
          <cell r="E78">
            <v>99.721000000000004</v>
          </cell>
          <cell r="F78">
            <v>101.747</v>
          </cell>
          <cell r="G78">
            <v>98.736000000000004</v>
          </cell>
          <cell r="H78">
            <v>101.699</v>
          </cell>
          <cell r="J78">
            <v>100.931</v>
          </cell>
          <cell r="K78">
            <v>100.45399999999999</v>
          </cell>
          <cell r="L78">
            <v>105.252</v>
          </cell>
          <cell r="M78">
            <v>103.75700000000001</v>
          </cell>
          <cell r="N78">
            <v>104.37</v>
          </cell>
          <cell r="R78">
            <v>42</v>
          </cell>
          <cell r="T78">
            <v>35595.9375</v>
          </cell>
          <cell r="U78">
            <v>0</v>
          </cell>
          <cell r="V78">
            <v>79.995862488172165</v>
          </cell>
          <cell r="W78">
            <v>16.965733044728861</v>
          </cell>
          <cell r="X78">
            <v>7.4680513354050948</v>
          </cell>
          <cell r="Y78">
            <v>95.517640265356277</v>
          </cell>
          <cell r="Z78">
            <v>154.83112840473393</v>
          </cell>
          <cell r="AA78">
            <v>88.56448979060184</v>
          </cell>
          <cell r="AB78">
            <v>137.27534857814956</v>
          </cell>
          <cell r="AC78">
            <v>18.399843307417939</v>
          </cell>
          <cell r="AD78">
            <v>93.218313432576167</v>
          </cell>
          <cell r="AE78">
            <v>88.329520156273745</v>
          </cell>
          <cell r="AF78">
            <v>117.97895834864701</v>
          </cell>
          <cell r="AG78">
            <v>130.07155751300968</v>
          </cell>
          <cell r="AH78">
            <v>118.28451340061748</v>
          </cell>
          <cell r="AI78">
            <v>75.238449009669353</v>
          </cell>
          <cell r="AJ78">
            <v>88.57</v>
          </cell>
          <cell r="AN78">
            <v>42</v>
          </cell>
          <cell r="AP78">
            <v>35595.9375</v>
          </cell>
          <cell r="AQ78">
            <v>582.9</v>
          </cell>
          <cell r="AR78">
            <v>17.920000000000002</v>
          </cell>
          <cell r="AS78">
            <v>1.775303197353914</v>
          </cell>
          <cell r="AT78">
            <v>12.009523809523811</v>
          </cell>
          <cell r="AV78">
            <v>10.445568000000002</v>
          </cell>
          <cell r="AW78">
            <v>1.0348242337375964</v>
          </cell>
          <cell r="AX78">
            <v>7.0003514285714292</v>
          </cell>
          <cell r="AZ78">
            <v>10</v>
          </cell>
          <cell r="BA78">
            <v>10</v>
          </cell>
          <cell r="BB78">
            <v>10</v>
          </cell>
          <cell r="BC78">
            <v>10</v>
          </cell>
          <cell r="BD78">
            <v>10</v>
          </cell>
          <cell r="BE78">
            <v>10</v>
          </cell>
          <cell r="BF78">
            <v>9.9068258780910357E-2</v>
          </cell>
          <cell r="BI78">
            <v>42</v>
          </cell>
          <cell r="BK78">
            <v>35595.9375</v>
          </cell>
          <cell r="CD78" t="str">
            <v/>
          </cell>
          <cell r="CF78">
            <v>35595.9375</v>
          </cell>
          <cell r="CG78">
            <v>9.75</v>
          </cell>
          <cell r="CH78">
            <v>9.75</v>
          </cell>
          <cell r="CI78">
            <v>9.75</v>
          </cell>
          <cell r="CU78">
            <v>10</v>
          </cell>
          <cell r="CV78">
            <v>10</v>
          </cell>
          <cell r="CY78" t="str">
            <v/>
          </cell>
        </row>
        <row r="79">
          <cell r="A79">
            <v>35626.375</v>
          </cell>
          <cell r="B79">
            <v>108.59699999999999</v>
          </cell>
          <cell r="D79">
            <v>101.56699999999999</v>
          </cell>
          <cell r="E79">
            <v>101.866</v>
          </cell>
          <cell r="F79">
            <v>101.688</v>
          </cell>
          <cell r="G79">
            <v>98.736000000000004</v>
          </cell>
          <cell r="H79">
            <v>102.533</v>
          </cell>
          <cell r="J79">
            <v>100.9</v>
          </cell>
          <cell r="K79">
            <v>100.45099999999999</v>
          </cell>
          <cell r="L79">
            <v>105.44799999999999</v>
          </cell>
          <cell r="M79">
            <v>103.768</v>
          </cell>
          <cell r="N79">
            <v>104.42700000000001</v>
          </cell>
          <cell r="R79">
            <v>43</v>
          </cell>
          <cell r="T79">
            <v>35626.375</v>
          </cell>
          <cell r="U79">
            <v>0</v>
          </cell>
          <cell r="V79">
            <v>83.573962407981028</v>
          </cell>
          <cell r="W79">
            <v>12.171893529395165</v>
          </cell>
          <cell r="X79">
            <v>6.7535446439766966</v>
          </cell>
          <cell r="Y79">
            <v>88.639629173626616</v>
          </cell>
          <cell r="Z79">
            <v>159.39105040478034</v>
          </cell>
          <cell r="AA79">
            <v>80.345642534922249</v>
          </cell>
          <cell r="AB79">
            <v>149.91987569827282</v>
          </cell>
          <cell r="AC79">
            <v>17.734091157457904</v>
          </cell>
          <cell r="AD79">
            <v>66.87853587579761</v>
          </cell>
          <cell r="AE79">
            <v>70.633264728440125</v>
          </cell>
          <cell r="AF79">
            <v>99.391793153403071</v>
          </cell>
          <cell r="AG79">
            <v>121.42845243934393</v>
          </cell>
          <cell r="AH79">
            <v>130.5513322782347</v>
          </cell>
          <cell r="AI79">
            <v>69.812402957080536</v>
          </cell>
          <cell r="AJ79">
            <v>87.98</v>
          </cell>
          <cell r="AN79">
            <v>43</v>
          </cell>
          <cell r="AP79">
            <v>35626.375</v>
          </cell>
          <cell r="AQ79">
            <v>604.36</v>
          </cell>
          <cell r="AR79">
            <v>18.350000000000001</v>
          </cell>
          <cell r="AS79">
            <v>1.7900771775082691</v>
          </cell>
          <cell r="AT79">
            <v>11.43174603174603</v>
          </cell>
          <cell r="AV79">
            <v>11.090006000000001</v>
          </cell>
          <cell r="AW79">
            <v>1.0818510429988977</v>
          </cell>
          <cell r="AX79">
            <v>6.9088900317460311</v>
          </cell>
          <cell r="AZ79">
            <v>10</v>
          </cell>
          <cell r="BA79">
            <v>10</v>
          </cell>
          <cell r="BB79">
            <v>10</v>
          </cell>
          <cell r="BC79">
            <v>10</v>
          </cell>
          <cell r="BD79">
            <v>10</v>
          </cell>
          <cell r="BE79">
            <v>10</v>
          </cell>
          <cell r="BF79">
            <v>9.7551889782466983E-2</v>
          </cell>
          <cell r="BI79">
            <v>43</v>
          </cell>
          <cell r="BK79">
            <v>35626.375</v>
          </cell>
          <cell r="CD79" t="str">
            <v/>
          </cell>
          <cell r="CF79">
            <v>35626.375</v>
          </cell>
          <cell r="CG79">
            <v>9.75</v>
          </cell>
          <cell r="CH79">
            <v>9.75</v>
          </cell>
          <cell r="CI79">
            <v>9.75</v>
          </cell>
          <cell r="CU79">
            <v>10</v>
          </cell>
          <cell r="CV79">
            <v>10</v>
          </cell>
          <cell r="CY79" t="str">
            <v/>
          </cell>
        </row>
        <row r="80">
          <cell r="A80">
            <v>35656.8125</v>
          </cell>
          <cell r="B80">
            <v>107.505</v>
          </cell>
          <cell r="D80">
            <v>101.56699999999999</v>
          </cell>
          <cell r="E80">
            <v>101.378</v>
          </cell>
          <cell r="F80">
            <v>101.714</v>
          </cell>
          <cell r="G80">
            <v>98.736000000000004</v>
          </cell>
          <cell r="H80">
            <v>101.666</v>
          </cell>
          <cell r="J80">
            <v>100.931</v>
          </cell>
          <cell r="K80">
            <v>101.723</v>
          </cell>
          <cell r="L80">
            <v>105.48099999999999</v>
          </cell>
          <cell r="M80">
            <v>103.768</v>
          </cell>
          <cell r="N80">
            <v>103.959</v>
          </cell>
          <cell r="R80">
            <v>44</v>
          </cell>
          <cell r="T80">
            <v>35656.8125</v>
          </cell>
          <cell r="U80">
            <v>0</v>
          </cell>
          <cell r="V80">
            <v>74.44768679017497</v>
          </cell>
          <cell r="W80">
            <v>6.6635972973415969</v>
          </cell>
          <cell r="X80">
            <v>4.7612808773243778</v>
          </cell>
          <cell r="Y80">
            <v>80.3159955574381</v>
          </cell>
          <cell r="Z80">
            <v>137.83072706786237</v>
          </cell>
          <cell r="AA80">
            <v>73.57370817472075</v>
          </cell>
          <cell r="AB80">
            <v>136.21392645660504</v>
          </cell>
          <cell r="AC80">
            <v>16.801984285499056</v>
          </cell>
          <cell r="AD80">
            <v>36.613171963415368</v>
          </cell>
          <cell r="AE80">
            <v>65.191324311032915</v>
          </cell>
          <cell r="AF80">
            <v>82.441003857356478</v>
          </cell>
          <cell r="AG80">
            <v>118.76620626533325</v>
          </cell>
          <cell r="AH80">
            <v>123.72051993876968</v>
          </cell>
          <cell r="AI80">
            <v>63.194217958940314</v>
          </cell>
          <cell r="AJ80">
            <v>77.03</v>
          </cell>
          <cell r="AN80">
            <v>44</v>
          </cell>
          <cell r="AP80">
            <v>35656.8125</v>
          </cell>
          <cell r="AQ80">
            <v>620.5</v>
          </cell>
          <cell r="AR80">
            <v>18.7</v>
          </cell>
          <cell r="AS80">
            <v>1.7907386990077176</v>
          </cell>
          <cell r="AT80">
            <v>11.431393298059964</v>
          </cell>
          <cell r="AV80">
            <v>11.603350000000001</v>
          </cell>
          <cell r="AW80">
            <v>1.1111533627342887</v>
          </cell>
          <cell r="AX80">
            <v>7.093179541446208</v>
          </cell>
          <cell r="AZ80">
            <v>10</v>
          </cell>
          <cell r="BA80">
            <v>10</v>
          </cell>
          <cell r="BB80">
            <v>10</v>
          </cell>
          <cell r="BC80">
            <v>10</v>
          </cell>
          <cell r="BD80">
            <v>10</v>
          </cell>
          <cell r="BE80">
            <v>10</v>
          </cell>
          <cell r="BF80">
            <v>9.5761427754423381E-2</v>
          </cell>
          <cell r="BI80">
            <v>44</v>
          </cell>
          <cell r="BK80">
            <v>35656.8125</v>
          </cell>
          <cell r="CD80" t="str">
            <v/>
          </cell>
          <cell r="CF80">
            <v>35656.8125</v>
          </cell>
          <cell r="CG80">
            <v>9.75</v>
          </cell>
          <cell r="CH80">
            <v>9.75</v>
          </cell>
          <cell r="CI80">
            <v>9.75</v>
          </cell>
          <cell r="CU80">
            <v>10</v>
          </cell>
          <cell r="CV80">
            <v>10</v>
          </cell>
          <cell r="CY80" t="str">
            <v/>
          </cell>
        </row>
        <row r="81">
          <cell r="A81">
            <v>35687.25</v>
          </cell>
          <cell r="B81">
            <v>105.43300000000001</v>
          </cell>
          <cell r="D81">
            <v>101.56699999999999</v>
          </cell>
          <cell r="E81">
            <v>101.917</v>
          </cell>
          <cell r="F81">
            <v>101.729</v>
          </cell>
          <cell r="G81">
            <v>98.736000000000004</v>
          </cell>
          <cell r="H81">
            <v>101.667</v>
          </cell>
          <cell r="J81">
            <v>100.91500000000001</v>
          </cell>
          <cell r="K81">
            <v>106.23</v>
          </cell>
          <cell r="L81">
            <v>105.345</v>
          </cell>
          <cell r="M81">
            <v>103.768</v>
          </cell>
          <cell r="N81">
            <v>103.453</v>
          </cell>
          <cell r="R81">
            <v>45</v>
          </cell>
          <cell r="T81">
            <v>35687.25</v>
          </cell>
          <cell r="U81">
            <v>0</v>
          </cell>
          <cell r="V81">
            <v>72.100292295263642</v>
          </cell>
          <cell r="W81">
            <v>6.0554861280950121</v>
          </cell>
          <cell r="X81">
            <v>8.0676857383954808</v>
          </cell>
          <cell r="Y81">
            <v>80.440552198388815</v>
          </cell>
          <cell r="Z81">
            <v>130.46537891738541</v>
          </cell>
          <cell r="AA81">
            <v>74.576284920204927</v>
          </cell>
          <cell r="AB81">
            <v>147.07061591095939</v>
          </cell>
          <cell r="AC81">
            <v>11.541878984961157</v>
          </cell>
          <cell r="AD81">
            <v>33.271901802719853</v>
          </cell>
          <cell r="AE81">
            <v>64.001197962967126</v>
          </cell>
          <cell r="AF81">
            <v>112.8669183676171</v>
          </cell>
          <cell r="AG81">
            <v>113.85805614112209</v>
          </cell>
          <cell r="AH81">
            <v>120.99940326388709</v>
          </cell>
          <cell r="AI81">
            <v>63.443468788234767</v>
          </cell>
          <cell r="AJ81">
            <v>79.52</v>
          </cell>
          <cell r="AN81">
            <v>45</v>
          </cell>
          <cell r="AP81">
            <v>35687.25</v>
          </cell>
          <cell r="AQ81">
            <v>601.49</v>
          </cell>
          <cell r="AR81">
            <v>18.66</v>
          </cell>
          <cell r="AS81">
            <v>1.7561190738699006</v>
          </cell>
          <cell r="AT81">
            <v>11.384126984126985</v>
          </cell>
          <cell r="AV81">
            <v>11.223803400000001</v>
          </cell>
          <cell r="AW81">
            <v>1.0562880617420065</v>
          </cell>
          <cell r="AX81">
            <v>6.8474385396825399</v>
          </cell>
          <cell r="AZ81">
            <v>10</v>
          </cell>
          <cell r="BA81">
            <v>10</v>
          </cell>
          <cell r="BB81">
            <v>10</v>
          </cell>
          <cell r="BC81">
            <v>10</v>
          </cell>
          <cell r="BD81">
            <v>10</v>
          </cell>
          <cell r="BE81">
            <v>10</v>
          </cell>
          <cell r="BF81">
            <v>9.4111418749726714E-2</v>
          </cell>
          <cell r="BI81">
            <v>45</v>
          </cell>
          <cell r="BK81">
            <v>35687.25</v>
          </cell>
          <cell r="CD81" t="str">
            <v/>
          </cell>
          <cell r="CF81">
            <v>35687.25</v>
          </cell>
          <cell r="CG81">
            <v>9.75</v>
          </cell>
          <cell r="CH81">
            <v>9.75</v>
          </cell>
          <cell r="CI81">
            <v>9.75</v>
          </cell>
          <cell r="CU81">
            <v>10</v>
          </cell>
          <cell r="CV81">
            <v>10</v>
          </cell>
          <cell r="CY81" t="str">
            <v/>
          </cell>
        </row>
        <row r="82">
          <cell r="A82">
            <v>35717.6875</v>
          </cell>
          <cell r="B82">
            <v>105.098</v>
          </cell>
          <cell r="D82">
            <v>101.98699999999999</v>
          </cell>
          <cell r="E82">
            <v>100.682</v>
          </cell>
          <cell r="F82">
            <v>102.31</v>
          </cell>
          <cell r="G82">
            <v>99.66</v>
          </cell>
          <cell r="H82">
            <v>101.66800000000001</v>
          </cell>
          <cell r="J82">
            <v>100.53700000000001</v>
          </cell>
          <cell r="K82">
            <v>102.084</v>
          </cell>
          <cell r="L82">
            <v>106.726</v>
          </cell>
          <cell r="M82">
            <v>104.235</v>
          </cell>
          <cell r="N82">
            <v>103.322</v>
          </cell>
          <cell r="R82">
            <v>46</v>
          </cell>
          <cell r="T82">
            <v>35717.6875</v>
          </cell>
          <cell r="U82">
            <v>0</v>
          </cell>
          <cell r="V82">
            <v>80.061640063125623</v>
          </cell>
          <cell r="W82">
            <v>10.508574764560965</v>
          </cell>
          <cell r="X82">
            <v>5.5460187949667707</v>
          </cell>
          <cell r="Y82">
            <v>95.827205336818182</v>
          </cell>
          <cell r="Z82">
            <v>151.05073954762085</v>
          </cell>
          <cell r="AA82">
            <v>89.353508456722835</v>
          </cell>
          <cell r="AB82">
            <v>154.00781212291753</v>
          </cell>
          <cell r="AC82">
            <v>13.528277095834795</v>
          </cell>
          <cell r="AD82">
            <v>57.739421783302006</v>
          </cell>
          <cell r="AE82">
            <v>62.746477867816438</v>
          </cell>
          <cell r="AF82">
            <v>179.2199215571811</v>
          </cell>
          <cell r="AG82">
            <v>134.41683759949083</v>
          </cell>
          <cell r="AH82">
            <v>106.16713800171237</v>
          </cell>
          <cell r="AI82">
            <v>75.392699599476686</v>
          </cell>
          <cell r="AJ82">
            <v>133.80000000000001</v>
          </cell>
          <cell r="AN82">
            <v>46</v>
          </cell>
          <cell r="AP82">
            <v>35717.6875</v>
          </cell>
          <cell r="AQ82">
            <v>589.28</v>
          </cell>
          <cell r="AR82">
            <v>20.04</v>
          </cell>
          <cell r="AS82">
            <v>1.7144432194046306</v>
          </cell>
          <cell r="AT82">
            <v>11.459259259259259</v>
          </cell>
          <cell r="AV82">
            <v>11.809171199999998</v>
          </cell>
          <cell r="AW82">
            <v>1.0102871003307607</v>
          </cell>
          <cell r="AX82">
            <v>6.7527122962962958</v>
          </cell>
          <cell r="AZ82">
            <v>10</v>
          </cell>
          <cell r="BA82">
            <v>10</v>
          </cell>
          <cell r="BB82">
            <v>10</v>
          </cell>
          <cell r="BC82">
            <v>10</v>
          </cell>
          <cell r="BD82">
            <v>10</v>
          </cell>
          <cell r="BE82">
            <v>10</v>
          </cell>
          <cell r="BF82">
            <v>8.5551058852526493E-2</v>
          </cell>
          <cell r="BI82">
            <v>46</v>
          </cell>
          <cell r="BK82">
            <v>35717.6875</v>
          </cell>
          <cell r="CD82" t="str">
            <v/>
          </cell>
          <cell r="CF82">
            <v>35717.6875</v>
          </cell>
          <cell r="CG82">
            <v>9.75</v>
          </cell>
          <cell r="CH82">
            <v>9.75</v>
          </cell>
          <cell r="CI82">
            <v>9.75</v>
          </cell>
          <cell r="CU82">
            <v>10</v>
          </cell>
          <cell r="CV82">
            <v>10</v>
          </cell>
          <cell r="CY82" t="str">
            <v/>
          </cell>
        </row>
        <row r="83">
          <cell r="A83">
            <v>35748.125</v>
          </cell>
          <cell r="B83">
            <v>106.334</v>
          </cell>
          <cell r="D83">
            <v>101.65900000000001</v>
          </cell>
          <cell r="E83">
            <v>103.018</v>
          </cell>
          <cell r="F83">
            <v>103.066</v>
          </cell>
          <cell r="G83">
            <v>99.733999999999995</v>
          </cell>
          <cell r="H83">
            <v>101.66800000000001</v>
          </cell>
          <cell r="J83">
            <v>100.622</v>
          </cell>
          <cell r="K83">
            <v>102.09099999999999</v>
          </cell>
          <cell r="L83">
            <v>107.036</v>
          </cell>
          <cell r="M83">
            <v>104.959</v>
          </cell>
          <cell r="N83">
            <v>104.093</v>
          </cell>
          <cell r="R83">
            <v>47</v>
          </cell>
          <cell r="T83">
            <v>35748.125</v>
          </cell>
          <cell r="U83">
            <v>282.48919105272756</v>
          </cell>
          <cell r="V83">
            <v>95.410584910930439</v>
          </cell>
          <cell r="W83">
            <v>244.38588383518228</v>
          </cell>
          <cell r="X83">
            <v>6.0211672128480842</v>
          </cell>
          <cell r="Y83">
            <v>109.90472085461204</v>
          </cell>
          <cell r="Z83">
            <v>153.39214633835994</v>
          </cell>
          <cell r="AA83">
            <v>104.80681441488898</v>
          </cell>
          <cell r="AB83">
            <v>112.09060527069894</v>
          </cell>
          <cell r="AC83">
            <v>59.13207331079537</v>
          </cell>
          <cell r="AD83">
            <v>73.058441566713029</v>
          </cell>
          <cell r="AE83">
            <v>73.274393127580637</v>
          </cell>
          <cell r="AF83">
            <v>197.16990242973446</v>
          </cell>
          <cell r="AG83">
            <v>142.35363801193836</v>
          </cell>
          <cell r="AH83">
            <v>116.87725397607866</v>
          </cell>
          <cell r="AI83">
            <v>134.48920824466228</v>
          </cell>
          <cell r="AJ83">
            <v>168.48</v>
          </cell>
          <cell r="AN83">
            <v>47</v>
          </cell>
          <cell r="AP83">
            <v>35748.125</v>
          </cell>
          <cell r="AQ83">
            <v>580.82000000000005</v>
          </cell>
          <cell r="AR83">
            <v>19.09</v>
          </cell>
          <cell r="AS83">
            <v>1.7029768467475193</v>
          </cell>
          <cell r="AT83">
            <v>10.799294532627865</v>
          </cell>
          <cell r="AV83">
            <v>11.087853800000001</v>
          </cell>
          <cell r="AW83">
            <v>0.98912301212789422</v>
          </cell>
          <cell r="AX83">
            <v>6.2724462504409173</v>
          </cell>
          <cell r="AZ83">
            <v>10</v>
          </cell>
          <cell r="BA83">
            <v>10</v>
          </cell>
          <cell r="BB83">
            <v>10</v>
          </cell>
          <cell r="BC83">
            <v>10</v>
          </cell>
          <cell r="BD83">
            <v>10</v>
          </cell>
          <cell r="BE83">
            <v>10</v>
          </cell>
          <cell r="BF83">
            <v>8.9207797105684605E-2</v>
          </cell>
          <cell r="BI83">
            <v>47</v>
          </cell>
          <cell r="BK83">
            <v>35748.125</v>
          </cell>
          <cell r="CD83" t="str">
            <v/>
          </cell>
          <cell r="CF83">
            <v>35748.125</v>
          </cell>
          <cell r="CG83">
            <v>9.75</v>
          </cell>
          <cell r="CH83">
            <v>9.75</v>
          </cell>
          <cell r="CI83">
            <v>9.75</v>
          </cell>
          <cell r="CU83">
            <v>10</v>
          </cell>
          <cell r="CV83">
            <v>10</v>
          </cell>
          <cell r="CY83" t="str">
            <v/>
          </cell>
        </row>
        <row r="84">
          <cell r="A84">
            <v>35778.5625</v>
          </cell>
          <cell r="B84">
            <v>105.93</v>
          </cell>
          <cell r="D84">
            <v>101.764</v>
          </cell>
          <cell r="E84">
            <v>104.021</v>
          </cell>
          <cell r="F84">
            <v>104.545</v>
          </cell>
          <cell r="G84">
            <v>99.831000000000003</v>
          </cell>
          <cell r="H84">
            <v>101.697</v>
          </cell>
          <cell r="J84">
            <v>100.622</v>
          </cell>
          <cell r="K84">
            <v>102.07899999999999</v>
          </cell>
          <cell r="L84">
            <v>106.934</v>
          </cell>
          <cell r="M84">
            <v>104.959</v>
          </cell>
          <cell r="N84">
            <v>104.16500000000001</v>
          </cell>
          <cell r="R84">
            <v>48</v>
          </cell>
          <cell r="T84">
            <v>35778.5625</v>
          </cell>
          <cell r="U84">
            <v>315.8119756638884</v>
          </cell>
          <cell r="V84">
            <v>145.41143377786068</v>
          </cell>
          <cell r="W84">
            <v>273.50538767640239</v>
          </cell>
          <cell r="X84">
            <v>7.4754218361862419</v>
          </cell>
          <cell r="Y84">
            <v>130.83032547988873</v>
          </cell>
          <cell r="Z84">
            <v>145.65900340959413</v>
          </cell>
          <cell r="AA84">
            <v>129.09200200202096</v>
          </cell>
          <cell r="AB84">
            <v>128.77387734293572</v>
          </cell>
          <cell r="AC84">
            <v>152.16058959548545</v>
          </cell>
          <cell r="AD84">
            <v>83.27779328046617</v>
          </cell>
          <cell r="AE84">
            <v>71.305098668818985</v>
          </cell>
          <cell r="AF84">
            <v>172.13521276603143</v>
          </cell>
          <cell r="AG84">
            <v>141.02090187445404</v>
          </cell>
          <cell r="AH84">
            <v>98.252860441584716</v>
          </cell>
          <cell r="AI84">
            <v>156.63013601719501</v>
          </cell>
          <cell r="AJ84">
            <v>126.13</v>
          </cell>
          <cell r="AN84">
            <v>48</v>
          </cell>
          <cell r="AP84">
            <v>35778.5625</v>
          </cell>
          <cell r="AQ84">
            <v>595.02</v>
          </cell>
          <cell r="AR84">
            <v>17.190000000000001</v>
          </cell>
          <cell r="AS84">
            <v>1.6394707828004409</v>
          </cell>
          <cell r="AT84">
            <v>10.184832451499117</v>
          </cell>
          <cell r="AV84">
            <v>10.228393799999999</v>
          </cell>
          <cell r="AW84">
            <v>0.97551790518191828</v>
          </cell>
          <cell r="AX84">
            <v>6.0601790052910047</v>
          </cell>
          <cell r="AZ84">
            <v>10</v>
          </cell>
          <cell r="BA84">
            <v>10</v>
          </cell>
          <cell r="BB84">
            <v>10</v>
          </cell>
          <cell r="BC84">
            <v>10</v>
          </cell>
          <cell r="BD84">
            <v>10</v>
          </cell>
          <cell r="BE84">
            <v>10</v>
          </cell>
          <cell r="BF84">
            <v>9.5373518487518377E-2</v>
          </cell>
          <cell r="BI84">
            <v>48</v>
          </cell>
          <cell r="BK84">
            <v>35778.5625</v>
          </cell>
          <cell r="CD84" t="str">
            <v/>
          </cell>
          <cell r="CF84">
            <v>35778.5625</v>
          </cell>
          <cell r="CG84">
            <v>9.75</v>
          </cell>
          <cell r="CH84">
            <v>9.75</v>
          </cell>
          <cell r="CI84">
            <v>9.75</v>
          </cell>
          <cell r="CU84">
            <v>10</v>
          </cell>
          <cell r="CV84">
            <v>10</v>
          </cell>
          <cell r="CY84" t="str">
            <v/>
          </cell>
        </row>
        <row r="85">
          <cell r="A85">
            <v>35809</v>
          </cell>
          <cell r="B85">
            <v>103.589</v>
          </cell>
          <cell r="D85">
            <v>102.203</v>
          </cell>
          <cell r="E85">
            <v>100.52800000000001</v>
          </cell>
          <cell r="F85">
            <v>103.681</v>
          </cell>
          <cell r="G85">
            <v>98.667000000000002</v>
          </cell>
          <cell r="H85">
            <v>100.825</v>
          </cell>
          <cell r="J85">
            <v>102.34699999999999</v>
          </cell>
          <cell r="K85">
            <v>102.04900000000001</v>
          </cell>
          <cell r="L85">
            <v>107.143</v>
          </cell>
          <cell r="M85">
            <v>105.021</v>
          </cell>
          <cell r="N85">
            <v>102.881</v>
          </cell>
          <cell r="R85">
            <v>49</v>
          </cell>
          <cell r="T85">
            <v>35809</v>
          </cell>
          <cell r="U85">
            <v>317.60000000000002</v>
          </cell>
          <cell r="V85">
            <v>194.9</v>
          </cell>
          <cell r="W85">
            <v>276.2</v>
          </cell>
          <cell r="X85">
            <v>8</v>
          </cell>
          <cell r="Y85">
            <v>153.6</v>
          </cell>
          <cell r="Z85">
            <v>173.8</v>
          </cell>
          <cell r="AA85">
            <v>151.19999999999999</v>
          </cell>
          <cell r="AB85">
            <v>64.900000000000006</v>
          </cell>
          <cell r="AC85">
            <v>259.2</v>
          </cell>
          <cell r="AD85">
            <v>90</v>
          </cell>
          <cell r="AE85">
            <v>82.9</v>
          </cell>
          <cell r="AF85">
            <v>116.4</v>
          </cell>
          <cell r="AG85">
            <v>148.4</v>
          </cell>
          <cell r="AH85">
            <v>110.6</v>
          </cell>
          <cell r="AI85">
            <v>174.8</v>
          </cell>
          <cell r="AJ85">
            <v>118.87</v>
          </cell>
          <cell r="AN85">
            <v>49</v>
          </cell>
          <cell r="AP85">
            <v>35809</v>
          </cell>
          <cell r="AQ85">
            <v>608.36</v>
          </cell>
          <cell r="AR85">
            <v>15.02</v>
          </cell>
          <cell r="AS85">
            <v>1.5907386990077177</v>
          </cell>
          <cell r="AT85">
            <v>10.211640211640212</v>
          </cell>
          <cell r="AV85">
            <v>9.1375671999999994</v>
          </cell>
          <cell r="AW85">
            <v>0.96774179492833512</v>
          </cell>
          <cell r="AX85">
            <v>6.2123534391534392</v>
          </cell>
          <cell r="AZ85">
            <v>10</v>
          </cell>
          <cell r="BA85">
            <v>10</v>
          </cell>
          <cell r="BB85">
            <v>10</v>
          </cell>
          <cell r="BC85">
            <v>10</v>
          </cell>
          <cell r="BD85">
            <v>10</v>
          </cell>
          <cell r="BE85">
            <v>10</v>
          </cell>
          <cell r="BF85">
            <v>0.10590803588599985</v>
          </cell>
          <cell r="BI85">
            <v>49</v>
          </cell>
          <cell r="BK85">
            <v>35809</v>
          </cell>
          <cell r="CD85" t="str">
            <v/>
          </cell>
          <cell r="CF85">
            <v>35809</v>
          </cell>
          <cell r="CG85">
            <v>9.75</v>
          </cell>
          <cell r="CH85">
            <v>9.75</v>
          </cell>
          <cell r="CI85">
            <v>9.75</v>
          </cell>
          <cell r="CU85">
            <v>10</v>
          </cell>
          <cell r="CV85">
            <v>10</v>
          </cell>
          <cell r="CY85" t="str">
            <v/>
          </cell>
        </row>
        <row r="86">
          <cell r="A86">
            <v>35839.4375</v>
          </cell>
          <cell r="B86">
            <v>104.907</v>
          </cell>
          <cell r="D86">
            <v>105.476</v>
          </cell>
          <cell r="E86">
            <v>101.779</v>
          </cell>
          <cell r="F86">
            <v>104.465</v>
          </cell>
          <cell r="G86">
            <v>98.667000000000002</v>
          </cell>
          <cell r="H86">
            <v>102.012</v>
          </cell>
          <cell r="J86">
            <v>100.52800000000001</v>
          </cell>
          <cell r="K86">
            <v>100.184</v>
          </cell>
          <cell r="L86">
            <v>111.79900000000001</v>
          </cell>
          <cell r="M86">
            <v>105.437</v>
          </cell>
          <cell r="N86">
            <v>104.256</v>
          </cell>
          <cell r="R86">
            <v>50</v>
          </cell>
          <cell r="T86">
            <v>35839.4375</v>
          </cell>
          <cell r="U86">
            <v>306.5</v>
          </cell>
          <cell r="V86">
            <v>165</v>
          </cell>
          <cell r="W86">
            <v>264.2</v>
          </cell>
          <cell r="X86">
            <v>5.9</v>
          </cell>
          <cell r="Y86">
            <v>140.9</v>
          </cell>
          <cell r="Z86">
            <v>154.69999999999999</v>
          </cell>
          <cell r="AA86">
            <v>139.30000000000001</v>
          </cell>
          <cell r="AB86">
            <v>75</v>
          </cell>
          <cell r="AC86">
            <v>207.3</v>
          </cell>
          <cell r="AD86">
            <v>74.2</v>
          </cell>
          <cell r="AE86">
            <v>80.3</v>
          </cell>
          <cell r="AF86">
            <v>122.3</v>
          </cell>
          <cell r="AG86">
            <v>156.19999999999999</v>
          </cell>
          <cell r="AH86">
            <v>109.4</v>
          </cell>
          <cell r="AI86">
            <v>162.9</v>
          </cell>
          <cell r="AJ86">
            <v>120.4</v>
          </cell>
          <cell r="AN86">
            <v>50</v>
          </cell>
          <cell r="AP86">
            <v>35839.4375</v>
          </cell>
          <cell r="AQ86">
            <v>608.42999999999995</v>
          </cell>
          <cell r="AR86">
            <v>14.58</v>
          </cell>
          <cell r="AS86">
            <v>1.5177508269018742</v>
          </cell>
          <cell r="AT86">
            <v>10.49206349206349</v>
          </cell>
          <cell r="AV86">
            <v>8.8709093999999986</v>
          </cell>
          <cell r="AW86">
            <v>0.92344513561190733</v>
          </cell>
          <cell r="AX86">
            <v>6.3836861904761895</v>
          </cell>
          <cell r="AZ86">
            <v>10</v>
          </cell>
          <cell r="BA86">
            <v>10</v>
          </cell>
          <cell r="BB86">
            <v>10</v>
          </cell>
          <cell r="BC86">
            <v>10</v>
          </cell>
          <cell r="BD86">
            <v>10</v>
          </cell>
          <cell r="BE86">
            <v>10</v>
          </cell>
          <cell r="BF86">
            <v>0.10409813627584873</v>
          </cell>
          <cell r="BI86">
            <v>50</v>
          </cell>
          <cell r="BK86">
            <v>35839.4375</v>
          </cell>
          <cell r="CD86" t="str">
            <v/>
          </cell>
          <cell r="CF86">
            <v>35839.4375</v>
          </cell>
          <cell r="CG86">
            <v>9.75</v>
          </cell>
          <cell r="CH86">
            <v>9.75</v>
          </cell>
          <cell r="CI86">
            <v>9.75</v>
          </cell>
          <cell r="CU86">
            <v>10</v>
          </cell>
          <cell r="CV86">
            <v>10</v>
          </cell>
          <cell r="CY86" t="str">
            <v/>
          </cell>
        </row>
        <row r="87">
          <cell r="A87">
            <v>35869.875</v>
          </cell>
          <cell r="B87">
            <v>105.79600000000001</v>
          </cell>
          <cell r="D87">
            <v>104.008</v>
          </cell>
          <cell r="E87">
            <v>99.295000000000002</v>
          </cell>
          <cell r="F87">
            <v>104.502</v>
          </cell>
          <cell r="G87">
            <v>98.212000000000003</v>
          </cell>
          <cell r="H87">
            <v>101.413</v>
          </cell>
          <cell r="J87">
            <v>101.102</v>
          </cell>
          <cell r="K87">
            <v>100.221</v>
          </cell>
          <cell r="L87">
            <v>116.136</v>
          </cell>
          <cell r="M87">
            <v>112.193</v>
          </cell>
          <cell r="N87">
            <v>104.92100000000001</v>
          </cell>
          <cell r="R87">
            <v>51</v>
          </cell>
          <cell r="T87">
            <v>35869.875</v>
          </cell>
          <cell r="U87">
            <v>326.7</v>
          </cell>
          <cell r="V87">
            <v>200.8</v>
          </cell>
          <cell r="W87">
            <v>284.3</v>
          </cell>
          <cell r="X87">
            <v>4.5</v>
          </cell>
          <cell r="Y87">
            <v>168.4</v>
          </cell>
          <cell r="Z87">
            <v>174.5</v>
          </cell>
          <cell r="AA87">
            <v>167.7</v>
          </cell>
          <cell r="AB87">
            <v>87.6</v>
          </cell>
          <cell r="AC87">
            <v>260.8</v>
          </cell>
          <cell r="AD87">
            <v>93.8</v>
          </cell>
          <cell r="AE87">
            <v>93.5</v>
          </cell>
          <cell r="AF87">
            <v>155.4</v>
          </cell>
          <cell r="AG87">
            <v>175.9</v>
          </cell>
          <cell r="AH87">
            <v>104.7</v>
          </cell>
          <cell r="AI87">
            <v>187.8</v>
          </cell>
          <cell r="AJ87">
            <v>128.85</v>
          </cell>
          <cell r="AN87">
            <v>51</v>
          </cell>
          <cell r="AP87">
            <v>35869.875</v>
          </cell>
          <cell r="AQ87">
            <v>612.22</v>
          </cell>
          <cell r="AR87">
            <v>12.88</v>
          </cell>
          <cell r="AS87">
            <v>1.5089305402425579</v>
          </cell>
          <cell r="AT87">
            <v>10.439153439153438</v>
          </cell>
          <cell r="AV87">
            <v>7.8853936000000013</v>
          </cell>
          <cell r="AW87">
            <v>0.92379745534729885</v>
          </cell>
          <cell r="AX87">
            <v>6.391058518518518</v>
          </cell>
          <cell r="AZ87">
            <v>10</v>
          </cell>
          <cell r="BA87">
            <v>10</v>
          </cell>
          <cell r="BB87">
            <v>10</v>
          </cell>
          <cell r="BC87">
            <v>10</v>
          </cell>
          <cell r="BD87">
            <v>10</v>
          </cell>
          <cell r="BE87">
            <v>10</v>
          </cell>
          <cell r="BF87">
            <v>0.11715299225485697</v>
          </cell>
          <cell r="BI87">
            <v>51</v>
          </cell>
          <cell r="BK87">
            <v>35869.875</v>
          </cell>
          <cell r="CD87" t="str">
            <v/>
          </cell>
          <cell r="CF87">
            <v>35869.875</v>
          </cell>
          <cell r="CG87">
            <v>9.75</v>
          </cell>
          <cell r="CH87">
            <v>9.75</v>
          </cell>
          <cell r="CI87">
            <v>9.75</v>
          </cell>
          <cell r="CU87">
            <v>10</v>
          </cell>
          <cell r="CV87">
            <v>10</v>
          </cell>
          <cell r="CY87" t="str">
            <v/>
          </cell>
        </row>
        <row r="88">
          <cell r="A88">
            <v>35900.3125</v>
          </cell>
          <cell r="B88">
            <v>114.48</v>
          </cell>
          <cell r="D88">
            <v>106.077</v>
          </cell>
          <cell r="E88">
            <v>101.44799999999999</v>
          </cell>
          <cell r="F88">
            <v>104.428</v>
          </cell>
          <cell r="G88">
            <v>98.212000000000003</v>
          </cell>
          <cell r="H88">
            <v>101.31100000000001</v>
          </cell>
          <cell r="J88">
            <v>101.102</v>
          </cell>
          <cell r="K88">
            <v>107.119</v>
          </cell>
          <cell r="L88">
            <v>116.074</v>
          </cell>
          <cell r="M88">
            <v>112.336</v>
          </cell>
          <cell r="N88">
            <v>108.44</v>
          </cell>
          <cell r="R88">
            <v>52</v>
          </cell>
          <cell r="T88">
            <v>35900.3125</v>
          </cell>
          <cell r="U88">
            <v>207.1</v>
          </cell>
          <cell r="V88">
            <v>123.4</v>
          </cell>
          <cell r="W88">
            <v>181.3</v>
          </cell>
          <cell r="X88">
            <v>0</v>
          </cell>
          <cell r="Y88">
            <v>119.5</v>
          </cell>
          <cell r="Z88">
            <v>201.1</v>
          </cell>
          <cell r="AA88">
            <v>109.9</v>
          </cell>
          <cell r="AB88">
            <v>89.3</v>
          </cell>
          <cell r="AC88">
            <v>98.1</v>
          </cell>
          <cell r="AD88">
            <v>65.400000000000006</v>
          </cell>
          <cell r="AE88">
            <v>65.3</v>
          </cell>
          <cell r="AF88">
            <v>124.8</v>
          </cell>
          <cell r="AG88">
            <v>164.9</v>
          </cell>
          <cell r="AH88">
            <v>77.099999999999994</v>
          </cell>
          <cell r="AI88">
            <v>128.9</v>
          </cell>
          <cell r="AJ88">
            <v>110.89</v>
          </cell>
          <cell r="AN88">
            <v>52</v>
          </cell>
          <cell r="AP88">
            <v>35900.3125</v>
          </cell>
          <cell r="AQ88">
            <v>608.34</v>
          </cell>
          <cell r="AR88">
            <v>13.39</v>
          </cell>
          <cell r="AS88">
            <v>1.4487320837927233</v>
          </cell>
          <cell r="AT88">
            <v>10.874779541446209</v>
          </cell>
          <cell r="AV88">
            <v>8.145672600000001</v>
          </cell>
          <cell r="AW88">
            <v>0.88132167585446541</v>
          </cell>
          <cell r="AX88">
            <v>6.6155633862433874</v>
          </cell>
          <cell r="AZ88">
            <v>10</v>
          </cell>
          <cell r="BA88">
            <v>10</v>
          </cell>
          <cell r="BB88">
            <v>10</v>
          </cell>
          <cell r="BC88">
            <v>10</v>
          </cell>
          <cell r="BD88">
            <v>10</v>
          </cell>
          <cell r="BE88">
            <v>10</v>
          </cell>
          <cell r="BF88">
            <v>0.10819507720632736</v>
          </cell>
          <cell r="BI88">
            <v>52</v>
          </cell>
          <cell r="BK88">
            <v>35900.3125</v>
          </cell>
          <cell r="CD88" t="str">
            <v/>
          </cell>
          <cell r="CF88">
            <v>35900.3125</v>
          </cell>
          <cell r="CG88">
            <v>9.75</v>
          </cell>
          <cell r="CH88">
            <v>9.75</v>
          </cell>
          <cell r="CI88">
            <v>9.75</v>
          </cell>
          <cell r="CU88">
            <v>10</v>
          </cell>
          <cell r="CV88">
            <v>10</v>
          </cell>
          <cell r="CY88" t="str">
            <v/>
          </cell>
        </row>
        <row r="89">
          <cell r="A89">
            <v>35930.75</v>
          </cell>
          <cell r="B89">
            <v>120.884</v>
          </cell>
          <cell r="D89">
            <v>105.059</v>
          </cell>
          <cell r="E89">
            <v>100.679</v>
          </cell>
          <cell r="F89">
            <v>104.015</v>
          </cell>
          <cell r="G89">
            <v>97.046999999999997</v>
          </cell>
          <cell r="H89">
            <v>101.35299999999999</v>
          </cell>
          <cell r="J89">
            <v>101.14</v>
          </cell>
          <cell r="K89">
            <v>107.09</v>
          </cell>
          <cell r="L89">
            <v>116.313</v>
          </cell>
          <cell r="M89">
            <v>112.14100000000001</v>
          </cell>
          <cell r="N89">
            <v>110.41</v>
          </cell>
          <cell r="R89">
            <v>53</v>
          </cell>
          <cell r="T89">
            <v>35930.75</v>
          </cell>
          <cell r="U89">
            <v>6.5</v>
          </cell>
          <cell r="V89">
            <v>82.2</v>
          </cell>
          <cell r="W89">
            <v>13</v>
          </cell>
          <cell r="X89">
            <v>0</v>
          </cell>
          <cell r="Y89">
            <v>92.7</v>
          </cell>
          <cell r="Z89">
            <v>197.9</v>
          </cell>
          <cell r="AA89">
            <v>80.3</v>
          </cell>
          <cell r="AB89">
            <v>87</v>
          </cell>
          <cell r="AC89">
            <v>21.5</v>
          </cell>
          <cell r="AD89">
            <v>42.2</v>
          </cell>
          <cell r="AE89">
            <v>55.7</v>
          </cell>
          <cell r="AF89">
            <v>124.8</v>
          </cell>
          <cell r="AG89">
            <v>145.9</v>
          </cell>
          <cell r="AH89">
            <v>110.3</v>
          </cell>
          <cell r="AI89">
            <v>73.8</v>
          </cell>
          <cell r="AJ89">
            <v>84.63</v>
          </cell>
          <cell r="AN89">
            <v>53</v>
          </cell>
          <cell r="AP89">
            <v>35930.75</v>
          </cell>
          <cell r="AQ89">
            <v>595.19000000000005</v>
          </cell>
          <cell r="AR89">
            <v>13.97</v>
          </cell>
          <cell r="AS89">
            <v>1.4191841234840132</v>
          </cell>
          <cell r="AT89">
            <v>10.546031746031748</v>
          </cell>
          <cell r="AV89">
            <v>8.3148043000000023</v>
          </cell>
          <cell r="AW89">
            <v>0.84468419845644993</v>
          </cell>
          <cell r="AX89">
            <v>6.2768926349206371</v>
          </cell>
          <cell r="AZ89">
            <v>10</v>
          </cell>
          <cell r="BA89">
            <v>10</v>
          </cell>
          <cell r="BB89">
            <v>10</v>
          </cell>
          <cell r="BC89">
            <v>10</v>
          </cell>
          <cell r="BD89">
            <v>10</v>
          </cell>
          <cell r="BE89">
            <v>10</v>
          </cell>
          <cell r="BF89">
            <v>0.10158798306972176</v>
          </cell>
          <cell r="BI89">
            <v>53</v>
          </cell>
          <cell r="BK89">
            <v>35930.75</v>
          </cell>
          <cell r="CD89" t="str">
            <v/>
          </cell>
          <cell r="CF89">
            <v>35930.75</v>
          </cell>
          <cell r="CG89">
            <v>9.75</v>
          </cell>
          <cell r="CH89">
            <v>9.75</v>
          </cell>
          <cell r="CI89">
            <v>9.75</v>
          </cell>
          <cell r="CU89">
            <v>10</v>
          </cell>
          <cell r="CV89">
            <v>10</v>
          </cell>
          <cell r="CY89" t="str">
            <v/>
          </cell>
        </row>
        <row r="90">
          <cell r="A90">
            <v>35961.1875</v>
          </cell>
          <cell r="B90">
            <v>127.44199999999999</v>
          </cell>
          <cell r="D90">
            <v>104.873</v>
          </cell>
          <cell r="E90">
            <v>99.679000000000002</v>
          </cell>
          <cell r="F90">
            <v>104.464</v>
          </cell>
          <cell r="G90">
            <v>97.18</v>
          </cell>
          <cell r="H90">
            <v>100.58799999999999</v>
          </cell>
          <cell r="J90">
            <v>101.11799999999999</v>
          </cell>
          <cell r="K90">
            <v>107.09</v>
          </cell>
          <cell r="L90">
            <v>116.358</v>
          </cell>
          <cell r="M90">
            <v>112.226</v>
          </cell>
          <cell r="N90">
            <v>112.443</v>
          </cell>
          <cell r="R90">
            <v>54</v>
          </cell>
          <cell r="T90">
            <v>35961.1875</v>
          </cell>
          <cell r="U90">
            <v>0</v>
          </cell>
          <cell r="V90">
            <v>70.3</v>
          </cell>
          <cell r="W90">
            <v>15.8</v>
          </cell>
          <cell r="X90">
            <v>14.5</v>
          </cell>
          <cell r="Y90">
            <v>87.3</v>
          </cell>
          <cell r="Z90">
            <v>145</v>
          </cell>
          <cell r="AA90">
            <v>80.599999999999994</v>
          </cell>
          <cell r="AB90">
            <v>89</v>
          </cell>
          <cell r="AC90">
            <v>24.6</v>
          </cell>
          <cell r="AD90">
            <v>86.7</v>
          </cell>
          <cell r="AE90">
            <v>59</v>
          </cell>
          <cell r="AF90">
            <v>107.3</v>
          </cell>
          <cell r="AG90">
            <v>138.30000000000001</v>
          </cell>
          <cell r="AH90">
            <v>116.8</v>
          </cell>
          <cell r="AI90">
            <v>69.099999999999994</v>
          </cell>
          <cell r="AJ90">
            <v>91.49</v>
          </cell>
          <cell r="AN90">
            <v>54</v>
          </cell>
          <cell r="AP90">
            <v>35961.1875</v>
          </cell>
          <cell r="AQ90">
            <v>601.11</v>
          </cell>
          <cell r="AR90">
            <v>12.48</v>
          </cell>
          <cell r="AS90">
            <v>1.5201764057331861</v>
          </cell>
          <cell r="AT90">
            <v>10.318871252204586</v>
          </cell>
          <cell r="AV90">
            <v>7.5018528000000009</v>
          </cell>
          <cell r="AW90">
            <v>0.91379323925027556</v>
          </cell>
          <cell r="AX90">
            <v>6.2027766984126984</v>
          </cell>
          <cell r="AZ90">
            <v>10</v>
          </cell>
          <cell r="BA90">
            <v>10</v>
          </cell>
          <cell r="BB90">
            <v>10</v>
          </cell>
          <cell r="BC90">
            <v>10</v>
          </cell>
          <cell r="BD90">
            <v>10</v>
          </cell>
          <cell r="BE90">
            <v>10</v>
          </cell>
          <cell r="BF90">
            <v>0.12180900686964631</v>
          </cell>
          <cell r="BI90">
            <v>54</v>
          </cell>
          <cell r="BK90">
            <v>35961.1875</v>
          </cell>
          <cell r="CD90" t="str">
            <v/>
          </cell>
          <cell r="CF90">
            <v>35961.1875</v>
          </cell>
          <cell r="CG90">
            <v>9.75</v>
          </cell>
          <cell r="CH90">
            <v>9.75</v>
          </cell>
          <cell r="CI90">
            <v>9.75</v>
          </cell>
          <cell r="CU90">
            <v>10</v>
          </cell>
          <cell r="CV90">
            <v>10</v>
          </cell>
          <cell r="CY90" t="str">
            <v/>
          </cell>
        </row>
        <row r="91">
          <cell r="A91">
            <v>35991.625</v>
          </cell>
          <cell r="B91">
            <v>121.215</v>
          </cell>
          <cell r="D91">
            <v>104.873</v>
          </cell>
          <cell r="E91">
            <v>99.576999999999998</v>
          </cell>
          <cell r="F91">
            <v>104.553</v>
          </cell>
          <cell r="G91">
            <v>94.981999999999999</v>
          </cell>
          <cell r="H91">
            <v>100.804</v>
          </cell>
          <cell r="J91">
            <v>101.11799999999999</v>
          </cell>
          <cell r="K91">
            <v>107.105</v>
          </cell>
          <cell r="L91">
            <v>116.78100000000001</v>
          </cell>
          <cell r="M91">
            <v>112.211</v>
          </cell>
          <cell r="N91">
            <v>110.309</v>
          </cell>
          <cell r="R91">
            <v>55</v>
          </cell>
          <cell r="T91">
            <v>35991.625</v>
          </cell>
          <cell r="U91">
            <v>0</v>
          </cell>
          <cell r="V91">
            <v>74</v>
          </cell>
          <cell r="W91">
            <v>14.3</v>
          </cell>
          <cell r="X91">
            <v>4.9000000000000004</v>
          </cell>
          <cell r="Y91">
            <v>97.2</v>
          </cell>
          <cell r="Z91">
            <v>174.1</v>
          </cell>
          <cell r="AA91">
            <v>88.2</v>
          </cell>
          <cell r="AB91">
            <v>85.8</v>
          </cell>
          <cell r="AC91">
            <v>18.399999999999999</v>
          </cell>
          <cell r="AD91">
            <v>78.8</v>
          </cell>
          <cell r="AE91">
            <v>95</v>
          </cell>
          <cell r="AF91">
            <v>122.3</v>
          </cell>
          <cell r="AG91">
            <v>143.1</v>
          </cell>
          <cell r="AH91">
            <v>88.6</v>
          </cell>
          <cell r="AI91">
            <v>76.5</v>
          </cell>
          <cell r="AJ91">
            <v>107.62</v>
          </cell>
          <cell r="AN91">
            <v>55</v>
          </cell>
          <cell r="AP91">
            <v>35991.625</v>
          </cell>
          <cell r="AQ91">
            <v>602.27</v>
          </cell>
          <cell r="AR91">
            <v>12.72</v>
          </cell>
          <cell r="AS91">
            <v>1.5404630650496141</v>
          </cell>
          <cell r="AT91">
            <v>10.326278659611994</v>
          </cell>
          <cell r="AV91">
            <v>7.6608744000000009</v>
          </cell>
          <cell r="AW91">
            <v>0.92777469018743097</v>
          </cell>
          <cell r="AX91">
            <v>6.2192078483245146</v>
          </cell>
          <cell r="AZ91">
            <v>10</v>
          </cell>
          <cell r="BA91">
            <v>10</v>
          </cell>
          <cell r="BB91">
            <v>10</v>
          </cell>
          <cell r="BC91">
            <v>10</v>
          </cell>
          <cell r="BD91">
            <v>10</v>
          </cell>
          <cell r="BE91">
            <v>10</v>
          </cell>
          <cell r="BF91">
            <v>0.12110558687496964</v>
          </cell>
          <cell r="BI91">
            <v>55</v>
          </cell>
          <cell r="BK91">
            <v>35991.625</v>
          </cell>
          <cell r="CD91" t="str">
            <v/>
          </cell>
          <cell r="CF91">
            <v>35991.625</v>
          </cell>
          <cell r="CG91">
            <v>9.75</v>
          </cell>
          <cell r="CH91">
            <v>9.75</v>
          </cell>
          <cell r="CI91">
            <v>9.75</v>
          </cell>
          <cell r="CU91">
            <v>10</v>
          </cell>
          <cell r="CV91">
            <v>10</v>
          </cell>
          <cell r="CY91" t="str">
            <v/>
          </cell>
        </row>
        <row r="92">
          <cell r="A92">
            <v>36022.0625</v>
          </cell>
          <cell r="B92">
            <v>123.01600000000001</v>
          </cell>
          <cell r="D92">
            <v>104.93899999999999</v>
          </cell>
          <cell r="E92">
            <v>100.598</v>
          </cell>
          <cell r="F92">
            <v>105.197</v>
          </cell>
          <cell r="G92">
            <v>94.343999999999994</v>
          </cell>
          <cell r="H92">
            <v>100.533</v>
          </cell>
          <cell r="J92">
            <v>101.11799999999999</v>
          </cell>
          <cell r="K92">
            <v>107.12</v>
          </cell>
          <cell r="L92">
            <v>116.413</v>
          </cell>
          <cell r="M92">
            <v>112.502</v>
          </cell>
          <cell r="N92">
            <v>110.985</v>
          </cell>
          <cell r="R92">
            <v>56</v>
          </cell>
          <cell r="T92">
            <v>36022.0625</v>
          </cell>
          <cell r="U92">
            <v>0</v>
          </cell>
          <cell r="V92">
            <v>65.099999999999994</v>
          </cell>
          <cell r="W92">
            <v>3</v>
          </cell>
          <cell r="X92">
            <v>11.2</v>
          </cell>
          <cell r="Y92">
            <v>71.5</v>
          </cell>
          <cell r="Z92">
            <v>137.5</v>
          </cell>
          <cell r="AA92">
            <v>63.8</v>
          </cell>
          <cell r="AB92">
            <v>87</v>
          </cell>
          <cell r="AC92">
            <v>19.3</v>
          </cell>
          <cell r="AD92">
            <v>16.2</v>
          </cell>
          <cell r="AE92">
            <v>63.2</v>
          </cell>
          <cell r="AF92">
            <v>103.4</v>
          </cell>
          <cell r="AG92">
            <v>95.1</v>
          </cell>
          <cell r="AH92">
            <v>72.400000000000006</v>
          </cell>
          <cell r="AI92">
            <v>56.6</v>
          </cell>
          <cell r="AJ92">
            <v>98.73</v>
          </cell>
          <cell r="AN92">
            <v>56</v>
          </cell>
          <cell r="AP92">
            <v>36022.0625</v>
          </cell>
          <cell r="AQ92">
            <v>599.5</v>
          </cell>
          <cell r="AR92">
            <v>12.49</v>
          </cell>
          <cell r="AS92">
            <v>1.5034178610804851</v>
          </cell>
          <cell r="AT92">
            <v>10.021516754850088</v>
          </cell>
          <cell r="AV92">
            <v>7.4877549999999999</v>
          </cell>
          <cell r="AW92">
            <v>0.90129900771775084</v>
          </cell>
          <cell r="AX92">
            <v>6.0078992945326277</v>
          </cell>
          <cell r="AZ92">
            <v>10</v>
          </cell>
          <cell r="BA92">
            <v>10</v>
          </cell>
          <cell r="BB92">
            <v>10</v>
          </cell>
          <cell r="BC92">
            <v>10</v>
          </cell>
          <cell r="BD92">
            <v>10</v>
          </cell>
          <cell r="BE92">
            <v>10</v>
          </cell>
          <cell r="BF92">
            <v>0.12036972466617175</v>
          </cell>
          <cell r="BI92">
            <v>56</v>
          </cell>
          <cell r="BK92">
            <v>36022.0625</v>
          </cell>
          <cell r="CD92" t="str">
            <v/>
          </cell>
          <cell r="CF92">
            <v>36022.0625</v>
          </cell>
          <cell r="CG92">
            <v>9.75</v>
          </cell>
          <cell r="CH92">
            <v>9.75</v>
          </cell>
          <cell r="CI92">
            <v>9.75</v>
          </cell>
          <cell r="CU92">
            <v>10</v>
          </cell>
          <cell r="CV92">
            <v>10</v>
          </cell>
          <cell r="CY92" t="str">
            <v/>
          </cell>
        </row>
        <row r="93">
          <cell r="A93">
            <v>36052.5</v>
          </cell>
          <cell r="B93">
            <v>116.92400000000001</v>
          </cell>
          <cell r="D93">
            <v>105.035</v>
          </cell>
          <cell r="E93">
            <v>104.982</v>
          </cell>
          <cell r="F93">
            <v>105.226</v>
          </cell>
          <cell r="G93">
            <v>94.575999999999993</v>
          </cell>
          <cell r="H93">
            <v>100.639</v>
          </cell>
          <cell r="J93">
            <v>101.11799999999999</v>
          </cell>
          <cell r="K93">
            <v>109.426</v>
          </cell>
          <cell r="L93">
            <v>116.312</v>
          </cell>
          <cell r="M93">
            <v>111.866</v>
          </cell>
          <cell r="N93">
            <v>109.447</v>
          </cell>
          <cell r="R93">
            <v>57</v>
          </cell>
          <cell r="T93">
            <v>36052.5</v>
          </cell>
          <cell r="U93">
            <v>0</v>
          </cell>
          <cell r="V93">
            <v>69.099999999999994</v>
          </cell>
          <cell r="W93">
            <v>5</v>
          </cell>
          <cell r="X93">
            <v>0</v>
          </cell>
          <cell r="Y93">
            <v>76.900000000000006</v>
          </cell>
          <cell r="Z93">
            <v>159</v>
          </cell>
          <cell r="AA93">
            <v>67.3</v>
          </cell>
          <cell r="AB93">
            <v>88.2</v>
          </cell>
          <cell r="AC93">
            <v>15.6</v>
          </cell>
          <cell r="AD93">
            <v>27.6</v>
          </cell>
          <cell r="AE93">
            <v>67.2</v>
          </cell>
          <cell r="AF93">
            <v>105.6</v>
          </cell>
          <cell r="AG93">
            <v>105.2</v>
          </cell>
          <cell r="AH93">
            <v>88.5</v>
          </cell>
          <cell r="AI93">
            <v>60.3</v>
          </cell>
          <cell r="AJ93">
            <v>100.4</v>
          </cell>
          <cell r="AN93">
            <v>57</v>
          </cell>
          <cell r="AP93">
            <v>36052.5</v>
          </cell>
          <cell r="AQ93">
            <v>570.67999999999995</v>
          </cell>
          <cell r="AR93">
            <v>13.07</v>
          </cell>
          <cell r="AS93">
            <v>1.4639470782800441</v>
          </cell>
          <cell r="AT93">
            <v>10.193298059964727</v>
          </cell>
          <cell r="AV93">
            <v>7.4587876</v>
          </cell>
          <cell r="AW93">
            <v>0.83544531863285543</v>
          </cell>
          <cell r="AX93">
            <v>5.8171113368606706</v>
          </cell>
          <cell r="AZ93">
            <v>10</v>
          </cell>
          <cell r="BA93">
            <v>10</v>
          </cell>
          <cell r="BB93">
            <v>10</v>
          </cell>
          <cell r="BC93">
            <v>10</v>
          </cell>
          <cell r="BD93">
            <v>10</v>
          </cell>
          <cell r="BE93">
            <v>10</v>
          </cell>
          <cell r="BF93">
            <v>0.11200819267636143</v>
          </cell>
          <cell r="BI93">
            <v>57</v>
          </cell>
          <cell r="BK93">
            <v>36052.5</v>
          </cell>
          <cell r="CD93" t="str">
            <v/>
          </cell>
          <cell r="CF93">
            <v>36052.5</v>
          </cell>
          <cell r="CG93">
            <v>9.75</v>
          </cell>
          <cell r="CH93">
            <v>9.75</v>
          </cell>
          <cell r="CI93">
            <v>9.75</v>
          </cell>
          <cell r="CU93">
            <v>10</v>
          </cell>
          <cell r="CV93">
            <v>10</v>
          </cell>
          <cell r="CY93" t="str">
            <v/>
          </cell>
        </row>
        <row r="94">
          <cell r="A94">
            <v>36082.9375</v>
          </cell>
          <cell r="B94">
            <v>115.37</v>
          </cell>
          <cell r="D94">
            <v>105.035</v>
          </cell>
          <cell r="E94">
            <v>101.881</v>
          </cell>
          <cell r="F94">
            <v>105.224</v>
          </cell>
          <cell r="G94">
            <v>94.575999999999993</v>
          </cell>
          <cell r="H94">
            <v>100.639</v>
          </cell>
          <cell r="J94">
            <v>101.11799999999999</v>
          </cell>
          <cell r="K94">
            <v>109.426</v>
          </cell>
          <cell r="L94">
            <v>116.718</v>
          </cell>
          <cell r="M94">
            <v>112.008</v>
          </cell>
          <cell r="N94">
            <v>108.642</v>
          </cell>
          <cell r="R94">
            <v>58</v>
          </cell>
          <cell r="T94">
            <v>36082.9375</v>
          </cell>
          <cell r="U94">
            <v>0</v>
          </cell>
          <cell r="V94">
            <v>66.3</v>
          </cell>
          <cell r="W94">
            <v>13.8</v>
          </cell>
          <cell r="X94">
            <v>5.0999999999999996</v>
          </cell>
          <cell r="Y94">
            <v>94</v>
          </cell>
          <cell r="Z94">
            <v>171.4</v>
          </cell>
          <cell r="AA94">
            <v>84.9</v>
          </cell>
          <cell r="AB94">
            <v>85.4</v>
          </cell>
          <cell r="AC94">
            <v>5.2</v>
          </cell>
          <cell r="AD94">
            <v>75.900000000000006</v>
          </cell>
          <cell r="AE94">
            <v>69.7</v>
          </cell>
          <cell r="AF94">
            <v>225.3</v>
          </cell>
          <cell r="AG94">
            <v>124.4</v>
          </cell>
          <cell r="AH94">
            <v>127.3</v>
          </cell>
          <cell r="AI94">
            <v>73.900000000000006</v>
          </cell>
          <cell r="AJ94">
            <v>110.27</v>
          </cell>
          <cell r="AN94">
            <v>58</v>
          </cell>
          <cell r="AP94">
            <v>36082.9375</v>
          </cell>
          <cell r="AQ94">
            <v>549.5</v>
          </cell>
          <cell r="AR94">
            <v>12.81</v>
          </cell>
          <cell r="AS94">
            <v>1.355237045203969</v>
          </cell>
          <cell r="AT94">
            <v>10.438447971781304</v>
          </cell>
          <cell r="AV94">
            <v>7.0390950000000005</v>
          </cell>
          <cell r="AW94">
            <v>0.74470275633958105</v>
          </cell>
          <cell r="AX94">
            <v>5.7359271604938264</v>
          </cell>
          <cell r="AZ94">
            <v>10</v>
          </cell>
          <cell r="BA94">
            <v>10</v>
          </cell>
          <cell r="BB94">
            <v>10</v>
          </cell>
          <cell r="BC94">
            <v>10</v>
          </cell>
          <cell r="BD94">
            <v>10</v>
          </cell>
          <cell r="BE94">
            <v>10</v>
          </cell>
          <cell r="BF94">
            <v>0.1057952416240413</v>
          </cell>
          <cell r="BI94">
            <v>58</v>
          </cell>
          <cell r="BK94">
            <v>36082.9375</v>
          </cell>
          <cell r="CD94" t="str">
            <v/>
          </cell>
          <cell r="CF94">
            <v>36082.9375</v>
          </cell>
          <cell r="CG94">
            <v>9.75</v>
          </cell>
          <cell r="CH94">
            <v>9.75</v>
          </cell>
          <cell r="CI94">
            <v>9.75</v>
          </cell>
          <cell r="CU94">
            <v>10</v>
          </cell>
          <cell r="CV94">
            <v>10</v>
          </cell>
          <cell r="CY94" t="str">
            <v/>
          </cell>
        </row>
        <row r="95">
          <cell r="A95">
            <v>36113.375</v>
          </cell>
          <cell r="B95">
            <v>113.298</v>
          </cell>
          <cell r="D95">
            <v>105.035</v>
          </cell>
          <cell r="E95">
            <v>104.008</v>
          </cell>
          <cell r="F95">
            <v>105.248</v>
          </cell>
          <cell r="G95">
            <v>94.602000000000004</v>
          </cell>
          <cell r="H95">
            <v>100.639</v>
          </cell>
          <cell r="J95">
            <v>100.89</v>
          </cell>
          <cell r="K95">
            <v>109.449</v>
          </cell>
          <cell r="L95">
            <v>116.623</v>
          </cell>
          <cell r="M95">
            <v>112.434</v>
          </cell>
          <cell r="N95">
            <v>108.17100000000001</v>
          </cell>
          <cell r="R95">
            <v>59</v>
          </cell>
          <cell r="T95">
            <v>36113.375</v>
          </cell>
          <cell r="U95">
            <v>107.9</v>
          </cell>
          <cell r="V95">
            <v>118.4</v>
          </cell>
          <cell r="W95">
            <v>97.3</v>
          </cell>
          <cell r="X95">
            <v>6.6</v>
          </cell>
          <cell r="Y95">
            <v>114.5</v>
          </cell>
          <cell r="Z95">
            <v>171.9</v>
          </cell>
          <cell r="AA95">
            <v>107.8</v>
          </cell>
          <cell r="AB95">
            <v>75.5</v>
          </cell>
          <cell r="AC95">
            <v>109</v>
          </cell>
          <cell r="AD95">
            <v>49.3</v>
          </cell>
          <cell r="AE95">
            <v>74.599999999999994</v>
          </cell>
          <cell r="AF95">
            <v>224.6</v>
          </cell>
          <cell r="AG95">
            <v>109.2</v>
          </cell>
          <cell r="AH95">
            <v>105.9</v>
          </cell>
          <cell r="AI95">
            <v>108.4</v>
          </cell>
          <cell r="AJ95">
            <v>116.12</v>
          </cell>
          <cell r="AN95">
            <v>59</v>
          </cell>
          <cell r="AP95">
            <v>36113.375</v>
          </cell>
          <cell r="AQ95">
            <v>563.82000000000005</v>
          </cell>
          <cell r="AR95">
            <v>11.88</v>
          </cell>
          <cell r="AS95">
            <v>1.236604189636163</v>
          </cell>
          <cell r="AT95">
            <v>10.378130511463846</v>
          </cell>
          <cell r="AV95">
            <v>6.6981816000000007</v>
          </cell>
          <cell r="AW95">
            <v>0.69722217420066146</v>
          </cell>
          <cell r="AX95">
            <v>5.8513975449735458</v>
          </cell>
          <cell r="AZ95">
            <v>10</v>
          </cell>
          <cell r="BA95">
            <v>10</v>
          </cell>
          <cell r="BB95">
            <v>10</v>
          </cell>
          <cell r="BC95">
            <v>10</v>
          </cell>
          <cell r="BD95">
            <v>10</v>
          </cell>
          <cell r="BE95">
            <v>10</v>
          </cell>
          <cell r="BF95">
            <v>0.10409126175388576</v>
          </cell>
          <cell r="BI95">
            <v>59</v>
          </cell>
          <cell r="BK95">
            <v>36113.375</v>
          </cell>
          <cell r="CD95" t="str">
            <v/>
          </cell>
          <cell r="CF95">
            <v>36113.375</v>
          </cell>
          <cell r="CG95">
            <v>9.75</v>
          </cell>
          <cell r="CH95">
            <v>9.75</v>
          </cell>
          <cell r="CI95">
            <v>9.75</v>
          </cell>
          <cell r="CU95">
            <v>10</v>
          </cell>
          <cell r="CV95">
            <v>10</v>
          </cell>
          <cell r="CY95" t="str">
            <v/>
          </cell>
        </row>
        <row r="96">
          <cell r="A96">
            <v>36143.8125</v>
          </cell>
          <cell r="B96">
            <v>104.83499999999999</v>
          </cell>
          <cell r="D96">
            <v>105.035</v>
          </cell>
          <cell r="E96">
            <v>102.925</v>
          </cell>
          <cell r="F96">
            <v>105.15600000000001</v>
          </cell>
          <cell r="G96">
            <v>95.373000000000005</v>
          </cell>
          <cell r="H96">
            <v>100.639</v>
          </cell>
          <cell r="J96">
            <v>100.89</v>
          </cell>
          <cell r="K96">
            <v>109.434</v>
          </cell>
          <cell r="L96">
            <v>116.498</v>
          </cell>
          <cell r="M96">
            <v>112.014</v>
          </cell>
          <cell r="N96">
            <v>105.17700000000001</v>
          </cell>
          <cell r="R96">
            <v>60</v>
          </cell>
          <cell r="T96">
            <v>36143.8125</v>
          </cell>
          <cell r="U96">
            <v>362.1</v>
          </cell>
          <cell r="V96">
            <v>167.9</v>
          </cell>
          <cell r="W96">
            <v>308.60000000000002</v>
          </cell>
          <cell r="X96">
            <v>4.2</v>
          </cell>
          <cell r="Y96">
            <v>139.19999999999999</v>
          </cell>
          <cell r="Z96">
            <v>185.5</v>
          </cell>
          <cell r="AA96">
            <v>133.80000000000001</v>
          </cell>
          <cell r="AB96">
            <v>82.7</v>
          </cell>
          <cell r="AC96">
            <v>194.1</v>
          </cell>
          <cell r="AD96">
            <v>68</v>
          </cell>
          <cell r="AE96">
            <v>80.900000000000006</v>
          </cell>
          <cell r="AF96">
            <v>248.1</v>
          </cell>
          <cell r="AG96">
            <v>99.3</v>
          </cell>
          <cell r="AH96">
            <v>101.7</v>
          </cell>
          <cell r="AI96">
            <v>170.9</v>
          </cell>
          <cell r="AJ96">
            <v>122.77</v>
          </cell>
          <cell r="AN96">
            <v>60</v>
          </cell>
          <cell r="AP96">
            <v>36143.8125</v>
          </cell>
          <cell r="AQ96">
            <v>560.01</v>
          </cell>
          <cell r="AR96">
            <v>10.41</v>
          </cell>
          <cell r="AS96">
            <v>1.2348401323042999</v>
          </cell>
          <cell r="AT96">
            <v>10.288536155202822</v>
          </cell>
          <cell r="AV96">
            <v>5.8297040999999998</v>
          </cell>
          <cell r="AW96">
            <v>0.69152282249173092</v>
          </cell>
          <cell r="AX96">
            <v>5.7616831322751318</v>
          </cell>
          <cell r="AZ96">
            <v>10</v>
          </cell>
          <cell r="BA96">
            <v>10</v>
          </cell>
          <cell r="BB96">
            <v>10</v>
          </cell>
          <cell r="BC96">
            <v>10</v>
          </cell>
          <cell r="BD96">
            <v>10</v>
          </cell>
          <cell r="BE96">
            <v>10</v>
          </cell>
          <cell r="BF96">
            <v>0.11862056986592698</v>
          </cell>
          <cell r="BI96">
            <v>60</v>
          </cell>
          <cell r="BK96">
            <v>36143.8125</v>
          </cell>
          <cell r="CD96" t="str">
            <v/>
          </cell>
          <cell r="CF96">
            <v>36143.8125</v>
          </cell>
          <cell r="CG96">
            <v>9.75</v>
          </cell>
          <cell r="CH96">
            <v>9.75</v>
          </cell>
          <cell r="CI96">
            <v>9.75</v>
          </cell>
          <cell r="CU96">
            <v>10</v>
          </cell>
          <cell r="CV96">
            <v>10</v>
          </cell>
          <cell r="CY96" t="str">
            <v/>
          </cell>
        </row>
        <row r="97">
          <cell r="A97">
            <v>36174.25</v>
          </cell>
          <cell r="B97">
            <v>102.849</v>
          </cell>
          <cell r="D97">
            <v>106.652</v>
          </cell>
          <cell r="E97">
            <v>103.81100000000001</v>
          </cell>
          <cell r="F97">
            <v>105.15600000000001</v>
          </cell>
          <cell r="G97">
            <v>92.588999999999999</v>
          </cell>
          <cell r="H97">
            <v>99.971000000000004</v>
          </cell>
          <cell r="J97">
            <v>100.83</v>
          </cell>
          <cell r="K97">
            <v>109.434</v>
          </cell>
          <cell r="L97">
            <v>116.788</v>
          </cell>
          <cell r="M97">
            <v>116.07899999999999</v>
          </cell>
          <cell r="N97">
            <v>104.729</v>
          </cell>
          <cell r="R97">
            <v>61</v>
          </cell>
          <cell r="T97">
            <v>36174.25</v>
          </cell>
          <cell r="U97">
            <v>383.8</v>
          </cell>
          <cell r="V97">
            <v>151.30000000000001</v>
          </cell>
          <cell r="W97">
            <v>322.3</v>
          </cell>
          <cell r="X97">
            <v>0</v>
          </cell>
          <cell r="Y97">
            <v>123.4</v>
          </cell>
          <cell r="Z97">
            <v>140.69999999999999</v>
          </cell>
          <cell r="AA97">
            <v>121.3</v>
          </cell>
          <cell r="AB97">
            <v>69.599999999999994</v>
          </cell>
          <cell r="AC97">
            <v>190.4</v>
          </cell>
          <cell r="AD97">
            <v>45.9</v>
          </cell>
          <cell r="AE97">
            <v>89.1</v>
          </cell>
          <cell r="AF97">
            <v>105.9</v>
          </cell>
          <cell r="AG97">
            <v>114.5</v>
          </cell>
          <cell r="AH97">
            <v>77.599999999999994</v>
          </cell>
          <cell r="AI97">
            <v>162</v>
          </cell>
          <cell r="AJ97">
            <v>109.6</v>
          </cell>
          <cell r="AN97">
            <v>61</v>
          </cell>
          <cell r="AP97">
            <v>36174.25</v>
          </cell>
          <cell r="AQ97">
            <v>565.1</v>
          </cell>
          <cell r="AR97">
            <v>10.78</v>
          </cell>
          <cell r="AS97">
            <v>1.2299889746416759</v>
          </cell>
          <cell r="AT97">
            <v>10.121340388007054</v>
          </cell>
          <cell r="AV97">
            <v>6.0917780000000006</v>
          </cell>
          <cell r="AW97">
            <v>0.69506676957001101</v>
          </cell>
          <cell r="AX97">
            <v>5.7195694532627863</v>
          </cell>
          <cell r="AZ97">
            <v>10</v>
          </cell>
          <cell r="BA97">
            <v>10</v>
          </cell>
          <cell r="BB97">
            <v>10</v>
          </cell>
          <cell r="BC97">
            <v>10</v>
          </cell>
          <cell r="BD97">
            <v>10</v>
          </cell>
          <cell r="BE97">
            <v>10</v>
          </cell>
          <cell r="BF97">
            <v>0.1140991627682445</v>
          </cell>
          <cell r="BI97">
            <v>61</v>
          </cell>
          <cell r="BK97">
            <v>36174.25</v>
          </cell>
          <cell r="CD97" t="str">
            <v/>
          </cell>
          <cell r="CF97">
            <v>36174.25</v>
          </cell>
          <cell r="CG97">
            <v>9.75</v>
          </cell>
          <cell r="CH97">
            <v>9.75</v>
          </cell>
          <cell r="CI97">
            <v>9.75</v>
          </cell>
          <cell r="CU97">
            <v>10</v>
          </cell>
          <cell r="CV97">
            <v>10</v>
          </cell>
          <cell r="CY97" t="str">
            <v/>
          </cell>
        </row>
        <row r="98">
          <cell r="A98">
            <v>36204.6875</v>
          </cell>
          <cell r="B98">
            <v>103.732</v>
          </cell>
          <cell r="D98">
            <v>107.61</v>
          </cell>
          <cell r="E98">
            <v>102.08499999999999</v>
          </cell>
          <cell r="F98">
            <v>105.212</v>
          </cell>
          <cell r="G98">
            <v>92.49</v>
          </cell>
          <cell r="H98">
            <v>99.986000000000004</v>
          </cell>
          <cell r="J98">
            <v>101.227</v>
          </cell>
          <cell r="K98">
            <v>109.438</v>
          </cell>
          <cell r="L98">
            <v>116.83</v>
          </cell>
          <cell r="M98">
            <v>116.35</v>
          </cell>
          <cell r="N98">
            <v>104.94499999999999</v>
          </cell>
          <cell r="R98">
            <v>62</v>
          </cell>
          <cell r="T98">
            <v>36204.6875</v>
          </cell>
          <cell r="U98">
            <v>354</v>
          </cell>
          <cell r="V98">
            <v>139</v>
          </cell>
          <cell r="W98">
            <v>298</v>
          </cell>
          <cell r="X98">
            <v>6.5</v>
          </cell>
          <cell r="Y98">
            <v>125.2</v>
          </cell>
          <cell r="Z98">
            <v>185</v>
          </cell>
          <cell r="AA98">
            <v>118.2</v>
          </cell>
          <cell r="AB98">
            <v>68.5</v>
          </cell>
          <cell r="AC98">
            <v>144.80000000000001</v>
          </cell>
          <cell r="AD98">
            <v>46.4</v>
          </cell>
          <cell r="AE98">
            <v>109.4</v>
          </cell>
          <cell r="AF98">
            <v>156.80000000000001</v>
          </cell>
          <cell r="AG98">
            <v>114.7</v>
          </cell>
          <cell r="AH98">
            <v>95.4</v>
          </cell>
          <cell r="AI98">
            <v>158.69999999999999</v>
          </cell>
          <cell r="AJ98">
            <v>113.41</v>
          </cell>
          <cell r="AN98">
            <v>62</v>
          </cell>
          <cell r="AP98">
            <v>36204.6875</v>
          </cell>
          <cell r="AQ98">
            <v>585.36</v>
          </cell>
          <cell r="AR98">
            <v>10.75</v>
          </cell>
          <cell r="AS98">
            <v>1.2390297684674751</v>
          </cell>
          <cell r="AT98">
            <v>10.135097001763668</v>
          </cell>
          <cell r="AV98">
            <v>6.2926200000000003</v>
          </cell>
          <cell r="AW98">
            <v>0.7252784652701213</v>
          </cell>
          <cell r="AX98">
            <v>5.9326803809523811</v>
          </cell>
          <cell r="AZ98">
            <v>10</v>
          </cell>
          <cell r="BA98">
            <v>10</v>
          </cell>
          <cell r="BB98">
            <v>10</v>
          </cell>
          <cell r="BC98">
            <v>10</v>
          </cell>
          <cell r="BD98">
            <v>10</v>
          </cell>
          <cell r="BE98">
            <v>10</v>
          </cell>
          <cell r="BF98">
            <v>0.1152585831132535</v>
          </cell>
          <cell r="BI98">
            <v>62</v>
          </cell>
          <cell r="BK98">
            <v>36204.6875</v>
          </cell>
          <cell r="CD98" t="str">
            <v/>
          </cell>
          <cell r="CF98">
            <v>36204.6875</v>
          </cell>
          <cell r="CG98">
            <v>9.75</v>
          </cell>
          <cell r="CH98">
            <v>9.75</v>
          </cell>
          <cell r="CI98">
            <v>9.75</v>
          </cell>
          <cell r="CU98">
            <v>10</v>
          </cell>
          <cell r="CV98">
            <v>10</v>
          </cell>
          <cell r="CY98" t="str">
            <v/>
          </cell>
        </row>
        <row r="99">
          <cell r="A99">
            <v>36235.125</v>
          </cell>
          <cell r="B99">
            <v>103.428</v>
          </cell>
          <cell r="D99">
            <v>107.68899999999999</v>
          </cell>
          <cell r="E99">
            <v>99.823999999999998</v>
          </cell>
          <cell r="F99">
            <v>104.41</v>
          </cell>
          <cell r="G99">
            <v>93.087999999999994</v>
          </cell>
          <cell r="H99">
            <v>101.1</v>
          </cell>
          <cell r="J99">
            <v>100.98</v>
          </cell>
          <cell r="K99">
            <v>109.438</v>
          </cell>
          <cell r="L99">
            <v>116.976</v>
          </cell>
          <cell r="M99">
            <v>116.35</v>
          </cell>
          <cell r="N99">
            <v>104.839</v>
          </cell>
          <cell r="R99">
            <v>63</v>
          </cell>
          <cell r="T99">
            <v>36235.125</v>
          </cell>
          <cell r="U99">
            <v>266.8</v>
          </cell>
          <cell r="V99">
            <v>78.099999999999994</v>
          </cell>
          <cell r="W99">
            <v>228.4</v>
          </cell>
          <cell r="X99">
            <v>4.2</v>
          </cell>
          <cell r="Y99">
            <v>109.6</v>
          </cell>
          <cell r="Z99">
            <v>208.8</v>
          </cell>
          <cell r="AA99">
            <v>97.9</v>
          </cell>
          <cell r="AB99">
            <v>58.1</v>
          </cell>
          <cell r="AC99">
            <v>20</v>
          </cell>
          <cell r="AD99">
            <v>56</v>
          </cell>
          <cell r="AE99">
            <v>136.6</v>
          </cell>
          <cell r="AF99">
            <v>147.9</v>
          </cell>
          <cell r="AG99">
            <v>151.1</v>
          </cell>
          <cell r="AH99">
            <v>86.5</v>
          </cell>
          <cell r="AI99">
            <v>131.5</v>
          </cell>
          <cell r="AJ99">
            <v>84.97</v>
          </cell>
          <cell r="AN99">
            <v>63</v>
          </cell>
          <cell r="AP99">
            <v>36235.125</v>
          </cell>
          <cell r="AQ99">
            <v>602.77</v>
          </cell>
          <cell r="AR99">
            <v>13.16</v>
          </cell>
          <cell r="AS99">
            <v>1.2504961411245865</v>
          </cell>
          <cell r="AT99">
            <v>10.095590828924161</v>
          </cell>
          <cell r="AV99">
            <v>7.9324532000000003</v>
          </cell>
          <cell r="AW99">
            <v>0.75376155898566699</v>
          </cell>
          <cell r="AX99">
            <v>6.0853192839506161</v>
          </cell>
          <cell r="AZ99">
            <v>10</v>
          </cell>
          <cell r="BA99">
            <v>10</v>
          </cell>
          <cell r="BB99">
            <v>10</v>
          </cell>
          <cell r="BC99">
            <v>10</v>
          </cell>
          <cell r="BD99">
            <v>10</v>
          </cell>
          <cell r="BE99">
            <v>10</v>
          </cell>
          <cell r="BF99">
            <v>9.5022503124968571E-2</v>
          </cell>
          <cell r="BI99">
            <v>63</v>
          </cell>
          <cell r="BK99">
            <v>36235.125</v>
          </cell>
          <cell r="CD99" t="str">
            <v/>
          </cell>
          <cell r="CF99">
            <v>36235.125</v>
          </cell>
          <cell r="CG99">
            <v>9.75</v>
          </cell>
          <cell r="CH99">
            <v>9.75</v>
          </cell>
          <cell r="CI99">
            <v>9.75</v>
          </cell>
          <cell r="CU99">
            <v>10</v>
          </cell>
          <cell r="CV99">
            <v>10</v>
          </cell>
          <cell r="CY99" t="str">
            <v/>
          </cell>
        </row>
        <row r="100">
          <cell r="A100">
            <v>36265.5625</v>
          </cell>
          <cell r="B100">
            <v>107.898</v>
          </cell>
          <cell r="D100">
            <v>106.626</v>
          </cell>
          <cell r="E100">
            <v>100.39100000000001</v>
          </cell>
          <cell r="F100">
            <v>104.41</v>
          </cell>
          <cell r="G100">
            <v>93.087999999999994</v>
          </cell>
          <cell r="H100">
            <v>101.1</v>
          </cell>
          <cell r="J100">
            <v>100.999</v>
          </cell>
          <cell r="K100">
            <v>109.438</v>
          </cell>
          <cell r="L100">
            <v>120.041</v>
          </cell>
          <cell r="M100">
            <v>116.35</v>
          </cell>
          <cell r="N100">
            <v>106.655</v>
          </cell>
          <cell r="R100">
            <v>64</v>
          </cell>
          <cell r="T100">
            <v>36265.5625</v>
          </cell>
          <cell r="U100">
            <v>1.5</v>
          </cell>
          <cell r="V100">
            <v>80</v>
          </cell>
          <cell r="W100">
            <v>7.6</v>
          </cell>
          <cell r="X100">
            <v>5.6</v>
          </cell>
          <cell r="Y100">
            <v>97.9</v>
          </cell>
          <cell r="Z100">
            <v>192.6</v>
          </cell>
          <cell r="AA100">
            <v>86.8</v>
          </cell>
          <cell r="AB100">
            <v>63.5</v>
          </cell>
          <cell r="AC100">
            <v>29.7</v>
          </cell>
          <cell r="AD100">
            <v>34.799999999999997</v>
          </cell>
          <cell r="AE100">
            <v>110.6</v>
          </cell>
          <cell r="AF100">
            <v>108</v>
          </cell>
          <cell r="AG100">
            <v>137.1</v>
          </cell>
          <cell r="AH100">
            <v>133.19999999999999</v>
          </cell>
          <cell r="AI100">
            <v>77.599999999999994</v>
          </cell>
          <cell r="AN100">
            <v>64</v>
          </cell>
          <cell r="AP100">
            <v>36265.5625</v>
          </cell>
          <cell r="AQ100">
            <v>612.83000000000004</v>
          </cell>
          <cell r="AR100">
            <v>15.86</v>
          </cell>
          <cell r="AS100">
            <v>1.2732083792723263</v>
          </cell>
          <cell r="AT100">
            <v>9.9689594356261022</v>
          </cell>
          <cell r="AV100">
            <v>9.7194838000000008</v>
          </cell>
          <cell r="AW100">
            <v>0.78026029106945971</v>
          </cell>
          <cell r="AX100">
            <v>6.1092774109347445</v>
          </cell>
          <cell r="AZ100">
            <v>10</v>
          </cell>
          <cell r="BA100">
            <v>10</v>
          </cell>
          <cell r="BB100">
            <v>10</v>
          </cell>
          <cell r="BC100">
            <v>10</v>
          </cell>
          <cell r="BD100">
            <v>10</v>
          </cell>
          <cell r="BE100">
            <v>10</v>
          </cell>
          <cell r="BF100">
            <v>8.0277955817927252E-2</v>
          </cell>
          <cell r="BI100">
            <v>64</v>
          </cell>
          <cell r="BK100">
            <v>36265.5625</v>
          </cell>
          <cell r="CD100" t="str">
            <v/>
          </cell>
          <cell r="CF100">
            <v>36265.5625</v>
          </cell>
          <cell r="CG100">
            <v>9.75</v>
          </cell>
          <cell r="CH100">
            <v>9.75</v>
          </cell>
          <cell r="CI100">
            <v>9.75</v>
          </cell>
          <cell r="CU100">
            <v>10</v>
          </cell>
          <cell r="CV100">
            <v>10</v>
          </cell>
          <cell r="CY100" t="str">
            <v/>
          </cell>
        </row>
        <row r="101">
          <cell r="A101">
            <v>36296</v>
          </cell>
          <cell r="B101">
            <v>109.806</v>
          </cell>
          <cell r="D101">
            <v>106.633</v>
          </cell>
          <cell r="E101">
            <v>100.223</v>
          </cell>
          <cell r="F101">
            <v>104.861</v>
          </cell>
          <cell r="G101">
            <v>95.927000000000007</v>
          </cell>
          <cell r="H101">
            <v>102.3</v>
          </cell>
          <cell r="J101">
            <v>100.999</v>
          </cell>
          <cell r="K101">
            <v>109.438</v>
          </cell>
          <cell r="L101">
            <v>120.626</v>
          </cell>
          <cell r="M101">
            <v>116.52200000000001</v>
          </cell>
          <cell r="N101">
            <v>107.691</v>
          </cell>
          <cell r="R101">
            <v>65</v>
          </cell>
          <cell r="T101">
            <v>36296</v>
          </cell>
          <cell r="U101">
            <v>0</v>
          </cell>
          <cell r="V101">
            <v>99.3</v>
          </cell>
          <cell r="W101">
            <v>4.3</v>
          </cell>
          <cell r="X101">
            <v>6.5</v>
          </cell>
          <cell r="Y101">
            <v>108.4</v>
          </cell>
          <cell r="Z101">
            <v>207</v>
          </cell>
          <cell r="AA101">
            <v>96.9</v>
          </cell>
          <cell r="AB101">
            <v>40.799999999999997</v>
          </cell>
          <cell r="AC101">
            <v>68.8</v>
          </cell>
          <cell r="AD101">
            <v>23.7</v>
          </cell>
          <cell r="AE101">
            <v>124.2</v>
          </cell>
          <cell r="AF101">
            <v>93</v>
          </cell>
          <cell r="AG101">
            <v>140.69999999999999</v>
          </cell>
          <cell r="AH101">
            <v>142.69999999999999</v>
          </cell>
          <cell r="AI101">
            <v>85.3</v>
          </cell>
          <cell r="AN101">
            <v>65</v>
          </cell>
          <cell r="AP101">
            <v>36296</v>
          </cell>
          <cell r="AQ101">
            <v>617.28</v>
          </cell>
          <cell r="AR101">
            <v>16.53</v>
          </cell>
          <cell r="AS101">
            <v>1.3208379272326349</v>
          </cell>
          <cell r="AT101">
            <v>9.7566137566137563</v>
          </cell>
          <cell r="AV101">
            <v>10.203638399999999</v>
          </cell>
          <cell r="AW101">
            <v>0.8153268357221608</v>
          </cell>
          <cell r="AX101">
            <v>6.0225625396825393</v>
          </cell>
          <cell r="AZ101">
            <v>10</v>
          </cell>
          <cell r="BA101">
            <v>10</v>
          </cell>
          <cell r="BB101">
            <v>10</v>
          </cell>
          <cell r="BC101">
            <v>10</v>
          </cell>
          <cell r="BD101">
            <v>10</v>
          </cell>
          <cell r="BE101">
            <v>10</v>
          </cell>
          <cell r="BF101">
            <v>7.9905500740026308E-2</v>
          </cell>
          <cell r="BI101">
            <v>65</v>
          </cell>
          <cell r="BK101">
            <v>36296</v>
          </cell>
          <cell r="CD101" t="str">
            <v/>
          </cell>
          <cell r="CF101">
            <v>36296</v>
          </cell>
          <cell r="CG101">
            <v>9.75</v>
          </cell>
          <cell r="CH101">
            <v>9.75</v>
          </cell>
          <cell r="CI101">
            <v>9.75</v>
          </cell>
          <cell r="CU101">
            <v>10</v>
          </cell>
          <cell r="CV101">
            <v>10</v>
          </cell>
          <cell r="CY101" t="str">
            <v/>
          </cell>
        </row>
        <row r="102">
          <cell r="A102">
            <v>36326.4375</v>
          </cell>
          <cell r="B102">
            <v>113.98</v>
          </cell>
          <cell r="D102">
            <v>106.633</v>
          </cell>
          <cell r="E102">
            <v>99.662999999999997</v>
          </cell>
          <cell r="F102">
            <v>104.861</v>
          </cell>
          <cell r="G102">
            <v>95.653000000000006</v>
          </cell>
          <cell r="H102">
            <v>102.315</v>
          </cell>
          <cell r="J102">
            <v>100.999</v>
          </cell>
          <cell r="K102">
            <v>109.438</v>
          </cell>
          <cell r="L102">
            <v>120.83199999999999</v>
          </cell>
          <cell r="M102">
            <v>116.52200000000001</v>
          </cell>
          <cell r="N102">
            <v>108.97499999999999</v>
          </cell>
          <cell r="R102">
            <v>66</v>
          </cell>
          <cell r="T102">
            <v>36326.4375</v>
          </cell>
          <cell r="U102">
            <v>0</v>
          </cell>
          <cell r="V102">
            <v>69.599999999999994</v>
          </cell>
          <cell r="W102">
            <v>5.2</v>
          </cell>
          <cell r="X102">
            <v>9.6</v>
          </cell>
          <cell r="Y102">
            <v>88</v>
          </cell>
          <cell r="Z102">
            <v>190</v>
          </cell>
          <cell r="AA102">
            <v>76.099999999999994</v>
          </cell>
          <cell r="AB102">
            <v>28.3</v>
          </cell>
          <cell r="AC102">
            <v>25.6</v>
          </cell>
          <cell r="AD102">
            <v>28.7</v>
          </cell>
          <cell r="AE102">
            <v>109.3</v>
          </cell>
          <cell r="AF102">
            <v>62.2</v>
          </cell>
          <cell r="AG102">
            <v>133.80000000000001</v>
          </cell>
          <cell r="AH102">
            <v>115.2</v>
          </cell>
          <cell r="AI102">
            <v>69.400000000000006</v>
          </cell>
          <cell r="AN102">
            <v>66</v>
          </cell>
          <cell r="AP102">
            <v>36326.4375</v>
          </cell>
          <cell r="AQ102">
            <v>632.11</v>
          </cell>
          <cell r="AR102">
            <v>16.71</v>
          </cell>
          <cell r="AS102">
            <v>1.2899669239250275</v>
          </cell>
          <cell r="AT102">
            <v>9.2172839506172846</v>
          </cell>
          <cell r="AV102">
            <v>10.5625581</v>
          </cell>
          <cell r="AW102">
            <v>0.81540099228224916</v>
          </cell>
          <cell r="AX102">
            <v>5.8263373580246913</v>
          </cell>
          <cell r="AZ102">
            <v>10</v>
          </cell>
          <cell r="BA102">
            <v>10</v>
          </cell>
          <cell r="BB102">
            <v>10</v>
          </cell>
          <cell r="BC102">
            <v>10</v>
          </cell>
          <cell r="BD102">
            <v>10</v>
          </cell>
          <cell r="BE102">
            <v>10</v>
          </cell>
          <cell r="BF102">
            <v>7.7197302449133906E-2</v>
          </cell>
          <cell r="BI102">
            <v>66</v>
          </cell>
          <cell r="BK102">
            <v>36326.4375</v>
          </cell>
          <cell r="CD102" t="str">
            <v/>
          </cell>
          <cell r="CF102">
            <v>36326.4375</v>
          </cell>
          <cell r="CG102">
            <v>9.75</v>
          </cell>
          <cell r="CH102">
            <v>9.75</v>
          </cell>
          <cell r="CI102">
            <v>9.75</v>
          </cell>
          <cell r="CU102">
            <v>10</v>
          </cell>
          <cell r="CV102">
            <v>10</v>
          </cell>
          <cell r="CY102" t="str">
            <v/>
          </cell>
        </row>
        <row r="103">
          <cell r="A103">
            <v>36356.875</v>
          </cell>
          <cell r="B103">
            <v>112.48699999999999</v>
          </cell>
          <cell r="D103">
            <v>106.633</v>
          </cell>
          <cell r="E103">
            <v>100.01300000000001</v>
          </cell>
          <cell r="F103">
            <v>104.58199999999999</v>
          </cell>
          <cell r="G103">
            <v>90.983999999999995</v>
          </cell>
          <cell r="H103">
            <v>102.23</v>
          </cell>
          <cell r="J103">
            <v>100.747</v>
          </cell>
          <cell r="K103">
            <v>109.438</v>
          </cell>
          <cell r="L103">
            <v>121.077</v>
          </cell>
          <cell r="M103">
            <v>116.345</v>
          </cell>
          <cell r="N103">
            <v>108.283</v>
          </cell>
          <cell r="R103">
            <v>67</v>
          </cell>
          <cell r="T103">
            <v>36356.875</v>
          </cell>
          <cell r="U103">
            <v>0</v>
          </cell>
          <cell r="V103">
            <v>81.900000000000006</v>
          </cell>
          <cell r="W103">
            <v>3.1</v>
          </cell>
          <cell r="X103">
            <v>5.0999999999999996</v>
          </cell>
          <cell r="Y103">
            <v>90.8</v>
          </cell>
          <cell r="Z103">
            <v>225.8</v>
          </cell>
          <cell r="AA103">
            <v>75</v>
          </cell>
          <cell r="AB103">
            <v>37.1</v>
          </cell>
          <cell r="AC103">
            <v>27.6</v>
          </cell>
          <cell r="AD103">
            <v>17.2</v>
          </cell>
          <cell r="AE103">
            <v>93.5</v>
          </cell>
          <cell r="AF103">
            <v>78.7</v>
          </cell>
          <cell r="AG103">
            <v>132.5</v>
          </cell>
          <cell r="AH103">
            <v>135.80000000000001</v>
          </cell>
          <cell r="AI103">
            <v>71.5</v>
          </cell>
          <cell r="AN103">
            <v>67</v>
          </cell>
          <cell r="AP103">
            <v>36356.875</v>
          </cell>
          <cell r="AQ103">
            <v>633.84</v>
          </cell>
          <cell r="AR103">
            <v>18.95</v>
          </cell>
          <cell r="AS103">
            <v>1.201984564498346</v>
          </cell>
          <cell r="AT103">
            <v>9.0328042328042315</v>
          </cell>
          <cell r="AV103">
            <v>12.011267999999999</v>
          </cell>
          <cell r="AW103">
            <v>0.76186589636163171</v>
          </cell>
          <cell r="AX103">
            <v>5.7253526349206343</v>
          </cell>
          <cell r="AZ103">
            <v>10</v>
          </cell>
          <cell r="BA103">
            <v>10</v>
          </cell>
          <cell r="BB103">
            <v>10</v>
          </cell>
          <cell r="BC103">
            <v>10</v>
          </cell>
          <cell r="BD103">
            <v>10</v>
          </cell>
          <cell r="BE103">
            <v>10</v>
          </cell>
          <cell r="BF103">
            <v>6.342926461732698E-2</v>
          </cell>
          <cell r="BI103">
            <v>67</v>
          </cell>
          <cell r="BK103">
            <v>36356.875</v>
          </cell>
          <cell r="CD103" t="str">
            <v/>
          </cell>
          <cell r="CF103">
            <v>36356.875</v>
          </cell>
          <cell r="CG103">
            <v>9.75</v>
          </cell>
          <cell r="CH103">
            <v>9.75</v>
          </cell>
          <cell r="CI103">
            <v>9.75</v>
          </cell>
          <cell r="CU103">
            <v>10</v>
          </cell>
          <cell r="CV103">
            <v>10</v>
          </cell>
          <cell r="CY103" t="str">
            <v/>
          </cell>
        </row>
        <row r="104">
          <cell r="A104">
            <v>36387.3125</v>
          </cell>
          <cell r="B104">
            <v>110.193</v>
          </cell>
          <cell r="D104">
            <v>106.633</v>
          </cell>
          <cell r="E104">
            <v>104.902</v>
          </cell>
          <cell r="F104">
            <v>104.834</v>
          </cell>
          <cell r="G104">
            <v>91.65</v>
          </cell>
          <cell r="H104">
            <v>101.187</v>
          </cell>
          <cell r="J104">
            <v>100.736</v>
          </cell>
          <cell r="K104">
            <v>110.349</v>
          </cell>
          <cell r="L104">
            <v>121.176</v>
          </cell>
          <cell r="M104">
            <v>116.345</v>
          </cell>
          <cell r="N104">
            <v>107.941</v>
          </cell>
          <cell r="R104">
            <v>68</v>
          </cell>
          <cell r="T104">
            <v>36387.3125</v>
          </cell>
          <cell r="U104">
            <v>0</v>
          </cell>
          <cell r="V104">
            <v>65.5</v>
          </cell>
          <cell r="W104">
            <v>3.3</v>
          </cell>
          <cell r="X104">
            <v>3.3</v>
          </cell>
          <cell r="Y104">
            <v>71.400000000000006</v>
          </cell>
          <cell r="Z104">
            <v>133.1</v>
          </cell>
          <cell r="AA104">
            <v>64.2</v>
          </cell>
          <cell r="AB104">
            <v>41.3</v>
          </cell>
          <cell r="AC104">
            <v>41.2</v>
          </cell>
          <cell r="AD104">
            <v>18</v>
          </cell>
          <cell r="AE104">
            <v>69.900000000000006</v>
          </cell>
          <cell r="AF104">
            <v>27.3</v>
          </cell>
          <cell r="AG104">
            <v>114.3</v>
          </cell>
          <cell r="AH104">
            <v>123</v>
          </cell>
          <cell r="AI104">
            <v>56.1</v>
          </cell>
          <cell r="AN104">
            <v>68</v>
          </cell>
          <cell r="AP104">
            <v>36387.3125</v>
          </cell>
          <cell r="AQ104">
            <v>618.69864240000004</v>
          </cell>
          <cell r="AR104">
            <v>20.34</v>
          </cell>
          <cell r="AS104">
            <v>1.1241455347298785</v>
          </cell>
          <cell r="AT104">
            <v>9.055731922398591</v>
          </cell>
          <cell r="AV104">
            <v>12.584330386416001</v>
          </cell>
          <cell r="AW104">
            <v>0.69550731619739792</v>
          </cell>
          <cell r="AX104">
            <v>5.6027690463263511</v>
          </cell>
          <cell r="AZ104">
            <v>10</v>
          </cell>
          <cell r="BA104">
            <v>10</v>
          </cell>
          <cell r="BB104">
            <v>10</v>
          </cell>
          <cell r="BC104">
            <v>10</v>
          </cell>
          <cell r="BD104">
            <v>10</v>
          </cell>
          <cell r="BE104">
            <v>10</v>
          </cell>
          <cell r="BF104">
            <v>5.5267725404615463E-2</v>
          </cell>
          <cell r="BI104">
            <v>68</v>
          </cell>
          <cell r="BK104">
            <v>36387.3125</v>
          </cell>
          <cell r="CD104" t="str">
            <v/>
          </cell>
          <cell r="CF104">
            <v>36387.3125</v>
          </cell>
          <cell r="CG104">
            <v>9.75</v>
          </cell>
          <cell r="CH104">
            <v>9.75</v>
          </cell>
          <cell r="CI104">
            <v>9.75</v>
          </cell>
          <cell r="CU104">
            <v>10</v>
          </cell>
          <cell r="CV104">
            <v>10</v>
          </cell>
          <cell r="CY104" t="str">
            <v/>
          </cell>
        </row>
        <row r="105">
          <cell r="A105">
            <v>36417.75</v>
          </cell>
          <cell r="B105">
            <v>106.581</v>
          </cell>
          <cell r="D105">
            <v>107.872</v>
          </cell>
          <cell r="E105">
            <v>107.786</v>
          </cell>
          <cell r="F105">
            <v>104.536</v>
          </cell>
          <cell r="G105">
            <v>90.983999999999995</v>
          </cell>
          <cell r="H105">
            <v>101.19499999999999</v>
          </cell>
          <cell r="J105">
            <v>100.748</v>
          </cell>
          <cell r="K105">
            <v>110.444</v>
          </cell>
          <cell r="L105">
            <v>121.235</v>
          </cell>
          <cell r="M105">
            <v>116.345</v>
          </cell>
          <cell r="N105">
            <v>107.06</v>
          </cell>
          <cell r="R105">
            <v>69</v>
          </cell>
          <cell r="T105">
            <v>36417.75</v>
          </cell>
          <cell r="U105">
            <v>0</v>
          </cell>
          <cell r="V105">
            <v>59.8</v>
          </cell>
          <cell r="W105">
            <v>0.3</v>
          </cell>
          <cell r="X105">
            <v>0</v>
          </cell>
          <cell r="Y105">
            <v>67.099999999999994</v>
          </cell>
          <cell r="Z105">
            <v>149.9</v>
          </cell>
          <cell r="AA105">
            <v>57.4</v>
          </cell>
          <cell r="AB105">
            <v>31.6</v>
          </cell>
          <cell r="AC105">
            <v>25.8</v>
          </cell>
          <cell r="AD105">
            <v>1.6</v>
          </cell>
          <cell r="AE105">
            <v>71.3</v>
          </cell>
          <cell r="AF105">
            <v>73</v>
          </cell>
          <cell r="AG105">
            <v>93</v>
          </cell>
          <cell r="AH105">
            <v>103.4</v>
          </cell>
          <cell r="AI105">
            <v>52.6</v>
          </cell>
          <cell r="AN105">
            <v>69</v>
          </cell>
          <cell r="AP105">
            <v>36417.75</v>
          </cell>
          <cell r="AQ105">
            <v>624.73344680000002</v>
          </cell>
          <cell r="AR105">
            <v>22.7</v>
          </cell>
          <cell r="AS105">
            <v>1.091069459757442</v>
          </cell>
          <cell r="AT105">
            <v>9.3382716049382726</v>
          </cell>
          <cell r="AV105">
            <v>14.181449242360001</v>
          </cell>
          <cell r="AW105">
            <v>0.6816275842924806</v>
          </cell>
          <cell r="AX105">
            <v>5.8339306069076553</v>
          </cell>
          <cell r="AZ105">
            <v>10</v>
          </cell>
          <cell r="BA105">
            <v>10</v>
          </cell>
          <cell r="BB105">
            <v>10</v>
          </cell>
          <cell r="BC105">
            <v>10</v>
          </cell>
          <cell r="BD105">
            <v>10</v>
          </cell>
          <cell r="BE105">
            <v>10</v>
          </cell>
          <cell r="BF105">
            <v>4.8064733910019468E-2</v>
          </cell>
          <cell r="BI105">
            <v>69</v>
          </cell>
          <cell r="BK105">
            <v>36417.75</v>
          </cell>
          <cell r="CD105" t="str">
            <v/>
          </cell>
          <cell r="CF105">
            <v>36417.75</v>
          </cell>
          <cell r="CG105">
            <v>9.75</v>
          </cell>
          <cell r="CH105">
            <v>9.75</v>
          </cell>
          <cell r="CI105">
            <v>9.75</v>
          </cell>
          <cell r="CU105">
            <v>10</v>
          </cell>
          <cell r="CV105">
            <v>10</v>
          </cell>
          <cell r="CY105" t="str">
            <v/>
          </cell>
        </row>
        <row r="106">
          <cell r="A106">
            <v>36448.1875</v>
          </cell>
          <cell r="B106">
            <v>108.611</v>
          </cell>
          <cell r="D106">
            <v>107.872</v>
          </cell>
          <cell r="E106">
            <v>111.544</v>
          </cell>
          <cell r="F106">
            <v>104.73099999999999</v>
          </cell>
          <cell r="G106">
            <v>90.811000000000007</v>
          </cell>
          <cell r="H106">
            <v>101.191</v>
          </cell>
          <cell r="J106">
            <v>100.521</v>
          </cell>
          <cell r="K106">
            <v>110.444</v>
          </cell>
          <cell r="L106">
            <v>121.008</v>
          </cell>
          <cell r="M106">
            <v>117.788</v>
          </cell>
          <cell r="N106">
            <v>108.197</v>
          </cell>
          <cell r="R106">
            <v>70</v>
          </cell>
          <cell r="T106">
            <v>36448.1875</v>
          </cell>
          <cell r="U106">
            <v>0</v>
          </cell>
          <cell r="V106">
            <v>76.2</v>
          </cell>
          <cell r="W106">
            <v>13.8</v>
          </cell>
          <cell r="X106">
            <v>0</v>
          </cell>
          <cell r="Y106">
            <v>80.7</v>
          </cell>
          <cell r="Z106">
            <v>217.7</v>
          </cell>
          <cell r="AA106">
            <v>64.599999999999994</v>
          </cell>
          <cell r="AB106">
            <v>38.700000000000003</v>
          </cell>
          <cell r="AC106">
            <v>19.899999999999999</v>
          </cell>
          <cell r="AD106">
            <v>75.900000000000006</v>
          </cell>
          <cell r="AE106">
            <v>66.599999999999994</v>
          </cell>
          <cell r="AF106">
            <v>77.400000000000006</v>
          </cell>
          <cell r="AG106">
            <v>110.2</v>
          </cell>
          <cell r="AH106">
            <v>101.6</v>
          </cell>
          <cell r="AI106">
            <v>63.3</v>
          </cell>
          <cell r="AN106">
            <v>70</v>
          </cell>
          <cell r="AP106">
            <v>36448.1875</v>
          </cell>
          <cell r="AQ106">
            <v>612.66</v>
          </cell>
          <cell r="AR106">
            <v>21.95</v>
          </cell>
          <cell r="AS106">
            <v>1.0458654906284455</v>
          </cell>
          <cell r="AT106">
            <v>10.960141093474427</v>
          </cell>
          <cell r="AV106">
            <v>13.447886999999998</v>
          </cell>
          <cell r="AW106">
            <v>0.64075995148842335</v>
          </cell>
          <cell r="AX106">
            <v>6.7148400423280421</v>
          </cell>
          <cell r="AZ106">
            <v>10</v>
          </cell>
          <cell r="BA106">
            <v>10</v>
          </cell>
          <cell r="BB106">
            <v>10</v>
          </cell>
          <cell r="BC106">
            <v>10</v>
          </cell>
          <cell r="BD106">
            <v>10</v>
          </cell>
          <cell r="BE106">
            <v>10</v>
          </cell>
          <cell r="BF106">
            <v>4.7647630552548774E-2</v>
          </cell>
          <cell r="BI106">
            <v>70</v>
          </cell>
          <cell r="BK106">
            <v>36448.1875</v>
          </cell>
          <cell r="CD106" t="str">
            <v/>
          </cell>
          <cell r="CF106">
            <v>36448.1875</v>
          </cell>
          <cell r="CG106">
            <v>9.75</v>
          </cell>
          <cell r="CH106">
            <v>9.75</v>
          </cell>
          <cell r="CI106">
            <v>9.75</v>
          </cell>
          <cell r="CU106">
            <v>10</v>
          </cell>
          <cell r="CV106">
            <v>10</v>
          </cell>
          <cell r="CY106" t="str">
            <v/>
          </cell>
        </row>
        <row r="107">
          <cell r="A107">
            <v>36478.625</v>
          </cell>
          <cell r="B107">
            <v>105.872</v>
          </cell>
          <cell r="D107">
            <v>107.872</v>
          </cell>
          <cell r="E107">
            <v>107.578</v>
          </cell>
          <cell r="F107">
            <v>104.72499999999999</v>
          </cell>
          <cell r="G107">
            <v>93.052000000000007</v>
          </cell>
          <cell r="H107">
            <v>101.191</v>
          </cell>
          <cell r="J107">
            <v>100.521</v>
          </cell>
          <cell r="K107">
            <v>110.444</v>
          </cell>
          <cell r="L107">
            <v>120.76300000000001</v>
          </cell>
          <cell r="M107">
            <v>117.375</v>
          </cell>
          <cell r="N107">
            <v>106.89700000000001</v>
          </cell>
          <cell r="R107">
            <v>71</v>
          </cell>
          <cell r="T107">
            <v>36478.625</v>
          </cell>
          <cell r="U107">
            <v>0</v>
          </cell>
          <cell r="V107">
            <v>107.5</v>
          </cell>
          <cell r="W107">
            <v>9</v>
          </cell>
          <cell r="X107">
            <v>10.199999999999999</v>
          </cell>
          <cell r="Y107">
            <v>98.2</v>
          </cell>
          <cell r="Z107">
            <v>206.4</v>
          </cell>
          <cell r="AA107">
            <v>85.5</v>
          </cell>
          <cell r="AB107">
            <v>20.6</v>
          </cell>
          <cell r="AC107">
            <v>93.2</v>
          </cell>
          <cell r="AD107">
            <v>49.3</v>
          </cell>
          <cell r="AE107">
            <v>88.5</v>
          </cell>
          <cell r="AF107">
            <v>63.1</v>
          </cell>
          <cell r="AG107">
            <v>114</v>
          </cell>
          <cell r="AH107">
            <v>91.7</v>
          </cell>
          <cell r="AI107">
            <v>77.5</v>
          </cell>
          <cell r="AN107">
            <v>71</v>
          </cell>
          <cell r="AP107">
            <v>36478.625</v>
          </cell>
          <cell r="AQ107">
            <v>634.17922759999999</v>
          </cell>
          <cell r="AR107">
            <v>24.16</v>
          </cell>
          <cell r="AS107">
            <v>1.0189636163175304</v>
          </cell>
          <cell r="AT107">
            <v>10.341446208112876</v>
          </cell>
          <cell r="AV107">
            <v>15.321770138815999</v>
          </cell>
          <cell r="AW107">
            <v>0.64620555914875422</v>
          </cell>
          <cell r="AX107">
            <v>6.5583303685279724</v>
          </cell>
          <cell r="AZ107">
            <v>10</v>
          </cell>
          <cell r="BA107">
            <v>10</v>
          </cell>
          <cell r="BB107">
            <v>10</v>
          </cell>
          <cell r="BC107">
            <v>10</v>
          </cell>
          <cell r="BD107">
            <v>10</v>
          </cell>
          <cell r="BE107">
            <v>10</v>
          </cell>
          <cell r="BF107">
            <v>4.2175646370758713E-2</v>
          </cell>
          <cell r="BI107">
            <v>71</v>
          </cell>
          <cell r="BK107">
            <v>36478.625</v>
          </cell>
          <cell r="CD107" t="str">
            <v/>
          </cell>
          <cell r="CF107">
            <v>36478.625</v>
          </cell>
          <cell r="CG107">
            <v>9.75</v>
          </cell>
          <cell r="CH107">
            <v>9.75</v>
          </cell>
          <cell r="CI107">
            <v>9.75</v>
          </cell>
          <cell r="CU107">
            <v>10</v>
          </cell>
          <cell r="CV107">
            <v>10</v>
          </cell>
          <cell r="CY107" t="str">
            <v/>
          </cell>
        </row>
        <row r="108">
          <cell r="A108">
            <v>36509.0625</v>
          </cell>
          <cell r="B108">
            <v>102.39400000000001</v>
          </cell>
          <cell r="D108">
            <v>107.872</v>
          </cell>
          <cell r="E108">
            <v>106.29900000000001</v>
          </cell>
          <cell r="F108">
            <v>104.54</v>
          </cell>
          <cell r="G108">
            <v>93.052000000000007</v>
          </cell>
          <cell r="H108">
            <v>102.905</v>
          </cell>
          <cell r="J108">
            <v>100.521</v>
          </cell>
          <cell r="K108">
            <v>110.459</v>
          </cell>
          <cell r="L108">
            <v>121.078</v>
          </cell>
          <cell r="M108">
            <v>117.375</v>
          </cell>
          <cell r="N108">
            <v>105.87</v>
          </cell>
          <cell r="R108">
            <v>72</v>
          </cell>
          <cell r="T108">
            <v>36509.0625</v>
          </cell>
          <cell r="U108">
            <v>136.1</v>
          </cell>
          <cell r="V108">
            <v>161</v>
          </cell>
          <cell r="W108">
            <v>123.7</v>
          </cell>
          <cell r="X108">
            <v>8.6</v>
          </cell>
          <cell r="Y108">
            <v>119.8</v>
          </cell>
          <cell r="Z108">
            <v>189.5</v>
          </cell>
          <cell r="AA108">
            <v>111.7</v>
          </cell>
          <cell r="AB108">
            <v>26.2</v>
          </cell>
          <cell r="AC108">
            <v>202.2</v>
          </cell>
          <cell r="AD108">
            <v>68</v>
          </cell>
          <cell r="AE108">
            <v>70.5</v>
          </cell>
          <cell r="AF108">
            <v>59.5</v>
          </cell>
          <cell r="AG108">
            <v>109.3</v>
          </cell>
          <cell r="AH108">
            <v>28.9</v>
          </cell>
          <cell r="AI108">
            <v>117.5</v>
          </cell>
          <cell r="AN108">
            <v>72</v>
          </cell>
          <cell r="AP108">
            <v>36509.0625</v>
          </cell>
          <cell r="AQ108">
            <v>648.80706869999995</v>
          </cell>
          <cell r="AR108">
            <v>25.1</v>
          </cell>
          <cell r="AS108">
            <v>0.97464167585446526</v>
          </cell>
          <cell r="AT108">
            <v>9.9805996472663132</v>
          </cell>
          <cell r="AV108">
            <v>16.285057424369999</v>
          </cell>
          <cell r="AW108">
            <v>0.63235440874399118</v>
          </cell>
          <cell r="AX108">
            <v>6.4754836010111099</v>
          </cell>
          <cell r="AZ108">
            <v>10</v>
          </cell>
          <cell r="BA108">
            <v>10</v>
          </cell>
          <cell r="BB108">
            <v>10</v>
          </cell>
          <cell r="BC108">
            <v>10</v>
          </cell>
          <cell r="BD108">
            <v>10</v>
          </cell>
          <cell r="BE108">
            <v>10</v>
          </cell>
          <cell r="BF108">
            <v>3.8830345651572326E-2</v>
          </cell>
          <cell r="BI108">
            <v>72</v>
          </cell>
          <cell r="BK108">
            <v>36509.0625</v>
          </cell>
          <cell r="CD108" t="str">
            <v/>
          </cell>
          <cell r="CF108">
            <v>36509.0625</v>
          </cell>
          <cell r="CG108">
            <v>9.82</v>
          </cell>
          <cell r="CH108">
            <v>10.952380952380999</v>
          </cell>
          <cell r="CI108">
            <v>9.75</v>
          </cell>
          <cell r="CU108">
            <v>10</v>
          </cell>
          <cell r="CV108">
            <v>10</v>
          </cell>
          <cell r="CY108" t="str">
            <v/>
          </cell>
        </row>
        <row r="109">
          <cell r="A109">
            <v>36539.5</v>
          </cell>
          <cell r="B109">
            <v>99.19571174820814</v>
          </cell>
          <cell r="C109">
            <v>104.96479781420763</v>
          </cell>
          <cell r="D109">
            <v>107.85229606299215</v>
          </cell>
          <cell r="E109">
            <v>106.31861619047618</v>
          </cell>
          <cell r="F109">
            <v>104.31943093093095</v>
          </cell>
          <cell r="G109">
            <v>93.018498806682587</v>
          </cell>
          <cell r="H109">
            <v>104.06963134232498</v>
          </cell>
          <cell r="I109">
            <v>116.07536842105263</v>
          </cell>
          <cell r="J109">
            <v>103.34078455284553</v>
          </cell>
          <cell r="K109">
            <v>109.18</v>
          </cell>
          <cell r="L109">
            <v>121.11521084337348</v>
          </cell>
          <cell r="M109">
            <v>117.71332723112128</v>
          </cell>
          <cell r="N109">
            <v>105.1</v>
          </cell>
          <cell r="R109">
            <v>73</v>
          </cell>
          <cell r="T109">
            <v>36539.5</v>
          </cell>
          <cell r="U109">
            <v>393.5</v>
          </cell>
          <cell r="V109">
            <v>147.4</v>
          </cell>
          <cell r="W109">
            <v>325.5</v>
          </cell>
          <cell r="X109">
            <v>0</v>
          </cell>
          <cell r="Y109">
            <v>140.4</v>
          </cell>
          <cell r="Z109">
            <v>125.9</v>
          </cell>
          <cell r="AA109">
            <v>142.4</v>
          </cell>
          <cell r="AB109">
            <v>29.9</v>
          </cell>
          <cell r="AC109">
            <v>206.9</v>
          </cell>
          <cell r="AD109">
            <v>19.7</v>
          </cell>
          <cell r="AE109">
            <v>75.599999999999994</v>
          </cell>
          <cell r="AF109">
            <v>100.7</v>
          </cell>
          <cell r="AG109">
            <v>205.2</v>
          </cell>
          <cell r="AH109">
            <v>83.1</v>
          </cell>
          <cell r="AI109">
            <v>177</v>
          </cell>
          <cell r="AJ109">
            <v>148</v>
          </cell>
          <cell r="AN109">
            <v>73</v>
          </cell>
          <cell r="AP109">
            <v>36539.5</v>
          </cell>
          <cell r="AQ109">
            <v>647.23277189999999</v>
          </cell>
          <cell r="AR109">
            <v>25.24</v>
          </cell>
          <cell r="AS109">
            <v>1.0458654906284455</v>
          </cell>
          <cell r="AT109">
            <v>10.028924162257496</v>
          </cell>
          <cell r="AV109">
            <v>16.336155162755997</v>
          </cell>
          <cell r="AW109">
            <v>0.67691842053400231</v>
          </cell>
          <cell r="AX109">
            <v>6.491048384712804</v>
          </cell>
          <cell r="AZ109">
            <v>10</v>
          </cell>
          <cell r="BA109">
            <v>10</v>
          </cell>
          <cell r="BB109">
            <v>10</v>
          </cell>
          <cell r="BC109">
            <v>10</v>
          </cell>
          <cell r="BD109">
            <v>10</v>
          </cell>
          <cell r="BE109">
            <v>10</v>
          </cell>
          <cell r="BF109">
            <v>4.1436826094629391E-2</v>
          </cell>
          <cell r="BI109">
            <v>73</v>
          </cell>
          <cell r="BK109">
            <v>36539.5</v>
          </cell>
          <cell r="CD109" t="str">
            <v/>
          </cell>
          <cell r="CF109">
            <v>36539.5</v>
          </cell>
          <cell r="CG109">
            <v>9.82</v>
          </cell>
          <cell r="CH109">
            <v>12.0833333333333</v>
          </cell>
          <cell r="CI109">
            <v>10.952380952381001</v>
          </cell>
          <cell r="CU109">
            <v>10</v>
          </cell>
          <cell r="CV109">
            <v>10</v>
          </cell>
          <cell r="CY109" t="str">
            <v/>
          </cell>
        </row>
        <row r="110">
          <cell r="A110">
            <v>36569.9375</v>
          </cell>
          <cell r="B110">
            <v>97.92385540666875</v>
          </cell>
          <cell r="C110">
            <v>104.75660109289616</v>
          </cell>
          <cell r="D110">
            <v>107.85229606299215</v>
          </cell>
          <cell r="E110">
            <v>106.7131419047619</v>
          </cell>
          <cell r="F110">
            <v>104.74207207207208</v>
          </cell>
          <cell r="G110">
            <v>94.256778042959425</v>
          </cell>
          <cell r="H110">
            <v>103.99810918432883</v>
          </cell>
          <cell r="I110">
            <v>116.07536842105263</v>
          </cell>
          <cell r="J110">
            <v>103.36697967479675</v>
          </cell>
          <cell r="K110">
            <v>109.18</v>
          </cell>
          <cell r="L110">
            <v>121.15117469879517</v>
          </cell>
          <cell r="M110">
            <v>117.71332723112128</v>
          </cell>
          <cell r="N110">
            <v>104.8</v>
          </cell>
          <cell r="R110">
            <v>74</v>
          </cell>
          <cell r="T110">
            <v>36569.9375</v>
          </cell>
          <cell r="U110">
            <v>400.3</v>
          </cell>
          <cell r="V110">
            <v>140.19999999999999</v>
          </cell>
          <cell r="W110">
            <v>328.7</v>
          </cell>
          <cell r="X110">
            <v>13</v>
          </cell>
          <cell r="Y110">
            <v>130.80000000000001</v>
          </cell>
          <cell r="Z110">
            <v>135.19999999999999</v>
          </cell>
          <cell r="AA110">
            <v>130.30000000000001</v>
          </cell>
          <cell r="AB110">
            <v>29.7</v>
          </cell>
          <cell r="AC110">
            <v>188.4</v>
          </cell>
          <cell r="AD110">
            <v>6.8</v>
          </cell>
          <cell r="AE110">
            <v>82.4</v>
          </cell>
          <cell r="AF110">
            <v>71.5</v>
          </cell>
          <cell r="AG110">
            <v>189.2</v>
          </cell>
          <cell r="AH110">
            <v>105.8</v>
          </cell>
          <cell r="AI110">
            <v>171.3</v>
          </cell>
          <cell r="AJ110">
            <v>151.1</v>
          </cell>
          <cell r="AN110">
            <v>74</v>
          </cell>
          <cell r="AP110">
            <v>36569.9375</v>
          </cell>
          <cell r="AQ110">
            <v>667.10826899999995</v>
          </cell>
          <cell r="AR110">
            <v>26.94</v>
          </cell>
          <cell r="AS110">
            <v>1.1783902976846747</v>
          </cell>
          <cell r="AT110">
            <v>10.577072310405644</v>
          </cell>
          <cell r="AU110">
            <v>0.64189226123924248</v>
          </cell>
          <cell r="AV110">
            <v>17.971896766859999</v>
          </cell>
          <cell r="AW110">
            <v>0.78611391169481803</v>
          </cell>
          <cell r="AX110">
            <v>7.0560524000825389</v>
          </cell>
          <cell r="AY110">
            <v>428.21163527980679</v>
          </cell>
          <cell r="AZ110">
            <v>10</v>
          </cell>
          <cell r="BA110">
            <v>10</v>
          </cell>
          <cell r="BB110">
            <v>10</v>
          </cell>
          <cell r="BC110">
            <v>10</v>
          </cell>
          <cell r="BD110">
            <v>10</v>
          </cell>
          <cell r="BE110">
            <v>10</v>
          </cell>
          <cell r="BF110">
            <v>4.3741287961569217E-2</v>
          </cell>
          <cell r="BI110">
            <v>74</v>
          </cell>
          <cell r="BK110">
            <v>36569.9375</v>
          </cell>
          <cell r="CD110" t="str">
            <v/>
          </cell>
          <cell r="CF110">
            <v>36569.9375</v>
          </cell>
          <cell r="CG110">
            <v>9.82</v>
          </cell>
          <cell r="CH110">
            <v>12.0833333333333</v>
          </cell>
          <cell r="CI110">
            <v>10.952380952381001</v>
          </cell>
          <cell r="CU110">
            <v>10</v>
          </cell>
          <cell r="CV110">
            <v>10</v>
          </cell>
          <cell r="CY110" t="str">
            <v/>
          </cell>
        </row>
        <row r="111">
          <cell r="A111">
            <v>36600.375</v>
          </cell>
          <cell r="B111">
            <v>98.180292302898053</v>
          </cell>
          <cell r="C111">
            <v>104.28537704918031</v>
          </cell>
          <cell r="D111">
            <v>106.5070913385827</v>
          </cell>
          <cell r="E111">
            <v>105.43265999999998</v>
          </cell>
          <cell r="F111">
            <v>104.72622972972972</v>
          </cell>
          <cell r="G111">
            <v>94.256778042959425</v>
          </cell>
          <cell r="H111">
            <v>103.99810918432883</v>
          </cell>
          <cell r="I111">
            <v>116.07536842105263</v>
          </cell>
          <cell r="J111">
            <v>103.3653861788618</v>
          </cell>
          <cell r="K111">
            <v>109.18</v>
          </cell>
          <cell r="L111">
            <v>120.89343373493976</v>
          </cell>
          <cell r="M111">
            <v>117.71332723112128</v>
          </cell>
          <cell r="N111">
            <v>104.601</v>
          </cell>
          <cell r="R111">
            <v>75</v>
          </cell>
          <cell r="T111">
            <v>36600.375</v>
          </cell>
          <cell r="U111">
            <v>333.4</v>
          </cell>
          <cell r="V111">
            <v>105.4</v>
          </cell>
          <cell r="W111">
            <v>274.7</v>
          </cell>
          <cell r="X111">
            <v>0</v>
          </cell>
          <cell r="Y111">
            <v>124.7</v>
          </cell>
          <cell r="Z111">
            <v>192.5</v>
          </cell>
          <cell r="AA111">
            <v>116.7</v>
          </cell>
          <cell r="AB111">
            <v>39.799999999999997</v>
          </cell>
          <cell r="AC111">
            <v>88.4</v>
          </cell>
          <cell r="AD111">
            <v>10.3</v>
          </cell>
          <cell r="AE111">
            <v>86.8</v>
          </cell>
          <cell r="AF111">
            <v>72.7</v>
          </cell>
          <cell r="AG111">
            <v>232</v>
          </cell>
          <cell r="AH111">
            <v>105.3</v>
          </cell>
          <cell r="AI111">
            <v>154.5</v>
          </cell>
          <cell r="AJ111">
            <v>139.30000000000001</v>
          </cell>
          <cell r="AN111">
            <v>75</v>
          </cell>
          <cell r="AP111">
            <v>36600.375</v>
          </cell>
          <cell r="AQ111">
            <v>680.22740899999997</v>
          </cell>
          <cell r="AR111">
            <v>27.49</v>
          </cell>
          <cell r="AS111">
            <v>1.2635060639470781</v>
          </cell>
          <cell r="AT111">
            <v>10.102292768959435</v>
          </cell>
          <cell r="AU111">
            <v>0.62222046889329241</v>
          </cell>
          <cell r="AV111">
            <v>18.699451473409997</v>
          </cell>
          <cell r="AW111">
            <v>0.85947145613450926</v>
          </cell>
          <cell r="AX111">
            <v>6.8718564351887119</v>
          </cell>
          <cell r="AY111">
            <v>423.2514173820494</v>
          </cell>
          <cell r="AZ111">
            <v>10</v>
          </cell>
          <cell r="BA111">
            <v>10</v>
          </cell>
          <cell r="BB111">
            <v>10</v>
          </cell>
          <cell r="BC111">
            <v>10</v>
          </cell>
          <cell r="BD111">
            <v>10</v>
          </cell>
          <cell r="BE111">
            <v>10</v>
          </cell>
          <cell r="BF111">
            <v>4.596238864849321E-2</v>
          </cell>
          <cell r="BI111">
            <v>75</v>
          </cell>
          <cell r="BK111">
            <v>36600.375</v>
          </cell>
          <cell r="CD111" t="str">
            <v/>
          </cell>
          <cell r="CF111">
            <v>36600.375</v>
          </cell>
          <cell r="CG111">
            <v>9.82</v>
          </cell>
          <cell r="CH111">
            <v>12.0833333333333</v>
          </cell>
          <cell r="CI111">
            <v>10.952380952381001</v>
          </cell>
          <cell r="CU111">
            <v>10</v>
          </cell>
          <cell r="CV111">
            <v>10</v>
          </cell>
          <cell r="CY111" t="str">
            <v/>
          </cell>
        </row>
        <row r="112">
          <cell r="A112">
            <v>36630.8125</v>
          </cell>
          <cell r="B112">
            <v>98.557816453723916</v>
          </cell>
          <cell r="C112">
            <v>104.62376502732241</v>
          </cell>
          <cell r="D112">
            <v>106.5070913385827</v>
          </cell>
          <cell r="E112">
            <v>104.03923142857143</v>
          </cell>
          <cell r="F112">
            <v>104.73931681681682</v>
          </cell>
          <cell r="G112">
            <v>94.571298329355599</v>
          </cell>
          <cell r="H112">
            <v>103.58633782915862</v>
          </cell>
          <cell r="I112">
            <v>116.07536842105263</v>
          </cell>
          <cell r="J112">
            <v>103.3653861788618</v>
          </cell>
          <cell r="K112">
            <v>109.18</v>
          </cell>
          <cell r="L112">
            <v>121.0932329317269</v>
          </cell>
          <cell r="M112">
            <v>117.71332723112128</v>
          </cell>
          <cell r="N112">
            <v>104.55200000000001</v>
          </cell>
          <cell r="R112">
            <v>76</v>
          </cell>
          <cell r="T112">
            <v>36630.8125</v>
          </cell>
          <cell r="U112">
            <v>0</v>
          </cell>
          <cell r="V112">
            <v>98.7</v>
          </cell>
          <cell r="W112">
            <v>0.9</v>
          </cell>
          <cell r="X112">
            <v>0</v>
          </cell>
          <cell r="Y112">
            <v>125.3</v>
          </cell>
          <cell r="Z112">
            <v>194.8</v>
          </cell>
          <cell r="AA112">
            <v>117.2</v>
          </cell>
          <cell r="AB112">
            <v>41.2</v>
          </cell>
          <cell r="AC112">
            <v>73.8</v>
          </cell>
          <cell r="AD112">
            <v>4.7</v>
          </cell>
          <cell r="AE112">
            <v>89.6</v>
          </cell>
          <cell r="AF112">
            <v>74.8</v>
          </cell>
          <cell r="AG112">
            <v>246.1</v>
          </cell>
          <cell r="AH112">
            <v>78.3</v>
          </cell>
          <cell r="AI112">
            <v>98.3</v>
          </cell>
          <cell r="AJ112">
            <v>92.1</v>
          </cell>
          <cell r="AN112">
            <v>76</v>
          </cell>
          <cell r="AP112">
            <v>36630.8125</v>
          </cell>
          <cell r="AQ112">
            <v>692.95297479999999</v>
          </cell>
          <cell r="AR112">
            <v>23.63</v>
          </cell>
          <cell r="AS112">
            <v>1.2959206174200661</v>
          </cell>
          <cell r="AT112">
            <v>9.864197530864196</v>
          </cell>
          <cell r="AU112">
            <v>0.5854300131639546</v>
          </cell>
          <cell r="AV112">
            <v>16.374478794523998</v>
          </cell>
          <cell r="AW112">
            <v>0.89801204694588754</v>
          </cell>
          <cell r="AX112">
            <v>6.8354250230271587</v>
          </cell>
          <cell r="AY112">
            <v>405.67546915916552</v>
          </cell>
          <cell r="AZ112">
            <v>10</v>
          </cell>
          <cell r="BA112">
            <v>10</v>
          </cell>
          <cell r="BB112">
            <v>10</v>
          </cell>
          <cell r="BC112">
            <v>10</v>
          </cell>
          <cell r="BD112">
            <v>10</v>
          </cell>
          <cell r="BE112">
            <v>10</v>
          </cell>
          <cell r="BF112">
            <v>5.4842175938216942E-2</v>
          </cell>
          <cell r="BI112">
            <v>76</v>
          </cell>
          <cell r="BK112">
            <v>36630.8125</v>
          </cell>
          <cell r="CD112" t="str">
            <v/>
          </cell>
          <cell r="CF112">
            <v>36630.8125</v>
          </cell>
          <cell r="CG112">
            <v>9.82</v>
          </cell>
          <cell r="CH112">
            <v>12.0833333333333</v>
          </cell>
          <cell r="CI112">
            <v>10.952380952381001</v>
          </cell>
          <cell r="CU112">
            <v>10</v>
          </cell>
          <cell r="CV112">
            <v>10</v>
          </cell>
          <cell r="CY112" t="str">
            <v/>
          </cell>
        </row>
        <row r="113">
          <cell r="A113">
            <v>36661.25</v>
          </cell>
          <cell r="B113">
            <v>103.40272826425677</v>
          </cell>
          <cell r="C113">
            <v>111.57350819672129</v>
          </cell>
          <cell r="D113">
            <v>106.71267086614174</v>
          </cell>
          <cell r="E113">
            <v>104.68773142857141</v>
          </cell>
          <cell r="F113">
            <v>104.85674624624623</v>
          </cell>
          <cell r="G113">
            <v>94.866138424820988</v>
          </cell>
          <cell r="H113">
            <v>105.15607835581245</v>
          </cell>
          <cell r="I113">
            <v>179.62810526315789</v>
          </cell>
          <cell r="J113">
            <v>103.37773577235774</v>
          </cell>
          <cell r="K113">
            <v>109.18</v>
          </cell>
          <cell r="L113">
            <v>121.13019578313252</v>
          </cell>
          <cell r="M113">
            <v>117.69045766590389</v>
          </cell>
          <cell r="N113">
            <v>107.747</v>
          </cell>
          <cell r="R113">
            <v>77</v>
          </cell>
          <cell r="T113">
            <v>36661.25</v>
          </cell>
          <cell r="U113">
            <v>0</v>
          </cell>
          <cell r="V113">
            <v>96</v>
          </cell>
          <cell r="W113">
            <v>0.9</v>
          </cell>
          <cell r="X113">
            <v>0</v>
          </cell>
          <cell r="Y113">
            <v>125.2</v>
          </cell>
          <cell r="Z113">
            <v>222.8</v>
          </cell>
          <cell r="AA113">
            <v>113.8</v>
          </cell>
          <cell r="AB113">
            <v>26.3</v>
          </cell>
          <cell r="AC113">
            <v>60.5</v>
          </cell>
          <cell r="AD113">
            <v>4.9000000000000004</v>
          </cell>
          <cell r="AE113">
            <v>97</v>
          </cell>
          <cell r="AF113">
            <v>86.6</v>
          </cell>
          <cell r="AG113">
            <v>242.3</v>
          </cell>
          <cell r="AH113">
            <v>39.299999999999997</v>
          </cell>
          <cell r="AI113">
            <v>98.2</v>
          </cell>
          <cell r="AJ113">
            <v>80</v>
          </cell>
          <cell r="AN113">
            <v>77</v>
          </cell>
          <cell r="AP113">
            <v>36661.25</v>
          </cell>
          <cell r="AQ113">
            <v>724.17652800000008</v>
          </cell>
          <cell r="AR113">
            <v>27.16</v>
          </cell>
          <cell r="AS113">
            <v>1.3340683572216097</v>
          </cell>
          <cell r="AT113">
            <v>9.7026455026455025</v>
          </cell>
          <cell r="AU113">
            <v>0.59004912693913103</v>
          </cell>
          <cell r="AV113">
            <v>19.668634500480003</v>
          </cell>
          <cell r="AW113">
            <v>0.9661009910474091</v>
          </cell>
          <cell r="AX113">
            <v>7.0264281325206355</v>
          </cell>
          <cell r="AY113">
            <v>427.2997280962112</v>
          </cell>
          <cell r="AZ113">
            <v>10</v>
          </cell>
          <cell r="BA113">
            <v>10</v>
          </cell>
          <cell r="BB113">
            <v>10</v>
          </cell>
          <cell r="BC113">
            <v>10</v>
          </cell>
          <cell r="BD113">
            <v>10</v>
          </cell>
          <cell r="BE113">
            <v>10</v>
          </cell>
          <cell r="BF113">
            <v>4.9118864404330248E-2</v>
          </cell>
          <cell r="BI113">
            <v>77</v>
          </cell>
          <cell r="BK113">
            <v>36661.25</v>
          </cell>
          <cell r="CD113" t="str">
            <v/>
          </cell>
          <cell r="CF113">
            <v>36661.25</v>
          </cell>
          <cell r="CG113">
            <v>9.82</v>
          </cell>
          <cell r="CH113">
            <v>12.0833333333333</v>
          </cell>
          <cell r="CI113">
            <v>10.952380952381001</v>
          </cell>
          <cell r="CU113">
            <v>10</v>
          </cell>
          <cell r="CV113">
            <v>10</v>
          </cell>
          <cell r="CY113" t="str">
            <v/>
          </cell>
        </row>
        <row r="114">
          <cell r="A114">
            <v>36691.6875</v>
          </cell>
          <cell r="B114">
            <v>106.27504643191024</v>
          </cell>
          <cell r="C114">
            <v>117.64645901639344</v>
          </cell>
          <cell r="D114">
            <v>106.70622677165356</v>
          </cell>
          <cell r="E114">
            <v>105.09896952380953</v>
          </cell>
          <cell r="F114">
            <v>104.97927477477479</v>
          </cell>
          <cell r="G114">
            <v>94.866138424820988</v>
          </cell>
          <cell r="H114">
            <v>105.1816814386641</v>
          </cell>
          <cell r="I114">
            <v>179.62810526315789</v>
          </cell>
          <cell r="J114">
            <v>103.37773577235774</v>
          </cell>
          <cell r="K114">
            <v>109.18</v>
          </cell>
          <cell r="L114">
            <v>120.99640963855423</v>
          </cell>
          <cell r="M114">
            <v>117.74412585812358</v>
          </cell>
          <cell r="N114">
            <v>108.384</v>
          </cell>
          <cell r="R114">
            <v>78</v>
          </cell>
          <cell r="T114">
            <v>36691.6875</v>
          </cell>
          <cell r="U114">
            <v>0</v>
          </cell>
          <cell r="V114">
            <v>83.1</v>
          </cell>
          <cell r="W114">
            <v>0.5</v>
          </cell>
          <cell r="X114">
            <v>0</v>
          </cell>
          <cell r="Y114">
            <v>107.5</v>
          </cell>
          <cell r="Z114">
            <v>203.6</v>
          </cell>
          <cell r="AA114">
            <v>96.2</v>
          </cell>
          <cell r="AB114">
            <v>18.100000000000001</v>
          </cell>
          <cell r="AC114">
            <v>48.9</v>
          </cell>
          <cell r="AD114">
            <v>2.7</v>
          </cell>
          <cell r="AE114">
            <v>86.1</v>
          </cell>
          <cell r="AF114">
            <v>54.8</v>
          </cell>
          <cell r="AG114">
            <v>212.8</v>
          </cell>
          <cell r="AH114">
            <v>110.7</v>
          </cell>
          <cell r="AI114">
            <v>84.3</v>
          </cell>
          <cell r="AJ114">
            <v>92.4</v>
          </cell>
          <cell r="AN114">
            <v>78</v>
          </cell>
          <cell r="AP114">
            <v>36691.6875</v>
          </cell>
          <cell r="AQ114">
            <v>691.1818909000001</v>
          </cell>
          <cell r="AR114">
            <v>29.62</v>
          </cell>
          <cell r="AS114">
            <v>1.3113561190738698</v>
          </cell>
          <cell r="AT114">
            <v>10.078659611992945</v>
          </cell>
          <cell r="AU114">
            <v>0.58050394085779022</v>
          </cell>
          <cell r="AV114">
            <v>20.472807608458002</v>
          </cell>
          <cell r="AW114">
            <v>0.90638560202476304</v>
          </cell>
          <cell r="AX114">
            <v>6.9661870083547459</v>
          </cell>
          <cell r="AY114">
            <v>401.23381151698925</v>
          </cell>
          <cell r="AZ114">
            <v>10</v>
          </cell>
          <cell r="BA114">
            <v>10</v>
          </cell>
          <cell r="BB114">
            <v>10</v>
          </cell>
          <cell r="BC114">
            <v>10</v>
          </cell>
          <cell r="BD114">
            <v>10</v>
          </cell>
          <cell r="BE114">
            <v>10</v>
          </cell>
          <cell r="BF114">
            <v>4.4272657632473664E-2</v>
          </cell>
          <cell r="BI114">
            <v>78</v>
          </cell>
          <cell r="BK114">
            <v>36691.6875</v>
          </cell>
          <cell r="CD114" t="str">
            <v/>
          </cell>
          <cell r="CF114">
            <v>36691.6875</v>
          </cell>
          <cell r="CG114">
            <v>9.82</v>
          </cell>
          <cell r="CH114">
            <v>12.0833333333333</v>
          </cell>
          <cell r="CI114">
            <v>10.952380952381001</v>
          </cell>
          <cell r="CU114">
            <v>10</v>
          </cell>
          <cell r="CV114">
            <v>10</v>
          </cell>
          <cell r="CY114" t="str">
            <v/>
          </cell>
        </row>
        <row r="115">
          <cell r="A115">
            <v>36722.125</v>
          </cell>
          <cell r="B115">
            <v>102.63056310377063</v>
          </cell>
          <cell r="C115">
            <v>117.16476502732239</v>
          </cell>
          <cell r="D115">
            <v>106.70622677165356</v>
          </cell>
          <cell r="E115">
            <v>104.12588190476191</v>
          </cell>
          <cell r="F115">
            <v>104.97927477477479</v>
          </cell>
          <cell r="G115">
            <v>94.866138424820988</v>
          </cell>
          <cell r="H115">
            <v>105.1816814386641</v>
          </cell>
          <cell r="I115">
            <v>179.62810526315789</v>
          </cell>
          <cell r="J115">
            <v>103.39367073170732</v>
          </cell>
          <cell r="K115">
            <v>109.18</v>
          </cell>
          <cell r="L115">
            <v>120.85155522088354</v>
          </cell>
          <cell r="M115">
            <v>117.74412585812358</v>
          </cell>
          <cell r="N115">
            <v>107.09</v>
          </cell>
          <cell r="R115">
            <v>79</v>
          </cell>
          <cell r="T115">
            <v>36722.125</v>
          </cell>
          <cell r="U115">
            <v>0</v>
          </cell>
          <cell r="V115">
            <v>84.8</v>
          </cell>
          <cell r="W115">
            <v>0</v>
          </cell>
          <cell r="X115">
            <v>0</v>
          </cell>
          <cell r="Y115">
            <v>102.8</v>
          </cell>
          <cell r="Z115">
            <v>211.8</v>
          </cell>
          <cell r="AA115">
            <v>90</v>
          </cell>
          <cell r="AB115">
            <v>8.6999999999999993</v>
          </cell>
          <cell r="AC115">
            <v>51.8</v>
          </cell>
          <cell r="AD115">
            <v>0</v>
          </cell>
          <cell r="AE115">
            <v>83.5</v>
          </cell>
          <cell r="AF115">
            <v>50.1</v>
          </cell>
          <cell r="AG115">
            <v>194.7</v>
          </cell>
          <cell r="AH115">
            <v>68.7</v>
          </cell>
          <cell r="AI115">
            <v>80.599999999999994</v>
          </cell>
          <cell r="AJ115">
            <v>76.900000000000006</v>
          </cell>
          <cell r="AN115">
            <v>79</v>
          </cell>
          <cell r="AP115">
            <v>36722.125</v>
          </cell>
          <cell r="AQ115">
            <v>698.2006308</v>
          </cell>
          <cell r="AR115">
            <v>27.93</v>
          </cell>
          <cell r="AS115">
            <v>1.2875413450937154</v>
          </cell>
          <cell r="AT115">
            <v>9.932627865961198</v>
          </cell>
          <cell r="AU115">
            <v>0.57731097650865626</v>
          </cell>
          <cell r="AV115">
            <v>19.500743618243998</v>
          </cell>
          <cell r="AW115">
            <v>0.89896217932551259</v>
          </cell>
          <cell r="AX115">
            <v>6.9349670415157663</v>
          </cell>
          <cell r="AY115">
            <v>403.0788879661078</v>
          </cell>
          <cell r="AZ115">
            <v>10</v>
          </cell>
          <cell r="BA115">
            <v>10</v>
          </cell>
          <cell r="BB115">
            <v>10</v>
          </cell>
          <cell r="BC115">
            <v>10</v>
          </cell>
          <cell r="BD115">
            <v>10</v>
          </cell>
          <cell r="BE115">
            <v>10</v>
          </cell>
          <cell r="BF115">
            <v>4.6098866634218243E-2</v>
          </cell>
          <cell r="BI115">
            <v>79</v>
          </cell>
          <cell r="BK115">
            <v>36722.125</v>
          </cell>
          <cell r="CD115" t="str">
            <v/>
          </cell>
          <cell r="CF115">
            <v>36722.125</v>
          </cell>
          <cell r="CG115">
            <v>9.82</v>
          </cell>
          <cell r="CH115">
            <v>12.0833333333333</v>
          </cell>
          <cell r="CI115">
            <v>10.952380952381001</v>
          </cell>
          <cell r="CU115">
            <v>10</v>
          </cell>
          <cell r="CV115">
            <v>10</v>
          </cell>
          <cell r="CY115" t="str">
            <v/>
          </cell>
        </row>
        <row r="116">
          <cell r="A116">
            <v>36752.5625</v>
          </cell>
          <cell r="B116">
            <v>100.4683957619196</v>
          </cell>
          <cell r="C116">
            <v>124.79536612021856</v>
          </cell>
          <cell r="D116">
            <v>106.70622677165356</v>
          </cell>
          <cell r="E116">
            <v>104.54254857142858</v>
          </cell>
          <cell r="F116">
            <v>104.97927477477479</v>
          </cell>
          <cell r="G116">
            <v>94.884040572792358</v>
          </cell>
          <cell r="H116">
            <v>107.89201477199742</v>
          </cell>
          <cell r="I116">
            <v>179.62810526315789</v>
          </cell>
          <cell r="J116">
            <v>103.39367073170732</v>
          </cell>
          <cell r="K116">
            <v>110.42100000000001</v>
          </cell>
          <cell r="L116">
            <v>121.28511947791165</v>
          </cell>
          <cell r="M116">
            <v>117.65829977116705</v>
          </cell>
          <cell r="N116">
            <v>108.42100000000001</v>
          </cell>
          <cell r="R116">
            <v>80</v>
          </cell>
          <cell r="T116">
            <v>36752.5625</v>
          </cell>
          <cell r="U116">
            <v>0</v>
          </cell>
          <cell r="V116">
            <v>91</v>
          </cell>
          <cell r="W116">
            <v>0</v>
          </cell>
          <cell r="X116">
            <v>0</v>
          </cell>
          <cell r="Y116">
            <v>96.7</v>
          </cell>
          <cell r="Z116">
            <v>182.8</v>
          </cell>
          <cell r="AA116">
            <v>86.6</v>
          </cell>
          <cell r="AB116">
            <v>19.3</v>
          </cell>
          <cell r="AC116">
            <v>74.099999999999994</v>
          </cell>
          <cell r="AD116">
            <v>0</v>
          </cell>
          <cell r="AE116">
            <v>48</v>
          </cell>
          <cell r="AF116">
            <v>39.4</v>
          </cell>
          <cell r="AG116">
            <v>186.3</v>
          </cell>
          <cell r="AH116">
            <v>63.6</v>
          </cell>
          <cell r="AI116">
            <v>75.8</v>
          </cell>
          <cell r="AJ116">
            <v>72.099999999999994</v>
          </cell>
          <cell r="AN116">
            <v>80</v>
          </cell>
          <cell r="AP116">
            <v>36752.5625</v>
          </cell>
          <cell r="AQ116">
            <v>725.63</v>
          </cell>
          <cell r="AR116">
            <v>29.38</v>
          </cell>
          <cell r="AS116">
            <v>1.3426681367144433</v>
          </cell>
          <cell r="AT116">
            <v>9.6800705467372143</v>
          </cell>
          <cell r="AU116">
            <v>0.56090581727836375</v>
          </cell>
          <cell r="AV116">
            <v>21.319009399999999</v>
          </cell>
          <cell r="AW116">
            <v>0.9742802800441015</v>
          </cell>
          <cell r="AX116">
            <v>7.024149590828924</v>
          </cell>
          <cell r="AY116">
            <v>407.01008819169908</v>
          </cell>
          <cell r="AZ116">
            <v>10</v>
          </cell>
          <cell r="BA116">
            <v>10</v>
          </cell>
          <cell r="BB116">
            <v>10</v>
          </cell>
          <cell r="BC116">
            <v>10</v>
          </cell>
          <cell r="BD116">
            <v>10</v>
          </cell>
          <cell r="BE116">
            <v>10</v>
          </cell>
          <cell r="BF116">
            <v>4.5700072726836058E-2</v>
          </cell>
          <cell r="BI116">
            <v>80</v>
          </cell>
          <cell r="BK116">
            <v>36752.5625</v>
          </cell>
          <cell r="CD116" t="str">
            <v/>
          </cell>
          <cell r="CF116">
            <v>36752.5625</v>
          </cell>
          <cell r="CG116">
            <v>9.82</v>
          </cell>
          <cell r="CH116">
            <v>12.0833333333333</v>
          </cell>
          <cell r="CI116">
            <v>10.952380952381001</v>
          </cell>
          <cell r="CU116">
            <v>10</v>
          </cell>
          <cell r="CV116">
            <v>10</v>
          </cell>
          <cell r="CY116" t="str">
            <v/>
          </cell>
        </row>
        <row r="117">
          <cell r="A117">
            <v>36783</v>
          </cell>
          <cell r="B117">
            <v>96.595540043627295</v>
          </cell>
          <cell r="C117">
            <v>141.57337158469946</v>
          </cell>
          <cell r="D117">
            <v>106.70622677165356</v>
          </cell>
          <cell r="E117">
            <v>104.10752000000001</v>
          </cell>
          <cell r="F117">
            <v>104.72715165165164</v>
          </cell>
          <cell r="G117">
            <v>98.260389021479696</v>
          </cell>
          <cell r="H117">
            <v>108.03203018625562</v>
          </cell>
          <cell r="I117">
            <v>179.62810526315789</v>
          </cell>
          <cell r="J117">
            <v>103.38769512195124</v>
          </cell>
          <cell r="K117">
            <v>110.42100000000001</v>
          </cell>
          <cell r="L117">
            <v>120.4169919678715</v>
          </cell>
          <cell r="M117">
            <v>117.65829977116705</v>
          </cell>
          <cell r="N117">
            <v>106.15</v>
          </cell>
          <cell r="R117">
            <v>81</v>
          </cell>
          <cell r="T117">
            <v>36783</v>
          </cell>
          <cell r="U117">
            <v>0</v>
          </cell>
          <cell r="V117">
            <v>93.9</v>
          </cell>
          <cell r="W117">
            <v>0</v>
          </cell>
          <cell r="X117">
            <v>0</v>
          </cell>
          <cell r="Y117">
            <v>106.5</v>
          </cell>
          <cell r="Z117">
            <v>161</v>
          </cell>
          <cell r="AA117">
            <v>100.1</v>
          </cell>
          <cell r="AB117">
            <v>23.5</v>
          </cell>
          <cell r="AC117">
            <v>89</v>
          </cell>
          <cell r="AD117">
            <v>0</v>
          </cell>
          <cell r="AE117">
            <v>63.2</v>
          </cell>
          <cell r="AF117">
            <v>57.3</v>
          </cell>
          <cell r="AG117">
            <v>201.4</v>
          </cell>
          <cell r="AH117">
            <v>49.3</v>
          </cell>
          <cell r="AI117">
            <v>83.5</v>
          </cell>
          <cell r="AJ117">
            <v>73</v>
          </cell>
          <cell r="AN117">
            <v>81</v>
          </cell>
          <cell r="AP117">
            <v>36783</v>
          </cell>
          <cell r="AQ117">
            <v>752.31708329999992</v>
          </cell>
          <cell r="AR117">
            <v>32.08</v>
          </cell>
          <cell r="AS117">
            <v>1.3592061742006616</v>
          </cell>
          <cell r="AT117">
            <v>9.6483245149911792</v>
          </cell>
          <cell r="AU117">
            <v>0.571007786073915</v>
          </cell>
          <cell r="AV117">
            <v>24.134332032263995</v>
          </cell>
          <cell r="AW117">
            <v>1.0225540245779934</v>
          </cell>
          <cell r="AX117">
            <v>7.2585993578500503</v>
          </cell>
          <cell r="AY117">
            <v>429.57891216071806</v>
          </cell>
          <cell r="AZ117">
            <v>10</v>
          </cell>
          <cell r="BA117">
            <v>10</v>
          </cell>
          <cell r="BB117">
            <v>10</v>
          </cell>
          <cell r="BC117">
            <v>10</v>
          </cell>
          <cell r="BD117">
            <v>10</v>
          </cell>
          <cell r="BE117">
            <v>10</v>
          </cell>
          <cell r="BF117">
            <v>4.2369269769347316E-2</v>
          </cell>
          <cell r="BI117">
            <v>81</v>
          </cell>
          <cell r="BK117">
            <v>36783</v>
          </cell>
          <cell r="CD117" t="str">
            <v/>
          </cell>
          <cell r="CF117">
            <v>36783</v>
          </cell>
          <cell r="CG117">
            <v>9.82</v>
          </cell>
          <cell r="CH117">
            <v>12.0833333333333</v>
          </cell>
          <cell r="CI117">
            <v>10.952380952381001</v>
          </cell>
          <cell r="CU117">
            <v>10</v>
          </cell>
          <cell r="CV117">
            <v>10</v>
          </cell>
          <cell r="CY117" t="str">
            <v/>
          </cell>
        </row>
        <row r="118">
          <cell r="A118">
            <v>36813.4375</v>
          </cell>
          <cell r="B118">
            <v>99.553585852290425</v>
          </cell>
          <cell r="C118">
            <v>140.16093989071038</v>
          </cell>
          <cell r="D118">
            <v>106.70622677165356</v>
          </cell>
          <cell r="E118">
            <v>102.94494761904762</v>
          </cell>
          <cell r="F118">
            <v>104.69791741741741</v>
          </cell>
          <cell r="G118">
            <v>93.336307875894988</v>
          </cell>
          <cell r="H118">
            <v>108.93703982016699</v>
          </cell>
          <cell r="I118">
            <v>179.62810526315789</v>
          </cell>
          <cell r="J118">
            <v>103.38769512195124</v>
          </cell>
          <cell r="K118">
            <v>110.42100000000001</v>
          </cell>
          <cell r="L118">
            <v>120.61379417670682</v>
          </cell>
          <cell r="M118">
            <v>117.65829977116705</v>
          </cell>
          <cell r="N118">
            <v>106.90300000000001</v>
          </cell>
          <cell r="R118">
            <v>82</v>
          </cell>
          <cell r="T118">
            <v>36813.4375</v>
          </cell>
          <cell r="U118">
            <v>0</v>
          </cell>
          <cell r="V118">
            <v>65.3</v>
          </cell>
          <cell r="W118">
            <v>0</v>
          </cell>
          <cell r="X118">
            <v>0</v>
          </cell>
          <cell r="Y118">
            <v>87.9</v>
          </cell>
          <cell r="Z118">
            <v>204.9</v>
          </cell>
          <cell r="AA118">
            <v>74.099999999999994</v>
          </cell>
          <cell r="AB118">
            <v>9.4</v>
          </cell>
          <cell r="AC118">
            <v>17.7</v>
          </cell>
          <cell r="AD118">
            <v>0</v>
          </cell>
          <cell r="AE118">
            <v>52.1</v>
          </cell>
          <cell r="AF118">
            <v>62.7</v>
          </cell>
          <cell r="AG118">
            <v>188.7</v>
          </cell>
          <cell r="AH118">
            <v>0</v>
          </cell>
          <cell r="AI118">
            <v>68.900000000000006</v>
          </cell>
          <cell r="AJ118">
            <v>47.6</v>
          </cell>
          <cell r="AN118">
            <v>82</v>
          </cell>
          <cell r="AP118">
            <v>36813.4375</v>
          </cell>
          <cell r="AQ118">
            <v>767.33849859999998</v>
          </cell>
          <cell r="AR118">
            <v>31.4</v>
          </cell>
          <cell r="AS118">
            <v>1.3426681367144433</v>
          </cell>
          <cell r="AT118">
            <v>9.5238095238095237</v>
          </cell>
          <cell r="AU118">
            <v>0.55104299532665457</v>
          </cell>
          <cell r="AV118">
            <v>24.094428856039997</v>
          </cell>
          <cell r="AW118">
            <v>1.0302809521445204</v>
          </cell>
          <cell r="AX118">
            <v>7.3079857009523801</v>
          </cell>
          <cell r="AY118">
            <v>422.83650469800193</v>
          </cell>
          <cell r="AZ118">
            <v>10</v>
          </cell>
          <cell r="BA118">
            <v>10</v>
          </cell>
          <cell r="BB118">
            <v>10</v>
          </cell>
          <cell r="BC118">
            <v>10</v>
          </cell>
          <cell r="BD118">
            <v>10</v>
          </cell>
          <cell r="BE118">
            <v>10</v>
          </cell>
          <cell r="BF118">
            <v>4.2760131742498202E-2</v>
          </cell>
          <cell r="BI118">
            <v>82</v>
          </cell>
          <cell r="BK118">
            <v>36813.4375</v>
          </cell>
          <cell r="CD118" t="str">
            <v/>
          </cell>
          <cell r="CF118">
            <v>36813.4375</v>
          </cell>
          <cell r="CG118">
            <v>9.82</v>
          </cell>
          <cell r="CH118">
            <v>12.0833333333333</v>
          </cell>
          <cell r="CI118">
            <v>10.952380952381001</v>
          </cell>
          <cell r="CU118">
            <v>10</v>
          </cell>
          <cell r="CV118">
            <v>10</v>
          </cell>
          <cell r="CY118" t="str">
            <v/>
          </cell>
        </row>
        <row r="119">
          <cell r="A119">
            <v>36843.875</v>
          </cell>
          <cell r="B119">
            <v>98.940351199750694</v>
          </cell>
          <cell r="C119">
            <v>125.54961202185791</v>
          </cell>
          <cell r="D119">
            <v>106.70622677165356</v>
          </cell>
          <cell r="E119">
            <v>101.65819809523811</v>
          </cell>
          <cell r="F119">
            <v>104.78446096096096</v>
          </cell>
          <cell r="G119">
            <v>93.374663484486888</v>
          </cell>
          <cell r="H119">
            <v>115.92059666024404</v>
          </cell>
          <cell r="I119">
            <v>179.62810526315789</v>
          </cell>
          <cell r="J119">
            <v>103.38769512195124</v>
          </cell>
          <cell r="K119">
            <v>110.42100000000001</v>
          </cell>
          <cell r="L119">
            <v>124.08830220883534</v>
          </cell>
          <cell r="M119">
            <v>117.71302517162471</v>
          </cell>
          <cell r="N119">
            <v>107.747</v>
          </cell>
          <cell r="R119">
            <v>83</v>
          </cell>
          <cell r="T119">
            <v>36843.875</v>
          </cell>
          <cell r="U119">
            <v>101.6</v>
          </cell>
          <cell r="V119">
            <v>117.1</v>
          </cell>
          <cell r="W119">
            <v>83.1</v>
          </cell>
          <cell r="X119">
            <v>0</v>
          </cell>
          <cell r="Y119">
            <v>106.4</v>
          </cell>
          <cell r="Z119">
            <v>212.1</v>
          </cell>
          <cell r="AA119">
            <v>94</v>
          </cell>
          <cell r="AB119">
            <v>30.5</v>
          </cell>
          <cell r="AC119">
            <v>104.8</v>
          </cell>
          <cell r="AD119">
            <v>0</v>
          </cell>
          <cell r="AE119">
            <v>53.9</v>
          </cell>
          <cell r="AF119">
            <v>53.1</v>
          </cell>
          <cell r="AG119">
            <v>169.1</v>
          </cell>
          <cell r="AH119">
            <v>0</v>
          </cell>
          <cell r="AI119">
            <v>100.7</v>
          </cell>
          <cell r="AJ119">
            <v>69.599999999999994</v>
          </cell>
          <cell r="AN119">
            <v>83</v>
          </cell>
          <cell r="AP119">
            <v>36843.875</v>
          </cell>
          <cell r="AQ119">
            <v>766</v>
          </cell>
          <cell r="AR119">
            <v>32.299999999999997</v>
          </cell>
          <cell r="AS119">
            <v>1.4108048511576625</v>
          </cell>
          <cell r="AT119">
            <v>9.3834215167548507</v>
          </cell>
          <cell r="AU119">
            <v>0.49530806190444204</v>
          </cell>
          <cell r="AV119">
            <v>24.741799999999998</v>
          </cell>
          <cell r="AW119">
            <v>1.0806765159867695</v>
          </cell>
          <cell r="AX119">
            <v>7.1877008818342158</v>
          </cell>
          <cell r="AY119">
            <v>379.4059754188026</v>
          </cell>
          <cell r="AZ119">
            <v>10</v>
          </cell>
          <cell r="BA119">
            <v>10</v>
          </cell>
          <cell r="BB119">
            <v>10</v>
          </cell>
          <cell r="BC119">
            <v>10</v>
          </cell>
          <cell r="BD119">
            <v>10</v>
          </cell>
          <cell r="BE119">
            <v>10</v>
          </cell>
          <cell r="BF119">
            <v>4.3678168766491103E-2</v>
          </cell>
          <cell r="BI119">
            <v>83</v>
          </cell>
          <cell r="BK119">
            <v>36843.875</v>
          </cell>
          <cell r="CD119" t="str">
            <v/>
          </cell>
          <cell r="CF119">
            <v>36843.875</v>
          </cell>
          <cell r="CG119">
            <v>9.82</v>
          </cell>
          <cell r="CH119">
            <v>12.0833333333333</v>
          </cell>
          <cell r="CI119">
            <v>10.952380952381001</v>
          </cell>
          <cell r="CU119">
            <v>10</v>
          </cell>
          <cell r="CV119">
            <v>10</v>
          </cell>
          <cell r="CY119" t="str">
            <v/>
          </cell>
        </row>
        <row r="120">
          <cell r="A120">
            <v>36874.3125</v>
          </cell>
          <cell r="B120">
            <v>100.78023932689314</v>
          </cell>
          <cell r="C120">
            <v>114.73088524590165</v>
          </cell>
          <cell r="D120">
            <v>106.70622677165356</v>
          </cell>
          <cell r="E120">
            <v>102.73305523809523</v>
          </cell>
          <cell r="F120">
            <v>104.74611861861862</v>
          </cell>
          <cell r="G120">
            <v>93.374663484486888</v>
          </cell>
          <cell r="H120">
            <v>116.03800706486834</v>
          </cell>
          <cell r="I120">
            <v>179.62810526315789</v>
          </cell>
          <cell r="J120">
            <v>103.38769512195124</v>
          </cell>
          <cell r="K120">
            <v>110.42100000000001</v>
          </cell>
          <cell r="L120">
            <v>125.61776506024096</v>
          </cell>
          <cell r="M120">
            <v>117.71302517162471</v>
          </cell>
          <cell r="N120">
            <v>108.42</v>
          </cell>
          <cell r="R120">
            <v>84</v>
          </cell>
          <cell r="T120">
            <v>36874.3125</v>
          </cell>
          <cell r="U120">
            <v>365.6</v>
          </cell>
          <cell r="V120">
            <v>179.9</v>
          </cell>
          <cell r="W120">
            <v>299.10000000000002</v>
          </cell>
          <cell r="X120">
            <v>0</v>
          </cell>
          <cell r="Y120">
            <v>143.69999999999999</v>
          </cell>
          <cell r="Z120">
            <v>195.3</v>
          </cell>
          <cell r="AA120">
            <v>137.6</v>
          </cell>
          <cell r="AB120">
            <v>22</v>
          </cell>
          <cell r="AC120">
            <v>237.3</v>
          </cell>
          <cell r="AD120">
            <v>0</v>
          </cell>
          <cell r="AE120">
            <v>73.099999999999994</v>
          </cell>
          <cell r="AF120">
            <v>130.4</v>
          </cell>
          <cell r="AG120">
            <v>155.1</v>
          </cell>
          <cell r="AH120">
            <v>0</v>
          </cell>
          <cell r="AI120">
            <v>174.8</v>
          </cell>
          <cell r="AJ120">
            <v>120.8</v>
          </cell>
          <cell r="AN120">
            <v>84</v>
          </cell>
          <cell r="AP120">
            <v>36874.3125</v>
          </cell>
          <cell r="AQ120">
            <v>731.3</v>
          </cell>
          <cell r="AR120">
            <v>25.3</v>
          </cell>
          <cell r="AS120">
            <v>1.4522601984564498</v>
          </cell>
          <cell r="AT120">
            <v>9.5749559082892404</v>
          </cell>
          <cell r="AU120">
            <v>0.48395774411804127</v>
          </cell>
          <cell r="AV120">
            <v>18.50189</v>
          </cell>
          <cell r="AW120">
            <v>1.0620378831312016</v>
          </cell>
          <cell r="AX120">
            <v>7.0021652557319216</v>
          </cell>
          <cell r="AY120">
            <v>353.91829827352353</v>
          </cell>
          <cell r="AZ120">
            <v>10</v>
          </cell>
          <cell r="BA120">
            <v>10</v>
          </cell>
          <cell r="BB120">
            <v>10</v>
          </cell>
          <cell r="BC120">
            <v>10</v>
          </cell>
          <cell r="BD120">
            <v>10</v>
          </cell>
          <cell r="BE120">
            <v>10</v>
          </cell>
          <cell r="BF120">
            <v>5.740158887179643E-2</v>
          </cell>
          <cell r="BI120">
            <v>84</v>
          </cell>
          <cell r="BK120">
            <v>36874.3125</v>
          </cell>
          <cell r="CD120" t="str">
            <v/>
          </cell>
          <cell r="CF120">
            <v>36874.3125</v>
          </cell>
          <cell r="CG120">
            <v>9.82</v>
          </cell>
          <cell r="CH120">
            <v>12.0833333333333</v>
          </cell>
          <cell r="CI120">
            <v>10.952380952381001</v>
          </cell>
          <cell r="CU120">
            <v>10</v>
          </cell>
          <cell r="CV120">
            <v>10</v>
          </cell>
          <cell r="CY120" t="str">
            <v/>
          </cell>
        </row>
        <row r="121">
          <cell r="A121">
            <v>36904.75</v>
          </cell>
          <cell r="B121">
            <v>100.75154222499222</v>
          </cell>
          <cell r="C121">
            <v>112.56067213114754</v>
          </cell>
          <cell r="D121">
            <v>106.70622677165356</v>
          </cell>
          <cell r="E121">
            <v>101.66307999999999</v>
          </cell>
          <cell r="F121">
            <v>104.56318168168168</v>
          </cell>
          <cell r="G121">
            <v>95.247288782816227</v>
          </cell>
          <cell r="H121">
            <v>118.80050096339112</v>
          </cell>
          <cell r="I121">
            <v>179.62810526315789</v>
          </cell>
          <cell r="J121">
            <v>103.37255691056912</v>
          </cell>
          <cell r="K121">
            <v>110.42100000000001</v>
          </cell>
          <cell r="L121">
            <v>125.72166064257028</v>
          </cell>
          <cell r="M121">
            <v>117.71302517162471</v>
          </cell>
          <cell r="N121">
            <v>108.765</v>
          </cell>
          <cell r="R121">
            <v>85</v>
          </cell>
          <cell r="T121">
            <v>36904.75</v>
          </cell>
          <cell r="U121">
            <v>412.7</v>
          </cell>
          <cell r="V121">
            <v>183.6</v>
          </cell>
          <cell r="W121">
            <v>337.6</v>
          </cell>
          <cell r="X121">
            <v>0</v>
          </cell>
          <cell r="Y121">
            <v>154</v>
          </cell>
          <cell r="Z121">
            <v>197.9</v>
          </cell>
          <cell r="AA121">
            <v>148.9</v>
          </cell>
          <cell r="AB121">
            <v>38.9</v>
          </cell>
          <cell r="AC121">
            <v>236.1</v>
          </cell>
          <cell r="AD121">
            <v>0</v>
          </cell>
          <cell r="AE121">
            <v>80.900000000000006</v>
          </cell>
          <cell r="AF121">
            <v>78.3</v>
          </cell>
          <cell r="AG121">
            <v>205.9</v>
          </cell>
          <cell r="AH121">
            <v>0</v>
          </cell>
          <cell r="AI121">
            <v>190.9</v>
          </cell>
          <cell r="AJ121">
            <v>0</v>
          </cell>
          <cell r="AN121">
            <v>85</v>
          </cell>
          <cell r="AP121">
            <v>36904.75</v>
          </cell>
          <cell r="AQ121">
            <v>699.3</v>
          </cell>
          <cell r="AR121">
            <v>27.85</v>
          </cell>
          <cell r="AS121">
            <v>1.4152149944873209</v>
          </cell>
          <cell r="AT121">
            <v>9.3647266313932978</v>
          </cell>
          <cell r="AU121">
            <v>0.50645315247690037</v>
          </cell>
          <cell r="AV121">
            <v>19.475505000000002</v>
          </cell>
          <cell r="AW121">
            <v>0.98965984564498344</v>
          </cell>
          <cell r="AX121">
            <v>6.548753333333333</v>
          </cell>
          <cell r="AY121">
            <v>354.1626895270964</v>
          </cell>
          <cell r="AZ121">
            <v>10</v>
          </cell>
          <cell r="BA121">
            <v>10</v>
          </cell>
          <cell r="BB121">
            <v>10</v>
          </cell>
          <cell r="BC121">
            <v>10</v>
          </cell>
          <cell r="BD121">
            <v>10</v>
          </cell>
          <cell r="BE121">
            <v>10</v>
          </cell>
          <cell r="BF121">
            <v>5.0815619191645268E-2</v>
          </cell>
          <cell r="BI121">
            <v>85</v>
          </cell>
          <cell r="BK121">
            <v>36904.75</v>
          </cell>
          <cell r="CD121" t="str">
            <v/>
          </cell>
          <cell r="CF121">
            <v>36904.75</v>
          </cell>
          <cell r="CG121">
            <v>9.82</v>
          </cell>
          <cell r="CH121">
            <v>12.0833333333333</v>
          </cell>
          <cell r="CI121">
            <v>10.952380952381001</v>
          </cell>
          <cell r="CU121">
            <v>10</v>
          </cell>
          <cell r="CV121">
            <v>10</v>
          </cell>
          <cell r="CY121" t="str">
            <v/>
          </cell>
        </row>
        <row r="122">
          <cell r="A122">
            <v>36935.1875</v>
          </cell>
          <cell r="B122">
            <v>101.19147647242129</v>
          </cell>
          <cell r="C122">
            <v>109.56709289617486</v>
          </cell>
          <cell r="D122">
            <v>106.70622677165356</v>
          </cell>
          <cell r="E122">
            <v>102.47283809523809</v>
          </cell>
          <cell r="F122">
            <v>104.52997447447449</v>
          </cell>
          <cell r="G122">
            <v>93.789062052505983</v>
          </cell>
          <cell r="H122">
            <v>119.23423635195888</v>
          </cell>
          <cell r="I122">
            <v>179.62810526315789</v>
          </cell>
          <cell r="J122">
            <v>103.3454593495935</v>
          </cell>
          <cell r="K122">
            <v>110.42100000000001</v>
          </cell>
          <cell r="L122">
            <v>125.77760441767069</v>
          </cell>
          <cell r="M122">
            <v>117.70643478260868</v>
          </cell>
          <cell r="N122">
            <v>108.94499999999999</v>
          </cell>
          <cell r="R122">
            <v>86</v>
          </cell>
          <cell r="T122">
            <v>36935.1875</v>
          </cell>
          <cell r="U122">
            <v>341.6</v>
          </cell>
          <cell r="V122">
            <v>158.19999999999999</v>
          </cell>
          <cell r="W122">
            <v>279.39999999999998</v>
          </cell>
          <cell r="X122">
            <v>0</v>
          </cell>
          <cell r="Y122">
            <v>142.69999999999999</v>
          </cell>
          <cell r="Z122">
            <v>171</v>
          </cell>
          <cell r="AA122">
            <v>139.30000000000001</v>
          </cell>
          <cell r="AB122">
            <v>27.1</v>
          </cell>
          <cell r="AC122">
            <v>205.9</v>
          </cell>
          <cell r="AD122">
            <v>0</v>
          </cell>
          <cell r="AE122">
            <v>76.2</v>
          </cell>
          <cell r="AF122">
            <v>112.4</v>
          </cell>
          <cell r="AG122">
            <v>195.9</v>
          </cell>
          <cell r="AH122">
            <v>0</v>
          </cell>
          <cell r="AI122">
            <v>170</v>
          </cell>
          <cell r="AJ122">
            <v>0</v>
          </cell>
          <cell r="AN122">
            <v>86</v>
          </cell>
          <cell r="AP122">
            <v>36935.1875</v>
          </cell>
          <cell r="AQ122">
            <v>711.713345</v>
          </cell>
          <cell r="AR122">
            <v>27.5</v>
          </cell>
          <cell r="AS122">
            <v>1.3327453142227121</v>
          </cell>
          <cell r="AT122">
            <v>9.2447971781305114</v>
          </cell>
          <cell r="AU122">
            <v>0.48536705239263112</v>
          </cell>
          <cell r="AV122">
            <v>19.572116987500003</v>
          </cell>
          <cell r="AW122">
            <v>0.94853262561852247</v>
          </cell>
          <cell r="AX122">
            <v>6.5796455234938271</v>
          </cell>
          <cell r="AY122">
            <v>345.44220841114975</v>
          </cell>
          <cell r="AZ122">
            <v>10</v>
          </cell>
          <cell r="BA122">
            <v>10</v>
          </cell>
          <cell r="BB122">
            <v>10</v>
          </cell>
          <cell r="BC122">
            <v>10</v>
          </cell>
          <cell r="BD122">
            <v>10</v>
          </cell>
          <cell r="BE122">
            <v>10</v>
          </cell>
          <cell r="BF122">
            <v>4.8463465971734974E-2</v>
          </cell>
          <cell r="BI122">
            <v>86</v>
          </cell>
          <cell r="BK122">
            <v>36935.1875</v>
          </cell>
          <cell r="CD122" t="str">
            <v/>
          </cell>
          <cell r="CF122">
            <v>36935.1875</v>
          </cell>
          <cell r="CG122">
            <v>9.82</v>
          </cell>
          <cell r="CH122">
            <v>12.0833333333333</v>
          </cell>
          <cell r="CI122">
            <v>10.952380952381001</v>
          </cell>
          <cell r="CU122">
            <v>10</v>
          </cell>
          <cell r="CV122">
            <v>10</v>
          </cell>
          <cell r="CY122" t="str">
            <v/>
          </cell>
        </row>
        <row r="123">
          <cell r="A123">
            <v>36965.625</v>
          </cell>
          <cell r="B123">
            <v>109.10790962916795</v>
          </cell>
          <cell r="C123">
            <v>124.65838797814207</v>
          </cell>
          <cell r="D123">
            <v>106.61487874015749</v>
          </cell>
          <cell r="E123">
            <v>103.20634857142856</v>
          </cell>
          <cell r="F123">
            <v>104.52997447447449</v>
          </cell>
          <cell r="G123">
            <v>94.718133651551312</v>
          </cell>
          <cell r="H123">
            <v>117.72687604367373</v>
          </cell>
          <cell r="I123">
            <v>179.62810526315789</v>
          </cell>
          <cell r="J123">
            <v>103.3454593495935</v>
          </cell>
          <cell r="K123">
            <v>110.42100000000001</v>
          </cell>
          <cell r="L123">
            <v>125.77560642570282</v>
          </cell>
          <cell r="M123">
            <v>117.70643478260868</v>
          </cell>
          <cell r="N123">
            <v>111.637</v>
          </cell>
          <cell r="R123">
            <v>87</v>
          </cell>
          <cell r="T123">
            <v>36965.625</v>
          </cell>
          <cell r="U123">
            <v>229</v>
          </cell>
          <cell r="V123">
            <v>160.4</v>
          </cell>
          <cell r="W123">
            <v>187.4</v>
          </cell>
          <cell r="X123">
            <v>0</v>
          </cell>
          <cell r="Y123">
            <v>158</v>
          </cell>
          <cell r="Z123">
            <v>254.3</v>
          </cell>
          <cell r="AA123">
            <v>146.80000000000001</v>
          </cell>
          <cell r="AB123">
            <v>32.799999999999997</v>
          </cell>
          <cell r="AC123">
            <v>165.4</v>
          </cell>
          <cell r="AD123">
            <v>0</v>
          </cell>
          <cell r="AE123">
            <v>86.2</v>
          </cell>
          <cell r="AF123">
            <v>112.9</v>
          </cell>
          <cell r="AG123">
            <v>254.3</v>
          </cell>
          <cell r="AH123">
            <v>0</v>
          </cell>
          <cell r="AI123">
            <v>162.9</v>
          </cell>
          <cell r="AJ123">
            <v>0</v>
          </cell>
          <cell r="AN123">
            <v>87</v>
          </cell>
          <cell r="AP123">
            <v>36965.625</v>
          </cell>
          <cell r="AQ123">
            <v>721.55270000000007</v>
          </cell>
          <cell r="AR123">
            <v>24.99</v>
          </cell>
          <cell r="AS123">
            <v>1.2030871003307608</v>
          </cell>
          <cell r="AT123">
            <v>9.2779541446208089</v>
          </cell>
          <cell r="AU123">
            <v>0.47977801627169087</v>
          </cell>
          <cell r="AV123">
            <v>18.031601973000001</v>
          </cell>
          <cell r="AW123">
            <v>0.86809074557883148</v>
          </cell>
          <cell r="AX123">
            <v>6.6945328635273356</v>
          </cell>
          <cell r="AY123">
            <v>346.18512304148254</v>
          </cell>
          <cell r="AZ123">
            <v>10</v>
          </cell>
          <cell r="BA123">
            <v>10</v>
          </cell>
          <cell r="BB123">
            <v>10</v>
          </cell>
          <cell r="BC123">
            <v>10</v>
          </cell>
          <cell r="BD123">
            <v>10</v>
          </cell>
          <cell r="BE123">
            <v>10</v>
          </cell>
          <cell r="BF123">
            <v>4.8142741109674307E-2</v>
          </cell>
          <cell r="BI123">
            <v>87</v>
          </cell>
          <cell r="BK123">
            <v>36965.625</v>
          </cell>
          <cell r="CD123" t="str">
            <v/>
          </cell>
          <cell r="CF123">
            <v>36965.625</v>
          </cell>
          <cell r="CG123">
            <v>9.82</v>
          </cell>
          <cell r="CH123">
            <v>12.0833333333333</v>
          </cell>
          <cell r="CI123">
            <v>10.952380952381001</v>
          </cell>
          <cell r="CU123">
            <v>10</v>
          </cell>
          <cell r="CV123">
            <v>10</v>
          </cell>
          <cell r="CY123" t="str">
            <v/>
          </cell>
        </row>
        <row r="124">
          <cell r="A124">
            <v>36996.0625</v>
          </cell>
          <cell r="B124">
            <v>105.41857338734808</v>
          </cell>
          <cell r="C124">
            <v>123.33620218579233</v>
          </cell>
          <cell r="D124">
            <v>106.61458582677166</v>
          </cell>
          <cell r="E124">
            <v>103.67893523809524</v>
          </cell>
          <cell r="F124">
            <v>104.18341591591592</v>
          </cell>
          <cell r="G124">
            <v>94.718133651551312</v>
          </cell>
          <cell r="H124">
            <v>114.55277199743094</v>
          </cell>
          <cell r="I124">
            <v>179.62810526315789</v>
          </cell>
          <cell r="J124">
            <v>105.94502235772356</v>
          </cell>
          <cell r="K124">
            <v>110.42100000000001</v>
          </cell>
          <cell r="L124">
            <v>127.72464759036146</v>
          </cell>
          <cell r="M124">
            <v>117.71596567505719</v>
          </cell>
          <cell r="N124">
            <v>110.283</v>
          </cell>
          <cell r="R124">
            <v>88</v>
          </cell>
          <cell r="T124">
            <v>36996.0625</v>
          </cell>
          <cell r="U124">
            <v>0</v>
          </cell>
          <cell r="V124">
            <v>105.9</v>
          </cell>
          <cell r="W124">
            <v>0</v>
          </cell>
          <cell r="X124">
            <v>0</v>
          </cell>
          <cell r="Y124">
            <v>136.30000000000001</v>
          </cell>
          <cell r="Z124">
            <v>208.1</v>
          </cell>
          <cell r="AA124">
            <v>127.9</v>
          </cell>
          <cell r="AB124">
            <v>41.1</v>
          </cell>
          <cell r="AC124">
            <v>81</v>
          </cell>
          <cell r="AD124">
            <v>0</v>
          </cell>
          <cell r="AE124">
            <v>103.6</v>
          </cell>
          <cell r="AF124">
            <v>112</v>
          </cell>
          <cell r="AG124">
            <v>254.5</v>
          </cell>
          <cell r="AH124">
            <v>148</v>
          </cell>
          <cell r="AI124">
            <v>106.9</v>
          </cell>
          <cell r="AJ124">
            <v>148</v>
          </cell>
          <cell r="AN124">
            <v>88</v>
          </cell>
          <cell r="AP124">
            <v>36996.0625</v>
          </cell>
          <cell r="AQ124">
            <v>735.57706066000003</v>
          </cell>
          <cell r="AR124">
            <v>25.66</v>
          </cell>
          <cell r="AS124">
            <v>1.1281146637265711</v>
          </cell>
          <cell r="AT124">
            <v>9.1880070546737223</v>
          </cell>
          <cell r="AU124">
            <v>0.4528503467075739</v>
          </cell>
          <cell r="AV124">
            <v>18.874907376535599</v>
          </cell>
          <cell r="AW124">
            <v>0.82981526843143549</v>
          </cell>
          <cell r="AX124">
            <v>6.758487222600241</v>
          </cell>
          <cell r="AY124">
            <v>333.10632695001914</v>
          </cell>
          <cell r="AZ124">
            <v>10</v>
          </cell>
          <cell r="BA124">
            <v>10</v>
          </cell>
          <cell r="BB124">
            <v>10</v>
          </cell>
          <cell r="BC124">
            <v>10</v>
          </cell>
          <cell r="BD124">
            <v>10</v>
          </cell>
          <cell r="BE124">
            <v>10</v>
          </cell>
          <cell r="BF124">
            <v>4.3963938570793885E-2</v>
          </cell>
          <cell r="BI124">
            <v>88</v>
          </cell>
          <cell r="BK124">
            <v>36996.0625</v>
          </cell>
          <cell r="CD124" t="str">
            <v/>
          </cell>
          <cell r="CF124">
            <v>36996.0625</v>
          </cell>
          <cell r="CG124">
            <v>9.82</v>
          </cell>
          <cell r="CH124">
            <v>12.0833333333333</v>
          </cell>
          <cell r="CI124">
            <v>10.952380952381001</v>
          </cell>
          <cell r="CU124">
            <v>10</v>
          </cell>
          <cell r="CV124">
            <v>10</v>
          </cell>
          <cell r="CY124" t="str">
            <v/>
          </cell>
        </row>
        <row r="125">
          <cell r="A125">
            <v>37026.5</v>
          </cell>
          <cell r="B125">
            <v>111.01961140542225</v>
          </cell>
          <cell r="C125">
            <v>125.19435519125683</v>
          </cell>
          <cell r="D125">
            <v>106.88836377952757</v>
          </cell>
          <cell r="E125">
            <v>101.88395714285714</v>
          </cell>
          <cell r="F125">
            <v>104.19061561561563</v>
          </cell>
          <cell r="G125">
            <v>94.718133651551312</v>
          </cell>
          <cell r="H125">
            <v>117.35995504174694</v>
          </cell>
          <cell r="I125">
            <v>179.62810526315789</v>
          </cell>
          <cell r="J125">
            <v>105.97505284552845</v>
          </cell>
          <cell r="K125">
            <v>110.42100000000001</v>
          </cell>
          <cell r="L125">
            <v>125.97540562248996</v>
          </cell>
          <cell r="M125">
            <v>117.71596567505719</v>
          </cell>
          <cell r="N125">
            <v>112.208</v>
          </cell>
          <cell r="R125">
            <v>89</v>
          </cell>
          <cell r="T125">
            <v>37026.5</v>
          </cell>
          <cell r="U125">
            <v>0</v>
          </cell>
          <cell r="V125">
            <v>86.5</v>
          </cell>
          <cell r="W125">
            <v>0</v>
          </cell>
          <cell r="X125">
            <v>0</v>
          </cell>
          <cell r="Y125">
            <v>117.7</v>
          </cell>
          <cell r="Z125">
            <v>210.5</v>
          </cell>
          <cell r="AA125">
            <v>106.8</v>
          </cell>
          <cell r="AB125">
            <v>26.1</v>
          </cell>
          <cell r="AC125">
            <v>48.7</v>
          </cell>
          <cell r="AD125">
            <v>0</v>
          </cell>
          <cell r="AE125">
            <v>104.3</v>
          </cell>
          <cell r="AF125">
            <v>89.1</v>
          </cell>
          <cell r="AG125">
            <v>223.2</v>
          </cell>
          <cell r="AH125">
            <v>151.1</v>
          </cell>
          <cell r="AI125">
            <v>92.3</v>
          </cell>
          <cell r="AJ125">
            <v>151.1</v>
          </cell>
          <cell r="AN125">
            <v>89</v>
          </cell>
          <cell r="AP125">
            <v>37026.5</v>
          </cell>
          <cell r="AQ125">
            <v>750.5</v>
          </cell>
          <cell r="AR125">
            <v>27.52</v>
          </cell>
          <cell r="AS125">
            <v>1.1018743109151046</v>
          </cell>
          <cell r="AT125">
            <v>9.6067019400352756</v>
          </cell>
          <cell r="AU125">
            <v>0.40992846991275</v>
          </cell>
          <cell r="AV125">
            <v>20.653759999999998</v>
          </cell>
          <cell r="AW125">
            <v>0.82695667034178599</v>
          </cell>
          <cell r="AX125">
            <v>7.2098298059964749</v>
          </cell>
          <cell r="AY125">
            <v>307.65131666951891</v>
          </cell>
          <cell r="AZ125">
            <v>10</v>
          </cell>
          <cell r="BA125">
            <v>10</v>
          </cell>
          <cell r="BB125">
            <v>10</v>
          </cell>
          <cell r="BC125">
            <v>10</v>
          </cell>
          <cell r="BD125">
            <v>10</v>
          </cell>
          <cell r="BE125">
            <v>10</v>
          </cell>
          <cell r="BF125">
            <v>4.003903746057793E-2</v>
          </cell>
          <cell r="BI125">
            <v>89</v>
          </cell>
          <cell r="BK125">
            <v>37026.5</v>
          </cell>
          <cell r="CD125" t="str">
            <v/>
          </cell>
          <cell r="CF125">
            <v>37026.5</v>
          </cell>
          <cell r="CG125">
            <v>9.82</v>
          </cell>
          <cell r="CH125">
            <v>12.0833333333333</v>
          </cell>
          <cell r="CI125">
            <v>10.952380952381001</v>
          </cell>
          <cell r="CU125">
            <v>10</v>
          </cell>
          <cell r="CV125">
            <v>10</v>
          </cell>
          <cell r="CY125" t="str">
            <v/>
          </cell>
        </row>
        <row r="126">
          <cell r="A126">
            <v>37056.9375</v>
          </cell>
          <cell r="B126">
            <v>115.37610314739794</v>
          </cell>
          <cell r="C126">
            <v>131.15495081967214</v>
          </cell>
          <cell r="D126">
            <v>106.88836377952757</v>
          </cell>
          <cell r="E126">
            <v>102.34279428571426</v>
          </cell>
          <cell r="F126">
            <v>104.16745795795796</v>
          </cell>
          <cell r="G126">
            <v>94.718133651551312</v>
          </cell>
          <cell r="H126">
            <v>119.98723827874116</v>
          </cell>
          <cell r="I126">
            <v>179.62810526315789</v>
          </cell>
          <cell r="J126">
            <v>105.95704065040651</v>
          </cell>
          <cell r="K126">
            <v>110.42100000000001</v>
          </cell>
          <cell r="L126">
            <v>126.21916064257029</v>
          </cell>
          <cell r="M126">
            <v>117.71596567505719</v>
          </cell>
          <cell r="N126">
            <v>114.19499999999999</v>
          </cell>
          <cell r="R126">
            <v>90</v>
          </cell>
          <cell r="T126">
            <v>37056.9375</v>
          </cell>
          <cell r="U126">
            <v>0</v>
          </cell>
          <cell r="V126">
            <v>86.5</v>
          </cell>
          <cell r="W126">
            <v>0</v>
          </cell>
          <cell r="X126">
            <v>0</v>
          </cell>
          <cell r="Y126">
            <v>109.7</v>
          </cell>
          <cell r="Z126">
            <v>232.2</v>
          </cell>
          <cell r="AA126">
            <v>95.3</v>
          </cell>
          <cell r="AB126">
            <v>18</v>
          </cell>
          <cell r="AC126">
            <v>41.1</v>
          </cell>
          <cell r="AD126">
            <v>0</v>
          </cell>
          <cell r="AE126">
            <v>103.1</v>
          </cell>
          <cell r="AF126">
            <v>77.2</v>
          </cell>
          <cell r="AG126">
            <v>197.7</v>
          </cell>
          <cell r="AH126">
            <v>148</v>
          </cell>
          <cell r="AI126">
            <v>86</v>
          </cell>
          <cell r="AJ126">
            <v>148</v>
          </cell>
          <cell r="AN126">
            <v>90</v>
          </cell>
          <cell r="AP126">
            <v>37056.9375</v>
          </cell>
          <cell r="AQ126">
            <v>768.89</v>
          </cell>
          <cell r="AR126">
            <v>26.97</v>
          </cell>
          <cell r="AS126">
            <v>1.0465270121278942</v>
          </cell>
          <cell r="AT126">
            <v>9.5308641975308639</v>
          </cell>
          <cell r="AU126">
            <v>0.40798245082236162</v>
          </cell>
          <cell r="AV126">
            <v>20.736963299999999</v>
          </cell>
          <cell r="AW126">
            <v>0.80466415435501648</v>
          </cell>
          <cell r="AX126">
            <v>7.3281861728395059</v>
          </cell>
          <cell r="AY126">
            <v>313.69362661280564</v>
          </cell>
          <cell r="AZ126">
            <v>10</v>
          </cell>
          <cell r="BA126">
            <v>10</v>
          </cell>
          <cell r="BB126">
            <v>10</v>
          </cell>
          <cell r="BC126">
            <v>10</v>
          </cell>
          <cell r="BD126">
            <v>10</v>
          </cell>
          <cell r="BE126">
            <v>10</v>
          </cell>
          <cell r="BF126">
            <v>3.8803374569072825E-2</v>
          </cell>
          <cell r="BI126">
            <v>90</v>
          </cell>
          <cell r="BK126">
            <v>37056.9375</v>
          </cell>
          <cell r="CD126" t="str">
            <v/>
          </cell>
          <cell r="CF126">
            <v>37056.9375</v>
          </cell>
          <cell r="CG126">
            <v>9.82</v>
          </cell>
          <cell r="CH126">
            <v>12.0833333333333</v>
          </cell>
          <cell r="CI126">
            <v>10.952380952381001</v>
          </cell>
          <cell r="CU126">
            <v>10</v>
          </cell>
          <cell r="CV126">
            <v>10</v>
          </cell>
          <cell r="CY126" t="str">
            <v/>
          </cell>
        </row>
        <row r="127">
          <cell r="A127">
            <v>37087.375</v>
          </cell>
          <cell r="B127">
            <v>114.81433561857276</v>
          </cell>
          <cell r="C127">
            <v>134.34825683060109</v>
          </cell>
          <cell r="D127">
            <v>106.88836377952757</v>
          </cell>
          <cell r="E127">
            <v>102.9491380952381</v>
          </cell>
          <cell r="F127">
            <v>104.16745795795796</v>
          </cell>
          <cell r="G127">
            <v>94.718133651551312</v>
          </cell>
          <cell r="H127">
            <v>121.03509955041744</v>
          </cell>
          <cell r="I127">
            <v>179.62810526315789</v>
          </cell>
          <cell r="J127">
            <v>105.95704065040651</v>
          </cell>
          <cell r="K127">
            <v>110.42100000000001</v>
          </cell>
          <cell r="L127">
            <v>126.40497389558233</v>
          </cell>
          <cell r="M127">
            <v>117.71596567505719</v>
          </cell>
          <cell r="N127">
            <v>114.318</v>
          </cell>
          <cell r="R127">
            <v>91</v>
          </cell>
          <cell r="T127">
            <v>37087.375</v>
          </cell>
          <cell r="U127">
            <v>0</v>
          </cell>
          <cell r="V127">
            <v>75.599999999999994</v>
          </cell>
          <cell r="W127">
            <v>0</v>
          </cell>
          <cell r="X127">
            <v>0</v>
          </cell>
          <cell r="Y127">
            <v>99.6</v>
          </cell>
          <cell r="Z127">
            <v>223.2</v>
          </cell>
          <cell r="AA127">
            <v>85.1</v>
          </cell>
          <cell r="AB127">
            <v>22.5</v>
          </cell>
          <cell r="AC127">
            <v>22.7</v>
          </cell>
          <cell r="AD127">
            <v>0</v>
          </cell>
          <cell r="AE127">
            <v>95.5</v>
          </cell>
          <cell r="AF127">
            <v>69</v>
          </cell>
          <cell r="AG127">
            <v>185</v>
          </cell>
          <cell r="AH127">
            <v>151.1</v>
          </cell>
          <cell r="AI127">
            <v>78.099999999999994</v>
          </cell>
          <cell r="AJ127">
            <v>151.1</v>
          </cell>
          <cell r="AN127">
            <v>91</v>
          </cell>
          <cell r="AP127">
            <v>37087.375</v>
          </cell>
          <cell r="AQ127">
            <v>762.33</v>
          </cell>
          <cell r="AR127">
            <v>24.78</v>
          </cell>
          <cell r="AS127">
            <v>1.0044101433296582</v>
          </cell>
          <cell r="AT127">
            <v>9.4366843033509689</v>
          </cell>
          <cell r="AU127">
            <v>0.41920190014292352</v>
          </cell>
          <cell r="AV127">
            <v>18.890537399999999</v>
          </cell>
          <cell r="AW127">
            <v>0.76569198456449838</v>
          </cell>
          <cell r="AX127">
            <v>7.1938675449735445</v>
          </cell>
          <cell r="AY127">
            <v>319.57018453595492</v>
          </cell>
          <cell r="AZ127">
            <v>10</v>
          </cell>
          <cell r="BA127">
            <v>10</v>
          </cell>
          <cell r="BB127">
            <v>10</v>
          </cell>
          <cell r="BC127">
            <v>10</v>
          </cell>
          <cell r="BD127">
            <v>10</v>
          </cell>
          <cell r="BE127">
            <v>10</v>
          </cell>
          <cell r="BF127">
            <v>4.0533096986669022E-2</v>
          </cell>
          <cell r="BI127">
            <v>91</v>
          </cell>
          <cell r="BK127">
            <v>37087.375</v>
          </cell>
          <cell r="CD127" t="str">
            <v/>
          </cell>
          <cell r="CF127">
            <v>37087.375</v>
          </cell>
          <cell r="CG127">
            <v>9.82</v>
          </cell>
          <cell r="CH127">
            <v>12.0833333333333</v>
          </cell>
          <cell r="CI127">
            <v>10.952380952381001</v>
          </cell>
          <cell r="CU127">
            <v>10</v>
          </cell>
          <cell r="CV127">
            <v>10</v>
          </cell>
          <cell r="CY127" t="str">
            <v/>
          </cell>
        </row>
        <row r="128">
          <cell r="A128">
            <v>37117.8125</v>
          </cell>
          <cell r="B128">
            <v>116.94334870676224</v>
          </cell>
          <cell r="C128">
            <v>135.04210928961749</v>
          </cell>
          <cell r="D128">
            <v>106.88836377952757</v>
          </cell>
          <cell r="E128">
            <v>104.95270857142857</v>
          </cell>
          <cell r="F128">
            <v>103.8851966966967</v>
          </cell>
          <cell r="G128">
            <v>94.596243436754179</v>
          </cell>
          <cell r="H128">
            <v>116.8411111111111</v>
          </cell>
          <cell r="I128">
            <v>179.62810526315789</v>
          </cell>
          <cell r="J128">
            <v>105.95704065040651</v>
          </cell>
          <cell r="K128">
            <v>110.42100000000001</v>
          </cell>
          <cell r="L128">
            <v>126.21316666666667</v>
          </cell>
          <cell r="M128">
            <v>117.71948054919909</v>
          </cell>
          <cell r="N128">
            <v>114.529</v>
          </cell>
          <cell r="R128">
            <v>92</v>
          </cell>
          <cell r="T128">
            <v>37117.8125</v>
          </cell>
          <cell r="U128">
            <v>0</v>
          </cell>
          <cell r="V128">
            <v>45</v>
          </cell>
          <cell r="W128">
            <v>0</v>
          </cell>
          <cell r="X128">
            <v>0</v>
          </cell>
          <cell r="Y128">
            <v>72.3</v>
          </cell>
          <cell r="Z128">
            <v>104.2</v>
          </cell>
          <cell r="AA128">
            <v>68.599999999999994</v>
          </cell>
          <cell r="AB128">
            <v>23.8</v>
          </cell>
          <cell r="AC128">
            <v>23.8</v>
          </cell>
          <cell r="AD128">
            <v>0</v>
          </cell>
          <cell r="AE128">
            <v>47.9</v>
          </cell>
          <cell r="AF128">
            <v>50.9</v>
          </cell>
          <cell r="AG128">
            <v>164.7</v>
          </cell>
          <cell r="AH128">
            <v>139.30000000000001</v>
          </cell>
          <cell r="AI128">
            <v>56.7</v>
          </cell>
          <cell r="AJ128">
            <v>139.30000000000001</v>
          </cell>
          <cell r="AN128">
            <v>92</v>
          </cell>
          <cell r="AP128">
            <v>37117.8125</v>
          </cell>
          <cell r="AQ128">
            <v>728.65</v>
          </cell>
          <cell r="AR128">
            <v>25.82</v>
          </cell>
          <cell r="AS128">
            <v>0.95545755237045193</v>
          </cell>
          <cell r="AT128">
            <v>9.5975308641975303</v>
          </cell>
          <cell r="AU128">
            <v>0.40634421501027596</v>
          </cell>
          <cell r="AV128">
            <v>18.813742999999999</v>
          </cell>
          <cell r="AW128">
            <v>0.69619414553472969</v>
          </cell>
          <cell r="AX128">
            <v>6.9932408641975297</v>
          </cell>
          <cell r="AY128">
            <v>296.08271226723758</v>
          </cell>
          <cell r="AZ128">
            <v>10</v>
          </cell>
          <cell r="BA128">
            <v>10</v>
          </cell>
          <cell r="BB128">
            <v>10</v>
          </cell>
          <cell r="BC128">
            <v>10</v>
          </cell>
          <cell r="BD128">
            <v>10</v>
          </cell>
          <cell r="BE128">
            <v>10</v>
          </cell>
          <cell r="BF128">
            <v>3.7004552764153827E-2</v>
          </cell>
          <cell r="BI128">
            <v>92</v>
          </cell>
          <cell r="BK128">
            <v>37117.8125</v>
          </cell>
          <cell r="CD128" t="str">
            <v/>
          </cell>
          <cell r="CF128">
            <v>37117.8125</v>
          </cell>
          <cell r="CG128">
            <v>9.82</v>
          </cell>
          <cell r="CH128">
            <v>12.0833333333333</v>
          </cell>
          <cell r="CI128">
            <v>10.952380952381001</v>
          </cell>
          <cell r="CU128">
            <v>10</v>
          </cell>
          <cell r="CV128">
            <v>10</v>
          </cell>
          <cell r="CY128" t="str">
            <v/>
          </cell>
        </row>
        <row r="129">
          <cell r="A129">
            <v>37148.25</v>
          </cell>
          <cell r="B129">
            <v>109.30097880959799</v>
          </cell>
          <cell r="C129">
            <v>133.65473770491803</v>
          </cell>
          <cell r="D129">
            <v>106.88836377952757</v>
          </cell>
          <cell r="E129">
            <v>102.17171047619048</v>
          </cell>
          <cell r="F129">
            <v>103.8851966966967</v>
          </cell>
          <cell r="G129">
            <v>94.646124105011936</v>
          </cell>
          <cell r="H129">
            <v>114.67544637122671</v>
          </cell>
          <cell r="I129">
            <v>179.62810526315789</v>
          </cell>
          <cell r="J129">
            <v>105.95704065040651</v>
          </cell>
          <cell r="K129">
            <v>110.42100000000001</v>
          </cell>
          <cell r="L129">
            <v>125.63474799196787</v>
          </cell>
          <cell r="M129">
            <v>117.71948054919909</v>
          </cell>
          <cell r="N129">
            <v>111.366</v>
          </cell>
          <cell r="R129">
            <v>93</v>
          </cell>
          <cell r="T129">
            <v>37148.25</v>
          </cell>
          <cell r="U129">
            <v>0</v>
          </cell>
          <cell r="V129">
            <v>142.1</v>
          </cell>
          <cell r="W129">
            <v>0</v>
          </cell>
          <cell r="X129">
            <v>0</v>
          </cell>
          <cell r="Y129">
            <v>115.3</v>
          </cell>
          <cell r="Z129">
            <v>518</v>
          </cell>
          <cell r="AA129">
            <v>68.099999999999994</v>
          </cell>
          <cell r="AB129">
            <v>11</v>
          </cell>
          <cell r="AC129">
            <v>5.8</v>
          </cell>
          <cell r="AD129">
            <v>0</v>
          </cell>
          <cell r="AE129">
            <v>61.9</v>
          </cell>
          <cell r="AF129">
            <v>63.4</v>
          </cell>
          <cell r="AG129">
            <v>170.5</v>
          </cell>
          <cell r="AH129">
            <v>92.1</v>
          </cell>
          <cell r="AI129">
            <v>90.4</v>
          </cell>
          <cell r="AJ129">
            <v>92.1</v>
          </cell>
          <cell r="AN129">
            <v>93</v>
          </cell>
          <cell r="AP129">
            <v>37148.25</v>
          </cell>
          <cell r="AQ129">
            <v>720.11</v>
          </cell>
          <cell r="AR129">
            <v>24.56</v>
          </cell>
          <cell r="AS129">
            <v>0.90981256890848949</v>
          </cell>
          <cell r="AT129">
            <v>10.034215167548503</v>
          </cell>
          <cell r="AU129">
            <v>0.37557840172638068</v>
          </cell>
          <cell r="AV129">
            <v>17.685901600000001</v>
          </cell>
          <cell r="AW129">
            <v>0.65516512899669233</v>
          </cell>
          <cell r="AX129">
            <v>7.2257386843033524</v>
          </cell>
          <cell r="AY129">
            <v>270.45776286718399</v>
          </cell>
          <cell r="AZ129">
            <v>10</v>
          </cell>
          <cell r="BA129">
            <v>10</v>
          </cell>
          <cell r="BB129">
            <v>10</v>
          </cell>
          <cell r="BC129">
            <v>10</v>
          </cell>
          <cell r="BD129">
            <v>10</v>
          </cell>
          <cell r="BE129">
            <v>10</v>
          </cell>
          <cell r="BF129">
            <v>3.7044485704743051E-2</v>
          </cell>
          <cell r="BI129">
            <v>93</v>
          </cell>
          <cell r="BK129">
            <v>37148.25</v>
          </cell>
          <cell r="CD129" t="str">
            <v/>
          </cell>
          <cell r="CF129">
            <v>37148.25</v>
          </cell>
          <cell r="CG129">
            <v>9.82</v>
          </cell>
          <cell r="CH129">
            <v>12.0833333333333</v>
          </cell>
          <cell r="CI129">
            <v>10.952380952381001</v>
          </cell>
          <cell r="CU129">
            <v>10</v>
          </cell>
          <cell r="CV129">
            <v>10</v>
          </cell>
          <cell r="CY129" t="str">
            <v/>
          </cell>
        </row>
        <row r="130">
          <cell r="A130">
            <v>37178.6875</v>
          </cell>
          <cell r="B130">
            <v>112.01696104705515</v>
          </cell>
          <cell r="C130">
            <v>132.41580327868851</v>
          </cell>
          <cell r="D130">
            <v>106.88836377952757</v>
          </cell>
          <cell r="E130">
            <v>105.26451809523809</v>
          </cell>
          <cell r="F130">
            <v>104.06529729729732</v>
          </cell>
          <cell r="G130">
            <v>94.646124105011936</v>
          </cell>
          <cell r="H130">
            <v>116.00561978163132</v>
          </cell>
          <cell r="I130">
            <v>179.62810526315789</v>
          </cell>
          <cell r="J130">
            <v>105.95704065040651</v>
          </cell>
          <cell r="K130">
            <v>118.97799999999999</v>
          </cell>
          <cell r="L130">
            <v>126.55582228915662</v>
          </cell>
          <cell r="M130">
            <v>117.71948054919909</v>
          </cell>
          <cell r="N130">
            <v>113.05800000000001</v>
          </cell>
          <cell r="R130">
            <v>94</v>
          </cell>
          <cell r="T130">
            <v>37178.6875</v>
          </cell>
          <cell r="U130">
            <v>7.8</v>
          </cell>
          <cell r="V130">
            <v>51.9</v>
          </cell>
          <cell r="W130">
            <v>6.4</v>
          </cell>
          <cell r="X130">
            <v>0</v>
          </cell>
          <cell r="Y130">
            <v>87.9</v>
          </cell>
          <cell r="Z130">
            <v>47</v>
          </cell>
          <cell r="AA130">
            <v>92.7</v>
          </cell>
          <cell r="AB130">
            <v>17</v>
          </cell>
          <cell r="AC130">
            <v>68.400000000000006</v>
          </cell>
          <cell r="AD130">
            <v>0</v>
          </cell>
          <cell r="AE130">
            <v>49.7</v>
          </cell>
          <cell r="AF130">
            <v>73</v>
          </cell>
          <cell r="AG130">
            <v>200.7</v>
          </cell>
          <cell r="AH130">
            <v>80</v>
          </cell>
          <cell r="AI130">
            <v>70.3</v>
          </cell>
          <cell r="AJ130">
            <v>80</v>
          </cell>
          <cell r="AN130">
            <v>94</v>
          </cell>
          <cell r="AP130">
            <v>37178.6875</v>
          </cell>
          <cell r="AQ130">
            <v>724.21</v>
          </cell>
          <cell r="AR130">
            <v>20.73</v>
          </cell>
          <cell r="AS130">
            <v>0.82072767364939359</v>
          </cell>
          <cell r="AT130">
            <v>9.9566137566137574</v>
          </cell>
          <cell r="AU130">
            <v>0.35580955010729443</v>
          </cell>
          <cell r="AV130">
            <v>15.012873300000001</v>
          </cell>
          <cell r="AW130">
            <v>0.59437918853362737</v>
          </cell>
          <cell r="AX130">
            <v>7.2106792486772493</v>
          </cell>
          <cell r="AY130">
            <v>257.68083428320369</v>
          </cell>
          <cell r="AZ130">
            <v>10</v>
          </cell>
          <cell r="BA130">
            <v>10</v>
          </cell>
          <cell r="BB130">
            <v>10</v>
          </cell>
          <cell r="BC130">
            <v>10</v>
          </cell>
          <cell r="BD130">
            <v>10</v>
          </cell>
          <cell r="BE130">
            <v>10</v>
          </cell>
          <cell r="BF130">
            <v>3.9591301189068673E-2</v>
          </cell>
          <cell r="BI130">
            <v>94</v>
          </cell>
          <cell r="BK130">
            <v>37178.6875</v>
          </cell>
          <cell r="CD130" t="str">
            <v/>
          </cell>
          <cell r="CF130">
            <v>37178.6875</v>
          </cell>
          <cell r="CG130">
            <v>9.82</v>
          </cell>
          <cell r="CH130">
            <v>12.0833333333333</v>
          </cell>
          <cell r="CI130">
            <v>10.952380952381001</v>
          </cell>
          <cell r="CU130">
            <v>10</v>
          </cell>
          <cell r="CV130">
            <v>10</v>
          </cell>
          <cell r="CY130" t="str">
            <v/>
          </cell>
        </row>
        <row r="131">
          <cell r="A131">
            <v>37209.125</v>
          </cell>
          <cell r="B131">
            <v>109.7462748519788</v>
          </cell>
          <cell r="C131">
            <v>127.71634972677596</v>
          </cell>
          <cell r="D131">
            <v>106.88836377952757</v>
          </cell>
          <cell r="E131">
            <v>104.60503619047618</v>
          </cell>
          <cell r="F131">
            <v>104.06529729729732</v>
          </cell>
          <cell r="G131">
            <v>94.646124105011936</v>
          </cell>
          <cell r="H131">
            <v>112.50808606294156</v>
          </cell>
          <cell r="I131">
            <v>179.62810526315789</v>
          </cell>
          <cell r="J131">
            <v>105.95704065040651</v>
          </cell>
          <cell r="K131">
            <v>118.97799999999999</v>
          </cell>
          <cell r="L131">
            <v>126.64373393574297</v>
          </cell>
          <cell r="M131">
            <v>117.71948054919909</v>
          </cell>
          <cell r="N131">
            <v>111.63800000000001</v>
          </cell>
          <cell r="R131">
            <v>95</v>
          </cell>
          <cell r="T131">
            <v>37209.125</v>
          </cell>
          <cell r="U131">
            <v>101.8</v>
          </cell>
          <cell r="V131">
            <v>124.3</v>
          </cell>
          <cell r="W131">
            <v>83.3</v>
          </cell>
          <cell r="X131">
            <v>0</v>
          </cell>
          <cell r="Y131">
            <v>111.3</v>
          </cell>
          <cell r="Z131">
            <v>146.9</v>
          </cell>
          <cell r="AA131">
            <v>107.1</v>
          </cell>
          <cell r="AB131">
            <v>27.2</v>
          </cell>
          <cell r="AC131">
            <v>152.9</v>
          </cell>
          <cell r="AD131">
            <v>0</v>
          </cell>
          <cell r="AE131">
            <v>40.700000000000003</v>
          </cell>
          <cell r="AF131">
            <v>48.5</v>
          </cell>
          <cell r="AG131">
            <v>181.3</v>
          </cell>
          <cell r="AH131">
            <v>92.4</v>
          </cell>
          <cell r="AI131">
            <v>104.6</v>
          </cell>
          <cell r="AJ131">
            <v>92.4</v>
          </cell>
          <cell r="AN131">
            <v>95</v>
          </cell>
          <cell r="AP131">
            <v>37209.125</v>
          </cell>
          <cell r="AQ131">
            <v>738.51</v>
          </cell>
          <cell r="AR131">
            <v>18.66</v>
          </cell>
          <cell r="AS131">
            <v>0.83704520396912896</v>
          </cell>
          <cell r="AT131">
            <v>9.777072310405643</v>
          </cell>
          <cell r="AU131">
            <v>0.34908163689004928</v>
          </cell>
          <cell r="AV131">
            <v>13.780596600000001</v>
          </cell>
          <cell r="AW131">
            <v>0.6181662535832414</v>
          </cell>
          <cell r="AX131">
            <v>7.2204656719576716</v>
          </cell>
          <cell r="AY131">
            <v>257.80027965967031</v>
          </cell>
          <cell r="AZ131">
            <v>10</v>
          </cell>
          <cell r="BA131">
            <v>10</v>
          </cell>
          <cell r="BB131">
            <v>10</v>
          </cell>
          <cell r="BC131">
            <v>10</v>
          </cell>
          <cell r="BD131">
            <v>10</v>
          </cell>
          <cell r="BE131">
            <v>10</v>
          </cell>
          <cell r="BF131">
            <v>4.4857727972622129E-2</v>
          </cell>
          <cell r="BI131">
            <v>95</v>
          </cell>
          <cell r="BK131">
            <v>37209.125</v>
          </cell>
          <cell r="CD131" t="str">
            <v/>
          </cell>
          <cell r="CF131">
            <v>37209.125</v>
          </cell>
          <cell r="CG131">
            <v>9.82</v>
          </cell>
          <cell r="CH131">
            <v>12.0833333333333</v>
          </cell>
          <cell r="CI131">
            <v>10.952380952381001</v>
          </cell>
          <cell r="CU131">
            <v>10</v>
          </cell>
          <cell r="CV131">
            <v>10</v>
          </cell>
          <cell r="CY131" t="str">
            <v/>
          </cell>
        </row>
        <row r="132">
          <cell r="A132">
            <v>37239.5625</v>
          </cell>
          <cell r="B132">
            <v>103.6197937052041</v>
          </cell>
          <cell r="C132">
            <v>127.98219672131147</v>
          </cell>
          <cell r="D132">
            <v>110.77558267716539</v>
          </cell>
          <cell r="E132">
            <v>106.3915361904762</v>
          </cell>
          <cell r="F132">
            <v>103.908</v>
          </cell>
          <cell r="G132">
            <v>94.720458233890227</v>
          </cell>
          <cell r="H132">
            <v>109.78457931920357</v>
          </cell>
          <cell r="I132">
            <v>163.22456140350877</v>
          </cell>
          <cell r="J132">
            <v>106.03834146341464</v>
          </cell>
          <cell r="K132">
            <v>118.97799999999999</v>
          </cell>
          <cell r="L132">
            <v>126.19218775100403</v>
          </cell>
          <cell r="M132">
            <v>118.32616704805493</v>
          </cell>
          <cell r="N132">
            <v>109.47799999999999</v>
          </cell>
          <cell r="R132">
            <v>96</v>
          </cell>
          <cell r="T132">
            <v>37239.5625</v>
          </cell>
          <cell r="U132">
            <v>365.4</v>
          </cell>
          <cell r="V132">
            <v>201.7</v>
          </cell>
          <cell r="W132">
            <v>298.89999999999998</v>
          </cell>
          <cell r="X132">
            <v>0</v>
          </cell>
          <cell r="Y132">
            <v>145.30000000000001</v>
          </cell>
          <cell r="Z132">
            <v>170.3</v>
          </cell>
          <cell r="AA132">
            <v>142.30000000000001</v>
          </cell>
          <cell r="AB132">
            <v>39.4</v>
          </cell>
          <cell r="AC132">
            <v>284.7</v>
          </cell>
          <cell r="AD132">
            <v>0</v>
          </cell>
          <cell r="AE132">
            <v>34.299999999999997</v>
          </cell>
          <cell r="AF132">
            <v>62.1</v>
          </cell>
          <cell r="AG132">
            <v>173.2</v>
          </cell>
          <cell r="AH132">
            <v>76.900000000000006</v>
          </cell>
          <cell r="AI132">
            <v>176.1</v>
          </cell>
          <cell r="AJ132">
            <v>76.900000000000006</v>
          </cell>
          <cell r="AN132">
            <v>96</v>
          </cell>
          <cell r="AP132">
            <v>37239.5625</v>
          </cell>
          <cell r="AQ132">
            <v>735.13100989999998</v>
          </cell>
          <cell r="AR132">
            <v>18.48</v>
          </cell>
          <cell r="AS132">
            <v>0.94531422271223808</v>
          </cell>
          <cell r="AT132">
            <v>9.7298059964726615</v>
          </cell>
          <cell r="AU132">
            <v>0.35027071278439542</v>
          </cell>
          <cell r="AV132">
            <v>13.585221062952</v>
          </cell>
          <cell r="AW132">
            <v>0.69492979921528109</v>
          </cell>
          <cell r="AX132">
            <v>7.1526821083180234</v>
          </cell>
          <cell r="AY132">
            <v>257.49486282758545</v>
          </cell>
          <cell r="AZ132">
            <v>10</v>
          </cell>
          <cell r="BA132">
            <v>10</v>
          </cell>
          <cell r="BB132">
            <v>10</v>
          </cell>
          <cell r="BC132">
            <v>10</v>
          </cell>
          <cell r="BD132">
            <v>10</v>
          </cell>
          <cell r="BE132">
            <v>10</v>
          </cell>
          <cell r="BF132">
            <v>5.1153367029883011E-2</v>
          </cell>
          <cell r="BI132">
            <v>96</v>
          </cell>
          <cell r="BK132">
            <v>37239.5625</v>
          </cell>
          <cell r="CD132" t="str">
            <v/>
          </cell>
          <cell r="CF132">
            <v>37239.5625</v>
          </cell>
          <cell r="CG132">
            <v>9.82</v>
          </cell>
          <cell r="CH132">
            <v>12.0833333333333</v>
          </cell>
          <cell r="CI132">
            <v>10.952380952381001</v>
          </cell>
          <cell r="CU132">
            <v>10</v>
          </cell>
          <cell r="CV132">
            <v>10</v>
          </cell>
          <cell r="CY132" t="str">
            <v/>
          </cell>
        </row>
        <row r="133">
          <cell r="A133">
            <v>37270</v>
          </cell>
          <cell r="B133">
            <v>105.32131193518227</v>
          </cell>
          <cell r="C133">
            <v>124.07667213114753</v>
          </cell>
          <cell r="D133">
            <v>108.04013543307087</v>
          </cell>
          <cell r="E133">
            <v>103.91508380952379</v>
          </cell>
          <cell r="F133">
            <v>104.89049699699699</v>
          </cell>
          <cell r="G133">
            <v>94.779947494033408</v>
          </cell>
          <cell r="H133">
            <v>111.95136159280665</v>
          </cell>
          <cell r="I133">
            <v>163.22456140350877</v>
          </cell>
          <cell r="J133">
            <v>105.95988617886179</v>
          </cell>
          <cell r="K133">
            <v>118.97799999999999</v>
          </cell>
          <cell r="L133">
            <v>126.78758935742972</v>
          </cell>
          <cell r="M133">
            <v>117.61825858123571</v>
          </cell>
          <cell r="N133">
            <v>109.949</v>
          </cell>
          <cell r="R133">
            <v>97</v>
          </cell>
          <cell r="T133">
            <v>37270</v>
          </cell>
          <cell r="U133">
            <v>461.9</v>
          </cell>
          <cell r="V133">
            <v>180.6</v>
          </cell>
          <cell r="W133">
            <v>377.8</v>
          </cell>
          <cell r="Y133">
            <v>158.1</v>
          </cell>
          <cell r="Z133">
            <v>205.1</v>
          </cell>
          <cell r="AA133">
            <v>152.6</v>
          </cell>
          <cell r="AB133">
            <v>40.1</v>
          </cell>
          <cell r="AC133">
            <v>226.3</v>
          </cell>
          <cell r="AE133">
            <v>86.5</v>
          </cell>
          <cell r="AF133">
            <v>94.1</v>
          </cell>
          <cell r="AG133">
            <v>218.7</v>
          </cell>
          <cell r="AH133">
            <v>72.099999999999994</v>
          </cell>
          <cell r="AI133">
            <v>202.5</v>
          </cell>
          <cell r="AJ133">
            <v>72.099999999999994</v>
          </cell>
          <cell r="AN133">
            <v>97</v>
          </cell>
          <cell r="AP133">
            <v>37270</v>
          </cell>
          <cell r="AQ133">
            <v>742.79258765999998</v>
          </cell>
          <cell r="AR133">
            <v>19.190000000000001</v>
          </cell>
          <cell r="AS133">
            <v>0.95744211686879821</v>
          </cell>
          <cell r="AT133">
            <v>9.9118165784832453</v>
          </cell>
          <cell r="AU133">
            <v>0.35644085749340193</v>
          </cell>
          <cell r="AV133">
            <v>14.254189757195402</v>
          </cell>
          <cell r="AW133">
            <v>0.71118090752364271</v>
          </cell>
          <cell r="AX133">
            <v>7.3624238847428565</v>
          </cell>
          <cell r="AY133">
            <v>264.7616268852733</v>
          </cell>
          <cell r="AZ133">
            <v>10</v>
          </cell>
          <cell r="BA133">
            <v>10</v>
          </cell>
          <cell r="BB133">
            <v>10</v>
          </cell>
          <cell r="BC133">
            <v>10</v>
          </cell>
          <cell r="BD133">
            <v>10</v>
          </cell>
          <cell r="BE133">
            <v>10</v>
          </cell>
          <cell r="BF133">
            <v>4.9892762734173944E-2</v>
          </cell>
          <cell r="BI133">
            <v>97</v>
          </cell>
          <cell r="BK133">
            <v>37270</v>
          </cell>
          <cell r="CD133" t="str">
            <v/>
          </cell>
          <cell r="CF133">
            <v>37270</v>
          </cell>
          <cell r="CG133">
            <v>9.82</v>
          </cell>
          <cell r="CH133">
            <v>12.0833333333333</v>
          </cell>
          <cell r="CI133">
            <v>10.952380952381001</v>
          </cell>
          <cell r="CU133">
            <v>10</v>
          </cell>
          <cell r="CV133">
            <v>10</v>
          </cell>
          <cell r="CY133" t="str">
            <v/>
          </cell>
        </row>
        <row r="134">
          <cell r="A134">
            <v>37300.4375</v>
          </cell>
          <cell r="B134">
            <v>110.60790277344968</v>
          </cell>
          <cell r="C134">
            <v>127.11628961748633</v>
          </cell>
          <cell r="D134">
            <v>108.04013543307087</v>
          </cell>
          <cell r="E134">
            <v>107.44586571428572</v>
          </cell>
          <cell r="F134">
            <v>104.8815</v>
          </cell>
          <cell r="G134">
            <v>95.17054892601432</v>
          </cell>
          <cell r="H134">
            <v>114.22435067437378</v>
          </cell>
          <cell r="I134">
            <v>163.22456140350877</v>
          </cell>
          <cell r="J134">
            <v>105.95988617886179</v>
          </cell>
          <cell r="K134">
            <v>118.97799999999999</v>
          </cell>
          <cell r="L134">
            <v>126.90047590361446</v>
          </cell>
          <cell r="M134">
            <v>117.64278032036613</v>
          </cell>
          <cell r="N134">
            <v>112.45399999999999</v>
          </cell>
          <cell r="R134">
            <v>98</v>
          </cell>
          <cell r="T134">
            <v>37300.4375</v>
          </cell>
          <cell r="U134">
            <v>379</v>
          </cell>
          <cell r="V134">
            <v>154.80000000000001</v>
          </cell>
          <cell r="W134">
            <v>310</v>
          </cell>
          <cell r="Y134">
            <v>145.6</v>
          </cell>
          <cell r="Z134">
            <v>153.1</v>
          </cell>
          <cell r="AA134">
            <v>144.69999999999999</v>
          </cell>
          <cell r="AB134">
            <v>27.9</v>
          </cell>
          <cell r="AC134">
            <v>208.2</v>
          </cell>
          <cell r="AE134">
            <v>85.7</v>
          </cell>
          <cell r="AF134">
            <v>79.900000000000006</v>
          </cell>
          <cell r="AG134">
            <v>218.4</v>
          </cell>
          <cell r="AH134">
            <v>73</v>
          </cell>
          <cell r="AI134">
            <v>178.6</v>
          </cell>
          <cell r="AJ134">
            <v>73</v>
          </cell>
          <cell r="AN134">
            <v>98</v>
          </cell>
          <cell r="AP134">
            <v>37300.4375</v>
          </cell>
          <cell r="AQ134">
            <v>753.96353537000005</v>
          </cell>
          <cell r="AR134">
            <v>19.96</v>
          </cell>
          <cell r="AS134">
            <v>0.94399117971334068</v>
          </cell>
          <cell r="AT134">
            <v>9.9149911816578484</v>
          </cell>
          <cell r="AU134">
            <v>0.35521627598812722</v>
          </cell>
          <cell r="AV134">
            <v>15.049112165985202</v>
          </cell>
          <cell r="AW134">
            <v>0.71173492721476739</v>
          </cell>
          <cell r="AX134">
            <v>7.4755418044851254</v>
          </cell>
          <cell r="AY134">
            <v>267.82011926497404</v>
          </cell>
          <cell r="AZ134">
            <v>10</v>
          </cell>
          <cell r="BA134">
            <v>10</v>
          </cell>
          <cell r="BB134">
            <v>10</v>
          </cell>
          <cell r="BC134">
            <v>10</v>
          </cell>
          <cell r="BD134">
            <v>10</v>
          </cell>
          <cell r="BE134">
            <v>10</v>
          </cell>
          <cell r="BF134">
            <v>4.7294147280227489E-2</v>
          </cell>
          <cell r="BI134">
            <v>98</v>
          </cell>
          <cell r="BK134">
            <v>37300.4375</v>
          </cell>
          <cell r="CD134" t="str">
            <v/>
          </cell>
          <cell r="CF134">
            <v>37300.4375</v>
          </cell>
          <cell r="CG134">
            <v>9.82</v>
          </cell>
          <cell r="CH134">
            <v>12.0833333333333</v>
          </cell>
          <cell r="CI134">
            <v>10.952380952381001</v>
          </cell>
          <cell r="CU134">
            <v>10</v>
          </cell>
          <cell r="CV134">
            <v>10</v>
          </cell>
          <cell r="CY134" t="str">
            <v/>
          </cell>
        </row>
        <row r="135">
          <cell r="A135">
            <v>37330.875</v>
          </cell>
          <cell r="B135">
            <v>109.65191368027421</v>
          </cell>
          <cell r="C135">
            <v>127.02626229508195</v>
          </cell>
          <cell r="D135">
            <v>108.04013543307087</v>
          </cell>
          <cell r="E135">
            <v>107.52687714285716</v>
          </cell>
          <cell r="F135">
            <v>105.14042792792792</v>
          </cell>
          <cell r="G135">
            <v>95.121398568019103</v>
          </cell>
          <cell r="H135">
            <v>115.67338086062941</v>
          </cell>
          <cell r="I135">
            <v>163.22456140350877</v>
          </cell>
          <cell r="J135">
            <v>105.95988617886179</v>
          </cell>
          <cell r="K135">
            <v>118.97799999999999</v>
          </cell>
          <cell r="L135">
            <v>126.50387449799196</v>
          </cell>
          <cell r="M135">
            <v>117.64278032036613</v>
          </cell>
          <cell r="N135">
            <v>112.355</v>
          </cell>
          <cell r="R135">
            <v>99</v>
          </cell>
          <cell r="T135">
            <v>37330.875</v>
          </cell>
          <cell r="U135">
            <v>319.5</v>
          </cell>
          <cell r="V135">
            <v>155.1</v>
          </cell>
          <cell r="W135">
            <v>261.39999999999998</v>
          </cell>
          <cell r="Y135">
            <v>146.69999999999999</v>
          </cell>
          <cell r="Z135">
            <v>200.2</v>
          </cell>
          <cell r="AA135">
            <v>140.5</v>
          </cell>
          <cell r="AB135">
            <v>36.1</v>
          </cell>
          <cell r="AC135">
            <v>181.4</v>
          </cell>
          <cell r="AE135">
            <v>78</v>
          </cell>
          <cell r="AF135">
            <v>107.9</v>
          </cell>
          <cell r="AG135">
            <v>222</v>
          </cell>
          <cell r="AH135">
            <v>47.6</v>
          </cell>
          <cell r="AI135">
            <v>169.4</v>
          </cell>
          <cell r="AJ135">
            <v>47.6</v>
          </cell>
          <cell r="AN135">
            <v>99</v>
          </cell>
          <cell r="AP135">
            <v>37330.875</v>
          </cell>
          <cell r="AQ135">
            <v>749.00450045000002</v>
          </cell>
          <cell r="AR135">
            <v>23.64</v>
          </cell>
          <cell r="AS135">
            <v>0.92701212789415655</v>
          </cell>
          <cell r="AT135">
            <v>9.9118165784832453</v>
          </cell>
          <cell r="AU135">
            <v>0.35947215357629703</v>
          </cell>
          <cell r="AV135">
            <v>17.706466390638003</v>
          </cell>
          <cell r="AW135">
            <v>0.69433625576445424</v>
          </cell>
          <cell r="AX135">
            <v>7.4239952249188716</v>
          </cell>
          <cell r="AY135">
            <v>269.24626081510002</v>
          </cell>
          <cell r="AZ135">
            <v>10</v>
          </cell>
          <cell r="BA135">
            <v>10</v>
          </cell>
          <cell r="BB135">
            <v>10</v>
          </cell>
          <cell r="BC135">
            <v>10</v>
          </cell>
          <cell r="BD135">
            <v>10</v>
          </cell>
          <cell r="BE135">
            <v>10</v>
          </cell>
          <cell r="BF135">
            <v>3.9213710993830642E-2</v>
          </cell>
          <cell r="BI135">
            <v>99</v>
          </cell>
          <cell r="BK135">
            <v>37330.875</v>
          </cell>
          <cell r="CD135" t="str">
            <v/>
          </cell>
          <cell r="CF135">
            <v>37330.875</v>
          </cell>
          <cell r="CG135">
            <v>9.82</v>
          </cell>
          <cell r="CH135">
            <v>12.0833333333333</v>
          </cell>
          <cell r="CI135">
            <v>10.952380952381001</v>
          </cell>
          <cell r="CU135">
            <v>10</v>
          </cell>
          <cell r="CV135">
            <v>10</v>
          </cell>
          <cell r="CY135" t="str">
            <v/>
          </cell>
        </row>
        <row r="136">
          <cell r="A136">
            <v>37361.3125</v>
          </cell>
          <cell r="B136">
            <v>109.76538360860083</v>
          </cell>
          <cell r="C136">
            <v>129.41592896174862</v>
          </cell>
          <cell r="D136">
            <v>108.04013543307087</v>
          </cell>
          <cell r="E136">
            <v>106.30249999999999</v>
          </cell>
          <cell r="F136">
            <v>106.64992942942943</v>
          </cell>
          <cell r="G136">
            <v>95.121398568019103</v>
          </cell>
          <cell r="H136">
            <v>120.14357739242132</v>
          </cell>
          <cell r="I136">
            <v>163.22456140350877</v>
          </cell>
          <cell r="J136">
            <v>105.95988617886179</v>
          </cell>
          <cell r="K136">
            <v>118.97799999999999</v>
          </cell>
          <cell r="L136">
            <v>127.58378915662651</v>
          </cell>
          <cell r="M136">
            <v>117.64278032036613</v>
          </cell>
          <cell r="N136">
            <v>113.211</v>
          </cell>
          <cell r="R136">
            <v>100</v>
          </cell>
          <cell r="T136">
            <v>37361.3125</v>
          </cell>
          <cell r="V136">
            <v>86.9</v>
          </cell>
          <cell r="Y136">
            <v>114.3</v>
          </cell>
          <cell r="Z136">
            <v>178.6</v>
          </cell>
          <cell r="AA136">
            <v>107.4</v>
          </cell>
          <cell r="AB136">
            <v>35.299999999999997</v>
          </cell>
          <cell r="AC136">
            <v>61.4</v>
          </cell>
          <cell r="AE136">
            <v>71.3</v>
          </cell>
          <cell r="AF136">
            <v>119.6</v>
          </cell>
          <cell r="AG136">
            <v>221.7</v>
          </cell>
          <cell r="AH136">
            <v>69.599999999999994</v>
          </cell>
          <cell r="AI136">
            <v>90.1</v>
          </cell>
          <cell r="AJ136">
            <v>69.599999999999994</v>
          </cell>
          <cell r="AN136">
            <v>100</v>
          </cell>
          <cell r="AP136">
            <v>37361.3125</v>
          </cell>
          <cell r="AQ136">
            <v>740.5492147199999</v>
          </cell>
          <cell r="AR136">
            <v>25.43</v>
          </cell>
          <cell r="AS136">
            <v>0.91245865490628453</v>
          </cell>
          <cell r="AT136">
            <v>9.9118165784832453</v>
          </cell>
          <cell r="AU136">
            <v>0.3750520077142892</v>
          </cell>
          <cell r="AV136">
            <v>18.832166530329594</v>
          </cell>
          <cell r="AW136">
            <v>0.67572054035531637</v>
          </cell>
          <cell r="AX136">
            <v>7.3401879836444435</v>
          </cell>
          <cell r="AY136">
            <v>277.7444697919762</v>
          </cell>
          <cell r="AZ136">
            <v>10</v>
          </cell>
          <cell r="BA136">
            <v>10</v>
          </cell>
          <cell r="BB136">
            <v>10</v>
          </cell>
          <cell r="BC136">
            <v>10</v>
          </cell>
          <cell r="BD136">
            <v>10</v>
          </cell>
          <cell r="BE136">
            <v>10</v>
          </cell>
          <cell r="BF136">
            <v>3.588118973284643E-2</v>
          </cell>
          <cell r="BI136">
            <v>100</v>
          </cell>
          <cell r="BK136">
            <v>37361.3125</v>
          </cell>
          <cell r="CD136" t="str">
            <v/>
          </cell>
          <cell r="CF136">
            <v>37361.3125</v>
          </cell>
          <cell r="CG136">
            <v>9.82</v>
          </cell>
          <cell r="CH136">
            <v>12.0833333333333</v>
          </cell>
          <cell r="CI136">
            <v>10.952380952381001</v>
          </cell>
          <cell r="CU136">
            <v>10</v>
          </cell>
          <cell r="CV136">
            <v>10</v>
          </cell>
          <cell r="CY136" t="str">
            <v/>
          </cell>
        </row>
        <row r="137">
          <cell r="A137">
            <v>37391.75</v>
          </cell>
          <cell r="B137">
            <v>114.16037675288253</v>
          </cell>
          <cell r="C137">
            <v>128.8440710382514</v>
          </cell>
          <cell r="D137">
            <v>108.04013543307087</v>
          </cell>
          <cell r="E137">
            <v>106.87828666666665</v>
          </cell>
          <cell r="F137">
            <v>106.64992942942943</v>
          </cell>
          <cell r="G137">
            <v>96.155527446300709</v>
          </cell>
          <cell r="H137">
            <v>123.03960822093771</v>
          </cell>
          <cell r="I137">
            <v>163.22456140350877</v>
          </cell>
          <cell r="J137">
            <v>105.95988617886179</v>
          </cell>
          <cell r="K137">
            <v>118.97799999999999</v>
          </cell>
          <cell r="L137">
            <v>126.71765963855422</v>
          </cell>
          <cell r="M137">
            <v>117.64278032036613</v>
          </cell>
          <cell r="N137">
            <v>115.07899999999999</v>
          </cell>
          <cell r="R137">
            <v>101</v>
          </cell>
          <cell r="T137">
            <v>37391.75</v>
          </cell>
          <cell r="V137">
            <v>76.400000000000006</v>
          </cell>
          <cell r="Y137">
            <v>108.4</v>
          </cell>
          <cell r="Z137">
            <v>221.7</v>
          </cell>
          <cell r="AA137">
            <v>95.2</v>
          </cell>
          <cell r="AB137">
            <v>13</v>
          </cell>
          <cell r="AC137">
            <v>28.9</v>
          </cell>
          <cell r="AE137">
            <v>87.3</v>
          </cell>
          <cell r="AF137">
            <v>78.3</v>
          </cell>
          <cell r="AG137">
            <v>221.5</v>
          </cell>
          <cell r="AH137">
            <v>120.8</v>
          </cell>
          <cell r="AI137">
            <v>85</v>
          </cell>
          <cell r="AJ137">
            <v>120.8</v>
          </cell>
          <cell r="AN137">
            <v>101</v>
          </cell>
          <cell r="AP137">
            <v>37391.75</v>
          </cell>
          <cell r="AQ137">
            <v>715.38670419999994</v>
          </cell>
          <cell r="AR137">
            <v>25.76</v>
          </cell>
          <cell r="AS137">
            <v>0.88048511576626232</v>
          </cell>
          <cell r="AT137">
            <v>9.9118165784832453</v>
          </cell>
          <cell r="AU137">
            <v>0.41718670673167774</v>
          </cell>
          <cell r="AV137">
            <v>18.428361500192</v>
          </cell>
          <cell r="AW137">
            <v>0.62988734506518174</v>
          </cell>
          <cell r="AX137">
            <v>7.0907817947160492</v>
          </cell>
          <cell r="AY137">
            <v>298.44982316482685</v>
          </cell>
          <cell r="AZ137">
            <v>10</v>
          </cell>
          <cell r="BA137">
            <v>10</v>
          </cell>
          <cell r="BB137">
            <v>10</v>
          </cell>
          <cell r="BC137">
            <v>10</v>
          </cell>
          <cell r="BD137">
            <v>10</v>
          </cell>
          <cell r="BE137">
            <v>10</v>
          </cell>
          <cell r="BF137">
            <v>3.4180322817013283E-2</v>
          </cell>
          <cell r="BI137">
            <v>101</v>
          </cell>
          <cell r="BK137">
            <v>37391.75</v>
          </cell>
          <cell r="CD137" t="str">
            <v/>
          </cell>
          <cell r="CF137">
            <v>37391.75</v>
          </cell>
          <cell r="CG137">
            <v>9.82</v>
          </cell>
          <cell r="CH137">
            <v>12.0833333333333</v>
          </cell>
          <cell r="CI137">
            <v>10.952380952381001</v>
          </cell>
          <cell r="CU137">
            <v>10</v>
          </cell>
          <cell r="CV137">
            <v>10</v>
          </cell>
          <cell r="CY137" t="str">
            <v/>
          </cell>
        </row>
        <row r="138">
          <cell r="A138">
            <v>37422.1875</v>
          </cell>
          <cell r="B138">
            <v>119.75967279526333</v>
          </cell>
          <cell r="C138">
            <v>128.86879781420765</v>
          </cell>
          <cell r="D138">
            <v>108.04013543307087</v>
          </cell>
          <cell r="E138">
            <v>106.67601047619047</v>
          </cell>
          <cell r="F138">
            <v>106.64992942942943</v>
          </cell>
          <cell r="G138">
            <v>96.147887828162283</v>
          </cell>
          <cell r="H138">
            <v>122.43810533076429</v>
          </cell>
          <cell r="I138">
            <v>163.22456140350877</v>
          </cell>
          <cell r="J138">
            <v>105.95988617886179</v>
          </cell>
          <cell r="K138">
            <v>118.97799999999999</v>
          </cell>
          <cell r="L138">
            <v>127.094281124498</v>
          </cell>
          <cell r="M138">
            <v>117.64278032036613</v>
          </cell>
          <cell r="N138">
            <v>116.79900000000001</v>
          </cell>
          <cell r="R138">
            <v>102</v>
          </cell>
          <cell r="T138">
            <v>37422.1875</v>
          </cell>
          <cell r="V138">
            <v>60.5</v>
          </cell>
          <cell r="Y138">
            <v>95.7</v>
          </cell>
          <cell r="Z138">
            <v>167.8</v>
          </cell>
          <cell r="AA138">
            <v>87.3</v>
          </cell>
          <cell r="AB138">
            <v>11.2</v>
          </cell>
          <cell r="AC138">
            <v>26.4</v>
          </cell>
          <cell r="AE138">
            <v>81.8</v>
          </cell>
          <cell r="AF138">
            <v>47.5</v>
          </cell>
          <cell r="AG138">
            <v>211.6</v>
          </cell>
          <cell r="AH138">
            <v>100</v>
          </cell>
          <cell r="AI138">
            <v>75.099999999999994</v>
          </cell>
          <cell r="AJ138">
            <v>100</v>
          </cell>
          <cell r="AN138">
            <v>102</v>
          </cell>
          <cell r="AP138">
            <v>37422.1875</v>
          </cell>
          <cell r="AQ138">
            <v>686.80665770999997</v>
          </cell>
          <cell r="AR138">
            <v>24.5</v>
          </cell>
          <cell r="AS138">
            <v>0.95898566703417865</v>
          </cell>
          <cell r="AT138">
            <v>9.9118165784832453</v>
          </cell>
          <cell r="AU138">
            <v>0.46799882274729288</v>
          </cell>
          <cell r="AV138">
            <v>16.826763113894998</v>
          </cell>
          <cell r="AW138">
            <v>0.65863774076753923</v>
          </cell>
          <cell r="AX138">
            <v>6.8075016161026447</v>
          </cell>
          <cell r="AY138">
            <v>321.42470726328293</v>
          </cell>
          <cell r="AZ138">
            <v>10</v>
          </cell>
          <cell r="BA138">
            <v>10</v>
          </cell>
          <cell r="BB138">
            <v>10</v>
          </cell>
          <cell r="BC138">
            <v>10</v>
          </cell>
          <cell r="BD138">
            <v>10</v>
          </cell>
          <cell r="BE138">
            <v>10</v>
          </cell>
          <cell r="BF138">
            <v>3.9142272123844038E-2</v>
          </cell>
          <cell r="BI138">
            <v>102</v>
          </cell>
          <cell r="BK138">
            <v>37422.1875</v>
          </cell>
          <cell r="CD138" t="str">
            <v/>
          </cell>
          <cell r="CF138">
            <v>37422.1875</v>
          </cell>
          <cell r="CG138">
            <v>9.82</v>
          </cell>
          <cell r="CH138">
            <v>12.0833333333333</v>
          </cell>
          <cell r="CI138">
            <v>10.952380952381001</v>
          </cell>
          <cell r="CU138">
            <v>10</v>
          </cell>
          <cell r="CV138">
            <v>10</v>
          </cell>
          <cell r="CY138" t="str">
            <v/>
          </cell>
        </row>
        <row r="139">
          <cell r="A139">
            <v>37452.625</v>
          </cell>
          <cell r="B139">
            <v>117.82112153318789</v>
          </cell>
          <cell r="C139">
            <v>130.69871584699453</v>
          </cell>
          <cell r="D139">
            <v>108.04013543307087</v>
          </cell>
          <cell r="E139">
            <v>108.74075714285713</v>
          </cell>
          <cell r="F139">
            <v>106.64992942942943</v>
          </cell>
          <cell r="G139">
            <v>96.155527446300709</v>
          </cell>
          <cell r="H139">
            <v>121.24442517662169</v>
          </cell>
          <cell r="I139">
            <v>163.22456140350877</v>
          </cell>
          <cell r="J139">
            <v>105.99174390243904</v>
          </cell>
          <cell r="K139">
            <v>118.97799999999999</v>
          </cell>
          <cell r="L139">
            <v>126.37500401606427</v>
          </cell>
          <cell r="M139">
            <v>117.64278032036613</v>
          </cell>
          <cell r="N139">
            <v>116.17100000000001</v>
          </cell>
          <cell r="R139">
            <v>103</v>
          </cell>
          <cell r="T139">
            <v>37452.625</v>
          </cell>
          <cell r="AN139" t="str">
            <v/>
          </cell>
          <cell r="AP139">
            <v>37452.625</v>
          </cell>
          <cell r="AQ139">
            <v>661.21777513999996</v>
          </cell>
          <cell r="AR139">
            <v>25.77</v>
          </cell>
          <cell r="AS139">
            <v>1.029768467475193</v>
          </cell>
          <cell r="AT139">
            <v>11.050793650793652</v>
          </cell>
          <cell r="AU139">
            <v>0.44346011651204975</v>
          </cell>
          <cell r="AV139">
            <v>17.039582065357799</v>
          </cell>
          <cell r="AW139">
            <v>0.6809012149732746</v>
          </cell>
          <cell r="AX139">
            <v>7.3069811913090161</v>
          </cell>
          <cell r="AY139">
            <v>293.22371160342271</v>
          </cell>
          <cell r="AZ139">
            <v>10</v>
          </cell>
          <cell r="BA139">
            <v>10</v>
          </cell>
          <cell r="BB139">
            <v>10</v>
          </cell>
          <cell r="BC139">
            <v>10</v>
          </cell>
          <cell r="BD139">
            <v>10</v>
          </cell>
          <cell r="BE139">
            <v>10</v>
          </cell>
          <cell r="BF139">
            <v>3.9959971574512733E-2</v>
          </cell>
          <cell r="BI139">
            <v>103</v>
          </cell>
          <cell r="BK139">
            <v>37452.625</v>
          </cell>
          <cell r="CD139" t="str">
            <v/>
          </cell>
          <cell r="CF139">
            <v>37452.625</v>
          </cell>
          <cell r="CG139">
            <v>9.82</v>
          </cell>
          <cell r="CH139">
            <v>12.0833333333333</v>
          </cell>
          <cell r="CI139">
            <v>10.952380952381001</v>
          </cell>
          <cell r="CU139">
            <v>10</v>
          </cell>
          <cell r="CV139">
            <v>10</v>
          </cell>
          <cell r="CY139" t="str">
            <v/>
          </cell>
        </row>
        <row r="140">
          <cell r="A140">
            <v>37483.0625</v>
          </cell>
          <cell r="B140">
            <v>119.24307821751326</v>
          </cell>
          <cell r="C140">
            <v>127.15057923497268</v>
          </cell>
          <cell r="D140">
            <v>107.44714488188977</v>
          </cell>
          <cell r="E140">
            <v>119.24815619047621</v>
          </cell>
          <cell r="F140">
            <v>105.82863213213214</v>
          </cell>
          <cell r="G140">
            <v>96.155527446300709</v>
          </cell>
          <cell r="H140">
            <v>120.96104688503532</v>
          </cell>
          <cell r="I140">
            <v>163.22456140350877</v>
          </cell>
          <cell r="J140">
            <v>105.99174390243904</v>
          </cell>
          <cell r="K140">
            <v>118.97799999999999</v>
          </cell>
          <cell r="L140">
            <v>127.13823694779117</v>
          </cell>
          <cell r="M140">
            <v>117.63500686498854</v>
          </cell>
          <cell r="N140">
            <v>117.605</v>
          </cell>
          <cell r="R140">
            <v>104</v>
          </cell>
          <cell r="T140">
            <v>37483.0625</v>
          </cell>
          <cell r="AN140" t="str">
            <v/>
          </cell>
          <cell r="AP140">
            <v>37483.0625</v>
          </cell>
          <cell r="AQ140">
            <v>670.84722390000002</v>
          </cell>
          <cell r="AR140">
            <v>26.88</v>
          </cell>
          <cell r="AS140">
            <v>1.0875413450937155</v>
          </cell>
          <cell r="AT140">
            <v>10.944620811287477</v>
          </cell>
          <cell r="AU140">
            <v>0.40556304064914928</v>
          </cell>
          <cell r="AV140">
            <v>18.032373378431998</v>
          </cell>
          <cell r="AW140">
            <v>0.72957409223259095</v>
          </cell>
          <cell r="AX140">
            <v>7.3421684878903699</v>
          </cell>
          <cell r="AY140">
            <v>272.07083993592465</v>
          </cell>
          <cell r="AZ140">
            <v>10</v>
          </cell>
          <cell r="BA140">
            <v>10</v>
          </cell>
          <cell r="BB140">
            <v>10</v>
          </cell>
          <cell r="BC140">
            <v>10</v>
          </cell>
          <cell r="BD140">
            <v>10</v>
          </cell>
          <cell r="BE140">
            <v>10</v>
          </cell>
          <cell r="BF140">
            <v>4.0459127421641206E-2</v>
          </cell>
          <cell r="BI140">
            <v>104</v>
          </cell>
          <cell r="BK140">
            <v>37483.0625</v>
          </cell>
          <cell r="CD140" t="str">
            <v/>
          </cell>
          <cell r="CF140">
            <v>37483.0625</v>
          </cell>
          <cell r="CG140">
            <v>9.82</v>
          </cell>
          <cell r="CH140">
            <v>12.0833333333333</v>
          </cell>
          <cell r="CI140">
            <v>10.952380952381001</v>
          </cell>
          <cell r="CU140">
            <v>10</v>
          </cell>
          <cell r="CV140">
            <v>10</v>
          </cell>
          <cell r="CY140" t="str">
            <v/>
          </cell>
        </row>
        <row r="141">
          <cell r="A141">
            <v>37513.5</v>
          </cell>
          <cell r="B141">
            <v>112.31412932377687</v>
          </cell>
          <cell r="C141">
            <v>131.73691803278689</v>
          </cell>
          <cell r="D141">
            <v>107.44714488188977</v>
          </cell>
          <cell r="E141">
            <v>112.55063904761904</v>
          </cell>
          <cell r="F141">
            <v>105.82420270270269</v>
          </cell>
          <cell r="G141">
            <v>96.155527446300709</v>
          </cell>
          <cell r="H141">
            <v>121.43368657675016</v>
          </cell>
          <cell r="I141">
            <v>163.22456140350877</v>
          </cell>
          <cell r="J141">
            <v>105.99572764227644</v>
          </cell>
          <cell r="K141">
            <v>118.97799999999999</v>
          </cell>
          <cell r="L141">
            <v>126.87550100401606</v>
          </cell>
          <cell r="M141">
            <v>117.63500686498854</v>
          </cell>
          <cell r="N141">
            <v>114.81</v>
          </cell>
          <cell r="R141">
            <v>105</v>
          </cell>
          <cell r="T141">
            <v>37513.5</v>
          </cell>
          <cell r="AN141" t="str">
            <v/>
          </cell>
          <cell r="AP141">
            <v>37513.5</v>
          </cell>
          <cell r="AQ141">
            <v>668.80719763000002</v>
          </cell>
          <cell r="AR141">
            <v>28.3</v>
          </cell>
          <cell r="AS141">
            <v>1.0800441014332964</v>
          </cell>
          <cell r="AT141">
            <v>11.257142857142856</v>
          </cell>
          <cell r="AU141">
            <v>0.44996396355374829</v>
          </cell>
          <cell r="AV141">
            <v>18.927243692929</v>
          </cell>
          <cell r="AW141">
            <v>0.72234126879641447</v>
          </cell>
          <cell r="AX141">
            <v>7.5288581676062849</v>
          </cell>
          <cell r="AY141">
            <v>300.93913749886985</v>
          </cell>
          <cell r="AZ141">
            <v>10</v>
          </cell>
          <cell r="BA141">
            <v>10</v>
          </cell>
          <cell r="BB141">
            <v>10</v>
          </cell>
          <cell r="BC141">
            <v>10</v>
          </cell>
          <cell r="BD141">
            <v>10</v>
          </cell>
          <cell r="BE141">
            <v>10</v>
          </cell>
          <cell r="BF141">
            <v>3.8164102524144754E-2</v>
          </cell>
          <cell r="BI141">
            <v>105</v>
          </cell>
          <cell r="BK141">
            <v>37513.5</v>
          </cell>
          <cell r="CD141" t="str">
            <v/>
          </cell>
          <cell r="CF141">
            <v>37513.5</v>
          </cell>
          <cell r="CG141">
            <v>9.82</v>
          </cell>
          <cell r="CH141">
            <v>12.0833333333333</v>
          </cell>
          <cell r="CI141">
            <v>10.952380952381001</v>
          </cell>
          <cell r="CU141">
            <v>10</v>
          </cell>
          <cell r="CV141">
            <v>10</v>
          </cell>
          <cell r="CY141" t="str">
            <v/>
          </cell>
        </row>
        <row r="142">
          <cell r="A142">
            <v>37543.9375</v>
          </cell>
          <cell r="B142">
            <v>110.62657214085387</v>
          </cell>
          <cell r="C142">
            <v>131.20536065573771</v>
          </cell>
          <cell r="D142">
            <v>107.44714488188977</v>
          </cell>
          <cell r="E142">
            <v>111.20366285714286</v>
          </cell>
          <cell r="F142">
            <v>105.82420270270269</v>
          </cell>
          <cell r="G142">
            <v>96.155527446300709</v>
          </cell>
          <cell r="H142">
            <v>122.83422607578676</v>
          </cell>
          <cell r="I142">
            <v>163.22456140350877</v>
          </cell>
          <cell r="J142">
            <v>106.03476829268294</v>
          </cell>
          <cell r="K142">
            <v>118.203</v>
          </cell>
          <cell r="L142">
            <v>126.61776004016065</v>
          </cell>
          <cell r="M142">
            <v>117.63852173913044</v>
          </cell>
          <cell r="N142">
            <v>114.29300000000001</v>
          </cell>
          <cell r="R142">
            <v>106</v>
          </cell>
          <cell r="T142">
            <v>37543.9375</v>
          </cell>
          <cell r="AN142" t="str">
            <v/>
          </cell>
          <cell r="AP142">
            <v>37543.9375</v>
          </cell>
          <cell r="AQ142">
            <v>668.79407849000006</v>
          </cell>
          <cell r="AR142">
            <v>27.53</v>
          </cell>
          <cell r="AS142">
            <v>1.093715545755237</v>
          </cell>
          <cell r="AT142">
            <v>11.166137566137566</v>
          </cell>
          <cell r="AU142">
            <v>0.50376045591077034</v>
          </cell>
          <cell r="AV142">
            <v>18.411900980829703</v>
          </cell>
          <cell r="AW142">
            <v>0.73147048055356112</v>
          </cell>
          <cell r="AX142">
            <v>7.4678466838375455</v>
          </cell>
          <cell r="AY142">
            <v>336.91200989054596</v>
          </cell>
          <cell r="AZ142">
            <v>10</v>
          </cell>
          <cell r="BA142">
            <v>10</v>
          </cell>
          <cell r="BB142">
            <v>10</v>
          </cell>
          <cell r="BC142">
            <v>10</v>
          </cell>
          <cell r="BD142">
            <v>10</v>
          </cell>
          <cell r="BE142">
            <v>10</v>
          </cell>
          <cell r="BF142">
            <v>3.972813460789091E-2</v>
          </cell>
          <cell r="BI142">
            <v>106</v>
          </cell>
          <cell r="BK142">
            <v>37543.9375</v>
          </cell>
          <cell r="CD142" t="str">
            <v/>
          </cell>
          <cell r="CF142">
            <v>37543.9375</v>
          </cell>
          <cell r="CG142">
            <v>9.82</v>
          </cell>
          <cell r="CH142">
            <v>12.0833333333333</v>
          </cell>
          <cell r="CI142">
            <v>10.952380952381001</v>
          </cell>
          <cell r="CU142">
            <v>10</v>
          </cell>
          <cell r="CV142">
            <v>10</v>
          </cell>
          <cell r="CY142" t="str">
            <v/>
          </cell>
        </row>
        <row r="143">
          <cell r="A143">
            <v>37574.375</v>
          </cell>
          <cell r="B143">
            <v>111.75913991897788</v>
          </cell>
          <cell r="C143">
            <v>135.19132786885245</v>
          </cell>
          <cell r="D143">
            <v>107.44714488188977</v>
          </cell>
          <cell r="E143">
            <v>110.4762819047619</v>
          </cell>
          <cell r="F143">
            <v>105.83442792792793</v>
          </cell>
          <cell r="G143">
            <v>96.155527446300709</v>
          </cell>
          <cell r="H143">
            <v>123.01480282594733</v>
          </cell>
          <cell r="I143">
            <v>163.22456140350877</v>
          </cell>
          <cell r="J143">
            <v>106.03476829268294</v>
          </cell>
          <cell r="K143">
            <v>118.203</v>
          </cell>
          <cell r="L143">
            <v>127.18518975903615</v>
          </cell>
          <cell r="M143">
            <v>117.63852173913044</v>
          </cell>
          <cell r="N143">
            <v>114.738</v>
          </cell>
          <cell r="R143">
            <v>107</v>
          </cell>
          <cell r="T143">
            <v>37574.375</v>
          </cell>
          <cell r="AN143" t="str">
            <v/>
          </cell>
          <cell r="AP143">
            <v>37574.375</v>
          </cell>
          <cell r="AQ143">
            <v>661.33584740000003</v>
          </cell>
          <cell r="AR143">
            <v>24.48</v>
          </cell>
          <cell r="AS143">
            <v>1.1503858875413451</v>
          </cell>
          <cell r="AT143">
            <v>11.30299823633157</v>
          </cell>
          <cell r="AU143">
            <v>0.50592937142341554</v>
          </cell>
          <cell r="AV143">
            <v>16.189501544352002</v>
          </cell>
          <cell r="AW143">
            <v>0.76079142577415659</v>
          </cell>
          <cell r="AX143">
            <v>7.475077916785045</v>
          </cell>
          <cell r="AY143">
            <v>334.5892295748539</v>
          </cell>
          <cell r="AZ143">
            <v>10</v>
          </cell>
          <cell r="BA143">
            <v>10</v>
          </cell>
          <cell r="BB143">
            <v>10</v>
          </cell>
          <cell r="BC143">
            <v>10</v>
          </cell>
          <cell r="BD143">
            <v>10</v>
          </cell>
          <cell r="BE143">
            <v>10</v>
          </cell>
          <cell r="BF143">
            <v>4.6992887562963444E-2</v>
          </cell>
          <cell r="BI143">
            <v>107</v>
          </cell>
          <cell r="BK143">
            <v>37574.375</v>
          </cell>
          <cell r="CD143" t="str">
            <v/>
          </cell>
          <cell r="CF143">
            <v>37574.375</v>
          </cell>
          <cell r="CG143">
            <v>9.82</v>
          </cell>
          <cell r="CH143">
            <v>12.0833333333333</v>
          </cell>
          <cell r="CI143">
            <v>10.952380952381001</v>
          </cell>
          <cell r="CU143">
            <v>10</v>
          </cell>
          <cell r="CV143">
            <v>10</v>
          </cell>
          <cell r="CY143" t="str">
            <v/>
          </cell>
        </row>
        <row r="144">
          <cell r="A144">
            <v>37604.8125</v>
          </cell>
          <cell r="B144">
            <v>108.84109878466815</v>
          </cell>
          <cell r="C144">
            <v>132.46482513661201</v>
          </cell>
          <cell r="D144">
            <v>107.44714488188977</v>
          </cell>
          <cell r="E144">
            <v>112.63846095238095</v>
          </cell>
          <cell r="F144">
            <v>105.8471081081081</v>
          </cell>
          <cell r="G144">
            <v>96.155527446300709</v>
          </cell>
          <cell r="H144">
            <v>121.98898394348103</v>
          </cell>
          <cell r="I144">
            <v>163.22456140350877</v>
          </cell>
          <cell r="J144">
            <v>106.03476829268294</v>
          </cell>
          <cell r="K144">
            <v>118.203</v>
          </cell>
          <cell r="L144">
            <v>126.86051606425703</v>
          </cell>
          <cell r="M144">
            <v>117.60017391304349</v>
          </cell>
          <cell r="N144">
            <v>113.786</v>
          </cell>
          <cell r="R144">
            <v>108</v>
          </cell>
          <cell r="T144">
            <v>37604.8125</v>
          </cell>
          <cell r="AN144" t="str">
            <v/>
          </cell>
          <cell r="AP144">
            <v>37604.8125</v>
          </cell>
          <cell r="AQ144">
            <v>644.35312067000007</v>
          </cell>
          <cell r="AR144">
            <v>27.89</v>
          </cell>
          <cell r="AS144">
            <v>1.2176405733186328</v>
          </cell>
          <cell r="AT144">
            <v>11.712169312169314</v>
          </cell>
          <cell r="AU144">
            <v>0.51483252160028159</v>
          </cell>
          <cell r="AV144">
            <v>17.971008535486305</v>
          </cell>
          <cell r="AW144">
            <v>0.78459050327226909</v>
          </cell>
          <cell r="AX144">
            <v>7.5467728461117058</v>
          </cell>
          <cell r="AY144">
            <v>331.73394191554667</v>
          </cell>
          <cell r="AZ144">
            <v>10</v>
          </cell>
          <cell r="BA144">
            <v>10</v>
          </cell>
          <cell r="BB144">
            <v>10</v>
          </cell>
          <cell r="BC144">
            <v>10</v>
          </cell>
          <cell r="BD144">
            <v>10</v>
          </cell>
          <cell r="BE144">
            <v>10</v>
          </cell>
          <cell r="BF144">
            <v>4.3658679573991846E-2</v>
          </cell>
          <cell r="BI144">
            <v>108</v>
          </cell>
          <cell r="BK144">
            <v>37604.8125</v>
          </cell>
          <cell r="CD144" t="str">
            <v/>
          </cell>
          <cell r="CF144">
            <v>37604.8125</v>
          </cell>
          <cell r="CG144">
            <v>9.82</v>
          </cell>
          <cell r="CH144">
            <v>12.0833333333333</v>
          </cell>
          <cell r="CI144">
            <v>10.952380952381001</v>
          </cell>
          <cell r="CU144">
            <v>10</v>
          </cell>
          <cell r="CV144">
            <v>10</v>
          </cell>
          <cell r="CY144" t="str">
            <v/>
          </cell>
        </row>
        <row r="145">
          <cell r="A145">
            <v>37635.25</v>
          </cell>
          <cell r="B145">
            <v>107.151119351823</v>
          </cell>
          <cell r="C145">
            <v>131.84101639344263</v>
          </cell>
          <cell r="D145">
            <v>118.81055905511813</v>
          </cell>
          <cell r="E145">
            <v>110.86171047619048</v>
          </cell>
          <cell r="F145">
            <v>105.73582582582583</v>
          </cell>
          <cell r="G145">
            <v>101.562138424821</v>
          </cell>
          <cell r="H145">
            <v>122.1336994219653</v>
          </cell>
          <cell r="I145">
            <v>163.22456140350877</v>
          </cell>
          <cell r="J145">
            <v>106.20072764227642</v>
          </cell>
          <cell r="K145">
            <v>118.203</v>
          </cell>
          <cell r="L145">
            <v>128.09927108433735</v>
          </cell>
          <cell r="M145">
            <v>117.59101144164759</v>
          </cell>
          <cell r="N145">
            <v>114.14</v>
          </cell>
          <cell r="R145">
            <v>109</v>
          </cell>
          <cell r="T145">
            <v>37635.25</v>
          </cell>
          <cell r="AN145" t="str">
            <v/>
          </cell>
          <cell r="AP145">
            <v>37635.25</v>
          </cell>
          <cell r="AQ145">
            <v>617.68190904999994</v>
          </cell>
          <cell r="AR145">
            <v>30.75</v>
          </cell>
          <cell r="AS145">
            <v>1.2504961411245865</v>
          </cell>
          <cell r="AT145">
            <v>12.587654320987655</v>
          </cell>
          <cell r="AU145">
            <v>0.56470891520203903</v>
          </cell>
          <cell r="AV145">
            <v>18.993718703287499</v>
          </cell>
          <cell r="AW145">
            <v>0.77240884370949281</v>
          </cell>
          <cell r="AX145">
            <v>7.775166351449136</v>
          </cell>
          <cell r="AY145">
            <v>348.81048079955002</v>
          </cell>
          <cell r="AZ145">
            <v>10</v>
          </cell>
          <cell r="BA145">
            <v>10</v>
          </cell>
          <cell r="BB145">
            <v>10</v>
          </cell>
          <cell r="BC145">
            <v>10</v>
          </cell>
          <cell r="BD145">
            <v>10</v>
          </cell>
          <cell r="BE145">
            <v>10</v>
          </cell>
          <cell r="BF145">
            <v>4.0666541174783306E-2</v>
          </cell>
          <cell r="BI145">
            <v>109</v>
          </cell>
          <cell r="BK145">
            <v>37635.25</v>
          </cell>
          <cell r="CD145" t="str">
            <v/>
          </cell>
          <cell r="CF145">
            <v>37635.25</v>
          </cell>
          <cell r="CG145">
            <v>9.82</v>
          </cell>
          <cell r="CH145">
            <v>12.0833333333333</v>
          </cell>
          <cell r="CI145">
            <v>10.952380952381001</v>
          </cell>
          <cell r="CU145">
            <v>10</v>
          </cell>
          <cell r="CV145">
            <v>10</v>
          </cell>
          <cell r="CY145" t="str">
            <v/>
          </cell>
        </row>
        <row r="146">
          <cell r="A146">
            <v>37665.6875</v>
          </cell>
          <cell r="B146">
            <v>106.1037182923029</v>
          </cell>
          <cell r="C146">
            <v>134.76407103825136</v>
          </cell>
          <cell r="D146">
            <v>119.29521102362204</v>
          </cell>
          <cell r="E146">
            <v>113.94461428571428</v>
          </cell>
          <cell r="F146">
            <v>105.7449039039039</v>
          </cell>
          <cell r="G146">
            <v>104.24472315035798</v>
          </cell>
          <cell r="H146">
            <v>122.468265253693</v>
          </cell>
          <cell r="I146">
            <v>163.22456140350877</v>
          </cell>
          <cell r="J146">
            <v>106.20072764227642</v>
          </cell>
          <cell r="K146">
            <v>120.512</v>
          </cell>
          <cell r="L146">
            <v>133.39694678714858</v>
          </cell>
          <cell r="M146">
            <v>118.12047139588101</v>
          </cell>
          <cell r="N146">
            <v>114.983</v>
          </cell>
          <cell r="R146">
            <v>110</v>
          </cell>
          <cell r="T146">
            <v>37665.6875</v>
          </cell>
          <cell r="AN146" t="str">
            <v/>
          </cell>
          <cell r="AP146">
            <v>37665.6875</v>
          </cell>
          <cell r="AQ146">
            <v>608.90520438999999</v>
          </cell>
          <cell r="AR146">
            <v>32.880000000000003</v>
          </cell>
          <cell r="AS146">
            <v>1.2910694597574419</v>
          </cell>
          <cell r="AT146">
            <v>12.662081128747795</v>
          </cell>
          <cell r="AU146">
            <v>0.68631211824145988</v>
          </cell>
          <cell r="AV146">
            <v>20.020803120343199</v>
          </cell>
          <cell r="AW146">
            <v>0.78613891327529195</v>
          </cell>
          <cell r="AX146">
            <v>7.7100070977029382</v>
          </cell>
          <cell r="AY146">
            <v>417.89902063314997</v>
          </cell>
          <cell r="AZ146">
            <v>10</v>
          </cell>
          <cell r="BA146">
            <v>10</v>
          </cell>
          <cell r="BB146">
            <v>10</v>
          </cell>
          <cell r="BC146">
            <v>10</v>
          </cell>
          <cell r="BD146">
            <v>10</v>
          </cell>
          <cell r="BE146">
            <v>10</v>
          </cell>
          <cell r="BF146">
            <v>3.9266102790676452E-2</v>
          </cell>
          <cell r="BI146">
            <v>110</v>
          </cell>
          <cell r="BK146">
            <v>37665.6875</v>
          </cell>
          <cell r="CD146" t="str">
            <v/>
          </cell>
          <cell r="CF146">
            <v>37665.6875</v>
          </cell>
          <cell r="CG146">
            <v>9.82</v>
          </cell>
          <cell r="CH146">
            <v>12.0833333333333</v>
          </cell>
          <cell r="CI146">
            <v>10.952380952381001</v>
          </cell>
          <cell r="CU146">
            <v>10</v>
          </cell>
          <cell r="CV146">
            <v>10</v>
          </cell>
          <cell r="CY146" t="str">
            <v/>
          </cell>
        </row>
        <row r="147">
          <cell r="A147">
            <v>37696.125</v>
          </cell>
          <cell r="B147">
            <v>104.28228014957932</v>
          </cell>
          <cell r="C147">
            <v>130.60382513661202</v>
          </cell>
          <cell r="D147">
            <v>119.29521102362204</v>
          </cell>
          <cell r="E147">
            <v>110.69755238095237</v>
          </cell>
          <cell r="F147">
            <v>105.7449039039039</v>
          </cell>
          <cell r="G147">
            <v>104.0872816229117</v>
          </cell>
          <cell r="H147">
            <v>124.83358317276814</v>
          </cell>
          <cell r="I147">
            <v>163.22456140350877</v>
          </cell>
          <cell r="J147">
            <v>106.18718292682927</v>
          </cell>
          <cell r="K147">
            <v>120.512</v>
          </cell>
          <cell r="L147">
            <v>133.79854317269078</v>
          </cell>
          <cell r="M147">
            <v>118.12047139588101</v>
          </cell>
          <cell r="N147">
            <v>114.383</v>
          </cell>
          <cell r="R147">
            <v>111</v>
          </cell>
          <cell r="T147">
            <v>37696.125</v>
          </cell>
          <cell r="AN147" t="str">
            <v/>
          </cell>
          <cell r="AP147">
            <v>37696.125</v>
          </cell>
          <cell r="AQ147">
            <v>607.15379919999998</v>
          </cell>
          <cell r="AR147">
            <v>30.32</v>
          </cell>
          <cell r="AS147">
            <v>1.3472987872105844</v>
          </cell>
          <cell r="AT147">
            <v>12.014109347442682</v>
          </cell>
          <cell r="AU147">
            <v>0.70070341400172864</v>
          </cell>
          <cell r="AV147">
            <v>18.408903191743999</v>
          </cell>
          <cell r="AW147">
            <v>0.81801757731245872</v>
          </cell>
          <cell r="AX147">
            <v>7.2944121343040571</v>
          </cell>
          <cell r="AY147">
            <v>425.43473992356002</v>
          </cell>
          <cell r="AZ147">
            <v>10</v>
          </cell>
          <cell r="BA147">
            <v>10</v>
          </cell>
          <cell r="BB147">
            <v>10</v>
          </cell>
          <cell r="BC147">
            <v>10</v>
          </cell>
          <cell r="BD147">
            <v>10</v>
          </cell>
          <cell r="BE147">
            <v>10</v>
          </cell>
          <cell r="BF147">
            <v>4.4435975831483655E-2</v>
          </cell>
          <cell r="BI147">
            <v>111</v>
          </cell>
          <cell r="BK147">
            <v>37696.125</v>
          </cell>
          <cell r="CD147" t="str">
            <v/>
          </cell>
          <cell r="CF147">
            <v>37696.125</v>
          </cell>
          <cell r="CG147">
            <v>9.82</v>
          </cell>
          <cell r="CH147">
            <v>12.0833333333333</v>
          </cell>
          <cell r="CI147">
            <v>10.952380952381001</v>
          </cell>
          <cell r="CU147">
            <v>10</v>
          </cell>
          <cell r="CV147">
            <v>10</v>
          </cell>
          <cell r="CY147" t="str">
            <v/>
          </cell>
        </row>
        <row r="148">
          <cell r="A148">
            <v>37726.5625</v>
          </cell>
          <cell r="B148">
            <v>105.02075288251794</v>
          </cell>
          <cell r="C148">
            <v>133.29494535519126</v>
          </cell>
          <cell r="D148">
            <v>119.55561102362206</v>
          </cell>
          <cell r="E148">
            <v>110.55902857142857</v>
          </cell>
          <cell r="F148">
            <v>105.7449039039039</v>
          </cell>
          <cell r="G148">
            <v>104.0872816229117</v>
          </cell>
          <cell r="H148">
            <v>123.88533654463711</v>
          </cell>
          <cell r="I148">
            <v>163.22456140350877</v>
          </cell>
          <cell r="J148">
            <v>106.19196341463416</v>
          </cell>
          <cell r="K148">
            <v>120.512</v>
          </cell>
          <cell r="L148">
            <v>133.72261947791168</v>
          </cell>
          <cell r="M148">
            <v>118.12047139588101</v>
          </cell>
          <cell r="N148">
            <v>114.51600000000001</v>
          </cell>
          <cell r="R148">
            <v>112</v>
          </cell>
          <cell r="T148">
            <v>37726.5625</v>
          </cell>
          <cell r="AN148" t="str">
            <v/>
          </cell>
          <cell r="AP148">
            <v>37726.5625</v>
          </cell>
          <cell r="AQ148">
            <v>604.79235400000005</v>
          </cell>
          <cell r="AR148">
            <v>25.49</v>
          </cell>
          <cell r="AS148">
            <v>1.3402425578831312</v>
          </cell>
          <cell r="AT148">
            <v>11.576719576719576</v>
          </cell>
          <cell r="AU148">
            <v>0.69878657809110634</v>
          </cell>
          <cell r="AV148">
            <v>15.41615710346</v>
          </cell>
          <cell r="AW148">
            <v>0.81056845151312018</v>
          </cell>
          <cell r="AX148">
            <v>7.0015114844021165</v>
          </cell>
          <cell r="AY148">
            <v>422.62077950732504</v>
          </cell>
          <cell r="AZ148">
            <v>10</v>
          </cell>
          <cell r="BA148">
            <v>10</v>
          </cell>
          <cell r="BB148">
            <v>10</v>
          </cell>
          <cell r="BC148">
            <v>10</v>
          </cell>
          <cell r="BD148">
            <v>10</v>
          </cell>
          <cell r="BE148">
            <v>10</v>
          </cell>
          <cell r="BF148">
            <v>5.2579150956576351E-2</v>
          </cell>
          <cell r="BI148">
            <v>112</v>
          </cell>
          <cell r="BK148">
            <v>37726.5625</v>
          </cell>
          <cell r="CD148" t="str">
            <v/>
          </cell>
          <cell r="CF148">
            <v>37726.5625</v>
          </cell>
          <cell r="CG148">
            <v>9.82</v>
          </cell>
          <cell r="CH148">
            <v>12.0833333333333</v>
          </cell>
          <cell r="CI148">
            <v>10.952380952381001</v>
          </cell>
          <cell r="CU148">
            <v>10</v>
          </cell>
          <cell r="CV148">
            <v>10</v>
          </cell>
          <cell r="CY148" t="str">
            <v/>
          </cell>
        </row>
        <row r="149">
          <cell r="A149">
            <v>37757</v>
          </cell>
          <cell r="B149">
            <v>116.76230476784045</v>
          </cell>
          <cell r="C149">
            <v>130.20573770491802</v>
          </cell>
          <cell r="D149">
            <v>119.29521102362204</v>
          </cell>
          <cell r="E149">
            <v>112.32989999999999</v>
          </cell>
          <cell r="F149">
            <v>105.7449039039039</v>
          </cell>
          <cell r="G149">
            <v>104.0872816229117</v>
          </cell>
          <cell r="H149">
            <v>122.22834232498393</v>
          </cell>
          <cell r="I149">
            <v>163.22456140350877</v>
          </cell>
          <cell r="J149">
            <v>106.19196341463416</v>
          </cell>
          <cell r="K149">
            <v>120.512</v>
          </cell>
          <cell r="L149">
            <v>134.34499397590361</v>
          </cell>
          <cell r="M149">
            <v>118.06325400457666</v>
          </cell>
          <cell r="N149">
            <v>118.19799999999999</v>
          </cell>
          <cell r="R149">
            <v>113</v>
          </cell>
          <cell r="T149">
            <v>37757</v>
          </cell>
          <cell r="AN149" t="str">
            <v/>
          </cell>
          <cell r="AP149">
            <v>37757</v>
          </cell>
          <cell r="AQ149">
            <v>567.07482649999997</v>
          </cell>
          <cell r="AR149">
            <v>26.06</v>
          </cell>
          <cell r="AS149">
            <v>1.2745314222712236</v>
          </cell>
          <cell r="AT149">
            <v>12.54673721340388</v>
          </cell>
          <cell r="AU149">
            <v>0.68617016338924242</v>
          </cell>
          <cell r="AV149">
            <v>14.777969978589999</v>
          </cell>
          <cell r="AW149">
            <v>0.72275468515325236</v>
          </cell>
          <cell r="AX149">
            <v>7.1149388284320985</v>
          </cell>
          <cell r="AY149">
            <v>389.10982635343129</v>
          </cell>
          <cell r="AZ149">
            <v>10</v>
          </cell>
          <cell r="BA149">
            <v>10</v>
          </cell>
          <cell r="BB149">
            <v>10</v>
          </cell>
          <cell r="BC149">
            <v>10</v>
          </cell>
          <cell r="BD149">
            <v>10</v>
          </cell>
          <cell r="BE149">
            <v>10</v>
          </cell>
          <cell r="BF149">
            <v>4.8907575681934906E-2</v>
          </cell>
          <cell r="BI149">
            <v>113</v>
          </cell>
          <cell r="BK149">
            <v>37757</v>
          </cell>
          <cell r="CD149" t="str">
            <v/>
          </cell>
          <cell r="CF149">
            <v>37757</v>
          </cell>
          <cell r="CG149">
            <v>9.82</v>
          </cell>
          <cell r="CH149">
            <v>12.0833333333333</v>
          </cell>
          <cell r="CI149">
            <v>10.952380952381001</v>
          </cell>
          <cell r="CU149">
            <v>10</v>
          </cell>
          <cell r="CV149">
            <v>10</v>
          </cell>
          <cell r="CY149" t="str">
            <v/>
          </cell>
        </row>
        <row r="150">
          <cell r="A150">
            <v>37787.4375</v>
          </cell>
          <cell r="B150">
            <v>124.84281458398254</v>
          </cell>
          <cell r="C150">
            <v>130.0860655737705</v>
          </cell>
          <cell r="D150">
            <v>119.29521102362204</v>
          </cell>
          <cell r="E150">
            <v>112.04018380952381</v>
          </cell>
          <cell r="F150">
            <v>105.64431381381381</v>
          </cell>
          <cell r="G150">
            <v>104.98227923627687</v>
          </cell>
          <cell r="H150">
            <v>120.35716506101475</v>
          </cell>
          <cell r="I150">
            <v>163.22456140350877</v>
          </cell>
          <cell r="J150">
            <v>106.19196341463416</v>
          </cell>
          <cell r="K150">
            <v>120.512</v>
          </cell>
          <cell r="L150">
            <v>134.5148232931727</v>
          </cell>
          <cell r="M150">
            <v>118.06325400457666</v>
          </cell>
          <cell r="N150">
            <v>120.515</v>
          </cell>
          <cell r="R150">
            <v>114</v>
          </cell>
          <cell r="T150">
            <v>37787.4375</v>
          </cell>
          <cell r="AN150" t="str">
            <v/>
          </cell>
          <cell r="AP150">
            <v>37787.4375</v>
          </cell>
          <cell r="AQ150">
            <v>562.48312750000002</v>
          </cell>
          <cell r="AR150">
            <v>27.92</v>
          </cell>
          <cell r="AS150">
            <v>1.2899669239250275</v>
          </cell>
          <cell r="AT150">
            <v>12.5714285714286</v>
          </cell>
          <cell r="AU150">
            <v>0.66787518367346943</v>
          </cell>
          <cell r="AV150">
            <v>15.704528919800001</v>
          </cell>
          <cell r="AW150">
            <v>0.7255846297409041</v>
          </cell>
          <cell r="AX150">
            <v>7.0712164600000156</v>
          </cell>
          <cell r="AY150">
            <v>375.66852209229006</v>
          </cell>
          <cell r="AZ150">
            <v>10</v>
          </cell>
          <cell r="BA150">
            <v>10</v>
          </cell>
          <cell r="BB150">
            <v>10</v>
          </cell>
          <cell r="BC150">
            <v>10</v>
          </cell>
          <cell r="BD150">
            <v>10</v>
          </cell>
          <cell r="BE150">
            <v>10</v>
          </cell>
          <cell r="BF150">
            <v>4.6202253722243104E-2</v>
          </cell>
          <cell r="BI150">
            <v>114</v>
          </cell>
          <cell r="BK150">
            <v>37787.4375</v>
          </cell>
          <cell r="CD150" t="str">
            <v/>
          </cell>
          <cell r="CF150">
            <v>37787.4375</v>
          </cell>
          <cell r="CG150">
            <v>9.82</v>
          </cell>
          <cell r="CH150">
            <v>12.0833333333333</v>
          </cell>
          <cell r="CI150">
            <v>10.952380952381001</v>
          </cell>
          <cell r="CU150">
            <v>10</v>
          </cell>
          <cell r="CV150">
            <v>10</v>
          </cell>
          <cell r="CY150" t="str">
            <v/>
          </cell>
        </row>
        <row r="151">
          <cell r="A151">
            <v>37817.875</v>
          </cell>
          <cell r="B151">
            <v>114.39660673106886</v>
          </cell>
          <cell r="C151">
            <v>130.55874316939889</v>
          </cell>
          <cell r="D151">
            <v>118.24951496062994</v>
          </cell>
          <cell r="E151">
            <v>110.58442190476191</v>
          </cell>
          <cell r="F151">
            <v>105.74393543543543</v>
          </cell>
          <cell r="G151">
            <v>104.98227923627687</v>
          </cell>
          <cell r="H151">
            <v>119.90105716120745</v>
          </cell>
          <cell r="I151">
            <v>163.22456140350877</v>
          </cell>
          <cell r="J151">
            <v>106.18421951219513</v>
          </cell>
          <cell r="K151">
            <v>120.512</v>
          </cell>
          <cell r="L151">
            <v>138.68491566265061</v>
          </cell>
          <cell r="M151">
            <v>117.94696796338674</v>
          </cell>
          <cell r="N151">
            <v>117.298</v>
          </cell>
          <cell r="R151">
            <v>115</v>
          </cell>
          <cell r="T151">
            <v>37817.875</v>
          </cell>
          <cell r="AN151" t="str">
            <v/>
          </cell>
          <cell r="AP151">
            <v>37817.875</v>
          </cell>
          <cell r="AQ151">
            <v>576.84858580000002</v>
          </cell>
          <cell r="AR151">
            <v>28.61</v>
          </cell>
          <cell r="AS151">
            <v>1.3272326350606394</v>
          </cell>
          <cell r="AT151">
            <v>12.380952380952399</v>
          </cell>
          <cell r="AU151">
            <v>0.66499408919476299</v>
          </cell>
          <cell r="AV151">
            <v>16.503638039738</v>
          </cell>
          <cell r="AW151">
            <v>0.76561226856233733</v>
          </cell>
          <cell r="AX151">
            <v>7.1419348718095339</v>
          </cell>
          <cell r="AY151">
            <v>383.60089991735811</v>
          </cell>
          <cell r="AZ151">
            <v>10</v>
          </cell>
          <cell r="BA151">
            <v>10</v>
          </cell>
          <cell r="BB151">
            <v>10</v>
          </cell>
          <cell r="BC151">
            <v>10</v>
          </cell>
          <cell r="BD151">
            <v>10</v>
          </cell>
          <cell r="BE151">
            <v>10</v>
          </cell>
          <cell r="BF151">
            <v>4.6390515031829407E-2</v>
          </cell>
          <cell r="BI151">
            <v>115</v>
          </cell>
          <cell r="BK151">
            <v>37817.875</v>
          </cell>
          <cell r="CD151" t="str">
            <v/>
          </cell>
          <cell r="CF151">
            <v>37817.875</v>
          </cell>
          <cell r="CG151">
            <v>9.82</v>
          </cell>
          <cell r="CH151">
            <v>12.0833333333333</v>
          </cell>
          <cell r="CI151">
            <v>10.952380952381001</v>
          </cell>
          <cell r="CU151">
            <v>10</v>
          </cell>
          <cell r="CV151">
            <v>10</v>
          </cell>
          <cell r="CY151" t="str">
            <v/>
          </cell>
        </row>
        <row r="152">
          <cell r="A152">
            <v>37848.3125</v>
          </cell>
          <cell r="B152">
            <v>107.53816796509815</v>
          </cell>
          <cell r="C152">
            <v>129.93032786885246</v>
          </cell>
          <cell r="D152">
            <v>118.24951496062994</v>
          </cell>
          <cell r="E152">
            <v>123.52361142857144</v>
          </cell>
          <cell r="F152">
            <v>105.74393543543543</v>
          </cell>
          <cell r="G152">
            <v>104.98227923627687</v>
          </cell>
          <cell r="H152">
            <v>121.98957353885676</v>
          </cell>
          <cell r="I152">
            <v>163.22456140350877</v>
          </cell>
          <cell r="J152">
            <v>106.18508536585367</v>
          </cell>
          <cell r="K152">
            <v>120.512</v>
          </cell>
          <cell r="L152">
            <v>138.05554819277108</v>
          </cell>
          <cell r="M152">
            <v>117.94696796338674</v>
          </cell>
          <cell r="N152">
            <v>116.70699999999999</v>
          </cell>
          <cell r="R152">
            <v>116</v>
          </cell>
          <cell r="T152">
            <v>37848.3125</v>
          </cell>
          <cell r="AN152" t="str">
            <v/>
          </cell>
          <cell r="AP152">
            <v>37848.3125</v>
          </cell>
          <cell r="AQ152">
            <v>589.04938600000003</v>
          </cell>
          <cell r="AR152">
            <v>29.68</v>
          </cell>
          <cell r="AS152">
            <v>1.3340683572216097</v>
          </cell>
          <cell r="AT152">
            <v>12.6913580246914</v>
          </cell>
          <cell r="AU152">
            <v>0.63141794265033402</v>
          </cell>
          <cell r="AV152">
            <v>17.48298577648</v>
          </cell>
          <cell r="AW152">
            <v>0.78583214670341783</v>
          </cell>
          <cell r="AX152">
            <v>7.475836651950643</v>
          </cell>
          <cell r="AY152">
            <v>371.9363514275625</v>
          </cell>
          <cell r="AZ152">
            <v>10</v>
          </cell>
          <cell r="BA152">
            <v>10</v>
          </cell>
          <cell r="BB152">
            <v>10</v>
          </cell>
          <cell r="BC152">
            <v>10</v>
          </cell>
          <cell r="BD152">
            <v>10</v>
          </cell>
          <cell r="BE152">
            <v>10</v>
          </cell>
          <cell r="BF152">
            <v>4.4948394785094666E-2</v>
          </cell>
          <cell r="BI152">
            <v>116</v>
          </cell>
          <cell r="BK152">
            <v>37848.3125</v>
          </cell>
          <cell r="CD152" t="str">
            <v/>
          </cell>
          <cell r="CF152">
            <v>37848.3125</v>
          </cell>
          <cell r="CG152">
            <v>9.82</v>
          </cell>
          <cell r="CH152">
            <v>12.0833333333333</v>
          </cell>
          <cell r="CI152">
            <v>10.952380952381001</v>
          </cell>
          <cell r="CU152">
            <v>10</v>
          </cell>
          <cell r="CV152">
            <v>10</v>
          </cell>
          <cell r="CY152" t="str">
            <v/>
          </cell>
        </row>
        <row r="153">
          <cell r="A153">
            <v>37878.75</v>
          </cell>
          <cell r="B153">
            <v>108.27381645372391</v>
          </cell>
          <cell r="C153">
            <v>134.25081967213114</v>
          </cell>
          <cell r="D153">
            <v>118.24951496062994</v>
          </cell>
          <cell r="E153">
            <v>117.74054000000001</v>
          </cell>
          <cell r="F153">
            <v>105.74393543543543</v>
          </cell>
          <cell r="G153">
            <v>104.98227923627687</v>
          </cell>
          <cell r="H153">
            <v>124.96190494540782</v>
          </cell>
          <cell r="I153">
            <v>163.22456140350877</v>
          </cell>
          <cell r="J153">
            <v>106.18508536585367</v>
          </cell>
          <cell r="K153">
            <v>120.512</v>
          </cell>
          <cell r="L153">
            <v>138.23237048192775</v>
          </cell>
          <cell r="M153">
            <v>117.94696796338674</v>
          </cell>
          <cell r="N153">
            <v>116.895</v>
          </cell>
          <cell r="R153">
            <v>117</v>
          </cell>
          <cell r="T153">
            <v>37878.75</v>
          </cell>
          <cell r="AN153" t="str">
            <v/>
          </cell>
          <cell r="AP153">
            <v>37878.75</v>
          </cell>
          <cell r="AQ153">
            <v>584.79999999999995</v>
          </cell>
          <cell r="AR153">
            <v>26.81</v>
          </cell>
          <cell r="AS153">
            <v>1.415</v>
          </cell>
          <cell r="AT153">
            <v>13.37</v>
          </cell>
          <cell r="AU153">
            <v>0.56399999999999995</v>
          </cell>
          <cell r="AV153">
            <v>15.678487999999998</v>
          </cell>
          <cell r="AW153">
            <v>0.82749200000000001</v>
          </cell>
          <cell r="AX153">
            <v>7.8187759999999988</v>
          </cell>
          <cell r="AY153">
            <v>329.82719999999995</v>
          </cell>
          <cell r="AZ153">
            <v>10</v>
          </cell>
          <cell r="BA153">
            <v>10</v>
          </cell>
          <cell r="BB153">
            <v>10</v>
          </cell>
          <cell r="BC153">
            <v>10</v>
          </cell>
          <cell r="BD153">
            <v>10</v>
          </cell>
          <cell r="BE153">
            <v>10</v>
          </cell>
          <cell r="BF153">
            <v>5.2778813875419626E-2</v>
          </cell>
          <cell r="BI153">
            <v>117</v>
          </cell>
          <cell r="BK153">
            <v>37878.75</v>
          </cell>
          <cell r="CD153" t="str">
            <v/>
          </cell>
          <cell r="CF153">
            <v>37878.75</v>
          </cell>
          <cell r="CG153">
            <v>9.82</v>
          </cell>
          <cell r="CH153">
            <v>12.0833333333333</v>
          </cell>
          <cell r="CI153">
            <v>10.952380952381001</v>
          </cell>
          <cell r="CU153">
            <v>10</v>
          </cell>
          <cell r="CV153">
            <v>10</v>
          </cell>
          <cell r="CY153" t="str">
            <v/>
          </cell>
        </row>
        <row r="154">
          <cell r="A154">
            <v>37909.1875</v>
          </cell>
          <cell r="B154">
            <v>107.39634777189156</v>
          </cell>
          <cell r="C154">
            <v>134.56584699453552</v>
          </cell>
          <cell r="D154">
            <v>118.24951496062994</v>
          </cell>
          <cell r="E154">
            <v>117.15308761904762</v>
          </cell>
          <cell r="F154">
            <v>105.74393543543543</v>
          </cell>
          <cell r="G154">
            <v>104.98227923627687</v>
          </cell>
          <cell r="H154">
            <v>123.53169299935773</v>
          </cell>
          <cell r="I154">
            <v>163.22456140350877</v>
          </cell>
          <cell r="J154">
            <v>106.18508536585367</v>
          </cell>
          <cell r="K154">
            <v>120.512</v>
          </cell>
          <cell r="L154">
            <v>138.20240060240965</v>
          </cell>
          <cell r="M154">
            <v>117.94696796338674</v>
          </cell>
          <cell r="N154">
            <v>116.33199999999999</v>
          </cell>
          <cell r="R154">
            <v>118</v>
          </cell>
          <cell r="T154">
            <v>37909.1875</v>
          </cell>
          <cell r="AN154" t="str">
            <v/>
          </cell>
          <cell r="AP154">
            <v>37909.1875</v>
          </cell>
          <cell r="AQ154">
            <v>561</v>
          </cell>
          <cell r="AR154">
            <v>29.07</v>
          </cell>
          <cell r="AS154">
            <v>1.6</v>
          </cell>
          <cell r="AT154">
            <v>13.34</v>
          </cell>
          <cell r="AU154">
            <v>0.66200000000000003</v>
          </cell>
          <cell r="AV154">
            <v>16.30827</v>
          </cell>
          <cell r="AW154">
            <v>0.89760000000000006</v>
          </cell>
          <cell r="AX154">
            <v>7.4837400000000001</v>
          </cell>
          <cell r="AY154">
            <v>371.38200000000001</v>
          </cell>
          <cell r="AZ154">
            <v>10</v>
          </cell>
          <cell r="BA154">
            <v>10</v>
          </cell>
          <cell r="BB154">
            <v>10</v>
          </cell>
          <cell r="BC154">
            <v>10</v>
          </cell>
          <cell r="BD154">
            <v>10</v>
          </cell>
          <cell r="BE154">
            <v>10</v>
          </cell>
          <cell r="BF154">
            <v>5.5039559683522532E-2</v>
          </cell>
          <cell r="BI154">
            <v>118</v>
          </cell>
          <cell r="BK154">
            <v>37909.1875</v>
          </cell>
          <cell r="CD154" t="str">
            <v/>
          </cell>
          <cell r="CF154">
            <v>37909.1875</v>
          </cell>
          <cell r="CG154">
            <v>9.82</v>
          </cell>
          <cell r="CH154">
            <v>12.0833333333333</v>
          </cell>
          <cell r="CI154">
            <v>10.952380952381001</v>
          </cell>
          <cell r="CU154">
            <v>10</v>
          </cell>
          <cell r="CV154">
            <v>10</v>
          </cell>
          <cell r="CY154" t="str">
            <v/>
          </cell>
        </row>
        <row r="155">
          <cell r="A155">
            <v>37939.625</v>
          </cell>
          <cell r="B155">
            <v>111.54254471798066</v>
          </cell>
          <cell r="C155">
            <v>138.16161202185793</v>
          </cell>
          <cell r="D155">
            <v>118.24951496062994</v>
          </cell>
          <cell r="E155">
            <v>118.81875619047621</v>
          </cell>
          <cell r="F155">
            <v>105.74393543543543</v>
          </cell>
          <cell r="G155">
            <v>104.98227923627687</v>
          </cell>
          <cell r="H155">
            <v>123.24090301862554</v>
          </cell>
          <cell r="I155">
            <v>163.22456140350877</v>
          </cell>
          <cell r="J155">
            <v>106.18508536585367</v>
          </cell>
          <cell r="K155">
            <v>120.512</v>
          </cell>
          <cell r="L155">
            <v>138.55204919678715</v>
          </cell>
          <cell r="M155">
            <v>117.94696796338674</v>
          </cell>
          <cell r="N155">
            <v>117.874</v>
          </cell>
          <cell r="R155">
            <v>119</v>
          </cell>
          <cell r="T155">
            <v>37939.625</v>
          </cell>
          <cell r="AN155" t="str">
            <v/>
          </cell>
          <cell r="AP155">
            <v>37939.625</v>
          </cell>
          <cell r="AQ155">
            <v>560.70000000000005</v>
          </cell>
          <cell r="AR155">
            <v>29.12</v>
          </cell>
          <cell r="AS155">
            <v>1.6970000000000001</v>
          </cell>
          <cell r="AT155">
            <v>13.75</v>
          </cell>
          <cell r="AU155">
            <v>0.76800000000000002</v>
          </cell>
          <cell r="AV155">
            <v>16.327584000000002</v>
          </cell>
          <cell r="AW155">
            <v>0.95150790000000007</v>
          </cell>
          <cell r="AX155">
            <v>7.7096250000000008</v>
          </cell>
          <cell r="AY155">
            <v>430.61760000000004</v>
          </cell>
          <cell r="AZ155">
            <v>10</v>
          </cell>
          <cell r="BA155">
            <v>10</v>
          </cell>
          <cell r="BB155">
            <v>10</v>
          </cell>
          <cell r="BC155">
            <v>10</v>
          </cell>
          <cell r="BD155">
            <v>10</v>
          </cell>
          <cell r="BE155">
            <v>10</v>
          </cell>
          <cell r="BF155">
            <v>5.8276098901098902E-2</v>
          </cell>
          <cell r="BI155">
            <v>119</v>
          </cell>
          <cell r="BK155">
            <v>37939.625</v>
          </cell>
          <cell r="CD155" t="str">
            <v/>
          </cell>
          <cell r="CF155">
            <v>37939.625</v>
          </cell>
          <cell r="CG155">
            <v>9.82</v>
          </cell>
          <cell r="CH155">
            <v>12.0833333333333</v>
          </cell>
          <cell r="CI155">
            <v>10.952380952381001</v>
          </cell>
          <cell r="CU155">
            <v>10</v>
          </cell>
          <cell r="CV155">
            <v>10</v>
          </cell>
          <cell r="CY155" t="str">
            <v/>
          </cell>
        </row>
        <row r="156">
          <cell r="A156">
            <v>37970.0625</v>
          </cell>
          <cell r="B156">
            <v>109.93735182299781</v>
          </cell>
          <cell r="C156">
            <v>135.01461748633881</v>
          </cell>
          <cell r="D156">
            <v>118.24951496062994</v>
          </cell>
          <cell r="E156">
            <v>119.61170857142859</v>
          </cell>
          <cell r="F156">
            <v>105.82233183183182</v>
          </cell>
          <cell r="G156">
            <v>104.98227923627687</v>
          </cell>
          <cell r="H156">
            <v>123.24090301862554</v>
          </cell>
          <cell r="I156">
            <v>163.22456140350877</v>
          </cell>
          <cell r="J156">
            <v>106.18508536585367</v>
          </cell>
          <cell r="K156">
            <v>120.512</v>
          </cell>
          <cell r="L156">
            <v>138.34325903614459</v>
          </cell>
          <cell r="M156">
            <v>117.94696796338674</v>
          </cell>
          <cell r="N156">
            <v>117.387</v>
          </cell>
          <cell r="R156">
            <v>120</v>
          </cell>
          <cell r="T156">
            <v>37970.0625</v>
          </cell>
          <cell r="AN156" t="str">
            <v/>
          </cell>
          <cell r="AP156">
            <v>37970.0625</v>
          </cell>
          <cell r="AQ156">
            <v>533.79999999999995</v>
          </cell>
          <cell r="AR156">
            <v>29.97</v>
          </cell>
          <cell r="AS156">
            <v>1.623</v>
          </cell>
          <cell r="AT156">
            <v>14.36</v>
          </cell>
          <cell r="AU156">
            <v>0.73</v>
          </cell>
          <cell r="AV156">
            <v>15.997985999999997</v>
          </cell>
          <cell r="AW156">
            <v>0.86635739999999983</v>
          </cell>
          <cell r="AX156">
            <v>7.6653679999999991</v>
          </cell>
          <cell r="AY156">
            <v>389.67399999999998</v>
          </cell>
          <cell r="AZ156">
            <v>10</v>
          </cell>
          <cell r="BA156">
            <v>10</v>
          </cell>
          <cell r="BB156">
            <v>10</v>
          </cell>
          <cell r="BC156">
            <v>10</v>
          </cell>
          <cell r="BD156">
            <v>10</v>
          </cell>
          <cell r="BE156">
            <v>10</v>
          </cell>
          <cell r="BF156">
            <v>5.4154154154154151E-2</v>
          </cell>
          <cell r="BI156">
            <v>120</v>
          </cell>
          <cell r="BK156">
            <v>37970.0625</v>
          </cell>
          <cell r="BL156">
            <v>330954.5</v>
          </cell>
          <cell r="BM156">
            <v>293159.5</v>
          </cell>
          <cell r="BN156">
            <v>37795</v>
          </cell>
          <cell r="BO156">
            <v>369240.8</v>
          </cell>
          <cell r="BP156">
            <v>28291</v>
          </cell>
          <cell r="BQ156">
            <v>340949.8</v>
          </cell>
          <cell r="BR156">
            <v>208478.8</v>
          </cell>
          <cell r="BS156">
            <v>40000</v>
          </cell>
          <cell r="BT156">
            <v>92471</v>
          </cell>
          <cell r="BU156">
            <v>672674.8</v>
          </cell>
          <cell r="BV156">
            <v>255754.4</v>
          </cell>
          <cell r="BW156">
            <v>377670.3</v>
          </cell>
          <cell r="BX156">
            <v>193106.3</v>
          </cell>
          <cell r="BY156">
            <v>117546</v>
          </cell>
          <cell r="BZ156">
            <v>27520.5</v>
          </cell>
          <cell r="CA156">
            <v>10</v>
          </cell>
          <cell r="CD156">
            <v>120</v>
          </cell>
          <cell r="CF156">
            <v>37970.0625</v>
          </cell>
          <cell r="CG156">
            <v>9.82</v>
          </cell>
          <cell r="CH156">
            <v>12.0833333333333</v>
          </cell>
          <cell r="CI156">
            <v>10.952380952381001</v>
          </cell>
          <cell r="CU156">
            <v>10</v>
          </cell>
          <cell r="CV156">
            <v>10</v>
          </cell>
          <cell r="CY156" t="str">
            <v/>
          </cell>
        </row>
        <row r="157">
          <cell r="A157">
            <v>38000.5</v>
          </cell>
          <cell r="B157">
            <v>101.17465721408537</v>
          </cell>
          <cell r="C157">
            <v>127.48196721311476</v>
          </cell>
          <cell r="D157">
            <v>118.36102204724411</v>
          </cell>
          <cell r="E157">
            <v>120.70465904761906</v>
          </cell>
          <cell r="F157">
            <v>105.7439129129129</v>
          </cell>
          <cell r="G157">
            <v>104.98227923627687</v>
          </cell>
          <cell r="H157">
            <v>122.36853307642902</v>
          </cell>
          <cell r="I157">
            <v>163.22456140350877</v>
          </cell>
          <cell r="J157">
            <v>106.20679674796749</v>
          </cell>
          <cell r="K157">
            <v>120.512</v>
          </cell>
          <cell r="L157">
            <v>139.30229518072289</v>
          </cell>
          <cell r="M157">
            <v>117.94696796338674</v>
          </cell>
          <cell r="N157">
            <v>114.515</v>
          </cell>
          <cell r="R157">
            <v>121</v>
          </cell>
          <cell r="T157">
            <v>38000.5</v>
          </cell>
          <cell r="AN157" t="str">
            <v/>
          </cell>
          <cell r="AP157">
            <v>38000.5</v>
          </cell>
          <cell r="AQ157">
            <v>520.1</v>
          </cell>
          <cell r="AR157">
            <v>31.37</v>
          </cell>
          <cell r="AS157">
            <v>1.681</v>
          </cell>
          <cell r="AT157">
            <v>14.6</v>
          </cell>
          <cell r="AU157">
            <v>0.71899999999999997</v>
          </cell>
          <cell r="AV157">
            <v>16.315537000000003</v>
          </cell>
          <cell r="AW157">
            <v>0.87428810000000012</v>
          </cell>
          <cell r="AX157">
            <v>7.5934600000000003</v>
          </cell>
          <cell r="AY157">
            <v>373.95190000000002</v>
          </cell>
          <cell r="AZ157">
            <v>10</v>
          </cell>
          <cell r="BA157">
            <v>10</v>
          </cell>
          <cell r="BB157">
            <v>10</v>
          </cell>
          <cell r="BC157">
            <v>10</v>
          </cell>
          <cell r="BD157">
            <v>10</v>
          </cell>
          <cell r="BE157">
            <v>10</v>
          </cell>
          <cell r="BF157">
            <v>5.3586228881096591E-2</v>
          </cell>
          <cell r="BI157">
            <v>121</v>
          </cell>
          <cell r="BK157">
            <v>38000.5</v>
          </cell>
          <cell r="BL157">
            <v>334648</v>
          </cell>
          <cell r="BM157">
            <v>280210</v>
          </cell>
          <cell r="BN157">
            <v>54438</v>
          </cell>
          <cell r="BO157">
            <v>389717.5</v>
          </cell>
          <cell r="BP157">
            <v>32091.200000000001</v>
          </cell>
          <cell r="BQ157">
            <v>357626.3</v>
          </cell>
          <cell r="BR157">
            <v>208270.3</v>
          </cell>
          <cell r="BS157">
            <v>54500</v>
          </cell>
          <cell r="BT157">
            <v>94856</v>
          </cell>
          <cell r="BU157">
            <v>691968.7</v>
          </cell>
          <cell r="BV157">
            <v>258116.1</v>
          </cell>
          <cell r="BW157">
            <v>393619.20000000001</v>
          </cell>
          <cell r="BX157">
            <v>202116.2</v>
          </cell>
          <cell r="BY157">
            <v>122993</v>
          </cell>
          <cell r="BZ157">
            <v>32396.799999999999</v>
          </cell>
          <cell r="CA157">
            <v>10</v>
          </cell>
          <cell r="CD157">
            <v>121</v>
          </cell>
          <cell r="CF157">
            <v>38000.5</v>
          </cell>
          <cell r="CG157">
            <v>9.82</v>
          </cell>
          <cell r="CH157">
            <v>12.0833333333333</v>
          </cell>
          <cell r="CI157">
            <v>10.952380952381001</v>
          </cell>
          <cell r="CJ157">
            <v>9</v>
          </cell>
          <cell r="CK157">
            <v>10.5</v>
          </cell>
          <cell r="CL157">
            <v>6.75</v>
          </cell>
          <cell r="CM157">
            <v>10.5</v>
          </cell>
          <cell r="CN157">
            <v>9</v>
          </cell>
          <cell r="CO157">
            <v>15</v>
          </cell>
          <cell r="CP157">
            <v>9</v>
          </cell>
          <cell r="CQ157">
            <v>26.99</v>
          </cell>
          <cell r="CR157">
            <v>3.5</v>
          </cell>
          <cell r="CS157">
            <v>18</v>
          </cell>
          <cell r="CT157">
            <v>27</v>
          </cell>
          <cell r="CU157">
            <v>10</v>
          </cell>
          <cell r="CV157">
            <v>10</v>
          </cell>
          <cell r="CY157">
            <v>121</v>
          </cell>
        </row>
        <row r="158">
          <cell r="A158">
            <v>38030.9375</v>
          </cell>
          <cell r="B158">
            <v>97.915820193206599</v>
          </cell>
          <cell r="C158">
            <v>124.97882513661202</v>
          </cell>
          <cell r="D158">
            <v>118.18491181102364</v>
          </cell>
          <cell r="E158">
            <v>113.31974952380953</v>
          </cell>
          <cell r="F158">
            <v>106.63875975975976</v>
          </cell>
          <cell r="G158">
            <v>104.98227923627687</v>
          </cell>
          <cell r="H158">
            <v>122.58142389210019</v>
          </cell>
          <cell r="I158">
            <v>163.22456140350877</v>
          </cell>
          <cell r="J158">
            <v>106.2729430894309</v>
          </cell>
          <cell r="K158">
            <v>120.512</v>
          </cell>
          <cell r="L158">
            <v>139.80079417670683</v>
          </cell>
          <cell r="M158">
            <v>117.76810983981694</v>
          </cell>
          <cell r="N158">
            <v>112.77500000000001</v>
          </cell>
          <cell r="R158">
            <v>122</v>
          </cell>
          <cell r="T158">
            <v>38030.9375</v>
          </cell>
          <cell r="AN158" t="str">
            <v/>
          </cell>
          <cell r="AP158">
            <v>38030.9375</v>
          </cell>
          <cell r="AQ158">
            <v>518.70000000000005</v>
          </cell>
          <cell r="AR158">
            <v>31.33</v>
          </cell>
          <cell r="AS158">
            <v>1.63</v>
          </cell>
          <cell r="AT158">
            <v>14.28</v>
          </cell>
          <cell r="AU158">
            <v>0.74299999999999999</v>
          </cell>
          <cell r="AV158">
            <v>16.250871</v>
          </cell>
          <cell r="AW158">
            <v>0.84548100000000004</v>
          </cell>
          <cell r="AX158">
            <v>7.4070359999999997</v>
          </cell>
          <cell r="AY158">
            <v>385.39410000000004</v>
          </cell>
          <cell r="AZ158">
            <v>10</v>
          </cell>
          <cell r="BA158">
            <v>10</v>
          </cell>
          <cell r="BB158">
            <v>10</v>
          </cell>
          <cell r="BC158">
            <v>10</v>
          </cell>
          <cell r="BD158">
            <v>10</v>
          </cell>
          <cell r="BE158">
            <v>10</v>
          </cell>
          <cell r="BF158">
            <v>5.202681136291095E-2</v>
          </cell>
          <cell r="BI158">
            <v>122</v>
          </cell>
          <cell r="BK158">
            <v>38030.9375</v>
          </cell>
          <cell r="BL158">
            <v>314909.2</v>
          </cell>
          <cell r="BM158">
            <v>274806.2</v>
          </cell>
          <cell r="BN158">
            <v>40103</v>
          </cell>
          <cell r="BO158">
            <v>408078.5</v>
          </cell>
          <cell r="BP158">
            <v>36354.6</v>
          </cell>
          <cell r="BQ158">
            <v>371723.9</v>
          </cell>
          <cell r="BR158">
            <v>225258.9</v>
          </cell>
          <cell r="BS158">
            <v>50000</v>
          </cell>
          <cell r="BT158">
            <v>96465</v>
          </cell>
          <cell r="BU158">
            <v>693090</v>
          </cell>
          <cell r="BV158">
            <v>254451</v>
          </cell>
          <cell r="BW158">
            <v>397573.3</v>
          </cell>
          <cell r="BX158">
            <v>205178.3</v>
          </cell>
          <cell r="BY158">
            <v>123474</v>
          </cell>
          <cell r="BZ158">
            <v>29897.7</v>
          </cell>
          <cell r="CA158">
            <v>10</v>
          </cell>
          <cell r="CD158">
            <v>122</v>
          </cell>
          <cell r="CF158">
            <v>38030.9375</v>
          </cell>
          <cell r="CG158">
            <v>9.82</v>
          </cell>
          <cell r="CH158">
            <v>13.5</v>
          </cell>
          <cell r="CI158">
            <v>11.660714285714301</v>
          </cell>
          <cell r="CJ158">
            <v>9</v>
          </cell>
          <cell r="CK158">
            <v>10.5</v>
          </cell>
          <cell r="CL158">
            <v>6.75</v>
          </cell>
          <cell r="CM158">
            <v>15.5</v>
          </cell>
          <cell r="CN158">
            <v>12.5</v>
          </cell>
          <cell r="CO158">
            <v>15</v>
          </cell>
          <cell r="CP158">
            <v>13</v>
          </cell>
          <cell r="CQ158">
            <v>26.99</v>
          </cell>
          <cell r="CR158">
            <v>3.5</v>
          </cell>
          <cell r="CS158">
            <v>18</v>
          </cell>
          <cell r="CT158">
            <v>27</v>
          </cell>
          <cell r="CU158">
            <v>10</v>
          </cell>
          <cell r="CV158">
            <v>10</v>
          </cell>
          <cell r="CY158">
            <v>122</v>
          </cell>
        </row>
        <row r="159">
          <cell r="A159">
            <v>38061.375</v>
          </cell>
          <cell r="B159">
            <v>96.788234029292624</v>
          </cell>
          <cell r="C159">
            <v>127.62254098360656</v>
          </cell>
          <cell r="D159">
            <v>118.18491181102364</v>
          </cell>
          <cell r="E159">
            <v>120.41810666666667</v>
          </cell>
          <cell r="F159">
            <v>106.1964009009009</v>
          </cell>
          <cell r="G159">
            <v>104.98227923627687</v>
          </cell>
          <cell r="H159">
            <v>122.97691522157996</v>
          </cell>
          <cell r="I159">
            <v>163.22456140350877</v>
          </cell>
          <cell r="J159">
            <v>106.27207723577236</v>
          </cell>
          <cell r="K159">
            <v>120.512</v>
          </cell>
          <cell r="L159">
            <v>139.91867570281124</v>
          </cell>
          <cell r="M159">
            <v>117.76810983981694</v>
          </cell>
          <cell r="N159">
            <v>113.251</v>
          </cell>
          <cell r="R159">
            <v>123</v>
          </cell>
          <cell r="T159">
            <v>38061.375</v>
          </cell>
          <cell r="AN159" t="str">
            <v/>
          </cell>
          <cell r="AP159">
            <v>38061.375</v>
          </cell>
          <cell r="AQ159">
            <v>534.99852919999989</v>
          </cell>
          <cell r="AR159">
            <v>33.67</v>
          </cell>
          <cell r="AS159">
            <v>1.5938000000000001</v>
          </cell>
          <cell r="AT159">
            <v>14.346</v>
          </cell>
          <cell r="AU159">
            <v>0.68799999999999994</v>
          </cell>
          <cell r="AV159">
            <v>18.013400478163994</v>
          </cell>
          <cell r="AW159">
            <v>0.85268065583895991</v>
          </cell>
          <cell r="AX159">
            <v>7.6750888999031988</v>
          </cell>
          <cell r="AY159">
            <v>368.07898808959987</v>
          </cell>
          <cell r="AZ159">
            <v>10</v>
          </cell>
          <cell r="BA159">
            <v>10</v>
          </cell>
          <cell r="BB159">
            <v>10</v>
          </cell>
          <cell r="BC159">
            <v>10</v>
          </cell>
          <cell r="BD159">
            <v>10</v>
          </cell>
          <cell r="BE159">
            <v>10</v>
          </cell>
          <cell r="BF159">
            <v>4.7335907335907347E-2</v>
          </cell>
          <cell r="BI159">
            <v>123</v>
          </cell>
          <cell r="BK159">
            <v>38061.375</v>
          </cell>
          <cell r="BL159">
            <v>316593.5</v>
          </cell>
          <cell r="BM159">
            <v>264935.5</v>
          </cell>
          <cell r="BN159">
            <v>51658</v>
          </cell>
          <cell r="BO159">
            <v>407636.2</v>
          </cell>
          <cell r="BP159">
            <v>34287.699999999997</v>
          </cell>
          <cell r="BQ159">
            <v>373348.5</v>
          </cell>
          <cell r="BR159">
            <v>210144.5</v>
          </cell>
          <cell r="BS159">
            <v>65000</v>
          </cell>
          <cell r="BT159">
            <v>98204</v>
          </cell>
          <cell r="BU159">
            <v>693491.8</v>
          </cell>
          <cell r="BV159">
            <v>248721.3</v>
          </cell>
          <cell r="BW159">
            <v>402698.2</v>
          </cell>
          <cell r="BX159">
            <v>204934.2</v>
          </cell>
          <cell r="BY159">
            <v>127201</v>
          </cell>
          <cell r="BZ159">
            <v>30737.9</v>
          </cell>
          <cell r="CA159">
            <v>10</v>
          </cell>
          <cell r="CD159">
            <v>123</v>
          </cell>
          <cell r="CF159">
            <v>38061.375</v>
          </cell>
          <cell r="CG159">
            <v>9.82</v>
          </cell>
          <cell r="CH159">
            <v>13.5</v>
          </cell>
          <cell r="CI159">
            <v>11.660714285714301</v>
          </cell>
          <cell r="CJ159">
            <v>9</v>
          </cell>
          <cell r="CK159">
            <v>10.5</v>
          </cell>
          <cell r="CL159">
            <v>8</v>
          </cell>
          <cell r="CM159">
            <v>15.5</v>
          </cell>
          <cell r="CN159">
            <v>12.5</v>
          </cell>
          <cell r="CO159">
            <v>15</v>
          </cell>
          <cell r="CP159">
            <v>13</v>
          </cell>
          <cell r="CQ159">
            <v>21</v>
          </cell>
          <cell r="CR159">
            <v>3.5</v>
          </cell>
          <cell r="CS159">
            <v>18</v>
          </cell>
          <cell r="CT159">
            <v>27</v>
          </cell>
          <cell r="CU159">
            <v>10</v>
          </cell>
          <cell r="CV159">
            <v>10</v>
          </cell>
          <cell r="CY159">
            <v>123</v>
          </cell>
        </row>
        <row r="160">
          <cell r="A160">
            <v>38091.8125</v>
          </cell>
          <cell r="B160">
            <v>102.13778155188534</v>
          </cell>
          <cell r="C160">
            <v>124.73579234972678</v>
          </cell>
          <cell r="D160">
            <v>117.84864094488189</v>
          </cell>
          <cell r="E160">
            <v>113.13021523809523</v>
          </cell>
          <cell r="F160">
            <v>106.1964009009009</v>
          </cell>
          <cell r="G160">
            <v>104.95244630071601</v>
          </cell>
          <cell r="H160">
            <v>124.19730057803467</v>
          </cell>
          <cell r="I160">
            <v>163.22456140350877</v>
          </cell>
          <cell r="J160">
            <v>106.27207723577236</v>
          </cell>
          <cell r="K160">
            <v>120.512</v>
          </cell>
          <cell r="L160">
            <v>140.69889156626505</v>
          </cell>
          <cell r="M160">
            <v>117.76810983981694</v>
          </cell>
          <cell r="N160">
            <v>114.39400000000001</v>
          </cell>
          <cell r="R160">
            <v>124</v>
          </cell>
          <cell r="T160">
            <v>38091.8125</v>
          </cell>
          <cell r="AN160" t="str">
            <v/>
          </cell>
          <cell r="AP160">
            <v>38091.8125</v>
          </cell>
          <cell r="AQ160">
            <v>547.13373369999999</v>
          </cell>
          <cell r="AR160">
            <v>33.71</v>
          </cell>
          <cell r="AS160">
            <v>1.5309999999999999</v>
          </cell>
          <cell r="AT160">
            <v>14.226000000000001</v>
          </cell>
          <cell r="AU160">
            <v>0.621</v>
          </cell>
          <cell r="AV160">
            <v>18.443878163026998</v>
          </cell>
          <cell r="AW160">
            <v>0.83766174629469992</v>
          </cell>
          <cell r="AX160">
            <v>7.7835244956162004</v>
          </cell>
          <cell r="AY160">
            <v>339.77004862770002</v>
          </cell>
          <cell r="AZ160">
            <v>10</v>
          </cell>
          <cell r="BA160">
            <v>10</v>
          </cell>
          <cell r="BB160">
            <v>10</v>
          </cell>
          <cell r="BC160">
            <v>10</v>
          </cell>
          <cell r="BD160">
            <v>10</v>
          </cell>
          <cell r="BE160">
            <v>10</v>
          </cell>
          <cell r="BF160">
            <v>4.5416790269949568E-2</v>
          </cell>
          <cell r="BI160">
            <v>124</v>
          </cell>
          <cell r="BK160">
            <v>38091.8125</v>
          </cell>
          <cell r="BL160">
            <v>340892.7</v>
          </cell>
          <cell r="BM160">
            <v>270688.7</v>
          </cell>
          <cell r="BN160">
            <v>70204</v>
          </cell>
          <cell r="BO160">
            <v>404397.8</v>
          </cell>
          <cell r="BP160">
            <v>47354</v>
          </cell>
          <cell r="BQ160">
            <v>357043.8</v>
          </cell>
          <cell r="BR160">
            <v>187079.8</v>
          </cell>
          <cell r="BS160">
            <v>65000</v>
          </cell>
          <cell r="BT160">
            <v>104964</v>
          </cell>
          <cell r="BU160">
            <v>704240.3</v>
          </cell>
          <cell r="BV160">
            <v>250025.1</v>
          </cell>
          <cell r="BW160">
            <v>411060.8</v>
          </cell>
          <cell r="BX160">
            <v>209393.8</v>
          </cell>
          <cell r="BY160">
            <v>129795</v>
          </cell>
          <cell r="BZ160">
            <v>41050.199999999997</v>
          </cell>
          <cell r="CA160">
            <v>10</v>
          </cell>
          <cell r="CD160">
            <v>124</v>
          </cell>
          <cell r="CF160">
            <v>38091.8125</v>
          </cell>
          <cell r="CG160">
            <v>9.82</v>
          </cell>
          <cell r="CH160">
            <v>13.6</v>
          </cell>
          <cell r="CI160">
            <v>11.7107142857143</v>
          </cell>
          <cell r="CJ160">
            <v>9</v>
          </cell>
          <cell r="CK160">
            <v>10.5</v>
          </cell>
          <cell r="CL160">
            <v>6.75</v>
          </cell>
          <cell r="CM160">
            <v>10.5</v>
          </cell>
          <cell r="CN160">
            <v>12.5</v>
          </cell>
          <cell r="CO160">
            <v>15</v>
          </cell>
          <cell r="CP160">
            <v>13</v>
          </cell>
          <cell r="CQ160">
            <v>26.99</v>
          </cell>
          <cell r="CR160">
            <v>3.5</v>
          </cell>
          <cell r="CS160">
            <v>18</v>
          </cell>
          <cell r="CT160">
            <v>27</v>
          </cell>
          <cell r="CU160">
            <v>10</v>
          </cell>
          <cell r="CV160">
            <v>10</v>
          </cell>
          <cell r="CY160">
            <v>124</v>
          </cell>
        </row>
        <row r="161">
          <cell r="A161">
            <v>38122.25</v>
          </cell>
          <cell r="B161">
            <v>104.41422686195078</v>
          </cell>
          <cell r="C161">
            <v>125.20218579234972</v>
          </cell>
          <cell r="D161">
            <v>117.84864094488189</v>
          </cell>
          <cell r="E161">
            <v>111.94779714285715</v>
          </cell>
          <cell r="F161">
            <v>106.1964009009009</v>
          </cell>
          <cell r="G161">
            <v>104.95244630071601</v>
          </cell>
          <cell r="H161">
            <v>126.04080732177263</v>
          </cell>
          <cell r="I161">
            <v>158.39987719298244</v>
          </cell>
          <cell r="J161">
            <v>108.30457723577236</v>
          </cell>
          <cell r="K161">
            <v>120.512</v>
          </cell>
          <cell r="L161">
            <v>140.48011144578317</v>
          </cell>
          <cell r="M161">
            <v>117.76810983981694</v>
          </cell>
          <cell r="N161">
            <v>115.319</v>
          </cell>
          <cell r="R161">
            <v>125</v>
          </cell>
          <cell r="T161">
            <v>38122.25</v>
          </cell>
          <cell r="AN161" t="str">
            <v/>
          </cell>
          <cell r="AP161">
            <v>38122.25</v>
          </cell>
          <cell r="AQ161">
            <v>546.80575520000002</v>
          </cell>
          <cell r="AR161">
            <v>37.56</v>
          </cell>
          <cell r="AS161">
            <v>1.544432</v>
          </cell>
          <cell r="AT161">
            <v>13.538</v>
          </cell>
          <cell r="AU161">
            <v>0.83399999999999996</v>
          </cell>
          <cell r="AV161">
            <v>20.538024165312002</v>
          </cell>
          <cell r="AW161">
            <v>0.84450430611504645</v>
          </cell>
          <cell r="AX161">
            <v>7.4026563138976007</v>
          </cell>
          <cell r="AY161">
            <v>456.03599983679999</v>
          </cell>
          <cell r="AZ161">
            <v>10</v>
          </cell>
          <cell r="BA161">
            <v>10</v>
          </cell>
          <cell r="BB161">
            <v>10</v>
          </cell>
          <cell r="BC161">
            <v>10</v>
          </cell>
          <cell r="BD161">
            <v>10</v>
          </cell>
          <cell r="BE161">
            <v>10</v>
          </cell>
          <cell r="BF161">
            <v>4.1119062832800847E-2</v>
          </cell>
          <cell r="BI161">
            <v>125</v>
          </cell>
          <cell r="BK161">
            <v>38122.25</v>
          </cell>
          <cell r="BL161">
            <v>300352.8</v>
          </cell>
          <cell r="BM161">
            <v>243753.8</v>
          </cell>
          <cell r="BN161">
            <v>56599</v>
          </cell>
          <cell r="BO161">
            <v>402080</v>
          </cell>
          <cell r="BP161">
            <v>32436.1</v>
          </cell>
          <cell r="BQ161">
            <v>369643.9</v>
          </cell>
          <cell r="BR161">
            <v>203671.9</v>
          </cell>
          <cell r="BS161">
            <v>57000</v>
          </cell>
          <cell r="BT161">
            <v>108972</v>
          </cell>
          <cell r="BU161">
            <v>664313.30000000005</v>
          </cell>
          <cell r="BV161">
            <v>215145.7</v>
          </cell>
          <cell r="BW161">
            <v>405151.2</v>
          </cell>
          <cell r="BX161">
            <v>199355.5</v>
          </cell>
          <cell r="BY161">
            <v>132144</v>
          </cell>
          <cell r="BZ161">
            <v>38119.5</v>
          </cell>
          <cell r="CA161">
            <v>10</v>
          </cell>
          <cell r="CD161">
            <v>125</v>
          </cell>
          <cell r="CF161">
            <v>38122.25</v>
          </cell>
          <cell r="CG161">
            <v>9.82</v>
          </cell>
          <cell r="CH161">
            <v>13.6</v>
          </cell>
          <cell r="CI161">
            <v>11.7107142857143</v>
          </cell>
          <cell r="CJ161">
            <v>9</v>
          </cell>
          <cell r="CK161">
            <v>10.5</v>
          </cell>
          <cell r="CL161">
            <v>8</v>
          </cell>
          <cell r="CM161">
            <v>15.5</v>
          </cell>
          <cell r="CN161">
            <v>12.5</v>
          </cell>
          <cell r="CO161">
            <v>15</v>
          </cell>
          <cell r="CP161">
            <v>12</v>
          </cell>
          <cell r="CQ161">
            <v>26.99</v>
          </cell>
          <cell r="CR161">
            <v>3.5</v>
          </cell>
          <cell r="CS161">
            <v>18</v>
          </cell>
          <cell r="CT161">
            <v>27</v>
          </cell>
          <cell r="CU161">
            <v>10</v>
          </cell>
          <cell r="CV161">
            <v>10</v>
          </cell>
          <cell r="CY161">
            <v>125</v>
          </cell>
        </row>
        <row r="162">
          <cell r="A162">
            <v>38152.6875</v>
          </cell>
          <cell r="B162">
            <v>108.07918043004054</v>
          </cell>
          <cell r="C162">
            <v>126.74289617486339</v>
          </cell>
          <cell r="D162">
            <v>117.84864094488189</v>
          </cell>
          <cell r="E162">
            <v>118.15501333333333</v>
          </cell>
          <cell r="F162">
            <v>106.1964009009009</v>
          </cell>
          <cell r="G162">
            <v>104.95244630071601</v>
          </cell>
          <cell r="H162">
            <v>126.43799421965318</v>
          </cell>
          <cell r="I162">
            <v>158.39987719298244</v>
          </cell>
          <cell r="J162">
            <v>108.30457723577236</v>
          </cell>
          <cell r="K162">
            <v>120.512</v>
          </cell>
          <cell r="L162">
            <v>140.18640662650603</v>
          </cell>
          <cell r="M162">
            <v>117.76810983981694</v>
          </cell>
          <cell r="N162">
            <v>117.208</v>
          </cell>
          <cell r="R162">
            <v>126</v>
          </cell>
          <cell r="T162">
            <v>38152.6875</v>
          </cell>
          <cell r="AN162" t="str">
            <v/>
          </cell>
          <cell r="AP162">
            <v>38152.6875</v>
          </cell>
          <cell r="AQ162">
            <v>540.44297229999995</v>
          </cell>
          <cell r="AR162">
            <v>35.54</v>
          </cell>
          <cell r="AS162">
            <v>1.425</v>
          </cell>
          <cell r="AT162">
            <v>13.840999999999999</v>
          </cell>
          <cell r="AU162">
            <v>0.76400000000000001</v>
          </cell>
          <cell r="AV162">
            <v>19.207343235541998</v>
          </cell>
          <cell r="AW162">
            <v>0.77013123552749996</v>
          </cell>
          <cell r="AX162">
            <v>7.4802711796042987</v>
          </cell>
          <cell r="AY162">
            <v>412.89843083719995</v>
          </cell>
          <cell r="AZ162">
            <v>10</v>
          </cell>
          <cell r="BA162">
            <v>10</v>
          </cell>
          <cell r="BB162">
            <v>10</v>
          </cell>
          <cell r="BC162">
            <v>10</v>
          </cell>
          <cell r="BD162">
            <v>10</v>
          </cell>
          <cell r="BE162">
            <v>10</v>
          </cell>
          <cell r="BF162">
            <v>4.0095666854248736E-2</v>
          </cell>
          <cell r="BI162">
            <v>126</v>
          </cell>
          <cell r="BK162">
            <v>38152.6875</v>
          </cell>
          <cell r="BL162">
            <v>324532.09999999998</v>
          </cell>
          <cell r="BM162">
            <v>260521.1</v>
          </cell>
          <cell r="BN162">
            <v>64011</v>
          </cell>
          <cell r="BO162">
            <v>378536.3</v>
          </cell>
          <cell r="BP162">
            <v>31461.4</v>
          </cell>
          <cell r="BQ162">
            <v>347074.9</v>
          </cell>
          <cell r="BR162">
            <v>185985.9</v>
          </cell>
          <cell r="BS162">
            <v>50000</v>
          </cell>
          <cell r="BT162">
            <v>111089</v>
          </cell>
          <cell r="BU162">
            <v>659768.9</v>
          </cell>
          <cell r="BV162">
            <v>214420.8</v>
          </cell>
          <cell r="BW162">
            <v>400911</v>
          </cell>
          <cell r="BX162">
            <v>193938</v>
          </cell>
          <cell r="BY162">
            <v>131788</v>
          </cell>
          <cell r="BZ162">
            <v>43299.5</v>
          </cell>
          <cell r="CA162">
            <v>10</v>
          </cell>
          <cell r="CD162">
            <v>126</v>
          </cell>
          <cell r="CF162">
            <v>38152.6875</v>
          </cell>
          <cell r="CG162">
            <v>9.82</v>
          </cell>
          <cell r="CH162">
            <v>13.6</v>
          </cell>
          <cell r="CI162">
            <v>11.7107142857143</v>
          </cell>
          <cell r="CJ162">
            <v>9</v>
          </cell>
          <cell r="CK162">
            <v>10.5</v>
          </cell>
          <cell r="CL162">
            <v>6.75</v>
          </cell>
          <cell r="CM162">
            <v>15.5</v>
          </cell>
          <cell r="CN162">
            <v>12.5</v>
          </cell>
          <cell r="CO162">
            <v>15</v>
          </cell>
          <cell r="CP162">
            <v>13</v>
          </cell>
          <cell r="CQ162">
            <v>21</v>
          </cell>
          <cell r="CR162">
            <v>3.5</v>
          </cell>
          <cell r="CS162">
            <v>18</v>
          </cell>
          <cell r="CT162">
            <v>27</v>
          </cell>
          <cell r="CU162">
            <v>10</v>
          </cell>
          <cell r="CV162">
            <v>10</v>
          </cell>
          <cell r="CY162">
            <v>126</v>
          </cell>
        </row>
        <row r="163">
          <cell r="A163">
            <v>38183.125</v>
          </cell>
          <cell r="B163">
            <v>108.18004830165165</v>
          </cell>
          <cell r="C163">
            <v>126.6075136612022</v>
          </cell>
          <cell r="D163">
            <v>117.84864094488189</v>
          </cell>
          <cell r="E163">
            <v>114.15027428571429</v>
          </cell>
          <cell r="F163">
            <v>106.1964009009009</v>
          </cell>
          <cell r="G163">
            <v>104.95244630071601</v>
          </cell>
          <cell r="H163">
            <v>126.6736782273603</v>
          </cell>
          <cell r="I163">
            <v>158.39987719298244</v>
          </cell>
          <cell r="J163">
            <v>108.30457723577236</v>
          </cell>
          <cell r="K163">
            <v>120.512</v>
          </cell>
          <cell r="L163">
            <v>140.52406726907628</v>
          </cell>
          <cell r="M163">
            <v>117.76810983981694</v>
          </cell>
          <cell r="N163">
            <v>116.88800000000001</v>
          </cell>
          <cell r="R163">
            <v>127</v>
          </cell>
          <cell r="T163">
            <v>38183.125</v>
          </cell>
          <cell r="AN163" t="str">
            <v/>
          </cell>
          <cell r="AP163">
            <v>38183.125</v>
          </cell>
          <cell r="AQ163">
            <v>534.86733779999997</v>
          </cell>
          <cell r="AR163">
            <v>37.89</v>
          </cell>
          <cell r="AS163">
            <v>1.2569999999999999</v>
          </cell>
          <cell r="AT163">
            <v>14.042</v>
          </cell>
          <cell r="AU163">
            <v>0.68100000000000005</v>
          </cell>
          <cell r="AV163">
            <v>20.266123429241997</v>
          </cell>
          <cell r="AW163">
            <v>0.67232824361459997</v>
          </cell>
          <cell r="AX163">
            <v>7.5106071573876001</v>
          </cell>
          <cell r="AY163">
            <v>364.2446570418</v>
          </cell>
          <cell r="AZ163">
            <v>10</v>
          </cell>
          <cell r="BA163">
            <v>10</v>
          </cell>
          <cell r="BB163">
            <v>10</v>
          </cell>
          <cell r="BC163">
            <v>10</v>
          </cell>
          <cell r="BD163">
            <v>10</v>
          </cell>
          <cell r="BE163">
            <v>10</v>
          </cell>
          <cell r="BF163">
            <v>3.3174980205859073E-2</v>
          </cell>
          <cell r="BI163">
            <v>127</v>
          </cell>
          <cell r="BK163">
            <v>38183.125</v>
          </cell>
          <cell r="BL163">
            <v>373500</v>
          </cell>
          <cell r="BM163">
            <v>311467</v>
          </cell>
          <cell r="BN163">
            <v>62033</v>
          </cell>
          <cell r="BO163">
            <v>331455.90000000002</v>
          </cell>
          <cell r="BP163">
            <v>-17728.8</v>
          </cell>
          <cell r="BQ163">
            <v>349184.7</v>
          </cell>
          <cell r="BR163">
            <v>205702.7</v>
          </cell>
          <cell r="BS163">
            <v>26000</v>
          </cell>
          <cell r="BT163">
            <v>117482</v>
          </cell>
          <cell r="BU163">
            <v>672782.7</v>
          </cell>
          <cell r="BV163">
            <v>212347.1</v>
          </cell>
          <cell r="BW163">
            <v>415476.7</v>
          </cell>
          <cell r="BX163">
            <v>202774.7</v>
          </cell>
          <cell r="BY163">
            <v>136439</v>
          </cell>
          <cell r="BZ163">
            <v>32173.200000000001</v>
          </cell>
          <cell r="CA163">
            <v>10</v>
          </cell>
          <cell r="CD163">
            <v>127</v>
          </cell>
          <cell r="CF163">
            <v>38183.125</v>
          </cell>
          <cell r="CG163">
            <v>9.82</v>
          </cell>
          <cell r="CH163">
            <v>13.6</v>
          </cell>
          <cell r="CI163">
            <v>11.7107142857143</v>
          </cell>
          <cell r="CJ163">
            <v>9</v>
          </cell>
          <cell r="CK163">
            <v>10.5</v>
          </cell>
          <cell r="CL163">
            <v>6.75</v>
          </cell>
          <cell r="CM163">
            <v>15.5</v>
          </cell>
          <cell r="CN163">
            <v>12.5</v>
          </cell>
          <cell r="CO163">
            <v>15</v>
          </cell>
          <cell r="CP163">
            <v>12</v>
          </cell>
          <cell r="CQ163">
            <v>26.99</v>
          </cell>
          <cell r="CR163">
            <v>3.5</v>
          </cell>
          <cell r="CS163">
            <v>18</v>
          </cell>
          <cell r="CT163">
            <v>27</v>
          </cell>
          <cell r="CU163">
            <v>10</v>
          </cell>
          <cell r="CV163">
            <v>10</v>
          </cell>
          <cell r="CY163">
            <v>127</v>
          </cell>
        </row>
        <row r="164">
          <cell r="A164">
            <v>38213.5625</v>
          </cell>
          <cell r="B164">
            <v>105.66777968214397</v>
          </cell>
          <cell r="C164">
            <v>126.91325136612022</v>
          </cell>
          <cell r="D164">
            <v>117.84864094488189</v>
          </cell>
          <cell r="E164">
            <v>117.0425838095238</v>
          </cell>
          <cell r="F164">
            <v>106.196021021021</v>
          </cell>
          <cell r="G164">
            <v>104.95244630071601</v>
          </cell>
          <cell r="H164">
            <v>127.97502697495183</v>
          </cell>
          <cell r="I164">
            <v>158.39987719298244</v>
          </cell>
          <cell r="J164">
            <v>108.30457723577236</v>
          </cell>
          <cell r="K164">
            <v>120.512</v>
          </cell>
          <cell r="L164">
            <v>140.56003112449798</v>
          </cell>
          <cell r="M164">
            <v>117.76810983981694</v>
          </cell>
          <cell r="N164">
            <v>116.59699999999999</v>
          </cell>
          <cell r="R164">
            <v>128</v>
          </cell>
          <cell r="T164">
            <v>38213.5625</v>
          </cell>
          <cell r="AN164" t="str">
            <v/>
          </cell>
          <cell r="AP164">
            <v>38213.5625</v>
          </cell>
          <cell r="AQ164">
            <v>538.80307979999998</v>
          </cell>
          <cell r="AR164">
            <v>42.08</v>
          </cell>
          <cell r="AS164">
            <v>1.179</v>
          </cell>
          <cell r="AT164">
            <v>14.127000000000001</v>
          </cell>
          <cell r="AU164">
            <v>0.69399999999999995</v>
          </cell>
          <cell r="AV164">
            <v>22.672833597983999</v>
          </cell>
          <cell r="AW164">
            <v>0.63524883108419994</v>
          </cell>
          <cell r="AX164">
            <v>7.6116711083346003</v>
          </cell>
          <cell r="AY164">
            <v>373.92933738119996</v>
          </cell>
          <cell r="AZ164">
            <v>10</v>
          </cell>
          <cell r="BA164">
            <v>10</v>
          </cell>
          <cell r="BB164">
            <v>10</v>
          </cell>
          <cell r="BC164">
            <v>10</v>
          </cell>
          <cell r="BD164">
            <v>10</v>
          </cell>
          <cell r="BE164">
            <v>10</v>
          </cell>
          <cell r="BF164">
            <v>2.80180608365019E-2</v>
          </cell>
          <cell r="BI164">
            <v>128</v>
          </cell>
          <cell r="BK164">
            <v>38213.5625</v>
          </cell>
          <cell r="BL164">
            <v>354365.8</v>
          </cell>
          <cell r="BM164">
            <v>293818.8</v>
          </cell>
          <cell r="BN164">
            <v>60547</v>
          </cell>
          <cell r="BO164">
            <v>332936.40000000002</v>
          </cell>
          <cell r="BP164">
            <v>-16977</v>
          </cell>
          <cell r="BQ164">
            <v>349913.4</v>
          </cell>
          <cell r="BR164">
            <v>218925.4</v>
          </cell>
          <cell r="BS164">
            <v>10000</v>
          </cell>
          <cell r="BT164">
            <v>120988</v>
          </cell>
          <cell r="BU164">
            <v>642344.80000000005</v>
          </cell>
          <cell r="BV164">
            <v>198628.9</v>
          </cell>
          <cell r="BW164">
            <v>398655.8</v>
          </cell>
          <cell r="BX164">
            <v>192367.8</v>
          </cell>
          <cell r="BY164">
            <v>130663</v>
          </cell>
          <cell r="BZ164">
            <v>44957.4</v>
          </cell>
          <cell r="CA164">
            <v>10</v>
          </cell>
          <cell r="CD164">
            <v>128</v>
          </cell>
          <cell r="CF164">
            <v>38213.5625</v>
          </cell>
          <cell r="CG164">
            <v>9.82</v>
          </cell>
          <cell r="CH164">
            <v>13.6</v>
          </cell>
          <cell r="CI164">
            <v>11.7107142857143</v>
          </cell>
          <cell r="CJ164">
            <v>9</v>
          </cell>
          <cell r="CK164">
            <v>10.5</v>
          </cell>
          <cell r="CL164">
            <v>6.75</v>
          </cell>
          <cell r="CM164">
            <v>15.5</v>
          </cell>
          <cell r="CN164">
            <v>12.5</v>
          </cell>
          <cell r="CO164">
            <v>15</v>
          </cell>
          <cell r="CP164">
            <v>12</v>
          </cell>
          <cell r="CQ164">
            <v>26.99</v>
          </cell>
          <cell r="CR164">
            <v>3.5</v>
          </cell>
          <cell r="CS164">
            <v>18</v>
          </cell>
          <cell r="CT164">
            <v>27</v>
          </cell>
          <cell r="CU164">
            <v>10</v>
          </cell>
          <cell r="CV164">
            <v>10</v>
          </cell>
          <cell r="CY164">
            <v>128</v>
          </cell>
        </row>
        <row r="165">
          <cell r="A165">
            <v>38244</v>
          </cell>
          <cell r="B165">
            <v>104.59856466188843</v>
          </cell>
          <cell r="C165">
            <v>124.72172131147542</v>
          </cell>
          <cell r="D165">
            <v>117.84864094488189</v>
          </cell>
          <cell r="E165">
            <v>114.97951238095237</v>
          </cell>
          <cell r="F165">
            <v>106.24051801801801</v>
          </cell>
          <cell r="G165">
            <v>105.00543198090693</v>
          </cell>
          <cell r="H165">
            <v>128.64396146435453</v>
          </cell>
          <cell r="I165">
            <v>158.39987719298244</v>
          </cell>
          <cell r="J165">
            <v>107.29357723577235</v>
          </cell>
          <cell r="K165">
            <v>120.512</v>
          </cell>
          <cell r="L165">
            <v>140.31128112449798</v>
          </cell>
          <cell r="M165">
            <v>117.76810983981694</v>
          </cell>
          <cell r="N165">
            <v>116.032</v>
          </cell>
          <cell r="R165">
            <v>129</v>
          </cell>
          <cell r="T165">
            <v>38244</v>
          </cell>
          <cell r="AN165" t="str">
            <v/>
          </cell>
          <cell r="AP165">
            <v>38244</v>
          </cell>
          <cell r="AQ165">
            <v>536.91392364000001</v>
          </cell>
          <cell r="AR165">
            <v>41.6</v>
          </cell>
          <cell r="AS165">
            <v>1.2499</v>
          </cell>
          <cell r="AT165">
            <v>14.295999999999999</v>
          </cell>
          <cell r="AU165">
            <v>0.81</v>
          </cell>
          <cell r="AV165">
            <v>22.335619223424001</v>
          </cell>
          <cell r="AW165">
            <v>0.67108871315763596</v>
          </cell>
          <cell r="AX165">
            <v>7.6757214523574397</v>
          </cell>
          <cell r="AY165">
            <v>434.90027814840005</v>
          </cell>
          <cell r="AZ165">
            <v>10</v>
          </cell>
          <cell r="BA165">
            <v>10</v>
          </cell>
          <cell r="BB165">
            <v>10</v>
          </cell>
          <cell r="BC165">
            <v>10</v>
          </cell>
          <cell r="BD165">
            <v>10</v>
          </cell>
          <cell r="BE165">
            <v>10</v>
          </cell>
          <cell r="BF165">
            <v>3.0045673076923074E-2</v>
          </cell>
          <cell r="BI165">
            <v>129</v>
          </cell>
          <cell r="BK165">
            <v>38244</v>
          </cell>
          <cell r="BL165">
            <v>308440.2</v>
          </cell>
          <cell r="BM165">
            <v>258947.20000000001</v>
          </cell>
          <cell r="BN165">
            <v>49493</v>
          </cell>
          <cell r="BO165">
            <v>349124.2</v>
          </cell>
          <cell r="BP165">
            <v>-1036.3</v>
          </cell>
          <cell r="BQ165">
            <v>350160.5</v>
          </cell>
          <cell r="BR165">
            <v>226073.5</v>
          </cell>
          <cell r="BS165">
            <v>9.9999999999999995E-7</v>
          </cell>
          <cell r="BT165">
            <v>124087</v>
          </cell>
          <cell r="BU165">
            <v>615049.80000000005</v>
          </cell>
          <cell r="BV165">
            <v>168549.5</v>
          </cell>
          <cell r="BW165">
            <v>401570.1</v>
          </cell>
          <cell r="BX165">
            <v>192749.1</v>
          </cell>
          <cell r="BY165">
            <v>132399</v>
          </cell>
          <cell r="BZ165">
            <v>42515.6</v>
          </cell>
          <cell r="CA165">
            <v>10</v>
          </cell>
          <cell r="CD165">
            <v>129</v>
          </cell>
          <cell r="CF165">
            <v>38244</v>
          </cell>
          <cell r="CG165">
            <v>9.82</v>
          </cell>
          <cell r="CH165">
            <v>13.6</v>
          </cell>
          <cell r="CI165">
            <v>11.7107142857143</v>
          </cell>
          <cell r="CJ165">
            <v>9</v>
          </cell>
          <cell r="CK165">
            <v>10.5</v>
          </cell>
          <cell r="CL165">
            <v>6.75</v>
          </cell>
          <cell r="CM165">
            <v>15.5</v>
          </cell>
          <cell r="CN165">
            <v>12.5</v>
          </cell>
          <cell r="CO165">
            <v>15</v>
          </cell>
          <cell r="CP165">
            <v>13</v>
          </cell>
          <cell r="CQ165">
            <v>26.99</v>
          </cell>
          <cell r="CR165">
            <v>3.5</v>
          </cell>
          <cell r="CS165">
            <v>18</v>
          </cell>
          <cell r="CT165">
            <v>27</v>
          </cell>
          <cell r="CU165">
            <v>10</v>
          </cell>
          <cell r="CV165">
            <v>10</v>
          </cell>
          <cell r="CY165">
            <v>129</v>
          </cell>
        </row>
        <row r="166">
          <cell r="A166">
            <v>38274.4375</v>
          </cell>
          <cell r="B166">
            <v>111.06567435338111</v>
          </cell>
          <cell r="C166">
            <v>125.05314207650274</v>
          </cell>
          <cell r="D166">
            <v>117.84864094488189</v>
          </cell>
          <cell r="E166">
            <v>114.68334571428571</v>
          </cell>
          <cell r="F166">
            <v>106.24051801801801</v>
          </cell>
          <cell r="G166">
            <v>105.00543198090693</v>
          </cell>
          <cell r="H166">
            <v>133.10926332691071</v>
          </cell>
          <cell r="I166">
            <v>158.39987719298244</v>
          </cell>
          <cell r="J166">
            <v>107.29357723577235</v>
          </cell>
          <cell r="K166">
            <v>130.77199999999999</v>
          </cell>
          <cell r="L166">
            <v>140.31028212851405</v>
          </cell>
          <cell r="M166">
            <v>117.844471395881</v>
          </cell>
          <cell r="N166">
            <v>119.029</v>
          </cell>
          <cell r="R166">
            <v>130</v>
          </cell>
          <cell r="T166">
            <v>38274.4375</v>
          </cell>
          <cell r="AN166" t="str">
            <v/>
          </cell>
          <cell r="AP166">
            <v>38274.4375</v>
          </cell>
          <cell r="AQ166">
            <v>525.31004430999997</v>
          </cell>
          <cell r="AR166">
            <v>46.88</v>
          </cell>
          <cell r="AS166">
            <v>1.1579999999999999</v>
          </cell>
          <cell r="AT166">
            <v>14.832000000000001</v>
          </cell>
          <cell r="AU166">
            <v>0.81200000000000006</v>
          </cell>
          <cell r="AV166">
            <v>24.626534877252801</v>
          </cell>
          <cell r="AW166">
            <v>0.60830903131097991</v>
          </cell>
          <cell r="AX166">
            <v>7.7913985772059196</v>
          </cell>
          <cell r="AY166">
            <v>426.55175597971999</v>
          </cell>
          <cell r="AZ166">
            <v>10</v>
          </cell>
          <cell r="BA166">
            <v>10</v>
          </cell>
          <cell r="BB166">
            <v>10</v>
          </cell>
          <cell r="BC166">
            <v>10</v>
          </cell>
          <cell r="BD166">
            <v>10</v>
          </cell>
          <cell r="BE166">
            <v>10</v>
          </cell>
          <cell r="BF166">
            <v>2.4701365187713306E-2</v>
          </cell>
          <cell r="BI166">
            <v>130</v>
          </cell>
          <cell r="BK166">
            <v>38274.4375</v>
          </cell>
          <cell r="BL166">
            <v>312507.8</v>
          </cell>
          <cell r="BM166">
            <v>266497.8</v>
          </cell>
          <cell r="BN166">
            <v>46010</v>
          </cell>
          <cell r="BO166">
            <v>370060.2</v>
          </cell>
          <cell r="BP166">
            <v>9259.4</v>
          </cell>
          <cell r="BQ166">
            <v>360800.8</v>
          </cell>
          <cell r="BR166">
            <v>224804.8</v>
          </cell>
          <cell r="BS166">
            <v>9.9999999999999995E-7</v>
          </cell>
          <cell r="BT166">
            <v>135996</v>
          </cell>
          <cell r="BU166">
            <v>637418.9</v>
          </cell>
          <cell r="BV166">
            <v>195033.7</v>
          </cell>
          <cell r="BW166">
            <v>397411.7</v>
          </cell>
          <cell r="BX166">
            <v>191289.7</v>
          </cell>
          <cell r="BY166">
            <v>130791</v>
          </cell>
          <cell r="BZ166">
            <v>45149.1</v>
          </cell>
          <cell r="CA166">
            <v>10</v>
          </cell>
          <cell r="CD166">
            <v>130</v>
          </cell>
          <cell r="CF166">
            <v>38274.4375</v>
          </cell>
          <cell r="CG166">
            <v>9.82</v>
          </cell>
          <cell r="CH166">
            <v>13.6</v>
          </cell>
          <cell r="CI166">
            <v>11.7107142857143</v>
          </cell>
          <cell r="CJ166">
            <v>9</v>
          </cell>
          <cell r="CK166">
            <v>10.5</v>
          </cell>
          <cell r="CL166">
            <v>6.75</v>
          </cell>
          <cell r="CM166">
            <v>10.5</v>
          </cell>
          <cell r="CN166">
            <v>12.5</v>
          </cell>
          <cell r="CO166">
            <v>15</v>
          </cell>
          <cell r="CP166">
            <v>13</v>
          </cell>
          <cell r="CQ166">
            <v>26.99</v>
          </cell>
          <cell r="CR166">
            <v>3.5</v>
          </cell>
          <cell r="CS166">
            <v>18</v>
          </cell>
          <cell r="CT166">
            <v>27</v>
          </cell>
          <cell r="CU166">
            <v>10</v>
          </cell>
          <cell r="CV166">
            <v>10</v>
          </cell>
          <cell r="CY166">
            <v>130</v>
          </cell>
        </row>
        <row r="167">
          <cell r="A167">
            <v>38304.875</v>
          </cell>
          <cell r="B167">
            <v>110.87586662511683</v>
          </cell>
          <cell r="C167">
            <v>128.03989071038251</v>
          </cell>
          <cell r="D167">
            <v>117.84864094488189</v>
          </cell>
          <cell r="E167">
            <v>117.62696666666668</v>
          </cell>
          <cell r="F167">
            <v>106.24051801801801</v>
          </cell>
          <cell r="G167">
            <v>105.00543198090693</v>
          </cell>
          <cell r="H167">
            <v>133.67727874116892</v>
          </cell>
          <cell r="I167">
            <v>158.39987719298244</v>
          </cell>
          <cell r="J167">
            <v>107.29357723577235</v>
          </cell>
          <cell r="K167">
            <v>130.77199999999999</v>
          </cell>
          <cell r="L167">
            <v>140.38620582329315</v>
          </cell>
          <cell r="M167">
            <v>117.76810983981694</v>
          </cell>
          <cell r="N167">
            <v>119.42400000000001</v>
          </cell>
          <cell r="R167">
            <v>131</v>
          </cell>
          <cell r="T167">
            <v>38304.875</v>
          </cell>
          <cell r="AN167" t="str">
            <v/>
          </cell>
          <cell r="AP167">
            <v>38304.875</v>
          </cell>
          <cell r="AQ167">
            <v>504.99505601999999</v>
          </cell>
          <cell r="AR167">
            <v>42.09</v>
          </cell>
          <cell r="AS167">
            <v>1.0860000000000001</v>
          </cell>
          <cell r="AT167">
            <v>15.49</v>
          </cell>
          <cell r="AU167">
            <v>0.78800000000000003</v>
          </cell>
          <cell r="AV167">
            <v>21.255241907881803</v>
          </cell>
          <cell r="AW167">
            <v>0.54842463083771997</v>
          </cell>
          <cell r="AX167">
            <v>7.8223734177497999</v>
          </cell>
          <cell r="AY167">
            <v>397.93610414376002</v>
          </cell>
          <cell r="AZ167">
            <v>10</v>
          </cell>
          <cell r="BA167">
            <v>10</v>
          </cell>
          <cell r="BB167">
            <v>10</v>
          </cell>
          <cell r="BC167">
            <v>10</v>
          </cell>
          <cell r="BD167">
            <v>10</v>
          </cell>
          <cell r="BE167">
            <v>10</v>
          </cell>
          <cell r="BF167">
            <v>2.5801853171774764E-2</v>
          </cell>
          <cell r="BI167">
            <v>131</v>
          </cell>
          <cell r="BK167">
            <v>38304.875</v>
          </cell>
          <cell r="BL167">
            <v>283411.09999999998</v>
          </cell>
          <cell r="BM167">
            <v>246205.1</v>
          </cell>
          <cell r="BN167">
            <v>37206</v>
          </cell>
          <cell r="BO167">
            <v>385462.8</v>
          </cell>
          <cell r="BP167">
            <v>18681.2</v>
          </cell>
          <cell r="BQ167">
            <v>366781.6</v>
          </cell>
          <cell r="BR167">
            <v>225264.6</v>
          </cell>
          <cell r="BS167">
            <v>9.9999999999999995E-7</v>
          </cell>
          <cell r="BT167">
            <v>141517</v>
          </cell>
          <cell r="BU167">
            <v>610922.30000000005</v>
          </cell>
          <cell r="BV167">
            <v>179170</v>
          </cell>
          <cell r="BW167">
            <v>387022</v>
          </cell>
          <cell r="BX167">
            <v>186421</v>
          </cell>
          <cell r="BY167">
            <v>126082</v>
          </cell>
          <cell r="BZ167">
            <v>57951.6</v>
          </cell>
          <cell r="CA167">
            <v>10</v>
          </cell>
          <cell r="CD167">
            <v>131</v>
          </cell>
          <cell r="CF167">
            <v>38304.875</v>
          </cell>
          <cell r="CG167">
            <v>9.82</v>
          </cell>
          <cell r="CH167">
            <v>13.6</v>
          </cell>
          <cell r="CI167">
            <v>11.7107142857143</v>
          </cell>
          <cell r="CJ167">
            <v>9</v>
          </cell>
          <cell r="CK167">
            <v>10.5</v>
          </cell>
          <cell r="CL167">
            <v>6.75</v>
          </cell>
          <cell r="CM167">
            <v>15.5</v>
          </cell>
          <cell r="CN167">
            <v>12.5</v>
          </cell>
          <cell r="CO167">
            <v>15</v>
          </cell>
          <cell r="CP167">
            <v>13</v>
          </cell>
          <cell r="CQ167">
            <v>26.99</v>
          </cell>
          <cell r="CR167">
            <v>3.5</v>
          </cell>
          <cell r="CS167">
            <v>18</v>
          </cell>
          <cell r="CT167">
            <v>27</v>
          </cell>
          <cell r="CU167">
            <v>10</v>
          </cell>
          <cell r="CV167">
            <v>10</v>
          </cell>
          <cell r="CY167">
            <v>131</v>
          </cell>
        </row>
        <row r="168">
          <cell r="A168">
            <v>38335.3125</v>
          </cell>
          <cell r="B168">
            <v>108.15086195076347</v>
          </cell>
          <cell r="C168">
            <v>126.87595628415301</v>
          </cell>
          <cell r="D168">
            <v>117.84864094488189</v>
          </cell>
          <cell r="E168">
            <v>113.14706</v>
          </cell>
          <cell r="F168">
            <v>106.24051801801801</v>
          </cell>
          <cell r="G168">
            <v>108.74706921241051</v>
          </cell>
          <cell r="H168">
            <v>133.47804945407836</v>
          </cell>
          <cell r="I168">
            <v>158.39987719298244</v>
          </cell>
          <cell r="J168">
            <v>107.29357723577235</v>
          </cell>
          <cell r="K168">
            <v>130.77199999999999</v>
          </cell>
          <cell r="L168">
            <v>140.53505622489959</v>
          </cell>
          <cell r="M168">
            <v>117.76810983981694</v>
          </cell>
          <cell r="N168">
            <v>118.199</v>
          </cell>
          <cell r="R168">
            <v>132</v>
          </cell>
          <cell r="T168">
            <v>38335.3125</v>
          </cell>
          <cell r="AN168" t="str">
            <v/>
          </cell>
          <cell r="AP168">
            <v>38335.3125</v>
          </cell>
          <cell r="AQ168">
            <v>490.38689362999992</v>
          </cell>
          <cell r="AR168">
            <v>39.04</v>
          </cell>
          <cell r="AS168">
            <v>1.0720000000000001</v>
          </cell>
          <cell r="AT168">
            <v>15.59</v>
          </cell>
          <cell r="AU168">
            <v>0.73599999999999999</v>
          </cell>
          <cell r="AV168">
            <v>19.144704327315196</v>
          </cell>
          <cell r="AW168">
            <v>0.5256947499713599</v>
          </cell>
          <cell r="AX168">
            <v>7.6451316716916988</v>
          </cell>
          <cell r="AY168">
            <v>360.92475371167995</v>
          </cell>
          <cell r="AZ168">
            <v>10</v>
          </cell>
          <cell r="BA168">
            <v>10</v>
          </cell>
          <cell r="BB168">
            <v>10</v>
          </cell>
          <cell r="BC168">
            <v>10</v>
          </cell>
          <cell r="BD168">
            <v>10</v>
          </cell>
          <cell r="BE168">
            <v>10</v>
          </cell>
          <cell r="BF168">
            <v>2.7459016393442622E-2</v>
          </cell>
          <cell r="BI168">
            <v>132</v>
          </cell>
          <cell r="BK168">
            <v>38335.3125</v>
          </cell>
          <cell r="BL168">
            <v>274127.3</v>
          </cell>
          <cell r="BM168">
            <v>231870.3</v>
          </cell>
          <cell r="BN168">
            <v>42257</v>
          </cell>
          <cell r="BO168">
            <v>385327.6</v>
          </cell>
          <cell r="BP168">
            <v>3383.1</v>
          </cell>
          <cell r="BQ168">
            <v>381944.5</v>
          </cell>
          <cell r="BR168">
            <v>218069.5</v>
          </cell>
          <cell r="BS168">
            <v>15000</v>
          </cell>
          <cell r="BT168">
            <v>148875</v>
          </cell>
          <cell r="BU168">
            <v>624257.9</v>
          </cell>
          <cell r="BV168">
            <v>175029</v>
          </cell>
          <cell r="BW168">
            <v>404145.2</v>
          </cell>
          <cell r="BX168">
            <v>198616.2</v>
          </cell>
          <cell r="BY168">
            <v>129794</v>
          </cell>
          <cell r="BZ168">
            <v>35197</v>
          </cell>
          <cell r="CA168">
            <v>10</v>
          </cell>
          <cell r="CD168">
            <v>132</v>
          </cell>
          <cell r="CF168">
            <v>38335.3125</v>
          </cell>
          <cell r="CG168">
            <v>9.82</v>
          </cell>
          <cell r="CH168">
            <v>13.6</v>
          </cell>
          <cell r="CI168">
            <v>11.7107142857143</v>
          </cell>
          <cell r="CJ168">
            <v>9</v>
          </cell>
          <cell r="CK168">
            <v>10.5</v>
          </cell>
          <cell r="CL168">
            <v>6.75</v>
          </cell>
          <cell r="CM168">
            <v>15.5</v>
          </cell>
          <cell r="CN168">
            <v>12.5</v>
          </cell>
          <cell r="CO168">
            <v>15</v>
          </cell>
          <cell r="CP168">
            <v>13</v>
          </cell>
          <cell r="CQ168">
            <v>26.99</v>
          </cell>
          <cell r="CR168">
            <v>3.5</v>
          </cell>
          <cell r="CU168">
            <v>10</v>
          </cell>
          <cell r="CV168">
            <v>10</v>
          </cell>
          <cell r="CY168">
            <v>132</v>
          </cell>
        </row>
        <row r="169">
          <cell r="A169">
            <v>38365.75</v>
          </cell>
          <cell r="B169">
            <v>106.35631816765347</v>
          </cell>
          <cell r="C169">
            <v>125.28428961748635</v>
          </cell>
          <cell r="D169">
            <v>117.84864094488189</v>
          </cell>
          <cell r="E169">
            <v>119.06540285714286</v>
          </cell>
          <cell r="F169">
            <v>108.06974774774775</v>
          </cell>
          <cell r="G169">
            <v>105.93420286396183</v>
          </cell>
          <cell r="H169">
            <v>132.20128644829799</v>
          </cell>
          <cell r="I169">
            <v>159.80338596491228</v>
          </cell>
          <cell r="J169">
            <v>107.34974796747967</v>
          </cell>
          <cell r="K169">
            <v>130.77199999999999</v>
          </cell>
          <cell r="L169">
            <v>140.20570582329316</v>
          </cell>
          <cell r="M169">
            <v>115.74647597254005</v>
          </cell>
          <cell r="N169">
            <v>117.91800000000001</v>
          </cell>
          <cell r="R169">
            <v>133</v>
          </cell>
          <cell r="T169">
            <v>38365.75</v>
          </cell>
          <cell r="AN169" t="str">
            <v/>
          </cell>
          <cell r="AP169">
            <v>38365.75</v>
          </cell>
          <cell r="AQ169">
            <v>495.24097543000005</v>
          </cell>
          <cell r="AR169">
            <v>42.97</v>
          </cell>
          <cell r="AS169">
            <v>1.1299999999999999</v>
          </cell>
          <cell r="AT169">
            <v>14.96</v>
          </cell>
          <cell r="AU169">
            <v>0.68500000000000005</v>
          </cell>
          <cell r="AV169">
            <v>21.280504714227103</v>
          </cell>
          <cell r="AW169">
            <v>0.55962230223589993</v>
          </cell>
          <cell r="AX169">
            <v>7.4088049924328017</v>
          </cell>
          <cell r="AY169">
            <v>339.24006816955006</v>
          </cell>
          <cell r="AZ169">
            <v>10</v>
          </cell>
          <cell r="BA169">
            <v>10</v>
          </cell>
          <cell r="BB169">
            <v>10</v>
          </cell>
          <cell r="BC169">
            <v>10</v>
          </cell>
          <cell r="BD169">
            <v>10</v>
          </cell>
          <cell r="BE169">
            <v>10</v>
          </cell>
          <cell r="BF169">
            <v>2.6297416802420287E-2</v>
          </cell>
          <cell r="BI169">
            <v>133</v>
          </cell>
          <cell r="BK169">
            <v>38365.75</v>
          </cell>
          <cell r="BL169">
            <v>250368.7</v>
          </cell>
          <cell r="BM169">
            <v>217483.7</v>
          </cell>
          <cell r="BN169">
            <v>32885</v>
          </cell>
          <cell r="BO169">
            <v>427194.2</v>
          </cell>
          <cell r="BP169">
            <v>19282.5</v>
          </cell>
          <cell r="BQ169">
            <v>407911.7</v>
          </cell>
          <cell r="BR169">
            <v>222475.7</v>
          </cell>
          <cell r="BS169">
            <v>36925</v>
          </cell>
          <cell r="BT169">
            <v>148511</v>
          </cell>
          <cell r="BU169">
            <v>640194.19999999995</v>
          </cell>
          <cell r="BV169">
            <v>178026.9</v>
          </cell>
          <cell r="BW169">
            <v>416671.5</v>
          </cell>
          <cell r="BX169">
            <v>207306.5</v>
          </cell>
          <cell r="BY169">
            <v>132591</v>
          </cell>
          <cell r="BZ169">
            <v>37368.699999999997</v>
          </cell>
          <cell r="CA169">
            <v>10</v>
          </cell>
          <cell r="CD169">
            <v>133</v>
          </cell>
          <cell r="CF169">
            <v>38365.75</v>
          </cell>
          <cell r="CG169">
            <v>9.82</v>
          </cell>
          <cell r="CH169">
            <v>13.6</v>
          </cell>
          <cell r="CI169">
            <v>11.7107142857143</v>
          </cell>
          <cell r="CJ169">
            <v>9</v>
          </cell>
          <cell r="CK169">
            <v>10.5</v>
          </cell>
          <cell r="CL169">
            <v>6.75</v>
          </cell>
          <cell r="CM169">
            <v>15</v>
          </cell>
          <cell r="CN169">
            <v>12.5</v>
          </cell>
          <cell r="CO169">
            <v>15</v>
          </cell>
          <cell r="CP169">
            <v>13</v>
          </cell>
          <cell r="CQ169">
            <v>26.99</v>
          </cell>
          <cell r="CR169">
            <v>3.5</v>
          </cell>
          <cell r="CS169">
            <v>18</v>
          </cell>
          <cell r="CT169">
            <v>27</v>
          </cell>
          <cell r="CU169">
            <v>10</v>
          </cell>
          <cell r="CV169">
            <v>10</v>
          </cell>
          <cell r="CY169">
            <v>133</v>
          </cell>
        </row>
        <row r="170">
          <cell r="A170">
            <v>38396.1875</v>
          </cell>
          <cell r="B170">
            <v>106.04817357432219</v>
          </cell>
          <cell r="C170">
            <v>127.31106557377051</v>
          </cell>
          <cell r="D170">
            <v>117.84864094488189</v>
          </cell>
          <cell r="E170">
            <v>114.69787904761905</v>
          </cell>
          <cell r="F170">
            <v>107.57797597597597</v>
          </cell>
          <cell r="G170">
            <v>105.93420286396183</v>
          </cell>
          <cell r="H170">
            <v>130.44255812459858</v>
          </cell>
          <cell r="I170">
            <v>159.80338596491228</v>
          </cell>
          <cell r="J170">
            <v>107.34974796747967</v>
          </cell>
          <cell r="K170">
            <v>130.77199999999999</v>
          </cell>
          <cell r="L170">
            <v>140.03987248995983</v>
          </cell>
          <cell r="M170">
            <v>115.88951945080092</v>
          </cell>
          <cell r="N170">
            <v>117.081</v>
          </cell>
          <cell r="R170">
            <v>134</v>
          </cell>
          <cell r="T170">
            <v>38396.1875</v>
          </cell>
          <cell r="AN170" t="str">
            <v/>
          </cell>
          <cell r="AP170">
            <v>38396.1875</v>
          </cell>
          <cell r="AQ170">
            <v>504.09639492999997</v>
          </cell>
          <cell r="AR170">
            <v>44.82</v>
          </cell>
          <cell r="AS170">
            <v>1.1499999999999999</v>
          </cell>
          <cell r="AT170">
            <v>14.94</v>
          </cell>
          <cell r="AU170">
            <v>0.70799999999999996</v>
          </cell>
          <cell r="AV170">
            <v>22.593600420762598</v>
          </cell>
          <cell r="AW170">
            <v>0.57971085416949997</v>
          </cell>
          <cell r="AX170">
            <v>7.5312001402541995</v>
          </cell>
          <cell r="AY170">
            <v>356.90024761043998</v>
          </cell>
          <cell r="AZ170">
            <v>10</v>
          </cell>
          <cell r="BA170">
            <v>10</v>
          </cell>
          <cell r="BB170">
            <v>10</v>
          </cell>
          <cell r="BC170">
            <v>10</v>
          </cell>
          <cell r="BD170">
            <v>10</v>
          </cell>
          <cell r="BE170">
            <v>10</v>
          </cell>
          <cell r="BF170">
            <v>2.5658188308790717E-2</v>
          </cell>
          <cell r="BI170">
            <v>134</v>
          </cell>
          <cell r="BK170">
            <v>38396.1875</v>
          </cell>
          <cell r="BL170">
            <v>243123.1</v>
          </cell>
          <cell r="BM170">
            <v>210608.1</v>
          </cell>
          <cell r="BN170">
            <v>32515</v>
          </cell>
          <cell r="BO170">
            <v>463038.5</v>
          </cell>
          <cell r="BP170">
            <v>34418.400000000001</v>
          </cell>
          <cell r="BQ170">
            <v>428620.1</v>
          </cell>
          <cell r="BR170">
            <v>222298.1</v>
          </cell>
          <cell r="BS170">
            <v>57525</v>
          </cell>
          <cell r="BT170">
            <v>148797</v>
          </cell>
          <cell r="BU170">
            <v>660475.30000000005</v>
          </cell>
          <cell r="BV170">
            <v>181802.8</v>
          </cell>
          <cell r="BW170">
            <v>432520.7</v>
          </cell>
          <cell r="BX170">
            <v>218808.7</v>
          </cell>
          <cell r="BY170">
            <v>136576</v>
          </cell>
          <cell r="BZ170">
            <v>45686.3</v>
          </cell>
          <cell r="CA170">
            <v>10</v>
          </cell>
          <cell r="CD170">
            <v>134</v>
          </cell>
          <cell r="CF170">
            <v>38396.1875</v>
          </cell>
          <cell r="CG170">
            <v>9.82</v>
          </cell>
          <cell r="CH170">
            <v>13.6</v>
          </cell>
          <cell r="CI170">
            <v>11.71</v>
          </cell>
          <cell r="CJ170">
            <v>9</v>
          </cell>
          <cell r="CK170">
            <v>10.5</v>
          </cell>
          <cell r="CL170">
            <v>6.75</v>
          </cell>
          <cell r="CM170">
            <v>11.99</v>
          </cell>
          <cell r="CN170">
            <v>12.5</v>
          </cell>
          <cell r="CO170">
            <v>15</v>
          </cell>
          <cell r="CP170">
            <v>13</v>
          </cell>
          <cell r="CQ170">
            <v>26.99</v>
          </cell>
          <cell r="CR170">
            <v>3.5</v>
          </cell>
          <cell r="CS170">
            <v>18</v>
          </cell>
          <cell r="CT170">
            <v>27</v>
          </cell>
          <cell r="CU170">
            <v>10</v>
          </cell>
          <cell r="CV170">
            <v>10</v>
          </cell>
          <cell r="CY170">
            <v>134</v>
          </cell>
        </row>
        <row r="171">
          <cell r="A171">
            <v>38426.625</v>
          </cell>
          <cell r="B171">
            <v>111.16769305079465</v>
          </cell>
          <cell r="C171">
            <v>126.88415300546448</v>
          </cell>
          <cell r="D171">
            <v>117.84864094488189</v>
          </cell>
          <cell r="E171">
            <v>115.74490285714286</v>
          </cell>
          <cell r="F171">
            <v>107.57797597597597</v>
          </cell>
          <cell r="G171">
            <v>105.93420286396183</v>
          </cell>
          <cell r="H171">
            <v>132.42425369299934</v>
          </cell>
          <cell r="I171">
            <v>159.80338596491228</v>
          </cell>
          <cell r="J171">
            <v>107.34974796747967</v>
          </cell>
          <cell r="K171">
            <v>130.77199999999999</v>
          </cell>
          <cell r="L171">
            <v>140.51039959839358</v>
          </cell>
          <cell r="M171">
            <v>115.88951945080092</v>
          </cell>
          <cell r="N171">
            <v>119.181</v>
          </cell>
          <cell r="R171">
            <v>135</v>
          </cell>
          <cell r="T171">
            <v>38426.625</v>
          </cell>
          <cell r="AN171" t="str">
            <v/>
          </cell>
          <cell r="AP171">
            <v>38426.625</v>
          </cell>
          <cell r="AQ171">
            <v>497.35971654000002</v>
          </cell>
          <cell r="AR171">
            <v>50.94</v>
          </cell>
          <cell r="AS171">
            <v>1.24</v>
          </cell>
          <cell r="AT171">
            <v>15.31</v>
          </cell>
          <cell r="AU171">
            <v>0.72399999999999998</v>
          </cell>
          <cell r="AV171">
            <v>25.335503960547602</v>
          </cell>
          <cell r="AW171">
            <v>0.6167260485096</v>
          </cell>
          <cell r="AX171">
            <v>7.6145772602274011</v>
          </cell>
          <cell r="AY171">
            <v>360.08843477495998</v>
          </cell>
          <cell r="AZ171">
            <v>10</v>
          </cell>
          <cell r="BA171">
            <v>10</v>
          </cell>
          <cell r="BB171">
            <v>10</v>
          </cell>
          <cell r="BC171">
            <v>10</v>
          </cell>
          <cell r="BD171">
            <v>10</v>
          </cell>
          <cell r="BE171">
            <v>10</v>
          </cell>
          <cell r="BF171">
            <v>2.4342363564978403E-2</v>
          </cell>
          <cell r="BI171">
            <v>135</v>
          </cell>
          <cell r="BK171">
            <v>38426.625</v>
          </cell>
          <cell r="BL171">
            <v>229199</v>
          </cell>
          <cell r="BM171">
            <v>194311</v>
          </cell>
          <cell r="BN171">
            <v>34888</v>
          </cell>
          <cell r="BO171">
            <v>483249.2</v>
          </cell>
          <cell r="BP171">
            <v>43030.6</v>
          </cell>
          <cell r="BQ171">
            <v>440218.6</v>
          </cell>
          <cell r="BR171">
            <v>220904.6</v>
          </cell>
          <cell r="BS171">
            <v>67750</v>
          </cell>
          <cell r="BT171">
            <v>151564</v>
          </cell>
          <cell r="BU171">
            <v>662716.19999999995</v>
          </cell>
          <cell r="BV171">
            <v>185598.4</v>
          </cell>
          <cell r="BW171">
            <v>430210.3</v>
          </cell>
          <cell r="BX171">
            <v>211976.3</v>
          </cell>
          <cell r="BY171">
            <v>139141</v>
          </cell>
          <cell r="BZ171">
            <v>49732</v>
          </cell>
          <cell r="CA171">
            <v>10</v>
          </cell>
          <cell r="CD171">
            <v>135</v>
          </cell>
          <cell r="CF171">
            <v>38426.625</v>
          </cell>
          <cell r="CG171">
            <v>9.82</v>
          </cell>
          <cell r="CH171">
            <v>13.4</v>
          </cell>
          <cell r="CI171">
            <v>11.61</v>
          </cell>
          <cell r="CJ171">
            <v>9</v>
          </cell>
          <cell r="CK171">
            <v>10.5</v>
          </cell>
          <cell r="CL171">
            <v>5.25</v>
          </cell>
          <cell r="CM171">
            <v>15.5</v>
          </cell>
          <cell r="CN171">
            <v>12.5</v>
          </cell>
          <cell r="CO171">
            <v>15</v>
          </cell>
          <cell r="CP171">
            <v>13</v>
          </cell>
          <cell r="CQ171">
            <v>21</v>
          </cell>
          <cell r="CR171">
            <v>3.5</v>
          </cell>
          <cell r="CS171">
            <v>18</v>
          </cell>
          <cell r="CT171">
            <v>27</v>
          </cell>
          <cell r="CU171">
            <v>10</v>
          </cell>
          <cell r="CV171">
            <v>10</v>
          </cell>
          <cell r="CY171">
            <v>135</v>
          </cell>
        </row>
        <row r="172">
          <cell r="A172">
            <v>38457.0625</v>
          </cell>
          <cell r="B172">
            <v>117.13580274228737</v>
          </cell>
          <cell r="C172">
            <v>127.99207650273223</v>
          </cell>
          <cell r="D172">
            <v>117.84864094488189</v>
          </cell>
          <cell r="E172">
            <v>113.4921219047619</v>
          </cell>
          <cell r="F172">
            <v>107.57797597597597</v>
          </cell>
          <cell r="G172">
            <v>105.93420286396183</v>
          </cell>
          <cell r="H172">
            <v>134.37754849068722</v>
          </cell>
          <cell r="I172">
            <v>159.80338596491228</v>
          </cell>
          <cell r="J172">
            <v>107.34974796747967</v>
          </cell>
          <cell r="K172">
            <v>130.77199999999999</v>
          </cell>
          <cell r="L172">
            <v>140.19671485943778</v>
          </cell>
          <cell r="M172">
            <v>115.88951945080092</v>
          </cell>
          <cell r="N172">
            <v>121.15300000000001</v>
          </cell>
          <cell r="R172">
            <v>136</v>
          </cell>
          <cell r="T172">
            <v>38457.0625</v>
          </cell>
          <cell r="AN172" t="str">
            <v/>
          </cell>
          <cell r="AP172">
            <v>38457.0625</v>
          </cell>
          <cell r="AQ172">
            <v>507.02196314999998</v>
          </cell>
          <cell r="AR172">
            <v>50.64</v>
          </cell>
          <cell r="AS172">
            <v>1.256</v>
          </cell>
          <cell r="AT172">
            <v>15.14</v>
          </cell>
          <cell r="AU172">
            <v>0.67200000000000004</v>
          </cell>
          <cell r="AV172">
            <v>25.675592213915998</v>
          </cell>
          <cell r="AW172">
            <v>0.63681958571639996</v>
          </cell>
          <cell r="AX172">
            <v>7.676312522091</v>
          </cell>
          <cell r="AY172">
            <v>340.7187592368</v>
          </cell>
          <cell r="AZ172">
            <v>10</v>
          </cell>
          <cell r="BA172">
            <v>10</v>
          </cell>
          <cell r="BB172">
            <v>10</v>
          </cell>
          <cell r="BC172">
            <v>10</v>
          </cell>
          <cell r="BD172">
            <v>10</v>
          </cell>
          <cell r="BE172">
            <v>10</v>
          </cell>
          <cell r="BF172">
            <v>2.4802527646129544E-2</v>
          </cell>
          <cell r="BI172">
            <v>136</v>
          </cell>
          <cell r="BK172">
            <v>38457.0625</v>
          </cell>
          <cell r="BL172">
            <v>244813</v>
          </cell>
          <cell r="BM172">
            <v>206998</v>
          </cell>
          <cell r="BN172">
            <v>37815</v>
          </cell>
          <cell r="BO172">
            <v>468197.7</v>
          </cell>
          <cell r="BP172">
            <v>37453.800000000003</v>
          </cell>
          <cell r="BQ172">
            <v>430743.9</v>
          </cell>
          <cell r="BR172">
            <v>209368.9</v>
          </cell>
          <cell r="BS172">
            <v>67750</v>
          </cell>
          <cell r="BT172">
            <v>153625</v>
          </cell>
          <cell r="BU172">
            <v>661887.19999999995</v>
          </cell>
          <cell r="BV172">
            <v>183702.1</v>
          </cell>
          <cell r="BW172">
            <v>430229.3</v>
          </cell>
          <cell r="BX172">
            <v>217385.3</v>
          </cell>
          <cell r="BY172">
            <v>131741</v>
          </cell>
          <cell r="BZ172">
            <v>51123.5</v>
          </cell>
          <cell r="CA172">
            <v>10</v>
          </cell>
          <cell r="CD172">
            <v>136</v>
          </cell>
          <cell r="CF172">
            <v>38457.0625</v>
          </cell>
          <cell r="CG172">
            <v>9.82</v>
          </cell>
          <cell r="CH172">
            <v>13.4</v>
          </cell>
          <cell r="CI172">
            <v>11.61</v>
          </cell>
          <cell r="CJ172">
            <v>9</v>
          </cell>
          <cell r="CK172">
            <v>10.5</v>
          </cell>
          <cell r="CL172">
            <v>6.75</v>
          </cell>
          <cell r="CM172">
            <v>15.5</v>
          </cell>
          <cell r="CN172">
            <v>12.5</v>
          </cell>
          <cell r="CO172">
            <v>15</v>
          </cell>
          <cell r="CP172">
            <v>13</v>
          </cell>
          <cell r="CQ172">
            <v>26.99</v>
          </cell>
          <cell r="CR172">
            <v>3.5</v>
          </cell>
          <cell r="CS172">
            <v>18</v>
          </cell>
          <cell r="CT172">
            <v>27</v>
          </cell>
          <cell r="CU172">
            <v>10</v>
          </cell>
          <cell r="CV172">
            <v>10</v>
          </cell>
          <cell r="CY172">
            <v>136</v>
          </cell>
        </row>
        <row r="173">
          <cell r="A173">
            <v>38487.5</v>
          </cell>
          <cell r="B173">
            <v>123.53988999688377</v>
          </cell>
          <cell r="C173">
            <v>126.68428961748633</v>
          </cell>
          <cell r="D173">
            <v>117.84864094488189</v>
          </cell>
          <cell r="E173">
            <v>114.58613142857142</v>
          </cell>
          <cell r="F173">
            <v>107.57797597597597</v>
          </cell>
          <cell r="G173">
            <v>105.93420286396183</v>
          </cell>
          <cell r="H173">
            <v>136.39400321130378</v>
          </cell>
          <cell r="I173">
            <v>159.80338596491228</v>
          </cell>
          <cell r="J173">
            <v>107.37241463414635</v>
          </cell>
          <cell r="K173">
            <v>130.77199999999999</v>
          </cell>
          <cell r="L173">
            <v>140.06584638554219</v>
          </cell>
          <cell r="M173">
            <v>115.88951945080092</v>
          </cell>
          <cell r="N173">
            <v>123.601</v>
          </cell>
          <cell r="R173">
            <v>137</v>
          </cell>
          <cell r="T173">
            <v>38487.5</v>
          </cell>
          <cell r="AN173" t="str">
            <v/>
          </cell>
          <cell r="AP173">
            <v>38487.5</v>
          </cell>
          <cell r="AQ173">
            <v>516.84163943999999</v>
          </cell>
          <cell r="AR173">
            <v>47.83</v>
          </cell>
          <cell r="AS173">
            <v>1.2310000000000001</v>
          </cell>
          <cell r="AT173">
            <v>14.88</v>
          </cell>
          <cell r="AU173">
            <v>0.67800000000000005</v>
          </cell>
          <cell r="AV173">
            <v>24.720535614415198</v>
          </cell>
          <cell r="AW173">
            <v>0.63623205815063999</v>
          </cell>
          <cell r="AX173">
            <v>7.6906035948672002</v>
          </cell>
          <cell r="AY173">
            <v>350.41863154032001</v>
          </cell>
          <cell r="AZ173">
            <v>10</v>
          </cell>
          <cell r="BA173">
            <v>10</v>
          </cell>
          <cell r="BB173">
            <v>10</v>
          </cell>
          <cell r="BC173">
            <v>10</v>
          </cell>
          <cell r="BD173">
            <v>10</v>
          </cell>
          <cell r="BE173">
            <v>10</v>
          </cell>
          <cell r="BF173">
            <v>2.5736985155759985E-2</v>
          </cell>
          <cell r="BI173">
            <v>137</v>
          </cell>
          <cell r="BK173">
            <v>38487.5</v>
          </cell>
          <cell r="BL173">
            <v>259436.6</v>
          </cell>
          <cell r="BM173">
            <v>224374.8</v>
          </cell>
          <cell r="BN173">
            <v>35062</v>
          </cell>
          <cell r="BO173">
            <v>439816.8</v>
          </cell>
          <cell r="BP173">
            <v>7519.1</v>
          </cell>
          <cell r="BQ173">
            <v>432297.7</v>
          </cell>
          <cell r="BR173">
            <v>214635.7</v>
          </cell>
          <cell r="BS173">
            <v>65000</v>
          </cell>
          <cell r="BT173">
            <v>152662</v>
          </cell>
          <cell r="BU173">
            <v>647216.80000000005</v>
          </cell>
          <cell r="BV173">
            <v>177620</v>
          </cell>
          <cell r="BW173">
            <v>420249.59999999998</v>
          </cell>
          <cell r="BX173">
            <v>203394.6</v>
          </cell>
          <cell r="BY173">
            <v>134197</v>
          </cell>
          <cell r="BZ173">
            <v>52036.6</v>
          </cell>
          <cell r="CA173">
            <v>10</v>
          </cell>
          <cell r="CD173">
            <v>137</v>
          </cell>
          <cell r="CF173">
            <v>38487.5</v>
          </cell>
          <cell r="CG173">
            <v>9.8814285714285699</v>
          </cell>
          <cell r="CH173">
            <v>13.4</v>
          </cell>
          <cell r="CI173">
            <v>11.640714285714285</v>
          </cell>
          <cell r="CL173">
            <v>6.75</v>
          </cell>
          <cell r="CM173">
            <v>15.5</v>
          </cell>
          <cell r="CO173">
            <v>15</v>
          </cell>
          <cell r="CQ173">
            <v>26.99</v>
          </cell>
          <cell r="CR173">
            <v>3.5</v>
          </cell>
          <cell r="CU173">
            <v>10</v>
          </cell>
          <cell r="CV173">
            <v>10</v>
          </cell>
          <cell r="CY173">
            <v>137</v>
          </cell>
        </row>
        <row r="174">
          <cell r="A174">
            <v>38517.9375</v>
          </cell>
          <cell r="B174">
            <v>133.984347460268</v>
          </cell>
          <cell r="C174">
            <v>131.07792349726776</v>
          </cell>
          <cell r="D174">
            <v>117.84864094488189</v>
          </cell>
          <cell r="E174">
            <v>117.5669238095238</v>
          </cell>
          <cell r="F174">
            <v>107.57797597597597</v>
          </cell>
          <cell r="G174">
            <v>105.93420286396183</v>
          </cell>
          <cell r="H174">
            <v>137.54487026332691</v>
          </cell>
          <cell r="I174">
            <v>159.80338596491228</v>
          </cell>
          <cell r="J174">
            <v>107.37241463414635</v>
          </cell>
          <cell r="K174">
            <v>130.77199999999999</v>
          </cell>
          <cell r="L174">
            <v>139.8320813253012</v>
          </cell>
          <cell r="M174">
            <v>115.88951945080092</v>
          </cell>
          <cell r="N174">
            <v>127.5</v>
          </cell>
          <cell r="R174">
            <v>138</v>
          </cell>
          <cell r="T174">
            <v>38517.9375</v>
          </cell>
          <cell r="AN174" t="str">
            <v/>
          </cell>
          <cell r="AP174">
            <v>38517.9375</v>
          </cell>
          <cell r="AQ174">
            <v>539.24913056000003</v>
          </cell>
          <cell r="AR174">
            <v>53.89</v>
          </cell>
          <cell r="AS174">
            <v>1.1904999999999999</v>
          </cell>
          <cell r="AT174">
            <v>15.192</v>
          </cell>
          <cell r="AU174">
            <v>0.66600000000000004</v>
          </cell>
          <cell r="AV174">
            <v>29.060135645878404</v>
          </cell>
          <cell r="AW174">
            <v>0.64197608993167998</v>
          </cell>
          <cell r="AX174">
            <v>8.19227279146752</v>
          </cell>
          <cell r="AY174">
            <v>359.13992095296004</v>
          </cell>
          <cell r="AZ174">
            <v>10</v>
          </cell>
          <cell r="BA174">
            <v>10</v>
          </cell>
          <cell r="BB174">
            <v>10</v>
          </cell>
          <cell r="BC174">
            <v>10</v>
          </cell>
          <cell r="BD174">
            <v>10</v>
          </cell>
          <cell r="BE174">
            <v>10</v>
          </cell>
          <cell r="BF174">
            <v>2.2091297086658003E-2</v>
          </cell>
          <cell r="BI174">
            <v>138</v>
          </cell>
          <cell r="BK174">
            <v>38517.9375</v>
          </cell>
          <cell r="BL174">
            <v>218462.4</v>
          </cell>
          <cell r="BM174">
            <v>206505.4</v>
          </cell>
          <cell r="BN174">
            <v>11957</v>
          </cell>
          <cell r="BO174">
            <v>459574.3</v>
          </cell>
          <cell r="BP174">
            <v>30854.1</v>
          </cell>
          <cell r="BQ174">
            <v>428720.2</v>
          </cell>
          <cell r="BR174">
            <v>209539.20000000001</v>
          </cell>
          <cell r="BS174">
            <v>65000</v>
          </cell>
          <cell r="BT174">
            <v>154181</v>
          </cell>
          <cell r="BU174">
            <v>635402.6</v>
          </cell>
          <cell r="BV174">
            <v>171540.6</v>
          </cell>
          <cell r="BW174">
            <v>416047</v>
          </cell>
          <cell r="BX174">
            <v>198439</v>
          </cell>
          <cell r="BY174">
            <v>133346</v>
          </cell>
          <cell r="BZ174">
            <v>42634.1</v>
          </cell>
          <cell r="CA174">
            <v>10</v>
          </cell>
          <cell r="CD174">
            <v>138</v>
          </cell>
          <cell r="CF174">
            <v>38517.9375</v>
          </cell>
          <cell r="CG174">
            <v>9.8814285714285699</v>
          </cell>
          <cell r="CH174">
            <v>13.4</v>
          </cell>
          <cell r="CI174">
            <v>11.640714285714285</v>
          </cell>
          <cell r="CJ174">
            <v>9</v>
          </cell>
          <cell r="CK174">
            <v>10.92</v>
          </cell>
          <cell r="CL174">
            <v>6.75</v>
          </cell>
          <cell r="CM174">
            <v>15.5</v>
          </cell>
          <cell r="CN174">
            <v>11.5</v>
          </cell>
          <cell r="CO174">
            <v>15</v>
          </cell>
          <cell r="CP174">
            <v>12</v>
          </cell>
          <cell r="CQ174">
            <v>26.99</v>
          </cell>
          <cell r="CR174">
            <v>3.5</v>
          </cell>
          <cell r="CS174">
            <v>18</v>
          </cell>
          <cell r="CT174">
            <v>27</v>
          </cell>
          <cell r="CU174">
            <v>10</v>
          </cell>
          <cell r="CV174">
            <v>10</v>
          </cell>
          <cell r="CY174">
            <v>138</v>
          </cell>
        </row>
        <row r="175">
          <cell r="A175">
            <v>38548.375</v>
          </cell>
          <cell r="B175">
            <v>129.96396073543158</v>
          </cell>
          <cell r="C175">
            <v>131.11275956284155</v>
          </cell>
          <cell r="D175">
            <v>117.84864094488189</v>
          </cell>
          <cell r="E175">
            <v>113.92851904761903</v>
          </cell>
          <cell r="F175">
            <v>107.57797597597597</v>
          </cell>
          <cell r="G175">
            <v>105.93420286396183</v>
          </cell>
          <cell r="H175">
            <v>140.3751978163134</v>
          </cell>
          <cell r="I175">
            <v>159.80338596491228</v>
          </cell>
          <cell r="J175">
            <v>107.34974796747967</v>
          </cell>
          <cell r="K175">
            <v>130.77199999999999</v>
          </cell>
          <cell r="L175">
            <v>140.39851204819277</v>
          </cell>
          <cell r="M175">
            <v>115.88951945080092</v>
          </cell>
          <cell r="N175">
            <v>126.327</v>
          </cell>
          <cell r="R175">
            <v>139</v>
          </cell>
          <cell r="T175">
            <v>38548.375</v>
          </cell>
          <cell r="AN175" t="str">
            <v/>
          </cell>
          <cell r="AP175">
            <v>38548.375</v>
          </cell>
          <cell r="AQ175">
            <v>544.97563517000003</v>
          </cell>
          <cell r="AR175">
            <v>56.37</v>
          </cell>
          <cell r="AS175">
            <v>1.212</v>
          </cell>
          <cell r="AT175">
            <v>14.974</v>
          </cell>
          <cell r="AU175">
            <v>0.61699999999999999</v>
          </cell>
          <cell r="AV175">
            <v>30.720276554532902</v>
          </cell>
          <cell r="AW175">
            <v>0.66051046982604</v>
          </cell>
          <cell r="AX175">
            <v>8.1604651610355798</v>
          </cell>
          <cell r="AY175">
            <v>336.24996689989001</v>
          </cell>
          <cell r="AZ175">
            <v>10</v>
          </cell>
          <cell r="BA175">
            <v>10</v>
          </cell>
          <cell r="BB175">
            <v>10</v>
          </cell>
          <cell r="BC175">
            <v>10</v>
          </cell>
          <cell r="BD175">
            <v>10</v>
          </cell>
          <cell r="BE175">
            <v>10</v>
          </cell>
          <cell r="BF175">
            <v>2.150079829696647E-2</v>
          </cell>
          <cell r="BI175">
            <v>139</v>
          </cell>
          <cell r="BK175">
            <v>38548.375</v>
          </cell>
          <cell r="BL175">
            <v>192763.1</v>
          </cell>
          <cell r="BM175">
            <v>171298.1</v>
          </cell>
          <cell r="BN175">
            <v>21465</v>
          </cell>
          <cell r="BO175">
            <v>450335.1</v>
          </cell>
          <cell r="BP175">
            <v>19321.099999999999</v>
          </cell>
          <cell r="BQ175">
            <v>431014</v>
          </cell>
          <cell r="BR175">
            <v>206348</v>
          </cell>
          <cell r="BS175">
            <v>63000</v>
          </cell>
          <cell r="BT175">
            <v>161666</v>
          </cell>
          <cell r="BU175">
            <v>603137.30000000005</v>
          </cell>
          <cell r="BV175">
            <v>150302.9</v>
          </cell>
          <cell r="BW175">
            <v>405438.7</v>
          </cell>
          <cell r="BX175">
            <v>187688.7</v>
          </cell>
          <cell r="BY175">
            <v>132487</v>
          </cell>
          <cell r="BZ175">
            <v>39960.9</v>
          </cell>
          <cell r="CA175">
            <v>10</v>
          </cell>
          <cell r="CD175">
            <v>139</v>
          </cell>
          <cell r="CF175">
            <v>38548.375</v>
          </cell>
          <cell r="CG175">
            <v>9.8814285714285699</v>
          </cell>
          <cell r="CH175">
            <v>13.4</v>
          </cell>
          <cell r="CI175">
            <v>11.640714285714285</v>
          </cell>
          <cell r="CJ175">
            <v>9</v>
          </cell>
          <cell r="CK175">
            <v>10.92</v>
          </cell>
          <cell r="CL175">
            <v>6.75</v>
          </cell>
          <cell r="CM175">
            <v>15.5</v>
          </cell>
          <cell r="CN175">
            <v>11.5</v>
          </cell>
          <cell r="CO175">
            <v>15</v>
          </cell>
          <cell r="CP175">
            <v>12</v>
          </cell>
          <cell r="CQ175">
            <v>26.99</v>
          </cell>
          <cell r="CR175">
            <v>3.5</v>
          </cell>
          <cell r="CS175">
            <v>18</v>
          </cell>
          <cell r="CT175">
            <v>27</v>
          </cell>
          <cell r="CU175">
            <v>10</v>
          </cell>
          <cell r="CV175">
            <v>10</v>
          </cell>
          <cell r="CY175">
            <v>139</v>
          </cell>
        </row>
        <row r="176">
          <cell r="A176">
            <v>38578.8125</v>
          </cell>
          <cell r="B176">
            <v>132.54262792147085</v>
          </cell>
          <cell r="C176">
            <v>127.11822404371586</v>
          </cell>
          <cell r="D176">
            <v>117.84864094488189</v>
          </cell>
          <cell r="E176">
            <v>115.66677523809524</v>
          </cell>
          <cell r="F176">
            <v>107.57797597597597</v>
          </cell>
          <cell r="G176">
            <v>105.93420286396183</v>
          </cell>
          <cell r="H176">
            <v>144.64167180475272</v>
          </cell>
          <cell r="I176">
            <v>159.80338596491228</v>
          </cell>
          <cell r="J176">
            <v>107.37241463414635</v>
          </cell>
          <cell r="K176">
            <v>130.77199999999999</v>
          </cell>
          <cell r="L176">
            <v>140.4944156626506</v>
          </cell>
          <cell r="M176">
            <v>115.88951945080092</v>
          </cell>
          <cell r="N176">
            <v>127.938</v>
          </cell>
          <cell r="R176">
            <v>140</v>
          </cell>
          <cell r="T176">
            <v>38578.8125</v>
          </cell>
          <cell r="AN176" t="str">
            <v/>
          </cell>
          <cell r="AP176">
            <v>38578.8125</v>
          </cell>
          <cell r="AQ176">
            <v>533.62101949999999</v>
          </cell>
          <cell r="AR176">
            <v>61.89</v>
          </cell>
          <cell r="AS176">
            <v>1.1919999999999999</v>
          </cell>
          <cell r="AT176">
            <v>15.446</v>
          </cell>
          <cell r="AU176">
            <v>0.628</v>
          </cell>
          <cell r="AV176">
            <v>33.025804896855</v>
          </cell>
          <cell r="AW176">
            <v>0.63607625524400002</v>
          </cell>
          <cell r="AX176">
            <v>8.2423102671969986</v>
          </cell>
          <cell r="AY176">
            <v>335.11400024599999</v>
          </cell>
          <cell r="AZ176">
            <v>10</v>
          </cell>
          <cell r="BA176">
            <v>10</v>
          </cell>
          <cell r="BB176">
            <v>10</v>
          </cell>
          <cell r="BC176">
            <v>10</v>
          </cell>
          <cell r="BD176">
            <v>10</v>
          </cell>
          <cell r="BE176">
            <v>10</v>
          </cell>
          <cell r="BF176">
            <v>1.9259977379221201E-2</v>
          </cell>
          <cell r="BI176">
            <v>140</v>
          </cell>
          <cell r="BK176">
            <v>38578.8125</v>
          </cell>
          <cell r="BL176">
            <v>182468.7</v>
          </cell>
          <cell r="BM176">
            <v>164967.70000000001</v>
          </cell>
          <cell r="BN176">
            <v>17501</v>
          </cell>
          <cell r="BO176">
            <v>462546.6</v>
          </cell>
          <cell r="BP176">
            <v>20707.5</v>
          </cell>
          <cell r="BQ176">
            <v>441839.1</v>
          </cell>
          <cell r="BR176">
            <v>230813.1</v>
          </cell>
          <cell r="BS176">
            <v>53000</v>
          </cell>
          <cell r="BT176">
            <v>158026</v>
          </cell>
          <cell r="BU176">
            <v>597837.19999999995</v>
          </cell>
          <cell r="BV176">
            <v>136100</v>
          </cell>
          <cell r="BW176">
            <v>414732.6</v>
          </cell>
          <cell r="BX176">
            <v>200576.6</v>
          </cell>
          <cell r="BY176">
            <v>129893</v>
          </cell>
          <cell r="BZ176">
            <v>47178.1</v>
          </cell>
          <cell r="CA176">
            <v>10</v>
          </cell>
          <cell r="CD176">
            <v>140</v>
          </cell>
          <cell r="CF176">
            <v>38578.8125</v>
          </cell>
          <cell r="CG176">
            <v>9.8814285714285699</v>
          </cell>
          <cell r="CH176">
            <v>13.4</v>
          </cell>
          <cell r="CI176">
            <v>11.640714285714285</v>
          </cell>
          <cell r="CJ176">
            <v>9</v>
          </cell>
          <cell r="CK176">
            <v>10.92</v>
          </cell>
          <cell r="CL176">
            <v>6.75</v>
          </cell>
          <cell r="CM176">
            <v>15.5</v>
          </cell>
          <cell r="CN176">
            <v>11.5</v>
          </cell>
          <cell r="CO176">
            <v>15</v>
          </cell>
          <cell r="CP176">
            <v>12</v>
          </cell>
          <cell r="CQ176">
            <v>26.99</v>
          </cell>
          <cell r="CR176">
            <v>3.5</v>
          </cell>
          <cell r="CS176">
            <v>18</v>
          </cell>
          <cell r="CT176">
            <v>27</v>
          </cell>
          <cell r="CU176">
            <v>10</v>
          </cell>
          <cell r="CV176">
            <v>10</v>
          </cell>
          <cell r="CY176">
            <v>140</v>
          </cell>
        </row>
        <row r="177">
          <cell r="A177">
            <v>38609.25</v>
          </cell>
          <cell r="B177">
            <v>121.82838797133066</v>
          </cell>
          <cell r="C177">
            <v>129.72204918032787</v>
          </cell>
          <cell r="D177">
            <v>117.84864094488189</v>
          </cell>
          <cell r="E177">
            <v>115.97034666666667</v>
          </cell>
          <cell r="F177">
            <v>107.57797597597597</v>
          </cell>
          <cell r="G177">
            <v>105.94809307875897</v>
          </cell>
          <cell r="H177">
            <v>147.36051573538856</v>
          </cell>
          <cell r="I177">
            <v>159.80338596491228</v>
          </cell>
          <cell r="J177">
            <v>107.34974796747967</v>
          </cell>
          <cell r="K177">
            <v>130.77199999999999</v>
          </cell>
          <cell r="L177">
            <v>140.30360742971888</v>
          </cell>
          <cell r="M177">
            <v>115.88951945080092</v>
          </cell>
          <cell r="N177">
            <v>124.983</v>
          </cell>
          <cell r="R177">
            <v>141</v>
          </cell>
          <cell r="T177">
            <v>38609.25</v>
          </cell>
          <cell r="AN177" t="str">
            <v/>
          </cell>
          <cell r="AP177">
            <v>38609.25</v>
          </cell>
          <cell r="AQ177">
            <v>535.29370985000003</v>
          </cell>
          <cell r="AR177">
            <v>61.69</v>
          </cell>
          <cell r="AS177">
            <v>1.2130000000000001</v>
          </cell>
          <cell r="AT177">
            <v>16.088000000000001</v>
          </cell>
          <cell r="AU177">
            <v>0.65600000000000003</v>
          </cell>
          <cell r="AV177">
            <v>33.0222689606465</v>
          </cell>
          <cell r="AW177">
            <v>0.64931127004805012</v>
          </cell>
          <cell r="AX177">
            <v>8.6118052040668012</v>
          </cell>
          <cell r="AY177">
            <v>351.15267366160003</v>
          </cell>
          <cell r="AZ177">
            <v>10</v>
          </cell>
          <cell r="BA177">
            <v>10</v>
          </cell>
          <cell r="BB177">
            <v>10</v>
          </cell>
          <cell r="BC177">
            <v>10</v>
          </cell>
          <cell r="BD177">
            <v>10</v>
          </cell>
          <cell r="BE177">
            <v>10</v>
          </cell>
          <cell r="BF177">
            <v>1.9662830280434435E-2</v>
          </cell>
          <cell r="BI177">
            <v>141</v>
          </cell>
          <cell r="BK177">
            <v>38609.25</v>
          </cell>
          <cell r="BL177">
            <v>173139.7</v>
          </cell>
          <cell r="BM177">
            <v>168224.7</v>
          </cell>
          <cell r="BN177">
            <v>49015</v>
          </cell>
          <cell r="BO177">
            <v>452520.1</v>
          </cell>
          <cell r="BP177">
            <v>6207.5</v>
          </cell>
          <cell r="BQ177">
            <v>446312.6</v>
          </cell>
          <cell r="BR177">
            <v>236716.6</v>
          </cell>
          <cell r="BS177">
            <v>49200</v>
          </cell>
          <cell r="BT177">
            <v>160396</v>
          </cell>
          <cell r="BU177">
            <v>578681.1</v>
          </cell>
          <cell r="BV177">
            <v>132065.29999999999</v>
          </cell>
          <cell r="BW177">
            <v>400166.6</v>
          </cell>
          <cell r="BX177">
            <v>193062.6</v>
          </cell>
          <cell r="BY177">
            <v>124920</v>
          </cell>
          <cell r="BZ177">
            <v>46978.7</v>
          </cell>
          <cell r="CA177">
            <v>10</v>
          </cell>
          <cell r="CD177">
            <v>141</v>
          </cell>
          <cell r="CF177">
            <v>38609.25</v>
          </cell>
          <cell r="CG177">
            <v>9.9942857142857093</v>
          </cell>
          <cell r="CH177">
            <v>13.4</v>
          </cell>
          <cell r="CI177">
            <v>11.697142857142854</v>
          </cell>
          <cell r="CJ177">
            <v>9</v>
          </cell>
          <cell r="CK177">
            <v>10.92</v>
          </cell>
          <cell r="CL177">
            <v>6.75</v>
          </cell>
          <cell r="CM177">
            <v>15.5</v>
          </cell>
          <cell r="CN177">
            <v>11.5</v>
          </cell>
          <cell r="CO177">
            <v>15</v>
          </cell>
          <cell r="CP177">
            <v>12</v>
          </cell>
          <cell r="CQ177">
            <v>26.99</v>
          </cell>
          <cell r="CR177">
            <v>3.5</v>
          </cell>
          <cell r="CS177">
            <v>18</v>
          </cell>
          <cell r="CT177">
            <v>27</v>
          </cell>
          <cell r="CU177">
            <v>10</v>
          </cell>
          <cell r="CV177">
            <v>10</v>
          </cell>
          <cell r="CY177">
            <v>141</v>
          </cell>
        </row>
        <row r="178">
          <cell r="A178">
            <v>38639.6875</v>
          </cell>
          <cell r="B178">
            <v>131.52002306014336</v>
          </cell>
          <cell r="C178">
            <v>126.29868852459016</v>
          </cell>
          <cell r="D178">
            <v>117.82765669291337</v>
          </cell>
          <cell r="E178">
            <v>115.23489428571428</v>
          </cell>
          <cell r="F178">
            <v>107.57797597597597</v>
          </cell>
          <cell r="G178">
            <v>107.06489976133649</v>
          </cell>
          <cell r="H178">
            <v>148.38972575465638</v>
          </cell>
          <cell r="I178">
            <v>159.80338596491228</v>
          </cell>
          <cell r="J178">
            <v>107.34974796747967</v>
          </cell>
          <cell r="K178">
            <v>135.12299999999999</v>
          </cell>
          <cell r="L178">
            <v>140.79511345381525</v>
          </cell>
          <cell r="M178">
            <v>115.88951945080092</v>
          </cell>
          <cell r="N178">
            <v>128.30000000000001</v>
          </cell>
          <cell r="R178">
            <v>142</v>
          </cell>
          <cell r="T178">
            <v>38639.6875</v>
          </cell>
          <cell r="AN178" t="str">
            <v/>
          </cell>
          <cell r="AP178">
            <v>38639.6875</v>
          </cell>
          <cell r="AQ178">
            <v>545.98580894999998</v>
          </cell>
          <cell r="AR178">
            <v>58.19</v>
          </cell>
          <cell r="AS178">
            <v>1.31</v>
          </cell>
          <cell r="AT178">
            <v>16.574999999999999</v>
          </cell>
          <cell r="AU178">
            <v>0.66900000000000004</v>
          </cell>
          <cell r="AV178">
            <v>31.770914222800496</v>
          </cell>
          <cell r="AW178">
            <v>0.71524140972450001</v>
          </cell>
          <cell r="AX178">
            <v>9.0497147833462499</v>
          </cell>
          <cell r="AY178">
            <v>365.26450618755001</v>
          </cell>
          <cell r="AZ178">
            <v>10</v>
          </cell>
          <cell r="BA178">
            <v>10</v>
          </cell>
          <cell r="BB178">
            <v>10</v>
          </cell>
          <cell r="BC178">
            <v>10</v>
          </cell>
          <cell r="BD178">
            <v>10</v>
          </cell>
          <cell r="BE178">
            <v>10</v>
          </cell>
          <cell r="BF178">
            <v>2.2512459185427054E-2</v>
          </cell>
          <cell r="BI178">
            <v>142</v>
          </cell>
          <cell r="BK178">
            <v>38639.6875</v>
          </cell>
          <cell r="BL178">
            <v>184139.3</v>
          </cell>
          <cell r="BM178">
            <v>172672.3</v>
          </cell>
          <cell r="BN178">
            <v>11467</v>
          </cell>
          <cell r="BO178">
            <v>446913.1</v>
          </cell>
          <cell r="BP178">
            <v>1953.2</v>
          </cell>
          <cell r="BQ178">
            <v>444959.9</v>
          </cell>
          <cell r="BR178">
            <v>237797.9</v>
          </cell>
          <cell r="BS178">
            <v>46700</v>
          </cell>
          <cell r="BT178">
            <v>160462</v>
          </cell>
          <cell r="BU178">
            <v>574527.4</v>
          </cell>
          <cell r="BV178">
            <v>136113</v>
          </cell>
          <cell r="BW178">
            <v>392998.1</v>
          </cell>
          <cell r="BX178">
            <v>188642.1</v>
          </cell>
          <cell r="BY178">
            <v>122263</v>
          </cell>
          <cell r="BZ178">
            <v>56525</v>
          </cell>
          <cell r="CA178">
            <v>10</v>
          </cell>
          <cell r="CD178">
            <v>142</v>
          </cell>
          <cell r="CF178">
            <v>38639.6875</v>
          </cell>
          <cell r="CG178">
            <v>9.8214285714285694</v>
          </cell>
          <cell r="CH178">
            <v>13.6</v>
          </cell>
          <cell r="CI178">
            <v>11.710714285714285</v>
          </cell>
          <cell r="CJ178">
            <v>9</v>
          </cell>
          <cell r="CK178">
            <v>10.92</v>
          </cell>
          <cell r="CL178">
            <v>6.75</v>
          </cell>
          <cell r="CM178">
            <v>15.5</v>
          </cell>
          <cell r="CN178">
            <v>11.5</v>
          </cell>
          <cell r="CO178">
            <v>15</v>
          </cell>
          <cell r="CP178">
            <v>12</v>
          </cell>
          <cell r="CQ178">
            <v>21</v>
          </cell>
          <cell r="CR178">
            <v>3.5</v>
          </cell>
          <cell r="CS178">
            <v>18</v>
          </cell>
          <cell r="CT178">
            <v>27</v>
          </cell>
          <cell r="CU178">
            <v>10</v>
          </cell>
          <cell r="CV178">
            <v>10</v>
          </cell>
          <cell r="CY178">
            <v>142</v>
          </cell>
        </row>
        <row r="179">
          <cell r="A179">
            <v>38670.125</v>
          </cell>
          <cell r="B179">
            <v>122.14241040822687</v>
          </cell>
          <cell r="C179">
            <v>126.53830601092898</v>
          </cell>
          <cell r="D179">
            <v>117.84864094488189</v>
          </cell>
          <cell r="E179">
            <v>117.92006285714287</v>
          </cell>
          <cell r="F179">
            <v>107.14699249249249</v>
          </cell>
          <cell r="G179">
            <v>107.01030310262529</v>
          </cell>
          <cell r="H179">
            <v>147.63858895311498</v>
          </cell>
          <cell r="I179">
            <v>159.80338596491228</v>
          </cell>
          <cell r="J179">
            <v>107.34974796747967</v>
          </cell>
          <cell r="K179">
            <v>136.68</v>
          </cell>
          <cell r="L179">
            <v>140.79611244979918</v>
          </cell>
          <cell r="M179">
            <v>115.88951945080092</v>
          </cell>
          <cell r="N179">
            <v>125.482</v>
          </cell>
          <cell r="R179">
            <v>143</v>
          </cell>
          <cell r="T179">
            <v>38670.125</v>
          </cell>
          <cell r="AN179" t="str">
            <v/>
          </cell>
          <cell r="AP179">
            <v>38670.125</v>
          </cell>
          <cell r="AQ179">
            <v>556.61231235000002</v>
          </cell>
          <cell r="AR179">
            <v>55.04</v>
          </cell>
          <cell r="AS179">
            <v>1.2529999999999999</v>
          </cell>
          <cell r="AT179">
            <v>16.82</v>
          </cell>
          <cell r="AU179">
            <v>0.68</v>
          </cell>
          <cell r="AV179">
            <v>30.635941671744</v>
          </cell>
          <cell r="AW179">
            <v>0.69743522737454999</v>
          </cell>
          <cell r="AX179">
            <v>9.3622190937270009</v>
          </cell>
          <cell r="AY179">
            <v>378.49637239800006</v>
          </cell>
          <cell r="AZ179">
            <v>10</v>
          </cell>
          <cell r="BA179">
            <v>10</v>
          </cell>
          <cell r="BB179">
            <v>10</v>
          </cell>
          <cell r="BC179">
            <v>10</v>
          </cell>
          <cell r="BD179">
            <v>10</v>
          </cell>
          <cell r="BE179">
            <v>10</v>
          </cell>
          <cell r="BF179">
            <v>2.2765261627906978E-2</v>
          </cell>
          <cell r="BI179">
            <v>143</v>
          </cell>
          <cell r="BK179">
            <v>38670.125</v>
          </cell>
          <cell r="BL179">
            <v>149051.4</v>
          </cell>
          <cell r="BM179">
            <v>138135.4</v>
          </cell>
          <cell r="BN179">
            <v>10916</v>
          </cell>
          <cell r="BO179">
            <v>495035.5</v>
          </cell>
          <cell r="BP179">
            <v>34035.199999999997</v>
          </cell>
          <cell r="BQ179">
            <v>461000.3</v>
          </cell>
          <cell r="BR179">
            <v>239286.1</v>
          </cell>
          <cell r="BS179">
            <v>59358.2</v>
          </cell>
          <cell r="BT179">
            <v>162356</v>
          </cell>
          <cell r="BU179">
            <v>585605.19999999995</v>
          </cell>
          <cell r="BV179">
            <v>137403.29999999999</v>
          </cell>
          <cell r="BW179">
            <v>402833.9</v>
          </cell>
          <cell r="BX179">
            <v>193778.9</v>
          </cell>
          <cell r="BY179">
            <v>128154</v>
          </cell>
          <cell r="BZ179">
            <v>58481.7</v>
          </cell>
          <cell r="CA179">
            <v>10</v>
          </cell>
          <cell r="CD179">
            <v>143</v>
          </cell>
          <cell r="CF179">
            <v>38670.125</v>
          </cell>
          <cell r="CG179">
            <v>9.9942857142857093</v>
          </cell>
          <cell r="CH179">
            <v>13.4</v>
          </cell>
          <cell r="CI179">
            <v>11.697142857142854</v>
          </cell>
          <cell r="CJ179">
            <v>9</v>
          </cell>
          <cell r="CK179">
            <v>10.92</v>
          </cell>
          <cell r="CL179">
            <v>6.75</v>
          </cell>
          <cell r="CM179">
            <v>10.5</v>
          </cell>
          <cell r="CN179">
            <v>11.5</v>
          </cell>
          <cell r="CO179">
            <v>15</v>
          </cell>
          <cell r="CP179">
            <v>12</v>
          </cell>
          <cell r="CQ179">
            <v>26.99</v>
          </cell>
          <cell r="CR179">
            <v>3.5</v>
          </cell>
          <cell r="CS179">
            <v>18</v>
          </cell>
          <cell r="CT179">
            <v>27</v>
          </cell>
          <cell r="CU179">
            <v>10</v>
          </cell>
          <cell r="CV179">
            <v>10</v>
          </cell>
          <cell r="CY179">
            <v>143</v>
          </cell>
        </row>
        <row r="180">
          <cell r="A180">
            <v>38700.5625</v>
          </cell>
          <cell r="B180">
            <v>117.61062013088188</v>
          </cell>
          <cell r="C180">
            <v>127.31945355191256</v>
          </cell>
          <cell r="D180">
            <v>117.84864094488189</v>
          </cell>
          <cell r="E180">
            <v>118.20959333333333</v>
          </cell>
          <cell r="F180">
            <v>107.14699249249249</v>
          </cell>
          <cell r="G180">
            <v>108.80023150357995</v>
          </cell>
          <cell r="H180">
            <v>143.907490687219</v>
          </cell>
          <cell r="I180">
            <v>159.80338596491228</v>
          </cell>
          <cell r="J180">
            <v>107.34974796747967</v>
          </cell>
          <cell r="K180">
            <v>136.68</v>
          </cell>
          <cell r="L180">
            <v>139.98093172690764</v>
          </cell>
          <cell r="M180">
            <v>115.88951945080092</v>
          </cell>
          <cell r="N180">
            <v>123.485</v>
          </cell>
          <cell r="R180">
            <v>144</v>
          </cell>
          <cell r="T180">
            <v>38700.5625</v>
          </cell>
          <cell r="AN180" t="str">
            <v/>
          </cell>
          <cell r="AP180">
            <v>38700.5625</v>
          </cell>
          <cell r="AQ180">
            <v>553.29999999999995</v>
          </cell>
          <cell r="AR180">
            <v>56.43</v>
          </cell>
          <cell r="AS180">
            <v>1.2470000000000001</v>
          </cell>
          <cell r="AT180">
            <v>17.989999999999998</v>
          </cell>
          <cell r="AU180">
            <v>0.63600000000000001</v>
          </cell>
          <cell r="AV180">
            <v>31.222718999999998</v>
          </cell>
          <cell r="AW180">
            <v>0.6899651</v>
          </cell>
          <cell r="AX180">
            <v>9.9538669999999989</v>
          </cell>
          <cell r="AY180">
            <v>351.89879999999999</v>
          </cell>
          <cell r="AZ180">
            <v>10</v>
          </cell>
          <cell r="BA180">
            <v>10</v>
          </cell>
          <cell r="BB180">
            <v>10</v>
          </cell>
          <cell r="BC180">
            <v>10</v>
          </cell>
          <cell r="BD180">
            <v>10</v>
          </cell>
          <cell r="BE180">
            <v>10</v>
          </cell>
          <cell r="BF180">
            <v>2.2098174729753679E-2</v>
          </cell>
          <cell r="BI180">
            <v>144</v>
          </cell>
          <cell r="BK180">
            <v>38700.5625</v>
          </cell>
          <cell r="BL180">
            <v>170789.3</v>
          </cell>
          <cell r="BM180">
            <v>165016.29999999999</v>
          </cell>
          <cell r="BN180">
            <v>5773</v>
          </cell>
          <cell r="BO180">
            <v>484293.8</v>
          </cell>
          <cell r="BP180">
            <v>9030.7000000000007</v>
          </cell>
          <cell r="BQ180">
            <v>475263.1</v>
          </cell>
          <cell r="BR180">
            <v>248220.9</v>
          </cell>
          <cell r="BS180">
            <v>62553.2</v>
          </cell>
          <cell r="BT180">
            <v>164489</v>
          </cell>
          <cell r="BU180">
            <v>601015.69999999995</v>
          </cell>
          <cell r="BV180">
            <v>153809.4</v>
          </cell>
          <cell r="BW180">
            <v>402154.9</v>
          </cell>
          <cell r="BX180">
            <v>197514.9</v>
          </cell>
          <cell r="BY180">
            <v>124011</v>
          </cell>
          <cell r="BZ180">
            <v>54067.4</v>
          </cell>
          <cell r="CA180">
            <v>10</v>
          </cell>
          <cell r="CD180">
            <v>144</v>
          </cell>
          <cell r="CF180">
            <v>38700.5625</v>
          </cell>
          <cell r="CG180">
            <v>9.9942857142857093</v>
          </cell>
          <cell r="CH180">
            <v>13.4</v>
          </cell>
          <cell r="CI180">
            <v>11.697142857142854</v>
          </cell>
          <cell r="CJ180">
            <v>9</v>
          </cell>
          <cell r="CK180">
            <v>10.92</v>
          </cell>
          <cell r="CL180">
            <v>6.75</v>
          </cell>
          <cell r="CM180">
            <v>10.5</v>
          </cell>
          <cell r="CN180">
            <v>11.5</v>
          </cell>
          <cell r="CO180">
            <v>15</v>
          </cell>
          <cell r="CP180">
            <v>12</v>
          </cell>
          <cell r="CQ180">
            <v>26.99</v>
          </cell>
          <cell r="CR180">
            <v>3.5</v>
          </cell>
          <cell r="CS180">
            <v>18</v>
          </cell>
          <cell r="CT180">
            <v>27</v>
          </cell>
          <cell r="CU180">
            <v>10</v>
          </cell>
          <cell r="CV180">
            <v>10</v>
          </cell>
          <cell r="CY180">
            <v>144</v>
          </cell>
        </row>
        <row r="181">
          <cell r="A181">
            <v>38731</v>
          </cell>
          <cell r="B181">
            <v>118.1815182299782</v>
          </cell>
          <cell r="C181">
            <v>125.48359016393442</v>
          </cell>
          <cell r="D181">
            <v>119.76098740157479</v>
          </cell>
          <cell r="E181">
            <v>118.92673619047619</v>
          </cell>
          <cell r="F181">
            <v>107.05633783783783</v>
          </cell>
          <cell r="G181">
            <v>108.80734128878281</v>
          </cell>
          <cell r="H181">
            <v>146.91723185613358</v>
          </cell>
          <cell r="I181">
            <v>159.80338596491228</v>
          </cell>
          <cell r="J181">
            <v>107.34974796747967</v>
          </cell>
          <cell r="K181">
            <v>136.68</v>
          </cell>
          <cell r="L181">
            <v>150.20365763052209</v>
          </cell>
          <cell r="M181">
            <v>115.88951945080092</v>
          </cell>
          <cell r="N181">
            <v>125.313</v>
          </cell>
          <cell r="R181">
            <v>145</v>
          </cell>
          <cell r="T181">
            <v>38731</v>
          </cell>
          <cell r="AN181" t="str">
            <v/>
          </cell>
          <cell r="AP181">
            <v>38731</v>
          </cell>
          <cell r="AQ181">
            <v>542</v>
          </cell>
          <cell r="AR181">
            <v>62.46</v>
          </cell>
          <cell r="AS181">
            <v>1.3009999999999999</v>
          </cell>
          <cell r="AT181">
            <v>19.399999999999999</v>
          </cell>
          <cell r="AU181">
            <v>0.63400000000000001</v>
          </cell>
          <cell r="AV181">
            <v>33.853319999999997</v>
          </cell>
          <cell r="AW181">
            <v>0.70514199999999994</v>
          </cell>
          <cell r="AX181">
            <v>10.514799999999999</v>
          </cell>
          <cell r="AY181">
            <v>343.62799999999999</v>
          </cell>
          <cell r="AZ181">
            <v>10</v>
          </cell>
          <cell r="BA181">
            <v>10</v>
          </cell>
          <cell r="BB181">
            <v>10</v>
          </cell>
          <cell r="BC181">
            <v>10</v>
          </cell>
          <cell r="BD181">
            <v>10</v>
          </cell>
          <cell r="BE181">
            <v>10</v>
          </cell>
          <cell r="BF181">
            <v>2.0829330771693886E-2</v>
          </cell>
          <cell r="BI181">
            <v>145</v>
          </cell>
          <cell r="BK181">
            <v>38731</v>
          </cell>
          <cell r="BL181">
            <v>205892.2</v>
          </cell>
          <cell r="BM181">
            <v>216816.2</v>
          </cell>
          <cell r="BN181">
            <v>-10924</v>
          </cell>
          <cell r="BO181">
            <v>489491.9</v>
          </cell>
          <cell r="BP181">
            <v>-28021.8</v>
          </cell>
          <cell r="BQ181">
            <v>497513.7</v>
          </cell>
          <cell r="BR181">
            <v>282884.2</v>
          </cell>
          <cell r="BS181">
            <v>53596.5</v>
          </cell>
          <cell r="BT181">
            <v>161033</v>
          </cell>
          <cell r="BU181">
            <v>615840.69999999995</v>
          </cell>
          <cell r="BV181">
            <v>151066.6</v>
          </cell>
          <cell r="BW181">
            <v>418406.9</v>
          </cell>
          <cell r="BX181">
            <v>211953.9</v>
          </cell>
          <cell r="BY181">
            <v>124462</v>
          </cell>
          <cell r="BZ181">
            <v>59543.4</v>
          </cell>
          <cell r="CA181">
            <v>10</v>
          </cell>
          <cell r="CD181">
            <v>145</v>
          </cell>
          <cell r="CF181">
            <v>38731</v>
          </cell>
          <cell r="CG181">
            <v>9.9942857142857093</v>
          </cell>
          <cell r="CH181">
            <v>13.4</v>
          </cell>
          <cell r="CI181">
            <v>11.697142857142854</v>
          </cell>
          <cell r="CJ181">
            <v>8.5</v>
          </cell>
          <cell r="CK181">
            <v>14.75</v>
          </cell>
          <cell r="CL181">
            <v>6.75</v>
          </cell>
          <cell r="CM181">
            <v>18</v>
          </cell>
          <cell r="CN181">
            <v>11.5</v>
          </cell>
          <cell r="CO181">
            <v>15</v>
          </cell>
          <cell r="CP181">
            <v>12</v>
          </cell>
          <cell r="CQ181">
            <v>26.99</v>
          </cell>
          <cell r="CR181">
            <v>3.5</v>
          </cell>
          <cell r="CS181">
            <v>18</v>
          </cell>
          <cell r="CT181">
            <v>27</v>
          </cell>
          <cell r="CU181">
            <v>10</v>
          </cell>
          <cell r="CV181">
            <v>10</v>
          </cell>
          <cell r="CY181">
            <v>145</v>
          </cell>
        </row>
        <row r="182">
          <cell r="A182">
            <v>38761.4375</v>
          </cell>
          <cell r="B182">
            <v>117.50791960112186</v>
          </cell>
          <cell r="C182">
            <v>125.58410382513661</v>
          </cell>
          <cell r="D182">
            <v>120.63208976377952</v>
          </cell>
          <cell r="E182">
            <v>122.12181238095238</v>
          </cell>
          <cell r="F182">
            <v>108.10688138138137</v>
          </cell>
          <cell r="G182">
            <v>108.78634128878279</v>
          </cell>
          <cell r="H182">
            <v>146.61138407193323</v>
          </cell>
          <cell r="I182">
            <v>159.80338596491228</v>
          </cell>
          <cell r="J182">
            <v>107.41133333333335</v>
          </cell>
          <cell r="K182">
            <v>136.68</v>
          </cell>
          <cell r="L182">
            <v>143.41148393574295</v>
          </cell>
          <cell r="M182">
            <v>115.74647597254005</v>
          </cell>
          <cell r="N182">
            <v>124.831</v>
          </cell>
          <cell r="R182">
            <v>146</v>
          </cell>
          <cell r="T182">
            <v>38761.4375</v>
          </cell>
          <cell r="AN182" t="str">
            <v/>
          </cell>
          <cell r="AP182">
            <v>38761.4375</v>
          </cell>
          <cell r="AQ182">
            <v>549.5</v>
          </cell>
          <cell r="AR182">
            <v>59.7</v>
          </cell>
          <cell r="AS182">
            <v>1.34</v>
          </cell>
          <cell r="AT182">
            <v>19.579999999999998</v>
          </cell>
          <cell r="AU182">
            <v>0.65700000000000003</v>
          </cell>
          <cell r="AV182">
            <v>32.805150000000005</v>
          </cell>
          <cell r="AW182">
            <v>0.73633000000000004</v>
          </cell>
          <cell r="AX182">
            <v>10.759209999999999</v>
          </cell>
          <cell r="AY182">
            <v>361.0215</v>
          </cell>
          <cell r="AZ182">
            <v>10</v>
          </cell>
          <cell r="BA182">
            <v>10</v>
          </cell>
          <cell r="BB182">
            <v>10</v>
          </cell>
          <cell r="BC182">
            <v>10</v>
          </cell>
          <cell r="BD182">
            <v>10</v>
          </cell>
          <cell r="BE182">
            <v>10</v>
          </cell>
          <cell r="BF182">
            <v>2.2445561139028472E-2</v>
          </cell>
          <cell r="BI182">
            <v>146</v>
          </cell>
          <cell r="BK182">
            <v>38761.4375</v>
          </cell>
          <cell r="BL182">
            <v>199006.1</v>
          </cell>
          <cell r="BM182">
            <v>205042.1</v>
          </cell>
          <cell r="BN182">
            <v>-6036</v>
          </cell>
          <cell r="BO182">
            <v>488470</v>
          </cell>
          <cell r="BP182">
            <v>-20813.3</v>
          </cell>
          <cell r="BQ182">
            <v>509283.3</v>
          </cell>
          <cell r="BR182">
            <v>260700.79999999999</v>
          </cell>
          <cell r="BS182">
            <v>85741.5</v>
          </cell>
          <cell r="BT182">
            <v>162841</v>
          </cell>
          <cell r="BU182">
            <v>636357.9</v>
          </cell>
          <cell r="BV182">
            <v>151056.29999999999</v>
          </cell>
          <cell r="BW182">
            <v>438881.6</v>
          </cell>
          <cell r="BX182">
            <v>228127.6</v>
          </cell>
          <cell r="BY182">
            <v>128152</v>
          </cell>
          <cell r="BZ182">
            <v>51118.2</v>
          </cell>
          <cell r="CA182">
            <v>10</v>
          </cell>
          <cell r="CD182">
            <v>146</v>
          </cell>
          <cell r="CF182">
            <v>38761.4375</v>
          </cell>
          <cell r="CG182">
            <v>10.0657142857143</v>
          </cell>
          <cell r="CH182">
            <v>13.4</v>
          </cell>
          <cell r="CI182">
            <v>11.732857142857149</v>
          </cell>
          <cell r="CJ182">
            <v>8.5</v>
          </cell>
          <cell r="CK182">
            <v>14.75</v>
          </cell>
          <cell r="CL182">
            <v>6.75</v>
          </cell>
          <cell r="CM182">
            <v>18</v>
          </cell>
          <cell r="CN182">
            <v>11.5</v>
          </cell>
          <cell r="CO182">
            <v>15</v>
          </cell>
          <cell r="CP182">
            <v>12</v>
          </cell>
          <cell r="CQ182">
            <v>26.99</v>
          </cell>
          <cell r="CR182">
            <v>3.5</v>
          </cell>
          <cell r="CS182">
            <v>18</v>
          </cell>
          <cell r="CT182">
            <v>27</v>
          </cell>
          <cell r="CU182">
            <v>10</v>
          </cell>
          <cell r="CV182">
            <v>10</v>
          </cell>
          <cell r="CY182">
            <v>146</v>
          </cell>
        </row>
        <row r="183">
          <cell r="A183">
            <v>38791.875</v>
          </cell>
          <cell r="B183">
            <v>115.4218529136803</v>
          </cell>
          <cell r="C183">
            <v>126.39350273224044</v>
          </cell>
          <cell r="D183">
            <v>120.63208976377952</v>
          </cell>
          <cell r="E183">
            <v>118.84250285714286</v>
          </cell>
          <cell r="F183">
            <v>108.15526726726726</v>
          </cell>
          <cell r="G183">
            <v>108.78634128878279</v>
          </cell>
          <cell r="H183">
            <v>145.88652858060374</v>
          </cell>
          <cell r="I183">
            <v>159.80338596491228</v>
          </cell>
          <cell r="J183">
            <v>107.48416666666668</v>
          </cell>
          <cell r="K183">
            <v>136.68</v>
          </cell>
          <cell r="L183">
            <v>143.64824598393574</v>
          </cell>
          <cell r="M183">
            <v>115.74647597254005</v>
          </cell>
          <cell r="N183">
            <v>123.749</v>
          </cell>
          <cell r="R183">
            <v>147</v>
          </cell>
          <cell r="T183">
            <v>38791.875</v>
          </cell>
          <cell r="AN183" t="str">
            <v/>
          </cell>
          <cell r="AP183">
            <v>38791.875</v>
          </cell>
          <cell r="AQ183">
            <v>545.79999999999995</v>
          </cell>
          <cell r="AR183">
            <v>60.93</v>
          </cell>
          <cell r="AS183">
            <v>1.2929999999999999</v>
          </cell>
          <cell r="AT183">
            <v>19.649999999999999</v>
          </cell>
          <cell r="AU183">
            <v>0.66400000000000003</v>
          </cell>
          <cell r="AV183">
            <v>33.255593999999995</v>
          </cell>
          <cell r="AW183">
            <v>0.7057194</v>
          </cell>
          <cell r="AX183">
            <v>10.724969999999997</v>
          </cell>
          <cell r="AY183">
            <v>362.41120000000001</v>
          </cell>
          <cell r="AZ183">
            <v>10</v>
          </cell>
          <cell r="BA183">
            <v>10</v>
          </cell>
          <cell r="BB183">
            <v>10</v>
          </cell>
          <cell r="BC183">
            <v>10</v>
          </cell>
          <cell r="BD183">
            <v>10</v>
          </cell>
          <cell r="BE183">
            <v>10</v>
          </cell>
          <cell r="BF183">
            <v>2.1221073362875435E-2</v>
          </cell>
          <cell r="BI183">
            <v>147</v>
          </cell>
          <cell r="BK183">
            <v>38791.875</v>
          </cell>
          <cell r="BL183">
            <v>227915.1</v>
          </cell>
          <cell r="BM183">
            <v>226979.1</v>
          </cell>
          <cell r="BN183">
            <v>936</v>
          </cell>
          <cell r="BO183">
            <v>485760.4</v>
          </cell>
          <cell r="BP183">
            <v>-20789</v>
          </cell>
          <cell r="BQ183">
            <v>506549.4</v>
          </cell>
          <cell r="BR183">
            <v>254848.4</v>
          </cell>
          <cell r="BS183">
            <v>90006</v>
          </cell>
          <cell r="BT183">
            <v>161695</v>
          </cell>
          <cell r="BU183">
            <v>649033.9</v>
          </cell>
          <cell r="BV183">
            <v>162009.5</v>
          </cell>
          <cell r="BW183">
            <v>439762.6</v>
          </cell>
          <cell r="BX183">
            <v>218188.6</v>
          </cell>
          <cell r="BY183">
            <v>137251</v>
          </cell>
          <cell r="BZ183">
            <v>64641.599999999999</v>
          </cell>
          <cell r="CA183">
            <v>10</v>
          </cell>
          <cell r="CD183">
            <v>147</v>
          </cell>
          <cell r="CF183">
            <v>38791.875</v>
          </cell>
          <cell r="CG183">
            <v>11.992857142857099</v>
          </cell>
          <cell r="CH183">
            <v>14.4</v>
          </cell>
          <cell r="CI183">
            <v>13.19642857142855</v>
          </cell>
          <cell r="CJ183">
            <v>8.5</v>
          </cell>
          <cell r="CK183">
            <v>14.75</v>
          </cell>
          <cell r="CL183">
            <v>5.25</v>
          </cell>
          <cell r="CM183">
            <v>18</v>
          </cell>
          <cell r="CN183">
            <v>11.5</v>
          </cell>
          <cell r="CO183">
            <v>18</v>
          </cell>
          <cell r="CP183">
            <v>12</v>
          </cell>
          <cell r="CQ183">
            <v>26.99</v>
          </cell>
          <cell r="CR183">
            <v>3.5</v>
          </cell>
          <cell r="CS183">
            <v>18</v>
          </cell>
          <cell r="CT183">
            <v>27</v>
          </cell>
          <cell r="CU183">
            <v>10</v>
          </cell>
          <cell r="CV183">
            <v>10</v>
          </cell>
          <cell r="CY183">
            <v>147</v>
          </cell>
        </row>
        <row r="184">
          <cell r="A184">
            <v>38822.3125</v>
          </cell>
          <cell r="B184">
            <v>117.97024213150516</v>
          </cell>
          <cell r="C184">
            <v>127.34514207650274</v>
          </cell>
          <cell r="D184">
            <v>120.63208976377952</v>
          </cell>
          <cell r="E184">
            <v>118.94571714285713</v>
          </cell>
          <cell r="F184">
            <v>108.15694894894894</v>
          </cell>
          <cell r="G184">
            <v>108.78773031026253</v>
          </cell>
          <cell r="H184">
            <v>147.11284842646114</v>
          </cell>
          <cell r="I184">
            <v>159.80338596491228</v>
          </cell>
          <cell r="J184">
            <v>107.48416666666668</v>
          </cell>
          <cell r="K184">
            <v>136.68</v>
          </cell>
          <cell r="L184">
            <v>143.77312048192769</v>
          </cell>
          <cell r="M184">
            <v>115.74647597254005</v>
          </cell>
          <cell r="N184">
            <v>124.79900000000001</v>
          </cell>
          <cell r="R184">
            <v>148</v>
          </cell>
          <cell r="T184">
            <v>38822.3125</v>
          </cell>
          <cell r="AN184" t="str">
            <v/>
          </cell>
          <cell r="AP184">
            <v>38822.3125</v>
          </cell>
          <cell r="AQ184">
            <v>534.6</v>
          </cell>
          <cell r="AR184">
            <v>67.97</v>
          </cell>
          <cell r="AS184">
            <v>1.2609999999999999</v>
          </cell>
          <cell r="AT184">
            <v>21.54</v>
          </cell>
          <cell r="AU184">
            <v>0.66500000000000004</v>
          </cell>
          <cell r="AV184">
            <v>36.336762</v>
          </cell>
          <cell r="AW184">
            <v>0.67413059999999991</v>
          </cell>
          <cell r="AX184">
            <v>11.515283999999999</v>
          </cell>
          <cell r="AY184">
            <v>355.50900000000001</v>
          </cell>
          <cell r="AZ184">
            <v>10</v>
          </cell>
          <cell r="BA184">
            <v>10</v>
          </cell>
          <cell r="BB184">
            <v>10</v>
          </cell>
          <cell r="BC184">
            <v>10</v>
          </cell>
          <cell r="BD184">
            <v>10</v>
          </cell>
          <cell r="BE184">
            <v>10</v>
          </cell>
          <cell r="BF184">
            <v>1.8552302486391052E-2</v>
          </cell>
          <cell r="BI184">
            <v>148</v>
          </cell>
          <cell r="BK184">
            <v>38822.3125</v>
          </cell>
          <cell r="BL184">
            <v>210875.3</v>
          </cell>
          <cell r="BM184">
            <v>210191.3</v>
          </cell>
          <cell r="BN184">
            <v>684</v>
          </cell>
          <cell r="BO184">
            <v>484792.3</v>
          </cell>
          <cell r="BP184">
            <v>-17379</v>
          </cell>
          <cell r="BQ184">
            <v>502171.3</v>
          </cell>
          <cell r="BR184">
            <v>249883.9</v>
          </cell>
          <cell r="BS184">
            <v>92501.4</v>
          </cell>
          <cell r="BT184">
            <v>159786</v>
          </cell>
          <cell r="BU184">
            <v>638542.5</v>
          </cell>
          <cell r="BV184">
            <v>153644.20000000001</v>
          </cell>
          <cell r="BW184">
            <v>436639.3</v>
          </cell>
          <cell r="BX184">
            <v>208988.3</v>
          </cell>
          <cell r="BY184">
            <v>142112</v>
          </cell>
          <cell r="BZ184">
            <v>57125.1</v>
          </cell>
          <cell r="CA184">
            <v>10</v>
          </cell>
          <cell r="CD184">
            <v>148</v>
          </cell>
          <cell r="CF184">
            <v>38822.3125</v>
          </cell>
          <cell r="CG184">
            <v>10.49375</v>
          </cell>
          <cell r="CH184">
            <v>14.4</v>
          </cell>
          <cell r="CI184">
            <v>12.446875</v>
          </cell>
          <cell r="CJ184">
            <v>8.5</v>
          </cell>
          <cell r="CK184">
            <v>14.75</v>
          </cell>
          <cell r="CL184">
            <v>5.25</v>
          </cell>
          <cell r="CM184">
            <v>18</v>
          </cell>
          <cell r="CN184">
            <v>11.5</v>
          </cell>
          <cell r="CO184">
            <v>18</v>
          </cell>
          <cell r="CP184">
            <v>12</v>
          </cell>
          <cell r="CQ184">
            <v>26.99</v>
          </cell>
          <cell r="CR184">
            <v>3.5</v>
          </cell>
          <cell r="CS184">
            <v>18</v>
          </cell>
          <cell r="CT184">
            <v>27</v>
          </cell>
          <cell r="CU184">
            <v>10</v>
          </cell>
          <cell r="CV184">
            <v>10</v>
          </cell>
          <cell r="CY184">
            <v>148</v>
          </cell>
        </row>
        <row r="185">
          <cell r="A185">
            <v>38852.75</v>
          </cell>
          <cell r="B185">
            <v>125.1672090994079</v>
          </cell>
          <cell r="C185">
            <v>129.34609836065576</v>
          </cell>
          <cell r="D185">
            <v>120.63208976377952</v>
          </cell>
          <cell r="E185">
            <v>118.58914571428571</v>
          </cell>
          <cell r="F185">
            <v>108.15694894894894</v>
          </cell>
          <cell r="G185">
            <v>108.78773031026253</v>
          </cell>
          <cell r="H185">
            <v>152.95323378291587</v>
          </cell>
          <cell r="I185">
            <v>159.80338596491228</v>
          </cell>
          <cell r="J185">
            <v>107.48416666666668</v>
          </cell>
          <cell r="K185">
            <v>136.68</v>
          </cell>
          <cell r="L185">
            <v>145.20568072289157</v>
          </cell>
          <cell r="M185">
            <v>115.76285354691076</v>
          </cell>
          <cell r="N185">
            <v>128.16</v>
          </cell>
          <cell r="R185">
            <v>149</v>
          </cell>
          <cell r="T185">
            <v>38852.75</v>
          </cell>
          <cell r="AN185" t="str">
            <v/>
          </cell>
          <cell r="AP185">
            <v>38852.75</v>
          </cell>
          <cell r="AQ185">
            <v>513.70000000000005</v>
          </cell>
          <cell r="AR185">
            <v>68.680000000000007</v>
          </cell>
          <cell r="AS185">
            <v>1.222</v>
          </cell>
          <cell r="AT185">
            <v>23.82</v>
          </cell>
          <cell r="AU185">
            <v>0.69</v>
          </cell>
          <cell r="AV185">
            <v>35.280916000000005</v>
          </cell>
          <cell r="AW185">
            <v>0.6277414</v>
          </cell>
          <cell r="AX185">
            <v>12.236334000000001</v>
          </cell>
          <cell r="AY185">
            <v>354.45300000000003</v>
          </cell>
          <cell r="AZ185">
            <v>10</v>
          </cell>
          <cell r="BA185">
            <v>10</v>
          </cell>
          <cell r="BB185">
            <v>10</v>
          </cell>
          <cell r="BC185">
            <v>10</v>
          </cell>
          <cell r="BD185">
            <v>10</v>
          </cell>
          <cell r="BE185">
            <v>10</v>
          </cell>
          <cell r="BF185">
            <v>1.7792661619103086E-2</v>
          </cell>
          <cell r="BI185">
            <v>149</v>
          </cell>
          <cell r="BK185">
            <v>38852.75</v>
          </cell>
          <cell r="BL185">
            <v>219371.9</v>
          </cell>
          <cell r="BM185">
            <v>219931.9</v>
          </cell>
          <cell r="BN185">
            <v>-560</v>
          </cell>
          <cell r="BO185">
            <v>483185.2</v>
          </cell>
          <cell r="BP185">
            <v>-21984.2</v>
          </cell>
          <cell r="BQ185">
            <v>505169.4</v>
          </cell>
          <cell r="BR185">
            <v>251561</v>
          </cell>
          <cell r="BS185">
            <v>94301.4</v>
          </cell>
          <cell r="BT185">
            <v>159307</v>
          </cell>
          <cell r="BU185">
            <v>648540.80000000005</v>
          </cell>
          <cell r="BV185">
            <v>154218.79999999999</v>
          </cell>
          <cell r="BW185">
            <v>445347.3</v>
          </cell>
          <cell r="BX185">
            <v>207800.3</v>
          </cell>
          <cell r="BY185">
            <v>149991</v>
          </cell>
          <cell r="BZ185">
            <v>54016.3</v>
          </cell>
          <cell r="CA185">
            <v>10</v>
          </cell>
          <cell r="CD185">
            <v>149</v>
          </cell>
          <cell r="CF185">
            <v>38852.75</v>
          </cell>
          <cell r="CG185">
            <v>10.49375</v>
          </cell>
          <cell r="CH185">
            <v>14.4</v>
          </cell>
          <cell r="CI185">
            <v>12.446875</v>
          </cell>
          <cell r="CJ185">
            <v>8.5</v>
          </cell>
          <cell r="CK185">
            <v>14.75</v>
          </cell>
          <cell r="CL185">
            <v>5.25</v>
          </cell>
          <cell r="CM185">
            <v>18</v>
          </cell>
          <cell r="CN185">
            <v>11.5</v>
          </cell>
          <cell r="CO185">
            <v>18</v>
          </cell>
          <cell r="CP185">
            <v>12</v>
          </cell>
          <cell r="CQ185">
            <v>26.99</v>
          </cell>
          <cell r="CR185">
            <v>3.5</v>
          </cell>
          <cell r="CS185">
            <v>18</v>
          </cell>
          <cell r="CT185">
            <v>27</v>
          </cell>
          <cell r="CU185">
            <v>10</v>
          </cell>
          <cell r="CV185">
            <v>10</v>
          </cell>
          <cell r="CY185">
            <v>149</v>
          </cell>
        </row>
        <row r="186">
          <cell r="A186">
            <v>38883.1875</v>
          </cell>
          <cell r="B186">
            <v>123.9582306014335</v>
          </cell>
          <cell r="C186">
            <v>132.41290163934426</v>
          </cell>
          <cell r="D186">
            <v>120.63208976377952</v>
          </cell>
          <cell r="E186">
            <v>117.54876476190475</v>
          </cell>
          <cell r="F186">
            <v>108.15694894894894</v>
          </cell>
          <cell r="G186">
            <v>108.78773031026253</v>
          </cell>
          <cell r="H186">
            <v>152.6662588310854</v>
          </cell>
          <cell r="I186">
            <v>159.80338596491228</v>
          </cell>
          <cell r="J186">
            <v>107.48416666666668</v>
          </cell>
          <cell r="K186">
            <v>136.68</v>
          </cell>
          <cell r="L186">
            <v>145.26661947791163</v>
          </cell>
          <cell r="M186">
            <v>115.76285354691076</v>
          </cell>
          <cell r="N186">
            <v>127.681</v>
          </cell>
          <cell r="R186">
            <v>150</v>
          </cell>
          <cell r="T186">
            <v>38883.1875</v>
          </cell>
          <cell r="AN186" t="str">
            <v/>
          </cell>
          <cell r="AP186">
            <v>38883.1875</v>
          </cell>
          <cell r="AQ186">
            <v>518.6</v>
          </cell>
          <cell r="AR186">
            <v>68.39</v>
          </cell>
          <cell r="AS186">
            <v>1.244</v>
          </cell>
          <cell r="AT186">
            <v>21.03</v>
          </cell>
          <cell r="AU186">
            <v>0.69</v>
          </cell>
          <cell r="AV186">
            <v>35.467054000000005</v>
          </cell>
          <cell r="AW186">
            <v>0.6451384</v>
          </cell>
          <cell r="AX186">
            <v>10.906158000000001</v>
          </cell>
          <cell r="AY186">
            <v>357.834</v>
          </cell>
          <cell r="AZ186">
            <v>10</v>
          </cell>
          <cell r="BA186">
            <v>10</v>
          </cell>
          <cell r="BB186">
            <v>10</v>
          </cell>
          <cell r="BC186">
            <v>10</v>
          </cell>
          <cell r="BD186">
            <v>10</v>
          </cell>
          <cell r="BE186">
            <v>10</v>
          </cell>
          <cell r="BF186">
            <v>1.8189793829507236E-2</v>
          </cell>
          <cell r="BI186">
            <v>150</v>
          </cell>
          <cell r="BK186">
            <v>38883.1875</v>
          </cell>
          <cell r="BL186">
            <v>227194.7</v>
          </cell>
          <cell r="BM186">
            <v>227669.7</v>
          </cell>
          <cell r="BN186">
            <v>-475</v>
          </cell>
          <cell r="BO186">
            <v>477646.3</v>
          </cell>
          <cell r="BP186">
            <v>-27168.3</v>
          </cell>
          <cell r="BQ186">
            <v>504814.6</v>
          </cell>
          <cell r="BR186">
            <v>245492.2</v>
          </cell>
          <cell r="BS186">
            <v>94301.4</v>
          </cell>
          <cell r="BT186">
            <v>165021</v>
          </cell>
          <cell r="BU186">
            <v>648039</v>
          </cell>
          <cell r="BV186">
            <v>145788.1</v>
          </cell>
          <cell r="BW186">
            <v>453064.5</v>
          </cell>
          <cell r="BX186">
            <v>206921.5</v>
          </cell>
          <cell r="BY186">
            <v>156370</v>
          </cell>
          <cell r="BZ186">
            <v>56802</v>
          </cell>
          <cell r="CA186">
            <v>10</v>
          </cell>
          <cell r="CD186">
            <v>150</v>
          </cell>
          <cell r="CF186">
            <v>38883.1875</v>
          </cell>
          <cell r="CG186">
            <v>10.49375</v>
          </cell>
          <cell r="CH186">
            <v>14.4</v>
          </cell>
          <cell r="CI186">
            <v>12.446875</v>
          </cell>
          <cell r="CJ186">
            <v>8.5</v>
          </cell>
          <cell r="CK186">
            <v>14.75</v>
          </cell>
          <cell r="CL186">
            <v>5.5</v>
          </cell>
          <cell r="CM186">
            <v>18</v>
          </cell>
          <cell r="CN186">
            <v>11.5</v>
          </cell>
          <cell r="CO186">
            <v>18</v>
          </cell>
          <cell r="CP186">
            <v>12</v>
          </cell>
          <cell r="CQ186">
            <v>26.99</v>
          </cell>
          <cell r="CR186">
            <v>3.5</v>
          </cell>
          <cell r="CS186">
            <v>18</v>
          </cell>
          <cell r="CT186">
            <v>27</v>
          </cell>
          <cell r="CU186">
            <v>10</v>
          </cell>
          <cell r="CV186">
            <v>10</v>
          </cell>
          <cell r="CY186">
            <v>150</v>
          </cell>
        </row>
        <row r="187">
          <cell r="A187">
            <v>38913.625</v>
          </cell>
          <cell r="B187">
            <v>128.34059364287944</v>
          </cell>
          <cell r="C187">
            <v>133.31495081967213</v>
          </cell>
          <cell r="D187">
            <v>120.63208976377952</v>
          </cell>
          <cell r="E187">
            <v>122.19797904761904</v>
          </cell>
          <cell r="F187">
            <v>108.15694894894894</v>
          </cell>
          <cell r="G187">
            <v>108.78773031026253</v>
          </cell>
          <cell r="H187">
            <v>152.57808927424534</v>
          </cell>
          <cell r="I187">
            <v>159.80338596491228</v>
          </cell>
          <cell r="J187">
            <v>107.48416666666668</v>
          </cell>
          <cell r="K187">
            <v>136.68</v>
          </cell>
          <cell r="L187">
            <v>145.58829618473897</v>
          </cell>
          <cell r="M187">
            <v>115.76285354691076</v>
          </cell>
          <cell r="N187">
            <v>129.61000000000001</v>
          </cell>
          <cell r="R187">
            <v>151</v>
          </cell>
          <cell r="T187">
            <v>38913.625</v>
          </cell>
          <cell r="AN187" t="str">
            <v/>
          </cell>
          <cell r="AP187">
            <v>38913.625</v>
          </cell>
          <cell r="AQ187">
            <v>517.20000000000005</v>
          </cell>
          <cell r="AR187">
            <v>72.45</v>
          </cell>
          <cell r="AS187">
            <v>1.2509999999999999</v>
          </cell>
          <cell r="AT187">
            <v>22.35</v>
          </cell>
          <cell r="AU187">
            <v>0.65169999999999995</v>
          </cell>
          <cell r="AV187">
            <v>37.471140000000005</v>
          </cell>
          <cell r="AW187">
            <v>0.64701719999999996</v>
          </cell>
          <cell r="AX187">
            <v>11.559420000000001</v>
          </cell>
          <cell r="AY187">
            <v>337.05923999999999</v>
          </cell>
          <cell r="AZ187">
            <v>10</v>
          </cell>
          <cell r="BA187">
            <v>10</v>
          </cell>
          <cell r="BB187">
            <v>10</v>
          </cell>
          <cell r="BC187">
            <v>10</v>
          </cell>
          <cell r="BD187">
            <v>10</v>
          </cell>
          <cell r="BE187">
            <v>10</v>
          </cell>
          <cell r="BF187">
            <v>1.7267080745341612E-2</v>
          </cell>
          <cell r="BI187">
            <v>151</v>
          </cell>
          <cell r="BK187">
            <v>38913.625</v>
          </cell>
          <cell r="BL187">
            <v>218583.2</v>
          </cell>
          <cell r="BM187">
            <v>207153.2</v>
          </cell>
          <cell r="BN187">
            <v>11430</v>
          </cell>
          <cell r="BO187">
            <v>492466.3</v>
          </cell>
          <cell r="BP187">
            <v>-27112.6</v>
          </cell>
          <cell r="BQ187">
            <v>519578.9</v>
          </cell>
          <cell r="BR187">
            <v>261611.3</v>
          </cell>
          <cell r="BS187">
            <v>93597.6</v>
          </cell>
          <cell r="BT187">
            <v>164370</v>
          </cell>
          <cell r="BU187">
            <v>655271.1</v>
          </cell>
          <cell r="BV187">
            <v>145837.5</v>
          </cell>
          <cell r="BW187">
            <v>460307.4</v>
          </cell>
          <cell r="BX187">
            <v>211525.4</v>
          </cell>
          <cell r="BY187">
            <v>157585</v>
          </cell>
          <cell r="BZ187">
            <v>55778</v>
          </cell>
          <cell r="CA187">
            <v>10</v>
          </cell>
          <cell r="CD187">
            <v>151</v>
          </cell>
          <cell r="CF187">
            <v>38913.625</v>
          </cell>
          <cell r="CG187">
            <v>10.49375</v>
          </cell>
          <cell r="CH187">
            <v>14.4</v>
          </cell>
          <cell r="CI187">
            <v>12.446875</v>
          </cell>
          <cell r="CJ187">
            <v>8.5</v>
          </cell>
          <cell r="CK187">
            <v>14.75</v>
          </cell>
          <cell r="CL187">
            <v>5.25</v>
          </cell>
          <cell r="CM187">
            <v>18</v>
          </cell>
          <cell r="CN187">
            <v>11.5</v>
          </cell>
          <cell r="CO187">
            <v>18</v>
          </cell>
          <cell r="CP187">
            <v>12</v>
          </cell>
          <cell r="CQ187">
            <v>26.99</v>
          </cell>
          <cell r="CR187">
            <v>3.5</v>
          </cell>
          <cell r="CS187">
            <v>18</v>
          </cell>
          <cell r="CT187">
            <v>27</v>
          </cell>
          <cell r="CU187">
            <v>10</v>
          </cell>
          <cell r="CV187">
            <v>10</v>
          </cell>
          <cell r="CY187">
            <v>151</v>
          </cell>
        </row>
        <row r="188">
          <cell r="A188">
            <v>38944.0625</v>
          </cell>
          <cell r="B188">
            <v>124.78715861639142</v>
          </cell>
          <cell r="C188">
            <v>131.40224590163936</v>
          </cell>
          <cell r="D188">
            <v>120.63208976377952</v>
          </cell>
          <cell r="E188">
            <v>121.8872657142857</v>
          </cell>
          <cell r="F188">
            <v>108.15694894894894</v>
          </cell>
          <cell r="G188">
            <v>108.78773031026253</v>
          </cell>
          <cell r="H188">
            <v>155.52287797045602</v>
          </cell>
          <cell r="I188">
            <v>159.80338596491228</v>
          </cell>
          <cell r="J188">
            <v>107.48416666666668</v>
          </cell>
          <cell r="K188">
            <v>136.68</v>
          </cell>
          <cell r="L188">
            <v>146.57030923694779</v>
          </cell>
          <cell r="M188">
            <v>115.76285354691076</v>
          </cell>
          <cell r="N188">
            <v>128.958</v>
          </cell>
          <cell r="R188">
            <v>152</v>
          </cell>
          <cell r="T188">
            <v>38944.0625</v>
          </cell>
          <cell r="AN188" t="str">
            <v/>
          </cell>
          <cell r="AP188">
            <v>38944.0625</v>
          </cell>
          <cell r="AQ188">
            <v>512</v>
          </cell>
          <cell r="AR188">
            <v>71.81</v>
          </cell>
          <cell r="AS188">
            <v>1.32</v>
          </cell>
          <cell r="AT188">
            <v>22.3</v>
          </cell>
          <cell r="AU188">
            <v>0.65169999999999995</v>
          </cell>
          <cell r="AV188">
            <v>36.766719999999999</v>
          </cell>
          <cell r="AW188">
            <v>0.67584</v>
          </cell>
          <cell r="AX188">
            <v>11.4176</v>
          </cell>
          <cell r="AY188">
            <v>333.67039999999997</v>
          </cell>
          <cell r="AZ188">
            <v>10</v>
          </cell>
          <cell r="BA188">
            <v>10</v>
          </cell>
          <cell r="BB188">
            <v>10</v>
          </cell>
          <cell r="BC188">
            <v>10</v>
          </cell>
          <cell r="BD188">
            <v>10</v>
          </cell>
          <cell r="BE188">
            <v>10</v>
          </cell>
          <cell r="BF188">
            <v>1.8381840969224343E-2</v>
          </cell>
          <cell r="BI188">
            <v>152</v>
          </cell>
          <cell r="BK188">
            <v>38944.0625</v>
          </cell>
          <cell r="BL188">
            <v>185395.8</v>
          </cell>
          <cell r="BM188">
            <v>190894.8</v>
          </cell>
          <cell r="BN188">
            <v>-5499</v>
          </cell>
          <cell r="BO188">
            <v>513071.1</v>
          </cell>
          <cell r="BP188">
            <v>-19965.400000000001</v>
          </cell>
          <cell r="BQ188">
            <v>533036.5</v>
          </cell>
          <cell r="BR188">
            <v>269041.5</v>
          </cell>
          <cell r="BS188">
            <v>92000</v>
          </cell>
          <cell r="BT188">
            <v>171995</v>
          </cell>
          <cell r="BU188">
            <v>634401.4</v>
          </cell>
          <cell r="BV188">
            <v>132325.1</v>
          </cell>
          <cell r="BW188">
            <v>452787.8</v>
          </cell>
          <cell r="BX188">
            <v>198005.8</v>
          </cell>
          <cell r="BY188">
            <v>163598</v>
          </cell>
          <cell r="BZ188">
            <v>64065.5</v>
          </cell>
          <cell r="CA188">
            <v>10</v>
          </cell>
          <cell r="CD188">
            <v>152</v>
          </cell>
          <cell r="CF188">
            <v>38944.0625</v>
          </cell>
          <cell r="CG188">
            <v>10.49375</v>
          </cell>
          <cell r="CH188">
            <v>14.4</v>
          </cell>
          <cell r="CI188">
            <v>12.446875</v>
          </cell>
          <cell r="CJ188">
            <v>8.5</v>
          </cell>
          <cell r="CK188">
            <v>14.75</v>
          </cell>
          <cell r="CL188">
            <v>5.25</v>
          </cell>
          <cell r="CM188">
            <v>18</v>
          </cell>
          <cell r="CN188">
            <v>11.5</v>
          </cell>
          <cell r="CO188">
            <v>18</v>
          </cell>
          <cell r="CP188">
            <v>12</v>
          </cell>
          <cell r="CQ188">
            <v>26.99</v>
          </cell>
          <cell r="CR188">
            <v>3.5</v>
          </cell>
          <cell r="CS188">
            <v>18</v>
          </cell>
          <cell r="CT188">
            <v>27</v>
          </cell>
          <cell r="CU188">
            <v>10</v>
          </cell>
          <cell r="CV188">
            <v>10</v>
          </cell>
          <cell r="CY188">
            <v>152</v>
          </cell>
        </row>
        <row r="189">
          <cell r="A189">
            <v>38974.5</v>
          </cell>
          <cell r="B189">
            <v>119.42798067933936</v>
          </cell>
          <cell r="C189">
            <v>134.07984153005464</v>
          </cell>
          <cell r="D189">
            <v>120.63208976377952</v>
          </cell>
          <cell r="E189">
            <v>118.94395714285714</v>
          </cell>
          <cell r="F189">
            <v>108.15694894894894</v>
          </cell>
          <cell r="G189">
            <v>108.78773031026253</v>
          </cell>
          <cell r="H189">
            <v>153.51234746307</v>
          </cell>
          <cell r="I189">
            <v>159.80338596491228</v>
          </cell>
          <cell r="J189">
            <v>107.48416666666668</v>
          </cell>
          <cell r="K189">
            <v>136.68</v>
          </cell>
          <cell r="L189">
            <v>147.78808534136544</v>
          </cell>
          <cell r="M189">
            <v>115.76285354691076</v>
          </cell>
          <cell r="N189">
            <v>126.78700000000001</v>
          </cell>
          <cell r="R189">
            <v>153</v>
          </cell>
          <cell r="T189">
            <v>38974.5</v>
          </cell>
          <cell r="AN189" t="str">
            <v/>
          </cell>
          <cell r="AP189">
            <v>38974.5</v>
          </cell>
          <cell r="AQ189">
            <v>515.4</v>
          </cell>
          <cell r="AR189">
            <v>62.12</v>
          </cell>
          <cell r="AS189">
            <v>1.2969999999999999</v>
          </cell>
          <cell r="AT189">
            <v>21.1</v>
          </cell>
          <cell r="AU189">
            <v>0.65169999999999995</v>
          </cell>
          <cell r="AV189">
            <v>32.016647999999996</v>
          </cell>
          <cell r="AW189">
            <v>0.66847380000000001</v>
          </cell>
          <cell r="AX189">
            <v>10.87494</v>
          </cell>
          <cell r="AY189">
            <v>335.88617999999997</v>
          </cell>
          <cell r="AZ189">
            <v>10</v>
          </cell>
          <cell r="BA189">
            <v>10</v>
          </cell>
          <cell r="BB189">
            <v>10</v>
          </cell>
          <cell r="BC189">
            <v>10</v>
          </cell>
          <cell r="BD189">
            <v>10</v>
          </cell>
          <cell r="BE189">
            <v>10</v>
          </cell>
          <cell r="BF189">
            <v>2.0878943979394722E-2</v>
          </cell>
          <cell r="BI189">
            <v>153</v>
          </cell>
          <cell r="BK189">
            <v>38974.5</v>
          </cell>
          <cell r="BL189">
            <v>226527.7</v>
          </cell>
          <cell r="BM189">
            <v>226408.7</v>
          </cell>
          <cell r="BN189">
            <v>119</v>
          </cell>
          <cell r="BO189">
            <v>474710.2</v>
          </cell>
          <cell r="BP189">
            <v>-56965.4</v>
          </cell>
          <cell r="BQ189">
            <v>531145.6</v>
          </cell>
          <cell r="BR189">
            <v>266682.59999999998</v>
          </cell>
          <cell r="BS189">
            <v>90000</v>
          </cell>
          <cell r="BT189">
            <v>174483</v>
          </cell>
          <cell r="BU189">
            <v>629122.69999999995</v>
          </cell>
          <cell r="BV189">
            <v>131765.20000000001</v>
          </cell>
          <cell r="BW189">
            <v>448628.1</v>
          </cell>
          <cell r="BX189">
            <v>196363.1</v>
          </cell>
          <cell r="BY189">
            <v>162857</v>
          </cell>
          <cell r="BZ189">
            <v>72115.199999999997</v>
          </cell>
          <cell r="CA189">
            <v>10</v>
          </cell>
          <cell r="CD189">
            <v>153</v>
          </cell>
          <cell r="CF189">
            <v>38974.5</v>
          </cell>
          <cell r="CG189">
            <v>10.438888888888901</v>
          </cell>
          <cell r="CH189">
            <v>11.5</v>
          </cell>
          <cell r="CI189">
            <v>10.96944444444445</v>
          </cell>
          <cell r="CJ189">
            <v>8.5</v>
          </cell>
          <cell r="CK189">
            <v>14.75</v>
          </cell>
          <cell r="CL189">
            <v>5.25</v>
          </cell>
          <cell r="CM189">
            <v>18</v>
          </cell>
          <cell r="CN189">
            <v>11.5</v>
          </cell>
          <cell r="CO189">
            <v>18</v>
          </cell>
          <cell r="CP189">
            <v>12</v>
          </cell>
          <cell r="CQ189">
            <v>26.99</v>
          </cell>
          <cell r="CR189">
            <v>3.5</v>
          </cell>
          <cell r="CS189">
            <v>18</v>
          </cell>
          <cell r="CT189">
            <v>27</v>
          </cell>
          <cell r="CU189">
            <v>10</v>
          </cell>
          <cell r="CV189">
            <v>10</v>
          </cell>
          <cell r="CY189">
            <v>153</v>
          </cell>
        </row>
        <row r="190">
          <cell r="A190">
            <v>39004.9375</v>
          </cell>
          <cell r="B190">
            <v>119.61236272982239</v>
          </cell>
          <cell r="C190">
            <v>135.42506010928963</v>
          </cell>
          <cell r="D190">
            <v>120.63208976377952</v>
          </cell>
          <cell r="E190">
            <v>137.02193333333332</v>
          </cell>
          <cell r="F190">
            <v>108.15694894894894</v>
          </cell>
          <cell r="G190">
            <v>108.78773031026253</v>
          </cell>
          <cell r="H190">
            <v>141.97485228002569</v>
          </cell>
          <cell r="I190">
            <v>159.80338596491228</v>
          </cell>
          <cell r="J190">
            <v>107.4495569105691</v>
          </cell>
          <cell r="K190">
            <v>149.13300000000001</v>
          </cell>
          <cell r="L190">
            <v>146.48139859437751</v>
          </cell>
          <cell r="M190">
            <v>115.76285354691076</v>
          </cell>
          <cell r="N190">
            <v>127.14194910000002</v>
          </cell>
          <cell r="R190">
            <v>154</v>
          </cell>
          <cell r="T190">
            <v>39004.9375</v>
          </cell>
          <cell r="AN190" t="str">
            <v/>
          </cell>
          <cell r="AP190">
            <v>39004.9375</v>
          </cell>
          <cell r="AQ190">
            <v>520.20000000000005</v>
          </cell>
          <cell r="AR190">
            <v>57.91</v>
          </cell>
          <cell r="AS190">
            <v>1.258</v>
          </cell>
          <cell r="AT190">
            <v>20.66</v>
          </cell>
          <cell r="AU190">
            <v>0.67749999999999999</v>
          </cell>
          <cell r="AV190">
            <v>30.124782</v>
          </cell>
          <cell r="AW190">
            <v>0.65441159999999998</v>
          </cell>
          <cell r="AX190">
            <v>10.747332</v>
          </cell>
          <cell r="AY190">
            <v>352.43550000000005</v>
          </cell>
          <cell r="AZ190">
            <v>10</v>
          </cell>
          <cell r="BA190">
            <v>10</v>
          </cell>
          <cell r="BB190">
            <v>10</v>
          </cell>
          <cell r="BC190">
            <v>10</v>
          </cell>
          <cell r="BD190">
            <v>10</v>
          </cell>
          <cell r="BE190">
            <v>10</v>
          </cell>
          <cell r="BF190">
            <v>2.1723363840442066E-2</v>
          </cell>
          <cell r="BI190">
            <v>154</v>
          </cell>
          <cell r="BK190">
            <v>39004.9375</v>
          </cell>
          <cell r="BL190">
            <v>229777.3</v>
          </cell>
          <cell r="BM190">
            <v>225124.3</v>
          </cell>
          <cell r="BN190">
            <v>4653</v>
          </cell>
          <cell r="BO190">
            <v>482407.2</v>
          </cell>
          <cell r="BP190">
            <v>-44979.8</v>
          </cell>
          <cell r="BQ190">
            <v>527387</v>
          </cell>
          <cell r="BR190">
            <v>283570</v>
          </cell>
          <cell r="BS190">
            <v>89000</v>
          </cell>
          <cell r="BT190">
            <v>174817</v>
          </cell>
          <cell r="BU190">
            <v>644525.30000000005</v>
          </cell>
          <cell r="BV190">
            <v>133082.20000000001</v>
          </cell>
          <cell r="BW190">
            <v>463072</v>
          </cell>
          <cell r="BX190">
            <v>208097</v>
          </cell>
          <cell r="BY190">
            <v>186090</v>
          </cell>
          <cell r="BZ190">
            <v>67659.199999999997</v>
          </cell>
          <cell r="CA190">
            <v>10</v>
          </cell>
          <cell r="CD190">
            <v>154</v>
          </cell>
          <cell r="CF190">
            <v>39004.9375</v>
          </cell>
          <cell r="CG190">
            <v>10.438888888888901</v>
          </cell>
          <cell r="CH190">
            <v>11.5</v>
          </cell>
          <cell r="CI190">
            <v>10.96944444444445</v>
          </cell>
          <cell r="CJ190">
            <v>8.5</v>
          </cell>
          <cell r="CK190">
            <v>14.75</v>
          </cell>
          <cell r="CL190">
            <v>5.25</v>
          </cell>
          <cell r="CM190">
            <v>18</v>
          </cell>
          <cell r="CN190">
            <v>11.5</v>
          </cell>
          <cell r="CO190">
            <v>18</v>
          </cell>
          <cell r="CP190">
            <v>12</v>
          </cell>
          <cell r="CQ190">
            <v>26.99</v>
          </cell>
          <cell r="CR190">
            <v>3.5</v>
          </cell>
          <cell r="CS190">
            <v>18</v>
          </cell>
          <cell r="CT190">
            <v>27</v>
          </cell>
          <cell r="CU190">
            <v>10</v>
          </cell>
          <cell r="CV190">
            <v>10</v>
          </cell>
          <cell r="CY190">
            <v>154</v>
          </cell>
        </row>
        <row r="191">
          <cell r="A191">
            <v>39035.375</v>
          </cell>
          <cell r="B191">
            <v>120.02940916173264</v>
          </cell>
          <cell r="C191">
            <v>131.53571584699455</v>
          </cell>
          <cell r="D191">
            <v>120.63208976377952</v>
          </cell>
          <cell r="E191">
            <v>120.66137523809525</v>
          </cell>
          <cell r="F191">
            <v>108.15694894894894</v>
          </cell>
          <cell r="G191">
            <v>108.78773031026253</v>
          </cell>
          <cell r="H191">
            <v>140.64595054592164</v>
          </cell>
          <cell r="I191">
            <v>159.80338596491228</v>
          </cell>
          <cell r="J191">
            <v>107.4495569105691</v>
          </cell>
          <cell r="K191">
            <v>149.13300000000001</v>
          </cell>
          <cell r="L191">
            <v>145.59628815261044</v>
          </cell>
          <cell r="M191">
            <v>115.76285354691076</v>
          </cell>
          <cell r="N191">
            <v>125.19199999999999</v>
          </cell>
          <cell r="R191">
            <v>155</v>
          </cell>
          <cell r="T191">
            <v>39035.375</v>
          </cell>
          <cell r="AN191" t="str">
            <v/>
          </cell>
          <cell r="AP191">
            <v>39035.375</v>
          </cell>
          <cell r="AQ191">
            <v>509.3</v>
          </cell>
          <cell r="AR191">
            <v>58.14</v>
          </cell>
          <cell r="AS191">
            <v>1.266</v>
          </cell>
          <cell r="AT191">
            <v>22.1</v>
          </cell>
          <cell r="AU191">
            <v>0.67749999999999999</v>
          </cell>
          <cell r="AV191">
            <v>29.610702</v>
          </cell>
          <cell r="AW191">
            <v>0.64477380000000006</v>
          </cell>
          <cell r="AX191">
            <v>11.25553</v>
          </cell>
          <cell r="AY191">
            <v>345.05074999999999</v>
          </cell>
          <cell r="AZ191">
            <v>10</v>
          </cell>
          <cell r="BA191">
            <v>10</v>
          </cell>
          <cell r="BB191">
            <v>10</v>
          </cell>
          <cell r="BC191">
            <v>10</v>
          </cell>
          <cell r="BD191">
            <v>10</v>
          </cell>
          <cell r="BE191">
            <v>10</v>
          </cell>
          <cell r="BF191">
            <v>2.1775025799793603E-2</v>
          </cell>
          <cell r="BI191">
            <v>155</v>
          </cell>
          <cell r="BK191">
            <v>39035.375</v>
          </cell>
          <cell r="BL191">
            <v>211561.9</v>
          </cell>
          <cell r="BM191">
            <v>207524.9</v>
          </cell>
          <cell r="BN191">
            <v>4037</v>
          </cell>
          <cell r="BO191">
            <v>498567.7</v>
          </cell>
          <cell r="BP191">
            <v>-37303.199999999997</v>
          </cell>
          <cell r="BQ191">
            <v>535870.9</v>
          </cell>
          <cell r="BR191">
            <v>274733.90000000002</v>
          </cell>
          <cell r="BS191">
            <v>83997</v>
          </cell>
          <cell r="BT191">
            <v>177140</v>
          </cell>
          <cell r="BU191">
            <v>641568.30000000005</v>
          </cell>
          <cell r="BV191">
            <v>130891.8</v>
          </cell>
          <cell r="BW191">
            <v>462105.59999999998</v>
          </cell>
          <cell r="BX191">
            <v>205840.6</v>
          </cell>
          <cell r="BY191">
            <v>168353</v>
          </cell>
          <cell r="BZ191">
            <v>68561.3</v>
          </cell>
          <cell r="CA191">
            <v>10</v>
          </cell>
          <cell r="CD191">
            <v>155</v>
          </cell>
          <cell r="CF191">
            <v>39035.375</v>
          </cell>
          <cell r="CG191">
            <v>10.438888888888901</v>
          </cell>
          <cell r="CH191">
            <v>11.5</v>
          </cell>
          <cell r="CI191">
            <v>10.96944444444445</v>
          </cell>
          <cell r="CJ191">
            <v>8.5</v>
          </cell>
          <cell r="CK191">
            <v>14.75</v>
          </cell>
          <cell r="CL191">
            <v>5.25</v>
          </cell>
          <cell r="CM191">
            <v>18</v>
          </cell>
          <cell r="CN191">
            <v>11.5</v>
          </cell>
          <cell r="CO191">
            <v>18</v>
          </cell>
          <cell r="CP191">
            <v>12</v>
          </cell>
          <cell r="CQ191">
            <v>26.99</v>
          </cell>
          <cell r="CR191">
            <v>3.5</v>
          </cell>
          <cell r="CS191">
            <v>18</v>
          </cell>
          <cell r="CT191">
            <v>27</v>
          </cell>
          <cell r="CU191">
            <v>10</v>
          </cell>
          <cell r="CV191">
            <v>10</v>
          </cell>
          <cell r="CY191">
            <v>155</v>
          </cell>
        </row>
        <row r="192">
          <cell r="A192">
            <v>39065.8125</v>
          </cell>
          <cell r="B192">
            <v>119.03239513867247</v>
          </cell>
          <cell r="C192">
            <v>133.02319125683061</v>
          </cell>
          <cell r="D192">
            <v>120.63208976377952</v>
          </cell>
          <cell r="E192">
            <v>122.07901619047618</v>
          </cell>
          <cell r="F192">
            <v>108.15694894894894</v>
          </cell>
          <cell r="G192">
            <v>108.78773031026253</v>
          </cell>
          <cell r="H192">
            <v>140.1902665382145</v>
          </cell>
          <cell r="I192">
            <v>159.80338596491228</v>
          </cell>
          <cell r="J192">
            <v>107.4495569105691</v>
          </cell>
          <cell r="K192">
            <v>149.13300000000001</v>
          </cell>
          <cell r="L192">
            <v>149.56629819277109</v>
          </cell>
          <cell r="M192">
            <v>115.76285354691076</v>
          </cell>
          <cell r="N192">
            <v>125.372</v>
          </cell>
          <cell r="R192">
            <v>156</v>
          </cell>
          <cell r="T192">
            <v>39065.8125</v>
          </cell>
          <cell r="AN192" t="str">
            <v/>
          </cell>
          <cell r="AP192">
            <v>39065.8125</v>
          </cell>
          <cell r="AQ192">
            <v>496.5</v>
          </cell>
          <cell r="AR192">
            <v>60.99</v>
          </cell>
          <cell r="AS192">
            <v>1.31</v>
          </cell>
          <cell r="AT192">
            <v>22.2</v>
          </cell>
          <cell r="AU192">
            <v>0.67749999999999999</v>
          </cell>
          <cell r="AV192">
            <v>30.281534999999998</v>
          </cell>
          <cell r="AW192">
            <v>0.65041500000000008</v>
          </cell>
          <cell r="AX192">
            <v>11.0223</v>
          </cell>
          <cell r="AY192">
            <v>336.37874999999997</v>
          </cell>
          <cell r="AZ192">
            <v>10</v>
          </cell>
          <cell r="BA192">
            <v>10</v>
          </cell>
          <cell r="BB192">
            <v>10</v>
          </cell>
          <cell r="BC192">
            <v>10</v>
          </cell>
          <cell r="BD192">
            <v>10</v>
          </cell>
          <cell r="BE192">
            <v>10</v>
          </cell>
          <cell r="BF192">
            <v>2.1478930972290543E-2</v>
          </cell>
          <cell r="BI192">
            <v>156</v>
          </cell>
          <cell r="BK192">
            <v>39065.8125</v>
          </cell>
          <cell r="BL192">
            <v>220994.1</v>
          </cell>
          <cell r="BM192">
            <v>202940.1</v>
          </cell>
          <cell r="BN192">
            <v>18054</v>
          </cell>
          <cell r="BO192">
            <v>512206</v>
          </cell>
          <cell r="BP192">
            <v>-30161.8</v>
          </cell>
          <cell r="BQ192">
            <v>542367.80000000005</v>
          </cell>
          <cell r="BR192">
            <v>292639.8</v>
          </cell>
          <cell r="BS192">
            <v>75464</v>
          </cell>
          <cell r="BT192">
            <v>174264</v>
          </cell>
          <cell r="BU192">
            <v>661607.30000000005</v>
          </cell>
          <cell r="BV192">
            <v>142041.29999999999</v>
          </cell>
          <cell r="BW192">
            <v>470669.8</v>
          </cell>
          <cell r="BX192">
            <v>222151.8</v>
          </cell>
          <cell r="BY192">
            <v>159858</v>
          </cell>
          <cell r="BZ192">
            <v>71592.800000000003</v>
          </cell>
          <cell r="CA192">
            <v>10</v>
          </cell>
          <cell r="CD192">
            <v>156</v>
          </cell>
          <cell r="CF192">
            <v>39065.8125</v>
          </cell>
          <cell r="CG192">
            <v>10.438888888888901</v>
          </cell>
          <cell r="CH192">
            <v>11.5</v>
          </cell>
          <cell r="CI192">
            <v>10.96944444444445</v>
          </cell>
          <cell r="CJ192">
            <v>8.5</v>
          </cell>
          <cell r="CK192">
            <v>14.75</v>
          </cell>
          <cell r="CL192">
            <v>5.25</v>
          </cell>
          <cell r="CM192">
            <v>18</v>
          </cell>
          <cell r="CN192">
            <v>11.5</v>
          </cell>
          <cell r="CO192">
            <v>18</v>
          </cell>
          <cell r="CP192">
            <v>12</v>
          </cell>
          <cell r="CQ192">
            <v>26.99</v>
          </cell>
          <cell r="CR192">
            <v>3.5</v>
          </cell>
          <cell r="CS192">
            <v>18</v>
          </cell>
          <cell r="CT192">
            <v>27</v>
          </cell>
          <cell r="CU192">
            <v>10</v>
          </cell>
          <cell r="CV192">
            <v>10</v>
          </cell>
          <cell r="CY192">
            <v>156</v>
          </cell>
        </row>
        <row r="193">
          <cell r="A193">
            <v>39096.25</v>
          </cell>
          <cell r="B193">
            <v>112.4247313804924</v>
          </cell>
          <cell r="C193">
            <v>132.53439344262296</v>
          </cell>
          <cell r="D193">
            <v>123.04232755905511</v>
          </cell>
          <cell r="E193">
            <v>118.80606380952381</v>
          </cell>
          <cell r="F193">
            <v>108.22722822822821</v>
          </cell>
          <cell r="G193">
            <v>108.78773031026253</v>
          </cell>
          <cell r="H193">
            <v>140.87072703917792</v>
          </cell>
          <cell r="I193">
            <v>159.80338596491228</v>
          </cell>
          <cell r="J193">
            <v>107.17337398373985</v>
          </cell>
          <cell r="K193">
            <v>149.13300000000001</v>
          </cell>
          <cell r="L193">
            <v>150.04082128514057</v>
          </cell>
          <cell r="M193">
            <v>115.74647597254005</v>
          </cell>
          <cell r="N193">
            <v>123.196</v>
          </cell>
          <cell r="R193">
            <v>157</v>
          </cell>
          <cell r="T193">
            <v>39096.25</v>
          </cell>
          <cell r="AN193" t="str">
            <v/>
          </cell>
          <cell r="AP193">
            <v>39096.25</v>
          </cell>
          <cell r="AQ193">
            <v>504.7</v>
          </cell>
          <cell r="AR193">
            <v>59.52</v>
          </cell>
          <cell r="AS193">
            <v>1.302</v>
          </cell>
          <cell r="AT193">
            <v>22.26</v>
          </cell>
          <cell r="AU193">
            <v>0.67749999999999999</v>
          </cell>
          <cell r="AV193">
            <v>30.039744000000002</v>
          </cell>
          <cell r="AW193">
            <v>0.65711940000000002</v>
          </cell>
          <cell r="AX193">
            <v>11.234622000000002</v>
          </cell>
          <cell r="AY193">
            <v>341.93424999999996</v>
          </cell>
          <cell r="AZ193">
            <v>10</v>
          </cell>
          <cell r="BA193">
            <v>10</v>
          </cell>
          <cell r="BB193">
            <v>10</v>
          </cell>
          <cell r="BC193">
            <v>10</v>
          </cell>
          <cell r="BD193">
            <v>10</v>
          </cell>
          <cell r="BE193">
            <v>10</v>
          </cell>
          <cell r="BF193">
            <v>2.1874999999999999E-2</v>
          </cell>
          <cell r="BI193">
            <v>157</v>
          </cell>
          <cell r="BK193">
            <v>39096.25</v>
          </cell>
          <cell r="BL193">
            <v>385841.4</v>
          </cell>
          <cell r="BM193">
            <v>359248.4</v>
          </cell>
          <cell r="BN193">
            <v>26593</v>
          </cell>
          <cell r="BO193">
            <v>368687.2</v>
          </cell>
          <cell r="BP193">
            <v>-159426.70000000001</v>
          </cell>
          <cell r="BQ193">
            <v>528113.9</v>
          </cell>
          <cell r="BR193">
            <v>353776.9</v>
          </cell>
          <cell r="BS193">
            <v>2800</v>
          </cell>
          <cell r="BT193">
            <v>171537</v>
          </cell>
          <cell r="BU193">
            <v>682208.5</v>
          </cell>
          <cell r="BV193">
            <v>134083.70000000001</v>
          </cell>
          <cell r="BW193">
            <v>498614.2</v>
          </cell>
          <cell r="BX193">
            <v>252626.2</v>
          </cell>
          <cell r="BY193">
            <v>155075</v>
          </cell>
          <cell r="BZ193">
            <v>72320.100000000006</v>
          </cell>
          <cell r="CA193">
            <v>10</v>
          </cell>
          <cell r="CD193">
            <v>157</v>
          </cell>
          <cell r="CF193">
            <v>39096.25</v>
          </cell>
          <cell r="CJ193">
            <v>8.5</v>
          </cell>
          <cell r="CK193">
            <v>14.75</v>
          </cell>
          <cell r="CL193">
            <v>5.5</v>
          </cell>
          <cell r="CM193">
            <v>18</v>
          </cell>
          <cell r="CN193">
            <v>11.5</v>
          </cell>
          <cell r="CO193">
            <v>18</v>
          </cell>
          <cell r="CP193">
            <v>12</v>
          </cell>
          <cell r="CQ193">
            <v>25.5</v>
          </cell>
          <cell r="CR193">
            <v>3.5</v>
          </cell>
          <cell r="CS193">
            <v>18</v>
          </cell>
          <cell r="CT193">
            <v>27</v>
          </cell>
          <cell r="CU193">
            <v>10</v>
          </cell>
          <cell r="CV193">
            <v>10</v>
          </cell>
          <cell r="CY193">
            <v>157</v>
          </cell>
        </row>
        <row r="194">
          <cell r="A194">
            <v>39126.6875</v>
          </cell>
          <cell r="B194">
            <v>112.58992645684013</v>
          </cell>
          <cell r="C194">
            <v>131.39586885245905</v>
          </cell>
          <cell r="D194">
            <v>123.04232755905511</v>
          </cell>
          <cell r="E194">
            <v>118.12342761904762</v>
          </cell>
          <cell r="F194">
            <v>108.22722822822821</v>
          </cell>
          <cell r="G194">
            <v>108.92524343675419</v>
          </cell>
          <cell r="H194">
            <v>140.21074887604368</v>
          </cell>
          <cell r="I194">
            <v>159.80338596491228</v>
          </cell>
          <cell r="J194">
            <v>107.17337398373985</v>
          </cell>
          <cell r="K194">
            <v>149.13300000000001</v>
          </cell>
          <cell r="L194">
            <v>150.26959136546185</v>
          </cell>
          <cell r="M194">
            <v>115.74647597254005</v>
          </cell>
          <cell r="N194">
            <v>123.08199999999999</v>
          </cell>
          <cell r="R194">
            <v>158</v>
          </cell>
          <cell r="T194">
            <v>39126.6875</v>
          </cell>
          <cell r="AN194" t="str">
            <v/>
          </cell>
          <cell r="AP194">
            <v>39126.6875</v>
          </cell>
          <cell r="AQ194">
            <v>501.7</v>
          </cell>
          <cell r="AR194">
            <v>57.56</v>
          </cell>
          <cell r="AS194">
            <v>1.2769999999999999</v>
          </cell>
          <cell r="AT194">
            <v>23.45</v>
          </cell>
          <cell r="AU194">
            <v>0.67749999999999999</v>
          </cell>
          <cell r="AV194">
            <v>28.877851999999997</v>
          </cell>
          <cell r="AW194">
            <v>0.64067089999999993</v>
          </cell>
          <cell r="AX194">
            <v>11.764865</v>
          </cell>
          <cell r="AY194">
            <v>339.90174999999999</v>
          </cell>
          <cell r="AZ194">
            <v>10</v>
          </cell>
          <cell r="BA194">
            <v>10</v>
          </cell>
          <cell r="BB194">
            <v>10</v>
          </cell>
          <cell r="BC194">
            <v>10</v>
          </cell>
          <cell r="BD194">
            <v>10</v>
          </cell>
          <cell r="BE194">
            <v>10</v>
          </cell>
          <cell r="BF194">
            <v>2.2185545517720638E-2</v>
          </cell>
          <cell r="BI194">
            <v>158</v>
          </cell>
          <cell r="BK194">
            <v>39126.6875</v>
          </cell>
          <cell r="BL194">
            <v>383685.4</v>
          </cell>
          <cell r="BM194">
            <v>357187.4</v>
          </cell>
          <cell r="BN194">
            <v>26498</v>
          </cell>
          <cell r="BO194">
            <v>403663</v>
          </cell>
          <cell r="BP194">
            <v>-141336.29999999999</v>
          </cell>
          <cell r="BQ194">
            <v>544999.30000000005</v>
          </cell>
          <cell r="BR194">
            <v>342877.8</v>
          </cell>
          <cell r="BS194">
            <v>29635.5</v>
          </cell>
          <cell r="BT194">
            <v>172486</v>
          </cell>
          <cell r="BU194">
            <v>718323</v>
          </cell>
          <cell r="BV194">
            <v>145495.6</v>
          </cell>
          <cell r="BW194">
            <v>521870.9</v>
          </cell>
          <cell r="BX194">
            <v>262880.90000000002</v>
          </cell>
          <cell r="BY194">
            <v>166065</v>
          </cell>
          <cell r="BZ194">
            <v>69025.399999999994</v>
          </cell>
          <cell r="CA194">
            <v>10</v>
          </cell>
          <cell r="CD194">
            <v>158</v>
          </cell>
          <cell r="CF194">
            <v>39126.6875</v>
          </cell>
          <cell r="CJ194">
            <v>8.5</v>
          </cell>
          <cell r="CK194">
            <v>14.75</v>
          </cell>
          <cell r="CL194">
            <v>5.5</v>
          </cell>
          <cell r="CM194">
            <v>18</v>
          </cell>
          <cell r="CN194">
            <v>11.5</v>
          </cell>
          <cell r="CO194">
            <v>18</v>
          </cell>
          <cell r="CP194">
            <v>12</v>
          </cell>
          <cell r="CQ194">
            <v>25.5</v>
          </cell>
          <cell r="CR194">
            <v>3.5</v>
          </cell>
          <cell r="CS194">
            <v>18</v>
          </cell>
          <cell r="CT194">
            <v>27</v>
          </cell>
          <cell r="CU194">
            <v>10</v>
          </cell>
          <cell r="CV194">
            <v>10</v>
          </cell>
          <cell r="CY194">
            <v>158</v>
          </cell>
        </row>
        <row r="195">
          <cell r="A195">
            <v>39157.125</v>
          </cell>
          <cell r="B195">
            <v>111.59133499532565</v>
          </cell>
          <cell r="C195">
            <v>131.73493989071036</v>
          </cell>
          <cell r="D195">
            <v>123.04232755905511</v>
          </cell>
          <cell r="E195">
            <v>119.88990380952382</v>
          </cell>
          <cell r="F195">
            <v>108.22722822822821</v>
          </cell>
          <cell r="G195">
            <v>108.92524343675419</v>
          </cell>
          <cell r="H195">
            <v>141.13568143866411</v>
          </cell>
          <cell r="I195">
            <v>159.80338596491228</v>
          </cell>
          <cell r="J195">
            <v>107.17337398373985</v>
          </cell>
          <cell r="K195">
            <v>149.13300000000001</v>
          </cell>
          <cell r="L195">
            <v>149.90795481927711</v>
          </cell>
          <cell r="M195">
            <v>115.74647597254005</v>
          </cell>
          <cell r="N195">
            <v>123.06100000000001</v>
          </cell>
          <cell r="R195">
            <v>159</v>
          </cell>
          <cell r="T195">
            <v>39157.125</v>
          </cell>
          <cell r="AN195" t="str">
            <v/>
          </cell>
          <cell r="AP195">
            <v>39157.125</v>
          </cell>
          <cell r="AQ195">
            <v>495.4</v>
          </cell>
          <cell r="AR195">
            <v>60.6</v>
          </cell>
          <cell r="AS195">
            <v>1.288</v>
          </cell>
          <cell r="AT195">
            <v>23.1</v>
          </cell>
          <cell r="AU195">
            <v>0.67749999999999999</v>
          </cell>
          <cell r="AV195">
            <v>30.021239999999999</v>
          </cell>
          <cell r="AW195">
            <v>0.63807519999999995</v>
          </cell>
          <cell r="AX195">
            <v>11.44374</v>
          </cell>
          <cell r="AY195">
            <v>335.63349999999997</v>
          </cell>
          <cell r="AZ195">
            <v>10</v>
          </cell>
          <cell r="BA195">
            <v>10</v>
          </cell>
          <cell r="BB195">
            <v>10</v>
          </cell>
          <cell r="BC195">
            <v>10</v>
          </cell>
          <cell r="BD195">
            <v>10</v>
          </cell>
          <cell r="BE195">
            <v>10</v>
          </cell>
          <cell r="BF195">
            <v>2.1254125412541253E-2</v>
          </cell>
          <cell r="BI195">
            <v>159</v>
          </cell>
          <cell r="BK195">
            <v>39157.125</v>
          </cell>
          <cell r="BL195">
            <v>383946.7</v>
          </cell>
          <cell r="BM195">
            <v>350337.7</v>
          </cell>
          <cell r="BN195">
            <v>33609</v>
          </cell>
          <cell r="BO195">
            <v>443666.3</v>
          </cell>
          <cell r="BP195">
            <v>-106903</v>
          </cell>
          <cell r="BQ195">
            <v>550569.30000000005</v>
          </cell>
          <cell r="BR195">
            <v>332041.7</v>
          </cell>
          <cell r="BS195">
            <v>46931.6</v>
          </cell>
          <cell r="BT195">
            <v>171596</v>
          </cell>
          <cell r="BU195">
            <v>760082.2</v>
          </cell>
          <cell r="BV195">
            <v>189407.2</v>
          </cell>
          <cell r="BW195">
            <v>519012.7</v>
          </cell>
          <cell r="BX195">
            <v>255563.7</v>
          </cell>
          <cell r="BY195">
            <v>168937</v>
          </cell>
          <cell r="BZ195">
            <v>67530.79999999993</v>
          </cell>
          <cell r="CA195">
            <v>10</v>
          </cell>
          <cell r="CD195">
            <v>159</v>
          </cell>
          <cell r="CF195">
            <v>39157.125</v>
          </cell>
          <cell r="CJ195">
            <v>8.5</v>
          </cell>
          <cell r="CK195">
            <v>14.75</v>
          </cell>
          <cell r="CL195">
            <v>5.5</v>
          </cell>
          <cell r="CM195">
            <v>18</v>
          </cell>
          <cell r="CN195">
            <v>11.5</v>
          </cell>
          <cell r="CO195">
            <v>18</v>
          </cell>
          <cell r="CP195">
            <v>12</v>
          </cell>
          <cell r="CQ195">
            <v>25.5</v>
          </cell>
          <cell r="CR195">
            <v>3.5</v>
          </cell>
          <cell r="CS195">
            <v>18</v>
          </cell>
          <cell r="CT195">
            <v>27</v>
          </cell>
          <cell r="CU195">
            <v>10</v>
          </cell>
          <cell r="CV195">
            <v>10</v>
          </cell>
          <cell r="CY195">
            <v>159</v>
          </cell>
        </row>
        <row r="196">
          <cell r="A196">
            <v>39187.5625</v>
          </cell>
          <cell r="B196">
            <v>112.83820380180747</v>
          </cell>
          <cell r="C196">
            <v>133.98985792349728</v>
          </cell>
          <cell r="D196">
            <v>123.04232755905511</v>
          </cell>
          <cell r="E196">
            <v>118.64614857142858</v>
          </cell>
          <cell r="F196">
            <v>108.22722822822821</v>
          </cell>
          <cell r="G196">
            <v>108.92524343675419</v>
          </cell>
          <cell r="H196">
            <v>142.79795504174697</v>
          </cell>
          <cell r="I196">
            <v>159.80338596491228</v>
          </cell>
          <cell r="J196">
            <v>107.17337398373985</v>
          </cell>
          <cell r="K196">
            <v>149.13300000000001</v>
          </cell>
          <cell r="L196">
            <v>148.77609236947791</v>
          </cell>
          <cell r="M196">
            <v>115.74647597254005</v>
          </cell>
          <cell r="N196">
            <v>123.518</v>
          </cell>
          <cell r="R196">
            <v>160</v>
          </cell>
          <cell r="T196">
            <v>39187.5625</v>
          </cell>
          <cell r="AN196" t="str">
            <v/>
          </cell>
          <cell r="AP196">
            <v>39187.5625</v>
          </cell>
          <cell r="AQ196">
            <v>485.3</v>
          </cell>
          <cell r="AR196">
            <v>65.06</v>
          </cell>
          <cell r="AS196">
            <v>1.2609999999999999</v>
          </cell>
          <cell r="AT196">
            <v>23.96</v>
          </cell>
          <cell r="AU196">
            <v>0.67749999999999999</v>
          </cell>
          <cell r="AV196">
            <v>31.573618000000003</v>
          </cell>
          <cell r="AW196">
            <v>0.61196329999999999</v>
          </cell>
          <cell r="AX196">
            <v>11.627788000000001</v>
          </cell>
          <cell r="AY196">
            <v>328.79075</v>
          </cell>
          <cell r="AZ196">
            <v>10</v>
          </cell>
          <cell r="BA196">
            <v>10</v>
          </cell>
          <cell r="BB196">
            <v>10</v>
          </cell>
          <cell r="BC196">
            <v>10</v>
          </cell>
          <cell r="BD196">
            <v>10</v>
          </cell>
          <cell r="BE196">
            <v>10</v>
          </cell>
          <cell r="BF196">
            <v>1.9382108822625265E-2</v>
          </cell>
          <cell r="BI196">
            <v>160</v>
          </cell>
          <cell r="BK196">
            <v>39187.5625</v>
          </cell>
          <cell r="BL196">
            <v>428516.4</v>
          </cell>
          <cell r="BM196">
            <v>392139.4</v>
          </cell>
          <cell r="BN196">
            <v>36377</v>
          </cell>
          <cell r="BO196">
            <v>436355.9</v>
          </cell>
          <cell r="BP196">
            <v>-110337.8</v>
          </cell>
          <cell r="BQ196">
            <v>546693.69999999995</v>
          </cell>
          <cell r="BR196">
            <v>307988.2</v>
          </cell>
          <cell r="BS196">
            <v>64191.5</v>
          </cell>
          <cell r="BT196">
            <v>174514</v>
          </cell>
          <cell r="BU196">
            <v>800667.9</v>
          </cell>
          <cell r="BV196">
            <v>197713.4</v>
          </cell>
          <cell r="BW196">
            <v>550738.9</v>
          </cell>
          <cell r="BX196">
            <v>281255.90000000002</v>
          </cell>
          <cell r="BY196">
            <v>173419</v>
          </cell>
          <cell r="BZ196">
            <v>64204.399999999907</v>
          </cell>
          <cell r="CA196">
            <v>10</v>
          </cell>
          <cell r="CD196">
            <v>160</v>
          </cell>
          <cell r="CF196">
            <v>39187.5625</v>
          </cell>
          <cell r="CJ196">
            <v>8.5</v>
          </cell>
          <cell r="CK196">
            <v>14.75</v>
          </cell>
          <cell r="CL196">
            <v>5.5</v>
          </cell>
          <cell r="CM196">
            <v>18</v>
          </cell>
          <cell r="CN196">
            <v>11.5</v>
          </cell>
          <cell r="CO196">
            <v>18</v>
          </cell>
          <cell r="CP196">
            <v>12</v>
          </cell>
          <cell r="CQ196">
            <v>25.5</v>
          </cell>
          <cell r="CR196">
            <v>3.5</v>
          </cell>
          <cell r="CS196">
            <v>18</v>
          </cell>
          <cell r="CT196">
            <v>27</v>
          </cell>
          <cell r="CU196">
            <v>10</v>
          </cell>
          <cell r="CV196">
            <v>10</v>
          </cell>
          <cell r="CY196">
            <v>160</v>
          </cell>
        </row>
        <row r="197">
          <cell r="A197">
            <v>39218</v>
          </cell>
          <cell r="B197">
            <v>117.57624181988156</v>
          </cell>
          <cell r="C197">
            <v>133.04750819672131</v>
          </cell>
          <cell r="D197">
            <v>123.04232755905511</v>
          </cell>
          <cell r="E197">
            <v>120.61965238095237</v>
          </cell>
          <cell r="F197">
            <v>108.22722822822821</v>
          </cell>
          <cell r="G197">
            <v>108.92524343675419</v>
          </cell>
          <cell r="H197">
            <v>143.2455850995504</v>
          </cell>
          <cell r="I197">
            <v>159.80338596491228</v>
          </cell>
          <cell r="J197">
            <v>107.17337398373985</v>
          </cell>
          <cell r="K197">
            <v>149.13300000000001</v>
          </cell>
          <cell r="L197">
            <v>148.53333634538154</v>
          </cell>
          <cell r="M197">
            <v>115.74647597254005</v>
          </cell>
          <cell r="N197">
            <v>125.274</v>
          </cell>
          <cell r="R197">
            <v>161</v>
          </cell>
          <cell r="T197">
            <v>39218</v>
          </cell>
          <cell r="AN197" t="str">
            <v/>
          </cell>
          <cell r="AP197">
            <v>39218</v>
          </cell>
          <cell r="AQ197">
            <v>485.5</v>
          </cell>
          <cell r="AR197">
            <v>65.16</v>
          </cell>
          <cell r="AS197">
            <v>1.2250000000000001</v>
          </cell>
          <cell r="AT197">
            <v>23.54</v>
          </cell>
          <cell r="AU197">
            <v>0.67749999999999999</v>
          </cell>
          <cell r="AV197">
            <v>31.635179999999998</v>
          </cell>
          <cell r="AW197">
            <v>0.59473750000000003</v>
          </cell>
          <cell r="AX197">
            <v>11.42867</v>
          </cell>
          <cell r="AY197">
            <v>328.92624999999998</v>
          </cell>
          <cell r="AZ197">
            <v>10</v>
          </cell>
          <cell r="BA197">
            <v>10</v>
          </cell>
          <cell r="BB197">
            <v>10</v>
          </cell>
          <cell r="BC197">
            <v>10</v>
          </cell>
          <cell r="BD197">
            <v>10</v>
          </cell>
          <cell r="BE197">
            <v>10</v>
          </cell>
          <cell r="BF197">
            <v>1.879987722529159E-2</v>
          </cell>
          <cell r="BI197">
            <v>161</v>
          </cell>
          <cell r="BK197">
            <v>39218</v>
          </cell>
          <cell r="BL197">
            <v>421790.8</v>
          </cell>
          <cell r="BM197">
            <v>382775.8</v>
          </cell>
          <cell r="BN197">
            <v>39015</v>
          </cell>
          <cell r="BO197">
            <v>409475.2</v>
          </cell>
          <cell r="BP197">
            <v>-115577.1</v>
          </cell>
          <cell r="BQ197">
            <v>525052.30000000005</v>
          </cell>
          <cell r="BR197">
            <v>283878.3</v>
          </cell>
          <cell r="BS197">
            <v>61850</v>
          </cell>
          <cell r="BT197">
            <v>179324</v>
          </cell>
          <cell r="BU197">
            <v>789116.5</v>
          </cell>
          <cell r="BV197">
            <v>202885.6</v>
          </cell>
          <cell r="BW197">
            <v>532744.5</v>
          </cell>
          <cell r="BX197">
            <v>256335.5</v>
          </cell>
          <cell r="BY197">
            <v>178154</v>
          </cell>
          <cell r="BZ197">
            <v>42149.5</v>
          </cell>
          <cell r="CA197">
            <v>10</v>
          </cell>
          <cell r="CD197">
            <v>161</v>
          </cell>
          <cell r="CF197">
            <v>39218</v>
          </cell>
          <cell r="CJ197">
            <v>8.5</v>
          </cell>
          <cell r="CK197">
            <v>14.75</v>
          </cell>
          <cell r="CL197">
            <v>5.5</v>
          </cell>
          <cell r="CM197">
            <v>18</v>
          </cell>
          <cell r="CN197">
            <v>11.5</v>
          </cell>
          <cell r="CO197">
            <v>18</v>
          </cell>
          <cell r="CP197">
            <v>12</v>
          </cell>
          <cell r="CQ197">
            <v>25.5</v>
          </cell>
          <cell r="CR197">
            <v>3.5</v>
          </cell>
          <cell r="CS197">
            <v>18</v>
          </cell>
          <cell r="CT197">
            <v>27</v>
          </cell>
          <cell r="CU197">
            <v>10</v>
          </cell>
          <cell r="CV197">
            <v>10</v>
          </cell>
          <cell r="CY197">
            <v>161</v>
          </cell>
        </row>
        <row r="198">
          <cell r="A198">
            <v>39248.4375</v>
          </cell>
          <cell r="B198">
            <v>120.6907304456217</v>
          </cell>
          <cell r="C198">
            <v>132.11813661202186</v>
          </cell>
          <cell r="D198">
            <v>123.04232755905511</v>
          </cell>
          <cell r="E198">
            <v>119.20350190476191</v>
          </cell>
          <cell r="F198">
            <v>108.22722822822821</v>
          </cell>
          <cell r="G198">
            <v>108.92524343675419</v>
          </cell>
          <cell r="H198">
            <v>143.73645215157356</v>
          </cell>
          <cell r="I198">
            <v>159.80338596491228</v>
          </cell>
          <cell r="J198">
            <v>107.0954918699187</v>
          </cell>
          <cell r="K198">
            <v>149.13300000000001</v>
          </cell>
          <cell r="L198">
            <v>149.46639859437749</v>
          </cell>
          <cell r="M198">
            <v>115.74647597254005</v>
          </cell>
          <cell r="N198">
            <v>126.274</v>
          </cell>
          <cell r="R198">
            <v>162</v>
          </cell>
          <cell r="T198">
            <v>39248.4375</v>
          </cell>
          <cell r="AN198" t="str">
            <v/>
          </cell>
          <cell r="AP198">
            <v>39248.4375</v>
          </cell>
          <cell r="AQ198">
            <v>488.9</v>
          </cell>
          <cell r="AR198">
            <v>68.19</v>
          </cell>
          <cell r="AS198">
            <v>1.3320000000000001</v>
          </cell>
          <cell r="AT198">
            <v>23.13</v>
          </cell>
          <cell r="AU198">
            <v>0.67749999999999999</v>
          </cell>
          <cell r="AV198">
            <v>33.338090999999999</v>
          </cell>
          <cell r="AW198">
            <v>0.65121479999999998</v>
          </cell>
          <cell r="AX198">
            <v>11.308256999999999</v>
          </cell>
          <cell r="AY198">
            <v>331.22974999999997</v>
          </cell>
          <cell r="AZ198">
            <v>10</v>
          </cell>
          <cell r="BA198">
            <v>10</v>
          </cell>
          <cell r="BB198">
            <v>10</v>
          </cell>
          <cell r="BC198">
            <v>10</v>
          </cell>
          <cell r="BD198">
            <v>10</v>
          </cell>
          <cell r="BE198">
            <v>10</v>
          </cell>
          <cell r="BF198">
            <v>1.9533655961284646E-2</v>
          </cell>
          <cell r="BI198">
            <v>162</v>
          </cell>
          <cell r="BK198">
            <v>39248.4375</v>
          </cell>
          <cell r="BL198">
            <v>432265.9</v>
          </cell>
          <cell r="BM198">
            <v>392099.9</v>
          </cell>
          <cell r="BN198">
            <v>40166</v>
          </cell>
          <cell r="BO198">
            <v>388820.4</v>
          </cell>
          <cell r="BP198">
            <v>-133950.29999999999</v>
          </cell>
          <cell r="BQ198">
            <v>522770.7</v>
          </cell>
          <cell r="BR198">
            <v>289858.8</v>
          </cell>
          <cell r="BS198">
            <v>52035.9</v>
          </cell>
          <cell r="BT198">
            <v>180876</v>
          </cell>
          <cell r="BU198">
            <v>783276.1</v>
          </cell>
          <cell r="BV198">
            <v>196459.1</v>
          </cell>
          <cell r="BW198">
            <v>533769.6</v>
          </cell>
          <cell r="BX198">
            <v>242835.6</v>
          </cell>
          <cell r="BY198">
            <v>189192</v>
          </cell>
          <cell r="BZ198">
            <v>37810.20000000007</v>
          </cell>
          <cell r="CA198">
            <v>10</v>
          </cell>
          <cell r="CD198">
            <v>162</v>
          </cell>
          <cell r="CF198">
            <v>39248.4375</v>
          </cell>
          <cell r="CJ198">
            <v>8.5</v>
          </cell>
          <cell r="CK198">
            <v>14.75</v>
          </cell>
          <cell r="CL198">
            <v>5.5</v>
          </cell>
          <cell r="CM198">
            <v>18</v>
          </cell>
          <cell r="CN198">
            <v>11.5</v>
          </cell>
          <cell r="CO198">
            <v>18</v>
          </cell>
          <cell r="CP198">
            <v>12</v>
          </cell>
          <cell r="CQ198">
            <v>25.5</v>
          </cell>
          <cell r="CR198">
            <v>3.5</v>
          </cell>
          <cell r="CS198">
            <v>18</v>
          </cell>
          <cell r="CT198">
            <v>27</v>
          </cell>
          <cell r="CU198">
            <v>10</v>
          </cell>
          <cell r="CV198">
            <v>10</v>
          </cell>
          <cell r="CY198">
            <v>162</v>
          </cell>
        </row>
        <row r="199">
          <cell r="A199">
            <v>39278.875</v>
          </cell>
          <cell r="B199">
            <v>122.45042536615767</v>
          </cell>
          <cell r="C199">
            <v>131.92305464480876</v>
          </cell>
          <cell r="D199">
            <v>123.04232755905511</v>
          </cell>
          <cell r="E199">
            <v>118.61569714285713</v>
          </cell>
          <cell r="F199">
            <v>108.22722822822821</v>
          </cell>
          <cell r="G199">
            <v>108.92524343675419</v>
          </cell>
          <cell r="H199">
            <v>150.5526371226718</v>
          </cell>
          <cell r="I199">
            <v>159.80338596491228</v>
          </cell>
          <cell r="J199">
            <v>107.0954918699187</v>
          </cell>
          <cell r="K199">
            <v>149.13300000000001</v>
          </cell>
          <cell r="L199">
            <v>149.13772891566265</v>
          </cell>
          <cell r="M199">
            <v>115.74647597254005</v>
          </cell>
          <cell r="N199">
            <v>127.80200000000001</v>
          </cell>
          <cell r="R199">
            <v>163</v>
          </cell>
          <cell r="T199">
            <v>39278.875</v>
          </cell>
          <cell r="AN199" t="str">
            <v/>
          </cell>
          <cell r="AP199">
            <v>39278.875</v>
          </cell>
          <cell r="AQ199">
            <v>478.3</v>
          </cell>
          <cell r="AR199">
            <v>73.599999999999994</v>
          </cell>
          <cell r="AS199">
            <v>1.4950000000000001</v>
          </cell>
          <cell r="AT199">
            <v>23.47</v>
          </cell>
          <cell r="AU199">
            <v>0.67749999999999999</v>
          </cell>
          <cell r="AV199">
            <v>35.20288</v>
          </cell>
          <cell r="AW199">
            <v>0.71505850000000004</v>
          </cell>
          <cell r="AX199">
            <v>11.225700999999999</v>
          </cell>
          <cell r="AY199">
            <v>324.04825</v>
          </cell>
          <cell r="AZ199">
            <v>10</v>
          </cell>
          <cell r="BA199">
            <v>10</v>
          </cell>
          <cell r="BB199">
            <v>10</v>
          </cell>
          <cell r="BC199">
            <v>10</v>
          </cell>
          <cell r="BD199">
            <v>10</v>
          </cell>
          <cell r="BE199">
            <v>10</v>
          </cell>
          <cell r="BF199">
            <v>2.0312500000000001E-2</v>
          </cell>
          <cell r="BI199">
            <v>163</v>
          </cell>
          <cell r="BK199">
            <v>39278.875</v>
          </cell>
          <cell r="BL199">
            <v>438371.6</v>
          </cell>
          <cell r="BM199">
            <v>403347.6</v>
          </cell>
          <cell r="BN199">
            <v>35024</v>
          </cell>
          <cell r="BO199">
            <v>382915.5</v>
          </cell>
          <cell r="BP199">
            <v>-141825</v>
          </cell>
          <cell r="BQ199">
            <v>524740.5</v>
          </cell>
          <cell r="BR199">
            <v>293647.65000000002</v>
          </cell>
          <cell r="BS199">
            <v>48400.02</v>
          </cell>
          <cell r="BT199">
            <v>182692.83</v>
          </cell>
          <cell r="BU199">
            <v>785037.1</v>
          </cell>
          <cell r="BV199">
            <v>195334.6</v>
          </cell>
          <cell r="BW199">
            <v>535407.9</v>
          </cell>
          <cell r="BX199">
            <v>240087.9</v>
          </cell>
          <cell r="BY199">
            <v>191528</v>
          </cell>
          <cell r="BZ199">
            <v>36250.000000000116</v>
          </cell>
          <cell r="CA199">
            <v>10</v>
          </cell>
          <cell r="CD199">
            <v>163</v>
          </cell>
          <cell r="CF199">
            <v>39278.875</v>
          </cell>
          <cell r="CJ199">
            <v>8.5</v>
          </cell>
          <cell r="CK199">
            <v>14.75</v>
          </cell>
          <cell r="CL199">
            <v>5.5</v>
          </cell>
          <cell r="CM199">
            <v>18</v>
          </cell>
          <cell r="CN199">
            <v>11.5</v>
          </cell>
          <cell r="CO199">
            <v>18</v>
          </cell>
          <cell r="CP199">
            <v>12</v>
          </cell>
          <cell r="CQ199">
            <v>25.5</v>
          </cell>
          <cell r="CR199">
            <v>3.5</v>
          </cell>
          <cell r="CS199">
            <v>18</v>
          </cell>
          <cell r="CT199">
            <v>27</v>
          </cell>
          <cell r="CU199">
            <v>10</v>
          </cell>
          <cell r="CV199">
            <v>10</v>
          </cell>
          <cell r="CY199">
            <v>163</v>
          </cell>
        </row>
        <row r="200">
          <cell r="A200">
            <v>39309.3125</v>
          </cell>
          <cell r="B200">
            <v>120.76037893424744</v>
          </cell>
          <cell r="C200">
            <v>131.6397213114754</v>
          </cell>
          <cell r="D200">
            <v>123.04232755905511</v>
          </cell>
          <cell r="E200">
            <v>119.24437523809523</v>
          </cell>
          <cell r="F200">
            <v>108.22722822822821</v>
          </cell>
          <cell r="G200">
            <v>108.92524343675419</v>
          </cell>
          <cell r="H200">
            <v>148.0754116891458</v>
          </cell>
          <cell r="I200">
            <v>159.80338596491228</v>
          </cell>
          <cell r="J200">
            <v>107.0954918699187</v>
          </cell>
          <cell r="K200">
            <v>149.13300000000001</v>
          </cell>
          <cell r="L200">
            <v>149.34751807228915</v>
          </cell>
          <cell r="M200">
            <v>115.74647597254005</v>
          </cell>
          <cell r="N200">
            <v>126.955</v>
          </cell>
          <cell r="R200">
            <v>164</v>
          </cell>
          <cell r="T200">
            <v>39309.3125</v>
          </cell>
          <cell r="AN200" t="str">
            <v/>
          </cell>
          <cell r="AP200">
            <v>39309.3125</v>
          </cell>
          <cell r="AQ200">
            <v>481</v>
          </cell>
          <cell r="AR200">
            <v>70.13</v>
          </cell>
          <cell r="AS200">
            <v>1.43</v>
          </cell>
          <cell r="AT200">
            <v>23.5</v>
          </cell>
          <cell r="AU200">
            <v>0.67749999999999999</v>
          </cell>
          <cell r="AV200">
            <v>33.732529999999997</v>
          </cell>
          <cell r="AW200">
            <v>0.68782999999999994</v>
          </cell>
          <cell r="AX200">
            <v>11.3035</v>
          </cell>
          <cell r="AY200">
            <v>325.8775</v>
          </cell>
          <cell r="AZ200">
            <v>10</v>
          </cell>
          <cell r="BA200">
            <v>10</v>
          </cell>
          <cell r="BB200">
            <v>10</v>
          </cell>
          <cell r="BC200">
            <v>10</v>
          </cell>
          <cell r="BD200">
            <v>10</v>
          </cell>
          <cell r="BE200">
            <v>10</v>
          </cell>
          <cell r="BF200">
            <v>2.0390702980179667E-2</v>
          </cell>
          <cell r="BI200">
            <v>164</v>
          </cell>
          <cell r="BK200">
            <v>39309.3125</v>
          </cell>
          <cell r="BL200">
            <v>420640.2</v>
          </cell>
          <cell r="BM200">
            <v>397325.2</v>
          </cell>
          <cell r="BN200">
            <v>23315</v>
          </cell>
          <cell r="BO200">
            <v>418598.1</v>
          </cell>
          <cell r="BP200">
            <v>-114041.7</v>
          </cell>
          <cell r="BQ200">
            <v>532639.80000000005</v>
          </cell>
          <cell r="BR200">
            <v>259480.8</v>
          </cell>
          <cell r="BS200">
            <v>42148</v>
          </cell>
          <cell r="BT200">
            <v>231011</v>
          </cell>
          <cell r="BU200">
            <v>803645.8</v>
          </cell>
          <cell r="BV200">
            <v>198569.4</v>
          </cell>
          <cell r="BW200">
            <v>551377.19999999995</v>
          </cell>
          <cell r="BX200">
            <v>243450.2</v>
          </cell>
          <cell r="BY200">
            <v>204504</v>
          </cell>
          <cell r="BZ200">
            <v>35592.500000000116</v>
          </cell>
          <cell r="CA200">
            <v>10</v>
          </cell>
          <cell r="CD200">
            <v>164</v>
          </cell>
          <cell r="CF200">
            <v>39309.3125</v>
          </cell>
          <cell r="CJ200">
            <v>8.5</v>
          </cell>
          <cell r="CK200">
            <v>14.75</v>
          </cell>
          <cell r="CL200">
            <v>5.5</v>
          </cell>
          <cell r="CM200">
            <v>18</v>
          </cell>
          <cell r="CN200">
            <v>11.5</v>
          </cell>
          <cell r="CO200">
            <v>18</v>
          </cell>
          <cell r="CP200">
            <v>12</v>
          </cell>
          <cell r="CQ200">
            <v>25.5</v>
          </cell>
          <cell r="CR200">
            <v>3.5</v>
          </cell>
          <cell r="CS200">
            <v>18</v>
          </cell>
          <cell r="CT200">
            <v>27</v>
          </cell>
          <cell r="CU200">
            <v>10</v>
          </cell>
          <cell r="CV200">
            <v>10</v>
          </cell>
          <cell r="CY200">
            <v>164</v>
          </cell>
        </row>
        <row r="201">
          <cell r="A201">
            <v>39339.75</v>
          </cell>
          <cell r="B201">
            <v>122.50086350888128</v>
          </cell>
          <cell r="C201">
            <v>132.63084153005465</v>
          </cell>
          <cell r="D201">
            <v>123.04232755905511</v>
          </cell>
          <cell r="E201">
            <v>118.51904190476189</v>
          </cell>
          <cell r="F201">
            <v>108.59014414414413</v>
          </cell>
          <cell r="G201">
            <v>108.78773031026253</v>
          </cell>
          <cell r="H201">
            <v>148.10870648683365</v>
          </cell>
          <cell r="I201">
            <v>159.80338596491228</v>
          </cell>
          <cell r="J201">
            <v>107.0954918699187</v>
          </cell>
          <cell r="K201">
            <v>149.13300000000001</v>
          </cell>
          <cell r="L201">
            <v>149.77808534136545</v>
          </cell>
          <cell r="M201">
            <v>115.74955148741419</v>
          </cell>
          <cell r="N201">
            <v>127.52200000000001</v>
          </cell>
          <cell r="R201">
            <v>165</v>
          </cell>
          <cell r="T201">
            <v>39339.75</v>
          </cell>
          <cell r="AN201" t="str">
            <v/>
          </cell>
          <cell r="AP201">
            <v>39339.75</v>
          </cell>
          <cell r="AQ201">
            <v>473</v>
          </cell>
          <cell r="AR201">
            <v>76.5</v>
          </cell>
          <cell r="AS201">
            <v>1.51</v>
          </cell>
          <cell r="AT201">
            <v>25.1</v>
          </cell>
          <cell r="AU201">
            <v>0.67749999999999999</v>
          </cell>
          <cell r="AV201">
            <v>36.1845</v>
          </cell>
          <cell r="AW201">
            <v>0.71423000000000003</v>
          </cell>
          <cell r="AX201">
            <v>11.872300000000001</v>
          </cell>
          <cell r="AY201">
            <v>320.45749999999998</v>
          </cell>
          <cell r="AZ201">
            <v>10</v>
          </cell>
          <cell r="BA201">
            <v>10</v>
          </cell>
          <cell r="BB201">
            <v>10</v>
          </cell>
          <cell r="BC201">
            <v>10</v>
          </cell>
          <cell r="BD201">
            <v>10</v>
          </cell>
          <cell r="BE201">
            <v>10</v>
          </cell>
          <cell r="BF201">
            <v>1.9738562091503268E-2</v>
          </cell>
          <cell r="BI201">
            <v>165</v>
          </cell>
          <cell r="BK201">
            <v>39339.75</v>
          </cell>
          <cell r="BL201">
            <v>458293.2</v>
          </cell>
          <cell r="BM201">
            <v>431894.2</v>
          </cell>
          <cell r="BN201">
            <v>26399</v>
          </cell>
          <cell r="BO201">
            <v>393859.68199999997</v>
          </cell>
          <cell r="BP201">
            <v>-142349.31800000003</v>
          </cell>
          <cell r="BQ201">
            <v>536209</v>
          </cell>
          <cell r="BR201">
            <v>270987.09999999998</v>
          </cell>
          <cell r="BS201">
            <v>33221</v>
          </cell>
          <cell r="BT201">
            <v>232000.9</v>
          </cell>
          <cell r="BU201">
            <v>817101.98199999996</v>
          </cell>
          <cell r="BV201">
            <v>209143.8</v>
          </cell>
          <cell r="BW201">
            <v>555116.9</v>
          </cell>
          <cell r="BX201">
            <v>249173.9</v>
          </cell>
          <cell r="BY201">
            <v>204516</v>
          </cell>
          <cell r="BZ201">
            <v>35050.9</v>
          </cell>
          <cell r="CA201">
            <v>10</v>
          </cell>
          <cell r="CD201">
            <v>165</v>
          </cell>
          <cell r="CF201">
            <v>39339.75</v>
          </cell>
          <cell r="CJ201">
            <v>8.5</v>
          </cell>
          <cell r="CK201">
            <v>14.75</v>
          </cell>
          <cell r="CL201">
            <v>5.5</v>
          </cell>
          <cell r="CM201">
            <v>18</v>
          </cell>
          <cell r="CN201">
            <v>11.5</v>
          </cell>
          <cell r="CO201">
            <v>18</v>
          </cell>
          <cell r="CP201">
            <v>12</v>
          </cell>
          <cell r="CQ201">
            <v>25.5</v>
          </cell>
          <cell r="CR201">
            <v>3.5</v>
          </cell>
          <cell r="CS201">
            <v>18</v>
          </cell>
          <cell r="CT201">
            <v>27</v>
          </cell>
          <cell r="CU201">
            <v>10</v>
          </cell>
          <cell r="CV201">
            <v>10</v>
          </cell>
          <cell r="CY201">
            <v>165</v>
          </cell>
        </row>
        <row r="202">
          <cell r="A202">
            <v>39370.1875</v>
          </cell>
          <cell r="B202">
            <v>125.85024774072922</v>
          </cell>
          <cell r="C202">
            <v>134.64545901639346</v>
          </cell>
          <cell r="D202">
            <v>123.04232755905511</v>
          </cell>
          <cell r="E202">
            <v>122.30608952380952</v>
          </cell>
          <cell r="F202">
            <v>108.59014414414413</v>
          </cell>
          <cell r="G202">
            <v>108.78773031026253</v>
          </cell>
          <cell r="H202">
            <v>148.10870648683365</v>
          </cell>
          <cell r="I202">
            <v>159.80338596491228</v>
          </cell>
          <cell r="J202">
            <v>107.0999105691057</v>
          </cell>
          <cell r="K202">
            <v>149.87899999999999</v>
          </cell>
          <cell r="L202">
            <v>149.63223192771082</v>
          </cell>
          <cell r="M202">
            <v>115.74955148741419</v>
          </cell>
          <cell r="N202">
            <v>129.035</v>
          </cell>
          <cell r="R202">
            <v>166</v>
          </cell>
          <cell r="T202">
            <v>39370.1875</v>
          </cell>
          <cell r="AN202" t="str">
            <v/>
          </cell>
          <cell r="AP202">
            <v>39370.1875</v>
          </cell>
          <cell r="AQ202">
            <v>461.1</v>
          </cell>
          <cell r="AR202">
            <v>81.97</v>
          </cell>
          <cell r="AS202">
            <v>1.5189999999999999</v>
          </cell>
          <cell r="AT202">
            <v>26.62</v>
          </cell>
          <cell r="AU202">
            <v>0.67749999999999999</v>
          </cell>
          <cell r="AV202">
            <v>37.796366999999996</v>
          </cell>
          <cell r="AW202">
            <v>0.70041089999999995</v>
          </cell>
          <cell r="AX202">
            <v>12.274482000000003</v>
          </cell>
          <cell r="AY202">
            <v>312.39525000000003</v>
          </cell>
          <cell r="AZ202">
            <v>10</v>
          </cell>
          <cell r="BA202">
            <v>10</v>
          </cell>
          <cell r="BB202">
            <v>10</v>
          </cell>
          <cell r="BC202">
            <v>10</v>
          </cell>
          <cell r="BD202">
            <v>10</v>
          </cell>
          <cell r="BE202">
            <v>10</v>
          </cell>
          <cell r="BF202">
            <v>1.8531169940222032E-2</v>
          </cell>
          <cell r="BI202">
            <v>166</v>
          </cell>
          <cell r="BK202">
            <v>39370.1875</v>
          </cell>
          <cell r="BL202">
            <v>427072.9</v>
          </cell>
          <cell r="BM202">
            <v>391769.9</v>
          </cell>
          <cell r="BN202">
            <v>35303</v>
          </cell>
          <cell r="BO202">
            <v>416335.2</v>
          </cell>
          <cell r="BP202">
            <v>-112091.855278</v>
          </cell>
          <cell r="BQ202">
            <v>528427.05527800007</v>
          </cell>
          <cell r="BR202">
            <v>277599.95527800004</v>
          </cell>
          <cell r="BS202">
            <v>27800</v>
          </cell>
          <cell r="BT202">
            <v>223027.1</v>
          </cell>
          <cell r="BU202">
            <v>797337.2</v>
          </cell>
          <cell r="BV202">
            <v>209776.8</v>
          </cell>
          <cell r="BW202">
            <v>534529</v>
          </cell>
          <cell r="BX202">
            <v>228764</v>
          </cell>
          <cell r="BY202">
            <v>204492</v>
          </cell>
          <cell r="BZ202">
            <v>46070.90000000014</v>
          </cell>
          <cell r="CA202">
            <v>10</v>
          </cell>
          <cell r="CD202">
            <v>166</v>
          </cell>
          <cell r="CF202">
            <v>39370.1875</v>
          </cell>
          <cell r="CJ202">
            <v>8.5</v>
          </cell>
          <cell r="CK202">
            <v>14.75</v>
          </cell>
          <cell r="CL202">
            <v>5.5</v>
          </cell>
          <cell r="CM202">
            <v>18</v>
          </cell>
          <cell r="CN202">
            <v>11.5</v>
          </cell>
          <cell r="CO202">
            <v>18</v>
          </cell>
          <cell r="CP202">
            <v>12</v>
          </cell>
          <cell r="CQ202">
            <v>25.5</v>
          </cell>
          <cell r="CR202">
            <v>3.5</v>
          </cell>
          <cell r="CS202">
            <v>18</v>
          </cell>
          <cell r="CT202">
            <v>27</v>
          </cell>
          <cell r="CU202">
            <v>10</v>
          </cell>
          <cell r="CV202">
            <v>10</v>
          </cell>
          <cell r="CY202">
            <v>166</v>
          </cell>
        </row>
        <row r="203">
          <cell r="A203">
            <v>39400.625</v>
          </cell>
          <cell r="B203">
            <v>129.1791396073543</v>
          </cell>
          <cell r="C203">
            <v>135.23985792349728</v>
          </cell>
          <cell r="D203">
            <v>123.04232755905511</v>
          </cell>
          <cell r="E203">
            <v>121.60304190476189</v>
          </cell>
          <cell r="F203">
            <v>108.59014414414413</v>
          </cell>
          <cell r="G203">
            <v>108.92524343675419</v>
          </cell>
          <cell r="H203">
            <v>148.12184714193964</v>
          </cell>
          <cell r="I203">
            <v>159.80338596491228</v>
          </cell>
          <cell r="J203">
            <v>107.0999105691057</v>
          </cell>
          <cell r="K203">
            <v>149.87899999999999</v>
          </cell>
          <cell r="L203">
            <v>150.35650401606424</v>
          </cell>
          <cell r="M203">
            <v>115.74955148741419</v>
          </cell>
          <cell r="N203">
            <v>130.12100000000001</v>
          </cell>
          <cell r="R203">
            <v>167</v>
          </cell>
          <cell r="T203">
            <v>39400.625</v>
          </cell>
          <cell r="AN203" t="str">
            <v/>
          </cell>
          <cell r="AP203">
            <v>39400.625</v>
          </cell>
          <cell r="AQ203">
            <v>446.8</v>
          </cell>
          <cell r="AR203">
            <v>91.34</v>
          </cell>
          <cell r="AS203">
            <v>1.5369999999999999</v>
          </cell>
          <cell r="AT203">
            <v>28.44</v>
          </cell>
          <cell r="AU203">
            <v>0.67749999999999999</v>
          </cell>
          <cell r="AV203">
            <v>40.810712000000002</v>
          </cell>
          <cell r="AW203">
            <v>0.6867316</v>
          </cell>
          <cell r="AX203">
            <v>12.706992</v>
          </cell>
          <cell r="AY203">
            <v>302.70699999999999</v>
          </cell>
          <cell r="AZ203">
            <v>10</v>
          </cell>
          <cell r="BA203">
            <v>10</v>
          </cell>
          <cell r="BB203">
            <v>10</v>
          </cell>
          <cell r="BC203">
            <v>10</v>
          </cell>
          <cell r="BD203">
            <v>10</v>
          </cell>
          <cell r="BE203">
            <v>10</v>
          </cell>
          <cell r="BF203">
            <v>1.682723888767243E-2</v>
          </cell>
          <cell r="BI203">
            <v>167</v>
          </cell>
          <cell r="BK203">
            <v>39400.625</v>
          </cell>
          <cell r="BL203">
            <v>406537</v>
          </cell>
          <cell r="BM203">
            <v>373691</v>
          </cell>
          <cell r="BN203">
            <v>32846</v>
          </cell>
          <cell r="BO203">
            <v>441615.20399999991</v>
          </cell>
          <cell r="BP203">
            <v>-112740.44025300001</v>
          </cell>
          <cell r="BQ203">
            <v>554355.64425299992</v>
          </cell>
          <cell r="BR203">
            <v>297284.04425299994</v>
          </cell>
          <cell r="BS203">
            <v>27800</v>
          </cell>
          <cell r="BT203">
            <v>229271.6</v>
          </cell>
          <cell r="BU203">
            <v>797713.70400000014</v>
          </cell>
          <cell r="BV203">
            <v>204851.704</v>
          </cell>
          <cell r="BW203">
            <v>540368.80000000005</v>
          </cell>
          <cell r="BX203">
            <v>239539.8</v>
          </cell>
          <cell r="BY203">
            <v>200153</v>
          </cell>
          <cell r="BZ203">
            <v>50438.499999999767</v>
          </cell>
          <cell r="CA203">
            <v>10</v>
          </cell>
          <cell r="CD203">
            <v>167</v>
          </cell>
          <cell r="CF203">
            <v>39400.625</v>
          </cell>
          <cell r="CJ203">
            <v>8.5</v>
          </cell>
          <cell r="CK203">
            <v>14.75</v>
          </cell>
          <cell r="CL203">
            <v>5.5</v>
          </cell>
          <cell r="CM203">
            <v>18</v>
          </cell>
          <cell r="CN203">
            <v>11.5</v>
          </cell>
          <cell r="CO203">
            <v>18</v>
          </cell>
          <cell r="CP203">
            <v>12</v>
          </cell>
          <cell r="CQ203">
            <v>25.5</v>
          </cell>
          <cell r="CR203">
            <v>3.5</v>
          </cell>
          <cell r="CS203">
            <v>18</v>
          </cell>
          <cell r="CT203">
            <v>27</v>
          </cell>
          <cell r="CU203">
            <v>10</v>
          </cell>
          <cell r="CV203">
            <v>10</v>
          </cell>
          <cell r="CY203">
            <v>167</v>
          </cell>
        </row>
        <row r="204">
          <cell r="A204">
            <v>39431.0625</v>
          </cell>
          <cell r="B204">
            <v>121.85948457463381</v>
          </cell>
          <cell r="C204">
            <v>131.78306010928964</v>
          </cell>
          <cell r="D204">
            <v>123.04232755905511</v>
          </cell>
          <cell r="E204">
            <v>122.56342285714285</v>
          </cell>
          <cell r="F204">
            <v>112.14812162162161</v>
          </cell>
          <cell r="G204">
            <v>108.92524343675419</v>
          </cell>
          <cell r="H204">
            <v>148.10870648683365</v>
          </cell>
          <cell r="I204">
            <v>159.80338596491228</v>
          </cell>
          <cell r="J204">
            <v>107.26925609756098</v>
          </cell>
          <cell r="K204">
            <v>149.87899999999999</v>
          </cell>
          <cell r="L204">
            <v>150.87997791164656</v>
          </cell>
          <cell r="M204">
            <v>118.25961098398169</v>
          </cell>
          <cell r="N204">
            <v>128.214</v>
          </cell>
          <cell r="R204">
            <v>168</v>
          </cell>
          <cell r="T204">
            <v>39431.0625</v>
          </cell>
          <cell r="AN204" t="str">
            <v/>
          </cell>
          <cell r="AP204">
            <v>39431.0625</v>
          </cell>
          <cell r="AQ204">
            <v>449.9</v>
          </cell>
          <cell r="AR204">
            <v>89.52</v>
          </cell>
          <cell r="AS204">
            <v>1.54</v>
          </cell>
          <cell r="AT204">
            <v>28.33</v>
          </cell>
          <cell r="AU204">
            <v>0.67749999999999999</v>
          </cell>
          <cell r="AV204">
            <v>40.275047999999998</v>
          </cell>
          <cell r="AW204">
            <v>0.69284599999999996</v>
          </cell>
          <cell r="AX204">
            <v>12.745666999999999</v>
          </cell>
          <cell r="AY204">
            <v>304.80724999999995</v>
          </cell>
          <cell r="AZ204">
            <v>10</v>
          </cell>
          <cell r="BA204">
            <v>10</v>
          </cell>
          <cell r="BB204">
            <v>10</v>
          </cell>
          <cell r="BC204">
            <v>10</v>
          </cell>
          <cell r="BD204">
            <v>10</v>
          </cell>
          <cell r="BE204">
            <v>10</v>
          </cell>
          <cell r="BF204">
            <v>1.7202859696157282E-2</v>
          </cell>
          <cell r="BI204">
            <v>168</v>
          </cell>
          <cell r="BK204">
            <v>39431.0625</v>
          </cell>
          <cell r="BL204">
            <v>409288.6</v>
          </cell>
          <cell r="BM204">
            <v>354964.6</v>
          </cell>
          <cell r="BN204">
            <v>54324</v>
          </cell>
          <cell r="BO204">
            <v>452972</v>
          </cell>
          <cell r="BP204">
            <v>-93658.5</v>
          </cell>
          <cell r="BQ204">
            <v>546630.5</v>
          </cell>
          <cell r="BR204">
            <v>302139.90000000002</v>
          </cell>
          <cell r="BS204">
            <v>18100</v>
          </cell>
          <cell r="BT204">
            <v>226390.6</v>
          </cell>
          <cell r="BU204">
            <v>813368.5</v>
          </cell>
          <cell r="BV204">
            <v>202444.4</v>
          </cell>
          <cell r="BW204">
            <v>557800.19999999995</v>
          </cell>
          <cell r="BX204">
            <v>262377.2</v>
          </cell>
          <cell r="BY204">
            <v>192871</v>
          </cell>
          <cell r="BZ204">
            <v>48892.1</v>
          </cell>
          <cell r="CA204">
            <v>10</v>
          </cell>
          <cell r="CD204">
            <v>168</v>
          </cell>
          <cell r="CF204">
            <v>39431.0625</v>
          </cell>
          <cell r="CJ204">
            <v>8.5</v>
          </cell>
          <cell r="CK204">
            <v>14.75</v>
          </cell>
          <cell r="CL204">
            <v>5.5</v>
          </cell>
          <cell r="CM204">
            <v>18</v>
          </cell>
          <cell r="CN204">
            <v>11.5</v>
          </cell>
          <cell r="CO204">
            <v>18</v>
          </cell>
          <cell r="CP204">
            <v>12</v>
          </cell>
          <cell r="CQ204">
            <v>25.5</v>
          </cell>
          <cell r="CR204">
            <v>3.5</v>
          </cell>
          <cell r="CS204">
            <v>18</v>
          </cell>
          <cell r="CT204">
            <v>27</v>
          </cell>
          <cell r="CU204">
            <v>10</v>
          </cell>
          <cell r="CV204">
            <v>10</v>
          </cell>
          <cell r="CY204">
            <v>168</v>
          </cell>
        </row>
        <row r="205">
          <cell r="A205">
            <v>39461.5</v>
          </cell>
          <cell r="B205">
            <v>128.35408787784357</v>
          </cell>
          <cell r="C205">
            <v>132.48674863387978</v>
          </cell>
          <cell r="D205">
            <v>125.1664535433071</v>
          </cell>
          <cell r="E205">
            <v>123.04988285714286</v>
          </cell>
          <cell r="F205">
            <v>115.90202702702703</v>
          </cell>
          <cell r="G205">
            <v>110.60657279236277</v>
          </cell>
          <cell r="H205">
            <v>150.60429415542711</v>
          </cell>
          <cell r="I205">
            <v>159.80338596491228</v>
          </cell>
          <cell r="J205">
            <v>108.90296544715447</v>
          </cell>
          <cell r="K205">
            <v>149.87899999999999</v>
          </cell>
          <cell r="L205">
            <v>152.36034236947791</v>
          </cell>
          <cell r="M205">
            <v>123.94201830663617</v>
          </cell>
          <cell r="N205">
            <v>131.68199999999999</v>
          </cell>
          <cell r="R205">
            <v>169</v>
          </cell>
          <cell r="T205">
            <v>39461.5</v>
          </cell>
          <cell r="AN205" t="str">
            <v/>
          </cell>
          <cell r="AP205">
            <v>39461.5</v>
          </cell>
          <cell r="AQ205">
            <v>445.7</v>
          </cell>
          <cell r="AR205">
            <v>90.69</v>
          </cell>
          <cell r="AS205">
            <v>1.58</v>
          </cell>
          <cell r="AT205">
            <v>31.38</v>
          </cell>
          <cell r="AU205">
            <v>0.67749999999999999</v>
          </cell>
          <cell r="AV205">
            <v>40.420532999999999</v>
          </cell>
          <cell r="AW205">
            <v>0.704206</v>
          </cell>
          <cell r="AX205">
            <v>13.986065999999999</v>
          </cell>
          <cell r="AY205">
            <v>301.96174999999999</v>
          </cell>
          <cell r="AZ205">
            <v>10</v>
          </cell>
          <cell r="BA205">
            <v>10</v>
          </cell>
          <cell r="BB205">
            <v>10</v>
          </cell>
          <cell r="BC205">
            <v>10</v>
          </cell>
          <cell r="BD205">
            <v>10</v>
          </cell>
          <cell r="BE205">
            <v>10</v>
          </cell>
          <cell r="BF205">
            <v>1.742198698864263E-2</v>
          </cell>
          <cell r="BI205">
            <v>169</v>
          </cell>
          <cell r="BK205">
            <v>39461.5</v>
          </cell>
          <cell r="BL205">
            <v>387937.7</v>
          </cell>
          <cell r="BM205">
            <v>321784.7</v>
          </cell>
          <cell r="BN205">
            <v>66153</v>
          </cell>
          <cell r="BO205">
            <v>456099</v>
          </cell>
          <cell r="BP205">
            <v>-75399.5</v>
          </cell>
          <cell r="BQ205">
            <v>531498.5</v>
          </cell>
          <cell r="BR205">
            <v>301154.90000000002</v>
          </cell>
          <cell r="BS205">
            <v>14900</v>
          </cell>
          <cell r="BT205">
            <v>215443.6</v>
          </cell>
          <cell r="BU205">
            <v>796052.5</v>
          </cell>
          <cell r="BV205">
            <v>173827.4</v>
          </cell>
          <cell r="BW205">
            <v>569101.19999999995</v>
          </cell>
          <cell r="BX205">
            <v>261867.2</v>
          </cell>
          <cell r="BY205">
            <v>202702</v>
          </cell>
          <cell r="BZ205">
            <v>47984.2</v>
          </cell>
          <cell r="CA205">
            <v>10</v>
          </cell>
          <cell r="CD205">
            <v>169</v>
          </cell>
          <cell r="CF205">
            <v>39461.5</v>
          </cell>
          <cell r="CJ205">
            <v>8.5</v>
          </cell>
          <cell r="CK205">
            <v>13.19</v>
          </cell>
          <cell r="CL205">
            <v>5</v>
          </cell>
          <cell r="CM205">
            <v>16</v>
          </cell>
          <cell r="CN205">
            <v>11.5</v>
          </cell>
          <cell r="CO205">
            <v>20</v>
          </cell>
          <cell r="CP205">
            <v>12</v>
          </cell>
          <cell r="CQ205">
            <v>26.99</v>
          </cell>
          <cell r="CR205">
            <v>3.5</v>
          </cell>
          <cell r="CS205">
            <v>18</v>
          </cell>
          <cell r="CT205">
            <v>27</v>
          </cell>
          <cell r="CU205">
            <v>10</v>
          </cell>
          <cell r="CV205">
            <v>10</v>
          </cell>
          <cell r="CY205">
            <v>169</v>
          </cell>
        </row>
        <row r="206">
          <cell r="A206">
            <v>39491.9375</v>
          </cell>
          <cell r="B206">
            <v>128.09944499844187</v>
          </cell>
          <cell r="C206">
            <v>132.47390710382513</v>
          </cell>
          <cell r="D206">
            <v>125.1664535433071</v>
          </cell>
          <cell r="E206">
            <v>123.94547714285714</v>
          </cell>
          <cell r="F206">
            <v>116.7501216216216</v>
          </cell>
          <cell r="G206">
            <v>110.47253221957041</v>
          </cell>
          <cell r="H206">
            <v>150.94256005138087</v>
          </cell>
          <cell r="I206">
            <v>159.80338596491228</v>
          </cell>
          <cell r="J206">
            <v>108.90296544715447</v>
          </cell>
          <cell r="K206">
            <v>149.87899999999999</v>
          </cell>
          <cell r="L206">
            <v>152.3233795180723</v>
          </cell>
          <cell r="M206">
            <v>123.85629977116704</v>
          </cell>
          <cell r="N206">
            <v>131.791</v>
          </cell>
          <cell r="R206">
            <v>170</v>
          </cell>
          <cell r="T206">
            <v>39491.9375</v>
          </cell>
          <cell r="AN206" t="str">
            <v/>
          </cell>
          <cell r="AP206">
            <v>39491.9375</v>
          </cell>
          <cell r="AQ206">
            <v>444.9</v>
          </cell>
          <cell r="AR206">
            <v>93.39</v>
          </cell>
          <cell r="AS206">
            <v>1.6559999999999999</v>
          </cell>
          <cell r="AT206">
            <v>32.53</v>
          </cell>
          <cell r="AU206">
            <v>0.67749999999999999</v>
          </cell>
          <cell r="AV206">
            <v>41.549210999999993</v>
          </cell>
          <cell r="AW206">
            <v>0.73675439999999992</v>
          </cell>
          <cell r="AX206">
            <v>14.472597</v>
          </cell>
          <cell r="AY206">
            <v>301.41974999999996</v>
          </cell>
          <cell r="AZ206">
            <v>10</v>
          </cell>
          <cell r="BA206">
            <v>10</v>
          </cell>
          <cell r="BB206">
            <v>10</v>
          </cell>
          <cell r="BC206">
            <v>10</v>
          </cell>
          <cell r="BD206">
            <v>10</v>
          </cell>
          <cell r="BE206">
            <v>10</v>
          </cell>
          <cell r="BF206">
            <v>1.7732091230324445E-2</v>
          </cell>
          <cell r="BI206">
            <v>170</v>
          </cell>
          <cell r="BK206">
            <v>39491.9375</v>
          </cell>
          <cell r="BL206">
            <v>388193.6</v>
          </cell>
          <cell r="BM206">
            <v>323713.59999999998</v>
          </cell>
          <cell r="BN206">
            <v>64480</v>
          </cell>
          <cell r="BO206">
            <v>492877.5</v>
          </cell>
          <cell r="BP206">
            <v>-81807</v>
          </cell>
          <cell r="BQ206">
            <v>574684.5</v>
          </cell>
          <cell r="BR206">
            <v>315716.7</v>
          </cell>
          <cell r="BS206">
            <v>48010.8</v>
          </cell>
          <cell r="BT206">
            <v>210957</v>
          </cell>
          <cell r="BU206">
            <v>822976.6</v>
          </cell>
          <cell r="BV206">
            <v>166288.1</v>
          </cell>
          <cell r="BW206">
            <v>603564.6</v>
          </cell>
          <cell r="BX206">
            <v>290861.59999999998</v>
          </cell>
          <cell r="BY206">
            <v>205922</v>
          </cell>
          <cell r="BZ206">
            <v>58094.5</v>
          </cell>
          <cell r="CA206">
            <v>10</v>
          </cell>
          <cell r="CD206">
            <v>170</v>
          </cell>
          <cell r="CF206">
            <v>39491.9375</v>
          </cell>
          <cell r="CJ206">
            <v>8.5</v>
          </cell>
          <cell r="CK206">
            <v>13.19</v>
          </cell>
          <cell r="CL206">
            <v>5</v>
          </cell>
          <cell r="CM206">
            <v>16</v>
          </cell>
          <cell r="CN206">
            <v>11.5</v>
          </cell>
          <cell r="CO206">
            <v>15</v>
          </cell>
          <cell r="CP206">
            <v>12</v>
          </cell>
          <cell r="CQ206">
            <v>26.99</v>
          </cell>
          <cell r="CR206">
            <v>3.5</v>
          </cell>
          <cell r="CS206">
            <v>18</v>
          </cell>
          <cell r="CT206">
            <v>27</v>
          </cell>
          <cell r="CU206">
            <v>10</v>
          </cell>
          <cell r="CV206">
            <v>10</v>
          </cell>
          <cell r="CY206">
            <v>170</v>
          </cell>
        </row>
        <row r="207">
          <cell r="A207">
            <v>39522.375</v>
          </cell>
          <cell r="B207">
            <v>129.56703957619197</v>
          </cell>
          <cell r="C207">
            <v>134.56584699453552</v>
          </cell>
          <cell r="D207">
            <v>125.1664535433071</v>
          </cell>
          <cell r="E207">
            <v>123.33214380952381</v>
          </cell>
          <cell r="F207">
            <v>116.3844054054054</v>
          </cell>
          <cell r="G207">
            <v>110.60657279236277</v>
          </cell>
          <cell r="H207">
            <v>151.04932947976877</v>
          </cell>
          <cell r="I207">
            <v>159.80338596491228</v>
          </cell>
          <cell r="J207">
            <v>108.90296544715447</v>
          </cell>
          <cell r="K207">
            <v>149.87899999999999</v>
          </cell>
          <cell r="L207">
            <v>152.25544779116467</v>
          </cell>
          <cell r="M207">
            <v>126.32769565217392</v>
          </cell>
          <cell r="N207">
            <v>132.33500000000001</v>
          </cell>
          <cell r="R207">
            <v>171</v>
          </cell>
          <cell r="T207">
            <v>39522.375</v>
          </cell>
          <cell r="AN207" t="str">
            <v/>
          </cell>
          <cell r="AP207">
            <v>39522.375</v>
          </cell>
          <cell r="AQ207">
            <v>422.6</v>
          </cell>
          <cell r="AR207">
            <v>101.84</v>
          </cell>
          <cell r="AS207">
            <v>1.768</v>
          </cell>
          <cell r="AT207">
            <v>34.159999999999997</v>
          </cell>
          <cell r="AU207">
            <v>0.67749999999999999</v>
          </cell>
          <cell r="AV207">
            <v>43.037584000000003</v>
          </cell>
          <cell r="AW207">
            <v>0.74715680000000007</v>
          </cell>
          <cell r="AX207">
            <v>14.436016</v>
          </cell>
          <cell r="AY207">
            <v>286.31150000000002</v>
          </cell>
          <cell r="AZ207">
            <v>10</v>
          </cell>
          <cell r="BA207">
            <v>10</v>
          </cell>
          <cell r="BB207">
            <v>10</v>
          </cell>
          <cell r="BC207">
            <v>10</v>
          </cell>
          <cell r="BD207">
            <v>10</v>
          </cell>
          <cell r="BE207">
            <v>10</v>
          </cell>
          <cell r="BF207">
            <v>1.7360565593087195E-2</v>
          </cell>
          <cell r="BI207">
            <v>171</v>
          </cell>
          <cell r="BK207">
            <v>39522.375</v>
          </cell>
          <cell r="BL207">
            <v>383340.4</v>
          </cell>
          <cell r="BM207">
            <v>318856.5</v>
          </cell>
          <cell r="BN207">
            <v>64483.9</v>
          </cell>
          <cell r="BO207">
            <v>483899</v>
          </cell>
          <cell r="BP207">
            <v>-91948.6</v>
          </cell>
          <cell r="BQ207">
            <v>575847.6</v>
          </cell>
          <cell r="BR207">
            <v>297210</v>
          </cell>
          <cell r="BS207">
            <v>58350</v>
          </cell>
          <cell r="BT207">
            <v>220287.6</v>
          </cell>
          <cell r="BU207">
            <v>812799.2</v>
          </cell>
          <cell r="BV207">
            <v>164141.1</v>
          </cell>
          <cell r="BW207">
            <v>593712.6</v>
          </cell>
          <cell r="BX207">
            <v>275624.59999999998</v>
          </cell>
          <cell r="BY207">
            <v>210368</v>
          </cell>
          <cell r="BZ207">
            <v>54440.2</v>
          </cell>
          <cell r="CA207">
            <v>10</v>
          </cell>
          <cell r="CD207">
            <v>171</v>
          </cell>
          <cell r="CF207">
            <v>39522.375</v>
          </cell>
          <cell r="CJ207">
            <v>8.5</v>
          </cell>
          <cell r="CK207">
            <v>13.19</v>
          </cell>
          <cell r="CL207">
            <v>5</v>
          </cell>
          <cell r="CM207">
            <v>16</v>
          </cell>
          <cell r="CN207">
            <v>11.5</v>
          </cell>
          <cell r="CO207">
            <v>15</v>
          </cell>
          <cell r="CP207">
            <v>12</v>
          </cell>
          <cell r="CQ207">
            <v>26.99</v>
          </cell>
          <cell r="CR207">
            <v>3.5</v>
          </cell>
          <cell r="CS207">
            <v>18</v>
          </cell>
          <cell r="CT207">
            <v>27</v>
          </cell>
          <cell r="CU207">
            <v>10</v>
          </cell>
          <cell r="CV207">
            <v>10</v>
          </cell>
          <cell r="CY207">
            <v>171</v>
          </cell>
        </row>
        <row r="208">
          <cell r="A208">
            <v>39552.8125</v>
          </cell>
          <cell r="B208">
            <v>131.81446525397317</v>
          </cell>
          <cell r="C208">
            <v>132.60409836065574</v>
          </cell>
          <cell r="D208">
            <v>125.63888976377952</v>
          </cell>
          <cell r="E208">
            <v>123.31635714285714</v>
          </cell>
          <cell r="F208">
            <v>116.3844054054054</v>
          </cell>
          <cell r="G208">
            <v>110.60657279236277</v>
          </cell>
          <cell r="H208">
            <v>151.04932947976877</v>
          </cell>
          <cell r="I208">
            <v>159.80338596491228</v>
          </cell>
          <cell r="J208">
            <v>108.90296544715447</v>
          </cell>
          <cell r="K208">
            <v>149.87899999999999</v>
          </cell>
          <cell r="L208">
            <v>152.24645682730926</v>
          </cell>
          <cell r="M208">
            <v>126.32769565217392</v>
          </cell>
          <cell r="N208">
            <v>133.047</v>
          </cell>
          <cell r="R208">
            <v>172</v>
          </cell>
          <cell r="T208">
            <v>39552.8125</v>
          </cell>
          <cell r="AN208" t="str">
            <v/>
          </cell>
          <cell r="AP208">
            <v>39552.8125</v>
          </cell>
          <cell r="AQ208">
            <v>416.7</v>
          </cell>
          <cell r="AR208">
            <v>108.76</v>
          </cell>
          <cell r="AS208">
            <v>1.663</v>
          </cell>
          <cell r="AT208">
            <v>32.090000000000003</v>
          </cell>
          <cell r="AU208">
            <v>0.67749999999999999</v>
          </cell>
          <cell r="AV208">
            <v>45.320292000000002</v>
          </cell>
          <cell r="AW208">
            <v>0.69297209999999998</v>
          </cell>
          <cell r="AX208">
            <v>13.371903</v>
          </cell>
          <cell r="AY208">
            <v>282.31425000000002</v>
          </cell>
          <cell r="AZ208">
            <v>10</v>
          </cell>
          <cell r="BA208">
            <v>10</v>
          </cell>
          <cell r="BB208">
            <v>10</v>
          </cell>
          <cell r="BC208">
            <v>10</v>
          </cell>
          <cell r="BD208">
            <v>10</v>
          </cell>
          <cell r="BE208">
            <v>10</v>
          </cell>
          <cell r="BF208">
            <v>1.5290547995586611E-2</v>
          </cell>
          <cell r="BI208">
            <v>172</v>
          </cell>
          <cell r="BK208">
            <v>39552.8125</v>
          </cell>
          <cell r="BL208">
            <v>378412.4</v>
          </cell>
          <cell r="BM208">
            <v>326118.09999999998</v>
          </cell>
          <cell r="BN208">
            <v>52294.3</v>
          </cell>
          <cell r="BO208">
            <v>480393.2</v>
          </cell>
          <cell r="BP208">
            <v>-98606</v>
          </cell>
          <cell r="BQ208">
            <v>578999.19999999995</v>
          </cell>
          <cell r="BR208">
            <v>312046</v>
          </cell>
          <cell r="BS208">
            <v>43444</v>
          </cell>
          <cell r="BT208">
            <v>223509.2</v>
          </cell>
          <cell r="BU208">
            <v>801130.1</v>
          </cell>
          <cell r="BV208">
            <v>156598</v>
          </cell>
          <cell r="BW208">
            <v>588967.80000000005</v>
          </cell>
          <cell r="BX208">
            <v>258624.8</v>
          </cell>
          <cell r="BY208">
            <v>221436</v>
          </cell>
          <cell r="BZ208">
            <v>57675.5</v>
          </cell>
          <cell r="CA208">
            <v>10</v>
          </cell>
          <cell r="CD208">
            <v>172</v>
          </cell>
          <cell r="CF208">
            <v>39552.8125</v>
          </cell>
          <cell r="CJ208">
            <v>8.5</v>
          </cell>
          <cell r="CK208">
            <v>13.19</v>
          </cell>
          <cell r="CL208">
            <v>5</v>
          </cell>
          <cell r="CM208">
            <v>16</v>
          </cell>
          <cell r="CN208">
            <v>11.5</v>
          </cell>
          <cell r="CO208">
            <v>15</v>
          </cell>
          <cell r="CP208">
            <v>12</v>
          </cell>
          <cell r="CQ208">
            <v>26.99</v>
          </cell>
          <cell r="CR208">
            <v>3.5</v>
          </cell>
          <cell r="CS208">
            <v>18</v>
          </cell>
          <cell r="CT208">
            <v>27</v>
          </cell>
          <cell r="CU208">
            <v>10</v>
          </cell>
          <cell r="CV208">
            <v>10</v>
          </cell>
          <cell r="CY208">
            <v>172</v>
          </cell>
        </row>
        <row r="209">
          <cell r="A209">
            <v>39583.25</v>
          </cell>
          <cell r="B209">
            <v>149.6165827360548</v>
          </cell>
          <cell r="C209">
            <v>139.83524590163933</v>
          </cell>
          <cell r="D209">
            <v>125.70230551181101</v>
          </cell>
          <cell r="E209">
            <v>124.11622761904762</v>
          </cell>
          <cell r="F209">
            <v>115.49308858858859</v>
          </cell>
          <cell r="G209">
            <v>110.60657279236277</v>
          </cell>
          <cell r="H209">
            <v>151.04932947976877</v>
          </cell>
          <cell r="I209">
            <v>159.80338596491228</v>
          </cell>
          <cell r="J209">
            <v>108.90296544715447</v>
          </cell>
          <cell r="K209">
            <v>149.87899999999999</v>
          </cell>
          <cell r="L209">
            <v>152.83086947791162</v>
          </cell>
          <cell r="M209">
            <v>127.17028604118991</v>
          </cell>
          <cell r="N209">
            <v>139.01599999999999</v>
          </cell>
          <cell r="R209">
            <v>173</v>
          </cell>
          <cell r="T209">
            <v>39583.25</v>
          </cell>
          <cell r="AN209" t="str">
            <v/>
          </cell>
          <cell r="AP209">
            <v>39583.25</v>
          </cell>
          <cell r="AQ209">
            <v>421.6</v>
          </cell>
          <cell r="AR209">
            <v>122.63</v>
          </cell>
          <cell r="AS209">
            <v>1.6339999999999999</v>
          </cell>
          <cell r="AT209">
            <v>31.35</v>
          </cell>
          <cell r="AU209">
            <v>0.67749999999999999</v>
          </cell>
          <cell r="AV209">
            <v>51.700807999999995</v>
          </cell>
          <cell r="AW209">
            <v>0.68889440000000002</v>
          </cell>
          <cell r="AX209">
            <v>13.217160000000002</v>
          </cell>
          <cell r="AY209">
            <v>285.63400000000001</v>
          </cell>
          <cell r="AZ209">
            <v>10</v>
          </cell>
          <cell r="BA209">
            <v>10</v>
          </cell>
          <cell r="BB209">
            <v>10</v>
          </cell>
          <cell r="BC209">
            <v>10</v>
          </cell>
          <cell r="BD209">
            <v>10</v>
          </cell>
          <cell r="BE209">
            <v>10</v>
          </cell>
          <cell r="BF209">
            <v>1.3324635081138386E-2</v>
          </cell>
          <cell r="BI209">
            <v>173</v>
          </cell>
          <cell r="BK209">
            <v>39583.25</v>
          </cell>
          <cell r="BL209">
            <v>371310.5</v>
          </cell>
          <cell r="BM209">
            <v>318621.3</v>
          </cell>
          <cell r="BN209">
            <v>52689.2</v>
          </cell>
          <cell r="BO209">
            <v>482036.9</v>
          </cell>
          <cell r="BP209">
            <v>-94083.4</v>
          </cell>
          <cell r="BQ209">
            <v>576120.30000000005</v>
          </cell>
          <cell r="BR209">
            <v>310839.3</v>
          </cell>
          <cell r="BS209">
            <v>40889</v>
          </cell>
          <cell r="BT209">
            <v>224392</v>
          </cell>
          <cell r="BU209">
            <v>814397.8</v>
          </cell>
          <cell r="BV209">
            <v>149754.5</v>
          </cell>
          <cell r="BW209">
            <v>607760.1</v>
          </cell>
          <cell r="BX209">
            <v>261445.1</v>
          </cell>
          <cell r="BY209">
            <v>233721</v>
          </cell>
          <cell r="BZ209">
            <v>38949.599999999999</v>
          </cell>
          <cell r="CA209">
            <v>10</v>
          </cell>
          <cell r="CD209">
            <v>173</v>
          </cell>
          <cell r="CF209">
            <v>39583.25</v>
          </cell>
          <cell r="CJ209">
            <v>8.5</v>
          </cell>
          <cell r="CK209">
            <v>13.19</v>
          </cell>
          <cell r="CL209">
            <v>5</v>
          </cell>
          <cell r="CM209">
            <v>16</v>
          </cell>
          <cell r="CN209">
            <v>11.5</v>
          </cell>
          <cell r="CO209">
            <v>15</v>
          </cell>
          <cell r="CP209">
            <v>12</v>
          </cell>
          <cell r="CQ209">
            <v>26.99</v>
          </cell>
          <cell r="CR209">
            <v>3.5</v>
          </cell>
          <cell r="CS209">
            <v>18</v>
          </cell>
          <cell r="CT209">
            <v>27</v>
          </cell>
          <cell r="CU209">
            <v>10</v>
          </cell>
          <cell r="CV209">
            <v>10</v>
          </cell>
          <cell r="CY209">
            <v>173</v>
          </cell>
        </row>
        <row r="210">
          <cell r="A210">
            <v>39613.6875</v>
          </cell>
          <cell r="B210">
            <v>168.16866282330938</v>
          </cell>
          <cell r="C210">
            <v>142.29439890710381</v>
          </cell>
          <cell r="D210">
            <v>125.70230551181101</v>
          </cell>
          <cell r="E210">
            <v>127.46281809523809</v>
          </cell>
          <cell r="F210">
            <v>116.26141891891891</v>
          </cell>
          <cell r="G210">
            <v>110.60657279236277</v>
          </cell>
          <cell r="H210">
            <v>151.04932947976877</v>
          </cell>
          <cell r="I210">
            <v>159.80338596491228</v>
          </cell>
          <cell r="J210">
            <v>108.67696544715447</v>
          </cell>
          <cell r="K210">
            <v>149.87899999999999</v>
          </cell>
          <cell r="L210">
            <v>151.92877610441766</v>
          </cell>
          <cell r="M210">
            <v>127.17028604118991</v>
          </cell>
          <cell r="N210">
            <v>145.316</v>
          </cell>
          <cell r="R210">
            <v>174</v>
          </cell>
          <cell r="T210">
            <v>39613.6875</v>
          </cell>
          <cell r="AN210" t="str">
            <v/>
          </cell>
          <cell r="AP210">
            <v>39613.6875</v>
          </cell>
          <cell r="AQ210">
            <v>421.8</v>
          </cell>
          <cell r="AR210">
            <v>131.52000000000001</v>
          </cell>
          <cell r="AS210">
            <v>1.698</v>
          </cell>
          <cell r="AT210">
            <v>31.38</v>
          </cell>
          <cell r="AU210">
            <v>0.67749999999999999</v>
          </cell>
          <cell r="AV210">
            <v>55.475136000000006</v>
          </cell>
          <cell r="AW210">
            <v>0.71621639999999998</v>
          </cell>
          <cell r="AX210">
            <v>13.236084</v>
          </cell>
          <cell r="AY210">
            <v>285.76949999999999</v>
          </cell>
          <cell r="AZ210">
            <v>10</v>
          </cell>
          <cell r="BA210">
            <v>10</v>
          </cell>
          <cell r="BB210">
            <v>10</v>
          </cell>
          <cell r="BC210">
            <v>10</v>
          </cell>
          <cell r="BD210">
            <v>10</v>
          </cell>
          <cell r="BE210">
            <v>10</v>
          </cell>
          <cell r="BF210">
            <v>1.2910583941605838E-2</v>
          </cell>
          <cell r="BI210">
            <v>174</v>
          </cell>
          <cell r="BK210">
            <v>39613.6875</v>
          </cell>
          <cell r="BL210">
            <v>352016.3</v>
          </cell>
          <cell r="BM210">
            <v>291288.09999999998</v>
          </cell>
          <cell r="BN210">
            <v>60728.2</v>
          </cell>
          <cell r="BO210">
            <v>505547.4</v>
          </cell>
          <cell r="BP210">
            <v>-79524.399999999994</v>
          </cell>
          <cell r="BQ210">
            <v>585071.80000000005</v>
          </cell>
          <cell r="BR210">
            <v>319593.8</v>
          </cell>
          <cell r="BS210">
            <v>40889</v>
          </cell>
          <cell r="BT210">
            <v>224589</v>
          </cell>
          <cell r="BU210">
            <v>811757</v>
          </cell>
          <cell r="BV210">
            <v>161781</v>
          </cell>
          <cell r="BW210">
            <v>592619.1</v>
          </cell>
          <cell r="BX210">
            <v>257162.1</v>
          </cell>
          <cell r="BY210">
            <v>219698</v>
          </cell>
          <cell r="BZ210">
            <v>45806.8</v>
          </cell>
          <cell r="CA210">
            <v>10</v>
          </cell>
          <cell r="CD210">
            <v>174</v>
          </cell>
          <cell r="CF210">
            <v>39613.6875</v>
          </cell>
          <cell r="CJ210">
            <v>8.5</v>
          </cell>
          <cell r="CK210">
            <v>13.19</v>
          </cell>
          <cell r="CL210">
            <v>5</v>
          </cell>
          <cell r="CM210">
            <v>16</v>
          </cell>
          <cell r="CN210">
            <v>11.5</v>
          </cell>
          <cell r="CO210">
            <v>15</v>
          </cell>
          <cell r="CP210">
            <v>12</v>
          </cell>
          <cell r="CQ210">
            <v>26.99</v>
          </cell>
          <cell r="CR210">
            <v>3.5</v>
          </cell>
          <cell r="CS210">
            <v>18</v>
          </cell>
          <cell r="CT210">
            <v>27</v>
          </cell>
          <cell r="CU210">
            <v>10</v>
          </cell>
          <cell r="CV210">
            <v>10</v>
          </cell>
          <cell r="CY210">
            <v>174</v>
          </cell>
        </row>
        <row r="211">
          <cell r="A211">
            <v>39644.125</v>
          </cell>
          <cell r="B211">
            <v>158.12811966344651</v>
          </cell>
          <cell r="C211">
            <v>144.53554098360655</v>
          </cell>
          <cell r="D211">
            <v>125.70230551181101</v>
          </cell>
          <cell r="E211">
            <v>124.3731761904762</v>
          </cell>
          <cell r="F211">
            <v>116.25523573573572</v>
          </cell>
          <cell r="G211">
            <v>110.60657279236277</v>
          </cell>
          <cell r="H211">
            <v>154.63238664097625</v>
          </cell>
          <cell r="I211">
            <v>159.80338596491228</v>
          </cell>
          <cell r="J211">
            <v>108.77420934959349</v>
          </cell>
          <cell r="K211">
            <v>149.87899999999999</v>
          </cell>
          <cell r="L211">
            <v>152.1755281124498</v>
          </cell>
          <cell r="M211">
            <v>127.8857299771167</v>
          </cell>
          <cell r="N211">
            <v>142.429</v>
          </cell>
          <cell r="R211">
            <v>175</v>
          </cell>
          <cell r="T211">
            <v>39644.125</v>
          </cell>
          <cell r="AN211" t="str">
            <v/>
          </cell>
          <cell r="AP211">
            <v>39644.125</v>
          </cell>
          <cell r="AQ211">
            <v>416</v>
          </cell>
          <cell r="AR211">
            <v>132.83000000000001</v>
          </cell>
          <cell r="AS211">
            <v>1.7050000000000001</v>
          </cell>
          <cell r="AT211">
            <v>33.15</v>
          </cell>
          <cell r="AU211">
            <v>0.67749999999999999</v>
          </cell>
          <cell r="AV211">
            <v>55.257280000000009</v>
          </cell>
          <cell r="AW211">
            <v>0.70928000000000002</v>
          </cell>
          <cell r="AX211">
            <v>13.7904</v>
          </cell>
          <cell r="AY211">
            <v>281.83999999999997</v>
          </cell>
          <cell r="AZ211">
            <v>10</v>
          </cell>
          <cell r="BA211">
            <v>10</v>
          </cell>
          <cell r="BB211">
            <v>10</v>
          </cell>
          <cell r="BC211">
            <v>10</v>
          </cell>
          <cell r="BD211">
            <v>10</v>
          </cell>
          <cell r="BE211">
            <v>10</v>
          </cell>
          <cell r="BF211">
            <v>1.2835955732891664E-2</v>
          </cell>
          <cell r="BI211">
            <v>175</v>
          </cell>
          <cell r="BK211">
            <v>39644.125</v>
          </cell>
          <cell r="BL211">
            <v>363076.2</v>
          </cell>
          <cell r="BM211">
            <v>310741</v>
          </cell>
          <cell r="BN211">
            <v>52335.199999999997</v>
          </cell>
          <cell r="BO211">
            <v>522935.4</v>
          </cell>
          <cell r="BP211">
            <v>-78901</v>
          </cell>
          <cell r="BQ211">
            <v>601836.4</v>
          </cell>
          <cell r="BR211">
            <v>329921.3</v>
          </cell>
          <cell r="BS211">
            <v>40077.1</v>
          </cell>
          <cell r="BT211">
            <v>231838</v>
          </cell>
          <cell r="BU211">
            <v>830885.3</v>
          </cell>
          <cell r="BV211">
            <v>168637.8</v>
          </cell>
          <cell r="BW211">
            <v>604317.9</v>
          </cell>
          <cell r="BX211">
            <v>255777.9</v>
          </cell>
          <cell r="BY211">
            <v>230279</v>
          </cell>
          <cell r="BZ211">
            <v>55126.3</v>
          </cell>
          <cell r="CA211">
            <v>10</v>
          </cell>
          <cell r="CD211">
            <v>175</v>
          </cell>
          <cell r="CF211">
            <v>39644.125</v>
          </cell>
          <cell r="CJ211">
            <v>8.5</v>
          </cell>
          <cell r="CK211">
            <v>13.19</v>
          </cell>
          <cell r="CL211">
            <v>5</v>
          </cell>
          <cell r="CM211">
            <v>16</v>
          </cell>
          <cell r="CN211">
            <v>11.5</v>
          </cell>
          <cell r="CO211">
            <v>15</v>
          </cell>
          <cell r="CP211">
            <v>12</v>
          </cell>
          <cell r="CQ211">
            <v>26.99</v>
          </cell>
          <cell r="CR211">
            <v>3.5</v>
          </cell>
          <cell r="CS211">
            <v>18</v>
          </cell>
          <cell r="CT211">
            <v>27</v>
          </cell>
          <cell r="CU211">
            <v>10</v>
          </cell>
          <cell r="CV211">
            <v>10</v>
          </cell>
          <cell r="CY211">
            <v>175</v>
          </cell>
        </row>
        <row r="212">
          <cell r="A212">
            <v>39674.5625</v>
          </cell>
          <cell r="B212">
            <v>157.70490495481457</v>
          </cell>
          <cell r="C212">
            <v>145.9011475409836</v>
          </cell>
          <cell r="D212">
            <v>125.58268346456691</v>
          </cell>
          <cell r="E212">
            <v>147.36227238095239</v>
          </cell>
          <cell r="F212">
            <v>116.19756006006006</v>
          </cell>
          <cell r="G212">
            <v>110.90140811455846</v>
          </cell>
          <cell r="H212">
            <v>157.31185998715478</v>
          </cell>
          <cell r="I212">
            <v>159.80338596491228</v>
          </cell>
          <cell r="J212">
            <v>107.55753455284552</v>
          </cell>
          <cell r="K212">
            <v>149.87899999999999</v>
          </cell>
          <cell r="L212">
            <v>152.17353012048193</v>
          </cell>
          <cell r="M212">
            <v>119.75685125858124</v>
          </cell>
          <cell r="N212">
            <v>144.73500000000001</v>
          </cell>
          <cell r="R212">
            <v>176</v>
          </cell>
          <cell r="T212">
            <v>39674.5625</v>
          </cell>
          <cell r="AN212" t="str">
            <v/>
          </cell>
          <cell r="AP212">
            <v>39674.5625</v>
          </cell>
          <cell r="AQ212">
            <v>426.6</v>
          </cell>
          <cell r="AR212">
            <v>114.57</v>
          </cell>
          <cell r="AS212">
            <v>1.72</v>
          </cell>
          <cell r="AT212">
            <v>29.59</v>
          </cell>
          <cell r="AU212">
            <v>0.67749999999999999</v>
          </cell>
          <cell r="AV212">
            <v>48.875561999999995</v>
          </cell>
          <cell r="AW212">
            <v>0.73375200000000007</v>
          </cell>
          <cell r="AX212">
            <v>12.623094000000002</v>
          </cell>
          <cell r="AY212">
            <v>289.0215</v>
          </cell>
          <cell r="AZ212">
            <v>10</v>
          </cell>
          <cell r="BA212">
            <v>10</v>
          </cell>
          <cell r="BB212">
            <v>10</v>
          </cell>
          <cell r="BC212">
            <v>10</v>
          </cell>
          <cell r="BD212">
            <v>10</v>
          </cell>
          <cell r="BE212">
            <v>10</v>
          </cell>
          <cell r="BF212">
            <v>1.5012656018154843E-2</v>
          </cell>
          <cell r="BI212">
            <v>176</v>
          </cell>
          <cell r="BK212">
            <v>39674.5625</v>
          </cell>
          <cell r="BL212">
            <v>367091.4</v>
          </cell>
          <cell r="BM212">
            <v>329732</v>
          </cell>
          <cell r="BN212">
            <v>37359.4</v>
          </cell>
          <cell r="BO212">
            <v>502140.4</v>
          </cell>
          <cell r="BP212">
            <v>-85441.7</v>
          </cell>
          <cell r="BQ212">
            <v>587582.1</v>
          </cell>
          <cell r="BR212">
            <v>325323.2</v>
          </cell>
          <cell r="BS212">
            <v>34989</v>
          </cell>
          <cell r="BT212">
            <v>227269.9</v>
          </cell>
          <cell r="BU212">
            <v>831389.4</v>
          </cell>
          <cell r="BV212">
            <v>171445.9</v>
          </cell>
          <cell r="BW212">
            <v>602013.9</v>
          </cell>
          <cell r="BX212">
            <v>265111.90000000002</v>
          </cell>
          <cell r="BY212">
            <v>219132</v>
          </cell>
          <cell r="BZ212">
            <v>37842.400000000001</v>
          </cell>
          <cell r="CA212">
            <v>10</v>
          </cell>
          <cell r="CD212">
            <v>176</v>
          </cell>
          <cell r="CF212">
            <v>39674.5625</v>
          </cell>
          <cell r="CJ212">
            <v>8.5</v>
          </cell>
          <cell r="CK212">
            <v>13.19</v>
          </cell>
          <cell r="CL212">
            <v>5</v>
          </cell>
          <cell r="CM212">
            <v>16</v>
          </cell>
          <cell r="CN212">
            <v>11.5</v>
          </cell>
          <cell r="CO212">
            <v>15</v>
          </cell>
          <cell r="CP212">
            <v>12</v>
          </cell>
          <cell r="CQ212">
            <v>26.99</v>
          </cell>
          <cell r="CR212">
            <v>3.5</v>
          </cell>
          <cell r="CS212">
            <v>18</v>
          </cell>
          <cell r="CT212">
            <v>27</v>
          </cell>
          <cell r="CU212">
            <v>10</v>
          </cell>
          <cell r="CV212">
            <v>10</v>
          </cell>
          <cell r="CY212">
            <v>176</v>
          </cell>
        </row>
        <row r="213">
          <cell r="A213">
            <v>39705</v>
          </cell>
          <cell r="B213">
            <v>156.77844749143034</v>
          </cell>
          <cell r="C213">
            <v>140.02806010928964</v>
          </cell>
          <cell r="D213">
            <v>125.58268346456691</v>
          </cell>
          <cell r="E213">
            <v>145.35712952380953</v>
          </cell>
          <cell r="F213">
            <v>116.426515015015</v>
          </cell>
          <cell r="G213">
            <v>110.90140811455846</v>
          </cell>
          <cell r="H213">
            <v>157.31185998715478</v>
          </cell>
          <cell r="I213">
            <v>159.80338596491228</v>
          </cell>
          <cell r="J213">
            <v>107.55753455284552</v>
          </cell>
          <cell r="K213">
            <v>149.87899999999999</v>
          </cell>
          <cell r="L213">
            <v>152.64505622489961</v>
          </cell>
          <cell r="M213">
            <v>119.75685125858124</v>
          </cell>
          <cell r="N213">
            <v>144.18100000000001</v>
          </cell>
          <cell r="R213">
            <v>177</v>
          </cell>
          <cell r="T213">
            <v>39705</v>
          </cell>
          <cell r="AN213" t="str">
            <v/>
          </cell>
          <cell r="AP213">
            <v>39705</v>
          </cell>
          <cell r="AQ213">
            <v>455</v>
          </cell>
          <cell r="AR213">
            <v>99.66</v>
          </cell>
          <cell r="AS213">
            <v>1.4</v>
          </cell>
          <cell r="AT213">
            <v>29.3</v>
          </cell>
          <cell r="AU213">
            <v>0.67749999999999999</v>
          </cell>
          <cell r="AV213">
            <v>45.345299999999995</v>
          </cell>
          <cell r="AW213">
            <v>0.63700000000000001</v>
          </cell>
          <cell r="AX213">
            <v>13.3315</v>
          </cell>
          <cell r="AY213">
            <v>308.26249999999999</v>
          </cell>
          <cell r="AZ213">
            <v>10</v>
          </cell>
          <cell r="BA213">
            <v>10</v>
          </cell>
          <cell r="BB213">
            <v>10</v>
          </cell>
          <cell r="BC213">
            <v>10</v>
          </cell>
          <cell r="BD213">
            <v>10</v>
          </cell>
          <cell r="BE213">
            <v>10</v>
          </cell>
          <cell r="BF213">
            <v>1.4047762392133255E-2</v>
          </cell>
          <cell r="BI213">
            <v>177</v>
          </cell>
          <cell r="BK213">
            <v>39705</v>
          </cell>
          <cell r="BL213">
            <v>333216.8</v>
          </cell>
          <cell r="BM213">
            <v>297411.59999999998</v>
          </cell>
          <cell r="BN213">
            <v>35805.199999999997</v>
          </cell>
          <cell r="BO213">
            <v>578414.1</v>
          </cell>
          <cell r="BP213">
            <v>-54353.3</v>
          </cell>
          <cell r="BQ213">
            <v>632767.5</v>
          </cell>
          <cell r="BR213">
            <v>359533.6</v>
          </cell>
          <cell r="BS213">
            <v>29819</v>
          </cell>
          <cell r="BT213">
            <v>243414.9</v>
          </cell>
          <cell r="BU213">
            <v>845295.7</v>
          </cell>
          <cell r="BV213">
            <v>174247.4</v>
          </cell>
          <cell r="BW213">
            <v>614564</v>
          </cell>
          <cell r="BX213">
            <v>272737</v>
          </cell>
          <cell r="BY213">
            <v>225077</v>
          </cell>
          <cell r="BZ213">
            <v>66335.199999999997</v>
          </cell>
          <cell r="CA213">
            <v>10</v>
          </cell>
          <cell r="CD213">
            <v>177</v>
          </cell>
          <cell r="CF213">
            <v>39705</v>
          </cell>
          <cell r="CJ213">
            <v>8.5</v>
          </cell>
          <cell r="CK213">
            <v>13.19</v>
          </cell>
          <cell r="CL213">
            <v>1.5</v>
          </cell>
          <cell r="CM213">
            <v>12</v>
          </cell>
          <cell r="CN213">
            <v>11.5</v>
          </cell>
          <cell r="CO213">
            <v>15</v>
          </cell>
          <cell r="CP213">
            <v>18</v>
          </cell>
          <cell r="CQ213">
            <v>26.99</v>
          </cell>
          <cell r="CR213">
            <v>3.5</v>
          </cell>
          <cell r="CS213">
            <v>18</v>
          </cell>
          <cell r="CT213">
            <v>27</v>
          </cell>
          <cell r="CU213">
            <v>10</v>
          </cell>
          <cell r="CV213">
            <v>10</v>
          </cell>
          <cell r="CY213">
            <v>177</v>
          </cell>
        </row>
        <row r="214">
          <cell r="A214">
            <v>39735.4375</v>
          </cell>
          <cell r="B214">
            <v>106.44298392430922</v>
          </cell>
          <cell r="C214">
            <v>101.7797728526937</v>
          </cell>
          <cell r="D214">
            <v>100.15667550047465</v>
          </cell>
          <cell r="E214">
            <v>100.56944248261181</v>
          </cell>
          <cell r="F214">
            <v>100.19661079185892</v>
          </cell>
          <cell r="G214">
            <v>100.06071439621086</v>
          </cell>
          <cell r="H214">
            <v>102.48916472737451</v>
          </cell>
          <cell r="I214">
            <v>99.909653201629737</v>
          </cell>
          <cell r="J214">
            <v>99.959522150233184</v>
          </cell>
          <cell r="K214">
            <v>100</v>
          </cell>
          <cell r="L214">
            <v>100.12017897684359</v>
          </cell>
          <cell r="M214">
            <v>99.970128766376732</v>
          </cell>
          <cell r="N214">
            <v>102.80656458232571</v>
          </cell>
          <cell r="R214">
            <v>178</v>
          </cell>
          <cell r="T214">
            <v>39735.4375</v>
          </cell>
          <cell r="AN214" t="str">
            <v/>
          </cell>
          <cell r="AP214">
            <v>39735.4375</v>
          </cell>
          <cell r="AQ214">
            <v>493</v>
          </cell>
          <cell r="AR214">
            <v>72.69</v>
          </cell>
          <cell r="AS214">
            <v>1.3740000000000001</v>
          </cell>
          <cell r="AT214">
            <v>28.45</v>
          </cell>
          <cell r="AU214">
            <v>0.67749999999999999</v>
          </cell>
          <cell r="AV214">
            <v>35.836169999999996</v>
          </cell>
          <cell r="AW214">
            <v>0.67738200000000004</v>
          </cell>
          <cell r="AX214">
            <v>14.02585</v>
          </cell>
          <cell r="AY214">
            <v>334.00749999999999</v>
          </cell>
          <cell r="AZ214">
            <v>10</v>
          </cell>
          <cell r="BA214">
            <v>10</v>
          </cell>
          <cell r="BB214">
            <v>10</v>
          </cell>
          <cell r="BC214">
            <v>10</v>
          </cell>
          <cell r="BD214">
            <v>10</v>
          </cell>
          <cell r="BE214">
            <v>10</v>
          </cell>
          <cell r="BF214">
            <v>1.8902187371027654E-2</v>
          </cell>
          <cell r="BI214">
            <v>178</v>
          </cell>
          <cell r="BK214">
            <v>39735.4375</v>
          </cell>
          <cell r="BL214">
            <v>318433.40000000002</v>
          </cell>
          <cell r="BM214">
            <v>278500.59999999998</v>
          </cell>
          <cell r="BN214">
            <v>39932.800000000003</v>
          </cell>
          <cell r="BO214">
            <v>594926.6</v>
          </cell>
          <cell r="BP214">
            <v>-47135.3</v>
          </cell>
          <cell r="BQ214">
            <v>642061.9</v>
          </cell>
          <cell r="BR214">
            <v>378643.5</v>
          </cell>
          <cell r="BS214">
            <v>21059.599999999999</v>
          </cell>
          <cell r="BT214">
            <v>242358.9</v>
          </cell>
          <cell r="BU214">
            <v>853402</v>
          </cell>
          <cell r="BV214">
            <v>182499.4</v>
          </cell>
          <cell r="BW214">
            <v>615046</v>
          </cell>
          <cell r="BX214">
            <v>268278</v>
          </cell>
          <cell r="BY214">
            <v>230639</v>
          </cell>
          <cell r="BZ214">
            <v>59958</v>
          </cell>
          <cell r="CA214">
            <v>10</v>
          </cell>
          <cell r="CD214">
            <v>178</v>
          </cell>
          <cell r="CF214">
            <v>39735.4375</v>
          </cell>
          <cell r="CJ214">
            <v>8.5</v>
          </cell>
          <cell r="CK214">
            <v>13.19</v>
          </cell>
          <cell r="CL214">
            <v>1.5</v>
          </cell>
          <cell r="CM214">
            <v>12</v>
          </cell>
          <cell r="CN214">
            <v>11.5</v>
          </cell>
          <cell r="CO214">
            <v>15</v>
          </cell>
          <cell r="CP214">
            <v>18</v>
          </cell>
          <cell r="CQ214">
            <v>26.99</v>
          </cell>
          <cell r="CR214">
            <v>3.5</v>
          </cell>
          <cell r="CS214">
            <v>18</v>
          </cell>
          <cell r="CT214">
            <v>27</v>
          </cell>
          <cell r="CU214">
            <v>10</v>
          </cell>
          <cell r="CV214">
            <v>10</v>
          </cell>
          <cell r="CY214">
            <v>178</v>
          </cell>
        </row>
        <row r="215">
          <cell r="A215">
            <v>39765.875</v>
          </cell>
          <cell r="B215">
            <v>103.27173757545263</v>
          </cell>
          <cell r="C215">
            <v>102.25068607091734</v>
          </cell>
          <cell r="D215">
            <v>100.15523059126519</v>
          </cell>
          <cell r="E215">
            <v>101.07057160040192</v>
          </cell>
          <cell r="F215">
            <v>100.22340206079848</v>
          </cell>
          <cell r="G215">
            <v>100.06275072544418</v>
          </cell>
          <cell r="H215">
            <v>101.69487432670512</v>
          </cell>
          <cell r="I215">
            <v>99.909653201629737</v>
          </cell>
          <cell r="J215">
            <v>99.196434096612819</v>
          </cell>
          <cell r="K215">
            <v>100</v>
          </cell>
          <cell r="L215">
            <v>100.93323340672849</v>
          </cell>
          <cell r="M215">
            <v>99.951820164835297</v>
          </cell>
          <cell r="N215">
            <v>101.64878852984553</v>
          </cell>
          <cell r="R215">
            <v>179</v>
          </cell>
          <cell r="T215">
            <v>39765.875</v>
          </cell>
          <cell r="AN215" t="str">
            <v/>
          </cell>
          <cell r="AP215">
            <v>39765.875</v>
          </cell>
          <cell r="AQ215">
            <v>515.29999999999995</v>
          </cell>
          <cell r="AR215">
            <v>53.97</v>
          </cell>
          <cell r="AS215">
            <v>1.2150000000000001</v>
          </cell>
          <cell r="AT215">
            <v>26.84</v>
          </cell>
          <cell r="AU215">
            <v>0.67749999999999999</v>
          </cell>
          <cell r="AV215">
            <v>27.810740999999997</v>
          </cell>
          <cell r="AW215">
            <v>0.62608949999999997</v>
          </cell>
          <cell r="AX215">
            <v>13.830651999999999</v>
          </cell>
          <cell r="AY215">
            <v>349.11574999999999</v>
          </cell>
          <cell r="AZ215">
            <v>10</v>
          </cell>
          <cell r="BA215">
            <v>10</v>
          </cell>
          <cell r="BB215">
            <v>10</v>
          </cell>
          <cell r="BC215">
            <v>10</v>
          </cell>
          <cell r="BD215">
            <v>10</v>
          </cell>
          <cell r="BE215">
            <v>10</v>
          </cell>
          <cell r="BF215">
            <v>2.2512506948304613E-2</v>
          </cell>
          <cell r="BI215">
            <v>179</v>
          </cell>
          <cell r="BK215">
            <v>39765.875</v>
          </cell>
          <cell r="BL215">
            <v>335102.3</v>
          </cell>
          <cell r="BM215">
            <v>268116.40000000002</v>
          </cell>
          <cell r="BN215">
            <v>66985.899999999994</v>
          </cell>
          <cell r="BO215">
            <v>604490.19999999995</v>
          </cell>
          <cell r="BP215">
            <v>-43971.1</v>
          </cell>
          <cell r="BQ215">
            <v>648461.19999999995</v>
          </cell>
          <cell r="BR215">
            <v>396213.3</v>
          </cell>
          <cell r="BS215">
            <v>8503</v>
          </cell>
          <cell r="BT215">
            <v>243744.9</v>
          </cell>
          <cell r="BU215">
            <v>872331.8</v>
          </cell>
          <cell r="BV215">
            <v>201754.5</v>
          </cell>
          <cell r="BW215">
            <v>614810.69999999995</v>
          </cell>
          <cell r="BX215">
            <v>269446.7</v>
          </cell>
          <cell r="BY215">
            <v>230820</v>
          </cell>
          <cell r="BZ215">
            <v>67260.600000000006</v>
          </cell>
          <cell r="CA215">
            <v>10</v>
          </cell>
          <cell r="CD215">
            <v>179</v>
          </cell>
          <cell r="CF215">
            <v>39765.875</v>
          </cell>
          <cell r="CJ215">
            <v>8.5</v>
          </cell>
          <cell r="CK215">
            <v>13.19</v>
          </cell>
          <cell r="CL215">
            <v>1.5</v>
          </cell>
          <cell r="CM215">
            <v>12</v>
          </cell>
          <cell r="CN215">
            <v>11.5</v>
          </cell>
          <cell r="CO215">
            <v>15</v>
          </cell>
          <cell r="CP215">
            <v>18</v>
          </cell>
          <cell r="CQ215">
            <v>26.99</v>
          </cell>
          <cell r="CR215">
            <v>3.5</v>
          </cell>
          <cell r="CS215">
            <v>18</v>
          </cell>
          <cell r="CT215">
            <v>27</v>
          </cell>
          <cell r="CY215">
            <v>179</v>
          </cell>
        </row>
        <row r="216">
          <cell r="A216">
            <v>39796.3125</v>
          </cell>
          <cell r="B216">
            <v>101.13165458683659</v>
          </cell>
          <cell r="C216">
            <v>99.831864756015037</v>
          </cell>
          <cell r="D216">
            <v>100.19319774284475</v>
          </cell>
          <cell r="E216">
            <v>102.24626638171577</v>
          </cell>
          <cell r="F216">
            <v>100.22340206079848</v>
          </cell>
          <cell r="G216">
            <v>100.06275072544418</v>
          </cell>
          <cell r="H216">
            <v>100.60341379564127</v>
          </cell>
          <cell r="I216">
            <v>99.909653201629737</v>
          </cell>
          <cell r="J216">
            <v>99.115174434627335</v>
          </cell>
          <cell r="K216">
            <v>100</v>
          </cell>
          <cell r="L216">
            <v>102.16148540157242</v>
          </cell>
          <cell r="M216">
            <v>99.951820164835297</v>
          </cell>
          <cell r="N216">
            <v>100.89758783983181</v>
          </cell>
          <cell r="R216">
            <v>180</v>
          </cell>
          <cell r="T216">
            <v>39796.3125</v>
          </cell>
          <cell r="AN216" t="str">
            <v/>
          </cell>
          <cell r="AP216">
            <v>39796.3125</v>
          </cell>
          <cell r="AQ216">
            <v>481.5</v>
          </cell>
          <cell r="AR216">
            <v>41.34</v>
          </cell>
          <cell r="AS216">
            <v>1.224</v>
          </cell>
          <cell r="AT216">
            <v>28.78</v>
          </cell>
          <cell r="AU216">
            <v>0.67749999999999999</v>
          </cell>
          <cell r="AV216">
            <v>19.905210000000004</v>
          </cell>
          <cell r="AW216">
            <v>0.58935599999999999</v>
          </cell>
          <cell r="AX216">
            <v>13.857569999999999</v>
          </cell>
          <cell r="AY216">
            <v>326.21625</v>
          </cell>
          <cell r="AZ216">
            <v>10</v>
          </cell>
          <cell r="BA216">
            <v>10</v>
          </cell>
          <cell r="BB216">
            <v>10</v>
          </cell>
          <cell r="BC216">
            <v>10</v>
          </cell>
          <cell r="BD216">
            <v>10</v>
          </cell>
          <cell r="BE216">
            <v>10</v>
          </cell>
          <cell r="BF216">
            <v>2.9608127721335264E-2</v>
          </cell>
          <cell r="BI216">
            <v>180</v>
          </cell>
          <cell r="BK216">
            <v>39796.3125</v>
          </cell>
          <cell r="BL216">
            <v>374793.49400000001</v>
          </cell>
          <cell r="BM216">
            <v>315622.59999999998</v>
          </cell>
          <cell r="BN216">
            <v>59170.894</v>
          </cell>
          <cell r="BO216">
            <v>604718.72355899995</v>
          </cell>
          <cell r="BP216">
            <v>-55795.445978999996</v>
          </cell>
          <cell r="BQ216">
            <v>660514.16953800002</v>
          </cell>
          <cell r="BR216">
            <v>403201.88353799999</v>
          </cell>
          <cell r="BS216">
            <v>14097.4</v>
          </cell>
          <cell r="BT216">
            <v>243214.886</v>
          </cell>
          <cell r="BU216">
            <v>911917.71755900001</v>
          </cell>
          <cell r="BV216">
            <v>212946.87122</v>
          </cell>
          <cell r="BW216">
            <v>642056.6</v>
          </cell>
          <cell r="BX216">
            <v>288014.59999999998</v>
          </cell>
          <cell r="BY216">
            <v>236600</v>
          </cell>
          <cell r="BZ216">
            <v>67594.500000000102</v>
          </cell>
          <cell r="CA216">
            <v>10</v>
          </cell>
          <cell r="CD216">
            <v>180</v>
          </cell>
          <cell r="CF216">
            <v>39796.3125</v>
          </cell>
          <cell r="CJ216">
            <v>8.5</v>
          </cell>
          <cell r="CK216">
            <v>13.19</v>
          </cell>
          <cell r="CL216">
            <v>1.5</v>
          </cell>
          <cell r="CM216">
            <v>16</v>
          </cell>
          <cell r="CN216">
            <v>11.5</v>
          </cell>
          <cell r="CO216">
            <v>15</v>
          </cell>
          <cell r="CP216">
            <v>12</v>
          </cell>
          <cell r="CQ216">
            <v>26.99</v>
          </cell>
          <cell r="CR216">
            <v>3.5</v>
          </cell>
          <cell r="CS216">
            <v>18</v>
          </cell>
          <cell r="CT216">
            <v>27</v>
          </cell>
          <cell r="CY216">
            <v>180</v>
          </cell>
        </row>
        <row r="217">
          <cell r="A217">
            <v>39826.75</v>
          </cell>
          <cell r="B217">
            <v>99.231349532633686</v>
          </cell>
          <cell r="C217">
            <v>96.535009832309527</v>
          </cell>
          <cell r="D217">
            <v>98.280013398492414</v>
          </cell>
          <cell r="E217">
            <v>100.92657870733881</v>
          </cell>
          <cell r="F217">
            <v>98.204465301205957</v>
          </cell>
          <cell r="G217">
            <v>37.955889304673896</v>
          </cell>
          <cell r="H217">
            <v>97.591623161844112</v>
          </cell>
          <cell r="I217">
            <v>95.133823707114431</v>
          </cell>
          <cell r="J217">
            <v>99.245954380854528</v>
          </cell>
          <cell r="K217">
            <v>100</v>
          </cell>
          <cell r="L217">
            <v>100.65853663616328</v>
          </cell>
          <cell r="M217">
            <v>102.29899500956436</v>
          </cell>
          <cell r="N217">
            <v>97.329025892466774</v>
          </cell>
          <cell r="R217">
            <v>181</v>
          </cell>
          <cell r="T217">
            <v>39826.75</v>
          </cell>
          <cell r="AN217" t="str">
            <v/>
          </cell>
          <cell r="AP217">
            <v>39826.75</v>
          </cell>
          <cell r="AQ217">
            <v>495.4</v>
          </cell>
          <cell r="AR217">
            <v>43.86</v>
          </cell>
          <cell r="AS217">
            <v>1.272</v>
          </cell>
          <cell r="AT217">
            <v>30.3</v>
          </cell>
          <cell r="AU217">
            <v>0.67749999999999999</v>
          </cell>
          <cell r="AV217">
            <v>21.728244</v>
          </cell>
          <cell r="AW217">
            <v>0.63014879999999995</v>
          </cell>
          <cell r="AX217">
            <v>15.010619999999999</v>
          </cell>
          <cell r="AY217">
            <v>335.63349999999997</v>
          </cell>
          <cell r="AZ217">
            <v>10</v>
          </cell>
          <cell r="BA217">
            <v>10</v>
          </cell>
          <cell r="BB217">
            <v>10</v>
          </cell>
          <cell r="BC217">
            <v>10</v>
          </cell>
          <cell r="BD217">
            <v>10</v>
          </cell>
          <cell r="BE217">
            <v>10</v>
          </cell>
          <cell r="BF217">
            <v>2.9001367989056084E-2</v>
          </cell>
          <cell r="BI217">
            <v>181</v>
          </cell>
          <cell r="BK217">
            <v>39826.75</v>
          </cell>
          <cell r="BL217">
            <v>394118.81400000001</v>
          </cell>
          <cell r="BM217">
            <v>301043.7</v>
          </cell>
          <cell r="BN217">
            <v>93075.114000000001</v>
          </cell>
          <cell r="BO217">
            <v>595094.09324900003</v>
          </cell>
          <cell r="BP217">
            <v>-63532.606052000003</v>
          </cell>
          <cell r="BQ217">
            <v>658626.69930099999</v>
          </cell>
          <cell r="BR217">
            <v>388326.43330099998</v>
          </cell>
          <cell r="BS217">
            <v>26012.38</v>
          </cell>
          <cell r="BT217">
            <v>244287.886</v>
          </cell>
          <cell r="BU217">
            <v>923705.40724900004</v>
          </cell>
          <cell r="BV217">
            <v>222458.930249</v>
          </cell>
          <cell r="BW217">
            <v>644389.6</v>
          </cell>
          <cell r="BX217">
            <v>290343.59999999998</v>
          </cell>
          <cell r="BY217">
            <v>235507</v>
          </cell>
          <cell r="BZ217">
            <v>65507.5</v>
          </cell>
          <cell r="CA217">
            <v>10</v>
          </cell>
          <cell r="CD217">
            <v>181</v>
          </cell>
          <cell r="CF217">
            <v>39826.75</v>
          </cell>
          <cell r="CJ217">
            <v>8.5</v>
          </cell>
          <cell r="CK217">
            <v>13.19</v>
          </cell>
          <cell r="CL217">
            <v>1.5</v>
          </cell>
          <cell r="CM217">
            <v>16</v>
          </cell>
          <cell r="CN217">
            <v>11.5</v>
          </cell>
          <cell r="CO217">
            <v>15</v>
          </cell>
          <cell r="CP217">
            <v>12</v>
          </cell>
          <cell r="CQ217">
            <v>26.99</v>
          </cell>
          <cell r="CR217">
            <v>3.5</v>
          </cell>
          <cell r="CS217">
            <v>18</v>
          </cell>
          <cell r="CT217">
            <v>27</v>
          </cell>
          <cell r="CY217">
            <v>181</v>
          </cell>
        </row>
        <row r="218">
          <cell r="A218">
            <v>39857.1875</v>
          </cell>
          <cell r="B218">
            <v>100.62091603909755</v>
          </cell>
          <cell r="C218">
            <v>98.672514177113143</v>
          </cell>
          <cell r="D218">
            <v>100.41096395328098</v>
          </cell>
          <cell r="E218">
            <v>101.23141030883579</v>
          </cell>
          <cell r="F218">
            <v>100.22893180733716</v>
          </cell>
          <cell r="G218">
            <v>98.430185459877976</v>
          </cell>
          <cell r="H218">
            <v>98.313273622587687</v>
          </cell>
          <cell r="I218">
            <v>96.229530602193734</v>
          </cell>
          <cell r="J218">
            <v>99.245954380854528</v>
          </cell>
          <cell r="K218">
            <v>100</v>
          </cell>
          <cell r="L218">
            <v>100.67006206589178</v>
          </cell>
          <cell r="M218">
            <v>102.29899500956436</v>
          </cell>
          <cell r="N218">
            <v>99.951015966845461</v>
          </cell>
          <cell r="R218">
            <v>182</v>
          </cell>
          <cell r="T218">
            <v>39857.1875</v>
          </cell>
          <cell r="AN218" t="str">
            <v/>
          </cell>
          <cell r="AP218">
            <v>39857.1875</v>
          </cell>
          <cell r="AQ218">
            <v>513.1</v>
          </cell>
          <cell r="AR218">
            <v>41.84</v>
          </cell>
          <cell r="AS218">
            <v>1.2170000000000001</v>
          </cell>
          <cell r="AT218">
            <v>33.299999999999997</v>
          </cell>
          <cell r="AU218">
            <v>0.67749999999999999</v>
          </cell>
          <cell r="AV218">
            <v>21.468104000000004</v>
          </cell>
          <cell r="AW218">
            <v>0.62444270000000002</v>
          </cell>
          <cell r="AX218">
            <v>17.08623</v>
          </cell>
          <cell r="AY218">
            <v>347.62524999999999</v>
          </cell>
          <cell r="AZ218">
            <v>10</v>
          </cell>
          <cell r="BA218">
            <v>10</v>
          </cell>
          <cell r="BB218">
            <v>10</v>
          </cell>
          <cell r="BC218">
            <v>10</v>
          </cell>
          <cell r="BD218">
            <v>10</v>
          </cell>
          <cell r="BE218">
            <v>10</v>
          </cell>
          <cell r="BF218">
            <v>2.9086998087954105E-2</v>
          </cell>
          <cell r="BI218">
            <v>182</v>
          </cell>
          <cell r="BK218">
            <v>39857.1875</v>
          </cell>
          <cell r="BL218">
            <v>390046.71399999998</v>
          </cell>
          <cell r="BM218">
            <v>328227.59999999998</v>
          </cell>
          <cell r="BN218">
            <v>61819.114000000001</v>
          </cell>
          <cell r="BO218">
            <v>608773.41767899995</v>
          </cell>
          <cell r="BP218">
            <v>-58043.774651</v>
          </cell>
          <cell r="BQ218">
            <v>666817.19232999999</v>
          </cell>
          <cell r="BR218">
            <v>382090.06633</v>
          </cell>
          <cell r="BS218">
            <v>40604.400000000001</v>
          </cell>
          <cell r="BT218">
            <v>244122.726</v>
          </cell>
          <cell r="BU218">
            <v>943391.63167899998</v>
          </cell>
          <cell r="BV218">
            <v>227546.13967900001</v>
          </cell>
          <cell r="BW218">
            <v>658015.80000000005</v>
          </cell>
          <cell r="BX218">
            <v>302033.8</v>
          </cell>
          <cell r="BY218">
            <v>234959</v>
          </cell>
          <cell r="BZ218">
            <v>55428.499999999804</v>
          </cell>
          <cell r="CA218">
            <v>10</v>
          </cell>
          <cell r="CD218">
            <v>182</v>
          </cell>
          <cell r="CF218">
            <v>39857.1875</v>
          </cell>
          <cell r="CJ218">
            <v>8.5</v>
          </cell>
          <cell r="CK218">
            <v>13.19</v>
          </cell>
          <cell r="CL218">
            <v>1.5</v>
          </cell>
          <cell r="CM218">
            <v>16</v>
          </cell>
          <cell r="CN218">
            <v>11.5</v>
          </cell>
          <cell r="CO218">
            <v>15</v>
          </cell>
          <cell r="CP218">
            <v>12</v>
          </cell>
          <cell r="CQ218">
            <v>26.99</v>
          </cell>
          <cell r="CR218">
            <v>3.5</v>
          </cell>
          <cell r="CS218">
            <v>18</v>
          </cell>
          <cell r="CT218">
            <v>27</v>
          </cell>
          <cell r="CY218">
            <v>182</v>
          </cell>
        </row>
        <row r="219">
          <cell r="A219">
            <v>39887.625</v>
          </cell>
          <cell r="B219">
            <v>100.49353773481742</v>
          </cell>
          <cell r="C219">
            <v>97.377318861479864</v>
          </cell>
          <cell r="D219">
            <v>100.41096395328098</v>
          </cell>
          <cell r="E219">
            <v>100.99413010051381</v>
          </cell>
          <cell r="F219">
            <v>100.22893180733716</v>
          </cell>
          <cell r="G219">
            <v>99.722323421173769</v>
          </cell>
          <cell r="H219">
            <v>98.433213234627004</v>
          </cell>
          <cell r="I219">
            <v>95.265048965707066</v>
          </cell>
          <cell r="J219">
            <v>99.245954380854528</v>
          </cell>
          <cell r="K219">
            <v>100</v>
          </cell>
          <cell r="L219">
            <v>100.59083427742695</v>
          </cell>
          <cell r="M219">
            <v>102.29899500956436</v>
          </cell>
          <cell r="N219">
            <v>99.831777601675014</v>
          </cell>
          <cell r="R219">
            <v>183</v>
          </cell>
          <cell r="T219">
            <v>39887.625</v>
          </cell>
          <cell r="AN219" t="str">
            <v/>
          </cell>
          <cell r="AP219">
            <v>39887.625</v>
          </cell>
          <cell r="AQ219">
            <v>503.1</v>
          </cell>
          <cell r="AR219">
            <v>46.65</v>
          </cell>
          <cell r="AS219">
            <v>1.1359999999999999</v>
          </cell>
          <cell r="AT219">
            <v>32.6</v>
          </cell>
          <cell r="AU219">
            <v>0.67749999999999999</v>
          </cell>
          <cell r="AV219">
            <v>23.469615000000001</v>
          </cell>
          <cell r="AW219">
            <v>0.57152159999999996</v>
          </cell>
          <cell r="AX219">
            <v>16.401060000000001</v>
          </cell>
          <cell r="AY219">
            <v>340.85025000000002</v>
          </cell>
          <cell r="AZ219">
            <v>10</v>
          </cell>
          <cell r="BA219">
            <v>10</v>
          </cell>
          <cell r="BB219">
            <v>10</v>
          </cell>
          <cell r="BC219">
            <v>10</v>
          </cell>
          <cell r="BD219">
            <v>10</v>
          </cell>
          <cell r="BE219">
            <v>10</v>
          </cell>
          <cell r="BF219">
            <v>2.4351554126473739E-2</v>
          </cell>
          <cell r="BI219">
            <v>183</v>
          </cell>
          <cell r="BK219">
            <v>39887.625</v>
          </cell>
          <cell r="BL219">
            <v>411462.01400000002</v>
          </cell>
          <cell r="BM219">
            <v>332053.90000000002</v>
          </cell>
          <cell r="BN219">
            <v>79408.114000000001</v>
          </cell>
          <cell r="BO219">
            <v>606618.19347699999</v>
          </cell>
          <cell r="BP219">
            <v>-61851.568983999998</v>
          </cell>
          <cell r="BQ219">
            <v>668469.76246100001</v>
          </cell>
          <cell r="BR219">
            <v>379734.47646099998</v>
          </cell>
          <cell r="BS219">
            <v>40604.400000000001</v>
          </cell>
          <cell r="BT219">
            <v>248130.886</v>
          </cell>
          <cell r="BU219">
            <v>945933.90747700003</v>
          </cell>
          <cell r="BV219">
            <v>222236.249477</v>
          </cell>
          <cell r="BW219">
            <v>663977.80000000005</v>
          </cell>
          <cell r="BX219">
            <v>300227.8</v>
          </cell>
          <cell r="BY219">
            <v>241675</v>
          </cell>
          <cell r="BZ219">
            <v>72146.300000000105</v>
          </cell>
          <cell r="CA219">
            <v>10</v>
          </cell>
          <cell r="CD219">
            <v>183</v>
          </cell>
          <cell r="CF219">
            <v>39887.625</v>
          </cell>
          <cell r="CJ219">
            <v>8.5</v>
          </cell>
          <cell r="CK219">
            <v>13.19</v>
          </cell>
          <cell r="CL219">
            <v>1.5</v>
          </cell>
          <cell r="CM219">
            <v>16</v>
          </cell>
          <cell r="CN219">
            <v>11.5</v>
          </cell>
          <cell r="CO219">
            <v>15</v>
          </cell>
          <cell r="CP219">
            <v>12</v>
          </cell>
          <cell r="CQ219">
            <v>26.99</v>
          </cell>
          <cell r="CR219">
            <v>3.5</v>
          </cell>
          <cell r="CS219">
            <v>18</v>
          </cell>
          <cell r="CT219">
            <v>27</v>
          </cell>
          <cell r="CY219">
            <v>183</v>
          </cell>
        </row>
        <row r="220">
          <cell r="A220">
            <v>39918.0625</v>
          </cell>
          <cell r="B220">
            <v>101.37993791869063</v>
          </cell>
          <cell r="C220">
            <v>94.25662583812219</v>
          </cell>
          <cell r="D220">
            <v>100.41096395328098</v>
          </cell>
          <cell r="E220">
            <v>100.2825500655336</v>
          </cell>
          <cell r="F220">
            <v>100.364762903742</v>
          </cell>
          <cell r="G220">
            <v>99.722323421173769</v>
          </cell>
          <cell r="H220">
            <v>98.313273622587687</v>
          </cell>
          <cell r="I220">
            <v>95.937762500898984</v>
          </cell>
          <cell r="J220">
            <v>99.245954380854528</v>
          </cell>
          <cell r="K220">
            <v>100</v>
          </cell>
          <cell r="L220">
            <v>100.03204175396735</v>
          </cell>
          <cell r="M220">
            <v>102.32894342063291</v>
          </cell>
          <cell r="N220">
            <v>100.01955338963221</v>
          </cell>
          <cell r="R220">
            <v>184</v>
          </cell>
          <cell r="T220">
            <v>39918.0625</v>
          </cell>
          <cell r="AN220" t="str">
            <v/>
          </cell>
          <cell r="AP220">
            <v>39918.0625</v>
          </cell>
          <cell r="AQ220">
            <v>497.3</v>
          </cell>
          <cell r="AR220">
            <v>50.28</v>
          </cell>
          <cell r="AS220">
            <v>1.252</v>
          </cell>
          <cell r="AT220">
            <v>31.4</v>
          </cell>
          <cell r="AU220">
            <v>0.67749999999999999</v>
          </cell>
          <cell r="AV220">
            <v>25.004244000000003</v>
          </cell>
          <cell r="AW220">
            <v>0.62261959999999994</v>
          </cell>
          <cell r="AX220">
            <v>15.615219999999999</v>
          </cell>
          <cell r="AY220">
            <v>336.92075</v>
          </cell>
          <cell r="AZ220">
            <v>10</v>
          </cell>
          <cell r="BA220">
            <v>10</v>
          </cell>
          <cell r="BB220">
            <v>10</v>
          </cell>
          <cell r="BC220">
            <v>10</v>
          </cell>
          <cell r="BD220">
            <v>10</v>
          </cell>
          <cell r="BE220">
            <v>10</v>
          </cell>
          <cell r="BF220">
            <v>2.4900556881463799E-2</v>
          </cell>
          <cell r="BI220">
            <v>184</v>
          </cell>
          <cell r="BK220">
            <v>39918.0625</v>
          </cell>
          <cell r="BL220">
            <v>443193.114</v>
          </cell>
          <cell r="BM220">
            <v>336214</v>
          </cell>
          <cell r="BN220">
            <v>106979.114</v>
          </cell>
          <cell r="BO220">
            <v>611958.24097499996</v>
          </cell>
          <cell r="BP220">
            <v>-65564.502345999994</v>
          </cell>
          <cell r="BQ220">
            <v>677522.74332100002</v>
          </cell>
          <cell r="BR220">
            <v>384690.337321</v>
          </cell>
          <cell r="BS220">
            <v>45070.52</v>
          </cell>
          <cell r="BT220">
            <v>247761.886</v>
          </cell>
          <cell r="BU220">
            <v>985265.55497499998</v>
          </cell>
          <cell r="BV220">
            <v>231281.02497500001</v>
          </cell>
          <cell r="BW220">
            <v>693887</v>
          </cell>
          <cell r="BX220">
            <v>329084</v>
          </cell>
          <cell r="BY220">
            <v>240262</v>
          </cell>
          <cell r="BZ220">
            <v>69885.800000000294</v>
          </cell>
          <cell r="CA220">
            <v>10</v>
          </cell>
          <cell r="CD220">
            <v>184</v>
          </cell>
          <cell r="CF220">
            <v>39918.0625</v>
          </cell>
          <cell r="CJ220">
            <v>8.5</v>
          </cell>
          <cell r="CK220">
            <v>13.19</v>
          </cell>
          <cell r="CL220">
            <v>1.5</v>
          </cell>
          <cell r="CM220">
            <v>16</v>
          </cell>
          <cell r="CN220">
            <v>11.5</v>
          </cell>
          <cell r="CO220">
            <v>15</v>
          </cell>
          <cell r="CP220">
            <v>12</v>
          </cell>
          <cell r="CQ220">
            <v>26.99</v>
          </cell>
          <cell r="CR220">
            <v>3.5</v>
          </cell>
          <cell r="CS220">
            <v>18</v>
          </cell>
          <cell r="CT220">
            <v>27</v>
          </cell>
          <cell r="CY220">
            <v>184</v>
          </cell>
        </row>
        <row r="221">
          <cell r="A221">
            <v>39948.5</v>
          </cell>
          <cell r="B221">
            <v>102.24270551511123</v>
          </cell>
          <cell r="C221">
            <v>94.295047270704202</v>
          </cell>
          <cell r="D221">
            <v>100.41096395328098</v>
          </cell>
          <cell r="E221">
            <v>100.89821970819916</v>
          </cell>
          <cell r="F221">
            <v>100.36903675339586</v>
          </cell>
          <cell r="G221">
            <v>99.722323421173769</v>
          </cell>
          <cell r="H221">
            <v>98.282555983306978</v>
          </cell>
          <cell r="I221">
            <v>95.633757858352823</v>
          </cell>
          <cell r="J221">
            <v>99.175811735529805</v>
          </cell>
          <cell r="K221">
            <v>100</v>
          </cell>
          <cell r="L221">
            <v>100.27980032945565</v>
          </cell>
          <cell r="M221">
            <v>102.32894342063291</v>
          </cell>
          <cell r="N221">
            <v>100.39225767246656</v>
          </cell>
          <cell r="R221">
            <v>185</v>
          </cell>
          <cell r="T221">
            <v>39948.5</v>
          </cell>
          <cell r="AN221" t="str">
            <v/>
          </cell>
          <cell r="AP221">
            <v>39948.5</v>
          </cell>
          <cell r="AQ221">
            <v>481.3</v>
          </cell>
          <cell r="AR221">
            <v>58.15</v>
          </cell>
          <cell r="AS221">
            <v>1.367</v>
          </cell>
          <cell r="AT221">
            <v>32.799999999999997</v>
          </cell>
          <cell r="AU221">
            <v>0.67749999999999999</v>
          </cell>
          <cell r="AV221">
            <v>27.987595000000002</v>
          </cell>
          <cell r="AW221">
            <v>0.65793709999999994</v>
          </cell>
          <cell r="AX221">
            <v>15.78664</v>
          </cell>
          <cell r="AY221">
            <v>326.08075000000002</v>
          </cell>
          <cell r="AZ221">
            <v>10</v>
          </cell>
          <cell r="BA221">
            <v>10</v>
          </cell>
          <cell r="BB221">
            <v>10</v>
          </cell>
          <cell r="BC221">
            <v>10</v>
          </cell>
          <cell r="BD221">
            <v>10</v>
          </cell>
          <cell r="BE221">
            <v>10</v>
          </cell>
          <cell r="BF221">
            <v>2.3508168529664655E-2</v>
          </cell>
          <cell r="BI221">
            <v>185</v>
          </cell>
          <cell r="BK221">
            <v>39948.5</v>
          </cell>
          <cell r="BL221">
            <v>451113.81400000001</v>
          </cell>
          <cell r="BM221">
            <v>344306.7</v>
          </cell>
          <cell r="BN221">
            <v>106807.114</v>
          </cell>
          <cell r="BO221">
            <v>629803.75953299995</v>
          </cell>
          <cell r="BP221">
            <v>-45222.488522</v>
          </cell>
          <cell r="BQ221">
            <v>675026.24805499997</v>
          </cell>
          <cell r="BR221">
            <v>377878.78205500002</v>
          </cell>
          <cell r="BS221">
            <v>49551.58</v>
          </cell>
          <cell r="BT221">
            <v>247595.886</v>
          </cell>
          <cell r="BU221">
            <v>1016785.793533</v>
          </cell>
          <cell r="BV221">
            <v>240752.51053299999</v>
          </cell>
          <cell r="BW221">
            <v>715670.3</v>
          </cell>
          <cell r="BX221">
            <v>330801.3</v>
          </cell>
          <cell r="BY221">
            <v>255365</v>
          </cell>
          <cell r="BZ221">
            <v>64131.779999999897</v>
          </cell>
          <cell r="CA221">
            <v>10</v>
          </cell>
          <cell r="CD221">
            <v>185</v>
          </cell>
          <cell r="CF221">
            <v>39948.5</v>
          </cell>
          <cell r="CJ221">
            <v>8.5</v>
          </cell>
          <cell r="CK221">
            <v>13.19</v>
          </cell>
          <cell r="CL221">
            <v>1.5</v>
          </cell>
          <cell r="CM221">
            <v>16</v>
          </cell>
          <cell r="CN221">
            <v>11.5</v>
          </cell>
          <cell r="CO221">
            <v>15</v>
          </cell>
          <cell r="CP221">
            <v>12</v>
          </cell>
          <cell r="CQ221">
            <v>26.99</v>
          </cell>
          <cell r="CR221">
            <v>3.5</v>
          </cell>
          <cell r="CS221">
            <v>18</v>
          </cell>
          <cell r="CT221">
            <v>27</v>
          </cell>
          <cell r="CY221">
            <v>185</v>
          </cell>
        </row>
        <row r="222">
          <cell r="A222">
            <v>39978.9375</v>
          </cell>
          <cell r="B222">
            <v>102.23803848327354</v>
          </cell>
          <cell r="C222">
            <v>94.465358224956759</v>
          </cell>
          <cell r="D222">
            <v>100.41096395328098</v>
          </cell>
          <cell r="E222">
            <v>100.32870450448546</v>
          </cell>
          <cell r="F222">
            <v>100.36903675339586</v>
          </cell>
          <cell r="G222">
            <v>99.722427331402741</v>
          </cell>
          <cell r="H222">
            <v>98.282555983306978</v>
          </cell>
          <cell r="I222">
            <v>94.738572639157127</v>
          </cell>
          <cell r="J222">
            <v>99.228506552759455</v>
          </cell>
          <cell r="K222">
            <v>100</v>
          </cell>
          <cell r="L222">
            <v>100.33857238833612</v>
          </cell>
          <cell r="M222">
            <v>102.32894342063291</v>
          </cell>
          <cell r="N222">
            <v>100.28149645704413</v>
          </cell>
          <cell r="R222">
            <v>186</v>
          </cell>
          <cell r="T222">
            <v>39978.9375</v>
          </cell>
          <cell r="AN222" t="str">
            <v/>
          </cell>
          <cell r="AP222">
            <v>39978.9375</v>
          </cell>
          <cell r="AQ222">
            <v>468</v>
          </cell>
          <cell r="AR222">
            <v>69.150000000000006</v>
          </cell>
          <cell r="AS222">
            <v>1.3540000000000001</v>
          </cell>
          <cell r="AT222">
            <v>33.4</v>
          </cell>
          <cell r="AU222">
            <v>0.67749999999999999</v>
          </cell>
          <cell r="AV222">
            <v>32.362200000000001</v>
          </cell>
          <cell r="AW222">
            <v>0.63367200000000001</v>
          </cell>
          <cell r="AX222">
            <v>15.6312</v>
          </cell>
          <cell r="AY222">
            <v>317.07</v>
          </cell>
          <cell r="AZ222">
            <v>10</v>
          </cell>
          <cell r="BA222">
            <v>10</v>
          </cell>
          <cell r="BB222">
            <v>10</v>
          </cell>
          <cell r="BC222">
            <v>10</v>
          </cell>
          <cell r="BD222">
            <v>10</v>
          </cell>
          <cell r="BE222">
            <v>10</v>
          </cell>
          <cell r="BF222">
            <v>1.9580621836587129E-2</v>
          </cell>
          <cell r="BI222">
            <v>186</v>
          </cell>
          <cell r="BK222">
            <v>39978.9375</v>
          </cell>
          <cell r="BL222">
            <v>491384.614</v>
          </cell>
          <cell r="BM222">
            <v>385323.5</v>
          </cell>
          <cell r="BN222">
            <v>106061.114</v>
          </cell>
          <cell r="BO222">
            <v>594019.23829000001</v>
          </cell>
          <cell r="BP222">
            <v>-62474.211819999997</v>
          </cell>
          <cell r="BQ222">
            <v>656493.45010999998</v>
          </cell>
          <cell r="BR222">
            <v>356918.77411</v>
          </cell>
          <cell r="BS222">
            <v>50612.79</v>
          </cell>
          <cell r="BT222">
            <v>248961.886</v>
          </cell>
          <cell r="BU222">
            <v>1001644.45229</v>
          </cell>
          <cell r="BV222">
            <v>238827.53328999999</v>
          </cell>
          <cell r="BW222">
            <v>701780.4</v>
          </cell>
          <cell r="BX222">
            <v>316950.40000000002</v>
          </cell>
          <cell r="BY222">
            <v>252393</v>
          </cell>
          <cell r="BZ222">
            <v>83759.400000000096</v>
          </cell>
          <cell r="CA222">
            <v>10</v>
          </cell>
          <cell r="CD222">
            <v>186</v>
          </cell>
          <cell r="CF222">
            <v>39978.9375</v>
          </cell>
          <cell r="CJ222">
            <v>8.5</v>
          </cell>
          <cell r="CK222">
            <v>13.19</v>
          </cell>
          <cell r="CL222">
            <v>1.5</v>
          </cell>
          <cell r="CM222">
            <v>16</v>
          </cell>
          <cell r="CN222">
            <v>11.5</v>
          </cell>
          <cell r="CO222">
            <v>15</v>
          </cell>
          <cell r="CP222">
            <v>12</v>
          </cell>
          <cell r="CQ222">
            <v>26.99</v>
          </cell>
          <cell r="CR222">
            <v>3.5</v>
          </cell>
          <cell r="CS222">
            <v>18</v>
          </cell>
          <cell r="CT222">
            <v>27</v>
          </cell>
          <cell r="CY222">
            <v>186</v>
          </cell>
        </row>
        <row r="223">
          <cell r="A223">
            <v>40009.375</v>
          </cell>
          <cell r="B223">
            <v>109.17865216707541</v>
          </cell>
          <cell r="C223">
            <v>101.03925197111327</v>
          </cell>
          <cell r="D223">
            <v>100.41096395328098</v>
          </cell>
          <cell r="E223">
            <v>102.27530953618638</v>
          </cell>
          <cell r="F223">
            <v>98.724850727277484</v>
          </cell>
          <cell r="G223">
            <v>99.722427331402741</v>
          </cell>
          <cell r="H223">
            <v>98.314310808087086</v>
          </cell>
          <cell r="I223">
            <v>94.603172837466857</v>
          </cell>
          <cell r="J223">
            <v>99.228506552759455</v>
          </cell>
          <cell r="K223">
            <v>100</v>
          </cell>
          <cell r="L223">
            <v>99.978612609530572</v>
          </cell>
          <cell r="M223">
            <v>102.32894342063291</v>
          </cell>
          <cell r="N223">
            <v>103.05309527777098</v>
          </cell>
          <cell r="R223">
            <v>187</v>
          </cell>
          <cell r="T223">
            <v>40009.375</v>
          </cell>
          <cell r="AN223" t="str">
            <v/>
          </cell>
          <cell r="AP223">
            <v>40009.375</v>
          </cell>
          <cell r="AQ223">
            <v>465.7</v>
          </cell>
          <cell r="AR223">
            <v>64.67</v>
          </cell>
          <cell r="AS223">
            <v>1.429</v>
          </cell>
          <cell r="AT223">
            <v>32.9</v>
          </cell>
          <cell r="AU223">
            <v>0.67749999999999999</v>
          </cell>
          <cell r="AV223">
            <v>30.116819</v>
          </cell>
          <cell r="AW223">
            <v>0.66548530000000006</v>
          </cell>
          <cell r="AX223">
            <v>15.321529999999999</v>
          </cell>
          <cell r="AY223">
            <v>315.51175000000001</v>
          </cell>
          <cell r="AZ223">
            <v>10</v>
          </cell>
          <cell r="BA223">
            <v>10</v>
          </cell>
          <cell r="BB223">
            <v>10</v>
          </cell>
          <cell r="BC223">
            <v>10</v>
          </cell>
          <cell r="BD223">
            <v>10</v>
          </cell>
          <cell r="BE223">
            <v>10</v>
          </cell>
          <cell r="BF223">
            <v>2.2096799134065256E-2</v>
          </cell>
          <cell r="BI223">
            <v>187</v>
          </cell>
          <cell r="BK223">
            <v>40009.375</v>
          </cell>
          <cell r="BL223">
            <v>464738.21399999998</v>
          </cell>
          <cell r="BM223">
            <v>359716.1</v>
          </cell>
          <cell r="BN223">
            <v>105022.114</v>
          </cell>
          <cell r="BO223">
            <v>622626.277183</v>
          </cell>
          <cell r="BP223">
            <v>-51932.890872000004</v>
          </cell>
          <cell r="BQ223">
            <v>674559.16805500002</v>
          </cell>
          <cell r="BR223">
            <v>374402.55205499998</v>
          </cell>
          <cell r="BS223">
            <v>48912.73</v>
          </cell>
          <cell r="BT223">
            <v>251243.886</v>
          </cell>
          <cell r="BU223">
            <v>1007216.191183</v>
          </cell>
          <cell r="BV223">
            <v>242834.20018300001</v>
          </cell>
          <cell r="BW223">
            <v>701685.7</v>
          </cell>
          <cell r="BX223">
            <v>311365.7</v>
          </cell>
          <cell r="BY223">
            <v>255664</v>
          </cell>
          <cell r="BZ223">
            <v>80148.299999999901</v>
          </cell>
          <cell r="CA223">
            <v>10</v>
          </cell>
          <cell r="CD223">
            <v>187</v>
          </cell>
          <cell r="CF223">
            <v>40009.375</v>
          </cell>
          <cell r="CJ223">
            <v>8.5</v>
          </cell>
          <cell r="CK223">
            <v>13.19</v>
          </cell>
          <cell r="CL223">
            <v>1.5</v>
          </cell>
          <cell r="CM223">
            <v>16</v>
          </cell>
          <cell r="CN223">
            <v>11.5</v>
          </cell>
          <cell r="CO223">
            <v>17</v>
          </cell>
          <cell r="CP223">
            <v>12</v>
          </cell>
          <cell r="CQ223">
            <v>26.99</v>
          </cell>
          <cell r="CR223">
            <v>3.5</v>
          </cell>
          <cell r="CS223">
            <v>18</v>
          </cell>
          <cell r="CT223">
            <v>27</v>
          </cell>
          <cell r="CY223">
            <v>187</v>
          </cell>
        </row>
        <row r="224">
          <cell r="A224">
            <v>40039.8125</v>
          </cell>
          <cell r="B224">
            <v>109.0169584008913</v>
          </cell>
          <cell r="C224">
            <v>97.952270339606102</v>
          </cell>
          <cell r="D224">
            <v>100.41096395328098</v>
          </cell>
          <cell r="E224">
            <v>99.749866716530434</v>
          </cell>
          <cell r="F224">
            <v>98.733682784783142</v>
          </cell>
          <cell r="G224">
            <v>99.766576265249483</v>
          </cell>
          <cell r="H224">
            <v>98.282555983306978</v>
          </cell>
          <cell r="I224">
            <v>94.587645065166583</v>
          </cell>
          <cell r="J224">
            <v>99.228506552759455</v>
          </cell>
          <cell r="K224">
            <v>100</v>
          </cell>
          <cell r="L224">
            <v>100.04425412983862</v>
          </cell>
          <cell r="M224">
            <v>102.32894342063291</v>
          </cell>
          <cell r="N224">
            <v>102.69572504598194</v>
          </cell>
          <cell r="R224">
            <v>188</v>
          </cell>
          <cell r="T224">
            <v>40039.8125</v>
          </cell>
          <cell r="AN224" t="str">
            <v/>
          </cell>
          <cell r="AP224">
            <v>40039.8125</v>
          </cell>
          <cell r="AQ224">
            <v>459.8</v>
          </cell>
          <cell r="AR224">
            <v>71.63</v>
          </cell>
          <cell r="AS224">
            <v>1.4179999999999999</v>
          </cell>
          <cell r="AT224">
            <v>33.4</v>
          </cell>
          <cell r="AU224">
            <v>0.67749999999999999</v>
          </cell>
          <cell r="AV224">
            <v>32.935473999999999</v>
          </cell>
          <cell r="AW224">
            <v>0.65199640000000003</v>
          </cell>
          <cell r="AX224">
            <v>15.35732</v>
          </cell>
          <cell r="AY224">
            <v>311.5145</v>
          </cell>
          <cell r="AZ224">
            <v>10</v>
          </cell>
          <cell r="BA224">
            <v>10</v>
          </cell>
          <cell r="BB224">
            <v>10</v>
          </cell>
          <cell r="BC224">
            <v>10</v>
          </cell>
          <cell r="BD224">
            <v>10</v>
          </cell>
          <cell r="BE224">
            <v>10</v>
          </cell>
          <cell r="BF224">
            <v>1.9796174787100378E-2</v>
          </cell>
          <cell r="BI224">
            <v>188</v>
          </cell>
          <cell r="BK224">
            <v>40039.8125</v>
          </cell>
          <cell r="BL224">
            <v>475782.71399999998</v>
          </cell>
          <cell r="BM224">
            <v>362580.6</v>
          </cell>
          <cell r="BN224">
            <v>113202.114</v>
          </cell>
          <cell r="BO224">
            <v>632565.84479200002</v>
          </cell>
          <cell r="BP224">
            <v>-62712.241208000101</v>
          </cell>
          <cell r="BQ224">
            <v>695278.08600000001</v>
          </cell>
          <cell r="BR224">
            <v>400414.55</v>
          </cell>
          <cell r="BS224">
            <v>48099.65</v>
          </cell>
          <cell r="BT224">
            <v>246763.886</v>
          </cell>
          <cell r="BU224">
            <v>1040394.958792</v>
          </cell>
          <cell r="BV224">
            <v>247788.70179200001</v>
          </cell>
          <cell r="BW224">
            <v>729157.8</v>
          </cell>
          <cell r="BX224">
            <v>312356.8</v>
          </cell>
          <cell r="BY224">
            <v>263928</v>
          </cell>
          <cell r="BZ224">
            <v>67953.600000000093</v>
          </cell>
          <cell r="CA224">
            <v>10</v>
          </cell>
          <cell r="CD224">
            <v>188</v>
          </cell>
          <cell r="CF224">
            <v>40039.8125</v>
          </cell>
          <cell r="CJ224">
            <v>8.5</v>
          </cell>
          <cell r="CK224">
            <v>13.19</v>
          </cell>
          <cell r="CL224">
            <v>1.5</v>
          </cell>
          <cell r="CM224">
            <v>16</v>
          </cell>
          <cell r="CN224">
            <v>11.5</v>
          </cell>
          <cell r="CO224">
            <v>17</v>
          </cell>
          <cell r="CP224">
            <v>12</v>
          </cell>
          <cell r="CQ224">
            <v>26.99</v>
          </cell>
          <cell r="CR224">
            <v>3.5</v>
          </cell>
          <cell r="CS224">
            <v>18</v>
          </cell>
          <cell r="CT224">
            <v>27</v>
          </cell>
          <cell r="CY224">
            <v>188</v>
          </cell>
        </row>
        <row r="225">
          <cell r="A225">
            <v>40070.25</v>
          </cell>
          <cell r="B225">
            <v>105.32131494411185</v>
          </cell>
          <cell r="C225">
            <v>98.08270893637048</v>
          </cell>
          <cell r="D225">
            <v>100.50134140051065</v>
          </cell>
          <cell r="E225">
            <v>98.803846717023248</v>
          </cell>
          <cell r="F225">
            <v>98.729931061662782</v>
          </cell>
          <cell r="G225">
            <v>99.72363570431844</v>
          </cell>
          <cell r="H225">
            <v>98.278915084766041</v>
          </cell>
          <cell r="I225">
            <v>94.128770146391474</v>
          </cell>
          <cell r="J225">
            <v>99.110510389437081</v>
          </cell>
          <cell r="K225">
            <v>100</v>
          </cell>
          <cell r="L225">
            <v>102.02036920050779</v>
          </cell>
          <cell r="M225">
            <v>102.32588400326908</v>
          </cell>
          <cell r="N225">
            <v>101.3929957660077</v>
          </cell>
          <cell r="R225">
            <v>189</v>
          </cell>
          <cell r="T225">
            <v>40070.25</v>
          </cell>
          <cell r="AN225" t="str">
            <v/>
          </cell>
          <cell r="AP225">
            <v>40070.25</v>
          </cell>
          <cell r="AQ225">
            <v>450.5</v>
          </cell>
          <cell r="AR225">
            <v>68.349999999999994</v>
          </cell>
          <cell r="AS225">
            <v>1.413</v>
          </cell>
          <cell r="AT225">
            <v>35.1</v>
          </cell>
          <cell r="AU225">
            <v>0.67749999999999999</v>
          </cell>
          <cell r="AV225">
            <v>30.791674999999994</v>
          </cell>
          <cell r="AW225">
            <v>0.63655650000000008</v>
          </cell>
          <cell r="AX225">
            <v>15.812550000000002</v>
          </cell>
          <cell r="AY225">
            <v>305.21375</v>
          </cell>
          <cell r="AZ225">
            <v>10</v>
          </cell>
          <cell r="BA225">
            <v>10</v>
          </cell>
          <cell r="BB225">
            <v>10</v>
          </cell>
          <cell r="BC225">
            <v>10</v>
          </cell>
          <cell r="BD225">
            <v>10</v>
          </cell>
          <cell r="BE225">
            <v>10</v>
          </cell>
          <cell r="BF225">
            <v>2.0673006583760065E-2</v>
          </cell>
          <cell r="BI225">
            <v>189</v>
          </cell>
          <cell r="BK225">
            <v>40070.25</v>
          </cell>
          <cell r="BL225">
            <v>517187.614</v>
          </cell>
          <cell r="BM225">
            <v>407666.5</v>
          </cell>
          <cell r="BN225">
            <v>109521.114</v>
          </cell>
          <cell r="BO225">
            <v>591439.04737799999</v>
          </cell>
          <cell r="BP225">
            <v>-90500.638621999999</v>
          </cell>
          <cell r="BQ225">
            <v>681939.68599999999</v>
          </cell>
          <cell r="BR225">
            <v>390497.76</v>
          </cell>
          <cell r="BS225">
            <v>38721.040000000001</v>
          </cell>
          <cell r="BT225">
            <v>252720.886</v>
          </cell>
          <cell r="BU225">
            <v>1031976.961378</v>
          </cell>
          <cell r="BV225">
            <v>249657.71537799999</v>
          </cell>
          <cell r="BW225">
            <v>719163.2</v>
          </cell>
          <cell r="BX225">
            <v>316303.2</v>
          </cell>
          <cell r="BY225">
            <v>267841</v>
          </cell>
          <cell r="BZ225">
            <v>76649.700000000099</v>
          </cell>
          <cell r="CA225">
            <v>10</v>
          </cell>
          <cell r="CD225">
            <v>189</v>
          </cell>
          <cell r="CF225">
            <v>40070.25</v>
          </cell>
          <cell r="CJ225">
            <v>8.5</v>
          </cell>
          <cell r="CK225">
            <v>13.19</v>
          </cell>
          <cell r="CL225">
            <v>1.5</v>
          </cell>
          <cell r="CM225">
            <v>16</v>
          </cell>
          <cell r="CN225">
            <v>11.5</v>
          </cell>
          <cell r="CO225">
            <v>17</v>
          </cell>
          <cell r="CP225">
            <v>12</v>
          </cell>
          <cell r="CQ225">
            <v>26.99</v>
          </cell>
          <cell r="CR225">
            <v>3.5</v>
          </cell>
          <cell r="CS225">
            <v>18</v>
          </cell>
          <cell r="CT225">
            <v>27</v>
          </cell>
          <cell r="CY225">
            <v>189</v>
          </cell>
        </row>
        <row r="226">
          <cell r="A226">
            <v>40100.6875</v>
          </cell>
          <cell r="B226">
            <v>106.22334509039126</v>
          </cell>
          <cell r="C226">
            <v>99.272072857121259</v>
          </cell>
          <cell r="D226">
            <v>100.50134140051065</v>
          </cell>
          <cell r="E226">
            <v>99.781087546934771</v>
          </cell>
          <cell r="F226">
            <v>98.738763119168439</v>
          </cell>
          <cell r="G226">
            <v>99.72363570431844</v>
          </cell>
          <cell r="H226">
            <v>98.278915084766041</v>
          </cell>
          <cell r="I226">
            <v>93.951235324193931</v>
          </cell>
          <cell r="J226">
            <v>99.098129604268422</v>
          </cell>
          <cell r="K226">
            <v>101.67292137648329</v>
          </cell>
          <cell r="L226">
            <v>100.00647209198689</v>
          </cell>
          <cell r="M226">
            <v>102.32588400326908</v>
          </cell>
          <cell r="N226">
            <v>101.6952633909508</v>
          </cell>
          <cell r="R226">
            <v>190</v>
          </cell>
          <cell r="T226">
            <v>40100.6875</v>
          </cell>
          <cell r="AN226" t="str">
            <v/>
          </cell>
          <cell r="AP226">
            <v>40100.6875</v>
          </cell>
          <cell r="AQ226">
            <v>442.8</v>
          </cell>
          <cell r="AR226">
            <v>74.08</v>
          </cell>
          <cell r="AS226">
            <v>1.4730000000000001</v>
          </cell>
          <cell r="AT226">
            <v>36.799999999999997</v>
          </cell>
          <cell r="AU226">
            <v>0.67749999999999999</v>
          </cell>
          <cell r="AV226">
            <v>32.802624000000002</v>
          </cell>
          <cell r="AW226">
            <v>0.65224440000000006</v>
          </cell>
          <cell r="AX226">
            <v>16.29504</v>
          </cell>
          <cell r="AY226">
            <v>299.99700000000001</v>
          </cell>
          <cell r="AZ226">
            <v>10</v>
          </cell>
          <cell r="BA226">
            <v>10</v>
          </cell>
          <cell r="BB226">
            <v>10</v>
          </cell>
          <cell r="BC226">
            <v>10</v>
          </cell>
          <cell r="BD226">
            <v>10</v>
          </cell>
          <cell r="BE226">
            <v>10</v>
          </cell>
          <cell r="BF226">
            <v>1.9883909287257022E-2</v>
          </cell>
          <cell r="BI226">
            <v>190</v>
          </cell>
          <cell r="BK226">
            <v>40100.6875</v>
          </cell>
          <cell r="BL226">
            <v>523358.114</v>
          </cell>
          <cell r="BM226">
            <v>413174</v>
          </cell>
          <cell r="BN226">
            <v>110184.114</v>
          </cell>
          <cell r="BO226">
            <v>612801.75954600004</v>
          </cell>
          <cell r="BP226">
            <v>-82034.926453999899</v>
          </cell>
          <cell r="BQ226">
            <v>694836.68599999999</v>
          </cell>
          <cell r="BR226">
            <v>406517.2</v>
          </cell>
          <cell r="BS226">
            <v>30242.6</v>
          </cell>
          <cell r="BT226">
            <v>258076.886</v>
          </cell>
          <cell r="BU226">
            <v>1045690.973546</v>
          </cell>
          <cell r="BV226">
            <v>252877.60254600001</v>
          </cell>
          <cell r="BW226">
            <v>729185.5</v>
          </cell>
          <cell r="BX226">
            <v>320394.5</v>
          </cell>
          <cell r="BY226">
            <v>273986</v>
          </cell>
          <cell r="BZ226">
            <v>90468.900000000096</v>
          </cell>
          <cell r="CA226">
            <v>10</v>
          </cell>
          <cell r="CD226">
            <v>190</v>
          </cell>
          <cell r="CF226">
            <v>40100.6875</v>
          </cell>
          <cell r="CJ226">
            <v>8.5</v>
          </cell>
          <cell r="CK226">
            <v>13.19</v>
          </cell>
          <cell r="CL226">
            <v>1.5</v>
          </cell>
          <cell r="CM226">
            <v>16</v>
          </cell>
          <cell r="CN226">
            <v>11.5</v>
          </cell>
          <cell r="CO226">
            <v>17</v>
          </cell>
          <cell r="CP226">
            <v>12</v>
          </cell>
          <cell r="CQ226">
            <v>26.99</v>
          </cell>
          <cell r="CR226">
            <v>3.5</v>
          </cell>
          <cell r="CS226">
            <v>18</v>
          </cell>
          <cell r="CT226">
            <v>27</v>
          </cell>
          <cell r="CY226">
            <v>190</v>
          </cell>
        </row>
        <row r="227">
          <cell r="A227">
            <v>40131.125</v>
          </cell>
          <cell r="B227">
            <v>103.26176361879533</v>
          </cell>
          <cell r="C227">
            <v>109.68667139726725</v>
          </cell>
          <cell r="D227">
            <v>100.50134140051065</v>
          </cell>
          <cell r="E227">
            <v>101.14040757671448</v>
          </cell>
          <cell r="F227">
            <v>98.751992333195872</v>
          </cell>
          <cell r="G227">
            <v>99.72363570431844</v>
          </cell>
          <cell r="H227">
            <v>98.233818136074504</v>
          </cell>
          <cell r="I227">
            <v>94.217526470896246</v>
          </cell>
          <cell r="J227">
            <v>99.098129604268422</v>
          </cell>
          <cell r="K227">
            <v>101.67292137648329</v>
          </cell>
          <cell r="L227">
            <v>99.800006612413313</v>
          </cell>
          <cell r="M227">
            <v>102.32588400326908</v>
          </cell>
          <cell r="N227">
            <v>100.92398409947619</v>
          </cell>
          <cell r="R227">
            <v>191</v>
          </cell>
          <cell r="T227">
            <v>40131.125</v>
          </cell>
          <cell r="AN227" t="str">
            <v/>
          </cell>
          <cell r="AP227">
            <v>40131.125</v>
          </cell>
          <cell r="AQ227">
            <v>439.8</v>
          </cell>
          <cell r="AR227">
            <v>77.55</v>
          </cell>
          <cell r="AS227">
            <v>1.583</v>
          </cell>
          <cell r="AT227">
            <v>39.799999999999997</v>
          </cell>
          <cell r="AU227">
            <v>0.67749999999999999</v>
          </cell>
          <cell r="AV227">
            <v>34.106490000000001</v>
          </cell>
          <cell r="AW227">
            <v>0.69620340000000003</v>
          </cell>
          <cell r="AX227">
            <v>17.50404</v>
          </cell>
          <cell r="AY227">
            <v>297.96449999999999</v>
          </cell>
          <cell r="AZ227">
            <v>10</v>
          </cell>
          <cell r="BA227">
            <v>10</v>
          </cell>
          <cell r="BB227">
            <v>10</v>
          </cell>
          <cell r="BC227">
            <v>10</v>
          </cell>
          <cell r="BD227">
            <v>10</v>
          </cell>
          <cell r="BE227">
            <v>10</v>
          </cell>
          <cell r="BF227">
            <v>2.0412637008381689E-2</v>
          </cell>
          <cell r="BI227">
            <v>191</v>
          </cell>
          <cell r="BK227">
            <v>40131.125</v>
          </cell>
          <cell r="BL227">
            <v>554465.5</v>
          </cell>
          <cell r="BM227">
            <v>431785.5</v>
          </cell>
          <cell r="BN227">
            <v>122680</v>
          </cell>
          <cell r="BO227">
            <v>588397.77312799997</v>
          </cell>
          <cell r="BP227">
            <v>-94251.326872000005</v>
          </cell>
          <cell r="BQ227">
            <v>682649.1</v>
          </cell>
          <cell r="BR227">
            <v>400443.30499999999</v>
          </cell>
          <cell r="BS227">
            <v>22868.794999999998</v>
          </cell>
          <cell r="BT227">
            <v>259337</v>
          </cell>
          <cell r="BU227">
            <v>1060265.7731280001</v>
          </cell>
          <cell r="BV227">
            <v>254453.22512799999</v>
          </cell>
          <cell r="BW227">
            <v>742078.4</v>
          </cell>
          <cell r="BX227">
            <v>321954.40000000002</v>
          </cell>
          <cell r="BY227">
            <v>284943</v>
          </cell>
          <cell r="BZ227">
            <v>82597.5</v>
          </cell>
          <cell r="CA227">
            <v>10</v>
          </cell>
          <cell r="CD227">
            <v>191</v>
          </cell>
          <cell r="CF227">
            <v>40131.125</v>
          </cell>
          <cell r="CJ227">
            <v>8.5</v>
          </cell>
          <cell r="CK227">
            <v>13.19</v>
          </cell>
          <cell r="CL227">
            <v>1.5</v>
          </cell>
          <cell r="CM227">
            <v>16</v>
          </cell>
          <cell r="CN227">
            <v>11.5</v>
          </cell>
          <cell r="CO227">
            <v>17</v>
          </cell>
          <cell r="CP227">
            <v>12</v>
          </cell>
          <cell r="CQ227">
            <v>26.99</v>
          </cell>
          <cell r="CR227">
            <v>3.5</v>
          </cell>
          <cell r="CS227">
            <v>18</v>
          </cell>
          <cell r="CT227">
            <v>27</v>
          </cell>
          <cell r="CY227">
            <v>191</v>
          </cell>
        </row>
        <row r="228">
          <cell r="A228">
            <v>40161.5625</v>
          </cell>
          <cell r="B228">
            <v>102.14955021439683</v>
          </cell>
          <cell r="C228">
            <v>102.1113926159878</v>
          </cell>
          <cell r="D228">
            <v>100.50134140051065</v>
          </cell>
          <cell r="E228">
            <v>101.83820312749295</v>
          </cell>
          <cell r="F228">
            <v>98.751992333195872</v>
          </cell>
          <cell r="G228">
            <v>99.72363570431844</v>
          </cell>
          <cell r="H228">
            <v>98.233818136074504</v>
          </cell>
          <cell r="I228">
            <v>94.217526470896246</v>
          </cell>
          <cell r="J228">
            <v>99.018246617478752</v>
          </cell>
          <cell r="K228">
            <v>101.67292137648329</v>
          </cell>
          <cell r="L228">
            <v>101.21492884569918</v>
          </cell>
          <cell r="M228">
            <v>102.32588400326908</v>
          </cell>
          <cell r="N228">
            <v>100.5653970509597</v>
          </cell>
          <cell r="R228">
            <v>192</v>
          </cell>
          <cell r="T228">
            <v>40161.5625</v>
          </cell>
          <cell r="AN228" t="str">
            <v/>
          </cell>
          <cell r="AP228">
            <v>40161.5625</v>
          </cell>
          <cell r="AQ228">
            <v>449.3</v>
          </cell>
          <cell r="AR228">
            <v>74.88</v>
          </cell>
          <cell r="AS228">
            <v>1.6930000000000001</v>
          </cell>
          <cell r="AT228">
            <v>40</v>
          </cell>
          <cell r="AU228">
            <v>0.67749999999999999</v>
          </cell>
          <cell r="AV228">
            <v>33.643583999999997</v>
          </cell>
          <cell r="AW228">
            <v>0.76066490000000009</v>
          </cell>
          <cell r="AX228">
            <v>17.972000000000001</v>
          </cell>
          <cell r="AY228">
            <v>304.40075000000002</v>
          </cell>
          <cell r="AZ228">
            <v>10</v>
          </cell>
          <cell r="BA228">
            <v>10</v>
          </cell>
          <cell r="BB228">
            <v>10</v>
          </cell>
          <cell r="BC228">
            <v>10</v>
          </cell>
          <cell r="BD228">
            <v>10</v>
          </cell>
          <cell r="BE228">
            <v>10</v>
          </cell>
          <cell r="BF228">
            <v>2.260950854700855E-2</v>
          </cell>
          <cell r="BI228">
            <v>192</v>
          </cell>
          <cell r="BK228">
            <v>40161.5625</v>
          </cell>
          <cell r="BL228">
            <v>563540.5</v>
          </cell>
          <cell r="BM228">
            <v>385795.5</v>
          </cell>
          <cell r="BN228">
            <v>177745</v>
          </cell>
          <cell r="BO228">
            <v>642618.70400000003</v>
          </cell>
          <cell r="BP228">
            <v>-29448.495999999999</v>
          </cell>
          <cell r="BQ228">
            <v>672067.2</v>
          </cell>
          <cell r="BR228">
            <v>392494.3</v>
          </cell>
          <cell r="BS228">
            <v>22070.9</v>
          </cell>
          <cell r="BT228">
            <v>257502</v>
          </cell>
          <cell r="BU228">
            <v>1107129.804</v>
          </cell>
          <cell r="BV228">
            <v>251750.7</v>
          </cell>
          <cell r="BW228">
            <v>790858.7</v>
          </cell>
          <cell r="BX228">
            <v>357864.7</v>
          </cell>
          <cell r="BY228">
            <v>293075</v>
          </cell>
          <cell r="BZ228">
            <v>99029.399999999907</v>
          </cell>
          <cell r="CA228">
            <v>10</v>
          </cell>
          <cell r="CD228">
            <v>192</v>
          </cell>
          <cell r="CF228">
            <v>40161.5625</v>
          </cell>
          <cell r="CJ228">
            <v>8.5</v>
          </cell>
          <cell r="CK228">
            <v>13.19</v>
          </cell>
          <cell r="CL228">
            <v>1.5</v>
          </cell>
          <cell r="CM228">
            <v>16</v>
          </cell>
          <cell r="CN228">
            <v>11.5</v>
          </cell>
          <cell r="CO228">
            <v>15</v>
          </cell>
          <cell r="CP228">
            <v>12</v>
          </cell>
          <cell r="CQ228">
            <v>26.99</v>
          </cell>
          <cell r="CR228">
            <v>3.5</v>
          </cell>
          <cell r="CS228">
            <v>18</v>
          </cell>
          <cell r="CT228">
            <v>27</v>
          </cell>
          <cell r="CY228">
            <v>192</v>
          </cell>
        </row>
        <row r="229">
          <cell r="A229">
            <v>40192</v>
          </cell>
          <cell r="B229">
            <v>101.41211961944366</v>
          </cell>
          <cell r="C229">
            <v>97.484110849074227</v>
          </cell>
          <cell r="D229">
            <v>99.892086627030977</v>
          </cell>
          <cell r="E229">
            <v>103.66838179554085</v>
          </cell>
          <cell r="F229">
            <v>98.206143467805106</v>
          </cell>
          <cell r="G229">
            <v>99.748979535509392</v>
          </cell>
          <cell r="H229">
            <v>95.99806726000952</v>
          </cell>
          <cell r="I229">
            <v>90.240686422095607</v>
          </cell>
          <cell r="J229">
            <v>98.919312071390806</v>
          </cell>
          <cell r="K229">
            <v>101.99334149199741</v>
          </cell>
          <cell r="L229">
            <v>102.40746578262818</v>
          </cell>
          <cell r="M229">
            <v>101.61773201172142</v>
          </cell>
          <cell r="N229">
            <v>99.829352732121066</v>
          </cell>
          <cell r="R229">
            <v>193</v>
          </cell>
          <cell r="T229">
            <v>40192</v>
          </cell>
          <cell r="AN229" t="str">
            <v/>
          </cell>
          <cell r="AP229">
            <v>40192</v>
          </cell>
          <cell r="AQ229">
            <v>459.7</v>
          </cell>
          <cell r="AR229">
            <v>77.12</v>
          </cell>
          <cell r="AS229">
            <v>1.7070000000000001</v>
          </cell>
          <cell r="AT229">
            <v>39.4</v>
          </cell>
          <cell r="AU229">
            <v>0.67749999999999999</v>
          </cell>
          <cell r="AV229">
            <v>35.452064</v>
          </cell>
          <cell r="AW229">
            <v>0.78470790000000001</v>
          </cell>
          <cell r="AX229">
            <v>18.112179999999999</v>
          </cell>
          <cell r="AY229">
            <v>311.44675000000001</v>
          </cell>
          <cell r="AZ229">
            <v>10</v>
          </cell>
          <cell r="BA229">
            <v>10</v>
          </cell>
          <cell r="BB229">
            <v>10</v>
          </cell>
          <cell r="BC229">
            <v>10</v>
          </cell>
          <cell r="BD229">
            <v>10</v>
          </cell>
          <cell r="BE229">
            <v>10</v>
          </cell>
          <cell r="BF229">
            <v>2.2134336099585063E-2</v>
          </cell>
          <cell r="BI229">
            <v>193</v>
          </cell>
          <cell r="BK229">
            <v>40192</v>
          </cell>
          <cell r="BL229">
            <v>527716.1</v>
          </cell>
          <cell r="BM229">
            <v>361766.1</v>
          </cell>
          <cell r="BN229">
            <v>165950</v>
          </cell>
          <cell r="BO229">
            <v>610589.82601600001</v>
          </cell>
          <cell r="BP229">
            <v>-61211.256739999997</v>
          </cell>
          <cell r="BQ229">
            <v>671801.08275599999</v>
          </cell>
          <cell r="BR229">
            <v>399263.38275599998</v>
          </cell>
          <cell r="BS229">
            <v>20775.7</v>
          </cell>
          <cell r="BT229">
            <v>251762</v>
          </cell>
          <cell r="BU229">
            <v>1086944.326016</v>
          </cell>
          <cell r="BV229">
            <v>202626.05701600001</v>
          </cell>
          <cell r="BW229">
            <v>826111.3</v>
          </cell>
          <cell r="BX229">
            <v>378152.3</v>
          </cell>
          <cell r="BY229">
            <v>305565</v>
          </cell>
          <cell r="BZ229">
            <v>51361.599999999897</v>
          </cell>
          <cell r="CA229">
            <v>10</v>
          </cell>
          <cell r="CD229">
            <v>193</v>
          </cell>
          <cell r="CF229">
            <v>40192</v>
          </cell>
          <cell r="CJ229">
            <v>8.5</v>
          </cell>
          <cell r="CK229">
            <v>13.19</v>
          </cell>
          <cell r="CL229">
            <v>1.5</v>
          </cell>
          <cell r="CM229">
            <v>16</v>
          </cell>
          <cell r="CN229">
            <v>11.5</v>
          </cell>
          <cell r="CO229">
            <v>17</v>
          </cell>
          <cell r="CP229">
            <v>12</v>
          </cell>
          <cell r="CQ229">
            <v>26.99</v>
          </cell>
          <cell r="CR229">
            <v>3.5</v>
          </cell>
          <cell r="CS229">
            <v>18</v>
          </cell>
          <cell r="CT229">
            <v>27</v>
          </cell>
          <cell r="CY229">
            <v>193</v>
          </cell>
        </row>
        <row r="230">
          <cell r="A230">
            <v>40222.4375</v>
          </cell>
          <cell r="B230">
            <v>101.96207720017134</v>
          </cell>
          <cell r="C230">
            <v>97.156429771028201</v>
          </cell>
          <cell r="D230">
            <v>100.10714154387937</v>
          </cell>
          <cell r="E230">
            <v>103.58575871959633</v>
          </cell>
          <cell r="F230">
            <v>98.206143467805106</v>
          </cell>
          <cell r="G230">
            <v>99.748979535509392</v>
          </cell>
          <cell r="H230">
            <v>95.99806726000952</v>
          </cell>
          <cell r="I230">
            <v>87.050625720187611</v>
          </cell>
          <cell r="J230">
            <v>98.919312071390806</v>
          </cell>
          <cell r="K230">
            <v>101.99334149199741</v>
          </cell>
          <cell r="L230">
            <v>103.36627981101998</v>
          </cell>
          <cell r="M230">
            <v>101.61773201172142</v>
          </cell>
          <cell r="N230">
            <v>99.891050737328811</v>
          </cell>
          <cell r="R230">
            <v>194</v>
          </cell>
          <cell r="T230">
            <v>40222.4375</v>
          </cell>
          <cell r="AN230" t="str">
            <v/>
          </cell>
          <cell r="AP230">
            <v>40222.4375</v>
          </cell>
          <cell r="AQ230">
            <v>479.4</v>
          </cell>
          <cell r="AR230">
            <v>74.16</v>
          </cell>
          <cell r="AS230">
            <v>1.766</v>
          </cell>
          <cell r="AT230">
            <v>38.6</v>
          </cell>
          <cell r="AU230">
            <v>0.67749999999999999</v>
          </cell>
          <cell r="AV230">
            <v>35.552303999999999</v>
          </cell>
          <cell r="AW230">
            <v>0.84662040000000005</v>
          </cell>
          <cell r="AX230">
            <v>18.504840000000002</v>
          </cell>
          <cell r="AY230">
            <v>324.79349999999999</v>
          </cell>
          <cell r="AZ230">
            <v>10</v>
          </cell>
          <cell r="BA230">
            <v>10</v>
          </cell>
          <cell r="BB230">
            <v>10</v>
          </cell>
          <cell r="BC230">
            <v>10</v>
          </cell>
          <cell r="BD230">
            <v>10</v>
          </cell>
          <cell r="BE230">
            <v>10</v>
          </cell>
          <cell r="BF230">
            <v>2.3813376483279396E-2</v>
          </cell>
          <cell r="BI230">
            <v>194</v>
          </cell>
          <cell r="BK230">
            <v>40222.4375</v>
          </cell>
          <cell r="BL230">
            <v>534754.9</v>
          </cell>
          <cell r="BM230">
            <v>330134.90000000002</v>
          </cell>
          <cell r="BN230">
            <v>204620</v>
          </cell>
          <cell r="BO230">
            <v>676090.40832599998</v>
          </cell>
          <cell r="BP230">
            <v>-12896.222154999999</v>
          </cell>
          <cell r="BQ230">
            <v>688986.63048099994</v>
          </cell>
          <cell r="BR230">
            <v>414868.23048099998</v>
          </cell>
          <cell r="BS230">
            <v>18349.400000000001</v>
          </cell>
          <cell r="BT230">
            <v>255769</v>
          </cell>
          <cell r="BU230">
            <v>1110309.708326</v>
          </cell>
          <cell r="BV230">
            <v>216864.76532599999</v>
          </cell>
          <cell r="BW230">
            <v>827242</v>
          </cell>
          <cell r="BX230">
            <v>383643</v>
          </cell>
          <cell r="BY230">
            <v>298979</v>
          </cell>
          <cell r="BZ230">
            <v>100535.6</v>
          </cell>
          <cell r="CA230">
            <v>10</v>
          </cell>
          <cell r="CD230">
            <v>194</v>
          </cell>
          <cell r="CF230">
            <v>40222.4375</v>
          </cell>
          <cell r="CJ230">
            <v>8.5</v>
          </cell>
          <cell r="CK230">
            <v>13.19</v>
          </cell>
          <cell r="CL230">
            <v>1.5</v>
          </cell>
          <cell r="CM230">
            <v>16</v>
          </cell>
          <cell r="CN230">
            <v>11.5</v>
          </cell>
          <cell r="CO230">
            <v>15</v>
          </cell>
          <cell r="CP230">
            <v>12</v>
          </cell>
          <cell r="CQ230">
            <v>26.99</v>
          </cell>
          <cell r="CR230">
            <v>3.5</v>
          </cell>
          <cell r="CS230">
            <v>18</v>
          </cell>
          <cell r="CT230">
            <v>27</v>
          </cell>
          <cell r="CY230">
            <v>194</v>
          </cell>
        </row>
        <row r="231">
          <cell r="A231">
            <v>40252.875</v>
          </cell>
          <cell r="B231">
            <v>101.52604830380646</v>
          </cell>
          <cell r="C231">
            <v>96.986001172862373</v>
          </cell>
          <cell r="D231">
            <v>100.11589727997998</v>
          </cell>
          <cell r="E231">
            <v>102.05160065859052</v>
          </cell>
          <cell r="F231">
            <v>98.206143467805106</v>
          </cell>
          <cell r="G231">
            <v>99.749623701443369</v>
          </cell>
          <cell r="H231">
            <v>95.99806726000952</v>
          </cell>
          <cell r="I231">
            <v>84.615715807284033</v>
          </cell>
          <cell r="J231">
            <v>98.884692780493594</v>
          </cell>
          <cell r="K231">
            <v>101.99334149199741</v>
          </cell>
          <cell r="L231">
            <v>102.39730411298426</v>
          </cell>
          <cell r="M231">
            <v>101.6177854861449</v>
          </cell>
          <cell r="N231">
            <v>99.31769448510299</v>
          </cell>
          <cell r="R231">
            <v>195</v>
          </cell>
          <cell r="T231">
            <v>40252.875</v>
          </cell>
          <cell r="AN231" t="str">
            <v/>
          </cell>
          <cell r="AP231">
            <v>40252.875</v>
          </cell>
          <cell r="AQ231">
            <v>482.6</v>
          </cell>
          <cell r="AR231">
            <v>79.3</v>
          </cell>
          <cell r="AS231">
            <v>1.8919999999999999</v>
          </cell>
          <cell r="AT231">
            <v>39.299999999999997</v>
          </cell>
          <cell r="AU231">
            <v>0.67749999999999999</v>
          </cell>
          <cell r="AV231">
            <v>38.270180000000003</v>
          </cell>
          <cell r="AW231">
            <v>0.91307919999999998</v>
          </cell>
          <cell r="AX231">
            <v>18.966180000000001</v>
          </cell>
          <cell r="AY231">
            <v>326.9615</v>
          </cell>
          <cell r="AZ231">
            <v>10</v>
          </cell>
          <cell r="BA231">
            <v>10</v>
          </cell>
          <cell r="BB231">
            <v>10</v>
          </cell>
          <cell r="BC231">
            <v>10</v>
          </cell>
          <cell r="BD231">
            <v>10</v>
          </cell>
          <cell r="BE231">
            <v>10</v>
          </cell>
          <cell r="BF231">
            <v>2.3858764186633036E-2</v>
          </cell>
          <cell r="BI231">
            <v>195</v>
          </cell>
          <cell r="BK231">
            <v>40252.875</v>
          </cell>
          <cell r="BL231">
            <v>564932</v>
          </cell>
          <cell r="BM231">
            <v>345433</v>
          </cell>
          <cell r="BN231">
            <v>219499</v>
          </cell>
          <cell r="BO231">
            <v>707842.71857899998</v>
          </cell>
          <cell r="BP231">
            <v>17307.578193000001</v>
          </cell>
          <cell r="BQ231">
            <v>690535.14038600004</v>
          </cell>
          <cell r="BR231">
            <v>382324.04038600001</v>
          </cell>
          <cell r="BS231">
            <v>52639.1</v>
          </cell>
          <cell r="BT231">
            <v>255572</v>
          </cell>
          <cell r="BU231">
            <v>1198477.7185790001</v>
          </cell>
          <cell r="BV231">
            <v>227836.838579</v>
          </cell>
          <cell r="BW231">
            <v>904805.5</v>
          </cell>
          <cell r="BX231">
            <v>422812.5</v>
          </cell>
          <cell r="BY231">
            <v>332766</v>
          </cell>
          <cell r="BZ231">
            <v>74296.999999999796</v>
          </cell>
          <cell r="CA231">
            <v>10</v>
          </cell>
          <cell r="CD231">
            <v>195</v>
          </cell>
          <cell r="CF231">
            <v>40252.875</v>
          </cell>
          <cell r="CJ231">
            <v>8.5</v>
          </cell>
          <cell r="CK231">
            <v>13.19</v>
          </cell>
          <cell r="CL231">
            <v>1.5</v>
          </cell>
          <cell r="CM231">
            <v>16</v>
          </cell>
          <cell r="CN231">
            <v>11.5</v>
          </cell>
          <cell r="CO231">
            <v>15</v>
          </cell>
          <cell r="CP231">
            <v>12</v>
          </cell>
          <cell r="CQ231">
            <v>26.99</v>
          </cell>
          <cell r="CR231">
            <v>3.5</v>
          </cell>
          <cell r="CS231">
            <v>18</v>
          </cell>
          <cell r="CT231">
            <v>27</v>
          </cell>
          <cell r="CY231">
            <v>195</v>
          </cell>
        </row>
        <row r="232">
          <cell r="A232">
            <v>40283.3125</v>
          </cell>
          <cell r="B232">
            <v>102.34884111070562</v>
          </cell>
          <cell r="C232">
            <v>96.138280523681857</v>
          </cell>
          <cell r="D232">
            <v>100.11589727997998</v>
          </cell>
          <cell r="E232">
            <v>100.74209702386247</v>
          </cell>
          <cell r="F232">
            <v>98.206143467805106</v>
          </cell>
          <cell r="G232">
            <v>99.749623701443369</v>
          </cell>
          <cell r="H232">
            <v>95.99806726000952</v>
          </cell>
          <cell r="I232">
            <v>84.699245749437452</v>
          </cell>
          <cell r="J232">
            <v>98.884692780493594</v>
          </cell>
          <cell r="K232">
            <v>101.99334149199741</v>
          </cell>
          <cell r="L232">
            <v>102.41333285631529</v>
          </cell>
          <cell r="M232">
            <v>101.6177854861449</v>
          </cell>
          <cell r="N232">
            <v>99.486891182402417</v>
          </cell>
          <cell r="R232">
            <v>196</v>
          </cell>
          <cell r="T232">
            <v>40283.3125</v>
          </cell>
          <cell r="AN232" t="str">
            <v/>
          </cell>
          <cell r="AP232">
            <v>40283.3125</v>
          </cell>
          <cell r="AQ232">
            <v>488</v>
          </cell>
          <cell r="AR232">
            <v>82.7</v>
          </cell>
          <cell r="AS232">
            <v>1.853</v>
          </cell>
          <cell r="AT232">
            <v>40.4</v>
          </cell>
          <cell r="AU232">
            <v>0.67749999999999999</v>
          </cell>
          <cell r="AV232">
            <v>40.357599999999998</v>
          </cell>
          <cell r="AW232">
            <v>0.90426399999999996</v>
          </cell>
          <cell r="AX232">
            <v>19.715199999999999</v>
          </cell>
          <cell r="AY232">
            <v>330.62</v>
          </cell>
          <cell r="AZ232">
            <v>10</v>
          </cell>
          <cell r="BA232">
            <v>10</v>
          </cell>
          <cell r="BB232">
            <v>10</v>
          </cell>
          <cell r="BC232">
            <v>10</v>
          </cell>
          <cell r="BD232">
            <v>10</v>
          </cell>
          <cell r="BE232">
            <v>10</v>
          </cell>
          <cell r="BF232">
            <v>2.2406287787182587E-2</v>
          </cell>
          <cell r="BI232">
            <v>196</v>
          </cell>
          <cell r="BK232">
            <v>40283.3125</v>
          </cell>
          <cell r="BL232">
            <v>553767</v>
          </cell>
          <cell r="BM232">
            <v>331125</v>
          </cell>
          <cell r="BN232">
            <v>222642</v>
          </cell>
          <cell r="BO232">
            <v>731653.68081299996</v>
          </cell>
          <cell r="BP232">
            <v>32478.277375999998</v>
          </cell>
          <cell r="BQ232">
            <v>699175.403437</v>
          </cell>
          <cell r="BR232">
            <v>404581.403437</v>
          </cell>
          <cell r="BS232">
            <v>40550</v>
          </cell>
          <cell r="BT232">
            <v>254044</v>
          </cell>
          <cell r="BU232">
            <v>1213661.9808129999</v>
          </cell>
          <cell r="BV232">
            <v>216399.717813</v>
          </cell>
          <cell r="BW232">
            <v>934679.7</v>
          </cell>
          <cell r="BX232">
            <v>442853.7</v>
          </cell>
          <cell r="BY232">
            <v>339969</v>
          </cell>
          <cell r="BZ232">
            <v>71758.7</v>
          </cell>
          <cell r="CA232">
            <v>10</v>
          </cell>
          <cell r="CD232">
            <v>196</v>
          </cell>
          <cell r="CF232">
            <v>40283.3125</v>
          </cell>
          <cell r="CJ232">
            <v>8.5</v>
          </cell>
          <cell r="CK232">
            <v>13.19</v>
          </cell>
          <cell r="CL232">
            <v>1.5</v>
          </cell>
          <cell r="CM232">
            <v>16</v>
          </cell>
          <cell r="CN232">
            <v>11.5</v>
          </cell>
          <cell r="CO232">
            <v>15</v>
          </cell>
          <cell r="CP232">
            <v>12</v>
          </cell>
          <cell r="CQ232">
            <v>26.99</v>
          </cell>
          <cell r="CR232">
            <v>3.5</v>
          </cell>
          <cell r="CS232">
            <v>18</v>
          </cell>
          <cell r="CT232">
            <v>27</v>
          </cell>
          <cell r="CY232">
            <v>196</v>
          </cell>
        </row>
        <row r="233">
          <cell r="A233">
            <v>40313.75</v>
          </cell>
          <cell r="B233">
            <v>104.77486881584859</v>
          </cell>
          <cell r="C233">
            <v>95.410230471544224</v>
          </cell>
          <cell r="D233">
            <v>100.11589727997998</v>
          </cell>
          <cell r="E233">
            <v>100.30200576612819</v>
          </cell>
          <cell r="F233">
            <v>98.206143467805106</v>
          </cell>
          <cell r="G233">
            <v>99.766977266085235</v>
          </cell>
          <cell r="H233">
            <v>95.99806726000952</v>
          </cell>
          <cell r="I233">
            <v>87.358020930562887</v>
          </cell>
          <cell r="J233">
            <v>98.834163241124998</v>
          </cell>
          <cell r="K233">
            <v>101.99334149199741</v>
          </cell>
          <cell r="L233">
            <v>101.2606372287662</v>
          </cell>
          <cell r="M233">
            <v>101.6177854861449</v>
          </cell>
          <cell r="N233">
            <v>100.41074495177905</v>
          </cell>
          <cell r="R233">
            <v>197</v>
          </cell>
          <cell r="T233">
            <v>40313.75</v>
          </cell>
          <cell r="AN233" t="str">
            <v/>
          </cell>
          <cell r="AP233">
            <v>40313.75</v>
          </cell>
          <cell r="AQ233">
            <v>521</v>
          </cell>
          <cell r="AR233">
            <v>75.62</v>
          </cell>
          <cell r="AS233">
            <v>1.98</v>
          </cell>
          <cell r="AT233">
            <v>42.5</v>
          </cell>
          <cell r="AU233">
            <v>0.67749999999999999</v>
          </cell>
          <cell r="AV233">
            <v>39.398020000000002</v>
          </cell>
          <cell r="AW233">
            <v>1.0315799999999999</v>
          </cell>
          <cell r="AX233">
            <v>22.142499999999998</v>
          </cell>
          <cell r="AY233">
            <v>352.97750000000002</v>
          </cell>
          <cell r="AZ233">
            <v>10</v>
          </cell>
          <cell r="BA233">
            <v>10</v>
          </cell>
          <cell r="BB233">
            <v>10</v>
          </cell>
          <cell r="BC233">
            <v>10</v>
          </cell>
          <cell r="BD233">
            <v>10</v>
          </cell>
          <cell r="BE233">
            <v>10</v>
          </cell>
          <cell r="BF233">
            <v>2.6183549325575241E-2</v>
          </cell>
          <cell r="BI233">
            <v>197</v>
          </cell>
          <cell r="BK233">
            <v>40313.75</v>
          </cell>
          <cell r="BL233">
            <v>646586.80000000005</v>
          </cell>
          <cell r="BM233">
            <v>387481.8</v>
          </cell>
          <cell r="BN233">
            <v>259105</v>
          </cell>
          <cell r="BO233">
            <v>713533.211258</v>
          </cell>
          <cell r="BP233">
            <v>25063.807820999999</v>
          </cell>
          <cell r="BQ233">
            <v>688469.403437</v>
          </cell>
          <cell r="BR233">
            <v>392367.70343699999</v>
          </cell>
          <cell r="BS233">
            <v>40196.699999999997</v>
          </cell>
          <cell r="BT233">
            <v>255905</v>
          </cell>
          <cell r="BU233">
            <v>1252216.3112580001</v>
          </cell>
          <cell r="BV233">
            <v>204439.62750199999</v>
          </cell>
          <cell r="BW233">
            <v>981352.8</v>
          </cell>
          <cell r="BX233">
            <v>459294.8</v>
          </cell>
          <cell r="BY233">
            <v>348452</v>
          </cell>
          <cell r="BZ233">
            <v>107903.7</v>
          </cell>
          <cell r="CA233">
            <v>10</v>
          </cell>
          <cell r="CD233">
            <v>197</v>
          </cell>
          <cell r="CF233">
            <v>40313.75</v>
          </cell>
          <cell r="CJ233">
            <v>8.5</v>
          </cell>
          <cell r="CK233">
            <v>13.19</v>
          </cell>
          <cell r="CL233">
            <v>1.5</v>
          </cell>
          <cell r="CM233">
            <v>16</v>
          </cell>
          <cell r="CN233">
            <v>11.5</v>
          </cell>
          <cell r="CO233">
            <v>15</v>
          </cell>
          <cell r="CP233">
            <v>12</v>
          </cell>
          <cell r="CQ233">
            <v>26.99</v>
          </cell>
          <cell r="CR233">
            <v>3.5</v>
          </cell>
          <cell r="CS233">
            <v>18</v>
          </cell>
          <cell r="CT233">
            <v>27</v>
          </cell>
          <cell r="CY233">
            <v>197</v>
          </cell>
        </row>
        <row r="234">
          <cell r="A234">
            <v>40344.1875</v>
          </cell>
          <cell r="B234">
            <v>107.26088103259814</v>
          </cell>
          <cell r="C234">
            <v>96.452892432454348</v>
          </cell>
          <cell r="D234">
            <v>100.11589727997999</v>
          </cell>
          <cell r="E234">
            <v>99.916175438667096</v>
          </cell>
          <cell r="F234">
            <v>98.204681728071847</v>
          </cell>
          <cell r="G234">
            <v>99.780161434055202</v>
          </cell>
          <cell r="H234">
            <v>96.001925482124847</v>
          </cell>
          <cell r="I234">
            <v>83.504691680585296</v>
          </cell>
          <cell r="J234">
            <v>98.82442289966005</v>
          </cell>
          <cell r="K234">
            <v>101.99334149199743</v>
          </cell>
          <cell r="L234">
            <v>100.80671848310109</v>
          </cell>
          <cell r="M234">
            <v>101.71619696312131</v>
          </cell>
          <cell r="N234">
            <v>100.99624858569842</v>
          </cell>
          <cell r="R234">
            <v>198</v>
          </cell>
          <cell r="T234">
            <v>40344.1875</v>
          </cell>
          <cell r="AN234" t="str">
            <v/>
          </cell>
          <cell r="AP234">
            <v>40344.1875</v>
          </cell>
          <cell r="AQ234">
            <v>537</v>
          </cell>
          <cell r="AR234">
            <v>74.73</v>
          </cell>
          <cell r="AS234">
            <v>1.85</v>
          </cell>
          <cell r="AT234">
            <v>43.3</v>
          </cell>
          <cell r="AU234">
            <v>0.67749999999999999</v>
          </cell>
          <cell r="AV234">
            <v>40.130009999999999</v>
          </cell>
          <cell r="AW234">
            <v>0.99345000000000006</v>
          </cell>
          <cell r="AX234">
            <v>23.252099999999999</v>
          </cell>
          <cell r="AY234">
            <v>363.8175</v>
          </cell>
          <cell r="AZ234">
            <v>10</v>
          </cell>
          <cell r="BA234">
            <v>10</v>
          </cell>
          <cell r="BB234">
            <v>10</v>
          </cell>
          <cell r="BC234">
            <v>10</v>
          </cell>
          <cell r="BD234">
            <v>10</v>
          </cell>
          <cell r="BE234">
            <v>10</v>
          </cell>
          <cell r="BF234">
            <v>2.4755787501672691E-2</v>
          </cell>
          <cell r="BI234">
            <v>198</v>
          </cell>
          <cell r="BK234">
            <v>40344.1875</v>
          </cell>
          <cell r="BL234">
            <v>644983.75209099997</v>
          </cell>
          <cell r="BM234">
            <v>389701.75209099997</v>
          </cell>
          <cell r="BN234">
            <v>255282</v>
          </cell>
          <cell r="BO234">
            <v>719985.06616799999</v>
          </cell>
          <cell r="BP234">
            <v>38743.974168000001</v>
          </cell>
          <cell r="BQ234">
            <v>681241.09199999995</v>
          </cell>
          <cell r="BR234">
            <v>374159.42200000002</v>
          </cell>
          <cell r="BS234">
            <v>33261.67</v>
          </cell>
          <cell r="BT234">
            <v>273820</v>
          </cell>
          <cell r="BU234">
            <v>1286718.20099</v>
          </cell>
          <cell r="BV234">
            <v>219244.05394799999</v>
          </cell>
          <cell r="BW234">
            <v>996658.79904199997</v>
          </cell>
          <cell r="BX234">
            <v>438524.79904200003</v>
          </cell>
          <cell r="BY234">
            <v>374992</v>
          </cell>
          <cell r="BZ234">
            <v>78250.617268999995</v>
          </cell>
          <cell r="CA234">
            <v>10</v>
          </cell>
          <cell r="CD234">
            <v>198</v>
          </cell>
          <cell r="CF234">
            <v>40344.1875</v>
          </cell>
          <cell r="CJ234">
            <v>8.5</v>
          </cell>
          <cell r="CK234">
            <v>13.19</v>
          </cell>
          <cell r="CL234">
            <v>1.5</v>
          </cell>
          <cell r="CM234">
            <v>16</v>
          </cell>
          <cell r="CN234">
            <v>11.5</v>
          </cell>
          <cell r="CO234">
            <v>15</v>
          </cell>
          <cell r="CP234">
            <v>12</v>
          </cell>
          <cell r="CQ234">
            <v>26.99</v>
          </cell>
          <cell r="CR234">
            <v>3.5</v>
          </cell>
          <cell r="CS234">
            <v>18</v>
          </cell>
          <cell r="CT234">
            <v>27</v>
          </cell>
          <cell r="CY234">
            <v>198</v>
          </cell>
        </row>
        <row r="235">
          <cell r="A235">
            <v>40374.625</v>
          </cell>
          <cell r="R235" t="str">
            <v/>
          </cell>
          <cell r="T235">
            <v>40374.625</v>
          </cell>
          <cell r="AN235" t="str">
            <v/>
          </cell>
          <cell r="AP235">
            <v>40374.625</v>
          </cell>
          <cell r="BF235" t="str">
            <v/>
          </cell>
          <cell r="BI235" t="str">
            <v/>
          </cell>
          <cell r="BK235">
            <v>40374.625</v>
          </cell>
          <cell r="CD235" t="str">
            <v/>
          </cell>
          <cell r="CF235">
            <v>40374.625</v>
          </cell>
          <cell r="CJ235">
            <v>8.5</v>
          </cell>
          <cell r="CK235">
            <v>13.19</v>
          </cell>
          <cell r="CL235">
            <v>1.5</v>
          </cell>
          <cell r="CM235">
            <v>16</v>
          </cell>
          <cell r="CN235">
            <v>11.5</v>
          </cell>
          <cell r="CO235">
            <v>15</v>
          </cell>
          <cell r="CP235">
            <v>12</v>
          </cell>
          <cell r="CQ235">
            <v>26.99</v>
          </cell>
          <cell r="CR235">
            <v>3.5</v>
          </cell>
          <cell r="CS235">
            <v>18</v>
          </cell>
          <cell r="CT235">
            <v>27</v>
          </cell>
          <cell r="CY235" t="str">
            <v/>
          </cell>
        </row>
        <row r="236">
          <cell r="A236">
            <v>40405.0625</v>
          </cell>
          <cell r="R236" t="str">
            <v/>
          </cell>
          <cell r="T236">
            <v>40405.0625</v>
          </cell>
          <cell r="AN236" t="str">
            <v/>
          </cell>
          <cell r="AP236">
            <v>40405.0625</v>
          </cell>
          <cell r="BF236" t="str">
            <v/>
          </cell>
          <cell r="BI236" t="str">
            <v/>
          </cell>
          <cell r="BK236">
            <v>40405.0625</v>
          </cell>
          <cell r="CD236" t="str">
            <v/>
          </cell>
          <cell r="CF236">
            <v>40405.0625</v>
          </cell>
          <cell r="CJ236">
            <v>8.5</v>
          </cell>
          <cell r="CK236">
            <v>13.19</v>
          </cell>
          <cell r="CL236">
            <v>1.5</v>
          </cell>
          <cell r="CM236">
            <v>16</v>
          </cell>
          <cell r="CN236">
            <v>11.5</v>
          </cell>
          <cell r="CO236">
            <v>15</v>
          </cell>
          <cell r="CP236">
            <v>12</v>
          </cell>
          <cell r="CQ236">
            <v>26.99</v>
          </cell>
          <cell r="CR236">
            <v>3.5</v>
          </cell>
          <cell r="CS236">
            <v>18</v>
          </cell>
          <cell r="CT236">
            <v>27</v>
          </cell>
          <cell r="CY236" t="str">
            <v/>
          </cell>
        </row>
        <row r="237">
          <cell r="A237">
            <v>40435.5</v>
          </cell>
          <cell r="R237" t="str">
            <v/>
          </cell>
          <cell r="T237">
            <v>40435.5</v>
          </cell>
          <cell r="AN237" t="str">
            <v/>
          </cell>
          <cell r="AP237">
            <v>40435.5</v>
          </cell>
          <cell r="BF237" t="str">
            <v/>
          </cell>
          <cell r="BI237" t="str">
            <v/>
          </cell>
          <cell r="BK237">
            <v>40435.5</v>
          </cell>
          <cell r="CD237" t="str">
            <v/>
          </cell>
          <cell r="CF237">
            <v>40435.5</v>
          </cell>
          <cell r="CY237" t="str">
            <v/>
          </cell>
        </row>
        <row r="238">
          <cell r="A238">
            <v>40465.9375</v>
          </cell>
          <cell r="R238" t="str">
            <v/>
          </cell>
          <cell r="T238">
            <v>40465.9375</v>
          </cell>
          <cell r="AN238" t="str">
            <v/>
          </cell>
          <cell r="AP238">
            <v>40465.9375</v>
          </cell>
          <cell r="BF238" t="str">
            <v/>
          </cell>
          <cell r="BI238" t="str">
            <v/>
          </cell>
          <cell r="BK238">
            <v>40465.9375</v>
          </cell>
          <cell r="CD238" t="str">
            <v/>
          </cell>
          <cell r="CF238">
            <v>40465.9375</v>
          </cell>
          <cell r="CY238" t="str">
            <v/>
          </cell>
        </row>
        <row r="239">
          <cell r="A239">
            <v>40496.375</v>
          </cell>
          <cell r="R239" t="str">
            <v/>
          </cell>
          <cell r="T239">
            <v>40496.375</v>
          </cell>
          <cell r="AN239" t="str">
            <v/>
          </cell>
          <cell r="AP239">
            <v>40496.375</v>
          </cell>
          <cell r="BF239" t="str">
            <v/>
          </cell>
          <cell r="BI239" t="str">
            <v/>
          </cell>
          <cell r="BK239">
            <v>40496.375</v>
          </cell>
          <cell r="CD239" t="str">
            <v/>
          </cell>
          <cell r="CF239">
            <v>40496.375</v>
          </cell>
          <cell r="CY239" t="str">
            <v/>
          </cell>
        </row>
        <row r="240">
          <cell r="A240">
            <v>40526.8125</v>
          </cell>
          <cell r="R240" t="str">
            <v/>
          </cell>
          <cell r="T240">
            <v>40526.8125</v>
          </cell>
          <cell r="AN240" t="str">
            <v/>
          </cell>
          <cell r="AP240">
            <v>40526.8125</v>
          </cell>
          <cell r="BF240" t="str">
            <v/>
          </cell>
          <cell r="BI240" t="str">
            <v/>
          </cell>
          <cell r="BK240">
            <v>40526.8125</v>
          </cell>
          <cell r="CD240" t="str">
            <v/>
          </cell>
          <cell r="CF240">
            <v>40526.8125</v>
          </cell>
          <cell r="CY240" t="str">
            <v/>
          </cell>
        </row>
        <row r="241">
          <cell r="A241">
            <v>40557.25</v>
          </cell>
          <cell r="R241" t="str">
            <v/>
          </cell>
          <cell r="T241">
            <v>40557.25</v>
          </cell>
          <cell r="AN241" t="str">
            <v/>
          </cell>
          <cell r="AP241">
            <v>40557.25</v>
          </cell>
          <cell r="BF241" t="str">
            <v/>
          </cell>
          <cell r="BI241" t="str">
            <v/>
          </cell>
          <cell r="BK241">
            <v>40557.25</v>
          </cell>
          <cell r="CD241" t="str">
            <v/>
          </cell>
          <cell r="CF241">
            <v>40557.25</v>
          </cell>
          <cell r="CY241" t="str">
            <v/>
          </cell>
        </row>
        <row r="242">
          <cell r="A242">
            <v>40587.6875</v>
          </cell>
          <cell r="R242" t="str">
            <v/>
          </cell>
          <cell r="T242">
            <v>40587.6875</v>
          </cell>
          <cell r="AN242" t="str">
            <v/>
          </cell>
          <cell r="AP242">
            <v>40587.6875</v>
          </cell>
          <cell r="BF242" t="str">
            <v/>
          </cell>
          <cell r="BI242" t="str">
            <v/>
          </cell>
          <cell r="BK242">
            <v>40587.6875</v>
          </cell>
          <cell r="CD242" t="str">
            <v/>
          </cell>
          <cell r="CF242">
            <v>40587.6875</v>
          </cell>
          <cell r="CY242" t="str">
            <v/>
          </cell>
        </row>
        <row r="243">
          <cell r="A243">
            <v>40618.125</v>
          </cell>
          <cell r="R243" t="str">
            <v/>
          </cell>
          <cell r="T243">
            <v>40618.125</v>
          </cell>
          <cell r="AN243" t="str">
            <v/>
          </cell>
          <cell r="AP243">
            <v>40618.125</v>
          </cell>
          <cell r="BF243" t="str">
            <v/>
          </cell>
          <cell r="BI243" t="str">
            <v/>
          </cell>
          <cell r="BK243">
            <v>40618.125</v>
          </cell>
          <cell r="CD243" t="str">
            <v/>
          </cell>
          <cell r="CF243">
            <v>40618.125</v>
          </cell>
          <cell r="CY243" t="str">
            <v/>
          </cell>
        </row>
        <row r="244">
          <cell r="A244">
            <v>40648.5625</v>
          </cell>
          <cell r="R244" t="str">
            <v/>
          </cell>
          <cell r="T244">
            <v>40648.5625</v>
          </cell>
          <cell r="AN244" t="str">
            <v/>
          </cell>
          <cell r="AP244">
            <v>40648.5625</v>
          </cell>
          <cell r="BF244" t="str">
            <v/>
          </cell>
          <cell r="BI244" t="str">
            <v/>
          </cell>
          <cell r="BK244">
            <v>40648.5625</v>
          </cell>
          <cell r="CD244" t="str">
            <v/>
          </cell>
          <cell r="CF244">
            <v>40648.5625</v>
          </cell>
          <cell r="CY244" t="str">
            <v/>
          </cell>
        </row>
        <row r="245">
          <cell r="A245">
            <v>40679</v>
          </cell>
          <cell r="R245" t="str">
            <v/>
          </cell>
          <cell r="T245">
            <v>40679</v>
          </cell>
          <cell r="AN245" t="str">
            <v/>
          </cell>
          <cell r="AP245">
            <v>40679</v>
          </cell>
          <cell r="BF245" t="str">
            <v/>
          </cell>
          <cell r="BI245" t="str">
            <v/>
          </cell>
          <cell r="BK245">
            <v>40679</v>
          </cell>
          <cell r="CD245" t="str">
            <v/>
          </cell>
          <cell r="CF245">
            <v>40679</v>
          </cell>
          <cell r="CY245" t="str">
            <v/>
          </cell>
        </row>
        <row r="246">
          <cell r="A246">
            <v>40709.4375</v>
          </cell>
          <cell r="R246" t="str">
            <v/>
          </cell>
          <cell r="T246">
            <v>40709.4375</v>
          </cell>
          <cell r="AN246" t="str">
            <v/>
          </cell>
          <cell r="AP246">
            <v>40709.4375</v>
          </cell>
          <cell r="BF246" t="str">
            <v/>
          </cell>
          <cell r="BI246" t="str">
            <v/>
          </cell>
          <cell r="BK246">
            <v>40709.4375</v>
          </cell>
          <cell r="CD246" t="str">
            <v/>
          </cell>
          <cell r="CF246">
            <v>40709.4375</v>
          </cell>
          <cell r="CY246" t="str">
            <v/>
          </cell>
        </row>
        <row r="247">
          <cell r="A247">
            <v>40739.875</v>
          </cell>
          <cell r="R247" t="str">
            <v/>
          </cell>
          <cell r="T247">
            <v>40739.875</v>
          </cell>
          <cell r="AN247" t="str">
            <v/>
          </cell>
          <cell r="AP247">
            <v>40739.875</v>
          </cell>
          <cell r="BF247" t="str">
            <v/>
          </cell>
          <cell r="BI247" t="str">
            <v/>
          </cell>
          <cell r="BK247">
            <v>40739.875</v>
          </cell>
          <cell r="CD247" t="str">
            <v/>
          </cell>
          <cell r="CF247">
            <v>40739.875</v>
          </cell>
          <cell r="CY247" t="str">
            <v/>
          </cell>
        </row>
        <row r="248">
          <cell r="A248">
            <v>40770.3125</v>
          </cell>
          <cell r="R248" t="str">
            <v/>
          </cell>
          <cell r="T248">
            <v>40770.3125</v>
          </cell>
          <cell r="AN248" t="str">
            <v/>
          </cell>
          <cell r="AP248">
            <v>40770.3125</v>
          </cell>
          <cell r="BF248" t="str">
            <v/>
          </cell>
          <cell r="BI248" t="str">
            <v/>
          </cell>
          <cell r="BK248">
            <v>40770.3125</v>
          </cell>
          <cell r="CD248" t="str">
            <v/>
          </cell>
          <cell r="CF248">
            <v>40770.3125</v>
          </cell>
          <cell r="CY248" t="str">
            <v/>
          </cell>
        </row>
        <row r="249">
          <cell r="A249">
            <v>40800.75</v>
          </cell>
          <cell r="R249" t="str">
            <v/>
          </cell>
          <cell r="T249">
            <v>40800.75</v>
          </cell>
          <cell r="AN249" t="str">
            <v/>
          </cell>
          <cell r="AP249">
            <v>40800.75</v>
          </cell>
          <cell r="BF249" t="str">
            <v/>
          </cell>
          <cell r="BI249" t="str">
            <v/>
          </cell>
          <cell r="BK249">
            <v>40800.75</v>
          </cell>
          <cell r="CD249" t="str">
            <v/>
          </cell>
          <cell r="CF249">
            <v>40800.75</v>
          </cell>
          <cell r="CY249" t="str">
            <v/>
          </cell>
        </row>
        <row r="250">
          <cell r="A250">
            <v>40831.1875</v>
          </cell>
          <cell r="R250" t="str">
            <v/>
          </cell>
          <cell r="T250">
            <v>40831.1875</v>
          </cell>
          <cell r="AN250" t="str">
            <v/>
          </cell>
          <cell r="AP250">
            <v>40831.1875</v>
          </cell>
          <cell r="BF250" t="str">
            <v/>
          </cell>
          <cell r="BI250" t="str">
            <v/>
          </cell>
          <cell r="BK250">
            <v>40831.1875</v>
          </cell>
          <cell r="CD250" t="str">
            <v/>
          </cell>
          <cell r="CF250">
            <v>40831.1875</v>
          </cell>
          <cell r="CY250" t="str">
            <v/>
          </cell>
        </row>
        <row r="251">
          <cell r="A251">
            <v>40861.625</v>
          </cell>
          <cell r="R251" t="str">
            <v/>
          </cell>
          <cell r="T251">
            <v>40861.625</v>
          </cell>
          <cell r="AN251" t="str">
            <v/>
          </cell>
          <cell r="AP251">
            <v>40861.625</v>
          </cell>
          <cell r="BF251" t="str">
            <v/>
          </cell>
          <cell r="BI251" t="str">
            <v/>
          </cell>
          <cell r="BK251">
            <v>40861.625</v>
          </cell>
          <cell r="CD251" t="str">
            <v/>
          </cell>
          <cell r="CF251">
            <v>40861.625</v>
          </cell>
          <cell r="CY251" t="str">
            <v/>
          </cell>
        </row>
        <row r="252">
          <cell r="A252">
            <v>40892.0625</v>
          </cell>
          <cell r="R252" t="str">
            <v/>
          </cell>
          <cell r="T252">
            <v>40892.0625</v>
          </cell>
          <cell r="AN252" t="str">
            <v/>
          </cell>
          <cell r="AP252">
            <v>40892.0625</v>
          </cell>
          <cell r="BF252" t="str">
            <v/>
          </cell>
          <cell r="BI252" t="str">
            <v/>
          </cell>
          <cell r="BK252">
            <v>40892.0625</v>
          </cell>
          <cell r="CD252" t="str">
            <v/>
          </cell>
          <cell r="CF252">
            <v>40892.0625</v>
          </cell>
          <cell r="CY252" t="str">
            <v/>
          </cell>
        </row>
        <row r="253">
          <cell r="A253">
            <v>40922.5</v>
          </cell>
          <cell r="R253" t="str">
            <v/>
          </cell>
          <cell r="T253">
            <v>40922.5</v>
          </cell>
          <cell r="AN253" t="str">
            <v/>
          </cell>
          <cell r="AP253">
            <v>40922.5</v>
          </cell>
          <cell r="BF253" t="str">
            <v/>
          </cell>
          <cell r="BI253" t="str">
            <v/>
          </cell>
          <cell r="BK253">
            <v>40922.5</v>
          </cell>
          <cell r="CD253" t="str">
            <v/>
          </cell>
          <cell r="CF253">
            <v>40922.5</v>
          </cell>
          <cell r="CY253" t="str">
            <v/>
          </cell>
        </row>
        <row r="254">
          <cell r="A254">
            <v>40952.9375</v>
          </cell>
          <cell r="R254" t="str">
            <v/>
          </cell>
          <cell r="T254">
            <v>40952.9375</v>
          </cell>
          <cell r="AN254" t="str">
            <v/>
          </cell>
          <cell r="AP254">
            <v>40952.9375</v>
          </cell>
          <cell r="BF254" t="str">
            <v/>
          </cell>
          <cell r="BI254" t="str">
            <v/>
          </cell>
          <cell r="BK254">
            <v>40952.9375</v>
          </cell>
          <cell r="CD254" t="str">
            <v/>
          </cell>
          <cell r="CF254">
            <v>40952.9375</v>
          </cell>
          <cell r="CY254" t="str">
            <v/>
          </cell>
        </row>
        <row r="255">
          <cell r="A255">
            <v>40983.375</v>
          </cell>
          <cell r="R255" t="str">
            <v/>
          </cell>
          <cell r="T255">
            <v>40983.375</v>
          </cell>
          <cell r="AN255" t="str">
            <v/>
          </cell>
          <cell r="AP255">
            <v>40983.375</v>
          </cell>
          <cell r="BF255" t="str">
            <v/>
          </cell>
          <cell r="BI255" t="str">
            <v/>
          </cell>
          <cell r="BK255">
            <v>40983.375</v>
          </cell>
          <cell r="CD255" t="str">
            <v/>
          </cell>
          <cell r="CF255">
            <v>40983.375</v>
          </cell>
          <cell r="CY255" t="str">
            <v/>
          </cell>
        </row>
        <row r="256">
          <cell r="A256">
            <v>41013.8125</v>
          </cell>
          <cell r="R256" t="str">
            <v/>
          </cell>
          <cell r="T256">
            <v>41013.8125</v>
          </cell>
          <cell r="AN256" t="str">
            <v/>
          </cell>
          <cell r="AP256">
            <v>41013.8125</v>
          </cell>
          <cell r="BF256" t="str">
            <v/>
          </cell>
          <cell r="BI256" t="str">
            <v/>
          </cell>
          <cell r="BK256">
            <v>41013.8125</v>
          </cell>
          <cell r="CD256" t="str">
            <v/>
          </cell>
          <cell r="CF256">
            <v>41013.8125</v>
          </cell>
          <cell r="CY256" t="str">
            <v/>
          </cell>
        </row>
        <row r="257">
          <cell r="A257">
            <v>41044.25</v>
          </cell>
          <cell r="R257" t="str">
            <v/>
          </cell>
          <cell r="T257">
            <v>41044.25</v>
          </cell>
          <cell r="AN257" t="str">
            <v/>
          </cell>
          <cell r="AP257">
            <v>41044.25</v>
          </cell>
          <cell r="BF257" t="str">
            <v/>
          </cell>
          <cell r="BI257" t="str">
            <v/>
          </cell>
          <cell r="BK257">
            <v>41044.25</v>
          </cell>
          <cell r="CD257" t="str">
            <v/>
          </cell>
          <cell r="CF257">
            <v>41044.25</v>
          </cell>
          <cell r="CY257" t="str">
            <v/>
          </cell>
        </row>
        <row r="258">
          <cell r="A258">
            <v>41074.6875</v>
          </cell>
          <cell r="R258" t="str">
            <v/>
          </cell>
          <cell r="T258">
            <v>41074.6875</v>
          </cell>
          <cell r="AN258" t="str">
            <v/>
          </cell>
          <cell r="AP258">
            <v>41074.6875</v>
          </cell>
          <cell r="BF258" t="str">
            <v/>
          </cell>
          <cell r="BI258" t="str">
            <v/>
          </cell>
          <cell r="BK258">
            <v>41074.6875</v>
          </cell>
          <cell r="CD258" t="str">
            <v/>
          </cell>
          <cell r="CF258">
            <v>41074.6875</v>
          </cell>
          <cell r="CY258" t="str">
            <v/>
          </cell>
        </row>
        <row r="259">
          <cell r="A259">
            <v>41105.125</v>
          </cell>
          <cell r="R259" t="str">
            <v/>
          </cell>
          <cell r="T259">
            <v>41105.125</v>
          </cell>
          <cell r="AN259" t="str">
            <v/>
          </cell>
          <cell r="AP259">
            <v>41105.125</v>
          </cell>
          <cell r="BF259" t="str">
            <v/>
          </cell>
          <cell r="BI259" t="str">
            <v/>
          </cell>
          <cell r="BK259">
            <v>41105.125</v>
          </cell>
          <cell r="CD259" t="str">
            <v/>
          </cell>
          <cell r="CF259">
            <v>41105.125</v>
          </cell>
          <cell r="CY259" t="str">
            <v/>
          </cell>
        </row>
        <row r="260">
          <cell r="A260">
            <v>41135.5625</v>
          </cell>
          <cell r="R260" t="str">
            <v/>
          </cell>
          <cell r="T260">
            <v>41135.5625</v>
          </cell>
          <cell r="AN260" t="str">
            <v/>
          </cell>
          <cell r="AP260">
            <v>41135.5625</v>
          </cell>
          <cell r="BF260" t="str">
            <v/>
          </cell>
          <cell r="BI260" t="str">
            <v/>
          </cell>
          <cell r="BK260">
            <v>41135.5625</v>
          </cell>
          <cell r="CD260" t="str">
            <v/>
          </cell>
          <cell r="CF260">
            <v>41135.5625</v>
          </cell>
          <cell r="CY260" t="str">
            <v/>
          </cell>
        </row>
        <row r="261">
          <cell r="A261">
            <v>41166</v>
          </cell>
          <cell r="R261" t="str">
            <v/>
          </cell>
          <cell r="T261">
            <v>41166</v>
          </cell>
          <cell r="AN261" t="str">
            <v/>
          </cell>
          <cell r="AP261">
            <v>41166</v>
          </cell>
          <cell r="BF261" t="str">
            <v/>
          </cell>
          <cell r="BI261" t="str">
            <v/>
          </cell>
          <cell r="BK261">
            <v>41166</v>
          </cell>
          <cell r="CD261" t="str">
            <v/>
          </cell>
          <cell r="CF261">
            <v>41166</v>
          </cell>
          <cell r="CY261" t="str">
            <v/>
          </cell>
        </row>
        <row r="262">
          <cell r="A262">
            <v>41196.4375</v>
          </cell>
          <cell r="R262" t="str">
            <v/>
          </cell>
          <cell r="T262">
            <v>41196.4375</v>
          </cell>
          <cell r="AN262" t="str">
            <v/>
          </cell>
          <cell r="AP262">
            <v>41196.4375</v>
          </cell>
          <cell r="BF262" t="str">
            <v/>
          </cell>
          <cell r="BI262" t="str">
            <v/>
          </cell>
          <cell r="BK262">
            <v>41196.4375</v>
          </cell>
          <cell r="CD262" t="str">
            <v/>
          </cell>
          <cell r="CF262">
            <v>41196.4375</v>
          </cell>
          <cell r="CY262" t="str">
            <v/>
          </cell>
        </row>
        <row r="263">
          <cell r="A263">
            <v>41226.875</v>
          </cell>
          <cell r="R263" t="str">
            <v/>
          </cell>
          <cell r="T263">
            <v>41226.875</v>
          </cell>
          <cell r="AN263" t="str">
            <v/>
          </cell>
          <cell r="AP263">
            <v>41226.875</v>
          </cell>
          <cell r="BF263" t="str">
            <v/>
          </cell>
          <cell r="BI263" t="str">
            <v/>
          </cell>
          <cell r="BK263">
            <v>41226.875</v>
          </cell>
          <cell r="CD263" t="str">
            <v/>
          </cell>
          <cell r="CF263">
            <v>41226.875</v>
          </cell>
          <cell r="CY263" t="str">
            <v/>
          </cell>
        </row>
        <row r="264">
          <cell r="A264">
            <v>41257.3125</v>
          </cell>
          <cell r="R264" t="str">
            <v/>
          </cell>
          <cell r="T264">
            <v>41257.3125</v>
          </cell>
          <cell r="AN264" t="str">
            <v/>
          </cell>
          <cell r="AP264">
            <v>41257.3125</v>
          </cell>
          <cell r="BF264" t="str">
            <v/>
          </cell>
          <cell r="BI264" t="str">
            <v/>
          </cell>
          <cell r="BK264">
            <v>41257.3125</v>
          </cell>
          <cell r="CD264" t="str">
            <v/>
          </cell>
          <cell r="CF264">
            <v>41257.3125</v>
          </cell>
          <cell r="CY264" t="str">
            <v/>
          </cell>
        </row>
        <row r="265">
          <cell r="A265">
            <v>41287.75</v>
          </cell>
          <cell r="R265" t="str">
            <v/>
          </cell>
          <cell r="T265">
            <v>41287.75</v>
          </cell>
          <cell r="AN265" t="str">
            <v/>
          </cell>
          <cell r="AP265">
            <v>41287.75</v>
          </cell>
          <cell r="BF265" t="str">
            <v/>
          </cell>
          <cell r="BI265" t="str">
            <v/>
          </cell>
          <cell r="BK265">
            <v>41287.75</v>
          </cell>
          <cell r="CD265" t="str">
            <v/>
          </cell>
          <cell r="CF265">
            <v>41287.75</v>
          </cell>
          <cell r="CY265" t="str">
            <v/>
          </cell>
        </row>
        <row r="266">
          <cell r="A266">
            <v>41318.1875</v>
          </cell>
          <cell r="R266" t="str">
            <v/>
          </cell>
          <cell r="T266">
            <v>41318.1875</v>
          </cell>
          <cell r="AN266" t="str">
            <v/>
          </cell>
          <cell r="AP266">
            <v>41318.1875</v>
          </cell>
          <cell r="BF266" t="str">
            <v/>
          </cell>
          <cell r="BI266" t="str">
            <v/>
          </cell>
          <cell r="BK266">
            <v>41318.1875</v>
          </cell>
          <cell r="CD266" t="str">
            <v/>
          </cell>
          <cell r="CF266">
            <v>41318.1875</v>
          </cell>
          <cell r="CY266" t="str">
            <v/>
          </cell>
        </row>
        <row r="267">
          <cell r="A267">
            <v>41348.625</v>
          </cell>
          <cell r="R267" t="str">
            <v/>
          </cell>
          <cell r="T267">
            <v>41348.625</v>
          </cell>
          <cell r="AN267" t="str">
            <v/>
          </cell>
          <cell r="AP267">
            <v>41348.625</v>
          </cell>
          <cell r="BF267" t="str">
            <v/>
          </cell>
          <cell r="BI267" t="str">
            <v/>
          </cell>
          <cell r="BK267">
            <v>41348.625</v>
          </cell>
          <cell r="CD267" t="str">
            <v/>
          </cell>
          <cell r="CF267">
            <v>41348.625</v>
          </cell>
          <cell r="CY267" t="str">
            <v/>
          </cell>
        </row>
        <row r="268">
          <cell r="A268">
            <v>41379.0625</v>
          </cell>
          <cell r="R268" t="str">
            <v/>
          </cell>
          <cell r="T268">
            <v>41379.0625</v>
          </cell>
          <cell r="AN268" t="str">
            <v/>
          </cell>
          <cell r="AP268">
            <v>41379.0625</v>
          </cell>
          <cell r="BF268" t="str">
            <v/>
          </cell>
          <cell r="BI268" t="str">
            <v/>
          </cell>
          <cell r="BK268">
            <v>41379.0625</v>
          </cell>
          <cell r="CD268" t="str">
            <v/>
          </cell>
          <cell r="CF268">
            <v>41379.0625</v>
          </cell>
          <cell r="CY268" t="str">
            <v/>
          </cell>
        </row>
        <row r="269">
          <cell r="A269">
            <v>41409.5</v>
          </cell>
          <cell r="R269" t="str">
            <v/>
          </cell>
          <cell r="T269">
            <v>41409.5</v>
          </cell>
          <cell r="AN269" t="str">
            <v/>
          </cell>
          <cell r="AP269">
            <v>41409.5</v>
          </cell>
          <cell r="BF269" t="str">
            <v/>
          </cell>
          <cell r="BI269" t="str">
            <v/>
          </cell>
          <cell r="BK269">
            <v>41409.5</v>
          </cell>
          <cell r="CD269" t="str">
            <v/>
          </cell>
          <cell r="CF269">
            <v>41409.5</v>
          </cell>
          <cell r="CY269" t="str">
            <v/>
          </cell>
        </row>
        <row r="270">
          <cell r="A270">
            <v>41439.9375</v>
          </cell>
          <cell r="R270" t="str">
            <v/>
          </cell>
          <cell r="T270">
            <v>41439.9375</v>
          </cell>
          <cell r="AN270" t="str">
            <v/>
          </cell>
          <cell r="AP270">
            <v>41439.9375</v>
          </cell>
          <cell r="BF270" t="str">
            <v/>
          </cell>
          <cell r="BI270" t="str">
            <v/>
          </cell>
          <cell r="BK270">
            <v>41439.9375</v>
          </cell>
          <cell r="CD270" t="str">
            <v/>
          </cell>
          <cell r="CF270">
            <v>41439.9375</v>
          </cell>
          <cell r="CY270" t="str">
            <v/>
          </cell>
        </row>
        <row r="271">
          <cell r="A271">
            <v>41470.375</v>
          </cell>
          <cell r="R271" t="str">
            <v/>
          </cell>
          <cell r="T271">
            <v>41470.375</v>
          </cell>
          <cell r="AN271" t="str">
            <v/>
          </cell>
          <cell r="AP271">
            <v>41470.375</v>
          </cell>
          <cell r="BF271" t="str">
            <v/>
          </cell>
          <cell r="BI271" t="str">
            <v/>
          </cell>
          <cell r="BK271">
            <v>41470.375</v>
          </cell>
          <cell r="CD271" t="str">
            <v/>
          </cell>
          <cell r="CF271">
            <v>41470.375</v>
          </cell>
          <cell r="CY271" t="str">
            <v/>
          </cell>
        </row>
        <row r="272">
          <cell r="A272">
            <v>41500.8125</v>
          </cell>
          <cell r="R272" t="str">
            <v/>
          </cell>
          <cell r="T272">
            <v>41500.8125</v>
          </cell>
          <cell r="AN272" t="str">
            <v/>
          </cell>
          <cell r="AP272">
            <v>41500.8125</v>
          </cell>
          <cell r="BF272" t="str">
            <v/>
          </cell>
          <cell r="BI272" t="str">
            <v/>
          </cell>
          <cell r="BK272">
            <v>41500.8125</v>
          </cell>
          <cell r="CD272" t="str">
            <v/>
          </cell>
          <cell r="CF272">
            <v>41500.8125</v>
          </cell>
          <cell r="CY272" t="str">
            <v/>
          </cell>
        </row>
        <row r="273">
          <cell r="A273">
            <v>41531.25</v>
          </cell>
          <cell r="R273" t="str">
            <v/>
          </cell>
          <cell r="T273">
            <v>41531.25</v>
          </cell>
          <cell r="AN273" t="str">
            <v/>
          </cell>
          <cell r="AP273">
            <v>41531.25</v>
          </cell>
          <cell r="BF273" t="str">
            <v/>
          </cell>
          <cell r="BI273" t="str">
            <v/>
          </cell>
          <cell r="BK273">
            <v>41531.25</v>
          </cell>
          <cell r="CD273" t="str">
            <v/>
          </cell>
          <cell r="CF273">
            <v>41531.25</v>
          </cell>
          <cell r="CY273" t="str">
            <v/>
          </cell>
        </row>
        <row r="274">
          <cell r="A274">
            <v>41561.6875</v>
          </cell>
          <cell r="R274" t="str">
            <v/>
          </cell>
          <cell r="T274">
            <v>41561.6875</v>
          </cell>
          <cell r="AN274" t="str">
            <v/>
          </cell>
          <cell r="AP274">
            <v>41561.6875</v>
          </cell>
          <cell r="BF274" t="str">
            <v/>
          </cell>
          <cell r="BI274" t="str">
            <v/>
          </cell>
          <cell r="BK274">
            <v>41561.6875</v>
          </cell>
          <cell r="CD274" t="str">
            <v/>
          </cell>
          <cell r="CF274">
            <v>41561.6875</v>
          </cell>
          <cell r="CY274" t="str">
            <v/>
          </cell>
        </row>
        <row r="275">
          <cell r="A275">
            <v>41592.125</v>
          </cell>
          <cell r="R275" t="str">
            <v/>
          </cell>
          <cell r="T275">
            <v>41592.125</v>
          </cell>
          <cell r="AN275" t="str">
            <v/>
          </cell>
          <cell r="AP275">
            <v>41592.125</v>
          </cell>
          <cell r="BF275" t="str">
            <v/>
          </cell>
          <cell r="BI275" t="str">
            <v/>
          </cell>
          <cell r="BK275">
            <v>41592.125</v>
          </cell>
          <cell r="CD275" t="str">
            <v/>
          </cell>
          <cell r="CF275">
            <v>41592.125</v>
          </cell>
          <cell r="CY275" t="str">
            <v/>
          </cell>
        </row>
        <row r="276">
          <cell r="A276">
            <v>41622.5625</v>
          </cell>
          <cell r="R276" t="str">
            <v/>
          </cell>
          <cell r="T276">
            <v>41622.5625</v>
          </cell>
          <cell r="AN276" t="str">
            <v/>
          </cell>
          <cell r="AP276">
            <v>41622.5625</v>
          </cell>
          <cell r="BF276" t="str">
            <v/>
          </cell>
          <cell r="BI276" t="str">
            <v/>
          </cell>
          <cell r="BK276">
            <v>41622.5625</v>
          </cell>
          <cell r="CD276" t="str">
            <v/>
          </cell>
          <cell r="CF276">
            <v>41622.5625</v>
          </cell>
          <cell r="CY276" t="str">
            <v/>
          </cell>
        </row>
        <row r="277">
          <cell r="A277">
            <v>41653</v>
          </cell>
          <cell r="R277" t="str">
            <v/>
          </cell>
          <cell r="T277">
            <v>41653</v>
          </cell>
          <cell r="AN277" t="str">
            <v/>
          </cell>
          <cell r="AP277">
            <v>41653</v>
          </cell>
          <cell r="BF277" t="str">
            <v/>
          </cell>
          <cell r="BI277" t="str">
            <v/>
          </cell>
          <cell r="BK277">
            <v>41653</v>
          </cell>
          <cell r="CD277" t="str">
            <v/>
          </cell>
          <cell r="CF277">
            <v>41653</v>
          </cell>
          <cell r="CY277" t="str">
            <v/>
          </cell>
        </row>
        <row r="278">
          <cell r="A278">
            <v>41683.4375</v>
          </cell>
          <cell r="R278" t="str">
            <v/>
          </cell>
          <cell r="T278">
            <v>41683.4375</v>
          </cell>
          <cell r="AN278" t="str">
            <v/>
          </cell>
          <cell r="AP278">
            <v>41683.4375</v>
          </cell>
          <cell r="BF278" t="str">
            <v/>
          </cell>
          <cell r="BI278" t="str">
            <v/>
          </cell>
          <cell r="BK278">
            <v>41683.4375</v>
          </cell>
          <cell r="CD278" t="str">
            <v/>
          </cell>
          <cell r="CF278">
            <v>41683.4375</v>
          </cell>
          <cell r="CY278" t="str">
            <v/>
          </cell>
        </row>
        <row r="279">
          <cell r="A279">
            <v>41713.875</v>
          </cell>
          <cell r="R279" t="str">
            <v/>
          </cell>
          <cell r="T279">
            <v>41713.875</v>
          </cell>
          <cell r="AN279" t="str">
            <v/>
          </cell>
          <cell r="AP279">
            <v>41713.875</v>
          </cell>
          <cell r="BF279" t="str">
            <v/>
          </cell>
          <cell r="BI279" t="str">
            <v/>
          </cell>
          <cell r="BK279">
            <v>41713.875</v>
          </cell>
          <cell r="CD279" t="str">
            <v/>
          </cell>
          <cell r="CF279">
            <v>41713.875</v>
          </cell>
          <cell r="CY279" t="str">
            <v/>
          </cell>
        </row>
        <row r="280">
          <cell r="A280">
            <v>41744.3125</v>
          </cell>
          <cell r="R280" t="str">
            <v/>
          </cell>
          <cell r="T280">
            <v>41744.3125</v>
          </cell>
          <cell r="AN280" t="str">
            <v/>
          </cell>
          <cell r="AP280">
            <v>41744.3125</v>
          </cell>
          <cell r="BF280" t="str">
            <v/>
          </cell>
          <cell r="BI280" t="str">
            <v/>
          </cell>
          <cell r="BK280">
            <v>41744.3125</v>
          </cell>
          <cell r="CD280" t="str">
            <v/>
          </cell>
          <cell r="CF280">
            <v>41744.3125</v>
          </cell>
          <cell r="CY280" t="str">
            <v/>
          </cell>
        </row>
        <row r="281">
          <cell r="A281">
            <v>41774.75</v>
          </cell>
          <cell r="R281" t="str">
            <v/>
          </cell>
          <cell r="T281">
            <v>41774.75</v>
          </cell>
          <cell r="AN281" t="str">
            <v/>
          </cell>
          <cell r="AP281">
            <v>41774.75</v>
          </cell>
          <cell r="BF281" t="str">
            <v/>
          </cell>
          <cell r="BI281" t="str">
            <v/>
          </cell>
          <cell r="BK281">
            <v>41774.75</v>
          </cell>
          <cell r="CD281" t="str">
            <v/>
          </cell>
          <cell r="CF281">
            <v>41774.75</v>
          </cell>
          <cell r="CY281" t="str">
            <v/>
          </cell>
        </row>
        <row r="282">
          <cell r="A282">
            <v>41805.1875</v>
          </cell>
          <cell r="R282" t="str">
            <v/>
          </cell>
          <cell r="T282">
            <v>41805.1875</v>
          </cell>
          <cell r="AN282" t="str">
            <v/>
          </cell>
          <cell r="AP282">
            <v>41805.1875</v>
          </cell>
          <cell r="BF282" t="str">
            <v/>
          </cell>
          <cell r="BI282" t="str">
            <v/>
          </cell>
          <cell r="BK282">
            <v>41805.1875</v>
          </cell>
          <cell r="CD282" t="str">
            <v/>
          </cell>
          <cell r="CF282">
            <v>41805.1875</v>
          </cell>
          <cell r="CY282" t="str">
            <v/>
          </cell>
        </row>
        <row r="283">
          <cell r="A283">
            <v>41835.625</v>
          </cell>
          <cell r="R283" t="str">
            <v/>
          </cell>
          <cell r="T283">
            <v>41835.625</v>
          </cell>
          <cell r="AN283" t="str">
            <v/>
          </cell>
          <cell r="AP283">
            <v>41835.625</v>
          </cell>
          <cell r="BF283" t="str">
            <v/>
          </cell>
          <cell r="BI283" t="str">
            <v/>
          </cell>
          <cell r="BK283">
            <v>41835.625</v>
          </cell>
          <cell r="CD283" t="str">
            <v/>
          </cell>
          <cell r="CF283">
            <v>41835.625</v>
          </cell>
          <cell r="CY283" t="str">
            <v/>
          </cell>
        </row>
        <row r="284">
          <cell r="A284">
            <v>41866.0625</v>
          </cell>
          <cell r="R284" t="str">
            <v/>
          </cell>
          <cell r="T284">
            <v>41866.0625</v>
          </cell>
          <cell r="AN284" t="str">
            <v/>
          </cell>
          <cell r="AP284">
            <v>41866.0625</v>
          </cell>
          <cell r="BF284" t="str">
            <v/>
          </cell>
          <cell r="BI284" t="str">
            <v/>
          </cell>
          <cell r="BK284">
            <v>41866.0625</v>
          </cell>
          <cell r="CD284" t="str">
            <v/>
          </cell>
          <cell r="CF284">
            <v>41866.0625</v>
          </cell>
          <cell r="CY284" t="str">
            <v/>
          </cell>
        </row>
        <row r="285">
          <cell r="A285">
            <v>41896.5</v>
          </cell>
          <cell r="R285" t="str">
            <v/>
          </cell>
          <cell r="T285">
            <v>41896.5</v>
          </cell>
          <cell r="AN285" t="str">
            <v/>
          </cell>
          <cell r="AP285">
            <v>41896.5</v>
          </cell>
          <cell r="BF285" t="str">
            <v/>
          </cell>
          <cell r="BI285" t="str">
            <v/>
          </cell>
          <cell r="BK285">
            <v>41896.5</v>
          </cell>
          <cell r="CD285" t="str">
            <v/>
          </cell>
          <cell r="CF285">
            <v>41896.5</v>
          </cell>
          <cell r="CY285" t="str">
            <v/>
          </cell>
        </row>
        <row r="286">
          <cell r="A286">
            <v>41926.9375</v>
          </cell>
          <cell r="R286" t="str">
            <v/>
          </cell>
          <cell r="T286">
            <v>41926.9375</v>
          </cell>
          <cell r="AN286" t="str">
            <v/>
          </cell>
          <cell r="AP286">
            <v>41926.9375</v>
          </cell>
          <cell r="BF286" t="str">
            <v/>
          </cell>
          <cell r="BI286" t="str">
            <v/>
          </cell>
          <cell r="BK286">
            <v>41926.9375</v>
          </cell>
          <cell r="CD286" t="str">
            <v/>
          </cell>
          <cell r="CF286">
            <v>41926.9375</v>
          </cell>
          <cell r="CY286" t="str">
            <v/>
          </cell>
        </row>
        <row r="287">
          <cell r="A287">
            <v>41957.375</v>
          </cell>
          <cell r="R287" t="str">
            <v/>
          </cell>
          <cell r="T287">
            <v>41957.375</v>
          </cell>
          <cell r="AN287" t="str">
            <v/>
          </cell>
          <cell r="AP287">
            <v>41957.375</v>
          </cell>
          <cell r="BF287" t="str">
            <v/>
          </cell>
          <cell r="BI287" t="str">
            <v/>
          </cell>
          <cell r="BK287">
            <v>41957.375</v>
          </cell>
          <cell r="CD287" t="str">
            <v/>
          </cell>
          <cell r="CF287">
            <v>41957.375</v>
          </cell>
          <cell r="CY287" t="str">
            <v/>
          </cell>
        </row>
        <row r="288">
          <cell r="A288">
            <v>41987.8125</v>
          </cell>
          <cell r="R288" t="str">
            <v/>
          </cell>
          <cell r="T288">
            <v>41987.8125</v>
          </cell>
          <cell r="AN288" t="str">
            <v/>
          </cell>
          <cell r="AP288">
            <v>41987.8125</v>
          </cell>
          <cell r="BF288" t="str">
            <v/>
          </cell>
          <cell r="BI288" t="str">
            <v/>
          </cell>
          <cell r="BK288">
            <v>41987.8125</v>
          </cell>
          <cell r="CD288" t="str">
            <v/>
          </cell>
          <cell r="CF288">
            <v>41987.8125</v>
          </cell>
          <cell r="CY288" t="str">
            <v/>
          </cell>
        </row>
        <row r="289">
          <cell r="A289">
            <v>42018.25</v>
          </cell>
          <cell r="R289" t="str">
            <v/>
          </cell>
          <cell r="T289">
            <v>42018.25</v>
          </cell>
          <cell r="AN289" t="str">
            <v/>
          </cell>
          <cell r="AP289">
            <v>42018.25</v>
          </cell>
          <cell r="BF289" t="str">
            <v/>
          </cell>
          <cell r="BI289" t="str">
            <v/>
          </cell>
          <cell r="BK289">
            <v>42018.25</v>
          </cell>
          <cell r="CD289" t="str">
            <v/>
          </cell>
          <cell r="CF289">
            <v>42018.25</v>
          </cell>
          <cell r="CY289" t="str">
            <v/>
          </cell>
        </row>
        <row r="290">
          <cell r="A290">
            <v>42048.6875</v>
          </cell>
          <cell r="R290" t="str">
            <v/>
          </cell>
          <cell r="T290">
            <v>42048.6875</v>
          </cell>
          <cell r="AN290" t="str">
            <v/>
          </cell>
          <cell r="AP290">
            <v>42048.6875</v>
          </cell>
          <cell r="BF290" t="str">
            <v/>
          </cell>
          <cell r="BI290" t="str">
            <v/>
          </cell>
          <cell r="BK290">
            <v>42048.6875</v>
          </cell>
          <cell r="CD290" t="str">
            <v/>
          </cell>
          <cell r="CF290">
            <v>42048.6875</v>
          </cell>
          <cell r="CY290" t="str">
            <v/>
          </cell>
        </row>
        <row r="291">
          <cell r="A291">
            <v>42079.125</v>
          </cell>
          <cell r="R291" t="str">
            <v/>
          </cell>
          <cell r="T291">
            <v>42079.125</v>
          </cell>
          <cell r="AN291" t="str">
            <v/>
          </cell>
          <cell r="AP291">
            <v>42079.125</v>
          </cell>
          <cell r="BF291" t="str">
            <v/>
          </cell>
          <cell r="BI291" t="str">
            <v/>
          </cell>
          <cell r="BK291">
            <v>42079.125</v>
          </cell>
          <cell r="CD291" t="str">
            <v/>
          </cell>
          <cell r="CF291">
            <v>42079.125</v>
          </cell>
          <cell r="CY291" t="str">
            <v/>
          </cell>
        </row>
        <row r="292">
          <cell r="A292">
            <v>42109.5625</v>
          </cell>
          <cell r="R292" t="str">
            <v/>
          </cell>
          <cell r="T292">
            <v>42109.5625</v>
          </cell>
          <cell r="AN292" t="str">
            <v/>
          </cell>
          <cell r="AP292">
            <v>42109.5625</v>
          </cell>
          <cell r="BF292" t="str">
            <v/>
          </cell>
          <cell r="BI292" t="str">
            <v/>
          </cell>
          <cell r="BK292">
            <v>42109.5625</v>
          </cell>
          <cell r="CD292" t="str">
            <v/>
          </cell>
          <cell r="CF292">
            <v>42109.5625</v>
          </cell>
          <cell r="CY292" t="str">
            <v/>
          </cell>
        </row>
        <row r="293">
          <cell r="A293">
            <v>42140</v>
          </cell>
          <cell r="R293" t="str">
            <v/>
          </cell>
          <cell r="T293">
            <v>42140</v>
          </cell>
          <cell r="AN293" t="str">
            <v/>
          </cell>
          <cell r="AP293">
            <v>42140</v>
          </cell>
          <cell r="BF293" t="str">
            <v/>
          </cell>
          <cell r="BI293" t="str">
            <v/>
          </cell>
          <cell r="BK293">
            <v>42140</v>
          </cell>
          <cell r="CD293" t="str">
            <v/>
          </cell>
          <cell r="CF293">
            <v>42140</v>
          </cell>
          <cell r="CY293" t="str">
            <v/>
          </cell>
        </row>
        <row r="294">
          <cell r="A294">
            <v>42170.4375</v>
          </cell>
          <cell r="R294" t="str">
            <v/>
          </cell>
          <cell r="T294">
            <v>42170.4375</v>
          </cell>
          <cell r="AN294" t="str">
            <v/>
          </cell>
          <cell r="AP294">
            <v>42170.4375</v>
          </cell>
          <cell r="BF294" t="str">
            <v/>
          </cell>
          <cell r="BI294" t="str">
            <v/>
          </cell>
          <cell r="BK294">
            <v>42170.4375</v>
          </cell>
          <cell r="CD294" t="str">
            <v/>
          </cell>
          <cell r="CF294">
            <v>42170.4375</v>
          </cell>
          <cell r="CY294" t="str">
            <v/>
          </cell>
        </row>
        <row r="295">
          <cell r="A295">
            <v>42200.875</v>
          </cell>
          <cell r="R295" t="str">
            <v/>
          </cell>
          <cell r="T295">
            <v>42200.875</v>
          </cell>
          <cell r="AN295" t="str">
            <v/>
          </cell>
          <cell r="AP295">
            <v>42200.875</v>
          </cell>
          <cell r="BF295" t="str">
            <v/>
          </cell>
          <cell r="BI295" t="str">
            <v/>
          </cell>
          <cell r="BK295">
            <v>42200.875</v>
          </cell>
          <cell r="CD295" t="str">
            <v/>
          </cell>
          <cell r="CF295">
            <v>42200.875</v>
          </cell>
          <cell r="CY295" t="str">
            <v/>
          </cell>
        </row>
        <row r="296">
          <cell r="A296">
            <v>42231.3125</v>
          </cell>
          <cell r="R296" t="str">
            <v/>
          </cell>
          <cell r="T296">
            <v>42231.3125</v>
          </cell>
          <cell r="AN296" t="str">
            <v/>
          </cell>
          <cell r="AP296">
            <v>42231.3125</v>
          </cell>
          <cell r="BF296" t="str">
            <v/>
          </cell>
          <cell r="BI296" t="str">
            <v/>
          </cell>
          <cell r="BK296">
            <v>42231.3125</v>
          </cell>
          <cell r="CD296" t="str">
            <v/>
          </cell>
          <cell r="CF296">
            <v>42231.3125</v>
          </cell>
          <cell r="CY296" t="str">
            <v/>
          </cell>
        </row>
        <row r="297">
          <cell r="A297">
            <v>42261.75</v>
          </cell>
          <cell r="R297" t="str">
            <v/>
          </cell>
          <cell r="T297">
            <v>42261.75</v>
          </cell>
          <cell r="AN297" t="str">
            <v/>
          </cell>
          <cell r="AP297">
            <v>42261.75</v>
          </cell>
          <cell r="BF297" t="str">
            <v/>
          </cell>
          <cell r="BI297" t="str">
            <v/>
          </cell>
          <cell r="BK297">
            <v>42261.75</v>
          </cell>
          <cell r="CD297" t="str">
            <v/>
          </cell>
          <cell r="CF297">
            <v>42261.75</v>
          </cell>
          <cell r="CY297" t="str">
            <v/>
          </cell>
        </row>
        <row r="298">
          <cell r="A298">
            <v>42292.1875</v>
          </cell>
          <cell r="R298" t="str">
            <v/>
          </cell>
          <cell r="T298">
            <v>42292.1875</v>
          </cell>
          <cell r="AN298" t="str">
            <v/>
          </cell>
          <cell r="AP298">
            <v>42292.1875</v>
          </cell>
          <cell r="BF298" t="str">
            <v/>
          </cell>
          <cell r="BI298" t="str">
            <v/>
          </cell>
          <cell r="BK298">
            <v>42292.1875</v>
          </cell>
          <cell r="CD298" t="str">
            <v/>
          </cell>
          <cell r="CF298">
            <v>42292.1875</v>
          </cell>
          <cell r="CY298" t="str">
            <v/>
          </cell>
        </row>
        <row r="299">
          <cell r="A299">
            <v>42322.625</v>
          </cell>
          <cell r="R299" t="str">
            <v/>
          </cell>
          <cell r="T299">
            <v>42322.625</v>
          </cell>
          <cell r="AN299" t="str">
            <v/>
          </cell>
          <cell r="AP299">
            <v>42322.625</v>
          </cell>
          <cell r="BF299" t="str">
            <v/>
          </cell>
          <cell r="BI299" t="str">
            <v/>
          </cell>
          <cell r="BK299">
            <v>42322.625</v>
          </cell>
          <cell r="CD299" t="str">
            <v/>
          </cell>
          <cell r="CF299">
            <v>42322.625</v>
          </cell>
          <cell r="CY299" t="str">
            <v/>
          </cell>
        </row>
        <row r="300">
          <cell r="A300">
            <v>42353.0625</v>
          </cell>
          <cell r="R300" t="str">
            <v/>
          </cell>
          <cell r="T300">
            <v>42353.0625</v>
          </cell>
          <cell r="AN300" t="str">
            <v/>
          </cell>
          <cell r="AP300">
            <v>42353.0625</v>
          </cell>
          <cell r="BF300" t="str">
            <v/>
          </cell>
          <cell r="BI300" t="str">
            <v/>
          </cell>
          <cell r="BK300">
            <v>42353.0625</v>
          </cell>
          <cell r="CD300" t="str">
            <v/>
          </cell>
          <cell r="CF300">
            <v>42353.0625</v>
          </cell>
          <cell r="CY300" t="str">
            <v/>
          </cell>
        </row>
        <row r="301">
          <cell r="A301">
            <v>42383.5</v>
          </cell>
          <cell r="R301" t="str">
            <v/>
          </cell>
          <cell r="T301">
            <v>42383.5</v>
          </cell>
          <cell r="AN301" t="str">
            <v/>
          </cell>
          <cell r="AP301">
            <v>42383.5</v>
          </cell>
          <cell r="BF301" t="str">
            <v/>
          </cell>
          <cell r="BI301" t="str">
            <v/>
          </cell>
          <cell r="BK301">
            <v>42383.5</v>
          </cell>
          <cell r="CD301" t="str">
            <v/>
          </cell>
          <cell r="CF301">
            <v>42383.5</v>
          </cell>
          <cell r="CY301" t="str">
            <v/>
          </cell>
        </row>
        <row r="302">
          <cell r="A302">
            <v>42413.9375</v>
          </cell>
          <cell r="R302" t="str">
            <v/>
          </cell>
          <cell r="T302">
            <v>42413.9375</v>
          </cell>
          <cell r="AN302" t="str">
            <v/>
          </cell>
          <cell r="AP302">
            <v>42413.9375</v>
          </cell>
          <cell r="BF302" t="str">
            <v/>
          </cell>
          <cell r="BI302" t="str">
            <v/>
          </cell>
          <cell r="BK302">
            <v>42413.9375</v>
          </cell>
          <cell r="CD302" t="str">
            <v/>
          </cell>
          <cell r="CF302">
            <v>42413.9375</v>
          </cell>
          <cell r="CY302" t="str">
            <v/>
          </cell>
        </row>
        <row r="303">
          <cell r="A303">
            <v>42444.375</v>
          </cell>
          <cell r="R303" t="str">
            <v/>
          </cell>
          <cell r="T303">
            <v>42444.375</v>
          </cell>
          <cell r="AN303" t="str">
            <v/>
          </cell>
          <cell r="AP303">
            <v>42444.375</v>
          </cell>
          <cell r="BF303" t="str">
            <v/>
          </cell>
          <cell r="BI303" t="str">
            <v/>
          </cell>
          <cell r="BK303">
            <v>42444.375</v>
          </cell>
          <cell r="CD303" t="str">
            <v/>
          </cell>
          <cell r="CF303">
            <v>42444.375</v>
          </cell>
          <cell r="CY303" t="str">
            <v/>
          </cell>
        </row>
        <row r="304">
          <cell r="A304">
            <v>42474.8125</v>
          </cell>
          <cell r="R304" t="str">
            <v/>
          </cell>
          <cell r="T304">
            <v>42474.8125</v>
          </cell>
          <cell r="AN304" t="str">
            <v/>
          </cell>
          <cell r="AP304">
            <v>42474.8125</v>
          </cell>
          <cell r="BF304" t="str">
            <v/>
          </cell>
          <cell r="BI304" t="str">
            <v/>
          </cell>
          <cell r="BK304">
            <v>42474.8125</v>
          </cell>
          <cell r="CD304" t="str">
            <v/>
          </cell>
          <cell r="CF304">
            <v>42474.8125</v>
          </cell>
          <cell r="CY304" t="str">
            <v/>
          </cell>
        </row>
        <row r="305">
          <cell r="A305">
            <v>42505.25</v>
          </cell>
          <cell r="R305" t="str">
            <v/>
          </cell>
          <cell r="T305">
            <v>42505.25</v>
          </cell>
          <cell r="AN305" t="str">
            <v/>
          </cell>
          <cell r="AP305">
            <v>42505.25</v>
          </cell>
          <cell r="BF305" t="str">
            <v/>
          </cell>
          <cell r="BI305" t="str">
            <v/>
          </cell>
          <cell r="BK305">
            <v>42505.25</v>
          </cell>
          <cell r="CD305" t="str">
            <v/>
          </cell>
          <cell r="CF305">
            <v>42505.25</v>
          </cell>
          <cell r="CY305" t="str">
            <v/>
          </cell>
        </row>
        <row r="306">
          <cell r="A306">
            <v>42535.6875</v>
          </cell>
          <cell r="R306" t="str">
            <v/>
          </cell>
          <cell r="T306">
            <v>42535.6875</v>
          </cell>
          <cell r="AN306" t="str">
            <v/>
          </cell>
          <cell r="AP306">
            <v>42535.6875</v>
          </cell>
          <cell r="BF306" t="str">
            <v/>
          </cell>
          <cell r="BI306" t="str">
            <v/>
          </cell>
          <cell r="BK306">
            <v>42535.6875</v>
          </cell>
          <cell r="CD306" t="str">
            <v/>
          </cell>
          <cell r="CF306">
            <v>42535.6875</v>
          </cell>
          <cell r="CY306" t="str">
            <v/>
          </cell>
        </row>
        <row r="307">
          <cell r="A307">
            <v>42566.125</v>
          </cell>
          <cell r="R307" t="str">
            <v/>
          </cell>
          <cell r="T307">
            <v>42566.125</v>
          </cell>
          <cell r="AN307" t="str">
            <v/>
          </cell>
          <cell r="AP307">
            <v>42566.125</v>
          </cell>
          <cell r="BF307" t="str">
            <v/>
          </cell>
          <cell r="BI307" t="str">
            <v/>
          </cell>
          <cell r="BK307">
            <v>42566.125</v>
          </cell>
          <cell r="CD307" t="str">
            <v/>
          </cell>
          <cell r="CF307">
            <v>42566.125</v>
          </cell>
          <cell r="CY307" t="str">
            <v/>
          </cell>
        </row>
        <row r="308">
          <cell r="A308">
            <v>42596.5625</v>
          </cell>
          <cell r="R308" t="str">
            <v/>
          </cell>
          <cell r="T308">
            <v>42596.5625</v>
          </cell>
          <cell r="AN308" t="str">
            <v/>
          </cell>
          <cell r="AP308">
            <v>42596.5625</v>
          </cell>
          <cell r="BF308" t="str">
            <v/>
          </cell>
          <cell r="BI308" t="str">
            <v/>
          </cell>
          <cell r="BK308">
            <v>42596.5625</v>
          </cell>
          <cell r="CD308" t="str">
            <v/>
          </cell>
          <cell r="CF308">
            <v>42596.5625</v>
          </cell>
          <cell r="CY308" t="str">
            <v/>
          </cell>
        </row>
        <row r="309">
          <cell r="A309">
            <v>42627</v>
          </cell>
          <cell r="R309" t="str">
            <v/>
          </cell>
          <cell r="T309">
            <v>42627</v>
          </cell>
          <cell r="AN309" t="str">
            <v/>
          </cell>
          <cell r="AP309">
            <v>42627</v>
          </cell>
          <cell r="BF309" t="str">
            <v/>
          </cell>
          <cell r="BI309" t="str">
            <v/>
          </cell>
          <cell r="BK309">
            <v>42627</v>
          </cell>
          <cell r="CD309" t="str">
            <v/>
          </cell>
          <cell r="CF309">
            <v>42627</v>
          </cell>
          <cell r="CY309" t="str">
            <v/>
          </cell>
        </row>
        <row r="310">
          <cell r="A310">
            <v>42657.4375</v>
          </cell>
          <cell r="R310" t="str">
            <v/>
          </cell>
          <cell r="T310">
            <v>42657.4375</v>
          </cell>
          <cell r="AN310" t="str">
            <v/>
          </cell>
          <cell r="AP310">
            <v>42657.4375</v>
          </cell>
          <cell r="BF310" t="str">
            <v/>
          </cell>
          <cell r="BI310" t="str">
            <v/>
          </cell>
          <cell r="BK310">
            <v>42657.4375</v>
          </cell>
          <cell r="CD310" t="str">
            <v/>
          </cell>
          <cell r="CF310">
            <v>42657.4375</v>
          </cell>
          <cell r="CY310" t="str">
            <v/>
          </cell>
        </row>
        <row r="311">
          <cell r="A311">
            <v>42687.875</v>
          </cell>
          <cell r="R311" t="str">
            <v/>
          </cell>
          <cell r="T311">
            <v>42687.875</v>
          </cell>
          <cell r="AN311" t="str">
            <v/>
          </cell>
          <cell r="AP311">
            <v>42687.875</v>
          </cell>
          <cell r="BF311" t="str">
            <v/>
          </cell>
          <cell r="BI311" t="str">
            <v/>
          </cell>
          <cell r="BK311">
            <v>42687.875</v>
          </cell>
          <cell r="CD311" t="str">
            <v/>
          </cell>
          <cell r="CF311">
            <v>42687.875</v>
          </cell>
          <cell r="CY311" t="str">
            <v/>
          </cell>
        </row>
        <row r="312">
          <cell r="A312">
            <v>42718.3125</v>
          </cell>
          <cell r="R312" t="str">
            <v/>
          </cell>
          <cell r="T312">
            <v>42718.3125</v>
          </cell>
          <cell r="AN312" t="str">
            <v/>
          </cell>
          <cell r="AP312">
            <v>42718.3125</v>
          </cell>
          <cell r="BF312" t="str">
            <v/>
          </cell>
          <cell r="BI312" t="str">
            <v/>
          </cell>
          <cell r="BK312">
            <v>42718.3125</v>
          </cell>
          <cell r="CD312" t="str">
            <v/>
          </cell>
          <cell r="CF312">
            <v>42718.3125</v>
          </cell>
          <cell r="CY312" t="str">
            <v/>
          </cell>
        </row>
        <row r="313">
          <cell r="A313">
            <v>42748.75</v>
          </cell>
          <cell r="R313" t="str">
            <v/>
          </cell>
          <cell r="T313">
            <v>42748.75</v>
          </cell>
          <cell r="AN313" t="str">
            <v/>
          </cell>
          <cell r="AP313">
            <v>42748.75</v>
          </cell>
          <cell r="BF313" t="str">
            <v/>
          </cell>
          <cell r="BI313" t="str">
            <v/>
          </cell>
          <cell r="BK313">
            <v>42748.75</v>
          </cell>
          <cell r="CD313" t="str">
            <v/>
          </cell>
          <cell r="CF313">
            <v>42748.75</v>
          </cell>
          <cell r="CY313" t="str">
            <v/>
          </cell>
        </row>
        <row r="314">
          <cell r="A314">
            <v>42779.1875</v>
          </cell>
          <cell r="R314" t="str">
            <v/>
          </cell>
          <cell r="T314">
            <v>42779.1875</v>
          </cell>
          <cell r="AN314" t="str">
            <v/>
          </cell>
          <cell r="AP314">
            <v>42779.1875</v>
          </cell>
          <cell r="BF314" t="str">
            <v/>
          </cell>
          <cell r="BI314" t="str">
            <v/>
          </cell>
          <cell r="BK314">
            <v>42779.1875</v>
          </cell>
          <cell r="CD314" t="str">
            <v/>
          </cell>
          <cell r="CF314">
            <v>42779.1875</v>
          </cell>
          <cell r="CY314" t="str">
            <v/>
          </cell>
        </row>
        <row r="315">
          <cell r="A315">
            <v>42809.625</v>
          </cell>
          <cell r="R315" t="str">
            <v/>
          </cell>
          <cell r="T315">
            <v>42809.625</v>
          </cell>
          <cell r="AN315" t="str">
            <v/>
          </cell>
          <cell r="AP315">
            <v>42809.625</v>
          </cell>
          <cell r="BF315" t="str">
            <v/>
          </cell>
          <cell r="BI315" t="str">
            <v/>
          </cell>
          <cell r="BK315">
            <v>42809.625</v>
          </cell>
          <cell r="CD315" t="str">
            <v/>
          </cell>
          <cell r="CF315">
            <v>42809.625</v>
          </cell>
          <cell r="CY315" t="str">
            <v/>
          </cell>
        </row>
        <row r="316">
          <cell r="A316">
            <v>42840.0625</v>
          </cell>
          <cell r="R316" t="str">
            <v/>
          </cell>
          <cell r="T316">
            <v>42840.0625</v>
          </cell>
          <cell r="AN316" t="str">
            <v/>
          </cell>
          <cell r="AP316">
            <v>42840.0625</v>
          </cell>
          <cell r="BF316" t="str">
            <v/>
          </cell>
          <cell r="BI316" t="str">
            <v/>
          </cell>
          <cell r="BK316">
            <v>42840.0625</v>
          </cell>
          <cell r="CD316" t="str">
            <v/>
          </cell>
          <cell r="CF316">
            <v>42840.0625</v>
          </cell>
          <cell r="CY316" t="str">
            <v/>
          </cell>
        </row>
        <row r="317">
          <cell r="A317">
            <v>42870.5</v>
          </cell>
          <cell r="R317" t="str">
            <v/>
          </cell>
          <cell r="T317">
            <v>42870.5</v>
          </cell>
          <cell r="AN317" t="str">
            <v/>
          </cell>
          <cell r="AP317">
            <v>42870.5</v>
          </cell>
          <cell r="BF317" t="str">
            <v/>
          </cell>
          <cell r="BI317" t="str">
            <v/>
          </cell>
          <cell r="BK317">
            <v>42870.5</v>
          </cell>
          <cell r="CD317" t="str">
            <v/>
          </cell>
          <cell r="CF317">
            <v>42870.5</v>
          </cell>
          <cell r="CY317" t="str">
            <v/>
          </cell>
        </row>
        <row r="318">
          <cell r="A318">
            <v>42900.9375</v>
          </cell>
          <cell r="R318" t="str">
            <v/>
          </cell>
          <cell r="T318">
            <v>42900.9375</v>
          </cell>
          <cell r="AN318" t="str">
            <v/>
          </cell>
          <cell r="AP318">
            <v>42900.9375</v>
          </cell>
          <cell r="BF318" t="str">
            <v/>
          </cell>
          <cell r="BI318" t="str">
            <v/>
          </cell>
          <cell r="BK318">
            <v>42900.9375</v>
          </cell>
          <cell r="CD318" t="str">
            <v/>
          </cell>
          <cell r="CF318">
            <v>42900.9375</v>
          </cell>
          <cell r="CY318" t="str">
            <v/>
          </cell>
        </row>
        <row r="319">
          <cell r="A319">
            <v>42931.375</v>
          </cell>
          <cell r="R319" t="str">
            <v/>
          </cell>
          <cell r="T319">
            <v>42931.375</v>
          </cell>
          <cell r="AN319" t="str">
            <v/>
          </cell>
          <cell r="AP319">
            <v>42931.375</v>
          </cell>
          <cell r="BF319" t="str">
            <v/>
          </cell>
          <cell r="BI319" t="str">
            <v/>
          </cell>
          <cell r="BK319">
            <v>42931.375</v>
          </cell>
          <cell r="CD319" t="str">
            <v/>
          </cell>
          <cell r="CF319">
            <v>42931.375</v>
          </cell>
          <cell r="CY319" t="str">
            <v/>
          </cell>
        </row>
        <row r="320">
          <cell r="A320">
            <v>42961.8125</v>
          </cell>
          <cell r="R320" t="str">
            <v/>
          </cell>
          <cell r="T320">
            <v>42961.8125</v>
          </cell>
          <cell r="AN320" t="str">
            <v/>
          </cell>
          <cell r="AP320">
            <v>42961.8125</v>
          </cell>
          <cell r="BF320" t="str">
            <v/>
          </cell>
          <cell r="BI320" t="str">
            <v/>
          </cell>
          <cell r="BK320">
            <v>42961.8125</v>
          </cell>
          <cell r="CD320" t="str">
            <v/>
          </cell>
          <cell r="CF320">
            <v>42961.8125</v>
          </cell>
          <cell r="CY320" t="str">
            <v/>
          </cell>
        </row>
        <row r="321">
          <cell r="A321">
            <v>42992.25</v>
          </cell>
          <cell r="R321" t="str">
            <v/>
          </cell>
          <cell r="T321">
            <v>42992.25</v>
          </cell>
          <cell r="AN321" t="str">
            <v/>
          </cell>
          <cell r="AP321">
            <v>42992.25</v>
          </cell>
          <cell r="BF321" t="str">
            <v/>
          </cell>
          <cell r="BI321" t="str">
            <v/>
          </cell>
          <cell r="BK321">
            <v>42992.25</v>
          </cell>
          <cell r="CD321" t="str">
            <v/>
          </cell>
          <cell r="CF321">
            <v>42992.25</v>
          </cell>
          <cell r="CY321" t="str">
            <v/>
          </cell>
        </row>
        <row r="322">
          <cell r="A322">
            <v>43022.6875</v>
          </cell>
          <cell r="R322" t="str">
            <v/>
          </cell>
          <cell r="T322">
            <v>43022.6875</v>
          </cell>
          <cell r="AN322" t="str">
            <v/>
          </cell>
          <cell r="AP322">
            <v>43022.6875</v>
          </cell>
          <cell r="BF322" t="str">
            <v/>
          </cell>
          <cell r="BI322" t="str">
            <v/>
          </cell>
          <cell r="BK322">
            <v>43022.6875</v>
          </cell>
          <cell r="CD322" t="str">
            <v/>
          </cell>
          <cell r="CF322">
            <v>43022.6875</v>
          </cell>
          <cell r="CY322" t="str">
            <v/>
          </cell>
        </row>
        <row r="323">
          <cell r="A323">
            <v>43053.125</v>
          </cell>
          <cell r="R323" t="str">
            <v/>
          </cell>
          <cell r="T323">
            <v>43053.125</v>
          </cell>
          <cell r="AN323" t="str">
            <v/>
          </cell>
          <cell r="AP323">
            <v>43053.125</v>
          </cell>
          <cell r="BF323" t="str">
            <v/>
          </cell>
          <cell r="BI323" t="str">
            <v/>
          </cell>
          <cell r="BK323">
            <v>43053.125</v>
          </cell>
          <cell r="CD323" t="str">
            <v/>
          </cell>
          <cell r="CF323">
            <v>43053.125</v>
          </cell>
          <cell r="CY323" t="str">
            <v/>
          </cell>
        </row>
        <row r="324">
          <cell r="A324">
            <v>43083.5625</v>
          </cell>
          <cell r="R324" t="str">
            <v/>
          </cell>
          <cell r="T324">
            <v>43083.5625</v>
          </cell>
          <cell r="AN324" t="str">
            <v/>
          </cell>
          <cell r="AP324">
            <v>43083.5625</v>
          </cell>
          <cell r="BF324" t="str">
            <v/>
          </cell>
          <cell r="BI324" t="str">
            <v/>
          </cell>
          <cell r="BK324">
            <v>43083.5625</v>
          </cell>
          <cell r="CD324" t="str">
            <v/>
          </cell>
          <cell r="CF324">
            <v>43083.5625</v>
          </cell>
          <cell r="CY324" t="str">
            <v/>
          </cell>
        </row>
      </sheetData>
      <sheetData sheetId="9">
        <row r="38">
          <cell r="A38">
            <v>33677.5</v>
          </cell>
          <cell r="V38" t="str">
            <v/>
          </cell>
          <cell r="X38">
            <v>33677.5</v>
          </cell>
          <cell r="Y38">
            <v>65900</v>
          </cell>
          <cell r="Z38">
            <v>84300</v>
          </cell>
          <cell r="AA38">
            <v>6400</v>
          </cell>
          <cell r="AB38">
            <v>8233</v>
          </cell>
          <cell r="AC38">
            <v>5633</v>
          </cell>
          <cell r="AD38">
            <v>4333</v>
          </cell>
          <cell r="AS38" t="str">
            <v/>
          </cell>
          <cell r="AU38">
            <v>33677.5</v>
          </cell>
          <cell r="AV38">
            <v>69</v>
          </cell>
          <cell r="AW38">
            <v>68</v>
          </cell>
          <cell r="AX38">
            <v>67</v>
          </cell>
          <cell r="AY38">
            <v>70</v>
          </cell>
          <cell r="AZ38">
            <v>67</v>
          </cell>
          <cell r="BA38">
            <v>67</v>
          </cell>
          <cell r="BL38" t="str">
            <v/>
          </cell>
        </row>
        <row r="39">
          <cell r="A39">
            <v>33768.8125</v>
          </cell>
          <cell r="V39" t="str">
            <v/>
          </cell>
          <cell r="X39">
            <v>33768.8125</v>
          </cell>
          <cell r="Y39">
            <v>65900</v>
          </cell>
          <cell r="Z39">
            <v>95957</v>
          </cell>
          <cell r="AA39">
            <v>7600</v>
          </cell>
          <cell r="AB39">
            <v>9467</v>
          </cell>
          <cell r="AC39">
            <v>5833</v>
          </cell>
          <cell r="AD39">
            <v>4800</v>
          </cell>
          <cell r="AS39" t="str">
            <v/>
          </cell>
          <cell r="AU39">
            <v>33768.8125</v>
          </cell>
          <cell r="AV39">
            <v>65</v>
          </cell>
          <cell r="AW39">
            <v>75</v>
          </cell>
          <cell r="AX39">
            <v>66</v>
          </cell>
          <cell r="AY39">
            <v>75</v>
          </cell>
          <cell r="AZ39">
            <v>61</v>
          </cell>
          <cell r="BA39">
            <v>69</v>
          </cell>
          <cell r="BL39" t="str">
            <v/>
          </cell>
        </row>
        <row r="40">
          <cell r="A40">
            <v>33860.125</v>
          </cell>
          <cell r="V40" t="str">
            <v/>
          </cell>
          <cell r="X40">
            <v>33860.125</v>
          </cell>
          <cell r="Y40">
            <v>69533</v>
          </cell>
          <cell r="Z40">
            <v>86600</v>
          </cell>
          <cell r="AA40">
            <v>6900</v>
          </cell>
          <cell r="AB40">
            <v>9500</v>
          </cell>
          <cell r="AC40">
            <v>5367</v>
          </cell>
          <cell r="AD40">
            <v>5200</v>
          </cell>
          <cell r="AS40" t="str">
            <v/>
          </cell>
          <cell r="AU40">
            <v>33860.125</v>
          </cell>
          <cell r="AV40">
            <v>67</v>
          </cell>
          <cell r="AW40">
            <v>76</v>
          </cell>
          <cell r="AX40">
            <v>77</v>
          </cell>
          <cell r="AY40">
            <v>80</v>
          </cell>
          <cell r="AZ40">
            <v>64</v>
          </cell>
          <cell r="BA40">
            <v>75</v>
          </cell>
          <cell r="BL40" t="str">
            <v/>
          </cell>
        </row>
        <row r="41">
          <cell r="A41">
            <v>33951.4375</v>
          </cell>
          <cell r="V41" t="str">
            <v/>
          </cell>
          <cell r="X41">
            <v>33951.4375</v>
          </cell>
          <cell r="Y41">
            <v>65600</v>
          </cell>
          <cell r="Z41">
            <v>70167</v>
          </cell>
          <cell r="AA41">
            <v>6467</v>
          </cell>
          <cell r="AB41">
            <v>9167</v>
          </cell>
          <cell r="AC41">
            <v>5600</v>
          </cell>
          <cell r="AD41">
            <v>4767</v>
          </cell>
          <cell r="AS41" t="str">
            <v/>
          </cell>
          <cell r="AU41">
            <v>33951.4375</v>
          </cell>
          <cell r="AV41">
            <v>49</v>
          </cell>
          <cell r="AW41">
            <v>61</v>
          </cell>
          <cell r="AX41">
            <v>57</v>
          </cell>
          <cell r="AY41">
            <v>66</v>
          </cell>
          <cell r="AZ41">
            <v>54</v>
          </cell>
          <cell r="BA41">
            <v>60</v>
          </cell>
          <cell r="BL41" t="str">
            <v/>
          </cell>
        </row>
        <row r="42">
          <cell r="A42">
            <v>34042.75</v>
          </cell>
          <cell r="V42" t="str">
            <v/>
          </cell>
          <cell r="X42">
            <v>34042.75</v>
          </cell>
          <cell r="Y42">
            <v>33933</v>
          </cell>
          <cell r="Z42">
            <v>44283</v>
          </cell>
          <cell r="AA42">
            <v>3350</v>
          </cell>
          <cell r="AB42">
            <v>4350</v>
          </cell>
          <cell r="AC42">
            <v>2467</v>
          </cell>
          <cell r="AD42">
            <v>2900</v>
          </cell>
          <cell r="AS42" t="str">
            <v/>
          </cell>
          <cell r="AU42">
            <v>34042.75</v>
          </cell>
          <cell r="AV42">
            <v>53</v>
          </cell>
          <cell r="AW42">
            <v>65</v>
          </cell>
          <cell r="AX42">
            <v>55</v>
          </cell>
          <cell r="AY42">
            <v>62</v>
          </cell>
          <cell r="AZ42">
            <v>52</v>
          </cell>
          <cell r="BA42">
            <v>57</v>
          </cell>
          <cell r="BL42" t="str">
            <v/>
          </cell>
        </row>
        <row r="43">
          <cell r="A43">
            <v>34134.0625</v>
          </cell>
          <cell r="V43" t="str">
            <v/>
          </cell>
          <cell r="X43">
            <v>34134.0625</v>
          </cell>
          <cell r="Y43">
            <v>21517</v>
          </cell>
          <cell r="Z43">
            <v>46233</v>
          </cell>
          <cell r="AA43">
            <v>3967</v>
          </cell>
          <cell r="AB43">
            <v>5217</v>
          </cell>
          <cell r="AC43">
            <v>2567</v>
          </cell>
          <cell r="AD43">
            <v>3150</v>
          </cell>
          <cell r="AS43" t="str">
            <v/>
          </cell>
          <cell r="AU43">
            <v>34134.0625</v>
          </cell>
          <cell r="AV43">
            <v>54</v>
          </cell>
          <cell r="AW43">
            <v>61</v>
          </cell>
          <cell r="AX43">
            <v>58</v>
          </cell>
          <cell r="AY43">
            <v>64</v>
          </cell>
          <cell r="AZ43">
            <v>51</v>
          </cell>
          <cell r="BA43">
            <v>58</v>
          </cell>
          <cell r="BL43" t="str">
            <v/>
          </cell>
        </row>
        <row r="44">
          <cell r="A44">
            <v>34225.375</v>
          </cell>
          <cell r="V44" t="str">
            <v/>
          </cell>
          <cell r="X44">
            <v>34225.375</v>
          </cell>
          <cell r="Y44">
            <v>30083</v>
          </cell>
          <cell r="Z44">
            <v>41267</v>
          </cell>
          <cell r="AA44">
            <v>3533</v>
          </cell>
          <cell r="AB44">
            <v>4983</v>
          </cell>
          <cell r="AC44">
            <v>2550</v>
          </cell>
          <cell r="AD44">
            <v>3200</v>
          </cell>
          <cell r="AS44" t="str">
            <v/>
          </cell>
          <cell r="AU44">
            <v>34225.375</v>
          </cell>
          <cell r="AV44">
            <v>56</v>
          </cell>
          <cell r="AW44">
            <v>63</v>
          </cell>
          <cell r="AX44">
            <v>62</v>
          </cell>
          <cell r="AY44">
            <v>70</v>
          </cell>
          <cell r="AZ44">
            <v>56</v>
          </cell>
          <cell r="BA44">
            <v>64</v>
          </cell>
          <cell r="BL44" t="str">
            <v/>
          </cell>
        </row>
        <row r="45">
          <cell r="A45">
            <v>34316.6875</v>
          </cell>
          <cell r="V45" t="str">
            <v/>
          </cell>
          <cell r="X45">
            <v>34316.6875</v>
          </cell>
          <cell r="Y45">
            <v>33733</v>
          </cell>
          <cell r="Z45">
            <v>37483</v>
          </cell>
          <cell r="AB45">
            <v>4783</v>
          </cell>
          <cell r="AC45">
            <v>2883</v>
          </cell>
          <cell r="AD45">
            <v>3867</v>
          </cell>
          <cell r="AS45" t="str">
            <v/>
          </cell>
          <cell r="AU45">
            <v>34316.6875</v>
          </cell>
          <cell r="AV45">
            <v>45</v>
          </cell>
          <cell r="AW45">
            <v>53</v>
          </cell>
          <cell r="AX45">
            <v>50</v>
          </cell>
          <cell r="AY45">
            <v>58</v>
          </cell>
          <cell r="AZ45">
            <v>43</v>
          </cell>
          <cell r="BA45">
            <v>52</v>
          </cell>
          <cell r="BL45" t="str">
            <v/>
          </cell>
        </row>
        <row r="46">
          <cell r="A46">
            <v>34408</v>
          </cell>
          <cell r="B46">
            <v>14.72</v>
          </cell>
          <cell r="C46">
            <v>-44.33</v>
          </cell>
          <cell r="D46">
            <v>-29.61</v>
          </cell>
          <cell r="E46">
            <v>6.03</v>
          </cell>
          <cell r="F46">
            <v>-56.32</v>
          </cell>
          <cell r="G46">
            <v>-50.29</v>
          </cell>
          <cell r="H46">
            <v>7.06</v>
          </cell>
          <cell r="I46">
            <v>-30.9</v>
          </cell>
          <cell r="J46">
            <v>-23.84</v>
          </cell>
          <cell r="K46">
            <v>32.590000000000003</v>
          </cell>
          <cell r="L46">
            <v>-58.83</v>
          </cell>
          <cell r="M46">
            <v>-26.24</v>
          </cell>
          <cell r="N46">
            <v>33.46</v>
          </cell>
          <cell r="O46">
            <v>-42.21</v>
          </cell>
          <cell r="P46">
            <v>-8.75</v>
          </cell>
          <cell r="V46">
            <v>9</v>
          </cell>
          <cell r="X46">
            <v>34408</v>
          </cell>
          <cell r="Y46">
            <v>79600</v>
          </cell>
          <cell r="Z46">
            <v>79600</v>
          </cell>
          <cell r="AA46">
            <v>8800</v>
          </cell>
          <cell r="AB46">
            <v>13633</v>
          </cell>
          <cell r="AC46">
            <v>7500</v>
          </cell>
          <cell r="AD46">
            <v>6433</v>
          </cell>
          <cell r="AI46">
            <v>99</v>
          </cell>
          <cell r="AJ46">
            <v>99</v>
          </cell>
          <cell r="AK46">
            <v>99</v>
          </cell>
          <cell r="AL46">
            <v>99</v>
          </cell>
          <cell r="AM46">
            <v>99</v>
          </cell>
          <cell r="AN46">
            <v>99</v>
          </cell>
          <cell r="AO46">
            <v>99</v>
          </cell>
          <cell r="AP46">
            <v>99</v>
          </cell>
          <cell r="AS46">
            <v>9</v>
          </cell>
          <cell r="AU46">
            <v>34408</v>
          </cell>
          <cell r="AV46">
            <v>44</v>
          </cell>
          <cell r="AW46">
            <v>52</v>
          </cell>
          <cell r="AX46">
            <v>50</v>
          </cell>
          <cell r="AY46">
            <v>56</v>
          </cell>
          <cell r="AZ46">
            <v>44</v>
          </cell>
          <cell r="BA46">
            <v>49</v>
          </cell>
          <cell r="BI46">
            <v>99</v>
          </cell>
          <cell r="BL46">
            <v>9</v>
          </cell>
        </row>
        <row r="47">
          <cell r="A47">
            <v>34499.3125</v>
          </cell>
          <cell r="B47">
            <v>4.42</v>
          </cell>
          <cell r="C47">
            <v>-21.36</v>
          </cell>
          <cell r="D47">
            <v>-16.940000000000001</v>
          </cell>
          <cell r="E47">
            <v>25.18</v>
          </cell>
          <cell r="F47">
            <v>-20.56</v>
          </cell>
          <cell r="G47">
            <v>4.62</v>
          </cell>
          <cell r="H47">
            <v>13.23</v>
          </cell>
          <cell r="I47">
            <v>-32.67</v>
          </cell>
          <cell r="J47">
            <v>-19.440000000000001</v>
          </cell>
          <cell r="K47">
            <v>29.28</v>
          </cell>
          <cell r="L47">
            <v>-56</v>
          </cell>
          <cell r="M47">
            <v>-26.72</v>
          </cell>
          <cell r="N47">
            <v>34.51</v>
          </cell>
          <cell r="O47">
            <v>-33.28</v>
          </cell>
          <cell r="P47">
            <v>1.23</v>
          </cell>
          <cell r="V47">
            <v>10</v>
          </cell>
          <cell r="X47">
            <v>34499.3125</v>
          </cell>
          <cell r="Y47">
            <v>106600</v>
          </cell>
          <cell r="Z47">
            <v>106600</v>
          </cell>
          <cell r="AA47">
            <v>12900</v>
          </cell>
          <cell r="AB47">
            <v>19033</v>
          </cell>
          <cell r="AC47">
            <v>3267</v>
          </cell>
          <cell r="AD47">
            <v>7967</v>
          </cell>
          <cell r="AI47">
            <v>99</v>
          </cell>
          <cell r="AJ47">
            <v>99</v>
          </cell>
          <cell r="AK47">
            <v>99</v>
          </cell>
          <cell r="AL47">
            <v>99</v>
          </cell>
          <cell r="AM47">
            <v>99</v>
          </cell>
          <cell r="AN47">
            <v>99</v>
          </cell>
          <cell r="AO47">
            <v>99</v>
          </cell>
          <cell r="AP47">
            <v>99</v>
          </cell>
          <cell r="AS47">
            <v>10</v>
          </cell>
          <cell r="AU47">
            <v>34499.3125</v>
          </cell>
          <cell r="AV47">
            <v>49</v>
          </cell>
          <cell r="AW47">
            <v>58</v>
          </cell>
          <cell r="AX47">
            <v>57</v>
          </cell>
          <cell r="AY47">
            <v>65</v>
          </cell>
          <cell r="AZ47">
            <v>49</v>
          </cell>
          <cell r="BA47">
            <v>57</v>
          </cell>
          <cell r="BI47">
            <v>99</v>
          </cell>
          <cell r="BL47">
            <v>10</v>
          </cell>
        </row>
        <row r="48">
          <cell r="A48">
            <v>34590.625</v>
          </cell>
          <cell r="B48">
            <v>12.4</v>
          </cell>
          <cell r="C48">
            <v>-16.600000000000001</v>
          </cell>
          <cell r="D48">
            <v>-4.2</v>
          </cell>
          <cell r="E48">
            <v>21.07</v>
          </cell>
          <cell r="F48">
            <v>-25.8</v>
          </cell>
          <cell r="G48">
            <v>-4.7300000000000004</v>
          </cell>
          <cell r="H48">
            <v>4.5199999999999996</v>
          </cell>
          <cell r="I48">
            <v>-18.510000000000002</v>
          </cell>
          <cell r="J48">
            <v>-13.99</v>
          </cell>
          <cell r="K48">
            <v>3.39</v>
          </cell>
          <cell r="L48">
            <v>-43.03</v>
          </cell>
          <cell r="M48">
            <v>-39.64</v>
          </cell>
          <cell r="N48">
            <v>11.45</v>
          </cell>
          <cell r="O48">
            <v>-25.87</v>
          </cell>
          <cell r="P48">
            <v>-14.42</v>
          </cell>
          <cell r="V48">
            <v>11</v>
          </cell>
          <cell r="X48">
            <v>34590.625</v>
          </cell>
          <cell r="Y48">
            <v>112567</v>
          </cell>
          <cell r="Z48">
            <v>112567</v>
          </cell>
          <cell r="AA48">
            <v>14100</v>
          </cell>
          <cell r="AB48">
            <v>17667</v>
          </cell>
          <cell r="AC48">
            <v>5800</v>
          </cell>
          <cell r="AD48">
            <v>9267</v>
          </cell>
          <cell r="AI48">
            <v>99</v>
          </cell>
          <cell r="AJ48">
            <v>99</v>
          </cell>
          <cell r="AK48">
            <v>99</v>
          </cell>
          <cell r="AL48">
            <v>99</v>
          </cell>
          <cell r="AM48">
            <v>99</v>
          </cell>
          <cell r="AN48">
            <v>99</v>
          </cell>
          <cell r="AO48">
            <v>99</v>
          </cell>
          <cell r="AP48">
            <v>99</v>
          </cell>
          <cell r="AS48">
            <v>11</v>
          </cell>
          <cell r="AU48">
            <v>34590.625</v>
          </cell>
          <cell r="AV48">
            <v>51</v>
          </cell>
          <cell r="AW48">
            <v>61</v>
          </cell>
          <cell r="AX48">
            <v>59</v>
          </cell>
          <cell r="AY48">
            <v>68</v>
          </cell>
          <cell r="AZ48">
            <v>49</v>
          </cell>
          <cell r="BA48">
            <v>56</v>
          </cell>
          <cell r="BI48">
            <v>99</v>
          </cell>
          <cell r="BL48">
            <v>11</v>
          </cell>
        </row>
        <row r="49">
          <cell r="A49">
            <v>34681.9375</v>
          </cell>
          <cell r="B49">
            <v>15.12</v>
          </cell>
          <cell r="C49">
            <v>-15.18</v>
          </cell>
          <cell r="D49">
            <v>-6.0000000000000497E-2</v>
          </cell>
          <cell r="E49">
            <v>8.98</v>
          </cell>
          <cell r="F49">
            <v>-26.21</v>
          </cell>
          <cell r="G49">
            <v>-17.23</v>
          </cell>
          <cell r="H49">
            <v>1.6</v>
          </cell>
          <cell r="I49">
            <v>-19.489999999999998</v>
          </cell>
          <cell r="J49">
            <v>-17.89</v>
          </cell>
          <cell r="K49">
            <v>64.959999999999994</v>
          </cell>
          <cell r="L49">
            <v>-23.82</v>
          </cell>
          <cell r="M49">
            <v>41.14</v>
          </cell>
          <cell r="N49">
            <v>48.99</v>
          </cell>
          <cell r="O49">
            <v>-10.14</v>
          </cell>
          <cell r="P49">
            <v>38.85</v>
          </cell>
          <cell r="V49">
            <v>12</v>
          </cell>
          <cell r="X49">
            <v>34681.9375</v>
          </cell>
          <cell r="Y49">
            <v>113167</v>
          </cell>
          <cell r="Z49">
            <v>113167</v>
          </cell>
          <cell r="AA49">
            <v>14067</v>
          </cell>
          <cell r="AB49">
            <v>20500</v>
          </cell>
          <cell r="AC49">
            <v>6500</v>
          </cell>
          <cell r="AD49">
            <v>8567</v>
          </cell>
          <cell r="AI49">
            <v>99</v>
          </cell>
          <cell r="AJ49">
            <v>99</v>
          </cell>
          <cell r="AK49">
            <v>99</v>
          </cell>
          <cell r="AL49">
            <v>99</v>
          </cell>
          <cell r="AM49">
            <v>99</v>
          </cell>
          <cell r="AN49">
            <v>99</v>
          </cell>
          <cell r="AO49">
            <v>99</v>
          </cell>
          <cell r="AP49">
            <v>99</v>
          </cell>
          <cell r="AS49">
            <v>12</v>
          </cell>
          <cell r="AU49">
            <v>34681.9375</v>
          </cell>
          <cell r="AV49">
            <v>51</v>
          </cell>
          <cell r="AW49">
            <v>63</v>
          </cell>
          <cell r="AX49">
            <v>59</v>
          </cell>
          <cell r="AY49">
            <v>68</v>
          </cell>
          <cell r="AZ49">
            <v>47</v>
          </cell>
          <cell r="BA49">
            <v>58</v>
          </cell>
          <cell r="BI49">
            <v>99</v>
          </cell>
          <cell r="BL49">
            <v>12</v>
          </cell>
        </row>
        <row r="50">
          <cell r="A50">
            <v>34773.25</v>
          </cell>
          <cell r="B50">
            <v>16.34</v>
          </cell>
          <cell r="C50">
            <v>-12.32</v>
          </cell>
          <cell r="D50">
            <v>4.0199999999999996</v>
          </cell>
          <cell r="E50">
            <v>29.24</v>
          </cell>
          <cell r="F50">
            <v>-13.48</v>
          </cell>
          <cell r="G50">
            <v>15.76</v>
          </cell>
          <cell r="H50">
            <v>24.31</v>
          </cell>
          <cell r="I50">
            <v>-12.78</v>
          </cell>
          <cell r="J50">
            <v>11.53</v>
          </cell>
          <cell r="K50">
            <v>61.67</v>
          </cell>
          <cell r="L50">
            <v>-12.8</v>
          </cell>
          <cell r="M50">
            <v>48.87</v>
          </cell>
          <cell r="N50">
            <v>53.7</v>
          </cell>
          <cell r="O50">
            <v>-13.72</v>
          </cell>
          <cell r="P50">
            <v>39.979999999999997</v>
          </cell>
          <cell r="V50">
            <v>13</v>
          </cell>
          <cell r="X50">
            <v>34773.25</v>
          </cell>
          <cell r="Y50">
            <v>114433</v>
          </cell>
          <cell r="Z50">
            <v>156400</v>
          </cell>
          <cell r="AA50">
            <v>15067</v>
          </cell>
          <cell r="AB50">
            <v>31900</v>
          </cell>
          <cell r="AC50">
            <v>6900</v>
          </cell>
          <cell r="AD50">
            <v>10233</v>
          </cell>
          <cell r="AI50">
            <v>99</v>
          </cell>
          <cell r="AJ50">
            <v>99</v>
          </cell>
          <cell r="AK50">
            <v>99</v>
          </cell>
          <cell r="AL50">
            <v>99</v>
          </cell>
          <cell r="AM50">
            <v>99</v>
          </cell>
          <cell r="AN50">
            <v>99</v>
          </cell>
          <cell r="AO50">
            <v>99</v>
          </cell>
          <cell r="AP50">
            <v>99</v>
          </cell>
          <cell r="AS50">
            <v>13</v>
          </cell>
          <cell r="AU50">
            <v>34773.25</v>
          </cell>
          <cell r="AV50">
            <v>70</v>
          </cell>
          <cell r="AW50">
            <v>73</v>
          </cell>
          <cell r="AX50">
            <v>67</v>
          </cell>
          <cell r="AY50">
            <v>77</v>
          </cell>
          <cell r="AZ50">
            <v>58</v>
          </cell>
          <cell r="BA50">
            <v>69</v>
          </cell>
          <cell r="BI50">
            <v>99</v>
          </cell>
          <cell r="BL50">
            <v>13</v>
          </cell>
        </row>
        <row r="51">
          <cell r="A51">
            <v>34864.5625</v>
          </cell>
          <cell r="B51">
            <v>33.9</v>
          </cell>
          <cell r="C51">
            <v>-1.33</v>
          </cell>
          <cell r="D51">
            <v>32.57</v>
          </cell>
          <cell r="E51">
            <v>23.65</v>
          </cell>
          <cell r="F51">
            <v>-12.45</v>
          </cell>
          <cell r="G51">
            <v>11.2</v>
          </cell>
          <cell r="H51">
            <v>6.5</v>
          </cell>
          <cell r="I51">
            <v>-6.09</v>
          </cell>
          <cell r="J51">
            <v>0.41</v>
          </cell>
          <cell r="K51">
            <v>69.260000000000005</v>
          </cell>
          <cell r="L51">
            <v>-9.9</v>
          </cell>
          <cell r="M51">
            <v>59.36</v>
          </cell>
          <cell r="N51">
            <v>56.49</v>
          </cell>
          <cell r="O51">
            <v>-12.82</v>
          </cell>
          <cell r="P51">
            <v>43.67</v>
          </cell>
          <cell r="V51">
            <v>14</v>
          </cell>
          <cell r="X51">
            <v>34864.5625</v>
          </cell>
          <cell r="Y51">
            <v>150200</v>
          </cell>
          <cell r="Z51">
            <v>152267</v>
          </cell>
          <cell r="AA51">
            <v>16067</v>
          </cell>
          <cell r="AB51">
            <v>37633</v>
          </cell>
          <cell r="AC51">
            <v>9567</v>
          </cell>
          <cell r="AD51">
            <v>10967</v>
          </cell>
          <cell r="AI51">
            <v>99</v>
          </cell>
          <cell r="AJ51">
            <v>99</v>
          </cell>
          <cell r="AK51">
            <v>99</v>
          </cell>
          <cell r="AL51">
            <v>99</v>
          </cell>
          <cell r="AM51">
            <v>99</v>
          </cell>
          <cell r="AN51">
            <v>99</v>
          </cell>
          <cell r="AO51">
            <v>99</v>
          </cell>
          <cell r="AP51">
            <v>99</v>
          </cell>
          <cell r="AS51">
            <v>14</v>
          </cell>
          <cell r="AU51">
            <v>34864.5625</v>
          </cell>
          <cell r="AV51">
            <v>78</v>
          </cell>
          <cell r="AW51">
            <v>90</v>
          </cell>
          <cell r="AX51">
            <v>74</v>
          </cell>
          <cell r="AY51">
            <v>84</v>
          </cell>
          <cell r="AZ51">
            <v>67</v>
          </cell>
          <cell r="BA51">
            <v>78</v>
          </cell>
          <cell r="BI51">
            <v>99</v>
          </cell>
          <cell r="BL51">
            <v>14</v>
          </cell>
        </row>
        <row r="52">
          <cell r="A52">
            <v>34955.875</v>
          </cell>
          <cell r="B52">
            <v>31.08</v>
          </cell>
          <cell r="C52">
            <v>-8.06</v>
          </cell>
          <cell r="D52">
            <v>23.02</v>
          </cell>
          <cell r="E52">
            <v>20.12</v>
          </cell>
          <cell r="F52">
            <v>-23.47</v>
          </cell>
          <cell r="G52">
            <v>-3.35</v>
          </cell>
          <cell r="H52">
            <v>7.11</v>
          </cell>
          <cell r="I52">
            <v>-29.47</v>
          </cell>
          <cell r="J52">
            <v>-22.36</v>
          </cell>
          <cell r="K52">
            <v>56.47</v>
          </cell>
          <cell r="L52">
            <v>-20.66</v>
          </cell>
          <cell r="M52">
            <v>35.81</v>
          </cell>
          <cell r="N52">
            <v>46.16</v>
          </cell>
          <cell r="O52">
            <v>-19.89</v>
          </cell>
          <cell r="P52">
            <v>26.27</v>
          </cell>
          <cell r="V52">
            <v>15</v>
          </cell>
          <cell r="X52">
            <v>34955.875</v>
          </cell>
          <cell r="Y52">
            <v>152967</v>
          </cell>
          <cell r="Z52">
            <v>147400</v>
          </cell>
          <cell r="AA52">
            <v>15267</v>
          </cell>
          <cell r="AB52">
            <v>35567</v>
          </cell>
          <cell r="AC52">
            <v>10067</v>
          </cell>
          <cell r="AD52">
            <v>10933</v>
          </cell>
          <cell r="AI52">
            <v>99</v>
          </cell>
          <cell r="AJ52">
            <v>99</v>
          </cell>
          <cell r="AK52">
            <v>99</v>
          </cell>
          <cell r="AL52">
            <v>99</v>
          </cell>
          <cell r="AM52">
            <v>99</v>
          </cell>
          <cell r="AN52">
            <v>99</v>
          </cell>
          <cell r="AO52">
            <v>99</v>
          </cell>
          <cell r="AP52">
            <v>99</v>
          </cell>
          <cell r="AS52">
            <v>15</v>
          </cell>
          <cell r="AU52">
            <v>34955.875</v>
          </cell>
          <cell r="AV52">
            <v>82</v>
          </cell>
          <cell r="AW52">
            <v>93</v>
          </cell>
          <cell r="AX52">
            <v>84</v>
          </cell>
          <cell r="AY52">
            <v>92</v>
          </cell>
          <cell r="AZ52">
            <v>75</v>
          </cell>
          <cell r="BA52">
            <v>84</v>
          </cell>
          <cell r="BI52">
            <v>99</v>
          </cell>
          <cell r="BL52">
            <v>15</v>
          </cell>
        </row>
        <row r="53">
          <cell r="A53">
            <v>35047.1875</v>
          </cell>
          <cell r="B53">
            <v>32.15</v>
          </cell>
          <cell r="C53">
            <v>-0.96</v>
          </cell>
          <cell r="D53">
            <v>31.19</v>
          </cell>
          <cell r="E53">
            <v>26.53</v>
          </cell>
          <cell r="F53">
            <v>-16.79</v>
          </cell>
          <cell r="G53">
            <v>9.74</v>
          </cell>
          <cell r="H53">
            <v>29.64</v>
          </cell>
          <cell r="I53">
            <v>-12.1</v>
          </cell>
          <cell r="J53">
            <v>17.54</v>
          </cell>
          <cell r="K53">
            <v>40.07</v>
          </cell>
          <cell r="L53">
            <v>-4.1500000000000004</v>
          </cell>
          <cell r="M53">
            <v>35.92</v>
          </cell>
          <cell r="N53">
            <v>44.87</v>
          </cell>
          <cell r="O53">
            <v>-4.2699999999999996</v>
          </cell>
          <cell r="P53">
            <v>40.6</v>
          </cell>
          <cell r="V53">
            <v>16</v>
          </cell>
          <cell r="X53">
            <v>35047.1875</v>
          </cell>
          <cell r="Y53">
            <v>136500</v>
          </cell>
          <cell r="Z53">
            <v>140333</v>
          </cell>
          <cell r="AA53">
            <v>14733</v>
          </cell>
          <cell r="AB53">
            <v>31767</v>
          </cell>
          <cell r="AC53">
            <v>8767</v>
          </cell>
          <cell r="AD53">
            <v>10933</v>
          </cell>
          <cell r="AI53">
            <v>99</v>
          </cell>
          <cell r="AJ53">
            <v>99</v>
          </cell>
          <cell r="AK53">
            <v>99</v>
          </cell>
          <cell r="AL53">
            <v>99</v>
          </cell>
          <cell r="AM53">
            <v>99</v>
          </cell>
          <cell r="AN53">
            <v>99</v>
          </cell>
          <cell r="AO53">
            <v>99</v>
          </cell>
          <cell r="AP53">
            <v>99</v>
          </cell>
          <cell r="AS53">
            <v>16</v>
          </cell>
          <cell r="AU53">
            <v>35047.1875</v>
          </cell>
          <cell r="AV53">
            <v>70</v>
          </cell>
          <cell r="AW53">
            <v>86</v>
          </cell>
          <cell r="AX53">
            <v>80</v>
          </cell>
          <cell r="AY53">
            <v>90</v>
          </cell>
          <cell r="AZ53">
            <v>67</v>
          </cell>
          <cell r="BA53">
            <v>79</v>
          </cell>
          <cell r="BI53">
            <v>99</v>
          </cell>
          <cell r="BL53">
            <v>16</v>
          </cell>
        </row>
        <row r="54">
          <cell r="A54">
            <v>35138.5</v>
          </cell>
          <cell r="B54">
            <v>16.36</v>
          </cell>
          <cell r="C54">
            <v>-2.62</v>
          </cell>
          <cell r="D54">
            <v>13.74</v>
          </cell>
          <cell r="E54">
            <v>25.16</v>
          </cell>
          <cell r="F54">
            <v>-6.93</v>
          </cell>
          <cell r="G54">
            <v>18.23</v>
          </cell>
          <cell r="H54">
            <v>22.1</v>
          </cell>
          <cell r="I54">
            <v>-5.5</v>
          </cell>
          <cell r="J54">
            <v>16.600000000000001</v>
          </cell>
          <cell r="K54">
            <v>68.36</v>
          </cell>
          <cell r="L54">
            <v>-4.34</v>
          </cell>
          <cell r="M54">
            <v>64.02</v>
          </cell>
          <cell r="N54">
            <v>46</v>
          </cell>
          <cell r="O54">
            <v>-7.99</v>
          </cell>
          <cell r="P54">
            <v>38.01</v>
          </cell>
          <cell r="Q54" t="str">
            <v/>
          </cell>
          <cell r="R54" t="str">
            <v/>
          </cell>
          <cell r="S54" t="str">
            <v/>
          </cell>
          <cell r="V54">
            <v>17</v>
          </cell>
          <cell r="X54">
            <v>35138.5</v>
          </cell>
          <cell r="Y54">
            <v>128667</v>
          </cell>
          <cell r="Z54">
            <v>153500</v>
          </cell>
          <cell r="AA54">
            <v>17467</v>
          </cell>
          <cell r="AB54">
            <v>33067</v>
          </cell>
          <cell r="AC54">
            <v>9600</v>
          </cell>
          <cell r="AD54">
            <v>11233</v>
          </cell>
          <cell r="AI54">
            <v>99</v>
          </cell>
          <cell r="AJ54">
            <v>99</v>
          </cell>
          <cell r="AK54">
            <v>99</v>
          </cell>
          <cell r="AL54">
            <v>99</v>
          </cell>
          <cell r="AM54">
            <v>99</v>
          </cell>
          <cell r="AN54">
            <v>99</v>
          </cell>
          <cell r="AO54">
            <v>99</v>
          </cell>
          <cell r="AP54">
            <v>99</v>
          </cell>
          <cell r="AS54">
            <v>17</v>
          </cell>
          <cell r="AU54">
            <v>35138.5</v>
          </cell>
          <cell r="AV54">
            <v>85</v>
          </cell>
          <cell r="AW54">
            <v>99</v>
          </cell>
          <cell r="AX54">
            <v>91</v>
          </cell>
          <cell r="AY54">
            <v>102</v>
          </cell>
          <cell r="AZ54">
            <v>79</v>
          </cell>
          <cell r="BA54">
            <v>90</v>
          </cell>
          <cell r="BB54">
            <v>269</v>
          </cell>
          <cell r="BI54">
            <v>99</v>
          </cell>
          <cell r="BL54">
            <v>17</v>
          </cell>
        </row>
        <row r="55">
          <cell r="A55">
            <v>35229.8125</v>
          </cell>
          <cell r="B55">
            <v>17.600000000000001</v>
          </cell>
          <cell r="C55">
            <v>-9.77</v>
          </cell>
          <cell r="D55">
            <v>7.83</v>
          </cell>
          <cell r="E55">
            <v>33.74</v>
          </cell>
          <cell r="F55">
            <v>-16.38</v>
          </cell>
          <cell r="G55">
            <v>17.36</v>
          </cell>
          <cell r="H55">
            <v>17.2</v>
          </cell>
          <cell r="I55">
            <v>-23.9</v>
          </cell>
          <cell r="J55">
            <v>-6.7</v>
          </cell>
          <cell r="K55">
            <v>63.09</v>
          </cell>
          <cell r="L55">
            <v>-19.38</v>
          </cell>
          <cell r="M55">
            <v>43.71</v>
          </cell>
          <cell r="N55">
            <v>48.59</v>
          </cell>
          <cell r="O55">
            <v>-19.82</v>
          </cell>
          <cell r="P55">
            <v>28.77</v>
          </cell>
          <cell r="Q55" t="str">
            <v/>
          </cell>
          <cell r="R55" t="str">
            <v/>
          </cell>
          <cell r="S55" t="str">
            <v/>
          </cell>
          <cell r="V55">
            <v>18</v>
          </cell>
          <cell r="X55">
            <v>35229.8125</v>
          </cell>
          <cell r="Y55">
            <v>143867</v>
          </cell>
          <cell r="Z55">
            <v>182433</v>
          </cell>
          <cell r="AA55">
            <v>19667</v>
          </cell>
          <cell r="AB55">
            <v>37233</v>
          </cell>
          <cell r="AC55">
            <v>10033</v>
          </cell>
          <cell r="AD55">
            <v>11633</v>
          </cell>
          <cell r="AI55">
            <v>99</v>
          </cell>
          <cell r="AJ55">
            <v>99</v>
          </cell>
          <cell r="AK55">
            <v>99</v>
          </cell>
          <cell r="AL55">
            <v>99</v>
          </cell>
          <cell r="AM55">
            <v>99</v>
          </cell>
          <cell r="AN55">
            <v>99</v>
          </cell>
          <cell r="AO55">
            <v>99</v>
          </cell>
          <cell r="AP55">
            <v>99</v>
          </cell>
          <cell r="AS55">
            <v>18</v>
          </cell>
          <cell r="AU55">
            <v>35229.8125</v>
          </cell>
          <cell r="AV55">
            <v>95</v>
          </cell>
          <cell r="AW55">
            <v>110</v>
          </cell>
          <cell r="AX55">
            <v>105</v>
          </cell>
          <cell r="AY55">
            <v>119</v>
          </cell>
          <cell r="AZ55">
            <v>92</v>
          </cell>
          <cell r="BA55">
            <v>104</v>
          </cell>
          <cell r="BB55">
            <v>268</v>
          </cell>
          <cell r="BI55">
            <v>99</v>
          </cell>
          <cell r="BL55">
            <v>18</v>
          </cell>
        </row>
        <row r="56">
          <cell r="A56">
            <v>35321.125</v>
          </cell>
          <cell r="B56">
            <v>5.78</v>
          </cell>
          <cell r="C56">
            <v>-8.3000000000000007</v>
          </cell>
          <cell r="D56">
            <v>-2.52</v>
          </cell>
          <cell r="E56">
            <v>28.94</v>
          </cell>
          <cell r="F56">
            <v>-12.71</v>
          </cell>
          <cell r="G56">
            <v>16.23</v>
          </cell>
          <cell r="H56">
            <v>19.93</v>
          </cell>
          <cell r="I56">
            <v>-8.44</v>
          </cell>
          <cell r="J56">
            <v>11.49</v>
          </cell>
          <cell r="K56">
            <v>34.31</v>
          </cell>
          <cell r="L56">
            <v>-23.78</v>
          </cell>
          <cell r="M56">
            <v>10.53</v>
          </cell>
          <cell r="N56">
            <v>22.52</v>
          </cell>
          <cell r="O56">
            <v>-23.56</v>
          </cell>
          <cell r="P56">
            <v>-1.04</v>
          </cell>
          <cell r="Q56" t="str">
            <v/>
          </cell>
          <cell r="R56" t="str">
            <v/>
          </cell>
          <cell r="S56" t="str">
            <v/>
          </cell>
          <cell r="V56">
            <v>19</v>
          </cell>
          <cell r="X56">
            <v>35321.125</v>
          </cell>
          <cell r="Y56">
            <v>136867</v>
          </cell>
          <cell r="Z56">
            <v>160500</v>
          </cell>
          <cell r="AA56">
            <v>15967</v>
          </cell>
          <cell r="AB56">
            <v>27533</v>
          </cell>
          <cell r="AC56">
            <v>7567</v>
          </cell>
          <cell r="AD56">
            <v>11800</v>
          </cell>
          <cell r="AI56">
            <v>99</v>
          </cell>
          <cell r="AJ56">
            <v>99</v>
          </cell>
          <cell r="AK56">
            <v>99</v>
          </cell>
          <cell r="AL56">
            <v>99</v>
          </cell>
          <cell r="AM56">
            <v>99</v>
          </cell>
          <cell r="AN56">
            <v>99</v>
          </cell>
          <cell r="AO56">
            <v>99</v>
          </cell>
          <cell r="AP56">
            <v>99</v>
          </cell>
          <cell r="AS56">
            <v>19</v>
          </cell>
          <cell r="AU56">
            <v>35321.125</v>
          </cell>
          <cell r="AV56">
            <v>121</v>
          </cell>
          <cell r="AW56">
            <v>140</v>
          </cell>
          <cell r="AX56">
            <v>140</v>
          </cell>
          <cell r="AY56">
            <v>156</v>
          </cell>
          <cell r="AZ56">
            <v>121</v>
          </cell>
          <cell r="BA56">
            <v>137</v>
          </cell>
          <cell r="BB56">
            <v>268</v>
          </cell>
          <cell r="BI56">
            <v>99</v>
          </cell>
          <cell r="BL56">
            <v>19</v>
          </cell>
        </row>
        <row r="57">
          <cell r="A57">
            <v>35412.4375</v>
          </cell>
          <cell r="B57">
            <v>28.08</v>
          </cell>
          <cell r="C57">
            <v>-4.28</v>
          </cell>
          <cell r="D57">
            <v>23.8</v>
          </cell>
          <cell r="E57">
            <v>23.04</v>
          </cell>
          <cell r="F57">
            <v>-11.37</v>
          </cell>
          <cell r="G57">
            <v>11.67</v>
          </cell>
          <cell r="H57">
            <v>12.12</v>
          </cell>
          <cell r="I57">
            <v>-5.5</v>
          </cell>
          <cell r="J57">
            <v>6.62</v>
          </cell>
          <cell r="K57">
            <v>73.95</v>
          </cell>
          <cell r="L57">
            <v>-9.86</v>
          </cell>
          <cell r="M57">
            <v>64.09</v>
          </cell>
          <cell r="N57">
            <v>49.77</v>
          </cell>
          <cell r="O57">
            <v>-9.2899999999999991</v>
          </cell>
          <cell r="P57">
            <v>40.479999999999997</v>
          </cell>
          <cell r="Q57" t="str">
            <v/>
          </cell>
          <cell r="R57" t="str">
            <v/>
          </cell>
          <cell r="S57" t="str">
            <v/>
          </cell>
          <cell r="V57">
            <v>20</v>
          </cell>
          <cell r="X57">
            <v>35412.4375</v>
          </cell>
          <cell r="Y57">
            <v>132600</v>
          </cell>
          <cell r="Z57">
            <v>156533</v>
          </cell>
          <cell r="AA57">
            <v>15833</v>
          </cell>
          <cell r="AB57">
            <v>29867</v>
          </cell>
          <cell r="AC57">
            <v>7667</v>
          </cell>
          <cell r="AD57">
            <v>11900</v>
          </cell>
          <cell r="AI57">
            <v>99</v>
          </cell>
          <cell r="AJ57">
            <v>99</v>
          </cell>
          <cell r="AK57">
            <v>99</v>
          </cell>
          <cell r="AL57">
            <v>99</v>
          </cell>
          <cell r="AM57">
            <v>99</v>
          </cell>
          <cell r="AN57">
            <v>99</v>
          </cell>
          <cell r="AO57">
            <v>99</v>
          </cell>
          <cell r="AP57">
            <v>99</v>
          </cell>
          <cell r="AS57">
            <v>20</v>
          </cell>
          <cell r="AU57">
            <v>35412.4375</v>
          </cell>
          <cell r="AV57">
            <v>90</v>
          </cell>
          <cell r="AW57">
            <v>110</v>
          </cell>
          <cell r="AX57">
            <v>110</v>
          </cell>
          <cell r="AY57">
            <v>125</v>
          </cell>
          <cell r="AZ57">
            <v>91</v>
          </cell>
          <cell r="BA57">
            <v>107</v>
          </cell>
          <cell r="BB57">
            <v>268</v>
          </cell>
          <cell r="BI57">
            <v>99</v>
          </cell>
          <cell r="BL57">
            <v>20</v>
          </cell>
        </row>
        <row r="58">
          <cell r="A58">
            <v>35503.75</v>
          </cell>
          <cell r="B58">
            <v>28.37</v>
          </cell>
          <cell r="C58">
            <v>-3.72</v>
          </cell>
          <cell r="D58">
            <v>24.65</v>
          </cell>
          <cell r="E58">
            <v>34.36</v>
          </cell>
          <cell r="F58">
            <v>-16.079999999999998</v>
          </cell>
          <cell r="G58">
            <v>18.28</v>
          </cell>
          <cell r="H58">
            <v>12.49</v>
          </cell>
          <cell r="I58">
            <v>-2.67</v>
          </cell>
          <cell r="J58">
            <v>9.82</v>
          </cell>
          <cell r="K58">
            <v>77.44</v>
          </cell>
          <cell r="L58">
            <v>-8.59</v>
          </cell>
          <cell r="M58">
            <v>68.849999999999994</v>
          </cell>
          <cell r="N58">
            <v>60.93</v>
          </cell>
          <cell r="O58">
            <v>-8.4</v>
          </cell>
          <cell r="P58">
            <v>52.53</v>
          </cell>
          <cell r="Q58">
            <v>13.73</v>
          </cell>
          <cell r="R58">
            <v>-9.73</v>
          </cell>
          <cell r="S58">
            <v>4</v>
          </cell>
          <cell r="V58">
            <v>21</v>
          </cell>
          <cell r="X58">
            <v>35503.75</v>
          </cell>
          <cell r="Y58">
            <v>133333</v>
          </cell>
          <cell r="Z58">
            <v>168333</v>
          </cell>
          <cell r="AA58">
            <v>10067</v>
          </cell>
          <cell r="AB58">
            <v>36200</v>
          </cell>
          <cell r="AC58">
            <v>10267</v>
          </cell>
          <cell r="AD58">
            <v>11433</v>
          </cell>
          <cell r="AI58">
            <v>99</v>
          </cell>
          <cell r="AJ58">
            <v>99</v>
          </cell>
          <cell r="AK58">
            <v>99</v>
          </cell>
          <cell r="AL58">
            <v>99</v>
          </cell>
          <cell r="AM58">
            <v>99</v>
          </cell>
          <cell r="AN58">
            <v>99</v>
          </cell>
          <cell r="AO58">
            <v>99</v>
          </cell>
          <cell r="AP58">
            <v>99</v>
          </cell>
          <cell r="AS58">
            <v>21</v>
          </cell>
          <cell r="AU58">
            <v>35503.75</v>
          </cell>
          <cell r="AV58">
            <v>109</v>
          </cell>
          <cell r="AW58">
            <v>118</v>
          </cell>
          <cell r="AX58">
            <v>98</v>
          </cell>
          <cell r="AY58">
            <v>120</v>
          </cell>
          <cell r="AZ58">
            <v>90</v>
          </cell>
          <cell r="BA58">
            <v>112</v>
          </cell>
          <cell r="BI58">
            <v>99</v>
          </cell>
          <cell r="BL58">
            <v>21</v>
          </cell>
        </row>
        <row r="59">
          <cell r="A59">
            <v>35595.0625</v>
          </cell>
          <cell r="B59">
            <v>29.21</v>
          </cell>
          <cell r="C59">
            <v>-2.79</v>
          </cell>
          <cell r="D59">
            <v>26.42</v>
          </cell>
          <cell r="E59">
            <v>32.72</v>
          </cell>
          <cell r="F59">
            <v>-12.91</v>
          </cell>
          <cell r="G59">
            <v>19.809999999999999</v>
          </cell>
          <cell r="H59">
            <v>26.73</v>
          </cell>
          <cell r="I59">
            <v>-17.62</v>
          </cell>
          <cell r="J59">
            <v>9.11</v>
          </cell>
          <cell r="K59">
            <v>56.33</v>
          </cell>
          <cell r="L59">
            <v>-13.13</v>
          </cell>
          <cell r="M59">
            <v>43.2</v>
          </cell>
          <cell r="N59">
            <v>45.02</v>
          </cell>
          <cell r="O59">
            <v>-12.88</v>
          </cell>
          <cell r="P59">
            <v>32.14</v>
          </cell>
          <cell r="Q59">
            <v>24.92</v>
          </cell>
          <cell r="R59">
            <v>-7.8</v>
          </cell>
          <cell r="S59">
            <v>17.12</v>
          </cell>
          <cell r="V59">
            <v>22</v>
          </cell>
          <cell r="X59">
            <v>35595.0625</v>
          </cell>
          <cell r="Y59">
            <v>144467</v>
          </cell>
          <cell r="Z59">
            <v>187967</v>
          </cell>
          <cell r="AA59">
            <v>11800</v>
          </cell>
          <cell r="AB59">
            <v>37067</v>
          </cell>
          <cell r="AC59">
            <v>9733</v>
          </cell>
          <cell r="AD59">
            <v>13267</v>
          </cell>
          <cell r="AI59">
            <v>99</v>
          </cell>
          <cell r="AJ59">
            <v>99</v>
          </cell>
          <cell r="AK59">
            <v>99</v>
          </cell>
          <cell r="AL59">
            <v>99</v>
          </cell>
          <cell r="AM59">
            <v>99</v>
          </cell>
          <cell r="AN59">
            <v>99</v>
          </cell>
          <cell r="AO59">
            <v>99</v>
          </cell>
          <cell r="AP59">
            <v>99</v>
          </cell>
          <cell r="AS59">
            <v>22</v>
          </cell>
          <cell r="AU59">
            <v>35595.0625</v>
          </cell>
          <cell r="AV59">
            <v>105</v>
          </cell>
          <cell r="AW59">
            <v>126</v>
          </cell>
          <cell r="AX59">
            <v>106</v>
          </cell>
          <cell r="AY59">
            <v>126</v>
          </cell>
          <cell r="AZ59">
            <v>97</v>
          </cell>
          <cell r="BA59">
            <v>115</v>
          </cell>
          <cell r="BI59">
            <v>99</v>
          </cell>
          <cell r="BL59">
            <v>22</v>
          </cell>
        </row>
        <row r="60">
          <cell r="A60">
            <v>35686.375</v>
          </cell>
          <cell r="B60">
            <v>9.44</v>
          </cell>
          <cell r="C60">
            <v>-8.83</v>
          </cell>
          <cell r="D60">
            <v>0.60999999999999943</v>
          </cell>
          <cell r="E60">
            <v>33.049999999999997</v>
          </cell>
          <cell r="F60">
            <v>-14.6</v>
          </cell>
          <cell r="G60">
            <v>18.45</v>
          </cell>
          <cell r="H60">
            <v>6.09</v>
          </cell>
          <cell r="I60">
            <v>-28.35</v>
          </cell>
          <cell r="J60">
            <v>-22.26</v>
          </cell>
          <cell r="K60">
            <v>9.73</v>
          </cell>
          <cell r="L60">
            <v>-80.31</v>
          </cell>
          <cell r="M60">
            <v>-70.58</v>
          </cell>
          <cell r="N60">
            <v>35.26</v>
          </cell>
          <cell r="O60">
            <v>-39.79</v>
          </cell>
          <cell r="P60">
            <v>-4.53</v>
          </cell>
          <cell r="Q60" t="str">
            <v/>
          </cell>
          <cell r="R60" t="str">
            <v/>
          </cell>
          <cell r="S60" t="str">
            <v/>
          </cell>
          <cell r="V60">
            <v>23</v>
          </cell>
          <cell r="X60">
            <v>35686.375</v>
          </cell>
          <cell r="Y60">
            <v>132067</v>
          </cell>
          <cell r="Z60">
            <v>160567</v>
          </cell>
          <cell r="AA60">
            <v>12967</v>
          </cell>
          <cell r="AB60">
            <v>33767</v>
          </cell>
          <cell r="AC60">
            <v>8900</v>
          </cell>
          <cell r="AD60">
            <v>14400</v>
          </cell>
          <cell r="AI60">
            <v>99</v>
          </cell>
          <cell r="AJ60">
            <v>99</v>
          </cell>
          <cell r="AK60">
            <v>99</v>
          </cell>
          <cell r="AL60">
            <v>99</v>
          </cell>
          <cell r="AM60">
            <v>99</v>
          </cell>
          <cell r="AN60">
            <v>99</v>
          </cell>
          <cell r="AO60">
            <v>99</v>
          </cell>
          <cell r="AP60">
            <v>99</v>
          </cell>
          <cell r="AS60">
            <v>23</v>
          </cell>
          <cell r="AU60">
            <v>35686.375</v>
          </cell>
          <cell r="AV60">
            <v>102</v>
          </cell>
          <cell r="AW60">
            <v>125</v>
          </cell>
          <cell r="AX60">
            <v>107</v>
          </cell>
          <cell r="AY60">
            <v>125</v>
          </cell>
          <cell r="AZ60">
            <v>100</v>
          </cell>
          <cell r="BA60">
            <v>113</v>
          </cell>
          <cell r="BI60">
            <v>99</v>
          </cell>
          <cell r="BL60">
            <v>23</v>
          </cell>
        </row>
        <row r="61">
          <cell r="A61">
            <v>35777.6875</v>
          </cell>
          <cell r="B61">
            <v>44.9</v>
          </cell>
          <cell r="C61">
            <v>-2.56</v>
          </cell>
          <cell r="D61">
            <v>42.34</v>
          </cell>
          <cell r="E61">
            <v>25.3</v>
          </cell>
          <cell r="F61">
            <v>-29.24</v>
          </cell>
          <cell r="G61">
            <v>-3.94</v>
          </cell>
          <cell r="H61">
            <v>18.399999999999999</v>
          </cell>
          <cell r="I61">
            <v>-3.47</v>
          </cell>
          <cell r="J61">
            <v>14.93</v>
          </cell>
          <cell r="K61">
            <v>73.16</v>
          </cell>
          <cell r="L61">
            <v>-9.11</v>
          </cell>
          <cell r="M61">
            <v>64.05</v>
          </cell>
          <cell r="N61">
            <v>60.92</v>
          </cell>
          <cell r="O61">
            <v>-10.119999999999999</v>
          </cell>
          <cell r="P61">
            <v>50.8</v>
          </cell>
          <cell r="Q61" t="str">
            <v/>
          </cell>
          <cell r="R61" t="str">
            <v/>
          </cell>
          <cell r="S61" t="str">
            <v/>
          </cell>
          <cell r="V61">
            <v>24</v>
          </cell>
          <cell r="X61">
            <v>35777.6875</v>
          </cell>
          <cell r="Y61">
            <v>123500</v>
          </cell>
          <cell r="Z61">
            <v>137300</v>
          </cell>
          <cell r="AA61">
            <v>10300</v>
          </cell>
          <cell r="AB61">
            <v>36700</v>
          </cell>
          <cell r="AC61">
            <v>8367</v>
          </cell>
          <cell r="AD61">
            <v>14600</v>
          </cell>
          <cell r="AI61">
            <v>99</v>
          </cell>
          <cell r="AJ61">
            <v>99</v>
          </cell>
          <cell r="AK61">
            <v>99</v>
          </cell>
          <cell r="AL61">
            <v>99</v>
          </cell>
          <cell r="AM61">
            <v>99</v>
          </cell>
          <cell r="AN61">
            <v>99</v>
          </cell>
          <cell r="AO61">
            <v>99</v>
          </cell>
          <cell r="AP61">
            <v>99</v>
          </cell>
          <cell r="AS61">
            <v>24</v>
          </cell>
          <cell r="AU61">
            <v>35777.6875</v>
          </cell>
          <cell r="AV61">
            <v>85</v>
          </cell>
          <cell r="AW61">
            <v>112</v>
          </cell>
          <cell r="AX61">
            <v>106</v>
          </cell>
          <cell r="AY61">
            <v>121</v>
          </cell>
          <cell r="AZ61">
            <v>93</v>
          </cell>
          <cell r="BA61">
            <v>106</v>
          </cell>
          <cell r="BI61">
            <v>99</v>
          </cell>
          <cell r="BL61">
            <v>24</v>
          </cell>
        </row>
        <row r="62">
          <cell r="A62">
            <v>35869</v>
          </cell>
          <cell r="B62">
            <v>34.869999999999997</v>
          </cell>
          <cell r="C62">
            <v>2.82</v>
          </cell>
          <cell r="D62">
            <v>32.04</v>
          </cell>
          <cell r="E62">
            <v>34.75</v>
          </cell>
          <cell r="F62">
            <v>21.44</v>
          </cell>
          <cell r="G62">
            <v>13.31</v>
          </cell>
          <cell r="H62">
            <v>5.83</v>
          </cell>
          <cell r="I62">
            <v>18.920000000000002</v>
          </cell>
          <cell r="J62">
            <v>-13.09</v>
          </cell>
          <cell r="K62">
            <v>53.56</v>
          </cell>
          <cell r="L62">
            <v>31.17</v>
          </cell>
          <cell r="M62">
            <v>22.4</v>
          </cell>
          <cell r="N62">
            <v>60.95</v>
          </cell>
          <cell r="O62">
            <v>11.95</v>
          </cell>
          <cell r="P62">
            <v>49</v>
          </cell>
          <cell r="Q62">
            <v>14.59</v>
          </cell>
          <cell r="R62">
            <v>3.21</v>
          </cell>
          <cell r="S62">
            <v>11.38</v>
          </cell>
          <cell r="V62">
            <v>25</v>
          </cell>
          <cell r="X62">
            <v>35869</v>
          </cell>
          <cell r="Y62">
            <v>138633</v>
          </cell>
          <cell r="Z62">
            <v>159700</v>
          </cell>
          <cell r="AA62">
            <v>11500</v>
          </cell>
          <cell r="AB62">
            <v>35833</v>
          </cell>
          <cell r="AC62">
            <v>11200</v>
          </cell>
          <cell r="AD62">
            <v>15133</v>
          </cell>
          <cell r="AI62">
            <v>99</v>
          </cell>
          <cell r="AJ62">
            <v>99</v>
          </cell>
          <cell r="AK62">
            <v>99</v>
          </cell>
          <cell r="AL62">
            <v>99</v>
          </cell>
          <cell r="AM62">
            <v>99</v>
          </cell>
          <cell r="AN62">
            <v>99</v>
          </cell>
          <cell r="AO62">
            <v>99</v>
          </cell>
          <cell r="AP62">
            <v>99</v>
          </cell>
          <cell r="AS62">
            <v>25</v>
          </cell>
          <cell r="AU62">
            <v>35869</v>
          </cell>
          <cell r="AV62">
            <v>102</v>
          </cell>
          <cell r="AW62">
            <v>126</v>
          </cell>
          <cell r="AX62">
            <v>122</v>
          </cell>
          <cell r="AY62">
            <v>136</v>
          </cell>
          <cell r="AZ62">
            <v>110</v>
          </cell>
          <cell r="BA62">
            <v>125</v>
          </cell>
          <cell r="BB62">
            <v>267</v>
          </cell>
          <cell r="BC62">
            <v>226</v>
          </cell>
          <cell r="BD62">
            <v>236</v>
          </cell>
          <cell r="BI62">
            <v>99</v>
          </cell>
          <cell r="BL62">
            <v>25</v>
          </cell>
        </row>
        <row r="63">
          <cell r="A63">
            <v>35960.3125</v>
          </cell>
          <cell r="B63">
            <v>35.24</v>
          </cell>
          <cell r="C63">
            <v>4.24</v>
          </cell>
          <cell r="D63">
            <v>31</v>
          </cell>
          <cell r="E63">
            <v>41.85</v>
          </cell>
          <cell r="F63">
            <v>23.93</v>
          </cell>
          <cell r="G63">
            <v>17.920000000000002</v>
          </cell>
          <cell r="H63">
            <v>15.31</v>
          </cell>
          <cell r="I63">
            <v>8.24</v>
          </cell>
          <cell r="J63">
            <v>7.07</v>
          </cell>
          <cell r="K63">
            <v>38.119999999999997</v>
          </cell>
          <cell r="L63">
            <v>26.71</v>
          </cell>
          <cell r="M63">
            <v>11.41</v>
          </cell>
          <cell r="N63">
            <v>45.95</v>
          </cell>
          <cell r="O63">
            <v>21.25</v>
          </cell>
          <cell r="P63">
            <v>24.7</v>
          </cell>
          <cell r="Q63">
            <v>4.1399999999999997</v>
          </cell>
          <cell r="R63">
            <v>4.26</v>
          </cell>
          <cell r="S63">
            <v>-0.12</v>
          </cell>
          <cell r="V63">
            <v>26</v>
          </cell>
          <cell r="X63">
            <v>35960.3125</v>
          </cell>
          <cell r="Y63">
            <v>156333</v>
          </cell>
          <cell r="Z63">
            <v>187900</v>
          </cell>
          <cell r="AA63">
            <v>13800</v>
          </cell>
          <cell r="AB63">
            <v>34733</v>
          </cell>
          <cell r="AC63">
            <v>9633</v>
          </cell>
          <cell r="AD63">
            <v>14500</v>
          </cell>
          <cell r="AI63">
            <v>99</v>
          </cell>
          <cell r="AJ63">
            <v>99</v>
          </cell>
          <cell r="AK63">
            <v>99</v>
          </cell>
          <cell r="AL63">
            <v>99</v>
          </cell>
          <cell r="AM63">
            <v>99</v>
          </cell>
          <cell r="AN63">
            <v>99</v>
          </cell>
          <cell r="AO63">
            <v>99</v>
          </cell>
          <cell r="AP63">
            <v>99</v>
          </cell>
          <cell r="AS63">
            <v>26</v>
          </cell>
          <cell r="AU63">
            <v>35960.3125</v>
          </cell>
          <cell r="AV63">
            <v>123</v>
          </cell>
          <cell r="AW63">
            <v>142</v>
          </cell>
          <cell r="AX63">
            <v>143</v>
          </cell>
          <cell r="AY63">
            <v>162</v>
          </cell>
          <cell r="AZ63">
            <v>131</v>
          </cell>
          <cell r="BA63">
            <v>147</v>
          </cell>
          <cell r="BB63">
            <v>282</v>
          </cell>
          <cell r="BC63">
            <v>261</v>
          </cell>
          <cell r="BD63">
            <v>254</v>
          </cell>
          <cell r="BI63">
            <v>99</v>
          </cell>
          <cell r="BL63">
            <v>26</v>
          </cell>
        </row>
        <row r="64">
          <cell r="A64">
            <v>36051.625</v>
          </cell>
          <cell r="B64">
            <v>7.39</v>
          </cell>
          <cell r="C64">
            <v>12.39</v>
          </cell>
          <cell r="D64">
            <v>-5</v>
          </cell>
          <cell r="E64">
            <v>7.04</v>
          </cell>
          <cell r="F64">
            <v>53.21</v>
          </cell>
          <cell r="G64">
            <v>-46.17</v>
          </cell>
          <cell r="H64">
            <v>19.04</v>
          </cell>
          <cell r="I64">
            <v>8.89</v>
          </cell>
          <cell r="J64">
            <v>10.15</v>
          </cell>
          <cell r="K64">
            <v>23</v>
          </cell>
          <cell r="L64">
            <v>58.72</v>
          </cell>
          <cell r="M64">
            <v>-35.71</v>
          </cell>
          <cell r="N64">
            <v>24.2</v>
          </cell>
          <cell r="O64">
            <v>21.56</v>
          </cell>
          <cell r="P64">
            <v>2.65</v>
          </cell>
          <cell r="Q64">
            <v>2.44</v>
          </cell>
          <cell r="R64">
            <v>3</v>
          </cell>
          <cell r="S64">
            <v>-0.56000000000000005</v>
          </cell>
          <cell r="V64">
            <v>27</v>
          </cell>
          <cell r="X64">
            <v>36051.625</v>
          </cell>
          <cell r="Y64">
            <v>133133</v>
          </cell>
          <cell r="Z64">
            <v>160133</v>
          </cell>
          <cell r="AA64">
            <v>11500</v>
          </cell>
          <cell r="AB64">
            <v>31800</v>
          </cell>
          <cell r="AC64">
            <v>7367</v>
          </cell>
          <cell r="AD64">
            <v>14133</v>
          </cell>
          <cell r="AI64">
            <v>99</v>
          </cell>
          <cell r="AJ64">
            <v>99</v>
          </cell>
          <cell r="AK64">
            <v>99</v>
          </cell>
          <cell r="AL64">
            <v>99</v>
          </cell>
          <cell r="AM64">
            <v>99</v>
          </cell>
          <cell r="AN64">
            <v>99</v>
          </cell>
          <cell r="AO64">
            <v>99</v>
          </cell>
          <cell r="AP64">
            <v>99</v>
          </cell>
          <cell r="AS64">
            <v>27</v>
          </cell>
          <cell r="AU64">
            <v>36051.625</v>
          </cell>
          <cell r="AV64">
            <v>125</v>
          </cell>
          <cell r="AW64">
            <v>148</v>
          </cell>
          <cell r="AX64">
            <v>162</v>
          </cell>
          <cell r="AY64">
            <v>183</v>
          </cell>
          <cell r="AZ64">
            <v>144</v>
          </cell>
          <cell r="BA64">
            <v>165</v>
          </cell>
          <cell r="BB64">
            <v>294</v>
          </cell>
          <cell r="BC64">
            <v>240</v>
          </cell>
          <cell r="BD64">
            <v>266</v>
          </cell>
          <cell r="BI64">
            <v>99</v>
          </cell>
          <cell r="BL64">
            <v>27</v>
          </cell>
        </row>
        <row r="65">
          <cell r="A65">
            <v>36142.9375</v>
          </cell>
          <cell r="B65">
            <v>28.54</v>
          </cell>
          <cell r="C65">
            <v>30.66</v>
          </cell>
          <cell r="D65">
            <v>-2.13</v>
          </cell>
          <cell r="E65">
            <v>19.37</v>
          </cell>
          <cell r="F65">
            <v>51.45</v>
          </cell>
          <cell r="G65">
            <v>-32.090000000000003</v>
          </cell>
          <cell r="H65">
            <v>26.15</v>
          </cell>
          <cell r="I65">
            <v>6.13</v>
          </cell>
          <cell r="J65">
            <v>20.02</v>
          </cell>
          <cell r="K65">
            <v>76.62</v>
          </cell>
          <cell r="L65">
            <v>16.75</v>
          </cell>
          <cell r="M65">
            <v>59.87</v>
          </cell>
          <cell r="N65">
            <v>42.5</v>
          </cell>
          <cell r="O65">
            <v>16.829999999999998</v>
          </cell>
          <cell r="P65">
            <v>25.67</v>
          </cell>
          <cell r="Q65">
            <v>16.46</v>
          </cell>
          <cell r="R65">
            <v>8.1199999999999992</v>
          </cell>
          <cell r="S65">
            <v>8.34</v>
          </cell>
          <cell r="V65">
            <v>28</v>
          </cell>
          <cell r="X65">
            <v>36142.9375</v>
          </cell>
          <cell r="Y65">
            <v>128233</v>
          </cell>
          <cell r="Z65">
            <v>139433</v>
          </cell>
          <cell r="AA65">
            <v>11267</v>
          </cell>
          <cell r="AB65">
            <v>31100</v>
          </cell>
          <cell r="AC65">
            <v>9000</v>
          </cell>
          <cell r="AD65">
            <v>14133</v>
          </cell>
          <cell r="AI65">
            <v>99</v>
          </cell>
          <cell r="AJ65">
            <v>99</v>
          </cell>
          <cell r="AK65">
            <v>99</v>
          </cell>
          <cell r="AL65">
            <v>99</v>
          </cell>
          <cell r="AM65">
            <v>99</v>
          </cell>
          <cell r="AN65">
            <v>99</v>
          </cell>
          <cell r="AO65">
            <v>99</v>
          </cell>
          <cell r="AP65">
            <v>99</v>
          </cell>
          <cell r="AS65">
            <v>28</v>
          </cell>
          <cell r="AU65">
            <v>36142.9375</v>
          </cell>
          <cell r="AV65">
            <v>84</v>
          </cell>
          <cell r="AW65">
            <v>102</v>
          </cell>
          <cell r="AX65">
            <v>117</v>
          </cell>
          <cell r="AY65">
            <v>140</v>
          </cell>
          <cell r="AZ65">
            <v>100</v>
          </cell>
          <cell r="BA65">
            <v>122</v>
          </cell>
          <cell r="BB65">
            <v>293</v>
          </cell>
          <cell r="BC65">
            <v>216</v>
          </cell>
          <cell r="BD65">
            <v>233</v>
          </cell>
          <cell r="BI65">
            <v>99</v>
          </cell>
          <cell r="BL65">
            <v>28</v>
          </cell>
        </row>
        <row r="66">
          <cell r="A66">
            <v>36234.25</v>
          </cell>
          <cell r="B66">
            <v>19.440000000000001</v>
          </cell>
          <cell r="C66">
            <v>27.84</v>
          </cell>
          <cell r="D66">
            <v>-8.41</v>
          </cell>
          <cell r="E66">
            <v>7.47</v>
          </cell>
          <cell r="F66">
            <v>61.69</v>
          </cell>
          <cell r="G66">
            <v>-54.22</v>
          </cell>
          <cell r="H66">
            <v>24.9</v>
          </cell>
          <cell r="I66">
            <v>22.56</v>
          </cell>
          <cell r="J66">
            <v>2.34</v>
          </cell>
          <cell r="K66">
            <v>51.5</v>
          </cell>
          <cell r="L66">
            <v>17.71</v>
          </cell>
          <cell r="M66">
            <v>33.79</v>
          </cell>
          <cell r="N66">
            <v>26.09</v>
          </cell>
          <cell r="O66">
            <v>19.54</v>
          </cell>
          <cell r="P66">
            <v>6.54</v>
          </cell>
          <cell r="Q66">
            <v>8.43</v>
          </cell>
          <cell r="R66">
            <v>25.28</v>
          </cell>
          <cell r="S66">
            <v>-16.84</v>
          </cell>
          <cell r="V66">
            <v>29</v>
          </cell>
          <cell r="X66">
            <v>36234.25</v>
          </cell>
          <cell r="Y66">
            <v>134833</v>
          </cell>
          <cell r="Z66">
            <v>169217</v>
          </cell>
          <cell r="AA66">
            <v>14967</v>
          </cell>
          <cell r="AB66">
            <v>26967</v>
          </cell>
          <cell r="AC66">
            <v>11617</v>
          </cell>
          <cell r="AD66">
            <v>16817</v>
          </cell>
          <cell r="AI66">
            <v>99</v>
          </cell>
          <cell r="AJ66">
            <v>99</v>
          </cell>
          <cell r="AK66">
            <v>99</v>
          </cell>
          <cell r="AL66">
            <v>99</v>
          </cell>
          <cell r="AM66">
            <v>99</v>
          </cell>
          <cell r="AN66">
            <v>99</v>
          </cell>
          <cell r="AO66">
            <v>99</v>
          </cell>
          <cell r="AP66">
            <v>99</v>
          </cell>
          <cell r="AS66">
            <v>29</v>
          </cell>
          <cell r="AU66">
            <v>36234.25</v>
          </cell>
          <cell r="AV66">
            <v>89</v>
          </cell>
          <cell r="AW66">
            <v>110</v>
          </cell>
          <cell r="AX66">
            <v>105</v>
          </cell>
          <cell r="AY66">
            <v>119</v>
          </cell>
          <cell r="AZ66">
            <v>97</v>
          </cell>
          <cell r="BA66">
            <v>110</v>
          </cell>
          <cell r="BB66">
            <v>292</v>
          </cell>
          <cell r="BD66">
            <v>232</v>
          </cell>
          <cell r="BI66">
            <v>99</v>
          </cell>
          <cell r="BL66">
            <v>29</v>
          </cell>
        </row>
        <row r="67">
          <cell r="A67">
            <v>36325.5625</v>
          </cell>
          <cell r="B67">
            <v>14.31</v>
          </cell>
          <cell r="C67">
            <v>15.83</v>
          </cell>
          <cell r="D67">
            <v>-1.52</v>
          </cell>
          <cell r="E67">
            <v>3.12</v>
          </cell>
          <cell r="F67">
            <v>52.54</v>
          </cell>
          <cell r="G67">
            <v>-49.42</v>
          </cell>
          <cell r="H67">
            <v>13.77</v>
          </cell>
          <cell r="I67">
            <v>29.21</v>
          </cell>
          <cell r="J67">
            <v>-15.44</v>
          </cell>
          <cell r="K67">
            <v>30.76</v>
          </cell>
          <cell r="L67">
            <v>43.59</v>
          </cell>
          <cell r="M67">
            <v>-12.83</v>
          </cell>
          <cell r="N67">
            <v>34.479999999999997</v>
          </cell>
          <cell r="O67">
            <v>35.630000000000003</v>
          </cell>
          <cell r="P67">
            <v>-1.1500000000000057</v>
          </cell>
          <cell r="Q67">
            <v>9.26</v>
          </cell>
          <cell r="R67">
            <v>21.84</v>
          </cell>
          <cell r="S67">
            <v>-12.58</v>
          </cell>
          <cell r="V67">
            <v>30</v>
          </cell>
          <cell r="X67">
            <v>36325.5625</v>
          </cell>
          <cell r="Y67">
            <v>129950</v>
          </cell>
          <cell r="Z67">
            <v>173406</v>
          </cell>
          <cell r="AA67">
            <v>14650</v>
          </cell>
          <cell r="AB67">
            <v>23833</v>
          </cell>
          <cell r="AC67">
            <v>12183</v>
          </cell>
          <cell r="AD67">
            <v>18667</v>
          </cell>
          <cell r="AI67">
            <v>99</v>
          </cell>
          <cell r="AJ67">
            <v>99</v>
          </cell>
          <cell r="AK67">
            <v>99</v>
          </cell>
          <cell r="AL67">
            <v>99</v>
          </cell>
          <cell r="AM67">
            <v>99</v>
          </cell>
          <cell r="AN67">
            <v>99</v>
          </cell>
          <cell r="AO67">
            <v>99</v>
          </cell>
          <cell r="AP67">
            <v>99</v>
          </cell>
          <cell r="AS67">
            <v>30</v>
          </cell>
          <cell r="AU67">
            <v>36325.5625</v>
          </cell>
          <cell r="AV67">
            <v>88</v>
          </cell>
          <cell r="AW67">
            <v>113</v>
          </cell>
          <cell r="AX67">
            <v>103</v>
          </cell>
          <cell r="AY67">
            <v>123</v>
          </cell>
          <cell r="AZ67">
            <v>98</v>
          </cell>
          <cell r="BA67">
            <v>115</v>
          </cell>
          <cell r="BB67">
            <v>293</v>
          </cell>
          <cell r="BD67">
            <v>242</v>
          </cell>
          <cell r="BI67">
            <v>99</v>
          </cell>
          <cell r="BL67">
            <v>30</v>
          </cell>
        </row>
        <row r="68">
          <cell r="A68">
            <v>36416.875</v>
          </cell>
          <cell r="B68">
            <v>11.2</v>
          </cell>
          <cell r="C68">
            <v>29.22</v>
          </cell>
          <cell r="D68">
            <v>-18.02</v>
          </cell>
          <cell r="E68">
            <v>1.45</v>
          </cell>
          <cell r="F68">
            <v>36.78</v>
          </cell>
          <cell r="G68">
            <v>-35.33</v>
          </cell>
          <cell r="H68">
            <v>15.66</v>
          </cell>
          <cell r="I68">
            <v>8.8000000000000007</v>
          </cell>
          <cell r="J68">
            <v>6.77</v>
          </cell>
          <cell r="K68">
            <v>8.8699999999999992</v>
          </cell>
          <cell r="L68">
            <v>30.28</v>
          </cell>
          <cell r="M68">
            <v>-21.41</v>
          </cell>
          <cell r="N68">
            <v>10.18</v>
          </cell>
          <cell r="O68">
            <v>31.29</v>
          </cell>
          <cell r="P68">
            <v>-21.11</v>
          </cell>
          <cell r="Q68">
            <v>4.21</v>
          </cell>
          <cell r="R68">
            <v>15.64</v>
          </cell>
          <cell r="S68">
            <v>-11.43</v>
          </cell>
          <cell r="V68">
            <v>31</v>
          </cell>
          <cell r="X68">
            <v>36416.875</v>
          </cell>
          <cell r="Y68">
            <v>133400</v>
          </cell>
          <cell r="Z68">
            <v>150100</v>
          </cell>
          <cell r="AA68">
            <v>14350</v>
          </cell>
          <cell r="AB68">
            <v>26117</v>
          </cell>
          <cell r="AC68">
            <v>11050</v>
          </cell>
          <cell r="AD68">
            <v>19250</v>
          </cell>
          <cell r="AI68">
            <v>99</v>
          </cell>
          <cell r="AJ68">
            <v>99</v>
          </cell>
          <cell r="AK68">
            <v>99</v>
          </cell>
          <cell r="AL68">
            <v>99</v>
          </cell>
          <cell r="AM68">
            <v>99</v>
          </cell>
          <cell r="AN68">
            <v>99</v>
          </cell>
          <cell r="AO68">
            <v>99</v>
          </cell>
          <cell r="AP68">
            <v>99</v>
          </cell>
          <cell r="AS68">
            <v>31</v>
          </cell>
          <cell r="AU68">
            <v>36416.875</v>
          </cell>
          <cell r="AV68">
            <v>83</v>
          </cell>
          <cell r="AW68">
            <v>109</v>
          </cell>
          <cell r="AX68">
            <v>104</v>
          </cell>
          <cell r="AY68">
            <v>121</v>
          </cell>
          <cell r="AZ68">
            <v>92</v>
          </cell>
          <cell r="BA68">
            <v>113</v>
          </cell>
          <cell r="BB68">
            <v>293</v>
          </cell>
          <cell r="BD68">
            <v>245</v>
          </cell>
          <cell r="BI68">
            <v>99</v>
          </cell>
          <cell r="BL68">
            <v>31</v>
          </cell>
        </row>
        <row r="69">
          <cell r="A69">
            <v>36508.1875</v>
          </cell>
          <cell r="B69">
            <v>22.9</v>
          </cell>
          <cell r="C69">
            <v>19.600000000000001</v>
          </cell>
          <cell r="D69">
            <v>3.3</v>
          </cell>
          <cell r="E69">
            <v>11.9</v>
          </cell>
          <cell r="F69">
            <v>34.5</v>
          </cell>
          <cell r="G69">
            <v>-22.6</v>
          </cell>
          <cell r="H69">
            <v>23.5</v>
          </cell>
          <cell r="I69">
            <v>11.1</v>
          </cell>
          <cell r="J69">
            <v>12.4</v>
          </cell>
          <cell r="K69">
            <v>26.1</v>
          </cell>
          <cell r="L69">
            <v>31.5</v>
          </cell>
          <cell r="M69">
            <v>-5.4</v>
          </cell>
          <cell r="N69">
            <v>40.5</v>
          </cell>
          <cell r="O69">
            <v>12.9</v>
          </cell>
          <cell r="P69">
            <v>27.6</v>
          </cell>
          <cell r="Q69">
            <v>11.6</v>
          </cell>
          <cell r="R69">
            <v>11.4</v>
          </cell>
          <cell r="S69">
            <v>0.19999999999999929</v>
          </cell>
          <cell r="V69">
            <v>32</v>
          </cell>
          <cell r="X69">
            <v>36508.1875</v>
          </cell>
          <cell r="Y69">
            <v>129433</v>
          </cell>
          <cell r="Z69">
            <v>138967</v>
          </cell>
          <cell r="AA69">
            <v>6083</v>
          </cell>
          <cell r="AB69">
            <v>29033</v>
          </cell>
          <cell r="AC69">
            <v>10767</v>
          </cell>
          <cell r="AD69">
            <v>20750</v>
          </cell>
          <cell r="AI69">
            <v>99</v>
          </cell>
          <cell r="AJ69">
            <v>99</v>
          </cell>
          <cell r="AK69">
            <v>99</v>
          </cell>
          <cell r="AL69">
            <v>99</v>
          </cell>
          <cell r="AM69">
            <v>99</v>
          </cell>
          <cell r="AN69">
            <v>99</v>
          </cell>
          <cell r="AO69">
            <v>99</v>
          </cell>
          <cell r="AP69">
            <v>99</v>
          </cell>
          <cell r="AS69">
            <v>32</v>
          </cell>
          <cell r="AU69">
            <v>36508.1875</v>
          </cell>
          <cell r="AV69">
            <v>64</v>
          </cell>
          <cell r="AW69">
            <v>90</v>
          </cell>
          <cell r="AX69">
            <v>85</v>
          </cell>
          <cell r="AY69">
            <v>102</v>
          </cell>
          <cell r="AZ69">
            <v>77</v>
          </cell>
          <cell r="BA69">
            <v>94</v>
          </cell>
          <cell r="BB69">
            <v>292</v>
          </cell>
          <cell r="BD69">
            <v>216</v>
          </cell>
          <cell r="BI69">
            <v>99</v>
          </cell>
          <cell r="BL69">
            <v>32</v>
          </cell>
        </row>
        <row r="70">
          <cell r="A70">
            <v>36599.5</v>
          </cell>
          <cell r="B70">
            <v>41.19</v>
          </cell>
          <cell r="C70">
            <v>12.82</v>
          </cell>
          <cell r="D70">
            <v>28.37</v>
          </cell>
          <cell r="E70">
            <v>12.84</v>
          </cell>
          <cell r="F70">
            <v>45.78</v>
          </cell>
          <cell r="G70">
            <v>-32.94</v>
          </cell>
          <cell r="H70">
            <v>29.87</v>
          </cell>
          <cell r="I70">
            <v>9.92</v>
          </cell>
          <cell r="J70">
            <v>19.940000000000001</v>
          </cell>
          <cell r="K70">
            <v>48.49</v>
          </cell>
          <cell r="L70">
            <v>24.82</v>
          </cell>
          <cell r="M70">
            <v>23.67</v>
          </cell>
          <cell r="N70">
            <v>49.33</v>
          </cell>
          <cell r="O70">
            <v>24.22</v>
          </cell>
          <cell r="P70">
            <v>25.12</v>
          </cell>
          <cell r="Q70">
            <v>15.58</v>
          </cell>
          <cell r="R70">
            <v>5.28</v>
          </cell>
          <cell r="S70">
            <v>10.3</v>
          </cell>
          <cell r="V70">
            <v>33</v>
          </cell>
          <cell r="X70">
            <v>36599.5</v>
          </cell>
          <cell r="Y70">
            <v>127250</v>
          </cell>
          <cell r="Z70">
            <v>143700</v>
          </cell>
          <cell r="AA70">
            <v>14267</v>
          </cell>
          <cell r="AB70">
            <v>40667</v>
          </cell>
          <cell r="AC70">
            <v>10233</v>
          </cell>
          <cell r="AD70">
            <v>17383</v>
          </cell>
          <cell r="AI70">
            <v>99</v>
          </cell>
          <cell r="AJ70">
            <v>99</v>
          </cell>
          <cell r="AK70">
            <v>99</v>
          </cell>
          <cell r="AL70">
            <v>99</v>
          </cell>
          <cell r="AM70">
            <v>99</v>
          </cell>
          <cell r="AN70">
            <v>99</v>
          </cell>
          <cell r="AO70">
            <v>99</v>
          </cell>
          <cell r="AP70">
            <v>99</v>
          </cell>
          <cell r="AS70">
            <v>33</v>
          </cell>
          <cell r="AU70">
            <v>36599.5</v>
          </cell>
          <cell r="AV70">
            <v>60</v>
          </cell>
          <cell r="AW70">
            <v>82</v>
          </cell>
          <cell r="AX70">
            <v>70</v>
          </cell>
          <cell r="AY70">
            <v>87</v>
          </cell>
          <cell r="AZ70">
            <v>66</v>
          </cell>
          <cell r="BA70">
            <v>84</v>
          </cell>
          <cell r="BB70">
            <v>286</v>
          </cell>
          <cell r="BC70">
            <v>193</v>
          </cell>
          <cell r="BD70">
            <v>211</v>
          </cell>
          <cell r="BI70">
            <v>99</v>
          </cell>
          <cell r="BL70">
            <v>33</v>
          </cell>
        </row>
        <row r="71">
          <cell r="A71">
            <v>36690.8125</v>
          </cell>
          <cell r="B71">
            <v>31.2</v>
          </cell>
          <cell r="C71">
            <v>44.5</v>
          </cell>
          <cell r="D71">
            <v>13.52</v>
          </cell>
          <cell r="E71">
            <v>5.09</v>
          </cell>
          <cell r="F71">
            <v>25.7</v>
          </cell>
          <cell r="G71">
            <v>58.6</v>
          </cell>
          <cell r="H71">
            <v>8.2799999999999994</v>
          </cell>
          <cell r="I71">
            <v>50</v>
          </cell>
          <cell r="J71">
            <v>28.63</v>
          </cell>
          <cell r="K71">
            <v>14.19</v>
          </cell>
          <cell r="L71">
            <v>34.26</v>
          </cell>
          <cell r="M71">
            <v>51.55</v>
          </cell>
          <cell r="N71">
            <v>60.99</v>
          </cell>
          <cell r="O71">
            <v>9.39</v>
          </cell>
          <cell r="P71">
            <v>18.43</v>
          </cell>
          <cell r="Q71">
            <v>10.32</v>
          </cell>
          <cell r="R71">
            <v>60.92</v>
          </cell>
          <cell r="S71">
            <v>5.0599999999999996</v>
          </cell>
          <cell r="V71">
            <v>34</v>
          </cell>
          <cell r="X71">
            <v>36690.8125</v>
          </cell>
          <cell r="Y71">
            <v>120683</v>
          </cell>
          <cell r="Z71">
            <v>148533</v>
          </cell>
          <cell r="AA71">
            <v>13522</v>
          </cell>
          <cell r="AB71">
            <v>39489</v>
          </cell>
          <cell r="AC71">
            <v>11144</v>
          </cell>
          <cell r="AD71">
            <v>16761</v>
          </cell>
          <cell r="AI71">
            <v>99</v>
          </cell>
          <cell r="AJ71">
            <v>99</v>
          </cell>
          <cell r="AK71">
            <v>99</v>
          </cell>
          <cell r="AL71">
            <v>99</v>
          </cell>
          <cell r="AM71">
            <v>99</v>
          </cell>
          <cell r="AN71">
            <v>99</v>
          </cell>
          <cell r="AO71">
            <v>99</v>
          </cell>
          <cell r="AP71">
            <v>99</v>
          </cell>
          <cell r="AS71">
            <v>34</v>
          </cell>
          <cell r="AU71">
            <v>36690.8125</v>
          </cell>
          <cell r="AV71">
            <v>68</v>
          </cell>
          <cell r="AW71">
            <v>87</v>
          </cell>
          <cell r="AX71">
            <v>73</v>
          </cell>
          <cell r="AY71">
            <v>91</v>
          </cell>
          <cell r="AZ71">
            <v>69</v>
          </cell>
          <cell r="BA71">
            <v>88</v>
          </cell>
          <cell r="BB71">
            <v>288</v>
          </cell>
          <cell r="BC71">
            <v>217</v>
          </cell>
          <cell r="BD71">
            <v>219</v>
          </cell>
          <cell r="BI71">
            <v>99</v>
          </cell>
          <cell r="BL71">
            <v>34</v>
          </cell>
        </row>
        <row r="72">
          <cell r="A72">
            <v>36782.125</v>
          </cell>
          <cell r="B72">
            <v>21.51</v>
          </cell>
          <cell r="C72">
            <v>20.18</v>
          </cell>
          <cell r="D72">
            <v>1.33</v>
          </cell>
          <cell r="E72">
            <v>3.7</v>
          </cell>
          <cell r="F72">
            <v>57.76</v>
          </cell>
          <cell r="G72">
            <v>-54.05</v>
          </cell>
          <cell r="H72">
            <v>19.68</v>
          </cell>
          <cell r="I72">
            <v>8.17</v>
          </cell>
          <cell r="J72">
            <v>11.5</v>
          </cell>
          <cell r="K72">
            <v>21.19</v>
          </cell>
          <cell r="L72">
            <v>31.94</v>
          </cell>
          <cell r="M72">
            <v>-10.74</v>
          </cell>
          <cell r="N72">
            <v>52.44</v>
          </cell>
          <cell r="O72">
            <v>30.07</v>
          </cell>
          <cell r="P72">
            <v>22.38</v>
          </cell>
          <cell r="Q72">
            <v>33.58</v>
          </cell>
          <cell r="R72">
            <v>0.28000000000000003</v>
          </cell>
          <cell r="S72">
            <v>33.299999999999997</v>
          </cell>
          <cell r="V72">
            <v>35</v>
          </cell>
          <cell r="X72">
            <v>36782.125</v>
          </cell>
          <cell r="Y72">
            <v>135233</v>
          </cell>
          <cell r="Z72">
            <v>126433</v>
          </cell>
          <cell r="AA72">
            <v>14700</v>
          </cell>
          <cell r="AB72">
            <v>33367</v>
          </cell>
          <cell r="AC72">
            <v>11333</v>
          </cell>
          <cell r="AD72">
            <v>12933</v>
          </cell>
          <cell r="AI72">
            <v>99</v>
          </cell>
          <cell r="AJ72">
            <v>99</v>
          </cell>
          <cell r="AK72">
            <v>99</v>
          </cell>
          <cell r="AL72">
            <v>99</v>
          </cell>
          <cell r="AM72">
            <v>99</v>
          </cell>
          <cell r="AN72">
            <v>99</v>
          </cell>
          <cell r="AO72">
            <v>99</v>
          </cell>
          <cell r="AP72">
            <v>99</v>
          </cell>
          <cell r="AS72">
            <v>35</v>
          </cell>
          <cell r="AU72">
            <v>36782.125</v>
          </cell>
          <cell r="AV72">
            <v>70</v>
          </cell>
          <cell r="AW72">
            <v>88</v>
          </cell>
          <cell r="AX72">
            <v>77</v>
          </cell>
          <cell r="AY72">
            <v>95</v>
          </cell>
          <cell r="AZ72">
            <v>68</v>
          </cell>
          <cell r="BA72">
            <v>88</v>
          </cell>
          <cell r="BB72">
            <v>285</v>
          </cell>
          <cell r="BC72">
            <v>175</v>
          </cell>
          <cell r="BD72">
            <v>228</v>
          </cell>
          <cell r="BI72">
            <v>99</v>
          </cell>
          <cell r="BL72">
            <v>35</v>
          </cell>
        </row>
        <row r="73">
          <cell r="A73">
            <v>36873.4375</v>
          </cell>
          <cell r="B73">
            <v>38.71</v>
          </cell>
          <cell r="C73">
            <v>12.91</v>
          </cell>
          <cell r="D73">
            <v>25.8</v>
          </cell>
          <cell r="E73">
            <v>15.38</v>
          </cell>
          <cell r="F73">
            <v>29.27</v>
          </cell>
          <cell r="G73">
            <v>-13.89</v>
          </cell>
          <cell r="H73">
            <v>14.16</v>
          </cell>
          <cell r="I73">
            <v>6.19</v>
          </cell>
          <cell r="J73">
            <v>7.97</v>
          </cell>
          <cell r="K73">
            <v>28.28</v>
          </cell>
          <cell r="L73">
            <v>15.64</v>
          </cell>
          <cell r="M73">
            <v>12.63</v>
          </cell>
          <cell r="N73">
            <v>45.51</v>
          </cell>
          <cell r="O73">
            <v>21.61</v>
          </cell>
          <cell r="P73">
            <v>23.9</v>
          </cell>
          <cell r="Q73">
            <v>19.47</v>
          </cell>
          <cell r="R73">
            <v>9.06</v>
          </cell>
          <cell r="S73">
            <v>10.4</v>
          </cell>
          <cell r="V73">
            <v>36</v>
          </cell>
          <cell r="X73">
            <v>36873.4375</v>
          </cell>
          <cell r="Y73">
            <v>130667</v>
          </cell>
          <cell r="Z73">
            <v>125500</v>
          </cell>
          <cell r="AA73">
            <v>14933</v>
          </cell>
          <cell r="AB73">
            <v>35033</v>
          </cell>
          <cell r="AC73">
            <v>11671</v>
          </cell>
          <cell r="AD73">
            <v>16100</v>
          </cell>
          <cell r="AI73">
            <v>99</v>
          </cell>
          <cell r="AJ73">
            <v>99</v>
          </cell>
          <cell r="AK73">
            <v>99</v>
          </cell>
          <cell r="AL73">
            <v>99</v>
          </cell>
          <cell r="AM73">
            <v>99</v>
          </cell>
          <cell r="AN73">
            <v>99</v>
          </cell>
          <cell r="AO73">
            <v>99</v>
          </cell>
          <cell r="AP73">
            <v>99</v>
          </cell>
          <cell r="AS73">
            <v>36</v>
          </cell>
          <cell r="AU73">
            <v>36873.4375</v>
          </cell>
          <cell r="AV73">
            <v>69</v>
          </cell>
          <cell r="AW73">
            <v>86</v>
          </cell>
          <cell r="AX73">
            <v>83</v>
          </cell>
          <cell r="AY73">
            <v>99</v>
          </cell>
          <cell r="AZ73">
            <v>74</v>
          </cell>
          <cell r="BA73">
            <v>90</v>
          </cell>
          <cell r="BB73">
            <v>280</v>
          </cell>
          <cell r="BC73">
            <v>211</v>
          </cell>
          <cell r="BD73">
            <v>226</v>
          </cell>
          <cell r="BI73">
            <v>99</v>
          </cell>
          <cell r="BL73">
            <v>36</v>
          </cell>
        </row>
        <row r="74">
          <cell r="A74">
            <v>36964.75</v>
          </cell>
          <cell r="B74">
            <v>22.52</v>
          </cell>
          <cell r="C74">
            <v>32.409999999999997</v>
          </cell>
          <cell r="D74">
            <v>-9.9</v>
          </cell>
          <cell r="E74">
            <v>10.73</v>
          </cell>
          <cell r="F74">
            <v>45.31</v>
          </cell>
          <cell r="G74">
            <v>-34.57</v>
          </cell>
          <cell r="H74">
            <v>8</v>
          </cell>
          <cell r="I74">
            <v>7.86</v>
          </cell>
          <cell r="J74">
            <v>0.14000000000000001</v>
          </cell>
          <cell r="K74">
            <v>74.84</v>
          </cell>
          <cell r="L74">
            <v>19.850000000000001</v>
          </cell>
          <cell r="M74">
            <v>54.99</v>
          </cell>
          <cell r="N74">
            <v>41.76</v>
          </cell>
          <cell r="O74">
            <v>34.94</v>
          </cell>
          <cell r="P74">
            <v>6.82</v>
          </cell>
          <cell r="Q74">
            <v>1.29</v>
          </cell>
          <cell r="R74">
            <v>4.37</v>
          </cell>
          <cell r="S74">
            <v>-3.08</v>
          </cell>
          <cell r="V74">
            <v>37</v>
          </cell>
          <cell r="X74">
            <v>36964.75</v>
          </cell>
          <cell r="Y74">
            <v>117971</v>
          </cell>
          <cell r="Z74">
            <v>144512</v>
          </cell>
          <cell r="AA74">
            <v>17468</v>
          </cell>
          <cell r="AB74">
            <v>42060</v>
          </cell>
          <cell r="AC74">
            <v>12160</v>
          </cell>
          <cell r="AD74">
            <v>19058</v>
          </cell>
          <cell r="AI74">
            <v>99</v>
          </cell>
          <cell r="AJ74">
            <v>99</v>
          </cell>
          <cell r="AK74">
            <v>99</v>
          </cell>
          <cell r="AL74">
            <v>99</v>
          </cell>
          <cell r="AM74">
            <v>99</v>
          </cell>
          <cell r="AN74">
            <v>99</v>
          </cell>
          <cell r="AO74">
            <v>99</v>
          </cell>
          <cell r="AP74">
            <v>99</v>
          </cell>
          <cell r="AS74">
            <v>37</v>
          </cell>
          <cell r="AU74">
            <v>36964.75</v>
          </cell>
          <cell r="AV74">
            <v>86</v>
          </cell>
          <cell r="AW74">
            <v>107</v>
          </cell>
          <cell r="AX74">
            <v>97</v>
          </cell>
          <cell r="AY74">
            <v>119</v>
          </cell>
          <cell r="AZ74">
            <v>89</v>
          </cell>
          <cell r="BA74">
            <v>110</v>
          </cell>
          <cell r="BB74">
            <v>284</v>
          </cell>
          <cell r="BD74">
            <v>239</v>
          </cell>
          <cell r="BI74">
            <v>99</v>
          </cell>
          <cell r="BL74">
            <v>37</v>
          </cell>
        </row>
        <row r="75">
          <cell r="A75">
            <v>37056.0625</v>
          </cell>
          <cell r="B75">
            <v>18.97</v>
          </cell>
          <cell r="C75">
            <v>17.61</v>
          </cell>
          <cell r="D75">
            <v>1.36</v>
          </cell>
          <cell r="E75">
            <v>6.79</v>
          </cell>
          <cell r="F75">
            <v>55.35</v>
          </cell>
          <cell r="G75">
            <v>-48.56</v>
          </cell>
          <cell r="H75">
            <v>27.02</v>
          </cell>
          <cell r="I75">
            <v>13.86</v>
          </cell>
          <cell r="J75">
            <v>13.16</v>
          </cell>
          <cell r="K75">
            <v>37.71</v>
          </cell>
          <cell r="L75">
            <v>53.21</v>
          </cell>
          <cell r="M75">
            <v>-15.5</v>
          </cell>
          <cell r="N75">
            <v>34.880000000000003</v>
          </cell>
          <cell r="O75">
            <v>23.66</v>
          </cell>
          <cell r="P75">
            <v>11.22</v>
          </cell>
          <cell r="Q75">
            <v>4.1500000000000004</v>
          </cell>
          <cell r="R75">
            <v>9.81</v>
          </cell>
          <cell r="S75">
            <v>-5.65</v>
          </cell>
          <cell r="V75">
            <v>38</v>
          </cell>
          <cell r="X75">
            <v>37056.0625</v>
          </cell>
          <cell r="Y75">
            <v>116430</v>
          </cell>
          <cell r="Z75">
            <v>161891</v>
          </cell>
          <cell r="AA75">
            <v>16914</v>
          </cell>
          <cell r="AB75">
            <v>34143</v>
          </cell>
          <cell r="AC75">
            <v>11767</v>
          </cell>
          <cell r="AD75">
            <v>17293</v>
          </cell>
          <cell r="AI75">
            <v>99</v>
          </cell>
          <cell r="AJ75">
            <v>99</v>
          </cell>
          <cell r="AK75">
            <v>99</v>
          </cell>
          <cell r="AL75">
            <v>99</v>
          </cell>
          <cell r="AM75">
            <v>99</v>
          </cell>
          <cell r="AN75">
            <v>99</v>
          </cell>
          <cell r="AO75">
            <v>99</v>
          </cell>
          <cell r="AP75">
            <v>99</v>
          </cell>
          <cell r="AS75">
            <v>38</v>
          </cell>
          <cell r="AU75">
            <v>37056.0625</v>
          </cell>
          <cell r="AV75">
            <v>112</v>
          </cell>
          <cell r="AW75">
            <v>134</v>
          </cell>
          <cell r="AX75">
            <v>126</v>
          </cell>
          <cell r="AY75">
            <v>155</v>
          </cell>
          <cell r="AZ75">
            <v>111</v>
          </cell>
          <cell r="BA75">
            <v>135</v>
          </cell>
          <cell r="BB75">
            <v>283</v>
          </cell>
          <cell r="BD75">
            <v>254</v>
          </cell>
          <cell r="BI75">
            <v>99</v>
          </cell>
          <cell r="BL75">
            <v>38</v>
          </cell>
        </row>
        <row r="76">
          <cell r="A76">
            <v>37147.375</v>
          </cell>
          <cell r="B76">
            <v>7.18</v>
          </cell>
          <cell r="C76">
            <v>17.73</v>
          </cell>
          <cell r="D76">
            <v>-10.55</v>
          </cell>
          <cell r="E76">
            <v>12.47</v>
          </cell>
          <cell r="F76">
            <v>46.2</v>
          </cell>
          <cell r="G76">
            <v>-33.729999999999997</v>
          </cell>
          <cell r="H76">
            <v>2.4900000000000002</v>
          </cell>
          <cell r="I76">
            <v>23.58</v>
          </cell>
          <cell r="J76">
            <v>-21.09</v>
          </cell>
          <cell r="K76">
            <v>6.6</v>
          </cell>
          <cell r="L76">
            <v>43.5</v>
          </cell>
          <cell r="M76">
            <v>-36.9</v>
          </cell>
          <cell r="N76">
            <v>37.090000000000003</v>
          </cell>
          <cell r="O76">
            <v>30.07</v>
          </cell>
          <cell r="P76">
            <v>7.02</v>
          </cell>
          <cell r="Q76">
            <v>29.81</v>
          </cell>
          <cell r="R76">
            <v>4.26</v>
          </cell>
          <cell r="S76">
            <v>25.55</v>
          </cell>
          <cell r="V76">
            <v>39</v>
          </cell>
          <cell r="X76">
            <v>37147.375</v>
          </cell>
          <cell r="Y76">
            <v>143320</v>
          </cell>
          <cell r="Z76">
            <v>143138</v>
          </cell>
          <cell r="AA76">
            <v>16933</v>
          </cell>
          <cell r="AB76">
            <v>37523</v>
          </cell>
          <cell r="AC76">
            <v>11972</v>
          </cell>
          <cell r="AD76">
            <v>19278</v>
          </cell>
          <cell r="AI76">
            <v>99</v>
          </cell>
          <cell r="AJ76">
            <v>99</v>
          </cell>
          <cell r="AK76">
            <v>99</v>
          </cell>
          <cell r="AL76">
            <v>99</v>
          </cell>
          <cell r="AM76">
            <v>99</v>
          </cell>
          <cell r="AN76">
            <v>99</v>
          </cell>
          <cell r="AO76">
            <v>99</v>
          </cell>
          <cell r="AP76">
            <v>99</v>
          </cell>
          <cell r="AS76">
            <v>39</v>
          </cell>
          <cell r="AU76">
            <v>37147.375</v>
          </cell>
          <cell r="AV76">
            <v>124</v>
          </cell>
          <cell r="AW76">
            <v>145</v>
          </cell>
          <cell r="AX76">
            <v>145</v>
          </cell>
          <cell r="AY76">
            <v>171</v>
          </cell>
          <cell r="AZ76">
            <v>140</v>
          </cell>
          <cell r="BA76">
            <v>154</v>
          </cell>
          <cell r="BB76">
            <v>280</v>
          </cell>
          <cell r="BD76">
            <v>256</v>
          </cell>
          <cell r="BI76">
            <v>99</v>
          </cell>
          <cell r="BL76">
            <v>39</v>
          </cell>
        </row>
        <row r="77">
          <cell r="A77">
            <v>37238.6875</v>
          </cell>
          <cell r="B77">
            <v>12.27</v>
          </cell>
          <cell r="C77">
            <v>10.58</v>
          </cell>
          <cell r="D77">
            <v>1.69</v>
          </cell>
          <cell r="E77">
            <v>9.82</v>
          </cell>
          <cell r="F77">
            <v>33.47</v>
          </cell>
          <cell r="G77">
            <v>-23.65</v>
          </cell>
          <cell r="H77">
            <v>39.15</v>
          </cell>
          <cell r="I77">
            <v>8.64</v>
          </cell>
          <cell r="J77">
            <v>30.52</v>
          </cell>
          <cell r="K77">
            <v>61.25</v>
          </cell>
          <cell r="L77">
            <v>15.43</v>
          </cell>
          <cell r="M77">
            <v>45.81</v>
          </cell>
          <cell r="N77">
            <v>31.84</v>
          </cell>
          <cell r="O77">
            <v>35.71</v>
          </cell>
          <cell r="P77">
            <v>-3.87</v>
          </cell>
          <cell r="Q77">
            <v>23.74</v>
          </cell>
          <cell r="R77">
            <v>2.61</v>
          </cell>
          <cell r="S77">
            <v>21.13</v>
          </cell>
          <cell r="V77">
            <v>40</v>
          </cell>
          <cell r="X77">
            <v>37238.6875</v>
          </cell>
          <cell r="Y77">
            <v>105390</v>
          </cell>
          <cell r="Z77">
            <v>138300</v>
          </cell>
          <cell r="AA77">
            <v>18266</v>
          </cell>
          <cell r="AB77">
            <v>43128</v>
          </cell>
          <cell r="AC77">
            <v>13416</v>
          </cell>
          <cell r="AD77">
            <v>23372</v>
          </cell>
          <cell r="AI77">
            <v>99</v>
          </cell>
          <cell r="AJ77">
            <v>99</v>
          </cell>
          <cell r="AK77">
            <v>99</v>
          </cell>
          <cell r="AL77">
            <v>99</v>
          </cell>
          <cell r="AM77">
            <v>99</v>
          </cell>
          <cell r="AN77">
            <v>99</v>
          </cell>
          <cell r="AO77">
            <v>99</v>
          </cell>
          <cell r="AP77">
            <v>99</v>
          </cell>
          <cell r="AS77">
            <v>40</v>
          </cell>
          <cell r="AU77">
            <v>37238.6875</v>
          </cell>
          <cell r="AV77">
            <v>79</v>
          </cell>
          <cell r="AW77">
            <v>111</v>
          </cell>
          <cell r="AX77">
            <v>120</v>
          </cell>
          <cell r="AY77">
            <v>138</v>
          </cell>
          <cell r="AZ77">
            <v>100</v>
          </cell>
          <cell r="BA77">
            <v>119</v>
          </cell>
          <cell r="BB77">
            <v>276</v>
          </cell>
          <cell r="BD77">
            <v>226</v>
          </cell>
          <cell r="BI77">
            <v>99</v>
          </cell>
          <cell r="BL77">
            <v>40</v>
          </cell>
        </row>
        <row r="78">
          <cell r="A78">
            <v>37330</v>
          </cell>
          <cell r="B78">
            <v>17.22</v>
          </cell>
          <cell r="C78">
            <v>16.940000000000001</v>
          </cell>
          <cell r="D78">
            <v>0.28000000000000003</v>
          </cell>
          <cell r="E78">
            <v>22.94</v>
          </cell>
          <cell r="F78">
            <v>27.02</v>
          </cell>
          <cell r="G78">
            <v>-4.07</v>
          </cell>
          <cell r="H78">
            <v>6.57</v>
          </cell>
          <cell r="I78">
            <v>36.479999999999997</v>
          </cell>
          <cell r="J78">
            <v>-29.91</v>
          </cell>
          <cell r="K78">
            <v>63.83</v>
          </cell>
          <cell r="L78">
            <v>10.78</v>
          </cell>
          <cell r="M78">
            <v>53.06</v>
          </cell>
          <cell r="N78">
            <v>27.37</v>
          </cell>
          <cell r="O78">
            <v>39.9</v>
          </cell>
          <cell r="P78">
            <v>-12.53</v>
          </cell>
          <cell r="Q78">
            <v>13.98</v>
          </cell>
          <cell r="R78">
            <v>5.34</v>
          </cell>
          <cell r="S78">
            <v>8.64</v>
          </cell>
          <cell r="V78">
            <v>41</v>
          </cell>
          <cell r="X78">
            <v>37330</v>
          </cell>
          <cell r="Y78">
            <v>172335</v>
          </cell>
          <cell r="Z78">
            <v>147241</v>
          </cell>
          <cell r="AA78">
            <v>24806</v>
          </cell>
          <cell r="AB78">
            <v>40870</v>
          </cell>
          <cell r="AC78">
            <v>15421</v>
          </cell>
          <cell r="AD78">
            <v>26130</v>
          </cell>
          <cell r="AS78">
            <v>41</v>
          </cell>
          <cell r="AU78">
            <v>37330</v>
          </cell>
          <cell r="AV78">
            <v>116</v>
          </cell>
          <cell r="AW78">
            <v>133</v>
          </cell>
          <cell r="AX78">
            <v>120</v>
          </cell>
          <cell r="AY78">
            <v>141</v>
          </cell>
          <cell r="AZ78">
            <v>115</v>
          </cell>
          <cell r="BA78">
            <v>135</v>
          </cell>
          <cell r="BB78">
            <v>275</v>
          </cell>
          <cell r="BD78">
            <v>233</v>
          </cell>
          <cell r="BL78">
            <v>41</v>
          </cell>
        </row>
        <row r="79">
          <cell r="A79">
            <v>37421.3125</v>
          </cell>
          <cell r="B79">
            <v>8.09</v>
          </cell>
          <cell r="C79">
            <v>36.729999999999997</v>
          </cell>
          <cell r="D79">
            <v>-28.63</v>
          </cell>
          <cell r="E79">
            <v>17</v>
          </cell>
          <cell r="F79">
            <v>30.93</v>
          </cell>
          <cell r="G79">
            <v>-13.93</v>
          </cell>
          <cell r="H79">
            <v>8.74</v>
          </cell>
          <cell r="I79">
            <v>42.72</v>
          </cell>
          <cell r="J79">
            <v>-33.979999999999997</v>
          </cell>
          <cell r="K79">
            <v>20.05</v>
          </cell>
          <cell r="L79">
            <v>42.49</v>
          </cell>
          <cell r="M79">
            <v>-22.44</v>
          </cell>
          <cell r="N79">
            <v>22.67</v>
          </cell>
          <cell r="O79">
            <v>48.71</v>
          </cell>
          <cell r="P79">
            <v>-26.04</v>
          </cell>
          <cell r="Q79">
            <v>3.64</v>
          </cell>
          <cell r="R79">
            <v>10.93</v>
          </cell>
          <cell r="S79">
            <v>-7.29</v>
          </cell>
          <cell r="V79">
            <v>42</v>
          </cell>
          <cell r="X79">
            <v>37421.3125</v>
          </cell>
          <cell r="Y79">
            <v>165816</v>
          </cell>
          <cell r="Z79">
            <v>175611</v>
          </cell>
          <cell r="AA79">
            <v>18438</v>
          </cell>
          <cell r="AB79">
            <v>36341</v>
          </cell>
          <cell r="AC79">
            <v>12983</v>
          </cell>
          <cell r="AD79">
            <v>31217</v>
          </cell>
          <cell r="AS79">
            <v>42</v>
          </cell>
          <cell r="AU79">
            <v>37421.3125</v>
          </cell>
          <cell r="AV79">
            <v>126</v>
          </cell>
          <cell r="AW79">
            <v>146</v>
          </cell>
          <cell r="AX79">
            <v>142</v>
          </cell>
          <cell r="AY79">
            <v>163</v>
          </cell>
          <cell r="AZ79">
            <v>130</v>
          </cell>
          <cell r="BA79">
            <v>151</v>
          </cell>
          <cell r="BB79">
            <v>272</v>
          </cell>
          <cell r="BD79">
            <v>236</v>
          </cell>
          <cell r="BL79">
            <v>42</v>
          </cell>
        </row>
        <row r="80">
          <cell r="A80">
            <v>37512.625</v>
          </cell>
          <cell r="B80">
            <v>4.88</v>
          </cell>
          <cell r="C80">
            <v>27.67</v>
          </cell>
          <cell r="D80">
            <v>-22.79</v>
          </cell>
          <cell r="E80">
            <v>8.5399999999999991</v>
          </cell>
          <cell r="F80">
            <v>49.15</v>
          </cell>
          <cell r="G80">
            <v>-11.59</v>
          </cell>
          <cell r="H80">
            <v>23.96</v>
          </cell>
          <cell r="I80">
            <v>56.48</v>
          </cell>
          <cell r="J80">
            <v>15.16</v>
          </cell>
          <cell r="K80">
            <v>35.729999999999997</v>
          </cell>
          <cell r="L80">
            <v>18.059999999999999</v>
          </cell>
          <cell r="M80">
            <v>17.670000000000002</v>
          </cell>
          <cell r="N80">
            <v>30.73</v>
          </cell>
          <cell r="O80">
            <v>23.83</v>
          </cell>
          <cell r="P80">
            <v>-4.09</v>
          </cell>
          <cell r="V80">
            <v>43</v>
          </cell>
          <cell r="X80">
            <v>37512.625</v>
          </cell>
          <cell r="Y80">
            <v>163963</v>
          </cell>
          <cell r="Z80">
            <v>146490</v>
          </cell>
          <cell r="AA80">
            <v>15480</v>
          </cell>
          <cell r="AB80">
            <v>39428</v>
          </cell>
          <cell r="AC80">
            <v>10770</v>
          </cell>
          <cell r="AD80">
            <v>27335</v>
          </cell>
          <cell r="AS80">
            <v>43</v>
          </cell>
          <cell r="AU80">
            <v>37512.625</v>
          </cell>
          <cell r="AV80">
            <v>127</v>
          </cell>
          <cell r="AW80">
            <v>150</v>
          </cell>
          <cell r="AX80">
            <v>158</v>
          </cell>
          <cell r="AY80">
            <v>178</v>
          </cell>
          <cell r="AZ80">
            <v>142</v>
          </cell>
          <cell r="BA80">
            <v>164</v>
          </cell>
          <cell r="BB80">
            <v>272</v>
          </cell>
          <cell r="BD80">
            <v>239</v>
          </cell>
          <cell r="BL80">
            <v>43</v>
          </cell>
        </row>
        <row r="81">
          <cell r="A81">
            <v>37603.9375</v>
          </cell>
          <cell r="V81" t="str">
            <v/>
          </cell>
          <cell r="X81">
            <v>37603.9375</v>
          </cell>
          <cell r="Y81">
            <v>132115</v>
          </cell>
          <cell r="Z81">
            <v>144818</v>
          </cell>
          <cell r="AA81">
            <v>16550</v>
          </cell>
          <cell r="AB81">
            <v>35218</v>
          </cell>
          <cell r="AC81">
            <v>10093</v>
          </cell>
          <cell r="AD81">
            <v>25595</v>
          </cell>
          <cell r="AS81">
            <v>44</v>
          </cell>
          <cell r="AU81">
            <v>37603.9375</v>
          </cell>
          <cell r="AV81">
            <v>89</v>
          </cell>
          <cell r="AW81">
            <v>109</v>
          </cell>
          <cell r="AX81">
            <v>123</v>
          </cell>
          <cell r="AY81">
            <v>144</v>
          </cell>
          <cell r="AZ81">
            <v>110</v>
          </cell>
          <cell r="BA81">
            <v>128</v>
          </cell>
          <cell r="BB81">
            <v>267</v>
          </cell>
          <cell r="BD81">
            <v>223</v>
          </cell>
          <cell r="BL81">
            <v>44</v>
          </cell>
        </row>
        <row r="82">
          <cell r="A82">
            <v>37695.25</v>
          </cell>
          <cell r="V82" t="str">
            <v/>
          </cell>
          <cell r="X82">
            <v>37695.25</v>
          </cell>
          <cell r="Y82">
            <v>148583</v>
          </cell>
          <cell r="Z82">
            <v>142779</v>
          </cell>
          <cell r="AA82">
            <v>17475</v>
          </cell>
          <cell r="AB82">
            <v>28099</v>
          </cell>
          <cell r="AC82">
            <v>12417</v>
          </cell>
          <cell r="AD82">
            <v>19729</v>
          </cell>
          <cell r="AS82">
            <v>45</v>
          </cell>
          <cell r="AU82">
            <v>37695.25</v>
          </cell>
          <cell r="AV82">
            <v>94</v>
          </cell>
          <cell r="AW82">
            <v>116</v>
          </cell>
          <cell r="AX82">
            <v>109</v>
          </cell>
          <cell r="AY82">
            <v>133</v>
          </cell>
          <cell r="AZ82">
            <v>102</v>
          </cell>
          <cell r="BA82">
            <v>122</v>
          </cell>
          <cell r="BB82">
            <v>266</v>
          </cell>
          <cell r="BD82">
            <v>223</v>
          </cell>
          <cell r="BL82">
            <v>45</v>
          </cell>
        </row>
        <row r="83">
          <cell r="A83">
            <v>37786.5625</v>
          </cell>
          <cell r="V83" t="str">
            <v/>
          </cell>
          <cell r="X83">
            <v>37786.5625</v>
          </cell>
          <cell r="Y83">
            <v>111562</v>
          </cell>
          <cell r="Z83">
            <v>178188</v>
          </cell>
          <cell r="AA83">
            <v>18708</v>
          </cell>
          <cell r="AB83">
            <v>30767</v>
          </cell>
          <cell r="AC83">
            <v>13783</v>
          </cell>
          <cell r="AD83">
            <v>19318</v>
          </cell>
          <cell r="AS83">
            <v>46</v>
          </cell>
          <cell r="AU83">
            <v>37786.5625</v>
          </cell>
          <cell r="AV83">
            <v>92</v>
          </cell>
          <cell r="AW83">
            <v>116</v>
          </cell>
          <cell r="AX83">
            <v>113</v>
          </cell>
          <cell r="AY83">
            <v>134</v>
          </cell>
          <cell r="AZ83">
            <v>104</v>
          </cell>
          <cell r="BA83">
            <v>121</v>
          </cell>
          <cell r="BB83">
            <v>266</v>
          </cell>
          <cell r="BD83">
            <v>232</v>
          </cell>
          <cell r="BL83">
            <v>46</v>
          </cell>
        </row>
        <row r="84">
          <cell r="A84">
            <v>37877.875</v>
          </cell>
          <cell r="V84" t="str">
            <v/>
          </cell>
          <cell r="X84">
            <v>37877.875</v>
          </cell>
          <cell r="Y84">
            <v>142937</v>
          </cell>
          <cell r="Z84">
            <v>182755</v>
          </cell>
          <cell r="AA84">
            <v>16811</v>
          </cell>
          <cell r="AB84">
            <v>29550</v>
          </cell>
          <cell r="AC84">
            <v>12578</v>
          </cell>
          <cell r="AD84">
            <v>24067</v>
          </cell>
          <cell r="AS84">
            <v>47</v>
          </cell>
          <cell r="AU84">
            <v>37877.875</v>
          </cell>
          <cell r="AV84">
            <v>67</v>
          </cell>
          <cell r="AW84">
            <v>95</v>
          </cell>
          <cell r="AX84">
            <v>96</v>
          </cell>
          <cell r="AY84">
            <v>117</v>
          </cell>
          <cell r="AZ84">
            <v>79</v>
          </cell>
          <cell r="BA84">
            <v>101</v>
          </cell>
          <cell r="BB84">
            <v>261</v>
          </cell>
          <cell r="BD84">
            <v>234</v>
          </cell>
          <cell r="BL84">
            <v>47</v>
          </cell>
        </row>
        <row r="85">
          <cell r="A85">
            <v>37969.1875</v>
          </cell>
          <cell r="V85" t="str">
            <v/>
          </cell>
          <cell r="X85">
            <v>37969.1875</v>
          </cell>
          <cell r="Y85">
            <v>146344</v>
          </cell>
          <cell r="Z85">
            <v>144816</v>
          </cell>
          <cell r="AA85">
            <v>16017</v>
          </cell>
          <cell r="AB85">
            <v>25908</v>
          </cell>
          <cell r="AC85">
            <v>10777</v>
          </cell>
          <cell r="AD85">
            <v>18908</v>
          </cell>
          <cell r="AS85">
            <v>48</v>
          </cell>
          <cell r="AU85">
            <v>37969.1875</v>
          </cell>
          <cell r="AV85">
            <v>55</v>
          </cell>
          <cell r="AW85">
            <v>75</v>
          </cell>
          <cell r="AX85">
            <v>75</v>
          </cell>
          <cell r="AY85">
            <v>96</v>
          </cell>
          <cell r="AZ85">
            <v>60</v>
          </cell>
          <cell r="BA85">
            <v>79</v>
          </cell>
          <cell r="BB85">
            <v>258</v>
          </cell>
          <cell r="BD85">
            <v>217</v>
          </cell>
          <cell r="BL85">
            <v>48</v>
          </cell>
        </row>
        <row r="86">
          <cell r="A86">
            <v>38060.5</v>
          </cell>
          <cell r="V86" t="str">
            <v/>
          </cell>
          <cell r="X86">
            <v>38060.5</v>
          </cell>
          <cell r="Y86">
            <v>113584</v>
          </cell>
          <cell r="Z86">
            <v>121549</v>
          </cell>
          <cell r="AA86">
            <v>24275</v>
          </cell>
          <cell r="AB86">
            <v>28653</v>
          </cell>
          <cell r="AC86">
            <v>13838</v>
          </cell>
          <cell r="AD86">
            <v>25412</v>
          </cell>
          <cell r="AS86">
            <v>49</v>
          </cell>
          <cell r="AU86">
            <v>38060.5</v>
          </cell>
          <cell r="AV86">
            <v>51</v>
          </cell>
          <cell r="AW86">
            <v>74</v>
          </cell>
          <cell r="AX86">
            <v>65</v>
          </cell>
          <cell r="AY86">
            <v>87</v>
          </cell>
          <cell r="AZ86">
            <v>57</v>
          </cell>
          <cell r="BA86">
            <v>74</v>
          </cell>
          <cell r="BB86">
            <v>258</v>
          </cell>
          <cell r="BC86">
            <v>167</v>
          </cell>
          <cell r="BD86">
            <v>226</v>
          </cell>
          <cell r="BE86">
            <v>142</v>
          </cell>
          <cell r="BF86">
            <v>154</v>
          </cell>
          <cell r="BL86">
            <v>49</v>
          </cell>
        </row>
        <row r="87">
          <cell r="A87">
            <v>38151.8125</v>
          </cell>
          <cell r="V87" t="str">
            <v/>
          </cell>
          <cell r="X87">
            <v>38151.8125</v>
          </cell>
          <cell r="Y87">
            <v>124521</v>
          </cell>
          <cell r="Z87">
            <v>124660</v>
          </cell>
          <cell r="AA87">
            <v>28921</v>
          </cell>
          <cell r="AB87">
            <v>29875</v>
          </cell>
          <cell r="AC87">
            <v>14096</v>
          </cell>
          <cell r="AD87">
            <v>28652</v>
          </cell>
          <cell r="AS87">
            <v>50</v>
          </cell>
          <cell r="AU87">
            <v>38151.8125</v>
          </cell>
          <cell r="AV87">
            <v>58</v>
          </cell>
          <cell r="AW87">
            <v>82</v>
          </cell>
          <cell r="AX87">
            <v>74</v>
          </cell>
          <cell r="AY87">
            <v>96</v>
          </cell>
          <cell r="AZ87">
            <v>63</v>
          </cell>
          <cell r="BA87">
            <v>82</v>
          </cell>
          <cell r="BB87">
            <v>260</v>
          </cell>
          <cell r="BC87">
            <v>143</v>
          </cell>
          <cell r="BD87">
            <v>229</v>
          </cell>
          <cell r="BE87">
            <v>143</v>
          </cell>
          <cell r="BF87">
            <v>165</v>
          </cell>
          <cell r="BL87">
            <v>50</v>
          </cell>
        </row>
        <row r="88">
          <cell r="A88">
            <v>38243.125</v>
          </cell>
          <cell r="V88" t="str">
            <v/>
          </cell>
          <cell r="X88">
            <v>38243.125</v>
          </cell>
          <cell r="Y88">
            <v>118625</v>
          </cell>
          <cell r="Z88">
            <v>144271</v>
          </cell>
          <cell r="AA88">
            <v>27250</v>
          </cell>
          <cell r="AB88">
            <v>35249</v>
          </cell>
          <cell r="AC88">
            <v>15500</v>
          </cell>
          <cell r="AD88">
            <v>26258</v>
          </cell>
          <cell r="AS88">
            <v>51</v>
          </cell>
          <cell r="AU88">
            <v>38243.125</v>
          </cell>
          <cell r="AV88">
            <v>87</v>
          </cell>
          <cell r="AW88">
            <v>105</v>
          </cell>
          <cell r="AX88">
            <v>99</v>
          </cell>
          <cell r="AY88">
            <v>111</v>
          </cell>
          <cell r="AZ88">
            <v>84</v>
          </cell>
          <cell r="BA88">
            <v>101</v>
          </cell>
          <cell r="BB88">
            <v>262</v>
          </cell>
          <cell r="BC88">
            <v>214</v>
          </cell>
          <cell r="BD88">
            <v>228</v>
          </cell>
          <cell r="BE88">
            <v>153</v>
          </cell>
          <cell r="BF88">
            <v>156</v>
          </cell>
          <cell r="BL88">
            <v>51</v>
          </cell>
        </row>
        <row r="89">
          <cell r="A89">
            <v>38334.4375</v>
          </cell>
          <cell r="V89" t="str">
            <v/>
          </cell>
          <cell r="X89">
            <v>38334.4375</v>
          </cell>
          <cell r="Y89">
            <v>115248</v>
          </cell>
          <cell r="Z89">
            <v>152666</v>
          </cell>
          <cell r="AA89">
            <v>26541</v>
          </cell>
          <cell r="AB89">
            <v>38652</v>
          </cell>
          <cell r="AC89">
            <v>14201</v>
          </cell>
          <cell r="AD89">
            <v>25873</v>
          </cell>
          <cell r="AS89">
            <v>52</v>
          </cell>
          <cell r="AU89">
            <v>38334.4375</v>
          </cell>
          <cell r="AV89">
            <v>91</v>
          </cell>
          <cell r="AW89">
            <v>125</v>
          </cell>
          <cell r="AX89">
            <v>116</v>
          </cell>
          <cell r="AY89">
            <v>140</v>
          </cell>
          <cell r="AZ89">
            <v>100</v>
          </cell>
          <cell r="BA89">
            <v>122</v>
          </cell>
          <cell r="BB89">
            <v>259</v>
          </cell>
          <cell r="BC89">
            <v>208</v>
          </cell>
          <cell r="BD89">
            <v>233</v>
          </cell>
          <cell r="BE89">
            <v>131</v>
          </cell>
          <cell r="BF89">
            <v>161</v>
          </cell>
          <cell r="BL89">
            <v>52</v>
          </cell>
        </row>
        <row r="90">
          <cell r="A90">
            <v>38425.75</v>
          </cell>
          <cell r="V90" t="str">
            <v/>
          </cell>
          <cell r="X90">
            <v>38425.75</v>
          </cell>
          <cell r="Y90">
            <v>86310</v>
          </cell>
          <cell r="Z90">
            <v>187469</v>
          </cell>
          <cell r="AA90">
            <v>24510</v>
          </cell>
          <cell r="AB90">
            <v>39186</v>
          </cell>
          <cell r="AC90">
            <v>13916</v>
          </cell>
          <cell r="AD90">
            <v>24923</v>
          </cell>
          <cell r="AE90">
            <v>1000</v>
          </cell>
          <cell r="AF90">
            <v>1200</v>
          </cell>
          <cell r="AG90">
            <v>950</v>
          </cell>
          <cell r="AH90">
            <v>1165</v>
          </cell>
          <cell r="AS90">
            <v>53</v>
          </cell>
          <cell r="AU90">
            <v>38425.75</v>
          </cell>
          <cell r="AV90">
            <v>118</v>
          </cell>
          <cell r="AW90">
            <v>140</v>
          </cell>
          <cell r="AX90">
            <v>136</v>
          </cell>
          <cell r="AY90">
            <v>157</v>
          </cell>
          <cell r="AZ90">
            <v>128</v>
          </cell>
          <cell r="BA90">
            <v>145</v>
          </cell>
          <cell r="BB90">
            <v>262</v>
          </cell>
          <cell r="BC90">
            <v>230</v>
          </cell>
          <cell r="BD90">
            <v>234</v>
          </cell>
          <cell r="BE90">
            <v>196</v>
          </cell>
          <cell r="BF90">
            <v>217</v>
          </cell>
          <cell r="BL90">
            <v>53</v>
          </cell>
        </row>
        <row r="91">
          <cell r="A91">
            <v>38517.0625</v>
          </cell>
          <cell r="V91" t="str">
            <v/>
          </cell>
          <cell r="X91">
            <v>38517.0625</v>
          </cell>
          <cell r="Y91">
            <v>100212</v>
          </cell>
          <cell r="Z91">
            <v>205189</v>
          </cell>
          <cell r="AA91">
            <v>23869</v>
          </cell>
          <cell r="AB91">
            <v>37169</v>
          </cell>
          <cell r="AC91">
            <v>13969</v>
          </cell>
          <cell r="AD91">
            <v>25695</v>
          </cell>
          <cell r="AE91">
            <v>1150</v>
          </cell>
          <cell r="AF91">
            <v>1250</v>
          </cell>
          <cell r="AG91">
            <v>1065</v>
          </cell>
          <cell r="AH91">
            <v>1100</v>
          </cell>
          <cell r="AS91">
            <v>54</v>
          </cell>
          <cell r="AU91">
            <v>38517.0625</v>
          </cell>
          <cell r="AV91">
            <v>170</v>
          </cell>
          <cell r="AW91">
            <v>184</v>
          </cell>
          <cell r="AX91">
            <v>180</v>
          </cell>
          <cell r="AY91">
            <v>198</v>
          </cell>
          <cell r="AZ91">
            <v>172</v>
          </cell>
          <cell r="BA91">
            <v>183</v>
          </cell>
          <cell r="BB91">
            <v>268</v>
          </cell>
          <cell r="BC91">
            <v>249</v>
          </cell>
          <cell r="BD91">
            <v>255</v>
          </cell>
          <cell r="BE91">
            <v>234</v>
          </cell>
          <cell r="BF91">
            <v>249</v>
          </cell>
          <cell r="BL91">
            <v>54</v>
          </cell>
        </row>
        <row r="92">
          <cell r="A92">
            <v>38608.375</v>
          </cell>
          <cell r="V92" t="str">
            <v/>
          </cell>
          <cell r="X92">
            <v>38608.375</v>
          </cell>
          <cell r="Y92">
            <v>154635</v>
          </cell>
          <cell r="Z92">
            <v>177672</v>
          </cell>
          <cell r="AA92">
            <v>21979</v>
          </cell>
          <cell r="AB92">
            <v>41120</v>
          </cell>
          <cell r="AC92">
            <v>12000</v>
          </cell>
          <cell r="AD92">
            <v>24146</v>
          </cell>
          <cell r="AE92">
            <v>950</v>
          </cell>
          <cell r="AF92">
            <v>1050</v>
          </cell>
          <cell r="AG92">
            <v>865</v>
          </cell>
          <cell r="AH92">
            <v>1135</v>
          </cell>
          <cell r="AS92">
            <v>55</v>
          </cell>
          <cell r="AU92">
            <v>38608.375</v>
          </cell>
          <cell r="AV92">
            <v>186</v>
          </cell>
          <cell r="AW92">
            <v>209</v>
          </cell>
          <cell r="AX92">
            <v>217</v>
          </cell>
          <cell r="AY92">
            <v>241</v>
          </cell>
          <cell r="AZ92">
            <v>204</v>
          </cell>
          <cell r="BA92">
            <v>223</v>
          </cell>
          <cell r="BB92">
            <v>274</v>
          </cell>
          <cell r="BC92">
            <v>257</v>
          </cell>
          <cell r="BD92">
            <v>266</v>
          </cell>
          <cell r="BE92">
            <v>299</v>
          </cell>
          <cell r="BF92">
            <v>326</v>
          </cell>
          <cell r="BL92">
            <v>55</v>
          </cell>
        </row>
        <row r="93">
          <cell r="A93">
            <v>38699.6875</v>
          </cell>
          <cell r="V93" t="str">
            <v/>
          </cell>
          <cell r="X93">
            <v>38699.6875</v>
          </cell>
          <cell r="Y93">
            <v>129146</v>
          </cell>
          <cell r="Z93">
            <v>173917</v>
          </cell>
          <cell r="AA93">
            <v>24866</v>
          </cell>
          <cell r="AB93">
            <v>44694</v>
          </cell>
          <cell r="AC93">
            <v>12625</v>
          </cell>
          <cell r="AD93">
            <v>24708</v>
          </cell>
          <cell r="AE93">
            <v>1100</v>
          </cell>
          <cell r="AF93">
            <v>1250</v>
          </cell>
          <cell r="AG93">
            <v>750</v>
          </cell>
          <cell r="AH93">
            <v>1165</v>
          </cell>
          <cell r="AS93">
            <v>56</v>
          </cell>
          <cell r="AU93">
            <v>38699.6875</v>
          </cell>
          <cell r="AV93">
            <v>97</v>
          </cell>
          <cell r="AW93">
            <v>128</v>
          </cell>
          <cell r="AX93">
            <v>147</v>
          </cell>
          <cell r="AY93">
            <v>156</v>
          </cell>
          <cell r="AZ93">
            <v>114</v>
          </cell>
          <cell r="BA93">
            <v>133</v>
          </cell>
          <cell r="BB93">
            <v>268</v>
          </cell>
          <cell r="BC93">
            <v>212</v>
          </cell>
          <cell r="BD93">
            <v>233</v>
          </cell>
          <cell r="BE93">
            <v>158</v>
          </cell>
          <cell r="BF93">
            <v>169</v>
          </cell>
          <cell r="BL93">
            <v>56</v>
          </cell>
        </row>
        <row r="94">
          <cell r="A94">
            <v>38791</v>
          </cell>
          <cell r="V94" t="str">
            <v/>
          </cell>
          <cell r="X94">
            <v>38791</v>
          </cell>
          <cell r="Y94">
            <v>155611</v>
          </cell>
          <cell r="Z94">
            <v>199596</v>
          </cell>
          <cell r="AA94">
            <v>25055</v>
          </cell>
          <cell r="AB94">
            <v>50250</v>
          </cell>
          <cell r="AC94">
            <v>16659</v>
          </cell>
          <cell r="AD94">
            <v>26350</v>
          </cell>
          <cell r="AE94">
            <v>916</v>
          </cell>
          <cell r="AF94">
            <v>1032</v>
          </cell>
          <cell r="AG94">
            <v>1083</v>
          </cell>
          <cell r="AH94">
            <v>1198</v>
          </cell>
          <cell r="AS94">
            <v>57</v>
          </cell>
          <cell r="AU94">
            <v>38791</v>
          </cell>
          <cell r="AV94">
            <v>106</v>
          </cell>
          <cell r="AW94">
            <v>126</v>
          </cell>
          <cell r="AX94">
            <v>121</v>
          </cell>
          <cell r="AY94">
            <v>130</v>
          </cell>
          <cell r="AZ94">
            <v>109</v>
          </cell>
          <cell r="BA94">
            <v>120</v>
          </cell>
          <cell r="BL94">
            <v>57</v>
          </cell>
        </row>
        <row r="95">
          <cell r="A95">
            <v>38882.3125</v>
          </cell>
          <cell r="V95" t="str">
            <v/>
          </cell>
          <cell r="X95">
            <v>38882.3125</v>
          </cell>
          <cell r="Y95">
            <v>155458</v>
          </cell>
          <cell r="Z95">
            <v>284333</v>
          </cell>
          <cell r="AA95">
            <v>23229</v>
          </cell>
          <cell r="AB95">
            <v>48676</v>
          </cell>
          <cell r="AC95">
            <v>19641</v>
          </cell>
          <cell r="AD95">
            <v>28951</v>
          </cell>
          <cell r="AE95">
            <v>1085</v>
          </cell>
          <cell r="AF95">
            <v>1150</v>
          </cell>
          <cell r="AG95">
            <v>1218</v>
          </cell>
          <cell r="AH95">
            <v>1330</v>
          </cell>
          <cell r="AS95">
            <v>58</v>
          </cell>
          <cell r="AU95">
            <v>38882.3125</v>
          </cell>
          <cell r="AV95">
            <v>112</v>
          </cell>
          <cell r="AW95">
            <v>135</v>
          </cell>
          <cell r="AX95">
            <v>128</v>
          </cell>
          <cell r="AY95">
            <v>142</v>
          </cell>
          <cell r="AZ95">
            <v>114</v>
          </cell>
          <cell r="BA95">
            <v>128</v>
          </cell>
          <cell r="BL95">
            <v>58</v>
          </cell>
        </row>
        <row r="96">
          <cell r="A96">
            <v>38973.625</v>
          </cell>
          <cell r="V96" t="str">
            <v/>
          </cell>
          <cell r="X96">
            <v>38973.625</v>
          </cell>
          <cell r="Y96">
            <v>149910</v>
          </cell>
          <cell r="Z96">
            <v>238909</v>
          </cell>
          <cell r="AA96">
            <v>23666</v>
          </cell>
          <cell r="AB96">
            <v>58873</v>
          </cell>
          <cell r="AC96">
            <v>16095</v>
          </cell>
          <cell r="AD96">
            <v>30914</v>
          </cell>
          <cell r="AE96">
            <v>1173</v>
          </cell>
          <cell r="AF96">
            <v>1291</v>
          </cell>
          <cell r="AG96">
            <v>1234</v>
          </cell>
          <cell r="AH96">
            <v>1256</v>
          </cell>
          <cell r="AS96">
            <v>59</v>
          </cell>
          <cell r="AU96">
            <v>38973.625</v>
          </cell>
          <cell r="AV96">
            <v>96.045719463783385</v>
          </cell>
          <cell r="AW96">
            <v>116.09339004142029</v>
          </cell>
          <cell r="AX96">
            <v>116.27062384752725</v>
          </cell>
          <cell r="AY96">
            <v>134.4531037900183</v>
          </cell>
          <cell r="AZ96">
            <v>105.63101678814805</v>
          </cell>
          <cell r="BA96">
            <v>118.76903435136907</v>
          </cell>
          <cell r="BL96">
            <v>59</v>
          </cell>
        </row>
        <row r="97">
          <cell r="A97">
            <v>39064.9375</v>
          </cell>
          <cell r="V97" t="str">
            <v/>
          </cell>
          <cell r="X97">
            <v>39064.9375</v>
          </cell>
          <cell r="Y97">
            <v>192500</v>
          </cell>
          <cell r="Z97">
            <v>220344</v>
          </cell>
          <cell r="AA97">
            <v>36688</v>
          </cell>
          <cell r="AB97">
            <v>61227</v>
          </cell>
          <cell r="AC97">
            <v>17366</v>
          </cell>
          <cell r="AD97">
            <v>27796</v>
          </cell>
          <cell r="AE97">
            <v>1184</v>
          </cell>
          <cell r="AF97">
            <v>1335</v>
          </cell>
          <cell r="AG97">
            <v>1247</v>
          </cell>
          <cell r="AH97">
            <v>1256</v>
          </cell>
          <cell r="AS97">
            <v>60</v>
          </cell>
          <cell r="AU97">
            <v>39064.9375</v>
          </cell>
          <cell r="AV97">
            <v>69</v>
          </cell>
          <cell r="AW97">
            <v>96</v>
          </cell>
          <cell r="AX97">
            <v>92</v>
          </cell>
          <cell r="AY97">
            <v>112</v>
          </cell>
          <cell r="AZ97">
            <v>80</v>
          </cell>
          <cell r="BA97">
            <v>99</v>
          </cell>
          <cell r="BL97">
            <v>60</v>
          </cell>
        </row>
        <row r="98">
          <cell r="A98">
            <v>39156.25</v>
          </cell>
          <cell r="V98" t="str">
            <v/>
          </cell>
          <cell r="X98">
            <v>39156.25</v>
          </cell>
          <cell r="Y98">
            <v>187438</v>
          </cell>
          <cell r="Z98">
            <v>218924</v>
          </cell>
          <cell r="AA98">
            <v>33579</v>
          </cell>
          <cell r="AB98">
            <v>50554</v>
          </cell>
          <cell r="AC98">
            <v>17156</v>
          </cell>
          <cell r="AD98">
            <v>29359</v>
          </cell>
          <cell r="AE98">
            <v>1148</v>
          </cell>
          <cell r="AF98">
            <v>1115</v>
          </cell>
          <cell r="AG98">
            <v>1026</v>
          </cell>
          <cell r="AH98">
            <v>1217</v>
          </cell>
          <cell r="AS98">
            <v>61</v>
          </cell>
          <cell r="AU98">
            <v>39156.25</v>
          </cell>
          <cell r="AV98">
            <v>73</v>
          </cell>
          <cell r="AW98">
            <v>95</v>
          </cell>
          <cell r="AX98">
            <v>93</v>
          </cell>
          <cell r="AY98">
            <v>114</v>
          </cell>
          <cell r="AZ98">
            <v>88</v>
          </cell>
          <cell r="BA98">
            <v>104</v>
          </cell>
          <cell r="BL98">
            <v>61</v>
          </cell>
        </row>
        <row r="99">
          <cell r="A99">
            <v>39247.5625</v>
          </cell>
          <cell r="V99" t="str">
            <v/>
          </cell>
          <cell r="X99">
            <v>39247.5625</v>
          </cell>
          <cell r="Y99">
            <v>186097</v>
          </cell>
          <cell r="Z99">
            <v>251695</v>
          </cell>
          <cell r="AA99">
            <v>31390</v>
          </cell>
          <cell r="AB99">
            <v>63485</v>
          </cell>
          <cell r="AC99">
            <v>15869</v>
          </cell>
          <cell r="AD99">
            <v>28623</v>
          </cell>
          <cell r="AE99">
            <v>1230</v>
          </cell>
          <cell r="AF99">
            <v>1304</v>
          </cell>
          <cell r="AG99">
            <v>1236</v>
          </cell>
          <cell r="AH99">
            <v>1235</v>
          </cell>
          <cell r="AS99">
            <v>62</v>
          </cell>
          <cell r="AU99">
            <v>39247.5625</v>
          </cell>
          <cell r="AV99">
            <v>76</v>
          </cell>
          <cell r="AW99">
            <v>97</v>
          </cell>
          <cell r="AX99">
            <v>98</v>
          </cell>
          <cell r="AY99">
            <v>123</v>
          </cell>
          <cell r="AZ99">
            <v>88</v>
          </cell>
          <cell r="BA99">
            <v>110</v>
          </cell>
          <cell r="BL99">
            <v>62</v>
          </cell>
        </row>
        <row r="100">
          <cell r="A100">
            <v>39338.875</v>
          </cell>
          <cell r="V100" t="str">
            <v/>
          </cell>
          <cell r="X100">
            <v>39338.875</v>
          </cell>
          <cell r="Y100">
            <v>232619</v>
          </cell>
          <cell r="Z100">
            <v>259425</v>
          </cell>
          <cell r="AA100">
            <v>36102</v>
          </cell>
          <cell r="AB100">
            <v>68855</v>
          </cell>
          <cell r="AC100">
            <v>23033</v>
          </cell>
          <cell r="AD100">
            <v>28855</v>
          </cell>
          <cell r="AE100">
            <v>1258</v>
          </cell>
          <cell r="AF100">
            <v>1201</v>
          </cell>
          <cell r="AG100">
            <v>1362</v>
          </cell>
          <cell r="AH100">
            <v>1283</v>
          </cell>
          <cell r="AS100">
            <v>63</v>
          </cell>
          <cell r="AU100">
            <v>39338.875</v>
          </cell>
          <cell r="AV100">
            <v>87</v>
          </cell>
          <cell r="AW100">
            <v>101</v>
          </cell>
          <cell r="AX100">
            <v>109</v>
          </cell>
          <cell r="AY100">
            <v>125</v>
          </cell>
          <cell r="AZ100">
            <v>96</v>
          </cell>
          <cell r="BA100">
            <v>110</v>
          </cell>
          <cell r="BL100">
            <v>63</v>
          </cell>
        </row>
        <row r="101">
          <cell r="A101">
            <v>39430.1875</v>
          </cell>
          <cell r="V101" t="str">
            <v/>
          </cell>
          <cell r="X101">
            <v>39430.1875</v>
          </cell>
          <cell r="Y101">
            <v>242524</v>
          </cell>
          <cell r="Z101">
            <v>267253</v>
          </cell>
          <cell r="AA101">
            <v>42766</v>
          </cell>
          <cell r="AB101">
            <v>75816</v>
          </cell>
          <cell r="AC101">
            <v>24405.8</v>
          </cell>
          <cell r="AD101">
            <v>35000</v>
          </cell>
          <cell r="AE101">
            <v>1350</v>
          </cell>
          <cell r="AF101">
            <v>1400</v>
          </cell>
          <cell r="AG101">
            <v>1450</v>
          </cell>
          <cell r="AH101">
            <v>1500</v>
          </cell>
          <cell r="AS101">
            <v>64</v>
          </cell>
          <cell r="AU101">
            <v>39430.1875</v>
          </cell>
          <cell r="AV101">
            <v>101</v>
          </cell>
          <cell r="AW101">
            <v>121</v>
          </cell>
          <cell r="AX101">
            <v>118</v>
          </cell>
          <cell r="AY101">
            <v>127</v>
          </cell>
          <cell r="AZ101">
            <v>98</v>
          </cell>
          <cell r="BA101">
            <v>112</v>
          </cell>
          <cell r="BL101">
            <v>64</v>
          </cell>
        </row>
        <row r="102">
          <cell r="A102">
            <v>39521.5</v>
          </cell>
          <cell r="V102" t="str">
            <v/>
          </cell>
          <cell r="X102">
            <v>39521.5</v>
          </cell>
          <cell r="Y102">
            <v>215475</v>
          </cell>
          <cell r="Z102">
            <v>262659</v>
          </cell>
          <cell r="AA102">
            <v>33473</v>
          </cell>
          <cell r="AB102">
            <v>50758</v>
          </cell>
          <cell r="AC102">
            <v>19677</v>
          </cell>
          <cell r="AD102">
            <v>28712</v>
          </cell>
          <cell r="AE102">
            <v>1409</v>
          </cell>
          <cell r="AF102">
            <v>1281</v>
          </cell>
          <cell r="AG102">
            <v>1239</v>
          </cell>
          <cell r="AH102">
            <v>1298</v>
          </cell>
          <cell r="AS102">
            <v>65</v>
          </cell>
          <cell r="AU102">
            <v>39521.5</v>
          </cell>
          <cell r="AV102">
            <v>112.00919676047785</v>
          </cell>
          <cell r="AW102">
            <v>125.57796918943298</v>
          </cell>
          <cell r="AX102">
            <v>124.93920969600566</v>
          </cell>
          <cell r="AY102">
            <v>129.76083735167379</v>
          </cell>
          <cell r="AZ102">
            <v>107.54642748773836</v>
          </cell>
          <cell r="BA102">
            <v>115.56888188558911</v>
          </cell>
          <cell r="BL102">
            <v>65</v>
          </cell>
        </row>
        <row r="103">
          <cell r="A103">
            <v>39612.8125</v>
          </cell>
          <cell r="V103" t="str">
            <v/>
          </cell>
          <cell r="X103">
            <v>39612.8125</v>
          </cell>
          <cell r="Y103">
            <v>211051</v>
          </cell>
          <cell r="Z103">
            <v>269875</v>
          </cell>
          <cell r="AA103">
            <v>41023</v>
          </cell>
          <cell r="AB103">
            <v>55483</v>
          </cell>
          <cell r="AC103">
            <v>19291</v>
          </cell>
          <cell r="AD103">
            <v>28652</v>
          </cell>
          <cell r="AE103">
            <v>1475</v>
          </cell>
          <cell r="AF103">
            <v>1109</v>
          </cell>
          <cell r="AG103">
            <v>1372</v>
          </cell>
          <cell r="AH103">
            <v>1422</v>
          </cell>
          <cell r="AS103">
            <v>66</v>
          </cell>
          <cell r="AU103">
            <v>39612.8125</v>
          </cell>
          <cell r="AV103">
            <v>142.46500470373365</v>
          </cell>
          <cell r="AW103">
            <v>157.71173637884635</v>
          </cell>
          <cell r="AX103">
            <v>154.00182541741268</v>
          </cell>
          <cell r="AY103">
            <v>160.86994470763287</v>
          </cell>
          <cell r="AZ103">
            <v>131.29430989394953</v>
          </cell>
          <cell r="BA103">
            <v>143.36160135036747</v>
          </cell>
          <cell r="BL103">
            <v>66</v>
          </cell>
        </row>
        <row r="104">
          <cell r="A104">
            <v>39704.125</v>
          </cell>
          <cell r="V104" t="str">
            <v/>
          </cell>
          <cell r="X104">
            <v>39704.125</v>
          </cell>
          <cell r="Y104">
            <v>207345</v>
          </cell>
          <cell r="Z104">
            <v>230150</v>
          </cell>
          <cell r="AA104">
            <v>45686</v>
          </cell>
          <cell r="AB104">
            <v>69085</v>
          </cell>
          <cell r="AC104">
            <v>21468</v>
          </cell>
          <cell r="AD104">
            <v>34364</v>
          </cell>
          <cell r="AE104">
            <v>1350</v>
          </cell>
          <cell r="AF104">
            <v>1234</v>
          </cell>
          <cell r="AG104">
            <v>1328</v>
          </cell>
          <cell r="AH104">
            <v>1443</v>
          </cell>
          <cell r="AS104">
            <v>67</v>
          </cell>
          <cell r="AU104">
            <v>39704.125</v>
          </cell>
          <cell r="AV104">
            <v>165</v>
          </cell>
          <cell r="AW104">
            <v>185</v>
          </cell>
          <cell r="AX104">
            <v>176</v>
          </cell>
          <cell r="AY104">
            <v>181</v>
          </cell>
          <cell r="AZ104">
            <v>148</v>
          </cell>
          <cell r="BA104">
            <v>162</v>
          </cell>
          <cell r="BB104">
            <v>425</v>
          </cell>
          <cell r="BC104">
            <v>365</v>
          </cell>
          <cell r="BD104">
            <v>369</v>
          </cell>
          <cell r="BE104">
            <v>297</v>
          </cell>
          <cell r="BF104">
            <v>309</v>
          </cell>
          <cell r="BG104">
            <v>238</v>
          </cell>
          <cell r="BH104">
            <v>277</v>
          </cell>
          <cell r="BL104">
            <v>67</v>
          </cell>
        </row>
        <row r="105">
          <cell r="A105">
            <v>39795.4375</v>
          </cell>
          <cell r="V105" t="str">
            <v/>
          </cell>
          <cell r="X105">
            <v>39795.4375</v>
          </cell>
          <cell r="Y105">
            <v>239135</v>
          </cell>
          <cell r="Z105">
            <v>272123</v>
          </cell>
          <cell r="AA105">
            <v>45203</v>
          </cell>
          <cell r="AB105">
            <v>69544</v>
          </cell>
          <cell r="AC105">
            <v>22419</v>
          </cell>
          <cell r="AD105">
            <v>34079</v>
          </cell>
          <cell r="AE105">
            <v>1468</v>
          </cell>
          <cell r="AF105">
            <v>1125</v>
          </cell>
          <cell r="AG105">
            <v>1452</v>
          </cell>
          <cell r="AH105">
            <v>1426</v>
          </cell>
          <cell r="AS105">
            <v>68</v>
          </cell>
          <cell r="AU105">
            <v>39795.4375</v>
          </cell>
          <cell r="AV105">
            <v>106</v>
          </cell>
          <cell r="AW105">
            <v>138</v>
          </cell>
          <cell r="AX105">
            <v>145</v>
          </cell>
          <cell r="AY105">
            <v>154</v>
          </cell>
          <cell r="AZ105">
            <v>108</v>
          </cell>
          <cell r="BA105">
            <v>127</v>
          </cell>
          <cell r="BB105">
            <v>429</v>
          </cell>
          <cell r="BC105">
            <v>282</v>
          </cell>
          <cell r="BD105">
            <v>329</v>
          </cell>
          <cell r="BE105">
            <v>149</v>
          </cell>
          <cell r="BF105">
            <v>172</v>
          </cell>
          <cell r="BG105">
            <v>162</v>
          </cell>
          <cell r="BH105">
            <v>186</v>
          </cell>
          <cell r="BL105">
            <v>68</v>
          </cell>
        </row>
        <row r="106">
          <cell r="A106">
            <v>39886.75</v>
          </cell>
          <cell r="V106" t="str">
            <v/>
          </cell>
          <cell r="X106">
            <v>39886.75</v>
          </cell>
          <cell r="Y106">
            <v>321879</v>
          </cell>
          <cell r="Z106">
            <v>350028</v>
          </cell>
          <cell r="AA106">
            <v>47064</v>
          </cell>
          <cell r="AB106">
            <v>56058</v>
          </cell>
          <cell r="AC106">
            <v>30665</v>
          </cell>
          <cell r="AD106">
            <v>31960</v>
          </cell>
          <cell r="AE106">
            <v>1475</v>
          </cell>
          <cell r="AF106">
            <v>1165</v>
          </cell>
          <cell r="AG106">
            <v>1467</v>
          </cell>
          <cell r="AH106">
            <v>1432</v>
          </cell>
          <cell r="AS106">
            <v>69</v>
          </cell>
          <cell r="AU106">
            <v>39886.75</v>
          </cell>
          <cell r="AV106">
            <v>136</v>
          </cell>
          <cell r="AW106">
            <v>155</v>
          </cell>
          <cell r="AX106">
            <v>141</v>
          </cell>
          <cell r="AY106">
            <v>161</v>
          </cell>
          <cell r="AZ106">
            <v>133</v>
          </cell>
          <cell r="BA106">
            <v>147</v>
          </cell>
          <cell r="BB106">
            <v>423</v>
          </cell>
          <cell r="BC106">
            <v>297</v>
          </cell>
          <cell r="BD106">
            <v>340</v>
          </cell>
          <cell r="BE106">
            <v>210</v>
          </cell>
          <cell r="BF106">
            <v>222</v>
          </cell>
          <cell r="BG106">
            <v>222</v>
          </cell>
          <cell r="BH106">
            <v>218</v>
          </cell>
          <cell r="BL106">
            <v>69</v>
          </cell>
        </row>
        <row r="107">
          <cell r="A107">
            <v>39978.0625</v>
          </cell>
          <cell r="V107" t="str">
            <v/>
          </cell>
          <cell r="X107">
            <v>39978.0625</v>
          </cell>
          <cell r="Y107">
            <v>317524</v>
          </cell>
          <cell r="Z107">
            <v>352857</v>
          </cell>
          <cell r="AA107">
            <v>48126</v>
          </cell>
          <cell r="AB107">
            <v>58237</v>
          </cell>
          <cell r="AC107">
            <v>28945</v>
          </cell>
          <cell r="AD107">
            <v>32153</v>
          </cell>
          <cell r="AE107">
            <v>1450</v>
          </cell>
          <cell r="AF107">
            <v>1526</v>
          </cell>
          <cell r="AG107">
            <v>1465</v>
          </cell>
          <cell r="AH107">
            <v>1584</v>
          </cell>
          <cell r="AS107">
            <v>70</v>
          </cell>
          <cell r="AU107">
            <v>39978.0625</v>
          </cell>
          <cell r="AV107">
            <v>142</v>
          </cell>
          <cell r="AW107">
            <v>160</v>
          </cell>
          <cell r="AX107">
            <v>152</v>
          </cell>
          <cell r="AY107">
            <v>169</v>
          </cell>
          <cell r="AZ107">
            <v>140</v>
          </cell>
          <cell r="BA107">
            <v>156</v>
          </cell>
          <cell r="BB107">
            <v>403</v>
          </cell>
          <cell r="BC107">
            <v>299</v>
          </cell>
          <cell r="BD107">
            <v>340</v>
          </cell>
          <cell r="BE107">
            <v>213</v>
          </cell>
          <cell r="BF107">
            <v>220</v>
          </cell>
          <cell r="BG107">
            <v>220</v>
          </cell>
          <cell r="BH107">
            <v>229</v>
          </cell>
          <cell r="BL107">
            <v>70</v>
          </cell>
        </row>
        <row r="108">
          <cell r="A108">
            <v>40069.375</v>
          </cell>
          <cell r="V108" t="str">
            <v/>
          </cell>
          <cell r="X108">
            <v>40069.375</v>
          </cell>
          <cell r="Y108">
            <v>220556</v>
          </cell>
          <cell r="Z108">
            <v>304412</v>
          </cell>
          <cell r="AA108">
            <v>40614</v>
          </cell>
          <cell r="AB108">
            <v>63723</v>
          </cell>
          <cell r="AC108">
            <v>18573</v>
          </cell>
          <cell r="AD108">
            <v>31454</v>
          </cell>
          <cell r="AE108">
            <v>1559</v>
          </cell>
          <cell r="AF108">
            <v>1627</v>
          </cell>
          <cell r="AG108">
            <v>1631</v>
          </cell>
          <cell r="AH108">
            <v>1645</v>
          </cell>
          <cell r="AS108">
            <v>71</v>
          </cell>
          <cell r="AU108">
            <v>40069.375</v>
          </cell>
          <cell r="AV108">
            <v>144</v>
          </cell>
          <cell r="AW108">
            <v>170</v>
          </cell>
          <cell r="AX108">
            <v>162</v>
          </cell>
          <cell r="AY108">
            <v>189</v>
          </cell>
          <cell r="AZ108">
            <v>151</v>
          </cell>
          <cell r="BA108">
            <v>173</v>
          </cell>
          <cell r="BB108">
            <v>338</v>
          </cell>
          <cell r="BC108">
            <v>302</v>
          </cell>
          <cell r="BD108">
            <v>393</v>
          </cell>
          <cell r="BE108">
            <v>206</v>
          </cell>
          <cell r="BF108">
            <v>207</v>
          </cell>
          <cell r="BG108">
            <v>199</v>
          </cell>
          <cell r="BH108">
            <v>214</v>
          </cell>
          <cell r="BL108">
            <v>71</v>
          </cell>
        </row>
        <row r="109">
          <cell r="A109">
            <v>40160.6875</v>
          </cell>
          <cell r="V109" t="str">
            <v/>
          </cell>
          <cell r="X109">
            <v>40160.6875</v>
          </cell>
          <cell r="Y109">
            <v>242456</v>
          </cell>
          <cell r="Z109">
            <v>309852</v>
          </cell>
          <cell r="AA109">
            <v>49234</v>
          </cell>
          <cell r="AB109">
            <v>72524</v>
          </cell>
          <cell r="AC109">
            <v>25267</v>
          </cell>
          <cell r="AD109">
            <v>35146</v>
          </cell>
          <cell r="AE109">
            <v>1721</v>
          </cell>
          <cell r="AF109">
            <v>1725</v>
          </cell>
          <cell r="AG109">
            <v>1745</v>
          </cell>
          <cell r="AH109">
            <v>1798</v>
          </cell>
          <cell r="AS109">
            <v>72</v>
          </cell>
          <cell r="AU109">
            <v>40160.6875</v>
          </cell>
          <cell r="AV109">
            <v>110</v>
          </cell>
          <cell r="AW109">
            <v>141</v>
          </cell>
          <cell r="AX109">
            <v>143</v>
          </cell>
          <cell r="AY109">
            <v>159</v>
          </cell>
          <cell r="AZ109">
            <v>120</v>
          </cell>
          <cell r="BA109">
            <v>139</v>
          </cell>
          <cell r="BB109">
            <v>384</v>
          </cell>
          <cell r="BC109">
            <v>264</v>
          </cell>
          <cell r="BD109">
            <v>312</v>
          </cell>
          <cell r="BE109">
            <v>165</v>
          </cell>
          <cell r="BF109">
            <v>185</v>
          </cell>
          <cell r="BG109">
            <v>149</v>
          </cell>
          <cell r="BH109">
            <v>183</v>
          </cell>
          <cell r="BL109">
            <v>72</v>
          </cell>
        </row>
        <row r="110">
          <cell r="A110">
            <v>40252</v>
          </cell>
          <cell r="V110" t="str">
            <v/>
          </cell>
          <cell r="X110">
            <v>40252</v>
          </cell>
          <cell r="Y110">
            <v>243852</v>
          </cell>
          <cell r="Z110">
            <v>311258</v>
          </cell>
          <cell r="AA110">
            <v>51263</v>
          </cell>
          <cell r="AB110">
            <v>75219</v>
          </cell>
          <cell r="AC110">
            <v>26521</v>
          </cell>
          <cell r="AD110">
            <v>36234</v>
          </cell>
          <cell r="AE110">
            <v>1752</v>
          </cell>
          <cell r="AF110">
            <v>1762</v>
          </cell>
          <cell r="AG110">
            <v>1752</v>
          </cell>
          <cell r="AH110">
            <v>1821</v>
          </cell>
          <cell r="AS110">
            <v>73</v>
          </cell>
          <cell r="AU110">
            <v>40252</v>
          </cell>
          <cell r="AV110">
            <v>128</v>
          </cell>
          <cell r="AW110">
            <v>151</v>
          </cell>
          <cell r="AX110">
            <v>153</v>
          </cell>
          <cell r="AY110">
            <v>168</v>
          </cell>
          <cell r="AZ110">
            <v>133</v>
          </cell>
          <cell r="BA110">
            <v>149</v>
          </cell>
          <cell r="BB110">
            <v>377</v>
          </cell>
          <cell r="BC110">
            <v>262</v>
          </cell>
          <cell r="BD110">
            <v>296</v>
          </cell>
          <cell r="BE110">
            <v>230</v>
          </cell>
          <cell r="BF110">
            <v>235</v>
          </cell>
          <cell r="BG110">
            <v>193</v>
          </cell>
          <cell r="BH110">
            <v>198</v>
          </cell>
          <cell r="BL110">
            <v>73</v>
          </cell>
        </row>
        <row r="111">
          <cell r="A111">
            <v>40343.3125</v>
          </cell>
          <cell r="V111" t="str">
            <v/>
          </cell>
          <cell r="X111">
            <v>40343.3125</v>
          </cell>
          <cell r="Y111">
            <v>215058</v>
          </cell>
          <cell r="Z111">
            <v>287653</v>
          </cell>
          <cell r="AA111">
            <v>45241</v>
          </cell>
          <cell r="AB111">
            <v>75319</v>
          </cell>
          <cell r="AC111">
            <v>25862</v>
          </cell>
          <cell r="AD111">
            <v>35129</v>
          </cell>
          <cell r="AE111">
            <v>1453</v>
          </cell>
          <cell r="AF111">
            <v>1521</v>
          </cell>
          <cell r="AG111">
            <v>1524</v>
          </cell>
          <cell r="AH111">
            <v>1598</v>
          </cell>
          <cell r="AS111">
            <v>74</v>
          </cell>
          <cell r="AU111">
            <v>40343.3125</v>
          </cell>
          <cell r="AV111">
            <v>126</v>
          </cell>
          <cell r="AW111">
            <v>149</v>
          </cell>
          <cell r="AX111">
            <v>155</v>
          </cell>
          <cell r="AY111">
            <v>168</v>
          </cell>
          <cell r="AZ111">
            <v>134</v>
          </cell>
          <cell r="BA111">
            <v>146</v>
          </cell>
          <cell r="BB111">
            <v>382</v>
          </cell>
          <cell r="BC111">
            <v>264</v>
          </cell>
          <cell r="BD111">
            <v>302</v>
          </cell>
          <cell r="BE111">
            <v>252</v>
          </cell>
          <cell r="BF111">
            <v>255</v>
          </cell>
          <cell r="BG111">
            <v>196</v>
          </cell>
          <cell r="BH111">
            <v>209</v>
          </cell>
          <cell r="BL111">
            <v>74</v>
          </cell>
        </row>
        <row r="112">
          <cell r="A112">
            <v>40434.625</v>
          </cell>
          <cell r="V112" t="str">
            <v/>
          </cell>
          <cell r="X112">
            <v>40434.625</v>
          </cell>
          <cell r="AS112" t="str">
            <v/>
          </cell>
          <cell r="AU112">
            <v>40434.625</v>
          </cell>
          <cell r="BL112" t="str">
            <v/>
          </cell>
        </row>
        <row r="113">
          <cell r="A113">
            <v>40525.9375</v>
          </cell>
          <cell r="V113" t="str">
            <v/>
          </cell>
          <cell r="X113">
            <v>40525.9375</v>
          </cell>
          <cell r="AS113" t="str">
            <v/>
          </cell>
          <cell r="AU113">
            <v>40525.9375</v>
          </cell>
          <cell r="BL113" t="str">
            <v/>
          </cell>
        </row>
        <row r="114">
          <cell r="A114">
            <v>40617.25</v>
          </cell>
          <cell r="V114" t="str">
            <v/>
          </cell>
          <cell r="X114">
            <v>40617.25</v>
          </cell>
          <cell r="AS114" t="str">
            <v/>
          </cell>
          <cell r="AU114">
            <v>40617.25</v>
          </cell>
          <cell r="BL114" t="str">
            <v/>
          </cell>
        </row>
        <row r="115">
          <cell r="A115">
            <v>40708.5625</v>
          </cell>
          <cell r="V115" t="str">
            <v/>
          </cell>
          <cell r="X115">
            <v>40708.5625</v>
          </cell>
          <cell r="AS115" t="str">
            <v/>
          </cell>
          <cell r="AU115">
            <v>40708.5625</v>
          </cell>
          <cell r="BL115" t="str">
            <v/>
          </cell>
        </row>
        <row r="116">
          <cell r="A116">
            <v>40799.875</v>
          </cell>
          <cell r="V116" t="str">
            <v/>
          </cell>
          <cell r="X116">
            <v>40799.875</v>
          </cell>
          <cell r="AS116" t="str">
            <v/>
          </cell>
          <cell r="AU116">
            <v>40799.875</v>
          </cell>
          <cell r="BL116" t="str">
            <v/>
          </cell>
        </row>
        <row r="117">
          <cell r="A117">
            <v>40891.1875</v>
          </cell>
          <cell r="V117" t="str">
            <v/>
          </cell>
          <cell r="X117">
            <v>40891.1875</v>
          </cell>
          <cell r="AS117" t="str">
            <v/>
          </cell>
          <cell r="AU117">
            <v>40891.1875</v>
          </cell>
          <cell r="BL117" t="str">
            <v/>
          </cell>
        </row>
        <row r="118">
          <cell r="A118">
            <v>40982.5</v>
          </cell>
          <cell r="V118" t="str">
            <v/>
          </cell>
          <cell r="X118">
            <v>40982.5</v>
          </cell>
          <cell r="AS118" t="str">
            <v/>
          </cell>
          <cell r="AU118">
            <v>40982.5</v>
          </cell>
          <cell r="BL118" t="str">
            <v/>
          </cell>
        </row>
        <row r="119">
          <cell r="A119">
            <v>41073.8125</v>
          </cell>
          <cell r="V119" t="str">
            <v/>
          </cell>
          <cell r="X119">
            <v>41073.8125</v>
          </cell>
          <cell r="AS119" t="str">
            <v/>
          </cell>
          <cell r="AU119">
            <v>41073.8125</v>
          </cell>
          <cell r="BL119" t="str">
            <v/>
          </cell>
        </row>
        <row r="120">
          <cell r="A120">
            <v>41165.125</v>
          </cell>
          <cell r="V120" t="str">
            <v/>
          </cell>
          <cell r="X120">
            <v>41165.125</v>
          </cell>
          <cell r="AS120" t="str">
            <v/>
          </cell>
          <cell r="AU120">
            <v>41165.125</v>
          </cell>
          <cell r="BL120" t="str">
            <v/>
          </cell>
        </row>
        <row r="121">
          <cell r="A121">
            <v>41256.4375</v>
          </cell>
          <cell r="V121" t="str">
            <v/>
          </cell>
          <cell r="X121">
            <v>41256.4375</v>
          </cell>
          <cell r="AS121" t="str">
            <v/>
          </cell>
          <cell r="AU121">
            <v>41256.4375</v>
          </cell>
          <cell r="BL121" t="str">
            <v/>
          </cell>
        </row>
        <row r="122">
          <cell r="A122">
            <v>41347.75</v>
          </cell>
          <cell r="V122" t="str">
            <v/>
          </cell>
          <cell r="X122">
            <v>41347.75</v>
          </cell>
          <cell r="AS122" t="str">
            <v/>
          </cell>
          <cell r="AU122">
            <v>41347.75</v>
          </cell>
          <cell r="BL122" t="str">
            <v/>
          </cell>
        </row>
        <row r="123">
          <cell r="A123">
            <v>41439.0625</v>
          </cell>
          <cell r="V123" t="str">
            <v/>
          </cell>
          <cell r="X123">
            <v>41439.0625</v>
          </cell>
          <cell r="AS123" t="str">
            <v/>
          </cell>
          <cell r="AU123">
            <v>41439.0625</v>
          </cell>
          <cell r="BL123" t="str">
            <v/>
          </cell>
        </row>
        <row r="124">
          <cell r="A124">
            <v>41530.375</v>
          </cell>
          <cell r="V124" t="str">
            <v/>
          </cell>
          <cell r="X124">
            <v>41530.375</v>
          </cell>
          <cell r="AS124" t="str">
            <v/>
          </cell>
          <cell r="AU124">
            <v>41530.375</v>
          </cell>
          <cell r="BL124" t="str">
            <v/>
          </cell>
        </row>
        <row r="125">
          <cell r="A125">
            <v>41621.6875</v>
          </cell>
          <cell r="V125" t="str">
            <v/>
          </cell>
          <cell r="X125">
            <v>41621.6875</v>
          </cell>
          <cell r="AS125" t="str">
            <v/>
          </cell>
          <cell r="AU125">
            <v>41621.6875</v>
          </cell>
          <cell r="BL125" t="str">
            <v/>
          </cell>
        </row>
        <row r="126">
          <cell r="A126">
            <v>41713</v>
          </cell>
          <cell r="V126" t="str">
            <v/>
          </cell>
          <cell r="X126">
            <v>41713</v>
          </cell>
          <cell r="AS126" t="str">
            <v/>
          </cell>
          <cell r="AU126">
            <v>41713</v>
          </cell>
          <cell r="BL126" t="str">
            <v/>
          </cell>
        </row>
        <row r="127">
          <cell r="A127">
            <v>41804.3125</v>
          </cell>
          <cell r="V127" t="str">
            <v/>
          </cell>
          <cell r="X127">
            <v>41804.3125</v>
          </cell>
          <cell r="AS127" t="str">
            <v/>
          </cell>
          <cell r="AU127">
            <v>41804.3125</v>
          </cell>
          <cell r="BL127" t="str">
            <v/>
          </cell>
        </row>
        <row r="128">
          <cell r="A128">
            <v>41895.625</v>
          </cell>
          <cell r="V128" t="str">
            <v/>
          </cell>
          <cell r="X128">
            <v>41895.625</v>
          </cell>
          <cell r="AS128" t="str">
            <v/>
          </cell>
          <cell r="AU128">
            <v>41895.625</v>
          </cell>
          <cell r="BL128" t="str">
            <v/>
          </cell>
        </row>
        <row r="129">
          <cell r="A129">
            <v>41986.9375</v>
          </cell>
          <cell r="V129" t="str">
            <v/>
          </cell>
          <cell r="X129">
            <v>41986.9375</v>
          </cell>
          <cell r="AS129" t="str">
            <v/>
          </cell>
          <cell r="AU129">
            <v>41986.9375</v>
          </cell>
          <cell r="BL129" t="str">
            <v/>
          </cell>
        </row>
        <row r="130">
          <cell r="A130">
            <v>42078.25</v>
          </cell>
          <cell r="V130" t="str">
            <v/>
          </cell>
          <cell r="X130">
            <v>42078.25</v>
          </cell>
          <cell r="AS130" t="str">
            <v/>
          </cell>
          <cell r="AU130">
            <v>42078.25</v>
          </cell>
          <cell r="BL130" t="str">
            <v/>
          </cell>
        </row>
        <row r="131">
          <cell r="A131">
            <v>42169.5625</v>
          </cell>
          <cell r="V131" t="str">
            <v/>
          </cell>
          <cell r="X131">
            <v>42169.5625</v>
          </cell>
          <cell r="AS131" t="str">
            <v/>
          </cell>
          <cell r="AU131">
            <v>42169.5625</v>
          </cell>
          <cell r="BL131" t="str">
            <v/>
          </cell>
        </row>
        <row r="132">
          <cell r="A132">
            <v>42260.875</v>
          </cell>
          <cell r="V132" t="str">
            <v/>
          </cell>
          <cell r="X132">
            <v>42260.875</v>
          </cell>
          <cell r="AS132" t="str">
            <v/>
          </cell>
          <cell r="AU132">
            <v>42260.875</v>
          </cell>
          <cell r="BL132" t="str">
            <v/>
          </cell>
        </row>
        <row r="133">
          <cell r="A133">
            <v>42352.1875</v>
          </cell>
          <cell r="V133" t="str">
            <v/>
          </cell>
          <cell r="X133">
            <v>42352.1875</v>
          </cell>
          <cell r="AS133" t="str">
            <v/>
          </cell>
          <cell r="AU133">
            <v>42352.1875</v>
          </cell>
          <cell r="BL133" t="str">
            <v/>
          </cell>
        </row>
        <row r="134">
          <cell r="A134">
            <v>42443.5</v>
          </cell>
          <cell r="V134" t="str">
            <v/>
          </cell>
          <cell r="X134">
            <v>42443.5</v>
          </cell>
          <cell r="AS134" t="str">
            <v/>
          </cell>
          <cell r="AU134">
            <v>42443.5</v>
          </cell>
          <cell r="BL134" t="str">
            <v/>
          </cell>
        </row>
        <row r="135">
          <cell r="A135">
            <v>42534.8125</v>
          </cell>
          <cell r="V135" t="str">
            <v/>
          </cell>
          <cell r="X135">
            <v>42534.8125</v>
          </cell>
          <cell r="AS135" t="str">
            <v/>
          </cell>
          <cell r="AU135">
            <v>42534.8125</v>
          </cell>
          <cell r="BL135" t="str">
            <v/>
          </cell>
        </row>
        <row r="136">
          <cell r="A136">
            <v>42626.125</v>
          </cell>
          <cell r="V136" t="str">
            <v/>
          </cell>
          <cell r="X136">
            <v>42626.125</v>
          </cell>
          <cell r="AS136" t="str">
            <v/>
          </cell>
          <cell r="AU136">
            <v>42626.125</v>
          </cell>
          <cell r="BL136" t="str">
            <v/>
          </cell>
        </row>
        <row r="137">
          <cell r="A137">
            <v>42717.4375</v>
          </cell>
          <cell r="V137" t="str">
            <v/>
          </cell>
          <cell r="X137">
            <v>42717.4375</v>
          </cell>
          <cell r="AS137" t="str">
            <v/>
          </cell>
          <cell r="AU137">
            <v>42717.4375</v>
          </cell>
          <cell r="BL137" t="str">
            <v/>
          </cell>
        </row>
        <row r="138">
          <cell r="A138">
            <v>42808.75</v>
          </cell>
          <cell r="V138" t="str">
            <v/>
          </cell>
          <cell r="X138">
            <v>42808.75</v>
          </cell>
          <cell r="AS138" t="str">
            <v/>
          </cell>
          <cell r="AU138">
            <v>42808.75</v>
          </cell>
          <cell r="BL138" t="str">
            <v/>
          </cell>
        </row>
        <row r="139">
          <cell r="A139">
            <v>42900.0625</v>
          </cell>
          <cell r="V139" t="str">
            <v/>
          </cell>
          <cell r="X139">
            <v>42900.0625</v>
          </cell>
          <cell r="AS139" t="str">
            <v/>
          </cell>
          <cell r="AU139">
            <v>42900.0625</v>
          </cell>
          <cell r="BL139" t="str">
            <v/>
          </cell>
        </row>
        <row r="140">
          <cell r="A140">
            <v>42991.375</v>
          </cell>
          <cell r="V140" t="str">
            <v/>
          </cell>
          <cell r="X140">
            <v>42991.375</v>
          </cell>
          <cell r="AS140" t="str">
            <v/>
          </cell>
          <cell r="AU140">
            <v>42991.375</v>
          </cell>
          <cell r="BL140" t="str">
            <v/>
          </cell>
        </row>
        <row r="141">
          <cell r="A141">
            <v>43082.6875</v>
          </cell>
          <cell r="V141" t="str">
            <v/>
          </cell>
          <cell r="X141">
            <v>43082.6875</v>
          </cell>
          <cell r="AS141" t="str">
            <v/>
          </cell>
          <cell r="AU141">
            <v>43082.6875</v>
          </cell>
          <cell r="BL141" t="str">
            <v/>
          </cell>
        </row>
        <row r="142">
          <cell r="A142">
            <v>43174</v>
          </cell>
          <cell r="V142" t="str">
            <v/>
          </cell>
          <cell r="X142">
            <v>43174</v>
          </cell>
          <cell r="AS142" t="str">
            <v/>
          </cell>
          <cell r="AU142">
            <v>43174</v>
          </cell>
          <cell r="BL142" t="str">
            <v/>
          </cell>
        </row>
        <row r="143">
          <cell r="A143">
            <v>43265.3125</v>
          </cell>
          <cell r="V143" t="str">
            <v/>
          </cell>
          <cell r="X143">
            <v>43265.3125</v>
          </cell>
          <cell r="AS143" t="str">
            <v/>
          </cell>
          <cell r="AU143">
            <v>43265.3125</v>
          </cell>
          <cell r="BL143" t="str">
            <v/>
          </cell>
        </row>
        <row r="144">
          <cell r="A144">
            <v>43356.625</v>
          </cell>
          <cell r="V144" t="str">
            <v/>
          </cell>
          <cell r="X144">
            <v>43356.625</v>
          </cell>
          <cell r="AS144" t="str">
            <v/>
          </cell>
          <cell r="AU144">
            <v>43356.625</v>
          </cell>
          <cell r="BL144" t="str">
            <v/>
          </cell>
        </row>
        <row r="145">
          <cell r="A145">
            <v>43447.9375</v>
          </cell>
          <cell r="V145" t="str">
            <v/>
          </cell>
          <cell r="X145">
            <v>43447.9375</v>
          </cell>
          <cell r="AS145" t="str">
            <v/>
          </cell>
          <cell r="AU145">
            <v>43447.9375</v>
          </cell>
          <cell r="BL145" t="str">
            <v/>
          </cell>
        </row>
        <row r="146">
          <cell r="A146">
            <v>43539.25</v>
          </cell>
          <cell r="V146" t="str">
            <v/>
          </cell>
          <cell r="X146">
            <v>43539.25</v>
          </cell>
          <cell r="AS146" t="str">
            <v/>
          </cell>
          <cell r="AU146">
            <v>43539.25</v>
          </cell>
          <cell r="BL146" t="str">
            <v/>
          </cell>
        </row>
        <row r="147">
          <cell r="A147">
            <v>43630.5625</v>
          </cell>
          <cell r="V147" t="str">
            <v/>
          </cell>
          <cell r="X147">
            <v>43630.5625</v>
          </cell>
          <cell r="AS147" t="str">
            <v/>
          </cell>
          <cell r="AU147">
            <v>43630.5625</v>
          </cell>
          <cell r="BL147" t="str">
            <v/>
          </cell>
        </row>
        <row r="148">
          <cell r="A148">
            <v>43721.875</v>
          </cell>
          <cell r="V148" t="str">
            <v/>
          </cell>
          <cell r="X148">
            <v>43721.875</v>
          </cell>
          <cell r="AS148" t="str">
            <v/>
          </cell>
          <cell r="AU148">
            <v>43721.875</v>
          </cell>
          <cell r="BL148" t="str">
            <v/>
          </cell>
        </row>
        <row r="149">
          <cell r="A149">
            <v>43813.1875</v>
          </cell>
          <cell r="V149" t="str">
            <v/>
          </cell>
          <cell r="X149">
            <v>43813.1875</v>
          </cell>
          <cell r="AS149" t="str">
            <v/>
          </cell>
          <cell r="AU149">
            <v>43813.1875</v>
          </cell>
          <cell r="BL149" t="str">
            <v/>
          </cell>
        </row>
        <row r="150">
          <cell r="A150">
            <v>43904.5</v>
          </cell>
          <cell r="V150" t="str">
            <v/>
          </cell>
          <cell r="X150">
            <v>43904.5</v>
          </cell>
          <cell r="AS150" t="str">
            <v/>
          </cell>
          <cell r="AU150">
            <v>43904.5</v>
          </cell>
          <cell r="BL150" t="str">
            <v/>
          </cell>
        </row>
        <row r="151">
          <cell r="A151">
            <v>43995.8125</v>
          </cell>
          <cell r="V151" t="str">
            <v/>
          </cell>
          <cell r="X151">
            <v>43995.8125</v>
          </cell>
          <cell r="AS151" t="str">
            <v/>
          </cell>
          <cell r="AU151">
            <v>43995.8125</v>
          </cell>
          <cell r="BL151" t="str">
            <v/>
          </cell>
        </row>
        <row r="152">
          <cell r="A152">
            <v>44087.125</v>
          </cell>
          <cell r="V152" t="str">
            <v/>
          </cell>
          <cell r="X152">
            <v>44087.125</v>
          </cell>
          <cell r="AS152" t="str">
            <v/>
          </cell>
          <cell r="AU152">
            <v>44087.125</v>
          </cell>
          <cell r="BL152" t="str">
            <v/>
          </cell>
        </row>
        <row r="153">
          <cell r="A153">
            <v>44178.4375</v>
          </cell>
          <cell r="V153" t="str">
            <v/>
          </cell>
          <cell r="X153">
            <v>44178.4375</v>
          </cell>
          <cell r="AS153" t="str">
            <v/>
          </cell>
          <cell r="AU153">
            <v>44178.4375</v>
          </cell>
          <cell r="BL153" t="str">
            <v/>
          </cell>
        </row>
        <row r="154">
          <cell r="A154">
            <v>44269.75</v>
          </cell>
          <cell r="V154" t="str">
            <v/>
          </cell>
          <cell r="X154">
            <v>44269.75</v>
          </cell>
          <cell r="AS154" t="str">
            <v/>
          </cell>
          <cell r="AU154">
            <v>44269.75</v>
          </cell>
          <cell r="BL154" t="str">
            <v/>
          </cell>
        </row>
        <row r="155">
          <cell r="A155">
            <v>44361.0625</v>
          </cell>
          <cell r="V155" t="str">
            <v/>
          </cell>
          <cell r="X155">
            <v>44361.0625</v>
          </cell>
          <cell r="AS155" t="str">
            <v/>
          </cell>
          <cell r="AU155">
            <v>44361.0625</v>
          </cell>
          <cell r="BL155" t="str">
            <v/>
          </cell>
        </row>
        <row r="156">
          <cell r="A156">
            <v>44452.375</v>
          </cell>
          <cell r="V156" t="str">
            <v/>
          </cell>
          <cell r="X156">
            <v>44452.375</v>
          </cell>
          <cell r="AS156" t="str">
            <v/>
          </cell>
          <cell r="AU156">
            <v>44452.375</v>
          </cell>
          <cell r="BL156" t="str">
            <v/>
          </cell>
        </row>
        <row r="157">
          <cell r="A157">
            <v>44543.6875</v>
          </cell>
          <cell r="V157" t="str">
            <v/>
          </cell>
          <cell r="X157">
            <v>44543.6875</v>
          </cell>
          <cell r="AS157" t="str">
            <v/>
          </cell>
          <cell r="AU157">
            <v>44543.6875</v>
          </cell>
          <cell r="BL157" t="str">
            <v/>
          </cell>
        </row>
        <row r="158">
          <cell r="A158">
            <v>44635</v>
          </cell>
          <cell r="V158" t="str">
            <v/>
          </cell>
          <cell r="X158">
            <v>44635</v>
          </cell>
          <cell r="AS158" t="str">
            <v/>
          </cell>
          <cell r="AU158">
            <v>44635</v>
          </cell>
          <cell r="BL158" t="str">
            <v/>
          </cell>
        </row>
        <row r="159">
          <cell r="A159">
            <v>44726.3125</v>
          </cell>
          <cell r="V159" t="str">
            <v/>
          </cell>
          <cell r="X159">
            <v>44726.3125</v>
          </cell>
          <cell r="AS159" t="str">
            <v/>
          </cell>
          <cell r="AU159">
            <v>44726.3125</v>
          </cell>
          <cell r="BL159" t="str">
            <v/>
          </cell>
        </row>
        <row r="160">
          <cell r="A160">
            <v>44817.625</v>
          </cell>
          <cell r="V160" t="str">
            <v/>
          </cell>
          <cell r="X160">
            <v>44817.625</v>
          </cell>
          <cell r="AS160" t="str">
            <v/>
          </cell>
          <cell r="AU160">
            <v>44817.625</v>
          </cell>
          <cell r="BL160" t="str">
            <v/>
          </cell>
        </row>
        <row r="161">
          <cell r="A161">
            <v>44908.9375</v>
          </cell>
          <cell r="V161" t="str">
            <v/>
          </cell>
          <cell r="X161">
            <v>44908.9375</v>
          </cell>
          <cell r="AS161" t="str">
            <v/>
          </cell>
          <cell r="AU161">
            <v>44908.9375</v>
          </cell>
          <cell r="BL161" t="str">
            <v/>
          </cell>
        </row>
        <row r="162">
          <cell r="A162">
            <v>45000.25</v>
          </cell>
          <cell r="V162" t="str">
            <v/>
          </cell>
          <cell r="X162">
            <v>45000.25</v>
          </cell>
          <cell r="AS162" t="str">
            <v/>
          </cell>
          <cell r="AU162">
            <v>45000.25</v>
          </cell>
          <cell r="BL162" t="str">
            <v/>
          </cell>
        </row>
        <row r="163">
          <cell r="A163">
            <v>45091.5625</v>
          </cell>
          <cell r="V163" t="str">
            <v/>
          </cell>
          <cell r="X163">
            <v>45091.5625</v>
          </cell>
          <cell r="AS163" t="str">
            <v/>
          </cell>
          <cell r="AU163">
            <v>45091.5625</v>
          </cell>
          <cell r="BL163" t="str">
            <v/>
          </cell>
        </row>
        <row r="164">
          <cell r="A164">
            <v>45182.875</v>
          </cell>
          <cell r="V164" t="str">
            <v/>
          </cell>
          <cell r="X164">
            <v>45182.875</v>
          </cell>
          <cell r="AS164" t="str">
            <v/>
          </cell>
          <cell r="AU164">
            <v>45182.875</v>
          </cell>
          <cell r="BL164" t="str">
            <v/>
          </cell>
        </row>
        <row r="165">
          <cell r="A165">
            <v>45274.1875</v>
          </cell>
          <cell r="V165" t="str">
            <v/>
          </cell>
          <cell r="X165">
            <v>45274.1875</v>
          </cell>
          <cell r="AS165" t="str">
            <v/>
          </cell>
          <cell r="AU165">
            <v>45274.1875</v>
          </cell>
          <cell r="BL165" t="str">
            <v/>
          </cell>
        </row>
        <row r="166">
          <cell r="A166">
            <v>45365.5</v>
          </cell>
          <cell r="V166" t="str">
            <v/>
          </cell>
          <cell r="X166">
            <v>45365.5</v>
          </cell>
          <cell r="AS166" t="str">
            <v/>
          </cell>
          <cell r="AU166">
            <v>45365.5</v>
          </cell>
          <cell r="BL166" t="str">
            <v/>
          </cell>
        </row>
        <row r="167">
          <cell r="A167">
            <v>45456.8125</v>
          </cell>
          <cell r="V167" t="str">
            <v/>
          </cell>
          <cell r="X167">
            <v>45456.8125</v>
          </cell>
          <cell r="AS167" t="str">
            <v/>
          </cell>
          <cell r="AU167">
            <v>45456.8125</v>
          </cell>
          <cell r="BL167" t="str">
            <v/>
          </cell>
        </row>
        <row r="168">
          <cell r="A168">
            <v>45548.125</v>
          </cell>
          <cell r="V168" t="str">
            <v/>
          </cell>
          <cell r="X168">
            <v>45548.125</v>
          </cell>
          <cell r="AS168" t="str">
            <v/>
          </cell>
          <cell r="AU168">
            <v>45548.125</v>
          </cell>
          <cell r="BL168" t="str">
            <v/>
          </cell>
        </row>
        <row r="169">
          <cell r="A169">
            <v>45639.4375</v>
          </cell>
          <cell r="V169" t="str">
            <v/>
          </cell>
          <cell r="X169">
            <v>45639.4375</v>
          </cell>
          <cell r="AS169" t="str">
            <v/>
          </cell>
          <cell r="AU169">
            <v>45639.4375</v>
          </cell>
          <cell r="BL169" t="str">
            <v/>
          </cell>
        </row>
        <row r="170">
          <cell r="A170">
            <v>45730.75</v>
          </cell>
          <cell r="V170" t="str">
            <v/>
          </cell>
          <cell r="X170">
            <v>45730.75</v>
          </cell>
          <cell r="AS170" t="str">
            <v/>
          </cell>
          <cell r="AU170">
            <v>45730.75</v>
          </cell>
          <cell r="BL170" t="str">
            <v/>
          </cell>
        </row>
        <row r="171">
          <cell r="A171">
            <v>45822.0625</v>
          </cell>
          <cell r="V171" t="str">
            <v/>
          </cell>
          <cell r="X171">
            <v>45822.0625</v>
          </cell>
          <cell r="AS171" t="str">
            <v/>
          </cell>
          <cell r="AU171">
            <v>45822.0625</v>
          </cell>
          <cell r="BL171" t="str">
            <v/>
          </cell>
        </row>
        <row r="172">
          <cell r="A172">
            <v>45913.375</v>
          </cell>
          <cell r="V172" t="str">
            <v/>
          </cell>
          <cell r="X172">
            <v>45913.375</v>
          </cell>
          <cell r="AS172" t="str">
            <v/>
          </cell>
          <cell r="AU172">
            <v>45913.375</v>
          </cell>
          <cell r="BL172" t="str">
            <v/>
          </cell>
        </row>
        <row r="173">
          <cell r="A173">
            <v>46004.6875</v>
          </cell>
          <cell r="V173" t="str">
            <v/>
          </cell>
          <cell r="X173">
            <v>46004.6875</v>
          </cell>
          <cell r="AS173" t="str">
            <v/>
          </cell>
          <cell r="AU173">
            <v>46004.6875</v>
          </cell>
          <cell r="BL173" t="str">
            <v/>
          </cell>
        </row>
        <row r="174">
          <cell r="A174">
            <v>46096</v>
          </cell>
          <cell r="V174" t="str">
            <v/>
          </cell>
          <cell r="X174">
            <v>46096</v>
          </cell>
          <cell r="AS174" t="str">
            <v/>
          </cell>
          <cell r="AU174">
            <v>46096</v>
          </cell>
          <cell r="BL174" t="str">
            <v/>
          </cell>
        </row>
        <row r="175">
          <cell r="A175">
            <v>46187.3125</v>
          </cell>
          <cell r="V175" t="str">
            <v/>
          </cell>
          <cell r="X175">
            <v>46187.3125</v>
          </cell>
          <cell r="AS175" t="str">
            <v/>
          </cell>
          <cell r="AU175">
            <v>46187.3125</v>
          </cell>
          <cell r="BL175" t="str">
            <v/>
          </cell>
        </row>
        <row r="176">
          <cell r="A176">
            <v>46278.625</v>
          </cell>
          <cell r="V176" t="str">
            <v/>
          </cell>
          <cell r="X176">
            <v>46278.625</v>
          </cell>
          <cell r="AS176" t="str">
            <v/>
          </cell>
          <cell r="AU176">
            <v>46278.625</v>
          </cell>
          <cell r="BL176" t="str">
            <v/>
          </cell>
        </row>
        <row r="177">
          <cell r="A177">
            <v>46369.9375</v>
          </cell>
          <cell r="V177" t="str">
            <v/>
          </cell>
          <cell r="X177">
            <v>46369.9375</v>
          </cell>
          <cell r="AS177" t="str">
            <v/>
          </cell>
          <cell r="AU177">
            <v>46369.9375</v>
          </cell>
          <cell r="BL177" t="str">
            <v/>
          </cell>
        </row>
        <row r="178">
          <cell r="A178">
            <v>46461.25</v>
          </cell>
          <cell r="V178" t="str">
            <v/>
          </cell>
          <cell r="X178">
            <v>46461.25</v>
          </cell>
          <cell r="AS178" t="str">
            <v/>
          </cell>
          <cell r="AU178">
            <v>46461.25</v>
          </cell>
          <cell r="BL178" t="str">
            <v/>
          </cell>
        </row>
        <row r="179">
          <cell r="A179">
            <v>46552.5625</v>
          </cell>
          <cell r="V179" t="str">
            <v/>
          </cell>
          <cell r="X179">
            <v>46552.5625</v>
          </cell>
          <cell r="AS179" t="str">
            <v/>
          </cell>
          <cell r="AU179">
            <v>46552.5625</v>
          </cell>
          <cell r="BL179" t="str">
            <v/>
          </cell>
        </row>
        <row r="180">
          <cell r="A180">
            <v>46643.875</v>
          </cell>
          <cell r="V180" t="str">
            <v/>
          </cell>
          <cell r="X180">
            <v>46643.875</v>
          </cell>
          <cell r="AS180" t="str">
            <v/>
          </cell>
          <cell r="AU180">
            <v>46643.875</v>
          </cell>
          <cell r="BL180" t="str">
            <v/>
          </cell>
        </row>
        <row r="181">
          <cell r="A181">
            <v>46735.1875</v>
          </cell>
          <cell r="V181" t="str">
            <v/>
          </cell>
          <cell r="X181">
            <v>46735.1875</v>
          </cell>
          <cell r="AS181" t="str">
            <v/>
          </cell>
          <cell r="AU181">
            <v>46735.1875</v>
          </cell>
          <cell r="BL181" t="str">
            <v/>
          </cell>
        </row>
        <row r="182">
          <cell r="A182">
            <v>46826.5</v>
          </cell>
          <cell r="V182" t="str">
            <v/>
          </cell>
          <cell r="X182">
            <v>46826.5</v>
          </cell>
          <cell r="AS182" t="str">
            <v/>
          </cell>
          <cell r="AU182">
            <v>46826.5</v>
          </cell>
          <cell r="BL182" t="str">
            <v/>
          </cell>
        </row>
        <row r="183">
          <cell r="A183">
            <v>46917.8125</v>
          </cell>
          <cell r="V183" t="str">
            <v/>
          </cell>
          <cell r="X183">
            <v>46917.8125</v>
          </cell>
          <cell r="AS183" t="str">
            <v/>
          </cell>
          <cell r="AU183">
            <v>46917.8125</v>
          </cell>
          <cell r="BL183" t="str">
            <v/>
          </cell>
        </row>
        <row r="184">
          <cell r="A184">
            <v>47009.125</v>
          </cell>
          <cell r="V184" t="str">
            <v/>
          </cell>
          <cell r="X184">
            <v>47009.125</v>
          </cell>
          <cell r="AS184" t="str">
            <v/>
          </cell>
          <cell r="AU184">
            <v>47009.125</v>
          </cell>
          <cell r="BL184" t="str">
            <v/>
          </cell>
        </row>
        <row r="185">
          <cell r="A185">
            <v>47100.4375</v>
          </cell>
          <cell r="V185" t="str">
            <v/>
          </cell>
          <cell r="X185">
            <v>47100.4375</v>
          </cell>
          <cell r="AS185" t="str">
            <v/>
          </cell>
          <cell r="AU185">
            <v>47100.4375</v>
          </cell>
          <cell r="BL185" t="str">
            <v/>
          </cell>
        </row>
        <row r="186">
          <cell r="A186">
            <v>47191.75</v>
          </cell>
          <cell r="V186" t="str">
            <v/>
          </cell>
          <cell r="X186">
            <v>47191.75</v>
          </cell>
          <cell r="AS186" t="str">
            <v/>
          </cell>
          <cell r="AU186">
            <v>47191.75</v>
          </cell>
          <cell r="BL186" t="str">
            <v/>
          </cell>
        </row>
        <row r="187">
          <cell r="A187">
            <v>47283.0625</v>
          </cell>
          <cell r="V187" t="str">
            <v/>
          </cell>
          <cell r="X187">
            <v>47283.0625</v>
          </cell>
          <cell r="AS187" t="str">
            <v/>
          </cell>
          <cell r="AU187">
            <v>47283.0625</v>
          </cell>
          <cell r="BL187" t="str">
            <v/>
          </cell>
        </row>
        <row r="188">
          <cell r="A188">
            <v>47374.375</v>
          </cell>
          <cell r="V188" t="str">
            <v/>
          </cell>
          <cell r="X188">
            <v>47374.375</v>
          </cell>
          <cell r="AS188" t="str">
            <v/>
          </cell>
          <cell r="AU188">
            <v>47374.375</v>
          </cell>
          <cell r="BL188" t="str">
            <v/>
          </cell>
        </row>
        <row r="189">
          <cell r="A189">
            <v>47465.6875</v>
          </cell>
          <cell r="V189" t="str">
            <v/>
          </cell>
          <cell r="X189">
            <v>47465.6875</v>
          </cell>
          <cell r="AS189" t="str">
            <v/>
          </cell>
          <cell r="AU189">
            <v>47465.6875</v>
          </cell>
          <cell r="BL189" t="str">
            <v/>
          </cell>
        </row>
        <row r="190">
          <cell r="A190">
            <v>47557</v>
          </cell>
          <cell r="V190" t="str">
            <v/>
          </cell>
          <cell r="X190">
            <v>47557</v>
          </cell>
          <cell r="AS190" t="str">
            <v/>
          </cell>
          <cell r="AU190">
            <v>47557</v>
          </cell>
          <cell r="BL190" t="str">
            <v/>
          </cell>
        </row>
        <row r="191">
          <cell r="A191">
            <v>47648.3125</v>
          </cell>
          <cell r="V191" t="str">
            <v/>
          </cell>
          <cell r="X191">
            <v>47648.3125</v>
          </cell>
          <cell r="AS191" t="str">
            <v/>
          </cell>
          <cell r="AU191">
            <v>47648.3125</v>
          </cell>
          <cell r="BL191" t="str">
            <v/>
          </cell>
        </row>
        <row r="192">
          <cell r="A192">
            <v>47739.625</v>
          </cell>
          <cell r="V192" t="str">
            <v/>
          </cell>
          <cell r="X192">
            <v>47739.625</v>
          </cell>
          <cell r="AS192" t="str">
            <v/>
          </cell>
          <cell r="AU192">
            <v>47739.625</v>
          </cell>
          <cell r="BL192" t="str">
            <v/>
          </cell>
        </row>
        <row r="193">
          <cell r="A193">
            <v>47830.9375</v>
          </cell>
          <cell r="V193" t="str">
            <v/>
          </cell>
          <cell r="X193">
            <v>47830.9375</v>
          </cell>
          <cell r="AS193" t="str">
            <v/>
          </cell>
          <cell r="AU193">
            <v>47830.9375</v>
          </cell>
          <cell r="BL193" t="str">
            <v/>
          </cell>
        </row>
        <row r="194">
          <cell r="A194">
            <v>47922.25</v>
          </cell>
          <cell r="V194" t="str">
            <v/>
          </cell>
          <cell r="X194">
            <v>47922.25</v>
          </cell>
          <cell r="AS194" t="str">
            <v/>
          </cell>
          <cell r="AU194">
            <v>47922.25</v>
          </cell>
          <cell r="BL194" t="str">
            <v/>
          </cell>
        </row>
        <row r="195">
          <cell r="A195">
            <v>48013.5625</v>
          </cell>
          <cell r="V195" t="str">
            <v/>
          </cell>
          <cell r="X195">
            <v>48013.5625</v>
          </cell>
          <cell r="AS195" t="str">
            <v/>
          </cell>
          <cell r="AU195">
            <v>48013.5625</v>
          </cell>
          <cell r="BL195" t="str">
            <v/>
          </cell>
        </row>
        <row r="196">
          <cell r="A196">
            <v>48104.875</v>
          </cell>
          <cell r="V196" t="str">
            <v/>
          </cell>
          <cell r="X196">
            <v>48104.875</v>
          </cell>
          <cell r="AS196" t="str">
            <v/>
          </cell>
          <cell r="AU196">
            <v>48104.875</v>
          </cell>
          <cell r="BL196" t="str">
            <v/>
          </cell>
        </row>
        <row r="197">
          <cell r="A197">
            <v>48196.1875</v>
          </cell>
          <cell r="V197" t="str">
            <v/>
          </cell>
          <cell r="X197">
            <v>48196.1875</v>
          </cell>
          <cell r="AS197" t="str">
            <v/>
          </cell>
          <cell r="AU197">
            <v>48196.1875</v>
          </cell>
          <cell r="BL197" t="str">
            <v/>
          </cell>
        </row>
        <row r="198">
          <cell r="A198">
            <v>48287.5</v>
          </cell>
          <cell r="V198" t="str">
            <v/>
          </cell>
          <cell r="X198">
            <v>48287.5</v>
          </cell>
          <cell r="AS198" t="str">
            <v/>
          </cell>
          <cell r="AU198">
            <v>48287.5</v>
          </cell>
          <cell r="BL198" t="str">
            <v/>
          </cell>
        </row>
        <row r="199">
          <cell r="A199">
            <v>48378.8125</v>
          </cell>
          <cell r="V199" t="str">
            <v/>
          </cell>
          <cell r="X199">
            <v>48378.8125</v>
          </cell>
          <cell r="AS199" t="str">
            <v/>
          </cell>
          <cell r="AU199">
            <v>48378.8125</v>
          </cell>
          <cell r="BL199" t="str">
            <v/>
          </cell>
        </row>
        <row r="200">
          <cell r="A200">
            <v>48470.125</v>
          </cell>
          <cell r="V200" t="str">
            <v/>
          </cell>
          <cell r="X200">
            <v>48470.125</v>
          </cell>
          <cell r="AS200" t="str">
            <v/>
          </cell>
          <cell r="AU200">
            <v>48470.125</v>
          </cell>
          <cell r="BL200" t="str">
            <v/>
          </cell>
        </row>
        <row r="201">
          <cell r="A201">
            <v>48561.4375</v>
          </cell>
          <cell r="V201" t="str">
            <v/>
          </cell>
          <cell r="X201">
            <v>48561.4375</v>
          </cell>
          <cell r="AS201" t="str">
            <v/>
          </cell>
          <cell r="AU201">
            <v>48561.4375</v>
          </cell>
          <cell r="BL201" t="str">
            <v/>
          </cell>
        </row>
        <row r="202">
          <cell r="A202">
            <v>48652.75</v>
          </cell>
          <cell r="V202" t="str">
            <v/>
          </cell>
          <cell r="X202">
            <v>48652.75</v>
          </cell>
          <cell r="AS202" t="str">
            <v/>
          </cell>
          <cell r="AU202">
            <v>48652.75</v>
          </cell>
          <cell r="BL202" t="str">
            <v/>
          </cell>
        </row>
        <row r="203">
          <cell r="A203">
            <v>48744.0625</v>
          </cell>
          <cell r="V203" t="str">
            <v/>
          </cell>
          <cell r="X203">
            <v>48744.0625</v>
          </cell>
          <cell r="AS203" t="str">
            <v/>
          </cell>
          <cell r="AU203">
            <v>48744.0625</v>
          </cell>
          <cell r="BL203" t="str">
            <v/>
          </cell>
        </row>
        <row r="204">
          <cell r="A204">
            <v>48835.375</v>
          </cell>
          <cell r="V204" t="str">
            <v/>
          </cell>
          <cell r="X204">
            <v>48835.375</v>
          </cell>
          <cell r="AS204" t="str">
            <v/>
          </cell>
          <cell r="AU204">
            <v>48835.375</v>
          </cell>
          <cell r="BL204" t="str">
            <v/>
          </cell>
        </row>
        <row r="205">
          <cell r="A205">
            <v>48926.6875</v>
          </cell>
          <cell r="V205" t="str">
            <v/>
          </cell>
          <cell r="X205">
            <v>48926.6875</v>
          </cell>
          <cell r="AS205" t="str">
            <v/>
          </cell>
          <cell r="AU205">
            <v>48926.6875</v>
          </cell>
          <cell r="BL205" t="str">
            <v/>
          </cell>
        </row>
        <row r="206">
          <cell r="A206">
            <v>49018</v>
          </cell>
          <cell r="V206" t="str">
            <v/>
          </cell>
          <cell r="X206">
            <v>49018</v>
          </cell>
          <cell r="AS206" t="str">
            <v/>
          </cell>
          <cell r="AU206">
            <v>49018</v>
          </cell>
          <cell r="BL206" t="str">
            <v/>
          </cell>
        </row>
        <row r="207">
          <cell r="A207">
            <v>49109.3125</v>
          </cell>
          <cell r="V207" t="str">
            <v/>
          </cell>
          <cell r="X207">
            <v>49109.3125</v>
          </cell>
          <cell r="AS207" t="str">
            <v/>
          </cell>
          <cell r="AU207">
            <v>49109.3125</v>
          </cell>
          <cell r="BL207" t="str">
            <v/>
          </cell>
        </row>
        <row r="208">
          <cell r="A208">
            <v>49200.625</v>
          </cell>
          <cell r="V208" t="str">
            <v/>
          </cell>
          <cell r="X208">
            <v>49200.625</v>
          </cell>
          <cell r="AS208" t="str">
            <v/>
          </cell>
          <cell r="AU208">
            <v>49200.625</v>
          </cell>
          <cell r="BL208" t="str">
            <v/>
          </cell>
        </row>
        <row r="209">
          <cell r="A209">
            <v>49291.9375</v>
          </cell>
          <cell r="V209" t="str">
            <v/>
          </cell>
          <cell r="X209">
            <v>49291.9375</v>
          </cell>
          <cell r="AS209" t="str">
            <v/>
          </cell>
          <cell r="AU209">
            <v>49291.9375</v>
          </cell>
          <cell r="BL209" t="str">
            <v/>
          </cell>
        </row>
        <row r="210">
          <cell r="A210">
            <v>49383.25</v>
          </cell>
          <cell r="V210" t="str">
            <v/>
          </cell>
          <cell r="X210">
            <v>49383.25</v>
          </cell>
          <cell r="AS210" t="str">
            <v/>
          </cell>
          <cell r="AU210">
            <v>49383.25</v>
          </cell>
          <cell r="BL210" t="str">
            <v/>
          </cell>
        </row>
        <row r="211">
          <cell r="A211">
            <v>49474.5625</v>
          </cell>
          <cell r="V211" t="str">
            <v/>
          </cell>
          <cell r="X211">
            <v>49474.5625</v>
          </cell>
          <cell r="AS211" t="str">
            <v/>
          </cell>
          <cell r="AU211">
            <v>49474.5625</v>
          </cell>
          <cell r="BL211" t="str">
            <v/>
          </cell>
        </row>
        <row r="212">
          <cell r="A212">
            <v>49565.875</v>
          </cell>
          <cell r="V212" t="str">
            <v/>
          </cell>
          <cell r="X212">
            <v>49565.875</v>
          </cell>
          <cell r="AS212" t="str">
            <v/>
          </cell>
          <cell r="AU212">
            <v>49565.875</v>
          </cell>
          <cell r="BL212" t="str">
            <v/>
          </cell>
        </row>
        <row r="213">
          <cell r="A213">
            <v>49657.1875</v>
          </cell>
          <cell r="V213" t="str">
            <v/>
          </cell>
          <cell r="X213">
            <v>49657.1875</v>
          </cell>
          <cell r="AS213" t="str">
            <v/>
          </cell>
          <cell r="AU213">
            <v>49657.1875</v>
          </cell>
          <cell r="BL213" t="str">
            <v/>
          </cell>
        </row>
        <row r="214">
          <cell r="A214">
            <v>49748.5</v>
          </cell>
          <cell r="V214" t="str">
            <v/>
          </cell>
          <cell r="X214">
            <v>49748.5</v>
          </cell>
          <cell r="AS214" t="str">
            <v/>
          </cell>
          <cell r="AU214">
            <v>49748.5</v>
          </cell>
          <cell r="BL214" t="str">
            <v/>
          </cell>
        </row>
        <row r="215">
          <cell r="A215">
            <v>49839.8125</v>
          </cell>
          <cell r="V215" t="str">
            <v/>
          </cell>
          <cell r="X215">
            <v>49839.8125</v>
          </cell>
          <cell r="AS215" t="str">
            <v/>
          </cell>
          <cell r="AU215">
            <v>49839.8125</v>
          </cell>
          <cell r="BL215" t="str">
            <v/>
          </cell>
        </row>
        <row r="216">
          <cell r="A216">
            <v>49931.125</v>
          </cell>
          <cell r="V216" t="str">
            <v/>
          </cell>
          <cell r="X216">
            <v>49931.125</v>
          </cell>
          <cell r="AS216" t="str">
            <v/>
          </cell>
          <cell r="AU216">
            <v>49931.125</v>
          </cell>
          <cell r="BL216" t="str">
            <v/>
          </cell>
        </row>
        <row r="217">
          <cell r="A217">
            <v>50022.4375</v>
          </cell>
          <cell r="V217" t="str">
            <v/>
          </cell>
          <cell r="X217">
            <v>50022.4375</v>
          </cell>
          <cell r="AS217" t="str">
            <v/>
          </cell>
          <cell r="AU217">
            <v>50022.4375</v>
          </cell>
          <cell r="BL217" t="str">
            <v/>
          </cell>
        </row>
        <row r="218">
          <cell r="A218">
            <v>50113.75</v>
          </cell>
          <cell r="V218" t="str">
            <v/>
          </cell>
          <cell r="X218">
            <v>50113.75</v>
          </cell>
          <cell r="AS218" t="str">
            <v/>
          </cell>
          <cell r="AU218">
            <v>50113.75</v>
          </cell>
          <cell r="BL218" t="str">
            <v/>
          </cell>
        </row>
        <row r="219">
          <cell r="A219">
            <v>50205.0625</v>
          </cell>
          <cell r="V219" t="str">
            <v/>
          </cell>
          <cell r="X219">
            <v>50205.0625</v>
          </cell>
          <cell r="AS219" t="str">
            <v/>
          </cell>
          <cell r="AU219">
            <v>50205.0625</v>
          </cell>
          <cell r="BL219" t="str">
            <v/>
          </cell>
        </row>
        <row r="220">
          <cell r="A220">
            <v>50296.375</v>
          </cell>
          <cell r="V220" t="str">
            <v/>
          </cell>
          <cell r="X220">
            <v>50296.375</v>
          </cell>
          <cell r="AS220" t="str">
            <v/>
          </cell>
          <cell r="AU220">
            <v>50296.375</v>
          </cell>
          <cell r="BL220" t="str">
            <v/>
          </cell>
        </row>
        <row r="221">
          <cell r="A221">
            <v>50387.6875</v>
          </cell>
          <cell r="V221" t="str">
            <v/>
          </cell>
          <cell r="X221">
            <v>50387.6875</v>
          </cell>
          <cell r="AS221" t="str">
            <v/>
          </cell>
          <cell r="AU221">
            <v>50387.6875</v>
          </cell>
          <cell r="BL221" t="str">
            <v/>
          </cell>
        </row>
        <row r="222">
          <cell r="A222">
            <v>50479</v>
          </cell>
          <cell r="V222" t="str">
            <v/>
          </cell>
          <cell r="X222">
            <v>50479</v>
          </cell>
          <cell r="AS222" t="str">
            <v/>
          </cell>
          <cell r="AU222">
            <v>50479</v>
          </cell>
          <cell r="BL222" t="str">
            <v/>
          </cell>
        </row>
        <row r="223">
          <cell r="A223">
            <v>50570.3125</v>
          </cell>
          <cell r="V223" t="str">
            <v/>
          </cell>
          <cell r="X223">
            <v>50570.3125</v>
          </cell>
          <cell r="AS223" t="str">
            <v/>
          </cell>
          <cell r="AU223">
            <v>50570.3125</v>
          </cell>
          <cell r="BL223" t="str">
            <v/>
          </cell>
        </row>
        <row r="224">
          <cell r="A224">
            <v>50661.625</v>
          </cell>
          <cell r="V224" t="str">
            <v/>
          </cell>
          <cell r="X224">
            <v>50661.625</v>
          </cell>
          <cell r="AS224" t="str">
            <v/>
          </cell>
          <cell r="AU224">
            <v>50661.625</v>
          </cell>
          <cell r="BL224" t="str">
            <v/>
          </cell>
        </row>
        <row r="225">
          <cell r="A225">
            <v>50752.9375</v>
          </cell>
          <cell r="V225" t="str">
            <v/>
          </cell>
          <cell r="X225">
            <v>50752.9375</v>
          </cell>
          <cell r="AS225" t="str">
            <v/>
          </cell>
          <cell r="AU225">
            <v>50752.9375</v>
          </cell>
          <cell r="BL225" t="str">
            <v/>
          </cell>
        </row>
        <row r="226">
          <cell r="A226">
            <v>50844.25</v>
          </cell>
          <cell r="V226" t="str">
            <v/>
          </cell>
          <cell r="X226">
            <v>50844.25</v>
          </cell>
          <cell r="AS226" t="str">
            <v/>
          </cell>
          <cell r="AU226">
            <v>50844.25</v>
          </cell>
          <cell r="BL226" t="str">
            <v/>
          </cell>
        </row>
        <row r="227">
          <cell r="A227">
            <v>50935.5625</v>
          </cell>
          <cell r="V227" t="str">
            <v/>
          </cell>
          <cell r="X227">
            <v>50935.5625</v>
          </cell>
          <cell r="AS227" t="str">
            <v/>
          </cell>
          <cell r="AU227">
            <v>50935.5625</v>
          </cell>
          <cell r="BL227" t="str">
            <v/>
          </cell>
        </row>
        <row r="228">
          <cell r="A228">
            <v>51026.875</v>
          </cell>
          <cell r="V228" t="str">
            <v/>
          </cell>
          <cell r="X228">
            <v>51026.875</v>
          </cell>
          <cell r="AS228" t="str">
            <v/>
          </cell>
          <cell r="AU228">
            <v>51026.875</v>
          </cell>
          <cell r="BL228" t="str">
            <v/>
          </cell>
        </row>
        <row r="229">
          <cell r="A229">
            <v>51118.1875</v>
          </cell>
          <cell r="V229" t="str">
            <v/>
          </cell>
          <cell r="X229">
            <v>51118.1875</v>
          </cell>
          <cell r="AS229" t="str">
            <v/>
          </cell>
          <cell r="AU229">
            <v>51118.1875</v>
          </cell>
          <cell r="BL229" t="str">
            <v/>
          </cell>
        </row>
        <row r="230">
          <cell r="A230">
            <v>51209.5</v>
          </cell>
          <cell r="V230" t="str">
            <v/>
          </cell>
          <cell r="X230">
            <v>51209.5</v>
          </cell>
          <cell r="AS230" t="str">
            <v/>
          </cell>
          <cell r="AU230">
            <v>51209.5</v>
          </cell>
          <cell r="BL230" t="str">
            <v/>
          </cell>
        </row>
        <row r="231">
          <cell r="A231">
            <v>51300.8125</v>
          </cell>
          <cell r="V231" t="str">
            <v/>
          </cell>
          <cell r="X231">
            <v>51300.8125</v>
          </cell>
          <cell r="AS231" t="str">
            <v/>
          </cell>
          <cell r="AU231">
            <v>51300.8125</v>
          </cell>
          <cell r="BL231" t="str">
            <v/>
          </cell>
        </row>
        <row r="232">
          <cell r="A232">
            <v>51392.125</v>
          </cell>
          <cell r="V232" t="str">
            <v/>
          </cell>
          <cell r="X232">
            <v>51392.125</v>
          </cell>
          <cell r="AS232" t="str">
            <v/>
          </cell>
          <cell r="AU232">
            <v>51392.125</v>
          </cell>
          <cell r="BL232" t="str">
            <v/>
          </cell>
        </row>
        <row r="233">
          <cell r="A233">
            <v>51483.4375</v>
          </cell>
          <cell r="V233" t="str">
            <v/>
          </cell>
          <cell r="X233">
            <v>51483.4375</v>
          </cell>
          <cell r="AS233" t="str">
            <v/>
          </cell>
          <cell r="AU233">
            <v>51483.4375</v>
          </cell>
          <cell r="BL233" t="str">
            <v/>
          </cell>
        </row>
        <row r="234">
          <cell r="A234">
            <v>51574.75</v>
          </cell>
          <cell r="V234" t="str">
            <v/>
          </cell>
          <cell r="X234">
            <v>51574.75</v>
          </cell>
          <cell r="AS234" t="str">
            <v/>
          </cell>
          <cell r="AU234">
            <v>51574.75</v>
          </cell>
          <cell r="BL234" t="str">
            <v/>
          </cell>
        </row>
        <row r="235">
          <cell r="A235">
            <v>51666.0625</v>
          </cell>
          <cell r="V235" t="str">
            <v/>
          </cell>
          <cell r="X235">
            <v>51666.0625</v>
          </cell>
          <cell r="AS235" t="str">
            <v/>
          </cell>
          <cell r="AU235">
            <v>51666.0625</v>
          </cell>
          <cell r="BL235" t="str">
            <v/>
          </cell>
        </row>
        <row r="236">
          <cell r="A236">
            <v>51757.375</v>
          </cell>
          <cell r="V236" t="str">
            <v/>
          </cell>
          <cell r="X236">
            <v>51757.375</v>
          </cell>
          <cell r="AS236" t="str">
            <v/>
          </cell>
          <cell r="AU236">
            <v>51757.375</v>
          </cell>
          <cell r="BL236" t="str">
            <v/>
          </cell>
        </row>
        <row r="237">
          <cell r="A237">
            <v>51848.6875</v>
          </cell>
          <cell r="V237" t="str">
            <v/>
          </cell>
          <cell r="X237">
            <v>51848.6875</v>
          </cell>
          <cell r="AS237" t="str">
            <v/>
          </cell>
          <cell r="AU237">
            <v>51848.6875</v>
          </cell>
          <cell r="BL237" t="str">
            <v/>
          </cell>
        </row>
        <row r="238">
          <cell r="A238">
            <v>51940</v>
          </cell>
          <cell r="V238" t="str">
            <v/>
          </cell>
          <cell r="X238">
            <v>51940</v>
          </cell>
          <cell r="AS238" t="str">
            <v/>
          </cell>
          <cell r="AU238">
            <v>51940</v>
          </cell>
          <cell r="BL238" t="str">
            <v/>
          </cell>
        </row>
        <row r="239">
          <cell r="A239">
            <v>52031.3125</v>
          </cell>
          <cell r="V239" t="str">
            <v/>
          </cell>
          <cell r="X239">
            <v>52031.3125</v>
          </cell>
          <cell r="AS239" t="str">
            <v/>
          </cell>
          <cell r="AU239">
            <v>52031.3125</v>
          </cell>
          <cell r="BL239" t="str">
            <v/>
          </cell>
        </row>
        <row r="240">
          <cell r="A240">
            <v>52122.625</v>
          </cell>
          <cell r="V240" t="str">
            <v/>
          </cell>
          <cell r="X240">
            <v>52122.625</v>
          </cell>
          <cell r="AS240" t="str">
            <v/>
          </cell>
          <cell r="AU240">
            <v>52122.625</v>
          </cell>
          <cell r="BL240" t="str">
            <v/>
          </cell>
        </row>
        <row r="241">
          <cell r="A241">
            <v>52213.9375</v>
          </cell>
          <cell r="V241" t="str">
            <v/>
          </cell>
          <cell r="X241">
            <v>52213.9375</v>
          </cell>
          <cell r="AS241" t="str">
            <v/>
          </cell>
          <cell r="AU241">
            <v>52213.9375</v>
          </cell>
          <cell r="BL241" t="str">
            <v/>
          </cell>
        </row>
        <row r="242">
          <cell r="A242">
            <v>52305.25</v>
          </cell>
          <cell r="V242" t="str">
            <v/>
          </cell>
          <cell r="X242">
            <v>52305.25</v>
          </cell>
          <cell r="AS242" t="str">
            <v/>
          </cell>
          <cell r="AU242">
            <v>52305.25</v>
          </cell>
          <cell r="BL242" t="str">
            <v/>
          </cell>
        </row>
        <row r="243">
          <cell r="A243">
            <v>52396.5625</v>
          </cell>
          <cell r="V243" t="str">
            <v/>
          </cell>
          <cell r="X243">
            <v>52396.5625</v>
          </cell>
          <cell r="AS243" t="str">
            <v/>
          </cell>
          <cell r="AU243">
            <v>52396.5625</v>
          </cell>
          <cell r="BL243" t="str">
            <v/>
          </cell>
        </row>
        <row r="244">
          <cell r="A244">
            <v>52487.875</v>
          </cell>
          <cell r="V244" t="str">
            <v/>
          </cell>
          <cell r="X244">
            <v>52487.875</v>
          </cell>
          <cell r="AS244" t="str">
            <v/>
          </cell>
          <cell r="AU244">
            <v>52487.875</v>
          </cell>
          <cell r="BL244" t="str">
            <v/>
          </cell>
        </row>
        <row r="245">
          <cell r="A245">
            <v>52579.1875</v>
          </cell>
          <cell r="V245" t="str">
            <v/>
          </cell>
          <cell r="X245">
            <v>52579.1875</v>
          </cell>
          <cell r="AS245" t="str">
            <v/>
          </cell>
          <cell r="AU245">
            <v>52579.1875</v>
          </cell>
          <cell r="BL245" t="str">
            <v/>
          </cell>
        </row>
        <row r="246">
          <cell r="A246">
            <v>52670.5</v>
          </cell>
          <cell r="V246" t="str">
            <v/>
          </cell>
          <cell r="X246">
            <v>52670.5</v>
          </cell>
          <cell r="AS246" t="str">
            <v/>
          </cell>
          <cell r="AU246">
            <v>52670.5</v>
          </cell>
          <cell r="BL246" t="str">
            <v/>
          </cell>
        </row>
        <row r="247">
          <cell r="A247">
            <v>52761.8125</v>
          </cell>
          <cell r="V247" t="str">
            <v/>
          </cell>
          <cell r="X247">
            <v>52761.8125</v>
          </cell>
          <cell r="AS247" t="str">
            <v/>
          </cell>
          <cell r="AU247">
            <v>52761.8125</v>
          </cell>
          <cell r="BL247" t="str">
            <v/>
          </cell>
        </row>
        <row r="248">
          <cell r="A248">
            <v>52853.125</v>
          </cell>
          <cell r="V248" t="str">
            <v/>
          </cell>
          <cell r="X248">
            <v>52853.125</v>
          </cell>
          <cell r="AS248" t="str">
            <v/>
          </cell>
          <cell r="AU248">
            <v>52853.125</v>
          </cell>
          <cell r="BL248" t="str">
            <v/>
          </cell>
        </row>
        <row r="249">
          <cell r="A249">
            <v>52944.4375</v>
          </cell>
          <cell r="V249" t="str">
            <v/>
          </cell>
          <cell r="X249">
            <v>52944.4375</v>
          </cell>
          <cell r="AS249" t="str">
            <v/>
          </cell>
          <cell r="AU249">
            <v>52944.4375</v>
          </cell>
          <cell r="BL249" t="str">
            <v/>
          </cell>
        </row>
        <row r="250">
          <cell r="A250">
            <v>53035.75</v>
          </cell>
          <cell r="V250" t="str">
            <v/>
          </cell>
          <cell r="X250">
            <v>53035.75</v>
          </cell>
          <cell r="AS250" t="str">
            <v/>
          </cell>
          <cell r="AU250">
            <v>53035.75</v>
          </cell>
          <cell r="BL250" t="str">
            <v/>
          </cell>
        </row>
        <row r="251">
          <cell r="A251">
            <v>53127.0625</v>
          </cell>
          <cell r="V251" t="str">
            <v/>
          </cell>
          <cell r="X251">
            <v>53127.0625</v>
          </cell>
          <cell r="AS251" t="str">
            <v/>
          </cell>
          <cell r="AU251">
            <v>53127.0625</v>
          </cell>
          <cell r="BL251" t="str">
            <v/>
          </cell>
        </row>
        <row r="252">
          <cell r="A252">
            <v>53218.375</v>
          </cell>
          <cell r="V252" t="str">
            <v/>
          </cell>
          <cell r="X252">
            <v>53218.375</v>
          </cell>
          <cell r="AS252" t="str">
            <v/>
          </cell>
          <cell r="AU252">
            <v>53218.375</v>
          </cell>
          <cell r="BL252" t="str">
            <v/>
          </cell>
        </row>
        <row r="253">
          <cell r="A253">
            <v>53309.6875</v>
          </cell>
          <cell r="V253" t="str">
            <v/>
          </cell>
          <cell r="X253">
            <v>53309.6875</v>
          </cell>
          <cell r="AS253" t="str">
            <v/>
          </cell>
          <cell r="AU253">
            <v>53309.6875</v>
          </cell>
          <cell r="BL253" t="str">
            <v/>
          </cell>
        </row>
        <row r="254">
          <cell r="A254">
            <v>53401</v>
          </cell>
          <cell r="V254" t="str">
            <v/>
          </cell>
          <cell r="X254">
            <v>53401</v>
          </cell>
          <cell r="AS254" t="str">
            <v/>
          </cell>
          <cell r="AU254">
            <v>53401</v>
          </cell>
          <cell r="BL254" t="str">
            <v/>
          </cell>
        </row>
        <row r="255">
          <cell r="A255">
            <v>53492.3125</v>
          </cell>
          <cell r="V255" t="str">
            <v/>
          </cell>
          <cell r="X255">
            <v>53492.3125</v>
          </cell>
          <cell r="AS255" t="str">
            <v/>
          </cell>
          <cell r="AU255">
            <v>53492.3125</v>
          </cell>
          <cell r="BL255" t="str">
            <v/>
          </cell>
        </row>
      </sheetData>
      <sheetData sheetId="10">
        <row r="281">
          <cell r="E281">
            <v>36599.5</v>
          </cell>
          <cell r="F281">
            <v>47648313.699999996</v>
          </cell>
          <cell r="G281">
            <v>38442491.331999995</v>
          </cell>
          <cell r="H281">
            <v>38442491.331999995</v>
          </cell>
          <cell r="I281">
            <v>36526261.093999997</v>
          </cell>
          <cell r="J281">
            <v>8104707.1239999998</v>
          </cell>
          <cell r="K281" t="str">
            <v/>
          </cell>
          <cell r="L281">
            <v>620904.78899999999</v>
          </cell>
          <cell r="M281">
            <v>163127.13800000001</v>
          </cell>
          <cell r="N281">
            <v>20710462.252999999</v>
          </cell>
          <cell r="O281">
            <v>20710462.252999999</v>
          </cell>
          <cell r="P281" t="str">
            <v/>
          </cell>
          <cell r="Q281" t="str">
            <v/>
          </cell>
          <cell r="R281">
            <v>6541118.6710000001</v>
          </cell>
          <cell r="S281">
            <v>6541118.6710000001</v>
          </cell>
          <cell r="T281" t="str">
            <v/>
          </cell>
          <cell r="U281" t="str">
            <v/>
          </cell>
          <cell r="V281" t="str">
            <v/>
          </cell>
          <cell r="W281">
            <v>385941.11900000006</v>
          </cell>
          <cell r="X281">
            <v>1916230.2380000006</v>
          </cell>
          <cell r="Y281">
            <v>1916230.2380000006</v>
          </cell>
          <cell r="Z281" t="str">
            <v/>
          </cell>
          <cell r="AA281" t="str">
            <v/>
          </cell>
          <cell r="AB281" t="str">
            <v/>
          </cell>
          <cell r="AC281" t="str">
            <v/>
          </cell>
          <cell r="AD281">
            <v>0</v>
          </cell>
          <cell r="AE281">
            <v>9205822.3680000007</v>
          </cell>
          <cell r="AF281">
            <v>0</v>
          </cell>
          <cell r="AG281">
            <v>9205822.3680000007</v>
          </cell>
          <cell r="AH281">
            <v>71872432.103</v>
          </cell>
          <cell r="AI281">
            <v>46591443.677000001</v>
          </cell>
          <cell r="AJ281">
            <v>44111964.254000001</v>
          </cell>
          <cell r="AK281" t="str">
            <v/>
          </cell>
          <cell r="AL281" t="str">
            <v/>
          </cell>
          <cell r="AM281">
            <v>42377192.745999999</v>
          </cell>
          <cell r="AN281" t="str">
            <v/>
          </cell>
          <cell r="AO281">
            <v>22459115.807</v>
          </cell>
          <cell r="AP281" t="str">
            <v/>
          </cell>
          <cell r="AQ281">
            <v>5673436.4199999999</v>
          </cell>
          <cell r="AR281" t="str">
            <v/>
          </cell>
          <cell r="AS281">
            <v>2752378.588</v>
          </cell>
          <cell r="AT281">
            <v>2479479.423</v>
          </cell>
          <cell r="AU281">
            <v>272899.16499999998</v>
          </cell>
          <cell r="AV281">
            <v>11492261.931</v>
          </cell>
          <cell r="AW281" t="str">
            <v/>
          </cell>
          <cell r="AX281">
            <v>0</v>
          </cell>
          <cell r="AY281">
            <v>3151146.057</v>
          </cell>
          <cell r="AZ281" t="str">
            <v/>
          </cell>
          <cell r="BA281" t="str">
            <v/>
          </cell>
          <cell r="BB281">
            <v>29617138.773000002</v>
          </cell>
          <cell r="BC281">
            <v>4609049.5120000001</v>
          </cell>
          <cell r="BD281" t="str">
            <v/>
          </cell>
          <cell r="BE281" t="str">
            <v/>
          </cell>
          <cell r="BF281">
            <v>0</v>
          </cell>
          <cell r="BG281" t="str">
            <v/>
          </cell>
          <cell r="BH281">
            <v>25008089.261</v>
          </cell>
          <cell r="BI281">
            <v>9205822.3680000007</v>
          </cell>
          <cell r="BJ281">
            <v>15802266.892999999</v>
          </cell>
          <cell r="BK281">
            <v>-121899.41599999997</v>
          </cell>
          <cell r="BL281">
            <v>-175599.41599999997</v>
          </cell>
          <cell r="BM281">
            <v>53700</v>
          </cell>
          <cell r="BN281">
            <v>-24224118.403000005</v>
          </cell>
          <cell r="BO281">
            <v>-33429940.771000005</v>
          </cell>
          <cell r="BP281">
            <v>-30677562.183000006</v>
          </cell>
          <cell r="BQ281">
            <v>-8421851.5100000054</v>
          </cell>
          <cell r="BR281">
            <v>3911995.3371000066</v>
          </cell>
          <cell r="BS281">
            <v>2700938.8310000002</v>
          </cell>
          <cell r="BT281">
            <v>2700938.8310000002</v>
          </cell>
          <cell r="BU281">
            <v>1.7763568394002505E-12</v>
          </cell>
          <cell r="BV281">
            <v>-8324382.0099999998</v>
          </cell>
          <cell r="BW281" t="str">
            <v/>
          </cell>
          <cell r="BX281">
            <v>9535438.5161000062</v>
          </cell>
          <cell r="BZ281">
            <v>-20312123.065899998</v>
          </cell>
          <cell r="CA281">
            <v>-29517945.433899999</v>
          </cell>
          <cell r="CB281">
            <v>20312122.80049479</v>
          </cell>
          <cell r="CC281">
            <v>11152522.6314948</v>
          </cell>
          <cell r="CD281">
            <v>15802266.892999999</v>
          </cell>
          <cell r="CE281">
            <v>15802266.892999999</v>
          </cell>
          <cell r="CF281">
            <v>0</v>
          </cell>
          <cell r="CG281">
            <v>0</v>
          </cell>
          <cell r="CH281">
            <v>-4713235.0350000001</v>
          </cell>
          <cell r="CI281">
            <v>63490.773494800029</v>
          </cell>
          <cell r="CJ281">
            <v>9159600.1689999923</v>
          </cell>
          <cell r="CK281">
            <v>11437460.355999991</v>
          </cell>
          <cell r="CL281">
            <v>12761799.999999993</v>
          </cell>
          <cell r="CM281">
            <v>-488100</v>
          </cell>
          <cell r="CN281">
            <v>0</v>
          </cell>
          <cell r="CO281">
            <v>-488100</v>
          </cell>
          <cell r="CP281">
            <v>13249899.999999993</v>
          </cell>
          <cell r="CQ281">
            <v>0</v>
          </cell>
          <cell r="CR281">
            <v>-69000</v>
          </cell>
          <cell r="CS281">
            <v>0</v>
          </cell>
          <cell r="CT281">
            <v>0</v>
          </cell>
          <cell r="CU281">
            <v>13318899.999999993</v>
          </cell>
          <cell r="CV281">
            <v>0</v>
          </cell>
          <cell r="CW281">
            <v>0</v>
          </cell>
          <cell r="CX281">
            <v>-964535.73499999987</v>
          </cell>
          <cell r="CY281">
            <v>-964535.73499999987</v>
          </cell>
          <cell r="CZ281">
            <v>0</v>
          </cell>
          <cell r="DA281">
            <v>0</v>
          </cell>
          <cell r="DB281">
            <v>0</v>
          </cell>
          <cell r="DC281" t="str">
            <v/>
          </cell>
          <cell r="DD281" t="str">
            <v/>
          </cell>
          <cell r="DE281">
            <v>-359803.90900000202</v>
          </cell>
          <cell r="DF281">
            <v>-359803.90900000202</v>
          </cell>
          <cell r="DG281">
            <v>0</v>
          </cell>
          <cell r="DH281" t="str">
            <v/>
          </cell>
          <cell r="DI281">
            <v>-2277860.1869999999</v>
          </cell>
          <cell r="DJ281">
            <v>0</v>
          </cell>
          <cell r="DK281" t="str">
            <v/>
          </cell>
          <cell r="DL281" t="str">
            <v/>
          </cell>
          <cell r="DM281" t="str">
            <v/>
          </cell>
          <cell r="DN281" t="str">
            <v/>
          </cell>
          <cell r="DO281" t="str">
            <v/>
          </cell>
          <cell r="DP281">
            <v>-2278172.8560000001</v>
          </cell>
          <cell r="DQ281">
            <v>-246599.20500000002</v>
          </cell>
          <cell r="DR281">
            <v>312.66899999999998</v>
          </cell>
          <cell r="DS281" t="str">
            <v/>
          </cell>
          <cell r="DT281">
            <v>0.26540520787239075</v>
          </cell>
          <cell r="DU281" t="str">
            <v/>
          </cell>
          <cell r="DV281" t="str">
            <v/>
          </cell>
          <cell r="DW281">
            <v>2752378.588</v>
          </cell>
          <cell r="DX281" t="str">
            <v/>
          </cell>
          <cell r="DY281" t="str">
            <v/>
          </cell>
          <cell r="DZ281">
            <v>2479479.423</v>
          </cell>
          <cell r="EA281">
            <v>4986134.2</v>
          </cell>
          <cell r="EB281">
            <v>4713235.0350000001</v>
          </cell>
          <cell r="EC281">
            <v>272899.16499999998</v>
          </cell>
          <cell r="EF281">
            <v>1</v>
          </cell>
        </row>
        <row r="282">
          <cell r="E282">
            <v>36690.8125</v>
          </cell>
          <cell r="F282">
            <v>119359759.86200002</v>
          </cell>
          <cell r="G282">
            <v>100675287.46000001</v>
          </cell>
          <cell r="H282">
            <v>100675287.46000001</v>
          </cell>
          <cell r="I282">
            <v>94743914.330000013</v>
          </cell>
          <cell r="J282">
            <v>29661870.035000004</v>
          </cell>
          <cell r="K282" t="str">
            <v/>
          </cell>
          <cell r="L282">
            <v>1478995.128</v>
          </cell>
          <cell r="M282">
            <v>367328.54500000004</v>
          </cell>
          <cell r="N282">
            <v>45349276.106000006</v>
          </cell>
          <cell r="O282">
            <v>45349276.106000006</v>
          </cell>
          <cell r="P282" t="str">
            <v/>
          </cell>
          <cell r="Q282" t="str">
            <v/>
          </cell>
          <cell r="R282">
            <v>16900393.759</v>
          </cell>
          <cell r="S282">
            <v>16900393.759</v>
          </cell>
          <cell r="T282" t="str">
            <v/>
          </cell>
          <cell r="U282" t="str">
            <v/>
          </cell>
          <cell r="V282" t="str">
            <v/>
          </cell>
          <cell r="W282">
            <v>986050.75700000057</v>
          </cell>
          <cell r="X282">
            <v>5931373.1300000008</v>
          </cell>
          <cell r="Y282">
            <v>5931373.1300000008</v>
          </cell>
          <cell r="Z282" t="str">
            <v/>
          </cell>
          <cell r="AA282" t="str">
            <v/>
          </cell>
          <cell r="AB282" t="str">
            <v/>
          </cell>
          <cell r="AC282" t="str">
            <v/>
          </cell>
          <cell r="AD282">
            <v>2.3283064365386963E-10</v>
          </cell>
          <cell r="AE282">
            <v>18684472.402000003</v>
          </cell>
          <cell r="AF282">
            <v>0</v>
          </cell>
          <cell r="AG282">
            <v>18684472.402000003</v>
          </cell>
          <cell r="AH282">
            <v>165066002.89999998</v>
          </cell>
          <cell r="AI282">
            <v>115183424.38399999</v>
          </cell>
          <cell r="AJ282">
            <v>109780098.88799998</v>
          </cell>
          <cell r="AK282" t="str">
            <v/>
          </cell>
          <cell r="AL282" t="str">
            <v/>
          </cell>
          <cell r="AM282">
            <v>96723789.039999992</v>
          </cell>
          <cell r="AN282" t="str">
            <v/>
          </cell>
          <cell r="AO282">
            <v>43962976.556000002</v>
          </cell>
          <cell r="AP282" t="str">
            <v/>
          </cell>
          <cell r="AQ282">
            <v>21145375.552999996</v>
          </cell>
          <cell r="AR282" t="str">
            <v/>
          </cell>
          <cell r="AS282">
            <v>6126714.8059999999</v>
          </cell>
          <cell r="AT282">
            <v>5403325.4959999993</v>
          </cell>
          <cell r="AU282">
            <v>723389.31</v>
          </cell>
          <cell r="AV282">
            <v>25488722.125</v>
          </cell>
          <cell r="AW282" t="str">
            <v/>
          </cell>
          <cell r="AX282">
            <v>500000</v>
          </cell>
          <cell r="AY282">
            <v>4600715.4450000003</v>
          </cell>
          <cell r="AZ282" t="str">
            <v/>
          </cell>
          <cell r="BA282" t="str">
            <v/>
          </cell>
          <cell r="BB282">
            <v>63694001.851999998</v>
          </cell>
          <cell r="BC282">
            <v>12580527.08</v>
          </cell>
          <cell r="BD282" t="str">
            <v/>
          </cell>
          <cell r="BE282" t="str">
            <v/>
          </cell>
          <cell r="BF282">
            <v>1954285.5660000001</v>
          </cell>
          <cell r="BG282" t="str">
            <v/>
          </cell>
          <cell r="BH282">
            <v>49159189.206</v>
          </cell>
          <cell r="BI282">
            <v>18684472.402000003</v>
          </cell>
          <cell r="BJ282">
            <v>30474716.803999998</v>
          </cell>
          <cell r="BK282">
            <v>4648212.0079999994</v>
          </cell>
          <cell r="BL282">
            <v>4663148.9809999997</v>
          </cell>
          <cell r="BM282">
            <v>-14936.972999999998</v>
          </cell>
          <cell r="BN282">
            <v>-45706243.037999958</v>
          </cell>
          <cell r="BO282">
            <v>-64390715.43999996</v>
          </cell>
          <cell r="BP282">
            <v>-58264000.633999974</v>
          </cell>
          <cell r="BQ282">
            <v>-15231526.233999968</v>
          </cell>
          <cell r="BR282">
            <v>1130368.9531000052</v>
          </cell>
          <cell r="BS282">
            <v>1620810.5230000005</v>
          </cell>
          <cell r="BT282">
            <v>1620810.5230000005</v>
          </cell>
          <cell r="BU282">
            <v>-8.659739592076221E-11</v>
          </cell>
          <cell r="BV282">
            <v>-9438102.7190000005</v>
          </cell>
          <cell r="BW282" t="str">
            <v/>
          </cell>
          <cell r="BX282">
            <v>8947661.1491000056</v>
          </cell>
          <cell r="BZ282">
            <v>-44575874.084899954</v>
          </cell>
          <cell r="CA282">
            <v>-63260346.486899957</v>
          </cell>
          <cell r="CB282">
            <v>44575873.899999991</v>
          </cell>
          <cell r="CC282">
            <v>18656336.745999996</v>
          </cell>
          <cell r="CD282">
            <v>30474716.803999998</v>
          </cell>
          <cell r="CE282">
            <v>30474716.803999998</v>
          </cell>
          <cell r="CF282">
            <v>0</v>
          </cell>
          <cell r="CG282">
            <v>0</v>
          </cell>
          <cell r="CH282">
            <v>-11932121.556000002</v>
          </cell>
          <cell r="CI282">
            <v>113741.49800000028</v>
          </cell>
          <cell r="CJ282">
            <v>25919537.153999992</v>
          </cell>
          <cell r="CK282">
            <v>15863362.995999994</v>
          </cell>
          <cell r="CL282">
            <v>20615199.999999993</v>
          </cell>
          <cell r="CM282">
            <v>-2550500</v>
          </cell>
          <cell r="CN282">
            <v>0</v>
          </cell>
          <cell r="CO282">
            <v>-2550500</v>
          </cell>
          <cell r="CP282">
            <v>23165699.999999993</v>
          </cell>
          <cell r="CQ282">
            <v>0</v>
          </cell>
          <cell r="CR282">
            <v>219000</v>
          </cell>
          <cell r="CS282">
            <v>109700</v>
          </cell>
          <cell r="CT282">
            <v>0</v>
          </cell>
          <cell r="CU282">
            <v>22836999.999999993</v>
          </cell>
          <cell r="CV282">
            <v>0</v>
          </cell>
          <cell r="CW282">
            <v>0</v>
          </cell>
          <cell r="CX282">
            <v>-2782917.6239999998</v>
          </cell>
          <cell r="CY282">
            <v>-1929071.47</v>
          </cell>
          <cell r="CZ282">
            <v>-853846.1540000001</v>
          </cell>
          <cell r="DA282">
            <v>-400000</v>
          </cell>
          <cell r="DB282">
            <v>-453846.15400000004</v>
          </cell>
          <cell r="DC282" t="str">
            <v/>
          </cell>
          <cell r="DD282" t="str">
            <v/>
          </cell>
          <cell r="DE282">
            <v>-1968919.3800000011</v>
          </cell>
          <cell r="DF282">
            <v>-29225.737000000663</v>
          </cell>
          <cell r="DG282">
            <v>-1891000</v>
          </cell>
          <cell r="DH282">
            <v>-48693.643000000498</v>
          </cell>
          <cell r="DI282">
            <v>10056174.158</v>
          </cell>
          <cell r="DJ282">
            <v>0</v>
          </cell>
          <cell r="DK282" t="str">
            <v/>
          </cell>
          <cell r="DL282" t="str">
            <v/>
          </cell>
          <cell r="DM282" t="str">
            <v/>
          </cell>
          <cell r="DN282" t="str">
            <v/>
          </cell>
          <cell r="DO282" t="str">
            <v/>
          </cell>
          <cell r="DP282">
            <v>-2821704.301</v>
          </cell>
          <cell r="DQ282">
            <v>-493198.41</v>
          </cell>
          <cell r="DR282">
            <v>12877878.458999999</v>
          </cell>
          <cell r="DS282" t="str">
            <v/>
          </cell>
          <cell r="DT282">
            <v>0.18489996343851089</v>
          </cell>
          <cell r="DU282" t="str">
            <v/>
          </cell>
          <cell r="DV282" t="str">
            <v/>
          </cell>
          <cell r="DW282">
            <v>6126714.8059999999</v>
          </cell>
          <cell r="DX282" t="str">
            <v/>
          </cell>
          <cell r="DY282" t="str">
            <v/>
          </cell>
          <cell r="DZ282">
            <v>5403325.4959999993</v>
          </cell>
          <cell r="EA282">
            <v>12655510.866000002</v>
          </cell>
          <cell r="EB282">
            <v>11932121.556000002</v>
          </cell>
          <cell r="EC282">
            <v>723389.31</v>
          </cell>
          <cell r="EF282">
            <v>2</v>
          </cell>
        </row>
        <row r="283">
          <cell r="E283">
            <v>36782.125</v>
          </cell>
          <cell r="F283">
            <v>194225926.15799999</v>
          </cell>
          <cell r="G283">
            <v>163075375.57999998</v>
          </cell>
          <cell r="H283">
            <v>163075375.57999998</v>
          </cell>
          <cell r="I283">
            <v>152018325.961</v>
          </cell>
          <cell r="J283">
            <v>46810666.760000005</v>
          </cell>
          <cell r="K283" t="str">
            <v/>
          </cell>
          <cell r="L283">
            <v>2079577.939</v>
          </cell>
          <cell r="M283">
            <v>581828.48900000006</v>
          </cell>
          <cell r="N283">
            <v>72115494.199000001</v>
          </cell>
          <cell r="O283">
            <v>72115494.199000001</v>
          </cell>
          <cell r="P283" t="str">
            <v/>
          </cell>
          <cell r="Q283" t="str">
            <v/>
          </cell>
          <cell r="R283">
            <v>28915734.719999999</v>
          </cell>
          <cell r="S283">
            <v>28915734.719999999</v>
          </cell>
          <cell r="T283" t="str">
            <v/>
          </cell>
          <cell r="U283" t="str">
            <v/>
          </cell>
          <cell r="V283" t="str">
            <v/>
          </cell>
          <cell r="W283">
            <v>1515023.8540000007</v>
          </cell>
          <cell r="X283">
            <v>11057049.619000001</v>
          </cell>
          <cell r="Y283">
            <v>11057049.619000001</v>
          </cell>
          <cell r="Z283" t="str">
            <v/>
          </cell>
          <cell r="AA283" t="str">
            <v/>
          </cell>
          <cell r="AB283" t="str">
            <v/>
          </cell>
          <cell r="AC283" t="str">
            <v/>
          </cell>
          <cell r="AD283">
            <v>1.4551915228366852E-10</v>
          </cell>
          <cell r="AE283">
            <v>31150550.578000002</v>
          </cell>
          <cell r="AF283">
            <v>3870000</v>
          </cell>
          <cell r="AG283">
            <v>27280550.578000002</v>
          </cell>
          <cell r="AH283">
            <v>262029750.86000001</v>
          </cell>
          <cell r="AI283">
            <v>191761722.39300001</v>
          </cell>
          <cell r="AJ283">
            <v>182855345.89900002</v>
          </cell>
          <cell r="AK283" t="str">
            <v/>
          </cell>
          <cell r="AL283" t="str">
            <v/>
          </cell>
          <cell r="AM283">
            <v>151592236.252</v>
          </cell>
          <cell r="AN283" t="str">
            <v/>
          </cell>
          <cell r="AO283">
            <v>70864699.680000007</v>
          </cell>
          <cell r="AP283" t="str">
            <v/>
          </cell>
          <cell r="AQ283">
            <v>32898733.792999998</v>
          </cell>
          <cell r="AR283" t="str">
            <v/>
          </cell>
          <cell r="AS283">
            <v>9901907.2169999983</v>
          </cell>
          <cell r="AT283">
            <v>8906376.493999999</v>
          </cell>
          <cell r="AU283">
            <v>995530.723</v>
          </cell>
          <cell r="AV283">
            <v>37926895.562000006</v>
          </cell>
          <cell r="AW283" t="str">
            <v/>
          </cell>
          <cell r="AX283">
            <v>500000</v>
          </cell>
          <cell r="AY283">
            <v>8079473.4469999997</v>
          </cell>
          <cell r="AZ283" t="str">
            <v/>
          </cell>
          <cell r="BA283" t="str">
            <v/>
          </cell>
          <cell r="BB283">
            <v>105889440.461</v>
          </cell>
          <cell r="BC283">
            <v>34080157.151000001</v>
          </cell>
          <cell r="BD283" t="str">
            <v/>
          </cell>
          <cell r="BE283" t="str">
            <v/>
          </cell>
          <cell r="BF283">
            <v>2536785.5660000001</v>
          </cell>
          <cell r="BG283" t="str">
            <v/>
          </cell>
          <cell r="BH283">
            <v>69272497.743999988</v>
          </cell>
          <cell r="BI283">
            <v>27280550.578000002</v>
          </cell>
          <cell r="BJ283">
            <v>41991947.165999994</v>
          </cell>
          <cell r="BK283">
            <v>4548074.1469999999</v>
          </cell>
          <cell r="BL283">
            <v>4616669.5649999995</v>
          </cell>
          <cell r="BM283">
            <v>-68595.418000000005</v>
          </cell>
          <cell r="BN283">
            <v>-67803824.702000022</v>
          </cell>
          <cell r="BO283">
            <v>-98954375.280000031</v>
          </cell>
          <cell r="BP283">
            <v>-89052468.063000023</v>
          </cell>
          <cell r="BQ283">
            <v>-29681877.536000043</v>
          </cell>
          <cell r="BR283">
            <v>10734233.431100009</v>
          </cell>
          <cell r="BS283">
            <v>1134886.0730000003</v>
          </cell>
          <cell r="BT283">
            <v>1134886.0730000003</v>
          </cell>
          <cell r="BU283">
            <v>-3.1974423109204508E-11</v>
          </cell>
          <cell r="BV283">
            <v>-8264879.0639999993</v>
          </cell>
          <cell r="BW283" t="str">
            <v/>
          </cell>
          <cell r="BX283">
            <v>17864226.422100008</v>
          </cell>
          <cell r="BZ283">
            <v>-57069591.270900011</v>
          </cell>
          <cell r="CA283">
            <v>-88220141.84890002</v>
          </cell>
          <cell r="CB283">
            <v>57069591.565499976</v>
          </cell>
          <cell r="CC283">
            <v>25051596.202499989</v>
          </cell>
          <cell r="CD283">
            <v>41991947.165999994</v>
          </cell>
          <cell r="CE283">
            <v>41991947.165999994</v>
          </cell>
          <cell r="CF283">
            <v>0</v>
          </cell>
          <cell r="CG283">
            <v>0</v>
          </cell>
          <cell r="CH283">
            <v>-17102558.895000003</v>
          </cell>
          <cell r="CI283">
            <v>162207.93149999972</v>
          </cell>
          <cell r="CJ283">
            <v>32017995.362999987</v>
          </cell>
          <cell r="CK283">
            <v>21949722.155999988</v>
          </cell>
          <cell r="CL283">
            <v>29194099.999999993</v>
          </cell>
          <cell r="CM283">
            <v>1430700</v>
          </cell>
          <cell r="CN283">
            <v>5179000</v>
          </cell>
          <cell r="CO283">
            <v>-3748300</v>
          </cell>
          <cell r="CP283">
            <v>27763399.999999993</v>
          </cell>
          <cell r="CQ283">
            <v>0</v>
          </cell>
          <cell r="CR283">
            <v>1375000</v>
          </cell>
          <cell r="CS283">
            <v>109700</v>
          </cell>
          <cell r="CT283">
            <v>0</v>
          </cell>
          <cell r="CU283">
            <v>26278699.999999993</v>
          </cell>
          <cell r="CV283">
            <v>0</v>
          </cell>
          <cell r="CW283">
            <v>0</v>
          </cell>
          <cell r="CX283">
            <v>-3999286.3719999995</v>
          </cell>
          <cell r="CY283">
            <v>-3145440.2179999994</v>
          </cell>
          <cell r="CZ283">
            <v>-853846.1540000001</v>
          </cell>
          <cell r="DA283">
            <v>-400000</v>
          </cell>
          <cell r="DB283">
            <v>-453846.15400000004</v>
          </cell>
          <cell r="DC283" t="str">
            <v/>
          </cell>
          <cell r="DD283" t="str">
            <v/>
          </cell>
          <cell r="DE283">
            <v>-3245091.4720000019</v>
          </cell>
          <cell r="DF283">
            <v>-70450.730000000796</v>
          </cell>
          <cell r="DG283">
            <v>-3074000</v>
          </cell>
          <cell r="DH283">
            <v>-100640.742000001</v>
          </cell>
          <cell r="DI283">
            <v>10068273.206999999</v>
          </cell>
          <cell r="DJ283">
            <v>0</v>
          </cell>
          <cell r="DK283" t="str">
            <v/>
          </cell>
          <cell r="DL283" t="str">
            <v/>
          </cell>
          <cell r="DM283" t="str">
            <v/>
          </cell>
          <cell r="DN283" t="str">
            <v/>
          </cell>
          <cell r="DO283" t="str">
            <v/>
          </cell>
          <cell r="DP283">
            <v>-3894477.1579999998</v>
          </cell>
          <cell r="DQ283">
            <v>-739797.61499999999</v>
          </cell>
          <cell r="DR283">
            <v>13962750.364999998</v>
          </cell>
          <cell r="DS283" t="str">
            <v/>
          </cell>
          <cell r="DT283">
            <v>-0.29459996521472931</v>
          </cell>
          <cell r="DU283" t="str">
            <v/>
          </cell>
          <cell r="DV283" t="str">
            <v/>
          </cell>
          <cell r="DW283">
            <v>9901907.2169999983</v>
          </cell>
          <cell r="DX283" t="str">
            <v/>
          </cell>
          <cell r="DY283" t="str">
            <v/>
          </cell>
          <cell r="DZ283">
            <v>8906376.493999999</v>
          </cell>
          <cell r="EA283">
            <v>18098089.618000004</v>
          </cell>
          <cell r="EB283">
            <v>17102558.895000003</v>
          </cell>
          <cell r="EC283">
            <v>995530.723</v>
          </cell>
          <cell r="EF283">
            <v>3</v>
          </cell>
        </row>
        <row r="284">
          <cell r="E284">
            <v>36873.4375</v>
          </cell>
          <cell r="F284">
            <v>363064427.61600006</v>
          </cell>
          <cell r="G284">
            <v>219348283.33000004</v>
          </cell>
          <cell r="H284">
            <v>219344923.18000004</v>
          </cell>
          <cell r="I284">
            <v>202936397.60900003</v>
          </cell>
          <cell r="J284">
            <v>61420968.639000013</v>
          </cell>
          <cell r="K284" t="str">
            <v/>
          </cell>
          <cell r="L284">
            <v>2727020.0819999999</v>
          </cell>
          <cell r="M284">
            <v>884470.13300000003</v>
          </cell>
          <cell r="N284">
            <v>97658893.333000004</v>
          </cell>
          <cell r="O284">
            <v>97658893.333000004</v>
          </cell>
          <cell r="P284" t="str">
            <v/>
          </cell>
          <cell r="Q284" t="str">
            <v/>
          </cell>
          <cell r="R284">
            <v>38166500.800999999</v>
          </cell>
          <cell r="S284">
            <v>38166500.800999999</v>
          </cell>
          <cell r="T284" t="str">
            <v/>
          </cell>
          <cell r="U284" t="str">
            <v/>
          </cell>
          <cell r="V284" t="str">
            <v/>
          </cell>
          <cell r="W284">
            <v>2078544.6210000007</v>
          </cell>
          <cell r="X284">
            <v>16408525.571</v>
          </cell>
          <cell r="Y284">
            <v>16408525.571</v>
          </cell>
          <cell r="Z284" t="str">
            <v/>
          </cell>
          <cell r="AA284" t="str">
            <v/>
          </cell>
          <cell r="AB284" t="str">
            <v/>
          </cell>
          <cell r="AC284" t="str">
            <v/>
          </cell>
          <cell r="AD284">
            <v>3360.1500000001688</v>
          </cell>
          <cell r="AE284">
            <v>143716144.28600001</v>
          </cell>
          <cell r="AF284">
            <v>22908000</v>
          </cell>
          <cell r="AG284">
            <v>120808144.28600001</v>
          </cell>
          <cell r="AH284">
            <v>424307964.80300003</v>
          </cell>
          <cell r="AI284">
            <v>241401618.06400004</v>
          </cell>
          <cell r="AJ284">
            <v>228305226.85200003</v>
          </cell>
          <cell r="AK284">
            <v>53157958.252999999</v>
          </cell>
          <cell r="AL284">
            <v>26061339</v>
          </cell>
          <cell r="AM284">
            <v>191589181.884</v>
          </cell>
          <cell r="AN284" t="str">
            <v/>
          </cell>
          <cell r="AO284">
            <v>88696467.040999994</v>
          </cell>
          <cell r="AP284" t="str">
            <v/>
          </cell>
          <cell r="AQ284">
            <v>39968324.664999992</v>
          </cell>
          <cell r="AR284" t="str">
            <v/>
          </cell>
          <cell r="AS284">
            <v>16618927.586999999</v>
          </cell>
          <cell r="AT284">
            <v>13096391.211999999</v>
          </cell>
          <cell r="AU284">
            <v>3522536.375</v>
          </cell>
          <cell r="AV284">
            <v>46305462.591000006</v>
          </cell>
          <cell r="AW284" t="str">
            <v/>
          </cell>
          <cell r="AX284">
            <v>500000</v>
          </cell>
          <cell r="AY284">
            <v>8994393.375</v>
          </cell>
          <cell r="AZ284" t="str">
            <v/>
          </cell>
          <cell r="BA284" t="str">
            <v/>
          </cell>
          <cell r="BB284">
            <v>229582421.79500002</v>
          </cell>
          <cell r="BC284">
            <v>47481825.865000002</v>
          </cell>
          <cell r="BD284" t="str">
            <v/>
          </cell>
          <cell r="BE284" t="str">
            <v/>
          </cell>
          <cell r="BF284">
            <v>2716785.5660000001</v>
          </cell>
          <cell r="BG284" t="str">
            <v/>
          </cell>
          <cell r="BH284">
            <v>179383810.36400002</v>
          </cell>
          <cell r="BI284">
            <v>120808144.28600001</v>
          </cell>
          <cell r="BJ284">
            <v>58575666.077999994</v>
          </cell>
          <cell r="BK284">
            <v>3136361.1239999998</v>
          </cell>
          <cell r="BL284">
            <v>3056073.6459999997</v>
          </cell>
          <cell r="BM284">
            <v>80287.478000000003</v>
          </cell>
          <cell r="BN284">
            <v>-61243537.186999977</v>
          </cell>
          <cell r="BO284">
            <v>-204959681.47299999</v>
          </cell>
          <cell r="BP284">
            <v>-188340753.88599998</v>
          </cell>
          <cell r="BQ284">
            <v>-25575871.108999968</v>
          </cell>
          <cell r="BR284">
            <v>458078.59710001014</v>
          </cell>
          <cell r="BS284">
            <v>1771661.2570000009</v>
          </cell>
          <cell r="BT284">
            <v>1771661.2570000009</v>
          </cell>
          <cell r="BU284">
            <v>-1.4210854715202004E-11</v>
          </cell>
          <cell r="BV284">
            <v>-10090235.147</v>
          </cell>
          <cell r="BW284" t="str">
            <v/>
          </cell>
          <cell r="BX284">
            <v>8776652.4871000089</v>
          </cell>
          <cell r="BZ284">
            <v>-60785458.589899965</v>
          </cell>
          <cell r="CA284">
            <v>-204501602.87589997</v>
          </cell>
          <cell r="CB284">
            <v>60785458.152999975</v>
          </cell>
          <cell r="CC284">
            <v>33728144.346999988</v>
          </cell>
          <cell r="CD284">
            <v>58575666.077999994</v>
          </cell>
          <cell r="CE284">
            <v>58575666.077999994</v>
          </cell>
          <cell r="CF284">
            <v>0</v>
          </cell>
          <cell r="CG284">
            <v>0</v>
          </cell>
          <cell r="CH284">
            <v>-25183711.808000006</v>
          </cell>
          <cell r="CI284">
            <v>336190.0770000004</v>
          </cell>
          <cell r="CJ284">
            <v>27057313.805999987</v>
          </cell>
          <cell r="CK284">
            <v>16858265.35899999</v>
          </cell>
          <cell r="CL284">
            <v>23162399.999999993</v>
          </cell>
          <cell r="CM284">
            <v>-603800</v>
          </cell>
          <cell r="CN284">
            <v>5179000</v>
          </cell>
          <cell r="CO284">
            <v>-5782800</v>
          </cell>
          <cell r="CP284">
            <v>23766199.999999993</v>
          </cell>
          <cell r="CQ284">
            <v>0</v>
          </cell>
          <cell r="CR284">
            <v>1313000</v>
          </cell>
          <cell r="CS284">
            <v>109700</v>
          </cell>
          <cell r="CT284">
            <v>0</v>
          </cell>
          <cell r="CU284">
            <v>22343499.999999993</v>
          </cell>
          <cell r="CV284">
            <v>0</v>
          </cell>
          <cell r="CW284">
            <v>0</v>
          </cell>
          <cell r="CX284">
            <v>-5767730.9380000001</v>
          </cell>
          <cell r="CY284">
            <v>-4110038.63</v>
          </cell>
          <cell r="CZ284">
            <v>-1657692.3080000002</v>
          </cell>
          <cell r="DA284">
            <v>-750000</v>
          </cell>
          <cell r="DB284">
            <v>-907692.30800000008</v>
          </cell>
          <cell r="DC284" t="str">
            <v/>
          </cell>
          <cell r="DD284" t="str">
            <v/>
          </cell>
          <cell r="DE284">
            <v>-536403.70300000068</v>
          </cell>
          <cell r="DF284">
            <v>-6368718.4800000004</v>
          </cell>
          <cell r="DG284">
            <v>10705000</v>
          </cell>
          <cell r="DH284">
            <v>-4872685.2230000002</v>
          </cell>
          <cell r="DI284">
            <v>10199048.446999999</v>
          </cell>
          <cell r="DJ284">
            <v>0</v>
          </cell>
          <cell r="DK284" t="str">
            <v/>
          </cell>
          <cell r="DL284" t="str">
            <v/>
          </cell>
          <cell r="DM284">
            <v>0</v>
          </cell>
          <cell r="DN284">
            <v>0</v>
          </cell>
          <cell r="DO284" t="str">
            <v/>
          </cell>
          <cell r="DP284">
            <v>-4441701.9179999996</v>
          </cell>
          <cell r="DQ284">
            <v>-986396.82</v>
          </cell>
          <cell r="DR284">
            <v>14640750.364999998</v>
          </cell>
          <cell r="DS284" t="str">
            <v/>
          </cell>
          <cell r="DT284">
            <v>0.43689998984336853</v>
          </cell>
          <cell r="DU284">
            <v>58781269.071000002</v>
          </cell>
          <cell r="DV284">
            <v>42162341.484000005</v>
          </cell>
          <cell r="DW284">
            <v>16618927.586999999</v>
          </cell>
          <cell r="DX284">
            <v>30075020.887999997</v>
          </cell>
          <cell r="DY284">
            <v>16978629.675999999</v>
          </cell>
          <cell r="DZ284">
            <v>13096391.211999999</v>
          </cell>
          <cell r="EA284">
            <v>28706248.183000006</v>
          </cell>
          <cell r="EB284">
            <v>25183711.808000006</v>
          </cell>
          <cell r="EC284">
            <v>3522536.375</v>
          </cell>
          <cell r="EF284">
            <v>4</v>
          </cell>
        </row>
        <row r="285">
          <cell r="E285">
            <v>36964.75</v>
          </cell>
          <cell r="F285">
            <v>52572525.788000003</v>
          </cell>
          <cell r="G285">
            <v>46043026.127999999</v>
          </cell>
          <cell r="H285">
            <v>46043026.127999999</v>
          </cell>
          <cell r="I285">
            <v>43822141.873999998</v>
          </cell>
          <cell r="J285">
            <v>9969889.2529999986</v>
          </cell>
          <cell r="K285">
            <v>3479001.0189999999</v>
          </cell>
          <cell r="L285">
            <v>716893.804</v>
          </cell>
          <cell r="M285">
            <v>204545.37699999998</v>
          </cell>
          <cell r="N285">
            <v>23687806.679000001</v>
          </cell>
          <cell r="O285">
            <v>18501641.085999999</v>
          </cell>
          <cell r="P285">
            <v>1358986.7519999999</v>
          </cell>
          <cell r="Q285">
            <v>3827178.8410000009</v>
          </cell>
          <cell r="R285">
            <v>8735360.0460000001</v>
          </cell>
          <cell r="S285">
            <v>6513104.7829999998</v>
          </cell>
          <cell r="T285">
            <v>759173.478</v>
          </cell>
          <cell r="U285">
            <v>1463081.7849999999</v>
          </cell>
          <cell r="V285" t="str">
            <v/>
          </cell>
          <cell r="W285">
            <v>507646.71500000003</v>
          </cell>
          <cell r="X285">
            <v>2220884.2540000002</v>
          </cell>
          <cell r="Y285">
            <v>134716.68799999999</v>
          </cell>
          <cell r="Z285">
            <v>1325742.547</v>
          </cell>
          <cell r="AA285">
            <v>111003.36</v>
          </cell>
          <cell r="AB285">
            <v>182543.25099999999</v>
          </cell>
          <cell r="AC285">
            <v>466878.40799999994</v>
          </cell>
          <cell r="AD285">
            <v>0</v>
          </cell>
          <cell r="AE285">
            <v>6529499.6600000001</v>
          </cell>
          <cell r="AF285">
            <v>0</v>
          </cell>
          <cell r="AG285">
            <v>6529499.6600000001</v>
          </cell>
          <cell r="AH285">
            <v>69899579.596000001</v>
          </cell>
          <cell r="AI285">
            <v>48343869.976999998</v>
          </cell>
          <cell r="AJ285">
            <v>48124884.942999996</v>
          </cell>
          <cell r="AK285" t="str">
            <v/>
          </cell>
          <cell r="AL285" t="str">
            <v/>
          </cell>
          <cell r="AM285">
            <v>43986080.835000008</v>
          </cell>
          <cell r="AN285" t="str">
            <v/>
          </cell>
          <cell r="AO285">
            <v>21331574.256999999</v>
          </cell>
          <cell r="AP285" t="str">
            <v/>
          </cell>
          <cell r="AQ285">
            <v>10043510.328</v>
          </cell>
          <cell r="AR285" t="str">
            <v/>
          </cell>
          <cell r="AS285">
            <v>2922414.6669999999</v>
          </cell>
          <cell r="AT285">
            <v>218985.03399999999</v>
          </cell>
          <cell r="AU285">
            <v>2703429.6329999999</v>
          </cell>
          <cell r="AV285">
            <v>9688581.5830000006</v>
          </cell>
          <cell r="AW285" t="str">
            <v/>
          </cell>
          <cell r="AX285">
            <v>40000</v>
          </cell>
          <cell r="AY285">
            <v>2307389.4169999999</v>
          </cell>
          <cell r="AZ285" t="str">
            <v/>
          </cell>
          <cell r="BA285" t="str">
            <v/>
          </cell>
          <cell r="BB285">
            <v>25803247.998000003</v>
          </cell>
          <cell r="BC285">
            <v>6795070.0760000004</v>
          </cell>
          <cell r="BD285">
            <v>3643214.8820000002</v>
          </cell>
          <cell r="BE285" t="str">
            <v/>
          </cell>
          <cell r="BF285">
            <v>155897.93599999999</v>
          </cell>
          <cell r="BG285" t="str">
            <v/>
          </cell>
          <cell r="BH285">
            <v>18852279.986000001</v>
          </cell>
          <cell r="BI285">
            <v>6529499.6600000001</v>
          </cell>
          <cell r="BJ285">
            <v>12322780.325999999</v>
          </cell>
          <cell r="BK285">
            <v>110250.76299999998</v>
          </cell>
          <cell r="BL285">
            <v>-253253.054</v>
          </cell>
          <cell r="BM285">
            <v>363503.81699999998</v>
          </cell>
          <cell r="BN285">
            <v>-17327053.807999998</v>
          </cell>
          <cell r="BO285">
            <v>-23856553.467999998</v>
          </cell>
          <cell r="BP285">
            <v>-20934138.800999999</v>
          </cell>
          <cell r="BQ285">
            <v>-5004273.4820000008</v>
          </cell>
          <cell r="BR285">
            <v>10300591.103000002</v>
          </cell>
          <cell r="BS285">
            <v>11655408.175000001</v>
          </cell>
          <cell r="BT285">
            <v>11655408.175000001</v>
          </cell>
          <cell r="BU285" t="str">
            <v/>
          </cell>
          <cell r="BV285">
            <v>-844492.4589999998</v>
          </cell>
          <cell r="BW285" t="str">
            <v/>
          </cell>
          <cell r="BX285">
            <v>-510324.61300000001</v>
          </cell>
          <cell r="BZ285">
            <v>-7026462.7049999963</v>
          </cell>
          <cell r="CA285">
            <v>-13555962.364999996</v>
          </cell>
          <cell r="CB285">
            <v>7026462.8489999995</v>
          </cell>
          <cell r="CC285">
            <v>6809592.2489999998</v>
          </cell>
          <cell r="CD285">
            <v>12322780.325999999</v>
          </cell>
          <cell r="CE285">
            <v>12322780.325999999</v>
          </cell>
          <cell r="CF285">
            <v>0</v>
          </cell>
          <cell r="CG285" t="str">
            <v/>
          </cell>
          <cell r="CH285">
            <v>-5514413.5429999996</v>
          </cell>
          <cell r="CI285">
            <v>1225.4659999999121</v>
          </cell>
          <cell r="CJ285">
            <v>216870.59999999963</v>
          </cell>
          <cell r="CK285">
            <v>5324393.2769999998</v>
          </cell>
          <cell r="CL285">
            <v>6288367.4479999999</v>
          </cell>
          <cell r="CM285">
            <v>3899767.4479999999</v>
          </cell>
          <cell r="CN285">
            <v>5098000</v>
          </cell>
          <cell r="CO285">
            <v>-1198232.5519999999</v>
          </cell>
          <cell r="CP285">
            <v>2388600</v>
          </cell>
          <cell r="CQ285">
            <v>0</v>
          </cell>
          <cell r="CR285">
            <v>-212000</v>
          </cell>
          <cell r="CS285">
            <v>0</v>
          </cell>
          <cell r="CT285">
            <v>0</v>
          </cell>
          <cell r="CU285">
            <v>2600600</v>
          </cell>
          <cell r="CV285" t="str">
            <v/>
          </cell>
          <cell r="CW285">
            <v>0</v>
          </cell>
          <cell r="CX285">
            <v>-963974.17099999997</v>
          </cell>
          <cell r="CY285">
            <v>-965886.55099999998</v>
          </cell>
          <cell r="CZ285">
            <v>0</v>
          </cell>
          <cell r="DA285">
            <v>0</v>
          </cell>
          <cell r="DB285">
            <v>0</v>
          </cell>
          <cell r="DC285" t="str">
            <v/>
          </cell>
          <cell r="DD285">
            <v>1912.38</v>
          </cell>
          <cell r="DE285">
            <v>0</v>
          </cell>
          <cell r="DF285">
            <v>0</v>
          </cell>
          <cell r="DG285">
            <v>0</v>
          </cell>
          <cell r="DH285">
            <v>0</v>
          </cell>
          <cell r="DI285">
            <v>-5107522.6770000001</v>
          </cell>
          <cell r="DJ285">
            <v>-1316521.199</v>
          </cell>
          <cell r="DK285" t="str">
            <v/>
          </cell>
          <cell r="DL285" t="str">
            <v/>
          </cell>
          <cell r="DM285" t="str">
            <v/>
          </cell>
          <cell r="DN285">
            <v>-1316521.199</v>
          </cell>
          <cell r="DO285" t="str">
            <v/>
          </cell>
          <cell r="DP285">
            <v>-3797284.2779999999</v>
          </cell>
          <cell r="DQ285">
            <v>-246599.20500000002</v>
          </cell>
          <cell r="DR285">
            <v>6282.8</v>
          </cell>
          <cell r="DS285" t="str">
            <v/>
          </cell>
          <cell r="DT285">
            <v>-0.14400000311434269</v>
          </cell>
          <cell r="DU285" t="str">
            <v/>
          </cell>
          <cell r="DV285" t="str">
            <v/>
          </cell>
          <cell r="DW285">
            <v>2922414.6669999999</v>
          </cell>
          <cell r="DX285" t="str">
            <v/>
          </cell>
          <cell r="DY285" t="str">
            <v/>
          </cell>
          <cell r="DZ285">
            <v>218985.03399999999</v>
          </cell>
          <cell r="EA285">
            <v>8217843.175999999</v>
          </cell>
          <cell r="EB285">
            <v>5514413.5429999996</v>
          </cell>
          <cell r="EC285">
            <v>2703429.6329999999</v>
          </cell>
          <cell r="EF285">
            <v>5</v>
          </cell>
        </row>
        <row r="286">
          <cell r="E286">
            <v>37056.0625</v>
          </cell>
          <cell r="F286">
            <v>138859559.255</v>
          </cell>
          <cell r="G286">
            <v>109574622.677</v>
          </cell>
          <cell r="H286">
            <v>109574622.677</v>
          </cell>
          <cell r="I286">
            <v>104006047.905</v>
          </cell>
          <cell r="J286">
            <v>28929637.089999996</v>
          </cell>
          <cell r="K286">
            <v>14404636.412</v>
          </cell>
          <cell r="L286">
            <v>1522414.6610000001</v>
          </cell>
          <cell r="M286">
            <v>400198.61100000003</v>
          </cell>
          <cell r="N286">
            <v>53024373.285000004</v>
          </cell>
          <cell r="O286">
            <v>40712162.178000003</v>
          </cell>
          <cell r="P286">
            <v>2987663.4219999998</v>
          </cell>
          <cell r="Q286">
            <v>9324547.6850000024</v>
          </cell>
          <cell r="R286">
            <v>18989744.495999999</v>
          </cell>
          <cell r="S286">
            <v>15262987.782</v>
          </cell>
          <cell r="T286">
            <v>1726515.23</v>
          </cell>
          <cell r="U286">
            <v>2000241.4839999997</v>
          </cell>
          <cell r="V286" t="str">
            <v/>
          </cell>
          <cell r="W286">
            <v>1139679.7620000001</v>
          </cell>
          <cell r="X286">
            <v>5568574.7719999999</v>
          </cell>
          <cell r="Y286">
            <v>424571.68900000001</v>
          </cell>
          <cell r="Z286">
            <v>2817946.858</v>
          </cell>
          <cell r="AA286">
            <v>244109.74799999999</v>
          </cell>
          <cell r="AB286">
            <v>1136218.7689999999</v>
          </cell>
          <cell r="AC286">
            <v>945727.70799999975</v>
          </cell>
          <cell r="AD286" t="str">
            <v/>
          </cell>
          <cell r="AE286">
            <v>29284936.578000002</v>
          </cell>
          <cell r="AF286">
            <v>19384936.578000002</v>
          </cell>
          <cell r="AG286">
            <v>9900000</v>
          </cell>
          <cell r="AH286">
            <v>174465387.70000002</v>
          </cell>
          <cell r="AI286">
            <v>122092779.28</v>
          </cell>
          <cell r="AJ286">
            <v>121020966.712</v>
          </cell>
          <cell r="AK286" t="str">
            <v/>
          </cell>
          <cell r="AL286" t="str">
            <v/>
          </cell>
          <cell r="AM286">
            <v>103388981.708</v>
          </cell>
          <cell r="AN286" t="str">
            <v/>
          </cell>
          <cell r="AO286">
            <v>46110101.292000003</v>
          </cell>
          <cell r="AP286" t="str">
            <v/>
          </cell>
          <cell r="AQ286">
            <v>24813213.800999999</v>
          </cell>
          <cell r="AR286" t="str">
            <v/>
          </cell>
          <cell r="AS286">
            <v>6809083.8629999999</v>
          </cell>
          <cell r="AT286">
            <v>1071812.568</v>
          </cell>
          <cell r="AU286">
            <v>5737271.2949999999</v>
          </cell>
          <cell r="AV286">
            <v>25656582.752</v>
          </cell>
          <cell r="AW286" t="str">
            <v/>
          </cell>
          <cell r="AX286">
            <v>40000</v>
          </cell>
          <cell r="AY286">
            <v>4952988.9519999996</v>
          </cell>
          <cell r="AZ286" t="str">
            <v/>
          </cell>
          <cell r="BA286" t="str">
            <v/>
          </cell>
          <cell r="BB286">
            <v>70891334.034000009</v>
          </cell>
          <cell r="BC286">
            <v>23867899.373000003</v>
          </cell>
          <cell r="BD286">
            <v>8278630.3230000008</v>
          </cell>
          <cell r="BE286" t="str">
            <v/>
          </cell>
          <cell r="BF286">
            <v>388097.53599999996</v>
          </cell>
          <cell r="BG286" t="str">
            <v/>
          </cell>
          <cell r="BH286">
            <v>46635337.125</v>
          </cell>
          <cell r="BI286">
            <v>19384936.578000002</v>
          </cell>
          <cell r="BJ286">
            <v>27250400.546999998</v>
          </cell>
          <cell r="BK286">
            <v>185071.95799999998</v>
          </cell>
          <cell r="BL286">
            <v>-786836.848</v>
          </cell>
          <cell r="BM286">
            <v>971908.80599999998</v>
          </cell>
          <cell r="BN286">
            <v>-35605828.445000023</v>
          </cell>
          <cell r="BO286">
            <v>-64890765.023000024</v>
          </cell>
          <cell r="BP286">
            <v>-58081681.160000011</v>
          </cell>
          <cell r="BQ286">
            <v>-18255427.898000017</v>
          </cell>
          <cell r="BR286">
            <v>24661110.346999999</v>
          </cell>
          <cell r="BS286">
            <v>4238831.3569999998</v>
          </cell>
          <cell r="BT286">
            <v>4238831.3569999998</v>
          </cell>
          <cell r="BU286" t="str">
            <v/>
          </cell>
          <cell r="BV286">
            <v>7726922.9900000002</v>
          </cell>
          <cell r="BW286" t="str">
            <v/>
          </cell>
          <cell r="BX286">
            <v>12695356</v>
          </cell>
          <cell r="BZ286">
            <v>-10944718.098000024</v>
          </cell>
          <cell r="CA286">
            <v>-40229654.676000029</v>
          </cell>
          <cell r="CB286">
            <v>10944718.113999996</v>
          </cell>
          <cell r="CC286">
            <v>14884069.255999997</v>
          </cell>
          <cell r="CD286">
            <v>27250400.546999998</v>
          </cell>
          <cell r="CE286">
            <v>27250400.546999998</v>
          </cell>
          <cell r="CF286">
            <v>0</v>
          </cell>
          <cell r="CG286" t="str">
            <v/>
          </cell>
          <cell r="CH286">
            <v>-12481683.377</v>
          </cell>
          <cell r="CI286">
            <v>115352.08599999978</v>
          </cell>
          <cell r="CJ286">
            <v>-3939351.142</v>
          </cell>
          <cell r="CK286">
            <v>-245944.679</v>
          </cell>
          <cell r="CL286">
            <v>2049637.2110000001</v>
          </cell>
          <cell r="CM286">
            <v>1644937.2110000001</v>
          </cell>
          <cell r="CN286">
            <v>5098000</v>
          </cell>
          <cell r="CO286">
            <v>-3453062.7889999999</v>
          </cell>
          <cell r="CP286">
            <v>404700</v>
          </cell>
          <cell r="CQ286">
            <v>0</v>
          </cell>
          <cell r="CR286">
            <v>-6793000</v>
          </cell>
          <cell r="CS286">
            <v>2000000</v>
          </cell>
          <cell r="CT286">
            <v>0</v>
          </cell>
          <cell r="CU286">
            <v>5197700</v>
          </cell>
          <cell r="CV286" t="str">
            <v/>
          </cell>
          <cell r="CW286">
            <v>0</v>
          </cell>
          <cell r="CX286">
            <v>-2295581.89</v>
          </cell>
          <cell r="CY286">
            <v>-1495560.4959999998</v>
          </cell>
          <cell r="CZ286">
            <v>-803846.1540000001</v>
          </cell>
          <cell r="DA286">
            <v>-350000</v>
          </cell>
          <cell r="DB286">
            <v>-453846.15400000004</v>
          </cell>
          <cell r="DC286" t="str">
            <v/>
          </cell>
          <cell r="DD286">
            <v>3824.76</v>
          </cell>
          <cell r="DE286">
            <v>0</v>
          </cell>
          <cell r="DF286">
            <v>0</v>
          </cell>
          <cell r="DG286">
            <v>0</v>
          </cell>
          <cell r="DH286">
            <v>0</v>
          </cell>
          <cell r="DI286">
            <v>-3693406.463</v>
          </cell>
          <cell r="DJ286">
            <v>1416147.2529999998</v>
          </cell>
          <cell r="DK286" t="str">
            <v/>
          </cell>
          <cell r="DL286" t="str">
            <v/>
          </cell>
          <cell r="DM286" t="str">
            <v/>
          </cell>
          <cell r="DN286">
            <v>1416147.2529999998</v>
          </cell>
          <cell r="DO286" t="str">
            <v/>
          </cell>
          <cell r="DP286">
            <v>-5117202.1159999995</v>
          </cell>
          <cell r="DQ286">
            <v>-246599.20500000002</v>
          </cell>
          <cell r="DR286">
            <v>7648.4</v>
          </cell>
          <cell r="DS286" t="str">
            <v/>
          </cell>
          <cell r="DT286">
            <v>-1.5999972820281982E-2</v>
          </cell>
          <cell r="DU286" t="str">
            <v/>
          </cell>
          <cell r="DV286" t="str">
            <v/>
          </cell>
          <cell r="DW286">
            <v>6809083.8629999999</v>
          </cell>
          <cell r="DX286" t="str">
            <v/>
          </cell>
          <cell r="DY286" t="str">
            <v/>
          </cell>
          <cell r="DZ286">
            <v>1071812.568</v>
          </cell>
          <cell r="EA286">
            <v>18218954.671999998</v>
          </cell>
          <cell r="EB286">
            <v>12481683.377</v>
          </cell>
          <cell r="EC286">
            <v>5737271.2949999999</v>
          </cell>
          <cell r="EF286">
            <v>6</v>
          </cell>
        </row>
        <row r="287">
          <cell r="E287">
            <v>37147.375</v>
          </cell>
          <cell r="F287">
            <v>212615364.02700001</v>
          </cell>
          <cell r="G287">
            <v>166983222.91</v>
          </cell>
          <cell r="H287">
            <v>166983222.91</v>
          </cell>
          <cell r="I287">
            <v>156039378.63499999</v>
          </cell>
          <cell r="J287">
            <v>42262237.372999996</v>
          </cell>
          <cell r="K287">
            <v>20229519.078000002</v>
          </cell>
          <cell r="L287">
            <v>2187195.16</v>
          </cell>
          <cell r="M287">
            <v>790471.65700000001</v>
          </cell>
          <cell r="N287">
            <v>79904896.473000005</v>
          </cell>
          <cell r="O287">
            <v>61349424.693000004</v>
          </cell>
          <cell r="P287">
            <v>4394731.6689999998</v>
          </cell>
          <cell r="Q287">
            <v>14160740.111000001</v>
          </cell>
          <cell r="R287">
            <v>29135166.431000002</v>
          </cell>
          <cell r="S287">
            <v>23061303.588</v>
          </cell>
          <cell r="T287">
            <v>2607440.4139999999</v>
          </cell>
          <cell r="U287">
            <v>3466422.4289999995</v>
          </cell>
          <cell r="V287" t="str">
            <v/>
          </cell>
          <cell r="W287">
            <v>1759411.541</v>
          </cell>
          <cell r="X287">
            <v>10943844.274999999</v>
          </cell>
          <cell r="Y287">
            <v>831904.42599999998</v>
          </cell>
          <cell r="Z287">
            <v>3981933.2990000001</v>
          </cell>
          <cell r="AA287">
            <v>368731.34599999996</v>
          </cell>
          <cell r="AB287">
            <v>3406689.6549999998</v>
          </cell>
          <cell r="AC287">
            <v>2354585.5489999996</v>
          </cell>
          <cell r="AD287" t="str">
            <v/>
          </cell>
          <cell r="AE287">
            <v>45632141.116999999</v>
          </cell>
          <cell r="AF287">
            <v>35732141.116999999</v>
          </cell>
          <cell r="AG287">
            <v>9900000</v>
          </cell>
          <cell r="AH287">
            <v>267009272.766</v>
          </cell>
          <cell r="AI287">
            <v>182358144.29100001</v>
          </cell>
          <cell r="AJ287">
            <v>178389630.697</v>
          </cell>
          <cell r="AK287" t="str">
            <v/>
          </cell>
          <cell r="AL287" t="str">
            <v/>
          </cell>
          <cell r="AM287">
            <v>155722485.84</v>
          </cell>
          <cell r="AN287" t="str">
            <v/>
          </cell>
          <cell r="AO287">
            <v>69192517.765000001</v>
          </cell>
          <cell r="AP287" t="str">
            <v/>
          </cell>
          <cell r="AQ287">
            <v>34723166.030000001</v>
          </cell>
          <cell r="AR287" t="str">
            <v/>
          </cell>
          <cell r="AS287">
            <v>12505091.862</v>
          </cell>
          <cell r="AT287">
            <v>3968513.5939999996</v>
          </cell>
          <cell r="AU287">
            <v>8536578.2679999992</v>
          </cell>
          <cell r="AV287">
            <v>39301710.182999998</v>
          </cell>
          <cell r="AW287" t="str">
            <v/>
          </cell>
          <cell r="AX287">
            <v>40769.303</v>
          </cell>
          <cell r="AY287">
            <v>7521486.4000000004</v>
          </cell>
          <cell r="AZ287" t="str">
            <v/>
          </cell>
          <cell r="BA287" t="str">
            <v/>
          </cell>
          <cell r="BB287">
            <v>112152598.278</v>
          </cell>
          <cell r="BC287">
            <v>35634918.409999996</v>
          </cell>
          <cell r="BD287">
            <v>12644659.076000001</v>
          </cell>
          <cell r="BE287" t="str">
            <v/>
          </cell>
          <cell r="BF287">
            <v>403129.66099999996</v>
          </cell>
          <cell r="BG287" t="str">
            <v/>
          </cell>
          <cell r="BH287">
            <v>76114550.207000002</v>
          </cell>
          <cell r="BI287">
            <v>35732141.116999999</v>
          </cell>
          <cell r="BJ287">
            <v>40382409.090000004</v>
          </cell>
          <cell r="BK287">
            <v>-865811.35199999972</v>
          </cell>
          <cell r="BL287">
            <v>-1917613.7709999997</v>
          </cell>
          <cell r="BM287">
            <v>1051802.419</v>
          </cell>
          <cell r="BN287">
            <v>-54393908.738999993</v>
          </cell>
          <cell r="BO287">
            <v>-100026049.85599999</v>
          </cell>
          <cell r="BP287">
            <v>-87520957.994000018</v>
          </cell>
          <cell r="BQ287">
            <v>-23911499.649000019</v>
          </cell>
          <cell r="BR287">
            <v>29647786.679000001</v>
          </cell>
          <cell r="BS287">
            <v>13004339.218000002</v>
          </cell>
          <cell r="BT287">
            <v>13004339.218000002</v>
          </cell>
          <cell r="BU287" t="str">
            <v/>
          </cell>
          <cell r="BV287">
            <v>13392981.554</v>
          </cell>
          <cell r="BW287" t="str">
            <v/>
          </cell>
          <cell r="BX287">
            <v>3250465.9070000001</v>
          </cell>
          <cell r="BZ287">
            <v>-24746122.059999991</v>
          </cell>
          <cell r="CA287">
            <v>-70378263.176999986</v>
          </cell>
          <cell r="CB287">
            <v>24746121.712000005</v>
          </cell>
          <cell r="CC287">
            <v>22372787.844000004</v>
          </cell>
          <cell r="CD287">
            <v>40382409.090000004</v>
          </cell>
          <cell r="CE287">
            <v>40382409.090000004</v>
          </cell>
          <cell r="CF287">
            <v>0</v>
          </cell>
          <cell r="CG287" t="str">
            <v/>
          </cell>
          <cell r="CH287">
            <v>-18137670.32</v>
          </cell>
          <cell r="CI287">
            <v>128049.07399999954</v>
          </cell>
          <cell r="CJ287">
            <v>2373333.8679999998</v>
          </cell>
          <cell r="CK287">
            <v>7895078.4529999997</v>
          </cell>
          <cell r="CL287">
            <v>10188747.963</v>
          </cell>
          <cell r="CM287">
            <v>5873047.9630000005</v>
          </cell>
          <cell r="CN287">
            <v>10460000</v>
          </cell>
          <cell r="CO287">
            <v>-4586952.0369999995</v>
          </cell>
          <cell r="CP287">
            <v>4315700</v>
          </cell>
          <cell r="CQ287">
            <v>0</v>
          </cell>
          <cell r="CR287">
            <v>-521000</v>
          </cell>
          <cell r="CS287">
            <v>0</v>
          </cell>
          <cell r="CT287">
            <v>0</v>
          </cell>
          <cell r="CU287">
            <v>4836700</v>
          </cell>
          <cell r="CV287" t="str">
            <v/>
          </cell>
          <cell r="CW287">
            <v>0</v>
          </cell>
          <cell r="CX287">
            <v>-2293669.5099999998</v>
          </cell>
          <cell r="CY287">
            <v>-1495560.4959999998</v>
          </cell>
          <cell r="CZ287">
            <v>-803846.1540000001</v>
          </cell>
          <cell r="DA287">
            <v>-350000</v>
          </cell>
          <cell r="DB287">
            <v>-453846.15400000004</v>
          </cell>
          <cell r="DC287" t="str">
            <v/>
          </cell>
          <cell r="DD287">
            <v>5737.14</v>
          </cell>
          <cell r="DE287">
            <v>0</v>
          </cell>
          <cell r="DF287">
            <v>0</v>
          </cell>
          <cell r="DG287">
            <v>0</v>
          </cell>
          <cell r="DH287">
            <v>0</v>
          </cell>
          <cell r="DI287">
            <v>-5521744.585</v>
          </cell>
          <cell r="DJ287">
            <v>379467.24599999934</v>
          </cell>
          <cell r="DK287" t="str">
            <v/>
          </cell>
          <cell r="DL287" t="str">
            <v/>
          </cell>
          <cell r="DM287" t="str">
            <v/>
          </cell>
          <cell r="DN287">
            <v>379467.24599999934</v>
          </cell>
          <cell r="DO287" t="str">
            <v/>
          </cell>
          <cell r="DP287">
            <v>-6651553.811999999</v>
          </cell>
          <cell r="DQ287">
            <v>-493198.41</v>
          </cell>
          <cell r="DR287">
            <v>750341.98100000003</v>
          </cell>
          <cell r="DS287" t="str">
            <v/>
          </cell>
          <cell r="DT287">
            <v>0.34799998626112938</v>
          </cell>
          <cell r="DU287" t="str">
            <v/>
          </cell>
          <cell r="DV287" t="str">
            <v/>
          </cell>
          <cell r="DW287">
            <v>12505091.862</v>
          </cell>
          <cell r="DX287" t="str">
            <v/>
          </cell>
          <cell r="DY287" t="str">
            <v/>
          </cell>
          <cell r="DZ287">
            <v>3968513.5939999996</v>
          </cell>
          <cell r="EA287">
            <v>26674248.588</v>
          </cell>
          <cell r="EB287">
            <v>18137670.32</v>
          </cell>
          <cell r="EC287">
            <v>8536578.2679999992</v>
          </cell>
          <cell r="EF287">
            <v>7</v>
          </cell>
        </row>
        <row r="288">
          <cell r="E288">
            <v>37238.6875</v>
          </cell>
          <cell r="F288">
            <v>313227757.11500001</v>
          </cell>
          <cell r="G288">
            <v>227962546.734</v>
          </cell>
          <cell r="H288">
            <v>227962546.734</v>
          </cell>
          <cell r="I288">
            <v>213220362.412</v>
          </cell>
          <cell r="J288">
            <v>56104537.219999999</v>
          </cell>
          <cell r="K288">
            <v>26138025.344999999</v>
          </cell>
          <cell r="L288">
            <v>2716451.3380000005</v>
          </cell>
          <cell r="M288">
            <v>1037693.09</v>
          </cell>
          <cell r="N288">
            <v>111773470.141</v>
          </cell>
          <cell r="O288">
            <v>84778891.648000002</v>
          </cell>
          <cell r="P288">
            <v>6158082.0389999989</v>
          </cell>
          <cell r="Q288">
            <v>20836496.454000004</v>
          </cell>
          <cell r="R288">
            <v>39159586.252999999</v>
          </cell>
          <cell r="S288">
            <v>31254056.226</v>
          </cell>
          <cell r="T288">
            <v>3515586.8569999998</v>
          </cell>
          <cell r="U288">
            <v>4389943.17</v>
          </cell>
          <cell r="V288" t="str">
            <v/>
          </cell>
          <cell r="W288">
            <v>2428624.37</v>
          </cell>
          <cell r="X288">
            <v>14742184.322000001</v>
          </cell>
          <cell r="Y288">
            <v>1030513.36</v>
          </cell>
          <cell r="Z288">
            <v>5546255.2260000007</v>
          </cell>
          <cell r="AA288">
            <v>600883.03399999999</v>
          </cell>
          <cell r="AB288">
            <v>4181277.8939999994</v>
          </cell>
          <cell r="AC288">
            <v>3383254.8080000007</v>
          </cell>
          <cell r="AD288" t="str">
            <v/>
          </cell>
          <cell r="AE288">
            <v>85265210.380999997</v>
          </cell>
          <cell r="AF288">
            <v>58080210.380999997</v>
          </cell>
          <cell r="AG288">
            <v>27185000</v>
          </cell>
          <cell r="AH288">
            <v>380558544.33399999</v>
          </cell>
          <cell r="AI288">
            <v>253957712.54499999</v>
          </cell>
          <cell r="AJ288">
            <v>248987857.72599998</v>
          </cell>
          <cell r="AK288">
            <v>62366600.000000007</v>
          </cell>
          <cell r="AL288">
            <v>20845822.397</v>
          </cell>
          <cell r="AM288">
            <v>215134057.28400001</v>
          </cell>
          <cell r="AN288" t="str">
            <v/>
          </cell>
          <cell r="AO288">
            <v>97487840.929999992</v>
          </cell>
          <cell r="AP288" t="str">
            <v/>
          </cell>
          <cell r="AQ288">
            <v>42974088.795000002</v>
          </cell>
          <cell r="AR288" t="str">
            <v/>
          </cell>
          <cell r="AS288">
            <v>17500934.655000001</v>
          </cell>
          <cell r="AT288">
            <v>4969854.8190000001</v>
          </cell>
          <cell r="AU288">
            <v>12531079.835999999</v>
          </cell>
          <cell r="AV288">
            <v>57171192.904000014</v>
          </cell>
          <cell r="AW288" t="str">
            <v/>
          </cell>
          <cell r="AX288">
            <v>62465.529000000002</v>
          </cell>
          <cell r="AY288">
            <v>10176730.795</v>
          </cell>
          <cell r="AZ288" t="str">
            <v/>
          </cell>
          <cell r="BA288" t="str">
            <v/>
          </cell>
          <cell r="BB288">
            <v>167317917.44300002</v>
          </cell>
          <cell r="BC288">
            <v>52468598.870999999</v>
          </cell>
          <cell r="BD288">
            <v>17602894.766000003</v>
          </cell>
          <cell r="BE288" t="str">
            <v/>
          </cell>
          <cell r="BF288">
            <v>779566.61899999995</v>
          </cell>
          <cell r="BG288" t="str">
            <v/>
          </cell>
          <cell r="BH288">
            <v>114069751.95300001</v>
          </cell>
          <cell r="BI288">
            <v>58080210.380999997</v>
          </cell>
          <cell r="BJ288">
            <v>55989541.572000004</v>
          </cell>
          <cell r="BK288">
            <v>-1893430.3929999997</v>
          </cell>
          <cell r="BL288">
            <v>-3015201.7819999997</v>
          </cell>
          <cell r="BM288">
            <v>1121771.389</v>
          </cell>
          <cell r="BN288">
            <v>-67330787.218999982</v>
          </cell>
          <cell r="BO288">
            <v>-152595997.59999996</v>
          </cell>
          <cell r="BP288">
            <v>-135095062.94500002</v>
          </cell>
          <cell r="BQ288">
            <v>-38526245.646999985</v>
          </cell>
          <cell r="BR288">
            <v>39482503.046000004</v>
          </cell>
          <cell r="BS288">
            <v>13121997.777000001</v>
          </cell>
          <cell r="BT288">
            <v>13121997.777000001</v>
          </cell>
          <cell r="BU288" t="str">
            <v/>
          </cell>
          <cell r="BV288">
            <v>13824049.268999999</v>
          </cell>
          <cell r="BW288" t="str">
            <v/>
          </cell>
          <cell r="BX288">
            <v>12536456</v>
          </cell>
          <cell r="BZ288">
            <v>-27848284.172999978</v>
          </cell>
          <cell r="CA288">
            <v>-113113494.55399998</v>
          </cell>
          <cell r="CB288">
            <v>27848284.143999994</v>
          </cell>
          <cell r="CC288">
            <v>62017895.805999994</v>
          </cell>
          <cell r="CD288">
            <v>89060541.571999997</v>
          </cell>
          <cell r="CE288">
            <v>55989541.572000004</v>
          </cell>
          <cell r="CF288">
            <v>33071000</v>
          </cell>
          <cell r="CG288" t="str">
            <v/>
          </cell>
          <cell r="CH288">
            <v>-27144344.186000001</v>
          </cell>
          <cell r="CI288">
            <v>101698.42</v>
          </cell>
          <cell r="CJ288">
            <v>-34169611.662</v>
          </cell>
          <cell r="CK288">
            <v>-12729091.619000001</v>
          </cell>
          <cell r="CL288">
            <v>-9581999.5080000013</v>
          </cell>
          <cell r="CM288">
            <v>7544600.4919999996</v>
          </cell>
          <cell r="CN288">
            <v>15657000</v>
          </cell>
          <cell r="CO288">
            <v>-8112399.5080000004</v>
          </cell>
          <cell r="CP288">
            <v>-17126600</v>
          </cell>
          <cell r="CQ288">
            <v>0</v>
          </cell>
          <cell r="CR288">
            <v>-1562000</v>
          </cell>
          <cell r="CS288">
            <v>604000</v>
          </cell>
          <cell r="CT288">
            <v>0</v>
          </cell>
          <cell r="CU288">
            <v>-16168600</v>
          </cell>
          <cell r="CV288" t="str">
            <v/>
          </cell>
          <cell r="CW288">
            <v>0</v>
          </cell>
          <cell r="CX288">
            <v>-3147092.111</v>
          </cell>
          <cell r="CY288">
            <v>-1547049.3259999999</v>
          </cell>
          <cell r="CZ288">
            <v>-1607692.3050000002</v>
          </cell>
          <cell r="DA288">
            <v>-700000</v>
          </cell>
          <cell r="DB288">
            <v>-907692.30500000005</v>
          </cell>
          <cell r="DC288" t="str">
            <v/>
          </cell>
          <cell r="DD288">
            <v>7649.52</v>
          </cell>
          <cell r="DE288">
            <v>0</v>
          </cell>
          <cell r="DF288">
            <v>0</v>
          </cell>
          <cell r="DG288">
            <v>0</v>
          </cell>
          <cell r="DH288">
            <v>0</v>
          </cell>
          <cell r="DI288">
            <v>-21440520.043000001</v>
          </cell>
          <cell r="DJ288">
            <v>-9786635.637000002</v>
          </cell>
          <cell r="DK288" t="str">
            <v/>
          </cell>
          <cell r="DL288" t="str">
            <v/>
          </cell>
          <cell r="DM288" t="str">
            <v/>
          </cell>
          <cell r="DN288">
            <v>-9786635.637000002</v>
          </cell>
          <cell r="DO288" t="str">
            <v/>
          </cell>
          <cell r="DP288">
            <v>-14681880.311999999</v>
          </cell>
          <cell r="DQ288">
            <v>-739797.61499999999</v>
          </cell>
          <cell r="DR288">
            <v>3027995.906</v>
          </cell>
          <cell r="DS288" t="str">
            <v/>
          </cell>
          <cell r="DT288">
            <v>2.8999984264373779E-2</v>
          </cell>
          <cell r="DU288">
            <v>72452326.203000009</v>
          </cell>
          <cell r="DV288">
            <v>54951391.548</v>
          </cell>
          <cell r="DW288">
            <v>17500934.655000001</v>
          </cell>
          <cell r="DX288">
            <v>32776902.181000002</v>
          </cell>
          <cell r="DY288">
            <v>27807047.362</v>
          </cell>
          <cell r="DZ288">
            <v>4969854.8190000001</v>
          </cell>
          <cell r="EA288">
            <v>39675424.022</v>
          </cell>
          <cell r="EB288">
            <v>27144344.186000001</v>
          </cell>
          <cell r="EC288">
            <v>12531079.835999999</v>
          </cell>
          <cell r="EF288">
            <v>8</v>
          </cell>
        </row>
        <row r="289">
          <cell r="E289">
            <v>37330</v>
          </cell>
          <cell r="F289">
            <v>68395777.790000007</v>
          </cell>
          <cell r="G289">
            <v>55826006.740000002</v>
          </cell>
          <cell r="H289">
            <v>55825087.740000002</v>
          </cell>
          <cell r="I289">
            <v>53539463.520000003</v>
          </cell>
          <cell r="J289">
            <v>11755971.485000001</v>
          </cell>
          <cell r="K289">
            <v>3945319.27</v>
          </cell>
          <cell r="L289">
            <v>782549.45200000005</v>
          </cell>
          <cell r="M289">
            <v>244350.19099999999</v>
          </cell>
          <cell r="N289">
            <v>29845654.777000003</v>
          </cell>
          <cell r="O289">
            <v>20983678.311999999</v>
          </cell>
          <cell r="P289">
            <v>3386865.656</v>
          </cell>
          <cell r="Q289">
            <v>5475110.8090000022</v>
          </cell>
          <cell r="R289">
            <v>10344530.706</v>
          </cell>
          <cell r="S289">
            <v>7860708.9350000005</v>
          </cell>
          <cell r="T289">
            <v>850151.27</v>
          </cell>
          <cell r="U289">
            <v>1633670.5009999999</v>
          </cell>
          <cell r="V289">
            <v>0</v>
          </cell>
          <cell r="W289">
            <v>566406.90899999999</v>
          </cell>
          <cell r="X289">
            <v>2285624.2200000002</v>
          </cell>
          <cell r="Y289">
            <v>127240.751</v>
          </cell>
          <cell r="Z289">
            <v>32862.430999999997</v>
          </cell>
          <cell r="AA289">
            <v>146964.49900000001</v>
          </cell>
          <cell r="AB289">
            <v>0</v>
          </cell>
          <cell r="AC289">
            <v>1978556.5390000001</v>
          </cell>
          <cell r="AD289">
            <v>919</v>
          </cell>
          <cell r="AE289">
            <v>12569771.050000001</v>
          </cell>
          <cell r="AF289">
            <v>12569771.050000001</v>
          </cell>
          <cell r="AG289">
            <v>0</v>
          </cell>
          <cell r="AH289">
            <v>112697757.08500001</v>
          </cell>
          <cell r="AI289">
            <v>84849037.208000004</v>
          </cell>
          <cell r="AJ289">
            <v>84269239.526000008</v>
          </cell>
          <cell r="AK289">
            <v>12791460.096999999</v>
          </cell>
          <cell r="AL289">
            <v>5563437.0599999996</v>
          </cell>
          <cell r="AM289">
            <v>66515294.881999999</v>
          </cell>
          <cell r="AN289">
            <v>6589313.5729999999</v>
          </cell>
          <cell r="AO289">
            <v>24736067.82</v>
          </cell>
          <cell r="AP289">
            <v>459680</v>
          </cell>
          <cell r="AQ289">
            <v>15298610.502</v>
          </cell>
          <cell r="AR289">
            <v>4592524.7359999996</v>
          </cell>
          <cell r="AS289">
            <v>3528381.1030000001</v>
          </cell>
          <cell r="AT289">
            <v>579797.68200000003</v>
          </cell>
          <cell r="AU289">
            <v>2948583.4210000001</v>
          </cell>
          <cell r="AV289">
            <v>22952235.456999999</v>
          </cell>
          <cell r="AW289" t="str">
            <v/>
          </cell>
          <cell r="AX289">
            <v>0.01</v>
          </cell>
          <cell r="AY289">
            <v>2571860.8289999999</v>
          </cell>
          <cell r="AZ289">
            <v>615183.88100000005</v>
          </cell>
          <cell r="BA289">
            <v>1795745.7649999999</v>
          </cell>
          <cell r="BB289">
            <v>45256372.865000002</v>
          </cell>
          <cell r="BC289">
            <v>20171418.399</v>
          </cell>
          <cell r="BD289">
            <v>3450530.0449999999</v>
          </cell>
          <cell r="BE289" t="str">
            <v/>
          </cell>
          <cell r="BF289">
            <v>184818.01</v>
          </cell>
          <cell r="BG289">
            <v>0</v>
          </cell>
          <cell r="BH289">
            <v>24900136.456</v>
          </cell>
          <cell r="BI289">
            <v>12569771.050000001</v>
          </cell>
          <cell r="BJ289">
            <v>12330365.405999999</v>
          </cell>
          <cell r="BK289">
            <v>926089.33799999999</v>
          </cell>
          <cell r="BL289">
            <v>-299075.636</v>
          </cell>
          <cell r="BM289">
            <v>1225164.9739999999</v>
          </cell>
          <cell r="BN289">
            <v>-44301979.295000002</v>
          </cell>
          <cell r="BO289">
            <v>-56871750.344999999</v>
          </cell>
          <cell r="BP289">
            <v>-53343369.242000006</v>
          </cell>
          <cell r="BQ289">
            <v>-31971613.889000006</v>
          </cell>
          <cell r="BR289">
            <v>19396717.610999998</v>
          </cell>
          <cell r="BS289">
            <v>1263557.9169999999</v>
          </cell>
          <cell r="BT289">
            <v>1263557.9169999999</v>
          </cell>
          <cell r="BU289">
            <v>0</v>
          </cell>
          <cell r="BV289">
            <v>10036593.495999999</v>
          </cell>
          <cell r="BW289">
            <v>0</v>
          </cell>
          <cell r="BX289">
            <v>8096566.1979999999</v>
          </cell>
          <cell r="BZ289">
            <v>-24905261.684000004</v>
          </cell>
          <cell r="CA289">
            <v>-37475032.734000005</v>
          </cell>
          <cell r="CB289">
            <v>24905261.489999995</v>
          </cell>
          <cell r="CC289">
            <v>32913259.272999998</v>
          </cell>
          <cell r="CD289">
            <v>37920967.923</v>
          </cell>
          <cell r="CE289">
            <v>12330365.405999999</v>
          </cell>
          <cell r="CF289">
            <v>21456000</v>
          </cell>
          <cell r="CG289">
            <v>4134602.5170000005</v>
          </cell>
          <cell r="CH289">
            <v>-5008330.7949999999</v>
          </cell>
          <cell r="CI289">
            <v>622.1449999999968</v>
          </cell>
          <cell r="CJ289">
            <v>-8007997.7830000017</v>
          </cell>
          <cell r="CK289">
            <v>-5778354.7310000025</v>
          </cell>
          <cell r="CL289">
            <v>-7657048.6399999997</v>
          </cell>
          <cell r="CM289">
            <v>-834348.64</v>
          </cell>
          <cell r="CN289">
            <v>0</v>
          </cell>
          <cell r="CO289">
            <v>-834348.64</v>
          </cell>
          <cell r="CP289">
            <v>-6822700</v>
          </cell>
          <cell r="CQ289">
            <v>0</v>
          </cell>
          <cell r="CR289">
            <v>0</v>
          </cell>
          <cell r="CS289">
            <v>197800</v>
          </cell>
          <cell r="CT289">
            <v>0</v>
          </cell>
          <cell r="CU289">
            <v>-7020500</v>
          </cell>
          <cell r="CV289">
            <v>-1793100</v>
          </cell>
          <cell r="CW289">
            <v>0</v>
          </cell>
          <cell r="CX289">
            <v>360721.72800000006</v>
          </cell>
          <cell r="CY289">
            <v>0</v>
          </cell>
          <cell r="CZ289">
            <v>0</v>
          </cell>
          <cell r="DA289">
            <v>0</v>
          </cell>
          <cell r="DB289">
            <v>0</v>
          </cell>
          <cell r="DC289">
            <v>0</v>
          </cell>
          <cell r="DD289">
            <v>360721.72800000006</v>
          </cell>
          <cell r="DE289">
            <v>1517972.1809999973</v>
          </cell>
          <cell r="DF289">
            <v>0</v>
          </cell>
          <cell r="DG289">
            <v>-559114.14800000191</v>
          </cell>
          <cell r="DH289">
            <v>2077086.3289999992</v>
          </cell>
          <cell r="DI289">
            <v>-2229643.0519999992</v>
          </cell>
          <cell r="DJ289">
            <v>0</v>
          </cell>
          <cell r="DK289">
            <v>0</v>
          </cell>
          <cell r="DL289">
            <v>0</v>
          </cell>
          <cell r="DM289">
            <v>0</v>
          </cell>
          <cell r="DN289">
            <v>0</v>
          </cell>
          <cell r="DO289" t="str">
            <v/>
          </cell>
          <cell r="DP289">
            <v>-3044325.8519999995</v>
          </cell>
          <cell r="DQ289">
            <v>-246599.20500000002</v>
          </cell>
          <cell r="DR289">
            <v>814682.8</v>
          </cell>
          <cell r="DS289" t="str">
            <v/>
          </cell>
          <cell r="DT289">
            <v>0.1940000094473362</v>
          </cell>
          <cell r="DU289" t="str">
            <v/>
          </cell>
          <cell r="DV289" t="str">
            <v/>
          </cell>
          <cell r="DW289">
            <v>3528381.1030000001</v>
          </cell>
          <cell r="DX289" t="str">
            <v/>
          </cell>
          <cell r="DY289" t="str">
            <v/>
          </cell>
          <cell r="DZ289">
            <v>579797.68200000003</v>
          </cell>
          <cell r="EA289">
            <v>7956914.216</v>
          </cell>
          <cell r="EB289">
            <v>5008330.7949999999</v>
          </cell>
          <cell r="EC289">
            <v>2948583.4210000001</v>
          </cell>
          <cell r="EF289">
            <v>9</v>
          </cell>
        </row>
        <row r="290">
          <cell r="E290">
            <v>37421.3125</v>
          </cell>
          <cell r="F290">
            <v>164587993.07604802</v>
          </cell>
          <cell r="G290">
            <v>128953050.529048</v>
          </cell>
          <cell r="H290">
            <v>128952131.41286799</v>
          </cell>
          <cell r="I290">
            <v>122161036.063868</v>
          </cell>
          <cell r="J290">
            <v>32267129.877999999</v>
          </cell>
          <cell r="K290">
            <v>16409781.655999999</v>
          </cell>
          <cell r="L290">
            <v>1495451.3</v>
          </cell>
          <cell r="M290">
            <v>518151.45086799999</v>
          </cell>
          <cell r="N290">
            <v>65770931.188000001</v>
          </cell>
          <cell r="O290">
            <v>44827099.567000002</v>
          </cell>
          <cell r="P290">
            <v>8391053.3080000002</v>
          </cell>
          <cell r="Q290">
            <v>12552778.313000003</v>
          </cell>
          <cell r="R290">
            <v>20874739.454999998</v>
          </cell>
          <cell r="S290">
            <v>17228488.881999999</v>
          </cell>
          <cell r="T290">
            <v>1832345.7379999999</v>
          </cell>
          <cell r="U290">
            <v>1813904.835</v>
          </cell>
          <cell r="V290">
            <v>4.7387482380000003</v>
          </cell>
          <cell r="W290">
            <v>1234632.7919999999</v>
          </cell>
          <cell r="X290">
            <v>6791095.3489999995</v>
          </cell>
          <cell r="Y290">
            <v>166964.35200000001</v>
          </cell>
          <cell r="Z290">
            <v>1015857.3879999999</v>
          </cell>
          <cell r="AA290">
            <v>797840.44</v>
          </cell>
          <cell r="AB290">
            <v>0</v>
          </cell>
          <cell r="AC290">
            <v>4810433.1689999998</v>
          </cell>
          <cell r="AD290">
            <v>919.11617999999999</v>
          </cell>
          <cell r="AE290">
            <v>35634942.547000006</v>
          </cell>
          <cell r="AF290">
            <v>25771942.547000002</v>
          </cell>
          <cell r="AG290">
            <v>9863000</v>
          </cell>
          <cell r="AH290">
            <v>227340439.13000003</v>
          </cell>
          <cell r="AI290">
            <v>168141583.62200004</v>
          </cell>
          <cell r="AJ290">
            <v>165801388.80300003</v>
          </cell>
          <cell r="AK290">
            <v>28547308.463</v>
          </cell>
          <cell r="AL290">
            <v>16192914.248</v>
          </cell>
          <cell r="AM290">
            <v>137618318.553</v>
          </cell>
          <cell r="AN290">
            <v>8218118.182</v>
          </cell>
          <cell r="AO290">
            <v>49207403.561999999</v>
          </cell>
          <cell r="AP290">
            <v>500543.8</v>
          </cell>
          <cell r="AQ290">
            <v>35833999.101000004</v>
          </cell>
          <cell r="AR290">
            <v>5684079.915</v>
          </cell>
          <cell r="AS290">
            <v>8894995.8450000007</v>
          </cell>
          <cell r="AT290">
            <v>2340194.8190000001</v>
          </cell>
          <cell r="AU290">
            <v>6554801.0260000005</v>
          </cell>
          <cell r="AV290">
            <v>43681920.044999994</v>
          </cell>
          <cell r="AW290" t="str">
            <v/>
          </cell>
          <cell r="AX290">
            <v>10000.02</v>
          </cell>
          <cell r="AY290">
            <v>5682086.7039999999</v>
          </cell>
          <cell r="AZ290">
            <v>925693.42700000003</v>
          </cell>
          <cell r="BA290">
            <v>3881301.2050000001</v>
          </cell>
          <cell r="BB290">
            <v>90278879.978000015</v>
          </cell>
          <cell r="BC290">
            <v>36317354.802000001</v>
          </cell>
          <cell r="BD290">
            <v>7740703.9849999994</v>
          </cell>
          <cell r="BE290" t="str">
            <v/>
          </cell>
          <cell r="BF290">
            <v>1317470.6939999999</v>
          </cell>
          <cell r="BG290">
            <v>0</v>
          </cell>
          <cell r="BH290">
            <v>52644054.482000008</v>
          </cell>
          <cell r="BI290">
            <v>25771942.547000002</v>
          </cell>
          <cell r="BJ290">
            <v>26872111.935000002</v>
          </cell>
          <cell r="BK290">
            <v>-556759.40099999984</v>
          </cell>
          <cell r="BL290">
            <v>-1417607.3769999999</v>
          </cell>
          <cell r="BM290">
            <v>860847.97600000002</v>
          </cell>
          <cell r="BN290">
            <v>-62752446.053952008</v>
          </cell>
          <cell r="BO290">
            <v>-98387388.600952014</v>
          </cell>
          <cell r="BP290">
            <v>-89492392.75595203</v>
          </cell>
          <cell r="BQ290">
            <v>-45743334.118952006</v>
          </cell>
          <cell r="BR290">
            <v>39084604.716000006</v>
          </cell>
          <cell r="BS290">
            <v>5854112.3540000003</v>
          </cell>
          <cell r="BT290">
            <v>5854112.3540000003</v>
          </cell>
          <cell r="BU290">
            <v>7.0471406488081811E-11</v>
          </cell>
          <cell r="BV290">
            <v>11204402.081</v>
          </cell>
          <cell r="BW290">
            <v>0</v>
          </cell>
          <cell r="BX290">
            <v>22026090.280999999</v>
          </cell>
          <cell r="BZ290">
            <v>-23667841.337952003</v>
          </cell>
          <cell r="CA290">
            <v>-59302783.884952009</v>
          </cell>
          <cell r="CB290">
            <v>23667841.269999992</v>
          </cell>
          <cell r="CC290">
            <v>45676626.675999999</v>
          </cell>
          <cell r="CD290">
            <v>59011431.155000001</v>
          </cell>
          <cell r="CE290">
            <v>26872111.935000002</v>
          </cell>
          <cell r="CF290">
            <v>21456000.344000001</v>
          </cell>
          <cell r="CG290">
            <v>10683318.876000002</v>
          </cell>
          <cell r="CH290">
            <v>-13158836.445</v>
          </cell>
          <cell r="CI290">
            <v>-175968.03399999969</v>
          </cell>
          <cell r="CJ290">
            <v>-22008785.406000007</v>
          </cell>
          <cell r="CK290">
            <v>-18149730.878000006</v>
          </cell>
          <cell r="CL290">
            <v>-21174245.011</v>
          </cell>
          <cell r="CM290">
            <v>960754.98900000006</v>
          </cell>
          <cell r="CN290">
            <v>5221000</v>
          </cell>
          <cell r="CO290">
            <v>-4260245.0109999999</v>
          </cell>
          <cell r="CP290">
            <v>-22135000</v>
          </cell>
          <cell r="CQ290">
            <v>0</v>
          </cell>
          <cell r="CR290">
            <v>0</v>
          </cell>
          <cell r="CS290">
            <v>-113700</v>
          </cell>
          <cell r="CT290">
            <v>0</v>
          </cell>
          <cell r="CU290">
            <v>-22021300</v>
          </cell>
          <cell r="CV290">
            <v>-8162700</v>
          </cell>
          <cell r="CW290">
            <v>0</v>
          </cell>
          <cell r="CX290">
            <v>1391281.939</v>
          </cell>
          <cell r="CY290">
            <v>0</v>
          </cell>
          <cell r="CZ290">
            <v>696153.8459999999</v>
          </cell>
          <cell r="DA290">
            <v>-350000</v>
          </cell>
          <cell r="DB290">
            <v>-453846.15400000004</v>
          </cell>
          <cell r="DC290">
            <v>1500000</v>
          </cell>
          <cell r="DD290">
            <v>695128.09300000011</v>
          </cell>
          <cell r="DE290">
            <v>1633232.1939999964</v>
          </cell>
          <cell r="DF290">
            <v>0</v>
          </cell>
          <cell r="DG290">
            <v>-1118228.2960000038</v>
          </cell>
          <cell r="DH290">
            <v>2751460.49</v>
          </cell>
          <cell r="DI290">
            <v>-3859054.5279999999</v>
          </cell>
          <cell r="DJ290">
            <v>0</v>
          </cell>
          <cell r="DK290">
            <v>0</v>
          </cell>
          <cell r="DL290">
            <v>0</v>
          </cell>
          <cell r="DM290">
            <v>0</v>
          </cell>
          <cell r="DN290">
            <v>0</v>
          </cell>
          <cell r="DO290" t="str">
            <v/>
          </cell>
          <cell r="DP290">
            <v>-4728801.7939999998</v>
          </cell>
          <cell r="DQ290">
            <v>-493198.41</v>
          </cell>
          <cell r="DR290">
            <v>869747.26600000006</v>
          </cell>
          <cell r="DS290" t="str">
            <v/>
          </cell>
          <cell r="DT290">
            <v>6.7952010780572891E-2</v>
          </cell>
          <cell r="DU290" t="str">
            <v/>
          </cell>
          <cell r="DV290" t="str">
            <v/>
          </cell>
          <cell r="DW290">
            <v>8894995.8450000007</v>
          </cell>
          <cell r="DX290" t="str">
            <v/>
          </cell>
          <cell r="DY290" t="str">
            <v/>
          </cell>
          <cell r="DZ290">
            <v>2340194.8190000001</v>
          </cell>
          <cell r="EA290">
            <v>19713637.471000001</v>
          </cell>
          <cell r="EB290">
            <v>13158836.445</v>
          </cell>
          <cell r="EC290">
            <v>6554801.0260000005</v>
          </cell>
          <cell r="EF290">
            <v>10</v>
          </cell>
        </row>
        <row r="291">
          <cell r="E291">
            <v>37512.625</v>
          </cell>
          <cell r="F291">
            <v>253067543.29704803</v>
          </cell>
          <cell r="G291">
            <v>195618842.09504801</v>
          </cell>
          <cell r="H291">
            <v>195607983.37886801</v>
          </cell>
          <cell r="I291">
            <v>182587873.70586801</v>
          </cell>
          <cell r="J291">
            <v>46822155.496999994</v>
          </cell>
          <cell r="K291">
            <v>23503297.100000001</v>
          </cell>
          <cell r="L291">
            <v>2023979.088</v>
          </cell>
          <cell r="M291">
            <v>804882.4428679999</v>
          </cell>
          <cell r="N291">
            <v>98127785.083000004</v>
          </cell>
          <cell r="O291">
            <v>67238062.044</v>
          </cell>
          <cell r="P291">
            <v>12722249.517999999</v>
          </cell>
          <cell r="Q291">
            <v>18167473.521000002</v>
          </cell>
          <cell r="R291">
            <v>32906834.364999998</v>
          </cell>
          <cell r="S291">
            <v>26186959.715999998</v>
          </cell>
          <cell r="T291">
            <v>2837991.5989999999</v>
          </cell>
          <cell r="U291">
            <v>3881883.05</v>
          </cell>
          <cell r="V291">
            <v>1901768.660748238</v>
          </cell>
          <cell r="W291">
            <v>1902237.23</v>
          </cell>
          <cell r="X291">
            <v>13020109.672999999</v>
          </cell>
          <cell r="Y291">
            <v>240291.78700000001</v>
          </cell>
          <cell r="Z291">
            <v>3567397.2339999997</v>
          </cell>
          <cell r="AA291">
            <v>1293255.1129999999</v>
          </cell>
          <cell r="AB291">
            <v>0</v>
          </cell>
          <cell r="AC291">
            <v>7919165.5389999989</v>
          </cell>
          <cell r="AD291">
            <v>10858.716179999999</v>
          </cell>
          <cell r="AE291">
            <v>57448701.202000007</v>
          </cell>
          <cell r="AF291">
            <v>43021701.202000007</v>
          </cell>
          <cell r="AG291">
            <v>14427000</v>
          </cell>
          <cell r="AH291">
            <v>333519010.71399999</v>
          </cell>
          <cell r="AI291">
            <v>241189558.02900001</v>
          </cell>
          <cell r="AJ291">
            <v>238143238.083</v>
          </cell>
          <cell r="AK291">
            <v>43634868.465999998</v>
          </cell>
          <cell r="AL291">
            <v>18250170.248</v>
          </cell>
          <cell r="AM291">
            <v>190519378.954</v>
          </cell>
          <cell r="AN291">
            <v>10254076.708000001</v>
          </cell>
          <cell r="AO291">
            <v>74658765.978000015</v>
          </cell>
          <cell r="AP291">
            <v>762086.6</v>
          </cell>
          <cell r="AQ291">
            <v>44901255.303000003</v>
          </cell>
          <cell r="AR291">
            <v>6796964.0129999993</v>
          </cell>
          <cell r="AS291">
            <v>12225692.277000001</v>
          </cell>
          <cell r="AT291">
            <v>3046319.9460000005</v>
          </cell>
          <cell r="AU291">
            <v>9179372.3310000002</v>
          </cell>
          <cell r="AV291">
            <v>58733665.395999998</v>
          </cell>
          <cell r="AW291" t="str">
            <v/>
          </cell>
          <cell r="AX291">
            <v>10000.02</v>
          </cell>
          <cell r="AY291">
            <v>8629428.5869999994</v>
          </cell>
          <cell r="AZ291">
            <v>1100812.7830000001</v>
          </cell>
          <cell r="BA291">
            <v>6102987.534</v>
          </cell>
          <cell r="BB291">
            <v>144502627.204</v>
          </cell>
          <cell r="BC291">
            <v>59240076.156000003</v>
          </cell>
          <cell r="BD291">
            <v>10976896.006999999</v>
          </cell>
          <cell r="BE291" t="str">
            <v/>
          </cell>
          <cell r="BF291">
            <v>2112470.6940000001</v>
          </cell>
          <cell r="BG291">
            <v>0</v>
          </cell>
          <cell r="BH291">
            <v>83150080.354000002</v>
          </cell>
          <cell r="BI291">
            <v>43021701.202000007</v>
          </cell>
          <cell r="BJ291">
            <v>40128379.152000003</v>
          </cell>
          <cell r="BK291">
            <v>-1502995.4439999997</v>
          </cell>
          <cell r="BL291">
            <v>-2356885.5159999998</v>
          </cell>
          <cell r="BM291">
            <v>853890.07200000004</v>
          </cell>
          <cell r="BN291">
            <v>-80451467.416951954</v>
          </cell>
          <cell r="BO291">
            <v>-137900168.61895198</v>
          </cell>
          <cell r="BP291">
            <v>-125674476.34195197</v>
          </cell>
          <cell r="BQ291">
            <v>-54750088.264951974</v>
          </cell>
          <cell r="BR291">
            <v>26952205.022000011</v>
          </cell>
          <cell r="BS291">
            <v>736461.62200000044</v>
          </cell>
          <cell r="BT291">
            <v>736461.43400000036</v>
          </cell>
          <cell r="BU291">
            <v>0.18800000009053242</v>
          </cell>
          <cell r="BV291">
            <v>6402435.2860000096</v>
          </cell>
          <cell r="BW291">
            <v>0</v>
          </cell>
          <cell r="BX291">
            <v>19813308.114</v>
          </cell>
          <cell r="BZ291">
            <v>-53499262.39495194</v>
          </cell>
          <cell r="CA291">
            <v>-110947963.59695195</v>
          </cell>
          <cell r="CB291">
            <v>53499262.407000005</v>
          </cell>
          <cell r="CC291">
            <v>57530678.053000011</v>
          </cell>
          <cell r="CD291">
            <v>75338260.123000011</v>
          </cell>
          <cell r="CE291">
            <v>40128379.152000003</v>
          </cell>
          <cell r="CF291">
            <v>21456000.344000001</v>
          </cell>
          <cell r="CG291">
            <v>13753880.627</v>
          </cell>
          <cell r="CH291">
            <v>-17637921.380000003</v>
          </cell>
          <cell r="CI291">
            <v>-169660.69</v>
          </cell>
          <cell r="CJ291">
            <v>-4031415.6460000062</v>
          </cell>
          <cell r="CK291">
            <v>2044028.6059999941</v>
          </cell>
          <cell r="CL291">
            <v>-15871093.943</v>
          </cell>
          <cell r="CM291">
            <v>-273893.94299999997</v>
          </cell>
          <cell r="CN291">
            <v>5221000</v>
          </cell>
          <cell r="CO291">
            <v>-5494893.943</v>
          </cell>
          <cell r="CP291">
            <v>-15597200</v>
          </cell>
          <cell r="CQ291">
            <v>0</v>
          </cell>
          <cell r="CR291">
            <v>0</v>
          </cell>
          <cell r="CS291">
            <v>-205600</v>
          </cell>
          <cell r="CT291">
            <v>0</v>
          </cell>
          <cell r="CU291">
            <v>-15391600</v>
          </cell>
          <cell r="CV291">
            <v>-8162700</v>
          </cell>
          <cell r="CW291">
            <v>0</v>
          </cell>
          <cell r="CX291">
            <v>16848303.224999998</v>
          </cell>
          <cell r="CY291">
            <v>0</v>
          </cell>
          <cell r="CZ291">
            <v>16723722.825999999</v>
          </cell>
          <cell r="DA291">
            <v>-350000</v>
          </cell>
          <cell r="DB291">
            <v>-726277.17400000012</v>
          </cell>
          <cell r="DC291">
            <v>17800000</v>
          </cell>
          <cell r="DD291">
            <v>124580.39900000009</v>
          </cell>
          <cell r="DE291">
            <v>1066819.3239999963</v>
          </cell>
          <cell r="DF291">
            <v>0</v>
          </cell>
          <cell r="DG291">
            <v>-1722231.9940000027</v>
          </cell>
          <cell r="DH291">
            <v>2789051.317999999</v>
          </cell>
          <cell r="DI291">
            <v>-6075444.2520000003</v>
          </cell>
          <cell r="DJ291">
            <v>0</v>
          </cell>
          <cell r="DK291">
            <v>0</v>
          </cell>
          <cell r="DL291">
            <v>0</v>
          </cell>
          <cell r="DM291">
            <v>0</v>
          </cell>
          <cell r="DN291">
            <v>0</v>
          </cell>
          <cell r="DO291" t="str">
            <v/>
          </cell>
          <cell r="DP291">
            <v>-6947497.7560000001</v>
          </cell>
          <cell r="DQ291">
            <v>-739797.61499999999</v>
          </cell>
          <cell r="DR291">
            <v>872053.50400000007</v>
          </cell>
          <cell r="DS291" t="str">
            <v/>
          </cell>
          <cell r="DT291">
            <v>-1.2048065662384033E-2</v>
          </cell>
          <cell r="DU291" t="str">
            <v/>
          </cell>
          <cell r="DV291" t="str">
            <v/>
          </cell>
          <cell r="DW291">
            <v>12225692.277000001</v>
          </cell>
          <cell r="DX291" t="str">
            <v/>
          </cell>
          <cell r="DY291" t="str">
            <v/>
          </cell>
          <cell r="DZ291">
            <v>3046319.9460000005</v>
          </cell>
          <cell r="EA291">
            <v>26817293.711000003</v>
          </cell>
          <cell r="EB291">
            <v>17637921.380000003</v>
          </cell>
          <cell r="EC291">
            <v>9179372.3310000002</v>
          </cell>
          <cell r="EF291">
            <v>11</v>
          </cell>
        </row>
        <row r="292">
          <cell r="E292">
            <v>37603.9375</v>
          </cell>
          <cell r="F292">
            <v>346491665.619048</v>
          </cell>
          <cell r="G292">
            <v>259442588.57904798</v>
          </cell>
          <cell r="H292">
            <v>259403319.03886798</v>
          </cell>
          <cell r="I292">
            <v>240876462.29886797</v>
          </cell>
          <cell r="J292">
            <v>61680853.969999999</v>
          </cell>
          <cell r="K292">
            <v>29012784.755000003</v>
          </cell>
          <cell r="L292">
            <v>3001561.818</v>
          </cell>
          <cell r="M292">
            <v>1147452.8308679999</v>
          </cell>
          <cell r="N292">
            <v>130176284.33399999</v>
          </cell>
          <cell r="O292">
            <v>89523270.938999996</v>
          </cell>
          <cell r="P292">
            <v>17492303.153999999</v>
          </cell>
          <cell r="Q292">
            <v>23160710.241000004</v>
          </cell>
          <cell r="R292">
            <v>42391091.662</v>
          </cell>
          <cell r="S292">
            <v>34610349.592</v>
          </cell>
          <cell r="T292">
            <v>3680125.0970000001</v>
          </cell>
          <cell r="U292">
            <v>4100616.9729999998</v>
          </cell>
          <cell r="V292">
            <v>1901768.660748238</v>
          </cell>
          <cell r="W292">
            <v>2479217.6839999999</v>
          </cell>
          <cell r="X292">
            <v>18526856.739999998</v>
          </cell>
          <cell r="Y292">
            <v>297109.88300000003</v>
          </cell>
          <cell r="Z292">
            <v>4287486</v>
          </cell>
          <cell r="AA292">
            <v>2137891</v>
          </cell>
          <cell r="AB292">
            <v>0</v>
          </cell>
          <cell r="AC292">
            <v>11804369.856999999</v>
          </cell>
          <cell r="AD292">
            <v>39269.540179999996</v>
          </cell>
          <cell r="AE292">
            <v>87049077.040000007</v>
          </cell>
          <cell r="AF292">
            <v>57112077.040000007</v>
          </cell>
          <cell r="AG292">
            <v>29937000</v>
          </cell>
          <cell r="AH292">
            <v>447297852.88999999</v>
          </cell>
          <cell r="AI292">
            <v>322495110.05199993</v>
          </cell>
          <cell r="AJ292">
            <v>318684121.62499994</v>
          </cell>
          <cell r="AK292">
            <v>81168933.729999989</v>
          </cell>
          <cell r="AL292">
            <v>29572748.123</v>
          </cell>
          <cell r="AM292">
            <v>251367104.19</v>
          </cell>
          <cell r="AN292">
            <v>10975785.006000001</v>
          </cell>
          <cell r="AO292">
            <v>103103513.64899999</v>
          </cell>
          <cell r="AP292">
            <v>762086.6</v>
          </cell>
          <cell r="AQ292">
            <v>62503169.553999998</v>
          </cell>
          <cell r="AR292">
            <v>7518672.3109999998</v>
          </cell>
          <cell r="AS292">
            <v>16671046.796</v>
          </cell>
          <cell r="AT292">
            <v>3810988.4270000001</v>
          </cell>
          <cell r="AU292">
            <v>12860058.368999999</v>
          </cell>
          <cell r="AV292">
            <v>69089374.191000015</v>
          </cell>
          <cell r="AW292" t="str">
            <v/>
          </cell>
          <cell r="AX292">
            <v>10000.02</v>
          </cell>
          <cell r="AY292">
            <v>11914829.625</v>
          </cell>
          <cell r="AZ292">
            <v>1488624.6490000002</v>
          </cell>
          <cell r="BA292">
            <v>7393794.4809999997</v>
          </cell>
          <cell r="BB292">
            <v>198676465.76800001</v>
          </cell>
          <cell r="BC292">
            <v>84611310.604999989</v>
          </cell>
          <cell r="BD292">
            <v>13351400.908999998</v>
          </cell>
          <cell r="BE292" t="str">
            <v/>
          </cell>
          <cell r="BF292">
            <v>2122470.6940000001</v>
          </cell>
          <cell r="BG292">
            <v>0</v>
          </cell>
          <cell r="BH292">
            <v>111942684.46900001</v>
          </cell>
          <cell r="BI292">
            <v>57112077.040000007</v>
          </cell>
          <cell r="BJ292">
            <v>54830607.429000005</v>
          </cell>
          <cell r="BK292">
            <v>-2745717.068</v>
          </cell>
          <cell r="BL292">
            <v>-3619951</v>
          </cell>
          <cell r="BM292">
            <v>874233.93200000003</v>
          </cell>
          <cell r="BN292">
            <v>-100806187.27095199</v>
          </cell>
          <cell r="BO292">
            <v>-187855264.31095201</v>
          </cell>
          <cell r="BP292">
            <v>-171184217.514952</v>
          </cell>
          <cell r="BQ292">
            <v>-75912579.841952026</v>
          </cell>
          <cell r="BR292">
            <v>30205897.660999998</v>
          </cell>
          <cell r="BS292">
            <v>-7325876.5370000005</v>
          </cell>
          <cell r="BT292">
            <v>-7325876.7230000002</v>
          </cell>
          <cell r="BU292">
            <v>0.18600000017812701</v>
          </cell>
          <cell r="BV292">
            <v>6905629.3899999997</v>
          </cell>
          <cell r="BW292">
            <v>0</v>
          </cell>
          <cell r="BX292">
            <v>30626144.807999998</v>
          </cell>
          <cell r="BZ292">
            <v>-70600289.609951988</v>
          </cell>
          <cell r="CA292">
            <v>-157649366.64995199</v>
          </cell>
          <cell r="CB292">
            <v>70600289.278999999</v>
          </cell>
          <cell r="CC292">
            <v>93882640.738000005</v>
          </cell>
          <cell r="CD292">
            <v>121576213.398</v>
          </cell>
          <cell r="CE292">
            <v>54830607.429000005</v>
          </cell>
          <cell r="CF292">
            <v>45954000.343999997</v>
          </cell>
          <cell r="CG292">
            <v>20791605.625</v>
          </cell>
          <cell r="CH292">
            <v>-27490425.817000005</v>
          </cell>
          <cell r="CI292">
            <v>-203146.84299999985</v>
          </cell>
          <cell r="CJ292">
            <v>-23282351.459000003</v>
          </cell>
          <cell r="CK292">
            <v>-30218404.541000001</v>
          </cell>
          <cell r="CL292">
            <v>-38262296.880999997</v>
          </cell>
          <cell r="CM292">
            <v>1335503.118999999</v>
          </cell>
          <cell r="CN292">
            <v>10114000</v>
          </cell>
          <cell r="CO292">
            <v>-8778496.881000001</v>
          </cell>
          <cell r="CP292">
            <v>-39597800</v>
          </cell>
          <cell r="CQ292">
            <v>0</v>
          </cell>
          <cell r="CR292">
            <v>0</v>
          </cell>
          <cell r="CS292">
            <v>138300</v>
          </cell>
          <cell r="CT292">
            <v>0</v>
          </cell>
          <cell r="CU292">
            <v>-39736100</v>
          </cell>
          <cell r="CV292">
            <v>-19223857.399</v>
          </cell>
          <cell r="CW292">
            <v>0</v>
          </cell>
          <cell r="CX292">
            <v>6971310.2760000005</v>
          </cell>
          <cell r="CY292">
            <v>0</v>
          </cell>
          <cell r="CZ292">
            <v>7004492.057</v>
          </cell>
          <cell r="DA292">
            <v>-700000</v>
          </cell>
          <cell r="DB292">
            <v>-1295507.943</v>
          </cell>
          <cell r="DC292">
            <v>9000000</v>
          </cell>
          <cell r="DD292">
            <v>-33181.78099999993</v>
          </cell>
          <cell r="DE292">
            <v>1072582.0639999975</v>
          </cell>
          <cell r="DF292">
            <v>0</v>
          </cell>
          <cell r="DG292">
            <v>-2326235.6920000017</v>
          </cell>
          <cell r="DH292">
            <v>3398817.7559999991</v>
          </cell>
          <cell r="DI292">
            <v>6936053.0819999995</v>
          </cell>
          <cell r="DJ292">
            <v>14250000</v>
          </cell>
          <cell r="DK292">
            <v>0</v>
          </cell>
          <cell r="DL292">
            <v>0</v>
          </cell>
          <cell r="DM292">
            <v>0</v>
          </cell>
          <cell r="DN292">
            <v>0</v>
          </cell>
          <cell r="DO292" t="str">
            <v/>
          </cell>
          <cell r="DP292">
            <v>-8186296.3840000005</v>
          </cell>
          <cell r="DQ292">
            <v>-986396.82</v>
          </cell>
          <cell r="DR292">
            <v>872349.46600000025</v>
          </cell>
          <cell r="DS292" t="str">
            <v/>
          </cell>
          <cell r="DT292">
            <v>0.330951988697052</v>
          </cell>
          <cell r="DU292">
            <v>65448009.513000011</v>
          </cell>
          <cell r="DV292">
            <v>48776962.717000008</v>
          </cell>
          <cell r="DW292">
            <v>16671046.796</v>
          </cell>
          <cell r="DX292">
            <v>25097525.327</v>
          </cell>
          <cell r="DY292">
            <v>21286536.899999999</v>
          </cell>
          <cell r="DZ292">
            <v>3810988.4270000001</v>
          </cell>
          <cell r="EA292">
            <v>40350484.186000004</v>
          </cell>
          <cell r="EB292">
            <v>27490425.817000005</v>
          </cell>
          <cell r="EC292">
            <v>12860058.368999999</v>
          </cell>
          <cell r="EF292">
            <v>12</v>
          </cell>
        </row>
        <row r="293">
          <cell r="E293">
            <v>37695.25</v>
          </cell>
          <cell r="F293">
            <v>76170017.044</v>
          </cell>
          <cell r="G293">
            <v>58876773.158</v>
          </cell>
          <cell r="H293">
            <v>58876727.598999999</v>
          </cell>
          <cell r="I293">
            <v>56051090.424000002</v>
          </cell>
          <cell r="J293">
            <v>10625839.772999998</v>
          </cell>
          <cell r="K293">
            <v>3888324.0669999998</v>
          </cell>
          <cell r="L293">
            <v>896702.02499999991</v>
          </cell>
          <cell r="M293">
            <v>344001.87899999996</v>
          </cell>
          <cell r="N293">
            <v>33830492.464000002</v>
          </cell>
          <cell r="O293">
            <v>24206692.747000001</v>
          </cell>
          <cell r="P293">
            <v>4082545.7010000004</v>
          </cell>
          <cell r="Q293">
            <v>5541254.015999997</v>
          </cell>
          <cell r="R293">
            <v>9694868.9129999988</v>
          </cell>
          <cell r="S293">
            <v>9153059.2419999987</v>
          </cell>
          <cell r="T293">
            <v>364178.83100000001</v>
          </cell>
          <cell r="U293">
            <v>177630.84</v>
          </cell>
          <cell r="V293">
            <v>0</v>
          </cell>
          <cell r="W293">
            <v>659185.37</v>
          </cell>
          <cell r="X293">
            <v>2825637.1749999998</v>
          </cell>
          <cell r="Y293">
            <v>248578.848</v>
          </cell>
          <cell r="Z293">
            <v>1908661.7930000001</v>
          </cell>
          <cell r="AA293">
            <v>181178.25200000001</v>
          </cell>
          <cell r="AB293">
            <v>216442.49900000001</v>
          </cell>
          <cell r="AC293">
            <v>270775.78300000005</v>
          </cell>
          <cell r="AD293">
            <v>45.558999999995649</v>
          </cell>
          <cell r="AE293">
            <v>17293243.886000004</v>
          </cell>
          <cell r="AF293">
            <v>14041094.354000002</v>
          </cell>
          <cell r="AG293">
            <v>3252149.5320000001</v>
          </cell>
          <cell r="AH293">
            <v>115825065.502</v>
          </cell>
          <cell r="AI293">
            <v>81633531.59800002</v>
          </cell>
          <cell r="AJ293">
            <v>80380392.571000025</v>
          </cell>
          <cell r="AK293">
            <v>14597650.677999999</v>
          </cell>
          <cell r="AL293">
            <v>7875507.9670000002</v>
          </cell>
          <cell r="AM293">
            <v>57908681.669</v>
          </cell>
          <cell r="AN293">
            <v>3260447.8329999996</v>
          </cell>
          <cell r="AO293">
            <v>26707819.157000002</v>
          </cell>
          <cell r="AP293">
            <v>478928.12400000001</v>
          </cell>
          <cell r="AQ293">
            <v>12005515.833999999</v>
          </cell>
          <cell r="AR293">
            <v>1716867.9889999998</v>
          </cell>
          <cell r="AS293">
            <v>3519532.9380000001</v>
          </cell>
          <cell r="AT293">
            <v>1253139.027</v>
          </cell>
          <cell r="AU293">
            <v>2266393.9110000003</v>
          </cell>
          <cell r="AV293">
            <v>15675813.740000004</v>
          </cell>
          <cell r="AW293" t="str">
            <v/>
          </cell>
          <cell r="AX293">
            <v>0</v>
          </cell>
          <cell r="AY293">
            <v>2430867.5520000001</v>
          </cell>
          <cell r="AZ293">
            <v>55925.903000000006</v>
          </cell>
          <cell r="BA293">
            <v>3348744.0939999996</v>
          </cell>
          <cell r="BB293">
            <v>51944399.108999997</v>
          </cell>
          <cell r="BC293">
            <v>19970700.524999999</v>
          </cell>
          <cell r="BD293">
            <v>5174701.7110000001</v>
          </cell>
          <cell r="BE293" t="str">
            <v/>
          </cell>
          <cell r="BF293">
            <v>48558.591</v>
          </cell>
          <cell r="BG293">
            <v>0</v>
          </cell>
          <cell r="BH293">
            <v>31925139.993000001</v>
          </cell>
          <cell r="BI293">
            <v>14041094.354000002</v>
          </cell>
          <cell r="BJ293">
            <v>17884045.638999999</v>
          </cell>
          <cell r="BK293">
            <v>5971984.7239999995</v>
          </cell>
          <cell r="BL293">
            <v>-413049.34299999999</v>
          </cell>
          <cell r="BM293">
            <v>6385034.0669999998</v>
          </cell>
          <cell r="BN293">
            <v>-39655048.458000004</v>
          </cell>
          <cell r="BO293">
            <v>-56948292.344000012</v>
          </cell>
          <cell r="BP293">
            <v>-53428759.406000011</v>
          </cell>
          <cell r="BQ293">
            <v>-25023152.351000004</v>
          </cell>
          <cell r="BR293">
            <v>4082307.6570000015</v>
          </cell>
          <cell r="BS293">
            <v>1680754.6310000001</v>
          </cell>
          <cell r="BT293">
            <v>1680754.6310000001</v>
          </cell>
          <cell r="BU293">
            <v>0</v>
          </cell>
          <cell r="BV293">
            <v>10650592.116</v>
          </cell>
          <cell r="BW293" t="str">
            <v/>
          </cell>
          <cell r="BX293">
            <v>-8249039.0899999999</v>
          </cell>
          <cell r="BZ293">
            <v>-35572740.800999999</v>
          </cell>
          <cell r="CA293">
            <v>-52865984.687000006</v>
          </cell>
          <cell r="CB293">
            <v>35572741.018999994</v>
          </cell>
          <cell r="CC293">
            <v>17358813.344000001</v>
          </cell>
          <cell r="CD293">
            <v>22058240.919</v>
          </cell>
          <cell r="CE293">
            <v>17884045.638999999</v>
          </cell>
          <cell r="CF293">
            <v>0</v>
          </cell>
          <cell r="CG293">
            <v>4174195.28</v>
          </cell>
          <cell r="CH293">
            <v>-4699427.5750000002</v>
          </cell>
          <cell r="CI293">
            <v>0</v>
          </cell>
          <cell r="CJ293">
            <v>18213927.674999997</v>
          </cell>
          <cell r="CK293">
            <v>21495456.925999999</v>
          </cell>
          <cell r="CL293">
            <v>23176292.614</v>
          </cell>
          <cell r="CM293">
            <v>-1767307.3859999999</v>
          </cell>
          <cell r="CN293">
            <v>0</v>
          </cell>
          <cell r="CO293">
            <v>-1767307.3859999999</v>
          </cell>
          <cell r="CP293">
            <v>24943600</v>
          </cell>
          <cell r="CQ293">
            <v>0</v>
          </cell>
          <cell r="CR293">
            <v>0</v>
          </cell>
          <cell r="CS293">
            <v>-723600</v>
          </cell>
          <cell r="CT293">
            <v>0</v>
          </cell>
          <cell r="CU293">
            <v>25667200</v>
          </cell>
          <cell r="CV293">
            <v>0</v>
          </cell>
          <cell r="CW293">
            <v>0</v>
          </cell>
          <cell r="CX293">
            <v>-38359.569999999971</v>
          </cell>
          <cell r="CY293">
            <v>-32892.743999999999</v>
          </cell>
          <cell r="CZ293">
            <v>0</v>
          </cell>
          <cell r="DA293">
            <v>0</v>
          </cell>
          <cell r="DB293">
            <v>0</v>
          </cell>
          <cell r="DC293">
            <v>0</v>
          </cell>
          <cell r="DD293">
            <v>-5466.8259999999718</v>
          </cell>
          <cell r="DE293">
            <v>-1642476.1179999989</v>
          </cell>
          <cell r="DF293">
            <v>0</v>
          </cell>
          <cell r="DG293">
            <v>-604003.69799999893</v>
          </cell>
          <cell r="DH293">
            <v>-1038472.42</v>
          </cell>
          <cell r="DI293">
            <v>-3281529.2510000002</v>
          </cell>
          <cell r="DJ293">
            <v>0</v>
          </cell>
          <cell r="DK293">
            <v>0</v>
          </cell>
          <cell r="DL293">
            <v>0</v>
          </cell>
          <cell r="DM293">
            <v>0</v>
          </cell>
          <cell r="DN293">
            <v>0</v>
          </cell>
          <cell r="DO293" t="str">
            <v/>
          </cell>
          <cell r="DP293">
            <v>-3281529.2510000002</v>
          </cell>
          <cell r="DQ293">
            <v>-246599.20500000002</v>
          </cell>
          <cell r="DR293">
            <v>0</v>
          </cell>
          <cell r="DS293" t="str">
            <v/>
          </cell>
          <cell r="DT293">
            <v>-0.21799999475479126</v>
          </cell>
          <cell r="DU293" t="str">
            <v/>
          </cell>
          <cell r="DV293" t="str">
            <v/>
          </cell>
          <cell r="DW293">
            <v>3519532.9380000001</v>
          </cell>
          <cell r="DX293" t="str">
            <v/>
          </cell>
          <cell r="DY293" t="str">
            <v/>
          </cell>
          <cell r="DZ293">
            <v>1253139.027</v>
          </cell>
          <cell r="EA293">
            <v>6965821.4860000005</v>
          </cell>
          <cell r="EB293">
            <v>4699427.5750000002</v>
          </cell>
          <cell r="EC293">
            <v>2266393.9110000003</v>
          </cell>
          <cell r="EF293">
            <v>13</v>
          </cell>
        </row>
        <row r="294">
          <cell r="E294">
            <v>37786.5625</v>
          </cell>
          <cell r="F294">
            <v>197104450.28000003</v>
          </cell>
          <cell r="G294">
            <v>146136388.22900003</v>
          </cell>
          <cell r="H294">
            <v>146091730.01400003</v>
          </cell>
          <cell r="I294">
            <v>135156260.87600002</v>
          </cell>
          <cell r="J294">
            <v>36634940.743000001</v>
          </cell>
          <cell r="K294">
            <v>22299030.910000004</v>
          </cell>
          <cell r="L294">
            <v>1679221.3089999999</v>
          </cell>
          <cell r="M294">
            <v>835659.57499999995</v>
          </cell>
          <cell r="N294">
            <v>73448069.218999997</v>
          </cell>
          <cell r="O294">
            <v>52422781.769000001</v>
          </cell>
          <cell r="P294">
            <v>8533800.9360000007</v>
          </cell>
          <cell r="Q294">
            <v>12491486.513999995</v>
          </cell>
          <cell r="R294">
            <v>21137979.348000001</v>
          </cell>
          <cell r="S294">
            <v>19562597.039999999</v>
          </cell>
          <cell r="T294">
            <v>805772.87699999998</v>
          </cell>
          <cell r="U294">
            <v>769609.43099999998</v>
          </cell>
          <cell r="V294">
            <v>421856</v>
          </cell>
          <cell r="W294">
            <v>1420390.682</v>
          </cell>
          <cell r="X294">
            <v>10935469.138</v>
          </cell>
          <cell r="Y294">
            <v>796218.26099999994</v>
          </cell>
          <cell r="Z294">
            <v>4280900.05</v>
          </cell>
          <cell r="AA294">
            <v>533596.82200000004</v>
          </cell>
          <cell r="AB294">
            <v>3174247.4479999999</v>
          </cell>
          <cell r="AC294">
            <v>2150506.5569999996</v>
          </cell>
          <cell r="AD294">
            <v>44658.215000000026</v>
          </cell>
          <cell r="AE294">
            <v>50968062.050999999</v>
          </cell>
          <cell r="AF294">
            <v>31149438.056000002</v>
          </cell>
          <cell r="AG294">
            <v>19818623.995000001</v>
          </cell>
          <cell r="AH294">
            <v>255928958.70409</v>
          </cell>
          <cell r="AI294">
            <v>185701589.10800001</v>
          </cell>
          <cell r="AJ294">
            <v>181401177.07700002</v>
          </cell>
          <cell r="AK294">
            <v>33125451.272999998</v>
          </cell>
          <cell r="AL294">
            <v>13848580.768999999</v>
          </cell>
          <cell r="AM294">
            <v>128233897.62108999</v>
          </cell>
          <cell r="AN294">
            <v>6973777.6009999989</v>
          </cell>
          <cell r="AO294">
            <v>53725020.122999996</v>
          </cell>
          <cell r="AP294">
            <v>778471.12400000007</v>
          </cell>
          <cell r="AQ294">
            <v>28175069.482999995</v>
          </cell>
          <cell r="AR294">
            <v>4435603.7230000002</v>
          </cell>
          <cell r="AS294">
            <v>9999561.74309</v>
          </cell>
          <cell r="AT294">
            <v>4300412.0310000004</v>
          </cell>
          <cell r="AU294">
            <v>5699149.7120900005</v>
          </cell>
          <cell r="AV294">
            <v>36334246.272000007</v>
          </cell>
          <cell r="AW294" t="str">
            <v/>
          </cell>
          <cell r="AX294">
            <v>0</v>
          </cell>
          <cell r="AY294">
            <v>6198996.852</v>
          </cell>
          <cell r="AZ294">
            <v>453781.00599999999</v>
          </cell>
          <cell r="BA294">
            <v>7519365.2199999997</v>
          </cell>
          <cell r="BB294">
            <v>112559636.47499999</v>
          </cell>
          <cell r="BC294">
            <v>47011195.055</v>
          </cell>
          <cell r="BD294">
            <v>9523951.5269999988</v>
          </cell>
          <cell r="BE294" t="str">
            <v/>
          </cell>
          <cell r="BF294">
            <v>1020221.536</v>
          </cell>
          <cell r="BG294">
            <v>0</v>
          </cell>
          <cell r="BH294">
            <v>64528219.884000003</v>
          </cell>
          <cell r="BI294">
            <v>31149438.056000002</v>
          </cell>
          <cell r="BJ294">
            <v>33378781.828000002</v>
          </cell>
          <cell r="BK294">
            <v>15135424.607999999</v>
          </cell>
          <cell r="BL294">
            <v>-1488594.46</v>
          </cell>
          <cell r="BM294">
            <v>16624019.067999998</v>
          </cell>
          <cell r="BN294">
            <v>-58824508.424089968</v>
          </cell>
          <cell r="BO294">
            <v>-109792570.47508997</v>
          </cell>
          <cell r="BP294">
            <v>-99793008.731999964</v>
          </cell>
          <cell r="BQ294">
            <v>-45264350.591089964</v>
          </cell>
          <cell r="BR294">
            <v>10963419.335000001</v>
          </cell>
          <cell r="BS294">
            <v>2830841.55</v>
          </cell>
          <cell r="BT294">
            <v>2830841.55</v>
          </cell>
          <cell r="BU294">
            <v>0</v>
          </cell>
          <cell r="BV294">
            <v>9256967.5179999992</v>
          </cell>
          <cell r="BW294" t="str">
            <v/>
          </cell>
          <cell r="BX294">
            <v>-1124389.733</v>
          </cell>
          <cell r="BZ294">
            <v>-47861089.089089967</v>
          </cell>
          <cell r="CA294">
            <v>-98829151.140089959</v>
          </cell>
          <cell r="CB294">
            <v>47861089.043172002</v>
          </cell>
          <cell r="CC294">
            <v>32416501.814172</v>
          </cell>
          <cell r="CD294">
            <v>44637311.438000001</v>
          </cell>
          <cell r="CE294">
            <v>33378781.828000002</v>
          </cell>
          <cell r="CF294">
            <v>0</v>
          </cell>
          <cell r="CG294">
            <v>11258529.609999999</v>
          </cell>
          <cell r="CH294">
            <v>-12220774.339</v>
          </cell>
          <cell r="CI294">
            <v>-35.284828000000019</v>
          </cell>
          <cell r="CJ294">
            <v>15444587.229000002</v>
          </cell>
          <cell r="CK294">
            <v>-798042.78799999785</v>
          </cell>
          <cell r="CL294">
            <v>1775575.977</v>
          </cell>
          <cell r="CM294">
            <v>-2187452.0750000002</v>
          </cell>
          <cell r="CN294">
            <v>2756000</v>
          </cell>
          <cell r="CO294">
            <v>-4943452.0750000002</v>
          </cell>
          <cell r="CP294">
            <v>3963028.0520000001</v>
          </cell>
          <cell r="CQ294">
            <v>-1488471.9479999999</v>
          </cell>
          <cell r="CR294">
            <v>-747000</v>
          </cell>
          <cell r="CS294">
            <v>-1064600</v>
          </cell>
          <cell r="CT294">
            <v>0</v>
          </cell>
          <cell r="CU294">
            <v>7263100</v>
          </cell>
          <cell r="CV294">
            <v>-9374600</v>
          </cell>
          <cell r="CW294">
            <v>0</v>
          </cell>
          <cell r="CX294">
            <v>-625919.47000000009</v>
          </cell>
          <cell r="CY294">
            <v>-65785.487999999998</v>
          </cell>
          <cell r="CZ294">
            <v>-803846.1540000001</v>
          </cell>
          <cell r="DA294">
            <v>-350000</v>
          </cell>
          <cell r="DB294">
            <v>-453846.15400000004</v>
          </cell>
          <cell r="DC294">
            <v>0</v>
          </cell>
          <cell r="DD294">
            <v>243712.17199999999</v>
          </cell>
          <cell r="DE294">
            <v>-1947699.2949999976</v>
          </cell>
          <cell r="DF294">
            <v>0</v>
          </cell>
          <cell r="DG294">
            <v>-1208007.3959999979</v>
          </cell>
          <cell r="DH294">
            <v>-739691.89899999974</v>
          </cell>
          <cell r="DI294">
            <v>16242630.017000001</v>
          </cell>
          <cell r="DJ294">
            <v>21000000</v>
          </cell>
          <cell r="DK294">
            <v>0</v>
          </cell>
          <cell r="DL294">
            <v>0</v>
          </cell>
          <cell r="DM294">
            <v>44250000</v>
          </cell>
          <cell r="DN294">
            <v>-23250000</v>
          </cell>
          <cell r="DO294" t="str">
            <v/>
          </cell>
          <cell r="DP294">
            <v>-4757369.983</v>
          </cell>
          <cell r="DQ294">
            <v>-493198.41</v>
          </cell>
          <cell r="DR294">
            <v>0</v>
          </cell>
          <cell r="DS294" t="str">
            <v/>
          </cell>
          <cell r="DT294">
            <v>4.5917965471744537E-2</v>
          </cell>
          <cell r="DU294" t="str">
            <v/>
          </cell>
          <cell r="DV294" t="str">
            <v/>
          </cell>
          <cell r="DW294">
            <v>9999561.74309</v>
          </cell>
          <cell r="DX294" t="str">
            <v/>
          </cell>
          <cell r="DY294" t="str">
            <v/>
          </cell>
          <cell r="DZ294">
            <v>4300412.0310000004</v>
          </cell>
          <cell r="EA294">
            <v>17919924.051090002</v>
          </cell>
          <cell r="EB294">
            <v>12220774.339</v>
          </cell>
          <cell r="EC294">
            <v>5699149.7120900005</v>
          </cell>
          <cell r="EF294">
            <v>14</v>
          </cell>
        </row>
        <row r="295">
          <cell r="E295">
            <v>37877.875</v>
          </cell>
          <cell r="F295">
            <v>303650725.70099998</v>
          </cell>
          <cell r="G295">
            <v>223034713.93099996</v>
          </cell>
          <cell r="H295">
            <v>222963517.72899997</v>
          </cell>
          <cell r="I295">
            <v>203323247.68299997</v>
          </cell>
          <cell r="J295">
            <v>52401239.658</v>
          </cell>
          <cell r="K295">
            <v>29245609.761000004</v>
          </cell>
          <cell r="L295">
            <v>2389150.7510000002</v>
          </cell>
          <cell r="M295">
            <v>1263672.51</v>
          </cell>
          <cell r="N295">
            <v>111895760.23599999</v>
          </cell>
          <cell r="O295">
            <v>81063589.592999995</v>
          </cell>
          <cell r="P295">
            <v>12929682.366</v>
          </cell>
          <cell r="Q295">
            <v>17902488.276999999</v>
          </cell>
          <cell r="R295">
            <v>33134625.413999997</v>
          </cell>
          <cell r="S295">
            <v>30549400.457999997</v>
          </cell>
          <cell r="T295">
            <v>1273597.2250000001</v>
          </cell>
          <cell r="U295">
            <v>1311627.7310000001</v>
          </cell>
          <cell r="V295">
            <v>721856</v>
          </cell>
          <cell r="W295">
            <v>2238799.1140000001</v>
          </cell>
          <cell r="X295">
            <v>19640270.046</v>
          </cell>
          <cell r="Y295">
            <v>1321333.6370000001</v>
          </cell>
          <cell r="Z295">
            <v>6502328.557</v>
          </cell>
          <cell r="AA295">
            <v>830313.20400000014</v>
          </cell>
          <cell r="AB295">
            <v>7548334.051</v>
          </cell>
          <cell r="AC295">
            <v>3437960.5969999996</v>
          </cell>
          <cell r="AD295">
            <v>71196.202000000019</v>
          </cell>
          <cell r="AE295">
            <v>80616011.770000011</v>
          </cell>
          <cell r="AF295">
            <v>46366387.774999999</v>
          </cell>
          <cell r="AG295">
            <v>34249623.995000005</v>
          </cell>
          <cell r="AH295">
            <v>389203368.38409007</v>
          </cell>
          <cell r="AI295">
            <v>282702038.87100005</v>
          </cell>
          <cell r="AJ295">
            <v>278578252.30600005</v>
          </cell>
          <cell r="AK295">
            <v>52912513.789999999</v>
          </cell>
          <cell r="AL295">
            <v>23209521.361000001</v>
          </cell>
          <cell r="AM295">
            <v>196396947.77309003</v>
          </cell>
          <cell r="AN295">
            <v>6973777.6009999989</v>
          </cell>
          <cell r="AO295">
            <v>82402840.082000017</v>
          </cell>
          <cell r="AP295">
            <v>778471.12400000007</v>
          </cell>
          <cell r="AQ295">
            <v>45137335.659999996</v>
          </cell>
          <cell r="AR295">
            <v>4481920.898</v>
          </cell>
          <cell r="AS295">
            <v>12577026.90209</v>
          </cell>
          <cell r="AT295">
            <v>4123786.5649999995</v>
          </cell>
          <cell r="AU295">
            <v>8453240.3370900005</v>
          </cell>
          <cell r="AV295">
            <v>56279745.129000008</v>
          </cell>
          <cell r="AW295" t="str">
            <v/>
          </cell>
          <cell r="AX295">
            <v>0</v>
          </cell>
          <cell r="AY295">
            <v>10743626.616</v>
          </cell>
          <cell r="AZ295">
            <v>640037.23099999991</v>
          </cell>
          <cell r="BA295">
            <v>9827582.2640000004</v>
          </cell>
          <cell r="BB295">
            <v>167873855.917</v>
          </cell>
          <cell r="BC295">
            <v>68569630.701999992</v>
          </cell>
          <cell r="BD295">
            <v>14943404.728999998</v>
          </cell>
          <cell r="BE295" t="str">
            <v/>
          </cell>
          <cell r="BF295">
            <v>1256136.0389999999</v>
          </cell>
          <cell r="BG295">
            <v>0</v>
          </cell>
          <cell r="BH295">
            <v>98048089.175999999</v>
          </cell>
          <cell r="BI295">
            <v>46366387.774999999</v>
          </cell>
          <cell r="BJ295">
            <v>51681701.401000001</v>
          </cell>
          <cell r="BK295">
            <v>24932564.693999998</v>
          </cell>
          <cell r="BL295">
            <v>-1820224.0719999999</v>
          </cell>
          <cell r="BM295">
            <v>26752788.765999999</v>
          </cell>
          <cell r="BN295">
            <v>-85552642.683090091</v>
          </cell>
          <cell r="BO295">
            <v>-166168654.4530901</v>
          </cell>
          <cell r="BP295">
            <v>-153591627.55100009</v>
          </cell>
          <cell r="BQ295">
            <v>-68120565.277090102</v>
          </cell>
          <cell r="BR295">
            <v>-4890235.0790000018</v>
          </cell>
          <cell r="BS295">
            <v>3156692.2169999997</v>
          </cell>
          <cell r="BT295">
            <v>3156692.2169999997</v>
          </cell>
          <cell r="BU295">
            <v>0</v>
          </cell>
          <cell r="BV295">
            <v>4782889.8679999998</v>
          </cell>
          <cell r="BW295" t="str">
            <v/>
          </cell>
          <cell r="BX295">
            <v>-12829817.164000001</v>
          </cell>
          <cell r="BZ295">
            <v>-90442877.762090087</v>
          </cell>
          <cell r="CA295">
            <v>-171058889.5320901</v>
          </cell>
          <cell r="CB295">
            <v>90442878.179450005</v>
          </cell>
          <cell r="CC295">
            <v>50794510.817450009</v>
          </cell>
          <cell r="CD295">
            <v>68961942.972000003</v>
          </cell>
          <cell r="CE295">
            <v>51681701.401000001</v>
          </cell>
          <cell r="CF295">
            <v>0</v>
          </cell>
          <cell r="CG295">
            <v>17280241.570999999</v>
          </cell>
          <cell r="CH295">
            <v>-18167382.710999999</v>
          </cell>
          <cell r="CI295">
            <v>-49.443549999999988</v>
          </cell>
          <cell r="CJ295">
            <v>39648367.362000003</v>
          </cell>
          <cell r="CK295">
            <v>24881578.077</v>
          </cell>
          <cell r="CL295">
            <v>15530774.464</v>
          </cell>
          <cell r="CM295">
            <v>-3631534.5319999997</v>
          </cell>
          <cell r="CN295">
            <v>2756000</v>
          </cell>
          <cell r="CO295">
            <v>-6387534.5319999997</v>
          </cell>
          <cell r="CP295">
            <v>19162308.995999999</v>
          </cell>
          <cell r="CQ295">
            <v>-2241091.0039999997</v>
          </cell>
          <cell r="CR295">
            <v>-747000</v>
          </cell>
          <cell r="CS295">
            <v>-961000</v>
          </cell>
          <cell r="CT295">
            <v>0</v>
          </cell>
          <cell r="CU295">
            <v>23111400</v>
          </cell>
          <cell r="CV295">
            <v>-5804900</v>
          </cell>
          <cell r="CW295">
            <v>0</v>
          </cell>
          <cell r="CX295">
            <v>11796050.351</v>
          </cell>
          <cell r="CY295">
            <v>-98678.231999999989</v>
          </cell>
          <cell r="CZ295">
            <v>11912782.617000001</v>
          </cell>
          <cell r="DA295">
            <v>-350000</v>
          </cell>
          <cell r="DB295">
            <v>-737217.38300000015</v>
          </cell>
          <cell r="DC295">
            <v>13000000</v>
          </cell>
          <cell r="DD295">
            <v>-18054.034000000014</v>
          </cell>
          <cell r="DE295">
            <v>-2445246.7379999962</v>
          </cell>
          <cell r="DF295">
            <v>0</v>
          </cell>
          <cell r="DG295">
            <v>-1812041.0939999968</v>
          </cell>
          <cell r="DH295">
            <v>-633205.64399999962</v>
          </cell>
          <cell r="DI295">
            <v>14766789.285</v>
          </cell>
          <cell r="DJ295">
            <v>21000000</v>
          </cell>
          <cell r="DK295">
            <v>0</v>
          </cell>
          <cell r="DL295">
            <v>0</v>
          </cell>
          <cell r="DM295">
            <v>44250000</v>
          </cell>
          <cell r="DN295">
            <v>-23250000</v>
          </cell>
          <cell r="DO295" t="str">
            <v/>
          </cell>
          <cell r="DP295">
            <v>-6233210.7149999999</v>
          </cell>
          <cell r="DQ295">
            <v>-825550.82700000005</v>
          </cell>
          <cell r="DR295">
            <v>0</v>
          </cell>
          <cell r="DS295" t="str">
            <v/>
          </cell>
          <cell r="DT295">
            <v>-0.41735991835594177</v>
          </cell>
          <cell r="DU295" t="str">
            <v/>
          </cell>
          <cell r="DV295" t="str">
            <v/>
          </cell>
          <cell r="DW295">
            <v>12577026.90209</v>
          </cell>
          <cell r="DX295" t="str">
            <v/>
          </cell>
          <cell r="DY295" t="str">
            <v/>
          </cell>
          <cell r="DZ295">
            <v>4123786.5649999995</v>
          </cell>
          <cell r="EA295">
            <v>26620623.04809</v>
          </cell>
          <cell r="EB295">
            <v>18167382.710999999</v>
          </cell>
          <cell r="EC295">
            <v>8453240.3370900005</v>
          </cell>
          <cell r="EF295">
            <v>15</v>
          </cell>
        </row>
        <row r="296">
          <cell r="E296">
            <v>37969.1875</v>
          </cell>
          <cell r="F296">
            <v>434623577.7529</v>
          </cell>
          <cell r="G296">
            <v>301292902.83090001</v>
          </cell>
          <cell r="H296">
            <v>301221706.62889999</v>
          </cell>
          <cell r="I296">
            <v>270392342.47890002</v>
          </cell>
          <cell r="J296">
            <v>67243940.286000013</v>
          </cell>
          <cell r="K296">
            <v>36459436.210000008</v>
          </cell>
          <cell r="L296">
            <v>3305064.9339999999</v>
          </cell>
          <cell r="M296">
            <v>1725080.9720000001</v>
          </cell>
          <cell r="N296">
            <v>147220343.28189999</v>
          </cell>
          <cell r="O296">
            <v>106507981.432</v>
          </cell>
          <cell r="P296">
            <v>17525637.162899997</v>
          </cell>
          <cell r="Q296">
            <v>23186724.687000003</v>
          </cell>
          <cell r="R296">
            <v>44110260.862000003</v>
          </cell>
          <cell r="S296">
            <v>40784539.213</v>
          </cell>
          <cell r="T296">
            <v>1704126.9280000003</v>
          </cell>
          <cell r="U296">
            <v>1621594.7209999999</v>
          </cell>
          <cell r="V296">
            <v>721856</v>
          </cell>
          <cell r="W296">
            <v>6787652.1430000002</v>
          </cell>
          <cell r="X296">
            <v>30829364.150000002</v>
          </cell>
          <cell r="Y296">
            <v>1642178.101</v>
          </cell>
          <cell r="Z296">
            <v>8712287.2230000012</v>
          </cell>
          <cell r="AA296">
            <v>1115439.3640000001</v>
          </cell>
          <cell r="AB296">
            <v>8660533.625</v>
          </cell>
          <cell r="AC296">
            <v>10698925.837000001</v>
          </cell>
          <cell r="AD296">
            <v>71196.202000000019</v>
          </cell>
          <cell r="AE296">
            <v>133330674.92200001</v>
          </cell>
          <cell r="AF296">
            <v>61775050.927000001</v>
          </cell>
          <cell r="AG296">
            <v>71555623.995000005</v>
          </cell>
          <cell r="AH296">
            <v>508274045.01669997</v>
          </cell>
          <cell r="AI296">
            <v>362306513.04499996</v>
          </cell>
          <cell r="AJ296">
            <v>357107587.14699996</v>
          </cell>
          <cell r="AK296">
            <v>85819221.656000003</v>
          </cell>
          <cell r="AL296">
            <v>31809963.614999998</v>
          </cell>
          <cell r="AM296">
            <v>257053028.65270001</v>
          </cell>
          <cell r="AN296">
            <v>9512206.8839999996</v>
          </cell>
          <cell r="AO296">
            <v>112531201.79100001</v>
          </cell>
          <cell r="AP296">
            <v>1675506.274</v>
          </cell>
          <cell r="AQ296">
            <v>56255191.573999994</v>
          </cell>
          <cell r="AR296">
            <v>5050603.9619999994</v>
          </cell>
          <cell r="AS296">
            <v>16785510.278700002</v>
          </cell>
          <cell r="AT296">
            <v>5198925.898</v>
          </cell>
          <cell r="AU296">
            <v>11586584.3807</v>
          </cell>
          <cell r="AV296">
            <v>71481125.009000003</v>
          </cell>
          <cell r="AW296" t="str">
            <v/>
          </cell>
          <cell r="AX296">
            <v>0</v>
          </cell>
          <cell r="AY296">
            <v>13540339.254000001</v>
          </cell>
          <cell r="AZ296">
            <v>1205693.233</v>
          </cell>
          <cell r="BA296">
            <v>12346245.091</v>
          </cell>
          <cell r="BB296">
            <v>227673891.28099996</v>
          </cell>
          <cell r="BC296">
            <v>91956807.650999993</v>
          </cell>
          <cell r="BD296">
            <v>19191601.005999997</v>
          </cell>
          <cell r="BE296" t="str">
            <v/>
          </cell>
          <cell r="BF296">
            <v>1336136.0389999999</v>
          </cell>
          <cell r="BG296">
            <v>0</v>
          </cell>
          <cell r="BH296">
            <v>134380947.59099996</v>
          </cell>
          <cell r="BI296">
            <v>61775050.926999994</v>
          </cell>
          <cell r="BJ296">
            <v>72605896.663999975</v>
          </cell>
          <cell r="BK296">
            <v>23547125.082999997</v>
          </cell>
          <cell r="BL296">
            <v>-1987388.7689999999</v>
          </cell>
          <cell r="BM296">
            <v>25534513.851999998</v>
          </cell>
          <cell r="BN296">
            <v>-73650467.263799965</v>
          </cell>
          <cell r="BO296">
            <v>-206981142.18579996</v>
          </cell>
          <cell r="BP296">
            <v>-190195631.90709996</v>
          </cell>
          <cell r="BQ296">
            <v>-72600194.594799995</v>
          </cell>
          <cell r="BR296">
            <v>-13694930.515000001</v>
          </cell>
          <cell r="BS296">
            <v>3963203.3530000006</v>
          </cell>
          <cell r="BT296">
            <v>3963203.3530000006</v>
          </cell>
          <cell r="BU296">
            <v>0</v>
          </cell>
          <cell r="BV296">
            <v>2069982.078</v>
          </cell>
          <cell r="BW296" t="str">
            <v/>
          </cell>
          <cell r="BX296">
            <v>-19728115.946000002</v>
          </cell>
          <cell r="BZ296">
            <v>-87345397.778799966</v>
          </cell>
          <cell r="CA296">
            <v>-220676072.70079997</v>
          </cell>
          <cell r="CB296">
            <v>87345397.58114998</v>
          </cell>
          <cell r="CC296">
            <v>83026813.070149973</v>
          </cell>
          <cell r="CD296">
            <v>109355819.66569997</v>
          </cell>
          <cell r="CE296">
            <v>72605896.663999975</v>
          </cell>
          <cell r="CF296">
            <v>12084000</v>
          </cell>
          <cell r="CG296">
            <v>24665923.001700003</v>
          </cell>
          <cell r="CH296">
            <v>-26328957.152000003</v>
          </cell>
          <cell r="CI296">
            <v>-49.443549999999988</v>
          </cell>
          <cell r="CJ296">
            <v>4318584.5110000055</v>
          </cell>
          <cell r="CK296">
            <v>8939594.3540000059</v>
          </cell>
          <cell r="CL296">
            <v>4689044.120000001</v>
          </cell>
          <cell r="CM296">
            <v>-6940983.932</v>
          </cell>
          <cell r="CN296">
            <v>2756000</v>
          </cell>
          <cell r="CO296">
            <v>-9696983.932</v>
          </cell>
          <cell r="CP296">
            <v>11630028.052000001</v>
          </cell>
          <cell r="CQ296">
            <v>-1482471.9479999999</v>
          </cell>
          <cell r="CR296">
            <v>-747000</v>
          </cell>
          <cell r="CS296">
            <v>-961000</v>
          </cell>
          <cell r="CT296">
            <v>0</v>
          </cell>
          <cell r="CU296">
            <v>14820500</v>
          </cell>
          <cell r="CV296">
            <v>2351900</v>
          </cell>
          <cell r="CW296">
            <v>0</v>
          </cell>
          <cell r="CX296">
            <v>6635766.8930000002</v>
          </cell>
          <cell r="CY296">
            <v>-65785.487999999983</v>
          </cell>
          <cell r="CZ296">
            <v>6716628.7709999997</v>
          </cell>
          <cell r="DA296">
            <v>0</v>
          </cell>
          <cell r="DB296">
            <v>-283371.22900000011</v>
          </cell>
          <cell r="DC296">
            <v>7000000</v>
          </cell>
          <cell r="DD296">
            <v>-15076.39</v>
          </cell>
          <cell r="DE296">
            <v>-2385216.6589999953</v>
          </cell>
          <cell r="DF296">
            <v>0</v>
          </cell>
          <cell r="DG296">
            <v>-2416044.7919999957</v>
          </cell>
          <cell r="DH296">
            <v>30828.13300000038</v>
          </cell>
          <cell r="DI296">
            <v>-4621009.8430000003</v>
          </cell>
          <cell r="DJ296">
            <v>6375000</v>
          </cell>
          <cell r="DK296">
            <v>0</v>
          </cell>
          <cell r="DL296">
            <v>0</v>
          </cell>
          <cell r="DM296">
            <v>35875000</v>
          </cell>
          <cell r="DN296">
            <v>-29500000</v>
          </cell>
          <cell r="DO296" t="str">
            <v/>
          </cell>
          <cell r="DP296">
            <v>-10996009.843</v>
          </cell>
          <cell r="DQ296">
            <v>-493198.41</v>
          </cell>
          <cell r="DR296">
            <v>0</v>
          </cell>
          <cell r="DS296" t="str">
            <v/>
          </cell>
          <cell r="DT296">
            <v>0.19764998555183411</v>
          </cell>
          <cell r="DU296">
            <v>71494118.084700003</v>
          </cell>
          <cell r="DV296">
            <v>54708607.806000002</v>
          </cell>
          <cell r="DW296">
            <v>16785510.278700002</v>
          </cell>
          <cell r="DX296">
            <v>33330279.038000003</v>
          </cell>
          <cell r="DY296">
            <v>28131353.140000001</v>
          </cell>
          <cell r="DZ296">
            <v>5198925.898</v>
          </cell>
          <cell r="EA296">
            <v>38163839.046700001</v>
          </cell>
          <cell r="EB296">
            <v>26577254.666000001</v>
          </cell>
          <cell r="EC296">
            <v>11586584.3807</v>
          </cell>
          <cell r="EF296">
            <v>16</v>
          </cell>
        </row>
        <row r="297">
          <cell r="E297">
            <v>38060.5</v>
          </cell>
          <cell r="F297">
            <v>89855252.669699997</v>
          </cell>
          <cell r="G297">
            <v>73925796.565699995</v>
          </cell>
          <cell r="H297">
            <v>73908609.140699998</v>
          </cell>
          <cell r="I297">
            <v>69166135.808699995</v>
          </cell>
          <cell r="J297">
            <v>11726128.2347</v>
          </cell>
          <cell r="K297">
            <v>4626957.7359999996</v>
          </cell>
          <cell r="L297">
            <v>1479962.05</v>
          </cell>
          <cell r="M297">
            <v>317061.22899999999</v>
          </cell>
          <cell r="N297">
            <v>41679634.041999996</v>
          </cell>
          <cell r="O297">
            <v>28914827.307999998</v>
          </cell>
          <cell r="P297">
            <v>5416872.7280000001</v>
          </cell>
          <cell r="Q297">
            <v>7347934.0059999935</v>
          </cell>
          <cell r="R297">
            <v>13397138.613</v>
          </cell>
          <cell r="S297">
            <v>10406718.004000001</v>
          </cell>
          <cell r="T297">
            <v>1108917.382</v>
          </cell>
          <cell r="U297">
            <v>1881503.227</v>
          </cell>
          <cell r="V297">
            <v>1815168.3640000001</v>
          </cell>
          <cell r="W297">
            <v>566211.64</v>
          </cell>
          <cell r="X297">
            <v>4742473.3320000004</v>
          </cell>
          <cell r="Y297">
            <v>117526.77299999999</v>
          </cell>
          <cell r="Z297">
            <v>2081270.4610000001</v>
          </cell>
          <cell r="AA297">
            <v>248381.1</v>
          </cell>
          <cell r="AB297">
            <v>107476.77799999999</v>
          </cell>
          <cell r="AC297">
            <v>2187818.2200000002</v>
          </cell>
          <cell r="AD297">
            <v>17187.424999999999</v>
          </cell>
          <cell r="AE297">
            <v>15929456.104000002</v>
          </cell>
          <cell r="AF297">
            <v>14289456.104000002</v>
          </cell>
          <cell r="AG297">
            <v>1640000</v>
          </cell>
          <cell r="AH297">
            <v>124624235.993</v>
          </cell>
          <cell r="AI297">
            <v>88393789.295999989</v>
          </cell>
          <cell r="AJ297">
            <v>85912751.665999994</v>
          </cell>
          <cell r="AK297">
            <v>20340844.807</v>
          </cell>
          <cell r="AL297">
            <v>8484547.4949999992</v>
          </cell>
          <cell r="AM297">
            <v>75477319.495999992</v>
          </cell>
          <cell r="AN297">
            <v>991.2</v>
          </cell>
          <cell r="AO297">
            <v>37126517.211999997</v>
          </cell>
          <cell r="AP297">
            <v>991.2</v>
          </cell>
          <cell r="AQ297">
            <v>14271498.021</v>
          </cell>
          <cell r="AR297">
            <v>0</v>
          </cell>
          <cell r="AS297">
            <v>4723436.0070000002</v>
          </cell>
          <cell r="AT297">
            <v>2481037.63</v>
          </cell>
          <cell r="AU297">
            <v>2242398.3770000003</v>
          </cell>
          <cell r="AV297">
            <v>19355868.256000001</v>
          </cell>
          <cell r="AW297" t="str">
            <v/>
          </cell>
          <cell r="AX297">
            <v>0</v>
          </cell>
          <cell r="AY297">
            <v>2705253.5980000002</v>
          </cell>
          <cell r="AZ297">
            <v>221178.57</v>
          </cell>
          <cell r="BA297">
            <v>2168419.659</v>
          </cell>
          <cell r="BB297">
            <v>49741647.309999995</v>
          </cell>
          <cell r="BC297">
            <v>15722638.989999996</v>
          </cell>
          <cell r="BD297">
            <v>5440500.8829999994</v>
          </cell>
          <cell r="BE297" t="str">
            <v/>
          </cell>
          <cell r="BF297">
            <v>30960</v>
          </cell>
          <cell r="BG297">
            <v>0</v>
          </cell>
          <cell r="BH297">
            <v>33988048.32</v>
          </cell>
          <cell r="BI297">
            <v>14289456.104000002</v>
          </cell>
          <cell r="BJ297">
            <v>19698592.215999998</v>
          </cell>
          <cell r="BK297">
            <v>-594730.81300000008</v>
          </cell>
          <cell r="BL297">
            <v>-471058.21500000003</v>
          </cell>
          <cell r="BM297">
            <v>-123672.598</v>
          </cell>
          <cell r="BN297">
            <v>-34768983.323300004</v>
          </cell>
          <cell r="BO297">
            <v>-50698439.427300006</v>
          </cell>
          <cell r="BP297">
            <v>-45975003.420300007</v>
          </cell>
          <cell r="BQ297">
            <v>-16710391.107300013</v>
          </cell>
          <cell r="BR297">
            <v>-865347.84800000116</v>
          </cell>
          <cell r="BS297">
            <v>182634.20899999957</v>
          </cell>
          <cell r="BT297">
            <v>182634.20899999957</v>
          </cell>
          <cell r="BU297">
            <v>0</v>
          </cell>
          <cell r="BV297">
            <v>-15375278.870000001</v>
          </cell>
          <cell r="BW297">
            <v>0</v>
          </cell>
          <cell r="BX297">
            <v>14327296.813000001</v>
          </cell>
          <cell r="BZ297">
            <v>-35634331.171300009</v>
          </cell>
          <cell r="CA297">
            <v>-51563787.275300011</v>
          </cell>
          <cell r="CB297">
            <v>35634331.033999994</v>
          </cell>
          <cell r="CC297">
            <v>26142151.419</v>
          </cell>
          <cell r="CD297">
            <v>32175362.636</v>
          </cell>
          <cell r="CE297">
            <v>19698592.215999998</v>
          </cell>
          <cell r="CF297">
            <v>7679000</v>
          </cell>
          <cell r="CG297">
            <v>4797770.42</v>
          </cell>
          <cell r="CH297">
            <v>-5920815.756000001</v>
          </cell>
          <cell r="CI297">
            <v>-112395.46099999998</v>
          </cell>
          <cell r="CJ297">
            <v>9492179.6149999984</v>
          </cell>
          <cell r="CK297">
            <v>10518020.346999999</v>
          </cell>
          <cell r="CL297">
            <v>11633463.941</v>
          </cell>
          <cell r="CM297">
            <v>-2280485.3830000004</v>
          </cell>
          <cell r="CN297">
            <v>0</v>
          </cell>
          <cell r="CO297">
            <v>-2280485.3830000004</v>
          </cell>
          <cell r="CP297">
            <v>13913949.323999999</v>
          </cell>
          <cell r="CQ297">
            <v>0</v>
          </cell>
          <cell r="CR297">
            <v>-763950.67600000021</v>
          </cell>
          <cell r="CS297">
            <v>-765900</v>
          </cell>
          <cell r="CT297">
            <v>0</v>
          </cell>
          <cell r="CU297">
            <v>15443800</v>
          </cell>
          <cell r="CV297">
            <v>8588400</v>
          </cell>
          <cell r="CW297">
            <v>0</v>
          </cell>
          <cell r="CX297">
            <v>-15390.777999999998</v>
          </cell>
          <cell r="CY297">
            <v>-32892.743999999999</v>
          </cell>
          <cell r="CZ297">
            <v>0</v>
          </cell>
          <cell r="DA297">
            <v>0</v>
          </cell>
          <cell r="DB297">
            <v>0</v>
          </cell>
          <cell r="DC297">
            <v>0</v>
          </cell>
          <cell r="DD297">
            <v>17501.966</v>
          </cell>
          <cell r="DE297">
            <v>-1100052.8159999989</v>
          </cell>
          <cell r="DF297">
            <v>0</v>
          </cell>
          <cell r="DG297">
            <v>-604003.69799999893</v>
          </cell>
          <cell r="DH297">
            <v>-496049.11800000002</v>
          </cell>
          <cell r="DI297">
            <v>-1025840.732</v>
          </cell>
          <cell r="DJ297">
            <v>0</v>
          </cell>
          <cell r="DK297">
            <v>0</v>
          </cell>
          <cell r="DL297">
            <v>0</v>
          </cell>
          <cell r="DM297">
            <v>0</v>
          </cell>
          <cell r="DN297">
            <v>0</v>
          </cell>
          <cell r="DO297" t="str">
            <v/>
          </cell>
          <cell r="DP297">
            <v>-1025840.732</v>
          </cell>
          <cell r="DQ297">
            <v>-246599.20500000002</v>
          </cell>
          <cell r="DR297">
            <v>0</v>
          </cell>
          <cell r="DS297" t="str">
            <v/>
          </cell>
          <cell r="DT297">
            <v>0.13730001449584961</v>
          </cell>
          <cell r="DU297" t="str">
            <v/>
          </cell>
          <cell r="DV297" t="str">
            <v/>
          </cell>
          <cell r="DW297">
            <v>4723436.0070000002</v>
          </cell>
          <cell r="DX297" t="str">
            <v/>
          </cell>
          <cell r="DY297" t="str">
            <v/>
          </cell>
          <cell r="DZ297">
            <v>2481037.63</v>
          </cell>
          <cell r="EA297">
            <v>8163214.1330000013</v>
          </cell>
          <cell r="EB297">
            <v>5920815.756000001</v>
          </cell>
          <cell r="EC297">
            <v>2242398.3770000003</v>
          </cell>
          <cell r="EF297">
            <v>17</v>
          </cell>
        </row>
        <row r="298">
          <cell r="E298">
            <v>38151.8125</v>
          </cell>
          <cell r="F298">
            <v>227884250.3617</v>
          </cell>
          <cell r="G298">
            <v>174556600.1717</v>
          </cell>
          <cell r="H298">
            <v>174539166.74669999</v>
          </cell>
          <cell r="I298">
            <v>162623368.21869999</v>
          </cell>
          <cell r="J298">
            <v>43122778.081699997</v>
          </cell>
          <cell r="K298">
            <v>26856084.780000001</v>
          </cell>
          <cell r="L298">
            <v>2368650.0779999997</v>
          </cell>
          <cell r="M298">
            <v>801020.62700000009</v>
          </cell>
          <cell r="N298">
            <v>86789896.549999997</v>
          </cell>
          <cell r="O298">
            <v>60542260.605999991</v>
          </cell>
          <cell r="P298">
            <v>11134347.488</v>
          </cell>
          <cell r="Q298">
            <v>15113288.455999997</v>
          </cell>
          <cell r="R298">
            <v>28213980.858999997</v>
          </cell>
          <cell r="S298">
            <v>22646080.881999999</v>
          </cell>
          <cell r="T298">
            <v>2362857.4409999996</v>
          </cell>
          <cell r="U298">
            <v>3205042.5360000003</v>
          </cell>
          <cell r="V298">
            <v>3069980.7280000001</v>
          </cell>
          <cell r="W298">
            <v>1327042.0230000003</v>
          </cell>
          <cell r="X298">
            <v>11915798.528000001</v>
          </cell>
          <cell r="Y298">
            <v>238030.68099999998</v>
          </cell>
          <cell r="Z298">
            <v>4624245.2450000001</v>
          </cell>
          <cell r="AA298">
            <v>529043.40399999998</v>
          </cell>
          <cell r="AB298">
            <v>2960385.51</v>
          </cell>
          <cell r="AC298">
            <v>3564093.6880000001</v>
          </cell>
          <cell r="AD298">
            <v>17433.424999999999</v>
          </cell>
          <cell r="AE298">
            <v>53327650.189999998</v>
          </cell>
          <cell r="AF298">
            <v>37424650.189999998</v>
          </cell>
          <cell r="AG298">
            <v>15903000</v>
          </cell>
          <cell r="AH298">
            <v>276048248.81800002</v>
          </cell>
          <cell r="AI298">
            <v>195862769.54899999</v>
          </cell>
          <cell r="AJ298">
            <v>191759568.836</v>
          </cell>
          <cell r="AK298">
            <v>47543361.294</v>
          </cell>
          <cell r="AL298">
            <v>17304675.666000001</v>
          </cell>
          <cell r="AM298">
            <v>141597542.301</v>
          </cell>
          <cell r="AN298">
            <v>2444501.8669999996</v>
          </cell>
          <cell r="AO298">
            <v>59963404.625</v>
          </cell>
          <cell r="AP298">
            <v>651073.96399999992</v>
          </cell>
          <cell r="AQ298">
            <v>32805006.887000002</v>
          </cell>
          <cell r="AR298">
            <v>1423427.9029999999</v>
          </cell>
          <cell r="AS298">
            <v>10646401.18</v>
          </cell>
          <cell r="AT298">
            <v>4103200.713</v>
          </cell>
          <cell r="AU298">
            <v>6543200.4670000002</v>
          </cell>
          <cell r="AV298">
            <v>38182729.609000012</v>
          </cell>
          <cell r="AW298" t="str">
            <v/>
          </cell>
          <cell r="AX298">
            <v>0</v>
          </cell>
          <cell r="AY298">
            <v>5207652.0829999996</v>
          </cell>
          <cell r="AZ298">
            <v>409130.63699999999</v>
          </cell>
          <cell r="BA298">
            <v>5285740.0769999996</v>
          </cell>
          <cell r="BB298">
            <v>135956013.79100001</v>
          </cell>
          <cell r="BC298">
            <v>61878476.288999997</v>
          </cell>
          <cell r="BD298">
            <v>9168438.4049999993</v>
          </cell>
          <cell r="BE298" t="str">
            <v/>
          </cell>
          <cell r="BF298">
            <v>435258.7</v>
          </cell>
          <cell r="BG298">
            <v>0</v>
          </cell>
          <cell r="BH298">
            <v>73642278.802000001</v>
          </cell>
          <cell r="BI298">
            <v>37424650.189999998</v>
          </cell>
          <cell r="BJ298">
            <v>36217628.612000003</v>
          </cell>
          <cell r="BK298">
            <v>-1505307.2740000002</v>
          </cell>
          <cell r="BL298">
            <v>-1218619.8260000001</v>
          </cell>
          <cell r="BM298">
            <v>-286687.44799999997</v>
          </cell>
          <cell r="BN298">
            <v>-48163998.45630002</v>
          </cell>
          <cell r="BO298">
            <v>-101491648.64630002</v>
          </cell>
          <cell r="BP298">
            <v>-90845247.466300011</v>
          </cell>
          <cell r="BQ298">
            <v>-27849369.844300032</v>
          </cell>
          <cell r="BR298">
            <v>6317836.2529999912</v>
          </cell>
          <cell r="BS298">
            <v>2254255.7579999994</v>
          </cell>
          <cell r="BT298">
            <v>2254255.7579999994</v>
          </cell>
          <cell r="BU298">
            <v>0</v>
          </cell>
          <cell r="BV298">
            <v>-4406103.9100000095</v>
          </cell>
          <cell r="BW298">
            <v>0</v>
          </cell>
          <cell r="BX298">
            <v>8469684.4050000012</v>
          </cell>
          <cell r="BZ298">
            <v>-41846162.203300029</v>
          </cell>
          <cell r="CA298">
            <v>-95173812.393300027</v>
          </cell>
          <cell r="CB298">
            <v>41846162.701000005</v>
          </cell>
          <cell r="CC298">
            <v>43419593.073000006</v>
          </cell>
          <cell r="CD298">
            <v>56652852.446000002</v>
          </cell>
          <cell r="CE298">
            <v>36217628.612000003</v>
          </cell>
          <cell r="CF298">
            <v>7679000</v>
          </cell>
          <cell r="CG298">
            <v>12756223.833999999</v>
          </cell>
          <cell r="CH298">
            <v>-12693626.774</v>
          </cell>
          <cell r="CI298">
            <v>-539632.59900000005</v>
          </cell>
          <cell r="CJ298">
            <v>-1573430.3720000014</v>
          </cell>
          <cell r="CK298">
            <v>5102183.2919999985</v>
          </cell>
          <cell r="CL298">
            <v>16505535.387999998</v>
          </cell>
          <cell r="CM298">
            <v>-2662433.6300000008</v>
          </cell>
          <cell r="CN298">
            <v>2731000</v>
          </cell>
          <cell r="CO298">
            <v>-5393433.6300000008</v>
          </cell>
          <cell r="CP298">
            <v>19167969.017999999</v>
          </cell>
          <cell r="CQ298">
            <v>0</v>
          </cell>
          <cell r="CR298">
            <v>-1533630.9820000003</v>
          </cell>
          <cell r="CS298">
            <v>689900</v>
          </cell>
          <cell r="CT298">
            <v>0</v>
          </cell>
          <cell r="CU298">
            <v>20011700</v>
          </cell>
          <cell r="CV298">
            <v>-25100</v>
          </cell>
          <cell r="CW298">
            <v>0</v>
          </cell>
          <cell r="CX298">
            <v>-7858046.2460000003</v>
          </cell>
          <cell r="CY298">
            <v>-411939.33400000003</v>
          </cell>
          <cell r="CZ298">
            <v>-7457692.3080000002</v>
          </cell>
          <cell r="DA298">
            <v>-350000</v>
          </cell>
          <cell r="DB298">
            <v>-107692.30799999999</v>
          </cell>
          <cell r="DC298">
            <v>-7000000</v>
          </cell>
          <cell r="DD298">
            <v>11585.396000000001</v>
          </cell>
          <cell r="DE298">
            <v>-3545305.8499999987</v>
          </cell>
          <cell r="DF298">
            <v>0</v>
          </cell>
          <cell r="DG298">
            <v>-1208006.6979999989</v>
          </cell>
          <cell r="DH298">
            <v>-2337299.1519999998</v>
          </cell>
          <cell r="DI298">
            <v>-6675613.6639999999</v>
          </cell>
          <cell r="DJ298">
            <v>-4625000</v>
          </cell>
          <cell r="DK298">
            <v>0</v>
          </cell>
          <cell r="DL298">
            <v>0</v>
          </cell>
          <cell r="DM298">
            <v>0</v>
          </cell>
          <cell r="DN298">
            <v>-4625000</v>
          </cell>
          <cell r="DO298" t="str">
            <v/>
          </cell>
          <cell r="DP298">
            <v>-2051681.4640000002</v>
          </cell>
          <cell r="DQ298">
            <v>-493198.41</v>
          </cell>
          <cell r="DR298">
            <v>1067.8</v>
          </cell>
          <cell r="DS298" t="str">
            <v/>
          </cell>
          <cell r="DT298">
            <v>-0.49769997596740723</v>
          </cell>
          <cell r="DU298" t="str">
            <v/>
          </cell>
          <cell r="DV298" t="str">
            <v/>
          </cell>
          <cell r="DW298">
            <v>10646401.18</v>
          </cell>
          <cell r="DX298" t="str">
            <v/>
          </cell>
          <cell r="DY298" t="str">
            <v/>
          </cell>
          <cell r="DZ298">
            <v>4103200.713</v>
          </cell>
          <cell r="EA298">
            <v>19236827.241</v>
          </cell>
          <cell r="EB298">
            <v>12693626.774</v>
          </cell>
          <cell r="EC298">
            <v>6543200.4670000002</v>
          </cell>
          <cell r="EF298">
            <v>18</v>
          </cell>
        </row>
        <row r="299">
          <cell r="E299">
            <v>38243.125</v>
          </cell>
          <cell r="F299">
            <v>338430673.65469998</v>
          </cell>
          <cell r="G299">
            <v>253302314.19069999</v>
          </cell>
          <cell r="H299">
            <v>253261663.01569998</v>
          </cell>
          <cell r="I299">
            <v>234441478.72869998</v>
          </cell>
          <cell r="J299">
            <v>58402874.894699998</v>
          </cell>
          <cell r="K299">
            <v>33191055.113000002</v>
          </cell>
          <cell r="L299">
            <v>3121437.0859999997</v>
          </cell>
          <cell r="M299">
            <v>1135970.496</v>
          </cell>
          <cell r="N299">
            <v>129593144.95999998</v>
          </cell>
          <cell r="O299">
            <v>90355915.41399999</v>
          </cell>
          <cell r="P299">
            <v>16705912.482999999</v>
          </cell>
          <cell r="Q299">
            <v>22531317.062999997</v>
          </cell>
          <cell r="R299">
            <v>39989799.177000001</v>
          </cell>
          <cell r="S299">
            <v>33278209.208000001</v>
          </cell>
          <cell r="T299">
            <v>3443453.0559999999</v>
          </cell>
          <cell r="U299">
            <v>3268136.9130000002</v>
          </cell>
          <cell r="V299">
            <v>3069980.7280000001</v>
          </cell>
          <cell r="W299">
            <v>2198252.1150000002</v>
          </cell>
          <cell r="X299">
            <v>18820184.287</v>
          </cell>
          <cell r="Y299">
            <v>360950.67499999999</v>
          </cell>
          <cell r="Z299">
            <v>7035639.8559999997</v>
          </cell>
          <cell r="AA299">
            <v>976997.59300000011</v>
          </cell>
          <cell r="AB299">
            <v>5595614.8099999996</v>
          </cell>
          <cell r="AC299">
            <v>4850981.3530000001</v>
          </cell>
          <cell r="AD299">
            <v>40651.175000000003</v>
          </cell>
          <cell r="AE299">
            <v>85128359.464000002</v>
          </cell>
          <cell r="AF299">
            <v>51022359.464000002</v>
          </cell>
          <cell r="AG299">
            <v>34106000</v>
          </cell>
          <cell r="AH299">
            <v>433846975.75830001</v>
          </cell>
          <cell r="AI299">
            <v>312717641.23629999</v>
          </cell>
          <cell r="AJ299">
            <v>307422270.7723</v>
          </cell>
          <cell r="AK299">
            <v>80986702.791999996</v>
          </cell>
          <cell r="AL299">
            <v>29189507.375</v>
          </cell>
          <cell r="AM299">
            <v>223750865.35879999</v>
          </cell>
          <cell r="AN299">
            <v>5882125.5780000007</v>
          </cell>
          <cell r="AO299">
            <v>93570414.879999995</v>
          </cell>
          <cell r="AP299">
            <v>1803562.57</v>
          </cell>
          <cell r="AQ299">
            <v>53420416.381500006</v>
          </cell>
          <cell r="AR299">
            <v>3014597.392</v>
          </cell>
          <cell r="AS299">
            <v>13728990.960999999</v>
          </cell>
          <cell r="AT299">
            <v>5295370.4639999997</v>
          </cell>
          <cell r="AU299">
            <v>8433620.4969999995</v>
          </cell>
          <cell r="AV299">
            <v>63031043.136300005</v>
          </cell>
          <cell r="AW299" t="str">
            <v/>
          </cell>
          <cell r="AX299">
            <v>30000</v>
          </cell>
          <cell r="AY299">
            <v>9508201.8469999991</v>
          </cell>
          <cell r="AZ299">
            <v>627848.45299999998</v>
          </cell>
          <cell r="BA299">
            <v>8471750.8629999999</v>
          </cell>
          <cell r="BB299">
            <v>213568721.21850002</v>
          </cell>
          <cell r="BC299">
            <v>99061007.193499997</v>
          </cell>
          <cell r="BD299">
            <v>15149126.816999998</v>
          </cell>
          <cell r="BE299" t="str">
            <v/>
          </cell>
          <cell r="BF299">
            <v>1812000</v>
          </cell>
          <cell r="BG299">
            <v>0</v>
          </cell>
          <cell r="BH299">
            <v>112695714.02500001</v>
          </cell>
          <cell r="BI299">
            <v>51022359.464000002</v>
          </cell>
          <cell r="BJ299">
            <v>61673354.561000004</v>
          </cell>
          <cell r="BK299">
            <v>-3472610.8189999997</v>
          </cell>
          <cell r="BL299">
            <v>-3149122.5049999999</v>
          </cell>
          <cell r="BM299">
            <v>-323488.31399999995</v>
          </cell>
          <cell r="BN299">
            <v>-95416302.103600025</v>
          </cell>
          <cell r="BO299">
            <v>-180544661.56760001</v>
          </cell>
          <cell r="BP299">
            <v>-166815670.60659999</v>
          </cell>
          <cell r="BQ299">
            <v>-67848947.542599976</v>
          </cell>
          <cell r="BR299">
            <v>23893116.966999903</v>
          </cell>
          <cell r="BS299">
            <v>3878367.4539999999</v>
          </cell>
          <cell r="BT299">
            <v>3878367.4539999999</v>
          </cell>
          <cell r="BU299">
            <v>0</v>
          </cell>
          <cell r="BV299">
            <v>12185839.916999901</v>
          </cell>
          <cell r="BW299">
            <v>0</v>
          </cell>
          <cell r="BX299">
            <v>7828909.5960000018</v>
          </cell>
          <cell r="BZ299">
            <v>-71523185.136600122</v>
          </cell>
          <cell r="CA299">
            <v>-156651544.60060012</v>
          </cell>
          <cell r="CB299">
            <v>71523185.596000016</v>
          </cell>
          <cell r="CC299">
            <v>98934597.918000013</v>
          </cell>
          <cell r="CD299">
            <v>118251243.642</v>
          </cell>
          <cell r="CE299">
            <v>61673354.561000004</v>
          </cell>
          <cell r="CF299">
            <v>40131000</v>
          </cell>
          <cell r="CG299">
            <v>16446889.081</v>
          </cell>
          <cell r="CH299">
            <v>-18186397.881000001</v>
          </cell>
          <cell r="CI299">
            <v>-1130247.8430000003</v>
          </cell>
          <cell r="CJ299">
            <v>-27411412.322000001</v>
          </cell>
          <cell r="CK299">
            <v>-27531560.567000002</v>
          </cell>
          <cell r="CL299">
            <v>-25693395.112</v>
          </cell>
          <cell r="CM299">
            <v>-4232511.2210000008</v>
          </cell>
          <cell r="CN299">
            <v>2731000</v>
          </cell>
          <cell r="CO299">
            <v>-6963511.2210000008</v>
          </cell>
          <cell r="CP299">
            <v>-21460883.890999999</v>
          </cell>
          <cell r="CQ299">
            <v>0</v>
          </cell>
          <cell r="CR299">
            <v>-2309083.8910000003</v>
          </cell>
          <cell r="CS299">
            <v>691800</v>
          </cell>
          <cell r="CT299">
            <v>0</v>
          </cell>
          <cell r="CU299">
            <v>-19843600</v>
          </cell>
          <cell r="CV299">
            <v>5405200</v>
          </cell>
          <cell r="CW299">
            <v>0</v>
          </cell>
          <cell r="CX299">
            <v>807977.55799999984</v>
          </cell>
          <cell r="CY299">
            <v>-411939.33400000003</v>
          </cell>
          <cell r="CZ299">
            <v>1214437.8629999999</v>
          </cell>
          <cell r="DA299">
            <v>-350000</v>
          </cell>
          <cell r="DB299">
            <v>-435562.13699999999</v>
          </cell>
          <cell r="DC299">
            <v>2000000</v>
          </cell>
          <cell r="DD299">
            <v>5479.0290000000014</v>
          </cell>
          <cell r="DE299">
            <v>-2646143.0129999993</v>
          </cell>
          <cell r="DF299">
            <v>0</v>
          </cell>
          <cell r="DG299">
            <v>-2416013.3959999997</v>
          </cell>
          <cell r="DH299">
            <v>-230129.61699999962</v>
          </cell>
          <cell r="DI299">
            <v>120148.24499999988</v>
          </cell>
          <cell r="DJ299">
            <v>2875000</v>
          </cell>
          <cell r="DK299">
            <v>0</v>
          </cell>
          <cell r="DL299">
            <v>0</v>
          </cell>
          <cell r="DM299">
            <v>7500000</v>
          </cell>
          <cell r="DN299">
            <v>-4625000</v>
          </cell>
          <cell r="DO299" t="str">
            <v/>
          </cell>
          <cell r="DP299">
            <v>-3627852.9550000001</v>
          </cell>
          <cell r="DQ299">
            <v>-739797.61499999999</v>
          </cell>
          <cell r="DR299">
            <v>873001.2</v>
          </cell>
          <cell r="DS299" t="str">
            <v/>
          </cell>
          <cell r="DT299">
            <v>-0.45939989387989044</v>
          </cell>
          <cell r="DU299" t="str">
            <v/>
          </cell>
          <cell r="DV299" t="str">
            <v/>
          </cell>
          <cell r="DW299">
            <v>13728990.960999999</v>
          </cell>
          <cell r="DX299" t="str">
            <v/>
          </cell>
          <cell r="DY299" t="str">
            <v/>
          </cell>
          <cell r="DZ299">
            <v>5295370.4639999997</v>
          </cell>
          <cell r="EA299">
            <v>26620018.377999999</v>
          </cell>
          <cell r="EB299">
            <v>18186397.881000001</v>
          </cell>
          <cell r="EC299">
            <v>8433620.4969999995</v>
          </cell>
          <cell r="EF299">
            <v>19</v>
          </cell>
        </row>
        <row r="300">
          <cell r="E300">
            <v>38334.4375</v>
          </cell>
          <cell r="F300">
            <v>462474471.73870003</v>
          </cell>
          <cell r="G300">
            <v>345143864.47570002</v>
          </cell>
          <cell r="H300">
            <v>345102690.30070001</v>
          </cell>
          <cell r="I300">
            <v>318679263.39770001</v>
          </cell>
          <cell r="J300">
            <v>72840053.413699999</v>
          </cell>
          <cell r="K300">
            <v>39083446.245000005</v>
          </cell>
          <cell r="L300">
            <v>4086307.2929999996</v>
          </cell>
          <cell r="M300">
            <v>4130864.5729999999</v>
          </cell>
          <cell r="N300">
            <v>177477514.141</v>
          </cell>
          <cell r="O300">
            <v>125391381.34999999</v>
          </cell>
          <cell r="P300">
            <v>22203377.903999999</v>
          </cell>
          <cell r="Q300">
            <v>29882754.887000002</v>
          </cell>
          <cell r="R300">
            <v>56985045.879000001</v>
          </cell>
          <cell r="S300">
            <v>45923699.215000004</v>
          </cell>
          <cell r="T300">
            <v>4747990.2569999993</v>
          </cell>
          <cell r="U300">
            <v>6313356.4069999997</v>
          </cell>
          <cell r="V300">
            <v>6049525.9460000005</v>
          </cell>
          <cell r="W300">
            <v>3159478.0980000002</v>
          </cell>
          <cell r="X300">
            <v>26423426.903000001</v>
          </cell>
          <cell r="Y300">
            <v>568665.93099999998</v>
          </cell>
          <cell r="Z300">
            <v>9645436.5669999998</v>
          </cell>
          <cell r="AA300">
            <v>979604.39900000009</v>
          </cell>
          <cell r="AB300">
            <v>9434885.8509999998</v>
          </cell>
          <cell r="AC300">
            <v>5794834.1550000003</v>
          </cell>
          <cell r="AD300">
            <v>41174.175000000119</v>
          </cell>
          <cell r="AE300">
            <v>117330607.26300001</v>
          </cell>
          <cell r="AF300">
            <v>70268607.263000011</v>
          </cell>
          <cell r="AG300">
            <v>47062000</v>
          </cell>
          <cell r="AH300">
            <v>570028145.34370005</v>
          </cell>
          <cell r="AI300">
            <v>406790051.17870003</v>
          </cell>
          <cell r="AJ300">
            <v>400407960.24370003</v>
          </cell>
          <cell r="AK300">
            <v>105055866.65899999</v>
          </cell>
          <cell r="AL300">
            <v>34657025.620999999</v>
          </cell>
          <cell r="AM300">
            <v>292123057.94770002</v>
          </cell>
          <cell r="AN300">
            <v>8016960.2639999995</v>
          </cell>
          <cell r="AO300">
            <v>123467925.75570001</v>
          </cell>
          <cell r="AP300">
            <v>1996790.4819999998</v>
          </cell>
          <cell r="AQ300">
            <v>66907733.405000001</v>
          </cell>
          <cell r="AR300">
            <v>3713102.0359999998</v>
          </cell>
          <cell r="AS300">
            <v>19127173.615000002</v>
          </cell>
          <cell r="AT300">
            <v>6382090.9350000005</v>
          </cell>
          <cell r="AU300">
            <v>12745082.68</v>
          </cell>
          <cell r="AV300">
            <v>82620225.172000021</v>
          </cell>
          <cell r="AW300" t="str">
            <v/>
          </cell>
          <cell r="AX300">
            <v>30000</v>
          </cell>
          <cell r="AY300">
            <v>13519856.921</v>
          </cell>
          <cell r="AZ300">
            <v>823683.22199999995</v>
          </cell>
          <cell r="BA300">
            <v>13238510.472999999</v>
          </cell>
          <cell r="BB300">
            <v>283291802.43400002</v>
          </cell>
          <cell r="BC300">
            <v>130286380.911</v>
          </cell>
          <cell r="BD300">
            <v>21073444.802999999</v>
          </cell>
          <cell r="BE300" t="str">
            <v/>
          </cell>
          <cell r="BF300">
            <v>2512410.0379999997</v>
          </cell>
          <cell r="BG300">
            <v>0</v>
          </cell>
          <cell r="BH300">
            <v>150493011.48500001</v>
          </cell>
          <cell r="BI300">
            <v>70268607.263000011</v>
          </cell>
          <cell r="BJ300">
            <v>80224404.222000003</v>
          </cell>
          <cell r="BK300">
            <v>-5386715.0380000006</v>
          </cell>
          <cell r="BL300">
            <v>-4353922.3370000003</v>
          </cell>
          <cell r="BM300">
            <v>-1032792.701</v>
          </cell>
          <cell r="BN300">
            <v>-107553673.60500002</v>
          </cell>
          <cell r="BO300">
            <v>-224884280.86800003</v>
          </cell>
          <cell r="BP300">
            <v>-205757107.25300002</v>
          </cell>
          <cell r="BQ300">
            <v>-74391269.383000016</v>
          </cell>
          <cell r="BR300">
            <v>-2215801.7020002124</v>
          </cell>
          <cell r="BS300">
            <v>800752.10600000003</v>
          </cell>
          <cell r="BT300">
            <v>800752.10600000003</v>
          </cell>
          <cell r="BU300">
            <v>0</v>
          </cell>
          <cell r="BV300">
            <v>432134.60299978702</v>
          </cell>
          <cell r="BW300">
            <v>0</v>
          </cell>
          <cell r="BX300">
            <v>-3448688.4109999994</v>
          </cell>
          <cell r="BZ300">
            <v>-109769475.30700023</v>
          </cell>
          <cell r="CA300">
            <v>-227100082.57000023</v>
          </cell>
          <cell r="CB300">
            <v>109769475.63</v>
          </cell>
          <cell r="CC300">
            <v>116605973.131</v>
          </cell>
          <cell r="CD300">
            <v>145153801.748</v>
          </cell>
          <cell r="CE300">
            <v>80224404.222000003</v>
          </cell>
          <cell r="CF300">
            <v>40131000</v>
          </cell>
          <cell r="CG300">
            <v>24798397.526000004</v>
          </cell>
          <cell r="CH300">
            <v>-26246420.837000001</v>
          </cell>
          <cell r="CI300">
            <v>-2301407.7799999998</v>
          </cell>
          <cell r="CJ300">
            <v>-6836497.5010000002</v>
          </cell>
          <cell r="CK300">
            <v>-22601264.248</v>
          </cell>
          <cell r="CL300">
            <v>-26797687.043000001</v>
          </cell>
          <cell r="CM300">
            <v>-7829232.2140000015</v>
          </cell>
          <cell r="CN300">
            <v>2731000</v>
          </cell>
          <cell r="CO300">
            <v>-10560232.214000002</v>
          </cell>
          <cell r="CP300">
            <v>-18968454.829</v>
          </cell>
          <cell r="CQ300">
            <v>0</v>
          </cell>
          <cell r="CR300">
            <v>-3490254.8290000004</v>
          </cell>
          <cell r="CS300">
            <v>657600</v>
          </cell>
          <cell r="CT300">
            <v>0</v>
          </cell>
          <cell r="CU300">
            <v>-16135800</v>
          </cell>
          <cell r="CV300">
            <v>800300</v>
          </cell>
          <cell r="CW300">
            <v>0</v>
          </cell>
          <cell r="CX300">
            <v>9747768.0250000004</v>
          </cell>
          <cell r="CY300">
            <v>-865785.48800000013</v>
          </cell>
          <cell r="CZ300">
            <v>10589330.607000001</v>
          </cell>
          <cell r="DA300">
            <v>-700000</v>
          </cell>
          <cell r="DB300">
            <v>-402669.39299999998</v>
          </cell>
          <cell r="DC300">
            <v>11692000</v>
          </cell>
          <cell r="DD300">
            <v>24222.906000000006</v>
          </cell>
          <cell r="DE300">
            <v>-5551345.2300000004</v>
          </cell>
          <cell r="DF300">
            <v>0</v>
          </cell>
          <cell r="DG300">
            <v>-3020017.0940000005</v>
          </cell>
          <cell r="DH300">
            <v>-2531328.1359999999</v>
          </cell>
          <cell r="DI300">
            <v>15764766.747</v>
          </cell>
          <cell r="DJ300">
            <v>18183000</v>
          </cell>
          <cell r="DK300">
            <v>0</v>
          </cell>
          <cell r="DL300">
            <v>0</v>
          </cell>
          <cell r="DM300">
            <v>22808000</v>
          </cell>
          <cell r="DN300">
            <v>-4625000</v>
          </cell>
          <cell r="DO300" t="str">
            <v/>
          </cell>
          <cell r="DP300">
            <v>-9729653.3880000003</v>
          </cell>
          <cell r="DQ300">
            <v>-986396.82</v>
          </cell>
          <cell r="DR300">
            <v>7311420.1349999998</v>
          </cell>
          <cell r="DS300" t="str">
            <v/>
          </cell>
          <cell r="DT300">
            <v>-0.32299976050853729</v>
          </cell>
          <cell r="DU300">
            <v>74170950.789000005</v>
          </cell>
          <cell r="DV300">
            <v>55043777.174000002</v>
          </cell>
          <cell r="DW300">
            <v>19127173.615000002</v>
          </cell>
          <cell r="DX300">
            <v>35179447.272</v>
          </cell>
          <cell r="DY300">
            <v>28797356.337000001</v>
          </cell>
          <cell r="DZ300">
            <v>6382090.9350000005</v>
          </cell>
          <cell r="EA300">
            <v>38991503.517000005</v>
          </cell>
          <cell r="EB300">
            <v>26246420.837000001</v>
          </cell>
          <cell r="EC300">
            <v>12745082.68</v>
          </cell>
          <cell r="EF300">
            <v>20</v>
          </cell>
        </row>
        <row r="301">
          <cell r="E301">
            <v>38425.75</v>
          </cell>
          <cell r="F301">
            <v>94311860.675000012</v>
          </cell>
          <cell r="G301">
            <v>71887847.345000014</v>
          </cell>
          <cell r="H301">
            <v>71534589.926000014</v>
          </cell>
          <cell r="I301">
            <v>67967558.313000008</v>
          </cell>
          <cell r="J301">
            <v>10657494.416000001</v>
          </cell>
          <cell r="K301">
            <v>3683435.0389999999</v>
          </cell>
          <cell r="L301">
            <v>1022668.562</v>
          </cell>
          <cell r="M301">
            <v>357570.61800000002</v>
          </cell>
          <cell r="N301">
            <v>41482453.582000002</v>
          </cell>
          <cell r="O301">
            <v>28971676.023000002</v>
          </cell>
          <cell r="P301">
            <v>5790581.9450000003</v>
          </cell>
          <cell r="Q301">
            <v>6720195.6140000038</v>
          </cell>
          <cell r="R301">
            <v>13228019.112000002</v>
          </cell>
          <cell r="S301">
            <v>11852944.036000002</v>
          </cell>
          <cell r="T301">
            <v>1298445.693</v>
          </cell>
          <cell r="U301">
            <v>76629.383000000002</v>
          </cell>
          <cell r="V301">
            <v>0</v>
          </cell>
          <cell r="W301">
            <v>1219352.023</v>
          </cell>
          <cell r="X301">
            <v>3567031.6129999999</v>
          </cell>
          <cell r="Y301">
            <v>114845.745</v>
          </cell>
          <cell r="Z301">
            <v>2459041.585</v>
          </cell>
          <cell r="AA301">
            <v>405147.74800000002</v>
          </cell>
          <cell r="AB301">
            <v>11546.587</v>
          </cell>
          <cell r="AC301">
            <v>576449.94800000009</v>
          </cell>
          <cell r="AD301">
            <v>353257.41899999999</v>
          </cell>
          <cell r="AE301">
            <v>22424013.330000002</v>
          </cell>
          <cell r="AF301">
            <v>18938013.330000002</v>
          </cell>
          <cell r="AG301">
            <v>3486000</v>
          </cell>
          <cell r="AH301">
            <v>119537712.88699999</v>
          </cell>
          <cell r="AI301">
            <v>80093146.012999997</v>
          </cell>
          <cell r="AJ301">
            <v>77768733.430999994</v>
          </cell>
          <cell r="AK301">
            <v>42031458.788000003</v>
          </cell>
          <cell r="AL301">
            <v>8560529.477</v>
          </cell>
          <cell r="AM301">
            <v>67460338.600999996</v>
          </cell>
          <cell r="AN301">
            <v>214706.89600000001</v>
          </cell>
          <cell r="AO301">
            <v>35118765.252999999</v>
          </cell>
          <cell r="AP301">
            <v>0</v>
          </cell>
          <cell r="AQ301">
            <v>11405849.51</v>
          </cell>
          <cell r="AR301">
            <v>32456.896000000001</v>
          </cell>
          <cell r="AS301">
            <v>4334684.3090000004</v>
          </cell>
          <cell r="AT301">
            <v>2324412.5819999999</v>
          </cell>
          <cell r="AU301">
            <v>2010271.727</v>
          </cell>
          <cell r="AV301">
            <v>16601039.528999997</v>
          </cell>
          <cell r="AW301" t="str">
            <v/>
          </cell>
          <cell r="AX301">
            <v>0</v>
          </cell>
          <cell r="AY301">
            <v>2806386.2220000001</v>
          </cell>
          <cell r="AZ301">
            <v>249338.353</v>
          </cell>
          <cell r="BA301">
            <v>3562022.3569999998</v>
          </cell>
          <cell r="BB301">
            <v>57819951.241999999</v>
          </cell>
          <cell r="BC301">
            <v>20385656.094999999</v>
          </cell>
          <cell r="BD301">
            <v>5736908.6919999998</v>
          </cell>
          <cell r="BE301" t="str">
            <v/>
          </cell>
          <cell r="BF301">
            <v>0</v>
          </cell>
          <cell r="BG301" t="str">
            <v/>
          </cell>
          <cell r="BH301">
            <v>37434295.147</v>
          </cell>
          <cell r="BI301">
            <v>18938013.330000002</v>
          </cell>
          <cell r="BJ301">
            <v>18496281.816999998</v>
          </cell>
          <cell r="BK301">
            <v>-5742576.9560000002</v>
          </cell>
          <cell r="BL301">
            <v>-305391.24099999998</v>
          </cell>
          <cell r="BM301">
            <v>-5437185.7149999999</v>
          </cell>
          <cell r="BN301">
            <v>-25225852.211999983</v>
          </cell>
          <cell r="BO301">
            <v>-47649865.541999981</v>
          </cell>
          <cell r="BP301">
            <v>-43315181.23299998</v>
          </cell>
          <cell r="BQ301">
            <v>-10215570.394999981</v>
          </cell>
          <cell r="BR301">
            <v>-17605739.912999801</v>
          </cell>
          <cell r="BS301">
            <v>190314.05799999973</v>
          </cell>
          <cell r="BT301">
            <v>190314.05799999973</v>
          </cell>
          <cell r="BU301">
            <v>0</v>
          </cell>
          <cell r="BV301">
            <v>-19365953.756999802</v>
          </cell>
          <cell r="BW301">
            <v>0</v>
          </cell>
          <cell r="BX301">
            <v>1569899.7860000003</v>
          </cell>
          <cell r="BZ301">
            <v>-42831592.124999784</v>
          </cell>
          <cell r="CA301">
            <v>-65255605.45499979</v>
          </cell>
          <cell r="CB301">
            <v>42831591.868999988</v>
          </cell>
          <cell r="CC301">
            <v>17314396.368999999</v>
          </cell>
          <cell r="CD301">
            <v>22353282.910999998</v>
          </cell>
          <cell r="CE301">
            <v>18496281.816999998</v>
          </cell>
          <cell r="CF301">
            <v>0</v>
          </cell>
          <cell r="CG301">
            <v>3857001.0940000005</v>
          </cell>
          <cell r="CH301">
            <v>-5038886.5420000004</v>
          </cell>
          <cell r="CI301">
            <v>0</v>
          </cell>
          <cell r="CJ301">
            <v>25517195.499999993</v>
          </cell>
          <cell r="CK301">
            <v>39885680.371999994</v>
          </cell>
          <cell r="CL301">
            <v>51947233.375</v>
          </cell>
          <cell r="CM301">
            <v>4725561.6960000005</v>
          </cell>
          <cell r="CN301">
            <v>5250000</v>
          </cell>
          <cell r="CO301">
            <v>-524438.304</v>
          </cell>
          <cell r="CP301">
            <v>47221671.678999998</v>
          </cell>
          <cell r="CQ301">
            <v>0</v>
          </cell>
          <cell r="CR301">
            <v>-787128.321</v>
          </cell>
          <cell r="CS301">
            <v>-453200</v>
          </cell>
          <cell r="CT301">
            <v>0</v>
          </cell>
          <cell r="CU301">
            <v>48462000</v>
          </cell>
          <cell r="CV301">
            <v>15530800</v>
          </cell>
          <cell r="CW301">
            <v>0</v>
          </cell>
          <cell r="CX301">
            <v>-11868287.476000002</v>
          </cell>
          <cell r="CY301">
            <v>-32892.743999999999</v>
          </cell>
          <cell r="CZ301">
            <v>-11867000</v>
          </cell>
          <cell r="DA301">
            <v>0</v>
          </cell>
          <cell r="DB301">
            <v>0</v>
          </cell>
          <cell r="DC301">
            <v>-11867000</v>
          </cell>
          <cell r="DD301">
            <v>31605.268000000007</v>
          </cell>
          <cell r="DE301">
            <v>-193265.5270000007</v>
          </cell>
          <cell r="DF301">
            <v>0</v>
          </cell>
          <cell r="DG301">
            <v>-604003.69800000079</v>
          </cell>
          <cell r="DH301">
            <v>410738.17100000009</v>
          </cell>
          <cell r="DI301">
            <v>-14368484.872</v>
          </cell>
          <cell r="DJ301">
            <v>-12966000</v>
          </cell>
          <cell r="DK301" t="str">
            <v/>
          </cell>
          <cell r="DL301" t="str">
            <v/>
          </cell>
          <cell r="DM301">
            <v>0</v>
          </cell>
          <cell r="DN301">
            <v>-12966000</v>
          </cell>
          <cell r="DO301" t="str">
            <v/>
          </cell>
          <cell r="DP301">
            <v>-1402484.872</v>
          </cell>
          <cell r="DQ301">
            <v>-246599.20500000002</v>
          </cell>
          <cell r="DR301">
            <v>0</v>
          </cell>
          <cell r="DS301" t="str">
            <v/>
          </cell>
          <cell r="DT301">
            <v>0.25599979609251022</v>
          </cell>
          <cell r="DU301" t="str">
            <v/>
          </cell>
          <cell r="DV301" t="str">
            <v/>
          </cell>
          <cell r="DW301">
            <v>4334684.3090000004</v>
          </cell>
          <cell r="DX301" t="str">
            <v/>
          </cell>
          <cell r="DY301" t="str">
            <v/>
          </cell>
          <cell r="DZ301">
            <v>2324412.5819999999</v>
          </cell>
          <cell r="EA301">
            <v>7049158.2690000003</v>
          </cell>
          <cell r="EB301">
            <v>5038886.5420000004</v>
          </cell>
          <cell r="EC301">
            <v>2010271.727</v>
          </cell>
          <cell r="EF301">
            <v>21</v>
          </cell>
        </row>
        <row r="302">
          <cell r="E302">
            <v>38517.0625</v>
          </cell>
          <cell r="F302">
            <v>234841662.49700004</v>
          </cell>
          <cell r="G302">
            <v>185338423.18500003</v>
          </cell>
          <cell r="H302">
            <v>184973931.86600003</v>
          </cell>
          <cell r="I302">
            <v>174014934.39000002</v>
          </cell>
          <cell r="J302">
            <v>45723915.909999996</v>
          </cell>
          <cell r="K302">
            <v>28008654.346000001</v>
          </cell>
          <cell r="L302">
            <v>2208427.4029999999</v>
          </cell>
          <cell r="M302">
            <v>1080343.064</v>
          </cell>
          <cell r="N302">
            <v>93955169.591000021</v>
          </cell>
          <cell r="O302">
            <v>66459519.980000004</v>
          </cell>
          <cell r="P302">
            <v>12269903.82</v>
          </cell>
          <cell r="Q302">
            <v>15225745.791000005</v>
          </cell>
          <cell r="R302">
            <v>29012623.000000004</v>
          </cell>
          <cell r="S302">
            <v>25297213.259000003</v>
          </cell>
          <cell r="T302">
            <v>2861209.79</v>
          </cell>
          <cell r="U302">
            <v>854199.951</v>
          </cell>
          <cell r="V302">
            <v>700000</v>
          </cell>
          <cell r="W302">
            <v>2034455.422</v>
          </cell>
          <cell r="X302">
            <v>10958997.476</v>
          </cell>
          <cell r="Y302">
            <v>312298.93699999998</v>
          </cell>
          <cell r="Z302">
            <v>5455560.3789999997</v>
          </cell>
          <cell r="AA302">
            <v>661718.19799999997</v>
          </cell>
          <cell r="AB302">
            <v>2436840.9959999998</v>
          </cell>
          <cell r="AC302">
            <v>2092578.9660000005</v>
          </cell>
          <cell r="AD302">
            <v>364491.31900000002</v>
          </cell>
          <cell r="AE302">
            <v>49503239.311999999</v>
          </cell>
          <cell r="AF302">
            <v>35645239.311999999</v>
          </cell>
          <cell r="AG302">
            <v>13858000</v>
          </cell>
          <cell r="AH302">
            <v>310024457.83233327</v>
          </cell>
          <cell r="AI302">
            <v>225825188.74033329</v>
          </cell>
          <cell r="AJ302">
            <v>221051743.03633329</v>
          </cell>
          <cell r="AK302">
            <v>64333520.936999999</v>
          </cell>
          <cell r="AL302">
            <v>18953101.954</v>
          </cell>
          <cell r="AM302">
            <v>174222543.3133333</v>
          </cell>
          <cell r="AN302">
            <v>2637408.3840000001</v>
          </cell>
          <cell r="AO302">
            <v>71002328.179000005</v>
          </cell>
          <cell r="AP302">
            <v>642872.12800000003</v>
          </cell>
          <cell r="AQ302">
            <v>42189208.315333299</v>
          </cell>
          <cell r="AR302">
            <v>1500372.2560000001</v>
          </cell>
          <cell r="AS302">
            <v>10464960.361000001</v>
          </cell>
          <cell r="AT302">
            <v>4773445.7039999999</v>
          </cell>
          <cell r="AU302">
            <v>5691514.6570000006</v>
          </cell>
          <cell r="AV302">
            <v>50566046.458000004</v>
          </cell>
          <cell r="AW302">
            <v>494164</v>
          </cell>
          <cell r="AX302" t="str">
            <v/>
          </cell>
          <cell r="AY302" t="str">
            <v/>
          </cell>
          <cell r="AZ302" t="str">
            <v/>
          </cell>
          <cell r="BA302" t="str">
            <v/>
          </cell>
          <cell r="BB302">
            <v>147925508.398</v>
          </cell>
          <cell r="BC302">
            <v>67617908.256999999</v>
          </cell>
          <cell r="BD302">
            <v>14257744.885</v>
          </cell>
          <cell r="BE302">
            <v>13432719.244999999</v>
          </cell>
          <cell r="BF302">
            <v>1799845.706</v>
          </cell>
          <cell r="BG302" t="str">
            <v/>
          </cell>
          <cell r="BH302">
            <v>78507754.435000002</v>
          </cell>
          <cell r="BI302">
            <v>35645239.311999999</v>
          </cell>
          <cell r="BJ302">
            <v>42862515.122999996</v>
          </cell>
          <cell r="BK302">
            <v>-12123593.879000001</v>
          </cell>
          <cell r="BL302">
            <v>-1390214.0220000001</v>
          </cell>
          <cell r="BM302">
            <v>-10733379.857000001</v>
          </cell>
          <cell r="BN302">
            <v>-75182795.335333228</v>
          </cell>
          <cell r="BO302">
            <v>-124686034.64733323</v>
          </cell>
          <cell r="BP302">
            <v>-114221074.28633323</v>
          </cell>
          <cell r="BQ302">
            <v>-46178280.212333232</v>
          </cell>
          <cell r="BR302">
            <v>11584685.038000211</v>
          </cell>
          <cell r="BS302">
            <v>734240.43399999943</v>
          </cell>
          <cell r="BT302">
            <v>734240.43399999943</v>
          </cell>
          <cell r="BU302">
            <v>0</v>
          </cell>
          <cell r="BV302">
            <v>-5218189.5499997884</v>
          </cell>
          <cell r="BW302">
            <v>0</v>
          </cell>
          <cell r="BX302">
            <v>16068634.153999999</v>
          </cell>
          <cell r="BZ302">
            <v>-63598110.297333017</v>
          </cell>
          <cell r="CA302">
            <v>-113101349.60933301</v>
          </cell>
          <cell r="CB302">
            <v>63598110.126000002</v>
          </cell>
          <cell r="CC302">
            <v>50769856.417999998</v>
          </cell>
          <cell r="CD302">
            <v>62582323.766000003</v>
          </cell>
          <cell r="CE302">
            <v>42862515.122999996</v>
          </cell>
          <cell r="CF302">
            <v>7761000</v>
          </cell>
          <cell r="CG302">
            <v>11958808.643000003</v>
          </cell>
          <cell r="CH302">
            <v>-11847135.274</v>
          </cell>
          <cell r="CI302">
            <v>34667.925999999869</v>
          </cell>
          <cell r="CJ302">
            <v>12828253.708000001</v>
          </cell>
          <cell r="CK302">
            <v>21168120.078000002</v>
          </cell>
          <cell r="CL302">
            <v>42007730.292000003</v>
          </cell>
          <cell r="CM302">
            <v>286490.39699999988</v>
          </cell>
          <cell r="CN302">
            <v>5250000</v>
          </cell>
          <cell r="CO302">
            <v>-4963509.6030000001</v>
          </cell>
          <cell r="CP302">
            <v>41721239.895000003</v>
          </cell>
          <cell r="CQ302">
            <v>0</v>
          </cell>
          <cell r="CR302">
            <v>-1580160.1050000002</v>
          </cell>
          <cell r="CS302">
            <v>436400</v>
          </cell>
          <cell r="CT302">
            <v>0</v>
          </cell>
          <cell r="CU302">
            <v>42865000</v>
          </cell>
          <cell r="CV302">
            <v>8058400</v>
          </cell>
          <cell r="CW302">
            <v>0</v>
          </cell>
          <cell r="CX302">
            <v>-19452278.127</v>
          </cell>
          <cell r="CY302">
            <v>-65785.487999999998</v>
          </cell>
          <cell r="CZ302">
            <v>-19362846.153999999</v>
          </cell>
          <cell r="DA302">
            <v>-350000</v>
          </cell>
          <cell r="DB302">
            <v>-453846.15400000004</v>
          </cell>
          <cell r="DC302">
            <v>-18559000</v>
          </cell>
          <cell r="DD302">
            <v>-23646.484999999997</v>
          </cell>
          <cell r="DE302">
            <v>-1387332.0870000012</v>
          </cell>
          <cell r="DF302">
            <v>0</v>
          </cell>
          <cell r="DG302">
            <v>-1208007.3960000016</v>
          </cell>
          <cell r="DH302">
            <v>-179324.69099999964</v>
          </cell>
          <cell r="DI302">
            <v>-8339866.3700000001</v>
          </cell>
          <cell r="DJ302">
            <v>-5774000</v>
          </cell>
          <cell r="DK302" t="str">
            <v/>
          </cell>
          <cell r="DL302" t="str">
            <v/>
          </cell>
          <cell r="DM302">
            <v>22500000</v>
          </cell>
          <cell r="DN302">
            <v>-28274000</v>
          </cell>
          <cell r="DO302" t="str">
            <v/>
          </cell>
          <cell r="DP302">
            <v>-2565866.37</v>
          </cell>
          <cell r="DQ302">
            <v>-493198.41</v>
          </cell>
          <cell r="DR302">
            <v>0</v>
          </cell>
          <cell r="DS302" t="str">
            <v/>
          </cell>
          <cell r="DT302">
            <v>0.17133301496505737</v>
          </cell>
          <cell r="DU302" t="str">
            <v/>
          </cell>
          <cell r="DV302" t="str">
            <v/>
          </cell>
          <cell r="DW302">
            <v>10464960.361000001</v>
          </cell>
          <cell r="DX302" t="str">
            <v/>
          </cell>
          <cell r="DY302" t="str">
            <v/>
          </cell>
          <cell r="DZ302">
            <v>4773445.7039999999</v>
          </cell>
          <cell r="EA302">
            <v>17538649.931000002</v>
          </cell>
          <cell r="EB302">
            <v>11847135.274</v>
          </cell>
          <cell r="EC302">
            <v>5691514.6570000006</v>
          </cell>
          <cell r="EF302">
            <v>22</v>
          </cell>
        </row>
        <row r="303">
          <cell r="E303">
            <v>38608.375</v>
          </cell>
          <cell r="F303">
            <v>354654218.05899996</v>
          </cell>
          <cell r="G303">
            <v>278172695.64099997</v>
          </cell>
          <cell r="H303">
            <v>277782959.292</v>
          </cell>
          <cell r="I303">
            <v>255984250.42700002</v>
          </cell>
          <cell r="J303">
            <v>63301110.925999992</v>
          </cell>
          <cell r="K303">
            <v>36333752.868000001</v>
          </cell>
          <cell r="L303">
            <v>3364671.7850000001</v>
          </cell>
          <cell r="M303">
            <v>1545047.7009999999</v>
          </cell>
          <cell r="N303">
            <v>140120811.046</v>
          </cell>
          <cell r="O303">
            <v>100399441.618</v>
          </cell>
          <cell r="P303">
            <v>17305596.645</v>
          </cell>
          <cell r="Q303">
            <v>22415772.783000007</v>
          </cell>
          <cell r="R303">
            <v>44573955.441000007</v>
          </cell>
          <cell r="S303">
            <v>39317681.82100001</v>
          </cell>
          <cell r="T303">
            <v>4321563.8660000004</v>
          </cell>
          <cell r="U303">
            <v>934709.75399999996</v>
          </cell>
          <cell r="V303">
            <v>700000</v>
          </cell>
          <cell r="W303">
            <v>3078653.5280000004</v>
          </cell>
          <cell r="X303">
            <v>21798708.864999998</v>
          </cell>
          <cell r="Y303">
            <v>720084.49399999995</v>
          </cell>
          <cell r="Z303">
            <v>8219950.9800000004</v>
          </cell>
          <cell r="AA303">
            <v>912113.68900000001</v>
          </cell>
          <cell r="AB303">
            <v>8297775.5639999993</v>
          </cell>
          <cell r="AC303">
            <v>3648784.1380000003</v>
          </cell>
          <cell r="AD303">
            <v>389736.34900000005</v>
          </cell>
          <cell r="AE303">
            <v>76481522.417999998</v>
          </cell>
          <cell r="AF303">
            <v>49135522.417999998</v>
          </cell>
          <cell r="AG303">
            <v>27346000</v>
          </cell>
          <cell r="AH303">
            <v>476988353.528</v>
          </cell>
          <cell r="AI303">
            <v>354572336.171</v>
          </cell>
          <cell r="AJ303">
            <v>349033953.82800001</v>
          </cell>
          <cell r="AK303">
            <v>96095139.786999986</v>
          </cell>
          <cell r="AL303">
            <v>28869794.874000002</v>
          </cell>
          <cell r="AM303">
            <v>265969926.64899999</v>
          </cell>
          <cell r="AN303">
            <v>7345966.8600000003</v>
          </cell>
          <cell r="AO303">
            <v>106424361.56299999</v>
          </cell>
          <cell r="AP303">
            <v>1788950.3360000001</v>
          </cell>
          <cell r="AQ303">
            <v>62567102.314999998</v>
          </cell>
          <cell r="AR303">
            <v>4122527.5240000002</v>
          </cell>
          <cell r="AS303">
            <v>13446101.250999998</v>
          </cell>
          <cell r="AT303">
            <v>5538382.3429999994</v>
          </cell>
          <cell r="AU303">
            <v>7907718.9079999998</v>
          </cell>
          <cell r="AV303">
            <v>83532361.519999996</v>
          </cell>
          <cell r="AW303">
            <v>1434489</v>
          </cell>
          <cell r="AX303">
            <v>328841.44300000003</v>
          </cell>
          <cell r="AY303">
            <v>12875580.296</v>
          </cell>
          <cell r="AZ303">
            <v>615892.02800000005</v>
          </cell>
          <cell r="BA303">
            <v>15695644.249000002</v>
          </cell>
          <cell r="BB303">
            <v>223872348.71000001</v>
          </cell>
          <cell r="BC303">
            <v>107064204.55500001</v>
          </cell>
          <cell r="BD303">
            <v>23647929.878999997</v>
          </cell>
          <cell r="BE303">
            <v>22464657.960000001</v>
          </cell>
          <cell r="BF303">
            <v>2299845.7060000002</v>
          </cell>
          <cell r="BG303" t="str">
            <v/>
          </cell>
          <cell r="BH303">
            <v>114508298.449</v>
          </cell>
          <cell r="BI303">
            <v>49135522.417999998</v>
          </cell>
          <cell r="BJ303">
            <v>65372776.031000003</v>
          </cell>
          <cell r="BK303">
            <v>-12853921.831</v>
          </cell>
          <cell r="BL303">
            <v>-1807021.9410000001</v>
          </cell>
          <cell r="BM303">
            <v>-11046899.890000001</v>
          </cell>
          <cell r="BN303">
            <v>-122334135.46900004</v>
          </cell>
          <cell r="BO303">
            <v>-198815657.88700002</v>
          </cell>
          <cell r="BP303">
            <v>-185369556.63600004</v>
          </cell>
          <cell r="BQ303">
            <v>-84307359.438000023</v>
          </cell>
          <cell r="BR303">
            <v>26279981.424000211</v>
          </cell>
          <cell r="BS303">
            <v>2896059.875</v>
          </cell>
          <cell r="BT303">
            <v>2896059.875</v>
          </cell>
          <cell r="BU303">
            <v>0</v>
          </cell>
          <cell r="BV303">
            <v>4674594.8740002112</v>
          </cell>
          <cell r="BW303">
            <v>0</v>
          </cell>
          <cell r="BX303">
            <v>18709326.675000001</v>
          </cell>
          <cell r="BZ303">
            <v>-96054154.044999838</v>
          </cell>
          <cell r="CA303">
            <v>-172535676.46299982</v>
          </cell>
          <cell r="CB303">
            <v>96054153.977000013</v>
          </cell>
          <cell r="CC303">
            <v>108313855.29900001</v>
          </cell>
          <cell r="CD303">
            <v>125302921.86400001</v>
          </cell>
          <cell r="CE303">
            <v>65372776.031000003</v>
          </cell>
          <cell r="CF303">
            <v>42976000</v>
          </cell>
          <cell r="CG303">
            <v>16954145.833000001</v>
          </cell>
          <cell r="CH303">
            <v>-17023734.491</v>
          </cell>
          <cell r="CI303">
            <v>34667.925999999869</v>
          </cell>
          <cell r="CJ303">
            <v>-12259701.321999999</v>
          </cell>
          <cell r="CK303">
            <v>1496005.7800000007</v>
          </cell>
          <cell r="CL303">
            <v>22891378.368999999</v>
          </cell>
          <cell r="CM303">
            <v>-1805882.0039999997</v>
          </cell>
          <cell r="CN303">
            <v>5250000</v>
          </cell>
          <cell r="CO303">
            <v>-7055882.0039999997</v>
          </cell>
          <cell r="CP303">
            <v>24697260.373</v>
          </cell>
          <cell r="CQ303">
            <v>0</v>
          </cell>
          <cell r="CR303">
            <v>-2379139.6270000003</v>
          </cell>
          <cell r="CS303">
            <v>-409500</v>
          </cell>
          <cell r="CT303">
            <v>0</v>
          </cell>
          <cell r="CU303">
            <v>27485900</v>
          </cell>
          <cell r="CV303">
            <v>8451500</v>
          </cell>
          <cell r="CW303">
            <v>0</v>
          </cell>
          <cell r="CX303">
            <v>-19781785.804999996</v>
          </cell>
          <cell r="CY303">
            <v>-405927.24</v>
          </cell>
          <cell r="CZ303">
            <v>-19362846.153999999</v>
          </cell>
          <cell r="DA303">
            <v>-350000</v>
          </cell>
          <cell r="DB303">
            <v>-453846.15400000004</v>
          </cell>
          <cell r="DC303">
            <v>-18559000</v>
          </cell>
          <cell r="DD303">
            <v>-13012.410999999998</v>
          </cell>
          <cell r="DE303">
            <v>-1613586.7840000023</v>
          </cell>
          <cell r="DF303">
            <v>0</v>
          </cell>
          <cell r="DG303">
            <v>-1812011.0940000024</v>
          </cell>
          <cell r="DH303">
            <v>198424.31</v>
          </cell>
          <cell r="DI303">
            <v>-13755707.102</v>
          </cell>
          <cell r="DJ303">
            <v>-5774000</v>
          </cell>
          <cell r="DK303" t="str">
            <v/>
          </cell>
          <cell r="DL303" t="str">
            <v/>
          </cell>
          <cell r="DM303">
            <v>22500000</v>
          </cell>
          <cell r="DN303">
            <v>-28274000</v>
          </cell>
          <cell r="DO303" t="str">
            <v/>
          </cell>
          <cell r="DP303">
            <v>-7981707.102</v>
          </cell>
          <cell r="DQ303">
            <v>-739797.61499999999</v>
          </cell>
          <cell r="DR303">
            <v>0</v>
          </cell>
          <cell r="DS303" t="str">
            <v/>
          </cell>
          <cell r="DT303">
            <v>6.799982488155365E-2</v>
          </cell>
          <cell r="DU303" t="str">
            <v/>
          </cell>
          <cell r="DV303" t="str">
            <v/>
          </cell>
          <cell r="DW303">
            <v>13446101.250999998</v>
          </cell>
          <cell r="DX303" t="str">
            <v/>
          </cell>
          <cell r="DY303" t="str">
            <v/>
          </cell>
          <cell r="DZ303">
            <v>5538382.3429999994</v>
          </cell>
          <cell r="EA303">
            <v>24931453.399</v>
          </cell>
          <cell r="EB303">
            <v>17023734.491</v>
          </cell>
          <cell r="EC303">
            <v>7907718.9079999998</v>
          </cell>
          <cell r="EF303">
            <v>23</v>
          </cell>
        </row>
        <row r="304">
          <cell r="E304">
            <v>38699.6875</v>
          </cell>
          <cell r="F304">
            <v>496718801.04300004</v>
          </cell>
          <cell r="G304">
            <v>365178075.75100005</v>
          </cell>
          <cell r="H304">
            <v>364780399.70200002</v>
          </cell>
          <cell r="I304">
            <v>336755854.611</v>
          </cell>
          <cell r="J304">
            <v>79692212.329999998</v>
          </cell>
          <cell r="K304">
            <v>44627778.658999994</v>
          </cell>
          <cell r="L304">
            <v>4390906.8890000004</v>
          </cell>
          <cell r="M304">
            <v>2026292.879</v>
          </cell>
          <cell r="N304">
            <v>185811088.41200003</v>
          </cell>
          <cell r="O304">
            <v>131784775.50600001</v>
          </cell>
          <cell r="P304">
            <v>23169111.594999999</v>
          </cell>
          <cell r="Q304">
            <v>30857201.311000008</v>
          </cell>
          <cell r="R304">
            <v>60749176.032000013</v>
          </cell>
          <cell r="S304">
            <v>52850807.417000011</v>
          </cell>
          <cell r="T304">
            <v>5690243.4309999999</v>
          </cell>
          <cell r="U304">
            <v>2208125.1839999999</v>
          </cell>
          <cell r="V304">
            <v>1890361.3</v>
          </cell>
          <cell r="W304">
            <v>4086178.0690000001</v>
          </cell>
          <cell r="X304">
            <v>28024545.090999998</v>
          </cell>
          <cell r="Y304">
            <v>1136223.4489999998</v>
          </cell>
          <cell r="Z304">
            <v>10683395.804</v>
          </cell>
          <cell r="AA304">
            <v>1567747.3030000001</v>
          </cell>
          <cell r="AB304">
            <v>8366347.6829999993</v>
          </cell>
          <cell r="AC304">
            <v>6270830.8520000018</v>
          </cell>
          <cell r="AD304">
            <v>397676.049</v>
          </cell>
          <cell r="AE304">
            <v>131540725.292</v>
          </cell>
          <cell r="AF304">
            <v>73771725.291999996</v>
          </cell>
          <cell r="AG304">
            <v>57769000</v>
          </cell>
          <cell r="AH304">
            <v>642012177.62499988</v>
          </cell>
          <cell r="AI304">
            <v>467383965.19999993</v>
          </cell>
          <cell r="AJ304">
            <v>460943187.616</v>
          </cell>
          <cell r="AK304">
            <v>118665595.83399999</v>
          </cell>
          <cell r="AL304">
            <v>39065743.601000004</v>
          </cell>
          <cell r="AM304">
            <v>332163712.13199997</v>
          </cell>
          <cell r="AN304">
            <v>10043319.506999999</v>
          </cell>
          <cell r="AO304">
            <v>141286490.118</v>
          </cell>
          <cell r="AP304">
            <v>1889906.3360000001</v>
          </cell>
          <cell r="AQ304">
            <v>75105574.743000001</v>
          </cell>
          <cell r="AR304">
            <v>6718004.1710000001</v>
          </cell>
          <cell r="AS304">
            <v>18169721.978</v>
          </cell>
          <cell r="AT304">
            <v>6447288.6600000001</v>
          </cell>
          <cell r="AU304">
            <v>11722433.318</v>
          </cell>
          <cell r="AV304">
            <v>97601925.292999998</v>
          </cell>
          <cell r="AW304">
            <v>1435409</v>
          </cell>
          <cell r="AX304">
            <v>428841.44300000003</v>
          </cell>
          <cell r="AY304">
            <v>15230814.942</v>
          </cell>
          <cell r="AZ304">
            <v>1470119.4739999999</v>
          </cell>
          <cell r="BA304">
            <v>17429288.448000003</v>
          </cell>
          <cell r="BB304">
            <v>323017478.69299996</v>
          </cell>
          <cell r="BC304">
            <v>146190057.18599999</v>
          </cell>
          <cell r="BD304">
            <v>26683866.944999997</v>
          </cell>
          <cell r="BE304">
            <v>29722626.733999997</v>
          </cell>
          <cell r="BF304">
            <v>2251881.7060000002</v>
          </cell>
          <cell r="BG304">
            <v>0</v>
          </cell>
          <cell r="BH304">
            <v>174575539.801</v>
          </cell>
          <cell r="BI304">
            <v>73771725.291999996</v>
          </cell>
          <cell r="BJ304">
            <v>100803814.509</v>
          </cell>
          <cell r="BK304">
            <v>-13169013.199999999</v>
          </cell>
          <cell r="BL304">
            <v>-2674371.2350000003</v>
          </cell>
          <cell r="BM304">
            <v>-10494641.965</v>
          </cell>
          <cell r="BN304">
            <v>-145293376.58199984</v>
          </cell>
          <cell r="BO304">
            <v>-276834101.87399983</v>
          </cell>
          <cell r="BP304">
            <v>-258664379.89599979</v>
          </cell>
          <cell r="BQ304">
            <v>-102258562.07299984</v>
          </cell>
          <cell r="BR304">
            <v>23123574.386000209</v>
          </cell>
          <cell r="BS304">
            <v>6286887.4139999989</v>
          </cell>
          <cell r="BT304">
            <v>6286887.4139999989</v>
          </cell>
          <cell r="BU304">
            <v>0</v>
          </cell>
          <cell r="BV304">
            <v>1513125.3240002114</v>
          </cell>
          <cell r="BW304">
            <v>0</v>
          </cell>
          <cell r="BX304">
            <v>15323561.648</v>
          </cell>
          <cell r="BZ304">
            <v>-122169802.19599962</v>
          </cell>
          <cell r="CA304">
            <v>-253710527.48799962</v>
          </cell>
          <cell r="CB304">
            <v>122169801.50600001</v>
          </cell>
          <cell r="CC304">
            <v>136205687.53600001</v>
          </cell>
          <cell r="CD304">
            <v>160608049.54899999</v>
          </cell>
          <cell r="CE304">
            <v>100803814.509</v>
          </cell>
          <cell r="CF304">
            <v>35786000</v>
          </cell>
          <cell r="CG304">
            <v>24018235.039999995</v>
          </cell>
          <cell r="CH304">
            <v>-24511118.623</v>
          </cell>
          <cell r="CI304">
            <v>108756.61</v>
          </cell>
          <cell r="CJ304">
            <v>-14035886.030000001</v>
          </cell>
          <cell r="CK304">
            <v>10765907.343999997</v>
          </cell>
          <cell r="CL304">
            <v>34509835.478</v>
          </cell>
          <cell r="CM304">
            <v>-1373453.0260000005</v>
          </cell>
          <cell r="CN304">
            <v>7972000</v>
          </cell>
          <cell r="CO304">
            <v>-9345453.0260000005</v>
          </cell>
          <cell r="CP304">
            <v>35883288.504000001</v>
          </cell>
          <cell r="CQ304">
            <v>0</v>
          </cell>
          <cell r="CR304">
            <v>-3184111.4960000003</v>
          </cell>
          <cell r="CS304">
            <v>490300</v>
          </cell>
          <cell r="CT304">
            <v>0</v>
          </cell>
          <cell r="CU304">
            <v>38577100</v>
          </cell>
          <cell r="CV304">
            <v>15740600</v>
          </cell>
          <cell r="CW304">
            <v>0</v>
          </cell>
          <cell r="CX304">
            <v>-20300922.618000001</v>
          </cell>
          <cell r="CY304">
            <v>-438819.984</v>
          </cell>
          <cell r="CZ304">
            <v>-19866692.307999998</v>
          </cell>
          <cell r="DA304">
            <v>-700000</v>
          </cell>
          <cell r="DB304">
            <v>-907692.30800000008</v>
          </cell>
          <cell r="DC304">
            <v>-18259000</v>
          </cell>
          <cell r="DD304">
            <v>4589.6739999999991</v>
          </cell>
          <cell r="DE304">
            <v>-3443005.5160000026</v>
          </cell>
          <cell r="DF304">
            <v>0</v>
          </cell>
          <cell r="DG304">
            <v>-2416014.7920000032</v>
          </cell>
          <cell r="DH304">
            <v>-1026990.7239999995</v>
          </cell>
          <cell r="DI304">
            <v>-24801793.373999998</v>
          </cell>
          <cell r="DJ304">
            <v>-13774000</v>
          </cell>
          <cell r="DK304">
            <v>0</v>
          </cell>
          <cell r="DL304">
            <v>0</v>
          </cell>
          <cell r="DM304">
            <v>37000000</v>
          </cell>
          <cell r="DN304">
            <v>-50774000</v>
          </cell>
          <cell r="DO304" t="str">
            <v/>
          </cell>
          <cell r="DP304">
            <v>-11027793.373999998</v>
          </cell>
          <cell r="DQ304">
            <v>-986396.82</v>
          </cell>
          <cell r="DR304">
            <v>0</v>
          </cell>
          <cell r="DS304">
            <v>0.3939998596906662</v>
          </cell>
          <cell r="DT304">
            <v>0.29599975049495697</v>
          </cell>
          <cell r="DU304">
            <v>70700725.581</v>
          </cell>
          <cell r="DV304">
            <v>52531003.603</v>
          </cell>
          <cell r="DW304">
            <v>18169721.978</v>
          </cell>
          <cell r="DX304">
            <v>34467173.640000001</v>
          </cell>
          <cell r="DY304">
            <v>28019884.98</v>
          </cell>
          <cell r="DZ304">
            <v>6447288.6600000001</v>
          </cell>
          <cell r="EA304">
            <v>36233551.941</v>
          </cell>
          <cell r="EB304">
            <v>24511118.623</v>
          </cell>
          <cell r="EC304">
            <v>11722433.318</v>
          </cell>
          <cell r="EF304">
            <v>24</v>
          </cell>
        </row>
        <row r="305">
          <cell r="E305">
            <v>38791</v>
          </cell>
          <cell r="F305">
            <v>129569263.47399998</v>
          </cell>
          <cell r="G305">
            <v>87904184.328999981</v>
          </cell>
          <cell r="H305">
            <v>87859752.338999987</v>
          </cell>
          <cell r="I305">
            <v>83676390.304999992</v>
          </cell>
          <cell r="J305">
            <v>18323389.328000002</v>
          </cell>
          <cell r="K305">
            <v>9119501.5709999986</v>
          </cell>
          <cell r="L305">
            <v>1313274.29</v>
          </cell>
          <cell r="M305">
            <v>412776.96399999998</v>
          </cell>
          <cell r="N305">
            <v>47924953.221000001</v>
          </cell>
          <cell r="O305">
            <v>34722220.230999999</v>
          </cell>
          <cell r="P305">
            <v>5650845.7709999997</v>
          </cell>
          <cell r="Q305">
            <v>7551887.2190000024</v>
          </cell>
          <cell r="R305">
            <v>14832047.195</v>
          </cell>
          <cell r="S305">
            <v>13326537.541000001</v>
          </cell>
          <cell r="T305">
            <v>1426536.8470000001</v>
          </cell>
          <cell r="U305">
            <v>78972.807000000001</v>
          </cell>
          <cell r="V305">
            <v>0</v>
          </cell>
          <cell r="W305">
            <v>869949.30699999991</v>
          </cell>
          <cell r="X305">
            <v>4183362.034</v>
          </cell>
          <cell r="Y305">
            <v>160328.47700000001</v>
          </cell>
          <cell r="Z305">
            <v>2658073.1529999999</v>
          </cell>
          <cell r="AA305">
            <v>360977.37800000003</v>
          </cell>
          <cell r="AB305">
            <v>4488.6710000000003</v>
          </cell>
          <cell r="AC305">
            <v>999494.35499999998</v>
          </cell>
          <cell r="AD305">
            <v>44431.99</v>
          </cell>
          <cell r="AE305">
            <v>41665079.145000003</v>
          </cell>
          <cell r="AF305">
            <v>21931079.145000003</v>
          </cell>
          <cell r="AG305">
            <v>19734000</v>
          </cell>
          <cell r="AH305">
            <v>152267618.486</v>
          </cell>
          <cell r="AI305">
            <v>108771101.596</v>
          </cell>
          <cell r="AJ305">
            <v>107079462.733</v>
          </cell>
          <cell r="AK305">
            <v>24751937.620999999</v>
          </cell>
          <cell r="AL305">
            <v>13680002.362</v>
          </cell>
          <cell r="AM305">
            <v>94357412.106999993</v>
          </cell>
          <cell r="AN305">
            <v>0</v>
          </cell>
          <cell r="AO305">
            <v>38607493.276000001</v>
          </cell>
          <cell r="AP305">
            <v>0</v>
          </cell>
          <cell r="AQ305">
            <v>26062382.355</v>
          </cell>
          <cell r="AR305">
            <v>0</v>
          </cell>
          <cell r="AS305">
            <v>3718344.1999999997</v>
          </cell>
          <cell r="AT305">
            <v>1691638.8629999999</v>
          </cell>
          <cell r="AU305">
            <v>2026705.3369999998</v>
          </cell>
          <cell r="AV305">
            <v>25969192.276000001</v>
          </cell>
          <cell r="AW305">
            <v>0</v>
          </cell>
          <cell r="AX305">
            <v>254473.82</v>
          </cell>
          <cell r="AY305">
            <v>5067302.9819999998</v>
          </cell>
          <cell r="AZ305">
            <v>248051.70499999999</v>
          </cell>
          <cell r="BA305">
            <v>6276459.3849999998</v>
          </cell>
          <cell r="BB305">
            <v>61817341.715000004</v>
          </cell>
          <cell r="BC305">
            <v>20347530.162</v>
          </cell>
          <cell r="BD305">
            <v>7963197.1720000003</v>
          </cell>
          <cell r="BE305">
            <v>2039021.05</v>
          </cell>
          <cell r="BF305">
            <v>0</v>
          </cell>
          <cell r="BG305">
            <v>0</v>
          </cell>
          <cell r="BH305">
            <v>41469811.553000003</v>
          </cell>
          <cell r="BI305">
            <v>21931079.145000003</v>
          </cell>
          <cell r="BJ305">
            <v>19538732.408</v>
          </cell>
          <cell r="BK305">
            <v>-3907135.3360000001</v>
          </cell>
          <cell r="BL305">
            <v>-348862.36600000004</v>
          </cell>
          <cell r="BM305">
            <v>-3558272.97</v>
          </cell>
          <cell r="BN305">
            <v>-22698355.012000024</v>
          </cell>
          <cell r="BO305">
            <v>-64363434.157000028</v>
          </cell>
          <cell r="BP305">
            <v>-60645089.957000032</v>
          </cell>
          <cell r="BQ305">
            <v>-22893622.604000017</v>
          </cell>
          <cell r="BR305">
            <v>142196.43466659077</v>
          </cell>
          <cell r="BS305">
            <v>1256134.6503333398</v>
          </cell>
          <cell r="BT305">
            <v>1256134.6503333398</v>
          </cell>
          <cell r="BU305">
            <v>0</v>
          </cell>
          <cell r="BV305">
            <v>-9112220.5256667491</v>
          </cell>
          <cell r="BW305">
            <v>0</v>
          </cell>
          <cell r="BX305">
            <v>7998282.3100000005</v>
          </cell>
          <cell r="BZ305">
            <v>-22556158.577333435</v>
          </cell>
          <cell r="CA305">
            <v>-64221237.722333439</v>
          </cell>
          <cell r="CB305">
            <v>24200861.199999996</v>
          </cell>
          <cell r="CC305">
            <v>17819865.873999998</v>
          </cell>
          <cell r="CD305">
            <v>23053678.517999999</v>
          </cell>
          <cell r="CE305">
            <v>19538732.408</v>
          </cell>
          <cell r="CF305">
            <v>0</v>
          </cell>
          <cell r="CG305">
            <v>3514946.11</v>
          </cell>
          <cell r="CH305">
            <v>-5233812.6439999994</v>
          </cell>
          <cell r="CI305">
            <v>0</v>
          </cell>
          <cell r="CJ305">
            <v>6380995.3259999976</v>
          </cell>
          <cell r="CK305">
            <v>17694108.057999998</v>
          </cell>
          <cell r="CL305">
            <v>19027390.842</v>
          </cell>
          <cell r="CM305">
            <v>2696000</v>
          </cell>
          <cell r="CN305">
            <v>2696000</v>
          </cell>
          <cell r="CO305">
            <v>0</v>
          </cell>
          <cell r="CP305">
            <v>16331390.842</v>
          </cell>
          <cell r="CQ305">
            <v>0</v>
          </cell>
          <cell r="CR305">
            <v>-811009.15799999994</v>
          </cell>
          <cell r="CS305">
            <v>3800</v>
          </cell>
          <cell r="CT305">
            <v>0</v>
          </cell>
          <cell r="CU305">
            <v>17138600</v>
          </cell>
          <cell r="CV305">
            <v>286000</v>
          </cell>
          <cell r="CW305">
            <v>0</v>
          </cell>
          <cell r="CX305">
            <v>-3317313.068</v>
          </cell>
          <cell r="CY305">
            <v>-32892.743999999999</v>
          </cell>
          <cell r="CZ305">
            <v>-3283332.5</v>
          </cell>
          <cell r="DA305">
            <v>0</v>
          </cell>
          <cell r="DB305">
            <v>0</v>
          </cell>
          <cell r="DC305">
            <v>-3283332.5</v>
          </cell>
          <cell r="DD305">
            <v>-1087.8240000000042</v>
          </cell>
          <cell r="DE305">
            <v>1984030.2839999986</v>
          </cell>
          <cell r="DF305">
            <v>0</v>
          </cell>
          <cell r="DG305">
            <v>-604003.69800000079</v>
          </cell>
          <cell r="DH305">
            <v>2588033.9819999994</v>
          </cell>
          <cell r="DI305">
            <v>-11313112.732000001</v>
          </cell>
          <cell r="DJ305">
            <v>-9749997.5</v>
          </cell>
          <cell r="DK305">
            <v>0</v>
          </cell>
          <cell r="DL305">
            <v>0</v>
          </cell>
          <cell r="DM305">
            <v>11000000</v>
          </cell>
          <cell r="DN305">
            <v>-20749997.5</v>
          </cell>
          <cell r="DO305" t="str">
            <v/>
          </cell>
          <cell r="DP305">
            <v>-1563115.2319999998</v>
          </cell>
          <cell r="DQ305">
            <v>-246599.20500000002</v>
          </cell>
          <cell r="DR305">
            <v>0</v>
          </cell>
          <cell r="DS305" t="str">
            <v/>
          </cell>
          <cell r="DT305">
            <v>-1644702.6226665601</v>
          </cell>
          <cell r="DU305">
            <v>11963177.675999999</v>
          </cell>
          <cell r="DV305">
            <v>8244833.4759999998</v>
          </cell>
          <cell r="DW305">
            <v>3718344.1999999997</v>
          </cell>
          <cell r="DX305">
            <v>4702659.6950000003</v>
          </cell>
          <cell r="DY305">
            <v>3011020.8319999999</v>
          </cell>
          <cell r="DZ305">
            <v>1691638.8629999999</v>
          </cell>
          <cell r="EA305">
            <v>7260517.9809999987</v>
          </cell>
          <cell r="EB305">
            <v>5233812.6439999994</v>
          </cell>
          <cell r="EC305">
            <v>2026705.3369999998</v>
          </cell>
          <cell r="EF305">
            <v>25</v>
          </cell>
        </row>
        <row r="306">
          <cell r="E306">
            <v>38882.3125</v>
          </cell>
          <cell r="F306">
            <v>307022294.47899997</v>
          </cell>
          <cell r="G306">
            <v>205195407.09999996</v>
          </cell>
          <cell r="H306">
            <v>205107029.80099997</v>
          </cell>
          <cell r="I306">
            <v>192637334.72299996</v>
          </cell>
          <cell r="J306">
            <v>51689856.568999998</v>
          </cell>
          <cell r="K306">
            <v>31886108.388999999</v>
          </cell>
          <cell r="L306">
            <v>2379576.253</v>
          </cell>
          <cell r="M306">
            <v>1003330.0049999999</v>
          </cell>
          <cell r="N306">
            <v>100474702.42199999</v>
          </cell>
          <cell r="O306">
            <v>72971559.611000001</v>
          </cell>
          <cell r="P306">
            <v>11929368.071</v>
          </cell>
          <cell r="Q306">
            <v>15573774.740000002</v>
          </cell>
          <cell r="R306">
            <v>35182147.693000004</v>
          </cell>
          <cell r="S306">
            <v>28853615.745000001</v>
          </cell>
          <cell r="T306">
            <v>2948890.8140000002</v>
          </cell>
          <cell r="U306">
            <v>3379641.1340000001</v>
          </cell>
          <cell r="V306">
            <v>3220286.932</v>
          </cell>
          <cell r="W306">
            <v>1907721.7810000004</v>
          </cell>
          <cell r="X306">
            <v>12469695.078000002</v>
          </cell>
          <cell r="Y306">
            <v>575589.75199999998</v>
          </cell>
          <cell r="Z306">
            <v>5668267.6699999999</v>
          </cell>
          <cell r="AA306">
            <v>809108.20499999996</v>
          </cell>
          <cell r="AB306">
            <v>2210616.6639999999</v>
          </cell>
          <cell r="AC306">
            <v>3206112.787</v>
          </cell>
          <cell r="AD306">
            <v>88377.299000000086</v>
          </cell>
          <cell r="AE306">
            <v>101826887.37900001</v>
          </cell>
          <cell r="AF306">
            <v>60130887.379000008</v>
          </cell>
          <cell r="AG306">
            <v>41696000</v>
          </cell>
          <cell r="AH306">
            <v>354250630.78899997</v>
          </cell>
          <cell r="AI306">
            <v>247103821.875</v>
          </cell>
          <cell r="AJ306">
            <v>243896850.57900003</v>
          </cell>
          <cell r="AK306">
            <v>68990579.414000005</v>
          </cell>
          <cell r="AL306">
            <v>29810906.712000001</v>
          </cell>
          <cell r="AM306">
            <v>195974343.86000001</v>
          </cell>
          <cell r="AN306">
            <v>2117480.3739999998</v>
          </cell>
          <cell r="AO306">
            <v>76435753.481000006</v>
          </cell>
          <cell r="AP306">
            <v>587335.44200000004</v>
          </cell>
          <cell r="AQ306">
            <v>49120829.312999994</v>
          </cell>
          <cell r="AR306">
            <v>1170144.932</v>
          </cell>
          <cell r="AS306">
            <v>10114364.403999999</v>
          </cell>
          <cell r="AT306">
            <v>3206971.2960000001</v>
          </cell>
          <cell r="AU306">
            <v>6907393.1079999991</v>
          </cell>
          <cell r="AV306">
            <v>60303396.662</v>
          </cell>
          <cell r="AW306">
            <v>360000</v>
          </cell>
          <cell r="AX306">
            <v>254473.82</v>
          </cell>
          <cell r="AY306">
            <v>10549217.817</v>
          </cell>
          <cell r="AZ306">
            <v>482919.98100000003</v>
          </cell>
          <cell r="BA306">
            <v>11010935.401000001</v>
          </cell>
          <cell r="BB306">
            <v>168101853.49700001</v>
          </cell>
          <cell r="BC306">
            <v>67862437.691</v>
          </cell>
          <cell r="BD306">
            <v>14047737.833000001</v>
          </cell>
          <cell r="BE306">
            <v>8121923.4620000003</v>
          </cell>
          <cell r="BF306">
            <v>850376.223</v>
          </cell>
          <cell r="BG306">
            <v>0</v>
          </cell>
          <cell r="BH306">
            <v>99389039.583000004</v>
          </cell>
          <cell r="BI306">
            <v>60130887.379000008</v>
          </cell>
          <cell r="BJ306">
            <v>39258152.203999996</v>
          </cell>
          <cell r="BK306">
            <v>-9825566.568</v>
          </cell>
          <cell r="BL306">
            <v>-1791368.638</v>
          </cell>
          <cell r="BM306">
            <v>-8034197.9300000006</v>
          </cell>
          <cell r="BN306">
            <v>-47228336.310000002</v>
          </cell>
          <cell r="BO306">
            <v>-149055223.68900001</v>
          </cell>
          <cell r="BP306">
            <v>-138940859.28500003</v>
          </cell>
          <cell r="BQ306">
            <v>-49666184.106000006</v>
          </cell>
          <cell r="BR306">
            <v>10226233.187000003</v>
          </cell>
          <cell r="BS306">
            <v>7822184.5510000009</v>
          </cell>
          <cell r="BT306">
            <v>7822184.5510000009</v>
          </cell>
          <cell r="BU306">
            <v>0</v>
          </cell>
          <cell r="BV306">
            <v>6556699.2420000024</v>
          </cell>
          <cell r="BW306">
            <v>0</v>
          </cell>
          <cell r="BX306">
            <v>-4152650.6059999997</v>
          </cell>
          <cell r="BZ306">
            <v>-37002103.122999996</v>
          </cell>
          <cell r="CA306">
            <v>-138828990.502</v>
          </cell>
          <cell r="CB306">
            <v>37663549.729999997</v>
          </cell>
          <cell r="CC306">
            <v>33484192.739999998</v>
          </cell>
          <cell r="CD306">
            <v>47430959.713999994</v>
          </cell>
          <cell r="CE306">
            <v>39258152.203999996</v>
          </cell>
          <cell r="CF306">
            <v>0</v>
          </cell>
          <cell r="CG306">
            <v>8172807.5099999988</v>
          </cell>
          <cell r="CH306">
            <v>-13946766.973999996</v>
          </cell>
          <cell r="CI306">
            <v>0</v>
          </cell>
          <cell r="CJ306">
            <v>4179356.99</v>
          </cell>
          <cell r="CK306">
            <v>3534374.6889999984</v>
          </cell>
          <cell r="CL306">
            <v>5582499.1160000004</v>
          </cell>
          <cell r="CM306">
            <v>2696000</v>
          </cell>
          <cell r="CN306">
            <v>2696000</v>
          </cell>
          <cell r="CO306">
            <v>0</v>
          </cell>
          <cell r="CP306">
            <v>2886499.1159999999</v>
          </cell>
          <cell r="CQ306">
            <v>0</v>
          </cell>
          <cell r="CR306">
            <v>-1628100.8840000001</v>
          </cell>
          <cell r="CS306">
            <v>-19900</v>
          </cell>
          <cell r="CT306">
            <v>0</v>
          </cell>
          <cell r="CU306">
            <v>4534500</v>
          </cell>
          <cell r="CV306">
            <v>-158000</v>
          </cell>
          <cell r="CW306">
            <v>0</v>
          </cell>
          <cell r="CX306">
            <v>-132578.99800000011</v>
          </cell>
          <cell r="CY306">
            <v>-65785.487999999998</v>
          </cell>
          <cell r="CZ306">
            <v>-53507.05400000012</v>
          </cell>
          <cell r="DA306">
            <v>-350000</v>
          </cell>
          <cell r="DB306">
            <v>-453846.15400000004</v>
          </cell>
          <cell r="DC306">
            <v>750339.1</v>
          </cell>
          <cell r="DD306">
            <v>-13286.456000000004</v>
          </cell>
          <cell r="DE306">
            <v>-1915545.4290000023</v>
          </cell>
          <cell r="DF306">
            <v>0</v>
          </cell>
          <cell r="DG306">
            <v>-1208007.3960000016</v>
          </cell>
          <cell r="DH306">
            <v>-707538.03300000075</v>
          </cell>
          <cell r="DI306">
            <v>644982.30100000172</v>
          </cell>
          <cell r="DJ306">
            <v>2807206.3500000015</v>
          </cell>
          <cell r="DK306">
            <v>0</v>
          </cell>
          <cell r="DL306">
            <v>0</v>
          </cell>
          <cell r="DM306">
            <v>23557203.850000001</v>
          </cell>
          <cell r="DN306">
            <v>-20749997.5</v>
          </cell>
          <cell r="DO306" t="str">
            <v/>
          </cell>
          <cell r="DP306">
            <v>-2661445.4929999998</v>
          </cell>
          <cell r="DQ306">
            <v>-493198.41</v>
          </cell>
          <cell r="DR306">
            <v>499221.44400000002</v>
          </cell>
          <cell r="DS306" t="str">
            <v/>
          </cell>
          <cell r="DT306">
            <v>-661446.60700000077</v>
          </cell>
          <cell r="DU306">
            <v>30428316.792999994</v>
          </cell>
          <cell r="DV306">
            <v>20313952.388999995</v>
          </cell>
          <cell r="DW306">
            <v>10114364.403999999</v>
          </cell>
          <cell r="DX306">
            <v>9574156.7109999992</v>
          </cell>
          <cell r="DY306">
            <v>6367185.415</v>
          </cell>
          <cell r="DZ306">
            <v>3206971.2960000001</v>
          </cell>
          <cell r="EA306">
            <v>20854160.081999995</v>
          </cell>
          <cell r="EB306">
            <v>13946766.973999996</v>
          </cell>
          <cell r="EC306">
            <v>6907393.1079999991</v>
          </cell>
          <cell r="EF306">
            <v>26</v>
          </cell>
        </row>
        <row r="307">
          <cell r="E307">
            <v>38973.625</v>
          </cell>
          <cell r="F307">
            <v>447986657.44499999</v>
          </cell>
          <cell r="G307">
            <v>301597351.972</v>
          </cell>
          <cell r="H307">
            <v>301482410.88800001</v>
          </cell>
          <cell r="I307">
            <v>279357917.82300001</v>
          </cell>
          <cell r="J307">
            <v>69120214.417000011</v>
          </cell>
          <cell r="K307">
            <v>39026026.751999997</v>
          </cell>
          <cell r="L307">
            <v>3822176.023</v>
          </cell>
          <cell r="M307">
            <v>1438675.0289999999</v>
          </cell>
          <cell r="N307">
            <v>147070619.97600001</v>
          </cell>
          <cell r="O307">
            <v>107154927.13000001</v>
          </cell>
          <cell r="P307">
            <v>17309902.366</v>
          </cell>
          <cell r="Q307">
            <v>22605790.48</v>
          </cell>
          <cell r="R307">
            <v>54894653.770999998</v>
          </cell>
          <cell r="S307">
            <v>43830685.387000002</v>
          </cell>
          <cell r="T307">
            <v>4464754.8629999999</v>
          </cell>
          <cell r="U307">
            <v>6599213.5209999997</v>
          </cell>
          <cell r="V307">
            <v>6355544.9059999995</v>
          </cell>
          <cell r="W307">
            <v>3011578.6070000008</v>
          </cell>
          <cell r="X307">
            <v>22124493.064999998</v>
          </cell>
          <cell r="Y307">
            <v>892989.41899999999</v>
          </cell>
          <cell r="Z307">
            <v>8630883.8509999998</v>
          </cell>
          <cell r="AA307">
            <v>1387719.246</v>
          </cell>
          <cell r="AB307">
            <v>7511150.9809999987</v>
          </cell>
          <cell r="AC307">
            <v>3701749.568</v>
          </cell>
          <cell r="AD307">
            <v>114941.08400000009</v>
          </cell>
          <cell r="AE307">
            <v>146389305.47299999</v>
          </cell>
          <cell r="AF307">
            <v>97849305.473000005</v>
          </cell>
          <cell r="AG307">
            <v>48540000</v>
          </cell>
          <cell r="AH307">
            <v>562528788.72819996</v>
          </cell>
          <cell r="AI307">
            <v>378751333.77259994</v>
          </cell>
          <cell r="AJ307">
            <v>374049243.48559999</v>
          </cell>
          <cell r="AK307">
            <v>85447146.902999997</v>
          </cell>
          <cell r="AL307">
            <v>42794893.142999999</v>
          </cell>
          <cell r="AM307">
            <v>290490741.9242</v>
          </cell>
          <cell r="AN307">
            <v>5569677.54</v>
          </cell>
          <cell r="AO307">
            <v>115324398.758</v>
          </cell>
          <cell r="AP307">
            <v>671335.44200000004</v>
          </cell>
          <cell r="AQ307">
            <v>65388841.886999995</v>
          </cell>
          <cell r="AR307">
            <v>4538342.0980000002</v>
          </cell>
          <cell r="AS307">
            <v>13571441.794</v>
          </cell>
          <cell r="AT307">
            <v>4702090.2869999995</v>
          </cell>
          <cell r="AU307">
            <v>8869351.5069999993</v>
          </cell>
          <cell r="AV307">
            <v>96206059.485200003</v>
          </cell>
          <cell r="AW307">
            <v>360000</v>
          </cell>
          <cell r="AX307">
            <v>453232.09499999997</v>
          </cell>
          <cell r="AY307">
            <v>14113845.497</v>
          </cell>
          <cell r="AZ307">
            <v>909315.23900000006</v>
          </cell>
          <cell r="BA307">
            <v>17204954.793000001</v>
          </cell>
          <cell r="BB307">
            <v>282295528.54100001</v>
          </cell>
          <cell r="BC307">
            <v>107387424.881</v>
          </cell>
          <cell r="BD307">
            <v>17682034.142000001</v>
          </cell>
          <cell r="BE307">
            <v>15481902.587000001</v>
          </cell>
          <cell r="BF307">
            <v>2605590.4459999995</v>
          </cell>
          <cell r="BG307">
            <v>0</v>
          </cell>
          <cell r="BH307">
            <v>172302513.21399999</v>
          </cell>
          <cell r="BI307">
            <v>97849305.473000005</v>
          </cell>
          <cell r="BJ307">
            <v>74453207.740999997</v>
          </cell>
          <cell r="BK307">
            <v>-10257481.737000002</v>
          </cell>
          <cell r="BL307">
            <v>-1870524.7139999999</v>
          </cell>
          <cell r="BM307">
            <v>-8386957.023000001</v>
          </cell>
          <cell r="BN307">
            <v>-114542131.28319997</v>
          </cell>
          <cell r="BO307">
            <v>-260931436.75619996</v>
          </cell>
          <cell r="BP307">
            <v>-247359994.96219993</v>
          </cell>
          <cell r="BQ307">
            <v>-88628923.542199969</v>
          </cell>
          <cell r="BR307">
            <v>28500254.897000007</v>
          </cell>
          <cell r="BS307">
            <v>6859607.4930000016</v>
          </cell>
          <cell r="BT307">
            <v>6859607.4930000016</v>
          </cell>
          <cell r="BU307">
            <v>0</v>
          </cell>
          <cell r="BV307">
            <v>18012438.121000007</v>
          </cell>
          <cell r="BW307" t="str">
            <v/>
          </cell>
          <cell r="BX307">
            <v>3628209.2830000003</v>
          </cell>
          <cell r="BZ307">
            <v>-86041876.386199951</v>
          </cell>
          <cell r="CA307">
            <v>-232431181.85919994</v>
          </cell>
          <cell r="CB307">
            <v>85581461.884000003</v>
          </cell>
          <cell r="CC307">
            <v>110858189.15000001</v>
          </cell>
          <cell r="CD307">
            <v>129395378.682</v>
          </cell>
          <cell r="CE307">
            <v>74453207.740999997</v>
          </cell>
          <cell r="CF307">
            <v>43313000</v>
          </cell>
          <cell r="CG307">
            <v>11629170.941</v>
          </cell>
          <cell r="CH307">
            <v>-18537189.531999998</v>
          </cell>
          <cell r="CI307">
            <v>0</v>
          </cell>
          <cell r="CJ307">
            <v>-25276727.266000006</v>
          </cell>
          <cell r="CK307">
            <v>-28249453.819000006</v>
          </cell>
          <cell r="CL307">
            <v>-23595420.798</v>
          </cell>
          <cell r="CM307">
            <v>2696000</v>
          </cell>
          <cell r="CN307">
            <v>2696000</v>
          </cell>
          <cell r="CO307">
            <v>0</v>
          </cell>
          <cell r="CP307">
            <v>-26291420.798</v>
          </cell>
          <cell r="CQ307" t="str">
            <v/>
          </cell>
          <cell r="CR307">
            <v>-2451320.798</v>
          </cell>
          <cell r="CS307">
            <v>-195000</v>
          </cell>
          <cell r="CT307">
            <v>0</v>
          </cell>
          <cell r="CU307">
            <v>-23645100</v>
          </cell>
          <cell r="CV307">
            <v>-598700</v>
          </cell>
          <cell r="CW307">
            <v>0</v>
          </cell>
          <cell r="CX307">
            <v>-118588.39199999999</v>
          </cell>
          <cell r="CY307">
            <v>-418184.51199999999</v>
          </cell>
          <cell r="CZ307">
            <v>307482.946</v>
          </cell>
          <cell r="DA307">
            <v>-350000</v>
          </cell>
          <cell r="DB307">
            <v>-453846.15400000004</v>
          </cell>
          <cell r="DC307">
            <v>1111329.1000000001</v>
          </cell>
          <cell r="DD307">
            <v>-7886.8260000000009</v>
          </cell>
          <cell r="DE307">
            <v>-4535444.6290000025</v>
          </cell>
          <cell r="DF307">
            <v>0</v>
          </cell>
          <cell r="DG307">
            <v>-1812011.0940000024</v>
          </cell>
          <cell r="DH307">
            <v>-2723433.5350000001</v>
          </cell>
          <cell r="DI307">
            <v>2972726.5529999994</v>
          </cell>
          <cell r="DJ307">
            <v>-8421599</v>
          </cell>
          <cell r="DK307" t="str">
            <v/>
          </cell>
          <cell r="DL307" t="str">
            <v/>
          </cell>
          <cell r="DM307">
            <v>36403398.5</v>
          </cell>
          <cell r="DN307">
            <v>-44824997.5</v>
          </cell>
          <cell r="DO307">
            <v>15036407.956999999</v>
          </cell>
          <cell r="DP307">
            <v>-4141303.8479999998</v>
          </cell>
          <cell r="DQ307">
            <v>-739797.61499999999</v>
          </cell>
          <cell r="DR307">
            <v>499221.44400000002</v>
          </cell>
          <cell r="DS307" t="str">
            <v/>
          </cell>
          <cell r="DT307">
            <v>460414.50219994783</v>
          </cell>
          <cell r="DU307">
            <v>41735297.731999993</v>
          </cell>
          <cell r="DV307">
            <v>28163855.937999997</v>
          </cell>
          <cell r="DW307">
            <v>13571441.794</v>
          </cell>
          <cell r="DX307">
            <v>14328756.693</v>
          </cell>
          <cell r="DY307">
            <v>9626666.4059999995</v>
          </cell>
          <cell r="DZ307">
            <v>4702090.2869999995</v>
          </cell>
          <cell r="EA307">
            <v>27406541.038999997</v>
          </cell>
          <cell r="EB307">
            <v>18537189.531999998</v>
          </cell>
          <cell r="EC307">
            <v>8869351.5069999993</v>
          </cell>
          <cell r="EF307">
            <v>27</v>
          </cell>
        </row>
        <row r="308">
          <cell r="E308">
            <v>39064.9375</v>
          </cell>
          <cell r="F308">
            <v>561898810.61800003</v>
          </cell>
          <cell r="G308">
            <v>391918600.1730001</v>
          </cell>
          <cell r="H308">
            <v>391296197.60200012</v>
          </cell>
          <cell r="I308">
            <v>362324209.37700009</v>
          </cell>
          <cell r="J308">
            <v>85737288.056000024</v>
          </cell>
          <cell r="K308">
            <v>45386091.316999994</v>
          </cell>
          <cell r="L308">
            <v>4891846.1409999998</v>
          </cell>
          <cell r="M308">
            <v>2079762.7549999997</v>
          </cell>
          <cell r="N308">
            <v>194347024.41600001</v>
          </cell>
          <cell r="O308">
            <v>140453158.89400002</v>
          </cell>
          <cell r="P308">
            <v>23579476.346000001</v>
          </cell>
          <cell r="Q308">
            <v>30314389.175999995</v>
          </cell>
          <cell r="R308">
            <v>71285018.256000012</v>
          </cell>
          <cell r="S308">
            <v>58434492.960000008</v>
          </cell>
          <cell r="T308">
            <v>6167648.5330000008</v>
          </cell>
          <cell r="U308">
            <v>6682876.7629999993</v>
          </cell>
          <cell r="V308">
            <v>6355544.9059999995</v>
          </cell>
          <cell r="W308">
            <v>3983269.753000001</v>
          </cell>
          <cell r="X308">
            <v>28971988.224999994</v>
          </cell>
          <cell r="Y308">
            <v>1310945.4620000001</v>
          </cell>
          <cell r="Z308">
            <v>11530799.809999997</v>
          </cell>
          <cell r="AA308">
            <v>1640343.2459999998</v>
          </cell>
          <cell r="AB308">
            <v>7643480.0019999994</v>
          </cell>
          <cell r="AC308">
            <v>6846419.7050000001</v>
          </cell>
          <cell r="AD308">
            <v>622402.571</v>
          </cell>
          <cell r="AE308">
            <v>169980210.44499999</v>
          </cell>
          <cell r="AF308">
            <v>112339210.44500001</v>
          </cell>
          <cell r="AG308">
            <v>57641000</v>
          </cell>
          <cell r="AH308">
            <v>733539278.16559994</v>
          </cell>
          <cell r="AI308">
            <v>515195842.4555999</v>
          </cell>
          <cell r="AJ308">
            <v>510117404.43759996</v>
          </cell>
          <cell r="AK308">
            <v>121482324.17299999</v>
          </cell>
          <cell r="AL308">
            <v>54315041.251000002</v>
          </cell>
          <cell r="AM308">
            <v>387266552.07459998</v>
          </cell>
          <cell r="AN308">
            <v>6489203.6880000001</v>
          </cell>
          <cell r="AO308">
            <v>159949051.12099999</v>
          </cell>
          <cell r="AP308">
            <v>701246.94200000004</v>
          </cell>
          <cell r="AQ308">
            <v>82219298.679000005</v>
          </cell>
          <cell r="AR308">
            <v>5307956.7460000003</v>
          </cell>
          <cell r="AS308">
            <v>17348165.833999999</v>
          </cell>
          <cell r="AT308">
            <v>5078438.0179999992</v>
          </cell>
          <cell r="AU308">
            <v>12269727.815999998</v>
          </cell>
          <cell r="AV308">
            <v>127750036.44060001</v>
          </cell>
          <cell r="AW308">
            <v>480000</v>
          </cell>
          <cell r="AX308">
            <v>453232.09499999997</v>
          </cell>
          <cell r="AY308">
            <v>21783914.818999998</v>
          </cell>
          <cell r="AZ308">
            <v>1559531.476</v>
          </cell>
          <cell r="BA308">
            <v>20186479.806000002</v>
          </cell>
          <cell r="BB308">
            <v>360913873.69099998</v>
          </cell>
          <cell r="BC308">
            <v>154840165.79699999</v>
          </cell>
          <cell r="BD308">
            <v>24836188.992000002</v>
          </cell>
          <cell r="BE308">
            <v>18321369.302000001</v>
          </cell>
          <cell r="BF308">
            <v>2609807.7149999999</v>
          </cell>
          <cell r="BG308" t="str">
            <v/>
          </cell>
          <cell r="BH308">
            <v>203463900.17899999</v>
          </cell>
          <cell r="BI308">
            <v>107388217.25400001</v>
          </cell>
          <cell r="BJ308">
            <v>96075682.924999982</v>
          </cell>
          <cell r="BK308">
            <v>-14641147.600000001</v>
          </cell>
          <cell r="BL308">
            <v>-2818370.4139999999</v>
          </cell>
          <cell r="BM308">
            <v>-11822777.186000001</v>
          </cell>
          <cell r="BN308">
            <v>-171640467.54759991</v>
          </cell>
          <cell r="BO308">
            <v>-341620677.9925999</v>
          </cell>
          <cell r="BP308">
            <v>-324272512.15859985</v>
          </cell>
          <cell r="BQ308">
            <v>-138156777.81359982</v>
          </cell>
          <cell r="BR308">
            <v>37204846.281000003</v>
          </cell>
          <cell r="BS308">
            <v>7471076.5600000005</v>
          </cell>
          <cell r="BT308">
            <v>7471076.5600000005</v>
          </cell>
          <cell r="BU308" t="str">
            <v/>
          </cell>
          <cell r="BV308">
            <v>22838757.088</v>
          </cell>
          <cell r="BW308" t="str">
            <v/>
          </cell>
          <cell r="BX308">
            <v>6895012.6329999994</v>
          </cell>
          <cell r="BZ308">
            <v>-134435621.26659989</v>
          </cell>
          <cell r="CA308">
            <v>-304415831.71159989</v>
          </cell>
          <cell r="CB308">
            <v>130468281.69199997</v>
          </cell>
          <cell r="CC308">
            <v>130103843.93699998</v>
          </cell>
          <cell r="CD308">
            <v>154773093.39599997</v>
          </cell>
          <cell r="CE308">
            <v>96075682.924999982</v>
          </cell>
          <cell r="CF308">
            <v>43313000</v>
          </cell>
          <cell r="CG308">
            <v>15384410.470999997</v>
          </cell>
          <cell r="CH308">
            <v>-24669249.458999999</v>
          </cell>
          <cell r="CI308">
            <v>0</v>
          </cell>
          <cell r="CJ308">
            <v>364437.75500000175</v>
          </cell>
          <cell r="CK308">
            <v>5378366.8679999979</v>
          </cell>
          <cell r="CL308">
            <v>12973285.138</v>
          </cell>
          <cell r="CM308">
            <v>9913000</v>
          </cell>
          <cell r="CN308">
            <v>9913000</v>
          </cell>
          <cell r="CO308" t="str">
            <v/>
          </cell>
          <cell r="CP308">
            <v>3060285.1380000003</v>
          </cell>
          <cell r="CQ308" t="str">
            <v/>
          </cell>
          <cell r="CR308">
            <v>-3280714.8619999997</v>
          </cell>
          <cell r="CS308">
            <v>-391900</v>
          </cell>
          <cell r="CT308" t="str">
            <v/>
          </cell>
          <cell r="CU308">
            <v>6732900</v>
          </cell>
          <cell r="CV308">
            <v>186700</v>
          </cell>
          <cell r="CW308" t="str">
            <v/>
          </cell>
          <cell r="CX308">
            <v>-387267.85</v>
          </cell>
          <cell r="CY308">
            <v>-418184.51199999999</v>
          </cell>
          <cell r="CZ308">
            <v>-36223.770000000019</v>
          </cell>
          <cell r="DA308">
            <v>-350000</v>
          </cell>
          <cell r="DB308">
            <v>-797552.87</v>
          </cell>
          <cell r="DC308">
            <v>1111329.1000000001</v>
          </cell>
          <cell r="DD308">
            <v>67140.432000000001</v>
          </cell>
          <cell r="DE308">
            <v>-7207650.4200000027</v>
          </cell>
          <cell r="DF308">
            <v>0</v>
          </cell>
          <cell r="DG308">
            <v>-2416014.7920000032</v>
          </cell>
          <cell r="DH308">
            <v>-4791635.6279999996</v>
          </cell>
          <cell r="DI308">
            <v>-5013929.1129999962</v>
          </cell>
          <cell r="DJ308">
            <v>-8421598.6499999985</v>
          </cell>
          <cell r="DK308" t="str">
            <v/>
          </cell>
          <cell r="DL308" t="str">
            <v/>
          </cell>
          <cell r="DM308">
            <v>36403398.850000001</v>
          </cell>
          <cell r="DN308">
            <v>-44824997.5</v>
          </cell>
          <cell r="DO308">
            <v>11361662.006999999</v>
          </cell>
          <cell r="DP308">
            <v>-8453213.9139999989</v>
          </cell>
          <cell r="DQ308">
            <v>0</v>
          </cell>
          <cell r="DR308">
            <v>499221.44400000002</v>
          </cell>
          <cell r="DS308" t="str">
            <v/>
          </cell>
          <cell r="DT308">
            <v>3967339.5745999217</v>
          </cell>
          <cell r="DU308">
            <v>57129092.544999994</v>
          </cell>
          <cell r="DV308">
            <v>39780926.710999995</v>
          </cell>
          <cell r="DW308">
            <v>17348165.833999999</v>
          </cell>
          <cell r="DX308">
            <v>20190115.27</v>
          </cell>
          <cell r="DY308">
            <v>15111677.252</v>
          </cell>
          <cell r="DZ308">
            <v>5078438.0179999992</v>
          </cell>
          <cell r="EA308">
            <v>36938977.274999999</v>
          </cell>
          <cell r="EB308">
            <v>24669249.458999999</v>
          </cell>
          <cell r="EC308">
            <v>12269727.815999998</v>
          </cell>
          <cell r="EF308">
            <v>28</v>
          </cell>
        </row>
        <row r="309">
          <cell r="E309">
            <v>39156.25</v>
          </cell>
          <cell r="F309">
            <v>146174412.22799999</v>
          </cell>
          <cell r="G309">
            <v>93738395.965999976</v>
          </cell>
          <cell r="H309">
            <v>93722844.715999991</v>
          </cell>
          <cell r="I309">
            <v>89260481.493999988</v>
          </cell>
          <cell r="J309">
            <v>18336489.930999998</v>
          </cell>
          <cell r="K309">
            <v>6127399.818</v>
          </cell>
          <cell r="L309">
            <v>1591982.6940000001</v>
          </cell>
          <cell r="M309">
            <v>571524.42300000007</v>
          </cell>
          <cell r="N309">
            <v>51800589.123999998</v>
          </cell>
          <cell r="O309">
            <v>37793630.167000003</v>
          </cell>
          <cell r="P309">
            <v>6486615.9000000004</v>
          </cell>
          <cell r="Q309">
            <v>7520343.0569999982</v>
          </cell>
          <cell r="R309">
            <v>15948984.888</v>
          </cell>
          <cell r="S309">
            <v>14177847.004000001</v>
          </cell>
          <cell r="T309">
            <v>1685729.6490000002</v>
          </cell>
          <cell r="U309">
            <v>85408.234999999986</v>
          </cell>
          <cell r="V309">
            <v>0</v>
          </cell>
          <cell r="W309">
            <v>1010910.434</v>
          </cell>
          <cell r="X309">
            <v>4462363.2220000001</v>
          </cell>
          <cell r="Y309">
            <v>186197.15600000002</v>
          </cell>
          <cell r="Z309">
            <v>3062542.4209999996</v>
          </cell>
          <cell r="AA309">
            <v>256613.372</v>
          </cell>
          <cell r="AB309">
            <v>63511.62</v>
          </cell>
          <cell r="AC309">
            <v>893498.65300000017</v>
          </cell>
          <cell r="AD309">
            <v>15551.249999979947</v>
          </cell>
          <cell r="AE309">
            <v>52436016.262000002</v>
          </cell>
          <cell r="AF309">
            <v>39439016.262000002</v>
          </cell>
          <cell r="AG309">
            <v>12997000</v>
          </cell>
          <cell r="AH309">
            <v>204247794.83099997</v>
          </cell>
          <cell r="AI309">
            <v>134414452.058</v>
          </cell>
          <cell r="AJ309">
            <v>133414500.00299999</v>
          </cell>
          <cell r="AK309">
            <v>33605454.869000003</v>
          </cell>
          <cell r="AL309">
            <v>8740584.2530000005</v>
          </cell>
          <cell r="AM309">
            <v>106538090.12199999</v>
          </cell>
          <cell r="AN309" t="str">
            <v/>
          </cell>
          <cell r="AO309">
            <v>43367984.208999999</v>
          </cell>
          <cell r="AP309" t="str">
            <v/>
          </cell>
          <cell r="AQ309">
            <v>35890413.656999998</v>
          </cell>
          <cell r="AR309" t="str">
            <v/>
          </cell>
          <cell r="AS309">
            <v>1830669.557</v>
          </cell>
          <cell r="AT309">
            <v>999952.05499999993</v>
          </cell>
          <cell r="AU309">
            <v>830717.50200000009</v>
          </cell>
          <cell r="AV309">
            <v>25449022.698999997</v>
          </cell>
          <cell r="AW309" t="str">
            <v/>
          </cell>
          <cell r="AX309">
            <v>0</v>
          </cell>
          <cell r="AY309">
            <v>4437231.7869999995</v>
          </cell>
          <cell r="AZ309">
            <v>466546.86099999998</v>
          </cell>
          <cell r="BA309">
            <v>156614.125</v>
          </cell>
          <cell r="BB309">
            <v>91516301.713</v>
          </cell>
          <cell r="BC309">
            <v>22513676.442000002</v>
          </cell>
          <cell r="BD309">
            <v>8039223.9560000002</v>
          </cell>
          <cell r="BE309" t="str">
            <v/>
          </cell>
          <cell r="BF309">
            <v>6000000</v>
          </cell>
          <cell r="BG309" t="str">
            <v/>
          </cell>
          <cell r="BH309">
            <v>63002625.270999998</v>
          </cell>
          <cell r="BI309">
            <v>39439016.262000002</v>
          </cell>
          <cell r="BJ309">
            <v>23563609.009</v>
          </cell>
          <cell r="BK309">
            <v>6193402.9960000003</v>
          </cell>
          <cell r="BL309">
            <v>-560754.41</v>
          </cell>
          <cell r="BM309">
            <v>6754157.4060000004</v>
          </cell>
          <cell r="BN309">
            <v>-58073382.602999985</v>
          </cell>
          <cell r="BO309">
            <v>-110509398.86499998</v>
          </cell>
          <cell r="BP309">
            <v>-108678729.30799998</v>
          </cell>
          <cell r="BQ309">
            <v>-47506773.593999997</v>
          </cell>
          <cell r="BR309">
            <v>-12959956.961999997</v>
          </cell>
          <cell r="BS309">
            <v>1330948.1399999999</v>
          </cell>
          <cell r="BT309">
            <v>1330948.1399999999</v>
          </cell>
          <cell r="BU309" t="str">
            <v/>
          </cell>
          <cell r="BV309">
            <v>-24285977.847999997</v>
          </cell>
          <cell r="BW309">
            <v>-3067763.0109999999</v>
          </cell>
          <cell r="BX309">
            <v>13062835.756999999</v>
          </cell>
          <cell r="BZ309">
            <v>-71033339.564999983</v>
          </cell>
          <cell r="CA309">
            <v>-123469355.82699999</v>
          </cell>
          <cell r="CB309">
            <v>72787772.155999988</v>
          </cell>
          <cell r="CC309">
            <v>21304029.736000001</v>
          </cell>
          <cell r="CD309">
            <v>23563609.009</v>
          </cell>
          <cell r="CE309">
            <v>23563609.009</v>
          </cell>
          <cell r="CF309">
            <v>0</v>
          </cell>
          <cell r="CG309">
            <v>0</v>
          </cell>
          <cell r="CH309">
            <v>-2259579.273</v>
          </cell>
          <cell r="CI309">
            <v>0</v>
          </cell>
          <cell r="CJ309">
            <v>51483742.419999994</v>
          </cell>
          <cell r="CK309">
            <v>-65958985.732000001</v>
          </cell>
          <cell r="CL309">
            <v>-57909614.519000001</v>
          </cell>
          <cell r="CM309">
            <v>0</v>
          </cell>
          <cell r="CN309">
            <v>0</v>
          </cell>
          <cell r="CO309" t="str">
            <v/>
          </cell>
          <cell r="CP309">
            <v>-57909614.519000001</v>
          </cell>
          <cell r="CQ309" t="str">
            <v/>
          </cell>
          <cell r="CR309">
            <v>-835614.51899999997</v>
          </cell>
          <cell r="CS309">
            <v>629400</v>
          </cell>
          <cell r="CT309">
            <v>0</v>
          </cell>
          <cell r="CU309">
            <v>-57703400</v>
          </cell>
          <cell r="CV309">
            <v>-1800</v>
          </cell>
          <cell r="CW309" t="str">
            <v/>
          </cell>
          <cell r="CX309">
            <v>-6085502.0060000001</v>
          </cell>
          <cell r="CY309">
            <v>-32892.743999999999</v>
          </cell>
          <cell r="CZ309">
            <v>-6660990</v>
          </cell>
          <cell r="DA309">
            <v>0</v>
          </cell>
          <cell r="DB309">
            <v>0</v>
          </cell>
          <cell r="DC309">
            <v>-6660990</v>
          </cell>
          <cell r="DD309">
            <v>608380.73800000001</v>
          </cell>
          <cell r="DE309">
            <v>-1963869.2070000004</v>
          </cell>
          <cell r="DF309">
            <v>0</v>
          </cell>
          <cell r="DG309">
            <v>-604003.69799999893</v>
          </cell>
          <cell r="DH309">
            <v>-1359865.5090000015</v>
          </cell>
          <cell r="DI309">
            <v>117442728.152</v>
          </cell>
          <cell r="DJ309">
            <v>-12846195</v>
          </cell>
          <cell r="DK309" t="str">
            <v/>
          </cell>
          <cell r="DL309" t="str">
            <v/>
          </cell>
          <cell r="DM309">
            <v>0</v>
          </cell>
          <cell r="DN309">
            <v>-12846195</v>
          </cell>
          <cell r="DO309">
            <v>-5207118.5520000001</v>
          </cell>
          <cell r="DP309">
            <v>-8814498.296000002</v>
          </cell>
          <cell r="DQ309">
            <v>-246599.20500000002</v>
          </cell>
          <cell r="DR309">
            <v>144310540</v>
          </cell>
          <cell r="DS309" t="str">
            <v/>
          </cell>
          <cell r="DT309">
            <v>-1754432.5910000056</v>
          </cell>
          <cell r="DU309">
            <v>14623857.292000003</v>
          </cell>
          <cell r="DV309">
            <v>12793187.735000003</v>
          </cell>
          <cell r="DW309">
            <v>1830669.557</v>
          </cell>
          <cell r="DX309">
            <v>11533560.517000003</v>
          </cell>
          <cell r="DY309">
            <v>10533608.462000003</v>
          </cell>
          <cell r="DZ309">
            <v>999952.05499999993</v>
          </cell>
          <cell r="EA309">
            <v>3090296.7750000004</v>
          </cell>
          <cell r="EB309">
            <v>2259579.273</v>
          </cell>
          <cell r="EC309">
            <v>830717.50200000009</v>
          </cell>
          <cell r="EF309">
            <v>29</v>
          </cell>
        </row>
        <row r="310">
          <cell r="E310">
            <v>39247.5625</v>
          </cell>
          <cell r="F310">
            <v>346420711.26699996</v>
          </cell>
          <cell r="G310">
            <v>228063215.04999998</v>
          </cell>
          <cell r="H310">
            <v>227993801.375</v>
          </cell>
          <cell r="I310">
            <v>210511956.78400001</v>
          </cell>
          <cell r="J310">
            <v>59085815.855000004</v>
          </cell>
          <cell r="K310">
            <v>35457120.120999999</v>
          </cell>
          <cell r="L310">
            <v>2930334.031</v>
          </cell>
          <cell r="M310">
            <v>1033027.7590000001</v>
          </cell>
          <cell r="N310">
            <v>108107382.838</v>
          </cell>
          <cell r="O310">
            <v>78730494.905000001</v>
          </cell>
          <cell r="P310">
            <v>13607705.068</v>
          </cell>
          <cell r="Q310">
            <v>15769182.864999996</v>
          </cell>
          <cell r="R310">
            <v>37190349.530000001</v>
          </cell>
          <cell r="S310">
            <v>30660807.987000003</v>
          </cell>
          <cell r="T310">
            <v>3741731.926</v>
          </cell>
          <cell r="U310">
            <v>2787809.6170000001</v>
          </cell>
          <cell r="V310">
            <v>2600000</v>
          </cell>
          <cell r="W310">
            <v>2165046.7710000002</v>
          </cell>
          <cell r="X310">
            <v>17481844.590999998</v>
          </cell>
          <cell r="Y310">
            <v>735714.92</v>
          </cell>
          <cell r="Z310">
            <v>6607368.0039999997</v>
          </cell>
          <cell r="AA310">
            <v>596363.78</v>
          </cell>
          <cell r="AB310">
            <v>2588659.838</v>
          </cell>
          <cell r="AC310">
            <v>6953738.0490000006</v>
          </cell>
          <cell r="AD310">
            <v>69413.67499997995</v>
          </cell>
          <cell r="AE310">
            <v>118357496.21699999</v>
          </cell>
          <cell r="AF310">
            <v>71061496.216999993</v>
          </cell>
          <cell r="AG310">
            <v>47296000</v>
          </cell>
          <cell r="AH310">
            <v>463307881.32179999</v>
          </cell>
          <cell r="AI310">
            <v>321652941.0808</v>
          </cell>
          <cell r="AJ310">
            <v>319289847.83179998</v>
          </cell>
          <cell r="AK310">
            <v>68587967.810000002</v>
          </cell>
          <cell r="AL310">
            <v>24439865.616</v>
          </cell>
          <cell r="AM310">
            <v>249731231.9188</v>
          </cell>
          <cell r="AN310" t="str">
            <v/>
          </cell>
          <cell r="AO310">
            <v>89229338.415000007</v>
          </cell>
          <cell r="AP310" t="str">
            <v/>
          </cell>
          <cell r="AQ310">
            <v>70343409.302000001</v>
          </cell>
          <cell r="AR310" t="str">
            <v/>
          </cell>
          <cell r="AS310">
            <v>5164025.8879999984</v>
          </cell>
          <cell r="AT310">
            <v>2363093.2489999989</v>
          </cell>
          <cell r="AU310">
            <v>2800932.6389999995</v>
          </cell>
          <cell r="AV310">
            <v>84994458.313799992</v>
          </cell>
          <cell r="AW310" t="str">
            <v/>
          </cell>
          <cell r="AX310">
            <v>210437.38200000001</v>
          </cell>
          <cell r="AY310">
            <v>13838769.786</v>
          </cell>
          <cell r="AZ310">
            <v>721870.95600000001</v>
          </cell>
          <cell r="BA310">
            <v>3722187.648</v>
          </cell>
          <cell r="BB310">
            <v>210418591.29299998</v>
          </cell>
          <cell r="BC310">
            <v>71564583.691</v>
          </cell>
          <cell r="BD310">
            <v>10838913.005000001</v>
          </cell>
          <cell r="BE310" t="str">
            <v/>
          </cell>
          <cell r="BF310">
            <v>17501617.457000002</v>
          </cell>
          <cell r="BG310" t="str">
            <v/>
          </cell>
          <cell r="BH310">
            <v>121352390.14499998</v>
          </cell>
          <cell r="BI310">
            <v>71061496.216999993</v>
          </cell>
          <cell r="BJ310">
            <v>50290893.927999996</v>
          </cell>
          <cell r="BK310">
            <v>3158058.1100000003</v>
          </cell>
          <cell r="BL310">
            <v>-1544195.5760000001</v>
          </cell>
          <cell r="BM310">
            <v>4702253.6860000007</v>
          </cell>
          <cell r="BN310">
            <v>-116887170.05480003</v>
          </cell>
          <cell r="BO310">
            <v>-235244666.27180004</v>
          </cell>
          <cell r="BP310">
            <v>-230080640.3838</v>
          </cell>
          <cell r="BQ310">
            <v>-113892276.12680003</v>
          </cell>
          <cell r="BR310">
            <v>20067968.495999999</v>
          </cell>
          <cell r="BS310">
            <v>690406.50000000186</v>
          </cell>
          <cell r="BT310">
            <v>690406.50000000186</v>
          </cell>
          <cell r="BU310" t="str">
            <v/>
          </cell>
          <cell r="BV310">
            <v>11324214.587999996</v>
          </cell>
          <cell r="BW310">
            <v>-3067764.0109999999</v>
          </cell>
          <cell r="BX310">
            <v>11121111.419</v>
          </cell>
          <cell r="BZ310">
            <v>-96819201.558800042</v>
          </cell>
          <cell r="CA310">
            <v>-215176697.77580005</v>
          </cell>
          <cell r="CB310">
            <v>92651097.105000019</v>
          </cell>
          <cell r="CC310">
            <v>42501049.494999997</v>
          </cell>
          <cell r="CD310">
            <v>50290893.927999996</v>
          </cell>
          <cell r="CE310">
            <v>50290893.927999996</v>
          </cell>
          <cell r="CF310">
            <v>0</v>
          </cell>
          <cell r="CG310">
            <v>0</v>
          </cell>
          <cell r="CH310">
            <v>-7789844.4330000002</v>
          </cell>
          <cell r="CI310">
            <v>0</v>
          </cell>
          <cell r="CJ310">
            <v>50150047.610000029</v>
          </cell>
          <cell r="CK310">
            <v>-86266607.505999997</v>
          </cell>
          <cell r="CL310">
            <v>-81319096.147</v>
          </cell>
          <cell r="CM310">
            <v>367000</v>
          </cell>
          <cell r="CN310">
            <v>367000</v>
          </cell>
          <cell r="CO310" t="str">
            <v/>
          </cell>
          <cell r="CP310">
            <v>-81686096.147</v>
          </cell>
          <cell r="CQ310" t="str">
            <v/>
          </cell>
          <cell r="CR310">
            <v>-1677496.1469999999</v>
          </cell>
          <cell r="CS310">
            <v>417800</v>
          </cell>
          <cell r="CT310">
            <v>0</v>
          </cell>
          <cell r="CU310">
            <v>-80426400</v>
          </cell>
          <cell r="CV310">
            <v>100100</v>
          </cell>
          <cell r="CW310" t="str">
            <v/>
          </cell>
          <cell r="CX310">
            <v>-1782403.3660000002</v>
          </cell>
          <cell r="CY310">
            <v>-32892.743999999999</v>
          </cell>
          <cell r="CZ310">
            <v>-1958208.9950000001</v>
          </cell>
          <cell r="DA310">
            <v>0</v>
          </cell>
          <cell r="DB310">
            <v>-486738.89800000004</v>
          </cell>
          <cell r="DC310">
            <v>-1471470.0970000001</v>
          </cell>
          <cell r="DD310">
            <v>208698.37299999999</v>
          </cell>
          <cell r="DE310">
            <v>-3165107.9929999989</v>
          </cell>
          <cell r="DF310">
            <v>0</v>
          </cell>
          <cell r="DG310">
            <v>-1208007.3959999979</v>
          </cell>
          <cell r="DH310">
            <v>-1957100.597000001</v>
          </cell>
          <cell r="DI310">
            <v>136416655.11600003</v>
          </cell>
          <cell r="DJ310">
            <v>7911884.6120000035</v>
          </cell>
          <cell r="DK310" t="str">
            <v/>
          </cell>
          <cell r="DL310" t="str">
            <v/>
          </cell>
          <cell r="DM310">
            <v>20758079.612000003</v>
          </cell>
          <cell r="DN310">
            <v>-12846195</v>
          </cell>
          <cell r="DO310">
            <v>-5207118.5520000001</v>
          </cell>
          <cell r="DP310">
            <v>-10598650.944000002</v>
          </cell>
          <cell r="DQ310">
            <v>-493198.41</v>
          </cell>
          <cell r="DR310">
            <v>144310540</v>
          </cell>
          <cell r="DS310" t="str">
            <v/>
          </cell>
          <cell r="DT310">
            <v>4168104.4538000226</v>
          </cell>
          <cell r="DU310">
            <v>27450854.859999999</v>
          </cell>
          <cell r="DV310">
            <v>22286828.972000003</v>
          </cell>
          <cell r="DW310">
            <v>5164025.8879999984</v>
          </cell>
          <cell r="DX310">
            <v>16860077.788000003</v>
          </cell>
          <cell r="DY310">
            <v>14496984.539000003</v>
          </cell>
          <cell r="DZ310">
            <v>2363093.2489999989</v>
          </cell>
          <cell r="EA310">
            <v>10590777.072000001</v>
          </cell>
          <cell r="EB310">
            <v>7789844.4330000002</v>
          </cell>
          <cell r="EC310">
            <v>2800932.6389999995</v>
          </cell>
          <cell r="EF310">
            <v>30</v>
          </cell>
        </row>
        <row r="311">
          <cell r="E311">
            <v>39338.875</v>
          </cell>
          <cell r="F311">
            <v>475481985.81000006</v>
          </cell>
          <cell r="G311">
            <v>324829709.73700005</v>
          </cell>
          <cell r="H311">
            <v>324748585.41200006</v>
          </cell>
          <cell r="I311">
            <v>301406740.66800004</v>
          </cell>
          <cell r="J311">
            <v>77849823.721000001</v>
          </cell>
          <cell r="K311">
            <v>43149588.659000002</v>
          </cell>
          <cell r="L311">
            <v>4083488.8639999996</v>
          </cell>
          <cell r="M311">
            <v>1443159.392</v>
          </cell>
          <cell r="N311">
            <v>160363329.17199999</v>
          </cell>
          <cell r="O311">
            <v>117235971.986</v>
          </cell>
          <cell r="P311">
            <v>19798078.756999999</v>
          </cell>
          <cell r="Q311">
            <v>23329278.428999998</v>
          </cell>
          <cell r="R311">
            <v>54449989.756999999</v>
          </cell>
          <cell r="S311">
            <v>46049498.620999999</v>
          </cell>
          <cell r="T311">
            <v>5518702.7009999994</v>
          </cell>
          <cell r="U311">
            <v>2881788.4350000001</v>
          </cell>
          <cell r="V311">
            <v>2600000</v>
          </cell>
          <cell r="W311">
            <v>3216949.7620000001</v>
          </cell>
          <cell r="X311">
            <v>23341844.744000003</v>
          </cell>
          <cell r="Y311">
            <v>1017018.6260000002</v>
          </cell>
          <cell r="Z311">
            <v>9813312.1980000008</v>
          </cell>
          <cell r="AA311">
            <v>850620.43800000008</v>
          </cell>
          <cell r="AB311">
            <v>3899980.4840000006</v>
          </cell>
          <cell r="AC311">
            <v>7760912.9979999997</v>
          </cell>
          <cell r="AD311">
            <v>81124.324999979945</v>
          </cell>
          <cell r="AE311">
            <v>150652276.07299998</v>
          </cell>
          <cell r="AF311">
            <v>93503276.072999984</v>
          </cell>
          <cell r="AG311">
            <v>57149000</v>
          </cell>
          <cell r="AH311">
            <v>663913536.03069997</v>
          </cell>
          <cell r="AI311">
            <v>460077811.82670003</v>
          </cell>
          <cell r="AJ311">
            <v>455073513.9777</v>
          </cell>
          <cell r="AK311">
            <v>107521099.29100001</v>
          </cell>
          <cell r="AL311">
            <v>33283169</v>
          </cell>
          <cell r="AM311">
            <v>356534520.36570001</v>
          </cell>
          <cell r="AN311" t="str">
            <v/>
          </cell>
          <cell r="AO311">
            <v>140544721.78600001</v>
          </cell>
          <cell r="AP311" t="str">
            <v/>
          </cell>
          <cell r="AQ311">
            <v>87182696.915000007</v>
          </cell>
          <cell r="AR311" t="str">
            <v/>
          </cell>
          <cell r="AS311">
            <v>9089192.398</v>
          </cell>
          <cell r="AT311">
            <v>5004297.8489999995</v>
          </cell>
          <cell r="AU311">
            <v>4084894.5490000001</v>
          </cell>
          <cell r="AV311">
            <v>119717909.2667</v>
          </cell>
          <cell r="AW311" t="str">
            <v/>
          </cell>
          <cell r="AX311">
            <v>1387925.56</v>
          </cell>
          <cell r="AY311">
            <v>19759720.728999998</v>
          </cell>
          <cell r="AZ311">
            <v>844680.522</v>
          </cell>
          <cell r="BA311">
            <v>11995727.036</v>
          </cell>
          <cell r="BB311">
            <v>304931850.329</v>
          </cell>
          <cell r="BC311">
            <v>105181020.67399999</v>
          </cell>
          <cell r="BD311">
            <v>13875940.646000002</v>
          </cell>
          <cell r="BE311" t="str">
            <v/>
          </cell>
          <cell r="BF311">
            <v>31792808.695000004</v>
          </cell>
          <cell r="BG311" t="str">
            <v/>
          </cell>
          <cell r="BH311">
            <v>167958020.95999998</v>
          </cell>
          <cell r="BI311">
            <v>93503276.072999984</v>
          </cell>
          <cell r="BJ311">
            <v>74454744.886999995</v>
          </cell>
          <cell r="BK311">
            <v>2447165.3360000011</v>
          </cell>
          <cell r="BL311">
            <v>-1946734.2270000002</v>
          </cell>
          <cell r="BM311">
            <v>4393899.563000001</v>
          </cell>
          <cell r="BN311">
            <v>-188431550.22069991</v>
          </cell>
          <cell r="BO311">
            <v>-339083826.29369986</v>
          </cell>
          <cell r="BP311">
            <v>-329994633.89569992</v>
          </cell>
          <cell r="BQ311">
            <v>-171125805.33369994</v>
          </cell>
          <cell r="BR311">
            <v>17241346.726000007</v>
          </cell>
          <cell r="BS311">
            <v>-1557742.646999998</v>
          </cell>
          <cell r="BT311">
            <v>-1557742.646999998</v>
          </cell>
          <cell r="BU311">
            <v>0</v>
          </cell>
          <cell r="BV311">
            <v>2827208.167000005</v>
          </cell>
          <cell r="BW311">
            <v>-3067764.0109999999</v>
          </cell>
          <cell r="BX311">
            <v>19039645.217</v>
          </cell>
          <cell r="BZ311">
            <v>-171190203.4946999</v>
          </cell>
          <cell r="CA311">
            <v>-321842479.56769991</v>
          </cell>
          <cell r="CB311">
            <v>168458238.23000002</v>
          </cell>
          <cell r="CC311">
            <v>116901629.93799999</v>
          </cell>
          <cell r="CD311">
            <v>127964744.88699999</v>
          </cell>
          <cell r="CE311">
            <v>74454744.886999995</v>
          </cell>
          <cell r="CF311">
            <v>53510000</v>
          </cell>
          <cell r="CG311">
            <v>0</v>
          </cell>
          <cell r="CH311">
            <v>-11063114.948999999</v>
          </cell>
          <cell r="CI311">
            <v>0</v>
          </cell>
          <cell r="CJ311">
            <v>51556608.292000026</v>
          </cell>
          <cell r="CK311">
            <v>-80468879.674999997</v>
          </cell>
          <cell r="CL311">
            <v>-113980191.88699999</v>
          </cell>
          <cell r="CM311">
            <v>367000</v>
          </cell>
          <cell r="CN311">
            <v>367000</v>
          </cell>
          <cell r="CO311">
            <v>0</v>
          </cell>
          <cell r="CP311">
            <v>-114347191.88699999</v>
          </cell>
          <cell r="CQ311" t="str">
            <v/>
          </cell>
          <cell r="CR311">
            <v>-2525691.8870000001</v>
          </cell>
          <cell r="CS311">
            <v>-195800</v>
          </cell>
          <cell r="CT311">
            <v>0</v>
          </cell>
          <cell r="CU311">
            <v>-111625700</v>
          </cell>
          <cell r="CV311">
            <v>182700</v>
          </cell>
          <cell r="CW311">
            <v>0</v>
          </cell>
          <cell r="CX311">
            <v>36186725.740999997</v>
          </cell>
          <cell r="CY311">
            <v>-65785.487999999998</v>
          </cell>
          <cell r="CZ311">
            <v>36341791.004999995</v>
          </cell>
          <cell r="DA311">
            <v>0</v>
          </cell>
          <cell r="DB311">
            <v>-486738.89800000004</v>
          </cell>
          <cell r="DC311">
            <v>36828529.902999997</v>
          </cell>
          <cell r="DD311">
            <v>-89279.776000000071</v>
          </cell>
          <cell r="DE311">
            <v>-2675413.5289999992</v>
          </cell>
          <cell r="DF311">
            <v>0</v>
          </cell>
          <cell r="DG311">
            <v>-1812011.0939999986</v>
          </cell>
          <cell r="DH311">
            <v>-863402.43500000052</v>
          </cell>
          <cell r="DI311">
            <v>132025487.96700002</v>
          </cell>
          <cell r="DJ311">
            <v>10911884.612000003</v>
          </cell>
          <cell r="DK311" t="str">
            <v/>
          </cell>
          <cell r="DL311" t="str">
            <v/>
          </cell>
          <cell r="DM311">
            <v>23758079.612000003</v>
          </cell>
          <cell r="DN311">
            <v>-12846195</v>
          </cell>
          <cell r="DO311">
            <v>-5207118.5520000001</v>
          </cell>
          <cell r="DP311">
            <v>-12694296.930000002</v>
          </cell>
          <cell r="DQ311">
            <v>-739797.61499999999</v>
          </cell>
          <cell r="DR311">
            <v>139015018.83700001</v>
          </cell>
          <cell r="DS311" t="str">
            <v/>
          </cell>
          <cell r="DT311">
            <v>2731965.2646998763</v>
          </cell>
          <cell r="DU311">
            <v>38476629.259000003</v>
          </cell>
          <cell r="DV311">
            <v>29387436.861000001</v>
          </cell>
          <cell r="DW311">
            <v>9089192.398</v>
          </cell>
          <cell r="DX311">
            <v>23328619.761000004</v>
          </cell>
          <cell r="DY311">
            <v>18324321.912000004</v>
          </cell>
          <cell r="DZ311">
            <v>5004297.8489999995</v>
          </cell>
          <cell r="EA311">
            <v>15148009.498</v>
          </cell>
          <cell r="EB311">
            <v>11063114.948999999</v>
          </cell>
          <cell r="EC311">
            <v>4084894.5490000001</v>
          </cell>
          <cell r="EF311">
            <v>31</v>
          </cell>
        </row>
        <row r="312">
          <cell r="E312">
            <v>39430.1875</v>
          </cell>
          <cell r="F312">
            <v>650547102.03999996</v>
          </cell>
          <cell r="G312">
            <v>440247173.02599996</v>
          </cell>
          <cell r="H312">
            <v>440090957.80000001</v>
          </cell>
          <cell r="I312">
            <v>405237667.80300003</v>
          </cell>
          <cell r="J312">
            <v>98150925.410000011</v>
          </cell>
          <cell r="K312">
            <v>50301924.838000007</v>
          </cell>
          <cell r="L312">
            <v>5270991.8449999997</v>
          </cell>
          <cell r="M312">
            <v>2039693.0629999998</v>
          </cell>
          <cell r="N312">
            <v>217313127.65200001</v>
          </cell>
          <cell r="O312">
            <v>159010474.62400001</v>
          </cell>
          <cell r="P312">
            <v>26301040.775999997</v>
          </cell>
          <cell r="Q312">
            <v>32001612.252</v>
          </cell>
          <cell r="R312">
            <v>78128013.298999995</v>
          </cell>
          <cell r="S312">
            <v>63674278.574999996</v>
          </cell>
          <cell r="T312">
            <v>7628825.686999999</v>
          </cell>
          <cell r="U312">
            <v>6824909.0370000005</v>
          </cell>
          <cell r="V312">
            <v>6444622.2489999998</v>
          </cell>
          <cell r="W312">
            <v>4334916.5340000009</v>
          </cell>
          <cell r="X312">
            <v>34853289.997000001</v>
          </cell>
          <cell r="Y312">
            <v>1434662.1220000002</v>
          </cell>
          <cell r="Z312">
            <v>13018109.128</v>
          </cell>
          <cell r="AA312">
            <v>1373022.987</v>
          </cell>
          <cell r="AB312">
            <v>8713808.6720000021</v>
          </cell>
          <cell r="AC312">
            <v>10313687.088</v>
          </cell>
          <cell r="AD312">
            <v>156215.22599997994</v>
          </cell>
          <cell r="AE312">
            <v>210299929.014</v>
          </cell>
          <cell r="AF312">
            <v>114673293.77199998</v>
          </cell>
          <cell r="AG312">
            <v>95626635.241999999</v>
          </cell>
          <cell r="AH312">
            <v>834762742.54189992</v>
          </cell>
          <cell r="AI312">
            <v>587551164.51559997</v>
          </cell>
          <cell r="AJ312">
            <v>581191889.6536001</v>
          </cell>
          <cell r="AK312">
            <v>116859073.06900001</v>
          </cell>
          <cell r="AL312">
            <v>44640099.947999999</v>
          </cell>
          <cell r="AM312">
            <v>450279430.14189994</v>
          </cell>
          <cell r="AN312" t="str">
            <v/>
          </cell>
          <cell r="AO312">
            <v>187595715</v>
          </cell>
          <cell r="AP312">
            <v>0</v>
          </cell>
          <cell r="AQ312">
            <v>94837665</v>
          </cell>
          <cell r="AR312">
            <v>0</v>
          </cell>
          <cell r="AS312">
            <v>13054658.756299999</v>
          </cell>
          <cell r="AT312">
            <v>6359274.8619999997</v>
          </cell>
          <cell r="AU312">
            <v>6695383.8942999998</v>
          </cell>
          <cell r="AV312">
            <v>154791391.3856</v>
          </cell>
          <cell r="AW312" t="str">
            <v/>
          </cell>
          <cell r="AX312">
            <v>550437.38199999998</v>
          </cell>
          <cell r="AY312">
            <v>25485723.763</v>
          </cell>
          <cell r="AZ312">
            <v>864432.15599999996</v>
          </cell>
          <cell r="BA312">
            <v>17507692.885000002</v>
          </cell>
          <cell r="BB312">
            <v>383308623.95299995</v>
          </cell>
          <cell r="BC312">
            <v>142792429.82099998</v>
          </cell>
          <cell r="BD312">
            <v>18814415.256999999</v>
          </cell>
          <cell r="BE312">
            <v>32877527.317000005</v>
          </cell>
          <cell r="BF312" t="str">
            <v/>
          </cell>
          <cell r="BG312" t="e">
            <v>#REF!</v>
          </cell>
          <cell r="BH312">
            <v>207638666.815</v>
          </cell>
          <cell r="BI312">
            <v>114673293.77199998</v>
          </cell>
          <cell r="BJ312">
            <v>92965373.043000013</v>
          </cell>
          <cell r="BK312">
            <v>1174688.4469999997</v>
          </cell>
          <cell r="BL312">
            <v>-3323942.5350000001</v>
          </cell>
          <cell r="BM312">
            <v>4498630.9819999998</v>
          </cell>
          <cell r="BN312">
            <v>-184215640.50189996</v>
          </cell>
          <cell r="BO312">
            <v>-394515569.51589996</v>
          </cell>
          <cell r="BP312">
            <v>-381460910.75959998</v>
          </cell>
          <cell r="BQ312">
            <v>-186876902.7008999</v>
          </cell>
          <cell r="BR312">
            <v>14109839.011000006</v>
          </cell>
          <cell r="BS312">
            <v>-2935344.5209999979</v>
          </cell>
          <cell r="BT312">
            <v>-2935344.5209999979</v>
          </cell>
          <cell r="BU312">
            <v>0</v>
          </cell>
          <cell r="BV312">
            <v>8804799.5490000024</v>
          </cell>
          <cell r="BW312">
            <v>-3067764.0109999999</v>
          </cell>
          <cell r="BX312">
            <v>7320398.5260000005</v>
          </cell>
          <cell r="BY312">
            <v>3987749.4680000003</v>
          </cell>
          <cell r="BZ312">
            <v>-170105801.49089995</v>
          </cell>
          <cell r="CA312">
            <v>-380405730.50489998</v>
          </cell>
          <cell r="CB312">
            <v>172149947.53300005</v>
          </cell>
          <cell r="CC312">
            <v>99303486.540000007</v>
          </cell>
          <cell r="CD312">
            <v>114475529.23400001</v>
          </cell>
          <cell r="CE312">
            <v>92965373.043000013</v>
          </cell>
          <cell r="CF312">
            <v>21510156.191000003</v>
          </cell>
          <cell r="CG312">
            <v>0</v>
          </cell>
          <cell r="CH312">
            <v>-15172042.694</v>
          </cell>
          <cell r="CI312">
            <v>0</v>
          </cell>
          <cell r="CJ312">
            <v>72846460.993000031</v>
          </cell>
          <cell r="CK312">
            <v>-35862179.267999999</v>
          </cell>
          <cell r="CL312">
            <v>-63168049.094999999</v>
          </cell>
          <cell r="CM312">
            <v>367000</v>
          </cell>
          <cell r="CN312">
            <v>367000</v>
          </cell>
          <cell r="CO312">
            <v>0</v>
          </cell>
          <cell r="CP312">
            <v>-63535049.094999999</v>
          </cell>
          <cell r="CQ312">
            <v>0</v>
          </cell>
          <cell r="CR312">
            <v>-3380249.0950000002</v>
          </cell>
          <cell r="CS312">
            <v>-210800</v>
          </cell>
          <cell r="CT312">
            <v>0</v>
          </cell>
          <cell r="CU312">
            <v>-59944000</v>
          </cell>
          <cell r="CV312">
            <v>182700</v>
          </cell>
          <cell r="CW312">
            <v>0</v>
          </cell>
          <cell r="CX312">
            <v>30714832.677999996</v>
          </cell>
          <cell r="CY312">
            <v>-98678.231999999989</v>
          </cell>
          <cell r="CZ312">
            <v>30698424.947999995</v>
          </cell>
          <cell r="DA312">
            <v>0</v>
          </cell>
          <cell r="DB312">
            <v>-940585.05200000014</v>
          </cell>
          <cell r="DC312">
            <v>31639009.999999996</v>
          </cell>
          <cell r="DD312">
            <v>115085.96199999993</v>
          </cell>
          <cell r="DE312">
            <v>-3408962.8509999979</v>
          </cell>
          <cell r="DF312">
            <v>0</v>
          </cell>
          <cell r="DG312">
            <v>-2416014.7919999976</v>
          </cell>
          <cell r="DH312">
            <v>-992948.05900000036</v>
          </cell>
          <cell r="DI312">
            <v>108708640.26100002</v>
          </cell>
          <cell r="DJ312">
            <v>-9846195</v>
          </cell>
          <cell r="DK312" t="str">
            <v/>
          </cell>
          <cell r="DL312" t="str">
            <v/>
          </cell>
          <cell r="DM312">
            <v>23758079.612000003</v>
          </cell>
          <cell r="DN312">
            <v>-33604274.612000003</v>
          </cell>
          <cell r="DO312">
            <v>-5207118.5520000001</v>
          </cell>
          <cell r="DP312">
            <v>-15378465.792000003</v>
          </cell>
          <cell r="DQ312">
            <v>-1356602.477</v>
          </cell>
          <cell r="DR312">
            <v>139140419.60500002</v>
          </cell>
          <cell r="DS312" t="str">
            <v/>
          </cell>
          <cell r="DT312">
            <v>-2044146.0421001017</v>
          </cell>
          <cell r="DU312">
            <v>50687293.618300006</v>
          </cell>
          <cell r="DV312">
            <v>37632634.862000003</v>
          </cell>
          <cell r="DW312">
            <v>13054658.756299999</v>
          </cell>
          <cell r="DX312">
            <v>28819867.030000005</v>
          </cell>
          <cell r="DY312">
            <v>22460592.168000005</v>
          </cell>
          <cell r="DZ312">
            <v>6359274.8619999997</v>
          </cell>
          <cell r="EA312">
            <v>21867426.588300001</v>
          </cell>
          <cell r="EB312">
            <v>15172042.694</v>
          </cell>
          <cell r="EC312">
            <v>6695383.8942999998</v>
          </cell>
          <cell r="EF312">
            <v>32</v>
          </cell>
        </row>
        <row r="313">
          <cell r="E313">
            <v>39521.5</v>
          </cell>
          <cell r="F313">
            <v>129504981.07700002</v>
          </cell>
          <cell r="G313">
            <v>102431825.79700002</v>
          </cell>
          <cell r="H313">
            <v>102431509.29700002</v>
          </cell>
          <cell r="I313">
            <v>97808263.199000016</v>
          </cell>
          <cell r="J313">
            <v>19363151.218000002</v>
          </cell>
          <cell r="K313">
            <v>8103004.7520000003</v>
          </cell>
          <cell r="L313">
            <v>1263416.263</v>
          </cell>
          <cell r="M313">
            <v>482818.78099999996</v>
          </cell>
          <cell r="N313">
            <v>57083328.987999998</v>
          </cell>
          <cell r="O313">
            <v>41026585.457000002</v>
          </cell>
          <cell r="P313">
            <v>6400310.9000000004</v>
          </cell>
          <cell r="Q313">
            <v>9656432.6309999973</v>
          </cell>
          <cell r="R313">
            <v>18548254.027000003</v>
          </cell>
          <cell r="S313">
            <v>16459703.108000001</v>
          </cell>
          <cell r="T313">
            <v>1999900.3979999998</v>
          </cell>
          <cell r="U313">
            <v>88650.521000000008</v>
          </cell>
          <cell r="V313">
            <v>0</v>
          </cell>
          <cell r="W313">
            <v>1067293.9220000003</v>
          </cell>
          <cell r="X313">
            <v>4623246.0979999993</v>
          </cell>
          <cell r="Y313">
            <v>184023.16500000001</v>
          </cell>
          <cell r="Z313">
            <v>3205449.8130000001</v>
          </cell>
          <cell r="AA313">
            <v>347290.55000000005</v>
          </cell>
          <cell r="AB313">
            <v>36060.292000000001</v>
          </cell>
          <cell r="AC313">
            <v>850422.2779999997</v>
          </cell>
          <cell r="AD313">
            <v>316.5</v>
          </cell>
          <cell r="AE313">
            <v>27073155.280000001</v>
          </cell>
          <cell r="AF313">
            <v>18327155.280000001</v>
          </cell>
          <cell r="AG313">
            <v>8746000</v>
          </cell>
          <cell r="AH313">
            <v>180721323.69599998</v>
          </cell>
          <cell r="AI313">
            <v>131926226.998</v>
          </cell>
          <cell r="AJ313">
            <v>131571640.51099998</v>
          </cell>
          <cell r="AK313">
            <v>31178814.211000003</v>
          </cell>
          <cell r="AL313">
            <v>12104625.5</v>
          </cell>
          <cell r="AM313">
            <v>105109614.28299999</v>
          </cell>
          <cell r="AN313" t="str">
            <v/>
          </cell>
          <cell r="AO313">
            <v>43288404</v>
          </cell>
          <cell r="AP313" t="str">
            <v/>
          </cell>
          <cell r="AQ313">
            <v>30854337.68</v>
          </cell>
          <cell r="AR313" t="str">
            <v/>
          </cell>
          <cell r="AS313">
            <v>1386156.6070000001</v>
          </cell>
          <cell r="AT313">
            <v>354586.48700000002</v>
          </cell>
          <cell r="AU313">
            <v>1031570.12</v>
          </cell>
          <cell r="AV313">
            <v>29580715.995999999</v>
          </cell>
          <cell r="AW313" t="str">
            <v/>
          </cell>
          <cell r="AX313">
            <v>0</v>
          </cell>
          <cell r="AY313">
            <v>5417053.8310000002</v>
          </cell>
          <cell r="AZ313">
            <v>907394.78599999996</v>
          </cell>
          <cell r="BA313">
            <v>7106244.932</v>
          </cell>
          <cell r="BB313">
            <v>75688189.876000002</v>
          </cell>
          <cell r="BC313">
            <v>27924663.297999997</v>
          </cell>
          <cell r="BD313">
            <v>10100519.658</v>
          </cell>
          <cell r="BE313" t="str">
            <v/>
          </cell>
          <cell r="BF313">
            <v>4276675.2970000003</v>
          </cell>
          <cell r="BG313" t="str">
            <v/>
          </cell>
          <cell r="BH313">
            <v>43486851.281000003</v>
          </cell>
          <cell r="BI313">
            <v>18327155.280000001</v>
          </cell>
          <cell r="BJ313">
            <v>25159696.001000002</v>
          </cell>
          <cell r="BK313">
            <v>-76480.463000000222</v>
          </cell>
          <cell r="BL313">
            <v>-581017.77300000004</v>
          </cell>
          <cell r="BM313">
            <v>504537.30999999982</v>
          </cell>
          <cell r="BN313">
            <v>-51216342.618999958</v>
          </cell>
          <cell r="BO313">
            <v>-78289497.898999959</v>
          </cell>
          <cell r="BP313">
            <v>-76903341.291999966</v>
          </cell>
          <cell r="BQ313">
            <v>-34802646.617999941</v>
          </cell>
          <cell r="BR313">
            <v>17207828.254500002</v>
          </cell>
          <cell r="BS313">
            <v>6986836.1910000006</v>
          </cell>
          <cell r="BT313">
            <v>6986836.1910000006</v>
          </cell>
          <cell r="BU313">
            <v>0</v>
          </cell>
          <cell r="BV313">
            <v>-5305509.249499999</v>
          </cell>
          <cell r="BW313">
            <v>0</v>
          </cell>
          <cell r="BX313">
            <v>15526501.313000001</v>
          </cell>
          <cell r="BY313">
            <v>0</v>
          </cell>
          <cell r="BZ313">
            <v>-34008514.364499956</v>
          </cell>
          <cell r="CA313">
            <v>-61081669.644499958</v>
          </cell>
          <cell r="CB313">
            <v>38802778.126000002</v>
          </cell>
          <cell r="CC313">
            <v>23081494.872000001</v>
          </cell>
          <cell r="CD313">
            <v>25159696.001000002</v>
          </cell>
          <cell r="CE313">
            <v>25159696.001000002</v>
          </cell>
          <cell r="CF313">
            <v>0</v>
          </cell>
          <cell r="CG313">
            <v>0</v>
          </cell>
          <cell r="CH313">
            <v>-2078201.1290000002</v>
          </cell>
          <cell r="CI313">
            <v>0</v>
          </cell>
          <cell r="CJ313">
            <v>15721283.254000001</v>
          </cell>
          <cell r="CK313">
            <v>-980495.78800000018</v>
          </cell>
          <cell r="CL313">
            <v>-3653013.1869999999</v>
          </cell>
          <cell r="CM313">
            <v>2503753.2000000002</v>
          </cell>
          <cell r="CN313">
            <v>2503753.2000000002</v>
          </cell>
          <cell r="CO313">
            <v>0</v>
          </cell>
          <cell r="CP313">
            <v>-6156766.3870000001</v>
          </cell>
          <cell r="CQ313">
            <v>0</v>
          </cell>
          <cell r="CR313">
            <v>-860966.3870000001</v>
          </cell>
          <cell r="CS313">
            <v>-475300</v>
          </cell>
          <cell r="CT313">
            <v>0</v>
          </cell>
          <cell r="CU313">
            <v>-4820500</v>
          </cell>
          <cell r="CV313">
            <v>0</v>
          </cell>
          <cell r="CW313" t="str">
            <v/>
          </cell>
          <cell r="CX313">
            <v>5180154.449</v>
          </cell>
          <cell r="CY313">
            <v>0</v>
          </cell>
          <cell r="CZ313">
            <v>4797181.7580000004</v>
          </cell>
          <cell r="DA313">
            <v>0</v>
          </cell>
          <cell r="DB313">
            <v>-202818.242</v>
          </cell>
          <cell r="DC313">
            <v>5000000</v>
          </cell>
          <cell r="DD313">
            <v>382972.69099999999</v>
          </cell>
          <cell r="DE313">
            <v>-2507637.0500000003</v>
          </cell>
          <cell r="DF313">
            <v>0</v>
          </cell>
          <cell r="DG313">
            <v>-604006.98</v>
          </cell>
          <cell r="DH313">
            <v>-1903630.0700000003</v>
          </cell>
          <cell r="DI313">
            <v>16701779.042000001</v>
          </cell>
          <cell r="DJ313">
            <v>15000000</v>
          </cell>
          <cell r="DK313" t="str">
            <v/>
          </cell>
          <cell r="DL313" t="str">
            <v/>
          </cell>
          <cell r="DM313">
            <v>15000000</v>
          </cell>
          <cell r="DN313">
            <v>0</v>
          </cell>
          <cell r="DO313">
            <v>3247124.4</v>
          </cell>
          <cell r="DP313">
            <v>-1545375.358</v>
          </cell>
          <cell r="DQ313">
            <v>-768093.75399999996</v>
          </cell>
          <cell r="DR313">
            <v>30</v>
          </cell>
          <cell r="DS313" t="str">
            <v/>
          </cell>
          <cell r="DT313">
            <v>-4794263.7615000457</v>
          </cell>
          <cell r="DU313">
            <v>7242800.2149999999</v>
          </cell>
          <cell r="DV313">
            <v>5856643.608</v>
          </cell>
          <cell r="DW313">
            <v>1386156.6070000001</v>
          </cell>
          <cell r="DX313">
            <v>4133028.966</v>
          </cell>
          <cell r="DY313">
            <v>3778442.4789999998</v>
          </cell>
          <cell r="DZ313">
            <v>354586.48700000002</v>
          </cell>
          <cell r="EA313">
            <v>3109771.2490000003</v>
          </cell>
          <cell r="EB313">
            <v>2078201.1290000002</v>
          </cell>
          <cell r="EC313">
            <v>1031570.12</v>
          </cell>
          <cell r="EF313">
            <v>33</v>
          </cell>
        </row>
        <row r="314">
          <cell r="E314">
            <v>39612.8125</v>
          </cell>
          <cell r="F314">
            <v>307349615.713</v>
          </cell>
          <cell r="G314">
            <v>245210589.60599998</v>
          </cell>
          <cell r="H314">
            <v>245205978.05799997</v>
          </cell>
          <cell r="I314">
            <v>230807545.32799998</v>
          </cell>
          <cell r="J314">
            <v>63063171.368000008</v>
          </cell>
          <cell r="K314">
            <v>39091217.54900001</v>
          </cell>
          <cell r="L314">
            <v>2550582.7609999999</v>
          </cell>
          <cell r="M314">
            <v>1219208.031</v>
          </cell>
          <cell r="N314">
            <v>122097603.919</v>
          </cell>
          <cell r="O314">
            <v>89749206.899000004</v>
          </cell>
          <cell r="P314">
            <v>13888417.737</v>
          </cell>
          <cell r="Q314">
            <v>18459979.283</v>
          </cell>
          <cell r="R314">
            <v>38873240.116000004</v>
          </cell>
          <cell r="S314">
            <v>34402821.973000005</v>
          </cell>
          <cell r="T314">
            <v>4280793.3870000001</v>
          </cell>
          <cell r="U314">
            <v>189624.75599999999</v>
          </cell>
          <cell r="V314">
            <v>0</v>
          </cell>
          <cell r="W314">
            <v>3003739.1330000004</v>
          </cell>
          <cell r="X314">
            <v>14398432.729999997</v>
          </cell>
          <cell r="Y314">
            <v>694820.33400000003</v>
          </cell>
          <cell r="Z314">
            <v>7340502.652999999</v>
          </cell>
          <cell r="AA314">
            <v>879951.34900000016</v>
          </cell>
          <cell r="AB314">
            <v>71410.074000000008</v>
          </cell>
          <cell r="AC314">
            <v>5411748.3199999994</v>
          </cell>
          <cell r="AD314">
            <v>4611.5479999999861</v>
          </cell>
          <cell r="AE314">
            <v>62139026.107000001</v>
          </cell>
          <cell r="AF314">
            <v>27437026.107000001</v>
          </cell>
          <cell r="AG314">
            <v>34702000</v>
          </cell>
          <cell r="AH314">
            <v>399187832.30770004</v>
          </cell>
          <cell r="AI314">
            <v>329302972.78470004</v>
          </cell>
          <cell r="AJ314">
            <v>328768950.41769999</v>
          </cell>
          <cell r="AK314">
            <v>69571999.945000008</v>
          </cell>
          <cell r="AL314">
            <v>30149789.5</v>
          </cell>
          <cell r="AM314">
            <v>240052774.46670002</v>
          </cell>
          <cell r="AN314" t="str">
            <v/>
          </cell>
          <cell r="AO314">
            <v>95881588.5</v>
          </cell>
          <cell r="AP314" t="str">
            <v/>
          </cell>
          <cell r="AQ314">
            <v>60598885.697999999</v>
          </cell>
          <cell r="AR314" t="str">
            <v/>
          </cell>
          <cell r="AS314">
            <v>4014400.4159999997</v>
          </cell>
          <cell r="AT314">
            <v>534022.36700000009</v>
          </cell>
          <cell r="AU314">
            <v>3480378.0489999996</v>
          </cell>
          <cell r="AV314">
            <v>79557899.852699995</v>
          </cell>
          <cell r="AW314" t="str">
            <v/>
          </cell>
          <cell r="AX314">
            <v>215437.38200000001</v>
          </cell>
          <cell r="AY314">
            <v>10666228.050000001</v>
          </cell>
          <cell r="AZ314">
            <v>1554917.17</v>
          </cell>
          <cell r="BA314">
            <v>11763553.711999999</v>
          </cell>
          <cell r="BB314">
            <v>159555748.94700003</v>
          </cell>
          <cell r="BC314">
            <v>93151267.473000005</v>
          </cell>
          <cell r="BD314">
            <v>15397977.759</v>
          </cell>
          <cell r="BE314" t="str">
            <v/>
          </cell>
          <cell r="BF314">
            <v>5736211.3270000005</v>
          </cell>
          <cell r="BG314" t="str">
            <v/>
          </cell>
          <cell r="BH314">
            <v>60668270.147</v>
          </cell>
          <cell r="BI314">
            <v>27437026.107000001</v>
          </cell>
          <cell r="BJ314">
            <v>33231244.039999999</v>
          </cell>
          <cell r="BK314">
            <v>-420691.10600000026</v>
          </cell>
          <cell r="BL314">
            <v>-1412940.169</v>
          </cell>
          <cell r="BM314">
            <v>992249.06299999973</v>
          </cell>
          <cell r="BN314">
            <v>-91838216.594700038</v>
          </cell>
          <cell r="BO314">
            <v>-153977242.70170003</v>
          </cell>
          <cell r="BP314">
            <v>-149962842.28570005</v>
          </cell>
          <cell r="BQ314">
            <v>-93308972.554700047</v>
          </cell>
          <cell r="BR314">
            <v>15107364.3636044</v>
          </cell>
          <cell r="BS314">
            <v>3849083.5890000002</v>
          </cell>
          <cell r="BT314">
            <v>3849083.5890000002</v>
          </cell>
          <cell r="BU314">
            <v>0</v>
          </cell>
          <cell r="BV314">
            <v>-29557476.076000001</v>
          </cell>
          <cell r="BW314">
            <v>0</v>
          </cell>
          <cell r="BX314">
            <v>40815756.8506044</v>
          </cell>
          <cell r="BY314">
            <v>0</v>
          </cell>
          <cell r="BZ314">
            <v>-76730852.231095642</v>
          </cell>
          <cell r="CA314">
            <v>-138869878.33809564</v>
          </cell>
          <cell r="CB314">
            <v>75747320.228000015</v>
          </cell>
          <cell r="CC314">
            <v>26810602.276000001</v>
          </cell>
          <cell r="CD314">
            <v>33231244.039000001</v>
          </cell>
          <cell r="CE314">
            <v>33231244.039000001</v>
          </cell>
          <cell r="CF314">
            <v>0</v>
          </cell>
          <cell r="CG314">
            <v>0</v>
          </cell>
          <cell r="CH314">
            <v>-6420641.7630000003</v>
          </cell>
          <cell r="CI314">
            <v>0</v>
          </cell>
          <cell r="CJ314">
            <v>48936717.952000007</v>
          </cell>
          <cell r="CK314">
            <v>37738073.528000005</v>
          </cell>
          <cell r="CL314">
            <v>34909863.178000003</v>
          </cell>
          <cell r="CM314">
            <v>2503753.2000000002</v>
          </cell>
          <cell r="CN314">
            <v>2503753.2000000002</v>
          </cell>
          <cell r="CO314">
            <v>0</v>
          </cell>
          <cell r="CP314">
            <v>32406109.978</v>
          </cell>
          <cell r="CQ314">
            <v>0</v>
          </cell>
          <cell r="CR314">
            <v>-1728390.0220000001</v>
          </cell>
          <cell r="CS314">
            <v>-176600</v>
          </cell>
          <cell r="CT314">
            <v>0</v>
          </cell>
          <cell r="CU314">
            <v>34311100</v>
          </cell>
          <cell r="CV314" t="str">
            <v/>
          </cell>
          <cell r="CW314">
            <v>0</v>
          </cell>
          <cell r="CX314">
            <v>4556015.3080000002</v>
          </cell>
          <cell r="CY314">
            <v>0</v>
          </cell>
          <cell r="CZ314">
            <v>4797181.7580000004</v>
          </cell>
          <cell r="DA314">
            <v>0</v>
          </cell>
          <cell r="DB314">
            <v>-202818.242</v>
          </cell>
          <cell r="DC314">
            <v>5000000</v>
          </cell>
          <cell r="DD314">
            <v>-241166.45000000007</v>
          </cell>
          <cell r="DE314">
            <v>-1727804.9580000001</v>
          </cell>
          <cell r="DF314">
            <v>0</v>
          </cell>
          <cell r="DG314">
            <v>-604006.98</v>
          </cell>
          <cell r="DH314">
            <v>-1123797.9780000001</v>
          </cell>
          <cell r="DI314">
            <v>11198644.424000001</v>
          </cell>
          <cell r="DJ314">
            <v>15000000</v>
          </cell>
          <cell r="DK314" t="str">
            <v/>
          </cell>
          <cell r="DL314" t="str">
            <v/>
          </cell>
          <cell r="DM314">
            <v>15000000</v>
          </cell>
          <cell r="DN314">
            <v>0</v>
          </cell>
          <cell r="DO314">
            <v>3247124.4</v>
          </cell>
          <cell r="DP314">
            <v>-7048509.9759999998</v>
          </cell>
          <cell r="DQ314">
            <v>-1014692.959</v>
          </cell>
          <cell r="DR314">
            <v>30</v>
          </cell>
          <cell r="DS314" t="str">
            <v/>
          </cell>
          <cell r="DT314">
            <v>983532.00309562683</v>
          </cell>
          <cell r="DU314">
            <v>20786857.870999999</v>
          </cell>
          <cell r="DV314">
            <v>16772457.455</v>
          </cell>
          <cell r="DW314">
            <v>4014400.4159999997</v>
          </cell>
          <cell r="DX314">
            <v>10885838.059</v>
          </cell>
          <cell r="DY314">
            <v>10351815.692</v>
          </cell>
          <cell r="DZ314">
            <v>534022.36700000009</v>
          </cell>
          <cell r="EA314">
            <v>9901019.811999999</v>
          </cell>
          <cell r="EB314">
            <v>6420641.7630000003</v>
          </cell>
          <cell r="EC314">
            <v>3480378.0489999996</v>
          </cell>
          <cell r="EF314">
            <v>34</v>
          </cell>
        </row>
        <row r="315">
          <cell r="E315">
            <v>39704.125</v>
          </cell>
          <cell r="F315">
            <v>475370896.48100007</v>
          </cell>
          <cell r="G315">
            <v>358414888.92100006</v>
          </cell>
          <cell r="H315">
            <v>358407564.27300006</v>
          </cell>
          <cell r="I315">
            <v>334608320.26100004</v>
          </cell>
          <cell r="J315">
            <v>83385950.554000005</v>
          </cell>
          <cell r="K315">
            <v>46604008.375000007</v>
          </cell>
          <cell r="L315">
            <v>3753237.5980000002</v>
          </cell>
          <cell r="M315">
            <v>1980782.925</v>
          </cell>
          <cell r="N315">
            <v>182749653.227</v>
          </cell>
          <cell r="O315">
            <v>135713533.796</v>
          </cell>
          <cell r="P315">
            <v>19893649.987</v>
          </cell>
          <cell r="Q315">
            <v>27142469.443999998</v>
          </cell>
          <cell r="R315">
            <v>58622235.600000001</v>
          </cell>
          <cell r="S315">
            <v>51880183.497000001</v>
          </cell>
          <cell r="T315">
            <v>6456748.1100000003</v>
          </cell>
          <cell r="U315">
            <v>285303.99300000002</v>
          </cell>
          <cell r="V315">
            <v>0</v>
          </cell>
          <cell r="W315">
            <v>4116460.3570000003</v>
          </cell>
          <cell r="X315">
            <v>23799244.011999998</v>
          </cell>
          <cell r="Y315">
            <v>1032276.7680000002</v>
          </cell>
          <cell r="Z315">
            <v>11025261.071</v>
          </cell>
          <cell r="AA315">
            <v>1275745.2439999999</v>
          </cell>
          <cell r="AB315">
            <v>3663744.7290000003</v>
          </cell>
          <cell r="AC315">
            <v>6802216.1999999993</v>
          </cell>
          <cell r="AD315">
            <v>7324.6480000001084</v>
          </cell>
          <cell r="AE315">
            <v>116956007.56</v>
          </cell>
          <cell r="AF315">
            <v>39632055.280000001</v>
          </cell>
          <cell r="AG315">
            <v>77323952.280000001</v>
          </cell>
          <cell r="AH315">
            <v>600515241.98370004</v>
          </cell>
          <cell r="AI315">
            <v>506056285.97670007</v>
          </cell>
          <cell r="AJ315">
            <v>502790981.57170004</v>
          </cell>
          <cell r="AK315">
            <v>104980436.72700001</v>
          </cell>
          <cell r="AL315">
            <v>49163814.309</v>
          </cell>
          <cell r="AM315">
            <v>349403736.43970001</v>
          </cell>
          <cell r="AN315" t="str">
            <v/>
          </cell>
          <cell r="AO315">
            <v>149439610.89700001</v>
          </cell>
          <cell r="AP315" t="str">
            <v/>
          </cell>
          <cell r="AQ315">
            <v>78788531.713</v>
          </cell>
          <cell r="AR315" t="str">
            <v/>
          </cell>
          <cell r="AS315">
            <v>7637879.6509999996</v>
          </cell>
          <cell r="AT315">
            <v>3265304.4050000003</v>
          </cell>
          <cell r="AU315">
            <v>4372575.2459999993</v>
          </cell>
          <cell r="AV315">
            <v>113537714.1787</v>
          </cell>
          <cell r="AW315" t="str">
            <v/>
          </cell>
          <cell r="AX315">
            <v>400000</v>
          </cell>
          <cell r="AY315">
            <v>18102859.328000002</v>
          </cell>
          <cell r="AZ315">
            <v>1554917.17</v>
          </cell>
          <cell r="BA315">
            <v>14969206.074999999</v>
          </cell>
          <cell r="BB315">
            <v>252108191.08200002</v>
          </cell>
          <cell r="BC315">
            <v>162021810.32100001</v>
          </cell>
          <cell r="BD315">
            <v>25837084.145999998</v>
          </cell>
          <cell r="BE315" t="str">
            <v/>
          </cell>
          <cell r="BF315">
            <v>6172216.2630000003</v>
          </cell>
          <cell r="BG315" t="str">
            <v/>
          </cell>
          <cell r="BH315">
            <v>83914164.498000011</v>
          </cell>
          <cell r="BI315">
            <v>39632055.280000001</v>
          </cell>
          <cell r="BJ315">
            <v>44282109.21800001</v>
          </cell>
          <cell r="BK315">
            <v>-996685.53800000018</v>
          </cell>
          <cell r="BL315">
            <v>-1982251.6609999998</v>
          </cell>
          <cell r="BM315">
            <v>985566.12299999967</v>
          </cell>
          <cell r="BN315">
            <v>-125144345.50269997</v>
          </cell>
          <cell r="BO315">
            <v>-242100353.06269997</v>
          </cell>
          <cell r="BP315">
            <v>-234462473.41169995</v>
          </cell>
          <cell r="BQ315">
            <v>-158186188.56469995</v>
          </cell>
          <cell r="BR315">
            <v>32267160.31286449</v>
          </cell>
          <cell r="BS315">
            <v>8914903.1100000013</v>
          </cell>
          <cell r="BT315">
            <v>8914903.1100000013</v>
          </cell>
          <cell r="BU315">
            <v>0</v>
          </cell>
          <cell r="BV315">
            <v>-8493038.1850000061</v>
          </cell>
          <cell r="BW315">
            <v>0</v>
          </cell>
          <cell r="BX315">
            <v>31845295.387864493</v>
          </cell>
          <cell r="BY315">
            <v>0</v>
          </cell>
          <cell r="BZ315">
            <v>-92877185.189835489</v>
          </cell>
          <cell r="CA315">
            <v>-209833192.74983549</v>
          </cell>
          <cell r="CB315">
            <v>93400965.763999999</v>
          </cell>
          <cell r="CC315">
            <v>35471878.20700001</v>
          </cell>
          <cell r="CD315">
            <v>44282109.21800001</v>
          </cell>
          <cell r="CE315">
            <v>44282109.21800001</v>
          </cell>
          <cell r="CF315">
            <v>0</v>
          </cell>
          <cell r="CG315">
            <v>0</v>
          </cell>
          <cell r="CH315">
            <v>-8810231.0109999999</v>
          </cell>
          <cell r="CI315">
            <v>0</v>
          </cell>
          <cell r="CJ315">
            <v>57929087.556999996</v>
          </cell>
          <cell r="CK315">
            <v>47830247.541000001</v>
          </cell>
          <cell r="CL315">
            <v>45908133.865000002</v>
          </cell>
          <cell r="CM315">
            <v>5227753.2</v>
          </cell>
          <cell r="CN315">
            <v>5227753.2</v>
          </cell>
          <cell r="CO315">
            <v>0</v>
          </cell>
          <cell r="CP315">
            <v>40680380.664999999</v>
          </cell>
          <cell r="CQ315">
            <v>0</v>
          </cell>
          <cell r="CR315">
            <v>-2602319.335</v>
          </cell>
          <cell r="CS315">
            <v>-676600</v>
          </cell>
          <cell r="CT315">
            <v>0</v>
          </cell>
          <cell r="CU315">
            <v>43959300</v>
          </cell>
          <cell r="CV315">
            <v>0</v>
          </cell>
          <cell r="CW315">
            <v>0</v>
          </cell>
          <cell r="CX315">
            <v>7893329.739000001</v>
          </cell>
          <cell r="CY315">
            <v>-200940.76</v>
          </cell>
          <cell r="CZ315">
            <v>8297181.7580000004</v>
          </cell>
          <cell r="DA315">
            <v>0</v>
          </cell>
          <cell r="DB315">
            <v>-202818.242</v>
          </cell>
          <cell r="DC315">
            <v>8500000</v>
          </cell>
          <cell r="DD315">
            <v>-202911.25900000005</v>
          </cell>
          <cell r="DE315">
            <v>-5971216.0629999992</v>
          </cell>
          <cell r="DF315">
            <v>0</v>
          </cell>
          <cell r="DG315">
            <v>-1208010.6779999998</v>
          </cell>
          <cell r="DH315">
            <v>-4763205.3849999998</v>
          </cell>
          <cell r="DI315">
            <v>10098840.015999999</v>
          </cell>
          <cell r="DJ315">
            <v>12930000</v>
          </cell>
          <cell r="DK315" t="str">
            <v/>
          </cell>
          <cell r="DL315" t="str">
            <v/>
          </cell>
          <cell r="DM315">
            <v>27930000</v>
          </cell>
          <cell r="DN315">
            <v>-15000000</v>
          </cell>
          <cell r="DO315">
            <v>3247124.4000000004</v>
          </cell>
          <cell r="DP315">
            <v>-7966996.7090000007</v>
          </cell>
          <cell r="DQ315">
            <v>-1261292.1640000001</v>
          </cell>
          <cell r="DR315">
            <v>1888712.325</v>
          </cell>
          <cell r="DS315" t="str">
            <v/>
          </cell>
          <cell r="DT315">
            <v>-523780.57416450977</v>
          </cell>
          <cell r="DU315">
            <v>29397290.140000001</v>
          </cell>
          <cell r="DV315">
            <v>21759410.489</v>
          </cell>
          <cell r="DW315">
            <v>7637879.6509999996</v>
          </cell>
          <cell r="DX315">
            <v>16214483.883000001</v>
          </cell>
          <cell r="DY315">
            <v>12949179.478</v>
          </cell>
          <cell r="DZ315">
            <v>3265304.4050000003</v>
          </cell>
          <cell r="EA315">
            <v>13182806.256999999</v>
          </cell>
          <cell r="EB315">
            <v>8810231.0109999999</v>
          </cell>
          <cell r="EC315">
            <v>4372575.2459999993</v>
          </cell>
          <cell r="EF315">
            <v>35</v>
          </cell>
        </row>
        <row r="316">
          <cell r="E316">
            <v>39795.4375</v>
          </cell>
          <cell r="F316">
            <v>630752097.64899993</v>
          </cell>
          <cell r="G316">
            <v>483833897.67499995</v>
          </cell>
          <cell r="H316">
            <v>483826572.07199997</v>
          </cell>
          <cell r="I316">
            <v>444671069.16499996</v>
          </cell>
          <cell r="J316">
            <v>103469343.79799999</v>
          </cell>
          <cell r="K316">
            <v>54456211.589000009</v>
          </cell>
          <cell r="L316">
            <v>4989967.1670000004</v>
          </cell>
          <cell r="M316">
            <v>3208682.2810000004</v>
          </cell>
          <cell r="N316">
            <v>243815710.87</v>
          </cell>
          <cell r="O316">
            <v>181719408.35700002</v>
          </cell>
          <cell r="P316">
            <v>27056896.368000001</v>
          </cell>
          <cell r="Q316">
            <v>35039406.144999996</v>
          </cell>
          <cell r="R316">
            <v>81820979.912999988</v>
          </cell>
          <cell r="S316">
            <v>72499311.707999989</v>
          </cell>
          <cell r="T316">
            <v>8933758.4930000007</v>
          </cell>
          <cell r="U316">
            <v>387909.712</v>
          </cell>
          <cell r="V316">
            <v>0</v>
          </cell>
          <cell r="W316">
            <v>7366385.1359999999</v>
          </cell>
          <cell r="X316">
            <v>39155502.906999998</v>
          </cell>
          <cell r="Y316">
            <v>2153927.6100000003</v>
          </cell>
          <cell r="Z316">
            <v>15869638.739999998</v>
          </cell>
          <cell r="AA316">
            <v>1700360.8959999999</v>
          </cell>
          <cell r="AB316">
            <v>8004730.4979999997</v>
          </cell>
          <cell r="AC316">
            <v>11426845.162999999</v>
          </cell>
          <cell r="AD316">
            <v>7325.6030000000665</v>
          </cell>
          <cell r="AE316">
            <v>146918199.97400001</v>
          </cell>
          <cell r="AF316">
            <v>58684742.194000006</v>
          </cell>
          <cell r="AG316">
            <v>88233457.780000001</v>
          </cell>
          <cell r="AH316">
            <v>791858182.8678</v>
          </cell>
          <cell r="AI316">
            <v>652929066.31780005</v>
          </cell>
          <cell r="AJ316">
            <v>648350326.31780005</v>
          </cell>
          <cell r="AK316">
            <v>142368930.57700002</v>
          </cell>
          <cell r="AL316">
            <v>56429091.200000003</v>
          </cell>
          <cell r="AM316">
            <v>455189052.97579998</v>
          </cell>
          <cell r="AN316" t="str">
            <v/>
          </cell>
          <cell r="AO316">
            <v>198826233</v>
          </cell>
          <cell r="AP316" t="str">
            <v/>
          </cell>
          <cell r="AQ316">
            <v>95308772.342999995</v>
          </cell>
          <cell r="AR316" t="str">
            <v/>
          </cell>
          <cell r="AS316">
            <v>12693274.999999998</v>
          </cell>
          <cell r="AT316">
            <v>4578740</v>
          </cell>
          <cell r="AU316">
            <v>8114534.9999999981</v>
          </cell>
          <cell r="AV316">
            <v>148360772.63279998</v>
          </cell>
          <cell r="AW316" t="str">
            <v/>
          </cell>
          <cell r="AX316">
            <v>400000</v>
          </cell>
          <cell r="AY316">
            <v>25117546.478</v>
          </cell>
          <cell r="AZ316">
            <v>1554917.17</v>
          </cell>
          <cell r="BA316">
            <v>17914726.050999999</v>
          </cell>
          <cell r="BB316">
            <v>325066705.24000001</v>
          </cell>
          <cell r="BC316">
            <v>194252123.69</v>
          </cell>
          <cell r="BD316">
            <v>27084982.23</v>
          </cell>
          <cell r="BE316" t="str">
            <v/>
          </cell>
          <cell r="BF316">
            <v>6172216.2630000003</v>
          </cell>
          <cell r="BG316" t="str">
            <v/>
          </cell>
          <cell r="BH316">
            <v>124642365.28700002</v>
          </cell>
          <cell r="BI316">
            <v>55313362.291000009</v>
          </cell>
          <cell r="BJ316">
            <v>69329002.996000007</v>
          </cell>
          <cell r="BK316">
            <v>11602424.651999999</v>
          </cell>
          <cell r="BL316">
            <v>-3812340.5709999995</v>
          </cell>
          <cell r="BM316">
            <v>15414765.222999999</v>
          </cell>
          <cell r="BN316">
            <v>-161106085.21880007</v>
          </cell>
          <cell r="BO316">
            <v>-308024285.19280005</v>
          </cell>
          <cell r="BP316">
            <v>-295331010.19280005</v>
          </cell>
          <cell r="BQ316">
            <v>-183381919.90579998</v>
          </cell>
          <cell r="BR316">
            <v>19231370.995587822</v>
          </cell>
          <cell r="BS316">
            <v>1897325.0270000026</v>
          </cell>
          <cell r="BT316">
            <v>1897325.0270000026</v>
          </cell>
          <cell r="BU316">
            <v>0</v>
          </cell>
          <cell r="BV316">
            <v>-36865066.605000004</v>
          </cell>
          <cell r="BW316">
            <v>0</v>
          </cell>
          <cell r="BX316">
            <v>50748442.744587824</v>
          </cell>
          <cell r="BY316">
            <v>3450669.8289999999</v>
          </cell>
          <cell r="BZ316">
            <v>-141874714.22321224</v>
          </cell>
          <cell r="CA316">
            <v>-288792914.19721222</v>
          </cell>
          <cell r="CB316">
            <v>144781921.98800001</v>
          </cell>
          <cell r="CC316">
            <v>102279659.34500001</v>
          </cell>
          <cell r="CD316">
            <v>115258498.38300002</v>
          </cell>
          <cell r="CE316">
            <v>69329002.996000007</v>
          </cell>
          <cell r="CF316">
            <v>45929495.387000002</v>
          </cell>
          <cell r="CG316">
            <v>0</v>
          </cell>
          <cell r="CH316">
            <v>-12978839.037999999</v>
          </cell>
          <cell r="CI316">
            <v>0</v>
          </cell>
          <cell r="CJ316">
            <v>42502262.642999999</v>
          </cell>
          <cell r="CK316">
            <v>54431216.25</v>
          </cell>
          <cell r="CL316">
            <v>48372050.083000004</v>
          </cell>
          <cell r="CM316">
            <v>5227753.2</v>
          </cell>
          <cell r="CN316">
            <v>5227753.2</v>
          </cell>
          <cell r="CO316">
            <v>0</v>
          </cell>
          <cell r="CP316">
            <v>43144296.883000001</v>
          </cell>
          <cell r="CQ316">
            <v>0</v>
          </cell>
          <cell r="CR316">
            <v>-3482803.1170000001</v>
          </cell>
          <cell r="CS316">
            <v>-986800</v>
          </cell>
          <cell r="CT316">
            <v>0</v>
          </cell>
          <cell r="CU316">
            <v>47613900</v>
          </cell>
          <cell r="CV316" t="str">
            <v/>
          </cell>
          <cell r="CW316">
            <v>0</v>
          </cell>
          <cell r="CX316">
            <v>15466194.364</v>
          </cell>
          <cell r="CY316">
            <v>-233833.50400000002</v>
          </cell>
          <cell r="CZ316">
            <v>15883335.604</v>
          </cell>
          <cell r="DA316">
            <v>0</v>
          </cell>
          <cell r="DB316">
            <v>-656664.39600000007</v>
          </cell>
          <cell r="DC316">
            <v>16540000</v>
          </cell>
          <cell r="DD316">
            <v>-183307.73600000003</v>
          </cell>
          <cell r="DE316">
            <v>-9407028.1970000006</v>
          </cell>
          <cell r="DF316">
            <v>0</v>
          </cell>
          <cell r="DG316">
            <v>-1812014.3759999997</v>
          </cell>
          <cell r="DH316">
            <v>-7595013.8210000005</v>
          </cell>
          <cell r="DI316">
            <v>-11928953.607000001</v>
          </cell>
          <cell r="DJ316">
            <v>3000000</v>
          </cell>
          <cell r="DK316" t="str">
            <v/>
          </cell>
          <cell r="DL316" t="str">
            <v/>
          </cell>
          <cell r="DM316">
            <v>30930000</v>
          </cell>
          <cell r="DN316">
            <v>-27930000</v>
          </cell>
          <cell r="DO316">
            <v>-2500000</v>
          </cell>
          <cell r="DP316">
            <v>-15339848.572000001</v>
          </cell>
          <cell r="DQ316">
            <v>-1507891.3690000002</v>
          </cell>
          <cell r="DR316">
            <v>2910894.9649999999</v>
          </cell>
          <cell r="DS316" t="str">
            <v/>
          </cell>
          <cell r="DT316">
            <v>-2907207.7647877634</v>
          </cell>
          <cell r="DU316">
            <v>47965368.474999994</v>
          </cell>
          <cell r="DV316">
            <v>35272093.474999994</v>
          </cell>
          <cell r="DW316">
            <v>12693274.999999998</v>
          </cell>
          <cell r="DX316">
            <v>26871994.436999999</v>
          </cell>
          <cell r="DY316">
            <v>22293254.436999999</v>
          </cell>
          <cell r="DZ316">
            <v>4578740</v>
          </cell>
          <cell r="EA316">
            <v>21093374.037999995</v>
          </cell>
          <cell r="EB316">
            <v>12978839.037999999</v>
          </cell>
          <cell r="EC316">
            <v>8114534.9999999981</v>
          </cell>
          <cell r="EF316">
            <v>36</v>
          </cell>
        </row>
        <row r="317">
          <cell r="E317">
            <v>39886.75</v>
          </cell>
          <cell r="F317">
            <v>127659683.956</v>
          </cell>
          <cell r="G317">
            <v>117242139.969</v>
          </cell>
          <cell r="H317">
            <v>117242139.763</v>
          </cell>
          <cell r="I317">
            <v>110102282.69299999</v>
          </cell>
          <cell r="J317">
            <v>24869350.435000002</v>
          </cell>
          <cell r="K317">
            <v>9123874.3040000014</v>
          </cell>
          <cell r="L317">
            <v>1518068.257</v>
          </cell>
          <cell r="M317">
            <v>758496.65700000012</v>
          </cell>
          <cell r="N317">
            <v>62367763.055</v>
          </cell>
          <cell r="O317">
            <v>46183429.075999998</v>
          </cell>
          <cell r="P317">
            <v>6930937.8440000005</v>
          </cell>
          <cell r="Q317">
            <v>9253396.1349999998</v>
          </cell>
          <cell r="R317">
            <v>19412846.437999997</v>
          </cell>
          <cell r="S317">
            <v>17022342.783</v>
          </cell>
          <cell r="T317">
            <v>2015069.65</v>
          </cell>
          <cell r="U317">
            <v>375434.005</v>
          </cell>
          <cell r="V317">
            <v>0</v>
          </cell>
          <cell r="W317">
            <v>1175757.8509999998</v>
          </cell>
          <cell r="X317">
            <v>7139857.0700000012</v>
          </cell>
          <cell r="Y317">
            <v>190280.22200000001</v>
          </cell>
          <cell r="Z317">
            <v>3583198.6000000006</v>
          </cell>
          <cell r="AA317">
            <v>336548.98400000005</v>
          </cell>
          <cell r="AB317">
            <v>1500084.6709999999</v>
          </cell>
          <cell r="AC317">
            <v>1529744.5930000001</v>
          </cell>
          <cell r="AD317">
            <v>0.20600000000000002</v>
          </cell>
          <cell r="AE317">
            <v>10417543.987</v>
          </cell>
          <cell r="AF317">
            <v>6829234.754999999</v>
          </cell>
          <cell r="AG317">
            <v>3588309.2319999998</v>
          </cell>
          <cell r="AH317">
            <v>179383287.15140003</v>
          </cell>
          <cell r="AI317">
            <v>151605817.88440001</v>
          </cell>
          <cell r="AJ317">
            <v>150250411.83140001</v>
          </cell>
          <cell r="AK317">
            <v>31215143.142000001</v>
          </cell>
          <cell r="AL317">
            <v>14352809.069</v>
          </cell>
          <cell r="AM317">
            <v>126963691.20640001</v>
          </cell>
          <cell r="AN317" t="str">
            <v/>
          </cell>
          <cell r="AO317">
            <v>53084098.129000001</v>
          </cell>
          <cell r="AP317" t="str">
            <v/>
          </cell>
          <cell r="AQ317">
            <v>23753573.491</v>
          </cell>
          <cell r="AR317" t="str">
            <v/>
          </cell>
          <cell r="AS317">
            <v>2595657.3089999999</v>
          </cell>
          <cell r="AT317">
            <v>1355406.0530000001</v>
          </cell>
          <cell r="AU317">
            <v>1240251.2559999998</v>
          </cell>
          <cell r="AV317">
            <v>47530362.277400002</v>
          </cell>
          <cell r="AW317" t="str">
            <v/>
          </cell>
          <cell r="AX317">
            <v>7856403.7323999992</v>
          </cell>
          <cell r="AY317">
            <v>7889874.5030000005</v>
          </cell>
          <cell r="AZ317">
            <v>0</v>
          </cell>
          <cell r="BA317">
            <v>8287583.8289999999</v>
          </cell>
          <cell r="BB317">
            <v>54648152.885000005</v>
          </cell>
          <cell r="BC317">
            <v>28110934.874000002</v>
          </cell>
          <cell r="BD317">
            <v>6616076.0210000006</v>
          </cell>
          <cell r="BE317" t="str">
            <v/>
          </cell>
          <cell r="BF317">
            <v>2191697.548</v>
          </cell>
          <cell r="BG317" t="str">
            <v/>
          </cell>
          <cell r="BH317">
            <v>24345520.463</v>
          </cell>
          <cell r="BI317">
            <v>6829234.754999999</v>
          </cell>
          <cell r="BJ317">
            <v>17516285.708000001</v>
          </cell>
          <cell r="BK317">
            <v>-2228556.94</v>
          </cell>
          <cell r="BL317">
            <v>-225439.58900000001</v>
          </cell>
          <cell r="BM317">
            <v>-2003117.351</v>
          </cell>
          <cell r="BN317">
            <v>-51723603.195400029</v>
          </cell>
          <cell r="BO317">
            <v>-62141147.182400033</v>
          </cell>
          <cell r="BP317">
            <v>-59545489.873400047</v>
          </cell>
          <cell r="BQ317">
            <v>-37795626.719400033</v>
          </cell>
          <cell r="BR317">
            <v>41990589.817412078</v>
          </cell>
          <cell r="BS317">
            <v>8274591.5639999844</v>
          </cell>
          <cell r="BT317">
            <v>8274591.5639999844</v>
          </cell>
          <cell r="BU317">
            <v>0</v>
          </cell>
          <cell r="BV317">
            <v>14414439.419000044</v>
          </cell>
          <cell r="BW317">
            <v>0</v>
          </cell>
          <cell r="BX317">
            <v>19301558.83441205</v>
          </cell>
          <cell r="BY317">
            <v>0</v>
          </cell>
          <cell r="BZ317">
            <v>-9733013.377987951</v>
          </cell>
          <cell r="CA317">
            <v>-20150557.364987951</v>
          </cell>
          <cell r="CB317">
            <v>9901840.7010000013</v>
          </cell>
          <cell r="CC317">
            <v>15449808.503</v>
          </cell>
          <cell r="CD317">
            <v>17516285.708000001</v>
          </cell>
          <cell r="CE317">
            <v>17516285.708000001</v>
          </cell>
          <cell r="CF317">
            <v>0</v>
          </cell>
          <cell r="CG317">
            <v>0</v>
          </cell>
          <cell r="CH317">
            <v>-2066477.2050000001</v>
          </cell>
          <cell r="CI317">
            <v>0</v>
          </cell>
          <cell r="CJ317">
            <v>-5547967.8019999992</v>
          </cell>
          <cell r="CK317">
            <v>-14504036.285</v>
          </cell>
          <cell r="CL317">
            <v>-3191187.4110000003</v>
          </cell>
          <cell r="CM317">
            <v>2900100</v>
          </cell>
          <cell r="CN317">
            <v>2900100</v>
          </cell>
          <cell r="CO317">
            <v>0</v>
          </cell>
          <cell r="CP317">
            <v>-6091287.4110000003</v>
          </cell>
          <cell r="CQ317">
            <v>0</v>
          </cell>
          <cell r="CR317">
            <v>-887087.41099999996</v>
          </cell>
          <cell r="CS317">
            <v>116900</v>
          </cell>
          <cell r="CT317">
            <v>0</v>
          </cell>
          <cell r="CU317">
            <v>-5321100</v>
          </cell>
          <cell r="CV317" t="str">
            <v/>
          </cell>
          <cell r="CW317">
            <v>0</v>
          </cell>
          <cell r="CX317">
            <v>-10909535.196</v>
          </cell>
          <cell r="CY317">
            <v>-32892.743999999999</v>
          </cell>
          <cell r="CZ317">
            <v>-10864102</v>
          </cell>
          <cell r="DA317">
            <v>0</v>
          </cell>
          <cell r="DB317">
            <v>0</v>
          </cell>
          <cell r="DC317">
            <v>-10864102</v>
          </cell>
          <cell r="DD317">
            <v>-12540.452000000019</v>
          </cell>
          <cell r="DE317">
            <v>-403313.67799999891</v>
          </cell>
          <cell r="DF317">
            <v>0</v>
          </cell>
          <cell r="DG317">
            <v>-2778709.3560000001</v>
          </cell>
          <cell r="DH317">
            <v>2375395.6780000012</v>
          </cell>
          <cell r="DI317">
            <v>8956068.4830000009</v>
          </cell>
          <cell r="DJ317">
            <v>8351796</v>
          </cell>
          <cell r="DK317" t="str">
            <v/>
          </cell>
          <cell r="DL317" t="str">
            <v/>
          </cell>
          <cell r="DM317">
            <v>11351796</v>
          </cell>
          <cell r="DN317">
            <v>-3000000</v>
          </cell>
          <cell r="DO317">
            <v>0</v>
          </cell>
          <cell r="DP317">
            <v>-1468746.0889999999</v>
          </cell>
          <cell r="DQ317">
            <v>-246599.20499999999</v>
          </cell>
          <cell r="DR317">
            <v>2073018.5719999999</v>
          </cell>
          <cell r="DS317" t="str">
            <v/>
          </cell>
          <cell r="DT317">
            <v>-168827.32301205024</v>
          </cell>
          <cell r="DU317">
            <v>9829570.1140000001</v>
          </cell>
          <cell r="DV317">
            <v>7233912.8049999997</v>
          </cell>
          <cell r="DW317">
            <v>2595657.3089999999</v>
          </cell>
          <cell r="DX317">
            <v>6522841.6529999999</v>
          </cell>
          <cell r="DY317">
            <v>5167435.5999999996</v>
          </cell>
          <cell r="DZ317">
            <v>1355406.0530000001</v>
          </cell>
          <cell r="EA317">
            <v>3306728.4610000001</v>
          </cell>
          <cell r="EB317">
            <v>2066477.2050000001</v>
          </cell>
          <cell r="EC317">
            <v>1240251.2559999998</v>
          </cell>
          <cell r="EF317">
            <v>37</v>
          </cell>
        </row>
        <row r="318">
          <cell r="E318">
            <v>39978.0625</v>
          </cell>
          <cell r="F318">
            <v>343933664.56800002</v>
          </cell>
          <cell r="G318">
            <v>264205943.551</v>
          </cell>
          <cell r="H318">
            <v>264202197.09299999</v>
          </cell>
          <cell r="I318">
            <v>244148423.14899999</v>
          </cell>
          <cell r="J318">
            <v>64023581.954999991</v>
          </cell>
          <cell r="K318">
            <v>34535509.848000005</v>
          </cell>
          <cell r="L318">
            <v>3053110.0279999999</v>
          </cell>
          <cell r="M318">
            <v>1725950.486</v>
          </cell>
          <cell r="N318">
            <v>131942105.95199999</v>
          </cell>
          <cell r="O318">
            <v>97919488.420999989</v>
          </cell>
          <cell r="P318">
            <v>14245632.624</v>
          </cell>
          <cell r="Q318">
            <v>19776984.907000002</v>
          </cell>
          <cell r="R318">
            <v>40825884.809999995</v>
          </cell>
          <cell r="S318">
            <v>36051708.336999997</v>
          </cell>
          <cell r="T318">
            <v>4294424.4009999996</v>
          </cell>
          <cell r="U318">
            <v>479752.07200000004</v>
          </cell>
          <cell r="V318">
            <v>0</v>
          </cell>
          <cell r="W318">
            <v>2577789.9179999996</v>
          </cell>
          <cell r="X318">
            <v>20053773.943999998</v>
          </cell>
          <cell r="Y318">
            <v>1303731.2339999999</v>
          </cell>
          <cell r="Z318">
            <v>7134229.5500000007</v>
          </cell>
          <cell r="AA318">
            <v>1251575.47</v>
          </cell>
          <cell r="AB318">
            <v>5812792.7479999997</v>
          </cell>
          <cell r="AC318">
            <v>4551444.9419999998</v>
          </cell>
          <cell r="AD318">
            <v>3746.4580000000005</v>
          </cell>
          <cell r="AE318">
            <v>79727721.017000005</v>
          </cell>
          <cell r="AF318">
            <v>47272206.901000001</v>
          </cell>
          <cell r="AG318">
            <v>32455514.116</v>
          </cell>
          <cell r="AH318">
            <v>409019638.21639997</v>
          </cell>
          <cell r="AI318">
            <v>313908329.75040001</v>
          </cell>
          <cell r="AJ318">
            <v>311274045.65939999</v>
          </cell>
          <cell r="AK318">
            <v>68257736.975999996</v>
          </cell>
          <cell r="AL318">
            <v>26421365.265000001</v>
          </cell>
          <cell r="AM318">
            <v>246777531.20840001</v>
          </cell>
          <cell r="AN318" t="str">
            <v/>
          </cell>
          <cell r="AO318">
            <v>110736674.32600001</v>
          </cell>
          <cell r="AP318" t="str">
            <v/>
          </cell>
          <cell r="AQ318">
            <v>49054544.843000002</v>
          </cell>
          <cell r="AR318" t="str">
            <v/>
          </cell>
          <cell r="AS318">
            <v>6950095.3930000011</v>
          </cell>
          <cell r="AT318">
            <v>2634284.0910000005</v>
          </cell>
          <cell r="AU318">
            <v>4315811.3020000001</v>
          </cell>
          <cell r="AV318">
            <v>80036216.64639999</v>
          </cell>
          <cell r="AW318" t="str">
            <v/>
          </cell>
          <cell r="AX318">
            <v>8700123.2104000002</v>
          </cell>
          <cell r="AY318">
            <v>14839310.039000001</v>
          </cell>
          <cell r="AZ318">
            <v>0</v>
          </cell>
          <cell r="BA318">
            <v>9981967.5030000005</v>
          </cell>
          <cell r="BB318">
            <v>166288892.35299999</v>
          </cell>
          <cell r="BC318">
            <v>75493395.188999996</v>
          </cell>
          <cell r="BD318">
            <v>14911916.293</v>
          </cell>
          <cell r="BE318" t="str">
            <v/>
          </cell>
          <cell r="BF318">
            <v>2454364.548</v>
          </cell>
          <cell r="BG318" t="str">
            <v/>
          </cell>
          <cell r="BH318">
            <v>88341132.615999997</v>
          </cell>
          <cell r="BI318">
            <v>47272206.901000001</v>
          </cell>
          <cell r="BJ318">
            <v>41068925.715000004</v>
          </cell>
          <cell r="BK318">
            <v>-4046785.3450000002</v>
          </cell>
          <cell r="BL318">
            <v>-1065762.659</v>
          </cell>
          <cell r="BM318">
            <v>-2981022.6860000002</v>
          </cell>
          <cell r="BN318">
            <v>-65085973.648399949</v>
          </cell>
          <cell r="BO318">
            <v>-144813694.66539997</v>
          </cell>
          <cell r="BP318">
            <v>-137863599.27239996</v>
          </cell>
          <cell r="BQ318">
            <v>-56472562.049399972</v>
          </cell>
          <cell r="BR318">
            <v>33778717.057412073</v>
          </cell>
          <cell r="BS318">
            <v>3601879.5289999796</v>
          </cell>
          <cell r="BT318">
            <v>3601879.5289999796</v>
          </cell>
          <cell r="BU318">
            <v>0</v>
          </cell>
          <cell r="BV318">
            <v>19120876.428000048</v>
          </cell>
          <cell r="BW318">
            <v>0</v>
          </cell>
          <cell r="BX318">
            <v>21574677.454412047</v>
          </cell>
          <cell r="BY318">
            <v>-10518716.354</v>
          </cell>
          <cell r="BZ318">
            <v>-31307256.590987876</v>
          </cell>
          <cell r="CA318">
            <v>-111034977.60798788</v>
          </cell>
          <cell r="CB318">
            <v>35938345.261000007</v>
          </cell>
          <cell r="CC318">
            <v>33549606.164000005</v>
          </cell>
          <cell r="CD318">
            <v>41068925.715000004</v>
          </cell>
          <cell r="CE318">
            <v>41068925.715000004</v>
          </cell>
          <cell r="CF318">
            <v>0</v>
          </cell>
          <cell r="CG318" t="str">
            <v/>
          </cell>
          <cell r="CH318">
            <v>-7519319.551</v>
          </cell>
          <cell r="CI318">
            <v>0</v>
          </cell>
          <cell r="CJ318">
            <v>2388739.0970000029</v>
          </cell>
          <cell r="CK318">
            <v>-46543383.851999998</v>
          </cell>
          <cell r="CL318">
            <v>-36177227.976999998</v>
          </cell>
          <cell r="CM318">
            <v>2900100</v>
          </cell>
          <cell r="CN318">
            <v>2900100</v>
          </cell>
          <cell r="CO318">
            <v>0</v>
          </cell>
          <cell r="CP318">
            <v>-39077327.976999998</v>
          </cell>
          <cell r="CQ318">
            <v>0</v>
          </cell>
          <cell r="CR318">
            <v>-1780827.977</v>
          </cell>
          <cell r="CS318">
            <v>-139800</v>
          </cell>
          <cell r="CT318">
            <v>0</v>
          </cell>
          <cell r="CU318">
            <v>-37156700</v>
          </cell>
          <cell r="CV318" t="str">
            <v/>
          </cell>
          <cell r="CW318">
            <v>0</v>
          </cell>
          <cell r="CX318">
            <v>-4353125.034</v>
          </cell>
          <cell r="CY318">
            <v>-65785.487999999998</v>
          </cell>
          <cell r="CZ318">
            <v>-4317493.5640000002</v>
          </cell>
          <cell r="DA318">
            <v>0</v>
          </cell>
          <cell r="DB318">
            <v>-453846.16399999999</v>
          </cell>
          <cell r="DC318">
            <v>-3863647.4000000004</v>
          </cell>
          <cell r="DD318">
            <v>30154.017999999978</v>
          </cell>
          <cell r="DE318">
            <v>-6013030.8409999982</v>
          </cell>
          <cell r="DF318">
            <v>0</v>
          </cell>
          <cell r="DG318">
            <v>-6750179.3619999997</v>
          </cell>
          <cell r="DH318">
            <v>737148.52100000158</v>
          </cell>
          <cell r="DI318">
            <v>48932122.949000001</v>
          </cell>
          <cell r="DJ318">
            <v>38501098</v>
          </cell>
          <cell r="DK318" t="str">
            <v/>
          </cell>
          <cell r="DL318" t="str">
            <v/>
          </cell>
          <cell r="DM318">
            <v>53501098</v>
          </cell>
          <cell r="DN318">
            <v>-15000000</v>
          </cell>
          <cell r="DO318">
            <v>-13500000</v>
          </cell>
          <cell r="DP318">
            <v>-4692004.1569999997</v>
          </cell>
          <cell r="DQ318">
            <v>-493198.41</v>
          </cell>
          <cell r="DR318">
            <v>28623029.105999999</v>
          </cell>
          <cell r="DS318" t="str">
            <v/>
          </cell>
          <cell r="DT318">
            <v>-4631088.6700121313</v>
          </cell>
          <cell r="DU318">
            <v>24240588.086000003</v>
          </cell>
          <cell r="DV318">
            <v>17290492.693</v>
          </cell>
          <cell r="DW318">
            <v>6950095.3930000011</v>
          </cell>
          <cell r="DX318">
            <v>12405457.232999999</v>
          </cell>
          <cell r="DY318">
            <v>9771173.1419999991</v>
          </cell>
          <cell r="DZ318">
            <v>2634284.0910000005</v>
          </cell>
          <cell r="EA318">
            <v>11835130.853</v>
          </cell>
          <cell r="EB318">
            <v>7519319.551</v>
          </cell>
          <cell r="EC318">
            <v>4315811.3020000001</v>
          </cell>
          <cell r="EF318">
            <v>38</v>
          </cell>
        </row>
        <row r="319">
          <cell r="E319">
            <v>40069.375</v>
          </cell>
          <cell r="F319">
            <v>564799365.40799999</v>
          </cell>
          <cell r="G319">
            <v>392086381.46100003</v>
          </cell>
          <cell r="H319">
            <v>392082503.838</v>
          </cell>
          <cell r="I319">
            <v>359377651.32800001</v>
          </cell>
          <cell r="J319">
            <v>84899733.283999994</v>
          </cell>
          <cell r="K319">
            <v>41759876.421000004</v>
          </cell>
          <cell r="L319">
            <v>4371280.9179999996</v>
          </cell>
          <cell r="M319">
            <v>2283870.676</v>
          </cell>
          <cell r="N319">
            <v>200434284.93399999</v>
          </cell>
          <cell r="O319">
            <v>150799913.778</v>
          </cell>
          <cell r="P319">
            <v>20622397.359000001</v>
          </cell>
          <cell r="Q319">
            <v>29011973.797000002</v>
          </cell>
          <cell r="R319">
            <v>63628793.127999999</v>
          </cell>
          <cell r="S319">
            <v>56435444.914999999</v>
          </cell>
          <cell r="T319">
            <v>6608554.5899999999</v>
          </cell>
          <cell r="U319">
            <v>584793.62300000002</v>
          </cell>
          <cell r="V319">
            <v>0</v>
          </cell>
          <cell r="W319">
            <v>3759688.3879999998</v>
          </cell>
          <cell r="X319">
            <v>32704852.509999998</v>
          </cell>
          <cell r="Y319">
            <v>2021505.4180000001</v>
          </cell>
          <cell r="Z319">
            <v>10485510.848999999</v>
          </cell>
          <cell r="AA319">
            <v>1828201.6840000001</v>
          </cell>
          <cell r="AB319">
            <v>9045775.8509999979</v>
          </cell>
          <cell r="AC319">
            <v>9323858.7080000006</v>
          </cell>
          <cell r="AD319">
            <v>3877.6230000000005</v>
          </cell>
          <cell r="AE319">
            <v>172712983.947</v>
          </cell>
          <cell r="AF319">
            <v>78366247.677000001</v>
          </cell>
          <cell r="AG319">
            <v>94346736.269999996</v>
          </cell>
          <cell r="AH319">
            <v>647263940.0029</v>
          </cell>
          <cell r="AI319">
            <v>476175179.08090001</v>
          </cell>
          <cell r="AJ319">
            <v>468436194.76489997</v>
          </cell>
          <cell r="AK319">
            <v>111508403.78199999</v>
          </cell>
          <cell r="AL319">
            <v>39487195.476999998</v>
          </cell>
          <cell r="AM319">
            <v>362645966.19490004</v>
          </cell>
          <cell r="AN319" t="str">
            <v/>
          </cell>
          <cell r="AO319">
            <v>166594822.83500001</v>
          </cell>
          <cell r="AP319" t="str">
            <v/>
          </cell>
          <cell r="AQ319">
            <v>70137696.207000002</v>
          </cell>
          <cell r="AR319" t="str">
            <v/>
          </cell>
          <cell r="AS319">
            <v>13047991.244000003</v>
          </cell>
          <cell r="AT319">
            <v>7738984.3160000006</v>
          </cell>
          <cell r="AU319">
            <v>5309006.9280000012</v>
          </cell>
          <cell r="AV319">
            <v>112865455.90889999</v>
          </cell>
          <cell r="AW319" t="str">
            <v/>
          </cell>
          <cell r="AX319">
            <v>9337799.6839000005</v>
          </cell>
          <cell r="AY319">
            <v>24041879.690000001</v>
          </cell>
          <cell r="AZ319">
            <v>0</v>
          </cell>
          <cell r="BA319">
            <v>13376344.966</v>
          </cell>
          <cell r="BB319">
            <v>288713755.30999994</v>
          </cell>
          <cell r="BC319">
            <v>122934001.316</v>
          </cell>
          <cell r="BD319">
            <v>21849567.177999996</v>
          </cell>
          <cell r="BE319" t="str">
            <v/>
          </cell>
          <cell r="BF319">
            <v>4134111.372</v>
          </cell>
          <cell r="BG319" t="str">
            <v/>
          </cell>
          <cell r="BH319">
            <v>161645642.62199998</v>
          </cell>
          <cell r="BI319">
            <v>78366247.677000001</v>
          </cell>
          <cell r="BJ319">
            <v>83279394.944999993</v>
          </cell>
          <cell r="BK319">
            <v>-4095781.5020000013</v>
          </cell>
          <cell r="BL319">
            <v>-1205710.0050000001</v>
          </cell>
          <cell r="BM319">
            <v>-2890071.4970000014</v>
          </cell>
          <cell r="BN319">
            <v>-82464574.594900012</v>
          </cell>
          <cell r="BO319">
            <v>-255177558.54190001</v>
          </cell>
          <cell r="BP319">
            <v>-242129567.29790002</v>
          </cell>
          <cell r="BQ319">
            <v>-93531915.9199</v>
          </cell>
          <cell r="BR319">
            <v>16882795.726412077</v>
          </cell>
          <cell r="BS319">
            <v>-244074.3910000287</v>
          </cell>
          <cell r="BT319">
            <v>-244074.3910000287</v>
          </cell>
          <cell r="BU319">
            <v>0</v>
          </cell>
          <cell r="BV319">
            <v>35661865.905000053</v>
          </cell>
          <cell r="BW319">
            <v>0</v>
          </cell>
          <cell r="BX319">
            <v>-8759629.3595879544</v>
          </cell>
          <cell r="BY319">
            <v>-9775366.4279999994</v>
          </cell>
          <cell r="BZ319">
            <v>-65581778.868487939</v>
          </cell>
          <cell r="CA319">
            <v>-238294762.81548792</v>
          </cell>
          <cell r="CB319">
            <v>68141101.486000016</v>
          </cell>
          <cell r="CC319">
            <v>87712866.262000009</v>
          </cell>
          <cell r="CD319">
            <v>97759252.146000013</v>
          </cell>
          <cell r="CE319">
            <v>83279394.945000008</v>
          </cell>
          <cell r="CF319">
            <v>14479857.200999999</v>
          </cell>
          <cell r="CG319" t="str">
            <v/>
          </cell>
          <cell r="CH319">
            <v>-10046385.884</v>
          </cell>
          <cell r="CI319">
            <v>0</v>
          </cell>
          <cell r="CJ319">
            <v>-19571764.775999993</v>
          </cell>
          <cell r="CK319">
            <v>-57570159.888999991</v>
          </cell>
          <cell r="CL319">
            <v>-79653671.607999995</v>
          </cell>
          <cell r="CM319">
            <v>35495100</v>
          </cell>
          <cell r="CN319">
            <v>35495100</v>
          </cell>
          <cell r="CO319">
            <v>0</v>
          </cell>
          <cell r="CP319">
            <v>-115148771.608</v>
          </cell>
          <cell r="CQ319">
            <v>0</v>
          </cell>
          <cell r="CR319">
            <v>-2681271.608</v>
          </cell>
          <cell r="CS319">
            <v>-150600</v>
          </cell>
          <cell r="CT319">
            <v>0</v>
          </cell>
          <cell r="CU319">
            <v>-112316900</v>
          </cell>
          <cell r="CV319" t="str">
            <v/>
          </cell>
          <cell r="CW319">
            <v>0</v>
          </cell>
          <cell r="CX319">
            <v>30662340.093000002</v>
          </cell>
          <cell r="CY319">
            <v>-222320.20500000002</v>
          </cell>
          <cell r="CZ319">
            <v>29687051.835999999</v>
          </cell>
          <cell r="DA319">
            <v>0</v>
          </cell>
          <cell r="DB319">
            <v>-453846.16399999999</v>
          </cell>
          <cell r="DC319">
            <v>30140898</v>
          </cell>
          <cell r="DD319">
            <v>1197608.4620000001</v>
          </cell>
          <cell r="DE319">
            <v>-8578828.373999998</v>
          </cell>
          <cell r="DF319">
            <v>0</v>
          </cell>
          <cell r="DG319">
            <v>-6750179.3619999997</v>
          </cell>
          <cell r="DH319">
            <v>-1828649.0119999982</v>
          </cell>
          <cell r="DI319">
            <v>37998395.112999998</v>
          </cell>
          <cell r="DJ319">
            <v>30072796</v>
          </cell>
          <cell r="DK319" t="str">
            <v/>
          </cell>
          <cell r="DL319" t="str">
            <v/>
          </cell>
          <cell r="DM319">
            <v>55451098</v>
          </cell>
          <cell r="DN319">
            <v>-25378302</v>
          </cell>
          <cell r="DO319">
            <v>-13500000</v>
          </cell>
          <cell r="DP319">
            <v>-7197429.9930000007</v>
          </cell>
          <cell r="DQ319">
            <v>-493198.41</v>
          </cell>
          <cell r="DR319">
            <v>28623029.105999999</v>
          </cell>
          <cell r="DS319" t="str">
            <v/>
          </cell>
          <cell r="DT319">
            <v>-2559322.6175120771</v>
          </cell>
          <cell r="DU319">
            <v>36427954.454000004</v>
          </cell>
          <cell r="DV319">
            <v>23379963.210000001</v>
          </cell>
          <cell r="DW319">
            <v>13047991.244000003</v>
          </cell>
          <cell r="DX319">
            <v>21072561.642000001</v>
          </cell>
          <cell r="DY319">
            <v>13333577.325999999</v>
          </cell>
          <cell r="DZ319">
            <v>7738984.3160000006</v>
          </cell>
          <cell r="EA319">
            <v>15355392.812000001</v>
          </cell>
          <cell r="EB319">
            <v>10046385.884</v>
          </cell>
          <cell r="EC319">
            <v>5309006.9280000012</v>
          </cell>
          <cell r="EF319">
            <v>39</v>
          </cell>
        </row>
        <row r="320">
          <cell r="E320">
            <v>40160.6875</v>
          </cell>
          <cell r="F320">
            <v>771523641.87599993</v>
          </cell>
          <cell r="G320">
            <v>539095255.45399988</v>
          </cell>
          <cell r="H320">
            <v>539091338.72299993</v>
          </cell>
          <cell r="I320">
            <v>494578784.54999989</v>
          </cell>
          <cell r="J320">
            <v>106686379.778</v>
          </cell>
          <cell r="K320">
            <v>48844655.973999999</v>
          </cell>
          <cell r="L320">
            <v>6243252.4079999998</v>
          </cell>
          <cell r="M320">
            <v>3487125.7019999996</v>
          </cell>
          <cell r="N320">
            <v>282942741.93699998</v>
          </cell>
          <cell r="O320">
            <v>214409013.417</v>
          </cell>
          <cell r="P320">
            <v>28043699.026000001</v>
          </cell>
          <cell r="Q320">
            <v>40490029.494000003</v>
          </cell>
          <cell r="R320">
            <v>89729070.288000003</v>
          </cell>
          <cell r="S320">
            <v>79668371.422000006</v>
          </cell>
          <cell r="T320">
            <v>9356594.2180000003</v>
          </cell>
          <cell r="U320">
            <v>704104.64799999993</v>
          </cell>
          <cell r="V320">
            <v>0</v>
          </cell>
          <cell r="W320">
            <v>5490214.436999999</v>
          </cell>
          <cell r="X320">
            <v>44512554.172999993</v>
          </cell>
          <cell r="Y320">
            <v>2766417.2080000001</v>
          </cell>
          <cell r="Z320">
            <v>14442049.429</v>
          </cell>
          <cell r="AA320">
            <v>2713455.4249999998</v>
          </cell>
          <cell r="AB320">
            <v>9561119.4339999966</v>
          </cell>
          <cell r="AC320">
            <v>15029512.677000001</v>
          </cell>
          <cell r="AD320">
            <v>3916.7310000000007</v>
          </cell>
          <cell r="AE320">
            <v>232428386.42200002</v>
          </cell>
          <cell r="AF320">
            <v>86924439.897000015</v>
          </cell>
          <cell r="AG320">
            <v>145503946.52500001</v>
          </cell>
          <cell r="AH320">
            <v>959595011.11559999</v>
          </cell>
          <cell r="AI320">
            <v>729087890.51260006</v>
          </cell>
          <cell r="AJ320">
            <v>720966154.4605999</v>
          </cell>
          <cell r="AK320">
            <v>155412735.11500001</v>
          </cell>
          <cell r="AL320">
            <v>60090075.931999989</v>
          </cell>
          <cell r="AM320">
            <v>499074562.36659998</v>
          </cell>
          <cell r="AN320" t="str">
            <v/>
          </cell>
          <cell r="AO320">
            <v>228436133</v>
          </cell>
          <cell r="AP320" t="str">
            <v/>
          </cell>
          <cell r="AQ320">
            <v>95120137.459000006</v>
          </cell>
          <cell r="AR320" t="str">
            <v/>
          </cell>
          <cell r="AS320">
            <v>16870967.228000004</v>
          </cell>
          <cell r="AT320">
            <v>8121736.0520000001</v>
          </cell>
          <cell r="AU320">
            <v>8749231.1760000028</v>
          </cell>
          <cell r="AV320">
            <v>158647324.6796</v>
          </cell>
          <cell r="AW320" t="str">
            <v/>
          </cell>
          <cell r="AX320">
            <v>10169179.8506</v>
          </cell>
          <cell r="AY320">
            <v>30732332.412999999</v>
          </cell>
          <cell r="AZ320">
            <v>0</v>
          </cell>
          <cell r="BA320">
            <v>14612144.275</v>
          </cell>
          <cell r="BB320">
            <v>457364172.33899999</v>
          </cell>
          <cell r="BC320">
            <v>235606282.912</v>
          </cell>
          <cell r="BD320">
            <v>36453056.870999992</v>
          </cell>
          <cell r="BE320" t="str">
            <v/>
          </cell>
          <cell r="BF320">
            <v>25423713.083999999</v>
          </cell>
          <cell r="BG320" t="str">
            <v/>
          </cell>
          <cell r="BH320">
            <v>196334176.34299999</v>
          </cell>
          <cell r="BI320">
            <v>86924439.897000015</v>
          </cell>
          <cell r="BJ320">
            <v>109409736.44599998</v>
          </cell>
          <cell r="BK320">
            <v>3156276.4099999988</v>
          </cell>
          <cell r="BL320">
            <v>-2466720.997</v>
          </cell>
          <cell r="BM320">
            <v>5622997.4069999987</v>
          </cell>
          <cell r="BN320">
            <v>-188071369.23960006</v>
          </cell>
          <cell r="BO320">
            <v>-420499755.66160011</v>
          </cell>
          <cell r="BP320">
            <v>-403628788.43360007</v>
          </cell>
          <cell r="BQ320">
            <v>-224165579.31860006</v>
          </cell>
          <cell r="BR320">
            <v>95474026.419412106</v>
          </cell>
          <cell r="BS320">
            <v>63599155.720999993</v>
          </cell>
          <cell r="BT320">
            <v>63599155.720999993</v>
          </cell>
          <cell r="BU320">
            <v>0</v>
          </cell>
          <cell r="BV320">
            <v>56142719.881000057</v>
          </cell>
          <cell r="BW320">
            <v>-16700651.155999999</v>
          </cell>
          <cell r="BX320">
            <v>4055517.6924120458</v>
          </cell>
          <cell r="BY320">
            <v>-11622715.718999997</v>
          </cell>
          <cell r="BZ320">
            <v>-92597342.820187956</v>
          </cell>
          <cell r="CA320">
            <v>-325025729.24218798</v>
          </cell>
          <cell r="CB320">
            <v>93654884.721000016</v>
          </cell>
          <cell r="CC320">
            <v>109562809.90200001</v>
          </cell>
          <cell r="CD320">
            <v>123889593.64700001</v>
          </cell>
          <cell r="CE320">
            <v>109409736.44600001</v>
          </cell>
          <cell r="CF320">
            <v>14479857.200999999</v>
          </cell>
          <cell r="CG320" t="str">
            <v/>
          </cell>
          <cell r="CH320">
            <v>-14326783.744999999</v>
          </cell>
          <cell r="CI320" t="str">
            <v/>
          </cell>
          <cell r="CJ320">
            <v>-15907925.180999994</v>
          </cell>
          <cell r="CK320">
            <v>-44034343.665999994</v>
          </cell>
          <cell r="CL320">
            <v>-61745317.355999991</v>
          </cell>
          <cell r="CM320">
            <v>35495100</v>
          </cell>
          <cell r="CN320">
            <v>35495100</v>
          </cell>
          <cell r="CO320">
            <v>0</v>
          </cell>
          <cell r="CP320">
            <v>-97240417.355999991</v>
          </cell>
          <cell r="CQ320">
            <v>0</v>
          </cell>
          <cell r="CR320">
            <v>-3588468.5559999999</v>
          </cell>
          <cell r="CS320">
            <v>384970</v>
          </cell>
          <cell r="CT320">
            <v>0</v>
          </cell>
          <cell r="CU320">
            <v>-94036918.799999997</v>
          </cell>
          <cell r="CV320" t="str">
            <v/>
          </cell>
          <cell r="CW320">
            <v>0</v>
          </cell>
          <cell r="CX320">
            <v>29677463.279999997</v>
          </cell>
          <cell r="CY320">
            <v>-255212.94900000002</v>
          </cell>
          <cell r="CZ320">
            <v>29687051.835999999</v>
          </cell>
          <cell r="DA320">
            <v>0</v>
          </cell>
          <cell r="DB320">
            <v>-453846.16399999999</v>
          </cell>
          <cell r="DC320">
            <v>30140898</v>
          </cell>
          <cell r="DD320">
            <v>245624.3930000001</v>
          </cell>
          <cell r="DE320">
            <v>-11966489.589999996</v>
          </cell>
          <cell r="DF320">
            <v>0</v>
          </cell>
          <cell r="DG320">
            <v>-6750179.3619999997</v>
          </cell>
          <cell r="DH320">
            <v>-5216310.2279999964</v>
          </cell>
          <cell r="DI320">
            <v>28126418.484999999</v>
          </cell>
          <cell r="DJ320">
            <v>30072796</v>
          </cell>
          <cell r="DK320" t="str">
            <v/>
          </cell>
          <cell r="DL320" t="str">
            <v/>
          </cell>
          <cell r="DM320">
            <v>55451098</v>
          </cell>
          <cell r="DN320">
            <v>-25378302</v>
          </cell>
          <cell r="DO320">
            <v>-20000000</v>
          </cell>
          <cell r="DP320">
            <v>-12077961.225999998</v>
          </cell>
          <cell r="DQ320">
            <v>-986396.82</v>
          </cell>
          <cell r="DR320">
            <v>30131583.710999999</v>
          </cell>
          <cell r="DS320" t="str">
            <v/>
          </cell>
          <cell r="DT320">
            <v>-1057541.9008120596</v>
          </cell>
          <cell r="DU320">
            <v>50351949.224000007</v>
          </cell>
          <cell r="DV320">
            <v>33480981.995999999</v>
          </cell>
          <cell r="DW320">
            <v>16870967.228000004</v>
          </cell>
          <cell r="DX320">
            <v>27275934.302999999</v>
          </cell>
          <cell r="DY320">
            <v>19154198.250999998</v>
          </cell>
          <cell r="DZ320">
            <v>8121736.0520000001</v>
          </cell>
          <cell r="EA320">
            <v>23076014.921000004</v>
          </cell>
          <cell r="EB320">
            <v>14326783.744999999</v>
          </cell>
          <cell r="EC320">
            <v>8749231.1760000028</v>
          </cell>
          <cell r="EF320">
            <v>40</v>
          </cell>
        </row>
        <row r="321">
          <cell r="E321">
            <v>40252</v>
          </cell>
          <cell r="F321">
            <v>150900928.02199998</v>
          </cell>
          <cell r="G321">
            <v>132867403.95499998</v>
          </cell>
          <cell r="H321">
            <v>132867367.90199998</v>
          </cell>
          <cell r="I321">
            <v>124289843.15899998</v>
          </cell>
          <cell r="J321">
            <v>26131307.557999998</v>
          </cell>
          <cell r="K321">
            <v>9738620.8320000004</v>
          </cell>
          <cell r="L321">
            <v>1612096.8090000001</v>
          </cell>
          <cell r="M321">
            <v>762343.51799999992</v>
          </cell>
          <cell r="N321">
            <v>72574446.682999998</v>
          </cell>
          <cell r="O321">
            <v>54651435.203000002</v>
          </cell>
          <cell r="P321">
            <v>7041711.3259999994</v>
          </cell>
          <cell r="Q321">
            <v>10881300.153999999</v>
          </cell>
          <cell r="R321">
            <v>21925376.476</v>
          </cell>
          <cell r="S321">
            <v>19430835.417999998</v>
          </cell>
          <cell r="T321">
            <v>2389509.9249999998</v>
          </cell>
          <cell r="U321">
            <v>105031.133</v>
          </cell>
          <cell r="V321">
            <v>0</v>
          </cell>
          <cell r="W321">
            <v>1284272.115</v>
          </cell>
          <cell r="X321">
            <v>8577524.7429999989</v>
          </cell>
          <cell r="Y321">
            <v>625775.08799999999</v>
          </cell>
          <cell r="Z321">
            <v>4583970.2359999996</v>
          </cell>
          <cell r="AA321">
            <v>556051.20400000003</v>
          </cell>
          <cell r="AB321">
            <v>113</v>
          </cell>
          <cell r="AC321">
            <v>2811615.2149999999</v>
          </cell>
          <cell r="AD321">
            <v>36.052999999999997</v>
          </cell>
          <cell r="AE321">
            <v>18033524.067000002</v>
          </cell>
          <cell r="AF321">
            <v>13643524.067</v>
          </cell>
          <cell r="AG321">
            <v>4390000</v>
          </cell>
          <cell r="AH321">
            <v>235141730.25584966</v>
          </cell>
          <cell r="AI321">
            <v>152255672.71184969</v>
          </cell>
          <cell r="AJ321">
            <v>150539907.29760003</v>
          </cell>
          <cell r="AK321">
            <v>38053699.847999997</v>
          </cell>
          <cell r="AL321">
            <v>11998954.75</v>
          </cell>
          <cell r="AM321">
            <v>123773740.18484968</v>
          </cell>
          <cell r="AN321" t="str">
            <v/>
          </cell>
          <cell r="AO321">
            <v>54018863.681000002</v>
          </cell>
          <cell r="AP321" t="str">
            <v/>
          </cell>
          <cell r="AQ321">
            <v>24356873.486000001</v>
          </cell>
          <cell r="AR321" t="str">
            <v/>
          </cell>
          <cell r="AS321">
            <v>3001832.9402496931</v>
          </cell>
          <cell r="AT321">
            <v>1715765.414249693</v>
          </cell>
          <cell r="AU321">
            <v>1286067.5260000001</v>
          </cell>
          <cell r="AV321">
            <v>42396170.077599995</v>
          </cell>
          <cell r="AW321" t="str">
            <v/>
          </cell>
          <cell r="AX321">
            <v>7553662.1326000001</v>
          </cell>
          <cell r="AY321">
            <v>8995230.2180000003</v>
          </cell>
          <cell r="AZ321">
            <v>0</v>
          </cell>
          <cell r="BA321">
            <v>2765386.6089999997</v>
          </cell>
          <cell r="BB321">
            <v>75659369.135000005</v>
          </cell>
          <cell r="BC321">
            <v>30700969.727000002</v>
          </cell>
          <cell r="BD321">
            <v>2756084.7090000003</v>
          </cell>
          <cell r="BE321" t="str">
            <v/>
          </cell>
          <cell r="BF321">
            <v>12250</v>
          </cell>
          <cell r="BG321" t="str">
            <v/>
          </cell>
          <cell r="BH321">
            <v>44946149.408</v>
          </cell>
          <cell r="BI321">
            <v>13643524.067</v>
          </cell>
          <cell r="BJ321">
            <v>31302625.340999998</v>
          </cell>
          <cell r="BK321">
            <v>-932969.6739999993</v>
          </cell>
          <cell r="BL321">
            <v>-832845.701</v>
          </cell>
          <cell r="BM321">
            <v>-100123.9729999993</v>
          </cell>
          <cell r="BN321">
            <v>-84240802.233849674</v>
          </cell>
          <cell r="BO321">
            <v>-102274326.30084968</v>
          </cell>
          <cell r="BP321">
            <v>-99272493.360599995</v>
          </cell>
          <cell r="BQ321">
            <v>-57328176.892849684</v>
          </cell>
          <cell r="BR321">
            <v>-20820456.181333363</v>
          </cell>
          <cell r="BS321">
            <v>-67537236.779000029</v>
          </cell>
          <cell r="BT321">
            <v>-67537236.779000029</v>
          </cell>
          <cell r="BU321">
            <v>0</v>
          </cell>
          <cell r="BV321">
            <v>-28620028.081333324</v>
          </cell>
          <cell r="BW321">
            <v>0</v>
          </cell>
          <cell r="BX321">
            <v>75336808.67899999</v>
          </cell>
          <cell r="BY321">
            <v>0</v>
          </cell>
          <cell r="BZ321">
            <v>-105061258.41518304</v>
          </cell>
          <cell r="CA321">
            <v>-123094782.48218304</v>
          </cell>
          <cell r="CB321">
            <v>111158087.02669862</v>
          </cell>
          <cell r="CC321">
            <v>29289341.500999998</v>
          </cell>
          <cell r="CD321">
            <v>31302625.340999998</v>
          </cell>
          <cell r="CE321">
            <v>31302625.340999998</v>
          </cell>
          <cell r="CF321">
            <v>0</v>
          </cell>
          <cell r="CG321" t="str">
            <v/>
          </cell>
          <cell r="CH321">
            <v>-2013283.8399999999</v>
          </cell>
          <cell r="CI321">
            <v>0</v>
          </cell>
          <cell r="CJ321">
            <v>81868745.525698617</v>
          </cell>
          <cell r="CK321">
            <v>72106954.503860384</v>
          </cell>
          <cell r="CL321">
            <v>58405757.878000006</v>
          </cell>
          <cell r="CM321">
            <v>24380000</v>
          </cell>
          <cell r="CN321">
            <v>24380000</v>
          </cell>
          <cell r="CO321">
            <v>0</v>
          </cell>
          <cell r="CP321">
            <v>34025757.878000006</v>
          </cell>
          <cell r="CQ321">
            <v>0</v>
          </cell>
          <cell r="CR321">
            <v>-914000.92500000005</v>
          </cell>
          <cell r="CS321">
            <v>-517660</v>
          </cell>
          <cell r="CT321">
            <v>0</v>
          </cell>
          <cell r="CU321">
            <v>35457218.803000003</v>
          </cell>
          <cell r="CV321" t="str">
            <v/>
          </cell>
          <cell r="CW321">
            <v>200</v>
          </cell>
          <cell r="CX321">
            <v>17759234.678860381</v>
          </cell>
          <cell r="CY321">
            <v>-42101.648000000001</v>
          </cell>
          <cell r="CZ321">
            <v>17797746.031860378</v>
          </cell>
          <cell r="DA321" t="str">
            <v/>
          </cell>
          <cell r="DB321">
            <v>0</v>
          </cell>
          <cell r="DC321">
            <v>17797746.031860378</v>
          </cell>
          <cell r="DD321">
            <v>3590.2950000000128</v>
          </cell>
          <cell r="DE321">
            <v>-4058038.0530000031</v>
          </cell>
          <cell r="DF321">
            <v>0</v>
          </cell>
          <cell r="DG321">
            <v>0</v>
          </cell>
          <cell r="DH321">
            <v>-4058038.0530000031</v>
          </cell>
          <cell r="DI321">
            <v>9761791.0218382385</v>
          </cell>
          <cell r="DJ321">
            <v>10676979.257838238</v>
          </cell>
          <cell r="DK321" t="str">
            <v/>
          </cell>
          <cell r="DL321" t="str">
            <v/>
          </cell>
          <cell r="DM321">
            <v>10676979.257838238</v>
          </cell>
          <cell r="DN321">
            <v>0</v>
          </cell>
          <cell r="DO321">
            <v>0</v>
          </cell>
          <cell r="DP321">
            <v>-994412.72600000002</v>
          </cell>
          <cell r="DQ321">
            <v>-246599.20499999999</v>
          </cell>
          <cell r="DR321">
            <v>79224.490000000005</v>
          </cell>
          <cell r="DS321" t="str">
            <v/>
          </cell>
          <cell r="DT321">
            <v>-6096828.6115155816</v>
          </cell>
          <cell r="DU321">
            <v>6965632.0792496931</v>
          </cell>
          <cell r="DV321">
            <v>3963799.139</v>
          </cell>
          <cell r="DW321">
            <v>3001832.9402496931</v>
          </cell>
          <cell r="DX321">
            <v>3666280.7132496932</v>
          </cell>
          <cell r="DY321">
            <v>1950515.2990000001</v>
          </cell>
          <cell r="DZ321">
            <v>1715765.414249693</v>
          </cell>
          <cell r="EA321">
            <v>3299351.3659999999</v>
          </cell>
          <cell r="EB321">
            <v>2013283.8399999999</v>
          </cell>
          <cell r="EC321">
            <v>1286067.5260000001</v>
          </cell>
          <cell r="EF321">
            <v>41</v>
          </cell>
        </row>
        <row r="322">
          <cell r="E322">
            <v>40343.3125</v>
          </cell>
          <cell r="F322">
            <v>365769747.62799996</v>
          </cell>
          <cell r="G322">
            <v>310940528.06799996</v>
          </cell>
          <cell r="H322">
            <v>310940376.81367248</v>
          </cell>
          <cell r="I322">
            <v>287012390.5682497</v>
          </cell>
          <cell r="J322">
            <v>82360474.117951661</v>
          </cell>
          <cell r="K322">
            <v>49734848.378445163</v>
          </cell>
          <cell r="L322">
            <v>3188396.6980483383</v>
          </cell>
          <cell r="M322">
            <v>1686586.3790000002</v>
          </cell>
          <cell r="N322">
            <v>151513157.37982154</v>
          </cell>
          <cell r="O322">
            <v>111409712.92461923</v>
          </cell>
          <cell r="P322">
            <v>15882056.995999997</v>
          </cell>
          <cell r="Q322">
            <v>24221387.459202312</v>
          </cell>
          <cell r="R322">
            <v>45382616.684999995</v>
          </cell>
          <cell r="S322">
            <v>40131388.957999997</v>
          </cell>
          <cell r="T322">
            <v>5034328.9340000004</v>
          </cell>
          <cell r="U322">
            <v>216898.79300000001</v>
          </cell>
          <cell r="V322" t="str">
            <v/>
          </cell>
          <cell r="W322">
            <v>2881159.3084281771</v>
          </cell>
          <cell r="X322">
            <v>23927986.245422803</v>
          </cell>
          <cell r="Y322">
            <v>1351766.7110000001</v>
          </cell>
          <cell r="Z322">
            <v>9027745.8164228052</v>
          </cell>
          <cell r="AA322">
            <v>1280126.5220000001</v>
          </cell>
          <cell r="AB322">
            <v>609297.85699999996</v>
          </cell>
          <cell r="AC322">
            <v>11659049.339</v>
          </cell>
          <cell r="AD322">
            <v>151.25432748583847</v>
          </cell>
          <cell r="AE322">
            <v>54829219.560000002</v>
          </cell>
          <cell r="AF322">
            <v>25028823.425999999</v>
          </cell>
          <cell r="AG322">
            <v>29800396.134</v>
          </cell>
          <cell r="AH322">
            <v>516234400.9098497</v>
          </cell>
          <cell r="AI322">
            <v>347107060.03684968</v>
          </cell>
          <cell r="AJ322">
            <v>342314750.21560001</v>
          </cell>
          <cell r="AK322">
            <v>76839330.425999999</v>
          </cell>
          <cell r="AL322">
            <v>28662774.5</v>
          </cell>
          <cell r="AM322">
            <v>263900702.77284968</v>
          </cell>
          <cell r="AN322" t="str">
            <v/>
          </cell>
          <cell r="AO322">
            <v>110646508.502</v>
          </cell>
          <cell r="AP322" t="str">
            <v/>
          </cell>
          <cell r="AQ322">
            <v>52933568.104999997</v>
          </cell>
          <cell r="AR322" t="str">
            <v/>
          </cell>
          <cell r="AS322">
            <v>9526341.3972496931</v>
          </cell>
          <cell r="AT322">
            <v>4792309.8212496927</v>
          </cell>
          <cell r="AU322">
            <v>4734031.5760000004</v>
          </cell>
          <cell r="AV322">
            <v>90794284.768599987</v>
          </cell>
          <cell r="AW322" t="str">
            <v/>
          </cell>
          <cell r="AX322">
            <v>8929772.4076000005</v>
          </cell>
          <cell r="AY322">
            <v>17252369.570999999</v>
          </cell>
          <cell r="AZ322">
            <v>784595.94900000002</v>
          </cell>
          <cell r="BA322">
            <v>13959575.796</v>
          </cell>
          <cell r="BB322">
            <v>186842579.095</v>
          </cell>
          <cell r="BC322">
            <v>90139403.376000002</v>
          </cell>
          <cell r="BD322">
            <v>9295178.2369999997</v>
          </cell>
          <cell r="BE322" t="str">
            <v/>
          </cell>
          <cell r="BF322">
            <v>499317.429</v>
          </cell>
          <cell r="BG322" t="str">
            <v/>
          </cell>
          <cell r="BH322">
            <v>96203858.289999992</v>
          </cell>
          <cell r="BI322">
            <v>25028823.425999999</v>
          </cell>
          <cell r="BJ322">
            <v>71175034.863999993</v>
          </cell>
          <cell r="BK322">
            <v>-2199014.5359999994</v>
          </cell>
          <cell r="BL322">
            <v>-1722305.325</v>
          </cell>
          <cell r="BM322">
            <v>-476709.2109999992</v>
          </cell>
          <cell r="BN322">
            <v>-150464653.28184974</v>
          </cell>
          <cell r="BO322">
            <v>-205293872.84184974</v>
          </cell>
          <cell r="BP322">
            <v>-195767531.44460005</v>
          </cell>
          <cell r="BQ322">
            <v>-109090014.55184972</v>
          </cell>
          <cell r="BR322">
            <v>-16738989.857000023</v>
          </cell>
          <cell r="BS322">
            <v>-51693612.054000013</v>
          </cell>
          <cell r="BT322">
            <v>-51693612.054000013</v>
          </cell>
          <cell r="BU322">
            <v>0</v>
          </cell>
          <cell r="BV322">
            <v>-32531771.338999987</v>
          </cell>
          <cell r="BW322">
            <v>0</v>
          </cell>
          <cell r="BX322">
            <v>73682867.631999984</v>
          </cell>
          <cell r="BY322">
            <v>-6196474.0960000008</v>
          </cell>
          <cell r="BZ322">
            <v>-167203643.13884977</v>
          </cell>
          <cell r="CA322">
            <v>-222032862.69884977</v>
          </cell>
          <cell r="CB322">
            <v>169092858.99700001</v>
          </cell>
          <cell r="CC322">
            <v>64270327.556999996</v>
          </cell>
          <cell r="CD322">
            <v>71175034.863999993</v>
          </cell>
          <cell r="CE322">
            <v>71175034.863999993</v>
          </cell>
          <cell r="CF322">
            <v>0</v>
          </cell>
          <cell r="CG322" t="str">
            <v/>
          </cell>
          <cell r="CH322">
            <v>-6904707.307</v>
          </cell>
          <cell r="CI322">
            <v>0</v>
          </cell>
          <cell r="CJ322">
            <v>104822531.44000001</v>
          </cell>
          <cell r="CK322">
            <v>97682370.082000017</v>
          </cell>
          <cell r="CL322">
            <v>73118351.94600001</v>
          </cell>
          <cell r="CM322">
            <v>24380000</v>
          </cell>
          <cell r="CN322">
            <v>24380000</v>
          </cell>
          <cell r="CO322">
            <v>0</v>
          </cell>
          <cell r="CP322">
            <v>48738351.946000002</v>
          </cell>
          <cell r="CQ322">
            <v>0</v>
          </cell>
          <cell r="CR322">
            <v>-9789056.8570000008</v>
          </cell>
          <cell r="CS322">
            <v>-2142600</v>
          </cell>
          <cell r="CT322">
            <v>0</v>
          </cell>
          <cell r="CU322">
            <v>60669808.803000003</v>
          </cell>
          <cell r="CV322" t="str">
            <v/>
          </cell>
          <cell r="CW322">
            <v>200</v>
          </cell>
          <cell r="CX322">
            <v>35881571.472000003</v>
          </cell>
          <cell r="CY322">
            <v>-43252.760999999999</v>
          </cell>
          <cell r="CZ322">
            <v>35998107.256000005</v>
          </cell>
          <cell r="DA322" t="str">
            <v/>
          </cell>
          <cell r="DB322">
            <v>-32892.743999999999</v>
          </cell>
          <cell r="DC322">
            <v>36031000.000000007</v>
          </cell>
          <cell r="DD322">
            <v>-73283.022999999972</v>
          </cell>
          <cell r="DE322">
            <v>-11317553.335999999</v>
          </cell>
          <cell r="DF322">
            <v>0</v>
          </cell>
          <cell r="DG322">
            <v>0</v>
          </cell>
          <cell r="DH322">
            <v>-11317553.335999999</v>
          </cell>
          <cell r="DI322">
            <v>7140161.3579999991</v>
          </cell>
          <cell r="DJ322">
            <v>7251999.9999999981</v>
          </cell>
          <cell r="DK322" t="str">
            <v/>
          </cell>
          <cell r="DL322" t="str">
            <v/>
          </cell>
          <cell r="DM322">
            <v>17928979.257838238</v>
          </cell>
          <cell r="DN322">
            <v>-10676979.25783824</v>
          </cell>
          <cell r="DO322">
            <v>0</v>
          </cell>
          <cell r="DP322">
            <v>-4781063.1319999993</v>
          </cell>
          <cell r="DQ322">
            <v>-493198.41</v>
          </cell>
          <cell r="DR322">
            <v>4669224.49</v>
          </cell>
          <cell r="DS322" t="str">
            <v/>
          </cell>
          <cell r="DT322">
            <v>-1889215.8581502438</v>
          </cell>
          <cell r="DU322">
            <v>31077314.19824969</v>
          </cell>
          <cell r="DV322">
            <v>21550972.800999999</v>
          </cell>
          <cell r="DW322">
            <v>9526341.3972496931</v>
          </cell>
          <cell r="DX322">
            <v>19438575.315249693</v>
          </cell>
          <cell r="DY322">
            <v>14646265.494000001</v>
          </cell>
          <cell r="DZ322">
            <v>4792309.8212496927</v>
          </cell>
          <cell r="EA322">
            <v>11638738.883000001</v>
          </cell>
          <cell r="EB322">
            <v>6904707.307</v>
          </cell>
          <cell r="EC322">
            <v>4734031.5760000004</v>
          </cell>
          <cell r="EF322">
            <v>42</v>
          </cell>
        </row>
        <row r="323">
          <cell r="E323">
            <v>40434.625</v>
          </cell>
          <cell r="F323">
            <v>0</v>
          </cell>
          <cell r="G323">
            <v>0</v>
          </cell>
          <cell r="H323">
            <v>0</v>
          </cell>
          <cell r="I323">
            <v>0</v>
          </cell>
          <cell r="J323" t="str">
            <v/>
          </cell>
          <cell r="K323" t="str">
            <v/>
          </cell>
          <cell r="L323" t="str">
            <v/>
          </cell>
          <cell r="M323" t="str">
            <v/>
          </cell>
          <cell r="N323">
            <v>0</v>
          </cell>
          <cell r="O323" t="str">
            <v/>
          </cell>
          <cell r="P323" t="str">
            <v/>
          </cell>
          <cell r="Q323" t="str">
            <v/>
          </cell>
          <cell r="R323">
            <v>0</v>
          </cell>
          <cell r="S323" t="str">
            <v/>
          </cell>
          <cell r="T323" t="str">
            <v/>
          </cell>
          <cell r="U323" t="str">
            <v/>
          </cell>
          <cell r="V323" t="str">
            <v/>
          </cell>
          <cell r="W323" t="str">
            <v/>
          </cell>
          <cell r="X323">
            <v>0</v>
          </cell>
          <cell r="Y323" t="str">
            <v/>
          </cell>
          <cell r="Z323" t="str">
            <v/>
          </cell>
          <cell r="AA323" t="str">
            <v/>
          </cell>
          <cell r="AB323" t="str">
            <v/>
          </cell>
          <cell r="AC323" t="str">
            <v/>
          </cell>
          <cell r="AD323" t="str">
            <v/>
          </cell>
          <cell r="AE323">
            <v>0</v>
          </cell>
          <cell r="AF323" t="str">
            <v/>
          </cell>
          <cell r="AG323" t="str">
            <v/>
          </cell>
          <cell r="AH323">
            <v>0</v>
          </cell>
          <cell r="AI323" t="str">
            <v/>
          </cell>
          <cell r="AJ323" t="str">
            <v/>
          </cell>
          <cell r="AK323" t="str">
            <v/>
          </cell>
          <cell r="AL323" t="str">
            <v/>
          </cell>
          <cell r="AM323">
            <v>0</v>
          </cell>
          <cell r="AN323" t="str">
            <v/>
          </cell>
          <cell r="AO323" t="str">
            <v/>
          </cell>
          <cell r="AP323" t="str">
            <v/>
          </cell>
          <cell r="AQ323" t="str">
            <v/>
          </cell>
          <cell r="AR323" t="str">
            <v/>
          </cell>
          <cell r="AS323">
            <v>0</v>
          </cell>
          <cell r="AT323" t="str">
            <v/>
          </cell>
          <cell r="AU323" t="str">
            <v/>
          </cell>
          <cell r="AV323" t="str">
            <v/>
          </cell>
          <cell r="AW323" t="str">
            <v/>
          </cell>
          <cell r="AX323" t="str">
            <v/>
          </cell>
          <cell r="AY323" t="str">
            <v/>
          </cell>
          <cell r="AZ323" t="str">
            <v/>
          </cell>
          <cell r="BA323" t="str">
            <v/>
          </cell>
          <cell r="BB323">
            <v>0</v>
          </cell>
          <cell r="BC323" t="str">
            <v/>
          </cell>
          <cell r="BD323" t="str">
            <v/>
          </cell>
          <cell r="BE323" t="str">
            <v/>
          </cell>
          <cell r="BF323" t="str">
            <v/>
          </cell>
          <cell r="BG323" t="str">
            <v/>
          </cell>
          <cell r="BH323">
            <v>0</v>
          </cell>
          <cell r="BI323" t="str">
            <v/>
          </cell>
          <cell r="BJ323" t="str">
            <v/>
          </cell>
          <cell r="BK323">
            <v>0</v>
          </cell>
          <cell r="BL323" t="str">
            <v/>
          </cell>
          <cell r="BM323" t="str">
            <v/>
          </cell>
          <cell r="BN323">
            <v>0</v>
          </cell>
          <cell r="BO323">
            <v>0</v>
          </cell>
          <cell r="BP323">
            <v>0</v>
          </cell>
          <cell r="BQ323">
            <v>0</v>
          </cell>
          <cell r="BR323">
            <v>0</v>
          </cell>
          <cell r="BS323">
            <v>0</v>
          </cell>
          <cell r="BT323" t="str">
            <v/>
          </cell>
          <cell r="BU323" t="str">
            <v/>
          </cell>
          <cell r="BV323" t="str">
            <v/>
          </cell>
          <cell r="BW323" t="str">
            <v/>
          </cell>
          <cell r="BX323" t="str">
            <v/>
          </cell>
          <cell r="BY323" t="str">
            <v/>
          </cell>
          <cell r="BZ323">
            <v>0</v>
          </cell>
          <cell r="CA323">
            <v>0</v>
          </cell>
          <cell r="CB323">
            <v>0</v>
          </cell>
          <cell r="CC323">
            <v>0</v>
          </cell>
          <cell r="CD323">
            <v>0</v>
          </cell>
          <cell r="CE323" t="str">
            <v/>
          </cell>
          <cell r="CF323" t="str">
            <v/>
          </cell>
          <cell r="CG323" t="str">
            <v/>
          </cell>
          <cell r="CH323" t="str">
            <v/>
          </cell>
          <cell r="CI323" t="str">
            <v/>
          </cell>
          <cell r="CJ323">
            <v>0</v>
          </cell>
          <cell r="CK323">
            <v>0</v>
          </cell>
          <cell r="CL323">
            <v>0</v>
          </cell>
          <cell r="CM323">
            <v>0</v>
          </cell>
          <cell r="CN323" t="str">
            <v/>
          </cell>
          <cell r="CO323" t="str">
            <v/>
          </cell>
          <cell r="CP323">
            <v>0</v>
          </cell>
          <cell r="CQ323" t="str">
            <v/>
          </cell>
          <cell r="CR323" t="str">
            <v/>
          </cell>
          <cell r="CS323" t="str">
            <v/>
          </cell>
          <cell r="CT323" t="str">
            <v/>
          </cell>
          <cell r="CU323" t="str">
            <v/>
          </cell>
          <cell r="CV323" t="str">
            <v/>
          </cell>
          <cell r="CW323" t="str">
            <v/>
          </cell>
          <cell r="CX323">
            <v>0</v>
          </cell>
          <cell r="CY323" t="str">
            <v/>
          </cell>
          <cell r="CZ323">
            <v>0</v>
          </cell>
          <cell r="DA323" t="str">
            <v/>
          </cell>
          <cell r="DB323" t="str">
            <v/>
          </cell>
          <cell r="DC323" t="str">
            <v/>
          </cell>
          <cell r="DD323" t="str">
            <v/>
          </cell>
          <cell r="DE323">
            <v>0</v>
          </cell>
          <cell r="DF323" t="str">
            <v/>
          </cell>
          <cell r="DG323" t="str">
            <v/>
          </cell>
          <cell r="DH323" t="str">
            <v/>
          </cell>
          <cell r="DI323">
            <v>0</v>
          </cell>
          <cell r="DJ323">
            <v>0</v>
          </cell>
          <cell r="DK323" t="str">
            <v/>
          </cell>
          <cell r="DL323" t="str">
            <v/>
          </cell>
          <cell r="DM323" t="str">
            <v/>
          </cell>
          <cell r="DN323" t="str">
            <v/>
          </cell>
          <cell r="DO323" t="str">
            <v/>
          </cell>
          <cell r="DP323" t="str">
            <v/>
          </cell>
          <cell r="DQ323" t="str">
            <v/>
          </cell>
          <cell r="DR323" t="str">
            <v/>
          </cell>
          <cell r="DS323" t="str">
            <v/>
          </cell>
          <cell r="DT323">
            <v>0</v>
          </cell>
          <cell r="DU323" t="str">
            <v/>
          </cell>
          <cell r="DV323" t="str">
            <v/>
          </cell>
          <cell r="DW323">
            <v>0</v>
          </cell>
          <cell r="DX323" t="str">
            <v/>
          </cell>
          <cell r="DY323" t="str">
            <v/>
          </cell>
          <cell r="DZ323" t="str">
            <v/>
          </cell>
          <cell r="EA323" t="str">
            <v/>
          </cell>
          <cell r="EB323">
            <v>0</v>
          </cell>
          <cell r="EC323" t="str">
            <v/>
          </cell>
          <cell r="EF323" t="str">
            <v/>
          </cell>
        </row>
        <row r="324">
          <cell r="E324">
            <v>40525.9375</v>
          </cell>
          <cell r="F324">
            <v>0</v>
          </cell>
          <cell r="G324">
            <v>0</v>
          </cell>
          <cell r="H324">
            <v>0</v>
          </cell>
          <cell r="I324">
            <v>0</v>
          </cell>
          <cell r="J324" t="str">
            <v/>
          </cell>
          <cell r="K324" t="str">
            <v/>
          </cell>
          <cell r="L324" t="str">
            <v/>
          </cell>
          <cell r="M324" t="str">
            <v/>
          </cell>
          <cell r="N324">
            <v>0</v>
          </cell>
          <cell r="O324" t="str">
            <v/>
          </cell>
          <cell r="P324" t="str">
            <v/>
          </cell>
          <cell r="Q324" t="str">
            <v/>
          </cell>
          <cell r="R324">
            <v>0</v>
          </cell>
          <cell r="S324" t="str">
            <v/>
          </cell>
          <cell r="T324" t="str">
            <v/>
          </cell>
          <cell r="U324" t="str">
            <v/>
          </cell>
          <cell r="V324" t="str">
            <v/>
          </cell>
          <cell r="W324" t="str">
            <v/>
          </cell>
          <cell r="X324">
            <v>0</v>
          </cell>
          <cell r="Y324" t="str">
            <v/>
          </cell>
          <cell r="Z324" t="str">
            <v/>
          </cell>
          <cell r="AA324" t="str">
            <v/>
          </cell>
          <cell r="AB324" t="str">
            <v/>
          </cell>
          <cell r="AC324" t="str">
            <v/>
          </cell>
          <cell r="AD324" t="str">
            <v/>
          </cell>
          <cell r="AE324">
            <v>0</v>
          </cell>
          <cell r="AF324" t="str">
            <v/>
          </cell>
          <cell r="AG324" t="str">
            <v/>
          </cell>
          <cell r="AH324">
            <v>0</v>
          </cell>
          <cell r="AI324" t="str">
            <v/>
          </cell>
          <cell r="AJ324" t="str">
            <v/>
          </cell>
          <cell r="AK324" t="str">
            <v/>
          </cell>
          <cell r="AL324" t="str">
            <v/>
          </cell>
          <cell r="AM324">
            <v>0</v>
          </cell>
          <cell r="AN324" t="str">
            <v/>
          </cell>
          <cell r="AO324" t="str">
            <v/>
          </cell>
          <cell r="AP324" t="str">
            <v/>
          </cell>
          <cell r="AQ324" t="str">
            <v/>
          </cell>
          <cell r="AR324" t="str">
            <v/>
          </cell>
          <cell r="AS324">
            <v>0</v>
          </cell>
          <cell r="AT324" t="str">
            <v/>
          </cell>
          <cell r="AU324" t="str">
            <v/>
          </cell>
          <cell r="AV324" t="str">
            <v/>
          </cell>
          <cell r="AW324" t="str">
            <v/>
          </cell>
          <cell r="AX324" t="str">
            <v/>
          </cell>
          <cell r="AY324" t="str">
            <v/>
          </cell>
          <cell r="AZ324" t="str">
            <v/>
          </cell>
          <cell r="BA324" t="str">
            <v/>
          </cell>
          <cell r="BB324">
            <v>0</v>
          </cell>
          <cell r="BC324" t="str">
            <v/>
          </cell>
          <cell r="BD324" t="str">
            <v/>
          </cell>
          <cell r="BE324" t="str">
            <v/>
          </cell>
          <cell r="BF324" t="str">
            <v/>
          </cell>
          <cell r="BG324" t="str">
            <v/>
          </cell>
          <cell r="BH324">
            <v>0</v>
          </cell>
          <cell r="BI324" t="str">
            <v/>
          </cell>
          <cell r="BJ324" t="str">
            <v/>
          </cell>
          <cell r="BK324">
            <v>0</v>
          </cell>
          <cell r="BL324" t="str">
            <v/>
          </cell>
          <cell r="BM324" t="str">
            <v/>
          </cell>
          <cell r="BN324">
            <v>0</v>
          </cell>
          <cell r="BO324">
            <v>0</v>
          </cell>
          <cell r="BP324">
            <v>0</v>
          </cell>
          <cell r="BQ324">
            <v>0</v>
          </cell>
          <cell r="BR324">
            <v>0</v>
          </cell>
          <cell r="BS324">
            <v>0</v>
          </cell>
          <cell r="BT324" t="str">
            <v/>
          </cell>
          <cell r="BU324" t="str">
            <v/>
          </cell>
          <cell r="BV324" t="str">
            <v/>
          </cell>
          <cell r="BW324" t="str">
            <v/>
          </cell>
          <cell r="BX324" t="str">
            <v/>
          </cell>
          <cell r="BY324" t="str">
            <v/>
          </cell>
          <cell r="BZ324">
            <v>0</v>
          </cell>
          <cell r="CA324">
            <v>0</v>
          </cell>
          <cell r="CB324">
            <v>0</v>
          </cell>
          <cell r="CC324">
            <v>0</v>
          </cell>
          <cell r="CD324">
            <v>0</v>
          </cell>
          <cell r="CE324" t="str">
            <v/>
          </cell>
          <cell r="CF324" t="str">
            <v/>
          </cell>
          <cell r="CG324" t="str">
            <v/>
          </cell>
          <cell r="CH324" t="str">
            <v/>
          </cell>
          <cell r="CI324" t="str">
            <v/>
          </cell>
          <cell r="CJ324">
            <v>0</v>
          </cell>
          <cell r="CK324">
            <v>0</v>
          </cell>
          <cell r="CL324">
            <v>0</v>
          </cell>
          <cell r="CM324">
            <v>0</v>
          </cell>
          <cell r="CN324" t="str">
            <v/>
          </cell>
          <cell r="CO324" t="str">
            <v/>
          </cell>
          <cell r="CP324">
            <v>0</v>
          </cell>
          <cell r="CQ324" t="str">
            <v/>
          </cell>
          <cell r="CR324" t="str">
            <v/>
          </cell>
          <cell r="CS324" t="str">
            <v/>
          </cell>
          <cell r="CT324" t="str">
            <v/>
          </cell>
          <cell r="CU324" t="str">
            <v/>
          </cell>
          <cell r="CV324" t="str">
            <v/>
          </cell>
          <cell r="CW324" t="str">
            <v/>
          </cell>
          <cell r="CX324">
            <v>0</v>
          </cell>
          <cell r="CY324" t="str">
            <v/>
          </cell>
          <cell r="CZ324">
            <v>0</v>
          </cell>
          <cell r="DA324" t="str">
            <v/>
          </cell>
          <cell r="DB324" t="str">
            <v/>
          </cell>
          <cell r="DC324" t="str">
            <v/>
          </cell>
          <cell r="DD324" t="str">
            <v/>
          </cell>
          <cell r="DE324">
            <v>0</v>
          </cell>
          <cell r="DF324" t="str">
            <v/>
          </cell>
          <cell r="DG324" t="str">
            <v/>
          </cell>
          <cell r="DH324" t="str">
            <v/>
          </cell>
          <cell r="DI324">
            <v>0</v>
          </cell>
          <cell r="DJ324">
            <v>0</v>
          </cell>
          <cell r="DK324" t="str">
            <v/>
          </cell>
          <cell r="DL324" t="str">
            <v/>
          </cell>
          <cell r="DM324" t="str">
            <v/>
          </cell>
          <cell r="DN324" t="str">
            <v/>
          </cell>
          <cell r="DO324" t="str">
            <v/>
          </cell>
          <cell r="DP324" t="str">
            <v/>
          </cell>
          <cell r="DQ324" t="str">
            <v/>
          </cell>
          <cell r="DR324" t="str">
            <v/>
          </cell>
          <cell r="DS324" t="str">
            <v/>
          </cell>
          <cell r="DT324">
            <v>0</v>
          </cell>
          <cell r="DU324" t="str">
            <v/>
          </cell>
          <cell r="DV324" t="str">
            <v/>
          </cell>
          <cell r="DW324">
            <v>0</v>
          </cell>
          <cell r="DX324" t="str">
            <v/>
          </cell>
          <cell r="DY324" t="str">
            <v/>
          </cell>
          <cell r="DZ324" t="str">
            <v/>
          </cell>
          <cell r="EA324" t="str">
            <v/>
          </cell>
          <cell r="EB324">
            <v>0</v>
          </cell>
          <cell r="EC324" t="str">
            <v/>
          </cell>
          <cell r="EF324" t="str">
            <v/>
          </cell>
        </row>
        <row r="325">
          <cell r="E325">
            <v>40617.25</v>
          </cell>
          <cell r="F325">
            <v>0</v>
          </cell>
          <cell r="G325">
            <v>0</v>
          </cell>
          <cell r="H325">
            <v>0</v>
          </cell>
          <cell r="I325">
            <v>0</v>
          </cell>
          <cell r="J325" t="str">
            <v/>
          </cell>
          <cell r="K325" t="str">
            <v/>
          </cell>
          <cell r="L325" t="str">
            <v/>
          </cell>
          <cell r="M325" t="str">
            <v/>
          </cell>
          <cell r="N325">
            <v>0</v>
          </cell>
          <cell r="O325" t="str">
            <v/>
          </cell>
          <cell r="P325" t="str">
            <v/>
          </cell>
          <cell r="Q325" t="str">
            <v/>
          </cell>
          <cell r="R325">
            <v>0</v>
          </cell>
          <cell r="S325" t="str">
            <v/>
          </cell>
          <cell r="T325" t="str">
            <v/>
          </cell>
          <cell r="U325" t="str">
            <v/>
          </cell>
          <cell r="V325" t="str">
            <v/>
          </cell>
          <cell r="W325" t="str">
            <v/>
          </cell>
          <cell r="X325">
            <v>0</v>
          </cell>
          <cell r="Y325" t="str">
            <v/>
          </cell>
          <cell r="Z325" t="str">
            <v/>
          </cell>
          <cell r="AA325" t="str">
            <v/>
          </cell>
          <cell r="AB325" t="str">
            <v/>
          </cell>
          <cell r="AC325" t="str">
            <v/>
          </cell>
          <cell r="AD325" t="str">
            <v/>
          </cell>
          <cell r="AE325">
            <v>0</v>
          </cell>
          <cell r="AF325" t="str">
            <v/>
          </cell>
          <cell r="AG325" t="str">
            <v/>
          </cell>
          <cell r="AH325">
            <v>0</v>
          </cell>
          <cell r="AI325" t="str">
            <v/>
          </cell>
          <cell r="AJ325" t="str">
            <v/>
          </cell>
          <cell r="AK325" t="str">
            <v/>
          </cell>
          <cell r="AL325" t="str">
            <v/>
          </cell>
          <cell r="AM325">
            <v>0</v>
          </cell>
          <cell r="AN325" t="str">
            <v/>
          </cell>
          <cell r="AO325" t="str">
            <v/>
          </cell>
          <cell r="AP325" t="str">
            <v/>
          </cell>
          <cell r="AQ325" t="str">
            <v/>
          </cell>
          <cell r="AR325" t="str">
            <v/>
          </cell>
          <cell r="AS325">
            <v>0</v>
          </cell>
          <cell r="AT325" t="str">
            <v/>
          </cell>
          <cell r="AU325" t="str">
            <v/>
          </cell>
          <cell r="AV325" t="str">
            <v/>
          </cell>
          <cell r="AW325" t="str">
            <v/>
          </cell>
          <cell r="AX325" t="str">
            <v/>
          </cell>
          <cell r="AY325" t="str">
            <v/>
          </cell>
          <cell r="AZ325" t="str">
            <v/>
          </cell>
          <cell r="BA325" t="str">
            <v/>
          </cell>
          <cell r="BB325">
            <v>0</v>
          </cell>
          <cell r="BC325" t="str">
            <v/>
          </cell>
          <cell r="BD325" t="str">
            <v/>
          </cell>
          <cell r="BE325" t="str">
            <v/>
          </cell>
          <cell r="BF325" t="str">
            <v/>
          </cell>
          <cell r="BG325" t="str">
            <v/>
          </cell>
          <cell r="BH325">
            <v>0</v>
          </cell>
          <cell r="BI325" t="str">
            <v/>
          </cell>
          <cell r="BJ325" t="str">
            <v/>
          </cell>
          <cell r="BK325">
            <v>0</v>
          </cell>
          <cell r="BL325" t="str">
            <v/>
          </cell>
          <cell r="BM325" t="str">
            <v/>
          </cell>
          <cell r="BN325">
            <v>0</v>
          </cell>
          <cell r="BO325">
            <v>0</v>
          </cell>
          <cell r="BP325">
            <v>0</v>
          </cell>
          <cell r="BQ325">
            <v>0</v>
          </cell>
          <cell r="BR325">
            <v>0</v>
          </cell>
          <cell r="BS325">
            <v>0</v>
          </cell>
          <cell r="BT325" t="str">
            <v/>
          </cell>
          <cell r="BU325" t="str">
            <v/>
          </cell>
          <cell r="BV325" t="str">
            <v/>
          </cell>
          <cell r="BW325" t="str">
            <v/>
          </cell>
          <cell r="BX325" t="str">
            <v/>
          </cell>
          <cell r="BY325" t="str">
            <v/>
          </cell>
          <cell r="BZ325">
            <v>0</v>
          </cell>
          <cell r="CA325">
            <v>0</v>
          </cell>
          <cell r="CB325">
            <v>0</v>
          </cell>
          <cell r="CC325">
            <v>0</v>
          </cell>
          <cell r="CD325">
            <v>0</v>
          </cell>
          <cell r="CE325" t="str">
            <v/>
          </cell>
          <cell r="CF325" t="str">
            <v/>
          </cell>
          <cell r="CG325" t="str">
            <v/>
          </cell>
          <cell r="CH325" t="str">
            <v/>
          </cell>
          <cell r="CI325" t="str">
            <v/>
          </cell>
          <cell r="CJ325">
            <v>0</v>
          </cell>
          <cell r="CK325">
            <v>0</v>
          </cell>
          <cell r="CL325">
            <v>0</v>
          </cell>
          <cell r="CM325">
            <v>0</v>
          </cell>
          <cell r="CN325" t="str">
            <v/>
          </cell>
          <cell r="CO325" t="str">
            <v/>
          </cell>
          <cell r="CP325">
            <v>0</v>
          </cell>
          <cell r="CQ325" t="str">
            <v/>
          </cell>
          <cell r="CR325" t="str">
            <v/>
          </cell>
          <cell r="CS325" t="str">
            <v/>
          </cell>
          <cell r="CT325" t="str">
            <v/>
          </cell>
          <cell r="CU325" t="str">
            <v/>
          </cell>
          <cell r="CV325" t="str">
            <v/>
          </cell>
          <cell r="CW325" t="str">
            <v/>
          </cell>
          <cell r="CX325">
            <v>0</v>
          </cell>
          <cell r="CY325" t="str">
            <v/>
          </cell>
          <cell r="CZ325">
            <v>0</v>
          </cell>
          <cell r="DA325" t="str">
            <v/>
          </cell>
          <cell r="DB325" t="str">
            <v/>
          </cell>
          <cell r="DC325" t="str">
            <v/>
          </cell>
          <cell r="DD325" t="str">
            <v/>
          </cell>
          <cell r="DE325">
            <v>0</v>
          </cell>
          <cell r="DF325" t="str">
            <v/>
          </cell>
          <cell r="DG325" t="str">
            <v/>
          </cell>
          <cell r="DH325" t="str">
            <v/>
          </cell>
          <cell r="DI325">
            <v>0</v>
          </cell>
          <cell r="DJ325">
            <v>0</v>
          </cell>
          <cell r="DK325" t="str">
            <v/>
          </cell>
          <cell r="DL325" t="str">
            <v/>
          </cell>
          <cell r="DM325" t="str">
            <v/>
          </cell>
          <cell r="DN325" t="str">
            <v/>
          </cell>
          <cell r="DO325" t="str">
            <v/>
          </cell>
          <cell r="DP325" t="str">
            <v/>
          </cell>
          <cell r="DQ325" t="str">
            <v/>
          </cell>
          <cell r="DR325" t="str">
            <v/>
          </cell>
          <cell r="DS325" t="str">
            <v/>
          </cell>
          <cell r="DT325">
            <v>0</v>
          </cell>
          <cell r="DU325" t="str">
            <v/>
          </cell>
          <cell r="DV325" t="str">
            <v/>
          </cell>
          <cell r="DW325">
            <v>0</v>
          </cell>
          <cell r="DX325" t="str">
            <v/>
          </cell>
          <cell r="DY325" t="str">
            <v/>
          </cell>
          <cell r="DZ325" t="str">
            <v/>
          </cell>
          <cell r="EA325" t="str">
            <v/>
          </cell>
          <cell r="EB325">
            <v>0</v>
          </cell>
          <cell r="EC325" t="str">
            <v/>
          </cell>
          <cell r="EF325" t="str">
            <v/>
          </cell>
        </row>
        <row r="326">
          <cell r="E326">
            <v>40708.5625</v>
          </cell>
          <cell r="F326">
            <v>0</v>
          </cell>
          <cell r="G326">
            <v>0</v>
          </cell>
          <cell r="H326">
            <v>0</v>
          </cell>
          <cell r="I326">
            <v>0</v>
          </cell>
          <cell r="J326" t="str">
            <v/>
          </cell>
          <cell r="K326" t="str">
            <v/>
          </cell>
          <cell r="L326" t="str">
            <v/>
          </cell>
          <cell r="M326" t="str">
            <v/>
          </cell>
          <cell r="N326">
            <v>0</v>
          </cell>
          <cell r="O326" t="str">
            <v/>
          </cell>
          <cell r="P326" t="str">
            <v/>
          </cell>
          <cell r="Q326" t="str">
            <v/>
          </cell>
          <cell r="R326">
            <v>0</v>
          </cell>
          <cell r="S326" t="str">
            <v/>
          </cell>
          <cell r="T326" t="str">
            <v/>
          </cell>
          <cell r="U326" t="str">
            <v/>
          </cell>
          <cell r="V326" t="str">
            <v/>
          </cell>
          <cell r="W326" t="str">
            <v/>
          </cell>
          <cell r="X326">
            <v>0</v>
          </cell>
          <cell r="Y326" t="str">
            <v/>
          </cell>
          <cell r="Z326" t="str">
            <v/>
          </cell>
          <cell r="AA326" t="str">
            <v/>
          </cell>
          <cell r="AB326" t="str">
            <v/>
          </cell>
          <cell r="AC326" t="str">
            <v/>
          </cell>
          <cell r="AD326" t="str">
            <v/>
          </cell>
          <cell r="AE326">
            <v>0</v>
          </cell>
          <cell r="AF326" t="str">
            <v/>
          </cell>
          <cell r="AG326" t="str">
            <v/>
          </cell>
          <cell r="AH326">
            <v>0</v>
          </cell>
          <cell r="AI326" t="str">
            <v/>
          </cell>
          <cell r="AJ326" t="str">
            <v/>
          </cell>
          <cell r="AK326" t="str">
            <v/>
          </cell>
          <cell r="AL326" t="str">
            <v/>
          </cell>
          <cell r="AM326">
            <v>0</v>
          </cell>
          <cell r="AN326" t="str">
            <v/>
          </cell>
          <cell r="AO326" t="str">
            <v/>
          </cell>
          <cell r="AP326" t="str">
            <v/>
          </cell>
          <cell r="AQ326" t="str">
            <v/>
          </cell>
          <cell r="AR326" t="str">
            <v/>
          </cell>
          <cell r="AS326">
            <v>0</v>
          </cell>
          <cell r="AT326" t="str">
            <v/>
          </cell>
          <cell r="AU326" t="str">
            <v/>
          </cell>
          <cell r="AV326" t="str">
            <v/>
          </cell>
          <cell r="AW326" t="str">
            <v/>
          </cell>
          <cell r="AX326" t="str">
            <v/>
          </cell>
          <cell r="AY326" t="str">
            <v/>
          </cell>
          <cell r="AZ326" t="str">
            <v/>
          </cell>
          <cell r="BA326" t="str">
            <v/>
          </cell>
          <cell r="BB326">
            <v>0</v>
          </cell>
          <cell r="BC326" t="str">
            <v/>
          </cell>
          <cell r="BD326" t="str">
            <v/>
          </cell>
          <cell r="BE326" t="str">
            <v/>
          </cell>
          <cell r="BF326" t="str">
            <v/>
          </cell>
          <cell r="BG326" t="str">
            <v/>
          </cell>
          <cell r="BH326">
            <v>0</v>
          </cell>
          <cell r="BI326" t="str">
            <v/>
          </cell>
          <cell r="BJ326" t="str">
            <v/>
          </cell>
          <cell r="BK326">
            <v>0</v>
          </cell>
          <cell r="BL326" t="str">
            <v/>
          </cell>
          <cell r="BM326" t="str">
            <v/>
          </cell>
          <cell r="BN326">
            <v>0</v>
          </cell>
          <cell r="BO326">
            <v>0</v>
          </cell>
          <cell r="BP326">
            <v>0</v>
          </cell>
          <cell r="BQ326">
            <v>0</v>
          </cell>
          <cell r="BR326">
            <v>0</v>
          </cell>
          <cell r="BS326">
            <v>0</v>
          </cell>
          <cell r="BT326" t="str">
            <v/>
          </cell>
          <cell r="BU326" t="str">
            <v/>
          </cell>
          <cell r="BV326" t="str">
            <v/>
          </cell>
          <cell r="BW326" t="str">
            <v/>
          </cell>
          <cell r="BX326" t="str">
            <v/>
          </cell>
          <cell r="BY326" t="str">
            <v/>
          </cell>
          <cell r="BZ326">
            <v>0</v>
          </cell>
          <cell r="CA326">
            <v>0</v>
          </cell>
          <cell r="CB326">
            <v>0</v>
          </cell>
          <cell r="CC326">
            <v>0</v>
          </cell>
          <cell r="CD326">
            <v>0</v>
          </cell>
          <cell r="CE326" t="str">
            <v/>
          </cell>
          <cell r="CF326" t="str">
            <v/>
          </cell>
          <cell r="CG326" t="str">
            <v/>
          </cell>
          <cell r="CH326" t="str">
            <v/>
          </cell>
          <cell r="CI326" t="str">
            <v/>
          </cell>
          <cell r="CJ326">
            <v>0</v>
          </cell>
          <cell r="CK326">
            <v>0</v>
          </cell>
          <cell r="CL326">
            <v>0</v>
          </cell>
          <cell r="CM326">
            <v>0</v>
          </cell>
          <cell r="CN326" t="str">
            <v/>
          </cell>
          <cell r="CO326" t="str">
            <v/>
          </cell>
          <cell r="CP326">
            <v>0</v>
          </cell>
          <cell r="CQ326" t="str">
            <v/>
          </cell>
          <cell r="CR326" t="str">
            <v/>
          </cell>
          <cell r="CS326" t="str">
            <v/>
          </cell>
          <cell r="CT326" t="str">
            <v/>
          </cell>
          <cell r="CU326" t="str">
            <v/>
          </cell>
          <cell r="CV326" t="str">
            <v/>
          </cell>
          <cell r="CW326" t="str">
            <v/>
          </cell>
          <cell r="CX326">
            <v>0</v>
          </cell>
          <cell r="CY326" t="str">
            <v/>
          </cell>
          <cell r="CZ326">
            <v>0</v>
          </cell>
          <cell r="DA326" t="str">
            <v/>
          </cell>
          <cell r="DB326" t="str">
            <v/>
          </cell>
          <cell r="DC326" t="str">
            <v/>
          </cell>
          <cell r="DD326" t="str">
            <v/>
          </cell>
          <cell r="DE326">
            <v>0</v>
          </cell>
          <cell r="DF326" t="str">
            <v/>
          </cell>
          <cell r="DG326" t="str">
            <v/>
          </cell>
          <cell r="DH326" t="str">
            <v/>
          </cell>
          <cell r="DI326">
            <v>0</v>
          </cell>
          <cell r="DJ326">
            <v>0</v>
          </cell>
          <cell r="DK326" t="str">
            <v/>
          </cell>
          <cell r="DL326" t="str">
            <v/>
          </cell>
          <cell r="DM326" t="str">
            <v/>
          </cell>
          <cell r="DN326" t="str">
            <v/>
          </cell>
          <cell r="DO326" t="str">
            <v/>
          </cell>
          <cell r="DP326" t="str">
            <v/>
          </cell>
          <cell r="DQ326" t="str">
            <v/>
          </cell>
          <cell r="DR326" t="str">
            <v/>
          </cell>
          <cell r="DS326" t="str">
            <v/>
          </cell>
          <cell r="DT326">
            <v>0</v>
          </cell>
          <cell r="DU326" t="str">
            <v/>
          </cell>
          <cell r="DV326" t="str">
            <v/>
          </cell>
          <cell r="DW326">
            <v>0</v>
          </cell>
          <cell r="DX326" t="str">
            <v/>
          </cell>
          <cell r="DY326" t="str">
            <v/>
          </cell>
          <cell r="DZ326" t="str">
            <v/>
          </cell>
          <cell r="EA326" t="str">
            <v/>
          </cell>
          <cell r="EB326">
            <v>0</v>
          </cell>
          <cell r="EC326" t="str">
            <v/>
          </cell>
          <cell r="EF326" t="str">
            <v/>
          </cell>
        </row>
        <row r="327">
          <cell r="E327">
            <v>40799.875</v>
          </cell>
          <cell r="F327">
            <v>0</v>
          </cell>
          <cell r="G327">
            <v>0</v>
          </cell>
          <cell r="H327">
            <v>0</v>
          </cell>
          <cell r="I327">
            <v>0</v>
          </cell>
          <cell r="J327" t="str">
            <v/>
          </cell>
          <cell r="K327" t="str">
            <v/>
          </cell>
          <cell r="L327" t="str">
            <v/>
          </cell>
          <cell r="M327" t="str">
            <v/>
          </cell>
          <cell r="N327">
            <v>0</v>
          </cell>
          <cell r="O327" t="str">
            <v/>
          </cell>
          <cell r="P327" t="str">
            <v/>
          </cell>
          <cell r="Q327" t="str">
            <v/>
          </cell>
          <cell r="R327">
            <v>0</v>
          </cell>
          <cell r="S327" t="str">
            <v/>
          </cell>
          <cell r="T327" t="str">
            <v/>
          </cell>
          <cell r="U327" t="str">
            <v/>
          </cell>
          <cell r="V327" t="str">
            <v/>
          </cell>
          <cell r="W327" t="str">
            <v/>
          </cell>
          <cell r="X327">
            <v>0</v>
          </cell>
          <cell r="Y327" t="str">
            <v/>
          </cell>
          <cell r="Z327" t="str">
            <v/>
          </cell>
          <cell r="AA327" t="str">
            <v/>
          </cell>
          <cell r="AB327" t="str">
            <v/>
          </cell>
          <cell r="AC327" t="str">
            <v/>
          </cell>
          <cell r="AD327" t="str">
            <v/>
          </cell>
          <cell r="AE327">
            <v>0</v>
          </cell>
          <cell r="AF327" t="str">
            <v/>
          </cell>
          <cell r="AG327" t="str">
            <v/>
          </cell>
          <cell r="AH327">
            <v>0</v>
          </cell>
          <cell r="AI327" t="str">
            <v/>
          </cell>
          <cell r="AJ327" t="str">
            <v/>
          </cell>
          <cell r="AK327" t="str">
            <v/>
          </cell>
          <cell r="AL327" t="str">
            <v/>
          </cell>
          <cell r="AM327">
            <v>0</v>
          </cell>
          <cell r="AN327" t="str">
            <v/>
          </cell>
          <cell r="AO327" t="str">
            <v/>
          </cell>
          <cell r="AP327" t="str">
            <v/>
          </cell>
          <cell r="AQ327" t="str">
            <v/>
          </cell>
          <cell r="AR327" t="str">
            <v/>
          </cell>
          <cell r="AS327">
            <v>0</v>
          </cell>
          <cell r="AT327" t="str">
            <v/>
          </cell>
          <cell r="AU327" t="str">
            <v/>
          </cell>
          <cell r="AV327" t="str">
            <v/>
          </cell>
          <cell r="AW327" t="str">
            <v/>
          </cell>
          <cell r="AX327" t="str">
            <v/>
          </cell>
          <cell r="AY327" t="str">
            <v/>
          </cell>
          <cell r="AZ327" t="str">
            <v/>
          </cell>
          <cell r="BA327" t="str">
            <v/>
          </cell>
          <cell r="BB327">
            <v>0</v>
          </cell>
          <cell r="BC327" t="str">
            <v/>
          </cell>
          <cell r="BD327" t="str">
            <v/>
          </cell>
          <cell r="BE327" t="str">
            <v/>
          </cell>
          <cell r="BF327" t="str">
            <v/>
          </cell>
          <cell r="BG327" t="str">
            <v/>
          </cell>
          <cell r="BH327">
            <v>0</v>
          </cell>
          <cell r="BI327" t="str">
            <v/>
          </cell>
          <cell r="BJ327" t="str">
            <v/>
          </cell>
          <cell r="BK327">
            <v>0</v>
          </cell>
          <cell r="BL327" t="str">
            <v/>
          </cell>
          <cell r="BM327" t="str">
            <v/>
          </cell>
          <cell r="BN327">
            <v>0</v>
          </cell>
          <cell r="BO327">
            <v>0</v>
          </cell>
          <cell r="BP327">
            <v>0</v>
          </cell>
          <cell r="BQ327">
            <v>0</v>
          </cell>
          <cell r="BR327">
            <v>0</v>
          </cell>
          <cell r="BS327">
            <v>0</v>
          </cell>
          <cell r="BT327" t="str">
            <v/>
          </cell>
          <cell r="BU327" t="str">
            <v/>
          </cell>
          <cell r="BV327" t="str">
            <v/>
          </cell>
          <cell r="BW327" t="str">
            <v/>
          </cell>
          <cell r="BX327" t="str">
            <v/>
          </cell>
          <cell r="BY327" t="str">
            <v/>
          </cell>
          <cell r="BZ327">
            <v>0</v>
          </cell>
          <cell r="CA327">
            <v>0</v>
          </cell>
          <cell r="CB327">
            <v>0</v>
          </cell>
          <cell r="CC327">
            <v>0</v>
          </cell>
          <cell r="CD327">
            <v>0</v>
          </cell>
          <cell r="CE327" t="str">
            <v/>
          </cell>
          <cell r="CF327" t="str">
            <v/>
          </cell>
          <cell r="CG327" t="str">
            <v/>
          </cell>
          <cell r="CH327" t="str">
            <v/>
          </cell>
          <cell r="CI327" t="str">
            <v/>
          </cell>
          <cell r="CJ327">
            <v>0</v>
          </cell>
          <cell r="CK327">
            <v>0</v>
          </cell>
          <cell r="CL327">
            <v>0</v>
          </cell>
          <cell r="CM327">
            <v>0</v>
          </cell>
          <cell r="CN327" t="str">
            <v/>
          </cell>
          <cell r="CO327" t="str">
            <v/>
          </cell>
          <cell r="CP327">
            <v>0</v>
          </cell>
          <cell r="CQ327" t="str">
            <v/>
          </cell>
          <cell r="CR327" t="str">
            <v/>
          </cell>
          <cell r="CS327" t="str">
            <v/>
          </cell>
          <cell r="CT327" t="str">
            <v/>
          </cell>
          <cell r="CU327" t="str">
            <v/>
          </cell>
          <cell r="CV327" t="str">
            <v/>
          </cell>
          <cell r="CW327" t="str">
            <v/>
          </cell>
          <cell r="CX327">
            <v>0</v>
          </cell>
          <cell r="CY327" t="str">
            <v/>
          </cell>
          <cell r="CZ327">
            <v>0</v>
          </cell>
          <cell r="DA327" t="str">
            <v/>
          </cell>
          <cell r="DB327" t="str">
            <v/>
          </cell>
          <cell r="DC327" t="str">
            <v/>
          </cell>
          <cell r="DD327" t="str">
            <v/>
          </cell>
          <cell r="DE327">
            <v>0</v>
          </cell>
          <cell r="DF327" t="str">
            <v/>
          </cell>
          <cell r="DG327" t="str">
            <v/>
          </cell>
          <cell r="DH327" t="str">
            <v/>
          </cell>
          <cell r="DI327">
            <v>0</v>
          </cell>
          <cell r="DJ327">
            <v>0</v>
          </cell>
          <cell r="DK327" t="str">
            <v/>
          </cell>
          <cell r="DL327" t="str">
            <v/>
          </cell>
          <cell r="DM327" t="str">
            <v/>
          </cell>
          <cell r="DN327" t="str">
            <v/>
          </cell>
          <cell r="DO327" t="str">
            <v/>
          </cell>
          <cell r="DP327" t="str">
            <v/>
          </cell>
          <cell r="DQ327" t="str">
            <v/>
          </cell>
          <cell r="DR327" t="str">
            <v/>
          </cell>
          <cell r="DS327" t="str">
            <v/>
          </cell>
          <cell r="DT327">
            <v>0</v>
          </cell>
          <cell r="DU327" t="str">
            <v/>
          </cell>
          <cell r="DV327" t="str">
            <v/>
          </cell>
          <cell r="DW327">
            <v>0</v>
          </cell>
          <cell r="DX327" t="str">
            <v/>
          </cell>
          <cell r="DY327" t="str">
            <v/>
          </cell>
          <cell r="DZ327" t="str">
            <v/>
          </cell>
          <cell r="EA327" t="str">
            <v/>
          </cell>
          <cell r="EB327">
            <v>0</v>
          </cell>
          <cell r="EC327" t="str">
            <v/>
          </cell>
          <cell r="EF327" t="str">
            <v/>
          </cell>
        </row>
        <row r="328">
          <cell r="E328">
            <v>40891.1875</v>
          </cell>
          <cell r="F328">
            <v>0</v>
          </cell>
          <cell r="G328">
            <v>0</v>
          </cell>
          <cell r="H328">
            <v>0</v>
          </cell>
          <cell r="I328">
            <v>0</v>
          </cell>
          <cell r="J328" t="str">
            <v/>
          </cell>
          <cell r="K328" t="str">
            <v/>
          </cell>
          <cell r="L328" t="str">
            <v/>
          </cell>
          <cell r="M328" t="str">
            <v/>
          </cell>
          <cell r="N328">
            <v>0</v>
          </cell>
          <cell r="O328" t="str">
            <v/>
          </cell>
          <cell r="P328" t="str">
            <v/>
          </cell>
          <cell r="Q328" t="str">
            <v/>
          </cell>
          <cell r="R328">
            <v>0</v>
          </cell>
          <cell r="S328" t="str">
            <v/>
          </cell>
          <cell r="T328" t="str">
            <v/>
          </cell>
          <cell r="U328" t="str">
            <v/>
          </cell>
          <cell r="V328" t="str">
            <v/>
          </cell>
          <cell r="W328" t="str">
            <v/>
          </cell>
          <cell r="X328">
            <v>0</v>
          </cell>
          <cell r="Y328" t="str">
            <v/>
          </cell>
          <cell r="Z328" t="str">
            <v/>
          </cell>
          <cell r="AA328" t="str">
            <v/>
          </cell>
          <cell r="AB328" t="str">
            <v/>
          </cell>
          <cell r="AC328" t="str">
            <v/>
          </cell>
          <cell r="AD328" t="str">
            <v/>
          </cell>
          <cell r="AE328">
            <v>0</v>
          </cell>
          <cell r="AF328" t="str">
            <v/>
          </cell>
          <cell r="AG328" t="str">
            <v/>
          </cell>
          <cell r="AH328">
            <v>0</v>
          </cell>
          <cell r="AI328" t="str">
            <v/>
          </cell>
          <cell r="AJ328" t="str">
            <v/>
          </cell>
          <cell r="AK328" t="str">
            <v/>
          </cell>
          <cell r="AL328" t="str">
            <v/>
          </cell>
          <cell r="AM328">
            <v>0</v>
          </cell>
          <cell r="AN328" t="str">
            <v/>
          </cell>
          <cell r="AO328" t="str">
            <v/>
          </cell>
          <cell r="AP328" t="str">
            <v/>
          </cell>
          <cell r="AQ328" t="str">
            <v/>
          </cell>
          <cell r="AR328" t="str">
            <v/>
          </cell>
          <cell r="AS328">
            <v>0</v>
          </cell>
          <cell r="AT328" t="str">
            <v/>
          </cell>
          <cell r="AU328" t="str">
            <v/>
          </cell>
          <cell r="AV328" t="str">
            <v/>
          </cell>
          <cell r="AW328" t="str">
            <v/>
          </cell>
          <cell r="AX328" t="str">
            <v/>
          </cell>
          <cell r="AY328" t="str">
            <v/>
          </cell>
          <cell r="AZ328" t="str">
            <v/>
          </cell>
          <cell r="BA328" t="str">
            <v/>
          </cell>
          <cell r="BB328">
            <v>0</v>
          </cell>
          <cell r="BC328" t="str">
            <v/>
          </cell>
          <cell r="BD328" t="str">
            <v/>
          </cell>
          <cell r="BE328" t="str">
            <v/>
          </cell>
          <cell r="BF328" t="str">
            <v/>
          </cell>
          <cell r="BG328" t="str">
            <v/>
          </cell>
          <cell r="BH328">
            <v>0</v>
          </cell>
          <cell r="BI328" t="str">
            <v/>
          </cell>
          <cell r="BJ328" t="str">
            <v/>
          </cell>
          <cell r="BK328">
            <v>0</v>
          </cell>
          <cell r="BL328" t="str">
            <v/>
          </cell>
          <cell r="BM328" t="str">
            <v/>
          </cell>
          <cell r="BN328">
            <v>0</v>
          </cell>
          <cell r="BO328">
            <v>0</v>
          </cell>
          <cell r="BP328">
            <v>0</v>
          </cell>
          <cell r="BQ328">
            <v>0</v>
          </cell>
          <cell r="BR328">
            <v>0</v>
          </cell>
          <cell r="BS328">
            <v>0</v>
          </cell>
          <cell r="BT328" t="str">
            <v/>
          </cell>
          <cell r="BU328" t="str">
            <v/>
          </cell>
          <cell r="BV328" t="str">
            <v/>
          </cell>
          <cell r="BW328" t="str">
            <v/>
          </cell>
          <cell r="BX328" t="str">
            <v/>
          </cell>
          <cell r="BY328" t="str">
            <v/>
          </cell>
          <cell r="BZ328">
            <v>0</v>
          </cell>
          <cell r="CA328">
            <v>0</v>
          </cell>
          <cell r="CB328">
            <v>0</v>
          </cell>
          <cell r="CC328">
            <v>0</v>
          </cell>
          <cell r="CD328">
            <v>0</v>
          </cell>
          <cell r="CE328" t="str">
            <v/>
          </cell>
          <cell r="CF328" t="str">
            <v/>
          </cell>
          <cell r="CG328" t="str">
            <v/>
          </cell>
          <cell r="CH328" t="str">
            <v/>
          </cell>
          <cell r="CI328" t="str">
            <v/>
          </cell>
          <cell r="CJ328">
            <v>0</v>
          </cell>
          <cell r="CK328">
            <v>0</v>
          </cell>
          <cell r="CL328">
            <v>0</v>
          </cell>
          <cell r="CM328">
            <v>0</v>
          </cell>
          <cell r="CN328" t="str">
            <v/>
          </cell>
          <cell r="CO328" t="str">
            <v/>
          </cell>
          <cell r="CP328">
            <v>0</v>
          </cell>
          <cell r="CQ328" t="str">
            <v/>
          </cell>
          <cell r="CR328" t="str">
            <v/>
          </cell>
          <cell r="CS328" t="str">
            <v/>
          </cell>
          <cell r="CT328" t="str">
            <v/>
          </cell>
          <cell r="CU328" t="str">
            <v/>
          </cell>
          <cell r="CV328" t="str">
            <v/>
          </cell>
          <cell r="CW328" t="str">
            <v/>
          </cell>
          <cell r="CX328">
            <v>0</v>
          </cell>
          <cell r="CY328" t="str">
            <v/>
          </cell>
          <cell r="CZ328">
            <v>0</v>
          </cell>
          <cell r="DA328" t="str">
            <v/>
          </cell>
          <cell r="DB328" t="str">
            <v/>
          </cell>
          <cell r="DC328" t="str">
            <v/>
          </cell>
          <cell r="DD328" t="str">
            <v/>
          </cell>
          <cell r="DE328">
            <v>0</v>
          </cell>
          <cell r="DF328" t="str">
            <v/>
          </cell>
          <cell r="DG328" t="str">
            <v/>
          </cell>
          <cell r="DH328" t="str">
            <v/>
          </cell>
          <cell r="DI328">
            <v>0</v>
          </cell>
          <cell r="DJ328">
            <v>0</v>
          </cell>
          <cell r="DK328" t="str">
            <v/>
          </cell>
          <cell r="DL328" t="str">
            <v/>
          </cell>
          <cell r="DM328" t="str">
            <v/>
          </cell>
          <cell r="DN328" t="str">
            <v/>
          </cell>
          <cell r="DO328" t="str">
            <v/>
          </cell>
          <cell r="DP328" t="str">
            <v/>
          </cell>
          <cell r="DQ328" t="str">
            <v/>
          </cell>
          <cell r="DR328" t="str">
            <v/>
          </cell>
          <cell r="DS328" t="str">
            <v/>
          </cell>
          <cell r="DT328">
            <v>0</v>
          </cell>
          <cell r="DU328" t="str">
            <v/>
          </cell>
          <cell r="DV328" t="str">
            <v/>
          </cell>
          <cell r="DW328">
            <v>0</v>
          </cell>
          <cell r="DX328" t="str">
            <v/>
          </cell>
          <cell r="DY328" t="str">
            <v/>
          </cell>
          <cell r="DZ328" t="str">
            <v/>
          </cell>
          <cell r="EA328" t="str">
            <v/>
          </cell>
          <cell r="EB328">
            <v>0</v>
          </cell>
          <cell r="EC328" t="str">
            <v/>
          </cell>
          <cell r="EF328" t="str">
            <v/>
          </cell>
        </row>
        <row r="329">
          <cell r="E329">
            <v>40982.5</v>
          </cell>
          <cell r="F329">
            <v>0</v>
          </cell>
          <cell r="G329">
            <v>0</v>
          </cell>
          <cell r="H329">
            <v>0</v>
          </cell>
          <cell r="I329">
            <v>0</v>
          </cell>
          <cell r="J329" t="str">
            <v/>
          </cell>
          <cell r="K329" t="str">
            <v/>
          </cell>
          <cell r="L329" t="str">
            <v/>
          </cell>
          <cell r="M329" t="str">
            <v/>
          </cell>
          <cell r="N329">
            <v>0</v>
          </cell>
          <cell r="O329" t="str">
            <v/>
          </cell>
          <cell r="P329" t="str">
            <v/>
          </cell>
          <cell r="Q329" t="str">
            <v/>
          </cell>
          <cell r="R329">
            <v>0</v>
          </cell>
          <cell r="S329" t="str">
            <v/>
          </cell>
          <cell r="T329" t="str">
            <v/>
          </cell>
          <cell r="U329" t="str">
            <v/>
          </cell>
          <cell r="V329" t="str">
            <v/>
          </cell>
          <cell r="W329" t="str">
            <v/>
          </cell>
          <cell r="X329">
            <v>0</v>
          </cell>
          <cell r="Y329" t="str">
            <v/>
          </cell>
          <cell r="Z329" t="str">
            <v/>
          </cell>
          <cell r="AA329" t="str">
            <v/>
          </cell>
          <cell r="AB329" t="str">
            <v/>
          </cell>
          <cell r="AC329" t="str">
            <v/>
          </cell>
          <cell r="AD329" t="str">
            <v/>
          </cell>
          <cell r="AE329">
            <v>0</v>
          </cell>
          <cell r="AF329" t="str">
            <v/>
          </cell>
          <cell r="AG329" t="str">
            <v/>
          </cell>
          <cell r="AH329">
            <v>0</v>
          </cell>
          <cell r="AI329" t="str">
            <v/>
          </cell>
          <cell r="AJ329" t="str">
            <v/>
          </cell>
          <cell r="AK329" t="str">
            <v/>
          </cell>
          <cell r="AL329" t="str">
            <v/>
          </cell>
          <cell r="AM329">
            <v>0</v>
          </cell>
          <cell r="AN329" t="str">
            <v/>
          </cell>
          <cell r="AO329" t="str">
            <v/>
          </cell>
          <cell r="AP329" t="str">
            <v/>
          </cell>
          <cell r="AQ329" t="str">
            <v/>
          </cell>
          <cell r="AR329" t="str">
            <v/>
          </cell>
          <cell r="AS329">
            <v>0</v>
          </cell>
          <cell r="AT329" t="str">
            <v/>
          </cell>
          <cell r="AU329" t="str">
            <v/>
          </cell>
          <cell r="AV329" t="str">
            <v/>
          </cell>
          <cell r="AW329" t="str">
            <v/>
          </cell>
          <cell r="AX329" t="str">
            <v/>
          </cell>
          <cell r="AY329" t="str">
            <v/>
          </cell>
          <cell r="AZ329" t="str">
            <v/>
          </cell>
          <cell r="BA329" t="str">
            <v/>
          </cell>
          <cell r="BB329">
            <v>0</v>
          </cell>
          <cell r="BC329" t="str">
            <v/>
          </cell>
          <cell r="BD329" t="str">
            <v/>
          </cell>
          <cell r="BE329" t="str">
            <v/>
          </cell>
          <cell r="BF329" t="str">
            <v/>
          </cell>
          <cell r="BG329" t="str">
            <v/>
          </cell>
          <cell r="BH329">
            <v>0</v>
          </cell>
          <cell r="BI329" t="str">
            <v/>
          </cell>
          <cell r="BJ329" t="str">
            <v/>
          </cell>
          <cell r="BK329">
            <v>0</v>
          </cell>
          <cell r="BL329" t="str">
            <v/>
          </cell>
          <cell r="BM329" t="str">
            <v/>
          </cell>
          <cell r="BN329">
            <v>0</v>
          </cell>
          <cell r="BO329">
            <v>0</v>
          </cell>
          <cell r="BP329">
            <v>0</v>
          </cell>
          <cell r="BQ329">
            <v>0</v>
          </cell>
          <cell r="BR329">
            <v>0</v>
          </cell>
          <cell r="BS329">
            <v>0</v>
          </cell>
          <cell r="BT329" t="str">
            <v/>
          </cell>
          <cell r="BU329" t="str">
            <v/>
          </cell>
          <cell r="BV329" t="str">
            <v/>
          </cell>
          <cell r="BW329" t="str">
            <v/>
          </cell>
          <cell r="BX329" t="str">
            <v/>
          </cell>
          <cell r="BY329" t="str">
            <v/>
          </cell>
          <cell r="BZ329">
            <v>0</v>
          </cell>
          <cell r="CA329">
            <v>0</v>
          </cell>
          <cell r="CB329">
            <v>0</v>
          </cell>
          <cell r="CC329">
            <v>0</v>
          </cell>
          <cell r="CD329">
            <v>0</v>
          </cell>
          <cell r="CE329" t="str">
            <v/>
          </cell>
          <cell r="CF329" t="str">
            <v/>
          </cell>
          <cell r="CG329" t="str">
            <v/>
          </cell>
          <cell r="CH329" t="str">
            <v/>
          </cell>
          <cell r="CI329" t="str">
            <v/>
          </cell>
          <cell r="CJ329">
            <v>0</v>
          </cell>
          <cell r="CK329">
            <v>0</v>
          </cell>
          <cell r="CL329">
            <v>0</v>
          </cell>
          <cell r="CM329">
            <v>0</v>
          </cell>
          <cell r="CN329" t="str">
            <v/>
          </cell>
          <cell r="CO329" t="str">
            <v/>
          </cell>
          <cell r="CP329">
            <v>0</v>
          </cell>
          <cell r="CQ329" t="str">
            <v/>
          </cell>
          <cell r="CR329" t="str">
            <v/>
          </cell>
          <cell r="CS329" t="str">
            <v/>
          </cell>
          <cell r="CT329" t="str">
            <v/>
          </cell>
          <cell r="CU329" t="str">
            <v/>
          </cell>
          <cell r="CV329" t="str">
            <v/>
          </cell>
          <cell r="CW329" t="str">
            <v/>
          </cell>
          <cell r="CX329">
            <v>0</v>
          </cell>
          <cell r="CY329" t="str">
            <v/>
          </cell>
          <cell r="CZ329">
            <v>0</v>
          </cell>
          <cell r="DA329" t="str">
            <v/>
          </cell>
          <cell r="DB329" t="str">
            <v/>
          </cell>
          <cell r="DC329" t="str">
            <v/>
          </cell>
          <cell r="DD329" t="str">
            <v/>
          </cell>
          <cell r="DE329">
            <v>0</v>
          </cell>
          <cell r="DF329" t="str">
            <v/>
          </cell>
          <cell r="DG329" t="str">
            <v/>
          </cell>
          <cell r="DH329" t="str">
            <v/>
          </cell>
          <cell r="DI329">
            <v>0</v>
          </cell>
          <cell r="DJ329">
            <v>0</v>
          </cell>
          <cell r="DK329" t="str">
            <v/>
          </cell>
          <cell r="DL329" t="str">
            <v/>
          </cell>
          <cell r="DM329" t="str">
            <v/>
          </cell>
          <cell r="DN329" t="str">
            <v/>
          </cell>
          <cell r="DO329" t="str">
            <v/>
          </cell>
          <cell r="DP329" t="str">
            <v/>
          </cell>
          <cell r="DQ329" t="str">
            <v/>
          </cell>
          <cell r="DR329" t="str">
            <v/>
          </cell>
          <cell r="DS329" t="str">
            <v/>
          </cell>
          <cell r="DT329">
            <v>0</v>
          </cell>
          <cell r="DU329" t="str">
            <v/>
          </cell>
          <cell r="DV329" t="str">
            <v/>
          </cell>
          <cell r="DW329">
            <v>0</v>
          </cell>
          <cell r="DX329" t="str">
            <v/>
          </cell>
          <cell r="DY329" t="str">
            <v/>
          </cell>
          <cell r="DZ329" t="str">
            <v/>
          </cell>
          <cell r="EA329" t="str">
            <v/>
          </cell>
          <cell r="EB329">
            <v>0</v>
          </cell>
          <cell r="EC329" t="str">
            <v/>
          </cell>
          <cell r="EF329" t="str">
            <v/>
          </cell>
        </row>
        <row r="330">
          <cell r="E330">
            <v>41073.8125</v>
          </cell>
          <cell r="F330">
            <v>0</v>
          </cell>
          <cell r="G330">
            <v>0</v>
          </cell>
          <cell r="H330">
            <v>0</v>
          </cell>
          <cell r="I330">
            <v>0</v>
          </cell>
          <cell r="J330" t="str">
            <v/>
          </cell>
          <cell r="K330" t="str">
            <v/>
          </cell>
          <cell r="L330" t="str">
            <v/>
          </cell>
          <cell r="M330" t="str">
            <v/>
          </cell>
          <cell r="N330">
            <v>0</v>
          </cell>
          <cell r="O330" t="str">
            <v/>
          </cell>
          <cell r="P330" t="str">
            <v/>
          </cell>
          <cell r="Q330" t="str">
            <v/>
          </cell>
          <cell r="R330">
            <v>0</v>
          </cell>
          <cell r="S330" t="str">
            <v/>
          </cell>
          <cell r="T330" t="str">
            <v/>
          </cell>
          <cell r="U330" t="str">
            <v/>
          </cell>
          <cell r="V330" t="str">
            <v/>
          </cell>
          <cell r="W330" t="str">
            <v/>
          </cell>
          <cell r="X330">
            <v>0</v>
          </cell>
          <cell r="Y330" t="str">
            <v/>
          </cell>
          <cell r="Z330" t="str">
            <v/>
          </cell>
          <cell r="AA330" t="str">
            <v/>
          </cell>
          <cell r="AB330" t="str">
            <v/>
          </cell>
          <cell r="AC330" t="str">
            <v/>
          </cell>
          <cell r="AD330" t="str">
            <v/>
          </cell>
          <cell r="AE330">
            <v>0</v>
          </cell>
          <cell r="AF330" t="str">
            <v/>
          </cell>
          <cell r="AG330" t="str">
            <v/>
          </cell>
          <cell r="AH330">
            <v>0</v>
          </cell>
          <cell r="AI330" t="str">
            <v/>
          </cell>
          <cell r="AJ330" t="str">
            <v/>
          </cell>
          <cell r="AK330" t="str">
            <v/>
          </cell>
          <cell r="AL330" t="str">
            <v/>
          </cell>
          <cell r="AM330">
            <v>0</v>
          </cell>
          <cell r="AN330" t="str">
            <v/>
          </cell>
          <cell r="AO330" t="str">
            <v/>
          </cell>
          <cell r="AP330" t="str">
            <v/>
          </cell>
          <cell r="AQ330" t="str">
            <v/>
          </cell>
          <cell r="AR330" t="str">
            <v/>
          </cell>
          <cell r="AS330">
            <v>0</v>
          </cell>
          <cell r="AT330" t="str">
            <v/>
          </cell>
          <cell r="AU330" t="str">
            <v/>
          </cell>
          <cell r="AV330" t="str">
            <v/>
          </cell>
          <cell r="AW330" t="str">
            <v/>
          </cell>
          <cell r="AX330" t="str">
            <v/>
          </cell>
          <cell r="AY330" t="str">
            <v/>
          </cell>
          <cell r="AZ330" t="str">
            <v/>
          </cell>
          <cell r="BA330" t="str">
            <v/>
          </cell>
          <cell r="BB330">
            <v>0</v>
          </cell>
          <cell r="BC330" t="str">
            <v/>
          </cell>
          <cell r="BD330" t="str">
            <v/>
          </cell>
          <cell r="BE330" t="str">
            <v/>
          </cell>
          <cell r="BF330" t="str">
            <v/>
          </cell>
          <cell r="BG330" t="str">
            <v/>
          </cell>
          <cell r="BH330">
            <v>0</v>
          </cell>
          <cell r="BI330" t="str">
            <v/>
          </cell>
          <cell r="BJ330" t="str">
            <v/>
          </cell>
          <cell r="BK330">
            <v>0</v>
          </cell>
          <cell r="BL330" t="str">
            <v/>
          </cell>
          <cell r="BM330" t="str">
            <v/>
          </cell>
          <cell r="BN330">
            <v>0</v>
          </cell>
          <cell r="BO330">
            <v>0</v>
          </cell>
          <cell r="BP330">
            <v>0</v>
          </cell>
          <cell r="BQ330">
            <v>0</v>
          </cell>
          <cell r="BR330">
            <v>0</v>
          </cell>
          <cell r="BS330">
            <v>0</v>
          </cell>
          <cell r="BT330" t="str">
            <v/>
          </cell>
          <cell r="BU330" t="str">
            <v/>
          </cell>
          <cell r="BV330" t="str">
            <v/>
          </cell>
          <cell r="BW330" t="str">
            <v/>
          </cell>
          <cell r="BX330" t="str">
            <v/>
          </cell>
          <cell r="BY330" t="str">
            <v/>
          </cell>
          <cell r="BZ330">
            <v>0</v>
          </cell>
          <cell r="CA330">
            <v>0</v>
          </cell>
          <cell r="CB330">
            <v>0</v>
          </cell>
          <cell r="CC330">
            <v>0</v>
          </cell>
          <cell r="CD330">
            <v>0</v>
          </cell>
          <cell r="CE330" t="str">
            <v/>
          </cell>
          <cell r="CF330" t="str">
            <v/>
          </cell>
          <cell r="CG330" t="str">
            <v/>
          </cell>
          <cell r="CH330" t="str">
            <v/>
          </cell>
          <cell r="CI330" t="str">
            <v/>
          </cell>
          <cell r="CJ330">
            <v>0</v>
          </cell>
          <cell r="CK330">
            <v>0</v>
          </cell>
          <cell r="CL330">
            <v>0</v>
          </cell>
          <cell r="CM330">
            <v>0</v>
          </cell>
          <cell r="CN330" t="str">
            <v/>
          </cell>
          <cell r="CO330" t="str">
            <v/>
          </cell>
          <cell r="CP330">
            <v>0</v>
          </cell>
          <cell r="CQ330" t="str">
            <v/>
          </cell>
          <cell r="CR330" t="str">
            <v/>
          </cell>
          <cell r="CS330" t="str">
            <v/>
          </cell>
          <cell r="CT330" t="str">
            <v/>
          </cell>
          <cell r="CU330" t="str">
            <v/>
          </cell>
          <cell r="CV330" t="str">
            <v/>
          </cell>
          <cell r="CW330" t="str">
            <v/>
          </cell>
          <cell r="CX330">
            <v>0</v>
          </cell>
          <cell r="CY330" t="str">
            <v/>
          </cell>
          <cell r="CZ330">
            <v>0</v>
          </cell>
          <cell r="DA330" t="str">
            <v/>
          </cell>
          <cell r="DB330" t="str">
            <v/>
          </cell>
          <cell r="DC330" t="str">
            <v/>
          </cell>
          <cell r="DD330" t="str">
            <v/>
          </cell>
          <cell r="DE330">
            <v>0</v>
          </cell>
          <cell r="DF330" t="str">
            <v/>
          </cell>
          <cell r="DG330" t="str">
            <v/>
          </cell>
          <cell r="DH330" t="str">
            <v/>
          </cell>
          <cell r="DI330">
            <v>0</v>
          </cell>
          <cell r="DJ330">
            <v>0</v>
          </cell>
          <cell r="DK330" t="str">
            <v/>
          </cell>
          <cell r="DL330" t="str">
            <v/>
          </cell>
          <cell r="DM330" t="str">
            <v/>
          </cell>
          <cell r="DN330" t="str">
            <v/>
          </cell>
          <cell r="DO330" t="str">
            <v/>
          </cell>
          <cell r="DP330" t="str">
            <v/>
          </cell>
          <cell r="DQ330" t="str">
            <v/>
          </cell>
          <cell r="DR330" t="str">
            <v/>
          </cell>
          <cell r="DS330" t="str">
            <v/>
          </cell>
          <cell r="DT330">
            <v>0</v>
          </cell>
          <cell r="DU330" t="str">
            <v/>
          </cell>
          <cell r="DV330" t="str">
            <v/>
          </cell>
          <cell r="DW330">
            <v>0</v>
          </cell>
          <cell r="DX330" t="str">
            <v/>
          </cell>
          <cell r="DY330" t="str">
            <v/>
          </cell>
          <cell r="DZ330" t="str">
            <v/>
          </cell>
          <cell r="EA330" t="str">
            <v/>
          </cell>
          <cell r="EB330">
            <v>0</v>
          </cell>
          <cell r="EC330" t="str">
            <v/>
          </cell>
          <cell r="EF330" t="str">
            <v/>
          </cell>
        </row>
        <row r="331">
          <cell r="E331">
            <v>41165.125</v>
          </cell>
          <cell r="F331">
            <v>0</v>
          </cell>
          <cell r="G331">
            <v>0</v>
          </cell>
          <cell r="H331">
            <v>0</v>
          </cell>
          <cell r="I331">
            <v>0</v>
          </cell>
          <cell r="J331" t="str">
            <v/>
          </cell>
          <cell r="K331" t="str">
            <v/>
          </cell>
          <cell r="L331" t="str">
            <v/>
          </cell>
          <cell r="M331" t="str">
            <v/>
          </cell>
          <cell r="N331">
            <v>0</v>
          </cell>
          <cell r="O331" t="str">
            <v/>
          </cell>
          <cell r="P331" t="str">
            <v/>
          </cell>
          <cell r="Q331" t="str">
            <v/>
          </cell>
          <cell r="R331">
            <v>0</v>
          </cell>
          <cell r="S331" t="str">
            <v/>
          </cell>
          <cell r="T331" t="str">
            <v/>
          </cell>
          <cell r="U331" t="str">
            <v/>
          </cell>
          <cell r="V331" t="str">
            <v/>
          </cell>
          <cell r="W331" t="str">
            <v/>
          </cell>
          <cell r="X331">
            <v>0</v>
          </cell>
          <cell r="Y331" t="str">
            <v/>
          </cell>
          <cell r="Z331" t="str">
            <v/>
          </cell>
          <cell r="AA331" t="str">
            <v/>
          </cell>
          <cell r="AB331" t="str">
            <v/>
          </cell>
          <cell r="AC331" t="str">
            <v/>
          </cell>
          <cell r="AD331" t="str">
            <v/>
          </cell>
          <cell r="AE331">
            <v>0</v>
          </cell>
          <cell r="AF331" t="str">
            <v/>
          </cell>
          <cell r="AG331" t="str">
            <v/>
          </cell>
          <cell r="AH331">
            <v>0</v>
          </cell>
          <cell r="AI331" t="str">
            <v/>
          </cell>
          <cell r="AJ331" t="str">
            <v/>
          </cell>
          <cell r="AK331" t="str">
            <v/>
          </cell>
          <cell r="AL331" t="str">
            <v/>
          </cell>
          <cell r="AM331">
            <v>0</v>
          </cell>
          <cell r="AN331" t="str">
            <v/>
          </cell>
          <cell r="AO331" t="str">
            <v/>
          </cell>
          <cell r="AP331" t="str">
            <v/>
          </cell>
          <cell r="AQ331" t="str">
            <v/>
          </cell>
          <cell r="AR331" t="str">
            <v/>
          </cell>
          <cell r="AS331">
            <v>0</v>
          </cell>
          <cell r="AT331" t="str">
            <v/>
          </cell>
          <cell r="AU331" t="str">
            <v/>
          </cell>
          <cell r="AV331" t="str">
            <v/>
          </cell>
          <cell r="AW331" t="str">
            <v/>
          </cell>
          <cell r="AX331" t="str">
            <v/>
          </cell>
          <cell r="AY331" t="str">
            <v/>
          </cell>
          <cell r="AZ331" t="str">
            <v/>
          </cell>
          <cell r="BA331" t="str">
            <v/>
          </cell>
          <cell r="BB331">
            <v>0</v>
          </cell>
          <cell r="BC331" t="str">
            <v/>
          </cell>
          <cell r="BD331" t="str">
            <v/>
          </cell>
          <cell r="BE331" t="str">
            <v/>
          </cell>
          <cell r="BF331" t="str">
            <v/>
          </cell>
          <cell r="BG331" t="str">
            <v/>
          </cell>
          <cell r="BH331">
            <v>0</v>
          </cell>
          <cell r="BI331" t="str">
            <v/>
          </cell>
          <cell r="BJ331" t="str">
            <v/>
          </cell>
          <cell r="BK331">
            <v>0</v>
          </cell>
          <cell r="BL331" t="str">
            <v/>
          </cell>
          <cell r="BM331" t="str">
            <v/>
          </cell>
          <cell r="BN331">
            <v>0</v>
          </cell>
          <cell r="BO331">
            <v>0</v>
          </cell>
          <cell r="BP331">
            <v>0</v>
          </cell>
          <cell r="BQ331">
            <v>0</v>
          </cell>
          <cell r="BR331">
            <v>0</v>
          </cell>
          <cell r="BS331">
            <v>0</v>
          </cell>
          <cell r="BT331" t="str">
            <v/>
          </cell>
          <cell r="BU331" t="str">
            <v/>
          </cell>
          <cell r="BV331" t="str">
            <v/>
          </cell>
          <cell r="BW331" t="str">
            <v/>
          </cell>
          <cell r="BX331" t="str">
            <v/>
          </cell>
          <cell r="BY331" t="str">
            <v/>
          </cell>
          <cell r="BZ331">
            <v>0</v>
          </cell>
          <cell r="CA331">
            <v>0</v>
          </cell>
          <cell r="CB331">
            <v>0</v>
          </cell>
          <cell r="CC331">
            <v>0</v>
          </cell>
          <cell r="CD331">
            <v>0</v>
          </cell>
          <cell r="CE331" t="str">
            <v/>
          </cell>
          <cell r="CF331" t="str">
            <v/>
          </cell>
          <cell r="CG331" t="str">
            <v/>
          </cell>
          <cell r="CH331" t="str">
            <v/>
          </cell>
          <cell r="CI331" t="str">
            <v/>
          </cell>
          <cell r="CJ331">
            <v>0</v>
          </cell>
          <cell r="CK331">
            <v>0</v>
          </cell>
          <cell r="CL331">
            <v>0</v>
          </cell>
          <cell r="CM331">
            <v>0</v>
          </cell>
          <cell r="CN331" t="str">
            <v/>
          </cell>
          <cell r="CO331" t="str">
            <v/>
          </cell>
          <cell r="CP331">
            <v>0</v>
          </cell>
          <cell r="CQ331" t="str">
            <v/>
          </cell>
          <cell r="CR331" t="str">
            <v/>
          </cell>
          <cell r="CS331" t="str">
            <v/>
          </cell>
          <cell r="CT331" t="str">
            <v/>
          </cell>
          <cell r="CU331" t="str">
            <v/>
          </cell>
          <cell r="CV331" t="str">
            <v/>
          </cell>
          <cell r="CW331" t="str">
            <v/>
          </cell>
          <cell r="CX331">
            <v>0</v>
          </cell>
          <cell r="CY331" t="str">
            <v/>
          </cell>
          <cell r="CZ331">
            <v>0</v>
          </cell>
          <cell r="DA331" t="str">
            <v/>
          </cell>
          <cell r="DB331" t="str">
            <v/>
          </cell>
          <cell r="DC331" t="str">
            <v/>
          </cell>
          <cell r="DD331" t="str">
            <v/>
          </cell>
          <cell r="DE331">
            <v>0</v>
          </cell>
          <cell r="DF331" t="str">
            <v/>
          </cell>
          <cell r="DG331" t="str">
            <v/>
          </cell>
          <cell r="DH331" t="str">
            <v/>
          </cell>
          <cell r="DI331">
            <v>0</v>
          </cell>
          <cell r="DJ331">
            <v>0</v>
          </cell>
          <cell r="DK331" t="str">
            <v/>
          </cell>
          <cell r="DL331" t="str">
            <v/>
          </cell>
          <cell r="DM331" t="str">
            <v/>
          </cell>
          <cell r="DN331" t="str">
            <v/>
          </cell>
          <cell r="DO331" t="str">
            <v/>
          </cell>
          <cell r="DP331" t="str">
            <v/>
          </cell>
          <cell r="DQ331" t="str">
            <v/>
          </cell>
          <cell r="DR331" t="str">
            <v/>
          </cell>
          <cell r="DS331" t="str">
            <v/>
          </cell>
          <cell r="DT331">
            <v>0</v>
          </cell>
          <cell r="DU331" t="str">
            <v/>
          </cell>
          <cell r="DV331" t="str">
            <v/>
          </cell>
          <cell r="DW331">
            <v>0</v>
          </cell>
          <cell r="DX331" t="str">
            <v/>
          </cell>
          <cell r="DY331" t="str">
            <v/>
          </cell>
          <cell r="DZ331" t="str">
            <v/>
          </cell>
          <cell r="EA331" t="str">
            <v/>
          </cell>
          <cell r="EB331">
            <v>0</v>
          </cell>
          <cell r="EC331" t="str">
            <v/>
          </cell>
          <cell r="EF331" t="str">
            <v/>
          </cell>
        </row>
        <row r="332">
          <cell r="E332">
            <v>41256.4375</v>
          </cell>
          <cell r="F332">
            <v>0</v>
          </cell>
          <cell r="G332">
            <v>0</v>
          </cell>
          <cell r="H332">
            <v>0</v>
          </cell>
          <cell r="I332">
            <v>0</v>
          </cell>
          <cell r="J332" t="str">
            <v/>
          </cell>
          <cell r="K332" t="str">
            <v/>
          </cell>
          <cell r="L332" t="str">
            <v/>
          </cell>
          <cell r="M332" t="str">
            <v/>
          </cell>
          <cell r="N332">
            <v>0</v>
          </cell>
          <cell r="O332" t="str">
            <v/>
          </cell>
          <cell r="P332" t="str">
            <v/>
          </cell>
          <cell r="Q332" t="str">
            <v/>
          </cell>
          <cell r="R332">
            <v>0</v>
          </cell>
          <cell r="S332" t="str">
            <v/>
          </cell>
          <cell r="T332" t="str">
            <v/>
          </cell>
          <cell r="U332" t="str">
            <v/>
          </cell>
          <cell r="V332" t="str">
            <v/>
          </cell>
          <cell r="W332" t="str">
            <v/>
          </cell>
          <cell r="X332">
            <v>0</v>
          </cell>
          <cell r="Y332" t="str">
            <v/>
          </cell>
          <cell r="Z332" t="str">
            <v/>
          </cell>
          <cell r="AA332" t="str">
            <v/>
          </cell>
          <cell r="AB332" t="str">
            <v/>
          </cell>
          <cell r="AC332" t="str">
            <v/>
          </cell>
          <cell r="AD332" t="str">
            <v/>
          </cell>
          <cell r="AE332">
            <v>0</v>
          </cell>
          <cell r="AF332" t="str">
            <v/>
          </cell>
          <cell r="AG332" t="str">
            <v/>
          </cell>
          <cell r="AH332">
            <v>0</v>
          </cell>
          <cell r="AI332" t="str">
            <v/>
          </cell>
          <cell r="AJ332" t="str">
            <v/>
          </cell>
          <cell r="AK332" t="str">
            <v/>
          </cell>
          <cell r="AL332" t="str">
            <v/>
          </cell>
          <cell r="AM332">
            <v>0</v>
          </cell>
          <cell r="AN332" t="str">
            <v/>
          </cell>
          <cell r="AO332" t="str">
            <v/>
          </cell>
          <cell r="AP332" t="str">
            <v/>
          </cell>
          <cell r="AQ332" t="str">
            <v/>
          </cell>
          <cell r="AR332" t="str">
            <v/>
          </cell>
          <cell r="AS332">
            <v>0</v>
          </cell>
          <cell r="AT332" t="str">
            <v/>
          </cell>
          <cell r="AU332" t="str">
            <v/>
          </cell>
          <cell r="AV332" t="str">
            <v/>
          </cell>
          <cell r="AW332" t="str">
            <v/>
          </cell>
          <cell r="AX332" t="str">
            <v/>
          </cell>
          <cell r="AY332" t="str">
            <v/>
          </cell>
          <cell r="AZ332" t="str">
            <v/>
          </cell>
          <cell r="BA332" t="str">
            <v/>
          </cell>
          <cell r="BB332">
            <v>0</v>
          </cell>
          <cell r="BC332" t="str">
            <v/>
          </cell>
          <cell r="BD332" t="str">
            <v/>
          </cell>
          <cell r="BE332" t="str">
            <v/>
          </cell>
          <cell r="BF332" t="str">
            <v/>
          </cell>
          <cell r="BG332" t="str">
            <v/>
          </cell>
          <cell r="BH332">
            <v>0</v>
          </cell>
          <cell r="BI332" t="str">
            <v/>
          </cell>
          <cell r="BJ332" t="str">
            <v/>
          </cell>
          <cell r="BK332">
            <v>0</v>
          </cell>
          <cell r="BL332" t="str">
            <v/>
          </cell>
          <cell r="BM332" t="str">
            <v/>
          </cell>
          <cell r="BN332">
            <v>0</v>
          </cell>
          <cell r="BO332">
            <v>0</v>
          </cell>
          <cell r="BP332">
            <v>0</v>
          </cell>
          <cell r="BQ332">
            <v>0</v>
          </cell>
          <cell r="BR332">
            <v>0</v>
          </cell>
          <cell r="BS332">
            <v>0</v>
          </cell>
          <cell r="BT332" t="str">
            <v/>
          </cell>
          <cell r="BU332" t="str">
            <v/>
          </cell>
          <cell r="BV332" t="str">
            <v/>
          </cell>
          <cell r="BW332" t="str">
            <v/>
          </cell>
          <cell r="BX332" t="str">
            <v/>
          </cell>
          <cell r="BY332" t="str">
            <v/>
          </cell>
          <cell r="BZ332">
            <v>0</v>
          </cell>
          <cell r="CA332">
            <v>0</v>
          </cell>
          <cell r="CB332">
            <v>0</v>
          </cell>
          <cell r="CC332">
            <v>0</v>
          </cell>
          <cell r="CD332">
            <v>0</v>
          </cell>
          <cell r="CE332" t="str">
            <v/>
          </cell>
          <cell r="CF332" t="str">
            <v/>
          </cell>
          <cell r="CG332" t="str">
            <v/>
          </cell>
          <cell r="CH332" t="str">
            <v/>
          </cell>
          <cell r="CI332" t="str">
            <v/>
          </cell>
          <cell r="CJ332">
            <v>0</v>
          </cell>
          <cell r="CK332">
            <v>0</v>
          </cell>
          <cell r="CL332">
            <v>0</v>
          </cell>
          <cell r="CM332">
            <v>0</v>
          </cell>
          <cell r="CN332" t="str">
            <v/>
          </cell>
          <cell r="CO332" t="str">
            <v/>
          </cell>
          <cell r="CP332">
            <v>0</v>
          </cell>
          <cell r="CQ332" t="str">
            <v/>
          </cell>
          <cell r="CR332" t="str">
            <v/>
          </cell>
          <cell r="CS332" t="str">
            <v/>
          </cell>
          <cell r="CT332" t="str">
            <v/>
          </cell>
          <cell r="CU332" t="str">
            <v/>
          </cell>
          <cell r="CV332" t="str">
            <v/>
          </cell>
          <cell r="CW332" t="str">
            <v/>
          </cell>
          <cell r="CX332">
            <v>0</v>
          </cell>
          <cell r="CY332" t="str">
            <v/>
          </cell>
          <cell r="CZ332">
            <v>0</v>
          </cell>
          <cell r="DA332" t="str">
            <v/>
          </cell>
          <cell r="DB332" t="str">
            <v/>
          </cell>
          <cell r="DC332" t="str">
            <v/>
          </cell>
          <cell r="DD332" t="str">
            <v/>
          </cell>
          <cell r="DE332">
            <v>0</v>
          </cell>
          <cell r="DF332" t="str">
            <v/>
          </cell>
          <cell r="DG332" t="str">
            <v/>
          </cell>
          <cell r="DH332" t="str">
            <v/>
          </cell>
          <cell r="DI332">
            <v>0</v>
          </cell>
          <cell r="DJ332">
            <v>0</v>
          </cell>
          <cell r="DK332" t="str">
            <v/>
          </cell>
          <cell r="DL332" t="str">
            <v/>
          </cell>
          <cell r="DM332" t="str">
            <v/>
          </cell>
          <cell r="DN332" t="str">
            <v/>
          </cell>
          <cell r="DO332" t="str">
            <v/>
          </cell>
          <cell r="DP332" t="str">
            <v/>
          </cell>
          <cell r="DQ332" t="str">
            <v/>
          </cell>
          <cell r="DR332" t="str">
            <v/>
          </cell>
          <cell r="DS332" t="str">
            <v/>
          </cell>
          <cell r="DT332">
            <v>0</v>
          </cell>
          <cell r="DU332" t="str">
            <v/>
          </cell>
          <cell r="DV332" t="str">
            <v/>
          </cell>
          <cell r="DW332">
            <v>0</v>
          </cell>
          <cell r="DX332" t="str">
            <v/>
          </cell>
          <cell r="DY332" t="str">
            <v/>
          </cell>
          <cell r="DZ332" t="str">
            <v/>
          </cell>
          <cell r="EA332" t="str">
            <v/>
          </cell>
          <cell r="EB332">
            <v>0</v>
          </cell>
          <cell r="EC332" t="str">
            <v/>
          </cell>
          <cell r="EF332" t="str">
            <v/>
          </cell>
        </row>
        <row r="333">
          <cell r="E333">
            <v>41347.75</v>
          </cell>
          <cell r="F333">
            <v>0</v>
          </cell>
          <cell r="G333">
            <v>0</v>
          </cell>
          <cell r="H333">
            <v>0</v>
          </cell>
          <cell r="I333">
            <v>0</v>
          </cell>
          <cell r="J333" t="str">
            <v/>
          </cell>
          <cell r="K333" t="str">
            <v/>
          </cell>
          <cell r="L333" t="str">
            <v/>
          </cell>
          <cell r="M333" t="str">
            <v/>
          </cell>
          <cell r="N333">
            <v>0</v>
          </cell>
          <cell r="O333" t="str">
            <v/>
          </cell>
          <cell r="P333" t="str">
            <v/>
          </cell>
          <cell r="Q333" t="str">
            <v/>
          </cell>
          <cell r="R333">
            <v>0</v>
          </cell>
          <cell r="S333" t="str">
            <v/>
          </cell>
          <cell r="T333" t="str">
            <v/>
          </cell>
          <cell r="U333" t="str">
            <v/>
          </cell>
          <cell r="V333" t="str">
            <v/>
          </cell>
          <cell r="W333" t="str">
            <v/>
          </cell>
          <cell r="X333">
            <v>0</v>
          </cell>
          <cell r="Y333" t="str">
            <v/>
          </cell>
          <cell r="Z333" t="str">
            <v/>
          </cell>
          <cell r="AA333" t="str">
            <v/>
          </cell>
          <cell r="AB333" t="str">
            <v/>
          </cell>
          <cell r="AC333" t="str">
            <v/>
          </cell>
          <cell r="AD333" t="str">
            <v/>
          </cell>
          <cell r="AE333">
            <v>0</v>
          </cell>
          <cell r="AF333" t="str">
            <v/>
          </cell>
          <cell r="AG333" t="str">
            <v/>
          </cell>
          <cell r="AH333">
            <v>0</v>
          </cell>
          <cell r="AI333" t="str">
            <v/>
          </cell>
          <cell r="AJ333" t="str">
            <v/>
          </cell>
          <cell r="AK333" t="str">
            <v/>
          </cell>
          <cell r="AL333" t="str">
            <v/>
          </cell>
          <cell r="AM333">
            <v>0</v>
          </cell>
          <cell r="AN333" t="str">
            <v/>
          </cell>
          <cell r="AO333" t="str">
            <v/>
          </cell>
          <cell r="AP333" t="str">
            <v/>
          </cell>
          <cell r="AQ333" t="str">
            <v/>
          </cell>
          <cell r="AR333" t="str">
            <v/>
          </cell>
          <cell r="AS333">
            <v>0</v>
          </cell>
          <cell r="AT333" t="str">
            <v/>
          </cell>
          <cell r="AU333" t="str">
            <v/>
          </cell>
          <cell r="AV333" t="str">
            <v/>
          </cell>
          <cell r="AW333" t="str">
            <v/>
          </cell>
          <cell r="AX333" t="str">
            <v/>
          </cell>
          <cell r="AY333" t="str">
            <v/>
          </cell>
          <cell r="AZ333" t="str">
            <v/>
          </cell>
          <cell r="BA333" t="str">
            <v/>
          </cell>
          <cell r="BB333">
            <v>0</v>
          </cell>
          <cell r="BC333" t="str">
            <v/>
          </cell>
          <cell r="BD333" t="str">
            <v/>
          </cell>
          <cell r="BE333" t="str">
            <v/>
          </cell>
          <cell r="BF333" t="str">
            <v/>
          </cell>
          <cell r="BG333" t="str">
            <v/>
          </cell>
          <cell r="BH333">
            <v>0</v>
          </cell>
          <cell r="BI333" t="str">
            <v/>
          </cell>
          <cell r="BJ333" t="str">
            <v/>
          </cell>
          <cell r="BK333">
            <v>0</v>
          </cell>
          <cell r="BL333" t="str">
            <v/>
          </cell>
          <cell r="BM333" t="str">
            <v/>
          </cell>
          <cell r="BN333">
            <v>0</v>
          </cell>
          <cell r="BO333">
            <v>0</v>
          </cell>
          <cell r="BP333">
            <v>0</v>
          </cell>
          <cell r="BQ333">
            <v>0</v>
          </cell>
          <cell r="BR333">
            <v>0</v>
          </cell>
          <cell r="BS333">
            <v>0</v>
          </cell>
          <cell r="BT333" t="str">
            <v/>
          </cell>
          <cell r="BU333" t="str">
            <v/>
          </cell>
          <cell r="BV333" t="str">
            <v/>
          </cell>
          <cell r="BW333" t="str">
            <v/>
          </cell>
          <cell r="BX333" t="str">
            <v/>
          </cell>
          <cell r="BY333" t="str">
            <v/>
          </cell>
          <cell r="BZ333">
            <v>0</v>
          </cell>
          <cell r="CA333">
            <v>0</v>
          </cell>
          <cell r="CB333">
            <v>0</v>
          </cell>
          <cell r="CC333">
            <v>0</v>
          </cell>
          <cell r="CD333">
            <v>0</v>
          </cell>
          <cell r="CE333" t="str">
            <v/>
          </cell>
          <cell r="CF333" t="str">
            <v/>
          </cell>
          <cell r="CG333" t="str">
            <v/>
          </cell>
          <cell r="CH333" t="str">
            <v/>
          </cell>
          <cell r="CI333" t="str">
            <v/>
          </cell>
          <cell r="CJ333">
            <v>0</v>
          </cell>
          <cell r="CK333">
            <v>0</v>
          </cell>
          <cell r="CL333">
            <v>0</v>
          </cell>
          <cell r="CM333">
            <v>0</v>
          </cell>
          <cell r="CN333" t="str">
            <v/>
          </cell>
          <cell r="CO333" t="str">
            <v/>
          </cell>
          <cell r="CP333">
            <v>0</v>
          </cell>
          <cell r="CQ333" t="str">
            <v/>
          </cell>
          <cell r="CR333" t="str">
            <v/>
          </cell>
          <cell r="CS333" t="str">
            <v/>
          </cell>
          <cell r="CT333" t="str">
            <v/>
          </cell>
          <cell r="CU333" t="str">
            <v/>
          </cell>
          <cell r="CV333" t="str">
            <v/>
          </cell>
          <cell r="CW333" t="str">
            <v/>
          </cell>
          <cell r="CX333">
            <v>0</v>
          </cell>
          <cell r="CY333" t="str">
            <v/>
          </cell>
          <cell r="CZ333">
            <v>0</v>
          </cell>
          <cell r="DA333" t="str">
            <v/>
          </cell>
          <cell r="DB333" t="str">
            <v/>
          </cell>
          <cell r="DC333" t="str">
            <v/>
          </cell>
          <cell r="DD333" t="str">
            <v/>
          </cell>
          <cell r="DE333">
            <v>0</v>
          </cell>
          <cell r="DF333" t="str">
            <v/>
          </cell>
          <cell r="DG333" t="str">
            <v/>
          </cell>
          <cell r="DH333" t="str">
            <v/>
          </cell>
          <cell r="DI333">
            <v>0</v>
          </cell>
          <cell r="DJ333">
            <v>0</v>
          </cell>
          <cell r="DK333" t="str">
            <v/>
          </cell>
          <cell r="DL333" t="str">
            <v/>
          </cell>
          <cell r="DM333" t="str">
            <v/>
          </cell>
          <cell r="DN333" t="str">
            <v/>
          </cell>
          <cell r="DO333" t="str">
            <v/>
          </cell>
          <cell r="DP333" t="str">
            <v/>
          </cell>
          <cell r="DQ333" t="str">
            <v/>
          </cell>
          <cell r="DR333" t="str">
            <v/>
          </cell>
          <cell r="DS333" t="str">
            <v/>
          </cell>
          <cell r="DT333">
            <v>0</v>
          </cell>
          <cell r="DU333" t="str">
            <v/>
          </cell>
          <cell r="DV333" t="str">
            <v/>
          </cell>
          <cell r="DW333">
            <v>0</v>
          </cell>
          <cell r="DX333" t="str">
            <v/>
          </cell>
          <cell r="DY333" t="str">
            <v/>
          </cell>
          <cell r="DZ333" t="str">
            <v/>
          </cell>
          <cell r="EA333" t="str">
            <v/>
          </cell>
          <cell r="EB333">
            <v>0</v>
          </cell>
          <cell r="EC333" t="str">
            <v/>
          </cell>
          <cell r="EF333" t="str">
            <v/>
          </cell>
        </row>
        <row r="334">
          <cell r="E334">
            <v>41439.0625</v>
          </cell>
          <cell r="F334">
            <v>0</v>
          </cell>
          <cell r="G334">
            <v>0</v>
          </cell>
          <cell r="H334">
            <v>0</v>
          </cell>
          <cell r="I334">
            <v>0</v>
          </cell>
          <cell r="J334" t="str">
            <v/>
          </cell>
          <cell r="K334" t="str">
            <v/>
          </cell>
          <cell r="L334" t="str">
            <v/>
          </cell>
          <cell r="M334" t="str">
            <v/>
          </cell>
          <cell r="N334">
            <v>0</v>
          </cell>
          <cell r="O334" t="str">
            <v/>
          </cell>
          <cell r="P334" t="str">
            <v/>
          </cell>
          <cell r="Q334" t="str">
            <v/>
          </cell>
          <cell r="R334">
            <v>0</v>
          </cell>
          <cell r="S334" t="str">
            <v/>
          </cell>
          <cell r="T334" t="str">
            <v/>
          </cell>
          <cell r="U334" t="str">
            <v/>
          </cell>
          <cell r="V334" t="str">
            <v/>
          </cell>
          <cell r="W334" t="str">
            <v/>
          </cell>
          <cell r="X334">
            <v>0</v>
          </cell>
          <cell r="Y334" t="str">
            <v/>
          </cell>
          <cell r="Z334" t="str">
            <v/>
          </cell>
          <cell r="AA334" t="str">
            <v/>
          </cell>
          <cell r="AB334" t="str">
            <v/>
          </cell>
          <cell r="AC334" t="str">
            <v/>
          </cell>
          <cell r="AD334" t="str">
            <v/>
          </cell>
          <cell r="AE334">
            <v>0</v>
          </cell>
          <cell r="AF334" t="str">
            <v/>
          </cell>
          <cell r="AG334" t="str">
            <v/>
          </cell>
          <cell r="AH334">
            <v>0</v>
          </cell>
          <cell r="AI334" t="str">
            <v/>
          </cell>
          <cell r="AJ334" t="str">
            <v/>
          </cell>
          <cell r="AK334" t="str">
            <v/>
          </cell>
          <cell r="AL334" t="str">
            <v/>
          </cell>
          <cell r="AM334">
            <v>0</v>
          </cell>
          <cell r="AN334" t="str">
            <v/>
          </cell>
          <cell r="AO334" t="str">
            <v/>
          </cell>
          <cell r="AP334" t="str">
            <v/>
          </cell>
          <cell r="AQ334" t="str">
            <v/>
          </cell>
          <cell r="AR334" t="str">
            <v/>
          </cell>
          <cell r="AS334">
            <v>0</v>
          </cell>
          <cell r="AT334" t="str">
            <v/>
          </cell>
          <cell r="AU334" t="str">
            <v/>
          </cell>
          <cell r="AV334" t="str">
            <v/>
          </cell>
          <cell r="AW334" t="str">
            <v/>
          </cell>
          <cell r="AX334" t="str">
            <v/>
          </cell>
          <cell r="AY334" t="str">
            <v/>
          </cell>
          <cell r="AZ334" t="str">
            <v/>
          </cell>
          <cell r="BA334" t="str">
            <v/>
          </cell>
          <cell r="BB334">
            <v>0</v>
          </cell>
          <cell r="BC334" t="str">
            <v/>
          </cell>
          <cell r="BD334" t="str">
            <v/>
          </cell>
          <cell r="BE334" t="str">
            <v/>
          </cell>
          <cell r="BF334" t="str">
            <v/>
          </cell>
          <cell r="BG334" t="str">
            <v/>
          </cell>
          <cell r="BH334">
            <v>0</v>
          </cell>
          <cell r="BI334" t="str">
            <v/>
          </cell>
          <cell r="BJ334" t="str">
            <v/>
          </cell>
          <cell r="BK334">
            <v>0</v>
          </cell>
          <cell r="BL334" t="str">
            <v/>
          </cell>
          <cell r="BM334" t="str">
            <v/>
          </cell>
          <cell r="BN334">
            <v>0</v>
          </cell>
          <cell r="BO334">
            <v>0</v>
          </cell>
          <cell r="BP334">
            <v>0</v>
          </cell>
          <cell r="BQ334">
            <v>0</v>
          </cell>
          <cell r="BR334">
            <v>0</v>
          </cell>
          <cell r="BS334">
            <v>0</v>
          </cell>
          <cell r="BT334" t="str">
            <v/>
          </cell>
          <cell r="BU334" t="str">
            <v/>
          </cell>
          <cell r="BV334" t="str">
            <v/>
          </cell>
          <cell r="BW334" t="str">
            <v/>
          </cell>
          <cell r="BX334" t="str">
            <v/>
          </cell>
          <cell r="BY334" t="str">
            <v/>
          </cell>
          <cell r="BZ334">
            <v>0</v>
          </cell>
          <cell r="CA334">
            <v>0</v>
          </cell>
          <cell r="CB334">
            <v>0</v>
          </cell>
          <cell r="CC334">
            <v>0</v>
          </cell>
          <cell r="CD334">
            <v>0</v>
          </cell>
          <cell r="CE334" t="str">
            <v/>
          </cell>
          <cell r="CF334" t="str">
            <v/>
          </cell>
          <cell r="CG334" t="str">
            <v/>
          </cell>
          <cell r="CH334" t="str">
            <v/>
          </cell>
          <cell r="CI334" t="str">
            <v/>
          </cell>
          <cell r="CJ334">
            <v>0</v>
          </cell>
          <cell r="CK334">
            <v>0</v>
          </cell>
          <cell r="CL334">
            <v>0</v>
          </cell>
          <cell r="CM334">
            <v>0</v>
          </cell>
          <cell r="CN334" t="str">
            <v/>
          </cell>
          <cell r="CO334" t="str">
            <v/>
          </cell>
          <cell r="CP334">
            <v>0</v>
          </cell>
          <cell r="CQ334" t="str">
            <v/>
          </cell>
          <cell r="CR334" t="str">
            <v/>
          </cell>
          <cell r="CS334" t="str">
            <v/>
          </cell>
          <cell r="CT334" t="str">
            <v/>
          </cell>
          <cell r="CU334" t="str">
            <v/>
          </cell>
          <cell r="CV334" t="str">
            <v/>
          </cell>
          <cell r="CW334" t="str">
            <v/>
          </cell>
          <cell r="CX334">
            <v>0</v>
          </cell>
          <cell r="CY334" t="str">
            <v/>
          </cell>
          <cell r="CZ334">
            <v>0</v>
          </cell>
          <cell r="DA334" t="str">
            <v/>
          </cell>
          <cell r="DB334" t="str">
            <v/>
          </cell>
          <cell r="DC334" t="str">
            <v/>
          </cell>
          <cell r="DD334" t="str">
            <v/>
          </cell>
          <cell r="DE334">
            <v>0</v>
          </cell>
          <cell r="DF334" t="str">
            <v/>
          </cell>
          <cell r="DG334" t="str">
            <v/>
          </cell>
          <cell r="DH334" t="str">
            <v/>
          </cell>
          <cell r="DI334">
            <v>0</v>
          </cell>
          <cell r="DJ334">
            <v>0</v>
          </cell>
          <cell r="DK334" t="str">
            <v/>
          </cell>
          <cell r="DL334" t="str">
            <v/>
          </cell>
          <cell r="DM334" t="str">
            <v/>
          </cell>
          <cell r="DN334" t="str">
            <v/>
          </cell>
          <cell r="DO334" t="str">
            <v/>
          </cell>
          <cell r="DP334" t="str">
            <v/>
          </cell>
          <cell r="DQ334" t="str">
            <v/>
          </cell>
          <cell r="DR334" t="str">
            <v/>
          </cell>
          <cell r="DS334" t="str">
            <v/>
          </cell>
          <cell r="DT334">
            <v>0</v>
          </cell>
          <cell r="DU334" t="str">
            <v/>
          </cell>
          <cell r="DV334" t="str">
            <v/>
          </cell>
          <cell r="DW334">
            <v>0</v>
          </cell>
          <cell r="DX334" t="str">
            <v/>
          </cell>
          <cell r="DY334" t="str">
            <v/>
          </cell>
          <cell r="DZ334" t="str">
            <v/>
          </cell>
          <cell r="EA334" t="str">
            <v/>
          </cell>
          <cell r="EB334">
            <v>0</v>
          </cell>
          <cell r="EC334" t="str">
            <v/>
          </cell>
          <cell r="EF334" t="str">
            <v/>
          </cell>
        </row>
        <row r="335">
          <cell r="E335">
            <v>41530.375</v>
          </cell>
          <cell r="F335">
            <v>0</v>
          </cell>
          <cell r="G335">
            <v>0</v>
          </cell>
          <cell r="H335">
            <v>0</v>
          </cell>
          <cell r="I335">
            <v>0</v>
          </cell>
          <cell r="J335" t="str">
            <v/>
          </cell>
          <cell r="K335" t="str">
            <v/>
          </cell>
          <cell r="L335" t="str">
            <v/>
          </cell>
          <cell r="M335" t="str">
            <v/>
          </cell>
          <cell r="N335">
            <v>0</v>
          </cell>
          <cell r="O335" t="str">
            <v/>
          </cell>
          <cell r="P335" t="str">
            <v/>
          </cell>
          <cell r="Q335" t="str">
            <v/>
          </cell>
          <cell r="R335">
            <v>0</v>
          </cell>
          <cell r="S335" t="str">
            <v/>
          </cell>
          <cell r="T335" t="str">
            <v/>
          </cell>
          <cell r="U335" t="str">
            <v/>
          </cell>
          <cell r="V335" t="str">
            <v/>
          </cell>
          <cell r="W335" t="str">
            <v/>
          </cell>
          <cell r="X335">
            <v>0</v>
          </cell>
          <cell r="Y335" t="str">
            <v/>
          </cell>
          <cell r="Z335" t="str">
            <v/>
          </cell>
          <cell r="AA335" t="str">
            <v/>
          </cell>
          <cell r="AB335" t="str">
            <v/>
          </cell>
          <cell r="AC335" t="str">
            <v/>
          </cell>
          <cell r="AD335" t="str">
            <v/>
          </cell>
          <cell r="AE335">
            <v>0</v>
          </cell>
          <cell r="AF335" t="str">
            <v/>
          </cell>
          <cell r="AG335" t="str">
            <v/>
          </cell>
          <cell r="AH335">
            <v>0</v>
          </cell>
          <cell r="AI335" t="str">
            <v/>
          </cell>
          <cell r="AJ335" t="str">
            <v/>
          </cell>
          <cell r="AK335" t="str">
            <v/>
          </cell>
          <cell r="AL335" t="str">
            <v/>
          </cell>
          <cell r="AM335">
            <v>0</v>
          </cell>
          <cell r="AN335" t="str">
            <v/>
          </cell>
          <cell r="AO335" t="str">
            <v/>
          </cell>
          <cell r="AP335" t="str">
            <v/>
          </cell>
          <cell r="AQ335" t="str">
            <v/>
          </cell>
          <cell r="AR335" t="str">
            <v/>
          </cell>
          <cell r="AS335">
            <v>0</v>
          </cell>
          <cell r="AT335" t="str">
            <v/>
          </cell>
          <cell r="AU335" t="str">
            <v/>
          </cell>
          <cell r="AV335" t="str">
            <v/>
          </cell>
          <cell r="AW335" t="str">
            <v/>
          </cell>
          <cell r="AX335" t="str">
            <v/>
          </cell>
          <cell r="AY335" t="str">
            <v/>
          </cell>
          <cell r="AZ335" t="str">
            <v/>
          </cell>
          <cell r="BA335" t="str">
            <v/>
          </cell>
          <cell r="BB335">
            <v>0</v>
          </cell>
          <cell r="BC335" t="str">
            <v/>
          </cell>
          <cell r="BD335" t="str">
            <v/>
          </cell>
          <cell r="BE335" t="str">
            <v/>
          </cell>
          <cell r="BF335" t="str">
            <v/>
          </cell>
          <cell r="BG335" t="str">
            <v/>
          </cell>
          <cell r="BH335">
            <v>0</v>
          </cell>
          <cell r="BI335" t="str">
            <v/>
          </cell>
          <cell r="BJ335" t="str">
            <v/>
          </cell>
          <cell r="BK335">
            <v>0</v>
          </cell>
          <cell r="BL335" t="str">
            <v/>
          </cell>
          <cell r="BM335" t="str">
            <v/>
          </cell>
          <cell r="BN335">
            <v>0</v>
          </cell>
          <cell r="BO335">
            <v>0</v>
          </cell>
          <cell r="BP335">
            <v>0</v>
          </cell>
          <cell r="BQ335">
            <v>0</v>
          </cell>
          <cell r="BR335">
            <v>0</v>
          </cell>
          <cell r="BS335">
            <v>0</v>
          </cell>
          <cell r="BT335" t="str">
            <v/>
          </cell>
          <cell r="BU335" t="str">
            <v/>
          </cell>
          <cell r="BV335" t="str">
            <v/>
          </cell>
          <cell r="BW335" t="str">
            <v/>
          </cell>
          <cell r="BX335" t="str">
            <v/>
          </cell>
          <cell r="BY335" t="str">
            <v/>
          </cell>
          <cell r="BZ335">
            <v>0</v>
          </cell>
          <cell r="CA335">
            <v>0</v>
          </cell>
          <cell r="CB335">
            <v>0</v>
          </cell>
          <cell r="CC335">
            <v>0</v>
          </cell>
          <cell r="CD335">
            <v>0</v>
          </cell>
          <cell r="CE335" t="str">
            <v/>
          </cell>
          <cell r="CF335" t="str">
            <v/>
          </cell>
          <cell r="CG335" t="str">
            <v/>
          </cell>
          <cell r="CH335" t="str">
            <v/>
          </cell>
          <cell r="CI335" t="str">
            <v/>
          </cell>
          <cell r="CJ335">
            <v>0</v>
          </cell>
          <cell r="CK335">
            <v>0</v>
          </cell>
          <cell r="CL335">
            <v>0</v>
          </cell>
          <cell r="CM335">
            <v>0</v>
          </cell>
          <cell r="CN335" t="str">
            <v/>
          </cell>
          <cell r="CO335" t="str">
            <v/>
          </cell>
          <cell r="CP335">
            <v>0</v>
          </cell>
          <cell r="CQ335" t="str">
            <v/>
          </cell>
          <cell r="CR335" t="str">
            <v/>
          </cell>
          <cell r="CS335" t="str">
            <v/>
          </cell>
          <cell r="CT335" t="str">
            <v/>
          </cell>
          <cell r="CU335" t="str">
            <v/>
          </cell>
          <cell r="CV335" t="str">
            <v/>
          </cell>
          <cell r="CW335" t="str">
            <v/>
          </cell>
          <cell r="CX335">
            <v>0</v>
          </cell>
          <cell r="CY335" t="str">
            <v/>
          </cell>
          <cell r="CZ335">
            <v>0</v>
          </cell>
          <cell r="DA335" t="str">
            <v/>
          </cell>
          <cell r="DB335" t="str">
            <v/>
          </cell>
          <cell r="DC335" t="str">
            <v/>
          </cell>
          <cell r="DD335" t="str">
            <v/>
          </cell>
          <cell r="DE335">
            <v>0</v>
          </cell>
          <cell r="DF335" t="str">
            <v/>
          </cell>
          <cell r="DG335" t="str">
            <v/>
          </cell>
          <cell r="DH335" t="str">
            <v/>
          </cell>
          <cell r="DI335">
            <v>0</v>
          </cell>
          <cell r="DJ335">
            <v>0</v>
          </cell>
          <cell r="DK335" t="str">
            <v/>
          </cell>
          <cell r="DL335" t="str">
            <v/>
          </cell>
          <cell r="DM335" t="str">
            <v/>
          </cell>
          <cell r="DN335" t="str">
            <v/>
          </cell>
          <cell r="DO335" t="str">
            <v/>
          </cell>
          <cell r="DP335" t="str">
            <v/>
          </cell>
          <cell r="DQ335" t="str">
            <v/>
          </cell>
          <cell r="DR335" t="str">
            <v/>
          </cell>
          <cell r="DS335" t="str">
            <v/>
          </cell>
          <cell r="DT335">
            <v>0</v>
          </cell>
          <cell r="DU335" t="str">
            <v/>
          </cell>
          <cell r="DV335" t="str">
            <v/>
          </cell>
          <cell r="DW335">
            <v>0</v>
          </cell>
          <cell r="DX335" t="str">
            <v/>
          </cell>
          <cell r="DY335" t="str">
            <v/>
          </cell>
          <cell r="DZ335" t="str">
            <v/>
          </cell>
          <cell r="EA335" t="str">
            <v/>
          </cell>
          <cell r="EB335">
            <v>0</v>
          </cell>
          <cell r="EC335" t="str">
            <v/>
          </cell>
          <cell r="EF335" t="str">
            <v/>
          </cell>
        </row>
        <row r="336">
          <cell r="E336">
            <v>41621.6875</v>
          </cell>
          <cell r="F336">
            <v>0</v>
          </cell>
          <cell r="G336">
            <v>0</v>
          </cell>
          <cell r="H336">
            <v>0</v>
          </cell>
          <cell r="I336">
            <v>0</v>
          </cell>
          <cell r="J336" t="str">
            <v/>
          </cell>
          <cell r="K336" t="str">
            <v/>
          </cell>
          <cell r="L336" t="str">
            <v/>
          </cell>
          <cell r="M336" t="str">
            <v/>
          </cell>
          <cell r="N336">
            <v>0</v>
          </cell>
          <cell r="O336" t="str">
            <v/>
          </cell>
          <cell r="P336" t="str">
            <v/>
          </cell>
          <cell r="Q336" t="str">
            <v/>
          </cell>
          <cell r="R336">
            <v>0</v>
          </cell>
          <cell r="S336" t="str">
            <v/>
          </cell>
          <cell r="T336" t="str">
            <v/>
          </cell>
          <cell r="U336" t="str">
            <v/>
          </cell>
          <cell r="V336" t="str">
            <v/>
          </cell>
          <cell r="W336" t="str">
            <v/>
          </cell>
          <cell r="X336">
            <v>0</v>
          </cell>
          <cell r="Y336" t="str">
            <v/>
          </cell>
          <cell r="Z336" t="str">
            <v/>
          </cell>
          <cell r="AA336" t="str">
            <v/>
          </cell>
          <cell r="AB336" t="str">
            <v/>
          </cell>
          <cell r="AC336" t="str">
            <v/>
          </cell>
          <cell r="AD336" t="str">
            <v/>
          </cell>
          <cell r="AE336">
            <v>0</v>
          </cell>
          <cell r="AF336" t="str">
            <v/>
          </cell>
          <cell r="AG336" t="str">
            <v/>
          </cell>
          <cell r="AH336">
            <v>0</v>
          </cell>
          <cell r="AI336" t="str">
            <v/>
          </cell>
          <cell r="AJ336" t="str">
            <v/>
          </cell>
          <cell r="AK336" t="str">
            <v/>
          </cell>
          <cell r="AL336" t="str">
            <v/>
          </cell>
          <cell r="AM336">
            <v>0</v>
          </cell>
          <cell r="AN336" t="str">
            <v/>
          </cell>
          <cell r="AO336" t="str">
            <v/>
          </cell>
          <cell r="AP336" t="str">
            <v/>
          </cell>
          <cell r="AQ336" t="str">
            <v/>
          </cell>
          <cell r="AR336" t="str">
            <v/>
          </cell>
          <cell r="AS336">
            <v>0</v>
          </cell>
          <cell r="AT336" t="str">
            <v/>
          </cell>
          <cell r="AU336" t="str">
            <v/>
          </cell>
          <cell r="AV336" t="str">
            <v/>
          </cell>
          <cell r="AW336" t="str">
            <v/>
          </cell>
          <cell r="AX336" t="str">
            <v/>
          </cell>
          <cell r="AY336" t="str">
            <v/>
          </cell>
          <cell r="AZ336" t="str">
            <v/>
          </cell>
          <cell r="BA336" t="str">
            <v/>
          </cell>
          <cell r="BB336">
            <v>0</v>
          </cell>
          <cell r="BC336" t="str">
            <v/>
          </cell>
          <cell r="BD336" t="str">
            <v/>
          </cell>
          <cell r="BE336" t="str">
            <v/>
          </cell>
          <cell r="BF336" t="str">
            <v/>
          </cell>
          <cell r="BG336" t="str">
            <v/>
          </cell>
          <cell r="BH336">
            <v>0</v>
          </cell>
          <cell r="BI336" t="str">
            <v/>
          </cell>
          <cell r="BJ336" t="str">
            <v/>
          </cell>
          <cell r="BK336">
            <v>0</v>
          </cell>
          <cell r="BL336" t="str">
            <v/>
          </cell>
          <cell r="BM336" t="str">
            <v/>
          </cell>
          <cell r="BN336">
            <v>0</v>
          </cell>
          <cell r="BO336">
            <v>0</v>
          </cell>
          <cell r="BP336">
            <v>0</v>
          </cell>
          <cell r="BQ336">
            <v>0</v>
          </cell>
          <cell r="BR336">
            <v>0</v>
          </cell>
          <cell r="BS336">
            <v>0</v>
          </cell>
          <cell r="BT336" t="str">
            <v/>
          </cell>
          <cell r="BU336" t="str">
            <v/>
          </cell>
          <cell r="BV336" t="str">
            <v/>
          </cell>
          <cell r="BW336" t="str">
            <v/>
          </cell>
          <cell r="BX336" t="str">
            <v/>
          </cell>
          <cell r="BY336" t="str">
            <v/>
          </cell>
          <cell r="BZ336">
            <v>0</v>
          </cell>
          <cell r="CA336">
            <v>0</v>
          </cell>
          <cell r="CB336">
            <v>0</v>
          </cell>
          <cell r="CC336">
            <v>0</v>
          </cell>
          <cell r="CD336">
            <v>0</v>
          </cell>
          <cell r="CE336" t="str">
            <v/>
          </cell>
          <cell r="CF336" t="str">
            <v/>
          </cell>
          <cell r="CG336" t="str">
            <v/>
          </cell>
          <cell r="CH336" t="str">
            <v/>
          </cell>
          <cell r="CI336" t="str">
            <v/>
          </cell>
          <cell r="CJ336">
            <v>0</v>
          </cell>
          <cell r="CK336">
            <v>0</v>
          </cell>
          <cell r="CL336">
            <v>0</v>
          </cell>
          <cell r="CM336">
            <v>0</v>
          </cell>
          <cell r="CN336" t="str">
            <v/>
          </cell>
          <cell r="CO336" t="str">
            <v/>
          </cell>
          <cell r="CP336">
            <v>0</v>
          </cell>
          <cell r="CQ336" t="str">
            <v/>
          </cell>
          <cell r="CR336" t="str">
            <v/>
          </cell>
          <cell r="CS336" t="str">
            <v/>
          </cell>
          <cell r="CT336" t="str">
            <v/>
          </cell>
          <cell r="CU336" t="str">
            <v/>
          </cell>
          <cell r="CV336" t="str">
            <v/>
          </cell>
          <cell r="CW336" t="str">
            <v/>
          </cell>
          <cell r="CX336">
            <v>0</v>
          </cell>
          <cell r="CY336" t="str">
            <v/>
          </cell>
          <cell r="CZ336">
            <v>0</v>
          </cell>
          <cell r="DA336" t="str">
            <v/>
          </cell>
          <cell r="DB336" t="str">
            <v/>
          </cell>
          <cell r="DC336" t="str">
            <v/>
          </cell>
          <cell r="DD336" t="str">
            <v/>
          </cell>
          <cell r="DE336">
            <v>0</v>
          </cell>
          <cell r="DF336" t="str">
            <v/>
          </cell>
          <cell r="DG336" t="str">
            <v/>
          </cell>
          <cell r="DH336" t="str">
            <v/>
          </cell>
          <cell r="DI336">
            <v>0</v>
          </cell>
          <cell r="DJ336">
            <v>0</v>
          </cell>
          <cell r="DK336" t="str">
            <v/>
          </cell>
          <cell r="DL336" t="str">
            <v/>
          </cell>
          <cell r="DM336" t="str">
            <v/>
          </cell>
          <cell r="DN336" t="str">
            <v/>
          </cell>
          <cell r="DO336" t="str">
            <v/>
          </cell>
          <cell r="DP336" t="str">
            <v/>
          </cell>
          <cell r="DQ336" t="str">
            <v/>
          </cell>
          <cell r="DR336" t="str">
            <v/>
          </cell>
          <cell r="DS336" t="str">
            <v/>
          </cell>
          <cell r="DT336">
            <v>0</v>
          </cell>
          <cell r="DU336" t="str">
            <v/>
          </cell>
          <cell r="DV336" t="str">
            <v/>
          </cell>
          <cell r="DW336">
            <v>0</v>
          </cell>
          <cell r="DX336" t="str">
            <v/>
          </cell>
          <cell r="DY336" t="str">
            <v/>
          </cell>
          <cell r="DZ336" t="str">
            <v/>
          </cell>
          <cell r="EA336" t="str">
            <v/>
          </cell>
          <cell r="EB336">
            <v>0</v>
          </cell>
          <cell r="EC336" t="str">
            <v/>
          </cell>
          <cell r="EF336" t="str">
            <v/>
          </cell>
        </row>
        <row r="337">
          <cell r="E337">
            <v>41713</v>
          </cell>
          <cell r="F337">
            <v>0</v>
          </cell>
          <cell r="G337">
            <v>0</v>
          </cell>
          <cell r="H337">
            <v>0</v>
          </cell>
          <cell r="I337">
            <v>0</v>
          </cell>
          <cell r="J337" t="str">
            <v/>
          </cell>
          <cell r="K337" t="str">
            <v/>
          </cell>
          <cell r="L337" t="str">
            <v/>
          </cell>
          <cell r="M337" t="str">
            <v/>
          </cell>
          <cell r="N337">
            <v>0</v>
          </cell>
          <cell r="O337" t="str">
            <v/>
          </cell>
          <cell r="P337" t="str">
            <v/>
          </cell>
          <cell r="Q337" t="str">
            <v/>
          </cell>
          <cell r="R337">
            <v>0</v>
          </cell>
          <cell r="S337" t="str">
            <v/>
          </cell>
          <cell r="T337" t="str">
            <v/>
          </cell>
          <cell r="U337" t="str">
            <v/>
          </cell>
          <cell r="V337" t="str">
            <v/>
          </cell>
          <cell r="W337" t="str">
            <v/>
          </cell>
          <cell r="X337">
            <v>0</v>
          </cell>
          <cell r="Y337" t="str">
            <v/>
          </cell>
          <cell r="Z337" t="str">
            <v/>
          </cell>
          <cell r="AA337" t="str">
            <v/>
          </cell>
          <cell r="AB337" t="str">
            <v/>
          </cell>
          <cell r="AC337" t="str">
            <v/>
          </cell>
          <cell r="AD337" t="str">
            <v/>
          </cell>
          <cell r="AE337">
            <v>0</v>
          </cell>
          <cell r="AF337" t="str">
            <v/>
          </cell>
          <cell r="AG337" t="str">
            <v/>
          </cell>
          <cell r="AH337">
            <v>0</v>
          </cell>
          <cell r="AI337" t="str">
            <v/>
          </cell>
          <cell r="AJ337" t="str">
            <v/>
          </cell>
          <cell r="AK337" t="str">
            <v/>
          </cell>
          <cell r="AL337" t="str">
            <v/>
          </cell>
          <cell r="AM337">
            <v>0</v>
          </cell>
          <cell r="AN337" t="str">
            <v/>
          </cell>
          <cell r="AO337" t="str">
            <v/>
          </cell>
          <cell r="AP337" t="str">
            <v/>
          </cell>
          <cell r="AQ337" t="str">
            <v/>
          </cell>
          <cell r="AR337" t="str">
            <v/>
          </cell>
          <cell r="AS337">
            <v>0</v>
          </cell>
          <cell r="AT337" t="str">
            <v/>
          </cell>
          <cell r="AU337" t="str">
            <v/>
          </cell>
          <cell r="AV337" t="str">
            <v/>
          </cell>
          <cell r="AW337" t="str">
            <v/>
          </cell>
          <cell r="AX337" t="str">
            <v/>
          </cell>
          <cell r="AY337" t="str">
            <v/>
          </cell>
          <cell r="AZ337" t="str">
            <v/>
          </cell>
          <cell r="BA337" t="str">
            <v/>
          </cell>
          <cell r="BB337">
            <v>0</v>
          </cell>
          <cell r="BC337" t="str">
            <v/>
          </cell>
          <cell r="BD337" t="str">
            <v/>
          </cell>
          <cell r="BE337" t="str">
            <v/>
          </cell>
          <cell r="BF337" t="str">
            <v/>
          </cell>
          <cell r="BG337" t="str">
            <v/>
          </cell>
          <cell r="BH337">
            <v>0</v>
          </cell>
          <cell r="BI337" t="str">
            <v/>
          </cell>
          <cell r="BJ337" t="str">
            <v/>
          </cell>
          <cell r="BK337">
            <v>0</v>
          </cell>
          <cell r="BL337" t="str">
            <v/>
          </cell>
          <cell r="BM337" t="str">
            <v/>
          </cell>
          <cell r="BN337">
            <v>0</v>
          </cell>
          <cell r="BO337">
            <v>0</v>
          </cell>
          <cell r="BP337">
            <v>0</v>
          </cell>
          <cell r="BQ337">
            <v>0</v>
          </cell>
          <cell r="BR337">
            <v>0</v>
          </cell>
          <cell r="BS337">
            <v>0</v>
          </cell>
          <cell r="BT337" t="str">
            <v/>
          </cell>
          <cell r="BU337" t="str">
            <v/>
          </cell>
          <cell r="BV337" t="str">
            <v/>
          </cell>
          <cell r="BW337" t="str">
            <v/>
          </cell>
          <cell r="BX337" t="str">
            <v/>
          </cell>
          <cell r="BY337" t="str">
            <v/>
          </cell>
          <cell r="BZ337">
            <v>0</v>
          </cell>
          <cell r="CA337">
            <v>0</v>
          </cell>
          <cell r="CB337">
            <v>0</v>
          </cell>
          <cell r="CC337">
            <v>0</v>
          </cell>
          <cell r="CD337">
            <v>0</v>
          </cell>
          <cell r="CE337" t="str">
            <v/>
          </cell>
          <cell r="CF337" t="str">
            <v/>
          </cell>
          <cell r="CG337" t="str">
            <v/>
          </cell>
          <cell r="CH337" t="str">
            <v/>
          </cell>
          <cell r="CI337" t="str">
            <v/>
          </cell>
          <cell r="CJ337">
            <v>0</v>
          </cell>
          <cell r="CK337">
            <v>0</v>
          </cell>
          <cell r="CL337">
            <v>0</v>
          </cell>
          <cell r="CM337">
            <v>0</v>
          </cell>
          <cell r="CN337" t="str">
            <v/>
          </cell>
          <cell r="CO337" t="str">
            <v/>
          </cell>
          <cell r="CP337">
            <v>0</v>
          </cell>
          <cell r="CQ337" t="str">
            <v/>
          </cell>
          <cell r="CR337" t="str">
            <v/>
          </cell>
          <cell r="CS337" t="str">
            <v/>
          </cell>
          <cell r="CT337" t="str">
            <v/>
          </cell>
          <cell r="CU337" t="str">
            <v/>
          </cell>
          <cell r="CV337" t="str">
            <v/>
          </cell>
          <cell r="CW337" t="str">
            <v/>
          </cell>
          <cell r="CX337">
            <v>0</v>
          </cell>
          <cell r="CY337" t="str">
            <v/>
          </cell>
          <cell r="CZ337">
            <v>0</v>
          </cell>
          <cell r="DA337" t="str">
            <v/>
          </cell>
          <cell r="DB337" t="str">
            <v/>
          </cell>
          <cell r="DC337" t="str">
            <v/>
          </cell>
          <cell r="DD337" t="str">
            <v/>
          </cell>
          <cell r="DE337">
            <v>0</v>
          </cell>
          <cell r="DF337" t="str">
            <v/>
          </cell>
          <cell r="DG337" t="str">
            <v/>
          </cell>
          <cell r="DH337" t="str">
            <v/>
          </cell>
          <cell r="DI337">
            <v>0</v>
          </cell>
          <cell r="DJ337">
            <v>0</v>
          </cell>
          <cell r="DK337" t="str">
            <v/>
          </cell>
          <cell r="DL337" t="str">
            <v/>
          </cell>
          <cell r="DM337" t="str">
            <v/>
          </cell>
          <cell r="DN337" t="str">
            <v/>
          </cell>
          <cell r="DO337" t="str">
            <v/>
          </cell>
          <cell r="DP337" t="str">
            <v/>
          </cell>
          <cell r="DQ337" t="str">
            <v/>
          </cell>
          <cell r="DR337" t="str">
            <v/>
          </cell>
          <cell r="DS337" t="str">
            <v/>
          </cell>
          <cell r="DT337">
            <v>0</v>
          </cell>
          <cell r="DU337" t="str">
            <v/>
          </cell>
          <cell r="DV337" t="str">
            <v/>
          </cell>
          <cell r="DW337">
            <v>0</v>
          </cell>
          <cell r="DX337" t="str">
            <v/>
          </cell>
          <cell r="DY337" t="str">
            <v/>
          </cell>
          <cell r="DZ337" t="str">
            <v/>
          </cell>
          <cell r="EA337" t="str">
            <v/>
          </cell>
          <cell r="EB337">
            <v>0</v>
          </cell>
          <cell r="EC337" t="str">
            <v/>
          </cell>
          <cell r="EF337" t="str">
            <v/>
          </cell>
        </row>
        <row r="338">
          <cell r="E338">
            <v>41804.3125</v>
          </cell>
          <cell r="F338">
            <v>0</v>
          </cell>
          <cell r="G338">
            <v>0</v>
          </cell>
          <cell r="H338">
            <v>0</v>
          </cell>
          <cell r="I338">
            <v>0</v>
          </cell>
          <cell r="J338" t="str">
            <v/>
          </cell>
          <cell r="K338" t="str">
            <v/>
          </cell>
          <cell r="L338" t="str">
            <v/>
          </cell>
          <cell r="M338" t="str">
            <v/>
          </cell>
          <cell r="N338">
            <v>0</v>
          </cell>
          <cell r="O338" t="str">
            <v/>
          </cell>
          <cell r="P338" t="str">
            <v/>
          </cell>
          <cell r="Q338" t="str">
            <v/>
          </cell>
          <cell r="R338">
            <v>0</v>
          </cell>
          <cell r="S338" t="str">
            <v/>
          </cell>
          <cell r="T338" t="str">
            <v/>
          </cell>
          <cell r="U338" t="str">
            <v/>
          </cell>
          <cell r="V338" t="str">
            <v/>
          </cell>
          <cell r="W338" t="str">
            <v/>
          </cell>
          <cell r="X338">
            <v>0</v>
          </cell>
          <cell r="Y338" t="str">
            <v/>
          </cell>
          <cell r="Z338" t="str">
            <v/>
          </cell>
          <cell r="AA338" t="str">
            <v/>
          </cell>
          <cell r="AB338" t="str">
            <v/>
          </cell>
          <cell r="AC338" t="str">
            <v/>
          </cell>
          <cell r="AD338" t="str">
            <v/>
          </cell>
          <cell r="AE338">
            <v>0</v>
          </cell>
          <cell r="AF338" t="str">
            <v/>
          </cell>
          <cell r="AG338" t="str">
            <v/>
          </cell>
          <cell r="AH338">
            <v>0</v>
          </cell>
          <cell r="AI338" t="str">
            <v/>
          </cell>
          <cell r="AJ338" t="str">
            <v/>
          </cell>
          <cell r="AK338" t="str">
            <v/>
          </cell>
          <cell r="AL338" t="str">
            <v/>
          </cell>
          <cell r="AM338">
            <v>0</v>
          </cell>
          <cell r="AN338" t="str">
            <v/>
          </cell>
          <cell r="AO338" t="str">
            <v/>
          </cell>
          <cell r="AP338" t="str">
            <v/>
          </cell>
          <cell r="AQ338" t="str">
            <v/>
          </cell>
          <cell r="AR338" t="str">
            <v/>
          </cell>
          <cell r="AS338">
            <v>0</v>
          </cell>
          <cell r="AT338" t="str">
            <v/>
          </cell>
          <cell r="AU338" t="str">
            <v/>
          </cell>
          <cell r="AV338" t="str">
            <v/>
          </cell>
          <cell r="AW338" t="str">
            <v/>
          </cell>
          <cell r="AX338" t="str">
            <v/>
          </cell>
          <cell r="AY338" t="str">
            <v/>
          </cell>
          <cell r="AZ338" t="str">
            <v/>
          </cell>
          <cell r="BA338" t="str">
            <v/>
          </cell>
          <cell r="BB338">
            <v>0</v>
          </cell>
          <cell r="BC338" t="str">
            <v/>
          </cell>
          <cell r="BD338" t="str">
            <v/>
          </cell>
          <cell r="BE338" t="str">
            <v/>
          </cell>
          <cell r="BF338" t="str">
            <v/>
          </cell>
          <cell r="BG338" t="str">
            <v/>
          </cell>
          <cell r="BH338">
            <v>0</v>
          </cell>
          <cell r="BI338" t="str">
            <v/>
          </cell>
          <cell r="BJ338" t="str">
            <v/>
          </cell>
          <cell r="BK338">
            <v>0</v>
          </cell>
          <cell r="BL338" t="str">
            <v/>
          </cell>
          <cell r="BM338" t="str">
            <v/>
          </cell>
          <cell r="BN338">
            <v>0</v>
          </cell>
          <cell r="BO338">
            <v>0</v>
          </cell>
          <cell r="BP338">
            <v>0</v>
          </cell>
          <cell r="BQ338">
            <v>0</v>
          </cell>
          <cell r="BR338">
            <v>0</v>
          </cell>
          <cell r="BS338">
            <v>0</v>
          </cell>
          <cell r="BT338" t="str">
            <v/>
          </cell>
          <cell r="BU338" t="str">
            <v/>
          </cell>
          <cell r="BV338" t="str">
            <v/>
          </cell>
          <cell r="BW338" t="str">
            <v/>
          </cell>
          <cell r="BX338" t="str">
            <v/>
          </cell>
          <cell r="BY338" t="str">
            <v/>
          </cell>
          <cell r="BZ338">
            <v>0</v>
          </cell>
          <cell r="CA338">
            <v>0</v>
          </cell>
          <cell r="CB338">
            <v>0</v>
          </cell>
          <cell r="CC338">
            <v>0</v>
          </cell>
          <cell r="CD338">
            <v>0</v>
          </cell>
          <cell r="CE338" t="str">
            <v/>
          </cell>
          <cell r="CF338" t="str">
            <v/>
          </cell>
          <cell r="CG338" t="str">
            <v/>
          </cell>
          <cell r="CH338" t="str">
            <v/>
          </cell>
          <cell r="CI338" t="str">
            <v/>
          </cell>
          <cell r="CJ338">
            <v>0</v>
          </cell>
          <cell r="CK338">
            <v>0</v>
          </cell>
          <cell r="CL338">
            <v>0</v>
          </cell>
          <cell r="CM338">
            <v>0</v>
          </cell>
          <cell r="CN338" t="str">
            <v/>
          </cell>
          <cell r="CO338" t="str">
            <v/>
          </cell>
          <cell r="CP338">
            <v>0</v>
          </cell>
          <cell r="CQ338" t="str">
            <v/>
          </cell>
          <cell r="CR338" t="str">
            <v/>
          </cell>
          <cell r="CS338" t="str">
            <v/>
          </cell>
          <cell r="CT338" t="str">
            <v/>
          </cell>
          <cell r="CU338" t="str">
            <v/>
          </cell>
          <cell r="CV338" t="str">
            <v/>
          </cell>
          <cell r="CW338" t="str">
            <v/>
          </cell>
          <cell r="CX338">
            <v>0</v>
          </cell>
          <cell r="CY338" t="str">
            <v/>
          </cell>
          <cell r="CZ338">
            <v>0</v>
          </cell>
          <cell r="DA338" t="str">
            <v/>
          </cell>
          <cell r="DB338" t="str">
            <v/>
          </cell>
          <cell r="DC338" t="str">
            <v/>
          </cell>
          <cell r="DD338" t="str">
            <v/>
          </cell>
          <cell r="DE338">
            <v>0</v>
          </cell>
          <cell r="DF338" t="str">
            <v/>
          </cell>
          <cell r="DG338" t="str">
            <v/>
          </cell>
          <cell r="DH338" t="str">
            <v/>
          </cell>
          <cell r="DI338">
            <v>0</v>
          </cell>
          <cell r="DJ338">
            <v>0</v>
          </cell>
          <cell r="DK338" t="str">
            <v/>
          </cell>
          <cell r="DL338" t="str">
            <v/>
          </cell>
          <cell r="DM338" t="str">
            <v/>
          </cell>
          <cell r="DN338" t="str">
            <v/>
          </cell>
          <cell r="DO338" t="str">
            <v/>
          </cell>
          <cell r="DP338" t="str">
            <v/>
          </cell>
          <cell r="DQ338" t="str">
            <v/>
          </cell>
          <cell r="DR338" t="str">
            <v/>
          </cell>
          <cell r="DS338" t="str">
            <v/>
          </cell>
          <cell r="DT338">
            <v>0</v>
          </cell>
          <cell r="DU338" t="str">
            <v/>
          </cell>
          <cell r="DV338" t="str">
            <v/>
          </cell>
          <cell r="DW338">
            <v>0</v>
          </cell>
          <cell r="DX338" t="str">
            <v/>
          </cell>
          <cell r="DY338" t="str">
            <v/>
          </cell>
          <cell r="DZ338" t="str">
            <v/>
          </cell>
          <cell r="EA338" t="str">
            <v/>
          </cell>
          <cell r="EB338">
            <v>0</v>
          </cell>
          <cell r="EC338" t="str">
            <v/>
          </cell>
          <cell r="EF338" t="str">
            <v/>
          </cell>
        </row>
        <row r="339">
          <cell r="E339">
            <v>41895.625</v>
          </cell>
          <cell r="F339">
            <v>0</v>
          </cell>
          <cell r="G339">
            <v>0</v>
          </cell>
          <cell r="H339">
            <v>0</v>
          </cell>
          <cell r="I339">
            <v>0</v>
          </cell>
          <cell r="J339" t="str">
            <v/>
          </cell>
          <cell r="K339" t="str">
            <v/>
          </cell>
          <cell r="L339" t="str">
            <v/>
          </cell>
          <cell r="M339" t="str">
            <v/>
          </cell>
          <cell r="N339">
            <v>0</v>
          </cell>
          <cell r="O339" t="str">
            <v/>
          </cell>
          <cell r="P339" t="str">
            <v/>
          </cell>
          <cell r="Q339" t="str">
            <v/>
          </cell>
          <cell r="R339">
            <v>0</v>
          </cell>
          <cell r="S339" t="str">
            <v/>
          </cell>
          <cell r="T339" t="str">
            <v/>
          </cell>
          <cell r="U339" t="str">
            <v/>
          </cell>
          <cell r="V339" t="str">
            <v/>
          </cell>
          <cell r="W339" t="str">
            <v/>
          </cell>
          <cell r="X339">
            <v>0</v>
          </cell>
          <cell r="Y339" t="str">
            <v/>
          </cell>
          <cell r="Z339" t="str">
            <v/>
          </cell>
          <cell r="AA339" t="str">
            <v/>
          </cell>
          <cell r="AB339" t="str">
            <v/>
          </cell>
          <cell r="AC339" t="str">
            <v/>
          </cell>
          <cell r="AD339" t="str">
            <v/>
          </cell>
          <cell r="AE339">
            <v>0</v>
          </cell>
          <cell r="AF339" t="str">
            <v/>
          </cell>
          <cell r="AG339" t="str">
            <v/>
          </cell>
          <cell r="AH339">
            <v>0</v>
          </cell>
          <cell r="AI339" t="str">
            <v/>
          </cell>
          <cell r="AJ339" t="str">
            <v/>
          </cell>
          <cell r="AK339" t="str">
            <v/>
          </cell>
          <cell r="AL339" t="str">
            <v/>
          </cell>
          <cell r="AM339">
            <v>0</v>
          </cell>
          <cell r="AN339" t="str">
            <v/>
          </cell>
          <cell r="AO339" t="str">
            <v/>
          </cell>
          <cell r="AP339" t="str">
            <v/>
          </cell>
          <cell r="AQ339" t="str">
            <v/>
          </cell>
          <cell r="AR339" t="str">
            <v/>
          </cell>
          <cell r="AS339">
            <v>0</v>
          </cell>
          <cell r="AT339" t="str">
            <v/>
          </cell>
          <cell r="AU339" t="str">
            <v/>
          </cell>
          <cell r="AV339" t="str">
            <v/>
          </cell>
          <cell r="AW339" t="str">
            <v/>
          </cell>
          <cell r="AX339" t="str">
            <v/>
          </cell>
          <cell r="AY339" t="str">
            <v/>
          </cell>
          <cell r="AZ339" t="str">
            <v/>
          </cell>
          <cell r="BA339" t="str">
            <v/>
          </cell>
          <cell r="BB339">
            <v>0</v>
          </cell>
          <cell r="BC339" t="str">
            <v/>
          </cell>
          <cell r="BD339" t="str">
            <v/>
          </cell>
          <cell r="BE339" t="str">
            <v/>
          </cell>
          <cell r="BF339" t="str">
            <v/>
          </cell>
          <cell r="BG339" t="str">
            <v/>
          </cell>
          <cell r="BH339">
            <v>0</v>
          </cell>
          <cell r="BI339" t="str">
            <v/>
          </cell>
          <cell r="BJ339" t="str">
            <v/>
          </cell>
          <cell r="BK339">
            <v>0</v>
          </cell>
          <cell r="BL339" t="str">
            <v/>
          </cell>
          <cell r="BM339" t="str">
            <v/>
          </cell>
          <cell r="BN339">
            <v>0</v>
          </cell>
          <cell r="BO339">
            <v>0</v>
          </cell>
          <cell r="BP339">
            <v>0</v>
          </cell>
          <cell r="BQ339">
            <v>0</v>
          </cell>
          <cell r="BR339">
            <v>0</v>
          </cell>
          <cell r="BS339">
            <v>0</v>
          </cell>
          <cell r="BT339" t="str">
            <v/>
          </cell>
          <cell r="BU339" t="str">
            <v/>
          </cell>
          <cell r="BV339" t="str">
            <v/>
          </cell>
          <cell r="BW339" t="str">
            <v/>
          </cell>
          <cell r="BX339" t="str">
            <v/>
          </cell>
          <cell r="BY339" t="str">
            <v/>
          </cell>
          <cell r="BZ339">
            <v>0</v>
          </cell>
          <cell r="CA339">
            <v>0</v>
          </cell>
          <cell r="CB339">
            <v>0</v>
          </cell>
          <cell r="CC339">
            <v>0</v>
          </cell>
          <cell r="CD339">
            <v>0</v>
          </cell>
          <cell r="CE339" t="str">
            <v/>
          </cell>
          <cell r="CF339" t="str">
            <v/>
          </cell>
          <cell r="CG339" t="str">
            <v/>
          </cell>
          <cell r="CH339" t="str">
            <v/>
          </cell>
          <cell r="CI339" t="str">
            <v/>
          </cell>
          <cell r="CJ339">
            <v>0</v>
          </cell>
          <cell r="CK339">
            <v>0</v>
          </cell>
          <cell r="CL339">
            <v>0</v>
          </cell>
          <cell r="CM339">
            <v>0</v>
          </cell>
          <cell r="CN339" t="str">
            <v/>
          </cell>
          <cell r="CO339" t="str">
            <v/>
          </cell>
          <cell r="CP339">
            <v>0</v>
          </cell>
          <cell r="CQ339" t="str">
            <v/>
          </cell>
          <cell r="CR339" t="str">
            <v/>
          </cell>
          <cell r="CS339" t="str">
            <v/>
          </cell>
          <cell r="CT339" t="str">
            <v/>
          </cell>
          <cell r="CU339" t="str">
            <v/>
          </cell>
          <cell r="CV339" t="str">
            <v/>
          </cell>
          <cell r="CW339" t="str">
            <v/>
          </cell>
          <cell r="CX339">
            <v>0</v>
          </cell>
          <cell r="CY339" t="str">
            <v/>
          </cell>
          <cell r="CZ339">
            <v>0</v>
          </cell>
          <cell r="DA339" t="str">
            <v/>
          </cell>
          <cell r="DB339" t="str">
            <v/>
          </cell>
          <cell r="DC339" t="str">
            <v/>
          </cell>
          <cell r="DD339" t="str">
            <v/>
          </cell>
          <cell r="DE339">
            <v>0</v>
          </cell>
          <cell r="DF339" t="str">
            <v/>
          </cell>
          <cell r="DG339" t="str">
            <v/>
          </cell>
          <cell r="DH339" t="str">
            <v/>
          </cell>
          <cell r="DI339">
            <v>0</v>
          </cell>
          <cell r="DJ339">
            <v>0</v>
          </cell>
          <cell r="DK339" t="str">
            <v/>
          </cell>
          <cell r="DL339" t="str">
            <v/>
          </cell>
          <cell r="DM339" t="str">
            <v/>
          </cell>
          <cell r="DN339" t="str">
            <v/>
          </cell>
          <cell r="DO339" t="str">
            <v/>
          </cell>
          <cell r="DP339" t="str">
            <v/>
          </cell>
          <cell r="DQ339" t="str">
            <v/>
          </cell>
          <cell r="DR339" t="str">
            <v/>
          </cell>
          <cell r="DS339" t="str">
            <v/>
          </cell>
          <cell r="DT339">
            <v>0</v>
          </cell>
          <cell r="DU339" t="str">
            <v/>
          </cell>
          <cell r="DV339" t="str">
            <v/>
          </cell>
          <cell r="DW339">
            <v>0</v>
          </cell>
          <cell r="DX339" t="str">
            <v/>
          </cell>
          <cell r="DY339" t="str">
            <v/>
          </cell>
          <cell r="DZ339" t="str">
            <v/>
          </cell>
          <cell r="EA339" t="str">
            <v/>
          </cell>
          <cell r="EB339">
            <v>0</v>
          </cell>
          <cell r="EC339" t="str">
            <v/>
          </cell>
          <cell r="EF339" t="str">
            <v/>
          </cell>
        </row>
        <row r="340">
          <cell r="E340">
            <v>41986.9375</v>
          </cell>
          <cell r="F340">
            <v>0</v>
          </cell>
          <cell r="G340">
            <v>0</v>
          </cell>
          <cell r="H340">
            <v>0</v>
          </cell>
          <cell r="I340">
            <v>0</v>
          </cell>
          <cell r="J340" t="str">
            <v/>
          </cell>
          <cell r="K340" t="str">
            <v/>
          </cell>
          <cell r="L340" t="str">
            <v/>
          </cell>
          <cell r="M340" t="str">
            <v/>
          </cell>
          <cell r="N340">
            <v>0</v>
          </cell>
          <cell r="O340" t="str">
            <v/>
          </cell>
          <cell r="P340" t="str">
            <v/>
          </cell>
          <cell r="Q340" t="str">
            <v/>
          </cell>
          <cell r="R340">
            <v>0</v>
          </cell>
          <cell r="S340" t="str">
            <v/>
          </cell>
          <cell r="T340" t="str">
            <v/>
          </cell>
          <cell r="U340" t="str">
            <v/>
          </cell>
          <cell r="V340" t="str">
            <v/>
          </cell>
          <cell r="W340" t="str">
            <v/>
          </cell>
          <cell r="X340">
            <v>0</v>
          </cell>
          <cell r="Y340" t="str">
            <v/>
          </cell>
          <cell r="Z340" t="str">
            <v/>
          </cell>
          <cell r="AA340" t="str">
            <v/>
          </cell>
          <cell r="AB340" t="str">
            <v/>
          </cell>
          <cell r="AC340" t="str">
            <v/>
          </cell>
          <cell r="AD340" t="str">
            <v/>
          </cell>
          <cell r="AE340">
            <v>0</v>
          </cell>
          <cell r="AF340" t="str">
            <v/>
          </cell>
          <cell r="AG340" t="str">
            <v/>
          </cell>
          <cell r="AH340">
            <v>0</v>
          </cell>
          <cell r="AI340" t="str">
            <v/>
          </cell>
          <cell r="AJ340" t="str">
            <v/>
          </cell>
          <cell r="AK340" t="str">
            <v/>
          </cell>
          <cell r="AL340" t="str">
            <v/>
          </cell>
          <cell r="AM340">
            <v>0</v>
          </cell>
          <cell r="AN340" t="str">
            <v/>
          </cell>
          <cell r="AO340" t="str">
            <v/>
          </cell>
          <cell r="AP340" t="str">
            <v/>
          </cell>
          <cell r="AQ340" t="str">
            <v/>
          </cell>
          <cell r="AR340" t="str">
            <v/>
          </cell>
          <cell r="AS340">
            <v>0</v>
          </cell>
          <cell r="AT340" t="str">
            <v/>
          </cell>
          <cell r="AU340" t="str">
            <v/>
          </cell>
          <cell r="AV340" t="str">
            <v/>
          </cell>
          <cell r="AW340" t="str">
            <v/>
          </cell>
          <cell r="AX340" t="str">
            <v/>
          </cell>
          <cell r="AY340" t="str">
            <v/>
          </cell>
          <cell r="AZ340" t="str">
            <v/>
          </cell>
          <cell r="BA340" t="str">
            <v/>
          </cell>
          <cell r="BB340">
            <v>0</v>
          </cell>
          <cell r="BC340" t="str">
            <v/>
          </cell>
          <cell r="BD340" t="str">
            <v/>
          </cell>
          <cell r="BE340" t="str">
            <v/>
          </cell>
          <cell r="BF340" t="str">
            <v/>
          </cell>
          <cell r="BG340" t="str">
            <v/>
          </cell>
          <cell r="BH340">
            <v>0</v>
          </cell>
          <cell r="BI340" t="str">
            <v/>
          </cell>
          <cell r="BJ340" t="str">
            <v/>
          </cell>
          <cell r="BK340">
            <v>0</v>
          </cell>
          <cell r="BL340" t="str">
            <v/>
          </cell>
          <cell r="BM340" t="str">
            <v/>
          </cell>
          <cell r="BN340">
            <v>0</v>
          </cell>
          <cell r="BO340">
            <v>0</v>
          </cell>
          <cell r="BP340">
            <v>0</v>
          </cell>
          <cell r="BQ340">
            <v>0</v>
          </cell>
          <cell r="BR340">
            <v>0</v>
          </cell>
          <cell r="BS340">
            <v>0</v>
          </cell>
          <cell r="BT340" t="str">
            <v/>
          </cell>
          <cell r="BU340" t="str">
            <v/>
          </cell>
          <cell r="BV340" t="str">
            <v/>
          </cell>
          <cell r="BW340" t="str">
            <v/>
          </cell>
          <cell r="BX340" t="str">
            <v/>
          </cell>
          <cell r="BY340" t="str">
            <v/>
          </cell>
          <cell r="BZ340">
            <v>0</v>
          </cell>
          <cell r="CA340">
            <v>0</v>
          </cell>
          <cell r="CB340">
            <v>0</v>
          </cell>
          <cell r="CC340">
            <v>0</v>
          </cell>
          <cell r="CD340">
            <v>0</v>
          </cell>
          <cell r="CE340" t="str">
            <v/>
          </cell>
          <cell r="CF340" t="str">
            <v/>
          </cell>
          <cell r="CG340" t="str">
            <v/>
          </cell>
          <cell r="CH340" t="str">
            <v/>
          </cell>
          <cell r="CI340" t="str">
            <v/>
          </cell>
          <cell r="CJ340">
            <v>0</v>
          </cell>
          <cell r="CK340">
            <v>0</v>
          </cell>
          <cell r="CL340">
            <v>0</v>
          </cell>
          <cell r="CM340">
            <v>0</v>
          </cell>
          <cell r="CN340" t="str">
            <v/>
          </cell>
          <cell r="CO340" t="str">
            <v/>
          </cell>
          <cell r="CP340">
            <v>0</v>
          </cell>
          <cell r="CQ340" t="str">
            <v/>
          </cell>
          <cell r="CR340" t="str">
            <v/>
          </cell>
          <cell r="CS340" t="str">
            <v/>
          </cell>
          <cell r="CT340" t="str">
            <v/>
          </cell>
          <cell r="CU340" t="str">
            <v/>
          </cell>
          <cell r="CV340" t="str">
            <v/>
          </cell>
          <cell r="CW340" t="str">
            <v/>
          </cell>
          <cell r="CX340">
            <v>0</v>
          </cell>
          <cell r="CY340" t="str">
            <v/>
          </cell>
          <cell r="CZ340">
            <v>0</v>
          </cell>
          <cell r="DA340" t="str">
            <v/>
          </cell>
          <cell r="DB340" t="str">
            <v/>
          </cell>
          <cell r="DC340" t="str">
            <v/>
          </cell>
          <cell r="DD340" t="str">
            <v/>
          </cell>
          <cell r="DE340">
            <v>0</v>
          </cell>
          <cell r="DF340" t="str">
            <v/>
          </cell>
          <cell r="DG340" t="str">
            <v/>
          </cell>
          <cell r="DH340" t="str">
            <v/>
          </cell>
          <cell r="DI340">
            <v>0</v>
          </cell>
          <cell r="DJ340">
            <v>0</v>
          </cell>
          <cell r="DK340" t="str">
            <v/>
          </cell>
          <cell r="DL340" t="str">
            <v/>
          </cell>
          <cell r="DM340" t="str">
            <v/>
          </cell>
          <cell r="DN340" t="str">
            <v/>
          </cell>
          <cell r="DO340" t="str">
            <v/>
          </cell>
          <cell r="DP340" t="str">
            <v/>
          </cell>
          <cell r="DQ340" t="str">
            <v/>
          </cell>
          <cell r="DR340" t="str">
            <v/>
          </cell>
          <cell r="DS340" t="str">
            <v/>
          </cell>
          <cell r="DT340">
            <v>0</v>
          </cell>
          <cell r="DU340" t="str">
            <v/>
          </cell>
          <cell r="DV340" t="str">
            <v/>
          </cell>
          <cell r="DW340">
            <v>0</v>
          </cell>
          <cell r="DX340" t="str">
            <v/>
          </cell>
          <cell r="DY340" t="str">
            <v/>
          </cell>
          <cell r="DZ340" t="str">
            <v/>
          </cell>
          <cell r="EA340" t="str">
            <v/>
          </cell>
          <cell r="EB340">
            <v>0</v>
          </cell>
          <cell r="EC340" t="str">
            <v/>
          </cell>
          <cell r="EF340" t="str">
            <v/>
          </cell>
        </row>
        <row r="341">
          <cell r="E341">
            <v>42078.25</v>
          </cell>
          <cell r="F341">
            <v>0</v>
          </cell>
          <cell r="G341">
            <v>0</v>
          </cell>
          <cell r="H341">
            <v>0</v>
          </cell>
          <cell r="I341">
            <v>0</v>
          </cell>
          <cell r="J341" t="str">
            <v/>
          </cell>
          <cell r="K341" t="str">
            <v/>
          </cell>
          <cell r="L341" t="str">
            <v/>
          </cell>
          <cell r="M341" t="str">
            <v/>
          </cell>
          <cell r="N341">
            <v>0</v>
          </cell>
          <cell r="O341" t="str">
            <v/>
          </cell>
          <cell r="P341" t="str">
            <v/>
          </cell>
          <cell r="Q341" t="str">
            <v/>
          </cell>
          <cell r="R341">
            <v>0</v>
          </cell>
          <cell r="S341" t="str">
            <v/>
          </cell>
          <cell r="T341" t="str">
            <v/>
          </cell>
          <cell r="U341" t="str">
            <v/>
          </cell>
          <cell r="V341" t="str">
            <v/>
          </cell>
          <cell r="W341" t="str">
            <v/>
          </cell>
          <cell r="X341">
            <v>0</v>
          </cell>
          <cell r="Y341" t="str">
            <v/>
          </cell>
          <cell r="Z341" t="str">
            <v/>
          </cell>
          <cell r="AA341" t="str">
            <v/>
          </cell>
          <cell r="AB341" t="str">
            <v/>
          </cell>
          <cell r="AC341" t="str">
            <v/>
          </cell>
          <cell r="AD341" t="str">
            <v/>
          </cell>
          <cell r="AE341">
            <v>0</v>
          </cell>
          <cell r="AF341" t="str">
            <v/>
          </cell>
          <cell r="AG341" t="str">
            <v/>
          </cell>
          <cell r="AH341">
            <v>0</v>
          </cell>
          <cell r="AI341" t="str">
            <v/>
          </cell>
          <cell r="AJ341" t="str">
            <v/>
          </cell>
          <cell r="AK341" t="str">
            <v/>
          </cell>
          <cell r="AL341" t="str">
            <v/>
          </cell>
          <cell r="AM341">
            <v>0</v>
          </cell>
          <cell r="AN341" t="str">
            <v/>
          </cell>
          <cell r="AO341" t="str">
            <v/>
          </cell>
          <cell r="AP341" t="str">
            <v/>
          </cell>
          <cell r="AQ341" t="str">
            <v/>
          </cell>
          <cell r="AR341" t="str">
            <v/>
          </cell>
          <cell r="AS341">
            <v>0</v>
          </cell>
          <cell r="AT341" t="str">
            <v/>
          </cell>
          <cell r="AU341" t="str">
            <v/>
          </cell>
          <cell r="AV341" t="str">
            <v/>
          </cell>
          <cell r="AW341" t="str">
            <v/>
          </cell>
          <cell r="AX341" t="str">
            <v/>
          </cell>
          <cell r="AY341" t="str">
            <v/>
          </cell>
          <cell r="AZ341" t="str">
            <v/>
          </cell>
          <cell r="BA341" t="str">
            <v/>
          </cell>
          <cell r="BB341">
            <v>0</v>
          </cell>
          <cell r="BC341" t="str">
            <v/>
          </cell>
          <cell r="BD341" t="str">
            <v/>
          </cell>
          <cell r="BE341" t="str">
            <v/>
          </cell>
          <cell r="BF341" t="str">
            <v/>
          </cell>
          <cell r="BG341" t="str">
            <v/>
          </cell>
          <cell r="BH341">
            <v>0</v>
          </cell>
          <cell r="BI341" t="str">
            <v/>
          </cell>
          <cell r="BJ341" t="str">
            <v/>
          </cell>
          <cell r="BK341">
            <v>0</v>
          </cell>
          <cell r="BL341" t="str">
            <v/>
          </cell>
          <cell r="BM341" t="str">
            <v/>
          </cell>
          <cell r="BN341">
            <v>0</v>
          </cell>
          <cell r="BO341">
            <v>0</v>
          </cell>
          <cell r="BP341">
            <v>0</v>
          </cell>
          <cell r="BQ341">
            <v>0</v>
          </cell>
          <cell r="BR341">
            <v>0</v>
          </cell>
          <cell r="BS341">
            <v>0</v>
          </cell>
          <cell r="BT341" t="str">
            <v/>
          </cell>
          <cell r="BU341" t="str">
            <v/>
          </cell>
          <cell r="BV341" t="str">
            <v/>
          </cell>
          <cell r="BW341" t="str">
            <v/>
          </cell>
          <cell r="BX341" t="str">
            <v/>
          </cell>
          <cell r="BY341" t="str">
            <v/>
          </cell>
          <cell r="BZ341">
            <v>0</v>
          </cell>
          <cell r="CA341">
            <v>0</v>
          </cell>
          <cell r="CB341">
            <v>0</v>
          </cell>
          <cell r="CC341">
            <v>0</v>
          </cell>
          <cell r="CD341">
            <v>0</v>
          </cell>
          <cell r="CE341" t="str">
            <v/>
          </cell>
          <cell r="CF341" t="str">
            <v/>
          </cell>
          <cell r="CG341" t="str">
            <v/>
          </cell>
          <cell r="CH341" t="str">
            <v/>
          </cell>
          <cell r="CI341" t="str">
            <v/>
          </cell>
          <cell r="CJ341">
            <v>0</v>
          </cell>
          <cell r="CK341">
            <v>0</v>
          </cell>
          <cell r="CL341">
            <v>0</v>
          </cell>
          <cell r="CM341">
            <v>0</v>
          </cell>
          <cell r="CN341" t="str">
            <v/>
          </cell>
          <cell r="CO341" t="str">
            <v/>
          </cell>
          <cell r="CP341">
            <v>0</v>
          </cell>
          <cell r="CQ341" t="str">
            <v/>
          </cell>
          <cell r="CR341" t="str">
            <v/>
          </cell>
          <cell r="CS341" t="str">
            <v/>
          </cell>
          <cell r="CT341" t="str">
            <v/>
          </cell>
          <cell r="CU341" t="str">
            <v/>
          </cell>
          <cell r="CV341" t="str">
            <v/>
          </cell>
          <cell r="CW341" t="str">
            <v/>
          </cell>
          <cell r="CX341">
            <v>0</v>
          </cell>
          <cell r="CY341" t="str">
            <v/>
          </cell>
          <cell r="CZ341">
            <v>0</v>
          </cell>
          <cell r="DA341" t="str">
            <v/>
          </cell>
          <cell r="DB341" t="str">
            <v/>
          </cell>
          <cell r="DC341" t="str">
            <v/>
          </cell>
          <cell r="DD341" t="str">
            <v/>
          </cell>
          <cell r="DE341">
            <v>0</v>
          </cell>
          <cell r="DF341" t="str">
            <v/>
          </cell>
          <cell r="DG341" t="str">
            <v/>
          </cell>
          <cell r="DH341" t="str">
            <v/>
          </cell>
          <cell r="DI341">
            <v>0</v>
          </cell>
          <cell r="DJ341">
            <v>0</v>
          </cell>
          <cell r="DK341" t="str">
            <v/>
          </cell>
          <cell r="DL341" t="str">
            <v/>
          </cell>
          <cell r="DM341" t="str">
            <v/>
          </cell>
          <cell r="DN341" t="str">
            <v/>
          </cell>
          <cell r="DO341" t="str">
            <v/>
          </cell>
          <cell r="DP341" t="str">
            <v/>
          </cell>
          <cell r="DQ341" t="str">
            <v/>
          </cell>
          <cell r="DR341" t="str">
            <v/>
          </cell>
          <cell r="DS341" t="str">
            <v/>
          </cell>
          <cell r="DT341">
            <v>0</v>
          </cell>
          <cell r="DU341" t="str">
            <v/>
          </cell>
          <cell r="DV341" t="str">
            <v/>
          </cell>
          <cell r="DW341">
            <v>0</v>
          </cell>
          <cell r="DX341" t="str">
            <v/>
          </cell>
          <cell r="DY341" t="str">
            <v/>
          </cell>
          <cell r="DZ341" t="str">
            <v/>
          </cell>
          <cell r="EA341" t="str">
            <v/>
          </cell>
          <cell r="EB341">
            <v>0</v>
          </cell>
          <cell r="EC341" t="str">
            <v/>
          </cell>
          <cell r="EF341" t="str">
            <v/>
          </cell>
        </row>
        <row r="342">
          <cell r="E342">
            <v>42169.5625</v>
          </cell>
          <cell r="F342">
            <v>0</v>
          </cell>
          <cell r="G342">
            <v>0</v>
          </cell>
          <cell r="H342">
            <v>0</v>
          </cell>
          <cell r="I342">
            <v>0</v>
          </cell>
          <cell r="J342" t="str">
            <v/>
          </cell>
          <cell r="K342" t="str">
            <v/>
          </cell>
          <cell r="L342" t="str">
            <v/>
          </cell>
          <cell r="M342" t="str">
            <v/>
          </cell>
          <cell r="N342">
            <v>0</v>
          </cell>
          <cell r="O342" t="str">
            <v/>
          </cell>
          <cell r="P342" t="str">
            <v/>
          </cell>
          <cell r="Q342" t="str">
            <v/>
          </cell>
          <cell r="R342">
            <v>0</v>
          </cell>
          <cell r="S342" t="str">
            <v/>
          </cell>
          <cell r="T342" t="str">
            <v/>
          </cell>
          <cell r="U342" t="str">
            <v/>
          </cell>
          <cell r="V342" t="str">
            <v/>
          </cell>
          <cell r="W342" t="str">
            <v/>
          </cell>
          <cell r="X342">
            <v>0</v>
          </cell>
          <cell r="Y342" t="str">
            <v/>
          </cell>
          <cell r="Z342" t="str">
            <v/>
          </cell>
          <cell r="AA342" t="str">
            <v/>
          </cell>
          <cell r="AB342" t="str">
            <v/>
          </cell>
          <cell r="AC342" t="str">
            <v/>
          </cell>
          <cell r="AD342" t="str">
            <v/>
          </cell>
          <cell r="AE342">
            <v>0</v>
          </cell>
          <cell r="AF342" t="str">
            <v/>
          </cell>
          <cell r="AG342" t="str">
            <v/>
          </cell>
          <cell r="AH342">
            <v>0</v>
          </cell>
          <cell r="AI342" t="str">
            <v/>
          </cell>
          <cell r="AJ342" t="str">
            <v/>
          </cell>
          <cell r="AK342" t="str">
            <v/>
          </cell>
          <cell r="AL342" t="str">
            <v/>
          </cell>
          <cell r="AM342">
            <v>0</v>
          </cell>
          <cell r="AN342" t="str">
            <v/>
          </cell>
          <cell r="AO342" t="str">
            <v/>
          </cell>
          <cell r="AP342" t="str">
            <v/>
          </cell>
          <cell r="AQ342" t="str">
            <v/>
          </cell>
          <cell r="AR342" t="str">
            <v/>
          </cell>
          <cell r="AS342">
            <v>0</v>
          </cell>
          <cell r="AT342" t="str">
            <v/>
          </cell>
          <cell r="AU342" t="str">
            <v/>
          </cell>
          <cell r="AV342" t="str">
            <v/>
          </cell>
          <cell r="AW342" t="str">
            <v/>
          </cell>
          <cell r="AX342" t="str">
            <v/>
          </cell>
          <cell r="AY342" t="str">
            <v/>
          </cell>
          <cell r="AZ342" t="str">
            <v/>
          </cell>
          <cell r="BA342" t="str">
            <v/>
          </cell>
          <cell r="BB342">
            <v>0</v>
          </cell>
          <cell r="BC342" t="str">
            <v/>
          </cell>
          <cell r="BD342" t="str">
            <v/>
          </cell>
          <cell r="BE342" t="str">
            <v/>
          </cell>
          <cell r="BF342" t="str">
            <v/>
          </cell>
          <cell r="BG342" t="str">
            <v/>
          </cell>
          <cell r="BH342">
            <v>0</v>
          </cell>
          <cell r="BI342" t="str">
            <v/>
          </cell>
          <cell r="BJ342" t="str">
            <v/>
          </cell>
          <cell r="BK342">
            <v>0</v>
          </cell>
          <cell r="BL342" t="str">
            <v/>
          </cell>
          <cell r="BM342" t="str">
            <v/>
          </cell>
          <cell r="BN342">
            <v>0</v>
          </cell>
          <cell r="BO342">
            <v>0</v>
          </cell>
          <cell r="BP342">
            <v>0</v>
          </cell>
          <cell r="BQ342">
            <v>0</v>
          </cell>
          <cell r="BR342">
            <v>0</v>
          </cell>
          <cell r="BS342">
            <v>0</v>
          </cell>
          <cell r="BT342" t="str">
            <v/>
          </cell>
          <cell r="BU342" t="str">
            <v/>
          </cell>
          <cell r="BV342" t="str">
            <v/>
          </cell>
          <cell r="BW342" t="str">
            <v/>
          </cell>
          <cell r="BX342" t="str">
            <v/>
          </cell>
          <cell r="BY342" t="str">
            <v/>
          </cell>
          <cell r="BZ342">
            <v>0</v>
          </cell>
          <cell r="CA342">
            <v>0</v>
          </cell>
          <cell r="CB342">
            <v>0</v>
          </cell>
          <cell r="CC342">
            <v>0</v>
          </cell>
          <cell r="CD342">
            <v>0</v>
          </cell>
          <cell r="CE342" t="str">
            <v/>
          </cell>
          <cell r="CF342" t="str">
            <v/>
          </cell>
          <cell r="CG342" t="str">
            <v/>
          </cell>
          <cell r="CH342" t="str">
            <v/>
          </cell>
          <cell r="CI342" t="str">
            <v/>
          </cell>
          <cell r="CJ342">
            <v>0</v>
          </cell>
          <cell r="CK342">
            <v>0</v>
          </cell>
          <cell r="CL342">
            <v>0</v>
          </cell>
          <cell r="CM342">
            <v>0</v>
          </cell>
          <cell r="CN342" t="str">
            <v/>
          </cell>
          <cell r="CO342" t="str">
            <v/>
          </cell>
          <cell r="CP342">
            <v>0</v>
          </cell>
          <cell r="CQ342" t="str">
            <v/>
          </cell>
          <cell r="CR342" t="str">
            <v/>
          </cell>
          <cell r="CS342" t="str">
            <v/>
          </cell>
          <cell r="CT342" t="str">
            <v/>
          </cell>
          <cell r="CU342" t="str">
            <v/>
          </cell>
          <cell r="CV342" t="str">
            <v/>
          </cell>
          <cell r="CW342" t="str">
            <v/>
          </cell>
          <cell r="CX342">
            <v>0</v>
          </cell>
          <cell r="CY342" t="str">
            <v/>
          </cell>
          <cell r="CZ342">
            <v>0</v>
          </cell>
          <cell r="DA342" t="str">
            <v/>
          </cell>
          <cell r="DB342" t="str">
            <v/>
          </cell>
          <cell r="DC342" t="str">
            <v/>
          </cell>
          <cell r="DD342" t="str">
            <v/>
          </cell>
          <cell r="DE342">
            <v>0</v>
          </cell>
          <cell r="DF342" t="str">
            <v/>
          </cell>
          <cell r="DG342" t="str">
            <v/>
          </cell>
          <cell r="DH342" t="str">
            <v/>
          </cell>
          <cell r="DI342">
            <v>0</v>
          </cell>
          <cell r="DJ342">
            <v>0</v>
          </cell>
          <cell r="DK342" t="str">
            <v/>
          </cell>
          <cell r="DL342" t="str">
            <v/>
          </cell>
          <cell r="DM342" t="str">
            <v/>
          </cell>
          <cell r="DN342" t="str">
            <v/>
          </cell>
          <cell r="DO342" t="str">
            <v/>
          </cell>
          <cell r="DP342" t="str">
            <v/>
          </cell>
          <cell r="DQ342" t="str">
            <v/>
          </cell>
          <cell r="DR342" t="str">
            <v/>
          </cell>
          <cell r="DS342" t="str">
            <v/>
          </cell>
          <cell r="DT342">
            <v>0</v>
          </cell>
          <cell r="DU342" t="str">
            <v/>
          </cell>
          <cell r="DV342" t="str">
            <v/>
          </cell>
          <cell r="DW342">
            <v>0</v>
          </cell>
          <cell r="DX342" t="str">
            <v/>
          </cell>
          <cell r="DY342" t="str">
            <v/>
          </cell>
          <cell r="DZ342" t="str">
            <v/>
          </cell>
          <cell r="EA342" t="str">
            <v/>
          </cell>
          <cell r="EB342">
            <v>0</v>
          </cell>
          <cell r="EC342" t="str">
            <v/>
          </cell>
          <cell r="EF342" t="str">
            <v/>
          </cell>
        </row>
        <row r="343">
          <cell r="E343">
            <v>42260.875</v>
          </cell>
          <cell r="F343">
            <v>0</v>
          </cell>
          <cell r="G343">
            <v>0</v>
          </cell>
          <cell r="H343">
            <v>0</v>
          </cell>
          <cell r="I343">
            <v>0</v>
          </cell>
          <cell r="J343" t="str">
            <v/>
          </cell>
          <cell r="K343" t="str">
            <v/>
          </cell>
          <cell r="L343" t="str">
            <v/>
          </cell>
          <cell r="M343" t="str">
            <v/>
          </cell>
          <cell r="N343">
            <v>0</v>
          </cell>
          <cell r="O343" t="str">
            <v/>
          </cell>
          <cell r="P343" t="str">
            <v/>
          </cell>
          <cell r="Q343" t="str">
            <v/>
          </cell>
          <cell r="R343">
            <v>0</v>
          </cell>
          <cell r="S343" t="str">
            <v/>
          </cell>
          <cell r="T343" t="str">
            <v/>
          </cell>
          <cell r="U343" t="str">
            <v/>
          </cell>
          <cell r="V343" t="str">
            <v/>
          </cell>
          <cell r="W343" t="str">
            <v/>
          </cell>
          <cell r="X343">
            <v>0</v>
          </cell>
          <cell r="Y343" t="str">
            <v/>
          </cell>
          <cell r="Z343" t="str">
            <v/>
          </cell>
          <cell r="AA343" t="str">
            <v/>
          </cell>
          <cell r="AB343" t="str">
            <v/>
          </cell>
          <cell r="AC343" t="str">
            <v/>
          </cell>
          <cell r="AD343" t="str">
            <v/>
          </cell>
          <cell r="AE343">
            <v>0</v>
          </cell>
          <cell r="AF343" t="str">
            <v/>
          </cell>
          <cell r="AG343" t="str">
            <v/>
          </cell>
          <cell r="AH343">
            <v>0</v>
          </cell>
          <cell r="AI343" t="str">
            <v/>
          </cell>
          <cell r="AJ343" t="str">
            <v/>
          </cell>
          <cell r="AK343" t="str">
            <v/>
          </cell>
          <cell r="AL343" t="str">
            <v/>
          </cell>
          <cell r="AM343">
            <v>0</v>
          </cell>
          <cell r="AN343" t="str">
            <v/>
          </cell>
          <cell r="AO343" t="str">
            <v/>
          </cell>
          <cell r="AP343" t="str">
            <v/>
          </cell>
          <cell r="AQ343" t="str">
            <v/>
          </cell>
          <cell r="AR343" t="str">
            <v/>
          </cell>
          <cell r="AS343">
            <v>0</v>
          </cell>
          <cell r="AT343" t="str">
            <v/>
          </cell>
          <cell r="AU343" t="str">
            <v/>
          </cell>
          <cell r="AV343" t="str">
            <v/>
          </cell>
          <cell r="AW343" t="str">
            <v/>
          </cell>
          <cell r="AX343" t="str">
            <v/>
          </cell>
          <cell r="AY343" t="str">
            <v/>
          </cell>
          <cell r="AZ343" t="str">
            <v/>
          </cell>
          <cell r="BA343" t="str">
            <v/>
          </cell>
          <cell r="BB343">
            <v>0</v>
          </cell>
          <cell r="BC343" t="str">
            <v/>
          </cell>
          <cell r="BD343" t="str">
            <v/>
          </cell>
          <cell r="BE343" t="str">
            <v/>
          </cell>
          <cell r="BF343" t="str">
            <v/>
          </cell>
          <cell r="BG343" t="str">
            <v/>
          </cell>
          <cell r="BH343">
            <v>0</v>
          </cell>
          <cell r="BI343" t="str">
            <v/>
          </cell>
          <cell r="BJ343" t="str">
            <v/>
          </cell>
          <cell r="BK343">
            <v>0</v>
          </cell>
          <cell r="BL343" t="str">
            <v/>
          </cell>
          <cell r="BM343" t="str">
            <v/>
          </cell>
          <cell r="BN343">
            <v>0</v>
          </cell>
          <cell r="BO343">
            <v>0</v>
          </cell>
          <cell r="BP343">
            <v>0</v>
          </cell>
          <cell r="BQ343">
            <v>0</v>
          </cell>
          <cell r="BR343">
            <v>0</v>
          </cell>
          <cell r="BS343">
            <v>0</v>
          </cell>
          <cell r="BT343" t="str">
            <v/>
          </cell>
          <cell r="BU343" t="str">
            <v/>
          </cell>
          <cell r="BV343" t="str">
            <v/>
          </cell>
          <cell r="BW343" t="str">
            <v/>
          </cell>
          <cell r="BX343" t="str">
            <v/>
          </cell>
          <cell r="BY343" t="str">
            <v/>
          </cell>
          <cell r="BZ343">
            <v>0</v>
          </cell>
          <cell r="CA343">
            <v>0</v>
          </cell>
          <cell r="CB343">
            <v>0</v>
          </cell>
          <cell r="CC343">
            <v>0</v>
          </cell>
          <cell r="CD343">
            <v>0</v>
          </cell>
          <cell r="CE343" t="str">
            <v/>
          </cell>
          <cell r="CF343" t="str">
            <v/>
          </cell>
          <cell r="CG343" t="str">
            <v/>
          </cell>
          <cell r="CH343" t="str">
            <v/>
          </cell>
          <cell r="CI343" t="str">
            <v/>
          </cell>
          <cell r="CJ343">
            <v>0</v>
          </cell>
          <cell r="CK343">
            <v>0</v>
          </cell>
          <cell r="CL343">
            <v>0</v>
          </cell>
          <cell r="CM343">
            <v>0</v>
          </cell>
          <cell r="CN343" t="str">
            <v/>
          </cell>
          <cell r="CO343" t="str">
            <v/>
          </cell>
          <cell r="CP343">
            <v>0</v>
          </cell>
          <cell r="CQ343" t="str">
            <v/>
          </cell>
          <cell r="CR343" t="str">
            <v/>
          </cell>
          <cell r="CS343" t="str">
            <v/>
          </cell>
          <cell r="CT343" t="str">
            <v/>
          </cell>
          <cell r="CU343" t="str">
            <v/>
          </cell>
          <cell r="CV343" t="str">
            <v/>
          </cell>
          <cell r="CW343" t="str">
            <v/>
          </cell>
          <cell r="CX343">
            <v>0</v>
          </cell>
          <cell r="CY343" t="str">
            <v/>
          </cell>
          <cell r="CZ343">
            <v>0</v>
          </cell>
          <cell r="DA343" t="str">
            <v/>
          </cell>
          <cell r="DB343" t="str">
            <v/>
          </cell>
          <cell r="DC343" t="str">
            <v/>
          </cell>
          <cell r="DD343" t="str">
            <v/>
          </cell>
          <cell r="DE343">
            <v>0</v>
          </cell>
          <cell r="DF343" t="str">
            <v/>
          </cell>
          <cell r="DG343" t="str">
            <v/>
          </cell>
          <cell r="DH343" t="str">
            <v/>
          </cell>
          <cell r="DI343">
            <v>0</v>
          </cell>
          <cell r="DJ343">
            <v>0</v>
          </cell>
          <cell r="DK343" t="str">
            <v/>
          </cell>
          <cell r="DL343" t="str">
            <v/>
          </cell>
          <cell r="DM343" t="str">
            <v/>
          </cell>
          <cell r="DN343" t="str">
            <v/>
          </cell>
          <cell r="DO343" t="str">
            <v/>
          </cell>
          <cell r="DP343" t="str">
            <v/>
          </cell>
          <cell r="DQ343" t="str">
            <v/>
          </cell>
          <cell r="DR343" t="str">
            <v/>
          </cell>
          <cell r="DS343" t="str">
            <v/>
          </cell>
          <cell r="DT343">
            <v>0</v>
          </cell>
          <cell r="DU343" t="str">
            <v/>
          </cell>
          <cell r="DV343" t="str">
            <v/>
          </cell>
          <cell r="DW343">
            <v>0</v>
          </cell>
          <cell r="DX343" t="str">
            <v/>
          </cell>
          <cell r="DY343" t="str">
            <v/>
          </cell>
          <cell r="DZ343" t="str">
            <v/>
          </cell>
          <cell r="EA343" t="str">
            <v/>
          </cell>
          <cell r="EB343">
            <v>0</v>
          </cell>
          <cell r="EC343" t="str">
            <v/>
          </cell>
          <cell r="EF343" t="str">
            <v/>
          </cell>
        </row>
        <row r="344">
          <cell r="E344">
            <v>42352.1875</v>
          </cell>
          <cell r="F344">
            <v>0</v>
          </cell>
          <cell r="G344">
            <v>0</v>
          </cell>
          <cell r="H344">
            <v>0</v>
          </cell>
          <cell r="I344">
            <v>0</v>
          </cell>
          <cell r="J344" t="str">
            <v/>
          </cell>
          <cell r="K344" t="str">
            <v/>
          </cell>
          <cell r="L344" t="str">
            <v/>
          </cell>
          <cell r="M344" t="str">
            <v/>
          </cell>
          <cell r="N344">
            <v>0</v>
          </cell>
          <cell r="O344" t="str">
            <v/>
          </cell>
          <cell r="P344" t="str">
            <v/>
          </cell>
          <cell r="Q344" t="str">
            <v/>
          </cell>
          <cell r="R344">
            <v>0</v>
          </cell>
          <cell r="S344" t="str">
            <v/>
          </cell>
          <cell r="T344" t="str">
            <v/>
          </cell>
          <cell r="U344" t="str">
            <v/>
          </cell>
          <cell r="V344" t="str">
            <v/>
          </cell>
          <cell r="W344" t="str">
            <v/>
          </cell>
          <cell r="X344">
            <v>0</v>
          </cell>
          <cell r="Y344" t="str">
            <v/>
          </cell>
          <cell r="Z344" t="str">
            <v/>
          </cell>
          <cell r="AA344" t="str">
            <v/>
          </cell>
          <cell r="AB344" t="str">
            <v/>
          </cell>
          <cell r="AC344" t="str">
            <v/>
          </cell>
          <cell r="AD344" t="str">
            <v/>
          </cell>
          <cell r="AE344">
            <v>0</v>
          </cell>
          <cell r="AF344" t="str">
            <v/>
          </cell>
          <cell r="AG344" t="str">
            <v/>
          </cell>
          <cell r="AH344">
            <v>0</v>
          </cell>
          <cell r="AI344" t="str">
            <v/>
          </cell>
          <cell r="AJ344" t="str">
            <v/>
          </cell>
          <cell r="AK344" t="str">
            <v/>
          </cell>
          <cell r="AL344" t="str">
            <v/>
          </cell>
          <cell r="AM344">
            <v>0</v>
          </cell>
          <cell r="AN344" t="str">
            <v/>
          </cell>
          <cell r="AO344" t="str">
            <v/>
          </cell>
          <cell r="AP344" t="str">
            <v/>
          </cell>
          <cell r="AQ344" t="str">
            <v/>
          </cell>
          <cell r="AR344" t="str">
            <v/>
          </cell>
          <cell r="AS344">
            <v>0</v>
          </cell>
          <cell r="AT344" t="str">
            <v/>
          </cell>
          <cell r="AU344" t="str">
            <v/>
          </cell>
          <cell r="AV344" t="str">
            <v/>
          </cell>
          <cell r="AW344" t="str">
            <v/>
          </cell>
          <cell r="AX344" t="str">
            <v/>
          </cell>
          <cell r="AY344" t="str">
            <v/>
          </cell>
          <cell r="AZ344" t="str">
            <v/>
          </cell>
          <cell r="BA344" t="str">
            <v/>
          </cell>
          <cell r="BB344">
            <v>0</v>
          </cell>
          <cell r="BC344" t="str">
            <v/>
          </cell>
          <cell r="BD344" t="str">
            <v/>
          </cell>
          <cell r="BE344" t="str">
            <v/>
          </cell>
          <cell r="BF344" t="str">
            <v/>
          </cell>
          <cell r="BG344" t="str">
            <v/>
          </cell>
          <cell r="BH344">
            <v>0</v>
          </cell>
          <cell r="BI344" t="str">
            <v/>
          </cell>
          <cell r="BJ344" t="str">
            <v/>
          </cell>
          <cell r="BK344">
            <v>0</v>
          </cell>
          <cell r="BL344" t="str">
            <v/>
          </cell>
          <cell r="BM344" t="str">
            <v/>
          </cell>
          <cell r="BN344">
            <v>0</v>
          </cell>
          <cell r="BO344">
            <v>0</v>
          </cell>
          <cell r="BP344">
            <v>0</v>
          </cell>
          <cell r="BQ344">
            <v>0</v>
          </cell>
          <cell r="BR344">
            <v>0</v>
          </cell>
          <cell r="BS344">
            <v>0</v>
          </cell>
          <cell r="BT344" t="str">
            <v/>
          </cell>
          <cell r="BU344" t="str">
            <v/>
          </cell>
          <cell r="BV344" t="str">
            <v/>
          </cell>
          <cell r="BW344" t="str">
            <v/>
          </cell>
          <cell r="BX344" t="str">
            <v/>
          </cell>
          <cell r="BY344" t="str">
            <v/>
          </cell>
          <cell r="BZ344">
            <v>0</v>
          </cell>
          <cell r="CA344">
            <v>0</v>
          </cell>
          <cell r="CB344">
            <v>0</v>
          </cell>
          <cell r="CC344">
            <v>0</v>
          </cell>
          <cell r="CD344">
            <v>0</v>
          </cell>
          <cell r="CE344" t="str">
            <v/>
          </cell>
          <cell r="CF344" t="str">
            <v/>
          </cell>
          <cell r="CG344" t="str">
            <v/>
          </cell>
          <cell r="CH344" t="str">
            <v/>
          </cell>
          <cell r="CI344" t="str">
            <v/>
          </cell>
          <cell r="CJ344">
            <v>0</v>
          </cell>
          <cell r="CK344">
            <v>0</v>
          </cell>
          <cell r="CL344">
            <v>0</v>
          </cell>
          <cell r="CM344">
            <v>0</v>
          </cell>
          <cell r="CN344" t="str">
            <v/>
          </cell>
          <cell r="CO344" t="str">
            <v/>
          </cell>
          <cell r="CP344">
            <v>0</v>
          </cell>
          <cell r="CQ344" t="str">
            <v/>
          </cell>
          <cell r="CR344" t="str">
            <v/>
          </cell>
          <cell r="CS344" t="str">
            <v/>
          </cell>
          <cell r="CT344" t="str">
            <v/>
          </cell>
          <cell r="CU344" t="str">
            <v/>
          </cell>
          <cell r="CV344" t="str">
            <v/>
          </cell>
          <cell r="CW344" t="str">
            <v/>
          </cell>
          <cell r="CX344">
            <v>0</v>
          </cell>
          <cell r="CY344" t="str">
            <v/>
          </cell>
          <cell r="CZ344">
            <v>0</v>
          </cell>
          <cell r="DA344" t="str">
            <v/>
          </cell>
          <cell r="DB344" t="str">
            <v/>
          </cell>
          <cell r="DC344" t="str">
            <v/>
          </cell>
          <cell r="DD344" t="str">
            <v/>
          </cell>
          <cell r="DE344">
            <v>0</v>
          </cell>
          <cell r="DF344" t="str">
            <v/>
          </cell>
          <cell r="DG344" t="str">
            <v/>
          </cell>
          <cell r="DH344" t="str">
            <v/>
          </cell>
          <cell r="DI344">
            <v>0</v>
          </cell>
          <cell r="DJ344">
            <v>0</v>
          </cell>
          <cell r="DK344" t="str">
            <v/>
          </cell>
          <cell r="DL344" t="str">
            <v/>
          </cell>
          <cell r="DM344" t="str">
            <v/>
          </cell>
          <cell r="DN344" t="str">
            <v/>
          </cell>
          <cell r="DO344" t="str">
            <v/>
          </cell>
          <cell r="DP344" t="str">
            <v/>
          </cell>
          <cell r="DQ344" t="str">
            <v/>
          </cell>
          <cell r="DR344" t="str">
            <v/>
          </cell>
          <cell r="DS344" t="str">
            <v/>
          </cell>
          <cell r="DT344">
            <v>0</v>
          </cell>
          <cell r="DU344" t="str">
            <v/>
          </cell>
          <cell r="DV344" t="str">
            <v/>
          </cell>
          <cell r="DW344">
            <v>0</v>
          </cell>
          <cell r="DX344" t="str">
            <v/>
          </cell>
          <cell r="DY344" t="str">
            <v/>
          </cell>
          <cell r="DZ344" t="str">
            <v/>
          </cell>
          <cell r="EA344" t="str">
            <v/>
          </cell>
          <cell r="EB344">
            <v>0</v>
          </cell>
          <cell r="EC344" t="str">
            <v/>
          </cell>
          <cell r="EF344" t="str">
            <v/>
          </cell>
        </row>
        <row r="345">
          <cell r="E345">
            <v>42443.5</v>
          </cell>
          <cell r="F345">
            <v>0</v>
          </cell>
          <cell r="G345">
            <v>0</v>
          </cell>
          <cell r="H345">
            <v>0</v>
          </cell>
          <cell r="I345">
            <v>0</v>
          </cell>
          <cell r="J345" t="str">
            <v/>
          </cell>
          <cell r="K345" t="str">
            <v/>
          </cell>
          <cell r="L345" t="str">
            <v/>
          </cell>
          <cell r="M345" t="str">
            <v/>
          </cell>
          <cell r="N345">
            <v>0</v>
          </cell>
          <cell r="O345" t="str">
            <v/>
          </cell>
          <cell r="P345" t="str">
            <v/>
          </cell>
          <cell r="Q345" t="str">
            <v/>
          </cell>
          <cell r="R345">
            <v>0</v>
          </cell>
          <cell r="S345" t="str">
            <v/>
          </cell>
          <cell r="T345" t="str">
            <v/>
          </cell>
          <cell r="U345" t="str">
            <v/>
          </cell>
          <cell r="V345" t="str">
            <v/>
          </cell>
          <cell r="W345" t="str">
            <v/>
          </cell>
          <cell r="X345">
            <v>0</v>
          </cell>
          <cell r="Y345" t="str">
            <v/>
          </cell>
          <cell r="Z345" t="str">
            <v/>
          </cell>
          <cell r="AA345" t="str">
            <v/>
          </cell>
          <cell r="AB345" t="str">
            <v/>
          </cell>
          <cell r="AC345" t="str">
            <v/>
          </cell>
          <cell r="AD345" t="str">
            <v/>
          </cell>
          <cell r="AE345">
            <v>0</v>
          </cell>
          <cell r="AF345" t="str">
            <v/>
          </cell>
          <cell r="AG345" t="str">
            <v/>
          </cell>
          <cell r="AH345">
            <v>0</v>
          </cell>
          <cell r="AI345" t="str">
            <v/>
          </cell>
          <cell r="AJ345" t="str">
            <v/>
          </cell>
          <cell r="AK345" t="str">
            <v/>
          </cell>
          <cell r="AL345" t="str">
            <v/>
          </cell>
          <cell r="AM345">
            <v>0</v>
          </cell>
          <cell r="AN345" t="str">
            <v/>
          </cell>
          <cell r="AO345" t="str">
            <v/>
          </cell>
          <cell r="AP345" t="str">
            <v/>
          </cell>
          <cell r="AQ345" t="str">
            <v/>
          </cell>
          <cell r="AR345" t="str">
            <v/>
          </cell>
          <cell r="AS345">
            <v>0</v>
          </cell>
          <cell r="AT345" t="str">
            <v/>
          </cell>
          <cell r="AU345" t="str">
            <v/>
          </cell>
          <cell r="AV345" t="str">
            <v/>
          </cell>
          <cell r="AW345" t="str">
            <v/>
          </cell>
          <cell r="AX345" t="str">
            <v/>
          </cell>
          <cell r="AY345" t="str">
            <v/>
          </cell>
          <cell r="AZ345" t="str">
            <v/>
          </cell>
          <cell r="BA345" t="str">
            <v/>
          </cell>
          <cell r="BB345">
            <v>0</v>
          </cell>
          <cell r="BC345" t="str">
            <v/>
          </cell>
          <cell r="BD345" t="str">
            <v/>
          </cell>
          <cell r="BE345" t="str">
            <v/>
          </cell>
          <cell r="BF345" t="str">
            <v/>
          </cell>
          <cell r="BG345" t="str">
            <v/>
          </cell>
          <cell r="BH345">
            <v>0</v>
          </cell>
          <cell r="BI345" t="str">
            <v/>
          </cell>
          <cell r="BJ345" t="str">
            <v/>
          </cell>
          <cell r="BK345">
            <v>0</v>
          </cell>
          <cell r="BL345" t="str">
            <v/>
          </cell>
          <cell r="BM345" t="str">
            <v/>
          </cell>
          <cell r="BN345">
            <v>0</v>
          </cell>
          <cell r="BO345">
            <v>0</v>
          </cell>
          <cell r="BP345">
            <v>0</v>
          </cell>
          <cell r="BQ345">
            <v>0</v>
          </cell>
          <cell r="BR345">
            <v>0</v>
          </cell>
          <cell r="BS345">
            <v>0</v>
          </cell>
          <cell r="BT345" t="str">
            <v/>
          </cell>
          <cell r="BU345" t="str">
            <v/>
          </cell>
          <cell r="BV345" t="str">
            <v/>
          </cell>
          <cell r="BW345" t="str">
            <v/>
          </cell>
          <cell r="BX345" t="str">
            <v/>
          </cell>
          <cell r="BY345" t="str">
            <v/>
          </cell>
          <cell r="BZ345">
            <v>0</v>
          </cell>
          <cell r="CA345">
            <v>0</v>
          </cell>
          <cell r="CB345">
            <v>0</v>
          </cell>
          <cell r="CC345">
            <v>0</v>
          </cell>
          <cell r="CD345">
            <v>0</v>
          </cell>
          <cell r="CE345" t="str">
            <v/>
          </cell>
          <cell r="CF345" t="str">
            <v/>
          </cell>
          <cell r="CG345" t="str">
            <v/>
          </cell>
          <cell r="CH345" t="str">
            <v/>
          </cell>
          <cell r="CI345" t="str">
            <v/>
          </cell>
          <cell r="CJ345">
            <v>0</v>
          </cell>
          <cell r="CK345">
            <v>0</v>
          </cell>
          <cell r="CL345">
            <v>0</v>
          </cell>
          <cell r="CM345">
            <v>0</v>
          </cell>
          <cell r="CN345" t="str">
            <v/>
          </cell>
          <cell r="CO345" t="str">
            <v/>
          </cell>
          <cell r="CP345">
            <v>0</v>
          </cell>
          <cell r="CQ345" t="str">
            <v/>
          </cell>
          <cell r="CR345" t="str">
            <v/>
          </cell>
          <cell r="CS345" t="str">
            <v/>
          </cell>
          <cell r="CT345" t="str">
            <v/>
          </cell>
          <cell r="CU345" t="str">
            <v/>
          </cell>
          <cell r="CV345" t="str">
            <v/>
          </cell>
          <cell r="CW345" t="str">
            <v/>
          </cell>
          <cell r="CX345">
            <v>0</v>
          </cell>
          <cell r="CY345" t="str">
            <v/>
          </cell>
          <cell r="CZ345">
            <v>0</v>
          </cell>
          <cell r="DA345" t="str">
            <v/>
          </cell>
          <cell r="DB345" t="str">
            <v/>
          </cell>
          <cell r="DC345" t="str">
            <v/>
          </cell>
          <cell r="DD345" t="str">
            <v/>
          </cell>
          <cell r="DE345">
            <v>0</v>
          </cell>
          <cell r="DF345" t="str">
            <v/>
          </cell>
          <cell r="DG345" t="str">
            <v/>
          </cell>
          <cell r="DH345" t="str">
            <v/>
          </cell>
          <cell r="DI345">
            <v>0</v>
          </cell>
          <cell r="DJ345">
            <v>0</v>
          </cell>
          <cell r="DK345" t="str">
            <v/>
          </cell>
          <cell r="DL345" t="str">
            <v/>
          </cell>
          <cell r="DM345" t="str">
            <v/>
          </cell>
          <cell r="DN345" t="str">
            <v/>
          </cell>
          <cell r="DO345" t="str">
            <v/>
          </cell>
          <cell r="DP345" t="str">
            <v/>
          </cell>
          <cell r="DQ345" t="str">
            <v/>
          </cell>
          <cell r="DR345" t="str">
            <v/>
          </cell>
          <cell r="DS345" t="str">
            <v/>
          </cell>
          <cell r="DT345">
            <v>0</v>
          </cell>
          <cell r="DU345" t="str">
            <v/>
          </cell>
          <cell r="DV345" t="str">
            <v/>
          </cell>
          <cell r="DW345">
            <v>0</v>
          </cell>
          <cell r="DX345" t="str">
            <v/>
          </cell>
          <cell r="DY345" t="str">
            <v/>
          </cell>
          <cell r="DZ345" t="str">
            <v/>
          </cell>
          <cell r="EA345" t="str">
            <v/>
          </cell>
          <cell r="EB345">
            <v>0</v>
          </cell>
          <cell r="EC345" t="str">
            <v/>
          </cell>
          <cell r="EF345" t="str">
            <v/>
          </cell>
        </row>
        <row r="346">
          <cell r="E346">
            <v>42534.8125</v>
          </cell>
          <cell r="F346">
            <v>0</v>
          </cell>
          <cell r="G346">
            <v>0</v>
          </cell>
          <cell r="H346">
            <v>0</v>
          </cell>
          <cell r="I346">
            <v>0</v>
          </cell>
          <cell r="J346" t="str">
            <v/>
          </cell>
          <cell r="K346" t="str">
            <v/>
          </cell>
          <cell r="L346" t="str">
            <v/>
          </cell>
          <cell r="M346" t="str">
            <v/>
          </cell>
          <cell r="N346">
            <v>0</v>
          </cell>
          <cell r="O346" t="str">
            <v/>
          </cell>
          <cell r="P346" t="str">
            <v/>
          </cell>
          <cell r="Q346" t="str">
            <v/>
          </cell>
          <cell r="R346">
            <v>0</v>
          </cell>
          <cell r="S346" t="str">
            <v/>
          </cell>
          <cell r="T346" t="str">
            <v/>
          </cell>
          <cell r="U346" t="str">
            <v/>
          </cell>
          <cell r="V346" t="str">
            <v/>
          </cell>
          <cell r="W346" t="str">
            <v/>
          </cell>
          <cell r="X346">
            <v>0</v>
          </cell>
          <cell r="Y346" t="str">
            <v/>
          </cell>
          <cell r="Z346" t="str">
            <v/>
          </cell>
          <cell r="AA346" t="str">
            <v/>
          </cell>
          <cell r="AB346" t="str">
            <v/>
          </cell>
          <cell r="AC346" t="str">
            <v/>
          </cell>
          <cell r="AD346" t="str">
            <v/>
          </cell>
          <cell r="AE346">
            <v>0</v>
          </cell>
          <cell r="AF346" t="str">
            <v/>
          </cell>
          <cell r="AG346" t="str">
            <v/>
          </cell>
          <cell r="AH346">
            <v>0</v>
          </cell>
          <cell r="AI346" t="str">
            <v/>
          </cell>
          <cell r="AJ346" t="str">
            <v/>
          </cell>
          <cell r="AK346" t="str">
            <v/>
          </cell>
          <cell r="AL346" t="str">
            <v/>
          </cell>
          <cell r="AM346">
            <v>0</v>
          </cell>
          <cell r="AN346" t="str">
            <v/>
          </cell>
          <cell r="AO346" t="str">
            <v/>
          </cell>
          <cell r="AP346" t="str">
            <v/>
          </cell>
          <cell r="AQ346" t="str">
            <v/>
          </cell>
          <cell r="AR346" t="str">
            <v/>
          </cell>
          <cell r="AS346">
            <v>0</v>
          </cell>
          <cell r="AT346" t="str">
            <v/>
          </cell>
          <cell r="AU346" t="str">
            <v/>
          </cell>
          <cell r="AV346" t="str">
            <v/>
          </cell>
          <cell r="AW346" t="str">
            <v/>
          </cell>
          <cell r="AX346" t="str">
            <v/>
          </cell>
          <cell r="AY346" t="str">
            <v/>
          </cell>
          <cell r="AZ346" t="str">
            <v/>
          </cell>
          <cell r="BA346" t="str">
            <v/>
          </cell>
          <cell r="BB346">
            <v>0</v>
          </cell>
          <cell r="BC346" t="str">
            <v/>
          </cell>
          <cell r="BD346" t="str">
            <v/>
          </cell>
          <cell r="BE346" t="str">
            <v/>
          </cell>
          <cell r="BF346" t="str">
            <v/>
          </cell>
          <cell r="BG346" t="str">
            <v/>
          </cell>
          <cell r="BH346">
            <v>0</v>
          </cell>
          <cell r="BI346" t="str">
            <v/>
          </cell>
          <cell r="BJ346" t="str">
            <v/>
          </cell>
          <cell r="BK346">
            <v>0</v>
          </cell>
          <cell r="BL346" t="str">
            <v/>
          </cell>
          <cell r="BM346" t="str">
            <v/>
          </cell>
          <cell r="BN346">
            <v>0</v>
          </cell>
          <cell r="BO346">
            <v>0</v>
          </cell>
          <cell r="BP346">
            <v>0</v>
          </cell>
          <cell r="BQ346">
            <v>0</v>
          </cell>
          <cell r="BR346">
            <v>0</v>
          </cell>
          <cell r="BS346">
            <v>0</v>
          </cell>
          <cell r="BT346" t="str">
            <v/>
          </cell>
          <cell r="BU346" t="str">
            <v/>
          </cell>
          <cell r="BV346" t="str">
            <v/>
          </cell>
          <cell r="BW346" t="str">
            <v/>
          </cell>
          <cell r="BX346" t="str">
            <v/>
          </cell>
          <cell r="BY346" t="str">
            <v/>
          </cell>
          <cell r="BZ346">
            <v>0</v>
          </cell>
          <cell r="CA346">
            <v>0</v>
          </cell>
          <cell r="CB346">
            <v>0</v>
          </cell>
          <cell r="CC346">
            <v>0</v>
          </cell>
          <cell r="CD346">
            <v>0</v>
          </cell>
          <cell r="CE346" t="str">
            <v/>
          </cell>
          <cell r="CF346" t="str">
            <v/>
          </cell>
          <cell r="CG346" t="str">
            <v/>
          </cell>
          <cell r="CH346" t="str">
            <v/>
          </cell>
          <cell r="CI346" t="str">
            <v/>
          </cell>
          <cell r="CJ346">
            <v>0</v>
          </cell>
          <cell r="CK346">
            <v>0</v>
          </cell>
          <cell r="CL346">
            <v>0</v>
          </cell>
          <cell r="CM346">
            <v>0</v>
          </cell>
          <cell r="CN346" t="str">
            <v/>
          </cell>
          <cell r="CO346" t="str">
            <v/>
          </cell>
          <cell r="CP346">
            <v>0</v>
          </cell>
          <cell r="CQ346" t="str">
            <v/>
          </cell>
          <cell r="CR346" t="str">
            <v/>
          </cell>
          <cell r="CS346" t="str">
            <v/>
          </cell>
          <cell r="CT346" t="str">
            <v/>
          </cell>
          <cell r="CU346" t="str">
            <v/>
          </cell>
          <cell r="CV346" t="str">
            <v/>
          </cell>
          <cell r="CW346" t="str">
            <v/>
          </cell>
          <cell r="CX346">
            <v>0</v>
          </cell>
          <cell r="CY346" t="str">
            <v/>
          </cell>
          <cell r="CZ346">
            <v>0</v>
          </cell>
          <cell r="DA346" t="str">
            <v/>
          </cell>
          <cell r="DB346" t="str">
            <v/>
          </cell>
          <cell r="DC346" t="str">
            <v/>
          </cell>
          <cell r="DD346" t="str">
            <v/>
          </cell>
          <cell r="DE346">
            <v>0</v>
          </cell>
          <cell r="DF346" t="str">
            <v/>
          </cell>
          <cell r="DG346" t="str">
            <v/>
          </cell>
          <cell r="DH346" t="str">
            <v/>
          </cell>
          <cell r="DI346">
            <v>0</v>
          </cell>
          <cell r="DJ346">
            <v>0</v>
          </cell>
          <cell r="DK346" t="str">
            <v/>
          </cell>
          <cell r="DL346" t="str">
            <v/>
          </cell>
          <cell r="DM346" t="str">
            <v/>
          </cell>
          <cell r="DN346" t="str">
            <v/>
          </cell>
          <cell r="DO346" t="str">
            <v/>
          </cell>
          <cell r="DP346" t="str">
            <v/>
          </cell>
          <cell r="DQ346" t="str">
            <v/>
          </cell>
          <cell r="DR346" t="str">
            <v/>
          </cell>
          <cell r="DS346" t="str">
            <v/>
          </cell>
          <cell r="DT346">
            <v>0</v>
          </cell>
          <cell r="DU346" t="str">
            <v/>
          </cell>
          <cell r="DV346" t="str">
            <v/>
          </cell>
          <cell r="DW346">
            <v>0</v>
          </cell>
          <cell r="DX346" t="str">
            <v/>
          </cell>
          <cell r="DY346" t="str">
            <v/>
          </cell>
          <cell r="DZ346" t="str">
            <v/>
          </cell>
          <cell r="EA346" t="str">
            <v/>
          </cell>
          <cell r="EB346">
            <v>0</v>
          </cell>
          <cell r="EC346" t="str">
            <v/>
          </cell>
          <cell r="EF346" t="str">
            <v/>
          </cell>
        </row>
        <row r="347">
          <cell r="E347">
            <v>42626.125</v>
          </cell>
          <cell r="F347">
            <v>0</v>
          </cell>
          <cell r="G347">
            <v>0</v>
          </cell>
          <cell r="H347">
            <v>0</v>
          </cell>
          <cell r="I347">
            <v>0</v>
          </cell>
          <cell r="J347" t="str">
            <v/>
          </cell>
          <cell r="K347" t="str">
            <v/>
          </cell>
          <cell r="L347" t="str">
            <v/>
          </cell>
          <cell r="M347" t="str">
            <v/>
          </cell>
          <cell r="N347">
            <v>0</v>
          </cell>
          <cell r="O347" t="str">
            <v/>
          </cell>
          <cell r="P347" t="str">
            <v/>
          </cell>
          <cell r="Q347" t="str">
            <v/>
          </cell>
          <cell r="R347">
            <v>0</v>
          </cell>
          <cell r="S347" t="str">
            <v/>
          </cell>
          <cell r="T347" t="str">
            <v/>
          </cell>
          <cell r="U347" t="str">
            <v/>
          </cell>
          <cell r="V347" t="str">
            <v/>
          </cell>
          <cell r="W347" t="str">
            <v/>
          </cell>
          <cell r="X347">
            <v>0</v>
          </cell>
          <cell r="Y347" t="str">
            <v/>
          </cell>
          <cell r="Z347" t="str">
            <v/>
          </cell>
          <cell r="AA347" t="str">
            <v/>
          </cell>
          <cell r="AB347" t="str">
            <v/>
          </cell>
          <cell r="AC347" t="str">
            <v/>
          </cell>
          <cell r="AD347" t="str">
            <v/>
          </cell>
          <cell r="AE347">
            <v>0</v>
          </cell>
          <cell r="AF347" t="str">
            <v/>
          </cell>
          <cell r="AG347" t="str">
            <v/>
          </cell>
          <cell r="AH347">
            <v>0</v>
          </cell>
          <cell r="AI347" t="str">
            <v/>
          </cell>
          <cell r="AJ347" t="str">
            <v/>
          </cell>
          <cell r="AK347" t="str">
            <v/>
          </cell>
          <cell r="AL347" t="str">
            <v/>
          </cell>
          <cell r="AM347">
            <v>0</v>
          </cell>
          <cell r="AN347" t="str">
            <v/>
          </cell>
          <cell r="AO347" t="str">
            <v/>
          </cell>
          <cell r="AP347" t="str">
            <v/>
          </cell>
          <cell r="AQ347" t="str">
            <v/>
          </cell>
          <cell r="AR347" t="str">
            <v/>
          </cell>
          <cell r="AS347">
            <v>0</v>
          </cell>
          <cell r="AT347" t="str">
            <v/>
          </cell>
          <cell r="AU347" t="str">
            <v/>
          </cell>
          <cell r="AV347" t="str">
            <v/>
          </cell>
          <cell r="AW347" t="str">
            <v/>
          </cell>
          <cell r="AX347" t="str">
            <v/>
          </cell>
          <cell r="AY347" t="str">
            <v/>
          </cell>
          <cell r="AZ347" t="str">
            <v/>
          </cell>
          <cell r="BA347" t="str">
            <v/>
          </cell>
          <cell r="BB347">
            <v>0</v>
          </cell>
          <cell r="BC347" t="str">
            <v/>
          </cell>
          <cell r="BD347" t="str">
            <v/>
          </cell>
          <cell r="BE347" t="str">
            <v/>
          </cell>
          <cell r="BF347" t="str">
            <v/>
          </cell>
          <cell r="BG347" t="str">
            <v/>
          </cell>
          <cell r="BH347">
            <v>0</v>
          </cell>
          <cell r="BI347" t="str">
            <v/>
          </cell>
          <cell r="BJ347" t="str">
            <v/>
          </cell>
          <cell r="BK347">
            <v>0</v>
          </cell>
          <cell r="BL347" t="str">
            <v/>
          </cell>
          <cell r="BM347" t="str">
            <v/>
          </cell>
          <cell r="BN347">
            <v>0</v>
          </cell>
          <cell r="BO347">
            <v>0</v>
          </cell>
          <cell r="BP347">
            <v>0</v>
          </cell>
          <cell r="BQ347">
            <v>0</v>
          </cell>
          <cell r="BR347">
            <v>0</v>
          </cell>
          <cell r="BS347">
            <v>0</v>
          </cell>
          <cell r="BT347" t="str">
            <v/>
          </cell>
          <cell r="BU347" t="str">
            <v/>
          </cell>
          <cell r="BV347" t="str">
            <v/>
          </cell>
          <cell r="BW347" t="str">
            <v/>
          </cell>
          <cell r="BX347" t="str">
            <v/>
          </cell>
          <cell r="BY347" t="str">
            <v/>
          </cell>
          <cell r="BZ347">
            <v>0</v>
          </cell>
          <cell r="CA347">
            <v>0</v>
          </cell>
          <cell r="CB347">
            <v>0</v>
          </cell>
          <cell r="CC347">
            <v>0</v>
          </cell>
          <cell r="CD347">
            <v>0</v>
          </cell>
          <cell r="CE347" t="str">
            <v/>
          </cell>
          <cell r="CF347" t="str">
            <v/>
          </cell>
          <cell r="CG347" t="str">
            <v/>
          </cell>
          <cell r="CH347" t="str">
            <v/>
          </cell>
          <cell r="CI347" t="str">
            <v/>
          </cell>
          <cell r="CJ347">
            <v>0</v>
          </cell>
          <cell r="CK347">
            <v>0</v>
          </cell>
          <cell r="CL347">
            <v>0</v>
          </cell>
          <cell r="CM347">
            <v>0</v>
          </cell>
          <cell r="CN347" t="str">
            <v/>
          </cell>
          <cell r="CO347" t="str">
            <v/>
          </cell>
          <cell r="CP347">
            <v>0</v>
          </cell>
          <cell r="CQ347" t="str">
            <v/>
          </cell>
          <cell r="CR347" t="str">
            <v/>
          </cell>
          <cell r="CS347" t="str">
            <v/>
          </cell>
          <cell r="CT347" t="str">
            <v/>
          </cell>
          <cell r="CU347" t="str">
            <v/>
          </cell>
          <cell r="CV347" t="str">
            <v/>
          </cell>
          <cell r="CW347" t="str">
            <v/>
          </cell>
          <cell r="CX347">
            <v>0</v>
          </cell>
          <cell r="CY347" t="str">
            <v/>
          </cell>
          <cell r="CZ347">
            <v>0</v>
          </cell>
          <cell r="DA347" t="str">
            <v/>
          </cell>
          <cell r="DB347" t="str">
            <v/>
          </cell>
          <cell r="DC347" t="str">
            <v/>
          </cell>
          <cell r="DD347" t="str">
            <v/>
          </cell>
          <cell r="DE347">
            <v>0</v>
          </cell>
          <cell r="DF347" t="str">
            <v/>
          </cell>
          <cell r="DG347" t="str">
            <v/>
          </cell>
          <cell r="DH347" t="str">
            <v/>
          </cell>
          <cell r="DI347">
            <v>0</v>
          </cell>
          <cell r="DJ347">
            <v>0</v>
          </cell>
          <cell r="DK347" t="str">
            <v/>
          </cell>
          <cell r="DL347" t="str">
            <v/>
          </cell>
          <cell r="DM347" t="str">
            <v/>
          </cell>
          <cell r="DN347" t="str">
            <v/>
          </cell>
          <cell r="DO347" t="str">
            <v/>
          </cell>
          <cell r="DP347" t="str">
            <v/>
          </cell>
          <cell r="DQ347" t="str">
            <v/>
          </cell>
          <cell r="DR347" t="str">
            <v/>
          </cell>
          <cell r="DS347" t="str">
            <v/>
          </cell>
          <cell r="DT347">
            <v>0</v>
          </cell>
          <cell r="DU347" t="str">
            <v/>
          </cell>
          <cell r="DV347" t="str">
            <v/>
          </cell>
          <cell r="DW347">
            <v>0</v>
          </cell>
          <cell r="DX347" t="str">
            <v/>
          </cell>
          <cell r="DY347" t="str">
            <v/>
          </cell>
          <cell r="DZ347" t="str">
            <v/>
          </cell>
          <cell r="EA347" t="str">
            <v/>
          </cell>
          <cell r="EB347">
            <v>0</v>
          </cell>
          <cell r="EC347" t="str">
            <v/>
          </cell>
          <cell r="EF347" t="str">
            <v/>
          </cell>
        </row>
        <row r="348">
          <cell r="E348">
            <v>42717.4375</v>
          </cell>
          <cell r="F348">
            <v>0</v>
          </cell>
          <cell r="G348">
            <v>0</v>
          </cell>
          <cell r="H348">
            <v>0</v>
          </cell>
          <cell r="I348">
            <v>0</v>
          </cell>
          <cell r="J348" t="str">
            <v/>
          </cell>
          <cell r="K348" t="str">
            <v/>
          </cell>
          <cell r="L348" t="str">
            <v/>
          </cell>
          <cell r="M348" t="str">
            <v/>
          </cell>
          <cell r="N348">
            <v>0</v>
          </cell>
          <cell r="O348" t="str">
            <v/>
          </cell>
          <cell r="P348" t="str">
            <v/>
          </cell>
          <cell r="Q348" t="str">
            <v/>
          </cell>
          <cell r="R348">
            <v>0</v>
          </cell>
          <cell r="S348" t="str">
            <v/>
          </cell>
          <cell r="T348" t="str">
            <v/>
          </cell>
          <cell r="U348" t="str">
            <v/>
          </cell>
          <cell r="V348" t="str">
            <v/>
          </cell>
          <cell r="W348" t="str">
            <v/>
          </cell>
          <cell r="X348">
            <v>0</v>
          </cell>
          <cell r="Y348" t="str">
            <v/>
          </cell>
          <cell r="Z348" t="str">
            <v/>
          </cell>
          <cell r="AA348" t="str">
            <v/>
          </cell>
          <cell r="AB348" t="str">
            <v/>
          </cell>
          <cell r="AC348" t="str">
            <v/>
          </cell>
          <cell r="AD348" t="str">
            <v/>
          </cell>
          <cell r="AE348">
            <v>0</v>
          </cell>
          <cell r="AF348" t="str">
            <v/>
          </cell>
          <cell r="AG348" t="str">
            <v/>
          </cell>
          <cell r="AH348">
            <v>0</v>
          </cell>
          <cell r="AI348" t="str">
            <v/>
          </cell>
          <cell r="AJ348" t="str">
            <v/>
          </cell>
          <cell r="AK348" t="str">
            <v/>
          </cell>
          <cell r="AL348" t="str">
            <v/>
          </cell>
          <cell r="AM348">
            <v>0</v>
          </cell>
          <cell r="AN348" t="str">
            <v/>
          </cell>
          <cell r="AO348" t="str">
            <v/>
          </cell>
          <cell r="AP348" t="str">
            <v/>
          </cell>
          <cell r="AQ348" t="str">
            <v/>
          </cell>
          <cell r="AR348" t="str">
            <v/>
          </cell>
          <cell r="AS348">
            <v>0</v>
          </cell>
          <cell r="AT348" t="str">
            <v/>
          </cell>
          <cell r="AU348" t="str">
            <v/>
          </cell>
          <cell r="AV348" t="str">
            <v/>
          </cell>
          <cell r="AW348" t="str">
            <v/>
          </cell>
          <cell r="AX348" t="str">
            <v/>
          </cell>
          <cell r="AY348" t="str">
            <v/>
          </cell>
          <cell r="AZ348" t="str">
            <v/>
          </cell>
          <cell r="BA348" t="str">
            <v/>
          </cell>
          <cell r="BB348">
            <v>0</v>
          </cell>
          <cell r="BC348" t="str">
            <v/>
          </cell>
          <cell r="BD348" t="str">
            <v/>
          </cell>
          <cell r="BE348" t="str">
            <v/>
          </cell>
          <cell r="BF348" t="str">
            <v/>
          </cell>
          <cell r="BG348" t="str">
            <v/>
          </cell>
          <cell r="BH348">
            <v>0</v>
          </cell>
          <cell r="BI348" t="str">
            <v/>
          </cell>
          <cell r="BJ348" t="str">
            <v/>
          </cell>
          <cell r="BK348">
            <v>0</v>
          </cell>
          <cell r="BL348" t="str">
            <v/>
          </cell>
          <cell r="BM348" t="str">
            <v/>
          </cell>
          <cell r="BN348">
            <v>0</v>
          </cell>
          <cell r="BO348">
            <v>0</v>
          </cell>
          <cell r="BP348">
            <v>0</v>
          </cell>
          <cell r="BQ348">
            <v>0</v>
          </cell>
          <cell r="BR348">
            <v>0</v>
          </cell>
          <cell r="BS348">
            <v>0</v>
          </cell>
          <cell r="BT348" t="str">
            <v/>
          </cell>
          <cell r="BU348" t="str">
            <v/>
          </cell>
          <cell r="BV348" t="str">
            <v/>
          </cell>
          <cell r="BW348" t="str">
            <v/>
          </cell>
          <cell r="BX348" t="str">
            <v/>
          </cell>
          <cell r="BY348" t="str">
            <v/>
          </cell>
          <cell r="BZ348">
            <v>0</v>
          </cell>
          <cell r="CA348">
            <v>0</v>
          </cell>
          <cell r="CB348">
            <v>0</v>
          </cell>
          <cell r="CC348">
            <v>0</v>
          </cell>
          <cell r="CD348">
            <v>0</v>
          </cell>
          <cell r="CE348" t="str">
            <v/>
          </cell>
          <cell r="CF348" t="str">
            <v/>
          </cell>
          <cell r="CG348" t="str">
            <v/>
          </cell>
          <cell r="CH348" t="str">
            <v/>
          </cell>
          <cell r="CI348" t="str">
            <v/>
          </cell>
          <cell r="CJ348">
            <v>0</v>
          </cell>
          <cell r="CK348">
            <v>0</v>
          </cell>
          <cell r="CL348">
            <v>0</v>
          </cell>
          <cell r="CM348">
            <v>0</v>
          </cell>
          <cell r="CN348" t="str">
            <v/>
          </cell>
          <cell r="CO348" t="str">
            <v/>
          </cell>
          <cell r="CP348">
            <v>0</v>
          </cell>
          <cell r="CQ348" t="str">
            <v/>
          </cell>
          <cell r="CR348" t="str">
            <v/>
          </cell>
          <cell r="CS348" t="str">
            <v/>
          </cell>
          <cell r="CT348" t="str">
            <v/>
          </cell>
          <cell r="CU348" t="str">
            <v/>
          </cell>
          <cell r="CV348" t="str">
            <v/>
          </cell>
          <cell r="CW348" t="str">
            <v/>
          </cell>
          <cell r="CX348">
            <v>0</v>
          </cell>
          <cell r="CY348" t="str">
            <v/>
          </cell>
          <cell r="CZ348">
            <v>0</v>
          </cell>
          <cell r="DA348" t="str">
            <v/>
          </cell>
          <cell r="DB348" t="str">
            <v/>
          </cell>
          <cell r="DC348" t="str">
            <v/>
          </cell>
          <cell r="DD348" t="str">
            <v/>
          </cell>
          <cell r="DE348">
            <v>0</v>
          </cell>
          <cell r="DF348" t="str">
            <v/>
          </cell>
          <cell r="DG348" t="str">
            <v/>
          </cell>
          <cell r="DH348" t="str">
            <v/>
          </cell>
          <cell r="DI348">
            <v>0</v>
          </cell>
          <cell r="DJ348">
            <v>0</v>
          </cell>
          <cell r="DK348" t="str">
            <v/>
          </cell>
          <cell r="DL348" t="str">
            <v/>
          </cell>
          <cell r="DM348" t="str">
            <v/>
          </cell>
          <cell r="DN348" t="str">
            <v/>
          </cell>
          <cell r="DO348" t="str">
            <v/>
          </cell>
          <cell r="DP348" t="str">
            <v/>
          </cell>
          <cell r="DQ348" t="str">
            <v/>
          </cell>
          <cell r="DR348" t="str">
            <v/>
          </cell>
          <cell r="DS348" t="str">
            <v/>
          </cell>
          <cell r="DT348">
            <v>0</v>
          </cell>
          <cell r="DU348" t="str">
            <v/>
          </cell>
          <cell r="DV348" t="str">
            <v/>
          </cell>
          <cell r="DW348">
            <v>0</v>
          </cell>
          <cell r="DX348" t="str">
            <v/>
          </cell>
          <cell r="DY348" t="str">
            <v/>
          </cell>
          <cell r="DZ348" t="str">
            <v/>
          </cell>
          <cell r="EA348" t="str">
            <v/>
          </cell>
          <cell r="EB348">
            <v>0</v>
          </cell>
          <cell r="EC348" t="str">
            <v/>
          </cell>
          <cell r="EF348" t="str">
            <v/>
          </cell>
        </row>
        <row r="349">
          <cell r="E349">
            <v>42808.75</v>
          </cell>
          <cell r="F349">
            <v>0</v>
          </cell>
          <cell r="G349">
            <v>0</v>
          </cell>
          <cell r="H349">
            <v>0</v>
          </cell>
          <cell r="I349">
            <v>0</v>
          </cell>
          <cell r="J349" t="str">
            <v/>
          </cell>
          <cell r="K349" t="str">
            <v/>
          </cell>
          <cell r="L349" t="str">
            <v/>
          </cell>
          <cell r="M349" t="str">
            <v/>
          </cell>
          <cell r="N349">
            <v>0</v>
          </cell>
          <cell r="O349" t="str">
            <v/>
          </cell>
          <cell r="P349" t="str">
            <v/>
          </cell>
          <cell r="Q349" t="str">
            <v/>
          </cell>
          <cell r="R349">
            <v>0</v>
          </cell>
          <cell r="S349" t="str">
            <v/>
          </cell>
          <cell r="T349" t="str">
            <v/>
          </cell>
          <cell r="U349" t="str">
            <v/>
          </cell>
          <cell r="V349" t="str">
            <v/>
          </cell>
          <cell r="W349" t="str">
            <v/>
          </cell>
          <cell r="X349">
            <v>0</v>
          </cell>
          <cell r="Y349" t="str">
            <v/>
          </cell>
          <cell r="Z349" t="str">
            <v/>
          </cell>
          <cell r="AA349" t="str">
            <v/>
          </cell>
          <cell r="AB349" t="str">
            <v/>
          </cell>
          <cell r="AC349" t="str">
            <v/>
          </cell>
          <cell r="AD349" t="str">
            <v/>
          </cell>
          <cell r="AE349">
            <v>0</v>
          </cell>
          <cell r="AF349" t="str">
            <v/>
          </cell>
          <cell r="AG349" t="str">
            <v/>
          </cell>
          <cell r="AH349">
            <v>0</v>
          </cell>
          <cell r="AI349" t="str">
            <v/>
          </cell>
          <cell r="AJ349" t="str">
            <v/>
          </cell>
          <cell r="AK349" t="str">
            <v/>
          </cell>
          <cell r="AL349" t="str">
            <v/>
          </cell>
          <cell r="AM349">
            <v>0</v>
          </cell>
          <cell r="AN349" t="str">
            <v/>
          </cell>
          <cell r="AO349" t="str">
            <v/>
          </cell>
          <cell r="AP349" t="str">
            <v/>
          </cell>
          <cell r="AQ349" t="str">
            <v/>
          </cell>
          <cell r="AR349" t="str">
            <v/>
          </cell>
          <cell r="AS349">
            <v>0</v>
          </cell>
          <cell r="AT349" t="str">
            <v/>
          </cell>
          <cell r="AU349" t="str">
            <v/>
          </cell>
          <cell r="AV349" t="str">
            <v/>
          </cell>
          <cell r="AW349" t="str">
            <v/>
          </cell>
          <cell r="AX349" t="str">
            <v/>
          </cell>
          <cell r="AY349" t="str">
            <v/>
          </cell>
          <cell r="AZ349" t="str">
            <v/>
          </cell>
          <cell r="BA349" t="str">
            <v/>
          </cell>
          <cell r="BB349">
            <v>0</v>
          </cell>
          <cell r="BC349" t="str">
            <v/>
          </cell>
          <cell r="BD349" t="str">
            <v/>
          </cell>
          <cell r="BE349" t="str">
            <v/>
          </cell>
          <cell r="BF349" t="str">
            <v/>
          </cell>
          <cell r="BG349" t="str">
            <v/>
          </cell>
          <cell r="BH349">
            <v>0</v>
          </cell>
          <cell r="BI349" t="str">
            <v/>
          </cell>
          <cell r="BJ349" t="str">
            <v/>
          </cell>
          <cell r="BK349">
            <v>0</v>
          </cell>
          <cell r="BL349" t="str">
            <v/>
          </cell>
          <cell r="BM349" t="str">
            <v/>
          </cell>
          <cell r="BN349">
            <v>0</v>
          </cell>
          <cell r="BO349">
            <v>0</v>
          </cell>
          <cell r="BP349">
            <v>0</v>
          </cell>
          <cell r="BQ349">
            <v>0</v>
          </cell>
          <cell r="BR349">
            <v>0</v>
          </cell>
          <cell r="BS349">
            <v>0</v>
          </cell>
          <cell r="BT349" t="str">
            <v/>
          </cell>
          <cell r="BU349" t="str">
            <v/>
          </cell>
          <cell r="BV349" t="str">
            <v/>
          </cell>
          <cell r="BW349" t="str">
            <v/>
          </cell>
          <cell r="BX349" t="str">
            <v/>
          </cell>
          <cell r="BY349" t="str">
            <v/>
          </cell>
          <cell r="BZ349">
            <v>0</v>
          </cell>
          <cell r="CA349">
            <v>0</v>
          </cell>
          <cell r="CB349">
            <v>0</v>
          </cell>
          <cell r="CC349">
            <v>0</v>
          </cell>
          <cell r="CD349">
            <v>0</v>
          </cell>
          <cell r="CE349" t="str">
            <v/>
          </cell>
          <cell r="CF349" t="str">
            <v/>
          </cell>
          <cell r="CG349" t="str">
            <v/>
          </cell>
          <cell r="CH349" t="str">
            <v/>
          </cell>
          <cell r="CI349" t="str">
            <v/>
          </cell>
          <cell r="CJ349">
            <v>0</v>
          </cell>
          <cell r="CK349">
            <v>0</v>
          </cell>
          <cell r="CL349">
            <v>0</v>
          </cell>
          <cell r="CM349">
            <v>0</v>
          </cell>
          <cell r="CN349" t="str">
            <v/>
          </cell>
          <cell r="CO349" t="str">
            <v/>
          </cell>
          <cell r="CP349">
            <v>0</v>
          </cell>
          <cell r="CQ349" t="str">
            <v/>
          </cell>
          <cell r="CR349" t="str">
            <v/>
          </cell>
          <cell r="CS349" t="str">
            <v/>
          </cell>
          <cell r="CT349" t="str">
            <v/>
          </cell>
          <cell r="CU349" t="str">
            <v/>
          </cell>
          <cell r="CV349" t="str">
            <v/>
          </cell>
          <cell r="CW349" t="str">
            <v/>
          </cell>
          <cell r="CX349">
            <v>0</v>
          </cell>
          <cell r="CY349" t="str">
            <v/>
          </cell>
          <cell r="CZ349">
            <v>0</v>
          </cell>
          <cell r="DA349" t="str">
            <v/>
          </cell>
          <cell r="DB349" t="str">
            <v/>
          </cell>
          <cell r="DC349" t="str">
            <v/>
          </cell>
          <cell r="DD349" t="str">
            <v/>
          </cell>
          <cell r="DE349">
            <v>0</v>
          </cell>
          <cell r="DF349" t="str">
            <v/>
          </cell>
          <cell r="DG349" t="str">
            <v/>
          </cell>
          <cell r="DH349" t="str">
            <v/>
          </cell>
          <cell r="DI349">
            <v>0</v>
          </cell>
          <cell r="DJ349">
            <v>0</v>
          </cell>
          <cell r="DK349" t="str">
            <v/>
          </cell>
          <cell r="DL349" t="str">
            <v/>
          </cell>
          <cell r="DM349" t="str">
            <v/>
          </cell>
          <cell r="DN349" t="str">
            <v/>
          </cell>
          <cell r="DO349" t="str">
            <v/>
          </cell>
          <cell r="DP349" t="str">
            <v/>
          </cell>
          <cell r="DQ349" t="str">
            <v/>
          </cell>
          <cell r="DR349" t="str">
            <v/>
          </cell>
          <cell r="DS349" t="str">
            <v/>
          </cell>
          <cell r="DT349">
            <v>0</v>
          </cell>
          <cell r="DU349" t="str">
            <v/>
          </cell>
          <cell r="DV349" t="str">
            <v/>
          </cell>
          <cell r="DW349">
            <v>0</v>
          </cell>
          <cell r="DX349" t="str">
            <v/>
          </cell>
          <cell r="DY349" t="str">
            <v/>
          </cell>
          <cell r="DZ349" t="str">
            <v/>
          </cell>
          <cell r="EA349" t="str">
            <v/>
          </cell>
          <cell r="EB349">
            <v>0</v>
          </cell>
          <cell r="EC349" t="str">
            <v/>
          </cell>
          <cell r="EF349" t="str">
            <v/>
          </cell>
        </row>
        <row r="350">
          <cell r="E350">
            <v>42900.0625</v>
          </cell>
          <cell r="F350">
            <v>0</v>
          </cell>
          <cell r="G350">
            <v>0</v>
          </cell>
          <cell r="H350">
            <v>0</v>
          </cell>
          <cell r="I350">
            <v>0</v>
          </cell>
          <cell r="J350" t="str">
            <v/>
          </cell>
          <cell r="K350" t="str">
            <v/>
          </cell>
          <cell r="L350" t="str">
            <v/>
          </cell>
          <cell r="M350" t="str">
            <v/>
          </cell>
          <cell r="N350">
            <v>0</v>
          </cell>
          <cell r="O350" t="str">
            <v/>
          </cell>
          <cell r="P350" t="str">
            <v/>
          </cell>
          <cell r="Q350" t="str">
            <v/>
          </cell>
          <cell r="R350">
            <v>0</v>
          </cell>
          <cell r="S350" t="str">
            <v/>
          </cell>
          <cell r="T350" t="str">
            <v/>
          </cell>
          <cell r="U350" t="str">
            <v/>
          </cell>
          <cell r="V350" t="str">
            <v/>
          </cell>
          <cell r="W350" t="str">
            <v/>
          </cell>
          <cell r="X350">
            <v>0</v>
          </cell>
          <cell r="Y350" t="str">
            <v/>
          </cell>
          <cell r="Z350" t="str">
            <v/>
          </cell>
          <cell r="AA350" t="str">
            <v/>
          </cell>
          <cell r="AB350" t="str">
            <v/>
          </cell>
          <cell r="AC350" t="str">
            <v/>
          </cell>
          <cell r="AD350" t="str">
            <v/>
          </cell>
          <cell r="AE350">
            <v>0</v>
          </cell>
          <cell r="AF350" t="str">
            <v/>
          </cell>
          <cell r="AG350" t="str">
            <v/>
          </cell>
          <cell r="AH350">
            <v>0</v>
          </cell>
          <cell r="AI350" t="str">
            <v/>
          </cell>
          <cell r="AJ350" t="str">
            <v/>
          </cell>
          <cell r="AK350" t="str">
            <v/>
          </cell>
          <cell r="AL350" t="str">
            <v/>
          </cell>
          <cell r="AM350">
            <v>0</v>
          </cell>
          <cell r="AN350" t="str">
            <v/>
          </cell>
          <cell r="AO350" t="str">
            <v/>
          </cell>
          <cell r="AP350" t="str">
            <v/>
          </cell>
          <cell r="AQ350" t="str">
            <v/>
          </cell>
          <cell r="AR350" t="str">
            <v/>
          </cell>
          <cell r="AS350">
            <v>0</v>
          </cell>
          <cell r="AT350" t="str">
            <v/>
          </cell>
          <cell r="AU350" t="str">
            <v/>
          </cell>
          <cell r="AV350" t="str">
            <v/>
          </cell>
          <cell r="AW350" t="str">
            <v/>
          </cell>
          <cell r="AX350" t="str">
            <v/>
          </cell>
          <cell r="AY350" t="str">
            <v/>
          </cell>
          <cell r="AZ350" t="str">
            <v/>
          </cell>
          <cell r="BA350" t="str">
            <v/>
          </cell>
          <cell r="BB350">
            <v>0</v>
          </cell>
          <cell r="BC350" t="str">
            <v/>
          </cell>
          <cell r="BD350" t="str">
            <v/>
          </cell>
          <cell r="BE350" t="str">
            <v/>
          </cell>
          <cell r="BF350" t="str">
            <v/>
          </cell>
          <cell r="BG350" t="str">
            <v/>
          </cell>
          <cell r="BH350">
            <v>0</v>
          </cell>
          <cell r="BI350" t="str">
            <v/>
          </cell>
          <cell r="BJ350" t="str">
            <v/>
          </cell>
          <cell r="BK350">
            <v>0</v>
          </cell>
          <cell r="BL350" t="str">
            <v/>
          </cell>
          <cell r="BM350" t="str">
            <v/>
          </cell>
          <cell r="BN350">
            <v>0</v>
          </cell>
          <cell r="BO350">
            <v>0</v>
          </cell>
          <cell r="BP350">
            <v>0</v>
          </cell>
          <cell r="BQ350">
            <v>0</v>
          </cell>
          <cell r="BR350">
            <v>0</v>
          </cell>
          <cell r="BS350">
            <v>0</v>
          </cell>
          <cell r="BT350" t="str">
            <v/>
          </cell>
          <cell r="BU350" t="str">
            <v/>
          </cell>
          <cell r="BV350" t="str">
            <v/>
          </cell>
          <cell r="BW350" t="str">
            <v/>
          </cell>
          <cell r="BX350" t="str">
            <v/>
          </cell>
          <cell r="BY350" t="str">
            <v/>
          </cell>
          <cell r="BZ350">
            <v>0</v>
          </cell>
          <cell r="CA350">
            <v>0</v>
          </cell>
          <cell r="CB350">
            <v>0</v>
          </cell>
          <cell r="CC350">
            <v>0</v>
          </cell>
          <cell r="CD350">
            <v>0</v>
          </cell>
          <cell r="CE350" t="str">
            <v/>
          </cell>
          <cell r="CF350" t="str">
            <v/>
          </cell>
          <cell r="CG350" t="str">
            <v/>
          </cell>
          <cell r="CH350" t="str">
            <v/>
          </cell>
          <cell r="CI350" t="str">
            <v/>
          </cell>
          <cell r="CJ350">
            <v>0</v>
          </cell>
          <cell r="CK350">
            <v>0</v>
          </cell>
          <cell r="CL350">
            <v>0</v>
          </cell>
          <cell r="CM350">
            <v>0</v>
          </cell>
          <cell r="CN350" t="str">
            <v/>
          </cell>
          <cell r="CO350" t="str">
            <v/>
          </cell>
          <cell r="CP350">
            <v>0</v>
          </cell>
          <cell r="CQ350" t="str">
            <v/>
          </cell>
          <cell r="CR350" t="str">
            <v/>
          </cell>
          <cell r="CS350" t="str">
            <v/>
          </cell>
          <cell r="CT350" t="str">
            <v/>
          </cell>
          <cell r="CU350" t="str">
            <v/>
          </cell>
          <cell r="CV350" t="str">
            <v/>
          </cell>
          <cell r="CW350" t="str">
            <v/>
          </cell>
          <cell r="CX350">
            <v>0</v>
          </cell>
          <cell r="CY350" t="str">
            <v/>
          </cell>
          <cell r="CZ350">
            <v>0</v>
          </cell>
          <cell r="DA350" t="str">
            <v/>
          </cell>
          <cell r="DB350" t="str">
            <v/>
          </cell>
          <cell r="DC350" t="str">
            <v/>
          </cell>
          <cell r="DD350" t="str">
            <v/>
          </cell>
          <cell r="DE350">
            <v>0</v>
          </cell>
          <cell r="DF350" t="str">
            <v/>
          </cell>
          <cell r="DG350" t="str">
            <v/>
          </cell>
          <cell r="DH350" t="str">
            <v/>
          </cell>
          <cell r="DI350">
            <v>0</v>
          </cell>
          <cell r="DJ350">
            <v>0</v>
          </cell>
          <cell r="DK350" t="str">
            <v/>
          </cell>
          <cell r="DL350" t="str">
            <v/>
          </cell>
          <cell r="DM350" t="str">
            <v/>
          </cell>
          <cell r="DN350" t="str">
            <v/>
          </cell>
          <cell r="DO350" t="str">
            <v/>
          </cell>
          <cell r="DP350" t="str">
            <v/>
          </cell>
          <cell r="DQ350" t="str">
            <v/>
          </cell>
          <cell r="DR350" t="str">
            <v/>
          </cell>
          <cell r="DS350" t="str">
            <v/>
          </cell>
          <cell r="DT350">
            <v>0</v>
          </cell>
          <cell r="DU350" t="str">
            <v/>
          </cell>
          <cell r="DV350" t="str">
            <v/>
          </cell>
          <cell r="DW350">
            <v>0</v>
          </cell>
          <cell r="DX350" t="str">
            <v/>
          </cell>
          <cell r="DY350" t="str">
            <v/>
          </cell>
          <cell r="DZ350" t="str">
            <v/>
          </cell>
          <cell r="EA350" t="str">
            <v/>
          </cell>
          <cell r="EB350">
            <v>0</v>
          </cell>
          <cell r="EC350" t="str">
            <v/>
          </cell>
          <cell r="EF350" t="str">
            <v/>
          </cell>
        </row>
        <row r="351">
          <cell r="E351">
            <v>42991.375</v>
          </cell>
          <cell r="F351">
            <v>0</v>
          </cell>
          <cell r="G351">
            <v>0</v>
          </cell>
          <cell r="H351">
            <v>0</v>
          </cell>
          <cell r="I351">
            <v>0</v>
          </cell>
          <cell r="J351" t="str">
            <v/>
          </cell>
          <cell r="K351" t="str">
            <v/>
          </cell>
          <cell r="L351" t="str">
            <v/>
          </cell>
          <cell r="M351" t="str">
            <v/>
          </cell>
          <cell r="N351">
            <v>0</v>
          </cell>
          <cell r="O351" t="str">
            <v/>
          </cell>
          <cell r="P351" t="str">
            <v/>
          </cell>
          <cell r="Q351" t="str">
            <v/>
          </cell>
          <cell r="R351">
            <v>0</v>
          </cell>
          <cell r="S351" t="str">
            <v/>
          </cell>
          <cell r="T351" t="str">
            <v/>
          </cell>
          <cell r="U351" t="str">
            <v/>
          </cell>
          <cell r="V351" t="str">
            <v/>
          </cell>
          <cell r="W351" t="str">
            <v/>
          </cell>
          <cell r="X351">
            <v>0</v>
          </cell>
          <cell r="Y351" t="str">
            <v/>
          </cell>
          <cell r="Z351" t="str">
            <v/>
          </cell>
          <cell r="AA351" t="str">
            <v/>
          </cell>
          <cell r="AB351" t="str">
            <v/>
          </cell>
          <cell r="AC351" t="str">
            <v/>
          </cell>
          <cell r="AD351" t="str">
            <v/>
          </cell>
          <cell r="AE351">
            <v>0</v>
          </cell>
          <cell r="AF351" t="str">
            <v/>
          </cell>
          <cell r="AG351" t="str">
            <v/>
          </cell>
          <cell r="AH351">
            <v>0</v>
          </cell>
          <cell r="AI351" t="str">
            <v/>
          </cell>
          <cell r="AJ351" t="str">
            <v/>
          </cell>
          <cell r="AK351" t="str">
            <v/>
          </cell>
          <cell r="AL351" t="str">
            <v/>
          </cell>
          <cell r="AM351">
            <v>0</v>
          </cell>
          <cell r="AN351" t="str">
            <v/>
          </cell>
          <cell r="AO351" t="str">
            <v/>
          </cell>
          <cell r="AP351" t="str">
            <v/>
          </cell>
          <cell r="AQ351" t="str">
            <v/>
          </cell>
          <cell r="AR351" t="str">
            <v/>
          </cell>
          <cell r="AS351">
            <v>0</v>
          </cell>
          <cell r="AT351" t="str">
            <v/>
          </cell>
          <cell r="AU351" t="str">
            <v/>
          </cell>
          <cell r="AV351" t="str">
            <v/>
          </cell>
          <cell r="AW351" t="str">
            <v/>
          </cell>
          <cell r="AX351" t="str">
            <v/>
          </cell>
          <cell r="AY351" t="str">
            <v/>
          </cell>
          <cell r="AZ351" t="str">
            <v/>
          </cell>
          <cell r="BA351" t="str">
            <v/>
          </cell>
          <cell r="BB351">
            <v>0</v>
          </cell>
          <cell r="BC351" t="str">
            <v/>
          </cell>
          <cell r="BD351" t="str">
            <v/>
          </cell>
          <cell r="BE351" t="str">
            <v/>
          </cell>
          <cell r="BF351" t="str">
            <v/>
          </cell>
          <cell r="BG351" t="str">
            <v/>
          </cell>
          <cell r="BH351">
            <v>0</v>
          </cell>
          <cell r="BI351" t="str">
            <v/>
          </cell>
          <cell r="BJ351" t="str">
            <v/>
          </cell>
          <cell r="BK351">
            <v>0</v>
          </cell>
          <cell r="BL351" t="str">
            <v/>
          </cell>
          <cell r="BM351" t="str">
            <v/>
          </cell>
          <cell r="BN351">
            <v>0</v>
          </cell>
          <cell r="BO351">
            <v>0</v>
          </cell>
          <cell r="BP351">
            <v>0</v>
          </cell>
          <cell r="BQ351">
            <v>0</v>
          </cell>
          <cell r="BR351">
            <v>0</v>
          </cell>
          <cell r="BS351">
            <v>0</v>
          </cell>
          <cell r="BT351" t="str">
            <v/>
          </cell>
          <cell r="BU351" t="str">
            <v/>
          </cell>
          <cell r="BV351" t="str">
            <v/>
          </cell>
          <cell r="BW351" t="str">
            <v/>
          </cell>
          <cell r="BX351" t="str">
            <v/>
          </cell>
          <cell r="BY351" t="str">
            <v/>
          </cell>
          <cell r="BZ351">
            <v>0</v>
          </cell>
          <cell r="CA351">
            <v>0</v>
          </cell>
          <cell r="CB351">
            <v>0</v>
          </cell>
          <cell r="CC351">
            <v>0</v>
          </cell>
          <cell r="CD351">
            <v>0</v>
          </cell>
          <cell r="CE351" t="str">
            <v/>
          </cell>
          <cell r="CF351" t="str">
            <v/>
          </cell>
          <cell r="CG351" t="str">
            <v/>
          </cell>
          <cell r="CH351" t="str">
            <v/>
          </cell>
          <cell r="CI351" t="str">
            <v/>
          </cell>
          <cell r="CJ351">
            <v>0</v>
          </cell>
          <cell r="CK351">
            <v>0</v>
          </cell>
          <cell r="CL351">
            <v>0</v>
          </cell>
          <cell r="CM351">
            <v>0</v>
          </cell>
          <cell r="CN351" t="str">
            <v/>
          </cell>
          <cell r="CO351" t="str">
            <v/>
          </cell>
          <cell r="CP351">
            <v>0</v>
          </cell>
          <cell r="CQ351" t="str">
            <v/>
          </cell>
          <cell r="CR351" t="str">
            <v/>
          </cell>
          <cell r="CS351" t="str">
            <v/>
          </cell>
          <cell r="CT351" t="str">
            <v/>
          </cell>
          <cell r="CU351" t="str">
            <v/>
          </cell>
          <cell r="CV351" t="str">
            <v/>
          </cell>
          <cell r="CW351" t="str">
            <v/>
          </cell>
          <cell r="CX351">
            <v>0</v>
          </cell>
          <cell r="CY351" t="str">
            <v/>
          </cell>
          <cell r="CZ351">
            <v>0</v>
          </cell>
          <cell r="DA351" t="str">
            <v/>
          </cell>
          <cell r="DB351" t="str">
            <v/>
          </cell>
          <cell r="DC351" t="str">
            <v/>
          </cell>
          <cell r="DD351" t="str">
            <v/>
          </cell>
          <cell r="DE351">
            <v>0</v>
          </cell>
          <cell r="DF351" t="str">
            <v/>
          </cell>
          <cell r="DG351" t="str">
            <v/>
          </cell>
          <cell r="DH351" t="str">
            <v/>
          </cell>
          <cell r="DI351">
            <v>0</v>
          </cell>
          <cell r="DJ351">
            <v>0</v>
          </cell>
          <cell r="DK351" t="str">
            <v/>
          </cell>
          <cell r="DL351" t="str">
            <v/>
          </cell>
          <cell r="DM351" t="str">
            <v/>
          </cell>
          <cell r="DN351" t="str">
            <v/>
          </cell>
          <cell r="DO351" t="str">
            <v/>
          </cell>
          <cell r="DP351" t="str">
            <v/>
          </cell>
          <cell r="DQ351" t="str">
            <v/>
          </cell>
          <cell r="DR351" t="str">
            <v/>
          </cell>
          <cell r="DS351" t="str">
            <v/>
          </cell>
          <cell r="DT351">
            <v>0</v>
          </cell>
          <cell r="DU351" t="str">
            <v/>
          </cell>
          <cell r="DV351" t="str">
            <v/>
          </cell>
          <cell r="DW351">
            <v>0</v>
          </cell>
          <cell r="DX351" t="str">
            <v/>
          </cell>
          <cell r="DY351" t="str">
            <v/>
          </cell>
          <cell r="DZ351" t="str">
            <v/>
          </cell>
          <cell r="EA351" t="str">
            <v/>
          </cell>
          <cell r="EB351">
            <v>0</v>
          </cell>
          <cell r="EC351" t="str">
            <v/>
          </cell>
          <cell r="EF351" t="str">
            <v/>
          </cell>
        </row>
        <row r="352">
          <cell r="E352">
            <v>43082.6875</v>
          </cell>
          <cell r="F352">
            <v>0</v>
          </cell>
          <cell r="G352">
            <v>0</v>
          </cell>
          <cell r="H352">
            <v>0</v>
          </cell>
          <cell r="I352">
            <v>0</v>
          </cell>
          <cell r="J352" t="str">
            <v/>
          </cell>
          <cell r="K352" t="str">
            <v/>
          </cell>
          <cell r="L352" t="str">
            <v/>
          </cell>
          <cell r="M352" t="str">
            <v/>
          </cell>
          <cell r="N352">
            <v>0</v>
          </cell>
          <cell r="O352" t="str">
            <v/>
          </cell>
          <cell r="P352" t="str">
            <v/>
          </cell>
          <cell r="Q352" t="str">
            <v/>
          </cell>
          <cell r="R352">
            <v>0</v>
          </cell>
          <cell r="S352" t="str">
            <v/>
          </cell>
          <cell r="T352" t="str">
            <v/>
          </cell>
          <cell r="U352" t="str">
            <v/>
          </cell>
          <cell r="V352" t="str">
            <v/>
          </cell>
          <cell r="W352" t="str">
            <v/>
          </cell>
          <cell r="X352">
            <v>0</v>
          </cell>
          <cell r="Y352" t="str">
            <v/>
          </cell>
          <cell r="Z352" t="str">
            <v/>
          </cell>
          <cell r="AA352" t="str">
            <v/>
          </cell>
          <cell r="AB352" t="str">
            <v/>
          </cell>
          <cell r="AC352" t="str">
            <v/>
          </cell>
          <cell r="AD352" t="str">
            <v/>
          </cell>
          <cell r="AE352">
            <v>0</v>
          </cell>
          <cell r="AF352" t="str">
            <v/>
          </cell>
          <cell r="AG352" t="str">
            <v/>
          </cell>
          <cell r="AH352">
            <v>0</v>
          </cell>
          <cell r="AI352" t="str">
            <v/>
          </cell>
          <cell r="AJ352" t="str">
            <v/>
          </cell>
          <cell r="AK352" t="str">
            <v/>
          </cell>
          <cell r="AL352" t="str">
            <v/>
          </cell>
          <cell r="AM352">
            <v>0</v>
          </cell>
          <cell r="AN352" t="str">
            <v/>
          </cell>
          <cell r="AO352" t="str">
            <v/>
          </cell>
          <cell r="AP352" t="str">
            <v/>
          </cell>
          <cell r="AQ352" t="str">
            <v/>
          </cell>
          <cell r="AR352" t="str">
            <v/>
          </cell>
          <cell r="AS352">
            <v>0</v>
          </cell>
          <cell r="AT352" t="str">
            <v/>
          </cell>
          <cell r="AU352" t="str">
            <v/>
          </cell>
          <cell r="AV352" t="str">
            <v/>
          </cell>
          <cell r="AW352" t="str">
            <v/>
          </cell>
          <cell r="AX352" t="str">
            <v/>
          </cell>
          <cell r="AY352" t="str">
            <v/>
          </cell>
          <cell r="AZ352" t="str">
            <v/>
          </cell>
          <cell r="BA352" t="str">
            <v/>
          </cell>
          <cell r="BB352">
            <v>0</v>
          </cell>
          <cell r="BC352" t="str">
            <v/>
          </cell>
          <cell r="BD352" t="str">
            <v/>
          </cell>
          <cell r="BE352" t="str">
            <v/>
          </cell>
          <cell r="BF352" t="str">
            <v/>
          </cell>
          <cell r="BG352" t="str">
            <v/>
          </cell>
          <cell r="BH352">
            <v>0</v>
          </cell>
          <cell r="BI352" t="str">
            <v/>
          </cell>
          <cell r="BJ352" t="str">
            <v/>
          </cell>
          <cell r="BK352">
            <v>0</v>
          </cell>
          <cell r="BL352" t="str">
            <v/>
          </cell>
          <cell r="BM352" t="str">
            <v/>
          </cell>
          <cell r="BN352">
            <v>0</v>
          </cell>
          <cell r="BO352">
            <v>0</v>
          </cell>
          <cell r="BP352">
            <v>0</v>
          </cell>
          <cell r="BQ352">
            <v>0</v>
          </cell>
          <cell r="BR352">
            <v>0</v>
          </cell>
          <cell r="BS352">
            <v>0</v>
          </cell>
          <cell r="BT352" t="str">
            <v/>
          </cell>
          <cell r="BU352" t="str">
            <v/>
          </cell>
          <cell r="BV352" t="str">
            <v/>
          </cell>
          <cell r="BW352" t="str">
            <v/>
          </cell>
          <cell r="BX352" t="str">
            <v/>
          </cell>
          <cell r="BY352" t="str">
            <v/>
          </cell>
          <cell r="BZ352">
            <v>0</v>
          </cell>
          <cell r="CA352">
            <v>0</v>
          </cell>
          <cell r="CB352">
            <v>0</v>
          </cell>
          <cell r="CC352">
            <v>0</v>
          </cell>
          <cell r="CD352">
            <v>0</v>
          </cell>
          <cell r="CE352" t="str">
            <v/>
          </cell>
          <cell r="CF352" t="str">
            <v/>
          </cell>
          <cell r="CG352" t="str">
            <v/>
          </cell>
          <cell r="CH352" t="str">
            <v/>
          </cell>
          <cell r="CI352" t="str">
            <v/>
          </cell>
          <cell r="CJ352">
            <v>0</v>
          </cell>
          <cell r="CK352">
            <v>0</v>
          </cell>
          <cell r="CL352">
            <v>0</v>
          </cell>
          <cell r="CM352">
            <v>0</v>
          </cell>
          <cell r="CN352" t="str">
            <v/>
          </cell>
          <cell r="CO352" t="str">
            <v/>
          </cell>
          <cell r="CP352">
            <v>0</v>
          </cell>
          <cell r="CQ352" t="str">
            <v/>
          </cell>
          <cell r="CR352" t="str">
            <v/>
          </cell>
          <cell r="CS352" t="str">
            <v/>
          </cell>
          <cell r="CT352" t="str">
            <v/>
          </cell>
          <cell r="CU352" t="str">
            <v/>
          </cell>
          <cell r="CV352" t="str">
            <v/>
          </cell>
          <cell r="CW352" t="str">
            <v/>
          </cell>
          <cell r="CX352">
            <v>0</v>
          </cell>
          <cell r="CY352" t="str">
            <v/>
          </cell>
          <cell r="CZ352">
            <v>0</v>
          </cell>
          <cell r="DA352" t="str">
            <v/>
          </cell>
          <cell r="DB352" t="str">
            <v/>
          </cell>
          <cell r="DC352" t="str">
            <v/>
          </cell>
          <cell r="DD352" t="str">
            <v/>
          </cell>
          <cell r="DE352">
            <v>0</v>
          </cell>
          <cell r="DF352" t="str">
            <v/>
          </cell>
          <cell r="DG352" t="str">
            <v/>
          </cell>
          <cell r="DH352" t="str">
            <v/>
          </cell>
          <cell r="DI352">
            <v>0</v>
          </cell>
          <cell r="DJ352">
            <v>0</v>
          </cell>
          <cell r="DK352" t="str">
            <v/>
          </cell>
          <cell r="DL352" t="str">
            <v/>
          </cell>
          <cell r="DM352" t="str">
            <v/>
          </cell>
          <cell r="DN352" t="str">
            <v/>
          </cell>
          <cell r="DO352" t="str">
            <v/>
          </cell>
          <cell r="DP352" t="str">
            <v/>
          </cell>
          <cell r="DQ352" t="str">
            <v/>
          </cell>
          <cell r="DR352" t="str">
            <v/>
          </cell>
          <cell r="DS352" t="str">
            <v/>
          </cell>
          <cell r="DT352">
            <v>0</v>
          </cell>
          <cell r="DU352" t="str">
            <v/>
          </cell>
          <cell r="DV352" t="str">
            <v/>
          </cell>
          <cell r="DW352">
            <v>0</v>
          </cell>
          <cell r="DX352" t="str">
            <v/>
          </cell>
          <cell r="DY352" t="str">
            <v/>
          </cell>
          <cell r="DZ352" t="str">
            <v/>
          </cell>
          <cell r="EA352" t="str">
            <v/>
          </cell>
          <cell r="EB352">
            <v>0</v>
          </cell>
          <cell r="EC352" t="str">
            <v/>
          </cell>
          <cell r="EF352" t="str">
            <v/>
          </cell>
        </row>
      </sheetData>
      <sheetData sheetId="11">
        <row r="174">
          <cell r="E174">
            <v>37238.6875</v>
          </cell>
          <cell r="BW174">
            <v>1</v>
          </cell>
        </row>
        <row r="175">
          <cell r="E175">
            <v>37330</v>
          </cell>
          <cell r="BW175" t="str">
            <v/>
          </cell>
        </row>
        <row r="176">
          <cell r="E176">
            <v>37421.3125</v>
          </cell>
          <cell r="BW176" t="str">
            <v/>
          </cell>
        </row>
        <row r="177">
          <cell r="E177">
            <v>37512.625</v>
          </cell>
          <cell r="BW177">
            <v>4</v>
          </cell>
        </row>
        <row r="178">
          <cell r="E178">
            <v>37603.9375</v>
          </cell>
          <cell r="BW178" t="str">
            <v/>
          </cell>
        </row>
        <row r="179">
          <cell r="E179">
            <v>37695.25</v>
          </cell>
          <cell r="BW179" t="str">
            <v/>
          </cell>
        </row>
        <row r="180">
          <cell r="E180">
            <v>37786.5625</v>
          </cell>
          <cell r="BW180" t="str">
            <v/>
          </cell>
        </row>
        <row r="181">
          <cell r="E181">
            <v>37877.875</v>
          </cell>
          <cell r="BW181">
            <v>8</v>
          </cell>
        </row>
        <row r="182">
          <cell r="E182">
            <v>37969.1875</v>
          </cell>
          <cell r="BW182" t="str">
            <v/>
          </cell>
        </row>
        <row r="183">
          <cell r="E183">
            <v>38060.5</v>
          </cell>
          <cell r="BW183" t="str">
            <v/>
          </cell>
        </row>
        <row r="184">
          <cell r="E184">
            <v>38151.8125</v>
          </cell>
          <cell r="BW184" t="str">
            <v/>
          </cell>
        </row>
        <row r="185">
          <cell r="E185">
            <v>38243.125</v>
          </cell>
          <cell r="BW185" t="str">
            <v/>
          </cell>
        </row>
        <row r="186">
          <cell r="E186">
            <v>38334.4375</v>
          </cell>
          <cell r="BW186" t="str">
            <v/>
          </cell>
        </row>
        <row r="187">
          <cell r="E187">
            <v>38425.75</v>
          </cell>
          <cell r="BW187" t="str">
            <v/>
          </cell>
        </row>
        <row r="188">
          <cell r="E188">
            <v>38517.0625</v>
          </cell>
          <cell r="BW188" t="str">
            <v/>
          </cell>
        </row>
        <row r="189">
          <cell r="E189">
            <v>38608.375</v>
          </cell>
          <cell r="BW189" t="str">
            <v/>
          </cell>
        </row>
        <row r="190">
          <cell r="E190">
            <v>38699.6875</v>
          </cell>
          <cell r="BW190" t="str">
            <v/>
          </cell>
        </row>
        <row r="191">
          <cell r="E191">
            <v>38791</v>
          </cell>
          <cell r="BW191" t="str">
            <v/>
          </cell>
        </row>
        <row r="192">
          <cell r="E192">
            <v>38882.3125</v>
          </cell>
          <cell r="BW192" t="str">
            <v/>
          </cell>
        </row>
        <row r="193">
          <cell r="E193">
            <v>38973.625</v>
          </cell>
          <cell r="BW193" t="str">
            <v/>
          </cell>
        </row>
        <row r="194">
          <cell r="E194">
            <v>39064.9375</v>
          </cell>
          <cell r="BW194" t="str">
            <v/>
          </cell>
        </row>
        <row r="195">
          <cell r="E195">
            <v>39156.25</v>
          </cell>
          <cell r="BW195" t="str">
            <v/>
          </cell>
        </row>
        <row r="196">
          <cell r="E196">
            <v>39247.5625</v>
          </cell>
          <cell r="BW196" t="str">
            <v/>
          </cell>
        </row>
        <row r="197">
          <cell r="E197">
            <v>39338.875</v>
          </cell>
          <cell r="BW197" t="str">
            <v/>
          </cell>
        </row>
        <row r="198">
          <cell r="E198">
            <v>39430.1875</v>
          </cell>
          <cell r="BW198" t="str">
            <v/>
          </cell>
        </row>
        <row r="199">
          <cell r="E199">
            <v>39521.5</v>
          </cell>
          <cell r="BW199" t="str">
            <v/>
          </cell>
        </row>
        <row r="200">
          <cell r="E200">
            <v>39612.8125</v>
          </cell>
          <cell r="BW200" t="str">
            <v/>
          </cell>
        </row>
        <row r="201">
          <cell r="E201">
            <v>39704.125</v>
          </cell>
          <cell r="BW201" t="str">
            <v/>
          </cell>
        </row>
        <row r="202">
          <cell r="E202">
            <v>39795.4375</v>
          </cell>
          <cell r="BW202" t="str">
            <v/>
          </cell>
        </row>
        <row r="203">
          <cell r="E203">
            <v>39886.75</v>
          </cell>
          <cell r="BW203" t="str">
            <v/>
          </cell>
        </row>
        <row r="204">
          <cell r="E204">
            <v>39978.0625</v>
          </cell>
          <cell r="BW204" t="str">
            <v/>
          </cell>
        </row>
        <row r="205">
          <cell r="E205">
            <v>40069.375</v>
          </cell>
          <cell r="BW205" t="str">
            <v/>
          </cell>
        </row>
        <row r="206">
          <cell r="E206">
            <v>40160.6875</v>
          </cell>
          <cell r="BW206" t="str">
            <v/>
          </cell>
        </row>
        <row r="207">
          <cell r="E207">
            <v>40252</v>
          </cell>
          <cell r="BW207" t="str">
            <v/>
          </cell>
        </row>
        <row r="208">
          <cell r="E208">
            <v>40343.3125</v>
          </cell>
          <cell r="BW208" t="str">
            <v/>
          </cell>
        </row>
        <row r="209">
          <cell r="E209">
            <v>40434.625</v>
          </cell>
          <cell r="BW209" t="str">
            <v/>
          </cell>
        </row>
        <row r="210">
          <cell r="E210">
            <v>40525.9375</v>
          </cell>
          <cell r="BW210" t="str">
            <v/>
          </cell>
        </row>
        <row r="211">
          <cell r="E211">
            <v>40617.25</v>
          </cell>
          <cell r="BW211" t="str">
            <v/>
          </cell>
        </row>
        <row r="212">
          <cell r="E212">
            <v>40708.5625</v>
          </cell>
          <cell r="BW212" t="str">
            <v/>
          </cell>
        </row>
        <row r="213">
          <cell r="E213">
            <v>40799.875</v>
          </cell>
          <cell r="BW213" t="str">
            <v/>
          </cell>
        </row>
        <row r="214">
          <cell r="E214">
            <v>40891.1875</v>
          </cell>
          <cell r="BW214" t="str">
            <v/>
          </cell>
        </row>
        <row r="215">
          <cell r="E215">
            <v>40982.5</v>
          </cell>
          <cell r="BW215" t="str">
            <v/>
          </cell>
        </row>
        <row r="216">
          <cell r="E216">
            <v>41073.8125</v>
          </cell>
          <cell r="BW216" t="str">
            <v/>
          </cell>
        </row>
        <row r="217">
          <cell r="E217">
            <v>41165.125</v>
          </cell>
          <cell r="BW217" t="str">
            <v/>
          </cell>
        </row>
        <row r="218">
          <cell r="E218">
            <v>41256.4375</v>
          </cell>
          <cell r="BW218" t="str">
            <v/>
          </cell>
        </row>
        <row r="219">
          <cell r="E219">
            <v>41347.75</v>
          </cell>
          <cell r="BW219" t="str">
            <v/>
          </cell>
        </row>
        <row r="220">
          <cell r="E220">
            <v>41439.0625</v>
          </cell>
          <cell r="BW220" t="str">
            <v/>
          </cell>
        </row>
        <row r="221">
          <cell r="E221">
            <v>41530.375</v>
          </cell>
          <cell r="BW221" t="str">
            <v/>
          </cell>
        </row>
        <row r="222">
          <cell r="E222">
            <v>41621.6875</v>
          </cell>
          <cell r="BW222" t="str">
            <v/>
          </cell>
        </row>
        <row r="223">
          <cell r="E223">
            <v>41713</v>
          </cell>
          <cell r="BW223" t="str">
            <v/>
          </cell>
        </row>
        <row r="224">
          <cell r="E224">
            <v>41804.3125</v>
          </cell>
          <cell r="BW224" t="str">
            <v/>
          </cell>
        </row>
        <row r="225">
          <cell r="E225">
            <v>41895.625</v>
          </cell>
          <cell r="BW225" t="str">
            <v/>
          </cell>
        </row>
        <row r="226">
          <cell r="E226">
            <v>41986.9375</v>
          </cell>
          <cell r="BW226" t="str">
            <v/>
          </cell>
        </row>
        <row r="227">
          <cell r="E227">
            <v>42078.25</v>
          </cell>
          <cell r="BW227" t="str">
            <v/>
          </cell>
        </row>
        <row r="228">
          <cell r="E228">
            <v>42169.5625</v>
          </cell>
          <cell r="BW228" t="str">
            <v/>
          </cell>
        </row>
        <row r="229">
          <cell r="E229">
            <v>42260.875</v>
          </cell>
          <cell r="BW229" t="str">
            <v/>
          </cell>
        </row>
        <row r="230">
          <cell r="E230">
            <v>42352.1875</v>
          </cell>
          <cell r="BW230" t="str">
            <v/>
          </cell>
        </row>
        <row r="231">
          <cell r="E231">
            <v>42443.5</v>
          </cell>
          <cell r="BW231" t="str">
            <v/>
          </cell>
        </row>
        <row r="232">
          <cell r="E232">
            <v>42534.8125</v>
          </cell>
          <cell r="BW232" t="str">
            <v/>
          </cell>
        </row>
        <row r="233">
          <cell r="E233">
            <v>42626.125</v>
          </cell>
          <cell r="BW233" t="str">
            <v/>
          </cell>
        </row>
        <row r="234">
          <cell r="E234">
            <v>42717.4375</v>
          </cell>
          <cell r="BW234" t="str">
            <v/>
          </cell>
        </row>
        <row r="235">
          <cell r="E235">
            <v>42808.75</v>
          </cell>
          <cell r="BW235" t="str">
            <v/>
          </cell>
        </row>
        <row r="236">
          <cell r="E236">
            <v>42900.0625</v>
          </cell>
          <cell r="BW236" t="str">
            <v/>
          </cell>
        </row>
        <row r="237">
          <cell r="E237">
            <v>42991.375</v>
          </cell>
          <cell r="BW237" t="str">
            <v/>
          </cell>
        </row>
        <row r="238">
          <cell r="E238">
            <v>43082.6875</v>
          </cell>
          <cell r="BW238" t="str">
            <v/>
          </cell>
        </row>
        <row r="239">
          <cell r="E239">
            <v>43174</v>
          </cell>
          <cell r="BW239" t="str">
            <v/>
          </cell>
        </row>
        <row r="240">
          <cell r="E240">
            <v>43265.3125</v>
          </cell>
          <cell r="BW240" t="str">
            <v/>
          </cell>
        </row>
        <row r="241">
          <cell r="E241">
            <v>43356.625</v>
          </cell>
          <cell r="BW241" t="str">
            <v/>
          </cell>
        </row>
        <row r="242">
          <cell r="E242">
            <v>43447.9375</v>
          </cell>
          <cell r="BW242" t="str">
            <v/>
          </cell>
        </row>
        <row r="243">
          <cell r="E243">
            <v>43539.25</v>
          </cell>
          <cell r="BW243" t="str">
            <v/>
          </cell>
        </row>
        <row r="244">
          <cell r="E244">
            <v>43630.5625</v>
          </cell>
          <cell r="BW244" t="str">
            <v/>
          </cell>
        </row>
        <row r="245">
          <cell r="E245">
            <v>43721.875</v>
          </cell>
          <cell r="BW245" t="str">
            <v/>
          </cell>
        </row>
      </sheetData>
      <sheetData sheetId="12">
        <row r="282">
          <cell r="F282">
            <v>36233.5</v>
          </cell>
          <cell r="G282">
            <v>1524.0349529999999</v>
          </cell>
          <cell r="H282">
            <v>6088.8595609999993</v>
          </cell>
          <cell r="I282">
            <v>1269.3468639999999</v>
          </cell>
          <cell r="J282">
            <v>4200.0508929999996</v>
          </cell>
          <cell r="K282">
            <v>10526.122948999999</v>
          </cell>
          <cell r="L282">
            <v>9570.4822540000005</v>
          </cell>
          <cell r="M282">
            <v>2848.8153229999998</v>
          </cell>
          <cell r="N282">
            <v>54.200820999999998</v>
          </cell>
          <cell r="O282">
            <v>523.27547099999992</v>
          </cell>
          <cell r="P282">
            <v>1571.9860699999999</v>
          </cell>
          <cell r="Q282">
            <v>2133.8738069999999</v>
          </cell>
          <cell r="R282">
            <v>323.02950199999998</v>
          </cell>
          <cell r="S282">
            <v>624.84566099999995</v>
          </cell>
          <cell r="T282">
            <v>12.545349</v>
          </cell>
          <cell r="U282">
            <v>8081.0955399999993</v>
          </cell>
          <cell r="V282">
            <v>11898.419352999999</v>
          </cell>
          <cell r="W282">
            <v>11045.142903</v>
          </cell>
          <cell r="X282">
            <v>903.38287099999991</v>
          </cell>
          <cell r="Y282">
            <v>66.149428999999998</v>
          </cell>
          <cell r="Z282">
            <v>454.28112499999997</v>
          </cell>
          <cell r="AA282">
            <v>9.5105500000000003</v>
          </cell>
          <cell r="AB282">
            <v>73729.451248999991</v>
          </cell>
          <cell r="AC282">
            <v>4142.7740919999997</v>
          </cell>
          <cell r="AD282">
            <v>1769.136309</v>
          </cell>
          <cell r="AE282">
            <v>13.295396999999999</v>
          </cell>
          <cell r="AF282">
            <v>76.50677499999999</v>
          </cell>
          <cell r="AG282">
            <v>185.97344799999999</v>
          </cell>
          <cell r="AH282">
            <v>10.418958</v>
          </cell>
          <cell r="AI282">
            <v>86.830139000000003</v>
          </cell>
          <cell r="AJ282">
            <v>64.404427999999996</v>
          </cell>
          <cell r="AK282">
            <v>807.22614999999996</v>
          </cell>
          <cell r="AL282">
            <v>37.394934999999997</v>
          </cell>
          <cell r="AM282">
            <v>164.52801099999999</v>
          </cell>
          <cell r="AN282">
            <v>47895.901848000001</v>
          </cell>
          <cell r="AO282">
            <v>47522.975163000003</v>
          </cell>
          <cell r="AP282">
            <v>0</v>
          </cell>
          <cell r="AQ282">
            <v>2.159675</v>
          </cell>
          <cell r="AR282">
            <v>795.09479999999996</v>
          </cell>
          <cell r="AS282">
            <v>794.68079999999998</v>
          </cell>
          <cell r="AT282">
            <v>838.11415899999997</v>
          </cell>
          <cell r="AU282">
            <v>725.72588199999996</v>
          </cell>
          <cell r="AV282">
            <v>674.05482599999993</v>
          </cell>
          <cell r="AW282">
            <v>23.223951</v>
          </cell>
          <cell r="AX282">
            <v>0</v>
          </cell>
          <cell r="AY282">
            <v>43.068049999999999</v>
          </cell>
          <cell r="AZ282">
            <v>9.0779999999999994</v>
          </cell>
          <cell r="BA282">
            <v>58351.614435999996</v>
          </cell>
          <cell r="BB282" t="str">
            <v/>
          </cell>
          <cell r="BC282">
            <v>1524.0349529999999</v>
          </cell>
          <cell r="BD282">
            <v>6088.8595609999993</v>
          </cell>
          <cell r="BE282">
            <v>1269.3468639999999</v>
          </cell>
          <cell r="BF282">
            <v>4200.0508929999996</v>
          </cell>
          <cell r="BG282">
            <v>10526.122948999999</v>
          </cell>
          <cell r="BH282">
            <v>9570.4822540000005</v>
          </cell>
          <cell r="BI282">
            <v>2848.8153229999998</v>
          </cell>
          <cell r="BJ282">
            <v>54.200820999999998</v>
          </cell>
          <cell r="BK282">
            <v>523.27547099999992</v>
          </cell>
          <cell r="BL282">
            <v>1571.9860699999999</v>
          </cell>
          <cell r="BM282">
            <v>2133.8738069999999</v>
          </cell>
          <cell r="BN282">
            <v>323.02950199999998</v>
          </cell>
          <cell r="BO282">
            <v>624.84566099999995</v>
          </cell>
          <cell r="BP282">
            <v>12.545349</v>
          </cell>
          <cell r="BQ282">
            <v>8081.0955399999993</v>
          </cell>
          <cell r="BR282">
            <v>11898.419352999999</v>
          </cell>
          <cell r="BS282">
            <v>11045.142903</v>
          </cell>
          <cell r="BT282">
            <v>903.38287099999991</v>
          </cell>
          <cell r="BU282">
            <v>66.149428999999998</v>
          </cell>
          <cell r="BV282">
            <v>454.28112499999997</v>
          </cell>
          <cell r="BW282">
            <v>9.5105500000000003</v>
          </cell>
          <cell r="BX282">
            <v>73729.451248999991</v>
          </cell>
          <cell r="BY282" t="str">
            <v/>
          </cell>
          <cell r="BZ282">
            <v>4142.7740919999997</v>
          </cell>
          <cell r="CA282">
            <v>1769.136309</v>
          </cell>
          <cell r="CB282">
            <v>13.295396999999999</v>
          </cell>
          <cell r="CC282">
            <v>76.50677499999999</v>
          </cell>
          <cell r="CD282">
            <v>185.97344799999999</v>
          </cell>
          <cell r="CE282">
            <v>10.418958</v>
          </cell>
          <cell r="CF282">
            <v>86.830139000000003</v>
          </cell>
          <cell r="CG282">
            <v>64.404427999999996</v>
          </cell>
          <cell r="CH282">
            <v>807.22614999999996</v>
          </cell>
          <cell r="CI282">
            <v>37.394934999999997</v>
          </cell>
          <cell r="CJ282">
            <v>164.52801099999999</v>
          </cell>
          <cell r="CK282">
            <v>47895.901848000001</v>
          </cell>
          <cell r="CL282">
            <v>47522.975163000003</v>
          </cell>
          <cell r="CM282">
            <v>0</v>
          </cell>
          <cell r="CN282">
            <v>2.159675</v>
          </cell>
          <cell r="CO282">
            <v>795.09479999999996</v>
          </cell>
          <cell r="CP282">
            <v>794.68079999999998</v>
          </cell>
          <cell r="CQ282">
            <v>838.11415899999997</v>
          </cell>
          <cell r="CR282">
            <v>725.72588199999996</v>
          </cell>
          <cell r="CS282">
            <v>674.05482599999993</v>
          </cell>
          <cell r="CT282">
            <v>23.223951</v>
          </cell>
          <cell r="CU282">
            <v>0</v>
          </cell>
          <cell r="CV282">
            <v>43.068049999999999</v>
          </cell>
          <cell r="CW282">
            <v>9.0779999999999994</v>
          </cell>
          <cell r="CX282">
            <v>58351.614435999996</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Y282">
            <v>1</v>
          </cell>
        </row>
        <row r="283">
          <cell r="F283">
            <v>36324.8125</v>
          </cell>
          <cell r="G283">
            <v>2081.3026030000001</v>
          </cell>
          <cell r="H283">
            <v>10983.822570999999</v>
          </cell>
          <cell r="I283">
            <v>1897.3702569999998</v>
          </cell>
          <cell r="J283">
            <v>7059.7405599999993</v>
          </cell>
          <cell r="K283">
            <v>15087.32072</v>
          </cell>
          <cell r="L283">
            <v>20127.479877999998</v>
          </cell>
          <cell r="M283">
            <v>2901.3283200000001</v>
          </cell>
          <cell r="N283">
            <v>66.128991999999997</v>
          </cell>
          <cell r="O283">
            <v>680.52636299999995</v>
          </cell>
          <cell r="P283">
            <v>2561.2075219999997</v>
          </cell>
          <cell r="Q283">
            <v>1953.9002229999999</v>
          </cell>
          <cell r="R283">
            <v>381.25577099999998</v>
          </cell>
          <cell r="S283">
            <v>741.06900199999995</v>
          </cell>
          <cell r="T283">
            <v>11.267042999999999</v>
          </cell>
          <cell r="U283">
            <v>9079.5680269999993</v>
          </cell>
          <cell r="V283">
            <v>13472.157251999999</v>
          </cell>
          <cell r="W283">
            <v>10824.002657999999</v>
          </cell>
          <cell r="X283">
            <v>988.69915499999991</v>
          </cell>
          <cell r="Y283">
            <v>76.583927000000003</v>
          </cell>
          <cell r="Z283">
            <v>622.68755899999996</v>
          </cell>
          <cell r="AA283">
            <v>27.417812999999999</v>
          </cell>
          <cell r="AB283">
            <v>101624.83621599998</v>
          </cell>
          <cell r="AC283">
            <v>3993.5844499999998</v>
          </cell>
          <cell r="AD283">
            <v>2105.6713880000002</v>
          </cell>
          <cell r="AE283">
            <v>77.991</v>
          </cell>
          <cell r="AF283">
            <v>26.846169</v>
          </cell>
          <cell r="AG283">
            <v>557.05717500000003</v>
          </cell>
          <cell r="AH283">
            <v>56.412413999999998</v>
          </cell>
          <cell r="AI283">
            <v>203.04456399999998</v>
          </cell>
          <cell r="AJ283">
            <v>118.306477</v>
          </cell>
          <cell r="AK283">
            <v>675.90046499999994</v>
          </cell>
          <cell r="AL283">
            <v>62.320802999999998</v>
          </cell>
          <cell r="AM283">
            <v>280.85281699999996</v>
          </cell>
          <cell r="AN283">
            <v>26503.024067999999</v>
          </cell>
          <cell r="AO283">
            <v>26058.822443000001</v>
          </cell>
          <cell r="AP283">
            <v>0.48253699999999999</v>
          </cell>
          <cell r="AQ283">
            <v>6.1757659999999994</v>
          </cell>
          <cell r="AR283">
            <v>1055.709067</v>
          </cell>
          <cell r="AS283">
            <v>1055.709067</v>
          </cell>
          <cell r="AT283">
            <v>1050.1224159999999</v>
          </cell>
          <cell r="AU283">
            <v>375.41683499999999</v>
          </cell>
          <cell r="AV283">
            <v>493.93883</v>
          </cell>
          <cell r="AW283">
            <v>122.30358899999999</v>
          </cell>
          <cell r="AX283">
            <v>0</v>
          </cell>
          <cell r="AY283">
            <v>5.7310530000000002</v>
          </cell>
          <cell r="AZ283">
            <v>43.201370999999995</v>
          </cell>
          <cell r="BA283">
            <v>37736.102254000005</v>
          </cell>
          <cell r="BB283" t="str">
            <v/>
          </cell>
          <cell r="BC283">
            <v>2081.3026030000001</v>
          </cell>
          <cell r="BD283">
            <v>10983.822570999999</v>
          </cell>
          <cell r="BE283">
            <v>1897.3702569999998</v>
          </cell>
          <cell r="BF283">
            <v>7059.7405599999993</v>
          </cell>
          <cell r="BG283">
            <v>15087.32072</v>
          </cell>
          <cell r="BH283">
            <v>20127.479877999998</v>
          </cell>
          <cell r="BI283">
            <v>2901.3283200000001</v>
          </cell>
          <cell r="BJ283">
            <v>66.128991999999997</v>
          </cell>
          <cell r="BK283">
            <v>680.52636299999995</v>
          </cell>
          <cell r="BL283">
            <v>2561.2075219999997</v>
          </cell>
          <cell r="BM283">
            <v>1953.9002229999999</v>
          </cell>
          <cell r="BN283">
            <v>381.25577099999998</v>
          </cell>
          <cell r="BO283">
            <v>741.06900199999995</v>
          </cell>
          <cell r="BP283">
            <v>11.267042999999999</v>
          </cell>
          <cell r="BQ283">
            <v>9079.5680269999993</v>
          </cell>
          <cell r="BR283">
            <v>13472.157251999999</v>
          </cell>
          <cell r="BS283">
            <v>10824.002657999999</v>
          </cell>
          <cell r="BT283">
            <v>988.69915499999991</v>
          </cell>
          <cell r="BU283">
            <v>76.583927000000003</v>
          </cell>
          <cell r="BV283">
            <v>622.68755899999996</v>
          </cell>
          <cell r="BW283">
            <v>27.417812999999999</v>
          </cell>
          <cell r="BX283">
            <v>101624.83621599998</v>
          </cell>
          <cell r="BY283" t="str">
            <v/>
          </cell>
          <cell r="BZ283">
            <v>3993.5844499999998</v>
          </cell>
          <cell r="CA283">
            <v>2105.6713880000002</v>
          </cell>
          <cell r="CB283">
            <v>77.991</v>
          </cell>
          <cell r="CC283">
            <v>26.846169</v>
          </cell>
          <cell r="CD283">
            <v>557.05717500000003</v>
          </cell>
          <cell r="CE283">
            <v>56.412413999999998</v>
          </cell>
          <cell r="CF283">
            <v>203.04456399999998</v>
          </cell>
          <cell r="CG283">
            <v>118.306477</v>
          </cell>
          <cell r="CH283">
            <v>675.90046499999994</v>
          </cell>
          <cell r="CI283">
            <v>62.320802999999998</v>
          </cell>
          <cell r="CJ283">
            <v>280.85281699999996</v>
          </cell>
          <cell r="CK283">
            <v>26503.024067999999</v>
          </cell>
          <cell r="CL283">
            <v>26058.822443000001</v>
          </cell>
          <cell r="CM283">
            <v>0.48253699999999999</v>
          </cell>
          <cell r="CN283">
            <v>6.1757659999999994</v>
          </cell>
          <cell r="CO283">
            <v>1055.709067</v>
          </cell>
          <cell r="CP283">
            <v>1055.709067</v>
          </cell>
          <cell r="CQ283">
            <v>1050.1224159999999</v>
          </cell>
          <cell r="CR283">
            <v>375.41683499999999</v>
          </cell>
          <cell r="CS283">
            <v>493.93883</v>
          </cell>
          <cell r="CT283">
            <v>122.30358899999999</v>
          </cell>
          <cell r="CU283">
            <v>0</v>
          </cell>
          <cell r="CV283">
            <v>5.7310530000000002</v>
          </cell>
          <cell r="CW283">
            <v>43.201370999999995</v>
          </cell>
          <cell r="CX283">
            <v>37736.102254000005</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Y283">
            <v>2</v>
          </cell>
        </row>
        <row r="284">
          <cell r="F284">
            <v>36416.125</v>
          </cell>
          <cell r="G284">
            <v>1514.9092819999998</v>
          </cell>
          <cell r="H284">
            <v>10599.895091999999</v>
          </cell>
          <cell r="I284">
            <v>1917.1152619999998</v>
          </cell>
          <cell r="J284">
            <v>4386.9202930000001</v>
          </cell>
          <cell r="K284">
            <v>14820.424317999999</v>
          </cell>
          <cell r="L284">
            <v>11928.693522</v>
          </cell>
          <cell r="M284">
            <v>1609.2046329999998</v>
          </cell>
          <cell r="N284">
            <v>123.122321</v>
          </cell>
          <cell r="O284">
            <v>421.39513299999999</v>
          </cell>
          <cell r="P284">
            <v>3509.5315889999997</v>
          </cell>
          <cell r="Q284">
            <v>1539.6543549999999</v>
          </cell>
          <cell r="R284">
            <v>286.04184099999998</v>
          </cell>
          <cell r="S284">
            <v>836.76998499999991</v>
          </cell>
          <cell r="T284">
            <v>41.964745000000001</v>
          </cell>
          <cell r="U284">
            <v>4955.1673940000001</v>
          </cell>
          <cell r="V284">
            <v>9765.2805929999995</v>
          </cell>
          <cell r="W284">
            <v>10032.308755</v>
          </cell>
          <cell r="X284">
            <v>1444.247435</v>
          </cell>
          <cell r="Y284">
            <v>59.014609</v>
          </cell>
          <cell r="Z284">
            <v>614.87671699999999</v>
          </cell>
          <cell r="AA284">
            <v>2.3808699999999998</v>
          </cell>
          <cell r="AB284">
            <v>80408.91874400001</v>
          </cell>
          <cell r="AC284">
            <v>2495.3374349999999</v>
          </cell>
          <cell r="AD284">
            <v>1690.513815</v>
          </cell>
          <cell r="AE284">
            <v>1.53</v>
          </cell>
          <cell r="AF284">
            <v>27.729627999999998</v>
          </cell>
          <cell r="AG284">
            <v>36.427999999999997</v>
          </cell>
          <cell r="AH284">
            <v>20.659167999999998</v>
          </cell>
          <cell r="AI284">
            <v>81.202556000000001</v>
          </cell>
          <cell r="AJ284">
            <v>88.834125</v>
          </cell>
          <cell r="AK284">
            <v>836.80888999999991</v>
          </cell>
          <cell r="AL284">
            <v>39.313505999999997</v>
          </cell>
          <cell r="AM284">
            <v>187.87219999999999</v>
          </cell>
          <cell r="AN284">
            <v>16302.075219999999</v>
          </cell>
          <cell r="AO284">
            <v>16044.351736000001</v>
          </cell>
          <cell r="AP284">
            <v>1.4999999999999999E-2</v>
          </cell>
          <cell r="AQ284">
            <v>3.426275</v>
          </cell>
          <cell r="AR284">
            <v>629.20972999999992</v>
          </cell>
          <cell r="AS284">
            <v>629.20973000000004</v>
          </cell>
          <cell r="AT284">
            <v>865.13610499999993</v>
          </cell>
          <cell r="AU284">
            <v>1123.565566</v>
          </cell>
          <cell r="AV284">
            <v>563.41526899999997</v>
          </cell>
          <cell r="AW284">
            <v>13.322203999999999</v>
          </cell>
          <cell r="AX284">
            <v>0</v>
          </cell>
          <cell r="AY284">
            <v>14.491499999999998</v>
          </cell>
          <cell r="AZ284">
            <v>11.972474999999999</v>
          </cell>
          <cell r="BA284">
            <v>25031.328667000002</v>
          </cell>
          <cell r="BB284" t="str">
            <v/>
          </cell>
          <cell r="BC284">
            <v>1514.9092819999998</v>
          </cell>
          <cell r="BD284">
            <v>10599.895091999999</v>
          </cell>
          <cell r="BE284">
            <v>1917.1152619999998</v>
          </cell>
          <cell r="BF284">
            <v>4386.9202930000001</v>
          </cell>
          <cell r="BG284">
            <v>14820.424317999999</v>
          </cell>
          <cell r="BH284">
            <v>11928.693522</v>
          </cell>
          <cell r="BI284">
            <v>1609.2046329999998</v>
          </cell>
          <cell r="BJ284">
            <v>123.122321</v>
          </cell>
          <cell r="BK284">
            <v>421.39513299999999</v>
          </cell>
          <cell r="BL284">
            <v>3509.5315889999997</v>
          </cell>
          <cell r="BM284">
            <v>1539.6543549999999</v>
          </cell>
          <cell r="BN284">
            <v>286.04184099999998</v>
          </cell>
          <cell r="BO284">
            <v>836.76998499999991</v>
          </cell>
          <cell r="BP284">
            <v>41.964745000000001</v>
          </cell>
          <cell r="BQ284">
            <v>4955.1673940000001</v>
          </cell>
          <cell r="BR284">
            <v>9765.2805929999995</v>
          </cell>
          <cell r="BS284">
            <v>10032.308755</v>
          </cell>
          <cell r="BT284">
            <v>1444.247435</v>
          </cell>
          <cell r="BU284">
            <v>59.014609</v>
          </cell>
          <cell r="BV284">
            <v>614.87671699999999</v>
          </cell>
          <cell r="BW284">
            <v>2.3808699999999998</v>
          </cell>
          <cell r="BX284">
            <v>80408.91874400001</v>
          </cell>
          <cell r="BY284" t="str">
            <v/>
          </cell>
          <cell r="BZ284">
            <v>2495.3374349999999</v>
          </cell>
          <cell r="CA284">
            <v>1690.513815</v>
          </cell>
          <cell r="CB284">
            <v>1.53</v>
          </cell>
          <cell r="CC284">
            <v>27.729627999999998</v>
          </cell>
          <cell r="CD284">
            <v>36.427999999999997</v>
          </cell>
          <cell r="CE284">
            <v>20.659167999999998</v>
          </cell>
          <cell r="CF284">
            <v>81.202556000000001</v>
          </cell>
          <cell r="CG284">
            <v>88.834125</v>
          </cell>
          <cell r="CH284">
            <v>836.80888999999991</v>
          </cell>
          <cell r="CI284">
            <v>39.313505999999997</v>
          </cell>
          <cell r="CJ284">
            <v>187.87219999999999</v>
          </cell>
          <cell r="CK284">
            <v>16302.075219999999</v>
          </cell>
          <cell r="CL284">
            <v>16044.351736000001</v>
          </cell>
          <cell r="CM284">
            <v>1.4999999999999999E-2</v>
          </cell>
          <cell r="CN284">
            <v>3.426275</v>
          </cell>
          <cell r="CO284">
            <v>629.20972999999992</v>
          </cell>
          <cell r="CP284">
            <v>629.20973000000004</v>
          </cell>
          <cell r="CQ284">
            <v>865.13610499999993</v>
          </cell>
          <cell r="CR284">
            <v>1123.565566</v>
          </cell>
          <cell r="CS284">
            <v>563.41526899999997</v>
          </cell>
          <cell r="CT284">
            <v>13.322203999999999</v>
          </cell>
          <cell r="CU284">
            <v>0</v>
          </cell>
          <cell r="CV284">
            <v>14.491499999999998</v>
          </cell>
          <cell r="CW284">
            <v>11.972474999999999</v>
          </cell>
          <cell r="CX284">
            <v>25031.328667000002</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Y284">
            <v>3</v>
          </cell>
        </row>
        <row r="285">
          <cell r="F285">
            <v>36507.4375</v>
          </cell>
          <cell r="G285">
            <v>1950.183309</v>
          </cell>
          <cell r="H285">
            <v>7938.658684</v>
          </cell>
          <cell r="I285">
            <v>1591.369205</v>
          </cell>
          <cell r="J285">
            <v>5318.7981179999997</v>
          </cell>
          <cell r="K285">
            <v>15552.548417999998</v>
          </cell>
          <cell r="L285">
            <v>13685.803078999999</v>
          </cell>
          <cell r="M285">
            <v>3018.8117969999998</v>
          </cell>
          <cell r="N285">
            <v>37.785013999999997</v>
          </cell>
          <cell r="O285">
            <v>445.94957799999997</v>
          </cell>
          <cell r="P285">
            <v>2788.7824489999998</v>
          </cell>
          <cell r="Q285">
            <v>2454.2828850000001</v>
          </cell>
          <cell r="R285">
            <v>527.21489499999996</v>
          </cell>
          <cell r="S285">
            <v>537.89404999999999</v>
          </cell>
          <cell r="T285">
            <v>4.9774329999999996</v>
          </cell>
          <cell r="U285">
            <v>6176.1870959999997</v>
          </cell>
          <cell r="V285">
            <v>19745.208762999999</v>
          </cell>
          <cell r="W285">
            <v>10570.005184</v>
          </cell>
          <cell r="X285">
            <v>1837.12726</v>
          </cell>
          <cell r="Y285">
            <v>194.522605</v>
          </cell>
          <cell r="Z285">
            <v>600.85537799999997</v>
          </cell>
          <cell r="AA285">
            <v>0.46949999999999997</v>
          </cell>
          <cell r="AB285">
            <v>94977.434699999998</v>
          </cell>
          <cell r="AC285">
            <v>3096.0798</v>
          </cell>
          <cell r="AD285">
            <v>1104.3657459999999</v>
          </cell>
          <cell r="AE285">
            <v>7.5324999999999998</v>
          </cell>
          <cell r="AF285">
            <v>23.394448999999998</v>
          </cell>
          <cell r="AG285">
            <v>230.19106299999999</v>
          </cell>
          <cell r="AH285">
            <v>16.909921000000001</v>
          </cell>
          <cell r="AI285">
            <v>81.931522999999999</v>
          </cell>
          <cell r="AJ285">
            <v>97.501329999999996</v>
          </cell>
          <cell r="AK285">
            <v>924.45767999999998</v>
          </cell>
          <cell r="AL285">
            <v>55.549419</v>
          </cell>
          <cell r="AM285">
            <v>186.24285</v>
          </cell>
          <cell r="AN285">
            <v>2819.8817779999999</v>
          </cell>
          <cell r="AO285">
            <v>2658.4676300000001</v>
          </cell>
          <cell r="AP285">
            <v>1.975E-2</v>
          </cell>
          <cell r="AQ285">
            <v>4.2210469999999995</v>
          </cell>
          <cell r="AR285">
            <v>680.26409799999999</v>
          </cell>
          <cell r="AS285">
            <v>680.26409799999999</v>
          </cell>
          <cell r="AT285">
            <v>696.98840099999995</v>
          </cell>
          <cell r="AU285">
            <v>571.52045199999998</v>
          </cell>
          <cell r="AV285">
            <v>364.99413899999996</v>
          </cell>
          <cell r="AW285">
            <v>84.853574999999992</v>
          </cell>
          <cell r="AX285">
            <v>0</v>
          </cell>
          <cell r="AY285">
            <v>14.864773999999999</v>
          </cell>
          <cell r="AZ285">
            <v>14.760133999999999</v>
          </cell>
          <cell r="BA285">
            <v>11068.991929000002</v>
          </cell>
          <cell r="BB285" t="str">
            <v/>
          </cell>
          <cell r="BC285">
            <v>1950.183309</v>
          </cell>
          <cell r="BD285">
            <v>7938.658684</v>
          </cell>
          <cell r="BE285">
            <v>1591.369205</v>
          </cell>
          <cell r="BF285">
            <v>5318.7981179999997</v>
          </cell>
          <cell r="BG285">
            <v>15552.548417999998</v>
          </cell>
          <cell r="BH285">
            <v>13685.803078999999</v>
          </cell>
          <cell r="BI285">
            <v>3018.8117969999998</v>
          </cell>
          <cell r="BJ285">
            <v>37.785013999999997</v>
          </cell>
          <cell r="BK285">
            <v>445.94957799999997</v>
          </cell>
          <cell r="BL285">
            <v>2788.7824489999998</v>
          </cell>
          <cell r="BM285">
            <v>2454.2828850000001</v>
          </cell>
          <cell r="BN285">
            <v>527.21489499999996</v>
          </cell>
          <cell r="BO285">
            <v>537.89404999999999</v>
          </cell>
          <cell r="BP285">
            <v>4.9774329999999996</v>
          </cell>
          <cell r="BQ285">
            <v>6176.1870959999997</v>
          </cell>
          <cell r="BR285">
            <v>19745.208762999999</v>
          </cell>
          <cell r="BS285">
            <v>10570.005184</v>
          </cell>
          <cell r="BT285">
            <v>1837.12726</v>
          </cell>
          <cell r="BU285">
            <v>194.522605</v>
          </cell>
          <cell r="BV285">
            <v>600.85537799999997</v>
          </cell>
          <cell r="BW285">
            <v>0.46949999999999997</v>
          </cell>
          <cell r="BX285">
            <v>94977.434699999998</v>
          </cell>
          <cell r="BY285" t="str">
            <v/>
          </cell>
          <cell r="BZ285">
            <v>3096.0798</v>
          </cell>
          <cell r="CA285">
            <v>1104.3657459999999</v>
          </cell>
          <cell r="CB285">
            <v>7.5324999999999998</v>
          </cell>
          <cell r="CC285">
            <v>23.394448999999998</v>
          </cell>
          <cell r="CD285">
            <v>230.19106299999999</v>
          </cell>
          <cell r="CE285">
            <v>16.909921000000001</v>
          </cell>
          <cell r="CF285">
            <v>81.931522999999999</v>
          </cell>
          <cell r="CG285">
            <v>97.501329999999996</v>
          </cell>
          <cell r="CH285">
            <v>924.45767999999998</v>
          </cell>
          <cell r="CI285">
            <v>55.549419</v>
          </cell>
          <cell r="CJ285">
            <v>186.24285</v>
          </cell>
          <cell r="CK285">
            <v>2819.8817779999999</v>
          </cell>
          <cell r="CL285">
            <v>2658.4676300000001</v>
          </cell>
          <cell r="CM285">
            <v>1.975E-2</v>
          </cell>
          <cell r="CN285">
            <v>4.2210469999999995</v>
          </cell>
          <cell r="CO285">
            <v>680.26409799999999</v>
          </cell>
          <cell r="CP285">
            <v>680.26409799999999</v>
          </cell>
          <cell r="CQ285">
            <v>696.98840099999995</v>
          </cell>
          <cell r="CR285">
            <v>571.52045199999998</v>
          </cell>
          <cell r="CS285">
            <v>364.99413899999996</v>
          </cell>
          <cell r="CT285">
            <v>84.853574999999992</v>
          </cell>
          <cell r="CU285">
            <v>0</v>
          </cell>
          <cell r="CV285">
            <v>14.864773999999999</v>
          </cell>
          <cell r="CW285">
            <v>14.760133999999999</v>
          </cell>
          <cell r="CX285">
            <v>11068.991929000002</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v>11.65433870051662</v>
          </cell>
          <cell r="DM285" t="str">
            <v/>
          </cell>
          <cell r="DN285" t="str">
            <v/>
          </cell>
          <cell r="DO285" t="str">
            <v/>
          </cell>
          <cell r="DP285" t="str">
            <v/>
          </cell>
          <cell r="DQ285" t="str">
            <v/>
          </cell>
          <cell r="DR285" t="str">
            <v/>
          </cell>
          <cell r="DS285" t="str">
            <v/>
          </cell>
          <cell r="DT285" t="str">
            <v/>
          </cell>
          <cell r="DU285" t="str">
            <v/>
          </cell>
          <cell r="DV285" t="str">
            <v/>
          </cell>
          <cell r="DY285">
            <v>4</v>
          </cell>
        </row>
        <row r="286">
          <cell r="F286">
            <v>36598.75</v>
          </cell>
          <cell r="G286">
            <v>1586.026194</v>
          </cell>
          <cell r="H286">
            <v>6006.4102069999999</v>
          </cell>
          <cell r="I286">
            <v>939.67118599999992</v>
          </cell>
          <cell r="J286">
            <v>4265.3420959999994</v>
          </cell>
          <cell r="K286">
            <v>14953.308464</v>
          </cell>
          <cell r="L286">
            <v>7162.1389129999998</v>
          </cell>
          <cell r="M286">
            <v>2459.345272</v>
          </cell>
          <cell r="N286">
            <v>38.090022999999995</v>
          </cell>
          <cell r="O286">
            <v>277.16151099999996</v>
          </cell>
          <cell r="P286">
            <v>1530.583789</v>
          </cell>
          <cell r="Q286">
            <v>1373.0723909999999</v>
          </cell>
          <cell r="R286">
            <v>263.27066600000001</v>
          </cell>
          <cell r="S286">
            <v>699.24820599999998</v>
          </cell>
          <cell r="T286">
            <v>2.74227</v>
          </cell>
          <cell r="U286">
            <v>5900.921542</v>
          </cell>
          <cell r="V286">
            <v>15069.422214</v>
          </cell>
          <cell r="W286">
            <v>7124.9147349999994</v>
          </cell>
          <cell r="X286">
            <v>1575.95515</v>
          </cell>
          <cell r="Y286">
            <v>58.362013999999995</v>
          </cell>
          <cell r="Z286">
            <v>566.22866599999998</v>
          </cell>
          <cell r="AA286">
            <v>0.50872899999999999</v>
          </cell>
          <cell r="AB286">
            <v>71852.724237999981</v>
          </cell>
          <cell r="AC286">
            <v>2707.5623999999998</v>
          </cell>
          <cell r="AD286">
            <v>2220.3526809999998</v>
          </cell>
          <cell r="AE286">
            <v>53.07694</v>
          </cell>
          <cell r="AF286">
            <v>33.736388999999996</v>
          </cell>
          <cell r="AG286">
            <v>299.10980000000001</v>
          </cell>
          <cell r="AH286">
            <v>0.3</v>
          </cell>
          <cell r="AI286">
            <v>555.33087</v>
          </cell>
          <cell r="AJ286">
            <v>114.97888499999999</v>
          </cell>
          <cell r="AK286">
            <v>1167.3238019999999</v>
          </cell>
          <cell r="AL286">
            <v>45.553804999999997</v>
          </cell>
          <cell r="AM286">
            <v>242.593108</v>
          </cell>
          <cell r="AN286">
            <v>27216.219856</v>
          </cell>
          <cell r="AO286">
            <v>26707.13408</v>
          </cell>
          <cell r="AP286">
            <v>0.195877</v>
          </cell>
          <cell r="AQ286">
            <v>0.44611799999999996</v>
          </cell>
          <cell r="AR286">
            <v>993.58484799999997</v>
          </cell>
          <cell r="AS286">
            <v>993.58484799999997</v>
          </cell>
          <cell r="AT286">
            <v>357.39918599999999</v>
          </cell>
          <cell r="AU286">
            <v>693.742572</v>
          </cell>
          <cell r="AV286">
            <v>546.24339599999996</v>
          </cell>
          <cell r="AW286">
            <v>1099.6353899999999</v>
          </cell>
          <cell r="AX286">
            <v>0</v>
          </cell>
          <cell r="AY286">
            <v>5.9242499999999998</v>
          </cell>
          <cell r="AZ286">
            <v>89.018874999999994</v>
          </cell>
          <cell r="BA286">
            <v>38389.252108000001</v>
          </cell>
          <cell r="BB286" t="str">
            <v/>
          </cell>
          <cell r="BC286">
            <v>1586.026194</v>
          </cell>
          <cell r="BD286">
            <v>6006.4102069999999</v>
          </cell>
          <cell r="BE286">
            <v>939.67118599999992</v>
          </cell>
          <cell r="BF286">
            <v>4265.3420959999994</v>
          </cell>
          <cell r="BG286">
            <v>14953.308464</v>
          </cell>
          <cell r="BH286">
            <v>7162.1389129999998</v>
          </cell>
          <cell r="BI286">
            <v>2459.345272</v>
          </cell>
          <cell r="BJ286">
            <v>38.090022999999995</v>
          </cell>
          <cell r="BK286">
            <v>277.16151099999996</v>
          </cell>
          <cell r="BL286">
            <v>1530.583789</v>
          </cell>
          <cell r="BM286">
            <v>1373.0723909999999</v>
          </cell>
          <cell r="BN286">
            <v>263.27066600000001</v>
          </cell>
          <cell r="BO286">
            <v>699.24820599999998</v>
          </cell>
          <cell r="BP286">
            <v>2.74227</v>
          </cell>
          <cell r="BQ286">
            <v>5900.921542</v>
          </cell>
          <cell r="BR286">
            <v>15069.422214</v>
          </cell>
          <cell r="BS286">
            <v>7124.9147349999994</v>
          </cell>
          <cell r="BT286">
            <v>1575.95515</v>
          </cell>
          <cell r="BU286">
            <v>58.362013999999995</v>
          </cell>
          <cell r="BV286">
            <v>566.22866599999998</v>
          </cell>
          <cell r="BW286">
            <v>0.50872899999999999</v>
          </cell>
          <cell r="BX286">
            <v>71852.724237999981</v>
          </cell>
          <cell r="BY286" t="str">
            <v/>
          </cell>
          <cell r="BZ286">
            <v>2707.5623999999998</v>
          </cell>
          <cell r="CA286">
            <v>2220.3526809999998</v>
          </cell>
          <cell r="CB286">
            <v>53.07694</v>
          </cell>
          <cell r="CC286">
            <v>33.736388999999996</v>
          </cell>
          <cell r="CD286">
            <v>299.10980000000001</v>
          </cell>
          <cell r="CE286">
            <v>0.3</v>
          </cell>
          <cell r="CF286">
            <v>555.33087</v>
          </cell>
          <cell r="CG286">
            <v>114.97888499999999</v>
          </cell>
          <cell r="CH286">
            <v>1167.3238019999999</v>
          </cell>
          <cell r="CI286">
            <v>45.553804999999997</v>
          </cell>
          <cell r="CJ286">
            <v>242.593108</v>
          </cell>
          <cell r="CK286">
            <v>27216.219856</v>
          </cell>
          <cell r="CL286">
            <v>26707.13408</v>
          </cell>
          <cell r="CM286">
            <v>0.195877</v>
          </cell>
          <cell r="CN286">
            <v>0.44611799999999996</v>
          </cell>
          <cell r="CO286">
            <v>993.58484799999997</v>
          </cell>
          <cell r="CP286">
            <v>993.58484799999997</v>
          </cell>
          <cell r="CQ286">
            <v>357.39918599999999</v>
          </cell>
          <cell r="CR286">
            <v>693.742572</v>
          </cell>
          <cell r="CS286">
            <v>546.24339599999996</v>
          </cell>
          <cell r="CT286">
            <v>1099.6353899999999</v>
          </cell>
          <cell r="CU286">
            <v>0</v>
          </cell>
          <cell r="CV286">
            <v>5.9242499999999998</v>
          </cell>
          <cell r="CW286">
            <v>89.018874999999994</v>
          </cell>
          <cell r="CX286">
            <v>38389.252108000001</v>
          </cell>
          <cell r="CY286">
            <v>734.88653910907374</v>
          </cell>
          <cell r="CZ286">
            <v>655.96</v>
          </cell>
          <cell r="DA286">
            <v>198.41936555944997</v>
          </cell>
          <cell r="DB286">
            <v>525.22703384615386</v>
          </cell>
          <cell r="DC286">
            <v>125</v>
          </cell>
          <cell r="DD286">
            <v>500</v>
          </cell>
          <cell r="DE286">
            <v>639.92307692307691</v>
          </cell>
          <cell r="DF286">
            <v>38.926923076923067</v>
          </cell>
          <cell r="DG286">
            <v>279.07207521641868</v>
          </cell>
          <cell r="DH286">
            <v>7234.2126498802827</v>
          </cell>
          <cell r="DI286">
            <v>43205.641025641031</v>
          </cell>
          <cell r="DJ286">
            <v>1703.6153846153845</v>
          </cell>
          <cell r="DK286">
            <v>14284.777943221441</v>
          </cell>
          <cell r="DL286" t="str">
            <v/>
          </cell>
          <cell r="DM286" t="str">
            <v/>
          </cell>
          <cell r="DN286" t="str">
            <v/>
          </cell>
          <cell r="DO286" t="str">
            <v/>
          </cell>
          <cell r="DP286" t="str">
            <v/>
          </cell>
          <cell r="DQ286" t="str">
            <v/>
          </cell>
          <cell r="DR286" t="str">
            <v/>
          </cell>
          <cell r="DS286" t="str">
            <v/>
          </cell>
          <cell r="DT286" t="str">
            <v/>
          </cell>
          <cell r="DU286" t="str">
            <v/>
          </cell>
          <cell r="DV286" t="str">
            <v/>
          </cell>
          <cell r="DY286">
            <v>5</v>
          </cell>
        </row>
        <row r="287">
          <cell r="F287">
            <v>36690.0625</v>
          </cell>
          <cell r="G287">
            <v>1496.66085</v>
          </cell>
          <cell r="H287">
            <v>7545.1618570000001</v>
          </cell>
          <cell r="I287">
            <v>1334.2497739999999</v>
          </cell>
          <cell r="J287">
            <v>4547.0714589999998</v>
          </cell>
          <cell r="K287">
            <v>20181.434907999999</v>
          </cell>
          <cell r="L287">
            <v>17096.110487999998</v>
          </cell>
          <cell r="M287">
            <v>2933.8765719999997</v>
          </cell>
          <cell r="N287">
            <v>35.353837999999996</v>
          </cell>
          <cell r="O287">
            <v>488.877253</v>
          </cell>
          <cell r="P287">
            <v>2319.4618580000001</v>
          </cell>
          <cell r="Q287">
            <v>1408.2821859999999</v>
          </cell>
          <cell r="R287">
            <v>250.39478</v>
          </cell>
          <cell r="S287">
            <v>703.36081999999999</v>
          </cell>
          <cell r="T287">
            <v>4.688212</v>
          </cell>
          <cell r="U287">
            <v>6708.8449700000001</v>
          </cell>
          <cell r="V287">
            <v>10318.591646999999</v>
          </cell>
          <cell r="W287">
            <v>8579.7037879999989</v>
          </cell>
          <cell r="X287">
            <v>1363.9795609999999</v>
          </cell>
          <cell r="Y287">
            <v>26.070453999999998</v>
          </cell>
          <cell r="Z287">
            <v>351.288341</v>
          </cell>
          <cell r="AA287">
            <v>52.688969</v>
          </cell>
          <cell r="AB287">
            <v>87746.152585000003</v>
          </cell>
          <cell r="AC287">
            <v>1460.1904999999999</v>
          </cell>
          <cell r="AD287">
            <v>2278.1161240000001</v>
          </cell>
          <cell r="AE287">
            <v>30.453999999999997</v>
          </cell>
          <cell r="AF287">
            <v>143.39548099999999</v>
          </cell>
          <cell r="AG287">
            <v>1039.6819109999999</v>
          </cell>
          <cell r="AH287">
            <v>8.3031989999999993</v>
          </cell>
          <cell r="AI287">
            <v>630.81040699999994</v>
          </cell>
          <cell r="AJ287">
            <v>212.46335499999998</v>
          </cell>
          <cell r="AK287">
            <v>1364.3926179999999</v>
          </cell>
          <cell r="AL287">
            <v>90.028993999999997</v>
          </cell>
          <cell r="AM287">
            <v>130.403502</v>
          </cell>
          <cell r="AN287">
            <v>35702.860210999999</v>
          </cell>
          <cell r="AO287">
            <v>35102.388012000003</v>
          </cell>
          <cell r="AP287">
            <v>2.8474999999999997</v>
          </cell>
          <cell r="AQ287">
            <v>4.107551</v>
          </cell>
          <cell r="AR287">
            <v>732.80539299999998</v>
          </cell>
          <cell r="AS287">
            <v>732.763463</v>
          </cell>
          <cell r="AT287">
            <v>637.60976399999993</v>
          </cell>
          <cell r="AU287">
            <v>582.07268799999997</v>
          </cell>
          <cell r="AV287">
            <v>447.78513399999997</v>
          </cell>
          <cell r="AW287">
            <v>66.775604999999999</v>
          </cell>
          <cell r="AX287">
            <v>0.760683</v>
          </cell>
          <cell r="AY287">
            <v>0.78159400000000001</v>
          </cell>
          <cell r="AZ287">
            <v>42.914093999999999</v>
          </cell>
          <cell r="BA287">
            <v>45579.106308000009</v>
          </cell>
          <cell r="BB287" t="str">
            <v/>
          </cell>
          <cell r="BC287">
            <v>3082.6870440000002</v>
          </cell>
          <cell r="BD287">
            <v>13551.572064</v>
          </cell>
          <cell r="BE287">
            <v>2273.9209599999999</v>
          </cell>
          <cell r="BF287">
            <v>8812.4135549999992</v>
          </cell>
          <cell r="BG287">
            <v>35134.743371999997</v>
          </cell>
          <cell r="BH287">
            <v>24258.249400999997</v>
          </cell>
          <cell r="BI287">
            <v>5393.2218439999997</v>
          </cell>
          <cell r="BJ287">
            <v>73.443860999999998</v>
          </cell>
          <cell r="BK287">
            <v>766.0387639999999</v>
          </cell>
          <cell r="BL287">
            <v>3850.0456469999999</v>
          </cell>
          <cell r="BM287">
            <v>2781.3545770000001</v>
          </cell>
          <cell r="BN287">
            <v>513.66544599999997</v>
          </cell>
          <cell r="BO287">
            <v>1402.6090260000001</v>
          </cell>
          <cell r="BP287">
            <v>7.4304819999999996</v>
          </cell>
          <cell r="BQ287">
            <v>12609.766512</v>
          </cell>
          <cell r="BR287">
            <v>25388.013860999999</v>
          </cell>
          <cell r="BS287">
            <v>15704.618522999997</v>
          </cell>
          <cell r="BT287">
            <v>2939.9347109999999</v>
          </cell>
          <cell r="BU287">
            <v>84.432468</v>
          </cell>
          <cell r="BV287">
            <v>917.51700699999992</v>
          </cell>
          <cell r="BW287">
            <v>53.197698000000003</v>
          </cell>
          <cell r="BX287">
            <v>159598.87682299997</v>
          </cell>
          <cell r="BY287" t="str">
            <v/>
          </cell>
          <cell r="BZ287">
            <v>4167.7528999999995</v>
          </cell>
          <cell r="CA287">
            <v>4498.4688050000004</v>
          </cell>
          <cell r="CB287">
            <v>83.530940000000001</v>
          </cell>
          <cell r="CC287">
            <v>177.13186999999999</v>
          </cell>
          <cell r="CD287">
            <v>1338.7917109999999</v>
          </cell>
          <cell r="CE287">
            <v>8.603199</v>
          </cell>
          <cell r="CF287">
            <v>1186.1412769999999</v>
          </cell>
          <cell r="CG287">
            <v>327.44223999999997</v>
          </cell>
          <cell r="CH287">
            <v>2531.7164199999997</v>
          </cell>
          <cell r="CI287">
            <v>135.58279899999999</v>
          </cell>
          <cell r="CJ287">
            <v>372.99661000000003</v>
          </cell>
          <cell r="CK287">
            <v>62919.080067000003</v>
          </cell>
          <cell r="CL287">
            <v>61809.522091999999</v>
          </cell>
          <cell r="CM287">
            <v>3.0433769999999996</v>
          </cell>
          <cell r="CN287">
            <v>4.5536690000000002</v>
          </cell>
          <cell r="CO287">
            <v>1726.3902410000001</v>
          </cell>
          <cell r="CP287">
            <v>1726.348311</v>
          </cell>
          <cell r="CQ287">
            <v>995.00894999999991</v>
          </cell>
          <cell r="CR287">
            <v>1275.8152599999999</v>
          </cell>
          <cell r="CS287">
            <v>994.02852999999993</v>
          </cell>
          <cell r="CT287">
            <v>1166.410995</v>
          </cell>
          <cell r="CU287">
            <v>0.760683</v>
          </cell>
          <cell r="CV287">
            <v>6.7058439999999999</v>
          </cell>
          <cell r="CW287">
            <v>131.93296899999999</v>
          </cell>
          <cell r="CX287">
            <v>83968.358416000003</v>
          </cell>
          <cell r="CY287">
            <v>747.89961714081073</v>
          </cell>
          <cell r="CZ287">
            <v>655.96</v>
          </cell>
          <cell r="DA287">
            <v>201.93289662801891</v>
          </cell>
          <cell r="DB287">
            <v>537.73582461538456</v>
          </cell>
          <cell r="DC287">
            <v>125</v>
          </cell>
          <cell r="DD287">
            <v>500</v>
          </cell>
          <cell r="DE287">
            <v>786.95978252307702</v>
          </cell>
          <cell r="DF287">
            <v>42.792307692307688</v>
          </cell>
          <cell r="DG287">
            <v>281.78997223490808</v>
          </cell>
          <cell r="DH287">
            <v>7434.0151448387951</v>
          </cell>
          <cell r="DI287">
            <v>46759.78523076923</v>
          </cell>
          <cell r="DJ287">
            <v>411.69230769230768</v>
          </cell>
          <cell r="DK287">
            <v>15465.5022414089</v>
          </cell>
          <cell r="DL287" t="str">
            <v/>
          </cell>
          <cell r="DM287" t="str">
            <v/>
          </cell>
          <cell r="DN287" t="str">
            <v/>
          </cell>
          <cell r="DO287" t="str">
            <v/>
          </cell>
          <cell r="DP287" t="str">
            <v/>
          </cell>
          <cell r="DQ287" t="str">
            <v/>
          </cell>
          <cell r="DR287" t="str">
            <v/>
          </cell>
          <cell r="DS287" t="str">
            <v/>
          </cell>
          <cell r="DT287" t="str">
            <v/>
          </cell>
          <cell r="DU287" t="str">
            <v/>
          </cell>
          <cell r="DV287" t="str">
            <v/>
          </cell>
          <cell r="DY287">
            <v>6</v>
          </cell>
        </row>
        <row r="288">
          <cell r="F288">
            <v>36781.375</v>
          </cell>
          <cell r="G288">
            <v>1358.7255279999999</v>
          </cell>
          <cell r="H288">
            <v>5559.3235930000001</v>
          </cell>
          <cell r="I288">
            <v>1276.8624949999999</v>
          </cell>
          <cell r="J288">
            <v>6858.2952079999995</v>
          </cell>
          <cell r="K288">
            <v>22619.029484999999</v>
          </cell>
          <cell r="L288">
            <v>8213.9168840000002</v>
          </cell>
          <cell r="M288">
            <v>2240.3978769999999</v>
          </cell>
          <cell r="N288">
            <v>72.745200999999994</v>
          </cell>
          <cell r="O288">
            <v>441.70466599999997</v>
          </cell>
          <cell r="P288">
            <v>2649.7095429999999</v>
          </cell>
          <cell r="Q288">
            <v>1872.2223879999999</v>
          </cell>
          <cell r="R288">
            <v>279.54775899999999</v>
          </cell>
          <cell r="S288">
            <v>900.20606999999995</v>
          </cell>
          <cell r="T288">
            <v>2.9745059999999999</v>
          </cell>
          <cell r="U288">
            <v>4671.2589269999999</v>
          </cell>
          <cell r="V288">
            <v>13300.269464999999</v>
          </cell>
          <cell r="W288">
            <v>7546.8226909999994</v>
          </cell>
          <cell r="X288">
            <v>1563.1941099999999</v>
          </cell>
          <cell r="Y288">
            <v>56.944462999999999</v>
          </cell>
          <cell r="Z288">
            <v>704.82266199999992</v>
          </cell>
          <cell r="AA288">
            <v>1.6295269999999999</v>
          </cell>
          <cell r="AB288">
            <v>82190.603048000004</v>
          </cell>
          <cell r="AC288">
            <v>1515.6289999999999</v>
          </cell>
          <cell r="AD288">
            <v>1424.6453329999999</v>
          </cell>
          <cell r="AE288">
            <v>6.4594999999999994</v>
          </cell>
          <cell r="AF288">
            <v>448.02837099999999</v>
          </cell>
          <cell r="AG288">
            <v>528.04374999999993</v>
          </cell>
          <cell r="AH288">
            <v>0.3</v>
          </cell>
          <cell r="AI288">
            <v>117.387671</v>
          </cell>
          <cell r="AJ288">
            <v>77.619745999999992</v>
          </cell>
          <cell r="AK288">
            <v>919.52781599999992</v>
          </cell>
          <cell r="AL288">
            <v>80.506103999999993</v>
          </cell>
          <cell r="AM288">
            <v>195.32849099999999</v>
          </cell>
          <cell r="AN288">
            <v>2230.3022699999997</v>
          </cell>
          <cell r="AO288">
            <v>2129.460493</v>
          </cell>
          <cell r="AP288">
            <v>0.73331099999999994</v>
          </cell>
          <cell r="AQ288">
            <v>4.6537499999999996</v>
          </cell>
          <cell r="AR288">
            <v>513.51645999999994</v>
          </cell>
          <cell r="AS288">
            <v>513.51646000000005</v>
          </cell>
          <cell r="AT288">
            <v>260.90134999999998</v>
          </cell>
          <cell r="AU288">
            <v>526.66907100000003</v>
          </cell>
          <cell r="AV288">
            <v>324.49596500000001</v>
          </cell>
          <cell r="AW288">
            <v>43.77075</v>
          </cell>
          <cell r="AX288">
            <v>0</v>
          </cell>
          <cell r="AY288">
            <v>8.8047500000000003</v>
          </cell>
          <cell r="AZ288">
            <v>25.609719999999999</v>
          </cell>
          <cell r="BA288">
            <v>9246.4736789999988</v>
          </cell>
          <cell r="BB288" t="str">
            <v/>
          </cell>
          <cell r="BC288">
            <v>4441.4125720000002</v>
          </cell>
          <cell r="BD288">
            <v>19110.895657000001</v>
          </cell>
          <cell r="BE288">
            <v>3550.7834549999998</v>
          </cell>
          <cell r="BF288">
            <v>15670.708762999999</v>
          </cell>
          <cell r="BG288">
            <v>57753.772856999996</v>
          </cell>
          <cell r="BH288">
            <v>32472.166284999999</v>
          </cell>
          <cell r="BI288">
            <v>7633.6197209999991</v>
          </cell>
          <cell r="BJ288">
            <v>146.18906199999998</v>
          </cell>
          <cell r="BK288">
            <v>1207.74343</v>
          </cell>
          <cell r="BL288">
            <v>6499.7551899999999</v>
          </cell>
          <cell r="BM288">
            <v>4653.5769650000002</v>
          </cell>
          <cell r="BN288">
            <v>793.21320500000002</v>
          </cell>
          <cell r="BO288">
            <v>2302.8150960000003</v>
          </cell>
          <cell r="BP288">
            <v>10.404987999999999</v>
          </cell>
          <cell r="BQ288">
            <v>17281.025439000001</v>
          </cell>
          <cell r="BR288">
            <v>38688.283325999997</v>
          </cell>
          <cell r="BS288">
            <v>23251.441213999999</v>
          </cell>
          <cell r="BT288">
            <v>4503.1288210000002</v>
          </cell>
          <cell r="BU288">
            <v>141.37693100000001</v>
          </cell>
          <cell r="BV288">
            <v>1622.339669</v>
          </cell>
          <cell r="BW288">
            <v>54.827225000000006</v>
          </cell>
          <cell r="BX288">
            <v>241789.47987099999</v>
          </cell>
          <cell r="BY288" t="str">
            <v/>
          </cell>
          <cell r="BZ288">
            <v>5683.3818999999994</v>
          </cell>
          <cell r="CA288">
            <v>5923.1141380000008</v>
          </cell>
          <cell r="CB288">
            <v>89.990440000000007</v>
          </cell>
          <cell r="CC288">
            <v>625.16024100000004</v>
          </cell>
          <cell r="CD288">
            <v>1866.8354609999997</v>
          </cell>
          <cell r="CE288">
            <v>8.9031990000000008</v>
          </cell>
          <cell r="CF288">
            <v>1303.5289479999999</v>
          </cell>
          <cell r="CG288">
            <v>405.06198599999993</v>
          </cell>
          <cell r="CH288">
            <v>3451.2442359999995</v>
          </cell>
          <cell r="CI288">
            <v>216.08890299999999</v>
          </cell>
          <cell r="CJ288">
            <v>568.32510100000002</v>
          </cell>
          <cell r="CK288">
            <v>65149.382337000003</v>
          </cell>
          <cell r="CL288">
            <v>63938.982584999998</v>
          </cell>
          <cell r="CM288">
            <v>3.7766879999999996</v>
          </cell>
          <cell r="CN288">
            <v>9.2074189999999998</v>
          </cell>
          <cell r="CO288">
            <v>2239.9067009999999</v>
          </cell>
          <cell r="CP288">
            <v>2239.864771</v>
          </cell>
          <cell r="CQ288">
            <v>1255.9103</v>
          </cell>
          <cell r="CR288">
            <v>1802.4843309999999</v>
          </cell>
          <cell r="CS288">
            <v>1318.5244949999999</v>
          </cell>
          <cell r="CT288">
            <v>1210.1817449999999</v>
          </cell>
          <cell r="CU288">
            <v>0.760683</v>
          </cell>
          <cell r="CV288">
            <v>15.510594000000001</v>
          </cell>
          <cell r="CW288">
            <v>157.542689</v>
          </cell>
          <cell r="CX288">
            <v>93214.832095000005</v>
          </cell>
          <cell r="CY288">
            <v>715.33473896406235</v>
          </cell>
          <cell r="CZ288">
            <v>655.96</v>
          </cell>
          <cell r="DA288">
            <v>193.14037952029682</v>
          </cell>
          <cell r="DB288">
            <v>522.24507692307691</v>
          </cell>
          <cell r="DC288">
            <v>125</v>
          </cell>
          <cell r="DD288">
            <v>500</v>
          </cell>
          <cell r="DE288">
            <v>645.9438006138837</v>
          </cell>
          <cell r="DF288">
            <v>41.426923076923082</v>
          </cell>
          <cell r="DG288">
            <v>312.59293699429912</v>
          </cell>
          <cell r="DH288">
            <v>7887.5672229431411</v>
          </cell>
          <cell r="DI288">
            <v>24529.11372307692</v>
          </cell>
          <cell r="DJ288">
            <v>322.6363322071187</v>
          </cell>
          <cell r="DK288">
            <v>17860.274080230578</v>
          </cell>
          <cell r="DL288" t="str">
            <v/>
          </cell>
          <cell r="DM288" t="str">
            <v/>
          </cell>
          <cell r="DN288" t="str">
            <v/>
          </cell>
          <cell r="DO288" t="str">
            <v/>
          </cell>
          <cell r="DP288" t="str">
            <v/>
          </cell>
          <cell r="DQ288" t="str">
            <v/>
          </cell>
          <cell r="DR288" t="str">
            <v/>
          </cell>
          <cell r="DS288" t="str">
            <v/>
          </cell>
          <cell r="DT288" t="str">
            <v/>
          </cell>
          <cell r="DU288" t="str">
            <v/>
          </cell>
          <cell r="DV288" t="str">
            <v/>
          </cell>
          <cell r="DY288">
            <v>7</v>
          </cell>
        </row>
        <row r="289">
          <cell r="F289">
            <v>36872.6875</v>
          </cell>
          <cell r="G289">
            <v>979.76454899999999</v>
          </cell>
          <cell r="H289">
            <v>11508.101149999999</v>
          </cell>
          <cell r="I289">
            <v>1121.6904239999999</v>
          </cell>
          <cell r="J289">
            <v>5784.2705299999998</v>
          </cell>
          <cell r="K289">
            <v>29031.557717</v>
          </cell>
          <cell r="L289">
            <v>7856.5856319999994</v>
          </cell>
          <cell r="M289">
            <v>2255.3595059999998</v>
          </cell>
          <cell r="N289">
            <v>53.638691999999999</v>
          </cell>
          <cell r="O289">
            <v>342.04050000000001</v>
          </cell>
          <cell r="P289">
            <v>2966.9132199999999</v>
          </cell>
          <cell r="Q289">
            <v>2613.1522129999998</v>
          </cell>
          <cell r="R289">
            <v>401.08679999999998</v>
          </cell>
          <cell r="S289">
            <v>838.48720199999991</v>
          </cell>
          <cell r="T289">
            <v>29.922846</v>
          </cell>
          <cell r="U289">
            <v>6697.8328359999996</v>
          </cell>
          <cell r="V289">
            <v>20257.511995999997</v>
          </cell>
          <cell r="W289">
            <v>15787.442698999999</v>
          </cell>
          <cell r="X289">
            <v>1569.2611769999999</v>
          </cell>
          <cell r="Y289">
            <v>25.972052999999999</v>
          </cell>
          <cell r="Z289">
            <v>669.39771199999996</v>
          </cell>
          <cell r="AA289">
            <v>3.242645</v>
          </cell>
          <cell r="AB289">
            <v>110793.23209900002</v>
          </cell>
          <cell r="AC289">
            <v>3421.0296020000001</v>
          </cell>
          <cell r="AD289">
            <v>1382.421838</v>
          </cell>
          <cell r="AE289">
            <v>0</v>
          </cell>
          <cell r="AF289">
            <v>1539.641995</v>
          </cell>
          <cell r="AG289">
            <v>927.38029799999993</v>
          </cell>
          <cell r="AH289">
            <v>7.75</v>
          </cell>
          <cell r="AI289">
            <v>253.856393</v>
          </cell>
          <cell r="AJ289">
            <v>182.47109999999998</v>
          </cell>
          <cell r="AK289">
            <v>1024.454919</v>
          </cell>
          <cell r="AL289">
            <v>61.287349999999996</v>
          </cell>
          <cell r="AM289">
            <v>540.06869399999994</v>
          </cell>
          <cell r="AN289">
            <v>12464.487896999999</v>
          </cell>
          <cell r="AO289">
            <v>12244.123275</v>
          </cell>
          <cell r="AP289">
            <v>2.6993659999999999</v>
          </cell>
          <cell r="AQ289">
            <v>5.7784999999999993</v>
          </cell>
          <cell r="AR289">
            <v>245.21642399999999</v>
          </cell>
          <cell r="AS289">
            <v>245.21642399999999</v>
          </cell>
          <cell r="AT289">
            <v>480.00945899999999</v>
          </cell>
          <cell r="AU289">
            <v>519.25949100000003</v>
          </cell>
          <cell r="AV289">
            <v>110.160032</v>
          </cell>
          <cell r="AW289">
            <v>58.293851999999994</v>
          </cell>
          <cell r="AX289">
            <v>0</v>
          </cell>
          <cell r="AY289">
            <v>23.441019999999998</v>
          </cell>
          <cell r="AZ289">
            <v>97.816642999999999</v>
          </cell>
          <cell r="BA289">
            <v>23347.524872999995</v>
          </cell>
          <cell r="BB289" t="str">
            <v/>
          </cell>
          <cell r="BC289">
            <v>5421.1771210000006</v>
          </cell>
          <cell r="BD289">
            <v>30618.996807</v>
          </cell>
          <cell r="BE289">
            <v>4672.4738789999992</v>
          </cell>
          <cell r="BF289">
            <v>21454.979292999997</v>
          </cell>
          <cell r="BG289">
            <v>86785.330573999992</v>
          </cell>
          <cell r="BH289">
            <v>40328.751917000001</v>
          </cell>
          <cell r="BI289">
            <v>9888.9792269999998</v>
          </cell>
          <cell r="BJ289">
            <v>199.82775399999997</v>
          </cell>
          <cell r="BK289">
            <v>1549.7839300000001</v>
          </cell>
          <cell r="BL289">
            <v>9466.6684100000002</v>
          </cell>
          <cell r="BM289">
            <v>7266.7291779999996</v>
          </cell>
          <cell r="BN289">
            <v>1194.3000050000001</v>
          </cell>
          <cell r="BO289">
            <v>3141.3022980000001</v>
          </cell>
          <cell r="BP289">
            <v>40.327833999999996</v>
          </cell>
          <cell r="BQ289">
            <v>23978.858274999999</v>
          </cell>
          <cell r="BR289">
            <v>58945.795321999991</v>
          </cell>
          <cell r="BS289">
            <v>39038.883912999998</v>
          </cell>
          <cell r="BT289">
            <v>6072.3899980000006</v>
          </cell>
          <cell r="BU289">
            <v>167.348984</v>
          </cell>
          <cell r="BV289">
            <v>2291.7373809999999</v>
          </cell>
          <cell r="BW289">
            <v>58.069870000000009</v>
          </cell>
          <cell r="BX289">
            <v>352582.71197</v>
          </cell>
          <cell r="BY289" t="str">
            <v/>
          </cell>
          <cell r="BZ289">
            <v>9104.411501999999</v>
          </cell>
          <cell r="CA289">
            <v>7305.535976000001</v>
          </cell>
          <cell r="CB289">
            <v>89.990440000000007</v>
          </cell>
          <cell r="CC289">
            <v>2164.802236</v>
          </cell>
          <cell r="CD289">
            <v>2794.2157589999997</v>
          </cell>
          <cell r="CE289">
            <v>16.653199000000001</v>
          </cell>
          <cell r="CF289">
            <v>1557.3853409999999</v>
          </cell>
          <cell r="CG289">
            <v>587.53308599999991</v>
          </cell>
          <cell r="CH289">
            <v>4475.6991549999993</v>
          </cell>
          <cell r="CI289">
            <v>277.37625299999996</v>
          </cell>
          <cell r="CJ289">
            <v>1108.393795</v>
          </cell>
          <cell r="CK289">
            <v>77613.870234000002</v>
          </cell>
          <cell r="CL289">
            <v>76183.105859999996</v>
          </cell>
          <cell r="CM289">
            <v>6.4760539999999995</v>
          </cell>
          <cell r="CN289">
            <v>14.985918999999999</v>
          </cell>
          <cell r="CO289">
            <v>2485.1231250000001</v>
          </cell>
          <cell r="CP289">
            <v>2485.0811950000002</v>
          </cell>
          <cell r="CQ289">
            <v>1735.9197589999999</v>
          </cell>
          <cell r="CR289">
            <v>2321.7438219999999</v>
          </cell>
          <cell r="CS289">
            <v>1428.6845269999999</v>
          </cell>
          <cell r="CT289">
            <v>1268.4755969999999</v>
          </cell>
          <cell r="CU289">
            <v>0.760683</v>
          </cell>
          <cell r="CV289">
            <v>38.951613999999999</v>
          </cell>
          <cell r="CW289">
            <v>255.35933199999999</v>
          </cell>
          <cell r="CX289">
            <v>116562.35696800001</v>
          </cell>
          <cell r="CY289">
            <v>669.04734219897477</v>
          </cell>
          <cell r="CZ289">
            <v>655.96</v>
          </cell>
          <cell r="DA289">
            <v>197.17519266024598</v>
          </cell>
          <cell r="DB289">
            <v>450.08947692307692</v>
          </cell>
          <cell r="DC289">
            <v>125</v>
          </cell>
          <cell r="DD289">
            <v>500</v>
          </cell>
          <cell r="DE289">
            <v>701.9624748</v>
          </cell>
          <cell r="DF289">
            <v>47.634615384615394</v>
          </cell>
          <cell r="DG289">
            <v>311.59020490596043</v>
          </cell>
          <cell r="DH289">
            <v>7353.5194076638663</v>
          </cell>
          <cell r="DI289">
            <v>50278.324830769227</v>
          </cell>
          <cell r="DJ289">
            <v>1530.965963992114</v>
          </cell>
          <cell r="DK289">
            <v>17726.005147678832</v>
          </cell>
          <cell r="DL289">
            <v>33.059578082182853</v>
          </cell>
          <cell r="DM289" t="str">
            <v/>
          </cell>
          <cell r="DN289" t="str">
            <v/>
          </cell>
          <cell r="DO289" t="str">
            <v/>
          </cell>
          <cell r="DP289" t="str">
            <v/>
          </cell>
          <cell r="DQ289" t="str">
            <v/>
          </cell>
          <cell r="DR289" t="str">
            <v/>
          </cell>
          <cell r="DS289" t="str">
            <v/>
          </cell>
          <cell r="DT289" t="str">
            <v/>
          </cell>
          <cell r="DU289" t="str">
            <v/>
          </cell>
          <cell r="DV289" t="str">
            <v/>
          </cell>
          <cell r="DY289">
            <v>8</v>
          </cell>
        </row>
        <row r="290">
          <cell r="F290">
            <v>36964</v>
          </cell>
          <cell r="G290">
            <v>770.96928300000002</v>
          </cell>
          <cell r="H290">
            <v>7591.3532999999998</v>
          </cell>
          <cell r="I290">
            <v>1188.9975439999998</v>
          </cell>
          <cell r="J290">
            <v>7079.7220889999999</v>
          </cell>
          <cell r="K290">
            <v>24699.125382999999</v>
          </cell>
          <cell r="L290">
            <v>9770.0328310000004</v>
          </cell>
          <cell r="M290">
            <v>2560.8109099999997</v>
          </cell>
          <cell r="N290">
            <v>50.336366999999996</v>
          </cell>
          <cell r="O290">
            <v>333.63836599999996</v>
          </cell>
          <cell r="P290">
            <v>2724.307147</v>
          </cell>
          <cell r="Q290">
            <v>1799.6677049999998</v>
          </cell>
          <cell r="R290">
            <v>328.75258500000001</v>
          </cell>
          <cell r="S290">
            <v>821.92924799999992</v>
          </cell>
          <cell r="T290">
            <v>25.389016999999999</v>
          </cell>
          <cell r="U290">
            <v>4892.4052849999998</v>
          </cell>
          <cell r="V290">
            <v>12811.442633999999</v>
          </cell>
          <cell r="W290">
            <v>8414.8299589999988</v>
          </cell>
          <cell r="X290">
            <v>1700.4584139999999</v>
          </cell>
          <cell r="Y290">
            <v>112.31809299999999</v>
          </cell>
          <cell r="Z290">
            <v>683.85282999999993</v>
          </cell>
          <cell r="AA290">
            <v>0.61033199999999999</v>
          </cell>
          <cell r="AB290">
            <v>88360.949321999986</v>
          </cell>
          <cell r="AC290">
            <v>3357.2542469999999</v>
          </cell>
          <cell r="AD290">
            <v>1898.062349</v>
          </cell>
          <cell r="AE290">
            <v>0</v>
          </cell>
          <cell r="AF290">
            <v>841.65645599999993</v>
          </cell>
          <cell r="AG290">
            <v>2675.8241519999997</v>
          </cell>
          <cell r="AH290">
            <v>7.3765999999999998</v>
          </cell>
          <cell r="AI290">
            <v>380.44625500000001</v>
          </cell>
          <cell r="AJ290">
            <v>127.40246699999999</v>
          </cell>
          <cell r="AK290">
            <v>1675.501006</v>
          </cell>
          <cell r="AL290">
            <v>85.227159999999998</v>
          </cell>
          <cell r="AM290">
            <v>138.44520199999999</v>
          </cell>
          <cell r="AN290">
            <v>53652.446830000001</v>
          </cell>
          <cell r="AO290">
            <v>53213.398739999997</v>
          </cell>
          <cell r="AP290">
            <v>0.6</v>
          </cell>
          <cell r="AQ290">
            <v>14.145159</v>
          </cell>
          <cell r="AR290">
            <v>312.40954299999999</v>
          </cell>
          <cell r="AS290">
            <v>312.40954299999999</v>
          </cell>
          <cell r="AT290">
            <v>367.63537600000001</v>
          </cell>
          <cell r="AU290">
            <v>751.90471100000002</v>
          </cell>
          <cell r="AV290">
            <v>473.37098699999996</v>
          </cell>
          <cell r="AW290">
            <v>127.35391199999999</v>
          </cell>
          <cell r="AX290">
            <v>0</v>
          </cell>
          <cell r="AY290">
            <v>12.693949</v>
          </cell>
          <cell r="AZ290">
            <v>90.925156000000001</v>
          </cell>
          <cell r="BA290">
            <v>66990.681517000005</v>
          </cell>
          <cell r="BB290" t="str">
            <v/>
          </cell>
          <cell r="BC290">
            <v>770.96928300000002</v>
          </cell>
          <cell r="BD290">
            <v>7591.3532999999998</v>
          </cell>
          <cell r="BE290">
            <v>1188.9975439999998</v>
          </cell>
          <cell r="BF290">
            <v>7079.7220889999999</v>
          </cell>
          <cell r="BG290">
            <v>24699.125382999999</v>
          </cell>
          <cell r="BH290">
            <v>9770.0328310000004</v>
          </cell>
          <cell r="BI290">
            <v>2560.8109099999997</v>
          </cell>
          <cell r="BJ290">
            <v>50.336366999999996</v>
          </cell>
          <cell r="BK290">
            <v>333.63836599999996</v>
          </cell>
          <cell r="BL290">
            <v>2724.307147</v>
          </cell>
          <cell r="BM290">
            <v>1799.6677049999998</v>
          </cell>
          <cell r="BN290">
            <v>328.75258500000001</v>
          </cell>
          <cell r="BO290">
            <v>821.92924799999992</v>
          </cell>
          <cell r="BP290">
            <v>25.389016999999999</v>
          </cell>
          <cell r="BQ290">
            <v>4892.4052849999998</v>
          </cell>
          <cell r="BR290">
            <v>12811.442633999999</v>
          </cell>
          <cell r="BS290">
            <v>8414.8299589999988</v>
          </cell>
          <cell r="BT290">
            <v>1700.4584139999999</v>
          </cell>
          <cell r="BU290">
            <v>112.31809299999999</v>
          </cell>
          <cell r="BV290">
            <v>683.85282999999993</v>
          </cell>
          <cell r="BW290">
            <v>0.61033199999999999</v>
          </cell>
          <cell r="BX290">
            <v>88360.949321999986</v>
          </cell>
          <cell r="BY290" t="str">
            <v/>
          </cell>
          <cell r="BZ290">
            <v>3357.2542469999999</v>
          </cell>
          <cell r="CA290">
            <v>1898.062349</v>
          </cell>
          <cell r="CB290">
            <v>0</v>
          </cell>
          <cell r="CC290">
            <v>841.65645599999993</v>
          </cell>
          <cell r="CD290">
            <v>2675.8241519999997</v>
          </cell>
          <cell r="CE290">
            <v>7.3765999999999998</v>
          </cell>
          <cell r="CF290">
            <v>380.44625500000001</v>
          </cell>
          <cell r="CG290">
            <v>127.40246699999999</v>
          </cell>
          <cell r="CH290">
            <v>1675.501006</v>
          </cell>
          <cell r="CI290">
            <v>85.227159999999998</v>
          </cell>
          <cell r="CJ290">
            <v>138.44520199999999</v>
          </cell>
          <cell r="CK290">
            <v>53652.446830000001</v>
          </cell>
          <cell r="CL290">
            <v>53213.398739999997</v>
          </cell>
          <cell r="CM290">
            <v>0.6</v>
          </cell>
          <cell r="CN290">
            <v>14.145159</v>
          </cell>
          <cell r="CO290">
            <v>312.40954299999999</v>
          </cell>
          <cell r="CP290">
            <v>312.40954299999999</v>
          </cell>
          <cell r="CQ290">
            <v>367.63537600000001</v>
          </cell>
          <cell r="CR290">
            <v>751.90471100000002</v>
          </cell>
          <cell r="CS290">
            <v>473.37098699999996</v>
          </cell>
          <cell r="CT290">
            <v>127.35391199999999</v>
          </cell>
          <cell r="CU290">
            <v>0</v>
          </cell>
          <cell r="CV290">
            <v>12.693949</v>
          </cell>
          <cell r="CW290">
            <v>90.925156000000001</v>
          </cell>
          <cell r="CX290">
            <v>66990.681517000005</v>
          </cell>
          <cell r="CY290">
            <v>664.53846153846155</v>
          </cell>
          <cell r="CZ290">
            <v>655.96</v>
          </cell>
          <cell r="DA290">
            <v>163.91907692307691</v>
          </cell>
          <cell r="DB290">
            <v>485.41039999999981</v>
          </cell>
          <cell r="DC290">
            <v>125</v>
          </cell>
          <cell r="DD290">
            <v>500</v>
          </cell>
          <cell r="DE290">
            <v>768.38461538461536</v>
          </cell>
          <cell r="DF290">
            <v>51.769230769230766</v>
          </cell>
          <cell r="DG290">
            <v>322.51725083921752</v>
          </cell>
          <cell r="DH290">
            <v>7560.1022131715808</v>
          </cell>
          <cell r="DI290">
            <v>2800</v>
          </cell>
          <cell r="DJ290" t="str">
            <v/>
          </cell>
          <cell r="DK290">
            <v>17631.692307692309</v>
          </cell>
          <cell r="DL290" t="str">
            <v/>
          </cell>
          <cell r="DM290" t="str">
            <v/>
          </cell>
          <cell r="DN290" t="str">
            <v/>
          </cell>
          <cell r="DO290" t="str">
            <v/>
          </cell>
          <cell r="DP290" t="str">
            <v/>
          </cell>
          <cell r="DQ290" t="str">
            <v/>
          </cell>
          <cell r="DR290" t="str">
            <v/>
          </cell>
          <cell r="DS290" t="str">
            <v/>
          </cell>
          <cell r="DT290" t="str">
            <v/>
          </cell>
          <cell r="DU290" t="str">
            <v/>
          </cell>
          <cell r="DV290" t="str">
            <v/>
          </cell>
          <cell r="DY290">
            <v>9</v>
          </cell>
        </row>
        <row r="291">
          <cell r="F291">
            <v>37055.3125</v>
          </cell>
          <cell r="G291">
            <v>1699.1104169999999</v>
          </cell>
          <cell r="H291">
            <v>12472.00707</v>
          </cell>
          <cell r="I291">
            <v>1406.2373599999999</v>
          </cell>
          <cell r="J291">
            <v>9443.1544589999994</v>
          </cell>
          <cell r="K291">
            <v>27134.175717999999</v>
          </cell>
          <cell r="L291">
            <v>12601.349956999999</v>
          </cell>
          <cell r="M291">
            <v>3408.1313449999998</v>
          </cell>
          <cell r="N291">
            <v>39.139158999999999</v>
          </cell>
          <cell r="O291">
            <v>458.72357699999998</v>
          </cell>
          <cell r="P291">
            <v>2302.685567</v>
          </cell>
          <cell r="Q291">
            <v>2798.7986299999998</v>
          </cell>
          <cell r="R291">
            <v>568.51816199999996</v>
          </cell>
          <cell r="S291">
            <v>822.49795699999993</v>
          </cell>
          <cell r="T291">
            <v>45.882238000000001</v>
          </cell>
          <cell r="U291">
            <v>7294.2841389999994</v>
          </cell>
          <cell r="V291">
            <v>14943.133945</v>
          </cell>
          <cell r="W291">
            <v>11293.824322</v>
          </cell>
          <cell r="X291">
            <v>1939.745876</v>
          </cell>
          <cell r="Y291">
            <v>68.221564999999998</v>
          </cell>
          <cell r="Z291">
            <v>540.706818</v>
          </cell>
          <cell r="AA291">
            <v>3.1132269999999997</v>
          </cell>
          <cell r="AB291">
            <v>111283.44150799997</v>
          </cell>
          <cell r="AC291">
            <v>2570.4026130000002</v>
          </cell>
          <cell r="AD291">
            <v>3152.5054</v>
          </cell>
          <cell r="AE291">
            <v>1.4</v>
          </cell>
          <cell r="AF291">
            <v>851.801152</v>
          </cell>
          <cell r="AG291">
            <v>593.58204000000001</v>
          </cell>
          <cell r="AH291">
            <v>16.62114</v>
          </cell>
          <cell r="AI291">
            <v>342.15576799999997</v>
          </cell>
          <cell r="AJ291">
            <v>134.97470799999999</v>
          </cell>
          <cell r="AK291">
            <v>1515.7232529999999</v>
          </cell>
          <cell r="AL291">
            <v>79.888955999999993</v>
          </cell>
          <cell r="AM291">
            <v>78.852531999999997</v>
          </cell>
          <cell r="AN291">
            <v>11049.105298</v>
          </cell>
          <cell r="AO291">
            <v>10668.869341</v>
          </cell>
          <cell r="AP291">
            <v>0.16</v>
          </cell>
          <cell r="AQ291">
            <v>23.415649999999999</v>
          </cell>
          <cell r="AR291">
            <v>267.62089399999996</v>
          </cell>
          <cell r="AS291">
            <v>267.362144</v>
          </cell>
          <cell r="AT291">
            <v>254.51102499999999</v>
          </cell>
          <cell r="AU291">
            <v>380.17054199999995</v>
          </cell>
          <cell r="AV291">
            <v>452.92431599999998</v>
          </cell>
          <cell r="AW291">
            <v>16.326974</v>
          </cell>
          <cell r="AX291">
            <v>0.22</v>
          </cell>
          <cell r="AY291">
            <v>81.637401999999994</v>
          </cell>
          <cell r="AZ291">
            <v>53.399094999999996</v>
          </cell>
          <cell r="BA291">
            <v>21915.998758000002</v>
          </cell>
          <cell r="BB291" t="str">
            <v/>
          </cell>
          <cell r="BC291">
            <v>2470.0796999999998</v>
          </cell>
          <cell r="BD291">
            <v>20063.360369999999</v>
          </cell>
          <cell r="BE291">
            <v>2595.2349039999999</v>
          </cell>
          <cell r="BF291">
            <v>16522.876548</v>
          </cell>
          <cell r="BG291">
            <v>51833.301100999997</v>
          </cell>
          <cell r="BH291">
            <v>22371.382787999999</v>
          </cell>
          <cell r="BI291">
            <v>5968.9422549999999</v>
          </cell>
          <cell r="BJ291">
            <v>89.475526000000002</v>
          </cell>
          <cell r="BK291">
            <v>792.36194299999988</v>
          </cell>
          <cell r="BL291">
            <v>5026.992714</v>
          </cell>
          <cell r="BM291">
            <v>4598.4663349999992</v>
          </cell>
          <cell r="BN291">
            <v>897.27074700000003</v>
          </cell>
          <cell r="BO291">
            <v>1644.427205</v>
          </cell>
          <cell r="BP291">
            <v>71.271254999999996</v>
          </cell>
          <cell r="BQ291">
            <v>12186.689424</v>
          </cell>
          <cell r="BR291">
            <v>27754.576579</v>
          </cell>
          <cell r="BS291">
            <v>19708.654280999999</v>
          </cell>
          <cell r="BT291">
            <v>3640.2042899999997</v>
          </cell>
          <cell r="BU291">
            <v>180.53965799999997</v>
          </cell>
          <cell r="BV291">
            <v>1224.5596479999999</v>
          </cell>
          <cell r="BW291">
            <v>3.7235589999999998</v>
          </cell>
          <cell r="BX291">
            <v>199644.39082999996</v>
          </cell>
          <cell r="BY291" t="str">
            <v/>
          </cell>
          <cell r="BZ291">
            <v>5927.6568600000001</v>
          </cell>
          <cell r="CA291">
            <v>5050.5677489999998</v>
          </cell>
          <cell r="CB291">
            <v>1.4</v>
          </cell>
          <cell r="CC291">
            <v>1693.4576079999999</v>
          </cell>
          <cell r="CD291">
            <v>3269.4061919999995</v>
          </cell>
          <cell r="CE291">
            <v>23.99774</v>
          </cell>
          <cell r="CF291">
            <v>722.60202299999992</v>
          </cell>
          <cell r="CG291">
            <v>262.37717499999997</v>
          </cell>
          <cell r="CH291">
            <v>3191.2242589999996</v>
          </cell>
          <cell r="CI291">
            <v>165.11611599999998</v>
          </cell>
          <cell r="CJ291">
            <v>217.29773399999999</v>
          </cell>
          <cell r="CK291">
            <v>64701.552128000003</v>
          </cell>
          <cell r="CL291">
            <v>63882.268080999995</v>
          </cell>
          <cell r="CM291">
            <v>0.76</v>
          </cell>
          <cell r="CN291">
            <v>37.560808999999999</v>
          </cell>
          <cell r="CO291">
            <v>580.03043699999989</v>
          </cell>
          <cell r="CP291">
            <v>579.77168699999993</v>
          </cell>
          <cell r="CQ291">
            <v>622.14640099999997</v>
          </cell>
          <cell r="CR291">
            <v>1132.075253</v>
          </cell>
          <cell r="CS291">
            <v>926.29530299999988</v>
          </cell>
          <cell r="CT291">
            <v>143.68088599999999</v>
          </cell>
          <cell r="CU291">
            <v>0.22</v>
          </cell>
          <cell r="CV291">
            <v>94.331350999999998</v>
          </cell>
          <cell r="CW291">
            <v>144.324251</v>
          </cell>
          <cell r="CX291">
            <v>88906.680275000006</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Y291">
            <v>10</v>
          </cell>
        </row>
        <row r="292">
          <cell r="F292">
            <v>37146.625</v>
          </cell>
          <cell r="G292">
            <v>1289.9472989999999</v>
          </cell>
          <cell r="H292">
            <v>12902.254246999999</v>
          </cell>
          <cell r="I292">
            <v>1493.242485</v>
          </cell>
          <cell r="J292">
            <v>7546.3635569999997</v>
          </cell>
          <cell r="K292">
            <v>25128.189612999999</v>
          </cell>
          <cell r="L292">
            <v>12039.09964</v>
          </cell>
          <cell r="M292">
            <v>2891.9516939999999</v>
          </cell>
          <cell r="N292">
            <v>67.239047999999997</v>
          </cell>
          <cell r="O292">
            <v>505.90073099999995</v>
          </cell>
          <cell r="P292">
            <v>3191.8377</v>
          </cell>
          <cell r="Q292">
            <v>2063.336405</v>
          </cell>
          <cell r="R292">
            <v>365.40831800000001</v>
          </cell>
          <cell r="S292">
            <v>1045.568794</v>
          </cell>
          <cell r="T292">
            <v>43.223849999999999</v>
          </cell>
          <cell r="U292">
            <v>6303.3323329999994</v>
          </cell>
          <cell r="V292">
            <v>9633.3683209999999</v>
          </cell>
          <cell r="W292">
            <v>9794.1429799999987</v>
          </cell>
          <cell r="X292">
            <v>1547.6904999999999</v>
          </cell>
          <cell r="Y292">
            <v>313.01608799999997</v>
          </cell>
          <cell r="Z292">
            <v>719.12725699999999</v>
          </cell>
          <cell r="AA292">
            <v>0.88242399999999999</v>
          </cell>
          <cell r="AB292">
            <v>98885.123284000001</v>
          </cell>
          <cell r="AC292">
            <v>1449.584891</v>
          </cell>
          <cell r="AD292">
            <v>2508.1031509999998</v>
          </cell>
          <cell r="AE292">
            <v>0</v>
          </cell>
          <cell r="AF292">
            <v>958.34298100000001</v>
          </cell>
          <cell r="AG292">
            <v>443.055387</v>
          </cell>
          <cell r="AH292">
            <v>0</v>
          </cell>
          <cell r="AI292">
            <v>284.65630999999996</v>
          </cell>
          <cell r="AJ292">
            <v>128.74767299999999</v>
          </cell>
          <cell r="AK292">
            <v>586.73100699999998</v>
          </cell>
          <cell r="AL292">
            <v>135.00299200000001</v>
          </cell>
          <cell r="AM292">
            <v>80.673355000000001</v>
          </cell>
          <cell r="AN292">
            <v>9985.9675599999991</v>
          </cell>
          <cell r="AO292">
            <v>9682.1834839999992</v>
          </cell>
          <cell r="AP292">
            <v>1.34945</v>
          </cell>
          <cell r="AQ292">
            <v>33.157882000000001</v>
          </cell>
          <cell r="AR292">
            <v>141.821833</v>
          </cell>
          <cell r="AS292">
            <v>141.355233</v>
          </cell>
          <cell r="AT292">
            <v>241.11874</v>
          </cell>
          <cell r="AU292">
            <v>1329.0764879999999</v>
          </cell>
          <cell r="AV292">
            <v>351.32916999999998</v>
          </cell>
          <cell r="AW292">
            <v>31.080064</v>
          </cell>
          <cell r="AX292">
            <v>0</v>
          </cell>
          <cell r="AY292">
            <v>50.136899999999997</v>
          </cell>
          <cell r="AZ292">
            <v>119.18316499999999</v>
          </cell>
          <cell r="BA292">
            <v>18859.118999000006</v>
          </cell>
          <cell r="BB292" t="str">
            <v/>
          </cell>
          <cell r="BC292">
            <v>3760.0269989999997</v>
          </cell>
          <cell r="BD292">
            <v>32965.614616999999</v>
          </cell>
          <cell r="BE292">
            <v>4088.4773889999997</v>
          </cell>
          <cell r="BF292">
            <v>24069.240105000001</v>
          </cell>
          <cell r="BG292">
            <v>76961.490714</v>
          </cell>
          <cell r="BH292">
            <v>34410.482428000003</v>
          </cell>
          <cell r="BI292">
            <v>8860.8939489999993</v>
          </cell>
          <cell r="BJ292">
            <v>156.714574</v>
          </cell>
          <cell r="BK292">
            <v>1298.2626739999998</v>
          </cell>
          <cell r="BL292">
            <v>8218.830414</v>
          </cell>
          <cell r="BM292">
            <v>6661.8027399999992</v>
          </cell>
          <cell r="BN292">
            <v>1262.679065</v>
          </cell>
          <cell r="BO292">
            <v>2689.9959989999998</v>
          </cell>
          <cell r="BP292">
            <v>114.495105</v>
          </cell>
          <cell r="BQ292">
            <v>18490.021756999999</v>
          </cell>
          <cell r="BR292">
            <v>37387.944900000002</v>
          </cell>
          <cell r="BS292">
            <v>29502.797261</v>
          </cell>
          <cell r="BT292">
            <v>5187.8947899999994</v>
          </cell>
          <cell r="BU292">
            <v>493.55574599999994</v>
          </cell>
          <cell r="BV292">
            <v>1943.686905</v>
          </cell>
          <cell r="BW292">
            <v>4.6059830000000002</v>
          </cell>
          <cell r="BX292">
            <v>298529.51411399996</v>
          </cell>
          <cell r="BY292" t="str">
            <v/>
          </cell>
          <cell r="BZ292">
            <v>7377.2417509999996</v>
          </cell>
          <cell r="CA292">
            <v>7558.6708999999992</v>
          </cell>
          <cell r="CB292">
            <v>1.4</v>
          </cell>
          <cell r="CC292">
            <v>2651.8005889999999</v>
          </cell>
          <cell r="CD292">
            <v>3712.4615789999993</v>
          </cell>
          <cell r="CE292">
            <v>23.99774</v>
          </cell>
          <cell r="CF292">
            <v>1007.2583329999999</v>
          </cell>
          <cell r="CG292">
            <v>391.12484799999993</v>
          </cell>
          <cell r="CH292">
            <v>3777.9552659999995</v>
          </cell>
          <cell r="CI292">
            <v>300.11910799999998</v>
          </cell>
          <cell r="CJ292">
            <v>297.97108900000001</v>
          </cell>
          <cell r="CK292">
            <v>74687.519688</v>
          </cell>
          <cell r="CL292">
            <v>73564.451564999996</v>
          </cell>
          <cell r="CM292">
            <v>2.1094499999999998</v>
          </cell>
          <cell r="CN292">
            <v>70.718691000000007</v>
          </cell>
          <cell r="CO292">
            <v>721.85226999999986</v>
          </cell>
          <cell r="CP292">
            <v>721.12691999999993</v>
          </cell>
          <cell r="CQ292">
            <v>863.26514099999997</v>
          </cell>
          <cell r="CR292">
            <v>2461.1517409999997</v>
          </cell>
          <cell r="CS292">
            <v>1277.6244729999999</v>
          </cell>
          <cell r="CT292">
            <v>174.76094999999998</v>
          </cell>
          <cell r="CU292">
            <v>0.22</v>
          </cell>
          <cell r="CV292">
            <v>144.46825100000001</v>
          </cell>
          <cell r="CW292">
            <v>263.50741599999998</v>
          </cell>
          <cell r="CX292">
            <v>107765.79927400002</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Y292">
            <v>11</v>
          </cell>
        </row>
        <row r="293">
          <cell r="F293">
            <v>37237.9375</v>
          </cell>
          <cell r="G293">
            <v>1211.9817109999999</v>
          </cell>
          <cell r="H293">
            <v>11489.492996999999</v>
          </cell>
          <cell r="I293">
            <v>1427.9925469999998</v>
          </cell>
          <cell r="J293">
            <v>9187.0594849999998</v>
          </cell>
          <cell r="K293">
            <v>25004.929312</v>
          </cell>
          <cell r="L293">
            <v>13696.792829999999</v>
          </cell>
          <cell r="M293">
            <v>3162.8177439999999</v>
          </cell>
          <cell r="N293">
            <v>75.074703</v>
          </cell>
          <cell r="O293">
            <v>543.22058400000003</v>
          </cell>
          <cell r="P293">
            <v>2412.6976479999998</v>
          </cell>
          <cell r="Q293">
            <v>4930.3500329999997</v>
          </cell>
          <cell r="R293">
            <v>624.40510799999993</v>
          </cell>
          <cell r="S293">
            <v>737.10598299999992</v>
          </cell>
          <cell r="T293">
            <v>6.4783390000000001</v>
          </cell>
          <cell r="U293">
            <v>7396.5399600000001</v>
          </cell>
          <cell r="V293">
            <v>10822.537398</v>
          </cell>
          <cell r="W293">
            <v>10594.183019</v>
          </cell>
          <cell r="X293">
            <v>1620.8100629999999</v>
          </cell>
          <cell r="Y293">
            <v>59.925111999999999</v>
          </cell>
          <cell r="Z293">
            <v>827.34036399999991</v>
          </cell>
          <cell r="AA293">
            <v>8.2154659999999993</v>
          </cell>
          <cell r="AB293">
            <v>105839.95040599999</v>
          </cell>
          <cell r="AC293">
            <v>2453.9359720000002</v>
          </cell>
          <cell r="AD293">
            <v>3078.030988</v>
          </cell>
          <cell r="AE293">
            <v>10.128499999999999</v>
          </cell>
          <cell r="AF293">
            <v>994.14298099999996</v>
          </cell>
          <cell r="AG293">
            <v>576.23488099999997</v>
          </cell>
          <cell r="AH293">
            <v>3.4224999999999999</v>
          </cell>
          <cell r="AI293">
            <v>150.168497</v>
          </cell>
          <cell r="AJ293">
            <v>138.23999499999999</v>
          </cell>
          <cell r="AK293">
            <v>2430.7348919999999</v>
          </cell>
          <cell r="AL293">
            <v>103.07171699999999</v>
          </cell>
          <cell r="AM293">
            <v>98.386473999999993</v>
          </cell>
          <cell r="AN293">
            <v>5793.6307550000001</v>
          </cell>
          <cell r="AO293">
            <v>5584.6602860000003</v>
          </cell>
          <cell r="AP293">
            <v>0</v>
          </cell>
          <cell r="AQ293">
            <v>1.3631</v>
          </cell>
          <cell r="AR293">
            <v>234.39542899999998</v>
          </cell>
          <cell r="AS293">
            <v>232.96121400000001</v>
          </cell>
          <cell r="AT293">
            <v>259.47654199999999</v>
          </cell>
          <cell r="AU293">
            <v>1597.210012</v>
          </cell>
          <cell r="AV293">
            <v>421.30694599999998</v>
          </cell>
          <cell r="AW293">
            <v>85.872706999999991</v>
          </cell>
          <cell r="AX293">
            <v>0</v>
          </cell>
          <cell r="AY293">
            <v>6.6384999999999996</v>
          </cell>
          <cell r="AZ293">
            <v>135.350931</v>
          </cell>
          <cell r="BA293">
            <v>18561.613819000002</v>
          </cell>
          <cell r="BB293" t="str">
            <v/>
          </cell>
          <cell r="BC293">
            <v>4972.0087100000001</v>
          </cell>
          <cell r="BD293">
            <v>44455.107614</v>
          </cell>
          <cell r="BE293">
            <v>5516.4699359999995</v>
          </cell>
          <cell r="BF293">
            <v>33256.299590000002</v>
          </cell>
          <cell r="BG293">
            <v>101966.42002600001</v>
          </cell>
          <cell r="BH293">
            <v>48107.275258000001</v>
          </cell>
          <cell r="BI293">
            <v>12023.711692999999</v>
          </cell>
          <cell r="BJ293">
            <v>231.789277</v>
          </cell>
          <cell r="BK293">
            <v>1841.4832579999998</v>
          </cell>
          <cell r="BL293">
            <v>10631.528061999999</v>
          </cell>
          <cell r="BM293">
            <v>11592.152772999998</v>
          </cell>
          <cell r="BN293">
            <v>1887.084173</v>
          </cell>
          <cell r="BO293">
            <v>3427.1019819999997</v>
          </cell>
          <cell r="BP293">
            <v>120.973444</v>
          </cell>
          <cell r="BQ293">
            <v>25886.561716999997</v>
          </cell>
          <cell r="BR293">
            <v>48210.482298000003</v>
          </cell>
          <cell r="BS293">
            <v>40096.980280000003</v>
          </cell>
          <cell r="BT293">
            <v>6808.7048529999993</v>
          </cell>
          <cell r="BU293">
            <v>553.4808579999999</v>
          </cell>
          <cell r="BV293">
            <v>2771.0272690000002</v>
          </cell>
          <cell r="BW293">
            <v>12.821448999999999</v>
          </cell>
          <cell r="BX293">
            <v>404369.46451999992</v>
          </cell>
          <cell r="BY293" t="str">
            <v/>
          </cell>
          <cell r="BZ293">
            <v>9831.1777230000007</v>
          </cell>
          <cell r="CA293">
            <v>10636.701888</v>
          </cell>
          <cell r="CB293">
            <v>11.528499999999999</v>
          </cell>
          <cell r="CC293">
            <v>3645.9435699999999</v>
          </cell>
          <cell r="CD293">
            <v>4288.6964599999992</v>
          </cell>
          <cell r="CE293">
            <v>27.42024</v>
          </cell>
          <cell r="CF293">
            <v>1157.4268299999999</v>
          </cell>
          <cell r="CG293">
            <v>529.36484299999995</v>
          </cell>
          <cell r="CH293">
            <v>6208.6901579999994</v>
          </cell>
          <cell r="CI293">
            <v>403.19082499999996</v>
          </cell>
          <cell r="CJ293">
            <v>396.35756300000003</v>
          </cell>
          <cell r="CK293">
            <v>80481.150443000006</v>
          </cell>
          <cell r="CL293">
            <v>79149.111850999994</v>
          </cell>
          <cell r="CM293">
            <v>2.1094499999999998</v>
          </cell>
          <cell r="CN293">
            <v>72.08179100000001</v>
          </cell>
          <cell r="CO293">
            <v>956.24769899999978</v>
          </cell>
          <cell r="CP293">
            <v>954.08813399999997</v>
          </cell>
          <cell r="CQ293">
            <v>1122.741683</v>
          </cell>
          <cell r="CR293">
            <v>4058.3617529999997</v>
          </cell>
          <cell r="CS293">
            <v>1698.9314189999998</v>
          </cell>
          <cell r="CT293">
            <v>260.63365699999997</v>
          </cell>
          <cell r="CU293">
            <v>0.22</v>
          </cell>
          <cell r="CV293">
            <v>151.106751</v>
          </cell>
          <cell r="CW293">
            <v>398.85834699999998</v>
          </cell>
          <cell r="CX293">
            <v>126327.41309300002</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v>31.240591631456365</v>
          </cell>
          <cell r="DM293" t="str">
            <v/>
          </cell>
          <cell r="DN293" t="str">
            <v/>
          </cell>
          <cell r="DO293" t="str">
            <v/>
          </cell>
          <cell r="DP293" t="str">
            <v/>
          </cell>
          <cell r="DQ293" t="str">
            <v/>
          </cell>
          <cell r="DR293" t="str">
            <v/>
          </cell>
          <cell r="DS293" t="str">
            <v/>
          </cell>
          <cell r="DT293" t="str">
            <v/>
          </cell>
          <cell r="DU293" t="str">
            <v/>
          </cell>
          <cell r="DV293" t="str">
            <v/>
          </cell>
          <cell r="DY293">
            <v>12</v>
          </cell>
        </row>
        <row r="294">
          <cell r="F294">
            <v>37329.25</v>
          </cell>
          <cell r="G294">
            <v>1701.240599</v>
          </cell>
          <cell r="H294">
            <v>11271.555999</v>
          </cell>
          <cell r="I294">
            <v>1297.25272</v>
          </cell>
          <cell r="J294">
            <v>11227.16188</v>
          </cell>
          <cell r="K294">
            <v>26581.536904999997</v>
          </cell>
          <cell r="L294">
            <v>13801.608123</v>
          </cell>
          <cell r="M294">
            <v>3938.6383489999998</v>
          </cell>
          <cell r="N294">
            <v>58.810708999999996</v>
          </cell>
          <cell r="O294">
            <v>712.85934199999997</v>
          </cell>
          <cell r="P294">
            <v>2750.9474230000001</v>
          </cell>
          <cell r="Q294">
            <v>3552.3410629999998</v>
          </cell>
          <cell r="R294">
            <v>653.12811999999997</v>
          </cell>
          <cell r="S294">
            <v>1705.1609079999998</v>
          </cell>
          <cell r="T294">
            <v>13.049294</v>
          </cell>
          <cell r="U294">
            <v>11477.862164999999</v>
          </cell>
          <cell r="V294">
            <v>18318.884491000001</v>
          </cell>
          <cell r="W294">
            <v>15276.564791999999</v>
          </cell>
          <cell r="X294">
            <v>1966.20165</v>
          </cell>
          <cell r="Y294">
            <v>59.640428999999997</v>
          </cell>
          <cell r="Z294">
            <v>1077.3873779999999</v>
          </cell>
          <cell r="AA294">
            <v>0.5625</v>
          </cell>
          <cell r="AB294">
            <v>127442.39483900002</v>
          </cell>
          <cell r="AC294">
            <v>4016.3427959999999</v>
          </cell>
          <cell r="AD294">
            <v>5153.7225509999998</v>
          </cell>
          <cell r="AE294">
            <v>63.002199999999995</v>
          </cell>
          <cell r="AF294">
            <v>591.45430799999997</v>
          </cell>
          <cell r="AG294">
            <v>2010.8455899999999</v>
          </cell>
          <cell r="AH294">
            <v>16.940486</v>
          </cell>
          <cell r="AI294">
            <v>155.81806499999999</v>
          </cell>
          <cell r="AJ294">
            <v>245.532431</v>
          </cell>
          <cell r="AK294">
            <v>2025.9471899999999</v>
          </cell>
          <cell r="AL294">
            <v>1409.203426</v>
          </cell>
          <cell r="AM294">
            <v>26.830621999999998</v>
          </cell>
          <cell r="AN294">
            <v>21268.731168999999</v>
          </cell>
          <cell r="AO294">
            <v>20355.909671000001</v>
          </cell>
          <cell r="AP294">
            <v>0.17156199999999999</v>
          </cell>
          <cell r="AQ294">
            <v>39.612452999999995</v>
          </cell>
          <cell r="AR294">
            <v>139.977733</v>
          </cell>
          <cell r="AS294">
            <v>139.977733</v>
          </cell>
          <cell r="AT294">
            <v>736.27709199999993</v>
          </cell>
          <cell r="AU294">
            <v>874.31702999999993</v>
          </cell>
          <cell r="AV294">
            <v>355.260334</v>
          </cell>
          <cell r="AW294">
            <v>40.375754000000001</v>
          </cell>
          <cell r="AX294">
            <v>0</v>
          </cell>
          <cell r="AY294">
            <v>32.298003999999999</v>
          </cell>
          <cell r="AZ294">
            <v>126.57107699999999</v>
          </cell>
          <cell r="BA294">
            <v>39266.229672999994</v>
          </cell>
          <cell r="BB294" t="str">
            <v/>
          </cell>
          <cell r="BC294">
            <v>1701.240599</v>
          </cell>
          <cell r="BD294">
            <v>11271.555999</v>
          </cell>
          <cell r="BE294">
            <v>1297.25272</v>
          </cell>
          <cell r="BF294">
            <v>11227.16188</v>
          </cell>
          <cell r="BG294">
            <v>26581.536904999997</v>
          </cell>
          <cell r="BH294">
            <v>13801.608123</v>
          </cell>
          <cell r="BI294">
            <v>3938.6383489999998</v>
          </cell>
          <cell r="BJ294">
            <v>58.810708999999996</v>
          </cell>
          <cell r="BK294">
            <v>712.85934199999997</v>
          </cell>
          <cell r="BL294">
            <v>2750.9474230000001</v>
          </cell>
          <cell r="BM294">
            <v>3552.3410629999998</v>
          </cell>
          <cell r="BN294">
            <v>653.12811999999997</v>
          </cell>
          <cell r="BO294">
            <v>1705.1609079999998</v>
          </cell>
          <cell r="BP294">
            <v>13.049294</v>
          </cell>
          <cell r="BQ294">
            <v>11477.862164999999</v>
          </cell>
          <cell r="BR294">
            <v>18318.884491000001</v>
          </cell>
          <cell r="BS294">
            <v>15276.564791999999</v>
          </cell>
          <cell r="BT294">
            <v>1966.20165</v>
          </cell>
          <cell r="BU294">
            <v>59.640428999999997</v>
          </cell>
          <cell r="BV294">
            <v>1077.3873779999999</v>
          </cell>
          <cell r="BW294">
            <v>0.5625</v>
          </cell>
          <cell r="BX294">
            <v>127442.39483900002</v>
          </cell>
          <cell r="BY294" t="str">
            <v/>
          </cell>
          <cell r="BZ294">
            <v>4016.3427959999999</v>
          </cell>
          <cell r="CA294">
            <v>5153.7225509999998</v>
          </cell>
          <cell r="CB294">
            <v>63.002199999999995</v>
          </cell>
          <cell r="CC294">
            <v>591.45430799999997</v>
          </cell>
          <cell r="CD294">
            <v>2010.8455899999999</v>
          </cell>
          <cell r="CE294">
            <v>16.940486</v>
          </cell>
          <cell r="CF294">
            <v>155.81806499999999</v>
          </cell>
          <cell r="CG294">
            <v>245.532431</v>
          </cell>
          <cell r="CH294">
            <v>2025.9471899999999</v>
          </cell>
          <cell r="CI294">
            <v>1409.203426</v>
          </cell>
          <cell r="CJ294">
            <v>26.830621999999998</v>
          </cell>
          <cell r="CK294">
            <v>21268.731168999999</v>
          </cell>
          <cell r="CL294">
            <v>20355.909671000001</v>
          </cell>
          <cell r="CM294">
            <v>0.17156199999999999</v>
          </cell>
          <cell r="CN294">
            <v>39.612452999999995</v>
          </cell>
          <cell r="CO294">
            <v>139.977733</v>
          </cell>
          <cell r="CP294">
            <v>139.977733</v>
          </cell>
          <cell r="CQ294">
            <v>736.27709199999993</v>
          </cell>
          <cell r="CR294">
            <v>874.31702999999993</v>
          </cell>
          <cell r="CS294">
            <v>355.260334</v>
          </cell>
          <cell r="CT294">
            <v>40.375754000000001</v>
          </cell>
          <cell r="CU294">
            <v>0</v>
          </cell>
          <cell r="CV294">
            <v>32.298003999999999</v>
          </cell>
          <cell r="CW294">
            <v>126.57107699999999</v>
          </cell>
          <cell r="CX294">
            <v>39266.229672999994</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Y294">
            <v>13</v>
          </cell>
        </row>
        <row r="295">
          <cell r="F295">
            <v>37420.5625</v>
          </cell>
          <cell r="G295">
            <v>1050.2544619999999</v>
          </cell>
          <cell r="H295">
            <v>10987.775893</v>
          </cell>
          <cell r="I295">
            <v>1497.636694</v>
          </cell>
          <cell r="J295">
            <v>8035.4389699999992</v>
          </cell>
          <cell r="K295">
            <v>20937.054435999999</v>
          </cell>
          <cell r="L295">
            <v>19219.513048999997</v>
          </cell>
          <cell r="M295">
            <v>3204.7011149999998</v>
          </cell>
          <cell r="N295">
            <v>173.64436499999999</v>
          </cell>
          <cell r="O295">
            <v>541.49786399999994</v>
          </cell>
          <cell r="P295">
            <v>2381.8726379999998</v>
          </cell>
          <cell r="Q295">
            <v>2700.8096599999999</v>
          </cell>
          <cell r="R295">
            <v>605.73369500000001</v>
          </cell>
          <cell r="S295">
            <v>959.69295799999998</v>
          </cell>
          <cell r="T295">
            <v>33.136468000000001</v>
          </cell>
          <cell r="U295">
            <v>5684.0262910000001</v>
          </cell>
          <cell r="V295">
            <v>16019.490715999998</v>
          </cell>
          <cell r="W295">
            <v>9437.7771140000004</v>
          </cell>
          <cell r="X295">
            <v>1349.937872</v>
          </cell>
          <cell r="Y295">
            <v>5.9152509999999996</v>
          </cell>
          <cell r="Z295">
            <v>719.59568300000001</v>
          </cell>
          <cell r="AA295">
            <v>37.827376999999998</v>
          </cell>
          <cell r="AB295">
            <v>105583.33257099999</v>
          </cell>
          <cell r="AC295">
            <v>961.19943699999999</v>
          </cell>
          <cell r="AD295">
            <v>1978.9346459999999</v>
          </cell>
          <cell r="AE295">
            <v>50.078499999999998</v>
          </cell>
          <cell r="AF295">
            <v>390.54220099999998</v>
          </cell>
          <cell r="AG295">
            <v>132.93998199999999</v>
          </cell>
          <cell r="AH295">
            <v>4.2</v>
          </cell>
          <cell r="AI295">
            <v>333.94449399999996</v>
          </cell>
          <cell r="AJ295">
            <v>204.87890399999998</v>
          </cell>
          <cell r="AK295">
            <v>1153.5860639999999</v>
          </cell>
          <cell r="AL295">
            <v>125.00580799999999</v>
          </cell>
          <cell r="AM295">
            <v>106.27426199999999</v>
          </cell>
          <cell r="AN295">
            <v>7764.1134749999992</v>
          </cell>
          <cell r="AO295">
            <v>7387.1328370000001</v>
          </cell>
          <cell r="AP295">
            <v>1.4152829999999998</v>
          </cell>
          <cell r="AQ295">
            <v>22.415364999999998</v>
          </cell>
          <cell r="AR295">
            <v>317.40279599999997</v>
          </cell>
          <cell r="AS295">
            <v>317.40279600000002</v>
          </cell>
          <cell r="AT295">
            <v>167.352811</v>
          </cell>
          <cell r="AU295">
            <v>1950.252166</v>
          </cell>
          <cell r="AV295">
            <v>495.61262399999998</v>
          </cell>
          <cell r="AW295">
            <v>126.130477</v>
          </cell>
          <cell r="AX295">
            <v>0</v>
          </cell>
          <cell r="AY295">
            <v>90.266717999999997</v>
          </cell>
          <cell r="AZ295">
            <v>82.962626</v>
          </cell>
          <cell r="BA295">
            <v>16409.430139</v>
          </cell>
          <cell r="BB295" t="str">
            <v/>
          </cell>
          <cell r="BC295">
            <v>2751.4950609999996</v>
          </cell>
          <cell r="BD295">
            <v>22259.331892000002</v>
          </cell>
          <cell r="BE295">
            <v>2794.8894140000002</v>
          </cell>
          <cell r="BF295">
            <v>19262.600849999999</v>
          </cell>
          <cell r="BG295">
            <v>47518.591340999992</v>
          </cell>
          <cell r="BH295">
            <v>33021.121171999999</v>
          </cell>
          <cell r="BI295">
            <v>7143.3394639999997</v>
          </cell>
          <cell r="BJ295">
            <v>232.455074</v>
          </cell>
          <cell r="BK295">
            <v>1254.3572059999999</v>
          </cell>
          <cell r="BL295">
            <v>5132.8200610000004</v>
          </cell>
          <cell r="BM295">
            <v>6253.1507229999997</v>
          </cell>
          <cell r="BN295">
            <v>1258.861815</v>
          </cell>
          <cell r="BO295">
            <v>2664.8538659999999</v>
          </cell>
          <cell r="BP295">
            <v>46.185761999999997</v>
          </cell>
          <cell r="BQ295">
            <v>17161.888456000001</v>
          </cell>
          <cell r="BR295">
            <v>34338.375206999997</v>
          </cell>
          <cell r="BS295">
            <v>24714.341906000001</v>
          </cell>
          <cell r="BT295">
            <v>3316.1395219999999</v>
          </cell>
          <cell r="BU295">
            <v>65.555679999999995</v>
          </cell>
          <cell r="BV295">
            <v>1796.9830609999999</v>
          </cell>
          <cell r="BW295">
            <v>38.389876999999998</v>
          </cell>
          <cell r="BX295">
            <v>233025.72740999999</v>
          </cell>
          <cell r="BY295" t="str">
            <v/>
          </cell>
          <cell r="BZ295">
            <v>4977.5422330000001</v>
          </cell>
          <cell r="CA295">
            <v>7132.6571969999995</v>
          </cell>
          <cell r="CB295">
            <v>113.08069999999999</v>
          </cell>
          <cell r="CC295">
            <v>981.99650899999995</v>
          </cell>
          <cell r="CD295">
            <v>2143.7855719999998</v>
          </cell>
          <cell r="CE295">
            <v>21.140485999999999</v>
          </cell>
          <cell r="CF295">
            <v>489.76255899999995</v>
          </cell>
          <cell r="CG295">
            <v>450.41133500000001</v>
          </cell>
          <cell r="CH295">
            <v>3179.5332539999999</v>
          </cell>
          <cell r="CI295">
            <v>1534.2092339999999</v>
          </cell>
          <cell r="CJ295">
            <v>133.104884</v>
          </cell>
          <cell r="CK295">
            <v>29032.844643999997</v>
          </cell>
          <cell r="CL295">
            <v>27743.042508000002</v>
          </cell>
          <cell r="CM295">
            <v>1.5868449999999998</v>
          </cell>
          <cell r="CN295">
            <v>62.027817999999996</v>
          </cell>
          <cell r="CO295">
            <v>457.38052899999997</v>
          </cell>
          <cell r="CP295">
            <v>457.38052900000002</v>
          </cell>
          <cell r="CQ295">
            <v>903.6299029999999</v>
          </cell>
          <cell r="CR295">
            <v>2824.5691959999999</v>
          </cell>
          <cell r="CS295">
            <v>850.87295799999993</v>
          </cell>
          <cell r="CT295">
            <v>166.50623100000001</v>
          </cell>
          <cell r="CU295">
            <v>0</v>
          </cell>
          <cell r="CV295">
            <v>122.56472199999999</v>
          </cell>
          <cell r="CW295">
            <v>209.533703</v>
          </cell>
          <cell r="CX295">
            <v>55675.659811999998</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Y295">
            <v>14</v>
          </cell>
        </row>
        <row r="296">
          <cell r="F296">
            <v>37511.875</v>
          </cell>
          <cell r="G296">
            <v>725.79230099999995</v>
          </cell>
          <cell r="H296">
            <v>11791.673456999999</v>
          </cell>
          <cell r="I296">
            <v>1774.1680319999998</v>
          </cell>
          <cell r="J296">
            <v>9381.580625999999</v>
          </cell>
          <cell r="K296">
            <v>23831.122085999999</v>
          </cell>
          <cell r="L296">
            <v>21831.255888</v>
          </cell>
          <cell r="M296">
            <v>3253.3771539999998</v>
          </cell>
          <cell r="N296">
            <v>65.538405999999995</v>
          </cell>
          <cell r="O296">
            <v>328.56835799999999</v>
          </cell>
          <cell r="P296">
            <v>4020.2564949999996</v>
          </cell>
          <cell r="Q296">
            <v>2296.5926869999998</v>
          </cell>
          <cell r="R296">
            <v>272.03688</v>
          </cell>
          <cell r="S296">
            <v>809.27095999999995</v>
          </cell>
          <cell r="T296">
            <v>57.191662000000001</v>
          </cell>
          <cell r="U296">
            <v>7426.0469299999995</v>
          </cell>
          <cell r="V296">
            <v>14043.831521</v>
          </cell>
          <cell r="W296">
            <v>9958.1774269999987</v>
          </cell>
          <cell r="X296">
            <v>2315.357528</v>
          </cell>
          <cell r="Y296">
            <v>58.514296999999999</v>
          </cell>
          <cell r="Z296">
            <v>881.42074500000001</v>
          </cell>
          <cell r="AA296">
            <v>0.363755</v>
          </cell>
          <cell r="AB296">
            <v>115122.13719499997</v>
          </cell>
          <cell r="AC296">
            <v>1389.335842</v>
          </cell>
          <cell r="AD296">
            <v>2207.0857559999999</v>
          </cell>
          <cell r="AE296">
            <v>20.404999999999998</v>
          </cell>
          <cell r="AF296">
            <v>767.78990899999997</v>
          </cell>
          <cell r="AG296">
            <v>220.733937</v>
          </cell>
          <cell r="AH296">
            <v>106.52465799999999</v>
          </cell>
          <cell r="AI296">
            <v>166.06061299999999</v>
          </cell>
          <cell r="AJ296">
            <v>97.215183999999994</v>
          </cell>
          <cell r="AK296">
            <v>847.62266099999999</v>
          </cell>
          <cell r="AL296">
            <v>39.010950000000001</v>
          </cell>
          <cell r="AM296">
            <v>190.711737</v>
          </cell>
          <cell r="AN296">
            <v>35783.394335999998</v>
          </cell>
          <cell r="AO296">
            <v>35674.147658000002</v>
          </cell>
          <cell r="AP296">
            <v>0</v>
          </cell>
          <cell r="AQ296">
            <v>16.559999999999999</v>
          </cell>
          <cell r="AR296">
            <v>130.399248</v>
          </cell>
          <cell r="AS296">
            <v>130.399248</v>
          </cell>
          <cell r="AT296">
            <v>117.79339499999999</v>
          </cell>
          <cell r="AU296">
            <v>965.48789799999997</v>
          </cell>
          <cell r="AV296">
            <v>737.49703999999997</v>
          </cell>
          <cell r="AW296">
            <v>25.375885</v>
          </cell>
          <cell r="AX296">
            <v>0</v>
          </cell>
          <cell r="AY296">
            <v>196.398685</v>
          </cell>
          <cell r="AZ296">
            <v>101.411445</v>
          </cell>
          <cell r="BA296">
            <v>44106.409178999995</v>
          </cell>
          <cell r="BB296" t="str">
            <v/>
          </cell>
          <cell r="BC296">
            <v>3477.2873619999996</v>
          </cell>
          <cell r="BD296">
            <v>34051.005348999999</v>
          </cell>
          <cell r="BE296">
            <v>4569.0574459999998</v>
          </cell>
          <cell r="BF296">
            <v>28644.181475999998</v>
          </cell>
          <cell r="BG296">
            <v>71349.713426999995</v>
          </cell>
          <cell r="BH296">
            <v>54852.377059999999</v>
          </cell>
          <cell r="BI296">
            <v>10396.716617999999</v>
          </cell>
          <cell r="BJ296">
            <v>297.99347999999998</v>
          </cell>
          <cell r="BK296">
            <v>1582.9255639999999</v>
          </cell>
          <cell r="BL296">
            <v>9153.076556</v>
          </cell>
          <cell r="BM296">
            <v>8549.7434099999991</v>
          </cell>
          <cell r="BN296">
            <v>1530.8986949999999</v>
          </cell>
          <cell r="BO296">
            <v>3474.1248259999998</v>
          </cell>
          <cell r="BP296">
            <v>103.37742399999999</v>
          </cell>
          <cell r="BQ296">
            <v>24587.935386000001</v>
          </cell>
          <cell r="BR296">
            <v>48382.206727999997</v>
          </cell>
          <cell r="BS296">
            <v>34672.519333000004</v>
          </cell>
          <cell r="BT296">
            <v>5631.4970499999999</v>
          </cell>
          <cell r="BU296">
            <v>124.06997699999999</v>
          </cell>
          <cell r="BV296">
            <v>2678.4038059999998</v>
          </cell>
          <cell r="BW296">
            <v>38.753631999999996</v>
          </cell>
          <cell r="BX296">
            <v>348147.86460499995</v>
          </cell>
          <cell r="BY296" t="str">
            <v/>
          </cell>
          <cell r="BZ296">
            <v>6366.8780750000005</v>
          </cell>
          <cell r="CA296">
            <v>9339.742952999999</v>
          </cell>
          <cell r="CB296">
            <v>133.48569999999998</v>
          </cell>
          <cell r="CC296">
            <v>1749.7864179999999</v>
          </cell>
          <cell r="CD296">
            <v>2364.5195089999997</v>
          </cell>
          <cell r="CE296">
            <v>127.66514399999998</v>
          </cell>
          <cell r="CF296">
            <v>655.82317199999989</v>
          </cell>
          <cell r="CG296">
            <v>547.62651900000003</v>
          </cell>
          <cell r="CH296">
            <v>4027.1559149999998</v>
          </cell>
          <cell r="CI296">
            <v>1573.220184</v>
          </cell>
          <cell r="CJ296">
            <v>323.816621</v>
          </cell>
          <cell r="CK296">
            <v>64816.238979999995</v>
          </cell>
          <cell r="CL296">
            <v>63417.190166</v>
          </cell>
          <cell r="CM296">
            <v>1.5868449999999998</v>
          </cell>
          <cell r="CN296">
            <v>78.587817999999999</v>
          </cell>
          <cell r="CO296">
            <v>587.77977699999997</v>
          </cell>
          <cell r="CP296">
            <v>587.77977699999997</v>
          </cell>
          <cell r="CQ296">
            <v>1021.4232979999999</v>
          </cell>
          <cell r="CR296">
            <v>3790.0570939999998</v>
          </cell>
          <cell r="CS296">
            <v>1588.3699979999999</v>
          </cell>
          <cell r="CT296">
            <v>191.88211600000002</v>
          </cell>
          <cell r="CU296">
            <v>0</v>
          </cell>
          <cell r="CV296">
            <v>318.96340699999996</v>
          </cell>
          <cell r="CW296">
            <v>310.94514800000002</v>
          </cell>
          <cell r="CX296">
            <v>99782.068990999993</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Y296">
            <v>15</v>
          </cell>
        </row>
        <row r="297">
          <cell r="F297">
            <v>37603.1875</v>
          </cell>
          <cell r="G297">
            <v>814.430116</v>
          </cell>
          <cell r="H297">
            <v>10094.683326</v>
          </cell>
          <cell r="I297">
            <v>1244.760014</v>
          </cell>
          <cell r="J297">
            <v>8953.7199779999992</v>
          </cell>
          <cell r="K297">
            <v>20311.593677999997</v>
          </cell>
          <cell r="L297">
            <v>9271.1008009999987</v>
          </cell>
          <cell r="M297">
            <v>2560.0359100000001</v>
          </cell>
          <cell r="N297">
            <v>45.861363999999995</v>
          </cell>
          <cell r="O297">
            <v>364.41887299999996</v>
          </cell>
          <cell r="P297">
            <v>2363.6468070000001</v>
          </cell>
          <cell r="Q297">
            <v>2257.7772289999998</v>
          </cell>
          <cell r="R297">
            <v>294.20569499999999</v>
          </cell>
          <cell r="S297">
            <v>682.12278199999992</v>
          </cell>
          <cell r="T297">
            <v>8.9364639999999991</v>
          </cell>
          <cell r="U297">
            <v>5004.444356</v>
          </cell>
          <cell r="V297">
            <v>10511.239874999999</v>
          </cell>
          <cell r="W297">
            <v>9844.2082190000001</v>
          </cell>
          <cell r="X297">
            <v>1120.588223</v>
          </cell>
          <cell r="Y297">
            <v>89.997292000000002</v>
          </cell>
          <cell r="Z297">
            <v>913.97746899999993</v>
          </cell>
          <cell r="AA297">
            <v>0.610375</v>
          </cell>
          <cell r="AB297">
            <v>86752.358845999988</v>
          </cell>
          <cell r="AC297">
            <v>497.02626900000001</v>
          </cell>
          <cell r="AD297">
            <v>3659.0808870000001</v>
          </cell>
          <cell r="AE297">
            <v>3.4624999999999999</v>
          </cell>
          <cell r="AF297">
            <v>429.580803</v>
          </cell>
          <cell r="AG297">
            <v>1258.2979800000001</v>
          </cell>
          <cell r="AH297">
            <v>477.14092299999999</v>
          </cell>
          <cell r="AI297">
            <v>57.624041999999996</v>
          </cell>
          <cell r="AJ297">
            <v>149.33050299999999</v>
          </cell>
          <cell r="AK297">
            <v>17.655044</v>
          </cell>
          <cell r="AL297">
            <v>37.003907999999996</v>
          </cell>
          <cell r="AM297">
            <v>99.308646999999993</v>
          </cell>
          <cell r="AN297">
            <v>14377.521699999999</v>
          </cell>
          <cell r="AO297">
            <v>12687.103476</v>
          </cell>
          <cell r="AP297">
            <v>2</v>
          </cell>
          <cell r="AQ297">
            <v>1.74302</v>
          </cell>
          <cell r="AR297">
            <v>244.63709399999999</v>
          </cell>
          <cell r="AS297">
            <v>244.63709399999999</v>
          </cell>
          <cell r="AT297">
            <v>716.39776599999993</v>
          </cell>
          <cell r="AU297">
            <v>677.81513499999994</v>
          </cell>
          <cell r="AV297">
            <v>641.20845399999996</v>
          </cell>
          <cell r="AW297">
            <v>31.564715999999997</v>
          </cell>
          <cell r="AX297">
            <v>0</v>
          </cell>
          <cell r="AY297">
            <v>25.271380000000001</v>
          </cell>
          <cell r="AZ297">
            <v>229.035313</v>
          </cell>
          <cell r="BA297">
            <v>23629.243584</v>
          </cell>
          <cell r="BB297" t="str">
            <v/>
          </cell>
          <cell r="BC297">
            <v>4291.7174779999996</v>
          </cell>
          <cell r="BD297">
            <v>44145.688674999998</v>
          </cell>
          <cell r="BE297">
            <v>5813.8174600000002</v>
          </cell>
          <cell r="BF297">
            <v>37597.901453999999</v>
          </cell>
          <cell r="BG297">
            <v>91661.307104999985</v>
          </cell>
          <cell r="BH297">
            <v>64123.477860999999</v>
          </cell>
          <cell r="BI297">
            <v>12956.752527999999</v>
          </cell>
          <cell r="BJ297">
            <v>343.85484399999996</v>
          </cell>
          <cell r="BK297">
            <v>1947.3444369999997</v>
          </cell>
          <cell r="BL297">
            <v>11516.723363000001</v>
          </cell>
          <cell r="BM297">
            <v>10807.520638999998</v>
          </cell>
          <cell r="BN297">
            <v>1825.10439</v>
          </cell>
          <cell r="BO297">
            <v>4156.2476079999997</v>
          </cell>
          <cell r="BP297">
            <v>112.31388799999999</v>
          </cell>
          <cell r="BQ297">
            <v>29592.379742000001</v>
          </cell>
          <cell r="BR297">
            <v>58893.446602999997</v>
          </cell>
          <cell r="BS297">
            <v>44516.727552000004</v>
          </cell>
          <cell r="BT297">
            <v>6752.0852729999997</v>
          </cell>
          <cell r="BU297">
            <v>214.06726900000001</v>
          </cell>
          <cell r="BV297">
            <v>3592.3812749999997</v>
          </cell>
          <cell r="BW297">
            <v>39.364006999999994</v>
          </cell>
          <cell r="BX297">
            <v>434900.22345099994</v>
          </cell>
          <cell r="BY297" t="str">
            <v/>
          </cell>
          <cell r="BZ297">
            <v>6863.9043440000005</v>
          </cell>
          <cell r="CA297">
            <v>12998.823839999999</v>
          </cell>
          <cell r="CB297">
            <v>136.94819999999999</v>
          </cell>
          <cell r="CC297">
            <v>2179.367221</v>
          </cell>
          <cell r="CD297">
            <v>3622.817489</v>
          </cell>
          <cell r="CE297">
            <v>604.80606699999998</v>
          </cell>
          <cell r="CF297">
            <v>713.44721399999992</v>
          </cell>
          <cell r="CG297">
            <v>696.95702200000005</v>
          </cell>
          <cell r="CH297">
            <v>4044.8109589999999</v>
          </cell>
          <cell r="CI297">
            <v>1610.2240919999999</v>
          </cell>
          <cell r="CJ297">
            <v>423.12526800000001</v>
          </cell>
          <cell r="CK297">
            <v>79193.760679999992</v>
          </cell>
          <cell r="CL297">
            <v>76104.293642000004</v>
          </cell>
          <cell r="CM297">
            <v>3.5868449999999998</v>
          </cell>
          <cell r="CN297">
            <v>80.330838</v>
          </cell>
          <cell r="CO297">
            <v>832.4168709999999</v>
          </cell>
          <cell r="CP297">
            <v>832.4168709999999</v>
          </cell>
          <cell r="CQ297">
            <v>1737.8210639999998</v>
          </cell>
          <cell r="CR297">
            <v>4467.8722289999996</v>
          </cell>
          <cell r="CS297">
            <v>2229.5784519999997</v>
          </cell>
          <cell r="CT297">
            <v>223.44683200000003</v>
          </cell>
          <cell r="CU297">
            <v>0</v>
          </cell>
          <cell r="CV297">
            <v>344.23478699999998</v>
          </cell>
          <cell r="CW297">
            <v>539.98046099999999</v>
          </cell>
          <cell r="CX297">
            <v>123411.31257499999</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v>28.376925538394143</v>
          </cell>
          <cell r="DM297" t="str">
            <v/>
          </cell>
          <cell r="DN297" t="str">
            <v/>
          </cell>
          <cell r="DO297" t="str">
            <v/>
          </cell>
          <cell r="DP297" t="str">
            <v/>
          </cell>
          <cell r="DQ297" t="str">
            <v/>
          </cell>
          <cell r="DR297" t="str">
            <v/>
          </cell>
          <cell r="DS297" t="str">
            <v/>
          </cell>
          <cell r="DT297" t="str">
            <v/>
          </cell>
          <cell r="DU297" t="str">
            <v/>
          </cell>
          <cell r="DV297" t="str">
            <v/>
          </cell>
          <cell r="DY297">
            <v>16</v>
          </cell>
        </row>
        <row r="298">
          <cell r="F298">
            <v>37694.5</v>
          </cell>
          <cell r="G298">
            <v>1286.9296360000001</v>
          </cell>
          <cell r="H298">
            <v>8549.7385250000007</v>
          </cell>
          <cell r="I298">
            <v>504.82255300000003</v>
          </cell>
          <cell r="J298">
            <v>9329.2492480000001</v>
          </cell>
          <cell r="K298">
            <v>21834.958119999999</v>
          </cell>
          <cell r="L298">
            <v>10579.347123</v>
          </cell>
          <cell r="M298">
            <v>3616.7715020000001</v>
          </cell>
          <cell r="N298">
            <v>37.972557999999999</v>
          </cell>
          <cell r="O298">
            <v>474.90550200000001</v>
          </cell>
          <cell r="P298">
            <v>2526.113511</v>
          </cell>
          <cell r="Q298">
            <v>4454.1243400000003</v>
          </cell>
          <cell r="R298">
            <v>510.76636999999999</v>
          </cell>
          <cell r="S298">
            <v>1059.182403</v>
          </cell>
          <cell r="T298">
            <v>7.0074730000000001</v>
          </cell>
          <cell r="U298">
            <v>6743.9692150000001</v>
          </cell>
          <cell r="V298">
            <v>15909.615453</v>
          </cell>
          <cell r="W298">
            <v>12188.776599999999</v>
          </cell>
          <cell r="X298">
            <v>1975.1193599999999</v>
          </cell>
          <cell r="Y298">
            <v>25.590091000000001</v>
          </cell>
          <cell r="Z298">
            <v>1372.1824389999999</v>
          </cell>
          <cell r="AA298">
            <v>14.248217</v>
          </cell>
          <cell r="AB298">
            <v>103001.39023900001</v>
          </cell>
          <cell r="AC298">
            <v>703.95271300000002</v>
          </cell>
          <cell r="AD298">
            <v>4187.4070080000001</v>
          </cell>
          <cell r="AE298">
            <v>11.125685000000001</v>
          </cell>
          <cell r="AF298">
            <v>521.91901099999995</v>
          </cell>
          <cell r="AG298">
            <v>4878.0802910000002</v>
          </cell>
          <cell r="AH298">
            <v>60.057200000000002</v>
          </cell>
          <cell r="AI298">
            <v>184.97087099999999</v>
          </cell>
          <cell r="AJ298">
            <v>274.88562899999999</v>
          </cell>
          <cell r="AK298">
            <v>519.10668399999997</v>
          </cell>
          <cell r="AL298">
            <v>74.799030999999999</v>
          </cell>
          <cell r="AM298">
            <v>54.606105999999997</v>
          </cell>
          <cell r="AN298">
            <v>36415.882135</v>
          </cell>
          <cell r="AO298">
            <v>35627.687467000003</v>
          </cell>
          <cell r="AP298">
            <v>0.165404</v>
          </cell>
          <cell r="AQ298">
            <v>3.6422889999999999</v>
          </cell>
          <cell r="AR298">
            <v>416.344562</v>
          </cell>
          <cell r="AS298">
            <v>415.06028500000002</v>
          </cell>
          <cell r="AT298">
            <v>146.907026</v>
          </cell>
          <cell r="AU298">
            <v>915.83407199999999</v>
          </cell>
          <cell r="AV298">
            <v>682.78116899999998</v>
          </cell>
          <cell r="AW298">
            <v>60.139071000000001</v>
          </cell>
          <cell r="AX298">
            <v>0</v>
          </cell>
          <cell r="AY298">
            <v>122.57253</v>
          </cell>
          <cell r="AZ298">
            <v>110.817601</v>
          </cell>
          <cell r="BA298">
            <v>50334.870403000001</v>
          </cell>
          <cell r="BB298" t="str">
            <v/>
          </cell>
          <cell r="BC298">
            <v>1286.9296360000001</v>
          </cell>
          <cell r="BD298">
            <v>8549.7385250000007</v>
          </cell>
          <cell r="BE298">
            <v>504.82255300000003</v>
          </cell>
          <cell r="BF298">
            <v>9329.2492480000001</v>
          </cell>
          <cell r="BG298">
            <v>21834.958119999999</v>
          </cell>
          <cell r="BH298">
            <v>10579.347123</v>
          </cell>
          <cell r="BI298">
            <v>3616.7715020000001</v>
          </cell>
          <cell r="BJ298">
            <v>37.972557999999999</v>
          </cell>
          <cell r="BK298">
            <v>474.90550200000001</v>
          </cell>
          <cell r="BL298">
            <v>2526.113511</v>
          </cell>
          <cell r="BM298">
            <v>4454.1243400000003</v>
          </cell>
          <cell r="BN298">
            <v>510.76636999999999</v>
          </cell>
          <cell r="BO298">
            <v>1059.182403</v>
          </cell>
          <cell r="BP298">
            <v>7.0074730000000001</v>
          </cell>
          <cell r="BQ298">
            <v>6743.9692150000001</v>
          </cell>
          <cell r="BR298">
            <v>15909.615453</v>
          </cell>
          <cell r="BS298">
            <v>12188.776599999999</v>
          </cell>
          <cell r="BT298">
            <v>1975.1193599999999</v>
          </cell>
          <cell r="BU298">
            <v>25.590091000000001</v>
          </cell>
          <cell r="BV298">
            <v>1372.1824389999999</v>
          </cell>
          <cell r="BW298">
            <v>14.248217</v>
          </cell>
          <cell r="BX298">
            <v>103001.39023900001</v>
          </cell>
          <cell r="BY298" t="str">
            <v/>
          </cell>
          <cell r="BZ298">
            <v>703.95271300000002</v>
          </cell>
          <cell r="CA298">
            <v>4187.4070080000001</v>
          </cell>
          <cell r="CB298">
            <v>11.125685000000001</v>
          </cell>
          <cell r="CC298">
            <v>521.91901099999995</v>
          </cell>
          <cell r="CD298">
            <v>4878.0802910000002</v>
          </cell>
          <cell r="CE298">
            <v>60.057200000000002</v>
          </cell>
          <cell r="CF298">
            <v>184.97087099999999</v>
          </cell>
          <cell r="CG298">
            <v>274.88562899999999</v>
          </cell>
          <cell r="CH298">
            <v>519.10668399999997</v>
          </cell>
          <cell r="CI298">
            <v>74.799030999999999</v>
          </cell>
          <cell r="CJ298">
            <v>54.606105999999997</v>
          </cell>
          <cell r="CK298">
            <v>36415.882135</v>
          </cell>
          <cell r="CL298">
            <v>35627.687467000003</v>
          </cell>
          <cell r="CM298">
            <v>0.165404</v>
          </cell>
          <cell r="CN298">
            <v>3.6422889999999999</v>
          </cell>
          <cell r="CO298">
            <v>416.344562</v>
          </cell>
          <cell r="CP298">
            <v>415.06028500000002</v>
          </cell>
          <cell r="CQ298">
            <v>146.907026</v>
          </cell>
          <cell r="CR298">
            <v>915.83407199999999</v>
          </cell>
          <cell r="CS298">
            <v>682.78116899999998</v>
          </cell>
          <cell r="CT298">
            <v>60.139071000000001</v>
          </cell>
          <cell r="CU298">
            <v>0</v>
          </cell>
          <cell r="CV298">
            <v>122.57253</v>
          </cell>
          <cell r="CW298">
            <v>110.817601</v>
          </cell>
          <cell r="CX298">
            <v>50334.870403000001</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Y298">
            <v>17</v>
          </cell>
        </row>
        <row r="299">
          <cell r="F299">
            <v>37785.8125</v>
          </cell>
          <cell r="G299">
            <v>1212.5243270000001</v>
          </cell>
          <cell r="H299">
            <v>11268.424727</v>
          </cell>
          <cell r="I299">
            <v>1117.690507</v>
          </cell>
          <cell r="J299">
            <v>9579.6146040000003</v>
          </cell>
          <cell r="K299">
            <v>27515.529167000001</v>
          </cell>
          <cell r="L299">
            <v>24660.984729</v>
          </cell>
          <cell r="M299">
            <v>3595.4580230000001</v>
          </cell>
          <cell r="N299">
            <v>49.555517000000002</v>
          </cell>
          <cell r="O299">
            <v>586.30392300000005</v>
          </cell>
          <cell r="P299">
            <v>2806.877528</v>
          </cell>
          <cell r="Q299">
            <v>2469.1807119999999</v>
          </cell>
          <cell r="R299">
            <v>559.53364999999997</v>
          </cell>
          <cell r="S299">
            <v>1152.7492010000001</v>
          </cell>
          <cell r="T299">
            <v>9.6763630000000003</v>
          </cell>
          <cell r="U299">
            <v>9214.6440729999995</v>
          </cell>
          <cell r="V299">
            <v>21524.348619</v>
          </cell>
          <cell r="W299">
            <v>12103.437497999999</v>
          </cell>
          <cell r="X299">
            <v>2046.4635740000001</v>
          </cell>
          <cell r="Y299">
            <v>13.644368</v>
          </cell>
          <cell r="Z299">
            <v>861.87740499999995</v>
          </cell>
          <cell r="AA299">
            <v>27.703873999999999</v>
          </cell>
          <cell r="AB299">
            <v>132376.222389</v>
          </cell>
          <cell r="AC299">
            <v>1358.8271830000001</v>
          </cell>
          <cell r="AD299">
            <v>5093.180746</v>
          </cell>
          <cell r="AE299">
            <v>0.03</v>
          </cell>
          <cell r="AF299">
            <v>585.24404600000003</v>
          </cell>
          <cell r="AG299">
            <v>3230.8957099999998</v>
          </cell>
          <cell r="AH299">
            <v>13.441253</v>
          </cell>
          <cell r="AI299">
            <v>173.45243199999999</v>
          </cell>
          <cell r="AJ299">
            <v>135.658918</v>
          </cell>
          <cell r="AK299">
            <v>699.35689000000002</v>
          </cell>
          <cell r="AL299">
            <v>83.970078000000001</v>
          </cell>
          <cell r="AM299">
            <v>96.511142000000007</v>
          </cell>
          <cell r="AN299">
            <v>32133.178581</v>
          </cell>
          <cell r="AO299">
            <v>31502.517844999998</v>
          </cell>
          <cell r="AP299">
            <v>4.0498409999999998</v>
          </cell>
          <cell r="AQ299">
            <v>4.0530840000000001</v>
          </cell>
          <cell r="AR299">
            <v>409.87345099999999</v>
          </cell>
          <cell r="AS299">
            <v>405.65650099999999</v>
          </cell>
          <cell r="AT299">
            <v>180.70835099999999</v>
          </cell>
          <cell r="AU299">
            <v>1037.9591129999999</v>
          </cell>
          <cell r="AV299">
            <v>298.21665300000001</v>
          </cell>
          <cell r="AW299">
            <v>95.682501000000002</v>
          </cell>
          <cell r="AX299">
            <v>0</v>
          </cell>
          <cell r="AY299">
            <v>132.548618</v>
          </cell>
          <cell r="AZ299">
            <v>127.047614</v>
          </cell>
          <cell r="BA299">
            <v>45893.856205000004</v>
          </cell>
          <cell r="BB299" t="str">
            <v/>
          </cell>
          <cell r="BC299">
            <v>2499.4539629999999</v>
          </cell>
          <cell r="BD299">
            <v>19818.163251999998</v>
          </cell>
          <cell r="BE299">
            <v>1622.51306</v>
          </cell>
          <cell r="BF299">
            <v>18908.863852000002</v>
          </cell>
          <cell r="BG299">
            <v>49350.487286999996</v>
          </cell>
          <cell r="BH299">
            <v>35240.331852000003</v>
          </cell>
          <cell r="BI299">
            <v>7212.2295250000006</v>
          </cell>
          <cell r="BJ299">
            <v>87.528075000000001</v>
          </cell>
          <cell r="BK299">
            <v>1061.209425</v>
          </cell>
          <cell r="BL299">
            <v>5332.9910390000005</v>
          </cell>
          <cell r="BM299">
            <v>6923.3050519999997</v>
          </cell>
          <cell r="BN299">
            <v>1070.3000199999999</v>
          </cell>
          <cell r="BO299">
            <v>2211.9316040000003</v>
          </cell>
          <cell r="BP299">
            <v>16.683835999999999</v>
          </cell>
          <cell r="BQ299">
            <v>15958.613288</v>
          </cell>
          <cell r="BR299">
            <v>37433.964072000002</v>
          </cell>
          <cell r="BS299">
            <v>24292.214097999997</v>
          </cell>
          <cell r="BT299">
            <v>4021.582934</v>
          </cell>
          <cell r="BU299">
            <v>39.234459000000001</v>
          </cell>
          <cell r="BV299">
            <v>2234.0598439999999</v>
          </cell>
          <cell r="BW299">
            <v>41.952090999999996</v>
          </cell>
          <cell r="BX299">
            <v>235377.61262800003</v>
          </cell>
          <cell r="BY299" t="str">
            <v/>
          </cell>
          <cell r="BZ299">
            <v>2062.779896</v>
          </cell>
          <cell r="CA299">
            <v>9280.5877540000001</v>
          </cell>
          <cell r="CB299">
            <v>11.155685</v>
          </cell>
          <cell r="CC299">
            <v>1107.163057</v>
          </cell>
          <cell r="CD299">
            <v>8108.976001</v>
          </cell>
          <cell r="CE299">
            <v>73.498452999999998</v>
          </cell>
          <cell r="CF299">
            <v>358.42330299999998</v>
          </cell>
          <cell r="CG299">
            <v>410.54454699999997</v>
          </cell>
          <cell r="CH299">
            <v>1218.4635739999999</v>
          </cell>
          <cell r="CI299">
            <v>158.76910900000001</v>
          </cell>
          <cell r="CJ299">
            <v>151.11724800000002</v>
          </cell>
          <cell r="CK299">
            <v>68549.060716000007</v>
          </cell>
          <cell r="CL299">
            <v>67130.205312000006</v>
          </cell>
          <cell r="CM299">
            <v>4.2152449999999995</v>
          </cell>
          <cell r="CN299">
            <v>7.695373</v>
          </cell>
          <cell r="CO299">
            <v>826.21801299999993</v>
          </cell>
          <cell r="CP299">
            <v>820.71678599999996</v>
          </cell>
          <cell r="CQ299">
            <v>327.61537699999997</v>
          </cell>
          <cell r="CR299">
            <v>1953.793185</v>
          </cell>
          <cell r="CS299">
            <v>980.99782200000004</v>
          </cell>
          <cell r="CT299">
            <v>155.821572</v>
          </cell>
          <cell r="CU299">
            <v>0</v>
          </cell>
          <cell r="CV299">
            <v>255.12114800000001</v>
          </cell>
          <cell r="CW299">
            <v>237.86521499999998</v>
          </cell>
          <cell r="CX299">
            <v>96228.726607999997</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Y299">
            <v>18</v>
          </cell>
        </row>
        <row r="300">
          <cell r="F300">
            <v>37877.125</v>
          </cell>
          <cell r="G300">
            <v>1489.407496</v>
          </cell>
          <cell r="H300">
            <v>9783.6653530000003</v>
          </cell>
          <cell r="I300">
            <v>1224.2937440000001</v>
          </cell>
          <cell r="J300">
            <v>9518.0248690000008</v>
          </cell>
          <cell r="K300">
            <v>22437.653591999999</v>
          </cell>
          <cell r="L300">
            <v>19027.894906000001</v>
          </cell>
          <cell r="M300">
            <v>3790.746005</v>
          </cell>
          <cell r="N300">
            <v>63.265785000000001</v>
          </cell>
          <cell r="O300">
            <v>267.588818</v>
          </cell>
          <cell r="P300">
            <v>3894.7443760000001</v>
          </cell>
          <cell r="Q300">
            <v>2298.316969</v>
          </cell>
          <cell r="R300">
            <v>442.41575599999999</v>
          </cell>
          <cell r="S300">
            <v>1218.011964</v>
          </cell>
          <cell r="T300">
            <v>2.621651</v>
          </cell>
          <cell r="U300">
            <v>8471.0306529999998</v>
          </cell>
          <cell r="V300">
            <v>20099.532008999999</v>
          </cell>
          <cell r="W300">
            <v>13259.873812</v>
          </cell>
          <cell r="X300">
            <v>2117.3219039999999</v>
          </cell>
          <cell r="Y300">
            <v>37.936202999999999</v>
          </cell>
          <cell r="Z300">
            <v>2136.0765689999998</v>
          </cell>
          <cell r="AA300">
            <v>1.4471309999999999</v>
          </cell>
          <cell r="AB300">
            <v>121581.869565</v>
          </cell>
          <cell r="AC300">
            <v>677.53357100000005</v>
          </cell>
          <cell r="AD300">
            <v>2689.4024890000001</v>
          </cell>
          <cell r="AE300">
            <v>15.664857</v>
          </cell>
          <cell r="AF300">
            <v>1267.222839</v>
          </cell>
          <cell r="AG300">
            <v>2091.9572640000001</v>
          </cell>
          <cell r="AH300">
            <v>13.187920999999999</v>
          </cell>
          <cell r="AI300">
            <v>137.509691</v>
          </cell>
          <cell r="AJ300">
            <v>119.220851</v>
          </cell>
          <cell r="AK300">
            <v>121.89293000000001</v>
          </cell>
          <cell r="AL300">
            <v>58.066383999999999</v>
          </cell>
          <cell r="AM300">
            <v>22.612680000000001</v>
          </cell>
          <cell r="AN300">
            <v>12815.162893000001</v>
          </cell>
          <cell r="AO300">
            <v>11743.811615000001</v>
          </cell>
          <cell r="AP300">
            <v>0.26766600000000002</v>
          </cell>
          <cell r="AQ300">
            <v>6.9015380000000004</v>
          </cell>
          <cell r="AR300">
            <v>269.06819100000001</v>
          </cell>
          <cell r="AS300">
            <v>267.43199099999998</v>
          </cell>
          <cell r="AT300">
            <v>356.49933299999998</v>
          </cell>
          <cell r="AU300">
            <v>799.99263599999995</v>
          </cell>
          <cell r="AV300">
            <v>750.09452299999998</v>
          </cell>
          <cell r="AW300">
            <v>37.750686000000002</v>
          </cell>
          <cell r="AX300">
            <v>0</v>
          </cell>
          <cell r="AY300">
            <v>126.17110700000001</v>
          </cell>
          <cell r="AZ300">
            <v>154.28295700000001</v>
          </cell>
          <cell r="BA300">
            <v>22514.798149999991</v>
          </cell>
          <cell r="BB300" t="str">
            <v/>
          </cell>
          <cell r="BC300">
            <v>3988.8614589999997</v>
          </cell>
          <cell r="BD300">
            <v>29601.828604999999</v>
          </cell>
          <cell r="BE300">
            <v>2846.8068039999998</v>
          </cell>
          <cell r="BF300">
            <v>28426.888721000003</v>
          </cell>
          <cell r="BG300">
            <v>71788.140878999999</v>
          </cell>
          <cell r="BH300">
            <v>54268.226758000004</v>
          </cell>
          <cell r="BI300">
            <v>11002.97553</v>
          </cell>
          <cell r="BJ300">
            <v>150.79386</v>
          </cell>
          <cell r="BK300">
            <v>1328.798243</v>
          </cell>
          <cell r="BL300">
            <v>9227.735415000001</v>
          </cell>
          <cell r="BM300">
            <v>9221.6220209999992</v>
          </cell>
          <cell r="BN300">
            <v>1512.715776</v>
          </cell>
          <cell r="BO300">
            <v>3429.9435680000006</v>
          </cell>
          <cell r="BP300">
            <v>19.305486999999999</v>
          </cell>
          <cell r="BQ300">
            <v>24429.643941000002</v>
          </cell>
          <cell r="BR300">
            <v>57533.496081000005</v>
          </cell>
          <cell r="BS300">
            <v>37552.087909999995</v>
          </cell>
          <cell r="BT300">
            <v>6138.9048380000004</v>
          </cell>
          <cell r="BU300">
            <v>77.170661999999993</v>
          </cell>
          <cell r="BV300">
            <v>4370.1364130000002</v>
          </cell>
          <cell r="BW300">
            <v>43.399221999999995</v>
          </cell>
          <cell r="BX300">
            <v>356959.48219300003</v>
          </cell>
          <cell r="BY300" t="str">
            <v/>
          </cell>
          <cell r="BZ300">
            <v>2740.3134669999999</v>
          </cell>
          <cell r="CA300">
            <v>11969.990243</v>
          </cell>
          <cell r="CB300">
            <v>26.820542</v>
          </cell>
          <cell r="CC300">
            <v>2374.3858959999998</v>
          </cell>
          <cell r="CD300">
            <v>10200.933265</v>
          </cell>
          <cell r="CE300">
            <v>86.686374000000001</v>
          </cell>
          <cell r="CF300">
            <v>495.93299400000001</v>
          </cell>
          <cell r="CG300">
            <v>529.765398</v>
          </cell>
          <cell r="CH300">
            <v>1340.3565039999999</v>
          </cell>
          <cell r="CI300">
            <v>216.83549300000001</v>
          </cell>
          <cell r="CJ300">
            <v>173.72992800000003</v>
          </cell>
          <cell r="CK300">
            <v>81364.223609000008</v>
          </cell>
          <cell r="CL300">
            <v>78874.016927000004</v>
          </cell>
          <cell r="CM300">
            <v>4.4829109999999996</v>
          </cell>
          <cell r="CN300">
            <v>14.596911</v>
          </cell>
          <cell r="CO300">
            <v>1095.286204</v>
          </cell>
          <cell r="CP300">
            <v>1088.1487769999999</v>
          </cell>
          <cell r="CQ300">
            <v>684.11470999999995</v>
          </cell>
          <cell r="CR300">
            <v>2753.7858209999999</v>
          </cell>
          <cell r="CS300">
            <v>1731.092345</v>
          </cell>
          <cell r="CT300">
            <v>193.57225800000001</v>
          </cell>
          <cell r="CU300">
            <v>0</v>
          </cell>
          <cell r="CV300">
            <v>381.29225500000001</v>
          </cell>
          <cell r="CW300">
            <v>392.14817199999999</v>
          </cell>
          <cell r="CX300">
            <v>118743.52475799999</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Y300">
            <v>19</v>
          </cell>
        </row>
        <row r="301">
          <cell r="F301">
            <v>37968.4375</v>
          </cell>
          <cell r="G301">
            <v>712.73258999999996</v>
          </cell>
          <cell r="H301">
            <v>7740.7263549999998</v>
          </cell>
          <cell r="I301">
            <v>964.71867999999995</v>
          </cell>
          <cell r="J301">
            <v>8670.8053959999997</v>
          </cell>
          <cell r="K301">
            <v>25293.895457999999</v>
          </cell>
          <cell r="L301">
            <v>8770.9231849999996</v>
          </cell>
          <cell r="M301">
            <v>2087.3957399999999</v>
          </cell>
          <cell r="N301">
            <v>34.670755999999997</v>
          </cell>
          <cell r="O301">
            <v>502.24497100000002</v>
          </cell>
          <cell r="P301">
            <v>2775.4933959999998</v>
          </cell>
          <cell r="Q301">
            <v>3935.188909</v>
          </cell>
          <cell r="R301">
            <v>425.24384300000003</v>
          </cell>
          <cell r="S301">
            <v>803.32388600000002</v>
          </cell>
          <cell r="T301">
            <v>3.8341310000000002</v>
          </cell>
          <cell r="U301">
            <v>6530.3734210000002</v>
          </cell>
          <cell r="V301">
            <v>8733.0531439999995</v>
          </cell>
          <cell r="W301">
            <v>10498.316499</v>
          </cell>
          <cell r="X301">
            <v>1218.952857</v>
          </cell>
          <cell r="Y301">
            <v>3.2104529999999998</v>
          </cell>
          <cell r="Z301">
            <v>1296.628369</v>
          </cell>
          <cell r="AA301">
            <v>1.9200520000000001</v>
          </cell>
          <cell r="AB301">
            <v>91003.652091000011</v>
          </cell>
          <cell r="AC301">
            <v>454.51699400000001</v>
          </cell>
          <cell r="AD301">
            <v>2503.2958359999998</v>
          </cell>
          <cell r="AE301">
            <v>119.4016</v>
          </cell>
          <cell r="AF301">
            <v>1585.0254500000001</v>
          </cell>
          <cell r="AG301">
            <v>2268.3102979999999</v>
          </cell>
          <cell r="AH301">
            <v>15.68</v>
          </cell>
          <cell r="AI301">
            <v>290.70310000000001</v>
          </cell>
          <cell r="AJ301">
            <v>123.261867</v>
          </cell>
          <cell r="AK301">
            <v>14.659514</v>
          </cell>
          <cell r="AL301">
            <v>24.948415000000001</v>
          </cell>
          <cell r="AM301">
            <v>49.081319999999998</v>
          </cell>
          <cell r="AN301">
            <v>53599.700059000003</v>
          </cell>
          <cell r="AO301">
            <v>52524.429280999997</v>
          </cell>
          <cell r="AP301">
            <v>0</v>
          </cell>
          <cell r="AQ301">
            <v>3.0166010000000001</v>
          </cell>
          <cell r="AR301">
            <v>282.766796</v>
          </cell>
          <cell r="AS301">
            <v>282.32439599999998</v>
          </cell>
          <cell r="AT301">
            <v>488.06740600000001</v>
          </cell>
          <cell r="AU301">
            <v>1845.442929</v>
          </cell>
          <cell r="AV301">
            <v>144.542306</v>
          </cell>
          <cell r="AW301">
            <v>5.6886910000000004</v>
          </cell>
          <cell r="AX301">
            <v>0</v>
          </cell>
          <cell r="AY301">
            <v>21.481397999999999</v>
          </cell>
          <cell r="AZ301">
            <v>98.380305000000007</v>
          </cell>
          <cell r="BA301">
            <v>63818.56928500002</v>
          </cell>
          <cell r="BB301" t="str">
            <v/>
          </cell>
          <cell r="BC301">
            <v>4701.5940489999994</v>
          </cell>
          <cell r="BD301">
            <v>37342.554960000001</v>
          </cell>
          <cell r="BE301">
            <v>3811.5254839999998</v>
          </cell>
          <cell r="BF301">
            <v>37097.694117000006</v>
          </cell>
          <cell r="BG301">
            <v>97082.036336999998</v>
          </cell>
          <cell r="BH301">
            <v>63039.149943000004</v>
          </cell>
          <cell r="BI301">
            <v>13090.37127</v>
          </cell>
          <cell r="BJ301">
            <v>185.46461599999998</v>
          </cell>
          <cell r="BK301">
            <v>1831.043214</v>
          </cell>
          <cell r="BL301">
            <v>12003.228811000001</v>
          </cell>
          <cell r="BM301">
            <v>13156.81093</v>
          </cell>
          <cell r="BN301">
            <v>1937.959619</v>
          </cell>
          <cell r="BO301">
            <v>4233.2674540000007</v>
          </cell>
          <cell r="BP301">
            <v>23.139617999999999</v>
          </cell>
          <cell r="BQ301">
            <v>30960.017362000002</v>
          </cell>
          <cell r="BR301">
            <v>66266.54922500001</v>
          </cell>
          <cell r="BS301">
            <v>48050.404408999995</v>
          </cell>
          <cell r="BT301">
            <v>7357.8576950000006</v>
          </cell>
          <cell r="BU301">
            <v>80.381114999999994</v>
          </cell>
          <cell r="BV301">
            <v>5666.7647820000002</v>
          </cell>
          <cell r="BW301">
            <v>45.319273999999993</v>
          </cell>
          <cell r="BX301">
            <v>447963.13428400003</v>
          </cell>
          <cell r="BY301" t="str">
            <v/>
          </cell>
          <cell r="BZ301">
            <v>3194.830461</v>
          </cell>
          <cell r="CA301">
            <v>14473.286079</v>
          </cell>
          <cell r="CB301">
            <v>146.22214199999999</v>
          </cell>
          <cell r="CC301">
            <v>3959.4113459999999</v>
          </cell>
          <cell r="CD301">
            <v>12469.243563</v>
          </cell>
          <cell r="CE301">
            <v>102.36637400000001</v>
          </cell>
          <cell r="CF301">
            <v>786.63609399999996</v>
          </cell>
          <cell r="CG301">
            <v>653.02726499999994</v>
          </cell>
          <cell r="CH301">
            <v>1355.0160179999998</v>
          </cell>
          <cell r="CI301">
            <v>241.78390800000003</v>
          </cell>
          <cell r="CJ301">
            <v>222.81124800000003</v>
          </cell>
          <cell r="CK301">
            <v>134963.923668</v>
          </cell>
          <cell r="CL301">
            <v>131398.44620800001</v>
          </cell>
          <cell r="CM301">
            <v>4.4829109999999996</v>
          </cell>
          <cell r="CN301">
            <v>17.613512</v>
          </cell>
          <cell r="CO301">
            <v>1378.0529999999999</v>
          </cell>
          <cell r="CP301">
            <v>1370.4731729999999</v>
          </cell>
          <cell r="CQ301">
            <v>1172.182116</v>
          </cell>
          <cell r="CR301">
            <v>4599.2287500000002</v>
          </cell>
          <cell r="CS301">
            <v>1875.6346510000001</v>
          </cell>
          <cell r="CT301">
            <v>199.26094900000001</v>
          </cell>
          <cell r="CU301">
            <v>0</v>
          </cell>
          <cell r="CV301">
            <v>402.77365300000002</v>
          </cell>
          <cell r="CW301">
            <v>490.52847700000001</v>
          </cell>
          <cell r="CX301">
            <v>182562.09404300002</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v>40.753821033687821</v>
          </cell>
          <cell r="DM301" t="str">
            <v/>
          </cell>
          <cell r="DN301" t="str">
            <v/>
          </cell>
          <cell r="DO301" t="str">
            <v/>
          </cell>
          <cell r="DP301" t="str">
            <v/>
          </cell>
          <cell r="DQ301" t="str">
            <v/>
          </cell>
          <cell r="DR301" t="str">
            <v/>
          </cell>
          <cell r="DS301" t="str">
            <v/>
          </cell>
          <cell r="DT301" t="str">
            <v/>
          </cell>
          <cell r="DU301" t="str">
            <v/>
          </cell>
          <cell r="DV301" t="str">
            <v/>
          </cell>
          <cell r="DY301">
            <v>20</v>
          </cell>
        </row>
        <row r="302">
          <cell r="F302">
            <v>38059.75</v>
          </cell>
          <cell r="G302">
            <v>941.17914199999996</v>
          </cell>
          <cell r="H302">
            <v>8624.9397050000007</v>
          </cell>
          <cell r="I302">
            <v>643.92853000000002</v>
          </cell>
          <cell r="J302">
            <v>6473.9282540000004</v>
          </cell>
          <cell r="K302">
            <v>26762.515791000002</v>
          </cell>
          <cell r="L302">
            <v>14997.221969</v>
          </cell>
          <cell r="M302">
            <v>3624.8140669999998</v>
          </cell>
          <cell r="N302">
            <v>44.228026999999997</v>
          </cell>
          <cell r="O302">
            <v>435.85612700000001</v>
          </cell>
          <cell r="P302">
            <v>3784.0566090000002</v>
          </cell>
          <cell r="Q302">
            <v>2933.4969639999999</v>
          </cell>
          <cell r="R302">
            <v>492.18858899999998</v>
          </cell>
          <cell r="S302">
            <v>1978.899868</v>
          </cell>
          <cell r="T302">
            <v>9.9019209999999998</v>
          </cell>
          <cell r="U302">
            <v>9980.0714690000004</v>
          </cell>
          <cell r="V302">
            <v>18693.372890999999</v>
          </cell>
          <cell r="W302">
            <v>13076.919148000001</v>
          </cell>
          <cell r="X302">
            <v>1660.195663</v>
          </cell>
          <cell r="Y302">
            <v>79.911786000000006</v>
          </cell>
          <cell r="Z302">
            <v>824.76862700000004</v>
          </cell>
          <cell r="AA302">
            <v>0.23441200000000001</v>
          </cell>
          <cell r="AB302">
            <v>116062.62955900001</v>
          </cell>
          <cell r="AC302">
            <v>1182.126477</v>
          </cell>
          <cell r="AD302">
            <v>5251.203348</v>
          </cell>
          <cell r="AE302">
            <v>202.52086199999999</v>
          </cell>
          <cell r="AF302">
            <v>879.97341500000005</v>
          </cell>
          <cell r="AG302">
            <v>4607.3107030000001</v>
          </cell>
          <cell r="AH302">
            <v>13.431041</v>
          </cell>
          <cell r="AI302">
            <v>249.78450599999999</v>
          </cell>
          <cell r="AJ302">
            <v>145.783143</v>
          </cell>
          <cell r="AK302">
            <v>90.714917</v>
          </cell>
          <cell r="AL302">
            <v>20.830368</v>
          </cell>
          <cell r="AM302">
            <v>35.434018000000002</v>
          </cell>
          <cell r="AN302">
            <v>83107.126040999996</v>
          </cell>
          <cell r="AO302">
            <v>82350.572176000001</v>
          </cell>
          <cell r="AP302">
            <v>5.93</v>
          </cell>
          <cell r="AQ302">
            <v>0.38520100000000002</v>
          </cell>
          <cell r="AR302">
            <v>285.29049900000001</v>
          </cell>
          <cell r="AS302">
            <v>285.29049900000001</v>
          </cell>
          <cell r="AT302">
            <v>66.036592999999996</v>
          </cell>
          <cell r="AU302">
            <v>354.18843399999997</v>
          </cell>
          <cell r="AV302">
            <v>148.53648799999999</v>
          </cell>
          <cell r="AW302">
            <v>18.978306</v>
          </cell>
          <cell r="AX302">
            <v>0</v>
          </cell>
          <cell r="AY302">
            <v>93.224162000000007</v>
          </cell>
          <cell r="AZ302">
            <v>84.565735000000004</v>
          </cell>
          <cell r="BA302">
            <v>96640.853394999969</v>
          </cell>
          <cell r="BB302" t="str">
            <v/>
          </cell>
          <cell r="BC302">
            <v>941.17914199999996</v>
          </cell>
          <cell r="BD302">
            <v>8624.9397050000007</v>
          </cell>
          <cell r="BE302">
            <v>643.92853000000002</v>
          </cell>
          <cell r="BF302">
            <v>6473.9282540000004</v>
          </cell>
          <cell r="BG302">
            <v>26762.515791000002</v>
          </cell>
          <cell r="BH302">
            <v>14997.221969</v>
          </cell>
          <cell r="BI302">
            <v>3624.8140669999998</v>
          </cell>
          <cell r="BJ302">
            <v>44.228026999999997</v>
          </cell>
          <cell r="BK302">
            <v>435.85612700000001</v>
          </cell>
          <cell r="BL302">
            <v>3784.0566090000002</v>
          </cell>
          <cell r="BM302">
            <v>2933.4969639999999</v>
          </cell>
          <cell r="BN302">
            <v>492.18858899999998</v>
          </cell>
          <cell r="BO302">
            <v>1978.899868</v>
          </cell>
          <cell r="BP302">
            <v>9.9019209999999998</v>
          </cell>
          <cell r="BQ302">
            <v>9980.0714690000004</v>
          </cell>
          <cell r="BR302">
            <v>18693.372890999999</v>
          </cell>
          <cell r="BS302">
            <v>13076.919148000001</v>
          </cell>
          <cell r="BT302">
            <v>1660.195663</v>
          </cell>
          <cell r="BU302">
            <v>79.911786000000006</v>
          </cell>
          <cell r="BV302">
            <v>824.76862700000004</v>
          </cell>
          <cell r="BW302">
            <v>0.23441200000000001</v>
          </cell>
          <cell r="BX302">
            <v>116062.62955900001</v>
          </cell>
          <cell r="BY302" t="str">
            <v/>
          </cell>
          <cell r="BZ302">
            <v>1182.126477</v>
          </cell>
          <cell r="CA302">
            <v>5251.203348</v>
          </cell>
          <cell r="CB302">
            <v>202.52086199999999</v>
          </cell>
          <cell r="CC302">
            <v>879.97341500000005</v>
          </cell>
          <cell r="CD302">
            <v>4607.3107030000001</v>
          </cell>
          <cell r="CE302">
            <v>13.431041</v>
          </cell>
          <cell r="CF302">
            <v>249.78450599999999</v>
          </cell>
          <cell r="CG302">
            <v>145.783143</v>
          </cell>
          <cell r="CH302">
            <v>90.714917</v>
          </cell>
          <cell r="CI302">
            <v>20.830368</v>
          </cell>
          <cell r="CJ302">
            <v>35.434018000000002</v>
          </cell>
          <cell r="CK302">
            <v>83107.126040999996</v>
          </cell>
          <cell r="CL302">
            <v>82350.572176000001</v>
          </cell>
          <cell r="CM302">
            <v>5.93</v>
          </cell>
          <cell r="CN302">
            <v>0.38520100000000002</v>
          </cell>
          <cell r="CO302">
            <v>285.29049900000001</v>
          </cell>
          <cell r="CP302">
            <v>285.29049900000001</v>
          </cell>
          <cell r="CQ302">
            <v>66.036592999999996</v>
          </cell>
          <cell r="CR302">
            <v>354.18843399999997</v>
          </cell>
          <cell r="CS302">
            <v>148.53648799999999</v>
          </cell>
          <cell r="CT302">
            <v>18.978306</v>
          </cell>
          <cell r="CU302">
            <v>0</v>
          </cell>
          <cell r="CV302">
            <v>93.224162000000007</v>
          </cell>
          <cell r="CW302">
            <v>84.565735000000004</v>
          </cell>
          <cell r="CX302">
            <v>96640.853394999969</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Y302">
            <v>21</v>
          </cell>
        </row>
        <row r="303">
          <cell r="F303">
            <v>38151.0625</v>
          </cell>
          <cell r="G303">
            <v>1007.893722</v>
          </cell>
          <cell r="H303">
            <v>10990.017827</v>
          </cell>
          <cell r="I303">
            <v>1336.435131</v>
          </cell>
          <cell r="J303">
            <v>12268.679260000001</v>
          </cell>
          <cell r="K303">
            <v>28853.485454000001</v>
          </cell>
          <cell r="L303">
            <v>18771.656553000001</v>
          </cell>
          <cell r="M303">
            <v>4803.9602160000004</v>
          </cell>
          <cell r="N303">
            <v>60.977722999999997</v>
          </cell>
          <cell r="O303">
            <v>479.71403800000002</v>
          </cell>
          <cell r="P303">
            <v>2893.6442889999998</v>
          </cell>
          <cell r="Q303">
            <v>2802.9102630000002</v>
          </cell>
          <cell r="R303">
            <v>445.01540399999999</v>
          </cell>
          <cell r="S303">
            <v>1137.5340349999999</v>
          </cell>
          <cell r="T303">
            <v>17.952196000000001</v>
          </cell>
          <cell r="U303">
            <v>12028.494354</v>
          </cell>
          <cell r="V303">
            <v>16978.128717</v>
          </cell>
          <cell r="W303">
            <v>12574.785569</v>
          </cell>
          <cell r="X303">
            <v>1683.428388</v>
          </cell>
          <cell r="Y303">
            <v>2.0452949999999999</v>
          </cell>
          <cell r="Z303">
            <v>1126.9077119999999</v>
          </cell>
          <cell r="AA303">
            <v>1.730774</v>
          </cell>
          <cell r="AB303">
            <v>130265.39692000003</v>
          </cell>
          <cell r="AC303">
            <v>800.55319999999995</v>
          </cell>
          <cell r="AD303">
            <v>8989.9179390000008</v>
          </cell>
          <cell r="AE303">
            <v>254.43290999999999</v>
          </cell>
          <cell r="AF303">
            <v>732.72674300000006</v>
          </cell>
          <cell r="AG303">
            <v>2307.532905</v>
          </cell>
          <cell r="AH303">
            <v>67.655057999999997</v>
          </cell>
          <cell r="AI303">
            <v>360.07311199999998</v>
          </cell>
          <cell r="AJ303">
            <v>43.668343</v>
          </cell>
          <cell r="AK303">
            <v>110.287802</v>
          </cell>
          <cell r="AL303">
            <v>31.062363999999999</v>
          </cell>
          <cell r="AM303">
            <v>175.14890600000001</v>
          </cell>
          <cell r="AN303">
            <v>47235.439182000002</v>
          </cell>
          <cell r="AO303">
            <v>46735.130832000003</v>
          </cell>
          <cell r="AP303">
            <v>2.6738400000000002</v>
          </cell>
          <cell r="AQ303">
            <v>2.4156550000000001</v>
          </cell>
          <cell r="AR303">
            <v>253.149013</v>
          </cell>
          <cell r="AS303">
            <v>253.149013</v>
          </cell>
          <cell r="AT303">
            <v>113.625084</v>
          </cell>
          <cell r="AU303">
            <v>433.05318399999999</v>
          </cell>
          <cell r="AV303">
            <v>485.508106</v>
          </cell>
          <cell r="AW303">
            <v>22.989671999999999</v>
          </cell>
          <cell r="AX303">
            <v>0</v>
          </cell>
          <cell r="AY303">
            <v>118.9075</v>
          </cell>
          <cell r="AZ303">
            <v>108.425302</v>
          </cell>
          <cell r="BA303">
            <v>62394.812910000008</v>
          </cell>
          <cell r="BB303" t="str">
            <v/>
          </cell>
          <cell r="BC303">
            <v>1949.072864</v>
          </cell>
          <cell r="BD303">
            <v>19614.957532</v>
          </cell>
          <cell r="BE303">
            <v>1980.3636609999999</v>
          </cell>
          <cell r="BF303">
            <v>18742.607514000003</v>
          </cell>
          <cell r="BG303">
            <v>55616.001245000007</v>
          </cell>
          <cell r="BH303">
            <v>33768.878521999999</v>
          </cell>
          <cell r="BI303">
            <v>8428.7742830000007</v>
          </cell>
          <cell r="BJ303">
            <v>105.20574999999999</v>
          </cell>
          <cell r="BK303">
            <v>915.57016500000009</v>
          </cell>
          <cell r="BL303">
            <v>6677.7008980000001</v>
          </cell>
          <cell r="BM303">
            <v>5736.4072269999997</v>
          </cell>
          <cell r="BN303">
            <v>937.20399299999997</v>
          </cell>
          <cell r="BO303">
            <v>3116.4339030000001</v>
          </cell>
          <cell r="BP303">
            <v>27.854117000000002</v>
          </cell>
          <cell r="BQ303">
            <v>22008.565823000001</v>
          </cell>
          <cell r="BR303">
            <v>35671.501607999999</v>
          </cell>
          <cell r="BS303">
            <v>25651.704717000001</v>
          </cell>
          <cell r="BT303">
            <v>3343.6240509999998</v>
          </cell>
          <cell r="BU303">
            <v>81.957081000000002</v>
          </cell>
          <cell r="BV303">
            <v>1951.6763390000001</v>
          </cell>
          <cell r="BW303">
            <v>1.9651860000000001</v>
          </cell>
          <cell r="BX303">
            <v>246328.02647900005</v>
          </cell>
          <cell r="BY303" t="str">
            <v/>
          </cell>
          <cell r="BZ303">
            <v>1982.6796770000001</v>
          </cell>
          <cell r="CA303">
            <v>14241.121287000002</v>
          </cell>
          <cell r="CB303">
            <v>456.95377199999996</v>
          </cell>
          <cell r="CC303">
            <v>1612.7001580000001</v>
          </cell>
          <cell r="CD303">
            <v>6914.8436080000001</v>
          </cell>
          <cell r="CE303">
            <v>81.08609899999999</v>
          </cell>
          <cell r="CF303">
            <v>609.857618</v>
          </cell>
          <cell r="CG303">
            <v>189.45148599999999</v>
          </cell>
          <cell r="CH303">
            <v>201.00271900000001</v>
          </cell>
          <cell r="CI303">
            <v>51.892731999999995</v>
          </cell>
          <cell r="CJ303">
            <v>210.58292400000002</v>
          </cell>
          <cell r="CK303">
            <v>130342.565223</v>
          </cell>
          <cell r="CL303">
            <v>129085.70300800001</v>
          </cell>
          <cell r="CM303">
            <v>8.6038399999999999</v>
          </cell>
          <cell r="CN303">
            <v>2.800856</v>
          </cell>
          <cell r="CO303">
            <v>538.43951200000004</v>
          </cell>
          <cell r="CP303">
            <v>538.43951200000004</v>
          </cell>
          <cell r="CQ303">
            <v>179.661677</v>
          </cell>
          <cell r="CR303">
            <v>787.24161800000002</v>
          </cell>
          <cell r="CS303">
            <v>634.04459399999996</v>
          </cell>
          <cell r="CT303">
            <v>41.967978000000002</v>
          </cell>
          <cell r="CU303">
            <v>0</v>
          </cell>
          <cell r="CV303">
            <v>212.13166200000001</v>
          </cell>
          <cell r="CW303">
            <v>192.99103700000001</v>
          </cell>
          <cell r="CX303">
            <v>159035.66630499996</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Y303">
            <v>22</v>
          </cell>
        </row>
        <row r="304">
          <cell r="F304">
            <v>38242.375</v>
          </cell>
          <cell r="G304">
            <v>1129.0863730000001</v>
          </cell>
          <cell r="H304">
            <v>8463.6874449999996</v>
          </cell>
          <cell r="I304">
            <v>1098.136411</v>
          </cell>
          <cell r="J304">
            <v>8924.9803319999992</v>
          </cell>
          <cell r="K304">
            <v>27715.492280999999</v>
          </cell>
          <cell r="L304">
            <v>17997.990161000002</v>
          </cell>
          <cell r="M304">
            <v>3049.1493310000001</v>
          </cell>
          <cell r="N304">
            <v>61.904263999999998</v>
          </cell>
          <cell r="O304">
            <v>520.74669200000005</v>
          </cell>
          <cell r="P304">
            <v>3100.262604</v>
          </cell>
          <cell r="Q304">
            <v>2435.4742849999998</v>
          </cell>
          <cell r="R304">
            <v>491.00448299999999</v>
          </cell>
          <cell r="S304">
            <v>1447.6878489999999</v>
          </cell>
          <cell r="T304">
            <v>33.338230000000003</v>
          </cell>
          <cell r="U304">
            <v>8103.272978</v>
          </cell>
          <cell r="V304">
            <v>21360.026549999999</v>
          </cell>
          <cell r="W304">
            <v>12029.207216999999</v>
          </cell>
          <cell r="X304">
            <v>1805.5343969999999</v>
          </cell>
          <cell r="Y304">
            <v>0.59599999999999997</v>
          </cell>
          <cell r="Z304">
            <v>1538.707825</v>
          </cell>
          <cell r="AA304">
            <v>130.62062499999999</v>
          </cell>
          <cell r="AB304">
            <v>121436.90633299998</v>
          </cell>
          <cell r="AC304">
            <v>303.01877000000002</v>
          </cell>
          <cell r="AD304">
            <v>1856.0307700000001</v>
          </cell>
          <cell r="AE304">
            <v>72.5625</v>
          </cell>
          <cell r="AF304">
            <v>489.85533400000003</v>
          </cell>
          <cell r="AG304">
            <v>792.61037699999997</v>
          </cell>
          <cell r="AH304">
            <v>55.349741999999999</v>
          </cell>
          <cell r="AI304">
            <v>188.87005099999999</v>
          </cell>
          <cell r="AJ304">
            <v>53.141606000000003</v>
          </cell>
          <cell r="AK304">
            <v>86.429980999999998</v>
          </cell>
          <cell r="AL304">
            <v>8.3821919999999999</v>
          </cell>
          <cell r="AM304">
            <v>148.17634799999999</v>
          </cell>
          <cell r="AN304">
            <v>2411.7538070000001</v>
          </cell>
          <cell r="AO304">
            <v>2076.0852810000001</v>
          </cell>
          <cell r="AP304">
            <v>12.555647</v>
          </cell>
          <cell r="AQ304">
            <v>43.853133999999997</v>
          </cell>
          <cell r="AR304">
            <v>291.56075399999997</v>
          </cell>
          <cell r="AS304">
            <v>291.56075399999997</v>
          </cell>
          <cell r="AT304">
            <v>58.400556999999999</v>
          </cell>
          <cell r="AU304">
            <v>619.84416699999997</v>
          </cell>
          <cell r="AV304">
            <v>679.10901699999999</v>
          </cell>
          <cell r="AW304">
            <v>22.987784999999999</v>
          </cell>
          <cell r="AX304">
            <v>0</v>
          </cell>
          <cell r="AY304">
            <v>191.99100999999999</v>
          </cell>
          <cell r="AZ304">
            <v>75.676610999999994</v>
          </cell>
          <cell r="BA304">
            <v>8389.5976600000013</v>
          </cell>
          <cell r="BB304" t="str">
            <v/>
          </cell>
          <cell r="BC304">
            <v>3078.1592369999998</v>
          </cell>
          <cell r="BD304">
            <v>28078.644977</v>
          </cell>
          <cell r="BE304">
            <v>3078.5000719999998</v>
          </cell>
          <cell r="BF304">
            <v>27667.587846000002</v>
          </cell>
          <cell r="BG304">
            <v>83331.493526000006</v>
          </cell>
          <cell r="BH304">
            <v>51766.868683000001</v>
          </cell>
          <cell r="BI304">
            <v>11477.923614000001</v>
          </cell>
          <cell r="BJ304">
            <v>167.11001399999998</v>
          </cell>
          <cell r="BK304">
            <v>1436.3168570000003</v>
          </cell>
          <cell r="BL304">
            <v>9777.9635020000005</v>
          </cell>
          <cell r="BM304">
            <v>8171.8815119999999</v>
          </cell>
          <cell r="BN304">
            <v>1428.208476</v>
          </cell>
          <cell r="BO304">
            <v>4564.121752</v>
          </cell>
          <cell r="BP304">
            <v>61.192347000000005</v>
          </cell>
          <cell r="BQ304">
            <v>30111.838801000002</v>
          </cell>
          <cell r="BR304">
            <v>57031.528158000001</v>
          </cell>
          <cell r="BS304">
            <v>37680.911934000003</v>
          </cell>
          <cell r="BT304">
            <v>5149.1584480000001</v>
          </cell>
          <cell r="BU304">
            <v>82.553081000000006</v>
          </cell>
          <cell r="BV304">
            <v>3490.3841640000001</v>
          </cell>
          <cell r="BW304">
            <v>132.58581099999998</v>
          </cell>
          <cell r="BX304">
            <v>367764.93281200004</v>
          </cell>
          <cell r="BY304" t="str">
            <v/>
          </cell>
          <cell r="BZ304">
            <v>2285.6984470000002</v>
          </cell>
          <cell r="CA304">
            <v>16097.152057000001</v>
          </cell>
          <cell r="CB304">
            <v>529.51627199999996</v>
          </cell>
          <cell r="CC304">
            <v>2102.555492</v>
          </cell>
          <cell r="CD304">
            <v>7707.4539850000001</v>
          </cell>
          <cell r="CE304">
            <v>136.43584099999998</v>
          </cell>
          <cell r="CF304">
            <v>798.72766899999999</v>
          </cell>
          <cell r="CG304">
            <v>242.59309199999998</v>
          </cell>
          <cell r="CH304">
            <v>287.43270000000001</v>
          </cell>
          <cell r="CI304">
            <v>60.274923999999999</v>
          </cell>
          <cell r="CJ304">
            <v>358.75927200000001</v>
          </cell>
          <cell r="CK304">
            <v>132754.31902999998</v>
          </cell>
          <cell r="CL304">
            <v>131161.78828900002</v>
          </cell>
          <cell r="CM304">
            <v>21.159486999999999</v>
          </cell>
          <cell r="CN304">
            <v>46.65399</v>
          </cell>
          <cell r="CO304">
            <v>830.00026600000001</v>
          </cell>
          <cell r="CP304">
            <v>830.00026600000001</v>
          </cell>
          <cell r="CQ304">
            <v>238.06223399999999</v>
          </cell>
          <cell r="CR304">
            <v>1407.085785</v>
          </cell>
          <cell r="CS304">
            <v>1313.153611</v>
          </cell>
          <cell r="CT304">
            <v>64.955763000000005</v>
          </cell>
          <cell r="CU304">
            <v>0</v>
          </cell>
          <cell r="CV304">
            <v>404.12267199999997</v>
          </cell>
          <cell r="CW304">
            <v>268.66764799999999</v>
          </cell>
          <cell r="CX304">
            <v>167425.26396499996</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Y304">
            <v>23</v>
          </cell>
        </row>
        <row r="305">
          <cell r="F305">
            <v>38333.6875</v>
          </cell>
          <cell r="G305">
            <v>1888.4363020000001</v>
          </cell>
          <cell r="H305">
            <v>10708.54398</v>
          </cell>
          <cell r="I305">
            <v>1191.8257229999999</v>
          </cell>
          <cell r="J305">
            <v>15971.537125000001</v>
          </cell>
          <cell r="K305">
            <v>34594.233650000002</v>
          </cell>
          <cell r="L305">
            <v>26711.803048000002</v>
          </cell>
          <cell r="M305">
            <v>6252.6679450000001</v>
          </cell>
          <cell r="N305">
            <v>35.450699</v>
          </cell>
          <cell r="O305">
            <v>589.21099000000004</v>
          </cell>
          <cell r="P305">
            <v>5605.1554759999999</v>
          </cell>
          <cell r="Q305">
            <v>4750.8879559999996</v>
          </cell>
          <cell r="R305">
            <v>846.00737000000004</v>
          </cell>
          <cell r="S305">
            <v>1202.896246</v>
          </cell>
          <cell r="T305">
            <v>10.61936</v>
          </cell>
          <cell r="U305">
            <v>10816.699508</v>
          </cell>
          <cell r="V305">
            <v>24466.263763999999</v>
          </cell>
          <cell r="W305">
            <v>15400.182255</v>
          </cell>
          <cell r="X305">
            <v>2472.370242</v>
          </cell>
          <cell r="Y305">
            <v>17.907171999999999</v>
          </cell>
          <cell r="Z305">
            <v>3193.658707</v>
          </cell>
          <cell r="AA305">
            <v>4.2405819999999999</v>
          </cell>
          <cell r="AB305">
            <v>166730.5981</v>
          </cell>
          <cell r="AC305">
            <v>933.59849999999994</v>
          </cell>
          <cell r="AD305">
            <v>6649.0272489999998</v>
          </cell>
          <cell r="AE305">
            <v>272.68537300000003</v>
          </cell>
          <cell r="AF305">
            <v>776.66841399999998</v>
          </cell>
          <cell r="AG305">
            <v>1540.405702</v>
          </cell>
          <cell r="AH305">
            <v>15.208119</v>
          </cell>
          <cell r="AI305">
            <v>26.120370999999999</v>
          </cell>
          <cell r="AJ305">
            <v>46.783220999999998</v>
          </cell>
          <cell r="AK305">
            <v>100.64114600000001</v>
          </cell>
          <cell r="AL305">
            <v>36.405942000000003</v>
          </cell>
          <cell r="AM305">
            <v>52.564700999999999</v>
          </cell>
          <cell r="AN305">
            <v>24300.600294</v>
          </cell>
          <cell r="AO305">
            <v>24037.323761</v>
          </cell>
          <cell r="AP305">
            <v>0</v>
          </cell>
          <cell r="AQ305">
            <v>22.590952999999999</v>
          </cell>
          <cell r="AR305">
            <v>352.75242900000001</v>
          </cell>
          <cell r="AS305">
            <v>351.78898900000002</v>
          </cell>
          <cell r="AT305">
            <v>181.43440799999999</v>
          </cell>
          <cell r="AU305">
            <v>2472.7495020000001</v>
          </cell>
          <cell r="AV305">
            <v>1307.046756</v>
          </cell>
          <cell r="AW305">
            <v>78.613764000000003</v>
          </cell>
          <cell r="AX305">
            <v>0.10055500000000001</v>
          </cell>
          <cell r="AY305">
            <v>109.944757</v>
          </cell>
          <cell r="AZ305">
            <v>165.90635700000001</v>
          </cell>
          <cell r="BA305">
            <v>39169.163139999997</v>
          </cell>
          <cell r="BB305" t="str">
            <v/>
          </cell>
          <cell r="BC305">
            <v>4966.5955389999999</v>
          </cell>
          <cell r="BD305">
            <v>38787.188956999998</v>
          </cell>
          <cell r="BE305">
            <v>4270.3257949999997</v>
          </cell>
          <cell r="BF305">
            <v>43639.124971000005</v>
          </cell>
          <cell r="BG305">
            <v>117925.72717600001</v>
          </cell>
          <cell r="BH305">
            <v>78478.671731000009</v>
          </cell>
          <cell r="BI305">
            <v>17730.591559</v>
          </cell>
          <cell r="BJ305">
            <v>202.56071299999996</v>
          </cell>
          <cell r="BK305">
            <v>2025.5278470000003</v>
          </cell>
          <cell r="BL305">
            <v>15383.118978</v>
          </cell>
          <cell r="BM305">
            <v>12922.769467999999</v>
          </cell>
          <cell r="BN305">
            <v>2274.2158460000001</v>
          </cell>
          <cell r="BO305">
            <v>5767.0179980000003</v>
          </cell>
          <cell r="BP305">
            <v>71.811707000000013</v>
          </cell>
          <cell r="BQ305">
            <v>40928.538309000003</v>
          </cell>
          <cell r="BR305">
            <v>81497.791922000004</v>
          </cell>
          <cell r="BS305">
            <v>53081.094189000003</v>
          </cell>
          <cell r="BT305">
            <v>7621.5286900000001</v>
          </cell>
          <cell r="BU305">
            <v>100.46025300000001</v>
          </cell>
          <cell r="BV305">
            <v>6684.0428709999996</v>
          </cell>
          <cell r="BW305">
            <v>136.82639299999997</v>
          </cell>
          <cell r="BX305">
            <v>534495.53091199999</v>
          </cell>
          <cell r="BY305" t="str">
            <v/>
          </cell>
          <cell r="BZ305">
            <v>3219.2969470000003</v>
          </cell>
          <cell r="CA305">
            <v>22746.179306000002</v>
          </cell>
          <cell r="CB305">
            <v>802.20164499999998</v>
          </cell>
          <cell r="CC305">
            <v>2879.2239060000002</v>
          </cell>
          <cell r="CD305">
            <v>9247.8596870000001</v>
          </cell>
          <cell r="CE305">
            <v>151.64395999999999</v>
          </cell>
          <cell r="CF305">
            <v>824.84803999999997</v>
          </cell>
          <cell r="CG305">
            <v>289.37631299999998</v>
          </cell>
          <cell r="CH305">
            <v>388.073846</v>
          </cell>
          <cell r="CI305">
            <v>96.680866000000009</v>
          </cell>
          <cell r="CJ305">
            <v>411.32397300000002</v>
          </cell>
          <cell r="CK305">
            <v>157054.91932399999</v>
          </cell>
          <cell r="CL305">
            <v>155199.11205000003</v>
          </cell>
          <cell r="CM305">
            <v>21.159486999999999</v>
          </cell>
          <cell r="CN305">
            <v>69.244943000000006</v>
          </cell>
          <cell r="CO305">
            <v>1182.7526950000001</v>
          </cell>
          <cell r="CP305">
            <v>1181.7892550000001</v>
          </cell>
          <cell r="CQ305">
            <v>419.49664199999995</v>
          </cell>
          <cell r="CR305">
            <v>3879.8352869999999</v>
          </cell>
          <cell r="CS305">
            <v>2620.2003669999999</v>
          </cell>
          <cell r="CT305">
            <v>143.56952699999999</v>
          </cell>
          <cell r="CU305">
            <v>0.10055500000000001</v>
          </cell>
          <cell r="CV305">
            <v>514.06742899999995</v>
          </cell>
          <cell r="CW305">
            <v>434.574005</v>
          </cell>
          <cell r="CX305">
            <v>206594.42710499995</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v>38.652227223021235</v>
          </cell>
          <cell r="DM305" t="str">
            <v/>
          </cell>
          <cell r="DN305" t="str">
            <v/>
          </cell>
          <cell r="DO305" t="str">
            <v/>
          </cell>
          <cell r="DP305" t="str">
            <v/>
          </cell>
          <cell r="DQ305" t="str">
            <v/>
          </cell>
          <cell r="DR305" t="str">
            <v/>
          </cell>
          <cell r="DS305" t="str">
            <v/>
          </cell>
          <cell r="DT305" t="str">
            <v/>
          </cell>
          <cell r="DU305" t="str">
            <v/>
          </cell>
          <cell r="DV305" t="str">
            <v/>
          </cell>
          <cell r="DY305">
            <v>24</v>
          </cell>
        </row>
        <row r="306">
          <cell r="F306">
            <v>38425</v>
          </cell>
          <cell r="G306">
            <v>1591.2828509999999</v>
          </cell>
          <cell r="H306">
            <v>11833.031070000001</v>
          </cell>
          <cell r="I306">
            <v>1978.3239819999999</v>
          </cell>
          <cell r="J306">
            <v>9843.6936710000009</v>
          </cell>
          <cell r="K306">
            <v>31603.137286000001</v>
          </cell>
          <cell r="L306">
            <v>24983.698563999998</v>
          </cell>
          <cell r="M306">
            <v>3930.0068080000001</v>
          </cell>
          <cell r="N306">
            <v>93.825243999999998</v>
          </cell>
          <cell r="O306">
            <v>689.09313099999997</v>
          </cell>
          <cell r="P306">
            <v>4203.611132</v>
          </cell>
          <cell r="Q306">
            <v>3391.9471549999998</v>
          </cell>
          <cell r="R306">
            <v>603.63136899999995</v>
          </cell>
          <cell r="S306">
            <v>1463.693933</v>
          </cell>
          <cell r="T306">
            <v>7.5033950000000003</v>
          </cell>
          <cell r="U306">
            <v>9713.2922490000001</v>
          </cell>
          <cell r="V306">
            <v>20756.112432999998</v>
          </cell>
          <cell r="W306">
            <v>13092.546834999999</v>
          </cell>
          <cell r="X306">
            <v>2138.6569589999999</v>
          </cell>
          <cell r="Y306">
            <v>43.235517999999999</v>
          </cell>
          <cell r="Z306">
            <v>3151.0734259999999</v>
          </cell>
          <cell r="AA306">
            <v>1.684817</v>
          </cell>
          <cell r="AB306">
            <v>145113.08182800002</v>
          </cell>
          <cell r="AC306">
            <v>865.36450000000002</v>
          </cell>
          <cell r="AD306">
            <v>6449.6063620000004</v>
          </cell>
          <cell r="AE306">
            <v>3820.374769</v>
          </cell>
          <cell r="AF306">
            <v>258.36972900000001</v>
          </cell>
          <cell r="AG306">
            <v>3754.5663629999999</v>
          </cell>
          <cell r="AH306">
            <v>34.040235000000003</v>
          </cell>
          <cell r="AI306">
            <v>618.65232400000002</v>
          </cell>
          <cell r="AJ306">
            <v>62.030476</v>
          </cell>
          <cell r="AK306">
            <v>27.720972</v>
          </cell>
          <cell r="AL306">
            <v>41.614894999999997</v>
          </cell>
          <cell r="AM306">
            <v>38.249448000000001</v>
          </cell>
          <cell r="AN306">
            <v>30836.026686000001</v>
          </cell>
          <cell r="AO306">
            <v>30440.896317999999</v>
          </cell>
          <cell r="AP306">
            <v>0.47516900000000001</v>
          </cell>
          <cell r="AQ306">
            <v>4.6456160000000004</v>
          </cell>
          <cell r="AR306">
            <v>165.35373000000001</v>
          </cell>
          <cell r="AS306">
            <v>165.35373000000001</v>
          </cell>
          <cell r="AT306">
            <v>242.61147199999999</v>
          </cell>
          <cell r="AU306">
            <v>370.97856000000002</v>
          </cell>
          <cell r="AV306">
            <v>152.47634199999999</v>
          </cell>
          <cell r="AW306">
            <v>66.240634</v>
          </cell>
          <cell r="AX306">
            <v>0.47215299999999999</v>
          </cell>
          <cell r="AY306">
            <v>66.570835000000002</v>
          </cell>
          <cell r="AZ306">
            <v>101.19208500000001</v>
          </cell>
          <cell r="BA306">
            <v>44157.258586000011</v>
          </cell>
          <cell r="BB306" t="str">
            <v/>
          </cell>
          <cell r="BC306">
            <v>1591.2828509999999</v>
          </cell>
          <cell r="BD306">
            <v>11833.031070000001</v>
          </cell>
          <cell r="BE306">
            <v>1978.3239819999999</v>
          </cell>
          <cell r="BF306">
            <v>9843.6936710000009</v>
          </cell>
          <cell r="BG306">
            <v>31603.137286000001</v>
          </cell>
          <cell r="BH306">
            <v>24983.698563999998</v>
          </cell>
          <cell r="BI306">
            <v>3930.0068080000001</v>
          </cell>
          <cell r="BJ306">
            <v>93.825243999999998</v>
          </cell>
          <cell r="BK306">
            <v>689.09313099999997</v>
          </cell>
          <cell r="BL306">
            <v>4203.611132</v>
          </cell>
          <cell r="BM306">
            <v>3391.9471549999998</v>
          </cell>
          <cell r="BN306">
            <v>603.63136899999995</v>
          </cell>
          <cell r="BO306">
            <v>1463.693933</v>
          </cell>
          <cell r="BP306">
            <v>7.5033950000000003</v>
          </cell>
          <cell r="BQ306">
            <v>9713.2922490000001</v>
          </cell>
          <cell r="BR306">
            <v>20756.112432999998</v>
          </cell>
          <cell r="BS306">
            <v>13092.546834999999</v>
          </cell>
          <cell r="BT306">
            <v>2138.6569589999999</v>
          </cell>
          <cell r="BU306">
            <v>43.235517999999999</v>
          </cell>
          <cell r="BV306">
            <v>3151.0734259999999</v>
          </cell>
          <cell r="BW306">
            <v>1.684817</v>
          </cell>
          <cell r="BX306">
            <v>145113.08182800002</v>
          </cell>
          <cell r="BY306" t="str">
            <v/>
          </cell>
          <cell r="BZ306">
            <v>865.36450000000002</v>
          </cell>
          <cell r="CA306">
            <v>6449.6063620000004</v>
          </cell>
          <cell r="CB306">
            <v>3820.374769</v>
          </cell>
          <cell r="CC306">
            <v>258.36972900000001</v>
          </cell>
          <cell r="CD306">
            <v>3754.5663629999999</v>
          </cell>
          <cell r="CE306">
            <v>34.040235000000003</v>
          </cell>
          <cell r="CF306">
            <v>618.65232400000002</v>
          </cell>
          <cell r="CG306">
            <v>62.030476</v>
          </cell>
          <cell r="CH306">
            <v>27.720972</v>
          </cell>
          <cell r="CI306">
            <v>41.614894999999997</v>
          </cell>
          <cell r="CJ306">
            <v>38.249448000000001</v>
          </cell>
          <cell r="CK306">
            <v>30836.026686000001</v>
          </cell>
          <cell r="CL306">
            <v>30440.896317999999</v>
          </cell>
          <cell r="CM306">
            <v>0.47516900000000001</v>
          </cell>
          <cell r="CN306">
            <v>4.6456160000000004</v>
          </cell>
          <cell r="CO306">
            <v>165.35373000000001</v>
          </cell>
          <cell r="CP306">
            <v>165.35373000000001</v>
          </cell>
          <cell r="CQ306">
            <v>242.61147199999999</v>
          </cell>
          <cell r="CR306">
            <v>370.97856000000002</v>
          </cell>
          <cell r="CS306">
            <v>152.47634199999999</v>
          </cell>
          <cell r="CT306">
            <v>66.240634</v>
          </cell>
          <cell r="CU306">
            <v>0.47215299999999999</v>
          </cell>
          <cell r="CV306">
            <v>66.570835000000002</v>
          </cell>
          <cell r="CW306">
            <v>101.19208500000001</v>
          </cell>
          <cell r="CX306">
            <v>44157.258586000011</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Y306">
            <v>25</v>
          </cell>
        </row>
        <row r="307">
          <cell r="F307">
            <v>38516.3125</v>
          </cell>
          <cell r="G307">
            <v>1637.7316519999999</v>
          </cell>
          <cell r="H307">
            <v>15379.940570999999</v>
          </cell>
          <cell r="I307">
            <v>2172.8785579999999</v>
          </cell>
          <cell r="J307">
            <v>9825.637342</v>
          </cell>
          <cell r="K307">
            <v>39658.795948999999</v>
          </cell>
          <cell r="L307">
            <v>32770.522805000001</v>
          </cell>
          <cell r="M307">
            <v>5935.6744040000003</v>
          </cell>
          <cell r="N307">
            <v>42.928517999999997</v>
          </cell>
          <cell r="O307">
            <v>844.47796600000004</v>
          </cell>
          <cell r="P307">
            <v>3243.9644130000001</v>
          </cell>
          <cell r="Q307">
            <v>2735.7125380000002</v>
          </cell>
          <cell r="R307">
            <v>480.01255200000003</v>
          </cell>
          <cell r="S307">
            <v>1254.8697669999999</v>
          </cell>
          <cell r="T307">
            <v>11.626504000000001</v>
          </cell>
          <cell r="U307">
            <v>13458.161776000001</v>
          </cell>
          <cell r="V307">
            <v>17624.966520999998</v>
          </cell>
          <cell r="W307">
            <v>14368.372894</v>
          </cell>
          <cell r="X307">
            <v>1434.6737129999999</v>
          </cell>
          <cell r="Y307">
            <v>2.623704</v>
          </cell>
          <cell r="Z307">
            <v>1609.655908</v>
          </cell>
          <cell r="AA307">
            <v>9.0458420000000004</v>
          </cell>
          <cell r="AB307">
            <v>164502.27389699998</v>
          </cell>
          <cell r="AC307">
            <v>918.87675000000002</v>
          </cell>
          <cell r="AD307">
            <v>3210.2447769999999</v>
          </cell>
          <cell r="AE307">
            <v>1574.3969420000001</v>
          </cell>
          <cell r="AF307">
            <v>236.12836100000001</v>
          </cell>
          <cell r="AG307">
            <v>1192.859582</v>
          </cell>
          <cell r="AH307">
            <v>87.509709000000001</v>
          </cell>
          <cell r="AI307">
            <v>574.23308799999995</v>
          </cell>
          <cell r="AJ307">
            <v>36.745375000000003</v>
          </cell>
          <cell r="AK307">
            <v>30.234985000000002</v>
          </cell>
          <cell r="AL307">
            <v>27.988437000000001</v>
          </cell>
          <cell r="AM307">
            <v>167.11754099999999</v>
          </cell>
          <cell r="AN307">
            <v>52689.199050000003</v>
          </cell>
          <cell r="AO307">
            <v>52329.208031000002</v>
          </cell>
          <cell r="AP307">
            <v>3.1152000000000002</v>
          </cell>
          <cell r="AQ307">
            <v>9.5146259999999998</v>
          </cell>
          <cell r="AR307">
            <v>326.80030399999998</v>
          </cell>
          <cell r="AS307">
            <v>326.80030399999998</v>
          </cell>
          <cell r="AT307">
            <v>198.93032299999999</v>
          </cell>
          <cell r="AU307">
            <v>625.86916499999995</v>
          </cell>
          <cell r="AV307">
            <v>1175.7730610000001</v>
          </cell>
          <cell r="AW307">
            <v>32.378945999999999</v>
          </cell>
          <cell r="AX307">
            <v>0</v>
          </cell>
          <cell r="AY307">
            <v>242.213775</v>
          </cell>
          <cell r="AZ307">
            <v>144.37153599999999</v>
          </cell>
          <cell r="BA307">
            <v>61930.104590999988</v>
          </cell>
          <cell r="BB307" t="str">
            <v/>
          </cell>
          <cell r="BC307">
            <v>3229.0145029999999</v>
          </cell>
          <cell r="BD307">
            <v>27212.971641</v>
          </cell>
          <cell r="BE307">
            <v>4151.2025400000002</v>
          </cell>
          <cell r="BF307">
            <v>19669.331013000003</v>
          </cell>
          <cell r="BG307">
            <v>71261.933235000004</v>
          </cell>
          <cell r="BH307">
            <v>57754.221368999999</v>
          </cell>
          <cell r="BI307">
            <v>9865.6812119999995</v>
          </cell>
          <cell r="BJ307">
            <v>136.75376199999999</v>
          </cell>
          <cell r="BK307">
            <v>1533.571097</v>
          </cell>
          <cell r="BL307">
            <v>7447.5755449999997</v>
          </cell>
          <cell r="BM307">
            <v>6127.6596929999996</v>
          </cell>
          <cell r="BN307">
            <v>1083.6439209999999</v>
          </cell>
          <cell r="BO307">
            <v>2718.5636999999997</v>
          </cell>
          <cell r="BP307">
            <v>19.129899000000002</v>
          </cell>
          <cell r="BQ307">
            <v>23171.454024999999</v>
          </cell>
          <cell r="BR307">
            <v>38381.078953999997</v>
          </cell>
          <cell r="BS307">
            <v>27460.919729000001</v>
          </cell>
          <cell r="BT307">
            <v>3573.330672</v>
          </cell>
          <cell r="BU307">
            <v>45.859222000000003</v>
          </cell>
          <cell r="BV307">
            <v>4760.7293339999997</v>
          </cell>
          <cell r="BW307">
            <v>10.730659000000001</v>
          </cell>
          <cell r="BX307">
            <v>309615.35572500003</v>
          </cell>
          <cell r="BY307" t="str">
            <v/>
          </cell>
          <cell r="BZ307">
            <v>1784.24125</v>
          </cell>
          <cell r="CA307">
            <v>9659.8511390000003</v>
          </cell>
          <cell r="CB307">
            <v>5394.7717110000003</v>
          </cell>
          <cell r="CC307">
            <v>494.49809000000005</v>
          </cell>
          <cell r="CD307">
            <v>4947.425945</v>
          </cell>
          <cell r="CE307">
            <v>121.54994400000001</v>
          </cell>
          <cell r="CF307">
            <v>1192.8854120000001</v>
          </cell>
          <cell r="CG307">
            <v>98.775851000000003</v>
          </cell>
          <cell r="CH307">
            <v>57.955956999999998</v>
          </cell>
          <cell r="CI307">
            <v>69.603331999999995</v>
          </cell>
          <cell r="CJ307">
            <v>205.36698899999999</v>
          </cell>
          <cell r="CK307">
            <v>83525.225736000008</v>
          </cell>
          <cell r="CL307">
            <v>82770.104349000001</v>
          </cell>
          <cell r="CM307">
            <v>3.5903690000000004</v>
          </cell>
          <cell r="CN307">
            <v>14.160242</v>
          </cell>
          <cell r="CO307">
            <v>492.15403400000002</v>
          </cell>
          <cell r="CP307">
            <v>492.15403400000002</v>
          </cell>
          <cell r="CQ307">
            <v>441.54179499999998</v>
          </cell>
          <cell r="CR307">
            <v>996.84772499999997</v>
          </cell>
          <cell r="CS307">
            <v>1328.249403</v>
          </cell>
          <cell r="CT307">
            <v>98.619579999999999</v>
          </cell>
          <cell r="CU307">
            <v>0.47215299999999999</v>
          </cell>
          <cell r="CV307">
            <v>308.78460999999999</v>
          </cell>
          <cell r="CW307">
            <v>245.56362100000001</v>
          </cell>
          <cell r="CX307">
            <v>106087.36317699999</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Y307">
            <v>26</v>
          </cell>
        </row>
        <row r="308">
          <cell r="F308">
            <v>38607.625</v>
          </cell>
          <cell r="G308">
            <v>724.17300299999999</v>
          </cell>
          <cell r="H308">
            <v>11774.634859</v>
          </cell>
          <cell r="I308">
            <v>2111.6935119999998</v>
          </cell>
          <cell r="J308">
            <v>8556.8115930000004</v>
          </cell>
          <cell r="K308">
            <v>23422.883470000001</v>
          </cell>
          <cell r="L308">
            <v>8701.299567</v>
          </cell>
          <cell r="M308">
            <v>4927.9372219999996</v>
          </cell>
          <cell r="N308">
            <v>67.067654000000005</v>
          </cell>
          <cell r="O308">
            <v>288.40186199999999</v>
          </cell>
          <cell r="P308">
            <v>2946.7410289999998</v>
          </cell>
          <cell r="Q308">
            <v>2729.1937069999999</v>
          </cell>
          <cell r="R308">
            <v>276.50624800000003</v>
          </cell>
          <cell r="S308">
            <v>3012.8640049999999</v>
          </cell>
          <cell r="T308">
            <v>5.4195010000000003</v>
          </cell>
          <cell r="U308">
            <v>9291.8268530000005</v>
          </cell>
          <cell r="V308">
            <v>23747.239754999999</v>
          </cell>
          <cell r="W308">
            <v>10397.018765000001</v>
          </cell>
          <cell r="X308">
            <v>1743.4064800000001</v>
          </cell>
          <cell r="Y308">
            <v>130.04532499999999</v>
          </cell>
          <cell r="Z308">
            <v>822.22002499999996</v>
          </cell>
          <cell r="AA308">
            <v>15.950481</v>
          </cell>
          <cell r="AB308">
            <v>115693.33491600002</v>
          </cell>
          <cell r="AC308">
            <v>338.23622</v>
          </cell>
          <cell r="AD308">
            <v>1573.3141000000001</v>
          </cell>
          <cell r="AE308">
            <v>489.43613199999999</v>
          </cell>
          <cell r="AF308">
            <v>394.77187199999997</v>
          </cell>
          <cell r="AG308">
            <v>631.039491</v>
          </cell>
          <cell r="AH308">
            <v>15.129889</v>
          </cell>
          <cell r="AI308">
            <v>27.330100000000002</v>
          </cell>
          <cell r="AJ308">
            <v>6.5634269999999999</v>
          </cell>
          <cell r="AK308">
            <v>1.963605</v>
          </cell>
          <cell r="AL308">
            <v>20.495360999999999</v>
          </cell>
          <cell r="AM308">
            <v>50.109085999999998</v>
          </cell>
          <cell r="AN308">
            <v>14276.070556999999</v>
          </cell>
          <cell r="AO308">
            <v>11803.115204</v>
          </cell>
          <cell r="AP308">
            <v>1</v>
          </cell>
          <cell r="AQ308">
            <v>0</v>
          </cell>
          <cell r="AR308">
            <v>384.59697799999998</v>
          </cell>
          <cell r="AS308">
            <v>378.33547800000002</v>
          </cell>
          <cell r="AT308">
            <v>1292.180513</v>
          </cell>
          <cell r="AU308">
            <v>128.59668300000001</v>
          </cell>
          <cell r="AV308">
            <v>82.609395000000006</v>
          </cell>
          <cell r="AW308">
            <v>93.407062999999994</v>
          </cell>
          <cell r="AX308">
            <v>0</v>
          </cell>
          <cell r="AY308">
            <v>184.01374899999999</v>
          </cell>
          <cell r="AZ308">
            <v>104.426014</v>
          </cell>
          <cell r="BA308">
            <v>19605.854103000001</v>
          </cell>
          <cell r="BB308" t="str">
            <v/>
          </cell>
          <cell r="BD308">
            <v>38987.606500000002</v>
          </cell>
          <cell r="BE308">
            <v>6262.8960520000001</v>
          </cell>
          <cell r="BF308">
            <v>28226.142606000001</v>
          </cell>
          <cell r="BG308">
            <v>94684.816705000005</v>
          </cell>
          <cell r="BH308">
            <v>66455.520936000001</v>
          </cell>
          <cell r="BI308">
            <v>14793.618434</v>
          </cell>
          <cell r="BJ308">
            <v>203.821416</v>
          </cell>
          <cell r="BK308">
            <v>1821.9729589999999</v>
          </cell>
          <cell r="BL308">
            <v>10394.316574</v>
          </cell>
          <cell r="BM308">
            <v>8856.8534</v>
          </cell>
          <cell r="BN308">
            <v>1360.150169</v>
          </cell>
          <cell r="BO308">
            <v>5731.4277050000001</v>
          </cell>
          <cell r="BP308">
            <v>24.549400000000002</v>
          </cell>
          <cell r="BQ308">
            <v>32463.280877999998</v>
          </cell>
          <cell r="BR308">
            <v>62128.318708999999</v>
          </cell>
          <cell r="BS308">
            <v>37857.938494000002</v>
          </cell>
          <cell r="BT308">
            <v>5316.7371519999997</v>
          </cell>
          <cell r="BU308">
            <v>175.90454699999998</v>
          </cell>
          <cell r="BV308">
            <v>5582.9493589999993</v>
          </cell>
          <cell r="BW308">
            <v>26.681139999999999</v>
          </cell>
          <cell r="BX308">
            <v>425308.69064100005</v>
          </cell>
          <cell r="BY308" t="str">
            <v/>
          </cell>
          <cell r="BZ308">
            <v>2122.4774699999998</v>
          </cell>
          <cell r="CA308">
            <v>11233.165239</v>
          </cell>
          <cell r="CB308">
            <v>5884.2078430000001</v>
          </cell>
          <cell r="CC308">
            <v>889.26996200000008</v>
          </cell>
          <cell r="CD308">
            <v>5578.4654360000004</v>
          </cell>
          <cell r="CE308">
            <v>136.679833</v>
          </cell>
          <cell r="CF308">
            <v>1220.215512</v>
          </cell>
          <cell r="CG308">
            <v>105.33927800000001</v>
          </cell>
          <cell r="CH308">
            <v>59.919561999999999</v>
          </cell>
          <cell r="CI308">
            <v>90.098692999999997</v>
          </cell>
          <cell r="CJ308">
            <v>255.47607499999998</v>
          </cell>
          <cell r="CK308">
            <v>97801.296293000007</v>
          </cell>
          <cell r="CL308">
            <v>94573.219553000003</v>
          </cell>
          <cell r="CM308">
            <v>4.5903690000000008</v>
          </cell>
          <cell r="CN308">
            <v>14.160242</v>
          </cell>
          <cell r="CO308">
            <v>876.75101199999995</v>
          </cell>
          <cell r="CP308">
            <v>870.4895120000001</v>
          </cell>
          <cell r="CQ308">
            <v>1733.7223079999999</v>
          </cell>
          <cell r="CR308">
            <v>1125.4444080000001</v>
          </cell>
          <cell r="CS308">
            <v>1410.858798</v>
          </cell>
          <cell r="CT308">
            <v>192.02664299999998</v>
          </cell>
          <cell r="CU308">
            <v>0.47215299999999999</v>
          </cell>
          <cell r="CV308">
            <v>492.798359</v>
          </cell>
          <cell r="CW308">
            <v>349.98963500000002</v>
          </cell>
          <cell r="CX308">
            <v>125693.21728</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Y308">
            <v>27</v>
          </cell>
        </row>
        <row r="309">
          <cell r="F309">
            <v>38698.9375</v>
          </cell>
          <cell r="G309">
            <v>1641.6086760000001</v>
          </cell>
          <cell r="H309">
            <v>12775.206699</v>
          </cell>
          <cell r="I309">
            <v>2239.089735</v>
          </cell>
          <cell r="J309">
            <v>9813.4151989999991</v>
          </cell>
          <cell r="K309">
            <v>45346.442649999997</v>
          </cell>
          <cell r="L309">
            <v>15596.934211</v>
          </cell>
          <cell r="M309">
            <v>5010.7736020000002</v>
          </cell>
          <cell r="N309">
            <v>89.441601000000006</v>
          </cell>
          <cell r="O309">
            <v>527.95829900000001</v>
          </cell>
          <cell r="P309">
            <v>2870.4287049999998</v>
          </cell>
          <cell r="Q309">
            <v>3183.6104599999999</v>
          </cell>
          <cell r="R309">
            <v>548.00294099999996</v>
          </cell>
          <cell r="S309">
            <v>972.30637000000002</v>
          </cell>
          <cell r="T309">
            <v>7.1744120000000002</v>
          </cell>
          <cell r="U309">
            <v>10092.573353</v>
          </cell>
          <cell r="V309">
            <v>24268.720947000002</v>
          </cell>
          <cell r="W309">
            <v>15749.225474999999</v>
          </cell>
          <cell r="X309">
            <v>2428.5928640000002</v>
          </cell>
          <cell r="Y309">
            <v>0.57837000000000005</v>
          </cell>
          <cell r="Z309">
            <v>1767.5747590000001</v>
          </cell>
          <cell r="AA309">
            <v>1.423108</v>
          </cell>
          <cell r="AB309">
            <v>154931.082436</v>
          </cell>
          <cell r="AC309">
            <v>1129.596415</v>
          </cell>
          <cell r="AD309">
            <v>4488.5136069999999</v>
          </cell>
          <cell r="AE309">
            <v>3260.215522</v>
          </cell>
          <cell r="AF309">
            <v>1024.403096</v>
          </cell>
          <cell r="AG309">
            <v>1105.9222460000001</v>
          </cell>
          <cell r="AH309">
            <v>51.175409999999999</v>
          </cell>
          <cell r="AI309">
            <v>240.96961999999999</v>
          </cell>
          <cell r="AJ309">
            <v>31.432272000000001</v>
          </cell>
          <cell r="AK309">
            <v>219.10430700000001</v>
          </cell>
          <cell r="AL309">
            <v>22.078699</v>
          </cell>
          <cell r="AM309">
            <v>30.065346000000002</v>
          </cell>
          <cell r="AN309">
            <v>28479.089954999999</v>
          </cell>
          <cell r="AO309">
            <v>27303.013674999998</v>
          </cell>
          <cell r="AP309">
            <v>0</v>
          </cell>
          <cell r="AQ309">
            <v>5.8197369999999999</v>
          </cell>
          <cell r="AR309">
            <v>750.91577800000005</v>
          </cell>
          <cell r="AS309">
            <v>750.513778</v>
          </cell>
          <cell r="AT309">
            <v>142.492998</v>
          </cell>
          <cell r="AU309">
            <v>508.97403200000002</v>
          </cell>
          <cell r="AV309">
            <v>160.113834</v>
          </cell>
          <cell r="AW309">
            <v>14.684198</v>
          </cell>
          <cell r="AX309">
            <v>0</v>
          </cell>
          <cell r="AY309">
            <v>65.817594</v>
          </cell>
          <cell r="AZ309">
            <v>75.644828000000004</v>
          </cell>
          <cell r="BA309">
            <v>38546.813972000004</v>
          </cell>
          <cell r="BB309" t="str">
            <v/>
          </cell>
          <cell r="BC309">
            <v>5594.796182</v>
          </cell>
          <cell r="BD309">
            <v>51762.813199000004</v>
          </cell>
          <cell r="BE309">
            <v>8501.9857869999996</v>
          </cell>
          <cell r="BF309">
            <v>38039.557805000004</v>
          </cell>
          <cell r="BG309">
            <v>140031.25935499999</v>
          </cell>
          <cell r="BH309">
            <v>82052.455147000001</v>
          </cell>
          <cell r="BI309">
            <v>19804.392036000001</v>
          </cell>
          <cell r="BJ309">
            <v>293.26301699999999</v>
          </cell>
          <cell r="BK309">
            <v>2349.9312580000001</v>
          </cell>
          <cell r="BL309">
            <v>13264.745279000001</v>
          </cell>
          <cell r="BM309">
            <v>12040.46386</v>
          </cell>
          <cell r="BN309">
            <v>1908.15311</v>
          </cell>
          <cell r="BO309">
            <v>6703.7340750000003</v>
          </cell>
          <cell r="BP309">
            <v>31.723812000000002</v>
          </cell>
          <cell r="BQ309">
            <v>42555.854230999998</v>
          </cell>
          <cell r="BR309">
            <v>86397.039656000008</v>
          </cell>
          <cell r="BS309">
            <v>53607.163969000001</v>
          </cell>
          <cell r="BT309">
            <v>7745.3300159999999</v>
          </cell>
          <cell r="BU309">
            <v>176.48291699999999</v>
          </cell>
          <cell r="BV309">
            <v>7350.5241179999994</v>
          </cell>
          <cell r="BW309">
            <v>28.104247999999998</v>
          </cell>
          <cell r="BX309">
            <v>580239.77307700005</v>
          </cell>
          <cell r="BY309" t="str">
            <v/>
          </cell>
          <cell r="BZ309">
            <v>3252.0738849999998</v>
          </cell>
          <cell r="CA309">
            <v>15721.678845999999</v>
          </cell>
          <cell r="CB309">
            <v>9144.4233650000006</v>
          </cell>
          <cell r="CC309">
            <v>1913.6730580000001</v>
          </cell>
          <cell r="CD309">
            <v>6684.3876820000005</v>
          </cell>
          <cell r="CE309">
            <v>187.855243</v>
          </cell>
          <cell r="CF309">
            <v>1461.1851320000001</v>
          </cell>
          <cell r="CG309">
            <v>136.77155000000002</v>
          </cell>
          <cell r="CH309">
            <v>279.02386899999999</v>
          </cell>
          <cell r="CI309">
            <v>112.177392</v>
          </cell>
          <cell r="CJ309">
            <v>285.54142099999996</v>
          </cell>
          <cell r="CK309">
            <v>126280.38624800001</v>
          </cell>
          <cell r="CL309">
            <v>121876.233228</v>
          </cell>
          <cell r="CM309">
            <v>4.5903690000000008</v>
          </cell>
          <cell r="CN309">
            <v>19.979979</v>
          </cell>
          <cell r="CO309">
            <v>1627.66679</v>
          </cell>
          <cell r="CP309">
            <v>1621.0032900000001</v>
          </cell>
          <cell r="CQ309">
            <v>1876.2153059999998</v>
          </cell>
          <cell r="CR309">
            <v>1634.4184400000001</v>
          </cell>
          <cell r="CS309">
            <v>1570.972632</v>
          </cell>
          <cell r="CT309">
            <v>206.71084099999999</v>
          </cell>
          <cell r="CU309">
            <v>0.47215299999999999</v>
          </cell>
          <cell r="CV309">
            <v>558.61595299999999</v>
          </cell>
          <cell r="CW309">
            <v>425.63446300000004</v>
          </cell>
          <cell r="CX309">
            <v>164240.03125200002</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v>28.305545202638964</v>
          </cell>
          <cell r="DM309" t="str">
            <v/>
          </cell>
          <cell r="DN309" t="str">
            <v/>
          </cell>
          <cell r="DO309" t="str">
            <v/>
          </cell>
          <cell r="DP309" t="str">
            <v/>
          </cell>
          <cell r="DQ309" t="str">
            <v/>
          </cell>
          <cell r="DR309" t="str">
            <v/>
          </cell>
          <cell r="DS309" t="str">
            <v/>
          </cell>
          <cell r="DT309" t="str">
            <v/>
          </cell>
          <cell r="DU309" t="str">
            <v/>
          </cell>
          <cell r="DV309" t="str">
            <v/>
          </cell>
          <cell r="DY309">
            <v>28</v>
          </cell>
        </row>
        <row r="310">
          <cell r="F310">
            <v>38790.25</v>
          </cell>
          <cell r="G310">
            <v>1741.2587559999999</v>
          </cell>
          <cell r="H310">
            <v>12619.656601999999</v>
          </cell>
          <cell r="I310">
            <v>2356.9548150000001</v>
          </cell>
          <cell r="J310">
            <v>8270.0880369999995</v>
          </cell>
          <cell r="K310">
            <v>41481.931170999997</v>
          </cell>
          <cell r="L310">
            <v>29888.647005999999</v>
          </cell>
          <cell r="M310">
            <v>5440.1659</v>
          </cell>
          <cell r="N310">
            <v>291.896569</v>
          </cell>
          <cell r="O310">
            <v>623.95326999999997</v>
          </cell>
          <cell r="P310">
            <v>2924.3375099999998</v>
          </cell>
          <cell r="Q310">
            <v>4342.7657689999996</v>
          </cell>
          <cell r="R310">
            <v>665.96061099999997</v>
          </cell>
          <cell r="S310">
            <v>1720.553189</v>
          </cell>
          <cell r="T310">
            <v>8.249765</v>
          </cell>
          <cell r="U310">
            <v>10690.319368</v>
          </cell>
          <cell r="V310">
            <v>23049.17513</v>
          </cell>
          <cell r="W310">
            <v>14216.452393</v>
          </cell>
          <cell r="X310">
            <v>2284.0335129999999</v>
          </cell>
          <cell r="Y310">
            <v>63.839379000000001</v>
          </cell>
          <cell r="Z310">
            <v>1705.540972</v>
          </cell>
          <cell r="AA310">
            <v>8.2301850000000005</v>
          </cell>
          <cell r="AB310">
            <v>164394.00990999996</v>
          </cell>
          <cell r="AC310">
            <v>935.19574999999998</v>
          </cell>
          <cell r="AD310">
            <v>6894.4364009999999</v>
          </cell>
          <cell r="AE310">
            <v>5090.6540859999996</v>
          </cell>
          <cell r="AF310">
            <v>1151.97406</v>
          </cell>
          <cell r="AG310">
            <v>3458.8381610000001</v>
          </cell>
          <cell r="AH310">
            <v>68.934200000000004</v>
          </cell>
          <cell r="AI310">
            <v>88.420070999999993</v>
          </cell>
          <cell r="AJ310">
            <v>124.74743700000001</v>
          </cell>
          <cell r="AK310">
            <v>391.79733099999999</v>
          </cell>
          <cell r="AL310">
            <v>16.633012999999998</v>
          </cell>
          <cell r="AM310">
            <v>43.833706999999997</v>
          </cell>
          <cell r="AN310">
            <v>49412.179408999997</v>
          </cell>
          <cell r="AO310">
            <v>48729.486234000004</v>
          </cell>
          <cell r="AP310">
            <v>0.1338</v>
          </cell>
          <cell r="AQ310">
            <v>5.0311899999999996</v>
          </cell>
          <cell r="AR310">
            <v>159.87043199999999</v>
          </cell>
          <cell r="AS310">
            <v>158.668432</v>
          </cell>
          <cell r="AT310">
            <v>208.415459</v>
          </cell>
          <cell r="AU310">
            <v>324.01382100000001</v>
          </cell>
          <cell r="AV310">
            <v>141.372951</v>
          </cell>
          <cell r="AW310">
            <v>77.069156000000007</v>
          </cell>
          <cell r="AX310">
            <v>0</v>
          </cell>
          <cell r="AY310">
            <v>46.830643999999999</v>
          </cell>
          <cell r="AZ310">
            <v>100.494822</v>
          </cell>
          <cell r="BA310">
            <v>63650.221815000004</v>
          </cell>
          <cell r="BB310" t="str">
            <v/>
          </cell>
          <cell r="BC310">
            <v>1741.2587559999999</v>
          </cell>
          <cell r="BD310">
            <v>12619.656601999999</v>
          </cell>
          <cell r="BE310">
            <v>2356.9548150000001</v>
          </cell>
          <cell r="BF310">
            <v>8270.0880369999995</v>
          </cell>
          <cell r="BG310">
            <v>41481.931170999997</v>
          </cell>
          <cell r="BH310">
            <v>29888.647005999999</v>
          </cell>
          <cell r="BI310">
            <v>5440.1659</v>
          </cell>
          <cell r="BJ310">
            <v>291.896569</v>
          </cell>
          <cell r="BK310">
            <v>623.95326999999997</v>
          </cell>
          <cell r="BL310">
            <v>2924.3375099999998</v>
          </cell>
          <cell r="BM310">
            <v>4342.7657689999996</v>
          </cell>
          <cell r="BN310">
            <v>665.96061099999997</v>
          </cell>
          <cell r="BO310">
            <v>1720.553189</v>
          </cell>
          <cell r="BP310">
            <v>8.249765</v>
          </cell>
          <cell r="BQ310">
            <v>10690.319368</v>
          </cell>
          <cell r="BR310">
            <v>23049.17513</v>
          </cell>
          <cell r="BS310">
            <v>14216.452393</v>
          </cell>
          <cell r="BT310">
            <v>2284.0335129999999</v>
          </cell>
          <cell r="BU310">
            <v>63.839379000000001</v>
          </cell>
          <cell r="BV310">
            <v>1705.540972</v>
          </cell>
          <cell r="BW310">
            <v>8.2301850000000005</v>
          </cell>
          <cell r="BX310">
            <v>164394.00990999996</v>
          </cell>
          <cell r="BY310" t="str">
            <v/>
          </cell>
          <cell r="BZ310">
            <v>935.19574999999998</v>
          </cell>
          <cell r="CA310">
            <v>6894.4364009999999</v>
          </cell>
          <cell r="CB310">
            <v>5090.6540859999996</v>
          </cell>
          <cell r="CC310">
            <v>1151.97406</v>
          </cell>
          <cell r="CD310">
            <v>3458.8381610000001</v>
          </cell>
          <cell r="CE310">
            <v>68.934200000000004</v>
          </cell>
          <cell r="CF310">
            <v>88.420070999999993</v>
          </cell>
          <cell r="CG310">
            <v>124.74743700000001</v>
          </cell>
          <cell r="CH310">
            <v>391.79733099999999</v>
          </cell>
          <cell r="CI310">
            <v>16.633012999999998</v>
          </cell>
          <cell r="CJ310">
            <v>43.833706999999997</v>
          </cell>
          <cell r="CK310">
            <v>49412.179408999997</v>
          </cell>
          <cell r="CL310">
            <v>48729.486234000004</v>
          </cell>
          <cell r="CM310">
            <v>0.1338</v>
          </cell>
          <cell r="CN310">
            <v>5.0311899999999996</v>
          </cell>
          <cell r="CO310">
            <v>159.87043199999999</v>
          </cell>
          <cell r="CP310">
            <v>158.668432</v>
          </cell>
          <cell r="CQ310">
            <v>208.415459</v>
          </cell>
          <cell r="CR310">
            <v>324.01382100000001</v>
          </cell>
          <cell r="CS310">
            <v>141.372951</v>
          </cell>
          <cell r="CT310">
            <v>77.069156000000007</v>
          </cell>
          <cell r="CU310">
            <v>0</v>
          </cell>
          <cell r="CV310">
            <v>46.830643999999999</v>
          </cell>
          <cell r="CW310">
            <v>100.494822</v>
          </cell>
          <cell r="CX310">
            <v>63650.221815000004</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Y310">
            <v>29</v>
          </cell>
        </row>
        <row r="311">
          <cell r="F311">
            <v>38881.5625</v>
          </cell>
          <cell r="G311">
            <v>1305.3786540000001</v>
          </cell>
          <cell r="H311">
            <v>16853.811753999998</v>
          </cell>
          <cell r="I311">
            <v>1757.291297</v>
          </cell>
          <cell r="J311">
            <v>10304.589708</v>
          </cell>
          <cell r="K311">
            <v>50196.724962</v>
          </cell>
          <cell r="L311">
            <v>29796.723583999999</v>
          </cell>
          <cell r="M311">
            <v>6080.49071</v>
          </cell>
          <cell r="N311">
            <v>91.389048000000003</v>
          </cell>
          <cell r="O311">
            <v>596.14926100000002</v>
          </cell>
          <cell r="P311">
            <v>3905.527286</v>
          </cell>
          <cell r="Q311">
            <v>3057.7546149999998</v>
          </cell>
          <cell r="R311">
            <v>632.49331299999994</v>
          </cell>
          <cell r="S311">
            <v>1150.268926</v>
          </cell>
          <cell r="T311">
            <v>3.5974870000000001</v>
          </cell>
          <cell r="U311">
            <v>11808.893146</v>
          </cell>
          <cell r="V311">
            <v>20563.089630999999</v>
          </cell>
          <cell r="W311">
            <v>12096.844793</v>
          </cell>
          <cell r="X311">
            <v>2954.7614010000002</v>
          </cell>
          <cell r="Y311">
            <v>48.386882</v>
          </cell>
          <cell r="Z311">
            <v>1218.0492959999999</v>
          </cell>
          <cell r="AA311">
            <v>2.9570650000000001</v>
          </cell>
          <cell r="AB311">
            <v>174425.172819</v>
          </cell>
          <cell r="AC311">
            <v>958.10225000000003</v>
          </cell>
          <cell r="AD311">
            <v>6009.3843580000002</v>
          </cell>
          <cell r="AE311">
            <v>2432.1417299999998</v>
          </cell>
          <cell r="AF311">
            <v>1037.5451190000001</v>
          </cell>
          <cell r="AG311">
            <v>989.86179100000004</v>
          </cell>
          <cell r="AH311">
            <v>200.03655000000001</v>
          </cell>
          <cell r="AI311">
            <v>392.01516800000002</v>
          </cell>
          <cell r="AJ311">
            <v>35.805047000000002</v>
          </cell>
          <cell r="AK311">
            <v>1008.77163</v>
          </cell>
          <cell r="AL311">
            <v>9.4718180000000007</v>
          </cell>
          <cell r="AM311">
            <v>149.00387499999999</v>
          </cell>
          <cell r="AN311">
            <v>38612.233286000002</v>
          </cell>
          <cell r="AO311">
            <v>37730.837712</v>
          </cell>
          <cell r="AP311">
            <v>0</v>
          </cell>
          <cell r="AQ311">
            <v>24.929794000000001</v>
          </cell>
          <cell r="AR311">
            <v>909.07079399999998</v>
          </cell>
          <cell r="AS311">
            <v>908.80879400000003</v>
          </cell>
          <cell r="AT311">
            <v>106.455533</v>
          </cell>
          <cell r="AU311">
            <v>836.32370900000001</v>
          </cell>
          <cell r="AV311">
            <v>153.601753</v>
          </cell>
          <cell r="AW311">
            <v>10.4381</v>
          </cell>
          <cell r="AX311">
            <v>0</v>
          </cell>
          <cell r="AY311">
            <v>252.70881700000001</v>
          </cell>
          <cell r="AZ311">
            <v>127.478317</v>
          </cell>
          <cell r="BA311">
            <v>51823.237709000008</v>
          </cell>
          <cell r="BB311" t="str">
            <v/>
          </cell>
          <cell r="BC311">
            <v>3046.6374100000003</v>
          </cell>
          <cell r="BD311">
            <v>29473.468355999998</v>
          </cell>
          <cell r="BE311">
            <v>4114.2461119999998</v>
          </cell>
          <cell r="BF311">
            <v>18574.677745000001</v>
          </cell>
          <cell r="BG311">
            <v>91678.656132999997</v>
          </cell>
          <cell r="BH311">
            <v>59685.370589999999</v>
          </cell>
          <cell r="BI311">
            <v>11520.65661</v>
          </cell>
          <cell r="BJ311">
            <v>383.285617</v>
          </cell>
          <cell r="BK311">
            <v>1220.102531</v>
          </cell>
          <cell r="BL311">
            <v>6829.8647959999998</v>
          </cell>
          <cell r="BM311">
            <v>7400.5203839999995</v>
          </cell>
          <cell r="BN311">
            <v>1298.4539239999999</v>
          </cell>
          <cell r="BO311">
            <v>2870.8221149999999</v>
          </cell>
          <cell r="BP311">
            <v>11.847252000000001</v>
          </cell>
          <cell r="BQ311">
            <v>22499.212513999999</v>
          </cell>
          <cell r="BR311">
            <v>43612.264760999999</v>
          </cell>
          <cell r="BS311">
            <v>26313.297186</v>
          </cell>
          <cell r="BT311">
            <v>5238.7949140000001</v>
          </cell>
          <cell r="BU311">
            <v>112.22626099999999</v>
          </cell>
          <cell r="BV311">
            <v>2923.5902679999999</v>
          </cell>
          <cell r="BW311">
            <v>11.187250000000001</v>
          </cell>
          <cell r="BX311">
            <v>338819.18272899999</v>
          </cell>
          <cell r="BY311" t="str">
            <v/>
          </cell>
          <cell r="BZ311">
            <v>1893.298</v>
          </cell>
          <cell r="CA311">
            <v>12903.820759</v>
          </cell>
          <cell r="CB311">
            <v>7522.7958159999998</v>
          </cell>
          <cell r="CC311">
            <v>2189.5191789999999</v>
          </cell>
          <cell r="CD311">
            <v>4448.6999519999999</v>
          </cell>
          <cell r="CE311">
            <v>268.97075000000001</v>
          </cell>
          <cell r="CF311">
            <v>480.43523900000002</v>
          </cell>
          <cell r="CG311">
            <v>160.55248399999999</v>
          </cell>
          <cell r="CH311">
            <v>1400.5689609999999</v>
          </cell>
          <cell r="CI311">
            <v>26.104830999999997</v>
          </cell>
          <cell r="CJ311">
            <v>192.837582</v>
          </cell>
          <cell r="CK311">
            <v>88024.412695000006</v>
          </cell>
          <cell r="CL311">
            <v>86460.323946000004</v>
          </cell>
          <cell r="CM311">
            <v>0.1338</v>
          </cell>
          <cell r="CN311">
            <v>29.960984</v>
          </cell>
          <cell r="CO311">
            <v>1068.9412259999999</v>
          </cell>
          <cell r="CP311">
            <v>1067.477226</v>
          </cell>
          <cell r="CQ311">
            <v>314.870992</v>
          </cell>
          <cell r="CR311">
            <v>1160.33753</v>
          </cell>
          <cell r="CS311">
            <v>294.97470399999997</v>
          </cell>
          <cell r="CT311">
            <v>87.507256000000012</v>
          </cell>
          <cell r="CU311">
            <v>0</v>
          </cell>
          <cell r="CV311">
            <v>299.53946100000002</v>
          </cell>
          <cell r="CW311">
            <v>227.973139</v>
          </cell>
          <cell r="CX311">
            <v>115473.45952400001</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Y311">
            <v>30</v>
          </cell>
        </row>
        <row r="312">
          <cell r="F312">
            <v>38972.875</v>
          </cell>
          <cell r="G312">
            <v>1342.0948940000001</v>
          </cell>
          <cell r="H312">
            <v>16369.467189000001</v>
          </cell>
          <cell r="I312">
            <v>2120.3100279999999</v>
          </cell>
          <cell r="J312">
            <v>11814.660131000001</v>
          </cell>
          <cell r="K312">
            <v>46506.519465999998</v>
          </cell>
          <cell r="L312">
            <v>22673.289897999999</v>
          </cell>
          <cell r="M312">
            <v>5862.3736010000002</v>
          </cell>
          <cell r="N312">
            <v>100.249517</v>
          </cell>
          <cell r="O312">
            <v>627.97180700000001</v>
          </cell>
          <cell r="P312">
            <v>3879.0254669999999</v>
          </cell>
          <cell r="Q312">
            <v>2623.0171110000001</v>
          </cell>
          <cell r="R312">
            <v>466.95683700000001</v>
          </cell>
          <cell r="S312">
            <v>1335.5180350000001</v>
          </cell>
          <cell r="T312">
            <v>49.368923000000002</v>
          </cell>
          <cell r="U312">
            <v>10786.878284</v>
          </cell>
          <cell r="V312">
            <v>24720.938150999998</v>
          </cell>
          <cell r="W312">
            <v>11902.643195000001</v>
          </cell>
          <cell r="X312">
            <v>2092.0289560000001</v>
          </cell>
          <cell r="Y312">
            <v>0.22800000000000001</v>
          </cell>
          <cell r="Z312">
            <v>1416.0498419999999</v>
          </cell>
          <cell r="AA312">
            <v>1.6624049999999999</v>
          </cell>
          <cell r="AB312">
            <v>166691.25173700004</v>
          </cell>
          <cell r="AC312">
            <v>538.33050000000003</v>
          </cell>
          <cell r="AD312">
            <v>4052.2093439999999</v>
          </cell>
          <cell r="AE312">
            <v>1735.4578300000001</v>
          </cell>
          <cell r="AF312">
            <v>1108.9006010000001</v>
          </cell>
          <cell r="AG312">
            <v>848.59465799999998</v>
          </cell>
          <cell r="AH312">
            <v>60.245449999999998</v>
          </cell>
          <cell r="AI312">
            <v>272.72099800000001</v>
          </cell>
          <cell r="AJ312">
            <v>37.812928999999997</v>
          </cell>
          <cell r="AK312">
            <v>93.824493000000004</v>
          </cell>
          <cell r="AL312">
            <v>2.4045359999999998</v>
          </cell>
          <cell r="AM312">
            <v>34.199357999999997</v>
          </cell>
          <cell r="AN312">
            <v>45805.597909999997</v>
          </cell>
          <cell r="AO312">
            <v>42657.493435999997</v>
          </cell>
          <cell r="AP312">
            <v>0.2331</v>
          </cell>
          <cell r="AQ312">
            <v>27.692007</v>
          </cell>
          <cell r="AR312">
            <v>876.79756799999996</v>
          </cell>
          <cell r="AS312">
            <v>873.19696799999997</v>
          </cell>
          <cell r="AT312">
            <v>1446.3442399999999</v>
          </cell>
          <cell r="AU312">
            <v>734.44385499999999</v>
          </cell>
          <cell r="AV312">
            <v>418.09014400000001</v>
          </cell>
          <cell r="AW312">
            <v>108.706515</v>
          </cell>
          <cell r="AX312">
            <v>0</v>
          </cell>
          <cell r="AY312">
            <v>302.90884599999998</v>
          </cell>
          <cell r="AZ312">
            <v>54.630308999999997</v>
          </cell>
          <cell r="BA312">
            <v>56824.687360999989</v>
          </cell>
          <cell r="BB312" t="str">
            <v/>
          </cell>
          <cell r="BC312">
            <v>4388.7323040000001</v>
          </cell>
          <cell r="BD312">
            <v>45842.935545</v>
          </cell>
          <cell r="BE312">
            <v>6234.5561399999997</v>
          </cell>
          <cell r="BF312">
            <v>30389.337876000001</v>
          </cell>
          <cell r="BG312">
            <v>138185.17559900001</v>
          </cell>
          <cell r="BH312">
            <v>82358.660487999994</v>
          </cell>
          <cell r="BI312">
            <v>17383.030211000001</v>
          </cell>
          <cell r="BJ312">
            <v>483.53513399999997</v>
          </cell>
          <cell r="BK312">
            <v>1848.0743379999999</v>
          </cell>
          <cell r="BL312">
            <v>10708.890262999999</v>
          </cell>
          <cell r="BM312">
            <v>10023.537495</v>
          </cell>
          <cell r="BN312">
            <v>1765.4107609999999</v>
          </cell>
          <cell r="BO312">
            <v>4206.34015</v>
          </cell>
          <cell r="BP312">
            <v>61.216175000000007</v>
          </cell>
          <cell r="BQ312">
            <v>33286.090797999997</v>
          </cell>
          <cell r="BR312">
            <v>68333.202911999993</v>
          </cell>
          <cell r="BS312">
            <v>38215.940381</v>
          </cell>
          <cell r="BT312">
            <v>7330.8238700000002</v>
          </cell>
          <cell r="BU312">
            <v>112.45426099999999</v>
          </cell>
          <cell r="BV312">
            <v>4339.6401100000003</v>
          </cell>
          <cell r="BW312">
            <v>12.849655</v>
          </cell>
          <cell r="BX312">
            <v>505510.43446600006</v>
          </cell>
          <cell r="BY312" t="str">
            <v/>
          </cell>
          <cell r="BZ312">
            <v>2431.6284999999998</v>
          </cell>
          <cell r="CA312">
            <v>16956.030103000001</v>
          </cell>
          <cell r="CB312">
            <v>9258.2536459999992</v>
          </cell>
          <cell r="CC312">
            <v>3298.4197800000002</v>
          </cell>
          <cell r="CD312">
            <v>5297.2946099999999</v>
          </cell>
          <cell r="CE312">
            <v>329.21620000000001</v>
          </cell>
          <cell r="CF312">
            <v>753.15623700000003</v>
          </cell>
          <cell r="CG312">
            <v>198.36541299999999</v>
          </cell>
          <cell r="CH312">
            <v>1494.393454</v>
          </cell>
          <cell r="CI312">
            <v>28.509366999999997</v>
          </cell>
          <cell r="CJ312">
            <v>227.03693999999999</v>
          </cell>
          <cell r="CK312">
            <v>133830.01060500002</v>
          </cell>
          <cell r="CL312">
            <v>129117.81738200001</v>
          </cell>
          <cell r="CM312">
            <v>0.3669</v>
          </cell>
          <cell r="CN312">
            <v>57.652991</v>
          </cell>
          <cell r="CO312">
            <v>1945.7387939999999</v>
          </cell>
          <cell r="CP312">
            <v>1940.6741939999999</v>
          </cell>
          <cell r="CQ312">
            <v>1761.215232</v>
          </cell>
          <cell r="CR312">
            <v>1894.781385</v>
          </cell>
          <cell r="CS312">
            <v>713.06484799999998</v>
          </cell>
          <cell r="CT312">
            <v>196.21377100000001</v>
          </cell>
          <cell r="CU312">
            <v>0</v>
          </cell>
          <cell r="CV312">
            <v>602.448307</v>
          </cell>
          <cell r="CW312">
            <v>282.60344800000001</v>
          </cell>
          <cell r="CX312">
            <v>172298.14688499999</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Y312">
            <v>31</v>
          </cell>
        </row>
        <row r="313">
          <cell r="F313">
            <v>39064.1875</v>
          </cell>
          <cell r="G313">
            <v>1836.15148</v>
          </cell>
          <cell r="H313">
            <v>13129.719177000001</v>
          </cell>
          <cell r="I313">
            <v>1928.8449860000001</v>
          </cell>
          <cell r="J313">
            <v>8450.6339690000004</v>
          </cell>
          <cell r="K313">
            <v>46321.518164000001</v>
          </cell>
          <cell r="L313">
            <v>13368.111653</v>
          </cell>
          <cell r="M313">
            <v>6927.6001290000004</v>
          </cell>
          <cell r="N313">
            <v>64.408617000000007</v>
          </cell>
          <cell r="O313">
            <v>675.87925099999995</v>
          </cell>
          <cell r="P313">
            <v>3478.2892919999999</v>
          </cell>
          <cell r="Q313">
            <v>3773.9348110000001</v>
          </cell>
          <cell r="R313">
            <v>746.82896600000004</v>
          </cell>
          <cell r="S313">
            <v>987.84911899999997</v>
          </cell>
          <cell r="T313">
            <v>108.894891</v>
          </cell>
          <cell r="U313">
            <v>16054.951756</v>
          </cell>
          <cell r="V313">
            <v>30245.415303000002</v>
          </cell>
          <cell r="W313">
            <v>16339.150029</v>
          </cell>
          <cell r="X313">
            <v>2062.4665869999999</v>
          </cell>
          <cell r="Y313">
            <v>132.31733700000001</v>
          </cell>
          <cell r="Z313">
            <v>2320.5656049999998</v>
          </cell>
          <cell r="AA313">
            <v>53.14969</v>
          </cell>
          <cell r="AB313">
            <v>169006.68081200001</v>
          </cell>
          <cell r="AC313">
            <v>1075.239</v>
          </cell>
          <cell r="AD313">
            <v>6369.6320070000002</v>
          </cell>
          <cell r="AE313">
            <v>4762.809029</v>
          </cell>
          <cell r="AF313">
            <v>1658.9056889999999</v>
          </cell>
          <cell r="AG313">
            <v>1222.2838819999999</v>
          </cell>
          <cell r="AH313">
            <v>37.477338000000003</v>
          </cell>
          <cell r="AI313">
            <v>65.772396000000001</v>
          </cell>
          <cell r="AJ313">
            <v>146.52391800000001</v>
          </cell>
          <cell r="AK313">
            <v>33.107382000000001</v>
          </cell>
          <cell r="AL313">
            <v>10.034224999999999</v>
          </cell>
          <cell r="AM313">
            <v>14.532420999999999</v>
          </cell>
          <cell r="AN313">
            <v>33089.119713</v>
          </cell>
          <cell r="AO313">
            <v>32299.703303999999</v>
          </cell>
          <cell r="AP313">
            <v>0.5</v>
          </cell>
          <cell r="AQ313">
            <v>9.0991070000000001</v>
          </cell>
          <cell r="AR313">
            <v>2735.3514100000002</v>
          </cell>
          <cell r="AS313">
            <v>2735.3514100000002</v>
          </cell>
          <cell r="AT313">
            <v>486.41109999999998</v>
          </cell>
          <cell r="AU313">
            <v>726.85534099999995</v>
          </cell>
          <cell r="AV313">
            <v>591.53568600000006</v>
          </cell>
          <cell r="AW313">
            <v>180.676356</v>
          </cell>
          <cell r="AX313">
            <v>0</v>
          </cell>
          <cell r="AY313">
            <v>141.04719499999999</v>
          </cell>
          <cell r="AZ313">
            <v>151.75284300000001</v>
          </cell>
          <cell r="BA313">
            <v>48745.857009000014</v>
          </cell>
          <cell r="BB313" t="str">
            <v/>
          </cell>
          <cell r="BC313">
            <v>6224.8837839999997</v>
          </cell>
          <cell r="BD313">
            <v>58972.654721999999</v>
          </cell>
          <cell r="BE313">
            <v>8163.4011259999997</v>
          </cell>
          <cell r="BF313">
            <v>38839.971845</v>
          </cell>
          <cell r="BG313">
            <v>184506.69376300002</v>
          </cell>
          <cell r="BH313">
            <v>95726.772140999994</v>
          </cell>
          <cell r="BI313">
            <v>24310.630340000003</v>
          </cell>
          <cell r="BJ313">
            <v>547.94375100000002</v>
          </cell>
          <cell r="BK313">
            <v>2523.9535889999997</v>
          </cell>
          <cell r="BL313">
            <v>14187.179554999999</v>
          </cell>
          <cell r="BM313">
            <v>13797.472306</v>
          </cell>
          <cell r="BN313">
            <v>2512.2397270000001</v>
          </cell>
          <cell r="BO313">
            <v>5194.1892690000004</v>
          </cell>
          <cell r="BP313">
            <v>170.11106599999999</v>
          </cell>
          <cell r="BQ313">
            <v>49341.042554</v>
          </cell>
          <cell r="BR313">
            <v>98578.618214999995</v>
          </cell>
          <cell r="BS313">
            <v>54555.090410000004</v>
          </cell>
          <cell r="BT313">
            <v>9393.2904569999992</v>
          </cell>
          <cell r="BU313">
            <v>244.77159799999998</v>
          </cell>
          <cell r="BV313">
            <v>6660.2057150000001</v>
          </cell>
          <cell r="BW313">
            <v>65.999345000000005</v>
          </cell>
          <cell r="BX313">
            <v>674517.11527800001</v>
          </cell>
          <cell r="BY313" t="str">
            <v/>
          </cell>
          <cell r="BZ313">
            <v>3506.8674999999998</v>
          </cell>
          <cell r="CA313">
            <v>23325.662110000001</v>
          </cell>
          <cell r="CB313">
            <v>14021.062674999999</v>
          </cell>
          <cell r="CC313">
            <v>4957.3254690000003</v>
          </cell>
          <cell r="CD313">
            <v>6519.5784919999996</v>
          </cell>
          <cell r="CE313">
            <v>366.69353799999999</v>
          </cell>
          <cell r="CF313">
            <v>818.92863299999999</v>
          </cell>
          <cell r="CG313">
            <v>344.88933099999997</v>
          </cell>
          <cell r="CH313">
            <v>1527.5008359999999</v>
          </cell>
          <cell r="CI313">
            <v>38.543591999999997</v>
          </cell>
          <cell r="CJ313">
            <v>241.56936099999999</v>
          </cell>
          <cell r="CK313">
            <v>166919.13031800001</v>
          </cell>
          <cell r="CL313">
            <v>161417.520686</v>
          </cell>
          <cell r="CM313">
            <v>0.8669</v>
          </cell>
          <cell r="CN313">
            <v>66.752098000000004</v>
          </cell>
          <cell r="CO313">
            <v>4681.0902040000001</v>
          </cell>
          <cell r="CP313">
            <v>4676.0256040000004</v>
          </cell>
          <cell r="CQ313">
            <v>2247.6263319999998</v>
          </cell>
          <cell r="CR313">
            <v>2621.6367259999997</v>
          </cell>
          <cell r="CS313">
            <v>1304.6005340000002</v>
          </cell>
          <cell r="CT313">
            <v>376.89012700000001</v>
          </cell>
          <cell r="CU313">
            <v>0</v>
          </cell>
          <cell r="CV313">
            <v>743.49550199999999</v>
          </cell>
          <cell r="CW313">
            <v>434.35629100000006</v>
          </cell>
          <cell r="CX313">
            <v>221044.00389400002</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v>32.770703498442359</v>
          </cell>
          <cell r="DM313" t="str">
            <v/>
          </cell>
          <cell r="DN313" t="str">
            <v/>
          </cell>
          <cell r="DO313" t="str">
            <v/>
          </cell>
          <cell r="DP313" t="str">
            <v/>
          </cell>
          <cell r="DQ313" t="str">
            <v/>
          </cell>
          <cell r="DR313" t="str">
            <v/>
          </cell>
          <cell r="DS313" t="str">
            <v/>
          </cell>
          <cell r="DT313" t="str">
            <v/>
          </cell>
          <cell r="DU313" t="str">
            <v/>
          </cell>
          <cell r="DV313" t="str">
            <v/>
          </cell>
          <cell r="DY313">
            <v>32</v>
          </cell>
        </row>
        <row r="314">
          <cell r="F314">
            <v>39155.5</v>
          </cell>
          <cell r="G314">
            <v>1310.4748340000001</v>
          </cell>
          <cell r="H314">
            <v>14239.485439</v>
          </cell>
          <cell r="I314">
            <v>2028.1426180000001</v>
          </cell>
          <cell r="J314">
            <v>10753.842889</v>
          </cell>
          <cell r="K314">
            <v>46058.715164000001</v>
          </cell>
          <cell r="L314">
            <v>23200.989486999999</v>
          </cell>
          <cell r="M314">
            <v>6695.3423919999996</v>
          </cell>
          <cell r="N314">
            <v>104.56389799999999</v>
          </cell>
          <cell r="O314">
            <v>904.77552500000002</v>
          </cell>
          <cell r="P314">
            <v>4370.8198899999998</v>
          </cell>
          <cell r="Q314">
            <v>3424.3959989999998</v>
          </cell>
          <cell r="R314">
            <v>670.74448099999995</v>
          </cell>
          <cell r="S314">
            <v>1536.9479550000001</v>
          </cell>
          <cell r="T314">
            <v>13.511753000000001</v>
          </cell>
          <cell r="U314">
            <v>13945.579436</v>
          </cell>
          <cell r="V314">
            <v>22587.295149000001</v>
          </cell>
          <cell r="W314">
            <v>16207.97237</v>
          </cell>
          <cell r="X314">
            <v>2449.7928889999998</v>
          </cell>
          <cell r="Y314">
            <v>64.241605000000007</v>
          </cell>
          <cell r="Z314">
            <v>2249.4226950000002</v>
          </cell>
          <cell r="AA314">
            <v>2.4027090000000002</v>
          </cell>
          <cell r="AB314">
            <v>172819.45917699998</v>
          </cell>
          <cell r="AC314">
            <v>576.02350000000001</v>
          </cell>
          <cell r="AD314">
            <v>12735.062241</v>
          </cell>
          <cell r="AE314">
            <v>9740.4034119999997</v>
          </cell>
          <cell r="AF314">
            <v>1040.984786</v>
          </cell>
          <cell r="AG314">
            <v>2098.792117</v>
          </cell>
          <cell r="AH314">
            <v>29.389600000000002</v>
          </cell>
          <cell r="AI314">
            <v>69.981560999999999</v>
          </cell>
          <cell r="AJ314">
            <v>105.30288299999999</v>
          </cell>
          <cell r="AK314">
            <v>710.86888999999996</v>
          </cell>
          <cell r="AL314">
            <v>6.0513180000000002</v>
          </cell>
          <cell r="AM314">
            <v>55.054490000000001</v>
          </cell>
          <cell r="AN314">
            <v>50615.600114000001</v>
          </cell>
          <cell r="AO314">
            <v>50079.591479000002</v>
          </cell>
          <cell r="AP314">
            <v>0.5</v>
          </cell>
          <cell r="AQ314">
            <v>13.333508999999999</v>
          </cell>
          <cell r="AR314">
            <v>512.20311700000002</v>
          </cell>
          <cell r="AS314">
            <v>511.40211699999998</v>
          </cell>
          <cell r="AT314">
            <v>240.23233999999999</v>
          </cell>
          <cell r="AU314">
            <v>1521.618772</v>
          </cell>
          <cell r="AV314">
            <v>335.91007999999999</v>
          </cell>
          <cell r="AW314">
            <v>72.242830999999995</v>
          </cell>
          <cell r="AX314">
            <v>0</v>
          </cell>
          <cell r="AY314">
            <v>21.442238</v>
          </cell>
          <cell r="AZ314">
            <v>79.399871000000005</v>
          </cell>
          <cell r="BA314">
            <v>70839.994258000006</v>
          </cell>
          <cell r="BB314" t="str">
            <v/>
          </cell>
          <cell r="BC314">
            <v>1310.4748340000001</v>
          </cell>
          <cell r="BD314">
            <v>14239.485439</v>
          </cell>
          <cell r="BE314">
            <v>2028.1426180000001</v>
          </cell>
          <cell r="BF314">
            <v>10753.842889</v>
          </cell>
          <cell r="BG314">
            <v>46058.715164000001</v>
          </cell>
          <cell r="BH314">
            <v>23200.989486999999</v>
          </cell>
          <cell r="BI314">
            <v>6695.3423919999996</v>
          </cell>
          <cell r="BJ314">
            <v>104.56389799999999</v>
          </cell>
          <cell r="BK314">
            <v>904.77552500000002</v>
          </cell>
          <cell r="BL314">
            <v>4370.8198899999998</v>
          </cell>
          <cell r="BM314">
            <v>3424.3959989999998</v>
          </cell>
          <cell r="BN314">
            <v>670.74448099999995</v>
          </cell>
          <cell r="BO314">
            <v>1536.9479550000001</v>
          </cell>
          <cell r="BP314">
            <v>13.511753000000001</v>
          </cell>
          <cell r="BQ314">
            <v>13945.579436</v>
          </cell>
          <cell r="BR314">
            <v>22587.295149000001</v>
          </cell>
          <cell r="BS314">
            <v>16207.97237</v>
          </cell>
          <cell r="BT314">
            <v>2449.7928889999998</v>
          </cell>
          <cell r="BU314">
            <v>64.241605000000007</v>
          </cell>
          <cell r="BV314">
            <v>2249.4226950000002</v>
          </cell>
          <cell r="BW314">
            <v>2.4027090000000002</v>
          </cell>
          <cell r="BX314">
            <v>172819.45917699998</v>
          </cell>
          <cell r="BY314" t="str">
            <v/>
          </cell>
          <cell r="BZ314">
            <v>576.02350000000001</v>
          </cell>
          <cell r="CA314">
            <v>12735.062241</v>
          </cell>
          <cell r="CB314">
            <v>9740.4034119999997</v>
          </cell>
          <cell r="CC314">
            <v>1040.984786</v>
          </cell>
          <cell r="CD314">
            <v>2098.792117</v>
          </cell>
          <cell r="CE314">
            <v>29.389600000000002</v>
          </cell>
          <cell r="CF314">
            <v>69.981560999999999</v>
          </cell>
          <cell r="CG314">
            <v>105.30288299999999</v>
          </cell>
          <cell r="CH314">
            <v>710.86888999999996</v>
          </cell>
          <cell r="CI314">
            <v>6.0513180000000002</v>
          </cell>
          <cell r="CJ314">
            <v>55.054490000000001</v>
          </cell>
          <cell r="CK314">
            <v>50615.600114000001</v>
          </cell>
          <cell r="CL314">
            <v>50079.591479000002</v>
          </cell>
          <cell r="CM314">
            <v>0.5</v>
          </cell>
          <cell r="CN314">
            <v>13.333508999999999</v>
          </cell>
          <cell r="CO314">
            <v>512.20311700000002</v>
          </cell>
          <cell r="CP314">
            <v>511.40211699999998</v>
          </cell>
          <cell r="CQ314">
            <v>240.23233999999999</v>
          </cell>
          <cell r="CR314">
            <v>1521.618772</v>
          </cell>
          <cell r="CS314">
            <v>335.91007999999999</v>
          </cell>
          <cell r="CT314">
            <v>72.242830999999995</v>
          </cell>
          <cell r="CU314">
            <v>0</v>
          </cell>
          <cell r="CV314">
            <v>21.442238</v>
          </cell>
          <cell r="CW314">
            <v>79.399871000000005</v>
          </cell>
          <cell r="CX314">
            <v>70839.994258000006</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Y314">
            <v>33</v>
          </cell>
        </row>
        <row r="315">
          <cell r="F315">
            <v>39246.8125</v>
          </cell>
          <cell r="G315">
            <v>1283.202603</v>
          </cell>
          <cell r="H315">
            <v>16765.948874999998</v>
          </cell>
          <cell r="I315">
            <v>1661.345378</v>
          </cell>
          <cell r="J315">
            <v>8822.9224520000007</v>
          </cell>
          <cell r="K315">
            <v>51183.345563000003</v>
          </cell>
          <cell r="L315">
            <v>35402.719643999997</v>
          </cell>
          <cell r="M315">
            <v>6286.3685189999997</v>
          </cell>
          <cell r="N315">
            <v>96.128967000000003</v>
          </cell>
          <cell r="O315">
            <v>837.11870499999998</v>
          </cell>
          <cell r="P315">
            <v>4731.6756029999997</v>
          </cell>
          <cell r="Q315">
            <v>3806.0848270000001</v>
          </cell>
          <cell r="R315">
            <v>516.299262</v>
          </cell>
          <cell r="S315">
            <v>1454.3047570000001</v>
          </cell>
          <cell r="T315">
            <v>16.251488999999999</v>
          </cell>
          <cell r="U315">
            <v>16354.331996000001</v>
          </cell>
          <cell r="V315">
            <v>33435.867838999999</v>
          </cell>
          <cell r="W315">
            <v>18298.397937999998</v>
          </cell>
          <cell r="X315">
            <v>1693.2314040000001</v>
          </cell>
          <cell r="Y315">
            <v>238.96327199999999</v>
          </cell>
          <cell r="Z315">
            <v>2207.0396219999998</v>
          </cell>
          <cell r="AA315">
            <v>1.731293</v>
          </cell>
          <cell r="AB315">
            <v>205093.28000799994</v>
          </cell>
          <cell r="AC315">
            <v>562.52425000000005</v>
          </cell>
          <cell r="AD315">
            <v>4747.2800109999998</v>
          </cell>
          <cell r="AE315">
            <v>2225.8011230000002</v>
          </cell>
          <cell r="AF315">
            <v>685.44858799999997</v>
          </cell>
          <cell r="AG315">
            <v>1469.772103</v>
          </cell>
          <cell r="AH315">
            <v>77.687546999999995</v>
          </cell>
          <cell r="AI315">
            <v>724.904133</v>
          </cell>
          <cell r="AJ315">
            <v>81.262921000000006</v>
          </cell>
          <cell r="AK315">
            <v>1847.4523750000001</v>
          </cell>
          <cell r="AL315">
            <v>23.638649999999998</v>
          </cell>
          <cell r="AM315">
            <v>62.157819000000003</v>
          </cell>
          <cell r="AN315">
            <v>61209.508771000001</v>
          </cell>
          <cell r="AO315">
            <v>60435.563971000003</v>
          </cell>
          <cell r="AP315">
            <v>1.211328</v>
          </cell>
          <cell r="AQ315">
            <v>10.006342</v>
          </cell>
          <cell r="AR315">
            <v>384.57966399999998</v>
          </cell>
          <cell r="AS315">
            <v>383.94523400000003</v>
          </cell>
          <cell r="AT315">
            <v>208.65695500000001</v>
          </cell>
          <cell r="AU315">
            <v>2348.0387340000002</v>
          </cell>
          <cell r="AV315">
            <v>520.038816</v>
          </cell>
          <cell r="AW315">
            <v>128.590934</v>
          </cell>
          <cell r="AX315">
            <v>0.28699999999999998</v>
          </cell>
          <cell r="AY315">
            <v>294.34603900000002</v>
          </cell>
          <cell r="AZ315">
            <v>112.544768</v>
          </cell>
          <cell r="BA315">
            <v>75499.937748000011</v>
          </cell>
          <cell r="BB315" t="str">
            <v/>
          </cell>
          <cell r="BC315">
            <v>2593.6774370000003</v>
          </cell>
          <cell r="BD315">
            <v>31005.434313999998</v>
          </cell>
          <cell r="BE315">
            <v>3689.4879959999998</v>
          </cell>
          <cell r="BF315">
            <v>19576.765340999998</v>
          </cell>
          <cell r="BG315">
            <v>97242.060727000004</v>
          </cell>
          <cell r="BH315">
            <v>58603.709130999996</v>
          </cell>
          <cell r="BI315">
            <v>12981.710910999998</v>
          </cell>
          <cell r="BJ315">
            <v>200.69286499999998</v>
          </cell>
          <cell r="BK315">
            <v>1741.8942299999999</v>
          </cell>
          <cell r="BL315">
            <v>9102.4954929999985</v>
          </cell>
          <cell r="BM315">
            <v>7230.480826</v>
          </cell>
          <cell r="BN315">
            <v>1187.0437429999999</v>
          </cell>
          <cell r="BO315">
            <v>2991.2527120000004</v>
          </cell>
          <cell r="BP315">
            <v>29.763241999999998</v>
          </cell>
          <cell r="BQ315">
            <v>30299.911432000001</v>
          </cell>
          <cell r="BR315">
            <v>56023.162987999996</v>
          </cell>
          <cell r="BS315">
            <v>34506.370307999998</v>
          </cell>
          <cell r="BT315">
            <v>4143.0242930000004</v>
          </cell>
          <cell r="BU315">
            <v>303.20487700000001</v>
          </cell>
          <cell r="BV315">
            <v>4456.4623169999995</v>
          </cell>
          <cell r="BW315">
            <v>4.1340020000000006</v>
          </cell>
          <cell r="BX315">
            <v>377912.73918499995</v>
          </cell>
          <cell r="BY315" t="str">
            <v/>
          </cell>
          <cell r="BZ315">
            <v>1138.5477500000002</v>
          </cell>
          <cell r="CA315">
            <v>17482.342251999999</v>
          </cell>
          <cell r="CB315">
            <v>11966.204535000001</v>
          </cell>
          <cell r="CC315">
            <v>1726.433374</v>
          </cell>
          <cell r="CD315">
            <v>3568.5642200000002</v>
          </cell>
          <cell r="CE315">
            <v>107.077147</v>
          </cell>
          <cell r="CF315">
            <v>794.88569400000006</v>
          </cell>
          <cell r="CG315">
            <v>186.56580400000001</v>
          </cell>
          <cell r="CH315">
            <v>2558.321265</v>
          </cell>
          <cell r="CI315">
            <v>29.689968</v>
          </cell>
          <cell r="CJ315">
            <v>117.212309</v>
          </cell>
          <cell r="CK315">
            <v>111825.10888499999</v>
          </cell>
          <cell r="CL315">
            <v>110515.15545000001</v>
          </cell>
          <cell r="CM315">
            <v>1.711328</v>
          </cell>
          <cell r="CN315">
            <v>23.339850999999999</v>
          </cell>
          <cell r="CO315">
            <v>896.782781</v>
          </cell>
          <cell r="CP315">
            <v>895.347351</v>
          </cell>
          <cell r="CQ315">
            <v>448.889295</v>
          </cell>
          <cell r="CR315">
            <v>3869.6575060000005</v>
          </cell>
          <cell r="CS315">
            <v>855.94889599999999</v>
          </cell>
          <cell r="CT315">
            <v>200.833765</v>
          </cell>
          <cell r="CU315">
            <v>0.28699999999999998</v>
          </cell>
          <cell r="CV315">
            <v>315.78827699999999</v>
          </cell>
          <cell r="CW315">
            <v>191.944639</v>
          </cell>
          <cell r="CX315">
            <v>146339.93200600002</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Y315">
            <v>34</v>
          </cell>
        </row>
        <row r="316">
          <cell r="F316">
            <v>39338.125</v>
          </cell>
          <cell r="G316">
            <v>1551.661654</v>
          </cell>
          <cell r="H316">
            <v>13695.353373</v>
          </cell>
          <cell r="I316">
            <v>3203.2287299999998</v>
          </cell>
          <cell r="J316">
            <v>10718.085714999999</v>
          </cell>
          <cell r="K316">
            <v>49589.549034999996</v>
          </cell>
          <cell r="L316">
            <v>16223.0643</v>
          </cell>
          <cell r="M316">
            <v>7324.5784750000003</v>
          </cell>
          <cell r="N316">
            <v>159.79128700000001</v>
          </cell>
          <cell r="O316">
            <v>660.52977599999997</v>
          </cell>
          <cell r="P316">
            <v>4953.7739060000004</v>
          </cell>
          <cell r="Q316">
            <v>3503.4621579999998</v>
          </cell>
          <cell r="R316">
            <v>650.43604200000004</v>
          </cell>
          <cell r="S316">
            <v>1567.654049</v>
          </cell>
          <cell r="T316">
            <v>15.472791000000001</v>
          </cell>
          <cell r="U316">
            <v>12654.958849000001</v>
          </cell>
          <cell r="V316">
            <v>39494.311153000002</v>
          </cell>
          <cell r="W316">
            <v>16071.105103</v>
          </cell>
          <cell r="X316">
            <v>1958.882239</v>
          </cell>
          <cell r="Y316">
            <v>52.460895999999998</v>
          </cell>
          <cell r="Z316">
            <v>1655.854495</v>
          </cell>
          <cell r="AA316">
            <v>0.89651700000000001</v>
          </cell>
          <cell r="AB316">
            <v>185705.11054299999</v>
          </cell>
          <cell r="AC316">
            <v>430.10219999999998</v>
          </cell>
          <cell r="AD316">
            <v>10029.822914</v>
          </cell>
          <cell r="AE316">
            <v>8601.9996919999994</v>
          </cell>
          <cell r="AF316">
            <v>808.67313799999999</v>
          </cell>
          <cell r="AG316">
            <v>2080.9145290000001</v>
          </cell>
          <cell r="AH316">
            <v>60.862828</v>
          </cell>
          <cell r="AI316">
            <v>445.320382</v>
          </cell>
          <cell r="AJ316">
            <v>161.15356600000001</v>
          </cell>
          <cell r="AK316">
            <v>854.84902199999999</v>
          </cell>
          <cell r="AL316">
            <v>6.1203269999999996</v>
          </cell>
          <cell r="AM316">
            <v>52.61065</v>
          </cell>
          <cell r="AN316">
            <v>18565.201865999999</v>
          </cell>
          <cell r="AO316">
            <v>17696.240022999998</v>
          </cell>
          <cell r="AP316">
            <v>3.5686179999999998</v>
          </cell>
          <cell r="AQ316">
            <v>46.661566999999998</v>
          </cell>
          <cell r="AR316">
            <v>331.27149800000001</v>
          </cell>
          <cell r="AS316">
            <v>330.74949800000002</v>
          </cell>
          <cell r="AT316">
            <v>294.95827800000001</v>
          </cell>
          <cell r="AU316">
            <v>2154.8036069999998</v>
          </cell>
          <cell r="AV316">
            <v>2452.6784069999999</v>
          </cell>
          <cell r="AW316">
            <v>49.922713999999999</v>
          </cell>
          <cell r="AX316">
            <v>0</v>
          </cell>
          <cell r="AY316">
            <v>482.36564900000002</v>
          </cell>
          <cell r="AZ316">
            <v>93.257833000000005</v>
          </cell>
          <cell r="BA316">
            <v>39405.119593000003</v>
          </cell>
          <cell r="BB316" t="str">
            <v/>
          </cell>
          <cell r="BC316">
            <v>4145.3390909999998</v>
          </cell>
          <cell r="BD316">
            <v>44700.787686999996</v>
          </cell>
          <cell r="BE316">
            <v>6892.7167259999997</v>
          </cell>
          <cell r="BF316">
            <v>30294.851056</v>
          </cell>
          <cell r="BG316">
            <v>146831.60976200001</v>
          </cell>
          <cell r="BH316">
            <v>74826.773430999994</v>
          </cell>
          <cell r="BI316">
            <v>20306.289385999997</v>
          </cell>
          <cell r="BJ316">
            <v>360.48415199999999</v>
          </cell>
          <cell r="BK316">
            <v>2402.4240059999997</v>
          </cell>
          <cell r="BL316">
            <v>14056.269398999999</v>
          </cell>
          <cell r="BM316">
            <v>10733.942983999999</v>
          </cell>
          <cell r="BN316">
            <v>1837.479785</v>
          </cell>
          <cell r="BO316">
            <v>4558.9067610000002</v>
          </cell>
          <cell r="BP316">
            <v>45.236032999999999</v>
          </cell>
          <cell r="BQ316">
            <v>42954.870281000003</v>
          </cell>
          <cell r="BR316">
            <v>95517.474140999999</v>
          </cell>
          <cell r="BS316">
            <v>50577.475410999999</v>
          </cell>
          <cell r="BT316">
            <v>6101.9065320000009</v>
          </cell>
          <cell r="BU316">
            <v>355.665773</v>
          </cell>
          <cell r="BV316">
            <v>6112.3168119999991</v>
          </cell>
          <cell r="BW316">
            <v>5.0305190000000009</v>
          </cell>
          <cell r="BX316">
            <v>563617.84972799988</v>
          </cell>
          <cell r="BY316" t="str">
            <v/>
          </cell>
          <cell r="BZ316">
            <v>1568.6499500000002</v>
          </cell>
          <cell r="CA316">
            <v>27512.165165999999</v>
          </cell>
          <cell r="CB316">
            <v>20568.204227000002</v>
          </cell>
          <cell r="CC316">
            <v>2535.1065119999998</v>
          </cell>
          <cell r="CD316">
            <v>5649.4787489999999</v>
          </cell>
          <cell r="CE316">
            <v>167.939975</v>
          </cell>
          <cell r="CF316">
            <v>1240.2060759999999</v>
          </cell>
          <cell r="CG316">
            <v>347.71937000000003</v>
          </cell>
          <cell r="CH316">
            <v>3413.1702869999999</v>
          </cell>
          <cell r="CI316">
            <v>35.810294999999996</v>
          </cell>
          <cell r="CJ316">
            <v>169.822959</v>
          </cell>
          <cell r="CK316">
            <v>130390.310751</v>
          </cell>
          <cell r="CL316">
            <v>128211.39547300001</v>
          </cell>
          <cell r="CM316">
            <v>5.2799459999999998</v>
          </cell>
          <cell r="CN316">
            <v>70.001418000000001</v>
          </cell>
          <cell r="CO316">
            <v>1228.054279</v>
          </cell>
          <cell r="CP316">
            <v>1226.096849</v>
          </cell>
          <cell r="CQ316">
            <v>743.84757300000001</v>
          </cell>
          <cell r="CR316">
            <v>6024.4611130000003</v>
          </cell>
          <cell r="CS316">
            <v>3308.6273029999998</v>
          </cell>
          <cell r="CT316">
            <v>250.75647900000001</v>
          </cell>
          <cell r="CU316">
            <v>0.28699999999999998</v>
          </cell>
          <cell r="CV316">
            <v>798.15392599999996</v>
          </cell>
          <cell r="CW316">
            <v>285.202472</v>
          </cell>
          <cell r="CX316">
            <v>185745.05159900003</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Y316">
            <v>35</v>
          </cell>
        </row>
        <row r="317">
          <cell r="F317">
            <v>39429.4375</v>
          </cell>
          <cell r="G317">
            <v>2602.8185330000001</v>
          </cell>
          <cell r="H317">
            <v>16306.70968</v>
          </cell>
          <cell r="I317">
            <v>2661.6899370000001</v>
          </cell>
          <cell r="J317">
            <v>12417.345601999999</v>
          </cell>
          <cell r="K317">
            <v>49198.912976</v>
          </cell>
          <cell r="L317">
            <v>18309.313023999999</v>
          </cell>
          <cell r="M317">
            <v>7597.2986540000002</v>
          </cell>
          <cell r="N317">
            <v>99.889081000000004</v>
          </cell>
          <cell r="O317">
            <v>793.95502499999998</v>
          </cell>
          <cell r="P317">
            <v>4120.4091749999998</v>
          </cell>
          <cell r="Q317">
            <v>4281.8857349999998</v>
          </cell>
          <cell r="R317">
            <v>946.64534600000002</v>
          </cell>
          <cell r="S317">
            <v>1403.6265060000001</v>
          </cell>
          <cell r="T317">
            <v>17.354116000000001</v>
          </cell>
          <cell r="U317">
            <v>15079.466645</v>
          </cell>
          <cell r="V317">
            <v>39578.191782000002</v>
          </cell>
          <cell r="W317">
            <v>18193.158027000001</v>
          </cell>
          <cell r="X317">
            <v>2073.3855039999999</v>
          </cell>
          <cell r="Y317">
            <v>66.231881999999999</v>
          </cell>
          <cell r="Z317">
            <v>2021.1340580000001</v>
          </cell>
          <cell r="AA317">
            <v>4.34084</v>
          </cell>
          <cell r="AB317">
            <v>197773.762128</v>
          </cell>
          <cell r="AC317">
            <v>915.06862999999998</v>
          </cell>
          <cell r="AD317">
            <v>9002.2505120000005</v>
          </cell>
          <cell r="AE317">
            <v>8087.828563</v>
          </cell>
          <cell r="AF317">
            <v>171.26612499999999</v>
          </cell>
          <cell r="AG317">
            <v>1376.3775169999999</v>
          </cell>
          <cell r="AH317">
            <v>59.57246</v>
          </cell>
          <cell r="AI317">
            <v>188.419241</v>
          </cell>
          <cell r="AJ317">
            <v>3709.9843799999999</v>
          </cell>
          <cell r="AK317">
            <v>943.36873000000003</v>
          </cell>
          <cell r="AL317">
            <v>18.555052</v>
          </cell>
          <cell r="AM317">
            <v>408.56075800000002</v>
          </cell>
          <cell r="AN317">
            <v>17748.043260999999</v>
          </cell>
          <cell r="AO317">
            <v>16421.773090999999</v>
          </cell>
          <cell r="AP317">
            <v>0.27679999999999999</v>
          </cell>
          <cell r="AQ317">
            <v>3.3466</v>
          </cell>
          <cell r="AR317">
            <v>3390.3399039999999</v>
          </cell>
          <cell r="AS317">
            <v>3389.1399040000001</v>
          </cell>
          <cell r="AT317">
            <v>2121.7788460000002</v>
          </cell>
          <cell r="AU317">
            <v>1194.5833970000001</v>
          </cell>
          <cell r="AV317">
            <v>205.433446</v>
          </cell>
          <cell r="AW317">
            <v>28.046023000000002</v>
          </cell>
          <cell r="AX317">
            <v>0</v>
          </cell>
          <cell r="AY317">
            <v>184.24482900000001</v>
          </cell>
          <cell r="AZ317">
            <v>86.215526999999994</v>
          </cell>
          <cell r="BA317">
            <v>41755.732038000002</v>
          </cell>
          <cell r="BB317" t="str">
            <v/>
          </cell>
          <cell r="BC317">
            <v>6748.1576239999995</v>
          </cell>
          <cell r="BD317">
            <v>61007.497366999996</v>
          </cell>
          <cell r="BE317">
            <v>9554.4066629999998</v>
          </cell>
          <cell r="BF317">
            <v>42712.196658000001</v>
          </cell>
          <cell r="BG317">
            <v>196030.522738</v>
          </cell>
          <cell r="BH317">
            <v>93136.086454999997</v>
          </cell>
          <cell r="BI317">
            <v>27903.588039999995</v>
          </cell>
          <cell r="BJ317">
            <v>460.37323300000003</v>
          </cell>
          <cell r="BK317">
            <v>3196.3790309999995</v>
          </cell>
          <cell r="BL317">
            <v>18176.678573999998</v>
          </cell>
          <cell r="BM317">
            <v>15015.828718999999</v>
          </cell>
          <cell r="BN317">
            <v>2784.1251309999998</v>
          </cell>
          <cell r="BO317">
            <v>5962.5332670000007</v>
          </cell>
          <cell r="BP317">
            <v>62.590148999999997</v>
          </cell>
          <cell r="BQ317">
            <v>58034.336926000004</v>
          </cell>
          <cell r="BR317">
            <v>135095.66592299999</v>
          </cell>
          <cell r="BS317">
            <v>68770.633438000004</v>
          </cell>
          <cell r="BT317">
            <v>8175.2920360000007</v>
          </cell>
          <cell r="BU317">
            <v>421.89765499999999</v>
          </cell>
          <cell r="BV317">
            <v>8133.4508699999988</v>
          </cell>
          <cell r="BW317">
            <v>9.3713590000000018</v>
          </cell>
          <cell r="BX317">
            <v>761391.61185599992</v>
          </cell>
          <cell r="BY317" t="str">
            <v/>
          </cell>
          <cell r="BZ317">
            <v>2483.7185800000002</v>
          </cell>
          <cell r="CA317">
            <v>36514.415677999998</v>
          </cell>
          <cell r="CB317">
            <v>28656.032790000001</v>
          </cell>
          <cell r="CC317">
            <v>2706.3726369999999</v>
          </cell>
          <cell r="CD317">
            <v>7025.8562659999998</v>
          </cell>
          <cell r="CE317">
            <v>227.51243500000001</v>
          </cell>
          <cell r="CF317">
            <v>1428.625317</v>
          </cell>
          <cell r="CG317">
            <v>4057.7037499999997</v>
          </cell>
          <cell r="CH317">
            <v>4356.5390170000001</v>
          </cell>
          <cell r="CI317">
            <v>54.365347</v>
          </cell>
          <cell r="CJ317">
            <v>578.38371700000005</v>
          </cell>
          <cell r="CK317">
            <v>148138.354012</v>
          </cell>
          <cell r="CL317">
            <v>144633.16856400002</v>
          </cell>
          <cell r="CM317">
            <v>5.5567459999999995</v>
          </cell>
          <cell r="CN317">
            <v>73.348017999999996</v>
          </cell>
          <cell r="CO317">
            <v>4618.3941830000003</v>
          </cell>
          <cell r="CP317">
            <v>4615.2367530000001</v>
          </cell>
          <cell r="CQ317">
            <v>2865.6264190000002</v>
          </cell>
          <cell r="CR317">
            <v>7219.0445100000006</v>
          </cell>
          <cell r="CS317">
            <v>3514.0607489999998</v>
          </cell>
          <cell r="CT317">
            <v>278.802502</v>
          </cell>
          <cell r="CU317">
            <v>0.28699999999999998</v>
          </cell>
          <cell r="CV317">
            <v>982.39875499999994</v>
          </cell>
          <cell r="CW317">
            <v>371.41799900000001</v>
          </cell>
          <cell r="CX317">
            <v>227500.78363700002</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v>29.879602046368049</v>
          </cell>
          <cell r="DM317" t="str">
            <v/>
          </cell>
          <cell r="DN317" t="str">
            <v/>
          </cell>
          <cell r="DO317" t="str">
            <v/>
          </cell>
          <cell r="DP317" t="str">
            <v/>
          </cell>
          <cell r="DQ317" t="str">
            <v/>
          </cell>
          <cell r="DR317" t="str">
            <v/>
          </cell>
          <cell r="DS317" t="str">
            <v/>
          </cell>
          <cell r="DT317" t="str">
            <v/>
          </cell>
          <cell r="DU317" t="str">
            <v/>
          </cell>
          <cell r="DV317" t="str">
            <v/>
          </cell>
          <cell r="DY317">
            <v>36</v>
          </cell>
        </row>
        <row r="318">
          <cell r="F318">
            <v>39520.75</v>
          </cell>
          <cell r="G318">
            <v>2024.3052720000001</v>
          </cell>
          <cell r="H318">
            <v>14741.639904</v>
          </cell>
          <cell r="I318">
            <v>2753.4838180000002</v>
          </cell>
          <cell r="J318">
            <v>12425.392717000001</v>
          </cell>
          <cell r="K318">
            <v>47624.497545999999</v>
          </cell>
          <cell r="L318">
            <v>27670.244755</v>
          </cell>
          <cell r="M318">
            <v>6495.7989200000002</v>
          </cell>
          <cell r="N318">
            <v>106.755432</v>
          </cell>
          <cell r="O318">
            <v>1053.836924</v>
          </cell>
          <cell r="P318">
            <v>4896.8463879999999</v>
          </cell>
          <cell r="Q318">
            <v>4501.8181539999996</v>
          </cell>
          <cell r="R318">
            <v>705.402963</v>
          </cell>
          <cell r="S318">
            <v>1651.7428359999999</v>
          </cell>
          <cell r="T318">
            <v>29.294611</v>
          </cell>
          <cell r="U318">
            <v>14880.830158000001</v>
          </cell>
          <cell r="V318">
            <v>28246.298013</v>
          </cell>
          <cell r="W318">
            <v>19790.454182000001</v>
          </cell>
          <cell r="X318">
            <v>2311.5850249999999</v>
          </cell>
          <cell r="Y318">
            <v>186.51663099999999</v>
          </cell>
          <cell r="Z318">
            <v>1901.623006</v>
          </cell>
          <cell r="AA318">
            <v>5.3874180000000003</v>
          </cell>
          <cell r="AB318">
            <v>194003.75467300005</v>
          </cell>
          <cell r="AC318">
            <v>395.24340000000001</v>
          </cell>
          <cell r="AD318">
            <v>14935.190154</v>
          </cell>
          <cell r="AE318">
            <v>9722.3528819999992</v>
          </cell>
          <cell r="AF318">
            <v>747.26559999999995</v>
          </cell>
          <cell r="AG318">
            <v>1735.318706</v>
          </cell>
          <cell r="AH318">
            <v>67.385838000000007</v>
          </cell>
          <cell r="AI318">
            <v>364.24866100000003</v>
          </cell>
          <cell r="AJ318">
            <v>149.53462500000001</v>
          </cell>
          <cell r="AK318">
            <v>1522.7261040000001</v>
          </cell>
          <cell r="AL318">
            <v>6.1298399999999997</v>
          </cell>
          <cell r="AM318">
            <v>9.0872759999999992</v>
          </cell>
          <cell r="AN318">
            <v>51154.155369</v>
          </cell>
          <cell r="AO318">
            <v>50778.956827000002</v>
          </cell>
          <cell r="AP318">
            <v>7.0919999999999996</v>
          </cell>
          <cell r="AQ318">
            <v>12.79</v>
          </cell>
          <cell r="AR318">
            <v>5734.6496699999998</v>
          </cell>
          <cell r="AS318">
            <v>5733.4476699999996</v>
          </cell>
          <cell r="AT318">
            <v>182.99722</v>
          </cell>
          <cell r="AU318">
            <v>768.73100799999997</v>
          </cell>
          <cell r="AV318">
            <v>511.25583499999999</v>
          </cell>
          <cell r="AW318">
            <v>65.704344000000006</v>
          </cell>
          <cell r="AX318">
            <v>0.20119999999999999</v>
          </cell>
          <cell r="AY318">
            <v>195.69055499999999</v>
          </cell>
          <cell r="AZ318">
            <v>79.754828000000003</v>
          </cell>
          <cell r="BA318">
            <v>78645.152233000001</v>
          </cell>
          <cell r="BB318" t="str">
            <v/>
          </cell>
          <cell r="BC318">
            <v>2024.3052720000001</v>
          </cell>
          <cell r="BD318">
            <v>14741.639904</v>
          </cell>
          <cell r="BE318">
            <v>2753.4838180000002</v>
          </cell>
          <cell r="BF318">
            <v>12425.392717000001</v>
          </cell>
          <cell r="BG318">
            <v>47624.497545999999</v>
          </cell>
          <cell r="BH318">
            <v>27670.244755</v>
          </cell>
          <cell r="BI318">
            <v>6495.7989200000002</v>
          </cell>
          <cell r="BJ318">
            <v>106.755432</v>
          </cell>
          <cell r="BK318">
            <v>1053.836924</v>
          </cell>
          <cell r="BL318">
            <v>4896.8463879999999</v>
          </cell>
          <cell r="BM318">
            <v>4501.8181539999996</v>
          </cell>
          <cell r="BN318">
            <v>705.402963</v>
          </cell>
          <cell r="BO318">
            <v>1651.7428359999999</v>
          </cell>
          <cell r="BP318">
            <v>29.294611</v>
          </cell>
          <cell r="BQ318">
            <v>14880.830158000001</v>
          </cell>
          <cell r="BR318">
            <v>28246.298013</v>
          </cell>
          <cell r="BS318">
            <v>19790.454182000001</v>
          </cell>
          <cell r="BT318">
            <v>2311.5850249999999</v>
          </cell>
          <cell r="BU318">
            <v>186.51663099999999</v>
          </cell>
          <cell r="BV318">
            <v>1901.623006</v>
          </cell>
          <cell r="BW318">
            <v>5.3874180000000003</v>
          </cell>
          <cell r="BX318">
            <v>194003.75467300005</v>
          </cell>
          <cell r="BY318" t="str">
            <v/>
          </cell>
          <cell r="BZ318">
            <v>395.24340000000001</v>
          </cell>
          <cell r="CA318">
            <v>14935.190154</v>
          </cell>
          <cell r="CB318">
            <v>9722.3528819999992</v>
          </cell>
          <cell r="CC318">
            <v>747.26559999999995</v>
          </cell>
          <cell r="CD318">
            <v>1735.318706</v>
          </cell>
          <cell r="CE318">
            <v>67.385838000000007</v>
          </cell>
          <cell r="CF318">
            <v>364.24866100000003</v>
          </cell>
          <cell r="CG318">
            <v>149.53462500000001</v>
          </cell>
          <cell r="CH318">
            <v>1522.7261040000001</v>
          </cell>
          <cell r="CI318">
            <v>6.1298399999999997</v>
          </cell>
          <cell r="CJ318">
            <v>9.0872759999999992</v>
          </cell>
          <cell r="CK318">
            <v>51154.155369</v>
          </cell>
          <cell r="CL318">
            <v>50778.956827000002</v>
          </cell>
          <cell r="CM318">
            <v>7.0919999999999996</v>
          </cell>
          <cell r="CN318">
            <v>12.79</v>
          </cell>
          <cell r="CO318">
            <v>5734.6496699999998</v>
          </cell>
          <cell r="CP318">
            <v>5733.4476699999996</v>
          </cell>
          <cell r="CQ318">
            <v>182.99722</v>
          </cell>
          <cell r="CR318">
            <v>768.73100799999997</v>
          </cell>
          <cell r="CS318">
            <v>511.25583499999999</v>
          </cell>
          <cell r="CT318">
            <v>65.704344000000006</v>
          </cell>
          <cell r="CU318">
            <v>0.20119999999999999</v>
          </cell>
          <cell r="CV318">
            <v>195.69055499999999</v>
          </cell>
          <cell r="CW318">
            <v>79.754828000000003</v>
          </cell>
          <cell r="CX318">
            <v>78645.152233000001</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Y318">
            <v>37</v>
          </cell>
        </row>
        <row r="319">
          <cell r="F319">
            <v>39612.0625</v>
          </cell>
          <cell r="G319">
            <v>3077.3580529999999</v>
          </cell>
          <cell r="H319">
            <v>17845.939816999999</v>
          </cell>
          <cell r="I319">
            <v>2162.7244089999999</v>
          </cell>
          <cell r="J319">
            <v>13471.995140000001</v>
          </cell>
          <cell r="K319">
            <v>62051.575191000004</v>
          </cell>
          <cell r="L319">
            <v>30547.743094000001</v>
          </cell>
          <cell r="M319">
            <v>8774.9881270000005</v>
          </cell>
          <cell r="N319">
            <v>150.35407000000001</v>
          </cell>
          <cell r="O319">
            <v>1212.8276000000001</v>
          </cell>
          <cell r="P319">
            <v>5052.7546339999999</v>
          </cell>
          <cell r="Q319">
            <v>6898.4229919999998</v>
          </cell>
          <cell r="R319">
            <v>1102.621214</v>
          </cell>
          <cell r="S319">
            <v>2039.4367500000001</v>
          </cell>
          <cell r="T319">
            <v>23.821843000000001</v>
          </cell>
          <cell r="U319">
            <v>18945.043709000001</v>
          </cell>
          <cell r="V319">
            <v>30036.457557000002</v>
          </cell>
          <cell r="W319">
            <v>20212.023612000001</v>
          </cell>
          <cell r="X319">
            <v>2977.723841</v>
          </cell>
          <cell r="Y319">
            <v>146.465102</v>
          </cell>
          <cell r="Z319">
            <v>1759.226007</v>
          </cell>
          <cell r="AA319">
            <v>2.0856979999999998</v>
          </cell>
          <cell r="AB319">
            <v>228491.58846</v>
          </cell>
          <cell r="AC319">
            <v>2470.1439999999998</v>
          </cell>
          <cell r="AD319">
            <v>4355.5205340000002</v>
          </cell>
          <cell r="AE319">
            <v>1505.8607549999999</v>
          </cell>
          <cell r="AF319">
            <v>81.841686999999993</v>
          </cell>
          <cell r="AG319">
            <v>1956.203859</v>
          </cell>
          <cell r="AH319">
            <v>72.213459</v>
          </cell>
          <cell r="AI319">
            <v>868.45793600000002</v>
          </cell>
          <cell r="AJ319">
            <v>57.226484999999997</v>
          </cell>
          <cell r="AK319">
            <v>1549.638895</v>
          </cell>
          <cell r="AL319">
            <v>7.0507580000000001</v>
          </cell>
          <cell r="AM319">
            <v>61.789876</v>
          </cell>
          <cell r="AN319">
            <v>22652.690414000001</v>
          </cell>
          <cell r="AO319">
            <v>22089.088823999999</v>
          </cell>
          <cell r="AP319">
            <v>5.40625</v>
          </cell>
          <cell r="AQ319">
            <v>22.880299999999998</v>
          </cell>
          <cell r="AR319">
            <v>14092.997742</v>
          </cell>
          <cell r="AS319">
            <v>14090.775925</v>
          </cell>
          <cell r="AT319">
            <v>615.02730599999995</v>
          </cell>
          <cell r="AU319">
            <v>1046.159664</v>
          </cell>
          <cell r="AV319">
            <v>1222.3353</v>
          </cell>
          <cell r="AW319">
            <v>44.689433000000001</v>
          </cell>
          <cell r="AX319">
            <v>0</v>
          </cell>
          <cell r="AY319">
            <v>199.70004800000001</v>
          </cell>
          <cell r="AZ319">
            <v>93.855350000000001</v>
          </cell>
          <cell r="BA319">
            <v>51475.829295999989</v>
          </cell>
          <cell r="BB319" t="str">
            <v/>
          </cell>
          <cell r="BC319">
            <v>5101.6633249999995</v>
          </cell>
          <cell r="BD319">
            <v>32587.579720999998</v>
          </cell>
          <cell r="BE319">
            <v>4916.2082270000001</v>
          </cell>
          <cell r="BF319">
            <v>25897.387857000002</v>
          </cell>
          <cell r="BG319">
            <v>109676.07273700001</v>
          </cell>
          <cell r="BH319">
            <v>58217.987848999997</v>
          </cell>
          <cell r="BI319">
            <v>15270.787047000002</v>
          </cell>
          <cell r="BJ319">
            <v>257.10950200000002</v>
          </cell>
          <cell r="BK319">
            <v>2266.6645239999998</v>
          </cell>
          <cell r="BL319">
            <v>9949.6010219999989</v>
          </cell>
          <cell r="BM319">
            <v>11400.241146</v>
          </cell>
          <cell r="BN319">
            <v>1808.024177</v>
          </cell>
          <cell r="BO319">
            <v>3691.1795860000002</v>
          </cell>
          <cell r="BP319">
            <v>53.116454000000004</v>
          </cell>
          <cell r="BQ319">
            <v>33825.873867000002</v>
          </cell>
          <cell r="BR319">
            <v>58282.755570000001</v>
          </cell>
          <cell r="BS319">
            <v>40002.477794000006</v>
          </cell>
          <cell r="BT319">
            <v>5289.3088659999994</v>
          </cell>
          <cell r="BU319">
            <v>332.98173299999996</v>
          </cell>
          <cell r="BV319">
            <v>3660.849013</v>
          </cell>
          <cell r="BW319">
            <v>7.4731160000000001</v>
          </cell>
          <cell r="BX319">
            <v>422495.34313300007</v>
          </cell>
          <cell r="BY319" t="str">
            <v/>
          </cell>
          <cell r="BZ319">
            <v>2865.3873999999996</v>
          </cell>
          <cell r="CA319">
            <v>19290.710687999999</v>
          </cell>
          <cell r="CB319">
            <v>11228.213636999999</v>
          </cell>
          <cell r="CC319">
            <v>829.10728699999993</v>
          </cell>
          <cell r="CD319">
            <v>3691.5225650000002</v>
          </cell>
          <cell r="CE319">
            <v>139.59929700000001</v>
          </cell>
          <cell r="CF319">
            <v>1232.7065970000001</v>
          </cell>
          <cell r="CG319">
            <v>206.76111</v>
          </cell>
          <cell r="CH319">
            <v>3072.3649990000004</v>
          </cell>
          <cell r="CI319">
            <v>13.180598</v>
          </cell>
          <cell r="CJ319">
            <v>70.877151999999995</v>
          </cell>
          <cell r="CK319">
            <v>73806.845782999997</v>
          </cell>
          <cell r="CL319">
            <v>72868.045650999993</v>
          </cell>
          <cell r="CM319">
            <v>12.498249999999999</v>
          </cell>
          <cell r="CN319">
            <v>35.670299999999997</v>
          </cell>
          <cell r="CO319">
            <v>19827.647411999998</v>
          </cell>
          <cell r="CP319">
            <v>19824.223594999999</v>
          </cell>
          <cell r="CQ319">
            <v>798.02452599999992</v>
          </cell>
          <cell r="CR319">
            <v>1814.890672</v>
          </cell>
          <cell r="CS319">
            <v>1733.5911349999999</v>
          </cell>
          <cell r="CT319">
            <v>110.393777</v>
          </cell>
          <cell r="CU319">
            <v>0.20119999999999999</v>
          </cell>
          <cell r="CV319">
            <v>395.390603</v>
          </cell>
          <cell r="CW319">
            <v>173.61017800000002</v>
          </cell>
          <cell r="CX319">
            <v>130120.98152899998</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Y319">
            <v>38</v>
          </cell>
        </row>
        <row r="320">
          <cell r="F320">
            <v>39703.375</v>
          </cell>
          <cell r="G320">
            <v>2591.2905639999999</v>
          </cell>
          <cell r="H320">
            <v>21827.364637999999</v>
          </cell>
          <cell r="I320">
            <v>2655.6432020000002</v>
          </cell>
          <cell r="J320">
            <v>12356.403957</v>
          </cell>
          <cell r="K320">
            <v>61718.774371</v>
          </cell>
          <cell r="L320">
            <v>29846.134912000001</v>
          </cell>
          <cell r="M320">
            <v>6201.7057269999996</v>
          </cell>
          <cell r="N320">
            <v>209.80628100000001</v>
          </cell>
          <cell r="O320">
            <v>838.74444100000005</v>
          </cell>
          <cell r="P320">
            <v>5396.4864449999995</v>
          </cell>
          <cell r="Q320">
            <v>5731.5090369999998</v>
          </cell>
          <cell r="R320">
            <v>1043.2122670000001</v>
          </cell>
          <cell r="S320">
            <v>2021.879177</v>
          </cell>
          <cell r="T320">
            <v>18.578644000000001</v>
          </cell>
          <cell r="U320">
            <v>19247.511062000001</v>
          </cell>
          <cell r="V320">
            <v>35227.760893999999</v>
          </cell>
          <cell r="W320">
            <v>18531.504634000001</v>
          </cell>
          <cell r="X320">
            <v>1674.934863</v>
          </cell>
          <cell r="Y320">
            <v>45.873454000000002</v>
          </cell>
          <cell r="Z320">
            <v>2908.5284959999999</v>
          </cell>
          <cell r="AA320">
            <v>4.8866170000000002</v>
          </cell>
          <cell r="AB320">
            <v>230098.53368299999</v>
          </cell>
          <cell r="AC320">
            <v>2401.2849999999999</v>
          </cell>
          <cell r="AD320">
            <v>1609.471243</v>
          </cell>
          <cell r="AE320">
            <v>616.15227000000004</v>
          </cell>
          <cell r="AF320">
            <v>432.12508000000003</v>
          </cell>
          <cell r="AG320">
            <v>3299.4986140000001</v>
          </cell>
          <cell r="AH320">
            <v>67.684208999999996</v>
          </cell>
          <cell r="AI320">
            <v>217.31247099999999</v>
          </cell>
          <cell r="AJ320">
            <v>1444.0456939999999</v>
          </cell>
          <cell r="AK320">
            <v>670.330961</v>
          </cell>
          <cell r="AL320">
            <v>6.9411500000000004</v>
          </cell>
          <cell r="AM320">
            <v>16.585825</v>
          </cell>
          <cell r="AN320">
            <v>14181.143114</v>
          </cell>
          <cell r="AO320">
            <v>13151.701537000001</v>
          </cell>
          <cell r="AP320">
            <v>2.0801590000000001</v>
          </cell>
          <cell r="AQ320">
            <v>107.62516599999999</v>
          </cell>
          <cell r="AR320">
            <v>12135.451427</v>
          </cell>
          <cell r="AS320">
            <v>12135.451427</v>
          </cell>
          <cell r="AT320">
            <v>1262.3470400000001</v>
          </cell>
          <cell r="AU320">
            <v>1365.5098069999999</v>
          </cell>
          <cell r="AV320">
            <v>466.820357</v>
          </cell>
          <cell r="AW320">
            <v>39.343953999999997</v>
          </cell>
          <cell r="AX320">
            <v>0</v>
          </cell>
          <cell r="AY320">
            <v>433.15391199999999</v>
          </cell>
          <cell r="AZ320">
            <v>35.856701999999999</v>
          </cell>
          <cell r="BA320">
            <v>40194.611885000006</v>
          </cell>
          <cell r="BB320" t="str">
            <v/>
          </cell>
          <cell r="BC320">
            <v>7692.9538889999994</v>
          </cell>
          <cell r="BD320">
            <v>54414.944359000001</v>
          </cell>
          <cell r="BE320">
            <v>7571.8514290000003</v>
          </cell>
          <cell r="BF320">
            <v>38253.791814000004</v>
          </cell>
          <cell r="BG320">
            <v>171394.84710800002</v>
          </cell>
          <cell r="BH320">
            <v>88064.122761000006</v>
          </cell>
          <cell r="BI320">
            <v>21472.492774000002</v>
          </cell>
          <cell r="BJ320">
            <v>466.91578300000003</v>
          </cell>
          <cell r="BK320">
            <v>3105.4089649999996</v>
          </cell>
          <cell r="BL320">
            <v>15346.087466999998</v>
          </cell>
          <cell r="BM320">
            <v>17131.750183</v>
          </cell>
          <cell r="BN320">
            <v>2851.2364440000001</v>
          </cell>
          <cell r="BO320">
            <v>5713.058763</v>
          </cell>
          <cell r="BP320">
            <v>71.695098000000002</v>
          </cell>
          <cell r="BQ320">
            <v>53073.384929000007</v>
          </cell>
          <cell r="BR320">
            <v>93510.516464</v>
          </cell>
          <cell r="BS320">
            <v>58533.982428000003</v>
          </cell>
          <cell r="BT320">
            <v>6964.2437289999998</v>
          </cell>
          <cell r="BU320">
            <v>378.85518699999994</v>
          </cell>
          <cell r="BV320">
            <v>6569.3775089999999</v>
          </cell>
          <cell r="BW320">
            <v>12.359733</v>
          </cell>
          <cell r="BX320">
            <v>652593.87681600009</v>
          </cell>
          <cell r="BY320" t="str">
            <v/>
          </cell>
          <cell r="BZ320">
            <v>5266.6723999999995</v>
          </cell>
          <cell r="CA320">
            <v>20900.181930999999</v>
          </cell>
          <cell r="CB320">
            <v>11844.365906999999</v>
          </cell>
          <cell r="CC320">
            <v>1261.2323670000001</v>
          </cell>
          <cell r="CD320">
            <v>6991.0211790000003</v>
          </cell>
          <cell r="CE320">
            <v>207.28350599999999</v>
          </cell>
          <cell r="CF320">
            <v>1450.0190680000001</v>
          </cell>
          <cell r="CG320">
            <v>1650.8068039999998</v>
          </cell>
          <cell r="CH320">
            <v>3742.6959600000005</v>
          </cell>
          <cell r="CI320">
            <v>20.121748</v>
          </cell>
          <cell r="CJ320">
            <v>87.462976999999995</v>
          </cell>
          <cell r="CK320">
            <v>87987.988897000003</v>
          </cell>
          <cell r="CL320">
            <v>86019.747187999994</v>
          </cell>
          <cell r="CM320">
            <v>14.578408999999999</v>
          </cell>
          <cell r="CN320">
            <v>143.29546599999998</v>
          </cell>
          <cell r="CO320">
            <v>31963.098838999998</v>
          </cell>
          <cell r="CP320">
            <v>31959.675021999999</v>
          </cell>
          <cell r="CQ320">
            <v>2060.3715659999998</v>
          </cell>
          <cell r="CR320">
            <v>3180.4004789999999</v>
          </cell>
          <cell r="CS320">
            <v>2200.4114919999997</v>
          </cell>
          <cell r="CT320">
            <v>149.737731</v>
          </cell>
          <cell r="CU320">
            <v>0.20119999999999999</v>
          </cell>
          <cell r="CV320">
            <v>828.54451500000005</v>
          </cell>
          <cell r="CW320">
            <v>209.46688</v>
          </cell>
          <cell r="CX320">
            <v>170315.593414</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Y320">
            <v>39</v>
          </cell>
        </row>
        <row r="321">
          <cell r="F321">
            <v>39794.6875</v>
          </cell>
          <cell r="G321">
            <v>3175.3259069999999</v>
          </cell>
          <cell r="H321">
            <v>20131.603431</v>
          </cell>
          <cell r="I321">
            <v>2984.9989150000001</v>
          </cell>
          <cell r="J321">
            <v>12282.301305000001</v>
          </cell>
          <cell r="K321">
            <v>65233.596415</v>
          </cell>
          <cell r="L321">
            <v>22063.744882999999</v>
          </cell>
          <cell r="M321">
            <v>6939.3597339999997</v>
          </cell>
          <cell r="N321">
            <v>121.435581</v>
          </cell>
          <cell r="O321">
            <v>692.25277600000004</v>
          </cell>
          <cell r="P321">
            <v>4819.118974</v>
          </cell>
          <cell r="Q321">
            <v>6981.8517080000001</v>
          </cell>
          <cell r="R321">
            <v>1365.370134</v>
          </cell>
          <cell r="S321">
            <v>1779.1079339999999</v>
          </cell>
          <cell r="T321">
            <v>26.014472000000001</v>
          </cell>
          <cell r="U321">
            <v>27337.764005000001</v>
          </cell>
          <cell r="V321">
            <v>44630.519869999996</v>
          </cell>
          <cell r="W321">
            <v>23259.587402000001</v>
          </cell>
          <cell r="X321">
            <v>2387.004226</v>
          </cell>
          <cell r="Y321">
            <v>1789.295327</v>
          </cell>
          <cell r="Z321">
            <v>2233.1080550000001</v>
          </cell>
          <cell r="AA321">
            <v>6.6085140000000004</v>
          </cell>
          <cell r="AB321">
            <v>250239.969568</v>
          </cell>
          <cell r="AC321">
            <v>4466.9000720000004</v>
          </cell>
          <cell r="AD321">
            <v>8138.3156360000003</v>
          </cell>
          <cell r="AE321">
            <v>6583.6830630000004</v>
          </cell>
          <cell r="AF321">
            <v>1034.329168</v>
          </cell>
          <cell r="AG321">
            <v>2779.2414779999999</v>
          </cell>
          <cell r="AH321">
            <v>196.273044</v>
          </cell>
          <cell r="AI321">
            <v>169.330153</v>
          </cell>
          <cell r="AJ321">
            <v>79.874926000000002</v>
          </cell>
          <cell r="AK321">
            <v>761.07160699999997</v>
          </cell>
          <cell r="AL321">
            <v>8.5454410000000003</v>
          </cell>
          <cell r="AM321">
            <v>18.913381999999999</v>
          </cell>
          <cell r="AN321">
            <v>2837.6889940000001</v>
          </cell>
          <cell r="AO321">
            <v>1882.2202589999999</v>
          </cell>
          <cell r="AP321">
            <v>3.669</v>
          </cell>
          <cell r="AQ321">
            <v>42.293990000000001</v>
          </cell>
          <cell r="AR321">
            <v>23683.849928</v>
          </cell>
          <cell r="AS321">
            <v>23683.730277999999</v>
          </cell>
          <cell r="AT321">
            <v>1406.7142779999999</v>
          </cell>
          <cell r="AU321">
            <v>2198.7193860000002</v>
          </cell>
          <cell r="AV321">
            <v>2665.3085310000001</v>
          </cell>
          <cell r="AW321">
            <v>34.873688999999999</v>
          </cell>
          <cell r="AX321">
            <v>0</v>
          </cell>
          <cell r="AY321">
            <v>176.871422</v>
          </cell>
          <cell r="AZ321">
            <v>65.131861999999998</v>
          </cell>
          <cell r="BA321">
            <v>50767.915986999993</v>
          </cell>
          <cell r="BB321" t="str">
            <v/>
          </cell>
          <cell r="BC321">
            <v>10868.279795999999</v>
          </cell>
          <cell r="BD321">
            <v>74546.547789999997</v>
          </cell>
          <cell r="BE321">
            <v>10556.850344</v>
          </cell>
          <cell r="BF321">
            <v>50536.093119000005</v>
          </cell>
          <cell r="BG321">
            <v>236628.44352300002</v>
          </cell>
          <cell r="BH321">
            <v>110127.86764400001</v>
          </cell>
          <cell r="BI321">
            <v>28411.852508000004</v>
          </cell>
          <cell r="BJ321">
            <v>588.35136399999999</v>
          </cell>
          <cell r="BK321">
            <v>3797.6617409999999</v>
          </cell>
          <cell r="BL321">
            <v>20165.206440999998</v>
          </cell>
          <cell r="BM321">
            <v>24113.601890999998</v>
          </cell>
          <cell r="BN321">
            <v>4216.6065779999999</v>
          </cell>
          <cell r="BO321">
            <v>7492.1666969999997</v>
          </cell>
          <cell r="BP321">
            <v>97.709569999999999</v>
          </cell>
          <cell r="BQ321">
            <v>80411.148934000012</v>
          </cell>
          <cell r="BR321">
            <v>138141.036334</v>
          </cell>
          <cell r="BS321">
            <v>81793.569830000008</v>
          </cell>
          <cell r="BT321">
            <v>9351.2479549999989</v>
          </cell>
          <cell r="BU321">
            <v>2168.1505139999999</v>
          </cell>
          <cell r="BV321">
            <v>8802.4855640000005</v>
          </cell>
          <cell r="BW321">
            <v>18.968247000000002</v>
          </cell>
          <cell r="BX321">
            <v>902833.84638400003</v>
          </cell>
          <cell r="BY321" t="str">
            <v/>
          </cell>
          <cell r="BZ321">
            <v>9733.5724719999998</v>
          </cell>
          <cell r="CA321">
            <v>29038.497566999999</v>
          </cell>
          <cell r="CB321">
            <v>18428.04897</v>
          </cell>
          <cell r="CC321">
            <v>2295.5615349999998</v>
          </cell>
          <cell r="CD321">
            <v>9770.2626569999993</v>
          </cell>
          <cell r="CE321">
            <v>403.55655000000002</v>
          </cell>
          <cell r="CF321">
            <v>1619.3492209999999</v>
          </cell>
          <cell r="CG321">
            <v>1730.6817299999998</v>
          </cell>
          <cell r="CH321">
            <v>4503.7675670000008</v>
          </cell>
          <cell r="CI321">
            <v>28.667189</v>
          </cell>
          <cell r="CJ321">
            <v>106.37635899999999</v>
          </cell>
          <cell r="CK321">
            <v>90825.677890999999</v>
          </cell>
          <cell r="CL321">
            <v>87901.967446999988</v>
          </cell>
          <cell r="CM321">
            <v>18.247408999999998</v>
          </cell>
          <cell r="CN321">
            <v>185.58945599999998</v>
          </cell>
          <cell r="CO321">
            <v>55646.948766999994</v>
          </cell>
          <cell r="CP321">
            <v>55643.405299999999</v>
          </cell>
          <cell r="CQ321">
            <v>3467.0858439999997</v>
          </cell>
          <cell r="CR321">
            <v>5379.1198650000006</v>
          </cell>
          <cell r="CS321">
            <v>4865.7200229999999</v>
          </cell>
          <cell r="CT321">
            <v>184.61142000000001</v>
          </cell>
          <cell r="CU321">
            <v>0.20119999999999999</v>
          </cell>
          <cell r="CV321">
            <v>1005.415937</v>
          </cell>
          <cell r="CW321">
            <v>274.59874200000002</v>
          </cell>
          <cell r="CX321">
            <v>221083.50940099999</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v>24.487729418483397</v>
          </cell>
          <cell r="DM321" t="str">
            <v/>
          </cell>
          <cell r="DN321" t="str">
            <v/>
          </cell>
          <cell r="DO321" t="str">
            <v/>
          </cell>
          <cell r="DP321" t="str">
            <v/>
          </cell>
          <cell r="DQ321" t="str">
            <v/>
          </cell>
          <cell r="DR321" t="str">
            <v/>
          </cell>
          <cell r="DS321" t="str">
            <v/>
          </cell>
          <cell r="DT321" t="str">
            <v/>
          </cell>
          <cell r="DU321" t="str">
            <v/>
          </cell>
          <cell r="DV321" t="str">
            <v/>
          </cell>
          <cell r="DY321">
            <v>40</v>
          </cell>
        </row>
        <row r="322">
          <cell r="F322">
            <v>39886</v>
          </cell>
          <cell r="G322">
            <v>2416.5991429999999</v>
          </cell>
          <cell r="H322">
            <v>9844.8201480000007</v>
          </cell>
          <cell r="I322">
            <v>3759.7113939999999</v>
          </cell>
          <cell r="J322">
            <v>10474.498004999999</v>
          </cell>
          <cell r="K322">
            <v>57195.749044999997</v>
          </cell>
          <cell r="L322">
            <v>27175.069361000002</v>
          </cell>
          <cell r="M322">
            <v>7902.4766360000003</v>
          </cell>
          <cell r="N322">
            <v>102.152053</v>
          </cell>
          <cell r="O322">
            <v>816.660888</v>
          </cell>
          <cell r="P322">
            <v>4172.775506</v>
          </cell>
          <cell r="Q322">
            <v>7256.6912480000001</v>
          </cell>
          <cell r="R322">
            <v>1250.788822</v>
          </cell>
          <cell r="S322">
            <v>1329.9737640000001</v>
          </cell>
          <cell r="T322">
            <v>8.1923929999999991</v>
          </cell>
          <cell r="U322">
            <v>18460.427113999998</v>
          </cell>
          <cell r="V322">
            <v>31252.59967</v>
          </cell>
          <cell r="W322">
            <v>21141.695072999999</v>
          </cell>
          <cell r="X322">
            <v>2414.5910600000002</v>
          </cell>
          <cell r="Y322">
            <v>740.38402699999995</v>
          </cell>
          <cell r="Z322">
            <v>4033.244158</v>
          </cell>
          <cell r="AA322">
            <v>2.2719360000000002</v>
          </cell>
          <cell r="AB322">
            <v>211751.37144399999</v>
          </cell>
          <cell r="AC322">
            <v>1895.167743</v>
          </cell>
          <cell r="AD322">
            <v>15946.918884000001</v>
          </cell>
          <cell r="AE322">
            <v>12538.180120000001</v>
          </cell>
          <cell r="AF322">
            <v>477.51843300000002</v>
          </cell>
          <cell r="AG322">
            <v>2749.5808189999998</v>
          </cell>
          <cell r="AH322">
            <v>350.69322199999999</v>
          </cell>
          <cell r="AI322">
            <v>354.011415</v>
          </cell>
          <cell r="AJ322">
            <v>128.12091599999999</v>
          </cell>
          <cell r="AK322">
            <v>758.47399399999995</v>
          </cell>
          <cell r="AL322">
            <v>10.874834999999999</v>
          </cell>
          <cell r="AM322">
            <v>11.801301</v>
          </cell>
          <cell r="AN322">
            <v>46195.113701000002</v>
          </cell>
          <cell r="AO322">
            <v>45551.393806</v>
          </cell>
          <cell r="AP322">
            <v>6.0481920000000002</v>
          </cell>
          <cell r="AQ322">
            <v>144.00653</v>
          </cell>
          <cell r="AR322">
            <v>39877.358397000004</v>
          </cell>
          <cell r="AS322">
            <v>39877.083596999997</v>
          </cell>
          <cell r="AT322">
            <v>1449.7417210000001</v>
          </cell>
          <cell r="AU322">
            <v>2128.4908139999998</v>
          </cell>
          <cell r="AV322">
            <v>1179.3917879999999</v>
          </cell>
          <cell r="AW322">
            <v>89.743388999999993</v>
          </cell>
          <cell r="AX322">
            <v>0</v>
          </cell>
          <cell r="AY322">
            <v>209.649021</v>
          </cell>
          <cell r="AZ322">
            <v>34.220120000000001</v>
          </cell>
          <cell r="BA322">
            <v>113996.925235</v>
          </cell>
          <cell r="BB322" t="str">
            <v/>
          </cell>
          <cell r="BC322">
            <v>2416.5991429999999</v>
          </cell>
          <cell r="BD322">
            <v>9844.8201480000007</v>
          </cell>
          <cell r="BE322">
            <v>3759.7113939999999</v>
          </cell>
          <cell r="BF322">
            <v>10474.498004999999</v>
          </cell>
          <cell r="BG322">
            <v>57195.749044999997</v>
          </cell>
          <cell r="BH322">
            <v>27175.069361000002</v>
          </cell>
          <cell r="BI322">
            <v>7902.4766360000003</v>
          </cell>
          <cell r="BJ322">
            <v>102.152053</v>
          </cell>
          <cell r="BK322">
            <v>816.660888</v>
          </cell>
          <cell r="BL322">
            <v>4172.775506</v>
          </cell>
          <cell r="BM322">
            <v>7256.6912480000001</v>
          </cell>
          <cell r="BN322">
            <v>1250.788822</v>
          </cell>
          <cell r="BO322">
            <v>1329.9737640000001</v>
          </cell>
          <cell r="BP322">
            <v>8.1923929999999991</v>
          </cell>
          <cell r="BQ322">
            <v>18460.427113999998</v>
          </cell>
          <cell r="BR322">
            <v>31252.59967</v>
          </cell>
          <cell r="BS322">
            <v>21141.695072999999</v>
          </cell>
          <cell r="BT322">
            <v>2414.5910600000002</v>
          </cell>
          <cell r="BU322">
            <v>740.38402699999995</v>
          </cell>
          <cell r="BV322">
            <v>4033.244158</v>
          </cell>
          <cell r="BW322">
            <v>2.2719360000000002</v>
          </cell>
          <cell r="BX322">
            <v>211751.37144399999</v>
          </cell>
          <cell r="BY322" t="str">
            <v/>
          </cell>
          <cell r="BZ322">
            <v>1895.167743</v>
          </cell>
          <cell r="CA322">
            <v>15946.918884000001</v>
          </cell>
          <cell r="CB322">
            <v>12538.180120000001</v>
          </cell>
          <cell r="CC322">
            <v>477.51843300000002</v>
          </cell>
          <cell r="CD322">
            <v>2749.5808189999998</v>
          </cell>
          <cell r="CE322">
            <v>350.69322199999999</v>
          </cell>
          <cell r="CF322">
            <v>354.011415</v>
          </cell>
          <cell r="CG322">
            <v>128.12091599999999</v>
          </cell>
          <cell r="CH322">
            <v>758.47399399999995</v>
          </cell>
          <cell r="CI322">
            <v>10.874834999999999</v>
          </cell>
          <cell r="CJ322">
            <v>11.801301</v>
          </cell>
          <cell r="CK322">
            <v>46195.113701000002</v>
          </cell>
          <cell r="CL322">
            <v>45551.393806</v>
          </cell>
          <cell r="CM322">
            <v>6.0481920000000002</v>
          </cell>
          <cell r="CN322">
            <v>144.00653</v>
          </cell>
          <cell r="CO322">
            <v>39877.358397000004</v>
          </cell>
          <cell r="CP322">
            <v>39877.083596999997</v>
          </cell>
          <cell r="CQ322">
            <v>1449.7417210000001</v>
          </cell>
          <cell r="CR322">
            <v>2128.4908139999998</v>
          </cell>
          <cell r="CS322">
            <v>1179.3917879999999</v>
          </cell>
          <cell r="CT322">
            <v>89.743388999999993</v>
          </cell>
          <cell r="CU322">
            <v>0</v>
          </cell>
          <cell r="CV322">
            <v>209.649021</v>
          </cell>
          <cell r="CW322">
            <v>34.220120000000001</v>
          </cell>
          <cell r="CX322">
            <v>113996.925235</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Y322">
            <v>41</v>
          </cell>
        </row>
        <row r="323">
          <cell r="F323">
            <v>39977.3125</v>
          </cell>
          <cell r="G323">
            <v>2964.3620080000001</v>
          </cell>
          <cell r="H323">
            <v>16647.964134999998</v>
          </cell>
          <cell r="I323">
            <v>3071.5763419999998</v>
          </cell>
          <cell r="J323">
            <v>12844.446833</v>
          </cell>
          <cell r="K323">
            <v>62055.006161999998</v>
          </cell>
          <cell r="L323">
            <v>35554.160943000003</v>
          </cell>
          <cell r="M323">
            <v>9031.4462860000003</v>
          </cell>
          <cell r="N323">
            <v>289.96220199999999</v>
          </cell>
          <cell r="O323">
            <v>971.54811700000005</v>
          </cell>
          <cell r="P323">
            <v>4667.2359889999998</v>
          </cell>
          <cell r="Q323">
            <v>6595.3622070000001</v>
          </cell>
          <cell r="R323">
            <v>770.05456900000001</v>
          </cell>
          <cell r="S323">
            <v>1693.288086</v>
          </cell>
          <cell r="T323">
            <v>14.308662</v>
          </cell>
          <cell r="U323">
            <v>19192.726605</v>
          </cell>
          <cell r="V323">
            <v>37920.993668000003</v>
          </cell>
          <cell r="W323">
            <v>21733.858377</v>
          </cell>
          <cell r="X323">
            <v>2639.2020729999999</v>
          </cell>
          <cell r="Y323">
            <v>93.365853000000001</v>
          </cell>
          <cell r="Z323">
            <v>2611.3324539999999</v>
          </cell>
          <cell r="AA323">
            <v>1.503215</v>
          </cell>
          <cell r="AB323">
            <v>241363.70478599996</v>
          </cell>
          <cell r="AC323">
            <v>2427.5719429999999</v>
          </cell>
          <cell r="AD323">
            <v>10112.054858</v>
          </cell>
          <cell r="AE323">
            <v>7529.0869080000002</v>
          </cell>
          <cell r="AF323">
            <v>392.21756199999999</v>
          </cell>
          <cell r="AG323">
            <v>1723.248585</v>
          </cell>
          <cell r="AH323">
            <v>1756.04385</v>
          </cell>
          <cell r="AI323">
            <v>683.25162999999998</v>
          </cell>
          <cell r="AJ323">
            <v>85.936096000000006</v>
          </cell>
          <cell r="AK323">
            <v>252.303864</v>
          </cell>
          <cell r="AL323">
            <v>8.4871339999999993</v>
          </cell>
          <cell r="AM323">
            <v>31.597517</v>
          </cell>
          <cell r="AN323">
            <v>48537.002995000003</v>
          </cell>
          <cell r="AO323">
            <v>46784.496752999999</v>
          </cell>
          <cell r="AP323">
            <v>1.7825</v>
          </cell>
          <cell r="AQ323">
            <v>56.618270000000003</v>
          </cell>
          <cell r="AR323">
            <v>48798.584301000003</v>
          </cell>
          <cell r="AS323">
            <v>48798.584301000003</v>
          </cell>
          <cell r="AT323">
            <v>1910.0466939999999</v>
          </cell>
          <cell r="AU323">
            <v>4849.8234679999996</v>
          </cell>
          <cell r="AV323">
            <v>7543.0881099999997</v>
          </cell>
          <cell r="AW323">
            <v>253.942486</v>
          </cell>
          <cell r="AX323">
            <v>0</v>
          </cell>
          <cell r="AY323">
            <v>249.54230699999999</v>
          </cell>
          <cell r="AZ323">
            <v>127.701582</v>
          </cell>
          <cell r="BA323">
            <v>129800.84575200001</v>
          </cell>
          <cell r="BB323" t="str">
            <v/>
          </cell>
          <cell r="BC323">
            <v>5380.9611509999995</v>
          </cell>
          <cell r="BD323">
            <v>26492.784283000001</v>
          </cell>
          <cell r="BE323">
            <v>6831.2877360000002</v>
          </cell>
          <cell r="BF323">
            <v>23318.944837999999</v>
          </cell>
          <cell r="BG323">
            <v>119250.75520699999</v>
          </cell>
          <cell r="BH323">
            <v>62729.230304000004</v>
          </cell>
          <cell r="BI323">
            <v>16933.922922000002</v>
          </cell>
          <cell r="BJ323">
            <v>392.11425499999996</v>
          </cell>
          <cell r="BK323">
            <v>1788.2090050000002</v>
          </cell>
          <cell r="BL323">
            <v>8840.0114949999988</v>
          </cell>
          <cell r="BM323">
            <v>13852.053455000001</v>
          </cell>
          <cell r="BN323">
            <v>2020.8433909999999</v>
          </cell>
          <cell r="BO323">
            <v>3023.2618499999999</v>
          </cell>
          <cell r="BP323">
            <v>22.501055000000001</v>
          </cell>
          <cell r="BQ323">
            <v>37653.153718999994</v>
          </cell>
          <cell r="BR323">
            <v>69173.593338000006</v>
          </cell>
          <cell r="BS323">
            <v>42875.553449999999</v>
          </cell>
          <cell r="BT323">
            <v>5053.7931330000001</v>
          </cell>
          <cell r="BU323">
            <v>833.74987999999996</v>
          </cell>
          <cell r="BV323">
            <v>6644.5766119999998</v>
          </cell>
          <cell r="BW323">
            <v>3.7751510000000001</v>
          </cell>
          <cell r="BX323">
            <v>453115.07622999995</v>
          </cell>
          <cell r="BY323" t="str">
            <v/>
          </cell>
          <cell r="BZ323">
            <v>4322.7396859999999</v>
          </cell>
          <cell r="CA323">
            <v>26058.973742000002</v>
          </cell>
          <cell r="CB323">
            <v>20067.267028000002</v>
          </cell>
          <cell r="CC323">
            <v>869.735995</v>
          </cell>
          <cell r="CD323">
            <v>4472.8294040000001</v>
          </cell>
          <cell r="CE323">
            <v>2106.7370719999999</v>
          </cell>
          <cell r="CF323">
            <v>1037.2630449999999</v>
          </cell>
          <cell r="CG323">
            <v>214.05701199999999</v>
          </cell>
          <cell r="CH323">
            <v>1010.7778579999999</v>
          </cell>
          <cell r="CI323">
            <v>19.361968999999998</v>
          </cell>
          <cell r="CJ323">
            <v>43.398817999999999</v>
          </cell>
          <cell r="CK323">
            <v>94732.116696000012</v>
          </cell>
          <cell r="CL323">
            <v>92335.890558999992</v>
          </cell>
          <cell r="CM323">
            <v>7.830692</v>
          </cell>
          <cell r="CN323">
            <v>200.62479999999999</v>
          </cell>
          <cell r="CO323">
            <v>88675.942697999999</v>
          </cell>
          <cell r="CP323">
            <v>88675.667898</v>
          </cell>
          <cell r="CQ323">
            <v>3359.788415</v>
          </cell>
          <cell r="CR323">
            <v>6978.3142819999994</v>
          </cell>
          <cell r="CS323">
            <v>8722.4798979999996</v>
          </cell>
          <cell r="CT323">
            <v>343.68587500000001</v>
          </cell>
          <cell r="CU323">
            <v>0</v>
          </cell>
          <cell r="CV323">
            <v>459.191328</v>
          </cell>
          <cell r="CW323">
            <v>161.92170200000001</v>
          </cell>
          <cell r="CX323">
            <v>243797.77098700003</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Y323">
            <v>42</v>
          </cell>
        </row>
        <row r="324">
          <cell r="F324">
            <v>40068.625</v>
          </cell>
          <cell r="G324">
            <v>3916.5447210000002</v>
          </cell>
          <cell r="H324">
            <v>16933.867568999998</v>
          </cell>
          <cell r="I324">
            <v>2433.9326390000001</v>
          </cell>
          <cell r="J324">
            <v>18109.369223000002</v>
          </cell>
          <cell r="K324">
            <v>60091.279355999999</v>
          </cell>
          <cell r="L324">
            <v>28119.743324999999</v>
          </cell>
          <cell r="M324">
            <v>7862.1594809999997</v>
          </cell>
          <cell r="N324">
            <v>223.834881</v>
          </cell>
          <cell r="O324">
            <v>851.53664800000001</v>
          </cell>
          <cell r="P324">
            <v>7614.5336070000003</v>
          </cell>
          <cell r="Q324">
            <v>7412.7225589999998</v>
          </cell>
          <cell r="R324">
            <v>807.99659699999995</v>
          </cell>
          <cell r="S324">
            <v>1798.078516</v>
          </cell>
          <cell r="T324">
            <v>9.2917690000000004</v>
          </cell>
          <cell r="U324">
            <v>16802.15496</v>
          </cell>
          <cell r="V324">
            <v>34387.224330999998</v>
          </cell>
          <cell r="W324">
            <v>29687.384176</v>
          </cell>
          <cell r="X324">
            <v>1604.591212</v>
          </cell>
          <cell r="Y324">
            <v>84.218618000000006</v>
          </cell>
          <cell r="Z324">
            <v>2076.3731600000001</v>
          </cell>
          <cell r="AA324">
            <v>6.8823100000000004</v>
          </cell>
          <cell r="AB324">
            <v>240833.71965799999</v>
          </cell>
          <cell r="AC324">
            <v>2122.6274149999999</v>
          </cell>
          <cell r="AD324">
            <v>3435.290195</v>
          </cell>
          <cell r="AE324">
            <v>1549.0382890000001</v>
          </cell>
          <cell r="AF324">
            <v>161.28969699999999</v>
          </cell>
          <cell r="AG324">
            <v>1942.7593770000001</v>
          </cell>
          <cell r="AH324">
            <v>1155.642863</v>
          </cell>
          <cell r="AI324">
            <v>422.742636</v>
          </cell>
          <cell r="AJ324">
            <v>1582.7308410000001</v>
          </cell>
          <cell r="AK324">
            <v>83.392337999999995</v>
          </cell>
          <cell r="AL324">
            <v>10.253779</v>
          </cell>
          <cell r="AM324">
            <v>25.749637</v>
          </cell>
          <cell r="AN324">
            <v>16755.350681</v>
          </cell>
          <cell r="AO324">
            <v>15757.793511</v>
          </cell>
          <cell r="AP324">
            <v>5.55</v>
          </cell>
          <cell r="AQ324">
            <v>54.428364000000002</v>
          </cell>
          <cell r="AR324">
            <v>47895.326560000001</v>
          </cell>
          <cell r="AS324">
            <v>47895.326560000001</v>
          </cell>
          <cell r="AT324">
            <v>1494.5418480000001</v>
          </cell>
          <cell r="AU324">
            <v>1240.216375</v>
          </cell>
          <cell r="AV324">
            <v>895.05305599999997</v>
          </cell>
          <cell r="AW324">
            <v>98.216483999999994</v>
          </cell>
          <cell r="AX324">
            <v>184.96127200000001</v>
          </cell>
          <cell r="AY324">
            <v>579.98208899999997</v>
          </cell>
          <cell r="AZ324">
            <v>95.567442999999997</v>
          </cell>
          <cell r="BA324">
            <v>80241.672950000007</v>
          </cell>
          <cell r="BB324" t="str">
            <v/>
          </cell>
          <cell r="BC324">
            <v>9297.5058719999997</v>
          </cell>
          <cell r="BD324">
            <v>43426.651851999995</v>
          </cell>
          <cell r="BE324">
            <v>9265.2203750000008</v>
          </cell>
          <cell r="BF324">
            <v>41428.314060999997</v>
          </cell>
          <cell r="BG324">
            <v>179342.03456299999</v>
          </cell>
          <cell r="BH324">
            <v>90848.973629</v>
          </cell>
          <cell r="BI324">
            <v>24796.082403</v>
          </cell>
          <cell r="BJ324">
            <v>615.94913599999995</v>
          </cell>
          <cell r="BK324">
            <v>2639.7456529999999</v>
          </cell>
          <cell r="BL324">
            <v>16454.545102</v>
          </cell>
          <cell r="BM324">
            <v>21264.776014000003</v>
          </cell>
          <cell r="BN324">
            <v>2828.8399879999997</v>
          </cell>
          <cell r="BO324">
            <v>4821.3403660000004</v>
          </cell>
          <cell r="BP324">
            <v>31.792824000000003</v>
          </cell>
          <cell r="BQ324">
            <v>54455.308678999994</v>
          </cell>
          <cell r="BR324">
            <v>103560.81766900001</v>
          </cell>
          <cell r="BS324">
            <v>72562.937625999999</v>
          </cell>
          <cell r="BT324">
            <v>6658.3843450000004</v>
          </cell>
          <cell r="BU324">
            <v>917.96849799999995</v>
          </cell>
          <cell r="BV324">
            <v>8720.9497719999999</v>
          </cell>
          <cell r="BW324">
            <v>10.657461000000001</v>
          </cell>
          <cell r="BX324">
            <v>693948.79588799994</v>
          </cell>
          <cell r="BY324" t="str">
            <v/>
          </cell>
          <cell r="BZ324">
            <v>6445.3671009999998</v>
          </cell>
          <cell r="CA324">
            <v>29494.263937000003</v>
          </cell>
          <cell r="CB324">
            <v>21616.305317000002</v>
          </cell>
          <cell r="CC324">
            <v>1031.0256919999999</v>
          </cell>
          <cell r="CD324">
            <v>6415.5887810000004</v>
          </cell>
          <cell r="CE324">
            <v>3262.3799349999999</v>
          </cell>
          <cell r="CF324">
            <v>1460.0056809999999</v>
          </cell>
          <cell r="CG324">
            <v>1796.787853</v>
          </cell>
          <cell r="CH324">
            <v>1094.170196</v>
          </cell>
          <cell r="CI324">
            <v>29.615747999999996</v>
          </cell>
          <cell r="CJ324">
            <v>69.148454999999998</v>
          </cell>
          <cell r="CK324">
            <v>111487.46737700001</v>
          </cell>
          <cell r="CL324">
            <v>108093.68406999999</v>
          </cell>
          <cell r="CM324">
            <v>13.380692</v>
          </cell>
          <cell r="CN324">
            <v>255.05316399999998</v>
          </cell>
          <cell r="CO324">
            <v>136571.26925800001</v>
          </cell>
          <cell r="CP324">
            <v>136570.994458</v>
          </cell>
          <cell r="CQ324">
            <v>4854.3302629999998</v>
          </cell>
          <cell r="CR324">
            <v>8218.5306569999993</v>
          </cell>
          <cell r="CS324">
            <v>9617.5329540000002</v>
          </cell>
          <cell r="CT324">
            <v>441.90235899999999</v>
          </cell>
          <cell r="CU324">
            <v>184.96127200000001</v>
          </cell>
          <cell r="CV324">
            <v>1039.173417</v>
          </cell>
          <cell r="CW324">
            <v>257.48914500000001</v>
          </cell>
          <cell r="CX324">
            <v>324039.443937</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Y324">
            <v>43</v>
          </cell>
        </row>
        <row r="325">
          <cell r="F325">
            <v>40159.9375</v>
          </cell>
          <cell r="G325">
            <v>2617.3232119999998</v>
          </cell>
          <cell r="H325">
            <v>21124.179372999999</v>
          </cell>
          <cell r="I325">
            <v>3221.3634900000002</v>
          </cell>
          <cell r="J325">
            <v>18435.810387000001</v>
          </cell>
          <cell r="K325">
            <v>65807.065057999993</v>
          </cell>
          <cell r="L325">
            <v>25392.266599999999</v>
          </cell>
          <cell r="M325">
            <v>11349.003812999999</v>
          </cell>
          <cell r="N325">
            <v>217.96191099999999</v>
          </cell>
          <cell r="O325">
            <v>932.97760300000004</v>
          </cell>
          <cell r="P325">
            <v>5920.6668980000004</v>
          </cell>
          <cell r="Q325">
            <v>7576.6099320000003</v>
          </cell>
          <cell r="R325">
            <v>1050.9316679999999</v>
          </cell>
          <cell r="S325">
            <v>2168.0655830000001</v>
          </cell>
          <cell r="T325">
            <v>11.471246000000001</v>
          </cell>
          <cell r="U325">
            <v>17141.804196000001</v>
          </cell>
          <cell r="V325">
            <v>65160.066772999999</v>
          </cell>
          <cell r="W325">
            <v>30251.219107000001</v>
          </cell>
          <cell r="X325">
            <v>2086.3636059999999</v>
          </cell>
          <cell r="Y325">
            <v>138.24790100000001</v>
          </cell>
          <cell r="Z325">
            <v>2413.3238710000001</v>
          </cell>
          <cell r="AA325">
            <v>22.22437</v>
          </cell>
          <cell r="AB325">
            <v>283038.94659800001</v>
          </cell>
          <cell r="AC325">
            <v>2249.0137500000001</v>
          </cell>
          <cell r="AD325">
            <v>7835.842893</v>
          </cell>
          <cell r="AE325">
            <v>6779.0023799999999</v>
          </cell>
          <cell r="AF325">
            <v>250.08887200000001</v>
          </cell>
          <cell r="AG325">
            <v>2125.8931360000001</v>
          </cell>
          <cell r="AH325">
            <v>1410.7600199999999</v>
          </cell>
          <cell r="AI325">
            <v>255.956423</v>
          </cell>
          <cell r="AJ325">
            <v>1116.290643</v>
          </cell>
          <cell r="AK325">
            <v>670.39149299999997</v>
          </cell>
          <cell r="AL325">
            <v>20.132422999999999</v>
          </cell>
          <cell r="AM325">
            <v>10.092390999999999</v>
          </cell>
          <cell r="AN325">
            <v>10134.87859</v>
          </cell>
          <cell r="AO325">
            <v>9231.6966520000005</v>
          </cell>
          <cell r="AP325">
            <v>1.3</v>
          </cell>
          <cell r="AQ325">
            <v>66.676929000000001</v>
          </cell>
          <cell r="AR325">
            <v>53752.539240999999</v>
          </cell>
          <cell r="AS325">
            <v>53752.476740999999</v>
          </cell>
          <cell r="AT325">
            <v>1498.989206</v>
          </cell>
          <cell r="AU325">
            <v>4276.8510759999999</v>
          </cell>
          <cell r="AV325">
            <v>1298.207279</v>
          </cell>
          <cell r="AW325">
            <v>58.288179</v>
          </cell>
          <cell r="AX325">
            <v>217.51614599999999</v>
          </cell>
          <cell r="AY325">
            <v>175.64029199999999</v>
          </cell>
          <cell r="AZ325">
            <v>67.223658</v>
          </cell>
          <cell r="BA325">
            <v>87492.572639999984</v>
          </cell>
          <cell r="BB325" t="str">
            <v/>
          </cell>
          <cell r="BC325">
            <v>11914.829083999999</v>
          </cell>
          <cell r="BD325">
            <v>64550.831224999994</v>
          </cell>
          <cell r="BE325">
            <v>12486.583865000001</v>
          </cell>
          <cell r="BF325">
            <v>59864.124448000002</v>
          </cell>
          <cell r="BG325">
            <v>245149.099621</v>
          </cell>
          <cell r="BH325">
            <v>116241.240229</v>
          </cell>
          <cell r="BI325">
            <v>36145.086215999996</v>
          </cell>
          <cell r="BJ325">
            <v>833.91104699999994</v>
          </cell>
          <cell r="BK325">
            <v>3572.7232560000002</v>
          </cell>
          <cell r="BL325">
            <v>22375.212</v>
          </cell>
          <cell r="BM325">
            <v>28841.385946000002</v>
          </cell>
          <cell r="BN325">
            <v>3879.7716559999999</v>
          </cell>
          <cell r="BO325">
            <v>6989.405949</v>
          </cell>
          <cell r="BP325">
            <v>43.264070000000004</v>
          </cell>
          <cell r="BQ325">
            <v>71597.112874999992</v>
          </cell>
          <cell r="BR325">
            <v>168720.88444200001</v>
          </cell>
          <cell r="BS325">
            <v>102814.156733</v>
          </cell>
          <cell r="BT325">
            <v>8744.7479510000012</v>
          </cell>
          <cell r="BU325">
            <v>1056.2163989999999</v>
          </cell>
          <cell r="BV325">
            <v>11134.273643</v>
          </cell>
          <cell r="BW325">
            <v>32.881831000000005</v>
          </cell>
          <cell r="BX325">
            <v>976987.74248599994</v>
          </cell>
          <cell r="BY325">
            <v>8.2134599183447232E-2</v>
          </cell>
          <cell r="BZ325">
            <v>8694.3808509999999</v>
          </cell>
          <cell r="CA325">
            <v>37330.106830000004</v>
          </cell>
          <cell r="CB325">
            <v>28395.307697000004</v>
          </cell>
          <cell r="CC325">
            <v>1281.114564</v>
          </cell>
          <cell r="CD325">
            <v>8541.481917000001</v>
          </cell>
          <cell r="CE325">
            <v>4673.1399549999996</v>
          </cell>
          <cell r="CF325">
            <v>1715.962104</v>
          </cell>
          <cell r="CG325">
            <v>2913.0784960000001</v>
          </cell>
          <cell r="CH325">
            <v>1764.5616890000001</v>
          </cell>
          <cell r="CI325">
            <v>49.748170999999999</v>
          </cell>
          <cell r="CJ325">
            <v>79.240846000000005</v>
          </cell>
          <cell r="CK325">
            <v>121622.345967</v>
          </cell>
          <cell r="CL325">
            <v>117325.38072199999</v>
          </cell>
          <cell r="CM325">
            <v>14.680692000000001</v>
          </cell>
          <cell r="CN325">
            <v>321.73009300000001</v>
          </cell>
          <cell r="CO325">
            <v>190323.80849900001</v>
          </cell>
          <cell r="CP325">
            <v>190323.47119899999</v>
          </cell>
          <cell r="CQ325">
            <v>6353.319469</v>
          </cell>
          <cell r="CR325">
            <v>12495.381732999998</v>
          </cell>
          <cell r="CS325">
            <v>10915.740233</v>
          </cell>
          <cell r="CT325">
            <v>500.190538</v>
          </cell>
          <cell r="CU325">
            <v>402.477418</v>
          </cell>
          <cell r="CV325">
            <v>1214.813709</v>
          </cell>
          <cell r="CW325">
            <v>324.71280300000001</v>
          </cell>
          <cell r="CX325">
            <v>411532.01657699997</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v>42.122536310418155</v>
          </cell>
          <cell r="DM325" t="str">
            <v/>
          </cell>
          <cell r="DN325" t="str">
            <v/>
          </cell>
          <cell r="DO325" t="str">
            <v/>
          </cell>
          <cell r="DP325" t="str">
            <v/>
          </cell>
          <cell r="DQ325" t="str">
            <v/>
          </cell>
          <cell r="DR325" t="str">
            <v/>
          </cell>
          <cell r="DS325" t="str">
            <v/>
          </cell>
          <cell r="DT325" t="str">
            <v/>
          </cell>
          <cell r="DU325" t="str">
            <v/>
          </cell>
          <cell r="DV325" t="str">
            <v/>
          </cell>
          <cell r="DY325">
            <v>44</v>
          </cell>
        </row>
        <row r="326">
          <cell r="F326">
            <v>40251.25</v>
          </cell>
          <cell r="G326">
            <v>3162.4930549999999</v>
          </cell>
          <cell r="H326">
            <v>14509.239232</v>
          </cell>
          <cell r="I326">
            <v>1849.784819</v>
          </cell>
          <cell r="J326">
            <v>17388.631284999999</v>
          </cell>
          <cell r="K326">
            <v>55926.383602000002</v>
          </cell>
          <cell r="L326">
            <v>30433.476449999998</v>
          </cell>
          <cell r="M326">
            <v>9802.0391799999998</v>
          </cell>
          <cell r="N326">
            <v>195.715014</v>
          </cell>
          <cell r="O326">
            <v>1042.42229</v>
          </cell>
          <cell r="P326">
            <v>4330.952061</v>
          </cell>
          <cell r="Q326">
            <v>6819.2726409999996</v>
          </cell>
          <cell r="R326">
            <v>783.27713700000004</v>
          </cell>
          <cell r="S326">
            <v>1961.5977170000001</v>
          </cell>
          <cell r="T326">
            <v>14.497638</v>
          </cell>
          <cell r="U326">
            <v>19603.722322000001</v>
          </cell>
          <cell r="V326">
            <v>36849.226795000002</v>
          </cell>
          <cell r="W326">
            <v>22087.032679</v>
          </cell>
          <cell r="X326">
            <v>2789.683994</v>
          </cell>
          <cell r="Y326">
            <v>154.085397</v>
          </cell>
          <cell r="Z326">
            <v>2682.7804160000001</v>
          </cell>
          <cell r="AA326">
            <v>2.9447459999999999</v>
          </cell>
          <cell r="AB326">
            <v>232389.25846999991</v>
          </cell>
          <cell r="AC326">
            <v>1121.595</v>
          </cell>
          <cell r="AD326">
            <v>21983.833364999999</v>
          </cell>
          <cell r="AE326">
            <v>17880.890500000001</v>
          </cell>
          <cell r="AF326">
            <v>812.18404299999997</v>
          </cell>
          <cell r="AG326">
            <v>2401.1060010000001</v>
          </cell>
          <cell r="AH326">
            <v>825.02861399999995</v>
          </cell>
          <cell r="AI326">
            <v>211.96883</v>
          </cell>
          <cell r="AJ326">
            <v>83.370512000000005</v>
          </cell>
          <cell r="AK326">
            <v>24.65213</v>
          </cell>
          <cell r="AL326">
            <v>13.037008</v>
          </cell>
          <cell r="AM326">
            <v>11.619512</v>
          </cell>
          <cell r="AN326">
            <v>51937.577579999997</v>
          </cell>
          <cell r="AO326">
            <v>51040.769171</v>
          </cell>
          <cell r="AP326">
            <v>0.52118200000000003</v>
          </cell>
          <cell r="AQ326">
            <v>66.063518999999999</v>
          </cell>
          <cell r="AR326">
            <v>68849.037784</v>
          </cell>
          <cell r="AS326">
            <v>68846.907183999996</v>
          </cell>
          <cell r="AT326">
            <v>895.02192400000001</v>
          </cell>
          <cell r="AU326">
            <v>2093.8685700000001</v>
          </cell>
          <cell r="AV326">
            <v>474.556918</v>
          </cell>
          <cell r="AW326">
            <v>84.821076000000005</v>
          </cell>
          <cell r="AX326">
            <v>89.349323999999996</v>
          </cell>
          <cell r="AY326">
            <v>215.445233</v>
          </cell>
          <cell r="AZ326">
            <v>43.074834000000003</v>
          </cell>
          <cell r="BA326">
            <v>152237.73295899999</v>
          </cell>
          <cell r="BB326" t="str">
            <v/>
          </cell>
          <cell r="BC326">
            <v>3162.4930549999999</v>
          </cell>
          <cell r="BD326">
            <v>14509.239232</v>
          </cell>
          <cell r="BE326">
            <v>1849.784819</v>
          </cell>
          <cell r="BF326">
            <v>17388.631284999999</v>
          </cell>
          <cell r="BG326">
            <v>55926.383602000002</v>
          </cell>
          <cell r="BH326">
            <v>30433.476449999998</v>
          </cell>
          <cell r="BI326">
            <v>9802.0391799999998</v>
          </cell>
          <cell r="BJ326">
            <v>195.715014</v>
          </cell>
          <cell r="BK326">
            <v>1042.42229</v>
          </cell>
          <cell r="BL326">
            <v>4330.952061</v>
          </cell>
          <cell r="BM326">
            <v>6819.2726409999996</v>
          </cell>
          <cell r="BN326">
            <v>783.27713700000004</v>
          </cell>
          <cell r="BO326">
            <v>1961.5977170000001</v>
          </cell>
          <cell r="BP326">
            <v>14.497638</v>
          </cell>
          <cell r="BQ326">
            <v>19603.722322000001</v>
          </cell>
          <cell r="BR326">
            <v>36849.226795000002</v>
          </cell>
          <cell r="BS326">
            <v>22087.032679</v>
          </cell>
          <cell r="BT326">
            <v>2789.683994</v>
          </cell>
          <cell r="BU326">
            <v>154.085397</v>
          </cell>
          <cell r="BV326">
            <v>2682.7804160000001</v>
          </cell>
          <cell r="BW326">
            <v>2.9447459999999999</v>
          </cell>
          <cell r="BX326">
            <v>232389.25846999991</v>
          </cell>
          <cell r="BY326" t="str">
            <v/>
          </cell>
          <cell r="BZ326">
            <v>1121.595</v>
          </cell>
          <cell r="CA326">
            <v>21983.833364999999</v>
          </cell>
          <cell r="CB326">
            <v>17880.890500000001</v>
          </cell>
          <cell r="CC326">
            <v>812.18404299999997</v>
          </cell>
          <cell r="CD326">
            <v>2401.1060010000001</v>
          </cell>
          <cell r="CE326">
            <v>825.02861399999995</v>
          </cell>
          <cell r="CF326">
            <v>211.96883</v>
          </cell>
          <cell r="CG326">
            <v>83.370512000000005</v>
          </cell>
          <cell r="CH326">
            <v>24.65213</v>
          </cell>
          <cell r="CI326">
            <v>13.037008</v>
          </cell>
          <cell r="CJ326">
            <v>11.619512</v>
          </cell>
          <cell r="CK326">
            <v>51937.577579999997</v>
          </cell>
          <cell r="CL326">
            <v>51040.769171</v>
          </cell>
          <cell r="CM326">
            <v>0.52118200000000003</v>
          </cell>
          <cell r="CN326">
            <v>66.063518999999999</v>
          </cell>
          <cell r="CO326">
            <v>68849.037784</v>
          </cell>
          <cell r="CP326">
            <v>68846.907183999996</v>
          </cell>
          <cell r="CQ326">
            <v>895.02192400000001</v>
          </cell>
          <cell r="CR326">
            <v>2093.8685700000001</v>
          </cell>
          <cell r="CS326">
            <v>474.556918</v>
          </cell>
          <cell r="CT326">
            <v>84.821076000000005</v>
          </cell>
          <cell r="CU326">
            <v>89.349323999999996</v>
          </cell>
          <cell r="CV326">
            <v>215.445233</v>
          </cell>
          <cell r="CW326">
            <v>43.074834000000003</v>
          </cell>
          <cell r="CX326">
            <v>152237.73295899999</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Y326">
            <v>45</v>
          </cell>
        </row>
        <row r="327">
          <cell r="F327">
            <v>40342.5625</v>
          </cell>
          <cell r="G327">
            <v>2596.8700399999998</v>
          </cell>
          <cell r="H327">
            <v>16312.505594</v>
          </cell>
          <cell r="I327">
            <v>1821.6567700000001</v>
          </cell>
          <cell r="J327">
            <v>17787.337901999999</v>
          </cell>
          <cell r="K327">
            <v>70484.052823000005</v>
          </cell>
          <cell r="L327">
            <v>39292.051740000003</v>
          </cell>
          <cell r="M327">
            <v>10965.542242</v>
          </cell>
          <cell r="N327">
            <v>149.16081399999999</v>
          </cell>
          <cell r="O327">
            <v>1079.7121979999999</v>
          </cell>
          <cell r="P327">
            <v>6202.7454989999997</v>
          </cell>
          <cell r="Q327">
            <v>6075.1599159999996</v>
          </cell>
          <cell r="R327">
            <v>1218.3092690000001</v>
          </cell>
          <cell r="S327">
            <v>1948.951971</v>
          </cell>
          <cell r="T327">
            <v>30.31354</v>
          </cell>
          <cell r="U327">
            <v>21885.125705999999</v>
          </cell>
          <cell r="V327">
            <v>32261.20522</v>
          </cell>
          <cell r="W327">
            <v>22431.923879999998</v>
          </cell>
          <cell r="X327">
            <v>2770.7312229999998</v>
          </cell>
          <cell r="Y327">
            <v>640.21147399999995</v>
          </cell>
          <cell r="Z327">
            <v>2922.2007939999999</v>
          </cell>
          <cell r="AA327">
            <v>1.1378980000000001</v>
          </cell>
          <cell r="AB327">
            <v>258876.90651299999</v>
          </cell>
          <cell r="AC327">
            <v>1310.9755</v>
          </cell>
          <cell r="AD327">
            <v>11373.752312000001</v>
          </cell>
          <cell r="AE327">
            <v>4609.3807040000002</v>
          </cell>
          <cell r="AF327">
            <v>453.51174500000002</v>
          </cell>
          <cell r="AG327">
            <v>2893.340987</v>
          </cell>
          <cell r="AH327">
            <v>907.78507500000001</v>
          </cell>
          <cell r="AI327">
            <v>1679.4375500000001</v>
          </cell>
          <cell r="AJ327">
            <v>87.908141000000001</v>
          </cell>
          <cell r="AK327">
            <v>808.02208399999995</v>
          </cell>
          <cell r="AL327">
            <v>5.7435900000000002</v>
          </cell>
          <cell r="AM327">
            <v>22.748699999999999</v>
          </cell>
          <cell r="AN327">
            <v>38433.956380000003</v>
          </cell>
          <cell r="AO327">
            <v>37283.008218000003</v>
          </cell>
          <cell r="AP327">
            <v>0.53266800000000003</v>
          </cell>
          <cell r="AQ327">
            <v>96.557547</v>
          </cell>
          <cell r="AR327">
            <v>96789.476670000004</v>
          </cell>
          <cell r="AS327">
            <v>96789.386578999998</v>
          </cell>
          <cell r="AT327">
            <v>606.01487699999996</v>
          </cell>
          <cell r="AU327">
            <v>936.74593600000003</v>
          </cell>
          <cell r="AV327">
            <v>1276.7933889999999</v>
          </cell>
          <cell r="AW327">
            <v>179.647998</v>
          </cell>
          <cell r="AX327">
            <v>0.25</v>
          </cell>
          <cell r="AY327">
            <v>306.22476</v>
          </cell>
          <cell r="AZ327">
            <v>41.38015</v>
          </cell>
          <cell r="BA327">
            <v>158210.80605900002</v>
          </cell>
          <cell r="BB327" t="str">
            <v/>
          </cell>
          <cell r="BC327">
            <v>5759.3630949999997</v>
          </cell>
          <cell r="BD327">
            <v>30821.744826000002</v>
          </cell>
          <cell r="BE327">
            <v>3671.441589</v>
          </cell>
          <cell r="BF327">
            <v>35175.969186999995</v>
          </cell>
          <cell r="BG327">
            <v>126410.43642500001</v>
          </cell>
          <cell r="BH327">
            <v>69725.528189999997</v>
          </cell>
          <cell r="BI327">
            <v>20767.581421999999</v>
          </cell>
          <cell r="BJ327">
            <v>344.87582799999996</v>
          </cell>
          <cell r="BK327">
            <v>2122.1344879999997</v>
          </cell>
          <cell r="BL327">
            <v>10533.697560000001</v>
          </cell>
          <cell r="BM327">
            <v>12894.432557</v>
          </cell>
          <cell r="BN327">
            <v>2001.5864060000001</v>
          </cell>
          <cell r="BO327">
            <v>3910.5496880000001</v>
          </cell>
          <cell r="BP327">
            <v>44.811177999999998</v>
          </cell>
          <cell r="BQ327">
            <v>41488.848028</v>
          </cell>
          <cell r="BR327">
            <v>69110.432014999999</v>
          </cell>
          <cell r="BS327">
            <v>44518.956558999998</v>
          </cell>
          <cell r="BT327">
            <v>5560.4152169999998</v>
          </cell>
          <cell r="BU327">
            <v>794.29687100000001</v>
          </cell>
          <cell r="BV327">
            <v>5604.9812099999999</v>
          </cell>
          <cell r="BW327">
            <v>4.0826440000000002</v>
          </cell>
          <cell r="BX327">
            <v>491266.16498299991</v>
          </cell>
          <cell r="BY327" t="str">
            <v/>
          </cell>
          <cell r="BZ327">
            <v>2432.5704999999998</v>
          </cell>
          <cell r="CA327">
            <v>33357.585676999995</v>
          </cell>
          <cell r="CB327">
            <v>22490.271204000001</v>
          </cell>
          <cell r="CC327">
            <v>1265.695788</v>
          </cell>
          <cell r="CD327">
            <v>5294.4469879999997</v>
          </cell>
          <cell r="CE327">
            <v>1732.8136890000001</v>
          </cell>
          <cell r="CF327">
            <v>1891.4063800000001</v>
          </cell>
          <cell r="CG327">
            <v>171.27865300000002</v>
          </cell>
          <cell r="CH327">
            <v>832.67421399999989</v>
          </cell>
          <cell r="CI327">
            <v>18.780598000000001</v>
          </cell>
          <cell r="CJ327">
            <v>34.368212</v>
          </cell>
          <cell r="CK327">
            <v>90371.533960000001</v>
          </cell>
          <cell r="CL327">
            <v>88323.777388999995</v>
          </cell>
          <cell r="CM327">
            <v>1.0538500000000002</v>
          </cell>
          <cell r="CN327">
            <v>162.62106599999998</v>
          </cell>
          <cell r="CO327">
            <v>165638.51445399999</v>
          </cell>
          <cell r="CP327">
            <v>165636.29376299999</v>
          </cell>
          <cell r="CQ327">
            <v>1501.036801</v>
          </cell>
          <cell r="CR327">
            <v>3030.6145059999999</v>
          </cell>
          <cell r="CS327">
            <v>1751.3503069999999</v>
          </cell>
          <cell r="CT327">
            <v>264.46907399999998</v>
          </cell>
          <cell r="CU327">
            <v>89.599323999999996</v>
          </cell>
          <cell r="CV327">
            <v>521.66999299999998</v>
          </cell>
          <cell r="CW327">
            <v>84.454983999999996</v>
          </cell>
          <cell r="CX327">
            <v>310448.53901800001</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Y327">
            <v>46</v>
          </cell>
        </row>
        <row r="328">
          <cell r="F328">
            <v>40433.875</v>
          </cell>
          <cell r="G328" t="str">
            <v/>
          </cell>
          <cell r="H328" t="str">
            <v/>
          </cell>
          <cell r="I328" t="str">
            <v/>
          </cell>
          <cell r="J328" t="str">
            <v/>
          </cell>
          <cell r="K328" t="str">
            <v/>
          </cell>
          <cell r="L328" t="str">
            <v/>
          </cell>
          <cell r="M328" t="str">
            <v/>
          </cell>
          <cell r="N328" t="str">
            <v/>
          </cell>
          <cell r="O328" t="str">
            <v/>
          </cell>
          <cell r="P328" t="str">
            <v/>
          </cell>
          <cell r="Q328" t="str">
            <v/>
          </cell>
          <cell r="R328" t="str">
            <v/>
          </cell>
          <cell r="S328" t="str">
            <v/>
          </cell>
          <cell r="T328" t="str">
            <v/>
          </cell>
          <cell r="U328" t="str">
            <v/>
          </cell>
          <cell r="V328" t="str">
            <v/>
          </cell>
          <cell r="W328" t="str">
            <v/>
          </cell>
          <cell r="X328" t="str">
            <v/>
          </cell>
          <cell r="Y328" t="str">
            <v/>
          </cell>
          <cell r="Z328" t="str">
            <v/>
          </cell>
          <cell r="AA328" t="str">
            <v/>
          </cell>
          <cell r="AB328">
            <v>0</v>
          </cell>
          <cell r="AC328" t="str">
            <v/>
          </cell>
          <cell r="AD328" t="str">
            <v/>
          </cell>
          <cell r="AE328" t="str">
            <v/>
          </cell>
          <cell r="AF328" t="str">
            <v/>
          </cell>
          <cell r="AG328" t="str">
            <v/>
          </cell>
          <cell r="AH328" t="str">
            <v/>
          </cell>
          <cell r="AI328" t="str">
            <v/>
          </cell>
          <cell r="AJ328" t="str">
            <v/>
          </cell>
          <cell r="AK328" t="str">
            <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
          </cell>
          <cell r="AZ328" t="str">
            <v/>
          </cell>
          <cell r="BA328">
            <v>0</v>
          </cell>
          <cell r="BB328" t="str">
            <v/>
          </cell>
          <cell r="BC328" t="str">
            <v/>
          </cell>
          <cell r="BD328" t="str">
            <v/>
          </cell>
          <cell r="BE328" t="str">
            <v/>
          </cell>
          <cell r="BF328" t="str">
            <v/>
          </cell>
          <cell r="BG328" t="str">
            <v/>
          </cell>
          <cell r="BH328" t="str">
            <v/>
          </cell>
          <cell r="BI328" t="str">
            <v/>
          </cell>
          <cell r="BJ328" t="str">
            <v/>
          </cell>
          <cell r="BK328" t="str">
            <v/>
          </cell>
          <cell r="BL328" t="str">
            <v/>
          </cell>
          <cell r="BM328" t="str">
            <v/>
          </cell>
          <cell r="BN328" t="str">
            <v/>
          </cell>
          <cell r="BO328" t="str">
            <v/>
          </cell>
          <cell r="BP328" t="str">
            <v/>
          </cell>
          <cell r="BQ328" t="str">
            <v/>
          </cell>
          <cell r="BR328" t="str">
            <v/>
          </cell>
          <cell r="BS328" t="str">
            <v/>
          </cell>
          <cell r="BT328" t="str">
            <v/>
          </cell>
          <cell r="BU328" t="str">
            <v/>
          </cell>
          <cell r="BV328" t="str">
            <v/>
          </cell>
          <cell r="BW328" t="str">
            <v/>
          </cell>
          <cell r="BX328">
            <v>491266.16498299991</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v>310448.53901800001</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Y328" t="str">
            <v/>
          </cell>
        </row>
        <row r="329">
          <cell r="F329">
            <v>40525.1875</v>
          </cell>
          <cell r="G329" t="str">
            <v/>
          </cell>
          <cell r="H329" t="str">
            <v/>
          </cell>
          <cell r="I329" t="str">
            <v/>
          </cell>
          <cell r="J329" t="str">
            <v/>
          </cell>
          <cell r="K329" t="str">
            <v/>
          </cell>
          <cell r="L329" t="str">
            <v/>
          </cell>
          <cell r="M329" t="str">
            <v/>
          </cell>
          <cell r="N329" t="str">
            <v/>
          </cell>
          <cell r="O329" t="str">
            <v/>
          </cell>
          <cell r="P329" t="str">
            <v/>
          </cell>
          <cell r="Q329" t="str">
            <v/>
          </cell>
          <cell r="R329" t="str">
            <v/>
          </cell>
          <cell r="S329" t="str">
            <v/>
          </cell>
          <cell r="T329" t="str">
            <v/>
          </cell>
          <cell r="U329" t="str">
            <v/>
          </cell>
          <cell r="V329" t="str">
            <v/>
          </cell>
          <cell r="W329" t="str">
            <v/>
          </cell>
          <cell r="X329" t="str">
            <v/>
          </cell>
          <cell r="Y329" t="str">
            <v/>
          </cell>
          <cell r="Z329" t="str">
            <v/>
          </cell>
          <cell r="AA329" t="str">
            <v/>
          </cell>
          <cell r="AB329">
            <v>0</v>
          </cell>
          <cell r="AC329" t="str">
            <v/>
          </cell>
          <cell r="AD329" t="str">
            <v/>
          </cell>
          <cell r="AE329" t="str">
            <v/>
          </cell>
          <cell r="AF329" t="str">
            <v/>
          </cell>
          <cell r="AG329" t="str">
            <v/>
          </cell>
          <cell r="AH329" t="str">
            <v/>
          </cell>
          <cell r="AI329" t="str">
            <v/>
          </cell>
          <cell r="AJ329" t="str">
            <v/>
          </cell>
          <cell r="AK329" t="str">
            <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
          </cell>
          <cell r="AZ329" t="str">
            <v/>
          </cell>
          <cell r="BA329">
            <v>0</v>
          </cell>
          <cell r="BB329" t="str">
            <v/>
          </cell>
          <cell r="BC329" t="str">
            <v/>
          </cell>
          <cell r="BD329" t="str">
            <v/>
          </cell>
          <cell r="BE329" t="str">
            <v/>
          </cell>
          <cell r="BF329" t="str">
            <v/>
          </cell>
          <cell r="BG329" t="str">
            <v/>
          </cell>
          <cell r="BH329" t="str">
            <v/>
          </cell>
          <cell r="BI329" t="str">
            <v/>
          </cell>
          <cell r="BJ329" t="str">
            <v/>
          </cell>
          <cell r="BK329" t="str">
            <v/>
          </cell>
          <cell r="BL329" t="str">
            <v/>
          </cell>
          <cell r="BM329" t="str">
            <v/>
          </cell>
          <cell r="BN329" t="str">
            <v/>
          </cell>
          <cell r="BO329" t="str">
            <v/>
          </cell>
          <cell r="BP329" t="str">
            <v/>
          </cell>
          <cell r="BQ329" t="str">
            <v/>
          </cell>
          <cell r="BR329" t="str">
            <v/>
          </cell>
          <cell r="BS329" t="str">
            <v/>
          </cell>
          <cell r="BT329" t="str">
            <v/>
          </cell>
          <cell r="BU329" t="str">
            <v/>
          </cell>
          <cell r="BV329" t="str">
            <v/>
          </cell>
          <cell r="BW329" t="str">
            <v/>
          </cell>
          <cell r="BX329">
            <v>491266.16498299991</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v>310448.53901800001</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v>63.193551916758395</v>
          </cell>
          <cell r="DM329" t="str">
            <v/>
          </cell>
          <cell r="DN329" t="str">
            <v/>
          </cell>
          <cell r="DO329" t="str">
            <v/>
          </cell>
          <cell r="DP329" t="str">
            <v/>
          </cell>
          <cell r="DQ329" t="str">
            <v/>
          </cell>
          <cell r="DR329" t="str">
            <v/>
          </cell>
          <cell r="DS329" t="str">
            <v/>
          </cell>
          <cell r="DT329" t="str">
            <v/>
          </cell>
          <cell r="DU329" t="str">
            <v/>
          </cell>
          <cell r="DV329" t="str">
            <v/>
          </cell>
          <cell r="DY329" t="str">
            <v/>
          </cell>
        </row>
        <row r="330">
          <cell r="F330">
            <v>40616.5</v>
          </cell>
          <cell r="G330" t="str">
            <v/>
          </cell>
          <cell r="H330" t="str">
            <v/>
          </cell>
          <cell r="I330" t="str">
            <v/>
          </cell>
          <cell r="J330" t="str">
            <v/>
          </cell>
          <cell r="K330" t="str">
            <v/>
          </cell>
          <cell r="L330" t="str">
            <v/>
          </cell>
          <cell r="M330" t="str">
            <v/>
          </cell>
          <cell r="N330" t="str">
            <v/>
          </cell>
          <cell r="O330" t="str">
            <v/>
          </cell>
          <cell r="P330" t="str">
            <v/>
          </cell>
          <cell r="Q330" t="str">
            <v/>
          </cell>
          <cell r="R330" t="str">
            <v/>
          </cell>
          <cell r="S330" t="str">
            <v/>
          </cell>
          <cell r="T330" t="str">
            <v/>
          </cell>
          <cell r="U330" t="str">
            <v/>
          </cell>
          <cell r="V330" t="str">
            <v/>
          </cell>
          <cell r="W330" t="str">
            <v/>
          </cell>
          <cell r="X330" t="str">
            <v/>
          </cell>
          <cell r="Y330" t="str">
            <v/>
          </cell>
          <cell r="Z330" t="str">
            <v/>
          </cell>
          <cell r="AA330" t="str">
            <v/>
          </cell>
          <cell r="AB330">
            <v>0</v>
          </cell>
          <cell r="AC330" t="str">
            <v/>
          </cell>
          <cell r="AD330" t="str">
            <v/>
          </cell>
          <cell r="AE330" t="str">
            <v/>
          </cell>
          <cell r="AF330" t="str">
            <v/>
          </cell>
          <cell r="AG330" t="str">
            <v/>
          </cell>
          <cell r="AH330" t="str">
            <v/>
          </cell>
          <cell r="AI330" t="str">
            <v/>
          </cell>
          <cell r="AJ330" t="str">
            <v/>
          </cell>
          <cell r="AK330" t="str">
            <v/>
          </cell>
          <cell r="AL330" t="str">
            <v/>
          </cell>
          <cell r="AM330" t="str">
            <v/>
          </cell>
          <cell r="AN330" t="str">
            <v/>
          </cell>
          <cell r="AO330" t="str">
            <v/>
          </cell>
          <cell r="AP330" t="str">
            <v/>
          </cell>
          <cell r="AQ330" t="str">
            <v/>
          </cell>
          <cell r="AR330" t="str">
            <v/>
          </cell>
          <cell r="AS330" t="str">
            <v/>
          </cell>
          <cell r="AT330" t="str">
            <v/>
          </cell>
          <cell r="AU330" t="str">
            <v/>
          </cell>
          <cell r="AV330" t="str">
            <v/>
          </cell>
          <cell r="AW330" t="str">
            <v/>
          </cell>
          <cell r="AX330" t="str">
            <v/>
          </cell>
          <cell r="AY330" t="str">
            <v/>
          </cell>
          <cell r="AZ330" t="str">
            <v/>
          </cell>
          <cell r="BA330">
            <v>0</v>
          </cell>
          <cell r="BB330" t="str">
            <v/>
          </cell>
          <cell r="BC330" t="str">
            <v/>
          </cell>
          <cell r="BD330" t="str">
            <v/>
          </cell>
          <cell r="BE330" t="str">
            <v/>
          </cell>
          <cell r="BF330" t="str">
            <v/>
          </cell>
          <cell r="BG330" t="str">
            <v/>
          </cell>
          <cell r="BH330" t="str">
            <v/>
          </cell>
          <cell r="BI330" t="str">
            <v/>
          </cell>
          <cell r="BJ330" t="str">
            <v/>
          </cell>
          <cell r="BK330" t="str">
            <v/>
          </cell>
          <cell r="BL330" t="str">
            <v/>
          </cell>
          <cell r="BM330" t="str">
            <v/>
          </cell>
          <cell r="BN330" t="str">
            <v/>
          </cell>
          <cell r="BO330" t="str">
            <v/>
          </cell>
          <cell r="BP330" t="str">
            <v/>
          </cell>
          <cell r="BQ330" t="str">
            <v/>
          </cell>
          <cell r="BR330" t="str">
            <v/>
          </cell>
          <cell r="BS330" t="str">
            <v/>
          </cell>
          <cell r="BT330" t="str">
            <v/>
          </cell>
          <cell r="BU330" t="str">
            <v/>
          </cell>
          <cell r="BV330" t="str">
            <v/>
          </cell>
          <cell r="BW330" t="str">
            <v/>
          </cell>
          <cell r="BX330">
            <v>0</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v>0</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Y330" t="str">
            <v/>
          </cell>
        </row>
        <row r="331">
          <cell r="F331">
            <v>40707.8125</v>
          </cell>
          <cell r="G331" t="str">
            <v/>
          </cell>
          <cell r="H331" t="str">
            <v/>
          </cell>
          <cell r="I331" t="str">
            <v/>
          </cell>
          <cell r="J331" t="str">
            <v/>
          </cell>
          <cell r="K331" t="str">
            <v/>
          </cell>
          <cell r="L331" t="str">
            <v/>
          </cell>
          <cell r="M331" t="str">
            <v/>
          </cell>
          <cell r="N331" t="str">
            <v/>
          </cell>
          <cell r="O331" t="str">
            <v/>
          </cell>
          <cell r="P331" t="str">
            <v/>
          </cell>
          <cell r="Q331" t="str">
            <v/>
          </cell>
          <cell r="R331" t="str">
            <v/>
          </cell>
          <cell r="S331" t="str">
            <v/>
          </cell>
          <cell r="T331" t="str">
            <v/>
          </cell>
          <cell r="U331" t="str">
            <v/>
          </cell>
          <cell r="V331" t="str">
            <v/>
          </cell>
          <cell r="W331" t="str">
            <v/>
          </cell>
          <cell r="X331" t="str">
            <v/>
          </cell>
          <cell r="Y331" t="str">
            <v/>
          </cell>
          <cell r="Z331" t="str">
            <v/>
          </cell>
          <cell r="AA331" t="str">
            <v/>
          </cell>
          <cell r="AB331">
            <v>0</v>
          </cell>
          <cell r="AC331" t="str">
            <v/>
          </cell>
          <cell r="AD331" t="str">
            <v/>
          </cell>
          <cell r="AE331" t="str">
            <v/>
          </cell>
          <cell r="AF331" t="str">
            <v/>
          </cell>
          <cell r="AG331" t="str">
            <v/>
          </cell>
          <cell r="AH331" t="str">
            <v/>
          </cell>
          <cell r="AI331" t="str">
            <v/>
          </cell>
          <cell r="AJ331" t="str">
            <v/>
          </cell>
          <cell r="AK331" t="str">
            <v/>
          </cell>
          <cell r="AL331" t="str">
            <v/>
          </cell>
          <cell r="AM331" t="str">
            <v/>
          </cell>
          <cell r="AN331" t="str">
            <v/>
          </cell>
          <cell r="AO331" t="str">
            <v/>
          </cell>
          <cell r="AP331" t="str">
            <v/>
          </cell>
          <cell r="AQ331" t="str">
            <v/>
          </cell>
          <cell r="AR331" t="str">
            <v/>
          </cell>
          <cell r="AS331" t="str">
            <v/>
          </cell>
          <cell r="AT331" t="str">
            <v/>
          </cell>
          <cell r="AU331" t="str">
            <v/>
          </cell>
          <cell r="AV331" t="str">
            <v/>
          </cell>
          <cell r="AW331" t="str">
            <v/>
          </cell>
          <cell r="AX331" t="str">
            <v/>
          </cell>
          <cell r="AY331" t="str">
            <v/>
          </cell>
          <cell r="AZ331" t="str">
            <v/>
          </cell>
          <cell r="BA331">
            <v>0</v>
          </cell>
          <cell r="BB331" t="str">
            <v/>
          </cell>
          <cell r="BC331" t="str">
            <v/>
          </cell>
          <cell r="BD331" t="str">
            <v/>
          </cell>
          <cell r="BE331" t="str">
            <v/>
          </cell>
          <cell r="BF331" t="str">
            <v/>
          </cell>
          <cell r="BG331" t="str">
            <v/>
          </cell>
          <cell r="BH331" t="str">
            <v/>
          </cell>
          <cell r="BI331" t="str">
            <v/>
          </cell>
          <cell r="BJ331" t="str">
            <v/>
          </cell>
          <cell r="BK331" t="str">
            <v/>
          </cell>
          <cell r="BL331" t="str">
            <v/>
          </cell>
          <cell r="BM331" t="str">
            <v/>
          </cell>
          <cell r="BN331" t="str">
            <v/>
          </cell>
          <cell r="BO331" t="str">
            <v/>
          </cell>
          <cell r="BP331" t="str">
            <v/>
          </cell>
          <cell r="BQ331" t="str">
            <v/>
          </cell>
          <cell r="BR331" t="str">
            <v/>
          </cell>
          <cell r="BS331" t="str">
            <v/>
          </cell>
          <cell r="BT331" t="str">
            <v/>
          </cell>
          <cell r="BU331" t="str">
            <v/>
          </cell>
          <cell r="BV331" t="str">
            <v/>
          </cell>
          <cell r="BW331" t="str">
            <v/>
          </cell>
          <cell r="BX331">
            <v>0</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v>0</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Y331" t="str">
            <v/>
          </cell>
        </row>
        <row r="332">
          <cell r="F332">
            <v>40799.125</v>
          </cell>
          <cell r="G332" t="str">
            <v/>
          </cell>
          <cell r="H332" t="str">
            <v/>
          </cell>
          <cell r="I332" t="str">
            <v/>
          </cell>
          <cell r="J332" t="str">
            <v/>
          </cell>
          <cell r="K332" t="str">
            <v/>
          </cell>
          <cell r="L332" t="str">
            <v/>
          </cell>
          <cell r="M332" t="str">
            <v/>
          </cell>
          <cell r="N332" t="str">
            <v/>
          </cell>
          <cell r="O332" t="str">
            <v/>
          </cell>
          <cell r="P332" t="str">
            <v/>
          </cell>
          <cell r="Q332" t="str">
            <v/>
          </cell>
          <cell r="R332" t="str">
            <v/>
          </cell>
          <cell r="S332" t="str">
            <v/>
          </cell>
          <cell r="T332" t="str">
            <v/>
          </cell>
          <cell r="U332" t="str">
            <v/>
          </cell>
          <cell r="V332" t="str">
            <v/>
          </cell>
          <cell r="W332" t="str">
            <v/>
          </cell>
          <cell r="X332" t="str">
            <v/>
          </cell>
          <cell r="Y332" t="str">
            <v/>
          </cell>
          <cell r="Z332" t="str">
            <v/>
          </cell>
          <cell r="AA332" t="str">
            <v/>
          </cell>
          <cell r="AB332">
            <v>0</v>
          </cell>
          <cell r="AC332" t="str">
            <v/>
          </cell>
          <cell r="AD332" t="str">
            <v/>
          </cell>
          <cell r="AE332" t="str">
            <v/>
          </cell>
          <cell r="AF332" t="str">
            <v/>
          </cell>
          <cell r="AG332" t="str">
            <v/>
          </cell>
          <cell r="AH332" t="str">
            <v/>
          </cell>
          <cell r="AI332" t="str">
            <v/>
          </cell>
          <cell r="AJ332" t="str">
            <v/>
          </cell>
          <cell r="AK332" t="str">
            <v/>
          </cell>
          <cell r="AL332" t="str">
            <v/>
          </cell>
          <cell r="AM332" t="str">
            <v/>
          </cell>
          <cell r="AN332" t="str">
            <v/>
          </cell>
          <cell r="AO332" t="str">
            <v/>
          </cell>
          <cell r="AP332" t="str">
            <v/>
          </cell>
          <cell r="AQ332" t="str">
            <v/>
          </cell>
          <cell r="AR332" t="str">
            <v/>
          </cell>
          <cell r="AS332" t="str">
            <v/>
          </cell>
          <cell r="AT332" t="str">
            <v/>
          </cell>
          <cell r="AU332" t="str">
            <v/>
          </cell>
          <cell r="AV332" t="str">
            <v/>
          </cell>
          <cell r="AW332" t="str">
            <v/>
          </cell>
          <cell r="AX332" t="str">
            <v/>
          </cell>
          <cell r="AY332" t="str">
            <v/>
          </cell>
          <cell r="AZ332" t="str">
            <v/>
          </cell>
          <cell r="BA332">
            <v>0</v>
          </cell>
          <cell r="BB332" t="str">
            <v/>
          </cell>
          <cell r="BC332" t="str">
            <v/>
          </cell>
          <cell r="BD332" t="str">
            <v/>
          </cell>
          <cell r="BE332" t="str">
            <v/>
          </cell>
          <cell r="BF332" t="str">
            <v/>
          </cell>
          <cell r="BG332" t="str">
            <v/>
          </cell>
          <cell r="BH332" t="str">
            <v/>
          </cell>
          <cell r="BI332" t="str">
            <v/>
          </cell>
          <cell r="BJ332" t="str">
            <v/>
          </cell>
          <cell r="BK332" t="str">
            <v/>
          </cell>
          <cell r="BL332" t="str">
            <v/>
          </cell>
          <cell r="BM332" t="str">
            <v/>
          </cell>
          <cell r="BN332" t="str">
            <v/>
          </cell>
          <cell r="BO332" t="str">
            <v/>
          </cell>
          <cell r="BP332" t="str">
            <v/>
          </cell>
          <cell r="BQ332" t="str">
            <v/>
          </cell>
          <cell r="BR332" t="str">
            <v/>
          </cell>
          <cell r="BS332" t="str">
            <v/>
          </cell>
          <cell r="BT332" t="str">
            <v/>
          </cell>
          <cell r="BU332" t="str">
            <v/>
          </cell>
          <cell r="BV332" t="str">
            <v/>
          </cell>
          <cell r="BW332" t="str">
            <v/>
          </cell>
          <cell r="BX332">
            <v>0</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v>0</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Y332" t="str">
            <v/>
          </cell>
        </row>
        <row r="333">
          <cell r="F333">
            <v>40890.4375</v>
          </cell>
          <cell r="G333" t="str">
            <v/>
          </cell>
          <cell r="H333" t="str">
            <v/>
          </cell>
          <cell r="I333" t="str">
            <v/>
          </cell>
          <cell r="J333" t="str">
            <v/>
          </cell>
          <cell r="K333" t="str">
            <v/>
          </cell>
          <cell r="L333" t="str">
            <v/>
          </cell>
          <cell r="M333" t="str">
            <v/>
          </cell>
          <cell r="N333" t="str">
            <v/>
          </cell>
          <cell r="O333" t="str">
            <v/>
          </cell>
          <cell r="P333" t="str">
            <v/>
          </cell>
          <cell r="Q333" t="str">
            <v/>
          </cell>
          <cell r="R333" t="str">
            <v/>
          </cell>
          <cell r="S333" t="str">
            <v/>
          </cell>
          <cell r="T333" t="str">
            <v/>
          </cell>
          <cell r="U333" t="str">
            <v/>
          </cell>
          <cell r="V333" t="str">
            <v/>
          </cell>
          <cell r="W333" t="str">
            <v/>
          </cell>
          <cell r="X333" t="str">
            <v/>
          </cell>
          <cell r="Y333" t="str">
            <v/>
          </cell>
          <cell r="Z333" t="str">
            <v/>
          </cell>
          <cell r="AA333" t="str">
            <v/>
          </cell>
          <cell r="AB333">
            <v>0</v>
          </cell>
          <cell r="AC333" t="str">
            <v/>
          </cell>
          <cell r="AD333" t="str">
            <v/>
          </cell>
          <cell r="AE333" t="str">
            <v/>
          </cell>
          <cell r="AF333" t="str">
            <v/>
          </cell>
          <cell r="AG333" t="str">
            <v/>
          </cell>
          <cell r="AH333" t="str">
            <v/>
          </cell>
          <cell r="AI333" t="str">
            <v/>
          </cell>
          <cell r="AJ333" t="str">
            <v/>
          </cell>
          <cell r="AK333" t="str">
            <v/>
          </cell>
          <cell r="AL333" t="str">
            <v/>
          </cell>
          <cell r="AM333" t="str">
            <v/>
          </cell>
          <cell r="AN333" t="str">
            <v/>
          </cell>
          <cell r="AO333" t="str">
            <v/>
          </cell>
          <cell r="AP333" t="str">
            <v/>
          </cell>
          <cell r="AQ333" t="str">
            <v/>
          </cell>
          <cell r="AR333" t="str">
            <v/>
          </cell>
          <cell r="AS333" t="str">
            <v/>
          </cell>
          <cell r="AT333" t="str">
            <v/>
          </cell>
          <cell r="AU333" t="str">
            <v/>
          </cell>
          <cell r="AV333" t="str">
            <v/>
          </cell>
          <cell r="AW333" t="str">
            <v/>
          </cell>
          <cell r="AX333" t="str">
            <v/>
          </cell>
          <cell r="AY333" t="str">
            <v/>
          </cell>
          <cell r="AZ333" t="str">
            <v/>
          </cell>
          <cell r="BA333">
            <v>0</v>
          </cell>
          <cell r="BB333" t="str">
            <v/>
          </cell>
          <cell r="BC333" t="str">
            <v/>
          </cell>
          <cell r="BD333" t="str">
            <v/>
          </cell>
          <cell r="BE333" t="str">
            <v/>
          </cell>
          <cell r="BF333" t="str">
            <v/>
          </cell>
          <cell r="BG333" t="str">
            <v/>
          </cell>
          <cell r="BH333" t="str">
            <v/>
          </cell>
          <cell r="BI333" t="str">
            <v/>
          </cell>
          <cell r="BJ333" t="str">
            <v/>
          </cell>
          <cell r="BK333" t="str">
            <v/>
          </cell>
          <cell r="BL333" t="str">
            <v/>
          </cell>
          <cell r="BM333" t="str">
            <v/>
          </cell>
          <cell r="BN333" t="str">
            <v/>
          </cell>
          <cell r="BO333" t="str">
            <v/>
          </cell>
          <cell r="BP333" t="str">
            <v/>
          </cell>
          <cell r="BQ333" t="str">
            <v/>
          </cell>
          <cell r="BR333" t="str">
            <v/>
          </cell>
          <cell r="BS333" t="str">
            <v/>
          </cell>
          <cell r="BT333" t="str">
            <v/>
          </cell>
          <cell r="BU333" t="str">
            <v/>
          </cell>
          <cell r="BV333" t="str">
            <v/>
          </cell>
          <cell r="BW333" t="str">
            <v/>
          </cell>
          <cell r="BX333">
            <v>0</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v>0</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e">
            <v>#DIV/0!</v>
          </cell>
          <cell r="DM333" t="str">
            <v/>
          </cell>
          <cell r="DN333" t="str">
            <v/>
          </cell>
          <cell r="DO333" t="str">
            <v/>
          </cell>
          <cell r="DP333" t="str">
            <v/>
          </cell>
          <cell r="DQ333" t="str">
            <v/>
          </cell>
          <cell r="DR333" t="str">
            <v/>
          </cell>
          <cell r="DS333" t="str">
            <v/>
          </cell>
          <cell r="DT333" t="str">
            <v/>
          </cell>
          <cell r="DU333" t="str">
            <v/>
          </cell>
          <cell r="DV333" t="str">
            <v/>
          </cell>
          <cell r="DY333" t="str">
            <v/>
          </cell>
        </row>
        <row r="334">
          <cell r="F334">
            <v>40981.75</v>
          </cell>
          <cell r="G334" t="str">
            <v/>
          </cell>
          <cell r="H334" t="str">
            <v/>
          </cell>
          <cell r="I334" t="str">
            <v/>
          </cell>
          <cell r="J334" t="str">
            <v/>
          </cell>
          <cell r="K334" t="str">
            <v/>
          </cell>
          <cell r="L334" t="str">
            <v/>
          </cell>
          <cell r="M334" t="str">
            <v/>
          </cell>
          <cell r="N334" t="str">
            <v/>
          </cell>
          <cell r="O334" t="str">
            <v/>
          </cell>
          <cell r="P334" t="str">
            <v/>
          </cell>
          <cell r="Q334" t="str">
            <v/>
          </cell>
          <cell r="R334" t="str">
            <v/>
          </cell>
          <cell r="S334" t="str">
            <v/>
          </cell>
          <cell r="T334" t="str">
            <v/>
          </cell>
          <cell r="U334" t="str">
            <v/>
          </cell>
          <cell r="V334" t="str">
            <v/>
          </cell>
          <cell r="W334" t="str">
            <v/>
          </cell>
          <cell r="X334" t="str">
            <v/>
          </cell>
          <cell r="Y334" t="str">
            <v/>
          </cell>
          <cell r="Z334" t="str">
            <v/>
          </cell>
          <cell r="AA334" t="str">
            <v/>
          </cell>
          <cell r="AB334">
            <v>0</v>
          </cell>
          <cell r="AC334" t="str">
            <v/>
          </cell>
          <cell r="AD334" t="str">
            <v/>
          </cell>
          <cell r="AE334" t="str">
            <v/>
          </cell>
          <cell r="AF334" t="str">
            <v/>
          </cell>
          <cell r="AG334" t="str">
            <v/>
          </cell>
          <cell r="AH334" t="str">
            <v/>
          </cell>
          <cell r="AI334" t="str">
            <v/>
          </cell>
          <cell r="AJ334" t="str">
            <v/>
          </cell>
          <cell r="AK334" t="str">
            <v/>
          </cell>
          <cell r="AL334" t="str">
            <v/>
          </cell>
          <cell r="AM334" t="str">
            <v/>
          </cell>
          <cell r="AN334" t="str">
            <v/>
          </cell>
          <cell r="AO334" t="str">
            <v/>
          </cell>
          <cell r="AP334" t="str">
            <v/>
          </cell>
          <cell r="AQ334" t="str">
            <v/>
          </cell>
          <cell r="AR334" t="str">
            <v/>
          </cell>
          <cell r="AS334" t="str">
            <v/>
          </cell>
          <cell r="AT334" t="str">
            <v/>
          </cell>
          <cell r="AU334" t="str">
            <v/>
          </cell>
          <cell r="AV334" t="str">
            <v/>
          </cell>
          <cell r="AW334" t="str">
            <v/>
          </cell>
          <cell r="AX334" t="str">
            <v/>
          </cell>
          <cell r="AY334" t="str">
            <v/>
          </cell>
          <cell r="AZ334" t="str">
            <v/>
          </cell>
          <cell r="BA334">
            <v>0</v>
          </cell>
          <cell r="BB334" t="str">
            <v/>
          </cell>
          <cell r="BC334" t="str">
            <v/>
          </cell>
          <cell r="BD334" t="str">
            <v/>
          </cell>
          <cell r="BE334" t="str">
            <v/>
          </cell>
          <cell r="BF334" t="str">
            <v/>
          </cell>
          <cell r="BG334" t="str">
            <v/>
          </cell>
          <cell r="BH334" t="str">
            <v/>
          </cell>
          <cell r="BI334" t="str">
            <v/>
          </cell>
          <cell r="BJ334" t="str">
            <v/>
          </cell>
          <cell r="BK334" t="str">
            <v/>
          </cell>
          <cell r="BL334" t="str">
            <v/>
          </cell>
          <cell r="BM334" t="str">
            <v/>
          </cell>
          <cell r="BN334" t="str">
            <v/>
          </cell>
          <cell r="BO334" t="str">
            <v/>
          </cell>
          <cell r="BP334" t="str">
            <v/>
          </cell>
          <cell r="BQ334" t="str">
            <v/>
          </cell>
          <cell r="BR334" t="str">
            <v/>
          </cell>
          <cell r="BS334" t="str">
            <v/>
          </cell>
          <cell r="BT334" t="str">
            <v/>
          </cell>
          <cell r="BU334" t="str">
            <v/>
          </cell>
          <cell r="BV334" t="str">
            <v/>
          </cell>
          <cell r="BW334" t="str">
            <v/>
          </cell>
          <cell r="BX334">
            <v>0</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v>0</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Y334" t="str">
            <v/>
          </cell>
        </row>
        <row r="335">
          <cell r="F335">
            <v>41073.0625</v>
          </cell>
          <cell r="G335" t="str">
            <v/>
          </cell>
          <cell r="H335" t="str">
            <v/>
          </cell>
          <cell r="I335" t="str">
            <v/>
          </cell>
          <cell r="J335" t="str">
            <v/>
          </cell>
          <cell r="K335" t="str">
            <v/>
          </cell>
          <cell r="L335" t="str">
            <v/>
          </cell>
          <cell r="M335" t="str">
            <v/>
          </cell>
          <cell r="N335" t="str">
            <v/>
          </cell>
          <cell r="O335" t="str">
            <v/>
          </cell>
          <cell r="P335" t="str">
            <v/>
          </cell>
          <cell r="Q335" t="str">
            <v/>
          </cell>
          <cell r="R335" t="str">
            <v/>
          </cell>
          <cell r="S335" t="str">
            <v/>
          </cell>
          <cell r="T335" t="str">
            <v/>
          </cell>
          <cell r="U335" t="str">
            <v/>
          </cell>
          <cell r="V335" t="str">
            <v/>
          </cell>
          <cell r="W335" t="str">
            <v/>
          </cell>
          <cell r="X335" t="str">
            <v/>
          </cell>
          <cell r="Y335" t="str">
            <v/>
          </cell>
          <cell r="Z335" t="str">
            <v/>
          </cell>
          <cell r="AA335" t="str">
            <v/>
          </cell>
          <cell r="AB335">
            <v>0</v>
          </cell>
          <cell r="AC335" t="str">
            <v/>
          </cell>
          <cell r="AD335" t="str">
            <v/>
          </cell>
          <cell r="AE335" t="str">
            <v/>
          </cell>
          <cell r="AF335" t="str">
            <v/>
          </cell>
          <cell r="AG335" t="str">
            <v/>
          </cell>
          <cell r="AH335" t="str">
            <v/>
          </cell>
          <cell r="AI335" t="str">
            <v/>
          </cell>
          <cell r="AJ335" t="str">
            <v/>
          </cell>
          <cell r="AK335" t="str">
            <v/>
          </cell>
          <cell r="AL335" t="str">
            <v/>
          </cell>
          <cell r="AM335" t="str">
            <v/>
          </cell>
          <cell r="AN335" t="str">
            <v/>
          </cell>
          <cell r="AO335" t="str">
            <v/>
          </cell>
          <cell r="AP335" t="str">
            <v/>
          </cell>
          <cell r="AQ335" t="str">
            <v/>
          </cell>
          <cell r="AR335" t="str">
            <v/>
          </cell>
          <cell r="AS335" t="str">
            <v/>
          </cell>
          <cell r="AT335" t="str">
            <v/>
          </cell>
          <cell r="AU335" t="str">
            <v/>
          </cell>
          <cell r="AV335" t="str">
            <v/>
          </cell>
          <cell r="AW335" t="str">
            <v/>
          </cell>
          <cell r="AX335" t="str">
            <v/>
          </cell>
          <cell r="AY335" t="str">
            <v/>
          </cell>
          <cell r="AZ335" t="str">
            <v/>
          </cell>
          <cell r="BA335">
            <v>0</v>
          </cell>
          <cell r="BB335" t="str">
            <v/>
          </cell>
          <cell r="BC335" t="str">
            <v/>
          </cell>
          <cell r="BD335" t="str">
            <v/>
          </cell>
          <cell r="BE335" t="str">
            <v/>
          </cell>
          <cell r="BF335" t="str">
            <v/>
          </cell>
          <cell r="BG335" t="str">
            <v/>
          </cell>
          <cell r="BH335" t="str">
            <v/>
          </cell>
          <cell r="BI335" t="str">
            <v/>
          </cell>
          <cell r="BJ335" t="str">
            <v/>
          </cell>
          <cell r="BK335" t="str">
            <v/>
          </cell>
          <cell r="BL335" t="str">
            <v/>
          </cell>
          <cell r="BM335" t="str">
            <v/>
          </cell>
          <cell r="BN335" t="str">
            <v/>
          </cell>
          <cell r="BO335" t="str">
            <v/>
          </cell>
          <cell r="BP335" t="str">
            <v/>
          </cell>
          <cell r="BQ335" t="str">
            <v/>
          </cell>
          <cell r="BR335" t="str">
            <v/>
          </cell>
          <cell r="BS335" t="str">
            <v/>
          </cell>
          <cell r="BT335" t="str">
            <v/>
          </cell>
          <cell r="BU335" t="str">
            <v/>
          </cell>
          <cell r="BV335" t="str">
            <v/>
          </cell>
          <cell r="BW335" t="str">
            <v/>
          </cell>
          <cell r="BX335">
            <v>0</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v>0</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Y335" t="str">
            <v/>
          </cell>
        </row>
        <row r="336">
          <cell r="F336">
            <v>41164.375</v>
          </cell>
          <cell r="G336" t="str">
            <v/>
          </cell>
          <cell r="H336" t="str">
            <v/>
          </cell>
          <cell r="I336" t="str">
            <v/>
          </cell>
          <cell r="J336" t="str">
            <v/>
          </cell>
          <cell r="K336" t="str">
            <v/>
          </cell>
          <cell r="L336" t="str">
            <v/>
          </cell>
          <cell r="M336" t="str">
            <v/>
          </cell>
          <cell r="N336" t="str">
            <v/>
          </cell>
          <cell r="O336" t="str">
            <v/>
          </cell>
          <cell r="P336" t="str">
            <v/>
          </cell>
          <cell r="Q336" t="str">
            <v/>
          </cell>
          <cell r="R336" t="str">
            <v/>
          </cell>
          <cell r="S336" t="str">
            <v/>
          </cell>
          <cell r="T336" t="str">
            <v/>
          </cell>
          <cell r="U336" t="str">
            <v/>
          </cell>
          <cell r="V336" t="str">
            <v/>
          </cell>
          <cell r="W336" t="str">
            <v/>
          </cell>
          <cell r="X336" t="str">
            <v/>
          </cell>
          <cell r="Y336" t="str">
            <v/>
          </cell>
          <cell r="Z336" t="str">
            <v/>
          </cell>
          <cell r="AA336" t="str">
            <v/>
          </cell>
          <cell r="AB336">
            <v>0</v>
          </cell>
          <cell r="AC336" t="str">
            <v/>
          </cell>
          <cell r="AD336" t="str">
            <v/>
          </cell>
          <cell r="AE336" t="str">
            <v/>
          </cell>
          <cell r="AF336" t="str">
            <v/>
          </cell>
          <cell r="AG336" t="str">
            <v/>
          </cell>
          <cell r="AH336" t="str">
            <v/>
          </cell>
          <cell r="AI336" t="str">
            <v/>
          </cell>
          <cell r="AJ336" t="str">
            <v/>
          </cell>
          <cell r="AK336" t="str">
            <v/>
          </cell>
          <cell r="AL336" t="str">
            <v/>
          </cell>
          <cell r="AM336" t="str">
            <v/>
          </cell>
          <cell r="AN336" t="str">
            <v/>
          </cell>
          <cell r="AO336" t="str">
            <v/>
          </cell>
          <cell r="AP336" t="str">
            <v/>
          </cell>
          <cell r="AQ336" t="str">
            <v/>
          </cell>
          <cell r="AR336" t="str">
            <v/>
          </cell>
          <cell r="AS336" t="str">
            <v/>
          </cell>
          <cell r="AT336" t="str">
            <v/>
          </cell>
          <cell r="AU336" t="str">
            <v/>
          </cell>
          <cell r="AV336" t="str">
            <v/>
          </cell>
          <cell r="AW336" t="str">
            <v/>
          </cell>
          <cell r="AX336" t="str">
            <v/>
          </cell>
          <cell r="AY336" t="str">
            <v/>
          </cell>
          <cell r="AZ336" t="str">
            <v/>
          </cell>
          <cell r="BA336">
            <v>0</v>
          </cell>
          <cell r="BB336" t="str">
            <v/>
          </cell>
          <cell r="BC336" t="str">
            <v/>
          </cell>
          <cell r="BD336" t="str">
            <v/>
          </cell>
          <cell r="BE336" t="str">
            <v/>
          </cell>
          <cell r="BF336" t="str">
            <v/>
          </cell>
          <cell r="BG336" t="str">
            <v/>
          </cell>
          <cell r="BH336" t="str">
            <v/>
          </cell>
          <cell r="BI336" t="str">
            <v/>
          </cell>
          <cell r="BJ336" t="str">
            <v/>
          </cell>
          <cell r="BK336" t="str">
            <v/>
          </cell>
          <cell r="BL336" t="str">
            <v/>
          </cell>
          <cell r="BM336" t="str">
            <v/>
          </cell>
          <cell r="BN336" t="str">
            <v/>
          </cell>
          <cell r="BO336" t="str">
            <v/>
          </cell>
          <cell r="BP336" t="str">
            <v/>
          </cell>
          <cell r="BQ336" t="str">
            <v/>
          </cell>
          <cell r="BR336" t="str">
            <v/>
          </cell>
          <cell r="BS336" t="str">
            <v/>
          </cell>
          <cell r="BT336" t="str">
            <v/>
          </cell>
          <cell r="BU336" t="str">
            <v/>
          </cell>
          <cell r="BV336" t="str">
            <v/>
          </cell>
          <cell r="BW336" t="str">
            <v/>
          </cell>
          <cell r="BX336">
            <v>0</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v>0</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Y336" t="str">
            <v/>
          </cell>
        </row>
        <row r="337">
          <cell r="F337">
            <v>41255.6875</v>
          </cell>
          <cell r="G337" t="str">
            <v/>
          </cell>
          <cell r="H337" t="str">
            <v/>
          </cell>
          <cell r="I337" t="str">
            <v/>
          </cell>
          <cell r="J337" t="str">
            <v/>
          </cell>
          <cell r="K337" t="str">
            <v/>
          </cell>
          <cell r="L337" t="str">
            <v/>
          </cell>
          <cell r="M337" t="str">
            <v/>
          </cell>
          <cell r="N337" t="str">
            <v/>
          </cell>
          <cell r="O337" t="str">
            <v/>
          </cell>
          <cell r="P337" t="str">
            <v/>
          </cell>
          <cell r="Q337" t="str">
            <v/>
          </cell>
          <cell r="R337" t="str">
            <v/>
          </cell>
          <cell r="S337" t="str">
            <v/>
          </cell>
          <cell r="T337" t="str">
            <v/>
          </cell>
          <cell r="U337" t="str">
            <v/>
          </cell>
          <cell r="V337" t="str">
            <v/>
          </cell>
          <cell r="W337" t="str">
            <v/>
          </cell>
          <cell r="X337" t="str">
            <v/>
          </cell>
          <cell r="Y337" t="str">
            <v/>
          </cell>
          <cell r="Z337" t="str">
            <v/>
          </cell>
          <cell r="AA337" t="str">
            <v/>
          </cell>
          <cell r="AB337">
            <v>0</v>
          </cell>
          <cell r="AC337" t="str">
            <v/>
          </cell>
          <cell r="AD337" t="str">
            <v/>
          </cell>
          <cell r="AE337" t="str">
            <v/>
          </cell>
          <cell r="AF337" t="str">
            <v/>
          </cell>
          <cell r="AG337" t="str">
            <v/>
          </cell>
          <cell r="AH337" t="str">
            <v/>
          </cell>
          <cell r="AI337" t="str">
            <v/>
          </cell>
          <cell r="AJ337" t="str">
            <v/>
          </cell>
          <cell r="AK337" t="str">
            <v/>
          </cell>
          <cell r="AL337" t="str">
            <v/>
          </cell>
          <cell r="AM337" t="str">
            <v/>
          </cell>
          <cell r="AN337" t="str">
            <v/>
          </cell>
          <cell r="AO337" t="str">
            <v/>
          </cell>
          <cell r="AP337" t="str">
            <v/>
          </cell>
          <cell r="AQ337" t="str">
            <v/>
          </cell>
          <cell r="AR337" t="str">
            <v/>
          </cell>
          <cell r="AS337" t="str">
            <v/>
          </cell>
          <cell r="AT337" t="str">
            <v/>
          </cell>
          <cell r="AU337" t="str">
            <v/>
          </cell>
          <cell r="AV337" t="str">
            <v/>
          </cell>
          <cell r="AW337" t="str">
            <v/>
          </cell>
          <cell r="AX337" t="str">
            <v/>
          </cell>
          <cell r="AY337" t="str">
            <v/>
          </cell>
          <cell r="AZ337" t="str">
            <v/>
          </cell>
          <cell r="BA337">
            <v>0</v>
          </cell>
          <cell r="BB337" t="str">
            <v/>
          </cell>
          <cell r="BC337" t="str">
            <v/>
          </cell>
          <cell r="BD337" t="str">
            <v/>
          </cell>
          <cell r="BE337" t="str">
            <v/>
          </cell>
          <cell r="BF337" t="str">
            <v/>
          </cell>
          <cell r="BG337" t="str">
            <v/>
          </cell>
          <cell r="BH337" t="str">
            <v/>
          </cell>
          <cell r="BI337" t="str">
            <v/>
          </cell>
          <cell r="BJ337" t="str">
            <v/>
          </cell>
          <cell r="BK337" t="str">
            <v/>
          </cell>
          <cell r="BL337" t="str">
            <v/>
          </cell>
          <cell r="BM337" t="str">
            <v/>
          </cell>
          <cell r="BN337" t="str">
            <v/>
          </cell>
          <cell r="BO337" t="str">
            <v/>
          </cell>
          <cell r="BP337" t="str">
            <v/>
          </cell>
          <cell r="BQ337" t="str">
            <v/>
          </cell>
          <cell r="BR337" t="str">
            <v/>
          </cell>
          <cell r="BS337" t="str">
            <v/>
          </cell>
          <cell r="BT337" t="str">
            <v/>
          </cell>
          <cell r="BU337" t="str">
            <v/>
          </cell>
          <cell r="BV337" t="str">
            <v/>
          </cell>
          <cell r="BW337" t="str">
            <v/>
          </cell>
          <cell r="BX337">
            <v>0</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v>0</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e">
            <v>#DIV/0!</v>
          </cell>
          <cell r="DM337" t="str">
            <v/>
          </cell>
          <cell r="DN337" t="str">
            <v/>
          </cell>
          <cell r="DO337" t="str">
            <v/>
          </cell>
          <cell r="DP337" t="str">
            <v/>
          </cell>
          <cell r="DQ337" t="str">
            <v/>
          </cell>
          <cell r="DR337" t="str">
            <v/>
          </cell>
          <cell r="DS337" t="str">
            <v/>
          </cell>
          <cell r="DT337" t="str">
            <v/>
          </cell>
          <cell r="DU337" t="str">
            <v/>
          </cell>
          <cell r="DV337" t="str">
            <v/>
          </cell>
          <cell r="DY337" t="str">
            <v/>
          </cell>
        </row>
        <row r="338">
          <cell r="F338">
            <v>41347</v>
          </cell>
          <cell r="G338" t="str">
            <v/>
          </cell>
          <cell r="H338" t="str">
            <v/>
          </cell>
          <cell r="I338" t="str">
            <v/>
          </cell>
          <cell r="J338" t="str">
            <v/>
          </cell>
          <cell r="K338" t="str">
            <v/>
          </cell>
          <cell r="L338" t="str">
            <v/>
          </cell>
          <cell r="M338" t="str">
            <v/>
          </cell>
          <cell r="N338" t="str">
            <v/>
          </cell>
          <cell r="O338" t="str">
            <v/>
          </cell>
          <cell r="P338" t="str">
            <v/>
          </cell>
          <cell r="Q338" t="str">
            <v/>
          </cell>
          <cell r="R338" t="str">
            <v/>
          </cell>
          <cell r="S338" t="str">
            <v/>
          </cell>
          <cell r="T338" t="str">
            <v/>
          </cell>
          <cell r="U338" t="str">
            <v/>
          </cell>
          <cell r="V338" t="str">
            <v/>
          </cell>
          <cell r="W338" t="str">
            <v/>
          </cell>
          <cell r="X338" t="str">
            <v/>
          </cell>
          <cell r="Y338" t="str">
            <v/>
          </cell>
          <cell r="Z338" t="str">
            <v/>
          </cell>
          <cell r="AA338" t="str">
            <v/>
          </cell>
          <cell r="AB338">
            <v>0</v>
          </cell>
          <cell r="AC338" t="str">
            <v/>
          </cell>
          <cell r="AD338" t="str">
            <v/>
          </cell>
          <cell r="AE338" t="str">
            <v/>
          </cell>
          <cell r="AF338" t="str">
            <v/>
          </cell>
          <cell r="AG338" t="str">
            <v/>
          </cell>
          <cell r="AH338" t="str">
            <v/>
          </cell>
          <cell r="AI338" t="str">
            <v/>
          </cell>
          <cell r="AJ338" t="str">
            <v/>
          </cell>
          <cell r="AK338" t="str">
            <v/>
          </cell>
          <cell r="AL338" t="str">
            <v/>
          </cell>
          <cell r="AM338" t="str">
            <v/>
          </cell>
          <cell r="AN338" t="str">
            <v/>
          </cell>
          <cell r="AO338" t="str">
            <v/>
          </cell>
          <cell r="AP338" t="str">
            <v/>
          </cell>
          <cell r="AQ338" t="str">
            <v/>
          </cell>
          <cell r="AR338" t="str">
            <v/>
          </cell>
          <cell r="AS338" t="str">
            <v/>
          </cell>
          <cell r="AT338" t="str">
            <v/>
          </cell>
          <cell r="AU338" t="str">
            <v/>
          </cell>
          <cell r="AV338" t="str">
            <v/>
          </cell>
          <cell r="AW338" t="str">
            <v/>
          </cell>
          <cell r="AX338" t="str">
            <v/>
          </cell>
          <cell r="AY338" t="str">
            <v/>
          </cell>
          <cell r="AZ338" t="str">
            <v/>
          </cell>
          <cell r="BA338">
            <v>0</v>
          </cell>
          <cell r="BB338" t="str">
            <v/>
          </cell>
          <cell r="BC338" t="str">
            <v/>
          </cell>
          <cell r="BD338" t="str">
            <v/>
          </cell>
          <cell r="BE338" t="str">
            <v/>
          </cell>
          <cell r="BF338" t="str">
            <v/>
          </cell>
          <cell r="BG338" t="str">
            <v/>
          </cell>
          <cell r="BH338" t="str">
            <v/>
          </cell>
          <cell r="BI338" t="str">
            <v/>
          </cell>
          <cell r="BJ338" t="str">
            <v/>
          </cell>
          <cell r="BK338" t="str">
            <v/>
          </cell>
          <cell r="BL338" t="str">
            <v/>
          </cell>
          <cell r="BM338" t="str">
            <v/>
          </cell>
          <cell r="BN338" t="str">
            <v/>
          </cell>
          <cell r="BO338" t="str">
            <v/>
          </cell>
          <cell r="BP338" t="str">
            <v/>
          </cell>
          <cell r="BQ338" t="str">
            <v/>
          </cell>
          <cell r="BR338" t="str">
            <v/>
          </cell>
          <cell r="BS338" t="str">
            <v/>
          </cell>
          <cell r="BT338" t="str">
            <v/>
          </cell>
          <cell r="BU338" t="str">
            <v/>
          </cell>
          <cell r="BV338" t="str">
            <v/>
          </cell>
          <cell r="BW338" t="str">
            <v/>
          </cell>
          <cell r="BX338">
            <v>0</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v>0</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Y338" t="str">
            <v/>
          </cell>
        </row>
        <row r="339">
          <cell r="F339">
            <v>41438.3125</v>
          </cell>
          <cell r="G339" t="str">
            <v/>
          </cell>
          <cell r="H339" t="str">
            <v/>
          </cell>
          <cell r="I339" t="str">
            <v/>
          </cell>
          <cell r="J339" t="str">
            <v/>
          </cell>
          <cell r="K339" t="str">
            <v/>
          </cell>
          <cell r="L339" t="str">
            <v/>
          </cell>
          <cell r="M339" t="str">
            <v/>
          </cell>
          <cell r="N339" t="str">
            <v/>
          </cell>
          <cell r="O339" t="str">
            <v/>
          </cell>
          <cell r="P339" t="str">
            <v/>
          </cell>
          <cell r="Q339" t="str">
            <v/>
          </cell>
          <cell r="R339" t="str">
            <v/>
          </cell>
          <cell r="S339" t="str">
            <v/>
          </cell>
          <cell r="T339" t="str">
            <v/>
          </cell>
          <cell r="U339" t="str">
            <v/>
          </cell>
          <cell r="V339" t="str">
            <v/>
          </cell>
          <cell r="W339" t="str">
            <v/>
          </cell>
          <cell r="X339" t="str">
            <v/>
          </cell>
          <cell r="Y339" t="str">
            <v/>
          </cell>
          <cell r="Z339" t="str">
            <v/>
          </cell>
          <cell r="AA339" t="str">
            <v/>
          </cell>
          <cell r="AB339">
            <v>0</v>
          </cell>
          <cell r="AC339" t="str">
            <v/>
          </cell>
          <cell r="AD339" t="str">
            <v/>
          </cell>
          <cell r="AE339" t="str">
            <v/>
          </cell>
          <cell r="AF339" t="str">
            <v/>
          </cell>
          <cell r="AG339" t="str">
            <v/>
          </cell>
          <cell r="AH339" t="str">
            <v/>
          </cell>
          <cell r="AI339" t="str">
            <v/>
          </cell>
          <cell r="AJ339" t="str">
            <v/>
          </cell>
          <cell r="AK339" t="str">
            <v/>
          </cell>
          <cell r="AL339" t="str">
            <v/>
          </cell>
          <cell r="AM339" t="str">
            <v/>
          </cell>
          <cell r="AN339" t="str">
            <v/>
          </cell>
          <cell r="AO339" t="str">
            <v/>
          </cell>
          <cell r="AP339" t="str">
            <v/>
          </cell>
          <cell r="AQ339" t="str">
            <v/>
          </cell>
          <cell r="AR339" t="str">
            <v/>
          </cell>
          <cell r="AS339" t="str">
            <v/>
          </cell>
          <cell r="AT339" t="str">
            <v/>
          </cell>
          <cell r="AU339" t="str">
            <v/>
          </cell>
          <cell r="AV339" t="str">
            <v/>
          </cell>
          <cell r="AW339" t="str">
            <v/>
          </cell>
          <cell r="AX339" t="str">
            <v/>
          </cell>
          <cell r="AY339" t="str">
            <v/>
          </cell>
          <cell r="AZ339" t="str">
            <v/>
          </cell>
          <cell r="BA339">
            <v>0</v>
          </cell>
          <cell r="BB339" t="str">
            <v/>
          </cell>
          <cell r="BC339" t="str">
            <v/>
          </cell>
          <cell r="BD339" t="str">
            <v/>
          </cell>
          <cell r="BE339" t="str">
            <v/>
          </cell>
          <cell r="BF339" t="str">
            <v/>
          </cell>
          <cell r="BG339" t="str">
            <v/>
          </cell>
          <cell r="BH339" t="str">
            <v/>
          </cell>
          <cell r="BI339" t="str">
            <v/>
          </cell>
          <cell r="BJ339" t="str">
            <v/>
          </cell>
          <cell r="BK339" t="str">
            <v/>
          </cell>
          <cell r="BL339" t="str">
            <v/>
          </cell>
          <cell r="BM339" t="str">
            <v/>
          </cell>
          <cell r="BN339" t="str">
            <v/>
          </cell>
          <cell r="BO339" t="str">
            <v/>
          </cell>
          <cell r="BP339" t="str">
            <v/>
          </cell>
          <cell r="BQ339" t="str">
            <v/>
          </cell>
          <cell r="BR339" t="str">
            <v/>
          </cell>
          <cell r="BS339" t="str">
            <v/>
          </cell>
          <cell r="BT339" t="str">
            <v/>
          </cell>
          <cell r="BU339" t="str">
            <v/>
          </cell>
          <cell r="BV339" t="str">
            <v/>
          </cell>
          <cell r="BW339" t="str">
            <v/>
          </cell>
          <cell r="BX339">
            <v>0</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v>0</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Y339" t="str">
            <v/>
          </cell>
        </row>
        <row r="340">
          <cell r="F340">
            <v>41529.625</v>
          </cell>
          <cell r="G340" t="str">
            <v/>
          </cell>
          <cell r="H340" t="str">
            <v/>
          </cell>
          <cell r="I340" t="str">
            <v/>
          </cell>
          <cell r="J340" t="str">
            <v/>
          </cell>
          <cell r="K340" t="str">
            <v/>
          </cell>
          <cell r="L340" t="str">
            <v/>
          </cell>
          <cell r="M340" t="str">
            <v/>
          </cell>
          <cell r="N340" t="str">
            <v/>
          </cell>
          <cell r="O340" t="str">
            <v/>
          </cell>
          <cell r="P340" t="str">
            <v/>
          </cell>
          <cell r="Q340" t="str">
            <v/>
          </cell>
          <cell r="R340" t="str">
            <v/>
          </cell>
          <cell r="S340" t="str">
            <v/>
          </cell>
          <cell r="T340" t="str">
            <v/>
          </cell>
          <cell r="U340" t="str">
            <v/>
          </cell>
          <cell r="V340" t="str">
            <v/>
          </cell>
          <cell r="W340" t="str">
            <v/>
          </cell>
          <cell r="X340" t="str">
            <v/>
          </cell>
          <cell r="Y340" t="str">
            <v/>
          </cell>
          <cell r="Z340" t="str">
            <v/>
          </cell>
          <cell r="AA340" t="str">
            <v/>
          </cell>
          <cell r="AB340">
            <v>0</v>
          </cell>
          <cell r="AC340" t="str">
            <v/>
          </cell>
          <cell r="AD340" t="str">
            <v/>
          </cell>
          <cell r="AE340" t="str">
            <v/>
          </cell>
          <cell r="AF340" t="str">
            <v/>
          </cell>
          <cell r="AG340" t="str">
            <v/>
          </cell>
          <cell r="AH340" t="str">
            <v/>
          </cell>
          <cell r="AI340" t="str">
            <v/>
          </cell>
          <cell r="AJ340" t="str">
            <v/>
          </cell>
          <cell r="AK340" t="str">
            <v/>
          </cell>
          <cell r="AL340" t="str">
            <v/>
          </cell>
          <cell r="AM340" t="str">
            <v/>
          </cell>
          <cell r="AN340" t="str">
            <v/>
          </cell>
          <cell r="AO340" t="str">
            <v/>
          </cell>
          <cell r="AP340" t="str">
            <v/>
          </cell>
          <cell r="AQ340" t="str">
            <v/>
          </cell>
          <cell r="AR340" t="str">
            <v/>
          </cell>
          <cell r="AS340" t="str">
            <v/>
          </cell>
          <cell r="AT340" t="str">
            <v/>
          </cell>
          <cell r="AU340" t="str">
            <v/>
          </cell>
          <cell r="AV340" t="str">
            <v/>
          </cell>
          <cell r="AW340" t="str">
            <v/>
          </cell>
          <cell r="AX340" t="str">
            <v/>
          </cell>
          <cell r="AY340" t="str">
            <v/>
          </cell>
          <cell r="AZ340" t="str">
            <v/>
          </cell>
          <cell r="BA340">
            <v>0</v>
          </cell>
          <cell r="BB340" t="str">
            <v/>
          </cell>
          <cell r="BC340" t="str">
            <v/>
          </cell>
          <cell r="BD340" t="str">
            <v/>
          </cell>
          <cell r="BE340" t="str">
            <v/>
          </cell>
          <cell r="BF340" t="str">
            <v/>
          </cell>
          <cell r="BG340" t="str">
            <v/>
          </cell>
          <cell r="BH340" t="str">
            <v/>
          </cell>
          <cell r="BI340" t="str">
            <v/>
          </cell>
          <cell r="BJ340" t="str">
            <v/>
          </cell>
          <cell r="BK340" t="str">
            <v/>
          </cell>
          <cell r="BL340" t="str">
            <v/>
          </cell>
          <cell r="BM340" t="str">
            <v/>
          </cell>
          <cell r="BN340" t="str">
            <v/>
          </cell>
          <cell r="BO340" t="str">
            <v/>
          </cell>
          <cell r="BP340" t="str">
            <v/>
          </cell>
          <cell r="BQ340" t="str">
            <v/>
          </cell>
          <cell r="BR340" t="str">
            <v/>
          </cell>
          <cell r="BS340" t="str">
            <v/>
          </cell>
          <cell r="BT340" t="str">
            <v/>
          </cell>
          <cell r="BU340" t="str">
            <v/>
          </cell>
          <cell r="BV340" t="str">
            <v/>
          </cell>
          <cell r="BW340" t="str">
            <v/>
          </cell>
          <cell r="BX340">
            <v>0</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v>0</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Y340" t="str">
            <v/>
          </cell>
        </row>
        <row r="341">
          <cell r="F341">
            <v>41620.9375</v>
          </cell>
          <cell r="G341" t="str">
            <v/>
          </cell>
          <cell r="H341" t="str">
            <v/>
          </cell>
          <cell r="I341" t="str">
            <v/>
          </cell>
          <cell r="J341" t="str">
            <v/>
          </cell>
          <cell r="K341" t="str">
            <v/>
          </cell>
          <cell r="L341" t="str">
            <v/>
          </cell>
          <cell r="M341" t="str">
            <v/>
          </cell>
          <cell r="N341" t="str">
            <v/>
          </cell>
          <cell r="O341" t="str">
            <v/>
          </cell>
          <cell r="P341" t="str">
            <v/>
          </cell>
          <cell r="Q341" t="str">
            <v/>
          </cell>
          <cell r="R341" t="str">
            <v/>
          </cell>
          <cell r="S341" t="str">
            <v/>
          </cell>
          <cell r="T341" t="str">
            <v/>
          </cell>
          <cell r="U341" t="str">
            <v/>
          </cell>
          <cell r="V341" t="str">
            <v/>
          </cell>
          <cell r="W341" t="str">
            <v/>
          </cell>
          <cell r="X341" t="str">
            <v/>
          </cell>
          <cell r="Y341" t="str">
            <v/>
          </cell>
          <cell r="Z341" t="str">
            <v/>
          </cell>
          <cell r="AA341" t="str">
            <v/>
          </cell>
          <cell r="AB341">
            <v>0</v>
          </cell>
          <cell r="AC341" t="str">
            <v/>
          </cell>
          <cell r="AD341" t="str">
            <v/>
          </cell>
          <cell r="AE341" t="str">
            <v/>
          </cell>
          <cell r="AF341" t="str">
            <v/>
          </cell>
          <cell r="AG341" t="str">
            <v/>
          </cell>
          <cell r="AH341" t="str">
            <v/>
          </cell>
          <cell r="AI341" t="str">
            <v/>
          </cell>
          <cell r="AJ341" t="str">
            <v/>
          </cell>
          <cell r="AK341" t="str">
            <v/>
          </cell>
          <cell r="AL341" t="str">
            <v/>
          </cell>
          <cell r="AM341" t="str">
            <v/>
          </cell>
          <cell r="AN341" t="str">
            <v/>
          </cell>
          <cell r="AO341" t="str">
            <v/>
          </cell>
          <cell r="AP341" t="str">
            <v/>
          </cell>
          <cell r="AQ341" t="str">
            <v/>
          </cell>
          <cell r="AR341" t="str">
            <v/>
          </cell>
          <cell r="AS341" t="str">
            <v/>
          </cell>
          <cell r="AT341" t="str">
            <v/>
          </cell>
          <cell r="AU341" t="str">
            <v/>
          </cell>
          <cell r="AV341" t="str">
            <v/>
          </cell>
          <cell r="AW341" t="str">
            <v/>
          </cell>
          <cell r="AX341" t="str">
            <v/>
          </cell>
          <cell r="AY341" t="str">
            <v/>
          </cell>
          <cell r="AZ341" t="str">
            <v/>
          </cell>
          <cell r="BA341">
            <v>0</v>
          </cell>
          <cell r="BB341" t="str">
            <v/>
          </cell>
          <cell r="BC341" t="str">
            <v/>
          </cell>
          <cell r="BD341" t="str">
            <v/>
          </cell>
          <cell r="BE341" t="str">
            <v/>
          </cell>
          <cell r="BF341" t="str">
            <v/>
          </cell>
          <cell r="BG341" t="str">
            <v/>
          </cell>
          <cell r="BH341" t="str">
            <v/>
          </cell>
          <cell r="BI341" t="str">
            <v/>
          </cell>
          <cell r="BJ341" t="str">
            <v/>
          </cell>
          <cell r="BK341" t="str">
            <v/>
          </cell>
          <cell r="BL341" t="str">
            <v/>
          </cell>
          <cell r="BM341" t="str">
            <v/>
          </cell>
          <cell r="BN341" t="str">
            <v/>
          </cell>
          <cell r="BO341" t="str">
            <v/>
          </cell>
          <cell r="BP341" t="str">
            <v/>
          </cell>
          <cell r="BQ341" t="str">
            <v/>
          </cell>
          <cell r="BR341" t="str">
            <v/>
          </cell>
          <cell r="BS341" t="str">
            <v/>
          </cell>
          <cell r="BT341" t="str">
            <v/>
          </cell>
          <cell r="BU341" t="str">
            <v/>
          </cell>
          <cell r="BV341" t="str">
            <v/>
          </cell>
          <cell r="BW341" t="str">
            <v/>
          </cell>
          <cell r="BX341">
            <v>0</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v>0</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e">
            <v>#DIV/0!</v>
          </cell>
          <cell r="DM341" t="str">
            <v/>
          </cell>
          <cell r="DN341" t="str">
            <v/>
          </cell>
          <cell r="DO341" t="str">
            <v/>
          </cell>
          <cell r="DP341" t="str">
            <v/>
          </cell>
          <cell r="DQ341" t="str">
            <v/>
          </cell>
          <cell r="DR341" t="str">
            <v/>
          </cell>
          <cell r="DS341" t="str">
            <v/>
          </cell>
          <cell r="DT341" t="str">
            <v/>
          </cell>
          <cell r="DU341" t="str">
            <v/>
          </cell>
          <cell r="DV341" t="str">
            <v/>
          </cell>
          <cell r="DY341" t="str">
            <v/>
          </cell>
        </row>
        <row r="342">
          <cell r="F342">
            <v>41712.25</v>
          </cell>
          <cell r="G342" t="str">
            <v/>
          </cell>
          <cell r="H342" t="str">
            <v/>
          </cell>
          <cell r="I342" t="str">
            <v/>
          </cell>
          <cell r="J342" t="str">
            <v/>
          </cell>
          <cell r="K342" t="str">
            <v/>
          </cell>
          <cell r="L342" t="str">
            <v/>
          </cell>
          <cell r="M342" t="str">
            <v/>
          </cell>
          <cell r="N342" t="str">
            <v/>
          </cell>
          <cell r="O342" t="str">
            <v/>
          </cell>
          <cell r="P342" t="str">
            <v/>
          </cell>
          <cell r="Q342" t="str">
            <v/>
          </cell>
          <cell r="R342" t="str">
            <v/>
          </cell>
          <cell r="S342" t="str">
            <v/>
          </cell>
          <cell r="T342" t="str">
            <v/>
          </cell>
          <cell r="U342" t="str">
            <v/>
          </cell>
          <cell r="V342" t="str">
            <v/>
          </cell>
          <cell r="W342" t="str">
            <v/>
          </cell>
          <cell r="X342" t="str">
            <v/>
          </cell>
          <cell r="Y342" t="str">
            <v/>
          </cell>
          <cell r="Z342" t="str">
            <v/>
          </cell>
          <cell r="AA342" t="str">
            <v/>
          </cell>
          <cell r="AB342">
            <v>0</v>
          </cell>
          <cell r="AC342" t="str">
            <v/>
          </cell>
          <cell r="AD342" t="str">
            <v/>
          </cell>
          <cell r="AE342" t="str">
            <v/>
          </cell>
          <cell r="AF342" t="str">
            <v/>
          </cell>
          <cell r="AG342" t="str">
            <v/>
          </cell>
          <cell r="AH342" t="str">
            <v/>
          </cell>
          <cell r="AI342" t="str">
            <v/>
          </cell>
          <cell r="AJ342" t="str">
            <v/>
          </cell>
          <cell r="AK342" t="str">
            <v/>
          </cell>
          <cell r="AL342" t="str">
            <v/>
          </cell>
          <cell r="AM342" t="str">
            <v/>
          </cell>
          <cell r="AN342" t="str">
            <v/>
          </cell>
          <cell r="AO342" t="str">
            <v/>
          </cell>
          <cell r="AP342" t="str">
            <v/>
          </cell>
          <cell r="AQ342" t="str">
            <v/>
          </cell>
          <cell r="AR342" t="str">
            <v/>
          </cell>
          <cell r="AS342" t="str">
            <v/>
          </cell>
          <cell r="AT342" t="str">
            <v/>
          </cell>
          <cell r="AU342" t="str">
            <v/>
          </cell>
          <cell r="AV342" t="str">
            <v/>
          </cell>
          <cell r="AW342" t="str">
            <v/>
          </cell>
          <cell r="AX342" t="str">
            <v/>
          </cell>
          <cell r="AY342" t="str">
            <v/>
          </cell>
          <cell r="AZ342" t="str">
            <v/>
          </cell>
          <cell r="BA342">
            <v>0</v>
          </cell>
          <cell r="BB342" t="str">
            <v/>
          </cell>
          <cell r="BC342" t="str">
            <v/>
          </cell>
          <cell r="BD342" t="str">
            <v/>
          </cell>
          <cell r="BE342" t="str">
            <v/>
          </cell>
          <cell r="BF342" t="str">
            <v/>
          </cell>
          <cell r="BG342" t="str">
            <v/>
          </cell>
          <cell r="BH342" t="str">
            <v/>
          </cell>
          <cell r="BI342" t="str">
            <v/>
          </cell>
          <cell r="BJ342" t="str">
            <v/>
          </cell>
          <cell r="BK342" t="str">
            <v/>
          </cell>
          <cell r="BL342" t="str">
            <v/>
          </cell>
          <cell r="BM342" t="str">
            <v/>
          </cell>
          <cell r="BN342" t="str">
            <v/>
          </cell>
          <cell r="BO342" t="str">
            <v/>
          </cell>
          <cell r="BP342" t="str">
            <v/>
          </cell>
          <cell r="BQ342" t="str">
            <v/>
          </cell>
          <cell r="BR342" t="str">
            <v/>
          </cell>
          <cell r="BS342" t="str">
            <v/>
          </cell>
          <cell r="BT342" t="str">
            <v/>
          </cell>
          <cell r="BU342" t="str">
            <v/>
          </cell>
          <cell r="BV342" t="str">
            <v/>
          </cell>
          <cell r="BW342" t="str">
            <v/>
          </cell>
          <cell r="BX342">
            <v>0</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v>0</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Y342" t="str">
            <v/>
          </cell>
        </row>
        <row r="343">
          <cell r="F343">
            <v>41803.5625</v>
          </cell>
          <cell r="G343" t="str">
            <v/>
          </cell>
          <cell r="H343" t="str">
            <v/>
          </cell>
          <cell r="I343" t="str">
            <v/>
          </cell>
          <cell r="J343" t="str">
            <v/>
          </cell>
          <cell r="K343" t="str">
            <v/>
          </cell>
          <cell r="L343" t="str">
            <v/>
          </cell>
          <cell r="M343" t="str">
            <v/>
          </cell>
          <cell r="N343" t="str">
            <v/>
          </cell>
          <cell r="O343" t="str">
            <v/>
          </cell>
          <cell r="P343" t="str">
            <v/>
          </cell>
          <cell r="Q343" t="str">
            <v/>
          </cell>
          <cell r="R343" t="str">
            <v/>
          </cell>
          <cell r="S343" t="str">
            <v/>
          </cell>
          <cell r="T343" t="str">
            <v/>
          </cell>
          <cell r="U343" t="str">
            <v/>
          </cell>
          <cell r="V343" t="str">
            <v/>
          </cell>
          <cell r="W343" t="str">
            <v/>
          </cell>
          <cell r="X343" t="str">
            <v/>
          </cell>
          <cell r="Y343" t="str">
            <v/>
          </cell>
          <cell r="Z343" t="str">
            <v/>
          </cell>
          <cell r="AA343" t="str">
            <v/>
          </cell>
          <cell r="AB343">
            <v>0</v>
          </cell>
          <cell r="AC343" t="str">
            <v/>
          </cell>
          <cell r="AD343" t="str">
            <v/>
          </cell>
          <cell r="AE343" t="str">
            <v/>
          </cell>
          <cell r="AF343" t="str">
            <v/>
          </cell>
          <cell r="AG343" t="str">
            <v/>
          </cell>
          <cell r="AH343" t="str">
            <v/>
          </cell>
          <cell r="AI343" t="str">
            <v/>
          </cell>
          <cell r="AJ343" t="str">
            <v/>
          </cell>
          <cell r="AK343" t="str">
            <v/>
          </cell>
          <cell r="AL343" t="str">
            <v/>
          </cell>
          <cell r="AM343" t="str">
            <v/>
          </cell>
          <cell r="AN343" t="str">
            <v/>
          </cell>
          <cell r="AO343" t="str">
            <v/>
          </cell>
          <cell r="AP343" t="str">
            <v/>
          </cell>
          <cell r="AQ343" t="str">
            <v/>
          </cell>
          <cell r="AR343" t="str">
            <v/>
          </cell>
          <cell r="AS343" t="str">
            <v/>
          </cell>
          <cell r="AT343" t="str">
            <v/>
          </cell>
          <cell r="AU343" t="str">
            <v/>
          </cell>
          <cell r="AV343" t="str">
            <v/>
          </cell>
          <cell r="AW343" t="str">
            <v/>
          </cell>
          <cell r="AX343" t="str">
            <v/>
          </cell>
          <cell r="AY343" t="str">
            <v/>
          </cell>
          <cell r="AZ343" t="str">
            <v/>
          </cell>
          <cell r="BA343">
            <v>0</v>
          </cell>
          <cell r="BB343" t="str">
            <v/>
          </cell>
          <cell r="BC343" t="str">
            <v/>
          </cell>
          <cell r="BD343" t="str">
            <v/>
          </cell>
          <cell r="BE343" t="str">
            <v/>
          </cell>
          <cell r="BF343" t="str">
            <v/>
          </cell>
          <cell r="BG343" t="str">
            <v/>
          </cell>
          <cell r="BH343" t="str">
            <v/>
          </cell>
          <cell r="BI343" t="str">
            <v/>
          </cell>
          <cell r="BJ343" t="str">
            <v/>
          </cell>
          <cell r="BK343" t="str">
            <v/>
          </cell>
          <cell r="BL343" t="str">
            <v/>
          </cell>
          <cell r="BM343" t="str">
            <v/>
          </cell>
          <cell r="BN343" t="str">
            <v/>
          </cell>
          <cell r="BO343" t="str">
            <v/>
          </cell>
          <cell r="BP343" t="str">
            <v/>
          </cell>
          <cell r="BQ343" t="str">
            <v/>
          </cell>
          <cell r="BR343" t="str">
            <v/>
          </cell>
          <cell r="BS343" t="str">
            <v/>
          </cell>
          <cell r="BT343" t="str">
            <v/>
          </cell>
          <cell r="BU343" t="str">
            <v/>
          </cell>
          <cell r="BV343" t="str">
            <v/>
          </cell>
          <cell r="BW343" t="str">
            <v/>
          </cell>
          <cell r="BX343">
            <v>0</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v>0</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Y343" t="str">
            <v/>
          </cell>
        </row>
        <row r="344">
          <cell r="F344">
            <v>41894.875</v>
          </cell>
          <cell r="G344" t="str">
            <v/>
          </cell>
          <cell r="H344" t="str">
            <v/>
          </cell>
          <cell r="I344" t="str">
            <v/>
          </cell>
          <cell r="J344" t="str">
            <v/>
          </cell>
          <cell r="K344" t="str">
            <v/>
          </cell>
          <cell r="L344" t="str">
            <v/>
          </cell>
          <cell r="M344" t="str">
            <v/>
          </cell>
          <cell r="N344" t="str">
            <v/>
          </cell>
          <cell r="O344" t="str">
            <v/>
          </cell>
          <cell r="P344" t="str">
            <v/>
          </cell>
          <cell r="Q344" t="str">
            <v/>
          </cell>
          <cell r="R344" t="str">
            <v/>
          </cell>
          <cell r="S344" t="str">
            <v/>
          </cell>
          <cell r="T344" t="str">
            <v/>
          </cell>
          <cell r="U344" t="str">
            <v/>
          </cell>
          <cell r="V344" t="str">
            <v/>
          </cell>
          <cell r="W344" t="str">
            <v/>
          </cell>
          <cell r="X344" t="str">
            <v/>
          </cell>
          <cell r="Y344" t="str">
            <v/>
          </cell>
          <cell r="Z344" t="str">
            <v/>
          </cell>
          <cell r="AA344" t="str">
            <v/>
          </cell>
          <cell r="AB344">
            <v>0</v>
          </cell>
          <cell r="AC344" t="str">
            <v/>
          </cell>
          <cell r="AD344" t="str">
            <v/>
          </cell>
          <cell r="AE344" t="str">
            <v/>
          </cell>
          <cell r="AF344" t="str">
            <v/>
          </cell>
          <cell r="AG344" t="str">
            <v/>
          </cell>
          <cell r="AH344" t="str">
            <v/>
          </cell>
          <cell r="AI344" t="str">
            <v/>
          </cell>
          <cell r="AJ344" t="str">
            <v/>
          </cell>
          <cell r="AK344" t="str">
            <v/>
          </cell>
          <cell r="AL344" t="str">
            <v/>
          </cell>
          <cell r="AM344" t="str">
            <v/>
          </cell>
          <cell r="AN344" t="str">
            <v/>
          </cell>
          <cell r="AO344" t="str">
            <v/>
          </cell>
          <cell r="AP344" t="str">
            <v/>
          </cell>
          <cell r="AQ344" t="str">
            <v/>
          </cell>
          <cell r="AR344" t="str">
            <v/>
          </cell>
          <cell r="AS344" t="str">
            <v/>
          </cell>
          <cell r="AT344" t="str">
            <v/>
          </cell>
          <cell r="AU344" t="str">
            <v/>
          </cell>
          <cell r="AV344" t="str">
            <v/>
          </cell>
          <cell r="AW344" t="str">
            <v/>
          </cell>
          <cell r="AX344" t="str">
            <v/>
          </cell>
          <cell r="AY344" t="str">
            <v/>
          </cell>
          <cell r="AZ344" t="str">
            <v/>
          </cell>
          <cell r="BA344">
            <v>0</v>
          </cell>
          <cell r="BB344" t="str">
            <v/>
          </cell>
          <cell r="BC344" t="str">
            <v/>
          </cell>
          <cell r="BD344" t="str">
            <v/>
          </cell>
          <cell r="BE344" t="str">
            <v/>
          </cell>
          <cell r="BF344" t="str">
            <v/>
          </cell>
          <cell r="BG344" t="str">
            <v/>
          </cell>
          <cell r="BH344" t="str">
            <v/>
          </cell>
          <cell r="BI344" t="str">
            <v/>
          </cell>
          <cell r="BJ344" t="str">
            <v/>
          </cell>
          <cell r="BK344" t="str">
            <v/>
          </cell>
          <cell r="BL344" t="str">
            <v/>
          </cell>
          <cell r="BM344" t="str">
            <v/>
          </cell>
          <cell r="BN344" t="str">
            <v/>
          </cell>
          <cell r="BO344" t="str">
            <v/>
          </cell>
          <cell r="BP344" t="str">
            <v/>
          </cell>
          <cell r="BQ344" t="str">
            <v/>
          </cell>
          <cell r="BR344" t="str">
            <v/>
          </cell>
          <cell r="BS344" t="str">
            <v/>
          </cell>
          <cell r="BT344" t="str">
            <v/>
          </cell>
          <cell r="BU344" t="str">
            <v/>
          </cell>
          <cell r="BV344" t="str">
            <v/>
          </cell>
          <cell r="BW344" t="str">
            <v/>
          </cell>
          <cell r="BX344">
            <v>0</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v>0</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Y344" t="str">
            <v/>
          </cell>
        </row>
        <row r="345">
          <cell r="F345">
            <v>41986.1875</v>
          </cell>
          <cell r="G345" t="str">
            <v/>
          </cell>
          <cell r="H345" t="str">
            <v/>
          </cell>
          <cell r="I345" t="str">
            <v/>
          </cell>
          <cell r="J345" t="str">
            <v/>
          </cell>
          <cell r="K345" t="str">
            <v/>
          </cell>
          <cell r="L345" t="str">
            <v/>
          </cell>
          <cell r="M345" t="str">
            <v/>
          </cell>
          <cell r="N345" t="str">
            <v/>
          </cell>
          <cell r="O345" t="str">
            <v/>
          </cell>
          <cell r="P345" t="str">
            <v/>
          </cell>
          <cell r="Q345" t="str">
            <v/>
          </cell>
          <cell r="R345" t="str">
            <v/>
          </cell>
          <cell r="S345" t="str">
            <v/>
          </cell>
          <cell r="T345" t="str">
            <v/>
          </cell>
          <cell r="U345" t="str">
            <v/>
          </cell>
          <cell r="V345" t="str">
            <v/>
          </cell>
          <cell r="W345" t="str">
            <v/>
          </cell>
          <cell r="X345" t="str">
            <v/>
          </cell>
          <cell r="Y345" t="str">
            <v/>
          </cell>
          <cell r="Z345" t="str">
            <v/>
          </cell>
          <cell r="AA345" t="str">
            <v/>
          </cell>
          <cell r="AB345">
            <v>0</v>
          </cell>
          <cell r="AC345" t="str">
            <v/>
          </cell>
          <cell r="AD345" t="str">
            <v/>
          </cell>
          <cell r="AE345" t="str">
            <v/>
          </cell>
          <cell r="AF345" t="str">
            <v/>
          </cell>
          <cell r="AG345" t="str">
            <v/>
          </cell>
          <cell r="AH345" t="str">
            <v/>
          </cell>
          <cell r="AI345" t="str">
            <v/>
          </cell>
          <cell r="AJ345" t="str">
            <v/>
          </cell>
          <cell r="AK345" t="str">
            <v/>
          </cell>
          <cell r="AL345" t="str">
            <v/>
          </cell>
          <cell r="AM345" t="str">
            <v/>
          </cell>
          <cell r="AN345" t="str">
            <v/>
          </cell>
          <cell r="AO345" t="str">
            <v/>
          </cell>
          <cell r="AP345" t="str">
            <v/>
          </cell>
          <cell r="AQ345" t="str">
            <v/>
          </cell>
          <cell r="AR345" t="str">
            <v/>
          </cell>
          <cell r="AS345" t="str">
            <v/>
          </cell>
          <cell r="AT345" t="str">
            <v/>
          </cell>
          <cell r="AU345" t="str">
            <v/>
          </cell>
          <cell r="AV345" t="str">
            <v/>
          </cell>
          <cell r="AW345" t="str">
            <v/>
          </cell>
          <cell r="AX345" t="str">
            <v/>
          </cell>
          <cell r="AY345" t="str">
            <v/>
          </cell>
          <cell r="AZ345" t="str">
            <v/>
          </cell>
          <cell r="BA345">
            <v>0</v>
          </cell>
          <cell r="BB345" t="str">
            <v/>
          </cell>
          <cell r="BC345" t="str">
            <v/>
          </cell>
          <cell r="BD345" t="str">
            <v/>
          </cell>
          <cell r="BE345" t="str">
            <v/>
          </cell>
          <cell r="BF345" t="str">
            <v/>
          </cell>
          <cell r="BG345" t="str">
            <v/>
          </cell>
          <cell r="BH345" t="str">
            <v/>
          </cell>
          <cell r="BI345" t="str">
            <v/>
          </cell>
          <cell r="BJ345" t="str">
            <v/>
          </cell>
          <cell r="BK345" t="str">
            <v/>
          </cell>
          <cell r="BL345" t="str">
            <v/>
          </cell>
          <cell r="BM345" t="str">
            <v/>
          </cell>
          <cell r="BN345" t="str">
            <v/>
          </cell>
          <cell r="BO345" t="str">
            <v/>
          </cell>
          <cell r="BP345" t="str">
            <v/>
          </cell>
          <cell r="BQ345" t="str">
            <v/>
          </cell>
          <cell r="BR345" t="str">
            <v/>
          </cell>
          <cell r="BS345" t="str">
            <v/>
          </cell>
          <cell r="BT345" t="str">
            <v/>
          </cell>
          <cell r="BU345" t="str">
            <v/>
          </cell>
          <cell r="BV345" t="str">
            <v/>
          </cell>
          <cell r="BW345" t="str">
            <v/>
          </cell>
          <cell r="BX345">
            <v>0</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v>0</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e">
            <v>#DIV/0!</v>
          </cell>
          <cell r="DM345" t="str">
            <v/>
          </cell>
          <cell r="DN345" t="str">
            <v/>
          </cell>
          <cell r="DO345" t="str">
            <v/>
          </cell>
          <cell r="DP345" t="str">
            <v/>
          </cell>
          <cell r="DQ345" t="str">
            <v/>
          </cell>
          <cell r="DR345" t="str">
            <v/>
          </cell>
          <cell r="DS345" t="str">
            <v/>
          </cell>
          <cell r="DT345" t="str">
            <v/>
          </cell>
          <cell r="DU345" t="str">
            <v/>
          </cell>
          <cell r="DV345" t="str">
            <v/>
          </cell>
          <cell r="DY345" t="str">
            <v/>
          </cell>
        </row>
        <row r="346">
          <cell r="F346">
            <v>42077.5</v>
          </cell>
          <cell r="G346" t="str">
            <v/>
          </cell>
          <cell r="H346" t="str">
            <v/>
          </cell>
          <cell r="I346" t="str">
            <v/>
          </cell>
          <cell r="J346" t="str">
            <v/>
          </cell>
          <cell r="K346" t="str">
            <v/>
          </cell>
          <cell r="L346" t="str">
            <v/>
          </cell>
          <cell r="M346" t="str">
            <v/>
          </cell>
          <cell r="N346" t="str">
            <v/>
          </cell>
          <cell r="O346" t="str">
            <v/>
          </cell>
          <cell r="P346" t="str">
            <v/>
          </cell>
          <cell r="Q346" t="str">
            <v/>
          </cell>
          <cell r="R346" t="str">
            <v/>
          </cell>
          <cell r="S346" t="str">
            <v/>
          </cell>
          <cell r="T346" t="str">
            <v/>
          </cell>
          <cell r="U346" t="str">
            <v/>
          </cell>
          <cell r="V346" t="str">
            <v/>
          </cell>
          <cell r="W346" t="str">
            <v/>
          </cell>
          <cell r="X346" t="str">
            <v/>
          </cell>
          <cell r="Y346" t="str">
            <v/>
          </cell>
          <cell r="Z346" t="str">
            <v/>
          </cell>
          <cell r="AA346" t="str">
            <v/>
          </cell>
          <cell r="AB346">
            <v>0</v>
          </cell>
          <cell r="AC346" t="str">
            <v/>
          </cell>
          <cell r="AD346" t="str">
            <v/>
          </cell>
          <cell r="AE346" t="str">
            <v/>
          </cell>
          <cell r="AF346" t="str">
            <v/>
          </cell>
          <cell r="AG346" t="str">
            <v/>
          </cell>
          <cell r="AH346" t="str">
            <v/>
          </cell>
          <cell r="AI346" t="str">
            <v/>
          </cell>
          <cell r="AJ346" t="str">
            <v/>
          </cell>
          <cell r="AK346" t="str">
            <v/>
          </cell>
          <cell r="AL346" t="str">
            <v/>
          </cell>
          <cell r="AM346" t="str">
            <v/>
          </cell>
          <cell r="AN346" t="str">
            <v/>
          </cell>
          <cell r="AO346" t="str">
            <v/>
          </cell>
          <cell r="AP346" t="str">
            <v/>
          </cell>
          <cell r="AQ346" t="str">
            <v/>
          </cell>
          <cell r="AR346" t="str">
            <v/>
          </cell>
          <cell r="AS346" t="str">
            <v/>
          </cell>
          <cell r="AT346" t="str">
            <v/>
          </cell>
          <cell r="AU346" t="str">
            <v/>
          </cell>
          <cell r="AV346" t="str">
            <v/>
          </cell>
          <cell r="AW346" t="str">
            <v/>
          </cell>
          <cell r="AX346" t="str">
            <v/>
          </cell>
          <cell r="AY346" t="str">
            <v/>
          </cell>
          <cell r="AZ346" t="str">
            <v/>
          </cell>
          <cell r="BA346">
            <v>0</v>
          </cell>
          <cell r="BB346" t="str">
            <v/>
          </cell>
          <cell r="BC346" t="str">
            <v/>
          </cell>
          <cell r="BD346" t="str">
            <v/>
          </cell>
          <cell r="BE346" t="str">
            <v/>
          </cell>
          <cell r="BF346" t="str">
            <v/>
          </cell>
          <cell r="BG346" t="str">
            <v/>
          </cell>
          <cell r="BH346" t="str">
            <v/>
          </cell>
          <cell r="BI346" t="str">
            <v/>
          </cell>
          <cell r="BJ346" t="str">
            <v/>
          </cell>
          <cell r="BK346" t="str">
            <v/>
          </cell>
          <cell r="BL346" t="str">
            <v/>
          </cell>
          <cell r="BM346" t="str">
            <v/>
          </cell>
          <cell r="BN346" t="str">
            <v/>
          </cell>
          <cell r="BO346" t="str">
            <v/>
          </cell>
          <cell r="BP346" t="str">
            <v/>
          </cell>
          <cell r="BQ346" t="str">
            <v/>
          </cell>
          <cell r="BR346" t="str">
            <v/>
          </cell>
          <cell r="BS346" t="str">
            <v/>
          </cell>
          <cell r="BT346" t="str">
            <v/>
          </cell>
          <cell r="BU346" t="str">
            <v/>
          </cell>
          <cell r="BV346" t="str">
            <v/>
          </cell>
          <cell r="BW346" t="str">
            <v/>
          </cell>
          <cell r="BX346">
            <v>0</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v>0</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Y346" t="str">
            <v/>
          </cell>
        </row>
        <row r="347">
          <cell r="F347">
            <v>42168.8125</v>
          </cell>
          <cell r="G347" t="str">
            <v/>
          </cell>
          <cell r="H347" t="str">
            <v/>
          </cell>
          <cell r="I347" t="str">
            <v/>
          </cell>
          <cell r="J347" t="str">
            <v/>
          </cell>
          <cell r="K347" t="str">
            <v/>
          </cell>
          <cell r="L347" t="str">
            <v/>
          </cell>
          <cell r="M347" t="str">
            <v/>
          </cell>
          <cell r="N347" t="str">
            <v/>
          </cell>
          <cell r="O347" t="str">
            <v/>
          </cell>
          <cell r="P347" t="str">
            <v/>
          </cell>
          <cell r="Q347" t="str">
            <v/>
          </cell>
          <cell r="R347" t="str">
            <v/>
          </cell>
          <cell r="S347" t="str">
            <v/>
          </cell>
          <cell r="T347" t="str">
            <v/>
          </cell>
          <cell r="U347" t="str">
            <v/>
          </cell>
          <cell r="V347" t="str">
            <v/>
          </cell>
          <cell r="W347" t="str">
            <v/>
          </cell>
          <cell r="X347" t="str">
            <v/>
          </cell>
          <cell r="Y347" t="str">
            <v/>
          </cell>
          <cell r="Z347" t="str">
            <v/>
          </cell>
          <cell r="AA347" t="str">
            <v/>
          </cell>
          <cell r="AB347">
            <v>0</v>
          </cell>
          <cell r="AC347" t="str">
            <v/>
          </cell>
          <cell r="AD347" t="str">
            <v/>
          </cell>
          <cell r="AE347" t="str">
            <v/>
          </cell>
          <cell r="AF347" t="str">
            <v/>
          </cell>
          <cell r="AG347" t="str">
            <v/>
          </cell>
          <cell r="AH347" t="str">
            <v/>
          </cell>
          <cell r="AI347" t="str">
            <v/>
          </cell>
          <cell r="AJ347" t="str">
            <v/>
          </cell>
          <cell r="AK347" t="str">
            <v/>
          </cell>
          <cell r="AL347" t="str">
            <v/>
          </cell>
          <cell r="AM347" t="str">
            <v/>
          </cell>
          <cell r="AN347" t="str">
            <v/>
          </cell>
          <cell r="AO347" t="str">
            <v/>
          </cell>
          <cell r="AP347" t="str">
            <v/>
          </cell>
          <cell r="AQ347" t="str">
            <v/>
          </cell>
          <cell r="AR347" t="str">
            <v/>
          </cell>
          <cell r="AS347" t="str">
            <v/>
          </cell>
          <cell r="AT347" t="str">
            <v/>
          </cell>
          <cell r="AU347" t="str">
            <v/>
          </cell>
          <cell r="AV347" t="str">
            <v/>
          </cell>
          <cell r="AW347" t="str">
            <v/>
          </cell>
          <cell r="AX347" t="str">
            <v/>
          </cell>
          <cell r="AY347" t="str">
            <v/>
          </cell>
          <cell r="AZ347" t="str">
            <v/>
          </cell>
          <cell r="BA347">
            <v>0</v>
          </cell>
          <cell r="BB347" t="str">
            <v/>
          </cell>
          <cell r="BC347" t="str">
            <v/>
          </cell>
          <cell r="BD347" t="str">
            <v/>
          </cell>
          <cell r="BE347" t="str">
            <v/>
          </cell>
          <cell r="BF347" t="str">
            <v/>
          </cell>
          <cell r="BG347" t="str">
            <v/>
          </cell>
          <cell r="BH347" t="str">
            <v/>
          </cell>
          <cell r="BI347" t="str">
            <v/>
          </cell>
          <cell r="BJ347" t="str">
            <v/>
          </cell>
          <cell r="BK347" t="str">
            <v/>
          </cell>
          <cell r="BL347" t="str">
            <v/>
          </cell>
          <cell r="BM347" t="str">
            <v/>
          </cell>
          <cell r="BN347" t="str">
            <v/>
          </cell>
          <cell r="BO347" t="str">
            <v/>
          </cell>
          <cell r="BP347" t="str">
            <v/>
          </cell>
          <cell r="BQ347" t="str">
            <v/>
          </cell>
          <cell r="BR347" t="str">
            <v/>
          </cell>
          <cell r="BS347" t="str">
            <v/>
          </cell>
          <cell r="BT347" t="str">
            <v/>
          </cell>
          <cell r="BU347" t="str">
            <v/>
          </cell>
          <cell r="BV347" t="str">
            <v/>
          </cell>
          <cell r="BW347" t="str">
            <v/>
          </cell>
          <cell r="BX347">
            <v>0</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v>0</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Y347" t="str">
            <v/>
          </cell>
        </row>
        <row r="348">
          <cell r="F348">
            <v>42260.125</v>
          </cell>
          <cell r="G348" t="str">
            <v/>
          </cell>
          <cell r="H348" t="str">
            <v/>
          </cell>
          <cell r="I348" t="str">
            <v/>
          </cell>
          <cell r="J348" t="str">
            <v/>
          </cell>
          <cell r="K348" t="str">
            <v/>
          </cell>
          <cell r="L348" t="str">
            <v/>
          </cell>
          <cell r="M348" t="str">
            <v/>
          </cell>
          <cell r="N348" t="str">
            <v/>
          </cell>
          <cell r="O348" t="str">
            <v/>
          </cell>
          <cell r="P348" t="str">
            <v/>
          </cell>
          <cell r="Q348" t="str">
            <v/>
          </cell>
          <cell r="R348" t="str">
            <v/>
          </cell>
          <cell r="S348" t="str">
            <v/>
          </cell>
          <cell r="T348" t="str">
            <v/>
          </cell>
          <cell r="U348" t="str">
            <v/>
          </cell>
          <cell r="V348" t="str">
            <v/>
          </cell>
          <cell r="W348" t="str">
            <v/>
          </cell>
          <cell r="X348" t="str">
            <v/>
          </cell>
          <cell r="Y348" t="str">
            <v/>
          </cell>
          <cell r="Z348" t="str">
            <v/>
          </cell>
          <cell r="AA348" t="str">
            <v/>
          </cell>
          <cell r="AB348">
            <v>0</v>
          </cell>
          <cell r="AC348" t="str">
            <v/>
          </cell>
          <cell r="AD348" t="str">
            <v/>
          </cell>
          <cell r="AE348" t="str">
            <v/>
          </cell>
          <cell r="AF348" t="str">
            <v/>
          </cell>
          <cell r="AG348" t="str">
            <v/>
          </cell>
          <cell r="AH348" t="str">
            <v/>
          </cell>
          <cell r="AI348" t="str">
            <v/>
          </cell>
          <cell r="AJ348" t="str">
            <v/>
          </cell>
          <cell r="AK348" t="str">
            <v/>
          </cell>
          <cell r="AL348" t="str">
            <v/>
          </cell>
          <cell r="AM348" t="str">
            <v/>
          </cell>
          <cell r="AN348" t="str">
            <v/>
          </cell>
          <cell r="AO348" t="str">
            <v/>
          </cell>
          <cell r="AP348" t="str">
            <v/>
          </cell>
          <cell r="AQ348" t="str">
            <v/>
          </cell>
          <cell r="AR348" t="str">
            <v/>
          </cell>
          <cell r="AS348" t="str">
            <v/>
          </cell>
          <cell r="AT348" t="str">
            <v/>
          </cell>
          <cell r="AU348" t="str">
            <v/>
          </cell>
          <cell r="AV348" t="str">
            <v/>
          </cell>
          <cell r="AW348" t="str">
            <v/>
          </cell>
          <cell r="AX348" t="str">
            <v/>
          </cell>
          <cell r="AY348" t="str">
            <v/>
          </cell>
          <cell r="AZ348" t="str">
            <v/>
          </cell>
          <cell r="BA348">
            <v>0</v>
          </cell>
          <cell r="BB348" t="str">
            <v/>
          </cell>
          <cell r="BC348" t="str">
            <v/>
          </cell>
          <cell r="BD348" t="str">
            <v/>
          </cell>
          <cell r="BE348" t="str">
            <v/>
          </cell>
          <cell r="BF348" t="str">
            <v/>
          </cell>
          <cell r="BG348" t="str">
            <v/>
          </cell>
          <cell r="BH348" t="str">
            <v/>
          </cell>
          <cell r="BI348" t="str">
            <v/>
          </cell>
          <cell r="BJ348" t="str">
            <v/>
          </cell>
          <cell r="BK348" t="str">
            <v/>
          </cell>
          <cell r="BL348" t="str">
            <v/>
          </cell>
          <cell r="BM348" t="str">
            <v/>
          </cell>
          <cell r="BN348" t="str">
            <v/>
          </cell>
          <cell r="BO348" t="str">
            <v/>
          </cell>
          <cell r="BP348" t="str">
            <v/>
          </cell>
          <cell r="BQ348" t="str">
            <v/>
          </cell>
          <cell r="BR348" t="str">
            <v/>
          </cell>
          <cell r="BS348" t="str">
            <v/>
          </cell>
          <cell r="BT348" t="str">
            <v/>
          </cell>
          <cell r="BU348" t="str">
            <v/>
          </cell>
          <cell r="BV348" t="str">
            <v/>
          </cell>
          <cell r="BW348" t="str">
            <v/>
          </cell>
          <cell r="BX348">
            <v>0</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v>0</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Y348" t="str">
            <v/>
          </cell>
        </row>
        <row r="349">
          <cell r="F349">
            <v>42351.4375</v>
          </cell>
          <cell r="G349" t="str">
            <v/>
          </cell>
          <cell r="H349" t="str">
            <v/>
          </cell>
          <cell r="I349" t="str">
            <v/>
          </cell>
          <cell r="J349" t="str">
            <v/>
          </cell>
          <cell r="K349" t="str">
            <v/>
          </cell>
          <cell r="L349" t="str">
            <v/>
          </cell>
          <cell r="M349" t="str">
            <v/>
          </cell>
          <cell r="N349" t="str">
            <v/>
          </cell>
          <cell r="O349" t="str">
            <v/>
          </cell>
          <cell r="P349" t="str">
            <v/>
          </cell>
          <cell r="Q349" t="str">
            <v/>
          </cell>
          <cell r="R349" t="str">
            <v/>
          </cell>
          <cell r="S349" t="str">
            <v/>
          </cell>
          <cell r="T349" t="str">
            <v/>
          </cell>
          <cell r="U349" t="str">
            <v/>
          </cell>
          <cell r="V349" t="str">
            <v/>
          </cell>
          <cell r="W349" t="str">
            <v/>
          </cell>
          <cell r="X349" t="str">
            <v/>
          </cell>
          <cell r="Y349" t="str">
            <v/>
          </cell>
          <cell r="Z349" t="str">
            <v/>
          </cell>
          <cell r="AA349" t="str">
            <v/>
          </cell>
          <cell r="AB349">
            <v>0</v>
          </cell>
          <cell r="AC349" t="str">
            <v/>
          </cell>
          <cell r="AD349" t="str">
            <v/>
          </cell>
          <cell r="AE349" t="str">
            <v/>
          </cell>
          <cell r="AF349" t="str">
            <v/>
          </cell>
          <cell r="AG349" t="str">
            <v/>
          </cell>
          <cell r="AH349" t="str">
            <v/>
          </cell>
          <cell r="AI349" t="str">
            <v/>
          </cell>
          <cell r="AJ349" t="str">
            <v/>
          </cell>
          <cell r="AK349" t="str">
            <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
          </cell>
          <cell r="AZ349" t="str">
            <v/>
          </cell>
          <cell r="BA349">
            <v>0</v>
          </cell>
          <cell r="BB349" t="str">
            <v/>
          </cell>
          <cell r="BC349" t="str">
            <v/>
          </cell>
          <cell r="BD349" t="str">
            <v/>
          </cell>
          <cell r="BE349" t="str">
            <v/>
          </cell>
          <cell r="BF349" t="str">
            <v/>
          </cell>
          <cell r="BG349" t="str">
            <v/>
          </cell>
          <cell r="BH349" t="str">
            <v/>
          </cell>
          <cell r="BI349" t="str">
            <v/>
          </cell>
          <cell r="BJ349" t="str">
            <v/>
          </cell>
          <cell r="BK349" t="str">
            <v/>
          </cell>
          <cell r="BL349" t="str">
            <v/>
          </cell>
          <cell r="BM349" t="str">
            <v/>
          </cell>
          <cell r="BN349" t="str">
            <v/>
          </cell>
          <cell r="BO349" t="str">
            <v/>
          </cell>
          <cell r="BP349" t="str">
            <v/>
          </cell>
          <cell r="BQ349" t="str">
            <v/>
          </cell>
          <cell r="BR349" t="str">
            <v/>
          </cell>
          <cell r="BS349" t="str">
            <v/>
          </cell>
          <cell r="BT349" t="str">
            <v/>
          </cell>
          <cell r="BU349" t="str">
            <v/>
          </cell>
          <cell r="BV349" t="str">
            <v/>
          </cell>
          <cell r="BW349" t="str">
            <v/>
          </cell>
          <cell r="BX349">
            <v>0</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v>0</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e">
            <v>#DIV/0!</v>
          </cell>
          <cell r="DM349" t="str">
            <v/>
          </cell>
          <cell r="DN349" t="str">
            <v/>
          </cell>
          <cell r="DO349" t="str">
            <v/>
          </cell>
          <cell r="DP349" t="str">
            <v/>
          </cell>
          <cell r="DQ349" t="str">
            <v/>
          </cell>
          <cell r="DR349" t="str">
            <v/>
          </cell>
          <cell r="DS349" t="str">
            <v/>
          </cell>
          <cell r="DT349" t="str">
            <v/>
          </cell>
          <cell r="DU349" t="str">
            <v/>
          </cell>
          <cell r="DV349" t="str">
            <v/>
          </cell>
          <cell r="DY349" t="str">
            <v/>
          </cell>
        </row>
        <row r="350">
          <cell r="F350">
            <v>42442.75</v>
          </cell>
          <cell r="G350" t="str">
            <v/>
          </cell>
          <cell r="H350" t="str">
            <v/>
          </cell>
          <cell r="I350" t="str">
            <v/>
          </cell>
          <cell r="J350" t="str">
            <v/>
          </cell>
          <cell r="K350" t="str">
            <v/>
          </cell>
          <cell r="L350" t="str">
            <v/>
          </cell>
          <cell r="M350" t="str">
            <v/>
          </cell>
          <cell r="N350" t="str">
            <v/>
          </cell>
          <cell r="O350" t="str">
            <v/>
          </cell>
          <cell r="P350" t="str">
            <v/>
          </cell>
          <cell r="Q350" t="str">
            <v/>
          </cell>
          <cell r="R350" t="str">
            <v/>
          </cell>
          <cell r="S350" t="str">
            <v/>
          </cell>
          <cell r="T350" t="str">
            <v/>
          </cell>
          <cell r="U350" t="str">
            <v/>
          </cell>
          <cell r="V350" t="str">
            <v/>
          </cell>
          <cell r="W350" t="str">
            <v/>
          </cell>
          <cell r="X350" t="str">
            <v/>
          </cell>
          <cell r="Y350" t="str">
            <v/>
          </cell>
          <cell r="Z350" t="str">
            <v/>
          </cell>
          <cell r="AA350" t="str">
            <v/>
          </cell>
          <cell r="AB350">
            <v>0</v>
          </cell>
          <cell r="AC350" t="str">
            <v/>
          </cell>
          <cell r="AD350" t="str">
            <v/>
          </cell>
          <cell r="AE350" t="str">
            <v/>
          </cell>
          <cell r="AF350" t="str">
            <v/>
          </cell>
          <cell r="AG350" t="str">
            <v/>
          </cell>
          <cell r="AH350" t="str">
            <v/>
          </cell>
          <cell r="AI350" t="str">
            <v/>
          </cell>
          <cell r="AJ350" t="str">
            <v/>
          </cell>
          <cell r="AK350" t="str">
            <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
          </cell>
          <cell r="AZ350" t="str">
            <v/>
          </cell>
          <cell r="BA350">
            <v>0</v>
          </cell>
          <cell r="BB350" t="str">
            <v/>
          </cell>
          <cell r="BC350" t="str">
            <v/>
          </cell>
          <cell r="BD350" t="str">
            <v/>
          </cell>
          <cell r="BE350" t="str">
            <v/>
          </cell>
          <cell r="BF350" t="str">
            <v/>
          </cell>
          <cell r="BG350" t="str">
            <v/>
          </cell>
          <cell r="BH350" t="str">
            <v/>
          </cell>
          <cell r="BI350" t="str">
            <v/>
          </cell>
          <cell r="BJ350" t="str">
            <v/>
          </cell>
          <cell r="BK350" t="str">
            <v/>
          </cell>
          <cell r="BL350" t="str">
            <v/>
          </cell>
          <cell r="BM350" t="str">
            <v/>
          </cell>
          <cell r="BN350" t="str">
            <v/>
          </cell>
          <cell r="BO350" t="str">
            <v/>
          </cell>
          <cell r="BP350" t="str">
            <v/>
          </cell>
          <cell r="BQ350" t="str">
            <v/>
          </cell>
          <cell r="BR350" t="str">
            <v/>
          </cell>
          <cell r="BS350" t="str">
            <v/>
          </cell>
          <cell r="BT350" t="str">
            <v/>
          </cell>
          <cell r="BU350" t="str">
            <v/>
          </cell>
          <cell r="BV350" t="str">
            <v/>
          </cell>
          <cell r="BW350" t="str">
            <v/>
          </cell>
          <cell r="BX350">
            <v>0</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v>0</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Y350" t="str">
            <v/>
          </cell>
        </row>
        <row r="351">
          <cell r="F351">
            <v>42534.0625</v>
          </cell>
          <cell r="G351" t="str">
            <v/>
          </cell>
          <cell r="H351" t="str">
            <v/>
          </cell>
          <cell r="I351" t="str">
            <v/>
          </cell>
          <cell r="J351" t="str">
            <v/>
          </cell>
          <cell r="K351" t="str">
            <v/>
          </cell>
          <cell r="L351" t="str">
            <v/>
          </cell>
          <cell r="M351" t="str">
            <v/>
          </cell>
          <cell r="N351" t="str">
            <v/>
          </cell>
          <cell r="O351" t="str">
            <v/>
          </cell>
          <cell r="P351" t="str">
            <v/>
          </cell>
          <cell r="Q351" t="str">
            <v/>
          </cell>
          <cell r="R351" t="str">
            <v/>
          </cell>
          <cell r="S351" t="str">
            <v/>
          </cell>
          <cell r="T351" t="str">
            <v/>
          </cell>
          <cell r="U351" t="str">
            <v/>
          </cell>
          <cell r="V351" t="str">
            <v/>
          </cell>
          <cell r="W351" t="str">
            <v/>
          </cell>
          <cell r="X351" t="str">
            <v/>
          </cell>
          <cell r="Y351" t="str">
            <v/>
          </cell>
          <cell r="Z351" t="str">
            <v/>
          </cell>
          <cell r="AA351" t="str">
            <v/>
          </cell>
          <cell r="AB351">
            <v>0</v>
          </cell>
          <cell r="AC351" t="str">
            <v/>
          </cell>
          <cell r="AD351" t="str">
            <v/>
          </cell>
          <cell r="AE351" t="str">
            <v/>
          </cell>
          <cell r="AF351" t="str">
            <v/>
          </cell>
          <cell r="AG351" t="str">
            <v/>
          </cell>
          <cell r="AH351" t="str">
            <v/>
          </cell>
          <cell r="AI351" t="str">
            <v/>
          </cell>
          <cell r="AJ351" t="str">
            <v/>
          </cell>
          <cell r="AK351" t="str">
            <v/>
          </cell>
          <cell r="AL351" t="str">
            <v/>
          </cell>
          <cell r="AM351" t="str">
            <v/>
          </cell>
          <cell r="AN351" t="str">
            <v/>
          </cell>
          <cell r="AO351" t="str">
            <v/>
          </cell>
          <cell r="AP351" t="str">
            <v/>
          </cell>
          <cell r="AQ351" t="str">
            <v/>
          </cell>
          <cell r="AR351" t="str">
            <v/>
          </cell>
          <cell r="AS351" t="str">
            <v/>
          </cell>
          <cell r="AT351" t="str">
            <v/>
          </cell>
          <cell r="AU351" t="str">
            <v/>
          </cell>
          <cell r="AV351" t="str">
            <v/>
          </cell>
          <cell r="AW351" t="str">
            <v/>
          </cell>
          <cell r="AX351" t="str">
            <v/>
          </cell>
          <cell r="AY351" t="str">
            <v/>
          </cell>
          <cell r="AZ351" t="str">
            <v/>
          </cell>
          <cell r="BA351">
            <v>0</v>
          </cell>
          <cell r="BB351" t="str">
            <v/>
          </cell>
          <cell r="BC351" t="str">
            <v/>
          </cell>
          <cell r="BD351" t="str">
            <v/>
          </cell>
          <cell r="BE351" t="str">
            <v/>
          </cell>
          <cell r="BF351" t="str">
            <v/>
          </cell>
          <cell r="BG351" t="str">
            <v/>
          </cell>
          <cell r="BH351" t="str">
            <v/>
          </cell>
          <cell r="BI351" t="str">
            <v/>
          </cell>
          <cell r="BJ351" t="str">
            <v/>
          </cell>
          <cell r="BK351" t="str">
            <v/>
          </cell>
          <cell r="BL351" t="str">
            <v/>
          </cell>
          <cell r="BM351" t="str">
            <v/>
          </cell>
          <cell r="BN351" t="str">
            <v/>
          </cell>
          <cell r="BO351" t="str">
            <v/>
          </cell>
          <cell r="BP351" t="str">
            <v/>
          </cell>
          <cell r="BQ351" t="str">
            <v/>
          </cell>
          <cell r="BR351" t="str">
            <v/>
          </cell>
          <cell r="BS351" t="str">
            <v/>
          </cell>
          <cell r="BT351" t="str">
            <v/>
          </cell>
          <cell r="BU351" t="str">
            <v/>
          </cell>
          <cell r="BV351" t="str">
            <v/>
          </cell>
          <cell r="BW351" t="str">
            <v/>
          </cell>
          <cell r="BX351">
            <v>0</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v>0</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Y351" t="str">
            <v/>
          </cell>
        </row>
        <row r="352">
          <cell r="F352">
            <v>42625.375</v>
          </cell>
          <cell r="G352" t="str">
            <v/>
          </cell>
          <cell r="H352" t="str">
            <v/>
          </cell>
          <cell r="I352" t="str">
            <v/>
          </cell>
          <cell r="J352" t="str">
            <v/>
          </cell>
          <cell r="K352" t="str">
            <v/>
          </cell>
          <cell r="L352" t="str">
            <v/>
          </cell>
          <cell r="M352" t="str">
            <v/>
          </cell>
          <cell r="N352" t="str">
            <v/>
          </cell>
          <cell r="O352" t="str">
            <v/>
          </cell>
          <cell r="P352" t="str">
            <v/>
          </cell>
          <cell r="Q352" t="str">
            <v/>
          </cell>
          <cell r="R352" t="str">
            <v/>
          </cell>
          <cell r="S352" t="str">
            <v/>
          </cell>
          <cell r="T352" t="str">
            <v/>
          </cell>
          <cell r="U352" t="str">
            <v/>
          </cell>
          <cell r="V352" t="str">
            <v/>
          </cell>
          <cell r="W352" t="str">
            <v/>
          </cell>
          <cell r="X352" t="str">
            <v/>
          </cell>
          <cell r="Y352" t="str">
            <v/>
          </cell>
          <cell r="Z352" t="str">
            <v/>
          </cell>
          <cell r="AA352" t="str">
            <v/>
          </cell>
          <cell r="AB352">
            <v>0</v>
          </cell>
          <cell r="AC352" t="str">
            <v/>
          </cell>
          <cell r="AD352" t="str">
            <v/>
          </cell>
          <cell r="AE352" t="str">
            <v/>
          </cell>
          <cell r="AF352" t="str">
            <v/>
          </cell>
          <cell r="AG352" t="str">
            <v/>
          </cell>
          <cell r="AH352" t="str">
            <v/>
          </cell>
          <cell r="AI352" t="str">
            <v/>
          </cell>
          <cell r="AJ352" t="str">
            <v/>
          </cell>
          <cell r="AK352" t="str">
            <v/>
          </cell>
          <cell r="AL352" t="str">
            <v/>
          </cell>
          <cell r="AM352" t="str">
            <v/>
          </cell>
          <cell r="AN352" t="str">
            <v/>
          </cell>
          <cell r="AO352" t="str">
            <v/>
          </cell>
          <cell r="AP352" t="str">
            <v/>
          </cell>
          <cell r="AQ352" t="str">
            <v/>
          </cell>
          <cell r="AR352" t="str">
            <v/>
          </cell>
          <cell r="AS352" t="str">
            <v/>
          </cell>
          <cell r="AT352" t="str">
            <v/>
          </cell>
          <cell r="AU352" t="str">
            <v/>
          </cell>
          <cell r="AV352" t="str">
            <v/>
          </cell>
          <cell r="AW352" t="str">
            <v/>
          </cell>
          <cell r="AX352" t="str">
            <v/>
          </cell>
          <cell r="AY352" t="str">
            <v/>
          </cell>
          <cell r="AZ352" t="str">
            <v/>
          </cell>
          <cell r="BA352">
            <v>0</v>
          </cell>
          <cell r="BB352" t="str">
            <v/>
          </cell>
          <cell r="BC352" t="str">
            <v/>
          </cell>
          <cell r="BD352" t="str">
            <v/>
          </cell>
          <cell r="BE352" t="str">
            <v/>
          </cell>
          <cell r="BF352" t="str">
            <v/>
          </cell>
          <cell r="BG352" t="str">
            <v/>
          </cell>
          <cell r="BH352" t="str">
            <v/>
          </cell>
          <cell r="BI352" t="str">
            <v/>
          </cell>
          <cell r="BJ352" t="str">
            <v/>
          </cell>
          <cell r="BK352" t="str">
            <v/>
          </cell>
          <cell r="BL352" t="str">
            <v/>
          </cell>
          <cell r="BM352" t="str">
            <v/>
          </cell>
          <cell r="BN352" t="str">
            <v/>
          </cell>
          <cell r="BO352" t="str">
            <v/>
          </cell>
          <cell r="BP352" t="str">
            <v/>
          </cell>
          <cell r="BQ352" t="str">
            <v/>
          </cell>
          <cell r="BR352" t="str">
            <v/>
          </cell>
          <cell r="BS352" t="str">
            <v/>
          </cell>
          <cell r="BT352" t="str">
            <v/>
          </cell>
          <cell r="BU352" t="str">
            <v/>
          </cell>
          <cell r="BV352" t="str">
            <v/>
          </cell>
          <cell r="BW352" t="str">
            <v/>
          </cell>
          <cell r="BX352">
            <v>0</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v>0</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Y352" t="str">
            <v/>
          </cell>
        </row>
        <row r="353">
          <cell r="F353">
            <v>42716.6875</v>
          </cell>
          <cell r="G353" t="str">
            <v/>
          </cell>
          <cell r="H353" t="str">
            <v/>
          </cell>
          <cell r="I353" t="str">
            <v/>
          </cell>
          <cell r="J353" t="str">
            <v/>
          </cell>
          <cell r="K353" t="str">
            <v/>
          </cell>
          <cell r="L353" t="str">
            <v/>
          </cell>
          <cell r="M353" t="str">
            <v/>
          </cell>
          <cell r="N353" t="str">
            <v/>
          </cell>
          <cell r="O353" t="str">
            <v/>
          </cell>
          <cell r="P353" t="str">
            <v/>
          </cell>
          <cell r="Q353" t="str">
            <v/>
          </cell>
          <cell r="R353" t="str">
            <v/>
          </cell>
          <cell r="S353" t="str">
            <v/>
          </cell>
          <cell r="T353" t="str">
            <v/>
          </cell>
          <cell r="U353" t="str">
            <v/>
          </cell>
          <cell r="V353" t="str">
            <v/>
          </cell>
          <cell r="W353" t="str">
            <v/>
          </cell>
          <cell r="X353" t="str">
            <v/>
          </cell>
          <cell r="Y353" t="str">
            <v/>
          </cell>
          <cell r="Z353" t="str">
            <v/>
          </cell>
          <cell r="AA353" t="str">
            <v/>
          </cell>
          <cell r="AB353">
            <v>0</v>
          </cell>
          <cell r="AC353" t="str">
            <v/>
          </cell>
          <cell r="AD353" t="str">
            <v/>
          </cell>
          <cell r="AE353" t="str">
            <v/>
          </cell>
          <cell r="AF353" t="str">
            <v/>
          </cell>
          <cell r="AG353" t="str">
            <v/>
          </cell>
          <cell r="AH353" t="str">
            <v/>
          </cell>
          <cell r="AI353" t="str">
            <v/>
          </cell>
          <cell r="AJ353" t="str">
            <v/>
          </cell>
          <cell r="AK353" t="str">
            <v/>
          </cell>
          <cell r="AL353" t="str">
            <v/>
          </cell>
          <cell r="AM353" t="str">
            <v/>
          </cell>
          <cell r="AN353" t="str">
            <v/>
          </cell>
          <cell r="AO353" t="str">
            <v/>
          </cell>
          <cell r="AP353" t="str">
            <v/>
          </cell>
          <cell r="AQ353" t="str">
            <v/>
          </cell>
          <cell r="AR353" t="str">
            <v/>
          </cell>
          <cell r="AS353" t="str">
            <v/>
          </cell>
          <cell r="AT353" t="str">
            <v/>
          </cell>
          <cell r="AU353" t="str">
            <v/>
          </cell>
          <cell r="AV353" t="str">
            <v/>
          </cell>
          <cell r="AW353" t="str">
            <v/>
          </cell>
          <cell r="AX353" t="str">
            <v/>
          </cell>
          <cell r="AY353" t="str">
            <v/>
          </cell>
          <cell r="AZ353" t="str">
            <v/>
          </cell>
          <cell r="BA353">
            <v>0</v>
          </cell>
          <cell r="BB353" t="str">
            <v/>
          </cell>
          <cell r="BC353" t="str">
            <v/>
          </cell>
          <cell r="BD353" t="str">
            <v/>
          </cell>
          <cell r="BE353" t="str">
            <v/>
          </cell>
          <cell r="BF353" t="str">
            <v/>
          </cell>
          <cell r="BG353" t="str">
            <v/>
          </cell>
          <cell r="BH353" t="str">
            <v/>
          </cell>
          <cell r="BI353" t="str">
            <v/>
          </cell>
          <cell r="BJ353" t="str">
            <v/>
          </cell>
          <cell r="BK353" t="str">
            <v/>
          </cell>
          <cell r="BL353" t="str">
            <v/>
          </cell>
          <cell r="BM353" t="str">
            <v/>
          </cell>
          <cell r="BN353" t="str">
            <v/>
          </cell>
          <cell r="BO353" t="str">
            <v/>
          </cell>
          <cell r="BP353" t="str">
            <v/>
          </cell>
          <cell r="BQ353" t="str">
            <v/>
          </cell>
          <cell r="BR353" t="str">
            <v/>
          </cell>
          <cell r="BS353" t="str">
            <v/>
          </cell>
          <cell r="BT353" t="str">
            <v/>
          </cell>
          <cell r="BU353" t="str">
            <v/>
          </cell>
          <cell r="BV353" t="str">
            <v/>
          </cell>
          <cell r="BW353" t="str">
            <v/>
          </cell>
          <cell r="BX353">
            <v>0</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v>0</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e">
            <v>#DIV/0!</v>
          </cell>
          <cell r="DM353" t="str">
            <v/>
          </cell>
          <cell r="DN353" t="str">
            <v/>
          </cell>
          <cell r="DO353" t="str">
            <v/>
          </cell>
          <cell r="DP353" t="str">
            <v/>
          </cell>
          <cell r="DQ353" t="str">
            <v/>
          </cell>
          <cell r="DR353" t="str">
            <v/>
          </cell>
          <cell r="DS353" t="str">
            <v/>
          </cell>
          <cell r="DT353" t="str">
            <v/>
          </cell>
          <cell r="DU353" t="str">
            <v/>
          </cell>
          <cell r="DV353" t="str">
            <v/>
          </cell>
          <cell r="DY353" t="str">
            <v/>
          </cell>
        </row>
        <row r="354">
          <cell r="G354" t="str">
            <v/>
          </cell>
          <cell r="H354" t="str">
            <v/>
          </cell>
          <cell r="I354" t="str">
            <v/>
          </cell>
          <cell r="J354" t="str">
            <v/>
          </cell>
          <cell r="K354" t="str">
            <v/>
          </cell>
          <cell r="L354" t="str">
            <v/>
          </cell>
          <cell r="M354" t="str">
            <v/>
          </cell>
          <cell r="N354" t="str">
            <v/>
          </cell>
          <cell r="O354" t="str">
            <v/>
          </cell>
          <cell r="P354" t="str">
            <v/>
          </cell>
          <cell r="Q354" t="str">
            <v/>
          </cell>
          <cell r="R354" t="str">
            <v/>
          </cell>
          <cell r="S354" t="str">
            <v/>
          </cell>
          <cell r="T354" t="str">
            <v/>
          </cell>
          <cell r="U354" t="str">
            <v/>
          </cell>
          <cell r="V354" t="str">
            <v/>
          </cell>
          <cell r="W354" t="str">
            <v/>
          </cell>
          <cell r="X354" t="str">
            <v/>
          </cell>
          <cell r="Y354" t="str">
            <v/>
          </cell>
          <cell r="Z354" t="str">
            <v/>
          </cell>
          <cell r="AA354" t="str">
            <v/>
          </cell>
          <cell r="AB354">
            <v>0</v>
          </cell>
          <cell r="AC354" t="str">
            <v/>
          </cell>
          <cell r="AD354" t="str">
            <v/>
          </cell>
          <cell r="AE354" t="str">
            <v/>
          </cell>
          <cell r="AF354" t="str">
            <v/>
          </cell>
          <cell r="AG354" t="str">
            <v/>
          </cell>
          <cell r="AH354" t="str">
            <v/>
          </cell>
          <cell r="AI354" t="str">
            <v/>
          </cell>
          <cell r="AJ354" t="str">
            <v/>
          </cell>
          <cell r="AK354" t="str">
            <v/>
          </cell>
          <cell r="AL354" t="str">
            <v/>
          </cell>
          <cell r="AM354" t="str">
            <v/>
          </cell>
          <cell r="AN354" t="str">
            <v/>
          </cell>
          <cell r="AO354" t="str">
            <v/>
          </cell>
          <cell r="AP354" t="str">
            <v/>
          </cell>
          <cell r="AQ354" t="str">
            <v/>
          </cell>
          <cell r="AR354" t="str">
            <v/>
          </cell>
          <cell r="AS354" t="str">
            <v/>
          </cell>
          <cell r="AT354" t="str">
            <v/>
          </cell>
          <cell r="AU354" t="str">
            <v/>
          </cell>
          <cell r="AV354" t="str">
            <v/>
          </cell>
          <cell r="AW354" t="str">
            <v/>
          </cell>
          <cell r="AX354" t="str">
            <v/>
          </cell>
          <cell r="AY354" t="str">
            <v/>
          </cell>
          <cell r="AZ354" t="str">
            <v/>
          </cell>
          <cell r="BA354">
            <v>0</v>
          </cell>
          <cell r="BB354" t="str">
            <v/>
          </cell>
          <cell r="BC354" t="str">
            <v/>
          </cell>
          <cell r="BD354" t="str">
            <v/>
          </cell>
          <cell r="BE354" t="str">
            <v/>
          </cell>
          <cell r="BF354" t="str">
            <v/>
          </cell>
          <cell r="BG354" t="str">
            <v/>
          </cell>
          <cell r="BH354" t="str">
            <v/>
          </cell>
          <cell r="BI354" t="str">
            <v/>
          </cell>
          <cell r="BJ354" t="str">
            <v/>
          </cell>
          <cell r="BK354" t="str">
            <v/>
          </cell>
          <cell r="BL354" t="str">
            <v/>
          </cell>
          <cell r="BM354" t="str">
            <v/>
          </cell>
          <cell r="BN354" t="str">
            <v/>
          </cell>
          <cell r="BO354" t="str">
            <v/>
          </cell>
          <cell r="BP354" t="str">
            <v/>
          </cell>
          <cell r="BQ354" t="str">
            <v/>
          </cell>
          <cell r="BR354" t="str">
            <v/>
          </cell>
          <cell r="BS354" t="str">
            <v/>
          </cell>
          <cell r="BT354" t="str">
            <v/>
          </cell>
          <cell r="BU354" t="str">
            <v/>
          </cell>
          <cell r="BV354" t="str">
            <v/>
          </cell>
          <cell r="BW354" t="str">
            <v/>
          </cell>
          <cell r="BX354">
            <v>0</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v>0</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row>
        <row r="355">
          <cell r="G355" t="str">
            <v/>
          </cell>
          <cell r="H355" t="str">
            <v/>
          </cell>
          <cell r="I355" t="str">
            <v/>
          </cell>
          <cell r="J355" t="str">
            <v/>
          </cell>
          <cell r="K355" t="str">
            <v/>
          </cell>
          <cell r="L355" t="str">
            <v/>
          </cell>
          <cell r="M355" t="str">
            <v/>
          </cell>
          <cell r="N355" t="str">
            <v/>
          </cell>
          <cell r="O355" t="str">
            <v/>
          </cell>
          <cell r="P355" t="str">
            <v/>
          </cell>
          <cell r="Q355" t="str">
            <v/>
          </cell>
          <cell r="R355" t="str">
            <v/>
          </cell>
          <cell r="S355" t="str">
            <v/>
          </cell>
          <cell r="T355" t="str">
            <v/>
          </cell>
          <cell r="U355" t="str">
            <v/>
          </cell>
          <cell r="V355" t="str">
            <v/>
          </cell>
          <cell r="W355" t="str">
            <v/>
          </cell>
          <cell r="X355" t="str">
            <v/>
          </cell>
          <cell r="Y355" t="str">
            <v/>
          </cell>
          <cell r="Z355" t="str">
            <v/>
          </cell>
          <cell r="AA355" t="str">
            <v/>
          </cell>
          <cell r="AB355">
            <v>0</v>
          </cell>
          <cell r="AC355" t="str">
            <v/>
          </cell>
          <cell r="AD355" t="str">
            <v/>
          </cell>
          <cell r="AE355" t="str">
            <v/>
          </cell>
          <cell r="AF355" t="str">
            <v/>
          </cell>
          <cell r="AG355" t="str">
            <v/>
          </cell>
          <cell r="AH355" t="str">
            <v/>
          </cell>
          <cell r="AI355" t="str">
            <v/>
          </cell>
          <cell r="AJ355" t="str">
            <v/>
          </cell>
          <cell r="AK355" t="str">
            <v/>
          </cell>
          <cell r="AL355" t="str">
            <v/>
          </cell>
          <cell r="AM355" t="str">
            <v/>
          </cell>
          <cell r="AN355" t="str">
            <v/>
          </cell>
          <cell r="AO355" t="str">
            <v/>
          </cell>
          <cell r="AP355" t="str">
            <v/>
          </cell>
          <cell r="AQ355" t="str">
            <v/>
          </cell>
          <cell r="AR355" t="str">
            <v/>
          </cell>
          <cell r="AS355" t="str">
            <v/>
          </cell>
          <cell r="AT355" t="str">
            <v/>
          </cell>
          <cell r="AU355" t="str">
            <v/>
          </cell>
          <cell r="AV355" t="str">
            <v/>
          </cell>
          <cell r="AW355" t="str">
            <v/>
          </cell>
          <cell r="AX355" t="str">
            <v/>
          </cell>
          <cell r="AY355" t="str">
            <v/>
          </cell>
          <cell r="AZ355" t="str">
            <v/>
          </cell>
          <cell r="BA355">
            <v>0</v>
          </cell>
          <cell r="BB355" t="str">
            <v/>
          </cell>
          <cell r="BC355" t="str">
            <v/>
          </cell>
          <cell r="BD355" t="str">
            <v/>
          </cell>
          <cell r="BE355" t="str">
            <v/>
          </cell>
          <cell r="BF355" t="str">
            <v/>
          </cell>
          <cell r="BG355" t="str">
            <v/>
          </cell>
          <cell r="BH355" t="str">
            <v/>
          </cell>
          <cell r="BI355" t="str">
            <v/>
          </cell>
          <cell r="BJ355" t="str">
            <v/>
          </cell>
          <cell r="BK355" t="str">
            <v/>
          </cell>
          <cell r="BL355" t="str">
            <v/>
          </cell>
          <cell r="BM355" t="str">
            <v/>
          </cell>
          <cell r="BN355" t="str">
            <v/>
          </cell>
          <cell r="BO355" t="str">
            <v/>
          </cell>
          <cell r="BP355" t="str">
            <v/>
          </cell>
          <cell r="BQ355" t="str">
            <v/>
          </cell>
          <cell r="BR355" t="str">
            <v/>
          </cell>
          <cell r="BS355" t="str">
            <v/>
          </cell>
          <cell r="BT355" t="str">
            <v/>
          </cell>
          <cell r="BU355" t="str">
            <v/>
          </cell>
          <cell r="BV355" t="str">
            <v/>
          </cell>
          <cell r="BW355" t="str">
            <v/>
          </cell>
          <cell r="BX355">
            <v>0</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v>0</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row>
        <row r="356">
          <cell r="G356" t="str">
            <v/>
          </cell>
          <cell r="H356" t="str">
            <v/>
          </cell>
          <cell r="I356" t="str">
            <v/>
          </cell>
          <cell r="J356" t="str">
            <v/>
          </cell>
          <cell r="K356" t="str">
            <v/>
          </cell>
          <cell r="L356" t="str">
            <v/>
          </cell>
          <cell r="M356" t="str">
            <v/>
          </cell>
          <cell r="N356" t="str">
            <v/>
          </cell>
          <cell r="O356" t="str">
            <v/>
          </cell>
          <cell r="P356" t="str">
            <v/>
          </cell>
          <cell r="Q356" t="str">
            <v/>
          </cell>
          <cell r="R356" t="str">
            <v/>
          </cell>
          <cell r="S356" t="str">
            <v/>
          </cell>
          <cell r="T356" t="str">
            <v/>
          </cell>
          <cell r="U356" t="str">
            <v/>
          </cell>
          <cell r="V356" t="str">
            <v/>
          </cell>
          <cell r="W356" t="str">
            <v/>
          </cell>
          <cell r="X356" t="str">
            <v/>
          </cell>
          <cell r="Y356" t="str">
            <v/>
          </cell>
          <cell r="Z356" t="str">
            <v/>
          </cell>
          <cell r="AA356" t="str">
            <v/>
          </cell>
          <cell r="AB356">
            <v>0</v>
          </cell>
          <cell r="AC356" t="str">
            <v/>
          </cell>
          <cell r="AD356" t="str">
            <v/>
          </cell>
          <cell r="AE356" t="str">
            <v/>
          </cell>
          <cell r="AF356" t="str">
            <v/>
          </cell>
          <cell r="AG356" t="str">
            <v/>
          </cell>
          <cell r="AH356" t="str">
            <v/>
          </cell>
          <cell r="AI356" t="str">
            <v/>
          </cell>
          <cell r="AJ356" t="str">
            <v/>
          </cell>
          <cell r="AK356" t="str">
            <v/>
          </cell>
          <cell r="AL356" t="str">
            <v/>
          </cell>
          <cell r="AM356" t="str">
            <v/>
          </cell>
          <cell r="AN356" t="str">
            <v/>
          </cell>
          <cell r="AO356" t="str">
            <v/>
          </cell>
          <cell r="AP356" t="str">
            <v/>
          </cell>
          <cell r="AQ356" t="str">
            <v/>
          </cell>
          <cell r="AR356" t="str">
            <v/>
          </cell>
          <cell r="AS356" t="str">
            <v/>
          </cell>
          <cell r="AT356" t="str">
            <v/>
          </cell>
          <cell r="AU356" t="str">
            <v/>
          </cell>
          <cell r="AV356" t="str">
            <v/>
          </cell>
          <cell r="AW356" t="str">
            <v/>
          </cell>
          <cell r="AX356" t="str">
            <v/>
          </cell>
          <cell r="AY356" t="str">
            <v/>
          </cell>
          <cell r="AZ356" t="str">
            <v/>
          </cell>
          <cell r="BA356">
            <v>0</v>
          </cell>
          <cell r="BB356" t="str">
            <v/>
          </cell>
          <cell r="BC356" t="str">
            <v/>
          </cell>
          <cell r="BD356" t="str">
            <v/>
          </cell>
          <cell r="BE356" t="str">
            <v/>
          </cell>
          <cell r="BF356" t="str">
            <v/>
          </cell>
          <cell r="BG356" t="str">
            <v/>
          </cell>
          <cell r="BH356" t="str">
            <v/>
          </cell>
          <cell r="BI356" t="str">
            <v/>
          </cell>
          <cell r="BJ356" t="str">
            <v/>
          </cell>
          <cell r="BK356" t="str">
            <v/>
          </cell>
          <cell r="BL356" t="str">
            <v/>
          </cell>
          <cell r="BM356" t="str">
            <v/>
          </cell>
          <cell r="BN356" t="str">
            <v/>
          </cell>
          <cell r="BO356" t="str">
            <v/>
          </cell>
          <cell r="BP356" t="str">
            <v/>
          </cell>
          <cell r="BQ356" t="str">
            <v/>
          </cell>
          <cell r="BR356" t="str">
            <v/>
          </cell>
          <cell r="BS356" t="str">
            <v/>
          </cell>
          <cell r="BT356" t="str">
            <v/>
          </cell>
          <cell r="BU356" t="str">
            <v/>
          </cell>
          <cell r="BV356" t="str">
            <v/>
          </cell>
          <cell r="BW356" t="str">
            <v/>
          </cell>
          <cell r="BX356">
            <v>0</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v>0</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row>
        <row r="357">
          <cell r="G357" t="str">
            <v/>
          </cell>
          <cell r="H357" t="str">
            <v/>
          </cell>
          <cell r="I357" t="str">
            <v/>
          </cell>
          <cell r="J357" t="str">
            <v/>
          </cell>
          <cell r="K357" t="str">
            <v/>
          </cell>
          <cell r="L357" t="str">
            <v/>
          </cell>
          <cell r="M357" t="str">
            <v/>
          </cell>
          <cell r="N357" t="str">
            <v/>
          </cell>
          <cell r="O357" t="str">
            <v/>
          </cell>
          <cell r="P357" t="str">
            <v/>
          </cell>
          <cell r="Q357" t="str">
            <v/>
          </cell>
          <cell r="R357" t="str">
            <v/>
          </cell>
          <cell r="S357" t="str">
            <v/>
          </cell>
          <cell r="T357" t="str">
            <v/>
          </cell>
          <cell r="U357" t="str">
            <v/>
          </cell>
          <cell r="V357" t="str">
            <v/>
          </cell>
          <cell r="W357" t="str">
            <v/>
          </cell>
          <cell r="X357" t="str">
            <v/>
          </cell>
          <cell r="Y357" t="str">
            <v/>
          </cell>
          <cell r="Z357" t="str">
            <v/>
          </cell>
          <cell r="AA357" t="str">
            <v/>
          </cell>
          <cell r="AB357">
            <v>0</v>
          </cell>
          <cell r="AC357" t="str">
            <v/>
          </cell>
          <cell r="AD357" t="str">
            <v/>
          </cell>
          <cell r="AE357" t="str">
            <v/>
          </cell>
          <cell r="AF357" t="str">
            <v/>
          </cell>
          <cell r="AG357" t="str">
            <v/>
          </cell>
          <cell r="AH357" t="str">
            <v/>
          </cell>
          <cell r="AI357" t="str">
            <v/>
          </cell>
          <cell r="AJ357" t="str">
            <v/>
          </cell>
          <cell r="AK357" t="str">
            <v/>
          </cell>
          <cell r="AL357" t="str">
            <v/>
          </cell>
          <cell r="AM357" t="str">
            <v/>
          </cell>
          <cell r="AN357" t="str">
            <v/>
          </cell>
          <cell r="AO357" t="str">
            <v/>
          </cell>
          <cell r="AP357" t="str">
            <v/>
          </cell>
          <cell r="AQ357" t="str">
            <v/>
          </cell>
          <cell r="AR357" t="str">
            <v/>
          </cell>
          <cell r="AS357" t="str">
            <v/>
          </cell>
          <cell r="AT357" t="str">
            <v/>
          </cell>
          <cell r="AU357" t="str">
            <v/>
          </cell>
          <cell r="AV357" t="str">
            <v/>
          </cell>
          <cell r="AW357" t="str">
            <v/>
          </cell>
          <cell r="AX357" t="str">
            <v/>
          </cell>
          <cell r="AY357" t="str">
            <v/>
          </cell>
          <cell r="AZ357" t="str">
            <v/>
          </cell>
          <cell r="BA357">
            <v>0</v>
          </cell>
          <cell r="BB357" t="str">
            <v/>
          </cell>
          <cell r="BC357" t="str">
            <v/>
          </cell>
          <cell r="BD357" t="str">
            <v/>
          </cell>
          <cell r="BE357" t="str">
            <v/>
          </cell>
          <cell r="BF357" t="str">
            <v/>
          </cell>
          <cell r="BG357" t="str">
            <v/>
          </cell>
          <cell r="BH357" t="str">
            <v/>
          </cell>
          <cell r="BI357" t="str">
            <v/>
          </cell>
          <cell r="BJ357" t="str">
            <v/>
          </cell>
          <cell r="BK357" t="str">
            <v/>
          </cell>
          <cell r="BL357" t="str">
            <v/>
          </cell>
          <cell r="BM357" t="str">
            <v/>
          </cell>
          <cell r="BN357" t="str">
            <v/>
          </cell>
          <cell r="BO357" t="str">
            <v/>
          </cell>
          <cell r="BP357" t="str">
            <v/>
          </cell>
          <cell r="BQ357" t="str">
            <v/>
          </cell>
          <cell r="BR357" t="str">
            <v/>
          </cell>
          <cell r="BS357" t="str">
            <v/>
          </cell>
          <cell r="BT357" t="str">
            <v/>
          </cell>
          <cell r="BU357" t="str">
            <v/>
          </cell>
          <cell r="BV357" t="str">
            <v/>
          </cell>
          <cell r="BW357" t="str">
            <v/>
          </cell>
          <cell r="BX357">
            <v>0</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v>0</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e">
            <v>#DIV/0!</v>
          </cell>
          <cell r="DM357" t="str">
            <v/>
          </cell>
          <cell r="DN357" t="str">
            <v/>
          </cell>
          <cell r="DO357" t="str">
            <v/>
          </cell>
          <cell r="DP357" t="str">
            <v/>
          </cell>
          <cell r="DQ357" t="str">
            <v/>
          </cell>
          <cell r="DR357" t="str">
            <v/>
          </cell>
          <cell r="DS357" t="str">
            <v/>
          </cell>
          <cell r="DT357" t="str">
            <v/>
          </cell>
          <cell r="DU357" t="str">
            <v/>
          </cell>
          <cell r="DV357" t="str">
            <v/>
          </cell>
        </row>
      </sheetData>
      <sheetData sheetId="13">
        <row r="30">
          <cell r="A30">
            <v>27394.25</v>
          </cell>
          <cell r="J30" t="str">
            <v/>
          </cell>
          <cell r="L30">
            <v>27394.25</v>
          </cell>
          <cell r="V30">
            <v>1</v>
          </cell>
          <cell r="X30">
            <v>27394.25</v>
          </cell>
          <cell r="AA30" t="str">
            <v/>
          </cell>
          <cell r="AC30" t="str">
            <v/>
          </cell>
          <cell r="AE30" t="str">
            <v/>
          </cell>
          <cell r="AG30" t="str">
            <v/>
          </cell>
          <cell r="AH30" t="str">
            <v/>
          </cell>
          <cell r="AI30" t="str">
            <v/>
          </cell>
          <cell r="AK30" t="str">
            <v/>
          </cell>
          <cell r="AN30" t="str">
            <v/>
          </cell>
          <cell r="AP30" t="str">
            <v/>
          </cell>
          <cell r="AS30" t="str">
            <v/>
          </cell>
          <cell r="AU30" t="str">
            <v/>
          </cell>
          <cell r="BB30">
            <v>1</v>
          </cell>
          <cell r="BD30">
            <v>27394.25</v>
          </cell>
          <cell r="BG30" t="str">
            <v/>
          </cell>
          <cell r="BH30">
            <v>0.03</v>
          </cell>
          <cell r="BK30" t="str">
            <v/>
          </cell>
          <cell r="BN30" t="str">
            <v/>
          </cell>
          <cell r="BP30" t="str">
            <v/>
          </cell>
          <cell r="BR30" t="str">
            <v/>
          </cell>
          <cell r="BS30">
            <v>0.17</v>
          </cell>
          <cell r="BY30" t="str">
            <v/>
          </cell>
        </row>
        <row r="31">
          <cell r="A31">
            <v>27759.5</v>
          </cell>
          <cell r="J31" t="str">
            <v/>
          </cell>
          <cell r="L31">
            <v>27759.5</v>
          </cell>
          <cell r="V31" t="str">
            <v/>
          </cell>
          <cell r="X31">
            <v>27759.5</v>
          </cell>
          <cell r="AA31" t="str">
            <v/>
          </cell>
          <cell r="AC31" t="str">
            <v/>
          </cell>
          <cell r="AE31" t="str">
            <v/>
          </cell>
          <cell r="AG31" t="str">
            <v/>
          </cell>
          <cell r="AH31" t="str">
            <v/>
          </cell>
          <cell r="AI31" t="str">
            <v/>
          </cell>
          <cell r="AK31" t="str">
            <v/>
          </cell>
          <cell r="AN31" t="str">
            <v/>
          </cell>
          <cell r="AP31" t="str">
            <v/>
          </cell>
          <cell r="AS31" t="str">
            <v/>
          </cell>
          <cell r="AU31" t="str">
            <v/>
          </cell>
          <cell r="BB31" t="str">
            <v/>
          </cell>
          <cell r="BD31">
            <v>27759.5</v>
          </cell>
          <cell r="BG31" t="str">
            <v/>
          </cell>
          <cell r="BH31">
            <v>0.03</v>
          </cell>
          <cell r="BK31" t="str">
            <v/>
          </cell>
          <cell r="BN31" t="str">
            <v/>
          </cell>
          <cell r="BP31" t="str">
            <v/>
          </cell>
          <cell r="BR31" t="str">
            <v/>
          </cell>
          <cell r="BS31">
            <v>0.17</v>
          </cell>
          <cell r="BY31" t="str">
            <v/>
          </cell>
        </row>
        <row r="32">
          <cell r="A32">
            <v>28124.75</v>
          </cell>
          <cell r="J32" t="str">
            <v/>
          </cell>
          <cell r="L32">
            <v>28124.75</v>
          </cell>
          <cell r="V32" t="str">
            <v/>
          </cell>
          <cell r="X32">
            <v>28124.75</v>
          </cell>
          <cell r="AA32" t="str">
            <v/>
          </cell>
          <cell r="AC32" t="str">
            <v/>
          </cell>
          <cell r="AE32" t="str">
            <v/>
          </cell>
          <cell r="AG32" t="str">
            <v/>
          </cell>
          <cell r="AH32" t="str">
            <v/>
          </cell>
          <cell r="AI32" t="str">
            <v/>
          </cell>
          <cell r="AK32" t="str">
            <v/>
          </cell>
          <cell r="AN32" t="str">
            <v/>
          </cell>
          <cell r="AP32" t="str">
            <v/>
          </cell>
          <cell r="AS32" t="str">
            <v/>
          </cell>
          <cell r="AU32" t="str">
            <v/>
          </cell>
          <cell r="BB32" t="str">
            <v/>
          </cell>
          <cell r="BD32">
            <v>28124.75</v>
          </cell>
          <cell r="BG32" t="str">
            <v/>
          </cell>
          <cell r="BH32">
            <v>0.03</v>
          </cell>
          <cell r="BK32" t="str">
            <v/>
          </cell>
          <cell r="BN32" t="str">
            <v/>
          </cell>
          <cell r="BP32" t="str">
            <v/>
          </cell>
          <cell r="BR32" t="str">
            <v/>
          </cell>
          <cell r="BS32">
            <v>0.17</v>
          </cell>
          <cell r="BY32" t="str">
            <v/>
          </cell>
        </row>
        <row r="33">
          <cell r="A33">
            <v>28490</v>
          </cell>
          <cell r="J33" t="str">
            <v/>
          </cell>
          <cell r="L33">
            <v>28490</v>
          </cell>
          <cell r="V33" t="str">
            <v/>
          </cell>
          <cell r="X33">
            <v>28490</v>
          </cell>
          <cell r="AA33" t="str">
            <v/>
          </cell>
          <cell r="AC33" t="str">
            <v/>
          </cell>
          <cell r="AE33" t="str">
            <v/>
          </cell>
          <cell r="AG33" t="str">
            <v/>
          </cell>
          <cell r="AH33" t="str">
            <v/>
          </cell>
          <cell r="AI33" t="str">
            <v/>
          </cell>
          <cell r="AK33" t="str">
            <v/>
          </cell>
          <cell r="AN33" t="str">
            <v/>
          </cell>
          <cell r="AP33" t="str">
            <v/>
          </cell>
          <cell r="AS33" t="str">
            <v/>
          </cell>
          <cell r="AU33" t="str">
            <v/>
          </cell>
          <cell r="BB33" t="str">
            <v/>
          </cell>
          <cell r="BD33">
            <v>28490</v>
          </cell>
          <cell r="BG33" t="str">
            <v/>
          </cell>
          <cell r="BH33">
            <v>0.03</v>
          </cell>
          <cell r="BK33" t="str">
            <v/>
          </cell>
          <cell r="BN33" t="str">
            <v/>
          </cell>
          <cell r="BP33" t="str">
            <v/>
          </cell>
          <cell r="BR33" t="str">
            <v/>
          </cell>
          <cell r="BS33">
            <v>0.17</v>
          </cell>
          <cell r="BY33" t="str">
            <v/>
          </cell>
        </row>
        <row r="34">
          <cell r="A34">
            <v>28855.25</v>
          </cell>
          <cell r="J34" t="str">
            <v/>
          </cell>
          <cell r="L34">
            <v>28855.25</v>
          </cell>
          <cell r="V34" t="str">
            <v/>
          </cell>
          <cell r="X34">
            <v>28855.25</v>
          </cell>
          <cell r="AA34" t="str">
            <v/>
          </cell>
          <cell r="AC34" t="str">
            <v/>
          </cell>
          <cell r="AE34" t="str">
            <v/>
          </cell>
          <cell r="AG34" t="str">
            <v/>
          </cell>
          <cell r="AH34" t="str">
            <v/>
          </cell>
          <cell r="AI34" t="str">
            <v/>
          </cell>
          <cell r="AK34" t="str">
            <v/>
          </cell>
          <cell r="AN34" t="str">
            <v/>
          </cell>
          <cell r="AP34" t="str">
            <v/>
          </cell>
          <cell r="AS34" t="str">
            <v/>
          </cell>
          <cell r="AU34" t="str">
            <v/>
          </cell>
          <cell r="BB34" t="str">
            <v/>
          </cell>
          <cell r="BD34">
            <v>28855.25</v>
          </cell>
          <cell r="BG34" t="str">
            <v/>
          </cell>
          <cell r="BH34">
            <v>0.03</v>
          </cell>
          <cell r="BK34" t="str">
            <v/>
          </cell>
          <cell r="BN34" t="str">
            <v/>
          </cell>
          <cell r="BP34" t="str">
            <v/>
          </cell>
          <cell r="BR34" t="str">
            <v/>
          </cell>
          <cell r="BS34">
            <v>0.17</v>
          </cell>
          <cell r="BY34" t="str">
            <v/>
          </cell>
        </row>
        <row r="35">
          <cell r="A35">
            <v>29220.5</v>
          </cell>
          <cell r="J35" t="str">
            <v/>
          </cell>
          <cell r="L35">
            <v>29220.5</v>
          </cell>
          <cell r="V35" t="str">
            <v/>
          </cell>
          <cell r="X35">
            <v>29220.5</v>
          </cell>
          <cell r="AA35" t="str">
            <v/>
          </cell>
          <cell r="AC35" t="str">
            <v/>
          </cell>
          <cell r="AE35" t="str">
            <v/>
          </cell>
          <cell r="AG35" t="str">
            <v/>
          </cell>
          <cell r="AH35" t="str">
            <v/>
          </cell>
          <cell r="AI35" t="str">
            <v/>
          </cell>
          <cell r="AK35" t="str">
            <v/>
          </cell>
          <cell r="AN35" t="str">
            <v/>
          </cell>
          <cell r="AP35" t="str">
            <v/>
          </cell>
          <cell r="AS35" t="str">
            <v/>
          </cell>
          <cell r="AU35" t="str">
            <v/>
          </cell>
          <cell r="BB35" t="str">
            <v/>
          </cell>
          <cell r="BD35">
            <v>29220.5</v>
          </cell>
          <cell r="BG35" t="str">
            <v/>
          </cell>
          <cell r="BH35">
            <v>0.03</v>
          </cell>
          <cell r="BK35" t="str">
            <v/>
          </cell>
          <cell r="BN35" t="str">
            <v/>
          </cell>
          <cell r="BP35" t="str">
            <v/>
          </cell>
          <cell r="BR35" t="str">
            <v/>
          </cell>
          <cell r="BS35">
            <v>0.17</v>
          </cell>
          <cell r="BY35" t="str">
            <v/>
          </cell>
        </row>
        <row r="36">
          <cell r="A36">
            <v>29585.75</v>
          </cell>
          <cell r="J36" t="str">
            <v/>
          </cell>
          <cell r="L36">
            <v>29585.75</v>
          </cell>
          <cell r="V36" t="str">
            <v/>
          </cell>
          <cell r="X36">
            <v>29585.75</v>
          </cell>
          <cell r="AA36" t="str">
            <v/>
          </cell>
          <cell r="AC36" t="str">
            <v/>
          </cell>
          <cell r="AE36" t="str">
            <v/>
          </cell>
          <cell r="AG36" t="str">
            <v/>
          </cell>
          <cell r="AH36" t="str">
            <v/>
          </cell>
          <cell r="AI36" t="str">
            <v/>
          </cell>
          <cell r="AK36" t="str">
            <v/>
          </cell>
          <cell r="AN36" t="str">
            <v/>
          </cell>
          <cell r="AP36" t="str">
            <v/>
          </cell>
          <cell r="AS36" t="str">
            <v/>
          </cell>
          <cell r="AU36" t="str">
            <v/>
          </cell>
          <cell r="BB36" t="str">
            <v/>
          </cell>
          <cell r="BD36">
            <v>29585.75</v>
          </cell>
          <cell r="BG36" t="str">
            <v/>
          </cell>
          <cell r="BH36">
            <v>0.03</v>
          </cell>
          <cell r="BK36" t="str">
            <v/>
          </cell>
          <cell r="BN36" t="str">
            <v/>
          </cell>
          <cell r="BP36" t="str">
            <v/>
          </cell>
          <cell r="BR36" t="str">
            <v/>
          </cell>
          <cell r="BS36">
            <v>0.17</v>
          </cell>
          <cell r="BY36" t="str">
            <v/>
          </cell>
        </row>
        <row r="37">
          <cell r="A37">
            <v>29951</v>
          </cell>
          <cell r="J37" t="str">
            <v/>
          </cell>
          <cell r="L37">
            <v>29951</v>
          </cell>
          <cell r="V37" t="str">
            <v/>
          </cell>
          <cell r="X37">
            <v>29951</v>
          </cell>
          <cell r="AA37" t="str">
            <v/>
          </cell>
          <cell r="AC37" t="str">
            <v/>
          </cell>
          <cell r="AE37" t="str">
            <v/>
          </cell>
          <cell r="AG37" t="str">
            <v/>
          </cell>
          <cell r="AH37" t="str">
            <v/>
          </cell>
          <cell r="AI37" t="str">
            <v/>
          </cell>
          <cell r="AK37" t="str">
            <v/>
          </cell>
          <cell r="AN37" t="str">
            <v/>
          </cell>
          <cell r="AP37" t="str">
            <v/>
          </cell>
          <cell r="AS37" t="str">
            <v/>
          </cell>
          <cell r="AU37" t="str">
            <v/>
          </cell>
          <cell r="BB37" t="str">
            <v/>
          </cell>
          <cell r="BD37">
            <v>29951</v>
          </cell>
          <cell r="BG37" t="str">
            <v/>
          </cell>
          <cell r="BH37">
            <v>0.03</v>
          </cell>
          <cell r="BK37" t="str">
            <v/>
          </cell>
          <cell r="BN37" t="str">
            <v/>
          </cell>
          <cell r="BP37" t="str">
            <v/>
          </cell>
          <cell r="BR37" t="str">
            <v/>
          </cell>
          <cell r="BS37">
            <v>0.17</v>
          </cell>
          <cell r="BY37" t="str">
            <v/>
          </cell>
        </row>
        <row r="38">
          <cell r="A38">
            <v>30316.25</v>
          </cell>
          <cell r="J38" t="str">
            <v/>
          </cell>
          <cell r="L38">
            <v>30316.25</v>
          </cell>
          <cell r="V38" t="str">
            <v/>
          </cell>
          <cell r="X38">
            <v>30316.25</v>
          </cell>
          <cell r="AA38" t="str">
            <v/>
          </cell>
          <cell r="AC38" t="str">
            <v/>
          </cell>
          <cell r="AE38" t="str">
            <v/>
          </cell>
          <cell r="AG38" t="str">
            <v/>
          </cell>
          <cell r="AH38" t="str">
            <v/>
          </cell>
          <cell r="AI38" t="str">
            <v/>
          </cell>
          <cell r="AK38" t="str">
            <v/>
          </cell>
          <cell r="AN38" t="str">
            <v/>
          </cell>
          <cell r="AP38" t="str">
            <v/>
          </cell>
          <cell r="AS38" t="str">
            <v/>
          </cell>
          <cell r="AU38" t="str">
            <v/>
          </cell>
          <cell r="BB38" t="str">
            <v/>
          </cell>
          <cell r="BD38">
            <v>30316.25</v>
          </cell>
          <cell r="BG38" t="str">
            <v/>
          </cell>
          <cell r="BH38">
            <v>0.03</v>
          </cell>
          <cell r="BK38" t="str">
            <v/>
          </cell>
          <cell r="BN38" t="str">
            <v/>
          </cell>
          <cell r="BP38" t="str">
            <v/>
          </cell>
          <cell r="BR38" t="str">
            <v/>
          </cell>
          <cell r="BS38">
            <v>0.17</v>
          </cell>
          <cell r="BY38" t="str">
            <v/>
          </cell>
        </row>
        <row r="39">
          <cell r="A39">
            <v>30681.5</v>
          </cell>
          <cell r="J39" t="str">
            <v/>
          </cell>
          <cell r="L39">
            <v>30681.5</v>
          </cell>
          <cell r="V39" t="str">
            <v/>
          </cell>
          <cell r="X39">
            <v>30681.5</v>
          </cell>
          <cell r="AA39" t="str">
            <v/>
          </cell>
          <cell r="AC39" t="str">
            <v/>
          </cell>
          <cell r="AE39" t="str">
            <v/>
          </cell>
          <cell r="AG39" t="str">
            <v/>
          </cell>
          <cell r="AH39" t="str">
            <v/>
          </cell>
          <cell r="AI39" t="str">
            <v/>
          </cell>
          <cell r="AK39" t="str">
            <v/>
          </cell>
          <cell r="AN39" t="str">
            <v/>
          </cell>
          <cell r="AP39" t="str">
            <v/>
          </cell>
          <cell r="AS39" t="str">
            <v/>
          </cell>
          <cell r="AU39" t="str">
            <v/>
          </cell>
          <cell r="BB39" t="str">
            <v/>
          </cell>
          <cell r="BD39">
            <v>30681.5</v>
          </cell>
          <cell r="BG39" t="str">
            <v/>
          </cell>
          <cell r="BH39">
            <v>0.03</v>
          </cell>
          <cell r="BK39" t="str">
            <v/>
          </cell>
          <cell r="BN39" t="str">
            <v/>
          </cell>
          <cell r="BP39" t="str">
            <v/>
          </cell>
          <cell r="BR39" t="str">
            <v/>
          </cell>
          <cell r="BS39">
            <v>0.17</v>
          </cell>
          <cell r="BY39" t="str">
            <v/>
          </cell>
        </row>
        <row r="40">
          <cell r="A40">
            <v>31046.75</v>
          </cell>
          <cell r="J40" t="str">
            <v/>
          </cell>
          <cell r="L40">
            <v>31046.75</v>
          </cell>
          <cell r="V40" t="str">
            <v/>
          </cell>
          <cell r="X40">
            <v>31046.75</v>
          </cell>
          <cell r="AA40" t="str">
            <v/>
          </cell>
          <cell r="AC40" t="str">
            <v/>
          </cell>
          <cell r="AE40" t="str">
            <v/>
          </cell>
          <cell r="AG40" t="str">
            <v/>
          </cell>
          <cell r="AH40" t="str">
            <v/>
          </cell>
          <cell r="AI40" t="str">
            <v/>
          </cell>
          <cell r="AK40" t="str">
            <v/>
          </cell>
          <cell r="AN40" t="str">
            <v/>
          </cell>
          <cell r="AP40" t="str">
            <v/>
          </cell>
          <cell r="AS40" t="str">
            <v/>
          </cell>
          <cell r="AU40" t="str">
            <v/>
          </cell>
          <cell r="BB40" t="str">
            <v/>
          </cell>
          <cell r="BD40">
            <v>31046.75</v>
          </cell>
          <cell r="BG40" t="str">
            <v/>
          </cell>
          <cell r="BH40">
            <v>0.03</v>
          </cell>
          <cell r="BK40" t="str">
            <v/>
          </cell>
          <cell r="BN40" t="str">
            <v/>
          </cell>
          <cell r="BP40" t="str">
            <v/>
          </cell>
          <cell r="BR40" t="str">
            <v/>
          </cell>
          <cell r="BS40">
            <v>0.17</v>
          </cell>
          <cell r="BY40" t="str">
            <v/>
          </cell>
        </row>
        <row r="41">
          <cell r="A41">
            <v>31412</v>
          </cell>
          <cell r="B41">
            <v>1573046</v>
          </cell>
          <cell r="C41">
            <v>585124</v>
          </cell>
          <cell r="D41">
            <v>814411</v>
          </cell>
          <cell r="E41">
            <v>132724</v>
          </cell>
          <cell r="F41">
            <v>33744</v>
          </cell>
          <cell r="G41">
            <v>7043</v>
          </cell>
          <cell r="J41">
            <v>12</v>
          </cell>
          <cell r="L41">
            <v>31412</v>
          </cell>
          <cell r="M41">
            <v>3045000</v>
          </cell>
          <cell r="N41">
            <v>2148000</v>
          </cell>
          <cell r="O41">
            <v>3236000</v>
          </cell>
          <cell r="P41">
            <v>20400</v>
          </cell>
          <cell r="V41">
            <v>12</v>
          </cell>
          <cell r="X41">
            <v>31412</v>
          </cell>
          <cell r="Y41">
            <v>58.8</v>
          </cell>
          <cell r="Z41">
            <v>11.659929449999998</v>
          </cell>
          <cell r="AA41">
            <v>0.19829811989795917</v>
          </cell>
          <cell r="AB41">
            <v>6.3518400000000002</v>
          </cell>
          <cell r="AC41">
            <v>0.10802448979591837</v>
          </cell>
          <cell r="AD41">
            <v>2.4969999999999999</v>
          </cell>
          <cell r="AE41">
            <v>4.2465986394557821E-2</v>
          </cell>
          <cell r="AF41">
            <v>5.8840000000000003</v>
          </cell>
          <cell r="AG41">
            <v>0.10006802721088437</v>
          </cell>
          <cell r="AH41">
            <v>32.407230549999994</v>
          </cell>
          <cell r="AI41">
            <v>0.55114337670068025</v>
          </cell>
          <cell r="AJ41">
            <v>158.5</v>
          </cell>
          <cell r="AK41">
            <v>-99.7</v>
          </cell>
          <cell r="AL41">
            <v>-48.41</v>
          </cell>
          <cell r="AM41">
            <v>-0.89899999999999913</v>
          </cell>
          <cell r="AN41">
            <v>-49.308999999999997</v>
          </cell>
          <cell r="AO41">
            <v>68.73599999999999</v>
          </cell>
          <cell r="AP41">
            <v>-80.273000000000025</v>
          </cell>
          <cell r="AQ41">
            <v>50.981999999999999</v>
          </cell>
          <cell r="AR41">
            <v>22.798000000000009</v>
          </cell>
          <cell r="AS41">
            <v>73.78</v>
          </cell>
          <cell r="AT41">
            <v>-0.59799999999997633</v>
          </cell>
          <cell r="AU41">
            <v>-7.0909999999999993</v>
          </cell>
          <cell r="AV41">
            <v>100</v>
          </cell>
          <cell r="AW41">
            <v>100</v>
          </cell>
          <cell r="AX41">
            <v>100</v>
          </cell>
          <cell r="AY41">
            <v>37.097791798107252</v>
          </cell>
          <cell r="BB41">
            <v>12</v>
          </cell>
          <cell r="BD41">
            <v>31412</v>
          </cell>
          <cell r="BE41">
            <v>8477.3259999999991</v>
          </cell>
          <cell r="BF41">
            <v>697477.72225959727</v>
          </cell>
          <cell r="BG41">
            <v>1.2154260601379877E-2</v>
          </cell>
          <cell r="BH41">
            <v>0.03</v>
          </cell>
          <cell r="BI41">
            <v>6.4442567567567499E-2</v>
          </cell>
          <cell r="BJ41">
            <v>178014.33799999999</v>
          </cell>
          <cell r="BK41">
            <v>0.25522584065236142</v>
          </cell>
          <cell r="BL41">
            <v>5670</v>
          </cell>
          <cell r="BM41">
            <v>51280</v>
          </cell>
          <cell r="BN41">
            <v>0.11056942277691108</v>
          </cell>
          <cell r="BO41">
            <v>33780</v>
          </cell>
          <cell r="BP41">
            <v>0.65873634945397819</v>
          </cell>
          <cell r="BQ41">
            <v>-94924.000000000015</v>
          </cell>
          <cell r="BR41">
            <v>-0.13609610310201398</v>
          </cell>
          <cell r="BS41">
            <v>0.17</v>
          </cell>
          <cell r="BT41">
            <v>7.7334085360060451E-2</v>
          </cell>
          <cell r="BU41">
            <v>9.9703973016814301E-2</v>
          </cell>
          <cell r="BV41">
            <v>0.1338012627810721</v>
          </cell>
          <cell r="BY41">
            <v>12</v>
          </cell>
        </row>
        <row r="42">
          <cell r="A42">
            <v>31777.25</v>
          </cell>
          <cell r="B42">
            <v>1725497</v>
          </cell>
          <cell r="C42">
            <v>612437</v>
          </cell>
          <cell r="D42">
            <v>928463</v>
          </cell>
          <cell r="E42">
            <v>155781</v>
          </cell>
          <cell r="F42">
            <v>22307</v>
          </cell>
          <cell r="G42">
            <v>6509</v>
          </cell>
          <cell r="J42">
            <v>13</v>
          </cell>
          <cell r="L42">
            <v>31777.25</v>
          </cell>
          <cell r="M42">
            <v>3106000</v>
          </cell>
          <cell r="N42">
            <v>2215000</v>
          </cell>
          <cell r="O42">
            <v>3335000</v>
          </cell>
          <cell r="P42">
            <v>20500</v>
          </cell>
          <cell r="V42">
            <v>13</v>
          </cell>
          <cell r="X42">
            <v>31777.25</v>
          </cell>
          <cell r="Y42">
            <v>51.5</v>
          </cell>
          <cell r="Z42">
            <v>10.625795909999999</v>
          </cell>
          <cell r="AA42">
            <v>0.20632613417475726</v>
          </cell>
          <cell r="AB42">
            <v>5.2186000000000003</v>
          </cell>
          <cell r="AC42">
            <v>0.10133203883495147</v>
          </cell>
          <cell r="AD42">
            <v>0.63</v>
          </cell>
          <cell r="AE42">
            <v>1.2233009708737865E-2</v>
          </cell>
          <cell r="AF42">
            <v>8.0759999999999987</v>
          </cell>
          <cell r="AG42">
            <v>0.15681553398058251</v>
          </cell>
          <cell r="AH42">
            <v>26.949604089999994</v>
          </cell>
          <cell r="AI42">
            <v>0.5232932833009708</v>
          </cell>
          <cell r="AJ42">
            <v>152.80000000000001</v>
          </cell>
          <cell r="AK42">
            <v>-101.30000000000001</v>
          </cell>
          <cell r="AL42">
            <v>-40.652000000000001</v>
          </cell>
          <cell r="AM42">
            <v>0.58899999999999952</v>
          </cell>
          <cell r="AN42">
            <v>-40.063000000000002</v>
          </cell>
          <cell r="AO42">
            <v>82.851299999999995</v>
          </cell>
          <cell r="AP42">
            <v>-58.511700000000005</v>
          </cell>
          <cell r="AQ42">
            <v>54.719700000000003</v>
          </cell>
          <cell r="AR42">
            <v>20.783000000000012</v>
          </cell>
          <cell r="AS42">
            <v>75.502700000000019</v>
          </cell>
          <cell r="AT42">
            <v>-2.938400000000005</v>
          </cell>
          <cell r="AU42">
            <v>14.052600000000009</v>
          </cell>
          <cell r="AV42">
            <v>88.9</v>
          </cell>
          <cell r="AW42">
            <v>87.2</v>
          </cell>
          <cell r="AX42">
            <v>98.087739032620931</v>
          </cell>
          <cell r="AY42">
            <v>33.704188481675388</v>
          </cell>
          <cell r="BB42">
            <v>13</v>
          </cell>
          <cell r="BD42">
            <v>31777.25</v>
          </cell>
          <cell r="BE42">
            <v>-3923.5140000000019</v>
          </cell>
          <cell r="BF42">
            <v>705183.87209671468</v>
          </cell>
          <cell r="BG42">
            <v>-5.5638169777398128E-3</v>
          </cell>
          <cell r="BH42">
            <v>0.03</v>
          </cell>
          <cell r="BI42">
            <v>-2.7057049908751907E-2</v>
          </cell>
          <cell r="BJ42">
            <v>189356.14718999999</v>
          </cell>
          <cell r="BK42">
            <v>0.26852024653795564</v>
          </cell>
          <cell r="BL42">
            <v>5380</v>
          </cell>
          <cell r="BM42">
            <v>60850</v>
          </cell>
          <cell r="BN42">
            <v>8.8414133114215282E-2</v>
          </cell>
          <cell r="BO42">
            <v>37240</v>
          </cell>
          <cell r="BP42">
            <v>0.61199671322925231</v>
          </cell>
          <cell r="BQ42">
            <v>-77833</v>
          </cell>
          <cell r="BR42">
            <v>-0.11037263198969664</v>
          </cell>
          <cell r="BS42">
            <v>0.17</v>
          </cell>
          <cell r="BT42">
            <v>8.4637090154738623E-2</v>
          </cell>
          <cell r="BU42">
            <v>0.12114187998372686</v>
          </cell>
          <cell r="BV42">
            <v>0.16193436140345899</v>
          </cell>
          <cell r="BY42">
            <v>13</v>
          </cell>
        </row>
        <row r="43">
          <cell r="A43">
            <v>32142.5</v>
          </cell>
          <cell r="B43">
            <v>1455560</v>
          </cell>
          <cell r="C43">
            <v>527607</v>
          </cell>
          <cell r="D43">
            <v>689538</v>
          </cell>
          <cell r="E43">
            <v>191699</v>
          </cell>
          <cell r="F43">
            <v>40979</v>
          </cell>
          <cell r="G43">
            <v>5737</v>
          </cell>
          <cell r="J43">
            <v>14</v>
          </cell>
          <cell r="L43">
            <v>32142.5</v>
          </cell>
          <cell r="M43">
            <v>2700000</v>
          </cell>
          <cell r="N43">
            <v>2800000</v>
          </cell>
          <cell r="O43">
            <v>4900000</v>
          </cell>
          <cell r="P43">
            <v>21000</v>
          </cell>
          <cell r="V43">
            <v>14</v>
          </cell>
          <cell r="X43">
            <v>32142.5</v>
          </cell>
          <cell r="Y43">
            <v>69.099999999999994</v>
          </cell>
          <cell r="Z43">
            <v>20.137874999999998</v>
          </cell>
          <cell r="AA43">
            <v>0.29143089725036181</v>
          </cell>
          <cell r="AB43">
            <v>5.4114000000000004</v>
          </cell>
          <cell r="AC43">
            <v>7.8312590448625194E-2</v>
          </cell>
          <cell r="AD43">
            <v>0.55100000000000005</v>
          </cell>
          <cell r="AE43">
            <v>7.9739507959479036E-3</v>
          </cell>
          <cell r="AF43">
            <v>14.494</v>
          </cell>
          <cell r="AG43">
            <v>0.20975397973950796</v>
          </cell>
          <cell r="AH43">
            <v>28.505724999999998</v>
          </cell>
          <cell r="AI43">
            <v>0.41252858176555718</v>
          </cell>
          <cell r="AJ43">
            <v>142.69999999999999</v>
          </cell>
          <cell r="AK43">
            <v>-73.599999999999994</v>
          </cell>
          <cell r="AL43">
            <v>-46.447000000000003</v>
          </cell>
          <cell r="AM43">
            <v>-0.78799999999999937</v>
          </cell>
          <cell r="AN43">
            <v>-47.234999999999999</v>
          </cell>
          <cell r="AO43">
            <v>62.895000000000003</v>
          </cell>
          <cell r="AP43">
            <v>-57.939999999999991</v>
          </cell>
          <cell r="AQ43">
            <v>44.89</v>
          </cell>
          <cell r="AR43">
            <v>26.765000000000001</v>
          </cell>
          <cell r="AS43">
            <v>71.655000000000001</v>
          </cell>
          <cell r="AT43">
            <v>-1.4793000000000021</v>
          </cell>
          <cell r="AU43">
            <v>12.235700000000008</v>
          </cell>
          <cell r="AV43">
            <v>89.5</v>
          </cell>
          <cell r="AW43">
            <v>88.8</v>
          </cell>
          <cell r="AX43">
            <v>99.217877094972067</v>
          </cell>
          <cell r="AY43">
            <v>48.423265592151367</v>
          </cell>
          <cell r="BB43">
            <v>14</v>
          </cell>
          <cell r="BD43">
            <v>32142.5</v>
          </cell>
          <cell r="BE43">
            <v>-2472.5079999999907</v>
          </cell>
          <cell r="BF43">
            <v>712222.06202854996</v>
          </cell>
          <cell r="BG43">
            <v>-3.4715408744258732E-3</v>
          </cell>
          <cell r="BH43">
            <v>0.03</v>
          </cell>
          <cell r="BI43">
            <v>-2.5689120861197234E-2</v>
          </cell>
          <cell r="BJ43">
            <v>206525.4</v>
          </cell>
          <cell r="BK43">
            <v>0.28997332575148627</v>
          </cell>
          <cell r="BL43">
            <v>9878</v>
          </cell>
          <cell r="BM43">
            <v>65100</v>
          </cell>
          <cell r="BN43">
            <v>0.15173579109062979</v>
          </cell>
          <cell r="BO43">
            <v>42200</v>
          </cell>
          <cell r="BP43">
            <v>0.64823348694316441</v>
          </cell>
          <cell r="BQ43">
            <v>-71697.999999999985</v>
          </cell>
          <cell r="BR43">
            <v>-0.10066804136309655</v>
          </cell>
          <cell r="BS43">
            <v>0.17</v>
          </cell>
          <cell r="BT43">
            <v>8.965067155672532E-2</v>
          </cell>
          <cell r="BU43">
            <v>0.12767885867084355</v>
          </cell>
          <cell r="BV43">
            <v>0.1786908982256413</v>
          </cell>
          <cell r="BY43">
            <v>14</v>
          </cell>
        </row>
        <row r="44">
          <cell r="A44">
            <v>32507.75</v>
          </cell>
          <cell r="B44">
            <v>2059908</v>
          </cell>
          <cell r="C44">
            <v>763912</v>
          </cell>
          <cell r="D44">
            <v>970016</v>
          </cell>
          <cell r="E44">
            <v>255762</v>
          </cell>
          <cell r="F44">
            <v>55998</v>
          </cell>
          <cell r="G44">
            <v>14220</v>
          </cell>
          <cell r="J44">
            <v>15</v>
          </cell>
          <cell r="L44">
            <v>32507.75</v>
          </cell>
          <cell r="M44">
            <v>2800000</v>
          </cell>
          <cell r="N44">
            <v>3379600</v>
          </cell>
          <cell r="O44">
            <v>4388800</v>
          </cell>
          <cell r="P44">
            <v>16373</v>
          </cell>
          <cell r="V44">
            <v>15</v>
          </cell>
          <cell r="X44">
            <v>32507.75</v>
          </cell>
          <cell r="Y44">
            <v>71.5</v>
          </cell>
          <cell r="Z44">
            <v>19.010675000000003</v>
          </cell>
          <cell r="AA44">
            <v>0.26588356643356648</v>
          </cell>
          <cell r="AB44">
            <v>7.4679327500000001</v>
          </cell>
          <cell r="AC44">
            <v>0.10444661188811188</v>
          </cell>
          <cell r="AD44">
            <v>0.154</v>
          </cell>
          <cell r="AE44">
            <v>2.1538461538461538E-3</v>
          </cell>
          <cell r="AF44">
            <v>15.082159090909094</v>
          </cell>
          <cell r="AG44">
            <v>0.21093928798474257</v>
          </cell>
          <cell r="AH44">
            <v>29.785233159090893</v>
          </cell>
          <cell r="AI44">
            <v>0.41657668753973276</v>
          </cell>
          <cell r="AJ44">
            <v>142.1</v>
          </cell>
          <cell r="AK44">
            <v>-70.599999999999994</v>
          </cell>
          <cell r="AL44">
            <v>-56.076000000000001</v>
          </cell>
          <cell r="AM44">
            <v>1.891</v>
          </cell>
          <cell r="AN44">
            <v>-54.185000000000002</v>
          </cell>
          <cell r="AO44">
            <v>62.199375500000002</v>
          </cell>
          <cell r="AP44">
            <v>-62.585624499999994</v>
          </cell>
          <cell r="AQ44">
            <v>53.320624500000001</v>
          </cell>
          <cell r="AR44">
            <v>19.634000000000004</v>
          </cell>
          <cell r="AS44">
            <v>72.954624500000008</v>
          </cell>
          <cell r="AT44">
            <v>-4.0709999999999855</v>
          </cell>
          <cell r="AU44">
            <v>6.2980000000000285</v>
          </cell>
          <cell r="AV44">
            <v>92.3</v>
          </cell>
          <cell r="AW44">
            <v>97.2</v>
          </cell>
          <cell r="AX44">
            <v>105.30877573131094</v>
          </cell>
          <cell r="AY44">
            <v>50.316678395496126</v>
          </cell>
          <cell r="BB44">
            <v>15</v>
          </cell>
          <cell r="BD44">
            <v>32507.75</v>
          </cell>
          <cell r="BE44">
            <v>-7761.251000000012</v>
          </cell>
          <cell r="BF44">
            <v>779183.026446281</v>
          </cell>
          <cell r="BG44">
            <v>-9.9607547091955222E-3</v>
          </cell>
          <cell r="BH44">
            <v>0.03</v>
          </cell>
          <cell r="BI44">
            <v>4.2270025947936718E-2</v>
          </cell>
          <cell r="BJ44">
            <v>257270</v>
          </cell>
          <cell r="BK44">
            <v>0.33017916364703676</v>
          </cell>
          <cell r="BL44">
            <v>6840</v>
          </cell>
          <cell r="BM44">
            <v>69710</v>
          </cell>
          <cell r="BN44">
            <v>9.8120786113900446E-2</v>
          </cell>
          <cell r="BO44">
            <v>51290</v>
          </cell>
          <cell r="BP44">
            <v>0.73576244441256633</v>
          </cell>
          <cell r="BQ44">
            <v>-78770.000000000015</v>
          </cell>
          <cell r="BR44">
            <v>-0.10109306456437631</v>
          </cell>
          <cell r="BS44">
            <v>0.17</v>
          </cell>
          <cell r="BT44">
            <v>8.7980196184118051E-2</v>
          </cell>
          <cell r="BU44">
            <v>0.13602786046739854</v>
          </cell>
          <cell r="BV44">
            <v>0.19412127172463248</v>
          </cell>
          <cell r="BY44">
            <v>15</v>
          </cell>
        </row>
        <row r="45">
          <cell r="A45">
            <v>32873</v>
          </cell>
          <cell r="B45">
            <v>1953042</v>
          </cell>
          <cell r="C45">
            <v>649297</v>
          </cell>
          <cell r="D45">
            <v>991188</v>
          </cell>
          <cell r="E45">
            <v>256916</v>
          </cell>
          <cell r="F45">
            <v>41841</v>
          </cell>
          <cell r="G45">
            <v>13800</v>
          </cell>
          <cell r="J45">
            <v>16</v>
          </cell>
          <cell r="L45">
            <v>32873</v>
          </cell>
          <cell r="M45">
            <v>3200000</v>
          </cell>
          <cell r="N45">
            <v>4420975</v>
          </cell>
          <cell r="O45">
            <v>5484300</v>
          </cell>
          <cell r="P45">
            <v>16700</v>
          </cell>
          <cell r="V45">
            <v>16</v>
          </cell>
          <cell r="X45">
            <v>32873</v>
          </cell>
          <cell r="Y45">
            <v>58.875999999999998</v>
          </cell>
          <cell r="Z45">
            <v>14.355847840000001</v>
          </cell>
          <cell r="AA45">
            <v>0.24383191521163125</v>
          </cell>
          <cell r="AB45">
            <v>6.2024999999999997</v>
          </cell>
          <cell r="AC45">
            <v>0.10534852911203206</v>
          </cell>
          <cell r="AD45">
            <v>0.22400000000000003</v>
          </cell>
          <cell r="AE45">
            <v>3.8046062911882609E-3</v>
          </cell>
          <cell r="AF45">
            <v>11.382999999999997</v>
          </cell>
          <cell r="AG45">
            <v>0.19333854202051767</v>
          </cell>
          <cell r="AH45">
            <v>26.710652160000002</v>
          </cell>
          <cell r="AI45">
            <v>0.45367640736463083</v>
          </cell>
          <cell r="AJ45">
            <v>140.9</v>
          </cell>
          <cell r="AK45">
            <v>-82.024000000000001</v>
          </cell>
          <cell r="AL45">
            <v>-42.862000000000009</v>
          </cell>
          <cell r="AM45">
            <v>1.4560000000000004</v>
          </cell>
          <cell r="AN45">
            <v>-41.406000000000006</v>
          </cell>
          <cell r="AO45">
            <v>56.325406724137935</v>
          </cell>
          <cell r="AP45">
            <v>-67.104593275862072</v>
          </cell>
          <cell r="AQ45">
            <v>162.42259327586211</v>
          </cell>
          <cell r="AR45">
            <v>-61.94650189655173</v>
          </cell>
          <cell r="AS45">
            <v>100.47609137931039</v>
          </cell>
          <cell r="AT45">
            <v>-63.412125689655234</v>
          </cell>
          <cell r="AU45">
            <v>-30.040627586206917</v>
          </cell>
          <cell r="AV45">
            <v>98.9</v>
          </cell>
          <cell r="AW45">
            <v>99.1</v>
          </cell>
          <cell r="AX45">
            <v>100.20222446916077</v>
          </cell>
          <cell r="AY45">
            <v>41.78566359119943</v>
          </cell>
          <cell r="BB45">
            <v>16</v>
          </cell>
          <cell r="BD45">
            <v>32873</v>
          </cell>
          <cell r="BE45">
            <v>-12232.296999999991</v>
          </cell>
          <cell r="BF45">
            <v>834394.18181818188</v>
          </cell>
          <cell r="BG45">
            <v>-1.4660093834002142E-2</v>
          </cell>
          <cell r="BH45">
            <v>0.03</v>
          </cell>
          <cell r="BI45">
            <v>-4.8185030517186034E-3</v>
          </cell>
          <cell r="BJ45">
            <v>267714</v>
          </cell>
          <cell r="BK45">
            <v>0.32084835421148233</v>
          </cell>
          <cell r="BL45">
            <v>9520</v>
          </cell>
          <cell r="BM45">
            <v>66876</v>
          </cell>
          <cell r="BN45">
            <v>0.14235301154375263</v>
          </cell>
          <cell r="BO45">
            <v>55030</v>
          </cell>
          <cell r="BP45">
            <v>0.82286620013158684</v>
          </cell>
          <cell r="BQ45">
            <v>-80608</v>
          </cell>
          <cell r="BR45">
            <v>-9.6606618018778123E-2</v>
          </cell>
          <cell r="BS45">
            <v>0.17</v>
          </cell>
          <cell r="BT45">
            <v>7.8854988154706568E-2</v>
          </cell>
          <cell r="BU45">
            <v>0.12616710697886849</v>
          </cell>
          <cell r="BV45">
            <v>0.18476291345185006</v>
          </cell>
          <cell r="BY45">
            <v>16</v>
          </cell>
        </row>
        <row r="46">
          <cell r="A46">
            <v>33238.25</v>
          </cell>
          <cell r="B46">
            <v>1517900</v>
          </cell>
          <cell r="C46">
            <v>449000</v>
          </cell>
          <cell r="D46">
            <v>750500</v>
          </cell>
          <cell r="E46">
            <v>257900</v>
          </cell>
          <cell r="F46">
            <v>47800</v>
          </cell>
          <cell r="G46">
            <v>12700</v>
          </cell>
          <cell r="J46">
            <v>17</v>
          </cell>
          <cell r="L46">
            <v>33238.25</v>
          </cell>
          <cell r="M46">
            <v>3937200</v>
          </cell>
          <cell r="N46">
            <v>5047000</v>
          </cell>
          <cell r="O46">
            <v>6561100</v>
          </cell>
          <cell r="P46">
            <v>17010.5</v>
          </cell>
          <cell r="V46">
            <v>17</v>
          </cell>
          <cell r="X46">
            <v>33238.25</v>
          </cell>
          <cell r="Y46">
            <v>76.37299999999999</v>
          </cell>
          <cell r="Z46">
            <v>23.414749819999994</v>
          </cell>
          <cell r="AA46">
            <v>0.30658413077920205</v>
          </cell>
          <cell r="AB46">
            <v>9.5426800000000007</v>
          </cell>
          <cell r="AC46">
            <v>0.12494834561952525</v>
          </cell>
          <cell r="AD46">
            <v>0.63</v>
          </cell>
          <cell r="AE46">
            <v>8.2489885168842408E-3</v>
          </cell>
          <cell r="AF46">
            <v>16.037999999999997</v>
          </cell>
          <cell r="AG46">
            <v>0.20999567910125305</v>
          </cell>
          <cell r="AH46">
            <v>26.74757017999999</v>
          </cell>
          <cell r="AI46">
            <v>0.35022285598313529</v>
          </cell>
          <cell r="AJ46">
            <v>147.69999999999999</v>
          </cell>
          <cell r="AK46">
            <v>-71.326999999999998</v>
          </cell>
          <cell r="AL46">
            <v>-39.935999999999993</v>
          </cell>
          <cell r="AM46">
            <v>-9.4000000000000306E-2</v>
          </cell>
          <cell r="AN46">
            <v>-40.029999999999994</v>
          </cell>
          <cell r="AO46">
            <v>41.508816806481946</v>
          </cell>
          <cell r="AP46">
            <v>-69.848183193518054</v>
          </cell>
          <cell r="AQ46">
            <v>48.952183193518053</v>
          </cell>
          <cell r="AR46">
            <v>9.1340207151881962</v>
          </cell>
          <cell r="AS46">
            <v>58.086203908706253</v>
          </cell>
          <cell r="AT46">
            <v>-1.413376543354979</v>
          </cell>
          <cell r="AU46">
            <v>-13.175355828166779</v>
          </cell>
          <cell r="AV46">
            <v>95.6</v>
          </cell>
          <cell r="AW46">
            <v>101.3</v>
          </cell>
          <cell r="AX46">
            <v>105.96234309623431</v>
          </cell>
          <cell r="AY46">
            <v>51.708192281651996</v>
          </cell>
          <cell r="BB46">
            <v>17</v>
          </cell>
          <cell r="BD46">
            <v>33238.25</v>
          </cell>
          <cell r="BE46">
            <v>-4086.5340000000037</v>
          </cell>
          <cell r="BF46">
            <v>844375</v>
          </cell>
          <cell r="BG46">
            <v>-4.8397145817912698E-3</v>
          </cell>
          <cell r="BH46">
            <v>0.03</v>
          </cell>
          <cell r="BI46">
            <v>-8.3118140735958246E-3</v>
          </cell>
          <cell r="BJ46">
            <v>223824</v>
          </cell>
          <cell r="BK46">
            <v>0.26507653589933383</v>
          </cell>
          <cell r="BL46">
            <v>7160</v>
          </cell>
          <cell r="BM46">
            <v>76422</v>
          </cell>
          <cell r="BN46">
            <v>9.3690298605113714E-2</v>
          </cell>
          <cell r="BO46">
            <v>57459</v>
          </cell>
          <cell r="BP46">
            <v>0.75186464630603755</v>
          </cell>
          <cell r="BQ46">
            <v>-84422</v>
          </cell>
          <cell r="BR46">
            <v>-9.9981643227239084E-2</v>
          </cell>
          <cell r="BS46">
            <v>0.17</v>
          </cell>
          <cell r="BT46">
            <v>8.9884729078315073E-2</v>
          </cell>
          <cell r="BU46">
            <v>0.12127159141376757</v>
          </cell>
          <cell r="BV46">
            <v>0.18295330866025167</v>
          </cell>
          <cell r="BY46">
            <v>17</v>
          </cell>
        </row>
        <row r="47">
          <cell r="A47">
            <v>33603.5</v>
          </cell>
          <cell r="B47">
            <v>2454900</v>
          </cell>
          <cell r="C47">
            <v>848500</v>
          </cell>
          <cell r="D47">
            <v>1238300</v>
          </cell>
          <cell r="E47">
            <v>315100</v>
          </cell>
          <cell r="F47">
            <v>38600</v>
          </cell>
          <cell r="G47">
            <v>14400</v>
          </cell>
          <cell r="J47">
            <v>18</v>
          </cell>
          <cell r="L47">
            <v>33603.5</v>
          </cell>
          <cell r="M47">
            <v>4015600</v>
          </cell>
          <cell r="N47">
            <v>5198400</v>
          </cell>
          <cell r="O47">
            <v>6692600</v>
          </cell>
          <cell r="P47">
            <v>17351.099999999999</v>
          </cell>
          <cell r="V47">
            <v>18</v>
          </cell>
          <cell r="X47">
            <v>33603.5</v>
          </cell>
          <cell r="Y47">
            <v>75.900000000000006</v>
          </cell>
          <cell r="Z47">
            <v>29.2979512</v>
          </cell>
          <cell r="AA47">
            <v>0.38600726218708825</v>
          </cell>
          <cell r="AB47">
            <v>8.2081999999999997</v>
          </cell>
          <cell r="AC47">
            <v>0.10814492753623187</v>
          </cell>
          <cell r="AD47">
            <v>0.16900000000000001</v>
          </cell>
          <cell r="AE47">
            <v>2.2266139657444004E-3</v>
          </cell>
          <cell r="AF47">
            <v>11.018000000000001</v>
          </cell>
          <cell r="AG47">
            <v>0.14516469038208168</v>
          </cell>
          <cell r="AH47">
            <v>27.20684880000001</v>
          </cell>
          <cell r="AI47">
            <v>0.35845650592885386</v>
          </cell>
          <cell r="AJ47">
            <v>138.4</v>
          </cell>
          <cell r="AK47">
            <v>-62.5</v>
          </cell>
          <cell r="AL47">
            <v>-52.078999999999994</v>
          </cell>
          <cell r="AM47">
            <v>-0.79799999999999915</v>
          </cell>
          <cell r="AN47">
            <v>-52.876999999999995</v>
          </cell>
          <cell r="AO47">
            <v>44.327958505641419</v>
          </cell>
          <cell r="AP47">
            <v>-71.049041494358576</v>
          </cell>
          <cell r="AQ47">
            <v>44.656041494358583</v>
          </cell>
          <cell r="AR47">
            <v>24.66</v>
          </cell>
          <cell r="AS47">
            <v>69.316041494358586</v>
          </cell>
          <cell r="AT47">
            <v>-17.961703215217486</v>
          </cell>
          <cell r="AU47">
            <v>-19.694703215217476</v>
          </cell>
          <cell r="AV47">
            <v>97.4</v>
          </cell>
          <cell r="AW47">
            <v>101.2</v>
          </cell>
          <cell r="AX47">
            <v>103.90143737166323</v>
          </cell>
          <cell r="AY47">
            <v>54.841040462427749</v>
          </cell>
          <cell r="BB47">
            <v>18</v>
          </cell>
          <cell r="BD47">
            <v>33603.5</v>
          </cell>
          <cell r="BE47">
            <v>4818.998999999998</v>
          </cell>
          <cell r="BF47">
            <v>884418</v>
          </cell>
          <cell r="BG47">
            <v>5.4487798755791924E-3</v>
          </cell>
          <cell r="BH47">
            <v>0.03</v>
          </cell>
          <cell r="BI47">
            <v>3.181707217837082E-2</v>
          </cell>
          <cell r="BJ47">
            <v>344657</v>
          </cell>
          <cell r="BK47">
            <v>0.38969921462475887</v>
          </cell>
          <cell r="BL47">
            <v>5198</v>
          </cell>
          <cell r="BM47">
            <v>79523</v>
          </cell>
          <cell r="BN47">
            <v>6.5364737245828253E-2</v>
          </cell>
          <cell r="BO47">
            <v>54100</v>
          </cell>
          <cell r="BP47">
            <v>0.68030632647158684</v>
          </cell>
          <cell r="BQ47">
            <v>-89643.999999999985</v>
          </cell>
          <cell r="BR47">
            <v>-0.10135931199952962</v>
          </cell>
          <cell r="BS47">
            <v>0.17</v>
          </cell>
          <cell r="BT47">
            <v>8.7880353045364915E-2</v>
          </cell>
          <cell r="BU47">
            <v>0.12768521219604306</v>
          </cell>
          <cell r="BV47">
            <v>0.18880212750079714</v>
          </cell>
          <cell r="BY47">
            <v>18</v>
          </cell>
        </row>
        <row r="48">
          <cell r="A48">
            <v>33968.75</v>
          </cell>
          <cell r="B48">
            <v>2478600</v>
          </cell>
          <cell r="C48">
            <v>783500</v>
          </cell>
          <cell r="D48">
            <v>1292100</v>
          </cell>
          <cell r="E48">
            <v>342700</v>
          </cell>
          <cell r="F48">
            <v>46700</v>
          </cell>
          <cell r="G48">
            <v>13600</v>
          </cell>
          <cell r="J48">
            <v>19</v>
          </cell>
          <cell r="L48">
            <v>33968.75</v>
          </cell>
          <cell r="M48">
            <v>4095900</v>
          </cell>
          <cell r="N48">
            <v>5354200</v>
          </cell>
          <cell r="O48">
            <v>6859900</v>
          </cell>
          <cell r="P48">
            <v>17784.900000000001</v>
          </cell>
          <cell r="V48">
            <v>19</v>
          </cell>
          <cell r="X48">
            <v>33968.75</v>
          </cell>
          <cell r="Y48">
            <v>62.8</v>
          </cell>
          <cell r="Z48">
            <v>24.965790000000002</v>
          </cell>
          <cell r="AA48">
            <v>0.39754442675159241</v>
          </cell>
          <cell r="AB48">
            <v>8.6957500000000003</v>
          </cell>
          <cell r="AC48">
            <v>0.13846735668789811</v>
          </cell>
          <cell r="AD48">
            <v>0.5</v>
          </cell>
          <cell r="AE48">
            <v>7.9617834394904458E-3</v>
          </cell>
          <cell r="AF48">
            <v>8.4</v>
          </cell>
          <cell r="AG48">
            <v>0.13375796178343949</v>
          </cell>
          <cell r="AH48">
            <v>20.238459999999996</v>
          </cell>
          <cell r="AI48">
            <v>0.32226847133757958</v>
          </cell>
          <cell r="AJ48">
            <v>121.467</v>
          </cell>
          <cell r="AK48">
            <v>-58.667000000000002</v>
          </cell>
          <cell r="AL48">
            <v>-37.909999999999997</v>
          </cell>
          <cell r="AM48">
            <v>1.0960000000000008</v>
          </cell>
          <cell r="AN48">
            <v>-36.813999999999993</v>
          </cell>
          <cell r="AO48">
            <v>46.928783154887853</v>
          </cell>
          <cell r="AP48">
            <v>-48.552216845112142</v>
          </cell>
          <cell r="AQ48">
            <v>42.9345</v>
          </cell>
          <cell r="AR48">
            <v>19.411999999999999</v>
          </cell>
          <cell r="AS48">
            <v>62.346499999999999</v>
          </cell>
          <cell r="AT48">
            <v>1.2284168451121467</v>
          </cell>
          <cell r="AU48">
            <v>15.022700000000004</v>
          </cell>
          <cell r="AV48">
            <v>97.985872803882259</v>
          </cell>
          <cell r="AW48">
            <v>97.711883687822919</v>
          </cell>
          <cell r="AX48">
            <v>99.720378960538795</v>
          </cell>
          <cell r="AY48">
            <v>51.701285122708221</v>
          </cell>
          <cell r="BB48">
            <v>19</v>
          </cell>
          <cell r="BD48">
            <v>33968.75</v>
          </cell>
          <cell r="BE48">
            <v>-12467.4</v>
          </cell>
          <cell r="BF48">
            <v>888489</v>
          </cell>
          <cell r="BG48">
            <v>-1.4032137707951364E-2</v>
          </cell>
          <cell r="BH48">
            <v>0.03</v>
          </cell>
          <cell r="BI48">
            <v>-1.8927444794952564E-2</v>
          </cell>
          <cell r="BJ48">
            <v>351043</v>
          </cell>
          <cell r="BK48">
            <v>0.39510112111686246</v>
          </cell>
          <cell r="BL48">
            <v>11800</v>
          </cell>
          <cell r="BM48">
            <v>68900.399999999994</v>
          </cell>
          <cell r="BN48">
            <v>0.17126170530214629</v>
          </cell>
          <cell r="BO48">
            <v>50900</v>
          </cell>
          <cell r="BP48">
            <v>0.73874752541349553</v>
          </cell>
          <cell r="BQ48">
            <v>-67817</v>
          </cell>
          <cell r="BR48">
            <v>-7.6328463267412425E-2</v>
          </cell>
          <cell r="BS48">
            <v>0.17</v>
          </cell>
          <cell r="BT48">
            <v>7.5024157080554113E-2</v>
          </cell>
          <cell r="BU48">
            <v>0.12731919022070054</v>
          </cell>
          <cell r="BV48">
            <v>0.19906661759459038</v>
          </cell>
          <cell r="BY48">
            <v>19</v>
          </cell>
        </row>
        <row r="49">
          <cell r="A49">
            <v>34334</v>
          </cell>
          <cell r="B49">
            <v>2527359</v>
          </cell>
          <cell r="C49">
            <v>899198</v>
          </cell>
          <cell r="D49">
            <v>1281072</v>
          </cell>
          <cell r="E49">
            <v>270723</v>
          </cell>
          <cell r="F49">
            <v>53812</v>
          </cell>
          <cell r="G49">
            <v>22554</v>
          </cell>
          <cell r="J49">
            <v>20</v>
          </cell>
          <cell r="L49">
            <v>34334</v>
          </cell>
          <cell r="M49">
            <v>4177500</v>
          </cell>
          <cell r="N49">
            <v>5514900</v>
          </cell>
          <cell r="O49">
            <v>7031300</v>
          </cell>
          <cell r="P49">
            <v>18229.400000000001</v>
          </cell>
          <cell r="V49">
            <v>20</v>
          </cell>
          <cell r="X49">
            <v>34334</v>
          </cell>
          <cell r="Y49">
            <v>64.03</v>
          </cell>
          <cell r="Z49">
            <v>22.201012000000002</v>
          </cell>
          <cell r="AA49">
            <v>0.34672828361705454</v>
          </cell>
          <cell r="AB49">
            <v>10.3</v>
          </cell>
          <cell r="AC49">
            <v>0.16086209589255038</v>
          </cell>
          <cell r="AD49">
            <v>0.101075</v>
          </cell>
          <cell r="AE49">
            <v>1.5785569264407308E-3</v>
          </cell>
          <cell r="AF49">
            <v>7.6</v>
          </cell>
          <cell r="AG49">
            <v>0.11869436201780414</v>
          </cell>
          <cell r="AH49">
            <v>23.827912999999995</v>
          </cell>
          <cell r="AI49">
            <v>0.37213670154615014</v>
          </cell>
          <cell r="AJ49">
            <v>132.79793901502165</v>
          </cell>
          <cell r="AK49">
            <v>-68.767939015021653</v>
          </cell>
          <cell r="AL49">
            <v>-40.887060000000005</v>
          </cell>
          <cell r="AM49">
            <v>0.98</v>
          </cell>
          <cell r="AN49">
            <v>-39.907060000000008</v>
          </cell>
          <cell r="AO49">
            <v>54.903200000000012</v>
          </cell>
          <cell r="AP49">
            <v>-53.771799015021642</v>
          </cell>
          <cell r="AQ49">
            <v>36.638602200000001</v>
          </cell>
          <cell r="AR49">
            <v>25.999079999999999</v>
          </cell>
          <cell r="AS49">
            <v>62.6376822</v>
          </cell>
          <cell r="AT49">
            <v>-1.0083831849783529</v>
          </cell>
          <cell r="AU49">
            <v>7.8575000000000053</v>
          </cell>
          <cell r="AV49">
            <v>99.567688468169948</v>
          </cell>
          <cell r="AW49">
            <v>93.908097829588655</v>
          </cell>
          <cell r="AX49">
            <v>94.315836065240617</v>
          </cell>
          <cell r="AY49">
            <v>48.216109734020151</v>
          </cell>
          <cell r="BB49">
            <v>20</v>
          </cell>
          <cell r="BD49">
            <v>34334</v>
          </cell>
          <cell r="BE49">
            <v>-29059.749</v>
          </cell>
          <cell r="BF49">
            <v>905989</v>
          </cell>
          <cell r="BG49">
            <v>-3.207516757929732E-2</v>
          </cell>
          <cell r="BH49">
            <v>0.03</v>
          </cell>
          <cell r="BI49">
            <v>-1.9407819879547761E-3</v>
          </cell>
          <cell r="BJ49">
            <v>386689</v>
          </cell>
          <cell r="BK49">
            <v>0.42681423284388664</v>
          </cell>
          <cell r="BL49">
            <v>8800</v>
          </cell>
          <cell r="BM49">
            <v>72579.551000000007</v>
          </cell>
          <cell r="BN49">
            <v>0.12124627224547034</v>
          </cell>
          <cell r="BO49">
            <v>52240</v>
          </cell>
          <cell r="BP49">
            <v>0.71976196160265571</v>
          </cell>
          <cell r="BQ49">
            <v>-81796.199015021644</v>
          </cell>
          <cell r="BR49">
            <v>-9.0283876531637414E-2</v>
          </cell>
          <cell r="BS49">
            <v>0.17</v>
          </cell>
          <cell r="BT49">
            <v>7.8875592980714726E-2</v>
          </cell>
          <cell r="BU49">
            <v>0.13898292363373066</v>
          </cell>
          <cell r="BV49">
            <v>0.25227756628391734</v>
          </cell>
          <cell r="BY49">
            <v>20</v>
          </cell>
        </row>
        <row r="50">
          <cell r="A50">
            <v>34699.25</v>
          </cell>
          <cell r="B50">
            <v>2491560</v>
          </cell>
          <cell r="C50">
            <v>831423</v>
          </cell>
          <cell r="D50">
            <v>1232433</v>
          </cell>
          <cell r="E50">
            <v>350314</v>
          </cell>
          <cell r="F50">
            <v>61010</v>
          </cell>
          <cell r="G50">
            <v>16380</v>
          </cell>
          <cell r="J50">
            <v>21</v>
          </cell>
          <cell r="L50">
            <v>34699.25</v>
          </cell>
          <cell r="M50">
            <v>4260900</v>
          </cell>
          <cell r="N50">
            <v>5680600</v>
          </cell>
          <cell r="O50">
            <v>7242100</v>
          </cell>
          <cell r="P50">
            <v>18776.400000000001</v>
          </cell>
          <cell r="V50">
            <v>21</v>
          </cell>
          <cell r="X50">
            <v>34699.25</v>
          </cell>
          <cell r="Y50">
            <v>119.69</v>
          </cell>
          <cell r="Z50">
            <v>32.825901028589932</v>
          </cell>
          <cell r="AA50">
            <v>0.2742576742300103</v>
          </cell>
          <cell r="AB50">
            <v>33.1</v>
          </cell>
          <cell r="AC50">
            <v>0.27654774834990392</v>
          </cell>
          <cell r="AD50">
            <v>1.7</v>
          </cell>
          <cell r="AE50">
            <v>1.4203358676581167E-2</v>
          </cell>
          <cell r="AF50">
            <v>12.215</v>
          </cell>
          <cell r="AG50">
            <v>0.10205530954966999</v>
          </cell>
          <cell r="AH50">
            <v>39.849098971410072</v>
          </cell>
          <cell r="AI50">
            <v>0.3329359091938347</v>
          </cell>
          <cell r="AJ50">
            <v>191.2</v>
          </cell>
          <cell r="AK50">
            <v>-71.509999999999991</v>
          </cell>
          <cell r="AL50">
            <v>-51.428500000000014</v>
          </cell>
          <cell r="AM50">
            <v>-5.9715000000000007</v>
          </cell>
          <cell r="AN50">
            <v>-57.400000000000013</v>
          </cell>
          <cell r="AO50">
            <v>89.375394999999997</v>
          </cell>
          <cell r="AP50">
            <v>-39.534604999999999</v>
          </cell>
          <cell r="AQ50">
            <v>52.180605</v>
          </cell>
          <cell r="AR50">
            <v>54.003979999999991</v>
          </cell>
          <cell r="AS50">
            <v>106.184585</v>
          </cell>
          <cell r="AT50">
            <v>-4.3799459999999968</v>
          </cell>
          <cell r="AU50">
            <v>62.270034000000003</v>
          </cell>
          <cell r="AV50">
            <v>163.75249372917293</v>
          </cell>
          <cell r="AW50">
            <v>123.04672339559207</v>
          </cell>
          <cell r="AX50">
            <v>75.141892861245012</v>
          </cell>
          <cell r="AY50">
            <v>62.599372384937247</v>
          </cell>
          <cell r="BB50">
            <v>21</v>
          </cell>
          <cell r="BD50">
            <v>34699.25</v>
          </cell>
          <cell r="BE50">
            <v>-32376.124946255062</v>
          </cell>
          <cell r="BF50">
            <v>1052274.2344683902</v>
          </cell>
          <cell r="BG50">
            <v>-1.95653680272431E-2</v>
          </cell>
          <cell r="BH50">
            <v>0.03</v>
          </cell>
          <cell r="BI50">
            <v>0.24668668186899323</v>
          </cell>
          <cell r="BJ50">
            <v>750615</v>
          </cell>
          <cell r="BK50">
            <v>0.885101712586435</v>
          </cell>
          <cell r="BL50">
            <v>9194.2090000000007</v>
          </cell>
          <cell r="BM50">
            <v>104400.52200000001</v>
          </cell>
          <cell r="BN50">
            <v>8.806669568184726E-2</v>
          </cell>
          <cell r="BO50">
            <v>58248.781999999999</v>
          </cell>
          <cell r="BP50">
            <v>0.55854126679462601</v>
          </cell>
          <cell r="BQ50">
            <v>-94324</v>
          </cell>
          <cell r="BR50">
            <v>-8.9638230140313718E-2</v>
          </cell>
          <cell r="BS50">
            <v>0.17</v>
          </cell>
          <cell r="BT50">
            <v>8.8255902529815203E-2</v>
          </cell>
          <cell r="BU50">
            <v>0.16654831436459025</v>
          </cell>
          <cell r="BV50">
            <v>0.2381922808616761</v>
          </cell>
          <cell r="BY50">
            <v>21</v>
          </cell>
        </row>
        <row r="51">
          <cell r="A51">
            <v>35064.5</v>
          </cell>
          <cell r="B51">
            <v>2307989</v>
          </cell>
          <cell r="C51">
            <v>733704</v>
          </cell>
          <cell r="D51">
            <v>1266156</v>
          </cell>
          <cell r="E51">
            <v>212493</v>
          </cell>
          <cell r="F51">
            <v>84026</v>
          </cell>
          <cell r="G51">
            <v>11610</v>
          </cell>
          <cell r="J51">
            <v>22</v>
          </cell>
          <cell r="L51">
            <v>35064.5</v>
          </cell>
          <cell r="M51">
            <v>4345900</v>
          </cell>
          <cell r="N51">
            <v>5850900</v>
          </cell>
          <cell r="O51">
            <v>7459400</v>
          </cell>
          <cell r="P51">
            <v>19339.8</v>
          </cell>
          <cell r="V51">
            <v>22</v>
          </cell>
          <cell r="X51">
            <v>35064.5</v>
          </cell>
          <cell r="Y51">
            <v>137.56400000000002</v>
          </cell>
          <cell r="Z51">
            <v>47.914000000000009</v>
          </cell>
          <cell r="AA51">
            <v>0.34830333517490042</v>
          </cell>
          <cell r="AB51">
            <v>35.5</v>
          </cell>
          <cell r="AC51">
            <v>0.25806170218952629</v>
          </cell>
          <cell r="AD51">
            <v>3.4944000000000002</v>
          </cell>
          <cell r="AE51">
            <v>2.5401994707917767E-2</v>
          </cell>
          <cell r="AF51">
            <v>11.7</v>
          </cell>
          <cell r="AG51">
            <v>8.5051321566688945E-2</v>
          </cell>
          <cell r="AH51">
            <v>38.955600000000004</v>
          </cell>
          <cell r="AI51">
            <v>0.28318164636096654</v>
          </cell>
          <cell r="AJ51">
            <v>242.30099999999999</v>
          </cell>
          <cell r="AK51">
            <v>-104.73699999999997</v>
          </cell>
          <cell r="AL51">
            <v>-45.550999999999995</v>
          </cell>
          <cell r="AM51">
            <v>-9.14</v>
          </cell>
          <cell r="AN51">
            <v>-54.690999999999995</v>
          </cell>
          <cell r="AO51">
            <v>112.535</v>
          </cell>
          <cell r="AP51">
            <v>-46.892999999999972</v>
          </cell>
          <cell r="AQ51">
            <v>51.166463</v>
          </cell>
          <cell r="AR51">
            <v>55.387000000000015</v>
          </cell>
          <cell r="AS51">
            <v>106.55346300000002</v>
          </cell>
          <cell r="AT51">
            <v>12.89563699999993</v>
          </cell>
          <cell r="AU51">
            <v>72.556099999999986</v>
          </cell>
          <cell r="AV51">
            <v>175.20684894520107</v>
          </cell>
          <cell r="AW51">
            <v>138.53196214016091</v>
          </cell>
          <cell r="AX51">
            <v>79.067663721005076</v>
          </cell>
          <cell r="AY51">
            <v>56.774012488598899</v>
          </cell>
          <cell r="BB51">
            <v>22</v>
          </cell>
          <cell r="BD51">
            <v>35064.5</v>
          </cell>
          <cell r="BE51">
            <v>-6514.4290000000119</v>
          </cell>
          <cell r="BF51">
            <v>1187732.6687920026</v>
          </cell>
          <cell r="BG51">
            <v>-4.3521269546577101E-3</v>
          </cell>
          <cell r="BH51">
            <v>0.03</v>
          </cell>
          <cell r="BI51">
            <v>7.7556772797978457E-2</v>
          </cell>
          <cell r="BJ51">
            <v>699526</v>
          </cell>
          <cell r="BK51">
            <v>0.73977882493555602</v>
          </cell>
          <cell r="BL51">
            <v>10491.728000000001</v>
          </cell>
          <cell r="BM51">
            <v>127973.11599999999</v>
          </cell>
          <cell r="BN51">
            <v>8.1983844169270695E-2</v>
          </cell>
          <cell r="BO51">
            <v>61626.531999999999</v>
          </cell>
          <cell r="BP51">
            <v>0.48143806174286802</v>
          </cell>
          <cell r="BQ51">
            <v>-119015</v>
          </cell>
          <cell r="BR51">
            <v>-0.10020352485635138</v>
          </cell>
          <cell r="BS51">
            <v>0.17</v>
          </cell>
          <cell r="BT51">
            <v>9.6212823868080499E-2</v>
          </cell>
          <cell r="BU51">
            <v>0.18372526557002061</v>
          </cell>
          <cell r="BV51">
            <v>0.25616816645234697</v>
          </cell>
          <cell r="BY51">
            <v>22</v>
          </cell>
        </row>
        <row r="52">
          <cell r="A52">
            <v>35429.75</v>
          </cell>
          <cell r="B52">
            <v>2524699.9940771549</v>
          </cell>
          <cell r="C52">
            <v>868705.87706532562</v>
          </cell>
          <cell r="D52">
            <v>1239248.7507950545</v>
          </cell>
          <cell r="E52">
            <v>294106.0690372758</v>
          </cell>
          <cell r="F52">
            <v>111807</v>
          </cell>
          <cell r="G52">
            <v>10839</v>
          </cell>
          <cell r="J52">
            <v>23</v>
          </cell>
          <cell r="L52">
            <v>35429.75</v>
          </cell>
          <cell r="M52">
            <v>4432900</v>
          </cell>
          <cell r="N52">
            <v>6026500</v>
          </cell>
          <cell r="O52">
            <v>7682800</v>
          </cell>
          <cell r="P52">
            <v>19920</v>
          </cell>
          <cell r="V52">
            <v>23</v>
          </cell>
          <cell r="X52">
            <v>35429.75</v>
          </cell>
          <cell r="Y52">
            <v>119.04300000000001</v>
          </cell>
          <cell r="Z52">
            <v>49.6</v>
          </cell>
          <cell r="AA52">
            <v>0.41665616625925084</v>
          </cell>
          <cell r="AB52">
            <v>33</v>
          </cell>
          <cell r="AC52">
            <v>0.27721075577732412</v>
          </cell>
          <cell r="AD52">
            <v>4</v>
          </cell>
          <cell r="AE52">
            <v>3.3601303730584745E-2</v>
          </cell>
          <cell r="AF52">
            <v>8.9990000000000006</v>
          </cell>
          <cell r="AG52">
            <v>7.5594533067883038E-2</v>
          </cell>
          <cell r="AH52">
            <v>23.44400000000001</v>
          </cell>
          <cell r="AI52">
            <v>0.19693724116495728</v>
          </cell>
          <cell r="AJ52">
            <v>287.79399999999998</v>
          </cell>
          <cell r="AK52">
            <v>-168.75099999999998</v>
          </cell>
          <cell r="AL52">
            <v>-60.68</v>
          </cell>
          <cell r="AM52">
            <v>-4.0189999999999984</v>
          </cell>
          <cell r="AN52">
            <v>-64.698999999999998</v>
          </cell>
          <cell r="AO52">
            <v>104.82400000000001</v>
          </cell>
          <cell r="AP52">
            <v>-128.62599999999998</v>
          </cell>
          <cell r="AQ52">
            <v>87.451999999999998</v>
          </cell>
          <cell r="AR52">
            <v>42.494999999999997</v>
          </cell>
          <cell r="AS52">
            <v>129.947</v>
          </cell>
          <cell r="AT52">
            <v>-1.9593509999999936</v>
          </cell>
          <cell r="AU52">
            <v>-0.63835099999996725</v>
          </cell>
          <cell r="AV52">
            <v>181.54970908027633</v>
          </cell>
          <cell r="AW52">
            <v>116.66673259107792</v>
          </cell>
          <cell r="AX52">
            <v>64.261591595000056</v>
          </cell>
          <cell r="AY52">
            <v>41.363961722621042</v>
          </cell>
          <cell r="BB52">
            <v>23</v>
          </cell>
          <cell r="BD52">
            <v>35429.75</v>
          </cell>
          <cell r="BE52">
            <v>9396.9099999999726</v>
          </cell>
          <cell r="BF52">
            <v>1323156.1999424656</v>
          </cell>
          <cell r="BG52">
            <v>5.9857059801906101E-3</v>
          </cell>
          <cell r="BH52">
            <v>0.03</v>
          </cell>
          <cell r="BI52">
            <v>6.0881491515961672E-2</v>
          </cell>
          <cell r="BJ52">
            <v>728694.98</v>
          </cell>
          <cell r="BK52">
            <v>0.68822403336879201</v>
          </cell>
          <cell r="BL52">
            <v>15663.53</v>
          </cell>
          <cell r="BM52">
            <v>150220.851</v>
          </cell>
          <cell r="BN52">
            <v>0.105369127516779</v>
          </cell>
          <cell r="BO52">
            <v>64715.439000000006</v>
          </cell>
          <cell r="BP52">
            <v>0.43416107382550301</v>
          </cell>
          <cell r="BQ52">
            <v>-190426.99999999997</v>
          </cell>
          <cell r="BR52">
            <v>-0.1439187603158873</v>
          </cell>
          <cell r="BS52">
            <v>0.17</v>
          </cell>
          <cell r="BT52">
            <v>0.100930596838828</v>
          </cell>
          <cell r="BU52">
            <v>0.18100002101823934</v>
          </cell>
          <cell r="BV52">
            <v>0.25312226932433468</v>
          </cell>
          <cell r="BY52">
            <v>23</v>
          </cell>
        </row>
        <row r="53">
          <cell r="A53">
            <v>35795</v>
          </cell>
          <cell r="B53">
            <v>1812521.3360357813</v>
          </cell>
          <cell r="C53">
            <v>568016.85289156705</v>
          </cell>
          <cell r="D53">
            <v>779667.88702904317</v>
          </cell>
          <cell r="E53">
            <v>364573.41802093136</v>
          </cell>
          <cell r="F53">
            <v>89516</v>
          </cell>
          <cell r="G53">
            <v>10752</v>
          </cell>
          <cell r="J53">
            <v>24</v>
          </cell>
          <cell r="L53">
            <v>35795</v>
          </cell>
          <cell r="M53">
            <v>4521500</v>
          </cell>
          <cell r="N53">
            <v>6207200</v>
          </cell>
          <cell r="O53">
            <v>7913500</v>
          </cell>
          <cell r="P53">
            <v>20517.5</v>
          </cell>
          <cell r="V53">
            <v>24</v>
          </cell>
          <cell r="X53">
            <v>35795</v>
          </cell>
          <cell r="Y53">
            <v>133.62</v>
          </cell>
          <cell r="Z53">
            <v>74.403510000000011</v>
          </cell>
          <cell r="AA53">
            <v>0.55682914234396053</v>
          </cell>
          <cell r="AB53">
            <v>27.1</v>
          </cell>
          <cell r="AC53">
            <v>0.20281395000748392</v>
          </cell>
          <cell r="AD53">
            <v>2.85</v>
          </cell>
          <cell r="AE53">
            <v>2.1329142343960484E-2</v>
          </cell>
          <cell r="AF53">
            <v>9.01</v>
          </cell>
          <cell r="AG53">
            <v>6.7430025445292613E-2</v>
          </cell>
          <cell r="AH53">
            <v>20.256489999999992</v>
          </cell>
          <cell r="AI53">
            <v>0.15159773985930244</v>
          </cell>
          <cell r="AJ53">
            <v>297.7</v>
          </cell>
          <cell r="AK53">
            <v>-164.07999999999998</v>
          </cell>
          <cell r="AL53">
            <v>-65.126999999999995</v>
          </cell>
          <cell r="AM53">
            <v>-7.7839999999999998</v>
          </cell>
          <cell r="AN53">
            <v>-72.911000000000001</v>
          </cell>
          <cell r="AO53">
            <v>95.56</v>
          </cell>
          <cell r="AP53">
            <v>-141.43099999999998</v>
          </cell>
          <cell r="AQ53">
            <v>91.61</v>
          </cell>
          <cell r="AR53">
            <v>31.487891315235899</v>
          </cell>
          <cell r="AS53">
            <v>123.0978913152359</v>
          </cell>
          <cell r="AT53">
            <v>-6.2413913152359406</v>
          </cell>
          <cell r="AU53">
            <v>-24.574500000000025</v>
          </cell>
          <cell r="AV53">
            <v>185.93947760623814</v>
          </cell>
          <cell r="AW53">
            <v>83.448813086045959</v>
          </cell>
          <cell r="AX53">
            <v>44.879556595702894</v>
          </cell>
          <cell r="AY53">
            <v>44.884111521666107</v>
          </cell>
          <cell r="BB53">
            <v>24</v>
          </cell>
          <cell r="BD53">
            <v>35795</v>
          </cell>
          <cell r="BE53">
            <v>4836.0339999999906</v>
          </cell>
          <cell r="BF53">
            <v>1428629.4610314227</v>
          </cell>
          <cell r="BG53">
            <v>3.2271026655343901E-3</v>
          </cell>
          <cell r="BH53">
            <v>0.03</v>
          </cell>
          <cell r="BI53">
            <v>2.2792022792022637E-2</v>
          </cell>
          <cell r="BJ53">
            <v>813341.26391999994</v>
          </cell>
          <cell r="BK53">
            <v>0.68786328790551499</v>
          </cell>
          <cell r="BL53">
            <v>35737.85</v>
          </cell>
          <cell r="BM53">
            <v>168138.128</v>
          </cell>
          <cell r="BN53">
            <v>0.238581730769231</v>
          </cell>
          <cell r="BO53">
            <v>67783.163</v>
          </cell>
          <cell r="BP53">
            <v>0.40685096153846201</v>
          </cell>
          <cell r="BQ53">
            <v>-193599.99999999997</v>
          </cell>
          <cell r="BR53">
            <v>-0.13551449503234186</v>
          </cell>
          <cell r="BS53">
            <v>0.17</v>
          </cell>
          <cell r="BT53">
            <v>0.104797183097189</v>
          </cell>
          <cell r="BU53">
            <v>0.19284874595900567</v>
          </cell>
          <cell r="BV53">
            <v>0.26489422927536582</v>
          </cell>
          <cell r="BY53">
            <v>24</v>
          </cell>
        </row>
        <row r="54">
          <cell r="A54">
            <v>36160.25</v>
          </cell>
          <cell r="B54">
            <v>2667967.9388795914</v>
          </cell>
          <cell r="C54">
            <v>1009457.760967746</v>
          </cell>
          <cell r="D54">
            <v>1176247.9993475419</v>
          </cell>
          <cell r="E54">
            <v>378843.83044329309</v>
          </cell>
          <cell r="F54">
            <v>88997.78300000001</v>
          </cell>
          <cell r="G54">
            <v>14424.488999999998</v>
          </cell>
          <cell r="J54">
            <v>25</v>
          </cell>
          <cell r="L54">
            <v>36160.25</v>
          </cell>
          <cell r="M54">
            <v>4611900</v>
          </cell>
          <cell r="N54">
            <v>6393100</v>
          </cell>
          <cell r="O54">
            <v>8150900</v>
          </cell>
          <cell r="P54">
            <v>21133.3</v>
          </cell>
          <cell r="V54">
            <v>25</v>
          </cell>
          <cell r="X54">
            <v>36160.25</v>
          </cell>
          <cell r="Y54">
            <v>190.44</v>
          </cell>
          <cell r="Z54">
            <v>120.89899999999999</v>
          </cell>
          <cell r="AA54">
            <v>0.63484036967023727</v>
          </cell>
          <cell r="AB54">
            <v>27</v>
          </cell>
          <cell r="AC54">
            <v>0.14177693761814744</v>
          </cell>
          <cell r="AD54">
            <v>3</v>
          </cell>
          <cell r="AE54">
            <v>1.5752993068683049E-2</v>
          </cell>
          <cell r="AF54">
            <v>9.5</v>
          </cell>
          <cell r="AG54">
            <v>4.9884478050829656E-2</v>
          </cell>
          <cell r="AH54">
            <v>30.041000000000011</v>
          </cell>
          <cell r="AI54">
            <v>0.15774522159210255</v>
          </cell>
          <cell r="AJ54">
            <v>374.20299999999997</v>
          </cell>
          <cell r="AK54">
            <v>-183.76299999999998</v>
          </cell>
          <cell r="AL54">
            <v>-73.567000000000007</v>
          </cell>
          <cell r="AM54">
            <v>-7.0090000000000003</v>
          </cell>
          <cell r="AN54">
            <v>-80.576000000000008</v>
          </cell>
          <cell r="AO54">
            <v>111.44900000000001</v>
          </cell>
          <cell r="AP54">
            <v>-152.88999999999999</v>
          </cell>
          <cell r="AQ54">
            <v>89.504000000000005</v>
          </cell>
          <cell r="AR54">
            <v>41.062108684764098</v>
          </cell>
          <cell r="AS54">
            <v>130.56610868476412</v>
          </cell>
          <cell r="AT54">
            <v>2.9926913152358452</v>
          </cell>
          <cell r="AU54">
            <v>-19.331200000000024</v>
          </cell>
          <cell r="AV54">
            <v>186.06193895271264</v>
          </cell>
          <cell r="AW54">
            <v>90.253253481186476</v>
          </cell>
          <cell r="AX54">
            <v>48.50710144653722</v>
          </cell>
          <cell r="AY54">
            <v>50.892162810025575</v>
          </cell>
          <cell r="BB54">
            <v>25</v>
          </cell>
          <cell r="BD54">
            <v>36160.25</v>
          </cell>
          <cell r="BE54">
            <v>-4336.6092180000205</v>
          </cell>
          <cell r="BF54">
            <v>1654757.175738093</v>
          </cell>
          <cell r="BG54">
            <v>-2.82522618447707E-3</v>
          </cell>
          <cell r="BH54">
            <v>0.03</v>
          </cell>
          <cell r="BI54">
            <v>4.8746518105849512E-2</v>
          </cell>
          <cell r="BJ54">
            <v>845874.01400000008</v>
          </cell>
          <cell r="BK54">
            <v>0.69285330122355304</v>
          </cell>
          <cell r="BL54">
            <v>46481.24</v>
          </cell>
          <cell r="BM54">
            <v>184031.90400000001</v>
          </cell>
          <cell r="BN54">
            <v>0.25257164105632463</v>
          </cell>
          <cell r="BO54">
            <v>71988.224000000002</v>
          </cell>
          <cell r="BP54">
            <v>0.39186102374250298</v>
          </cell>
          <cell r="BQ54">
            <v>-220480</v>
          </cell>
          <cell r="BR54">
            <v>-0.13324009300739634</v>
          </cell>
          <cell r="BS54">
            <v>0.17</v>
          </cell>
          <cell r="BT54">
            <v>0.100636612058392</v>
          </cell>
          <cell r="BU54">
            <v>0.16267752389708107</v>
          </cell>
          <cell r="BV54">
            <v>0.23218131677152484</v>
          </cell>
          <cell r="BY54">
            <v>25</v>
          </cell>
        </row>
        <row r="55">
          <cell r="A55">
            <v>36525.5</v>
          </cell>
          <cell r="B55">
            <v>2381841.6471500117</v>
          </cell>
          <cell r="C55">
            <v>1026371.4679814004</v>
          </cell>
          <cell r="D55">
            <v>821366.2845470371</v>
          </cell>
          <cell r="E55">
            <v>427451.05241601355</v>
          </cell>
          <cell r="F55">
            <v>94208.760999999999</v>
          </cell>
          <cell r="G55">
            <v>13342.962</v>
          </cell>
          <cell r="J55">
            <v>26</v>
          </cell>
          <cell r="L55">
            <v>36525.5</v>
          </cell>
          <cell r="M55">
            <v>4704138</v>
          </cell>
          <cell r="N55">
            <v>6584893</v>
          </cell>
          <cell r="O55">
            <v>8395427</v>
          </cell>
          <cell r="P55">
            <v>21767.298999999999</v>
          </cell>
          <cell r="V55">
            <v>26</v>
          </cell>
          <cell r="X55">
            <v>36525.5</v>
          </cell>
          <cell r="Y55">
            <v>156.19999999999999</v>
          </cell>
          <cell r="Z55">
            <v>83.6</v>
          </cell>
          <cell r="AA55">
            <v>0.53521126760563376</v>
          </cell>
          <cell r="AB55">
            <v>29.298999999999999</v>
          </cell>
          <cell r="AC55">
            <v>0.18757362355953908</v>
          </cell>
          <cell r="AD55">
            <v>7.0519999999999996</v>
          </cell>
          <cell r="AE55">
            <v>4.5147247119078103E-2</v>
          </cell>
          <cell r="AF55">
            <v>9.2240000000000002</v>
          </cell>
          <cell r="AG55">
            <v>5.905249679897568E-2</v>
          </cell>
          <cell r="AH55">
            <v>27.024999999999995</v>
          </cell>
          <cell r="AI55">
            <v>0.17301536491677336</v>
          </cell>
          <cell r="AJ55">
            <v>357.35399999999998</v>
          </cell>
          <cell r="AK55">
            <v>-201.154</v>
          </cell>
          <cell r="AL55">
            <v>-70.76100000000001</v>
          </cell>
          <cell r="AM55">
            <v>-11.26</v>
          </cell>
          <cell r="AN55">
            <v>-82.021000000000015</v>
          </cell>
          <cell r="AO55">
            <v>88.664000000000001</v>
          </cell>
          <cell r="AP55">
            <v>-194.51100000000002</v>
          </cell>
          <cell r="AQ55">
            <v>120.402</v>
          </cell>
          <cell r="AR55">
            <v>69.5</v>
          </cell>
          <cell r="AS55">
            <v>189.90199999999999</v>
          </cell>
          <cell r="AT55">
            <v>-5.2105999999999462</v>
          </cell>
          <cell r="AU55">
            <v>-9.8195999999999835</v>
          </cell>
          <cell r="AV55">
            <v>196.88274143799003</v>
          </cell>
          <cell r="AW55">
            <v>71.52294251583838</v>
          </cell>
          <cell r="AX55">
            <v>36.327685196503204</v>
          </cell>
          <cell r="AY55">
            <v>43.710158554262719</v>
          </cell>
          <cell r="BB55">
            <v>26</v>
          </cell>
          <cell r="BD55">
            <v>36525.5</v>
          </cell>
          <cell r="BE55">
            <v>-7899.2170000000069</v>
          </cell>
          <cell r="BF55">
            <v>1854884</v>
          </cell>
          <cell r="BG55">
            <v>-3.5976740815687799E-3</v>
          </cell>
          <cell r="BH55">
            <v>0.03</v>
          </cell>
          <cell r="BI55">
            <v>-1.1288180610889653E-2</v>
          </cell>
          <cell r="BJ55">
            <v>930471.45600000012</v>
          </cell>
          <cell r="BK55">
            <v>0.60069328316758497</v>
          </cell>
          <cell r="BL55">
            <v>41172.061000000002</v>
          </cell>
          <cell r="BM55">
            <v>197823.00100000002</v>
          </cell>
          <cell r="BN55">
            <v>0.2081257527783637</v>
          </cell>
          <cell r="BO55">
            <v>82600</v>
          </cell>
          <cell r="BP55">
            <v>0.41741598952969</v>
          </cell>
          <cell r="BQ55">
            <v>-243446.00000000003</v>
          </cell>
          <cell r="BR55">
            <v>-0.13124594314253615</v>
          </cell>
          <cell r="BS55">
            <v>0.17</v>
          </cell>
          <cell r="BT55">
            <v>0.106578161946893</v>
          </cell>
          <cell r="BU55">
            <v>0.14259040464364778</v>
          </cell>
          <cell r="BV55">
            <v>0.21389560089368886</v>
          </cell>
          <cell r="BY55">
            <v>26</v>
          </cell>
        </row>
        <row r="56">
          <cell r="A56">
            <v>36890.75</v>
          </cell>
          <cell r="B56">
            <v>1850177.3730390775</v>
          </cell>
          <cell r="C56">
            <v>767521.47962970799</v>
          </cell>
          <cell r="D56">
            <v>664578.14588897268</v>
          </cell>
          <cell r="E56">
            <v>339603.79938334809</v>
          </cell>
          <cell r="F56">
            <v>66395.307000000015</v>
          </cell>
          <cell r="G56">
            <v>10777.55</v>
          </cell>
          <cell r="J56">
            <v>27</v>
          </cell>
          <cell r="L56">
            <v>36890.75</v>
          </cell>
          <cell r="M56">
            <v>4798221</v>
          </cell>
          <cell r="N56">
            <v>6782440</v>
          </cell>
          <cell r="O56">
            <v>8647290</v>
          </cell>
          <cell r="P56">
            <v>22420.317999999999</v>
          </cell>
          <cell r="V56">
            <v>27</v>
          </cell>
          <cell r="X56">
            <v>36890.75</v>
          </cell>
          <cell r="Y56">
            <v>146.4</v>
          </cell>
          <cell r="Z56">
            <v>72.400000000000006</v>
          </cell>
          <cell r="AA56">
            <v>0.49453551912568305</v>
          </cell>
          <cell r="AB56">
            <v>32.1</v>
          </cell>
          <cell r="AC56">
            <v>0.21926229508196721</v>
          </cell>
          <cell r="AD56">
            <v>4.5</v>
          </cell>
          <cell r="AE56">
            <v>3.0737704918032786E-2</v>
          </cell>
          <cell r="AF56">
            <v>6.2</v>
          </cell>
          <cell r="AG56">
            <v>4.2349726775956283E-2</v>
          </cell>
          <cell r="AH56">
            <v>31.2</v>
          </cell>
          <cell r="AI56">
            <v>0.21311475409836064</v>
          </cell>
          <cell r="AJ56">
            <v>368.6</v>
          </cell>
          <cell r="AK56">
            <v>-222.20000000000002</v>
          </cell>
          <cell r="AL56">
            <v>-77.253</v>
          </cell>
          <cell r="AM56">
            <v>-14.28</v>
          </cell>
          <cell r="AN56">
            <v>-91.533000000000001</v>
          </cell>
          <cell r="AO56">
            <v>86.777000000000001</v>
          </cell>
          <cell r="AP56">
            <v>-226.95600000000002</v>
          </cell>
          <cell r="AQ56">
            <v>132.56800000000001</v>
          </cell>
          <cell r="AR56">
            <v>62.335999999999999</v>
          </cell>
          <cell r="AS56">
            <v>194.904</v>
          </cell>
          <cell r="AT56">
            <v>3.536</v>
          </cell>
          <cell r="AU56">
            <v>-28.51600000000002</v>
          </cell>
          <cell r="AV56">
            <v>227.44499830733128</v>
          </cell>
          <cell r="AW56">
            <v>74.499292758202699</v>
          </cell>
          <cell r="AX56">
            <v>32.754860873017208</v>
          </cell>
          <cell r="AY56">
            <v>33.059578082182853</v>
          </cell>
          <cell r="BB56">
            <v>27</v>
          </cell>
          <cell r="BD56">
            <v>36890.75</v>
          </cell>
          <cell r="BE56">
            <v>-29645.937000000024</v>
          </cell>
          <cell r="BF56">
            <v>1874420</v>
          </cell>
          <cell r="BG56">
            <v>-1.0642412534878701E-2</v>
          </cell>
          <cell r="BH56">
            <v>0.03</v>
          </cell>
          <cell r="BI56">
            <v>-3.0000000000000027E-3</v>
          </cell>
          <cell r="BJ56">
            <v>1091634.622</v>
          </cell>
          <cell r="BK56">
            <v>0.64632495135187196</v>
          </cell>
          <cell r="BL56">
            <v>53400</v>
          </cell>
          <cell r="BM56">
            <v>202936.39799999996</v>
          </cell>
          <cell r="BN56">
            <v>0.23401591917200601</v>
          </cell>
          <cell r="BO56">
            <v>88900</v>
          </cell>
          <cell r="BP56">
            <v>0.43714379990142899</v>
          </cell>
          <cell r="BQ56">
            <v>-278127.00000000006</v>
          </cell>
          <cell r="BR56">
            <v>-0.14838029897248217</v>
          </cell>
          <cell r="BS56">
            <v>0.17</v>
          </cell>
          <cell r="BT56">
            <v>0.10914816554156399</v>
          </cell>
          <cell r="BU56">
            <v>0.15249580271778393</v>
          </cell>
          <cell r="BV56">
            <v>0.23043103573486193</v>
          </cell>
          <cell r="BY56">
            <v>27</v>
          </cell>
        </row>
        <row r="57">
          <cell r="A57">
            <v>37256</v>
          </cell>
          <cell r="B57">
            <v>3512637.5264471178</v>
          </cell>
          <cell r="C57">
            <v>969365.4062086565</v>
          </cell>
          <cell r="D57">
            <v>1021330.0992516989</v>
          </cell>
          <cell r="E57">
            <v>1413776.2830492004</v>
          </cell>
          <cell r="F57">
            <v>109867.74073682315</v>
          </cell>
          <cell r="G57">
            <v>12320.1525059334</v>
          </cell>
          <cell r="J57">
            <v>28</v>
          </cell>
          <cell r="L57">
            <v>37256</v>
          </cell>
          <cell r="M57">
            <v>4894185</v>
          </cell>
          <cell r="N57">
            <v>6985913</v>
          </cell>
          <cell r="O57">
            <v>8906709</v>
          </cell>
          <cell r="P57">
            <v>23092.928</v>
          </cell>
          <cell r="V57">
            <v>28</v>
          </cell>
          <cell r="X57">
            <v>37256</v>
          </cell>
          <cell r="Y57">
            <v>163.80000000000001</v>
          </cell>
          <cell r="Z57">
            <v>96</v>
          </cell>
          <cell r="AA57">
            <v>0.586080586080586</v>
          </cell>
          <cell r="AB57">
            <v>31</v>
          </cell>
          <cell r="AC57">
            <v>0.18925518925518925</v>
          </cell>
          <cell r="AD57">
            <v>4.5</v>
          </cell>
          <cell r="AE57">
            <v>2.7472527472527472E-2</v>
          </cell>
          <cell r="AF57">
            <v>2.2000000000000002</v>
          </cell>
          <cell r="AG57">
            <v>1.3431013431013432E-2</v>
          </cell>
          <cell r="AH57">
            <v>30.100000000000012</v>
          </cell>
          <cell r="AI57">
            <v>0.18376068376068383</v>
          </cell>
          <cell r="AJ57">
            <v>373.3</v>
          </cell>
          <cell r="AK57">
            <v>-209.5</v>
          </cell>
          <cell r="AL57">
            <v>-76.7</v>
          </cell>
          <cell r="AM57">
            <v>-17.899999999999999</v>
          </cell>
          <cell r="AN57">
            <v>-94.6</v>
          </cell>
          <cell r="AO57">
            <v>90.817999999999998</v>
          </cell>
          <cell r="AP57">
            <v>-213.28200000000004</v>
          </cell>
          <cell r="AQ57">
            <v>144.584</v>
          </cell>
          <cell r="AR57">
            <v>70.811999999999998</v>
          </cell>
          <cell r="AS57">
            <v>215.39600000000002</v>
          </cell>
          <cell r="AT57">
            <v>2.335</v>
          </cell>
          <cell r="AU57">
            <v>4.4489999999999759</v>
          </cell>
          <cell r="AV57">
            <v>224.01716905533232</v>
          </cell>
          <cell r="AW57">
            <v>85.377262573687986</v>
          </cell>
          <cell r="AX57">
            <v>38.111928176629966</v>
          </cell>
          <cell r="AY57">
            <v>31.240591631456365</v>
          </cell>
          <cell r="BB57">
            <v>28</v>
          </cell>
          <cell r="BD57">
            <v>37256</v>
          </cell>
          <cell r="BE57">
            <v>-40419.676040000013</v>
          </cell>
          <cell r="BF57">
            <v>2077550</v>
          </cell>
          <cell r="BG57">
            <v>-2.0047686044684501E-2</v>
          </cell>
          <cell r="BH57">
            <v>0.03</v>
          </cell>
          <cell r="BI57">
            <v>4.8999999999999932E-2</v>
          </cell>
          <cell r="BJ57">
            <v>1058143.189</v>
          </cell>
          <cell r="BK57">
            <v>0.63133314472114399</v>
          </cell>
          <cell r="BL57">
            <v>52468.598871000002</v>
          </cell>
          <cell r="BM57">
            <v>213220.36241199999</v>
          </cell>
          <cell r="BN57">
            <v>0.24607686750675498</v>
          </cell>
          <cell r="BO57">
            <v>97487.840929999991</v>
          </cell>
          <cell r="BP57">
            <v>0.46096835723409901</v>
          </cell>
          <cell r="BQ57">
            <v>-278110</v>
          </cell>
          <cell r="BR57">
            <v>-0.13386440759548507</v>
          </cell>
          <cell r="BS57">
            <v>0.17</v>
          </cell>
          <cell r="BT57">
            <v>0.10263067671632452</v>
          </cell>
          <cell r="BU57">
            <v>0.13233543040383641</v>
          </cell>
          <cell r="BV57">
            <v>0.21109526830280842</v>
          </cell>
          <cell r="BY57">
            <v>28</v>
          </cell>
        </row>
        <row r="58">
          <cell r="A58">
            <v>37621.25</v>
          </cell>
          <cell r="B58">
            <v>3520765.5988187236</v>
          </cell>
          <cell r="C58">
            <v>1008051.0420524317</v>
          </cell>
          <cell r="D58">
            <v>944604.99998530187</v>
          </cell>
          <cell r="E58">
            <v>1485110.2747277541</v>
          </cell>
          <cell r="F58">
            <v>89103.548589543701</v>
          </cell>
          <cell r="G58">
            <v>8873.3169817531725</v>
          </cell>
          <cell r="J58">
            <v>29</v>
          </cell>
          <cell r="L58">
            <v>37621.25</v>
          </cell>
          <cell r="M58">
            <v>4992030</v>
          </cell>
          <cell r="N58">
            <v>7199377</v>
          </cell>
          <cell r="O58">
            <v>9173894</v>
          </cell>
          <cell r="P58">
            <v>23785.715</v>
          </cell>
          <cell r="V58">
            <v>29</v>
          </cell>
          <cell r="X58">
            <v>37621.25</v>
          </cell>
          <cell r="Y58">
            <v>170.791</v>
          </cell>
          <cell r="Z58">
            <v>97.432000000000002</v>
          </cell>
          <cell r="AA58">
            <v>0.570475025030593</v>
          </cell>
          <cell r="AB58">
            <v>34.360999999999997</v>
          </cell>
          <cell r="AC58">
            <v>0.20118741619874583</v>
          </cell>
          <cell r="AD58">
            <v>4.7</v>
          </cell>
          <cell r="AE58">
            <v>2.7519014467975479E-2</v>
          </cell>
          <cell r="AF58">
            <v>3.8980000000000001</v>
          </cell>
          <cell r="AG58">
            <v>2.2823216680035834E-2</v>
          </cell>
          <cell r="AH58">
            <v>30.399999999999995</v>
          </cell>
          <cell r="AI58">
            <v>0.17799532762264988</v>
          </cell>
          <cell r="AJ58">
            <v>381.7</v>
          </cell>
          <cell r="AK58">
            <v>-210.90899999999999</v>
          </cell>
          <cell r="AL58">
            <v>-72.512</v>
          </cell>
          <cell r="AM58">
            <v>-14.728999999999999</v>
          </cell>
          <cell r="AN58">
            <v>-87.241</v>
          </cell>
          <cell r="AO58">
            <v>90.058000000000007</v>
          </cell>
          <cell r="AP58">
            <v>-208.09199999999998</v>
          </cell>
          <cell r="AQ58">
            <v>112.649</v>
          </cell>
          <cell r="AR58">
            <v>109.41500000000001</v>
          </cell>
          <cell r="AS58">
            <v>222.06400000000002</v>
          </cell>
          <cell r="AT58">
            <v>-3.1179999999999999</v>
          </cell>
          <cell r="AU58">
            <v>10.854000000000037</v>
          </cell>
          <cell r="AV58">
            <v>230.73768412699229</v>
          </cell>
          <cell r="AW58">
            <v>74.954812635389331</v>
          </cell>
          <cell r="AX58">
            <v>32.484859557720128</v>
          </cell>
          <cell r="AY58">
            <v>28.376925538394143</v>
          </cell>
          <cell r="BB58">
            <v>29</v>
          </cell>
          <cell r="BD58">
            <v>37621.25</v>
          </cell>
          <cell r="BE58">
            <v>-78658.296909952012</v>
          </cell>
          <cell r="BF58">
            <v>2234260</v>
          </cell>
          <cell r="BG58">
            <v>-3.5365779098346997E-2</v>
          </cell>
          <cell r="BH58">
            <v>0.03</v>
          </cell>
          <cell r="BI58">
            <v>2.2999999999999909E-2</v>
          </cell>
          <cell r="BJ58">
            <v>1091983.6000000001</v>
          </cell>
          <cell r="BK58">
            <v>0.49177357971591701</v>
          </cell>
          <cell r="BL58">
            <v>84611.310604999991</v>
          </cell>
          <cell r="BM58">
            <v>240876.46229886796</v>
          </cell>
          <cell r="BN58">
            <v>0.36012392666127002</v>
          </cell>
          <cell r="BO58">
            <v>103103.51364899999</v>
          </cell>
          <cell r="BP58">
            <v>0.42755914091868802</v>
          </cell>
          <cell r="BQ58">
            <v>-266749.99999999994</v>
          </cell>
          <cell r="BR58">
            <v>-0.11939076025171642</v>
          </cell>
          <cell r="BS58">
            <v>0.17</v>
          </cell>
          <cell r="BT58">
            <v>0.10781039910255207</v>
          </cell>
          <cell r="BU58">
            <v>0.11360654207611762</v>
          </cell>
          <cell r="BV58">
            <v>0.1957130578655262</v>
          </cell>
          <cell r="BY58">
            <v>29</v>
          </cell>
        </row>
        <row r="59">
          <cell r="A59">
            <v>37986.5</v>
          </cell>
          <cell r="B59">
            <v>4722260.7819752861</v>
          </cell>
          <cell r="C59">
            <v>1165506.1583231536</v>
          </cell>
          <cell r="D59">
            <v>1522476.851759532</v>
          </cell>
          <cell r="E59">
            <v>1927982.8770160726</v>
          </cell>
          <cell r="F59">
            <v>91052.738902021214</v>
          </cell>
          <cell r="G59">
            <v>8740.8959181082027</v>
          </cell>
          <cell r="J59">
            <v>30</v>
          </cell>
          <cell r="L59">
            <v>37986.5</v>
          </cell>
          <cell r="M59">
            <v>7311544</v>
          </cell>
          <cell r="N59">
            <v>6702640</v>
          </cell>
          <cell r="O59">
            <v>10035687</v>
          </cell>
          <cell r="P59">
            <v>30501.333999999999</v>
          </cell>
          <cell r="V59">
            <v>30</v>
          </cell>
          <cell r="X59">
            <v>37986.5</v>
          </cell>
          <cell r="Y59">
            <v>186.27133900000001</v>
          </cell>
          <cell r="Z59">
            <v>119.87133900000001</v>
          </cell>
          <cell r="AA59">
            <v>0.64353077421105565</v>
          </cell>
          <cell r="AB59">
            <v>25.149000000000001</v>
          </cell>
          <cell r="AC59">
            <v>0.13501271926756267</v>
          </cell>
          <cell r="AD59">
            <v>5.5</v>
          </cell>
          <cell r="AE59">
            <v>2.952681840119268E-2</v>
          </cell>
          <cell r="AF59">
            <v>5.133</v>
          </cell>
          <cell r="AG59">
            <v>2.7556574336967642E-2</v>
          </cell>
          <cell r="AH59">
            <v>30.618000000000006</v>
          </cell>
          <cell r="AI59">
            <v>0.16437311378322139</v>
          </cell>
          <cell r="AJ59">
            <v>398.30099999999999</v>
          </cell>
          <cell r="AK59">
            <v>-212.02966099999998</v>
          </cell>
          <cell r="AL59">
            <v>-108.89</v>
          </cell>
          <cell r="AM59">
            <v>-14.948</v>
          </cell>
          <cell r="AN59">
            <v>-123.83799999999999</v>
          </cell>
          <cell r="AO59">
            <v>137.71700000000001</v>
          </cell>
          <cell r="AP59">
            <v>-198.15066099999999</v>
          </cell>
          <cell r="AQ59">
            <v>119.575</v>
          </cell>
          <cell r="AR59">
            <v>116.92700000000001</v>
          </cell>
          <cell r="AS59">
            <v>236.50200000000001</v>
          </cell>
          <cell r="AT59">
            <v>-10.50523900000003</v>
          </cell>
          <cell r="AU59">
            <v>27.846099999999993</v>
          </cell>
          <cell r="AV59">
            <v>237.65981465080208</v>
          </cell>
          <cell r="AW59">
            <v>76.558121605975785</v>
          </cell>
          <cell r="AX59">
            <v>32.213322104312851</v>
          </cell>
          <cell r="AY59">
            <v>40.753821033687821</v>
          </cell>
          <cell r="BB59">
            <v>30</v>
          </cell>
          <cell r="BD59">
            <v>37986.5</v>
          </cell>
          <cell r="BE59">
            <v>-49053.069511799986</v>
          </cell>
          <cell r="BF59">
            <v>2444349</v>
          </cell>
          <cell r="BG59">
            <v>-1.9402187419987501E-2</v>
          </cell>
          <cell r="BH59">
            <v>0.03</v>
          </cell>
          <cell r="BI59">
            <v>0.02</v>
          </cell>
          <cell r="BJ59">
            <v>1096004.89894</v>
          </cell>
          <cell r="BK59">
            <v>0.44822103372277899</v>
          </cell>
          <cell r="BL59">
            <v>91956.807650999996</v>
          </cell>
          <cell r="BM59">
            <v>270392.34247890004</v>
          </cell>
          <cell r="BN59">
            <v>0.33153231735827499</v>
          </cell>
          <cell r="BO59">
            <v>112531.20179100001</v>
          </cell>
          <cell r="BP59">
            <v>0.41664056951880601</v>
          </cell>
          <cell r="BQ59">
            <v>-317678</v>
          </cell>
          <cell r="BR59">
            <v>-0.12996425633164496</v>
          </cell>
          <cell r="BS59">
            <v>0.17</v>
          </cell>
          <cell r="BT59">
            <v>0.11061936837943356</v>
          </cell>
          <cell r="BU59">
            <v>0.12267218063625285</v>
          </cell>
          <cell r="BV59">
            <v>0.27519589060318311</v>
          </cell>
          <cell r="BY59">
            <v>30</v>
          </cell>
        </row>
        <row r="60">
          <cell r="A60">
            <v>38351.75</v>
          </cell>
          <cell r="B60">
            <v>2901973</v>
          </cell>
          <cell r="C60">
            <v>937630</v>
          </cell>
          <cell r="D60">
            <v>1399302</v>
          </cell>
          <cell r="E60">
            <v>481474</v>
          </cell>
          <cell r="F60">
            <v>74501</v>
          </cell>
          <cell r="G60">
            <v>9066</v>
          </cell>
          <cell r="J60">
            <v>31</v>
          </cell>
          <cell r="L60">
            <v>38351.75</v>
          </cell>
          <cell r="M60">
            <v>7458000</v>
          </cell>
          <cell r="N60">
            <v>6904000</v>
          </cell>
          <cell r="O60">
            <v>10337000</v>
          </cell>
          <cell r="P60">
            <v>31416</v>
          </cell>
          <cell r="V60">
            <v>31</v>
          </cell>
          <cell r="X60">
            <v>38351.75</v>
          </cell>
          <cell r="Y60">
            <v>253.1969</v>
          </cell>
          <cell r="Z60">
            <v>163.2379</v>
          </cell>
          <cell r="AA60">
            <v>0.64470734041372546</v>
          </cell>
          <cell r="AB60">
            <v>32.700000000000003</v>
          </cell>
          <cell r="AC60">
            <v>0.12914850063330161</v>
          </cell>
          <cell r="AD60">
            <v>9.5</v>
          </cell>
          <cell r="AE60">
            <v>3.7520206606005052E-2</v>
          </cell>
          <cell r="AF60">
            <v>7</v>
          </cell>
          <cell r="AG60">
            <v>2.7646468025477405E-2</v>
          </cell>
          <cell r="AH60">
            <v>40.759</v>
          </cell>
          <cell r="AI60">
            <v>0.1609774843214905</v>
          </cell>
          <cell r="AJ60">
            <v>497.90699999999998</v>
          </cell>
          <cell r="AK60">
            <v>-244.71009999999998</v>
          </cell>
          <cell r="AL60">
            <v>-120.65600000000001</v>
          </cell>
          <cell r="AM60">
            <v>-16.222000000000001</v>
          </cell>
          <cell r="AN60">
            <v>-136.87800000000001</v>
          </cell>
          <cell r="AO60">
            <v>101.05</v>
          </cell>
          <cell r="AP60">
            <v>-280.53809999999999</v>
          </cell>
          <cell r="AQ60">
            <v>106.46899999999999</v>
          </cell>
          <cell r="AR60">
            <v>115.56100000000001</v>
          </cell>
          <cell r="AS60">
            <v>222.03</v>
          </cell>
          <cell r="AT60">
            <v>1.5183999999999942</v>
          </cell>
          <cell r="AU60">
            <v>-56.989699999999992</v>
          </cell>
          <cell r="AV60">
            <v>244.78960909032614</v>
          </cell>
          <cell r="AW60">
            <v>83.535141053528193</v>
          </cell>
          <cell r="AX60">
            <v>34.125280629335926</v>
          </cell>
          <cell r="AY60">
            <v>38.652227223021235</v>
          </cell>
          <cell r="BB60">
            <v>31</v>
          </cell>
          <cell r="BD60">
            <v>38351.75</v>
          </cell>
          <cell r="BE60">
            <v>-79777.984421000001</v>
          </cell>
          <cell r="BF60">
            <v>2556133</v>
          </cell>
          <cell r="BG60">
            <v>-3.1328819508547899E-2</v>
          </cell>
          <cell r="BH60">
            <v>0.03</v>
          </cell>
          <cell r="BI60">
            <v>-3.9316979827448417E-3</v>
          </cell>
          <cell r="BJ60">
            <v>1171250.5</v>
          </cell>
          <cell r="BK60">
            <v>0.43405360152262501</v>
          </cell>
          <cell r="BL60">
            <v>130286.380911</v>
          </cell>
          <cell r="BM60">
            <v>318679.26339770004</v>
          </cell>
          <cell r="BN60">
            <v>0.42658870333917698</v>
          </cell>
          <cell r="BO60">
            <v>123467.92575570001</v>
          </cell>
          <cell r="BP60">
            <v>0.38780844864173702</v>
          </cell>
          <cell r="BQ60">
            <v>-357529.42517805583</v>
          </cell>
          <cell r="BR60">
            <v>-0.1398712137349879</v>
          </cell>
          <cell r="BS60">
            <v>0.17</v>
          </cell>
          <cell r="BT60">
            <v>0.12467241078523693</v>
          </cell>
          <cell r="BU60">
            <v>0.14014594648401618</v>
          </cell>
          <cell r="BV60">
            <v>0.24421964741271288</v>
          </cell>
          <cell r="BY60">
            <v>31</v>
          </cell>
        </row>
        <row r="61">
          <cell r="A61">
            <v>38717</v>
          </cell>
          <cell r="B61">
            <v>3649533</v>
          </cell>
          <cell r="C61">
            <v>1196253</v>
          </cell>
          <cell r="D61">
            <v>1552911</v>
          </cell>
          <cell r="E61">
            <v>799052</v>
          </cell>
          <cell r="F61">
            <v>93516</v>
          </cell>
          <cell r="G61">
            <v>7801</v>
          </cell>
          <cell r="J61">
            <v>32</v>
          </cell>
          <cell r="L61">
            <v>38717</v>
          </cell>
          <cell r="M61">
            <v>7607000</v>
          </cell>
          <cell r="N61">
            <v>7110000</v>
          </cell>
          <cell r="O61">
            <v>10647000</v>
          </cell>
          <cell r="P61">
            <v>32358</v>
          </cell>
          <cell r="V61">
            <v>32</v>
          </cell>
          <cell r="X61">
            <v>38717</v>
          </cell>
          <cell r="Y61">
            <v>247.09351199999998</v>
          </cell>
          <cell r="Z61">
            <v>148.32051199999998</v>
          </cell>
          <cell r="AA61">
            <v>0.60026064949855906</v>
          </cell>
          <cell r="AB61">
            <v>37.5</v>
          </cell>
          <cell r="AC61">
            <v>0.15176440569592942</v>
          </cell>
          <cell r="AD61">
            <v>12.5</v>
          </cell>
          <cell r="AE61">
            <v>5.0588135231976472E-2</v>
          </cell>
          <cell r="AF61">
            <v>7.875</v>
          </cell>
          <cell r="AG61">
            <v>3.187052519614518E-2</v>
          </cell>
          <cell r="AH61">
            <v>40.897999999999996</v>
          </cell>
          <cell r="AI61">
            <v>0.16551628437738988</v>
          </cell>
          <cell r="AJ61">
            <v>540.52099999999996</v>
          </cell>
          <cell r="AK61">
            <v>-293.42748799999998</v>
          </cell>
          <cell r="AL61">
            <v>-154.089</v>
          </cell>
          <cell r="AM61">
            <v>-10.851000000000001</v>
          </cell>
          <cell r="AN61">
            <v>-164.94</v>
          </cell>
          <cell r="AO61">
            <v>123.81399999999999</v>
          </cell>
          <cell r="AP61">
            <v>-334.55348800000002</v>
          </cell>
          <cell r="AQ61">
            <v>110.663</v>
          </cell>
          <cell r="AR61">
            <v>121.852</v>
          </cell>
          <cell r="AS61">
            <v>232.51499999999999</v>
          </cell>
          <cell r="AT61">
            <v>-1.671011999999988</v>
          </cell>
          <cell r="AU61">
            <v>-103.70950000000002</v>
          </cell>
          <cell r="AV61">
            <v>252.13329736303592</v>
          </cell>
          <cell r="AW61">
            <v>78.853909989381748</v>
          </cell>
          <cell r="AX61">
            <v>31.274691131272274</v>
          </cell>
          <cell r="AY61">
            <v>28.305545202638964</v>
          </cell>
          <cell r="BB61">
            <v>32</v>
          </cell>
          <cell r="BD61">
            <v>38717</v>
          </cell>
          <cell r="BE61">
            <v>-115427.57527299991</v>
          </cell>
          <cell r="BF61">
            <v>2881405</v>
          </cell>
          <cell r="BG61">
            <v>-3.82199135127183E-2</v>
          </cell>
          <cell r="BH61">
            <v>0.03</v>
          </cell>
          <cell r="BI61">
            <v>6.3905067931845361E-2</v>
          </cell>
          <cell r="BJ61">
            <v>1270651.5</v>
          </cell>
          <cell r="BK61">
            <v>0.42910312911123999</v>
          </cell>
          <cell r="BL61">
            <v>146190.05718599999</v>
          </cell>
          <cell r="BM61">
            <v>336755.85461099999</v>
          </cell>
          <cell r="BN61">
            <v>0.43411288975174583</v>
          </cell>
          <cell r="BO61">
            <v>141286.49011799999</v>
          </cell>
          <cell r="BP61">
            <v>0.41955169652864865</v>
          </cell>
          <cell r="BQ61">
            <v>-427703.58808141213</v>
          </cell>
          <cell r="BR61">
            <v>-0.14843577632488739</v>
          </cell>
          <cell r="BS61">
            <v>0.17</v>
          </cell>
          <cell r="BT61">
            <v>0.11687210045481283</v>
          </cell>
          <cell r="BU61">
            <v>0.12502537612491982</v>
          </cell>
          <cell r="BV61">
            <v>0.20858424969763012</v>
          </cell>
          <cell r="BY61">
            <v>32</v>
          </cell>
        </row>
        <row r="62">
          <cell r="A62">
            <v>39082.25</v>
          </cell>
          <cell r="B62">
            <v>3858224</v>
          </cell>
          <cell r="C62">
            <v>1198656</v>
          </cell>
          <cell r="D62">
            <v>1553830</v>
          </cell>
          <cell r="E62">
            <v>905713</v>
          </cell>
          <cell r="F62">
            <v>189176</v>
          </cell>
          <cell r="G62">
            <v>10850</v>
          </cell>
          <cell r="J62">
            <v>33</v>
          </cell>
          <cell r="L62">
            <v>39082.25</v>
          </cell>
          <cell r="M62">
            <v>7759000</v>
          </cell>
          <cell r="N62">
            <v>7324000</v>
          </cell>
          <cell r="O62">
            <v>10966000</v>
          </cell>
          <cell r="P62">
            <v>33329</v>
          </cell>
          <cell r="V62">
            <v>33</v>
          </cell>
          <cell r="X62">
            <v>39082.25</v>
          </cell>
          <cell r="Y62">
            <v>307.601</v>
          </cell>
          <cell r="Z62">
            <v>200.61600000000001</v>
          </cell>
          <cell r="AA62">
            <v>0.65219553902620608</v>
          </cell>
          <cell r="AB62">
            <v>43.7</v>
          </cell>
          <cell r="AC62">
            <v>0.1420671584292639</v>
          </cell>
          <cell r="AD62">
            <v>12.000999999999999</v>
          </cell>
          <cell r="AE62">
            <v>3.9014827650105166E-2</v>
          </cell>
          <cell r="AF62">
            <v>9.8699999999999992</v>
          </cell>
          <cell r="AG62">
            <v>3.2087021823726192E-2</v>
          </cell>
          <cell r="AH62">
            <v>41.413999999999987</v>
          </cell>
          <cell r="AI62">
            <v>0.13463545307069869</v>
          </cell>
          <cell r="AJ62">
            <v>562.053</v>
          </cell>
          <cell r="AK62">
            <v>-254.452</v>
          </cell>
          <cell r="AL62">
            <v>-154.88800000000001</v>
          </cell>
          <cell r="AM62">
            <v>-0.20799999999999999</v>
          </cell>
          <cell r="AN62">
            <v>-155.096</v>
          </cell>
          <cell r="AO62">
            <v>125.38200000000001</v>
          </cell>
          <cell r="AP62">
            <v>-284.166</v>
          </cell>
          <cell r="AQ62">
            <v>818.75400000000002</v>
          </cell>
          <cell r="AR62">
            <v>-481.27800000000002</v>
          </cell>
          <cell r="AS62">
            <v>337.476</v>
          </cell>
          <cell r="AT62">
            <v>-3.7586999999999535</v>
          </cell>
          <cell r="AU62">
            <v>49.551300000000047</v>
          </cell>
          <cell r="AV62">
            <v>259.69729628392702</v>
          </cell>
          <cell r="AW62">
            <v>74.473342734775528</v>
          </cell>
          <cell r="AX62">
            <v>28.676980392338713</v>
          </cell>
          <cell r="AY62">
            <v>32.770703498442359</v>
          </cell>
          <cell r="BB62">
            <v>33</v>
          </cell>
          <cell r="BD62">
            <v>39082.25</v>
          </cell>
          <cell r="BE62">
            <v>-152797.92541359988</v>
          </cell>
          <cell r="BF62">
            <v>3041291</v>
          </cell>
          <cell r="BG62">
            <v>-4.75047138033209E-2</v>
          </cell>
          <cell r="BH62">
            <v>0.03</v>
          </cell>
          <cell r="BI62">
            <v>2.4E-2</v>
          </cell>
          <cell r="BJ62">
            <v>687027.79999999993</v>
          </cell>
          <cell r="BK62">
            <v>0.18912395659640099</v>
          </cell>
          <cell r="BL62">
            <v>154840.16579699999</v>
          </cell>
          <cell r="BM62">
            <v>362324.20937700011</v>
          </cell>
          <cell r="BN62">
            <v>0.42735252514106242</v>
          </cell>
          <cell r="BO62">
            <v>159949.051121</v>
          </cell>
          <cell r="BP62">
            <v>0.441452839698526</v>
          </cell>
          <cell r="BQ62">
            <v>-379908.26022306178</v>
          </cell>
          <cell r="BR62">
            <v>-0.12491677390393151</v>
          </cell>
          <cell r="BS62">
            <v>0.17</v>
          </cell>
          <cell r="BT62">
            <v>0.11913500200309675</v>
          </cell>
          <cell r="BU62">
            <v>0.12960913820968306</v>
          </cell>
          <cell r="BV62">
            <v>0.21754159664431982</v>
          </cell>
          <cell r="BY62">
            <v>33</v>
          </cell>
        </row>
        <row r="63">
          <cell r="A63">
            <v>39447.5</v>
          </cell>
          <cell r="B63">
            <v>3088811</v>
          </cell>
          <cell r="C63">
            <v>966016</v>
          </cell>
          <cell r="D63">
            <v>1507162</v>
          </cell>
          <cell r="E63">
            <v>533874</v>
          </cell>
          <cell r="F63">
            <v>68916</v>
          </cell>
          <cell r="G63">
            <v>12843</v>
          </cell>
          <cell r="J63">
            <v>34</v>
          </cell>
          <cell r="L63">
            <v>39447.5</v>
          </cell>
          <cell r="M63">
            <v>7914180</v>
          </cell>
          <cell r="N63">
            <v>7543720</v>
          </cell>
          <cell r="O63">
            <v>11294980</v>
          </cell>
          <cell r="P63">
            <v>34329</v>
          </cell>
          <cell r="V63">
            <v>34</v>
          </cell>
          <cell r="X63">
            <v>39447.5</v>
          </cell>
          <cell r="Y63">
            <v>298.55965299999997</v>
          </cell>
          <cell r="Z63">
            <v>166.39467800000003</v>
          </cell>
          <cell r="AA63">
            <v>0.55732473000965088</v>
          </cell>
          <cell r="AB63">
            <v>45.5</v>
          </cell>
          <cell r="AC63">
            <v>0.15239835504497992</v>
          </cell>
          <cell r="AD63">
            <v>13.5</v>
          </cell>
          <cell r="AE63">
            <v>4.5217094354005033E-2</v>
          </cell>
          <cell r="AF63">
            <v>16.103999999999999</v>
          </cell>
          <cell r="AG63">
            <v>5.393896944273311E-2</v>
          </cell>
          <cell r="AH63">
            <v>57.060974999999942</v>
          </cell>
          <cell r="AI63">
            <v>0.19112085114863109</v>
          </cell>
          <cell r="AJ63">
            <v>585.14400000000001</v>
          </cell>
          <cell r="AK63">
            <v>-286.58434700000004</v>
          </cell>
          <cell r="AL63">
            <v>-173.94499999999999</v>
          </cell>
          <cell r="AM63">
            <v>-1.1240000000000001</v>
          </cell>
          <cell r="AN63">
            <v>-175.06899999999999</v>
          </cell>
          <cell r="AO63">
            <v>193.26599999999999</v>
          </cell>
          <cell r="AP63">
            <v>-268.38734700000009</v>
          </cell>
          <cell r="AQ63">
            <v>140.18799999999999</v>
          </cell>
          <cell r="AR63">
            <v>317.75099999999998</v>
          </cell>
          <cell r="AS63">
            <v>457.93899999999996</v>
          </cell>
          <cell r="AT63">
            <v>-1.4779530000000378</v>
          </cell>
          <cell r="AU63">
            <v>188.07369999999983</v>
          </cell>
          <cell r="AV63">
            <v>267.48821517244482</v>
          </cell>
          <cell r="AW63">
            <v>62.576030275436331</v>
          </cell>
          <cell r="AX63">
            <v>23.393939144232839</v>
          </cell>
          <cell r="AY63">
            <v>29.879602046368049</v>
          </cell>
          <cell r="BB63">
            <v>34</v>
          </cell>
          <cell r="BD63">
            <v>39447.5</v>
          </cell>
          <cell r="BE63">
            <v>-185702.21425389996</v>
          </cell>
          <cell r="BF63">
            <v>3234153</v>
          </cell>
          <cell r="BG63">
            <v>-5.7419118469008719E-2</v>
          </cell>
          <cell r="BH63">
            <v>0.03</v>
          </cell>
          <cell r="BI63">
            <v>-3.0000000000000001E-3</v>
          </cell>
          <cell r="BJ63">
            <v>811232.42699999991</v>
          </cell>
          <cell r="BK63">
            <v>0.25083303943876495</v>
          </cell>
          <cell r="BL63">
            <v>142792.42982099997</v>
          </cell>
          <cell r="BM63">
            <v>405237.66780300002</v>
          </cell>
          <cell r="BN63">
            <v>0.35236711975752533</v>
          </cell>
          <cell r="BO63">
            <v>187595.715</v>
          </cell>
          <cell r="BP63">
            <v>0.4629276345830633</v>
          </cell>
          <cell r="BQ63">
            <v>-406551.16547530633</v>
          </cell>
          <cell r="BR63">
            <v>-0.12570560683904142</v>
          </cell>
          <cell r="BS63">
            <v>0.17</v>
          </cell>
          <cell r="BT63">
            <v>0.12529947340246428</v>
          </cell>
          <cell r="BU63">
            <v>0.14372282325542421</v>
          </cell>
          <cell r="BV63">
            <v>0.25149351313929796</v>
          </cell>
          <cell r="BY63">
            <v>34</v>
          </cell>
        </row>
        <row r="64">
          <cell r="A64">
            <v>39812.75</v>
          </cell>
          <cell r="B64">
            <v>4358518</v>
          </cell>
          <cell r="C64">
            <v>1255189</v>
          </cell>
          <cell r="D64">
            <v>1875046</v>
          </cell>
          <cell r="E64">
            <v>1013634</v>
          </cell>
          <cell r="F64">
            <v>195102</v>
          </cell>
          <cell r="G64">
            <v>19547</v>
          </cell>
          <cell r="J64">
            <v>35</v>
          </cell>
          <cell r="L64">
            <v>39812.75</v>
          </cell>
          <cell r="M64">
            <v>8072420</v>
          </cell>
          <cell r="N64">
            <v>7770083</v>
          </cell>
          <cell r="O64">
            <v>11633992</v>
          </cell>
          <cell r="P64">
            <v>35359.173999999999</v>
          </cell>
          <cell r="V64">
            <v>35</v>
          </cell>
          <cell r="X64">
            <v>39812.75</v>
          </cell>
          <cell r="Y64">
            <v>310.35211272900005</v>
          </cell>
          <cell r="Z64">
            <v>102.83528100000001</v>
          </cell>
          <cell r="AA64">
            <v>0.3313503494329228</v>
          </cell>
          <cell r="AB64">
            <v>50.707999999999998</v>
          </cell>
          <cell r="AC64">
            <v>0.16338860900321406</v>
          </cell>
          <cell r="AD64">
            <v>16.8</v>
          </cell>
          <cell r="AE64">
            <v>5.413206261840333E-2</v>
          </cell>
          <cell r="AF64">
            <v>70.206999999999994</v>
          </cell>
          <cell r="AG64">
            <v>0.22621724525299061</v>
          </cell>
          <cell r="AH64">
            <v>69.801831729000043</v>
          </cell>
          <cell r="AI64">
            <v>0.2249117336924692</v>
          </cell>
          <cell r="AJ64">
            <v>711.71400000000006</v>
          </cell>
          <cell r="AK64">
            <v>-401.361887271</v>
          </cell>
          <cell r="AL64">
            <v>-211.572</v>
          </cell>
          <cell r="AM64">
            <v>-1.64</v>
          </cell>
          <cell r="AN64">
            <v>-213.21199999999999</v>
          </cell>
          <cell r="AO64">
            <v>183.27976629999998</v>
          </cell>
          <cell r="AP64">
            <v>-431.29412097099998</v>
          </cell>
          <cell r="AQ64">
            <v>85.891999999999996</v>
          </cell>
          <cell r="AR64">
            <v>310.91000000000003</v>
          </cell>
          <cell r="AS64">
            <v>396.80200000000002</v>
          </cell>
          <cell r="AT64">
            <v>1.5016209709999384</v>
          </cell>
          <cell r="AU64">
            <v>-32.990500000000026</v>
          </cell>
          <cell r="AV64">
            <v>275.51286162761818</v>
          </cell>
          <cell r="AW64">
            <v>69.364448399752433</v>
          </cell>
          <cell r="AX64">
            <v>25.176482865436995</v>
          </cell>
          <cell r="AY64">
            <v>24.487729418483397</v>
          </cell>
          <cell r="BB64">
            <v>35</v>
          </cell>
          <cell r="BD64">
            <v>39812.75</v>
          </cell>
          <cell r="BE64">
            <v>-171779.49525380004</v>
          </cell>
          <cell r="BF64">
            <v>3689550.6349587636</v>
          </cell>
          <cell r="BG64">
            <v>-4.6558378580355206E-2</v>
          </cell>
          <cell r="BH64">
            <v>0.03</v>
          </cell>
          <cell r="BI64">
            <v>0.107</v>
          </cell>
          <cell r="BJ64">
            <v>925988.84100000001</v>
          </cell>
          <cell r="BK64">
            <v>0.25097604901425874</v>
          </cell>
          <cell r="BL64">
            <v>194252.12369000001</v>
          </cell>
          <cell r="BM64">
            <v>444671.06916499994</v>
          </cell>
          <cell r="BN64">
            <v>0.4368445288216416</v>
          </cell>
          <cell r="BO64">
            <v>198826.23300000001</v>
          </cell>
          <cell r="BP64">
            <v>0.4471310296245592</v>
          </cell>
          <cell r="BQ64">
            <v>-557341.12497737457</v>
          </cell>
          <cell r="BR64">
            <v>-0.15105935115689331</v>
          </cell>
          <cell r="BS64">
            <v>0.17</v>
          </cell>
          <cell r="BT64">
            <v>0.12052174184891484</v>
          </cell>
          <cell r="BU64">
            <v>0.135778451303352</v>
          </cell>
          <cell r="BV64">
            <v>0.24716227199012059</v>
          </cell>
          <cell r="BY64">
            <v>35</v>
          </cell>
        </row>
        <row r="65">
          <cell r="A65">
            <v>40178</v>
          </cell>
          <cell r="B65">
            <v>3626637</v>
          </cell>
          <cell r="C65">
            <v>970927</v>
          </cell>
          <cell r="D65">
            <v>1521468</v>
          </cell>
          <cell r="E65">
            <v>894558</v>
          </cell>
          <cell r="F65">
            <v>213584</v>
          </cell>
          <cell r="G65">
            <v>26101</v>
          </cell>
          <cell r="J65">
            <v>36</v>
          </cell>
          <cell r="L65">
            <v>40178</v>
          </cell>
          <cell r="M65">
            <v>8233845</v>
          </cell>
          <cell r="N65">
            <v>8003164</v>
          </cell>
          <cell r="O65">
            <v>11982987</v>
          </cell>
          <cell r="P65">
            <v>36419.908000000003</v>
          </cell>
          <cell r="V65">
            <v>36</v>
          </cell>
          <cell r="X65">
            <v>40178</v>
          </cell>
          <cell r="Y65">
            <v>425.63806643589999</v>
          </cell>
          <cell r="Z65">
            <v>99.284000000000006</v>
          </cell>
          <cell r="AA65">
            <v>0.23325921206098685</v>
          </cell>
          <cell r="AB65">
            <v>58.311999999999998</v>
          </cell>
          <cell r="AC65">
            <v>0.13699902475424303</v>
          </cell>
          <cell r="AD65">
            <v>17.7</v>
          </cell>
          <cell r="AE65">
            <v>4.158462646025006E-2</v>
          </cell>
          <cell r="AF65">
            <v>179.8310664359</v>
          </cell>
          <cell r="AG65">
            <v>0.42249761150764487</v>
          </cell>
          <cell r="AH65">
            <v>70.510999999999996</v>
          </cell>
          <cell r="AI65">
            <v>0.16565952521687524</v>
          </cell>
          <cell r="AJ65">
            <v>653.77099999999996</v>
          </cell>
          <cell r="AK65">
            <v>-228.13293356409997</v>
          </cell>
          <cell r="AL65">
            <v>-194.34722095111238</v>
          </cell>
          <cell r="AM65">
            <v>-2.1259999999999999</v>
          </cell>
          <cell r="AN65">
            <v>-196.47322095111238</v>
          </cell>
          <cell r="AO65">
            <v>242.53165519999999</v>
          </cell>
          <cell r="AP65">
            <v>-182.07449931521234</v>
          </cell>
          <cell r="AQ65">
            <v>132.85704000000001</v>
          </cell>
          <cell r="AR65">
            <v>275.30399999999997</v>
          </cell>
          <cell r="AS65">
            <v>408.16103999999996</v>
          </cell>
          <cell r="AT65">
            <v>-1.3981406847876496</v>
          </cell>
          <cell r="AU65">
            <v>224.68839999999997</v>
          </cell>
          <cell r="AV65">
            <v>283.77824747644672</v>
          </cell>
          <cell r="AW65">
            <v>69.995815889436102</v>
          </cell>
          <cell r="AX65">
            <v>24.665673465773896</v>
          </cell>
          <cell r="AY65">
            <v>42.122536310418155</v>
          </cell>
          <cell r="BB65">
            <v>36</v>
          </cell>
          <cell r="BD65">
            <v>40178</v>
          </cell>
          <cell r="BE65">
            <v>-221009.3029086001</v>
          </cell>
          <cell r="BF65">
            <v>3940477.6091400767</v>
          </cell>
          <cell r="BG65">
            <v>-5.6086932811383383E-2</v>
          </cell>
          <cell r="BH65">
            <v>0.03</v>
          </cell>
          <cell r="BI65">
            <v>2.5999999999999999E-2</v>
          </cell>
          <cell r="BJ65">
            <v>1084583.7948799999</v>
          </cell>
          <cell r="BK65">
            <v>0.27524170987909424</v>
          </cell>
          <cell r="BL65">
            <v>235606.282912</v>
          </cell>
          <cell r="BM65">
            <v>494578.78454999987</v>
          </cell>
          <cell r="BN65">
            <v>0.47637765765947687</v>
          </cell>
          <cell r="BO65">
            <v>228436.133</v>
          </cell>
          <cell r="BP65">
            <v>0.46188016982541241</v>
          </cell>
          <cell r="BQ65">
            <v>-362480.72371630935</v>
          </cell>
          <cell r="BR65">
            <v>-9.1989032719161382E-2</v>
          </cell>
          <cell r="BS65">
            <v>0.17</v>
          </cell>
          <cell r="BT65">
            <v>0.12551239560473759</v>
          </cell>
          <cell r="BU65">
            <v>0.14220738716423956</v>
          </cell>
          <cell r="BV65">
            <v>0.28096335363814107</v>
          </cell>
          <cell r="BY65">
            <v>36</v>
          </cell>
        </row>
        <row r="66">
          <cell r="A66">
            <v>40543.25</v>
          </cell>
          <cell r="J66" t="str">
            <v/>
          </cell>
          <cell r="L66">
            <v>40543.25</v>
          </cell>
          <cell r="V66" t="str">
            <v/>
          </cell>
          <cell r="X66">
            <v>40543.25</v>
          </cell>
          <cell r="Y66">
            <v>475.72342954919998</v>
          </cell>
          <cell r="Z66">
            <v>109.896</v>
          </cell>
          <cell r="AA66">
            <v>0.23100817234109847</v>
          </cell>
          <cell r="AB66">
            <v>61.435000000000002</v>
          </cell>
          <cell r="AC66">
            <v>0.12914016040415832</v>
          </cell>
          <cell r="AD66">
            <v>21.85</v>
          </cell>
          <cell r="AE66">
            <v>4.5930048096864323E-2</v>
          </cell>
          <cell r="AF66">
            <v>211.9304295492</v>
          </cell>
          <cell r="AG66">
            <v>0.44549083855303762</v>
          </cell>
          <cell r="AH66">
            <v>70.611999999999938</v>
          </cell>
          <cell r="AI66">
            <v>0.14843078060484122</v>
          </cell>
          <cell r="AJ66">
            <v>766.50750000000005</v>
          </cell>
          <cell r="AK66">
            <v>-290.78407045080007</v>
          </cell>
          <cell r="AL66">
            <v>-227.86052373565786</v>
          </cell>
          <cell r="AM66">
            <v>-3.5</v>
          </cell>
          <cell r="AN66">
            <v>-231.36052373565786</v>
          </cell>
          <cell r="AO66">
            <v>253.55506350000002</v>
          </cell>
          <cell r="AP66">
            <v>-268.58953068645786</v>
          </cell>
          <cell r="AQ66">
            <v>169.078</v>
          </cell>
          <cell r="AR66">
            <v>99.512</v>
          </cell>
          <cell r="AT66">
            <v>-4.6931354212574659E-4</v>
          </cell>
          <cell r="AV66">
            <v>292.29159490074011</v>
          </cell>
          <cell r="AW66">
            <v>72.892918786592375</v>
          </cell>
          <cell r="BB66" t="str">
            <v/>
          </cell>
          <cell r="BD66">
            <v>40543.25</v>
          </cell>
          <cell r="BG66" t="str">
            <v/>
          </cell>
          <cell r="BK66" t="str">
            <v/>
          </cell>
          <cell r="BY66" t="str">
            <v/>
          </cell>
        </row>
        <row r="67">
          <cell r="A67">
            <v>40908.5</v>
          </cell>
          <cell r="J67" t="str">
            <v/>
          </cell>
          <cell r="L67">
            <v>40908.5</v>
          </cell>
          <cell r="V67" t="str">
            <v/>
          </cell>
          <cell r="X67">
            <v>40908.5</v>
          </cell>
          <cell r="AA67" t="str">
            <v/>
          </cell>
          <cell r="AC67" t="str">
            <v/>
          </cell>
          <cell r="AE67" t="str">
            <v/>
          </cell>
          <cell r="AG67" t="str">
            <v/>
          </cell>
          <cell r="AH67" t="str">
            <v/>
          </cell>
          <cell r="AI67" t="str">
            <v/>
          </cell>
          <cell r="AK67" t="str">
            <v/>
          </cell>
          <cell r="AN67" t="str">
            <v/>
          </cell>
          <cell r="BB67" t="str">
            <v/>
          </cell>
          <cell r="BD67">
            <v>40908.5</v>
          </cell>
          <cell r="BG67" t="str">
            <v/>
          </cell>
          <cell r="BK67" t="str">
            <v/>
          </cell>
          <cell r="BY67" t="str">
            <v/>
          </cell>
        </row>
        <row r="68">
          <cell r="A68">
            <v>41273.75</v>
          </cell>
          <cell r="J68" t="str">
            <v/>
          </cell>
          <cell r="L68">
            <v>41273.75</v>
          </cell>
          <cell r="V68" t="str">
            <v/>
          </cell>
          <cell r="X68">
            <v>41273.75</v>
          </cell>
          <cell r="AA68" t="str">
            <v/>
          </cell>
          <cell r="AC68" t="str">
            <v/>
          </cell>
          <cell r="AE68" t="str">
            <v/>
          </cell>
          <cell r="AG68" t="str">
            <v/>
          </cell>
          <cell r="AH68" t="str">
            <v/>
          </cell>
          <cell r="AI68" t="str">
            <v/>
          </cell>
          <cell r="AK68" t="str">
            <v/>
          </cell>
          <cell r="AN68" t="str">
            <v/>
          </cell>
          <cell r="BB68" t="str">
            <v/>
          </cell>
          <cell r="BD68">
            <v>41273.75</v>
          </cell>
          <cell r="BG68" t="str">
            <v/>
          </cell>
          <cell r="BK68" t="str">
            <v/>
          </cell>
          <cell r="BY68" t="str">
            <v/>
          </cell>
        </row>
        <row r="69">
          <cell r="A69">
            <v>41639</v>
          </cell>
          <cell r="J69" t="str">
            <v/>
          </cell>
          <cell r="L69">
            <v>41639</v>
          </cell>
          <cell r="V69" t="str">
            <v/>
          </cell>
          <cell r="X69">
            <v>41639</v>
          </cell>
          <cell r="AA69" t="str">
            <v/>
          </cell>
          <cell r="AC69" t="str">
            <v/>
          </cell>
          <cell r="AE69" t="str">
            <v/>
          </cell>
          <cell r="AG69" t="str">
            <v/>
          </cell>
          <cell r="AH69" t="str">
            <v/>
          </cell>
          <cell r="AI69" t="str">
            <v/>
          </cell>
          <cell r="AK69" t="str">
            <v/>
          </cell>
          <cell r="AN69" t="str">
            <v/>
          </cell>
          <cell r="BB69" t="str">
            <v/>
          </cell>
          <cell r="BD69">
            <v>41639</v>
          </cell>
          <cell r="BG69" t="str">
            <v/>
          </cell>
          <cell r="BK69" t="str">
            <v/>
          </cell>
          <cell r="BY69" t="str">
            <v/>
          </cell>
        </row>
        <row r="70">
          <cell r="A70">
            <v>42004.25</v>
          </cell>
          <cell r="J70" t="str">
            <v/>
          </cell>
          <cell r="L70">
            <v>42004.25</v>
          </cell>
          <cell r="V70" t="str">
            <v/>
          </cell>
          <cell r="X70">
            <v>42004.25</v>
          </cell>
          <cell r="AA70" t="str">
            <v/>
          </cell>
          <cell r="AC70" t="str">
            <v/>
          </cell>
          <cell r="AE70" t="str">
            <v/>
          </cell>
          <cell r="AG70" t="str">
            <v/>
          </cell>
          <cell r="AH70" t="str">
            <v/>
          </cell>
          <cell r="AI70" t="str">
            <v/>
          </cell>
          <cell r="AK70" t="str">
            <v/>
          </cell>
          <cell r="AN70" t="str">
            <v/>
          </cell>
          <cell r="BB70" t="str">
            <v/>
          </cell>
          <cell r="BD70">
            <v>42004.25</v>
          </cell>
          <cell r="BG70" t="str">
            <v/>
          </cell>
          <cell r="BK70" t="str">
            <v/>
          </cell>
          <cell r="BY70" t="str">
            <v/>
          </cell>
        </row>
        <row r="71">
          <cell r="A71">
            <v>42369.5</v>
          </cell>
          <cell r="J71" t="str">
            <v/>
          </cell>
          <cell r="L71">
            <v>42369.5</v>
          </cell>
          <cell r="V71" t="str">
            <v/>
          </cell>
          <cell r="X71">
            <v>42369.5</v>
          </cell>
          <cell r="AA71" t="str">
            <v/>
          </cell>
          <cell r="AC71" t="str">
            <v/>
          </cell>
          <cell r="AE71" t="str">
            <v/>
          </cell>
          <cell r="AG71" t="str">
            <v/>
          </cell>
          <cell r="AH71" t="str">
            <v/>
          </cell>
          <cell r="AI71" t="str">
            <v/>
          </cell>
          <cell r="AK71" t="str">
            <v/>
          </cell>
          <cell r="AN71" t="str">
            <v/>
          </cell>
          <cell r="BB71" t="str">
            <v/>
          </cell>
          <cell r="BD71">
            <v>42369.5</v>
          </cell>
          <cell r="BG71" t="str">
            <v/>
          </cell>
          <cell r="BK71" t="str">
            <v/>
          </cell>
          <cell r="BY71" t="str">
            <v/>
          </cell>
        </row>
        <row r="72">
          <cell r="A72">
            <v>42734.75</v>
          </cell>
          <cell r="J72" t="str">
            <v/>
          </cell>
          <cell r="L72">
            <v>42734.75</v>
          </cell>
          <cell r="V72" t="str">
            <v/>
          </cell>
          <cell r="X72">
            <v>42734.75</v>
          </cell>
          <cell r="AA72" t="str">
            <v/>
          </cell>
          <cell r="AC72" t="str">
            <v/>
          </cell>
          <cell r="AE72" t="str">
            <v/>
          </cell>
          <cell r="AG72" t="str">
            <v/>
          </cell>
          <cell r="AH72" t="str">
            <v/>
          </cell>
          <cell r="AI72" t="str">
            <v/>
          </cell>
          <cell r="AK72" t="str">
            <v/>
          </cell>
          <cell r="AN72" t="str">
            <v/>
          </cell>
          <cell r="BB72" t="str">
            <v/>
          </cell>
          <cell r="BD72">
            <v>42734.75</v>
          </cell>
          <cell r="BG72" t="str">
            <v/>
          </cell>
          <cell r="BK72" t="str">
            <v/>
          </cell>
          <cell r="BY72" t="str">
            <v/>
          </cell>
        </row>
        <row r="73">
          <cell r="A73">
            <v>43100</v>
          </cell>
          <cell r="J73" t="str">
            <v/>
          </cell>
          <cell r="L73">
            <v>43100</v>
          </cell>
          <cell r="V73" t="str">
            <v/>
          </cell>
          <cell r="X73">
            <v>43100</v>
          </cell>
          <cell r="AA73" t="str">
            <v/>
          </cell>
          <cell r="AC73" t="str">
            <v/>
          </cell>
          <cell r="AE73" t="str">
            <v/>
          </cell>
          <cell r="AG73" t="str">
            <v/>
          </cell>
          <cell r="AH73" t="str">
            <v/>
          </cell>
          <cell r="AI73" t="str">
            <v/>
          </cell>
          <cell r="AK73" t="str">
            <v/>
          </cell>
          <cell r="AN73" t="str">
            <v/>
          </cell>
          <cell r="BB73" t="str">
            <v/>
          </cell>
          <cell r="BD73">
            <v>43100</v>
          </cell>
          <cell r="BG73" t="str">
            <v/>
          </cell>
          <cell r="BK73" t="str">
            <v/>
          </cell>
          <cell r="BY73" t="str">
            <v/>
          </cell>
        </row>
        <row r="74">
          <cell r="A74">
            <v>43465.25</v>
          </cell>
          <cell r="J74" t="str">
            <v/>
          </cell>
          <cell r="L74">
            <v>43465.25</v>
          </cell>
          <cell r="V74" t="str">
            <v/>
          </cell>
          <cell r="X74">
            <v>43465.25</v>
          </cell>
          <cell r="AA74" t="str">
            <v/>
          </cell>
          <cell r="AC74" t="str">
            <v/>
          </cell>
          <cell r="AE74" t="str">
            <v/>
          </cell>
          <cell r="AG74" t="str">
            <v/>
          </cell>
          <cell r="AH74" t="str">
            <v/>
          </cell>
          <cell r="AI74" t="str">
            <v/>
          </cell>
          <cell r="AK74" t="str">
            <v/>
          </cell>
          <cell r="AN74" t="str">
            <v/>
          </cell>
          <cell r="BB74" t="str">
            <v/>
          </cell>
          <cell r="BD74">
            <v>43465.25</v>
          </cell>
          <cell r="BG74" t="str">
            <v/>
          </cell>
          <cell r="BK74" t="str">
            <v/>
          </cell>
          <cell r="BY74" t="str">
            <v/>
          </cell>
        </row>
        <row r="75">
          <cell r="A75">
            <v>43830.5</v>
          </cell>
          <cell r="J75" t="str">
            <v/>
          </cell>
          <cell r="L75">
            <v>43830.5</v>
          </cell>
          <cell r="V75" t="str">
            <v/>
          </cell>
          <cell r="X75">
            <v>43830.5</v>
          </cell>
          <cell r="AA75" t="str">
            <v/>
          </cell>
          <cell r="AC75" t="str">
            <v/>
          </cell>
          <cell r="AE75" t="str">
            <v/>
          </cell>
          <cell r="AG75" t="str">
            <v/>
          </cell>
          <cell r="AH75" t="str">
            <v/>
          </cell>
          <cell r="AI75" t="str">
            <v/>
          </cell>
          <cell r="AK75" t="str">
            <v/>
          </cell>
          <cell r="AN75" t="str">
            <v/>
          </cell>
          <cell r="BB75" t="str">
            <v/>
          </cell>
          <cell r="BD75">
            <v>43830.5</v>
          </cell>
          <cell r="BG75" t="str">
            <v/>
          </cell>
          <cell r="BK75" t="str">
            <v/>
          </cell>
          <cell r="BY75" t="str">
            <v/>
          </cell>
        </row>
        <row r="76">
          <cell r="A76">
            <v>44195.75</v>
          </cell>
          <cell r="J76" t="str">
            <v/>
          </cell>
          <cell r="L76">
            <v>44195.75</v>
          </cell>
          <cell r="V76" t="str">
            <v/>
          </cell>
          <cell r="X76">
            <v>44195.75</v>
          </cell>
          <cell r="AA76" t="str">
            <v/>
          </cell>
          <cell r="AC76" t="str">
            <v/>
          </cell>
          <cell r="AE76" t="str">
            <v/>
          </cell>
          <cell r="AG76" t="str">
            <v/>
          </cell>
          <cell r="AH76" t="str">
            <v/>
          </cell>
          <cell r="AI76" t="str">
            <v/>
          </cell>
          <cell r="AK76" t="str">
            <v/>
          </cell>
          <cell r="AN76" t="str">
            <v/>
          </cell>
          <cell r="BB76" t="str">
            <v/>
          </cell>
          <cell r="BD76">
            <v>44195.75</v>
          </cell>
          <cell r="BG76" t="str">
            <v/>
          </cell>
          <cell r="BK76" t="str">
            <v/>
          </cell>
          <cell r="BY76" t="str">
            <v/>
          </cell>
        </row>
        <row r="77">
          <cell r="A77">
            <v>44561</v>
          </cell>
          <cell r="J77" t="str">
            <v/>
          </cell>
          <cell r="L77">
            <v>44561</v>
          </cell>
          <cell r="V77" t="str">
            <v/>
          </cell>
          <cell r="X77">
            <v>44561</v>
          </cell>
          <cell r="AA77" t="str">
            <v/>
          </cell>
          <cell r="AC77" t="str">
            <v/>
          </cell>
          <cell r="AE77" t="str">
            <v/>
          </cell>
          <cell r="AG77" t="str">
            <v/>
          </cell>
          <cell r="AH77" t="str">
            <v/>
          </cell>
          <cell r="AI77" t="str">
            <v/>
          </cell>
          <cell r="AK77" t="str">
            <v/>
          </cell>
          <cell r="AN77" t="str">
            <v/>
          </cell>
          <cell r="BB77" t="str">
            <v/>
          </cell>
          <cell r="BD77">
            <v>44561</v>
          </cell>
          <cell r="BG77" t="str">
            <v/>
          </cell>
          <cell r="BK77" t="str">
            <v/>
          </cell>
          <cell r="BY77" t="str">
            <v/>
          </cell>
        </row>
        <row r="78">
          <cell r="A78">
            <v>44926.25</v>
          </cell>
          <cell r="J78" t="str">
            <v/>
          </cell>
          <cell r="L78">
            <v>44926.25</v>
          </cell>
          <cell r="V78" t="str">
            <v/>
          </cell>
          <cell r="X78">
            <v>44926.25</v>
          </cell>
          <cell r="AA78" t="str">
            <v/>
          </cell>
          <cell r="AC78" t="str">
            <v/>
          </cell>
          <cell r="AE78" t="str">
            <v/>
          </cell>
          <cell r="AG78" t="str">
            <v/>
          </cell>
          <cell r="AH78" t="str">
            <v/>
          </cell>
          <cell r="AI78" t="str">
            <v/>
          </cell>
          <cell r="AK78" t="str">
            <v/>
          </cell>
          <cell r="AN78" t="str">
            <v/>
          </cell>
          <cell r="BB78" t="str">
            <v/>
          </cell>
          <cell r="BD78">
            <v>44926.25</v>
          </cell>
          <cell r="BG78" t="str">
            <v/>
          </cell>
          <cell r="BK78" t="str">
            <v/>
          </cell>
          <cell r="BY78" t="str">
            <v/>
          </cell>
        </row>
        <row r="79">
          <cell r="A79">
            <v>45291.5</v>
          </cell>
          <cell r="J79" t="str">
            <v/>
          </cell>
          <cell r="L79">
            <v>45291.5</v>
          </cell>
          <cell r="V79" t="str">
            <v/>
          </cell>
          <cell r="X79">
            <v>45291.5</v>
          </cell>
          <cell r="AA79" t="str">
            <v/>
          </cell>
          <cell r="AC79" t="str">
            <v/>
          </cell>
          <cell r="AE79" t="str">
            <v/>
          </cell>
          <cell r="AG79" t="str">
            <v/>
          </cell>
          <cell r="AH79" t="str">
            <v/>
          </cell>
          <cell r="AI79" t="str">
            <v/>
          </cell>
          <cell r="AK79" t="str">
            <v/>
          </cell>
          <cell r="AN79" t="str">
            <v/>
          </cell>
          <cell r="BB79" t="str">
            <v/>
          </cell>
          <cell r="BD79">
            <v>45291.5</v>
          </cell>
          <cell r="BG79" t="str">
            <v/>
          </cell>
          <cell r="BK79" t="str">
            <v/>
          </cell>
          <cell r="BY79" t="str">
            <v/>
          </cell>
        </row>
        <row r="80">
          <cell r="A80">
            <v>45656.75</v>
          </cell>
          <cell r="J80" t="str">
            <v/>
          </cell>
          <cell r="L80">
            <v>45656.75</v>
          </cell>
          <cell r="V80" t="str">
            <v/>
          </cell>
          <cell r="X80">
            <v>45656.75</v>
          </cell>
          <cell r="AA80" t="str">
            <v/>
          </cell>
          <cell r="AC80" t="str">
            <v/>
          </cell>
          <cell r="AE80" t="str">
            <v/>
          </cell>
          <cell r="AG80" t="str">
            <v/>
          </cell>
          <cell r="AH80" t="str">
            <v/>
          </cell>
          <cell r="AI80" t="str">
            <v/>
          </cell>
          <cell r="AK80" t="str">
            <v/>
          </cell>
          <cell r="AN80" t="str">
            <v/>
          </cell>
          <cell r="BB80" t="str">
            <v/>
          </cell>
          <cell r="BD80">
            <v>45656.75</v>
          </cell>
          <cell r="BG80" t="str">
            <v/>
          </cell>
          <cell r="BK80" t="str">
            <v/>
          </cell>
          <cell r="BY80" t="str">
            <v/>
          </cell>
        </row>
        <row r="81">
          <cell r="A81">
            <v>46022</v>
          </cell>
          <cell r="J81" t="str">
            <v/>
          </cell>
          <cell r="L81">
            <v>46022</v>
          </cell>
          <cell r="V81" t="str">
            <v/>
          </cell>
          <cell r="X81">
            <v>46022</v>
          </cell>
          <cell r="AA81" t="str">
            <v/>
          </cell>
          <cell r="AC81" t="str">
            <v/>
          </cell>
          <cell r="AE81" t="str">
            <v/>
          </cell>
          <cell r="AG81" t="str">
            <v/>
          </cell>
          <cell r="AH81" t="str">
            <v/>
          </cell>
          <cell r="AI81" t="str">
            <v/>
          </cell>
          <cell r="AK81" t="str">
            <v/>
          </cell>
          <cell r="AN81" t="str">
            <v/>
          </cell>
          <cell r="BB81" t="str">
            <v/>
          </cell>
          <cell r="BD81">
            <v>46022</v>
          </cell>
          <cell r="BG81" t="str">
            <v/>
          </cell>
          <cell r="BK81" t="str">
            <v/>
          </cell>
          <cell r="BY81" t="str">
            <v/>
          </cell>
        </row>
        <row r="82">
          <cell r="A82">
            <v>46387.25</v>
          </cell>
          <cell r="J82" t="str">
            <v/>
          </cell>
          <cell r="L82">
            <v>46387.25</v>
          </cell>
          <cell r="V82" t="str">
            <v/>
          </cell>
          <cell r="X82">
            <v>46387.25</v>
          </cell>
          <cell r="AA82" t="str">
            <v/>
          </cell>
          <cell r="AC82" t="str">
            <v/>
          </cell>
          <cell r="AE82" t="str">
            <v/>
          </cell>
          <cell r="AG82" t="str">
            <v/>
          </cell>
          <cell r="AH82" t="str">
            <v/>
          </cell>
          <cell r="AI82" t="str">
            <v/>
          </cell>
          <cell r="AK82" t="str">
            <v/>
          </cell>
          <cell r="AN82" t="str">
            <v/>
          </cell>
          <cell r="BB82" t="str">
            <v/>
          </cell>
          <cell r="BD82">
            <v>46387.25</v>
          </cell>
          <cell r="BG82" t="str">
            <v/>
          </cell>
          <cell r="BK82" t="str">
            <v/>
          </cell>
          <cell r="BY82" t="str">
            <v/>
          </cell>
        </row>
        <row r="83">
          <cell r="A83">
            <v>46752.5</v>
          </cell>
          <cell r="J83" t="str">
            <v/>
          </cell>
          <cell r="L83">
            <v>46752.5</v>
          </cell>
          <cell r="V83" t="str">
            <v/>
          </cell>
          <cell r="X83">
            <v>46752.5</v>
          </cell>
          <cell r="AA83" t="str">
            <v/>
          </cell>
          <cell r="AC83" t="str">
            <v/>
          </cell>
          <cell r="AE83" t="str">
            <v/>
          </cell>
          <cell r="AG83" t="str">
            <v/>
          </cell>
          <cell r="AH83" t="str">
            <v/>
          </cell>
          <cell r="AI83" t="str">
            <v/>
          </cell>
          <cell r="AK83" t="str">
            <v/>
          </cell>
          <cell r="AN83" t="str">
            <v/>
          </cell>
          <cell r="BB83" t="str">
            <v/>
          </cell>
          <cell r="BD83">
            <v>46752.5</v>
          </cell>
          <cell r="BG83" t="str">
            <v/>
          </cell>
          <cell r="BK83" t="str">
            <v/>
          </cell>
          <cell r="BY83" t="str">
            <v/>
          </cell>
        </row>
        <row r="84">
          <cell r="A84">
            <v>47117.75</v>
          </cell>
          <cell r="J84" t="str">
            <v/>
          </cell>
          <cell r="L84">
            <v>47117.75</v>
          </cell>
          <cell r="V84" t="str">
            <v/>
          </cell>
          <cell r="X84">
            <v>47117.75</v>
          </cell>
          <cell r="AA84" t="str">
            <v/>
          </cell>
          <cell r="AC84" t="str">
            <v/>
          </cell>
          <cell r="AE84" t="str">
            <v/>
          </cell>
          <cell r="AG84" t="str">
            <v/>
          </cell>
          <cell r="AH84" t="str">
            <v/>
          </cell>
          <cell r="AI84" t="str">
            <v/>
          </cell>
          <cell r="AK84" t="str">
            <v/>
          </cell>
          <cell r="AN84" t="str">
            <v/>
          </cell>
          <cell r="BB84" t="str">
            <v/>
          </cell>
          <cell r="BD84">
            <v>47117.75</v>
          </cell>
          <cell r="BG84" t="str">
            <v/>
          </cell>
          <cell r="BK84" t="str">
            <v/>
          </cell>
          <cell r="BY84" t="str">
            <v/>
          </cell>
        </row>
        <row r="85">
          <cell r="A85">
            <v>47483</v>
          </cell>
          <cell r="J85" t="str">
            <v/>
          </cell>
          <cell r="L85">
            <v>47483</v>
          </cell>
          <cell r="V85" t="str">
            <v/>
          </cell>
          <cell r="X85">
            <v>47483</v>
          </cell>
          <cell r="AA85" t="str">
            <v/>
          </cell>
          <cell r="AC85" t="str">
            <v/>
          </cell>
          <cell r="AE85" t="str">
            <v/>
          </cell>
          <cell r="AG85" t="str">
            <v/>
          </cell>
          <cell r="AH85" t="str">
            <v/>
          </cell>
          <cell r="AI85" t="str">
            <v/>
          </cell>
          <cell r="AK85" t="str">
            <v/>
          </cell>
          <cell r="AN85" t="str">
            <v/>
          </cell>
          <cell r="BB85" t="str">
            <v/>
          </cell>
          <cell r="BD85">
            <v>47483</v>
          </cell>
          <cell r="BG85" t="str">
            <v/>
          </cell>
          <cell r="BK85" t="str">
            <v/>
          </cell>
          <cell r="BY85" t="str">
            <v/>
          </cell>
        </row>
        <row r="86">
          <cell r="A86">
            <v>47848.25</v>
          </cell>
          <cell r="J86" t="str">
            <v/>
          </cell>
          <cell r="L86">
            <v>47848.25</v>
          </cell>
          <cell r="V86" t="str">
            <v/>
          </cell>
          <cell r="X86">
            <v>47848.25</v>
          </cell>
          <cell r="AA86" t="str">
            <v/>
          </cell>
          <cell r="AC86" t="str">
            <v/>
          </cell>
          <cell r="AE86" t="str">
            <v/>
          </cell>
          <cell r="AG86" t="str">
            <v/>
          </cell>
          <cell r="AH86" t="str">
            <v/>
          </cell>
          <cell r="AI86" t="str">
            <v/>
          </cell>
          <cell r="AK86" t="str">
            <v/>
          </cell>
          <cell r="AN86" t="str">
            <v/>
          </cell>
          <cell r="BB86" t="str">
            <v/>
          </cell>
          <cell r="BD86">
            <v>47848.25</v>
          </cell>
          <cell r="BG86" t="str">
            <v/>
          </cell>
          <cell r="BK86" t="str">
            <v/>
          </cell>
          <cell r="BY86" t="str">
            <v/>
          </cell>
        </row>
        <row r="87">
          <cell r="A87">
            <v>48213.5</v>
          </cell>
          <cell r="J87" t="str">
            <v/>
          </cell>
          <cell r="L87">
            <v>48213.5</v>
          </cell>
          <cell r="V87" t="str">
            <v/>
          </cell>
          <cell r="X87">
            <v>48213.5</v>
          </cell>
          <cell r="AA87" t="str">
            <v/>
          </cell>
          <cell r="AC87" t="str">
            <v/>
          </cell>
          <cell r="AE87" t="str">
            <v/>
          </cell>
          <cell r="AG87" t="str">
            <v/>
          </cell>
          <cell r="AH87" t="str">
            <v/>
          </cell>
          <cell r="AI87" t="str">
            <v/>
          </cell>
          <cell r="AK87" t="str">
            <v/>
          </cell>
          <cell r="AN87" t="str">
            <v/>
          </cell>
          <cell r="BB87" t="str">
            <v/>
          </cell>
          <cell r="BD87">
            <v>48213.5</v>
          </cell>
          <cell r="BG87" t="str">
            <v/>
          </cell>
          <cell r="BK87" t="str">
            <v/>
          </cell>
          <cell r="BY87" t="str">
            <v/>
          </cell>
        </row>
        <row r="88">
          <cell r="A88">
            <v>48578.75</v>
          </cell>
          <cell r="J88" t="str">
            <v/>
          </cell>
          <cell r="L88">
            <v>48578.75</v>
          </cell>
          <cell r="V88" t="str">
            <v/>
          </cell>
          <cell r="X88">
            <v>48578.75</v>
          </cell>
          <cell r="AA88" t="str">
            <v/>
          </cell>
          <cell r="AC88" t="str">
            <v/>
          </cell>
          <cell r="AE88" t="str">
            <v/>
          </cell>
          <cell r="AG88" t="str">
            <v/>
          </cell>
          <cell r="AH88" t="str">
            <v/>
          </cell>
          <cell r="AI88" t="str">
            <v/>
          </cell>
          <cell r="AK88" t="str">
            <v/>
          </cell>
          <cell r="AN88" t="str">
            <v/>
          </cell>
          <cell r="BB88" t="str">
            <v/>
          </cell>
          <cell r="BD88">
            <v>48578.75</v>
          </cell>
          <cell r="BG88" t="str">
            <v/>
          </cell>
          <cell r="BK88" t="str">
            <v/>
          </cell>
          <cell r="BY88" t="str">
            <v/>
          </cell>
        </row>
        <row r="89">
          <cell r="A89">
            <v>48944</v>
          </cell>
          <cell r="J89" t="str">
            <v/>
          </cell>
          <cell r="L89">
            <v>48944</v>
          </cell>
          <cell r="V89" t="str">
            <v/>
          </cell>
          <cell r="X89">
            <v>48944</v>
          </cell>
          <cell r="AA89" t="str">
            <v/>
          </cell>
          <cell r="AC89" t="str">
            <v/>
          </cell>
          <cell r="AE89" t="str">
            <v/>
          </cell>
          <cell r="AG89" t="str">
            <v/>
          </cell>
          <cell r="AH89" t="str">
            <v/>
          </cell>
          <cell r="AI89" t="str">
            <v/>
          </cell>
          <cell r="AK89" t="str">
            <v/>
          </cell>
          <cell r="AN89" t="str">
            <v/>
          </cell>
          <cell r="BB89" t="str">
            <v/>
          </cell>
          <cell r="BD89">
            <v>48944</v>
          </cell>
          <cell r="BG89" t="str">
            <v/>
          </cell>
          <cell r="BK89" t="str">
            <v/>
          </cell>
          <cell r="BY89" t="str">
            <v/>
          </cell>
        </row>
        <row r="90">
          <cell r="A90">
            <v>49309.25</v>
          </cell>
          <cell r="J90" t="str">
            <v/>
          </cell>
          <cell r="L90">
            <v>49309.25</v>
          </cell>
          <cell r="V90" t="str">
            <v/>
          </cell>
          <cell r="X90">
            <v>49309.25</v>
          </cell>
          <cell r="AA90" t="str">
            <v/>
          </cell>
          <cell r="AC90" t="str">
            <v/>
          </cell>
          <cell r="AE90" t="str">
            <v/>
          </cell>
          <cell r="AG90" t="str">
            <v/>
          </cell>
          <cell r="AH90" t="str">
            <v/>
          </cell>
          <cell r="AI90" t="str">
            <v/>
          </cell>
          <cell r="AK90" t="str">
            <v/>
          </cell>
          <cell r="AN90" t="str">
            <v/>
          </cell>
          <cell r="BB90" t="str">
            <v/>
          </cell>
          <cell r="BD90">
            <v>49309.25</v>
          </cell>
          <cell r="BG90" t="str">
            <v/>
          </cell>
          <cell r="BK90" t="str">
            <v/>
          </cell>
          <cell r="BY90" t="str">
            <v/>
          </cell>
        </row>
        <row r="91">
          <cell r="A91">
            <v>49674.5</v>
          </cell>
          <cell r="J91" t="str">
            <v/>
          </cell>
          <cell r="L91">
            <v>49674.5</v>
          </cell>
          <cell r="V91" t="str">
            <v/>
          </cell>
          <cell r="X91">
            <v>49674.5</v>
          </cell>
          <cell r="AA91" t="str">
            <v/>
          </cell>
          <cell r="AC91" t="str">
            <v/>
          </cell>
          <cell r="AE91" t="str">
            <v/>
          </cell>
          <cell r="AG91" t="str">
            <v/>
          </cell>
          <cell r="AH91" t="str">
            <v/>
          </cell>
          <cell r="AI91" t="str">
            <v/>
          </cell>
          <cell r="AK91" t="str">
            <v/>
          </cell>
          <cell r="AN91" t="str">
            <v/>
          </cell>
          <cell r="BB91" t="str">
            <v/>
          </cell>
          <cell r="BD91">
            <v>49674.5</v>
          </cell>
          <cell r="BG91" t="str">
            <v/>
          </cell>
          <cell r="BK91" t="str">
            <v/>
          </cell>
          <cell r="BY91" t="str">
            <v/>
          </cell>
        </row>
        <row r="92">
          <cell r="A92">
            <v>50039.75</v>
          </cell>
          <cell r="J92" t="str">
            <v/>
          </cell>
          <cell r="L92">
            <v>50039.75</v>
          </cell>
          <cell r="V92" t="str">
            <v/>
          </cell>
          <cell r="X92">
            <v>50039.75</v>
          </cell>
          <cell r="AA92" t="str">
            <v/>
          </cell>
          <cell r="AC92" t="str">
            <v/>
          </cell>
          <cell r="AE92" t="str">
            <v/>
          </cell>
          <cell r="AG92" t="str">
            <v/>
          </cell>
          <cell r="AH92" t="str">
            <v/>
          </cell>
          <cell r="AI92" t="str">
            <v/>
          </cell>
          <cell r="AK92" t="str">
            <v/>
          </cell>
          <cell r="AN92" t="str">
            <v/>
          </cell>
          <cell r="BB92" t="str">
            <v/>
          </cell>
          <cell r="BD92">
            <v>50039.75</v>
          </cell>
          <cell r="BG92" t="str">
            <v/>
          </cell>
          <cell r="BK92" t="str">
            <v/>
          </cell>
          <cell r="BY92" t="str">
            <v/>
          </cell>
        </row>
        <row r="93">
          <cell r="A93">
            <v>50405</v>
          </cell>
          <cell r="J93" t="str">
            <v/>
          </cell>
          <cell r="L93">
            <v>50405</v>
          </cell>
          <cell r="V93" t="str">
            <v/>
          </cell>
          <cell r="X93">
            <v>50405</v>
          </cell>
          <cell r="AA93" t="str">
            <v/>
          </cell>
          <cell r="AC93" t="str">
            <v/>
          </cell>
          <cell r="AE93" t="str">
            <v/>
          </cell>
          <cell r="AG93" t="str">
            <v/>
          </cell>
          <cell r="AH93" t="str">
            <v/>
          </cell>
          <cell r="AI93" t="str">
            <v/>
          </cell>
          <cell r="AK93" t="str">
            <v/>
          </cell>
          <cell r="AN93" t="str">
            <v/>
          </cell>
          <cell r="BB93" t="str">
            <v/>
          </cell>
          <cell r="BD93">
            <v>50405</v>
          </cell>
          <cell r="BG93" t="str">
            <v/>
          </cell>
          <cell r="BK93" t="str">
            <v/>
          </cell>
          <cell r="BY93" t="str">
            <v/>
          </cell>
        </row>
        <row r="94">
          <cell r="A94">
            <v>50770.25</v>
          </cell>
          <cell r="J94" t="str">
            <v/>
          </cell>
          <cell r="L94">
            <v>50770.25</v>
          </cell>
          <cell r="V94" t="str">
            <v/>
          </cell>
          <cell r="X94">
            <v>50770.25</v>
          </cell>
          <cell r="AA94" t="str">
            <v/>
          </cell>
          <cell r="AC94" t="str">
            <v/>
          </cell>
          <cell r="AE94" t="str">
            <v/>
          </cell>
          <cell r="AG94" t="str">
            <v/>
          </cell>
          <cell r="AH94" t="str">
            <v/>
          </cell>
          <cell r="AI94" t="str">
            <v/>
          </cell>
          <cell r="AK94" t="str">
            <v/>
          </cell>
          <cell r="AN94" t="str">
            <v/>
          </cell>
          <cell r="BB94" t="str">
            <v/>
          </cell>
          <cell r="BD94">
            <v>50770.25</v>
          </cell>
          <cell r="BG94" t="str">
            <v/>
          </cell>
          <cell r="BK94" t="str">
            <v/>
          </cell>
          <cell r="BY94" t="str">
            <v/>
          </cell>
        </row>
        <row r="95">
          <cell r="A95">
            <v>51135.5</v>
          </cell>
          <cell r="J95" t="str">
            <v/>
          </cell>
          <cell r="L95">
            <v>51135.5</v>
          </cell>
          <cell r="V95" t="str">
            <v/>
          </cell>
          <cell r="X95">
            <v>51135.5</v>
          </cell>
          <cell r="AA95" t="str">
            <v/>
          </cell>
          <cell r="AC95" t="str">
            <v/>
          </cell>
          <cell r="AE95" t="str">
            <v/>
          </cell>
          <cell r="AG95" t="str">
            <v/>
          </cell>
          <cell r="AH95" t="str">
            <v/>
          </cell>
          <cell r="AI95" t="str">
            <v/>
          </cell>
          <cell r="AK95" t="str">
            <v/>
          </cell>
          <cell r="AN95" t="str">
            <v/>
          </cell>
          <cell r="BB95" t="str">
            <v/>
          </cell>
          <cell r="BD95">
            <v>51135.5</v>
          </cell>
          <cell r="BG95" t="str">
            <v/>
          </cell>
          <cell r="BK95" t="str">
            <v/>
          </cell>
          <cell r="BY95" t="str">
            <v/>
          </cell>
        </row>
        <row r="96">
          <cell r="A96">
            <v>51500.75</v>
          </cell>
          <cell r="J96" t="str">
            <v/>
          </cell>
          <cell r="L96">
            <v>51500.75</v>
          </cell>
          <cell r="V96" t="str">
            <v/>
          </cell>
          <cell r="X96">
            <v>51500.75</v>
          </cell>
          <cell r="AA96" t="str">
            <v/>
          </cell>
          <cell r="AC96" t="str">
            <v/>
          </cell>
          <cell r="AE96" t="str">
            <v/>
          </cell>
          <cell r="AG96" t="str">
            <v/>
          </cell>
          <cell r="AH96" t="str">
            <v/>
          </cell>
          <cell r="AI96" t="str">
            <v/>
          </cell>
          <cell r="AK96" t="str">
            <v/>
          </cell>
          <cell r="AN96" t="str">
            <v/>
          </cell>
          <cell r="BB96" t="str">
            <v/>
          </cell>
          <cell r="BD96">
            <v>51500.75</v>
          </cell>
          <cell r="BG96" t="str">
            <v/>
          </cell>
          <cell r="BK96" t="str">
            <v/>
          </cell>
          <cell r="BY96" t="str">
            <v/>
          </cell>
        </row>
        <row r="97">
          <cell r="A97">
            <v>51866</v>
          </cell>
          <cell r="J97" t="str">
            <v/>
          </cell>
          <cell r="L97">
            <v>51866</v>
          </cell>
          <cell r="V97" t="str">
            <v/>
          </cell>
          <cell r="X97">
            <v>51866</v>
          </cell>
          <cell r="AA97" t="str">
            <v/>
          </cell>
          <cell r="AC97" t="str">
            <v/>
          </cell>
          <cell r="AE97" t="str">
            <v/>
          </cell>
          <cell r="AG97" t="str">
            <v/>
          </cell>
          <cell r="AH97" t="str">
            <v/>
          </cell>
          <cell r="AI97" t="str">
            <v/>
          </cell>
          <cell r="AK97" t="str">
            <v/>
          </cell>
          <cell r="AN97" t="str">
            <v/>
          </cell>
          <cell r="BB97" t="str">
            <v/>
          </cell>
          <cell r="BD97">
            <v>51866</v>
          </cell>
          <cell r="BG97" t="str">
            <v/>
          </cell>
          <cell r="BK97" t="str">
            <v/>
          </cell>
          <cell r="BY97" t="str">
            <v/>
          </cell>
        </row>
        <row r="98">
          <cell r="A98">
            <v>52231.25</v>
          </cell>
          <cell r="J98" t="str">
            <v/>
          </cell>
          <cell r="L98">
            <v>52231.25</v>
          </cell>
          <cell r="V98" t="str">
            <v/>
          </cell>
          <cell r="X98">
            <v>52231.25</v>
          </cell>
          <cell r="AA98" t="str">
            <v/>
          </cell>
          <cell r="AC98" t="str">
            <v/>
          </cell>
          <cell r="AE98" t="str">
            <v/>
          </cell>
          <cell r="AG98" t="str">
            <v/>
          </cell>
          <cell r="AH98" t="str">
            <v/>
          </cell>
          <cell r="AI98" t="str">
            <v/>
          </cell>
          <cell r="AK98" t="str">
            <v/>
          </cell>
          <cell r="AN98" t="str">
            <v/>
          </cell>
          <cell r="BB98" t="str">
            <v/>
          </cell>
          <cell r="BD98">
            <v>52231.25</v>
          </cell>
          <cell r="BG98" t="str">
            <v/>
          </cell>
          <cell r="BK98" t="str">
            <v/>
          </cell>
          <cell r="BY98" t="str">
            <v/>
          </cell>
        </row>
        <row r="99">
          <cell r="A99">
            <v>52596.5</v>
          </cell>
          <cell r="J99" t="str">
            <v/>
          </cell>
          <cell r="L99">
            <v>52596.5</v>
          </cell>
          <cell r="V99" t="str">
            <v/>
          </cell>
          <cell r="X99">
            <v>52596.5</v>
          </cell>
          <cell r="AA99" t="str">
            <v/>
          </cell>
          <cell r="AC99" t="str">
            <v/>
          </cell>
          <cell r="AE99" t="str">
            <v/>
          </cell>
          <cell r="AG99" t="str">
            <v/>
          </cell>
          <cell r="AH99" t="str">
            <v/>
          </cell>
          <cell r="AI99" t="str">
            <v/>
          </cell>
          <cell r="AK99" t="str">
            <v/>
          </cell>
          <cell r="AN99" t="str">
            <v/>
          </cell>
          <cell r="BB99" t="str">
            <v/>
          </cell>
          <cell r="BD99">
            <v>52596.5</v>
          </cell>
          <cell r="BG99" t="str">
            <v/>
          </cell>
          <cell r="BK99" t="str">
            <v/>
          </cell>
          <cell r="BY99" t="str">
            <v/>
          </cell>
        </row>
        <row r="100">
          <cell r="A100">
            <v>52961.75</v>
          </cell>
          <cell r="J100" t="str">
            <v/>
          </cell>
          <cell r="L100">
            <v>52961.75</v>
          </cell>
          <cell r="V100" t="str">
            <v/>
          </cell>
          <cell r="X100">
            <v>52961.75</v>
          </cell>
          <cell r="AA100" t="str">
            <v/>
          </cell>
          <cell r="AC100" t="str">
            <v/>
          </cell>
          <cell r="AE100" t="str">
            <v/>
          </cell>
          <cell r="AG100" t="str">
            <v/>
          </cell>
          <cell r="AH100" t="str">
            <v/>
          </cell>
          <cell r="AI100" t="str">
            <v/>
          </cell>
          <cell r="AK100" t="str">
            <v/>
          </cell>
          <cell r="AN100" t="str">
            <v/>
          </cell>
          <cell r="BB100" t="str">
            <v/>
          </cell>
          <cell r="BD100">
            <v>52961.75</v>
          </cell>
          <cell r="BG100" t="str">
            <v/>
          </cell>
          <cell r="BK100" t="str">
            <v/>
          </cell>
          <cell r="BY100" t="str">
            <v/>
          </cell>
        </row>
        <row r="101">
          <cell r="A101">
            <v>53327</v>
          </cell>
          <cell r="J101" t="str">
            <v/>
          </cell>
          <cell r="L101">
            <v>53327</v>
          </cell>
          <cell r="V101" t="str">
            <v/>
          </cell>
          <cell r="X101">
            <v>53327</v>
          </cell>
          <cell r="AA101" t="str">
            <v/>
          </cell>
          <cell r="AC101" t="str">
            <v/>
          </cell>
          <cell r="AE101" t="str">
            <v/>
          </cell>
          <cell r="AG101" t="str">
            <v/>
          </cell>
          <cell r="AH101" t="str">
            <v/>
          </cell>
          <cell r="AI101" t="str">
            <v/>
          </cell>
          <cell r="AK101" t="str">
            <v/>
          </cell>
          <cell r="AN101" t="str">
            <v/>
          </cell>
          <cell r="BB101" t="str">
            <v/>
          </cell>
          <cell r="BD101">
            <v>53327</v>
          </cell>
          <cell r="BG101" t="str">
            <v/>
          </cell>
          <cell r="BK101" t="str">
            <v/>
          </cell>
          <cell r="BY101" t="str">
            <v/>
          </cell>
        </row>
        <row r="102">
          <cell r="A102">
            <v>53692.25</v>
          </cell>
          <cell r="J102" t="str">
            <v/>
          </cell>
          <cell r="L102">
            <v>53692.25</v>
          </cell>
          <cell r="V102" t="str">
            <v/>
          </cell>
          <cell r="X102">
            <v>53692.25</v>
          </cell>
          <cell r="AA102" t="str">
            <v/>
          </cell>
          <cell r="AC102" t="str">
            <v/>
          </cell>
          <cell r="AE102" t="str">
            <v/>
          </cell>
          <cell r="AG102" t="str">
            <v/>
          </cell>
          <cell r="AH102" t="str">
            <v/>
          </cell>
          <cell r="AI102" t="str">
            <v/>
          </cell>
          <cell r="AK102" t="str">
            <v/>
          </cell>
          <cell r="AN102" t="str">
            <v/>
          </cell>
          <cell r="BB102" t="str">
            <v/>
          </cell>
          <cell r="BD102">
            <v>53692.25</v>
          </cell>
          <cell r="BG102" t="str">
            <v/>
          </cell>
          <cell r="BK102" t="str">
            <v/>
          </cell>
          <cell r="BY102" t="str">
            <v/>
          </cell>
        </row>
        <row r="103">
          <cell r="A103">
            <v>54057.5</v>
          </cell>
          <cell r="J103" t="str">
            <v/>
          </cell>
          <cell r="L103">
            <v>54057.5</v>
          </cell>
          <cell r="V103" t="str">
            <v/>
          </cell>
          <cell r="X103">
            <v>54057.5</v>
          </cell>
          <cell r="AA103" t="str">
            <v/>
          </cell>
          <cell r="AC103" t="str">
            <v/>
          </cell>
          <cell r="AE103" t="str">
            <v/>
          </cell>
          <cell r="AG103" t="str">
            <v/>
          </cell>
          <cell r="AH103" t="str">
            <v/>
          </cell>
          <cell r="AI103" t="str">
            <v/>
          </cell>
          <cell r="AK103" t="str">
            <v/>
          </cell>
          <cell r="AN103" t="str">
            <v/>
          </cell>
          <cell r="BB103" t="str">
            <v/>
          </cell>
          <cell r="BD103">
            <v>54057.5</v>
          </cell>
          <cell r="BG103" t="str">
            <v/>
          </cell>
          <cell r="BK103" t="str">
            <v/>
          </cell>
          <cell r="BY103" t="str">
            <v/>
          </cell>
        </row>
        <row r="104">
          <cell r="A104">
            <v>54422.75</v>
          </cell>
          <cell r="J104" t="str">
            <v/>
          </cell>
          <cell r="L104">
            <v>54422.75</v>
          </cell>
          <cell r="V104" t="str">
            <v/>
          </cell>
          <cell r="X104">
            <v>54422.75</v>
          </cell>
          <cell r="AA104" t="str">
            <v/>
          </cell>
          <cell r="AC104" t="str">
            <v/>
          </cell>
          <cell r="AE104" t="str">
            <v/>
          </cell>
          <cell r="AG104" t="str">
            <v/>
          </cell>
          <cell r="AH104" t="str">
            <v/>
          </cell>
          <cell r="AI104" t="str">
            <v/>
          </cell>
          <cell r="AK104" t="str">
            <v/>
          </cell>
          <cell r="AN104" t="str">
            <v/>
          </cell>
          <cell r="BB104" t="str">
            <v/>
          </cell>
          <cell r="BD104">
            <v>54422.75</v>
          </cell>
          <cell r="BG104" t="str">
            <v/>
          </cell>
          <cell r="BK104" t="str">
            <v/>
          </cell>
          <cell r="BY104" t="str">
            <v/>
          </cell>
        </row>
        <row r="105">
          <cell r="A105">
            <v>54788</v>
          </cell>
          <cell r="J105" t="str">
            <v/>
          </cell>
          <cell r="L105">
            <v>54788</v>
          </cell>
          <cell r="V105" t="str">
            <v/>
          </cell>
          <cell r="X105">
            <v>54788</v>
          </cell>
          <cell r="AA105" t="str">
            <v/>
          </cell>
          <cell r="AC105" t="str">
            <v/>
          </cell>
          <cell r="AE105" t="str">
            <v/>
          </cell>
          <cell r="AG105" t="str">
            <v/>
          </cell>
          <cell r="AH105" t="str">
            <v/>
          </cell>
          <cell r="AI105" t="str">
            <v/>
          </cell>
          <cell r="AK105" t="str">
            <v/>
          </cell>
          <cell r="AN105" t="str">
            <v/>
          </cell>
          <cell r="BB105" t="str">
            <v/>
          </cell>
          <cell r="BD105">
            <v>54788</v>
          </cell>
          <cell r="BG105" t="str">
            <v/>
          </cell>
          <cell r="BK105" t="str">
            <v/>
          </cell>
          <cell r="BY105" t="str">
            <v/>
          </cell>
        </row>
        <row r="106">
          <cell r="A106">
            <v>55153.25</v>
          </cell>
          <cell r="J106" t="str">
            <v/>
          </cell>
          <cell r="L106">
            <v>55153.25</v>
          </cell>
          <cell r="V106" t="str">
            <v/>
          </cell>
          <cell r="X106">
            <v>55153.25</v>
          </cell>
          <cell r="AA106" t="str">
            <v/>
          </cell>
          <cell r="AC106" t="str">
            <v/>
          </cell>
          <cell r="AE106" t="str">
            <v/>
          </cell>
          <cell r="AG106" t="str">
            <v/>
          </cell>
          <cell r="AH106" t="str">
            <v/>
          </cell>
          <cell r="AI106" t="str">
            <v/>
          </cell>
          <cell r="AK106" t="str">
            <v/>
          </cell>
          <cell r="AN106" t="str">
            <v/>
          </cell>
          <cell r="BB106" t="str">
            <v/>
          </cell>
          <cell r="BD106">
            <v>55153.25</v>
          </cell>
          <cell r="BG106" t="str">
            <v/>
          </cell>
          <cell r="BK106" t="str">
            <v/>
          </cell>
          <cell r="BY106" t="str">
            <v/>
          </cell>
        </row>
        <row r="107">
          <cell r="A107">
            <v>55518.5</v>
          </cell>
          <cell r="J107" t="str">
            <v/>
          </cell>
          <cell r="L107">
            <v>55518.5</v>
          </cell>
          <cell r="V107" t="str">
            <v/>
          </cell>
          <cell r="X107">
            <v>55518.5</v>
          </cell>
          <cell r="AA107" t="str">
            <v/>
          </cell>
          <cell r="AC107" t="str">
            <v/>
          </cell>
          <cell r="AE107" t="str">
            <v/>
          </cell>
          <cell r="AG107" t="str">
            <v/>
          </cell>
          <cell r="AH107" t="str">
            <v/>
          </cell>
          <cell r="AI107" t="str">
            <v/>
          </cell>
          <cell r="AK107" t="str">
            <v/>
          </cell>
          <cell r="AN107" t="str">
            <v/>
          </cell>
          <cell r="BB107" t="str">
            <v/>
          </cell>
          <cell r="BD107">
            <v>55518.5</v>
          </cell>
          <cell r="BG107" t="str">
            <v/>
          </cell>
          <cell r="BK107" t="str">
            <v/>
          </cell>
          <cell r="BY107" t="str">
            <v/>
          </cell>
        </row>
        <row r="108">
          <cell r="A108">
            <v>55883.75</v>
          </cell>
          <cell r="J108" t="str">
            <v/>
          </cell>
          <cell r="L108">
            <v>55883.75</v>
          </cell>
          <cell r="V108" t="str">
            <v/>
          </cell>
          <cell r="X108">
            <v>55883.75</v>
          </cell>
          <cell r="AA108" t="str">
            <v/>
          </cell>
          <cell r="AC108" t="str">
            <v/>
          </cell>
          <cell r="AE108" t="str">
            <v/>
          </cell>
          <cell r="AG108" t="str">
            <v/>
          </cell>
          <cell r="AH108" t="str">
            <v/>
          </cell>
          <cell r="AI108" t="str">
            <v/>
          </cell>
          <cell r="AK108" t="str">
            <v/>
          </cell>
          <cell r="AN108" t="str">
            <v/>
          </cell>
          <cell r="BB108" t="str">
            <v/>
          </cell>
          <cell r="BD108">
            <v>55883.75</v>
          </cell>
          <cell r="BG108" t="str">
            <v/>
          </cell>
          <cell r="BK108" t="str">
            <v/>
          </cell>
          <cell r="BY108" t="str">
            <v/>
          </cell>
        </row>
        <row r="109">
          <cell r="J109" t="str">
            <v/>
          </cell>
          <cell r="V109" t="str">
            <v/>
          </cell>
          <cell r="AA109" t="str">
            <v/>
          </cell>
          <cell r="AC109" t="str">
            <v/>
          </cell>
          <cell r="AE109" t="str">
            <v/>
          </cell>
          <cell r="AG109" t="str">
            <v/>
          </cell>
          <cell r="AH109" t="str">
            <v/>
          </cell>
          <cell r="AI109" t="str">
            <v/>
          </cell>
          <cell r="AK109" t="str">
            <v/>
          </cell>
          <cell r="AN109" t="str">
            <v/>
          </cell>
          <cell r="BB109" t="str">
            <v/>
          </cell>
          <cell r="BY109" t="str">
            <v/>
          </cell>
        </row>
        <row r="110">
          <cell r="J110" t="str">
            <v/>
          </cell>
          <cell r="V110" t="str">
            <v/>
          </cell>
          <cell r="AA110" t="str">
            <v/>
          </cell>
          <cell r="AC110" t="str">
            <v/>
          </cell>
          <cell r="AE110" t="str">
            <v/>
          </cell>
          <cell r="AG110" t="str">
            <v/>
          </cell>
          <cell r="AH110" t="str">
            <v/>
          </cell>
          <cell r="AI110" t="str">
            <v/>
          </cell>
          <cell r="AK110" t="str">
            <v/>
          </cell>
          <cell r="AN110" t="str">
            <v/>
          </cell>
          <cell r="BB110" t="str">
            <v/>
          </cell>
          <cell r="BY110" t="str">
            <v/>
          </cell>
        </row>
        <row r="111">
          <cell r="J111" t="str">
            <v/>
          </cell>
          <cell r="V111" t="str">
            <v/>
          </cell>
          <cell r="AA111" t="str">
            <v/>
          </cell>
          <cell r="AC111" t="str">
            <v/>
          </cell>
          <cell r="AE111" t="str">
            <v/>
          </cell>
          <cell r="AG111" t="str">
            <v/>
          </cell>
          <cell r="AH111" t="str">
            <v/>
          </cell>
          <cell r="AI111" t="str">
            <v/>
          </cell>
          <cell r="AK111" t="str">
            <v/>
          </cell>
          <cell r="AN111" t="str">
            <v/>
          </cell>
          <cell r="BB111" t="str">
            <v/>
          </cell>
          <cell r="BY111" t="str">
            <v/>
          </cell>
        </row>
        <row r="112">
          <cell r="J112" t="str">
            <v/>
          </cell>
          <cell r="V112" t="str">
            <v/>
          </cell>
          <cell r="AA112" t="str">
            <v/>
          </cell>
          <cell r="AC112" t="str">
            <v/>
          </cell>
          <cell r="AE112" t="str">
            <v/>
          </cell>
          <cell r="AG112" t="str">
            <v/>
          </cell>
          <cell r="AH112" t="str">
            <v/>
          </cell>
          <cell r="AI112" t="str">
            <v/>
          </cell>
          <cell r="AK112" t="str">
            <v/>
          </cell>
          <cell r="AN112" t="str">
            <v/>
          </cell>
          <cell r="BB112" t="str">
            <v/>
          </cell>
          <cell r="BY112" t="str">
            <v/>
          </cell>
        </row>
        <row r="113">
          <cell r="J113" t="str">
            <v/>
          </cell>
          <cell r="V113" t="str">
            <v/>
          </cell>
          <cell r="AA113" t="str">
            <v/>
          </cell>
          <cell r="AC113" t="str">
            <v/>
          </cell>
          <cell r="AE113" t="str">
            <v/>
          </cell>
          <cell r="AG113" t="str">
            <v/>
          </cell>
          <cell r="AH113" t="str">
            <v/>
          </cell>
          <cell r="AI113" t="str">
            <v/>
          </cell>
          <cell r="AK113" t="str">
            <v/>
          </cell>
          <cell r="AN113" t="str">
            <v/>
          </cell>
          <cell r="BB113" t="str">
            <v/>
          </cell>
          <cell r="BY113" t="str">
            <v/>
          </cell>
        </row>
        <row r="114">
          <cell r="J114" t="str">
            <v/>
          </cell>
          <cell r="V114" t="str">
            <v/>
          </cell>
          <cell r="AA114" t="str">
            <v/>
          </cell>
          <cell r="AC114" t="str">
            <v/>
          </cell>
          <cell r="AE114" t="str">
            <v/>
          </cell>
          <cell r="AG114" t="str">
            <v/>
          </cell>
          <cell r="AH114" t="str">
            <v/>
          </cell>
          <cell r="AI114" t="str">
            <v/>
          </cell>
          <cell r="AK114" t="str">
            <v/>
          </cell>
          <cell r="AN114" t="str">
            <v/>
          </cell>
          <cell r="BB114" t="str">
            <v/>
          </cell>
          <cell r="BY114" t="str">
            <v/>
          </cell>
        </row>
        <row r="115">
          <cell r="J115" t="str">
            <v/>
          </cell>
          <cell r="V115" t="str">
            <v/>
          </cell>
          <cell r="AA115" t="str">
            <v/>
          </cell>
          <cell r="AC115" t="str">
            <v/>
          </cell>
          <cell r="AE115" t="str">
            <v/>
          </cell>
          <cell r="AG115" t="str">
            <v/>
          </cell>
          <cell r="AH115" t="str">
            <v/>
          </cell>
          <cell r="AI115" t="str">
            <v/>
          </cell>
          <cell r="AK115" t="str">
            <v/>
          </cell>
          <cell r="AN115" t="str">
            <v/>
          </cell>
          <cell r="BB115" t="str">
            <v/>
          </cell>
          <cell r="BY115" t="str">
            <v/>
          </cell>
        </row>
        <row r="116">
          <cell r="J116" t="str">
            <v/>
          </cell>
          <cell r="V116" t="str">
            <v/>
          </cell>
          <cell r="AA116" t="str">
            <v/>
          </cell>
          <cell r="AC116" t="str">
            <v/>
          </cell>
          <cell r="AE116" t="str">
            <v/>
          </cell>
          <cell r="AG116" t="str">
            <v/>
          </cell>
          <cell r="AH116" t="str">
            <v/>
          </cell>
          <cell r="AI116" t="str">
            <v/>
          </cell>
          <cell r="AK116" t="str">
            <v/>
          </cell>
          <cell r="AN116" t="str">
            <v/>
          </cell>
          <cell r="BB116" t="str">
            <v/>
          </cell>
          <cell r="BY116" t="str">
            <v/>
          </cell>
        </row>
        <row r="117">
          <cell r="J117" t="str">
            <v/>
          </cell>
          <cell r="V117" t="str">
            <v/>
          </cell>
          <cell r="AA117" t="str">
            <v/>
          </cell>
          <cell r="AC117" t="str">
            <v/>
          </cell>
          <cell r="AE117" t="str">
            <v/>
          </cell>
          <cell r="AG117" t="str">
            <v/>
          </cell>
          <cell r="AH117" t="str">
            <v/>
          </cell>
          <cell r="AI117" t="str">
            <v/>
          </cell>
          <cell r="AK117" t="str">
            <v/>
          </cell>
          <cell r="AN117" t="str">
            <v/>
          </cell>
          <cell r="BB117" t="str">
            <v/>
          </cell>
          <cell r="BY117" t="str">
            <v/>
          </cell>
        </row>
        <row r="118">
          <cell r="J118" t="str">
            <v/>
          </cell>
          <cell r="V118" t="str">
            <v/>
          </cell>
          <cell r="AA118" t="str">
            <v/>
          </cell>
          <cell r="AC118" t="str">
            <v/>
          </cell>
          <cell r="AE118" t="str">
            <v/>
          </cell>
          <cell r="AG118" t="str">
            <v/>
          </cell>
          <cell r="AH118" t="str">
            <v/>
          </cell>
          <cell r="AI118" t="str">
            <v/>
          </cell>
          <cell r="AK118" t="str">
            <v/>
          </cell>
          <cell r="AN118" t="str">
            <v/>
          </cell>
          <cell r="BB118" t="str">
            <v/>
          </cell>
          <cell r="BY118" t="str">
            <v/>
          </cell>
        </row>
        <row r="119">
          <cell r="J119" t="str">
            <v/>
          </cell>
          <cell r="V119" t="str">
            <v/>
          </cell>
          <cell r="AA119" t="str">
            <v/>
          </cell>
          <cell r="AC119" t="str">
            <v/>
          </cell>
          <cell r="AE119" t="str">
            <v/>
          </cell>
          <cell r="AG119" t="str">
            <v/>
          </cell>
          <cell r="AH119" t="str">
            <v/>
          </cell>
          <cell r="AI119" t="str">
            <v/>
          </cell>
          <cell r="AK119" t="str">
            <v/>
          </cell>
          <cell r="AN119" t="str">
            <v/>
          </cell>
          <cell r="BB119" t="str">
            <v/>
          </cell>
          <cell r="BY119" t="str">
            <v/>
          </cell>
        </row>
        <row r="120">
          <cell r="J120" t="str">
            <v/>
          </cell>
          <cell r="V120" t="str">
            <v/>
          </cell>
          <cell r="AA120" t="str">
            <v/>
          </cell>
          <cell r="AC120" t="str">
            <v/>
          </cell>
          <cell r="AE120" t="str">
            <v/>
          </cell>
          <cell r="AG120" t="str">
            <v/>
          </cell>
          <cell r="AH120" t="str">
            <v/>
          </cell>
          <cell r="AI120" t="str">
            <v/>
          </cell>
          <cell r="AK120" t="str">
            <v/>
          </cell>
          <cell r="AN120" t="str">
            <v/>
          </cell>
          <cell r="BB120" t="str">
            <v/>
          </cell>
          <cell r="BY120" t="str">
            <v/>
          </cell>
        </row>
        <row r="121">
          <cell r="J121" t="str">
            <v/>
          </cell>
          <cell r="V121" t="str">
            <v/>
          </cell>
          <cell r="AA121" t="str">
            <v/>
          </cell>
          <cell r="AC121" t="str">
            <v/>
          </cell>
          <cell r="AE121" t="str">
            <v/>
          </cell>
          <cell r="AG121" t="str">
            <v/>
          </cell>
          <cell r="AH121" t="str">
            <v/>
          </cell>
          <cell r="AI121" t="str">
            <v/>
          </cell>
          <cell r="AK121" t="str">
            <v/>
          </cell>
          <cell r="AN121" t="str">
            <v/>
          </cell>
          <cell r="BB121" t="str">
            <v/>
          </cell>
          <cell r="BY121" t="str">
            <v/>
          </cell>
        </row>
        <row r="122">
          <cell r="J122" t="str">
            <v/>
          </cell>
          <cell r="V122" t="str">
            <v/>
          </cell>
          <cell r="AA122" t="str">
            <v/>
          </cell>
          <cell r="AC122" t="str">
            <v/>
          </cell>
          <cell r="AE122" t="str">
            <v/>
          </cell>
          <cell r="AG122" t="str">
            <v/>
          </cell>
          <cell r="AH122" t="str">
            <v/>
          </cell>
          <cell r="AI122" t="str">
            <v/>
          </cell>
          <cell r="AK122" t="str">
            <v/>
          </cell>
          <cell r="AN122" t="str">
            <v/>
          </cell>
          <cell r="BB122" t="str">
            <v/>
          </cell>
          <cell r="BY122" t="str">
            <v/>
          </cell>
        </row>
        <row r="123">
          <cell r="J123" t="str">
            <v/>
          </cell>
          <cell r="V123" t="str">
            <v/>
          </cell>
          <cell r="AA123" t="str">
            <v/>
          </cell>
          <cell r="AC123" t="str">
            <v/>
          </cell>
          <cell r="AE123" t="str">
            <v/>
          </cell>
          <cell r="AG123" t="str">
            <v/>
          </cell>
          <cell r="AH123" t="str">
            <v/>
          </cell>
          <cell r="AI123" t="str">
            <v/>
          </cell>
          <cell r="AK123" t="str">
            <v/>
          </cell>
          <cell r="AN123" t="str">
            <v/>
          </cell>
          <cell r="BB123" t="str">
            <v/>
          </cell>
          <cell r="BY123" t="str">
            <v/>
          </cell>
        </row>
        <row r="124">
          <cell r="J124" t="str">
            <v/>
          </cell>
          <cell r="V124" t="str">
            <v/>
          </cell>
          <cell r="AA124" t="str">
            <v/>
          </cell>
          <cell r="AC124" t="str">
            <v/>
          </cell>
          <cell r="AE124" t="str">
            <v/>
          </cell>
          <cell r="AG124" t="str">
            <v/>
          </cell>
          <cell r="AH124" t="str">
            <v/>
          </cell>
          <cell r="AI124" t="str">
            <v/>
          </cell>
          <cell r="AK124" t="str">
            <v/>
          </cell>
          <cell r="AN124" t="str">
            <v/>
          </cell>
          <cell r="BB124" t="str">
            <v/>
          </cell>
          <cell r="BY124" t="str">
            <v/>
          </cell>
        </row>
        <row r="125">
          <cell r="J125" t="str">
            <v/>
          </cell>
          <cell r="V125" t="str">
            <v/>
          </cell>
          <cell r="AA125" t="str">
            <v/>
          </cell>
          <cell r="AC125" t="str">
            <v/>
          </cell>
          <cell r="AE125" t="str">
            <v/>
          </cell>
          <cell r="AG125" t="str">
            <v/>
          </cell>
          <cell r="AH125" t="str">
            <v/>
          </cell>
          <cell r="AI125" t="str">
            <v/>
          </cell>
          <cell r="AK125" t="str">
            <v/>
          </cell>
          <cell r="AN125" t="str">
            <v/>
          </cell>
          <cell r="BB125" t="str">
            <v/>
          </cell>
          <cell r="BY125" t="str">
            <v/>
          </cell>
        </row>
        <row r="126">
          <cell r="J126" t="str">
            <v/>
          </cell>
          <cell r="V126" t="str">
            <v/>
          </cell>
          <cell r="AA126" t="str">
            <v/>
          </cell>
          <cell r="AC126" t="str">
            <v/>
          </cell>
          <cell r="AE126" t="str">
            <v/>
          </cell>
          <cell r="AG126" t="str">
            <v/>
          </cell>
          <cell r="AH126" t="str">
            <v/>
          </cell>
          <cell r="AI126" t="str">
            <v/>
          </cell>
          <cell r="AK126" t="str">
            <v/>
          </cell>
          <cell r="AN126" t="str">
            <v/>
          </cell>
          <cell r="BB126" t="str">
            <v/>
          </cell>
          <cell r="BY126" t="str">
            <v/>
          </cell>
        </row>
        <row r="127">
          <cell r="J127" t="str">
            <v/>
          </cell>
          <cell r="V127" t="str">
            <v/>
          </cell>
          <cell r="AA127" t="str">
            <v/>
          </cell>
          <cell r="AC127" t="str">
            <v/>
          </cell>
          <cell r="AE127" t="str">
            <v/>
          </cell>
          <cell r="AG127" t="str">
            <v/>
          </cell>
          <cell r="AH127" t="str">
            <v/>
          </cell>
          <cell r="AI127" t="str">
            <v/>
          </cell>
          <cell r="AK127" t="str">
            <v/>
          </cell>
          <cell r="AN127" t="str">
            <v/>
          </cell>
          <cell r="BB127" t="str">
            <v/>
          </cell>
          <cell r="BY127" t="str">
            <v/>
          </cell>
        </row>
        <row r="128">
          <cell r="J128" t="str">
            <v/>
          </cell>
          <cell r="V128" t="str">
            <v/>
          </cell>
          <cell r="AA128" t="str">
            <v/>
          </cell>
          <cell r="AC128" t="str">
            <v/>
          </cell>
          <cell r="AE128" t="str">
            <v/>
          </cell>
          <cell r="AG128" t="str">
            <v/>
          </cell>
          <cell r="AH128" t="str">
            <v/>
          </cell>
          <cell r="AI128" t="str">
            <v/>
          </cell>
          <cell r="AK128" t="str">
            <v/>
          </cell>
          <cell r="AN128" t="str">
            <v/>
          </cell>
          <cell r="BB128" t="str">
            <v/>
          </cell>
          <cell r="BY128" t="str">
            <v/>
          </cell>
        </row>
        <row r="129">
          <cell r="J129" t="str">
            <v/>
          </cell>
          <cell r="V129" t="str">
            <v/>
          </cell>
          <cell r="AA129" t="str">
            <v/>
          </cell>
          <cell r="AC129" t="str">
            <v/>
          </cell>
          <cell r="AE129" t="str">
            <v/>
          </cell>
          <cell r="AG129" t="str">
            <v/>
          </cell>
          <cell r="AH129" t="str">
            <v/>
          </cell>
          <cell r="AI129" t="str">
            <v/>
          </cell>
          <cell r="AK129" t="str">
            <v/>
          </cell>
          <cell r="AN129" t="str">
            <v/>
          </cell>
          <cell r="BB129" t="str">
            <v/>
          </cell>
          <cell r="BY129" t="str">
            <v/>
          </cell>
        </row>
        <row r="130">
          <cell r="J130" t="str">
            <v/>
          </cell>
          <cell r="V130" t="str">
            <v/>
          </cell>
          <cell r="AA130" t="str">
            <v/>
          </cell>
          <cell r="AC130" t="str">
            <v/>
          </cell>
          <cell r="AE130" t="str">
            <v/>
          </cell>
          <cell r="AG130" t="str">
            <v/>
          </cell>
          <cell r="AH130" t="str">
            <v/>
          </cell>
          <cell r="AI130" t="str">
            <v/>
          </cell>
          <cell r="AK130" t="str">
            <v/>
          </cell>
          <cell r="AN130" t="str">
            <v/>
          </cell>
          <cell r="BB130" t="str">
            <v/>
          </cell>
          <cell r="BY130" t="str">
            <v/>
          </cell>
        </row>
        <row r="131">
          <cell r="J131" t="str">
            <v/>
          </cell>
          <cell r="V131" t="str">
            <v/>
          </cell>
          <cell r="AA131" t="str">
            <v/>
          </cell>
          <cell r="AC131" t="str">
            <v/>
          </cell>
          <cell r="AE131" t="str">
            <v/>
          </cell>
          <cell r="AG131" t="str">
            <v/>
          </cell>
          <cell r="AH131" t="str">
            <v/>
          </cell>
          <cell r="AI131" t="str">
            <v/>
          </cell>
          <cell r="AK131" t="str">
            <v/>
          </cell>
          <cell r="AN131" t="str">
            <v/>
          </cell>
          <cell r="BB131" t="str">
            <v/>
          </cell>
          <cell r="BY131" t="str">
            <v/>
          </cell>
        </row>
        <row r="132">
          <cell r="J132" t="str">
            <v/>
          </cell>
          <cell r="V132" t="str">
            <v/>
          </cell>
          <cell r="AA132" t="str">
            <v/>
          </cell>
          <cell r="AC132" t="str">
            <v/>
          </cell>
          <cell r="AE132" t="str">
            <v/>
          </cell>
          <cell r="AG132" t="str">
            <v/>
          </cell>
          <cell r="AH132" t="str">
            <v/>
          </cell>
          <cell r="AI132" t="str">
            <v/>
          </cell>
          <cell r="AK132" t="str">
            <v/>
          </cell>
          <cell r="AN132" t="str">
            <v/>
          </cell>
          <cell r="BB132" t="str">
            <v/>
          </cell>
          <cell r="BY132" t="str">
            <v/>
          </cell>
        </row>
        <row r="133">
          <cell r="J133" t="str">
            <v/>
          </cell>
          <cell r="V133" t="str">
            <v/>
          </cell>
          <cell r="AA133" t="str">
            <v/>
          </cell>
          <cell r="AC133" t="str">
            <v/>
          </cell>
          <cell r="AE133" t="str">
            <v/>
          </cell>
          <cell r="AG133" t="str">
            <v/>
          </cell>
          <cell r="AH133" t="str">
            <v/>
          </cell>
          <cell r="AI133" t="str">
            <v/>
          </cell>
          <cell r="AK133" t="str">
            <v/>
          </cell>
          <cell r="AN133" t="str">
            <v/>
          </cell>
          <cell r="BB133" t="str">
            <v/>
          </cell>
          <cell r="BY133" t="str">
            <v/>
          </cell>
        </row>
        <row r="134">
          <cell r="J134" t="str">
            <v/>
          </cell>
          <cell r="V134" t="str">
            <v/>
          </cell>
          <cell r="AA134" t="str">
            <v/>
          </cell>
          <cell r="AC134" t="str">
            <v/>
          </cell>
          <cell r="AE134" t="str">
            <v/>
          </cell>
          <cell r="AG134" t="str">
            <v/>
          </cell>
          <cell r="AH134" t="str">
            <v/>
          </cell>
          <cell r="AI134" t="str">
            <v/>
          </cell>
          <cell r="AK134" t="str">
            <v/>
          </cell>
          <cell r="AN134" t="str">
            <v/>
          </cell>
          <cell r="BB134" t="str">
            <v/>
          </cell>
          <cell r="BY134" t="str">
            <v/>
          </cell>
        </row>
        <row r="135">
          <cell r="J135" t="str">
            <v/>
          </cell>
          <cell r="V135" t="str">
            <v/>
          </cell>
          <cell r="AA135" t="str">
            <v/>
          </cell>
          <cell r="AC135" t="str">
            <v/>
          </cell>
          <cell r="AE135" t="str">
            <v/>
          </cell>
          <cell r="AG135" t="str">
            <v/>
          </cell>
          <cell r="AH135" t="str">
            <v/>
          </cell>
          <cell r="AI135" t="str">
            <v/>
          </cell>
          <cell r="AK135" t="str">
            <v/>
          </cell>
          <cell r="AN135" t="str">
            <v/>
          </cell>
          <cell r="BB135" t="str">
            <v/>
          </cell>
          <cell r="BY135" t="str">
            <v/>
          </cell>
        </row>
        <row r="136">
          <cell r="J136" t="str">
            <v/>
          </cell>
          <cell r="V136" t="str">
            <v/>
          </cell>
          <cell r="AA136" t="str">
            <v/>
          </cell>
          <cell r="AC136" t="str">
            <v/>
          </cell>
          <cell r="AE136" t="str">
            <v/>
          </cell>
          <cell r="AG136" t="str">
            <v/>
          </cell>
          <cell r="AH136" t="str">
            <v/>
          </cell>
          <cell r="AI136" t="str">
            <v/>
          </cell>
          <cell r="AK136" t="str">
            <v/>
          </cell>
          <cell r="AN136" t="str">
            <v/>
          </cell>
          <cell r="BB136" t="str">
            <v/>
          </cell>
          <cell r="BY136" t="str">
            <v/>
          </cell>
        </row>
        <row r="137">
          <cell r="J137" t="str">
            <v/>
          </cell>
          <cell r="V137" t="str">
            <v/>
          </cell>
          <cell r="AA137" t="str">
            <v/>
          </cell>
          <cell r="AC137" t="str">
            <v/>
          </cell>
          <cell r="AE137" t="str">
            <v/>
          </cell>
          <cell r="AG137" t="str">
            <v/>
          </cell>
          <cell r="AH137" t="str">
            <v/>
          </cell>
          <cell r="AI137" t="str">
            <v/>
          </cell>
          <cell r="AK137" t="str">
            <v/>
          </cell>
          <cell r="AN137" t="str">
            <v/>
          </cell>
          <cell r="BB137" t="str">
            <v/>
          </cell>
          <cell r="BY137" t="str">
            <v/>
          </cell>
        </row>
        <row r="138">
          <cell r="J138" t="str">
            <v/>
          </cell>
          <cell r="V138" t="str">
            <v/>
          </cell>
          <cell r="AA138" t="str">
            <v/>
          </cell>
          <cell r="AC138" t="str">
            <v/>
          </cell>
          <cell r="AE138" t="str">
            <v/>
          </cell>
          <cell r="AG138" t="str">
            <v/>
          </cell>
          <cell r="AH138" t="str">
            <v/>
          </cell>
          <cell r="AI138" t="str">
            <v/>
          </cell>
          <cell r="AK138" t="str">
            <v/>
          </cell>
          <cell r="AN138" t="str">
            <v/>
          </cell>
          <cell r="BB138" t="str">
            <v/>
          </cell>
          <cell r="BY138" t="str">
            <v/>
          </cell>
        </row>
        <row r="139">
          <cell r="J139" t="str">
            <v/>
          </cell>
          <cell r="V139" t="str">
            <v/>
          </cell>
          <cell r="AA139" t="str">
            <v/>
          </cell>
          <cell r="AC139" t="str">
            <v/>
          </cell>
          <cell r="AE139" t="str">
            <v/>
          </cell>
          <cell r="AG139" t="str">
            <v/>
          </cell>
          <cell r="AH139" t="str">
            <v/>
          </cell>
          <cell r="AI139" t="str">
            <v/>
          </cell>
          <cell r="AK139" t="str">
            <v/>
          </cell>
          <cell r="AN139" t="str">
            <v/>
          </cell>
          <cell r="BB139" t="str">
            <v/>
          </cell>
          <cell r="BY139" t="str">
            <v/>
          </cell>
        </row>
        <row r="140">
          <cell r="J140" t="str">
            <v/>
          </cell>
          <cell r="V140" t="str">
            <v/>
          </cell>
          <cell r="AA140" t="str">
            <v/>
          </cell>
          <cell r="AC140" t="str">
            <v/>
          </cell>
          <cell r="AE140" t="str">
            <v/>
          </cell>
          <cell r="AG140" t="str">
            <v/>
          </cell>
          <cell r="AH140" t="str">
            <v/>
          </cell>
          <cell r="AI140" t="str">
            <v/>
          </cell>
          <cell r="AK140" t="str">
            <v/>
          </cell>
          <cell r="AN140" t="str">
            <v/>
          </cell>
          <cell r="BB140" t="str">
            <v/>
          </cell>
          <cell r="BY140" t="str">
            <v/>
          </cell>
        </row>
        <row r="141">
          <cell r="J141" t="str">
            <v/>
          </cell>
          <cell r="V141" t="str">
            <v/>
          </cell>
          <cell r="AA141" t="str">
            <v/>
          </cell>
          <cell r="AC141" t="str">
            <v/>
          </cell>
          <cell r="AE141" t="str">
            <v/>
          </cell>
          <cell r="AG141" t="str">
            <v/>
          </cell>
          <cell r="AH141" t="str">
            <v/>
          </cell>
          <cell r="AI141" t="str">
            <v/>
          </cell>
          <cell r="AK141" t="str">
            <v/>
          </cell>
          <cell r="AN141" t="str">
            <v/>
          </cell>
          <cell r="BB141" t="str">
            <v/>
          </cell>
          <cell r="BY141" t="str">
            <v/>
          </cell>
        </row>
        <row r="142">
          <cell r="J142" t="str">
            <v/>
          </cell>
          <cell r="V142" t="str">
            <v/>
          </cell>
          <cell r="AA142" t="str">
            <v/>
          </cell>
          <cell r="AC142" t="str">
            <v/>
          </cell>
          <cell r="AE142" t="str">
            <v/>
          </cell>
          <cell r="AG142" t="str">
            <v/>
          </cell>
          <cell r="AH142" t="str">
            <v/>
          </cell>
          <cell r="AI142" t="str">
            <v/>
          </cell>
          <cell r="AK142" t="str">
            <v/>
          </cell>
          <cell r="AN142" t="str">
            <v/>
          </cell>
          <cell r="BB142" t="str">
            <v/>
          </cell>
          <cell r="BY142" t="str">
            <v/>
          </cell>
        </row>
        <row r="143">
          <cell r="J143" t="str">
            <v/>
          </cell>
          <cell r="V143" t="str">
            <v/>
          </cell>
          <cell r="AA143" t="str">
            <v/>
          </cell>
          <cell r="AC143" t="str">
            <v/>
          </cell>
          <cell r="AE143" t="str">
            <v/>
          </cell>
          <cell r="AG143" t="str">
            <v/>
          </cell>
          <cell r="AH143" t="str">
            <v/>
          </cell>
          <cell r="AI143" t="str">
            <v/>
          </cell>
          <cell r="AK143" t="str">
            <v/>
          </cell>
          <cell r="AN143" t="str">
            <v/>
          </cell>
          <cell r="BB143" t="str">
            <v/>
          </cell>
          <cell r="BY143" t="str">
            <v/>
          </cell>
        </row>
        <row r="144">
          <cell r="J144" t="str">
            <v/>
          </cell>
          <cell r="V144" t="str">
            <v/>
          </cell>
          <cell r="AA144" t="str">
            <v/>
          </cell>
          <cell r="AC144" t="str">
            <v/>
          </cell>
          <cell r="AE144" t="str">
            <v/>
          </cell>
          <cell r="AG144" t="str">
            <v/>
          </cell>
          <cell r="AH144" t="str">
            <v/>
          </cell>
          <cell r="AI144" t="str">
            <v/>
          </cell>
          <cell r="AK144" t="str">
            <v/>
          </cell>
          <cell r="AN144" t="str">
            <v/>
          </cell>
          <cell r="BB144" t="str">
            <v/>
          </cell>
          <cell r="BY144" t="str">
            <v/>
          </cell>
        </row>
        <row r="145">
          <cell r="J145" t="str">
            <v/>
          </cell>
          <cell r="V145" t="str">
            <v/>
          </cell>
          <cell r="AA145" t="str">
            <v/>
          </cell>
          <cell r="AC145" t="str">
            <v/>
          </cell>
          <cell r="AE145" t="str">
            <v/>
          </cell>
          <cell r="AG145" t="str">
            <v/>
          </cell>
          <cell r="AH145" t="str">
            <v/>
          </cell>
          <cell r="AI145" t="str">
            <v/>
          </cell>
          <cell r="AK145" t="str">
            <v/>
          </cell>
          <cell r="AN145" t="str">
            <v/>
          </cell>
          <cell r="BB145" t="str">
            <v/>
          </cell>
          <cell r="BY145" t="str">
            <v/>
          </cell>
        </row>
        <row r="146">
          <cell r="J146" t="str">
            <v/>
          </cell>
          <cell r="V146" t="str">
            <v/>
          </cell>
          <cell r="AA146" t="str">
            <v/>
          </cell>
          <cell r="AC146" t="str">
            <v/>
          </cell>
          <cell r="AE146" t="str">
            <v/>
          </cell>
          <cell r="AG146" t="str">
            <v/>
          </cell>
          <cell r="AH146" t="str">
            <v/>
          </cell>
          <cell r="AI146" t="str">
            <v/>
          </cell>
          <cell r="AK146" t="str">
            <v/>
          </cell>
          <cell r="AN146" t="str">
            <v/>
          </cell>
          <cell r="BB146" t="str">
            <v/>
          </cell>
          <cell r="BY146" t="str">
            <v/>
          </cell>
        </row>
        <row r="147">
          <cell r="J147" t="str">
            <v/>
          </cell>
          <cell r="V147" t="str">
            <v/>
          </cell>
          <cell r="AA147" t="str">
            <v/>
          </cell>
          <cell r="AC147" t="str">
            <v/>
          </cell>
          <cell r="AE147" t="str">
            <v/>
          </cell>
          <cell r="AG147" t="str">
            <v/>
          </cell>
          <cell r="AH147" t="str">
            <v/>
          </cell>
          <cell r="AI147" t="str">
            <v/>
          </cell>
          <cell r="AK147" t="str">
            <v/>
          </cell>
          <cell r="AN147" t="str">
            <v/>
          </cell>
          <cell r="BB147" t="str">
            <v/>
          </cell>
          <cell r="BY147" t="str">
            <v/>
          </cell>
        </row>
        <row r="148">
          <cell r="J148" t="str">
            <v/>
          </cell>
          <cell r="V148" t="str">
            <v/>
          </cell>
          <cell r="AA148" t="str">
            <v/>
          </cell>
          <cell r="AC148" t="str">
            <v/>
          </cell>
          <cell r="AE148" t="str">
            <v/>
          </cell>
          <cell r="AG148" t="str">
            <v/>
          </cell>
          <cell r="AH148" t="str">
            <v/>
          </cell>
          <cell r="AI148" t="str">
            <v/>
          </cell>
          <cell r="AK148" t="str">
            <v/>
          </cell>
          <cell r="AN148" t="str">
            <v/>
          </cell>
          <cell r="BB148" t="str">
            <v/>
          </cell>
          <cell r="BY148" t="str">
            <v/>
          </cell>
        </row>
        <row r="149">
          <cell r="J149" t="str">
            <v/>
          </cell>
          <cell r="V149" t="str">
            <v/>
          </cell>
          <cell r="AA149" t="str">
            <v/>
          </cell>
          <cell r="AC149" t="str">
            <v/>
          </cell>
          <cell r="AE149" t="str">
            <v/>
          </cell>
          <cell r="AG149" t="str">
            <v/>
          </cell>
          <cell r="AH149" t="str">
            <v/>
          </cell>
          <cell r="AI149" t="str">
            <v/>
          </cell>
          <cell r="AK149" t="str">
            <v/>
          </cell>
          <cell r="AN149" t="str">
            <v/>
          </cell>
          <cell r="BB149" t="str">
            <v/>
          </cell>
          <cell r="BY149" t="str">
            <v/>
          </cell>
        </row>
        <row r="150">
          <cell r="J150" t="str">
            <v/>
          </cell>
          <cell r="V150" t="str">
            <v/>
          </cell>
          <cell r="AA150" t="str">
            <v/>
          </cell>
          <cell r="AC150" t="str">
            <v/>
          </cell>
          <cell r="AE150" t="str">
            <v/>
          </cell>
          <cell r="AG150" t="str">
            <v/>
          </cell>
          <cell r="AH150" t="str">
            <v/>
          </cell>
          <cell r="AI150" t="str">
            <v/>
          </cell>
          <cell r="AK150" t="str">
            <v/>
          </cell>
          <cell r="AN150" t="str">
            <v/>
          </cell>
          <cell r="BB150" t="str">
            <v/>
          </cell>
          <cell r="BY150" t="str">
            <v/>
          </cell>
        </row>
        <row r="151">
          <cell r="J151" t="str">
            <v/>
          </cell>
          <cell r="V151" t="str">
            <v/>
          </cell>
          <cell r="AA151" t="str">
            <v/>
          </cell>
          <cell r="AC151" t="str">
            <v/>
          </cell>
          <cell r="AE151" t="str">
            <v/>
          </cell>
          <cell r="AG151" t="str">
            <v/>
          </cell>
          <cell r="AH151" t="str">
            <v/>
          </cell>
          <cell r="AI151" t="str">
            <v/>
          </cell>
          <cell r="AK151" t="str">
            <v/>
          </cell>
          <cell r="AN151" t="str">
            <v/>
          </cell>
          <cell r="BB151" t="str">
            <v/>
          </cell>
          <cell r="BY151" t="str">
            <v/>
          </cell>
        </row>
        <row r="152">
          <cell r="J152" t="str">
            <v/>
          </cell>
          <cell r="V152" t="str">
            <v/>
          </cell>
          <cell r="AA152" t="str">
            <v/>
          </cell>
          <cell r="AC152" t="str">
            <v/>
          </cell>
          <cell r="AE152" t="str">
            <v/>
          </cell>
          <cell r="AG152" t="str">
            <v/>
          </cell>
          <cell r="AH152" t="str">
            <v/>
          </cell>
          <cell r="AI152" t="str">
            <v/>
          </cell>
          <cell r="AK152" t="str">
            <v/>
          </cell>
          <cell r="AN152" t="str">
            <v/>
          </cell>
          <cell r="BB152" t="str">
            <v/>
          </cell>
          <cell r="BY152" t="str">
            <v/>
          </cell>
        </row>
        <row r="153">
          <cell r="J153" t="str">
            <v/>
          </cell>
          <cell r="V153" t="str">
            <v/>
          </cell>
          <cell r="AA153" t="str">
            <v/>
          </cell>
          <cell r="AC153" t="str">
            <v/>
          </cell>
          <cell r="AE153" t="str">
            <v/>
          </cell>
          <cell r="AG153" t="str">
            <v/>
          </cell>
          <cell r="AH153" t="str">
            <v/>
          </cell>
          <cell r="AI153" t="str">
            <v/>
          </cell>
          <cell r="AK153" t="str">
            <v/>
          </cell>
          <cell r="AN153" t="str">
            <v/>
          </cell>
          <cell r="BB153" t="str">
            <v/>
          </cell>
          <cell r="BY153" t="str">
            <v/>
          </cell>
        </row>
        <row r="154">
          <cell r="J154" t="str">
            <v/>
          </cell>
          <cell r="V154" t="str">
            <v/>
          </cell>
          <cell r="AA154" t="str">
            <v/>
          </cell>
          <cell r="AC154" t="str">
            <v/>
          </cell>
          <cell r="AE154" t="str">
            <v/>
          </cell>
          <cell r="AG154" t="str">
            <v/>
          </cell>
          <cell r="AH154" t="str">
            <v/>
          </cell>
          <cell r="AI154" t="str">
            <v/>
          </cell>
          <cell r="AK154" t="str">
            <v/>
          </cell>
          <cell r="AN154" t="str">
            <v/>
          </cell>
          <cell r="BB154" t="str">
            <v/>
          </cell>
          <cell r="BY154" t="str">
            <v/>
          </cell>
        </row>
        <row r="155">
          <cell r="J155" t="str">
            <v/>
          </cell>
          <cell r="V155" t="str">
            <v/>
          </cell>
          <cell r="AA155" t="str">
            <v/>
          </cell>
          <cell r="AC155" t="str">
            <v/>
          </cell>
          <cell r="AE155" t="str">
            <v/>
          </cell>
          <cell r="AG155" t="str">
            <v/>
          </cell>
          <cell r="AH155" t="str">
            <v/>
          </cell>
          <cell r="AI155" t="str">
            <v/>
          </cell>
          <cell r="AK155" t="str">
            <v/>
          </cell>
          <cell r="AN155" t="str">
            <v/>
          </cell>
          <cell r="BB155" t="str">
            <v/>
          </cell>
          <cell r="BY155" t="str">
            <v/>
          </cell>
        </row>
        <row r="156">
          <cell r="J156" t="str">
            <v/>
          </cell>
          <cell r="V156" t="str">
            <v/>
          </cell>
          <cell r="AA156" t="str">
            <v/>
          </cell>
          <cell r="AC156" t="str">
            <v/>
          </cell>
          <cell r="AE156" t="str">
            <v/>
          </cell>
          <cell r="AG156" t="str">
            <v/>
          </cell>
          <cell r="AH156" t="str">
            <v/>
          </cell>
          <cell r="AI156" t="str">
            <v/>
          </cell>
          <cell r="AK156" t="str">
            <v/>
          </cell>
          <cell r="AN156" t="str">
            <v/>
          </cell>
          <cell r="BB156" t="str">
            <v/>
          </cell>
          <cell r="BY156" t="str">
            <v/>
          </cell>
        </row>
        <row r="157">
          <cell r="J157" t="str">
            <v/>
          </cell>
          <cell r="V157" t="str">
            <v/>
          </cell>
          <cell r="AA157" t="str">
            <v/>
          </cell>
          <cell r="AC157" t="str">
            <v/>
          </cell>
          <cell r="AE157" t="str">
            <v/>
          </cell>
          <cell r="AG157" t="str">
            <v/>
          </cell>
          <cell r="AH157" t="str">
            <v/>
          </cell>
          <cell r="AI157" t="str">
            <v/>
          </cell>
          <cell r="AK157" t="str">
            <v/>
          </cell>
          <cell r="AN157" t="str">
            <v/>
          </cell>
          <cell r="BB157" t="str">
            <v/>
          </cell>
          <cell r="BY157" t="str">
            <v/>
          </cell>
        </row>
        <row r="158">
          <cell r="J158" t="str">
            <v/>
          </cell>
          <cell r="V158" t="str">
            <v/>
          </cell>
          <cell r="AA158" t="str">
            <v/>
          </cell>
          <cell r="AC158" t="str">
            <v/>
          </cell>
          <cell r="AE158" t="str">
            <v/>
          </cell>
          <cell r="AG158" t="str">
            <v/>
          </cell>
          <cell r="AH158" t="str">
            <v/>
          </cell>
          <cell r="AI158" t="str">
            <v/>
          </cell>
          <cell r="AK158" t="str">
            <v/>
          </cell>
          <cell r="AN158" t="str">
            <v/>
          </cell>
          <cell r="BB158" t="str">
            <v/>
          </cell>
          <cell r="BY158" t="str">
            <v/>
          </cell>
        </row>
        <row r="159">
          <cell r="J159" t="str">
            <v/>
          </cell>
          <cell r="V159" t="str">
            <v/>
          </cell>
          <cell r="AA159" t="str">
            <v/>
          </cell>
          <cell r="AC159" t="str">
            <v/>
          </cell>
          <cell r="AE159" t="str">
            <v/>
          </cell>
          <cell r="AG159" t="str">
            <v/>
          </cell>
          <cell r="AH159" t="str">
            <v/>
          </cell>
          <cell r="AI159" t="str">
            <v/>
          </cell>
          <cell r="AK159" t="str">
            <v/>
          </cell>
          <cell r="AN159" t="str">
            <v/>
          </cell>
          <cell r="BB159" t="str">
            <v/>
          </cell>
          <cell r="BY159" t="str">
            <v/>
          </cell>
        </row>
        <row r="160">
          <cell r="J160" t="str">
            <v/>
          </cell>
          <cell r="V160" t="str">
            <v/>
          </cell>
          <cell r="AA160" t="str">
            <v/>
          </cell>
          <cell r="AC160" t="str">
            <v/>
          </cell>
          <cell r="AE160" t="str">
            <v/>
          </cell>
          <cell r="AG160" t="str">
            <v/>
          </cell>
          <cell r="AH160" t="str">
            <v/>
          </cell>
          <cell r="AI160" t="str">
            <v/>
          </cell>
          <cell r="AK160" t="str">
            <v/>
          </cell>
          <cell r="AN160" t="str">
            <v/>
          </cell>
          <cell r="BB160" t="str">
            <v/>
          </cell>
          <cell r="BY160" t="str">
            <v/>
          </cell>
        </row>
        <row r="161">
          <cell r="J161" t="str">
            <v/>
          </cell>
          <cell r="V161" t="str">
            <v/>
          </cell>
          <cell r="AA161" t="str">
            <v/>
          </cell>
          <cell r="AC161" t="str">
            <v/>
          </cell>
          <cell r="AE161" t="str">
            <v/>
          </cell>
          <cell r="AG161" t="str">
            <v/>
          </cell>
          <cell r="AH161" t="str">
            <v/>
          </cell>
          <cell r="AI161" t="str">
            <v/>
          </cell>
          <cell r="AK161" t="str">
            <v/>
          </cell>
          <cell r="AN161" t="str">
            <v/>
          </cell>
          <cell r="BB161" t="str">
            <v/>
          </cell>
          <cell r="BY161" t="str">
            <v/>
          </cell>
        </row>
        <row r="162">
          <cell r="J162" t="str">
            <v/>
          </cell>
          <cell r="V162" t="str">
            <v/>
          </cell>
          <cell r="AA162" t="str">
            <v/>
          </cell>
          <cell r="AC162" t="str">
            <v/>
          </cell>
          <cell r="AE162" t="str">
            <v/>
          </cell>
          <cell r="AG162" t="str">
            <v/>
          </cell>
          <cell r="AH162" t="str">
            <v/>
          </cell>
          <cell r="AI162" t="str">
            <v/>
          </cell>
          <cell r="AK162" t="str">
            <v/>
          </cell>
          <cell r="AN162" t="str">
            <v/>
          </cell>
          <cell r="BB162" t="str">
            <v/>
          </cell>
          <cell r="BY162" t="str">
            <v/>
          </cell>
        </row>
        <row r="163">
          <cell r="J163" t="str">
            <v/>
          </cell>
          <cell r="V163" t="str">
            <v/>
          </cell>
          <cell r="AA163" t="str">
            <v/>
          </cell>
          <cell r="AC163" t="str">
            <v/>
          </cell>
          <cell r="AE163" t="str">
            <v/>
          </cell>
          <cell r="AG163" t="str">
            <v/>
          </cell>
          <cell r="AH163" t="str">
            <v/>
          </cell>
          <cell r="AI163" t="str">
            <v/>
          </cell>
          <cell r="AK163" t="str">
            <v/>
          </cell>
          <cell r="AN163" t="str">
            <v/>
          </cell>
          <cell r="BB163" t="str">
            <v/>
          </cell>
          <cell r="BY163" t="str">
            <v/>
          </cell>
        </row>
        <row r="164">
          <cell r="J164" t="str">
            <v/>
          </cell>
          <cell r="V164" t="str">
            <v/>
          </cell>
          <cell r="AA164" t="str">
            <v/>
          </cell>
          <cell r="AC164" t="str">
            <v/>
          </cell>
          <cell r="AE164" t="str">
            <v/>
          </cell>
          <cell r="AG164" t="str">
            <v/>
          </cell>
          <cell r="AH164" t="str">
            <v/>
          </cell>
          <cell r="AI164" t="str">
            <v/>
          </cell>
          <cell r="AK164" t="str">
            <v/>
          </cell>
          <cell r="AN164" t="str">
            <v/>
          </cell>
          <cell r="BB164" t="str">
            <v/>
          </cell>
          <cell r="BY164" t="str">
            <v/>
          </cell>
        </row>
        <row r="165">
          <cell r="J165" t="str">
            <v/>
          </cell>
          <cell r="V165" t="str">
            <v/>
          </cell>
          <cell r="AA165" t="str">
            <v/>
          </cell>
          <cell r="AC165" t="str">
            <v/>
          </cell>
          <cell r="AE165" t="str">
            <v/>
          </cell>
          <cell r="AG165" t="str">
            <v/>
          </cell>
          <cell r="AH165" t="str">
            <v/>
          </cell>
          <cell r="AI165" t="str">
            <v/>
          </cell>
          <cell r="AK165" t="str">
            <v/>
          </cell>
          <cell r="AN165" t="str">
            <v/>
          </cell>
          <cell r="BB165" t="str">
            <v/>
          </cell>
          <cell r="BY165" t="str">
            <v/>
          </cell>
        </row>
        <row r="166">
          <cell r="J166" t="str">
            <v/>
          </cell>
          <cell r="V166" t="str">
            <v/>
          </cell>
          <cell r="AA166" t="str">
            <v/>
          </cell>
          <cell r="AC166" t="str">
            <v/>
          </cell>
          <cell r="AE166" t="str">
            <v/>
          </cell>
          <cell r="AG166" t="str">
            <v/>
          </cell>
          <cell r="AH166" t="str">
            <v/>
          </cell>
          <cell r="AI166" t="str">
            <v/>
          </cell>
          <cell r="AK166" t="str">
            <v/>
          </cell>
          <cell r="AN166" t="str">
            <v/>
          </cell>
          <cell r="BB166" t="str">
            <v/>
          </cell>
          <cell r="BY166" t="str">
            <v/>
          </cell>
        </row>
        <row r="167">
          <cell r="J167" t="str">
            <v/>
          </cell>
          <cell r="V167" t="str">
            <v/>
          </cell>
          <cell r="AA167" t="str">
            <v/>
          </cell>
          <cell r="AC167" t="str">
            <v/>
          </cell>
          <cell r="AE167" t="str">
            <v/>
          </cell>
          <cell r="AG167" t="str">
            <v/>
          </cell>
          <cell r="AH167" t="str">
            <v/>
          </cell>
          <cell r="AI167" t="str">
            <v/>
          </cell>
          <cell r="AK167" t="str">
            <v/>
          </cell>
          <cell r="AN167" t="str">
            <v/>
          </cell>
          <cell r="BB167" t="str">
            <v/>
          </cell>
          <cell r="BY167" t="str">
            <v/>
          </cell>
        </row>
        <row r="168">
          <cell r="J168" t="str">
            <v/>
          </cell>
          <cell r="V168" t="str">
            <v/>
          </cell>
          <cell r="AA168" t="str">
            <v/>
          </cell>
          <cell r="AC168" t="str">
            <v/>
          </cell>
          <cell r="AE168" t="str">
            <v/>
          </cell>
          <cell r="AG168" t="str">
            <v/>
          </cell>
          <cell r="AH168" t="str">
            <v/>
          </cell>
          <cell r="AI168" t="str">
            <v/>
          </cell>
          <cell r="AK168" t="str">
            <v/>
          </cell>
          <cell r="AN168" t="str">
            <v/>
          </cell>
          <cell r="BB168" t="str">
            <v/>
          </cell>
          <cell r="BY168" t="str">
            <v/>
          </cell>
        </row>
        <row r="169">
          <cell r="J169" t="str">
            <v/>
          </cell>
          <cell r="V169" t="str">
            <v/>
          </cell>
          <cell r="AA169" t="str">
            <v/>
          </cell>
          <cell r="AC169" t="str">
            <v/>
          </cell>
          <cell r="AE169" t="str">
            <v/>
          </cell>
          <cell r="AG169" t="str">
            <v/>
          </cell>
          <cell r="AH169" t="str">
            <v/>
          </cell>
          <cell r="AI169" t="str">
            <v/>
          </cell>
          <cell r="AK169" t="str">
            <v/>
          </cell>
          <cell r="AN169" t="str">
            <v/>
          </cell>
          <cell r="BB169" t="str">
            <v/>
          </cell>
          <cell r="BY169" t="str">
            <v/>
          </cell>
        </row>
        <row r="170">
          <cell r="J170" t="str">
            <v/>
          </cell>
          <cell r="V170" t="str">
            <v/>
          </cell>
          <cell r="AA170" t="str">
            <v/>
          </cell>
          <cell r="AC170" t="str">
            <v/>
          </cell>
          <cell r="AE170" t="str">
            <v/>
          </cell>
          <cell r="AG170" t="str">
            <v/>
          </cell>
          <cell r="AH170" t="str">
            <v/>
          </cell>
          <cell r="AI170" t="str">
            <v/>
          </cell>
          <cell r="AK170" t="str">
            <v/>
          </cell>
          <cell r="AN170" t="str">
            <v/>
          </cell>
          <cell r="BB170" t="str">
            <v/>
          </cell>
          <cell r="BY170" t="str">
            <v/>
          </cell>
        </row>
        <row r="171">
          <cell r="J171" t="str">
            <v/>
          </cell>
          <cell r="V171" t="str">
            <v/>
          </cell>
          <cell r="AA171" t="str">
            <v/>
          </cell>
          <cell r="AC171" t="str">
            <v/>
          </cell>
          <cell r="AE171" t="str">
            <v/>
          </cell>
          <cell r="AG171" t="str">
            <v/>
          </cell>
          <cell r="AH171" t="str">
            <v/>
          </cell>
          <cell r="AI171" t="str">
            <v/>
          </cell>
          <cell r="AK171" t="str">
            <v/>
          </cell>
          <cell r="AN171" t="str">
            <v/>
          </cell>
          <cell r="BB171" t="str">
            <v/>
          </cell>
          <cell r="BY171" t="str">
            <v/>
          </cell>
        </row>
        <row r="172">
          <cell r="J172" t="str">
            <v/>
          </cell>
          <cell r="V172" t="str">
            <v/>
          </cell>
          <cell r="AA172" t="str">
            <v/>
          </cell>
          <cell r="AC172" t="str">
            <v/>
          </cell>
          <cell r="AE172" t="str">
            <v/>
          </cell>
          <cell r="AG172" t="str">
            <v/>
          </cell>
          <cell r="AH172" t="str">
            <v/>
          </cell>
          <cell r="AI172" t="str">
            <v/>
          </cell>
          <cell r="AK172" t="str">
            <v/>
          </cell>
          <cell r="AN172" t="str">
            <v/>
          </cell>
          <cell r="BB172" t="str">
            <v/>
          </cell>
          <cell r="BY172" t="str">
            <v/>
          </cell>
        </row>
        <row r="173">
          <cell r="J173" t="str">
            <v/>
          </cell>
          <cell r="V173" t="str">
            <v/>
          </cell>
          <cell r="AA173" t="str">
            <v/>
          </cell>
          <cell r="AC173" t="str">
            <v/>
          </cell>
          <cell r="AE173" t="str">
            <v/>
          </cell>
          <cell r="AG173" t="str">
            <v/>
          </cell>
          <cell r="AH173" t="str">
            <v/>
          </cell>
          <cell r="AI173" t="str">
            <v/>
          </cell>
          <cell r="AK173" t="str">
            <v/>
          </cell>
          <cell r="AN173" t="str">
            <v/>
          </cell>
          <cell r="BB173" t="str">
            <v/>
          </cell>
          <cell r="BY173" t="str">
            <v/>
          </cell>
        </row>
        <row r="174">
          <cell r="J174" t="str">
            <v/>
          </cell>
          <cell r="V174" t="str">
            <v/>
          </cell>
          <cell r="AA174" t="str">
            <v/>
          </cell>
          <cell r="AC174" t="str">
            <v/>
          </cell>
          <cell r="AE174" t="str">
            <v/>
          </cell>
          <cell r="AG174" t="str">
            <v/>
          </cell>
          <cell r="AH174" t="str">
            <v/>
          </cell>
          <cell r="AI174" t="str">
            <v/>
          </cell>
          <cell r="AK174" t="str">
            <v/>
          </cell>
          <cell r="AN174" t="str">
            <v/>
          </cell>
          <cell r="BB174" t="str">
            <v/>
          </cell>
          <cell r="BY174" t="str">
            <v/>
          </cell>
        </row>
        <row r="175">
          <cell r="J175" t="str">
            <v/>
          </cell>
          <cell r="V175" t="str">
            <v/>
          </cell>
          <cell r="AA175" t="str">
            <v/>
          </cell>
          <cell r="AC175" t="str">
            <v/>
          </cell>
          <cell r="AE175" t="str">
            <v/>
          </cell>
          <cell r="AG175" t="str">
            <v/>
          </cell>
          <cell r="AH175" t="str">
            <v/>
          </cell>
          <cell r="AI175" t="str">
            <v/>
          </cell>
          <cell r="AK175" t="str">
            <v/>
          </cell>
          <cell r="AN175" t="str">
            <v/>
          </cell>
          <cell r="BB175" t="str">
            <v/>
          </cell>
          <cell r="BY175" t="str">
            <v/>
          </cell>
        </row>
        <row r="176">
          <cell r="J176" t="str">
            <v/>
          </cell>
          <cell r="V176" t="str">
            <v/>
          </cell>
          <cell r="AA176" t="str">
            <v/>
          </cell>
          <cell r="AC176" t="str">
            <v/>
          </cell>
          <cell r="AE176" t="str">
            <v/>
          </cell>
          <cell r="AG176" t="str">
            <v/>
          </cell>
          <cell r="AH176" t="str">
            <v/>
          </cell>
          <cell r="AI176" t="str">
            <v/>
          </cell>
          <cell r="AK176" t="str">
            <v/>
          </cell>
          <cell r="AN176" t="str">
            <v/>
          </cell>
          <cell r="BB176" t="str">
            <v/>
          </cell>
          <cell r="BY176" t="str">
            <v/>
          </cell>
        </row>
        <row r="177">
          <cell r="J177" t="str">
            <v/>
          </cell>
          <cell r="V177" t="str">
            <v/>
          </cell>
          <cell r="AA177" t="str">
            <v/>
          </cell>
          <cell r="AC177" t="str">
            <v/>
          </cell>
          <cell r="AE177" t="str">
            <v/>
          </cell>
          <cell r="AG177" t="str">
            <v/>
          </cell>
          <cell r="AH177" t="str">
            <v/>
          </cell>
          <cell r="AI177" t="str">
            <v/>
          </cell>
          <cell r="AK177" t="str">
            <v/>
          </cell>
          <cell r="AN177" t="str">
            <v/>
          </cell>
          <cell r="BB177" t="str">
            <v/>
          </cell>
          <cell r="BY177" t="str">
            <v/>
          </cell>
        </row>
        <row r="178">
          <cell r="J178" t="str">
            <v/>
          </cell>
          <cell r="V178" t="str">
            <v/>
          </cell>
          <cell r="AA178" t="str">
            <v/>
          </cell>
          <cell r="AC178" t="str">
            <v/>
          </cell>
          <cell r="AE178" t="str">
            <v/>
          </cell>
          <cell r="AG178" t="str">
            <v/>
          </cell>
          <cell r="AH178" t="str">
            <v/>
          </cell>
          <cell r="AI178" t="str">
            <v/>
          </cell>
          <cell r="AK178" t="str">
            <v/>
          </cell>
          <cell r="AN178" t="str">
            <v/>
          </cell>
          <cell r="BB178" t="str">
            <v/>
          </cell>
          <cell r="BY178" t="str">
            <v/>
          </cell>
        </row>
        <row r="179">
          <cell r="J179" t="str">
            <v/>
          </cell>
          <cell r="V179" t="str">
            <v/>
          </cell>
          <cell r="AA179" t="str">
            <v/>
          </cell>
          <cell r="AC179" t="str">
            <v/>
          </cell>
          <cell r="AE179" t="str">
            <v/>
          </cell>
          <cell r="AG179" t="str">
            <v/>
          </cell>
          <cell r="AH179" t="str">
            <v/>
          </cell>
          <cell r="AI179" t="str">
            <v/>
          </cell>
          <cell r="AK179" t="str">
            <v/>
          </cell>
          <cell r="AN179" t="str">
            <v/>
          </cell>
          <cell r="BB179" t="str">
            <v/>
          </cell>
          <cell r="BY179" t="str">
            <v/>
          </cell>
        </row>
        <row r="180">
          <cell r="J180" t="str">
            <v/>
          </cell>
          <cell r="V180" t="str">
            <v/>
          </cell>
          <cell r="AA180" t="str">
            <v/>
          </cell>
          <cell r="AC180" t="str">
            <v/>
          </cell>
          <cell r="AE180" t="str">
            <v/>
          </cell>
          <cell r="AG180" t="str">
            <v/>
          </cell>
          <cell r="AH180" t="str">
            <v/>
          </cell>
          <cell r="AI180" t="str">
            <v/>
          </cell>
          <cell r="AK180" t="str">
            <v/>
          </cell>
          <cell r="AN180" t="str">
            <v/>
          </cell>
          <cell r="BB180" t="str">
            <v/>
          </cell>
          <cell r="BY180" t="str">
            <v/>
          </cell>
        </row>
        <row r="181">
          <cell r="J181" t="str">
            <v/>
          </cell>
          <cell r="V181" t="str">
            <v/>
          </cell>
          <cell r="AA181" t="str">
            <v/>
          </cell>
          <cell r="AC181" t="str">
            <v/>
          </cell>
          <cell r="AE181" t="str">
            <v/>
          </cell>
          <cell r="AG181" t="str">
            <v/>
          </cell>
          <cell r="AH181" t="str">
            <v/>
          </cell>
          <cell r="AI181" t="str">
            <v/>
          </cell>
          <cell r="AK181" t="str">
            <v/>
          </cell>
          <cell r="AN181" t="str">
            <v/>
          </cell>
          <cell r="BB181" t="str">
            <v/>
          </cell>
          <cell r="BY181" t="str">
            <v/>
          </cell>
        </row>
        <row r="182">
          <cell r="J182" t="str">
            <v/>
          </cell>
          <cell r="V182" t="str">
            <v/>
          </cell>
          <cell r="AA182" t="str">
            <v/>
          </cell>
          <cell r="AC182" t="str">
            <v/>
          </cell>
          <cell r="AE182" t="str">
            <v/>
          </cell>
          <cell r="AG182" t="str">
            <v/>
          </cell>
          <cell r="AH182" t="str">
            <v/>
          </cell>
          <cell r="AI182" t="str">
            <v/>
          </cell>
          <cell r="AK182" t="str">
            <v/>
          </cell>
          <cell r="AN182" t="str">
            <v/>
          </cell>
          <cell r="BB182" t="str">
            <v/>
          </cell>
          <cell r="BY182" t="str">
            <v/>
          </cell>
        </row>
        <row r="183">
          <cell r="J183" t="str">
            <v/>
          </cell>
          <cell r="V183" t="str">
            <v/>
          </cell>
          <cell r="AA183" t="str">
            <v/>
          </cell>
          <cell r="AC183" t="str">
            <v/>
          </cell>
          <cell r="AE183" t="str">
            <v/>
          </cell>
          <cell r="AG183" t="str">
            <v/>
          </cell>
          <cell r="AH183" t="str">
            <v/>
          </cell>
          <cell r="AI183" t="str">
            <v/>
          </cell>
          <cell r="AK183" t="str">
            <v/>
          </cell>
          <cell r="AN183" t="str">
            <v/>
          </cell>
          <cell r="BB183" t="str">
            <v/>
          </cell>
          <cell r="BY183" t="str">
            <v/>
          </cell>
        </row>
        <row r="184">
          <cell r="J184" t="str">
            <v/>
          </cell>
          <cell r="V184" t="str">
            <v/>
          </cell>
          <cell r="AA184" t="str">
            <v/>
          </cell>
          <cell r="AC184" t="str">
            <v/>
          </cell>
          <cell r="AE184" t="str">
            <v/>
          </cell>
          <cell r="AG184" t="str">
            <v/>
          </cell>
          <cell r="AH184" t="str">
            <v/>
          </cell>
          <cell r="AI184" t="str">
            <v/>
          </cell>
          <cell r="AK184" t="str">
            <v/>
          </cell>
          <cell r="AN184" t="str">
            <v/>
          </cell>
          <cell r="BB184" t="str">
            <v/>
          </cell>
          <cell r="BY184" t="str">
            <v/>
          </cell>
        </row>
        <row r="185">
          <cell r="J185" t="str">
            <v/>
          </cell>
          <cell r="V185" t="str">
            <v/>
          </cell>
          <cell r="AA185" t="str">
            <v/>
          </cell>
          <cell r="AC185" t="str">
            <v/>
          </cell>
          <cell r="AE185" t="str">
            <v/>
          </cell>
          <cell r="AG185" t="str">
            <v/>
          </cell>
          <cell r="AH185" t="str">
            <v/>
          </cell>
          <cell r="AI185" t="str">
            <v/>
          </cell>
          <cell r="AK185" t="str">
            <v/>
          </cell>
          <cell r="AN185" t="str">
            <v/>
          </cell>
          <cell r="BB185" t="str">
            <v/>
          </cell>
          <cell r="BY185" t="str">
            <v/>
          </cell>
        </row>
        <row r="186">
          <cell r="J186" t="str">
            <v/>
          </cell>
          <cell r="V186" t="str">
            <v/>
          </cell>
          <cell r="AA186" t="str">
            <v/>
          </cell>
          <cell r="AC186" t="str">
            <v/>
          </cell>
          <cell r="AE186" t="str">
            <v/>
          </cell>
          <cell r="AG186" t="str">
            <v/>
          </cell>
          <cell r="AH186" t="str">
            <v/>
          </cell>
          <cell r="AI186" t="str">
            <v/>
          </cell>
          <cell r="AK186" t="str">
            <v/>
          </cell>
          <cell r="AN186" t="str">
            <v/>
          </cell>
          <cell r="BB186" t="str">
            <v/>
          </cell>
          <cell r="BY186" t="str">
            <v/>
          </cell>
        </row>
        <row r="187">
          <cell r="J187" t="str">
            <v/>
          </cell>
          <cell r="V187" t="str">
            <v/>
          </cell>
          <cell r="AA187" t="str">
            <v/>
          </cell>
          <cell r="AC187" t="str">
            <v/>
          </cell>
          <cell r="AE187" t="str">
            <v/>
          </cell>
          <cell r="AG187" t="str">
            <v/>
          </cell>
          <cell r="AH187" t="str">
            <v/>
          </cell>
          <cell r="AI187" t="str">
            <v/>
          </cell>
          <cell r="AK187" t="str">
            <v/>
          </cell>
          <cell r="AN187" t="str">
            <v/>
          </cell>
          <cell r="BB187" t="str">
            <v/>
          </cell>
          <cell r="BY187" t="str">
            <v/>
          </cell>
        </row>
        <row r="188">
          <cell r="J188" t="str">
            <v/>
          </cell>
          <cell r="V188" t="str">
            <v/>
          </cell>
          <cell r="AA188" t="str">
            <v/>
          </cell>
          <cell r="AC188" t="str">
            <v/>
          </cell>
          <cell r="AE188" t="str">
            <v/>
          </cell>
          <cell r="AG188" t="str">
            <v/>
          </cell>
          <cell r="AH188" t="str">
            <v/>
          </cell>
          <cell r="AI188" t="str">
            <v/>
          </cell>
          <cell r="AK188" t="str">
            <v/>
          </cell>
          <cell r="AN188" t="str">
            <v/>
          </cell>
          <cell r="BB188" t="str">
            <v/>
          </cell>
          <cell r="BY188" t="str">
            <v/>
          </cell>
        </row>
        <row r="189">
          <cell r="J189" t="str">
            <v/>
          </cell>
          <cell r="V189" t="str">
            <v/>
          </cell>
          <cell r="AA189" t="str">
            <v/>
          </cell>
          <cell r="AC189" t="str">
            <v/>
          </cell>
          <cell r="AE189" t="str">
            <v/>
          </cell>
          <cell r="AG189" t="str">
            <v/>
          </cell>
          <cell r="AH189" t="str">
            <v/>
          </cell>
          <cell r="AI189" t="str">
            <v/>
          </cell>
          <cell r="AK189" t="str">
            <v/>
          </cell>
          <cell r="AN189" t="str">
            <v/>
          </cell>
          <cell r="BB189" t="str">
            <v/>
          </cell>
          <cell r="BY189" t="str">
            <v/>
          </cell>
        </row>
        <row r="190">
          <cell r="J190" t="str">
            <v/>
          </cell>
          <cell r="V190" t="str">
            <v/>
          </cell>
          <cell r="AA190" t="str">
            <v/>
          </cell>
          <cell r="AC190" t="str">
            <v/>
          </cell>
          <cell r="AE190" t="str">
            <v/>
          </cell>
          <cell r="AG190" t="str">
            <v/>
          </cell>
          <cell r="AH190" t="str">
            <v/>
          </cell>
          <cell r="AI190" t="str">
            <v/>
          </cell>
          <cell r="AK190" t="str">
            <v/>
          </cell>
          <cell r="AN190" t="str">
            <v/>
          </cell>
          <cell r="BB190" t="str">
            <v/>
          </cell>
          <cell r="BY190" t="str">
            <v/>
          </cell>
        </row>
        <row r="191">
          <cell r="J191" t="str">
            <v/>
          </cell>
          <cell r="V191" t="str">
            <v/>
          </cell>
          <cell r="AA191" t="str">
            <v/>
          </cell>
          <cell r="AC191" t="str">
            <v/>
          </cell>
          <cell r="AE191" t="str">
            <v/>
          </cell>
          <cell r="AG191" t="str">
            <v/>
          </cell>
          <cell r="AH191" t="str">
            <v/>
          </cell>
          <cell r="AI191" t="str">
            <v/>
          </cell>
          <cell r="AK191" t="str">
            <v/>
          </cell>
          <cell r="AN191" t="str">
            <v/>
          </cell>
          <cell r="BB191" t="str">
            <v/>
          </cell>
          <cell r="BY191" t="str">
            <v/>
          </cell>
        </row>
        <row r="192">
          <cell r="J192" t="str">
            <v/>
          </cell>
          <cell r="V192" t="str">
            <v/>
          </cell>
          <cell r="AA192" t="str">
            <v/>
          </cell>
          <cell r="AC192" t="str">
            <v/>
          </cell>
          <cell r="AE192" t="str">
            <v/>
          </cell>
          <cell r="AG192" t="str">
            <v/>
          </cell>
          <cell r="AH192" t="str">
            <v/>
          </cell>
          <cell r="AI192" t="str">
            <v/>
          </cell>
          <cell r="AK192" t="str">
            <v/>
          </cell>
          <cell r="AN192" t="str">
            <v/>
          </cell>
          <cell r="BB192" t="str">
            <v/>
          </cell>
          <cell r="BY192" t="str">
            <v/>
          </cell>
        </row>
        <row r="193">
          <cell r="J193" t="str">
            <v/>
          </cell>
          <cell r="V193" t="str">
            <v/>
          </cell>
          <cell r="AA193" t="str">
            <v/>
          </cell>
          <cell r="AC193" t="str">
            <v/>
          </cell>
          <cell r="AE193" t="str">
            <v/>
          </cell>
          <cell r="AG193" t="str">
            <v/>
          </cell>
          <cell r="AH193" t="str">
            <v/>
          </cell>
          <cell r="AI193" t="str">
            <v/>
          </cell>
          <cell r="AK193" t="str">
            <v/>
          </cell>
          <cell r="AN193" t="str">
            <v/>
          </cell>
          <cell r="BB193" t="str">
            <v/>
          </cell>
          <cell r="BY193" t="str">
            <v/>
          </cell>
        </row>
        <row r="194">
          <cell r="J194" t="str">
            <v/>
          </cell>
          <cell r="V194" t="str">
            <v/>
          </cell>
          <cell r="AA194" t="str">
            <v/>
          </cell>
          <cell r="AC194" t="str">
            <v/>
          </cell>
          <cell r="AE194" t="str">
            <v/>
          </cell>
          <cell r="AG194" t="str">
            <v/>
          </cell>
          <cell r="AH194" t="str">
            <v/>
          </cell>
          <cell r="AI194" t="str">
            <v/>
          </cell>
          <cell r="AK194" t="str">
            <v/>
          </cell>
          <cell r="AN194" t="str">
            <v/>
          </cell>
          <cell r="BB194" t="str">
            <v/>
          </cell>
          <cell r="BY194" t="str">
            <v/>
          </cell>
        </row>
        <row r="195">
          <cell r="J195" t="str">
            <v/>
          </cell>
          <cell r="V195" t="str">
            <v/>
          </cell>
          <cell r="AA195" t="str">
            <v/>
          </cell>
          <cell r="AC195" t="str">
            <v/>
          </cell>
          <cell r="AE195" t="str">
            <v/>
          </cell>
          <cell r="AG195" t="str">
            <v/>
          </cell>
          <cell r="AH195" t="str">
            <v/>
          </cell>
          <cell r="AI195" t="str">
            <v/>
          </cell>
          <cell r="AK195" t="str">
            <v/>
          </cell>
          <cell r="AN195" t="str">
            <v/>
          </cell>
          <cell r="BB195" t="str">
            <v/>
          </cell>
          <cell r="BY195" t="str">
            <v/>
          </cell>
        </row>
        <row r="196">
          <cell r="J196" t="str">
            <v/>
          </cell>
          <cell r="V196" t="str">
            <v/>
          </cell>
          <cell r="AA196" t="str">
            <v/>
          </cell>
          <cell r="AC196" t="str">
            <v/>
          </cell>
          <cell r="AE196" t="str">
            <v/>
          </cell>
          <cell r="AG196" t="str">
            <v/>
          </cell>
          <cell r="AH196" t="str">
            <v/>
          </cell>
          <cell r="AI196" t="str">
            <v/>
          </cell>
          <cell r="AK196" t="str">
            <v/>
          </cell>
          <cell r="AN196" t="str">
            <v/>
          </cell>
          <cell r="BB196" t="str">
            <v/>
          </cell>
          <cell r="BY196" t="str">
            <v/>
          </cell>
        </row>
        <row r="197">
          <cell r="J197" t="str">
            <v/>
          </cell>
          <cell r="V197" t="str">
            <v/>
          </cell>
          <cell r="AA197" t="str">
            <v/>
          </cell>
          <cell r="AC197" t="str">
            <v/>
          </cell>
          <cell r="AE197" t="str">
            <v/>
          </cell>
          <cell r="AG197" t="str">
            <v/>
          </cell>
          <cell r="AH197" t="str">
            <v/>
          </cell>
          <cell r="AI197" t="str">
            <v/>
          </cell>
          <cell r="AK197" t="str">
            <v/>
          </cell>
          <cell r="AN197" t="str">
            <v/>
          </cell>
          <cell r="BB197" t="str">
            <v/>
          </cell>
          <cell r="BY197" t="str">
            <v/>
          </cell>
        </row>
        <row r="198">
          <cell r="J198" t="str">
            <v/>
          </cell>
          <cell r="V198" t="str">
            <v/>
          </cell>
          <cell r="AA198" t="str">
            <v/>
          </cell>
          <cell r="AC198" t="str">
            <v/>
          </cell>
          <cell r="AE198" t="str">
            <v/>
          </cell>
          <cell r="AG198" t="str">
            <v/>
          </cell>
          <cell r="AH198" t="str">
            <v/>
          </cell>
          <cell r="AI198" t="str">
            <v/>
          </cell>
          <cell r="AK198" t="str">
            <v/>
          </cell>
          <cell r="AN198" t="str">
            <v/>
          </cell>
          <cell r="BB198" t="str">
            <v/>
          </cell>
          <cell r="BY198" t="str">
            <v/>
          </cell>
        </row>
        <row r="199">
          <cell r="J199" t="str">
            <v/>
          </cell>
          <cell r="V199" t="str">
            <v/>
          </cell>
          <cell r="AA199" t="str">
            <v/>
          </cell>
          <cell r="AC199" t="str">
            <v/>
          </cell>
          <cell r="AE199" t="str">
            <v/>
          </cell>
          <cell r="AG199" t="str">
            <v/>
          </cell>
          <cell r="AH199" t="str">
            <v/>
          </cell>
          <cell r="AI199" t="str">
            <v/>
          </cell>
          <cell r="AK199" t="str">
            <v/>
          </cell>
          <cell r="AN199" t="str">
            <v/>
          </cell>
          <cell r="BB199" t="str">
            <v/>
          </cell>
          <cell r="BY199" t="str">
            <v/>
          </cell>
        </row>
        <row r="200">
          <cell r="J200" t="str">
            <v/>
          </cell>
          <cell r="V200" t="str">
            <v/>
          </cell>
          <cell r="AA200" t="str">
            <v/>
          </cell>
          <cell r="AC200" t="str">
            <v/>
          </cell>
          <cell r="AE200" t="str">
            <v/>
          </cell>
          <cell r="AG200" t="str">
            <v/>
          </cell>
          <cell r="AH200" t="str">
            <v/>
          </cell>
          <cell r="AI200" t="str">
            <v/>
          </cell>
          <cell r="AK200" t="str">
            <v/>
          </cell>
          <cell r="AN200" t="str">
            <v/>
          </cell>
          <cell r="BB200" t="str">
            <v/>
          </cell>
          <cell r="BY200" t="str">
            <v/>
          </cell>
        </row>
        <row r="201">
          <cell r="J201" t="str">
            <v/>
          </cell>
          <cell r="V201" t="str">
            <v/>
          </cell>
          <cell r="AA201" t="str">
            <v/>
          </cell>
          <cell r="AC201" t="str">
            <v/>
          </cell>
          <cell r="AE201" t="str">
            <v/>
          </cell>
          <cell r="AG201" t="str">
            <v/>
          </cell>
          <cell r="AH201" t="str">
            <v/>
          </cell>
          <cell r="AI201" t="str">
            <v/>
          </cell>
          <cell r="AK201" t="str">
            <v/>
          </cell>
          <cell r="AN201" t="str">
            <v/>
          </cell>
          <cell r="BB201" t="str">
            <v/>
          </cell>
          <cell r="BY201" t="str">
            <v/>
          </cell>
        </row>
        <row r="202">
          <cell r="J202" t="str">
            <v/>
          </cell>
          <cell r="V202" t="str">
            <v/>
          </cell>
          <cell r="AA202" t="str">
            <v/>
          </cell>
          <cell r="AC202" t="str">
            <v/>
          </cell>
          <cell r="AE202" t="str">
            <v/>
          </cell>
          <cell r="AG202" t="str">
            <v/>
          </cell>
          <cell r="AH202" t="str">
            <v/>
          </cell>
          <cell r="AI202" t="str">
            <v/>
          </cell>
          <cell r="AK202" t="str">
            <v/>
          </cell>
          <cell r="AN202" t="str">
            <v/>
          </cell>
          <cell r="BB202" t="str">
            <v/>
          </cell>
          <cell r="BY202" t="str">
            <v/>
          </cell>
        </row>
        <row r="203">
          <cell r="J203" t="str">
            <v/>
          </cell>
          <cell r="V203" t="str">
            <v/>
          </cell>
          <cell r="AA203" t="str">
            <v/>
          </cell>
          <cell r="AC203" t="str">
            <v/>
          </cell>
          <cell r="AE203" t="str">
            <v/>
          </cell>
          <cell r="AG203" t="str">
            <v/>
          </cell>
          <cell r="AH203" t="str">
            <v/>
          </cell>
          <cell r="AI203" t="str">
            <v/>
          </cell>
          <cell r="AK203" t="str">
            <v/>
          </cell>
          <cell r="AN203" t="str">
            <v/>
          </cell>
          <cell r="BB203" t="str">
            <v/>
          </cell>
          <cell r="BY203" t="str">
            <v/>
          </cell>
        </row>
        <row r="204">
          <cell r="J204" t="str">
            <v/>
          </cell>
          <cell r="V204" t="str">
            <v/>
          </cell>
          <cell r="AA204" t="str">
            <v/>
          </cell>
          <cell r="AC204" t="str">
            <v/>
          </cell>
          <cell r="AE204" t="str">
            <v/>
          </cell>
          <cell r="AG204" t="str">
            <v/>
          </cell>
          <cell r="AH204" t="str">
            <v/>
          </cell>
          <cell r="AI204" t="str">
            <v/>
          </cell>
          <cell r="AK204" t="str">
            <v/>
          </cell>
          <cell r="AN204" t="str">
            <v/>
          </cell>
          <cell r="BB204" t="str">
            <v/>
          </cell>
          <cell r="BY204" t="str">
            <v/>
          </cell>
        </row>
        <row r="205">
          <cell r="J205" t="str">
            <v/>
          </cell>
          <cell r="V205" t="str">
            <v/>
          </cell>
          <cell r="AA205" t="str">
            <v/>
          </cell>
          <cell r="AC205" t="str">
            <v/>
          </cell>
          <cell r="AE205" t="str">
            <v/>
          </cell>
          <cell r="AG205" t="str">
            <v/>
          </cell>
          <cell r="AH205" t="str">
            <v/>
          </cell>
          <cell r="AI205" t="str">
            <v/>
          </cell>
          <cell r="AK205" t="str">
            <v/>
          </cell>
          <cell r="AN205" t="str">
            <v/>
          </cell>
          <cell r="BB205" t="str">
            <v/>
          </cell>
          <cell r="BY205" t="str">
            <v/>
          </cell>
        </row>
        <row r="206">
          <cell r="J206" t="str">
            <v/>
          </cell>
          <cell r="V206" t="str">
            <v/>
          </cell>
          <cell r="AA206" t="str">
            <v/>
          </cell>
          <cell r="AC206" t="str">
            <v/>
          </cell>
          <cell r="AE206" t="str">
            <v/>
          </cell>
          <cell r="AG206" t="str">
            <v/>
          </cell>
          <cell r="AH206" t="str">
            <v/>
          </cell>
          <cell r="AI206" t="str">
            <v/>
          </cell>
          <cell r="AK206" t="str">
            <v/>
          </cell>
          <cell r="AN206" t="str">
            <v/>
          </cell>
          <cell r="BB206" t="str">
            <v/>
          </cell>
          <cell r="BY206" t="str">
            <v/>
          </cell>
        </row>
        <row r="207">
          <cell r="J207" t="str">
            <v/>
          </cell>
          <cell r="V207" t="str">
            <v/>
          </cell>
          <cell r="AA207" t="str">
            <v/>
          </cell>
          <cell r="AC207" t="str">
            <v/>
          </cell>
          <cell r="AE207" t="str">
            <v/>
          </cell>
          <cell r="AG207" t="str">
            <v/>
          </cell>
          <cell r="AH207" t="str">
            <v/>
          </cell>
          <cell r="AI207" t="str">
            <v/>
          </cell>
          <cell r="AK207" t="str">
            <v/>
          </cell>
          <cell r="AN207" t="str">
            <v/>
          </cell>
          <cell r="BB207" t="str">
            <v/>
          </cell>
          <cell r="BY207" t="str">
            <v/>
          </cell>
        </row>
        <row r="208">
          <cell r="J208" t="str">
            <v/>
          </cell>
          <cell r="V208" t="str">
            <v/>
          </cell>
          <cell r="AA208" t="str">
            <v/>
          </cell>
          <cell r="AC208" t="str">
            <v/>
          </cell>
          <cell r="AE208" t="str">
            <v/>
          </cell>
          <cell r="AG208" t="str">
            <v/>
          </cell>
          <cell r="AH208" t="str">
            <v/>
          </cell>
          <cell r="AI208" t="str">
            <v/>
          </cell>
          <cell r="AK208" t="str">
            <v/>
          </cell>
          <cell r="AN208" t="str">
            <v/>
          </cell>
          <cell r="BB208" t="str">
            <v/>
          </cell>
          <cell r="BY208" t="str">
            <v/>
          </cell>
        </row>
        <row r="209">
          <cell r="J209" t="str">
            <v/>
          </cell>
          <cell r="V209" t="str">
            <v/>
          </cell>
          <cell r="AA209" t="str">
            <v/>
          </cell>
          <cell r="AC209" t="str">
            <v/>
          </cell>
          <cell r="AE209" t="str">
            <v/>
          </cell>
          <cell r="AG209" t="str">
            <v/>
          </cell>
          <cell r="AH209" t="str">
            <v/>
          </cell>
          <cell r="AI209" t="str">
            <v/>
          </cell>
          <cell r="AK209" t="str">
            <v/>
          </cell>
          <cell r="AN209" t="str">
            <v/>
          </cell>
          <cell r="BB209" t="str">
            <v/>
          </cell>
          <cell r="BY209" t="str">
            <v/>
          </cell>
        </row>
        <row r="210">
          <cell r="J210" t="str">
            <v/>
          </cell>
          <cell r="V210" t="str">
            <v/>
          </cell>
          <cell r="AA210" t="str">
            <v/>
          </cell>
          <cell r="AC210" t="str">
            <v/>
          </cell>
          <cell r="AE210" t="str">
            <v/>
          </cell>
          <cell r="AG210" t="str">
            <v/>
          </cell>
          <cell r="AH210" t="str">
            <v/>
          </cell>
          <cell r="AI210" t="str">
            <v/>
          </cell>
          <cell r="AK210" t="str">
            <v/>
          </cell>
          <cell r="AN210" t="str">
            <v/>
          </cell>
          <cell r="BB210" t="str">
            <v/>
          </cell>
          <cell r="BY210" t="str">
            <v/>
          </cell>
        </row>
        <row r="211">
          <cell r="J211" t="str">
            <v/>
          </cell>
          <cell r="V211" t="str">
            <v/>
          </cell>
          <cell r="AA211" t="str">
            <v/>
          </cell>
          <cell r="AC211" t="str">
            <v/>
          </cell>
          <cell r="AE211" t="str">
            <v/>
          </cell>
          <cell r="AG211" t="str">
            <v/>
          </cell>
          <cell r="AH211" t="str">
            <v/>
          </cell>
          <cell r="AI211" t="str">
            <v/>
          </cell>
          <cell r="AK211" t="str">
            <v/>
          </cell>
          <cell r="AN211" t="str">
            <v/>
          </cell>
          <cell r="BB211" t="str">
            <v/>
          </cell>
          <cell r="BY211" t="str">
            <v/>
          </cell>
        </row>
        <row r="212">
          <cell r="J212" t="str">
            <v/>
          </cell>
          <cell r="V212" t="str">
            <v/>
          </cell>
          <cell r="AA212" t="str">
            <v/>
          </cell>
          <cell r="AC212" t="str">
            <v/>
          </cell>
          <cell r="AE212" t="str">
            <v/>
          </cell>
          <cell r="AG212" t="str">
            <v/>
          </cell>
          <cell r="AH212" t="str">
            <v/>
          </cell>
          <cell r="AI212" t="str">
            <v/>
          </cell>
          <cell r="AK212" t="str">
            <v/>
          </cell>
          <cell r="AN212" t="str">
            <v/>
          </cell>
          <cell r="BB212" t="str">
            <v/>
          </cell>
          <cell r="BY212" t="str">
            <v/>
          </cell>
        </row>
        <row r="213">
          <cell r="J213" t="str">
            <v/>
          </cell>
          <cell r="V213" t="str">
            <v/>
          </cell>
          <cell r="AA213" t="str">
            <v/>
          </cell>
          <cell r="AC213" t="str">
            <v/>
          </cell>
          <cell r="AE213" t="str">
            <v/>
          </cell>
          <cell r="AG213" t="str">
            <v/>
          </cell>
          <cell r="AH213" t="str">
            <v/>
          </cell>
          <cell r="AI213" t="str">
            <v/>
          </cell>
          <cell r="AK213" t="str">
            <v/>
          </cell>
          <cell r="AN213" t="str">
            <v/>
          </cell>
          <cell r="BB213" t="str">
            <v/>
          </cell>
          <cell r="BY213" t="str">
            <v/>
          </cell>
        </row>
        <row r="214">
          <cell r="J214" t="str">
            <v/>
          </cell>
          <cell r="V214" t="str">
            <v/>
          </cell>
          <cell r="AA214" t="str">
            <v/>
          </cell>
          <cell r="AC214" t="str">
            <v/>
          </cell>
          <cell r="AE214" t="str">
            <v/>
          </cell>
          <cell r="AG214" t="str">
            <v/>
          </cell>
          <cell r="AH214" t="str">
            <v/>
          </cell>
          <cell r="AI214" t="str">
            <v/>
          </cell>
          <cell r="AK214" t="str">
            <v/>
          </cell>
          <cell r="AN214" t="str">
            <v/>
          </cell>
          <cell r="BB214" t="str">
            <v/>
          </cell>
          <cell r="BY214" t="str">
            <v/>
          </cell>
        </row>
        <row r="215">
          <cell r="J215" t="str">
            <v/>
          </cell>
          <cell r="V215" t="str">
            <v/>
          </cell>
          <cell r="AA215" t="str">
            <v/>
          </cell>
          <cell r="AC215" t="str">
            <v/>
          </cell>
          <cell r="AE215" t="str">
            <v/>
          </cell>
          <cell r="AG215" t="str">
            <v/>
          </cell>
          <cell r="AH215" t="str">
            <v/>
          </cell>
          <cell r="AI215" t="str">
            <v/>
          </cell>
          <cell r="AK215" t="str">
            <v/>
          </cell>
          <cell r="AN215" t="str">
            <v/>
          </cell>
          <cell r="BB215" t="str">
            <v/>
          </cell>
          <cell r="BY215" t="str">
            <v/>
          </cell>
        </row>
        <row r="216">
          <cell r="J216" t="str">
            <v/>
          </cell>
          <cell r="V216" t="str">
            <v/>
          </cell>
          <cell r="AA216" t="str">
            <v/>
          </cell>
          <cell r="AC216" t="str">
            <v/>
          </cell>
          <cell r="AE216" t="str">
            <v/>
          </cell>
          <cell r="AG216" t="str">
            <v/>
          </cell>
          <cell r="AH216" t="str">
            <v/>
          </cell>
          <cell r="AI216" t="str">
            <v/>
          </cell>
          <cell r="AK216" t="str">
            <v/>
          </cell>
          <cell r="AN216" t="str">
            <v/>
          </cell>
          <cell r="BB216" t="str">
            <v/>
          </cell>
          <cell r="BY216" t="str">
            <v/>
          </cell>
        </row>
        <row r="217">
          <cell r="J217" t="str">
            <v/>
          </cell>
          <cell r="V217" t="str">
            <v/>
          </cell>
          <cell r="AA217" t="str">
            <v/>
          </cell>
          <cell r="AC217" t="str">
            <v/>
          </cell>
          <cell r="AE217" t="str">
            <v/>
          </cell>
          <cell r="AG217" t="str">
            <v/>
          </cell>
          <cell r="AH217" t="str">
            <v/>
          </cell>
          <cell r="AI217" t="str">
            <v/>
          </cell>
          <cell r="AK217" t="str">
            <v/>
          </cell>
          <cell r="AN217" t="str">
            <v/>
          </cell>
          <cell r="BB217" t="str">
            <v/>
          </cell>
          <cell r="BY217" t="str">
            <v/>
          </cell>
        </row>
        <row r="218">
          <cell r="J218" t="str">
            <v/>
          </cell>
          <cell r="V218" t="str">
            <v/>
          </cell>
          <cell r="AA218" t="str">
            <v/>
          </cell>
          <cell r="AC218" t="str">
            <v/>
          </cell>
          <cell r="AE218" t="str">
            <v/>
          </cell>
          <cell r="AG218" t="str">
            <v/>
          </cell>
          <cell r="AH218" t="str">
            <v/>
          </cell>
          <cell r="AI218" t="str">
            <v/>
          </cell>
          <cell r="AK218" t="str">
            <v/>
          </cell>
          <cell r="AN218" t="str">
            <v/>
          </cell>
          <cell r="BB218" t="str">
            <v/>
          </cell>
          <cell r="BY218" t="str">
            <v/>
          </cell>
        </row>
        <row r="219">
          <cell r="J219" t="str">
            <v/>
          </cell>
          <cell r="V219" t="str">
            <v/>
          </cell>
          <cell r="AA219" t="str">
            <v/>
          </cell>
          <cell r="AC219" t="str">
            <v/>
          </cell>
          <cell r="AE219" t="str">
            <v/>
          </cell>
          <cell r="AG219" t="str">
            <v/>
          </cell>
          <cell r="AH219" t="str">
            <v/>
          </cell>
          <cell r="AI219" t="str">
            <v/>
          </cell>
          <cell r="AK219" t="str">
            <v/>
          </cell>
          <cell r="AN219" t="str">
            <v/>
          </cell>
          <cell r="BB219" t="str">
            <v/>
          </cell>
          <cell r="BY219" t="str">
            <v/>
          </cell>
        </row>
        <row r="220">
          <cell r="J220" t="str">
            <v/>
          </cell>
          <cell r="V220" t="str">
            <v/>
          </cell>
          <cell r="AA220" t="str">
            <v/>
          </cell>
          <cell r="AC220" t="str">
            <v/>
          </cell>
          <cell r="AE220" t="str">
            <v/>
          </cell>
          <cell r="AG220" t="str">
            <v/>
          </cell>
          <cell r="AH220" t="str">
            <v/>
          </cell>
          <cell r="AI220" t="str">
            <v/>
          </cell>
          <cell r="AK220" t="str">
            <v/>
          </cell>
          <cell r="AN220" t="str">
            <v/>
          </cell>
          <cell r="BB220" t="str">
            <v/>
          </cell>
          <cell r="BY220" t="str">
            <v/>
          </cell>
        </row>
        <row r="221">
          <cell r="J221" t="str">
            <v/>
          </cell>
          <cell r="V221" t="str">
            <v/>
          </cell>
          <cell r="AA221" t="str">
            <v/>
          </cell>
          <cell r="AC221" t="str">
            <v/>
          </cell>
          <cell r="AE221" t="str">
            <v/>
          </cell>
          <cell r="AG221" t="str">
            <v/>
          </cell>
          <cell r="AH221" t="str">
            <v/>
          </cell>
          <cell r="AI221" t="str">
            <v/>
          </cell>
          <cell r="AK221" t="str">
            <v/>
          </cell>
          <cell r="AN221" t="str">
            <v/>
          </cell>
          <cell r="BB221" t="str">
            <v/>
          </cell>
          <cell r="BY221" t="str">
            <v/>
          </cell>
        </row>
        <row r="222">
          <cell r="J222" t="str">
            <v/>
          </cell>
          <cell r="V222" t="str">
            <v/>
          </cell>
          <cell r="AA222" t="str">
            <v/>
          </cell>
          <cell r="AC222" t="str">
            <v/>
          </cell>
          <cell r="AE222" t="str">
            <v/>
          </cell>
          <cell r="AG222" t="str">
            <v/>
          </cell>
          <cell r="AH222" t="str">
            <v/>
          </cell>
          <cell r="AI222" t="str">
            <v/>
          </cell>
          <cell r="AK222" t="str">
            <v/>
          </cell>
          <cell r="AN222" t="str">
            <v/>
          </cell>
          <cell r="BB222" t="str">
            <v/>
          </cell>
          <cell r="BY222" t="str">
            <v/>
          </cell>
        </row>
        <row r="223">
          <cell r="J223" t="str">
            <v/>
          </cell>
          <cell r="V223" t="str">
            <v/>
          </cell>
          <cell r="AA223" t="str">
            <v/>
          </cell>
          <cell r="AC223" t="str">
            <v/>
          </cell>
          <cell r="AE223" t="str">
            <v/>
          </cell>
          <cell r="AG223" t="str">
            <v/>
          </cell>
          <cell r="AH223" t="str">
            <v/>
          </cell>
          <cell r="AI223" t="str">
            <v/>
          </cell>
          <cell r="AK223" t="str">
            <v/>
          </cell>
          <cell r="AN223" t="str">
            <v/>
          </cell>
          <cell r="BB223" t="str">
            <v/>
          </cell>
          <cell r="BY223" t="str">
            <v/>
          </cell>
        </row>
        <row r="224">
          <cell r="J224" t="str">
            <v/>
          </cell>
          <cell r="V224" t="str">
            <v/>
          </cell>
          <cell r="AA224" t="str">
            <v/>
          </cell>
          <cell r="AC224" t="str">
            <v/>
          </cell>
          <cell r="AE224" t="str">
            <v/>
          </cell>
          <cell r="AG224" t="str">
            <v/>
          </cell>
          <cell r="AH224" t="str">
            <v/>
          </cell>
          <cell r="AI224" t="str">
            <v/>
          </cell>
          <cell r="AK224" t="str">
            <v/>
          </cell>
          <cell r="AN224" t="str">
            <v/>
          </cell>
          <cell r="BB224" t="str">
            <v/>
          </cell>
          <cell r="BY224" t="str">
            <v/>
          </cell>
        </row>
        <row r="225">
          <cell r="J225" t="str">
            <v/>
          </cell>
          <cell r="V225" t="str">
            <v/>
          </cell>
          <cell r="AA225" t="str">
            <v/>
          </cell>
          <cell r="AC225" t="str">
            <v/>
          </cell>
          <cell r="AE225" t="str">
            <v/>
          </cell>
          <cell r="AG225" t="str">
            <v/>
          </cell>
          <cell r="AH225" t="str">
            <v/>
          </cell>
          <cell r="AI225" t="str">
            <v/>
          </cell>
          <cell r="AK225" t="str">
            <v/>
          </cell>
          <cell r="AN225" t="str">
            <v/>
          </cell>
          <cell r="BB225" t="str">
            <v/>
          </cell>
          <cell r="BY225" t="str">
            <v/>
          </cell>
        </row>
        <row r="226">
          <cell r="J226" t="str">
            <v/>
          </cell>
          <cell r="V226" t="str">
            <v/>
          </cell>
          <cell r="AA226" t="str">
            <v/>
          </cell>
          <cell r="AC226" t="str">
            <v/>
          </cell>
          <cell r="AE226" t="str">
            <v/>
          </cell>
          <cell r="AG226" t="str">
            <v/>
          </cell>
          <cell r="AH226" t="str">
            <v/>
          </cell>
          <cell r="AI226" t="str">
            <v/>
          </cell>
          <cell r="AK226" t="str">
            <v/>
          </cell>
          <cell r="AN226" t="str">
            <v/>
          </cell>
          <cell r="BB226" t="str">
            <v/>
          </cell>
          <cell r="BY226" t="str">
            <v/>
          </cell>
        </row>
        <row r="227">
          <cell r="J227" t="str">
            <v/>
          </cell>
          <cell r="V227" t="str">
            <v/>
          </cell>
          <cell r="AA227" t="str">
            <v/>
          </cell>
          <cell r="AC227" t="str">
            <v/>
          </cell>
          <cell r="AE227" t="str">
            <v/>
          </cell>
          <cell r="AG227" t="str">
            <v/>
          </cell>
          <cell r="AH227" t="str">
            <v/>
          </cell>
          <cell r="AI227" t="str">
            <v/>
          </cell>
          <cell r="AK227" t="str">
            <v/>
          </cell>
          <cell r="AN227" t="str">
            <v/>
          </cell>
          <cell r="BB227" t="str">
            <v/>
          </cell>
          <cell r="BY227" t="str">
            <v/>
          </cell>
        </row>
        <row r="228">
          <cell r="J228" t="str">
            <v/>
          </cell>
          <cell r="V228" t="str">
            <v/>
          </cell>
          <cell r="AA228" t="str">
            <v/>
          </cell>
          <cell r="AC228" t="str">
            <v/>
          </cell>
          <cell r="AE228" t="str">
            <v/>
          </cell>
          <cell r="AG228" t="str">
            <v/>
          </cell>
          <cell r="AH228" t="str">
            <v/>
          </cell>
          <cell r="AI228" t="str">
            <v/>
          </cell>
          <cell r="AK228" t="str">
            <v/>
          </cell>
          <cell r="AN228" t="str">
            <v/>
          </cell>
          <cell r="BB228" t="str">
            <v/>
          </cell>
          <cell r="BY228" t="str">
            <v/>
          </cell>
        </row>
        <row r="229">
          <cell r="J229" t="str">
            <v/>
          </cell>
          <cell r="V229" t="str">
            <v/>
          </cell>
          <cell r="AA229" t="str">
            <v/>
          </cell>
          <cell r="AC229" t="str">
            <v/>
          </cell>
          <cell r="AE229" t="str">
            <v/>
          </cell>
          <cell r="AG229" t="str">
            <v/>
          </cell>
          <cell r="AH229" t="str">
            <v/>
          </cell>
          <cell r="AI229" t="str">
            <v/>
          </cell>
          <cell r="AK229" t="str">
            <v/>
          </cell>
          <cell r="AN229" t="str">
            <v/>
          </cell>
          <cell r="BB229" t="str">
            <v/>
          </cell>
          <cell r="BY229" t="str">
            <v/>
          </cell>
        </row>
        <row r="230">
          <cell r="J230" t="str">
            <v/>
          </cell>
          <cell r="V230" t="str">
            <v/>
          </cell>
          <cell r="AA230" t="str">
            <v/>
          </cell>
          <cell r="AC230" t="str">
            <v/>
          </cell>
          <cell r="AE230" t="str">
            <v/>
          </cell>
          <cell r="AG230" t="str">
            <v/>
          </cell>
          <cell r="AH230" t="str">
            <v/>
          </cell>
          <cell r="AI230" t="str">
            <v/>
          </cell>
          <cell r="AK230" t="str">
            <v/>
          </cell>
          <cell r="AN230" t="str">
            <v/>
          </cell>
          <cell r="BB230" t="str">
            <v/>
          </cell>
          <cell r="BY230" t="str">
            <v/>
          </cell>
        </row>
        <row r="231">
          <cell r="J231" t="str">
            <v/>
          </cell>
          <cell r="V231" t="str">
            <v/>
          </cell>
          <cell r="AA231" t="str">
            <v/>
          </cell>
          <cell r="AC231" t="str">
            <v/>
          </cell>
          <cell r="AE231" t="str">
            <v/>
          </cell>
          <cell r="AG231" t="str">
            <v/>
          </cell>
          <cell r="AH231" t="str">
            <v/>
          </cell>
          <cell r="AI231" t="str">
            <v/>
          </cell>
          <cell r="AK231" t="str">
            <v/>
          </cell>
          <cell r="AN231" t="str">
            <v/>
          </cell>
          <cell r="BB231" t="str">
            <v/>
          </cell>
          <cell r="BY231" t="str">
            <v/>
          </cell>
        </row>
        <row r="232">
          <cell r="J232" t="str">
            <v/>
          </cell>
          <cell r="V232" t="str">
            <v/>
          </cell>
          <cell r="AA232" t="str">
            <v/>
          </cell>
          <cell r="AC232" t="str">
            <v/>
          </cell>
          <cell r="AE232" t="str">
            <v/>
          </cell>
          <cell r="AG232" t="str">
            <v/>
          </cell>
          <cell r="AH232" t="str">
            <v/>
          </cell>
          <cell r="AI232" t="str">
            <v/>
          </cell>
          <cell r="AK232" t="str">
            <v/>
          </cell>
          <cell r="AN232" t="str">
            <v/>
          </cell>
          <cell r="BB232" t="str">
            <v/>
          </cell>
          <cell r="BY232" t="str">
            <v/>
          </cell>
        </row>
        <row r="233">
          <cell r="J233" t="str">
            <v/>
          </cell>
          <cell r="V233" t="str">
            <v/>
          </cell>
          <cell r="AA233" t="str">
            <v/>
          </cell>
          <cell r="AC233" t="str">
            <v/>
          </cell>
          <cell r="AE233" t="str">
            <v/>
          </cell>
          <cell r="AG233" t="str">
            <v/>
          </cell>
          <cell r="AH233" t="str">
            <v/>
          </cell>
          <cell r="AI233" t="str">
            <v/>
          </cell>
          <cell r="AK233" t="str">
            <v/>
          </cell>
          <cell r="AN233" t="str">
            <v/>
          </cell>
          <cell r="BB233" t="str">
            <v/>
          </cell>
          <cell r="BY233" t="str">
            <v/>
          </cell>
        </row>
        <row r="234">
          <cell r="J234" t="str">
            <v/>
          </cell>
          <cell r="V234" t="str">
            <v/>
          </cell>
          <cell r="AA234" t="str">
            <v/>
          </cell>
          <cell r="AC234" t="str">
            <v/>
          </cell>
          <cell r="AE234" t="str">
            <v/>
          </cell>
          <cell r="AG234" t="str">
            <v/>
          </cell>
          <cell r="AH234" t="str">
            <v/>
          </cell>
          <cell r="AI234" t="str">
            <v/>
          </cell>
          <cell r="AK234" t="str">
            <v/>
          </cell>
          <cell r="AN234" t="str">
            <v/>
          </cell>
          <cell r="BB234" t="str">
            <v/>
          </cell>
          <cell r="BY234" t="str">
            <v/>
          </cell>
        </row>
        <row r="235">
          <cell r="J235" t="str">
            <v/>
          </cell>
          <cell r="V235" t="str">
            <v/>
          </cell>
          <cell r="AA235" t="str">
            <v/>
          </cell>
          <cell r="AC235" t="str">
            <v/>
          </cell>
          <cell r="AE235" t="str">
            <v/>
          </cell>
          <cell r="AG235" t="str">
            <v/>
          </cell>
          <cell r="AH235" t="str">
            <v/>
          </cell>
          <cell r="AI235" t="str">
            <v/>
          </cell>
          <cell r="AK235" t="str">
            <v/>
          </cell>
          <cell r="AN235" t="str">
            <v/>
          </cell>
          <cell r="BB235" t="str">
            <v/>
          </cell>
          <cell r="BY235" t="str">
            <v/>
          </cell>
        </row>
        <row r="236">
          <cell r="J236" t="str">
            <v/>
          </cell>
          <cell r="V236" t="str">
            <v/>
          </cell>
          <cell r="AA236" t="str">
            <v/>
          </cell>
          <cell r="AC236" t="str">
            <v/>
          </cell>
          <cell r="AE236" t="str">
            <v/>
          </cell>
          <cell r="AG236" t="str">
            <v/>
          </cell>
          <cell r="AH236" t="str">
            <v/>
          </cell>
          <cell r="AI236" t="str">
            <v/>
          </cell>
          <cell r="AK236" t="str">
            <v/>
          </cell>
          <cell r="AN236" t="str">
            <v/>
          </cell>
          <cell r="BB236" t="str">
            <v/>
          </cell>
          <cell r="BY236" t="str">
            <v/>
          </cell>
        </row>
        <row r="237">
          <cell r="J237" t="str">
            <v/>
          </cell>
          <cell r="V237" t="str">
            <v/>
          </cell>
          <cell r="AA237" t="str">
            <v/>
          </cell>
          <cell r="AC237" t="str">
            <v/>
          </cell>
          <cell r="AE237" t="str">
            <v/>
          </cell>
          <cell r="AG237" t="str">
            <v/>
          </cell>
          <cell r="AH237" t="str">
            <v/>
          </cell>
          <cell r="AI237" t="str">
            <v/>
          </cell>
          <cell r="AK237" t="str">
            <v/>
          </cell>
          <cell r="AN237" t="str">
            <v/>
          </cell>
          <cell r="BB237" t="str">
            <v/>
          </cell>
          <cell r="BY237" t="str">
            <v/>
          </cell>
        </row>
        <row r="238">
          <cell r="J238" t="str">
            <v/>
          </cell>
          <cell r="V238" t="str">
            <v/>
          </cell>
          <cell r="AA238" t="str">
            <v/>
          </cell>
          <cell r="AC238" t="str">
            <v/>
          </cell>
          <cell r="AE238" t="str">
            <v/>
          </cell>
          <cell r="AG238" t="str">
            <v/>
          </cell>
          <cell r="AH238" t="str">
            <v/>
          </cell>
          <cell r="AI238" t="str">
            <v/>
          </cell>
          <cell r="AK238" t="str">
            <v/>
          </cell>
          <cell r="AN238" t="str">
            <v/>
          </cell>
          <cell r="BB238" t="str">
            <v/>
          </cell>
          <cell r="BY238" t="str">
            <v/>
          </cell>
        </row>
        <row r="239">
          <cell r="J239" t="str">
            <v/>
          </cell>
          <cell r="V239" t="str">
            <v/>
          </cell>
          <cell r="AA239" t="str">
            <v/>
          </cell>
          <cell r="AC239" t="str">
            <v/>
          </cell>
          <cell r="AE239" t="str">
            <v/>
          </cell>
          <cell r="AG239" t="str">
            <v/>
          </cell>
          <cell r="AH239" t="str">
            <v/>
          </cell>
          <cell r="AI239" t="str">
            <v/>
          </cell>
          <cell r="AK239" t="str">
            <v/>
          </cell>
          <cell r="AN239" t="str">
            <v/>
          </cell>
          <cell r="BB239" t="str">
            <v/>
          </cell>
          <cell r="BY239" t="str">
            <v/>
          </cell>
        </row>
        <row r="240">
          <cell r="J240" t="str">
            <v/>
          </cell>
          <cell r="V240" t="str">
            <v/>
          </cell>
          <cell r="AA240" t="str">
            <v/>
          </cell>
          <cell r="AC240" t="str">
            <v/>
          </cell>
          <cell r="AE240" t="str">
            <v/>
          </cell>
          <cell r="AG240" t="str">
            <v/>
          </cell>
          <cell r="AH240" t="str">
            <v/>
          </cell>
          <cell r="AI240" t="str">
            <v/>
          </cell>
          <cell r="AK240" t="str">
            <v/>
          </cell>
          <cell r="AN240" t="str">
            <v/>
          </cell>
          <cell r="BB240" t="str">
            <v/>
          </cell>
          <cell r="BY240" t="str">
            <v/>
          </cell>
        </row>
        <row r="241">
          <cell r="J241" t="str">
            <v/>
          </cell>
          <cell r="V241" t="str">
            <v/>
          </cell>
          <cell r="AA241" t="str">
            <v/>
          </cell>
          <cell r="AC241" t="str">
            <v/>
          </cell>
          <cell r="AE241" t="str">
            <v/>
          </cell>
          <cell r="AG241" t="str">
            <v/>
          </cell>
          <cell r="AH241" t="str">
            <v/>
          </cell>
          <cell r="AI241" t="str">
            <v/>
          </cell>
          <cell r="AK241" t="str">
            <v/>
          </cell>
          <cell r="AN241" t="str">
            <v/>
          </cell>
          <cell r="BB241" t="str">
            <v/>
          </cell>
          <cell r="BY241" t="str">
            <v/>
          </cell>
        </row>
        <row r="242">
          <cell r="J242" t="str">
            <v/>
          </cell>
          <cell r="V242" t="str">
            <v/>
          </cell>
          <cell r="AA242" t="str">
            <v/>
          </cell>
          <cell r="AC242" t="str">
            <v/>
          </cell>
          <cell r="AE242" t="str">
            <v/>
          </cell>
          <cell r="AG242" t="str">
            <v/>
          </cell>
          <cell r="AH242" t="str">
            <v/>
          </cell>
          <cell r="AI242" t="str">
            <v/>
          </cell>
          <cell r="AK242" t="str">
            <v/>
          </cell>
          <cell r="AN242" t="str">
            <v/>
          </cell>
          <cell r="BB242" t="str">
            <v/>
          </cell>
          <cell r="BY242" t="str">
            <v/>
          </cell>
        </row>
        <row r="243">
          <cell r="J243" t="str">
            <v/>
          </cell>
          <cell r="V243" t="str">
            <v/>
          </cell>
          <cell r="AA243" t="str">
            <v/>
          </cell>
          <cell r="AC243" t="str">
            <v/>
          </cell>
          <cell r="AE243" t="str">
            <v/>
          </cell>
          <cell r="AG243" t="str">
            <v/>
          </cell>
          <cell r="AH243" t="str">
            <v/>
          </cell>
          <cell r="AI243" t="str">
            <v/>
          </cell>
          <cell r="AK243" t="str">
            <v/>
          </cell>
          <cell r="AN243" t="str">
            <v/>
          </cell>
          <cell r="BB243" t="str">
            <v/>
          </cell>
          <cell r="BY243" t="str">
            <v/>
          </cell>
        </row>
        <row r="244">
          <cell r="J244" t="str">
            <v/>
          </cell>
          <cell r="V244" t="str">
            <v/>
          </cell>
          <cell r="AA244" t="str">
            <v/>
          </cell>
          <cell r="AC244" t="str">
            <v/>
          </cell>
          <cell r="AE244" t="str">
            <v/>
          </cell>
          <cell r="AG244" t="str">
            <v/>
          </cell>
          <cell r="AH244" t="str">
            <v/>
          </cell>
          <cell r="AI244" t="str">
            <v/>
          </cell>
          <cell r="AK244" t="str">
            <v/>
          </cell>
          <cell r="AN244" t="str">
            <v/>
          </cell>
          <cell r="BB244" t="str">
            <v/>
          </cell>
          <cell r="BY244" t="str">
            <v/>
          </cell>
        </row>
        <row r="245">
          <cell r="J245" t="str">
            <v/>
          </cell>
          <cell r="V245" t="str">
            <v/>
          </cell>
          <cell r="AA245" t="str">
            <v/>
          </cell>
          <cell r="AC245" t="str">
            <v/>
          </cell>
          <cell r="AE245" t="str">
            <v/>
          </cell>
          <cell r="AG245" t="str">
            <v/>
          </cell>
          <cell r="AH245" t="str">
            <v/>
          </cell>
          <cell r="AI245" t="str">
            <v/>
          </cell>
          <cell r="AK245" t="str">
            <v/>
          </cell>
          <cell r="AN245" t="str">
            <v/>
          </cell>
          <cell r="BB245" t="str">
            <v/>
          </cell>
          <cell r="BY245" t="str">
            <v/>
          </cell>
        </row>
        <row r="246">
          <cell r="J246" t="str">
            <v/>
          </cell>
          <cell r="V246" t="str">
            <v/>
          </cell>
          <cell r="AA246" t="str">
            <v/>
          </cell>
          <cell r="AC246" t="str">
            <v/>
          </cell>
          <cell r="AE246" t="str">
            <v/>
          </cell>
          <cell r="AG246" t="str">
            <v/>
          </cell>
          <cell r="AH246" t="str">
            <v/>
          </cell>
          <cell r="AI246" t="str">
            <v/>
          </cell>
          <cell r="AK246" t="str">
            <v/>
          </cell>
          <cell r="AN246" t="str">
            <v/>
          </cell>
          <cell r="BB246" t="str">
            <v/>
          </cell>
          <cell r="BY246" t="str">
            <v/>
          </cell>
        </row>
        <row r="247">
          <cell r="J247" t="str">
            <v/>
          </cell>
          <cell r="V247" t="str">
            <v/>
          </cell>
          <cell r="AA247" t="str">
            <v/>
          </cell>
          <cell r="AC247" t="str">
            <v/>
          </cell>
          <cell r="AE247" t="str">
            <v/>
          </cell>
          <cell r="AG247" t="str">
            <v/>
          </cell>
          <cell r="AH247" t="str">
            <v/>
          </cell>
          <cell r="AI247" t="str">
            <v/>
          </cell>
          <cell r="AK247" t="str">
            <v/>
          </cell>
          <cell r="AN247" t="str">
            <v/>
          </cell>
          <cell r="BB247" t="str">
            <v/>
          </cell>
          <cell r="BY247" t="str">
            <v/>
          </cell>
        </row>
        <row r="248">
          <cell r="J248" t="str">
            <v/>
          </cell>
          <cell r="V248" t="str">
            <v/>
          </cell>
          <cell r="AA248" t="str">
            <v/>
          </cell>
          <cell r="AC248" t="str">
            <v/>
          </cell>
          <cell r="AE248" t="str">
            <v/>
          </cell>
          <cell r="AG248" t="str">
            <v/>
          </cell>
          <cell r="AH248" t="str">
            <v/>
          </cell>
          <cell r="AI248" t="str">
            <v/>
          </cell>
          <cell r="AK248" t="str">
            <v/>
          </cell>
          <cell r="AN248" t="str">
            <v/>
          </cell>
          <cell r="BB248" t="str">
            <v/>
          </cell>
          <cell r="BY248" t="str">
            <v/>
          </cell>
        </row>
        <row r="249">
          <cell r="J249" t="str">
            <v/>
          </cell>
          <cell r="V249" t="str">
            <v/>
          </cell>
          <cell r="AA249" t="str">
            <v/>
          </cell>
          <cell r="AC249" t="str">
            <v/>
          </cell>
          <cell r="AE249" t="str">
            <v/>
          </cell>
          <cell r="AG249" t="str">
            <v/>
          </cell>
          <cell r="AH249" t="str">
            <v/>
          </cell>
          <cell r="AI249" t="str">
            <v/>
          </cell>
          <cell r="AK249" t="str">
            <v/>
          </cell>
          <cell r="AN249" t="str">
            <v/>
          </cell>
          <cell r="BB249" t="str">
            <v/>
          </cell>
          <cell r="BY249" t="str">
            <v/>
          </cell>
        </row>
        <row r="250">
          <cell r="J250" t="str">
            <v/>
          </cell>
          <cell r="V250" t="str">
            <v/>
          </cell>
          <cell r="AA250" t="str">
            <v/>
          </cell>
          <cell r="AC250" t="str">
            <v/>
          </cell>
          <cell r="AE250" t="str">
            <v/>
          </cell>
          <cell r="AG250" t="str">
            <v/>
          </cell>
          <cell r="AH250" t="str">
            <v/>
          </cell>
          <cell r="AI250" t="str">
            <v/>
          </cell>
          <cell r="AK250" t="str">
            <v/>
          </cell>
          <cell r="AN250" t="str">
            <v/>
          </cell>
          <cell r="BB250" t="str">
            <v/>
          </cell>
          <cell r="BY250" t="str">
            <v/>
          </cell>
        </row>
        <row r="251">
          <cell r="J251" t="str">
            <v/>
          </cell>
          <cell r="V251" t="str">
            <v/>
          </cell>
          <cell r="AA251" t="str">
            <v/>
          </cell>
          <cell r="AC251" t="str">
            <v/>
          </cell>
          <cell r="AE251" t="str">
            <v/>
          </cell>
          <cell r="AG251" t="str">
            <v/>
          </cell>
          <cell r="AH251" t="str">
            <v/>
          </cell>
          <cell r="AI251" t="str">
            <v/>
          </cell>
          <cell r="AK251" t="str">
            <v/>
          </cell>
          <cell r="AN251" t="str">
            <v/>
          </cell>
          <cell r="BB251" t="str">
            <v/>
          </cell>
          <cell r="BY251" t="str">
            <v/>
          </cell>
        </row>
        <row r="252">
          <cell r="J252" t="str">
            <v/>
          </cell>
          <cell r="V252" t="str">
            <v/>
          </cell>
          <cell r="AA252" t="str">
            <v/>
          </cell>
          <cell r="AC252" t="str">
            <v/>
          </cell>
          <cell r="AE252" t="str">
            <v/>
          </cell>
          <cell r="AG252" t="str">
            <v/>
          </cell>
          <cell r="AH252" t="str">
            <v/>
          </cell>
          <cell r="AI252" t="str">
            <v/>
          </cell>
          <cell r="AK252" t="str">
            <v/>
          </cell>
          <cell r="AN252" t="str">
            <v/>
          </cell>
          <cell r="BB252" t="str">
            <v/>
          </cell>
          <cell r="BY252" t="str">
            <v/>
          </cell>
        </row>
        <row r="253">
          <cell r="J253" t="str">
            <v/>
          </cell>
          <cell r="V253" t="str">
            <v/>
          </cell>
          <cell r="AA253" t="str">
            <v/>
          </cell>
          <cell r="AC253" t="str">
            <v/>
          </cell>
          <cell r="AE253" t="str">
            <v/>
          </cell>
          <cell r="AG253" t="str">
            <v/>
          </cell>
          <cell r="AH253" t="str">
            <v/>
          </cell>
          <cell r="AI253" t="str">
            <v/>
          </cell>
          <cell r="AK253" t="str">
            <v/>
          </cell>
          <cell r="AN253" t="str">
            <v/>
          </cell>
          <cell r="BB253" t="str">
            <v/>
          </cell>
          <cell r="BY253" t="str">
            <v/>
          </cell>
        </row>
        <row r="254">
          <cell r="J254" t="str">
            <v/>
          </cell>
          <cell r="V254" t="str">
            <v/>
          </cell>
          <cell r="AA254" t="str">
            <v/>
          </cell>
          <cell r="AC254" t="str">
            <v/>
          </cell>
          <cell r="AE254" t="str">
            <v/>
          </cell>
          <cell r="AG254" t="str">
            <v/>
          </cell>
          <cell r="AH254" t="str">
            <v/>
          </cell>
          <cell r="AI254" t="str">
            <v/>
          </cell>
          <cell r="AK254" t="str">
            <v/>
          </cell>
          <cell r="AN254" t="str">
            <v/>
          </cell>
          <cell r="BB254" t="str">
            <v/>
          </cell>
          <cell r="BY254" t="str">
            <v/>
          </cell>
        </row>
        <row r="255">
          <cell r="J255" t="str">
            <v/>
          </cell>
          <cell r="V255" t="str">
            <v/>
          </cell>
          <cell r="AA255" t="str">
            <v/>
          </cell>
          <cell r="AC255" t="str">
            <v/>
          </cell>
          <cell r="AE255" t="str">
            <v/>
          </cell>
          <cell r="AG255" t="str">
            <v/>
          </cell>
          <cell r="AH255" t="str">
            <v/>
          </cell>
          <cell r="AI255" t="str">
            <v/>
          </cell>
          <cell r="AK255" t="str">
            <v/>
          </cell>
          <cell r="AN255" t="str">
            <v/>
          </cell>
          <cell r="BB255" t="str">
            <v/>
          </cell>
          <cell r="BY255" t="str">
            <v/>
          </cell>
        </row>
        <row r="256">
          <cell r="J256" t="str">
            <v/>
          </cell>
          <cell r="V256" t="str">
            <v/>
          </cell>
          <cell r="AA256" t="str">
            <v/>
          </cell>
          <cell r="AC256" t="str">
            <v/>
          </cell>
          <cell r="AE256" t="str">
            <v/>
          </cell>
          <cell r="AG256" t="str">
            <v/>
          </cell>
          <cell r="AH256" t="str">
            <v/>
          </cell>
          <cell r="AI256" t="str">
            <v/>
          </cell>
          <cell r="AK256" t="str">
            <v/>
          </cell>
          <cell r="AN256" t="str">
            <v/>
          </cell>
          <cell r="BB256" t="str">
            <v/>
          </cell>
          <cell r="BY256" t="str">
            <v/>
          </cell>
        </row>
        <row r="257">
          <cell r="J257" t="str">
            <v/>
          </cell>
          <cell r="V257" t="str">
            <v/>
          </cell>
          <cell r="AA257" t="str">
            <v/>
          </cell>
          <cell r="AC257" t="str">
            <v/>
          </cell>
          <cell r="AE257" t="str">
            <v/>
          </cell>
          <cell r="AG257" t="str">
            <v/>
          </cell>
          <cell r="AH257" t="str">
            <v/>
          </cell>
          <cell r="AI257" t="str">
            <v/>
          </cell>
          <cell r="AK257" t="str">
            <v/>
          </cell>
          <cell r="AN257" t="str">
            <v/>
          </cell>
          <cell r="BB257" t="str">
            <v/>
          </cell>
          <cell r="BY257" t="str">
            <v/>
          </cell>
        </row>
        <row r="258">
          <cell r="J258" t="str">
            <v/>
          </cell>
          <cell r="V258" t="str">
            <v/>
          </cell>
          <cell r="AA258" t="str">
            <v/>
          </cell>
          <cell r="AC258" t="str">
            <v/>
          </cell>
          <cell r="AE258" t="str">
            <v/>
          </cell>
          <cell r="AG258" t="str">
            <v/>
          </cell>
          <cell r="AH258" t="str">
            <v/>
          </cell>
          <cell r="AI258" t="str">
            <v/>
          </cell>
          <cell r="AK258" t="str">
            <v/>
          </cell>
          <cell r="AN258" t="str">
            <v/>
          </cell>
          <cell r="BB258" t="str">
            <v/>
          </cell>
          <cell r="BY258" t="str">
            <v/>
          </cell>
        </row>
        <row r="259">
          <cell r="J259" t="str">
            <v/>
          </cell>
          <cell r="V259" t="str">
            <v/>
          </cell>
          <cell r="AA259" t="str">
            <v/>
          </cell>
          <cell r="AC259" t="str">
            <v/>
          </cell>
          <cell r="AE259" t="str">
            <v/>
          </cell>
          <cell r="AG259" t="str">
            <v/>
          </cell>
          <cell r="AH259" t="str">
            <v/>
          </cell>
          <cell r="AI259" t="str">
            <v/>
          </cell>
          <cell r="AK259" t="str">
            <v/>
          </cell>
          <cell r="AN259" t="str">
            <v/>
          </cell>
          <cell r="BB259" t="str">
            <v/>
          </cell>
          <cell r="BY259" t="str">
            <v/>
          </cell>
        </row>
        <row r="260">
          <cell r="J260" t="str">
            <v/>
          </cell>
          <cell r="V260" t="str">
            <v/>
          </cell>
          <cell r="AA260" t="str">
            <v/>
          </cell>
          <cell r="AC260" t="str">
            <v/>
          </cell>
          <cell r="AE260" t="str">
            <v/>
          </cell>
          <cell r="AG260" t="str">
            <v/>
          </cell>
          <cell r="AH260" t="str">
            <v/>
          </cell>
          <cell r="AI260" t="str">
            <v/>
          </cell>
          <cell r="AK260" t="str">
            <v/>
          </cell>
          <cell r="AN260" t="str">
            <v/>
          </cell>
          <cell r="BB260" t="str">
            <v/>
          </cell>
          <cell r="BY260" t="str">
            <v/>
          </cell>
        </row>
        <row r="261">
          <cell r="J261" t="str">
            <v/>
          </cell>
          <cell r="V261" t="str">
            <v/>
          </cell>
          <cell r="AA261" t="str">
            <v/>
          </cell>
          <cell r="AC261" t="str">
            <v/>
          </cell>
          <cell r="AE261" t="str">
            <v/>
          </cell>
          <cell r="AG261" t="str">
            <v/>
          </cell>
          <cell r="AH261" t="str">
            <v/>
          </cell>
          <cell r="AI261" t="str">
            <v/>
          </cell>
          <cell r="AK261" t="str">
            <v/>
          </cell>
          <cell r="AN261" t="str">
            <v/>
          </cell>
          <cell r="BB261" t="str">
            <v/>
          </cell>
          <cell r="BY261" t="str">
            <v/>
          </cell>
        </row>
        <row r="262">
          <cell r="J262" t="str">
            <v/>
          </cell>
          <cell r="V262" t="str">
            <v/>
          </cell>
          <cell r="AA262" t="str">
            <v/>
          </cell>
          <cell r="AC262" t="str">
            <v/>
          </cell>
          <cell r="AE262" t="str">
            <v/>
          </cell>
          <cell r="AG262" t="str">
            <v/>
          </cell>
          <cell r="AH262" t="str">
            <v/>
          </cell>
          <cell r="AI262" t="str">
            <v/>
          </cell>
          <cell r="AK262" t="str">
            <v/>
          </cell>
          <cell r="AN262" t="str">
            <v/>
          </cell>
          <cell r="BB262" t="str">
            <v/>
          </cell>
          <cell r="BY262" t="str">
            <v/>
          </cell>
        </row>
        <row r="263">
          <cell r="J263" t="str">
            <v/>
          </cell>
          <cell r="V263" t="str">
            <v/>
          </cell>
          <cell r="AA263" t="str">
            <v/>
          </cell>
          <cell r="AC263" t="str">
            <v/>
          </cell>
          <cell r="AE263" t="str">
            <v/>
          </cell>
          <cell r="AG263" t="str">
            <v/>
          </cell>
          <cell r="AH263" t="str">
            <v/>
          </cell>
          <cell r="AI263" t="str">
            <v/>
          </cell>
          <cell r="AK263" t="str">
            <v/>
          </cell>
          <cell r="AN263" t="str">
            <v/>
          </cell>
          <cell r="BB263" t="str">
            <v/>
          </cell>
          <cell r="BY263" t="str">
            <v/>
          </cell>
        </row>
        <row r="264">
          <cell r="J264" t="str">
            <v/>
          </cell>
          <cell r="V264" t="str">
            <v/>
          </cell>
          <cell r="AA264" t="str">
            <v/>
          </cell>
          <cell r="AC264" t="str">
            <v/>
          </cell>
          <cell r="AE264" t="str">
            <v/>
          </cell>
          <cell r="AG264" t="str">
            <v/>
          </cell>
          <cell r="AH264" t="str">
            <v/>
          </cell>
          <cell r="AI264" t="str">
            <v/>
          </cell>
          <cell r="AK264" t="str">
            <v/>
          </cell>
          <cell r="AN264" t="str">
            <v/>
          </cell>
          <cell r="BB264" t="str">
            <v/>
          </cell>
          <cell r="BY264" t="str">
            <v/>
          </cell>
        </row>
        <row r="265">
          <cell r="J265" t="str">
            <v/>
          </cell>
          <cell r="V265" t="str">
            <v/>
          </cell>
          <cell r="AA265" t="str">
            <v/>
          </cell>
          <cell r="AC265" t="str">
            <v/>
          </cell>
          <cell r="AE265" t="str">
            <v/>
          </cell>
          <cell r="AG265" t="str">
            <v/>
          </cell>
          <cell r="AH265" t="str">
            <v/>
          </cell>
          <cell r="AI265" t="str">
            <v/>
          </cell>
          <cell r="AK265" t="str">
            <v/>
          </cell>
          <cell r="AN265" t="str">
            <v/>
          </cell>
          <cell r="BB265" t="str">
            <v/>
          </cell>
          <cell r="BY265" t="str">
            <v/>
          </cell>
        </row>
        <row r="266">
          <cell r="J266" t="str">
            <v/>
          </cell>
          <cell r="V266" t="str">
            <v/>
          </cell>
          <cell r="AA266" t="str">
            <v/>
          </cell>
          <cell r="AC266" t="str">
            <v/>
          </cell>
          <cell r="AE266" t="str">
            <v/>
          </cell>
          <cell r="AG266" t="str">
            <v/>
          </cell>
          <cell r="AH266" t="str">
            <v/>
          </cell>
          <cell r="AI266" t="str">
            <v/>
          </cell>
          <cell r="AK266" t="str">
            <v/>
          </cell>
          <cell r="AN266" t="str">
            <v/>
          </cell>
          <cell r="BB266" t="str">
            <v/>
          </cell>
          <cell r="BY266" t="str">
            <v/>
          </cell>
        </row>
        <row r="267">
          <cell r="J267" t="str">
            <v/>
          </cell>
          <cell r="V267" t="str">
            <v/>
          </cell>
          <cell r="AA267" t="str">
            <v/>
          </cell>
          <cell r="AC267" t="str">
            <v/>
          </cell>
          <cell r="AE267" t="str">
            <v/>
          </cell>
          <cell r="AG267" t="str">
            <v/>
          </cell>
          <cell r="AH267" t="str">
            <v/>
          </cell>
          <cell r="AI267" t="str">
            <v/>
          </cell>
          <cell r="AK267" t="str">
            <v/>
          </cell>
          <cell r="AN267" t="str">
            <v/>
          </cell>
          <cell r="BB267" t="str">
            <v/>
          </cell>
          <cell r="BY267" t="str">
            <v/>
          </cell>
        </row>
        <row r="268">
          <cell r="J268" t="str">
            <v/>
          </cell>
          <cell r="V268" t="str">
            <v/>
          </cell>
          <cell r="AA268" t="str">
            <v/>
          </cell>
          <cell r="AC268" t="str">
            <v/>
          </cell>
          <cell r="AE268" t="str">
            <v/>
          </cell>
          <cell r="AG268" t="str">
            <v/>
          </cell>
          <cell r="AH268" t="str">
            <v/>
          </cell>
          <cell r="AI268" t="str">
            <v/>
          </cell>
          <cell r="AK268" t="str">
            <v/>
          </cell>
          <cell r="AN268" t="str">
            <v/>
          </cell>
          <cell r="BB268" t="str">
            <v/>
          </cell>
          <cell r="BY268" t="str">
            <v/>
          </cell>
        </row>
        <row r="269">
          <cell r="J269" t="str">
            <v/>
          </cell>
          <cell r="V269" t="str">
            <v/>
          </cell>
          <cell r="AA269" t="str">
            <v/>
          </cell>
          <cell r="AC269" t="str">
            <v/>
          </cell>
          <cell r="AE269" t="str">
            <v/>
          </cell>
          <cell r="AG269" t="str">
            <v/>
          </cell>
          <cell r="AH269" t="str">
            <v/>
          </cell>
          <cell r="AI269" t="str">
            <v/>
          </cell>
          <cell r="AK269" t="str">
            <v/>
          </cell>
          <cell r="AN269" t="str">
            <v/>
          </cell>
          <cell r="BB269" t="str">
            <v/>
          </cell>
          <cell r="BY269" t="str">
            <v/>
          </cell>
        </row>
        <row r="270">
          <cell r="J270" t="str">
            <v/>
          </cell>
          <cell r="V270" t="str">
            <v/>
          </cell>
          <cell r="AA270" t="str">
            <v/>
          </cell>
          <cell r="AC270" t="str">
            <v/>
          </cell>
          <cell r="AE270" t="str">
            <v/>
          </cell>
          <cell r="AG270" t="str">
            <v/>
          </cell>
          <cell r="AH270" t="str">
            <v/>
          </cell>
          <cell r="AI270" t="str">
            <v/>
          </cell>
          <cell r="AK270" t="str">
            <v/>
          </cell>
          <cell r="AN270" t="str">
            <v/>
          </cell>
          <cell r="BB270" t="str">
            <v/>
          </cell>
          <cell r="BY270" t="str">
            <v/>
          </cell>
        </row>
        <row r="271">
          <cell r="J271" t="str">
            <v/>
          </cell>
          <cell r="V271" t="str">
            <v/>
          </cell>
          <cell r="AA271" t="str">
            <v/>
          </cell>
          <cell r="AC271" t="str">
            <v/>
          </cell>
          <cell r="AE271" t="str">
            <v/>
          </cell>
          <cell r="AG271" t="str">
            <v/>
          </cell>
          <cell r="AH271" t="str">
            <v/>
          </cell>
          <cell r="AI271" t="str">
            <v/>
          </cell>
          <cell r="AK271" t="str">
            <v/>
          </cell>
          <cell r="AN271" t="str">
            <v/>
          </cell>
          <cell r="BB271" t="str">
            <v/>
          </cell>
          <cell r="BY271" t="str">
            <v/>
          </cell>
        </row>
        <row r="272">
          <cell r="J272" t="str">
            <v/>
          </cell>
          <cell r="V272" t="str">
            <v/>
          </cell>
          <cell r="AA272" t="str">
            <v/>
          </cell>
          <cell r="AC272" t="str">
            <v/>
          </cell>
          <cell r="AE272" t="str">
            <v/>
          </cell>
          <cell r="AG272" t="str">
            <v/>
          </cell>
          <cell r="AH272" t="str">
            <v/>
          </cell>
          <cell r="AI272" t="str">
            <v/>
          </cell>
          <cell r="AK272" t="str">
            <v/>
          </cell>
          <cell r="AN272" t="str">
            <v/>
          </cell>
          <cell r="BB272" t="str">
            <v/>
          </cell>
          <cell r="BY272" t="str">
            <v/>
          </cell>
        </row>
        <row r="273">
          <cell r="J273" t="str">
            <v/>
          </cell>
          <cell r="V273" t="str">
            <v/>
          </cell>
          <cell r="AA273" t="str">
            <v/>
          </cell>
          <cell r="AC273" t="str">
            <v/>
          </cell>
          <cell r="AE273" t="str">
            <v/>
          </cell>
          <cell r="AG273" t="str">
            <v/>
          </cell>
          <cell r="AH273" t="str">
            <v/>
          </cell>
          <cell r="AI273" t="str">
            <v/>
          </cell>
          <cell r="AK273" t="str">
            <v/>
          </cell>
          <cell r="AN273" t="str">
            <v/>
          </cell>
          <cell r="BB273" t="str">
            <v/>
          </cell>
          <cell r="BY273" t="str">
            <v/>
          </cell>
        </row>
        <row r="274">
          <cell r="J274" t="str">
            <v/>
          </cell>
          <cell r="V274" t="str">
            <v/>
          </cell>
          <cell r="AA274" t="str">
            <v/>
          </cell>
          <cell r="AC274" t="str">
            <v/>
          </cell>
          <cell r="AE274" t="str">
            <v/>
          </cell>
          <cell r="AG274" t="str">
            <v/>
          </cell>
          <cell r="AH274" t="str">
            <v/>
          </cell>
          <cell r="AI274" t="str">
            <v/>
          </cell>
          <cell r="AK274" t="str">
            <v/>
          </cell>
          <cell r="AN274" t="str">
            <v/>
          </cell>
          <cell r="BB274" t="str">
            <v/>
          </cell>
          <cell r="BY274" t="str">
            <v/>
          </cell>
        </row>
        <row r="275">
          <cell r="J275" t="str">
            <v/>
          </cell>
          <cell r="V275" t="str">
            <v/>
          </cell>
          <cell r="AA275" t="str">
            <v/>
          </cell>
          <cell r="AC275" t="str">
            <v/>
          </cell>
          <cell r="AE275" t="str">
            <v/>
          </cell>
          <cell r="AG275" t="str">
            <v/>
          </cell>
          <cell r="AH275" t="str">
            <v/>
          </cell>
          <cell r="AI275" t="str">
            <v/>
          </cell>
          <cell r="AK275" t="str">
            <v/>
          </cell>
          <cell r="AN275" t="str">
            <v/>
          </cell>
          <cell r="BB275" t="str">
            <v/>
          </cell>
          <cell r="BY275" t="str">
            <v/>
          </cell>
        </row>
        <row r="276">
          <cell r="J276" t="str">
            <v/>
          </cell>
          <cell r="V276" t="str">
            <v/>
          </cell>
          <cell r="AA276" t="str">
            <v/>
          </cell>
          <cell r="AC276" t="str">
            <v/>
          </cell>
          <cell r="AE276" t="str">
            <v/>
          </cell>
          <cell r="AG276" t="str">
            <v/>
          </cell>
          <cell r="AH276" t="str">
            <v/>
          </cell>
          <cell r="AI276" t="str">
            <v/>
          </cell>
          <cell r="AK276" t="str">
            <v/>
          </cell>
          <cell r="AN276" t="str">
            <v/>
          </cell>
          <cell r="BB276" t="str">
            <v/>
          </cell>
          <cell r="BY276" t="str">
            <v/>
          </cell>
        </row>
        <row r="277">
          <cell r="J277" t="str">
            <v/>
          </cell>
          <cell r="V277" t="str">
            <v/>
          </cell>
          <cell r="AA277" t="str">
            <v/>
          </cell>
          <cell r="AC277" t="str">
            <v/>
          </cell>
          <cell r="AE277" t="str">
            <v/>
          </cell>
          <cell r="AG277" t="str">
            <v/>
          </cell>
          <cell r="AH277" t="str">
            <v/>
          </cell>
          <cell r="AI277" t="str">
            <v/>
          </cell>
          <cell r="AK277" t="str">
            <v/>
          </cell>
          <cell r="AN277" t="str">
            <v/>
          </cell>
          <cell r="BB277" t="str">
            <v/>
          </cell>
          <cell r="BY277" t="str">
            <v/>
          </cell>
        </row>
        <row r="278">
          <cell r="J278" t="str">
            <v/>
          </cell>
          <cell r="V278" t="str">
            <v/>
          </cell>
          <cell r="AA278" t="str">
            <v/>
          </cell>
          <cell r="AC278" t="str">
            <v/>
          </cell>
          <cell r="AE278" t="str">
            <v/>
          </cell>
          <cell r="AG278" t="str">
            <v/>
          </cell>
          <cell r="AH278" t="str">
            <v/>
          </cell>
          <cell r="AI278" t="str">
            <v/>
          </cell>
          <cell r="AK278" t="str">
            <v/>
          </cell>
          <cell r="AN278" t="str">
            <v/>
          </cell>
          <cell r="BB278" t="str">
            <v/>
          </cell>
          <cell r="BY278" t="str">
            <v/>
          </cell>
        </row>
        <row r="279">
          <cell r="J279" t="str">
            <v/>
          </cell>
          <cell r="V279" t="str">
            <v/>
          </cell>
          <cell r="AA279" t="str">
            <v/>
          </cell>
          <cell r="AC279" t="str">
            <v/>
          </cell>
          <cell r="AE279" t="str">
            <v/>
          </cell>
          <cell r="AG279" t="str">
            <v/>
          </cell>
          <cell r="AH279" t="str">
            <v/>
          </cell>
          <cell r="AI279" t="str">
            <v/>
          </cell>
          <cell r="AK279" t="str">
            <v/>
          </cell>
          <cell r="AN279" t="str">
            <v/>
          </cell>
          <cell r="BB279" t="str">
            <v/>
          </cell>
          <cell r="BY279" t="str">
            <v/>
          </cell>
        </row>
        <row r="280">
          <cell r="J280" t="str">
            <v/>
          </cell>
          <cell r="V280" t="str">
            <v/>
          </cell>
          <cell r="AA280" t="str">
            <v/>
          </cell>
          <cell r="AC280" t="str">
            <v/>
          </cell>
          <cell r="AE280" t="str">
            <v/>
          </cell>
          <cell r="AG280" t="str">
            <v/>
          </cell>
          <cell r="AH280" t="str">
            <v/>
          </cell>
          <cell r="AI280" t="str">
            <v/>
          </cell>
          <cell r="AK280" t="str">
            <v/>
          </cell>
          <cell r="AN280" t="str">
            <v/>
          </cell>
          <cell r="BB280" t="str">
            <v/>
          </cell>
          <cell r="BY280" t="str">
            <v/>
          </cell>
        </row>
        <row r="281">
          <cell r="J281" t="str">
            <v/>
          </cell>
          <cell r="V281" t="str">
            <v/>
          </cell>
          <cell r="AA281" t="str">
            <v/>
          </cell>
          <cell r="AC281" t="str">
            <v/>
          </cell>
          <cell r="AE281" t="str">
            <v/>
          </cell>
          <cell r="AG281" t="str">
            <v/>
          </cell>
          <cell r="AH281" t="str">
            <v/>
          </cell>
          <cell r="AI281" t="str">
            <v/>
          </cell>
          <cell r="AK281" t="str">
            <v/>
          </cell>
          <cell r="AN281" t="str">
            <v/>
          </cell>
          <cell r="BB281" t="str">
            <v/>
          </cell>
          <cell r="BY281" t="str">
            <v/>
          </cell>
        </row>
        <row r="282">
          <cell r="J282" t="str">
            <v/>
          </cell>
          <cell r="V282" t="str">
            <v/>
          </cell>
          <cell r="AA282" t="str">
            <v/>
          </cell>
          <cell r="AC282" t="str">
            <v/>
          </cell>
          <cell r="AE282" t="str">
            <v/>
          </cell>
          <cell r="AG282" t="str">
            <v/>
          </cell>
          <cell r="AH282" t="str">
            <v/>
          </cell>
          <cell r="AI282" t="str">
            <v/>
          </cell>
          <cell r="AK282" t="str">
            <v/>
          </cell>
          <cell r="AN282" t="str">
            <v/>
          </cell>
          <cell r="BB282" t="str">
            <v/>
          </cell>
          <cell r="BY282" t="str">
            <v/>
          </cell>
        </row>
        <row r="283">
          <cell r="J283" t="str">
            <v/>
          </cell>
          <cell r="V283" t="str">
            <v/>
          </cell>
          <cell r="AA283" t="str">
            <v/>
          </cell>
          <cell r="AC283" t="str">
            <v/>
          </cell>
          <cell r="AE283" t="str">
            <v/>
          </cell>
          <cell r="AG283" t="str">
            <v/>
          </cell>
          <cell r="AH283" t="str">
            <v/>
          </cell>
          <cell r="AI283" t="str">
            <v/>
          </cell>
          <cell r="AK283" t="str">
            <v/>
          </cell>
          <cell r="AN283" t="str">
            <v/>
          </cell>
          <cell r="BB283" t="str">
            <v/>
          </cell>
          <cell r="BY283" t="str">
            <v/>
          </cell>
        </row>
        <row r="284">
          <cell r="J284" t="str">
            <v/>
          </cell>
          <cell r="V284" t="str">
            <v/>
          </cell>
          <cell r="AA284" t="str">
            <v/>
          </cell>
          <cell r="AC284" t="str">
            <v/>
          </cell>
          <cell r="AE284" t="str">
            <v/>
          </cell>
          <cell r="AG284" t="str">
            <v/>
          </cell>
          <cell r="AH284" t="str">
            <v/>
          </cell>
          <cell r="AI284" t="str">
            <v/>
          </cell>
          <cell r="AK284" t="str">
            <v/>
          </cell>
          <cell r="AN284" t="str">
            <v/>
          </cell>
          <cell r="BB284" t="str">
            <v/>
          </cell>
          <cell r="BY284" t="str">
            <v/>
          </cell>
        </row>
        <row r="285">
          <cell r="J285" t="str">
            <v/>
          </cell>
          <cell r="V285" t="str">
            <v/>
          </cell>
          <cell r="AA285" t="str">
            <v/>
          </cell>
          <cell r="AC285" t="str">
            <v/>
          </cell>
          <cell r="AE285" t="str">
            <v/>
          </cell>
          <cell r="AG285" t="str">
            <v/>
          </cell>
          <cell r="AH285" t="str">
            <v/>
          </cell>
          <cell r="AI285" t="str">
            <v/>
          </cell>
          <cell r="AK285" t="str">
            <v/>
          </cell>
          <cell r="AN285" t="str">
            <v/>
          </cell>
          <cell r="BB285" t="str">
            <v/>
          </cell>
          <cell r="BY285" t="str">
            <v/>
          </cell>
        </row>
        <row r="286">
          <cell r="J286" t="str">
            <v/>
          </cell>
          <cell r="V286" t="str">
            <v/>
          </cell>
          <cell r="AA286" t="str">
            <v/>
          </cell>
          <cell r="AC286" t="str">
            <v/>
          </cell>
          <cell r="AE286" t="str">
            <v/>
          </cell>
          <cell r="AG286" t="str">
            <v/>
          </cell>
          <cell r="AH286" t="str">
            <v/>
          </cell>
          <cell r="AI286" t="str">
            <v/>
          </cell>
          <cell r="AK286" t="str">
            <v/>
          </cell>
          <cell r="AN286" t="str">
            <v/>
          </cell>
          <cell r="BB286" t="str">
            <v/>
          </cell>
          <cell r="BY286" t="str">
            <v/>
          </cell>
        </row>
        <row r="287">
          <cell r="J287" t="str">
            <v/>
          </cell>
          <cell r="V287" t="str">
            <v/>
          </cell>
          <cell r="AA287" t="str">
            <v/>
          </cell>
          <cell r="AC287" t="str">
            <v/>
          </cell>
          <cell r="AE287" t="str">
            <v/>
          </cell>
          <cell r="AG287" t="str">
            <v/>
          </cell>
          <cell r="AH287" t="str">
            <v/>
          </cell>
          <cell r="AI287" t="str">
            <v/>
          </cell>
          <cell r="AK287" t="str">
            <v/>
          </cell>
          <cell r="AN287" t="str">
            <v/>
          </cell>
          <cell r="BB287" t="str">
            <v/>
          </cell>
          <cell r="BY287" t="str">
            <v/>
          </cell>
        </row>
        <row r="288">
          <cell r="J288" t="str">
            <v/>
          </cell>
          <cell r="V288" t="str">
            <v/>
          </cell>
          <cell r="AA288" t="str">
            <v/>
          </cell>
          <cell r="AC288" t="str">
            <v/>
          </cell>
          <cell r="AE288" t="str">
            <v/>
          </cell>
          <cell r="AG288" t="str">
            <v/>
          </cell>
          <cell r="AH288" t="str">
            <v/>
          </cell>
          <cell r="AI288" t="str">
            <v/>
          </cell>
          <cell r="AK288" t="str">
            <v/>
          </cell>
          <cell r="AN288" t="str">
            <v/>
          </cell>
          <cell r="BB288" t="str">
            <v/>
          </cell>
          <cell r="BY288" t="str">
            <v/>
          </cell>
        </row>
        <row r="289">
          <cell r="J289" t="str">
            <v/>
          </cell>
          <cell r="V289" t="str">
            <v/>
          </cell>
          <cell r="AA289" t="str">
            <v/>
          </cell>
          <cell r="AC289" t="str">
            <v/>
          </cell>
          <cell r="AE289" t="str">
            <v/>
          </cell>
          <cell r="AG289" t="str">
            <v/>
          </cell>
          <cell r="AH289" t="str">
            <v/>
          </cell>
          <cell r="AI289" t="str">
            <v/>
          </cell>
          <cell r="AK289" t="str">
            <v/>
          </cell>
          <cell r="AN289" t="str">
            <v/>
          </cell>
          <cell r="BB289" t="str">
            <v/>
          </cell>
          <cell r="BY289" t="str">
            <v/>
          </cell>
        </row>
        <row r="290">
          <cell r="J290" t="str">
            <v/>
          </cell>
          <cell r="V290" t="str">
            <v/>
          </cell>
          <cell r="AA290" t="str">
            <v/>
          </cell>
          <cell r="AC290" t="str">
            <v/>
          </cell>
          <cell r="AE290" t="str">
            <v/>
          </cell>
          <cell r="AG290" t="str">
            <v/>
          </cell>
          <cell r="AH290" t="str">
            <v/>
          </cell>
          <cell r="AI290" t="str">
            <v/>
          </cell>
          <cell r="AK290" t="str">
            <v/>
          </cell>
          <cell r="AN290" t="str">
            <v/>
          </cell>
          <cell r="BB290" t="str">
            <v/>
          </cell>
          <cell r="BY290" t="str">
            <v/>
          </cell>
        </row>
        <row r="291">
          <cell r="J291" t="str">
            <v/>
          </cell>
          <cell r="V291" t="str">
            <v/>
          </cell>
          <cell r="AA291" t="str">
            <v/>
          </cell>
          <cell r="AC291" t="str">
            <v/>
          </cell>
          <cell r="AE291" t="str">
            <v/>
          </cell>
          <cell r="AG291" t="str">
            <v/>
          </cell>
          <cell r="AH291" t="str">
            <v/>
          </cell>
          <cell r="AI291" t="str">
            <v/>
          </cell>
          <cell r="AK291" t="str">
            <v/>
          </cell>
          <cell r="AN291" t="str">
            <v/>
          </cell>
          <cell r="BB291" t="str">
            <v/>
          </cell>
          <cell r="BY291" t="str">
            <v/>
          </cell>
        </row>
        <row r="292">
          <cell r="J292" t="str">
            <v/>
          </cell>
          <cell r="V292" t="str">
            <v/>
          </cell>
          <cell r="AA292" t="str">
            <v/>
          </cell>
          <cell r="AC292" t="str">
            <v/>
          </cell>
          <cell r="AE292" t="str">
            <v/>
          </cell>
          <cell r="AG292" t="str">
            <v/>
          </cell>
          <cell r="AH292" t="str">
            <v/>
          </cell>
          <cell r="AI292" t="str">
            <v/>
          </cell>
          <cell r="AK292" t="str">
            <v/>
          </cell>
          <cell r="AN292" t="str">
            <v/>
          </cell>
          <cell r="BB292" t="str">
            <v/>
          </cell>
          <cell r="BY292" t="str">
            <v/>
          </cell>
        </row>
      </sheetData>
      <sheetData sheetId="14"/>
      <sheetData sheetId="15"/>
      <sheetData sheetId="16"/>
      <sheetData sheetId="1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Préface"/>
      <sheetName val="bdse3.bmp"/>
      <sheetName val="Sommaire"/>
      <sheetName val="PrésentationPop"/>
      <sheetName val="Population"/>
      <sheetName val="PrésentationEducation"/>
      <sheetName val="Education"/>
      <sheetName val="PrésentationEnseignementSecond"/>
      <sheetName val="Enseign. secondaire"/>
      <sheetName val="PrésentationEnseignementSuper"/>
      <sheetName val="Enseign. supérieur"/>
      <sheetName val="PrésentationSanté"/>
      <sheetName val="Santé"/>
      <sheetName val="PrésentationMacroEco"/>
      <sheetName val="MacroEco"/>
      <sheetName val="PrésentationEnergie"/>
      <sheetName val="Energie"/>
      <sheetName val="PrésentationTransport"/>
      <sheetName val="Transport"/>
      <sheetName val="PrésentationTélécommunication"/>
      <sheetName val="Télécommunication"/>
      <sheetName val="PrésentationTourisme"/>
      <sheetName val="Tourisme"/>
      <sheetName val="PrésentationSécuAl"/>
      <sheetName val="SécuritéAlimentaire"/>
      <sheetName val="PrésentationPauvreté"/>
      <sheetName val="Pauvreté"/>
      <sheetName val="PrésentationEmploi"/>
      <sheetName val="Emploi"/>
      <sheetName val="PrésentationEau"/>
      <sheetName val="Eau"/>
      <sheetName val="PrésentationLogement"/>
      <sheetName val="Logement"/>
      <sheetName val="Contributions"/>
      <sheetName val="BDSE"/>
    </sheetNames>
    <sheetDataSet>
      <sheetData sheetId="0"/>
      <sheetData sheetId="1"/>
      <sheetData sheetId="2"/>
      <sheetData sheetId="3"/>
      <sheetData sheetId="4"/>
      <sheetData sheetId="5"/>
      <sheetData sheetId="6"/>
      <sheetData sheetId="7">
        <row r="3">
          <cell r="A3">
            <v>33147</v>
          </cell>
          <cell r="IH3">
            <v>1</v>
          </cell>
        </row>
        <row r="4">
          <cell r="A4">
            <v>33512</v>
          </cell>
          <cell r="IH4">
            <v>2</v>
          </cell>
        </row>
        <row r="5">
          <cell r="A5">
            <v>33878</v>
          </cell>
          <cell r="IH5">
            <v>3</v>
          </cell>
        </row>
        <row r="6">
          <cell r="A6">
            <v>34243</v>
          </cell>
          <cell r="IH6">
            <v>4</v>
          </cell>
        </row>
        <row r="7">
          <cell r="A7">
            <v>34608</v>
          </cell>
          <cell r="IH7">
            <v>5</v>
          </cell>
        </row>
        <row r="8">
          <cell r="A8">
            <v>34973</v>
          </cell>
          <cell r="IH8">
            <v>6</v>
          </cell>
        </row>
        <row r="9">
          <cell r="A9">
            <v>35339</v>
          </cell>
          <cell r="IH9">
            <v>7</v>
          </cell>
        </row>
        <row r="10">
          <cell r="A10">
            <v>35704</v>
          </cell>
          <cell r="IH10">
            <v>8</v>
          </cell>
        </row>
        <row r="11">
          <cell r="A11">
            <v>36069</v>
          </cell>
          <cell r="IH11">
            <v>9</v>
          </cell>
        </row>
        <row r="12">
          <cell r="A12">
            <v>36434</v>
          </cell>
          <cell r="IH12">
            <v>10</v>
          </cell>
        </row>
        <row r="13">
          <cell r="A13">
            <v>36800</v>
          </cell>
          <cell r="IH13">
            <v>11</v>
          </cell>
        </row>
        <row r="14">
          <cell r="A14">
            <v>37165</v>
          </cell>
          <cell r="IH14">
            <v>12</v>
          </cell>
        </row>
        <row r="15">
          <cell r="A15">
            <v>37530</v>
          </cell>
          <cell r="IH15">
            <v>13</v>
          </cell>
        </row>
        <row r="16">
          <cell r="A16">
            <v>37895</v>
          </cell>
          <cell r="IH16">
            <v>14</v>
          </cell>
        </row>
        <row r="17">
          <cell r="A17">
            <v>38261</v>
          </cell>
          <cell r="IH17">
            <v>15</v>
          </cell>
        </row>
        <row r="18">
          <cell r="IH18">
            <v>0</v>
          </cell>
        </row>
        <row r="19">
          <cell r="IH19">
            <v>0</v>
          </cell>
        </row>
        <row r="20">
          <cell r="IH20">
            <v>0</v>
          </cell>
        </row>
        <row r="21">
          <cell r="IH21">
            <v>0</v>
          </cell>
        </row>
        <row r="22">
          <cell r="IH22">
            <v>0</v>
          </cell>
        </row>
        <row r="23">
          <cell r="IH23">
            <v>0</v>
          </cell>
        </row>
        <row r="24">
          <cell r="IH24">
            <v>0</v>
          </cell>
        </row>
        <row r="25">
          <cell r="IH25">
            <v>0</v>
          </cell>
        </row>
        <row r="26">
          <cell r="IH26">
            <v>0</v>
          </cell>
        </row>
        <row r="27">
          <cell r="IH27">
            <v>0</v>
          </cell>
        </row>
        <row r="28">
          <cell r="IH28">
            <v>0</v>
          </cell>
        </row>
        <row r="29">
          <cell r="IH29">
            <v>0</v>
          </cell>
        </row>
        <row r="30">
          <cell r="IH30">
            <v>0</v>
          </cell>
        </row>
        <row r="31">
          <cell r="IH31">
            <v>0</v>
          </cell>
        </row>
        <row r="32">
          <cell r="IH32">
            <v>0</v>
          </cell>
        </row>
        <row r="33">
          <cell r="IH33">
            <v>0</v>
          </cell>
        </row>
        <row r="34">
          <cell r="IH34">
            <v>0</v>
          </cell>
        </row>
        <row r="35">
          <cell r="IH35">
            <v>0</v>
          </cell>
        </row>
        <row r="36">
          <cell r="IH36">
            <v>0</v>
          </cell>
        </row>
        <row r="37">
          <cell r="IH37">
            <v>0</v>
          </cell>
        </row>
        <row r="38">
          <cell r="IH38">
            <v>0</v>
          </cell>
        </row>
        <row r="39">
          <cell r="IH39">
            <v>0</v>
          </cell>
        </row>
        <row r="40">
          <cell r="IH40">
            <v>0</v>
          </cell>
        </row>
        <row r="41">
          <cell r="IH41">
            <v>0</v>
          </cell>
        </row>
        <row r="42">
          <cell r="IH42">
            <v>0</v>
          </cell>
        </row>
        <row r="43">
          <cell r="IH43">
            <v>0</v>
          </cell>
        </row>
        <row r="44">
          <cell r="IH44">
            <v>0</v>
          </cell>
        </row>
        <row r="45">
          <cell r="IH45">
            <v>0</v>
          </cell>
        </row>
        <row r="46">
          <cell r="IH46">
            <v>0</v>
          </cell>
        </row>
        <row r="47">
          <cell r="IH47">
            <v>0</v>
          </cell>
        </row>
        <row r="48">
          <cell r="IH48">
            <v>0</v>
          </cell>
        </row>
        <row r="49">
          <cell r="IH49">
            <v>0</v>
          </cell>
        </row>
        <row r="50">
          <cell r="IH50">
            <v>0</v>
          </cell>
        </row>
        <row r="51">
          <cell r="IH51">
            <v>0</v>
          </cell>
        </row>
        <row r="52">
          <cell r="IH52">
            <v>0</v>
          </cell>
        </row>
        <row r="53">
          <cell r="IH53">
            <v>0</v>
          </cell>
        </row>
        <row r="54">
          <cell r="IH54">
            <v>0</v>
          </cell>
        </row>
        <row r="55">
          <cell r="IH55">
            <v>0</v>
          </cell>
        </row>
        <row r="56">
          <cell r="IH56">
            <v>0</v>
          </cell>
        </row>
        <row r="57">
          <cell r="IH57">
            <v>0</v>
          </cell>
        </row>
        <row r="58">
          <cell r="IH58">
            <v>0</v>
          </cell>
        </row>
        <row r="59">
          <cell r="IH59">
            <v>0</v>
          </cell>
        </row>
        <row r="60">
          <cell r="IH60">
            <v>0</v>
          </cell>
        </row>
        <row r="61">
          <cell r="IH61">
            <v>0</v>
          </cell>
        </row>
        <row r="62">
          <cell r="IH62">
            <v>0</v>
          </cell>
        </row>
        <row r="63">
          <cell r="IH63">
            <v>0</v>
          </cell>
        </row>
        <row r="64">
          <cell r="IH64">
            <v>0</v>
          </cell>
        </row>
        <row r="65">
          <cell r="IH65">
            <v>0</v>
          </cell>
        </row>
        <row r="66">
          <cell r="IH66">
            <v>0</v>
          </cell>
        </row>
        <row r="67">
          <cell r="IH67">
            <v>0</v>
          </cell>
        </row>
        <row r="68">
          <cell r="IH68">
            <v>0</v>
          </cell>
        </row>
        <row r="69">
          <cell r="IH69">
            <v>0</v>
          </cell>
        </row>
        <row r="70">
          <cell r="IH70">
            <v>0</v>
          </cell>
        </row>
        <row r="71">
          <cell r="IH71">
            <v>0</v>
          </cell>
        </row>
        <row r="72">
          <cell r="IH72">
            <v>0</v>
          </cell>
        </row>
        <row r="73">
          <cell r="IH73">
            <v>0</v>
          </cell>
        </row>
        <row r="74">
          <cell r="IH74">
            <v>0</v>
          </cell>
        </row>
        <row r="75">
          <cell r="IH75">
            <v>0</v>
          </cell>
        </row>
        <row r="76">
          <cell r="IH76">
            <v>0</v>
          </cell>
        </row>
        <row r="77">
          <cell r="IH77">
            <v>0</v>
          </cell>
        </row>
        <row r="78">
          <cell r="IH78">
            <v>0</v>
          </cell>
        </row>
        <row r="79">
          <cell r="IH79">
            <v>0</v>
          </cell>
        </row>
        <row r="80">
          <cell r="IH80">
            <v>0</v>
          </cell>
        </row>
        <row r="81">
          <cell r="IH81">
            <v>0</v>
          </cell>
        </row>
        <row r="82">
          <cell r="IH82">
            <v>0</v>
          </cell>
        </row>
        <row r="83">
          <cell r="IH83">
            <v>0</v>
          </cell>
        </row>
        <row r="84">
          <cell r="IH84">
            <v>0</v>
          </cell>
        </row>
        <row r="85">
          <cell r="IH85">
            <v>0</v>
          </cell>
        </row>
        <row r="86">
          <cell r="IH86">
            <v>0</v>
          </cell>
        </row>
        <row r="87">
          <cell r="IH87">
            <v>0</v>
          </cell>
        </row>
        <row r="88">
          <cell r="IH88">
            <v>0</v>
          </cell>
        </row>
        <row r="89">
          <cell r="IH89">
            <v>0</v>
          </cell>
        </row>
        <row r="90">
          <cell r="IH90">
            <v>0</v>
          </cell>
        </row>
        <row r="91">
          <cell r="IH91">
            <v>0</v>
          </cell>
        </row>
        <row r="92">
          <cell r="IH92">
            <v>0</v>
          </cell>
        </row>
        <row r="93">
          <cell r="IH93">
            <v>0</v>
          </cell>
        </row>
        <row r="94">
          <cell r="IH94">
            <v>0</v>
          </cell>
        </row>
        <row r="95">
          <cell r="IH95">
            <v>0</v>
          </cell>
        </row>
        <row r="96">
          <cell r="IH96">
            <v>0</v>
          </cell>
        </row>
        <row r="97">
          <cell r="IH97">
            <v>0</v>
          </cell>
        </row>
        <row r="98">
          <cell r="IH98">
            <v>0</v>
          </cell>
        </row>
        <row r="99">
          <cell r="IH99">
            <v>0</v>
          </cell>
        </row>
        <row r="100">
          <cell r="IH100">
            <v>0</v>
          </cell>
        </row>
        <row r="101">
          <cell r="IH101">
            <v>0</v>
          </cell>
        </row>
        <row r="102">
          <cell r="IH102">
            <v>0</v>
          </cell>
        </row>
        <row r="103">
          <cell r="IH103">
            <v>0</v>
          </cell>
        </row>
        <row r="104">
          <cell r="IH104">
            <v>0</v>
          </cell>
        </row>
        <row r="105">
          <cell r="IH105">
            <v>0</v>
          </cell>
        </row>
        <row r="106">
          <cell r="IH106">
            <v>0</v>
          </cell>
        </row>
        <row r="107">
          <cell r="IH107">
            <v>0</v>
          </cell>
        </row>
        <row r="108">
          <cell r="IH108">
            <v>0</v>
          </cell>
        </row>
        <row r="109">
          <cell r="IH109">
            <v>0</v>
          </cell>
        </row>
        <row r="110">
          <cell r="IH110">
            <v>0</v>
          </cell>
        </row>
        <row r="111">
          <cell r="IH111">
            <v>0</v>
          </cell>
        </row>
        <row r="112">
          <cell r="IH112">
            <v>0</v>
          </cell>
        </row>
        <row r="113">
          <cell r="IH113">
            <v>0</v>
          </cell>
        </row>
        <row r="114">
          <cell r="IH114">
            <v>0</v>
          </cell>
        </row>
        <row r="115">
          <cell r="IH115">
            <v>0</v>
          </cell>
        </row>
        <row r="116">
          <cell r="IH116">
            <v>0</v>
          </cell>
        </row>
        <row r="117">
          <cell r="IH117">
            <v>0</v>
          </cell>
        </row>
        <row r="118">
          <cell r="IH118">
            <v>0</v>
          </cell>
        </row>
        <row r="119">
          <cell r="IH119">
            <v>0</v>
          </cell>
        </row>
        <row r="120">
          <cell r="IH120">
            <v>0</v>
          </cell>
        </row>
        <row r="121">
          <cell r="IH121">
            <v>0</v>
          </cell>
        </row>
        <row r="122">
          <cell r="IH122">
            <v>0</v>
          </cell>
        </row>
        <row r="123">
          <cell r="IH123">
            <v>0</v>
          </cell>
        </row>
        <row r="124">
          <cell r="IH124">
            <v>0</v>
          </cell>
        </row>
        <row r="125">
          <cell r="IH125">
            <v>0</v>
          </cell>
        </row>
        <row r="126">
          <cell r="IH126">
            <v>0</v>
          </cell>
        </row>
        <row r="127">
          <cell r="IH127">
            <v>0</v>
          </cell>
        </row>
        <row r="128">
          <cell r="IH128">
            <v>0</v>
          </cell>
        </row>
        <row r="129">
          <cell r="IH129">
            <v>0</v>
          </cell>
        </row>
        <row r="130">
          <cell r="IH130">
            <v>0</v>
          </cell>
        </row>
        <row r="131">
          <cell r="IH131">
            <v>0</v>
          </cell>
        </row>
        <row r="132">
          <cell r="IH132">
            <v>0</v>
          </cell>
        </row>
        <row r="133">
          <cell r="IH133">
            <v>0</v>
          </cell>
        </row>
        <row r="134">
          <cell r="IH134">
            <v>0</v>
          </cell>
        </row>
        <row r="135">
          <cell r="IH135">
            <v>0</v>
          </cell>
        </row>
        <row r="136">
          <cell r="IH136">
            <v>0</v>
          </cell>
        </row>
        <row r="137">
          <cell r="IH137">
            <v>0</v>
          </cell>
        </row>
        <row r="138">
          <cell r="IH138">
            <v>0</v>
          </cell>
        </row>
        <row r="139">
          <cell r="IH139">
            <v>0</v>
          </cell>
        </row>
        <row r="140">
          <cell r="IH140">
            <v>0</v>
          </cell>
        </row>
        <row r="141">
          <cell r="IH141">
            <v>0</v>
          </cell>
        </row>
        <row r="142">
          <cell r="IH142">
            <v>0</v>
          </cell>
        </row>
        <row r="143">
          <cell r="IH143">
            <v>0</v>
          </cell>
        </row>
        <row r="144">
          <cell r="IH144">
            <v>0</v>
          </cell>
        </row>
        <row r="145">
          <cell r="IH145">
            <v>0</v>
          </cell>
        </row>
        <row r="146">
          <cell r="IH146">
            <v>0</v>
          </cell>
        </row>
        <row r="147">
          <cell r="IH147">
            <v>0</v>
          </cell>
        </row>
        <row r="148">
          <cell r="IH148">
            <v>0</v>
          </cell>
        </row>
        <row r="149">
          <cell r="IH149">
            <v>0</v>
          </cell>
        </row>
        <row r="150">
          <cell r="IH150">
            <v>0</v>
          </cell>
        </row>
        <row r="151">
          <cell r="IH151">
            <v>0</v>
          </cell>
        </row>
        <row r="152">
          <cell r="IH152">
            <v>0</v>
          </cell>
        </row>
        <row r="153">
          <cell r="IH153">
            <v>0</v>
          </cell>
        </row>
        <row r="154">
          <cell r="IH154">
            <v>0</v>
          </cell>
        </row>
        <row r="155">
          <cell r="IH155">
            <v>0</v>
          </cell>
        </row>
        <row r="156">
          <cell r="IH156">
            <v>0</v>
          </cell>
        </row>
        <row r="157">
          <cell r="IH157">
            <v>0</v>
          </cell>
        </row>
        <row r="158">
          <cell r="IH158">
            <v>0</v>
          </cell>
        </row>
        <row r="159">
          <cell r="IH159">
            <v>0</v>
          </cell>
        </row>
        <row r="160">
          <cell r="IH160">
            <v>0</v>
          </cell>
        </row>
        <row r="161">
          <cell r="IH161">
            <v>0</v>
          </cell>
        </row>
        <row r="162">
          <cell r="IH162">
            <v>0</v>
          </cell>
        </row>
        <row r="163">
          <cell r="IH163">
            <v>0</v>
          </cell>
        </row>
        <row r="164">
          <cell r="IH164">
            <v>0</v>
          </cell>
        </row>
        <row r="165">
          <cell r="IH165">
            <v>0</v>
          </cell>
        </row>
        <row r="166">
          <cell r="IH166">
            <v>0</v>
          </cell>
        </row>
        <row r="167">
          <cell r="IH167">
            <v>0</v>
          </cell>
        </row>
        <row r="168">
          <cell r="IH168">
            <v>0</v>
          </cell>
        </row>
        <row r="169">
          <cell r="IH169">
            <v>0</v>
          </cell>
        </row>
        <row r="170">
          <cell r="IH170">
            <v>0</v>
          </cell>
        </row>
        <row r="171">
          <cell r="IH171">
            <v>0</v>
          </cell>
        </row>
        <row r="172">
          <cell r="IH172">
            <v>0</v>
          </cell>
        </row>
        <row r="173">
          <cell r="IH173">
            <v>0</v>
          </cell>
        </row>
        <row r="174">
          <cell r="IH174">
            <v>0</v>
          </cell>
        </row>
        <row r="175">
          <cell r="IH175">
            <v>0</v>
          </cell>
        </row>
        <row r="176">
          <cell r="IH176">
            <v>0</v>
          </cell>
        </row>
        <row r="177">
          <cell r="IH177">
            <v>0</v>
          </cell>
        </row>
        <row r="178">
          <cell r="IH178">
            <v>0</v>
          </cell>
        </row>
        <row r="179">
          <cell r="IH179">
            <v>0</v>
          </cell>
        </row>
        <row r="180">
          <cell r="IH180">
            <v>0</v>
          </cell>
        </row>
        <row r="181">
          <cell r="IH181">
            <v>0</v>
          </cell>
        </row>
        <row r="182">
          <cell r="IH182">
            <v>0</v>
          </cell>
        </row>
        <row r="183">
          <cell r="IH183">
            <v>0</v>
          </cell>
        </row>
        <row r="184">
          <cell r="IH184">
            <v>0</v>
          </cell>
        </row>
        <row r="185">
          <cell r="IH185">
            <v>0</v>
          </cell>
        </row>
        <row r="186">
          <cell r="IH186">
            <v>0</v>
          </cell>
        </row>
        <row r="187">
          <cell r="IH187">
            <v>0</v>
          </cell>
        </row>
        <row r="188">
          <cell r="IH188">
            <v>0</v>
          </cell>
        </row>
        <row r="189">
          <cell r="IH189">
            <v>0</v>
          </cell>
        </row>
        <row r="190">
          <cell r="IH190">
            <v>0</v>
          </cell>
        </row>
        <row r="191">
          <cell r="IH191">
            <v>0</v>
          </cell>
        </row>
        <row r="192">
          <cell r="IH192">
            <v>0</v>
          </cell>
        </row>
        <row r="193">
          <cell r="IH193">
            <v>0</v>
          </cell>
        </row>
        <row r="194">
          <cell r="IH194">
            <v>0</v>
          </cell>
        </row>
        <row r="195">
          <cell r="IH195">
            <v>0</v>
          </cell>
        </row>
        <row r="196">
          <cell r="IH196">
            <v>0</v>
          </cell>
        </row>
        <row r="197">
          <cell r="IH197">
            <v>0</v>
          </cell>
        </row>
        <row r="198">
          <cell r="IH198">
            <v>0</v>
          </cell>
        </row>
        <row r="199">
          <cell r="IH199">
            <v>0</v>
          </cell>
        </row>
        <row r="200">
          <cell r="IH200">
            <v>0</v>
          </cell>
        </row>
        <row r="201">
          <cell r="IH201">
            <v>0</v>
          </cell>
        </row>
        <row r="202">
          <cell r="IH202">
            <v>0</v>
          </cell>
        </row>
        <row r="203">
          <cell r="IH203">
            <v>0</v>
          </cell>
        </row>
        <row r="204">
          <cell r="IH204">
            <v>0</v>
          </cell>
        </row>
        <row r="205">
          <cell r="IH205">
            <v>0</v>
          </cell>
        </row>
        <row r="206">
          <cell r="IH206">
            <v>0</v>
          </cell>
        </row>
        <row r="207">
          <cell r="IH207">
            <v>0</v>
          </cell>
        </row>
        <row r="208">
          <cell r="IH208">
            <v>0</v>
          </cell>
        </row>
        <row r="209">
          <cell r="IH209">
            <v>0</v>
          </cell>
        </row>
        <row r="210">
          <cell r="IH210">
            <v>0</v>
          </cell>
        </row>
        <row r="211">
          <cell r="IH211">
            <v>0</v>
          </cell>
        </row>
        <row r="212">
          <cell r="IH212">
            <v>0</v>
          </cell>
        </row>
        <row r="213">
          <cell r="IH213">
            <v>0</v>
          </cell>
        </row>
        <row r="214">
          <cell r="IH214">
            <v>0</v>
          </cell>
        </row>
        <row r="215">
          <cell r="IH215">
            <v>0</v>
          </cell>
        </row>
        <row r="216">
          <cell r="IH216">
            <v>0</v>
          </cell>
        </row>
        <row r="217">
          <cell r="IH217">
            <v>0</v>
          </cell>
        </row>
        <row r="218">
          <cell r="IH218">
            <v>0</v>
          </cell>
        </row>
        <row r="219">
          <cell r="IH219">
            <v>0</v>
          </cell>
        </row>
        <row r="220">
          <cell r="IH220">
            <v>0</v>
          </cell>
        </row>
        <row r="221">
          <cell r="IH221">
            <v>0</v>
          </cell>
        </row>
        <row r="222">
          <cell r="IH222">
            <v>0</v>
          </cell>
        </row>
        <row r="223">
          <cell r="IH223">
            <v>0</v>
          </cell>
        </row>
        <row r="224">
          <cell r="IH224">
            <v>0</v>
          </cell>
        </row>
        <row r="225">
          <cell r="IH225">
            <v>0</v>
          </cell>
        </row>
        <row r="226">
          <cell r="IH226">
            <v>0</v>
          </cell>
        </row>
        <row r="227">
          <cell r="IH227">
            <v>0</v>
          </cell>
        </row>
        <row r="228">
          <cell r="IH228">
            <v>0</v>
          </cell>
        </row>
        <row r="229">
          <cell r="IH229">
            <v>0</v>
          </cell>
        </row>
        <row r="230">
          <cell r="IH230">
            <v>0</v>
          </cell>
        </row>
        <row r="231">
          <cell r="IH231">
            <v>0</v>
          </cell>
        </row>
        <row r="232">
          <cell r="IH232">
            <v>0</v>
          </cell>
        </row>
        <row r="233">
          <cell r="IH233">
            <v>0</v>
          </cell>
        </row>
        <row r="234">
          <cell r="IH234">
            <v>0</v>
          </cell>
        </row>
        <row r="235">
          <cell r="IH235">
            <v>0</v>
          </cell>
        </row>
        <row r="236">
          <cell r="IH236">
            <v>0</v>
          </cell>
        </row>
        <row r="237">
          <cell r="IH237">
            <v>0</v>
          </cell>
        </row>
        <row r="238">
          <cell r="IH238">
            <v>0</v>
          </cell>
        </row>
        <row r="239">
          <cell r="IH239">
            <v>0</v>
          </cell>
        </row>
        <row r="240">
          <cell r="IH240">
            <v>0</v>
          </cell>
        </row>
        <row r="241">
          <cell r="IH241">
            <v>0</v>
          </cell>
        </row>
        <row r="242">
          <cell r="IH242">
            <v>0</v>
          </cell>
        </row>
        <row r="243">
          <cell r="IH243">
            <v>0</v>
          </cell>
        </row>
        <row r="244">
          <cell r="IH244">
            <v>0</v>
          </cell>
        </row>
        <row r="245">
          <cell r="IH245">
            <v>0</v>
          </cell>
        </row>
        <row r="246">
          <cell r="IH246">
            <v>0</v>
          </cell>
        </row>
        <row r="247">
          <cell r="IH247">
            <v>0</v>
          </cell>
        </row>
        <row r="248">
          <cell r="IH248">
            <v>0</v>
          </cell>
        </row>
        <row r="249">
          <cell r="IH249">
            <v>0</v>
          </cell>
        </row>
        <row r="250">
          <cell r="IH250">
            <v>0</v>
          </cell>
        </row>
        <row r="251">
          <cell r="IH251">
            <v>0</v>
          </cell>
        </row>
        <row r="252">
          <cell r="IH252">
            <v>0</v>
          </cell>
        </row>
        <row r="253">
          <cell r="IH253">
            <v>0</v>
          </cell>
        </row>
        <row r="254">
          <cell r="IH254">
            <v>0</v>
          </cell>
        </row>
        <row r="255">
          <cell r="IH255">
            <v>0</v>
          </cell>
        </row>
        <row r="256">
          <cell r="IH256">
            <v>0</v>
          </cell>
        </row>
        <row r="257">
          <cell r="IH257">
            <v>0</v>
          </cell>
        </row>
        <row r="258">
          <cell r="IH258">
            <v>0</v>
          </cell>
        </row>
        <row r="259">
          <cell r="IH259">
            <v>0</v>
          </cell>
        </row>
        <row r="260">
          <cell r="IH260">
            <v>0</v>
          </cell>
        </row>
        <row r="261">
          <cell r="IH261">
            <v>0</v>
          </cell>
        </row>
        <row r="262">
          <cell r="IH262">
            <v>0</v>
          </cell>
        </row>
      </sheetData>
      <sheetData sheetId="8"/>
      <sheetData sheetId="9">
        <row r="4">
          <cell r="A4">
            <v>32782</v>
          </cell>
        </row>
        <row r="5">
          <cell r="A5">
            <v>33147</v>
          </cell>
        </row>
        <row r="6">
          <cell r="A6">
            <v>33512</v>
          </cell>
        </row>
        <row r="7">
          <cell r="A7">
            <v>33878</v>
          </cell>
        </row>
        <row r="8">
          <cell r="A8">
            <v>34243</v>
          </cell>
        </row>
        <row r="9">
          <cell r="A9">
            <v>34608</v>
          </cell>
        </row>
        <row r="10">
          <cell r="A10">
            <v>34973</v>
          </cell>
        </row>
        <row r="11">
          <cell r="A11">
            <v>35339</v>
          </cell>
        </row>
        <row r="12">
          <cell r="A12">
            <v>35704</v>
          </cell>
        </row>
        <row r="13">
          <cell r="A13">
            <v>36069</v>
          </cell>
        </row>
        <row r="14">
          <cell r="A14">
            <v>36434</v>
          </cell>
        </row>
        <row r="15">
          <cell r="A15">
            <v>36800</v>
          </cell>
        </row>
        <row r="16">
          <cell r="A16">
            <v>37165</v>
          </cell>
        </row>
        <row r="17">
          <cell r="A17">
            <v>37530</v>
          </cell>
        </row>
        <row r="18">
          <cell r="A18">
            <v>37895</v>
          </cell>
        </row>
        <row r="19">
          <cell r="A19">
            <v>38261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Préface"/>
      <sheetName val="bdse3.bmp"/>
      <sheetName val="Sommaire"/>
      <sheetName val="PrésentationPop"/>
      <sheetName val="Population"/>
      <sheetName val="PrésentationEducation"/>
      <sheetName val="Education"/>
      <sheetName val="PrésentationEnseignementSecond"/>
      <sheetName val="Enseign. secondaire"/>
      <sheetName val="PrésentationEnseignementSuper"/>
      <sheetName val="Enseign. supérieur"/>
      <sheetName val="PrésentationSanté"/>
      <sheetName val="Santé"/>
      <sheetName val="PrésentationMacroEco"/>
      <sheetName val="MacroEco"/>
      <sheetName val="PrésentationEnergie"/>
      <sheetName val="Energie"/>
      <sheetName val="PrésentationTransport"/>
      <sheetName val="Transport"/>
      <sheetName val="PrésentationTélécommunication"/>
      <sheetName val="Télécommunication"/>
      <sheetName val="PrésentationTourisme"/>
      <sheetName val="Tourisme"/>
      <sheetName val="PrésentationSécuAl"/>
      <sheetName val="SécuritéAlimentaire"/>
      <sheetName val="PrésentationPauvreté"/>
      <sheetName val="Pauvreté"/>
      <sheetName val="PrésentationEmploi"/>
      <sheetName val="Emploi"/>
      <sheetName val="PrésentationEau"/>
      <sheetName val="Eau"/>
      <sheetName val="PrésentationLogement"/>
      <sheetName val="Logement"/>
      <sheetName val="Contributions"/>
      <sheetName val="BDSE"/>
    </sheetNames>
    <sheetDataSet>
      <sheetData sheetId="0"/>
      <sheetData sheetId="1"/>
      <sheetData sheetId="2"/>
      <sheetData sheetId="3"/>
      <sheetData sheetId="4"/>
      <sheetData sheetId="5"/>
      <sheetData sheetId="6"/>
      <sheetData sheetId="7">
        <row r="3">
          <cell r="A3">
            <v>33147</v>
          </cell>
          <cell r="IH3">
            <v>1</v>
          </cell>
        </row>
        <row r="4">
          <cell r="A4">
            <v>33512</v>
          </cell>
          <cell r="IH4">
            <v>2</v>
          </cell>
        </row>
        <row r="5">
          <cell r="A5">
            <v>33878</v>
          </cell>
          <cell r="IH5">
            <v>3</v>
          </cell>
        </row>
        <row r="6">
          <cell r="A6">
            <v>34243</v>
          </cell>
          <cell r="IH6">
            <v>4</v>
          </cell>
        </row>
        <row r="7">
          <cell r="A7">
            <v>34608</v>
          </cell>
          <cell r="IH7">
            <v>5</v>
          </cell>
        </row>
        <row r="8">
          <cell r="A8">
            <v>34973</v>
          </cell>
          <cell r="IH8">
            <v>6</v>
          </cell>
        </row>
        <row r="9">
          <cell r="A9">
            <v>35339</v>
          </cell>
          <cell r="IH9">
            <v>7</v>
          </cell>
        </row>
        <row r="10">
          <cell r="A10">
            <v>35704</v>
          </cell>
          <cell r="IH10">
            <v>8</v>
          </cell>
        </row>
        <row r="11">
          <cell r="A11">
            <v>36069</v>
          </cell>
          <cell r="IH11">
            <v>9</v>
          </cell>
        </row>
        <row r="12">
          <cell r="A12">
            <v>36434</v>
          </cell>
          <cell r="IH12">
            <v>10</v>
          </cell>
        </row>
        <row r="13">
          <cell r="A13">
            <v>36800</v>
          </cell>
          <cell r="IH13">
            <v>11</v>
          </cell>
        </row>
        <row r="14">
          <cell r="A14">
            <v>37165</v>
          </cell>
          <cell r="IH14">
            <v>12</v>
          </cell>
        </row>
        <row r="15">
          <cell r="A15">
            <v>37530</v>
          </cell>
          <cell r="IH15">
            <v>13</v>
          </cell>
        </row>
        <row r="16">
          <cell r="A16">
            <v>37895</v>
          </cell>
          <cell r="IH16">
            <v>14</v>
          </cell>
        </row>
        <row r="17">
          <cell r="A17">
            <v>38261</v>
          </cell>
          <cell r="IH17">
            <v>15</v>
          </cell>
        </row>
        <row r="18">
          <cell r="IH18" t="str">
            <v/>
          </cell>
        </row>
        <row r="19">
          <cell r="IH19" t="str">
            <v/>
          </cell>
        </row>
        <row r="20">
          <cell r="IH20" t="str">
            <v/>
          </cell>
        </row>
        <row r="21">
          <cell r="IH21" t="str">
            <v/>
          </cell>
        </row>
        <row r="22">
          <cell r="IH22" t="str">
            <v/>
          </cell>
        </row>
        <row r="23">
          <cell r="IH23" t="str">
            <v/>
          </cell>
        </row>
        <row r="24">
          <cell r="IH24" t="str">
            <v/>
          </cell>
        </row>
        <row r="25">
          <cell r="IH25" t="str">
            <v/>
          </cell>
        </row>
        <row r="26">
          <cell r="IH26" t="str">
            <v/>
          </cell>
        </row>
        <row r="27">
          <cell r="IH27" t="str">
            <v/>
          </cell>
        </row>
        <row r="28">
          <cell r="IH28" t="str">
            <v/>
          </cell>
        </row>
        <row r="29">
          <cell r="IH29" t="str">
            <v/>
          </cell>
        </row>
        <row r="30">
          <cell r="IH30" t="str">
            <v/>
          </cell>
        </row>
        <row r="31">
          <cell r="IH31" t="str">
            <v/>
          </cell>
        </row>
        <row r="32">
          <cell r="IH32" t="str">
            <v/>
          </cell>
        </row>
        <row r="33">
          <cell r="IH33" t="str">
            <v/>
          </cell>
        </row>
        <row r="34">
          <cell r="IH34" t="str">
            <v/>
          </cell>
        </row>
        <row r="35">
          <cell r="IH35" t="str">
            <v/>
          </cell>
        </row>
        <row r="36">
          <cell r="IH36" t="str">
            <v/>
          </cell>
        </row>
        <row r="37">
          <cell r="IH37" t="str">
            <v/>
          </cell>
        </row>
        <row r="38">
          <cell r="IH38" t="str">
            <v/>
          </cell>
        </row>
        <row r="39">
          <cell r="IH39" t="str">
            <v/>
          </cell>
        </row>
        <row r="40">
          <cell r="IH40" t="str">
            <v/>
          </cell>
        </row>
        <row r="41">
          <cell r="IH41" t="str">
            <v/>
          </cell>
        </row>
        <row r="42">
          <cell r="IH42" t="str">
            <v/>
          </cell>
        </row>
        <row r="43">
          <cell r="IH43" t="str">
            <v/>
          </cell>
        </row>
        <row r="44">
          <cell r="IH44" t="str">
            <v/>
          </cell>
        </row>
        <row r="45">
          <cell r="IH45" t="str">
            <v/>
          </cell>
        </row>
        <row r="46">
          <cell r="IH46" t="str">
            <v/>
          </cell>
        </row>
        <row r="47">
          <cell r="IH47" t="str">
            <v/>
          </cell>
        </row>
        <row r="48">
          <cell r="IH48" t="str">
            <v/>
          </cell>
        </row>
        <row r="49">
          <cell r="IH49" t="str">
            <v/>
          </cell>
        </row>
        <row r="50">
          <cell r="IH50" t="str">
            <v/>
          </cell>
        </row>
        <row r="51">
          <cell r="IH51" t="str">
            <v/>
          </cell>
        </row>
        <row r="52">
          <cell r="IH52" t="str">
            <v/>
          </cell>
        </row>
        <row r="53">
          <cell r="IH53" t="str">
            <v/>
          </cell>
        </row>
        <row r="54">
          <cell r="IH54" t="str">
            <v/>
          </cell>
        </row>
        <row r="55">
          <cell r="IH55" t="str">
            <v/>
          </cell>
        </row>
        <row r="56">
          <cell r="IH56" t="str">
            <v/>
          </cell>
        </row>
        <row r="57">
          <cell r="IH57" t="str">
            <v/>
          </cell>
        </row>
        <row r="58">
          <cell r="IH58" t="str">
            <v/>
          </cell>
        </row>
        <row r="59">
          <cell r="IH59" t="str">
            <v/>
          </cell>
        </row>
        <row r="60">
          <cell r="IH60" t="str">
            <v/>
          </cell>
        </row>
        <row r="61">
          <cell r="IH61" t="str">
            <v/>
          </cell>
        </row>
        <row r="62">
          <cell r="IH62" t="str">
            <v/>
          </cell>
        </row>
        <row r="63">
          <cell r="IH63" t="str">
            <v/>
          </cell>
        </row>
        <row r="64">
          <cell r="IH64" t="str">
            <v/>
          </cell>
        </row>
        <row r="65">
          <cell r="IH65" t="str">
            <v/>
          </cell>
        </row>
        <row r="66">
          <cell r="IH66" t="str">
            <v/>
          </cell>
        </row>
        <row r="67">
          <cell r="IH67" t="str">
            <v/>
          </cell>
        </row>
        <row r="68">
          <cell r="IH68" t="str">
            <v/>
          </cell>
        </row>
        <row r="69">
          <cell r="IH69" t="str">
            <v/>
          </cell>
        </row>
        <row r="70">
          <cell r="IH70" t="str">
            <v/>
          </cell>
        </row>
        <row r="71">
          <cell r="IH71" t="str">
            <v/>
          </cell>
        </row>
        <row r="72">
          <cell r="IH72" t="str">
            <v/>
          </cell>
        </row>
        <row r="73">
          <cell r="IH73" t="str">
            <v/>
          </cell>
        </row>
        <row r="74">
          <cell r="IH74" t="str">
            <v/>
          </cell>
        </row>
        <row r="75">
          <cell r="IH75" t="str">
            <v/>
          </cell>
        </row>
        <row r="76">
          <cell r="IH76" t="str">
            <v/>
          </cell>
        </row>
        <row r="77">
          <cell r="IH77" t="str">
            <v/>
          </cell>
        </row>
        <row r="78">
          <cell r="IH78" t="str">
            <v/>
          </cell>
        </row>
        <row r="79">
          <cell r="IH79" t="str">
            <v/>
          </cell>
        </row>
        <row r="80">
          <cell r="IH80" t="str">
            <v/>
          </cell>
        </row>
        <row r="81">
          <cell r="IH81" t="str">
            <v/>
          </cell>
        </row>
        <row r="82">
          <cell r="IH82" t="str">
            <v/>
          </cell>
        </row>
        <row r="83">
          <cell r="IH83" t="str">
            <v/>
          </cell>
        </row>
        <row r="84">
          <cell r="IH84" t="str">
            <v/>
          </cell>
        </row>
        <row r="85">
          <cell r="IH85" t="str">
            <v/>
          </cell>
        </row>
        <row r="86">
          <cell r="IH86" t="str">
            <v/>
          </cell>
        </row>
        <row r="87">
          <cell r="IH87" t="str">
            <v/>
          </cell>
        </row>
        <row r="88">
          <cell r="IH88" t="str">
            <v/>
          </cell>
        </row>
        <row r="89">
          <cell r="IH89" t="str">
            <v/>
          </cell>
        </row>
        <row r="90">
          <cell r="IH90" t="str">
            <v/>
          </cell>
        </row>
        <row r="91">
          <cell r="IH91" t="str">
            <v/>
          </cell>
        </row>
        <row r="92">
          <cell r="IH92" t="str">
            <v/>
          </cell>
        </row>
        <row r="93">
          <cell r="IH93" t="str">
            <v/>
          </cell>
        </row>
        <row r="94">
          <cell r="IH94" t="str">
            <v/>
          </cell>
        </row>
        <row r="95">
          <cell r="IH95" t="str">
            <v/>
          </cell>
        </row>
        <row r="96">
          <cell r="IH96" t="str">
            <v/>
          </cell>
        </row>
        <row r="97">
          <cell r="IH97" t="str">
            <v/>
          </cell>
        </row>
        <row r="98">
          <cell r="IH98" t="str">
            <v/>
          </cell>
        </row>
        <row r="99">
          <cell r="IH99" t="str">
            <v/>
          </cell>
        </row>
        <row r="100">
          <cell r="IH100" t="str">
            <v/>
          </cell>
        </row>
        <row r="101">
          <cell r="IH101" t="str">
            <v/>
          </cell>
        </row>
        <row r="102">
          <cell r="IH102" t="str">
            <v/>
          </cell>
        </row>
        <row r="103">
          <cell r="IH103" t="str">
            <v/>
          </cell>
        </row>
        <row r="104">
          <cell r="IH104" t="str">
            <v/>
          </cell>
        </row>
        <row r="105">
          <cell r="IH105" t="str">
            <v/>
          </cell>
        </row>
        <row r="106">
          <cell r="IH106" t="str">
            <v/>
          </cell>
        </row>
        <row r="107">
          <cell r="IH107" t="str">
            <v/>
          </cell>
        </row>
        <row r="108">
          <cell r="IH108" t="str">
            <v/>
          </cell>
        </row>
        <row r="109">
          <cell r="IH109" t="str">
            <v/>
          </cell>
        </row>
        <row r="110">
          <cell r="IH110" t="str">
            <v/>
          </cell>
        </row>
        <row r="111">
          <cell r="IH111" t="str">
            <v/>
          </cell>
        </row>
        <row r="112">
          <cell r="IH112" t="str">
            <v/>
          </cell>
        </row>
        <row r="113">
          <cell r="IH113" t="str">
            <v/>
          </cell>
        </row>
        <row r="114">
          <cell r="IH114" t="str">
            <v/>
          </cell>
        </row>
        <row r="115">
          <cell r="IH115" t="str">
            <v/>
          </cell>
        </row>
        <row r="116">
          <cell r="IH116" t="str">
            <v/>
          </cell>
        </row>
        <row r="117">
          <cell r="IH117" t="str">
            <v/>
          </cell>
        </row>
        <row r="118">
          <cell r="IH118" t="str">
            <v/>
          </cell>
        </row>
        <row r="119">
          <cell r="IH119" t="str">
            <v/>
          </cell>
        </row>
        <row r="120">
          <cell r="IH120" t="str">
            <v/>
          </cell>
        </row>
        <row r="121">
          <cell r="IH121" t="str">
            <v/>
          </cell>
        </row>
        <row r="122">
          <cell r="IH122" t="str">
            <v/>
          </cell>
        </row>
        <row r="123">
          <cell r="IH123" t="str">
            <v/>
          </cell>
        </row>
        <row r="124">
          <cell r="IH124" t="str">
            <v/>
          </cell>
        </row>
        <row r="125">
          <cell r="IH125" t="str">
            <v/>
          </cell>
        </row>
        <row r="126">
          <cell r="IH126" t="str">
            <v/>
          </cell>
        </row>
        <row r="127">
          <cell r="IH127" t="str">
            <v/>
          </cell>
        </row>
        <row r="128">
          <cell r="IH128" t="str">
            <v/>
          </cell>
        </row>
        <row r="129">
          <cell r="IH129" t="str">
            <v/>
          </cell>
        </row>
        <row r="130">
          <cell r="IH130" t="str">
            <v/>
          </cell>
        </row>
        <row r="131">
          <cell r="IH131" t="str">
            <v/>
          </cell>
        </row>
        <row r="132">
          <cell r="IH132" t="str">
            <v/>
          </cell>
        </row>
        <row r="133">
          <cell r="IH133" t="str">
            <v/>
          </cell>
        </row>
        <row r="134">
          <cell r="IH134" t="str">
            <v/>
          </cell>
        </row>
        <row r="135">
          <cell r="IH135" t="str">
            <v/>
          </cell>
        </row>
        <row r="136">
          <cell r="IH136" t="str">
            <v/>
          </cell>
        </row>
        <row r="137">
          <cell r="IH137" t="str">
            <v/>
          </cell>
        </row>
        <row r="138">
          <cell r="IH138" t="str">
            <v/>
          </cell>
        </row>
        <row r="139">
          <cell r="IH139" t="str">
            <v/>
          </cell>
        </row>
        <row r="140">
          <cell r="IH140" t="str">
            <v/>
          </cell>
        </row>
        <row r="141">
          <cell r="IH141" t="str">
            <v/>
          </cell>
        </row>
        <row r="142">
          <cell r="IH142" t="str">
            <v/>
          </cell>
        </row>
        <row r="143">
          <cell r="IH143" t="str">
            <v/>
          </cell>
        </row>
        <row r="144">
          <cell r="IH144" t="str">
            <v/>
          </cell>
        </row>
        <row r="145">
          <cell r="IH145" t="str">
            <v/>
          </cell>
        </row>
        <row r="146">
          <cell r="IH146" t="str">
            <v/>
          </cell>
        </row>
        <row r="147">
          <cell r="IH147" t="str">
            <v/>
          </cell>
        </row>
        <row r="148">
          <cell r="IH148" t="str">
            <v/>
          </cell>
        </row>
        <row r="149">
          <cell r="IH149" t="str">
            <v/>
          </cell>
        </row>
        <row r="150">
          <cell r="IH150" t="str">
            <v/>
          </cell>
        </row>
        <row r="151">
          <cell r="IH151" t="str">
            <v/>
          </cell>
        </row>
        <row r="152">
          <cell r="IH152" t="str">
            <v/>
          </cell>
        </row>
        <row r="153">
          <cell r="IH153" t="str">
            <v/>
          </cell>
        </row>
        <row r="154">
          <cell r="IH154" t="str">
            <v/>
          </cell>
        </row>
        <row r="155">
          <cell r="IH155" t="str">
            <v/>
          </cell>
        </row>
        <row r="156">
          <cell r="IH156" t="str">
            <v/>
          </cell>
        </row>
        <row r="157">
          <cell r="IH157" t="str">
            <v/>
          </cell>
        </row>
        <row r="158">
          <cell r="IH158" t="str">
            <v/>
          </cell>
        </row>
        <row r="159">
          <cell r="IH159" t="str">
            <v/>
          </cell>
        </row>
        <row r="160">
          <cell r="IH160" t="str">
            <v/>
          </cell>
        </row>
        <row r="161">
          <cell r="IH161" t="str">
            <v/>
          </cell>
        </row>
        <row r="162">
          <cell r="IH162" t="str">
            <v/>
          </cell>
        </row>
        <row r="163">
          <cell r="IH163" t="str">
            <v/>
          </cell>
        </row>
        <row r="164">
          <cell r="IH164" t="str">
            <v/>
          </cell>
        </row>
        <row r="165">
          <cell r="IH165" t="str">
            <v/>
          </cell>
        </row>
        <row r="166">
          <cell r="IH166" t="str">
            <v/>
          </cell>
        </row>
        <row r="167">
          <cell r="IH167" t="str">
            <v/>
          </cell>
        </row>
        <row r="168">
          <cell r="IH168" t="str">
            <v/>
          </cell>
        </row>
        <row r="169">
          <cell r="IH169" t="str">
            <v/>
          </cell>
        </row>
        <row r="170">
          <cell r="IH170" t="str">
            <v/>
          </cell>
        </row>
        <row r="171">
          <cell r="IH171" t="str">
            <v/>
          </cell>
        </row>
        <row r="172">
          <cell r="IH172" t="str">
            <v/>
          </cell>
        </row>
        <row r="173">
          <cell r="IH173" t="str">
            <v/>
          </cell>
        </row>
        <row r="174">
          <cell r="IH174" t="str">
            <v/>
          </cell>
        </row>
        <row r="175">
          <cell r="IH175" t="str">
            <v/>
          </cell>
        </row>
        <row r="176">
          <cell r="IH176" t="str">
            <v/>
          </cell>
        </row>
        <row r="177">
          <cell r="IH177" t="str">
            <v/>
          </cell>
        </row>
        <row r="178">
          <cell r="IH178" t="str">
            <v/>
          </cell>
        </row>
        <row r="179">
          <cell r="IH179" t="str">
            <v/>
          </cell>
        </row>
        <row r="180">
          <cell r="IH180" t="str">
            <v/>
          </cell>
        </row>
        <row r="181">
          <cell r="IH181" t="str">
            <v/>
          </cell>
        </row>
        <row r="182">
          <cell r="IH182" t="str">
            <v/>
          </cell>
        </row>
        <row r="183">
          <cell r="IH183" t="str">
            <v/>
          </cell>
        </row>
        <row r="184">
          <cell r="IH184" t="str">
            <v/>
          </cell>
        </row>
        <row r="185">
          <cell r="IH185" t="str">
            <v/>
          </cell>
        </row>
        <row r="186">
          <cell r="IH186" t="str">
            <v/>
          </cell>
        </row>
        <row r="187">
          <cell r="IH187" t="str">
            <v/>
          </cell>
        </row>
        <row r="188">
          <cell r="IH188" t="str">
            <v/>
          </cell>
        </row>
        <row r="189">
          <cell r="IH189" t="str">
            <v/>
          </cell>
        </row>
        <row r="190">
          <cell r="IH190" t="str">
            <v/>
          </cell>
        </row>
        <row r="191">
          <cell r="IH191" t="str">
            <v/>
          </cell>
        </row>
        <row r="192">
          <cell r="IH192" t="str">
            <v/>
          </cell>
        </row>
        <row r="193">
          <cell r="IH193" t="str">
            <v/>
          </cell>
        </row>
        <row r="194">
          <cell r="IH194" t="str">
            <v/>
          </cell>
        </row>
        <row r="195">
          <cell r="IH195" t="str">
            <v/>
          </cell>
        </row>
        <row r="196">
          <cell r="IH196" t="str">
            <v/>
          </cell>
        </row>
        <row r="197">
          <cell r="IH197" t="str">
            <v/>
          </cell>
        </row>
        <row r="198">
          <cell r="IH198" t="str">
            <v/>
          </cell>
        </row>
        <row r="199">
          <cell r="IH199" t="str">
            <v/>
          </cell>
        </row>
        <row r="200">
          <cell r="IH200" t="str">
            <v/>
          </cell>
        </row>
        <row r="201">
          <cell r="IH201" t="str">
            <v/>
          </cell>
        </row>
        <row r="202">
          <cell r="IH202" t="str">
            <v/>
          </cell>
        </row>
        <row r="203">
          <cell r="IH203" t="str">
            <v/>
          </cell>
        </row>
        <row r="204">
          <cell r="IH204" t="str">
            <v/>
          </cell>
        </row>
        <row r="205">
          <cell r="IH205" t="str">
            <v/>
          </cell>
        </row>
        <row r="206">
          <cell r="IH206" t="str">
            <v/>
          </cell>
        </row>
        <row r="207">
          <cell r="IH207" t="str">
            <v/>
          </cell>
        </row>
        <row r="208">
          <cell r="IH208" t="str">
            <v/>
          </cell>
        </row>
        <row r="209">
          <cell r="IH209" t="str">
            <v/>
          </cell>
        </row>
        <row r="210">
          <cell r="IH210" t="str">
            <v/>
          </cell>
        </row>
        <row r="211">
          <cell r="IH211" t="str">
            <v/>
          </cell>
        </row>
        <row r="212">
          <cell r="IH212" t="str">
            <v/>
          </cell>
        </row>
        <row r="213">
          <cell r="IH213" t="str">
            <v/>
          </cell>
        </row>
        <row r="214">
          <cell r="IH214" t="str">
            <v/>
          </cell>
        </row>
        <row r="215">
          <cell r="IH215" t="str">
            <v/>
          </cell>
        </row>
        <row r="216">
          <cell r="IH216" t="str">
            <v/>
          </cell>
        </row>
        <row r="217">
          <cell r="IH217" t="str">
            <v/>
          </cell>
        </row>
        <row r="218">
          <cell r="IH218" t="str">
            <v/>
          </cell>
        </row>
        <row r="219">
          <cell r="IH219" t="str">
            <v/>
          </cell>
        </row>
        <row r="220">
          <cell r="IH220" t="str">
            <v/>
          </cell>
        </row>
        <row r="221">
          <cell r="IH221" t="str">
            <v/>
          </cell>
        </row>
        <row r="222">
          <cell r="IH222" t="str">
            <v/>
          </cell>
        </row>
        <row r="223">
          <cell r="IH223" t="str">
            <v/>
          </cell>
        </row>
        <row r="224">
          <cell r="IH224" t="str">
            <v/>
          </cell>
        </row>
        <row r="225">
          <cell r="IH225" t="str">
            <v/>
          </cell>
        </row>
        <row r="226">
          <cell r="IH226" t="str">
            <v/>
          </cell>
        </row>
        <row r="227">
          <cell r="IH227" t="str">
            <v/>
          </cell>
        </row>
        <row r="228">
          <cell r="IH228" t="str">
            <v/>
          </cell>
        </row>
        <row r="229">
          <cell r="IH229" t="str">
            <v/>
          </cell>
        </row>
        <row r="230">
          <cell r="IH230" t="str">
            <v/>
          </cell>
        </row>
        <row r="231">
          <cell r="IH231" t="str">
            <v/>
          </cell>
        </row>
        <row r="232">
          <cell r="IH232" t="str">
            <v/>
          </cell>
        </row>
        <row r="233">
          <cell r="IH233" t="str">
            <v/>
          </cell>
        </row>
        <row r="234">
          <cell r="IH234" t="str">
            <v/>
          </cell>
        </row>
        <row r="235">
          <cell r="IH235" t="str">
            <v/>
          </cell>
        </row>
        <row r="236">
          <cell r="IH236" t="str">
            <v/>
          </cell>
        </row>
        <row r="237">
          <cell r="IH237" t="str">
            <v/>
          </cell>
        </row>
        <row r="238">
          <cell r="IH238" t="str">
            <v/>
          </cell>
        </row>
        <row r="239">
          <cell r="IH239" t="str">
            <v/>
          </cell>
        </row>
        <row r="240">
          <cell r="IH240" t="str">
            <v/>
          </cell>
        </row>
        <row r="241">
          <cell r="IH241" t="str">
            <v/>
          </cell>
        </row>
        <row r="242">
          <cell r="IH242" t="str">
            <v/>
          </cell>
        </row>
        <row r="243">
          <cell r="IH243" t="str">
            <v/>
          </cell>
        </row>
        <row r="244">
          <cell r="IH244" t="str">
            <v/>
          </cell>
        </row>
        <row r="245">
          <cell r="IH245" t="str">
            <v/>
          </cell>
        </row>
        <row r="246">
          <cell r="IH246" t="str">
            <v/>
          </cell>
        </row>
        <row r="247">
          <cell r="IH247" t="str">
            <v/>
          </cell>
        </row>
        <row r="248">
          <cell r="IH248" t="str">
            <v/>
          </cell>
        </row>
        <row r="249">
          <cell r="IH249" t="str">
            <v/>
          </cell>
        </row>
        <row r="250">
          <cell r="IH250" t="str">
            <v/>
          </cell>
        </row>
        <row r="251">
          <cell r="IH251" t="str">
            <v/>
          </cell>
        </row>
        <row r="252">
          <cell r="IH252" t="str">
            <v/>
          </cell>
        </row>
        <row r="253">
          <cell r="IH253" t="str">
            <v/>
          </cell>
        </row>
        <row r="254">
          <cell r="IH254" t="str">
            <v/>
          </cell>
        </row>
        <row r="255">
          <cell r="IH255" t="str">
            <v/>
          </cell>
        </row>
        <row r="256">
          <cell r="IH256" t="str">
            <v/>
          </cell>
        </row>
        <row r="257">
          <cell r="IH257" t="str">
            <v/>
          </cell>
        </row>
        <row r="258">
          <cell r="IH258" t="str">
            <v/>
          </cell>
        </row>
        <row r="259">
          <cell r="IH259" t="str">
            <v/>
          </cell>
        </row>
        <row r="260">
          <cell r="IH260" t="str">
            <v/>
          </cell>
        </row>
        <row r="261">
          <cell r="IH261" t="str">
            <v/>
          </cell>
        </row>
        <row r="262">
          <cell r="IH262" t="str">
            <v/>
          </cell>
        </row>
      </sheetData>
      <sheetData sheetId="8"/>
      <sheetData sheetId="9">
        <row r="4">
          <cell r="A4">
            <v>32782</v>
          </cell>
        </row>
        <row r="5">
          <cell r="A5">
            <v>33147</v>
          </cell>
        </row>
        <row r="6">
          <cell r="A6">
            <v>33512</v>
          </cell>
        </row>
        <row r="7">
          <cell r="A7">
            <v>33878</v>
          </cell>
        </row>
        <row r="8">
          <cell r="A8">
            <v>34243</v>
          </cell>
        </row>
        <row r="9">
          <cell r="A9">
            <v>34608</v>
          </cell>
        </row>
        <row r="10">
          <cell r="A10">
            <v>34973</v>
          </cell>
        </row>
        <row r="11">
          <cell r="A11">
            <v>35339</v>
          </cell>
        </row>
        <row r="12">
          <cell r="A12">
            <v>35704</v>
          </cell>
        </row>
        <row r="13">
          <cell r="A13">
            <v>36069</v>
          </cell>
        </row>
        <row r="14">
          <cell r="A14">
            <v>36434</v>
          </cell>
        </row>
        <row r="15">
          <cell r="A15">
            <v>36800</v>
          </cell>
        </row>
        <row r="16">
          <cell r="A16">
            <v>37165</v>
          </cell>
        </row>
        <row r="17">
          <cell r="A17">
            <v>37530</v>
          </cell>
        </row>
        <row r="18">
          <cell r="A18">
            <v>37895</v>
          </cell>
        </row>
        <row r="19">
          <cell r="A19">
            <v>38261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entation"/>
      <sheetName val="A"/>
      <sheetName val="B"/>
      <sheetName val="C"/>
      <sheetName val="Menu"/>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de"/>
      <sheetName val="SecRéel"/>
      <sheetName val="SaisieSR"/>
      <sheetName val="FinPub"/>
      <sheetName val="SaisieFP"/>
      <sheetName val="SitMon"/>
      <sheetName val="SaisieSM"/>
      <sheetName val="SecExt"/>
      <sheetName val="SaisieSE"/>
      <sheetName val="Réformes"/>
      <sheetName val="Definitions"/>
      <sheetName val="Indicateurs"/>
      <sheetName val="Conclusion"/>
      <sheetName val="N"/>
    </sheetNames>
    <sheetDataSet>
      <sheetData sheetId="0"/>
      <sheetData sheetId="1" refreshError="1"/>
      <sheetData sheetId="2">
        <row r="65">
          <cell r="F65" t="str">
            <v>4. Trim.2000</v>
          </cell>
          <cell r="G65" t="str">
            <v>1. Trim.*2001</v>
          </cell>
        </row>
        <row r="69">
          <cell r="F69">
            <v>77.432545768665761</v>
          </cell>
          <cell r="G69">
            <v>86.645703140895606</v>
          </cell>
          <cell r="H69">
            <v>11.898301006084299</v>
          </cell>
        </row>
        <row r="70">
          <cell r="F70">
            <v>97.816725533204036</v>
          </cell>
          <cell r="G70">
            <v>108.40629325385137</v>
          </cell>
          <cell r="H70">
            <v>10.825927430020844</v>
          </cell>
        </row>
        <row r="71">
          <cell r="F71">
            <v>88.860207792220436</v>
          </cell>
          <cell r="G71">
            <v>96.820581172099935</v>
          </cell>
          <cell r="H71">
            <v>8.958310561790535</v>
          </cell>
        </row>
        <row r="73">
          <cell r="F73">
            <v>64.218354332133771</v>
          </cell>
          <cell r="G73">
            <v>73.347723240635617</v>
          </cell>
          <cell r="H73">
            <v>14.21613649780755</v>
          </cell>
        </row>
        <row r="74">
          <cell r="F74">
            <v>82.578503872046369</v>
          </cell>
          <cell r="G74">
            <v>88.290713927930085</v>
          </cell>
          <cell r="H74">
            <v>6.9173087281099974</v>
          </cell>
        </row>
        <row r="75">
          <cell r="F75">
            <v>73.595608689685605</v>
          </cell>
          <cell r="G75">
            <v>78.706565504864386</v>
          </cell>
          <cell r="H75">
            <v>6.9446491525452654</v>
          </cell>
        </row>
        <row r="83">
          <cell r="D83" t="str">
            <v>1. Trim.1997</v>
          </cell>
          <cell r="E83" t="str">
            <v>2. Trim.1997</v>
          </cell>
          <cell r="F83" t="str">
            <v>3. Trim.1997</v>
          </cell>
          <cell r="G83" t="str">
            <v>4. Trim.1997</v>
          </cell>
        </row>
        <row r="87">
          <cell r="D87">
            <v>150.92041601409343</v>
          </cell>
          <cell r="E87">
            <v>146.88434829672318</v>
          </cell>
          <cell r="F87">
            <v>147.9147960080125</v>
          </cell>
          <cell r="G87">
            <v>146.25357083918709</v>
          </cell>
        </row>
        <row r="88">
          <cell r="D88">
            <v>130.33980239149867</v>
          </cell>
          <cell r="E88">
            <v>127.80595866134701</v>
          </cell>
          <cell r="F88">
            <v>132.03323208156448</v>
          </cell>
          <cell r="G88">
            <v>130.30437245487005</v>
          </cell>
        </row>
        <row r="89">
          <cell r="D89">
            <v>89.772127752704193</v>
          </cell>
          <cell r="E89">
            <v>87.989408345428743</v>
          </cell>
          <cell r="F89">
            <v>88.988332521121265</v>
          </cell>
          <cell r="G89">
            <v>87.3482486887806</v>
          </cell>
        </row>
        <row r="91">
          <cell r="D91">
            <v>21.502365741119458</v>
          </cell>
          <cell r="E91">
            <v>22.641222499549595</v>
          </cell>
          <cell r="F91">
            <v>23.228003157601432</v>
          </cell>
          <cell r="G91">
            <v>20.633202292208882</v>
          </cell>
        </row>
        <row r="92">
          <cell r="D92">
            <v>12.235355554277788</v>
          </cell>
          <cell r="E92">
            <v>12.476409530346578</v>
          </cell>
          <cell r="F92">
            <v>13.584446805395583</v>
          </cell>
          <cell r="G92">
            <v>12.229273288851015</v>
          </cell>
        </row>
        <row r="94">
          <cell r="D94">
            <v>10.454274607805097</v>
          </cell>
          <cell r="E94">
            <v>10.483864817780947</v>
          </cell>
          <cell r="F94">
            <v>11.096805769944378</v>
          </cell>
          <cell r="G94">
            <v>10.124688312894291</v>
          </cell>
        </row>
        <row r="95">
          <cell r="D95">
            <v>9.5940709769523362</v>
          </cell>
          <cell r="E95">
            <v>9.7437738232548252</v>
          </cell>
          <cell r="F95">
            <v>9.8492607964759777</v>
          </cell>
          <cell r="G95">
            <v>9.139405434004626</v>
          </cell>
        </row>
      </sheetData>
      <sheetData sheetId="3">
        <row r="121">
          <cell r="C121" t="str">
            <v>1. Trim.</v>
          </cell>
          <cell r="D121" t="str">
            <v>2. Trim.</v>
          </cell>
          <cell r="E121" t="str">
            <v>3. Trim.</v>
          </cell>
          <cell r="F121" t="str">
            <v>4. Trim.</v>
          </cell>
          <cell r="G121" t="str">
            <v>1. Trim.</v>
          </cell>
        </row>
        <row r="126">
          <cell r="C126">
            <v>1.237436</v>
          </cell>
          <cell r="D126">
            <v>2.652463</v>
          </cell>
          <cell r="E126">
            <v>4.1409750000000001</v>
          </cell>
          <cell r="F126">
            <v>7.2081740000000005</v>
          </cell>
          <cell r="G126">
            <v>3.7280230000000003</v>
          </cell>
        </row>
        <row r="129">
          <cell r="C129">
            <v>7.1927149999999997</v>
          </cell>
          <cell r="D129">
            <v>17.335385000000002</v>
          </cell>
          <cell r="E129">
            <v>26.008937000000003</v>
          </cell>
          <cell r="F129">
            <v>37.475226000000006</v>
          </cell>
          <cell r="G129">
            <v>8.1850419999999993</v>
          </cell>
        </row>
      </sheetData>
      <sheetData sheetId="4" refreshError="1"/>
      <sheetData sheetId="5"/>
      <sheetData sheetId="6"/>
      <sheetData sheetId="7" refreshError="1"/>
      <sheetData sheetId="8">
        <row r="30">
          <cell r="C30">
            <v>71857.343250000005</v>
          </cell>
          <cell r="D30">
            <v>87646.060335999995</v>
          </cell>
          <cell r="E30">
            <v>82132.732608999999</v>
          </cell>
        </row>
        <row r="58">
          <cell r="C58">
            <v>0</v>
          </cell>
          <cell r="D58">
            <v>0</v>
          </cell>
          <cell r="E58">
            <v>0</v>
          </cell>
        </row>
      </sheetData>
      <sheetData sheetId="9"/>
      <sheetData sheetId="10"/>
      <sheetData sheetId="11"/>
      <sheetData sheetId="12" refreshError="1"/>
      <sheetData sheetId="13">
        <row r="130">
          <cell r="C130" t="str">
            <v>{DEFINIR "imprimer-champ";sm}</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de"/>
      <sheetName val="SecRéel"/>
      <sheetName val="SaisieSR"/>
      <sheetName val="FinPub"/>
      <sheetName val="SaisieFP"/>
      <sheetName val="SitMon"/>
      <sheetName val="SaisieSM"/>
      <sheetName val="SecExt"/>
      <sheetName val="SaisieSE"/>
      <sheetName val="Réformes"/>
      <sheetName val="Definitions"/>
      <sheetName val="Indicateurs"/>
      <sheetName val="Conclusion"/>
      <sheetName val="N"/>
    </sheetNames>
    <sheetDataSet>
      <sheetData sheetId="0"/>
      <sheetData sheetId="1" refreshError="1"/>
      <sheetData sheetId="2">
        <row r="65">
          <cell r="F65" t="str">
            <v>4. Trim.2000</v>
          </cell>
          <cell r="G65" t="str">
            <v>1. Trim.*2001</v>
          </cell>
        </row>
        <row r="69">
          <cell r="F69">
            <v>77.432545768665761</v>
          </cell>
          <cell r="G69">
            <v>86.645703140895606</v>
          </cell>
          <cell r="H69">
            <v>11.898301006084299</v>
          </cell>
        </row>
        <row r="70">
          <cell r="F70">
            <v>97.816725533204036</v>
          </cell>
          <cell r="G70">
            <v>108.40629325385137</v>
          </cell>
          <cell r="H70">
            <v>10.825927430020844</v>
          </cell>
        </row>
        <row r="71">
          <cell r="F71">
            <v>88.860207792220436</v>
          </cell>
          <cell r="G71">
            <v>96.820581172099935</v>
          </cell>
          <cell r="H71">
            <v>8.958310561790535</v>
          </cell>
        </row>
        <row r="73">
          <cell r="F73">
            <v>64.218354332133771</v>
          </cell>
          <cell r="G73">
            <v>73.347723240635617</v>
          </cell>
          <cell r="H73">
            <v>14.21613649780755</v>
          </cell>
        </row>
        <row r="74">
          <cell r="F74">
            <v>82.578503872046369</v>
          </cell>
          <cell r="G74">
            <v>88.290713927930085</v>
          </cell>
          <cell r="H74">
            <v>6.9173087281099974</v>
          </cell>
        </row>
        <row r="75">
          <cell r="F75">
            <v>73.595608689685605</v>
          </cell>
          <cell r="G75">
            <v>78.706565504864386</v>
          </cell>
          <cell r="H75">
            <v>6.9446491525452654</v>
          </cell>
        </row>
        <row r="83">
          <cell r="D83" t="str">
            <v>1. Trim.1997</v>
          </cell>
          <cell r="E83" t="str">
            <v>2. Trim.1997</v>
          </cell>
          <cell r="F83" t="str">
            <v>3. Trim.1997</v>
          </cell>
          <cell r="G83" t="str">
            <v>4. Trim.1997</v>
          </cell>
        </row>
        <row r="87">
          <cell r="D87">
            <v>150.92041601409343</v>
          </cell>
          <cell r="E87">
            <v>146.88434829672318</v>
          </cell>
          <cell r="F87">
            <v>147.9147960080125</v>
          </cell>
          <cell r="G87">
            <v>146.25357083918709</v>
          </cell>
        </row>
        <row r="88">
          <cell r="D88">
            <v>130.33980239149867</v>
          </cell>
          <cell r="E88">
            <v>127.80595866134701</v>
          </cell>
          <cell r="F88">
            <v>132.03323208156448</v>
          </cell>
          <cell r="G88">
            <v>130.30437245487005</v>
          </cell>
        </row>
        <row r="89">
          <cell r="D89">
            <v>89.772127752704193</v>
          </cell>
          <cell r="E89">
            <v>87.989408345428743</v>
          </cell>
          <cell r="F89">
            <v>88.988332521121265</v>
          </cell>
          <cell r="G89">
            <v>87.3482486887806</v>
          </cell>
        </row>
        <row r="91">
          <cell r="D91">
            <v>21.502365741119458</v>
          </cell>
          <cell r="E91">
            <v>22.641222499549595</v>
          </cell>
          <cell r="F91">
            <v>23.228003157601432</v>
          </cell>
          <cell r="G91">
            <v>20.633202292208882</v>
          </cell>
        </row>
        <row r="92">
          <cell r="D92">
            <v>12.235355554277788</v>
          </cell>
          <cell r="E92">
            <v>12.476409530346578</v>
          </cell>
          <cell r="F92">
            <v>13.584446805395583</v>
          </cell>
          <cell r="G92">
            <v>12.229273288851015</v>
          </cell>
        </row>
        <row r="94">
          <cell r="D94">
            <v>10.454274607805097</v>
          </cell>
          <cell r="E94">
            <v>10.483864817780947</v>
          </cell>
          <cell r="F94">
            <v>11.096805769944378</v>
          </cell>
          <cell r="G94">
            <v>10.124688312894291</v>
          </cell>
        </row>
        <row r="95">
          <cell r="D95">
            <v>9.5940709769523362</v>
          </cell>
          <cell r="E95">
            <v>9.7437738232548252</v>
          </cell>
          <cell r="F95">
            <v>9.8492607964759777</v>
          </cell>
          <cell r="G95">
            <v>9.139405434004626</v>
          </cell>
        </row>
      </sheetData>
      <sheetData sheetId="3">
        <row r="121">
          <cell r="C121" t="str">
            <v>1. Trim.</v>
          </cell>
          <cell r="D121" t="str">
            <v>2. Trim.</v>
          </cell>
          <cell r="E121" t="str">
            <v>3. Trim.</v>
          </cell>
          <cell r="F121" t="str">
            <v>4. Trim.</v>
          </cell>
          <cell r="G121" t="str">
            <v>1. Trim.</v>
          </cell>
        </row>
        <row r="126">
          <cell r="C126">
            <v>1.237436</v>
          </cell>
          <cell r="D126">
            <v>2.652463</v>
          </cell>
          <cell r="E126">
            <v>4.1409750000000001</v>
          </cell>
          <cell r="F126">
            <v>7.2081740000000005</v>
          </cell>
          <cell r="G126">
            <v>3.7280230000000003</v>
          </cell>
        </row>
        <row r="129">
          <cell r="C129">
            <v>7.1927149999999997</v>
          </cell>
          <cell r="D129">
            <v>17.335385000000002</v>
          </cell>
          <cell r="E129">
            <v>26.008937000000003</v>
          </cell>
          <cell r="F129">
            <v>37.475226000000006</v>
          </cell>
          <cell r="G129">
            <v>8.1850419999999993</v>
          </cell>
        </row>
      </sheetData>
      <sheetData sheetId="4" refreshError="1"/>
      <sheetData sheetId="5"/>
      <sheetData sheetId="6"/>
      <sheetData sheetId="7" refreshError="1"/>
      <sheetData sheetId="8">
        <row r="30">
          <cell r="C30">
            <v>71857.343250000005</v>
          </cell>
          <cell r="D30">
            <v>87646.060335999995</v>
          </cell>
          <cell r="E30">
            <v>82132.732608999999</v>
          </cell>
        </row>
        <row r="58">
          <cell r="C58">
            <v>0</v>
          </cell>
          <cell r="D58">
            <v>0</v>
          </cell>
          <cell r="E58">
            <v>0</v>
          </cell>
        </row>
      </sheetData>
      <sheetData sheetId="9"/>
      <sheetData sheetId="10"/>
      <sheetData sheetId="11"/>
      <sheetData sheetId="12" refreshError="1"/>
      <sheetData sheetId="13">
        <row r="130">
          <cell r="C130" t="str">
            <v>{DEFINIR "imprimer-champ";sm}</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entation "/>
      <sheetName val="A"/>
      <sheetName val="B"/>
      <sheetName val="C"/>
      <sheetName val="D"/>
      <sheetName val="Menu"/>
    </sheetNames>
    <sheetDataSet>
      <sheetData sheetId="0"/>
      <sheetData sheetId="1">
        <row r="270">
          <cell r="AA270" t="str">
            <v>4.Trim</v>
          </cell>
          <cell r="AB270" t="str">
            <v>1.Trim</v>
          </cell>
          <cell r="AC270" t="str">
            <v>2.Trim</v>
          </cell>
          <cell r="AD270" t="str">
            <v>3.Trim</v>
          </cell>
          <cell r="AE270" t="str">
            <v>4.Trim</v>
          </cell>
        </row>
        <row r="273">
          <cell r="AA273">
            <v>-36.472177999999985</v>
          </cell>
          <cell r="AB273">
            <v>-14.709935999999992</v>
          </cell>
          <cell r="AC273">
            <v>-37.444400999999985</v>
          </cell>
          <cell r="AD273">
            <v>-44.071706999999989</v>
          </cell>
          <cell r="AE273">
            <v>-39.94512899999998</v>
          </cell>
        </row>
        <row r="277">
          <cell r="R277">
            <v>23.183377000000007</v>
          </cell>
          <cell r="S277">
            <v>37.678711</v>
          </cell>
          <cell r="T277">
            <v>46.805629000000003</v>
          </cell>
          <cell r="U277">
            <v>38.230296999999993</v>
          </cell>
        </row>
        <row r="278">
          <cell r="R278">
            <v>12.590156999999998</v>
          </cell>
          <cell r="S278">
            <v>17.033844999999999</v>
          </cell>
          <cell r="T278">
            <v>20.084440000000001</v>
          </cell>
          <cell r="U278">
            <v>17.908568000000002</v>
          </cell>
        </row>
        <row r="279">
          <cell r="R279">
            <v>1.9361089999999983</v>
          </cell>
          <cell r="S279">
            <v>9.7628380000000003</v>
          </cell>
          <cell r="T279">
            <v>10.992350999999998</v>
          </cell>
          <cell r="U279">
            <v>8.092728000000001</v>
          </cell>
          <cell r="AA279">
            <v>7.049697000000009</v>
          </cell>
          <cell r="AB279">
            <v>-17.167092999999994</v>
          </cell>
          <cell r="AC279">
            <v>-17.271548999999993</v>
          </cell>
          <cell r="AD279">
            <v>1.120194000000005</v>
          </cell>
          <cell r="AE279">
            <v>-2.9028569999999903</v>
          </cell>
        </row>
        <row r="280">
          <cell r="R280">
            <v>2.7728859999999997</v>
          </cell>
          <cell r="S280">
            <v>2.4353230000000003</v>
          </cell>
          <cell r="T280">
            <v>2.7435239999999999</v>
          </cell>
          <cell r="U280">
            <v>3.9559070000000007</v>
          </cell>
        </row>
        <row r="281">
          <cell r="AA281">
            <v>-11.246725000000001</v>
          </cell>
          <cell r="AB281">
            <v>8.6593249999999991</v>
          </cell>
          <cell r="AC281">
            <v>4.0708299999999991</v>
          </cell>
          <cell r="AD281">
            <v>-14.243986</v>
          </cell>
          <cell r="AE281">
            <v>-13.522525</v>
          </cell>
        </row>
        <row r="283">
          <cell r="R283">
            <v>5.8842249999999972</v>
          </cell>
          <cell r="S283">
            <v>8.4467049999999997</v>
          </cell>
          <cell r="T283">
            <v>12.985313999999997</v>
          </cell>
          <cell r="U283">
            <v>8.2730940000000004</v>
          </cell>
        </row>
        <row r="284">
          <cell r="R284">
            <v>42.248285999999979</v>
          </cell>
          <cell r="S284">
            <v>29.045082999999998</v>
          </cell>
          <cell r="T284">
            <v>43.879652</v>
          </cell>
          <cell r="U284">
            <v>39.761234000000002</v>
          </cell>
          <cell r="AA284">
            <v>4.197023999999999</v>
          </cell>
          <cell r="AB284">
            <v>5.6895519999999999</v>
          </cell>
          <cell r="AC284">
            <v>13.116758000000001</v>
          </cell>
          <cell r="AD284">
            <v>10.922045000000001</v>
          </cell>
          <cell r="AE284">
            <v>14.689066999999994</v>
          </cell>
        </row>
      </sheetData>
      <sheetData sheetId="2"/>
      <sheetData sheetId="3"/>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entation "/>
      <sheetName val="A"/>
      <sheetName val="B"/>
      <sheetName val="C"/>
      <sheetName val="D"/>
      <sheetName val="Menu"/>
    </sheetNames>
    <sheetDataSet>
      <sheetData sheetId="0"/>
      <sheetData sheetId="1">
        <row r="270">
          <cell r="AA270" t="str">
            <v>4.Trim</v>
          </cell>
          <cell r="AB270" t="str">
            <v>1.Trim</v>
          </cell>
          <cell r="AC270" t="str">
            <v>2.Trim</v>
          </cell>
          <cell r="AD270" t="str">
            <v>3.Trim</v>
          </cell>
          <cell r="AE270" t="str">
            <v>4.Trim</v>
          </cell>
        </row>
        <row r="273">
          <cell r="AA273">
            <v>-36.472177999999985</v>
          </cell>
          <cell r="AB273">
            <v>-14.709935999999992</v>
          </cell>
          <cell r="AC273">
            <v>-37.444400999999985</v>
          </cell>
          <cell r="AD273">
            <v>-44.071706999999989</v>
          </cell>
          <cell r="AE273">
            <v>-39.94512899999998</v>
          </cell>
        </row>
        <row r="277">
          <cell r="R277">
            <v>23.183377000000007</v>
          </cell>
          <cell r="S277">
            <v>37.678711</v>
          </cell>
          <cell r="T277">
            <v>46.805629000000003</v>
          </cell>
          <cell r="U277">
            <v>38.230296999999993</v>
          </cell>
        </row>
        <row r="278">
          <cell r="R278">
            <v>12.590156999999998</v>
          </cell>
          <cell r="S278">
            <v>17.033844999999999</v>
          </cell>
          <cell r="T278">
            <v>20.084440000000001</v>
          </cell>
          <cell r="U278">
            <v>17.908568000000002</v>
          </cell>
        </row>
        <row r="279">
          <cell r="R279">
            <v>1.9361089999999983</v>
          </cell>
          <cell r="S279">
            <v>9.7628380000000003</v>
          </cell>
          <cell r="T279">
            <v>10.992350999999998</v>
          </cell>
          <cell r="U279">
            <v>8.092728000000001</v>
          </cell>
          <cell r="AA279">
            <v>7.049697000000009</v>
          </cell>
          <cell r="AB279">
            <v>-17.167092999999994</v>
          </cell>
          <cell r="AC279">
            <v>-17.271548999999993</v>
          </cell>
          <cell r="AD279">
            <v>1.120194000000005</v>
          </cell>
          <cell r="AE279">
            <v>-2.9028569999999903</v>
          </cell>
        </row>
        <row r="280">
          <cell r="R280">
            <v>2.7728859999999997</v>
          </cell>
          <cell r="S280">
            <v>2.4353230000000003</v>
          </cell>
          <cell r="T280">
            <v>2.7435239999999999</v>
          </cell>
          <cell r="U280">
            <v>3.9559070000000007</v>
          </cell>
        </row>
        <row r="281">
          <cell r="AA281">
            <v>-11.246725000000001</v>
          </cell>
          <cell r="AB281">
            <v>8.6593249999999991</v>
          </cell>
          <cell r="AC281">
            <v>4.0708299999999991</v>
          </cell>
          <cell r="AD281">
            <v>-14.243986</v>
          </cell>
          <cell r="AE281">
            <v>-13.522525</v>
          </cell>
        </row>
        <row r="283">
          <cell r="R283">
            <v>5.8842249999999972</v>
          </cell>
          <cell r="S283">
            <v>8.4467049999999997</v>
          </cell>
          <cell r="T283">
            <v>12.985313999999997</v>
          </cell>
          <cell r="U283">
            <v>8.2730940000000004</v>
          </cell>
        </row>
        <row r="284">
          <cell r="R284">
            <v>42.248285999999979</v>
          </cell>
          <cell r="S284">
            <v>29.045082999999998</v>
          </cell>
          <cell r="T284">
            <v>43.879652</v>
          </cell>
          <cell r="U284">
            <v>39.761234000000002</v>
          </cell>
          <cell r="AA284">
            <v>4.197023999999999</v>
          </cell>
          <cell r="AB284">
            <v>5.6895519999999999</v>
          </cell>
          <cell r="AC284">
            <v>13.116758000000001</v>
          </cell>
          <cell r="AD284">
            <v>10.922045000000001</v>
          </cell>
          <cell r="AE284">
            <v>14.689066999999994</v>
          </cell>
        </row>
      </sheetData>
      <sheetData sheetId="2"/>
      <sheetData sheetId="3"/>
      <sheetData sheetId="4" refreshError="1"/>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entation"/>
      <sheetName val="A"/>
      <sheetName val="B"/>
      <sheetName val="C"/>
      <sheetName val="D"/>
      <sheetName val="Menu"/>
    </sheetNames>
    <sheetDataSet>
      <sheetData sheetId="0"/>
      <sheetData sheetId="1"/>
      <sheetData sheetId="2"/>
      <sheetData sheetId="3"/>
      <sheetData sheetId="4"/>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entation"/>
      <sheetName val="A"/>
      <sheetName val="B"/>
      <sheetName val="C"/>
      <sheetName val="D"/>
      <sheetName val="Menu"/>
    </sheetNames>
    <sheetDataSet>
      <sheetData sheetId="0"/>
      <sheetData sheetId="1"/>
      <sheetData sheetId="2"/>
      <sheetData sheetId="3"/>
      <sheetData sheetId="4"/>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ommaire"/>
      <sheetName val="Secteur réel"/>
      <sheetName val="Finances pub"/>
      <sheetName val="Situation monétaire"/>
      <sheetName val="Secteur extérieur"/>
      <sheetName val="Définitions &amp; abréviations"/>
      <sheetName val="Répartition"/>
      <sheetName val="SaisieType1"/>
      <sheetName val="SaisieType2"/>
      <sheetName val="SaisieType3"/>
      <sheetName val="SaisieType4"/>
      <sheetName val="SaisieType5"/>
      <sheetName val="SaisieType6"/>
      <sheetName val="GraphiquesType1"/>
      <sheetName val="GraphiquesType2"/>
      <sheetName val="GraphiquesType3"/>
      <sheetName val="Paramètres"/>
    </sheetNames>
    <sheetDataSet>
      <sheetData sheetId="0"/>
      <sheetData sheetId="1"/>
      <sheetData sheetId="2"/>
      <sheetData sheetId="3"/>
      <sheetData sheetId="4"/>
      <sheetData sheetId="5"/>
      <sheetData sheetId="6"/>
      <sheetData sheetId="7"/>
      <sheetData sheetId="8">
        <row r="37">
          <cell r="A37">
            <v>34348</v>
          </cell>
          <cell r="R37">
            <v>0</v>
          </cell>
          <cell r="T37">
            <v>34348</v>
          </cell>
          <cell r="U37">
            <v>231.3</v>
          </cell>
          <cell r="X37">
            <v>39.200000000000003</v>
          </cell>
          <cell r="Y37">
            <v>111.9</v>
          </cell>
          <cell r="Z37">
            <v>100.9</v>
          </cell>
          <cell r="AA37">
            <v>113.2</v>
          </cell>
          <cell r="AB37">
            <v>113.8</v>
          </cell>
          <cell r="AC37">
            <v>197.8</v>
          </cell>
          <cell r="AD37">
            <v>72.7</v>
          </cell>
          <cell r="AE37">
            <v>48.1</v>
          </cell>
          <cell r="AF37">
            <v>67.8</v>
          </cell>
          <cell r="AG37">
            <v>101.1</v>
          </cell>
          <cell r="AJ37">
            <v>86.2</v>
          </cell>
          <cell r="AN37">
            <v>1</v>
          </cell>
          <cell r="AP37">
            <v>34348</v>
          </cell>
          <cell r="AQ37">
            <v>493.375</v>
          </cell>
          <cell r="AR37">
            <v>13.49</v>
          </cell>
          <cell r="AS37">
            <v>1.4981256890848951</v>
          </cell>
          <cell r="AT37">
            <v>13.646560846560845</v>
          </cell>
          <cell r="AV37">
            <v>6.65562875</v>
          </cell>
          <cell r="AW37">
            <v>0.7391377618522601</v>
          </cell>
          <cell r="AX37">
            <v>6.7328719576719571</v>
          </cell>
          <cell r="AZ37">
            <v>10</v>
          </cell>
          <cell r="BA37">
            <v>10</v>
          </cell>
          <cell r="BB37">
            <v>10</v>
          </cell>
          <cell r="BC37">
            <v>10</v>
          </cell>
          <cell r="BD37">
            <v>10</v>
          </cell>
          <cell r="BE37">
            <v>10</v>
          </cell>
          <cell r="BF37">
            <v>0.11105453588472165</v>
          </cell>
          <cell r="BI37">
            <v>1</v>
          </cell>
          <cell r="BK37">
            <v>34348</v>
          </cell>
          <cell r="CD37">
            <v>0</v>
          </cell>
          <cell r="CF37">
            <v>34348</v>
          </cell>
          <cell r="CG37">
            <v>14.5</v>
          </cell>
          <cell r="CH37">
            <v>14.5</v>
          </cell>
          <cell r="CI37">
            <v>14.5</v>
          </cell>
          <cell r="CU37">
            <v>10</v>
          </cell>
          <cell r="CV37">
            <v>10</v>
          </cell>
          <cell r="CY37">
            <v>0</v>
          </cell>
        </row>
        <row r="38">
          <cell r="A38">
            <v>34378.4375</v>
          </cell>
          <cell r="R38">
            <v>0</v>
          </cell>
          <cell r="T38">
            <v>34378.4375</v>
          </cell>
          <cell r="U38">
            <v>138.6</v>
          </cell>
          <cell r="X38">
            <v>49</v>
          </cell>
          <cell r="Y38">
            <v>108.1</v>
          </cell>
          <cell r="Z38">
            <v>83.2</v>
          </cell>
          <cell r="AA38">
            <v>111</v>
          </cell>
          <cell r="AB38">
            <v>93.1</v>
          </cell>
          <cell r="AC38">
            <v>192.4</v>
          </cell>
          <cell r="AD38">
            <v>119</v>
          </cell>
          <cell r="AE38">
            <v>28.3</v>
          </cell>
          <cell r="AF38">
            <v>83.1</v>
          </cell>
          <cell r="AG38">
            <v>105.3</v>
          </cell>
          <cell r="AJ38">
            <v>81.900000000000006</v>
          </cell>
          <cell r="AN38">
            <v>2</v>
          </cell>
          <cell r="AP38">
            <v>34378.4375</v>
          </cell>
          <cell r="AQ38">
            <v>590</v>
          </cell>
          <cell r="AR38">
            <v>13.36</v>
          </cell>
          <cell r="AS38">
            <v>1.7636163175303197</v>
          </cell>
          <cell r="AT38">
            <v>13.471252204585538</v>
          </cell>
          <cell r="AV38">
            <v>7.8823999999999996</v>
          </cell>
          <cell r="AW38">
            <v>1.0405336273428887</v>
          </cell>
          <cell r="AX38">
            <v>7.9480388007054668</v>
          </cell>
          <cell r="AZ38">
            <v>10</v>
          </cell>
          <cell r="BA38">
            <v>10</v>
          </cell>
          <cell r="BB38">
            <v>10</v>
          </cell>
          <cell r="BC38">
            <v>10</v>
          </cell>
          <cell r="BD38">
            <v>10</v>
          </cell>
          <cell r="BE38">
            <v>10</v>
          </cell>
          <cell r="BF38">
            <v>0.13200720939598204</v>
          </cell>
          <cell r="BI38">
            <v>2</v>
          </cell>
          <cell r="BK38">
            <v>34378.4375</v>
          </cell>
          <cell r="CD38">
            <v>0</v>
          </cell>
          <cell r="CF38">
            <v>34378.4375</v>
          </cell>
          <cell r="CG38">
            <v>14.5</v>
          </cell>
          <cell r="CH38">
            <v>14.5</v>
          </cell>
          <cell r="CI38">
            <v>14.5</v>
          </cell>
          <cell r="CU38">
            <v>10</v>
          </cell>
          <cell r="CV38">
            <v>10</v>
          </cell>
          <cell r="CY38">
            <v>0</v>
          </cell>
        </row>
        <row r="39">
          <cell r="A39">
            <v>34408.875</v>
          </cell>
          <cell r="R39">
            <v>0</v>
          </cell>
          <cell r="T39">
            <v>34408.875</v>
          </cell>
          <cell r="U39">
            <v>145</v>
          </cell>
          <cell r="X39">
            <v>39.6</v>
          </cell>
          <cell r="Y39">
            <v>118.4</v>
          </cell>
          <cell r="Z39">
            <v>89.6</v>
          </cell>
          <cell r="AA39">
            <v>121.7</v>
          </cell>
          <cell r="AB39">
            <v>101.4</v>
          </cell>
          <cell r="AC39">
            <v>204.1</v>
          </cell>
          <cell r="AD39">
            <v>118.2</v>
          </cell>
          <cell r="AE39">
            <v>32.700000000000003</v>
          </cell>
          <cell r="AF39">
            <v>69.099999999999994</v>
          </cell>
          <cell r="AG39">
            <v>132</v>
          </cell>
          <cell r="AJ39">
            <v>88</v>
          </cell>
          <cell r="AN39">
            <v>3</v>
          </cell>
          <cell r="AP39">
            <v>34408.875</v>
          </cell>
          <cell r="AQ39">
            <v>576</v>
          </cell>
          <cell r="AR39">
            <v>13.35</v>
          </cell>
          <cell r="AS39">
            <v>1.8057331863285557</v>
          </cell>
          <cell r="AT39">
            <v>13.549559082892417</v>
          </cell>
          <cell r="AV39">
            <v>7.6895999999999995</v>
          </cell>
          <cell r="AW39">
            <v>1.0401023153252482</v>
          </cell>
          <cell r="AX39">
            <v>7.8045460317460318</v>
          </cell>
          <cell r="AZ39">
            <v>10</v>
          </cell>
          <cell r="BA39">
            <v>10</v>
          </cell>
          <cell r="BB39">
            <v>10</v>
          </cell>
          <cell r="BC39">
            <v>10</v>
          </cell>
          <cell r="BD39">
            <v>10</v>
          </cell>
          <cell r="BE39">
            <v>10</v>
          </cell>
          <cell r="BF39">
            <v>0.1352609128335997</v>
          </cell>
          <cell r="BI39">
            <v>3</v>
          </cell>
          <cell r="BK39">
            <v>34408.875</v>
          </cell>
          <cell r="CD39">
            <v>0</v>
          </cell>
          <cell r="CF39">
            <v>34408.875</v>
          </cell>
          <cell r="CG39">
            <v>14</v>
          </cell>
          <cell r="CH39">
            <v>14</v>
          </cell>
          <cell r="CI39">
            <v>14</v>
          </cell>
          <cell r="CU39">
            <v>10</v>
          </cell>
          <cell r="CV39">
            <v>10</v>
          </cell>
          <cell r="CY39">
            <v>0</v>
          </cell>
        </row>
        <row r="40">
          <cell r="A40">
            <v>34439.3125</v>
          </cell>
          <cell r="R40">
            <v>0</v>
          </cell>
          <cell r="T40">
            <v>34439.3125</v>
          </cell>
          <cell r="U40">
            <v>123.9</v>
          </cell>
          <cell r="X40">
            <v>40</v>
          </cell>
          <cell r="Y40">
            <v>119.1</v>
          </cell>
          <cell r="Z40">
            <v>108.4</v>
          </cell>
          <cell r="AA40">
            <v>120.3</v>
          </cell>
          <cell r="AB40">
            <v>127.6</v>
          </cell>
          <cell r="AC40">
            <v>169.3</v>
          </cell>
          <cell r="AD40">
            <v>138</v>
          </cell>
          <cell r="AE40">
            <v>47</v>
          </cell>
          <cell r="AF40">
            <v>76.599999999999994</v>
          </cell>
          <cell r="AG40">
            <v>135.5</v>
          </cell>
          <cell r="AJ40">
            <v>96.5</v>
          </cell>
          <cell r="AN40">
            <v>4</v>
          </cell>
          <cell r="AP40">
            <v>34439.3125</v>
          </cell>
          <cell r="AQ40">
            <v>581</v>
          </cell>
          <cell r="AR40">
            <v>14.84</v>
          </cell>
          <cell r="AS40">
            <v>1.844542447629548</v>
          </cell>
          <cell r="AT40">
            <v>13.307583774250441</v>
          </cell>
          <cell r="AV40">
            <v>8.6220399999999984</v>
          </cell>
          <cell r="AW40">
            <v>1.0716791620727675</v>
          </cell>
          <cell r="AX40">
            <v>7.7317061728395062</v>
          </cell>
          <cell r="AZ40">
            <v>10</v>
          </cell>
          <cell r="BA40">
            <v>10</v>
          </cell>
          <cell r="BB40">
            <v>10</v>
          </cell>
          <cell r="BC40">
            <v>10</v>
          </cell>
          <cell r="BD40">
            <v>10</v>
          </cell>
          <cell r="BE40">
            <v>10</v>
          </cell>
          <cell r="BF40">
            <v>0.12429531318258413</v>
          </cell>
          <cell r="BI40">
            <v>4</v>
          </cell>
          <cell r="BK40">
            <v>34439.3125</v>
          </cell>
          <cell r="CD40">
            <v>0</v>
          </cell>
          <cell r="CF40">
            <v>34439.3125</v>
          </cell>
          <cell r="CG40">
            <v>14</v>
          </cell>
          <cell r="CH40">
            <v>14</v>
          </cell>
          <cell r="CI40">
            <v>14</v>
          </cell>
          <cell r="CU40">
            <v>10</v>
          </cell>
          <cell r="CV40">
            <v>10</v>
          </cell>
          <cell r="CY40">
            <v>0</v>
          </cell>
        </row>
        <row r="41">
          <cell r="A41">
            <v>34469.75</v>
          </cell>
          <cell r="R41">
            <v>0</v>
          </cell>
          <cell r="T41">
            <v>34469.75</v>
          </cell>
          <cell r="U41">
            <v>0</v>
          </cell>
          <cell r="X41">
            <v>40.5</v>
          </cell>
          <cell r="Y41">
            <v>96.5</v>
          </cell>
          <cell r="Z41">
            <v>105.4</v>
          </cell>
          <cell r="AA41">
            <v>95.5</v>
          </cell>
          <cell r="AB41">
            <v>109.9</v>
          </cell>
          <cell r="AC41">
            <v>79.3</v>
          </cell>
          <cell r="AD41">
            <v>123.9</v>
          </cell>
          <cell r="AE41">
            <v>58.2</v>
          </cell>
          <cell r="AF41">
            <v>76.5</v>
          </cell>
          <cell r="AG41">
            <v>135.5</v>
          </cell>
          <cell r="AJ41">
            <v>84</v>
          </cell>
          <cell r="AN41">
            <v>5</v>
          </cell>
          <cell r="AP41">
            <v>34469.75</v>
          </cell>
          <cell r="AQ41">
            <v>568</v>
          </cell>
          <cell r="AR41">
            <v>16.09</v>
          </cell>
          <cell r="AS41">
            <v>1.8478500551267916</v>
          </cell>
          <cell r="AT41">
            <v>13.453615520282188</v>
          </cell>
          <cell r="AV41">
            <v>9.1391200000000001</v>
          </cell>
          <cell r="AW41">
            <v>1.0495788313120176</v>
          </cell>
          <cell r="AX41">
            <v>7.6416536155202825</v>
          </cell>
          <cell r="AZ41">
            <v>10</v>
          </cell>
          <cell r="BA41">
            <v>10</v>
          </cell>
          <cell r="BB41">
            <v>10</v>
          </cell>
          <cell r="BC41">
            <v>10</v>
          </cell>
          <cell r="BD41">
            <v>10</v>
          </cell>
          <cell r="BE41">
            <v>10</v>
          </cell>
          <cell r="BF41">
            <v>0.11484462741620829</v>
          </cell>
          <cell r="BI41">
            <v>5</v>
          </cell>
          <cell r="BK41">
            <v>34469.75</v>
          </cell>
          <cell r="CD41">
            <v>0</v>
          </cell>
          <cell r="CF41">
            <v>34469.75</v>
          </cell>
          <cell r="CG41">
            <v>14</v>
          </cell>
          <cell r="CH41">
            <v>14</v>
          </cell>
          <cell r="CI41">
            <v>14</v>
          </cell>
          <cell r="CU41">
            <v>10</v>
          </cell>
          <cell r="CV41">
            <v>10</v>
          </cell>
          <cell r="CY41">
            <v>0</v>
          </cell>
        </row>
        <row r="42">
          <cell r="A42">
            <v>34500.1875</v>
          </cell>
          <cell r="R42">
            <v>0</v>
          </cell>
          <cell r="T42">
            <v>34500.1875</v>
          </cell>
          <cell r="U42">
            <v>0</v>
          </cell>
          <cell r="X42">
            <v>31.2</v>
          </cell>
          <cell r="Y42">
            <v>88</v>
          </cell>
          <cell r="Z42">
            <v>115.9</v>
          </cell>
          <cell r="AA42">
            <v>84.8</v>
          </cell>
          <cell r="AB42">
            <v>99.3</v>
          </cell>
          <cell r="AC42">
            <v>62.7</v>
          </cell>
          <cell r="AD42">
            <v>110.7</v>
          </cell>
          <cell r="AE42">
            <v>45.5</v>
          </cell>
          <cell r="AF42">
            <v>95</v>
          </cell>
          <cell r="AG42">
            <v>121.6</v>
          </cell>
          <cell r="AJ42">
            <v>84.4</v>
          </cell>
          <cell r="AN42">
            <v>6</v>
          </cell>
          <cell r="AP42">
            <v>34500.1875</v>
          </cell>
          <cell r="AQ42">
            <v>556.79999999999995</v>
          </cell>
          <cell r="AR42">
            <v>16.54</v>
          </cell>
          <cell r="AS42">
            <v>1.8886438809261301</v>
          </cell>
          <cell r="AT42">
            <v>13.602821869488537</v>
          </cell>
          <cell r="AV42">
            <v>9.2094719999999981</v>
          </cell>
          <cell r="AW42">
            <v>1.0515969128996692</v>
          </cell>
          <cell r="AX42">
            <v>7.5740512169312169</v>
          </cell>
          <cell r="AZ42">
            <v>10</v>
          </cell>
          <cell r="BA42">
            <v>10</v>
          </cell>
          <cell r="BB42">
            <v>10</v>
          </cell>
          <cell r="BC42">
            <v>10</v>
          </cell>
          <cell r="BD42">
            <v>10</v>
          </cell>
          <cell r="BE42">
            <v>10</v>
          </cell>
          <cell r="BF42">
            <v>0.11418644987461489</v>
          </cell>
          <cell r="BI42">
            <v>6</v>
          </cell>
          <cell r="BK42">
            <v>34500.1875</v>
          </cell>
          <cell r="CD42">
            <v>0</v>
          </cell>
          <cell r="CF42">
            <v>34500.1875</v>
          </cell>
          <cell r="CG42">
            <v>14</v>
          </cell>
          <cell r="CH42">
            <v>14</v>
          </cell>
          <cell r="CI42">
            <v>14</v>
          </cell>
          <cell r="CU42">
            <v>10</v>
          </cell>
          <cell r="CV42">
            <v>10</v>
          </cell>
          <cell r="CY42">
            <v>0</v>
          </cell>
        </row>
        <row r="43">
          <cell r="A43">
            <v>34530.625</v>
          </cell>
          <cell r="R43">
            <v>0</v>
          </cell>
          <cell r="T43">
            <v>34530.625</v>
          </cell>
          <cell r="U43">
            <v>0</v>
          </cell>
          <cell r="X43">
            <v>51.8</v>
          </cell>
          <cell r="Y43">
            <v>74.8</v>
          </cell>
          <cell r="Z43">
            <v>105.9</v>
          </cell>
          <cell r="AA43">
            <v>71.2</v>
          </cell>
          <cell r="AB43">
            <v>90.1</v>
          </cell>
          <cell r="AC43">
            <v>37.5</v>
          </cell>
          <cell r="AD43">
            <v>152.19999999999999</v>
          </cell>
          <cell r="AE43">
            <v>27.1</v>
          </cell>
          <cell r="AF43">
            <v>80.8</v>
          </cell>
          <cell r="AG43">
            <v>111</v>
          </cell>
          <cell r="AJ43">
            <v>82.5</v>
          </cell>
          <cell r="AN43">
            <v>7</v>
          </cell>
          <cell r="AP43">
            <v>34530.625</v>
          </cell>
          <cell r="AQ43">
            <v>538.71</v>
          </cell>
          <cell r="AR43">
            <v>17.37</v>
          </cell>
          <cell r="AS43">
            <v>1.8035281146637268</v>
          </cell>
          <cell r="AT43">
            <v>13.597530864197532</v>
          </cell>
          <cell r="AV43">
            <v>9.3573927000000001</v>
          </cell>
          <cell r="AW43">
            <v>0.97157863065049632</v>
          </cell>
          <cell r="AX43">
            <v>7.3251258518518538</v>
          </cell>
          <cell r="AZ43">
            <v>10</v>
          </cell>
          <cell r="BA43">
            <v>10</v>
          </cell>
          <cell r="BB43">
            <v>10</v>
          </cell>
          <cell r="BC43">
            <v>10</v>
          </cell>
          <cell r="BD43">
            <v>10</v>
          </cell>
          <cell r="BE43">
            <v>10</v>
          </cell>
          <cell r="BF43">
            <v>0.10383005841472233</v>
          </cell>
          <cell r="BI43">
            <v>7</v>
          </cell>
          <cell r="BK43">
            <v>34530.625</v>
          </cell>
          <cell r="CD43">
            <v>0</v>
          </cell>
          <cell r="CF43">
            <v>34530.625</v>
          </cell>
          <cell r="CG43">
            <v>13</v>
          </cell>
          <cell r="CH43">
            <v>13</v>
          </cell>
          <cell r="CI43">
            <v>13</v>
          </cell>
          <cell r="CU43">
            <v>10</v>
          </cell>
          <cell r="CV43">
            <v>10</v>
          </cell>
          <cell r="CY43">
            <v>0</v>
          </cell>
        </row>
        <row r="44">
          <cell r="A44">
            <v>34561.0625</v>
          </cell>
          <cell r="R44">
            <v>0</v>
          </cell>
          <cell r="T44">
            <v>34561.0625</v>
          </cell>
          <cell r="U44">
            <v>0</v>
          </cell>
          <cell r="X44">
            <v>43.1</v>
          </cell>
          <cell r="Y44">
            <v>57</v>
          </cell>
          <cell r="Z44">
            <v>117.1</v>
          </cell>
          <cell r="AA44">
            <v>50</v>
          </cell>
          <cell r="AB44">
            <v>111.2</v>
          </cell>
          <cell r="AC44">
            <v>30</v>
          </cell>
          <cell r="AD44">
            <v>0</v>
          </cell>
          <cell r="AE44">
            <v>10.8</v>
          </cell>
          <cell r="AF44">
            <v>35.700000000000003</v>
          </cell>
          <cell r="AG44">
            <v>92.7</v>
          </cell>
          <cell r="AJ44">
            <v>81.099999999999994</v>
          </cell>
          <cell r="AN44">
            <v>8</v>
          </cell>
          <cell r="AP44">
            <v>34561.0625</v>
          </cell>
          <cell r="AQ44">
            <v>536.74</v>
          </cell>
          <cell r="AR44">
            <v>16.510000000000002</v>
          </cell>
          <cell r="AS44">
            <v>1.6919514884233737</v>
          </cell>
          <cell r="AT44">
            <v>13.416225749559084</v>
          </cell>
          <cell r="AV44">
            <v>8.8615773999999998</v>
          </cell>
          <cell r="AW44">
            <v>0.9081380418963616</v>
          </cell>
          <cell r="AX44">
            <v>7.201025008818343</v>
          </cell>
          <cell r="AZ44">
            <v>10</v>
          </cell>
          <cell r="BA44">
            <v>10</v>
          </cell>
          <cell r="BB44">
            <v>10</v>
          </cell>
          <cell r="BC44">
            <v>10</v>
          </cell>
          <cell r="BD44">
            <v>10</v>
          </cell>
          <cell r="BE44">
            <v>10</v>
          </cell>
          <cell r="BF44">
            <v>0.10248040511346904</v>
          </cell>
          <cell r="BI44">
            <v>8</v>
          </cell>
          <cell r="BK44">
            <v>34561.0625</v>
          </cell>
          <cell r="CD44">
            <v>0</v>
          </cell>
          <cell r="CF44">
            <v>34561.0625</v>
          </cell>
          <cell r="CG44">
            <v>13</v>
          </cell>
          <cell r="CH44">
            <v>13</v>
          </cell>
          <cell r="CI44">
            <v>13</v>
          </cell>
          <cell r="CU44">
            <v>10</v>
          </cell>
          <cell r="CV44">
            <v>10</v>
          </cell>
          <cell r="CY44">
            <v>0</v>
          </cell>
        </row>
        <row r="45">
          <cell r="A45">
            <v>34591.5</v>
          </cell>
          <cell r="R45">
            <v>0</v>
          </cell>
          <cell r="T45">
            <v>34591.5</v>
          </cell>
          <cell r="U45">
            <v>0</v>
          </cell>
          <cell r="X45">
            <v>45.2</v>
          </cell>
          <cell r="Y45">
            <v>70.7</v>
          </cell>
          <cell r="Z45">
            <v>117</v>
          </cell>
          <cell r="AA45">
            <v>65.3</v>
          </cell>
          <cell r="AB45">
            <v>119.5</v>
          </cell>
          <cell r="AC45">
            <v>31.7</v>
          </cell>
          <cell r="AD45">
            <v>106.3</v>
          </cell>
          <cell r="AE45">
            <v>30.1</v>
          </cell>
          <cell r="AF45">
            <v>49.1</v>
          </cell>
          <cell r="AG45">
            <v>103.8</v>
          </cell>
          <cell r="AJ45">
            <v>88.7</v>
          </cell>
          <cell r="AN45">
            <v>9</v>
          </cell>
          <cell r="AP45">
            <v>34591.5</v>
          </cell>
          <cell r="AQ45">
            <v>530.63</v>
          </cell>
          <cell r="AR45">
            <v>15.66</v>
          </cell>
          <cell r="AS45">
            <v>1.657111356119074</v>
          </cell>
          <cell r="AT45">
            <v>13.811992945326278</v>
          </cell>
          <cell r="AV45">
            <v>8.3096658000000012</v>
          </cell>
          <cell r="AW45">
            <v>0.87931299889746428</v>
          </cell>
          <cell r="AX45">
            <v>7.3290578165784828</v>
          </cell>
          <cell r="AZ45">
            <v>10</v>
          </cell>
          <cell r="BA45">
            <v>10</v>
          </cell>
          <cell r="BB45">
            <v>10</v>
          </cell>
          <cell r="BC45">
            <v>10</v>
          </cell>
          <cell r="BD45">
            <v>10</v>
          </cell>
          <cell r="BE45">
            <v>10</v>
          </cell>
          <cell r="BF45">
            <v>0.10581809426047725</v>
          </cell>
          <cell r="BI45">
            <v>9</v>
          </cell>
          <cell r="BK45">
            <v>34591.5</v>
          </cell>
          <cell r="CD45">
            <v>0</v>
          </cell>
          <cell r="CF45">
            <v>34591.5</v>
          </cell>
          <cell r="CG45">
            <v>12.25</v>
          </cell>
          <cell r="CH45">
            <v>12.25</v>
          </cell>
          <cell r="CI45">
            <v>12.25</v>
          </cell>
          <cell r="CU45">
            <v>10</v>
          </cell>
          <cell r="CV45">
            <v>10</v>
          </cell>
          <cell r="CY45">
            <v>0</v>
          </cell>
        </row>
        <row r="46">
          <cell r="A46">
            <v>34621.9375</v>
          </cell>
          <cell r="R46">
            <v>0</v>
          </cell>
          <cell r="T46">
            <v>34621.9375</v>
          </cell>
          <cell r="U46">
            <v>0</v>
          </cell>
          <cell r="X46">
            <v>29.6</v>
          </cell>
          <cell r="Y46">
            <v>70.7</v>
          </cell>
          <cell r="Z46">
            <v>59.5</v>
          </cell>
          <cell r="AA46">
            <v>72</v>
          </cell>
          <cell r="AB46">
            <v>95.7</v>
          </cell>
          <cell r="AC46">
            <v>48.3</v>
          </cell>
          <cell r="AD46">
            <v>97</v>
          </cell>
          <cell r="AE46">
            <v>36.700000000000003</v>
          </cell>
          <cell r="AF46">
            <v>55.2</v>
          </cell>
          <cell r="AG46">
            <v>114.8</v>
          </cell>
          <cell r="AJ46">
            <v>84.7</v>
          </cell>
          <cell r="AN46">
            <v>10</v>
          </cell>
          <cell r="AP46">
            <v>34621.9375</v>
          </cell>
          <cell r="AQ46">
            <v>520.59</v>
          </cell>
          <cell r="AR46">
            <v>15.87</v>
          </cell>
          <cell r="AS46">
            <v>1.6291069459757441</v>
          </cell>
          <cell r="AT46">
            <v>13.748500881834214</v>
          </cell>
          <cell r="AV46">
            <v>8.2617633000000001</v>
          </cell>
          <cell r="AW46">
            <v>0.84809678500551267</v>
          </cell>
          <cell r="AX46">
            <v>7.1573320740740733</v>
          </cell>
          <cell r="AZ46">
            <v>10</v>
          </cell>
          <cell r="BA46">
            <v>10</v>
          </cell>
          <cell r="BB46">
            <v>10</v>
          </cell>
          <cell r="BC46">
            <v>10</v>
          </cell>
          <cell r="BD46">
            <v>10</v>
          </cell>
          <cell r="BE46">
            <v>10</v>
          </cell>
          <cell r="BF46">
            <v>0.10265324171239723</v>
          </cell>
          <cell r="BI46">
            <v>10</v>
          </cell>
          <cell r="BK46">
            <v>34621.9375</v>
          </cell>
          <cell r="CD46">
            <v>0</v>
          </cell>
          <cell r="CF46">
            <v>34621.9375</v>
          </cell>
          <cell r="CG46">
            <v>12.25</v>
          </cell>
          <cell r="CH46">
            <v>12.25</v>
          </cell>
          <cell r="CI46">
            <v>12.25</v>
          </cell>
          <cell r="CU46">
            <v>10</v>
          </cell>
          <cell r="CV46">
            <v>10</v>
          </cell>
          <cell r="CY46">
            <v>0</v>
          </cell>
        </row>
        <row r="47">
          <cell r="A47">
            <v>34652.375</v>
          </cell>
          <cell r="R47">
            <v>0</v>
          </cell>
          <cell r="T47">
            <v>34652.375</v>
          </cell>
          <cell r="U47">
            <v>0</v>
          </cell>
          <cell r="X47">
            <v>47.6</v>
          </cell>
          <cell r="Y47">
            <v>87.9</v>
          </cell>
          <cell r="Z47">
            <v>112.7</v>
          </cell>
          <cell r="AA47">
            <v>85</v>
          </cell>
          <cell r="AB47">
            <v>96.7</v>
          </cell>
          <cell r="AC47">
            <v>103.1</v>
          </cell>
          <cell r="AD47">
            <v>113</v>
          </cell>
          <cell r="AE47">
            <v>32.299999999999997</v>
          </cell>
          <cell r="AF47">
            <v>49</v>
          </cell>
          <cell r="AG47">
            <v>109.4</v>
          </cell>
          <cell r="AJ47">
            <v>80.900000000000006</v>
          </cell>
          <cell r="AN47">
            <v>11</v>
          </cell>
          <cell r="AP47">
            <v>34652.375</v>
          </cell>
          <cell r="AQ47">
            <v>529.49</v>
          </cell>
          <cell r="AR47">
            <v>16.77</v>
          </cell>
          <cell r="AS47">
            <v>1.7113561190738698</v>
          </cell>
          <cell r="AT47">
            <v>13.558730158730159</v>
          </cell>
          <cell r="AV47">
            <v>8.8795473000000005</v>
          </cell>
          <cell r="AW47">
            <v>0.90614595148842325</v>
          </cell>
          <cell r="AX47">
            <v>7.1792120317460322</v>
          </cell>
          <cell r="AZ47">
            <v>10</v>
          </cell>
          <cell r="BA47">
            <v>10</v>
          </cell>
          <cell r="BB47">
            <v>10</v>
          </cell>
          <cell r="BC47">
            <v>10</v>
          </cell>
          <cell r="BD47">
            <v>10</v>
          </cell>
          <cell r="BE47">
            <v>10</v>
          </cell>
          <cell r="BF47">
            <v>0.10204866541883539</v>
          </cell>
          <cell r="BI47">
            <v>11</v>
          </cell>
          <cell r="BK47">
            <v>34652.375</v>
          </cell>
          <cell r="CD47">
            <v>0</v>
          </cell>
          <cell r="CF47">
            <v>34652.375</v>
          </cell>
          <cell r="CG47">
            <v>12.25</v>
          </cell>
          <cell r="CH47">
            <v>12.25</v>
          </cell>
          <cell r="CI47">
            <v>12.25</v>
          </cell>
          <cell r="CU47">
            <v>10</v>
          </cell>
          <cell r="CV47">
            <v>10</v>
          </cell>
          <cell r="CY47">
            <v>0</v>
          </cell>
        </row>
        <row r="48">
          <cell r="A48">
            <v>34682.8125</v>
          </cell>
          <cell r="R48">
            <v>0</v>
          </cell>
          <cell r="T48">
            <v>34682.8125</v>
          </cell>
          <cell r="U48">
            <v>198.5</v>
          </cell>
          <cell r="X48">
            <v>45.5</v>
          </cell>
          <cell r="Y48">
            <v>105.8</v>
          </cell>
          <cell r="Z48">
            <v>68.5</v>
          </cell>
          <cell r="AA48">
            <v>110.2</v>
          </cell>
          <cell r="AB48">
            <v>109.5</v>
          </cell>
          <cell r="AC48">
            <v>189.7</v>
          </cell>
          <cell r="AD48">
            <v>104.3</v>
          </cell>
          <cell r="AE48">
            <v>13.5</v>
          </cell>
          <cell r="AF48">
            <v>98.8</v>
          </cell>
          <cell r="AG48">
            <v>107</v>
          </cell>
          <cell r="AJ48">
            <v>89.8</v>
          </cell>
          <cell r="AN48">
            <v>12</v>
          </cell>
          <cell r="AP48">
            <v>34682.8125</v>
          </cell>
          <cell r="AQ48">
            <v>541.45000000000005</v>
          </cell>
          <cell r="AR48">
            <v>15.75</v>
          </cell>
          <cell r="AS48">
            <v>1.9047409040793823</v>
          </cell>
          <cell r="AT48">
            <v>13.37883597883598</v>
          </cell>
          <cell r="AV48">
            <v>8.5278375000000022</v>
          </cell>
          <cell r="AW48">
            <v>1.0313219625137817</v>
          </cell>
          <cell r="AX48">
            <v>7.2439707407407425</v>
          </cell>
          <cell r="AZ48">
            <v>10</v>
          </cell>
          <cell r="BA48">
            <v>10</v>
          </cell>
          <cell r="BB48">
            <v>10</v>
          </cell>
          <cell r="BC48">
            <v>10</v>
          </cell>
          <cell r="BD48">
            <v>10</v>
          </cell>
          <cell r="BE48">
            <v>10</v>
          </cell>
          <cell r="BF48">
            <v>0.12093593041773855</v>
          </cell>
          <cell r="BI48">
            <v>12</v>
          </cell>
          <cell r="BK48">
            <v>34682.8125</v>
          </cell>
          <cell r="CD48">
            <v>0</v>
          </cell>
          <cell r="CF48">
            <v>34682.8125</v>
          </cell>
          <cell r="CG48">
            <v>12.25</v>
          </cell>
          <cell r="CH48">
            <v>12.25</v>
          </cell>
          <cell r="CI48">
            <v>12.25</v>
          </cell>
          <cell r="CU48">
            <v>10</v>
          </cell>
          <cell r="CV48">
            <v>10</v>
          </cell>
          <cell r="CY48">
            <v>0</v>
          </cell>
        </row>
        <row r="49">
          <cell r="A49">
            <v>34713.25</v>
          </cell>
          <cell r="R49">
            <v>0</v>
          </cell>
          <cell r="T49">
            <v>34713.25</v>
          </cell>
          <cell r="U49">
            <v>402.47636492431116</v>
          </cell>
          <cell r="V49">
            <v>143.87668673310185</v>
          </cell>
          <cell r="W49">
            <v>343.89493662683088</v>
          </cell>
          <cell r="X49">
            <v>60.593942639089867</v>
          </cell>
          <cell r="Y49">
            <v>102.78854693804088</v>
          </cell>
          <cell r="Z49">
            <v>112.87386333187105</v>
          </cell>
          <cell r="AA49">
            <v>101.60627415875285</v>
          </cell>
          <cell r="AB49">
            <v>130.61357610565156</v>
          </cell>
          <cell r="AC49">
            <v>165.06991272420095</v>
          </cell>
          <cell r="AD49">
            <v>80.49791924145012</v>
          </cell>
          <cell r="AE49">
            <v>46.468089529419153</v>
          </cell>
          <cell r="AF49">
            <v>30.091925012481564</v>
          </cell>
          <cell r="AG49">
            <v>99.494253823411455</v>
          </cell>
          <cell r="AH49">
            <v>27.833847910126352</v>
          </cell>
          <cell r="AI49">
            <v>151.81545572836259</v>
          </cell>
          <cell r="AJ49">
            <v>100.57</v>
          </cell>
          <cell r="AN49">
            <v>13</v>
          </cell>
          <cell r="AP49">
            <v>34713.25</v>
          </cell>
          <cell r="AQ49">
            <v>529.42999999999995</v>
          </cell>
          <cell r="AR49">
            <v>16.5</v>
          </cell>
          <cell r="AS49">
            <v>2.0899669239250276</v>
          </cell>
          <cell r="AT49">
            <v>13.352733686067021</v>
          </cell>
          <cell r="AV49">
            <v>8.735595</v>
          </cell>
          <cell r="AW49">
            <v>1.1064911885336273</v>
          </cell>
          <cell r="AX49">
            <v>7.0693377954144623</v>
          </cell>
          <cell r="AZ49">
            <v>10</v>
          </cell>
          <cell r="BA49">
            <v>10</v>
          </cell>
          <cell r="BB49">
            <v>10</v>
          </cell>
          <cell r="BC49">
            <v>10</v>
          </cell>
          <cell r="BD49">
            <v>10</v>
          </cell>
          <cell r="BE49">
            <v>10</v>
          </cell>
          <cell r="BF49">
            <v>0.12666466205606228</v>
          </cell>
          <cell r="BI49">
            <v>13</v>
          </cell>
          <cell r="BK49">
            <v>34713.25</v>
          </cell>
          <cell r="CD49">
            <v>0</v>
          </cell>
          <cell r="CF49">
            <v>34713.25</v>
          </cell>
          <cell r="CG49">
            <v>12.25</v>
          </cell>
          <cell r="CH49">
            <v>12.25</v>
          </cell>
          <cell r="CI49">
            <v>12.25</v>
          </cell>
          <cell r="CU49">
            <v>10</v>
          </cell>
          <cell r="CV49">
            <v>10</v>
          </cell>
          <cell r="CY49">
            <v>0</v>
          </cell>
        </row>
        <row r="50">
          <cell r="A50">
            <v>34743.6875</v>
          </cell>
          <cell r="R50">
            <v>0</v>
          </cell>
          <cell r="T50">
            <v>34743.6875</v>
          </cell>
          <cell r="U50">
            <v>180.19452961431497</v>
          </cell>
          <cell r="V50">
            <v>128.81000854309741</v>
          </cell>
          <cell r="W50">
            <v>171.43128193759924</v>
          </cell>
          <cell r="X50">
            <v>41.887087864605753</v>
          </cell>
          <cell r="Y50">
            <v>107.29693537660184</v>
          </cell>
          <cell r="Z50">
            <v>120.87116778014885</v>
          </cell>
          <cell r="AA50">
            <v>105.70566695786775</v>
          </cell>
          <cell r="AB50">
            <v>122.82585587974447</v>
          </cell>
          <cell r="AC50">
            <v>135.30623712018939</v>
          </cell>
          <cell r="AD50">
            <v>131.99894157272402</v>
          </cell>
          <cell r="AE50">
            <v>77.510387426884321</v>
          </cell>
          <cell r="AF50">
            <v>54.988957162793241</v>
          </cell>
          <cell r="AG50">
            <v>104.7542655632259</v>
          </cell>
          <cell r="AH50">
            <v>45.848013906545937</v>
          </cell>
          <cell r="AI50">
            <v>116.69478839716157</v>
          </cell>
          <cell r="AJ50">
            <v>86.95</v>
          </cell>
          <cell r="AN50">
            <v>14</v>
          </cell>
          <cell r="AP50">
            <v>34743.6875</v>
          </cell>
          <cell r="AQ50">
            <v>522.89</v>
          </cell>
          <cell r="AR50">
            <v>17.07</v>
          </cell>
          <cell r="AS50">
            <v>2.204189636163175</v>
          </cell>
          <cell r="AT50">
            <v>13.28042328042328</v>
          </cell>
          <cell r="AV50">
            <v>8.9257323</v>
          </cell>
          <cell r="AW50">
            <v>1.1525487188533625</v>
          </cell>
          <cell r="AX50">
            <v>6.9442005291005291</v>
          </cell>
          <cell r="AZ50">
            <v>10</v>
          </cell>
          <cell r="BA50">
            <v>10</v>
          </cell>
          <cell r="BB50">
            <v>10</v>
          </cell>
          <cell r="BC50">
            <v>10</v>
          </cell>
          <cell r="BD50">
            <v>10</v>
          </cell>
          <cell r="BE50">
            <v>10</v>
          </cell>
          <cell r="BF50">
            <v>0.12912651647118775</v>
          </cell>
          <cell r="BI50">
            <v>14</v>
          </cell>
          <cell r="BK50">
            <v>34743.6875</v>
          </cell>
          <cell r="CD50">
            <v>0</v>
          </cell>
          <cell r="CF50">
            <v>34743.6875</v>
          </cell>
          <cell r="CG50">
            <v>11.25</v>
          </cell>
          <cell r="CH50">
            <v>11.25</v>
          </cell>
          <cell r="CI50">
            <v>11.25</v>
          </cell>
          <cell r="CU50">
            <v>10</v>
          </cell>
          <cell r="CV50">
            <v>10</v>
          </cell>
          <cell r="CY50">
            <v>0</v>
          </cell>
        </row>
        <row r="51">
          <cell r="A51">
            <v>34774.125</v>
          </cell>
          <cell r="R51">
            <v>0</v>
          </cell>
          <cell r="T51">
            <v>34774.125</v>
          </cell>
          <cell r="U51">
            <v>143.74066071327525</v>
          </cell>
          <cell r="V51">
            <v>114.60636721833862</v>
          </cell>
          <cell r="W51">
            <v>147.07323327287597</v>
          </cell>
          <cell r="X51">
            <v>45.872461273082799</v>
          </cell>
          <cell r="Y51">
            <v>105.5274813536398</v>
          </cell>
          <cell r="Z51">
            <v>140.41610617158261</v>
          </cell>
          <cell r="AA51">
            <v>101.43758770843098</v>
          </cell>
          <cell r="AB51">
            <v>141.90714237471212</v>
          </cell>
          <cell r="AC51">
            <v>90.244755517852695</v>
          </cell>
          <cell r="AD51">
            <v>162.01490417208842</v>
          </cell>
          <cell r="AE51">
            <v>64.366128731963471</v>
          </cell>
          <cell r="AF51">
            <v>44.206219235562294</v>
          </cell>
          <cell r="AG51">
            <v>135.53085833133852</v>
          </cell>
          <cell r="AH51">
            <v>28.213683418519576</v>
          </cell>
          <cell r="AI51">
            <v>109.29153674957247</v>
          </cell>
          <cell r="AJ51">
            <v>80.290000000000006</v>
          </cell>
          <cell r="AN51">
            <v>15</v>
          </cell>
          <cell r="AP51">
            <v>34774.125</v>
          </cell>
          <cell r="AQ51">
            <v>498.33</v>
          </cell>
          <cell r="AR51">
            <v>16.96</v>
          </cell>
          <cell r="AS51">
            <v>2.4361631753031974</v>
          </cell>
          <cell r="AT51">
            <v>13.462433862433864</v>
          </cell>
          <cell r="AV51">
            <v>8.4516767999999995</v>
          </cell>
          <cell r="AW51">
            <v>1.2140131951488422</v>
          </cell>
          <cell r="AX51">
            <v>6.7087346666666674</v>
          </cell>
          <cell r="AZ51">
            <v>10</v>
          </cell>
          <cell r="BA51">
            <v>10</v>
          </cell>
          <cell r="BB51">
            <v>10</v>
          </cell>
          <cell r="BC51">
            <v>10</v>
          </cell>
          <cell r="BD51">
            <v>10</v>
          </cell>
          <cell r="BE51">
            <v>10</v>
          </cell>
          <cell r="BF51">
            <v>0.14364169665702814</v>
          </cell>
          <cell r="BI51">
            <v>15</v>
          </cell>
          <cell r="BK51">
            <v>34774.125</v>
          </cell>
          <cell r="CD51">
            <v>0</v>
          </cell>
          <cell r="CF51">
            <v>34774.125</v>
          </cell>
          <cell r="CG51">
            <v>11.25</v>
          </cell>
          <cell r="CH51">
            <v>11.25</v>
          </cell>
          <cell r="CI51">
            <v>11.25</v>
          </cell>
          <cell r="CU51">
            <v>10</v>
          </cell>
          <cell r="CV51">
            <v>10</v>
          </cell>
          <cell r="CY51">
            <v>0</v>
          </cell>
        </row>
        <row r="52">
          <cell r="A52">
            <v>34804.5625</v>
          </cell>
          <cell r="R52">
            <v>0</v>
          </cell>
          <cell r="T52">
            <v>34804.5625</v>
          </cell>
          <cell r="U52">
            <v>61.728886662712647</v>
          </cell>
          <cell r="V52">
            <v>125.57862350009985</v>
          </cell>
          <cell r="W52">
            <v>74.07493499239213</v>
          </cell>
          <cell r="X52">
            <v>44.083109946827797</v>
          </cell>
          <cell r="Y52">
            <v>110.25140098021917</v>
          </cell>
          <cell r="Z52">
            <v>124.7929414059434</v>
          </cell>
          <cell r="AA52">
            <v>108.54673781023003</v>
          </cell>
          <cell r="AB52">
            <v>103.50104699237285</v>
          </cell>
          <cell r="AC52">
            <v>135.09926754860442</v>
          </cell>
          <cell r="AD52">
            <v>129.54860155447187</v>
          </cell>
          <cell r="AE52">
            <v>54.988010272551996</v>
          </cell>
          <cell r="AF52">
            <v>47.438280409737317</v>
          </cell>
          <cell r="AG52">
            <v>142.03513770478992</v>
          </cell>
          <cell r="AH52">
            <v>24.645720364268477</v>
          </cell>
          <cell r="AI52">
            <v>98.967327991501918</v>
          </cell>
          <cell r="AJ52">
            <v>78.39</v>
          </cell>
          <cell r="AN52">
            <v>16</v>
          </cell>
          <cell r="AP52">
            <v>34804.5625</v>
          </cell>
          <cell r="AQ52">
            <v>484.6</v>
          </cell>
          <cell r="AR52">
            <v>18.41</v>
          </cell>
          <cell r="AS52">
            <v>2.4968026460859978</v>
          </cell>
          <cell r="AT52">
            <v>13.793298059964727</v>
          </cell>
          <cell r="AV52">
            <v>8.9214860000000016</v>
          </cell>
          <cell r="AW52">
            <v>1.2099505622932745</v>
          </cell>
          <cell r="AX52">
            <v>6.6842322398589067</v>
          </cell>
          <cell r="AZ52">
            <v>10</v>
          </cell>
          <cell r="BA52">
            <v>10</v>
          </cell>
          <cell r="BB52">
            <v>10</v>
          </cell>
          <cell r="BC52">
            <v>10</v>
          </cell>
          <cell r="BD52">
            <v>10</v>
          </cell>
          <cell r="BE52">
            <v>10</v>
          </cell>
          <cell r="BF52">
            <v>0.1356220883262356</v>
          </cell>
          <cell r="BI52">
            <v>16</v>
          </cell>
          <cell r="BK52">
            <v>34804.5625</v>
          </cell>
          <cell r="CD52">
            <v>0</v>
          </cell>
          <cell r="CF52">
            <v>34804.5625</v>
          </cell>
          <cell r="CG52">
            <v>11.25</v>
          </cell>
          <cell r="CH52">
            <v>11.25</v>
          </cell>
          <cell r="CI52">
            <v>11.25</v>
          </cell>
          <cell r="CU52">
            <v>10</v>
          </cell>
          <cell r="CV52">
            <v>10</v>
          </cell>
          <cell r="CY52">
            <v>0</v>
          </cell>
        </row>
        <row r="53">
          <cell r="A53">
            <v>34835</v>
          </cell>
          <cell r="R53">
            <v>0</v>
          </cell>
          <cell r="T53">
            <v>34835</v>
          </cell>
          <cell r="U53">
            <v>7.9471697638692991</v>
          </cell>
          <cell r="V53">
            <v>104.40763871280025</v>
          </cell>
          <cell r="W53">
            <v>20.64436741626022</v>
          </cell>
          <cell r="X53">
            <v>47.173807692177348</v>
          </cell>
          <cell r="Y53">
            <v>98.666878746185517</v>
          </cell>
          <cell r="Z53">
            <v>137.24359263079475</v>
          </cell>
          <cell r="AA53">
            <v>94.144640974046098</v>
          </cell>
          <cell r="AB53">
            <v>153.02767060850064</v>
          </cell>
          <cell r="AC53">
            <v>67.675880401878999</v>
          </cell>
          <cell r="AD53">
            <v>77.709968768320991</v>
          </cell>
          <cell r="AE53">
            <v>60.161760886970868</v>
          </cell>
          <cell r="AF53">
            <v>41.40249134536063</v>
          </cell>
          <cell r="AG53">
            <v>148.3898624411718</v>
          </cell>
          <cell r="AH53">
            <v>32.597358794074147</v>
          </cell>
          <cell r="AI53">
            <v>80.879747769329242</v>
          </cell>
          <cell r="AJ53">
            <v>87.28</v>
          </cell>
          <cell r="AN53">
            <v>17</v>
          </cell>
          <cell r="AP53">
            <v>34835</v>
          </cell>
          <cell r="AQ53">
            <v>499.08</v>
          </cell>
          <cell r="AR53">
            <v>18.100000000000001</v>
          </cell>
          <cell r="AS53">
            <v>2.55457552370452</v>
          </cell>
          <cell r="AT53">
            <v>13.588007054673723</v>
          </cell>
          <cell r="AV53">
            <v>9.0333480000000002</v>
          </cell>
          <cell r="AW53">
            <v>1.2749375523704518</v>
          </cell>
          <cell r="AX53">
            <v>6.7815025608465609</v>
          </cell>
          <cell r="AZ53">
            <v>10</v>
          </cell>
          <cell r="BA53">
            <v>10</v>
          </cell>
          <cell r="BB53">
            <v>10</v>
          </cell>
          <cell r="BC53">
            <v>10</v>
          </cell>
          <cell r="BD53">
            <v>10</v>
          </cell>
          <cell r="BE53">
            <v>10</v>
          </cell>
          <cell r="BF53">
            <v>0.14113676926544308</v>
          </cell>
          <cell r="BI53">
            <v>17</v>
          </cell>
          <cell r="BK53">
            <v>34835</v>
          </cell>
          <cell r="CD53">
            <v>0</v>
          </cell>
          <cell r="CF53">
            <v>34835</v>
          </cell>
          <cell r="CG53">
            <v>11.25</v>
          </cell>
          <cell r="CH53">
            <v>11.25</v>
          </cell>
          <cell r="CI53">
            <v>11.25</v>
          </cell>
          <cell r="CU53">
            <v>10</v>
          </cell>
          <cell r="CV53">
            <v>10</v>
          </cell>
          <cell r="CY53">
            <v>0</v>
          </cell>
        </row>
        <row r="54">
          <cell r="A54">
            <v>34865.4375</v>
          </cell>
          <cell r="R54">
            <v>0</v>
          </cell>
          <cell r="T54">
            <v>34865.4375</v>
          </cell>
          <cell r="U54">
            <v>0</v>
          </cell>
          <cell r="V54">
            <v>83.142351157229186</v>
          </cell>
          <cell r="W54">
            <v>17.262654239932729</v>
          </cell>
          <cell r="X54">
            <v>27.816279708145956</v>
          </cell>
          <cell r="Y54">
            <v>86.130638161875765</v>
          </cell>
          <cell r="Z54">
            <v>142.13635493803491</v>
          </cell>
          <cell r="AA54">
            <v>79.565248258047404</v>
          </cell>
          <cell r="AB54">
            <v>110.67092472197072</v>
          </cell>
          <cell r="AC54">
            <v>41.868094928074548</v>
          </cell>
          <cell r="AD54">
            <v>94.849748571058953</v>
          </cell>
          <cell r="AE54">
            <v>71.732275685956324</v>
          </cell>
          <cell r="AF54">
            <v>46.479214828884615</v>
          </cell>
          <cell r="AG54">
            <v>121.90050260238542</v>
          </cell>
          <cell r="AH54">
            <v>52.896764652466075</v>
          </cell>
          <cell r="AI54">
            <v>68.811232923966628</v>
          </cell>
          <cell r="AJ54">
            <v>81.569999999999993</v>
          </cell>
          <cell r="AN54">
            <v>18</v>
          </cell>
          <cell r="AP54">
            <v>34865.4375</v>
          </cell>
          <cell r="AQ54">
            <v>491.64</v>
          </cell>
          <cell r="AR54">
            <v>17</v>
          </cell>
          <cell r="AS54">
            <v>2.301212789415656</v>
          </cell>
          <cell r="AT54">
            <v>13.668077601410934</v>
          </cell>
          <cell r="AV54">
            <v>8.3578799999999998</v>
          </cell>
          <cell r="AW54">
            <v>1.1313682557883131</v>
          </cell>
          <cell r="AX54">
            <v>6.7197736719576717</v>
          </cell>
          <cell r="AZ54">
            <v>10</v>
          </cell>
          <cell r="BA54">
            <v>10</v>
          </cell>
          <cell r="BB54">
            <v>10</v>
          </cell>
          <cell r="BC54">
            <v>10</v>
          </cell>
          <cell r="BD54">
            <v>10</v>
          </cell>
          <cell r="BE54">
            <v>10</v>
          </cell>
          <cell r="BF54">
            <v>0.13536545820092094</v>
          </cell>
          <cell r="BI54">
            <v>18</v>
          </cell>
          <cell r="BK54">
            <v>34865.4375</v>
          </cell>
          <cell r="CD54">
            <v>0</v>
          </cell>
          <cell r="CF54">
            <v>34865.4375</v>
          </cell>
          <cell r="CG54">
            <v>11.25</v>
          </cell>
          <cell r="CH54">
            <v>11.25</v>
          </cell>
          <cell r="CI54">
            <v>11.25</v>
          </cell>
          <cell r="CU54">
            <v>10</v>
          </cell>
          <cell r="CV54">
            <v>10</v>
          </cell>
          <cell r="CY54">
            <v>0</v>
          </cell>
        </row>
        <row r="55">
          <cell r="A55">
            <v>34895.875</v>
          </cell>
          <cell r="R55">
            <v>0</v>
          </cell>
          <cell r="T55">
            <v>34895.875</v>
          </cell>
          <cell r="U55">
            <v>0</v>
          </cell>
          <cell r="V55">
            <v>78.37801715502853</v>
          </cell>
          <cell r="W55">
            <v>16.675064396732264</v>
          </cell>
          <cell r="X55">
            <v>38.633721816869389</v>
          </cell>
          <cell r="Y55">
            <v>86.260996225965172</v>
          </cell>
          <cell r="Z55">
            <v>131.93842376302419</v>
          </cell>
          <cell r="AA55">
            <v>80.906362112750529</v>
          </cell>
          <cell r="AB55">
            <v>127.14214406172835</v>
          </cell>
          <cell r="AC55">
            <v>31.083108502892287</v>
          </cell>
          <cell r="AD55">
            <v>91.621232949078376</v>
          </cell>
          <cell r="AE55">
            <v>58.234338605167352</v>
          </cell>
          <cell r="AF55">
            <v>61.166332620448813</v>
          </cell>
          <cell r="AG55">
            <v>136.82363017159261</v>
          </cell>
          <cell r="AH55">
            <v>59.459824092571928</v>
          </cell>
          <cell r="AI55">
            <v>69.409459887848371</v>
          </cell>
          <cell r="AJ55">
            <v>80.66</v>
          </cell>
          <cell r="AN55">
            <v>19</v>
          </cell>
          <cell r="AP55">
            <v>34895.875</v>
          </cell>
          <cell r="AQ55">
            <v>483.25</v>
          </cell>
          <cell r="AR55">
            <v>15.69</v>
          </cell>
          <cell r="AS55">
            <v>2.116427783902977</v>
          </cell>
          <cell r="AT55">
            <v>13.623985890652557</v>
          </cell>
          <cell r="AV55">
            <v>7.5821924999999997</v>
          </cell>
          <cell r="AW55">
            <v>1.0227637265711136</v>
          </cell>
          <cell r="AX55">
            <v>6.5837911816578476</v>
          </cell>
          <cell r="AZ55">
            <v>10</v>
          </cell>
          <cell r="BA55">
            <v>10</v>
          </cell>
          <cell r="BB55">
            <v>10</v>
          </cell>
          <cell r="BC55">
            <v>10</v>
          </cell>
          <cell r="BD55">
            <v>10</v>
          </cell>
          <cell r="BE55">
            <v>10</v>
          </cell>
          <cell r="BF55">
            <v>0.13489023479305143</v>
          </cell>
          <cell r="BI55">
            <v>19</v>
          </cell>
          <cell r="BK55">
            <v>34895.875</v>
          </cell>
          <cell r="CD55">
            <v>0</v>
          </cell>
          <cell r="CF55">
            <v>34895.875</v>
          </cell>
          <cell r="CG55">
            <v>11.25</v>
          </cell>
          <cell r="CH55">
            <v>11.25</v>
          </cell>
          <cell r="CI55">
            <v>11.25</v>
          </cell>
          <cell r="CU55">
            <v>10</v>
          </cell>
          <cell r="CV55">
            <v>10</v>
          </cell>
          <cell r="CY55">
            <v>0</v>
          </cell>
        </row>
        <row r="56">
          <cell r="A56">
            <v>34926.3125</v>
          </cell>
          <cell r="R56">
            <v>0</v>
          </cell>
          <cell r="T56">
            <v>34926.3125</v>
          </cell>
          <cell r="U56">
            <v>0</v>
          </cell>
          <cell r="V56">
            <v>85.702055744966685</v>
          </cell>
          <cell r="W56">
            <v>2.2861315234034434</v>
          </cell>
          <cell r="X56">
            <v>37.576377851355062</v>
          </cell>
          <cell r="Y56">
            <v>71.706268955141084</v>
          </cell>
          <cell r="Z56">
            <v>114.15539749053448</v>
          </cell>
          <cell r="AA56">
            <v>66.730079095336961</v>
          </cell>
          <cell r="AB56">
            <v>132.78274135919335</v>
          </cell>
          <cell r="AC56">
            <v>51.827559155039374</v>
          </cell>
          <cell r="AD56">
            <v>12.561162216502437</v>
          </cell>
          <cell r="AE56">
            <v>11.564307960404895</v>
          </cell>
          <cell r="AF56">
            <v>86.278853105961602</v>
          </cell>
          <cell r="AG56">
            <v>102.25764626151582</v>
          </cell>
          <cell r="AH56">
            <v>38.020911709000337</v>
          </cell>
          <cell r="AI56">
            <v>57.947894698099546</v>
          </cell>
          <cell r="AJ56">
            <v>77.77</v>
          </cell>
          <cell r="AN56">
            <v>20</v>
          </cell>
          <cell r="AP56">
            <v>34926.3125</v>
          </cell>
          <cell r="AQ56">
            <v>497.14</v>
          </cell>
          <cell r="AR56">
            <v>16.14</v>
          </cell>
          <cell r="AS56">
            <v>1.8665931642778391</v>
          </cell>
          <cell r="AT56">
            <v>13.534391534391535</v>
          </cell>
          <cell r="AV56">
            <v>8.0238396000000005</v>
          </cell>
          <cell r="AW56">
            <v>0.92795812568908487</v>
          </cell>
          <cell r="AX56">
            <v>6.7284874074074077</v>
          </cell>
          <cell r="AZ56">
            <v>10</v>
          </cell>
          <cell r="BA56">
            <v>10</v>
          </cell>
          <cell r="BB56">
            <v>10</v>
          </cell>
          <cell r="BC56">
            <v>10</v>
          </cell>
          <cell r="BD56">
            <v>10</v>
          </cell>
          <cell r="BE56">
            <v>10</v>
          </cell>
          <cell r="BF56">
            <v>0.11565013409404205</v>
          </cell>
          <cell r="BI56">
            <v>20</v>
          </cell>
          <cell r="BK56">
            <v>34926.3125</v>
          </cell>
          <cell r="CD56">
            <v>0</v>
          </cell>
          <cell r="CF56">
            <v>34926.3125</v>
          </cell>
          <cell r="CG56">
            <v>11.25</v>
          </cell>
          <cell r="CH56">
            <v>11.25</v>
          </cell>
          <cell r="CI56">
            <v>11.25</v>
          </cell>
          <cell r="CU56">
            <v>10</v>
          </cell>
          <cell r="CV56">
            <v>10</v>
          </cell>
          <cell r="CY56">
            <v>0</v>
          </cell>
        </row>
        <row r="57">
          <cell r="A57">
            <v>34956.75</v>
          </cell>
          <cell r="R57">
            <v>0</v>
          </cell>
          <cell r="T57">
            <v>34956.75</v>
          </cell>
          <cell r="U57">
            <v>0</v>
          </cell>
          <cell r="V57">
            <v>56.854947360840285</v>
          </cell>
          <cell r="W57">
            <v>13.623147211834656</v>
          </cell>
          <cell r="X57">
            <v>33.42833614049119</v>
          </cell>
          <cell r="Y57">
            <v>74.915246591928565</v>
          </cell>
          <cell r="Z57">
            <v>28.990466622773138</v>
          </cell>
          <cell r="AA57">
            <v>80.298877122899327</v>
          </cell>
          <cell r="AB57">
            <v>106.63644753640047</v>
          </cell>
          <cell r="AC57">
            <v>50.407591924066239</v>
          </cell>
          <cell r="AD57">
            <v>74.852457207882722</v>
          </cell>
          <cell r="AE57">
            <v>47.970807774789463</v>
          </cell>
          <cell r="AF57">
            <v>65.412119245218506</v>
          </cell>
          <cell r="AG57">
            <v>131.57507081389608</v>
          </cell>
          <cell r="AH57">
            <v>26.140155151389358</v>
          </cell>
          <cell r="AI57">
            <v>60.274431812455106</v>
          </cell>
          <cell r="AJ57">
            <v>72.010000000000005</v>
          </cell>
          <cell r="AN57">
            <v>21</v>
          </cell>
          <cell r="AP57">
            <v>34956.75</v>
          </cell>
          <cell r="AQ57">
            <v>504.31</v>
          </cell>
          <cell r="AR57">
            <v>16.34</v>
          </cell>
          <cell r="AS57">
            <v>2.0088202866593163</v>
          </cell>
          <cell r="AT57">
            <v>13.517460317460317</v>
          </cell>
          <cell r="AV57">
            <v>8.2404253999999995</v>
          </cell>
          <cell r="AW57">
            <v>1.0130681587651598</v>
          </cell>
          <cell r="AX57">
            <v>6.8169904126984129</v>
          </cell>
          <cell r="AZ57">
            <v>10</v>
          </cell>
          <cell r="BA57">
            <v>10</v>
          </cell>
          <cell r="BB57">
            <v>10</v>
          </cell>
          <cell r="BC57">
            <v>10</v>
          </cell>
          <cell r="BD57">
            <v>10</v>
          </cell>
          <cell r="BE57">
            <v>10</v>
          </cell>
          <cell r="BF57">
            <v>0.12293881803300589</v>
          </cell>
          <cell r="BI57">
            <v>21</v>
          </cell>
          <cell r="BK57">
            <v>34956.75</v>
          </cell>
          <cell r="CD57">
            <v>0</v>
          </cell>
          <cell r="CF57">
            <v>34956.75</v>
          </cell>
          <cell r="CG57">
            <v>11.25</v>
          </cell>
          <cell r="CH57">
            <v>11.25</v>
          </cell>
          <cell r="CI57">
            <v>11.25</v>
          </cell>
          <cell r="CU57">
            <v>10</v>
          </cell>
          <cell r="CV57">
            <v>10</v>
          </cell>
          <cell r="CY57">
            <v>0</v>
          </cell>
        </row>
        <row r="58">
          <cell r="A58">
            <v>34987.1875</v>
          </cell>
          <cell r="R58">
            <v>0</v>
          </cell>
          <cell r="T58">
            <v>34987.1875</v>
          </cell>
          <cell r="U58">
            <v>0</v>
          </cell>
          <cell r="V58">
            <v>86.193890676818441</v>
          </cell>
          <cell r="W58">
            <v>18.754706023093696</v>
          </cell>
          <cell r="X58">
            <v>44.164444098021207</v>
          </cell>
          <cell r="Y58">
            <v>96.451170491223422</v>
          </cell>
          <cell r="Z58">
            <v>97.762486676112587</v>
          </cell>
          <cell r="AA58">
            <v>96.297448647515793</v>
          </cell>
          <cell r="AB58">
            <v>127.38505341869724</v>
          </cell>
          <cell r="AC58">
            <v>63.310503915287413</v>
          </cell>
          <cell r="AD58">
            <v>103.04783529172362</v>
          </cell>
          <cell r="AE58">
            <v>131.18811385673385</v>
          </cell>
          <cell r="AF58">
            <v>93.36946989378356</v>
          </cell>
          <cell r="AG58">
            <v>92.766989833428468</v>
          </cell>
          <cell r="AH58">
            <v>61.383908880990063</v>
          </cell>
          <cell r="AI58">
            <v>77.653271954775093</v>
          </cell>
          <cell r="AJ58">
            <v>96.45</v>
          </cell>
          <cell r="AN58">
            <v>22</v>
          </cell>
          <cell r="AP58">
            <v>34987.1875</v>
          </cell>
          <cell r="AQ58">
            <v>494.11</v>
          </cell>
          <cell r="AR58">
            <v>15.61</v>
          </cell>
          <cell r="AS58">
            <v>2.0183020948180816</v>
          </cell>
          <cell r="AT58">
            <v>13.512169312169311</v>
          </cell>
          <cell r="AV58">
            <v>7.7130571000000003</v>
          </cell>
          <cell r="AW58">
            <v>0.99726324807056232</v>
          </cell>
          <cell r="AX58">
            <v>6.6764979788359788</v>
          </cell>
          <cell r="AZ58">
            <v>10</v>
          </cell>
          <cell r="BA58">
            <v>10</v>
          </cell>
          <cell r="BB58">
            <v>10</v>
          </cell>
          <cell r="BC58">
            <v>10</v>
          </cell>
          <cell r="BD58">
            <v>10</v>
          </cell>
          <cell r="BE58">
            <v>10</v>
          </cell>
          <cell r="BF58">
            <v>0.12929545770775666</v>
          </cell>
          <cell r="BI58">
            <v>22</v>
          </cell>
          <cell r="BK58">
            <v>34987.1875</v>
          </cell>
          <cell r="CD58">
            <v>0</v>
          </cell>
          <cell r="CF58">
            <v>34987.1875</v>
          </cell>
          <cell r="CG58">
            <v>11.25</v>
          </cell>
          <cell r="CH58">
            <v>11.25</v>
          </cell>
          <cell r="CI58">
            <v>11.25</v>
          </cell>
          <cell r="CU58">
            <v>10</v>
          </cell>
          <cell r="CV58">
            <v>10</v>
          </cell>
          <cell r="CY58">
            <v>0</v>
          </cell>
        </row>
        <row r="59">
          <cell r="A59">
            <v>35017.625</v>
          </cell>
          <cell r="R59">
            <v>0</v>
          </cell>
          <cell r="T59">
            <v>35017.625</v>
          </cell>
          <cell r="U59">
            <v>8.3495581063436948</v>
          </cell>
          <cell r="V59">
            <v>91.474636211344091</v>
          </cell>
          <cell r="W59">
            <v>31.886525133163481</v>
          </cell>
          <cell r="X59">
            <v>52.541861670942346</v>
          </cell>
          <cell r="Y59">
            <v>108.26767376251087</v>
          </cell>
          <cell r="Z59">
            <v>97.948448955989718</v>
          </cell>
          <cell r="AA59">
            <v>109.47736695563343</v>
          </cell>
          <cell r="AB59">
            <v>119.31199742407698</v>
          </cell>
          <cell r="AC59">
            <v>76.691181904009326</v>
          </cell>
          <cell r="AD59">
            <v>137.67142705415034</v>
          </cell>
          <cell r="AE59">
            <v>134.33275807150707</v>
          </cell>
          <cell r="AF59">
            <v>93.687283836385902</v>
          </cell>
          <cell r="AG59">
            <v>121.21874903160004</v>
          </cell>
          <cell r="AH59">
            <v>50.449627688555637</v>
          </cell>
          <cell r="AI59">
            <v>88.722862406606936</v>
          </cell>
          <cell r="AJ59">
            <v>84.84</v>
          </cell>
          <cell r="AN59">
            <v>23</v>
          </cell>
          <cell r="AP59">
            <v>35017.625</v>
          </cell>
          <cell r="AQ59">
            <v>488.65</v>
          </cell>
          <cell r="AR59">
            <v>17.25</v>
          </cell>
          <cell r="AS59">
            <v>1.9689084895259097</v>
          </cell>
          <cell r="AT59">
            <v>13.60458553791887</v>
          </cell>
          <cell r="AV59">
            <v>8.4292125000000002</v>
          </cell>
          <cell r="AW59">
            <v>0.96210713340683574</v>
          </cell>
          <cell r="AX59">
            <v>6.6478807231040555</v>
          </cell>
          <cell r="AZ59">
            <v>10</v>
          </cell>
          <cell r="BA59">
            <v>10</v>
          </cell>
          <cell r="BB59">
            <v>10</v>
          </cell>
          <cell r="BC59">
            <v>10</v>
          </cell>
          <cell r="BD59">
            <v>10</v>
          </cell>
          <cell r="BE59">
            <v>10</v>
          </cell>
          <cell r="BF59">
            <v>0.11413962258121214</v>
          </cell>
          <cell r="BI59">
            <v>23</v>
          </cell>
          <cell r="BK59">
            <v>35017.625</v>
          </cell>
          <cell r="CD59">
            <v>0</v>
          </cell>
          <cell r="CF59">
            <v>35017.625</v>
          </cell>
          <cell r="CG59">
            <v>11.25</v>
          </cell>
          <cell r="CH59">
            <v>11.25</v>
          </cell>
          <cell r="CI59">
            <v>11.25</v>
          </cell>
          <cell r="CU59">
            <v>10</v>
          </cell>
          <cell r="CV59">
            <v>10</v>
          </cell>
          <cell r="CY59">
            <v>0</v>
          </cell>
        </row>
        <row r="60">
          <cell r="A60">
            <v>35048.0625</v>
          </cell>
          <cell r="R60">
            <v>0</v>
          </cell>
          <cell r="T60">
            <v>35048.0625</v>
          </cell>
          <cell r="U60">
            <v>162.09962883866953</v>
          </cell>
          <cell r="V60">
            <v>95.013969672590505</v>
          </cell>
          <cell r="W60">
            <v>152.69047803242773</v>
          </cell>
          <cell r="X60">
            <v>39.609731631190293</v>
          </cell>
          <cell r="Y60">
            <v>107.97773331945029</v>
          </cell>
          <cell r="Z60">
            <v>99.089595170166874</v>
          </cell>
          <cell r="AA60">
            <v>109.01966431914384</v>
          </cell>
          <cell r="AB60">
            <v>119.10525247937031</v>
          </cell>
          <cell r="AC60">
            <v>82.993847258727541</v>
          </cell>
          <cell r="AD60">
            <v>110.35972926437384</v>
          </cell>
          <cell r="AE60">
            <v>158.77082436911678</v>
          </cell>
          <cell r="AF60">
            <v>77.276966529271519</v>
          </cell>
          <cell r="AG60">
            <v>107.01442685767742</v>
          </cell>
          <cell r="AH60">
            <v>61.402589315829069</v>
          </cell>
          <cell r="AI60">
            <v>114.04697784855075</v>
          </cell>
          <cell r="AJ60">
            <v>81.05</v>
          </cell>
          <cell r="AN60">
            <v>24</v>
          </cell>
          <cell r="AP60">
            <v>35048.0625</v>
          </cell>
          <cell r="AQ60">
            <v>496.37</v>
          </cell>
          <cell r="AR60">
            <v>17.87</v>
          </cell>
          <cell r="AS60">
            <v>1.9499448732083793</v>
          </cell>
          <cell r="AT60">
            <v>13.668430335097002</v>
          </cell>
          <cell r="AV60">
            <v>8.8701319000000005</v>
          </cell>
          <cell r="AW60">
            <v>0.96789413671444324</v>
          </cell>
          <cell r="AX60">
            <v>6.7845987654320989</v>
          </cell>
          <cell r="AZ60">
            <v>10</v>
          </cell>
          <cell r="BA60">
            <v>10</v>
          </cell>
          <cell r="BB60">
            <v>10</v>
          </cell>
          <cell r="BC60">
            <v>10</v>
          </cell>
          <cell r="BD60">
            <v>10</v>
          </cell>
          <cell r="BE60">
            <v>10</v>
          </cell>
          <cell r="BF60">
            <v>0.10911834768933291</v>
          </cell>
          <cell r="BI60">
            <v>24</v>
          </cell>
          <cell r="BK60">
            <v>35048.0625</v>
          </cell>
          <cell r="CD60">
            <v>0</v>
          </cell>
          <cell r="CF60">
            <v>35048.0625</v>
          </cell>
          <cell r="CG60">
            <v>11.25</v>
          </cell>
          <cell r="CH60">
            <v>11.25</v>
          </cell>
          <cell r="CI60">
            <v>11.25</v>
          </cell>
          <cell r="CU60">
            <v>10</v>
          </cell>
          <cell r="CV60">
            <v>10</v>
          </cell>
          <cell r="CY60">
            <v>0</v>
          </cell>
        </row>
        <row r="61">
          <cell r="A61">
            <v>35078.5</v>
          </cell>
          <cell r="R61">
            <v>0</v>
          </cell>
          <cell r="T61">
            <v>35078.5</v>
          </cell>
          <cell r="U61">
            <v>195.950548149328</v>
          </cell>
          <cell r="V61">
            <v>117.56846487131637</v>
          </cell>
          <cell r="W61">
            <v>175.81886573058469</v>
          </cell>
          <cell r="X61">
            <v>38.9</v>
          </cell>
          <cell r="Y61">
            <v>99.1</v>
          </cell>
          <cell r="Z61">
            <v>102.86129702894712</v>
          </cell>
          <cell r="AA61">
            <v>98.6</v>
          </cell>
          <cell r="AB61">
            <v>130.54862843798983</v>
          </cell>
          <cell r="AC61">
            <v>119.65898560289176</v>
          </cell>
          <cell r="AD61">
            <v>85.287021645867725</v>
          </cell>
          <cell r="AE61">
            <v>68.002981088706449</v>
          </cell>
          <cell r="AF61">
            <v>99.538670461398965</v>
          </cell>
          <cell r="AG61">
            <v>91.080121314410107</v>
          </cell>
          <cell r="AH61">
            <v>70.599590068235472</v>
          </cell>
          <cell r="AI61">
            <v>112.79626325420301</v>
          </cell>
          <cell r="AJ61">
            <v>85.19</v>
          </cell>
          <cell r="AN61">
            <v>25</v>
          </cell>
          <cell r="AP61">
            <v>35078.5</v>
          </cell>
          <cell r="AQ61">
            <v>500.56</v>
          </cell>
          <cell r="AR61">
            <v>17.82</v>
          </cell>
          <cell r="AS61">
            <v>1.8943770672546856</v>
          </cell>
          <cell r="AT61">
            <v>14.111816578483245</v>
          </cell>
          <cell r="AV61">
            <v>8.9199792000000002</v>
          </cell>
          <cell r="AW61">
            <v>0.94824938478500542</v>
          </cell>
          <cell r="AX61">
            <v>7.063810906525573</v>
          </cell>
          <cell r="AZ61">
            <v>10</v>
          </cell>
          <cell r="BA61">
            <v>10</v>
          </cell>
          <cell r="BB61">
            <v>10</v>
          </cell>
          <cell r="BC61">
            <v>10</v>
          </cell>
          <cell r="BD61">
            <v>10</v>
          </cell>
          <cell r="BE61">
            <v>10</v>
          </cell>
          <cell r="BF61">
            <v>0.1063062327303415</v>
          </cell>
          <cell r="BI61">
            <v>25</v>
          </cell>
          <cell r="BK61">
            <v>35078.5</v>
          </cell>
          <cell r="CD61">
            <v>0</v>
          </cell>
          <cell r="CF61">
            <v>35078.5</v>
          </cell>
          <cell r="CG61">
            <v>10.75</v>
          </cell>
          <cell r="CH61">
            <v>10.75</v>
          </cell>
          <cell r="CI61">
            <v>10.75</v>
          </cell>
          <cell r="CU61">
            <v>10</v>
          </cell>
          <cell r="CV61">
            <v>10</v>
          </cell>
          <cell r="CY61">
            <v>0</v>
          </cell>
        </row>
        <row r="62">
          <cell r="A62">
            <v>35108.9375</v>
          </cell>
          <cell r="R62">
            <v>0</v>
          </cell>
          <cell r="T62">
            <v>35108.9375</v>
          </cell>
          <cell r="U62">
            <v>178.39635670888251</v>
          </cell>
          <cell r="V62">
            <v>99.617404503165702</v>
          </cell>
          <cell r="W62">
            <v>167.1529215346508</v>
          </cell>
          <cell r="X62">
            <v>38.4</v>
          </cell>
          <cell r="Y62">
            <v>98.1</v>
          </cell>
          <cell r="Z62">
            <v>100.17260207809954</v>
          </cell>
          <cell r="AA62">
            <v>97.8</v>
          </cell>
          <cell r="AB62">
            <v>104.77709526008294</v>
          </cell>
          <cell r="AC62">
            <v>97.204036600632421</v>
          </cell>
          <cell r="AD62">
            <v>116.57382262969885</v>
          </cell>
          <cell r="AE62">
            <v>63.773638052242809</v>
          </cell>
          <cell r="AF62">
            <v>120.95046499826331</v>
          </cell>
          <cell r="AG62">
            <v>108.37995500785723</v>
          </cell>
          <cell r="AH62">
            <v>65.088861790727236</v>
          </cell>
          <cell r="AI62">
            <v>108.9811554679419</v>
          </cell>
          <cell r="AJ62">
            <v>81.599999999999994</v>
          </cell>
          <cell r="AN62">
            <v>26</v>
          </cell>
          <cell r="AP62">
            <v>35108.9375</v>
          </cell>
          <cell r="AQ62">
            <v>504.06</v>
          </cell>
          <cell r="AR62">
            <v>17.670000000000002</v>
          </cell>
          <cell r="AS62">
            <v>1.913781697905182</v>
          </cell>
          <cell r="AT62">
            <v>14.267372134038801</v>
          </cell>
          <cell r="AV62">
            <v>8.9067401999999998</v>
          </cell>
          <cell r="AW62">
            <v>0.964660802646086</v>
          </cell>
          <cell r="AX62">
            <v>7.1916115978835977</v>
          </cell>
          <cell r="AZ62">
            <v>10</v>
          </cell>
          <cell r="BA62">
            <v>10</v>
          </cell>
          <cell r="BB62">
            <v>10</v>
          </cell>
          <cell r="BC62">
            <v>10</v>
          </cell>
          <cell r="BD62">
            <v>10</v>
          </cell>
          <cell r="BE62">
            <v>10</v>
          </cell>
          <cell r="BF62">
            <v>0.1083068306680918</v>
          </cell>
          <cell r="BI62">
            <v>26</v>
          </cell>
          <cell r="BK62">
            <v>35108.9375</v>
          </cell>
          <cell r="CD62">
            <v>0</v>
          </cell>
          <cell r="CF62">
            <v>35108.9375</v>
          </cell>
          <cell r="CG62">
            <v>10.75</v>
          </cell>
          <cell r="CH62">
            <v>10.75</v>
          </cell>
          <cell r="CI62">
            <v>10.75</v>
          </cell>
          <cell r="CU62">
            <v>10</v>
          </cell>
          <cell r="CV62">
            <v>10</v>
          </cell>
          <cell r="CY62">
            <v>0</v>
          </cell>
        </row>
        <row r="63">
          <cell r="A63">
            <v>35139.375</v>
          </cell>
          <cell r="R63">
            <v>0</v>
          </cell>
          <cell r="T63">
            <v>35139.375</v>
          </cell>
          <cell r="U63">
            <v>179.25143193664061</v>
          </cell>
          <cell r="V63">
            <v>115.30522818830822</v>
          </cell>
          <cell r="W63">
            <v>170.54772506056304</v>
          </cell>
          <cell r="X63">
            <v>15.6</v>
          </cell>
          <cell r="Y63">
            <v>113.8</v>
          </cell>
          <cell r="Z63">
            <v>109.33055513257077</v>
          </cell>
          <cell r="AA63">
            <v>114.3</v>
          </cell>
          <cell r="AB63">
            <v>127.55506220518802</v>
          </cell>
          <cell r="AC63">
            <v>113.27169947603122</v>
          </cell>
          <cell r="AD63">
            <v>131.38323125353028</v>
          </cell>
          <cell r="AE63">
            <v>71.452082811047077</v>
          </cell>
          <cell r="AF63">
            <v>114.26555883473509</v>
          </cell>
          <cell r="AG63">
            <v>138.88371161374843</v>
          </cell>
          <cell r="AH63">
            <v>71.228498041148839</v>
          </cell>
          <cell r="AI63">
            <v>120.43913029147475</v>
          </cell>
          <cell r="AJ63">
            <v>82.65</v>
          </cell>
          <cell r="AN63">
            <v>27</v>
          </cell>
          <cell r="AP63">
            <v>35139.375</v>
          </cell>
          <cell r="AQ63">
            <v>505.91</v>
          </cell>
          <cell r="AR63">
            <v>19.36</v>
          </cell>
          <cell r="AS63">
            <v>1.8352811466372658</v>
          </cell>
          <cell r="AT63">
            <v>13.979894179894179</v>
          </cell>
          <cell r="AV63">
            <v>9.7944176000000009</v>
          </cell>
          <cell r="AW63">
            <v>0.92848708489525911</v>
          </cell>
          <cell r="AX63">
            <v>7.0725682645502648</v>
          </cell>
          <cell r="AZ63">
            <v>10</v>
          </cell>
          <cell r="BA63">
            <v>10</v>
          </cell>
          <cell r="BB63">
            <v>10</v>
          </cell>
          <cell r="BC63">
            <v>10</v>
          </cell>
          <cell r="BD63">
            <v>10</v>
          </cell>
          <cell r="BE63">
            <v>10</v>
          </cell>
          <cell r="BF63">
            <v>9.4797579888288505E-2</v>
          </cell>
          <cell r="BI63">
            <v>27</v>
          </cell>
          <cell r="BK63">
            <v>35139.375</v>
          </cell>
          <cell r="CD63">
            <v>0</v>
          </cell>
          <cell r="CF63">
            <v>35139.375</v>
          </cell>
          <cell r="CG63">
            <v>10.75</v>
          </cell>
          <cell r="CH63">
            <v>10.75</v>
          </cell>
          <cell r="CI63">
            <v>10.75</v>
          </cell>
          <cell r="CU63">
            <v>10</v>
          </cell>
          <cell r="CV63">
            <v>10</v>
          </cell>
          <cell r="CY63">
            <v>0</v>
          </cell>
        </row>
        <row r="64">
          <cell r="A64">
            <v>35169.8125</v>
          </cell>
          <cell r="R64">
            <v>0</v>
          </cell>
          <cell r="T64">
            <v>35169.8125</v>
          </cell>
          <cell r="U64">
            <v>80.931612843732907</v>
          </cell>
          <cell r="V64">
            <v>89.012442914261072</v>
          </cell>
          <cell r="W64">
            <v>90.1536425199116</v>
          </cell>
          <cell r="X64">
            <v>47.823545558985899</v>
          </cell>
          <cell r="Y64">
            <v>99.9</v>
          </cell>
          <cell r="Z64">
            <v>133.41395753223628</v>
          </cell>
          <cell r="AA64">
            <v>95.9</v>
          </cell>
          <cell r="AB64">
            <v>88.679238959191565</v>
          </cell>
          <cell r="AC64">
            <v>66.646454321332726</v>
          </cell>
          <cell r="AD64">
            <v>131.58150127741726</v>
          </cell>
          <cell r="AE64">
            <v>67.163550875263098</v>
          </cell>
          <cell r="AF64">
            <v>118.18449452600919</v>
          </cell>
          <cell r="AG64">
            <v>133.42227268256559</v>
          </cell>
          <cell r="AH64">
            <v>78.769166904496274</v>
          </cell>
          <cell r="AI64">
            <v>94.249164357428583</v>
          </cell>
          <cell r="AJ64">
            <v>84.06</v>
          </cell>
          <cell r="AN64">
            <v>28</v>
          </cell>
          <cell r="AP64">
            <v>35169.8125</v>
          </cell>
          <cell r="AQ64">
            <v>510.6</v>
          </cell>
          <cell r="AR64">
            <v>20.66</v>
          </cell>
          <cell r="AS64">
            <v>1.8302094818081587</v>
          </cell>
          <cell r="AT64">
            <v>13.867372134038801</v>
          </cell>
          <cell r="AV64">
            <v>10.548996000000001</v>
          </cell>
          <cell r="AW64">
            <v>0.93450496141124584</v>
          </cell>
          <cell r="AX64">
            <v>7.0806802116402121</v>
          </cell>
          <cell r="AZ64">
            <v>10</v>
          </cell>
          <cell r="BA64">
            <v>10</v>
          </cell>
          <cell r="BB64">
            <v>10</v>
          </cell>
          <cell r="BC64">
            <v>10</v>
          </cell>
          <cell r="BD64">
            <v>10</v>
          </cell>
          <cell r="BE64">
            <v>10</v>
          </cell>
          <cell r="BF64">
            <v>8.8587099797103511E-2</v>
          </cell>
          <cell r="BI64">
            <v>28</v>
          </cell>
          <cell r="BK64">
            <v>35169.8125</v>
          </cell>
          <cell r="CD64">
            <v>0</v>
          </cell>
          <cell r="CF64">
            <v>35169.8125</v>
          </cell>
          <cell r="CG64">
            <v>10.75</v>
          </cell>
          <cell r="CH64">
            <v>10.75</v>
          </cell>
          <cell r="CI64">
            <v>10.75</v>
          </cell>
          <cell r="CU64">
            <v>10</v>
          </cell>
          <cell r="CV64">
            <v>10</v>
          </cell>
          <cell r="CY64">
            <v>0</v>
          </cell>
        </row>
        <row r="65">
          <cell r="A65">
            <v>35200.25</v>
          </cell>
          <cell r="R65">
            <v>0</v>
          </cell>
          <cell r="T65">
            <v>35200.25</v>
          </cell>
          <cell r="U65">
            <v>1.4838070128743313</v>
          </cell>
          <cell r="V65">
            <v>67.980953880967675</v>
          </cell>
          <cell r="W65">
            <v>24.99367885981772</v>
          </cell>
          <cell r="X65">
            <v>39.309990883797219</v>
          </cell>
          <cell r="Y65">
            <v>90</v>
          </cell>
          <cell r="Z65">
            <v>151.17432271296786</v>
          </cell>
          <cell r="AA65">
            <v>82.9</v>
          </cell>
          <cell r="AB65">
            <v>124.06309765027174</v>
          </cell>
          <cell r="AC65">
            <v>2.6436047572562806</v>
          </cell>
          <cell r="AD65">
            <v>130.65854929018775</v>
          </cell>
          <cell r="AE65">
            <v>63.321683027530696</v>
          </cell>
          <cell r="AF65">
            <v>110.41651209246091</v>
          </cell>
          <cell r="AG65">
            <v>143.49565325959492</v>
          </cell>
          <cell r="AH65">
            <v>78.769166904496274</v>
          </cell>
          <cell r="AI65">
            <v>72.657946032619009</v>
          </cell>
          <cell r="AJ65">
            <v>81.11</v>
          </cell>
          <cell r="AN65">
            <v>29</v>
          </cell>
          <cell r="AP65">
            <v>35200.25</v>
          </cell>
          <cell r="AQ65">
            <v>519.14</v>
          </cell>
          <cell r="AR65">
            <v>19.09</v>
          </cell>
          <cell r="AS65">
            <v>1.8280044101433297</v>
          </cell>
          <cell r="AT65">
            <v>13.825396825396824</v>
          </cell>
          <cell r="AV65">
            <v>9.9103825999999984</v>
          </cell>
          <cell r="AW65">
            <v>0.94899020948180812</v>
          </cell>
          <cell r="AX65">
            <v>7.1773165079365073</v>
          </cell>
          <cell r="AZ65">
            <v>10</v>
          </cell>
          <cell r="BA65">
            <v>10</v>
          </cell>
          <cell r="BB65">
            <v>10</v>
          </cell>
          <cell r="BC65">
            <v>10</v>
          </cell>
          <cell r="BD65">
            <v>10</v>
          </cell>
          <cell r="BE65">
            <v>10</v>
          </cell>
          <cell r="BF65">
            <v>9.5757171825213719E-2</v>
          </cell>
          <cell r="BI65">
            <v>29</v>
          </cell>
          <cell r="BK65">
            <v>35200.25</v>
          </cell>
          <cell r="CD65">
            <v>0</v>
          </cell>
          <cell r="CF65">
            <v>35200.25</v>
          </cell>
          <cell r="CG65">
            <v>10.25</v>
          </cell>
          <cell r="CH65">
            <v>10.25</v>
          </cell>
          <cell r="CI65">
            <v>10.25</v>
          </cell>
          <cell r="CU65">
            <v>10</v>
          </cell>
          <cell r="CV65">
            <v>10</v>
          </cell>
          <cell r="CY65">
            <v>0</v>
          </cell>
        </row>
        <row r="66">
          <cell r="A66">
            <v>35230.6875</v>
          </cell>
          <cell r="R66">
            <v>0</v>
          </cell>
          <cell r="T66">
            <v>35230.6875</v>
          </cell>
          <cell r="U66">
            <v>1.6975758198138535</v>
          </cell>
          <cell r="V66">
            <v>65.094209334147934</v>
          </cell>
          <cell r="W66">
            <v>22.686803757616154</v>
          </cell>
          <cell r="X66">
            <v>31.938440892100083</v>
          </cell>
          <cell r="Y66">
            <v>77</v>
          </cell>
          <cell r="Z66">
            <v>153.42774088740902</v>
          </cell>
          <cell r="AA66">
            <v>68</v>
          </cell>
          <cell r="AB66">
            <v>112.19982029669173</v>
          </cell>
          <cell r="AC66">
            <v>0.86081085209222896</v>
          </cell>
          <cell r="AD66">
            <v>117.0225718654883</v>
          </cell>
          <cell r="AE66">
            <v>64.064306808676292</v>
          </cell>
          <cell r="AF66">
            <v>82.774250989724194</v>
          </cell>
          <cell r="AG66">
            <v>107.56346752980201</v>
          </cell>
          <cell r="AH66">
            <v>67.716576291414782</v>
          </cell>
          <cell r="AI66">
            <v>62.099875526866327</v>
          </cell>
          <cell r="AJ66">
            <v>76.8</v>
          </cell>
          <cell r="AN66">
            <v>30</v>
          </cell>
          <cell r="AP66">
            <v>35230.6875</v>
          </cell>
          <cell r="AQ66">
            <v>517.67999999999995</v>
          </cell>
          <cell r="AR66">
            <v>18.510000000000002</v>
          </cell>
          <cell r="AS66">
            <v>1.8330760749724364</v>
          </cell>
          <cell r="AT66">
            <v>13.589770723104055</v>
          </cell>
          <cell r="AV66">
            <v>9.5822567999999997</v>
          </cell>
          <cell r="AW66">
            <v>0.94894682249173079</v>
          </cell>
          <cell r="AX66">
            <v>7.0351525079365063</v>
          </cell>
          <cell r="AZ66">
            <v>10</v>
          </cell>
          <cell r="BA66">
            <v>10</v>
          </cell>
          <cell r="BB66">
            <v>10</v>
          </cell>
          <cell r="BC66">
            <v>10</v>
          </cell>
          <cell r="BD66">
            <v>10</v>
          </cell>
          <cell r="BE66">
            <v>10</v>
          </cell>
          <cell r="BF66">
            <v>9.9031662613313684E-2</v>
          </cell>
          <cell r="BI66">
            <v>30</v>
          </cell>
          <cell r="BK66">
            <v>35230.6875</v>
          </cell>
          <cell r="CD66">
            <v>0</v>
          </cell>
          <cell r="CF66">
            <v>35230.6875</v>
          </cell>
          <cell r="CG66">
            <v>10.25</v>
          </cell>
          <cell r="CH66">
            <v>10.25</v>
          </cell>
          <cell r="CI66">
            <v>10.25</v>
          </cell>
          <cell r="CU66">
            <v>10</v>
          </cell>
          <cell r="CV66">
            <v>10</v>
          </cell>
          <cell r="CY66">
            <v>0</v>
          </cell>
        </row>
        <row r="67">
          <cell r="A67">
            <v>35261.125</v>
          </cell>
          <cell r="R67">
            <v>0</v>
          </cell>
          <cell r="T67">
            <v>35261.125</v>
          </cell>
          <cell r="U67">
            <v>0</v>
          </cell>
          <cell r="V67">
            <v>78.235492718332353</v>
          </cell>
          <cell r="W67">
            <v>19.247078003000823</v>
          </cell>
          <cell r="X67">
            <v>33.169286868940183</v>
          </cell>
          <cell r="Y67">
            <v>90.8</v>
          </cell>
          <cell r="Z67">
            <v>162.68462900039867</v>
          </cell>
          <cell r="AA67">
            <v>82.4</v>
          </cell>
          <cell r="AB67">
            <v>132.77407481231813</v>
          </cell>
          <cell r="AC67">
            <v>12.899491788165546</v>
          </cell>
          <cell r="AD67">
            <v>105.75317584066386</v>
          </cell>
          <cell r="AE67">
            <v>80.76368914717122</v>
          </cell>
          <cell r="AF67">
            <v>97.265560943405006</v>
          </cell>
          <cell r="AG67">
            <v>125.56820207930352</v>
          </cell>
          <cell r="AH67">
            <v>82.760553148431612</v>
          </cell>
          <cell r="AI67">
            <v>72.743292630992386</v>
          </cell>
          <cell r="AJ67">
            <v>89.5</v>
          </cell>
          <cell r="AN67">
            <v>31</v>
          </cell>
          <cell r="AP67">
            <v>35261.125</v>
          </cell>
          <cell r="AQ67">
            <v>509.34</v>
          </cell>
          <cell r="AR67">
            <v>19.55</v>
          </cell>
          <cell r="AS67">
            <v>1.760529217199559</v>
          </cell>
          <cell r="AT67">
            <v>13.530511463844796</v>
          </cell>
          <cell r="AV67">
            <v>9.9575969999999998</v>
          </cell>
          <cell r="AW67">
            <v>0.8967079514884233</v>
          </cell>
          <cell r="AX67">
            <v>6.8916307089947075</v>
          </cell>
          <cell r="AZ67">
            <v>10</v>
          </cell>
          <cell r="BA67">
            <v>10</v>
          </cell>
          <cell r="BB67">
            <v>10</v>
          </cell>
          <cell r="BC67">
            <v>10</v>
          </cell>
          <cell r="BD67">
            <v>10</v>
          </cell>
          <cell r="BE67">
            <v>10</v>
          </cell>
          <cell r="BF67">
            <v>9.0052645381051608E-2</v>
          </cell>
          <cell r="BI67">
            <v>31</v>
          </cell>
          <cell r="BK67">
            <v>35261.125</v>
          </cell>
          <cell r="CD67">
            <v>0</v>
          </cell>
          <cell r="CF67">
            <v>35261.125</v>
          </cell>
          <cell r="CG67">
            <v>10.25</v>
          </cell>
          <cell r="CH67">
            <v>10.25</v>
          </cell>
          <cell r="CI67">
            <v>10.25</v>
          </cell>
          <cell r="CU67">
            <v>10</v>
          </cell>
          <cell r="CV67">
            <v>10</v>
          </cell>
          <cell r="CY67">
            <v>0</v>
          </cell>
        </row>
        <row r="68">
          <cell r="A68">
            <v>35291.5625</v>
          </cell>
          <cell r="R68">
            <v>0</v>
          </cell>
          <cell r="T68">
            <v>35291.5625</v>
          </cell>
          <cell r="U68">
            <v>0</v>
          </cell>
          <cell r="V68">
            <v>75.38470702671404</v>
          </cell>
          <cell r="W68">
            <v>3.6732233438958959</v>
          </cell>
          <cell r="X68">
            <v>30.604089074451249</v>
          </cell>
          <cell r="Y68">
            <v>78.3</v>
          </cell>
          <cell r="Z68">
            <v>133.37229311216137</v>
          </cell>
          <cell r="AA68">
            <v>71.8</v>
          </cell>
          <cell r="AB68">
            <v>144.75710154268208</v>
          </cell>
          <cell r="AC68">
            <v>17.330680688142518</v>
          </cell>
          <cell r="AD68">
            <v>20.182545845581846</v>
          </cell>
          <cell r="AE68">
            <v>52.487724067727967</v>
          </cell>
          <cell r="AF68">
            <v>82.640674561480068</v>
          </cell>
          <cell r="AG68">
            <v>121.36108866793521</v>
          </cell>
          <cell r="AH68">
            <v>83.065666917468803</v>
          </cell>
          <cell r="AI68">
            <v>62.794627251714687</v>
          </cell>
          <cell r="AJ68">
            <v>75.430000000000007</v>
          </cell>
          <cell r="AN68">
            <v>32</v>
          </cell>
          <cell r="AP68">
            <v>35291.5625</v>
          </cell>
          <cell r="AQ68">
            <v>506</v>
          </cell>
          <cell r="AR68">
            <v>20.420000000000002</v>
          </cell>
          <cell r="AS68">
            <v>1.6915104740904077</v>
          </cell>
          <cell r="AT68">
            <v>13.667372134038802</v>
          </cell>
          <cell r="AV68">
            <v>10.332520000000001</v>
          </cell>
          <cell r="AW68">
            <v>0.85590429988974637</v>
          </cell>
          <cell r="AX68">
            <v>6.915690299823634</v>
          </cell>
          <cell r="AZ68">
            <v>10</v>
          </cell>
          <cell r="BA68">
            <v>10</v>
          </cell>
          <cell r="BB68">
            <v>10</v>
          </cell>
          <cell r="BC68">
            <v>10</v>
          </cell>
          <cell r="BD68">
            <v>10</v>
          </cell>
          <cell r="BE68">
            <v>10</v>
          </cell>
          <cell r="BF68">
            <v>8.2835968368776089E-2</v>
          </cell>
          <cell r="BI68">
            <v>32</v>
          </cell>
          <cell r="BK68">
            <v>35291.5625</v>
          </cell>
          <cell r="CD68">
            <v>0</v>
          </cell>
          <cell r="CF68">
            <v>35291.5625</v>
          </cell>
          <cell r="CG68">
            <v>10.25</v>
          </cell>
          <cell r="CH68">
            <v>10.25</v>
          </cell>
          <cell r="CI68">
            <v>10.25</v>
          </cell>
          <cell r="CU68">
            <v>10</v>
          </cell>
          <cell r="CV68">
            <v>10</v>
          </cell>
          <cell r="CY68">
            <v>0</v>
          </cell>
        </row>
        <row r="69">
          <cell r="A69">
            <v>35322</v>
          </cell>
          <cell r="R69">
            <v>0</v>
          </cell>
          <cell r="T69">
            <v>35322</v>
          </cell>
          <cell r="U69">
            <v>0</v>
          </cell>
          <cell r="V69">
            <v>42.210347984355117</v>
          </cell>
          <cell r="W69">
            <v>7.7896258348656868</v>
          </cell>
          <cell r="X69">
            <v>28.085536415671736</v>
          </cell>
          <cell r="Y69">
            <v>69.099999999999994</v>
          </cell>
          <cell r="Z69">
            <v>31.533825086231776</v>
          </cell>
          <cell r="AA69">
            <v>73.5</v>
          </cell>
          <cell r="AB69">
            <v>112.64220776246118</v>
          </cell>
          <cell r="AC69">
            <v>18.519038153842583</v>
          </cell>
          <cell r="AD69">
            <v>42.800141949811461</v>
          </cell>
          <cell r="AE69">
            <v>49.677591663020664</v>
          </cell>
          <cell r="AF69">
            <v>91.268155073552123</v>
          </cell>
          <cell r="AG69">
            <v>131.95946460805746</v>
          </cell>
          <cell r="AH69">
            <v>68.507381366266245</v>
          </cell>
          <cell r="AI69">
            <v>55.49373773690975</v>
          </cell>
          <cell r="AJ69">
            <v>72.16</v>
          </cell>
          <cell r="AN69">
            <v>33</v>
          </cell>
          <cell r="AP69">
            <v>35322</v>
          </cell>
          <cell r="AQ69">
            <v>512.83000000000004</v>
          </cell>
          <cell r="AR69">
            <v>22.3</v>
          </cell>
          <cell r="AS69">
            <v>1.6628445424476295</v>
          </cell>
          <cell r="AT69">
            <v>13.508641975308644</v>
          </cell>
          <cell r="AV69">
            <v>11.436109</v>
          </cell>
          <cell r="AW69">
            <v>0.85275656670341793</v>
          </cell>
          <cell r="AX69">
            <v>6.9276368641975319</v>
          </cell>
          <cell r="AZ69">
            <v>10</v>
          </cell>
          <cell r="BA69">
            <v>10</v>
          </cell>
          <cell r="BB69">
            <v>10</v>
          </cell>
          <cell r="BC69">
            <v>10</v>
          </cell>
          <cell r="BD69">
            <v>10</v>
          </cell>
          <cell r="BE69">
            <v>10</v>
          </cell>
          <cell r="BF69">
            <v>7.4567019840700882E-2</v>
          </cell>
          <cell r="BI69">
            <v>33</v>
          </cell>
          <cell r="BK69">
            <v>35322</v>
          </cell>
          <cell r="CD69">
            <v>0</v>
          </cell>
          <cell r="CF69">
            <v>35322</v>
          </cell>
          <cell r="CG69">
            <v>9.75</v>
          </cell>
          <cell r="CH69">
            <v>9.75</v>
          </cell>
          <cell r="CI69">
            <v>9.75</v>
          </cell>
          <cell r="CU69">
            <v>10</v>
          </cell>
          <cell r="CV69">
            <v>10</v>
          </cell>
          <cell r="CY69">
            <v>0</v>
          </cell>
        </row>
        <row r="70">
          <cell r="A70">
            <v>35352.4375</v>
          </cell>
          <cell r="R70">
            <v>0</v>
          </cell>
          <cell r="T70">
            <v>35352.4375</v>
          </cell>
          <cell r="U70">
            <v>0</v>
          </cell>
          <cell r="V70">
            <v>61.059959524898154</v>
          </cell>
          <cell r="W70">
            <v>18.118428924573923</v>
          </cell>
          <cell r="X70">
            <v>26.104602496280659</v>
          </cell>
          <cell r="Y70">
            <v>78</v>
          </cell>
          <cell r="Z70">
            <v>99.62</v>
          </cell>
          <cell r="AA70">
            <v>75.5</v>
          </cell>
          <cell r="AB70">
            <v>119.39</v>
          </cell>
          <cell r="AC70">
            <v>17.414937278677876</v>
          </cell>
          <cell r="AD70">
            <v>99.551807277878694</v>
          </cell>
          <cell r="AE70">
            <v>49.254513438968551</v>
          </cell>
          <cell r="AF70">
            <v>75.980682127406283</v>
          </cell>
          <cell r="AG70">
            <v>132.64175915775138</v>
          </cell>
          <cell r="AH70">
            <v>98.196819137067692</v>
          </cell>
          <cell r="AI70">
            <v>62.347710221170971</v>
          </cell>
          <cell r="AJ70">
            <v>94.55</v>
          </cell>
          <cell r="AN70">
            <v>34</v>
          </cell>
          <cell r="AP70">
            <v>35352.4375</v>
          </cell>
          <cell r="AQ70">
            <v>516.66999999999996</v>
          </cell>
          <cell r="AR70">
            <v>23.61</v>
          </cell>
          <cell r="AS70">
            <v>1.6632855567805955</v>
          </cell>
          <cell r="AT70">
            <v>13.441622574955908</v>
          </cell>
          <cell r="AV70">
            <v>12.198578699999999</v>
          </cell>
          <cell r="AW70">
            <v>0.85936974862183024</v>
          </cell>
          <cell r="AX70">
            <v>6.9448831358024679</v>
          </cell>
          <cell r="AZ70">
            <v>10</v>
          </cell>
          <cell r="BA70">
            <v>10</v>
          </cell>
          <cell r="BB70">
            <v>10</v>
          </cell>
          <cell r="BC70">
            <v>10</v>
          </cell>
          <cell r="BD70">
            <v>10</v>
          </cell>
          <cell r="BE70">
            <v>10</v>
          </cell>
          <cell r="BF70">
            <v>7.0448350562498749E-2</v>
          </cell>
          <cell r="BI70">
            <v>34</v>
          </cell>
          <cell r="BK70">
            <v>35352.4375</v>
          </cell>
          <cell r="CD70">
            <v>0</v>
          </cell>
          <cell r="CF70">
            <v>35352.4375</v>
          </cell>
          <cell r="CG70">
            <v>9.75</v>
          </cell>
          <cell r="CH70">
            <v>9.75</v>
          </cell>
          <cell r="CI70">
            <v>9.75</v>
          </cell>
          <cell r="CU70">
            <v>10</v>
          </cell>
          <cell r="CV70">
            <v>10</v>
          </cell>
          <cell r="CY70">
            <v>0</v>
          </cell>
        </row>
        <row r="71">
          <cell r="A71">
            <v>35382.875</v>
          </cell>
          <cell r="R71">
            <v>0</v>
          </cell>
          <cell r="T71">
            <v>35382.875</v>
          </cell>
          <cell r="U71">
            <v>43.17115127077173</v>
          </cell>
          <cell r="V71">
            <v>101.91132523537138</v>
          </cell>
          <cell r="W71">
            <v>52.227062063437593</v>
          </cell>
          <cell r="X71">
            <v>27.185614699792257</v>
          </cell>
          <cell r="Y71">
            <v>96.1</v>
          </cell>
          <cell r="Z71">
            <v>115.14</v>
          </cell>
          <cell r="AA71">
            <v>93.8</v>
          </cell>
          <cell r="AB71">
            <v>115.34</v>
          </cell>
          <cell r="AC71">
            <v>89.658019331411396</v>
          </cell>
          <cell r="AD71">
            <v>92.917911981694274</v>
          </cell>
          <cell r="AE71">
            <v>63.37939391910745</v>
          </cell>
          <cell r="AF71">
            <v>77.691759225196137</v>
          </cell>
          <cell r="AG71">
            <v>119.18760843272578</v>
          </cell>
          <cell r="AH71">
            <v>90.780686505980327</v>
          </cell>
          <cell r="AI71">
            <v>83.922188397357928</v>
          </cell>
          <cell r="AJ71">
            <v>97.44</v>
          </cell>
          <cell r="AN71">
            <v>35</v>
          </cell>
          <cell r="AP71">
            <v>35382.875</v>
          </cell>
          <cell r="AQ71">
            <v>511.6</v>
          </cell>
          <cell r="AR71">
            <v>23.21</v>
          </cell>
          <cell r="AS71">
            <v>1.6877618522601985</v>
          </cell>
          <cell r="AT71">
            <v>13.269488536155203</v>
          </cell>
          <cell r="AV71">
            <v>11.874236000000002</v>
          </cell>
          <cell r="AW71">
            <v>0.86345896361631758</v>
          </cell>
          <cell r="AX71">
            <v>6.7886703350970024</v>
          </cell>
          <cell r="AZ71">
            <v>10</v>
          </cell>
          <cell r="BA71">
            <v>10</v>
          </cell>
          <cell r="BB71">
            <v>10</v>
          </cell>
          <cell r="BC71">
            <v>10</v>
          </cell>
          <cell r="BD71">
            <v>10</v>
          </cell>
          <cell r="BE71">
            <v>10</v>
          </cell>
          <cell r="BF71">
            <v>7.2717012161145983E-2</v>
          </cell>
          <cell r="BI71">
            <v>35</v>
          </cell>
          <cell r="BK71">
            <v>35382.875</v>
          </cell>
          <cell r="CD71">
            <v>0</v>
          </cell>
          <cell r="CF71">
            <v>35382.875</v>
          </cell>
          <cell r="CG71">
            <v>9.75</v>
          </cell>
          <cell r="CH71">
            <v>9.75</v>
          </cell>
          <cell r="CI71">
            <v>9.75</v>
          </cell>
          <cell r="CU71">
            <v>10</v>
          </cell>
          <cell r="CV71">
            <v>10</v>
          </cell>
          <cell r="CY71">
            <v>0</v>
          </cell>
        </row>
        <row r="72">
          <cell r="A72">
            <v>35413.3125</v>
          </cell>
          <cell r="R72">
            <v>0</v>
          </cell>
          <cell r="T72">
            <v>35413.3125</v>
          </cell>
          <cell r="U72">
            <v>211.94859069770365</v>
          </cell>
          <cell r="V72">
            <v>135.40048086751059</v>
          </cell>
          <cell r="W72">
            <v>189.90354536431246</v>
          </cell>
          <cell r="X72">
            <v>36.451038535443054</v>
          </cell>
          <cell r="Y72">
            <v>111.6</v>
          </cell>
          <cell r="Z72">
            <v>102.02</v>
          </cell>
          <cell r="AA72">
            <v>112.7</v>
          </cell>
          <cell r="AB72">
            <v>115.24</v>
          </cell>
          <cell r="AC72">
            <v>160.64874593542305</v>
          </cell>
          <cell r="AD72">
            <v>90.768008222221567</v>
          </cell>
          <cell r="AE72">
            <v>57.352417984175034</v>
          </cell>
          <cell r="AF72">
            <v>80.025930738574289</v>
          </cell>
          <cell r="AG72">
            <v>120.92174834310977</v>
          </cell>
          <cell r="AH72">
            <v>56.203201618971015</v>
          </cell>
          <cell r="AI72">
            <v>125.19289211436393</v>
          </cell>
          <cell r="AJ72">
            <v>112.64</v>
          </cell>
          <cell r="AN72">
            <v>36</v>
          </cell>
          <cell r="AP72">
            <v>35413.3125</v>
          </cell>
          <cell r="AQ72">
            <v>524.23</v>
          </cell>
          <cell r="AR72">
            <v>22.81</v>
          </cell>
          <cell r="AS72">
            <v>1.7122381477398017</v>
          </cell>
          <cell r="AT72">
            <v>13.097354497354498</v>
          </cell>
          <cell r="AV72">
            <v>11.957686299999999</v>
          </cell>
          <cell r="AW72">
            <v>0.89760660418963634</v>
          </cell>
          <cell r="AX72">
            <v>6.8660261481481486</v>
          </cell>
          <cell r="AZ72">
            <v>10</v>
          </cell>
          <cell r="BA72">
            <v>10</v>
          </cell>
          <cell r="BB72">
            <v>10</v>
          </cell>
          <cell r="BC72">
            <v>10</v>
          </cell>
          <cell r="BD72">
            <v>10</v>
          </cell>
          <cell r="BE72">
            <v>10</v>
          </cell>
          <cell r="BF72">
            <v>7.5065241023226745E-2</v>
          </cell>
          <cell r="BI72">
            <v>36</v>
          </cell>
          <cell r="BK72">
            <v>35413.3125</v>
          </cell>
          <cell r="CD72">
            <v>0</v>
          </cell>
          <cell r="CF72">
            <v>35413.3125</v>
          </cell>
          <cell r="CG72">
            <v>9.75</v>
          </cell>
          <cell r="CH72">
            <v>9.75</v>
          </cell>
          <cell r="CI72">
            <v>9.75</v>
          </cell>
          <cell r="CU72">
            <v>10</v>
          </cell>
          <cell r="CV72">
            <v>10</v>
          </cell>
          <cell r="CY72">
            <v>0</v>
          </cell>
        </row>
        <row r="73">
          <cell r="A73">
            <v>35443.75</v>
          </cell>
          <cell r="B73">
            <v>97.55</v>
          </cell>
          <cell r="D73">
            <v>101.364</v>
          </cell>
          <cell r="E73">
            <v>102.584</v>
          </cell>
          <cell r="F73">
            <v>101.627</v>
          </cell>
          <cell r="G73">
            <v>99.432000000000002</v>
          </cell>
          <cell r="H73">
            <v>100.371</v>
          </cell>
          <cell r="J73">
            <v>101</v>
          </cell>
          <cell r="K73">
            <v>100.45</v>
          </cell>
          <cell r="L73">
            <v>104.676</v>
          </cell>
          <cell r="M73">
            <v>103.512</v>
          </cell>
          <cell r="N73">
            <v>100.34099999999999</v>
          </cell>
          <cell r="R73">
            <v>37</v>
          </cell>
          <cell r="T73">
            <v>35443.75</v>
          </cell>
          <cell r="U73">
            <v>236.9061366318</v>
          </cell>
          <cell r="V73">
            <v>147.08034665928182</v>
          </cell>
          <cell r="W73">
            <v>208.66500149115592</v>
          </cell>
          <cell r="X73">
            <v>8.4531120140708076</v>
          </cell>
          <cell r="Y73">
            <v>129.3373550550107</v>
          </cell>
          <cell r="Z73">
            <v>118.72890523011536</v>
          </cell>
          <cell r="AA73">
            <v>130.58095326935023</v>
          </cell>
          <cell r="AB73">
            <v>117.39293067331505</v>
          </cell>
          <cell r="AC73">
            <v>173.71630804890759</v>
          </cell>
          <cell r="AD73">
            <v>81.67475075104737</v>
          </cell>
          <cell r="AE73">
            <v>87.927756197120445</v>
          </cell>
          <cell r="AF73">
            <v>126.36085915727598</v>
          </cell>
          <cell r="AG73">
            <v>134.38288524177173</v>
          </cell>
          <cell r="AH73">
            <v>86.235114028487658</v>
          </cell>
          <cell r="AI73">
            <v>142.08661997556996</v>
          </cell>
          <cell r="AJ73">
            <v>105.68</v>
          </cell>
          <cell r="AN73">
            <v>37</v>
          </cell>
          <cell r="AP73">
            <v>35443.75</v>
          </cell>
          <cell r="AQ73">
            <v>541.69000000000005</v>
          </cell>
          <cell r="AR73">
            <v>23.22</v>
          </cell>
          <cell r="AS73">
            <v>1.7589856670341784</v>
          </cell>
          <cell r="AT73">
            <v>12.52910052910053</v>
          </cell>
          <cell r="AV73">
            <v>12.578041800000001</v>
          </cell>
          <cell r="AW73">
            <v>0.95282494597574419</v>
          </cell>
          <cell r="AX73">
            <v>6.7868884656084667</v>
          </cell>
          <cell r="AZ73">
            <v>10</v>
          </cell>
          <cell r="BA73">
            <v>10</v>
          </cell>
          <cell r="BB73">
            <v>10</v>
          </cell>
          <cell r="BC73">
            <v>10</v>
          </cell>
          <cell r="BD73">
            <v>10</v>
          </cell>
          <cell r="BE73">
            <v>10</v>
          </cell>
          <cell r="BF73">
            <v>7.5753043369258324E-2</v>
          </cell>
          <cell r="BI73">
            <v>37</v>
          </cell>
          <cell r="BK73">
            <v>35443.75</v>
          </cell>
          <cell r="CD73">
            <v>0</v>
          </cell>
          <cell r="CF73">
            <v>35443.75</v>
          </cell>
          <cell r="CG73">
            <v>9.75</v>
          </cell>
          <cell r="CH73">
            <v>9.75</v>
          </cell>
          <cell r="CI73">
            <v>9.75</v>
          </cell>
          <cell r="CU73">
            <v>10</v>
          </cell>
          <cell r="CV73">
            <v>10</v>
          </cell>
          <cell r="CY73">
            <v>0</v>
          </cell>
        </row>
        <row r="74">
          <cell r="A74">
            <v>35474.1875</v>
          </cell>
          <cell r="B74">
            <v>100.738</v>
          </cell>
          <cell r="D74">
            <v>101.38800000000001</v>
          </cell>
          <cell r="E74">
            <v>100.55</v>
          </cell>
          <cell r="F74">
            <v>101.627</v>
          </cell>
          <cell r="G74">
            <v>99.432000000000002</v>
          </cell>
          <cell r="H74">
            <v>99.537999999999997</v>
          </cell>
          <cell r="J74">
            <v>100.97799999999999</v>
          </cell>
          <cell r="K74">
            <v>100.45</v>
          </cell>
          <cell r="L74">
            <v>105.092</v>
          </cell>
          <cell r="M74">
            <v>103.512</v>
          </cell>
          <cell r="N74">
            <v>101.163</v>
          </cell>
          <cell r="R74">
            <v>38</v>
          </cell>
          <cell r="T74">
            <v>35474.1875</v>
          </cell>
          <cell r="U74">
            <v>242.80364077619035</v>
          </cell>
          <cell r="V74">
            <v>140.9990934868614</v>
          </cell>
          <cell r="W74">
            <v>216.50528644494997</v>
          </cell>
          <cell r="X74">
            <v>8.9606867313499095</v>
          </cell>
          <cell r="Y74">
            <v>122.17654393032568</v>
          </cell>
          <cell r="Z74">
            <v>116.74058072569679</v>
          </cell>
          <cell r="AA74">
            <v>122.81378634048703</v>
          </cell>
          <cell r="AB74">
            <v>127.50894359830296</v>
          </cell>
          <cell r="AC74">
            <v>158.86796638926779</v>
          </cell>
          <cell r="AD74">
            <v>98.245373288066915</v>
          </cell>
          <cell r="AE74">
            <v>80.433475758339441</v>
          </cell>
          <cell r="AF74">
            <v>156.14031052926174</v>
          </cell>
          <cell r="AG74">
            <v>108.13800477337853</v>
          </cell>
          <cell r="AH74">
            <v>90.593882157590215</v>
          </cell>
          <cell r="AI74">
            <v>137.49813712533305</v>
          </cell>
          <cell r="AJ74">
            <v>97.86</v>
          </cell>
          <cell r="AN74">
            <v>38</v>
          </cell>
          <cell r="AP74">
            <v>35474.1875</v>
          </cell>
          <cell r="AQ74">
            <v>565.48</v>
          </cell>
          <cell r="AR74">
            <v>20.43</v>
          </cell>
          <cell r="AS74">
            <v>1.7728776185226021</v>
          </cell>
          <cell r="AT74">
            <v>12.229629629629629</v>
          </cell>
          <cell r="AV74">
            <v>11.5527564</v>
          </cell>
          <cell r="AW74">
            <v>1.0025268357221611</v>
          </cell>
          <cell r="AX74">
            <v>6.9156109629629627</v>
          </cell>
          <cell r="AZ74">
            <v>10</v>
          </cell>
          <cell r="BA74">
            <v>10</v>
          </cell>
          <cell r="BB74">
            <v>10</v>
          </cell>
          <cell r="BC74">
            <v>10</v>
          </cell>
          <cell r="BD74">
            <v>10</v>
          </cell>
          <cell r="BE74">
            <v>10</v>
          </cell>
          <cell r="BF74">
            <v>8.6778150686373082E-2</v>
          </cell>
          <cell r="BI74">
            <v>38</v>
          </cell>
          <cell r="BK74">
            <v>35474.1875</v>
          </cell>
          <cell r="CD74">
            <v>0</v>
          </cell>
          <cell r="CF74">
            <v>35474.1875</v>
          </cell>
          <cell r="CG74">
            <v>9.75</v>
          </cell>
          <cell r="CH74">
            <v>9.75</v>
          </cell>
          <cell r="CI74">
            <v>9.75</v>
          </cell>
          <cell r="CU74">
            <v>10</v>
          </cell>
          <cell r="CV74">
            <v>10</v>
          </cell>
          <cell r="CY74">
            <v>0</v>
          </cell>
        </row>
        <row r="75">
          <cell r="A75">
            <v>35504.625</v>
          </cell>
          <cell r="B75">
            <v>99.504999999999995</v>
          </cell>
          <cell r="D75">
            <v>101.532</v>
          </cell>
          <cell r="E75">
            <v>100.137</v>
          </cell>
          <cell r="F75">
            <v>101.636</v>
          </cell>
          <cell r="G75">
            <v>99.432000000000002</v>
          </cell>
          <cell r="H75">
            <v>100.642</v>
          </cell>
          <cell r="J75">
            <v>100.875</v>
          </cell>
          <cell r="K75">
            <v>100.452</v>
          </cell>
          <cell r="L75">
            <v>104.59</v>
          </cell>
          <cell r="M75">
            <v>103.768</v>
          </cell>
          <cell r="N75">
            <v>100.843</v>
          </cell>
          <cell r="R75">
            <v>39</v>
          </cell>
          <cell r="T75">
            <v>35504.625</v>
          </cell>
          <cell r="U75">
            <v>227.75180184050751</v>
          </cell>
          <cell r="V75">
            <v>157.16100376327105</v>
          </cell>
          <cell r="W75">
            <v>203.63287336771</v>
          </cell>
          <cell r="X75">
            <v>9.9167550384812202</v>
          </cell>
          <cell r="Y75">
            <v>142.06371798461075</v>
          </cell>
          <cell r="Z75">
            <v>132.87398744489332</v>
          </cell>
          <cell r="AA75">
            <v>143.14100379715563</v>
          </cell>
          <cell r="AB75">
            <v>133.98853844199348</v>
          </cell>
          <cell r="AC75">
            <v>179.04505054624931</v>
          </cell>
          <cell r="AD75">
            <v>95.172233738007932</v>
          </cell>
          <cell r="AE75">
            <v>96.284054445639455</v>
          </cell>
          <cell r="AF75">
            <v>138.93083910745659</v>
          </cell>
          <cell r="AG75">
            <v>155.6919090776035</v>
          </cell>
          <cell r="AH75">
            <v>102.18197856939003</v>
          </cell>
          <cell r="AI75">
            <v>150.57590290741459</v>
          </cell>
          <cell r="AJ75">
            <v>106.01</v>
          </cell>
          <cell r="AN75">
            <v>39</v>
          </cell>
          <cell r="AP75">
            <v>35504.625</v>
          </cell>
          <cell r="AQ75">
            <v>571.95000000000005</v>
          </cell>
          <cell r="AR75">
            <v>19.329999999999998</v>
          </cell>
          <cell r="AS75">
            <v>1.7779492833517088</v>
          </cell>
          <cell r="AT75">
            <v>12.40952380952381</v>
          </cell>
          <cell r="AV75">
            <v>11.0557935</v>
          </cell>
          <cell r="AW75">
            <v>1.01689809261301</v>
          </cell>
          <cell r="AX75">
            <v>7.0976271428571431</v>
          </cell>
          <cell r="AZ75">
            <v>10</v>
          </cell>
          <cell r="BA75">
            <v>10</v>
          </cell>
          <cell r="BB75">
            <v>10</v>
          </cell>
          <cell r="BC75">
            <v>10</v>
          </cell>
          <cell r="BD75">
            <v>10</v>
          </cell>
          <cell r="BE75">
            <v>10</v>
          </cell>
          <cell r="BF75">
            <v>9.1978752372049097E-2</v>
          </cell>
          <cell r="BI75">
            <v>39</v>
          </cell>
          <cell r="BK75">
            <v>35504.625</v>
          </cell>
          <cell r="CD75">
            <v>0</v>
          </cell>
          <cell r="CF75">
            <v>35504.625</v>
          </cell>
          <cell r="CG75">
            <v>9.75</v>
          </cell>
          <cell r="CH75">
            <v>9.75</v>
          </cell>
          <cell r="CI75">
            <v>9.75</v>
          </cell>
          <cell r="CU75">
            <v>10</v>
          </cell>
          <cell r="CV75">
            <v>10</v>
          </cell>
          <cell r="CY75">
            <v>0</v>
          </cell>
        </row>
        <row r="76">
          <cell r="A76">
            <v>35535.0625</v>
          </cell>
          <cell r="B76">
            <v>101.08</v>
          </cell>
          <cell r="D76">
            <v>101.578</v>
          </cell>
          <cell r="E76">
            <v>99.272000000000006</v>
          </cell>
          <cell r="F76">
            <v>101.735</v>
          </cell>
          <cell r="G76">
            <v>98.875</v>
          </cell>
          <cell r="H76">
            <v>100.642</v>
          </cell>
          <cell r="J76">
            <v>100.931</v>
          </cell>
          <cell r="K76">
            <v>100.452</v>
          </cell>
          <cell r="L76">
            <v>104.976</v>
          </cell>
          <cell r="M76">
            <v>103.768</v>
          </cell>
          <cell r="N76">
            <v>101.31399999999999</v>
          </cell>
          <cell r="R76">
            <v>40</v>
          </cell>
          <cell r="T76">
            <v>35535.0625</v>
          </cell>
          <cell r="U76">
            <v>163.47026413022294</v>
          </cell>
          <cell r="V76">
            <v>117.22075458239237</v>
          </cell>
          <cell r="W76">
            <v>151.43408463218947</v>
          </cell>
          <cell r="X76">
            <v>6.8283663696840504</v>
          </cell>
          <cell r="Y76">
            <v>117.42987097064749</v>
          </cell>
          <cell r="Z76">
            <v>159.66739954166303</v>
          </cell>
          <cell r="AA76">
            <v>112.47848636912313</v>
          </cell>
          <cell r="AB76">
            <v>142.94836389775608</v>
          </cell>
          <cell r="AC76">
            <v>85.077222762151706</v>
          </cell>
          <cell r="AD76">
            <v>97.295792026084456</v>
          </cell>
          <cell r="AE76">
            <v>92.860345412748245</v>
          </cell>
          <cell r="AF76">
            <v>149.67153435059521</v>
          </cell>
          <cell r="AG76">
            <v>132.55018175347203</v>
          </cell>
          <cell r="AH76">
            <v>94.491866227330505</v>
          </cell>
          <cell r="AI76">
            <v>120.18809480402876</v>
          </cell>
          <cell r="AJ76">
            <v>103.28</v>
          </cell>
          <cell r="AN76">
            <v>40</v>
          </cell>
          <cell r="AP76">
            <v>35535.0625</v>
          </cell>
          <cell r="AQ76">
            <v>576.25</v>
          </cell>
          <cell r="AR76">
            <v>17.88</v>
          </cell>
          <cell r="AS76">
            <v>1.7382579933847848</v>
          </cell>
          <cell r="AT76">
            <v>12.154497354497355</v>
          </cell>
          <cell r="AV76">
            <v>10.303349999999998</v>
          </cell>
          <cell r="AW76">
            <v>1.0016711686879822</v>
          </cell>
          <cell r="AX76">
            <v>7.0040291005291007</v>
          </cell>
          <cell r="AZ76">
            <v>10</v>
          </cell>
          <cell r="BA76">
            <v>10</v>
          </cell>
          <cell r="BB76">
            <v>10</v>
          </cell>
          <cell r="BC76">
            <v>10</v>
          </cell>
          <cell r="BD76">
            <v>10</v>
          </cell>
          <cell r="BE76">
            <v>10</v>
          </cell>
          <cell r="BF76">
            <v>9.7218008578567397E-2</v>
          </cell>
          <cell r="BI76">
            <v>40</v>
          </cell>
          <cell r="BK76">
            <v>35535.0625</v>
          </cell>
          <cell r="CD76">
            <v>0</v>
          </cell>
          <cell r="CF76">
            <v>35535.0625</v>
          </cell>
          <cell r="CG76">
            <v>9.75</v>
          </cell>
          <cell r="CH76">
            <v>9.75</v>
          </cell>
          <cell r="CI76">
            <v>9.75</v>
          </cell>
          <cell r="CU76">
            <v>10</v>
          </cell>
          <cell r="CV76">
            <v>10</v>
          </cell>
          <cell r="CY76">
            <v>0</v>
          </cell>
        </row>
        <row r="77">
          <cell r="A77">
            <v>35565.5</v>
          </cell>
          <cell r="B77">
            <v>108.55</v>
          </cell>
          <cell r="D77">
            <v>101.578</v>
          </cell>
          <cell r="E77">
            <v>99.463999999999999</v>
          </cell>
          <cell r="F77">
            <v>101.747</v>
          </cell>
          <cell r="G77">
            <v>98.736000000000004</v>
          </cell>
          <cell r="H77">
            <v>101.099</v>
          </cell>
          <cell r="J77">
            <v>100.931</v>
          </cell>
          <cell r="K77">
            <v>100.449</v>
          </cell>
          <cell r="L77">
            <v>105.19799999999999</v>
          </cell>
          <cell r="M77">
            <v>103.768</v>
          </cell>
          <cell r="N77">
            <v>103.956</v>
          </cell>
          <cell r="R77">
            <v>41</v>
          </cell>
          <cell r="T77">
            <v>35565.5</v>
          </cell>
          <cell r="U77">
            <v>25.878600275384521</v>
          </cell>
          <cell r="V77">
            <v>80.101290277002533</v>
          </cell>
          <cell r="W77">
            <v>35.539453987887676</v>
          </cell>
          <cell r="X77">
            <v>8.8662455816916825</v>
          </cell>
          <cell r="Y77">
            <v>98.340839379584267</v>
          </cell>
          <cell r="Z77">
            <v>158.05758658129997</v>
          </cell>
          <cell r="AA77">
            <v>91.340415998974819</v>
          </cell>
          <cell r="AB77">
            <v>124.23338953722777</v>
          </cell>
          <cell r="AC77">
            <v>22.355957290831562</v>
          </cell>
          <cell r="AD77">
            <v>78.953625675239209</v>
          </cell>
          <cell r="AE77">
            <v>79.850087278392436</v>
          </cell>
          <cell r="AF77">
            <v>130.06792047300488</v>
          </cell>
          <cell r="AG77">
            <v>145.27595383770222</v>
          </cell>
          <cell r="AH77">
            <v>111.23576265469735</v>
          </cell>
          <cell r="AI77">
            <v>81.916667124006594</v>
          </cell>
          <cell r="AJ77">
            <v>96.46</v>
          </cell>
          <cell r="AN77">
            <v>41</v>
          </cell>
          <cell r="AP77">
            <v>35565.5</v>
          </cell>
          <cell r="AQ77">
            <v>574.30999999999995</v>
          </cell>
          <cell r="AR77">
            <v>19.399999999999999</v>
          </cell>
          <cell r="AS77">
            <v>1.7477398015435501</v>
          </cell>
          <cell r="AT77">
            <v>12.126984126984127</v>
          </cell>
          <cell r="AV77">
            <v>11.141613999999997</v>
          </cell>
          <cell r="AW77">
            <v>1.0037444454244762</v>
          </cell>
          <cell r="AX77">
            <v>6.964648253968253</v>
          </cell>
          <cell r="AZ77">
            <v>10</v>
          </cell>
          <cell r="BA77">
            <v>10</v>
          </cell>
          <cell r="BB77">
            <v>10</v>
          </cell>
          <cell r="BC77">
            <v>10</v>
          </cell>
          <cell r="BD77">
            <v>10</v>
          </cell>
          <cell r="BE77">
            <v>10</v>
          </cell>
          <cell r="BF77">
            <v>9.0089680491935581E-2</v>
          </cell>
          <cell r="BI77">
            <v>41</v>
          </cell>
          <cell r="BK77">
            <v>35565.5</v>
          </cell>
          <cell r="CD77">
            <v>0</v>
          </cell>
          <cell r="CF77">
            <v>35565.5</v>
          </cell>
          <cell r="CG77">
            <v>9.75</v>
          </cell>
          <cell r="CH77">
            <v>9.75</v>
          </cell>
          <cell r="CI77">
            <v>9.75</v>
          </cell>
          <cell r="CU77">
            <v>10</v>
          </cell>
          <cell r="CV77">
            <v>10</v>
          </cell>
          <cell r="CY77">
            <v>0</v>
          </cell>
        </row>
        <row r="78">
          <cell r="A78">
            <v>35595.9375</v>
          </cell>
          <cell r="B78">
            <v>109.4</v>
          </cell>
          <cell r="D78">
            <v>101.578</v>
          </cell>
          <cell r="E78">
            <v>99.721000000000004</v>
          </cell>
          <cell r="F78">
            <v>101.747</v>
          </cell>
          <cell r="G78">
            <v>98.736000000000004</v>
          </cell>
          <cell r="H78">
            <v>101.699</v>
          </cell>
          <cell r="J78">
            <v>100.931</v>
          </cell>
          <cell r="K78">
            <v>100.45399999999999</v>
          </cell>
          <cell r="L78">
            <v>105.252</v>
          </cell>
          <cell r="M78">
            <v>103.75700000000001</v>
          </cell>
          <cell r="N78">
            <v>104.37</v>
          </cell>
          <cell r="R78">
            <v>42</v>
          </cell>
          <cell r="T78">
            <v>35595.9375</v>
          </cell>
          <cell r="U78">
            <v>0</v>
          </cell>
          <cell r="V78">
            <v>79.995862488172165</v>
          </cell>
          <cell r="W78">
            <v>16.965733044728861</v>
          </cell>
          <cell r="X78">
            <v>7.4680513354050948</v>
          </cell>
          <cell r="Y78">
            <v>95.517640265356277</v>
          </cell>
          <cell r="Z78">
            <v>154.83112840473393</v>
          </cell>
          <cell r="AA78">
            <v>88.56448979060184</v>
          </cell>
          <cell r="AB78">
            <v>137.27534857814956</v>
          </cell>
          <cell r="AC78">
            <v>18.399843307417939</v>
          </cell>
          <cell r="AD78">
            <v>93.218313432576167</v>
          </cell>
          <cell r="AE78">
            <v>88.329520156273745</v>
          </cell>
          <cell r="AF78">
            <v>117.97895834864701</v>
          </cell>
          <cell r="AG78">
            <v>130.07155751300968</v>
          </cell>
          <cell r="AH78">
            <v>118.28451340061748</v>
          </cell>
          <cell r="AI78">
            <v>75.238449009669353</v>
          </cell>
          <cell r="AJ78">
            <v>88.57</v>
          </cell>
          <cell r="AN78">
            <v>42</v>
          </cell>
          <cell r="AP78">
            <v>35595.9375</v>
          </cell>
          <cell r="AQ78">
            <v>582.9</v>
          </cell>
          <cell r="AR78">
            <v>17.920000000000002</v>
          </cell>
          <cell r="AS78">
            <v>1.775303197353914</v>
          </cell>
          <cell r="AT78">
            <v>12.009523809523811</v>
          </cell>
          <cell r="AV78">
            <v>10.445568000000002</v>
          </cell>
          <cell r="AW78">
            <v>1.0348242337375964</v>
          </cell>
          <cell r="AX78">
            <v>7.0003514285714292</v>
          </cell>
          <cell r="AZ78">
            <v>10</v>
          </cell>
          <cell r="BA78">
            <v>10</v>
          </cell>
          <cell r="BB78">
            <v>10</v>
          </cell>
          <cell r="BC78">
            <v>10</v>
          </cell>
          <cell r="BD78">
            <v>10</v>
          </cell>
          <cell r="BE78">
            <v>10</v>
          </cell>
          <cell r="BF78">
            <v>9.9068258780910357E-2</v>
          </cell>
          <cell r="BI78">
            <v>42</v>
          </cell>
          <cell r="BK78">
            <v>35595.9375</v>
          </cell>
          <cell r="CD78">
            <v>0</v>
          </cell>
          <cell r="CF78">
            <v>35595.9375</v>
          </cell>
          <cell r="CG78">
            <v>9.75</v>
          </cell>
          <cell r="CH78">
            <v>9.75</v>
          </cell>
          <cell r="CI78">
            <v>9.75</v>
          </cell>
          <cell r="CU78">
            <v>10</v>
          </cell>
          <cell r="CV78">
            <v>10</v>
          </cell>
          <cell r="CY78">
            <v>0</v>
          </cell>
        </row>
        <row r="79">
          <cell r="A79">
            <v>35626.375</v>
          </cell>
          <cell r="B79">
            <v>108.59699999999999</v>
          </cell>
          <cell r="D79">
            <v>101.56699999999999</v>
          </cell>
          <cell r="E79">
            <v>101.866</v>
          </cell>
          <cell r="F79">
            <v>101.688</v>
          </cell>
          <cell r="G79">
            <v>98.736000000000004</v>
          </cell>
          <cell r="H79">
            <v>102.533</v>
          </cell>
          <cell r="J79">
            <v>100.9</v>
          </cell>
          <cell r="K79">
            <v>100.45099999999999</v>
          </cell>
          <cell r="L79">
            <v>105.44799999999999</v>
          </cell>
          <cell r="M79">
            <v>103.768</v>
          </cell>
          <cell r="N79">
            <v>104.42700000000001</v>
          </cell>
          <cell r="R79">
            <v>43</v>
          </cell>
          <cell r="T79">
            <v>35626.375</v>
          </cell>
          <cell r="U79">
            <v>0</v>
          </cell>
          <cell r="V79">
            <v>83.573962407981028</v>
          </cell>
          <cell r="W79">
            <v>12.171893529395165</v>
          </cell>
          <cell r="X79">
            <v>6.7535446439766966</v>
          </cell>
          <cell r="Y79">
            <v>88.639629173626616</v>
          </cell>
          <cell r="Z79">
            <v>159.39105040478034</v>
          </cell>
          <cell r="AA79">
            <v>80.345642534922249</v>
          </cell>
          <cell r="AB79">
            <v>149.91987569827282</v>
          </cell>
          <cell r="AC79">
            <v>17.734091157457904</v>
          </cell>
          <cell r="AD79">
            <v>66.87853587579761</v>
          </cell>
          <cell r="AE79">
            <v>70.633264728440125</v>
          </cell>
          <cell r="AF79">
            <v>99.391793153403071</v>
          </cell>
          <cell r="AG79">
            <v>121.42845243934393</v>
          </cell>
          <cell r="AH79">
            <v>130.5513322782347</v>
          </cell>
          <cell r="AI79">
            <v>69.812402957080536</v>
          </cell>
          <cell r="AJ79">
            <v>87.98</v>
          </cell>
          <cell r="AN79">
            <v>43</v>
          </cell>
          <cell r="AP79">
            <v>35626.375</v>
          </cell>
          <cell r="AQ79">
            <v>604.36</v>
          </cell>
          <cell r="AR79">
            <v>18.350000000000001</v>
          </cell>
          <cell r="AS79">
            <v>1.7900771775082691</v>
          </cell>
          <cell r="AT79">
            <v>11.43174603174603</v>
          </cell>
          <cell r="AV79">
            <v>11.090006000000001</v>
          </cell>
          <cell r="AW79">
            <v>1.0818510429988977</v>
          </cell>
          <cell r="AX79">
            <v>6.9088900317460311</v>
          </cell>
          <cell r="AZ79">
            <v>10</v>
          </cell>
          <cell r="BA79">
            <v>10</v>
          </cell>
          <cell r="BB79">
            <v>10</v>
          </cell>
          <cell r="BC79">
            <v>10</v>
          </cell>
          <cell r="BD79">
            <v>10</v>
          </cell>
          <cell r="BE79">
            <v>10</v>
          </cell>
          <cell r="BF79">
            <v>9.7551889782466983E-2</v>
          </cell>
          <cell r="BI79">
            <v>43</v>
          </cell>
          <cell r="BK79">
            <v>35626.375</v>
          </cell>
          <cell r="CD79">
            <v>0</v>
          </cell>
          <cell r="CF79">
            <v>35626.375</v>
          </cell>
          <cell r="CG79">
            <v>9.75</v>
          </cell>
          <cell r="CH79">
            <v>9.75</v>
          </cell>
          <cell r="CI79">
            <v>9.75</v>
          </cell>
          <cell r="CU79">
            <v>10</v>
          </cell>
          <cell r="CV79">
            <v>10</v>
          </cell>
          <cell r="CY79">
            <v>0</v>
          </cell>
        </row>
        <row r="80">
          <cell r="A80">
            <v>35656.8125</v>
          </cell>
          <cell r="B80">
            <v>107.505</v>
          </cell>
          <cell r="D80">
            <v>101.56699999999999</v>
          </cell>
          <cell r="E80">
            <v>101.378</v>
          </cell>
          <cell r="F80">
            <v>101.714</v>
          </cell>
          <cell r="G80">
            <v>98.736000000000004</v>
          </cell>
          <cell r="H80">
            <v>101.666</v>
          </cell>
          <cell r="J80">
            <v>100.931</v>
          </cell>
          <cell r="K80">
            <v>101.723</v>
          </cell>
          <cell r="L80">
            <v>105.48099999999999</v>
          </cell>
          <cell r="M80">
            <v>103.768</v>
          </cell>
          <cell r="N80">
            <v>103.959</v>
          </cell>
          <cell r="R80">
            <v>44</v>
          </cell>
          <cell r="T80">
            <v>35656.8125</v>
          </cell>
          <cell r="U80">
            <v>0</v>
          </cell>
          <cell r="V80">
            <v>74.44768679017497</v>
          </cell>
          <cell r="W80">
            <v>6.6635972973415969</v>
          </cell>
          <cell r="X80">
            <v>4.7612808773243778</v>
          </cell>
          <cell r="Y80">
            <v>80.3159955574381</v>
          </cell>
          <cell r="Z80">
            <v>137.83072706786237</v>
          </cell>
          <cell r="AA80">
            <v>73.57370817472075</v>
          </cell>
          <cell r="AB80">
            <v>136.21392645660504</v>
          </cell>
          <cell r="AC80">
            <v>16.801984285499056</v>
          </cell>
          <cell r="AD80">
            <v>36.613171963415368</v>
          </cell>
          <cell r="AE80">
            <v>65.191324311032915</v>
          </cell>
          <cell r="AF80">
            <v>82.441003857356478</v>
          </cell>
          <cell r="AG80">
            <v>118.76620626533325</v>
          </cell>
          <cell r="AH80">
            <v>123.72051993876968</v>
          </cell>
          <cell r="AI80">
            <v>63.194217958940314</v>
          </cell>
          <cell r="AJ80">
            <v>77.03</v>
          </cell>
          <cell r="AN80">
            <v>44</v>
          </cell>
          <cell r="AP80">
            <v>35656.8125</v>
          </cell>
          <cell r="AQ80">
            <v>620.5</v>
          </cell>
          <cell r="AR80">
            <v>18.7</v>
          </cell>
          <cell r="AS80">
            <v>1.7907386990077176</v>
          </cell>
          <cell r="AT80">
            <v>11.431393298059964</v>
          </cell>
          <cell r="AV80">
            <v>11.603350000000001</v>
          </cell>
          <cell r="AW80">
            <v>1.1111533627342887</v>
          </cell>
          <cell r="AX80">
            <v>7.093179541446208</v>
          </cell>
          <cell r="AZ80">
            <v>10</v>
          </cell>
          <cell r="BA80">
            <v>10</v>
          </cell>
          <cell r="BB80">
            <v>10</v>
          </cell>
          <cell r="BC80">
            <v>10</v>
          </cell>
          <cell r="BD80">
            <v>10</v>
          </cell>
          <cell r="BE80">
            <v>10</v>
          </cell>
          <cell r="BF80">
            <v>9.5761427754423381E-2</v>
          </cell>
          <cell r="BI80">
            <v>44</v>
          </cell>
          <cell r="BK80">
            <v>35656.8125</v>
          </cell>
          <cell r="CD80">
            <v>0</v>
          </cell>
          <cell r="CF80">
            <v>35656.8125</v>
          </cell>
          <cell r="CG80">
            <v>9.75</v>
          </cell>
          <cell r="CH80">
            <v>9.75</v>
          </cell>
          <cell r="CI80">
            <v>9.75</v>
          </cell>
          <cell r="CU80">
            <v>10</v>
          </cell>
          <cell r="CV80">
            <v>10</v>
          </cell>
          <cell r="CY80">
            <v>0</v>
          </cell>
        </row>
        <row r="81">
          <cell r="A81">
            <v>35687.25</v>
          </cell>
          <cell r="B81">
            <v>105.43300000000001</v>
          </cell>
          <cell r="D81">
            <v>101.56699999999999</v>
          </cell>
          <cell r="E81">
            <v>101.917</v>
          </cell>
          <cell r="F81">
            <v>101.729</v>
          </cell>
          <cell r="G81">
            <v>98.736000000000004</v>
          </cell>
          <cell r="H81">
            <v>101.667</v>
          </cell>
          <cell r="J81">
            <v>100.91500000000001</v>
          </cell>
          <cell r="K81">
            <v>106.23</v>
          </cell>
          <cell r="L81">
            <v>105.345</v>
          </cell>
          <cell r="M81">
            <v>103.768</v>
          </cell>
          <cell r="N81">
            <v>103.453</v>
          </cell>
          <cell r="R81">
            <v>45</v>
          </cell>
          <cell r="T81">
            <v>35687.25</v>
          </cell>
          <cell r="U81">
            <v>0</v>
          </cell>
          <cell r="V81">
            <v>72.100292295263642</v>
          </cell>
          <cell r="W81">
            <v>6.0554861280950121</v>
          </cell>
          <cell r="X81">
            <v>8.0676857383954808</v>
          </cell>
          <cell r="Y81">
            <v>80.440552198388815</v>
          </cell>
          <cell r="Z81">
            <v>130.46537891738541</v>
          </cell>
          <cell r="AA81">
            <v>74.576284920204927</v>
          </cell>
          <cell r="AB81">
            <v>147.07061591095939</v>
          </cell>
          <cell r="AC81">
            <v>11.541878984961157</v>
          </cell>
          <cell r="AD81">
            <v>33.271901802719853</v>
          </cell>
          <cell r="AE81">
            <v>64.001197962967126</v>
          </cell>
          <cell r="AF81">
            <v>112.8669183676171</v>
          </cell>
          <cell r="AG81">
            <v>113.85805614112209</v>
          </cell>
          <cell r="AH81">
            <v>120.99940326388709</v>
          </cell>
          <cell r="AI81">
            <v>63.443468788234767</v>
          </cell>
          <cell r="AJ81">
            <v>79.52</v>
          </cell>
          <cell r="AN81">
            <v>45</v>
          </cell>
          <cell r="AP81">
            <v>35687.25</v>
          </cell>
          <cell r="AQ81">
            <v>601.49</v>
          </cell>
          <cell r="AR81">
            <v>18.66</v>
          </cell>
          <cell r="AS81">
            <v>1.7561190738699006</v>
          </cell>
          <cell r="AT81">
            <v>11.384126984126985</v>
          </cell>
          <cell r="AV81">
            <v>11.223803400000001</v>
          </cell>
          <cell r="AW81">
            <v>1.0562880617420065</v>
          </cell>
          <cell r="AX81">
            <v>6.8474385396825399</v>
          </cell>
          <cell r="AZ81">
            <v>10</v>
          </cell>
          <cell r="BA81">
            <v>10</v>
          </cell>
          <cell r="BB81">
            <v>10</v>
          </cell>
          <cell r="BC81">
            <v>10</v>
          </cell>
          <cell r="BD81">
            <v>10</v>
          </cell>
          <cell r="BE81">
            <v>10</v>
          </cell>
          <cell r="BF81">
            <v>9.4111418749726714E-2</v>
          </cell>
          <cell r="BI81">
            <v>45</v>
          </cell>
          <cell r="BK81">
            <v>35687.25</v>
          </cell>
          <cell r="CD81">
            <v>0</v>
          </cell>
          <cell r="CF81">
            <v>35687.25</v>
          </cell>
          <cell r="CG81">
            <v>9.75</v>
          </cell>
          <cell r="CH81">
            <v>9.75</v>
          </cell>
          <cell r="CI81">
            <v>9.75</v>
          </cell>
          <cell r="CU81">
            <v>10</v>
          </cell>
          <cell r="CV81">
            <v>10</v>
          </cell>
          <cell r="CY81">
            <v>0</v>
          </cell>
        </row>
        <row r="82">
          <cell r="A82">
            <v>35717.6875</v>
          </cell>
          <cell r="B82">
            <v>105.098</v>
          </cell>
          <cell r="D82">
            <v>101.98699999999999</v>
          </cell>
          <cell r="E82">
            <v>100.682</v>
          </cell>
          <cell r="F82">
            <v>102.31</v>
          </cell>
          <cell r="G82">
            <v>99.66</v>
          </cell>
          <cell r="H82">
            <v>101.66800000000001</v>
          </cell>
          <cell r="J82">
            <v>100.53700000000001</v>
          </cell>
          <cell r="K82">
            <v>102.084</v>
          </cell>
          <cell r="L82">
            <v>106.726</v>
          </cell>
          <cell r="M82">
            <v>104.235</v>
          </cell>
          <cell r="N82">
            <v>103.322</v>
          </cell>
          <cell r="R82">
            <v>46</v>
          </cell>
          <cell r="T82">
            <v>35717.6875</v>
          </cell>
          <cell r="U82">
            <v>0</v>
          </cell>
          <cell r="V82">
            <v>80.061640063125623</v>
          </cell>
          <cell r="W82">
            <v>10.508574764560965</v>
          </cell>
          <cell r="X82">
            <v>5.5460187949667707</v>
          </cell>
          <cell r="Y82">
            <v>95.827205336818182</v>
          </cell>
          <cell r="Z82">
            <v>151.05073954762085</v>
          </cell>
          <cell r="AA82">
            <v>89.353508456722835</v>
          </cell>
          <cell r="AB82">
            <v>154.00781212291753</v>
          </cell>
          <cell r="AC82">
            <v>13.528277095834795</v>
          </cell>
          <cell r="AD82">
            <v>57.739421783302006</v>
          </cell>
          <cell r="AE82">
            <v>62.746477867816438</v>
          </cell>
          <cell r="AF82">
            <v>179.2199215571811</v>
          </cell>
          <cell r="AG82">
            <v>134.41683759949083</v>
          </cell>
          <cell r="AH82">
            <v>106.16713800171237</v>
          </cell>
          <cell r="AI82">
            <v>75.392699599476686</v>
          </cell>
          <cell r="AJ82">
            <v>133.80000000000001</v>
          </cell>
          <cell r="AN82">
            <v>46</v>
          </cell>
          <cell r="AP82">
            <v>35717.6875</v>
          </cell>
          <cell r="AQ82">
            <v>589.28</v>
          </cell>
          <cell r="AR82">
            <v>20.04</v>
          </cell>
          <cell r="AS82">
            <v>1.7144432194046306</v>
          </cell>
          <cell r="AT82">
            <v>11.459259259259259</v>
          </cell>
          <cell r="AV82">
            <v>11.809171199999998</v>
          </cell>
          <cell r="AW82">
            <v>1.0102871003307607</v>
          </cell>
          <cell r="AX82">
            <v>6.7527122962962958</v>
          </cell>
          <cell r="AZ82">
            <v>10</v>
          </cell>
          <cell r="BA82">
            <v>10</v>
          </cell>
          <cell r="BB82">
            <v>10</v>
          </cell>
          <cell r="BC82">
            <v>10</v>
          </cell>
          <cell r="BD82">
            <v>10</v>
          </cell>
          <cell r="BE82">
            <v>10</v>
          </cell>
          <cell r="BF82">
            <v>8.5551058852526493E-2</v>
          </cell>
          <cell r="BI82">
            <v>46</v>
          </cell>
          <cell r="BK82">
            <v>35717.6875</v>
          </cell>
          <cell r="CD82">
            <v>0</v>
          </cell>
          <cell r="CF82">
            <v>35717.6875</v>
          </cell>
          <cell r="CG82">
            <v>9.75</v>
          </cell>
          <cell r="CH82">
            <v>9.75</v>
          </cell>
          <cell r="CI82">
            <v>9.75</v>
          </cell>
          <cell r="CU82">
            <v>10</v>
          </cell>
          <cell r="CV82">
            <v>10</v>
          </cell>
          <cell r="CY82">
            <v>0</v>
          </cell>
        </row>
        <row r="83">
          <cell r="A83">
            <v>35748.125</v>
          </cell>
          <cell r="B83">
            <v>106.334</v>
          </cell>
          <cell r="D83">
            <v>101.65900000000001</v>
          </cell>
          <cell r="E83">
            <v>103.018</v>
          </cell>
          <cell r="F83">
            <v>103.066</v>
          </cell>
          <cell r="G83">
            <v>99.733999999999995</v>
          </cell>
          <cell r="H83">
            <v>101.66800000000001</v>
          </cell>
          <cell r="J83">
            <v>100.622</v>
          </cell>
          <cell r="K83">
            <v>102.09099999999999</v>
          </cell>
          <cell r="L83">
            <v>107.036</v>
          </cell>
          <cell r="M83">
            <v>104.959</v>
          </cell>
          <cell r="N83">
            <v>104.093</v>
          </cell>
          <cell r="R83">
            <v>47</v>
          </cell>
          <cell r="T83">
            <v>35748.125</v>
          </cell>
          <cell r="U83">
            <v>282.48919105272756</v>
          </cell>
          <cell r="V83">
            <v>95.410584910930439</v>
          </cell>
          <cell r="W83">
            <v>244.38588383518228</v>
          </cell>
          <cell r="X83">
            <v>6.0211672128480842</v>
          </cell>
          <cell r="Y83">
            <v>109.90472085461204</v>
          </cell>
          <cell r="Z83">
            <v>153.39214633835994</v>
          </cell>
          <cell r="AA83">
            <v>104.80681441488898</v>
          </cell>
          <cell r="AB83">
            <v>112.09060527069894</v>
          </cell>
          <cell r="AC83">
            <v>59.13207331079537</v>
          </cell>
          <cell r="AD83">
            <v>73.058441566713029</v>
          </cell>
          <cell r="AE83">
            <v>73.274393127580637</v>
          </cell>
          <cell r="AF83">
            <v>197.16990242973446</v>
          </cell>
          <cell r="AG83">
            <v>142.35363801193836</v>
          </cell>
          <cell r="AH83">
            <v>116.87725397607866</v>
          </cell>
          <cell r="AI83">
            <v>134.48920824466228</v>
          </cell>
          <cell r="AJ83">
            <v>168.48</v>
          </cell>
          <cell r="AN83">
            <v>47</v>
          </cell>
          <cell r="AP83">
            <v>35748.125</v>
          </cell>
          <cell r="AQ83">
            <v>580.82000000000005</v>
          </cell>
          <cell r="AR83">
            <v>19.09</v>
          </cell>
          <cell r="AS83">
            <v>1.7029768467475193</v>
          </cell>
          <cell r="AT83">
            <v>10.799294532627865</v>
          </cell>
          <cell r="AV83">
            <v>11.087853800000001</v>
          </cell>
          <cell r="AW83">
            <v>0.98912301212789422</v>
          </cell>
          <cell r="AX83">
            <v>6.2724462504409173</v>
          </cell>
          <cell r="AZ83">
            <v>10</v>
          </cell>
          <cell r="BA83">
            <v>10</v>
          </cell>
          <cell r="BB83">
            <v>10</v>
          </cell>
          <cell r="BC83">
            <v>10</v>
          </cell>
          <cell r="BD83">
            <v>10</v>
          </cell>
          <cell r="BE83">
            <v>10</v>
          </cell>
          <cell r="BF83">
            <v>8.9207797105684605E-2</v>
          </cell>
          <cell r="BI83">
            <v>47</v>
          </cell>
          <cell r="BK83">
            <v>35748.125</v>
          </cell>
          <cell r="CD83">
            <v>0</v>
          </cell>
          <cell r="CF83">
            <v>35748.125</v>
          </cell>
          <cell r="CG83">
            <v>9.75</v>
          </cell>
          <cell r="CH83">
            <v>9.75</v>
          </cell>
          <cell r="CI83">
            <v>9.75</v>
          </cell>
          <cell r="CU83">
            <v>10</v>
          </cell>
          <cell r="CV83">
            <v>10</v>
          </cell>
          <cell r="CY83">
            <v>0</v>
          </cell>
        </row>
        <row r="84">
          <cell r="A84">
            <v>35778.5625</v>
          </cell>
          <cell r="B84">
            <v>105.93</v>
          </cell>
          <cell r="D84">
            <v>101.764</v>
          </cell>
          <cell r="E84">
            <v>104.021</v>
          </cell>
          <cell r="F84">
            <v>104.545</v>
          </cell>
          <cell r="G84">
            <v>99.831000000000003</v>
          </cell>
          <cell r="H84">
            <v>101.697</v>
          </cell>
          <cell r="J84">
            <v>100.622</v>
          </cell>
          <cell r="K84">
            <v>102.07899999999999</v>
          </cell>
          <cell r="L84">
            <v>106.934</v>
          </cell>
          <cell r="M84">
            <v>104.959</v>
          </cell>
          <cell r="N84">
            <v>104.16500000000001</v>
          </cell>
          <cell r="R84">
            <v>48</v>
          </cell>
          <cell r="T84">
            <v>35778.5625</v>
          </cell>
          <cell r="U84">
            <v>315.8119756638884</v>
          </cell>
          <cell r="V84">
            <v>145.41143377786068</v>
          </cell>
          <cell r="W84">
            <v>273.50538767640239</v>
          </cell>
          <cell r="X84">
            <v>7.4754218361862419</v>
          </cell>
          <cell r="Y84">
            <v>130.83032547988873</v>
          </cell>
          <cell r="Z84">
            <v>145.65900340959413</v>
          </cell>
          <cell r="AA84">
            <v>129.09200200202096</v>
          </cell>
          <cell r="AB84">
            <v>128.77387734293572</v>
          </cell>
          <cell r="AC84">
            <v>152.16058959548545</v>
          </cell>
          <cell r="AD84">
            <v>83.27779328046617</v>
          </cell>
          <cell r="AE84">
            <v>71.305098668818985</v>
          </cell>
          <cell r="AF84">
            <v>172.13521276603143</v>
          </cell>
          <cell r="AG84">
            <v>141.02090187445404</v>
          </cell>
          <cell r="AH84">
            <v>98.252860441584716</v>
          </cell>
          <cell r="AI84">
            <v>156.63013601719501</v>
          </cell>
          <cell r="AJ84">
            <v>126.13</v>
          </cell>
          <cell r="AN84">
            <v>48</v>
          </cell>
          <cell r="AP84">
            <v>35778.5625</v>
          </cell>
          <cell r="AQ84">
            <v>595.02</v>
          </cell>
          <cell r="AR84">
            <v>17.190000000000001</v>
          </cell>
          <cell r="AS84">
            <v>1.6394707828004409</v>
          </cell>
          <cell r="AT84">
            <v>10.184832451499117</v>
          </cell>
          <cell r="AV84">
            <v>10.228393799999999</v>
          </cell>
          <cell r="AW84">
            <v>0.97551790518191828</v>
          </cell>
          <cell r="AX84">
            <v>6.0601790052910047</v>
          </cell>
          <cell r="AZ84">
            <v>10</v>
          </cell>
          <cell r="BA84">
            <v>10</v>
          </cell>
          <cell r="BB84">
            <v>10</v>
          </cell>
          <cell r="BC84">
            <v>10</v>
          </cell>
          <cell r="BD84">
            <v>10</v>
          </cell>
          <cell r="BE84">
            <v>10</v>
          </cell>
          <cell r="BF84">
            <v>9.5373518487518377E-2</v>
          </cell>
          <cell r="BI84">
            <v>48</v>
          </cell>
          <cell r="BK84">
            <v>35778.5625</v>
          </cell>
          <cell r="CD84">
            <v>0</v>
          </cell>
          <cell r="CF84">
            <v>35778.5625</v>
          </cell>
          <cell r="CG84">
            <v>9.75</v>
          </cell>
          <cell r="CH84">
            <v>9.75</v>
          </cell>
          <cell r="CI84">
            <v>9.75</v>
          </cell>
          <cell r="CU84">
            <v>10</v>
          </cell>
          <cell r="CV84">
            <v>10</v>
          </cell>
          <cell r="CY84">
            <v>0</v>
          </cell>
        </row>
        <row r="85">
          <cell r="A85">
            <v>35809</v>
          </cell>
          <cell r="B85">
            <v>103.589</v>
          </cell>
          <cell r="D85">
            <v>102.203</v>
          </cell>
          <cell r="E85">
            <v>100.52800000000001</v>
          </cell>
          <cell r="F85">
            <v>103.681</v>
          </cell>
          <cell r="G85">
            <v>98.667000000000002</v>
          </cell>
          <cell r="H85">
            <v>100.825</v>
          </cell>
          <cell r="J85">
            <v>102.34699999999999</v>
          </cell>
          <cell r="K85">
            <v>102.04900000000001</v>
          </cell>
          <cell r="L85">
            <v>107.143</v>
          </cell>
          <cell r="M85">
            <v>105.021</v>
          </cell>
          <cell r="N85">
            <v>102.881</v>
          </cell>
          <cell r="R85">
            <v>49</v>
          </cell>
          <cell r="T85">
            <v>35809</v>
          </cell>
          <cell r="U85">
            <v>317.60000000000002</v>
          </cell>
          <cell r="V85">
            <v>194.9</v>
          </cell>
          <cell r="W85">
            <v>276.2</v>
          </cell>
          <cell r="X85">
            <v>8</v>
          </cell>
          <cell r="Y85">
            <v>153.6</v>
          </cell>
          <cell r="Z85">
            <v>173.8</v>
          </cell>
          <cell r="AA85">
            <v>151.19999999999999</v>
          </cell>
          <cell r="AB85">
            <v>64.900000000000006</v>
          </cell>
          <cell r="AC85">
            <v>259.2</v>
          </cell>
          <cell r="AD85">
            <v>90</v>
          </cell>
          <cell r="AE85">
            <v>82.9</v>
          </cell>
          <cell r="AF85">
            <v>116.4</v>
          </cell>
          <cell r="AG85">
            <v>148.4</v>
          </cell>
          <cell r="AH85">
            <v>110.6</v>
          </cell>
          <cell r="AI85">
            <v>174.8</v>
          </cell>
          <cell r="AJ85">
            <v>118.87</v>
          </cell>
          <cell r="AN85">
            <v>49</v>
          </cell>
          <cell r="AP85">
            <v>35809</v>
          </cell>
          <cell r="AQ85">
            <v>608.36</v>
          </cell>
          <cell r="AR85">
            <v>15.02</v>
          </cell>
          <cell r="AS85">
            <v>1.5907386990077177</v>
          </cell>
          <cell r="AT85">
            <v>10.211640211640212</v>
          </cell>
          <cell r="AV85">
            <v>9.1375671999999994</v>
          </cell>
          <cell r="AW85">
            <v>0.96774179492833512</v>
          </cell>
          <cell r="AX85">
            <v>6.2123534391534392</v>
          </cell>
          <cell r="AZ85">
            <v>10</v>
          </cell>
          <cell r="BA85">
            <v>10</v>
          </cell>
          <cell r="BB85">
            <v>10</v>
          </cell>
          <cell r="BC85">
            <v>10</v>
          </cell>
          <cell r="BD85">
            <v>10</v>
          </cell>
          <cell r="BE85">
            <v>10</v>
          </cell>
          <cell r="BF85">
            <v>0.10590803588599985</v>
          </cell>
          <cell r="BI85">
            <v>49</v>
          </cell>
          <cell r="BK85">
            <v>35809</v>
          </cell>
          <cell r="CD85">
            <v>0</v>
          </cell>
          <cell r="CF85">
            <v>35809</v>
          </cell>
          <cell r="CG85">
            <v>9.75</v>
          </cell>
          <cell r="CH85">
            <v>9.75</v>
          </cell>
          <cell r="CI85">
            <v>9.75</v>
          </cell>
          <cell r="CU85">
            <v>10</v>
          </cell>
          <cell r="CV85">
            <v>10</v>
          </cell>
          <cell r="CY85">
            <v>0</v>
          </cell>
        </row>
        <row r="86">
          <cell r="A86">
            <v>35839.4375</v>
          </cell>
          <cell r="B86">
            <v>104.907</v>
          </cell>
          <cell r="D86">
            <v>105.476</v>
          </cell>
          <cell r="E86">
            <v>101.779</v>
          </cell>
          <cell r="F86">
            <v>104.465</v>
          </cell>
          <cell r="G86">
            <v>98.667000000000002</v>
          </cell>
          <cell r="H86">
            <v>102.012</v>
          </cell>
          <cell r="J86">
            <v>100.52800000000001</v>
          </cell>
          <cell r="K86">
            <v>100.184</v>
          </cell>
          <cell r="L86">
            <v>111.79900000000001</v>
          </cell>
          <cell r="M86">
            <v>105.437</v>
          </cell>
          <cell r="N86">
            <v>104.256</v>
          </cell>
          <cell r="R86">
            <v>50</v>
          </cell>
          <cell r="T86">
            <v>35839.4375</v>
          </cell>
          <cell r="U86">
            <v>306.5</v>
          </cell>
          <cell r="V86">
            <v>165</v>
          </cell>
          <cell r="W86">
            <v>264.2</v>
          </cell>
          <cell r="X86">
            <v>5.9</v>
          </cell>
          <cell r="Y86">
            <v>140.9</v>
          </cell>
          <cell r="Z86">
            <v>154.69999999999999</v>
          </cell>
          <cell r="AA86">
            <v>139.30000000000001</v>
          </cell>
          <cell r="AB86">
            <v>75</v>
          </cell>
          <cell r="AC86">
            <v>207.3</v>
          </cell>
          <cell r="AD86">
            <v>74.2</v>
          </cell>
          <cell r="AE86">
            <v>80.3</v>
          </cell>
          <cell r="AF86">
            <v>122.3</v>
          </cell>
          <cell r="AG86">
            <v>156.19999999999999</v>
          </cell>
          <cell r="AH86">
            <v>109.4</v>
          </cell>
          <cell r="AI86">
            <v>162.9</v>
          </cell>
          <cell r="AJ86">
            <v>120.4</v>
          </cell>
          <cell r="AN86">
            <v>50</v>
          </cell>
          <cell r="AP86">
            <v>35839.4375</v>
          </cell>
          <cell r="AQ86">
            <v>608.42999999999995</v>
          </cell>
          <cell r="AR86">
            <v>14.58</v>
          </cell>
          <cell r="AS86">
            <v>1.5177508269018742</v>
          </cell>
          <cell r="AT86">
            <v>10.49206349206349</v>
          </cell>
          <cell r="AV86">
            <v>8.8709093999999986</v>
          </cell>
          <cell r="AW86">
            <v>0.92344513561190733</v>
          </cell>
          <cell r="AX86">
            <v>6.3836861904761895</v>
          </cell>
          <cell r="AZ86">
            <v>10</v>
          </cell>
          <cell r="BA86">
            <v>10</v>
          </cell>
          <cell r="BB86">
            <v>10</v>
          </cell>
          <cell r="BC86">
            <v>10</v>
          </cell>
          <cell r="BD86">
            <v>10</v>
          </cell>
          <cell r="BE86">
            <v>10</v>
          </cell>
          <cell r="BF86">
            <v>0.10409813627584873</v>
          </cell>
          <cell r="BI86">
            <v>50</v>
          </cell>
          <cell r="BK86">
            <v>35839.4375</v>
          </cell>
          <cell r="CD86">
            <v>0</v>
          </cell>
          <cell r="CF86">
            <v>35839.4375</v>
          </cell>
          <cell r="CG86">
            <v>9.75</v>
          </cell>
          <cell r="CH86">
            <v>9.75</v>
          </cell>
          <cell r="CI86">
            <v>9.75</v>
          </cell>
          <cell r="CU86">
            <v>10</v>
          </cell>
          <cell r="CV86">
            <v>10</v>
          </cell>
          <cell r="CY86">
            <v>0</v>
          </cell>
        </row>
        <row r="87">
          <cell r="A87">
            <v>35869.875</v>
          </cell>
          <cell r="B87">
            <v>105.79600000000001</v>
          </cell>
          <cell r="D87">
            <v>104.008</v>
          </cell>
          <cell r="E87">
            <v>99.295000000000002</v>
          </cell>
          <cell r="F87">
            <v>104.502</v>
          </cell>
          <cell r="G87">
            <v>98.212000000000003</v>
          </cell>
          <cell r="H87">
            <v>101.413</v>
          </cell>
          <cell r="J87">
            <v>101.102</v>
          </cell>
          <cell r="K87">
            <v>100.221</v>
          </cell>
          <cell r="L87">
            <v>116.136</v>
          </cell>
          <cell r="M87">
            <v>112.193</v>
          </cell>
          <cell r="N87">
            <v>104.92100000000001</v>
          </cell>
          <cell r="R87">
            <v>51</v>
          </cell>
          <cell r="T87">
            <v>35869.875</v>
          </cell>
          <cell r="U87">
            <v>326.7</v>
          </cell>
          <cell r="V87">
            <v>200.8</v>
          </cell>
          <cell r="W87">
            <v>284.3</v>
          </cell>
          <cell r="X87">
            <v>4.5</v>
          </cell>
          <cell r="Y87">
            <v>168.4</v>
          </cell>
          <cell r="Z87">
            <v>174.5</v>
          </cell>
          <cell r="AA87">
            <v>167.7</v>
          </cell>
          <cell r="AB87">
            <v>87.6</v>
          </cell>
          <cell r="AC87">
            <v>260.8</v>
          </cell>
          <cell r="AD87">
            <v>93.8</v>
          </cell>
          <cell r="AE87">
            <v>93.5</v>
          </cell>
          <cell r="AF87">
            <v>155.4</v>
          </cell>
          <cell r="AG87">
            <v>175.9</v>
          </cell>
          <cell r="AH87">
            <v>104.7</v>
          </cell>
          <cell r="AI87">
            <v>187.8</v>
          </cell>
          <cell r="AJ87">
            <v>128.85</v>
          </cell>
          <cell r="AN87">
            <v>51</v>
          </cell>
          <cell r="AP87">
            <v>35869.875</v>
          </cell>
          <cell r="AQ87">
            <v>612.22</v>
          </cell>
          <cell r="AR87">
            <v>12.88</v>
          </cell>
          <cell r="AS87">
            <v>1.5089305402425579</v>
          </cell>
          <cell r="AT87">
            <v>10.439153439153438</v>
          </cell>
          <cell r="AV87">
            <v>7.8853936000000013</v>
          </cell>
          <cell r="AW87">
            <v>0.92379745534729885</v>
          </cell>
          <cell r="AX87">
            <v>6.391058518518518</v>
          </cell>
          <cell r="AZ87">
            <v>10</v>
          </cell>
          <cell r="BA87">
            <v>10</v>
          </cell>
          <cell r="BB87">
            <v>10</v>
          </cell>
          <cell r="BC87">
            <v>10</v>
          </cell>
          <cell r="BD87">
            <v>10</v>
          </cell>
          <cell r="BE87">
            <v>10</v>
          </cell>
          <cell r="BF87">
            <v>0.11715299225485697</v>
          </cell>
          <cell r="BI87">
            <v>51</v>
          </cell>
          <cell r="BK87">
            <v>35869.875</v>
          </cell>
          <cell r="CD87">
            <v>0</v>
          </cell>
          <cell r="CF87">
            <v>35869.875</v>
          </cell>
          <cell r="CG87">
            <v>9.75</v>
          </cell>
          <cell r="CH87">
            <v>9.75</v>
          </cell>
          <cell r="CI87">
            <v>9.75</v>
          </cell>
          <cell r="CU87">
            <v>10</v>
          </cell>
          <cell r="CV87">
            <v>10</v>
          </cell>
          <cell r="CY87">
            <v>0</v>
          </cell>
        </row>
        <row r="88">
          <cell r="A88">
            <v>35900.3125</v>
          </cell>
          <cell r="B88">
            <v>114.48</v>
          </cell>
          <cell r="D88">
            <v>106.077</v>
          </cell>
          <cell r="E88">
            <v>101.44799999999999</v>
          </cell>
          <cell r="F88">
            <v>104.428</v>
          </cell>
          <cell r="G88">
            <v>98.212000000000003</v>
          </cell>
          <cell r="H88">
            <v>101.31100000000001</v>
          </cell>
          <cell r="J88">
            <v>101.102</v>
          </cell>
          <cell r="K88">
            <v>107.119</v>
          </cell>
          <cell r="L88">
            <v>116.074</v>
          </cell>
          <cell r="M88">
            <v>112.336</v>
          </cell>
          <cell r="N88">
            <v>108.44</v>
          </cell>
          <cell r="R88">
            <v>52</v>
          </cell>
          <cell r="T88">
            <v>35900.3125</v>
          </cell>
          <cell r="U88">
            <v>207.1</v>
          </cell>
          <cell r="V88">
            <v>123.4</v>
          </cell>
          <cell r="W88">
            <v>181.3</v>
          </cell>
          <cell r="X88">
            <v>0</v>
          </cell>
          <cell r="Y88">
            <v>119.5</v>
          </cell>
          <cell r="Z88">
            <v>201.1</v>
          </cell>
          <cell r="AA88">
            <v>109.9</v>
          </cell>
          <cell r="AB88">
            <v>89.3</v>
          </cell>
          <cell r="AC88">
            <v>98.1</v>
          </cell>
          <cell r="AD88">
            <v>65.400000000000006</v>
          </cell>
          <cell r="AE88">
            <v>65.3</v>
          </cell>
          <cell r="AF88">
            <v>124.8</v>
          </cell>
          <cell r="AG88">
            <v>164.9</v>
          </cell>
          <cell r="AH88">
            <v>77.099999999999994</v>
          </cell>
          <cell r="AI88">
            <v>128.9</v>
          </cell>
          <cell r="AJ88">
            <v>110.89</v>
          </cell>
          <cell r="AN88">
            <v>52</v>
          </cell>
          <cell r="AP88">
            <v>35900.3125</v>
          </cell>
          <cell r="AQ88">
            <v>608.34</v>
          </cell>
          <cell r="AR88">
            <v>13.39</v>
          </cell>
          <cell r="AS88">
            <v>1.4487320837927233</v>
          </cell>
          <cell r="AT88">
            <v>10.874779541446209</v>
          </cell>
          <cell r="AV88">
            <v>8.145672600000001</v>
          </cell>
          <cell r="AW88">
            <v>0.88132167585446541</v>
          </cell>
          <cell r="AX88">
            <v>6.6155633862433874</v>
          </cell>
          <cell r="AZ88">
            <v>10</v>
          </cell>
          <cell r="BA88">
            <v>10</v>
          </cell>
          <cell r="BB88">
            <v>10</v>
          </cell>
          <cell r="BC88">
            <v>10</v>
          </cell>
          <cell r="BD88">
            <v>10</v>
          </cell>
          <cell r="BE88">
            <v>10</v>
          </cell>
          <cell r="BF88">
            <v>0.10819507720632736</v>
          </cell>
          <cell r="BI88">
            <v>52</v>
          </cell>
          <cell r="BK88">
            <v>35900.3125</v>
          </cell>
          <cell r="CD88">
            <v>0</v>
          </cell>
          <cell r="CF88">
            <v>35900.3125</v>
          </cell>
          <cell r="CG88">
            <v>9.75</v>
          </cell>
          <cell r="CH88">
            <v>9.75</v>
          </cell>
          <cell r="CI88">
            <v>9.75</v>
          </cell>
          <cell r="CU88">
            <v>10</v>
          </cell>
          <cell r="CV88">
            <v>10</v>
          </cell>
          <cell r="CY88">
            <v>0</v>
          </cell>
        </row>
        <row r="89">
          <cell r="A89">
            <v>35930.75</v>
          </cell>
          <cell r="B89">
            <v>120.884</v>
          </cell>
          <cell r="D89">
            <v>105.059</v>
          </cell>
          <cell r="E89">
            <v>100.679</v>
          </cell>
          <cell r="F89">
            <v>104.015</v>
          </cell>
          <cell r="G89">
            <v>97.046999999999997</v>
          </cell>
          <cell r="H89">
            <v>101.35299999999999</v>
          </cell>
          <cell r="J89">
            <v>101.14</v>
          </cell>
          <cell r="K89">
            <v>107.09</v>
          </cell>
          <cell r="L89">
            <v>116.313</v>
          </cell>
          <cell r="M89">
            <v>112.14100000000001</v>
          </cell>
          <cell r="N89">
            <v>110.41</v>
          </cell>
          <cell r="R89">
            <v>53</v>
          </cell>
          <cell r="T89">
            <v>35930.75</v>
          </cell>
          <cell r="U89">
            <v>6.5</v>
          </cell>
          <cell r="V89">
            <v>82.2</v>
          </cell>
          <cell r="W89">
            <v>13</v>
          </cell>
          <cell r="X89">
            <v>0</v>
          </cell>
          <cell r="Y89">
            <v>92.7</v>
          </cell>
          <cell r="Z89">
            <v>197.9</v>
          </cell>
          <cell r="AA89">
            <v>80.3</v>
          </cell>
          <cell r="AB89">
            <v>87</v>
          </cell>
          <cell r="AC89">
            <v>21.5</v>
          </cell>
          <cell r="AD89">
            <v>42.2</v>
          </cell>
          <cell r="AE89">
            <v>55.7</v>
          </cell>
          <cell r="AF89">
            <v>124.8</v>
          </cell>
          <cell r="AG89">
            <v>145.9</v>
          </cell>
          <cell r="AH89">
            <v>110.3</v>
          </cell>
          <cell r="AI89">
            <v>73.8</v>
          </cell>
          <cell r="AJ89">
            <v>84.63</v>
          </cell>
          <cell r="AN89">
            <v>53</v>
          </cell>
          <cell r="AP89">
            <v>35930.75</v>
          </cell>
          <cell r="AQ89">
            <v>595.19000000000005</v>
          </cell>
          <cell r="AR89">
            <v>13.97</v>
          </cell>
          <cell r="AS89">
            <v>1.4191841234840132</v>
          </cell>
          <cell r="AT89">
            <v>10.546031746031748</v>
          </cell>
          <cell r="AV89">
            <v>8.3148043000000023</v>
          </cell>
          <cell r="AW89">
            <v>0.84468419845644993</v>
          </cell>
          <cell r="AX89">
            <v>6.2768926349206371</v>
          </cell>
          <cell r="AZ89">
            <v>10</v>
          </cell>
          <cell r="BA89">
            <v>10</v>
          </cell>
          <cell r="BB89">
            <v>10</v>
          </cell>
          <cell r="BC89">
            <v>10</v>
          </cell>
          <cell r="BD89">
            <v>10</v>
          </cell>
          <cell r="BE89">
            <v>10</v>
          </cell>
          <cell r="BF89">
            <v>0.10158798306972176</v>
          </cell>
          <cell r="BI89">
            <v>53</v>
          </cell>
          <cell r="BK89">
            <v>35930.75</v>
          </cell>
          <cell r="CD89">
            <v>0</v>
          </cell>
          <cell r="CF89">
            <v>35930.75</v>
          </cell>
          <cell r="CG89">
            <v>9.75</v>
          </cell>
          <cell r="CH89">
            <v>9.75</v>
          </cell>
          <cell r="CI89">
            <v>9.75</v>
          </cell>
          <cell r="CU89">
            <v>10</v>
          </cell>
          <cell r="CV89">
            <v>10</v>
          </cell>
          <cell r="CY89">
            <v>0</v>
          </cell>
        </row>
        <row r="90">
          <cell r="A90">
            <v>35961.1875</v>
          </cell>
          <cell r="B90">
            <v>127.44199999999999</v>
          </cell>
          <cell r="D90">
            <v>104.873</v>
          </cell>
          <cell r="E90">
            <v>99.679000000000002</v>
          </cell>
          <cell r="F90">
            <v>104.464</v>
          </cell>
          <cell r="G90">
            <v>97.18</v>
          </cell>
          <cell r="H90">
            <v>100.58799999999999</v>
          </cell>
          <cell r="J90">
            <v>101.11799999999999</v>
          </cell>
          <cell r="K90">
            <v>107.09</v>
          </cell>
          <cell r="L90">
            <v>116.358</v>
          </cell>
          <cell r="M90">
            <v>112.226</v>
          </cell>
          <cell r="N90">
            <v>112.443</v>
          </cell>
          <cell r="R90">
            <v>54</v>
          </cell>
          <cell r="T90">
            <v>35961.1875</v>
          </cell>
          <cell r="U90">
            <v>0</v>
          </cell>
          <cell r="V90">
            <v>70.3</v>
          </cell>
          <cell r="W90">
            <v>15.8</v>
          </cell>
          <cell r="X90">
            <v>14.5</v>
          </cell>
          <cell r="Y90">
            <v>87.3</v>
          </cell>
          <cell r="Z90">
            <v>145</v>
          </cell>
          <cell r="AA90">
            <v>80.599999999999994</v>
          </cell>
          <cell r="AB90">
            <v>89</v>
          </cell>
          <cell r="AC90">
            <v>24.6</v>
          </cell>
          <cell r="AD90">
            <v>86.7</v>
          </cell>
          <cell r="AE90">
            <v>59</v>
          </cell>
          <cell r="AF90">
            <v>107.3</v>
          </cell>
          <cell r="AG90">
            <v>138.30000000000001</v>
          </cell>
          <cell r="AH90">
            <v>116.8</v>
          </cell>
          <cell r="AI90">
            <v>69.099999999999994</v>
          </cell>
          <cell r="AJ90">
            <v>91.49</v>
          </cell>
          <cell r="AN90">
            <v>54</v>
          </cell>
          <cell r="AP90">
            <v>35961.1875</v>
          </cell>
          <cell r="AQ90">
            <v>601.11</v>
          </cell>
          <cell r="AR90">
            <v>12.48</v>
          </cell>
          <cell r="AS90">
            <v>1.5201764057331861</v>
          </cell>
          <cell r="AT90">
            <v>10.318871252204586</v>
          </cell>
          <cell r="AV90">
            <v>7.5018528000000009</v>
          </cell>
          <cell r="AW90">
            <v>0.91379323925027556</v>
          </cell>
          <cell r="AX90">
            <v>6.2027766984126984</v>
          </cell>
          <cell r="AZ90">
            <v>10</v>
          </cell>
          <cell r="BA90">
            <v>10</v>
          </cell>
          <cell r="BB90">
            <v>10</v>
          </cell>
          <cell r="BC90">
            <v>10</v>
          </cell>
          <cell r="BD90">
            <v>10</v>
          </cell>
          <cell r="BE90">
            <v>10</v>
          </cell>
          <cell r="BF90">
            <v>0.12180900686964631</v>
          </cell>
          <cell r="BI90">
            <v>54</v>
          </cell>
          <cell r="BK90">
            <v>35961.1875</v>
          </cell>
          <cell r="CD90">
            <v>0</v>
          </cell>
          <cell r="CF90">
            <v>35961.1875</v>
          </cell>
          <cell r="CG90">
            <v>9.75</v>
          </cell>
          <cell r="CH90">
            <v>9.75</v>
          </cell>
          <cell r="CI90">
            <v>9.75</v>
          </cell>
          <cell r="CU90">
            <v>10</v>
          </cell>
          <cell r="CV90">
            <v>10</v>
          </cell>
          <cell r="CY90">
            <v>0</v>
          </cell>
        </row>
        <row r="91">
          <cell r="A91">
            <v>35991.625</v>
          </cell>
          <cell r="B91">
            <v>121.215</v>
          </cell>
          <cell r="D91">
            <v>104.873</v>
          </cell>
          <cell r="E91">
            <v>99.576999999999998</v>
          </cell>
          <cell r="F91">
            <v>104.553</v>
          </cell>
          <cell r="G91">
            <v>94.981999999999999</v>
          </cell>
          <cell r="H91">
            <v>100.804</v>
          </cell>
          <cell r="J91">
            <v>101.11799999999999</v>
          </cell>
          <cell r="K91">
            <v>107.105</v>
          </cell>
          <cell r="L91">
            <v>116.78100000000001</v>
          </cell>
          <cell r="M91">
            <v>112.211</v>
          </cell>
          <cell r="N91">
            <v>110.309</v>
          </cell>
          <cell r="R91">
            <v>55</v>
          </cell>
          <cell r="T91">
            <v>35991.625</v>
          </cell>
          <cell r="U91">
            <v>0</v>
          </cell>
          <cell r="V91">
            <v>74</v>
          </cell>
          <cell r="W91">
            <v>14.3</v>
          </cell>
          <cell r="X91">
            <v>4.9000000000000004</v>
          </cell>
          <cell r="Y91">
            <v>97.2</v>
          </cell>
          <cell r="Z91">
            <v>174.1</v>
          </cell>
          <cell r="AA91">
            <v>88.2</v>
          </cell>
          <cell r="AB91">
            <v>85.8</v>
          </cell>
          <cell r="AC91">
            <v>18.399999999999999</v>
          </cell>
          <cell r="AD91">
            <v>78.8</v>
          </cell>
          <cell r="AE91">
            <v>95</v>
          </cell>
          <cell r="AF91">
            <v>122.3</v>
          </cell>
          <cell r="AG91">
            <v>143.1</v>
          </cell>
          <cell r="AH91">
            <v>88.6</v>
          </cell>
          <cell r="AI91">
            <v>76.5</v>
          </cell>
          <cell r="AJ91">
            <v>107.62</v>
          </cell>
          <cell r="AN91">
            <v>55</v>
          </cell>
          <cell r="AP91">
            <v>35991.625</v>
          </cell>
          <cell r="AQ91">
            <v>602.27</v>
          </cell>
          <cell r="AR91">
            <v>12.72</v>
          </cell>
          <cell r="AS91">
            <v>1.5404630650496141</v>
          </cell>
          <cell r="AT91">
            <v>10.326278659611994</v>
          </cell>
          <cell r="AV91">
            <v>7.6608744000000009</v>
          </cell>
          <cell r="AW91">
            <v>0.92777469018743097</v>
          </cell>
          <cell r="AX91">
            <v>6.2192078483245146</v>
          </cell>
          <cell r="AZ91">
            <v>10</v>
          </cell>
          <cell r="BA91">
            <v>10</v>
          </cell>
          <cell r="BB91">
            <v>10</v>
          </cell>
          <cell r="BC91">
            <v>10</v>
          </cell>
          <cell r="BD91">
            <v>10</v>
          </cell>
          <cell r="BE91">
            <v>10</v>
          </cell>
          <cell r="BF91">
            <v>0.12110558687496964</v>
          </cell>
          <cell r="BI91">
            <v>55</v>
          </cell>
          <cell r="BK91">
            <v>35991.625</v>
          </cell>
          <cell r="CD91">
            <v>0</v>
          </cell>
          <cell r="CF91">
            <v>35991.625</v>
          </cell>
          <cell r="CG91">
            <v>9.75</v>
          </cell>
          <cell r="CH91">
            <v>9.75</v>
          </cell>
          <cell r="CI91">
            <v>9.75</v>
          </cell>
          <cell r="CU91">
            <v>10</v>
          </cell>
          <cell r="CV91">
            <v>10</v>
          </cell>
          <cell r="CY91">
            <v>0</v>
          </cell>
        </row>
        <row r="92">
          <cell r="A92">
            <v>36022.0625</v>
          </cell>
          <cell r="B92">
            <v>123.01600000000001</v>
          </cell>
          <cell r="D92">
            <v>104.93899999999999</v>
          </cell>
          <cell r="E92">
            <v>100.598</v>
          </cell>
          <cell r="F92">
            <v>105.197</v>
          </cell>
          <cell r="G92">
            <v>94.343999999999994</v>
          </cell>
          <cell r="H92">
            <v>100.533</v>
          </cell>
          <cell r="J92">
            <v>101.11799999999999</v>
          </cell>
          <cell r="K92">
            <v>107.12</v>
          </cell>
          <cell r="L92">
            <v>116.413</v>
          </cell>
          <cell r="M92">
            <v>112.502</v>
          </cell>
          <cell r="N92">
            <v>110.985</v>
          </cell>
          <cell r="R92">
            <v>56</v>
          </cell>
          <cell r="T92">
            <v>36022.0625</v>
          </cell>
          <cell r="U92">
            <v>0</v>
          </cell>
          <cell r="V92">
            <v>65.099999999999994</v>
          </cell>
          <cell r="W92">
            <v>3</v>
          </cell>
          <cell r="X92">
            <v>11.2</v>
          </cell>
          <cell r="Y92">
            <v>71.5</v>
          </cell>
          <cell r="Z92">
            <v>137.5</v>
          </cell>
          <cell r="AA92">
            <v>63.8</v>
          </cell>
          <cell r="AB92">
            <v>87</v>
          </cell>
          <cell r="AC92">
            <v>19.3</v>
          </cell>
          <cell r="AD92">
            <v>16.2</v>
          </cell>
          <cell r="AE92">
            <v>63.2</v>
          </cell>
          <cell r="AF92">
            <v>103.4</v>
          </cell>
          <cell r="AG92">
            <v>95.1</v>
          </cell>
          <cell r="AH92">
            <v>72.400000000000006</v>
          </cell>
          <cell r="AI92">
            <v>56.6</v>
          </cell>
          <cell r="AJ92">
            <v>98.73</v>
          </cell>
          <cell r="AN92">
            <v>56</v>
          </cell>
          <cell r="AP92">
            <v>36022.0625</v>
          </cell>
          <cell r="AQ92">
            <v>599.5</v>
          </cell>
          <cell r="AR92">
            <v>12.49</v>
          </cell>
          <cell r="AS92">
            <v>1.5034178610804851</v>
          </cell>
          <cell r="AT92">
            <v>10.021516754850088</v>
          </cell>
          <cell r="AV92">
            <v>7.4877549999999999</v>
          </cell>
          <cell r="AW92">
            <v>0.90129900771775084</v>
          </cell>
          <cell r="AX92">
            <v>6.0078992945326277</v>
          </cell>
          <cell r="AZ92">
            <v>10</v>
          </cell>
          <cell r="BA92">
            <v>10</v>
          </cell>
          <cell r="BB92">
            <v>10</v>
          </cell>
          <cell r="BC92">
            <v>10</v>
          </cell>
          <cell r="BD92">
            <v>10</v>
          </cell>
          <cell r="BE92">
            <v>10</v>
          </cell>
          <cell r="BF92">
            <v>0.12036972466617175</v>
          </cell>
          <cell r="BI92">
            <v>56</v>
          </cell>
          <cell r="BK92">
            <v>36022.0625</v>
          </cell>
          <cell r="CD92">
            <v>0</v>
          </cell>
          <cell r="CF92">
            <v>36022.0625</v>
          </cell>
          <cell r="CG92">
            <v>9.75</v>
          </cell>
          <cell r="CH92">
            <v>9.75</v>
          </cell>
          <cell r="CI92">
            <v>9.75</v>
          </cell>
          <cell r="CU92">
            <v>10</v>
          </cell>
          <cell r="CV92">
            <v>10</v>
          </cell>
          <cell r="CY92">
            <v>0</v>
          </cell>
        </row>
        <row r="93">
          <cell r="A93">
            <v>36052.5</v>
          </cell>
          <cell r="B93">
            <v>116.92400000000001</v>
          </cell>
          <cell r="D93">
            <v>105.035</v>
          </cell>
          <cell r="E93">
            <v>104.982</v>
          </cell>
          <cell r="F93">
            <v>105.226</v>
          </cell>
          <cell r="G93">
            <v>94.575999999999993</v>
          </cell>
          <cell r="H93">
            <v>100.639</v>
          </cell>
          <cell r="J93">
            <v>101.11799999999999</v>
          </cell>
          <cell r="K93">
            <v>109.426</v>
          </cell>
          <cell r="L93">
            <v>116.312</v>
          </cell>
          <cell r="M93">
            <v>111.866</v>
          </cell>
          <cell r="N93">
            <v>109.447</v>
          </cell>
          <cell r="R93">
            <v>57</v>
          </cell>
          <cell r="T93">
            <v>36052.5</v>
          </cell>
          <cell r="U93">
            <v>0</v>
          </cell>
          <cell r="V93">
            <v>69.099999999999994</v>
          </cell>
          <cell r="W93">
            <v>5</v>
          </cell>
          <cell r="X93">
            <v>0</v>
          </cell>
          <cell r="Y93">
            <v>76.900000000000006</v>
          </cell>
          <cell r="Z93">
            <v>159</v>
          </cell>
          <cell r="AA93">
            <v>67.3</v>
          </cell>
          <cell r="AB93">
            <v>88.2</v>
          </cell>
          <cell r="AC93">
            <v>15.6</v>
          </cell>
          <cell r="AD93">
            <v>27.6</v>
          </cell>
          <cell r="AE93">
            <v>67.2</v>
          </cell>
          <cell r="AF93">
            <v>105.6</v>
          </cell>
          <cell r="AG93">
            <v>105.2</v>
          </cell>
          <cell r="AH93">
            <v>88.5</v>
          </cell>
          <cell r="AI93">
            <v>60.3</v>
          </cell>
          <cell r="AJ93">
            <v>100.4</v>
          </cell>
          <cell r="AN93">
            <v>57</v>
          </cell>
          <cell r="AP93">
            <v>36052.5</v>
          </cell>
          <cell r="AQ93">
            <v>570.67999999999995</v>
          </cell>
          <cell r="AR93">
            <v>13.07</v>
          </cell>
          <cell r="AS93">
            <v>1.4639470782800441</v>
          </cell>
          <cell r="AT93">
            <v>10.193298059964727</v>
          </cell>
          <cell r="AV93">
            <v>7.4587876</v>
          </cell>
          <cell r="AW93">
            <v>0.83544531863285543</v>
          </cell>
          <cell r="AX93">
            <v>5.8171113368606706</v>
          </cell>
          <cell r="AZ93">
            <v>10</v>
          </cell>
          <cell r="BA93">
            <v>10</v>
          </cell>
          <cell r="BB93">
            <v>10</v>
          </cell>
          <cell r="BC93">
            <v>10</v>
          </cell>
          <cell r="BD93">
            <v>10</v>
          </cell>
          <cell r="BE93">
            <v>10</v>
          </cell>
          <cell r="BF93">
            <v>0.11200819267636143</v>
          </cell>
          <cell r="BI93">
            <v>57</v>
          </cell>
          <cell r="BK93">
            <v>36052.5</v>
          </cell>
          <cell r="CD93">
            <v>0</v>
          </cell>
          <cell r="CF93">
            <v>36052.5</v>
          </cell>
          <cell r="CG93">
            <v>9.75</v>
          </cell>
          <cell r="CH93">
            <v>9.75</v>
          </cell>
          <cell r="CI93">
            <v>9.75</v>
          </cell>
          <cell r="CU93">
            <v>10</v>
          </cell>
          <cell r="CV93">
            <v>10</v>
          </cell>
          <cell r="CY93">
            <v>0</v>
          </cell>
        </row>
        <row r="94">
          <cell r="A94">
            <v>36082.9375</v>
          </cell>
          <cell r="B94">
            <v>115.37</v>
          </cell>
          <cell r="D94">
            <v>105.035</v>
          </cell>
          <cell r="E94">
            <v>101.881</v>
          </cell>
          <cell r="F94">
            <v>105.224</v>
          </cell>
          <cell r="G94">
            <v>94.575999999999993</v>
          </cell>
          <cell r="H94">
            <v>100.639</v>
          </cell>
          <cell r="J94">
            <v>101.11799999999999</v>
          </cell>
          <cell r="K94">
            <v>109.426</v>
          </cell>
          <cell r="L94">
            <v>116.718</v>
          </cell>
          <cell r="M94">
            <v>112.008</v>
          </cell>
          <cell r="N94">
            <v>108.642</v>
          </cell>
          <cell r="R94">
            <v>58</v>
          </cell>
          <cell r="T94">
            <v>36082.9375</v>
          </cell>
          <cell r="U94">
            <v>0</v>
          </cell>
          <cell r="V94">
            <v>66.3</v>
          </cell>
          <cell r="W94">
            <v>13.8</v>
          </cell>
          <cell r="X94">
            <v>5.0999999999999996</v>
          </cell>
          <cell r="Y94">
            <v>94</v>
          </cell>
          <cell r="Z94">
            <v>171.4</v>
          </cell>
          <cell r="AA94">
            <v>84.9</v>
          </cell>
          <cell r="AB94">
            <v>85.4</v>
          </cell>
          <cell r="AC94">
            <v>5.2</v>
          </cell>
          <cell r="AD94">
            <v>75.900000000000006</v>
          </cell>
          <cell r="AE94">
            <v>69.7</v>
          </cell>
          <cell r="AF94">
            <v>225.3</v>
          </cell>
          <cell r="AG94">
            <v>124.4</v>
          </cell>
          <cell r="AH94">
            <v>127.3</v>
          </cell>
          <cell r="AI94">
            <v>73.900000000000006</v>
          </cell>
          <cell r="AJ94">
            <v>110.27</v>
          </cell>
          <cell r="AN94">
            <v>58</v>
          </cell>
          <cell r="AP94">
            <v>36082.9375</v>
          </cell>
          <cell r="AQ94">
            <v>549.5</v>
          </cell>
          <cell r="AR94">
            <v>12.81</v>
          </cell>
          <cell r="AS94">
            <v>1.355237045203969</v>
          </cell>
          <cell r="AT94">
            <v>10.438447971781304</v>
          </cell>
          <cell r="AV94">
            <v>7.0390950000000005</v>
          </cell>
          <cell r="AW94">
            <v>0.74470275633958105</v>
          </cell>
          <cell r="AX94">
            <v>5.7359271604938264</v>
          </cell>
          <cell r="AZ94">
            <v>10</v>
          </cell>
          <cell r="BA94">
            <v>10</v>
          </cell>
          <cell r="BB94">
            <v>10</v>
          </cell>
          <cell r="BC94">
            <v>10</v>
          </cell>
          <cell r="BD94">
            <v>10</v>
          </cell>
          <cell r="BE94">
            <v>10</v>
          </cell>
          <cell r="BF94">
            <v>0.1057952416240413</v>
          </cell>
          <cell r="BI94">
            <v>58</v>
          </cell>
          <cell r="BK94">
            <v>36082.9375</v>
          </cell>
          <cell r="CD94">
            <v>0</v>
          </cell>
          <cell r="CF94">
            <v>36082.9375</v>
          </cell>
          <cell r="CG94">
            <v>9.75</v>
          </cell>
          <cell r="CH94">
            <v>9.75</v>
          </cell>
          <cell r="CI94">
            <v>9.75</v>
          </cell>
          <cell r="CU94">
            <v>10</v>
          </cell>
          <cell r="CV94">
            <v>10</v>
          </cell>
          <cell r="CY94">
            <v>0</v>
          </cell>
        </row>
        <row r="95">
          <cell r="A95">
            <v>36113.375</v>
          </cell>
          <cell r="B95">
            <v>113.298</v>
          </cell>
          <cell r="D95">
            <v>105.035</v>
          </cell>
          <cell r="E95">
            <v>104.008</v>
          </cell>
          <cell r="F95">
            <v>105.248</v>
          </cell>
          <cell r="G95">
            <v>94.602000000000004</v>
          </cell>
          <cell r="H95">
            <v>100.639</v>
          </cell>
          <cell r="J95">
            <v>100.89</v>
          </cell>
          <cell r="K95">
            <v>109.449</v>
          </cell>
          <cell r="L95">
            <v>116.623</v>
          </cell>
          <cell r="M95">
            <v>112.434</v>
          </cell>
          <cell r="N95">
            <v>108.17100000000001</v>
          </cell>
          <cell r="R95">
            <v>59</v>
          </cell>
          <cell r="T95">
            <v>36113.375</v>
          </cell>
          <cell r="U95">
            <v>107.9</v>
          </cell>
          <cell r="V95">
            <v>118.4</v>
          </cell>
          <cell r="W95">
            <v>97.3</v>
          </cell>
          <cell r="X95">
            <v>6.6</v>
          </cell>
          <cell r="Y95">
            <v>114.5</v>
          </cell>
          <cell r="Z95">
            <v>171.9</v>
          </cell>
          <cell r="AA95">
            <v>107.8</v>
          </cell>
          <cell r="AB95">
            <v>75.5</v>
          </cell>
          <cell r="AC95">
            <v>109</v>
          </cell>
          <cell r="AD95">
            <v>49.3</v>
          </cell>
          <cell r="AE95">
            <v>74.599999999999994</v>
          </cell>
          <cell r="AF95">
            <v>224.6</v>
          </cell>
          <cell r="AG95">
            <v>109.2</v>
          </cell>
          <cell r="AH95">
            <v>105.9</v>
          </cell>
          <cell r="AI95">
            <v>108.4</v>
          </cell>
          <cell r="AJ95">
            <v>116.12</v>
          </cell>
          <cell r="AN95">
            <v>59</v>
          </cell>
          <cell r="AP95">
            <v>36113.375</v>
          </cell>
          <cell r="AQ95">
            <v>563.82000000000005</v>
          </cell>
          <cell r="AR95">
            <v>11.88</v>
          </cell>
          <cell r="AS95">
            <v>1.236604189636163</v>
          </cell>
          <cell r="AT95">
            <v>10.378130511463846</v>
          </cell>
          <cell r="AV95">
            <v>6.6981816000000007</v>
          </cell>
          <cell r="AW95">
            <v>0.69722217420066146</v>
          </cell>
          <cell r="AX95">
            <v>5.8513975449735458</v>
          </cell>
          <cell r="AZ95">
            <v>10</v>
          </cell>
          <cell r="BA95">
            <v>10</v>
          </cell>
          <cell r="BB95">
            <v>10</v>
          </cell>
          <cell r="BC95">
            <v>10</v>
          </cell>
          <cell r="BD95">
            <v>10</v>
          </cell>
          <cell r="BE95">
            <v>10</v>
          </cell>
          <cell r="BF95">
            <v>0.10409126175388576</v>
          </cell>
          <cell r="BI95">
            <v>59</v>
          </cell>
          <cell r="BK95">
            <v>36113.375</v>
          </cell>
          <cell r="CD95">
            <v>0</v>
          </cell>
          <cell r="CF95">
            <v>36113.375</v>
          </cell>
          <cell r="CG95">
            <v>9.75</v>
          </cell>
          <cell r="CH95">
            <v>9.75</v>
          </cell>
          <cell r="CI95">
            <v>9.75</v>
          </cell>
          <cell r="CU95">
            <v>10</v>
          </cell>
          <cell r="CV95">
            <v>10</v>
          </cell>
          <cell r="CY95">
            <v>0</v>
          </cell>
        </row>
        <row r="96">
          <cell r="A96">
            <v>36143.8125</v>
          </cell>
          <cell r="B96">
            <v>104.83499999999999</v>
          </cell>
          <cell r="D96">
            <v>105.035</v>
          </cell>
          <cell r="E96">
            <v>102.925</v>
          </cell>
          <cell r="F96">
            <v>105.15600000000001</v>
          </cell>
          <cell r="G96">
            <v>95.373000000000005</v>
          </cell>
          <cell r="H96">
            <v>100.639</v>
          </cell>
          <cell r="J96">
            <v>100.89</v>
          </cell>
          <cell r="K96">
            <v>109.434</v>
          </cell>
          <cell r="L96">
            <v>116.498</v>
          </cell>
          <cell r="M96">
            <v>112.014</v>
          </cell>
          <cell r="N96">
            <v>105.17700000000001</v>
          </cell>
          <cell r="R96">
            <v>60</v>
          </cell>
          <cell r="T96">
            <v>36143.8125</v>
          </cell>
          <cell r="U96">
            <v>362.1</v>
          </cell>
          <cell r="V96">
            <v>167.9</v>
          </cell>
          <cell r="W96">
            <v>308.60000000000002</v>
          </cell>
          <cell r="X96">
            <v>4.2</v>
          </cell>
          <cell r="Y96">
            <v>139.19999999999999</v>
          </cell>
          <cell r="Z96">
            <v>185.5</v>
          </cell>
          <cell r="AA96">
            <v>133.80000000000001</v>
          </cell>
          <cell r="AB96">
            <v>82.7</v>
          </cell>
          <cell r="AC96">
            <v>194.1</v>
          </cell>
          <cell r="AD96">
            <v>68</v>
          </cell>
          <cell r="AE96">
            <v>80.900000000000006</v>
          </cell>
          <cell r="AF96">
            <v>248.1</v>
          </cell>
          <cell r="AG96">
            <v>99.3</v>
          </cell>
          <cell r="AH96">
            <v>101.7</v>
          </cell>
          <cell r="AI96">
            <v>170.9</v>
          </cell>
          <cell r="AJ96">
            <v>122.77</v>
          </cell>
          <cell r="AN96">
            <v>60</v>
          </cell>
          <cell r="AP96">
            <v>36143.8125</v>
          </cell>
          <cell r="AQ96">
            <v>560.01</v>
          </cell>
          <cell r="AR96">
            <v>10.41</v>
          </cell>
          <cell r="AS96">
            <v>1.2348401323042999</v>
          </cell>
          <cell r="AT96">
            <v>10.288536155202822</v>
          </cell>
          <cell r="AV96">
            <v>5.8297040999999998</v>
          </cell>
          <cell r="AW96">
            <v>0.69152282249173092</v>
          </cell>
          <cell r="AX96">
            <v>5.7616831322751318</v>
          </cell>
          <cell r="AZ96">
            <v>10</v>
          </cell>
          <cell r="BA96">
            <v>10</v>
          </cell>
          <cell r="BB96">
            <v>10</v>
          </cell>
          <cell r="BC96">
            <v>10</v>
          </cell>
          <cell r="BD96">
            <v>10</v>
          </cell>
          <cell r="BE96">
            <v>10</v>
          </cell>
          <cell r="BF96">
            <v>0.11862056986592698</v>
          </cell>
          <cell r="BI96">
            <v>60</v>
          </cell>
          <cell r="BK96">
            <v>36143.8125</v>
          </cell>
          <cell r="CD96">
            <v>0</v>
          </cell>
          <cell r="CF96">
            <v>36143.8125</v>
          </cell>
          <cell r="CG96">
            <v>9.75</v>
          </cell>
          <cell r="CH96">
            <v>9.75</v>
          </cell>
          <cell r="CI96">
            <v>9.75</v>
          </cell>
          <cell r="CU96">
            <v>10</v>
          </cell>
          <cell r="CV96">
            <v>10</v>
          </cell>
          <cell r="CY96">
            <v>0</v>
          </cell>
        </row>
        <row r="97">
          <cell r="A97">
            <v>36174.25</v>
          </cell>
          <cell r="B97">
            <v>102.849</v>
          </cell>
          <cell r="D97">
            <v>106.652</v>
          </cell>
          <cell r="E97">
            <v>103.81100000000001</v>
          </cell>
          <cell r="F97">
            <v>105.15600000000001</v>
          </cell>
          <cell r="G97">
            <v>92.588999999999999</v>
          </cell>
          <cell r="H97">
            <v>99.971000000000004</v>
          </cell>
          <cell r="J97">
            <v>100.83</v>
          </cell>
          <cell r="K97">
            <v>109.434</v>
          </cell>
          <cell r="L97">
            <v>116.788</v>
          </cell>
          <cell r="M97">
            <v>116.07899999999999</v>
          </cell>
          <cell r="N97">
            <v>104.729</v>
          </cell>
          <cell r="R97">
            <v>61</v>
          </cell>
          <cell r="T97">
            <v>36174.25</v>
          </cell>
          <cell r="U97">
            <v>383.8</v>
          </cell>
          <cell r="V97">
            <v>151.30000000000001</v>
          </cell>
          <cell r="W97">
            <v>322.3</v>
          </cell>
          <cell r="X97">
            <v>0</v>
          </cell>
          <cell r="Y97">
            <v>123.4</v>
          </cell>
          <cell r="Z97">
            <v>140.69999999999999</v>
          </cell>
          <cell r="AA97">
            <v>121.3</v>
          </cell>
          <cell r="AB97">
            <v>69.599999999999994</v>
          </cell>
          <cell r="AC97">
            <v>190.4</v>
          </cell>
          <cell r="AD97">
            <v>45.9</v>
          </cell>
          <cell r="AE97">
            <v>89.1</v>
          </cell>
          <cell r="AF97">
            <v>105.9</v>
          </cell>
          <cell r="AG97">
            <v>114.5</v>
          </cell>
          <cell r="AH97">
            <v>77.599999999999994</v>
          </cell>
          <cell r="AI97">
            <v>162</v>
          </cell>
          <cell r="AJ97">
            <v>109.6</v>
          </cell>
          <cell r="AN97">
            <v>61</v>
          </cell>
          <cell r="AP97">
            <v>36174.25</v>
          </cell>
          <cell r="AQ97">
            <v>565.1</v>
          </cell>
          <cell r="AR97">
            <v>10.78</v>
          </cell>
          <cell r="AS97">
            <v>1.2299889746416759</v>
          </cell>
          <cell r="AT97">
            <v>10.121340388007054</v>
          </cell>
          <cell r="AV97">
            <v>6.0917780000000006</v>
          </cell>
          <cell r="AW97">
            <v>0.69506676957001101</v>
          </cell>
          <cell r="AX97">
            <v>5.7195694532627863</v>
          </cell>
          <cell r="AZ97">
            <v>10</v>
          </cell>
          <cell r="BA97">
            <v>10</v>
          </cell>
          <cell r="BB97">
            <v>10</v>
          </cell>
          <cell r="BC97">
            <v>10</v>
          </cell>
          <cell r="BD97">
            <v>10</v>
          </cell>
          <cell r="BE97">
            <v>10</v>
          </cell>
          <cell r="BF97">
            <v>0.1140991627682445</v>
          </cell>
          <cell r="BI97">
            <v>61</v>
          </cell>
          <cell r="BK97">
            <v>36174.25</v>
          </cell>
          <cell r="CD97">
            <v>0</v>
          </cell>
          <cell r="CF97">
            <v>36174.25</v>
          </cell>
          <cell r="CG97">
            <v>9.75</v>
          </cell>
          <cell r="CH97">
            <v>9.75</v>
          </cell>
          <cell r="CI97">
            <v>9.75</v>
          </cell>
          <cell r="CU97">
            <v>10</v>
          </cell>
          <cell r="CV97">
            <v>10</v>
          </cell>
          <cell r="CY97">
            <v>0</v>
          </cell>
        </row>
        <row r="98">
          <cell r="A98">
            <v>36204.6875</v>
          </cell>
          <cell r="B98">
            <v>103.732</v>
          </cell>
          <cell r="D98">
            <v>107.61</v>
          </cell>
          <cell r="E98">
            <v>102.08499999999999</v>
          </cell>
          <cell r="F98">
            <v>105.212</v>
          </cell>
          <cell r="G98">
            <v>92.49</v>
          </cell>
          <cell r="H98">
            <v>99.986000000000004</v>
          </cell>
          <cell r="J98">
            <v>101.227</v>
          </cell>
          <cell r="K98">
            <v>109.438</v>
          </cell>
          <cell r="L98">
            <v>116.83</v>
          </cell>
          <cell r="M98">
            <v>116.35</v>
          </cell>
          <cell r="N98">
            <v>104.94499999999999</v>
          </cell>
          <cell r="R98">
            <v>62</v>
          </cell>
          <cell r="T98">
            <v>36204.6875</v>
          </cell>
          <cell r="U98">
            <v>354</v>
          </cell>
          <cell r="V98">
            <v>139</v>
          </cell>
          <cell r="W98">
            <v>298</v>
          </cell>
          <cell r="X98">
            <v>6.5</v>
          </cell>
          <cell r="Y98">
            <v>125.2</v>
          </cell>
          <cell r="Z98">
            <v>185</v>
          </cell>
          <cell r="AA98">
            <v>118.2</v>
          </cell>
          <cell r="AB98">
            <v>68.5</v>
          </cell>
          <cell r="AC98">
            <v>144.80000000000001</v>
          </cell>
          <cell r="AD98">
            <v>46.4</v>
          </cell>
          <cell r="AE98">
            <v>109.4</v>
          </cell>
          <cell r="AF98">
            <v>156.80000000000001</v>
          </cell>
          <cell r="AG98">
            <v>114.7</v>
          </cell>
          <cell r="AH98">
            <v>95.4</v>
          </cell>
          <cell r="AI98">
            <v>158.69999999999999</v>
          </cell>
          <cell r="AJ98">
            <v>113.41</v>
          </cell>
          <cell r="AN98">
            <v>62</v>
          </cell>
          <cell r="AP98">
            <v>36204.6875</v>
          </cell>
          <cell r="AQ98">
            <v>585.36</v>
          </cell>
          <cell r="AR98">
            <v>10.75</v>
          </cell>
          <cell r="AS98">
            <v>1.2390297684674751</v>
          </cell>
          <cell r="AT98">
            <v>10.135097001763668</v>
          </cell>
          <cell r="AV98">
            <v>6.2926200000000003</v>
          </cell>
          <cell r="AW98">
            <v>0.7252784652701213</v>
          </cell>
          <cell r="AX98">
            <v>5.9326803809523811</v>
          </cell>
          <cell r="AZ98">
            <v>10</v>
          </cell>
          <cell r="BA98">
            <v>10</v>
          </cell>
          <cell r="BB98">
            <v>10</v>
          </cell>
          <cell r="BC98">
            <v>10</v>
          </cell>
          <cell r="BD98">
            <v>10</v>
          </cell>
          <cell r="BE98">
            <v>10</v>
          </cell>
          <cell r="BF98">
            <v>0.1152585831132535</v>
          </cell>
          <cell r="BI98">
            <v>62</v>
          </cell>
          <cell r="BK98">
            <v>36204.6875</v>
          </cell>
          <cell r="CD98">
            <v>0</v>
          </cell>
          <cell r="CF98">
            <v>36204.6875</v>
          </cell>
          <cell r="CG98">
            <v>9.75</v>
          </cell>
          <cell r="CH98">
            <v>9.75</v>
          </cell>
          <cell r="CI98">
            <v>9.75</v>
          </cell>
          <cell r="CU98">
            <v>10</v>
          </cell>
          <cell r="CV98">
            <v>10</v>
          </cell>
          <cell r="CY98">
            <v>0</v>
          </cell>
        </row>
        <row r="99">
          <cell r="A99">
            <v>36235.125</v>
          </cell>
          <cell r="B99">
            <v>103.428</v>
          </cell>
          <cell r="D99">
            <v>107.68899999999999</v>
          </cell>
          <cell r="E99">
            <v>99.823999999999998</v>
          </cell>
          <cell r="F99">
            <v>104.41</v>
          </cell>
          <cell r="G99">
            <v>93.087999999999994</v>
          </cell>
          <cell r="H99">
            <v>101.1</v>
          </cell>
          <cell r="J99">
            <v>100.98</v>
          </cell>
          <cell r="K99">
            <v>109.438</v>
          </cell>
          <cell r="L99">
            <v>116.976</v>
          </cell>
          <cell r="M99">
            <v>116.35</v>
          </cell>
          <cell r="N99">
            <v>104.839</v>
          </cell>
          <cell r="R99">
            <v>63</v>
          </cell>
          <cell r="T99">
            <v>36235.125</v>
          </cell>
          <cell r="U99">
            <v>266.8</v>
          </cell>
          <cell r="V99">
            <v>78.099999999999994</v>
          </cell>
          <cell r="W99">
            <v>228.4</v>
          </cell>
          <cell r="X99">
            <v>4.2</v>
          </cell>
          <cell r="Y99">
            <v>109.6</v>
          </cell>
          <cell r="Z99">
            <v>208.8</v>
          </cell>
          <cell r="AA99">
            <v>97.9</v>
          </cell>
          <cell r="AB99">
            <v>58.1</v>
          </cell>
          <cell r="AC99">
            <v>20</v>
          </cell>
          <cell r="AD99">
            <v>56</v>
          </cell>
          <cell r="AE99">
            <v>136.6</v>
          </cell>
          <cell r="AF99">
            <v>147.9</v>
          </cell>
          <cell r="AG99">
            <v>151.1</v>
          </cell>
          <cell r="AH99">
            <v>86.5</v>
          </cell>
          <cell r="AI99">
            <v>131.5</v>
          </cell>
          <cell r="AJ99">
            <v>84.97</v>
          </cell>
          <cell r="AN99">
            <v>63</v>
          </cell>
          <cell r="AP99">
            <v>36235.125</v>
          </cell>
          <cell r="AQ99">
            <v>602.77</v>
          </cell>
          <cell r="AR99">
            <v>13.16</v>
          </cell>
          <cell r="AS99">
            <v>1.2504961411245865</v>
          </cell>
          <cell r="AT99">
            <v>10.095590828924161</v>
          </cell>
          <cell r="AV99">
            <v>7.9324532000000003</v>
          </cell>
          <cell r="AW99">
            <v>0.75376155898566699</v>
          </cell>
          <cell r="AX99">
            <v>6.0853192839506161</v>
          </cell>
          <cell r="AZ99">
            <v>10</v>
          </cell>
          <cell r="BA99">
            <v>10</v>
          </cell>
          <cell r="BB99">
            <v>10</v>
          </cell>
          <cell r="BC99">
            <v>10</v>
          </cell>
          <cell r="BD99">
            <v>10</v>
          </cell>
          <cell r="BE99">
            <v>10</v>
          </cell>
          <cell r="BF99">
            <v>9.5022503124968571E-2</v>
          </cell>
          <cell r="BI99">
            <v>63</v>
          </cell>
          <cell r="BK99">
            <v>36235.125</v>
          </cell>
          <cell r="CD99">
            <v>0</v>
          </cell>
          <cell r="CF99">
            <v>36235.125</v>
          </cell>
          <cell r="CG99">
            <v>9.75</v>
          </cell>
          <cell r="CH99">
            <v>9.75</v>
          </cell>
          <cell r="CI99">
            <v>9.75</v>
          </cell>
          <cell r="CU99">
            <v>10</v>
          </cell>
          <cell r="CV99">
            <v>10</v>
          </cell>
          <cell r="CY99">
            <v>0</v>
          </cell>
        </row>
        <row r="100">
          <cell r="A100">
            <v>36265.5625</v>
          </cell>
          <cell r="B100">
            <v>107.898</v>
          </cell>
          <cell r="D100">
            <v>106.626</v>
          </cell>
          <cell r="E100">
            <v>100.39100000000001</v>
          </cell>
          <cell r="F100">
            <v>104.41</v>
          </cell>
          <cell r="G100">
            <v>93.087999999999994</v>
          </cell>
          <cell r="H100">
            <v>101.1</v>
          </cell>
          <cell r="J100">
            <v>100.999</v>
          </cell>
          <cell r="K100">
            <v>109.438</v>
          </cell>
          <cell r="L100">
            <v>120.041</v>
          </cell>
          <cell r="M100">
            <v>116.35</v>
          </cell>
          <cell r="N100">
            <v>106.655</v>
          </cell>
          <cell r="R100">
            <v>64</v>
          </cell>
          <cell r="T100">
            <v>36265.5625</v>
          </cell>
          <cell r="U100">
            <v>1.5</v>
          </cell>
          <cell r="V100">
            <v>80</v>
          </cell>
          <cell r="W100">
            <v>7.6</v>
          </cell>
          <cell r="X100">
            <v>5.6</v>
          </cell>
          <cell r="Y100">
            <v>97.9</v>
          </cell>
          <cell r="Z100">
            <v>192.6</v>
          </cell>
          <cell r="AA100">
            <v>86.8</v>
          </cell>
          <cell r="AB100">
            <v>63.5</v>
          </cell>
          <cell r="AC100">
            <v>29.7</v>
          </cell>
          <cell r="AD100">
            <v>34.799999999999997</v>
          </cell>
          <cell r="AE100">
            <v>110.6</v>
          </cell>
          <cell r="AF100">
            <v>108</v>
          </cell>
          <cell r="AG100">
            <v>137.1</v>
          </cell>
          <cell r="AH100">
            <v>133.19999999999999</v>
          </cell>
          <cell r="AI100">
            <v>77.599999999999994</v>
          </cell>
          <cell r="AN100">
            <v>64</v>
          </cell>
          <cell r="AP100">
            <v>36265.5625</v>
          </cell>
          <cell r="AQ100">
            <v>612.83000000000004</v>
          </cell>
          <cell r="AR100">
            <v>15.86</v>
          </cell>
          <cell r="AS100">
            <v>1.2732083792723263</v>
          </cell>
          <cell r="AT100">
            <v>9.9689594356261022</v>
          </cell>
          <cell r="AV100">
            <v>9.7194838000000008</v>
          </cell>
          <cell r="AW100">
            <v>0.78026029106945971</v>
          </cell>
          <cell r="AX100">
            <v>6.1092774109347445</v>
          </cell>
          <cell r="AZ100">
            <v>10</v>
          </cell>
          <cell r="BA100">
            <v>10</v>
          </cell>
          <cell r="BB100">
            <v>10</v>
          </cell>
          <cell r="BC100">
            <v>10</v>
          </cell>
          <cell r="BD100">
            <v>10</v>
          </cell>
          <cell r="BE100">
            <v>10</v>
          </cell>
          <cell r="BF100">
            <v>8.0277955817927252E-2</v>
          </cell>
          <cell r="BI100">
            <v>64</v>
          </cell>
          <cell r="BK100">
            <v>36265.5625</v>
          </cell>
          <cell r="CD100">
            <v>0</v>
          </cell>
          <cell r="CF100">
            <v>36265.5625</v>
          </cell>
          <cell r="CG100">
            <v>9.75</v>
          </cell>
          <cell r="CH100">
            <v>9.75</v>
          </cell>
          <cell r="CI100">
            <v>9.75</v>
          </cell>
          <cell r="CU100">
            <v>10</v>
          </cell>
          <cell r="CV100">
            <v>10</v>
          </cell>
          <cell r="CY100">
            <v>0</v>
          </cell>
        </row>
        <row r="101">
          <cell r="A101">
            <v>36296</v>
          </cell>
          <cell r="B101">
            <v>109.806</v>
          </cell>
          <cell r="D101">
            <v>106.633</v>
          </cell>
          <cell r="E101">
            <v>100.223</v>
          </cell>
          <cell r="F101">
            <v>104.861</v>
          </cell>
          <cell r="G101">
            <v>95.927000000000007</v>
          </cell>
          <cell r="H101">
            <v>102.3</v>
          </cell>
          <cell r="J101">
            <v>100.999</v>
          </cell>
          <cell r="K101">
            <v>109.438</v>
          </cell>
          <cell r="L101">
            <v>120.626</v>
          </cell>
          <cell r="M101">
            <v>116.52200000000001</v>
          </cell>
          <cell r="N101">
            <v>107.691</v>
          </cell>
          <cell r="R101">
            <v>65</v>
          </cell>
          <cell r="T101">
            <v>36296</v>
          </cell>
          <cell r="U101">
            <v>0</v>
          </cell>
          <cell r="V101">
            <v>99.3</v>
          </cell>
          <cell r="W101">
            <v>4.3</v>
          </cell>
          <cell r="X101">
            <v>6.5</v>
          </cell>
          <cell r="Y101">
            <v>108.4</v>
          </cell>
          <cell r="Z101">
            <v>207</v>
          </cell>
          <cell r="AA101">
            <v>96.9</v>
          </cell>
          <cell r="AB101">
            <v>40.799999999999997</v>
          </cell>
          <cell r="AC101">
            <v>68.8</v>
          </cell>
          <cell r="AD101">
            <v>23.7</v>
          </cell>
          <cell r="AE101">
            <v>124.2</v>
          </cell>
          <cell r="AF101">
            <v>93</v>
          </cell>
          <cell r="AG101">
            <v>140.69999999999999</v>
          </cell>
          <cell r="AH101">
            <v>142.69999999999999</v>
          </cell>
          <cell r="AI101">
            <v>85.3</v>
          </cell>
          <cell r="AN101">
            <v>65</v>
          </cell>
          <cell r="AP101">
            <v>36296</v>
          </cell>
          <cell r="AQ101">
            <v>617.28</v>
          </cell>
          <cell r="AR101">
            <v>16.53</v>
          </cell>
          <cell r="AS101">
            <v>1.3208379272326349</v>
          </cell>
          <cell r="AT101">
            <v>9.7566137566137563</v>
          </cell>
          <cell r="AV101">
            <v>10.203638399999999</v>
          </cell>
          <cell r="AW101">
            <v>0.8153268357221608</v>
          </cell>
          <cell r="AX101">
            <v>6.0225625396825393</v>
          </cell>
          <cell r="AZ101">
            <v>10</v>
          </cell>
          <cell r="BA101">
            <v>10</v>
          </cell>
          <cell r="BB101">
            <v>10</v>
          </cell>
          <cell r="BC101">
            <v>10</v>
          </cell>
          <cell r="BD101">
            <v>10</v>
          </cell>
          <cell r="BE101">
            <v>10</v>
          </cell>
          <cell r="BF101">
            <v>7.9905500740026308E-2</v>
          </cell>
          <cell r="BI101">
            <v>65</v>
          </cell>
          <cell r="BK101">
            <v>36296</v>
          </cell>
          <cell r="CD101">
            <v>0</v>
          </cell>
          <cell r="CF101">
            <v>36296</v>
          </cell>
          <cell r="CG101">
            <v>9.75</v>
          </cell>
          <cell r="CH101">
            <v>9.75</v>
          </cell>
          <cell r="CI101">
            <v>9.75</v>
          </cell>
          <cell r="CU101">
            <v>10</v>
          </cell>
          <cell r="CV101">
            <v>10</v>
          </cell>
          <cell r="CY101">
            <v>0</v>
          </cell>
        </row>
        <row r="102">
          <cell r="A102">
            <v>36326.4375</v>
          </cell>
          <cell r="B102">
            <v>113.98</v>
          </cell>
          <cell r="D102">
            <v>106.633</v>
          </cell>
          <cell r="E102">
            <v>99.662999999999997</v>
          </cell>
          <cell r="F102">
            <v>104.861</v>
          </cell>
          <cell r="G102">
            <v>95.653000000000006</v>
          </cell>
          <cell r="H102">
            <v>102.315</v>
          </cell>
          <cell r="J102">
            <v>100.999</v>
          </cell>
          <cell r="K102">
            <v>109.438</v>
          </cell>
          <cell r="L102">
            <v>120.83199999999999</v>
          </cell>
          <cell r="M102">
            <v>116.52200000000001</v>
          </cell>
          <cell r="N102">
            <v>108.97499999999999</v>
          </cell>
          <cell r="R102">
            <v>66</v>
          </cell>
          <cell r="T102">
            <v>36326.4375</v>
          </cell>
          <cell r="U102">
            <v>0</v>
          </cell>
          <cell r="V102">
            <v>69.599999999999994</v>
          </cell>
          <cell r="W102">
            <v>5.2</v>
          </cell>
          <cell r="X102">
            <v>9.6</v>
          </cell>
          <cell r="Y102">
            <v>88</v>
          </cell>
          <cell r="Z102">
            <v>190</v>
          </cell>
          <cell r="AA102">
            <v>76.099999999999994</v>
          </cell>
          <cell r="AB102">
            <v>28.3</v>
          </cell>
          <cell r="AC102">
            <v>25.6</v>
          </cell>
          <cell r="AD102">
            <v>28.7</v>
          </cell>
          <cell r="AE102">
            <v>109.3</v>
          </cell>
          <cell r="AF102">
            <v>62.2</v>
          </cell>
          <cell r="AG102">
            <v>133.80000000000001</v>
          </cell>
          <cell r="AH102">
            <v>115.2</v>
          </cell>
          <cell r="AI102">
            <v>69.400000000000006</v>
          </cell>
          <cell r="AN102">
            <v>66</v>
          </cell>
          <cell r="AP102">
            <v>36326.4375</v>
          </cell>
          <cell r="AQ102">
            <v>632.11</v>
          </cell>
          <cell r="AR102">
            <v>16.71</v>
          </cell>
          <cell r="AS102">
            <v>1.2899669239250275</v>
          </cell>
          <cell r="AT102">
            <v>9.2172839506172846</v>
          </cell>
          <cell r="AV102">
            <v>10.5625581</v>
          </cell>
          <cell r="AW102">
            <v>0.81540099228224916</v>
          </cell>
          <cell r="AX102">
            <v>5.8263373580246913</v>
          </cell>
          <cell r="AZ102">
            <v>10</v>
          </cell>
          <cell r="BA102">
            <v>10</v>
          </cell>
          <cell r="BB102">
            <v>10</v>
          </cell>
          <cell r="BC102">
            <v>10</v>
          </cell>
          <cell r="BD102">
            <v>10</v>
          </cell>
          <cell r="BE102">
            <v>10</v>
          </cell>
          <cell r="BF102">
            <v>7.7197302449133906E-2</v>
          </cell>
          <cell r="BI102">
            <v>66</v>
          </cell>
          <cell r="BK102">
            <v>36326.4375</v>
          </cell>
          <cell r="CD102">
            <v>0</v>
          </cell>
          <cell r="CF102">
            <v>36326.4375</v>
          </cell>
          <cell r="CG102">
            <v>9.75</v>
          </cell>
          <cell r="CH102">
            <v>9.75</v>
          </cell>
          <cell r="CI102">
            <v>9.75</v>
          </cell>
          <cell r="CU102">
            <v>10</v>
          </cell>
          <cell r="CV102">
            <v>10</v>
          </cell>
          <cell r="CY102">
            <v>0</v>
          </cell>
        </row>
        <row r="103">
          <cell r="A103">
            <v>36356.875</v>
          </cell>
          <cell r="B103">
            <v>112.48699999999999</v>
          </cell>
          <cell r="D103">
            <v>106.633</v>
          </cell>
          <cell r="E103">
            <v>100.01300000000001</v>
          </cell>
          <cell r="F103">
            <v>104.58199999999999</v>
          </cell>
          <cell r="G103">
            <v>90.983999999999995</v>
          </cell>
          <cell r="H103">
            <v>102.23</v>
          </cell>
          <cell r="J103">
            <v>100.747</v>
          </cell>
          <cell r="K103">
            <v>109.438</v>
          </cell>
          <cell r="L103">
            <v>121.077</v>
          </cell>
          <cell r="M103">
            <v>116.345</v>
          </cell>
          <cell r="N103">
            <v>108.283</v>
          </cell>
          <cell r="R103">
            <v>67</v>
          </cell>
          <cell r="T103">
            <v>36356.875</v>
          </cell>
          <cell r="U103">
            <v>0</v>
          </cell>
          <cell r="V103">
            <v>81.900000000000006</v>
          </cell>
          <cell r="W103">
            <v>3.1</v>
          </cell>
          <cell r="X103">
            <v>5.0999999999999996</v>
          </cell>
          <cell r="Y103">
            <v>90.8</v>
          </cell>
          <cell r="Z103">
            <v>225.8</v>
          </cell>
          <cell r="AA103">
            <v>75</v>
          </cell>
          <cell r="AB103">
            <v>37.1</v>
          </cell>
          <cell r="AC103">
            <v>27.6</v>
          </cell>
          <cell r="AD103">
            <v>17.2</v>
          </cell>
          <cell r="AE103">
            <v>93.5</v>
          </cell>
          <cell r="AF103">
            <v>78.7</v>
          </cell>
          <cell r="AG103">
            <v>132.5</v>
          </cell>
          <cell r="AH103">
            <v>135.80000000000001</v>
          </cell>
          <cell r="AI103">
            <v>71.5</v>
          </cell>
          <cell r="AN103">
            <v>67</v>
          </cell>
          <cell r="AP103">
            <v>36356.875</v>
          </cell>
          <cell r="AQ103">
            <v>633.84</v>
          </cell>
          <cell r="AR103">
            <v>18.95</v>
          </cell>
          <cell r="AS103">
            <v>1.201984564498346</v>
          </cell>
          <cell r="AT103">
            <v>9.0328042328042315</v>
          </cell>
          <cell r="AV103">
            <v>12.011267999999999</v>
          </cell>
          <cell r="AW103">
            <v>0.76186589636163171</v>
          </cell>
          <cell r="AX103">
            <v>5.7253526349206343</v>
          </cell>
          <cell r="AZ103">
            <v>10</v>
          </cell>
          <cell r="BA103">
            <v>10</v>
          </cell>
          <cell r="BB103">
            <v>10</v>
          </cell>
          <cell r="BC103">
            <v>10</v>
          </cell>
          <cell r="BD103">
            <v>10</v>
          </cell>
          <cell r="BE103">
            <v>10</v>
          </cell>
          <cell r="BF103">
            <v>6.342926461732698E-2</v>
          </cell>
          <cell r="BI103">
            <v>67</v>
          </cell>
          <cell r="BK103">
            <v>36356.875</v>
          </cell>
          <cell r="CD103">
            <v>0</v>
          </cell>
          <cell r="CF103">
            <v>36356.875</v>
          </cell>
          <cell r="CG103">
            <v>9.75</v>
          </cell>
          <cell r="CH103">
            <v>9.75</v>
          </cell>
          <cell r="CI103">
            <v>9.75</v>
          </cell>
          <cell r="CU103">
            <v>10</v>
          </cell>
          <cell r="CV103">
            <v>10</v>
          </cell>
          <cell r="CY103">
            <v>0</v>
          </cell>
        </row>
        <row r="104">
          <cell r="A104">
            <v>36387.3125</v>
          </cell>
          <cell r="B104">
            <v>110.193</v>
          </cell>
          <cell r="D104">
            <v>106.633</v>
          </cell>
          <cell r="E104">
            <v>104.902</v>
          </cell>
          <cell r="F104">
            <v>104.834</v>
          </cell>
          <cell r="G104">
            <v>91.65</v>
          </cell>
          <cell r="H104">
            <v>101.187</v>
          </cell>
          <cell r="J104">
            <v>100.736</v>
          </cell>
          <cell r="K104">
            <v>110.349</v>
          </cell>
          <cell r="L104">
            <v>121.176</v>
          </cell>
          <cell r="M104">
            <v>116.345</v>
          </cell>
          <cell r="N104">
            <v>107.941</v>
          </cell>
          <cell r="R104">
            <v>68</v>
          </cell>
          <cell r="T104">
            <v>36387.3125</v>
          </cell>
          <cell r="U104">
            <v>0</v>
          </cell>
          <cell r="V104">
            <v>65.5</v>
          </cell>
          <cell r="W104">
            <v>3.3</v>
          </cell>
          <cell r="X104">
            <v>3.3</v>
          </cell>
          <cell r="Y104">
            <v>71.400000000000006</v>
          </cell>
          <cell r="Z104">
            <v>133.1</v>
          </cell>
          <cell r="AA104">
            <v>64.2</v>
          </cell>
          <cell r="AB104">
            <v>41.3</v>
          </cell>
          <cell r="AC104">
            <v>41.2</v>
          </cell>
          <cell r="AD104">
            <v>18</v>
          </cell>
          <cell r="AE104">
            <v>69.900000000000006</v>
          </cell>
          <cell r="AF104">
            <v>27.3</v>
          </cell>
          <cell r="AG104">
            <v>114.3</v>
          </cell>
          <cell r="AH104">
            <v>123</v>
          </cell>
          <cell r="AI104">
            <v>56.1</v>
          </cell>
          <cell r="AN104">
            <v>68</v>
          </cell>
          <cell r="AP104">
            <v>36387.3125</v>
          </cell>
          <cell r="AQ104">
            <v>618.69864240000004</v>
          </cell>
          <cell r="AR104">
            <v>20.34</v>
          </cell>
          <cell r="AS104">
            <v>1.1241455347298785</v>
          </cell>
          <cell r="AT104">
            <v>9.055731922398591</v>
          </cell>
          <cell r="AV104">
            <v>12.584330386416001</v>
          </cell>
          <cell r="AW104">
            <v>0.69550731619739792</v>
          </cell>
          <cell r="AX104">
            <v>5.6027690463263511</v>
          </cell>
          <cell r="AZ104">
            <v>10</v>
          </cell>
          <cell r="BA104">
            <v>10</v>
          </cell>
          <cell r="BB104">
            <v>10</v>
          </cell>
          <cell r="BC104">
            <v>10</v>
          </cell>
          <cell r="BD104">
            <v>10</v>
          </cell>
          <cell r="BE104">
            <v>10</v>
          </cell>
          <cell r="BF104">
            <v>5.5267725404615463E-2</v>
          </cell>
          <cell r="BI104">
            <v>68</v>
          </cell>
          <cell r="BK104">
            <v>36387.3125</v>
          </cell>
          <cell r="CD104">
            <v>0</v>
          </cell>
          <cell r="CF104">
            <v>36387.3125</v>
          </cell>
          <cell r="CG104">
            <v>9.75</v>
          </cell>
          <cell r="CH104">
            <v>9.75</v>
          </cell>
          <cell r="CI104">
            <v>9.75</v>
          </cell>
          <cell r="CU104">
            <v>10</v>
          </cell>
          <cell r="CV104">
            <v>10</v>
          </cell>
          <cell r="CY104">
            <v>0</v>
          </cell>
        </row>
        <row r="105">
          <cell r="A105">
            <v>36417.75</v>
          </cell>
          <cell r="B105">
            <v>106.581</v>
          </cell>
          <cell r="D105">
            <v>107.872</v>
          </cell>
          <cell r="E105">
            <v>107.786</v>
          </cell>
          <cell r="F105">
            <v>104.536</v>
          </cell>
          <cell r="G105">
            <v>90.983999999999995</v>
          </cell>
          <cell r="H105">
            <v>101.19499999999999</v>
          </cell>
          <cell r="J105">
            <v>100.748</v>
          </cell>
          <cell r="K105">
            <v>110.444</v>
          </cell>
          <cell r="L105">
            <v>121.235</v>
          </cell>
          <cell r="M105">
            <v>116.345</v>
          </cell>
          <cell r="N105">
            <v>107.06</v>
          </cell>
          <cell r="R105">
            <v>69</v>
          </cell>
          <cell r="T105">
            <v>36417.75</v>
          </cell>
          <cell r="U105">
            <v>0</v>
          </cell>
          <cell r="V105">
            <v>59.8</v>
          </cell>
          <cell r="W105">
            <v>0.3</v>
          </cell>
          <cell r="X105">
            <v>0</v>
          </cell>
          <cell r="Y105">
            <v>67.099999999999994</v>
          </cell>
          <cell r="Z105">
            <v>149.9</v>
          </cell>
          <cell r="AA105">
            <v>57.4</v>
          </cell>
          <cell r="AB105">
            <v>31.6</v>
          </cell>
          <cell r="AC105">
            <v>25.8</v>
          </cell>
          <cell r="AD105">
            <v>1.6</v>
          </cell>
          <cell r="AE105">
            <v>71.3</v>
          </cell>
          <cell r="AF105">
            <v>73</v>
          </cell>
          <cell r="AG105">
            <v>93</v>
          </cell>
          <cell r="AH105">
            <v>103.4</v>
          </cell>
          <cell r="AI105">
            <v>52.6</v>
          </cell>
          <cell r="AN105">
            <v>69</v>
          </cell>
          <cell r="AP105">
            <v>36417.75</v>
          </cell>
          <cell r="AQ105">
            <v>624.73344680000002</v>
          </cell>
          <cell r="AR105">
            <v>22.7</v>
          </cell>
          <cell r="AS105">
            <v>1.091069459757442</v>
          </cell>
          <cell r="AT105">
            <v>9.3382716049382726</v>
          </cell>
          <cell r="AV105">
            <v>14.181449242360001</v>
          </cell>
          <cell r="AW105">
            <v>0.6816275842924806</v>
          </cell>
          <cell r="AX105">
            <v>5.8339306069076553</v>
          </cell>
          <cell r="AZ105">
            <v>10</v>
          </cell>
          <cell r="BA105">
            <v>10</v>
          </cell>
          <cell r="BB105">
            <v>10</v>
          </cell>
          <cell r="BC105">
            <v>10</v>
          </cell>
          <cell r="BD105">
            <v>10</v>
          </cell>
          <cell r="BE105">
            <v>10</v>
          </cell>
          <cell r="BF105">
            <v>4.8064733910019468E-2</v>
          </cell>
          <cell r="BI105">
            <v>69</v>
          </cell>
          <cell r="BK105">
            <v>36417.75</v>
          </cell>
          <cell r="CD105">
            <v>0</v>
          </cell>
          <cell r="CF105">
            <v>36417.75</v>
          </cell>
          <cell r="CG105">
            <v>9.75</v>
          </cell>
          <cell r="CH105">
            <v>9.75</v>
          </cell>
          <cell r="CI105">
            <v>9.75</v>
          </cell>
          <cell r="CU105">
            <v>10</v>
          </cell>
          <cell r="CV105">
            <v>10</v>
          </cell>
          <cell r="CY105">
            <v>0</v>
          </cell>
        </row>
        <row r="106">
          <cell r="A106">
            <v>36448.1875</v>
          </cell>
          <cell r="B106">
            <v>108.611</v>
          </cell>
          <cell r="D106">
            <v>107.872</v>
          </cell>
          <cell r="E106">
            <v>111.544</v>
          </cell>
          <cell r="F106">
            <v>104.73099999999999</v>
          </cell>
          <cell r="G106">
            <v>90.811000000000007</v>
          </cell>
          <cell r="H106">
            <v>101.191</v>
          </cell>
          <cell r="J106">
            <v>100.521</v>
          </cell>
          <cell r="K106">
            <v>110.444</v>
          </cell>
          <cell r="L106">
            <v>121.008</v>
          </cell>
          <cell r="M106">
            <v>117.788</v>
          </cell>
          <cell r="N106">
            <v>108.197</v>
          </cell>
          <cell r="R106">
            <v>70</v>
          </cell>
          <cell r="T106">
            <v>36448.1875</v>
          </cell>
          <cell r="U106">
            <v>0</v>
          </cell>
          <cell r="V106">
            <v>76.2</v>
          </cell>
          <cell r="W106">
            <v>13.8</v>
          </cell>
          <cell r="X106">
            <v>0</v>
          </cell>
          <cell r="Y106">
            <v>80.7</v>
          </cell>
          <cell r="Z106">
            <v>217.7</v>
          </cell>
          <cell r="AA106">
            <v>64.599999999999994</v>
          </cell>
          <cell r="AB106">
            <v>38.700000000000003</v>
          </cell>
          <cell r="AC106">
            <v>19.899999999999999</v>
          </cell>
          <cell r="AD106">
            <v>75.900000000000006</v>
          </cell>
          <cell r="AE106">
            <v>66.599999999999994</v>
          </cell>
          <cell r="AF106">
            <v>77.400000000000006</v>
          </cell>
          <cell r="AG106">
            <v>110.2</v>
          </cell>
          <cell r="AH106">
            <v>101.6</v>
          </cell>
          <cell r="AI106">
            <v>63.3</v>
          </cell>
          <cell r="AN106">
            <v>70</v>
          </cell>
          <cell r="AP106">
            <v>36448.1875</v>
          </cell>
          <cell r="AQ106">
            <v>612.66</v>
          </cell>
          <cell r="AR106">
            <v>21.95</v>
          </cell>
          <cell r="AS106">
            <v>1.0458654906284455</v>
          </cell>
          <cell r="AT106">
            <v>10.960141093474427</v>
          </cell>
          <cell r="AV106">
            <v>13.447886999999998</v>
          </cell>
          <cell r="AW106">
            <v>0.64075995148842335</v>
          </cell>
          <cell r="AX106">
            <v>6.7148400423280421</v>
          </cell>
          <cell r="AZ106">
            <v>10</v>
          </cell>
          <cell r="BA106">
            <v>10</v>
          </cell>
          <cell r="BB106">
            <v>10</v>
          </cell>
          <cell r="BC106">
            <v>10</v>
          </cell>
          <cell r="BD106">
            <v>10</v>
          </cell>
          <cell r="BE106">
            <v>10</v>
          </cell>
          <cell r="BF106">
            <v>4.7647630552548774E-2</v>
          </cell>
          <cell r="BI106">
            <v>70</v>
          </cell>
          <cell r="BK106">
            <v>36448.1875</v>
          </cell>
          <cell r="CD106">
            <v>0</v>
          </cell>
          <cell r="CF106">
            <v>36448.1875</v>
          </cell>
          <cell r="CG106">
            <v>9.75</v>
          </cell>
          <cell r="CH106">
            <v>9.75</v>
          </cell>
          <cell r="CI106">
            <v>9.75</v>
          </cell>
          <cell r="CU106">
            <v>10</v>
          </cell>
          <cell r="CV106">
            <v>10</v>
          </cell>
          <cell r="CY106">
            <v>0</v>
          </cell>
        </row>
        <row r="107">
          <cell r="A107">
            <v>36478.625</v>
          </cell>
          <cell r="B107">
            <v>105.872</v>
          </cell>
          <cell r="D107">
            <v>107.872</v>
          </cell>
          <cell r="E107">
            <v>107.578</v>
          </cell>
          <cell r="F107">
            <v>104.72499999999999</v>
          </cell>
          <cell r="G107">
            <v>93.052000000000007</v>
          </cell>
          <cell r="H107">
            <v>101.191</v>
          </cell>
          <cell r="J107">
            <v>100.521</v>
          </cell>
          <cell r="K107">
            <v>110.444</v>
          </cell>
          <cell r="L107">
            <v>120.76300000000001</v>
          </cell>
          <cell r="M107">
            <v>117.375</v>
          </cell>
          <cell r="N107">
            <v>106.89700000000001</v>
          </cell>
          <cell r="R107">
            <v>71</v>
          </cell>
          <cell r="T107">
            <v>36478.625</v>
          </cell>
          <cell r="U107">
            <v>0</v>
          </cell>
          <cell r="V107">
            <v>107.5</v>
          </cell>
          <cell r="W107">
            <v>9</v>
          </cell>
          <cell r="X107">
            <v>10.199999999999999</v>
          </cell>
          <cell r="Y107">
            <v>98.2</v>
          </cell>
          <cell r="Z107">
            <v>206.4</v>
          </cell>
          <cell r="AA107">
            <v>85.5</v>
          </cell>
          <cell r="AB107">
            <v>20.6</v>
          </cell>
          <cell r="AC107">
            <v>93.2</v>
          </cell>
          <cell r="AD107">
            <v>49.3</v>
          </cell>
          <cell r="AE107">
            <v>88.5</v>
          </cell>
          <cell r="AF107">
            <v>63.1</v>
          </cell>
          <cell r="AG107">
            <v>114</v>
          </cell>
          <cell r="AH107">
            <v>91.7</v>
          </cell>
          <cell r="AI107">
            <v>77.5</v>
          </cell>
          <cell r="AN107">
            <v>71</v>
          </cell>
          <cell r="AP107">
            <v>36478.625</v>
          </cell>
          <cell r="AQ107">
            <v>634.17922759999999</v>
          </cell>
          <cell r="AR107">
            <v>24.16</v>
          </cell>
          <cell r="AS107">
            <v>1.0189636163175304</v>
          </cell>
          <cell r="AT107">
            <v>10.341446208112876</v>
          </cell>
          <cell r="AV107">
            <v>15.321770138815999</v>
          </cell>
          <cell r="AW107">
            <v>0.64620555914875422</v>
          </cell>
          <cell r="AX107">
            <v>6.5583303685279724</v>
          </cell>
          <cell r="AZ107">
            <v>10</v>
          </cell>
          <cell r="BA107">
            <v>10</v>
          </cell>
          <cell r="BB107">
            <v>10</v>
          </cell>
          <cell r="BC107">
            <v>10</v>
          </cell>
          <cell r="BD107">
            <v>10</v>
          </cell>
          <cell r="BE107">
            <v>10</v>
          </cell>
          <cell r="BF107">
            <v>4.2175646370758713E-2</v>
          </cell>
          <cell r="BI107">
            <v>71</v>
          </cell>
          <cell r="BK107">
            <v>36478.625</v>
          </cell>
          <cell r="CD107">
            <v>0</v>
          </cell>
          <cell r="CF107">
            <v>36478.625</v>
          </cell>
          <cell r="CG107">
            <v>9.75</v>
          </cell>
          <cell r="CH107">
            <v>9.75</v>
          </cell>
          <cell r="CI107">
            <v>9.75</v>
          </cell>
          <cell r="CU107">
            <v>10</v>
          </cell>
          <cell r="CV107">
            <v>10</v>
          </cell>
          <cell r="CY107">
            <v>0</v>
          </cell>
        </row>
        <row r="108">
          <cell r="A108">
            <v>36509.0625</v>
          </cell>
          <cell r="B108">
            <v>102.39400000000001</v>
          </cell>
          <cell r="D108">
            <v>107.872</v>
          </cell>
          <cell r="E108">
            <v>106.29900000000001</v>
          </cell>
          <cell r="F108">
            <v>104.54</v>
          </cell>
          <cell r="G108">
            <v>93.052000000000007</v>
          </cell>
          <cell r="H108">
            <v>102.905</v>
          </cell>
          <cell r="J108">
            <v>100.521</v>
          </cell>
          <cell r="K108">
            <v>110.459</v>
          </cell>
          <cell r="L108">
            <v>121.078</v>
          </cell>
          <cell r="M108">
            <v>117.375</v>
          </cell>
          <cell r="N108">
            <v>105.87</v>
          </cell>
          <cell r="R108">
            <v>72</v>
          </cell>
          <cell r="T108">
            <v>36509.0625</v>
          </cell>
          <cell r="U108">
            <v>136.1</v>
          </cell>
          <cell r="V108">
            <v>161</v>
          </cell>
          <cell r="W108">
            <v>123.7</v>
          </cell>
          <cell r="X108">
            <v>8.6</v>
          </cell>
          <cell r="Y108">
            <v>119.8</v>
          </cell>
          <cell r="Z108">
            <v>189.5</v>
          </cell>
          <cell r="AA108">
            <v>111.7</v>
          </cell>
          <cell r="AB108">
            <v>26.2</v>
          </cell>
          <cell r="AC108">
            <v>202.2</v>
          </cell>
          <cell r="AD108">
            <v>68</v>
          </cell>
          <cell r="AE108">
            <v>70.5</v>
          </cell>
          <cell r="AF108">
            <v>59.5</v>
          </cell>
          <cell r="AG108">
            <v>109.3</v>
          </cell>
          <cell r="AH108">
            <v>28.9</v>
          </cell>
          <cell r="AI108">
            <v>117.5</v>
          </cell>
          <cell r="AN108">
            <v>72</v>
          </cell>
          <cell r="AP108">
            <v>36509.0625</v>
          </cell>
          <cell r="AQ108">
            <v>648.80706869999995</v>
          </cell>
          <cell r="AR108">
            <v>25.1</v>
          </cell>
          <cell r="AS108">
            <v>0.97464167585446526</v>
          </cell>
          <cell r="AT108">
            <v>9.9805996472663132</v>
          </cell>
          <cell r="AV108">
            <v>16.285057424369999</v>
          </cell>
          <cell r="AW108">
            <v>0.63235440874399118</v>
          </cell>
          <cell r="AX108">
            <v>6.4754836010111099</v>
          </cell>
          <cell r="AZ108">
            <v>10</v>
          </cell>
          <cell r="BA108">
            <v>10</v>
          </cell>
          <cell r="BB108">
            <v>10</v>
          </cell>
          <cell r="BC108">
            <v>10</v>
          </cell>
          <cell r="BD108">
            <v>10</v>
          </cell>
          <cell r="BE108">
            <v>10</v>
          </cell>
          <cell r="BF108">
            <v>3.8830345651572326E-2</v>
          </cell>
          <cell r="BI108">
            <v>72</v>
          </cell>
          <cell r="BK108">
            <v>36509.0625</v>
          </cell>
          <cell r="CD108">
            <v>0</v>
          </cell>
          <cell r="CF108">
            <v>36509.0625</v>
          </cell>
          <cell r="CG108">
            <v>9.82</v>
          </cell>
          <cell r="CH108">
            <v>10.952380952380999</v>
          </cell>
          <cell r="CI108">
            <v>9.75</v>
          </cell>
          <cell r="CU108">
            <v>10</v>
          </cell>
          <cell r="CV108">
            <v>10</v>
          </cell>
          <cell r="CY108">
            <v>0</v>
          </cell>
        </row>
        <row r="109">
          <cell r="A109">
            <v>36539.5</v>
          </cell>
          <cell r="B109">
            <v>99.19571174820814</v>
          </cell>
          <cell r="C109">
            <v>104.96479781420763</v>
          </cell>
          <cell r="D109">
            <v>107.85229606299215</v>
          </cell>
          <cell r="E109">
            <v>106.31861619047618</v>
          </cell>
          <cell r="F109">
            <v>104.31943093093095</v>
          </cell>
          <cell r="G109">
            <v>93.018498806682587</v>
          </cell>
          <cell r="H109">
            <v>104.06963134232498</v>
          </cell>
          <cell r="I109">
            <v>116.07536842105263</v>
          </cell>
          <cell r="J109">
            <v>103.34078455284553</v>
          </cell>
          <cell r="K109">
            <v>109.18</v>
          </cell>
          <cell r="L109">
            <v>121.11521084337348</v>
          </cell>
          <cell r="M109">
            <v>117.71332723112128</v>
          </cell>
          <cell r="N109">
            <v>105.1</v>
          </cell>
          <cell r="R109">
            <v>73</v>
          </cell>
          <cell r="T109">
            <v>36539.5</v>
          </cell>
          <cell r="U109">
            <v>393.5</v>
          </cell>
          <cell r="V109">
            <v>147.4</v>
          </cell>
          <cell r="W109">
            <v>325.5</v>
          </cell>
          <cell r="X109">
            <v>0</v>
          </cell>
          <cell r="Y109">
            <v>140.4</v>
          </cell>
          <cell r="Z109">
            <v>125.9</v>
          </cell>
          <cell r="AA109">
            <v>142.4</v>
          </cell>
          <cell r="AB109">
            <v>29.9</v>
          </cell>
          <cell r="AC109">
            <v>206.9</v>
          </cell>
          <cell r="AD109">
            <v>19.7</v>
          </cell>
          <cell r="AE109">
            <v>75.599999999999994</v>
          </cell>
          <cell r="AF109">
            <v>100.7</v>
          </cell>
          <cell r="AG109">
            <v>205.2</v>
          </cell>
          <cell r="AH109">
            <v>83.1</v>
          </cell>
          <cell r="AI109">
            <v>177</v>
          </cell>
          <cell r="AJ109">
            <v>148</v>
          </cell>
          <cell r="AN109">
            <v>73</v>
          </cell>
          <cell r="AP109">
            <v>36539.5</v>
          </cell>
          <cell r="AQ109">
            <v>647.23277189999999</v>
          </cell>
          <cell r="AR109">
            <v>25.24</v>
          </cell>
          <cell r="AS109">
            <v>1.0458654906284455</v>
          </cell>
          <cell r="AT109">
            <v>10.028924162257496</v>
          </cell>
          <cell r="AV109">
            <v>16.336155162755997</v>
          </cell>
          <cell r="AW109">
            <v>0.67691842053400231</v>
          </cell>
          <cell r="AX109">
            <v>6.491048384712804</v>
          </cell>
          <cell r="AZ109">
            <v>10</v>
          </cell>
          <cell r="BA109">
            <v>10</v>
          </cell>
          <cell r="BB109">
            <v>10</v>
          </cell>
          <cell r="BC109">
            <v>10</v>
          </cell>
          <cell r="BD109">
            <v>10</v>
          </cell>
          <cell r="BE109">
            <v>10</v>
          </cell>
          <cell r="BF109">
            <v>4.1436826094629391E-2</v>
          </cell>
          <cell r="BI109">
            <v>73</v>
          </cell>
          <cell r="BK109">
            <v>36539.5</v>
          </cell>
          <cell r="CD109">
            <v>0</v>
          </cell>
          <cell r="CF109">
            <v>36539.5</v>
          </cell>
          <cell r="CG109">
            <v>9.82</v>
          </cell>
          <cell r="CH109">
            <v>12.0833333333333</v>
          </cell>
          <cell r="CI109">
            <v>10.952380952381001</v>
          </cell>
          <cell r="CU109">
            <v>10</v>
          </cell>
          <cell r="CV109">
            <v>10</v>
          </cell>
          <cell r="CY109">
            <v>0</v>
          </cell>
        </row>
        <row r="110">
          <cell r="A110">
            <v>36569.9375</v>
          </cell>
          <cell r="B110">
            <v>97.92385540666875</v>
          </cell>
          <cell r="C110">
            <v>104.75660109289616</v>
          </cell>
          <cell r="D110">
            <v>107.85229606299215</v>
          </cell>
          <cell r="E110">
            <v>106.7131419047619</v>
          </cell>
          <cell r="F110">
            <v>104.74207207207208</v>
          </cell>
          <cell r="G110">
            <v>94.256778042959425</v>
          </cell>
          <cell r="H110">
            <v>103.99810918432883</v>
          </cell>
          <cell r="I110">
            <v>116.07536842105263</v>
          </cell>
          <cell r="J110">
            <v>103.36697967479675</v>
          </cell>
          <cell r="K110">
            <v>109.18</v>
          </cell>
          <cell r="L110">
            <v>121.15117469879517</v>
          </cell>
          <cell r="M110">
            <v>117.71332723112128</v>
          </cell>
          <cell r="N110">
            <v>104.8</v>
          </cell>
          <cell r="R110">
            <v>74</v>
          </cell>
          <cell r="T110">
            <v>36569.9375</v>
          </cell>
          <cell r="U110">
            <v>400.3</v>
          </cell>
          <cell r="V110">
            <v>140.19999999999999</v>
          </cell>
          <cell r="W110">
            <v>328.7</v>
          </cell>
          <cell r="X110">
            <v>13</v>
          </cell>
          <cell r="Y110">
            <v>130.80000000000001</v>
          </cell>
          <cell r="Z110">
            <v>135.19999999999999</v>
          </cell>
          <cell r="AA110">
            <v>130.30000000000001</v>
          </cell>
          <cell r="AB110">
            <v>29.7</v>
          </cell>
          <cell r="AC110">
            <v>188.4</v>
          </cell>
          <cell r="AD110">
            <v>6.8</v>
          </cell>
          <cell r="AE110">
            <v>82.4</v>
          </cell>
          <cell r="AF110">
            <v>71.5</v>
          </cell>
          <cell r="AG110">
            <v>189.2</v>
          </cell>
          <cell r="AH110">
            <v>105.8</v>
          </cell>
          <cell r="AI110">
            <v>171.3</v>
          </cell>
          <cell r="AJ110">
            <v>151.1</v>
          </cell>
          <cell r="AN110">
            <v>74</v>
          </cell>
          <cell r="AP110">
            <v>36569.9375</v>
          </cell>
          <cell r="AQ110">
            <v>667.10826899999995</v>
          </cell>
          <cell r="AR110">
            <v>26.94</v>
          </cell>
          <cell r="AS110">
            <v>1.1783902976846747</v>
          </cell>
          <cell r="AT110">
            <v>10.577072310405644</v>
          </cell>
          <cell r="AU110">
            <v>0.64189226123924248</v>
          </cell>
          <cell r="AV110">
            <v>17.971896766859999</v>
          </cell>
          <cell r="AW110">
            <v>0.78611391169481803</v>
          </cell>
          <cell r="AX110">
            <v>7.0560524000825389</v>
          </cell>
          <cell r="AY110">
            <v>428.21163527980679</v>
          </cell>
          <cell r="AZ110">
            <v>10</v>
          </cell>
          <cell r="BA110">
            <v>10</v>
          </cell>
          <cell r="BB110">
            <v>10</v>
          </cell>
          <cell r="BC110">
            <v>10</v>
          </cell>
          <cell r="BD110">
            <v>10</v>
          </cell>
          <cell r="BE110">
            <v>10</v>
          </cell>
          <cell r="BF110">
            <v>4.3741287961569217E-2</v>
          </cell>
          <cell r="BI110">
            <v>74</v>
          </cell>
          <cell r="BK110">
            <v>36569.9375</v>
          </cell>
          <cell r="CD110">
            <v>0</v>
          </cell>
          <cell r="CF110">
            <v>36569.9375</v>
          </cell>
          <cell r="CG110">
            <v>9.82</v>
          </cell>
          <cell r="CH110">
            <v>12.0833333333333</v>
          </cell>
          <cell r="CI110">
            <v>10.952380952381001</v>
          </cell>
          <cell r="CU110">
            <v>10</v>
          </cell>
          <cell r="CV110">
            <v>10</v>
          </cell>
          <cell r="CY110">
            <v>0</v>
          </cell>
        </row>
        <row r="111">
          <cell r="A111">
            <v>36600.375</v>
          </cell>
          <cell r="B111">
            <v>98.180292302898053</v>
          </cell>
          <cell r="C111">
            <v>104.28537704918031</v>
          </cell>
          <cell r="D111">
            <v>106.5070913385827</v>
          </cell>
          <cell r="E111">
            <v>105.43265999999998</v>
          </cell>
          <cell r="F111">
            <v>104.72622972972972</v>
          </cell>
          <cell r="G111">
            <v>94.256778042959425</v>
          </cell>
          <cell r="H111">
            <v>103.99810918432883</v>
          </cell>
          <cell r="I111">
            <v>116.07536842105263</v>
          </cell>
          <cell r="J111">
            <v>103.3653861788618</v>
          </cell>
          <cell r="K111">
            <v>109.18</v>
          </cell>
          <cell r="L111">
            <v>120.89343373493976</v>
          </cell>
          <cell r="M111">
            <v>117.71332723112128</v>
          </cell>
          <cell r="N111">
            <v>104.601</v>
          </cell>
          <cell r="R111">
            <v>75</v>
          </cell>
          <cell r="T111">
            <v>36600.375</v>
          </cell>
          <cell r="U111">
            <v>333.4</v>
          </cell>
          <cell r="V111">
            <v>105.4</v>
          </cell>
          <cell r="W111">
            <v>274.7</v>
          </cell>
          <cell r="X111">
            <v>0</v>
          </cell>
          <cell r="Y111">
            <v>124.7</v>
          </cell>
          <cell r="Z111">
            <v>192.5</v>
          </cell>
          <cell r="AA111">
            <v>116.7</v>
          </cell>
          <cell r="AB111">
            <v>39.799999999999997</v>
          </cell>
          <cell r="AC111">
            <v>88.4</v>
          </cell>
          <cell r="AD111">
            <v>10.3</v>
          </cell>
          <cell r="AE111">
            <v>86.8</v>
          </cell>
          <cell r="AF111">
            <v>72.7</v>
          </cell>
          <cell r="AG111">
            <v>232</v>
          </cell>
          <cell r="AH111">
            <v>105.3</v>
          </cell>
          <cell r="AI111">
            <v>154.5</v>
          </cell>
          <cell r="AJ111">
            <v>139.30000000000001</v>
          </cell>
          <cell r="AN111">
            <v>75</v>
          </cell>
          <cell r="AP111">
            <v>36600.375</v>
          </cell>
          <cell r="AQ111">
            <v>680.22740899999997</v>
          </cell>
          <cell r="AR111">
            <v>27.49</v>
          </cell>
          <cell r="AS111">
            <v>1.2635060639470781</v>
          </cell>
          <cell r="AT111">
            <v>10.102292768959435</v>
          </cell>
          <cell r="AU111">
            <v>0.62222046889329241</v>
          </cell>
          <cell r="AV111">
            <v>18.699451473409997</v>
          </cell>
          <cell r="AW111">
            <v>0.85947145613450926</v>
          </cell>
          <cell r="AX111">
            <v>6.8718564351887119</v>
          </cell>
          <cell r="AY111">
            <v>423.2514173820494</v>
          </cell>
          <cell r="AZ111">
            <v>10</v>
          </cell>
          <cell r="BA111">
            <v>10</v>
          </cell>
          <cell r="BB111">
            <v>10</v>
          </cell>
          <cell r="BC111">
            <v>10</v>
          </cell>
          <cell r="BD111">
            <v>10</v>
          </cell>
          <cell r="BE111">
            <v>10</v>
          </cell>
          <cell r="BF111">
            <v>4.596238864849321E-2</v>
          </cell>
          <cell r="BI111">
            <v>75</v>
          </cell>
          <cell r="BK111">
            <v>36600.375</v>
          </cell>
          <cell r="CD111">
            <v>0</v>
          </cell>
          <cell r="CF111">
            <v>36600.375</v>
          </cell>
          <cell r="CG111">
            <v>9.82</v>
          </cell>
          <cell r="CH111">
            <v>12.0833333333333</v>
          </cell>
          <cell r="CI111">
            <v>10.952380952381001</v>
          </cell>
          <cell r="CU111">
            <v>10</v>
          </cell>
          <cell r="CV111">
            <v>10</v>
          </cell>
          <cell r="CY111">
            <v>0</v>
          </cell>
        </row>
        <row r="112">
          <cell r="A112">
            <v>36630.8125</v>
          </cell>
          <cell r="B112">
            <v>98.557816453723916</v>
          </cell>
          <cell r="C112">
            <v>104.62376502732241</v>
          </cell>
          <cell r="D112">
            <v>106.5070913385827</v>
          </cell>
          <cell r="E112">
            <v>104.03923142857143</v>
          </cell>
          <cell r="F112">
            <v>104.73931681681682</v>
          </cell>
          <cell r="G112">
            <v>94.571298329355599</v>
          </cell>
          <cell r="H112">
            <v>103.58633782915862</v>
          </cell>
          <cell r="I112">
            <v>116.07536842105263</v>
          </cell>
          <cell r="J112">
            <v>103.3653861788618</v>
          </cell>
          <cell r="K112">
            <v>109.18</v>
          </cell>
          <cell r="L112">
            <v>121.0932329317269</v>
          </cell>
          <cell r="M112">
            <v>117.71332723112128</v>
          </cell>
          <cell r="N112">
            <v>104.55200000000001</v>
          </cell>
          <cell r="R112">
            <v>76</v>
          </cell>
          <cell r="T112">
            <v>36630.8125</v>
          </cell>
          <cell r="U112">
            <v>0</v>
          </cell>
          <cell r="V112">
            <v>98.7</v>
          </cell>
          <cell r="W112">
            <v>0.9</v>
          </cell>
          <cell r="X112">
            <v>0</v>
          </cell>
          <cell r="Y112">
            <v>125.3</v>
          </cell>
          <cell r="Z112">
            <v>194.8</v>
          </cell>
          <cell r="AA112">
            <v>117.2</v>
          </cell>
          <cell r="AB112">
            <v>41.2</v>
          </cell>
          <cell r="AC112">
            <v>73.8</v>
          </cell>
          <cell r="AD112">
            <v>4.7</v>
          </cell>
          <cell r="AE112">
            <v>89.6</v>
          </cell>
          <cell r="AF112">
            <v>74.8</v>
          </cell>
          <cell r="AG112">
            <v>246.1</v>
          </cell>
          <cell r="AH112">
            <v>78.3</v>
          </cell>
          <cell r="AI112">
            <v>98.3</v>
          </cell>
          <cell r="AJ112">
            <v>92.1</v>
          </cell>
          <cell r="AN112">
            <v>76</v>
          </cell>
          <cell r="AP112">
            <v>36630.8125</v>
          </cell>
          <cell r="AQ112">
            <v>692.95297479999999</v>
          </cell>
          <cell r="AR112">
            <v>23.63</v>
          </cell>
          <cell r="AS112">
            <v>1.2959206174200661</v>
          </cell>
          <cell r="AT112">
            <v>9.864197530864196</v>
          </cell>
          <cell r="AU112">
            <v>0.5854300131639546</v>
          </cell>
          <cell r="AV112">
            <v>16.374478794523998</v>
          </cell>
          <cell r="AW112">
            <v>0.89801204694588754</v>
          </cell>
          <cell r="AX112">
            <v>6.8354250230271587</v>
          </cell>
          <cell r="AY112">
            <v>405.67546915916552</v>
          </cell>
          <cell r="AZ112">
            <v>10</v>
          </cell>
          <cell r="BA112">
            <v>10</v>
          </cell>
          <cell r="BB112">
            <v>10</v>
          </cell>
          <cell r="BC112">
            <v>10</v>
          </cell>
          <cell r="BD112">
            <v>10</v>
          </cell>
          <cell r="BE112">
            <v>10</v>
          </cell>
          <cell r="BF112">
            <v>5.4842175938216942E-2</v>
          </cell>
          <cell r="BI112">
            <v>76</v>
          </cell>
          <cell r="BK112">
            <v>36630.8125</v>
          </cell>
          <cell r="CD112">
            <v>0</v>
          </cell>
          <cell r="CF112">
            <v>36630.8125</v>
          </cell>
          <cell r="CG112">
            <v>9.82</v>
          </cell>
          <cell r="CH112">
            <v>12.0833333333333</v>
          </cell>
          <cell r="CI112">
            <v>10.952380952381001</v>
          </cell>
          <cell r="CU112">
            <v>10</v>
          </cell>
          <cell r="CV112">
            <v>10</v>
          </cell>
          <cell r="CY112">
            <v>0</v>
          </cell>
        </row>
        <row r="113">
          <cell r="A113">
            <v>36661.25</v>
          </cell>
          <cell r="B113">
            <v>103.40272826425677</v>
          </cell>
          <cell r="C113">
            <v>111.57350819672129</v>
          </cell>
          <cell r="D113">
            <v>106.71267086614174</v>
          </cell>
          <cell r="E113">
            <v>104.68773142857141</v>
          </cell>
          <cell r="F113">
            <v>104.85674624624623</v>
          </cell>
          <cell r="G113">
            <v>94.866138424820988</v>
          </cell>
          <cell r="H113">
            <v>105.15607835581245</v>
          </cell>
          <cell r="I113">
            <v>179.62810526315789</v>
          </cell>
          <cell r="J113">
            <v>103.37773577235774</v>
          </cell>
          <cell r="K113">
            <v>109.18</v>
          </cell>
          <cell r="L113">
            <v>121.13019578313252</v>
          </cell>
          <cell r="M113">
            <v>117.69045766590389</v>
          </cell>
          <cell r="N113">
            <v>107.747</v>
          </cell>
          <cell r="R113">
            <v>77</v>
          </cell>
          <cell r="T113">
            <v>36661.25</v>
          </cell>
          <cell r="U113">
            <v>0</v>
          </cell>
          <cell r="V113">
            <v>96</v>
          </cell>
          <cell r="W113">
            <v>0.9</v>
          </cell>
          <cell r="X113">
            <v>0</v>
          </cell>
          <cell r="Y113">
            <v>125.2</v>
          </cell>
          <cell r="Z113">
            <v>222.8</v>
          </cell>
          <cell r="AA113">
            <v>113.8</v>
          </cell>
          <cell r="AB113">
            <v>26.3</v>
          </cell>
          <cell r="AC113">
            <v>60.5</v>
          </cell>
          <cell r="AD113">
            <v>4.9000000000000004</v>
          </cell>
          <cell r="AE113">
            <v>97</v>
          </cell>
          <cell r="AF113">
            <v>86.6</v>
          </cell>
          <cell r="AG113">
            <v>242.3</v>
          </cell>
          <cell r="AH113">
            <v>39.299999999999997</v>
          </cell>
          <cell r="AI113">
            <v>98.2</v>
          </cell>
          <cell r="AJ113">
            <v>80</v>
          </cell>
          <cell r="AN113">
            <v>77</v>
          </cell>
          <cell r="AP113">
            <v>36661.25</v>
          </cell>
          <cell r="AQ113">
            <v>724.17652800000008</v>
          </cell>
          <cell r="AR113">
            <v>27.16</v>
          </cell>
          <cell r="AS113">
            <v>1.3340683572216097</v>
          </cell>
          <cell r="AT113">
            <v>9.7026455026455025</v>
          </cell>
          <cell r="AU113">
            <v>0.59004912693913103</v>
          </cell>
          <cell r="AV113">
            <v>19.668634500480003</v>
          </cell>
          <cell r="AW113">
            <v>0.9661009910474091</v>
          </cell>
          <cell r="AX113">
            <v>7.0264281325206355</v>
          </cell>
          <cell r="AY113">
            <v>427.2997280962112</v>
          </cell>
          <cell r="AZ113">
            <v>10</v>
          </cell>
          <cell r="BA113">
            <v>10</v>
          </cell>
          <cell r="BB113">
            <v>10</v>
          </cell>
          <cell r="BC113">
            <v>10</v>
          </cell>
          <cell r="BD113">
            <v>10</v>
          </cell>
          <cell r="BE113">
            <v>10</v>
          </cell>
          <cell r="BF113">
            <v>4.9118864404330248E-2</v>
          </cell>
          <cell r="BI113">
            <v>77</v>
          </cell>
          <cell r="BK113">
            <v>36661.25</v>
          </cell>
          <cell r="CD113">
            <v>0</v>
          </cell>
          <cell r="CF113">
            <v>36661.25</v>
          </cell>
          <cell r="CG113">
            <v>9.82</v>
          </cell>
          <cell r="CH113">
            <v>12.0833333333333</v>
          </cell>
          <cell r="CI113">
            <v>10.952380952381001</v>
          </cell>
          <cell r="CU113">
            <v>10</v>
          </cell>
          <cell r="CV113">
            <v>10</v>
          </cell>
          <cell r="CY113">
            <v>0</v>
          </cell>
        </row>
        <row r="114">
          <cell r="A114">
            <v>36691.6875</v>
          </cell>
          <cell r="B114">
            <v>106.27504643191024</v>
          </cell>
          <cell r="C114">
            <v>117.64645901639344</v>
          </cell>
          <cell r="D114">
            <v>106.70622677165356</v>
          </cell>
          <cell r="E114">
            <v>105.09896952380953</v>
          </cell>
          <cell r="F114">
            <v>104.97927477477479</v>
          </cell>
          <cell r="G114">
            <v>94.866138424820988</v>
          </cell>
          <cell r="H114">
            <v>105.1816814386641</v>
          </cell>
          <cell r="I114">
            <v>179.62810526315789</v>
          </cell>
          <cell r="J114">
            <v>103.37773577235774</v>
          </cell>
          <cell r="K114">
            <v>109.18</v>
          </cell>
          <cell r="L114">
            <v>120.99640963855423</v>
          </cell>
          <cell r="M114">
            <v>117.74412585812358</v>
          </cell>
          <cell r="N114">
            <v>108.384</v>
          </cell>
          <cell r="R114">
            <v>78</v>
          </cell>
          <cell r="T114">
            <v>36691.6875</v>
          </cell>
          <cell r="U114">
            <v>0</v>
          </cell>
          <cell r="V114">
            <v>83.1</v>
          </cell>
          <cell r="W114">
            <v>0.5</v>
          </cell>
          <cell r="X114">
            <v>0</v>
          </cell>
          <cell r="Y114">
            <v>107.5</v>
          </cell>
          <cell r="Z114">
            <v>203.6</v>
          </cell>
          <cell r="AA114">
            <v>96.2</v>
          </cell>
          <cell r="AB114">
            <v>18.100000000000001</v>
          </cell>
          <cell r="AC114">
            <v>48.9</v>
          </cell>
          <cell r="AD114">
            <v>2.7</v>
          </cell>
          <cell r="AE114">
            <v>86.1</v>
          </cell>
          <cell r="AF114">
            <v>54.8</v>
          </cell>
          <cell r="AG114">
            <v>212.8</v>
          </cell>
          <cell r="AH114">
            <v>110.7</v>
          </cell>
          <cell r="AI114">
            <v>84.3</v>
          </cell>
          <cell r="AJ114">
            <v>92.4</v>
          </cell>
          <cell r="AN114">
            <v>78</v>
          </cell>
          <cell r="AP114">
            <v>36691.6875</v>
          </cell>
          <cell r="AQ114">
            <v>691.1818909000001</v>
          </cell>
          <cell r="AR114">
            <v>29.62</v>
          </cell>
          <cell r="AS114">
            <v>1.3113561190738698</v>
          </cell>
          <cell r="AT114">
            <v>10.078659611992945</v>
          </cell>
          <cell r="AU114">
            <v>0.58050394085779022</v>
          </cell>
          <cell r="AV114">
            <v>20.472807608458002</v>
          </cell>
          <cell r="AW114">
            <v>0.90638560202476304</v>
          </cell>
          <cell r="AX114">
            <v>6.9661870083547459</v>
          </cell>
          <cell r="AY114">
            <v>401.23381151698925</v>
          </cell>
          <cell r="AZ114">
            <v>10</v>
          </cell>
          <cell r="BA114">
            <v>10</v>
          </cell>
          <cell r="BB114">
            <v>10</v>
          </cell>
          <cell r="BC114">
            <v>10</v>
          </cell>
          <cell r="BD114">
            <v>10</v>
          </cell>
          <cell r="BE114">
            <v>10</v>
          </cell>
          <cell r="BF114">
            <v>4.4272657632473664E-2</v>
          </cell>
          <cell r="BI114">
            <v>78</v>
          </cell>
          <cell r="BK114">
            <v>36691.6875</v>
          </cell>
          <cell r="CD114">
            <v>0</v>
          </cell>
          <cell r="CF114">
            <v>36691.6875</v>
          </cell>
          <cell r="CG114">
            <v>9.82</v>
          </cell>
          <cell r="CH114">
            <v>12.0833333333333</v>
          </cell>
          <cell r="CI114">
            <v>10.952380952381001</v>
          </cell>
          <cell r="CU114">
            <v>10</v>
          </cell>
          <cell r="CV114">
            <v>10</v>
          </cell>
          <cell r="CY114">
            <v>0</v>
          </cell>
        </row>
        <row r="115">
          <cell r="A115">
            <v>36722.125</v>
          </cell>
          <cell r="B115">
            <v>102.63056310377063</v>
          </cell>
          <cell r="C115">
            <v>117.16476502732239</v>
          </cell>
          <cell r="D115">
            <v>106.70622677165356</v>
          </cell>
          <cell r="E115">
            <v>104.12588190476191</v>
          </cell>
          <cell r="F115">
            <v>104.97927477477479</v>
          </cell>
          <cell r="G115">
            <v>94.866138424820988</v>
          </cell>
          <cell r="H115">
            <v>105.1816814386641</v>
          </cell>
          <cell r="I115">
            <v>179.62810526315789</v>
          </cell>
          <cell r="J115">
            <v>103.39367073170732</v>
          </cell>
          <cell r="K115">
            <v>109.18</v>
          </cell>
          <cell r="L115">
            <v>120.85155522088354</v>
          </cell>
          <cell r="M115">
            <v>117.74412585812358</v>
          </cell>
          <cell r="N115">
            <v>107.09</v>
          </cell>
          <cell r="R115">
            <v>79</v>
          </cell>
          <cell r="T115">
            <v>36722.125</v>
          </cell>
          <cell r="U115">
            <v>0</v>
          </cell>
          <cell r="V115">
            <v>84.8</v>
          </cell>
          <cell r="W115">
            <v>0</v>
          </cell>
          <cell r="X115">
            <v>0</v>
          </cell>
          <cell r="Y115">
            <v>102.8</v>
          </cell>
          <cell r="Z115">
            <v>211.8</v>
          </cell>
          <cell r="AA115">
            <v>90</v>
          </cell>
          <cell r="AB115">
            <v>8.6999999999999993</v>
          </cell>
          <cell r="AC115">
            <v>51.8</v>
          </cell>
          <cell r="AD115">
            <v>0</v>
          </cell>
          <cell r="AE115">
            <v>83.5</v>
          </cell>
          <cell r="AF115">
            <v>50.1</v>
          </cell>
          <cell r="AG115">
            <v>194.7</v>
          </cell>
          <cell r="AH115">
            <v>68.7</v>
          </cell>
          <cell r="AI115">
            <v>80.599999999999994</v>
          </cell>
          <cell r="AJ115">
            <v>76.900000000000006</v>
          </cell>
          <cell r="AN115">
            <v>79</v>
          </cell>
          <cell r="AP115">
            <v>36722.125</v>
          </cell>
          <cell r="AQ115">
            <v>698.2006308</v>
          </cell>
          <cell r="AR115">
            <v>27.93</v>
          </cell>
          <cell r="AS115">
            <v>1.2875413450937154</v>
          </cell>
          <cell r="AT115">
            <v>9.932627865961198</v>
          </cell>
          <cell r="AU115">
            <v>0.57731097650865626</v>
          </cell>
          <cell r="AV115">
            <v>19.500743618243998</v>
          </cell>
          <cell r="AW115">
            <v>0.89896217932551259</v>
          </cell>
          <cell r="AX115">
            <v>6.9349670415157663</v>
          </cell>
          <cell r="AY115">
            <v>403.0788879661078</v>
          </cell>
          <cell r="AZ115">
            <v>10</v>
          </cell>
          <cell r="BA115">
            <v>10</v>
          </cell>
          <cell r="BB115">
            <v>10</v>
          </cell>
          <cell r="BC115">
            <v>10</v>
          </cell>
          <cell r="BD115">
            <v>10</v>
          </cell>
          <cell r="BE115">
            <v>10</v>
          </cell>
          <cell r="BF115">
            <v>4.6098866634218243E-2</v>
          </cell>
          <cell r="BI115">
            <v>79</v>
          </cell>
          <cell r="BK115">
            <v>36722.125</v>
          </cell>
          <cell r="CD115">
            <v>0</v>
          </cell>
          <cell r="CF115">
            <v>36722.125</v>
          </cell>
          <cell r="CG115">
            <v>9.82</v>
          </cell>
          <cell r="CH115">
            <v>12.0833333333333</v>
          </cell>
          <cell r="CI115">
            <v>10.952380952381001</v>
          </cell>
          <cell r="CU115">
            <v>10</v>
          </cell>
          <cell r="CV115">
            <v>10</v>
          </cell>
          <cell r="CY115">
            <v>0</v>
          </cell>
        </row>
        <row r="116">
          <cell r="A116">
            <v>36752.5625</v>
          </cell>
          <cell r="B116">
            <v>100.4683957619196</v>
          </cell>
          <cell r="C116">
            <v>124.79536612021856</v>
          </cell>
          <cell r="D116">
            <v>106.70622677165356</v>
          </cell>
          <cell r="E116">
            <v>104.54254857142858</v>
          </cell>
          <cell r="F116">
            <v>104.97927477477479</v>
          </cell>
          <cell r="G116">
            <v>94.884040572792358</v>
          </cell>
          <cell r="H116">
            <v>107.89201477199742</v>
          </cell>
          <cell r="I116">
            <v>179.62810526315789</v>
          </cell>
          <cell r="J116">
            <v>103.39367073170732</v>
          </cell>
          <cell r="K116">
            <v>110.42100000000001</v>
          </cell>
          <cell r="L116">
            <v>121.28511947791165</v>
          </cell>
          <cell r="M116">
            <v>117.65829977116705</v>
          </cell>
          <cell r="N116">
            <v>108.42100000000001</v>
          </cell>
          <cell r="R116">
            <v>80</v>
          </cell>
          <cell r="T116">
            <v>36752.5625</v>
          </cell>
          <cell r="U116">
            <v>0</v>
          </cell>
          <cell r="V116">
            <v>91</v>
          </cell>
          <cell r="W116">
            <v>0</v>
          </cell>
          <cell r="X116">
            <v>0</v>
          </cell>
          <cell r="Y116">
            <v>96.7</v>
          </cell>
          <cell r="Z116">
            <v>182.8</v>
          </cell>
          <cell r="AA116">
            <v>86.6</v>
          </cell>
          <cell r="AB116">
            <v>19.3</v>
          </cell>
          <cell r="AC116">
            <v>74.099999999999994</v>
          </cell>
          <cell r="AD116">
            <v>0</v>
          </cell>
          <cell r="AE116">
            <v>48</v>
          </cell>
          <cell r="AF116">
            <v>39.4</v>
          </cell>
          <cell r="AG116">
            <v>186.3</v>
          </cell>
          <cell r="AH116">
            <v>63.6</v>
          </cell>
          <cell r="AI116">
            <v>75.8</v>
          </cell>
          <cell r="AJ116">
            <v>72.099999999999994</v>
          </cell>
          <cell r="AN116">
            <v>80</v>
          </cell>
          <cell r="AP116">
            <v>36752.5625</v>
          </cell>
          <cell r="AQ116">
            <v>725.63</v>
          </cell>
          <cell r="AR116">
            <v>29.38</v>
          </cell>
          <cell r="AS116">
            <v>1.3426681367144433</v>
          </cell>
          <cell r="AT116">
            <v>9.6800705467372143</v>
          </cell>
          <cell r="AU116">
            <v>0.56090581727836375</v>
          </cell>
          <cell r="AV116">
            <v>21.319009399999999</v>
          </cell>
          <cell r="AW116">
            <v>0.9742802800441015</v>
          </cell>
          <cell r="AX116">
            <v>7.024149590828924</v>
          </cell>
          <cell r="AY116">
            <v>407.01008819169908</v>
          </cell>
          <cell r="AZ116">
            <v>10</v>
          </cell>
          <cell r="BA116">
            <v>10</v>
          </cell>
          <cell r="BB116">
            <v>10</v>
          </cell>
          <cell r="BC116">
            <v>10</v>
          </cell>
          <cell r="BD116">
            <v>10</v>
          </cell>
          <cell r="BE116">
            <v>10</v>
          </cell>
          <cell r="BF116">
            <v>4.5700072726836058E-2</v>
          </cell>
          <cell r="BI116">
            <v>80</v>
          </cell>
          <cell r="BK116">
            <v>36752.5625</v>
          </cell>
          <cell r="CD116">
            <v>0</v>
          </cell>
          <cell r="CF116">
            <v>36752.5625</v>
          </cell>
          <cell r="CG116">
            <v>9.82</v>
          </cell>
          <cell r="CH116">
            <v>12.0833333333333</v>
          </cell>
          <cell r="CI116">
            <v>10.952380952381001</v>
          </cell>
          <cell r="CU116">
            <v>10</v>
          </cell>
          <cell r="CV116">
            <v>10</v>
          </cell>
          <cell r="CY116">
            <v>0</v>
          </cell>
        </row>
        <row r="117">
          <cell r="A117">
            <v>36783</v>
          </cell>
          <cell r="B117">
            <v>96.595540043627295</v>
          </cell>
          <cell r="C117">
            <v>141.57337158469946</v>
          </cell>
          <cell r="D117">
            <v>106.70622677165356</v>
          </cell>
          <cell r="E117">
            <v>104.10752000000001</v>
          </cell>
          <cell r="F117">
            <v>104.72715165165164</v>
          </cell>
          <cell r="G117">
            <v>98.260389021479696</v>
          </cell>
          <cell r="H117">
            <v>108.03203018625562</v>
          </cell>
          <cell r="I117">
            <v>179.62810526315789</v>
          </cell>
          <cell r="J117">
            <v>103.38769512195124</v>
          </cell>
          <cell r="K117">
            <v>110.42100000000001</v>
          </cell>
          <cell r="L117">
            <v>120.4169919678715</v>
          </cell>
          <cell r="M117">
            <v>117.65829977116705</v>
          </cell>
          <cell r="N117">
            <v>106.15</v>
          </cell>
          <cell r="R117">
            <v>81</v>
          </cell>
          <cell r="T117">
            <v>36783</v>
          </cell>
          <cell r="U117">
            <v>0</v>
          </cell>
          <cell r="V117">
            <v>93.9</v>
          </cell>
          <cell r="W117">
            <v>0</v>
          </cell>
          <cell r="X117">
            <v>0</v>
          </cell>
          <cell r="Y117">
            <v>106.5</v>
          </cell>
          <cell r="Z117">
            <v>161</v>
          </cell>
          <cell r="AA117">
            <v>100.1</v>
          </cell>
          <cell r="AB117">
            <v>23.5</v>
          </cell>
          <cell r="AC117">
            <v>89</v>
          </cell>
          <cell r="AD117">
            <v>0</v>
          </cell>
          <cell r="AE117">
            <v>63.2</v>
          </cell>
          <cell r="AF117">
            <v>57.3</v>
          </cell>
          <cell r="AG117">
            <v>201.4</v>
          </cell>
          <cell r="AH117">
            <v>49.3</v>
          </cell>
          <cell r="AI117">
            <v>83.5</v>
          </cell>
          <cell r="AJ117">
            <v>73</v>
          </cell>
          <cell r="AN117">
            <v>81</v>
          </cell>
          <cell r="AP117">
            <v>36783</v>
          </cell>
          <cell r="AQ117">
            <v>752.31708329999992</v>
          </cell>
          <cell r="AR117">
            <v>32.08</v>
          </cell>
          <cell r="AS117">
            <v>1.3592061742006616</v>
          </cell>
          <cell r="AT117">
            <v>9.6483245149911792</v>
          </cell>
          <cell r="AU117">
            <v>0.571007786073915</v>
          </cell>
          <cell r="AV117">
            <v>24.134332032263995</v>
          </cell>
          <cell r="AW117">
            <v>1.0225540245779934</v>
          </cell>
          <cell r="AX117">
            <v>7.2585993578500503</v>
          </cell>
          <cell r="AY117">
            <v>429.57891216071806</v>
          </cell>
          <cell r="AZ117">
            <v>10</v>
          </cell>
          <cell r="BA117">
            <v>10</v>
          </cell>
          <cell r="BB117">
            <v>10</v>
          </cell>
          <cell r="BC117">
            <v>10</v>
          </cell>
          <cell r="BD117">
            <v>10</v>
          </cell>
          <cell r="BE117">
            <v>10</v>
          </cell>
          <cell r="BF117">
            <v>4.2369269769347316E-2</v>
          </cell>
          <cell r="BI117">
            <v>81</v>
          </cell>
          <cell r="BK117">
            <v>36783</v>
          </cell>
          <cell r="CD117">
            <v>0</v>
          </cell>
          <cell r="CF117">
            <v>36783</v>
          </cell>
          <cell r="CG117">
            <v>9.82</v>
          </cell>
          <cell r="CH117">
            <v>12.0833333333333</v>
          </cell>
          <cell r="CI117">
            <v>10.952380952381001</v>
          </cell>
          <cell r="CU117">
            <v>10</v>
          </cell>
          <cell r="CV117">
            <v>10</v>
          </cell>
          <cell r="CY117">
            <v>0</v>
          </cell>
        </row>
        <row r="118">
          <cell r="A118">
            <v>36813.4375</v>
          </cell>
          <cell r="B118">
            <v>99.553585852290425</v>
          </cell>
          <cell r="C118">
            <v>140.16093989071038</v>
          </cell>
          <cell r="D118">
            <v>106.70622677165356</v>
          </cell>
          <cell r="E118">
            <v>102.94494761904762</v>
          </cell>
          <cell r="F118">
            <v>104.69791741741741</v>
          </cell>
          <cell r="G118">
            <v>93.336307875894988</v>
          </cell>
          <cell r="H118">
            <v>108.93703982016699</v>
          </cell>
          <cell r="I118">
            <v>179.62810526315789</v>
          </cell>
          <cell r="J118">
            <v>103.38769512195124</v>
          </cell>
          <cell r="K118">
            <v>110.42100000000001</v>
          </cell>
          <cell r="L118">
            <v>120.61379417670682</v>
          </cell>
          <cell r="M118">
            <v>117.65829977116705</v>
          </cell>
          <cell r="N118">
            <v>106.90300000000001</v>
          </cell>
          <cell r="R118">
            <v>82</v>
          </cell>
          <cell r="T118">
            <v>36813.4375</v>
          </cell>
          <cell r="U118">
            <v>0</v>
          </cell>
          <cell r="V118">
            <v>65.3</v>
          </cell>
          <cell r="W118">
            <v>0</v>
          </cell>
          <cell r="X118">
            <v>0</v>
          </cell>
          <cell r="Y118">
            <v>87.9</v>
          </cell>
          <cell r="Z118">
            <v>204.9</v>
          </cell>
          <cell r="AA118">
            <v>74.099999999999994</v>
          </cell>
          <cell r="AB118">
            <v>9.4</v>
          </cell>
          <cell r="AC118">
            <v>17.7</v>
          </cell>
          <cell r="AD118">
            <v>0</v>
          </cell>
          <cell r="AE118">
            <v>52.1</v>
          </cell>
          <cell r="AF118">
            <v>62.7</v>
          </cell>
          <cell r="AG118">
            <v>188.7</v>
          </cell>
          <cell r="AH118">
            <v>0</v>
          </cell>
          <cell r="AI118">
            <v>68.900000000000006</v>
          </cell>
          <cell r="AJ118">
            <v>47.6</v>
          </cell>
          <cell r="AN118">
            <v>82</v>
          </cell>
          <cell r="AP118">
            <v>36813.4375</v>
          </cell>
          <cell r="AQ118">
            <v>767.33849859999998</v>
          </cell>
          <cell r="AR118">
            <v>31.4</v>
          </cell>
          <cell r="AS118">
            <v>1.3426681367144433</v>
          </cell>
          <cell r="AT118">
            <v>9.5238095238095237</v>
          </cell>
          <cell r="AU118">
            <v>0.55104299532665457</v>
          </cell>
          <cell r="AV118">
            <v>24.094428856039997</v>
          </cell>
          <cell r="AW118">
            <v>1.0302809521445204</v>
          </cell>
          <cell r="AX118">
            <v>7.3079857009523801</v>
          </cell>
          <cell r="AY118">
            <v>422.83650469800193</v>
          </cell>
          <cell r="AZ118">
            <v>10</v>
          </cell>
          <cell r="BA118">
            <v>10</v>
          </cell>
          <cell r="BB118">
            <v>10</v>
          </cell>
          <cell r="BC118">
            <v>10</v>
          </cell>
          <cell r="BD118">
            <v>10</v>
          </cell>
          <cell r="BE118">
            <v>10</v>
          </cell>
          <cell r="BF118">
            <v>4.2760131742498202E-2</v>
          </cell>
          <cell r="BI118">
            <v>82</v>
          </cell>
          <cell r="BK118">
            <v>36813.4375</v>
          </cell>
          <cell r="CD118">
            <v>0</v>
          </cell>
          <cell r="CF118">
            <v>36813.4375</v>
          </cell>
          <cell r="CG118">
            <v>9.82</v>
          </cell>
          <cell r="CH118">
            <v>12.0833333333333</v>
          </cell>
          <cell r="CI118">
            <v>10.952380952381001</v>
          </cell>
          <cell r="CU118">
            <v>10</v>
          </cell>
          <cell r="CV118">
            <v>10</v>
          </cell>
          <cell r="CY118">
            <v>0</v>
          </cell>
        </row>
        <row r="119">
          <cell r="A119">
            <v>36843.875</v>
          </cell>
          <cell r="B119">
            <v>98.940351199750694</v>
          </cell>
          <cell r="C119">
            <v>125.54961202185791</v>
          </cell>
          <cell r="D119">
            <v>106.70622677165356</v>
          </cell>
          <cell r="E119">
            <v>101.65819809523811</v>
          </cell>
          <cell r="F119">
            <v>104.78446096096096</v>
          </cell>
          <cell r="G119">
            <v>93.374663484486888</v>
          </cell>
          <cell r="H119">
            <v>115.92059666024404</v>
          </cell>
          <cell r="I119">
            <v>179.62810526315789</v>
          </cell>
          <cell r="J119">
            <v>103.38769512195124</v>
          </cell>
          <cell r="K119">
            <v>110.42100000000001</v>
          </cell>
          <cell r="L119">
            <v>124.08830220883534</v>
          </cell>
          <cell r="M119">
            <v>117.71302517162471</v>
          </cell>
          <cell r="N119">
            <v>107.747</v>
          </cell>
          <cell r="R119">
            <v>83</v>
          </cell>
          <cell r="T119">
            <v>36843.875</v>
          </cell>
          <cell r="U119">
            <v>101.6</v>
          </cell>
          <cell r="V119">
            <v>117.1</v>
          </cell>
          <cell r="W119">
            <v>83.1</v>
          </cell>
          <cell r="X119">
            <v>0</v>
          </cell>
          <cell r="Y119">
            <v>106.4</v>
          </cell>
          <cell r="Z119">
            <v>212.1</v>
          </cell>
          <cell r="AA119">
            <v>94</v>
          </cell>
          <cell r="AB119">
            <v>30.5</v>
          </cell>
          <cell r="AC119">
            <v>104.8</v>
          </cell>
          <cell r="AD119">
            <v>0</v>
          </cell>
          <cell r="AE119">
            <v>53.9</v>
          </cell>
          <cell r="AF119">
            <v>53.1</v>
          </cell>
          <cell r="AG119">
            <v>169.1</v>
          </cell>
          <cell r="AH119">
            <v>0</v>
          </cell>
          <cell r="AI119">
            <v>100.7</v>
          </cell>
          <cell r="AJ119">
            <v>69.599999999999994</v>
          </cell>
          <cell r="AN119">
            <v>83</v>
          </cell>
          <cell r="AP119">
            <v>36843.875</v>
          </cell>
          <cell r="AQ119">
            <v>766</v>
          </cell>
          <cell r="AR119">
            <v>32.299999999999997</v>
          </cell>
          <cell r="AS119">
            <v>1.4108048511576625</v>
          </cell>
          <cell r="AT119">
            <v>9.3834215167548507</v>
          </cell>
          <cell r="AU119">
            <v>0.49530806190444204</v>
          </cell>
          <cell r="AV119">
            <v>24.741799999999998</v>
          </cell>
          <cell r="AW119">
            <v>1.0806765159867695</v>
          </cell>
          <cell r="AX119">
            <v>7.1877008818342158</v>
          </cell>
          <cell r="AY119">
            <v>379.4059754188026</v>
          </cell>
          <cell r="AZ119">
            <v>10</v>
          </cell>
          <cell r="BA119">
            <v>10</v>
          </cell>
          <cell r="BB119">
            <v>10</v>
          </cell>
          <cell r="BC119">
            <v>10</v>
          </cell>
          <cell r="BD119">
            <v>10</v>
          </cell>
          <cell r="BE119">
            <v>10</v>
          </cell>
          <cell r="BF119">
            <v>4.3678168766491103E-2</v>
          </cell>
          <cell r="BI119">
            <v>83</v>
          </cell>
          <cell r="BK119">
            <v>36843.875</v>
          </cell>
          <cell r="CD119">
            <v>0</v>
          </cell>
          <cell r="CF119">
            <v>36843.875</v>
          </cell>
          <cell r="CG119">
            <v>9.82</v>
          </cell>
          <cell r="CH119">
            <v>12.0833333333333</v>
          </cell>
          <cell r="CI119">
            <v>10.952380952381001</v>
          </cell>
          <cell r="CU119">
            <v>10</v>
          </cell>
          <cell r="CV119">
            <v>10</v>
          </cell>
          <cell r="CY119">
            <v>0</v>
          </cell>
        </row>
        <row r="120">
          <cell r="A120">
            <v>36874.3125</v>
          </cell>
          <cell r="B120">
            <v>100.78023932689314</v>
          </cell>
          <cell r="C120">
            <v>114.73088524590165</v>
          </cell>
          <cell r="D120">
            <v>106.70622677165356</v>
          </cell>
          <cell r="E120">
            <v>102.73305523809523</v>
          </cell>
          <cell r="F120">
            <v>104.74611861861862</v>
          </cell>
          <cell r="G120">
            <v>93.374663484486888</v>
          </cell>
          <cell r="H120">
            <v>116.03800706486834</v>
          </cell>
          <cell r="I120">
            <v>179.62810526315789</v>
          </cell>
          <cell r="J120">
            <v>103.38769512195124</v>
          </cell>
          <cell r="K120">
            <v>110.42100000000001</v>
          </cell>
          <cell r="L120">
            <v>125.61776506024096</v>
          </cell>
          <cell r="M120">
            <v>117.71302517162471</v>
          </cell>
          <cell r="N120">
            <v>108.42</v>
          </cell>
          <cell r="R120">
            <v>84</v>
          </cell>
          <cell r="T120">
            <v>36874.3125</v>
          </cell>
          <cell r="U120">
            <v>365.6</v>
          </cell>
          <cell r="V120">
            <v>179.9</v>
          </cell>
          <cell r="W120">
            <v>299.10000000000002</v>
          </cell>
          <cell r="X120">
            <v>0</v>
          </cell>
          <cell r="Y120">
            <v>143.69999999999999</v>
          </cell>
          <cell r="Z120">
            <v>195.3</v>
          </cell>
          <cell r="AA120">
            <v>137.6</v>
          </cell>
          <cell r="AB120">
            <v>22</v>
          </cell>
          <cell r="AC120">
            <v>237.3</v>
          </cell>
          <cell r="AD120">
            <v>0</v>
          </cell>
          <cell r="AE120">
            <v>73.099999999999994</v>
          </cell>
          <cell r="AF120">
            <v>130.4</v>
          </cell>
          <cell r="AG120">
            <v>155.1</v>
          </cell>
          <cell r="AH120">
            <v>0</v>
          </cell>
          <cell r="AI120">
            <v>174.8</v>
          </cell>
          <cell r="AJ120">
            <v>120.8</v>
          </cell>
          <cell r="AN120">
            <v>84</v>
          </cell>
          <cell r="AP120">
            <v>36874.3125</v>
          </cell>
          <cell r="AQ120">
            <v>731.3</v>
          </cell>
          <cell r="AR120">
            <v>25.3</v>
          </cell>
          <cell r="AS120">
            <v>1.4522601984564498</v>
          </cell>
          <cell r="AT120">
            <v>9.5749559082892404</v>
          </cell>
          <cell r="AU120">
            <v>0.48395774411804127</v>
          </cell>
          <cell r="AV120">
            <v>18.50189</v>
          </cell>
          <cell r="AW120">
            <v>1.0620378831312016</v>
          </cell>
          <cell r="AX120">
            <v>7.0021652557319216</v>
          </cell>
          <cell r="AY120">
            <v>353.91829827352353</v>
          </cell>
          <cell r="AZ120">
            <v>10</v>
          </cell>
          <cell r="BA120">
            <v>10</v>
          </cell>
          <cell r="BB120">
            <v>10</v>
          </cell>
          <cell r="BC120">
            <v>10</v>
          </cell>
          <cell r="BD120">
            <v>10</v>
          </cell>
          <cell r="BE120">
            <v>10</v>
          </cell>
          <cell r="BF120">
            <v>5.740158887179643E-2</v>
          </cell>
          <cell r="BI120">
            <v>84</v>
          </cell>
          <cell r="BK120">
            <v>36874.3125</v>
          </cell>
          <cell r="CD120">
            <v>0</v>
          </cell>
          <cell r="CF120">
            <v>36874.3125</v>
          </cell>
          <cell r="CG120">
            <v>9.82</v>
          </cell>
          <cell r="CH120">
            <v>12.0833333333333</v>
          </cell>
          <cell r="CI120">
            <v>10.952380952381001</v>
          </cell>
          <cell r="CU120">
            <v>10</v>
          </cell>
          <cell r="CV120">
            <v>10</v>
          </cell>
          <cell r="CY120">
            <v>0</v>
          </cell>
        </row>
        <row r="121">
          <cell r="A121">
            <v>36904.75</v>
          </cell>
          <cell r="B121">
            <v>100.75154222499222</v>
          </cell>
          <cell r="C121">
            <v>112.56067213114754</v>
          </cell>
          <cell r="D121">
            <v>106.70622677165356</v>
          </cell>
          <cell r="E121">
            <v>101.66307999999999</v>
          </cell>
          <cell r="F121">
            <v>104.56318168168168</v>
          </cell>
          <cell r="G121">
            <v>95.247288782816227</v>
          </cell>
          <cell r="H121">
            <v>118.80050096339112</v>
          </cell>
          <cell r="I121">
            <v>179.62810526315789</v>
          </cell>
          <cell r="J121">
            <v>103.37255691056912</v>
          </cell>
          <cell r="K121">
            <v>110.42100000000001</v>
          </cell>
          <cell r="L121">
            <v>125.72166064257028</v>
          </cell>
          <cell r="M121">
            <v>117.71302517162471</v>
          </cell>
          <cell r="N121">
            <v>108.765</v>
          </cell>
          <cell r="R121">
            <v>85</v>
          </cell>
          <cell r="T121">
            <v>36904.75</v>
          </cell>
          <cell r="U121">
            <v>412.7</v>
          </cell>
          <cell r="V121">
            <v>183.6</v>
          </cell>
          <cell r="W121">
            <v>337.6</v>
          </cell>
          <cell r="X121">
            <v>0</v>
          </cell>
          <cell r="Y121">
            <v>154</v>
          </cell>
          <cell r="Z121">
            <v>197.9</v>
          </cell>
          <cell r="AA121">
            <v>148.9</v>
          </cell>
          <cell r="AB121">
            <v>38.9</v>
          </cell>
          <cell r="AC121">
            <v>236.1</v>
          </cell>
          <cell r="AD121">
            <v>0</v>
          </cell>
          <cell r="AE121">
            <v>80.900000000000006</v>
          </cell>
          <cell r="AF121">
            <v>78.3</v>
          </cell>
          <cell r="AG121">
            <v>205.9</v>
          </cell>
          <cell r="AH121">
            <v>0</v>
          </cell>
          <cell r="AI121">
            <v>190.9</v>
          </cell>
          <cell r="AJ121">
            <v>0</v>
          </cell>
          <cell r="AN121">
            <v>85</v>
          </cell>
          <cell r="AP121">
            <v>36904.75</v>
          </cell>
          <cell r="AQ121">
            <v>699.3</v>
          </cell>
          <cell r="AR121">
            <v>27.85</v>
          </cell>
          <cell r="AS121">
            <v>1.4152149944873209</v>
          </cell>
          <cell r="AT121">
            <v>9.3647266313932978</v>
          </cell>
          <cell r="AU121">
            <v>0.50645315247690037</v>
          </cell>
          <cell r="AV121">
            <v>19.475505000000002</v>
          </cell>
          <cell r="AW121">
            <v>0.98965984564498344</v>
          </cell>
          <cell r="AX121">
            <v>6.548753333333333</v>
          </cell>
          <cell r="AY121">
            <v>354.1626895270964</v>
          </cell>
          <cell r="AZ121">
            <v>10</v>
          </cell>
          <cell r="BA121">
            <v>10</v>
          </cell>
          <cell r="BB121">
            <v>10</v>
          </cell>
          <cell r="BC121">
            <v>10</v>
          </cell>
          <cell r="BD121">
            <v>10</v>
          </cell>
          <cell r="BE121">
            <v>10</v>
          </cell>
          <cell r="BF121">
            <v>5.0815619191645268E-2</v>
          </cell>
          <cell r="BI121">
            <v>85</v>
          </cell>
          <cell r="BK121">
            <v>36904.75</v>
          </cell>
          <cell r="CD121">
            <v>0</v>
          </cell>
          <cell r="CF121">
            <v>36904.75</v>
          </cell>
          <cell r="CG121">
            <v>9.82</v>
          </cell>
          <cell r="CH121">
            <v>12.0833333333333</v>
          </cell>
          <cell r="CI121">
            <v>10.952380952381001</v>
          </cell>
          <cell r="CU121">
            <v>10</v>
          </cell>
          <cell r="CV121">
            <v>10</v>
          </cell>
          <cell r="CY121">
            <v>0</v>
          </cell>
        </row>
        <row r="122">
          <cell r="A122">
            <v>36935.1875</v>
          </cell>
          <cell r="B122">
            <v>101.19147647242129</v>
          </cell>
          <cell r="C122">
            <v>109.56709289617486</v>
          </cell>
          <cell r="D122">
            <v>106.70622677165356</v>
          </cell>
          <cell r="E122">
            <v>102.47283809523809</v>
          </cell>
          <cell r="F122">
            <v>104.52997447447449</v>
          </cell>
          <cell r="G122">
            <v>93.789062052505983</v>
          </cell>
          <cell r="H122">
            <v>119.23423635195888</v>
          </cell>
          <cell r="I122">
            <v>179.62810526315789</v>
          </cell>
          <cell r="J122">
            <v>103.3454593495935</v>
          </cell>
          <cell r="K122">
            <v>110.42100000000001</v>
          </cell>
          <cell r="L122">
            <v>125.77760441767069</v>
          </cell>
          <cell r="M122">
            <v>117.70643478260868</v>
          </cell>
          <cell r="N122">
            <v>108.94499999999999</v>
          </cell>
          <cell r="R122">
            <v>86</v>
          </cell>
          <cell r="T122">
            <v>36935.1875</v>
          </cell>
          <cell r="U122">
            <v>341.6</v>
          </cell>
          <cell r="V122">
            <v>158.19999999999999</v>
          </cell>
          <cell r="W122">
            <v>279.39999999999998</v>
          </cell>
          <cell r="X122">
            <v>0</v>
          </cell>
          <cell r="Y122">
            <v>142.69999999999999</v>
          </cell>
          <cell r="Z122">
            <v>171</v>
          </cell>
          <cell r="AA122">
            <v>139.30000000000001</v>
          </cell>
          <cell r="AB122">
            <v>27.1</v>
          </cell>
          <cell r="AC122">
            <v>205.9</v>
          </cell>
          <cell r="AD122">
            <v>0</v>
          </cell>
          <cell r="AE122">
            <v>76.2</v>
          </cell>
          <cell r="AF122">
            <v>112.4</v>
          </cell>
          <cell r="AG122">
            <v>195.9</v>
          </cell>
          <cell r="AH122">
            <v>0</v>
          </cell>
          <cell r="AI122">
            <v>170</v>
          </cell>
          <cell r="AJ122">
            <v>0</v>
          </cell>
          <cell r="AN122">
            <v>86</v>
          </cell>
          <cell r="AP122">
            <v>36935.1875</v>
          </cell>
          <cell r="AQ122">
            <v>711.713345</v>
          </cell>
          <cell r="AR122">
            <v>27.5</v>
          </cell>
          <cell r="AS122">
            <v>1.3327453142227121</v>
          </cell>
          <cell r="AT122">
            <v>9.2447971781305114</v>
          </cell>
          <cell r="AU122">
            <v>0.48536705239263112</v>
          </cell>
          <cell r="AV122">
            <v>19.572116987500003</v>
          </cell>
          <cell r="AW122">
            <v>0.94853262561852247</v>
          </cell>
          <cell r="AX122">
            <v>6.5796455234938271</v>
          </cell>
          <cell r="AY122">
            <v>345.44220841114975</v>
          </cell>
          <cell r="AZ122">
            <v>10</v>
          </cell>
          <cell r="BA122">
            <v>10</v>
          </cell>
          <cell r="BB122">
            <v>10</v>
          </cell>
          <cell r="BC122">
            <v>10</v>
          </cell>
          <cell r="BD122">
            <v>10</v>
          </cell>
          <cell r="BE122">
            <v>10</v>
          </cell>
          <cell r="BF122">
            <v>4.8463465971734974E-2</v>
          </cell>
          <cell r="BI122">
            <v>86</v>
          </cell>
          <cell r="BK122">
            <v>36935.1875</v>
          </cell>
          <cell r="CD122">
            <v>0</v>
          </cell>
          <cell r="CF122">
            <v>36935.1875</v>
          </cell>
          <cell r="CG122">
            <v>9.82</v>
          </cell>
          <cell r="CH122">
            <v>12.0833333333333</v>
          </cell>
          <cell r="CI122">
            <v>10.952380952381001</v>
          </cell>
          <cell r="CU122">
            <v>10</v>
          </cell>
          <cell r="CV122">
            <v>10</v>
          </cell>
          <cell r="CY122">
            <v>0</v>
          </cell>
        </row>
        <row r="123">
          <cell r="A123">
            <v>36965.625</v>
          </cell>
          <cell r="B123">
            <v>109.10790962916795</v>
          </cell>
          <cell r="C123">
            <v>124.65838797814207</v>
          </cell>
          <cell r="D123">
            <v>106.61487874015749</v>
          </cell>
          <cell r="E123">
            <v>103.20634857142856</v>
          </cell>
          <cell r="F123">
            <v>104.52997447447449</v>
          </cell>
          <cell r="G123">
            <v>94.718133651551312</v>
          </cell>
          <cell r="H123">
            <v>117.72687604367373</v>
          </cell>
          <cell r="I123">
            <v>179.62810526315789</v>
          </cell>
          <cell r="J123">
            <v>103.3454593495935</v>
          </cell>
          <cell r="K123">
            <v>110.42100000000001</v>
          </cell>
          <cell r="L123">
            <v>125.77560642570282</v>
          </cell>
          <cell r="M123">
            <v>117.70643478260868</v>
          </cell>
          <cell r="N123">
            <v>111.637</v>
          </cell>
          <cell r="R123">
            <v>87</v>
          </cell>
          <cell r="T123">
            <v>36965.625</v>
          </cell>
          <cell r="U123">
            <v>229</v>
          </cell>
          <cell r="V123">
            <v>160.4</v>
          </cell>
          <cell r="W123">
            <v>187.4</v>
          </cell>
          <cell r="X123">
            <v>0</v>
          </cell>
          <cell r="Y123">
            <v>158</v>
          </cell>
          <cell r="Z123">
            <v>254.3</v>
          </cell>
          <cell r="AA123">
            <v>146.80000000000001</v>
          </cell>
          <cell r="AB123">
            <v>32.799999999999997</v>
          </cell>
          <cell r="AC123">
            <v>165.4</v>
          </cell>
          <cell r="AD123">
            <v>0</v>
          </cell>
          <cell r="AE123">
            <v>86.2</v>
          </cell>
          <cell r="AF123">
            <v>112.9</v>
          </cell>
          <cell r="AG123">
            <v>254.3</v>
          </cell>
          <cell r="AH123">
            <v>0</v>
          </cell>
          <cell r="AI123">
            <v>162.9</v>
          </cell>
          <cell r="AJ123">
            <v>0</v>
          </cell>
          <cell r="AN123">
            <v>87</v>
          </cell>
          <cell r="AP123">
            <v>36965.625</v>
          </cell>
          <cell r="AQ123">
            <v>721.55270000000007</v>
          </cell>
          <cell r="AR123">
            <v>24.99</v>
          </cell>
          <cell r="AS123">
            <v>1.2030871003307608</v>
          </cell>
          <cell r="AT123">
            <v>9.2779541446208089</v>
          </cell>
          <cell r="AU123">
            <v>0.47977801627169087</v>
          </cell>
          <cell r="AV123">
            <v>18.031601973000001</v>
          </cell>
          <cell r="AW123">
            <v>0.86809074557883148</v>
          </cell>
          <cell r="AX123">
            <v>6.6945328635273356</v>
          </cell>
          <cell r="AY123">
            <v>346.18512304148254</v>
          </cell>
          <cell r="AZ123">
            <v>10</v>
          </cell>
          <cell r="BA123">
            <v>10</v>
          </cell>
          <cell r="BB123">
            <v>10</v>
          </cell>
          <cell r="BC123">
            <v>10</v>
          </cell>
          <cell r="BD123">
            <v>10</v>
          </cell>
          <cell r="BE123">
            <v>10</v>
          </cell>
          <cell r="BF123">
            <v>4.8142741109674307E-2</v>
          </cell>
          <cell r="BI123">
            <v>87</v>
          </cell>
          <cell r="BK123">
            <v>36965.625</v>
          </cell>
          <cell r="CD123">
            <v>0</v>
          </cell>
          <cell r="CF123">
            <v>36965.625</v>
          </cell>
          <cell r="CG123">
            <v>9.82</v>
          </cell>
          <cell r="CH123">
            <v>12.0833333333333</v>
          </cell>
          <cell r="CI123">
            <v>10.952380952381001</v>
          </cell>
          <cell r="CU123">
            <v>10</v>
          </cell>
          <cell r="CV123">
            <v>10</v>
          </cell>
          <cell r="CY123">
            <v>0</v>
          </cell>
        </row>
        <row r="124">
          <cell r="A124">
            <v>36996.0625</v>
          </cell>
          <cell r="B124">
            <v>105.41857338734808</v>
          </cell>
          <cell r="C124">
            <v>123.33620218579233</v>
          </cell>
          <cell r="D124">
            <v>106.61458582677166</v>
          </cell>
          <cell r="E124">
            <v>103.67893523809524</v>
          </cell>
          <cell r="F124">
            <v>104.18341591591592</v>
          </cell>
          <cell r="G124">
            <v>94.718133651551312</v>
          </cell>
          <cell r="H124">
            <v>114.55277199743094</v>
          </cell>
          <cell r="I124">
            <v>179.62810526315789</v>
          </cell>
          <cell r="J124">
            <v>105.94502235772356</v>
          </cell>
          <cell r="K124">
            <v>110.42100000000001</v>
          </cell>
          <cell r="L124">
            <v>127.72464759036146</v>
          </cell>
          <cell r="M124">
            <v>117.71596567505719</v>
          </cell>
          <cell r="N124">
            <v>110.283</v>
          </cell>
          <cell r="R124">
            <v>88</v>
          </cell>
          <cell r="T124">
            <v>36996.0625</v>
          </cell>
          <cell r="U124">
            <v>0</v>
          </cell>
          <cell r="V124">
            <v>105.9</v>
          </cell>
          <cell r="W124">
            <v>0</v>
          </cell>
          <cell r="X124">
            <v>0</v>
          </cell>
          <cell r="Y124">
            <v>136.30000000000001</v>
          </cell>
          <cell r="Z124">
            <v>208.1</v>
          </cell>
          <cell r="AA124">
            <v>127.9</v>
          </cell>
          <cell r="AB124">
            <v>41.1</v>
          </cell>
          <cell r="AC124">
            <v>81</v>
          </cell>
          <cell r="AD124">
            <v>0</v>
          </cell>
          <cell r="AE124">
            <v>103.6</v>
          </cell>
          <cell r="AF124">
            <v>112</v>
          </cell>
          <cell r="AG124">
            <v>254.5</v>
          </cell>
          <cell r="AH124">
            <v>148</v>
          </cell>
          <cell r="AI124">
            <v>106.9</v>
          </cell>
          <cell r="AJ124">
            <v>148</v>
          </cell>
          <cell r="AN124">
            <v>88</v>
          </cell>
          <cell r="AP124">
            <v>36996.0625</v>
          </cell>
          <cell r="AQ124">
            <v>735.57706066000003</v>
          </cell>
          <cell r="AR124">
            <v>25.66</v>
          </cell>
          <cell r="AS124">
            <v>1.1281146637265711</v>
          </cell>
          <cell r="AT124">
            <v>9.1880070546737223</v>
          </cell>
          <cell r="AU124">
            <v>0.4528503467075739</v>
          </cell>
          <cell r="AV124">
            <v>18.874907376535599</v>
          </cell>
          <cell r="AW124">
            <v>0.82981526843143549</v>
          </cell>
          <cell r="AX124">
            <v>6.758487222600241</v>
          </cell>
          <cell r="AY124">
            <v>333.10632695001914</v>
          </cell>
          <cell r="AZ124">
            <v>10</v>
          </cell>
          <cell r="BA124">
            <v>10</v>
          </cell>
          <cell r="BB124">
            <v>10</v>
          </cell>
          <cell r="BC124">
            <v>10</v>
          </cell>
          <cell r="BD124">
            <v>10</v>
          </cell>
          <cell r="BE124">
            <v>10</v>
          </cell>
          <cell r="BF124">
            <v>4.3963938570793885E-2</v>
          </cell>
          <cell r="BI124">
            <v>88</v>
          </cell>
          <cell r="BK124">
            <v>36996.0625</v>
          </cell>
          <cell r="CD124">
            <v>0</v>
          </cell>
          <cell r="CF124">
            <v>36996.0625</v>
          </cell>
          <cell r="CG124">
            <v>9.82</v>
          </cell>
          <cell r="CH124">
            <v>12.0833333333333</v>
          </cell>
          <cell r="CI124">
            <v>10.952380952381001</v>
          </cell>
          <cell r="CU124">
            <v>10</v>
          </cell>
          <cell r="CV124">
            <v>10</v>
          </cell>
          <cell r="CY124">
            <v>0</v>
          </cell>
        </row>
        <row r="125">
          <cell r="A125">
            <v>37026.5</v>
          </cell>
          <cell r="B125">
            <v>111.01961140542225</v>
          </cell>
          <cell r="C125">
            <v>125.19435519125683</v>
          </cell>
          <cell r="D125">
            <v>106.88836377952757</v>
          </cell>
          <cell r="E125">
            <v>101.88395714285714</v>
          </cell>
          <cell r="F125">
            <v>104.19061561561563</v>
          </cell>
          <cell r="G125">
            <v>94.718133651551312</v>
          </cell>
          <cell r="H125">
            <v>117.35995504174694</v>
          </cell>
          <cell r="I125">
            <v>179.62810526315789</v>
          </cell>
          <cell r="J125">
            <v>105.97505284552845</v>
          </cell>
          <cell r="K125">
            <v>110.42100000000001</v>
          </cell>
          <cell r="L125">
            <v>125.97540562248996</v>
          </cell>
          <cell r="M125">
            <v>117.71596567505719</v>
          </cell>
          <cell r="N125">
            <v>112.208</v>
          </cell>
          <cell r="R125">
            <v>89</v>
          </cell>
          <cell r="T125">
            <v>37026.5</v>
          </cell>
          <cell r="U125">
            <v>0</v>
          </cell>
          <cell r="V125">
            <v>86.5</v>
          </cell>
          <cell r="W125">
            <v>0</v>
          </cell>
          <cell r="X125">
            <v>0</v>
          </cell>
          <cell r="Y125">
            <v>117.7</v>
          </cell>
          <cell r="Z125">
            <v>210.5</v>
          </cell>
          <cell r="AA125">
            <v>106.8</v>
          </cell>
          <cell r="AB125">
            <v>26.1</v>
          </cell>
          <cell r="AC125">
            <v>48.7</v>
          </cell>
          <cell r="AD125">
            <v>0</v>
          </cell>
          <cell r="AE125">
            <v>104.3</v>
          </cell>
          <cell r="AF125">
            <v>89.1</v>
          </cell>
          <cell r="AG125">
            <v>223.2</v>
          </cell>
          <cell r="AH125">
            <v>151.1</v>
          </cell>
          <cell r="AI125">
            <v>92.3</v>
          </cell>
          <cell r="AJ125">
            <v>151.1</v>
          </cell>
          <cell r="AN125">
            <v>89</v>
          </cell>
          <cell r="AP125">
            <v>37026.5</v>
          </cell>
          <cell r="AQ125">
            <v>750.5</v>
          </cell>
          <cell r="AR125">
            <v>27.52</v>
          </cell>
          <cell r="AS125">
            <v>1.1018743109151046</v>
          </cell>
          <cell r="AT125">
            <v>9.6067019400352756</v>
          </cell>
          <cell r="AU125">
            <v>0.40992846991275</v>
          </cell>
          <cell r="AV125">
            <v>20.653759999999998</v>
          </cell>
          <cell r="AW125">
            <v>0.82695667034178599</v>
          </cell>
          <cell r="AX125">
            <v>7.2098298059964749</v>
          </cell>
          <cell r="AY125">
            <v>307.65131666951891</v>
          </cell>
          <cell r="AZ125">
            <v>10</v>
          </cell>
          <cell r="BA125">
            <v>10</v>
          </cell>
          <cell r="BB125">
            <v>10</v>
          </cell>
          <cell r="BC125">
            <v>10</v>
          </cell>
          <cell r="BD125">
            <v>10</v>
          </cell>
          <cell r="BE125">
            <v>10</v>
          </cell>
          <cell r="BF125">
            <v>4.003903746057793E-2</v>
          </cell>
          <cell r="BI125">
            <v>89</v>
          </cell>
          <cell r="BK125">
            <v>37026.5</v>
          </cell>
          <cell r="CD125">
            <v>0</v>
          </cell>
          <cell r="CF125">
            <v>37026.5</v>
          </cell>
          <cell r="CG125">
            <v>9.82</v>
          </cell>
          <cell r="CH125">
            <v>12.0833333333333</v>
          </cell>
          <cell r="CI125">
            <v>10.952380952381001</v>
          </cell>
          <cell r="CU125">
            <v>10</v>
          </cell>
          <cell r="CV125">
            <v>10</v>
          </cell>
          <cell r="CY125">
            <v>0</v>
          </cell>
        </row>
        <row r="126">
          <cell r="A126">
            <v>37056.9375</v>
          </cell>
          <cell r="B126">
            <v>115.37610314739794</v>
          </cell>
          <cell r="C126">
            <v>131.15495081967214</v>
          </cell>
          <cell r="D126">
            <v>106.88836377952757</v>
          </cell>
          <cell r="E126">
            <v>102.34279428571426</v>
          </cell>
          <cell r="F126">
            <v>104.16745795795796</v>
          </cell>
          <cell r="G126">
            <v>94.718133651551312</v>
          </cell>
          <cell r="H126">
            <v>119.98723827874116</v>
          </cell>
          <cell r="I126">
            <v>179.62810526315789</v>
          </cell>
          <cell r="J126">
            <v>105.95704065040651</v>
          </cell>
          <cell r="K126">
            <v>110.42100000000001</v>
          </cell>
          <cell r="L126">
            <v>126.21916064257029</v>
          </cell>
          <cell r="M126">
            <v>117.71596567505719</v>
          </cell>
          <cell r="N126">
            <v>114.19499999999999</v>
          </cell>
          <cell r="R126">
            <v>90</v>
          </cell>
          <cell r="T126">
            <v>37056.9375</v>
          </cell>
          <cell r="U126">
            <v>0</v>
          </cell>
          <cell r="V126">
            <v>86.5</v>
          </cell>
          <cell r="W126">
            <v>0</v>
          </cell>
          <cell r="X126">
            <v>0</v>
          </cell>
          <cell r="Y126">
            <v>109.7</v>
          </cell>
          <cell r="Z126">
            <v>232.2</v>
          </cell>
          <cell r="AA126">
            <v>95.3</v>
          </cell>
          <cell r="AB126">
            <v>18</v>
          </cell>
          <cell r="AC126">
            <v>41.1</v>
          </cell>
          <cell r="AD126">
            <v>0</v>
          </cell>
          <cell r="AE126">
            <v>103.1</v>
          </cell>
          <cell r="AF126">
            <v>77.2</v>
          </cell>
          <cell r="AG126">
            <v>197.7</v>
          </cell>
          <cell r="AH126">
            <v>148</v>
          </cell>
          <cell r="AI126">
            <v>86</v>
          </cell>
          <cell r="AJ126">
            <v>148</v>
          </cell>
          <cell r="AN126">
            <v>90</v>
          </cell>
          <cell r="AP126">
            <v>37056.9375</v>
          </cell>
          <cell r="AQ126">
            <v>768.89</v>
          </cell>
          <cell r="AR126">
            <v>26.97</v>
          </cell>
          <cell r="AS126">
            <v>1.0465270121278942</v>
          </cell>
          <cell r="AT126">
            <v>9.5308641975308639</v>
          </cell>
          <cell r="AU126">
            <v>0.40798245082236162</v>
          </cell>
          <cell r="AV126">
            <v>20.736963299999999</v>
          </cell>
          <cell r="AW126">
            <v>0.80466415435501648</v>
          </cell>
          <cell r="AX126">
            <v>7.3281861728395059</v>
          </cell>
          <cell r="AY126">
            <v>313.69362661280564</v>
          </cell>
          <cell r="AZ126">
            <v>10</v>
          </cell>
          <cell r="BA126">
            <v>10</v>
          </cell>
          <cell r="BB126">
            <v>10</v>
          </cell>
          <cell r="BC126">
            <v>10</v>
          </cell>
          <cell r="BD126">
            <v>10</v>
          </cell>
          <cell r="BE126">
            <v>10</v>
          </cell>
          <cell r="BF126">
            <v>3.8803374569072825E-2</v>
          </cell>
          <cell r="BI126">
            <v>90</v>
          </cell>
          <cell r="BK126">
            <v>37056.9375</v>
          </cell>
          <cell r="CD126">
            <v>0</v>
          </cell>
          <cell r="CF126">
            <v>37056.9375</v>
          </cell>
          <cell r="CG126">
            <v>9.82</v>
          </cell>
          <cell r="CH126">
            <v>12.0833333333333</v>
          </cell>
          <cell r="CI126">
            <v>10.952380952381001</v>
          </cell>
          <cell r="CU126">
            <v>10</v>
          </cell>
          <cell r="CV126">
            <v>10</v>
          </cell>
          <cell r="CY126">
            <v>0</v>
          </cell>
        </row>
        <row r="127">
          <cell r="A127">
            <v>37087.375</v>
          </cell>
          <cell r="B127">
            <v>114.81433561857276</v>
          </cell>
          <cell r="C127">
            <v>134.34825683060109</v>
          </cell>
          <cell r="D127">
            <v>106.88836377952757</v>
          </cell>
          <cell r="E127">
            <v>102.9491380952381</v>
          </cell>
          <cell r="F127">
            <v>104.16745795795796</v>
          </cell>
          <cell r="G127">
            <v>94.718133651551312</v>
          </cell>
          <cell r="H127">
            <v>121.03509955041744</v>
          </cell>
          <cell r="I127">
            <v>179.62810526315789</v>
          </cell>
          <cell r="J127">
            <v>105.95704065040651</v>
          </cell>
          <cell r="K127">
            <v>110.42100000000001</v>
          </cell>
          <cell r="L127">
            <v>126.40497389558233</v>
          </cell>
          <cell r="M127">
            <v>117.71596567505719</v>
          </cell>
          <cell r="N127">
            <v>114.318</v>
          </cell>
          <cell r="R127">
            <v>91</v>
          </cell>
          <cell r="T127">
            <v>37087.375</v>
          </cell>
          <cell r="U127">
            <v>0</v>
          </cell>
          <cell r="V127">
            <v>75.599999999999994</v>
          </cell>
          <cell r="W127">
            <v>0</v>
          </cell>
          <cell r="X127">
            <v>0</v>
          </cell>
          <cell r="Y127">
            <v>99.6</v>
          </cell>
          <cell r="Z127">
            <v>223.2</v>
          </cell>
          <cell r="AA127">
            <v>85.1</v>
          </cell>
          <cell r="AB127">
            <v>22.5</v>
          </cell>
          <cell r="AC127">
            <v>22.7</v>
          </cell>
          <cell r="AD127">
            <v>0</v>
          </cell>
          <cell r="AE127">
            <v>95.5</v>
          </cell>
          <cell r="AF127">
            <v>69</v>
          </cell>
          <cell r="AG127">
            <v>185</v>
          </cell>
          <cell r="AH127">
            <v>151.1</v>
          </cell>
          <cell r="AI127">
            <v>78.099999999999994</v>
          </cell>
          <cell r="AJ127">
            <v>151.1</v>
          </cell>
          <cell r="AN127">
            <v>91</v>
          </cell>
          <cell r="AP127">
            <v>37087.375</v>
          </cell>
          <cell r="AQ127">
            <v>762.33</v>
          </cell>
          <cell r="AR127">
            <v>24.78</v>
          </cell>
          <cell r="AS127">
            <v>1.0044101433296582</v>
          </cell>
          <cell r="AT127">
            <v>9.4366843033509689</v>
          </cell>
          <cell r="AU127">
            <v>0.41920190014292352</v>
          </cell>
          <cell r="AV127">
            <v>18.890537399999999</v>
          </cell>
          <cell r="AW127">
            <v>0.76569198456449838</v>
          </cell>
          <cell r="AX127">
            <v>7.1938675449735445</v>
          </cell>
          <cell r="AY127">
            <v>319.57018453595492</v>
          </cell>
          <cell r="AZ127">
            <v>10</v>
          </cell>
          <cell r="BA127">
            <v>10</v>
          </cell>
          <cell r="BB127">
            <v>10</v>
          </cell>
          <cell r="BC127">
            <v>10</v>
          </cell>
          <cell r="BD127">
            <v>10</v>
          </cell>
          <cell r="BE127">
            <v>10</v>
          </cell>
          <cell r="BF127">
            <v>4.0533096986669022E-2</v>
          </cell>
          <cell r="BI127">
            <v>91</v>
          </cell>
          <cell r="BK127">
            <v>37087.375</v>
          </cell>
          <cell r="CD127">
            <v>0</v>
          </cell>
          <cell r="CF127">
            <v>37087.375</v>
          </cell>
          <cell r="CG127">
            <v>9.82</v>
          </cell>
          <cell r="CH127">
            <v>12.0833333333333</v>
          </cell>
          <cell r="CI127">
            <v>10.952380952381001</v>
          </cell>
          <cell r="CU127">
            <v>10</v>
          </cell>
          <cell r="CV127">
            <v>10</v>
          </cell>
          <cell r="CY127">
            <v>0</v>
          </cell>
        </row>
        <row r="128">
          <cell r="A128">
            <v>37117.8125</v>
          </cell>
          <cell r="B128">
            <v>116.94334870676224</v>
          </cell>
          <cell r="C128">
            <v>135.04210928961749</v>
          </cell>
          <cell r="D128">
            <v>106.88836377952757</v>
          </cell>
          <cell r="E128">
            <v>104.95270857142857</v>
          </cell>
          <cell r="F128">
            <v>103.8851966966967</v>
          </cell>
          <cell r="G128">
            <v>94.596243436754179</v>
          </cell>
          <cell r="H128">
            <v>116.8411111111111</v>
          </cell>
          <cell r="I128">
            <v>179.62810526315789</v>
          </cell>
          <cell r="J128">
            <v>105.95704065040651</v>
          </cell>
          <cell r="K128">
            <v>110.42100000000001</v>
          </cell>
          <cell r="L128">
            <v>126.21316666666667</v>
          </cell>
          <cell r="M128">
            <v>117.71948054919909</v>
          </cell>
          <cell r="N128">
            <v>114.529</v>
          </cell>
          <cell r="R128">
            <v>92</v>
          </cell>
          <cell r="T128">
            <v>37117.8125</v>
          </cell>
          <cell r="U128">
            <v>0</v>
          </cell>
          <cell r="V128">
            <v>45</v>
          </cell>
          <cell r="W128">
            <v>0</v>
          </cell>
          <cell r="X128">
            <v>0</v>
          </cell>
          <cell r="Y128">
            <v>72.3</v>
          </cell>
          <cell r="Z128">
            <v>104.2</v>
          </cell>
          <cell r="AA128">
            <v>68.599999999999994</v>
          </cell>
          <cell r="AB128">
            <v>23.8</v>
          </cell>
          <cell r="AC128">
            <v>23.8</v>
          </cell>
          <cell r="AD128">
            <v>0</v>
          </cell>
          <cell r="AE128">
            <v>47.9</v>
          </cell>
          <cell r="AF128">
            <v>50.9</v>
          </cell>
          <cell r="AG128">
            <v>164.7</v>
          </cell>
          <cell r="AH128">
            <v>139.30000000000001</v>
          </cell>
          <cell r="AI128">
            <v>56.7</v>
          </cell>
          <cell r="AJ128">
            <v>139.30000000000001</v>
          </cell>
          <cell r="AN128">
            <v>92</v>
          </cell>
          <cell r="AP128">
            <v>37117.8125</v>
          </cell>
          <cell r="AQ128">
            <v>728.65</v>
          </cell>
          <cell r="AR128">
            <v>25.82</v>
          </cell>
          <cell r="AS128">
            <v>0.95545755237045193</v>
          </cell>
          <cell r="AT128">
            <v>9.5975308641975303</v>
          </cell>
          <cell r="AU128">
            <v>0.40634421501027596</v>
          </cell>
          <cell r="AV128">
            <v>18.813742999999999</v>
          </cell>
          <cell r="AW128">
            <v>0.69619414553472969</v>
          </cell>
          <cell r="AX128">
            <v>6.9932408641975297</v>
          </cell>
          <cell r="AY128">
            <v>296.08271226723758</v>
          </cell>
          <cell r="AZ128">
            <v>10</v>
          </cell>
          <cell r="BA128">
            <v>10</v>
          </cell>
          <cell r="BB128">
            <v>10</v>
          </cell>
          <cell r="BC128">
            <v>10</v>
          </cell>
          <cell r="BD128">
            <v>10</v>
          </cell>
          <cell r="BE128">
            <v>10</v>
          </cell>
          <cell r="BF128">
            <v>3.7004552764153827E-2</v>
          </cell>
          <cell r="BI128">
            <v>92</v>
          </cell>
          <cell r="BK128">
            <v>37117.8125</v>
          </cell>
          <cell r="CD128">
            <v>0</v>
          </cell>
          <cell r="CF128">
            <v>37117.8125</v>
          </cell>
          <cell r="CG128">
            <v>9.82</v>
          </cell>
          <cell r="CH128">
            <v>12.0833333333333</v>
          </cell>
          <cell r="CI128">
            <v>10.952380952381001</v>
          </cell>
          <cell r="CU128">
            <v>10</v>
          </cell>
          <cell r="CV128">
            <v>10</v>
          </cell>
          <cell r="CY128">
            <v>0</v>
          </cell>
        </row>
        <row r="129">
          <cell r="A129">
            <v>37148.25</v>
          </cell>
          <cell r="B129">
            <v>109.30097880959799</v>
          </cell>
          <cell r="C129">
            <v>133.65473770491803</v>
          </cell>
          <cell r="D129">
            <v>106.88836377952757</v>
          </cell>
          <cell r="E129">
            <v>102.17171047619048</v>
          </cell>
          <cell r="F129">
            <v>103.8851966966967</v>
          </cell>
          <cell r="G129">
            <v>94.646124105011936</v>
          </cell>
          <cell r="H129">
            <v>114.67544637122671</v>
          </cell>
          <cell r="I129">
            <v>179.62810526315789</v>
          </cell>
          <cell r="J129">
            <v>105.95704065040651</v>
          </cell>
          <cell r="K129">
            <v>110.42100000000001</v>
          </cell>
          <cell r="L129">
            <v>125.63474799196787</v>
          </cell>
          <cell r="M129">
            <v>117.71948054919909</v>
          </cell>
          <cell r="N129">
            <v>111.366</v>
          </cell>
          <cell r="R129">
            <v>93</v>
          </cell>
          <cell r="T129">
            <v>37148.25</v>
          </cell>
          <cell r="U129">
            <v>0</v>
          </cell>
          <cell r="V129">
            <v>142.1</v>
          </cell>
          <cell r="W129">
            <v>0</v>
          </cell>
          <cell r="X129">
            <v>0</v>
          </cell>
          <cell r="Y129">
            <v>115.3</v>
          </cell>
          <cell r="Z129">
            <v>518</v>
          </cell>
          <cell r="AA129">
            <v>68.099999999999994</v>
          </cell>
          <cell r="AB129">
            <v>11</v>
          </cell>
          <cell r="AC129">
            <v>5.8</v>
          </cell>
          <cell r="AD129">
            <v>0</v>
          </cell>
          <cell r="AE129">
            <v>61.9</v>
          </cell>
          <cell r="AF129">
            <v>63.4</v>
          </cell>
          <cell r="AG129">
            <v>170.5</v>
          </cell>
          <cell r="AH129">
            <v>92.1</v>
          </cell>
          <cell r="AI129">
            <v>90.4</v>
          </cell>
          <cell r="AJ129">
            <v>92.1</v>
          </cell>
          <cell r="AN129">
            <v>93</v>
          </cell>
          <cell r="AP129">
            <v>37148.25</v>
          </cell>
          <cell r="AQ129">
            <v>720.11</v>
          </cell>
          <cell r="AR129">
            <v>24.56</v>
          </cell>
          <cell r="AS129">
            <v>0.90981256890848949</v>
          </cell>
          <cell r="AT129">
            <v>10.034215167548503</v>
          </cell>
          <cell r="AU129">
            <v>0.37557840172638068</v>
          </cell>
          <cell r="AV129">
            <v>17.685901600000001</v>
          </cell>
          <cell r="AW129">
            <v>0.65516512899669233</v>
          </cell>
          <cell r="AX129">
            <v>7.2257386843033524</v>
          </cell>
          <cell r="AY129">
            <v>270.45776286718399</v>
          </cell>
          <cell r="AZ129">
            <v>10</v>
          </cell>
          <cell r="BA129">
            <v>10</v>
          </cell>
          <cell r="BB129">
            <v>10</v>
          </cell>
          <cell r="BC129">
            <v>10</v>
          </cell>
          <cell r="BD129">
            <v>10</v>
          </cell>
          <cell r="BE129">
            <v>10</v>
          </cell>
          <cell r="BF129">
            <v>3.7044485704743051E-2</v>
          </cell>
          <cell r="BI129">
            <v>93</v>
          </cell>
          <cell r="BK129">
            <v>37148.25</v>
          </cell>
          <cell r="CD129">
            <v>0</v>
          </cell>
          <cell r="CF129">
            <v>37148.25</v>
          </cell>
          <cell r="CG129">
            <v>9.82</v>
          </cell>
          <cell r="CH129">
            <v>12.0833333333333</v>
          </cell>
          <cell r="CI129">
            <v>10.952380952381001</v>
          </cell>
          <cell r="CU129">
            <v>10</v>
          </cell>
          <cell r="CV129">
            <v>10</v>
          </cell>
          <cell r="CY129">
            <v>0</v>
          </cell>
        </row>
        <row r="130">
          <cell r="A130">
            <v>37178.6875</v>
          </cell>
          <cell r="B130">
            <v>112.01696104705515</v>
          </cell>
          <cell r="C130">
            <v>132.41580327868851</v>
          </cell>
          <cell r="D130">
            <v>106.88836377952757</v>
          </cell>
          <cell r="E130">
            <v>105.26451809523809</v>
          </cell>
          <cell r="F130">
            <v>104.06529729729732</v>
          </cell>
          <cell r="G130">
            <v>94.646124105011936</v>
          </cell>
          <cell r="H130">
            <v>116.00561978163132</v>
          </cell>
          <cell r="I130">
            <v>179.62810526315789</v>
          </cell>
          <cell r="J130">
            <v>105.95704065040651</v>
          </cell>
          <cell r="K130">
            <v>118.97799999999999</v>
          </cell>
          <cell r="L130">
            <v>126.55582228915662</v>
          </cell>
          <cell r="M130">
            <v>117.71948054919909</v>
          </cell>
          <cell r="N130">
            <v>113.05800000000001</v>
          </cell>
          <cell r="R130">
            <v>94</v>
          </cell>
          <cell r="T130">
            <v>37178.6875</v>
          </cell>
          <cell r="U130">
            <v>7.8</v>
          </cell>
          <cell r="V130">
            <v>51.9</v>
          </cell>
          <cell r="W130">
            <v>6.4</v>
          </cell>
          <cell r="X130">
            <v>0</v>
          </cell>
          <cell r="Y130">
            <v>87.9</v>
          </cell>
          <cell r="Z130">
            <v>47</v>
          </cell>
          <cell r="AA130">
            <v>92.7</v>
          </cell>
          <cell r="AB130">
            <v>17</v>
          </cell>
          <cell r="AC130">
            <v>68.400000000000006</v>
          </cell>
          <cell r="AD130">
            <v>0</v>
          </cell>
          <cell r="AE130">
            <v>49.7</v>
          </cell>
          <cell r="AF130">
            <v>73</v>
          </cell>
          <cell r="AG130">
            <v>200.7</v>
          </cell>
          <cell r="AH130">
            <v>80</v>
          </cell>
          <cell r="AI130">
            <v>70.3</v>
          </cell>
          <cell r="AJ130">
            <v>80</v>
          </cell>
          <cell r="AN130">
            <v>94</v>
          </cell>
          <cell r="AP130">
            <v>37178.6875</v>
          </cell>
          <cell r="AQ130">
            <v>724.21</v>
          </cell>
          <cell r="AR130">
            <v>20.73</v>
          </cell>
          <cell r="AS130">
            <v>0.82072767364939359</v>
          </cell>
          <cell r="AT130">
            <v>9.9566137566137574</v>
          </cell>
          <cell r="AU130">
            <v>0.35580955010729443</v>
          </cell>
          <cell r="AV130">
            <v>15.012873300000001</v>
          </cell>
          <cell r="AW130">
            <v>0.59437918853362737</v>
          </cell>
          <cell r="AX130">
            <v>7.2106792486772493</v>
          </cell>
          <cell r="AY130">
            <v>257.68083428320369</v>
          </cell>
          <cell r="AZ130">
            <v>10</v>
          </cell>
          <cell r="BA130">
            <v>10</v>
          </cell>
          <cell r="BB130">
            <v>10</v>
          </cell>
          <cell r="BC130">
            <v>10</v>
          </cell>
          <cell r="BD130">
            <v>10</v>
          </cell>
          <cell r="BE130">
            <v>10</v>
          </cell>
          <cell r="BF130">
            <v>3.9591301189068673E-2</v>
          </cell>
          <cell r="BI130">
            <v>94</v>
          </cell>
          <cell r="BK130">
            <v>37178.6875</v>
          </cell>
          <cell r="CD130">
            <v>0</v>
          </cell>
          <cell r="CF130">
            <v>37178.6875</v>
          </cell>
          <cell r="CG130">
            <v>9.82</v>
          </cell>
          <cell r="CH130">
            <v>12.0833333333333</v>
          </cell>
          <cell r="CI130">
            <v>10.952380952381001</v>
          </cell>
          <cell r="CU130">
            <v>10</v>
          </cell>
          <cell r="CV130">
            <v>10</v>
          </cell>
          <cell r="CY130">
            <v>0</v>
          </cell>
        </row>
        <row r="131">
          <cell r="A131">
            <v>37209.125</v>
          </cell>
          <cell r="B131">
            <v>109.7462748519788</v>
          </cell>
          <cell r="C131">
            <v>127.71634972677596</v>
          </cell>
          <cell r="D131">
            <v>106.88836377952757</v>
          </cell>
          <cell r="E131">
            <v>104.60503619047618</v>
          </cell>
          <cell r="F131">
            <v>104.06529729729732</v>
          </cell>
          <cell r="G131">
            <v>94.646124105011936</v>
          </cell>
          <cell r="H131">
            <v>112.50808606294156</v>
          </cell>
          <cell r="I131">
            <v>179.62810526315789</v>
          </cell>
          <cell r="J131">
            <v>105.95704065040651</v>
          </cell>
          <cell r="K131">
            <v>118.97799999999999</v>
          </cell>
          <cell r="L131">
            <v>126.64373393574297</v>
          </cell>
          <cell r="M131">
            <v>117.71948054919909</v>
          </cell>
          <cell r="N131">
            <v>111.63800000000001</v>
          </cell>
          <cell r="R131">
            <v>95</v>
          </cell>
          <cell r="T131">
            <v>37209.125</v>
          </cell>
          <cell r="U131">
            <v>101.8</v>
          </cell>
          <cell r="V131">
            <v>124.3</v>
          </cell>
          <cell r="W131">
            <v>83.3</v>
          </cell>
          <cell r="X131">
            <v>0</v>
          </cell>
          <cell r="Y131">
            <v>111.3</v>
          </cell>
          <cell r="Z131">
            <v>146.9</v>
          </cell>
          <cell r="AA131">
            <v>107.1</v>
          </cell>
          <cell r="AB131">
            <v>27.2</v>
          </cell>
          <cell r="AC131">
            <v>152.9</v>
          </cell>
          <cell r="AD131">
            <v>0</v>
          </cell>
          <cell r="AE131">
            <v>40.700000000000003</v>
          </cell>
          <cell r="AF131">
            <v>48.5</v>
          </cell>
          <cell r="AG131">
            <v>181.3</v>
          </cell>
          <cell r="AH131">
            <v>92.4</v>
          </cell>
          <cell r="AI131">
            <v>104.6</v>
          </cell>
          <cell r="AJ131">
            <v>92.4</v>
          </cell>
          <cell r="AN131">
            <v>95</v>
          </cell>
          <cell r="AP131">
            <v>37209.125</v>
          </cell>
          <cell r="AQ131">
            <v>738.51</v>
          </cell>
          <cell r="AR131">
            <v>18.66</v>
          </cell>
          <cell r="AS131">
            <v>0.83704520396912896</v>
          </cell>
          <cell r="AT131">
            <v>9.777072310405643</v>
          </cell>
          <cell r="AU131">
            <v>0.34908163689004928</v>
          </cell>
          <cell r="AV131">
            <v>13.780596600000001</v>
          </cell>
          <cell r="AW131">
            <v>0.6181662535832414</v>
          </cell>
          <cell r="AX131">
            <v>7.2204656719576716</v>
          </cell>
          <cell r="AY131">
            <v>257.80027965967031</v>
          </cell>
          <cell r="AZ131">
            <v>10</v>
          </cell>
          <cell r="BA131">
            <v>10</v>
          </cell>
          <cell r="BB131">
            <v>10</v>
          </cell>
          <cell r="BC131">
            <v>10</v>
          </cell>
          <cell r="BD131">
            <v>10</v>
          </cell>
          <cell r="BE131">
            <v>10</v>
          </cell>
          <cell r="BF131">
            <v>4.4857727972622129E-2</v>
          </cell>
          <cell r="BI131">
            <v>95</v>
          </cell>
          <cell r="BK131">
            <v>37209.125</v>
          </cell>
          <cell r="CD131">
            <v>0</v>
          </cell>
          <cell r="CF131">
            <v>37209.125</v>
          </cell>
          <cell r="CG131">
            <v>9.82</v>
          </cell>
          <cell r="CH131">
            <v>12.0833333333333</v>
          </cell>
          <cell r="CI131">
            <v>10.952380952381001</v>
          </cell>
          <cell r="CU131">
            <v>10</v>
          </cell>
          <cell r="CV131">
            <v>10</v>
          </cell>
          <cell r="CY131">
            <v>0</v>
          </cell>
        </row>
        <row r="132">
          <cell r="A132">
            <v>37239.5625</v>
          </cell>
          <cell r="B132">
            <v>103.6197937052041</v>
          </cell>
          <cell r="C132">
            <v>127.98219672131147</v>
          </cell>
          <cell r="D132">
            <v>110.77558267716539</v>
          </cell>
          <cell r="E132">
            <v>106.3915361904762</v>
          </cell>
          <cell r="F132">
            <v>103.908</v>
          </cell>
          <cell r="G132">
            <v>94.720458233890227</v>
          </cell>
          <cell r="H132">
            <v>109.78457931920357</v>
          </cell>
          <cell r="I132">
            <v>163.22456140350877</v>
          </cell>
          <cell r="J132">
            <v>106.03834146341464</v>
          </cell>
          <cell r="K132">
            <v>118.97799999999999</v>
          </cell>
          <cell r="L132">
            <v>126.19218775100403</v>
          </cell>
          <cell r="M132">
            <v>118.32616704805493</v>
          </cell>
          <cell r="N132">
            <v>109.47799999999999</v>
          </cell>
          <cell r="R132">
            <v>96</v>
          </cell>
          <cell r="T132">
            <v>37239.5625</v>
          </cell>
          <cell r="U132">
            <v>365.4</v>
          </cell>
          <cell r="V132">
            <v>201.7</v>
          </cell>
          <cell r="W132">
            <v>298.89999999999998</v>
          </cell>
          <cell r="X132">
            <v>0</v>
          </cell>
          <cell r="Y132">
            <v>145.30000000000001</v>
          </cell>
          <cell r="Z132">
            <v>170.3</v>
          </cell>
          <cell r="AA132">
            <v>142.30000000000001</v>
          </cell>
          <cell r="AB132">
            <v>39.4</v>
          </cell>
          <cell r="AC132">
            <v>284.7</v>
          </cell>
          <cell r="AD132">
            <v>0</v>
          </cell>
          <cell r="AE132">
            <v>34.299999999999997</v>
          </cell>
          <cell r="AF132">
            <v>62.1</v>
          </cell>
          <cell r="AG132">
            <v>173.2</v>
          </cell>
          <cell r="AH132">
            <v>76.900000000000006</v>
          </cell>
          <cell r="AI132">
            <v>176.1</v>
          </cell>
          <cell r="AJ132">
            <v>76.900000000000006</v>
          </cell>
          <cell r="AN132">
            <v>96</v>
          </cell>
          <cell r="AP132">
            <v>37239.5625</v>
          </cell>
          <cell r="AQ132">
            <v>735.13100989999998</v>
          </cell>
          <cell r="AR132">
            <v>18.48</v>
          </cell>
          <cell r="AS132">
            <v>0.94531422271223808</v>
          </cell>
          <cell r="AT132">
            <v>9.7298059964726615</v>
          </cell>
          <cell r="AU132">
            <v>0.35027071278439542</v>
          </cell>
          <cell r="AV132">
            <v>13.585221062952</v>
          </cell>
          <cell r="AW132">
            <v>0.69492979921528109</v>
          </cell>
          <cell r="AX132">
            <v>7.1526821083180234</v>
          </cell>
          <cell r="AY132">
            <v>257.49486282758545</v>
          </cell>
          <cell r="AZ132">
            <v>10</v>
          </cell>
          <cell r="BA132">
            <v>10</v>
          </cell>
          <cell r="BB132">
            <v>10</v>
          </cell>
          <cell r="BC132">
            <v>10</v>
          </cell>
          <cell r="BD132">
            <v>10</v>
          </cell>
          <cell r="BE132">
            <v>10</v>
          </cell>
          <cell r="BF132">
            <v>5.1153367029883011E-2</v>
          </cell>
          <cell r="BI132">
            <v>96</v>
          </cell>
          <cell r="BK132">
            <v>37239.5625</v>
          </cell>
          <cell r="CD132">
            <v>0</v>
          </cell>
          <cell r="CF132">
            <v>37239.5625</v>
          </cell>
          <cell r="CG132">
            <v>9.82</v>
          </cell>
          <cell r="CH132">
            <v>12.0833333333333</v>
          </cell>
          <cell r="CI132">
            <v>10.952380952381001</v>
          </cell>
          <cell r="CU132">
            <v>10</v>
          </cell>
          <cell r="CV132">
            <v>10</v>
          </cell>
          <cell r="CY132">
            <v>0</v>
          </cell>
        </row>
        <row r="133">
          <cell r="A133">
            <v>37270</v>
          </cell>
          <cell r="B133">
            <v>105.32131193518227</v>
          </cell>
          <cell r="C133">
            <v>124.07667213114753</v>
          </cell>
          <cell r="D133">
            <v>108.04013543307087</v>
          </cell>
          <cell r="E133">
            <v>103.91508380952379</v>
          </cell>
          <cell r="F133">
            <v>104.89049699699699</v>
          </cell>
          <cell r="G133">
            <v>94.779947494033408</v>
          </cell>
          <cell r="H133">
            <v>111.95136159280665</v>
          </cell>
          <cell r="I133">
            <v>163.22456140350877</v>
          </cell>
          <cell r="J133">
            <v>105.95988617886179</v>
          </cell>
          <cell r="K133">
            <v>118.97799999999999</v>
          </cell>
          <cell r="L133">
            <v>126.78758935742972</v>
          </cell>
          <cell r="M133">
            <v>117.61825858123571</v>
          </cell>
          <cell r="N133">
            <v>109.949</v>
          </cell>
          <cell r="R133">
            <v>97</v>
          </cell>
          <cell r="T133">
            <v>37270</v>
          </cell>
          <cell r="U133">
            <v>461.9</v>
          </cell>
          <cell r="V133">
            <v>180.6</v>
          </cell>
          <cell r="W133">
            <v>377.8</v>
          </cell>
          <cell r="Y133">
            <v>158.1</v>
          </cell>
          <cell r="Z133">
            <v>205.1</v>
          </cell>
          <cell r="AA133">
            <v>152.6</v>
          </cell>
          <cell r="AB133">
            <v>40.1</v>
          </cell>
          <cell r="AC133">
            <v>226.3</v>
          </cell>
          <cell r="AE133">
            <v>86.5</v>
          </cell>
          <cell r="AF133">
            <v>94.1</v>
          </cell>
          <cell r="AG133">
            <v>218.7</v>
          </cell>
          <cell r="AH133">
            <v>72.099999999999994</v>
          </cell>
          <cell r="AI133">
            <v>202.5</v>
          </cell>
          <cell r="AJ133">
            <v>72.099999999999994</v>
          </cell>
          <cell r="AN133">
            <v>97</v>
          </cell>
          <cell r="AP133">
            <v>37270</v>
          </cell>
          <cell r="AQ133">
            <v>742.79258765999998</v>
          </cell>
          <cell r="AR133">
            <v>19.190000000000001</v>
          </cell>
          <cell r="AS133">
            <v>0.95744211686879821</v>
          </cell>
          <cell r="AT133">
            <v>9.9118165784832453</v>
          </cell>
          <cell r="AU133">
            <v>0.35644085749340193</v>
          </cell>
          <cell r="AV133">
            <v>14.254189757195402</v>
          </cell>
          <cell r="AW133">
            <v>0.71118090752364271</v>
          </cell>
          <cell r="AX133">
            <v>7.3624238847428565</v>
          </cell>
          <cell r="AY133">
            <v>264.7616268852733</v>
          </cell>
          <cell r="AZ133">
            <v>10</v>
          </cell>
          <cell r="BA133">
            <v>10</v>
          </cell>
          <cell r="BB133">
            <v>10</v>
          </cell>
          <cell r="BC133">
            <v>10</v>
          </cell>
          <cell r="BD133">
            <v>10</v>
          </cell>
          <cell r="BE133">
            <v>10</v>
          </cell>
          <cell r="BF133">
            <v>4.9892762734173944E-2</v>
          </cell>
          <cell r="BI133">
            <v>97</v>
          </cell>
          <cell r="BK133">
            <v>37270</v>
          </cell>
          <cell r="CD133">
            <v>0</v>
          </cell>
          <cell r="CF133">
            <v>37270</v>
          </cell>
          <cell r="CG133">
            <v>9.82</v>
          </cell>
          <cell r="CH133">
            <v>12.0833333333333</v>
          </cell>
          <cell r="CI133">
            <v>10.952380952381001</v>
          </cell>
          <cell r="CU133">
            <v>10</v>
          </cell>
          <cell r="CV133">
            <v>10</v>
          </cell>
          <cell r="CY133">
            <v>0</v>
          </cell>
        </row>
        <row r="134">
          <cell r="A134">
            <v>37300.4375</v>
          </cell>
          <cell r="B134">
            <v>110.60790277344968</v>
          </cell>
          <cell r="C134">
            <v>127.11628961748633</v>
          </cell>
          <cell r="D134">
            <v>108.04013543307087</v>
          </cell>
          <cell r="E134">
            <v>107.44586571428572</v>
          </cell>
          <cell r="F134">
            <v>104.8815</v>
          </cell>
          <cell r="G134">
            <v>95.17054892601432</v>
          </cell>
          <cell r="H134">
            <v>114.22435067437378</v>
          </cell>
          <cell r="I134">
            <v>163.22456140350877</v>
          </cell>
          <cell r="J134">
            <v>105.95988617886179</v>
          </cell>
          <cell r="K134">
            <v>118.97799999999999</v>
          </cell>
          <cell r="L134">
            <v>126.90047590361446</v>
          </cell>
          <cell r="M134">
            <v>117.64278032036613</v>
          </cell>
          <cell r="N134">
            <v>112.45399999999999</v>
          </cell>
          <cell r="R134">
            <v>98</v>
          </cell>
          <cell r="T134">
            <v>37300.4375</v>
          </cell>
          <cell r="U134">
            <v>379</v>
          </cell>
          <cell r="V134">
            <v>154.80000000000001</v>
          </cell>
          <cell r="W134">
            <v>310</v>
          </cell>
          <cell r="Y134">
            <v>145.6</v>
          </cell>
          <cell r="Z134">
            <v>153.1</v>
          </cell>
          <cell r="AA134">
            <v>144.69999999999999</v>
          </cell>
          <cell r="AB134">
            <v>27.9</v>
          </cell>
          <cell r="AC134">
            <v>208.2</v>
          </cell>
          <cell r="AE134">
            <v>85.7</v>
          </cell>
          <cell r="AF134">
            <v>79.900000000000006</v>
          </cell>
          <cell r="AG134">
            <v>218.4</v>
          </cell>
          <cell r="AH134">
            <v>73</v>
          </cell>
          <cell r="AI134">
            <v>178.6</v>
          </cell>
          <cell r="AJ134">
            <v>73</v>
          </cell>
          <cell r="AN134">
            <v>98</v>
          </cell>
          <cell r="AP134">
            <v>37300.4375</v>
          </cell>
          <cell r="AQ134">
            <v>753.96353537000005</v>
          </cell>
          <cell r="AR134">
            <v>19.96</v>
          </cell>
          <cell r="AS134">
            <v>0.94399117971334068</v>
          </cell>
          <cell r="AT134">
            <v>9.9149911816578484</v>
          </cell>
          <cell r="AU134">
            <v>0.35521627598812722</v>
          </cell>
          <cell r="AV134">
            <v>15.049112165985202</v>
          </cell>
          <cell r="AW134">
            <v>0.71173492721476739</v>
          </cell>
          <cell r="AX134">
            <v>7.4755418044851254</v>
          </cell>
          <cell r="AY134">
            <v>267.82011926497404</v>
          </cell>
          <cell r="AZ134">
            <v>10</v>
          </cell>
          <cell r="BA134">
            <v>10</v>
          </cell>
          <cell r="BB134">
            <v>10</v>
          </cell>
          <cell r="BC134">
            <v>10</v>
          </cell>
          <cell r="BD134">
            <v>10</v>
          </cell>
          <cell r="BE134">
            <v>10</v>
          </cell>
          <cell r="BF134">
            <v>4.7294147280227489E-2</v>
          </cell>
          <cell r="BI134">
            <v>98</v>
          </cell>
          <cell r="BK134">
            <v>37300.4375</v>
          </cell>
          <cell r="CD134">
            <v>0</v>
          </cell>
          <cell r="CF134">
            <v>37300.4375</v>
          </cell>
          <cell r="CG134">
            <v>9.82</v>
          </cell>
          <cell r="CH134">
            <v>12.0833333333333</v>
          </cell>
          <cell r="CI134">
            <v>10.952380952381001</v>
          </cell>
          <cell r="CU134">
            <v>10</v>
          </cell>
          <cell r="CV134">
            <v>10</v>
          </cell>
          <cell r="CY134">
            <v>0</v>
          </cell>
        </row>
        <row r="135">
          <cell r="A135">
            <v>37330.875</v>
          </cell>
          <cell r="B135">
            <v>109.65191368027421</v>
          </cell>
          <cell r="C135">
            <v>127.02626229508195</v>
          </cell>
          <cell r="D135">
            <v>108.04013543307087</v>
          </cell>
          <cell r="E135">
            <v>107.52687714285716</v>
          </cell>
          <cell r="F135">
            <v>105.14042792792792</v>
          </cell>
          <cell r="G135">
            <v>95.121398568019103</v>
          </cell>
          <cell r="H135">
            <v>115.67338086062941</v>
          </cell>
          <cell r="I135">
            <v>163.22456140350877</v>
          </cell>
          <cell r="J135">
            <v>105.95988617886179</v>
          </cell>
          <cell r="K135">
            <v>118.97799999999999</v>
          </cell>
          <cell r="L135">
            <v>126.50387449799196</v>
          </cell>
          <cell r="M135">
            <v>117.64278032036613</v>
          </cell>
          <cell r="N135">
            <v>112.355</v>
          </cell>
          <cell r="R135">
            <v>99</v>
          </cell>
          <cell r="T135">
            <v>37330.875</v>
          </cell>
          <cell r="U135">
            <v>319.5</v>
          </cell>
          <cell r="V135">
            <v>155.1</v>
          </cell>
          <cell r="W135">
            <v>261.39999999999998</v>
          </cell>
          <cell r="Y135">
            <v>146.69999999999999</v>
          </cell>
          <cell r="Z135">
            <v>200.2</v>
          </cell>
          <cell r="AA135">
            <v>140.5</v>
          </cell>
          <cell r="AB135">
            <v>36.1</v>
          </cell>
          <cell r="AC135">
            <v>181.4</v>
          </cell>
          <cell r="AE135">
            <v>78</v>
          </cell>
          <cell r="AF135">
            <v>107.9</v>
          </cell>
          <cell r="AG135">
            <v>222</v>
          </cell>
          <cell r="AH135">
            <v>47.6</v>
          </cell>
          <cell r="AI135">
            <v>169.4</v>
          </cell>
          <cell r="AJ135">
            <v>47.6</v>
          </cell>
          <cell r="AN135">
            <v>99</v>
          </cell>
          <cell r="AP135">
            <v>37330.875</v>
          </cell>
          <cell r="AQ135">
            <v>749.00450045000002</v>
          </cell>
          <cell r="AR135">
            <v>23.64</v>
          </cell>
          <cell r="AS135">
            <v>0.92701212789415655</v>
          </cell>
          <cell r="AT135">
            <v>9.9118165784832453</v>
          </cell>
          <cell r="AU135">
            <v>0.35947215357629703</v>
          </cell>
          <cell r="AV135">
            <v>17.706466390638003</v>
          </cell>
          <cell r="AW135">
            <v>0.69433625576445424</v>
          </cell>
          <cell r="AX135">
            <v>7.4239952249188716</v>
          </cell>
          <cell r="AY135">
            <v>269.24626081510002</v>
          </cell>
          <cell r="AZ135">
            <v>10</v>
          </cell>
          <cell r="BA135">
            <v>10</v>
          </cell>
          <cell r="BB135">
            <v>10</v>
          </cell>
          <cell r="BC135">
            <v>10</v>
          </cell>
          <cell r="BD135">
            <v>10</v>
          </cell>
          <cell r="BE135">
            <v>10</v>
          </cell>
          <cell r="BF135">
            <v>3.9213710993830642E-2</v>
          </cell>
          <cell r="BI135">
            <v>99</v>
          </cell>
          <cell r="BK135">
            <v>37330.875</v>
          </cell>
          <cell r="CD135">
            <v>0</v>
          </cell>
          <cell r="CF135">
            <v>37330.875</v>
          </cell>
          <cell r="CG135">
            <v>9.82</v>
          </cell>
          <cell r="CH135">
            <v>12.0833333333333</v>
          </cell>
          <cell r="CI135">
            <v>10.952380952381001</v>
          </cell>
          <cell r="CU135">
            <v>10</v>
          </cell>
          <cell r="CV135">
            <v>10</v>
          </cell>
          <cell r="CY135">
            <v>0</v>
          </cell>
        </row>
        <row r="136">
          <cell r="A136">
            <v>37361.3125</v>
          </cell>
          <cell r="B136">
            <v>109.76538360860083</v>
          </cell>
          <cell r="C136">
            <v>129.41592896174862</v>
          </cell>
          <cell r="D136">
            <v>108.04013543307087</v>
          </cell>
          <cell r="E136">
            <v>106.30249999999999</v>
          </cell>
          <cell r="F136">
            <v>106.64992942942943</v>
          </cell>
          <cell r="G136">
            <v>95.121398568019103</v>
          </cell>
          <cell r="H136">
            <v>120.14357739242132</v>
          </cell>
          <cell r="I136">
            <v>163.22456140350877</v>
          </cell>
          <cell r="J136">
            <v>105.95988617886179</v>
          </cell>
          <cell r="K136">
            <v>118.97799999999999</v>
          </cell>
          <cell r="L136">
            <v>127.58378915662651</v>
          </cell>
          <cell r="M136">
            <v>117.64278032036613</v>
          </cell>
          <cell r="N136">
            <v>113.211</v>
          </cell>
          <cell r="R136">
            <v>100</v>
          </cell>
          <cell r="T136">
            <v>37361.3125</v>
          </cell>
          <cell r="V136">
            <v>86.9</v>
          </cell>
          <cell r="Y136">
            <v>114.3</v>
          </cell>
          <cell r="Z136">
            <v>178.6</v>
          </cell>
          <cell r="AA136">
            <v>107.4</v>
          </cell>
          <cell r="AB136">
            <v>35.299999999999997</v>
          </cell>
          <cell r="AC136">
            <v>61.4</v>
          </cell>
          <cell r="AE136">
            <v>71.3</v>
          </cell>
          <cell r="AF136">
            <v>119.6</v>
          </cell>
          <cell r="AG136">
            <v>221.7</v>
          </cell>
          <cell r="AH136">
            <v>69.599999999999994</v>
          </cell>
          <cell r="AI136">
            <v>90.1</v>
          </cell>
          <cell r="AJ136">
            <v>69.599999999999994</v>
          </cell>
          <cell r="AN136">
            <v>100</v>
          </cell>
          <cell r="AP136">
            <v>37361.3125</v>
          </cell>
          <cell r="AQ136">
            <v>740.5492147199999</v>
          </cell>
          <cell r="AR136">
            <v>25.43</v>
          </cell>
          <cell r="AS136">
            <v>0.91245865490628453</v>
          </cell>
          <cell r="AT136">
            <v>9.9118165784832453</v>
          </cell>
          <cell r="AU136">
            <v>0.3750520077142892</v>
          </cell>
          <cell r="AV136">
            <v>18.832166530329594</v>
          </cell>
          <cell r="AW136">
            <v>0.67572054035531637</v>
          </cell>
          <cell r="AX136">
            <v>7.3401879836444435</v>
          </cell>
          <cell r="AY136">
            <v>277.7444697919762</v>
          </cell>
          <cell r="AZ136">
            <v>10</v>
          </cell>
          <cell r="BA136">
            <v>10</v>
          </cell>
          <cell r="BB136">
            <v>10</v>
          </cell>
          <cell r="BC136">
            <v>10</v>
          </cell>
          <cell r="BD136">
            <v>10</v>
          </cell>
          <cell r="BE136">
            <v>10</v>
          </cell>
          <cell r="BF136">
            <v>3.588118973284643E-2</v>
          </cell>
          <cell r="BI136">
            <v>100</v>
          </cell>
          <cell r="BK136">
            <v>37361.3125</v>
          </cell>
          <cell r="CD136">
            <v>0</v>
          </cell>
          <cell r="CF136">
            <v>37361.3125</v>
          </cell>
          <cell r="CG136">
            <v>9.82</v>
          </cell>
          <cell r="CH136">
            <v>12.0833333333333</v>
          </cell>
          <cell r="CI136">
            <v>10.952380952381001</v>
          </cell>
          <cell r="CU136">
            <v>10</v>
          </cell>
          <cell r="CV136">
            <v>10</v>
          </cell>
          <cell r="CY136">
            <v>0</v>
          </cell>
        </row>
        <row r="137">
          <cell r="A137">
            <v>37391.75</v>
          </cell>
          <cell r="B137">
            <v>114.16037675288253</v>
          </cell>
          <cell r="C137">
            <v>128.8440710382514</v>
          </cell>
          <cell r="D137">
            <v>108.04013543307087</v>
          </cell>
          <cell r="E137">
            <v>106.87828666666665</v>
          </cell>
          <cell r="F137">
            <v>106.64992942942943</v>
          </cell>
          <cell r="G137">
            <v>96.155527446300709</v>
          </cell>
          <cell r="H137">
            <v>123.03960822093771</v>
          </cell>
          <cell r="I137">
            <v>163.22456140350877</v>
          </cell>
          <cell r="J137">
            <v>105.95988617886179</v>
          </cell>
          <cell r="K137">
            <v>118.97799999999999</v>
          </cell>
          <cell r="L137">
            <v>126.71765963855422</v>
          </cell>
          <cell r="M137">
            <v>117.64278032036613</v>
          </cell>
          <cell r="N137">
            <v>115.07899999999999</v>
          </cell>
          <cell r="R137">
            <v>101</v>
          </cell>
          <cell r="T137">
            <v>37391.75</v>
          </cell>
          <cell r="V137">
            <v>76.400000000000006</v>
          </cell>
          <cell r="Y137">
            <v>108.4</v>
          </cell>
          <cell r="Z137">
            <v>221.7</v>
          </cell>
          <cell r="AA137">
            <v>95.2</v>
          </cell>
          <cell r="AB137">
            <v>13</v>
          </cell>
          <cell r="AC137">
            <v>28.9</v>
          </cell>
          <cell r="AE137">
            <v>87.3</v>
          </cell>
          <cell r="AF137">
            <v>78.3</v>
          </cell>
          <cell r="AG137">
            <v>221.5</v>
          </cell>
          <cell r="AH137">
            <v>120.8</v>
          </cell>
          <cell r="AI137">
            <v>85</v>
          </cell>
          <cell r="AJ137">
            <v>120.8</v>
          </cell>
          <cell r="AN137">
            <v>101</v>
          </cell>
          <cell r="AP137">
            <v>37391.75</v>
          </cell>
          <cell r="AQ137">
            <v>715.38670419999994</v>
          </cell>
          <cell r="AR137">
            <v>25.76</v>
          </cell>
          <cell r="AS137">
            <v>0.88048511576626232</v>
          </cell>
          <cell r="AT137">
            <v>9.9118165784832453</v>
          </cell>
          <cell r="AU137">
            <v>0.41718670673167774</v>
          </cell>
          <cell r="AV137">
            <v>18.428361500192</v>
          </cell>
          <cell r="AW137">
            <v>0.62988734506518174</v>
          </cell>
          <cell r="AX137">
            <v>7.0907817947160492</v>
          </cell>
          <cell r="AY137">
            <v>298.44982316482685</v>
          </cell>
          <cell r="AZ137">
            <v>10</v>
          </cell>
          <cell r="BA137">
            <v>10</v>
          </cell>
          <cell r="BB137">
            <v>10</v>
          </cell>
          <cell r="BC137">
            <v>10</v>
          </cell>
          <cell r="BD137">
            <v>10</v>
          </cell>
          <cell r="BE137">
            <v>10</v>
          </cell>
          <cell r="BF137">
            <v>3.4180322817013283E-2</v>
          </cell>
          <cell r="BI137">
            <v>101</v>
          </cell>
          <cell r="BK137">
            <v>37391.75</v>
          </cell>
          <cell r="CD137">
            <v>0</v>
          </cell>
          <cell r="CF137">
            <v>37391.75</v>
          </cell>
          <cell r="CG137">
            <v>9.82</v>
          </cell>
          <cell r="CH137">
            <v>12.0833333333333</v>
          </cell>
          <cell r="CI137">
            <v>10.952380952381001</v>
          </cell>
          <cell r="CU137">
            <v>10</v>
          </cell>
          <cell r="CV137">
            <v>10</v>
          </cell>
          <cell r="CY137">
            <v>0</v>
          </cell>
        </row>
        <row r="138">
          <cell r="A138">
            <v>37422.1875</v>
          </cell>
          <cell r="B138">
            <v>119.75967279526333</v>
          </cell>
          <cell r="C138">
            <v>128.86879781420765</v>
          </cell>
          <cell r="D138">
            <v>108.04013543307087</v>
          </cell>
          <cell r="E138">
            <v>106.67601047619047</v>
          </cell>
          <cell r="F138">
            <v>106.64992942942943</v>
          </cell>
          <cell r="G138">
            <v>96.147887828162283</v>
          </cell>
          <cell r="H138">
            <v>122.43810533076429</v>
          </cell>
          <cell r="I138">
            <v>163.22456140350877</v>
          </cell>
          <cell r="J138">
            <v>105.95988617886179</v>
          </cell>
          <cell r="K138">
            <v>118.97799999999999</v>
          </cell>
          <cell r="L138">
            <v>127.094281124498</v>
          </cell>
          <cell r="M138">
            <v>117.64278032036613</v>
          </cell>
          <cell r="N138">
            <v>116.79900000000001</v>
          </cell>
          <cell r="R138">
            <v>102</v>
          </cell>
          <cell r="T138">
            <v>37422.1875</v>
          </cell>
          <cell r="V138">
            <v>60.5</v>
          </cell>
          <cell r="Y138">
            <v>95.7</v>
          </cell>
          <cell r="Z138">
            <v>167.8</v>
          </cell>
          <cell r="AA138">
            <v>87.3</v>
          </cell>
          <cell r="AB138">
            <v>11.2</v>
          </cell>
          <cell r="AC138">
            <v>26.4</v>
          </cell>
          <cell r="AE138">
            <v>81.8</v>
          </cell>
          <cell r="AF138">
            <v>47.5</v>
          </cell>
          <cell r="AG138">
            <v>211.6</v>
          </cell>
          <cell r="AH138">
            <v>100</v>
          </cell>
          <cell r="AI138">
            <v>75.099999999999994</v>
          </cell>
          <cell r="AJ138">
            <v>100</v>
          </cell>
          <cell r="AN138">
            <v>102</v>
          </cell>
          <cell r="AP138">
            <v>37422.1875</v>
          </cell>
          <cell r="AQ138">
            <v>686.80665770999997</v>
          </cell>
          <cell r="AR138">
            <v>24.5</v>
          </cell>
          <cell r="AS138">
            <v>0.95898566703417865</v>
          </cell>
          <cell r="AT138">
            <v>9.9118165784832453</v>
          </cell>
          <cell r="AU138">
            <v>0.46799882274729288</v>
          </cell>
          <cell r="AV138">
            <v>16.826763113894998</v>
          </cell>
          <cell r="AW138">
            <v>0.65863774076753923</v>
          </cell>
          <cell r="AX138">
            <v>6.8075016161026447</v>
          </cell>
          <cell r="AY138">
            <v>321.42470726328293</v>
          </cell>
          <cell r="AZ138">
            <v>10</v>
          </cell>
          <cell r="BA138">
            <v>10</v>
          </cell>
          <cell r="BB138">
            <v>10</v>
          </cell>
          <cell r="BC138">
            <v>10</v>
          </cell>
          <cell r="BD138">
            <v>10</v>
          </cell>
          <cell r="BE138">
            <v>10</v>
          </cell>
          <cell r="BF138">
            <v>3.9142272123844038E-2</v>
          </cell>
          <cell r="BI138">
            <v>102</v>
          </cell>
          <cell r="BK138">
            <v>37422.1875</v>
          </cell>
          <cell r="CD138">
            <v>0</v>
          </cell>
          <cell r="CF138">
            <v>37422.1875</v>
          </cell>
          <cell r="CG138">
            <v>9.82</v>
          </cell>
          <cell r="CH138">
            <v>12.0833333333333</v>
          </cell>
          <cell r="CI138">
            <v>10.952380952381001</v>
          </cell>
          <cell r="CU138">
            <v>10</v>
          </cell>
          <cell r="CV138">
            <v>10</v>
          </cell>
          <cell r="CY138">
            <v>0</v>
          </cell>
        </row>
        <row r="139">
          <cell r="A139">
            <v>37452.625</v>
          </cell>
          <cell r="B139">
            <v>117.82112153318789</v>
          </cell>
          <cell r="C139">
            <v>130.69871584699453</v>
          </cell>
          <cell r="D139">
            <v>108.04013543307087</v>
          </cell>
          <cell r="E139">
            <v>108.74075714285713</v>
          </cell>
          <cell r="F139">
            <v>106.64992942942943</v>
          </cell>
          <cell r="G139">
            <v>96.155527446300709</v>
          </cell>
          <cell r="H139">
            <v>121.24442517662169</v>
          </cell>
          <cell r="I139">
            <v>163.22456140350877</v>
          </cell>
          <cell r="J139">
            <v>105.99174390243904</v>
          </cell>
          <cell r="K139">
            <v>118.97799999999999</v>
          </cell>
          <cell r="L139">
            <v>126.37500401606427</v>
          </cell>
          <cell r="M139">
            <v>117.64278032036613</v>
          </cell>
          <cell r="N139">
            <v>116.17100000000001</v>
          </cell>
          <cell r="R139">
            <v>103</v>
          </cell>
          <cell r="T139">
            <v>37452.625</v>
          </cell>
          <cell r="AN139">
            <v>0</v>
          </cell>
          <cell r="AP139">
            <v>37452.625</v>
          </cell>
          <cell r="AQ139">
            <v>661.21777513999996</v>
          </cell>
          <cell r="AR139">
            <v>25.77</v>
          </cell>
          <cell r="AS139">
            <v>1.029768467475193</v>
          </cell>
          <cell r="AT139">
            <v>11.050793650793652</v>
          </cell>
          <cell r="AU139">
            <v>0.44346011651204975</v>
          </cell>
          <cell r="AV139">
            <v>17.039582065357799</v>
          </cell>
          <cell r="AW139">
            <v>0.6809012149732746</v>
          </cell>
          <cell r="AX139">
            <v>7.3069811913090161</v>
          </cell>
          <cell r="AY139">
            <v>293.22371160342271</v>
          </cell>
          <cell r="AZ139">
            <v>10</v>
          </cell>
          <cell r="BA139">
            <v>10</v>
          </cell>
          <cell r="BB139">
            <v>10</v>
          </cell>
          <cell r="BC139">
            <v>10</v>
          </cell>
          <cell r="BD139">
            <v>10</v>
          </cell>
          <cell r="BE139">
            <v>10</v>
          </cell>
          <cell r="BF139">
            <v>3.9959971574512733E-2</v>
          </cell>
          <cell r="BI139">
            <v>103</v>
          </cell>
          <cell r="BK139">
            <v>37452.625</v>
          </cell>
          <cell r="CD139">
            <v>0</v>
          </cell>
          <cell r="CF139">
            <v>37452.625</v>
          </cell>
          <cell r="CG139">
            <v>9.82</v>
          </cell>
          <cell r="CH139">
            <v>12.0833333333333</v>
          </cell>
          <cell r="CI139">
            <v>10.952380952381001</v>
          </cell>
          <cell r="CU139">
            <v>10</v>
          </cell>
          <cell r="CV139">
            <v>10</v>
          </cell>
          <cell r="CY139">
            <v>0</v>
          </cell>
        </row>
        <row r="140">
          <cell r="A140">
            <v>37483.0625</v>
          </cell>
          <cell r="B140">
            <v>119.24307821751326</v>
          </cell>
          <cell r="C140">
            <v>127.15057923497268</v>
          </cell>
          <cell r="D140">
            <v>107.44714488188977</v>
          </cell>
          <cell r="E140">
            <v>119.24815619047621</v>
          </cell>
          <cell r="F140">
            <v>105.82863213213214</v>
          </cell>
          <cell r="G140">
            <v>96.155527446300709</v>
          </cell>
          <cell r="H140">
            <v>120.96104688503532</v>
          </cell>
          <cell r="I140">
            <v>163.22456140350877</v>
          </cell>
          <cell r="J140">
            <v>105.99174390243904</v>
          </cell>
          <cell r="K140">
            <v>118.97799999999999</v>
          </cell>
          <cell r="L140">
            <v>127.13823694779117</v>
          </cell>
          <cell r="M140">
            <v>117.63500686498854</v>
          </cell>
          <cell r="N140">
            <v>117.605</v>
          </cell>
          <cell r="R140">
            <v>104</v>
          </cell>
          <cell r="T140">
            <v>37483.0625</v>
          </cell>
          <cell r="AN140">
            <v>0</v>
          </cell>
          <cell r="AP140">
            <v>37483.0625</v>
          </cell>
          <cell r="AQ140">
            <v>670.84722390000002</v>
          </cell>
          <cell r="AR140">
            <v>26.88</v>
          </cell>
          <cell r="AS140">
            <v>1.0875413450937155</v>
          </cell>
          <cell r="AT140">
            <v>10.944620811287477</v>
          </cell>
          <cell r="AU140">
            <v>0.40556304064914928</v>
          </cell>
          <cell r="AV140">
            <v>18.032373378431998</v>
          </cell>
          <cell r="AW140">
            <v>0.72957409223259095</v>
          </cell>
          <cell r="AX140">
            <v>7.3421684878903699</v>
          </cell>
          <cell r="AY140">
            <v>272.07083993592465</v>
          </cell>
          <cell r="AZ140">
            <v>10</v>
          </cell>
          <cell r="BA140">
            <v>10</v>
          </cell>
          <cell r="BB140">
            <v>10</v>
          </cell>
          <cell r="BC140">
            <v>10</v>
          </cell>
          <cell r="BD140">
            <v>10</v>
          </cell>
          <cell r="BE140">
            <v>10</v>
          </cell>
          <cell r="BF140">
            <v>4.0459127421641206E-2</v>
          </cell>
          <cell r="BI140">
            <v>104</v>
          </cell>
          <cell r="BK140">
            <v>37483.0625</v>
          </cell>
          <cell r="CD140">
            <v>0</v>
          </cell>
          <cell r="CF140">
            <v>37483.0625</v>
          </cell>
          <cell r="CG140">
            <v>9.82</v>
          </cell>
          <cell r="CH140">
            <v>12.0833333333333</v>
          </cell>
          <cell r="CI140">
            <v>10.952380952381001</v>
          </cell>
          <cell r="CU140">
            <v>10</v>
          </cell>
          <cell r="CV140">
            <v>10</v>
          </cell>
          <cell r="CY140">
            <v>0</v>
          </cell>
        </row>
        <row r="141">
          <cell r="A141">
            <v>37513.5</v>
          </cell>
          <cell r="B141">
            <v>112.31412932377687</v>
          </cell>
          <cell r="C141">
            <v>131.73691803278689</v>
          </cell>
          <cell r="D141">
            <v>107.44714488188977</v>
          </cell>
          <cell r="E141">
            <v>112.55063904761904</v>
          </cell>
          <cell r="F141">
            <v>105.82420270270269</v>
          </cell>
          <cell r="G141">
            <v>96.155527446300709</v>
          </cell>
          <cell r="H141">
            <v>121.43368657675016</v>
          </cell>
          <cell r="I141">
            <v>163.22456140350877</v>
          </cell>
          <cell r="J141">
            <v>105.99572764227644</v>
          </cell>
          <cell r="K141">
            <v>118.97799999999999</v>
          </cell>
          <cell r="L141">
            <v>126.87550100401606</v>
          </cell>
          <cell r="M141">
            <v>117.63500686498854</v>
          </cell>
          <cell r="N141">
            <v>114.81</v>
          </cell>
          <cell r="R141">
            <v>105</v>
          </cell>
          <cell r="T141">
            <v>37513.5</v>
          </cell>
          <cell r="AN141">
            <v>0</v>
          </cell>
          <cell r="AP141">
            <v>37513.5</v>
          </cell>
          <cell r="AQ141">
            <v>668.80719763000002</v>
          </cell>
          <cell r="AR141">
            <v>28.3</v>
          </cell>
          <cell r="AS141">
            <v>1.0800441014332964</v>
          </cell>
          <cell r="AT141">
            <v>11.257142857142856</v>
          </cell>
          <cell r="AU141">
            <v>0.44996396355374829</v>
          </cell>
          <cell r="AV141">
            <v>18.927243692929</v>
          </cell>
          <cell r="AW141">
            <v>0.72234126879641447</v>
          </cell>
          <cell r="AX141">
            <v>7.5288581676062849</v>
          </cell>
          <cell r="AY141">
            <v>300.93913749886985</v>
          </cell>
          <cell r="AZ141">
            <v>10</v>
          </cell>
          <cell r="BA141">
            <v>10</v>
          </cell>
          <cell r="BB141">
            <v>10</v>
          </cell>
          <cell r="BC141">
            <v>10</v>
          </cell>
          <cell r="BD141">
            <v>10</v>
          </cell>
          <cell r="BE141">
            <v>10</v>
          </cell>
          <cell r="BF141">
            <v>3.8164102524144754E-2</v>
          </cell>
          <cell r="BI141">
            <v>105</v>
          </cell>
          <cell r="BK141">
            <v>37513.5</v>
          </cell>
          <cell r="CD141">
            <v>0</v>
          </cell>
          <cell r="CF141">
            <v>37513.5</v>
          </cell>
          <cell r="CG141">
            <v>9.82</v>
          </cell>
          <cell r="CH141">
            <v>12.0833333333333</v>
          </cell>
          <cell r="CI141">
            <v>10.952380952381001</v>
          </cell>
          <cell r="CU141">
            <v>10</v>
          </cell>
          <cell r="CV141">
            <v>10</v>
          </cell>
          <cell r="CY141">
            <v>0</v>
          </cell>
        </row>
        <row r="142">
          <cell r="A142">
            <v>37543.9375</v>
          </cell>
          <cell r="B142">
            <v>110.62657214085387</v>
          </cell>
          <cell r="C142">
            <v>131.20536065573771</v>
          </cell>
          <cell r="D142">
            <v>107.44714488188977</v>
          </cell>
          <cell r="E142">
            <v>111.20366285714286</v>
          </cell>
          <cell r="F142">
            <v>105.82420270270269</v>
          </cell>
          <cell r="G142">
            <v>96.155527446300709</v>
          </cell>
          <cell r="H142">
            <v>122.83422607578676</v>
          </cell>
          <cell r="I142">
            <v>163.22456140350877</v>
          </cell>
          <cell r="J142">
            <v>106.03476829268294</v>
          </cell>
          <cell r="K142">
            <v>118.203</v>
          </cell>
          <cell r="L142">
            <v>126.61776004016065</v>
          </cell>
          <cell r="M142">
            <v>117.63852173913044</v>
          </cell>
          <cell r="N142">
            <v>114.29300000000001</v>
          </cell>
          <cell r="R142">
            <v>106</v>
          </cell>
          <cell r="T142">
            <v>37543.9375</v>
          </cell>
          <cell r="AN142">
            <v>0</v>
          </cell>
          <cell r="AP142">
            <v>37543.9375</v>
          </cell>
          <cell r="AQ142">
            <v>668.79407849000006</v>
          </cell>
          <cell r="AR142">
            <v>27.53</v>
          </cell>
          <cell r="AS142">
            <v>1.093715545755237</v>
          </cell>
          <cell r="AT142">
            <v>11.166137566137566</v>
          </cell>
          <cell r="AU142">
            <v>0.50376045591077034</v>
          </cell>
          <cell r="AV142">
            <v>18.411900980829703</v>
          </cell>
          <cell r="AW142">
            <v>0.73147048055356112</v>
          </cell>
          <cell r="AX142">
            <v>7.4678466838375455</v>
          </cell>
          <cell r="AY142">
            <v>336.91200989054596</v>
          </cell>
          <cell r="AZ142">
            <v>10</v>
          </cell>
          <cell r="BA142">
            <v>10</v>
          </cell>
          <cell r="BB142">
            <v>10</v>
          </cell>
          <cell r="BC142">
            <v>10</v>
          </cell>
          <cell r="BD142">
            <v>10</v>
          </cell>
          <cell r="BE142">
            <v>10</v>
          </cell>
          <cell r="BF142">
            <v>3.972813460789091E-2</v>
          </cell>
          <cell r="BI142">
            <v>106</v>
          </cell>
          <cell r="BK142">
            <v>37543.9375</v>
          </cell>
          <cell r="CD142">
            <v>0</v>
          </cell>
          <cell r="CF142">
            <v>37543.9375</v>
          </cell>
          <cell r="CG142">
            <v>9.82</v>
          </cell>
          <cell r="CH142">
            <v>12.0833333333333</v>
          </cell>
          <cell r="CI142">
            <v>10.952380952381001</v>
          </cell>
          <cell r="CU142">
            <v>10</v>
          </cell>
          <cell r="CV142">
            <v>10</v>
          </cell>
          <cell r="CY142">
            <v>0</v>
          </cell>
        </row>
        <row r="143">
          <cell r="A143">
            <v>37574.375</v>
          </cell>
          <cell r="B143">
            <v>111.75913991897788</v>
          </cell>
          <cell r="C143">
            <v>135.19132786885245</v>
          </cell>
          <cell r="D143">
            <v>107.44714488188977</v>
          </cell>
          <cell r="E143">
            <v>110.4762819047619</v>
          </cell>
          <cell r="F143">
            <v>105.83442792792793</v>
          </cell>
          <cell r="G143">
            <v>96.155527446300709</v>
          </cell>
          <cell r="H143">
            <v>123.01480282594733</v>
          </cell>
          <cell r="I143">
            <v>163.22456140350877</v>
          </cell>
          <cell r="J143">
            <v>106.03476829268294</v>
          </cell>
          <cell r="K143">
            <v>118.203</v>
          </cell>
          <cell r="L143">
            <v>127.18518975903615</v>
          </cell>
          <cell r="M143">
            <v>117.63852173913044</v>
          </cell>
          <cell r="N143">
            <v>114.738</v>
          </cell>
          <cell r="R143">
            <v>107</v>
          </cell>
          <cell r="T143">
            <v>37574.375</v>
          </cell>
          <cell r="AN143">
            <v>0</v>
          </cell>
          <cell r="AP143">
            <v>37574.375</v>
          </cell>
          <cell r="AQ143">
            <v>661.33584740000003</v>
          </cell>
          <cell r="AR143">
            <v>24.48</v>
          </cell>
          <cell r="AS143">
            <v>1.1503858875413451</v>
          </cell>
          <cell r="AT143">
            <v>11.30299823633157</v>
          </cell>
          <cell r="AU143">
            <v>0.50592937142341554</v>
          </cell>
          <cell r="AV143">
            <v>16.189501544352002</v>
          </cell>
          <cell r="AW143">
            <v>0.76079142577415659</v>
          </cell>
          <cell r="AX143">
            <v>7.475077916785045</v>
          </cell>
          <cell r="AY143">
            <v>334.5892295748539</v>
          </cell>
          <cell r="AZ143">
            <v>10</v>
          </cell>
          <cell r="BA143">
            <v>10</v>
          </cell>
          <cell r="BB143">
            <v>10</v>
          </cell>
          <cell r="BC143">
            <v>10</v>
          </cell>
          <cell r="BD143">
            <v>10</v>
          </cell>
          <cell r="BE143">
            <v>10</v>
          </cell>
          <cell r="BF143">
            <v>4.6992887562963444E-2</v>
          </cell>
          <cell r="BI143">
            <v>107</v>
          </cell>
          <cell r="BK143">
            <v>37574.375</v>
          </cell>
          <cell r="CD143">
            <v>0</v>
          </cell>
          <cell r="CF143">
            <v>37574.375</v>
          </cell>
          <cell r="CG143">
            <v>9.82</v>
          </cell>
          <cell r="CH143">
            <v>12.0833333333333</v>
          </cell>
          <cell r="CI143">
            <v>10.952380952381001</v>
          </cell>
          <cell r="CU143">
            <v>10</v>
          </cell>
          <cell r="CV143">
            <v>10</v>
          </cell>
          <cell r="CY143">
            <v>0</v>
          </cell>
        </row>
        <row r="144">
          <cell r="A144">
            <v>37604.8125</v>
          </cell>
          <cell r="B144">
            <v>108.84109878466815</v>
          </cell>
          <cell r="C144">
            <v>132.46482513661201</v>
          </cell>
          <cell r="D144">
            <v>107.44714488188977</v>
          </cell>
          <cell r="E144">
            <v>112.63846095238095</v>
          </cell>
          <cell r="F144">
            <v>105.8471081081081</v>
          </cell>
          <cell r="G144">
            <v>96.155527446300709</v>
          </cell>
          <cell r="H144">
            <v>121.98898394348103</v>
          </cell>
          <cell r="I144">
            <v>163.22456140350877</v>
          </cell>
          <cell r="J144">
            <v>106.03476829268294</v>
          </cell>
          <cell r="K144">
            <v>118.203</v>
          </cell>
          <cell r="L144">
            <v>126.86051606425703</v>
          </cell>
          <cell r="M144">
            <v>117.60017391304349</v>
          </cell>
          <cell r="N144">
            <v>113.786</v>
          </cell>
          <cell r="R144">
            <v>108</v>
          </cell>
          <cell r="T144">
            <v>37604.8125</v>
          </cell>
          <cell r="AN144">
            <v>0</v>
          </cell>
          <cell r="AP144">
            <v>37604.8125</v>
          </cell>
          <cell r="AQ144">
            <v>644.35312067000007</v>
          </cell>
          <cell r="AR144">
            <v>27.89</v>
          </cell>
          <cell r="AS144">
            <v>1.2176405733186328</v>
          </cell>
          <cell r="AT144">
            <v>11.712169312169314</v>
          </cell>
          <cell r="AU144">
            <v>0.51483252160028159</v>
          </cell>
          <cell r="AV144">
            <v>17.971008535486305</v>
          </cell>
          <cell r="AW144">
            <v>0.78459050327226909</v>
          </cell>
          <cell r="AX144">
            <v>7.5467728461117058</v>
          </cell>
          <cell r="AY144">
            <v>331.73394191554667</v>
          </cell>
          <cell r="AZ144">
            <v>10</v>
          </cell>
          <cell r="BA144">
            <v>10</v>
          </cell>
          <cell r="BB144">
            <v>10</v>
          </cell>
          <cell r="BC144">
            <v>10</v>
          </cell>
          <cell r="BD144">
            <v>10</v>
          </cell>
          <cell r="BE144">
            <v>10</v>
          </cell>
          <cell r="BF144">
            <v>4.3658679573991846E-2</v>
          </cell>
          <cell r="BI144">
            <v>108</v>
          </cell>
          <cell r="BK144">
            <v>37604.8125</v>
          </cell>
          <cell r="CD144">
            <v>0</v>
          </cell>
          <cell r="CF144">
            <v>37604.8125</v>
          </cell>
          <cell r="CG144">
            <v>9.82</v>
          </cell>
          <cell r="CH144">
            <v>12.0833333333333</v>
          </cell>
          <cell r="CI144">
            <v>10.952380952381001</v>
          </cell>
          <cell r="CU144">
            <v>10</v>
          </cell>
          <cell r="CV144">
            <v>10</v>
          </cell>
          <cell r="CY144">
            <v>0</v>
          </cell>
        </row>
        <row r="145">
          <cell r="A145">
            <v>37635.25</v>
          </cell>
          <cell r="B145">
            <v>107.151119351823</v>
          </cell>
          <cell r="C145">
            <v>131.84101639344263</v>
          </cell>
          <cell r="D145">
            <v>118.81055905511813</v>
          </cell>
          <cell r="E145">
            <v>110.86171047619048</v>
          </cell>
          <cell r="F145">
            <v>105.73582582582583</v>
          </cell>
          <cell r="G145">
            <v>101.562138424821</v>
          </cell>
          <cell r="H145">
            <v>122.1336994219653</v>
          </cell>
          <cell r="I145">
            <v>163.22456140350877</v>
          </cell>
          <cell r="J145">
            <v>106.20072764227642</v>
          </cell>
          <cell r="K145">
            <v>118.203</v>
          </cell>
          <cell r="L145">
            <v>128.09927108433735</v>
          </cell>
          <cell r="M145">
            <v>117.59101144164759</v>
          </cell>
          <cell r="N145">
            <v>114.14</v>
          </cell>
          <cell r="R145">
            <v>109</v>
          </cell>
          <cell r="T145">
            <v>37635.25</v>
          </cell>
          <cell r="AN145">
            <v>0</v>
          </cell>
          <cell r="AP145">
            <v>37635.25</v>
          </cell>
          <cell r="AQ145">
            <v>617.68190904999994</v>
          </cell>
          <cell r="AR145">
            <v>30.75</v>
          </cell>
          <cell r="AS145">
            <v>1.2504961411245865</v>
          </cell>
          <cell r="AT145">
            <v>12.587654320987655</v>
          </cell>
          <cell r="AU145">
            <v>0.56470891520203903</v>
          </cell>
          <cell r="AV145">
            <v>18.993718703287499</v>
          </cell>
          <cell r="AW145">
            <v>0.77240884370949281</v>
          </cell>
          <cell r="AX145">
            <v>7.775166351449136</v>
          </cell>
          <cell r="AY145">
            <v>348.81048079955002</v>
          </cell>
          <cell r="AZ145">
            <v>10</v>
          </cell>
          <cell r="BA145">
            <v>10</v>
          </cell>
          <cell r="BB145">
            <v>10</v>
          </cell>
          <cell r="BC145">
            <v>10</v>
          </cell>
          <cell r="BD145">
            <v>10</v>
          </cell>
          <cell r="BE145">
            <v>10</v>
          </cell>
          <cell r="BF145">
            <v>4.0666541174783306E-2</v>
          </cell>
          <cell r="BI145">
            <v>109</v>
          </cell>
          <cell r="BK145">
            <v>37635.25</v>
          </cell>
          <cell r="CD145">
            <v>0</v>
          </cell>
          <cell r="CF145">
            <v>37635.25</v>
          </cell>
          <cell r="CG145">
            <v>9.82</v>
          </cell>
          <cell r="CH145">
            <v>12.0833333333333</v>
          </cell>
          <cell r="CI145">
            <v>10.952380952381001</v>
          </cell>
          <cell r="CU145">
            <v>10</v>
          </cell>
          <cell r="CV145">
            <v>10</v>
          </cell>
          <cell r="CY145">
            <v>0</v>
          </cell>
        </row>
        <row r="146">
          <cell r="A146">
            <v>37665.6875</v>
          </cell>
          <cell r="B146">
            <v>106.1037182923029</v>
          </cell>
          <cell r="C146">
            <v>134.76407103825136</v>
          </cell>
          <cell r="D146">
            <v>119.29521102362204</v>
          </cell>
          <cell r="E146">
            <v>113.94461428571428</v>
          </cell>
          <cell r="F146">
            <v>105.7449039039039</v>
          </cell>
          <cell r="G146">
            <v>104.24472315035798</v>
          </cell>
          <cell r="H146">
            <v>122.468265253693</v>
          </cell>
          <cell r="I146">
            <v>163.22456140350877</v>
          </cell>
          <cell r="J146">
            <v>106.20072764227642</v>
          </cell>
          <cell r="K146">
            <v>120.512</v>
          </cell>
          <cell r="L146">
            <v>133.39694678714858</v>
          </cell>
          <cell r="M146">
            <v>118.12047139588101</v>
          </cell>
          <cell r="N146">
            <v>114.983</v>
          </cell>
          <cell r="R146">
            <v>110</v>
          </cell>
          <cell r="T146">
            <v>37665.6875</v>
          </cell>
          <cell r="AN146">
            <v>0</v>
          </cell>
          <cell r="AP146">
            <v>37665.6875</v>
          </cell>
          <cell r="AQ146">
            <v>608.90520438999999</v>
          </cell>
          <cell r="AR146">
            <v>32.880000000000003</v>
          </cell>
          <cell r="AS146">
            <v>1.2910694597574419</v>
          </cell>
          <cell r="AT146">
            <v>12.662081128747795</v>
          </cell>
          <cell r="AU146">
            <v>0.68631211824145988</v>
          </cell>
          <cell r="AV146">
            <v>20.020803120343199</v>
          </cell>
          <cell r="AW146">
            <v>0.78613891327529195</v>
          </cell>
          <cell r="AX146">
            <v>7.7100070977029382</v>
          </cell>
          <cell r="AY146">
            <v>417.89902063314997</v>
          </cell>
          <cell r="AZ146">
            <v>10</v>
          </cell>
          <cell r="BA146">
            <v>10</v>
          </cell>
          <cell r="BB146">
            <v>10</v>
          </cell>
          <cell r="BC146">
            <v>10</v>
          </cell>
          <cell r="BD146">
            <v>10</v>
          </cell>
          <cell r="BE146">
            <v>10</v>
          </cell>
          <cell r="BF146">
            <v>3.9266102790676452E-2</v>
          </cell>
          <cell r="BI146">
            <v>110</v>
          </cell>
          <cell r="BK146">
            <v>37665.6875</v>
          </cell>
          <cell r="CD146">
            <v>0</v>
          </cell>
          <cell r="CF146">
            <v>37665.6875</v>
          </cell>
          <cell r="CG146">
            <v>9.82</v>
          </cell>
          <cell r="CH146">
            <v>12.0833333333333</v>
          </cell>
          <cell r="CI146">
            <v>10.952380952381001</v>
          </cell>
          <cell r="CU146">
            <v>10</v>
          </cell>
          <cell r="CV146">
            <v>10</v>
          </cell>
          <cell r="CY146">
            <v>0</v>
          </cell>
        </row>
        <row r="147">
          <cell r="A147">
            <v>37696.125</v>
          </cell>
          <cell r="B147">
            <v>104.28228014957932</v>
          </cell>
          <cell r="C147">
            <v>130.60382513661202</v>
          </cell>
          <cell r="D147">
            <v>119.29521102362204</v>
          </cell>
          <cell r="E147">
            <v>110.69755238095237</v>
          </cell>
          <cell r="F147">
            <v>105.7449039039039</v>
          </cell>
          <cell r="G147">
            <v>104.0872816229117</v>
          </cell>
          <cell r="H147">
            <v>124.83358317276814</v>
          </cell>
          <cell r="I147">
            <v>163.22456140350877</v>
          </cell>
          <cell r="J147">
            <v>106.18718292682927</v>
          </cell>
          <cell r="K147">
            <v>120.512</v>
          </cell>
          <cell r="L147">
            <v>133.79854317269078</v>
          </cell>
          <cell r="M147">
            <v>118.12047139588101</v>
          </cell>
          <cell r="N147">
            <v>114.383</v>
          </cell>
          <cell r="R147">
            <v>111</v>
          </cell>
          <cell r="T147">
            <v>37696.125</v>
          </cell>
          <cell r="AN147">
            <v>0</v>
          </cell>
          <cell r="AP147">
            <v>37696.125</v>
          </cell>
          <cell r="AQ147">
            <v>607.15379919999998</v>
          </cell>
          <cell r="AR147">
            <v>30.32</v>
          </cell>
          <cell r="AS147">
            <v>1.3472987872105844</v>
          </cell>
          <cell r="AT147">
            <v>12.014109347442682</v>
          </cell>
          <cell r="AU147">
            <v>0.70070341400172864</v>
          </cell>
          <cell r="AV147">
            <v>18.408903191743999</v>
          </cell>
          <cell r="AW147">
            <v>0.81801757731245872</v>
          </cell>
          <cell r="AX147">
            <v>7.2944121343040571</v>
          </cell>
          <cell r="AY147">
            <v>425.43473992356002</v>
          </cell>
          <cell r="AZ147">
            <v>10</v>
          </cell>
          <cell r="BA147">
            <v>10</v>
          </cell>
          <cell r="BB147">
            <v>10</v>
          </cell>
          <cell r="BC147">
            <v>10</v>
          </cell>
          <cell r="BD147">
            <v>10</v>
          </cell>
          <cell r="BE147">
            <v>10</v>
          </cell>
          <cell r="BF147">
            <v>4.4435975831483655E-2</v>
          </cell>
          <cell r="BI147">
            <v>111</v>
          </cell>
          <cell r="BK147">
            <v>37696.125</v>
          </cell>
          <cell r="CD147">
            <v>0</v>
          </cell>
          <cell r="CF147">
            <v>37696.125</v>
          </cell>
          <cell r="CG147">
            <v>9.82</v>
          </cell>
          <cell r="CH147">
            <v>12.0833333333333</v>
          </cell>
          <cell r="CI147">
            <v>10.952380952381001</v>
          </cell>
          <cell r="CU147">
            <v>10</v>
          </cell>
          <cell r="CV147">
            <v>10</v>
          </cell>
          <cell r="CY147">
            <v>0</v>
          </cell>
        </row>
        <row r="148">
          <cell r="A148">
            <v>37726.5625</v>
          </cell>
          <cell r="B148">
            <v>105.02075288251794</v>
          </cell>
          <cell r="C148">
            <v>133.29494535519126</v>
          </cell>
          <cell r="D148">
            <v>119.55561102362206</v>
          </cell>
          <cell r="E148">
            <v>110.55902857142857</v>
          </cell>
          <cell r="F148">
            <v>105.7449039039039</v>
          </cell>
          <cell r="G148">
            <v>104.0872816229117</v>
          </cell>
          <cell r="H148">
            <v>123.88533654463711</v>
          </cell>
          <cell r="I148">
            <v>163.22456140350877</v>
          </cell>
          <cell r="J148">
            <v>106.19196341463416</v>
          </cell>
          <cell r="K148">
            <v>120.512</v>
          </cell>
          <cell r="L148">
            <v>133.72261947791168</v>
          </cell>
          <cell r="M148">
            <v>118.12047139588101</v>
          </cell>
          <cell r="N148">
            <v>114.51600000000001</v>
          </cell>
          <cell r="R148">
            <v>112</v>
          </cell>
          <cell r="T148">
            <v>37726.5625</v>
          </cell>
          <cell r="AN148">
            <v>0</v>
          </cell>
          <cell r="AP148">
            <v>37726.5625</v>
          </cell>
          <cell r="AQ148">
            <v>604.79235400000005</v>
          </cell>
          <cell r="AR148">
            <v>25.49</v>
          </cell>
          <cell r="AS148">
            <v>1.3402425578831312</v>
          </cell>
          <cell r="AT148">
            <v>11.576719576719576</v>
          </cell>
          <cell r="AU148">
            <v>0.69878657809110634</v>
          </cell>
          <cell r="AV148">
            <v>15.41615710346</v>
          </cell>
          <cell r="AW148">
            <v>0.81056845151312018</v>
          </cell>
          <cell r="AX148">
            <v>7.0015114844021165</v>
          </cell>
          <cell r="AY148">
            <v>422.62077950732504</v>
          </cell>
          <cell r="AZ148">
            <v>10</v>
          </cell>
          <cell r="BA148">
            <v>10</v>
          </cell>
          <cell r="BB148">
            <v>10</v>
          </cell>
          <cell r="BC148">
            <v>10</v>
          </cell>
          <cell r="BD148">
            <v>10</v>
          </cell>
          <cell r="BE148">
            <v>10</v>
          </cell>
          <cell r="BF148">
            <v>5.2579150956576351E-2</v>
          </cell>
          <cell r="BI148">
            <v>112</v>
          </cell>
          <cell r="BK148">
            <v>37726.5625</v>
          </cell>
          <cell r="CD148">
            <v>0</v>
          </cell>
          <cell r="CF148">
            <v>37726.5625</v>
          </cell>
          <cell r="CG148">
            <v>9.82</v>
          </cell>
          <cell r="CH148">
            <v>12.0833333333333</v>
          </cell>
          <cell r="CI148">
            <v>10.952380952381001</v>
          </cell>
          <cell r="CU148">
            <v>10</v>
          </cell>
          <cell r="CV148">
            <v>10</v>
          </cell>
          <cell r="CY148">
            <v>0</v>
          </cell>
        </row>
        <row r="149">
          <cell r="A149">
            <v>37757</v>
          </cell>
          <cell r="B149">
            <v>116.76230476784045</v>
          </cell>
          <cell r="C149">
            <v>130.20573770491802</v>
          </cell>
          <cell r="D149">
            <v>119.29521102362204</v>
          </cell>
          <cell r="E149">
            <v>112.32989999999999</v>
          </cell>
          <cell r="F149">
            <v>105.7449039039039</v>
          </cell>
          <cell r="G149">
            <v>104.0872816229117</v>
          </cell>
          <cell r="H149">
            <v>122.22834232498393</v>
          </cell>
          <cell r="I149">
            <v>163.22456140350877</v>
          </cell>
          <cell r="J149">
            <v>106.19196341463416</v>
          </cell>
          <cell r="K149">
            <v>120.512</v>
          </cell>
          <cell r="L149">
            <v>134.34499397590361</v>
          </cell>
          <cell r="M149">
            <v>118.06325400457666</v>
          </cell>
          <cell r="N149">
            <v>118.19799999999999</v>
          </cell>
          <cell r="R149">
            <v>113</v>
          </cell>
          <cell r="T149">
            <v>37757</v>
          </cell>
          <cell r="AN149">
            <v>0</v>
          </cell>
          <cell r="AP149">
            <v>37757</v>
          </cell>
          <cell r="AQ149">
            <v>567.07482649999997</v>
          </cell>
          <cell r="AR149">
            <v>26.06</v>
          </cell>
          <cell r="AS149">
            <v>1.2745314222712236</v>
          </cell>
          <cell r="AT149">
            <v>12.54673721340388</v>
          </cell>
          <cell r="AU149">
            <v>0.68617016338924242</v>
          </cell>
          <cell r="AV149">
            <v>14.777969978589999</v>
          </cell>
          <cell r="AW149">
            <v>0.72275468515325236</v>
          </cell>
          <cell r="AX149">
            <v>7.1149388284320985</v>
          </cell>
          <cell r="AY149">
            <v>389.10982635343129</v>
          </cell>
          <cell r="AZ149">
            <v>10</v>
          </cell>
          <cell r="BA149">
            <v>10</v>
          </cell>
          <cell r="BB149">
            <v>10</v>
          </cell>
          <cell r="BC149">
            <v>10</v>
          </cell>
          <cell r="BD149">
            <v>10</v>
          </cell>
          <cell r="BE149">
            <v>10</v>
          </cell>
          <cell r="BF149">
            <v>4.8907575681934906E-2</v>
          </cell>
          <cell r="BI149">
            <v>113</v>
          </cell>
          <cell r="BK149">
            <v>37757</v>
          </cell>
          <cell r="CD149">
            <v>0</v>
          </cell>
          <cell r="CF149">
            <v>37757</v>
          </cell>
          <cell r="CG149">
            <v>9.82</v>
          </cell>
          <cell r="CH149">
            <v>12.0833333333333</v>
          </cell>
          <cell r="CI149">
            <v>10.952380952381001</v>
          </cell>
          <cell r="CU149">
            <v>10</v>
          </cell>
          <cell r="CV149">
            <v>10</v>
          </cell>
          <cell r="CY149">
            <v>0</v>
          </cell>
        </row>
        <row r="150">
          <cell r="A150">
            <v>37787.4375</v>
          </cell>
          <cell r="B150">
            <v>124.84281458398254</v>
          </cell>
          <cell r="C150">
            <v>130.0860655737705</v>
          </cell>
          <cell r="D150">
            <v>119.29521102362204</v>
          </cell>
          <cell r="E150">
            <v>112.04018380952381</v>
          </cell>
          <cell r="F150">
            <v>105.64431381381381</v>
          </cell>
          <cell r="G150">
            <v>104.98227923627687</v>
          </cell>
          <cell r="H150">
            <v>120.35716506101475</v>
          </cell>
          <cell r="I150">
            <v>163.22456140350877</v>
          </cell>
          <cell r="J150">
            <v>106.19196341463416</v>
          </cell>
          <cell r="K150">
            <v>120.512</v>
          </cell>
          <cell r="L150">
            <v>134.5148232931727</v>
          </cell>
          <cell r="M150">
            <v>118.06325400457666</v>
          </cell>
          <cell r="N150">
            <v>120.515</v>
          </cell>
          <cell r="R150">
            <v>114</v>
          </cell>
          <cell r="T150">
            <v>37787.4375</v>
          </cell>
          <cell r="AN150">
            <v>0</v>
          </cell>
          <cell r="AP150">
            <v>37787.4375</v>
          </cell>
          <cell r="AQ150">
            <v>562.48312750000002</v>
          </cell>
          <cell r="AR150">
            <v>27.92</v>
          </cell>
          <cell r="AS150">
            <v>1.2899669239250275</v>
          </cell>
          <cell r="AT150">
            <v>12.5714285714286</v>
          </cell>
          <cell r="AU150">
            <v>0.66787518367346943</v>
          </cell>
          <cell r="AV150">
            <v>15.704528919800001</v>
          </cell>
          <cell r="AW150">
            <v>0.7255846297409041</v>
          </cell>
          <cell r="AX150">
            <v>7.0712164600000156</v>
          </cell>
          <cell r="AY150">
            <v>375.66852209229006</v>
          </cell>
          <cell r="AZ150">
            <v>10</v>
          </cell>
          <cell r="BA150">
            <v>10</v>
          </cell>
          <cell r="BB150">
            <v>10</v>
          </cell>
          <cell r="BC150">
            <v>10</v>
          </cell>
          <cell r="BD150">
            <v>10</v>
          </cell>
          <cell r="BE150">
            <v>10</v>
          </cell>
          <cell r="BF150">
            <v>4.6202253722243104E-2</v>
          </cell>
          <cell r="BI150">
            <v>114</v>
          </cell>
          <cell r="BK150">
            <v>37787.4375</v>
          </cell>
          <cell r="CD150">
            <v>0</v>
          </cell>
          <cell r="CF150">
            <v>37787.4375</v>
          </cell>
          <cell r="CG150">
            <v>9.82</v>
          </cell>
          <cell r="CH150">
            <v>12.0833333333333</v>
          </cell>
          <cell r="CI150">
            <v>10.952380952381001</v>
          </cell>
          <cell r="CU150">
            <v>10</v>
          </cell>
          <cell r="CV150">
            <v>10</v>
          </cell>
          <cell r="CY150">
            <v>0</v>
          </cell>
        </row>
        <row r="151">
          <cell r="A151">
            <v>37817.875</v>
          </cell>
          <cell r="B151">
            <v>114.39660673106886</v>
          </cell>
          <cell r="C151">
            <v>130.55874316939889</v>
          </cell>
          <cell r="D151">
            <v>118.24951496062994</v>
          </cell>
          <cell r="E151">
            <v>110.58442190476191</v>
          </cell>
          <cell r="F151">
            <v>105.74393543543543</v>
          </cell>
          <cell r="G151">
            <v>104.98227923627687</v>
          </cell>
          <cell r="H151">
            <v>119.90105716120745</v>
          </cell>
          <cell r="I151">
            <v>163.22456140350877</v>
          </cell>
          <cell r="J151">
            <v>106.18421951219513</v>
          </cell>
          <cell r="K151">
            <v>120.512</v>
          </cell>
          <cell r="L151">
            <v>138.68491566265061</v>
          </cell>
          <cell r="M151">
            <v>117.94696796338674</v>
          </cell>
          <cell r="N151">
            <v>117.298</v>
          </cell>
          <cell r="R151">
            <v>115</v>
          </cell>
          <cell r="T151">
            <v>37817.875</v>
          </cell>
          <cell r="AN151">
            <v>0</v>
          </cell>
          <cell r="AP151">
            <v>37817.875</v>
          </cell>
          <cell r="AQ151">
            <v>576.84858580000002</v>
          </cell>
          <cell r="AR151">
            <v>28.61</v>
          </cell>
          <cell r="AS151">
            <v>1.3272326350606394</v>
          </cell>
          <cell r="AT151">
            <v>12.380952380952399</v>
          </cell>
          <cell r="AU151">
            <v>0.66499408919476299</v>
          </cell>
          <cell r="AV151">
            <v>16.503638039738</v>
          </cell>
          <cell r="AW151">
            <v>0.76561226856233733</v>
          </cell>
          <cell r="AX151">
            <v>7.1419348718095339</v>
          </cell>
          <cell r="AY151">
            <v>383.60089991735811</v>
          </cell>
          <cell r="AZ151">
            <v>10</v>
          </cell>
          <cell r="BA151">
            <v>10</v>
          </cell>
          <cell r="BB151">
            <v>10</v>
          </cell>
          <cell r="BC151">
            <v>10</v>
          </cell>
          <cell r="BD151">
            <v>10</v>
          </cell>
          <cell r="BE151">
            <v>10</v>
          </cell>
          <cell r="BF151">
            <v>4.6390515031829407E-2</v>
          </cell>
          <cell r="BI151">
            <v>115</v>
          </cell>
          <cell r="BK151">
            <v>37817.875</v>
          </cell>
          <cell r="CD151">
            <v>0</v>
          </cell>
          <cell r="CF151">
            <v>37817.875</v>
          </cell>
          <cell r="CG151">
            <v>9.82</v>
          </cell>
          <cell r="CH151">
            <v>12.0833333333333</v>
          </cell>
          <cell r="CI151">
            <v>10.952380952381001</v>
          </cell>
          <cell r="CU151">
            <v>10</v>
          </cell>
          <cell r="CV151">
            <v>10</v>
          </cell>
          <cell r="CY151">
            <v>0</v>
          </cell>
        </row>
        <row r="152">
          <cell r="A152">
            <v>37848.3125</v>
          </cell>
          <cell r="B152">
            <v>107.53816796509815</v>
          </cell>
          <cell r="C152">
            <v>129.93032786885246</v>
          </cell>
          <cell r="D152">
            <v>118.24951496062994</v>
          </cell>
          <cell r="E152">
            <v>123.52361142857144</v>
          </cell>
          <cell r="F152">
            <v>105.74393543543543</v>
          </cell>
          <cell r="G152">
            <v>104.98227923627687</v>
          </cell>
          <cell r="H152">
            <v>121.98957353885676</v>
          </cell>
          <cell r="I152">
            <v>163.22456140350877</v>
          </cell>
          <cell r="J152">
            <v>106.18508536585367</v>
          </cell>
          <cell r="K152">
            <v>120.512</v>
          </cell>
          <cell r="L152">
            <v>138.05554819277108</v>
          </cell>
          <cell r="M152">
            <v>117.94696796338674</v>
          </cell>
          <cell r="N152">
            <v>116.70699999999999</v>
          </cell>
          <cell r="R152">
            <v>116</v>
          </cell>
          <cell r="T152">
            <v>37848.3125</v>
          </cell>
          <cell r="AN152">
            <v>0</v>
          </cell>
          <cell r="AP152">
            <v>37848.3125</v>
          </cell>
          <cell r="AQ152">
            <v>589.04938600000003</v>
          </cell>
          <cell r="AR152">
            <v>29.68</v>
          </cell>
          <cell r="AS152">
            <v>1.3340683572216097</v>
          </cell>
          <cell r="AT152">
            <v>12.6913580246914</v>
          </cell>
          <cell r="AU152">
            <v>0.63141794265033402</v>
          </cell>
          <cell r="AV152">
            <v>17.48298577648</v>
          </cell>
          <cell r="AW152">
            <v>0.78583214670341783</v>
          </cell>
          <cell r="AX152">
            <v>7.475836651950643</v>
          </cell>
          <cell r="AY152">
            <v>371.9363514275625</v>
          </cell>
          <cell r="AZ152">
            <v>10</v>
          </cell>
          <cell r="BA152">
            <v>10</v>
          </cell>
          <cell r="BB152">
            <v>10</v>
          </cell>
          <cell r="BC152">
            <v>10</v>
          </cell>
          <cell r="BD152">
            <v>10</v>
          </cell>
          <cell r="BE152">
            <v>10</v>
          </cell>
          <cell r="BF152">
            <v>4.4948394785094666E-2</v>
          </cell>
          <cell r="BI152">
            <v>116</v>
          </cell>
          <cell r="BK152">
            <v>37848.3125</v>
          </cell>
          <cell r="CD152">
            <v>0</v>
          </cell>
          <cell r="CF152">
            <v>37848.3125</v>
          </cell>
          <cell r="CG152">
            <v>9.82</v>
          </cell>
          <cell r="CH152">
            <v>12.0833333333333</v>
          </cell>
          <cell r="CI152">
            <v>10.952380952381001</v>
          </cell>
          <cell r="CU152">
            <v>10</v>
          </cell>
          <cell r="CV152">
            <v>10</v>
          </cell>
          <cell r="CY152">
            <v>0</v>
          </cell>
        </row>
        <row r="153">
          <cell r="A153">
            <v>37878.75</v>
          </cell>
          <cell r="B153">
            <v>108.27381645372391</v>
          </cell>
          <cell r="C153">
            <v>134.25081967213114</v>
          </cell>
          <cell r="D153">
            <v>118.24951496062994</v>
          </cell>
          <cell r="E153">
            <v>117.74054000000001</v>
          </cell>
          <cell r="F153">
            <v>105.74393543543543</v>
          </cell>
          <cell r="G153">
            <v>104.98227923627687</v>
          </cell>
          <cell r="H153">
            <v>124.96190494540782</v>
          </cell>
          <cell r="I153">
            <v>163.22456140350877</v>
          </cell>
          <cell r="J153">
            <v>106.18508536585367</v>
          </cell>
          <cell r="K153">
            <v>120.512</v>
          </cell>
          <cell r="L153">
            <v>138.23237048192775</v>
          </cell>
          <cell r="M153">
            <v>117.94696796338674</v>
          </cell>
          <cell r="N153">
            <v>116.895</v>
          </cell>
          <cell r="R153">
            <v>117</v>
          </cell>
          <cell r="T153">
            <v>37878.75</v>
          </cell>
          <cell r="AN153">
            <v>0</v>
          </cell>
          <cell r="AP153">
            <v>37878.75</v>
          </cell>
          <cell r="AQ153">
            <v>584.79999999999995</v>
          </cell>
          <cell r="AR153">
            <v>26.81</v>
          </cell>
          <cell r="AS153">
            <v>1.415</v>
          </cell>
          <cell r="AT153">
            <v>13.37</v>
          </cell>
          <cell r="AU153">
            <v>0.56399999999999995</v>
          </cell>
          <cell r="AV153">
            <v>15.678487999999998</v>
          </cell>
          <cell r="AW153">
            <v>0.82749200000000001</v>
          </cell>
          <cell r="AX153">
            <v>7.8187759999999988</v>
          </cell>
          <cell r="AY153">
            <v>329.82719999999995</v>
          </cell>
          <cell r="AZ153">
            <v>10</v>
          </cell>
          <cell r="BA153">
            <v>10</v>
          </cell>
          <cell r="BB153">
            <v>10</v>
          </cell>
          <cell r="BC153">
            <v>10</v>
          </cell>
          <cell r="BD153">
            <v>10</v>
          </cell>
          <cell r="BE153">
            <v>10</v>
          </cell>
          <cell r="BF153">
            <v>5.2778813875419626E-2</v>
          </cell>
          <cell r="BI153">
            <v>117</v>
          </cell>
          <cell r="BK153">
            <v>37878.75</v>
          </cell>
          <cell r="CD153">
            <v>0</v>
          </cell>
          <cell r="CF153">
            <v>37878.75</v>
          </cell>
          <cell r="CG153">
            <v>9.82</v>
          </cell>
          <cell r="CH153">
            <v>12.0833333333333</v>
          </cell>
          <cell r="CI153">
            <v>10.952380952381001</v>
          </cell>
          <cell r="CU153">
            <v>10</v>
          </cell>
          <cell r="CV153">
            <v>10</v>
          </cell>
          <cell r="CY153">
            <v>0</v>
          </cell>
        </row>
        <row r="154">
          <cell r="A154">
            <v>37909.1875</v>
          </cell>
          <cell r="B154">
            <v>107.39634777189156</v>
          </cell>
          <cell r="C154">
            <v>134.56584699453552</v>
          </cell>
          <cell r="D154">
            <v>118.24951496062994</v>
          </cell>
          <cell r="E154">
            <v>117.15308761904762</v>
          </cell>
          <cell r="F154">
            <v>105.74393543543543</v>
          </cell>
          <cell r="G154">
            <v>104.98227923627687</v>
          </cell>
          <cell r="H154">
            <v>123.53169299935773</v>
          </cell>
          <cell r="I154">
            <v>163.22456140350877</v>
          </cell>
          <cell r="J154">
            <v>106.18508536585367</v>
          </cell>
          <cell r="K154">
            <v>120.512</v>
          </cell>
          <cell r="L154">
            <v>138.20240060240965</v>
          </cell>
          <cell r="M154">
            <v>117.94696796338674</v>
          </cell>
          <cell r="N154">
            <v>116.33199999999999</v>
          </cell>
          <cell r="R154">
            <v>118</v>
          </cell>
          <cell r="T154">
            <v>37909.1875</v>
          </cell>
          <cell r="AN154">
            <v>0</v>
          </cell>
          <cell r="AP154">
            <v>37909.1875</v>
          </cell>
          <cell r="AQ154">
            <v>561</v>
          </cell>
          <cell r="AR154">
            <v>29.07</v>
          </cell>
          <cell r="AS154">
            <v>1.6</v>
          </cell>
          <cell r="AT154">
            <v>13.34</v>
          </cell>
          <cell r="AU154">
            <v>0.66200000000000003</v>
          </cell>
          <cell r="AV154">
            <v>16.30827</v>
          </cell>
          <cell r="AW154">
            <v>0.89760000000000006</v>
          </cell>
          <cell r="AX154">
            <v>7.4837400000000001</v>
          </cell>
          <cell r="AY154">
            <v>371.38200000000001</v>
          </cell>
          <cell r="AZ154">
            <v>10</v>
          </cell>
          <cell r="BA154">
            <v>10</v>
          </cell>
          <cell r="BB154">
            <v>10</v>
          </cell>
          <cell r="BC154">
            <v>10</v>
          </cell>
          <cell r="BD154">
            <v>10</v>
          </cell>
          <cell r="BE154">
            <v>10</v>
          </cell>
          <cell r="BF154">
            <v>5.5039559683522532E-2</v>
          </cell>
          <cell r="BI154">
            <v>118</v>
          </cell>
          <cell r="BK154">
            <v>37909.1875</v>
          </cell>
          <cell r="CD154">
            <v>0</v>
          </cell>
          <cell r="CF154">
            <v>37909.1875</v>
          </cell>
          <cell r="CG154">
            <v>9.82</v>
          </cell>
          <cell r="CH154">
            <v>12.0833333333333</v>
          </cell>
          <cell r="CI154">
            <v>10.952380952381001</v>
          </cell>
          <cell r="CU154">
            <v>10</v>
          </cell>
          <cell r="CV154">
            <v>10</v>
          </cell>
          <cell r="CY154">
            <v>0</v>
          </cell>
        </row>
        <row r="155">
          <cell r="A155">
            <v>37939.625</v>
          </cell>
          <cell r="B155">
            <v>111.54254471798066</v>
          </cell>
          <cell r="C155">
            <v>138.16161202185793</v>
          </cell>
          <cell r="D155">
            <v>118.24951496062994</v>
          </cell>
          <cell r="E155">
            <v>118.81875619047621</v>
          </cell>
          <cell r="F155">
            <v>105.74393543543543</v>
          </cell>
          <cell r="G155">
            <v>104.98227923627687</v>
          </cell>
          <cell r="H155">
            <v>123.24090301862554</v>
          </cell>
          <cell r="I155">
            <v>163.22456140350877</v>
          </cell>
          <cell r="J155">
            <v>106.18508536585367</v>
          </cell>
          <cell r="K155">
            <v>120.512</v>
          </cell>
          <cell r="L155">
            <v>138.55204919678715</v>
          </cell>
          <cell r="M155">
            <v>117.94696796338674</v>
          </cell>
          <cell r="N155">
            <v>117.874</v>
          </cell>
          <cell r="R155">
            <v>119</v>
          </cell>
          <cell r="T155">
            <v>37939.625</v>
          </cell>
          <cell r="AN155">
            <v>0</v>
          </cell>
          <cell r="AP155">
            <v>37939.625</v>
          </cell>
          <cell r="AQ155">
            <v>560.70000000000005</v>
          </cell>
          <cell r="AR155">
            <v>29.12</v>
          </cell>
          <cell r="AS155">
            <v>1.6970000000000001</v>
          </cell>
          <cell r="AT155">
            <v>13.75</v>
          </cell>
          <cell r="AU155">
            <v>0.76800000000000002</v>
          </cell>
          <cell r="AV155">
            <v>16.327584000000002</v>
          </cell>
          <cell r="AW155">
            <v>0.95150790000000007</v>
          </cell>
          <cell r="AX155">
            <v>7.7096250000000008</v>
          </cell>
          <cell r="AY155">
            <v>430.61760000000004</v>
          </cell>
          <cell r="AZ155">
            <v>10</v>
          </cell>
          <cell r="BA155">
            <v>10</v>
          </cell>
          <cell r="BB155">
            <v>10</v>
          </cell>
          <cell r="BC155">
            <v>10</v>
          </cell>
          <cell r="BD155">
            <v>10</v>
          </cell>
          <cell r="BE155">
            <v>10</v>
          </cell>
          <cell r="BF155">
            <v>5.8276098901098902E-2</v>
          </cell>
          <cell r="BI155">
            <v>119</v>
          </cell>
          <cell r="BK155">
            <v>37939.625</v>
          </cell>
          <cell r="CD155">
            <v>0</v>
          </cell>
          <cell r="CF155">
            <v>37939.625</v>
          </cell>
          <cell r="CG155">
            <v>9.82</v>
          </cell>
          <cell r="CH155">
            <v>12.0833333333333</v>
          </cell>
          <cell r="CI155">
            <v>10.952380952381001</v>
          </cell>
          <cell r="CU155">
            <v>10</v>
          </cell>
          <cell r="CV155">
            <v>10</v>
          </cell>
          <cell r="CY155">
            <v>0</v>
          </cell>
        </row>
        <row r="156">
          <cell r="A156">
            <v>37970.0625</v>
          </cell>
          <cell r="B156">
            <v>109.93735182299781</v>
          </cell>
          <cell r="C156">
            <v>135.01461748633881</v>
          </cell>
          <cell r="D156">
            <v>118.24951496062994</v>
          </cell>
          <cell r="E156">
            <v>119.61170857142859</v>
          </cell>
          <cell r="F156">
            <v>105.82233183183182</v>
          </cell>
          <cell r="G156">
            <v>104.98227923627687</v>
          </cell>
          <cell r="H156">
            <v>123.24090301862554</v>
          </cell>
          <cell r="I156">
            <v>163.22456140350877</v>
          </cell>
          <cell r="J156">
            <v>106.18508536585367</v>
          </cell>
          <cell r="K156">
            <v>120.512</v>
          </cell>
          <cell r="L156">
            <v>138.34325903614459</v>
          </cell>
          <cell r="M156">
            <v>117.94696796338674</v>
          </cell>
          <cell r="N156">
            <v>117.387</v>
          </cell>
          <cell r="R156">
            <v>120</v>
          </cell>
          <cell r="T156">
            <v>37970.0625</v>
          </cell>
          <cell r="AN156">
            <v>0</v>
          </cell>
          <cell r="AP156">
            <v>37970.0625</v>
          </cell>
          <cell r="AQ156">
            <v>533.79999999999995</v>
          </cell>
          <cell r="AR156">
            <v>29.97</v>
          </cell>
          <cell r="AS156">
            <v>1.623</v>
          </cell>
          <cell r="AT156">
            <v>14.36</v>
          </cell>
          <cell r="AU156">
            <v>0.73</v>
          </cell>
          <cell r="AV156">
            <v>15.997985999999997</v>
          </cell>
          <cell r="AW156">
            <v>0.86635739999999983</v>
          </cell>
          <cell r="AX156">
            <v>7.6653679999999991</v>
          </cell>
          <cell r="AY156">
            <v>389.67399999999998</v>
          </cell>
          <cell r="AZ156">
            <v>10</v>
          </cell>
          <cell r="BA156">
            <v>10</v>
          </cell>
          <cell r="BB156">
            <v>10</v>
          </cell>
          <cell r="BC156">
            <v>10</v>
          </cell>
          <cell r="BD156">
            <v>10</v>
          </cell>
          <cell r="BE156">
            <v>10</v>
          </cell>
          <cell r="BF156">
            <v>5.4154154154154151E-2</v>
          </cell>
          <cell r="BI156">
            <v>120</v>
          </cell>
          <cell r="BK156">
            <v>37970.0625</v>
          </cell>
          <cell r="BL156">
            <v>330954.5</v>
          </cell>
          <cell r="BM156">
            <v>293159.5</v>
          </cell>
          <cell r="BN156">
            <v>37795</v>
          </cell>
          <cell r="BO156">
            <v>369240.8</v>
          </cell>
          <cell r="BP156">
            <v>28291</v>
          </cell>
          <cell r="BQ156">
            <v>340949.8</v>
          </cell>
          <cell r="BR156">
            <v>208478.8</v>
          </cell>
          <cell r="BS156">
            <v>40000</v>
          </cell>
          <cell r="BT156">
            <v>92471</v>
          </cell>
          <cell r="BU156">
            <v>672674.8</v>
          </cell>
          <cell r="BV156">
            <v>255754.4</v>
          </cell>
          <cell r="BW156">
            <v>377670.3</v>
          </cell>
          <cell r="BX156">
            <v>193106.3</v>
          </cell>
          <cell r="BY156">
            <v>117546</v>
          </cell>
          <cell r="BZ156">
            <v>27520.5</v>
          </cell>
          <cell r="CA156">
            <v>10</v>
          </cell>
          <cell r="CD156">
            <v>120</v>
          </cell>
          <cell r="CF156">
            <v>37970.0625</v>
          </cell>
          <cell r="CG156">
            <v>9.82</v>
          </cell>
          <cell r="CH156">
            <v>12.0833333333333</v>
          </cell>
          <cell r="CI156">
            <v>10.952380952381001</v>
          </cell>
          <cell r="CU156">
            <v>10</v>
          </cell>
          <cell r="CV156">
            <v>10</v>
          </cell>
          <cell r="CY156">
            <v>0</v>
          </cell>
        </row>
        <row r="157">
          <cell r="A157">
            <v>38000.5</v>
          </cell>
          <cell r="B157">
            <v>101.17465721408537</v>
          </cell>
          <cell r="C157">
            <v>127.48196721311476</v>
          </cell>
          <cell r="D157">
            <v>118.36102204724411</v>
          </cell>
          <cell r="E157">
            <v>120.70465904761906</v>
          </cell>
          <cell r="F157">
            <v>105.7439129129129</v>
          </cell>
          <cell r="G157">
            <v>104.98227923627687</v>
          </cell>
          <cell r="H157">
            <v>122.36853307642902</v>
          </cell>
          <cell r="I157">
            <v>163.22456140350877</v>
          </cell>
          <cell r="J157">
            <v>106.20679674796749</v>
          </cell>
          <cell r="K157">
            <v>120.512</v>
          </cell>
          <cell r="L157">
            <v>139.30229518072289</v>
          </cell>
          <cell r="M157">
            <v>117.94696796338674</v>
          </cell>
          <cell r="N157">
            <v>114.515</v>
          </cell>
          <cell r="R157">
            <v>121</v>
          </cell>
          <cell r="T157">
            <v>38000.5</v>
          </cell>
          <cell r="AN157">
            <v>0</v>
          </cell>
          <cell r="AP157">
            <v>38000.5</v>
          </cell>
          <cell r="AQ157">
            <v>520.1</v>
          </cell>
          <cell r="AR157">
            <v>31.37</v>
          </cell>
          <cell r="AS157">
            <v>1.681</v>
          </cell>
          <cell r="AT157">
            <v>14.6</v>
          </cell>
          <cell r="AU157">
            <v>0.71899999999999997</v>
          </cell>
          <cell r="AV157">
            <v>16.315537000000003</v>
          </cell>
          <cell r="AW157">
            <v>0.87428810000000012</v>
          </cell>
          <cell r="AX157">
            <v>7.5934600000000003</v>
          </cell>
          <cell r="AY157">
            <v>373.95190000000002</v>
          </cell>
          <cell r="AZ157">
            <v>10</v>
          </cell>
          <cell r="BA157">
            <v>10</v>
          </cell>
          <cell r="BB157">
            <v>10</v>
          </cell>
          <cell r="BC157">
            <v>10</v>
          </cell>
          <cell r="BD157">
            <v>10</v>
          </cell>
          <cell r="BE157">
            <v>10</v>
          </cell>
          <cell r="BF157">
            <v>5.3586228881096591E-2</v>
          </cell>
          <cell r="BI157">
            <v>121</v>
          </cell>
          <cell r="BK157">
            <v>38000.5</v>
          </cell>
          <cell r="BL157">
            <v>334648</v>
          </cell>
          <cell r="BM157">
            <v>280210</v>
          </cell>
          <cell r="BN157">
            <v>54438</v>
          </cell>
          <cell r="BO157">
            <v>389717.5</v>
          </cell>
          <cell r="BP157">
            <v>32091.200000000001</v>
          </cell>
          <cell r="BQ157">
            <v>357626.3</v>
          </cell>
          <cell r="BR157">
            <v>208270.3</v>
          </cell>
          <cell r="BS157">
            <v>54500</v>
          </cell>
          <cell r="BT157">
            <v>94856</v>
          </cell>
          <cell r="BU157">
            <v>691968.7</v>
          </cell>
          <cell r="BV157">
            <v>258116.1</v>
          </cell>
          <cell r="BW157">
            <v>393619.20000000001</v>
          </cell>
          <cell r="BX157">
            <v>202116.2</v>
          </cell>
          <cell r="BY157">
            <v>122993</v>
          </cell>
          <cell r="BZ157">
            <v>32396.799999999999</v>
          </cell>
          <cell r="CA157">
            <v>10</v>
          </cell>
          <cell r="CD157">
            <v>121</v>
          </cell>
          <cell r="CF157">
            <v>38000.5</v>
          </cell>
          <cell r="CG157">
            <v>9.82</v>
          </cell>
          <cell r="CH157">
            <v>12.0833333333333</v>
          </cell>
          <cell r="CI157">
            <v>10.952380952381001</v>
          </cell>
          <cell r="CJ157">
            <v>9</v>
          </cell>
          <cell r="CK157">
            <v>10.5</v>
          </cell>
          <cell r="CL157">
            <v>6.75</v>
          </cell>
          <cell r="CM157">
            <v>10.5</v>
          </cell>
          <cell r="CN157">
            <v>9</v>
          </cell>
          <cell r="CO157">
            <v>15</v>
          </cell>
          <cell r="CP157">
            <v>9</v>
          </cell>
          <cell r="CQ157">
            <v>26.99</v>
          </cell>
          <cell r="CR157">
            <v>3.5</v>
          </cell>
          <cell r="CS157">
            <v>18</v>
          </cell>
          <cell r="CT157">
            <v>27</v>
          </cell>
          <cell r="CU157">
            <v>10</v>
          </cell>
          <cell r="CV157">
            <v>10</v>
          </cell>
          <cell r="CY157">
            <v>121</v>
          </cell>
        </row>
        <row r="158">
          <cell r="A158">
            <v>38030.9375</v>
          </cell>
          <cell r="B158">
            <v>97.915820193206599</v>
          </cell>
          <cell r="C158">
            <v>124.97882513661202</v>
          </cell>
          <cell r="D158">
            <v>118.18491181102364</v>
          </cell>
          <cell r="E158">
            <v>113.31974952380953</v>
          </cell>
          <cell r="F158">
            <v>106.63875975975976</v>
          </cell>
          <cell r="G158">
            <v>104.98227923627687</v>
          </cell>
          <cell r="H158">
            <v>122.58142389210019</v>
          </cell>
          <cell r="I158">
            <v>163.22456140350877</v>
          </cell>
          <cell r="J158">
            <v>106.2729430894309</v>
          </cell>
          <cell r="K158">
            <v>120.512</v>
          </cell>
          <cell r="L158">
            <v>139.80079417670683</v>
          </cell>
          <cell r="M158">
            <v>117.76810983981694</v>
          </cell>
          <cell r="N158">
            <v>112.77500000000001</v>
          </cell>
          <cell r="R158">
            <v>122</v>
          </cell>
          <cell r="T158">
            <v>38030.9375</v>
          </cell>
          <cell r="AN158">
            <v>0</v>
          </cell>
          <cell r="AP158">
            <v>38030.9375</v>
          </cell>
          <cell r="AQ158">
            <v>518.70000000000005</v>
          </cell>
          <cell r="AR158">
            <v>31.33</v>
          </cell>
          <cell r="AS158">
            <v>1.63</v>
          </cell>
          <cell r="AT158">
            <v>14.28</v>
          </cell>
          <cell r="AU158">
            <v>0.74299999999999999</v>
          </cell>
          <cell r="AV158">
            <v>16.250871</v>
          </cell>
          <cell r="AW158">
            <v>0.84548100000000004</v>
          </cell>
          <cell r="AX158">
            <v>7.4070359999999997</v>
          </cell>
          <cell r="AY158">
            <v>385.39410000000004</v>
          </cell>
          <cell r="AZ158">
            <v>10</v>
          </cell>
          <cell r="BA158">
            <v>10</v>
          </cell>
          <cell r="BB158">
            <v>10</v>
          </cell>
          <cell r="BC158">
            <v>10</v>
          </cell>
          <cell r="BD158">
            <v>10</v>
          </cell>
          <cell r="BE158">
            <v>10</v>
          </cell>
          <cell r="BF158">
            <v>5.202681136291095E-2</v>
          </cell>
          <cell r="BI158">
            <v>122</v>
          </cell>
          <cell r="BK158">
            <v>38030.9375</v>
          </cell>
          <cell r="BL158">
            <v>314909.2</v>
          </cell>
          <cell r="BM158">
            <v>274806.2</v>
          </cell>
          <cell r="BN158">
            <v>40103</v>
          </cell>
          <cell r="BO158">
            <v>408078.5</v>
          </cell>
          <cell r="BP158">
            <v>36354.6</v>
          </cell>
          <cell r="BQ158">
            <v>371723.9</v>
          </cell>
          <cell r="BR158">
            <v>225258.9</v>
          </cell>
          <cell r="BS158">
            <v>50000</v>
          </cell>
          <cell r="BT158">
            <v>96465</v>
          </cell>
          <cell r="BU158">
            <v>693090</v>
          </cell>
          <cell r="BV158">
            <v>254451</v>
          </cell>
          <cell r="BW158">
            <v>397573.3</v>
          </cell>
          <cell r="BX158">
            <v>205178.3</v>
          </cell>
          <cell r="BY158">
            <v>123474</v>
          </cell>
          <cell r="BZ158">
            <v>29897.7</v>
          </cell>
          <cell r="CA158">
            <v>10</v>
          </cell>
          <cell r="CD158">
            <v>122</v>
          </cell>
          <cell r="CF158">
            <v>38030.9375</v>
          </cell>
          <cell r="CG158">
            <v>9.82</v>
          </cell>
          <cell r="CH158">
            <v>13.5</v>
          </cell>
          <cell r="CI158">
            <v>11.660714285714301</v>
          </cell>
          <cell r="CJ158">
            <v>9</v>
          </cell>
          <cell r="CK158">
            <v>10.5</v>
          </cell>
          <cell r="CL158">
            <v>6.75</v>
          </cell>
          <cell r="CM158">
            <v>15.5</v>
          </cell>
          <cell r="CN158">
            <v>12.5</v>
          </cell>
          <cell r="CO158">
            <v>15</v>
          </cell>
          <cell r="CP158">
            <v>13</v>
          </cell>
          <cell r="CQ158">
            <v>26.99</v>
          </cell>
          <cell r="CR158">
            <v>3.5</v>
          </cell>
          <cell r="CS158">
            <v>18</v>
          </cell>
          <cell r="CT158">
            <v>27</v>
          </cell>
          <cell r="CU158">
            <v>10</v>
          </cell>
          <cell r="CV158">
            <v>10</v>
          </cell>
          <cell r="CY158">
            <v>122</v>
          </cell>
        </row>
        <row r="159">
          <cell r="A159">
            <v>38061.375</v>
          </cell>
          <cell r="B159">
            <v>96.788234029292624</v>
          </cell>
          <cell r="C159">
            <v>127.62254098360656</v>
          </cell>
          <cell r="D159">
            <v>118.18491181102364</v>
          </cell>
          <cell r="E159">
            <v>120.41810666666667</v>
          </cell>
          <cell r="F159">
            <v>106.1964009009009</v>
          </cell>
          <cell r="G159">
            <v>104.98227923627687</v>
          </cell>
          <cell r="H159">
            <v>122.97691522157996</v>
          </cell>
          <cell r="I159">
            <v>163.22456140350877</v>
          </cell>
          <cell r="J159">
            <v>106.27207723577236</v>
          </cell>
          <cell r="K159">
            <v>120.512</v>
          </cell>
          <cell r="L159">
            <v>139.91867570281124</v>
          </cell>
          <cell r="M159">
            <v>117.76810983981694</v>
          </cell>
          <cell r="N159">
            <v>113.251</v>
          </cell>
          <cell r="R159">
            <v>123</v>
          </cell>
          <cell r="T159">
            <v>38061.375</v>
          </cell>
          <cell r="AN159">
            <v>0</v>
          </cell>
          <cell r="AP159">
            <v>38061.375</v>
          </cell>
          <cell r="AQ159">
            <v>534.99852919999989</v>
          </cell>
          <cell r="AR159">
            <v>33.67</v>
          </cell>
          <cell r="AS159">
            <v>1.5938000000000001</v>
          </cell>
          <cell r="AT159">
            <v>14.346</v>
          </cell>
          <cell r="AU159">
            <v>0.68799999999999994</v>
          </cell>
          <cell r="AV159">
            <v>18.013400478163994</v>
          </cell>
          <cell r="AW159">
            <v>0.85268065583895991</v>
          </cell>
          <cell r="AX159">
            <v>7.6750888999031988</v>
          </cell>
          <cell r="AY159">
            <v>368.07898808959987</v>
          </cell>
          <cell r="AZ159">
            <v>10</v>
          </cell>
          <cell r="BA159">
            <v>10</v>
          </cell>
          <cell r="BB159">
            <v>10</v>
          </cell>
          <cell r="BC159">
            <v>10</v>
          </cell>
          <cell r="BD159">
            <v>10</v>
          </cell>
          <cell r="BE159">
            <v>10</v>
          </cell>
          <cell r="BF159">
            <v>4.7335907335907347E-2</v>
          </cell>
          <cell r="BI159">
            <v>123</v>
          </cell>
          <cell r="BK159">
            <v>38061.375</v>
          </cell>
          <cell r="BL159">
            <v>316593.5</v>
          </cell>
          <cell r="BM159">
            <v>264935.5</v>
          </cell>
          <cell r="BN159">
            <v>51658</v>
          </cell>
          <cell r="BO159">
            <v>407636.2</v>
          </cell>
          <cell r="BP159">
            <v>34287.699999999997</v>
          </cell>
          <cell r="BQ159">
            <v>373348.5</v>
          </cell>
          <cell r="BR159">
            <v>210144.5</v>
          </cell>
          <cell r="BS159">
            <v>65000</v>
          </cell>
          <cell r="BT159">
            <v>98204</v>
          </cell>
          <cell r="BU159">
            <v>693491.8</v>
          </cell>
          <cell r="BV159">
            <v>248721.3</v>
          </cell>
          <cell r="BW159">
            <v>402698.2</v>
          </cell>
          <cell r="BX159">
            <v>204934.2</v>
          </cell>
          <cell r="BY159">
            <v>127201</v>
          </cell>
          <cell r="BZ159">
            <v>30737.9</v>
          </cell>
          <cell r="CA159">
            <v>10</v>
          </cell>
          <cell r="CD159">
            <v>123</v>
          </cell>
          <cell r="CF159">
            <v>38061.375</v>
          </cell>
          <cell r="CG159">
            <v>9.82</v>
          </cell>
          <cell r="CH159">
            <v>13.5</v>
          </cell>
          <cell r="CI159">
            <v>11.660714285714301</v>
          </cell>
          <cell r="CJ159">
            <v>9</v>
          </cell>
          <cell r="CK159">
            <v>10.5</v>
          </cell>
          <cell r="CL159">
            <v>8</v>
          </cell>
          <cell r="CM159">
            <v>15.5</v>
          </cell>
          <cell r="CN159">
            <v>12.5</v>
          </cell>
          <cell r="CO159">
            <v>15</v>
          </cell>
          <cell r="CP159">
            <v>13</v>
          </cell>
          <cell r="CQ159">
            <v>21</v>
          </cell>
          <cell r="CR159">
            <v>3.5</v>
          </cell>
          <cell r="CS159">
            <v>18</v>
          </cell>
          <cell r="CT159">
            <v>27</v>
          </cell>
          <cell r="CU159">
            <v>10</v>
          </cell>
          <cell r="CV159">
            <v>10</v>
          </cell>
          <cell r="CY159">
            <v>123</v>
          </cell>
        </row>
        <row r="160">
          <cell r="A160">
            <v>38091.8125</v>
          </cell>
          <cell r="B160">
            <v>102.13778155188534</v>
          </cell>
          <cell r="C160">
            <v>124.73579234972678</v>
          </cell>
          <cell r="D160">
            <v>117.84864094488189</v>
          </cell>
          <cell r="E160">
            <v>113.13021523809523</v>
          </cell>
          <cell r="F160">
            <v>106.1964009009009</v>
          </cell>
          <cell r="G160">
            <v>104.95244630071601</v>
          </cell>
          <cell r="H160">
            <v>124.19730057803467</v>
          </cell>
          <cell r="I160">
            <v>163.22456140350877</v>
          </cell>
          <cell r="J160">
            <v>106.27207723577236</v>
          </cell>
          <cell r="K160">
            <v>120.512</v>
          </cell>
          <cell r="L160">
            <v>140.69889156626505</v>
          </cell>
          <cell r="M160">
            <v>117.76810983981694</v>
          </cell>
          <cell r="N160">
            <v>114.39400000000001</v>
          </cell>
          <cell r="R160">
            <v>124</v>
          </cell>
          <cell r="T160">
            <v>38091.8125</v>
          </cell>
          <cell r="AN160">
            <v>0</v>
          </cell>
          <cell r="AP160">
            <v>38091.8125</v>
          </cell>
          <cell r="AQ160">
            <v>547.13373369999999</v>
          </cell>
          <cell r="AR160">
            <v>33.71</v>
          </cell>
          <cell r="AS160">
            <v>1.5309999999999999</v>
          </cell>
          <cell r="AT160">
            <v>14.226000000000001</v>
          </cell>
          <cell r="AU160">
            <v>0.621</v>
          </cell>
          <cell r="AV160">
            <v>18.443878163026998</v>
          </cell>
          <cell r="AW160">
            <v>0.83766174629469992</v>
          </cell>
          <cell r="AX160">
            <v>7.7835244956162004</v>
          </cell>
          <cell r="AY160">
            <v>339.77004862770002</v>
          </cell>
          <cell r="AZ160">
            <v>10</v>
          </cell>
          <cell r="BA160">
            <v>10</v>
          </cell>
          <cell r="BB160">
            <v>10</v>
          </cell>
          <cell r="BC160">
            <v>10</v>
          </cell>
          <cell r="BD160">
            <v>10</v>
          </cell>
          <cell r="BE160">
            <v>10</v>
          </cell>
          <cell r="BF160">
            <v>4.5416790269949568E-2</v>
          </cell>
          <cell r="BI160">
            <v>124</v>
          </cell>
          <cell r="BK160">
            <v>38091.8125</v>
          </cell>
          <cell r="BL160">
            <v>340892.7</v>
          </cell>
          <cell r="BM160">
            <v>270688.7</v>
          </cell>
          <cell r="BN160">
            <v>70204</v>
          </cell>
          <cell r="BO160">
            <v>404397.8</v>
          </cell>
          <cell r="BP160">
            <v>47354</v>
          </cell>
          <cell r="BQ160">
            <v>357043.8</v>
          </cell>
          <cell r="BR160">
            <v>187079.8</v>
          </cell>
          <cell r="BS160">
            <v>65000</v>
          </cell>
          <cell r="BT160">
            <v>104964</v>
          </cell>
          <cell r="BU160">
            <v>704240.3</v>
          </cell>
          <cell r="BV160">
            <v>250025.1</v>
          </cell>
          <cell r="BW160">
            <v>411060.8</v>
          </cell>
          <cell r="BX160">
            <v>209393.8</v>
          </cell>
          <cell r="BY160">
            <v>129795</v>
          </cell>
          <cell r="BZ160">
            <v>41050.199999999997</v>
          </cell>
          <cell r="CA160">
            <v>10</v>
          </cell>
          <cell r="CD160">
            <v>124</v>
          </cell>
          <cell r="CF160">
            <v>38091.8125</v>
          </cell>
          <cell r="CG160">
            <v>9.82</v>
          </cell>
          <cell r="CH160">
            <v>13.6</v>
          </cell>
          <cell r="CI160">
            <v>11.7107142857143</v>
          </cell>
          <cell r="CJ160">
            <v>9</v>
          </cell>
          <cell r="CK160">
            <v>10.5</v>
          </cell>
          <cell r="CL160">
            <v>6.75</v>
          </cell>
          <cell r="CM160">
            <v>10.5</v>
          </cell>
          <cell r="CN160">
            <v>12.5</v>
          </cell>
          <cell r="CO160">
            <v>15</v>
          </cell>
          <cell r="CP160">
            <v>13</v>
          </cell>
          <cell r="CQ160">
            <v>26.99</v>
          </cell>
          <cell r="CR160">
            <v>3.5</v>
          </cell>
          <cell r="CS160">
            <v>18</v>
          </cell>
          <cell r="CT160">
            <v>27</v>
          </cell>
          <cell r="CU160">
            <v>10</v>
          </cell>
          <cell r="CV160">
            <v>10</v>
          </cell>
          <cell r="CY160">
            <v>124</v>
          </cell>
        </row>
        <row r="161">
          <cell r="A161">
            <v>38122.25</v>
          </cell>
          <cell r="B161">
            <v>104.41422686195078</v>
          </cell>
          <cell r="C161">
            <v>125.20218579234972</v>
          </cell>
          <cell r="D161">
            <v>117.84864094488189</v>
          </cell>
          <cell r="E161">
            <v>111.94779714285715</v>
          </cell>
          <cell r="F161">
            <v>106.1964009009009</v>
          </cell>
          <cell r="G161">
            <v>104.95244630071601</v>
          </cell>
          <cell r="H161">
            <v>126.04080732177263</v>
          </cell>
          <cell r="I161">
            <v>158.39987719298244</v>
          </cell>
          <cell r="J161">
            <v>108.30457723577236</v>
          </cell>
          <cell r="K161">
            <v>120.512</v>
          </cell>
          <cell r="L161">
            <v>140.48011144578317</v>
          </cell>
          <cell r="M161">
            <v>117.76810983981694</v>
          </cell>
          <cell r="N161">
            <v>115.319</v>
          </cell>
          <cell r="R161">
            <v>125</v>
          </cell>
          <cell r="T161">
            <v>38122.25</v>
          </cell>
          <cell r="AN161">
            <v>0</v>
          </cell>
          <cell r="AP161">
            <v>38122.25</v>
          </cell>
          <cell r="AQ161">
            <v>546.80575520000002</v>
          </cell>
          <cell r="AR161">
            <v>37.56</v>
          </cell>
          <cell r="AS161">
            <v>1.544432</v>
          </cell>
          <cell r="AT161">
            <v>13.538</v>
          </cell>
          <cell r="AU161">
            <v>0.83399999999999996</v>
          </cell>
          <cell r="AV161">
            <v>20.538024165312002</v>
          </cell>
          <cell r="AW161">
            <v>0.84450430611504645</v>
          </cell>
          <cell r="AX161">
            <v>7.4026563138976007</v>
          </cell>
          <cell r="AY161">
            <v>456.03599983679999</v>
          </cell>
          <cell r="AZ161">
            <v>10</v>
          </cell>
          <cell r="BA161">
            <v>10</v>
          </cell>
          <cell r="BB161">
            <v>10</v>
          </cell>
          <cell r="BC161">
            <v>10</v>
          </cell>
          <cell r="BD161">
            <v>10</v>
          </cell>
          <cell r="BE161">
            <v>10</v>
          </cell>
          <cell r="BF161">
            <v>4.1119062832800847E-2</v>
          </cell>
          <cell r="BI161">
            <v>125</v>
          </cell>
          <cell r="BK161">
            <v>38122.25</v>
          </cell>
          <cell r="BL161">
            <v>300352.8</v>
          </cell>
          <cell r="BM161">
            <v>243753.8</v>
          </cell>
          <cell r="BN161">
            <v>56599</v>
          </cell>
          <cell r="BO161">
            <v>402080</v>
          </cell>
          <cell r="BP161">
            <v>32436.1</v>
          </cell>
          <cell r="BQ161">
            <v>369643.9</v>
          </cell>
          <cell r="BR161">
            <v>203671.9</v>
          </cell>
          <cell r="BS161">
            <v>57000</v>
          </cell>
          <cell r="BT161">
            <v>108972</v>
          </cell>
          <cell r="BU161">
            <v>664313.30000000005</v>
          </cell>
          <cell r="BV161">
            <v>215145.7</v>
          </cell>
          <cell r="BW161">
            <v>405151.2</v>
          </cell>
          <cell r="BX161">
            <v>199355.5</v>
          </cell>
          <cell r="BY161">
            <v>132144</v>
          </cell>
          <cell r="BZ161">
            <v>38119.5</v>
          </cell>
          <cell r="CA161">
            <v>10</v>
          </cell>
          <cell r="CD161">
            <v>125</v>
          </cell>
          <cell r="CF161">
            <v>38122.25</v>
          </cell>
          <cell r="CG161">
            <v>9.82</v>
          </cell>
          <cell r="CH161">
            <v>13.6</v>
          </cell>
          <cell r="CI161">
            <v>11.7107142857143</v>
          </cell>
          <cell r="CJ161">
            <v>9</v>
          </cell>
          <cell r="CK161">
            <v>10.5</v>
          </cell>
          <cell r="CL161">
            <v>8</v>
          </cell>
          <cell r="CM161">
            <v>15.5</v>
          </cell>
          <cell r="CN161">
            <v>12.5</v>
          </cell>
          <cell r="CO161">
            <v>15</v>
          </cell>
          <cell r="CP161">
            <v>12</v>
          </cell>
          <cell r="CQ161">
            <v>26.99</v>
          </cell>
          <cell r="CR161">
            <v>3.5</v>
          </cell>
          <cell r="CS161">
            <v>18</v>
          </cell>
          <cell r="CT161">
            <v>27</v>
          </cell>
          <cell r="CU161">
            <v>10</v>
          </cell>
          <cell r="CV161">
            <v>10</v>
          </cell>
          <cell r="CY161">
            <v>125</v>
          </cell>
        </row>
        <row r="162">
          <cell r="A162">
            <v>38152.6875</v>
          </cell>
          <cell r="B162">
            <v>108.07918043004054</v>
          </cell>
          <cell r="C162">
            <v>126.74289617486339</v>
          </cell>
          <cell r="D162">
            <v>117.84864094488189</v>
          </cell>
          <cell r="E162">
            <v>118.15501333333333</v>
          </cell>
          <cell r="F162">
            <v>106.1964009009009</v>
          </cell>
          <cell r="G162">
            <v>104.95244630071601</v>
          </cell>
          <cell r="H162">
            <v>126.43799421965318</v>
          </cell>
          <cell r="I162">
            <v>158.39987719298244</v>
          </cell>
          <cell r="J162">
            <v>108.30457723577236</v>
          </cell>
          <cell r="K162">
            <v>120.512</v>
          </cell>
          <cell r="L162">
            <v>140.18640662650603</v>
          </cell>
          <cell r="M162">
            <v>117.76810983981694</v>
          </cell>
          <cell r="N162">
            <v>117.208</v>
          </cell>
          <cell r="R162">
            <v>126</v>
          </cell>
          <cell r="T162">
            <v>38152.6875</v>
          </cell>
          <cell r="AN162">
            <v>0</v>
          </cell>
          <cell r="AP162">
            <v>38152.6875</v>
          </cell>
          <cell r="AQ162">
            <v>540.44297229999995</v>
          </cell>
          <cell r="AR162">
            <v>35.54</v>
          </cell>
          <cell r="AS162">
            <v>1.425</v>
          </cell>
          <cell r="AT162">
            <v>13.840999999999999</v>
          </cell>
          <cell r="AU162">
            <v>0.76400000000000001</v>
          </cell>
          <cell r="AV162">
            <v>19.207343235541998</v>
          </cell>
          <cell r="AW162">
            <v>0.77013123552749996</v>
          </cell>
          <cell r="AX162">
            <v>7.4802711796042987</v>
          </cell>
          <cell r="AY162">
            <v>412.89843083719995</v>
          </cell>
          <cell r="AZ162">
            <v>10</v>
          </cell>
          <cell r="BA162">
            <v>10</v>
          </cell>
          <cell r="BB162">
            <v>10</v>
          </cell>
          <cell r="BC162">
            <v>10</v>
          </cell>
          <cell r="BD162">
            <v>10</v>
          </cell>
          <cell r="BE162">
            <v>10</v>
          </cell>
          <cell r="BF162">
            <v>4.0095666854248736E-2</v>
          </cell>
          <cell r="BI162">
            <v>126</v>
          </cell>
          <cell r="BK162">
            <v>38152.6875</v>
          </cell>
          <cell r="BL162">
            <v>324532.09999999998</v>
          </cell>
          <cell r="BM162">
            <v>260521.1</v>
          </cell>
          <cell r="BN162">
            <v>64011</v>
          </cell>
          <cell r="BO162">
            <v>378536.3</v>
          </cell>
          <cell r="BP162">
            <v>31461.4</v>
          </cell>
          <cell r="BQ162">
            <v>347074.9</v>
          </cell>
          <cell r="BR162">
            <v>185985.9</v>
          </cell>
          <cell r="BS162">
            <v>50000</v>
          </cell>
          <cell r="BT162">
            <v>111089</v>
          </cell>
          <cell r="BU162">
            <v>659768.9</v>
          </cell>
          <cell r="BV162">
            <v>214420.8</v>
          </cell>
          <cell r="BW162">
            <v>400911</v>
          </cell>
          <cell r="BX162">
            <v>193938</v>
          </cell>
          <cell r="BY162">
            <v>131788</v>
          </cell>
          <cell r="BZ162">
            <v>43299.5</v>
          </cell>
          <cell r="CA162">
            <v>10</v>
          </cell>
          <cell r="CD162">
            <v>126</v>
          </cell>
          <cell r="CF162">
            <v>38152.6875</v>
          </cell>
          <cell r="CG162">
            <v>9.82</v>
          </cell>
          <cell r="CH162">
            <v>13.6</v>
          </cell>
          <cell r="CI162">
            <v>11.7107142857143</v>
          </cell>
          <cell r="CJ162">
            <v>9</v>
          </cell>
          <cell r="CK162">
            <v>10.5</v>
          </cell>
          <cell r="CL162">
            <v>6.75</v>
          </cell>
          <cell r="CM162">
            <v>15.5</v>
          </cell>
          <cell r="CN162">
            <v>12.5</v>
          </cell>
          <cell r="CO162">
            <v>15</v>
          </cell>
          <cell r="CP162">
            <v>13</v>
          </cell>
          <cell r="CQ162">
            <v>21</v>
          </cell>
          <cell r="CR162">
            <v>3.5</v>
          </cell>
          <cell r="CS162">
            <v>18</v>
          </cell>
          <cell r="CT162">
            <v>27</v>
          </cell>
          <cell r="CU162">
            <v>10</v>
          </cell>
          <cell r="CV162">
            <v>10</v>
          </cell>
          <cell r="CY162">
            <v>126</v>
          </cell>
        </row>
        <row r="163">
          <cell r="A163">
            <v>38183.125</v>
          </cell>
          <cell r="B163">
            <v>108.18004830165165</v>
          </cell>
          <cell r="C163">
            <v>126.6075136612022</v>
          </cell>
          <cell r="D163">
            <v>117.84864094488189</v>
          </cell>
          <cell r="E163">
            <v>114.15027428571429</v>
          </cell>
          <cell r="F163">
            <v>106.1964009009009</v>
          </cell>
          <cell r="G163">
            <v>104.95244630071601</v>
          </cell>
          <cell r="H163">
            <v>126.6736782273603</v>
          </cell>
          <cell r="I163">
            <v>158.39987719298244</v>
          </cell>
          <cell r="J163">
            <v>108.30457723577236</v>
          </cell>
          <cell r="K163">
            <v>120.512</v>
          </cell>
          <cell r="L163">
            <v>140.52406726907628</v>
          </cell>
          <cell r="M163">
            <v>117.76810983981694</v>
          </cell>
          <cell r="N163">
            <v>116.88800000000001</v>
          </cell>
          <cell r="R163">
            <v>127</v>
          </cell>
          <cell r="T163">
            <v>38183.125</v>
          </cell>
          <cell r="AN163">
            <v>0</v>
          </cell>
          <cell r="AP163">
            <v>38183.125</v>
          </cell>
          <cell r="AQ163">
            <v>534.86733779999997</v>
          </cell>
          <cell r="AR163">
            <v>37.89</v>
          </cell>
          <cell r="AS163">
            <v>1.2569999999999999</v>
          </cell>
          <cell r="AT163">
            <v>14.042</v>
          </cell>
          <cell r="AU163">
            <v>0.68100000000000005</v>
          </cell>
          <cell r="AV163">
            <v>20.266123429241997</v>
          </cell>
          <cell r="AW163">
            <v>0.67232824361459997</v>
          </cell>
          <cell r="AX163">
            <v>7.5106071573876001</v>
          </cell>
          <cell r="AY163">
            <v>364.2446570418</v>
          </cell>
          <cell r="AZ163">
            <v>10</v>
          </cell>
          <cell r="BA163">
            <v>10</v>
          </cell>
          <cell r="BB163">
            <v>10</v>
          </cell>
          <cell r="BC163">
            <v>10</v>
          </cell>
          <cell r="BD163">
            <v>10</v>
          </cell>
          <cell r="BE163">
            <v>10</v>
          </cell>
          <cell r="BF163">
            <v>3.3174980205859073E-2</v>
          </cell>
          <cell r="BI163">
            <v>127</v>
          </cell>
          <cell r="BK163">
            <v>38183.125</v>
          </cell>
          <cell r="BL163">
            <v>373500</v>
          </cell>
          <cell r="BM163">
            <v>311467</v>
          </cell>
          <cell r="BN163">
            <v>62033</v>
          </cell>
          <cell r="BO163">
            <v>331455.90000000002</v>
          </cell>
          <cell r="BP163">
            <v>-17728.8</v>
          </cell>
          <cell r="BQ163">
            <v>349184.7</v>
          </cell>
          <cell r="BR163">
            <v>205702.7</v>
          </cell>
          <cell r="BS163">
            <v>26000</v>
          </cell>
          <cell r="BT163">
            <v>117482</v>
          </cell>
          <cell r="BU163">
            <v>672782.7</v>
          </cell>
          <cell r="BV163">
            <v>212347.1</v>
          </cell>
          <cell r="BW163">
            <v>415476.7</v>
          </cell>
          <cell r="BX163">
            <v>202774.7</v>
          </cell>
          <cell r="BY163">
            <v>136439</v>
          </cell>
          <cell r="BZ163">
            <v>32173.200000000001</v>
          </cell>
          <cell r="CA163">
            <v>10</v>
          </cell>
          <cell r="CD163">
            <v>127</v>
          </cell>
          <cell r="CF163">
            <v>38183.125</v>
          </cell>
          <cell r="CG163">
            <v>9.82</v>
          </cell>
          <cell r="CH163">
            <v>13.6</v>
          </cell>
          <cell r="CI163">
            <v>11.7107142857143</v>
          </cell>
          <cell r="CJ163">
            <v>9</v>
          </cell>
          <cell r="CK163">
            <v>10.5</v>
          </cell>
          <cell r="CL163">
            <v>6.75</v>
          </cell>
          <cell r="CM163">
            <v>15.5</v>
          </cell>
          <cell r="CN163">
            <v>12.5</v>
          </cell>
          <cell r="CO163">
            <v>15</v>
          </cell>
          <cell r="CP163">
            <v>12</v>
          </cell>
          <cell r="CQ163">
            <v>26.99</v>
          </cell>
          <cell r="CR163">
            <v>3.5</v>
          </cell>
          <cell r="CS163">
            <v>18</v>
          </cell>
          <cell r="CT163">
            <v>27</v>
          </cell>
          <cell r="CU163">
            <v>10</v>
          </cell>
          <cell r="CV163">
            <v>10</v>
          </cell>
          <cell r="CY163">
            <v>127</v>
          </cell>
        </row>
        <row r="164">
          <cell r="A164">
            <v>38213.5625</v>
          </cell>
          <cell r="B164">
            <v>105.66777968214397</v>
          </cell>
          <cell r="C164">
            <v>126.91325136612022</v>
          </cell>
          <cell r="D164">
            <v>117.84864094488189</v>
          </cell>
          <cell r="E164">
            <v>117.0425838095238</v>
          </cell>
          <cell r="F164">
            <v>106.196021021021</v>
          </cell>
          <cell r="G164">
            <v>104.95244630071601</v>
          </cell>
          <cell r="H164">
            <v>127.97502697495183</v>
          </cell>
          <cell r="I164">
            <v>158.39987719298244</v>
          </cell>
          <cell r="J164">
            <v>108.30457723577236</v>
          </cell>
          <cell r="K164">
            <v>120.512</v>
          </cell>
          <cell r="L164">
            <v>140.56003112449798</v>
          </cell>
          <cell r="M164">
            <v>117.76810983981694</v>
          </cell>
          <cell r="N164">
            <v>116.59699999999999</v>
          </cell>
          <cell r="R164">
            <v>128</v>
          </cell>
          <cell r="T164">
            <v>38213.5625</v>
          </cell>
          <cell r="AN164">
            <v>0</v>
          </cell>
          <cell r="AP164">
            <v>38213.5625</v>
          </cell>
          <cell r="AQ164">
            <v>538.80307979999998</v>
          </cell>
          <cell r="AR164">
            <v>42.08</v>
          </cell>
          <cell r="AS164">
            <v>1.179</v>
          </cell>
          <cell r="AT164">
            <v>14.127000000000001</v>
          </cell>
          <cell r="AU164">
            <v>0.69399999999999995</v>
          </cell>
          <cell r="AV164">
            <v>22.672833597983999</v>
          </cell>
          <cell r="AW164">
            <v>0.63524883108419994</v>
          </cell>
          <cell r="AX164">
            <v>7.6116711083346003</v>
          </cell>
          <cell r="AY164">
            <v>373.92933738119996</v>
          </cell>
          <cell r="AZ164">
            <v>10</v>
          </cell>
          <cell r="BA164">
            <v>10</v>
          </cell>
          <cell r="BB164">
            <v>10</v>
          </cell>
          <cell r="BC164">
            <v>10</v>
          </cell>
          <cell r="BD164">
            <v>10</v>
          </cell>
          <cell r="BE164">
            <v>10</v>
          </cell>
          <cell r="BF164">
            <v>2.80180608365019E-2</v>
          </cell>
          <cell r="BI164">
            <v>128</v>
          </cell>
          <cell r="BK164">
            <v>38213.5625</v>
          </cell>
          <cell r="BL164">
            <v>354365.8</v>
          </cell>
          <cell r="BM164">
            <v>293818.8</v>
          </cell>
          <cell r="BN164">
            <v>60547</v>
          </cell>
          <cell r="BO164">
            <v>332936.40000000002</v>
          </cell>
          <cell r="BP164">
            <v>-16977</v>
          </cell>
          <cell r="BQ164">
            <v>349913.4</v>
          </cell>
          <cell r="BR164">
            <v>218925.4</v>
          </cell>
          <cell r="BS164">
            <v>10000</v>
          </cell>
          <cell r="BT164">
            <v>120988</v>
          </cell>
          <cell r="BU164">
            <v>642344.80000000005</v>
          </cell>
          <cell r="BV164">
            <v>198628.9</v>
          </cell>
          <cell r="BW164">
            <v>398655.8</v>
          </cell>
          <cell r="BX164">
            <v>192367.8</v>
          </cell>
          <cell r="BY164">
            <v>130663</v>
          </cell>
          <cell r="BZ164">
            <v>44957.4</v>
          </cell>
          <cell r="CA164">
            <v>10</v>
          </cell>
          <cell r="CD164">
            <v>128</v>
          </cell>
          <cell r="CF164">
            <v>38213.5625</v>
          </cell>
          <cell r="CG164">
            <v>9.82</v>
          </cell>
          <cell r="CH164">
            <v>13.6</v>
          </cell>
          <cell r="CI164">
            <v>11.7107142857143</v>
          </cell>
          <cell r="CJ164">
            <v>9</v>
          </cell>
          <cell r="CK164">
            <v>10.5</v>
          </cell>
          <cell r="CL164">
            <v>6.75</v>
          </cell>
          <cell r="CM164">
            <v>15.5</v>
          </cell>
          <cell r="CN164">
            <v>12.5</v>
          </cell>
          <cell r="CO164">
            <v>15</v>
          </cell>
          <cell r="CP164">
            <v>12</v>
          </cell>
          <cell r="CQ164">
            <v>26.99</v>
          </cell>
          <cell r="CR164">
            <v>3.5</v>
          </cell>
          <cell r="CS164">
            <v>18</v>
          </cell>
          <cell r="CT164">
            <v>27</v>
          </cell>
          <cell r="CU164">
            <v>10</v>
          </cell>
          <cell r="CV164">
            <v>10</v>
          </cell>
          <cell r="CY164">
            <v>128</v>
          </cell>
        </row>
        <row r="165">
          <cell r="A165">
            <v>38244</v>
          </cell>
          <cell r="B165">
            <v>104.59856466188843</v>
          </cell>
          <cell r="C165">
            <v>124.72172131147542</v>
          </cell>
          <cell r="D165">
            <v>117.84864094488189</v>
          </cell>
          <cell r="E165">
            <v>114.97951238095237</v>
          </cell>
          <cell r="F165">
            <v>106.24051801801801</v>
          </cell>
          <cell r="G165">
            <v>105.00543198090693</v>
          </cell>
          <cell r="H165">
            <v>128.64396146435453</v>
          </cell>
          <cell r="I165">
            <v>158.39987719298244</v>
          </cell>
          <cell r="J165">
            <v>107.29357723577235</v>
          </cell>
          <cell r="K165">
            <v>120.512</v>
          </cell>
          <cell r="L165">
            <v>140.31128112449798</v>
          </cell>
          <cell r="M165">
            <v>117.76810983981694</v>
          </cell>
          <cell r="N165">
            <v>116.032</v>
          </cell>
          <cell r="R165">
            <v>129</v>
          </cell>
          <cell r="T165">
            <v>38244</v>
          </cell>
          <cell r="AN165">
            <v>0</v>
          </cell>
          <cell r="AP165">
            <v>38244</v>
          </cell>
          <cell r="AQ165">
            <v>536.91392364000001</v>
          </cell>
          <cell r="AR165">
            <v>41.6</v>
          </cell>
          <cell r="AS165">
            <v>1.2499</v>
          </cell>
          <cell r="AT165">
            <v>14.295999999999999</v>
          </cell>
          <cell r="AU165">
            <v>0.81</v>
          </cell>
          <cell r="AV165">
            <v>22.335619223424001</v>
          </cell>
          <cell r="AW165">
            <v>0.67108871315763596</v>
          </cell>
          <cell r="AX165">
            <v>7.6757214523574397</v>
          </cell>
          <cell r="AY165">
            <v>434.90027814840005</v>
          </cell>
          <cell r="AZ165">
            <v>10</v>
          </cell>
          <cell r="BA165">
            <v>10</v>
          </cell>
          <cell r="BB165">
            <v>10</v>
          </cell>
          <cell r="BC165">
            <v>10</v>
          </cell>
          <cell r="BD165">
            <v>10</v>
          </cell>
          <cell r="BE165">
            <v>10</v>
          </cell>
          <cell r="BF165">
            <v>3.0045673076923074E-2</v>
          </cell>
          <cell r="BI165">
            <v>129</v>
          </cell>
          <cell r="BK165">
            <v>38244</v>
          </cell>
          <cell r="BL165">
            <v>308440.2</v>
          </cell>
          <cell r="BM165">
            <v>258947.20000000001</v>
          </cell>
          <cell r="BN165">
            <v>49493</v>
          </cell>
          <cell r="BO165">
            <v>349124.2</v>
          </cell>
          <cell r="BP165">
            <v>-1036.3</v>
          </cell>
          <cell r="BQ165">
            <v>350160.5</v>
          </cell>
          <cell r="BR165">
            <v>226073.5</v>
          </cell>
          <cell r="BS165">
            <v>9.9999999999999995E-7</v>
          </cell>
          <cell r="BT165">
            <v>124087</v>
          </cell>
          <cell r="BU165">
            <v>615049.80000000005</v>
          </cell>
          <cell r="BV165">
            <v>168549.5</v>
          </cell>
          <cell r="BW165">
            <v>401570.1</v>
          </cell>
          <cell r="BX165">
            <v>192749.1</v>
          </cell>
          <cell r="BY165">
            <v>132399</v>
          </cell>
          <cell r="BZ165">
            <v>42515.6</v>
          </cell>
          <cell r="CA165">
            <v>10</v>
          </cell>
          <cell r="CD165">
            <v>129</v>
          </cell>
          <cell r="CF165">
            <v>38244</v>
          </cell>
          <cell r="CG165">
            <v>9.82</v>
          </cell>
          <cell r="CH165">
            <v>13.6</v>
          </cell>
          <cell r="CI165">
            <v>11.7107142857143</v>
          </cell>
          <cell r="CJ165">
            <v>9</v>
          </cell>
          <cell r="CK165">
            <v>10.5</v>
          </cell>
          <cell r="CL165">
            <v>6.75</v>
          </cell>
          <cell r="CM165">
            <v>15.5</v>
          </cell>
          <cell r="CN165">
            <v>12.5</v>
          </cell>
          <cell r="CO165">
            <v>15</v>
          </cell>
          <cell r="CP165">
            <v>13</v>
          </cell>
          <cell r="CQ165">
            <v>26.99</v>
          </cell>
          <cell r="CR165">
            <v>3.5</v>
          </cell>
          <cell r="CS165">
            <v>18</v>
          </cell>
          <cell r="CT165">
            <v>27</v>
          </cell>
          <cell r="CU165">
            <v>10</v>
          </cell>
          <cell r="CV165">
            <v>10</v>
          </cell>
          <cell r="CY165">
            <v>129</v>
          </cell>
        </row>
        <row r="166">
          <cell r="A166">
            <v>38274.4375</v>
          </cell>
          <cell r="B166">
            <v>111.06567435338111</v>
          </cell>
          <cell r="C166">
            <v>125.05314207650274</v>
          </cell>
          <cell r="D166">
            <v>117.84864094488189</v>
          </cell>
          <cell r="E166">
            <v>114.68334571428571</v>
          </cell>
          <cell r="F166">
            <v>106.24051801801801</v>
          </cell>
          <cell r="G166">
            <v>105.00543198090693</v>
          </cell>
          <cell r="H166">
            <v>133.10926332691071</v>
          </cell>
          <cell r="I166">
            <v>158.39987719298244</v>
          </cell>
          <cell r="J166">
            <v>107.29357723577235</v>
          </cell>
          <cell r="K166">
            <v>130.77199999999999</v>
          </cell>
          <cell r="L166">
            <v>140.31028212851405</v>
          </cell>
          <cell r="M166">
            <v>117.844471395881</v>
          </cell>
          <cell r="N166">
            <v>119.029</v>
          </cell>
          <cell r="R166">
            <v>130</v>
          </cell>
          <cell r="T166">
            <v>38274.4375</v>
          </cell>
          <cell r="AN166">
            <v>0</v>
          </cell>
          <cell r="AP166">
            <v>38274.4375</v>
          </cell>
          <cell r="AQ166">
            <v>525.31004430999997</v>
          </cell>
          <cell r="AR166">
            <v>46.88</v>
          </cell>
          <cell r="AS166">
            <v>1.1579999999999999</v>
          </cell>
          <cell r="AT166">
            <v>14.832000000000001</v>
          </cell>
          <cell r="AU166">
            <v>0.81200000000000006</v>
          </cell>
          <cell r="AV166">
            <v>24.626534877252801</v>
          </cell>
          <cell r="AW166">
            <v>0.60830903131097991</v>
          </cell>
          <cell r="AX166">
            <v>7.7913985772059196</v>
          </cell>
          <cell r="AY166">
            <v>426.55175597971999</v>
          </cell>
          <cell r="AZ166">
            <v>10</v>
          </cell>
          <cell r="BA166">
            <v>10</v>
          </cell>
          <cell r="BB166">
            <v>10</v>
          </cell>
          <cell r="BC166">
            <v>10</v>
          </cell>
          <cell r="BD166">
            <v>10</v>
          </cell>
          <cell r="BE166">
            <v>10</v>
          </cell>
          <cell r="BF166">
            <v>2.4701365187713306E-2</v>
          </cell>
          <cell r="BI166">
            <v>130</v>
          </cell>
          <cell r="BK166">
            <v>38274.4375</v>
          </cell>
          <cell r="BL166">
            <v>312507.8</v>
          </cell>
          <cell r="BM166">
            <v>266497.8</v>
          </cell>
          <cell r="BN166">
            <v>46010</v>
          </cell>
          <cell r="BO166">
            <v>370060.2</v>
          </cell>
          <cell r="BP166">
            <v>9259.4</v>
          </cell>
          <cell r="BQ166">
            <v>360800.8</v>
          </cell>
          <cell r="BR166">
            <v>224804.8</v>
          </cell>
          <cell r="BS166">
            <v>9.9999999999999995E-7</v>
          </cell>
          <cell r="BT166">
            <v>135996</v>
          </cell>
          <cell r="BU166">
            <v>637418.9</v>
          </cell>
          <cell r="BV166">
            <v>195033.7</v>
          </cell>
          <cell r="BW166">
            <v>397411.7</v>
          </cell>
          <cell r="BX166">
            <v>191289.7</v>
          </cell>
          <cell r="BY166">
            <v>130791</v>
          </cell>
          <cell r="BZ166">
            <v>45149.1</v>
          </cell>
          <cell r="CA166">
            <v>10</v>
          </cell>
          <cell r="CD166">
            <v>130</v>
          </cell>
          <cell r="CF166">
            <v>38274.4375</v>
          </cell>
          <cell r="CG166">
            <v>9.82</v>
          </cell>
          <cell r="CH166">
            <v>13.6</v>
          </cell>
          <cell r="CI166">
            <v>11.7107142857143</v>
          </cell>
          <cell r="CJ166">
            <v>9</v>
          </cell>
          <cell r="CK166">
            <v>10.5</v>
          </cell>
          <cell r="CL166">
            <v>6.75</v>
          </cell>
          <cell r="CM166">
            <v>10.5</v>
          </cell>
          <cell r="CN166">
            <v>12.5</v>
          </cell>
          <cell r="CO166">
            <v>15</v>
          </cell>
          <cell r="CP166">
            <v>13</v>
          </cell>
          <cell r="CQ166">
            <v>26.99</v>
          </cell>
          <cell r="CR166">
            <v>3.5</v>
          </cell>
          <cell r="CS166">
            <v>18</v>
          </cell>
          <cell r="CT166">
            <v>27</v>
          </cell>
          <cell r="CU166">
            <v>10</v>
          </cell>
          <cell r="CV166">
            <v>10</v>
          </cell>
          <cell r="CY166">
            <v>130</v>
          </cell>
        </row>
        <row r="167">
          <cell r="A167">
            <v>38304.875</v>
          </cell>
          <cell r="B167">
            <v>110.87586662511683</v>
          </cell>
          <cell r="C167">
            <v>128.03989071038251</v>
          </cell>
          <cell r="D167">
            <v>117.84864094488189</v>
          </cell>
          <cell r="E167">
            <v>117.62696666666668</v>
          </cell>
          <cell r="F167">
            <v>106.24051801801801</v>
          </cell>
          <cell r="G167">
            <v>105.00543198090693</v>
          </cell>
          <cell r="H167">
            <v>133.67727874116892</v>
          </cell>
          <cell r="I167">
            <v>158.39987719298244</v>
          </cell>
          <cell r="J167">
            <v>107.29357723577235</v>
          </cell>
          <cell r="K167">
            <v>130.77199999999999</v>
          </cell>
          <cell r="L167">
            <v>140.38620582329315</v>
          </cell>
          <cell r="M167">
            <v>117.76810983981694</v>
          </cell>
          <cell r="N167">
            <v>119.42400000000001</v>
          </cell>
          <cell r="R167">
            <v>131</v>
          </cell>
          <cell r="T167">
            <v>38304.875</v>
          </cell>
          <cell r="AN167">
            <v>0</v>
          </cell>
          <cell r="AP167">
            <v>38304.875</v>
          </cell>
          <cell r="AQ167">
            <v>504.99505601999999</v>
          </cell>
          <cell r="AR167">
            <v>42.09</v>
          </cell>
          <cell r="AS167">
            <v>1.0860000000000001</v>
          </cell>
          <cell r="AT167">
            <v>15.49</v>
          </cell>
          <cell r="AU167">
            <v>0.78800000000000003</v>
          </cell>
          <cell r="AV167">
            <v>21.255241907881803</v>
          </cell>
          <cell r="AW167">
            <v>0.54842463083771997</v>
          </cell>
          <cell r="AX167">
            <v>7.8223734177497999</v>
          </cell>
          <cell r="AY167">
            <v>397.93610414376002</v>
          </cell>
          <cell r="AZ167">
            <v>10</v>
          </cell>
          <cell r="BA167">
            <v>10</v>
          </cell>
          <cell r="BB167">
            <v>10</v>
          </cell>
          <cell r="BC167">
            <v>10</v>
          </cell>
          <cell r="BD167">
            <v>10</v>
          </cell>
          <cell r="BE167">
            <v>10</v>
          </cell>
          <cell r="BF167">
            <v>2.5801853171774764E-2</v>
          </cell>
          <cell r="BI167">
            <v>131</v>
          </cell>
          <cell r="BK167">
            <v>38304.875</v>
          </cell>
          <cell r="BL167">
            <v>283411.09999999998</v>
          </cell>
          <cell r="BM167">
            <v>246205.1</v>
          </cell>
          <cell r="BN167">
            <v>37206</v>
          </cell>
          <cell r="BO167">
            <v>385462.8</v>
          </cell>
          <cell r="BP167">
            <v>18681.2</v>
          </cell>
          <cell r="BQ167">
            <v>366781.6</v>
          </cell>
          <cell r="BR167">
            <v>225264.6</v>
          </cell>
          <cell r="BS167">
            <v>9.9999999999999995E-7</v>
          </cell>
          <cell r="BT167">
            <v>141517</v>
          </cell>
          <cell r="BU167">
            <v>610922.30000000005</v>
          </cell>
          <cell r="BV167">
            <v>179170</v>
          </cell>
          <cell r="BW167">
            <v>387022</v>
          </cell>
          <cell r="BX167">
            <v>186421</v>
          </cell>
          <cell r="BY167">
            <v>126082</v>
          </cell>
          <cell r="BZ167">
            <v>57951.6</v>
          </cell>
          <cell r="CA167">
            <v>10</v>
          </cell>
          <cell r="CD167">
            <v>131</v>
          </cell>
          <cell r="CF167">
            <v>38304.875</v>
          </cell>
          <cell r="CG167">
            <v>9.82</v>
          </cell>
          <cell r="CH167">
            <v>13.6</v>
          </cell>
          <cell r="CI167">
            <v>11.7107142857143</v>
          </cell>
          <cell r="CJ167">
            <v>9</v>
          </cell>
          <cell r="CK167">
            <v>10.5</v>
          </cell>
          <cell r="CL167">
            <v>6.75</v>
          </cell>
          <cell r="CM167">
            <v>15.5</v>
          </cell>
          <cell r="CN167">
            <v>12.5</v>
          </cell>
          <cell r="CO167">
            <v>15</v>
          </cell>
          <cell r="CP167">
            <v>13</v>
          </cell>
          <cell r="CQ167">
            <v>26.99</v>
          </cell>
          <cell r="CR167">
            <v>3.5</v>
          </cell>
          <cell r="CS167">
            <v>18</v>
          </cell>
          <cell r="CT167">
            <v>27</v>
          </cell>
          <cell r="CU167">
            <v>10</v>
          </cell>
          <cell r="CV167">
            <v>10</v>
          </cell>
          <cell r="CY167">
            <v>131</v>
          </cell>
        </row>
        <row r="168">
          <cell r="A168">
            <v>38335.3125</v>
          </cell>
          <cell r="B168">
            <v>108.15086195076347</v>
          </cell>
          <cell r="C168">
            <v>126.87595628415301</v>
          </cell>
          <cell r="D168">
            <v>117.84864094488189</v>
          </cell>
          <cell r="E168">
            <v>113.14706</v>
          </cell>
          <cell r="F168">
            <v>106.24051801801801</v>
          </cell>
          <cell r="G168">
            <v>108.74706921241051</v>
          </cell>
          <cell r="H168">
            <v>133.47804945407836</v>
          </cell>
          <cell r="I168">
            <v>158.39987719298244</v>
          </cell>
          <cell r="J168">
            <v>107.29357723577235</v>
          </cell>
          <cell r="K168">
            <v>130.77199999999999</v>
          </cell>
          <cell r="L168">
            <v>140.53505622489959</v>
          </cell>
          <cell r="M168">
            <v>117.76810983981694</v>
          </cell>
          <cell r="N168">
            <v>118.199</v>
          </cell>
          <cell r="R168">
            <v>132</v>
          </cell>
          <cell r="T168">
            <v>38335.3125</v>
          </cell>
          <cell r="AN168">
            <v>0</v>
          </cell>
          <cell r="AP168">
            <v>38335.3125</v>
          </cell>
          <cell r="AQ168">
            <v>490.38689362999992</v>
          </cell>
          <cell r="AR168">
            <v>39.04</v>
          </cell>
          <cell r="AS168">
            <v>1.0720000000000001</v>
          </cell>
          <cell r="AT168">
            <v>15.59</v>
          </cell>
          <cell r="AU168">
            <v>0.73599999999999999</v>
          </cell>
          <cell r="AV168">
            <v>19.144704327315196</v>
          </cell>
          <cell r="AW168">
            <v>0.5256947499713599</v>
          </cell>
          <cell r="AX168">
            <v>7.6451316716916988</v>
          </cell>
          <cell r="AY168">
            <v>360.92475371167995</v>
          </cell>
          <cell r="AZ168">
            <v>10</v>
          </cell>
          <cell r="BA168">
            <v>10</v>
          </cell>
          <cell r="BB168">
            <v>10</v>
          </cell>
          <cell r="BC168">
            <v>10</v>
          </cell>
          <cell r="BD168">
            <v>10</v>
          </cell>
          <cell r="BE168">
            <v>10</v>
          </cell>
          <cell r="BF168">
            <v>2.7459016393442622E-2</v>
          </cell>
          <cell r="BI168">
            <v>132</v>
          </cell>
          <cell r="BK168">
            <v>38335.3125</v>
          </cell>
          <cell r="BL168">
            <v>274127.3</v>
          </cell>
          <cell r="BM168">
            <v>231870.3</v>
          </cell>
          <cell r="BN168">
            <v>42257</v>
          </cell>
          <cell r="BO168">
            <v>385327.6</v>
          </cell>
          <cell r="BP168">
            <v>3383.1</v>
          </cell>
          <cell r="BQ168">
            <v>381944.5</v>
          </cell>
          <cell r="BR168">
            <v>218069.5</v>
          </cell>
          <cell r="BS168">
            <v>15000</v>
          </cell>
          <cell r="BT168">
            <v>148875</v>
          </cell>
          <cell r="BU168">
            <v>624257.9</v>
          </cell>
          <cell r="BV168">
            <v>175029</v>
          </cell>
          <cell r="BW168">
            <v>404145.2</v>
          </cell>
          <cell r="BX168">
            <v>198616.2</v>
          </cell>
          <cell r="BY168">
            <v>129794</v>
          </cell>
          <cell r="BZ168">
            <v>35197</v>
          </cell>
          <cell r="CA168">
            <v>10</v>
          </cell>
          <cell r="CD168">
            <v>132</v>
          </cell>
          <cell r="CF168">
            <v>38335.3125</v>
          </cell>
          <cell r="CG168">
            <v>9.82</v>
          </cell>
          <cell r="CH168">
            <v>13.6</v>
          </cell>
          <cell r="CI168">
            <v>11.7107142857143</v>
          </cell>
          <cell r="CJ168">
            <v>9</v>
          </cell>
          <cell r="CK168">
            <v>10.5</v>
          </cell>
          <cell r="CL168">
            <v>6.75</v>
          </cell>
          <cell r="CM168">
            <v>15.5</v>
          </cell>
          <cell r="CN168">
            <v>12.5</v>
          </cell>
          <cell r="CO168">
            <v>15</v>
          </cell>
          <cell r="CP168">
            <v>13</v>
          </cell>
          <cell r="CQ168">
            <v>26.99</v>
          </cell>
          <cell r="CR168">
            <v>3.5</v>
          </cell>
          <cell r="CU168">
            <v>10</v>
          </cell>
          <cell r="CV168">
            <v>10</v>
          </cell>
          <cell r="CY168">
            <v>132</v>
          </cell>
        </row>
        <row r="169">
          <cell r="A169">
            <v>38365.75</v>
          </cell>
          <cell r="B169">
            <v>106.35631816765347</v>
          </cell>
          <cell r="C169">
            <v>125.28428961748635</v>
          </cell>
          <cell r="D169">
            <v>117.84864094488189</v>
          </cell>
          <cell r="E169">
            <v>119.06540285714286</v>
          </cell>
          <cell r="F169">
            <v>108.06974774774775</v>
          </cell>
          <cell r="G169">
            <v>105.93420286396183</v>
          </cell>
          <cell r="H169">
            <v>132.20128644829799</v>
          </cell>
          <cell r="I169">
            <v>159.80338596491228</v>
          </cell>
          <cell r="J169">
            <v>107.34974796747967</v>
          </cell>
          <cell r="K169">
            <v>130.77199999999999</v>
          </cell>
          <cell r="L169">
            <v>140.20570582329316</v>
          </cell>
          <cell r="M169">
            <v>115.74647597254005</v>
          </cell>
          <cell r="N169">
            <v>117.91800000000001</v>
          </cell>
          <cell r="R169">
            <v>133</v>
          </cell>
          <cell r="T169">
            <v>38365.75</v>
          </cell>
          <cell r="AN169">
            <v>0</v>
          </cell>
          <cell r="AP169">
            <v>38365.75</v>
          </cell>
          <cell r="AQ169">
            <v>495.24097543000005</v>
          </cell>
          <cell r="AR169">
            <v>42.97</v>
          </cell>
          <cell r="AS169">
            <v>1.1299999999999999</v>
          </cell>
          <cell r="AT169">
            <v>14.96</v>
          </cell>
          <cell r="AU169">
            <v>0.68500000000000005</v>
          </cell>
          <cell r="AV169">
            <v>21.280504714227103</v>
          </cell>
          <cell r="AW169">
            <v>0.55962230223589993</v>
          </cell>
          <cell r="AX169">
            <v>7.4088049924328017</v>
          </cell>
          <cell r="AY169">
            <v>339.24006816955006</v>
          </cell>
          <cell r="AZ169">
            <v>10</v>
          </cell>
          <cell r="BA169">
            <v>10</v>
          </cell>
          <cell r="BB169">
            <v>10</v>
          </cell>
          <cell r="BC169">
            <v>10</v>
          </cell>
          <cell r="BD169">
            <v>10</v>
          </cell>
          <cell r="BE169">
            <v>10</v>
          </cell>
          <cell r="BF169">
            <v>2.6297416802420287E-2</v>
          </cell>
          <cell r="BI169">
            <v>133</v>
          </cell>
          <cell r="BK169">
            <v>38365.75</v>
          </cell>
          <cell r="BL169">
            <v>250368.7</v>
          </cell>
          <cell r="BM169">
            <v>217483.7</v>
          </cell>
          <cell r="BN169">
            <v>32885</v>
          </cell>
          <cell r="BO169">
            <v>427194.2</v>
          </cell>
          <cell r="BP169">
            <v>19282.5</v>
          </cell>
          <cell r="BQ169">
            <v>407911.7</v>
          </cell>
          <cell r="BR169">
            <v>222475.7</v>
          </cell>
          <cell r="BS169">
            <v>36925</v>
          </cell>
          <cell r="BT169">
            <v>148511</v>
          </cell>
          <cell r="BU169">
            <v>640194.19999999995</v>
          </cell>
          <cell r="BV169">
            <v>178026.9</v>
          </cell>
          <cell r="BW169">
            <v>416671.5</v>
          </cell>
          <cell r="BX169">
            <v>207306.5</v>
          </cell>
          <cell r="BY169">
            <v>132591</v>
          </cell>
          <cell r="BZ169">
            <v>37368.699999999997</v>
          </cell>
          <cell r="CA169">
            <v>10</v>
          </cell>
          <cell r="CD169">
            <v>133</v>
          </cell>
          <cell r="CF169">
            <v>38365.75</v>
          </cell>
          <cell r="CG169">
            <v>9.82</v>
          </cell>
          <cell r="CH169">
            <v>13.6</v>
          </cell>
          <cell r="CI169">
            <v>11.7107142857143</v>
          </cell>
          <cell r="CJ169">
            <v>9</v>
          </cell>
          <cell r="CK169">
            <v>10.5</v>
          </cell>
          <cell r="CL169">
            <v>6.75</v>
          </cell>
          <cell r="CM169">
            <v>15</v>
          </cell>
          <cell r="CN169">
            <v>12.5</v>
          </cell>
          <cell r="CO169">
            <v>15</v>
          </cell>
          <cell r="CP169">
            <v>13</v>
          </cell>
          <cell r="CQ169">
            <v>26.99</v>
          </cell>
          <cell r="CR169">
            <v>3.5</v>
          </cell>
          <cell r="CS169">
            <v>18</v>
          </cell>
          <cell r="CT169">
            <v>27</v>
          </cell>
          <cell r="CU169">
            <v>10</v>
          </cell>
          <cell r="CV169">
            <v>10</v>
          </cell>
          <cell r="CY169">
            <v>133</v>
          </cell>
        </row>
        <row r="170">
          <cell r="A170">
            <v>38396.1875</v>
          </cell>
          <cell r="B170">
            <v>106.04817357432219</v>
          </cell>
          <cell r="C170">
            <v>127.31106557377051</v>
          </cell>
          <cell r="D170">
            <v>117.84864094488189</v>
          </cell>
          <cell r="E170">
            <v>114.69787904761905</v>
          </cell>
          <cell r="F170">
            <v>107.57797597597597</v>
          </cell>
          <cell r="G170">
            <v>105.93420286396183</v>
          </cell>
          <cell r="H170">
            <v>130.44255812459858</v>
          </cell>
          <cell r="I170">
            <v>159.80338596491228</v>
          </cell>
          <cell r="J170">
            <v>107.34974796747967</v>
          </cell>
          <cell r="K170">
            <v>130.77199999999999</v>
          </cell>
          <cell r="L170">
            <v>140.03987248995983</v>
          </cell>
          <cell r="M170">
            <v>115.88951945080092</v>
          </cell>
          <cell r="N170">
            <v>117.081</v>
          </cell>
          <cell r="R170">
            <v>134</v>
          </cell>
          <cell r="T170">
            <v>38396.1875</v>
          </cell>
          <cell r="AN170">
            <v>0</v>
          </cell>
          <cell r="AP170">
            <v>38396.1875</v>
          </cell>
          <cell r="AQ170">
            <v>504.09639492999997</v>
          </cell>
          <cell r="AR170">
            <v>44.82</v>
          </cell>
          <cell r="AS170">
            <v>1.1499999999999999</v>
          </cell>
          <cell r="AT170">
            <v>14.94</v>
          </cell>
          <cell r="AU170">
            <v>0.70799999999999996</v>
          </cell>
          <cell r="AV170">
            <v>22.593600420762598</v>
          </cell>
          <cell r="AW170">
            <v>0.57971085416949997</v>
          </cell>
          <cell r="AX170">
            <v>7.5312001402541995</v>
          </cell>
          <cell r="AY170">
            <v>356.90024761043998</v>
          </cell>
          <cell r="AZ170">
            <v>10</v>
          </cell>
          <cell r="BA170">
            <v>10</v>
          </cell>
          <cell r="BB170">
            <v>10</v>
          </cell>
          <cell r="BC170">
            <v>10</v>
          </cell>
          <cell r="BD170">
            <v>10</v>
          </cell>
          <cell r="BE170">
            <v>10</v>
          </cell>
          <cell r="BF170">
            <v>2.5658188308790717E-2</v>
          </cell>
          <cell r="BI170">
            <v>134</v>
          </cell>
          <cell r="BK170">
            <v>38396.1875</v>
          </cell>
          <cell r="BL170">
            <v>243123.1</v>
          </cell>
          <cell r="BM170">
            <v>210608.1</v>
          </cell>
          <cell r="BN170">
            <v>32515</v>
          </cell>
          <cell r="BO170">
            <v>463038.5</v>
          </cell>
          <cell r="BP170">
            <v>34418.400000000001</v>
          </cell>
          <cell r="BQ170">
            <v>428620.1</v>
          </cell>
          <cell r="BR170">
            <v>222298.1</v>
          </cell>
          <cell r="BS170">
            <v>57525</v>
          </cell>
          <cell r="BT170">
            <v>148797</v>
          </cell>
          <cell r="BU170">
            <v>660475.30000000005</v>
          </cell>
          <cell r="BV170">
            <v>181802.8</v>
          </cell>
          <cell r="BW170">
            <v>432520.7</v>
          </cell>
          <cell r="BX170">
            <v>218808.7</v>
          </cell>
          <cell r="BY170">
            <v>136576</v>
          </cell>
          <cell r="BZ170">
            <v>45686.3</v>
          </cell>
          <cell r="CA170">
            <v>10</v>
          </cell>
          <cell r="CD170">
            <v>134</v>
          </cell>
          <cell r="CF170">
            <v>38396.1875</v>
          </cell>
          <cell r="CG170">
            <v>9.82</v>
          </cell>
          <cell r="CH170">
            <v>13.6</v>
          </cell>
          <cell r="CI170">
            <v>11.71</v>
          </cell>
          <cell r="CJ170">
            <v>9</v>
          </cell>
          <cell r="CK170">
            <v>10.5</v>
          </cell>
          <cell r="CL170">
            <v>6.75</v>
          </cell>
          <cell r="CM170">
            <v>11.99</v>
          </cell>
          <cell r="CN170">
            <v>12.5</v>
          </cell>
          <cell r="CO170">
            <v>15</v>
          </cell>
          <cell r="CP170">
            <v>13</v>
          </cell>
          <cell r="CQ170">
            <v>26.99</v>
          </cell>
          <cell r="CR170">
            <v>3.5</v>
          </cell>
          <cell r="CS170">
            <v>18</v>
          </cell>
          <cell r="CT170">
            <v>27</v>
          </cell>
          <cell r="CU170">
            <v>10</v>
          </cell>
          <cell r="CV170">
            <v>10</v>
          </cell>
          <cell r="CY170">
            <v>134</v>
          </cell>
        </row>
        <row r="171">
          <cell r="A171">
            <v>38426.625</v>
          </cell>
          <cell r="B171">
            <v>111.16769305079465</v>
          </cell>
          <cell r="C171">
            <v>126.88415300546448</v>
          </cell>
          <cell r="D171">
            <v>117.84864094488189</v>
          </cell>
          <cell r="E171">
            <v>115.74490285714286</v>
          </cell>
          <cell r="F171">
            <v>107.57797597597597</v>
          </cell>
          <cell r="G171">
            <v>105.93420286396183</v>
          </cell>
          <cell r="H171">
            <v>132.42425369299934</v>
          </cell>
          <cell r="I171">
            <v>159.80338596491228</v>
          </cell>
          <cell r="J171">
            <v>107.34974796747967</v>
          </cell>
          <cell r="K171">
            <v>130.77199999999999</v>
          </cell>
          <cell r="L171">
            <v>140.51039959839358</v>
          </cell>
          <cell r="M171">
            <v>115.88951945080092</v>
          </cell>
          <cell r="N171">
            <v>119.181</v>
          </cell>
          <cell r="R171">
            <v>135</v>
          </cell>
          <cell r="T171">
            <v>38426.625</v>
          </cell>
          <cell r="AN171">
            <v>0</v>
          </cell>
          <cell r="AP171">
            <v>38426.625</v>
          </cell>
          <cell r="AQ171">
            <v>497.35971654000002</v>
          </cell>
          <cell r="AR171">
            <v>50.94</v>
          </cell>
          <cell r="AS171">
            <v>1.24</v>
          </cell>
          <cell r="AT171">
            <v>15.31</v>
          </cell>
          <cell r="AU171">
            <v>0.72399999999999998</v>
          </cell>
          <cell r="AV171">
            <v>25.335503960547602</v>
          </cell>
          <cell r="AW171">
            <v>0.6167260485096</v>
          </cell>
          <cell r="AX171">
            <v>7.6145772602274011</v>
          </cell>
          <cell r="AY171">
            <v>360.08843477495998</v>
          </cell>
          <cell r="AZ171">
            <v>10</v>
          </cell>
          <cell r="BA171">
            <v>10</v>
          </cell>
          <cell r="BB171">
            <v>10</v>
          </cell>
          <cell r="BC171">
            <v>10</v>
          </cell>
          <cell r="BD171">
            <v>10</v>
          </cell>
          <cell r="BE171">
            <v>10</v>
          </cell>
          <cell r="BF171">
            <v>2.4342363564978403E-2</v>
          </cell>
          <cell r="BI171">
            <v>135</v>
          </cell>
          <cell r="BK171">
            <v>38426.625</v>
          </cell>
          <cell r="BL171">
            <v>229199</v>
          </cell>
          <cell r="BM171">
            <v>194311</v>
          </cell>
          <cell r="BN171">
            <v>34888</v>
          </cell>
          <cell r="BO171">
            <v>483249.2</v>
          </cell>
          <cell r="BP171">
            <v>43030.6</v>
          </cell>
          <cell r="BQ171">
            <v>440218.6</v>
          </cell>
          <cell r="BR171">
            <v>220904.6</v>
          </cell>
          <cell r="BS171">
            <v>67750</v>
          </cell>
          <cell r="BT171">
            <v>151564</v>
          </cell>
          <cell r="BU171">
            <v>662716.19999999995</v>
          </cell>
          <cell r="BV171">
            <v>185598.4</v>
          </cell>
          <cell r="BW171">
            <v>430210.3</v>
          </cell>
          <cell r="BX171">
            <v>211976.3</v>
          </cell>
          <cell r="BY171">
            <v>139141</v>
          </cell>
          <cell r="BZ171">
            <v>49732</v>
          </cell>
          <cell r="CA171">
            <v>10</v>
          </cell>
          <cell r="CD171">
            <v>135</v>
          </cell>
          <cell r="CF171">
            <v>38426.625</v>
          </cell>
          <cell r="CG171">
            <v>9.82</v>
          </cell>
          <cell r="CH171">
            <v>13.4</v>
          </cell>
          <cell r="CI171">
            <v>11.61</v>
          </cell>
          <cell r="CJ171">
            <v>9</v>
          </cell>
          <cell r="CK171">
            <v>10.5</v>
          </cell>
          <cell r="CL171">
            <v>5.25</v>
          </cell>
          <cell r="CM171">
            <v>15.5</v>
          </cell>
          <cell r="CN171">
            <v>12.5</v>
          </cell>
          <cell r="CO171">
            <v>15</v>
          </cell>
          <cell r="CP171">
            <v>13</v>
          </cell>
          <cell r="CQ171">
            <v>21</v>
          </cell>
          <cell r="CR171">
            <v>3.5</v>
          </cell>
          <cell r="CS171">
            <v>18</v>
          </cell>
          <cell r="CT171">
            <v>27</v>
          </cell>
          <cell r="CU171">
            <v>10</v>
          </cell>
          <cell r="CV171">
            <v>10</v>
          </cell>
          <cell r="CY171">
            <v>135</v>
          </cell>
        </row>
        <row r="172">
          <cell r="A172">
            <v>38457.0625</v>
          </cell>
          <cell r="B172">
            <v>117.13580274228737</v>
          </cell>
          <cell r="C172">
            <v>127.99207650273223</v>
          </cell>
          <cell r="D172">
            <v>117.84864094488189</v>
          </cell>
          <cell r="E172">
            <v>113.4921219047619</v>
          </cell>
          <cell r="F172">
            <v>107.57797597597597</v>
          </cell>
          <cell r="G172">
            <v>105.93420286396183</v>
          </cell>
          <cell r="H172">
            <v>134.37754849068722</v>
          </cell>
          <cell r="I172">
            <v>159.80338596491228</v>
          </cell>
          <cell r="J172">
            <v>107.34974796747967</v>
          </cell>
          <cell r="K172">
            <v>130.77199999999999</v>
          </cell>
          <cell r="L172">
            <v>140.19671485943778</v>
          </cell>
          <cell r="M172">
            <v>115.88951945080092</v>
          </cell>
          <cell r="N172">
            <v>121.15300000000001</v>
          </cell>
          <cell r="R172">
            <v>136</v>
          </cell>
          <cell r="T172">
            <v>38457.0625</v>
          </cell>
          <cell r="AN172">
            <v>0</v>
          </cell>
          <cell r="AP172">
            <v>38457.0625</v>
          </cell>
          <cell r="AQ172">
            <v>507.02196314999998</v>
          </cell>
          <cell r="AR172">
            <v>50.64</v>
          </cell>
          <cell r="AS172">
            <v>1.256</v>
          </cell>
          <cell r="AT172">
            <v>15.14</v>
          </cell>
          <cell r="AU172">
            <v>0.67200000000000004</v>
          </cell>
          <cell r="AV172">
            <v>25.675592213915998</v>
          </cell>
          <cell r="AW172">
            <v>0.63681958571639996</v>
          </cell>
          <cell r="AX172">
            <v>7.676312522091</v>
          </cell>
          <cell r="AY172">
            <v>340.7187592368</v>
          </cell>
          <cell r="AZ172">
            <v>10</v>
          </cell>
          <cell r="BA172">
            <v>10</v>
          </cell>
          <cell r="BB172">
            <v>10</v>
          </cell>
          <cell r="BC172">
            <v>10</v>
          </cell>
          <cell r="BD172">
            <v>10</v>
          </cell>
          <cell r="BE172">
            <v>10</v>
          </cell>
          <cell r="BF172">
            <v>2.4802527646129544E-2</v>
          </cell>
          <cell r="BI172">
            <v>136</v>
          </cell>
          <cell r="BK172">
            <v>38457.0625</v>
          </cell>
          <cell r="BL172">
            <v>244813</v>
          </cell>
          <cell r="BM172">
            <v>206998</v>
          </cell>
          <cell r="BN172">
            <v>37815</v>
          </cell>
          <cell r="BO172">
            <v>468197.7</v>
          </cell>
          <cell r="BP172">
            <v>37453.800000000003</v>
          </cell>
          <cell r="BQ172">
            <v>430743.9</v>
          </cell>
          <cell r="BR172">
            <v>209368.9</v>
          </cell>
          <cell r="BS172">
            <v>67750</v>
          </cell>
          <cell r="BT172">
            <v>153625</v>
          </cell>
          <cell r="BU172">
            <v>661887.19999999995</v>
          </cell>
          <cell r="BV172">
            <v>183702.1</v>
          </cell>
          <cell r="BW172">
            <v>430229.3</v>
          </cell>
          <cell r="BX172">
            <v>217385.3</v>
          </cell>
          <cell r="BY172">
            <v>131741</v>
          </cell>
          <cell r="BZ172">
            <v>51123.5</v>
          </cell>
          <cell r="CA172">
            <v>10</v>
          </cell>
          <cell r="CD172">
            <v>136</v>
          </cell>
          <cell r="CF172">
            <v>38457.0625</v>
          </cell>
          <cell r="CG172">
            <v>9.82</v>
          </cell>
          <cell r="CH172">
            <v>13.4</v>
          </cell>
          <cell r="CI172">
            <v>11.61</v>
          </cell>
          <cell r="CJ172">
            <v>9</v>
          </cell>
          <cell r="CK172">
            <v>10.5</v>
          </cell>
          <cell r="CL172">
            <v>6.75</v>
          </cell>
          <cell r="CM172">
            <v>15.5</v>
          </cell>
          <cell r="CN172">
            <v>12.5</v>
          </cell>
          <cell r="CO172">
            <v>15</v>
          </cell>
          <cell r="CP172">
            <v>13</v>
          </cell>
          <cell r="CQ172">
            <v>26.99</v>
          </cell>
          <cell r="CR172">
            <v>3.5</v>
          </cell>
          <cell r="CS172">
            <v>18</v>
          </cell>
          <cell r="CT172">
            <v>27</v>
          </cell>
          <cell r="CU172">
            <v>10</v>
          </cell>
          <cell r="CV172">
            <v>10</v>
          </cell>
          <cell r="CY172">
            <v>136</v>
          </cell>
        </row>
        <row r="173">
          <cell r="A173">
            <v>38487.5</v>
          </cell>
          <cell r="B173">
            <v>123.53988999688377</v>
          </cell>
          <cell r="C173">
            <v>126.68428961748633</v>
          </cell>
          <cell r="D173">
            <v>117.84864094488189</v>
          </cell>
          <cell r="E173">
            <v>114.58613142857142</v>
          </cell>
          <cell r="F173">
            <v>107.57797597597597</v>
          </cell>
          <cell r="G173">
            <v>105.93420286396183</v>
          </cell>
          <cell r="H173">
            <v>136.39400321130378</v>
          </cell>
          <cell r="I173">
            <v>159.80338596491228</v>
          </cell>
          <cell r="J173">
            <v>107.37241463414635</v>
          </cell>
          <cell r="K173">
            <v>130.77199999999999</v>
          </cell>
          <cell r="L173">
            <v>140.06584638554219</v>
          </cell>
          <cell r="M173">
            <v>115.88951945080092</v>
          </cell>
          <cell r="N173">
            <v>123.601</v>
          </cell>
          <cell r="R173">
            <v>137</v>
          </cell>
          <cell r="T173">
            <v>38487.5</v>
          </cell>
          <cell r="AN173">
            <v>0</v>
          </cell>
          <cell r="AP173">
            <v>38487.5</v>
          </cell>
          <cell r="AQ173">
            <v>516.84163943999999</v>
          </cell>
          <cell r="AR173">
            <v>47.83</v>
          </cell>
          <cell r="AS173">
            <v>1.2310000000000001</v>
          </cell>
          <cell r="AT173">
            <v>14.88</v>
          </cell>
          <cell r="AU173">
            <v>0.67800000000000005</v>
          </cell>
          <cell r="AV173">
            <v>24.720535614415198</v>
          </cell>
          <cell r="AW173">
            <v>0.63623205815063999</v>
          </cell>
          <cell r="AX173">
            <v>7.6906035948672002</v>
          </cell>
          <cell r="AY173">
            <v>350.41863154032001</v>
          </cell>
          <cell r="AZ173">
            <v>10</v>
          </cell>
          <cell r="BA173">
            <v>10</v>
          </cell>
          <cell r="BB173">
            <v>10</v>
          </cell>
          <cell r="BC173">
            <v>10</v>
          </cell>
          <cell r="BD173">
            <v>10</v>
          </cell>
          <cell r="BE173">
            <v>10</v>
          </cell>
          <cell r="BF173">
            <v>2.5736985155759985E-2</v>
          </cell>
          <cell r="BI173">
            <v>137</v>
          </cell>
          <cell r="BK173">
            <v>38487.5</v>
          </cell>
          <cell r="BL173">
            <v>259436.6</v>
          </cell>
          <cell r="BM173">
            <v>224374.8</v>
          </cell>
          <cell r="BN173">
            <v>35062</v>
          </cell>
          <cell r="BO173">
            <v>439816.8</v>
          </cell>
          <cell r="BP173">
            <v>7519.1</v>
          </cell>
          <cell r="BQ173">
            <v>432297.7</v>
          </cell>
          <cell r="BR173">
            <v>214635.7</v>
          </cell>
          <cell r="BS173">
            <v>65000</v>
          </cell>
          <cell r="BT173">
            <v>152662</v>
          </cell>
          <cell r="BU173">
            <v>647216.80000000005</v>
          </cell>
          <cell r="BV173">
            <v>177620</v>
          </cell>
          <cell r="BW173">
            <v>420249.59999999998</v>
          </cell>
          <cell r="BX173">
            <v>203394.6</v>
          </cell>
          <cell r="BY173">
            <v>134197</v>
          </cell>
          <cell r="BZ173">
            <v>52036.6</v>
          </cell>
          <cell r="CA173">
            <v>10</v>
          </cell>
          <cell r="CD173">
            <v>137</v>
          </cell>
          <cell r="CF173">
            <v>38487.5</v>
          </cell>
          <cell r="CG173">
            <v>9.8814285714285699</v>
          </cell>
          <cell r="CH173">
            <v>13.4</v>
          </cell>
          <cell r="CI173">
            <v>11.640714285714285</v>
          </cell>
          <cell r="CL173">
            <v>6.75</v>
          </cell>
          <cell r="CM173">
            <v>15.5</v>
          </cell>
          <cell r="CO173">
            <v>15</v>
          </cell>
          <cell r="CQ173">
            <v>26.99</v>
          </cell>
          <cell r="CR173">
            <v>3.5</v>
          </cell>
          <cell r="CU173">
            <v>10</v>
          </cell>
          <cell r="CV173">
            <v>10</v>
          </cell>
          <cell r="CY173">
            <v>137</v>
          </cell>
        </row>
        <row r="174">
          <cell r="A174">
            <v>38517.9375</v>
          </cell>
          <cell r="B174">
            <v>133.984347460268</v>
          </cell>
          <cell r="C174">
            <v>131.07792349726776</v>
          </cell>
          <cell r="D174">
            <v>117.84864094488189</v>
          </cell>
          <cell r="E174">
            <v>117.5669238095238</v>
          </cell>
          <cell r="F174">
            <v>107.57797597597597</v>
          </cell>
          <cell r="G174">
            <v>105.93420286396183</v>
          </cell>
          <cell r="H174">
            <v>137.54487026332691</v>
          </cell>
          <cell r="I174">
            <v>159.80338596491228</v>
          </cell>
          <cell r="J174">
            <v>107.37241463414635</v>
          </cell>
          <cell r="K174">
            <v>130.77199999999999</v>
          </cell>
          <cell r="L174">
            <v>139.8320813253012</v>
          </cell>
          <cell r="M174">
            <v>115.88951945080092</v>
          </cell>
          <cell r="N174">
            <v>127.5</v>
          </cell>
          <cell r="R174">
            <v>138</v>
          </cell>
          <cell r="T174">
            <v>38517.9375</v>
          </cell>
          <cell r="AN174">
            <v>0</v>
          </cell>
          <cell r="AP174">
            <v>38517.9375</v>
          </cell>
          <cell r="AQ174">
            <v>539.24913056000003</v>
          </cell>
          <cell r="AR174">
            <v>53.89</v>
          </cell>
          <cell r="AS174">
            <v>1.1904999999999999</v>
          </cell>
          <cell r="AT174">
            <v>15.192</v>
          </cell>
          <cell r="AU174">
            <v>0.66600000000000004</v>
          </cell>
          <cell r="AV174">
            <v>29.060135645878404</v>
          </cell>
          <cell r="AW174">
            <v>0.64197608993167998</v>
          </cell>
          <cell r="AX174">
            <v>8.19227279146752</v>
          </cell>
          <cell r="AY174">
            <v>359.13992095296004</v>
          </cell>
          <cell r="AZ174">
            <v>10</v>
          </cell>
          <cell r="BA174">
            <v>10</v>
          </cell>
          <cell r="BB174">
            <v>10</v>
          </cell>
          <cell r="BC174">
            <v>10</v>
          </cell>
          <cell r="BD174">
            <v>10</v>
          </cell>
          <cell r="BE174">
            <v>10</v>
          </cell>
          <cell r="BF174">
            <v>2.2091297086658003E-2</v>
          </cell>
          <cell r="BI174">
            <v>138</v>
          </cell>
          <cell r="BK174">
            <v>38517.9375</v>
          </cell>
          <cell r="BL174">
            <v>218462.4</v>
          </cell>
          <cell r="BM174">
            <v>206505.4</v>
          </cell>
          <cell r="BN174">
            <v>11957</v>
          </cell>
          <cell r="BO174">
            <v>459574.3</v>
          </cell>
          <cell r="BP174">
            <v>30854.1</v>
          </cell>
          <cell r="BQ174">
            <v>428720.2</v>
          </cell>
          <cell r="BR174">
            <v>209539.20000000001</v>
          </cell>
          <cell r="BS174">
            <v>65000</v>
          </cell>
          <cell r="BT174">
            <v>154181</v>
          </cell>
          <cell r="BU174">
            <v>635402.6</v>
          </cell>
          <cell r="BV174">
            <v>171540.6</v>
          </cell>
          <cell r="BW174">
            <v>416047</v>
          </cell>
          <cell r="BX174">
            <v>198439</v>
          </cell>
          <cell r="BY174">
            <v>133346</v>
          </cell>
          <cell r="BZ174">
            <v>42634.1</v>
          </cell>
          <cell r="CA174">
            <v>10</v>
          </cell>
          <cell r="CD174">
            <v>138</v>
          </cell>
          <cell r="CF174">
            <v>38517.9375</v>
          </cell>
          <cell r="CG174">
            <v>9.8814285714285699</v>
          </cell>
          <cell r="CH174">
            <v>13.4</v>
          </cell>
          <cell r="CI174">
            <v>11.640714285714285</v>
          </cell>
          <cell r="CJ174">
            <v>9</v>
          </cell>
          <cell r="CK174">
            <v>10.92</v>
          </cell>
          <cell r="CL174">
            <v>6.75</v>
          </cell>
          <cell r="CM174">
            <v>15.5</v>
          </cell>
          <cell r="CN174">
            <v>11.5</v>
          </cell>
          <cell r="CO174">
            <v>15</v>
          </cell>
          <cell r="CP174">
            <v>12</v>
          </cell>
          <cell r="CQ174">
            <v>26.99</v>
          </cell>
          <cell r="CR174">
            <v>3.5</v>
          </cell>
          <cell r="CS174">
            <v>18</v>
          </cell>
          <cell r="CT174">
            <v>27</v>
          </cell>
          <cell r="CU174">
            <v>10</v>
          </cell>
          <cell r="CV174">
            <v>10</v>
          </cell>
          <cell r="CY174">
            <v>138</v>
          </cell>
        </row>
        <row r="175">
          <cell r="A175">
            <v>38548.375</v>
          </cell>
          <cell r="B175">
            <v>129.96396073543158</v>
          </cell>
          <cell r="C175">
            <v>131.11275956284155</v>
          </cell>
          <cell r="D175">
            <v>117.84864094488189</v>
          </cell>
          <cell r="E175">
            <v>113.92851904761903</v>
          </cell>
          <cell r="F175">
            <v>107.57797597597597</v>
          </cell>
          <cell r="G175">
            <v>105.93420286396183</v>
          </cell>
          <cell r="H175">
            <v>140.3751978163134</v>
          </cell>
          <cell r="I175">
            <v>159.80338596491228</v>
          </cell>
          <cell r="J175">
            <v>107.34974796747967</v>
          </cell>
          <cell r="K175">
            <v>130.77199999999999</v>
          </cell>
          <cell r="L175">
            <v>140.39851204819277</v>
          </cell>
          <cell r="M175">
            <v>115.88951945080092</v>
          </cell>
          <cell r="N175">
            <v>126.327</v>
          </cell>
          <cell r="R175">
            <v>139</v>
          </cell>
          <cell r="T175">
            <v>38548.375</v>
          </cell>
          <cell r="AN175">
            <v>0</v>
          </cell>
          <cell r="AP175">
            <v>38548.375</v>
          </cell>
          <cell r="AQ175">
            <v>544.97563517000003</v>
          </cell>
          <cell r="AR175">
            <v>56.37</v>
          </cell>
          <cell r="AS175">
            <v>1.212</v>
          </cell>
          <cell r="AT175">
            <v>14.974</v>
          </cell>
          <cell r="AU175">
            <v>0.61699999999999999</v>
          </cell>
          <cell r="AV175">
            <v>30.720276554532902</v>
          </cell>
          <cell r="AW175">
            <v>0.66051046982604</v>
          </cell>
          <cell r="AX175">
            <v>8.1604651610355798</v>
          </cell>
          <cell r="AY175">
            <v>336.24996689989001</v>
          </cell>
          <cell r="AZ175">
            <v>10</v>
          </cell>
          <cell r="BA175">
            <v>10</v>
          </cell>
          <cell r="BB175">
            <v>10</v>
          </cell>
          <cell r="BC175">
            <v>10</v>
          </cell>
          <cell r="BD175">
            <v>10</v>
          </cell>
          <cell r="BE175">
            <v>10</v>
          </cell>
          <cell r="BF175">
            <v>2.150079829696647E-2</v>
          </cell>
          <cell r="BI175">
            <v>139</v>
          </cell>
          <cell r="BK175">
            <v>38548.375</v>
          </cell>
          <cell r="BL175">
            <v>192763.1</v>
          </cell>
          <cell r="BM175">
            <v>171298.1</v>
          </cell>
          <cell r="BN175">
            <v>21465</v>
          </cell>
          <cell r="BO175">
            <v>450335.1</v>
          </cell>
          <cell r="BP175">
            <v>19321.099999999999</v>
          </cell>
          <cell r="BQ175">
            <v>431014</v>
          </cell>
          <cell r="BR175">
            <v>206348</v>
          </cell>
          <cell r="BS175">
            <v>63000</v>
          </cell>
          <cell r="BT175">
            <v>161666</v>
          </cell>
          <cell r="BU175">
            <v>603137.30000000005</v>
          </cell>
          <cell r="BV175">
            <v>150302.9</v>
          </cell>
          <cell r="BW175">
            <v>405438.7</v>
          </cell>
          <cell r="BX175">
            <v>187688.7</v>
          </cell>
          <cell r="BY175">
            <v>132487</v>
          </cell>
          <cell r="BZ175">
            <v>39960.9</v>
          </cell>
          <cell r="CA175">
            <v>10</v>
          </cell>
          <cell r="CD175">
            <v>139</v>
          </cell>
          <cell r="CF175">
            <v>38548.375</v>
          </cell>
          <cell r="CG175">
            <v>9.8814285714285699</v>
          </cell>
          <cell r="CH175">
            <v>13.4</v>
          </cell>
          <cell r="CI175">
            <v>11.640714285714285</v>
          </cell>
          <cell r="CJ175">
            <v>9</v>
          </cell>
          <cell r="CK175">
            <v>10.92</v>
          </cell>
          <cell r="CL175">
            <v>6.75</v>
          </cell>
          <cell r="CM175">
            <v>15.5</v>
          </cell>
          <cell r="CN175">
            <v>11.5</v>
          </cell>
          <cell r="CO175">
            <v>15</v>
          </cell>
          <cell r="CP175">
            <v>12</v>
          </cell>
          <cell r="CQ175">
            <v>26.99</v>
          </cell>
          <cell r="CR175">
            <v>3.5</v>
          </cell>
          <cell r="CS175">
            <v>18</v>
          </cell>
          <cell r="CT175">
            <v>27</v>
          </cell>
          <cell r="CU175">
            <v>10</v>
          </cell>
          <cell r="CV175">
            <v>10</v>
          </cell>
          <cell r="CY175">
            <v>139</v>
          </cell>
        </row>
        <row r="176">
          <cell r="A176">
            <v>38578.8125</v>
          </cell>
          <cell r="B176">
            <v>132.54262792147085</v>
          </cell>
          <cell r="C176">
            <v>127.11822404371586</v>
          </cell>
          <cell r="D176">
            <v>117.84864094488189</v>
          </cell>
          <cell r="E176">
            <v>115.66677523809524</v>
          </cell>
          <cell r="F176">
            <v>107.57797597597597</v>
          </cell>
          <cell r="G176">
            <v>105.93420286396183</v>
          </cell>
          <cell r="H176">
            <v>144.64167180475272</v>
          </cell>
          <cell r="I176">
            <v>159.80338596491228</v>
          </cell>
          <cell r="J176">
            <v>107.37241463414635</v>
          </cell>
          <cell r="K176">
            <v>130.77199999999999</v>
          </cell>
          <cell r="L176">
            <v>140.4944156626506</v>
          </cell>
          <cell r="M176">
            <v>115.88951945080092</v>
          </cell>
          <cell r="N176">
            <v>127.938</v>
          </cell>
          <cell r="R176">
            <v>140</v>
          </cell>
          <cell r="T176">
            <v>38578.8125</v>
          </cell>
          <cell r="AN176">
            <v>0</v>
          </cell>
          <cell r="AP176">
            <v>38578.8125</v>
          </cell>
          <cell r="AQ176">
            <v>533.62101949999999</v>
          </cell>
          <cell r="AR176">
            <v>61.89</v>
          </cell>
          <cell r="AS176">
            <v>1.1919999999999999</v>
          </cell>
          <cell r="AT176">
            <v>15.446</v>
          </cell>
          <cell r="AU176">
            <v>0.628</v>
          </cell>
          <cell r="AV176">
            <v>33.025804896855</v>
          </cell>
          <cell r="AW176">
            <v>0.63607625524400002</v>
          </cell>
          <cell r="AX176">
            <v>8.2423102671969986</v>
          </cell>
          <cell r="AY176">
            <v>335.11400024599999</v>
          </cell>
          <cell r="AZ176">
            <v>10</v>
          </cell>
          <cell r="BA176">
            <v>10</v>
          </cell>
          <cell r="BB176">
            <v>10</v>
          </cell>
          <cell r="BC176">
            <v>10</v>
          </cell>
          <cell r="BD176">
            <v>10</v>
          </cell>
          <cell r="BE176">
            <v>10</v>
          </cell>
          <cell r="BF176">
            <v>1.9259977379221201E-2</v>
          </cell>
          <cell r="BI176">
            <v>140</v>
          </cell>
          <cell r="BK176">
            <v>38578.8125</v>
          </cell>
          <cell r="BL176">
            <v>182468.7</v>
          </cell>
          <cell r="BM176">
            <v>164967.70000000001</v>
          </cell>
          <cell r="BN176">
            <v>17501</v>
          </cell>
          <cell r="BO176">
            <v>462546.6</v>
          </cell>
          <cell r="BP176">
            <v>20707.5</v>
          </cell>
          <cell r="BQ176">
            <v>441839.1</v>
          </cell>
          <cell r="BR176">
            <v>230813.1</v>
          </cell>
          <cell r="BS176">
            <v>53000</v>
          </cell>
          <cell r="BT176">
            <v>158026</v>
          </cell>
          <cell r="BU176">
            <v>597837.19999999995</v>
          </cell>
          <cell r="BV176">
            <v>136100</v>
          </cell>
          <cell r="BW176">
            <v>414732.6</v>
          </cell>
          <cell r="BX176">
            <v>200576.6</v>
          </cell>
          <cell r="BY176">
            <v>129893</v>
          </cell>
          <cell r="BZ176">
            <v>47178.1</v>
          </cell>
          <cell r="CA176">
            <v>10</v>
          </cell>
          <cell r="CD176">
            <v>140</v>
          </cell>
          <cell r="CF176">
            <v>38578.8125</v>
          </cell>
          <cell r="CG176">
            <v>9.8814285714285699</v>
          </cell>
          <cell r="CH176">
            <v>13.4</v>
          </cell>
          <cell r="CI176">
            <v>11.640714285714285</v>
          </cell>
          <cell r="CJ176">
            <v>9</v>
          </cell>
          <cell r="CK176">
            <v>10.92</v>
          </cell>
          <cell r="CL176">
            <v>6.75</v>
          </cell>
          <cell r="CM176">
            <v>15.5</v>
          </cell>
          <cell r="CN176">
            <v>11.5</v>
          </cell>
          <cell r="CO176">
            <v>15</v>
          </cell>
          <cell r="CP176">
            <v>12</v>
          </cell>
          <cell r="CQ176">
            <v>26.99</v>
          </cell>
          <cell r="CR176">
            <v>3.5</v>
          </cell>
          <cell r="CS176">
            <v>18</v>
          </cell>
          <cell r="CT176">
            <v>27</v>
          </cell>
          <cell r="CU176">
            <v>10</v>
          </cell>
          <cell r="CV176">
            <v>10</v>
          </cell>
          <cell r="CY176">
            <v>140</v>
          </cell>
        </row>
        <row r="177">
          <cell r="A177">
            <v>38609.25</v>
          </cell>
          <cell r="B177">
            <v>121.82838797133066</v>
          </cell>
          <cell r="C177">
            <v>129.72204918032787</v>
          </cell>
          <cell r="D177">
            <v>117.84864094488189</v>
          </cell>
          <cell r="E177">
            <v>115.97034666666667</v>
          </cell>
          <cell r="F177">
            <v>107.57797597597597</v>
          </cell>
          <cell r="G177">
            <v>105.94809307875897</v>
          </cell>
          <cell r="H177">
            <v>147.36051573538856</v>
          </cell>
          <cell r="I177">
            <v>159.80338596491228</v>
          </cell>
          <cell r="J177">
            <v>107.34974796747967</v>
          </cell>
          <cell r="K177">
            <v>130.77199999999999</v>
          </cell>
          <cell r="L177">
            <v>140.30360742971888</v>
          </cell>
          <cell r="M177">
            <v>115.88951945080092</v>
          </cell>
          <cell r="N177">
            <v>124.983</v>
          </cell>
          <cell r="R177">
            <v>141</v>
          </cell>
          <cell r="T177">
            <v>38609.25</v>
          </cell>
          <cell r="AN177">
            <v>0</v>
          </cell>
          <cell r="AP177">
            <v>38609.25</v>
          </cell>
          <cell r="AQ177">
            <v>535.29370985000003</v>
          </cell>
          <cell r="AR177">
            <v>61.69</v>
          </cell>
          <cell r="AS177">
            <v>1.2130000000000001</v>
          </cell>
          <cell r="AT177">
            <v>16.088000000000001</v>
          </cell>
          <cell r="AU177">
            <v>0.65600000000000003</v>
          </cell>
          <cell r="AV177">
            <v>33.0222689606465</v>
          </cell>
          <cell r="AW177">
            <v>0.64931127004805012</v>
          </cell>
          <cell r="AX177">
            <v>8.6118052040668012</v>
          </cell>
          <cell r="AY177">
            <v>351.15267366160003</v>
          </cell>
          <cell r="AZ177">
            <v>10</v>
          </cell>
          <cell r="BA177">
            <v>10</v>
          </cell>
          <cell r="BB177">
            <v>10</v>
          </cell>
          <cell r="BC177">
            <v>10</v>
          </cell>
          <cell r="BD177">
            <v>10</v>
          </cell>
          <cell r="BE177">
            <v>10</v>
          </cell>
          <cell r="BF177">
            <v>1.9662830280434435E-2</v>
          </cell>
          <cell r="BI177">
            <v>141</v>
          </cell>
          <cell r="BK177">
            <v>38609.25</v>
          </cell>
          <cell r="BL177">
            <v>173139.7</v>
          </cell>
          <cell r="BM177">
            <v>168224.7</v>
          </cell>
          <cell r="BN177">
            <v>49015</v>
          </cell>
          <cell r="BO177">
            <v>452520.1</v>
          </cell>
          <cell r="BP177">
            <v>6207.5</v>
          </cell>
          <cell r="BQ177">
            <v>446312.6</v>
          </cell>
          <cell r="BR177">
            <v>236716.6</v>
          </cell>
          <cell r="BS177">
            <v>49200</v>
          </cell>
          <cell r="BT177">
            <v>160396</v>
          </cell>
          <cell r="BU177">
            <v>578681.1</v>
          </cell>
          <cell r="BV177">
            <v>132065.29999999999</v>
          </cell>
          <cell r="BW177">
            <v>400166.6</v>
          </cell>
          <cell r="BX177">
            <v>193062.6</v>
          </cell>
          <cell r="BY177">
            <v>124920</v>
          </cell>
          <cell r="BZ177">
            <v>46978.7</v>
          </cell>
          <cell r="CA177">
            <v>10</v>
          </cell>
          <cell r="CD177">
            <v>141</v>
          </cell>
          <cell r="CF177">
            <v>38609.25</v>
          </cell>
          <cell r="CG177">
            <v>9.9942857142857093</v>
          </cell>
          <cell r="CH177">
            <v>13.4</v>
          </cell>
          <cell r="CI177">
            <v>11.697142857142854</v>
          </cell>
          <cell r="CJ177">
            <v>9</v>
          </cell>
          <cell r="CK177">
            <v>10.92</v>
          </cell>
          <cell r="CL177">
            <v>6.75</v>
          </cell>
          <cell r="CM177">
            <v>15.5</v>
          </cell>
          <cell r="CN177">
            <v>11.5</v>
          </cell>
          <cell r="CO177">
            <v>15</v>
          </cell>
          <cell r="CP177">
            <v>12</v>
          </cell>
          <cell r="CQ177">
            <v>26.99</v>
          </cell>
          <cell r="CR177">
            <v>3.5</v>
          </cell>
          <cell r="CS177">
            <v>18</v>
          </cell>
          <cell r="CT177">
            <v>27</v>
          </cell>
          <cell r="CU177">
            <v>10</v>
          </cell>
          <cell r="CV177">
            <v>10</v>
          </cell>
          <cell r="CY177">
            <v>141</v>
          </cell>
        </row>
        <row r="178">
          <cell r="A178">
            <v>38639.6875</v>
          </cell>
          <cell r="B178">
            <v>131.52002306014336</v>
          </cell>
          <cell r="C178">
            <v>126.29868852459016</v>
          </cell>
          <cell r="D178">
            <v>117.82765669291337</v>
          </cell>
          <cell r="E178">
            <v>115.23489428571428</v>
          </cell>
          <cell r="F178">
            <v>107.57797597597597</v>
          </cell>
          <cell r="G178">
            <v>107.06489976133649</v>
          </cell>
          <cell r="H178">
            <v>148.38972575465638</v>
          </cell>
          <cell r="I178">
            <v>159.80338596491228</v>
          </cell>
          <cell r="J178">
            <v>107.34974796747967</v>
          </cell>
          <cell r="K178">
            <v>135.12299999999999</v>
          </cell>
          <cell r="L178">
            <v>140.79511345381525</v>
          </cell>
          <cell r="M178">
            <v>115.88951945080092</v>
          </cell>
          <cell r="N178">
            <v>128.30000000000001</v>
          </cell>
          <cell r="R178">
            <v>142</v>
          </cell>
          <cell r="T178">
            <v>38639.6875</v>
          </cell>
          <cell r="AN178">
            <v>0</v>
          </cell>
          <cell r="AP178">
            <v>38639.6875</v>
          </cell>
          <cell r="AQ178">
            <v>545.98580894999998</v>
          </cell>
          <cell r="AR178">
            <v>58.19</v>
          </cell>
          <cell r="AS178">
            <v>1.31</v>
          </cell>
          <cell r="AT178">
            <v>16.574999999999999</v>
          </cell>
          <cell r="AU178">
            <v>0.66900000000000004</v>
          </cell>
          <cell r="AV178">
            <v>31.770914222800496</v>
          </cell>
          <cell r="AW178">
            <v>0.71524140972450001</v>
          </cell>
          <cell r="AX178">
            <v>9.0497147833462499</v>
          </cell>
          <cell r="AY178">
            <v>365.26450618755001</v>
          </cell>
          <cell r="AZ178">
            <v>10</v>
          </cell>
          <cell r="BA178">
            <v>10</v>
          </cell>
          <cell r="BB178">
            <v>10</v>
          </cell>
          <cell r="BC178">
            <v>10</v>
          </cell>
          <cell r="BD178">
            <v>10</v>
          </cell>
          <cell r="BE178">
            <v>10</v>
          </cell>
          <cell r="BF178">
            <v>2.2512459185427054E-2</v>
          </cell>
          <cell r="BI178">
            <v>142</v>
          </cell>
          <cell r="BK178">
            <v>38639.6875</v>
          </cell>
          <cell r="BL178">
            <v>184139.3</v>
          </cell>
          <cell r="BM178">
            <v>172672.3</v>
          </cell>
          <cell r="BN178">
            <v>11467</v>
          </cell>
          <cell r="BO178">
            <v>446913.1</v>
          </cell>
          <cell r="BP178">
            <v>1953.2</v>
          </cell>
          <cell r="BQ178">
            <v>444959.9</v>
          </cell>
          <cell r="BR178">
            <v>237797.9</v>
          </cell>
          <cell r="BS178">
            <v>46700</v>
          </cell>
          <cell r="BT178">
            <v>160462</v>
          </cell>
          <cell r="BU178">
            <v>574527.4</v>
          </cell>
          <cell r="BV178">
            <v>136113</v>
          </cell>
          <cell r="BW178">
            <v>392998.1</v>
          </cell>
          <cell r="BX178">
            <v>188642.1</v>
          </cell>
          <cell r="BY178">
            <v>122263</v>
          </cell>
          <cell r="BZ178">
            <v>56525</v>
          </cell>
          <cell r="CA178">
            <v>10</v>
          </cell>
          <cell r="CD178">
            <v>142</v>
          </cell>
          <cell r="CF178">
            <v>38639.6875</v>
          </cell>
          <cell r="CG178">
            <v>9.8214285714285694</v>
          </cell>
          <cell r="CH178">
            <v>13.6</v>
          </cell>
          <cell r="CI178">
            <v>11.710714285714285</v>
          </cell>
          <cell r="CJ178">
            <v>9</v>
          </cell>
          <cell r="CK178">
            <v>10.92</v>
          </cell>
          <cell r="CL178">
            <v>6.75</v>
          </cell>
          <cell r="CM178">
            <v>15.5</v>
          </cell>
          <cell r="CN178">
            <v>11.5</v>
          </cell>
          <cell r="CO178">
            <v>15</v>
          </cell>
          <cell r="CP178">
            <v>12</v>
          </cell>
          <cell r="CQ178">
            <v>21</v>
          </cell>
          <cell r="CR178">
            <v>3.5</v>
          </cell>
          <cell r="CS178">
            <v>18</v>
          </cell>
          <cell r="CT178">
            <v>27</v>
          </cell>
          <cell r="CU178">
            <v>10</v>
          </cell>
          <cell r="CV178">
            <v>10</v>
          </cell>
          <cell r="CY178">
            <v>142</v>
          </cell>
        </row>
        <row r="179">
          <cell r="A179">
            <v>38670.125</v>
          </cell>
          <cell r="B179">
            <v>122.14241040822687</v>
          </cell>
          <cell r="C179">
            <v>126.53830601092898</v>
          </cell>
          <cell r="D179">
            <v>117.84864094488189</v>
          </cell>
          <cell r="E179">
            <v>117.92006285714287</v>
          </cell>
          <cell r="F179">
            <v>107.14699249249249</v>
          </cell>
          <cell r="G179">
            <v>107.01030310262529</v>
          </cell>
          <cell r="H179">
            <v>147.63858895311498</v>
          </cell>
          <cell r="I179">
            <v>159.80338596491228</v>
          </cell>
          <cell r="J179">
            <v>107.34974796747967</v>
          </cell>
          <cell r="K179">
            <v>136.68</v>
          </cell>
          <cell r="L179">
            <v>140.79611244979918</v>
          </cell>
          <cell r="M179">
            <v>115.88951945080092</v>
          </cell>
          <cell r="N179">
            <v>125.482</v>
          </cell>
          <cell r="R179">
            <v>143</v>
          </cell>
          <cell r="T179">
            <v>38670.125</v>
          </cell>
          <cell r="AN179">
            <v>0</v>
          </cell>
          <cell r="AP179">
            <v>38670.125</v>
          </cell>
          <cell r="AQ179">
            <v>556.61231235000002</v>
          </cell>
          <cell r="AR179">
            <v>55.04</v>
          </cell>
          <cell r="AS179">
            <v>1.2529999999999999</v>
          </cell>
          <cell r="AT179">
            <v>16.82</v>
          </cell>
          <cell r="AU179">
            <v>0.68</v>
          </cell>
          <cell r="AV179">
            <v>30.635941671744</v>
          </cell>
          <cell r="AW179">
            <v>0.69743522737454999</v>
          </cell>
          <cell r="AX179">
            <v>9.3622190937270009</v>
          </cell>
          <cell r="AY179">
            <v>378.49637239800006</v>
          </cell>
          <cell r="AZ179">
            <v>10</v>
          </cell>
          <cell r="BA179">
            <v>10</v>
          </cell>
          <cell r="BB179">
            <v>10</v>
          </cell>
          <cell r="BC179">
            <v>10</v>
          </cell>
          <cell r="BD179">
            <v>10</v>
          </cell>
          <cell r="BE179">
            <v>10</v>
          </cell>
          <cell r="BF179">
            <v>2.2765261627906978E-2</v>
          </cell>
          <cell r="BI179">
            <v>143</v>
          </cell>
          <cell r="BK179">
            <v>38670.125</v>
          </cell>
          <cell r="BL179">
            <v>149051.4</v>
          </cell>
          <cell r="BM179">
            <v>138135.4</v>
          </cell>
          <cell r="BN179">
            <v>10916</v>
          </cell>
          <cell r="BO179">
            <v>495035.5</v>
          </cell>
          <cell r="BP179">
            <v>34035.199999999997</v>
          </cell>
          <cell r="BQ179">
            <v>461000.3</v>
          </cell>
          <cell r="BR179">
            <v>239286.1</v>
          </cell>
          <cell r="BS179">
            <v>59358.2</v>
          </cell>
          <cell r="BT179">
            <v>162356</v>
          </cell>
          <cell r="BU179">
            <v>585605.19999999995</v>
          </cell>
          <cell r="BV179">
            <v>137403.29999999999</v>
          </cell>
          <cell r="BW179">
            <v>402833.9</v>
          </cell>
          <cell r="BX179">
            <v>193778.9</v>
          </cell>
          <cell r="BY179">
            <v>128154</v>
          </cell>
          <cell r="BZ179">
            <v>58481.7</v>
          </cell>
          <cell r="CA179">
            <v>10</v>
          </cell>
          <cell r="CD179">
            <v>143</v>
          </cell>
          <cell r="CF179">
            <v>38670.125</v>
          </cell>
          <cell r="CG179">
            <v>9.9942857142857093</v>
          </cell>
          <cell r="CH179">
            <v>13.4</v>
          </cell>
          <cell r="CI179">
            <v>11.697142857142854</v>
          </cell>
          <cell r="CJ179">
            <v>9</v>
          </cell>
          <cell r="CK179">
            <v>10.92</v>
          </cell>
          <cell r="CL179">
            <v>6.75</v>
          </cell>
          <cell r="CM179">
            <v>10.5</v>
          </cell>
          <cell r="CN179">
            <v>11.5</v>
          </cell>
          <cell r="CO179">
            <v>15</v>
          </cell>
          <cell r="CP179">
            <v>12</v>
          </cell>
          <cell r="CQ179">
            <v>26.99</v>
          </cell>
          <cell r="CR179">
            <v>3.5</v>
          </cell>
          <cell r="CS179">
            <v>18</v>
          </cell>
          <cell r="CT179">
            <v>27</v>
          </cell>
          <cell r="CU179">
            <v>10</v>
          </cell>
          <cell r="CV179">
            <v>10</v>
          </cell>
          <cell r="CY179">
            <v>143</v>
          </cell>
        </row>
        <row r="180">
          <cell r="A180">
            <v>38700.5625</v>
          </cell>
          <cell r="B180">
            <v>117.61062013088188</v>
          </cell>
          <cell r="C180">
            <v>127.31945355191256</v>
          </cell>
          <cell r="D180">
            <v>117.84864094488189</v>
          </cell>
          <cell r="E180">
            <v>118.20959333333333</v>
          </cell>
          <cell r="F180">
            <v>107.14699249249249</v>
          </cell>
          <cell r="G180">
            <v>108.80023150357995</v>
          </cell>
          <cell r="H180">
            <v>143.907490687219</v>
          </cell>
          <cell r="I180">
            <v>159.80338596491228</v>
          </cell>
          <cell r="J180">
            <v>107.34974796747967</v>
          </cell>
          <cell r="K180">
            <v>136.68</v>
          </cell>
          <cell r="L180">
            <v>139.98093172690764</v>
          </cell>
          <cell r="M180">
            <v>115.88951945080092</v>
          </cell>
          <cell r="N180">
            <v>123.485</v>
          </cell>
          <cell r="R180">
            <v>144</v>
          </cell>
          <cell r="T180">
            <v>38700.5625</v>
          </cell>
          <cell r="AN180">
            <v>0</v>
          </cell>
          <cell r="AP180">
            <v>38700.5625</v>
          </cell>
          <cell r="AQ180">
            <v>553.29999999999995</v>
          </cell>
          <cell r="AR180">
            <v>56.43</v>
          </cell>
          <cell r="AS180">
            <v>1.2470000000000001</v>
          </cell>
          <cell r="AT180">
            <v>17.989999999999998</v>
          </cell>
          <cell r="AU180">
            <v>0.63600000000000001</v>
          </cell>
          <cell r="AV180">
            <v>31.222718999999998</v>
          </cell>
          <cell r="AW180">
            <v>0.6899651</v>
          </cell>
          <cell r="AX180">
            <v>9.9538669999999989</v>
          </cell>
          <cell r="AY180">
            <v>351.89879999999999</v>
          </cell>
          <cell r="AZ180">
            <v>10</v>
          </cell>
          <cell r="BA180">
            <v>10</v>
          </cell>
          <cell r="BB180">
            <v>10</v>
          </cell>
          <cell r="BC180">
            <v>10</v>
          </cell>
          <cell r="BD180">
            <v>10</v>
          </cell>
          <cell r="BE180">
            <v>10</v>
          </cell>
          <cell r="BF180">
            <v>2.2098174729753679E-2</v>
          </cell>
          <cell r="BI180">
            <v>144</v>
          </cell>
          <cell r="BK180">
            <v>38700.5625</v>
          </cell>
          <cell r="BL180">
            <v>170789.3</v>
          </cell>
          <cell r="BM180">
            <v>165016.29999999999</v>
          </cell>
          <cell r="BN180">
            <v>5773</v>
          </cell>
          <cell r="BO180">
            <v>484293.8</v>
          </cell>
          <cell r="BP180">
            <v>9030.7000000000007</v>
          </cell>
          <cell r="BQ180">
            <v>475263.1</v>
          </cell>
          <cell r="BR180">
            <v>248220.9</v>
          </cell>
          <cell r="BS180">
            <v>62553.2</v>
          </cell>
          <cell r="BT180">
            <v>164489</v>
          </cell>
          <cell r="BU180">
            <v>601015.69999999995</v>
          </cell>
          <cell r="BV180">
            <v>153809.4</v>
          </cell>
          <cell r="BW180">
            <v>402154.9</v>
          </cell>
          <cell r="BX180">
            <v>197514.9</v>
          </cell>
          <cell r="BY180">
            <v>124011</v>
          </cell>
          <cell r="BZ180">
            <v>54067.4</v>
          </cell>
          <cell r="CA180">
            <v>10</v>
          </cell>
          <cell r="CD180">
            <v>144</v>
          </cell>
          <cell r="CF180">
            <v>38700.5625</v>
          </cell>
          <cell r="CG180">
            <v>9.9942857142857093</v>
          </cell>
          <cell r="CH180">
            <v>13.4</v>
          </cell>
          <cell r="CI180">
            <v>11.697142857142854</v>
          </cell>
          <cell r="CJ180">
            <v>9</v>
          </cell>
          <cell r="CK180">
            <v>10.92</v>
          </cell>
          <cell r="CL180">
            <v>6.75</v>
          </cell>
          <cell r="CM180">
            <v>10.5</v>
          </cell>
          <cell r="CN180">
            <v>11.5</v>
          </cell>
          <cell r="CO180">
            <v>15</v>
          </cell>
          <cell r="CP180">
            <v>12</v>
          </cell>
          <cell r="CQ180">
            <v>26.99</v>
          </cell>
          <cell r="CR180">
            <v>3.5</v>
          </cell>
          <cell r="CS180">
            <v>18</v>
          </cell>
          <cell r="CT180">
            <v>27</v>
          </cell>
          <cell r="CU180">
            <v>10</v>
          </cell>
          <cell r="CV180">
            <v>10</v>
          </cell>
          <cell r="CY180">
            <v>144</v>
          </cell>
        </row>
        <row r="181">
          <cell r="A181">
            <v>38731</v>
          </cell>
          <cell r="B181">
            <v>118.1815182299782</v>
          </cell>
          <cell r="C181">
            <v>125.48359016393442</v>
          </cell>
          <cell r="D181">
            <v>119.76098740157479</v>
          </cell>
          <cell r="E181">
            <v>118.92673619047619</v>
          </cell>
          <cell r="F181">
            <v>107.05633783783783</v>
          </cell>
          <cell r="G181">
            <v>108.80734128878281</v>
          </cell>
          <cell r="H181">
            <v>146.91723185613358</v>
          </cell>
          <cell r="I181">
            <v>159.80338596491228</v>
          </cell>
          <cell r="J181">
            <v>107.34974796747967</v>
          </cell>
          <cell r="K181">
            <v>136.68</v>
          </cell>
          <cell r="L181">
            <v>150.20365763052209</v>
          </cell>
          <cell r="M181">
            <v>115.88951945080092</v>
          </cell>
          <cell r="N181">
            <v>125.313</v>
          </cell>
          <cell r="R181">
            <v>145</v>
          </cell>
          <cell r="T181">
            <v>38731</v>
          </cell>
          <cell r="AN181">
            <v>0</v>
          </cell>
          <cell r="AP181">
            <v>38731</v>
          </cell>
          <cell r="AQ181">
            <v>542</v>
          </cell>
          <cell r="AR181">
            <v>62.46</v>
          </cell>
          <cell r="AS181">
            <v>1.3009999999999999</v>
          </cell>
          <cell r="AT181">
            <v>19.399999999999999</v>
          </cell>
          <cell r="AU181">
            <v>0.63400000000000001</v>
          </cell>
          <cell r="AV181">
            <v>33.853319999999997</v>
          </cell>
          <cell r="AW181">
            <v>0.70514199999999994</v>
          </cell>
          <cell r="AX181">
            <v>10.514799999999999</v>
          </cell>
          <cell r="AY181">
            <v>343.62799999999999</v>
          </cell>
          <cell r="AZ181">
            <v>10</v>
          </cell>
          <cell r="BA181">
            <v>10</v>
          </cell>
          <cell r="BB181">
            <v>10</v>
          </cell>
          <cell r="BC181">
            <v>10</v>
          </cell>
          <cell r="BD181">
            <v>10</v>
          </cell>
          <cell r="BE181">
            <v>10</v>
          </cell>
          <cell r="BF181">
            <v>2.0829330771693886E-2</v>
          </cell>
          <cell r="BI181">
            <v>145</v>
          </cell>
          <cell r="BK181">
            <v>38731</v>
          </cell>
          <cell r="BL181">
            <v>205892.2</v>
          </cell>
          <cell r="BM181">
            <v>216816.2</v>
          </cell>
          <cell r="BN181">
            <v>-10924</v>
          </cell>
          <cell r="BO181">
            <v>489491.9</v>
          </cell>
          <cell r="BP181">
            <v>-28021.8</v>
          </cell>
          <cell r="BQ181">
            <v>497513.7</v>
          </cell>
          <cell r="BR181">
            <v>282884.2</v>
          </cell>
          <cell r="BS181">
            <v>53596.5</v>
          </cell>
          <cell r="BT181">
            <v>161033</v>
          </cell>
          <cell r="BU181">
            <v>615840.69999999995</v>
          </cell>
          <cell r="BV181">
            <v>151066.6</v>
          </cell>
          <cell r="BW181">
            <v>418406.9</v>
          </cell>
          <cell r="BX181">
            <v>211953.9</v>
          </cell>
          <cell r="BY181">
            <v>124462</v>
          </cell>
          <cell r="BZ181">
            <v>59543.4</v>
          </cell>
          <cell r="CA181">
            <v>10</v>
          </cell>
          <cell r="CD181">
            <v>145</v>
          </cell>
          <cell r="CF181">
            <v>38731</v>
          </cell>
          <cell r="CG181">
            <v>9.9942857142857093</v>
          </cell>
          <cell r="CH181">
            <v>13.4</v>
          </cell>
          <cell r="CI181">
            <v>11.697142857142854</v>
          </cell>
          <cell r="CJ181">
            <v>8.5</v>
          </cell>
          <cell r="CK181">
            <v>14.75</v>
          </cell>
          <cell r="CL181">
            <v>6.75</v>
          </cell>
          <cell r="CM181">
            <v>18</v>
          </cell>
          <cell r="CN181">
            <v>11.5</v>
          </cell>
          <cell r="CO181">
            <v>15</v>
          </cell>
          <cell r="CP181">
            <v>12</v>
          </cell>
          <cell r="CQ181">
            <v>26.99</v>
          </cell>
          <cell r="CR181">
            <v>3.5</v>
          </cell>
          <cell r="CS181">
            <v>18</v>
          </cell>
          <cell r="CT181">
            <v>27</v>
          </cell>
          <cell r="CU181">
            <v>10</v>
          </cell>
          <cell r="CV181">
            <v>10</v>
          </cell>
          <cell r="CY181">
            <v>145</v>
          </cell>
        </row>
        <row r="182">
          <cell r="A182">
            <v>38761.4375</v>
          </cell>
          <cell r="B182">
            <v>117.50791960112186</v>
          </cell>
          <cell r="C182">
            <v>125.58410382513661</v>
          </cell>
          <cell r="D182">
            <v>120.63208976377952</v>
          </cell>
          <cell r="E182">
            <v>122.12181238095238</v>
          </cell>
          <cell r="F182">
            <v>108.10688138138137</v>
          </cell>
          <cell r="G182">
            <v>108.78634128878279</v>
          </cell>
          <cell r="H182">
            <v>146.61138407193323</v>
          </cell>
          <cell r="I182">
            <v>159.80338596491228</v>
          </cell>
          <cell r="J182">
            <v>107.41133333333335</v>
          </cell>
          <cell r="K182">
            <v>136.68</v>
          </cell>
          <cell r="L182">
            <v>143.41148393574295</v>
          </cell>
          <cell r="M182">
            <v>115.74647597254005</v>
          </cell>
          <cell r="N182">
            <v>124.831</v>
          </cell>
          <cell r="R182">
            <v>146</v>
          </cell>
          <cell r="T182">
            <v>38761.4375</v>
          </cell>
          <cell r="AN182">
            <v>0</v>
          </cell>
          <cell r="AP182">
            <v>38761.4375</v>
          </cell>
          <cell r="AQ182">
            <v>549.5</v>
          </cell>
          <cell r="AR182">
            <v>59.7</v>
          </cell>
          <cell r="AS182">
            <v>1.34</v>
          </cell>
          <cell r="AT182">
            <v>19.579999999999998</v>
          </cell>
          <cell r="AU182">
            <v>0.65700000000000003</v>
          </cell>
          <cell r="AV182">
            <v>32.805150000000005</v>
          </cell>
          <cell r="AW182">
            <v>0.73633000000000004</v>
          </cell>
          <cell r="AX182">
            <v>10.759209999999999</v>
          </cell>
          <cell r="AY182">
            <v>361.0215</v>
          </cell>
          <cell r="AZ182">
            <v>10</v>
          </cell>
          <cell r="BA182">
            <v>10</v>
          </cell>
          <cell r="BB182">
            <v>10</v>
          </cell>
          <cell r="BC182">
            <v>10</v>
          </cell>
          <cell r="BD182">
            <v>10</v>
          </cell>
          <cell r="BE182">
            <v>10</v>
          </cell>
          <cell r="BF182">
            <v>2.2445561139028472E-2</v>
          </cell>
          <cell r="BI182">
            <v>146</v>
          </cell>
          <cell r="BK182">
            <v>38761.4375</v>
          </cell>
          <cell r="BL182">
            <v>199006.1</v>
          </cell>
          <cell r="BM182">
            <v>205042.1</v>
          </cell>
          <cell r="BN182">
            <v>-6036</v>
          </cell>
          <cell r="BO182">
            <v>488470</v>
          </cell>
          <cell r="BP182">
            <v>-20813.3</v>
          </cell>
          <cell r="BQ182">
            <v>509283.3</v>
          </cell>
          <cell r="BR182">
            <v>260700.79999999999</v>
          </cell>
          <cell r="BS182">
            <v>85741.5</v>
          </cell>
          <cell r="BT182">
            <v>162841</v>
          </cell>
          <cell r="BU182">
            <v>636357.9</v>
          </cell>
          <cell r="BV182">
            <v>151056.29999999999</v>
          </cell>
          <cell r="BW182">
            <v>438881.6</v>
          </cell>
          <cell r="BX182">
            <v>228127.6</v>
          </cell>
          <cell r="BY182">
            <v>128152</v>
          </cell>
          <cell r="BZ182">
            <v>51118.2</v>
          </cell>
          <cell r="CA182">
            <v>10</v>
          </cell>
          <cell r="CD182">
            <v>146</v>
          </cell>
          <cell r="CF182">
            <v>38761.4375</v>
          </cell>
          <cell r="CG182">
            <v>10.0657142857143</v>
          </cell>
          <cell r="CH182">
            <v>13.4</v>
          </cell>
          <cell r="CI182">
            <v>11.732857142857149</v>
          </cell>
          <cell r="CJ182">
            <v>8.5</v>
          </cell>
          <cell r="CK182">
            <v>14.75</v>
          </cell>
          <cell r="CL182">
            <v>6.75</v>
          </cell>
          <cell r="CM182">
            <v>18</v>
          </cell>
          <cell r="CN182">
            <v>11.5</v>
          </cell>
          <cell r="CO182">
            <v>15</v>
          </cell>
          <cell r="CP182">
            <v>12</v>
          </cell>
          <cell r="CQ182">
            <v>26.99</v>
          </cell>
          <cell r="CR182">
            <v>3.5</v>
          </cell>
          <cell r="CS182">
            <v>18</v>
          </cell>
          <cell r="CT182">
            <v>27</v>
          </cell>
          <cell r="CU182">
            <v>10</v>
          </cell>
          <cell r="CV182">
            <v>10</v>
          </cell>
          <cell r="CY182">
            <v>146</v>
          </cell>
        </row>
        <row r="183">
          <cell r="A183">
            <v>38791.875</v>
          </cell>
          <cell r="B183">
            <v>115.4218529136803</v>
          </cell>
          <cell r="C183">
            <v>126.39350273224044</v>
          </cell>
          <cell r="D183">
            <v>120.63208976377952</v>
          </cell>
          <cell r="E183">
            <v>118.84250285714286</v>
          </cell>
          <cell r="F183">
            <v>108.15526726726726</v>
          </cell>
          <cell r="G183">
            <v>108.78634128878279</v>
          </cell>
          <cell r="H183">
            <v>145.88652858060374</v>
          </cell>
          <cell r="I183">
            <v>159.80338596491228</v>
          </cell>
          <cell r="J183">
            <v>107.48416666666668</v>
          </cell>
          <cell r="K183">
            <v>136.68</v>
          </cell>
          <cell r="L183">
            <v>143.64824598393574</v>
          </cell>
          <cell r="M183">
            <v>115.74647597254005</v>
          </cell>
          <cell r="N183">
            <v>123.749</v>
          </cell>
          <cell r="R183">
            <v>147</v>
          </cell>
          <cell r="T183">
            <v>38791.875</v>
          </cell>
          <cell r="AN183">
            <v>0</v>
          </cell>
          <cell r="AP183">
            <v>38791.875</v>
          </cell>
          <cell r="AQ183">
            <v>545.79999999999995</v>
          </cell>
          <cell r="AR183">
            <v>60.93</v>
          </cell>
          <cell r="AS183">
            <v>1.2929999999999999</v>
          </cell>
          <cell r="AT183">
            <v>19.649999999999999</v>
          </cell>
          <cell r="AU183">
            <v>0.66400000000000003</v>
          </cell>
          <cell r="AV183">
            <v>33.255593999999995</v>
          </cell>
          <cell r="AW183">
            <v>0.7057194</v>
          </cell>
          <cell r="AX183">
            <v>10.724969999999997</v>
          </cell>
          <cell r="AY183">
            <v>362.41120000000001</v>
          </cell>
          <cell r="AZ183">
            <v>10</v>
          </cell>
          <cell r="BA183">
            <v>10</v>
          </cell>
          <cell r="BB183">
            <v>10</v>
          </cell>
          <cell r="BC183">
            <v>10</v>
          </cell>
          <cell r="BD183">
            <v>10</v>
          </cell>
          <cell r="BE183">
            <v>10</v>
          </cell>
          <cell r="BF183">
            <v>2.1221073362875435E-2</v>
          </cell>
          <cell r="BI183">
            <v>147</v>
          </cell>
          <cell r="BK183">
            <v>38791.875</v>
          </cell>
          <cell r="BL183">
            <v>227915.1</v>
          </cell>
          <cell r="BM183">
            <v>226979.1</v>
          </cell>
          <cell r="BN183">
            <v>936</v>
          </cell>
          <cell r="BO183">
            <v>485760.4</v>
          </cell>
          <cell r="BP183">
            <v>-20789</v>
          </cell>
          <cell r="BQ183">
            <v>506549.4</v>
          </cell>
          <cell r="BR183">
            <v>254848.4</v>
          </cell>
          <cell r="BS183">
            <v>90006</v>
          </cell>
          <cell r="BT183">
            <v>161695</v>
          </cell>
          <cell r="BU183">
            <v>649033.9</v>
          </cell>
          <cell r="BV183">
            <v>162009.5</v>
          </cell>
          <cell r="BW183">
            <v>439762.6</v>
          </cell>
          <cell r="BX183">
            <v>218188.6</v>
          </cell>
          <cell r="BY183">
            <v>137251</v>
          </cell>
          <cell r="BZ183">
            <v>64641.599999999999</v>
          </cell>
          <cell r="CA183">
            <v>10</v>
          </cell>
          <cell r="CD183">
            <v>147</v>
          </cell>
          <cell r="CF183">
            <v>38791.875</v>
          </cell>
          <cell r="CG183">
            <v>11.992857142857099</v>
          </cell>
          <cell r="CH183">
            <v>14.4</v>
          </cell>
          <cell r="CI183">
            <v>13.19642857142855</v>
          </cell>
          <cell r="CJ183">
            <v>8.5</v>
          </cell>
          <cell r="CK183">
            <v>14.75</v>
          </cell>
          <cell r="CL183">
            <v>5.25</v>
          </cell>
          <cell r="CM183">
            <v>18</v>
          </cell>
          <cell r="CN183">
            <v>11.5</v>
          </cell>
          <cell r="CO183">
            <v>18</v>
          </cell>
          <cell r="CP183">
            <v>12</v>
          </cell>
          <cell r="CQ183">
            <v>26.99</v>
          </cell>
          <cell r="CR183">
            <v>3.5</v>
          </cell>
          <cell r="CS183">
            <v>18</v>
          </cell>
          <cell r="CT183">
            <v>27</v>
          </cell>
          <cell r="CU183">
            <v>10</v>
          </cell>
          <cell r="CV183">
            <v>10</v>
          </cell>
          <cell r="CY183">
            <v>147</v>
          </cell>
        </row>
        <row r="184">
          <cell r="A184">
            <v>38822.3125</v>
          </cell>
          <cell r="B184">
            <v>117.97024213150516</v>
          </cell>
          <cell r="C184">
            <v>127.34514207650274</v>
          </cell>
          <cell r="D184">
            <v>120.63208976377952</v>
          </cell>
          <cell r="E184">
            <v>118.94571714285713</v>
          </cell>
          <cell r="F184">
            <v>108.15694894894894</v>
          </cell>
          <cell r="G184">
            <v>108.78773031026253</v>
          </cell>
          <cell r="H184">
            <v>147.11284842646114</v>
          </cell>
          <cell r="I184">
            <v>159.80338596491228</v>
          </cell>
          <cell r="J184">
            <v>107.48416666666668</v>
          </cell>
          <cell r="K184">
            <v>136.68</v>
          </cell>
          <cell r="L184">
            <v>143.77312048192769</v>
          </cell>
          <cell r="M184">
            <v>115.74647597254005</v>
          </cell>
          <cell r="N184">
            <v>124.79900000000001</v>
          </cell>
          <cell r="R184">
            <v>148</v>
          </cell>
          <cell r="T184">
            <v>38822.3125</v>
          </cell>
          <cell r="AN184">
            <v>0</v>
          </cell>
          <cell r="AP184">
            <v>38822.3125</v>
          </cell>
          <cell r="AQ184">
            <v>534.6</v>
          </cell>
          <cell r="AR184">
            <v>67.97</v>
          </cell>
          <cell r="AS184">
            <v>1.2609999999999999</v>
          </cell>
          <cell r="AT184">
            <v>21.54</v>
          </cell>
          <cell r="AU184">
            <v>0.66500000000000004</v>
          </cell>
          <cell r="AV184">
            <v>36.336762</v>
          </cell>
          <cell r="AW184">
            <v>0.67413059999999991</v>
          </cell>
          <cell r="AX184">
            <v>11.515283999999999</v>
          </cell>
          <cell r="AY184">
            <v>355.50900000000001</v>
          </cell>
          <cell r="AZ184">
            <v>10</v>
          </cell>
          <cell r="BA184">
            <v>10</v>
          </cell>
          <cell r="BB184">
            <v>10</v>
          </cell>
          <cell r="BC184">
            <v>10</v>
          </cell>
          <cell r="BD184">
            <v>10</v>
          </cell>
          <cell r="BE184">
            <v>10</v>
          </cell>
          <cell r="BF184">
            <v>1.8552302486391052E-2</v>
          </cell>
          <cell r="BI184">
            <v>148</v>
          </cell>
          <cell r="BK184">
            <v>38822.3125</v>
          </cell>
          <cell r="BL184">
            <v>210875.3</v>
          </cell>
          <cell r="BM184">
            <v>210191.3</v>
          </cell>
          <cell r="BN184">
            <v>684</v>
          </cell>
          <cell r="BO184">
            <v>484792.3</v>
          </cell>
          <cell r="BP184">
            <v>-17379</v>
          </cell>
          <cell r="BQ184">
            <v>502171.3</v>
          </cell>
          <cell r="BR184">
            <v>249883.9</v>
          </cell>
          <cell r="BS184">
            <v>92501.4</v>
          </cell>
          <cell r="BT184">
            <v>159786</v>
          </cell>
          <cell r="BU184">
            <v>638542.5</v>
          </cell>
          <cell r="BV184">
            <v>153644.20000000001</v>
          </cell>
          <cell r="BW184">
            <v>436639.3</v>
          </cell>
          <cell r="BX184">
            <v>208988.3</v>
          </cell>
          <cell r="BY184">
            <v>142112</v>
          </cell>
          <cell r="BZ184">
            <v>57125.1</v>
          </cell>
          <cell r="CA184">
            <v>10</v>
          </cell>
          <cell r="CD184">
            <v>148</v>
          </cell>
          <cell r="CF184">
            <v>38822.3125</v>
          </cell>
          <cell r="CG184">
            <v>10.49375</v>
          </cell>
          <cell r="CH184">
            <v>14.4</v>
          </cell>
          <cell r="CI184">
            <v>12.446875</v>
          </cell>
          <cell r="CJ184">
            <v>8.5</v>
          </cell>
          <cell r="CK184">
            <v>14.75</v>
          </cell>
          <cell r="CL184">
            <v>5.25</v>
          </cell>
          <cell r="CM184">
            <v>18</v>
          </cell>
          <cell r="CN184">
            <v>11.5</v>
          </cell>
          <cell r="CO184">
            <v>18</v>
          </cell>
          <cell r="CP184">
            <v>12</v>
          </cell>
          <cell r="CQ184">
            <v>26.99</v>
          </cell>
          <cell r="CR184">
            <v>3.5</v>
          </cell>
          <cell r="CS184">
            <v>18</v>
          </cell>
          <cell r="CT184">
            <v>27</v>
          </cell>
          <cell r="CU184">
            <v>10</v>
          </cell>
          <cell r="CV184">
            <v>10</v>
          </cell>
          <cell r="CY184">
            <v>148</v>
          </cell>
        </row>
        <row r="185">
          <cell r="A185">
            <v>38852.75</v>
          </cell>
          <cell r="B185">
            <v>125.1672090994079</v>
          </cell>
          <cell r="C185">
            <v>129.34609836065576</v>
          </cell>
          <cell r="D185">
            <v>120.63208976377952</v>
          </cell>
          <cell r="E185">
            <v>118.58914571428571</v>
          </cell>
          <cell r="F185">
            <v>108.15694894894894</v>
          </cell>
          <cell r="G185">
            <v>108.78773031026253</v>
          </cell>
          <cell r="H185">
            <v>152.95323378291587</v>
          </cell>
          <cell r="I185">
            <v>159.80338596491228</v>
          </cell>
          <cell r="J185">
            <v>107.48416666666668</v>
          </cell>
          <cell r="K185">
            <v>136.68</v>
          </cell>
          <cell r="L185">
            <v>145.20568072289157</v>
          </cell>
          <cell r="M185">
            <v>115.76285354691076</v>
          </cell>
          <cell r="N185">
            <v>128.16</v>
          </cell>
          <cell r="R185">
            <v>149</v>
          </cell>
          <cell r="T185">
            <v>38852.75</v>
          </cell>
          <cell r="AN185">
            <v>0</v>
          </cell>
          <cell r="AP185">
            <v>38852.75</v>
          </cell>
          <cell r="AQ185">
            <v>513.70000000000005</v>
          </cell>
          <cell r="AR185">
            <v>68.680000000000007</v>
          </cell>
          <cell r="AS185">
            <v>1.222</v>
          </cell>
          <cell r="AT185">
            <v>23.82</v>
          </cell>
          <cell r="AU185">
            <v>0.69</v>
          </cell>
          <cell r="AV185">
            <v>35.280916000000005</v>
          </cell>
          <cell r="AW185">
            <v>0.6277414</v>
          </cell>
          <cell r="AX185">
            <v>12.236334000000001</v>
          </cell>
          <cell r="AY185">
            <v>354.45300000000003</v>
          </cell>
          <cell r="AZ185">
            <v>10</v>
          </cell>
          <cell r="BA185">
            <v>10</v>
          </cell>
          <cell r="BB185">
            <v>10</v>
          </cell>
          <cell r="BC185">
            <v>10</v>
          </cell>
          <cell r="BD185">
            <v>10</v>
          </cell>
          <cell r="BE185">
            <v>10</v>
          </cell>
          <cell r="BF185">
            <v>1.7792661619103086E-2</v>
          </cell>
          <cell r="BI185">
            <v>149</v>
          </cell>
          <cell r="BK185">
            <v>38852.75</v>
          </cell>
          <cell r="BL185">
            <v>219371.9</v>
          </cell>
          <cell r="BM185">
            <v>219931.9</v>
          </cell>
          <cell r="BN185">
            <v>-560</v>
          </cell>
          <cell r="BO185">
            <v>483185.2</v>
          </cell>
          <cell r="BP185">
            <v>-21984.2</v>
          </cell>
          <cell r="BQ185">
            <v>505169.4</v>
          </cell>
          <cell r="BR185">
            <v>251561</v>
          </cell>
          <cell r="BS185">
            <v>94301.4</v>
          </cell>
          <cell r="BT185">
            <v>159307</v>
          </cell>
          <cell r="BU185">
            <v>648540.80000000005</v>
          </cell>
          <cell r="BV185">
            <v>154218.79999999999</v>
          </cell>
          <cell r="BW185">
            <v>445347.3</v>
          </cell>
          <cell r="BX185">
            <v>207800.3</v>
          </cell>
          <cell r="BY185">
            <v>149991</v>
          </cell>
          <cell r="BZ185">
            <v>54016.3</v>
          </cell>
          <cell r="CA185">
            <v>10</v>
          </cell>
          <cell r="CD185">
            <v>149</v>
          </cell>
          <cell r="CF185">
            <v>38852.75</v>
          </cell>
          <cell r="CG185">
            <v>10.49375</v>
          </cell>
          <cell r="CH185">
            <v>14.4</v>
          </cell>
          <cell r="CI185">
            <v>12.446875</v>
          </cell>
          <cell r="CJ185">
            <v>8.5</v>
          </cell>
          <cell r="CK185">
            <v>14.75</v>
          </cell>
          <cell r="CL185">
            <v>5.25</v>
          </cell>
          <cell r="CM185">
            <v>18</v>
          </cell>
          <cell r="CN185">
            <v>11.5</v>
          </cell>
          <cell r="CO185">
            <v>18</v>
          </cell>
          <cell r="CP185">
            <v>12</v>
          </cell>
          <cell r="CQ185">
            <v>26.99</v>
          </cell>
          <cell r="CR185">
            <v>3.5</v>
          </cell>
          <cell r="CS185">
            <v>18</v>
          </cell>
          <cell r="CT185">
            <v>27</v>
          </cell>
          <cell r="CU185">
            <v>10</v>
          </cell>
          <cell r="CV185">
            <v>10</v>
          </cell>
          <cell r="CY185">
            <v>149</v>
          </cell>
        </row>
        <row r="186">
          <cell r="A186">
            <v>38883.1875</v>
          </cell>
          <cell r="B186">
            <v>123.9582306014335</v>
          </cell>
          <cell r="C186">
            <v>132.41290163934426</v>
          </cell>
          <cell r="D186">
            <v>120.63208976377952</v>
          </cell>
          <cell r="E186">
            <v>117.54876476190475</v>
          </cell>
          <cell r="F186">
            <v>108.15694894894894</v>
          </cell>
          <cell r="G186">
            <v>108.78773031026253</v>
          </cell>
          <cell r="H186">
            <v>152.6662588310854</v>
          </cell>
          <cell r="I186">
            <v>159.80338596491228</v>
          </cell>
          <cell r="J186">
            <v>107.48416666666668</v>
          </cell>
          <cell r="K186">
            <v>136.68</v>
          </cell>
          <cell r="L186">
            <v>145.26661947791163</v>
          </cell>
          <cell r="M186">
            <v>115.76285354691076</v>
          </cell>
          <cell r="N186">
            <v>127.681</v>
          </cell>
          <cell r="R186">
            <v>150</v>
          </cell>
          <cell r="T186">
            <v>38883.1875</v>
          </cell>
          <cell r="AN186">
            <v>0</v>
          </cell>
          <cell r="AP186">
            <v>38883.1875</v>
          </cell>
          <cell r="AQ186">
            <v>518.6</v>
          </cell>
          <cell r="AR186">
            <v>68.39</v>
          </cell>
          <cell r="AS186">
            <v>1.244</v>
          </cell>
          <cell r="AT186">
            <v>21.03</v>
          </cell>
          <cell r="AU186">
            <v>0.69</v>
          </cell>
          <cell r="AV186">
            <v>35.467054000000005</v>
          </cell>
          <cell r="AW186">
            <v>0.6451384</v>
          </cell>
          <cell r="AX186">
            <v>10.906158000000001</v>
          </cell>
          <cell r="AY186">
            <v>357.834</v>
          </cell>
          <cell r="AZ186">
            <v>10</v>
          </cell>
          <cell r="BA186">
            <v>10</v>
          </cell>
          <cell r="BB186">
            <v>10</v>
          </cell>
          <cell r="BC186">
            <v>10</v>
          </cell>
          <cell r="BD186">
            <v>10</v>
          </cell>
          <cell r="BE186">
            <v>10</v>
          </cell>
          <cell r="BF186">
            <v>1.8189793829507236E-2</v>
          </cell>
          <cell r="BI186">
            <v>150</v>
          </cell>
          <cell r="BK186">
            <v>38883.1875</v>
          </cell>
          <cell r="BL186">
            <v>227194.7</v>
          </cell>
          <cell r="BM186">
            <v>227669.7</v>
          </cell>
          <cell r="BN186">
            <v>-475</v>
          </cell>
          <cell r="BO186">
            <v>477646.3</v>
          </cell>
          <cell r="BP186">
            <v>-27168.3</v>
          </cell>
          <cell r="BQ186">
            <v>504814.6</v>
          </cell>
          <cell r="BR186">
            <v>245492.2</v>
          </cell>
          <cell r="BS186">
            <v>94301.4</v>
          </cell>
          <cell r="BT186">
            <v>165021</v>
          </cell>
          <cell r="BU186">
            <v>648039</v>
          </cell>
          <cell r="BV186">
            <v>145788.1</v>
          </cell>
          <cell r="BW186">
            <v>453064.5</v>
          </cell>
          <cell r="BX186">
            <v>206921.5</v>
          </cell>
          <cell r="BY186">
            <v>156370</v>
          </cell>
          <cell r="BZ186">
            <v>56802</v>
          </cell>
          <cell r="CA186">
            <v>10</v>
          </cell>
          <cell r="CD186">
            <v>150</v>
          </cell>
          <cell r="CF186">
            <v>38883.1875</v>
          </cell>
          <cell r="CG186">
            <v>10.49375</v>
          </cell>
          <cell r="CH186">
            <v>14.4</v>
          </cell>
          <cell r="CI186">
            <v>12.446875</v>
          </cell>
          <cell r="CJ186">
            <v>8.5</v>
          </cell>
          <cell r="CK186">
            <v>14.75</v>
          </cell>
          <cell r="CL186">
            <v>5.5</v>
          </cell>
          <cell r="CM186">
            <v>18</v>
          </cell>
          <cell r="CN186">
            <v>11.5</v>
          </cell>
          <cell r="CO186">
            <v>18</v>
          </cell>
          <cell r="CP186">
            <v>12</v>
          </cell>
          <cell r="CQ186">
            <v>26.99</v>
          </cell>
          <cell r="CR186">
            <v>3.5</v>
          </cell>
          <cell r="CS186">
            <v>18</v>
          </cell>
          <cell r="CT186">
            <v>27</v>
          </cell>
          <cell r="CU186">
            <v>10</v>
          </cell>
          <cell r="CV186">
            <v>10</v>
          </cell>
          <cell r="CY186">
            <v>150</v>
          </cell>
        </row>
        <row r="187">
          <cell r="A187">
            <v>38913.625</v>
          </cell>
          <cell r="B187">
            <v>128.34059364287944</v>
          </cell>
          <cell r="C187">
            <v>133.31495081967213</v>
          </cell>
          <cell r="D187">
            <v>120.63208976377952</v>
          </cell>
          <cell r="E187">
            <v>122.19797904761904</v>
          </cell>
          <cell r="F187">
            <v>108.15694894894894</v>
          </cell>
          <cell r="G187">
            <v>108.78773031026253</v>
          </cell>
          <cell r="H187">
            <v>152.57808927424534</v>
          </cell>
          <cell r="I187">
            <v>159.80338596491228</v>
          </cell>
          <cell r="J187">
            <v>107.48416666666668</v>
          </cell>
          <cell r="K187">
            <v>136.68</v>
          </cell>
          <cell r="L187">
            <v>145.58829618473897</v>
          </cell>
          <cell r="M187">
            <v>115.76285354691076</v>
          </cell>
          <cell r="N187">
            <v>129.61000000000001</v>
          </cell>
          <cell r="R187">
            <v>151</v>
          </cell>
          <cell r="T187">
            <v>38913.625</v>
          </cell>
          <cell r="AN187">
            <v>0</v>
          </cell>
          <cell r="AP187">
            <v>38913.625</v>
          </cell>
          <cell r="AQ187">
            <v>517.20000000000005</v>
          </cell>
          <cell r="AR187">
            <v>72.45</v>
          </cell>
          <cell r="AS187">
            <v>1.2509999999999999</v>
          </cell>
          <cell r="AT187">
            <v>22.35</v>
          </cell>
          <cell r="AU187">
            <v>0.65169999999999995</v>
          </cell>
          <cell r="AV187">
            <v>37.471140000000005</v>
          </cell>
          <cell r="AW187">
            <v>0.64701719999999996</v>
          </cell>
          <cell r="AX187">
            <v>11.559420000000001</v>
          </cell>
          <cell r="AY187">
            <v>337.05923999999999</v>
          </cell>
          <cell r="AZ187">
            <v>10</v>
          </cell>
          <cell r="BA187">
            <v>10</v>
          </cell>
          <cell r="BB187">
            <v>10</v>
          </cell>
          <cell r="BC187">
            <v>10</v>
          </cell>
          <cell r="BD187">
            <v>10</v>
          </cell>
          <cell r="BE187">
            <v>10</v>
          </cell>
          <cell r="BF187">
            <v>1.7267080745341612E-2</v>
          </cell>
          <cell r="BI187">
            <v>151</v>
          </cell>
          <cell r="BK187">
            <v>38913.625</v>
          </cell>
          <cell r="BL187">
            <v>218583.2</v>
          </cell>
          <cell r="BM187">
            <v>207153.2</v>
          </cell>
          <cell r="BN187">
            <v>11430</v>
          </cell>
          <cell r="BO187">
            <v>492466.3</v>
          </cell>
          <cell r="BP187">
            <v>-27112.6</v>
          </cell>
          <cell r="BQ187">
            <v>519578.9</v>
          </cell>
          <cell r="BR187">
            <v>261611.3</v>
          </cell>
          <cell r="BS187">
            <v>93597.6</v>
          </cell>
          <cell r="BT187">
            <v>164370</v>
          </cell>
          <cell r="BU187">
            <v>655271.1</v>
          </cell>
          <cell r="BV187">
            <v>145837.5</v>
          </cell>
          <cell r="BW187">
            <v>460307.4</v>
          </cell>
          <cell r="BX187">
            <v>211525.4</v>
          </cell>
          <cell r="BY187">
            <v>157585</v>
          </cell>
          <cell r="BZ187">
            <v>55778</v>
          </cell>
          <cell r="CA187">
            <v>10</v>
          </cell>
          <cell r="CD187">
            <v>151</v>
          </cell>
          <cell r="CF187">
            <v>38913.625</v>
          </cell>
          <cell r="CG187">
            <v>10.49375</v>
          </cell>
          <cell r="CH187">
            <v>14.4</v>
          </cell>
          <cell r="CI187">
            <v>12.446875</v>
          </cell>
          <cell r="CJ187">
            <v>8.5</v>
          </cell>
          <cell r="CK187">
            <v>14.75</v>
          </cell>
          <cell r="CL187">
            <v>5.25</v>
          </cell>
          <cell r="CM187">
            <v>18</v>
          </cell>
          <cell r="CN187">
            <v>11.5</v>
          </cell>
          <cell r="CO187">
            <v>18</v>
          </cell>
          <cell r="CP187">
            <v>12</v>
          </cell>
          <cell r="CQ187">
            <v>26.99</v>
          </cell>
          <cell r="CR187">
            <v>3.5</v>
          </cell>
          <cell r="CS187">
            <v>18</v>
          </cell>
          <cell r="CT187">
            <v>27</v>
          </cell>
          <cell r="CU187">
            <v>10</v>
          </cell>
          <cell r="CV187">
            <v>10</v>
          </cell>
          <cell r="CY187">
            <v>151</v>
          </cell>
        </row>
        <row r="188">
          <cell r="A188">
            <v>38944.0625</v>
          </cell>
          <cell r="B188">
            <v>124.78715861639142</v>
          </cell>
          <cell r="C188">
            <v>131.40224590163936</v>
          </cell>
          <cell r="D188">
            <v>120.63208976377952</v>
          </cell>
          <cell r="E188">
            <v>121.8872657142857</v>
          </cell>
          <cell r="F188">
            <v>108.15694894894894</v>
          </cell>
          <cell r="G188">
            <v>108.78773031026253</v>
          </cell>
          <cell r="H188">
            <v>155.52287797045602</v>
          </cell>
          <cell r="I188">
            <v>159.80338596491228</v>
          </cell>
          <cell r="J188">
            <v>107.48416666666668</v>
          </cell>
          <cell r="K188">
            <v>136.68</v>
          </cell>
          <cell r="L188">
            <v>146.57030923694779</v>
          </cell>
          <cell r="M188">
            <v>115.76285354691076</v>
          </cell>
          <cell r="N188">
            <v>128.958</v>
          </cell>
          <cell r="R188">
            <v>152</v>
          </cell>
          <cell r="T188">
            <v>38944.0625</v>
          </cell>
          <cell r="AN188">
            <v>0</v>
          </cell>
          <cell r="AP188">
            <v>38944.0625</v>
          </cell>
          <cell r="AQ188">
            <v>512</v>
          </cell>
          <cell r="AR188">
            <v>71.81</v>
          </cell>
          <cell r="AS188">
            <v>1.32</v>
          </cell>
          <cell r="AT188">
            <v>22.3</v>
          </cell>
          <cell r="AU188">
            <v>0.65169999999999995</v>
          </cell>
          <cell r="AV188">
            <v>36.766719999999999</v>
          </cell>
          <cell r="AW188">
            <v>0.67584</v>
          </cell>
          <cell r="AX188">
            <v>11.4176</v>
          </cell>
          <cell r="AY188">
            <v>333.67039999999997</v>
          </cell>
          <cell r="AZ188">
            <v>10</v>
          </cell>
          <cell r="BA188">
            <v>10</v>
          </cell>
          <cell r="BB188">
            <v>10</v>
          </cell>
          <cell r="BC188">
            <v>10</v>
          </cell>
          <cell r="BD188">
            <v>10</v>
          </cell>
          <cell r="BE188">
            <v>10</v>
          </cell>
          <cell r="BF188">
            <v>1.8381840969224343E-2</v>
          </cell>
          <cell r="BI188">
            <v>152</v>
          </cell>
          <cell r="BK188">
            <v>38944.0625</v>
          </cell>
          <cell r="BL188">
            <v>185395.8</v>
          </cell>
          <cell r="BM188">
            <v>190894.8</v>
          </cell>
          <cell r="BN188">
            <v>-5499</v>
          </cell>
          <cell r="BO188">
            <v>513071.1</v>
          </cell>
          <cell r="BP188">
            <v>-19965.400000000001</v>
          </cell>
          <cell r="BQ188">
            <v>533036.5</v>
          </cell>
          <cell r="BR188">
            <v>269041.5</v>
          </cell>
          <cell r="BS188">
            <v>92000</v>
          </cell>
          <cell r="BT188">
            <v>171995</v>
          </cell>
          <cell r="BU188">
            <v>634401.4</v>
          </cell>
          <cell r="BV188">
            <v>132325.1</v>
          </cell>
          <cell r="BW188">
            <v>452787.8</v>
          </cell>
          <cell r="BX188">
            <v>198005.8</v>
          </cell>
          <cell r="BY188">
            <v>163598</v>
          </cell>
          <cell r="BZ188">
            <v>64065.5</v>
          </cell>
          <cell r="CA188">
            <v>10</v>
          </cell>
          <cell r="CD188">
            <v>152</v>
          </cell>
          <cell r="CF188">
            <v>38944.0625</v>
          </cell>
          <cell r="CG188">
            <v>10.49375</v>
          </cell>
          <cell r="CH188">
            <v>14.4</v>
          </cell>
          <cell r="CI188">
            <v>12.446875</v>
          </cell>
          <cell r="CJ188">
            <v>8.5</v>
          </cell>
          <cell r="CK188">
            <v>14.75</v>
          </cell>
          <cell r="CL188">
            <v>5.25</v>
          </cell>
          <cell r="CM188">
            <v>18</v>
          </cell>
          <cell r="CN188">
            <v>11.5</v>
          </cell>
          <cell r="CO188">
            <v>18</v>
          </cell>
          <cell r="CP188">
            <v>12</v>
          </cell>
          <cell r="CQ188">
            <v>26.99</v>
          </cell>
          <cell r="CR188">
            <v>3.5</v>
          </cell>
          <cell r="CS188">
            <v>18</v>
          </cell>
          <cell r="CT188">
            <v>27</v>
          </cell>
          <cell r="CU188">
            <v>10</v>
          </cell>
          <cell r="CV188">
            <v>10</v>
          </cell>
          <cell r="CY188">
            <v>152</v>
          </cell>
        </row>
        <row r="189">
          <cell r="A189">
            <v>38974.5</v>
          </cell>
          <cell r="B189">
            <v>119.42798067933936</v>
          </cell>
          <cell r="C189">
            <v>134.07984153005464</v>
          </cell>
          <cell r="D189">
            <v>120.63208976377952</v>
          </cell>
          <cell r="E189">
            <v>118.94395714285714</v>
          </cell>
          <cell r="F189">
            <v>108.15694894894894</v>
          </cell>
          <cell r="G189">
            <v>108.78773031026253</v>
          </cell>
          <cell r="H189">
            <v>153.51234746307</v>
          </cell>
          <cell r="I189">
            <v>159.80338596491228</v>
          </cell>
          <cell r="J189">
            <v>107.48416666666668</v>
          </cell>
          <cell r="K189">
            <v>136.68</v>
          </cell>
          <cell r="L189">
            <v>147.78808534136544</v>
          </cell>
          <cell r="M189">
            <v>115.76285354691076</v>
          </cell>
          <cell r="N189">
            <v>126.78700000000001</v>
          </cell>
          <cell r="R189">
            <v>153</v>
          </cell>
          <cell r="T189">
            <v>38974.5</v>
          </cell>
          <cell r="AN189">
            <v>0</v>
          </cell>
          <cell r="AP189">
            <v>38974.5</v>
          </cell>
          <cell r="AQ189">
            <v>515.4</v>
          </cell>
          <cell r="AR189">
            <v>62.12</v>
          </cell>
          <cell r="AS189">
            <v>1.2969999999999999</v>
          </cell>
          <cell r="AT189">
            <v>21.1</v>
          </cell>
          <cell r="AU189">
            <v>0.65169999999999995</v>
          </cell>
          <cell r="AV189">
            <v>32.016647999999996</v>
          </cell>
          <cell r="AW189">
            <v>0.66847380000000001</v>
          </cell>
          <cell r="AX189">
            <v>10.87494</v>
          </cell>
          <cell r="AY189">
            <v>335.88617999999997</v>
          </cell>
          <cell r="AZ189">
            <v>10</v>
          </cell>
          <cell r="BA189">
            <v>10</v>
          </cell>
          <cell r="BB189">
            <v>10</v>
          </cell>
          <cell r="BC189">
            <v>10</v>
          </cell>
          <cell r="BD189">
            <v>10</v>
          </cell>
          <cell r="BE189">
            <v>10</v>
          </cell>
          <cell r="BF189">
            <v>2.0878943979394722E-2</v>
          </cell>
          <cell r="BI189">
            <v>153</v>
          </cell>
          <cell r="BK189">
            <v>38974.5</v>
          </cell>
          <cell r="BL189">
            <v>226527.7</v>
          </cell>
          <cell r="BM189">
            <v>226408.7</v>
          </cell>
          <cell r="BN189">
            <v>119</v>
          </cell>
          <cell r="BO189">
            <v>474710.2</v>
          </cell>
          <cell r="BP189">
            <v>-56965.4</v>
          </cell>
          <cell r="BQ189">
            <v>531145.6</v>
          </cell>
          <cell r="BR189">
            <v>266682.59999999998</v>
          </cell>
          <cell r="BS189">
            <v>90000</v>
          </cell>
          <cell r="BT189">
            <v>174483</v>
          </cell>
          <cell r="BU189">
            <v>629122.69999999995</v>
          </cell>
          <cell r="BV189">
            <v>131765.20000000001</v>
          </cell>
          <cell r="BW189">
            <v>448628.1</v>
          </cell>
          <cell r="BX189">
            <v>196363.1</v>
          </cell>
          <cell r="BY189">
            <v>162857</v>
          </cell>
          <cell r="BZ189">
            <v>72115.199999999997</v>
          </cell>
          <cell r="CA189">
            <v>10</v>
          </cell>
          <cell r="CD189">
            <v>153</v>
          </cell>
          <cell r="CF189">
            <v>38974.5</v>
          </cell>
          <cell r="CG189">
            <v>10.438888888888901</v>
          </cell>
          <cell r="CH189">
            <v>11.5</v>
          </cell>
          <cell r="CI189">
            <v>10.96944444444445</v>
          </cell>
          <cell r="CJ189">
            <v>8.5</v>
          </cell>
          <cell r="CK189">
            <v>14.75</v>
          </cell>
          <cell r="CL189">
            <v>5.25</v>
          </cell>
          <cell r="CM189">
            <v>18</v>
          </cell>
          <cell r="CN189">
            <v>11.5</v>
          </cell>
          <cell r="CO189">
            <v>18</v>
          </cell>
          <cell r="CP189">
            <v>12</v>
          </cell>
          <cell r="CQ189">
            <v>26.99</v>
          </cell>
          <cell r="CR189">
            <v>3.5</v>
          </cell>
          <cell r="CS189">
            <v>18</v>
          </cell>
          <cell r="CT189">
            <v>27</v>
          </cell>
          <cell r="CU189">
            <v>10</v>
          </cell>
          <cell r="CV189">
            <v>10</v>
          </cell>
          <cell r="CY189">
            <v>153</v>
          </cell>
        </row>
        <row r="190">
          <cell r="A190">
            <v>39004.9375</v>
          </cell>
          <cell r="B190">
            <v>119.61236272982239</v>
          </cell>
          <cell r="C190">
            <v>135.42506010928963</v>
          </cell>
          <cell r="D190">
            <v>120.63208976377952</v>
          </cell>
          <cell r="E190">
            <v>137.02193333333332</v>
          </cell>
          <cell r="F190">
            <v>108.15694894894894</v>
          </cell>
          <cell r="G190">
            <v>108.78773031026253</v>
          </cell>
          <cell r="H190">
            <v>141.97485228002569</v>
          </cell>
          <cell r="I190">
            <v>159.80338596491228</v>
          </cell>
          <cell r="J190">
            <v>107.4495569105691</v>
          </cell>
          <cell r="K190">
            <v>149.13300000000001</v>
          </cell>
          <cell r="L190">
            <v>146.48139859437751</v>
          </cell>
          <cell r="M190">
            <v>115.76285354691076</v>
          </cell>
          <cell r="N190">
            <v>127.14194910000002</v>
          </cell>
          <cell r="R190">
            <v>154</v>
          </cell>
          <cell r="T190">
            <v>39004.9375</v>
          </cell>
          <cell r="AN190">
            <v>0</v>
          </cell>
          <cell r="AP190">
            <v>39004.9375</v>
          </cell>
          <cell r="AQ190">
            <v>520.20000000000005</v>
          </cell>
          <cell r="AR190">
            <v>57.91</v>
          </cell>
          <cell r="AS190">
            <v>1.258</v>
          </cell>
          <cell r="AT190">
            <v>20.66</v>
          </cell>
          <cell r="AU190">
            <v>0.67749999999999999</v>
          </cell>
          <cell r="AV190">
            <v>30.124782</v>
          </cell>
          <cell r="AW190">
            <v>0.65441159999999998</v>
          </cell>
          <cell r="AX190">
            <v>10.747332</v>
          </cell>
          <cell r="AY190">
            <v>352.43550000000005</v>
          </cell>
          <cell r="AZ190">
            <v>10</v>
          </cell>
          <cell r="BA190">
            <v>10</v>
          </cell>
          <cell r="BB190">
            <v>10</v>
          </cell>
          <cell r="BC190">
            <v>10</v>
          </cell>
          <cell r="BD190">
            <v>10</v>
          </cell>
          <cell r="BE190">
            <v>10</v>
          </cell>
          <cell r="BF190">
            <v>2.1723363840442066E-2</v>
          </cell>
          <cell r="BI190">
            <v>154</v>
          </cell>
          <cell r="BK190">
            <v>39004.9375</v>
          </cell>
          <cell r="BL190">
            <v>229777.3</v>
          </cell>
          <cell r="BM190">
            <v>225124.3</v>
          </cell>
          <cell r="BN190">
            <v>4653</v>
          </cell>
          <cell r="BO190">
            <v>482407.2</v>
          </cell>
          <cell r="BP190">
            <v>-44979.8</v>
          </cell>
          <cell r="BQ190">
            <v>527387</v>
          </cell>
          <cell r="BR190">
            <v>283570</v>
          </cell>
          <cell r="BS190">
            <v>89000</v>
          </cell>
          <cell r="BT190">
            <v>174817</v>
          </cell>
          <cell r="BU190">
            <v>644525.30000000005</v>
          </cell>
          <cell r="BV190">
            <v>133082.20000000001</v>
          </cell>
          <cell r="BW190">
            <v>463072</v>
          </cell>
          <cell r="BX190">
            <v>208097</v>
          </cell>
          <cell r="BY190">
            <v>186090</v>
          </cell>
          <cell r="BZ190">
            <v>67659.199999999997</v>
          </cell>
          <cell r="CA190">
            <v>10</v>
          </cell>
          <cell r="CD190">
            <v>154</v>
          </cell>
          <cell r="CF190">
            <v>39004.9375</v>
          </cell>
          <cell r="CG190">
            <v>10.438888888888901</v>
          </cell>
          <cell r="CH190">
            <v>11.5</v>
          </cell>
          <cell r="CI190">
            <v>10.96944444444445</v>
          </cell>
          <cell r="CJ190">
            <v>8.5</v>
          </cell>
          <cell r="CK190">
            <v>14.75</v>
          </cell>
          <cell r="CL190">
            <v>5.25</v>
          </cell>
          <cell r="CM190">
            <v>18</v>
          </cell>
          <cell r="CN190">
            <v>11.5</v>
          </cell>
          <cell r="CO190">
            <v>18</v>
          </cell>
          <cell r="CP190">
            <v>12</v>
          </cell>
          <cell r="CQ190">
            <v>26.99</v>
          </cell>
          <cell r="CR190">
            <v>3.5</v>
          </cell>
          <cell r="CS190">
            <v>18</v>
          </cell>
          <cell r="CT190">
            <v>27</v>
          </cell>
          <cell r="CU190">
            <v>10</v>
          </cell>
          <cell r="CV190">
            <v>10</v>
          </cell>
          <cell r="CY190">
            <v>154</v>
          </cell>
        </row>
        <row r="191">
          <cell r="A191">
            <v>39035.375</v>
          </cell>
          <cell r="B191">
            <v>120.02940916173264</v>
          </cell>
          <cell r="C191">
            <v>131.53571584699455</v>
          </cell>
          <cell r="D191">
            <v>120.63208976377952</v>
          </cell>
          <cell r="E191">
            <v>120.66137523809525</v>
          </cell>
          <cell r="F191">
            <v>108.15694894894894</v>
          </cell>
          <cell r="G191">
            <v>108.78773031026253</v>
          </cell>
          <cell r="H191">
            <v>140.64595054592164</v>
          </cell>
          <cell r="I191">
            <v>159.80338596491228</v>
          </cell>
          <cell r="J191">
            <v>107.4495569105691</v>
          </cell>
          <cell r="K191">
            <v>149.13300000000001</v>
          </cell>
          <cell r="L191">
            <v>145.59628815261044</v>
          </cell>
          <cell r="M191">
            <v>115.76285354691076</v>
          </cell>
          <cell r="N191">
            <v>125.19199999999999</v>
          </cell>
          <cell r="R191">
            <v>155</v>
          </cell>
          <cell r="T191">
            <v>39035.375</v>
          </cell>
          <cell r="AN191">
            <v>0</v>
          </cell>
          <cell r="AP191">
            <v>39035.375</v>
          </cell>
          <cell r="AQ191">
            <v>509.3</v>
          </cell>
          <cell r="AR191">
            <v>58.14</v>
          </cell>
          <cell r="AS191">
            <v>1.266</v>
          </cell>
          <cell r="AT191">
            <v>22.1</v>
          </cell>
          <cell r="AU191">
            <v>0.67749999999999999</v>
          </cell>
          <cell r="AV191">
            <v>29.610702</v>
          </cell>
          <cell r="AW191">
            <v>0.64477380000000006</v>
          </cell>
          <cell r="AX191">
            <v>11.25553</v>
          </cell>
          <cell r="AY191">
            <v>345.05074999999999</v>
          </cell>
          <cell r="AZ191">
            <v>10</v>
          </cell>
          <cell r="BA191">
            <v>10</v>
          </cell>
          <cell r="BB191">
            <v>10</v>
          </cell>
          <cell r="BC191">
            <v>10</v>
          </cell>
          <cell r="BD191">
            <v>10</v>
          </cell>
          <cell r="BE191">
            <v>10</v>
          </cell>
          <cell r="BF191">
            <v>2.1775025799793603E-2</v>
          </cell>
          <cell r="BI191">
            <v>155</v>
          </cell>
          <cell r="BK191">
            <v>39035.375</v>
          </cell>
          <cell r="BL191">
            <v>211561.9</v>
          </cell>
          <cell r="BM191">
            <v>207524.9</v>
          </cell>
          <cell r="BN191">
            <v>4037</v>
          </cell>
          <cell r="BO191">
            <v>498567.7</v>
          </cell>
          <cell r="BP191">
            <v>-37303.199999999997</v>
          </cell>
          <cell r="BQ191">
            <v>535870.9</v>
          </cell>
          <cell r="BR191">
            <v>274733.90000000002</v>
          </cell>
          <cell r="BS191">
            <v>83997</v>
          </cell>
          <cell r="BT191">
            <v>177140</v>
          </cell>
          <cell r="BU191">
            <v>641568.30000000005</v>
          </cell>
          <cell r="BV191">
            <v>130891.8</v>
          </cell>
          <cell r="BW191">
            <v>462105.59999999998</v>
          </cell>
          <cell r="BX191">
            <v>205840.6</v>
          </cell>
          <cell r="BY191">
            <v>168353</v>
          </cell>
          <cell r="BZ191">
            <v>68561.3</v>
          </cell>
          <cell r="CA191">
            <v>10</v>
          </cell>
          <cell r="CD191">
            <v>155</v>
          </cell>
          <cell r="CF191">
            <v>39035.375</v>
          </cell>
          <cell r="CG191">
            <v>10.438888888888901</v>
          </cell>
          <cell r="CH191">
            <v>11.5</v>
          </cell>
          <cell r="CI191">
            <v>10.96944444444445</v>
          </cell>
          <cell r="CJ191">
            <v>8.5</v>
          </cell>
          <cell r="CK191">
            <v>14.75</v>
          </cell>
          <cell r="CL191">
            <v>5.25</v>
          </cell>
          <cell r="CM191">
            <v>18</v>
          </cell>
          <cell r="CN191">
            <v>11.5</v>
          </cell>
          <cell r="CO191">
            <v>18</v>
          </cell>
          <cell r="CP191">
            <v>12</v>
          </cell>
          <cell r="CQ191">
            <v>26.99</v>
          </cell>
          <cell r="CR191">
            <v>3.5</v>
          </cell>
          <cell r="CS191">
            <v>18</v>
          </cell>
          <cell r="CT191">
            <v>27</v>
          </cell>
          <cell r="CU191">
            <v>10</v>
          </cell>
          <cell r="CV191">
            <v>10</v>
          </cell>
          <cell r="CY191">
            <v>155</v>
          </cell>
        </row>
        <row r="192">
          <cell r="A192">
            <v>39065.8125</v>
          </cell>
          <cell r="B192">
            <v>119.03239513867247</v>
          </cell>
          <cell r="C192">
            <v>133.02319125683061</v>
          </cell>
          <cell r="D192">
            <v>120.63208976377952</v>
          </cell>
          <cell r="E192">
            <v>122.07901619047618</v>
          </cell>
          <cell r="F192">
            <v>108.15694894894894</v>
          </cell>
          <cell r="G192">
            <v>108.78773031026253</v>
          </cell>
          <cell r="H192">
            <v>140.1902665382145</v>
          </cell>
          <cell r="I192">
            <v>159.80338596491228</v>
          </cell>
          <cell r="J192">
            <v>107.4495569105691</v>
          </cell>
          <cell r="K192">
            <v>149.13300000000001</v>
          </cell>
          <cell r="L192">
            <v>149.56629819277109</v>
          </cell>
          <cell r="M192">
            <v>115.76285354691076</v>
          </cell>
          <cell r="N192">
            <v>125.372</v>
          </cell>
          <cell r="R192">
            <v>156</v>
          </cell>
          <cell r="T192">
            <v>39065.8125</v>
          </cell>
          <cell r="AN192">
            <v>0</v>
          </cell>
          <cell r="AP192">
            <v>39065.8125</v>
          </cell>
          <cell r="AQ192">
            <v>496.5</v>
          </cell>
          <cell r="AR192">
            <v>60.99</v>
          </cell>
          <cell r="AS192">
            <v>1.31</v>
          </cell>
          <cell r="AT192">
            <v>22.2</v>
          </cell>
          <cell r="AU192">
            <v>0.67749999999999999</v>
          </cell>
          <cell r="AV192">
            <v>30.281534999999998</v>
          </cell>
          <cell r="AW192">
            <v>0.65041500000000008</v>
          </cell>
          <cell r="AX192">
            <v>11.0223</v>
          </cell>
          <cell r="AY192">
            <v>336.37874999999997</v>
          </cell>
          <cell r="AZ192">
            <v>10</v>
          </cell>
          <cell r="BA192">
            <v>10</v>
          </cell>
          <cell r="BB192">
            <v>10</v>
          </cell>
          <cell r="BC192">
            <v>10</v>
          </cell>
          <cell r="BD192">
            <v>10</v>
          </cell>
          <cell r="BE192">
            <v>10</v>
          </cell>
          <cell r="BF192">
            <v>2.1478930972290543E-2</v>
          </cell>
          <cell r="BI192">
            <v>156</v>
          </cell>
          <cell r="BK192">
            <v>39065.8125</v>
          </cell>
          <cell r="BL192">
            <v>220994.1</v>
          </cell>
          <cell r="BM192">
            <v>202940.1</v>
          </cell>
          <cell r="BN192">
            <v>18054</v>
          </cell>
          <cell r="BO192">
            <v>512206</v>
          </cell>
          <cell r="BP192">
            <v>-30161.8</v>
          </cell>
          <cell r="BQ192">
            <v>542367.80000000005</v>
          </cell>
          <cell r="BR192">
            <v>292639.8</v>
          </cell>
          <cell r="BS192">
            <v>75464</v>
          </cell>
          <cell r="BT192">
            <v>174264</v>
          </cell>
          <cell r="BU192">
            <v>661607.30000000005</v>
          </cell>
          <cell r="BV192">
            <v>142041.29999999999</v>
          </cell>
          <cell r="BW192">
            <v>470669.8</v>
          </cell>
          <cell r="BX192">
            <v>222151.8</v>
          </cell>
          <cell r="BY192">
            <v>159858</v>
          </cell>
          <cell r="BZ192">
            <v>71592.800000000003</v>
          </cell>
          <cell r="CA192">
            <v>10</v>
          </cell>
          <cell r="CD192">
            <v>156</v>
          </cell>
          <cell r="CF192">
            <v>39065.8125</v>
          </cell>
          <cell r="CG192">
            <v>10.438888888888901</v>
          </cell>
          <cell r="CH192">
            <v>11.5</v>
          </cell>
          <cell r="CI192">
            <v>10.96944444444445</v>
          </cell>
          <cell r="CJ192">
            <v>8.5</v>
          </cell>
          <cell r="CK192">
            <v>14.75</v>
          </cell>
          <cell r="CL192">
            <v>5.25</v>
          </cell>
          <cell r="CM192">
            <v>18</v>
          </cell>
          <cell r="CN192">
            <v>11.5</v>
          </cell>
          <cell r="CO192">
            <v>18</v>
          </cell>
          <cell r="CP192">
            <v>12</v>
          </cell>
          <cell r="CQ192">
            <v>26.99</v>
          </cell>
          <cell r="CR192">
            <v>3.5</v>
          </cell>
          <cell r="CS192">
            <v>18</v>
          </cell>
          <cell r="CT192">
            <v>27</v>
          </cell>
          <cell r="CU192">
            <v>10</v>
          </cell>
          <cell r="CV192">
            <v>10</v>
          </cell>
          <cell r="CY192">
            <v>156</v>
          </cell>
        </row>
        <row r="193">
          <cell r="A193">
            <v>39096.25</v>
          </cell>
          <cell r="B193">
            <v>112.4247313804924</v>
          </cell>
          <cell r="C193">
            <v>132.53439344262296</v>
          </cell>
          <cell r="D193">
            <v>123.04232755905511</v>
          </cell>
          <cell r="E193">
            <v>118.80606380952381</v>
          </cell>
          <cell r="F193">
            <v>108.22722822822821</v>
          </cell>
          <cell r="G193">
            <v>108.78773031026253</v>
          </cell>
          <cell r="H193">
            <v>140.87072703917792</v>
          </cell>
          <cell r="I193">
            <v>159.80338596491228</v>
          </cell>
          <cell r="J193">
            <v>107.17337398373985</v>
          </cell>
          <cell r="K193">
            <v>149.13300000000001</v>
          </cell>
          <cell r="L193">
            <v>150.04082128514057</v>
          </cell>
          <cell r="M193">
            <v>115.74647597254005</v>
          </cell>
          <cell r="N193">
            <v>123.196</v>
          </cell>
          <cell r="R193">
            <v>157</v>
          </cell>
          <cell r="T193">
            <v>39096.25</v>
          </cell>
          <cell r="AN193">
            <v>0</v>
          </cell>
          <cell r="AP193">
            <v>39096.25</v>
          </cell>
          <cell r="AQ193">
            <v>504.7</v>
          </cell>
          <cell r="AR193">
            <v>59.52</v>
          </cell>
          <cell r="AS193">
            <v>1.302</v>
          </cell>
          <cell r="AT193">
            <v>22.26</v>
          </cell>
          <cell r="AU193">
            <v>0.67749999999999999</v>
          </cell>
          <cell r="AV193">
            <v>30.039744000000002</v>
          </cell>
          <cell r="AW193">
            <v>0.65711940000000002</v>
          </cell>
          <cell r="AX193">
            <v>11.234622000000002</v>
          </cell>
          <cell r="AY193">
            <v>341.93424999999996</v>
          </cell>
          <cell r="AZ193">
            <v>10</v>
          </cell>
          <cell r="BA193">
            <v>10</v>
          </cell>
          <cell r="BB193">
            <v>10</v>
          </cell>
          <cell r="BC193">
            <v>10</v>
          </cell>
          <cell r="BD193">
            <v>10</v>
          </cell>
          <cell r="BE193">
            <v>10</v>
          </cell>
          <cell r="BF193">
            <v>2.1874999999999999E-2</v>
          </cell>
          <cell r="BI193">
            <v>157</v>
          </cell>
          <cell r="BK193">
            <v>39096.25</v>
          </cell>
          <cell r="BL193">
            <v>385841.4</v>
          </cell>
          <cell r="BM193">
            <v>359248.4</v>
          </cell>
          <cell r="BN193">
            <v>26593</v>
          </cell>
          <cell r="BO193">
            <v>368687.2</v>
          </cell>
          <cell r="BP193">
            <v>-159426.70000000001</v>
          </cell>
          <cell r="BQ193">
            <v>528113.9</v>
          </cell>
          <cell r="BR193">
            <v>353776.9</v>
          </cell>
          <cell r="BS193">
            <v>2800</v>
          </cell>
          <cell r="BT193">
            <v>171537</v>
          </cell>
          <cell r="BU193">
            <v>682208.5</v>
          </cell>
          <cell r="BV193">
            <v>134083.70000000001</v>
          </cell>
          <cell r="BW193">
            <v>498614.2</v>
          </cell>
          <cell r="BX193">
            <v>252626.2</v>
          </cell>
          <cell r="BY193">
            <v>155075</v>
          </cell>
          <cell r="BZ193">
            <v>72320.100000000006</v>
          </cell>
          <cell r="CA193">
            <v>10</v>
          </cell>
          <cell r="CD193">
            <v>157</v>
          </cell>
          <cell r="CF193">
            <v>39096.25</v>
          </cell>
          <cell r="CJ193">
            <v>8.5</v>
          </cell>
          <cell r="CK193">
            <v>14.75</v>
          </cell>
          <cell r="CL193">
            <v>5.5</v>
          </cell>
          <cell r="CM193">
            <v>18</v>
          </cell>
          <cell r="CN193">
            <v>11.5</v>
          </cell>
          <cell r="CO193">
            <v>18</v>
          </cell>
          <cell r="CP193">
            <v>12</v>
          </cell>
          <cell r="CQ193">
            <v>25.5</v>
          </cell>
          <cell r="CR193">
            <v>3.5</v>
          </cell>
          <cell r="CS193">
            <v>18</v>
          </cell>
          <cell r="CT193">
            <v>27</v>
          </cell>
          <cell r="CU193">
            <v>10</v>
          </cell>
          <cell r="CV193">
            <v>10</v>
          </cell>
          <cell r="CY193">
            <v>157</v>
          </cell>
        </row>
        <row r="194">
          <cell r="A194">
            <v>39126.6875</v>
          </cell>
          <cell r="B194">
            <v>112.58992645684013</v>
          </cell>
          <cell r="C194">
            <v>131.39586885245905</v>
          </cell>
          <cell r="D194">
            <v>123.04232755905511</v>
          </cell>
          <cell r="E194">
            <v>118.12342761904762</v>
          </cell>
          <cell r="F194">
            <v>108.22722822822821</v>
          </cell>
          <cell r="G194">
            <v>108.92524343675419</v>
          </cell>
          <cell r="H194">
            <v>140.21074887604368</v>
          </cell>
          <cell r="I194">
            <v>159.80338596491228</v>
          </cell>
          <cell r="J194">
            <v>107.17337398373985</v>
          </cell>
          <cell r="K194">
            <v>149.13300000000001</v>
          </cell>
          <cell r="L194">
            <v>150.26959136546185</v>
          </cell>
          <cell r="M194">
            <v>115.74647597254005</v>
          </cell>
          <cell r="N194">
            <v>123.08199999999999</v>
          </cell>
          <cell r="R194">
            <v>158</v>
          </cell>
          <cell r="T194">
            <v>39126.6875</v>
          </cell>
          <cell r="AN194">
            <v>0</v>
          </cell>
          <cell r="AP194">
            <v>39126.6875</v>
          </cell>
          <cell r="AQ194">
            <v>501.7</v>
          </cell>
          <cell r="AR194">
            <v>57.56</v>
          </cell>
          <cell r="AS194">
            <v>1.2769999999999999</v>
          </cell>
          <cell r="AT194">
            <v>23.45</v>
          </cell>
          <cell r="AU194">
            <v>0.67749999999999999</v>
          </cell>
          <cell r="AV194">
            <v>28.877851999999997</v>
          </cell>
          <cell r="AW194">
            <v>0.64067089999999993</v>
          </cell>
          <cell r="AX194">
            <v>11.764865</v>
          </cell>
          <cell r="AY194">
            <v>339.90174999999999</v>
          </cell>
          <cell r="AZ194">
            <v>10</v>
          </cell>
          <cell r="BA194">
            <v>10</v>
          </cell>
          <cell r="BB194">
            <v>10</v>
          </cell>
          <cell r="BC194">
            <v>10</v>
          </cell>
          <cell r="BD194">
            <v>10</v>
          </cell>
          <cell r="BE194">
            <v>10</v>
          </cell>
          <cell r="BF194">
            <v>2.2185545517720638E-2</v>
          </cell>
          <cell r="BI194">
            <v>158</v>
          </cell>
          <cell r="BK194">
            <v>39126.6875</v>
          </cell>
          <cell r="BL194">
            <v>383685.4</v>
          </cell>
          <cell r="BM194">
            <v>357187.4</v>
          </cell>
          <cell r="BN194">
            <v>26498</v>
          </cell>
          <cell r="BO194">
            <v>403663</v>
          </cell>
          <cell r="BP194">
            <v>-141336.29999999999</v>
          </cell>
          <cell r="BQ194">
            <v>544999.30000000005</v>
          </cell>
          <cell r="BR194">
            <v>342877.8</v>
          </cell>
          <cell r="BS194">
            <v>29635.5</v>
          </cell>
          <cell r="BT194">
            <v>172486</v>
          </cell>
          <cell r="BU194">
            <v>718323</v>
          </cell>
          <cell r="BV194">
            <v>145495.6</v>
          </cell>
          <cell r="BW194">
            <v>521870.9</v>
          </cell>
          <cell r="BX194">
            <v>262880.90000000002</v>
          </cell>
          <cell r="BY194">
            <v>166065</v>
          </cell>
          <cell r="BZ194">
            <v>69025.399999999994</v>
          </cell>
          <cell r="CA194">
            <v>10</v>
          </cell>
          <cell r="CD194">
            <v>158</v>
          </cell>
          <cell r="CF194">
            <v>39126.6875</v>
          </cell>
          <cell r="CJ194">
            <v>8.5</v>
          </cell>
          <cell r="CK194">
            <v>14.75</v>
          </cell>
          <cell r="CL194">
            <v>5.5</v>
          </cell>
          <cell r="CM194">
            <v>18</v>
          </cell>
          <cell r="CN194">
            <v>11.5</v>
          </cell>
          <cell r="CO194">
            <v>18</v>
          </cell>
          <cell r="CP194">
            <v>12</v>
          </cell>
          <cell r="CQ194">
            <v>25.5</v>
          </cell>
          <cell r="CR194">
            <v>3.5</v>
          </cell>
          <cell r="CS194">
            <v>18</v>
          </cell>
          <cell r="CT194">
            <v>27</v>
          </cell>
          <cell r="CU194">
            <v>10</v>
          </cell>
          <cell r="CV194">
            <v>10</v>
          </cell>
          <cell r="CY194">
            <v>158</v>
          </cell>
        </row>
        <row r="195">
          <cell r="A195">
            <v>39157.125</v>
          </cell>
          <cell r="B195">
            <v>111.59133499532565</v>
          </cell>
          <cell r="C195">
            <v>131.73493989071036</v>
          </cell>
          <cell r="D195">
            <v>123.04232755905511</v>
          </cell>
          <cell r="E195">
            <v>119.88990380952382</v>
          </cell>
          <cell r="F195">
            <v>108.22722822822821</v>
          </cell>
          <cell r="G195">
            <v>108.92524343675419</v>
          </cell>
          <cell r="H195">
            <v>141.13568143866411</v>
          </cell>
          <cell r="I195">
            <v>159.80338596491228</v>
          </cell>
          <cell r="J195">
            <v>107.17337398373985</v>
          </cell>
          <cell r="K195">
            <v>149.13300000000001</v>
          </cell>
          <cell r="L195">
            <v>149.90795481927711</v>
          </cell>
          <cell r="M195">
            <v>115.74647597254005</v>
          </cell>
          <cell r="N195">
            <v>123.06100000000001</v>
          </cell>
          <cell r="R195">
            <v>159</v>
          </cell>
          <cell r="T195">
            <v>39157.125</v>
          </cell>
          <cell r="AN195">
            <v>0</v>
          </cell>
          <cell r="AP195">
            <v>39157.125</v>
          </cell>
          <cell r="AQ195">
            <v>495.4</v>
          </cell>
          <cell r="AR195">
            <v>60.6</v>
          </cell>
          <cell r="AS195">
            <v>1.288</v>
          </cell>
          <cell r="AT195">
            <v>23.1</v>
          </cell>
          <cell r="AU195">
            <v>0.67749999999999999</v>
          </cell>
          <cell r="AV195">
            <v>30.021239999999999</v>
          </cell>
          <cell r="AW195">
            <v>0.63807519999999995</v>
          </cell>
          <cell r="AX195">
            <v>11.44374</v>
          </cell>
          <cell r="AY195">
            <v>335.63349999999997</v>
          </cell>
          <cell r="AZ195">
            <v>10</v>
          </cell>
          <cell r="BA195">
            <v>10</v>
          </cell>
          <cell r="BB195">
            <v>10</v>
          </cell>
          <cell r="BC195">
            <v>10</v>
          </cell>
          <cell r="BD195">
            <v>10</v>
          </cell>
          <cell r="BE195">
            <v>10</v>
          </cell>
          <cell r="BF195">
            <v>2.1254125412541253E-2</v>
          </cell>
          <cell r="BI195">
            <v>159</v>
          </cell>
          <cell r="BK195">
            <v>39157.125</v>
          </cell>
          <cell r="BL195">
            <v>383946.7</v>
          </cell>
          <cell r="BM195">
            <v>350337.7</v>
          </cell>
          <cell r="BN195">
            <v>33609</v>
          </cell>
          <cell r="BO195">
            <v>443666.3</v>
          </cell>
          <cell r="BP195">
            <v>-106903</v>
          </cell>
          <cell r="BQ195">
            <v>550569.30000000005</v>
          </cell>
          <cell r="BR195">
            <v>332041.7</v>
          </cell>
          <cell r="BS195">
            <v>46931.6</v>
          </cell>
          <cell r="BT195">
            <v>171596</v>
          </cell>
          <cell r="BU195">
            <v>760082.2</v>
          </cell>
          <cell r="BV195">
            <v>189407.2</v>
          </cell>
          <cell r="BW195">
            <v>519012.7</v>
          </cell>
          <cell r="BX195">
            <v>255563.7</v>
          </cell>
          <cell r="BY195">
            <v>168937</v>
          </cell>
          <cell r="BZ195">
            <v>67530.79999999993</v>
          </cell>
          <cell r="CA195">
            <v>10</v>
          </cell>
          <cell r="CD195">
            <v>159</v>
          </cell>
          <cell r="CF195">
            <v>39157.125</v>
          </cell>
          <cell r="CJ195">
            <v>8.5</v>
          </cell>
          <cell r="CK195">
            <v>14.75</v>
          </cell>
          <cell r="CL195">
            <v>5.5</v>
          </cell>
          <cell r="CM195">
            <v>18</v>
          </cell>
          <cell r="CN195">
            <v>11.5</v>
          </cell>
          <cell r="CO195">
            <v>18</v>
          </cell>
          <cell r="CP195">
            <v>12</v>
          </cell>
          <cell r="CQ195">
            <v>25.5</v>
          </cell>
          <cell r="CR195">
            <v>3.5</v>
          </cell>
          <cell r="CS195">
            <v>18</v>
          </cell>
          <cell r="CT195">
            <v>27</v>
          </cell>
          <cell r="CU195">
            <v>10</v>
          </cell>
          <cell r="CV195">
            <v>10</v>
          </cell>
          <cell r="CY195">
            <v>159</v>
          </cell>
        </row>
        <row r="196">
          <cell r="A196">
            <v>39187.5625</v>
          </cell>
          <cell r="B196">
            <v>112.83820380180747</v>
          </cell>
          <cell r="C196">
            <v>133.98985792349728</v>
          </cell>
          <cell r="D196">
            <v>123.04232755905511</v>
          </cell>
          <cell r="E196">
            <v>118.64614857142858</v>
          </cell>
          <cell r="F196">
            <v>108.22722822822821</v>
          </cell>
          <cell r="G196">
            <v>108.92524343675419</v>
          </cell>
          <cell r="H196">
            <v>142.79795504174697</v>
          </cell>
          <cell r="I196">
            <v>159.80338596491228</v>
          </cell>
          <cell r="J196">
            <v>107.17337398373985</v>
          </cell>
          <cell r="K196">
            <v>149.13300000000001</v>
          </cell>
          <cell r="L196">
            <v>148.77609236947791</v>
          </cell>
          <cell r="M196">
            <v>115.74647597254005</v>
          </cell>
          <cell r="N196">
            <v>123.518</v>
          </cell>
          <cell r="R196">
            <v>160</v>
          </cell>
          <cell r="T196">
            <v>39187.5625</v>
          </cell>
          <cell r="AN196">
            <v>0</v>
          </cell>
          <cell r="AP196">
            <v>39187.5625</v>
          </cell>
          <cell r="AQ196">
            <v>485.3</v>
          </cell>
          <cell r="AR196">
            <v>65.06</v>
          </cell>
          <cell r="AS196">
            <v>1.2609999999999999</v>
          </cell>
          <cell r="AT196">
            <v>23.96</v>
          </cell>
          <cell r="AU196">
            <v>0.67749999999999999</v>
          </cell>
          <cell r="AV196">
            <v>31.573618000000003</v>
          </cell>
          <cell r="AW196">
            <v>0.61196329999999999</v>
          </cell>
          <cell r="AX196">
            <v>11.627788000000001</v>
          </cell>
          <cell r="AY196">
            <v>328.79075</v>
          </cell>
          <cell r="AZ196">
            <v>10</v>
          </cell>
          <cell r="BA196">
            <v>10</v>
          </cell>
          <cell r="BB196">
            <v>10</v>
          </cell>
          <cell r="BC196">
            <v>10</v>
          </cell>
          <cell r="BD196">
            <v>10</v>
          </cell>
          <cell r="BE196">
            <v>10</v>
          </cell>
          <cell r="BF196">
            <v>1.9382108822625265E-2</v>
          </cell>
          <cell r="BI196">
            <v>160</v>
          </cell>
          <cell r="BK196">
            <v>39187.5625</v>
          </cell>
          <cell r="BL196">
            <v>428516.4</v>
          </cell>
          <cell r="BM196">
            <v>392139.4</v>
          </cell>
          <cell r="BN196">
            <v>36377</v>
          </cell>
          <cell r="BO196">
            <v>436355.9</v>
          </cell>
          <cell r="BP196">
            <v>-110337.8</v>
          </cell>
          <cell r="BQ196">
            <v>546693.69999999995</v>
          </cell>
          <cell r="BR196">
            <v>307988.2</v>
          </cell>
          <cell r="BS196">
            <v>64191.5</v>
          </cell>
          <cell r="BT196">
            <v>174514</v>
          </cell>
          <cell r="BU196">
            <v>800667.9</v>
          </cell>
          <cell r="BV196">
            <v>197713.4</v>
          </cell>
          <cell r="BW196">
            <v>550738.9</v>
          </cell>
          <cell r="BX196">
            <v>281255.90000000002</v>
          </cell>
          <cell r="BY196">
            <v>173419</v>
          </cell>
          <cell r="BZ196">
            <v>64204.399999999907</v>
          </cell>
          <cell r="CA196">
            <v>10</v>
          </cell>
          <cell r="CD196">
            <v>160</v>
          </cell>
          <cell r="CF196">
            <v>39187.5625</v>
          </cell>
          <cell r="CJ196">
            <v>8.5</v>
          </cell>
          <cell r="CK196">
            <v>14.75</v>
          </cell>
          <cell r="CL196">
            <v>5.5</v>
          </cell>
          <cell r="CM196">
            <v>18</v>
          </cell>
          <cell r="CN196">
            <v>11.5</v>
          </cell>
          <cell r="CO196">
            <v>18</v>
          </cell>
          <cell r="CP196">
            <v>12</v>
          </cell>
          <cell r="CQ196">
            <v>25.5</v>
          </cell>
          <cell r="CR196">
            <v>3.5</v>
          </cell>
          <cell r="CS196">
            <v>18</v>
          </cell>
          <cell r="CT196">
            <v>27</v>
          </cell>
          <cell r="CU196">
            <v>10</v>
          </cell>
          <cell r="CV196">
            <v>10</v>
          </cell>
          <cell r="CY196">
            <v>160</v>
          </cell>
        </row>
        <row r="197">
          <cell r="A197">
            <v>39218</v>
          </cell>
          <cell r="B197">
            <v>117.57624181988156</v>
          </cell>
          <cell r="C197">
            <v>133.04750819672131</v>
          </cell>
          <cell r="D197">
            <v>123.04232755905511</v>
          </cell>
          <cell r="E197">
            <v>120.61965238095237</v>
          </cell>
          <cell r="F197">
            <v>108.22722822822821</v>
          </cell>
          <cell r="G197">
            <v>108.92524343675419</v>
          </cell>
          <cell r="H197">
            <v>143.2455850995504</v>
          </cell>
          <cell r="I197">
            <v>159.80338596491228</v>
          </cell>
          <cell r="J197">
            <v>107.17337398373985</v>
          </cell>
          <cell r="K197">
            <v>149.13300000000001</v>
          </cell>
          <cell r="L197">
            <v>148.53333634538154</v>
          </cell>
          <cell r="M197">
            <v>115.74647597254005</v>
          </cell>
          <cell r="N197">
            <v>125.274</v>
          </cell>
          <cell r="R197">
            <v>161</v>
          </cell>
          <cell r="T197">
            <v>39218</v>
          </cell>
          <cell r="AN197">
            <v>0</v>
          </cell>
          <cell r="AP197">
            <v>39218</v>
          </cell>
          <cell r="AQ197">
            <v>485.5</v>
          </cell>
          <cell r="AR197">
            <v>65.16</v>
          </cell>
          <cell r="AS197">
            <v>1.2250000000000001</v>
          </cell>
          <cell r="AT197">
            <v>23.54</v>
          </cell>
          <cell r="AU197">
            <v>0.67749999999999999</v>
          </cell>
          <cell r="AV197">
            <v>31.635179999999998</v>
          </cell>
          <cell r="AW197">
            <v>0.59473750000000003</v>
          </cell>
          <cell r="AX197">
            <v>11.42867</v>
          </cell>
          <cell r="AY197">
            <v>328.92624999999998</v>
          </cell>
          <cell r="AZ197">
            <v>10</v>
          </cell>
          <cell r="BA197">
            <v>10</v>
          </cell>
          <cell r="BB197">
            <v>10</v>
          </cell>
          <cell r="BC197">
            <v>10</v>
          </cell>
          <cell r="BD197">
            <v>10</v>
          </cell>
          <cell r="BE197">
            <v>10</v>
          </cell>
          <cell r="BF197">
            <v>1.879987722529159E-2</v>
          </cell>
          <cell r="BI197">
            <v>161</v>
          </cell>
          <cell r="BK197">
            <v>39218</v>
          </cell>
          <cell r="BL197">
            <v>421790.8</v>
          </cell>
          <cell r="BM197">
            <v>382775.8</v>
          </cell>
          <cell r="BN197">
            <v>39015</v>
          </cell>
          <cell r="BO197">
            <v>409475.2</v>
          </cell>
          <cell r="BP197">
            <v>-115577.1</v>
          </cell>
          <cell r="BQ197">
            <v>525052.30000000005</v>
          </cell>
          <cell r="BR197">
            <v>283878.3</v>
          </cell>
          <cell r="BS197">
            <v>61850</v>
          </cell>
          <cell r="BT197">
            <v>179324</v>
          </cell>
          <cell r="BU197">
            <v>789116.5</v>
          </cell>
          <cell r="BV197">
            <v>202885.6</v>
          </cell>
          <cell r="BW197">
            <v>532744.5</v>
          </cell>
          <cell r="BX197">
            <v>256335.5</v>
          </cell>
          <cell r="BY197">
            <v>178154</v>
          </cell>
          <cell r="BZ197">
            <v>42149.5</v>
          </cell>
          <cell r="CA197">
            <v>10</v>
          </cell>
          <cell r="CD197">
            <v>161</v>
          </cell>
          <cell r="CF197">
            <v>39218</v>
          </cell>
          <cell r="CJ197">
            <v>8.5</v>
          </cell>
          <cell r="CK197">
            <v>14.75</v>
          </cell>
          <cell r="CL197">
            <v>5.5</v>
          </cell>
          <cell r="CM197">
            <v>18</v>
          </cell>
          <cell r="CN197">
            <v>11.5</v>
          </cell>
          <cell r="CO197">
            <v>18</v>
          </cell>
          <cell r="CP197">
            <v>12</v>
          </cell>
          <cell r="CQ197">
            <v>25.5</v>
          </cell>
          <cell r="CR197">
            <v>3.5</v>
          </cell>
          <cell r="CS197">
            <v>18</v>
          </cell>
          <cell r="CT197">
            <v>27</v>
          </cell>
          <cell r="CU197">
            <v>10</v>
          </cell>
          <cell r="CV197">
            <v>10</v>
          </cell>
          <cell r="CY197">
            <v>161</v>
          </cell>
        </row>
        <row r="198">
          <cell r="A198">
            <v>39248.4375</v>
          </cell>
          <cell r="B198">
            <v>120.6907304456217</v>
          </cell>
          <cell r="C198">
            <v>132.11813661202186</v>
          </cell>
          <cell r="D198">
            <v>123.04232755905511</v>
          </cell>
          <cell r="E198">
            <v>119.20350190476191</v>
          </cell>
          <cell r="F198">
            <v>108.22722822822821</v>
          </cell>
          <cell r="G198">
            <v>108.92524343675419</v>
          </cell>
          <cell r="H198">
            <v>143.73645215157356</v>
          </cell>
          <cell r="I198">
            <v>159.80338596491228</v>
          </cell>
          <cell r="J198">
            <v>107.0954918699187</v>
          </cell>
          <cell r="K198">
            <v>149.13300000000001</v>
          </cell>
          <cell r="L198">
            <v>149.46639859437749</v>
          </cell>
          <cell r="M198">
            <v>115.74647597254005</v>
          </cell>
          <cell r="N198">
            <v>126.274</v>
          </cell>
          <cell r="R198">
            <v>162</v>
          </cell>
          <cell r="T198">
            <v>39248.4375</v>
          </cell>
          <cell r="AN198">
            <v>0</v>
          </cell>
          <cell r="AP198">
            <v>39248.4375</v>
          </cell>
          <cell r="AQ198">
            <v>488.9</v>
          </cell>
          <cell r="AR198">
            <v>68.19</v>
          </cell>
          <cell r="AS198">
            <v>1.3320000000000001</v>
          </cell>
          <cell r="AT198">
            <v>23.13</v>
          </cell>
          <cell r="AU198">
            <v>0.67749999999999999</v>
          </cell>
          <cell r="AV198">
            <v>33.338090999999999</v>
          </cell>
          <cell r="AW198">
            <v>0.65121479999999998</v>
          </cell>
          <cell r="AX198">
            <v>11.308256999999999</v>
          </cell>
          <cell r="AY198">
            <v>331.22974999999997</v>
          </cell>
          <cell r="AZ198">
            <v>10</v>
          </cell>
          <cell r="BA198">
            <v>10</v>
          </cell>
          <cell r="BB198">
            <v>10</v>
          </cell>
          <cell r="BC198">
            <v>10</v>
          </cell>
          <cell r="BD198">
            <v>10</v>
          </cell>
          <cell r="BE198">
            <v>10</v>
          </cell>
          <cell r="BF198">
            <v>1.9533655961284646E-2</v>
          </cell>
          <cell r="BI198">
            <v>162</v>
          </cell>
          <cell r="BK198">
            <v>39248.4375</v>
          </cell>
          <cell r="BL198">
            <v>432265.9</v>
          </cell>
          <cell r="BM198">
            <v>392099.9</v>
          </cell>
          <cell r="BN198">
            <v>40166</v>
          </cell>
          <cell r="BO198">
            <v>388820.4</v>
          </cell>
          <cell r="BP198">
            <v>-133950.29999999999</v>
          </cell>
          <cell r="BQ198">
            <v>522770.7</v>
          </cell>
          <cell r="BR198">
            <v>289858.8</v>
          </cell>
          <cell r="BS198">
            <v>52035.9</v>
          </cell>
          <cell r="BT198">
            <v>180876</v>
          </cell>
          <cell r="BU198">
            <v>783276.1</v>
          </cell>
          <cell r="BV198">
            <v>196459.1</v>
          </cell>
          <cell r="BW198">
            <v>533769.6</v>
          </cell>
          <cell r="BX198">
            <v>242835.6</v>
          </cell>
          <cell r="BY198">
            <v>189192</v>
          </cell>
          <cell r="BZ198">
            <v>37810.20000000007</v>
          </cell>
          <cell r="CA198">
            <v>10</v>
          </cell>
          <cell r="CD198">
            <v>162</v>
          </cell>
          <cell r="CF198">
            <v>39248.4375</v>
          </cell>
          <cell r="CJ198">
            <v>8.5</v>
          </cell>
          <cell r="CK198">
            <v>14.75</v>
          </cell>
          <cell r="CL198">
            <v>5.5</v>
          </cell>
          <cell r="CM198">
            <v>18</v>
          </cell>
          <cell r="CN198">
            <v>11.5</v>
          </cell>
          <cell r="CO198">
            <v>18</v>
          </cell>
          <cell r="CP198">
            <v>12</v>
          </cell>
          <cell r="CQ198">
            <v>25.5</v>
          </cell>
          <cell r="CR198">
            <v>3.5</v>
          </cell>
          <cell r="CS198">
            <v>18</v>
          </cell>
          <cell r="CT198">
            <v>27</v>
          </cell>
          <cell r="CU198">
            <v>10</v>
          </cell>
          <cell r="CV198">
            <v>10</v>
          </cell>
          <cell r="CY198">
            <v>162</v>
          </cell>
        </row>
        <row r="199">
          <cell r="A199">
            <v>39278.875</v>
          </cell>
          <cell r="B199">
            <v>122.45042536615767</v>
          </cell>
          <cell r="C199">
            <v>131.92305464480876</v>
          </cell>
          <cell r="D199">
            <v>123.04232755905511</v>
          </cell>
          <cell r="E199">
            <v>118.61569714285713</v>
          </cell>
          <cell r="F199">
            <v>108.22722822822821</v>
          </cell>
          <cell r="G199">
            <v>108.92524343675419</v>
          </cell>
          <cell r="H199">
            <v>150.5526371226718</v>
          </cell>
          <cell r="I199">
            <v>159.80338596491228</v>
          </cell>
          <cell r="J199">
            <v>107.0954918699187</v>
          </cell>
          <cell r="K199">
            <v>149.13300000000001</v>
          </cell>
          <cell r="L199">
            <v>149.13772891566265</v>
          </cell>
          <cell r="M199">
            <v>115.74647597254005</v>
          </cell>
          <cell r="N199">
            <v>127.80200000000001</v>
          </cell>
          <cell r="R199">
            <v>163</v>
          </cell>
          <cell r="T199">
            <v>39278.875</v>
          </cell>
          <cell r="AN199">
            <v>0</v>
          </cell>
          <cell r="AP199">
            <v>39278.875</v>
          </cell>
          <cell r="AQ199">
            <v>478.3</v>
          </cell>
          <cell r="AR199">
            <v>73.599999999999994</v>
          </cell>
          <cell r="AS199">
            <v>1.4950000000000001</v>
          </cell>
          <cell r="AT199">
            <v>23.47</v>
          </cell>
          <cell r="AU199">
            <v>0.67749999999999999</v>
          </cell>
          <cell r="AV199">
            <v>35.20288</v>
          </cell>
          <cell r="AW199">
            <v>0.71505850000000004</v>
          </cell>
          <cell r="AX199">
            <v>11.225700999999999</v>
          </cell>
          <cell r="AY199">
            <v>324.04825</v>
          </cell>
          <cell r="AZ199">
            <v>10</v>
          </cell>
          <cell r="BA199">
            <v>10</v>
          </cell>
          <cell r="BB199">
            <v>10</v>
          </cell>
          <cell r="BC199">
            <v>10</v>
          </cell>
          <cell r="BD199">
            <v>10</v>
          </cell>
          <cell r="BE199">
            <v>10</v>
          </cell>
          <cell r="BF199">
            <v>2.0312500000000001E-2</v>
          </cell>
          <cell r="BI199">
            <v>163</v>
          </cell>
          <cell r="BK199">
            <v>39278.875</v>
          </cell>
          <cell r="BL199">
            <v>438371.6</v>
          </cell>
          <cell r="BM199">
            <v>403347.6</v>
          </cell>
          <cell r="BN199">
            <v>35024</v>
          </cell>
          <cell r="BO199">
            <v>382915.5</v>
          </cell>
          <cell r="BP199">
            <v>-141825</v>
          </cell>
          <cell r="BQ199">
            <v>524740.5</v>
          </cell>
          <cell r="BR199">
            <v>293647.65000000002</v>
          </cell>
          <cell r="BS199">
            <v>48400.02</v>
          </cell>
          <cell r="BT199">
            <v>182692.83</v>
          </cell>
          <cell r="BU199">
            <v>785037.1</v>
          </cell>
          <cell r="BV199">
            <v>195334.6</v>
          </cell>
          <cell r="BW199">
            <v>535407.9</v>
          </cell>
          <cell r="BX199">
            <v>240087.9</v>
          </cell>
          <cell r="BY199">
            <v>191528</v>
          </cell>
          <cell r="BZ199">
            <v>36250.000000000116</v>
          </cell>
          <cell r="CA199">
            <v>10</v>
          </cell>
          <cell r="CD199">
            <v>163</v>
          </cell>
          <cell r="CF199">
            <v>39278.875</v>
          </cell>
          <cell r="CJ199">
            <v>8.5</v>
          </cell>
          <cell r="CK199">
            <v>14.75</v>
          </cell>
          <cell r="CL199">
            <v>5.5</v>
          </cell>
          <cell r="CM199">
            <v>18</v>
          </cell>
          <cell r="CN199">
            <v>11.5</v>
          </cell>
          <cell r="CO199">
            <v>18</v>
          </cell>
          <cell r="CP199">
            <v>12</v>
          </cell>
          <cell r="CQ199">
            <v>25.5</v>
          </cell>
          <cell r="CR199">
            <v>3.5</v>
          </cell>
          <cell r="CS199">
            <v>18</v>
          </cell>
          <cell r="CT199">
            <v>27</v>
          </cell>
          <cell r="CU199">
            <v>10</v>
          </cell>
          <cell r="CV199">
            <v>10</v>
          </cell>
          <cell r="CY199">
            <v>163</v>
          </cell>
        </row>
        <row r="200">
          <cell r="A200">
            <v>39309.3125</v>
          </cell>
          <cell r="B200">
            <v>120.76037893424744</v>
          </cell>
          <cell r="C200">
            <v>131.6397213114754</v>
          </cell>
          <cell r="D200">
            <v>123.04232755905511</v>
          </cell>
          <cell r="E200">
            <v>119.24437523809523</v>
          </cell>
          <cell r="F200">
            <v>108.22722822822821</v>
          </cell>
          <cell r="G200">
            <v>108.92524343675419</v>
          </cell>
          <cell r="H200">
            <v>148.0754116891458</v>
          </cell>
          <cell r="I200">
            <v>159.80338596491228</v>
          </cell>
          <cell r="J200">
            <v>107.0954918699187</v>
          </cell>
          <cell r="K200">
            <v>149.13300000000001</v>
          </cell>
          <cell r="L200">
            <v>149.34751807228915</v>
          </cell>
          <cell r="M200">
            <v>115.74647597254005</v>
          </cell>
          <cell r="N200">
            <v>126.955</v>
          </cell>
          <cell r="R200">
            <v>164</v>
          </cell>
          <cell r="T200">
            <v>39309.3125</v>
          </cell>
          <cell r="AN200">
            <v>0</v>
          </cell>
          <cell r="AP200">
            <v>39309.3125</v>
          </cell>
          <cell r="AQ200">
            <v>481</v>
          </cell>
          <cell r="AR200">
            <v>70.13</v>
          </cell>
          <cell r="AS200">
            <v>1.43</v>
          </cell>
          <cell r="AT200">
            <v>23.5</v>
          </cell>
          <cell r="AU200">
            <v>0.67749999999999999</v>
          </cell>
          <cell r="AV200">
            <v>33.732529999999997</v>
          </cell>
          <cell r="AW200">
            <v>0.68782999999999994</v>
          </cell>
          <cell r="AX200">
            <v>11.3035</v>
          </cell>
          <cell r="AY200">
            <v>325.8775</v>
          </cell>
          <cell r="AZ200">
            <v>10</v>
          </cell>
          <cell r="BA200">
            <v>10</v>
          </cell>
          <cell r="BB200">
            <v>10</v>
          </cell>
          <cell r="BC200">
            <v>10</v>
          </cell>
          <cell r="BD200">
            <v>10</v>
          </cell>
          <cell r="BE200">
            <v>10</v>
          </cell>
          <cell r="BF200">
            <v>2.0390702980179667E-2</v>
          </cell>
          <cell r="BI200">
            <v>164</v>
          </cell>
          <cell r="BK200">
            <v>39309.3125</v>
          </cell>
          <cell r="BL200">
            <v>420640.2</v>
          </cell>
          <cell r="BM200">
            <v>397325.2</v>
          </cell>
          <cell r="BN200">
            <v>23315</v>
          </cell>
          <cell r="BO200">
            <v>418598.1</v>
          </cell>
          <cell r="BP200">
            <v>-114041.7</v>
          </cell>
          <cell r="BQ200">
            <v>532639.80000000005</v>
          </cell>
          <cell r="BR200">
            <v>259480.8</v>
          </cell>
          <cell r="BS200">
            <v>42148</v>
          </cell>
          <cell r="BT200">
            <v>231011</v>
          </cell>
          <cell r="BU200">
            <v>803645.8</v>
          </cell>
          <cell r="BV200">
            <v>198569.4</v>
          </cell>
          <cell r="BW200">
            <v>551377.19999999995</v>
          </cell>
          <cell r="BX200">
            <v>243450.2</v>
          </cell>
          <cell r="BY200">
            <v>204504</v>
          </cell>
          <cell r="BZ200">
            <v>35592.500000000116</v>
          </cell>
          <cell r="CA200">
            <v>10</v>
          </cell>
          <cell r="CD200">
            <v>164</v>
          </cell>
          <cell r="CF200">
            <v>39309.3125</v>
          </cell>
          <cell r="CJ200">
            <v>8.5</v>
          </cell>
          <cell r="CK200">
            <v>14.75</v>
          </cell>
          <cell r="CL200">
            <v>5.5</v>
          </cell>
          <cell r="CM200">
            <v>18</v>
          </cell>
          <cell r="CN200">
            <v>11.5</v>
          </cell>
          <cell r="CO200">
            <v>18</v>
          </cell>
          <cell r="CP200">
            <v>12</v>
          </cell>
          <cell r="CQ200">
            <v>25.5</v>
          </cell>
          <cell r="CR200">
            <v>3.5</v>
          </cell>
          <cell r="CS200">
            <v>18</v>
          </cell>
          <cell r="CT200">
            <v>27</v>
          </cell>
          <cell r="CU200">
            <v>10</v>
          </cell>
          <cell r="CV200">
            <v>10</v>
          </cell>
          <cell r="CY200">
            <v>164</v>
          </cell>
        </row>
        <row r="201">
          <cell r="A201">
            <v>39339.75</v>
          </cell>
          <cell r="B201">
            <v>122.50086350888128</v>
          </cell>
          <cell r="C201">
            <v>132.63084153005465</v>
          </cell>
          <cell r="D201">
            <v>123.04232755905511</v>
          </cell>
          <cell r="E201">
            <v>118.51904190476189</v>
          </cell>
          <cell r="F201">
            <v>108.59014414414413</v>
          </cell>
          <cell r="G201">
            <v>108.78773031026253</v>
          </cell>
          <cell r="H201">
            <v>148.10870648683365</v>
          </cell>
          <cell r="I201">
            <v>159.80338596491228</v>
          </cell>
          <cell r="J201">
            <v>107.0954918699187</v>
          </cell>
          <cell r="K201">
            <v>149.13300000000001</v>
          </cell>
          <cell r="L201">
            <v>149.77808534136545</v>
          </cell>
          <cell r="M201">
            <v>115.74955148741419</v>
          </cell>
          <cell r="N201">
            <v>127.52200000000001</v>
          </cell>
          <cell r="R201">
            <v>165</v>
          </cell>
          <cell r="T201">
            <v>39339.75</v>
          </cell>
          <cell r="AN201">
            <v>0</v>
          </cell>
          <cell r="AP201">
            <v>39339.75</v>
          </cell>
          <cell r="AQ201">
            <v>473</v>
          </cell>
          <cell r="AR201">
            <v>76.5</v>
          </cell>
          <cell r="AS201">
            <v>1.51</v>
          </cell>
          <cell r="AT201">
            <v>25.1</v>
          </cell>
          <cell r="AU201">
            <v>0.67749999999999999</v>
          </cell>
          <cell r="AV201">
            <v>36.1845</v>
          </cell>
          <cell r="AW201">
            <v>0.71423000000000003</v>
          </cell>
          <cell r="AX201">
            <v>11.872300000000001</v>
          </cell>
          <cell r="AY201">
            <v>320.45749999999998</v>
          </cell>
          <cell r="AZ201">
            <v>10</v>
          </cell>
          <cell r="BA201">
            <v>10</v>
          </cell>
          <cell r="BB201">
            <v>10</v>
          </cell>
          <cell r="BC201">
            <v>10</v>
          </cell>
          <cell r="BD201">
            <v>10</v>
          </cell>
          <cell r="BE201">
            <v>10</v>
          </cell>
          <cell r="BF201">
            <v>1.9738562091503268E-2</v>
          </cell>
          <cell r="BI201">
            <v>165</v>
          </cell>
          <cell r="BK201">
            <v>39339.75</v>
          </cell>
          <cell r="BL201">
            <v>458293.2</v>
          </cell>
          <cell r="BM201">
            <v>431894.2</v>
          </cell>
          <cell r="BN201">
            <v>26399</v>
          </cell>
          <cell r="BO201">
            <v>393859.68199999997</v>
          </cell>
          <cell r="BP201">
            <v>-142349.31800000003</v>
          </cell>
          <cell r="BQ201">
            <v>536209</v>
          </cell>
          <cell r="BR201">
            <v>270987.09999999998</v>
          </cell>
          <cell r="BS201">
            <v>33221</v>
          </cell>
          <cell r="BT201">
            <v>232000.9</v>
          </cell>
          <cell r="BU201">
            <v>817101.98199999996</v>
          </cell>
          <cell r="BV201">
            <v>209143.8</v>
          </cell>
          <cell r="BW201">
            <v>555116.9</v>
          </cell>
          <cell r="BX201">
            <v>249173.9</v>
          </cell>
          <cell r="BY201">
            <v>204516</v>
          </cell>
          <cell r="BZ201">
            <v>35050.9</v>
          </cell>
          <cell r="CA201">
            <v>10</v>
          </cell>
          <cell r="CD201">
            <v>165</v>
          </cell>
          <cell r="CF201">
            <v>39339.75</v>
          </cell>
          <cell r="CJ201">
            <v>8.5</v>
          </cell>
          <cell r="CK201">
            <v>14.75</v>
          </cell>
          <cell r="CL201">
            <v>5.5</v>
          </cell>
          <cell r="CM201">
            <v>18</v>
          </cell>
          <cell r="CN201">
            <v>11.5</v>
          </cell>
          <cell r="CO201">
            <v>18</v>
          </cell>
          <cell r="CP201">
            <v>12</v>
          </cell>
          <cell r="CQ201">
            <v>25.5</v>
          </cell>
          <cell r="CR201">
            <v>3.5</v>
          </cell>
          <cell r="CS201">
            <v>18</v>
          </cell>
          <cell r="CT201">
            <v>27</v>
          </cell>
          <cell r="CU201">
            <v>10</v>
          </cell>
          <cell r="CV201">
            <v>10</v>
          </cell>
          <cell r="CY201">
            <v>165</v>
          </cell>
        </row>
        <row r="202">
          <cell r="A202">
            <v>39370.1875</v>
          </cell>
          <cell r="B202">
            <v>125.85024774072922</v>
          </cell>
          <cell r="C202">
            <v>134.64545901639346</v>
          </cell>
          <cell r="D202">
            <v>123.04232755905511</v>
          </cell>
          <cell r="E202">
            <v>122.30608952380952</v>
          </cell>
          <cell r="F202">
            <v>108.59014414414413</v>
          </cell>
          <cell r="G202">
            <v>108.78773031026253</v>
          </cell>
          <cell r="H202">
            <v>148.10870648683365</v>
          </cell>
          <cell r="I202">
            <v>159.80338596491228</v>
          </cell>
          <cell r="J202">
            <v>107.0999105691057</v>
          </cell>
          <cell r="K202">
            <v>149.87899999999999</v>
          </cell>
          <cell r="L202">
            <v>149.63223192771082</v>
          </cell>
          <cell r="M202">
            <v>115.74955148741419</v>
          </cell>
          <cell r="N202">
            <v>129.035</v>
          </cell>
          <cell r="R202">
            <v>166</v>
          </cell>
          <cell r="T202">
            <v>39370.1875</v>
          </cell>
          <cell r="AN202">
            <v>0</v>
          </cell>
          <cell r="AP202">
            <v>39370.1875</v>
          </cell>
          <cell r="AQ202">
            <v>461.1</v>
          </cell>
          <cell r="AR202">
            <v>81.97</v>
          </cell>
          <cell r="AS202">
            <v>1.5189999999999999</v>
          </cell>
          <cell r="AT202">
            <v>26.62</v>
          </cell>
          <cell r="AU202">
            <v>0.67749999999999999</v>
          </cell>
          <cell r="AV202">
            <v>37.796366999999996</v>
          </cell>
          <cell r="AW202">
            <v>0.70041089999999995</v>
          </cell>
          <cell r="AX202">
            <v>12.274482000000003</v>
          </cell>
          <cell r="AY202">
            <v>312.39525000000003</v>
          </cell>
          <cell r="AZ202">
            <v>10</v>
          </cell>
          <cell r="BA202">
            <v>10</v>
          </cell>
          <cell r="BB202">
            <v>10</v>
          </cell>
          <cell r="BC202">
            <v>10</v>
          </cell>
          <cell r="BD202">
            <v>10</v>
          </cell>
          <cell r="BE202">
            <v>10</v>
          </cell>
          <cell r="BF202">
            <v>1.8531169940222032E-2</v>
          </cell>
          <cell r="BI202">
            <v>166</v>
          </cell>
          <cell r="BK202">
            <v>39370.1875</v>
          </cell>
          <cell r="BL202">
            <v>427072.9</v>
          </cell>
          <cell r="BM202">
            <v>391769.9</v>
          </cell>
          <cell r="BN202">
            <v>35303</v>
          </cell>
          <cell r="BO202">
            <v>416335.2</v>
          </cell>
          <cell r="BP202">
            <v>-112091.855278</v>
          </cell>
          <cell r="BQ202">
            <v>528427.05527800007</v>
          </cell>
          <cell r="BR202">
            <v>277599.95527800004</v>
          </cell>
          <cell r="BS202">
            <v>27800</v>
          </cell>
          <cell r="BT202">
            <v>223027.1</v>
          </cell>
          <cell r="BU202">
            <v>797337.2</v>
          </cell>
          <cell r="BV202">
            <v>209776.8</v>
          </cell>
          <cell r="BW202">
            <v>534529</v>
          </cell>
          <cell r="BX202">
            <v>228764</v>
          </cell>
          <cell r="BY202">
            <v>204492</v>
          </cell>
          <cell r="BZ202">
            <v>46070.90000000014</v>
          </cell>
          <cell r="CA202">
            <v>10</v>
          </cell>
          <cell r="CD202">
            <v>166</v>
          </cell>
          <cell r="CF202">
            <v>39370.1875</v>
          </cell>
          <cell r="CJ202">
            <v>8.5</v>
          </cell>
          <cell r="CK202">
            <v>14.75</v>
          </cell>
          <cell r="CL202">
            <v>5.5</v>
          </cell>
          <cell r="CM202">
            <v>18</v>
          </cell>
          <cell r="CN202">
            <v>11.5</v>
          </cell>
          <cell r="CO202">
            <v>18</v>
          </cell>
          <cell r="CP202">
            <v>12</v>
          </cell>
          <cell r="CQ202">
            <v>25.5</v>
          </cell>
          <cell r="CR202">
            <v>3.5</v>
          </cell>
          <cell r="CS202">
            <v>18</v>
          </cell>
          <cell r="CT202">
            <v>27</v>
          </cell>
          <cell r="CU202">
            <v>10</v>
          </cell>
          <cell r="CV202">
            <v>10</v>
          </cell>
          <cell r="CY202">
            <v>166</v>
          </cell>
        </row>
        <row r="203">
          <cell r="A203">
            <v>39400.625</v>
          </cell>
          <cell r="B203">
            <v>129.1791396073543</v>
          </cell>
          <cell r="C203">
            <v>135.23985792349728</v>
          </cell>
          <cell r="D203">
            <v>123.04232755905511</v>
          </cell>
          <cell r="E203">
            <v>121.60304190476189</v>
          </cell>
          <cell r="F203">
            <v>108.59014414414413</v>
          </cell>
          <cell r="G203">
            <v>108.92524343675419</v>
          </cell>
          <cell r="H203">
            <v>148.12184714193964</v>
          </cell>
          <cell r="I203">
            <v>159.80338596491228</v>
          </cell>
          <cell r="J203">
            <v>107.0999105691057</v>
          </cell>
          <cell r="K203">
            <v>149.87899999999999</v>
          </cell>
          <cell r="L203">
            <v>150.35650401606424</v>
          </cell>
          <cell r="M203">
            <v>115.74955148741419</v>
          </cell>
          <cell r="N203">
            <v>130.12100000000001</v>
          </cell>
          <cell r="R203">
            <v>167</v>
          </cell>
          <cell r="T203">
            <v>39400.625</v>
          </cell>
          <cell r="AN203">
            <v>0</v>
          </cell>
          <cell r="AP203">
            <v>39400.625</v>
          </cell>
          <cell r="AQ203">
            <v>446.8</v>
          </cell>
          <cell r="AR203">
            <v>91.34</v>
          </cell>
          <cell r="AS203">
            <v>1.5369999999999999</v>
          </cell>
          <cell r="AT203">
            <v>28.44</v>
          </cell>
          <cell r="AU203">
            <v>0.67749999999999999</v>
          </cell>
          <cell r="AV203">
            <v>40.810712000000002</v>
          </cell>
          <cell r="AW203">
            <v>0.6867316</v>
          </cell>
          <cell r="AX203">
            <v>12.706992</v>
          </cell>
          <cell r="AY203">
            <v>302.70699999999999</v>
          </cell>
          <cell r="AZ203">
            <v>10</v>
          </cell>
          <cell r="BA203">
            <v>10</v>
          </cell>
          <cell r="BB203">
            <v>10</v>
          </cell>
          <cell r="BC203">
            <v>10</v>
          </cell>
          <cell r="BD203">
            <v>10</v>
          </cell>
          <cell r="BE203">
            <v>10</v>
          </cell>
          <cell r="BF203">
            <v>1.682723888767243E-2</v>
          </cell>
          <cell r="BI203">
            <v>167</v>
          </cell>
          <cell r="BK203">
            <v>39400.625</v>
          </cell>
          <cell r="BL203">
            <v>406537</v>
          </cell>
          <cell r="BM203">
            <v>373691</v>
          </cell>
          <cell r="BN203">
            <v>32846</v>
          </cell>
          <cell r="BO203">
            <v>441615.20399999991</v>
          </cell>
          <cell r="BP203">
            <v>-112740.44025300001</v>
          </cell>
          <cell r="BQ203">
            <v>554355.64425299992</v>
          </cell>
          <cell r="BR203">
            <v>297284.04425299994</v>
          </cell>
          <cell r="BS203">
            <v>27800</v>
          </cell>
          <cell r="BT203">
            <v>229271.6</v>
          </cell>
          <cell r="BU203">
            <v>797713.70400000014</v>
          </cell>
          <cell r="BV203">
            <v>204851.704</v>
          </cell>
          <cell r="BW203">
            <v>540368.80000000005</v>
          </cell>
          <cell r="BX203">
            <v>239539.8</v>
          </cell>
          <cell r="BY203">
            <v>200153</v>
          </cell>
          <cell r="BZ203">
            <v>50438.499999999767</v>
          </cell>
          <cell r="CA203">
            <v>10</v>
          </cell>
          <cell r="CD203">
            <v>167</v>
          </cell>
          <cell r="CF203">
            <v>39400.625</v>
          </cell>
          <cell r="CJ203">
            <v>8.5</v>
          </cell>
          <cell r="CK203">
            <v>14.75</v>
          </cell>
          <cell r="CL203">
            <v>5.5</v>
          </cell>
          <cell r="CM203">
            <v>18</v>
          </cell>
          <cell r="CN203">
            <v>11.5</v>
          </cell>
          <cell r="CO203">
            <v>18</v>
          </cell>
          <cell r="CP203">
            <v>12</v>
          </cell>
          <cell r="CQ203">
            <v>25.5</v>
          </cell>
          <cell r="CR203">
            <v>3.5</v>
          </cell>
          <cell r="CS203">
            <v>18</v>
          </cell>
          <cell r="CT203">
            <v>27</v>
          </cell>
          <cell r="CU203">
            <v>10</v>
          </cell>
          <cell r="CV203">
            <v>10</v>
          </cell>
          <cell r="CY203">
            <v>167</v>
          </cell>
        </row>
        <row r="204">
          <cell r="A204">
            <v>39431.0625</v>
          </cell>
          <cell r="B204">
            <v>121.85948457463381</v>
          </cell>
          <cell r="C204">
            <v>131.78306010928964</v>
          </cell>
          <cell r="D204">
            <v>123.04232755905511</v>
          </cell>
          <cell r="E204">
            <v>122.56342285714285</v>
          </cell>
          <cell r="F204">
            <v>112.14812162162161</v>
          </cell>
          <cell r="G204">
            <v>108.92524343675419</v>
          </cell>
          <cell r="H204">
            <v>148.10870648683365</v>
          </cell>
          <cell r="I204">
            <v>159.80338596491228</v>
          </cell>
          <cell r="J204">
            <v>107.26925609756098</v>
          </cell>
          <cell r="K204">
            <v>149.87899999999999</v>
          </cell>
          <cell r="L204">
            <v>150.87997791164656</v>
          </cell>
          <cell r="M204">
            <v>118.25961098398169</v>
          </cell>
          <cell r="N204">
            <v>128.214</v>
          </cell>
          <cell r="R204">
            <v>168</v>
          </cell>
          <cell r="T204">
            <v>39431.0625</v>
          </cell>
          <cell r="AN204">
            <v>0</v>
          </cell>
          <cell r="AP204">
            <v>39431.0625</v>
          </cell>
          <cell r="AQ204">
            <v>449.9</v>
          </cell>
          <cell r="AR204">
            <v>89.52</v>
          </cell>
          <cell r="AS204">
            <v>1.54</v>
          </cell>
          <cell r="AT204">
            <v>28.33</v>
          </cell>
          <cell r="AU204">
            <v>0.67749999999999999</v>
          </cell>
          <cell r="AV204">
            <v>40.275047999999998</v>
          </cell>
          <cell r="AW204">
            <v>0.69284599999999996</v>
          </cell>
          <cell r="AX204">
            <v>12.745666999999999</v>
          </cell>
          <cell r="AY204">
            <v>304.80724999999995</v>
          </cell>
          <cell r="AZ204">
            <v>10</v>
          </cell>
          <cell r="BA204">
            <v>10</v>
          </cell>
          <cell r="BB204">
            <v>10</v>
          </cell>
          <cell r="BC204">
            <v>10</v>
          </cell>
          <cell r="BD204">
            <v>10</v>
          </cell>
          <cell r="BE204">
            <v>10</v>
          </cell>
          <cell r="BF204">
            <v>1.7202859696157282E-2</v>
          </cell>
          <cell r="BI204">
            <v>168</v>
          </cell>
          <cell r="BK204">
            <v>39431.0625</v>
          </cell>
          <cell r="BL204">
            <v>409288.6</v>
          </cell>
          <cell r="BM204">
            <v>354964.6</v>
          </cell>
          <cell r="BN204">
            <v>54324</v>
          </cell>
          <cell r="BO204">
            <v>452972</v>
          </cell>
          <cell r="BP204">
            <v>-93658.5</v>
          </cell>
          <cell r="BQ204">
            <v>546630.5</v>
          </cell>
          <cell r="BR204">
            <v>302139.90000000002</v>
          </cell>
          <cell r="BS204">
            <v>18100</v>
          </cell>
          <cell r="BT204">
            <v>226390.6</v>
          </cell>
          <cell r="BU204">
            <v>813368.5</v>
          </cell>
          <cell r="BV204">
            <v>202444.4</v>
          </cell>
          <cell r="BW204">
            <v>557800.19999999995</v>
          </cell>
          <cell r="BX204">
            <v>262377.2</v>
          </cell>
          <cell r="BY204">
            <v>192871</v>
          </cell>
          <cell r="BZ204">
            <v>48892.1</v>
          </cell>
          <cell r="CA204">
            <v>10</v>
          </cell>
          <cell r="CD204">
            <v>168</v>
          </cell>
          <cell r="CF204">
            <v>39431.0625</v>
          </cell>
          <cell r="CJ204">
            <v>8.5</v>
          </cell>
          <cell r="CK204">
            <v>14.75</v>
          </cell>
          <cell r="CL204">
            <v>5.5</v>
          </cell>
          <cell r="CM204">
            <v>18</v>
          </cell>
          <cell r="CN204">
            <v>11.5</v>
          </cell>
          <cell r="CO204">
            <v>18</v>
          </cell>
          <cell r="CP204">
            <v>12</v>
          </cell>
          <cell r="CQ204">
            <v>25.5</v>
          </cell>
          <cell r="CR204">
            <v>3.5</v>
          </cell>
          <cell r="CS204">
            <v>18</v>
          </cell>
          <cell r="CT204">
            <v>27</v>
          </cell>
          <cell r="CU204">
            <v>10</v>
          </cell>
          <cell r="CV204">
            <v>10</v>
          </cell>
          <cell r="CY204">
            <v>168</v>
          </cell>
        </row>
        <row r="205">
          <cell r="A205">
            <v>39461.5</v>
          </cell>
          <cell r="B205">
            <v>128.35408787784357</v>
          </cell>
          <cell r="C205">
            <v>132.48674863387978</v>
          </cell>
          <cell r="D205">
            <v>125.1664535433071</v>
          </cell>
          <cell r="E205">
            <v>123.04988285714286</v>
          </cell>
          <cell r="F205">
            <v>115.90202702702703</v>
          </cell>
          <cell r="G205">
            <v>110.60657279236277</v>
          </cell>
          <cell r="H205">
            <v>150.60429415542711</v>
          </cell>
          <cell r="I205">
            <v>159.80338596491228</v>
          </cell>
          <cell r="J205">
            <v>108.90296544715447</v>
          </cell>
          <cell r="K205">
            <v>149.87899999999999</v>
          </cell>
          <cell r="L205">
            <v>152.36034236947791</v>
          </cell>
          <cell r="M205">
            <v>123.94201830663617</v>
          </cell>
          <cell r="N205">
            <v>131.68199999999999</v>
          </cell>
          <cell r="R205">
            <v>169</v>
          </cell>
          <cell r="T205">
            <v>39461.5</v>
          </cell>
          <cell r="AN205">
            <v>0</v>
          </cell>
          <cell r="AP205">
            <v>39461.5</v>
          </cell>
          <cell r="AQ205">
            <v>445.7</v>
          </cell>
          <cell r="AR205">
            <v>90.69</v>
          </cell>
          <cell r="AS205">
            <v>1.58</v>
          </cell>
          <cell r="AT205">
            <v>31.38</v>
          </cell>
          <cell r="AU205">
            <v>0.67749999999999999</v>
          </cell>
          <cell r="AV205">
            <v>40.420532999999999</v>
          </cell>
          <cell r="AW205">
            <v>0.704206</v>
          </cell>
          <cell r="AX205">
            <v>13.986065999999999</v>
          </cell>
          <cell r="AY205">
            <v>301.96174999999999</v>
          </cell>
          <cell r="AZ205">
            <v>10</v>
          </cell>
          <cell r="BA205">
            <v>10</v>
          </cell>
          <cell r="BB205">
            <v>10</v>
          </cell>
          <cell r="BC205">
            <v>10</v>
          </cell>
          <cell r="BD205">
            <v>10</v>
          </cell>
          <cell r="BE205">
            <v>10</v>
          </cell>
          <cell r="BF205">
            <v>1.742198698864263E-2</v>
          </cell>
          <cell r="BI205">
            <v>169</v>
          </cell>
          <cell r="BK205">
            <v>39461.5</v>
          </cell>
          <cell r="BL205">
            <v>387937.7</v>
          </cell>
          <cell r="BM205">
            <v>321784.7</v>
          </cell>
          <cell r="BN205">
            <v>66153</v>
          </cell>
          <cell r="BO205">
            <v>456099</v>
          </cell>
          <cell r="BP205">
            <v>-75399.5</v>
          </cell>
          <cell r="BQ205">
            <v>531498.5</v>
          </cell>
          <cell r="BR205">
            <v>301154.90000000002</v>
          </cell>
          <cell r="BS205">
            <v>14900</v>
          </cell>
          <cell r="BT205">
            <v>215443.6</v>
          </cell>
          <cell r="BU205">
            <v>796052.5</v>
          </cell>
          <cell r="BV205">
            <v>173827.4</v>
          </cell>
          <cell r="BW205">
            <v>569101.19999999995</v>
          </cell>
          <cell r="BX205">
            <v>261867.2</v>
          </cell>
          <cell r="BY205">
            <v>202702</v>
          </cell>
          <cell r="BZ205">
            <v>47984.2</v>
          </cell>
          <cell r="CA205">
            <v>10</v>
          </cell>
          <cell r="CD205">
            <v>169</v>
          </cell>
          <cell r="CF205">
            <v>39461.5</v>
          </cell>
          <cell r="CJ205">
            <v>8.5</v>
          </cell>
          <cell r="CK205">
            <v>13.19</v>
          </cell>
          <cell r="CL205">
            <v>5</v>
          </cell>
          <cell r="CM205">
            <v>16</v>
          </cell>
          <cell r="CN205">
            <v>11.5</v>
          </cell>
          <cell r="CO205">
            <v>20</v>
          </cell>
          <cell r="CP205">
            <v>12</v>
          </cell>
          <cell r="CQ205">
            <v>26.99</v>
          </cell>
          <cell r="CR205">
            <v>3.5</v>
          </cell>
          <cell r="CS205">
            <v>18</v>
          </cell>
          <cell r="CT205">
            <v>27</v>
          </cell>
          <cell r="CU205">
            <v>10</v>
          </cell>
          <cell r="CV205">
            <v>10</v>
          </cell>
          <cell r="CY205">
            <v>169</v>
          </cell>
        </row>
        <row r="206">
          <cell r="A206">
            <v>39491.9375</v>
          </cell>
          <cell r="B206">
            <v>128.09944499844187</v>
          </cell>
          <cell r="C206">
            <v>132.47390710382513</v>
          </cell>
          <cell r="D206">
            <v>125.1664535433071</v>
          </cell>
          <cell r="E206">
            <v>123.94547714285714</v>
          </cell>
          <cell r="F206">
            <v>116.7501216216216</v>
          </cell>
          <cell r="G206">
            <v>110.47253221957041</v>
          </cell>
          <cell r="H206">
            <v>150.94256005138087</v>
          </cell>
          <cell r="I206">
            <v>159.80338596491228</v>
          </cell>
          <cell r="J206">
            <v>108.90296544715447</v>
          </cell>
          <cell r="K206">
            <v>149.87899999999999</v>
          </cell>
          <cell r="L206">
            <v>152.3233795180723</v>
          </cell>
          <cell r="M206">
            <v>123.85629977116704</v>
          </cell>
          <cell r="N206">
            <v>131.791</v>
          </cell>
          <cell r="R206">
            <v>170</v>
          </cell>
          <cell r="T206">
            <v>39491.9375</v>
          </cell>
          <cell r="AN206">
            <v>0</v>
          </cell>
          <cell r="AP206">
            <v>39491.9375</v>
          </cell>
          <cell r="AQ206">
            <v>444.9</v>
          </cell>
          <cell r="AR206">
            <v>93.39</v>
          </cell>
          <cell r="AS206">
            <v>1.6559999999999999</v>
          </cell>
          <cell r="AT206">
            <v>32.53</v>
          </cell>
          <cell r="AU206">
            <v>0.67749999999999999</v>
          </cell>
          <cell r="AV206">
            <v>41.549210999999993</v>
          </cell>
          <cell r="AW206">
            <v>0.73675439999999992</v>
          </cell>
          <cell r="AX206">
            <v>14.472597</v>
          </cell>
          <cell r="AY206">
            <v>301.41974999999996</v>
          </cell>
          <cell r="AZ206">
            <v>10</v>
          </cell>
          <cell r="BA206">
            <v>10</v>
          </cell>
          <cell r="BB206">
            <v>10</v>
          </cell>
          <cell r="BC206">
            <v>10</v>
          </cell>
          <cell r="BD206">
            <v>10</v>
          </cell>
          <cell r="BE206">
            <v>10</v>
          </cell>
          <cell r="BF206">
            <v>1.7732091230324445E-2</v>
          </cell>
          <cell r="BI206">
            <v>170</v>
          </cell>
          <cell r="BK206">
            <v>39491.9375</v>
          </cell>
          <cell r="BL206">
            <v>388193.6</v>
          </cell>
          <cell r="BM206">
            <v>323713.59999999998</v>
          </cell>
          <cell r="BN206">
            <v>64480</v>
          </cell>
          <cell r="BO206">
            <v>492877.5</v>
          </cell>
          <cell r="BP206">
            <v>-81807</v>
          </cell>
          <cell r="BQ206">
            <v>574684.5</v>
          </cell>
          <cell r="BR206">
            <v>315716.7</v>
          </cell>
          <cell r="BS206">
            <v>48010.8</v>
          </cell>
          <cell r="BT206">
            <v>210957</v>
          </cell>
          <cell r="BU206">
            <v>822976.6</v>
          </cell>
          <cell r="BV206">
            <v>166288.1</v>
          </cell>
          <cell r="BW206">
            <v>603564.6</v>
          </cell>
          <cell r="BX206">
            <v>290861.59999999998</v>
          </cell>
          <cell r="BY206">
            <v>205922</v>
          </cell>
          <cell r="BZ206">
            <v>58094.5</v>
          </cell>
          <cell r="CA206">
            <v>10</v>
          </cell>
          <cell r="CD206">
            <v>170</v>
          </cell>
          <cell r="CF206">
            <v>39491.9375</v>
          </cell>
          <cell r="CJ206">
            <v>8.5</v>
          </cell>
          <cell r="CK206">
            <v>13.19</v>
          </cell>
          <cell r="CL206">
            <v>5</v>
          </cell>
          <cell r="CM206">
            <v>16</v>
          </cell>
          <cell r="CN206">
            <v>11.5</v>
          </cell>
          <cell r="CO206">
            <v>15</v>
          </cell>
          <cell r="CP206">
            <v>12</v>
          </cell>
          <cell r="CQ206">
            <v>26.99</v>
          </cell>
          <cell r="CR206">
            <v>3.5</v>
          </cell>
          <cell r="CS206">
            <v>18</v>
          </cell>
          <cell r="CT206">
            <v>27</v>
          </cell>
          <cell r="CU206">
            <v>10</v>
          </cell>
          <cell r="CV206">
            <v>10</v>
          </cell>
          <cell r="CY206">
            <v>170</v>
          </cell>
        </row>
        <row r="207">
          <cell r="A207">
            <v>39522.375</v>
          </cell>
          <cell r="B207">
            <v>129.56703957619197</v>
          </cell>
          <cell r="C207">
            <v>134.56584699453552</v>
          </cell>
          <cell r="D207">
            <v>125.1664535433071</v>
          </cell>
          <cell r="E207">
            <v>123.33214380952381</v>
          </cell>
          <cell r="F207">
            <v>116.3844054054054</v>
          </cell>
          <cell r="G207">
            <v>110.60657279236277</v>
          </cell>
          <cell r="H207">
            <v>151.04932947976877</v>
          </cell>
          <cell r="I207">
            <v>159.80338596491228</v>
          </cell>
          <cell r="J207">
            <v>108.90296544715447</v>
          </cell>
          <cell r="K207">
            <v>149.87899999999999</v>
          </cell>
          <cell r="L207">
            <v>152.25544779116467</v>
          </cell>
          <cell r="M207">
            <v>126.32769565217392</v>
          </cell>
          <cell r="N207">
            <v>132.33500000000001</v>
          </cell>
          <cell r="R207">
            <v>171</v>
          </cell>
          <cell r="T207">
            <v>39522.375</v>
          </cell>
          <cell r="AN207">
            <v>0</v>
          </cell>
          <cell r="AP207">
            <v>39522.375</v>
          </cell>
          <cell r="AQ207">
            <v>422.6</v>
          </cell>
          <cell r="AR207">
            <v>101.84</v>
          </cell>
          <cell r="AS207">
            <v>1.768</v>
          </cell>
          <cell r="AT207">
            <v>34.159999999999997</v>
          </cell>
          <cell r="AU207">
            <v>0.67749999999999999</v>
          </cell>
          <cell r="AV207">
            <v>43.037584000000003</v>
          </cell>
          <cell r="AW207">
            <v>0.74715680000000007</v>
          </cell>
          <cell r="AX207">
            <v>14.436016</v>
          </cell>
          <cell r="AY207">
            <v>286.31150000000002</v>
          </cell>
          <cell r="AZ207">
            <v>10</v>
          </cell>
          <cell r="BA207">
            <v>10</v>
          </cell>
          <cell r="BB207">
            <v>10</v>
          </cell>
          <cell r="BC207">
            <v>10</v>
          </cell>
          <cell r="BD207">
            <v>10</v>
          </cell>
          <cell r="BE207">
            <v>10</v>
          </cell>
          <cell r="BF207">
            <v>1.7360565593087195E-2</v>
          </cell>
          <cell r="BI207">
            <v>171</v>
          </cell>
          <cell r="BK207">
            <v>39522.375</v>
          </cell>
          <cell r="BL207">
            <v>383340.4</v>
          </cell>
          <cell r="BM207">
            <v>318856.5</v>
          </cell>
          <cell r="BN207">
            <v>64483.9</v>
          </cell>
          <cell r="BO207">
            <v>483899</v>
          </cell>
          <cell r="BP207">
            <v>-91948.6</v>
          </cell>
          <cell r="BQ207">
            <v>575847.6</v>
          </cell>
          <cell r="BR207">
            <v>297210</v>
          </cell>
          <cell r="BS207">
            <v>58350</v>
          </cell>
          <cell r="BT207">
            <v>220287.6</v>
          </cell>
          <cell r="BU207">
            <v>812799.2</v>
          </cell>
          <cell r="BV207">
            <v>164141.1</v>
          </cell>
          <cell r="BW207">
            <v>593712.6</v>
          </cell>
          <cell r="BX207">
            <v>275624.59999999998</v>
          </cell>
          <cell r="BY207">
            <v>210368</v>
          </cell>
          <cell r="BZ207">
            <v>54440.2</v>
          </cell>
          <cell r="CA207">
            <v>10</v>
          </cell>
          <cell r="CD207">
            <v>171</v>
          </cell>
          <cell r="CF207">
            <v>39522.375</v>
          </cell>
          <cell r="CJ207">
            <v>8.5</v>
          </cell>
          <cell r="CK207">
            <v>13.19</v>
          </cell>
          <cell r="CL207">
            <v>5</v>
          </cell>
          <cell r="CM207">
            <v>16</v>
          </cell>
          <cell r="CN207">
            <v>11.5</v>
          </cell>
          <cell r="CO207">
            <v>15</v>
          </cell>
          <cell r="CP207">
            <v>12</v>
          </cell>
          <cell r="CQ207">
            <v>26.99</v>
          </cell>
          <cell r="CR207">
            <v>3.5</v>
          </cell>
          <cell r="CS207">
            <v>18</v>
          </cell>
          <cell r="CT207">
            <v>27</v>
          </cell>
          <cell r="CU207">
            <v>10</v>
          </cell>
          <cell r="CV207">
            <v>10</v>
          </cell>
          <cell r="CY207">
            <v>171</v>
          </cell>
        </row>
        <row r="208">
          <cell r="A208">
            <v>39552.8125</v>
          </cell>
          <cell r="B208">
            <v>131.81446525397317</v>
          </cell>
          <cell r="C208">
            <v>132.60409836065574</v>
          </cell>
          <cell r="D208">
            <v>125.63888976377952</v>
          </cell>
          <cell r="E208">
            <v>123.31635714285714</v>
          </cell>
          <cell r="F208">
            <v>116.3844054054054</v>
          </cell>
          <cell r="G208">
            <v>110.60657279236277</v>
          </cell>
          <cell r="H208">
            <v>151.04932947976877</v>
          </cell>
          <cell r="I208">
            <v>159.80338596491228</v>
          </cell>
          <cell r="J208">
            <v>108.90296544715447</v>
          </cell>
          <cell r="K208">
            <v>149.87899999999999</v>
          </cell>
          <cell r="L208">
            <v>152.24645682730926</v>
          </cell>
          <cell r="M208">
            <v>126.32769565217392</v>
          </cell>
          <cell r="N208">
            <v>133.047</v>
          </cell>
          <cell r="R208">
            <v>172</v>
          </cell>
          <cell r="T208">
            <v>39552.8125</v>
          </cell>
          <cell r="AN208">
            <v>0</v>
          </cell>
          <cell r="AP208">
            <v>39552.8125</v>
          </cell>
          <cell r="AQ208">
            <v>416.7</v>
          </cell>
          <cell r="AR208">
            <v>108.76</v>
          </cell>
          <cell r="AS208">
            <v>1.663</v>
          </cell>
          <cell r="AT208">
            <v>32.090000000000003</v>
          </cell>
          <cell r="AU208">
            <v>0.67749999999999999</v>
          </cell>
          <cell r="AV208">
            <v>45.320292000000002</v>
          </cell>
          <cell r="AW208">
            <v>0.69297209999999998</v>
          </cell>
          <cell r="AX208">
            <v>13.371903</v>
          </cell>
          <cell r="AY208">
            <v>282.31425000000002</v>
          </cell>
          <cell r="AZ208">
            <v>10</v>
          </cell>
          <cell r="BA208">
            <v>10</v>
          </cell>
          <cell r="BB208">
            <v>10</v>
          </cell>
          <cell r="BC208">
            <v>10</v>
          </cell>
          <cell r="BD208">
            <v>10</v>
          </cell>
          <cell r="BE208">
            <v>10</v>
          </cell>
          <cell r="BF208">
            <v>1.5290547995586611E-2</v>
          </cell>
          <cell r="BI208">
            <v>172</v>
          </cell>
          <cell r="BK208">
            <v>39552.8125</v>
          </cell>
          <cell r="BL208">
            <v>378412.4</v>
          </cell>
          <cell r="BM208">
            <v>326118.09999999998</v>
          </cell>
          <cell r="BN208">
            <v>52294.3</v>
          </cell>
          <cell r="BO208">
            <v>480393.2</v>
          </cell>
          <cell r="BP208">
            <v>-98606</v>
          </cell>
          <cell r="BQ208">
            <v>578999.19999999995</v>
          </cell>
          <cell r="BR208">
            <v>312046</v>
          </cell>
          <cell r="BS208">
            <v>43444</v>
          </cell>
          <cell r="BT208">
            <v>223509.2</v>
          </cell>
          <cell r="BU208">
            <v>801130.1</v>
          </cell>
          <cell r="BV208">
            <v>156598</v>
          </cell>
          <cell r="BW208">
            <v>588967.80000000005</v>
          </cell>
          <cell r="BX208">
            <v>258624.8</v>
          </cell>
          <cell r="BY208">
            <v>221436</v>
          </cell>
          <cell r="BZ208">
            <v>57675.5</v>
          </cell>
          <cell r="CA208">
            <v>10</v>
          </cell>
          <cell r="CD208">
            <v>172</v>
          </cell>
          <cell r="CF208">
            <v>39552.8125</v>
          </cell>
          <cell r="CJ208">
            <v>8.5</v>
          </cell>
          <cell r="CK208">
            <v>13.19</v>
          </cell>
          <cell r="CL208">
            <v>5</v>
          </cell>
          <cell r="CM208">
            <v>16</v>
          </cell>
          <cell r="CN208">
            <v>11.5</v>
          </cell>
          <cell r="CO208">
            <v>15</v>
          </cell>
          <cell r="CP208">
            <v>12</v>
          </cell>
          <cell r="CQ208">
            <v>26.99</v>
          </cell>
          <cell r="CR208">
            <v>3.5</v>
          </cell>
          <cell r="CS208">
            <v>18</v>
          </cell>
          <cell r="CT208">
            <v>27</v>
          </cell>
          <cell r="CU208">
            <v>10</v>
          </cell>
          <cell r="CV208">
            <v>10</v>
          </cell>
          <cell r="CY208">
            <v>172</v>
          </cell>
        </row>
        <row r="209">
          <cell r="A209">
            <v>39583.25</v>
          </cell>
          <cell r="B209">
            <v>149.6165827360548</v>
          </cell>
          <cell r="C209">
            <v>139.83524590163933</v>
          </cell>
          <cell r="D209">
            <v>125.70230551181101</v>
          </cell>
          <cell r="E209">
            <v>124.11622761904762</v>
          </cell>
          <cell r="F209">
            <v>115.49308858858859</v>
          </cell>
          <cell r="G209">
            <v>110.60657279236277</v>
          </cell>
          <cell r="H209">
            <v>151.04932947976877</v>
          </cell>
          <cell r="I209">
            <v>159.80338596491228</v>
          </cell>
          <cell r="J209">
            <v>108.90296544715447</v>
          </cell>
          <cell r="K209">
            <v>149.87899999999999</v>
          </cell>
          <cell r="L209">
            <v>152.83086947791162</v>
          </cell>
          <cell r="M209">
            <v>127.17028604118991</v>
          </cell>
          <cell r="N209">
            <v>139.01599999999999</v>
          </cell>
          <cell r="R209">
            <v>173</v>
          </cell>
          <cell r="T209">
            <v>39583.25</v>
          </cell>
          <cell r="AN209">
            <v>0</v>
          </cell>
          <cell r="AP209">
            <v>39583.25</v>
          </cell>
          <cell r="AQ209">
            <v>421.6</v>
          </cell>
          <cell r="AR209">
            <v>122.63</v>
          </cell>
          <cell r="AS209">
            <v>1.6339999999999999</v>
          </cell>
          <cell r="AT209">
            <v>31.35</v>
          </cell>
          <cell r="AU209">
            <v>0.67749999999999999</v>
          </cell>
          <cell r="AV209">
            <v>51.700807999999995</v>
          </cell>
          <cell r="AW209">
            <v>0.68889440000000002</v>
          </cell>
          <cell r="AX209">
            <v>13.217160000000002</v>
          </cell>
          <cell r="AY209">
            <v>285.63400000000001</v>
          </cell>
          <cell r="AZ209">
            <v>10</v>
          </cell>
          <cell r="BA209">
            <v>10</v>
          </cell>
          <cell r="BB209">
            <v>10</v>
          </cell>
          <cell r="BC209">
            <v>10</v>
          </cell>
          <cell r="BD209">
            <v>10</v>
          </cell>
          <cell r="BE209">
            <v>10</v>
          </cell>
          <cell r="BF209">
            <v>1.3324635081138386E-2</v>
          </cell>
          <cell r="BI209">
            <v>173</v>
          </cell>
          <cell r="BK209">
            <v>39583.25</v>
          </cell>
          <cell r="BL209">
            <v>371310.5</v>
          </cell>
          <cell r="BM209">
            <v>318621.3</v>
          </cell>
          <cell r="BN209">
            <v>52689.2</v>
          </cell>
          <cell r="BO209">
            <v>482036.9</v>
          </cell>
          <cell r="BP209">
            <v>-94083.4</v>
          </cell>
          <cell r="BQ209">
            <v>576120.30000000005</v>
          </cell>
          <cell r="BR209">
            <v>310839.3</v>
          </cell>
          <cell r="BS209">
            <v>40889</v>
          </cell>
          <cell r="BT209">
            <v>224392</v>
          </cell>
          <cell r="BU209">
            <v>814397.8</v>
          </cell>
          <cell r="BV209">
            <v>149754.5</v>
          </cell>
          <cell r="BW209">
            <v>607760.1</v>
          </cell>
          <cell r="BX209">
            <v>261445.1</v>
          </cell>
          <cell r="BY209">
            <v>233721</v>
          </cell>
          <cell r="BZ209">
            <v>38949.599999999999</v>
          </cell>
          <cell r="CA209">
            <v>10</v>
          </cell>
          <cell r="CD209">
            <v>173</v>
          </cell>
          <cell r="CF209">
            <v>39583.25</v>
          </cell>
          <cell r="CJ209">
            <v>8.5</v>
          </cell>
          <cell r="CK209">
            <v>13.19</v>
          </cell>
          <cell r="CL209">
            <v>5</v>
          </cell>
          <cell r="CM209">
            <v>16</v>
          </cell>
          <cell r="CN209">
            <v>11.5</v>
          </cell>
          <cell r="CO209">
            <v>15</v>
          </cell>
          <cell r="CP209">
            <v>12</v>
          </cell>
          <cell r="CQ209">
            <v>26.99</v>
          </cell>
          <cell r="CR209">
            <v>3.5</v>
          </cell>
          <cell r="CS209">
            <v>18</v>
          </cell>
          <cell r="CT209">
            <v>27</v>
          </cell>
          <cell r="CU209">
            <v>10</v>
          </cell>
          <cell r="CV209">
            <v>10</v>
          </cell>
          <cell r="CY209">
            <v>173</v>
          </cell>
        </row>
        <row r="210">
          <cell r="A210">
            <v>39613.6875</v>
          </cell>
          <cell r="B210">
            <v>168.16866282330938</v>
          </cell>
          <cell r="C210">
            <v>142.29439890710381</v>
          </cell>
          <cell r="D210">
            <v>125.70230551181101</v>
          </cell>
          <cell r="E210">
            <v>127.46281809523809</v>
          </cell>
          <cell r="F210">
            <v>116.26141891891891</v>
          </cell>
          <cell r="G210">
            <v>110.60657279236277</v>
          </cell>
          <cell r="H210">
            <v>151.04932947976877</v>
          </cell>
          <cell r="I210">
            <v>159.80338596491228</v>
          </cell>
          <cell r="J210">
            <v>108.67696544715447</v>
          </cell>
          <cell r="K210">
            <v>149.87899999999999</v>
          </cell>
          <cell r="L210">
            <v>151.92877610441766</v>
          </cell>
          <cell r="M210">
            <v>127.17028604118991</v>
          </cell>
          <cell r="N210">
            <v>145.316</v>
          </cell>
          <cell r="R210">
            <v>174</v>
          </cell>
          <cell r="T210">
            <v>39613.6875</v>
          </cell>
          <cell r="AN210">
            <v>0</v>
          </cell>
          <cell r="AP210">
            <v>39613.6875</v>
          </cell>
          <cell r="AQ210">
            <v>421.8</v>
          </cell>
          <cell r="AR210">
            <v>131.52000000000001</v>
          </cell>
          <cell r="AS210">
            <v>1.698</v>
          </cell>
          <cell r="AT210">
            <v>31.38</v>
          </cell>
          <cell r="AU210">
            <v>0.67749999999999999</v>
          </cell>
          <cell r="AV210">
            <v>55.475136000000006</v>
          </cell>
          <cell r="AW210">
            <v>0.71621639999999998</v>
          </cell>
          <cell r="AX210">
            <v>13.236084</v>
          </cell>
          <cell r="AY210">
            <v>285.76949999999999</v>
          </cell>
          <cell r="AZ210">
            <v>10</v>
          </cell>
          <cell r="BA210">
            <v>10</v>
          </cell>
          <cell r="BB210">
            <v>10</v>
          </cell>
          <cell r="BC210">
            <v>10</v>
          </cell>
          <cell r="BD210">
            <v>10</v>
          </cell>
          <cell r="BE210">
            <v>10</v>
          </cell>
          <cell r="BF210">
            <v>1.2910583941605838E-2</v>
          </cell>
          <cell r="BI210">
            <v>174</v>
          </cell>
          <cell r="BK210">
            <v>39613.6875</v>
          </cell>
          <cell r="BL210">
            <v>352016.3</v>
          </cell>
          <cell r="BM210">
            <v>291288.09999999998</v>
          </cell>
          <cell r="BN210">
            <v>60728.2</v>
          </cell>
          <cell r="BO210">
            <v>505547.4</v>
          </cell>
          <cell r="BP210">
            <v>-79524.399999999994</v>
          </cell>
          <cell r="BQ210">
            <v>585071.80000000005</v>
          </cell>
          <cell r="BR210">
            <v>319593.8</v>
          </cell>
          <cell r="BS210">
            <v>40889</v>
          </cell>
          <cell r="BT210">
            <v>224589</v>
          </cell>
          <cell r="BU210">
            <v>811757</v>
          </cell>
          <cell r="BV210">
            <v>161781</v>
          </cell>
          <cell r="BW210">
            <v>592619.1</v>
          </cell>
          <cell r="BX210">
            <v>257162.1</v>
          </cell>
          <cell r="BY210">
            <v>219698</v>
          </cell>
          <cell r="BZ210">
            <v>45806.8</v>
          </cell>
          <cell r="CA210">
            <v>10</v>
          </cell>
          <cell r="CD210">
            <v>174</v>
          </cell>
          <cell r="CF210">
            <v>39613.6875</v>
          </cell>
          <cell r="CJ210">
            <v>8.5</v>
          </cell>
          <cell r="CK210">
            <v>13.19</v>
          </cell>
          <cell r="CL210">
            <v>5</v>
          </cell>
          <cell r="CM210">
            <v>16</v>
          </cell>
          <cell r="CN210">
            <v>11.5</v>
          </cell>
          <cell r="CO210">
            <v>15</v>
          </cell>
          <cell r="CP210">
            <v>12</v>
          </cell>
          <cell r="CQ210">
            <v>26.99</v>
          </cell>
          <cell r="CR210">
            <v>3.5</v>
          </cell>
          <cell r="CS210">
            <v>18</v>
          </cell>
          <cell r="CT210">
            <v>27</v>
          </cell>
          <cell r="CU210">
            <v>10</v>
          </cell>
          <cell r="CV210">
            <v>10</v>
          </cell>
          <cell r="CY210">
            <v>174</v>
          </cell>
        </row>
        <row r="211">
          <cell r="A211">
            <v>39644.125</v>
          </cell>
          <cell r="B211">
            <v>158.12811966344651</v>
          </cell>
          <cell r="C211">
            <v>144.53554098360655</v>
          </cell>
          <cell r="D211">
            <v>125.70230551181101</v>
          </cell>
          <cell r="E211">
            <v>124.3731761904762</v>
          </cell>
          <cell r="F211">
            <v>116.25523573573572</v>
          </cell>
          <cell r="G211">
            <v>110.60657279236277</v>
          </cell>
          <cell r="H211">
            <v>154.63238664097625</v>
          </cell>
          <cell r="I211">
            <v>159.80338596491228</v>
          </cell>
          <cell r="J211">
            <v>108.77420934959349</v>
          </cell>
          <cell r="K211">
            <v>149.87899999999999</v>
          </cell>
          <cell r="L211">
            <v>152.1755281124498</v>
          </cell>
          <cell r="M211">
            <v>127.8857299771167</v>
          </cell>
          <cell r="N211">
            <v>142.429</v>
          </cell>
          <cell r="R211">
            <v>175</v>
          </cell>
          <cell r="T211">
            <v>39644.125</v>
          </cell>
          <cell r="AN211">
            <v>0</v>
          </cell>
          <cell r="AP211">
            <v>39644.125</v>
          </cell>
          <cell r="AQ211">
            <v>416</v>
          </cell>
          <cell r="AR211">
            <v>132.83000000000001</v>
          </cell>
          <cell r="AS211">
            <v>1.7050000000000001</v>
          </cell>
          <cell r="AT211">
            <v>33.15</v>
          </cell>
          <cell r="AU211">
            <v>0.67749999999999999</v>
          </cell>
          <cell r="AV211">
            <v>55.257280000000009</v>
          </cell>
          <cell r="AW211">
            <v>0.70928000000000002</v>
          </cell>
          <cell r="AX211">
            <v>13.7904</v>
          </cell>
          <cell r="AY211">
            <v>281.83999999999997</v>
          </cell>
          <cell r="AZ211">
            <v>10</v>
          </cell>
          <cell r="BA211">
            <v>10</v>
          </cell>
          <cell r="BB211">
            <v>10</v>
          </cell>
          <cell r="BC211">
            <v>10</v>
          </cell>
          <cell r="BD211">
            <v>10</v>
          </cell>
          <cell r="BE211">
            <v>10</v>
          </cell>
          <cell r="BF211">
            <v>1.2835955732891664E-2</v>
          </cell>
          <cell r="BI211">
            <v>175</v>
          </cell>
          <cell r="BK211">
            <v>39644.125</v>
          </cell>
          <cell r="BL211">
            <v>363076.2</v>
          </cell>
          <cell r="BM211">
            <v>310741</v>
          </cell>
          <cell r="BN211">
            <v>52335.199999999997</v>
          </cell>
          <cell r="BO211">
            <v>522935.4</v>
          </cell>
          <cell r="BP211">
            <v>-78901</v>
          </cell>
          <cell r="BQ211">
            <v>601836.4</v>
          </cell>
          <cell r="BR211">
            <v>329921.3</v>
          </cell>
          <cell r="BS211">
            <v>40077.1</v>
          </cell>
          <cell r="BT211">
            <v>231838</v>
          </cell>
          <cell r="BU211">
            <v>830885.3</v>
          </cell>
          <cell r="BV211">
            <v>168637.8</v>
          </cell>
          <cell r="BW211">
            <v>604317.9</v>
          </cell>
          <cell r="BX211">
            <v>255777.9</v>
          </cell>
          <cell r="BY211">
            <v>230279</v>
          </cell>
          <cell r="BZ211">
            <v>55126.3</v>
          </cell>
          <cell r="CA211">
            <v>10</v>
          </cell>
          <cell r="CD211">
            <v>175</v>
          </cell>
          <cell r="CF211">
            <v>39644.125</v>
          </cell>
          <cell r="CJ211">
            <v>8.5</v>
          </cell>
          <cell r="CK211">
            <v>13.19</v>
          </cell>
          <cell r="CL211">
            <v>5</v>
          </cell>
          <cell r="CM211">
            <v>16</v>
          </cell>
          <cell r="CN211">
            <v>11.5</v>
          </cell>
          <cell r="CO211">
            <v>15</v>
          </cell>
          <cell r="CP211">
            <v>12</v>
          </cell>
          <cell r="CQ211">
            <v>26.99</v>
          </cell>
          <cell r="CR211">
            <v>3.5</v>
          </cell>
          <cell r="CS211">
            <v>18</v>
          </cell>
          <cell r="CT211">
            <v>27</v>
          </cell>
          <cell r="CU211">
            <v>10</v>
          </cell>
          <cell r="CV211">
            <v>10</v>
          </cell>
          <cell r="CY211">
            <v>175</v>
          </cell>
        </row>
        <row r="212">
          <cell r="A212">
            <v>39674.5625</v>
          </cell>
          <cell r="B212">
            <v>157.70490495481457</v>
          </cell>
          <cell r="C212">
            <v>145.9011475409836</v>
          </cell>
          <cell r="D212">
            <v>125.58268346456691</v>
          </cell>
          <cell r="E212">
            <v>147.36227238095239</v>
          </cell>
          <cell r="F212">
            <v>116.19756006006006</v>
          </cell>
          <cell r="G212">
            <v>110.90140811455846</v>
          </cell>
          <cell r="H212">
            <v>157.31185998715478</v>
          </cell>
          <cell r="I212">
            <v>159.80338596491228</v>
          </cell>
          <cell r="J212">
            <v>107.55753455284552</v>
          </cell>
          <cell r="K212">
            <v>149.87899999999999</v>
          </cell>
          <cell r="L212">
            <v>152.17353012048193</v>
          </cell>
          <cell r="M212">
            <v>119.75685125858124</v>
          </cell>
          <cell r="N212">
            <v>144.73500000000001</v>
          </cell>
          <cell r="R212">
            <v>176</v>
          </cell>
          <cell r="T212">
            <v>39674.5625</v>
          </cell>
          <cell r="AN212">
            <v>0</v>
          </cell>
          <cell r="AP212">
            <v>39674.5625</v>
          </cell>
          <cell r="AQ212">
            <v>426.6</v>
          </cell>
          <cell r="AR212">
            <v>114.57</v>
          </cell>
          <cell r="AS212">
            <v>1.72</v>
          </cell>
          <cell r="AT212">
            <v>29.59</v>
          </cell>
          <cell r="AU212">
            <v>0.67749999999999999</v>
          </cell>
          <cell r="AV212">
            <v>48.875561999999995</v>
          </cell>
          <cell r="AW212">
            <v>0.73375200000000007</v>
          </cell>
          <cell r="AX212">
            <v>12.623094000000002</v>
          </cell>
          <cell r="AY212">
            <v>289.0215</v>
          </cell>
          <cell r="AZ212">
            <v>10</v>
          </cell>
          <cell r="BA212">
            <v>10</v>
          </cell>
          <cell r="BB212">
            <v>10</v>
          </cell>
          <cell r="BC212">
            <v>10</v>
          </cell>
          <cell r="BD212">
            <v>10</v>
          </cell>
          <cell r="BE212">
            <v>10</v>
          </cell>
          <cell r="BF212">
            <v>1.5012656018154843E-2</v>
          </cell>
          <cell r="BI212">
            <v>176</v>
          </cell>
          <cell r="BK212">
            <v>39674.5625</v>
          </cell>
          <cell r="BL212">
            <v>367091.4</v>
          </cell>
          <cell r="BM212">
            <v>329732</v>
          </cell>
          <cell r="BN212">
            <v>37359.4</v>
          </cell>
          <cell r="BO212">
            <v>502140.4</v>
          </cell>
          <cell r="BP212">
            <v>-85441.7</v>
          </cell>
          <cell r="BQ212">
            <v>587582.1</v>
          </cell>
          <cell r="BR212">
            <v>325323.2</v>
          </cell>
          <cell r="BS212">
            <v>34989</v>
          </cell>
          <cell r="BT212">
            <v>227269.9</v>
          </cell>
          <cell r="BU212">
            <v>831389.4</v>
          </cell>
          <cell r="BV212">
            <v>171445.9</v>
          </cell>
          <cell r="BW212">
            <v>602013.9</v>
          </cell>
          <cell r="BX212">
            <v>265111.90000000002</v>
          </cell>
          <cell r="BY212">
            <v>219132</v>
          </cell>
          <cell r="BZ212">
            <v>37842.400000000001</v>
          </cell>
          <cell r="CA212">
            <v>10</v>
          </cell>
          <cell r="CD212">
            <v>176</v>
          </cell>
          <cell r="CF212">
            <v>39674.5625</v>
          </cell>
          <cell r="CJ212">
            <v>8.5</v>
          </cell>
          <cell r="CK212">
            <v>13.19</v>
          </cell>
          <cell r="CL212">
            <v>5</v>
          </cell>
          <cell r="CM212">
            <v>16</v>
          </cell>
          <cell r="CN212">
            <v>11.5</v>
          </cell>
          <cell r="CO212">
            <v>15</v>
          </cell>
          <cell r="CP212">
            <v>12</v>
          </cell>
          <cell r="CQ212">
            <v>26.99</v>
          </cell>
          <cell r="CR212">
            <v>3.5</v>
          </cell>
          <cell r="CS212">
            <v>18</v>
          </cell>
          <cell r="CT212">
            <v>27</v>
          </cell>
          <cell r="CU212">
            <v>10</v>
          </cell>
          <cell r="CV212">
            <v>10</v>
          </cell>
          <cell r="CY212">
            <v>176</v>
          </cell>
        </row>
        <row r="213">
          <cell r="A213">
            <v>39705</v>
          </cell>
          <cell r="B213">
            <v>156.77844749143034</v>
          </cell>
          <cell r="C213">
            <v>140.02806010928964</v>
          </cell>
          <cell r="D213">
            <v>125.58268346456691</v>
          </cell>
          <cell r="E213">
            <v>145.35712952380953</v>
          </cell>
          <cell r="F213">
            <v>116.426515015015</v>
          </cell>
          <cell r="G213">
            <v>110.90140811455846</v>
          </cell>
          <cell r="H213">
            <v>157.31185998715478</v>
          </cell>
          <cell r="I213">
            <v>159.80338596491228</v>
          </cell>
          <cell r="J213">
            <v>107.55753455284552</v>
          </cell>
          <cell r="K213">
            <v>149.87899999999999</v>
          </cell>
          <cell r="L213">
            <v>152.64505622489961</v>
          </cell>
          <cell r="M213">
            <v>119.75685125858124</v>
          </cell>
          <cell r="N213">
            <v>144.18100000000001</v>
          </cell>
          <cell r="R213">
            <v>177</v>
          </cell>
          <cell r="T213">
            <v>39705</v>
          </cell>
          <cell r="AN213">
            <v>0</v>
          </cell>
          <cell r="AP213">
            <v>39705</v>
          </cell>
          <cell r="AQ213">
            <v>455</v>
          </cell>
          <cell r="AR213">
            <v>99.66</v>
          </cell>
          <cell r="AS213">
            <v>1.4</v>
          </cell>
          <cell r="AT213">
            <v>29.3</v>
          </cell>
          <cell r="AU213">
            <v>0.67749999999999999</v>
          </cell>
          <cell r="AV213">
            <v>45.345299999999995</v>
          </cell>
          <cell r="AW213">
            <v>0.63700000000000001</v>
          </cell>
          <cell r="AX213">
            <v>13.3315</v>
          </cell>
          <cell r="AY213">
            <v>308.26249999999999</v>
          </cell>
          <cell r="AZ213">
            <v>10</v>
          </cell>
          <cell r="BA213">
            <v>10</v>
          </cell>
          <cell r="BB213">
            <v>10</v>
          </cell>
          <cell r="BC213">
            <v>10</v>
          </cell>
          <cell r="BD213">
            <v>10</v>
          </cell>
          <cell r="BE213">
            <v>10</v>
          </cell>
          <cell r="BF213">
            <v>1.4047762392133255E-2</v>
          </cell>
          <cell r="BI213">
            <v>177</v>
          </cell>
          <cell r="BK213">
            <v>39705</v>
          </cell>
          <cell r="BL213">
            <v>333216.8</v>
          </cell>
          <cell r="BM213">
            <v>297411.59999999998</v>
          </cell>
          <cell r="BN213">
            <v>35805.199999999997</v>
          </cell>
          <cell r="BO213">
            <v>578414.1</v>
          </cell>
          <cell r="BP213">
            <v>-54353.3</v>
          </cell>
          <cell r="BQ213">
            <v>632767.5</v>
          </cell>
          <cell r="BR213">
            <v>359533.6</v>
          </cell>
          <cell r="BS213">
            <v>29819</v>
          </cell>
          <cell r="BT213">
            <v>243414.9</v>
          </cell>
          <cell r="BU213">
            <v>845295.7</v>
          </cell>
          <cell r="BV213">
            <v>174247.4</v>
          </cell>
          <cell r="BW213">
            <v>614564</v>
          </cell>
          <cell r="BX213">
            <v>272737</v>
          </cell>
          <cell r="BY213">
            <v>225077</v>
          </cell>
          <cell r="BZ213">
            <v>66335.199999999997</v>
          </cell>
          <cell r="CA213">
            <v>10</v>
          </cell>
          <cell r="CD213">
            <v>177</v>
          </cell>
          <cell r="CF213">
            <v>39705</v>
          </cell>
          <cell r="CJ213">
            <v>8.5</v>
          </cell>
          <cell r="CK213">
            <v>13.19</v>
          </cell>
          <cell r="CL213">
            <v>1.5</v>
          </cell>
          <cell r="CM213">
            <v>12</v>
          </cell>
          <cell r="CN213">
            <v>11.5</v>
          </cell>
          <cell r="CO213">
            <v>15</v>
          </cell>
          <cell r="CP213">
            <v>18</v>
          </cell>
          <cell r="CQ213">
            <v>26.99</v>
          </cell>
          <cell r="CR213">
            <v>3.5</v>
          </cell>
          <cell r="CS213">
            <v>18</v>
          </cell>
          <cell r="CT213">
            <v>27</v>
          </cell>
          <cell r="CU213">
            <v>10</v>
          </cell>
          <cell r="CV213">
            <v>10</v>
          </cell>
          <cell r="CY213">
            <v>177</v>
          </cell>
        </row>
        <row r="214">
          <cell r="A214">
            <v>39735.4375</v>
          </cell>
          <cell r="B214">
            <v>106.44298392430922</v>
          </cell>
          <cell r="C214">
            <v>101.7797728526937</v>
          </cell>
          <cell r="D214">
            <v>100.15667550047465</v>
          </cell>
          <cell r="E214">
            <v>100.56944248261181</v>
          </cell>
          <cell r="F214">
            <v>100.19661079185892</v>
          </cell>
          <cell r="G214">
            <v>100.06071439621086</v>
          </cell>
          <cell r="H214">
            <v>102.48916472737451</v>
          </cell>
          <cell r="I214">
            <v>99.909653201629737</v>
          </cell>
          <cell r="J214">
            <v>99.959522150233184</v>
          </cell>
          <cell r="K214">
            <v>100</v>
          </cell>
          <cell r="L214">
            <v>100.12017897684359</v>
          </cell>
          <cell r="M214">
            <v>99.970128766376732</v>
          </cell>
          <cell r="N214">
            <v>102.80656458232571</v>
          </cell>
          <cell r="R214">
            <v>178</v>
          </cell>
          <cell r="T214">
            <v>39735.4375</v>
          </cell>
          <cell r="AN214">
            <v>0</v>
          </cell>
          <cell r="AP214">
            <v>39735.4375</v>
          </cell>
          <cell r="AQ214">
            <v>493</v>
          </cell>
          <cell r="AR214">
            <v>72.69</v>
          </cell>
          <cell r="AS214">
            <v>1.3740000000000001</v>
          </cell>
          <cell r="AT214">
            <v>28.45</v>
          </cell>
          <cell r="AU214">
            <v>0.67749999999999999</v>
          </cell>
          <cell r="AV214">
            <v>35.836169999999996</v>
          </cell>
          <cell r="AW214">
            <v>0.67738200000000004</v>
          </cell>
          <cell r="AX214">
            <v>14.02585</v>
          </cell>
          <cell r="AY214">
            <v>334.00749999999999</v>
          </cell>
          <cell r="AZ214">
            <v>10</v>
          </cell>
          <cell r="BA214">
            <v>10</v>
          </cell>
          <cell r="BB214">
            <v>10</v>
          </cell>
          <cell r="BC214">
            <v>10</v>
          </cell>
          <cell r="BD214">
            <v>10</v>
          </cell>
          <cell r="BE214">
            <v>10</v>
          </cell>
          <cell r="BF214">
            <v>1.8902187371027654E-2</v>
          </cell>
          <cell r="BI214">
            <v>178</v>
          </cell>
          <cell r="BK214">
            <v>39735.4375</v>
          </cell>
          <cell r="BL214">
            <v>318433.40000000002</v>
          </cell>
          <cell r="BM214">
            <v>278500.59999999998</v>
          </cell>
          <cell r="BN214">
            <v>39932.800000000003</v>
          </cell>
          <cell r="BO214">
            <v>594926.6</v>
          </cell>
          <cell r="BP214">
            <v>-47135.3</v>
          </cell>
          <cell r="BQ214">
            <v>642061.9</v>
          </cell>
          <cell r="BR214">
            <v>378643.5</v>
          </cell>
          <cell r="BS214">
            <v>21059.599999999999</v>
          </cell>
          <cell r="BT214">
            <v>242358.9</v>
          </cell>
          <cell r="BU214">
            <v>853402</v>
          </cell>
          <cell r="BV214">
            <v>182499.4</v>
          </cell>
          <cell r="BW214">
            <v>615046</v>
          </cell>
          <cell r="BX214">
            <v>268278</v>
          </cell>
          <cell r="BY214">
            <v>230639</v>
          </cell>
          <cell r="BZ214">
            <v>59958</v>
          </cell>
          <cell r="CA214">
            <v>10</v>
          </cell>
          <cell r="CD214">
            <v>178</v>
          </cell>
          <cell r="CF214">
            <v>39735.4375</v>
          </cell>
          <cell r="CJ214">
            <v>8.5</v>
          </cell>
          <cell r="CK214">
            <v>13.19</v>
          </cell>
          <cell r="CL214">
            <v>1.5</v>
          </cell>
          <cell r="CM214">
            <v>12</v>
          </cell>
          <cell r="CN214">
            <v>11.5</v>
          </cell>
          <cell r="CO214">
            <v>15</v>
          </cell>
          <cell r="CP214">
            <v>18</v>
          </cell>
          <cell r="CQ214">
            <v>26.99</v>
          </cell>
          <cell r="CR214">
            <v>3.5</v>
          </cell>
          <cell r="CS214">
            <v>18</v>
          </cell>
          <cell r="CT214">
            <v>27</v>
          </cell>
          <cell r="CU214">
            <v>10</v>
          </cell>
          <cell r="CV214">
            <v>10</v>
          </cell>
          <cell r="CY214">
            <v>178</v>
          </cell>
        </row>
        <row r="215">
          <cell r="A215">
            <v>39765.875</v>
          </cell>
          <cell r="B215">
            <v>103.27173757545263</v>
          </cell>
          <cell r="C215">
            <v>102.25068607091734</v>
          </cell>
          <cell r="D215">
            <v>100.15523059126519</v>
          </cell>
          <cell r="E215">
            <v>101.07057160040192</v>
          </cell>
          <cell r="F215">
            <v>100.22340206079848</v>
          </cell>
          <cell r="G215">
            <v>100.06275072544418</v>
          </cell>
          <cell r="H215">
            <v>101.69487432670512</v>
          </cell>
          <cell r="I215">
            <v>99.909653201629737</v>
          </cell>
          <cell r="J215">
            <v>99.196434096612819</v>
          </cell>
          <cell r="K215">
            <v>100</v>
          </cell>
          <cell r="L215">
            <v>100.93323340672849</v>
          </cell>
          <cell r="M215">
            <v>99.951820164835297</v>
          </cell>
          <cell r="N215">
            <v>101.64878852984553</v>
          </cell>
          <cell r="R215">
            <v>179</v>
          </cell>
          <cell r="T215">
            <v>39765.875</v>
          </cell>
          <cell r="AN215">
            <v>0</v>
          </cell>
          <cell r="AP215">
            <v>39765.875</v>
          </cell>
          <cell r="AQ215">
            <v>515.29999999999995</v>
          </cell>
          <cell r="AR215">
            <v>53.97</v>
          </cell>
          <cell r="AS215">
            <v>1.2150000000000001</v>
          </cell>
          <cell r="AT215">
            <v>26.84</v>
          </cell>
          <cell r="AU215">
            <v>0.67749999999999999</v>
          </cell>
          <cell r="AV215">
            <v>27.810740999999997</v>
          </cell>
          <cell r="AW215">
            <v>0.62608949999999997</v>
          </cell>
          <cell r="AX215">
            <v>13.830651999999999</v>
          </cell>
          <cell r="AY215">
            <v>349.11574999999999</v>
          </cell>
          <cell r="AZ215">
            <v>10</v>
          </cell>
          <cell r="BA215">
            <v>10</v>
          </cell>
          <cell r="BB215">
            <v>10</v>
          </cell>
          <cell r="BC215">
            <v>10</v>
          </cell>
          <cell r="BD215">
            <v>10</v>
          </cell>
          <cell r="BE215">
            <v>10</v>
          </cell>
          <cell r="BF215">
            <v>2.2512506948304613E-2</v>
          </cell>
          <cell r="BI215">
            <v>179</v>
          </cell>
          <cell r="BK215">
            <v>39765.875</v>
          </cell>
          <cell r="BL215">
            <v>335102.3</v>
          </cell>
          <cell r="BM215">
            <v>268116.40000000002</v>
          </cell>
          <cell r="BN215">
            <v>66985.899999999994</v>
          </cell>
          <cell r="BO215">
            <v>604490.19999999995</v>
          </cell>
          <cell r="BP215">
            <v>-43971.1</v>
          </cell>
          <cell r="BQ215">
            <v>648461.19999999995</v>
          </cell>
          <cell r="BR215">
            <v>396213.3</v>
          </cell>
          <cell r="BS215">
            <v>8503</v>
          </cell>
          <cell r="BT215">
            <v>243744.9</v>
          </cell>
          <cell r="BU215">
            <v>872331.8</v>
          </cell>
          <cell r="BV215">
            <v>201754.5</v>
          </cell>
          <cell r="BW215">
            <v>614810.69999999995</v>
          </cell>
          <cell r="BX215">
            <v>269446.7</v>
          </cell>
          <cell r="BY215">
            <v>230820</v>
          </cell>
          <cell r="BZ215">
            <v>67260.600000000006</v>
          </cell>
          <cell r="CA215">
            <v>10</v>
          </cell>
          <cell r="CD215">
            <v>179</v>
          </cell>
          <cell r="CF215">
            <v>39765.875</v>
          </cell>
          <cell r="CJ215">
            <v>8.5</v>
          </cell>
          <cell r="CK215">
            <v>13.19</v>
          </cell>
          <cell r="CL215">
            <v>1.5</v>
          </cell>
          <cell r="CM215">
            <v>12</v>
          </cell>
          <cell r="CN215">
            <v>11.5</v>
          </cell>
          <cell r="CO215">
            <v>15</v>
          </cell>
          <cell r="CP215">
            <v>18</v>
          </cell>
          <cell r="CQ215">
            <v>26.99</v>
          </cell>
          <cell r="CR215">
            <v>3.5</v>
          </cell>
          <cell r="CS215">
            <v>18</v>
          </cell>
          <cell r="CT215">
            <v>27</v>
          </cell>
          <cell r="CY215">
            <v>179</v>
          </cell>
        </row>
        <row r="216">
          <cell r="A216">
            <v>39796.3125</v>
          </cell>
          <cell r="B216">
            <v>101.13165458683659</v>
          </cell>
          <cell r="C216">
            <v>99.831864756015037</v>
          </cell>
          <cell r="D216">
            <v>100.19319774284475</v>
          </cell>
          <cell r="E216">
            <v>102.24626638171577</v>
          </cell>
          <cell r="F216">
            <v>100.22340206079848</v>
          </cell>
          <cell r="G216">
            <v>100.06275072544418</v>
          </cell>
          <cell r="H216">
            <v>100.60341379564127</v>
          </cell>
          <cell r="I216">
            <v>99.909653201629737</v>
          </cell>
          <cell r="J216">
            <v>99.115174434627335</v>
          </cell>
          <cell r="K216">
            <v>100</v>
          </cell>
          <cell r="L216">
            <v>102.16148540157242</v>
          </cell>
          <cell r="M216">
            <v>99.951820164835297</v>
          </cell>
          <cell r="N216">
            <v>100.89758783983181</v>
          </cell>
          <cell r="R216">
            <v>180</v>
          </cell>
          <cell r="T216">
            <v>39796.3125</v>
          </cell>
          <cell r="AN216">
            <v>0</v>
          </cell>
          <cell r="AP216">
            <v>39796.3125</v>
          </cell>
          <cell r="AQ216">
            <v>481.5</v>
          </cell>
          <cell r="AR216">
            <v>41.34</v>
          </cell>
          <cell r="AS216">
            <v>1.224</v>
          </cell>
          <cell r="AT216">
            <v>28.78</v>
          </cell>
          <cell r="AU216">
            <v>0.67749999999999999</v>
          </cell>
          <cell r="AV216">
            <v>19.905210000000004</v>
          </cell>
          <cell r="AW216">
            <v>0.58935599999999999</v>
          </cell>
          <cell r="AX216">
            <v>13.857569999999999</v>
          </cell>
          <cell r="AY216">
            <v>326.21625</v>
          </cell>
          <cell r="AZ216">
            <v>10</v>
          </cell>
          <cell r="BA216">
            <v>10</v>
          </cell>
          <cell r="BB216">
            <v>10</v>
          </cell>
          <cell r="BC216">
            <v>10</v>
          </cell>
          <cell r="BD216">
            <v>10</v>
          </cell>
          <cell r="BE216">
            <v>10</v>
          </cell>
          <cell r="BF216">
            <v>2.9608127721335264E-2</v>
          </cell>
          <cell r="BI216">
            <v>180</v>
          </cell>
          <cell r="BK216">
            <v>39796.3125</v>
          </cell>
          <cell r="BL216">
            <v>374793.49400000001</v>
          </cell>
          <cell r="BM216">
            <v>315622.59999999998</v>
          </cell>
          <cell r="BN216">
            <v>59170.894</v>
          </cell>
          <cell r="BO216">
            <v>604718.72355899995</v>
          </cell>
          <cell r="BP216">
            <v>-55795.445978999996</v>
          </cell>
          <cell r="BQ216">
            <v>660514.16953800002</v>
          </cell>
          <cell r="BR216">
            <v>403201.88353799999</v>
          </cell>
          <cell r="BS216">
            <v>14097.4</v>
          </cell>
          <cell r="BT216">
            <v>243214.886</v>
          </cell>
          <cell r="BU216">
            <v>911917.71755900001</v>
          </cell>
          <cell r="BV216">
            <v>212946.87122</v>
          </cell>
          <cell r="BW216">
            <v>642056.6</v>
          </cell>
          <cell r="BX216">
            <v>288014.59999999998</v>
          </cell>
          <cell r="BY216">
            <v>236600</v>
          </cell>
          <cell r="BZ216">
            <v>67594.500000000102</v>
          </cell>
          <cell r="CA216">
            <v>10</v>
          </cell>
          <cell r="CD216">
            <v>180</v>
          </cell>
          <cell r="CF216">
            <v>39796.3125</v>
          </cell>
          <cell r="CJ216">
            <v>8.5</v>
          </cell>
          <cell r="CK216">
            <v>13.19</v>
          </cell>
          <cell r="CL216">
            <v>1.5</v>
          </cell>
          <cell r="CM216">
            <v>16</v>
          </cell>
          <cell r="CN216">
            <v>11.5</v>
          </cell>
          <cell r="CO216">
            <v>15</v>
          </cell>
          <cell r="CP216">
            <v>12</v>
          </cell>
          <cell r="CQ216">
            <v>26.99</v>
          </cell>
          <cell r="CR216">
            <v>3.5</v>
          </cell>
          <cell r="CS216">
            <v>18</v>
          </cell>
          <cell r="CT216">
            <v>27</v>
          </cell>
          <cell r="CY216">
            <v>180</v>
          </cell>
        </row>
        <row r="217">
          <cell r="A217">
            <v>39826.75</v>
          </cell>
          <cell r="B217">
            <v>99.231349532633686</v>
          </cell>
          <cell r="C217">
            <v>96.535009832309527</v>
          </cell>
          <cell r="D217">
            <v>98.280013398492414</v>
          </cell>
          <cell r="E217">
            <v>100.92657870733881</v>
          </cell>
          <cell r="F217">
            <v>98.204465301205957</v>
          </cell>
          <cell r="G217">
            <v>37.955889304673896</v>
          </cell>
          <cell r="H217">
            <v>97.591623161844112</v>
          </cell>
          <cell r="I217">
            <v>95.133823707114431</v>
          </cell>
          <cell r="J217">
            <v>99.245954380854528</v>
          </cell>
          <cell r="K217">
            <v>100</v>
          </cell>
          <cell r="L217">
            <v>100.65853663616328</v>
          </cell>
          <cell r="M217">
            <v>102.29899500956436</v>
          </cell>
          <cell r="N217">
            <v>97.329025892466774</v>
          </cell>
          <cell r="R217">
            <v>181</v>
          </cell>
          <cell r="T217">
            <v>39826.75</v>
          </cell>
          <cell r="AN217">
            <v>0</v>
          </cell>
          <cell r="AP217">
            <v>39826.75</v>
          </cell>
          <cell r="AQ217">
            <v>495.4</v>
          </cell>
          <cell r="AR217">
            <v>43.86</v>
          </cell>
          <cell r="AS217">
            <v>1.272</v>
          </cell>
          <cell r="AT217">
            <v>30.3</v>
          </cell>
          <cell r="AU217">
            <v>0.67749999999999999</v>
          </cell>
          <cell r="AV217">
            <v>21.728244</v>
          </cell>
          <cell r="AW217">
            <v>0.63014879999999995</v>
          </cell>
          <cell r="AX217">
            <v>15.010619999999999</v>
          </cell>
          <cell r="AY217">
            <v>335.63349999999997</v>
          </cell>
          <cell r="AZ217">
            <v>10</v>
          </cell>
          <cell r="BA217">
            <v>10</v>
          </cell>
          <cell r="BB217">
            <v>10</v>
          </cell>
          <cell r="BC217">
            <v>10</v>
          </cell>
          <cell r="BD217">
            <v>10</v>
          </cell>
          <cell r="BE217">
            <v>10</v>
          </cell>
          <cell r="BF217">
            <v>2.9001367989056084E-2</v>
          </cell>
          <cell r="BI217">
            <v>181</v>
          </cell>
          <cell r="BK217">
            <v>39826.75</v>
          </cell>
          <cell r="BL217">
            <v>394118.81400000001</v>
          </cell>
          <cell r="BM217">
            <v>301043.7</v>
          </cell>
          <cell r="BN217">
            <v>93075.114000000001</v>
          </cell>
          <cell r="BO217">
            <v>595094.09324900003</v>
          </cell>
          <cell r="BP217">
            <v>-63532.606052000003</v>
          </cell>
          <cell r="BQ217">
            <v>658626.69930099999</v>
          </cell>
          <cell r="BR217">
            <v>388326.43330099998</v>
          </cell>
          <cell r="BS217">
            <v>26012.38</v>
          </cell>
          <cell r="BT217">
            <v>244287.886</v>
          </cell>
          <cell r="BU217">
            <v>923705.40724900004</v>
          </cell>
          <cell r="BV217">
            <v>222458.930249</v>
          </cell>
          <cell r="BW217">
            <v>644389.6</v>
          </cell>
          <cell r="BX217">
            <v>290343.59999999998</v>
          </cell>
          <cell r="BY217">
            <v>235507</v>
          </cell>
          <cell r="BZ217">
            <v>65507.5</v>
          </cell>
          <cell r="CA217">
            <v>10</v>
          </cell>
          <cell r="CD217">
            <v>181</v>
          </cell>
          <cell r="CF217">
            <v>39826.75</v>
          </cell>
          <cell r="CJ217">
            <v>8.5</v>
          </cell>
          <cell r="CK217">
            <v>13.19</v>
          </cell>
          <cell r="CL217">
            <v>1.5</v>
          </cell>
          <cell r="CM217">
            <v>16</v>
          </cell>
          <cell r="CN217">
            <v>11.5</v>
          </cell>
          <cell r="CO217">
            <v>15</v>
          </cell>
          <cell r="CP217">
            <v>12</v>
          </cell>
          <cell r="CQ217">
            <v>26.99</v>
          </cell>
          <cell r="CR217">
            <v>3.5</v>
          </cell>
          <cell r="CS217">
            <v>18</v>
          </cell>
          <cell r="CT217">
            <v>27</v>
          </cell>
          <cell r="CY217">
            <v>181</v>
          </cell>
        </row>
        <row r="218">
          <cell r="A218">
            <v>39857.1875</v>
          </cell>
          <cell r="B218">
            <v>100.62091603909755</v>
          </cell>
          <cell r="C218">
            <v>98.672514177113143</v>
          </cell>
          <cell r="D218">
            <v>100.41096395328098</v>
          </cell>
          <cell r="E218">
            <v>101.23141030883579</v>
          </cell>
          <cell r="F218">
            <v>100.22893180733716</v>
          </cell>
          <cell r="G218">
            <v>98.430185459877976</v>
          </cell>
          <cell r="H218">
            <v>98.313273622587687</v>
          </cell>
          <cell r="I218">
            <v>96.229530602193734</v>
          </cell>
          <cell r="J218">
            <v>99.245954380854528</v>
          </cell>
          <cell r="K218">
            <v>100</v>
          </cell>
          <cell r="L218">
            <v>100.67006206589178</v>
          </cell>
          <cell r="M218">
            <v>102.29899500956436</v>
          </cell>
          <cell r="N218">
            <v>99.951015966845461</v>
          </cell>
          <cell r="R218">
            <v>182</v>
          </cell>
          <cell r="T218">
            <v>39857.1875</v>
          </cell>
          <cell r="AN218">
            <v>0</v>
          </cell>
          <cell r="AP218">
            <v>39857.1875</v>
          </cell>
          <cell r="AQ218">
            <v>513.1</v>
          </cell>
          <cell r="AR218">
            <v>41.84</v>
          </cell>
          <cell r="AS218">
            <v>1.2170000000000001</v>
          </cell>
          <cell r="AT218">
            <v>33.299999999999997</v>
          </cell>
          <cell r="AU218">
            <v>0.67749999999999999</v>
          </cell>
          <cell r="AV218">
            <v>21.468104000000004</v>
          </cell>
          <cell r="AW218">
            <v>0.62444270000000002</v>
          </cell>
          <cell r="AX218">
            <v>17.08623</v>
          </cell>
          <cell r="AY218">
            <v>347.62524999999999</v>
          </cell>
          <cell r="AZ218">
            <v>10</v>
          </cell>
          <cell r="BA218">
            <v>10</v>
          </cell>
          <cell r="BB218">
            <v>10</v>
          </cell>
          <cell r="BC218">
            <v>10</v>
          </cell>
          <cell r="BD218">
            <v>10</v>
          </cell>
          <cell r="BE218">
            <v>10</v>
          </cell>
          <cell r="BF218">
            <v>2.9086998087954105E-2</v>
          </cell>
          <cell r="BI218">
            <v>182</v>
          </cell>
          <cell r="BK218">
            <v>39857.1875</v>
          </cell>
          <cell r="BL218">
            <v>390046.71399999998</v>
          </cell>
          <cell r="BM218">
            <v>328227.59999999998</v>
          </cell>
          <cell r="BN218">
            <v>61819.114000000001</v>
          </cell>
          <cell r="BO218">
            <v>608773.41767899995</v>
          </cell>
          <cell r="BP218">
            <v>-58043.774651</v>
          </cell>
          <cell r="BQ218">
            <v>666817.19232999999</v>
          </cell>
          <cell r="BR218">
            <v>382090.06633</v>
          </cell>
          <cell r="BS218">
            <v>40604.400000000001</v>
          </cell>
          <cell r="BT218">
            <v>244122.726</v>
          </cell>
          <cell r="BU218">
            <v>943391.63167899998</v>
          </cell>
          <cell r="BV218">
            <v>227546.13967900001</v>
          </cell>
          <cell r="BW218">
            <v>658015.80000000005</v>
          </cell>
          <cell r="BX218">
            <v>302033.8</v>
          </cell>
          <cell r="BY218">
            <v>234959</v>
          </cell>
          <cell r="BZ218">
            <v>55428.499999999804</v>
          </cell>
          <cell r="CA218">
            <v>10</v>
          </cell>
          <cell r="CD218">
            <v>182</v>
          </cell>
          <cell r="CF218">
            <v>39857.1875</v>
          </cell>
          <cell r="CJ218">
            <v>8.5</v>
          </cell>
          <cell r="CK218">
            <v>13.19</v>
          </cell>
          <cell r="CL218">
            <v>1.5</v>
          </cell>
          <cell r="CM218">
            <v>16</v>
          </cell>
          <cell r="CN218">
            <v>11.5</v>
          </cell>
          <cell r="CO218">
            <v>15</v>
          </cell>
          <cell r="CP218">
            <v>12</v>
          </cell>
          <cell r="CQ218">
            <v>26.99</v>
          </cell>
          <cell r="CR218">
            <v>3.5</v>
          </cell>
          <cell r="CS218">
            <v>18</v>
          </cell>
          <cell r="CT218">
            <v>27</v>
          </cell>
          <cell r="CY218">
            <v>182</v>
          </cell>
        </row>
        <row r="219">
          <cell r="A219">
            <v>39887.625</v>
          </cell>
          <cell r="B219">
            <v>100.49353773481742</v>
          </cell>
          <cell r="C219">
            <v>97.377318861479864</v>
          </cell>
          <cell r="D219">
            <v>100.41096395328098</v>
          </cell>
          <cell r="E219">
            <v>100.99413010051381</v>
          </cell>
          <cell r="F219">
            <v>100.22893180733716</v>
          </cell>
          <cell r="G219">
            <v>99.722323421173769</v>
          </cell>
          <cell r="H219">
            <v>98.433213234627004</v>
          </cell>
          <cell r="I219">
            <v>95.265048965707066</v>
          </cell>
          <cell r="J219">
            <v>99.245954380854528</v>
          </cell>
          <cell r="K219">
            <v>100</v>
          </cell>
          <cell r="L219">
            <v>100.59083427742695</v>
          </cell>
          <cell r="M219">
            <v>102.29899500956436</v>
          </cell>
          <cell r="N219">
            <v>99.831777601675014</v>
          </cell>
          <cell r="R219">
            <v>183</v>
          </cell>
          <cell r="T219">
            <v>39887.625</v>
          </cell>
          <cell r="AN219">
            <v>0</v>
          </cell>
          <cell r="AP219">
            <v>39887.625</v>
          </cell>
          <cell r="AQ219">
            <v>503.1</v>
          </cell>
          <cell r="AR219">
            <v>46.65</v>
          </cell>
          <cell r="AS219">
            <v>1.1359999999999999</v>
          </cell>
          <cell r="AT219">
            <v>32.6</v>
          </cell>
          <cell r="AU219">
            <v>0.67749999999999999</v>
          </cell>
          <cell r="AV219">
            <v>23.469615000000001</v>
          </cell>
          <cell r="AW219">
            <v>0.57152159999999996</v>
          </cell>
          <cell r="AX219">
            <v>16.401060000000001</v>
          </cell>
          <cell r="AY219">
            <v>340.85025000000002</v>
          </cell>
          <cell r="AZ219">
            <v>10</v>
          </cell>
          <cell r="BA219">
            <v>10</v>
          </cell>
          <cell r="BB219">
            <v>10</v>
          </cell>
          <cell r="BC219">
            <v>10</v>
          </cell>
          <cell r="BD219">
            <v>10</v>
          </cell>
          <cell r="BE219">
            <v>10</v>
          </cell>
          <cell r="BF219">
            <v>2.4351554126473739E-2</v>
          </cell>
          <cell r="BI219">
            <v>183</v>
          </cell>
          <cell r="BK219">
            <v>39887.625</v>
          </cell>
          <cell r="BL219">
            <v>411462.01400000002</v>
          </cell>
          <cell r="BM219">
            <v>332053.90000000002</v>
          </cell>
          <cell r="BN219">
            <v>79408.114000000001</v>
          </cell>
          <cell r="BO219">
            <v>606618.19347699999</v>
          </cell>
          <cell r="BP219">
            <v>-61851.568983999998</v>
          </cell>
          <cell r="BQ219">
            <v>668469.76246100001</v>
          </cell>
          <cell r="BR219">
            <v>379734.47646099998</v>
          </cell>
          <cell r="BS219">
            <v>40604.400000000001</v>
          </cell>
          <cell r="BT219">
            <v>248130.886</v>
          </cell>
          <cell r="BU219">
            <v>945933.90747700003</v>
          </cell>
          <cell r="BV219">
            <v>222236.249477</v>
          </cell>
          <cell r="BW219">
            <v>663977.80000000005</v>
          </cell>
          <cell r="BX219">
            <v>300227.8</v>
          </cell>
          <cell r="BY219">
            <v>241675</v>
          </cell>
          <cell r="BZ219">
            <v>72146.300000000105</v>
          </cell>
          <cell r="CA219">
            <v>10</v>
          </cell>
          <cell r="CD219">
            <v>183</v>
          </cell>
          <cell r="CF219">
            <v>39887.625</v>
          </cell>
          <cell r="CJ219">
            <v>8.5</v>
          </cell>
          <cell r="CK219">
            <v>13.19</v>
          </cell>
          <cell r="CL219">
            <v>1.5</v>
          </cell>
          <cell r="CM219">
            <v>16</v>
          </cell>
          <cell r="CN219">
            <v>11.5</v>
          </cell>
          <cell r="CO219">
            <v>15</v>
          </cell>
          <cell r="CP219">
            <v>12</v>
          </cell>
          <cell r="CQ219">
            <v>26.99</v>
          </cell>
          <cell r="CR219">
            <v>3.5</v>
          </cell>
          <cell r="CS219">
            <v>18</v>
          </cell>
          <cell r="CT219">
            <v>27</v>
          </cell>
          <cell r="CY219">
            <v>183</v>
          </cell>
        </row>
        <row r="220">
          <cell r="A220">
            <v>39918.0625</v>
          </cell>
          <cell r="B220">
            <v>101.37993791869063</v>
          </cell>
          <cell r="C220">
            <v>94.25662583812219</v>
          </cell>
          <cell r="D220">
            <v>100.41096395328098</v>
          </cell>
          <cell r="E220">
            <v>100.2825500655336</v>
          </cell>
          <cell r="F220">
            <v>100.364762903742</v>
          </cell>
          <cell r="G220">
            <v>99.722323421173769</v>
          </cell>
          <cell r="H220">
            <v>98.313273622587687</v>
          </cell>
          <cell r="I220">
            <v>95.937762500898984</v>
          </cell>
          <cell r="J220">
            <v>99.245954380854528</v>
          </cell>
          <cell r="K220">
            <v>100</v>
          </cell>
          <cell r="L220">
            <v>100.03204175396735</v>
          </cell>
          <cell r="M220">
            <v>102.32894342063291</v>
          </cell>
          <cell r="N220">
            <v>100.01955338963221</v>
          </cell>
          <cell r="R220">
            <v>184</v>
          </cell>
          <cell r="T220">
            <v>39918.0625</v>
          </cell>
          <cell r="AN220">
            <v>0</v>
          </cell>
          <cell r="AP220">
            <v>39918.0625</v>
          </cell>
          <cell r="AQ220">
            <v>497.3</v>
          </cell>
          <cell r="AR220">
            <v>50.28</v>
          </cell>
          <cell r="AS220">
            <v>1.252</v>
          </cell>
          <cell r="AT220">
            <v>31.4</v>
          </cell>
          <cell r="AU220">
            <v>0.67749999999999999</v>
          </cell>
          <cell r="AV220">
            <v>25.004244000000003</v>
          </cell>
          <cell r="AW220">
            <v>0.62261959999999994</v>
          </cell>
          <cell r="AX220">
            <v>15.615219999999999</v>
          </cell>
          <cell r="AY220">
            <v>336.92075</v>
          </cell>
          <cell r="AZ220">
            <v>10</v>
          </cell>
          <cell r="BA220">
            <v>10</v>
          </cell>
          <cell r="BB220">
            <v>10</v>
          </cell>
          <cell r="BC220">
            <v>10</v>
          </cell>
          <cell r="BD220">
            <v>10</v>
          </cell>
          <cell r="BE220">
            <v>10</v>
          </cell>
          <cell r="BF220">
            <v>2.4900556881463799E-2</v>
          </cell>
          <cell r="BI220">
            <v>184</v>
          </cell>
          <cell r="BK220">
            <v>39918.0625</v>
          </cell>
          <cell r="BL220">
            <v>443193.114</v>
          </cell>
          <cell r="BM220">
            <v>336214</v>
          </cell>
          <cell r="BN220">
            <v>106979.114</v>
          </cell>
          <cell r="BO220">
            <v>611958.24097499996</v>
          </cell>
          <cell r="BP220">
            <v>-65564.502345999994</v>
          </cell>
          <cell r="BQ220">
            <v>677522.74332100002</v>
          </cell>
          <cell r="BR220">
            <v>384690.337321</v>
          </cell>
          <cell r="BS220">
            <v>45070.52</v>
          </cell>
          <cell r="BT220">
            <v>247761.886</v>
          </cell>
          <cell r="BU220">
            <v>985265.55497499998</v>
          </cell>
          <cell r="BV220">
            <v>231281.02497500001</v>
          </cell>
          <cell r="BW220">
            <v>693887</v>
          </cell>
          <cell r="BX220">
            <v>329084</v>
          </cell>
          <cell r="BY220">
            <v>240262</v>
          </cell>
          <cell r="BZ220">
            <v>69885.800000000294</v>
          </cell>
          <cell r="CA220">
            <v>10</v>
          </cell>
          <cell r="CD220">
            <v>184</v>
          </cell>
          <cell r="CF220">
            <v>39918.0625</v>
          </cell>
          <cell r="CJ220">
            <v>8.5</v>
          </cell>
          <cell r="CK220">
            <v>13.19</v>
          </cell>
          <cell r="CL220">
            <v>1.5</v>
          </cell>
          <cell r="CM220">
            <v>16</v>
          </cell>
          <cell r="CN220">
            <v>11.5</v>
          </cell>
          <cell r="CO220">
            <v>15</v>
          </cell>
          <cell r="CP220">
            <v>12</v>
          </cell>
          <cell r="CQ220">
            <v>26.99</v>
          </cell>
          <cell r="CR220">
            <v>3.5</v>
          </cell>
          <cell r="CS220">
            <v>18</v>
          </cell>
          <cell r="CT220">
            <v>27</v>
          </cell>
          <cell r="CY220">
            <v>184</v>
          </cell>
        </row>
        <row r="221">
          <cell r="A221">
            <v>39948.5</v>
          </cell>
          <cell r="B221">
            <v>102.24270551511123</v>
          </cell>
          <cell r="C221">
            <v>94.295047270704202</v>
          </cell>
          <cell r="D221">
            <v>100.41096395328098</v>
          </cell>
          <cell r="E221">
            <v>100.89821970819916</v>
          </cell>
          <cell r="F221">
            <v>100.36903675339586</v>
          </cell>
          <cell r="G221">
            <v>99.722323421173769</v>
          </cell>
          <cell r="H221">
            <v>98.282555983306978</v>
          </cell>
          <cell r="I221">
            <v>95.633757858352823</v>
          </cell>
          <cell r="J221">
            <v>99.175811735529805</v>
          </cell>
          <cell r="K221">
            <v>100</v>
          </cell>
          <cell r="L221">
            <v>100.27980032945565</v>
          </cell>
          <cell r="M221">
            <v>102.32894342063291</v>
          </cell>
          <cell r="N221">
            <v>100.39225767246656</v>
          </cell>
          <cell r="R221">
            <v>185</v>
          </cell>
          <cell r="T221">
            <v>39948.5</v>
          </cell>
          <cell r="AN221">
            <v>0</v>
          </cell>
          <cell r="AP221">
            <v>39948.5</v>
          </cell>
          <cell r="AQ221">
            <v>481.3</v>
          </cell>
          <cell r="AR221">
            <v>58.15</v>
          </cell>
          <cell r="AS221">
            <v>1.367</v>
          </cell>
          <cell r="AT221">
            <v>32.799999999999997</v>
          </cell>
          <cell r="AU221">
            <v>0.67749999999999999</v>
          </cell>
          <cell r="AV221">
            <v>27.987595000000002</v>
          </cell>
          <cell r="AW221">
            <v>0.65793709999999994</v>
          </cell>
          <cell r="AX221">
            <v>15.78664</v>
          </cell>
          <cell r="AY221">
            <v>326.08075000000002</v>
          </cell>
          <cell r="AZ221">
            <v>10</v>
          </cell>
          <cell r="BA221">
            <v>10</v>
          </cell>
          <cell r="BB221">
            <v>10</v>
          </cell>
          <cell r="BC221">
            <v>10</v>
          </cell>
          <cell r="BD221">
            <v>10</v>
          </cell>
          <cell r="BE221">
            <v>10</v>
          </cell>
          <cell r="BF221">
            <v>2.3508168529664655E-2</v>
          </cell>
          <cell r="BI221">
            <v>185</v>
          </cell>
          <cell r="BK221">
            <v>39948.5</v>
          </cell>
          <cell r="BL221">
            <v>451113.81400000001</v>
          </cell>
          <cell r="BM221">
            <v>344306.7</v>
          </cell>
          <cell r="BN221">
            <v>106807.114</v>
          </cell>
          <cell r="BO221">
            <v>629803.75953299995</v>
          </cell>
          <cell r="BP221">
            <v>-45222.488522</v>
          </cell>
          <cell r="BQ221">
            <v>675026.24805499997</v>
          </cell>
          <cell r="BR221">
            <v>377878.78205500002</v>
          </cell>
          <cell r="BS221">
            <v>49551.58</v>
          </cell>
          <cell r="BT221">
            <v>247595.886</v>
          </cell>
          <cell r="BU221">
            <v>1016785.793533</v>
          </cell>
          <cell r="BV221">
            <v>240752.51053299999</v>
          </cell>
          <cell r="BW221">
            <v>715670.3</v>
          </cell>
          <cell r="BX221">
            <v>330801.3</v>
          </cell>
          <cell r="BY221">
            <v>255365</v>
          </cell>
          <cell r="BZ221">
            <v>64131.779999999897</v>
          </cell>
          <cell r="CA221">
            <v>10</v>
          </cell>
          <cell r="CD221">
            <v>185</v>
          </cell>
          <cell r="CF221">
            <v>39948.5</v>
          </cell>
          <cell r="CJ221">
            <v>8.5</v>
          </cell>
          <cell r="CK221">
            <v>13.19</v>
          </cell>
          <cell r="CL221">
            <v>1.5</v>
          </cell>
          <cell r="CM221">
            <v>16</v>
          </cell>
          <cell r="CN221">
            <v>11.5</v>
          </cell>
          <cell r="CO221">
            <v>15</v>
          </cell>
          <cell r="CP221">
            <v>12</v>
          </cell>
          <cell r="CQ221">
            <v>26.99</v>
          </cell>
          <cell r="CR221">
            <v>3.5</v>
          </cell>
          <cell r="CS221">
            <v>18</v>
          </cell>
          <cell r="CT221">
            <v>27</v>
          </cell>
          <cell r="CY221">
            <v>185</v>
          </cell>
        </row>
        <row r="222">
          <cell r="A222">
            <v>39978.9375</v>
          </cell>
          <cell r="B222">
            <v>102.23803848327354</v>
          </cell>
          <cell r="C222">
            <v>94.465358224956759</v>
          </cell>
          <cell r="D222">
            <v>100.41096395328098</v>
          </cell>
          <cell r="E222">
            <v>100.32870450448546</v>
          </cell>
          <cell r="F222">
            <v>100.36903675339586</v>
          </cell>
          <cell r="G222">
            <v>99.722427331402741</v>
          </cell>
          <cell r="H222">
            <v>98.282555983306978</v>
          </cell>
          <cell r="I222">
            <v>94.738572639157127</v>
          </cell>
          <cell r="J222">
            <v>99.228506552759455</v>
          </cell>
          <cell r="K222">
            <v>100</v>
          </cell>
          <cell r="L222">
            <v>100.33857238833612</v>
          </cell>
          <cell r="M222">
            <v>102.32894342063291</v>
          </cell>
          <cell r="N222">
            <v>100.28149645704413</v>
          </cell>
          <cell r="R222">
            <v>186</v>
          </cell>
          <cell r="T222">
            <v>39978.9375</v>
          </cell>
          <cell r="AN222">
            <v>0</v>
          </cell>
          <cell r="AP222">
            <v>39978.9375</v>
          </cell>
          <cell r="AQ222">
            <v>468</v>
          </cell>
          <cell r="AR222">
            <v>69.150000000000006</v>
          </cell>
          <cell r="AS222">
            <v>1.3540000000000001</v>
          </cell>
          <cell r="AT222">
            <v>33.4</v>
          </cell>
          <cell r="AU222">
            <v>0.67749999999999999</v>
          </cell>
          <cell r="AV222">
            <v>32.362200000000001</v>
          </cell>
          <cell r="AW222">
            <v>0.63367200000000001</v>
          </cell>
          <cell r="AX222">
            <v>15.6312</v>
          </cell>
          <cell r="AY222">
            <v>317.07</v>
          </cell>
          <cell r="AZ222">
            <v>10</v>
          </cell>
          <cell r="BA222">
            <v>10</v>
          </cell>
          <cell r="BB222">
            <v>10</v>
          </cell>
          <cell r="BC222">
            <v>10</v>
          </cell>
          <cell r="BD222">
            <v>10</v>
          </cell>
          <cell r="BE222">
            <v>10</v>
          </cell>
          <cell r="BF222">
            <v>1.9580621836587129E-2</v>
          </cell>
          <cell r="BI222">
            <v>186</v>
          </cell>
          <cell r="BK222">
            <v>39978.9375</v>
          </cell>
          <cell r="BL222">
            <v>491384.614</v>
          </cell>
          <cell r="BM222">
            <v>385323.5</v>
          </cell>
          <cell r="BN222">
            <v>106061.114</v>
          </cell>
          <cell r="BO222">
            <v>594019.23829000001</v>
          </cell>
          <cell r="BP222">
            <v>-62474.211819999997</v>
          </cell>
          <cell r="BQ222">
            <v>656493.45010999998</v>
          </cell>
          <cell r="BR222">
            <v>356918.77411</v>
          </cell>
          <cell r="BS222">
            <v>50612.79</v>
          </cell>
          <cell r="BT222">
            <v>248961.886</v>
          </cell>
          <cell r="BU222">
            <v>1001644.45229</v>
          </cell>
          <cell r="BV222">
            <v>238827.53328999999</v>
          </cell>
          <cell r="BW222">
            <v>701780.4</v>
          </cell>
          <cell r="BX222">
            <v>316950.40000000002</v>
          </cell>
          <cell r="BY222">
            <v>252393</v>
          </cell>
          <cell r="BZ222">
            <v>83759.400000000096</v>
          </cell>
          <cell r="CA222">
            <v>10</v>
          </cell>
          <cell r="CD222">
            <v>186</v>
          </cell>
          <cell r="CF222">
            <v>39978.9375</v>
          </cell>
          <cell r="CJ222">
            <v>8.5</v>
          </cell>
          <cell r="CK222">
            <v>13.19</v>
          </cell>
          <cell r="CL222">
            <v>1.5</v>
          </cell>
          <cell r="CM222">
            <v>16</v>
          </cell>
          <cell r="CN222">
            <v>11.5</v>
          </cell>
          <cell r="CO222">
            <v>15</v>
          </cell>
          <cell r="CP222">
            <v>12</v>
          </cell>
          <cell r="CQ222">
            <v>26.99</v>
          </cell>
          <cell r="CR222">
            <v>3.5</v>
          </cell>
          <cell r="CS222">
            <v>18</v>
          </cell>
          <cell r="CT222">
            <v>27</v>
          </cell>
          <cell r="CY222">
            <v>186</v>
          </cell>
        </row>
        <row r="223">
          <cell r="A223">
            <v>40009.375</v>
          </cell>
          <cell r="B223">
            <v>109.17865216707541</v>
          </cell>
          <cell r="C223">
            <v>101.03925197111327</v>
          </cell>
          <cell r="D223">
            <v>100.41096395328098</v>
          </cell>
          <cell r="E223">
            <v>102.27530953618638</v>
          </cell>
          <cell r="F223">
            <v>98.724850727277484</v>
          </cell>
          <cell r="G223">
            <v>99.722427331402741</v>
          </cell>
          <cell r="H223">
            <v>98.314310808087086</v>
          </cell>
          <cell r="I223">
            <v>94.603172837466857</v>
          </cell>
          <cell r="J223">
            <v>99.228506552759455</v>
          </cell>
          <cell r="K223">
            <v>100</v>
          </cell>
          <cell r="L223">
            <v>99.978612609530572</v>
          </cell>
          <cell r="M223">
            <v>102.32894342063291</v>
          </cell>
          <cell r="N223">
            <v>103.05309527777098</v>
          </cell>
          <cell r="R223">
            <v>187</v>
          </cell>
          <cell r="T223">
            <v>40009.375</v>
          </cell>
          <cell r="AN223">
            <v>0</v>
          </cell>
          <cell r="AP223">
            <v>40009.375</v>
          </cell>
          <cell r="AQ223">
            <v>465.7</v>
          </cell>
          <cell r="AR223">
            <v>64.67</v>
          </cell>
          <cell r="AS223">
            <v>1.429</v>
          </cell>
          <cell r="AT223">
            <v>32.9</v>
          </cell>
          <cell r="AU223">
            <v>0.67749999999999999</v>
          </cell>
          <cell r="AV223">
            <v>30.116819</v>
          </cell>
          <cell r="AW223">
            <v>0.66548530000000006</v>
          </cell>
          <cell r="AX223">
            <v>15.321529999999999</v>
          </cell>
          <cell r="AY223">
            <v>315.51175000000001</v>
          </cell>
          <cell r="AZ223">
            <v>10</v>
          </cell>
          <cell r="BA223">
            <v>10</v>
          </cell>
          <cell r="BB223">
            <v>10</v>
          </cell>
          <cell r="BC223">
            <v>10</v>
          </cell>
          <cell r="BD223">
            <v>10</v>
          </cell>
          <cell r="BE223">
            <v>10</v>
          </cell>
          <cell r="BF223">
            <v>2.2096799134065256E-2</v>
          </cell>
          <cell r="BI223">
            <v>187</v>
          </cell>
          <cell r="BK223">
            <v>40009.375</v>
          </cell>
          <cell r="BL223">
            <v>464738.21399999998</v>
          </cell>
          <cell r="BM223">
            <v>359716.1</v>
          </cell>
          <cell r="BN223">
            <v>105022.114</v>
          </cell>
          <cell r="BO223">
            <v>622626.277183</v>
          </cell>
          <cell r="BP223">
            <v>-51932.890872000004</v>
          </cell>
          <cell r="BQ223">
            <v>674559.16805500002</v>
          </cell>
          <cell r="BR223">
            <v>374402.55205499998</v>
          </cell>
          <cell r="BS223">
            <v>48912.73</v>
          </cell>
          <cell r="BT223">
            <v>251243.886</v>
          </cell>
          <cell r="BU223">
            <v>1007216.191183</v>
          </cell>
          <cell r="BV223">
            <v>242834.20018300001</v>
          </cell>
          <cell r="BW223">
            <v>701685.7</v>
          </cell>
          <cell r="BX223">
            <v>311365.7</v>
          </cell>
          <cell r="BY223">
            <v>255664</v>
          </cell>
          <cell r="BZ223">
            <v>80148.299999999901</v>
          </cell>
          <cell r="CA223">
            <v>10</v>
          </cell>
          <cell r="CD223">
            <v>187</v>
          </cell>
          <cell r="CF223">
            <v>40009.375</v>
          </cell>
          <cell r="CJ223">
            <v>8.5</v>
          </cell>
          <cell r="CK223">
            <v>13.19</v>
          </cell>
          <cell r="CL223">
            <v>1.5</v>
          </cell>
          <cell r="CM223">
            <v>16</v>
          </cell>
          <cell r="CN223">
            <v>11.5</v>
          </cell>
          <cell r="CO223">
            <v>17</v>
          </cell>
          <cell r="CP223">
            <v>12</v>
          </cell>
          <cell r="CQ223">
            <v>26.99</v>
          </cell>
          <cell r="CR223">
            <v>3.5</v>
          </cell>
          <cell r="CS223">
            <v>18</v>
          </cell>
          <cell r="CT223">
            <v>27</v>
          </cell>
          <cell r="CY223">
            <v>187</v>
          </cell>
        </row>
        <row r="224">
          <cell r="A224">
            <v>40039.8125</v>
          </cell>
          <cell r="B224">
            <v>109.0169584008913</v>
          </cell>
          <cell r="C224">
            <v>97.952270339606102</v>
          </cell>
          <cell r="D224">
            <v>100.41096395328098</v>
          </cell>
          <cell r="E224">
            <v>99.749866716530434</v>
          </cell>
          <cell r="F224">
            <v>98.733682784783142</v>
          </cell>
          <cell r="G224">
            <v>99.766576265249483</v>
          </cell>
          <cell r="H224">
            <v>98.282555983306978</v>
          </cell>
          <cell r="I224">
            <v>94.587645065166583</v>
          </cell>
          <cell r="J224">
            <v>99.228506552759455</v>
          </cell>
          <cell r="K224">
            <v>100</v>
          </cell>
          <cell r="L224">
            <v>100.04425412983862</v>
          </cell>
          <cell r="M224">
            <v>102.32894342063291</v>
          </cell>
          <cell r="N224">
            <v>102.69572504598194</v>
          </cell>
          <cell r="R224">
            <v>188</v>
          </cell>
          <cell r="T224">
            <v>40039.8125</v>
          </cell>
          <cell r="AN224">
            <v>0</v>
          </cell>
          <cell r="AP224">
            <v>40039.8125</v>
          </cell>
          <cell r="AQ224">
            <v>459.8</v>
          </cell>
          <cell r="AR224">
            <v>71.63</v>
          </cell>
          <cell r="AS224">
            <v>1.4179999999999999</v>
          </cell>
          <cell r="AT224">
            <v>33.4</v>
          </cell>
          <cell r="AU224">
            <v>0.67749999999999999</v>
          </cell>
          <cell r="AV224">
            <v>32.935473999999999</v>
          </cell>
          <cell r="AW224">
            <v>0.65199640000000003</v>
          </cell>
          <cell r="AX224">
            <v>15.35732</v>
          </cell>
          <cell r="AY224">
            <v>311.5145</v>
          </cell>
          <cell r="AZ224">
            <v>10</v>
          </cell>
          <cell r="BA224">
            <v>10</v>
          </cell>
          <cell r="BB224">
            <v>10</v>
          </cell>
          <cell r="BC224">
            <v>10</v>
          </cell>
          <cell r="BD224">
            <v>10</v>
          </cell>
          <cell r="BE224">
            <v>10</v>
          </cell>
          <cell r="BF224">
            <v>1.9796174787100378E-2</v>
          </cell>
          <cell r="BI224">
            <v>188</v>
          </cell>
          <cell r="BK224">
            <v>40039.8125</v>
          </cell>
          <cell r="BL224">
            <v>475782.71399999998</v>
          </cell>
          <cell r="BM224">
            <v>362580.6</v>
          </cell>
          <cell r="BN224">
            <v>113202.114</v>
          </cell>
          <cell r="BO224">
            <v>632565.84479200002</v>
          </cell>
          <cell r="BP224">
            <v>-62712.241208000101</v>
          </cell>
          <cell r="BQ224">
            <v>695278.08600000001</v>
          </cell>
          <cell r="BR224">
            <v>400414.55</v>
          </cell>
          <cell r="BS224">
            <v>48099.65</v>
          </cell>
          <cell r="BT224">
            <v>246763.886</v>
          </cell>
          <cell r="BU224">
            <v>1040394.958792</v>
          </cell>
          <cell r="BV224">
            <v>247788.70179200001</v>
          </cell>
          <cell r="BW224">
            <v>729157.8</v>
          </cell>
          <cell r="BX224">
            <v>312356.8</v>
          </cell>
          <cell r="BY224">
            <v>263928</v>
          </cell>
          <cell r="BZ224">
            <v>67953.600000000093</v>
          </cell>
          <cell r="CA224">
            <v>10</v>
          </cell>
          <cell r="CD224">
            <v>188</v>
          </cell>
          <cell r="CF224">
            <v>40039.8125</v>
          </cell>
          <cell r="CJ224">
            <v>8.5</v>
          </cell>
          <cell r="CK224">
            <v>13.19</v>
          </cell>
          <cell r="CL224">
            <v>1.5</v>
          </cell>
          <cell r="CM224">
            <v>16</v>
          </cell>
          <cell r="CN224">
            <v>11.5</v>
          </cell>
          <cell r="CO224">
            <v>17</v>
          </cell>
          <cell r="CP224">
            <v>12</v>
          </cell>
          <cell r="CQ224">
            <v>26.99</v>
          </cell>
          <cell r="CR224">
            <v>3.5</v>
          </cell>
          <cell r="CS224">
            <v>18</v>
          </cell>
          <cell r="CT224">
            <v>27</v>
          </cell>
          <cell r="CY224">
            <v>188</v>
          </cell>
        </row>
        <row r="225">
          <cell r="A225">
            <v>40070.25</v>
          </cell>
          <cell r="B225">
            <v>105.32131494411185</v>
          </cell>
          <cell r="C225">
            <v>98.08270893637048</v>
          </cell>
          <cell r="D225">
            <v>100.50134140051065</v>
          </cell>
          <cell r="E225">
            <v>98.803846717023248</v>
          </cell>
          <cell r="F225">
            <v>98.729931061662782</v>
          </cell>
          <cell r="G225">
            <v>99.72363570431844</v>
          </cell>
          <cell r="H225">
            <v>98.278915084766041</v>
          </cell>
          <cell r="I225">
            <v>94.128770146391474</v>
          </cell>
          <cell r="J225">
            <v>99.110510389437081</v>
          </cell>
          <cell r="K225">
            <v>100</v>
          </cell>
          <cell r="L225">
            <v>102.02036920050779</v>
          </cell>
          <cell r="M225">
            <v>102.32588400326908</v>
          </cell>
          <cell r="N225">
            <v>101.3929957660077</v>
          </cell>
          <cell r="R225">
            <v>189</v>
          </cell>
          <cell r="T225">
            <v>40070.25</v>
          </cell>
          <cell r="AN225">
            <v>0</v>
          </cell>
          <cell r="AP225">
            <v>40070.25</v>
          </cell>
          <cell r="AQ225">
            <v>450.5</v>
          </cell>
          <cell r="AR225">
            <v>68.349999999999994</v>
          </cell>
          <cell r="AS225">
            <v>1.413</v>
          </cell>
          <cell r="AT225">
            <v>35.1</v>
          </cell>
          <cell r="AU225">
            <v>0.67749999999999999</v>
          </cell>
          <cell r="AV225">
            <v>30.791674999999994</v>
          </cell>
          <cell r="AW225">
            <v>0.63655650000000008</v>
          </cell>
          <cell r="AX225">
            <v>15.812550000000002</v>
          </cell>
          <cell r="AY225">
            <v>305.21375</v>
          </cell>
          <cell r="AZ225">
            <v>10</v>
          </cell>
          <cell r="BA225">
            <v>10</v>
          </cell>
          <cell r="BB225">
            <v>10</v>
          </cell>
          <cell r="BC225">
            <v>10</v>
          </cell>
          <cell r="BD225">
            <v>10</v>
          </cell>
          <cell r="BE225">
            <v>10</v>
          </cell>
          <cell r="BF225">
            <v>2.0673006583760065E-2</v>
          </cell>
          <cell r="BI225">
            <v>189</v>
          </cell>
          <cell r="BK225">
            <v>40070.25</v>
          </cell>
          <cell r="BL225">
            <v>517187.614</v>
          </cell>
          <cell r="BM225">
            <v>407666.5</v>
          </cell>
          <cell r="BN225">
            <v>109521.114</v>
          </cell>
          <cell r="BO225">
            <v>591439.04737799999</v>
          </cell>
          <cell r="BP225">
            <v>-90500.638621999999</v>
          </cell>
          <cell r="BQ225">
            <v>681939.68599999999</v>
          </cell>
          <cell r="BR225">
            <v>390497.76</v>
          </cell>
          <cell r="BS225">
            <v>38721.040000000001</v>
          </cell>
          <cell r="BT225">
            <v>252720.886</v>
          </cell>
          <cell r="BU225">
            <v>1031976.961378</v>
          </cell>
          <cell r="BV225">
            <v>249657.71537799999</v>
          </cell>
          <cell r="BW225">
            <v>719163.2</v>
          </cell>
          <cell r="BX225">
            <v>316303.2</v>
          </cell>
          <cell r="BY225">
            <v>267841</v>
          </cell>
          <cell r="BZ225">
            <v>76649.700000000099</v>
          </cell>
          <cell r="CA225">
            <v>10</v>
          </cell>
          <cell r="CD225">
            <v>189</v>
          </cell>
          <cell r="CF225">
            <v>40070.25</v>
          </cell>
          <cell r="CJ225">
            <v>8.5</v>
          </cell>
          <cell r="CK225">
            <v>13.19</v>
          </cell>
          <cell r="CL225">
            <v>1.5</v>
          </cell>
          <cell r="CM225">
            <v>16</v>
          </cell>
          <cell r="CN225">
            <v>11.5</v>
          </cell>
          <cell r="CO225">
            <v>17</v>
          </cell>
          <cell r="CP225">
            <v>12</v>
          </cell>
          <cell r="CQ225">
            <v>26.99</v>
          </cell>
          <cell r="CR225">
            <v>3.5</v>
          </cell>
          <cell r="CS225">
            <v>18</v>
          </cell>
          <cell r="CT225">
            <v>27</v>
          </cell>
          <cell r="CY225">
            <v>189</v>
          </cell>
        </row>
        <row r="226">
          <cell r="A226">
            <v>40100.6875</v>
          </cell>
          <cell r="B226">
            <v>106.22334509039126</v>
          </cell>
          <cell r="C226">
            <v>99.272072857121259</v>
          </cell>
          <cell r="D226">
            <v>100.50134140051065</v>
          </cell>
          <cell r="E226">
            <v>99.781087546934771</v>
          </cell>
          <cell r="F226">
            <v>98.738763119168439</v>
          </cell>
          <cell r="G226">
            <v>99.72363570431844</v>
          </cell>
          <cell r="H226">
            <v>98.278915084766041</v>
          </cell>
          <cell r="I226">
            <v>93.951235324193931</v>
          </cell>
          <cell r="J226">
            <v>99.098129604268422</v>
          </cell>
          <cell r="K226">
            <v>101.67292137648329</v>
          </cell>
          <cell r="L226">
            <v>100.00647209198689</v>
          </cell>
          <cell r="M226">
            <v>102.32588400326908</v>
          </cell>
          <cell r="N226">
            <v>101.6952633909508</v>
          </cell>
          <cell r="R226">
            <v>190</v>
          </cell>
          <cell r="T226">
            <v>40100.6875</v>
          </cell>
          <cell r="AN226">
            <v>0</v>
          </cell>
          <cell r="AP226">
            <v>40100.6875</v>
          </cell>
          <cell r="AQ226">
            <v>442.8</v>
          </cell>
          <cell r="AR226">
            <v>74.08</v>
          </cell>
          <cell r="AS226">
            <v>1.4730000000000001</v>
          </cell>
          <cell r="AT226">
            <v>36.799999999999997</v>
          </cell>
          <cell r="AU226">
            <v>0.67749999999999999</v>
          </cell>
          <cell r="AV226">
            <v>32.802624000000002</v>
          </cell>
          <cell r="AW226">
            <v>0.65224440000000006</v>
          </cell>
          <cell r="AX226">
            <v>16.29504</v>
          </cell>
          <cell r="AY226">
            <v>299.99700000000001</v>
          </cell>
          <cell r="AZ226">
            <v>10</v>
          </cell>
          <cell r="BA226">
            <v>10</v>
          </cell>
          <cell r="BB226">
            <v>10</v>
          </cell>
          <cell r="BC226">
            <v>10</v>
          </cell>
          <cell r="BD226">
            <v>10</v>
          </cell>
          <cell r="BE226">
            <v>10</v>
          </cell>
          <cell r="BF226">
            <v>1.9883909287257022E-2</v>
          </cell>
          <cell r="BI226">
            <v>190</v>
          </cell>
          <cell r="BK226">
            <v>40100.6875</v>
          </cell>
          <cell r="BL226">
            <v>523358.114</v>
          </cell>
          <cell r="BM226">
            <v>413174</v>
          </cell>
          <cell r="BN226">
            <v>110184.114</v>
          </cell>
          <cell r="BO226">
            <v>612801.75954600004</v>
          </cell>
          <cell r="BP226">
            <v>-82034.926453999899</v>
          </cell>
          <cell r="BQ226">
            <v>694836.68599999999</v>
          </cell>
          <cell r="BR226">
            <v>406517.2</v>
          </cell>
          <cell r="BS226">
            <v>30242.6</v>
          </cell>
          <cell r="BT226">
            <v>258076.886</v>
          </cell>
          <cell r="BU226">
            <v>1045690.973546</v>
          </cell>
          <cell r="BV226">
            <v>252877.60254600001</v>
          </cell>
          <cell r="BW226">
            <v>729185.5</v>
          </cell>
          <cell r="BX226">
            <v>320394.5</v>
          </cell>
          <cell r="BY226">
            <v>273986</v>
          </cell>
          <cell r="BZ226">
            <v>90468.900000000096</v>
          </cell>
          <cell r="CA226">
            <v>10</v>
          </cell>
          <cell r="CD226">
            <v>190</v>
          </cell>
          <cell r="CF226">
            <v>40100.6875</v>
          </cell>
          <cell r="CJ226">
            <v>8.5</v>
          </cell>
          <cell r="CK226">
            <v>13.19</v>
          </cell>
          <cell r="CL226">
            <v>1.5</v>
          </cell>
          <cell r="CM226">
            <v>16</v>
          </cell>
          <cell r="CN226">
            <v>11.5</v>
          </cell>
          <cell r="CO226">
            <v>17</v>
          </cell>
          <cell r="CP226">
            <v>12</v>
          </cell>
          <cell r="CQ226">
            <v>26.99</v>
          </cell>
          <cell r="CR226">
            <v>3.5</v>
          </cell>
          <cell r="CS226">
            <v>18</v>
          </cell>
          <cell r="CT226">
            <v>27</v>
          </cell>
          <cell r="CY226">
            <v>190</v>
          </cell>
        </row>
        <row r="227">
          <cell r="A227">
            <v>40131.125</v>
          </cell>
          <cell r="B227">
            <v>103.26176361879533</v>
          </cell>
          <cell r="C227">
            <v>109.68667139726725</v>
          </cell>
          <cell r="D227">
            <v>100.50134140051065</v>
          </cell>
          <cell r="E227">
            <v>101.14040757671448</v>
          </cell>
          <cell r="F227">
            <v>98.751992333195872</v>
          </cell>
          <cell r="G227">
            <v>99.72363570431844</v>
          </cell>
          <cell r="H227">
            <v>98.233818136074504</v>
          </cell>
          <cell r="I227">
            <v>94.217526470896246</v>
          </cell>
          <cell r="J227">
            <v>99.098129604268422</v>
          </cell>
          <cell r="K227">
            <v>101.67292137648329</v>
          </cell>
          <cell r="L227">
            <v>99.800006612413313</v>
          </cell>
          <cell r="M227">
            <v>102.32588400326908</v>
          </cell>
          <cell r="N227">
            <v>100.92398409947619</v>
          </cell>
          <cell r="R227">
            <v>191</v>
          </cell>
          <cell r="T227">
            <v>40131.125</v>
          </cell>
          <cell r="AN227">
            <v>0</v>
          </cell>
          <cell r="AP227">
            <v>40131.125</v>
          </cell>
          <cell r="AQ227">
            <v>439.8</v>
          </cell>
          <cell r="AR227">
            <v>77.55</v>
          </cell>
          <cell r="AS227">
            <v>1.583</v>
          </cell>
          <cell r="AT227">
            <v>39.799999999999997</v>
          </cell>
          <cell r="AU227">
            <v>0.67749999999999999</v>
          </cell>
          <cell r="AV227">
            <v>34.106490000000001</v>
          </cell>
          <cell r="AW227">
            <v>0.69620340000000003</v>
          </cell>
          <cell r="AX227">
            <v>17.50404</v>
          </cell>
          <cell r="AY227">
            <v>297.96449999999999</v>
          </cell>
          <cell r="AZ227">
            <v>10</v>
          </cell>
          <cell r="BA227">
            <v>10</v>
          </cell>
          <cell r="BB227">
            <v>10</v>
          </cell>
          <cell r="BC227">
            <v>10</v>
          </cell>
          <cell r="BD227">
            <v>10</v>
          </cell>
          <cell r="BE227">
            <v>10</v>
          </cell>
          <cell r="BF227">
            <v>2.0412637008381689E-2</v>
          </cell>
          <cell r="BI227">
            <v>191</v>
          </cell>
          <cell r="BK227">
            <v>40131.125</v>
          </cell>
          <cell r="BL227">
            <v>554465.5</v>
          </cell>
          <cell r="BM227">
            <v>431785.5</v>
          </cell>
          <cell r="BN227">
            <v>122680</v>
          </cell>
          <cell r="BO227">
            <v>588397.77312799997</v>
          </cell>
          <cell r="BP227">
            <v>-94251.326872000005</v>
          </cell>
          <cell r="BQ227">
            <v>682649.1</v>
          </cell>
          <cell r="BR227">
            <v>400443.30499999999</v>
          </cell>
          <cell r="BS227">
            <v>22868.794999999998</v>
          </cell>
          <cell r="BT227">
            <v>259337</v>
          </cell>
          <cell r="BU227">
            <v>1060265.7731280001</v>
          </cell>
          <cell r="BV227">
            <v>254453.22512799999</v>
          </cell>
          <cell r="BW227">
            <v>742078.4</v>
          </cell>
          <cell r="BX227">
            <v>321954.40000000002</v>
          </cell>
          <cell r="BY227">
            <v>284943</v>
          </cell>
          <cell r="BZ227">
            <v>82597.5</v>
          </cell>
          <cell r="CA227">
            <v>10</v>
          </cell>
          <cell r="CD227">
            <v>191</v>
          </cell>
          <cell r="CF227">
            <v>40131.125</v>
          </cell>
          <cell r="CJ227">
            <v>8.5</v>
          </cell>
          <cell r="CK227">
            <v>13.19</v>
          </cell>
          <cell r="CL227">
            <v>1.5</v>
          </cell>
          <cell r="CM227">
            <v>16</v>
          </cell>
          <cell r="CN227">
            <v>11.5</v>
          </cell>
          <cell r="CO227">
            <v>17</v>
          </cell>
          <cell r="CP227">
            <v>12</v>
          </cell>
          <cell r="CQ227">
            <v>26.99</v>
          </cell>
          <cell r="CR227">
            <v>3.5</v>
          </cell>
          <cell r="CS227">
            <v>18</v>
          </cell>
          <cell r="CT227">
            <v>27</v>
          </cell>
          <cell r="CY227">
            <v>191</v>
          </cell>
        </row>
        <row r="228">
          <cell r="A228">
            <v>40161.5625</v>
          </cell>
          <cell r="B228">
            <v>102.14955021439683</v>
          </cell>
          <cell r="C228">
            <v>102.1113926159878</v>
          </cell>
          <cell r="D228">
            <v>100.50134140051065</v>
          </cell>
          <cell r="E228">
            <v>101.83820312749295</v>
          </cell>
          <cell r="F228">
            <v>98.751992333195872</v>
          </cell>
          <cell r="G228">
            <v>99.72363570431844</v>
          </cell>
          <cell r="H228">
            <v>98.233818136074504</v>
          </cell>
          <cell r="I228">
            <v>94.217526470896246</v>
          </cell>
          <cell r="J228">
            <v>99.018246617478752</v>
          </cell>
          <cell r="K228">
            <v>101.67292137648329</v>
          </cell>
          <cell r="L228">
            <v>101.21492884569918</v>
          </cell>
          <cell r="M228">
            <v>102.32588400326908</v>
          </cell>
          <cell r="N228">
            <v>100.5653970509597</v>
          </cell>
          <cell r="R228">
            <v>192</v>
          </cell>
          <cell r="T228">
            <v>40161.5625</v>
          </cell>
          <cell r="AN228">
            <v>0</v>
          </cell>
          <cell r="AP228">
            <v>40161.5625</v>
          </cell>
          <cell r="AQ228">
            <v>449.3</v>
          </cell>
          <cell r="AR228">
            <v>74.88</v>
          </cell>
          <cell r="AS228">
            <v>1.6930000000000001</v>
          </cell>
          <cell r="AT228">
            <v>40</v>
          </cell>
          <cell r="AU228">
            <v>0.67749999999999999</v>
          </cell>
          <cell r="AV228">
            <v>33.643583999999997</v>
          </cell>
          <cell r="AW228">
            <v>0.76066490000000009</v>
          </cell>
          <cell r="AX228">
            <v>17.972000000000001</v>
          </cell>
          <cell r="AY228">
            <v>304.40075000000002</v>
          </cell>
          <cell r="AZ228">
            <v>10</v>
          </cell>
          <cell r="BA228">
            <v>10</v>
          </cell>
          <cell r="BB228">
            <v>10</v>
          </cell>
          <cell r="BC228">
            <v>10</v>
          </cell>
          <cell r="BD228">
            <v>10</v>
          </cell>
          <cell r="BE228">
            <v>10</v>
          </cell>
          <cell r="BF228">
            <v>2.260950854700855E-2</v>
          </cell>
          <cell r="BI228">
            <v>192</v>
          </cell>
          <cell r="BK228">
            <v>40161.5625</v>
          </cell>
          <cell r="BL228">
            <v>563540.5</v>
          </cell>
          <cell r="BM228">
            <v>385795.5</v>
          </cell>
          <cell r="BN228">
            <v>177745</v>
          </cell>
          <cell r="BO228">
            <v>642618.70400000003</v>
          </cell>
          <cell r="BP228">
            <v>-29448.495999999999</v>
          </cell>
          <cell r="BQ228">
            <v>672067.2</v>
          </cell>
          <cell r="BR228">
            <v>392494.3</v>
          </cell>
          <cell r="BS228">
            <v>22070.9</v>
          </cell>
          <cell r="BT228">
            <v>257502</v>
          </cell>
          <cell r="BU228">
            <v>1107129.804</v>
          </cell>
          <cell r="BV228">
            <v>251750.7</v>
          </cell>
          <cell r="BW228">
            <v>790858.7</v>
          </cell>
          <cell r="BX228">
            <v>357864.7</v>
          </cell>
          <cell r="BY228">
            <v>293075</v>
          </cell>
          <cell r="BZ228">
            <v>99029.399999999907</v>
          </cell>
          <cell r="CA228">
            <v>10</v>
          </cell>
          <cell r="CD228">
            <v>192</v>
          </cell>
          <cell r="CF228">
            <v>40161.5625</v>
          </cell>
          <cell r="CJ228">
            <v>8.5</v>
          </cell>
          <cell r="CK228">
            <v>13.19</v>
          </cell>
          <cell r="CL228">
            <v>1.5</v>
          </cell>
          <cell r="CM228">
            <v>16</v>
          </cell>
          <cell r="CN228">
            <v>11.5</v>
          </cell>
          <cell r="CO228">
            <v>15</v>
          </cell>
          <cell r="CP228">
            <v>12</v>
          </cell>
          <cell r="CQ228">
            <v>26.99</v>
          </cell>
          <cell r="CR228">
            <v>3.5</v>
          </cell>
          <cell r="CS228">
            <v>18</v>
          </cell>
          <cell r="CT228">
            <v>27</v>
          </cell>
          <cell r="CY228">
            <v>192</v>
          </cell>
        </row>
        <row r="229">
          <cell r="A229">
            <v>40192</v>
          </cell>
          <cell r="B229">
            <v>101.41211961944366</v>
          </cell>
          <cell r="C229">
            <v>97.484110849074227</v>
          </cell>
          <cell r="D229">
            <v>99.892086627030977</v>
          </cell>
          <cell r="E229">
            <v>103.66838179554085</v>
          </cell>
          <cell r="F229">
            <v>98.206143467805106</v>
          </cell>
          <cell r="G229">
            <v>99.748979535509392</v>
          </cell>
          <cell r="H229">
            <v>95.99806726000952</v>
          </cell>
          <cell r="I229">
            <v>90.240686422095607</v>
          </cell>
          <cell r="J229">
            <v>98.919312071390806</v>
          </cell>
          <cell r="K229">
            <v>101.99334149199741</v>
          </cell>
          <cell r="L229">
            <v>102.40746578262818</v>
          </cell>
          <cell r="M229">
            <v>101.61773201172142</v>
          </cell>
          <cell r="N229">
            <v>99.829352732121066</v>
          </cell>
          <cell r="R229">
            <v>193</v>
          </cell>
          <cell r="T229">
            <v>40192</v>
          </cell>
          <cell r="AN229">
            <v>0</v>
          </cell>
          <cell r="AP229">
            <v>40192</v>
          </cell>
          <cell r="AQ229">
            <v>459.7</v>
          </cell>
          <cell r="AR229">
            <v>77.12</v>
          </cell>
          <cell r="AS229">
            <v>1.7070000000000001</v>
          </cell>
          <cell r="AT229">
            <v>39.4</v>
          </cell>
          <cell r="AU229">
            <v>0.67749999999999999</v>
          </cell>
          <cell r="AV229">
            <v>35.452064</v>
          </cell>
          <cell r="AW229">
            <v>0.78470790000000001</v>
          </cell>
          <cell r="AX229">
            <v>18.112179999999999</v>
          </cell>
          <cell r="AY229">
            <v>311.44675000000001</v>
          </cell>
          <cell r="AZ229">
            <v>10</v>
          </cell>
          <cell r="BA229">
            <v>10</v>
          </cell>
          <cell r="BB229">
            <v>10</v>
          </cell>
          <cell r="BC229">
            <v>10</v>
          </cell>
          <cell r="BD229">
            <v>10</v>
          </cell>
          <cell r="BE229">
            <v>10</v>
          </cell>
          <cell r="BF229">
            <v>2.2134336099585063E-2</v>
          </cell>
          <cell r="BI229">
            <v>193</v>
          </cell>
          <cell r="BK229">
            <v>40192</v>
          </cell>
          <cell r="BL229">
            <v>527716.1</v>
          </cell>
          <cell r="BM229">
            <v>361766.1</v>
          </cell>
          <cell r="BN229">
            <v>165950</v>
          </cell>
          <cell r="BO229">
            <v>610589.82601600001</v>
          </cell>
          <cell r="BP229">
            <v>-61211.256739999997</v>
          </cell>
          <cell r="BQ229">
            <v>671801.08275599999</v>
          </cell>
          <cell r="BR229">
            <v>399263.38275599998</v>
          </cell>
          <cell r="BS229">
            <v>20775.7</v>
          </cell>
          <cell r="BT229">
            <v>251762</v>
          </cell>
          <cell r="BU229">
            <v>1086944.326016</v>
          </cell>
          <cell r="BV229">
            <v>202626.05701600001</v>
          </cell>
          <cell r="BW229">
            <v>826111.3</v>
          </cell>
          <cell r="BX229">
            <v>378152.3</v>
          </cell>
          <cell r="BY229">
            <v>305565</v>
          </cell>
          <cell r="BZ229">
            <v>51361.599999999897</v>
          </cell>
          <cell r="CA229">
            <v>10</v>
          </cell>
          <cell r="CD229">
            <v>193</v>
          </cell>
          <cell r="CF229">
            <v>40192</v>
          </cell>
          <cell r="CJ229">
            <v>8.5</v>
          </cell>
          <cell r="CK229">
            <v>13.19</v>
          </cell>
          <cell r="CL229">
            <v>1.5</v>
          </cell>
          <cell r="CM229">
            <v>16</v>
          </cell>
          <cell r="CN229">
            <v>11.5</v>
          </cell>
          <cell r="CO229">
            <v>17</v>
          </cell>
          <cell r="CP229">
            <v>12</v>
          </cell>
          <cell r="CQ229">
            <v>26.99</v>
          </cell>
          <cell r="CR229">
            <v>3.5</v>
          </cell>
          <cell r="CS229">
            <v>18</v>
          </cell>
          <cell r="CT229">
            <v>27</v>
          </cell>
          <cell r="CY229">
            <v>193</v>
          </cell>
        </row>
        <row r="230">
          <cell r="A230">
            <v>40222.4375</v>
          </cell>
          <cell r="B230">
            <v>101.96207720017134</v>
          </cell>
          <cell r="C230">
            <v>97.156429771028201</v>
          </cell>
          <cell r="D230">
            <v>100.10714154387937</v>
          </cell>
          <cell r="E230">
            <v>103.58575871959633</v>
          </cell>
          <cell r="F230">
            <v>98.206143467805106</v>
          </cell>
          <cell r="G230">
            <v>99.748979535509392</v>
          </cell>
          <cell r="H230">
            <v>95.99806726000952</v>
          </cell>
          <cell r="I230">
            <v>87.050625720187611</v>
          </cell>
          <cell r="J230">
            <v>98.919312071390806</v>
          </cell>
          <cell r="K230">
            <v>101.99334149199741</v>
          </cell>
          <cell r="L230">
            <v>103.36627981101998</v>
          </cell>
          <cell r="M230">
            <v>101.61773201172142</v>
          </cell>
          <cell r="N230">
            <v>99.891050737328811</v>
          </cell>
          <cell r="R230">
            <v>194</v>
          </cell>
          <cell r="T230">
            <v>40222.4375</v>
          </cell>
          <cell r="AN230">
            <v>0</v>
          </cell>
          <cell r="AP230">
            <v>40222.4375</v>
          </cell>
          <cell r="AQ230">
            <v>479.4</v>
          </cell>
          <cell r="AR230">
            <v>74.16</v>
          </cell>
          <cell r="AS230">
            <v>1.766</v>
          </cell>
          <cell r="AT230">
            <v>38.6</v>
          </cell>
          <cell r="AU230">
            <v>0.67749999999999999</v>
          </cell>
          <cell r="AV230">
            <v>35.552303999999999</v>
          </cell>
          <cell r="AW230">
            <v>0.84662040000000005</v>
          </cell>
          <cell r="AX230">
            <v>18.504840000000002</v>
          </cell>
          <cell r="AY230">
            <v>324.79349999999999</v>
          </cell>
          <cell r="AZ230">
            <v>10</v>
          </cell>
          <cell r="BA230">
            <v>10</v>
          </cell>
          <cell r="BB230">
            <v>10</v>
          </cell>
          <cell r="BC230">
            <v>10</v>
          </cell>
          <cell r="BD230">
            <v>10</v>
          </cell>
          <cell r="BE230">
            <v>10</v>
          </cell>
          <cell r="BF230">
            <v>2.3813376483279396E-2</v>
          </cell>
          <cell r="BI230">
            <v>194</v>
          </cell>
          <cell r="BK230">
            <v>40222.4375</v>
          </cell>
          <cell r="BL230">
            <v>534754.9</v>
          </cell>
          <cell r="BM230">
            <v>330134.90000000002</v>
          </cell>
          <cell r="BN230">
            <v>204620</v>
          </cell>
          <cell r="BO230">
            <v>676090.40832599998</v>
          </cell>
          <cell r="BP230">
            <v>-12896.222154999999</v>
          </cell>
          <cell r="BQ230">
            <v>688986.63048099994</v>
          </cell>
          <cell r="BR230">
            <v>414868.23048099998</v>
          </cell>
          <cell r="BS230">
            <v>18349.400000000001</v>
          </cell>
          <cell r="BT230">
            <v>255769</v>
          </cell>
          <cell r="BU230">
            <v>1110309.708326</v>
          </cell>
          <cell r="BV230">
            <v>216864.76532599999</v>
          </cell>
          <cell r="BW230">
            <v>827242</v>
          </cell>
          <cell r="BX230">
            <v>383643</v>
          </cell>
          <cell r="BY230">
            <v>298979</v>
          </cell>
          <cell r="BZ230">
            <v>100535.6</v>
          </cell>
          <cell r="CA230">
            <v>10</v>
          </cell>
          <cell r="CD230">
            <v>194</v>
          </cell>
          <cell r="CF230">
            <v>40222.4375</v>
          </cell>
          <cell r="CJ230">
            <v>8.5</v>
          </cell>
          <cell r="CK230">
            <v>13.19</v>
          </cell>
          <cell r="CL230">
            <v>1.5</v>
          </cell>
          <cell r="CM230">
            <v>16</v>
          </cell>
          <cell r="CN230">
            <v>11.5</v>
          </cell>
          <cell r="CO230">
            <v>15</v>
          </cell>
          <cell r="CP230">
            <v>12</v>
          </cell>
          <cell r="CQ230">
            <v>26.99</v>
          </cell>
          <cell r="CR230">
            <v>3.5</v>
          </cell>
          <cell r="CS230">
            <v>18</v>
          </cell>
          <cell r="CT230">
            <v>27</v>
          </cell>
          <cell r="CY230">
            <v>194</v>
          </cell>
        </row>
        <row r="231">
          <cell r="A231">
            <v>40252.875</v>
          </cell>
          <cell r="B231">
            <v>101.52604830380646</v>
          </cell>
          <cell r="C231">
            <v>96.986001172862373</v>
          </cell>
          <cell r="D231">
            <v>100.11589727997998</v>
          </cell>
          <cell r="E231">
            <v>102.05160065859052</v>
          </cell>
          <cell r="F231">
            <v>98.206143467805106</v>
          </cell>
          <cell r="G231">
            <v>99.749623701443369</v>
          </cell>
          <cell r="H231">
            <v>95.99806726000952</v>
          </cell>
          <cell r="I231">
            <v>84.615715807284033</v>
          </cell>
          <cell r="J231">
            <v>98.884692780493594</v>
          </cell>
          <cell r="K231">
            <v>101.99334149199741</v>
          </cell>
          <cell r="L231">
            <v>102.39730411298426</v>
          </cell>
          <cell r="M231">
            <v>101.6177854861449</v>
          </cell>
          <cell r="N231">
            <v>99.31769448510299</v>
          </cell>
          <cell r="R231">
            <v>195</v>
          </cell>
          <cell r="T231">
            <v>40252.875</v>
          </cell>
          <cell r="AN231">
            <v>0</v>
          </cell>
          <cell r="AP231">
            <v>40252.875</v>
          </cell>
          <cell r="AQ231">
            <v>482.6</v>
          </cell>
          <cell r="AR231">
            <v>79.3</v>
          </cell>
          <cell r="AS231">
            <v>1.8919999999999999</v>
          </cell>
          <cell r="AT231">
            <v>39.299999999999997</v>
          </cell>
          <cell r="AU231">
            <v>0.67749999999999999</v>
          </cell>
          <cell r="AV231">
            <v>38.270180000000003</v>
          </cell>
          <cell r="AW231">
            <v>0.91307919999999998</v>
          </cell>
          <cell r="AX231">
            <v>18.966180000000001</v>
          </cell>
          <cell r="AY231">
            <v>326.9615</v>
          </cell>
          <cell r="AZ231">
            <v>10</v>
          </cell>
          <cell r="BA231">
            <v>10</v>
          </cell>
          <cell r="BB231">
            <v>10</v>
          </cell>
          <cell r="BC231">
            <v>10</v>
          </cell>
          <cell r="BD231">
            <v>10</v>
          </cell>
          <cell r="BE231">
            <v>10</v>
          </cell>
          <cell r="BF231">
            <v>2.3858764186633036E-2</v>
          </cell>
          <cell r="BI231">
            <v>195</v>
          </cell>
          <cell r="BK231">
            <v>40252.875</v>
          </cell>
          <cell r="BL231">
            <v>564932</v>
          </cell>
          <cell r="BM231">
            <v>345433</v>
          </cell>
          <cell r="BN231">
            <v>219499</v>
          </cell>
          <cell r="BO231">
            <v>707842.71857899998</v>
          </cell>
          <cell r="BP231">
            <v>17307.578193000001</v>
          </cell>
          <cell r="BQ231">
            <v>690535.14038600004</v>
          </cell>
          <cell r="BR231">
            <v>382324.04038600001</v>
          </cell>
          <cell r="BS231">
            <v>52639.1</v>
          </cell>
          <cell r="BT231">
            <v>255572</v>
          </cell>
          <cell r="BU231">
            <v>1198477.7185790001</v>
          </cell>
          <cell r="BV231">
            <v>227836.838579</v>
          </cell>
          <cell r="BW231">
            <v>904805.5</v>
          </cell>
          <cell r="BX231">
            <v>422812.5</v>
          </cell>
          <cell r="BY231">
            <v>332766</v>
          </cell>
          <cell r="BZ231">
            <v>74296.999999999796</v>
          </cell>
          <cell r="CA231">
            <v>10</v>
          </cell>
          <cell r="CD231">
            <v>195</v>
          </cell>
          <cell r="CF231">
            <v>40252.875</v>
          </cell>
          <cell r="CJ231">
            <v>8.5</v>
          </cell>
          <cell r="CK231">
            <v>13.19</v>
          </cell>
          <cell r="CL231">
            <v>1.5</v>
          </cell>
          <cell r="CM231">
            <v>16</v>
          </cell>
          <cell r="CN231">
            <v>11.5</v>
          </cell>
          <cell r="CO231">
            <v>15</v>
          </cell>
          <cell r="CP231">
            <v>12</v>
          </cell>
          <cell r="CQ231">
            <v>26.99</v>
          </cell>
          <cell r="CR231">
            <v>3.5</v>
          </cell>
          <cell r="CS231">
            <v>18</v>
          </cell>
          <cell r="CT231">
            <v>27</v>
          </cell>
          <cell r="CY231">
            <v>195</v>
          </cell>
        </row>
        <row r="232">
          <cell r="A232">
            <v>40283.3125</v>
          </cell>
          <cell r="B232">
            <v>102.34884111070562</v>
          </cell>
          <cell r="C232">
            <v>96.138280523681857</v>
          </cell>
          <cell r="D232">
            <v>100.11589727997998</v>
          </cell>
          <cell r="E232">
            <v>100.74209702386247</v>
          </cell>
          <cell r="F232">
            <v>98.206143467805106</v>
          </cell>
          <cell r="G232">
            <v>99.749623701443369</v>
          </cell>
          <cell r="H232">
            <v>95.99806726000952</v>
          </cell>
          <cell r="I232">
            <v>84.699245749437452</v>
          </cell>
          <cell r="J232">
            <v>98.884692780493594</v>
          </cell>
          <cell r="K232">
            <v>101.99334149199741</v>
          </cell>
          <cell r="L232">
            <v>102.41333285631529</v>
          </cell>
          <cell r="M232">
            <v>101.6177854861449</v>
          </cell>
          <cell r="N232">
            <v>99.486891182402417</v>
          </cell>
          <cell r="R232">
            <v>196</v>
          </cell>
          <cell r="T232">
            <v>40283.3125</v>
          </cell>
          <cell r="AN232">
            <v>0</v>
          </cell>
          <cell r="AP232">
            <v>40283.3125</v>
          </cell>
          <cell r="AQ232">
            <v>488</v>
          </cell>
          <cell r="AR232">
            <v>82.7</v>
          </cell>
          <cell r="AS232">
            <v>1.853</v>
          </cell>
          <cell r="AT232">
            <v>40.4</v>
          </cell>
          <cell r="AU232">
            <v>0.67749999999999999</v>
          </cell>
          <cell r="AV232">
            <v>40.357599999999998</v>
          </cell>
          <cell r="AW232">
            <v>0.90426399999999996</v>
          </cell>
          <cell r="AX232">
            <v>19.715199999999999</v>
          </cell>
          <cell r="AY232">
            <v>330.62</v>
          </cell>
          <cell r="AZ232">
            <v>10</v>
          </cell>
          <cell r="BA232">
            <v>10</v>
          </cell>
          <cell r="BB232">
            <v>10</v>
          </cell>
          <cell r="BC232">
            <v>10</v>
          </cell>
          <cell r="BD232">
            <v>10</v>
          </cell>
          <cell r="BE232">
            <v>10</v>
          </cell>
          <cell r="BF232">
            <v>2.2406287787182587E-2</v>
          </cell>
          <cell r="BI232">
            <v>196</v>
          </cell>
          <cell r="BK232">
            <v>40283.3125</v>
          </cell>
          <cell r="BL232">
            <v>553767</v>
          </cell>
          <cell r="BM232">
            <v>331125</v>
          </cell>
          <cell r="BN232">
            <v>222642</v>
          </cell>
          <cell r="BO232">
            <v>731653.68081299996</v>
          </cell>
          <cell r="BP232">
            <v>32478.277375999998</v>
          </cell>
          <cell r="BQ232">
            <v>699175.403437</v>
          </cell>
          <cell r="BR232">
            <v>404581.403437</v>
          </cell>
          <cell r="BS232">
            <v>40550</v>
          </cell>
          <cell r="BT232">
            <v>254044</v>
          </cell>
          <cell r="BU232">
            <v>1213661.9808129999</v>
          </cell>
          <cell r="BV232">
            <v>216399.717813</v>
          </cell>
          <cell r="BW232">
            <v>934679.7</v>
          </cell>
          <cell r="BX232">
            <v>442853.7</v>
          </cell>
          <cell r="BY232">
            <v>339969</v>
          </cell>
          <cell r="BZ232">
            <v>71758.7</v>
          </cell>
          <cell r="CA232">
            <v>10</v>
          </cell>
          <cell r="CD232">
            <v>196</v>
          </cell>
          <cell r="CF232">
            <v>40283.3125</v>
          </cell>
          <cell r="CJ232">
            <v>8.5</v>
          </cell>
          <cell r="CK232">
            <v>13.19</v>
          </cell>
          <cell r="CL232">
            <v>1.5</v>
          </cell>
          <cell r="CM232">
            <v>16</v>
          </cell>
          <cell r="CN232">
            <v>11.5</v>
          </cell>
          <cell r="CO232">
            <v>15</v>
          </cell>
          <cell r="CP232">
            <v>12</v>
          </cell>
          <cell r="CQ232">
            <v>26.99</v>
          </cell>
          <cell r="CR232">
            <v>3.5</v>
          </cell>
          <cell r="CS232">
            <v>18</v>
          </cell>
          <cell r="CT232">
            <v>27</v>
          </cell>
          <cell r="CY232">
            <v>196</v>
          </cell>
        </row>
        <row r="233">
          <cell r="A233">
            <v>40313.75</v>
          </cell>
          <cell r="B233">
            <v>104.77486881584859</v>
          </cell>
          <cell r="C233">
            <v>95.410230471544224</v>
          </cell>
          <cell r="D233">
            <v>100.11589727997998</v>
          </cell>
          <cell r="E233">
            <v>100.30200576612819</v>
          </cell>
          <cell r="F233">
            <v>98.206143467805106</v>
          </cell>
          <cell r="G233">
            <v>99.766977266085235</v>
          </cell>
          <cell r="H233">
            <v>95.99806726000952</v>
          </cell>
          <cell r="I233">
            <v>87.358020930562887</v>
          </cell>
          <cell r="J233">
            <v>98.834163241124998</v>
          </cell>
          <cell r="K233">
            <v>101.99334149199741</v>
          </cell>
          <cell r="L233">
            <v>101.2606372287662</v>
          </cell>
          <cell r="M233">
            <v>101.6177854861449</v>
          </cell>
          <cell r="N233">
            <v>100.41074495177905</v>
          </cell>
          <cell r="R233">
            <v>197</v>
          </cell>
          <cell r="T233">
            <v>40313.75</v>
          </cell>
          <cell r="AN233">
            <v>0</v>
          </cell>
          <cell r="AP233">
            <v>40313.75</v>
          </cell>
          <cell r="AQ233">
            <v>521</v>
          </cell>
          <cell r="AR233">
            <v>75.62</v>
          </cell>
          <cell r="AS233">
            <v>1.98</v>
          </cell>
          <cell r="AT233">
            <v>42.5</v>
          </cell>
          <cell r="AU233">
            <v>0.67749999999999999</v>
          </cell>
          <cell r="AV233">
            <v>39.398020000000002</v>
          </cell>
          <cell r="AW233">
            <v>1.0315799999999999</v>
          </cell>
          <cell r="AX233">
            <v>22.142499999999998</v>
          </cell>
          <cell r="AY233">
            <v>352.97750000000002</v>
          </cell>
          <cell r="AZ233">
            <v>10</v>
          </cell>
          <cell r="BA233">
            <v>10</v>
          </cell>
          <cell r="BB233">
            <v>10</v>
          </cell>
          <cell r="BC233">
            <v>10</v>
          </cell>
          <cell r="BD233">
            <v>10</v>
          </cell>
          <cell r="BE233">
            <v>10</v>
          </cell>
          <cell r="BF233">
            <v>2.6183549325575241E-2</v>
          </cell>
          <cell r="BI233">
            <v>197</v>
          </cell>
          <cell r="BK233">
            <v>40313.75</v>
          </cell>
          <cell r="BL233">
            <v>646586.80000000005</v>
          </cell>
          <cell r="BM233">
            <v>387481.8</v>
          </cell>
          <cell r="BN233">
            <v>259105</v>
          </cell>
          <cell r="BO233">
            <v>713533.211258</v>
          </cell>
          <cell r="BP233">
            <v>25063.807820999999</v>
          </cell>
          <cell r="BQ233">
            <v>688469.403437</v>
          </cell>
          <cell r="BR233">
            <v>392367.70343699999</v>
          </cell>
          <cell r="BS233">
            <v>40196.699999999997</v>
          </cell>
          <cell r="BT233">
            <v>255905</v>
          </cell>
          <cell r="BU233">
            <v>1252216.3112580001</v>
          </cell>
          <cell r="BV233">
            <v>204439.62750199999</v>
          </cell>
          <cell r="BW233">
            <v>981352.8</v>
          </cell>
          <cell r="BX233">
            <v>459294.8</v>
          </cell>
          <cell r="BY233">
            <v>348452</v>
          </cell>
          <cell r="BZ233">
            <v>107903.7</v>
          </cell>
          <cell r="CA233">
            <v>10</v>
          </cell>
          <cell r="CD233">
            <v>197</v>
          </cell>
          <cell r="CF233">
            <v>40313.75</v>
          </cell>
          <cell r="CJ233">
            <v>8.5</v>
          </cell>
          <cell r="CK233">
            <v>13.19</v>
          </cell>
          <cell r="CL233">
            <v>1.5</v>
          </cell>
          <cell r="CM233">
            <v>16</v>
          </cell>
          <cell r="CN233">
            <v>11.5</v>
          </cell>
          <cell r="CO233">
            <v>15</v>
          </cell>
          <cell r="CP233">
            <v>12</v>
          </cell>
          <cell r="CQ233">
            <v>26.99</v>
          </cell>
          <cell r="CR233">
            <v>3.5</v>
          </cell>
          <cell r="CS233">
            <v>18</v>
          </cell>
          <cell r="CT233">
            <v>27</v>
          </cell>
          <cell r="CY233">
            <v>197</v>
          </cell>
        </row>
        <row r="234">
          <cell r="A234">
            <v>40344.1875</v>
          </cell>
          <cell r="B234">
            <v>107.26088103259814</v>
          </cell>
          <cell r="C234">
            <v>96.452892432454348</v>
          </cell>
          <cell r="D234">
            <v>100.11589727997999</v>
          </cell>
          <cell r="E234">
            <v>99.916175438667096</v>
          </cell>
          <cell r="F234">
            <v>98.204681728071847</v>
          </cell>
          <cell r="G234">
            <v>99.780161434055202</v>
          </cell>
          <cell r="H234">
            <v>96.001925482124847</v>
          </cell>
          <cell r="I234">
            <v>83.504691680585296</v>
          </cell>
          <cell r="J234">
            <v>98.82442289966005</v>
          </cell>
          <cell r="K234">
            <v>101.99334149199743</v>
          </cell>
          <cell r="L234">
            <v>100.80671848310109</v>
          </cell>
          <cell r="M234">
            <v>101.71619696312131</v>
          </cell>
          <cell r="N234">
            <v>100.99624858569842</v>
          </cell>
          <cell r="R234">
            <v>198</v>
          </cell>
          <cell r="T234">
            <v>40344.1875</v>
          </cell>
          <cell r="AN234">
            <v>0</v>
          </cell>
          <cell r="AP234">
            <v>40344.1875</v>
          </cell>
          <cell r="AQ234">
            <v>537</v>
          </cell>
          <cell r="AR234">
            <v>74.73</v>
          </cell>
          <cell r="AS234">
            <v>1.85</v>
          </cell>
          <cell r="AT234">
            <v>43.3</v>
          </cell>
          <cell r="AU234">
            <v>0.67749999999999999</v>
          </cell>
          <cell r="AV234">
            <v>40.130009999999999</v>
          </cell>
          <cell r="AW234">
            <v>0.99345000000000006</v>
          </cell>
          <cell r="AX234">
            <v>23.252099999999999</v>
          </cell>
          <cell r="AY234">
            <v>363.8175</v>
          </cell>
          <cell r="AZ234">
            <v>10</v>
          </cell>
          <cell r="BA234">
            <v>10</v>
          </cell>
          <cell r="BB234">
            <v>10</v>
          </cell>
          <cell r="BC234">
            <v>10</v>
          </cell>
          <cell r="BD234">
            <v>10</v>
          </cell>
          <cell r="BE234">
            <v>10</v>
          </cell>
          <cell r="BF234">
            <v>2.4755787501672691E-2</v>
          </cell>
          <cell r="BI234">
            <v>198</v>
          </cell>
          <cell r="BK234">
            <v>40344.1875</v>
          </cell>
          <cell r="BL234">
            <v>644983.75209099997</v>
          </cell>
          <cell r="BM234">
            <v>389701.75209099997</v>
          </cell>
          <cell r="BN234">
            <v>255282</v>
          </cell>
          <cell r="BO234">
            <v>719985.06616799999</v>
          </cell>
          <cell r="BP234">
            <v>38743.974168000001</v>
          </cell>
          <cell r="BQ234">
            <v>681241.09199999995</v>
          </cell>
          <cell r="BR234">
            <v>374159.42200000002</v>
          </cell>
          <cell r="BS234">
            <v>33261.67</v>
          </cell>
          <cell r="BT234">
            <v>273820</v>
          </cell>
          <cell r="BU234">
            <v>1286718.20099</v>
          </cell>
          <cell r="BV234">
            <v>219244.05394799999</v>
          </cell>
          <cell r="BW234">
            <v>996658.79904199997</v>
          </cell>
          <cell r="BX234">
            <v>438524.79904200003</v>
          </cell>
          <cell r="BY234">
            <v>374992</v>
          </cell>
          <cell r="BZ234">
            <v>78250.617268999995</v>
          </cell>
          <cell r="CA234">
            <v>10</v>
          </cell>
          <cell r="CD234">
            <v>198</v>
          </cell>
          <cell r="CF234">
            <v>40344.1875</v>
          </cell>
          <cell r="CJ234">
            <v>8.5</v>
          </cell>
          <cell r="CK234">
            <v>13.19</v>
          </cell>
          <cell r="CL234">
            <v>1.5</v>
          </cell>
          <cell r="CM234">
            <v>16</v>
          </cell>
          <cell r="CN234">
            <v>11.5</v>
          </cell>
          <cell r="CO234">
            <v>15</v>
          </cell>
          <cell r="CP234">
            <v>12</v>
          </cell>
          <cell r="CQ234">
            <v>26.99</v>
          </cell>
          <cell r="CR234">
            <v>3.5</v>
          </cell>
          <cell r="CS234">
            <v>18</v>
          </cell>
          <cell r="CT234">
            <v>27</v>
          </cell>
          <cell r="CY234">
            <v>198</v>
          </cell>
        </row>
        <row r="235">
          <cell r="A235">
            <v>40374.625</v>
          </cell>
          <cell r="R235">
            <v>0</v>
          </cell>
          <cell r="T235">
            <v>40374.625</v>
          </cell>
          <cell r="AN235">
            <v>0</v>
          </cell>
          <cell r="AP235">
            <v>40374.625</v>
          </cell>
          <cell r="BF235">
            <v>0</v>
          </cell>
          <cell r="BI235">
            <v>0</v>
          </cell>
          <cell r="BK235">
            <v>40374.625</v>
          </cell>
          <cell r="CD235">
            <v>0</v>
          </cell>
          <cell r="CF235">
            <v>40374.625</v>
          </cell>
          <cell r="CJ235">
            <v>8.5</v>
          </cell>
          <cell r="CK235">
            <v>13.19</v>
          </cell>
          <cell r="CL235">
            <v>1.5</v>
          </cell>
          <cell r="CM235">
            <v>16</v>
          </cell>
          <cell r="CN235">
            <v>11.5</v>
          </cell>
          <cell r="CO235">
            <v>15</v>
          </cell>
          <cell r="CP235">
            <v>12</v>
          </cell>
          <cell r="CQ235">
            <v>26.99</v>
          </cell>
          <cell r="CR235">
            <v>3.5</v>
          </cell>
          <cell r="CS235">
            <v>18</v>
          </cell>
          <cell r="CT235">
            <v>27</v>
          </cell>
          <cell r="CY235">
            <v>0</v>
          </cell>
        </row>
        <row r="236">
          <cell r="A236">
            <v>40405.0625</v>
          </cell>
          <cell r="R236">
            <v>0</v>
          </cell>
          <cell r="T236">
            <v>40405.0625</v>
          </cell>
          <cell r="AN236">
            <v>0</v>
          </cell>
          <cell r="AP236">
            <v>40405.0625</v>
          </cell>
          <cell r="BF236">
            <v>0</v>
          </cell>
          <cell r="BI236">
            <v>0</v>
          </cell>
          <cell r="BK236">
            <v>40405.0625</v>
          </cell>
          <cell r="CD236">
            <v>0</v>
          </cell>
          <cell r="CF236">
            <v>40405.0625</v>
          </cell>
          <cell r="CJ236">
            <v>8.5</v>
          </cell>
          <cell r="CK236">
            <v>13.19</v>
          </cell>
          <cell r="CL236">
            <v>1.5</v>
          </cell>
          <cell r="CM236">
            <v>16</v>
          </cell>
          <cell r="CN236">
            <v>11.5</v>
          </cell>
          <cell r="CO236">
            <v>15</v>
          </cell>
          <cell r="CP236">
            <v>12</v>
          </cell>
          <cell r="CQ236">
            <v>26.99</v>
          </cell>
          <cell r="CR236">
            <v>3.5</v>
          </cell>
          <cell r="CS236">
            <v>18</v>
          </cell>
          <cell r="CT236">
            <v>27</v>
          </cell>
          <cell r="CY236">
            <v>0</v>
          </cell>
        </row>
        <row r="237">
          <cell r="A237">
            <v>40435.5</v>
          </cell>
          <cell r="R237">
            <v>0</v>
          </cell>
          <cell r="T237">
            <v>40435.5</v>
          </cell>
          <cell r="AN237">
            <v>0</v>
          </cell>
          <cell r="AP237">
            <v>40435.5</v>
          </cell>
          <cell r="BF237">
            <v>0</v>
          </cell>
          <cell r="BI237">
            <v>0</v>
          </cell>
          <cell r="BK237">
            <v>40435.5</v>
          </cell>
          <cell r="CD237">
            <v>0</v>
          </cell>
          <cell r="CF237">
            <v>40435.5</v>
          </cell>
          <cell r="CY237">
            <v>0</v>
          </cell>
        </row>
        <row r="238">
          <cell r="A238">
            <v>40465.9375</v>
          </cell>
          <cell r="R238">
            <v>0</v>
          </cell>
          <cell r="T238">
            <v>40465.9375</v>
          </cell>
          <cell r="AN238">
            <v>0</v>
          </cell>
          <cell r="AP238">
            <v>40465.9375</v>
          </cell>
          <cell r="BF238">
            <v>0</v>
          </cell>
          <cell r="BI238">
            <v>0</v>
          </cell>
          <cell r="BK238">
            <v>40465.9375</v>
          </cell>
          <cell r="CD238">
            <v>0</v>
          </cell>
          <cell r="CF238">
            <v>40465.9375</v>
          </cell>
          <cell r="CY238">
            <v>0</v>
          </cell>
        </row>
        <row r="239">
          <cell r="A239">
            <v>40496.375</v>
          </cell>
          <cell r="R239">
            <v>0</v>
          </cell>
          <cell r="T239">
            <v>40496.375</v>
          </cell>
          <cell r="AN239">
            <v>0</v>
          </cell>
          <cell r="AP239">
            <v>40496.375</v>
          </cell>
          <cell r="BF239">
            <v>0</v>
          </cell>
          <cell r="BI239">
            <v>0</v>
          </cell>
          <cell r="BK239">
            <v>40496.375</v>
          </cell>
          <cell r="CD239">
            <v>0</v>
          </cell>
          <cell r="CF239">
            <v>40496.375</v>
          </cell>
          <cell r="CY239">
            <v>0</v>
          </cell>
        </row>
        <row r="240">
          <cell r="A240">
            <v>40526.8125</v>
          </cell>
          <cell r="R240">
            <v>0</v>
          </cell>
          <cell r="T240">
            <v>40526.8125</v>
          </cell>
          <cell r="AN240">
            <v>0</v>
          </cell>
          <cell r="AP240">
            <v>40526.8125</v>
          </cell>
          <cell r="BF240">
            <v>0</v>
          </cell>
          <cell r="BI240">
            <v>0</v>
          </cell>
          <cell r="BK240">
            <v>40526.8125</v>
          </cell>
          <cell r="CD240">
            <v>0</v>
          </cell>
          <cell r="CF240">
            <v>40526.8125</v>
          </cell>
          <cell r="CY240">
            <v>0</v>
          </cell>
        </row>
        <row r="241">
          <cell r="A241">
            <v>40557.25</v>
          </cell>
          <cell r="R241">
            <v>0</v>
          </cell>
          <cell r="T241">
            <v>40557.25</v>
          </cell>
          <cell r="AN241">
            <v>0</v>
          </cell>
          <cell r="AP241">
            <v>40557.25</v>
          </cell>
          <cell r="BF241">
            <v>0</v>
          </cell>
          <cell r="BI241">
            <v>0</v>
          </cell>
          <cell r="BK241">
            <v>40557.25</v>
          </cell>
          <cell r="CD241">
            <v>0</v>
          </cell>
          <cell r="CF241">
            <v>40557.25</v>
          </cell>
          <cell r="CY241">
            <v>0</v>
          </cell>
        </row>
        <row r="242">
          <cell r="A242">
            <v>40587.6875</v>
          </cell>
          <cell r="R242">
            <v>0</v>
          </cell>
          <cell r="T242">
            <v>40587.6875</v>
          </cell>
          <cell r="AN242">
            <v>0</v>
          </cell>
          <cell r="AP242">
            <v>40587.6875</v>
          </cell>
          <cell r="BF242">
            <v>0</v>
          </cell>
          <cell r="BI242">
            <v>0</v>
          </cell>
          <cell r="BK242">
            <v>40587.6875</v>
          </cell>
          <cell r="CD242">
            <v>0</v>
          </cell>
          <cell r="CF242">
            <v>40587.6875</v>
          </cell>
          <cell r="CY242">
            <v>0</v>
          </cell>
        </row>
        <row r="243">
          <cell r="A243">
            <v>40618.125</v>
          </cell>
          <cell r="R243">
            <v>0</v>
          </cell>
          <cell r="T243">
            <v>40618.125</v>
          </cell>
          <cell r="AN243">
            <v>0</v>
          </cell>
          <cell r="AP243">
            <v>40618.125</v>
          </cell>
          <cell r="BF243">
            <v>0</v>
          </cell>
          <cell r="BI243">
            <v>0</v>
          </cell>
          <cell r="BK243">
            <v>40618.125</v>
          </cell>
          <cell r="CD243">
            <v>0</v>
          </cell>
          <cell r="CF243">
            <v>40618.125</v>
          </cell>
          <cell r="CY243">
            <v>0</v>
          </cell>
        </row>
        <row r="244">
          <cell r="A244">
            <v>40648.5625</v>
          </cell>
          <cell r="R244">
            <v>0</v>
          </cell>
          <cell r="T244">
            <v>40648.5625</v>
          </cell>
          <cell r="AN244">
            <v>0</v>
          </cell>
          <cell r="AP244">
            <v>40648.5625</v>
          </cell>
          <cell r="BF244">
            <v>0</v>
          </cell>
          <cell r="BI244">
            <v>0</v>
          </cell>
          <cell r="BK244">
            <v>40648.5625</v>
          </cell>
          <cell r="CD244">
            <v>0</v>
          </cell>
          <cell r="CF244">
            <v>40648.5625</v>
          </cell>
          <cell r="CY244">
            <v>0</v>
          </cell>
        </row>
        <row r="245">
          <cell r="A245">
            <v>40679</v>
          </cell>
          <cell r="R245">
            <v>0</v>
          </cell>
          <cell r="T245">
            <v>40679</v>
          </cell>
          <cell r="AN245">
            <v>0</v>
          </cell>
          <cell r="AP245">
            <v>40679</v>
          </cell>
          <cell r="BF245">
            <v>0</v>
          </cell>
          <cell r="BI245">
            <v>0</v>
          </cell>
          <cell r="BK245">
            <v>40679</v>
          </cell>
          <cell r="CD245">
            <v>0</v>
          </cell>
          <cell r="CF245">
            <v>40679</v>
          </cell>
          <cell r="CY245">
            <v>0</v>
          </cell>
        </row>
        <row r="246">
          <cell r="A246">
            <v>40709.4375</v>
          </cell>
          <cell r="R246">
            <v>0</v>
          </cell>
          <cell r="T246">
            <v>40709.4375</v>
          </cell>
          <cell r="AN246">
            <v>0</v>
          </cell>
          <cell r="AP246">
            <v>40709.4375</v>
          </cell>
          <cell r="BF246">
            <v>0</v>
          </cell>
          <cell r="BI246">
            <v>0</v>
          </cell>
          <cell r="BK246">
            <v>40709.4375</v>
          </cell>
          <cell r="CD246">
            <v>0</v>
          </cell>
          <cell r="CF246">
            <v>40709.4375</v>
          </cell>
          <cell r="CY246">
            <v>0</v>
          </cell>
        </row>
        <row r="247">
          <cell r="A247">
            <v>40739.875</v>
          </cell>
          <cell r="R247">
            <v>0</v>
          </cell>
          <cell r="T247">
            <v>40739.875</v>
          </cell>
          <cell r="AN247">
            <v>0</v>
          </cell>
          <cell r="AP247">
            <v>40739.875</v>
          </cell>
          <cell r="BF247">
            <v>0</v>
          </cell>
          <cell r="BI247">
            <v>0</v>
          </cell>
          <cell r="BK247">
            <v>40739.875</v>
          </cell>
          <cell r="CD247">
            <v>0</v>
          </cell>
          <cell r="CF247">
            <v>40739.875</v>
          </cell>
          <cell r="CY247">
            <v>0</v>
          </cell>
        </row>
        <row r="248">
          <cell r="A248">
            <v>40770.3125</v>
          </cell>
          <cell r="R248">
            <v>0</v>
          </cell>
          <cell r="T248">
            <v>40770.3125</v>
          </cell>
          <cell r="AN248">
            <v>0</v>
          </cell>
          <cell r="AP248">
            <v>40770.3125</v>
          </cell>
          <cell r="BF248">
            <v>0</v>
          </cell>
          <cell r="BI248">
            <v>0</v>
          </cell>
          <cell r="BK248">
            <v>40770.3125</v>
          </cell>
          <cell r="CD248">
            <v>0</v>
          </cell>
          <cell r="CF248">
            <v>40770.3125</v>
          </cell>
          <cell r="CY248">
            <v>0</v>
          </cell>
        </row>
        <row r="249">
          <cell r="A249">
            <v>40800.75</v>
          </cell>
          <cell r="R249">
            <v>0</v>
          </cell>
          <cell r="T249">
            <v>40800.75</v>
          </cell>
          <cell r="AN249">
            <v>0</v>
          </cell>
          <cell r="AP249">
            <v>40800.75</v>
          </cell>
          <cell r="BF249">
            <v>0</v>
          </cell>
          <cell r="BI249">
            <v>0</v>
          </cell>
          <cell r="BK249">
            <v>40800.75</v>
          </cell>
          <cell r="CD249">
            <v>0</v>
          </cell>
          <cell r="CF249">
            <v>40800.75</v>
          </cell>
          <cell r="CY249">
            <v>0</v>
          </cell>
        </row>
        <row r="250">
          <cell r="A250">
            <v>40831.1875</v>
          </cell>
          <cell r="R250">
            <v>0</v>
          </cell>
          <cell r="T250">
            <v>40831.1875</v>
          </cell>
          <cell r="AN250">
            <v>0</v>
          </cell>
          <cell r="AP250">
            <v>40831.1875</v>
          </cell>
          <cell r="BF250">
            <v>0</v>
          </cell>
          <cell r="BI250">
            <v>0</v>
          </cell>
          <cell r="BK250">
            <v>40831.1875</v>
          </cell>
          <cell r="CD250">
            <v>0</v>
          </cell>
          <cell r="CF250">
            <v>40831.1875</v>
          </cell>
          <cell r="CY250">
            <v>0</v>
          </cell>
        </row>
        <row r="251">
          <cell r="A251">
            <v>40861.625</v>
          </cell>
          <cell r="R251">
            <v>0</v>
          </cell>
          <cell r="T251">
            <v>40861.625</v>
          </cell>
          <cell r="AN251">
            <v>0</v>
          </cell>
          <cell r="AP251">
            <v>40861.625</v>
          </cell>
          <cell r="BF251">
            <v>0</v>
          </cell>
          <cell r="BI251">
            <v>0</v>
          </cell>
          <cell r="BK251">
            <v>40861.625</v>
          </cell>
          <cell r="CD251">
            <v>0</v>
          </cell>
          <cell r="CF251">
            <v>40861.625</v>
          </cell>
          <cell r="CY251">
            <v>0</v>
          </cell>
        </row>
        <row r="252">
          <cell r="A252">
            <v>40892.0625</v>
          </cell>
          <cell r="R252">
            <v>0</v>
          </cell>
          <cell r="T252">
            <v>40892.0625</v>
          </cell>
          <cell r="AN252">
            <v>0</v>
          </cell>
          <cell r="AP252">
            <v>40892.0625</v>
          </cell>
          <cell r="BF252">
            <v>0</v>
          </cell>
          <cell r="BI252">
            <v>0</v>
          </cell>
          <cell r="BK252">
            <v>40892.0625</v>
          </cell>
          <cell r="CD252">
            <v>0</v>
          </cell>
          <cell r="CF252">
            <v>40892.0625</v>
          </cell>
          <cell r="CY252">
            <v>0</v>
          </cell>
        </row>
        <row r="253">
          <cell r="A253">
            <v>40922.5</v>
          </cell>
          <cell r="R253">
            <v>0</v>
          </cell>
          <cell r="T253">
            <v>40922.5</v>
          </cell>
          <cell r="AN253">
            <v>0</v>
          </cell>
          <cell r="AP253">
            <v>40922.5</v>
          </cell>
          <cell r="BF253">
            <v>0</v>
          </cell>
          <cell r="BI253">
            <v>0</v>
          </cell>
          <cell r="BK253">
            <v>40922.5</v>
          </cell>
          <cell r="CD253">
            <v>0</v>
          </cell>
          <cell r="CF253">
            <v>40922.5</v>
          </cell>
          <cell r="CY253">
            <v>0</v>
          </cell>
        </row>
        <row r="254">
          <cell r="A254">
            <v>40952.9375</v>
          </cell>
          <cell r="R254">
            <v>0</v>
          </cell>
          <cell r="T254">
            <v>40952.9375</v>
          </cell>
          <cell r="AN254">
            <v>0</v>
          </cell>
          <cell r="AP254">
            <v>40952.9375</v>
          </cell>
          <cell r="BF254">
            <v>0</v>
          </cell>
          <cell r="BI254">
            <v>0</v>
          </cell>
          <cell r="BK254">
            <v>40952.9375</v>
          </cell>
          <cell r="CD254">
            <v>0</v>
          </cell>
          <cell r="CF254">
            <v>40952.9375</v>
          </cell>
          <cell r="CY254">
            <v>0</v>
          </cell>
        </row>
        <row r="255">
          <cell r="A255">
            <v>40983.375</v>
          </cell>
          <cell r="R255">
            <v>0</v>
          </cell>
          <cell r="T255">
            <v>40983.375</v>
          </cell>
          <cell r="AN255">
            <v>0</v>
          </cell>
          <cell r="AP255">
            <v>40983.375</v>
          </cell>
          <cell r="BF255">
            <v>0</v>
          </cell>
          <cell r="BI255">
            <v>0</v>
          </cell>
          <cell r="BK255">
            <v>40983.375</v>
          </cell>
          <cell r="CD255">
            <v>0</v>
          </cell>
          <cell r="CF255">
            <v>40983.375</v>
          </cell>
          <cell r="CY255">
            <v>0</v>
          </cell>
        </row>
        <row r="256">
          <cell r="A256">
            <v>41013.8125</v>
          </cell>
          <cell r="R256">
            <v>0</v>
          </cell>
          <cell r="T256">
            <v>41013.8125</v>
          </cell>
          <cell r="AN256">
            <v>0</v>
          </cell>
          <cell r="AP256">
            <v>41013.8125</v>
          </cell>
          <cell r="BF256">
            <v>0</v>
          </cell>
          <cell r="BI256">
            <v>0</v>
          </cell>
          <cell r="BK256">
            <v>41013.8125</v>
          </cell>
          <cell r="CD256">
            <v>0</v>
          </cell>
          <cell r="CF256">
            <v>41013.8125</v>
          </cell>
          <cell r="CY256">
            <v>0</v>
          </cell>
        </row>
        <row r="257">
          <cell r="A257">
            <v>41044.25</v>
          </cell>
          <cell r="R257">
            <v>0</v>
          </cell>
          <cell r="T257">
            <v>41044.25</v>
          </cell>
          <cell r="AN257">
            <v>0</v>
          </cell>
          <cell r="AP257">
            <v>41044.25</v>
          </cell>
          <cell r="BF257">
            <v>0</v>
          </cell>
          <cell r="BI257">
            <v>0</v>
          </cell>
          <cell r="BK257">
            <v>41044.25</v>
          </cell>
          <cell r="CD257">
            <v>0</v>
          </cell>
          <cell r="CF257">
            <v>41044.25</v>
          </cell>
          <cell r="CY257">
            <v>0</v>
          </cell>
        </row>
        <row r="258">
          <cell r="A258">
            <v>41074.6875</v>
          </cell>
          <cell r="R258">
            <v>0</v>
          </cell>
          <cell r="T258">
            <v>41074.6875</v>
          </cell>
          <cell r="AN258">
            <v>0</v>
          </cell>
          <cell r="AP258">
            <v>41074.6875</v>
          </cell>
          <cell r="BF258">
            <v>0</v>
          </cell>
          <cell r="BI258">
            <v>0</v>
          </cell>
          <cell r="BK258">
            <v>41074.6875</v>
          </cell>
          <cell r="CD258">
            <v>0</v>
          </cell>
          <cell r="CF258">
            <v>41074.6875</v>
          </cell>
          <cell r="CY258">
            <v>0</v>
          </cell>
        </row>
        <row r="259">
          <cell r="A259">
            <v>41105.125</v>
          </cell>
          <cell r="R259">
            <v>0</v>
          </cell>
          <cell r="T259">
            <v>41105.125</v>
          </cell>
          <cell r="AN259">
            <v>0</v>
          </cell>
          <cell r="AP259">
            <v>41105.125</v>
          </cell>
          <cell r="BF259">
            <v>0</v>
          </cell>
          <cell r="BI259">
            <v>0</v>
          </cell>
          <cell r="BK259">
            <v>41105.125</v>
          </cell>
          <cell r="CD259">
            <v>0</v>
          </cell>
          <cell r="CF259">
            <v>41105.125</v>
          </cell>
          <cell r="CY259">
            <v>0</v>
          </cell>
        </row>
        <row r="260">
          <cell r="A260">
            <v>41135.5625</v>
          </cell>
          <cell r="R260">
            <v>0</v>
          </cell>
          <cell r="T260">
            <v>41135.5625</v>
          </cell>
          <cell r="AN260">
            <v>0</v>
          </cell>
          <cell r="AP260">
            <v>41135.5625</v>
          </cell>
          <cell r="BF260">
            <v>0</v>
          </cell>
          <cell r="BI260">
            <v>0</v>
          </cell>
          <cell r="BK260">
            <v>41135.5625</v>
          </cell>
          <cell r="CD260">
            <v>0</v>
          </cell>
          <cell r="CF260">
            <v>41135.5625</v>
          </cell>
          <cell r="CY260">
            <v>0</v>
          </cell>
        </row>
        <row r="261">
          <cell r="A261">
            <v>41166</v>
          </cell>
          <cell r="R261">
            <v>0</v>
          </cell>
          <cell r="T261">
            <v>41166</v>
          </cell>
          <cell r="AN261">
            <v>0</v>
          </cell>
          <cell r="AP261">
            <v>41166</v>
          </cell>
          <cell r="BF261">
            <v>0</v>
          </cell>
          <cell r="BI261">
            <v>0</v>
          </cell>
          <cell r="BK261">
            <v>41166</v>
          </cell>
          <cell r="CD261">
            <v>0</v>
          </cell>
          <cell r="CF261">
            <v>41166</v>
          </cell>
          <cell r="CY261">
            <v>0</v>
          </cell>
        </row>
        <row r="262">
          <cell r="A262">
            <v>41196.4375</v>
          </cell>
          <cell r="R262">
            <v>0</v>
          </cell>
          <cell r="T262">
            <v>41196.4375</v>
          </cell>
          <cell r="AN262">
            <v>0</v>
          </cell>
          <cell r="AP262">
            <v>41196.4375</v>
          </cell>
          <cell r="BF262">
            <v>0</v>
          </cell>
          <cell r="BI262">
            <v>0</v>
          </cell>
          <cell r="BK262">
            <v>41196.4375</v>
          </cell>
          <cell r="CD262">
            <v>0</v>
          </cell>
          <cell r="CF262">
            <v>41196.4375</v>
          </cell>
          <cell r="CY262">
            <v>0</v>
          </cell>
        </row>
        <row r="263">
          <cell r="A263">
            <v>41226.875</v>
          </cell>
          <cell r="R263">
            <v>0</v>
          </cell>
          <cell r="T263">
            <v>41226.875</v>
          </cell>
          <cell r="AN263">
            <v>0</v>
          </cell>
          <cell r="AP263">
            <v>41226.875</v>
          </cell>
          <cell r="BF263">
            <v>0</v>
          </cell>
          <cell r="BI263">
            <v>0</v>
          </cell>
          <cell r="BK263">
            <v>41226.875</v>
          </cell>
          <cell r="CD263">
            <v>0</v>
          </cell>
          <cell r="CF263">
            <v>41226.875</v>
          </cell>
          <cell r="CY263">
            <v>0</v>
          </cell>
        </row>
        <row r="264">
          <cell r="A264">
            <v>41257.3125</v>
          </cell>
          <cell r="R264">
            <v>0</v>
          </cell>
          <cell r="T264">
            <v>41257.3125</v>
          </cell>
          <cell r="AN264">
            <v>0</v>
          </cell>
          <cell r="AP264">
            <v>41257.3125</v>
          </cell>
          <cell r="BF264">
            <v>0</v>
          </cell>
          <cell r="BI264">
            <v>0</v>
          </cell>
          <cell r="BK264">
            <v>41257.3125</v>
          </cell>
          <cell r="CD264">
            <v>0</v>
          </cell>
          <cell r="CF264">
            <v>41257.3125</v>
          </cell>
          <cell r="CY264">
            <v>0</v>
          </cell>
        </row>
        <row r="265">
          <cell r="A265">
            <v>41287.75</v>
          </cell>
          <cell r="R265">
            <v>0</v>
          </cell>
          <cell r="T265">
            <v>41287.75</v>
          </cell>
          <cell r="AN265">
            <v>0</v>
          </cell>
          <cell r="AP265">
            <v>41287.75</v>
          </cell>
          <cell r="BF265">
            <v>0</v>
          </cell>
          <cell r="BI265">
            <v>0</v>
          </cell>
          <cell r="BK265">
            <v>41287.75</v>
          </cell>
          <cell r="CD265">
            <v>0</v>
          </cell>
          <cell r="CF265">
            <v>41287.75</v>
          </cell>
          <cell r="CY265">
            <v>0</v>
          </cell>
        </row>
        <row r="266">
          <cell r="A266">
            <v>41318.1875</v>
          </cell>
          <cell r="R266">
            <v>0</v>
          </cell>
          <cell r="T266">
            <v>41318.1875</v>
          </cell>
          <cell r="AN266">
            <v>0</v>
          </cell>
          <cell r="AP266">
            <v>41318.1875</v>
          </cell>
          <cell r="BF266">
            <v>0</v>
          </cell>
          <cell r="BI266">
            <v>0</v>
          </cell>
          <cell r="BK266">
            <v>41318.1875</v>
          </cell>
          <cell r="CD266">
            <v>0</v>
          </cell>
          <cell r="CF266">
            <v>41318.1875</v>
          </cell>
          <cell r="CY266">
            <v>0</v>
          </cell>
        </row>
        <row r="267">
          <cell r="A267">
            <v>41348.625</v>
          </cell>
          <cell r="R267">
            <v>0</v>
          </cell>
          <cell r="T267">
            <v>41348.625</v>
          </cell>
          <cell r="AN267">
            <v>0</v>
          </cell>
          <cell r="AP267">
            <v>41348.625</v>
          </cell>
          <cell r="BF267">
            <v>0</v>
          </cell>
          <cell r="BI267">
            <v>0</v>
          </cell>
          <cell r="BK267">
            <v>41348.625</v>
          </cell>
          <cell r="CD267">
            <v>0</v>
          </cell>
          <cell r="CF267">
            <v>41348.625</v>
          </cell>
          <cell r="CY267">
            <v>0</v>
          </cell>
        </row>
        <row r="268">
          <cell r="A268">
            <v>41379.0625</v>
          </cell>
          <cell r="R268">
            <v>0</v>
          </cell>
          <cell r="T268">
            <v>41379.0625</v>
          </cell>
          <cell r="AN268">
            <v>0</v>
          </cell>
          <cell r="AP268">
            <v>41379.0625</v>
          </cell>
          <cell r="BF268">
            <v>0</v>
          </cell>
          <cell r="BI268">
            <v>0</v>
          </cell>
          <cell r="BK268">
            <v>41379.0625</v>
          </cell>
          <cell r="CD268">
            <v>0</v>
          </cell>
          <cell r="CF268">
            <v>41379.0625</v>
          </cell>
          <cell r="CY268">
            <v>0</v>
          </cell>
        </row>
        <row r="269">
          <cell r="A269">
            <v>41409.5</v>
          </cell>
          <cell r="R269">
            <v>0</v>
          </cell>
          <cell r="T269">
            <v>41409.5</v>
          </cell>
          <cell r="AN269">
            <v>0</v>
          </cell>
          <cell r="AP269">
            <v>41409.5</v>
          </cell>
          <cell r="BF269">
            <v>0</v>
          </cell>
          <cell r="BI269">
            <v>0</v>
          </cell>
          <cell r="BK269">
            <v>41409.5</v>
          </cell>
          <cell r="CD269">
            <v>0</v>
          </cell>
          <cell r="CF269">
            <v>41409.5</v>
          </cell>
          <cell r="CY269">
            <v>0</v>
          </cell>
        </row>
        <row r="270">
          <cell r="A270">
            <v>41439.9375</v>
          </cell>
          <cell r="R270">
            <v>0</v>
          </cell>
          <cell r="T270">
            <v>41439.9375</v>
          </cell>
          <cell r="AN270">
            <v>0</v>
          </cell>
          <cell r="AP270">
            <v>41439.9375</v>
          </cell>
          <cell r="BF270">
            <v>0</v>
          </cell>
          <cell r="BI270">
            <v>0</v>
          </cell>
          <cell r="BK270">
            <v>41439.9375</v>
          </cell>
          <cell r="CD270">
            <v>0</v>
          </cell>
          <cell r="CF270">
            <v>41439.9375</v>
          </cell>
          <cell r="CY270">
            <v>0</v>
          </cell>
        </row>
        <row r="271">
          <cell r="A271">
            <v>41470.375</v>
          </cell>
          <cell r="R271">
            <v>0</v>
          </cell>
          <cell r="T271">
            <v>41470.375</v>
          </cell>
          <cell r="AN271">
            <v>0</v>
          </cell>
          <cell r="AP271">
            <v>41470.375</v>
          </cell>
          <cell r="BF271">
            <v>0</v>
          </cell>
          <cell r="BI271">
            <v>0</v>
          </cell>
          <cell r="BK271">
            <v>41470.375</v>
          </cell>
          <cell r="CD271">
            <v>0</v>
          </cell>
          <cell r="CF271">
            <v>41470.375</v>
          </cell>
          <cell r="CY271">
            <v>0</v>
          </cell>
        </row>
        <row r="272">
          <cell r="A272">
            <v>41500.8125</v>
          </cell>
          <cell r="R272">
            <v>0</v>
          </cell>
          <cell r="T272">
            <v>41500.8125</v>
          </cell>
          <cell r="AN272">
            <v>0</v>
          </cell>
          <cell r="AP272">
            <v>41500.8125</v>
          </cell>
          <cell r="BF272">
            <v>0</v>
          </cell>
          <cell r="BI272">
            <v>0</v>
          </cell>
          <cell r="BK272">
            <v>41500.8125</v>
          </cell>
          <cell r="CD272">
            <v>0</v>
          </cell>
          <cell r="CF272">
            <v>41500.8125</v>
          </cell>
          <cell r="CY272">
            <v>0</v>
          </cell>
        </row>
        <row r="273">
          <cell r="A273">
            <v>41531.25</v>
          </cell>
          <cell r="R273">
            <v>0</v>
          </cell>
          <cell r="T273">
            <v>41531.25</v>
          </cell>
          <cell r="AN273">
            <v>0</v>
          </cell>
          <cell r="AP273">
            <v>41531.25</v>
          </cell>
          <cell r="BF273">
            <v>0</v>
          </cell>
          <cell r="BI273">
            <v>0</v>
          </cell>
          <cell r="BK273">
            <v>41531.25</v>
          </cell>
          <cell r="CD273">
            <v>0</v>
          </cell>
          <cell r="CF273">
            <v>41531.25</v>
          </cell>
          <cell r="CY273">
            <v>0</v>
          </cell>
        </row>
        <row r="274">
          <cell r="A274">
            <v>41561.6875</v>
          </cell>
          <cell r="R274">
            <v>0</v>
          </cell>
          <cell r="T274">
            <v>41561.6875</v>
          </cell>
          <cell r="AN274">
            <v>0</v>
          </cell>
          <cell r="AP274">
            <v>41561.6875</v>
          </cell>
          <cell r="BF274">
            <v>0</v>
          </cell>
          <cell r="BI274">
            <v>0</v>
          </cell>
          <cell r="BK274">
            <v>41561.6875</v>
          </cell>
          <cell r="CD274">
            <v>0</v>
          </cell>
          <cell r="CF274">
            <v>41561.6875</v>
          </cell>
          <cell r="CY274">
            <v>0</v>
          </cell>
        </row>
        <row r="275">
          <cell r="A275">
            <v>41592.125</v>
          </cell>
          <cell r="R275">
            <v>0</v>
          </cell>
          <cell r="T275">
            <v>41592.125</v>
          </cell>
          <cell r="AN275">
            <v>0</v>
          </cell>
          <cell r="AP275">
            <v>41592.125</v>
          </cell>
          <cell r="BF275">
            <v>0</v>
          </cell>
          <cell r="BI275">
            <v>0</v>
          </cell>
          <cell r="BK275">
            <v>41592.125</v>
          </cell>
          <cell r="CD275">
            <v>0</v>
          </cell>
          <cell r="CF275">
            <v>41592.125</v>
          </cell>
          <cell r="CY275">
            <v>0</v>
          </cell>
        </row>
        <row r="276">
          <cell r="A276">
            <v>41622.5625</v>
          </cell>
          <cell r="R276">
            <v>0</v>
          </cell>
          <cell r="T276">
            <v>41622.5625</v>
          </cell>
          <cell r="AN276">
            <v>0</v>
          </cell>
          <cell r="AP276">
            <v>41622.5625</v>
          </cell>
          <cell r="BF276">
            <v>0</v>
          </cell>
          <cell r="BI276">
            <v>0</v>
          </cell>
          <cell r="BK276">
            <v>41622.5625</v>
          </cell>
          <cell r="CD276">
            <v>0</v>
          </cell>
          <cell r="CF276">
            <v>41622.5625</v>
          </cell>
          <cell r="CY276">
            <v>0</v>
          </cell>
        </row>
        <row r="277">
          <cell r="A277">
            <v>41653</v>
          </cell>
          <cell r="R277">
            <v>0</v>
          </cell>
          <cell r="T277">
            <v>41653</v>
          </cell>
          <cell r="AN277">
            <v>0</v>
          </cell>
          <cell r="AP277">
            <v>41653</v>
          </cell>
          <cell r="BF277">
            <v>0</v>
          </cell>
          <cell r="BI277">
            <v>0</v>
          </cell>
          <cell r="BK277">
            <v>41653</v>
          </cell>
          <cell r="CD277">
            <v>0</v>
          </cell>
          <cell r="CF277">
            <v>41653</v>
          </cell>
          <cell r="CY277">
            <v>0</v>
          </cell>
        </row>
        <row r="278">
          <cell r="A278">
            <v>41683.4375</v>
          </cell>
          <cell r="R278">
            <v>0</v>
          </cell>
          <cell r="T278">
            <v>41683.4375</v>
          </cell>
          <cell r="AN278">
            <v>0</v>
          </cell>
          <cell r="AP278">
            <v>41683.4375</v>
          </cell>
          <cell r="BF278">
            <v>0</v>
          </cell>
          <cell r="BI278">
            <v>0</v>
          </cell>
          <cell r="BK278">
            <v>41683.4375</v>
          </cell>
          <cell r="CD278">
            <v>0</v>
          </cell>
          <cell r="CF278">
            <v>41683.4375</v>
          </cell>
          <cell r="CY278">
            <v>0</v>
          </cell>
        </row>
        <row r="279">
          <cell r="A279">
            <v>41713.875</v>
          </cell>
          <cell r="R279">
            <v>0</v>
          </cell>
          <cell r="T279">
            <v>41713.875</v>
          </cell>
          <cell r="AN279">
            <v>0</v>
          </cell>
          <cell r="AP279">
            <v>41713.875</v>
          </cell>
          <cell r="BF279">
            <v>0</v>
          </cell>
          <cell r="BI279">
            <v>0</v>
          </cell>
          <cell r="BK279">
            <v>41713.875</v>
          </cell>
          <cell r="CD279">
            <v>0</v>
          </cell>
          <cell r="CF279">
            <v>41713.875</v>
          </cell>
          <cell r="CY279">
            <v>0</v>
          </cell>
        </row>
        <row r="280">
          <cell r="A280">
            <v>41744.3125</v>
          </cell>
          <cell r="R280">
            <v>0</v>
          </cell>
          <cell r="T280">
            <v>41744.3125</v>
          </cell>
          <cell r="AN280">
            <v>0</v>
          </cell>
          <cell r="AP280">
            <v>41744.3125</v>
          </cell>
          <cell r="BF280">
            <v>0</v>
          </cell>
          <cell r="BI280">
            <v>0</v>
          </cell>
          <cell r="BK280">
            <v>41744.3125</v>
          </cell>
          <cell r="CD280">
            <v>0</v>
          </cell>
          <cell r="CF280">
            <v>41744.3125</v>
          </cell>
          <cell r="CY280">
            <v>0</v>
          </cell>
        </row>
        <row r="281">
          <cell r="A281">
            <v>41774.75</v>
          </cell>
          <cell r="R281">
            <v>0</v>
          </cell>
          <cell r="T281">
            <v>41774.75</v>
          </cell>
          <cell r="AN281">
            <v>0</v>
          </cell>
          <cell r="AP281">
            <v>41774.75</v>
          </cell>
          <cell r="BF281">
            <v>0</v>
          </cell>
          <cell r="BI281">
            <v>0</v>
          </cell>
          <cell r="BK281">
            <v>41774.75</v>
          </cell>
          <cell r="CD281">
            <v>0</v>
          </cell>
          <cell r="CF281">
            <v>41774.75</v>
          </cell>
          <cell r="CY281">
            <v>0</v>
          </cell>
        </row>
        <row r="282">
          <cell r="A282">
            <v>41805.1875</v>
          </cell>
          <cell r="R282">
            <v>0</v>
          </cell>
          <cell r="T282">
            <v>41805.1875</v>
          </cell>
          <cell r="AN282">
            <v>0</v>
          </cell>
          <cell r="AP282">
            <v>41805.1875</v>
          </cell>
          <cell r="BF282">
            <v>0</v>
          </cell>
          <cell r="BI282">
            <v>0</v>
          </cell>
          <cell r="BK282">
            <v>41805.1875</v>
          </cell>
          <cell r="CD282">
            <v>0</v>
          </cell>
          <cell r="CF282">
            <v>41805.1875</v>
          </cell>
          <cell r="CY282">
            <v>0</v>
          </cell>
        </row>
        <row r="283">
          <cell r="A283">
            <v>41835.625</v>
          </cell>
          <cell r="R283">
            <v>0</v>
          </cell>
          <cell r="T283">
            <v>41835.625</v>
          </cell>
          <cell r="AN283">
            <v>0</v>
          </cell>
          <cell r="AP283">
            <v>41835.625</v>
          </cell>
          <cell r="BF283">
            <v>0</v>
          </cell>
          <cell r="BI283">
            <v>0</v>
          </cell>
          <cell r="BK283">
            <v>41835.625</v>
          </cell>
          <cell r="CD283">
            <v>0</v>
          </cell>
          <cell r="CF283">
            <v>41835.625</v>
          </cell>
          <cell r="CY283">
            <v>0</v>
          </cell>
        </row>
        <row r="284">
          <cell r="A284">
            <v>41866.0625</v>
          </cell>
          <cell r="R284">
            <v>0</v>
          </cell>
          <cell r="T284">
            <v>41866.0625</v>
          </cell>
          <cell r="AN284">
            <v>0</v>
          </cell>
          <cell r="AP284">
            <v>41866.0625</v>
          </cell>
          <cell r="BF284">
            <v>0</v>
          </cell>
          <cell r="BI284">
            <v>0</v>
          </cell>
          <cell r="BK284">
            <v>41866.0625</v>
          </cell>
          <cell r="CD284">
            <v>0</v>
          </cell>
          <cell r="CF284">
            <v>41866.0625</v>
          </cell>
          <cell r="CY284">
            <v>0</v>
          </cell>
        </row>
        <row r="285">
          <cell r="A285">
            <v>41896.5</v>
          </cell>
          <cell r="R285">
            <v>0</v>
          </cell>
          <cell r="T285">
            <v>41896.5</v>
          </cell>
          <cell r="AN285">
            <v>0</v>
          </cell>
          <cell r="AP285">
            <v>41896.5</v>
          </cell>
          <cell r="BF285">
            <v>0</v>
          </cell>
          <cell r="BI285">
            <v>0</v>
          </cell>
          <cell r="BK285">
            <v>41896.5</v>
          </cell>
          <cell r="CD285">
            <v>0</v>
          </cell>
          <cell r="CF285">
            <v>41896.5</v>
          </cell>
          <cell r="CY285">
            <v>0</v>
          </cell>
        </row>
        <row r="286">
          <cell r="A286">
            <v>41926.9375</v>
          </cell>
          <cell r="R286">
            <v>0</v>
          </cell>
          <cell r="T286">
            <v>41926.9375</v>
          </cell>
          <cell r="AN286">
            <v>0</v>
          </cell>
          <cell r="AP286">
            <v>41926.9375</v>
          </cell>
          <cell r="BF286">
            <v>0</v>
          </cell>
          <cell r="BI286">
            <v>0</v>
          </cell>
          <cell r="BK286">
            <v>41926.9375</v>
          </cell>
          <cell r="CD286">
            <v>0</v>
          </cell>
          <cell r="CF286">
            <v>41926.9375</v>
          </cell>
          <cell r="CY286">
            <v>0</v>
          </cell>
        </row>
        <row r="287">
          <cell r="A287">
            <v>41957.375</v>
          </cell>
          <cell r="R287">
            <v>0</v>
          </cell>
          <cell r="T287">
            <v>41957.375</v>
          </cell>
          <cell r="AN287">
            <v>0</v>
          </cell>
          <cell r="AP287">
            <v>41957.375</v>
          </cell>
          <cell r="BF287">
            <v>0</v>
          </cell>
          <cell r="BI287">
            <v>0</v>
          </cell>
          <cell r="BK287">
            <v>41957.375</v>
          </cell>
          <cell r="CD287">
            <v>0</v>
          </cell>
          <cell r="CF287">
            <v>41957.375</v>
          </cell>
          <cell r="CY287">
            <v>0</v>
          </cell>
        </row>
        <row r="288">
          <cell r="A288">
            <v>41987.8125</v>
          </cell>
          <cell r="R288">
            <v>0</v>
          </cell>
          <cell r="T288">
            <v>41987.8125</v>
          </cell>
          <cell r="AN288">
            <v>0</v>
          </cell>
          <cell r="AP288">
            <v>41987.8125</v>
          </cell>
          <cell r="BF288">
            <v>0</v>
          </cell>
          <cell r="BI288">
            <v>0</v>
          </cell>
          <cell r="BK288">
            <v>41987.8125</v>
          </cell>
          <cell r="CD288">
            <v>0</v>
          </cell>
          <cell r="CF288">
            <v>41987.8125</v>
          </cell>
          <cell r="CY288">
            <v>0</v>
          </cell>
        </row>
        <row r="289">
          <cell r="A289">
            <v>42018.25</v>
          </cell>
          <cell r="R289">
            <v>0</v>
          </cell>
          <cell r="T289">
            <v>42018.25</v>
          </cell>
          <cell r="AN289">
            <v>0</v>
          </cell>
          <cell r="AP289">
            <v>42018.25</v>
          </cell>
          <cell r="BF289">
            <v>0</v>
          </cell>
          <cell r="BI289">
            <v>0</v>
          </cell>
          <cell r="BK289">
            <v>42018.25</v>
          </cell>
          <cell r="CD289">
            <v>0</v>
          </cell>
          <cell r="CF289">
            <v>42018.25</v>
          </cell>
          <cell r="CY289">
            <v>0</v>
          </cell>
        </row>
        <row r="290">
          <cell r="A290">
            <v>42048.6875</v>
          </cell>
          <cell r="R290">
            <v>0</v>
          </cell>
          <cell r="T290">
            <v>42048.6875</v>
          </cell>
          <cell r="AN290">
            <v>0</v>
          </cell>
          <cell r="AP290">
            <v>42048.6875</v>
          </cell>
          <cell r="BF290">
            <v>0</v>
          </cell>
          <cell r="BI290">
            <v>0</v>
          </cell>
          <cell r="BK290">
            <v>42048.6875</v>
          </cell>
          <cell r="CD290">
            <v>0</v>
          </cell>
          <cell r="CF290">
            <v>42048.6875</v>
          </cell>
          <cell r="CY290">
            <v>0</v>
          </cell>
        </row>
        <row r="291">
          <cell r="A291">
            <v>42079.125</v>
          </cell>
          <cell r="R291">
            <v>0</v>
          </cell>
          <cell r="T291">
            <v>42079.125</v>
          </cell>
          <cell r="AN291">
            <v>0</v>
          </cell>
          <cell r="AP291">
            <v>42079.125</v>
          </cell>
          <cell r="BF291">
            <v>0</v>
          </cell>
          <cell r="BI291">
            <v>0</v>
          </cell>
          <cell r="BK291">
            <v>42079.125</v>
          </cell>
          <cell r="CD291">
            <v>0</v>
          </cell>
          <cell r="CF291">
            <v>42079.125</v>
          </cell>
          <cell r="CY291">
            <v>0</v>
          </cell>
        </row>
        <row r="292">
          <cell r="A292">
            <v>42109.5625</v>
          </cell>
          <cell r="R292">
            <v>0</v>
          </cell>
          <cell r="T292">
            <v>42109.5625</v>
          </cell>
          <cell r="AN292">
            <v>0</v>
          </cell>
          <cell r="AP292">
            <v>42109.5625</v>
          </cell>
          <cell r="BF292">
            <v>0</v>
          </cell>
          <cell r="BI292">
            <v>0</v>
          </cell>
          <cell r="BK292">
            <v>42109.5625</v>
          </cell>
          <cell r="CD292">
            <v>0</v>
          </cell>
          <cell r="CF292">
            <v>42109.5625</v>
          </cell>
          <cell r="CY292">
            <v>0</v>
          </cell>
        </row>
        <row r="293">
          <cell r="A293">
            <v>42140</v>
          </cell>
          <cell r="R293">
            <v>0</v>
          </cell>
          <cell r="T293">
            <v>42140</v>
          </cell>
          <cell r="AN293">
            <v>0</v>
          </cell>
          <cell r="AP293">
            <v>42140</v>
          </cell>
          <cell r="BF293">
            <v>0</v>
          </cell>
          <cell r="BI293">
            <v>0</v>
          </cell>
          <cell r="BK293">
            <v>42140</v>
          </cell>
          <cell r="CD293">
            <v>0</v>
          </cell>
          <cell r="CF293">
            <v>42140</v>
          </cell>
          <cell r="CY293">
            <v>0</v>
          </cell>
        </row>
        <row r="294">
          <cell r="A294">
            <v>42170.4375</v>
          </cell>
          <cell r="R294">
            <v>0</v>
          </cell>
          <cell r="T294">
            <v>42170.4375</v>
          </cell>
          <cell r="AN294">
            <v>0</v>
          </cell>
          <cell r="AP294">
            <v>42170.4375</v>
          </cell>
          <cell r="BF294">
            <v>0</v>
          </cell>
          <cell r="BI294">
            <v>0</v>
          </cell>
          <cell r="BK294">
            <v>42170.4375</v>
          </cell>
          <cell r="CD294">
            <v>0</v>
          </cell>
          <cell r="CF294">
            <v>42170.4375</v>
          </cell>
          <cell r="CY294">
            <v>0</v>
          </cell>
        </row>
        <row r="295">
          <cell r="A295">
            <v>42200.875</v>
          </cell>
          <cell r="R295">
            <v>0</v>
          </cell>
          <cell r="T295">
            <v>42200.875</v>
          </cell>
          <cell r="AN295">
            <v>0</v>
          </cell>
          <cell r="AP295">
            <v>42200.875</v>
          </cell>
          <cell r="BF295">
            <v>0</v>
          </cell>
          <cell r="BI295">
            <v>0</v>
          </cell>
          <cell r="BK295">
            <v>42200.875</v>
          </cell>
          <cell r="CD295">
            <v>0</v>
          </cell>
          <cell r="CF295">
            <v>42200.875</v>
          </cell>
          <cell r="CY295">
            <v>0</v>
          </cell>
        </row>
        <row r="296">
          <cell r="A296">
            <v>42231.3125</v>
          </cell>
          <cell r="R296">
            <v>0</v>
          </cell>
          <cell r="T296">
            <v>42231.3125</v>
          </cell>
          <cell r="AN296">
            <v>0</v>
          </cell>
          <cell r="AP296">
            <v>42231.3125</v>
          </cell>
          <cell r="BF296">
            <v>0</v>
          </cell>
          <cell r="BI296">
            <v>0</v>
          </cell>
          <cell r="BK296">
            <v>42231.3125</v>
          </cell>
          <cell r="CD296">
            <v>0</v>
          </cell>
          <cell r="CF296">
            <v>42231.3125</v>
          </cell>
          <cell r="CY296">
            <v>0</v>
          </cell>
        </row>
        <row r="297">
          <cell r="A297">
            <v>42261.75</v>
          </cell>
          <cell r="R297">
            <v>0</v>
          </cell>
          <cell r="T297">
            <v>42261.75</v>
          </cell>
          <cell r="AN297">
            <v>0</v>
          </cell>
          <cell r="AP297">
            <v>42261.75</v>
          </cell>
          <cell r="BF297">
            <v>0</v>
          </cell>
          <cell r="BI297">
            <v>0</v>
          </cell>
          <cell r="BK297">
            <v>42261.75</v>
          </cell>
          <cell r="CD297">
            <v>0</v>
          </cell>
          <cell r="CF297">
            <v>42261.75</v>
          </cell>
          <cell r="CY297">
            <v>0</v>
          </cell>
        </row>
        <row r="298">
          <cell r="A298">
            <v>42292.1875</v>
          </cell>
          <cell r="R298">
            <v>0</v>
          </cell>
          <cell r="T298">
            <v>42292.1875</v>
          </cell>
          <cell r="AN298">
            <v>0</v>
          </cell>
          <cell r="AP298">
            <v>42292.1875</v>
          </cell>
          <cell r="BF298">
            <v>0</v>
          </cell>
          <cell r="BI298">
            <v>0</v>
          </cell>
          <cell r="BK298">
            <v>42292.1875</v>
          </cell>
          <cell r="CD298">
            <v>0</v>
          </cell>
          <cell r="CF298">
            <v>42292.1875</v>
          </cell>
          <cell r="CY298">
            <v>0</v>
          </cell>
        </row>
        <row r="299">
          <cell r="A299">
            <v>42322.625</v>
          </cell>
          <cell r="R299">
            <v>0</v>
          </cell>
          <cell r="T299">
            <v>42322.625</v>
          </cell>
          <cell r="AN299">
            <v>0</v>
          </cell>
          <cell r="AP299">
            <v>42322.625</v>
          </cell>
          <cell r="BF299">
            <v>0</v>
          </cell>
          <cell r="BI299">
            <v>0</v>
          </cell>
          <cell r="BK299">
            <v>42322.625</v>
          </cell>
          <cell r="CD299">
            <v>0</v>
          </cell>
          <cell r="CF299">
            <v>42322.625</v>
          </cell>
          <cell r="CY299">
            <v>0</v>
          </cell>
        </row>
        <row r="300">
          <cell r="A300">
            <v>42353.0625</v>
          </cell>
          <cell r="R300">
            <v>0</v>
          </cell>
          <cell r="T300">
            <v>42353.0625</v>
          </cell>
          <cell r="AN300">
            <v>0</v>
          </cell>
          <cell r="AP300">
            <v>42353.0625</v>
          </cell>
          <cell r="BF300">
            <v>0</v>
          </cell>
          <cell r="BI300">
            <v>0</v>
          </cell>
          <cell r="BK300">
            <v>42353.0625</v>
          </cell>
          <cell r="CD300">
            <v>0</v>
          </cell>
          <cell r="CF300">
            <v>42353.0625</v>
          </cell>
          <cell r="CY300">
            <v>0</v>
          </cell>
        </row>
        <row r="301">
          <cell r="A301">
            <v>42383.5</v>
          </cell>
          <cell r="R301">
            <v>0</v>
          </cell>
          <cell r="T301">
            <v>42383.5</v>
          </cell>
          <cell r="AN301">
            <v>0</v>
          </cell>
          <cell r="AP301">
            <v>42383.5</v>
          </cell>
          <cell r="BF301">
            <v>0</v>
          </cell>
          <cell r="BI301">
            <v>0</v>
          </cell>
          <cell r="BK301">
            <v>42383.5</v>
          </cell>
          <cell r="CD301">
            <v>0</v>
          </cell>
          <cell r="CF301">
            <v>42383.5</v>
          </cell>
          <cell r="CY301">
            <v>0</v>
          </cell>
        </row>
        <row r="302">
          <cell r="A302">
            <v>42413.9375</v>
          </cell>
          <cell r="R302">
            <v>0</v>
          </cell>
          <cell r="T302">
            <v>42413.9375</v>
          </cell>
          <cell r="AN302">
            <v>0</v>
          </cell>
          <cell r="AP302">
            <v>42413.9375</v>
          </cell>
          <cell r="BF302">
            <v>0</v>
          </cell>
          <cell r="BI302">
            <v>0</v>
          </cell>
          <cell r="BK302">
            <v>42413.9375</v>
          </cell>
          <cell r="CD302">
            <v>0</v>
          </cell>
          <cell r="CF302">
            <v>42413.9375</v>
          </cell>
          <cell r="CY302">
            <v>0</v>
          </cell>
        </row>
        <row r="303">
          <cell r="A303">
            <v>42444.375</v>
          </cell>
          <cell r="R303">
            <v>0</v>
          </cell>
          <cell r="T303">
            <v>42444.375</v>
          </cell>
          <cell r="AN303">
            <v>0</v>
          </cell>
          <cell r="AP303">
            <v>42444.375</v>
          </cell>
          <cell r="BF303">
            <v>0</v>
          </cell>
          <cell r="BI303">
            <v>0</v>
          </cell>
          <cell r="BK303">
            <v>42444.375</v>
          </cell>
          <cell r="CD303">
            <v>0</v>
          </cell>
          <cell r="CF303">
            <v>42444.375</v>
          </cell>
          <cell r="CY303">
            <v>0</v>
          </cell>
        </row>
        <row r="304">
          <cell r="A304">
            <v>42474.8125</v>
          </cell>
          <cell r="R304">
            <v>0</v>
          </cell>
          <cell r="T304">
            <v>42474.8125</v>
          </cell>
          <cell r="AN304">
            <v>0</v>
          </cell>
          <cell r="AP304">
            <v>42474.8125</v>
          </cell>
          <cell r="BF304">
            <v>0</v>
          </cell>
          <cell r="BI304">
            <v>0</v>
          </cell>
          <cell r="BK304">
            <v>42474.8125</v>
          </cell>
          <cell r="CD304">
            <v>0</v>
          </cell>
          <cell r="CF304">
            <v>42474.8125</v>
          </cell>
          <cell r="CY304">
            <v>0</v>
          </cell>
        </row>
        <row r="305">
          <cell r="A305">
            <v>42505.25</v>
          </cell>
          <cell r="R305">
            <v>0</v>
          </cell>
          <cell r="T305">
            <v>42505.25</v>
          </cell>
          <cell r="AN305">
            <v>0</v>
          </cell>
          <cell r="AP305">
            <v>42505.25</v>
          </cell>
          <cell r="BF305">
            <v>0</v>
          </cell>
          <cell r="BI305">
            <v>0</v>
          </cell>
          <cell r="BK305">
            <v>42505.25</v>
          </cell>
          <cell r="CD305">
            <v>0</v>
          </cell>
          <cell r="CF305">
            <v>42505.25</v>
          </cell>
          <cell r="CY305">
            <v>0</v>
          </cell>
        </row>
        <row r="306">
          <cell r="A306">
            <v>42535.6875</v>
          </cell>
          <cell r="R306">
            <v>0</v>
          </cell>
          <cell r="T306">
            <v>42535.6875</v>
          </cell>
          <cell r="AN306">
            <v>0</v>
          </cell>
          <cell r="AP306">
            <v>42535.6875</v>
          </cell>
          <cell r="BF306">
            <v>0</v>
          </cell>
          <cell r="BI306">
            <v>0</v>
          </cell>
          <cell r="BK306">
            <v>42535.6875</v>
          </cell>
          <cell r="CD306">
            <v>0</v>
          </cell>
          <cell r="CF306">
            <v>42535.6875</v>
          </cell>
          <cell r="CY306">
            <v>0</v>
          </cell>
        </row>
        <row r="307">
          <cell r="A307">
            <v>42566.125</v>
          </cell>
          <cell r="R307">
            <v>0</v>
          </cell>
          <cell r="T307">
            <v>42566.125</v>
          </cell>
          <cell r="AN307">
            <v>0</v>
          </cell>
          <cell r="AP307">
            <v>42566.125</v>
          </cell>
          <cell r="BF307">
            <v>0</v>
          </cell>
          <cell r="BI307">
            <v>0</v>
          </cell>
          <cell r="BK307">
            <v>42566.125</v>
          </cell>
          <cell r="CD307">
            <v>0</v>
          </cell>
          <cell r="CF307">
            <v>42566.125</v>
          </cell>
          <cell r="CY307">
            <v>0</v>
          </cell>
        </row>
        <row r="308">
          <cell r="A308">
            <v>42596.5625</v>
          </cell>
          <cell r="R308">
            <v>0</v>
          </cell>
          <cell r="T308">
            <v>42596.5625</v>
          </cell>
          <cell r="AN308">
            <v>0</v>
          </cell>
          <cell r="AP308">
            <v>42596.5625</v>
          </cell>
          <cell r="BF308">
            <v>0</v>
          </cell>
          <cell r="BI308">
            <v>0</v>
          </cell>
          <cell r="BK308">
            <v>42596.5625</v>
          </cell>
          <cell r="CD308">
            <v>0</v>
          </cell>
          <cell r="CF308">
            <v>42596.5625</v>
          </cell>
          <cell r="CY308">
            <v>0</v>
          </cell>
        </row>
        <row r="309">
          <cell r="A309">
            <v>42627</v>
          </cell>
          <cell r="R309">
            <v>0</v>
          </cell>
          <cell r="T309">
            <v>42627</v>
          </cell>
          <cell r="AN309">
            <v>0</v>
          </cell>
          <cell r="AP309">
            <v>42627</v>
          </cell>
          <cell r="BF309">
            <v>0</v>
          </cell>
          <cell r="BI309">
            <v>0</v>
          </cell>
          <cell r="BK309">
            <v>42627</v>
          </cell>
          <cell r="CD309">
            <v>0</v>
          </cell>
          <cell r="CF309">
            <v>42627</v>
          </cell>
          <cell r="CY309">
            <v>0</v>
          </cell>
        </row>
        <row r="310">
          <cell r="A310">
            <v>42657.4375</v>
          </cell>
          <cell r="R310">
            <v>0</v>
          </cell>
          <cell r="T310">
            <v>42657.4375</v>
          </cell>
          <cell r="AN310">
            <v>0</v>
          </cell>
          <cell r="AP310">
            <v>42657.4375</v>
          </cell>
          <cell r="BF310">
            <v>0</v>
          </cell>
          <cell r="BI310">
            <v>0</v>
          </cell>
          <cell r="BK310">
            <v>42657.4375</v>
          </cell>
          <cell r="CD310">
            <v>0</v>
          </cell>
          <cell r="CF310">
            <v>42657.4375</v>
          </cell>
          <cell r="CY310">
            <v>0</v>
          </cell>
        </row>
        <row r="311">
          <cell r="A311">
            <v>42687.875</v>
          </cell>
          <cell r="R311">
            <v>0</v>
          </cell>
          <cell r="T311">
            <v>42687.875</v>
          </cell>
          <cell r="AN311">
            <v>0</v>
          </cell>
          <cell r="AP311">
            <v>42687.875</v>
          </cell>
          <cell r="BF311">
            <v>0</v>
          </cell>
          <cell r="BI311">
            <v>0</v>
          </cell>
          <cell r="BK311">
            <v>42687.875</v>
          </cell>
          <cell r="CD311">
            <v>0</v>
          </cell>
          <cell r="CF311">
            <v>42687.875</v>
          </cell>
          <cell r="CY311">
            <v>0</v>
          </cell>
        </row>
        <row r="312">
          <cell r="A312">
            <v>42718.3125</v>
          </cell>
          <cell r="R312">
            <v>0</v>
          </cell>
          <cell r="T312">
            <v>42718.3125</v>
          </cell>
          <cell r="AN312">
            <v>0</v>
          </cell>
          <cell r="AP312">
            <v>42718.3125</v>
          </cell>
          <cell r="BF312">
            <v>0</v>
          </cell>
          <cell r="BI312">
            <v>0</v>
          </cell>
          <cell r="BK312">
            <v>42718.3125</v>
          </cell>
          <cell r="CD312">
            <v>0</v>
          </cell>
          <cell r="CF312">
            <v>42718.3125</v>
          </cell>
          <cell r="CY312">
            <v>0</v>
          </cell>
        </row>
        <row r="313">
          <cell r="A313">
            <v>42748.75</v>
          </cell>
          <cell r="R313">
            <v>0</v>
          </cell>
          <cell r="T313">
            <v>42748.75</v>
          </cell>
          <cell r="AN313">
            <v>0</v>
          </cell>
          <cell r="AP313">
            <v>42748.75</v>
          </cell>
          <cell r="BF313">
            <v>0</v>
          </cell>
          <cell r="BI313">
            <v>0</v>
          </cell>
          <cell r="BK313">
            <v>42748.75</v>
          </cell>
          <cell r="CD313">
            <v>0</v>
          </cell>
          <cell r="CF313">
            <v>42748.75</v>
          </cell>
          <cell r="CY313">
            <v>0</v>
          </cell>
        </row>
        <row r="314">
          <cell r="A314">
            <v>42779.1875</v>
          </cell>
          <cell r="R314">
            <v>0</v>
          </cell>
          <cell r="T314">
            <v>42779.1875</v>
          </cell>
          <cell r="AN314">
            <v>0</v>
          </cell>
          <cell r="AP314">
            <v>42779.1875</v>
          </cell>
          <cell r="BF314">
            <v>0</v>
          </cell>
          <cell r="BI314">
            <v>0</v>
          </cell>
          <cell r="BK314">
            <v>42779.1875</v>
          </cell>
          <cell r="CD314">
            <v>0</v>
          </cell>
          <cell r="CF314">
            <v>42779.1875</v>
          </cell>
          <cell r="CY314">
            <v>0</v>
          </cell>
        </row>
        <row r="315">
          <cell r="A315">
            <v>42809.625</v>
          </cell>
          <cell r="R315">
            <v>0</v>
          </cell>
          <cell r="T315">
            <v>42809.625</v>
          </cell>
          <cell r="AN315">
            <v>0</v>
          </cell>
          <cell r="AP315">
            <v>42809.625</v>
          </cell>
          <cell r="BF315">
            <v>0</v>
          </cell>
          <cell r="BI315">
            <v>0</v>
          </cell>
          <cell r="BK315">
            <v>42809.625</v>
          </cell>
          <cell r="CD315">
            <v>0</v>
          </cell>
          <cell r="CF315">
            <v>42809.625</v>
          </cell>
          <cell r="CY315">
            <v>0</v>
          </cell>
        </row>
        <row r="316">
          <cell r="A316">
            <v>42840.0625</v>
          </cell>
          <cell r="R316">
            <v>0</v>
          </cell>
          <cell r="T316">
            <v>42840.0625</v>
          </cell>
          <cell r="AN316">
            <v>0</v>
          </cell>
          <cell r="AP316">
            <v>42840.0625</v>
          </cell>
          <cell r="BF316">
            <v>0</v>
          </cell>
          <cell r="BI316">
            <v>0</v>
          </cell>
          <cell r="BK316">
            <v>42840.0625</v>
          </cell>
          <cell r="CD316">
            <v>0</v>
          </cell>
          <cell r="CF316">
            <v>42840.0625</v>
          </cell>
          <cell r="CY316">
            <v>0</v>
          </cell>
        </row>
        <row r="317">
          <cell r="A317">
            <v>42870.5</v>
          </cell>
          <cell r="R317">
            <v>0</v>
          </cell>
          <cell r="T317">
            <v>42870.5</v>
          </cell>
          <cell r="AN317">
            <v>0</v>
          </cell>
          <cell r="AP317">
            <v>42870.5</v>
          </cell>
          <cell r="BF317">
            <v>0</v>
          </cell>
          <cell r="BI317">
            <v>0</v>
          </cell>
          <cell r="BK317">
            <v>42870.5</v>
          </cell>
          <cell r="CD317">
            <v>0</v>
          </cell>
          <cell r="CF317">
            <v>42870.5</v>
          </cell>
          <cell r="CY317">
            <v>0</v>
          </cell>
        </row>
        <row r="318">
          <cell r="A318">
            <v>42900.9375</v>
          </cell>
          <cell r="R318">
            <v>0</v>
          </cell>
          <cell r="T318">
            <v>42900.9375</v>
          </cell>
          <cell r="AN318">
            <v>0</v>
          </cell>
          <cell r="AP318">
            <v>42900.9375</v>
          </cell>
          <cell r="BF318">
            <v>0</v>
          </cell>
          <cell r="BI318">
            <v>0</v>
          </cell>
          <cell r="BK318">
            <v>42900.9375</v>
          </cell>
          <cell r="CD318">
            <v>0</v>
          </cell>
          <cell r="CF318">
            <v>42900.9375</v>
          </cell>
          <cell r="CY318">
            <v>0</v>
          </cell>
        </row>
        <row r="319">
          <cell r="A319">
            <v>42931.375</v>
          </cell>
          <cell r="R319">
            <v>0</v>
          </cell>
          <cell r="T319">
            <v>42931.375</v>
          </cell>
          <cell r="AN319">
            <v>0</v>
          </cell>
          <cell r="AP319">
            <v>42931.375</v>
          </cell>
          <cell r="BF319">
            <v>0</v>
          </cell>
          <cell r="BI319">
            <v>0</v>
          </cell>
          <cell r="BK319">
            <v>42931.375</v>
          </cell>
          <cell r="CD319">
            <v>0</v>
          </cell>
          <cell r="CF319">
            <v>42931.375</v>
          </cell>
          <cell r="CY319">
            <v>0</v>
          </cell>
        </row>
        <row r="320">
          <cell r="A320">
            <v>42961.8125</v>
          </cell>
          <cell r="R320">
            <v>0</v>
          </cell>
          <cell r="T320">
            <v>42961.8125</v>
          </cell>
          <cell r="AN320">
            <v>0</v>
          </cell>
          <cell r="AP320">
            <v>42961.8125</v>
          </cell>
          <cell r="BF320">
            <v>0</v>
          </cell>
          <cell r="BI320">
            <v>0</v>
          </cell>
          <cell r="BK320">
            <v>42961.8125</v>
          </cell>
          <cell r="CD320">
            <v>0</v>
          </cell>
          <cell r="CF320">
            <v>42961.8125</v>
          </cell>
          <cell r="CY320">
            <v>0</v>
          </cell>
        </row>
        <row r="321">
          <cell r="A321">
            <v>42992.25</v>
          </cell>
          <cell r="R321">
            <v>0</v>
          </cell>
          <cell r="T321">
            <v>42992.25</v>
          </cell>
          <cell r="AN321">
            <v>0</v>
          </cell>
          <cell r="AP321">
            <v>42992.25</v>
          </cell>
          <cell r="BF321">
            <v>0</v>
          </cell>
          <cell r="BI321">
            <v>0</v>
          </cell>
          <cell r="BK321">
            <v>42992.25</v>
          </cell>
          <cell r="CD321">
            <v>0</v>
          </cell>
          <cell r="CF321">
            <v>42992.25</v>
          </cell>
          <cell r="CY321">
            <v>0</v>
          </cell>
        </row>
        <row r="322">
          <cell r="A322">
            <v>43022.6875</v>
          </cell>
          <cell r="R322">
            <v>0</v>
          </cell>
          <cell r="T322">
            <v>43022.6875</v>
          </cell>
          <cell r="AN322">
            <v>0</v>
          </cell>
          <cell r="AP322">
            <v>43022.6875</v>
          </cell>
          <cell r="BF322">
            <v>0</v>
          </cell>
          <cell r="BI322">
            <v>0</v>
          </cell>
          <cell r="BK322">
            <v>43022.6875</v>
          </cell>
          <cell r="CD322">
            <v>0</v>
          </cell>
          <cell r="CF322">
            <v>43022.6875</v>
          </cell>
          <cell r="CY322">
            <v>0</v>
          </cell>
        </row>
        <row r="323">
          <cell r="A323">
            <v>43053.125</v>
          </cell>
          <cell r="R323">
            <v>0</v>
          </cell>
          <cell r="T323">
            <v>43053.125</v>
          </cell>
          <cell r="AN323">
            <v>0</v>
          </cell>
          <cell r="AP323">
            <v>43053.125</v>
          </cell>
          <cell r="BF323">
            <v>0</v>
          </cell>
          <cell r="BI323">
            <v>0</v>
          </cell>
          <cell r="BK323">
            <v>43053.125</v>
          </cell>
          <cell r="CD323">
            <v>0</v>
          </cell>
          <cell r="CF323">
            <v>43053.125</v>
          </cell>
          <cell r="CY323">
            <v>0</v>
          </cell>
        </row>
        <row r="324">
          <cell r="A324">
            <v>43083.5625</v>
          </cell>
          <cell r="R324">
            <v>0</v>
          </cell>
          <cell r="T324">
            <v>43083.5625</v>
          </cell>
          <cell r="AN324">
            <v>0</v>
          </cell>
          <cell r="AP324">
            <v>43083.5625</v>
          </cell>
          <cell r="BF324">
            <v>0</v>
          </cell>
          <cell r="BI324">
            <v>0</v>
          </cell>
          <cell r="BK324">
            <v>43083.5625</v>
          </cell>
          <cell r="CD324">
            <v>0</v>
          </cell>
          <cell r="CF324">
            <v>43083.5625</v>
          </cell>
          <cell r="CY324">
            <v>0</v>
          </cell>
        </row>
      </sheetData>
      <sheetData sheetId="9">
        <row r="38">
          <cell r="A38">
            <v>33677.5</v>
          </cell>
          <cell r="V38">
            <v>0</v>
          </cell>
          <cell r="X38">
            <v>33677.5</v>
          </cell>
          <cell r="Y38">
            <v>65900</v>
          </cell>
          <cell r="Z38">
            <v>84300</v>
          </cell>
          <cell r="AA38">
            <v>6400</v>
          </cell>
          <cell r="AB38">
            <v>8233</v>
          </cell>
          <cell r="AC38">
            <v>5633</v>
          </cell>
          <cell r="AD38">
            <v>4333</v>
          </cell>
          <cell r="AS38">
            <v>0</v>
          </cell>
          <cell r="AU38">
            <v>33677.5</v>
          </cell>
          <cell r="AV38">
            <v>69</v>
          </cell>
          <cell r="AW38">
            <v>68</v>
          </cell>
          <cell r="AX38">
            <v>67</v>
          </cell>
          <cell r="AY38">
            <v>70</v>
          </cell>
          <cell r="AZ38">
            <v>67</v>
          </cell>
          <cell r="BA38">
            <v>67</v>
          </cell>
          <cell r="BL38">
            <v>0</v>
          </cell>
        </row>
        <row r="39">
          <cell r="A39">
            <v>33768.8125</v>
          </cell>
          <cell r="V39">
            <v>0</v>
          </cell>
          <cell r="X39">
            <v>33768.8125</v>
          </cell>
          <cell r="Y39">
            <v>65900</v>
          </cell>
          <cell r="Z39">
            <v>95957</v>
          </cell>
          <cell r="AA39">
            <v>7600</v>
          </cell>
          <cell r="AB39">
            <v>9467</v>
          </cell>
          <cell r="AC39">
            <v>5833</v>
          </cell>
          <cell r="AD39">
            <v>4800</v>
          </cell>
          <cell r="AS39">
            <v>0</v>
          </cell>
          <cell r="AU39">
            <v>33768.8125</v>
          </cell>
          <cell r="AV39">
            <v>65</v>
          </cell>
          <cell r="AW39">
            <v>75</v>
          </cell>
          <cell r="AX39">
            <v>66</v>
          </cell>
          <cell r="AY39">
            <v>75</v>
          </cell>
          <cell r="AZ39">
            <v>61</v>
          </cell>
          <cell r="BA39">
            <v>69</v>
          </cell>
          <cell r="BL39">
            <v>0</v>
          </cell>
        </row>
        <row r="40">
          <cell r="A40">
            <v>33860.125</v>
          </cell>
          <cell r="V40">
            <v>0</v>
          </cell>
          <cell r="X40">
            <v>33860.125</v>
          </cell>
          <cell r="Y40">
            <v>69533</v>
          </cell>
          <cell r="Z40">
            <v>86600</v>
          </cell>
          <cell r="AA40">
            <v>6900</v>
          </cell>
          <cell r="AB40">
            <v>9500</v>
          </cell>
          <cell r="AC40">
            <v>5367</v>
          </cell>
          <cell r="AD40">
            <v>5200</v>
          </cell>
          <cell r="AS40">
            <v>0</v>
          </cell>
          <cell r="AU40">
            <v>33860.125</v>
          </cell>
          <cell r="AV40">
            <v>67</v>
          </cell>
          <cell r="AW40">
            <v>76</v>
          </cell>
          <cell r="AX40">
            <v>77</v>
          </cell>
          <cell r="AY40">
            <v>80</v>
          </cell>
          <cell r="AZ40">
            <v>64</v>
          </cell>
          <cell r="BA40">
            <v>75</v>
          </cell>
          <cell r="BL40">
            <v>0</v>
          </cell>
        </row>
        <row r="41">
          <cell r="A41">
            <v>33951.4375</v>
          </cell>
          <cell r="V41">
            <v>0</v>
          </cell>
          <cell r="X41">
            <v>33951.4375</v>
          </cell>
          <cell r="Y41">
            <v>65600</v>
          </cell>
          <cell r="Z41">
            <v>70167</v>
          </cell>
          <cell r="AA41">
            <v>6467</v>
          </cell>
          <cell r="AB41">
            <v>9167</v>
          </cell>
          <cell r="AC41">
            <v>5600</v>
          </cell>
          <cell r="AD41">
            <v>4767</v>
          </cell>
          <cell r="AS41">
            <v>0</v>
          </cell>
          <cell r="AU41">
            <v>33951.4375</v>
          </cell>
          <cell r="AV41">
            <v>49</v>
          </cell>
          <cell r="AW41">
            <v>61</v>
          </cell>
          <cell r="AX41">
            <v>57</v>
          </cell>
          <cell r="AY41">
            <v>66</v>
          </cell>
          <cell r="AZ41">
            <v>54</v>
          </cell>
          <cell r="BA41">
            <v>60</v>
          </cell>
          <cell r="BL41">
            <v>0</v>
          </cell>
        </row>
        <row r="42">
          <cell r="A42">
            <v>34042.75</v>
          </cell>
          <cell r="V42">
            <v>0</v>
          </cell>
          <cell r="X42">
            <v>34042.75</v>
          </cell>
          <cell r="Y42">
            <v>33933</v>
          </cell>
          <cell r="Z42">
            <v>44283</v>
          </cell>
          <cell r="AA42">
            <v>3350</v>
          </cell>
          <cell r="AB42">
            <v>4350</v>
          </cell>
          <cell r="AC42">
            <v>2467</v>
          </cell>
          <cell r="AD42">
            <v>2900</v>
          </cell>
          <cell r="AS42">
            <v>0</v>
          </cell>
          <cell r="AU42">
            <v>34042.75</v>
          </cell>
          <cell r="AV42">
            <v>53</v>
          </cell>
          <cell r="AW42">
            <v>65</v>
          </cell>
          <cell r="AX42">
            <v>55</v>
          </cell>
          <cell r="AY42">
            <v>62</v>
          </cell>
          <cell r="AZ42">
            <v>52</v>
          </cell>
          <cell r="BA42">
            <v>57</v>
          </cell>
          <cell r="BL42">
            <v>0</v>
          </cell>
        </row>
        <row r="43">
          <cell r="A43">
            <v>34134.0625</v>
          </cell>
          <cell r="V43">
            <v>0</v>
          </cell>
          <cell r="X43">
            <v>34134.0625</v>
          </cell>
          <cell r="Y43">
            <v>21517</v>
          </cell>
          <cell r="Z43">
            <v>46233</v>
          </cell>
          <cell r="AA43">
            <v>3967</v>
          </cell>
          <cell r="AB43">
            <v>5217</v>
          </cell>
          <cell r="AC43">
            <v>2567</v>
          </cell>
          <cell r="AD43">
            <v>3150</v>
          </cell>
          <cell r="AS43">
            <v>0</v>
          </cell>
          <cell r="AU43">
            <v>34134.0625</v>
          </cell>
          <cell r="AV43">
            <v>54</v>
          </cell>
          <cell r="AW43">
            <v>61</v>
          </cell>
          <cell r="AX43">
            <v>58</v>
          </cell>
          <cell r="AY43">
            <v>64</v>
          </cell>
          <cell r="AZ43">
            <v>51</v>
          </cell>
          <cell r="BA43">
            <v>58</v>
          </cell>
          <cell r="BL43">
            <v>0</v>
          </cell>
        </row>
        <row r="44">
          <cell r="A44">
            <v>34225.375</v>
          </cell>
          <cell r="V44">
            <v>0</v>
          </cell>
          <cell r="X44">
            <v>34225.375</v>
          </cell>
          <cell r="Y44">
            <v>30083</v>
          </cell>
          <cell r="Z44">
            <v>41267</v>
          </cell>
          <cell r="AA44">
            <v>3533</v>
          </cell>
          <cell r="AB44">
            <v>4983</v>
          </cell>
          <cell r="AC44">
            <v>2550</v>
          </cell>
          <cell r="AD44">
            <v>3200</v>
          </cell>
          <cell r="AS44">
            <v>0</v>
          </cell>
          <cell r="AU44">
            <v>34225.375</v>
          </cell>
          <cell r="AV44">
            <v>56</v>
          </cell>
          <cell r="AW44">
            <v>63</v>
          </cell>
          <cell r="AX44">
            <v>62</v>
          </cell>
          <cell r="AY44">
            <v>70</v>
          </cell>
          <cell r="AZ44">
            <v>56</v>
          </cell>
          <cell r="BA44">
            <v>64</v>
          </cell>
          <cell r="BL44">
            <v>0</v>
          </cell>
        </row>
        <row r="45">
          <cell r="A45">
            <v>34316.6875</v>
          </cell>
          <cell r="V45">
            <v>0</v>
          </cell>
          <cell r="X45">
            <v>34316.6875</v>
          </cell>
          <cell r="Y45">
            <v>33733</v>
          </cell>
          <cell r="Z45">
            <v>37483</v>
          </cell>
          <cell r="AB45">
            <v>4783</v>
          </cell>
          <cell r="AC45">
            <v>2883</v>
          </cell>
          <cell r="AD45">
            <v>3867</v>
          </cell>
          <cell r="AS45">
            <v>0</v>
          </cell>
          <cell r="AU45">
            <v>34316.6875</v>
          </cell>
          <cell r="AV45">
            <v>45</v>
          </cell>
          <cell r="AW45">
            <v>53</v>
          </cell>
          <cell r="AX45">
            <v>50</v>
          </cell>
          <cell r="AY45">
            <v>58</v>
          </cell>
          <cell r="AZ45">
            <v>43</v>
          </cell>
          <cell r="BA45">
            <v>52</v>
          </cell>
          <cell r="BL45">
            <v>0</v>
          </cell>
        </row>
        <row r="46">
          <cell r="A46">
            <v>34408</v>
          </cell>
          <cell r="B46">
            <v>14.72</v>
          </cell>
          <cell r="C46">
            <v>-44.33</v>
          </cell>
          <cell r="D46">
            <v>-29.61</v>
          </cell>
          <cell r="E46">
            <v>6.03</v>
          </cell>
          <cell r="F46">
            <v>-56.32</v>
          </cell>
          <cell r="G46">
            <v>-50.29</v>
          </cell>
          <cell r="H46">
            <v>7.06</v>
          </cell>
          <cell r="I46">
            <v>-30.9</v>
          </cell>
          <cell r="J46">
            <v>-23.84</v>
          </cell>
          <cell r="K46">
            <v>32.590000000000003</v>
          </cell>
          <cell r="L46">
            <v>-58.83</v>
          </cell>
          <cell r="M46">
            <v>-26.24</v>
          </cell>
          <cell r="N46">
            <v>33.46</v>
          </cell>
          <cell r="O46">
            <v>-42.21</v>
          </cell>
          <cell r="P46">
            <v>-8.75</v>
          </cell>
          <cell r="V46">
            <v>9</v>
          </cell>
          <cell r="X46">
            <v>34408</v>
          </cell>
          <cell r="Y46">
            <v>79600</v>
          </cell>
          <cell r="Z46">
            <v>79600</v>
          </cell>
          <cell r="AA46">
            <v>8800</v>
          </cell>
          <cell r="AB46">
            <v>13633</v>
          </cell>
          <cell r="AC46">
            <v>7500</v>
          </cell>
          <cell r="AD46">
            <v>6433</v>
          </cell>
          <cell r="AI46">
            <v>99</v>
          </cell>
          <cell r="AJ46">
            <v>99</v>
          </cell>
          <cell r="AK46">
            <v>99</v>
          </cell>
          <cell r="AL46">
            <v>99</v>
          </cell>
          <cell r="AM46">
            <v>99</v>
          </cell>
          <cell r="AN46">
            <v>99</v>
          </cell>
          <cell r="AO46">
            <v>99</v>
          </cell>
          <cell r="AP46">
            <v>99</v>
          </cell>
          <cell r="AS46">
            <v>9</v>
          </cell>
          <cell r="AU46">
            <v>34408</v>
          </cell>
          <cell r="AV46">
            <v>44</v>
          </cell>
          <cell r="AW46">
            <v>52</v>
          </cell>
          <cell r="AX46">
            <v>50</v>
          </cell>
          <cell r="AY46">
            <v>56</v>
          </cell>
          <cell r="AZ46">
            <v>44</v>
          </cell>
          <cell r="BA46">
            <v>49</v>
          </cell>
          <cell r="BI46">
            <v>99</v>
          </cell>
          <cell r="BL46">
            <v>9</v>
          </cell>
        </row>
        <row r="47">
          <cell r="A47">
            <v>34499.3125</v>
          </cell>
          <cell r="B47">
            <v>4.42</v>
          </cell>
          <cell r="C47">
            <v>-21.36</v>
          </cell>
          <cell r="D47">
            <v>-16.940000000000001</v>
          </cell>
          <cell r="E47">
            <v>25.18</v>
          </cell>
          <cell r="F47">
            <v>-20.56</v>
          </cell>
          <cell r="G47">
            <v>4.62</v>
          </cell>
          <cell r="H47">
            <v>13.23</v>
          </cell>
          <cell r="I47">
            <v>-32.67</v>
          </cell>
          <cell r="J47">
            <v>-19.440000000000001</v>
          </cell>
          <cell r="K47">
            <v>29.28</v>
          </cell>
          <cell r="L47">
            <v>-56</v>
          </cell>
          <cell r="M47">
            <v>-26.72</v>
          </cell>
          <cell r="N47">
            <v>34.51</v>
          </cell>
          <cell r="O47">
            <v>-33.28</v>
          </cell>
          <cell r="P47">
            <v>1.23</v>
          </cell>
          <cell r="V47">
            <v>10</v>
          </cell>
          <cell r="X47">
            <v>34499.3125</v>
          </cell>
          <cell r="Y47">
            <v>106600</v>
          </cell>
          <cell r="Z47">
            <v>106600</v>
          </cell>
          <cell r="AA47">
            <v>12900</v>
          </cell>
          <cell r="AB47">
            <v>19033</v>
          </cell>
          <cell r="AC47">
            <v>3267</v>
          </cell>
          <cell r="AD47">
            <v>7967</v>
          </cell>
          <cell r="AI47">
            <v>99</v>
          </cell>
          <cell r="AJ47">
            <v>99</v>
          </cell>
          <cell r="AK47">
            <v>99</v>
          </cell>
          <cell r="AL47">
            <v>99</v>
          </cell>
          <cell r="AM47">
            <v>99</v>
          </cell>
          <cell r="AN47">
            <v>99</v>
          </cell>
          <cell r="AO47">
            <v>99</v>
          </cell>
          <cell r="AP47">
            <v>99</v>
          </cell>
          <cell r="AS47">
            <v>10</v>
          </cell>
          <cell r="AU47">
            <v>34499.3125</v>
          </cell>
          <cell r="AV47">
            <v>49</v>
          </cell>
          <cell r="AW47">
            <v>58</v>
          </cell>
          <cell r="AX47">
            <v>57</v>
          </cell>
          <cell r="AY47">
            <v>65</v>
          </cell>
          <cell r="AZ47">
            <v>49</v>
          </cell>
          <cell r="BA47">
            <v>57</v>
          </cell>
          <cell r="BI47">
            <v>99</v>
          </cell>
          <cell r="BL47">
            <v>10</v>
          </cell>
        </row>
        <row r="48">
          <cell r="A48">
            <v>34590.625</v>
          </cell>
          <cell r="B48">
            <v>12.4</v>
          </cell>
          <cell r="C48">
            <v>-16.600000000000001</v>
          </cell>
          <cell r="D48">
            <v>-4.2</v>
          </cell>
          <cell r="E48">
            <v>21.07</v>
          </cell>
          <cell r="F48">
            <v>-25.8</v>
          </cell>
          <cell r="G48">
            <v>-4.7300000000000004</v>
          </cell>
          <cell r="H48">
            <v>4.5199999999999996</v>
          </cell>
          <cell r="I48">
            <v>-18.510000000000002</v>
          </cell>
          <cell r="J48">
            <v>-13.99</v>
          </cell>
          <cell r="K48">
            <v>3.39</v>
          </cell>
          <cell r="L48">
            <v>-43.03</v>
          </cell>
          <cell r="M48">
            <v>-39.64</v>
          </cell>
          <cell r="N48">
            <v>11.45</v>
          </cell>
          <cell r="O48">
            <v>-25.87</v>
          </cell>
          <cell r="P48">
            <v>-14.42</v>
          </cell>
          <cell r="V48">
            <v>11</v>
          </cell>
          <cell r="X48">
            <v>34590.625</v>
          </cell>
          <cell r="Y48">
            <v>112567</v>
          </cell>
          <cell r="Z48">
            <v>112567</v>
          </cell>
          <cell r="AA48">
            <v>14100</v>
          </cell>
          <cell r="AB48">
            <v>17667</v>
          </cell>
          <cell r="AC48">
            <v>5800</v>
          </cell>
          <cell r="AD48">
            <v>9267</v>
          </cell>
          <cell r="AI48">
            <v>99</v>
          </cell>
          <cell r="AJ48">
            <v>99</v>
          </cell>
          <cell r="AK48">
            <v>99</v>
          </cell>
          <cell r="AL48">
            <v>99</v>
          </cell>
          <cell r="AM48">
            <v>99</v>
          </cell>
          <cell r="AN48">
            <v>99</v>
          </cell>
          <cell r="AO48">
            <v>99</v>
          </cell>
          <cell r="AP48">
            <v>99</v>
          </cell>
          <cell r="AS48">
            <v>11</v>
          </cell>
          <cell r="AU48">
            <v>34590.625</v>
          </cell>
          <cell r="AV48">
            <v>51</v>
          </cell>
          <cell r="AW48">
            <v>61</v>
          </cell>
          <cell r="AX48">
            <v>59</v>
          </cell>
          <cell r="AY48">
            <v>68</v>
          </cell>
          <cell r="AZ48">
            <v>49</v>
          </cell>
          <cell r="BA48">
            <v>56</v>
          </cell>
          <cell r="BI48">
            <v>99</v>
          </cell>
          <cell r="BL48">
            <v>11</v>
          </cell>
        </row>
        <row r="49">
          <cell r="A49">
            <v>34681.9375</v>
          </cell>
          <cell r="B49">
            <v>15.12</v>
          </cell>
          <cell r="C49">
            <v>-15.18</v>
          </cell>
          <cell r="D49">
            <v>-6.0000000000000497E-2</v>
          </cell>
          <cell r="E49">
            <v>8.98</v>
          </cell>
          <cell r="F49">
            <v>-26.21</v>
          </cell>
          <cell r="G49">
            <v>-17.23</v>
          </cell>
          <cell r="H49">
            <v>1.6</v>
          </cell>
          <cell r="I49">
            <v>-19.489999999999998</v>
          </cell>
          <cell r="J49">
            <v>-17.89</v>
          </cell>
          <cell r="K49">
            <v>64.959999999999994</v>
          </cell>
          <cell r="L49">
            <v>-23.82</v>
          </cell>
          <cell r="M49">
            <v>41.14</v>
          </cell>
          <cell r="N49">
            <v>48.99</v>
          </cell>
          <cell r="O49">
            <v>-10.14</v>
          </cell>
          <cell r="P49">
            <v>38.85</v>
          </cell>
          <cell r="V49">
            <v>12</v>
          </cell>
          <cell r="X49">
            <v>34681.9375</v>
          </cell>
          <cell r="Y49">
            <v>113167</v>
          </cell>
          <cell r="Z49">
            <v>113167</v>
          </cell>
          <cell r="AA49">
            <v>14067</v>
          </cell>
          <cell r="AB49">
            <v>20500</v>
          </cell>
          <cell r="AC49">
            <v>6500</v>
          </cell>
          <cell r="AD49">
            <v>8567</v>
          </cell>
          <cell r="AI49">
            <v>99</v>
          </cell>
          <cell r="AJ49">
            <v>99</v>
          </cell>
          <cell r="AK49">
            <v>99</v>
          </cell>
          <cell r="AL49">
            <v>99</v>
          </cell>
          <cell r="AM49">
            <v>99</v>
          </cell>
          <cell r="AN49">
            <v>99</v>
          </cell>
          <cell r="AO49">
            <v>99</v>
          </cell>
          <cell r="AP49">
            <v>99</v>
          </cell>
          <cell r="AS49">
            <v>12</v>
          </cell>
          <cell r="AU49">
            <v>34681.9375</v>
          </cell>
          <cell r="AV49">
            <v>51</v>
          </cell>
          <cell r="AW49">
            <v>63</v>
          </cell>
          <cell r="AX49">
            <v>59</v>
          </cell>
          <cell r="AY49">
            <v>68</v>
          </cell>
          <cell r="AZ49">
            <v>47</v>
          </cell>
          <cell r="BA49">
            <v>58</v>
          </cell>
          <cell r="BI49">
            <v>99</v>
          </cell>
          <cell r="BL49">
            <v>12</v>
          </cell>
        </row>
        <row r="50">
          <cell r="A50">
            <v>34773.25</v>
          </cell>
          <cell r="B50">
            <v>16.34</v>
          </cell>
          <cell r="C50">
            <v>-12.32</v>
          </cell>
          <cell r="D50">
            <v>4.0199999999999996</v>
          </cell>
          <cell r="E50">
            <v>29.24</v>
          </cell>
          <cell r="F50">
            <v>-13.48</v>
          </cell>
          <cell r="G50">
            <v>15.76</v>
          </cell>
          <cell r="H50">
            <v>24.31</v>
          </cell>
          <cell r="I50">
            <v>-12.78</v>
          </cell>
          <cell r="J50">
            <v>11.53</v>
          </cell>
          <cell r="K50">
            <v>61.67</v>
          </cell>
          <cell r="L50">
            <v>-12.8</v>
          </cell>
          <cell r="M50">
            <v>48.87</v>
          </cell>
          <cell r="N50">
            <v>53.7</v>
          </cell>
          <cell r="O50">
            <v>-13.72</v>
          </cell>
          <cell r="P50">
            <v>39.979999999999997</v>
          </cell>
          <cell r="V50">
            <v>13</v>
          </cell>
          <cell r="X50">
            <v>34773.25</v>
          </cell>
          <cell r="Y50">
            <v>114433</v>
          </cell>
          <cell r="Z50">
            <v>156400</v>
          </cell>
          <cell r="AA50">
            <v>15067</v>
          </cell>
          <cell r="AB50">
            <v>31900</v>
          </cell>
          <cell r="AC50">
            <v>6900</v>
          </cell>
          <cell r="AD50">
            <v>10233</v>
          </cell>
          <cell r="AI50">
            <v>99</v>
          </cell>
          <cell r="AJ50">
            <v>99</v>
          </cell>
          <cell r="AK50">
            <v>99</v>
          </cell>
          <cell r="AL50">
            <v>99</v>
          </cell>
          <cell r="AM50">
            <v>99</v>
          </cell>
          <cell r="AN50">
            <v>99</v>
          </cell>
          <cell r="AO50">
            <v>99</v>
          </cell>
          <cell r="AP50">
            <v>99</v>
          </cell>
          <cell r="AS50">
            <v>13</v>
          </cell>
          <cell r="AU50">
            <v>34773.25</v>
          </cell>
          <cell r="AV50">
            <v>70</v>
          </cell>
          <cell r="AW50">
            <v>73</v>
          </cell>
          <cell r="AX50">
            <v>67</v>
          </cell>
          <cell r="AY50">
            <v>77</v>
          </cell>
          <cell r="AZ50">
            <v>58</v>
          </cell>
          <cell r="BA50">
            <v>69</v>
          </cell>
          <cell r="BI50">
            <v>99</v>
          </cell>
          <cell r="BL50">
            <v>13</v>
          </cell>
        </row>
        <row r="51">
          <cell r="A51">
            <v>34864.5625</v>
          </cell>
          <cell r="B51">
            <v>33.9</v>
          </cell>
          <cell r="C51">
            <v>-1.33</v>
          </cell>
          <cell r="D51">
            <v>32.57</v>
          </cell>
          <cell r="E51">
            <v>23.65</v>
          </cell>
          <cell r="F51">
            <v>-12.45</v>
          </cell>
          <cell r="G51">
            <v>11.2</v>
          </cell>
          <cell r="H51">
            <v>6.5</v>
          </cell>
          <cell r="I51">
            <v>-6.09</v>
          </cell>
          <cell r="J51">
            <v>0.41</v>
          </cell>
          <cell r="K51">
            <v>69.260000000000005</v>
          </cell>
          <cell r="L51">
            <v>-9.9</v>
          </cell>
          <cell r="M51">
            <v>59.36</v>
          </cell>
          <cell r="N51">
            <v>56.49</v>
          </cell>
          <cell r="O51">
            <v>-12.82</v>
          </cell>
          <cell r="P51">
            <v>43.67</v>
          </cell>
          <cell r="V51">
            <v>14</v>
          </cell>
          <cell r="X51">
            <v>34864.5625</v>
          </cell>
          <cell r="Y51">
            <v>150200</v>
          </cell>
          <cell r="Z51">
            <v>152267</v>
          </cell>
          <cell r="AA51">
            <v>16067</v>
          </cell>
          <cell r="AB51">
            <v>37633</v>
          </cell>
          <cell r="AC51">
            <v>9567</v>
          </cell>
          <cell r="AD51">
            <v>10967</v>
          </cell>
          <cell r="AI51">
            <v>99</v>
          </cell>
          <cell r="AJ51">
            <v>99</v>
          </cell>
          <cell r="AK51">
            <v>99</v>
          </cell>
          <cell r="AL51">
            <v>99</v>
          </cell>
          <cell r="AM51">
            <v>99</v>
          </cell>
          <cell r="AN51">
            <v>99</v>
          </cell>
          <cell r="AO51">
            <v>99</v>
          </cell>
          <cell r="AP51">
            <v>99</v>
          </cell>
          <cell r="AS51">
            <v>14</v>
          </cell>
          <cell r="AU51">
            <v>34864.5625</v>
          </cell>
          <cell r="AV51">
            <v>78</v>
          </cell>
          <cell r="AW51">
            <v>90</v>
          </cell>
          <cell r="AX51">
            <v>74</v>
          </cell>
          <cell r="AY51">
            <v>84</v>
          </cell>
          <cell r="AZ51">
            <v>67</v>
          </cell>
          <cell r="BA51">
            <v>78</v>
          </cell>
          <cell r="BI51">
            <v>99</v>
          </cell>
          <cell r="BL51">
            <v>14</v>
          </cell>
        </row>
        <row r="52">
          <cell r="A52">
            <v>34955.875</v>
          </cell>
          <cell r="B52">
            <v>31.08</v>
          </cell>
          <cell r="C52">
            <v>-8.06</v>
          </cell>
          <cell r="D52">
            <v>23.02</v>
          </cell>
          <cell r="E52">
            <v>20.12</v>
          </cell>
          <cell r="F52">
            <v>-23.47</v>
          </cell>
          <cell r="G52">
            <v>-3.35</v>
          </cell>
          <cell r="H52">
            <v>7.11</v>
          </cell>
          <cell r="I52">
            <v>-29.47</v>
          </cell>
          <cell r="J52">
            <v>-22.36</v>
          </cell>
          <cell r="K52">
            <v>56.47</v>
          </cell>
          <cell r="L52">
            <v>-20.66</v>
          </cell>
          <cell r="M52">
            <v>35.81</v>
          </cell>
          <cell r="N52">
            <v>46.16</v>
          </cell>
          <cell r="O52">
            <v>-19.89</v>
          </cell>
          <cell r="P52">
            <v>26.27</v>
          </cell>
          <cell r="V52">
            <v>15</v>
          </cell>
          <cell r="X52">
            <v>34955.875</v>
          </cell>
          <cell r="Y52">
            <v>152967</v>
          </cell>
          <cell r="Z52">
            <v>147400</v>
          </cell>
          <cell r="AA52">
            <v>15267</v>
          </cell>
          <cell r="AB52">
            <v>35567</v>
          </cell>
          <cell r="AC52">
            <v>10067</v>
          </cell>
          <cell r="AD52">
            <v>10933</v>
          </cell>
          <cell r="AI52">
            <v>99</v>
          </cell>
          <cell r="AJ52">
            <v>99</v>
          </cell>
          <cell r="AK52">
            <v>99</v>
          </cell>
          <cell r="AL52">
            <v>99</v>
          </cell>
          <cell r="AM52">
            <v>99</v>
          </cell>
          <cell r="AN52">
            <v>99</v>
          </cell>
          <cell r="AO52">
            <v>99</v>
          </cell>
          <cell r="AP52">
            <v>99</v>
          </cell>
          <cell r="AS52">
            <v>15</v>
          </cell>
          <cell r="AU52">
            <v>34955.875</v>
          </cell>
          <cell r="AV52">
            <v>82</v>
          </cell>
          <cell r="AW52">
            <v>93</v>
          </cell>
          <cell r="AX52">
            <v>84</v>
          </cell>
          <cell r="AY52">
            <v>92</v>
          </cell>
          <cell r="AZ52">
            <v>75</v>
          </cell>
          <cell r="BA52">
            <v>84</v>
          </cell>
          <cell r="BI52">
            <v>99</v>
          </cell>
          <cell r="BL52">
            <v>15</v>
          </cell>
        </row>
        <row r="53">
          <cell r="A53">
            <v>35047.1875</v>
          </cell>
          <cell r="B53">
            <v>32.15</v>
          </cell>
          <cell r="C53">
            <v>-0.96</v>
          </cell>
          <cell r="D53">
            <v>31.19</v>
          </cell>
          <cell r="E53">
            <v>26.53</v>
          </cell>
          <cell r="F53">
            <v>-16.79</v>
          </cell>
          <cell r="G53">
            <v>9.74</v>
          </cell>
          <cell r="H53">
            <v>29.64</v>
          </cell>
          <cell r="I53">
            <v>-12.1</v>
          </cell>
          <cell r="J53">
            <v>17.54</v>
          </cell>
          <cell r="K53">
            <v>40.07</v>
          </cell>
          <cell r="L53">
            <v>-4.1500000000000004</v>
          </cell>
          <cell r="M53">
            <v>35.92</v>
          </cell>
          <cell r="N53">
            <v>44.87</v>
          </cell>
          <cell r="O53">
            <v>-4.2699999999999996</v>
          </cell>
          <cell r="P53">
            <v>40.6</v>
          </cell>
          <cell r="V53">
            <v>16</v>
          </cell>
          <cell r="X53">
            <v>35047.1875</v>
          </cell>
          <cell r="Y53">
            <v>136500</v>
          </cell>
          <cell r="Z53">
            <v>140333</v>
          </cell>
          <cell r="AA53">
            <v>14733</v>
          </cell>
          <cell r="AB53">
            <v>31767</v>
          </cell>
          <cell r="AC53">
            <v>8767</v>
          </cell>
          <cell r="AD53">
            <v>10933</v>
          </cell>
          <cell r="AI53">
            <v>99</v>
          </cell>
          <cell r="AJ53">
            <v>99</v>
          </cell>
          <cell r="AK53">
            <v>99</v>
          </cell>
          <cell r="AL53">
            <v>99</v>
          </cell>
          <cell r="AM53">
            <v>99</v>
          </cell>
          <cell r="AN53">
            <v>99</v>
          </cell>
          <cell r="AO53">
            <v>99</v>
          </cell>
          <cell r="AP53">
            <v>99</v>
          </cell>
          <cell r="AS53">
            <v>16</v>
          </cell>
          <cell r="AU53">
            <v>35047.1875</v>
          </cell>
          <cell r="AV53">
            <v>70</v>
          </cell>
          <cell r="AW53">
            <v>86</v>
          </cell>
          <cell r="AX53">
            <v>80</v>
          </cell>
          <cell r="AY53">
            <v>90</v>
          </cell>
          <cell r="AZ53">
            <v>67</v>
          </cell>
          <cell r="BA53">
            <v>79</v>
          </cell>
          <cell r="BI53">
            <v>99</v>
          </cell>
          <cell r="BL53">
            <v>16</v>
          </cell>
        </row>
        <row r="54">
          <cell r="A54">
            <v>35138.5</v>
          </cell>
          <cell r="B54">
            <v>16.36</v>
          </cell>
          <cell r="C54">
            <v>-2.62</v>
          </cell>
          <cell r="D54">
            <v>13.74</v>
          </cell>
          <cell r="E54">
            <v>25.16</v>
          </cell>
          <cell r="F54">
            <v>-6.93</v>
          </cell>
          <cell r="G54">
            <v>18.23</v>
          </cell>
          <cell r="H54">
            <v>22.1</v>
          </cell>
          <cell r="I54">
            <v>-5.5</v>
          </cell>
          <cell r="J54">
            <v>16.600000000000001</v>
          </cell>
          <cell r="K54">
            <v>68.36</v>
          </cell>
          <cell r="L54">
            <v>-4.34</v>
          </cell>
          <cell r="M54">
            <v>64.02</v>
          </cell>
          <cell r="N54">
            <v>46</v>
          </cell>
          <cell r="O54">
            <v>-7.99</v>
          </cell>
          <cell r="P54">
            <v>38.01</v>
          </cell>
          <cell r="Q54">
            <v>0</v>
          </cell>
          <cell r="R54">
            <v>0</v>
          </cell>
          <cell r="S54">
            <v>0</v>
          </cell>
          <cell r="V54">
            <v>17</v>
          </cell>
          <cell r="X54">
            <v>35138.5</v>
          </cell>
          <cell r="Y54">
            <v>128667</v>
          </cell>
          <cell r="Z54">
            <v>153500</v>
          </cell>
          <cell r="AA54">
            <v>17467</v>
          </cell>
          <cell r="AB54">
            <v>33067</v>
          </cell>
          <cell r="AC54">
            <v>9600</v>
          </cell>
          <cell r="AD54">
            <v>11233</v>
          </cell>
          <cell r="AI54">
            <v>99</v>
          </cell>
          <cell r="AJ54">
            <v>99</v>
          </cell>
          <cell r="AK54">
            <v>99</v>
          </cell>
          <cell r="AL54">
            <v>99</v>
          </cell>
          <cell r="AM54">
            <v>99</v>
          </cell>
          <cell r="AN54">
            <v>99</v>
          </cell>
          <cell r="AO54">
            <v>99</v>
          </cell>
          <cell r="AP54">
            <v>99</v>
          </cell>
          <cell r="AS54">
            <v>17</v>
          </cell>
          <cell r="AU54">
            <v>35138.5</v>
          </cell>
          <cell r="AV54">
            <v>85</v>
          </cell>
          <cell r="AW54">
            <v>99</v>
          </cell>
          <cell r="AX54">
            <v>91</v>
          </cell>
          <cell r="AY54">
            <v>102</v>
          </cell>
          <cell r="AZ54">
            <v>79</v>
          </cell>
          <cell r="BA54">
            <v>90</v>
          </cell>
          <cell r="BB54">
            <v>269</v>
          </cell>
          <cell r="BI54">
            <v>99</v>
          </cell>
          <cell r="BL54">
            <v>17</v>
          </cell>
        </row>
        <row r="55">
          <cell r="A55">
            <v>35229.8125</v>
          </cell>
          <cell r="B55">
            <v>17.600000000000001</v>
          </cell>
          <cell r="C55">
            <v>-9.77</v>
          </cell>
          <cell r="D55">
            <v>7.83</v>
          </cell>
          <cell r="E55">
            <v>33.74</v>
          </cell>
          <cell r="F55">
            <v>-16.38</v>
          </cell>
          <cell r="G55">
            <v>17.36</v>
          </cell>
          <cell r="H55">
            <v>17.2</v>
          </cell>
          <cell r="I55">
            <v>-23.9</v>
          </cell>
          <cell r="J55">
            <v>-6.7</v>
          </cell>
          <cell r="K55">
            <v>63.09</v>
          </cell>
          <cell r="L55">
            <v>-19.38</v>
          </cell>
          <cell r="M55">
            <v>43.71</v>
          </cell>
          <cell r="N55">
            <v>48.59</v>
          </cell>
          <cell r="O55">
            <v>-19.82</v>
          </cell>
          <cell r="P55">
            <v>28.77</v>
          </cell>
          <cell r="Q55">
            <v>0</v>
          </cell>
          <cell r="R55">
            <v>0</v>
          </cell>
          <cell r="S55">
            <v>0</v>
          </cell>
          <cell r="V55">
            <v>18</v>
          </cell>
          <cell r="X55">
            <v>35229.8125</v>
          </cell>
          <cell r="Y55">
            <v>143867</v>
          </cell>
          <cell r="Z55">
            <v>182433</v>
          </cell>
          <cell r="AA55">
            <v>19667</v>
          </cell>
          <cell r="AB55">
            <v>37233</v>
          </cell>
          <cell r="AC55">
            <v>10033</v>
          </cell>
          <cell r="AD55">
            <v>11633</v>
          </cell>
          <cell r="AI55">
            <v>99</v>
          </cell>
          <cell r="AJ55">
            <v>99</v>
          </cell>
          <cell r="AK55">
            <v>99</v>
          </cell>
          <cell r="AL55">
            <v>99</v>
          </cell>
          <cell r="AM55">
            <v>99</v>
          </cell>
          <cell r="AN55">
            <v>99</v>
          </cell>
          <cell r="AO55">
            <v>99</v>
          </cell>
          <cell r="AP55">
            <v>99</v>
          </cell>
          <cell r="AS55">
            <v>18</v>
          </cell>
          <cell r="AU55">
            <v>35229.8125</v>
          </cell>
          <cell r="AV55">
            <v>95</v>
          </cell>
          <cell r="AW55">
            <v>110</v>
          </cell>
          <cell r="AX55">
            <v>105</v>
          </cell>
          <cell r="AY55">
            <v>119</v>
          </cell>
          <cell r="AZ55">
            <v>92</v>
          </cell>
          <cell r="BA55">
            <v>104</v>
          </cell>
          <cell r="BB55">
            <v>268</v>
          </cell>
          <cell r="BI55">
            <v>99</v>
          </cell>
          <cell r="BL55">
            <v>18</v>
          </cell>
        </row>
        <row r="56">
          <cell r="A56">
            <v>35321.125</v>
          </cell>
          <cell r="B56">
            <v>5.78</v>
          </cell>
          <cell r="C56">
            <v>-8.3000000000000007</v>
          </cell>
          <cell r="D56">
            <v>-2.52</v>
          </cell>
          <cell r="E56">
            <v>28.94</v>
          </cell>
          <cell r="F56">
            <v>-12.71</v>
          </cell>
          <cell r="G56">
            <v>16.23</v>
          </cell>
          <cell r="H56">
            <v>19.93</v>
          </cell>
          <cell r="I56">
            <v>-8.44</v>
          </cell>
          <cell r="J56">
            <v>11.49</v>
          </cell>
          <cell r="K56">
            <v>34.31</v>
          </cell>
          <cell r="L56">
            <v>-23.78</v>
          </cell>
          <cell r="M56">
            <v>10.53</v>
          </cell>
          <cell r="N56">
            <v>22.52</v>
          </cell>
          <cell r="O56">
            <v>-23.56</v>
          </cell>
          <cell r="P56">
            <v>-1.04</v>
          </cell>
          <cell r="Q56">
            <v>0</v>
          </cell>
          <cell r="R56">
            <v>0</v>
          </cell>
          <cell r="S56">
            <v>0</v>
          </cell>
          <cell r="V56">
            <v>19</v>
          </cell>
          <cell r="X56">
            <v>35321.125</v>
          </cell>
          <cell r="Y56">
            <v>136867</v>
          </cell>
          <cell r="Z56">
            <v>160500</v>
          </cell>
          <cell r="AA56">
            <v>15967</v>
          </cell>
          <cell r="AB56">
            <v>27533</v>
          </cell>
          <cell r="AC56">
            <v>7567</v>
          </cell>
          <cell r="AD56">
            <v>11800</v>
          </cell>
          <cell r="AI56">
            <v>99</v>
          </cell>
          <cell r="AJ56">
            <v>99</v>
          </cell>
          <cell r="AK56">
            <v>99</v>
          </cell>
          <cell r="AL56">
            <v>99</v>
          </cell>
          <cell r="AM56">
            <v>99</v>
          </cell>
          <cell r="AN56">
            <v>99</v>
          </cell>
          <cell r="AO56">
            <v>99</v>
          </cell>
          <cell r="AP56">
            <v>99</v>
          </cell>
          <cell r="AS56">
            <v>19</v>
          </cell>
          <cell r="AU56">
            <v>35321.125</v>
          </cell>
          <cell r="AV56">
            <v>121</v>
          </cell>
          <cell r="AW56">
            <v>140</v>
          </cell>
          <cell r="AX56">
            <v>140</v>
          </cell>
          <cell r="AY56">
            <v>156</v>
          </cell>
          <cell r="AZ56">
            <v>121</v>
          </cell>
          <cell r="BA56">
            <v>137</v>
          </cell>
          <cell r="BB56">
            <v>268</v>
          </cell>
          <cell r="BI56">
            <v>99</v>
          </cell>
          <cell r="BL56">
            <v>19</v>
          </cell>
        </row>
        <row r="57">
          <cell r="A57">
            <v>35412.4375</v>
          </cell>
          <cell r="B57">
            <v>28.08</v>
          </cell>
          <cell r="C57">
            <v>-4.28</v>
          </cell>
          <cell r="D57">
            <v>23.8</v>
          </cell>
          <cell r="E57">
            <v>23.04</v>
          </cell>
          <cell r="F57">
            <v>-11.37</v>
          </cell>
          <cell r="G57">
            <v>11.67</v>
          </cell>
          <cell r="H57">
            <v>12.12</v>
          </cell>
          <cell r="I57">
            <v>-5.5</v>
          </cell>
          <cell r="J57">
            <v>6.62</v>
          </cell>
          <cell r="K57">
            <v>73.95</v>
          </cell>
          <cell r="L57">
            <v>-9.86</v>
          </cell>
          <cell r="M57">
            <v>64.09</v>
          </cell>
          <cell r="N57">
            <v>49.77</v>
          </cell>
          <cell r="O57">
            <v>-9.2899999999999991</v>
          </cell>
          <cell r="P57">
            <v>40.479999999999997</v>
          </cell>
          <cell r="Q57">
            <v>0</v>
          </cell>
          <cell r="R57">
            <v>0</v>
          </cell>
          <cell r="S57">
            <v>0</v>
          </cell>
          <cell r="V57">
            <v>20</v>
          </cell>
          <cell r="X57">
            <v>35412.4375</v>
          </cell>
          <cell r="Y57">
            <v>132600</v>
          </cell>
          <cell r="Z57">
            <v>156533</v>
          </cell>
          <cell r="AA57">
            <v>15833</v>
          </cell>
          <cell r="AB57">
            <v>29867</v>
          </cell>
          <cell r="AC57">
            <v>7667</v>
          </cell>
          <cell r="AD57">
            <v>11900</v>
          </cell>
          <cell r="AI57">
            <v>99</v>
          </cell>
          <cell r="AJ57">
            <v>99</v>
          </cell>
          <cell r="AK57">
            <v>99</v>
          </cell>
          <cell r="AL57">
            <v>99</v>
          </cell>
          <cell r="AM57">
            <v>99</v>
          </cell>
          <cell r="AN57">
            <v>99</v>
          </cell>
          <cell r="AO57">
            <v>99</v>
          </cell>
          <cell r="AP57">
            <v>99</v>
          </cell>
          <cell r="AS57">
            <v>20</v>
          </cell>
          <cell r="AU57">
            <v>35412.4375</v>
          </cell>
          <cell r="AV57">
            <v>90</v>
          </cell>
          <cell r="AW57">
            <v>110</v>
          </cell>
          <cell r="AX57">
            <v>110</v>
          </cell>
          <cell r="AY57">
            <v>125</v>
          </cell>
          <cell r="AZ57">
            <v>91</v>
          </cell>
          <cell r="BA57">
            <v>107</v>
          </cell>
          <cell r="BB57">
            <v>268</v>
          </cell>
          <cell r="BI57">
            <v>99</v>
          </cell>
          <cell r="BL57">
            <v>20</v>
          </cell>
        </row>
        <row r="58">
          <cell r="A58">
            <v>35503.75</v>
          </cell>
          <cell r="B58">
            <v>28.37</v>
          </cell>
          <cell r="C58">
            <v>-3.72</v>
          </cell>
          <cell r="D58">
            <v>24.65</v>
          </cell>
          <cell r="E58">
            <v>34.36</v>
          </cell>
          <cell r="F58">
            <v>-16.079999999999998</v>
          </cell>
          <cell r="G58">
            <v>18.28</v>
          </cell>
          <cell r="H58">
            <v>12.49</v>
          </cell>
          <cell r="I58">
            <v>-2.67</v>
          </cell>
          <cell r="J58">
            <v>9.82</v>
          </cell>
          <cell r="K58">
            <v>77.44</v>
          </cell>
          <cell r="L58">
            <v>-8.59</v>
          </cell>
          <cell r="M58">
            <v>68.849999999999994</v>
          </cell>
          <cell r="N58">
            <v>60.93</v>
          </cell>
          <cell r="O58">
            <v>-8.4</v>
          </cell>
          <cell r="P58">
            <v>52.53</v>
          </cell>
          <cell r="Q58">
            <v>13.73</v>
          </cell>
          <cell r="R58">
            <v>-9.73</v>
          </cell>
          <cell r="S58">
            <v>4</v>
          </cell>
          <cell r="V58">
            <v>21</v>
          </cell>
          <cell r="X58">
            <v>35503.75</v>
          </cell>
          <cell r="Y58">
            <v>133333</v>
          </cell>
          <cell r="Z58">
            <v>168333</v>
          </cell>
          <cell r="AA58">
            <v>10067</v>
          </cell>
          <cell r="AB58">
            <v>36200</v>
          </cell>
          <cell r="AC58">
            <v>10267</v>
          </cell>
          <cell r="AD58">
            <v>11433</v>
          </cell>
          <cell r="AI58">
            <v>99</v>
          </cell>
          <cell r="AJ58">
            <v>99</v>
          </cell>
          <cell r="AK58">
            <v>99</v>
          </cell>
          <cell r="AL58">
            <v>99</v>
          </cell>
          <cell r="AM58">
            <v>99</v>
          </cell>
          <cell r="AN58">
            <v>99</v>
          </cell>
          <cell r="AO58">
            <v>99</v>
          </cell>
          <cell r="AP58">
            <v>99</v>
          </cell>
          <cell r="AS58">
            <v>21</v>
          </cell>
          <cell r="AU58">
            <v>35503.75</v>
          </cell>
          <cell r="AV58">
            <v>109</v>
          </cell>
          <cell r="AW58">
            <v>118</v>
          </cell>
          <cell r="AX58">
            <v>98</v>
          </cell>
          <cell r="AY58">
            <v>120</v>
          </cell>
          <cell r="AZ58">
            <v>90</v>
          </cell>
          <cell r="BA58">
            <v>112</v>
          </cell>
          <cell r="BI58">
            <v>99</v>
          </cell>
          <cell r="BL58">
            <v>21</v>
          </cell>
        </row>
        <row r="59">
          <cell r="A59">
            <v>35595.0625</v>
          </cell>
          <cell r="B59">
            <v>29.21</v>
          </cell>
          <cell r="C59">
            <v>-2.79</v>
          </cell>
          <cell r="D59">
            <v>26.42</v>
          </cell>
          <cell r="E59">
            <v>32.72</v>
          </cell>
          <cell r="F59">
            <v>-12.91</v>
          </cell>
          <cell r="G59">
            <v>19.809999999999999</v>
          </cell>
          <cell r="H59">
            <v>26.73</v>
          </cell>
          <cell r="I59">
            <v>-17.62</v>
          </cell>
          <cell r="J59">
            <v>9.11</v>
          </cell>
          <cell r="K59">
            <v>56.33</v>
          </cell>
          <cell r="L59">
            <v>-13.13</v>
          </cell>
          <cell r="M59">
            <v>43.2</v>
          </cell>
          <cell r="N59">
            <v>45.02</v>
          </cell>
          <cell r="O59">
            <v>-12.88</v>
          </cell>
          <cell r="P59">
            <v>32.14</v>
          </cell>
          <cell r="Q59">
            <v>24.92</v>
          </cell>
          <cell r="R59">
            <v>-7.8</v>
          </cell>
          <cell r="S59">
            <v>17.12</v>
          </cell>
          <cell r="V59">
            <v>22</v>
          </cell>
          <cell r="X59">
            <v>35595.0625</v>
          </cell>
          <cell r="Y59">
            <v>144467</v>
          </cell>
          <cell r="Z59">
            <v>187967</v>
          </cell>
          <cell r="AA59">
            <v>11800</v>
          </cell>
          <cell r="AB59">
            <v>37067</v>
          </cell>
          <cell r="AC59">
            <v>9733</v>
          </cell>
          <cell r="AD59">
            <v>13267</v>
          </cell>
          <cell r="AI59">
            <v>99</v>
          </cell>
          <cell r="AJ59">
            <v>99</v>
          </cell>
          <cell r="AK59">
            <v>99</v>
          </cell>
          <cell r="AL59">
            <v>99</v>
          </cell>
          <cell r="AM59">
            <v>99</v>
          </cell>
          <cell r="AN59">
            <v>99</v>
          </cell>
          <cell r="AO59">
            <v>99</v>
          </cell>
          <cell r="AP59">
            <v>99</v>
          </cell>
          <cell r="AS59">
            <v>22</v>
          </cell>
          <cell r="AU59">
            <v>35595.0625</v>
          </cell>
          <cell r="AV59">
            <v>105</v>
          </cell>
          <cell r="AW59">
            <v>126</v>
          </cell>
          <cell r="AX59">
            <v>106</v>
          </cell>
          <cell r="AY59">
            <v>126</v>
          </cell>
          <cell r="AZ59">
            <v>97</v>
          </cell>
          <cell r="BA59">
            <v>115</v>
          </cell>
          <cell r="BI59">
            <v>99</v>
          </cell>
          <cell r="BL59">
            <v>22</v>
          </cell>
        </row>
        <row r="60">
          <cell r="A60">
            <v>35686.375</v>
          </cell>
          <cell r="B60">
            <v>9.44</v>
          </cell>
          <cell r="C60">
            <v>-8.83</v>
          </cell>
          <cell r="D60">
            <v>0.60999999999999943</v>
          </cell>
          <cell r="E60">
            <v>33.049999999999997</v>
          </cell>
          <cell r="F60">
            <v>-14.6</v>
          </cell>
          <cell r="G60">
            <v>18.45</v>
          </cell>
          <cell r="H60">
            <v>6.09</v>
          </cell>
          <cell r="I60">
            <v>-28.35</v>
          </cell>
          <cell r="J60">
            <v>-22.26</v>
          </cell>
          <cell r="K60">
            <v>9.73</v>
          </cell>
          <cell r="L60">
            <v>-80.31</v>
          </cell>
          <cell r="M60">
            <v>-70.58</v>
          </cell>
          <cell r="N60">
            <v>35.26</v>
          </cell>
          <cell r="O60">
            <v>-39.79</v>
          </cell>
          <cell r="P60">
            <v>-4.53</v>
          </cell>
          <cell r="Q60">
            <v>0</v>
          </cell>
          <cell r="R60">
            <v>0</v>
          </cell>
          <cell r="S60">
            <v>0</v>
          </cell>
          <cell r="V60">
            <v>23</v>
          </cell>
          <cell r="X60">
            <v>35686.375</v>
          </cell>
          <cell r="Y60">
            <v>132067</v>
          </cell>
          <cell r="Z60">
            <v>160567</v>
          </cell>
          <cell r="AA60">
            <v>12967</v>
          </cell>
          <cell r="AB60">
            <v>33767</v>
          </cell>
          <cell r="AC60">
            <v>8900</v>
          </cell>
          <cell r="AD60">
            <v>14400</v>
          </cell>
          <cell r="AI60">
            <v>99</v>
          </cell>
          <cell r="AJ60">
            <v>99</v>
          </cell>
          <cell r="AK60">
            <v>99</v>
          </cell>
          <cell r="AL60">
            <v>99</v>
          </cell>
          <cell r="AM60">
            <v>99</v>
          </cell>
          <cell r="AN60">
            <v>99</v>
          </cell>
          <cell r="AO60">
            <v>99</v>
          </cell>
          <cell r="AP60">
            <v>99</v>
          </cell>
          <cell r="AS60">
            <v>23</v>
          </cell>
          <cell r="AU60">
            <v>35686.375</v>
          </cell>
          <cell r="AV60">
            <v>102</v>
          </cell>
          <cell r="AW60">
            <v>125</v>
          </cell>
          <cell r="AX60">
            <v>107</v>
          </cell>
          <cell r="AY60">
            <v>125</v>
          </cell>
          <cell r="AZ60">
            <v>100</v>
          </cell>
          <cell r="BA60">
            <v>113</v>
          </cell>
          <cell r="BI60">
            <v>99</v>
          </cell>
          <cell r="BL60">
            <v>23</v>
          </cell>
        </row>
        <row r="61">
          <cell r="A61">
            <v>35777.6875</v>
          </cell>
          <cell r="B61">
            <v>44.9</v>
          </cell>
          <cell r="C61">
            <v>-2.56</v>
          </cell>
          <cell r="D61">
            <v>42.34</v>
          </cell>
          <cell r="E61">
            <v>25.3</v>
          </cell>
          <cell r="F61">
            <v>-29.24</v>
          </cell>
          <cell r="G61">
            <v>-3.94</v>
          </cell>
          <cell r="H61">
            <v>18.399999999999999</v>
          </cell>
          <cell r="I61">
            <v>-3.47</v>
          </cell>
          <cell r="J61">
            <v>14.93</v>
          </cell>
          <cell r="K61">
            <v>73.16</v>
          </cell>
          <cell r="L61">
            <v>-9.11</v>
          </cell>
          <cell r="M61">
            <v>64.05</v>
          </cell>
          <cell r="N61">
            <v>60.92</v>
          </cell>
          <cell r="O61">
            <v>-10.119999999999999</v>
          </cell>
          <cell r="P61">
            <v>50.8</v>
          </cell>
          <cell r="Q61">
            <v>0</v>
          </cell>
          <cell r="R61">
            <v>0</v>
          </cell>
          <cell r="S61">
            <v>0</v>
          </cell>
          <cell r="V61">
            <v>24</v>
          </cell>
          <cell r="X61">
            <v>35777.6875</v>
          </cell>
          <cell r="Y61">
            <v>123500</v>
          </cell>
          <cell r="Z61">
            <v>137300</v>
          </cell>
          <cell r="AA61">
            <v>10300</v>
          </cell>
          <cell r="AB61">
            <v>36700</v>
          </cell>
          <cell r="AC61">
            <v>8367</v>
          </cell>
          <cell r="AD61">
            <v>14600</v>
          </cell>
          <cell r="AI61">
            <v>99</v>
          </cell>
          <cell r="AJ61">
            <v>99</v>
          </cell>
          <cell r="AK61">
            <v>99</v>
          </cell>
          <cell r="AL61">
            <v>99</v>
          </cell>
          <cell r="AM61">
            <v>99</v>
          </cell>
          <cell r="AN61">
            <v>99</v>
          </cell>
          <cell r="AO61">
            <v>99</v>
          </cell>
          <cell r="AP61">
            <v>99</v>
          </cell>
          <cell r="AS61">
            <v>24</v>
          </cell>
          <cell r="AU61">
            <v>35777.6875</v>
          </cell>
          <cell r="AV61">
            <v>85</v>
          </cell>
          <cell r="AW61">
            <v>112</v>
          </cell>
          <cell r="AX61">
            <v>106</v>
          </cell>
          <cell r="AY61">
            <v>121</v>
          </cell>
          <cell r="AZ61">
            <v>93</v>
          </cell>
          <cell r="BA61">
            <v>106</v>
          </cell>
          <cell r="BI61">
            <v>99</v>
          </cell>
          <cell r="BL61">
            <v>24</v>
          </cell>
        </row>
        <row r="62">
          <cell r="A62">
            <v>35869</v>
          </cell>
          <cell r="B62">
            <v>34.869999999999997</v>
          </cell>
          <cell r="C62">
            <v>2.82</v>
          </cell>
          <cell r="D62">
            <v>32.04</v>
          </cell>
          <cell r="E62">
            <v>34.75</v>
          </cell>
          <cell r="F62">
            <v>21.44</v>
          </cell>
          <cell r="G62">
            <v>13.31</v>
          </cell>
          <cell r="H62">
            <v>5.83</v>
          </cell>
          <cell r="I62">
            <v>18.920000000000002</v>
          </cell>
          <cell r="J62">
            <v>-13.09</v>
          </cell>
          <cell r="K62">
            <v>53.56</v>
          </cell>
          <cell r="L62">
            <v>31.17</v>
          </cell>
          <cell r="M62">
            <v>22.4</v>
          </cell>
          <cell r="N62">
            <v>60.95</v>
          </cell>
          <cell r="O62">
            <v>11.95</v>
          </cell>
          <cell r="P62">
            <v>49</v>
          </cell>
          <cell r="Q62">
            <v>14.59</v>
          </cell>
          <cell r="R62">
            <v>3.21</v>
          </cell>
          <cell r="S62">
            <v>11.38</v>
          </cell>
          <cell r="V62">
            <v>25</v>
          </cell>
          <cell r="X62">
            <v>35869</v>
          </cell>
          <cell r="Y62">
            <v>138633</v>
          </cell>
          <cell r="Z62">
            <v>159700</v>
          </cell>
          <cell r="AA62">
            <v>11500</v>
          </cell>
          <cell r="AB62">
            <v>35833</v>
          </cell>
          <cell r="AC62">
            <v>11200</v>
          </cell>
          <cell r="AD62">
            <v>15133</v>
          </cell>
          <cell r="AI62">
            <v>99</v>
          </cell>
          <cell r="AJ62">
            <v>99</v>
          </cell>
          <cell r="AK62">
            <v>99</v>
          </cell>
          <cell r="AL62">
            <v>99</v>
          </cell>
          <cell r="AM62">
            <v>99</v>
          </cell>
          <cell r="AN62">
            <v>99</v>
          </cell>
          <cell r="AO62">
            <v>99</v>
          </cell>
          <cell r="AP62">
            <v>99</v>
          </cell>
          <cell r="AS62">
            <v>25</v>
          </cell>
          <cell r="AU62">
            <v>35869</v>
          </cell>
          <cell r="AV62">
            <v>102</v>
          </cell>
          <cell r="AW62">
            <v>126</v>
          </cell>
          <cell r="AX62">
            <v>122</v>
          </cell>
          <cell r="AY62">
            <v>136</v>
          </cell>
          <cell r="AZ62">
            <v>110</v>
          </cell>
          <cell r="BA62">
            <v>125</v>
          </cell>
          <cell r="BB62">
            <v>267</v>
          </cell>
          <cell r="BC62">
            <v>226</v>
          </cell>
          <cell r="BD62">
            <v>236</v>
          </cell>
          <cell r="BI62">
            <v>99</v>
          </cell>
          <cell r="BL62">
            <v>25</v>
          </cell>
        </row>
        <row r="63">
          <cell r="A63">
            <v>35960.3125</v>
          </cell>
          <cell r="B63">
            <v>35.24</v>
          </cell>
          <cell r="C63">
            <v>4.24</v>
          </cell>
          <cell r="D63">
            <v>31</v>
          </cell>
          <cell r="E63">
            <v>41.85</v>
          </cell>
          <cell r="F63">
            <v>23.93</v>
          </cell>
          <cell r="G63">
            <v>17.920000000000002</v>
          </cell>
          <cell r="H63">
            <v>15.31</v>
          </cell>
          <cell r="I63">
            <v>8.24</v>
          </cell>
          <cell r="J63">
            <v>7.07</v>
          </cell>
          <cell r="K63">
            <v>38.119999999999997</v>
          </cell>
          <cell r="L63">
            <v>26.71</v>
          </cell>
          <cell r="M63">
            <v>11.41</v>
          </cell>
          <cell r="N63">
            <v>45.95</v>
          </cell>
          <cell r="O63">
            <v>21.25</v>
          </cell>
          <cell r="P63">
            <v>24.7</v>
          </cell>
          <cell r="Q63">
            <v>4.1399999999999997</v>
          </cell>
          <cell r="R63">
            <v>4.26</v>
          </cell>
          <cell r="S63">
            <v>-0.12</v>
          </cell>
          <cell r="V63">
            <v>26</v>
          </cell>
          <cell r="X63">
            <v>35960.3125</v>
          </cell>
          <cell r="Y63">
            <v>156333</v>
          </cell>
          <cell r="Z63">
            <v>187900</v>
          </cell>
          <cell r="AA63">
            <v>13800</v>
          </cell>
          <cell r="AB63">
            <v>34733</v>
          </cell>
          <cell r="AC63">
            <v>9633</v>
          </cell>
          <cell r="AD63">
            <v>14500</v>
          </cell>
          <cell r="AI63">
            <v>99</v>
          </cell>
          <cell r="AJ63">
            <v>99</v>
          </cell>
          <cell r="AK63">
            <v>99</v>
          </cell>
          <cell r="AL63">
            <v>99</v>
          </cell>
          <cell r="AM63">
            <v>99</v>
          </cell>
          <cell r="AN63">
            <v>99</v>
          </cell>
          <cell r="AO63">
            <v>99</v>
          </cell>
          <cell r="AP63">
            <v>99</v>
          </cell>
          <cell r="AS63">
            <v>26</v>
          </cell>
          <cell r="AU63">
            <v>35960.3125</v>
          </cell>
          <cell r="AV63">
            <v>123</v>
          </cell>
          <cell r="AW63">
            <v>142</v>
          </cell>
          <cell r="AX63">
            <v>143</v>
          </cell>
          <cell r="AY63">
            <v>162</v>
          </cell>
          <cell r="AZ63">
            <v>131</v>
          </cell>
          <cell r="BA63">
            <v>147</v>
          </cell>
          <cell r="BB63">
            <v>282</v>
          </cell>
          <cell r="BC63">
            <v>261</v>
          </cell>
          <cell r="BD63">
            <v>254</v>
          </cell>
          <cell r="BI63">
            <v>99</v>
          </cell>
          <cell r="BL63">
            <v>26</v>
          </cell>
        </row>
        <row r="64">
          <cell r="A64">
            <v>36051.625</v>
          </cell>
          <cell r="B64">
            <v>7.39</v>
          </cell>
          <cell r="C64">
            <v>12.39</v>
          </cell>
          <cell r="D64">
            <v>-5</v>
          </cell>
          <cell r="E64">
            <v>7.04</v>
          </cell>
          <cell r="F64">
            <v>53.21</v>
          </cell>
          <cell r="G64">
            <v>-46.17</v>
          </cell>
          <cell r="H64">
            <v>19.04</v>
          </cell>
          <cell r="I64">
            <v>8.89</v>
          </cell>
          <cell r="J64">
            <v>10.15</v>
          </cell>
          <cell r="K64">
            <v>23</v>
          </cell>
          <cell r="L64">
            <v>58.72</v>
          </cell>
          <cell r="M64">
            <v>-35.71</v>
          </cell>
          <cell r="N64">
            <v>24.2</v>
          </cell>
          <cell r="O64">
            <v>21.56</v>
          </cell>
          <cell r="P64">
            <v>2.65</v>
          </cell>
          <cell r="Q64">
            <v>2.44</v>
          </cell>
          <cell r="R64">
            <v>3</v>
          </cell>
          <cell r="S64">
            <v>-0.56000000000000005</v>
          </cell>
          <cell r="V64">
            <v>27</v>
          </cell>
          <cell r="X64">
            <v>36051.625</v>
          </cell>
          <cell r="Y64">
            <v>133133</v>
          </cell>
          <cell r="Z64">
            <v>160133</v>
          </cell>
          <cell r="AA64">
            <v>11500</v>
          </cell>
          <cell r="AB64">
            <v>31800</v>
          </cell>
          <cell r="AC64">
            <v>7367</v>
          </cell>
          <cell r="AD64">
            <v>14133</v>
          </cell>
          <cell r="AI64">
            <v>99</v>
          </cell>
          <cell r="AJ64">
            <v>99</v>
          </cell>
          <cell r="AK64">
            <v>99</v>
          </cell>
          <cell r="AL64">
            <v>99</v>
          </cell>
          <cell r="AM64">
            <v>99</v>
          </cell>
          <cell r="AN64">
            <v>99</v>
          </cell>
          <cell r="AO64">
            <v>99</v>
          </cell>
          <cell r="AP64">
            <v>99</v>
          </cell>
          <cell r="AS64">
            <v>27</v>
          </cell>
          <cell r="AU64">
            <v>36051.625</v>
          </cell>
          <cell r="AV64">
            <v>125</v>
          </cell>
          <cell r="AW64">
            <v>148</v>
          </cell>
          <cell r="AX64">
            <v>162</v>
          </cell>
          <cell r="AY64">
            <v>183</v>
          </cell>
          <cell r="AZ64">
            <v>144</v>
          </cell>
          <cell r="BA64">
            <v>165</v>
          </cell>
          <cell r="BB64">
            <v>294</v>
          </cell>
          <cell r="BC64">
            <v>240</v>
          </cell>
          <cell r="BD64">
            <v>266</v>
          </cell>
          <cell r="BI64">
            <v>99</v>
          </cell>
          <cell r="BL64">
            <v>27</v>
          </cell>
        </row>
        <row r="65">
          <cell r="A65">
            <v>36142.9375</v>
          </cell>
          <cell r="B65">
            <v>28.54</v>
          </cell>
          <cell r="C65">
            <v>30.66</v>
          </cell>
          <cell r="D65">
            <v>-2.13</v>
          </cell>
          <cell r="E65">
            <v>19.37</v>
          </cell>
          <cell r="F65">
            <v>51.45</v>
          </cell>
          <cell r="G65">
            <v>-32.090000000000003</v>
          </cell>
          <cell r="H65">
            <v>26.15</v>
          </cell>
          <cell r="I65">
            <v>6.13</v>
          </cell>
          <cell r="J65">
            <v>20.02</v>
          </cell>
          <cell r="K65">
            <v>76.62</v>
          </cell>
          <cell r="L65">
            <v>16.75</v>
          </cell>
          <cell r="M65">
            <v>59.87</v>
          </cell>
          <cell r="N65">
            <v>42.5</v>
          </cell>
          <cell r="O65">
            <v>16.829999999999998</v>
          </cell>
          <cell r="P65">
            <v>25.67</v>
          </cell>
          <cell r="Q65">
            <v>16.46</v>
          </cell>
          <cell r="R65">
            <v>8.1199999999999992</v>
          </cell>
          <cell r="S65">
            <v>8.34</v>
          </cell>
          <cell r="V65">
            <v>28</v>
          </cell>
          <cell r="X65">
            <v>36142.9375</v>
          </cell>
          <cell r="Y65">
            <v>128233</v>
          </cell>
          <cell r="Z65">
            <v>139433</v>
          </cell>
          <cell r="AA65">
            <v>11267</v>
          </cell>
          <cell r="AB65">
            <v>31100</v>
          </cell>
          <cell r="AC65">
            <v>9000</v>
          </cell>
          <cell r="AD65">
            <v>14133</v>
          </cell>
          <cell r="AI65">
            <v>99</v>
          </cell>
          <cell r="AJ65">
            <v>99</v>
          </cell>
          <cell r="AK65">
            <v>99</v>
          </cell>
          <cell r="AL65">
            <v>99</v>
          </cell>
          <cell r="AM65">
            <v>99</v>
          </cell>
          <cell r="AN65">
            <v>99</v>
          </cell>
          <cell r="AO65">
            <v>99</v>
          </cell>
          <cell r="AP65">
            <v>99</v>
          </cell>
          <cell r="AS65">
            <v>28</v>
          </cell>
          <cell r="AU65">
            <v>36142.9375</v>
          </cell>
          <cell r="AV65">
            <v>84</v>
          </cell>
          <cell r="AW65">
            <v>102</v>
          </cell>
          <cell r="AX65">
            <v>117</v>
          </cell>
          <cell r="AY65">
            <v>140</v>
          </cell>
          <cell r="AZ65">
            <v>100</v>
          </cell>
          <cell r="BA65">
            <v>122</v>
          </cell>
          <cell r="BB65">
            <v>293</v>
          </cell>
          <cell r="BC65">
            <v>216</v>
          </cell>
          <cell r="BD65">
            <v>233</v>
          </cell>
          <cell r="BI65">
            <v>99</v>
          </cell>
          <cell r="BL65">
            <v>28</v>
          </cell>
        </row>
        <row r="66">
          <cell r="A66">
            <v>36234.25</v>
          </cell>
          <cell r="B66">
            <v>19.440000000000001</v>
          </cell>
          <cell r="C66">
            <v>27.84</v>
          </cell>
          <cell r="D66">
            <v>-8.41</v>
          </cell>
          <cell r="E66">
            <v>7.47</v>
          </cell>
          <cell r="F66">
            <v>61.69</v>
          </cell>
          <cell r="G66">
            <v>-54.22</v>
          </cell>
          <cell r="H66">
            <v>24.9</v>
          </cell>
          <cell r="I66">
            <v>22.56</v>
          </cell>
          <cell r="J66">
            <v>2.34</v>
          </cell>
          <cell r="K66">
            <v>51.5</v>
          </cell>
          <cell r="L66">
            <v>17.71</v>
          </cell>
          <cell r="M66">
            <v>33.79</v>
          </cell>
          <cell r="N66">
            <v>26.09</v>
          </cell>
          <cell r="O66">
            <v>19.54</v>
          </cell>
          <cell r="P66">
            <v>6.54</v>
          </cell>
          <cell r="Q66">
            <v>8.43</v>
          </cell>
          <cell r="R66">
            <v>25.28</v>
          </cell>
          <cell r="S66">
            <v>-16.84</v>
          </cell>
          <cell r="V66">
            <v>29</v>
          </cell>
          <cell r="X66">
            <v>36234.25</v>
          </cell>
          <cell r="Y66">
            <v>134833</v>
          </cell>
          <cell r="Z66">
            <v>169217</v>
          </cell>
          <cell r="AA66">
            <v>14967</v>
          </cell>
          <cell r="AB66">
            <v>26967</v>
          </cell>
          <cell r="AC66">
            <v>11617</v>
          </cell>
          <cell r="AD66">
            <v>16817</v>
          </cell>
          <cell r="AI66">
            <v>99</v>
          </cell>
          <cell r="AJ66">
            <v>99</v>
          </cell>
          <cell r="AK66">
            <v>99</v>
          </cell>
          <cell r="AL66">
            <v>99</v>
          </cell>
          <cell r="AM66">
            <v>99</v>
          </cell>
          <cell r="AN66">
            <v>99</v>
          </cell>
          <cell r="AO66">
            <v>99</v>
          </cell>
          <cell r="AP66">
            <v>99</v>
          </cell>
          <cell r="AS66">
            <v>29</v>
          </cell>
          <cell r="AU66">
            <v>36234.25</v>
          </cell>
          <cell r="AV66">
            <v>89</v>
          </cell>
          <cell r="AW66">
            <v>110</v>
          </cell>
          <cell r="AX66">
            <v>105</v>
          </cell>
          <cell r="AY66">
            <v>119</v>
          </cell>
          <cell r="AZ66">
            <v>97</v>
          </cell>
          <cell r="BA66">
            <v>110</v>
          </cell>
          <cell r="BB66">
            <v>292</v>
          </cell>
          <cell r="BD66">
            <v>232</v>
          </cell>
          <cell r="BI66">
            <v>99</v>
          </cell>
          <cell r="BL66">
            <v>29</v>
          </cell>
        </row>
        <row r="67">
          <cell r="A67">
            <v>36325.5625</v>
          </cell>
          <cell r="B67">
            <v>14.31</v>
          </cell>
          <cell r="C67">
            <v>15.83</v>
          </cell>
          <cell r="D67">
            <v>-1.52</v>
          </cell>
          <cell r="E67">
            <v>3.12</v>
          </cell>
          <cell r="F67">
            <v>52.54</v>
          </cell>
          <cell r="G67">
            <v>-49.42</v>
          </cell>
          <cell r="H67">
            <v>13.77</v>
          </cell>
          <cell r="I67">
            <v>29.21</v>
          </cell>
          <cell r="J67">
            <v>-15.44</v>
          </cell>
          <cell r="K67">
            <v>30.76</v>
          </cell>
          <cell r="L67">
            <v>43.59</v>
          </cell>
          <cell r="M67">
            <v>-12.83</v>
          </cell>
          <cell r="N67">
            <v>34.479999999999997</v>
          </cell>
          <cell r="O67">
            <v>35.630000000000003</v>
          </cell>
          <cell r="P67">
            <v>-1.1500000000000057</v>
          </cell>
          <cell r="Q67">
            <v>9.26</v>
          </cell>
          <cell r="R67">
            <v>21.84</v>
          </cell>
          <cell r="S67">
            <v>-12.58</v>
          </cell>
          <cell r="V67">
            <v>30</v>
          </cell>
          <cell r="X67">
            <v>36325.5625</v>
          </cell>
          <cell r="Y67">
            <v>129950</v>
          </cell>
          <cell r="Z67">
            <v>173406</v>
          </cell>
          <cell r="AA67">
            <v>14650</v>
          </cell>
          <cell r="AB67">
            <v>23833</v>
          </cell>
          <cell r="AC67">
            <v>12183</v>
          </cell>
          <cell r="AD67">
            <v>18667</v>
          </cell>
          <cell r="AI67">
            <v>99</v>
          </cell>
          <cell r="AJ67">
            <v>99</v>
          </cell>
          <cell r="AK67">
            <v>99</v>
          </cell>
          <cell r="AL67">
            <v>99</v>
          </cell>
          <cell r="AM67">
            <v>99</v>
          </cell>
          <cell r="AN67">
            <v>99</v>
          </cell>
          <cell r="AO67">
            <v>99</v>
          </cell>
          <cell r="AP67">
            <v>99</v>
          </cell>
          <cell r="AS67">
            <v>30</v>
          </cell>
          <cell r="AU67">
            <v>36325.5625</v>
          </cell>
          <cell r="AV67">
            <v>88</v>
          </cell>
          <cell r="AW67">
            <v>113</v>
          </cell>
          <cell r="AX67">
            <v>103</v>
          </cell>
          <cell r="AY67">
            <v>123</v>
          </cell>
          <cell r="AZ67">
            <v>98</v>
          </cell>
          <cell r="BA67">
            <v>115</v>
          </cell>
          <cell r="BB67">
            <v>293</v>
          </cell>
          <cell r="BD67">
            <v>242</v>
          </cell>
          <cell r="BI67">
            <v>99</v>
          </cell>
          <cell r="BL67">
            <v>30</v>
          </cell>
        </row>
        <row r="68">
          <cell r="A68">
            <v>36416.875</v>
          </cell>
          <cell r="B68">
            <v>11.2</v>
          </cell>
          <cell r="C68">
            <v>29.22</v>
          </cell>
          <cell r="D68">
            <v>-18.02</v>
          </cell>
          <cell r="E68">
            <v>1.45</v>
          </cell>
          <cell r="F68">
            <v>36.78</v>
          </cell>
          <cell r="G68">
            <v>-35.33</v>
          </cell>
          <cell r="H68">
            <v>15.66</v>
          </cell>
          <cell r="I68">
            <v>8.8000000000000007</v>
          </cell>
          <cell r="J68">
            <v>6.77</v>
          </cell>
          <cell r="K68">
            <v>8.8699999999999992</v>
          </cell>
          <cell r="L68">
            <v>30.28</v>
          </cell>
          <cell r="M68">
            <v>-21.41</v>
          </cell>
          <cell r="N68">
            <v>10.18</v>
          </cell>
          <cell r="O68">
            <v>31.29</v>
          </cell>
          <cell r="P68">
            <v>-21.11</v>
          </cell>
          <cell r="Q68">
            <v>4.21</v>
          </cell>
          <cell r="R68">
            <v>15.64</v>
          </cell>
          <cell r="S68">
            <v>-11.43</v>
          </cell>
          <cell r="V68">
            <v>31</v>
          </cell>
          <cell r="X68">
            <v>36416.875</v>
          </cell>
          <cell r="Y68">
            <v>133400</v>
          </cell>
          <cell r="Z68">
            <v>150100</v>
          </cell>
          <cell r="AA68">
            <v>14350</v>
          </cell>
          <cell r="AB68">
            <v>26117</v>
          </cell>
          <cell r="AC68">
            <v>11050</v>
          </cell>
          <cell r="AD68">
            <v>19250</v>
          </cell>
          <cell r="AI68">
            <v>99</v>
          </cell>
          <cell r="AJ68">
            <v>99</v>
          </cell>
          <cell r="AK68">
            <v>99</v>
          </cell>
          <cell r="AL68">
            <v>99</v>
          </cell>
          <cell r="AM68">
            <v>99</v>
          </cell>
          <cell r="AN68">
            <v>99</v>
          </cell>
          <cell r="AO68">
            <v>99</v>
          </cell>
          <cell r="AP68">
            <v>99</v>
          </cell>
          <cell r="AS68">
            <v>31</v>
          </cell>
          <cell r="AU68">
            <v>36416.875</v>
          </cell>
          <cell r="AV68">
            <v>83</v>
          </cell>
          <cell r="AW68">
            <v>109</v>
          </cell>
          <cell r="AX68">
            <v>104</v>
          </cell>
          <cell r="AY68">
            <v>121</v>
          </cell>
          <cell r="AZ68">
            <v>92</v>
          </cell>
          <cell r="BA68">
            <v>113</v>
          </cell>
          <cell r="BB68">
            <v>293</v>
          </cell>
          <cell r="BD68">
            <v>245</v>
          </cell>
          <cell r="BI68">
            <v>99</v>
          </cell>
          <cell r="BL68">
            <v>31</v>
          </cell>
        </row>
        <row r="69">
          <cell r="A69">
            <v>36508.1875</v>
          </cell>
          <cell r="B69">
            <v>22.9</v>
          </cell>
          <cell r="C69">
            <v>19.600000000000001</v>
          </cell>
          <cell r="D69">
            <v>3.3</v>
          </cell>
          <cell r="E69">
            <v>11.9</v>
          </cell>
          <cell r="F69">
            <v>34.5</v>
          </cell>
          <cell r="G69">
            <v>-22.6</v>
          </cell>
          <cell r="H69">
            <v>23.5</v>
          </cell>
          <cell r="I69">
            <v>11.1</v>
          </cell>
          <cell r="J69">
            <v>12.4</v>
          </cell>
          <cell r="K69">
            <v>26.1</v>
          </cell>
          <cell r="L69">
            <v>31.5</v>
          </cell>
          <cell r="M69">
            <v>-5.4</v>
          </cell>
          <cell r="N69">
            <v>40.5</v>
          </cell>
          <cell r="O69">
            <v>12.9</v>
          </cell>
          <cell r="P69">
            <v>27.6</v>
          </cell>
          <cell r="Q69">
            <v>11.6</v>
          </cell>
          <cell r="R69">
            <v>11.4</v>
          </cell>
          <cell r="S69">
            <v>0.19999999999999929</v>
          </cell>
          <cell r="V69">
            <v>32</v>
          </cell>
          <cell r="X69">
            <v>36508.1875</v>
          </cell>
          <cell r="Y69">
            <v>129433</v>
          </cell>
          <cell r="Z69">
            <v>138967</v>
          </cell>
          <cell r="AA69">
            <v>6083</v>
          </cell>
          <cell r="AB69">
            <v>29033</v>
          </cell>
          <cell r="AC69">
            <v>10767</v>
          </cell>
          <cell r="AD69">
            <v>20750</v>
          </cell>
          <cell r="AI69">
            <v>99</v>
          </cell>
          <cell r="AJ69">
            <v>99</v>
          </cell>
          <cell r="AK69">
            <v>99</v>
          </cell>
          <cell r="AL69">
            <v>99</v>
          </cell>
          <cell r="AM69">
            <v>99</v>
          </cell>
          <cell r="AN69">
            <v>99</v>
          </cell>
          <cell r="AO69">
            <v>99</v>
          </cell>
          <cell r="AP69">
            <v>99</v>
          </cell>
          <cell r="AS69">
            <v>32</v>
          </cell>
          <cell r="AU69">
            <v>36508.1875</v>
          </cell>
          <cell r="AV69">
            <v>64</v>
          </cell>
          <cell r="AW69">
            <v>90</v>
          </cell>
          <cell r="AX69">
            <v>85</v>
          </cell>
          <cell r="AY69">
            <v>102</v>
          </cell>
          <cell r="AZ69">
            <v>77</v>
          </cell>
          <cell r="BA69">
            <v>94</v>
          </cell>
          <cell r="BB69">
            <v>292</v>
          </cell>
          <cell r="BD69">
            <v>216</v>
          </cell>
          <cell r="BI69">
            <v>99</v>
          </cell>
          <cell r="BL69">
            <v>32</v>
          </cell>
        </row>
        <row r="70">
          <cell r="A70">
            <v>36599.5</v>
          </cell>
          <cell r="B70">
            <v>41.19</v>
          </cell>
          <cell r="C70">
            <v>12.82</v>
          </cell>
          <cell r="D70">
            <v>28.37</v>
          </cell>
          <cell r="E70">
            <v>12.84</v>
          </cell>
          <cell r="F70">
            <v>45.78</v>
          </cell>
          <cell r="G70">
            <v>-32.94</v>
          </cell>
          <cell r="H70">
            <v>29.87</v>
          </cell>
          <cell r="I70">
            <v>9.92</v>
          </cell>
          <cell r="J70">
            <v>19.940000000000001</v>
          </cell>
          <cell r="K70">
            <v>48.49</v>
          </cell>
          <cell r="L70">
            <v>24.82</v>
          </cell>
          <cell r="M70">
            <v>23.67</v>
          </cell>
          <cell r="N70">
            <v>49.33</v>
          </cell>
          <cell r="O70">
            <v>24.22</v>
          </cell>
          <cell r="P70">
            <v>25.12</v>
          </cell>
          <cell r="Q70">
            <v>15.58</v>
          </cell>
          <cell r="R70">
            <v>5.28</v>
          </cell>
          <cell r="S70">
            <v>10.3</v>
          </cell>
          <cell r="V70">
            <v>33</v>
          </cell>
          <cell r="X70">
            <v>36599.5</v>
          </cell>
          <cell r="Y70">
            <v>127250</v>
          </cell>
          <cell r="Z70">
            <v>143700</v>
          </cell>
          <cell r="AA70">
            <v>14267</v>
          </cell>
          <cell r="AB70">
            <v>40667</v>
          </cell>
          <cell r="AC70">
            <v>10233</v>
          </cell>
          <cell r="AD70">
            <v>17383</v>
          </cell>
          <cell r="AI70">
            <v>99</v>
          </cell>
          <cell r="AJ70">
            <v>99</v>
          </cell>
          <cell r="AK70">
            <v>99</v>
          </cell>
          <cell r="AL70">
            <v>99</v>
          </cell>
          <cell r="AM70">
            <v>99</v>
          </cell>
          <cell r="AN70">
            <v>99</v>
          </cell>
          <cell r="AO70">
            <v>99</v>
          </cell>
          <cell r="AP70">
            <v>99</v>
          </cell>
          <cell r="AS70">
            <v>33</v>
          </cell>
          <cell r="AU70">
            <v>36599.5</v>
          </cell>
          <cell r="AV70">
            <v>60</v>
          </cell>
          <cell r="AW70">
            <v>82</v>
          </cell>
          <cell r="AX70">
            <v>70</v>
          </cell>
          <cell r="AY70">
            <v>87</v>
          </cell>
          <cell r="AZ70">
            <v>66</v>
          </cell>
          <cell r="BA70">
            <v>84</v>
          </cell>
          <cell r="BB70">
            <v>286</v>
          </cell>
          <cell r="BC70">
            <v>193</v>
          </cell>
          <cell r="BD70">
            <v>211</v>
          </cell>
          <cell r="BI70">
            <v>99</v>
          </cell>
          <cell r="BL70">
            <v>33</v>
          </cell>
        </row>
        <row r="71">
          <cell r="A71">
            <v>36690.8125</v>
          </cell>
          <cell r="B71">
            <v>31.2</v>
          </cell>
          <cell r="C71">
            <v>44.5</v>
          </cell>
          <cell r="D71">
            <v>13.52</v>
          </cell>
          <cell r="E71">
            <v>5.09</v>
          </cell>
          <cell r="F71">
            <v>25.7</v>
          </cell>
          <cell r="G71">
            <v>58.6</v>
          </cell>
          <cell r="H71">
            <v>8.2799999999999994</v>
          </cell>
          <cell r="I71">
            <v>50</v>
          </cell>
          <cell r="J71">
            <v>28.63</v>
          </cell>
          <cell r="K71">
            <v>14.19</v>
          </cell>
          <cell r="L71">
            <v>34.26</v>
          </cell>
          <cell r="M71">
            <v>51.55</v>
          </cell>
          <cell r="N71">
            <v>60.99</v>
          </cell>
          <cell r="O71">
            <v>9.39</v>
          </cell>
          <cell r="P71">
            <v>18.43</v>
          </cell>
          <cell r="Q71">
            <v>10.32</v>
          </cell>
          <cell r="R71">
            <v>60.92</v>
          </cell>
          <cell r="S71">
            <v>5.0599999999999996</v>
          </cell>
          <cell r="V71">
            <v>34</v>
          </cell>
          <cell r="X71">
            <v>36690.8125</v>
          </cell>
          <cell r="Y71">
            <v>120683</v>
          </cell>
          <cell r="Z71">
            <v>148533</v>
          </cell>
          <cell r="AA71">
            <v>13522</v>
          </cell>
          <cell r="AB71">
            <v>39489</v>
          </cell>
          <cell r="AC71">
            <v>11144</v>
          </cell>
          <cell r="AD71">
            <v>16761</v>
          </cell>
          <cell r="AI71">
            <v>99</v>
          </cell>
          <cell r="AJ71">
            <v>99</v>
          </cell>
          <cell r="AK71">
            <v>99</v>
          </cell>
          <cell r="AL71">
            <v>99</v>
          </cell>
          <cell r="AM71">
            <v>99</v>
          </cell>
          <cell r="AN71">
            <v>99</v>
          </cell>
          <cell r="AO71">
            <v>99</v>
          </cell>
          <cell r="AP71">
            <v>99</v>
          </cell>
          <cell r="AS71">
            <v>34</v>
          </cell>
          <cell r="AU71">
            <v>36690.8125</v>
          </cell>
          <cell r="AV71">
            <v>68</v>
          </cell>
          <cell r="AW71">
            <v>87</v>
          </cell>
          <cell r="AX71">
            <v>73</v>
          </cell>
          <cell r="AY71">
            <v>91</v>
          </cell>
          <cell r="AZ71">
            <v>69</v>
          </cell>
          <cell r="BA71">
            <v>88</v>
          </cell>
          <cell r="BB71">
            <v>288</v>
          </cell>
          <cell r="BC71">
            <v>217</v>
          </cell>
          <cell r="BD71">
            <v>219</v>
          </cell>
          <cell r="BI71">
            <v>99</v>
          </cell>
          <cell r="BL71">
            <v>34</v>
          </cell>
        </row>
        <row r="72">
          <cell r="A72">
            <v>36782.125</v>
          </cell>
          <cell r="B72">
            <v>21.51</v>
          </cell>
          <cell r="C72">
            <v>20.18</v>
          </cell>
          <cell r="D72">
            <v>1.33</v>
          </cell>
          <cell r="E72">
            <v>3.7</v>
          </cell>
          <cell r="F72">
            <v>57.76</v>
          </cell>
          <cell r="G72">
            <v>-54.05</v>
          </cell>
          <cell r="H72">
            <v>19.68</v>
          </cell>
          <cell r="I72">
            <v>8.17</v>
          </cell>
          <cell r="J72">
            <v>11.5</v>
          </cell>
          <cell r="K72">
            <v>21.19</v>
          </cell>
          <cell r="L72">
            <v>31.94</v>
          </cell>
          <cell r="M72">
            <v>-10.74</v>
          </cell>
          <cell r="N72">
            <v>52.44</v>
          </cell>
          <cell r="O72">
            <v>30.07</v>
          </cell>
          <cell r="P72">
            <v>22.38</v>
          </cell>
          <cell r="Q72">
            <v>33.58</v>
          </cell>
          <cell r="R72">
            <v>0.28000000000000003</v>
          </cell>
          <cell r="S72">
            <v>33.299999999999997</v>
          </cell>
          <cell r="V72">
            <v>35</v>
          </cell>
          <cell r="X72">
            <v>36782.125</v>
          </cell>
          <cell r="Y72">
            <v>135233</v>
          </cell>
          <cell r="Z72">
            <v>126433</v>
          </cell>
          <cell r="AA72">
            <v>14700</v>
          </cell>
          <cell r="AB72">
            <v>33367</v>
          </cell>
          <cell r="AC72">
            <v>11333</v>
          </cell>
          <cell r="AD72">
            <v>12933</v>
          </cell>
          <cell r="AI72">
            <v>99</v>
          </cell>
          <cell r="AJ72">
            <v>99</v>
          </cell>
          <cell r="AK72">
            <v>99</v>
          </cell>
          <cell r="AL72">
            <v>99</v>
          </cell>
          <cell r="AM72">
            <v>99</v>
          </cell>
          <cell r="AN72">
            <v>99</v>
          </cell>
          <cell r="AO72">
            <v>99</v>
          </cell>
          <cell r="AP72">
            <v>99</v>
          </cell>
          <cell r="AS72">
            <v>35</v>
          </cell>
          <cell r="AU72">
            <v>36782.125</v>
          </cell>
          <cell r="AV72">
            <v>70</v>
          </cell>
          <cell r="AW72">
            <v>88</v>
          </cell>
          <cell r="AX72">
            <v>77</v>
          </cell>
          <cell r="AY72">
            <v>95</v>
          </cell>
          <cell r="AZ72">
            <v>68</v>
          </cell>
          <cell r="BA72">
            <v>88</v>
          </cell>
          <cell r="BB72">
            <v>285</v>
          </cell>
          <cell r="BC72">
            <v>175</v>
          </cell>
          <cell r="BD72">
            <v>228</v>
          </cell>
          <cell r="BI72">
            <v>99</v>
          </cell>
          <cell r="BL72">
            <v>35</v>
          </cell>
        </row>
        <row r="73">
          <cell r="A73">
            <v>36873.4375</v>
          </cell>
          <cell r="B73">
            <v>38.71</v>
          </cell>
          <cell r="C73">
            <v>12.91</v>
          </cell>
          <cell r="D73">
            <v>25.8</v>
          </cell>
          <cell r="E73">
            <v>15.38</v>
          </cell>
          <cell r="F73">
            <v>29.27</v>
          </cell>
          <cell r="G73">
            <v>-13.89</v>
          </cell>
          <cell r="H73">
            <v>14.16</v>
          </cell>
          <cell r="I73">
            <v>6.19</v>
          </cell>
          <cell r="J73">
            <v>7.97</v>
          </cell>
          <cell r="K73">
            <v>28.28</v>
          </cell>
          <cell r="L73">
            <v>15.64</v>
          </cell>
          <cell r="M73">
            <v>12.63</v>
          </cell>
          <cell r="N73">
            <v>45.51</v>
          </cell>
          <cell r="O73">
            <v>21.61</v>
          </cell>
          <cell r="P73">
            <v>23.9</v>
          </cell>
          <cell r="Q73">
            <v>19.47</v>
          </cell>
          <cell r="R73">
            <v>9.06</v>
          </cell>
          <cell r="S73">
            <v>10.4</v>
          </cell>
          <cell r="V73">
            <v>36</v>
          </cell>
          <cell r="X73">
            <v>36873.4375</v>
          </cell>
          <cell r="Y73">
            <v>130667</v>
          </cell>
          <cell r="Z73">
            <v>125500</v>
          </cell>
          <cell r="AA73">
            <v>14933</v>
          </cell>
          <cell r="AB73">
            <v>35033</v>
          </cell>
          <cell r="AC73">
            <v>11671</v>
          </cell>
          <cell r="AD73">
            <v>16100</v>
          </cell>
          <cell r="AI73">
            <v>99</v>
          </cell>
          <cell r="AJ73">
            <v>99</v>
          </cell>
          <cell r="AK73">
            <v>99</v>
          </cell>
          <cell r="AL73">
            <v>99</v>
          </cell>
          <cell r="AM73">
            <v>99</v>
          </cell>
          <cell r="AN73">
            <v>99</v>
          </cell>
          <cell r="AO73">
            <v>99</v>
          </cell>
          <cell r="AP73">
            <v>99</v>
          </cell>
          <cell r="AS73">
            <v>36</v>
          </cell>
          <cell r="AU73">
            <v>36873.4375</v>
          </cell>
          <cell r="AV73">
            <v>69</v>
          </cell>
          <cell r="AW73">
            <v>86</v>
          </cell>
          <cell r="AX73">
            <v>83</v>
          </cell>
          <cell r="AY73">
            <v>99</v>
          </cell>
          <cell r="AZ73">
            <v>74</v>
          </cell>
          <cell r="BA73">
            <v>90</v>
          </cell>
          <cell r="BB73">
            <v>280</v>
          </cell>
          <cell r="BC73">
            <v>211</v>
          </cell>
          <cell r="BD73">
            <v>226</v>
          </cell>
          <cell r="BI73">
            <v>99</v>
          </cell>
          <cell r="BL73">
            <v>36</v>
          </cell>
        </row>
        <row r="74">
          <cell r="A74">
            <v>36964.75</v>
          </cell>
          <cell r="B74">
            <v>22.52</v>
          </cell>
          <cell r="C74">
            <v>32.409999999999997</v>
          </cell>
          <cell r="D74">
            <v>-9.9</v>
          </cell>
          <cell r="E74">
            <v>10.73</v>
          </cell>
          <cell r="F74">
            <v>45.31</v>
          </cell>
          <cell r="G74">
            <v>-34.57</v>
          </cell>
          <cell r="H74">
            <v>8</v>
          </cell>
          <cell r="I74">
            <v>7.86</v>
          </cell>
          <cell r="J74">
            <v>0.14000000000000001</v>
          </cell>
          <cell r="K74">
            <v>74.84</v>
          </cell>
          <cell r="L74">
            <v>19.850000000000001</v>
          </cell>
          <cell r="M74">
            <v>54.99</v>
          </cell>
          <cell r="N74">
            <v>41.76</v>
          </cell>
          <cell r="O74">
            <v>34.94</v>
          </cell>
          <cell r="P74">
            <v>6.82</v>
          </cell>
          <cell r="Q74">
            <v>1.29</v>
          </cell>
          <cell r="R74">
            <v>4.37</v>
          </cell>
          <cell r="S74">
            <v>-3.08</v>
          </cell>
          <cell r="V74">
            <v>37</v>
          </cell>
          <cell r="X74">
            <v>36964.75</v>
          </cell>
          <cell r="Y74">
            <v>117971</v>
          </cell>
          <cell r="Z74">
            <v>144512</v>
          </cell>
          <cell r="AA74">
            <v>17468</v>
          </cell>
          <cell r="AB74">
            <v>42060</v>
          </cell>
          <cell r="AC74">
            <v>12160</v>
          </cell>
          <cell r="AD74">
            <v>19058</v>
          </cell>
          <cell r="AI74">
            <v>99</v>
          </cell>
          <cell r="AJ74">
            <v>99</v>
          </cell>
          <cell r="AK74">
            <v>99</v>
          </cell>
          <cell r="AL74">
            <v>99</v>
          </cell>
          <cell r="AM74">
            <v>99</v>
          </cell>
          <cell r="AN74">
            <v>99</v>
          </cell>
          <cell r="AO74">
            <v>99</v>
          </cell>
          <cell r="AP74">
            <v>99</v>
          </cell>
          <cell r="AS74">
            <v>37</v>
          </cell>
          <cell r="AU74">
            <v>36964.75</v>
          </cell>
          <cell r="AV74">
            <v>86</v>
          </cell>
          <cell r="AW74">
            <v>107</v>
          </cell>
          <cell r="AX74">
            <v>97</v>
          </cell>
          <cell r="AY74">
            <v>119</v>
          </cell>
          <cell r="AZ74">
            <v>89</v>
          </cell>
          <cell r="BA74">
            <v>110</v>
          </cell>
          <cell r="BB74">
            <v>284</v>
          </cell>
          <cell r="BD74">
            <v>239</v>
          </cell>
          <cell r="BI74">
            <v>99</v>
          </cell>
          <cell r="BL74">
            <v>37</v>
          </cell>
        </row>
        <row r="75">
          <cell r="A75">
            <v>37056.0625</v>
          </cell>
          <cell r="B75">
            <v>18.97</v>
          </cell>
          <cell r="C75">
            <v>17.61</v>
          </cell>
          <cell r="D75">
            <v>1.36</v>
          </cell>
          <cell r="E75">
            <v>6.79</v>
          </cell>
          <cell r="F75">
            <v>55.35</v>
          </cell>
          <cell r="G75">
            <v>-48.56</v>
          </cell>
          <cell r="H75">
            <v>27.02</v>
          </cell>
          <cell r="I75">
            <v>13.86</v>
          </cell>
          <cell r="J75">
            <v>13.16</v>
          </cell>
          <cell r="K75">
            <v>37.71</v>
          </cell>
          <cell r="L75">
            <v>53.21</v>
          </cell>
          <cell r="M75">
            <v>-15.5</v>
          </cell>
          <cell r="N75">
            <v>34.880000000000003</v>
          </cell>
          <cell r="O75">
            <v>23.66</v>
          </cell>
          <cell r="P75">
            <v>11.22</v>
          </cell>
          <cell r="Q75">
            <v>4.1500000000000004</v>
          </cell>
          <cell r="R75">
            <v>9.81</v>
          </cell>
          <cell r="S75">
            <v>-5.65</v>
          </cell>
          <cell r="V75">
            <v>38</v>
          </cell>
          <cell r="X75">
            <v>37056.0625</v>
          </cell>
          <cell r="Y75">
            <v>116430</v>
          </cell>
          <cell r="Z75">
            <v>161891</v>
          </cell>
          <cell r="AA75">
            <v>16914</v>
          </cell>
          <cell r="AB75">
            <v>34143</v>
          </cell>
          <cell r="AC75">
            <v>11767</v>
          </cell>
          <cell r="AD75">
            <v>17293</v>
          </cell>
          <cell r="AI75">
            <v>99</v>
          </cell>
          <cell r="AJ75">
            <v>99</v>
          </cell>
          <cell r="AK75">
            <v>99</v>
          </cell>
          <cell r="AL75">
            <v>99</v>
          </cell>
          <cell r="AM75">
            <v>99</v>
          </cell>
          <cell r="AN75">
            <v>99</v>
          </cell>
          <cell r="AO75">
            <v>99</v>
          </cell>
          <cell r="AP75">
            <v>99</v>
          </cell>
          <cell r="AS75">
            <v>38</v>
          </cell>
          <cell r="AU75">
            <v>37056.0625</v>
          </cell>
          <cell r="AV75">
            <v>112</v>
          </cell>
          <cell r="AW75">
            <v>134</v>
          </cell>
          <cell r="AX75">
            <v>126</v>
          </cell>
          <cell r="AY75">
            <v>155</v>
          </cell>
          <cell r="AZ75">
            <v>111</v>
          </cell>
          <cell r="BA75">
            <v>135</v>
          </cell>
          <cell r="BB75">
            <v>283</v>
          </cell>
          <cell r="BD75">
            <v>254</v>
          </cell>
          <cell r="BI75">
            <v>99</v>
          </cell>
          <cell r="BL75">
            <v>38</v>
          </cell>
        </row>
        <row r="76">
          <cell r="A76">
            <v>37147.375</v>
          </cell>
          <cell r="B76">
            <v>7.18</v>
          </cell>
          <cell r="C76">
            <v>17.73</v>
          </cell>
          <cell r="D76">
            <v>-10.55</v>
          </cell>
          <cell r="E76">
            <v>12.47</v>
          </cell>
          <cell r="F76">
            <v>46.2</v>
          </cell>
          <cell r="G76">
            <v>-33.729999999999997</v>
          </cell>
          <cell r="H76">
            <v>2.4900000000000002</v>
          </cell>
          <cell r="I76">
            <v>23.58</v>
          </cell>
          <cell r="J76">
            <v>-21.09</v>
          </cell>
          <cell r="K76">
            <v>6.6</v>
          </cell>
          <cell r="L76">
            <v>43.5</v>
          </cell>
          <cell r="M76">
            <v>-36.9</v>
          </cell>
          <cell r="N76">
            <v>37.090000000000003</v>
          </cell>
          <cell r="O76">
            <v>30.07</v>
          </cell>
          <cell r="P76">
            <v>7.02</v>
          </cell>
          <cell r="Q76">
            <v>29.81</v>
          </cell>
          <cell r="R76">
            <v>4.26</v>
          </cell>
          <cell r="S76">
            <v>25.55</v>
          </cell>
          <cell r="V76">
            <v>39</v>
          </cell>
          <cell r="X76">
            <v>37147.375</v>
          </cell>
          <cell r="Y76">
            <v>143320</v>
          </cell>
          <cell r="Z76">
            <v>143138</v>
          </cell>
          <cell r="AA76">
            <v>16933</v>
          </cell>
          <cell r="AB76">
            <v>37523</v>
          </cell>
          <cell r="AC76">
            <v>11972</v>
          </cell>
          <cell r="AD76">
            <v>19278</v>
          </cell>
          <cell r="AI76">
            <v>99</v>
          </cell>
          <cell r="AJ76">
            <v>99</v>
          </cell>
          <cell r="AK76">
            <v>99</v>
          </cell>
          <cell r="AL76">
            <v>99</v>
          </cell>
          <cell r="AM76">
            <v>99</v>
          </cell>
          <cell r="AN76">
            <v>99</v>
          </cell>
          <cell r="AO76">
            <v>99</v>
          </cell>
          <cell r="AP76">
            <v>99</v>
          </cell>
          <cell r="AS76">
            <v>39</v>
          </cell>
          <cell r="AU76">
            <v>37147.375</v>
          </cell>
          <cell r="AV76">
            <v>124</v>
          </cell>
          <cell r="AW76">
            <v>145</v>
          </cell>
          <cell r="AX76">
            <v>145</v>
          </cell>
          <cell r="AY76">
            <v>171</v>
          </cell>
          <cell r="AZ76">
            <v>140</v>
          </cell>
          <cell r="BA76">
            <v>154</v>
          </cell>
          <cell r="BB76">
            <v>280</v>
          </cell>
          <cell r="BD76">
            <v>256</v>
          </cell>
          <cell r="BI76">
            <v>99</v>
          </cell>
          <cell r="BL76">
            <v>39</v>
          </cell>
        </row>
        <row r="77">
          <cell r="A77">
            <v>37238.6875</v>
          </cell>
          <cell r="B77">
            <v>12.27</v>
          </cell>
          <cell r="C77">
            <v>10.58</v>
          </cell>
          <cell r="D77">
            <v>1.69</v>
          </cell>
          <cell r="E77">
            <v>9.82</v>
          </cell>
          <cell r="F77">
            <v>33.47</v>
          </cell>
          <cell r="G77">
            <v>-23.65</v>
          </cell>
          <cell r="H77">
            <v>39.15</v>
          </cell>
          <cell r="I77">
            <v>8.64</v>
          </cell>
          <cell r="J77">
            <v>30.52</v>
          </cell>
          <cell r="K77">
            <v>61.25</v>
          </cell>
          <cell r="L77">
            <v>15.43</v>
          </cell>
          <cell r="M77">
            <v>45.81</v>
          </cell>
          <cell r="N77">
            <v>31.84</v>
          </cell>
          <cell r="O77">
            <v>35.71</v>
          </cell>
          <cell r="P77">
            <v>-3.87</v>
          </cell>
          <cell r="Q77">
            <v>23.74</v>
          </cell>
          <cell r="R77">
            <v>2.61</v>
          </cell>
          <cell r="S77">
            <v>21.13</v>
          </cell>
          <cell r="V77">
            <v>40</v>
          </cell>
          <cell r="X77">
            <v>37238.6875</v>
          </cell>
          <cell r="Y77">
            <v>105390</v>
          </cell>
          <cell r="Z77">
            <v>138300</v>
          </cell>
          <cell r="AA77">
            <v>18266</v>
          </cell>
          <cell r="AB77">
            <v>43128</v>
          </cell>
          <cell r="AC77">
            <v>13416</v>
          </cell>
          <cell r="AD77">
            <v>23372</v>
          </cell>
          <cell r="AI77">
            <v>99</v>
          </cell>
          <cell r="AJ77">
            <v>99</v>
          </cell>
          <cell r="AK77">
            <v>99</v>
          </cell>
          <cell r="AL77">
            <v>99</v>
          </cell>
          <cell r="AM77">
            <v>99</v>
          </cell>
          <cell r="AN77">
            <v>99</v>
          </cell>
          <cell r="AO77">
            <v>99</v>
          </cell>
          <cell r="AP77">
            <v>99</v>
          </cell>
          <cell r="AS77">
            <v>40</v>
          </cell>
          <cell r="AU77">
            <v>37238.6875</v>
          </cell>
          <cell r="AV77">
            <v>79</v>
          </cell>
          <cell r="AW77">
            <v>111</v>
          </cell>
          <cell r="AX77">
            <v>120</v>
          </cell>
          <cell r="AY77">
            <v>138</v>
          </cell>
          <cell r="AZ77">
            <v>100</v>
          </cell>
          <cell r="BA77">
            <v>119</v>
          </cell>
          <cell r="BB77">
            <v>276</v>
          </cell>
          <cell r="BD77">
            <v>226</v>
          </cell>
          <cell r="BI77">
            <v>99</v>
          </cell>
          <cell r="BL77">
            <v>40</v>
          </cell>
        </row>
        <row r="78">
          <cell r="A78">
            <v>37330</v>
          </cell>
          <cell r="B78">
            <v>17.22</v>
          </cell>
          <cell r="C78">
            <v>16.940000000000001</v>
          </cell>
          <cell r="D78">
            <v>0.28000000000000003</v>
          </cell>
          <cell r="E78">
            <v>22.94</v>
          </cell>
          <cell r="F78">
            <v>27.02</v>
          </cell>
          <cell r="G78">
            <v>-4.07</v>
          </cell>
          <cell r="H78">
            <v>6.57</v>
          </cell>
          <cell r="I78">
            <v>36.479999999999997</v>
          </cell>
          <cell r="J78">
            <v>-29.91</v>
          </cell>
          <cell r="K78">
            <v>63.83</v>
          </cell>
          <cell r="L78">
            <v>10.78</v>
          </cell>
          <cell r="M78">
            <v>53.06</v>
          </cell>
          <cell r="N78">
            <v>27.37</v>
          </cell>
          <cell r="O78">
            <v>39.9</v>
          </cell>
          <cell r="P78">
            <v>-12.53</v>
          </cell>
          <cell r="Q78">
            <v>13.98</v>
          </cell>
          <cell r="R78">
            <v>5.34</v>
          </cell>
          <cell r="S78">
            <v>8.64</v>
          </cell>
          <cell r="V78">
            <v>41</v>
          </cell>
          <cell r="X78">
            <v>37330</v>
          </cell>
          <cell r="Y78">
            <v>172335</v>
          </cell>
          <cell r="Z78">
            <v>147241</v>
          </cell>
          <cell r="AA78">
            <v>24806</v>
          </cell>
          <cell r="AB78">
            <v>40870</v>
          </cell>
          <cell r="AC78">
            <v>15421</v>
          </cell>
          <cell r="AD78">
            <v>26130</v>
          </cell>
          <cell r="AS78">
            <v>41</v>
          </cell>
          <cell r="AU78">
            <v>37330</v>
          </cell>
          <cell r="AV78">
            <v>116</v>
          </cell>
          <cell r="AW78">
            <v>133</v>
          </cell>
          <cell r="AX78">
            <v>120</v>
          </cell>
          <cell r="AY78">
            <v>141</v>
          </cell>
          <cell r="AZ78">
            <v>115</v>
          </cell>
          <cell r="BA78">
            <v>135</v>
          </cell>
          <cell r="BB78">
            <v>275</v>
          </cell>
          <cell r="BD78">
            <v>233</v>
          </cell>
          <cell r="BL78">
            <v>41</v>
          </cell>
        </row>
        <row r="79">
          <cell r="A79">
            <v>37421.3125</v>
          </cell>
          <cell r="B79">
            <v>8.09</v>
          </cell>
          <cell r="C79">
            <v>36.729999999999997</v>
          </cell>
          <cell r="D79">
            <v>-28.63</v>
          </cell>
          <cell r="E79">
            <v>17</v>
          </cell>
          <cell r="F79">
            <v>30.93</v>
          </cell>
          <cell r="G79">
            <v>-13.93</v>
          </cell>
          <cell r="H79">
            <v>8.74</v>
          </cell>
          <cell r="I79">
            <v>42.72</v>
          </cell>
          <cell r="J79">
            <v>-33.979999999999997</v>
          </cell>
          <cell r="K79">
            <v>20.05</v>
          </cell>
          <cell r="L79">
            <v>42.49</v>
          </cell>
          <cell r="M79">
            <v>-22.44</v>
          </cell>
          <cell r="N79">
            <v>22.67</v>
          </cell>
          <cell r="O79">
            <v>48.71</v>
          </cell>
          <cell r="P79">
            <v>-26.04</v>
          </cell>
          <cell r="Q79">
            <v>3.64</v>
          </cell>
          <cell r="R79">
            <v>10.93</v>
          </cell>
          <cell r="S79">
            <v>-7.29</v>
          </cell>
          <cell r="V79">
            <v>42</v>
          </cell>
          <cell r="X79">
            <v>37421.3125</v>
          </cell>
          <cell r="Y79">
            <v>165816</v>
          </cell>
          <cell r="Z79">
            <v>175611</v>
          </cell>
          <cell r="AA79">
            <v>18438</v>
          </cell>
          <cell r="AB79">
            <v>36341</v>
          </cell>
          <cell r="AC79">
            <v>12983</v>
          </cell>
          <cell r="AD79">
            <v>31217</v>
          </cell>
          <cell r="AS79">
            <v>42</v>
          </cell>
          <cell r="AU79">
            <v>37421.3125</v>
          </cell>
          <cell r="AV79">
            <v>126</v>
          </cell>
          <cell r="AW79">
            <v>146</v>
          </cell>
          <cell r="AX79">
            <v>142</v>
          </cell>
          <cell r="AY79">
            <v>163</v>
          </cell>
          <cell r="AZ79">
            <v>130</v>
          </cell>
          <cell r="BA79">
            <v>151</v>
          </cell>
          <cell r="BB79">
            <v>272</v>
          </cell>
          <cell r="BD79">
            <v>236</v>
          </cell>
          <cell r="BL79">
            <v>42</v>
          </cell>
        </row>
        <row r="80">
          <cell r="A80">
            <v>37512.625</v>
          </cell>
          <cell r="B80">
            <v>4.88</v>
          </cell>
          <cell r="C80">
            <v>27.67</v>
          </cell>
          <cell r="D80">
            <v>-22.79</v>
          </cell>
          <cell r="E80">
            <v>8.5399999999999991</v>
          </cell>
          <cell r="F80">
            <v>49.15</v>
          </cell>
          <cell r="G80">
            <v>-11.59</v>
          </cell>
          <cell r="H80">
            <v>23.96</v>
          </cell>
          <cell r="I80">
            <v>56.48</v>
          </cell>
          <cell r="J80">
            <v>15.16</v>
          </cell>
          <cell r="K80">
            <v>35.729999999999997</v>
          </cell>
          <cell r="L80">
            <v>18.059999999999999</v>
          </cell>
          <cell r="M80">
            <v>17.670000000000002</v>
          </cell>
          <cell r="N80">
            <v>30.73</v>
          </cell>
          <cell r="O80">
            <v>23.83</v>
          </cell>
          <cell r="P80">
            <v>-4.09</v>
          </cell>
          <cell r="V80">
            <v>43</v>
          </cell>
          <cell r="X80">
            <v>37512.625</v>
          </cell>
          <cell r="Y80">
            <v>163963</v>
          </cell>
          <cell r="Z80">
            <v>146490</v>
          </cell>
          <cell r="AA80">
            <v>15480</v>
          </cell>
          <cell r="AB80">
            <v>39428</v>
          </cell>
          <cell r="AC80">
            <v>10770</v>
          </cell>
          <cell r="AD80">
            <v>27335</v>
          </cell>
          <cell r="AS80">
            <v>43</v>
          </cell>
          <cell r="AU80">
            <v>37512.625</v>
          </cell>
          <cell r="AV80">
            <v>127</v>
          </cell>
          <cell r="AW80">
            <v>150</v>
          </cell>
          <cell r="AX80">
            <v>158</v>
          </cell>
          <cell r="AY80">
            <v>178</v>
          </cell>
          <cell r="AZ80">
            <v>142</v>
          </cell>
          <cell r="BA80">
            <v>164</v>
          </cell>
          <cell r="BB80">
            <v>272</v>
          </cell>
          <cell r="BD80">
            <v>239</v>
          </cell>
          <cell r="BL80">
            <v>43</v>
          </cell>
        </row>
        <row r="81">
          <cell r="A81">
            <v>37603.9375</v>
          </cell>
          <cell r="V81">
            <v>0</v>
          </cell>
          <cell r="X81">
            <v>37603.9375</v>
          </cell>
          <cell r="Y81">
            <v>132115</v>
          </cell>
          <cell r="Z81">
            <v>144818</v>
          </cell>
          <cell r="AA81">
            <v>16550</v>
          </cell>
          <cell r="AB81">
            <v>35218</v>
          </cell>
          <cell r="AC81">
            <v>10093</v>
          </cell>
          <cell r="AD81">
            <v>25595</v>
          </cell>
          <cell r="AS81">
            <v>44</v>
          </cell>
          <cell r="AU81">
            <v>37603.9375</v>
          </cell>
          <cell r="AV81">
            <v>89</v>
          </cell>
          <cell r="AW81">
            <v>109</v>
          </cell>
          <cell r="AX81">
            <v>123</v>
          </cell>
          <cell r="AY81">
            <v>144</v>
          </cell>
          <cell r="AZ81">
            <v>110</v>
          </cell>
          <cell r="BA81">
            <v>128</v>
          </cell>
          <cell r="BB81">
            <v>267</v>
          </cell>
          <cell r="BD81">
            <v>223</v>
          </cell>
          <cell r="BL81">
            <v>44</v>
          </cell>
        </row>
        <row r="82">
          <cell r="A82">
            <v>37695.25</v>
          </cell>
          <cell r="V82">
            <v>0</v>
          </cell>
          <cell r="X82">
            <v>37695.25</v>
          </cell>
          <cell r="Y82">
            <v>148583</v>
          </cell>
          <cell r="Z82">
            <v>142779</v>
          </cell>
          <cell r="AA82">
            <v>17475</v>
          </cell>
          <cell r="AB82">
            <v>28099</v>
          </cell>
          <cell r="AC82">
            <v>12417</v>
          </cell>
          <cell r="AD82">
            <v>19729</v>
          </cell>
          <cell r="AS82">
            <v>45</v>
          </cell>
          <cell r="AU82">
            <v>37695.25</v>
          </cell>
          <cell r="AV82">
            <v>94</v>
          </cell>
          <cell r="AW82">
            <v>116</v>
          </cell>
          <cell r="AX82">
            <v>109</v>
          </cell>
          <cell r="AY82">
            <v>133</v>
          </cell>
          <cell r="AZ82">
            <v>102</v>
          </cell>
          <cell r="BA82">
            <v>122</v>
          </cell>
          <cell r="BB82">
            <v>266</v>
          </cell>
          <cell r="BD82">
            <v>223</v>
          </cell>
          <cell r="BL82">
            <v>45</v>
          </cell>
        </row>
        <row r="83">
          <cell r="A83">
            <v>37786.5625</v>
          </cell>
          <cell r="V83">
            <v>0</v>
          </cell>
          <cell r="X83">
            <v>37786.5625</v>
          </cell>
          <cell r="Y83">
            <v>111562</v>
          </cell>
          <cell r="Z83">
            <v>178188</v>
          </cell>
          <cell r="AA83">
            <v>18708</v>
          </cell>
          <cell r="AB83">
            <v>30767</v>
          </cell>
          <cell r="AC83">
            <v>13783</v>
          </cell>
          <cell r="AD83">
            <v>19318</v>
          </cell>
          <cell r="AS83">
            <v>46</v>
          </cell>
          <cell r="AU83">
            <v>37786.5625</v>
          </cell>
          <cell r="AV83">
            <v>92</v>
          </cell>
          <cell r="AW83">
            <v>116</v>
          </cell>
          <cell r="AX83">
            <v>113</v>
          </cell>
          <cell r="AY83">
            <v>134</v>
          </cell>
          <cell r="AZ83">
            <v>104</v>
          </cell>
          <cell r="BA83">
            <v>121</v>
          </cell>
          <cell r="BB83">
            <v>266</v>
          </cell>
          <cell r="BD83">
            <v>232</v>
          </cell>
          <cell r="BL83">
            <v>46</v>
          </cell>
        </row>
        <row r="84">
          <cell r="A84">
            <v>37877.875</v>
          </cell>
          <cell r="V84">
            <v>0</v>
          </cell>
          <cell r="X84">
            <v>37877.875</v>
          </cell>
          <cell r="Y84">
            <v>142937</v>
          </cell>
          <cell r="Z84">
            <v>182755</v>
          </cell>
          <cell r="AA84">
            <v>16811</v>
          </cell>
          <cell r="AB84">
            <v>29550</v>
          </cell>
          <cell r="AC84">
            <v>12578</v>
          </cell>
          <cell r="AD84">
            <v>24067</v>
          </cell>
          <cell r="AS84">
            <v>47</v>
          </cell>
          <cell r="AU84">
            <v>37877.875</v>
          </cell>
          <cell r="AV84">
            <v>67</v>
          </cell>
          <cell r="AW84">
            <v>95</v>
          </cell>
          <cell r="AX84">
            <v>96</v>
          </cell>
          <cell r="AY84">
            <v>117</v>
          </cell>
          <cell r="AZ84">
            <v>79</v>
          </cell>
          <cell r="BA84">
            <v>101</v>
          </cell>
          <cell r="BB84">
            <v>261</v>
          </cell>
          <cell r="BD84">
            <v>234</v>
          </cell>
          <cell r="BL84">
            <v>47</v>
          </cell>
        </row>
        <row r="85">
          <cell r="A85">
            <v>37969.1875</v>
          </cell>
          <cell r="V85">
            <v>0</v>
          </cell>
          <cell r="X85">
            <v>37969.1875</v>
          </cell>
          <cell r="Y85">
            <v>146344</v>
          </cell>
          <cell r="Z85">
            <v>144816</v>
          </cell>
          <cell r="AA85">
            <v>16017</v>
          </cell>
          <cell r="AB85">
            <v>25908</v>
          </cell>
          <cell r="AC85">
            <v>10777</v>
          </cell>
          <cell r="AD85">
            <v>18908</v>
          </cell>
          <cell r="AS85">
            <v>48</v>
          </cell>
          <cell r="AU85">
            <v>37969.1875</v>
          </cell>
          <cell r="AV85">
            <v>55</v>
          </cell>
          <cell r="AW85">
            <v>75</v>
          </cell>
          <cell r="AX85">
            <v>75</v>
          </cell>
          <cell r="AY85">
            <v>96</v>
          </cell>
          <cell r="AZ85">
            <v>60</v>
          </cell>
          <cell r="BA85">
            <v>79</v>
          </cell>
          <cell r="BB85">
            <v>258</v>
          </cell>
          <cell r="BD85">
            <v>217</v>
          </cell>
          <cell r="BL85">
            <v>48</v>
          </cell>
        </row>
        <row r="86">
          <cell r="A86">
            <v>38060.5</v>
          </cell>
          <cell r="V86">
            <v>0</v>
          </cell>
          <cell r="X86">
            <v>38060.5</v>
          </cell>
          <cell r="Y86">
            <v>113584</v>
          </cell>
          <cell r="Z86">
            <v>121549</v>
          </cell>
          <cell r="AA86">
            <v>24275</v>
          </cell>
          <cell r="AB86">
            <v>28653</v>
          </cell>
          <cell r="AC86">
            <v>13838</v>
          </cell>
          <cell r="AD86">
            <v>25412</v>
          </cell>
          <cell r="AS86">
            <v>49</v>
          </cell>
          <cell r="AU86">
            <v>38060.5</v>
          </cell>
          <cell r="AV86">
            <v>51</v>
          </cell>
          <cell r="AW86">
            <v>74</v>
          </cell>
          <cell r="AX86">
            <v>65</v>
          </cell>
          <cell r="AY86">
            <v>87</v>
          </cell>
          <cell r="AZ86">
            <v>57</v>
          </cell>
          <cell r="BA86">
            <v>74</v>
          </cell>
          <cell r="BB86">
            <v>258</v>
          </cell>
          <cell r="BC86">
            <v>167</v>
          </cell>
          <cell r="BD86">
            <v>226</v>
          </cell>
          <cell r="BE86">
            <v>142</v>
          </cell>
          <cell r="BF86">
            <v>154</v>
          </cell>
          <cell r="BL86">
            <v>49</v>
          </cell>
        </row>
        <row r="87">
          <cell r="A87">
            <v>38151.8125</v>
          </cell>
          <cell r="V87">
            <v>0</v>
          </cell>
          <cell r="X87">
            <v>38151.8125</v>
          </cell>
          <cell r="Y87">
            <v>124521</v>
          </cell>
          <cell r="Z87">
            <v>124660</v>
          </cell>
          <cell r="AA87">
            <v>28921</v>
          </cell>
          <cell r="AB87">
            <v>29875</v>
          </cell>
          <cell r="AC87">
            <v>14096</v>
          </cell>
          <cell r="AD87">
            <v>28652</v>
          </cell>
          <cell r="AS87">
            <v>50</v>
          </cell>
          <cell r="AU87">
            <v>38151.8125</v>
          </cell>
          <cell r="AV87">
            <v>58</v>
          </cell>
          <cell r="AW87">
            <v>82</v>
          </cell>
          <cell r="AX87">
            <v>74</v>
          </cell>
          <cell r="AY87">
            <v>96</v>
          </cell>
          <cell r="AZ87">
            <v>63</v>
          </cell>
          <cell r="BA87">
            <v>82</v>
          </cell>
          <cell r="BB87">
            <v>260</v>
          </cell>
          <cell r="BC87">
            <v>143</v>
          </cell>
          <cell r="BD87">
            <v>229</v>
          </cell>
          <cell r="BE87">
            <v>143</v>
          </cell>
          <cell r="BF87">
            <v>165</v>
          </cell>
          <cell r="BL87">
            <v>50</v>
          </cell>
        </row>
        <row r="88">
          <cell r="A88">
            <v>38243.125</v>
          </cell>
          <cell r="V88">
            <v>0</v>
          </cell>
          <cell r="X88">
            <v>38243.125</v>
          </cell>
          <cell r="Y88">
            <v>118625</v>
          </cell>
          <cell r="Z88">
            <v>144271</v>
          </cell>
          <cell r="AA88">
            <v>27250</v>
          </cell>
          <cell r="AB88">
            <v>35249</v>
          </cell>
          <cell r="AC88">
            <v>15500</v>
          </cell>
          <cell r="AD88">
            <v>26258</v>
          </cell>
          <cell r="AS88">
            <v>51</v>
          </cell>
          <cell r="AU88">
            <v>38243.125</v>
          </cell>
          <cell r="AV88">
            <v>87</v>
          </cell>
          <cell r="AW88">
            <v>105</v>
          </cell>
          <cell r="AX88">
            <v>99</v>
          </cell>
          <cell r="AY88">
            <v>111</v>
          </cell>
          <cell r="AZ88">
            <v>84</v>
          </cell>
          <cell r="BA88">
            <v>101</v>
          </cell>
          <cell r="BB88">
            <v>262</v>
          </cell>
          <cell r="BC88">
            <v>214</v>
          </cell>
          <cell r="BD88">
            <v>228</v>
          </cell>
          <cell r="BE88">
            <v>153</v>
          </cell>
          <cell r="BF88">
            <v>156</v>
          </cell>
          <cell r="BL88">
            <v>51</v>
          </cell>
        </row>
        <row r="89">
          <cell r="A89">
            <v>38334.4375</v>
          </cell>
          <cell r="V89">
            <v>0</v>
          </cell>
          <cell r="X89">
            <v>38334.4375</v>
          </cell>
          <cell r="Y89">
            <v>115248</v>
          </cell>
          <cell r="Z89">
            <v>152666</v>
          </cell>
          <cell r="AA89">
            <v>26541</v>
          </cell>
          <cell r="AB89">
            <v>38652</v>
          </cell>
          <cell r="AC89">
            <v>14201</v>
          </cell>
          <cell r="AD89">
            <v>25873</v>
          </cell>
          <cell r="AS89">
            <v>52</v>
          </cell>
          <cell r="AU89">
            <v>38334.4375</v>
          </cell>
          <cell r="AV89">
            <v>91</v>
          </cell>
          <cell r="AW89">
            <v>125</v>
          </cell>
          <cell r="AX89">
            <v>116</v>
          </cell>
          <cell r="AY89">
            <v>140</v>
          </cell>
          <cell r="AZ89">
            <v>100</v>
          </cell>
          <cell r="BA89">
            <v>122</v>
          </cell>
          <cell r="BB89">
            <v>259</v>
          </cell>
          <cell r="BC89">
            <v>208</v>
          </cell>
          <cell r="BD89">
            <v>233</v>
          </cell>
          <cell r="BE89">
            <v>131</v>
          </cell>
          <cell r="BF89">
            <v>161</v>
          </cell>
          <cell r="BL89">
            <v>52</v>
          </cell>
        </row>
        <row r="90">
          <cell r="A90">
            <v>38425.75</v>
          </cell>
          <cell r="V90">
            <v>0</v>
          </cell>
          <cell r="X90">
            <v>38425.75</v>
          </cell>
          <cell r="Y90">
            <v>86310</v>
          </cell>
          <cell r="Z90">
            <v>187469</v>
          </cell>
          <cell r="AA90">
            <v>24510</v>
          </cell>
          <cell r="AB90">
            <v>39186</v>
          </cell>
          <cell r="AC90">
            <v>13916</v>
          </cell>
          <cell r="AD90">
            <v>24923</v>
          </cell>
          <cell r="AE90">
            <v>1000</v>
          </cell>
          <cell r="AF90">
            <v>1200</v>
          </cell>
          <cell r="AG90">
            <v>950</v>
          </cell>
          <cell r="AH90">
            <v>1165</v>
          </cell>
          <cell r="AS90">
            <v>53</v>
          </cell>
          <cell r="AU90">
            <v>38425.75</v>
          </cell>
          <cell r="AV90">
            <v>118</v>
          </cell>
          <cell r="AW90">
            <v>140</v>
          </cell>
          <cell r="AX90">
            <v>136</v>
          </cell>
          <cell r="AY90">
            <v>157</v>
          </cell>
          <cell r="AZ90">
            <v>128</v>
          </cell>
          <cell r="BA90">
            <v>145</v>
          </cell>
          <cell r="BB90">
            <v>262</v>
          </cell>
          <cell r="BC90">
            <v>230</v>
          </cell>
          <cell r="BD90">
            <v>234</v>
          </cell>
          <cell r="BE90">
            <v>196</v>
          </cell>
          <cell r="BF90">
            <v>217</v>
          </cell>
          <cell r="BL90">
            <v>53</v>
          </cell>
        </row>
        <row r="91">
          <cell r="A91">
            <v>38517.0625</v>
          </cell>
          <cell r="V91">
            <v>0</v>
          </cell>
          <cell r="X91">
            <v>38517.0625</v>
          </cell>
          <cell r="Y91">
            <v>100212</v>
          </cell>
          <cell r="Z91">
            <v>205189</v>
          </cell>
          <cell r="AA91">
            <v>23869</v>
          </cell>
          <cell r="AB91">
            <v>37169</v>
          </cell>
          <cell r="AC91">
            <v>13969</v>
          </cell>
          <cell r="AD91">
            <v>25695</v>
          </cell>
          <cell r="AE91">
            <v>1150</v>
          </cell>
          <cell r="AF91">
            <v>1250</v>
          </cell>
          <cell r="AG91">
            <v>1065</v>
          </cell>
          <cell r="AH91">
            <v>1100</v>
          </cell>
          <cell r="AS91">
            <v>54</v>
          </cell>
          <cell r="AU91">
            <v>38517.0625</v>
          </cell>
          <cell r="AV91">
            <v>170</v>
          </cell>
          <cell r="AW91">
            <v>184</v>
          </cell>
          <cell r="AX91">
            <v>180</v>
          </cell>
          <cell r="AY91">
            <v>198</v>
          </cell>
          <cell r="AZ91">
            <v>172</v>
          </cell>
          <cell r="BA91">
            <v>183</v>
          </cell>
          <cell r="BB91">
            <v>268</v>
          </cell>
          <cell r="BC91">
            <v>249</v>
          </cell>
          <cell r="BD91">
            <v>255</v>
          </cell>
          <cell r="BE91">
            <v>234</v>
          </cell>
          <cell r="BF91">
            <v>249</v>
          </cell>
          <cell r="BL91">
            <v>54</v>
          </cell>
        </row>
        <row r="92">
          <cell r="A92">
            <v>38608.375</v>
          </cell>
          <cell r="V92">
            <v>0</v>
          </cell>
          <cell r="X92">
            <v>38608.375</v>
          </cell>
          <cell r="Y92">
            <v>154635</v>
          </cell>
          <cell r="Z92">
            <v>177672</v>
          </cell>
          <cell r="AA92">
            <v>21979</v>
          </cell>
          <cell r="AB92">
            <v>41120</v>
          </cell>
          <cell r="AC92">
            <v>12000</v>
          </cell>
          <cell r="AD92">
            <v>24146</v>
          </cell>
          <cell r="AE92">
            <v>950</v>
          </cell>
          <cell r="AF92">
            <v>1050</v>
          </cell>
          <cell r="AG92">
            <v>865</v>
          </cell>
          <cell r="AH92">
            <v>1135</v>
          </cell>
          <cell r="AS92">
            <v>55</v>
          </cell>
          <cell r="AU92">
            <v>38608.375</v>
          </cell>
          <cell r="AV92">
            <v>186</v>
          </cell>
          <cell r="AW92">
            <v>209</v>
          </cell>
          <cell r="AX92">
            <v>217</v>
          </cell>
          <cell r="AY92">
            <v>241</v>
          </cell>
          <cell r="AZ92">
            <v>204</v>
          </cell>
          <cell r="BA92">
            <v>223</v>
          </cell>
          <cell r="BB92">
            <v>274</v>
          </cell>
          <cell r="BC92">
            <v>257</v>
          </cell>
          <cell r="BD92">
            <v>266</v>
          </cell>
          <cell r="BE92">
            <v>299</v>
          </cell>
          <cell r="BF92">
            <v>326</v>
          </cell>
          <cell r="BL92">
            <v>55</v>
          </cell>
        </row>
        <row r="93">
          <cell r="A93">
            <v>38699.6875</v>
          </cell>
          <cell r="V93">
            <v>0</v>
          </cell>
          <cell r="X93">
            <v>38699.6875</v>
          </cell>
          <cell r="Y93">
            <v>129146</v>
          </cell>
          <cell r="Z93">
            <v>173917</v>
          </cell>
          <cell r="AA93">
            <v>24866</v>
          </cell>
          <cell r="AB93">
            <v>44694</v>
          </cell>
          <cell r="AC93">
            <v>12625</v>
          </cell>
          <cell r="AD93">
            <v>24708</v>
          </cell>
          <cell r="AE93">
            <v>1100</v>
          </cell>
          <cell r="AF93">
            <v>1250</v>
          </cell>
          <cell r="AG93">
            <v>750</v>
          </cell>
          <cell r="AH93">
            <v>1165</v>
          </cell>
          <cell r="AS93">
            <v>56</v>
          </cell>
          <cell r="AU93">
            <v>38699.6875</v>
          </cell>
          <cell r="AV93">
            <v>97</v>
          </cell>
          <cell r="AW93">
            <v>128</v>
          </cell>
          <cell r="AX93">
            <v>147</v>
          </cell>
          <cell r="AY93">
            <v>156</v>
          </cell>
          <cell r="AZ93">
            <v>114</v>
          </cell>
          <cell r="BA93">
            <v>133</v>
          </cell>
          <cell r="BB93">
            <v>268</v>
          </cell>
          <cell r="BC93">
            <v>212</v>
          </cell>
          <cell r="BD93">
            <v>233</v>
          </cell>
          <cell r="BE93">
            <v>158</v>
          </cell>
          <cell r="BF93">
            <v>169</v>
          </cell>
          <cell r="BL93">
            <v>56</v>
          </cell>
        </row>
        <row r="94">
          <cell r="A94">
            <v>38791</v>
          </cell>
          <cell r="V94">
            <v>0</v>
          </cell>
          <cell r="X94">
            <v>38791</v>
          </cell>
          <cell r="Y94">
            <v>155611</v>
          </cell>
          <cell r="Z94">
            <v>199596</v>
          </cell>
          <cell r="AA94">
            <v>25055</v>
          </cell>
          <cell r="AB94">
            <v>50250</v>
          </cell>
          <cell r="AC94">
            <v>16659</v>
          </cell>
          <cell r="AD94">
            <v>26350</v>
          </cell>
          <cell r="AE94">
            <v>916</v>
          </cell>
          <cell r="AF94">
            <v>1032</v>
          </cell>
          <cell r="AG94">
            <v>1083</v>
          </cell>
          <cell r="AH94">
            <v>1198</v>
          </cell>
          <cell r="AS94">
            <v>57</v>
          </cell>
          <cell r="AU94">
            <v>38791</v>
          </cell>
          <cell r="AV94">
            <v>106</v>
          </cell>
          <cell r="AW94">
            <v>126</v>
          </cell>
          <cell r="AX94">
            <v>121</v>
          </cell>
          <cell r="AY94">
            <v>130</v>
          </cell>
          <cell r="AZ94">
            <v>109</v>
          </cell>
          <cell r="BA94">
            <v>120</v>
          </cell>
          <cell r="BL94">
            <v>57</v>
          </cell>
        </row>
        <row r="95">
          <cell r="A95">
            <v>38882.3125</v>
          </cell>
          <cell r="V95">
            <v>0</v>
          </cell>
          <cell r="X95">
            <v>38882.3125</v>
          </cell>
          <cell r="Y95">
            <v>155458</v>
          </cell>
          <cell r="Z95">
            <v>284333</v>
          </cell>
          <cell r="AA95">
            <v>23229</v>
          </cell>
          <cell r="AB95">
            <v>48676</v>
          </cell>
          <cell r="AC95">
            <v>19641</v>
          </cell>
          <cell r="AD95">
            <v>28951</v>
          </cell>
          <cell r="AE95">
            <v>1085</v>
          </cell>
          <cell r="AF95">
            <v>1150</v>
          </cell>
          <cell r="AG95">
            <v>1218</v>
          </cell>
          <cell r="AH95">
            <v>1330</v>
          </cell>
          <cell r="AS95">
            <v>58</v>
          </cell>
          <cell r="AU95">
            <v>38882.3125</v>
          </cell>
          <cell r="AV95">
            <v>112</v>
          </cell>
          <cell r="AW95">
            <v>135</v>
          </cell>
          <cell r="AX95">
            <v>128</v>
          </cell>
          <cell r="AY95">
            <v>142</v>
          </cell>
          <cell r="AZ95">
            <v>114</v>
          </cell>
          <cell r="BA95">
            <v>128</v>
          </cell>
          <cell r="BL95">
            <v>58</v>
          </cell>
        </row>
        <row r="96">
          <cell r="A96">
            <v>38973.625</v>
          </cell>
          <cell r="V96">
            <v>0</v>
          </cell>
          <cell r="X96">
            <v>38973.625</v>
          </cell>
          <cell r="Y96">
            <v>149910</v>
          </cell>
          <cell r="Z96">
            <v>238909</v>
          </cell>
          <cell r="AA96">
            <v>23666</v>
          </cell>
          <cell r="AB96">
            <v>58873</v>
          </cell>
          <cell r="AC96">
            <v>16095</v>
          </cell>
          <cell r="AD96">
            <v>30914</v>
          </cell>
          <cell r="AE96">
            <v>1173</v>
          </cell>
          <cell r="AF96">
            <v>1291</v>
          </cell>
          <cell r="AG96">
            <v>1234</v>
          </cell>
          <cell r="AH96">
            <v>1256</v>
          </cell>
          <cell r="AS96">
            <v>59</v>
          </cell>
          <cell r="AU96">
            <v>38973.625</v>
          </cell>
          <cell r="AV96">
            <v>96.045719463783385</v>
          </cell>
          <cell r="AW96">
            <v>116.09339004142029</v>
          </cell>
          <cell r="AX96">
            <v>116.27062384752725</v>
          </cell>
          <cell r="AY96">
            <v>134.4531037900183</v>
          </cell>
          <cell r="AZ96">
            <v>105.63101678814805</v>
          </cell>
          <cell r="BA96">
            <v>118.76903435136907</v>
          </cell>
          <cell r="BL96">
            <v>59</v>
          </cell>
        </row>
        <row r="97">
          <cell r="A97">
            <v>39064.9375</v>
          </cell>
          <cell r="V97">
            <v>0</v>
          </cell>
          <cell r="X97">
            <v>39064.9375</v>
          </cell>
          <cell r="Y97">
            <v>192500</v>
          </cell>
          <cell r="Z97">
            <v>220344</v>
          </cell>
          <cell r="AA97">
            <v>36688</v>
          </cell>
          <cell r="AB97">
            <v>61227</v>
          </cell>
          <cell r="AC97">
            <v>17366</v>
          </cell>
          <cell r="AD97">
            <v>27796</v>
          </cell>
          <cell r="AE97">
            <v>1184</v>
          </cell>
          <cell r="AF97">
            <v>1335</v>
          </cell>
          <cell r="AG97">
            <v>1247</v>
          </cell>
          <cell r="AH97">
            <v>1256</v>
          </cell>
          <cell r="AS97">
            <v>60</v>
          </cell>
          <cell r="AU97">
            <v>39064.9375</v>
          </cell>
          <cell r="AV97">
            <v>69</v>
          </cell>
          <cell r="AW97">
            <v>96</v>
          </cell>
          <cell r="AX97">
            <v>92</v>
          </cell>
          <cell r="AY97">
            <v>112</v>
          </cell>
          <cell r="AZ97">
            <v>80</v>
          </cell>
          <cell r="BA97">
            <v>99</v>
          </cell>
          <cell r="BL97">
            <v>60</v>
          </cell>
        </row>
        <row r="98">
          <cell r="A98">
            <v>39156.25</v>
          </cell>
          <cell r="V98">
            <v>0</v>
          </cell>
          <cell r="X98">
            <v>39156.25</v>
          </cell>
          <cell r="Y98">
            <v>187438</v>
          </cell>
          <cell r="Z98">
            <v>218924</v>
          </cell>
          <cell r="AA98">
            <v>33579</v>
          </cell>
          <cell r="AB98">
            <v>50554</v>
          </cell>
          <cell r="AC98">
            <v>17156</v>
          </cell>
          <cell r="AD98">
            <v>29359</v>
          </cell>
          <cell r="AE98">
            <v>1148</v>
          </cell>
          <cell r="AF98">
            <v>1115</v>
          </cell>
          <cell r="AG98">
            <v>1026</v>
          </cell>
          <cell r="AH98">
            <v>1217</v>
          </cell>
          <cell r="AS98">
            <v>61</v>
          </cell>
          <cell r="AU98">
            <v>39156.25</v>
          </cell>
          <cell r="AV98">
            <v>73</v>
          </cell>
          <cell r="AW98">
            <v>95</v>
          </cell>
          <cell r="AX98">
            <v>93</v>
          </cell>
          <cell r="AY98">
            <v>114</v>
          </cell>
          <cell r="AZ98">
            <v>88</v>
          </cell>
          <cell r="BA98">
            <v>104</v>
          </cell>
          <cell r="BL98">
            <v>61</v>
          </cell>
        </row>
        <row r="99">
          <cell r="A99">
            <v>39247.5625</v>
          </cell>
          <cell r="V99">
            <v>0</v>
          </cell>
          <cell r="X99">
            <v>39247.5625</v>
          </cell>
          <cell r="Y99">
            <v>186097</v>
          </cell>
          <cell r="Z99">
            <v>251695</v>
          </cell>
          <cell r="AA99">
            <v>31390</v>
          </cell>
          <cell r="AB99">
            <v>63485</v>
          </cell>
          <cell r="AC99">
            <v>15869</v>
          </cell>
          <cell r="AD99">
            <v>28623</v>
          </cell>
          <cell r="AE99">
            <v>1230</v>
          </cell>
          <cell r="AF99">
            <v>1304</v>
          </cell>
          <cell r="AG99">
            <v>1236</v>
          </cell>
          <cell r="AH99">
            <v>1235</v>
          </cell>
          <cell r="AS99">
            <v>62</v>
          </cell>
          <cell r="AU99">
            <v>39247.5625</v>
          </cell>
          <cell r="AV99">
            <v>76</v>
          </cell>
          <cell r="AW99">
            <v>97</v>
          </cell>
          <cell r="AX99">
            <v>98</v>
          </cell>
          <cell r="AY99">
            <v>123</v>
          </cell>
          <cell r="AZ99">
            <v>88</v>
          </cell>
          <cell r="BA99">
            <v>110</v>
          </cell>
          <cell r="BL99">
            <v>62</v>
          </cell>
        </row>
        <row r="100">
          <cell r="A100">
            <v>39338.875</v>
          </cell>
          <cell r="V100">
            <v>0</v>
          </cell>
          <cell r="X100">
            <v>39338.875</v>
          </cell>
          <cell r="Y100">
            <v>232619</v>
          </cell>
          <cell r="Z100">
            <v>259425</v>
          </cell>
          <cell r="AA100">
            <v>36102</v>
          </cell>
          <cell r="AB100">
            <v>68855</v>
          </cell>
          <cell r="AC100">
            <v>23033</v>
          </cell>
          <cell r="AD100">
            <v>28855</v>
          </cell>
          <cell r="AE100">
            <v>1258</v>
          </cell>
          <cell r="AF100">
            <v>1201</v>
          </cell>
          <cell r="AG100">
            <v>1362</v>
          </cell>
          <cell r="AH100">
            <v>1283</v>
          </cell>
          <cell r="AS100">
            <v>63</v>
          </cell>
          <cell r="AU100">
            <v>39338.875</v>
          </cell>
          <cell r="AV100">
            <v>87</v>
          </cell>
          <cell r="AW100">
            <v>101</v>
          </cell>
          <cell r="AX100">
            <v>109</v>
          </cell>
          <cell r="AY100">
            <v>125</v>
          </cell>
          <cell r="AZ100">
            <v>96</v>
          </cell>
          <cell r="BA100">
            <v>110</v>
          </cell>
          <cell r="BL100">
            <v>63</v>
          </cell>
        </row>
        <row r="101">
          <cell r="A101">
            <v>39430.1875</v>
          </cell>
          <cell r="V101">
            <v>0</v>
          </cell>
          <cell r="X101">
            <v>39430.1875</v>
          </cell>
          <cell r="Y101">
            <v>242524</v>
          </cell>
          <cell r="Z101">
            <v>267253</v>
          </cell>
          <cell r="AA101">
            <v>42766</v>
          </cell>
          <cell r="AB101">
            <v>75816</v>
          </cell>
          <cell r="AC101">
            <v>24405.8</v>
          </cell>
          <cell r="AD101">
            <v>35000</v>
          </cell>
          <cell r="AE101">
            <v>1350</v>
          </cell>
          <cell r="AF101">
            <v>1400</v>
          </cell>
          <cell r="AG101">
            <v>1450</v>
          </cell>
          <cell r="AH101">
            <v>1500</v>
          </cell>
          <cell r="AS101">
            <v>64</v>
          </cell>
          <cell r="AU101">
            <v>39430.1875</v>
          </cell>
          <cell r="AV101">
            <v>101</v>
          </cell>
          <cell r="AW101">
            <v>121</v>
          </cell>
          <cell r="AX101">
            <v>118</v>
          </cell>
          <cell r="AY101">
            <v>127</v>
          </cell>
          <cell r="AZ101">
            <v>98</v>
          </cell>
          <cell r="BA101">
            <v>112</v>
          </cell>
          <cell r="BL101">
            <v>64</v>
          </cell>
        </row>
        <row r="102">
          <cell r="A102">
            <v>39521.5</v>
          </cell>
          <cell r="V102">
            <v>0</v>
          </cell>
          <cell r="X102">
            <v>39521.5</v>
          </cell>
          <cell r="Y102">
            <v>215475</v>
          </cell>
          <cell r="Z102">
            <v>262659</v>
          </cell>
          <cell r="AA102">
            <v>33473</v>
          </cell>
          <cell r="AB102">
            <v>50758</v>
          </cell>
          <cell r="AC102">
            <v>19677</v>
          </cell>
          <cell r="AD102">
            <v>28712</v>
          </cell>
          <cell r="AE102">
            <v>1409</v>
          </cell>
          <cell r="AF102">
            <v>1281</v>
          </cell>
          <cell r="AG102">
            <v>1239</v>
          </cell>
          <cell r="AH102">
            <v>1298</v>
          </cell>
          <cell r="AS102">
            <v>65</v>
          </cell>
          <cell r="AU102">
            <v>39521.5</v>
          </cell>
          <cell r="AV102">
            <v>112.00919676047785</v>
          </cell>
          <cell r="AW102">
            <v>125.57796918943298</v>
          </cell>
          <cell r="AX102">
            <v>124.93920969600566</v>
          </cell>
          <cell r="AY102">
            <v>129.76083735167379</v>
          </cell>
          <cell r="AZ102">
            <v>107.54642748773836</v>
          </cell>
          <cell r="BA102">
            <v>115.56888188558911</v>
          </cell>
          <cell r="BL102">
            <v>65</v>
          </cell>
        </row>
        <row r="103">
          <cell r="A103">
            <v>39612.8125</v>
          </cell>
          <cell r="V103">
            <v>0</v>
          </cell>
          <cell r="X103">
            <v>39612.8125</v>
          </cell>
          <cell r="Y103">
            <v>211051</v>
          </cell>
          <cell r="Z103">
            <v>269875</v>
          </cell>
          <cell r="AA103">
            <v>41023</v>
          </cell>
          <cell r="AB103">
            <v>55483</v>
          </cell>
          <cell r="AC103">
            <v>19291</v>
          </cell>
          <cell r="AD103">
            <v>28652</v>
          </cell>
          <cell r="AE103">
            <v>1475</v>
          </cell>
          <cell r="AF103">
            <v>1109</v>
          </cell>
          <cell r="AG103">
            <v>1372</v>
          </cell>
          <cell r="AH103">
            <v>1422</v>
          </cell>
          <cell r="AS103">
            <v>66</v>
          </cell>
          <cell r="AU103">
            <v>39612.8125</v>
          </cell>
          <cell r="AV103">
            <v>142.46500470373365</v>
          </cell>
          <cell r="AW103">
            <v>157.71173637884635</v>
          </cell>
          <cell r="AX103">
            <v>154.00182541741268</v>
          </cell>
          <cell r="AY103">
            <v>160.86994470763287</v>
          </cell>
          <cell r="AZ103">
            <v>131.29430989394953</v>
          </cell>
          <cell r="BA103">
            <v>143.36160135036747</v>
          </cell>
          <cell r="BL103">
            <v>66</v>
          </cell>
        </row>
        <row r="104">
          <cell r="A104">
            <v>39704.125</v>
          </cell>
          <cell r="V104">
            <v>0</v>
          </cell>
          <cell r="X104">
            <v>39704.125</v>
          </cell>
          <cell r="Y104">
            <v>207345</v>
          </cell>
          <cell r="Z104">
            <v>230150</v>
          </cell>
          <cell r="AA104">
            <v>45686</v>
          </cell>
          <cell r="AB104">
            <v>69085</v>
          </cell>
          <cell r="AC104">
            <v>21468</v>
          </cell>
          <cell r="AD104">
            <v>34364</v>
          </cell>
          <cell r="AE104">
            <v>1350</v>
          </cell>
          <cell r="AF104">
            <v>1234</v>
          </cell>
          <cell r="AG104">
            <v>1328</v>
          </cell>
          <cell r="AH104">
            <v>1443</v>
          </cell>
          <cell r="AS104">
            <v>67</v>
          </cell>
          <cell r="AU104">
            <v>39704.125</v>
          </cell>
          <cell r="AV104">
            <v>165</v>
          </cell>
          <cell r="AW104">
            <v>185</v>
          </cell>
          <cell r="AX104">
            <v>176</v>
          </cell>
          <cell r="AY104">
            <v>181</v>
          </cell>
          <cell r="AZ104">
            <v>148</v>
          </cell>
          <cell r="BA104">
            <v>162</v>
          </cell>
          <cell r="BB104">
            <v>425</v>
          </cell>
          <cell r="BC104">
            <v>365</v>
          </cell>
          <cell r="BD104">
            <v>369</v>
          </cell>
          <cell r="BE104">
            <v>297</v>
          </cell>
          <cell r="BF104">
            <v>309</v>
          </cell>
          <cell r="BG104">
            <v>238</v>
          </cell>
          <cell r="BH104">
            <v>277</v>
          </cell>
          <cell r="BL104">
            <v>67</v>
          </cell>
        </row>
        <row r="105">
          <cell r="A105">
            <v>39795.4375</v>
          </cell>
          <cell r="V105">
            <v>0</v>
          </cell>
          <cell r="X105">
            <v>39795.4375</v>
          </cell>
          <cell r="Y105">
            <v>239135</v>
          </cell>
          <cell r="Z105">
            <v>272123</v>
          </cell>
          <cell r="AA105">
            <v>45203</v>
          </cell>
          <cell r="AB105">
            <v>69544</v>
          </cell>
          <cell r="AC105">
            <v>22419</v>
          </cell>
          <cell r="AD105">
            <v>34079</v>
          </cell>
          <cell r="AE105">
            <v>1468</v>
          </cell>
          <cell r="AF105">
            <v>1125</v>
          </cell>
          <cell r="AG105">
            <v>1452</v>
          </cell>
          <cell r="AH105">
            <v>1426</v>
          </cell>
          <cell r="AS105">
            <v>68</v>
          </cell>
          <cell r="AU105">
            <v>39795.4375</v>
          </cell>
          <cell r="AV105">
            <v>106</v>
          </cell>
          <cell r="AW105">
            <v>138</v>
          </cell>
          <cell r="AX105">
            <v>145</v>
          </cell>
          <cell r="AY105">
            <v>154</v>
          </cell>
          <cell r="AZ105">
            <v>108</v>
          </cell>
          <cell r="BA105">
            <v>127</v>
          </cell>
          <cell r="BB105">
            <v>429</v>
          </cell>
          <cell r="BC105">
            <v>282</v>
          </cell>
          <cell r="BD105">
            <v>329</v>
          </cell>
          <cell r="BE105">
            <v>149</v>
          </cell>
          <cell r="BF105">
            <v>172</v>
          </cell>
          <cell r="BG105">
            <v>162</v>
          </cell>
          <cell r="BH105">
            <v>186</v>
          </cell>
          <cell r="BL105">
            <v>68</v>
          </cell>
        </row>
        <row r="106">
          <cell r="A106">
            <v>39886.75</v>
          </cell>
          <cell r="V106">
            <v>0</v>
          </cell>
          <cell r="X106">
            <v>39886.75</v>
          </cell>
          <cell r="Y106">
            <v>321879</v>
          </cell>
          <cell r="Z106">
            <v>350028</v>
          </cell>
          <cell r="AA106">
            <v>47064</v>
          </cell>
          <cell r="AB106">
            <v>56058</v>
          </cell>
          <cell r="AC106">
            <v>30665</v>
          </cell>
          <cell r="AD106">
            <v>31960</v>
          </cell>
          <cell r="AE106">
            <v>1475</v>
          </cell>
          <cell r="AF106">
            <v>1165</v>
          </cell>
          <cell r="AG106">
            <v>1467</v>
          </cell>
          <cell r="AH106">
            <v>1432</v>
          </cell>
          <cell r="AS106">
            <v>69</v>
          </cell>
          <cell r="AU106">
            <v>39886.75</v>
          </cell>
          <cell r="AV106">
            <v>136</v>
          </cell>
          <cell r="AW106">
            <v>155</v>
          </cell>
          <cell r="AX106">
            <v>141</v>
          </cell>
          <cell r="AY106">
            <v>161</v>
          </cell>
          <cell r="AZ106">
            <v>133</v>
          </cell>
          <cell r="BA106">
            <v>147</v>
          </cell>
          <cell r="BB106">
            <v>423</v>
          </cell>
          <cell r="BC106">
            <v>297</v>
          </cell>
          <cell r="BD106">
            <v>340</v>
          </cell>
          <cell r="BE106">
            <v>210</v>
          </cell>
          <cell r="BF106">
            <v>222</v>
          </cell>
          <cell r="BG106">
            <v>222</v>
          </cell>
          <cell r="BH106">
            <v>218</v>
          </cell>
          <cell r="BL106">
            <v>69</v>
          </cell>
        </row>
        <row r="107">
          <cell r="A107">
            <v>39978.0625</v>
          </cell>
          <cell r="V107">
            <v>0</v>
          </cell>
          <cell r="X107">
            <v>39978.0625</v>
          </cell>
          <cell r="Y107">
            <v>317524</v>
          </cell>
          <cell r="Z107">
            <v>352857</v>
          </cell>
          <cell r="AA107">
            <v>48126</v>
          </cell>
          <cell r="AB107">
            <v>58237</v>
          </cell>
          <cell r="AC107">
            <v>28945</v>
          </cell>
          <cell r="AD107">
            <v>32153</v>
          </cell>
          <cell r="AE107">
            <v>1450</v>
          </cell>
          <cell r="AF107">
            <v>1526</v>
          </cell>
          <cell r="AG107">
            <v>1465</v>
          </cell>
          <cell r="AH107">
            <v>1584</v>
          </cell>
          <cell r="AS107">
            <v>70</v>
          </cell>
          <cell r="AU107">
            <v>39978.0625</v>
          </cell>
          <cell r="AV107">
            <v>142</v>
          </cell>
          <cell r="AW107">
            <v>160</v>
          </cell>
          <cell r="AX107">
            <v>152</v>
          </cell>
          <cell r="AY107">
            <v>169</v>
          </cell>
          <cell r="AZ107">
            <v>140</v>
          </cell>
          <cell r="BA107">
            <v>156</v>
          </cell>
          <cell r="BB107">
            <v>403</v>
          </cell>
          <cell r="BC107">
            <v>299</v>
          </cell>
          <cell r="BD107">
            <v>340</v>
          </cell>
          <cell r="BE107">
            <v>213</v>
          </cell>
          <cell r="BF107">
            <v>220</v>
          </cell>
          <cell r="BG107">
            <v>220</v>
          </cell>
          <cell r="BH107">
            <v>229</v>
          </cell>
          <cell r="BL107">
            <v>70</v>
          </cell>
        </row>
        <row r="108">
          <cell r="A108">
            <v>40069.375</v>
          </cell>
          <cell r="V108">
            <v>0</v>
          </cell>
          <cell r="X108">
            <v>40069.375</v>
          </cell>
          <cell r="Y108">
            <v>220556</v>
          </cell>
          <cell r="Z108">
            <v>304412</v>
          </cell>
          <cell r="AA108">
            <v>40614</v>
          </cell>
          <cell r="AB108">
            <v>63723</v>
          </cell>
          <cell r="AC108">
            <v>18573</v>
          </cell>
          <cell r="AD108">
            <v>31454</v>
          </cell>
          <cell r="AE108">
            <v>1559</v>
          </cell>
          <cell r="AF108">
            <v>1627</v>
          </cell>
          <cell r="AG108">
            <v>1631</v>
          </cell>
          <cell r="AH108">
            <v>1645</v>
          </cell>
          <cell r="AS108">
            <v>71</v>
          </cell>
          <cell r="AU108">
            <v>40069.375</v>
          </cell>
          <cell r="AV108">
            <v>144</v>
          </cell>
          <cell r="AW108">
            <v>170</v>
          </cell>
          <cell r="AX108">
            <v>162</v>
          </cell>
          <cell r="AY108">
            <v>189</v>
          </cell>
          <cell r="AZ108">
            <v>151</v>
          </cell>
          <cell r="BA108">
            <v>173</v>
          </cell>
          <cell r="BB108">
            <v>338</v>
          </cell>
          <cell r="BC108">
            <v>302</v>
          </cell>
          <cell r="BD108">
            <v>393</v>
          </cell>
          <cell r="BE108">
            <v>206</v>
          </cell>
          <cell r="BF108">
            <v>207</v>
          </cell>
          <cell r="BG108">
            <v>199</v>
          </cell>
          <cell r="BH108">
            <v>214</v>
          </cell>
          <cell r="BL108">
            <v>71</v>
          </cell>
        </row>
        <row r="109">
          <cell r="A109">
            <v>40160.6875</v>
          </cell>
          <cell r="V109">
            <v>0</v>
          </cell>
          <cell r="X109">
            <v>40160.6875</v>
          </cell>
          <cell r="Y109">
            <v>242456</v>
          </cell>
          <cell r="Z109">
            <v>309852</v>
          </cell>
          <cell r="AA109">
            <v>49234</v>
          </cell>
          <cell r="AB109">
            <v>72524</v>
          </cell>
          <cell r="AC109">
            <v>25267</v>
          </cell>
          <cell r="AD109">
            <v>35146</v>
          </cell>
          <cell r="AE109">
            <v>1721</v>
          </cell>
          <cell r="AF109">
            <v>1725</v>
          </cell>
          <cell r="AG109">
            <v>1745</v>
          </cell>
          <cell r="AH109">
            <v>1798</v>
          </cell>
          <cell r="AS109">
            <v>72</v>
          </cell>
          <cell r="AU109">
            <v>40160.6875</v>
          </cell>
          <cell r="AV109">
            <v>110</v>
          </cell>
          <cell r="AW109">
            <v>141</v>
          </cell>
          <cell r="AX109">
            <v>143</v>
          </cell>
          <cell r="AY109">
            <v>159</v>
          </cell>
          <cell r="AZ109">
            <v>120</v>
          </cell>
          <cell r="BA109">
            <v>139</v>
          </cell>
          <cell r="BB109">
            <v>384</v>
          </cell>
          <cell r="BC109">
            <v>264</v>
          </cell>
          <cell r="BD109">
            <v>312</v>
          </cell>
          <cell r="BE109">
            <v>165</v>
          </cell>
          <cell r="BF109">
            <v>185</v>
          </cell>
          <cell r="BG109">
            <v>149</v>
          </cell>
          <cell r="BH109">
            <v>183</v>
          </cell>
          <cell r="BL109">
            <v>72</v>
          </cell>
        </row>
        <row r="110">
          <cell r="A110">
            <v>40252</v>
          </cell>
          <cell r="V110">
            <v>0</v>
          </cell>
          <cell r="X110">
            <v>40252</v>
          </cell>
          <cell r="Y110">
            <v>243852</v>
          </cell>
          <cell r="Z110">
            <v>311258</v>
          </cell>
          <cell r="AA110">
            <v>51263</v>
          </cell>
          <cell r="AB110">
            <v>75219</v>
          </cell>
          <cell r="AC110">
            <v>26521</v>
          </cell>
          <cell r="AD110">
            <v>36234</v>
          </cell>
          <cell r="AE110">
            <v>1752</v>
          </cell>
          <cell r="AF110">
            <v>1762</v>
          </cell>
          <cell r="AG110">
            <v>1752</v>
          </cell>
          <cell r="AH110">
            <v>1821</v>
          </cell>
          <cell r="AS110">
            <v>73</v>
          </cell>
          <cell r="AU110">
            <v>40252</v>
          </cell>
          <cell r="AV110">
            <v>128</v>
          </cell>
          <cell r="AW110">
            <v>151</v>
          </cell>
          <cell r="AX110">
            <v>153</v>
          </cell>
          <cell r="AY110">
            <v>168</v>
          </cell>
          <cell r="AZ110">
            <v>133</v>
          </cell>
          <cell r="BA110">
            <v>149</v>
          </cell>
          <cell r="BB110">
            <v>377</v>
          </cell>
          <cell r="BC110">
            <v>262</v>
          </cell>
          <cell r="BD110">
            <v>296</v>
          </cell>
          <cell r="BE110">
            <v>230</v>
          </cell>
          <cell r="BF110">
            <v>235</v>
          </cell>
          <cell r="BG110">
            <v>193</v>
          </cell>
          <cell r="BH110">
            <v>198</v>
          </cell>
          <cell r="BL110">
            <v>73</v>
          </cell>
        </row>
        <row r="111">
          <cell r="A111">
            <v>40343.3125</v>
          </cell>
          <cell r="V111">
            <v>0</v>
          </cell>
          <cell r="X111">
            <v>40343.3125</v>
          </cell>
          <cell r="Y111">
            <v>215058</v>
          </cell>
          <cell r="Z111">
            <v>287653</v>
          </cell>
          <cell r="AA111">
            <v>45241</v>
          </cell>
          <cell r="AB111">
            <v>75319</v>
          </cell>
          <cell r="AC111">
            <v>25862</v>
          </cell>
          <cell r="AD111">
            <v>35129</v>
          </cell>
          <cell r="AE111">
            <v>1453</v>
          </cell>
          <cell r="AF111">
            <v>1521</v>
          </cell>
          <cell r="AG111">
            <v>1524</v>
          </cell>
          <cell r="AH111">
            <v>1598</v>
          </cell>
          <cell r="AS111">
            <v>74</v>
          </cell>
          <cell r="AU111">
            <v>40343.3125</v>
          </cell>
          <cell r="AV111">
            <v>126</v>
          </cell>
          <cell r="AW111">
            <v>149</v>
          </cell>
          <cell r="AX111">
            <v>155</v>
          </cell>
          <cell r="AY111">
            <v>168</v>
          </cell>
          <cell r="AZ111">
            <v>134</v>
          </cell>
          <cell r="BA111">
            <v>146</v>
          </cell>
          <cell r="BB111">
            <v>382</v>
          </cell>
          <cell r="BC111">
            <v>264</v>
          </cell>
          <cell r="BD111">
            <v>302</v>
          </cell>
          <cell r="BE111">
            <v>252</v>
          </cell>
          <cell r="BF111">
            <v>255</v>
          </cell>
          <cell r="BG111">
            <v>196</v>
          </cell>
          <cell r="BH111">
            <v>209</v>
          </cell>
          <cell r="BL111">
            <v>74</v>
          </cell>
        </row>
        <row r="112">
          <cell r="A112">
            <v>40434.625</v>
          </cell>
          <cell r="V112">
            <v>0</v>
          </cell>
          <cell r="X112">
            <v>40434.625</v>
          </cell>
          <cell r="AS112">
            <v>0</v>
          </cell>
          <cell r="AU112">
            <v>40434.625</v>
          </cell>
          <cell r="BL112">
            <v>0</v>
          </cell>
        </row>
        <row r="113">
          <cell r="A113">
            <v>40525.9375</v>
          </cell>
          <cell r="V113">
            <v>0</v>
          </cell>
          <cell r="X113">
            <v>40525.9375</v>
          </cell>
          <cell r="AS113">
            <v>0</v>
          </cell>
          <cell r="AU113">
            <v>40525.9375</v>
          </cell>
          <cell r="BL113">
            <v>0</v>
          </cell>
        </row>
        <row r="114">
          <cell r="A114">
            <v>40617.25</v>
          </cell>
          <cell r="V114">
            <v>0</v>
          </cell>
          <cell r="X114">
            <v>40617.25</v>
          </cell>
          <cell r="AS114">
            <v>0</v>
          </cell>
          <cell r="AU114">
            <v>40617.25</v>
          </cell>
          <cell r="BL114">
            <v>0</v>
          </cell>
        </row>
        <row r="115">
          <cell r="A115">
            <v>40708.5625</v>
          </cell>
          <cell r="V115">
            <v>0</v>
          </cell>
          <cell r="X115">
            <v>40708.5625</v>
          </cell>
          <cell r="AS115">
            <v>0</v>
          </cell>
          <cell r="AU115">
            <v>40708.5625</v>
          </cell>
          <cell r="BL115">
            <v>0</v>
          </cell>
        </row>
        <row r="116">
          <cell r="A116">
            <v>40799.875</v>
          </cell>
          <cell r="V116">
            <v>0</v>
          </cell>
          <cell r="X116">
            <v>40799.875</v>
          </cell>
          <cell r="AS116">
            <v>0</v>
          </cell>
          <cell r="AU116">
            <v>40799.875</v>
          </cell>
          <cell r="BL116">
            <v>0</v>
          </cell>
        </row>
        <row r="117">
          <cell r="A117">
            <v>40891.1875</v>
          </cell>
          <cell r="V117">
            <v>0</v>
          </cell>
          <cell r="X117">
            <v>40891.1875</v>
          </cell>
          <cell r="AS117">
            <v>0</v>
          </cell>
          <cell r="AU117">
            <v>40891.1875</v>
          </cell>
          <cell r="BL117">
            <v>0</v>
          </cell>
        </row>
        <row r="118">
          <cell r="A118">
            <v>40982.5</v>
          </cell>
          <cell r="V118">
            <v>0</v>
          </cell>
          <cell r="X118">
            <v>40982.5</v>
          </cell>
          <cell r="AS118">
            <v>0</v>
          </cell>
          <cell r="AU118">
            <v>40982.5</v>
          </cell>
          <cell r="BL118">
            <v>0</v>
          </cell>
        </row>
        <row r="119">
          <cell r="A119">
            <v>41073.8125</v>
          </cell>
          <cell r="V119">
            <v>0</v>
          </cell>
          <cell r="X119">
            <v>41073.8125</v>
          </cell>
          <cell r="AS119">
            <v>0</v>
          </cell>
          <cell r="AU119">
            <v>41073.8125</v>
          </cell>
          <cell r="BL119">
            <v>0</v>
          </cell>
        </row>
        <row r="120">
          <cell r="A120">
            <v>41165.125</v>
          </cell>
          <cell r="V120">
            <v>0</v>
          </cell>
          <cell r="X120">
            <v>41165.125</v>
          </cell>
          <cell r="AS120">
            <v>0</v>
          </cell>
          <cell r="AU120">
            <v>41165.125</v>
          </cell>
          <cell r="BL120">
            <v>0</v>
          </cell>
        </row>
        <row r="121">
          <cell r="A121">
            <v>41256.4375</v>
          </cell>
          <cell r="V121">
            <v>0</v>
          </cell>
          <cell r="X121">
            <v>41256.4375</v>
          </cell>
          <cell r="AS121">
            <v>0</v>
          </cell>
          <cell r="AU121">
            <v>41256.4375</v>
          </cell>
          <cell r="BL121">
            <v>0</v>
          </cell>
        </row>
        <row r="122">
          <cell r="A122">
            <v>41347.75</v>
          </cell>
          <cell r="V122">
            <v>0</v>
          </cell>
          <cell r="X122">
            <v>41347.75</v>
          </cell>
          <cell r="AS122">
            <v>0</v>
          </cell>
          <cell r="AU122">
            <v>41347.75</v>
          </cell>
          <cell r="BL122">
            <v>0</v>
          </cell>
        </row>
        <row r="123">
          <cell r="A123">
            <v>41439.0625</v>
          </cell>
          <cell r="V123">
            <v>0</v>
          </cell>
          <cell r="X123">
            <v>41439.0625</v>
          </cell>
          <cell r="AS123">
            <v>0</v>
          </cell>
          <cell r="AU123">
            <v>41439.0625</v>
          </cell>
          <cell r="BL123">
            <v>0</v>
          </cell>
        </row>
        <row r="124">
          <cell r="A124">
            <v>41530.375</v>
          </cell>
          <cell r="V124">
            <v>0</v>
          </cell>
          <cell r="X124">
            <v>41530.375</v>
          </cell>
          <cell r="AS124">
            <v>0</v>
          </cell>
          <cell r="AU124">
            <v>41530.375</v>
          </cell>
          <cell r="BL124">
            <v>0</v>
          </cell>
        </row>
        <row r="125">
          <cell r="A125">
            <v>41621.6875</v>
          </cell>
          <cell r="V125">
            <v>0</v>
          </cell>
          <cell r="X125">
            <v>41621.6875</v>
          </cell>
          <cell r="AS125">
            <v>0</v>
          </cell>
          <cell r="AU125">
            <v>41621.6875</v>
          </cell>
          <cell r="BL125">
            <v>0</v>
          </cell>
        </row>
        <row r="126">
          <cell r="A126">
            <v>41713</v>
          </cell>
          <cell r="V126">
            <v>0</v>
          </cell>
          <cell r="X126">
            <v>41713</v>
          </cell>
          <cell r="AS126">
            <v>0</v>
          </cell>
          <cell r="AU126">
            <v>41713</v>
          </cell>
          <cell r="BL126">
            <v>0</v>
          </cell>
        </row>
        <row r="127">
          <cell r="A127">
            <v>41804.3125</v>
          </cell>
          <cell r="V127">
            <v>0</v>
          </cell>
          <cell r="X127">
            <v>41804.3125</v>
          </cell>
          <cell r="AS127">
            <v>0</v>
          </cell>
          <cell r="AU127">
            <v>41804.3125</v>
          </cell>
          <cell r="BL127">
            <v>0</v>
          </cell>
        </row>
        <row r="128">
          <cell r="A128">
            <v>41895.625</v>
          </cell>
          <cell r="V128">
            <v>0</v>
          </cell>
          <cell r="X128">
            <v>41895.625</v>
          </cell>
          <cell r="AS128">
            <v>0</v>
          </cell>
          <cell r="AU128">
            <v>41895.625</v>
          </cell>
          <cell r="BL128">
            <v>0</v>
          </cell>
        </row>
        <row r="129">
          <cell r="A129">
            <v>41986.9375</v>
          </cell>
          <cell r="V129">
            <v>0</v>
          </cell>
          <cell r="X129">
            <v>41986.9375</v>
          </cell>
          <cell r="AS129">
            <v>0</v>
          </cell>
          <cell r="AU129">
            <v>41986.9375</v>
          </cell>
          <cell r="BL129">
            <v>0</v>
          </cell>
        </row>
        <row r="130">
          <cell r="A130">
            <v>42078.25</v>
          </cell>
          <cell r="V130">
            <v>0</v>
          </cell>
          <cell r="X130">
            <v>42078.25</v>
          </cell>
          <cell r="AS130">
            <v>0</v>
          </cell>
          <cell r="AU130">
            <v>42078.25</v>
          </cell>
          <cell r="BL130">
            <v>0</v>
          </cell>
        </row>
        <row r="131">
          <cell r="A131">
            <v>42169.5625</v>
          </cell>
          <cell r="V131">
            <v>0</v>
          </cell>
          <cell r="X131">
            <v>42169.5625</v>
          </cell>
          <cell r="AS131">
            <v>0</v>
          </cell>
          <cell r="AU131">
            <v>42169.5625</v>
          </cell>
          <cell r="BL131">
            <v>0</v>
          </cell>
        </row>
        <row r="132">
          <cell r="A132">
            <v>42260.875</v>
          </cell>
          <cell r="V132">
            <v>0</v>
          </cell>
          <cell r="X132">
            <v>42260.875</v>
          </cell>
          <cell r="AS132">
            <v>0</v>
          </cell>
          <cell r="AU132">
            <v>42260.875</v>
          </cell>
          <cell r="BL132">
            <v>0</v>
          </cell>
        </row>
        <row r="133">
          <cell r="A133">
            <v>42352.1875</v>
          </cell>
          <cell r="V133">
            <v>0</v>
          </cell>
          <cell r="X133">
            <v>42352.1875</v>
          </cell>
          <cell r="AS133">
            <v>0</v>
          </cell>
          <cell r="AU133">
            <v>42352.1875</v>
          </cell>
          <cell r="BL133">
            <v>0</v>
          </cell>
        </row>
        <row r="134">
          <cell r="A134">
            <v>42443.5</v>
          </cell>
          <cell r="V134">
            <v>0</v>
          </cell>
          <cell r="X134">
            <v>42443.5</v>
          </cell>
          <cell r="AS134">
            <v>0</v>
          </cell>
          <cell r="AU134">
            <v>42443.5</v>
          </cell>
          <cell r="BL134">
            <v>0</v>
          </cell>
        </row>
        <row r="135">
          <cell r="A135">
            <v>42534.8125</v>
          </cell>
          <cell r="V135">
            <v>0</v>
          </cell>
          <cell r="X135">
            <v>42534.8125</v>
          </cell>
          <cell r="AS135">
            <v>0</v>
          </cell>
          <cell r="AU135">
            <v>42534.8125</v>
          </cell>
          <cell r="BL135">
            <v>0</v>
          </cell>
        </row>
        <row r="136">
          <cell r="A136">
            <v>42626.125</v>
          </cell>
          <cell r="V136">
            <v>0</v>
          </cell>
          <cell r="X136">
            <v>42626.125</v>
          </cell>
          <cell r="AS136">
            <v>0</v>
          </cell>
          <cell r="AU136">
            <v>42626.125</v>
          </cell>
          <cell r="BL136">
            <v>0</v>
          </cell>
        </row>
        <row r="137">
          <cell r="A137">
            <v>42717.4375</v>
          </cell>
          <cell r="V137">
            <v>0</v>
          </cell>
          <cell r="X137">
            <v>42717.4375</v>
          </cell>
          <cell r="AS137">
            <v>0</v>
          </cell>
          <cell r="AU137">
            <v>42717.4375</v>
          </cell>
          <cell r="BL137">
            <v>0</v>
          </cell>
        </row>
        <row r="138">
          <cell r="A138">
            <v>42808.75</v>
          </cell>
          <cell r="V138">
            <v>0</v>
          </cell>
          <cell r="X138">
            <v>42808.75</v>
          </cell>
          <cell r="AS138">
            <v>0</v>
          </cell>
          <cell r="AU138">
            <v>42808.75</v>
          </cell>
          <cell r="BL138">
            <v>0</v>
          </cell>
        </row>
        <row r="139">
          <cell r="A139">
            <v>42900.0625</v>
          </cell>
          <cell r="V139">
            <v>0</v>
          </cell>
          <cell r="X139">
            <v>42900.0625</v>
          </cell>
          <cell r="AS139">
            <v>0</v>
          </cell>
          <cell r="AU139">
            <v>42900.0625</v>
          </cell>
          <cell r="BL139">
            <v>0</v>
          </cell>
        </row>
        <row r="140">
          <cell r="A140">
            <v>42991.375</v>
          </cell>
          <cell r="V140">
            <v>0</v>
          </cell>
          <cell r="X140">
            <v>42991.375</v>
          </cell>
          <cell r="AS140">
            <v>0</v>
          </cell>
          <cell r="AU140">
            <v>42991.375</v>
          </cell>
          <cell r="BL140">
            <v>0</v>
          </cell>
        </row>
        <row r="141">
          <cell r="A141">
            <v>43082.6875</v>
          </cell>
          <cell r="V141">
            <v>0</v>
          </cell>
          <cell r="X141">
            <v>43082.6875</v>
          </cell>
          <cell r="AS141">
            <v>0</v>
          </cell>
          <cell r="AU141">
            <v>43082.6875</v>
          </cell>
          <cell r="BL141">
            <v>0</v>
          </cell>
        </row>
        <row r="142">
          <cell r="A142">
            <v>43174</v>
          </cell>
          <cell r="V142">
            <v>0</v>
          </cell>
          <cell r="X142">
            <v>43174</v>
          </cell>
          <cell r="AS142">
            <v>0</v>
          </cell>
          <cell r="AU142">
            <v>43174</v>
          </cell>
          <cell r="BL142">
            <v>0</v>
          </cell>
        </row>
        <row r="143">
          <cell r="A143">
            <v>43265.3125</v>
          </cell>
          <cell r="V143">
            <v>0</v>
          </cell>
          <cell r="X143">
            <v>43265.3125</v>
          </cell>
          <cell r="AS143">
            <v>0</v>
          </cell>
          <cell r="AU143">
            <v>43265.3125</v>
          </cell>
          <cell r="BL143">
            <v>0</v>
          </cell>
        </row>
        <row r="144">
          <cell r="A144">
            <v>43356.625</v>
          </cell>
          <cell r="V144">
            <v>0</v>
          </cell>
          <cell r="X144">
            <v>43356.625</v>
          </cell>
          <cell r="AS144">
            <v>0</v>
          </cell>
          <cell r="AU144">
            <v>43356.625</v>
          </cell>
          <cell r="BL144">
            <v>0</v>
          </cell>
        </row>
        <row r="145">
          <cell r="A145">
            <v>43447.9375</v>
          </cell>
          <cell r="V145">
            <v>0</v>
          </cell>
          <cell r="X145">
            <v>43447.9375</v>
          </cell>
          <cell r="AS145">
            <v>0</v>
          </cell>
          <cell r="AU145">
            <v>43447.9375</v>
          </cell>
          <cell r="BL145">
            <v>0</v>
          </cell>
        </row>
        <row r="146">
          <cell r="A146">
            <v>43539.25</v>
          </cell>
          <cell r="V146">
            <v>0</v>
          </cell>
          <cell r="X146">
            <v>43539.25</v>
          </cell>
          <cell r="AS146">
            <v>0</v>
          </cell>
          <cell r="AU146">
            <v>43539.25</v>
          </cell>
          <cell r="BL146">
            <v>0</v>
          </cell>
        </row>
        <row r="147">
          <cell r="A147">
            <v>43630.5625</v>
          </cell>
          <cell r="V147">
            <v>0</v>
          </cell>
          <cell r="X147">
            <v>43630.5625</v>
          </cell>
          <cell r="AS147">
            <v>0</v>
          </cell>
          <cell r="AU147">
            <v>43630.5625</v>
          </cell>
          <cell r="BL147">
            <v>0</v>
          </cell>
        </row>
        <row r="148">
          <cell r="A148">
            <v>43721.875</v>
          </cell>
          <cell r="V148">
            <v>0</v>
          </cell>
          <cell r="X148">
            <v>43721.875</v>
          </cell>
          <cell r="AS148">
            <v>0</v>
          </cell>
          <cell r="AU148">
            <v>43721.875</v>
          </cell>
          <cell r="BL148">
            <v>0</v>
          </cell>
        </row>
        <row r="149">
          <cell r="A149">
            <v>43813.1875</v>
          </cell>
          <cell r="V149">
            <v>0</v>
          </cell>
          <cell r="X149">
            <v>43813.1875</v>
          </cell>
          <cell r="AS149">
            <v>0</v>
          </cell>
          <cell r="AU149">
            <v>43813.1875</v>
          </cell>
          <cell r="BL149">
            <v>0</v>
          </cell>
        </row>
        <row r="150">
          <cell r="A150">
            <v>43904.5</v>
          </cell>
          <cell r="V150">
            <v>0</v>
          </cell>
          <cell r="X150">
            <v>43904.5</v>
          </cell>
          <cell r="AS150">
            <v>0</v>
          </cell>
          <cell r="AU150">
            <v>43904.5</v>
          </cell>
          <cell r="BL150">
            <v>0</v>
          </cell>
        </row>
        <row r="151">
          <cell r="A151">
            <v>43995.8125</v>
          </cell>
          <cell r="V151">
            <v>0</v>
          </cell>
          <cell r="X151">
            <v>43995.8125</v>
          </cell>
          <cell r="AS151">
            <v>0</v>
          </cell>
          <cell r="AU151">
            <v>43995.8125</v>
          </cell>
          <cell r="BL151">
            <v>0</v>
          </cell>
        </row>
        <row r="152">
          <cell r="A152">
            <v>44087.125</v>
          </cell>
          <cell r="V152">
            <v>0</v>
          </cell>
          <cell r="X152">
            <v>44087.125</v>
          </cell>
          <cell r="AS152">
            <v>0</v>
          </cell>
          <cell r="AU152">
            <v>44087.125</v>
          </cell>
          <cell r="BL152">
            <v>0</v>
          </cell>
        </row>
        <row r="153">
          <cell r="A153">
            <v>44178.4375</v>
          </cell>
          <cell r="V153">
            <v>0</v>
          </cell>
          <cell r="X153">
            <v>44178.4375</v>
          </cell>
          <cell r="AS153">
            <v>0</v>
          </cell>
          <cell r="AU153">
            <v>44178.4375</v>
          </cell>
          <cell r="BL153">
            <v>0</v>
          </cell>
        </row>
        <row r="154">
          <cell r="A154">
            <v>44269.75</v>
          </cell>
          <cell r="V154">
            <v>0</v>
          </cell>
          <cell r="X154">
            <v>44269.75</v>
          </cell>
          <cell r="AS154">
            <v>0</v>
          </cell>
          <cell r="AU154">
            <v>44269.75</v>
          </cell>
          <cell r="BL154">
            <v>0</v>
          </cell>
        </row>
        <row r="155">
          <cell r="A155">
            <v>44361.0625</v>
          </cell>
          <cell r="V155">
            <v>0</v>
          </cell>
          <cell r="X155">
            <v>44361.0625</v>
          </cell>
          <cell r="AS155">
            <v>0</v>
          </cell>
          <cell r="AU155">
            <v>44361.0625</v>
          </cell>
          <cell r="BL155">
            <v>0</v>
          </cell>
        </row>
        <row r="156">
          <cell r="A156">
            <v>44452.375</v>
          </cell>
          <cell r="V156">
            <v>0</v>
          </cell>
          <cell r="X156">
            <v>44452.375</v>
          </cell>
          <cell r="AS156">
            <v>0</v>
          </cell>
          <cell r="AU156">
            <v>44452.375</v>
          </cell>
          <cell r="BL156">
            <v>0</v>
          </cell>
        </row>
        <row r="157">
          <cell r="A157">
            <v>44543.6875</v>
          </cell>
          <cell r="V157">
            <v>0</v>
          </cell>
          <cell r="X157">
            <v>44543.6875</v>
          </cell>
          <cell r="AS157">
            <v>0</v>
          </cell>
          <cell r="AU157">
            <v>44543.6875</v>
          </cell>
          <cell r="BL157">
            <v>0</v>
          </cell>
        </row>
        <row r="158">
          <cell r="A158">
            <v>44635</v>
          </cell>
          <cell r="V158">
            <v>0</v>
          </cell>
          <cell r="X158">
            <v>44635</v>
          </cell>
          <cell r="AS158">
            <v>0</v>
          </cell>
          <cell r="AU158">
            <v>44635</v>
          </cell>
          <cell r="BL158">
            <v>0</v>
          </cell>
        </row>
        <row r="159">
          <cell r="A159">
            <v>44726.3125</v>
          </cell>
          <cell r="V159">
            <v>0</v>
          </cell>
          <cell r="X159">
            <v>44726.3125</v>
          </cell>
          <cell r="AS159">
            <v>0</v>
          </cell>
          <cell r="AU159">
            <v>44726.3125</v>
          </cell>
          <cell r="BL159">
            <v>0</v>
          </cell>
        </row>
        <row r="160">
          <cell r="A160">
            <v>44817.625</v>
          </cell>
          <cell r="V160">
            <v>0</v>
          </cell>
          <cell r="X160">
            <v>44817.625</v>
          </cell>
          <cell r="AS160">
            <v>0</v>
          </cell>
          <cell r="AU160">
            <v>44817.625</v>
          </cell>
          <cell r="BL160">
            <v>0</v>
          </cell>
        </row>
        <row r="161">
          <cell r="A161">
            <v>44908.9375</v>
          </cell>
          <cell r="V161">
            <v>0</v>
          </cell>
          <cell r="X161">
            <v>44908.9375</v>
          </cell>
          <cell r="AS161">
            <v>0</v>
          </cell>
          <cell r="AU161">
            <v>44908.9375</v>
          </cell>
          <cell r="BL161">
            <v>0</v>
          </cell>
        </row>
        <row r="162">
          <cell r="A162">
            <v>45000.25</v>
          </cell>
          <cell r="V162">
            <v>0</v>
          </cell>
          <cell r="X162">
            <v>45000.25</v>
          </cell>
          <cell r="AS162">
            <v>0</v>
          </cell>
          <cell r="AU162">
            <v>45000.25</v>
          </cell>
          <cell r="BL162">
            <v>0</v>
          </cell>
        </row>
        <row r="163">
          <cell r="A163">
            <v>45091.5625</v>
          </cell>
          <cell r="V163">
            <v>0</v>
          </cell>
          <cell r="X163">
            <v>45091.5625</v>
          </cell>
          <cell r="AS163">
            <v>0</v>
          </cell>
          <cell r="AU163">
            <v>45091.5625</v>
          </cell>
          <cell r="BL163">
            <v>0</v>
          </cell>
        </row>
        <row r="164">
          <cell r="A164">
            <v>45182.875</v>
          </cell>
          <cell r="V164">
            <v>0</v>
          </cell>
          <cell r="X164">
            <v>45182.875</v>
          </cell>
          <cell r="AS164">
            <v>0</v>
          </cell>
          <cell r="AU164">
            <v>45182.875</v>
          </cell>
          <cell r="BL164">
            <v>0</v>
          </cell>
        </row>
        <row r="165">
          <cell r="A165">
            <v>45274.1875</v>
          </cell>
          <cell r="V165">
            <v>0</v>
          </cell>
          <cell r="X165">
            <v>45274.1875</v>
          </cell>
          <cell r="AS165">
            <v>0</v>
          </cell>
          <cell r="AU165">
            <v>45274.1875</v>
          </cell>
          <cell r="BL165">
            <v>0</v>
          </cell>
        </row>
        <row r="166">
          <cell r="A166">
            <v>45365.5</v>
          </cell>
          <cell r="V166">
            <v>0</v>
          </cell>
          <cell r="X166">
            <v>45365.5</v>
          </cell>
          <cell r="AS166">
            <v>0</v>
          </cell>
          <cell r="AU166">
            <v>45365.5</v>
          </cell>
          <cell r="BL166">
            <v>0</v>
          </cell>
        </row>
        <row r="167">
          <cell r="A167">
            <v>45456.8125</v>
          </cell>
          <cell r="V167">
            <v>0</v>
          </cell>
          <cell r="X167">
            <v>45456.8125</v>
          </cell>
          <cell r="AS167">
            <v>0</v>
          </cell>
          <cell r="AU167">
            <v>45456.8125</v>
          </cell>
          <cell r="BL167">
            <v>0</v>
          </cell>
        </row>
        <row r="168">
          <cell r="A168">
            <v>45548.125</v>
          </cell>
          <cell r="V168">
            <v>0</v>
          </cell>
          <cell r="X168">
            <v>45548.125</v>
          </cell>
          <cell r="AS168">
            <v>0</v>
          </cell>
          <cell r="AU168">
            <v>45548.125</v>
          </cell>
          <cell r="BL168">
            <v>0</v>
          </cell>
        </row>
        <row r="169">
          <cell r="A169">
            <v>45639.4375</v>
          </cell>
          <cell r="V169">
            <v>0</v>
          </cell>
          <cell r="X169">
            <v>45639.4375</v>
          </cell>
          <cell r="AS169">
            <v>0</v>
          </cell>
          <cell r="AU169">
            <v>45639.4375</v>
          </cell>
          <cell r="BL169">
            <v>0</v>
          </cell>
        </row>
        <row r="170">
          <cell r="A170">
            <v>45730.75</v>
          </cell>
          <cell r="V170">
            <v>0</v>
          </cell>
          <cell r="X170">
            <v>45730.75</v>
          </cell>
          <cell r="AS170">
            <v>0</v>
          </cell>
          <cell r="AU170">
            <v>45730.75</v>
          </cell>
          <cell r="BL170">
            <v>0</v>
          </cell>
        </row>
        <row r="171">
          <cell r="A171">
            <v>45822.0625</v>
          </cell>
          <cell r="V171">
            <v>0</v>
          </cell>
          <cell r="X171">
            <v>45822.0625</v>
          </cell>
          <cell r="AS171">
            <v>0</v>
          </cell>
          <cell r="AU171">
            <v>45822.0625</v>
          </cell>
          <cell r="BL171">
            <v>0</v>
          </cell>
        </row>
        <row r="172">
          <cell r="A172">
            <v>45913.375</v>
          </cell>
          <cell r="V172">
            <v>0</v>
          </cell>
          <cell r="X172">
            <v>45913.375</v>
          </cell>
          <cell r="AS172">
            <v>0</v>
          </cell>
          <cell r="AU172">
            <v>45913.375</v>
          </cell>
          <cell r="BL172">
            <v>0</v>
          </cell>
        </row>
        <row r="173">
          <cell r="A173">
            <v>46004.6875</v>
          </cell>
          <cell r="V173">
            <v>0</v>
          </cell>
          <cell r="X173">
            <v>46004.6875</v>
          </cell>
          <cell r="AS173">
            <v>0</v>
          </cell>
          <cell r="AU173">
            <v>46004.6875</v>
          </cell>
          <cell r="BL173">
            <v>0</v>
          </cell>
        </row>
        <row r="174">
          <cell r="A174">
            <v>46096</v>
          </cell>
          <cell r="V174">
            <v>0</v>
          </cell>
          <cell r="X174">
            <v>46096</v>
          </cell>
          <cell r="AS174">
            <v>0</v>
          </cell>
          <cell r="AU174">
            <v>46096</v>
          </cell>
          <cell r="BL174">
            <v>0</v>
          </cell>
        </row>
        <row r="175">
          <cell r="A175">
            <v>46187.3125</v>
          </cell>
          <cell r="V175">
            <v>0</v>
          </cell>
          <cell r="X175">
            <v>46187.3125</v>
          </cell>
          <cell r="AS175">
            <v>0</v>
          </cell>
          <cell r="AU175">
            <v>46187.3125</v>
          </cell>
          <cell r="BL175">
            <v>0</v>
          </cell>
        </row>
        <row r="176">
          <cell r="A176">
            <v>46278.625</v>
          </cell>
          <cell r="V176">
            <v>0</v>
          </cell>
          <cell r="X176">
            <v>46278.625</v>
          </cell>
          <cell r="AS176">
            <v>0</v>
          </cell>
          <cell r="AU176">
            <v>46278.625</v>
          </cell>
          <cell r="BL176">
            <v>0</v>
          </cell>
        </row>
        <row r="177">
          <cell r="A177">
            <v>46369.9375</v>
          </cell>
          <cell r="V177">
            <v>0</v>
          </cell>
          <cell r="X177">
            <v>46369.9375</v>
          </cell>
          <cell r="AS177">
            <v>0</v>
          </cell>
          <cell r="AU177">
            <v>46369.9375</v>
          </cell>
          <cell r="BL177">
            <v>0</v>
          </cell>
        </row>
        <row r="178">
          <cell r="A178">
            <v>46461.25</v>
          </cell>
          <cell r="V178">
            <v>0</v>
          </cell>
          <cell r="X178">
            <v>46461.25</v>
          </cell>
          <cell r="AS178">
            <v>0</v>
          </cell>
          <cell r="AU178">
            <v>46461.25</v>
          </cell>
          <cell r="BL178">
            <v>0</v>
          </cell>
        </row>
        <row r="179">
          <cell r="A179">
            <v>46552.5625</v>
          </cell>
          <cell r="V179">
            <v>0</v>
          </cell>
          <cell r="X179">
            <v>46552.5625</v>
          </cell>
          <cell r="AS179">
            <v>0</v>
          </cell>
          <cell r="AU179">
            <v>46552.5625</v>
          </cell>
          <cell r="BL179">
            <v>0</v>
          </cell>
        </row>
        <row r="180">
          <cell r="A180">
            <v>46643.875</v>
          </cell>
          <cell r="V180">
            <v>0</v>
          </cell>
          <cell r="X180">
            <v>46643.875</v>
          </cell>
          <cell r="AS180">
            <v>0</v>
          </cell>
          <cell r="AU180">
            <v>46643.875</v>
          </cell>
          <cell r="BL180">
            <v>0</v>
          </cell>
        </row>
        <row r="181">
          <cell r="A181">
            <v>46735.1875</v>
          </cell>
          <cell r="V181">
            <v>0</v>
          </cell>
          <cell r="X181">
            <v>46735.1875</v>
          </cell>
          <cell r="AS181">
            <v>0</v>
          </cell>
          <cell r="AU181">
            <v>46735.1875</v>
          </cell>
          <cell r="BL181">
            <v>0</v>
          </cell>
        </row>
        <row r="182">
          <cell r="A182">
            <v>46826.5</v>
          </cell>
          <cell r="V182">
            <v>0</v>
          </cell>
          <cell r="X182">
            <v>46826.5</v>
          </cell>
          <cell r="AS182">
            <v>0</v>
          </cell>
          <cell r="AU182">
            <v>46826.5</v>
          </cell>
          <cell r="BL182">
            <v>0</v>
          </cell>
        </row>
        <row r="183">
          <cell r="A183">
            <v>46917.8125</v>
          </cell>
          <cell r="V183">
            <v>0</v>
          </cell>
          <cell r="X183">
            <v>46917.8125</v>
          </cell>
          <cell r="AS183">
            <v>0</v>
          </cell>
          <cell r="AU183">
            <v>46917.8125</v>
          </cell>
          <cell r="BL183">
            <v>0</v>
          </cell>
        </row>
        <row r="184">
          <cell r="A184">
            <v>47009.125</v>
          </cell>
          <cell r="V184">
            <v>0</v>
          </cell>
          <cell r="X184">
            <v>47009.125</v>
          </cell>
          <cell r="AS184">
            <v>0</v>
          </cell>
          <cell r="AU184">
            <v>47009.125</v>
          </cell>
          <cell r="BL184">
            <v>0</v>
          </cell>
        </row>
        <row r="185">
          <cell r="A185">
            <v>47100.4375</v>
          </cell>
          <cell r="V185">
            <v>0</v>
          </cell>
          <cell r="X185">
            <v>47100.4375</v>
          </cell>
          <cell r="AS185">
            <v>0</v>
          </cell>
          <cell r="AU185">
            <v>47100.4375</v>
          </cell>
          <cell r="BL185">
            <v>0</v>
          </cell>
        </row>
        <row r="186">
          <cell r="A186">
            <v>47191.75</v>
          </cell>
          <cell r="V186">
            <v>0</v>
          </cell>
          <cell r="X186">
            <v>47191.75</v>
          </cell>
          <cell r="AS186">
            <v>0</v>
          </cell>
          <cell r="AU186">
            <v>47191.75</v>
          </cell>
          <cell r="BL186">
            <v>0</v>
          </cell>
        </row>
        <row r="187">
          <cell r="A187">
            <v>47283.0625</v>
          </cell>
          <cell r="V187">
            <v>0</v>
          </cell>
          <cell r="X187">
            <v>47283.0625</v>
          </cell>
          <cell r="AS187">
            <v>0</v>
          </cell>
          <cell r="AU187">
            <v>47283.0625</v>
          </cell>
          <cell r="BL187">
            <v>0</v>
          </cell>
        </row>
        <row r="188">
          <cell r="A188">
            <v>47374.375</v>
          </cell>
          <cell r="V188">
            <v>0</v>
          </cell>
          <cell r="X188">
            <v>47374.375</v>
          </cell>
          <cell r="AS188">
            <v>0</v>
          </cell>
          <cell r="AU188">
            <v>47374.375</v>
          </cell>
          <cell r="BL188">
            <v>0</v>
          </cell>
        </row>
        <row r="189">
          <cell r="A189">
            <v>47465.6875</v>
          </cell>
          <cell r="V189">
            <v>0</v>
          </cell>
          <cell r="X189">
            <v>47465.6875</v>
          </cell>
          <cell r="AS189">
            <v>0</v>
          </cell>
          <cell r="AU189">
            <v>47465.6875</v>
          </cell>
          <cell r="BL189">
            <v>0</v>
          </cell>
        </row>
        <row r="190">
          <cell r="A190">
            <v>47557</v>
          </cell>
          <cell r="V190">
            <v>0</v>
          </cell>
          <cell r="X190">
            <v>47557</v>
          </cell>
          <cell r="AS190">
            <v>0</v>
          </cell>
          <cell r="AU190">
            <v>47557</v>
          </cell>
          <cell r="BL190">
            <v>0</v>
          </cell>
        </row>
        <row r="191">
          <cell r="A191">
            <v>47648.3125</v>
          </cell>
          <cell r="V191">
            <v>0</v>
          </cell>
          <cell r="X191">
            <v>47648.3125</v>
          </cell>
          <cell r="AS191">
            <v>0</v>
          </cell>
          <cell r="AU191">
            <v>47648.3125</v>
          </cell>
          <cell r="BL191">
            <v>0</v>
          </cell>
        </row>
        <row r="192">
          <cell r="A192">
            <v>47739.625</v>
          </cell>
          <cell r="V192">
            <v>0</v>
          </cell>
          <cell r="X192">
            <v>47739.625</v>
          </cell>
          <cell r="AS192">
            <v>0</v>
          </cell>
          <cell r="AU192">
            <v>47739.625</v>
          </cell>
          <cell r="BL192">
            <v>0</v>
          </cell>
        </row>
        <row r="193">
          <cell r="A193">
            <v>47830.9375</v>
          </cell>
          <cell r="V193">
            <v>0</v>
          </cell>
          <cell r="X193">
            <v>47830.9375</v>
          </cell>
          <cell r="AS193">
            <v>0</v>
          </cell>
          <cell r="AU193">
            <v>47830.9375</v>
          </cell>
          <cell r="BL193">
            <v>0</v>
          </cell>
        </row>
        <row r="194">
          <cell r="A194">
            <v>47922.25</v>
          </cell>
          <cell r="V194">
            <v>0</v>
          </cell>
          <cell r="X194">
            <v>47922.25</v>
          </cell>
          <cell r="AS194">
            <v>0</v>
          </cell>
          <cell r="AU194">
            <v>47922.25</v>
          </cell>
          <cell r="BL194">
            <v>0</v>
          </cell>
        </row>
        <row r="195">
          <cell r="A195">
            <v>48013.5625</v>
          </cell>
          <cell r="V195">
            <v>0</v>
          </cell>
          <cell r="X195">
            <v>48013.5625</v>
          </cell>
          <cell r="AS195">
            <v>0</v>
          </cell>
          <cell r="AU195">
            <v>48013.5625</v>
          </cell>
          <cell r="BL195">
            <v>0</v>
          </cell>
        </row>
        <row r="196">
          <cell r="A196">
            <v>48104.875</v>
          </cell>
          <cell r="V196">
            <v>0</v>
          </cell>
          <cell r="X196">
            <v>48104.875</v>
          </cell>
          <cell r="AS196">
            <v>0</v>
          </cell>
          <cell r="AU196">
            <v>48104.875</v>
          </cell>
          <cell r="BL196">
            <v>0</v>
          </cell>
        </row>
        <row r="197">
          <cell r="A197">
            <v>48196.1875</v>
          </cell>
          <cell r="V197">
            <v>0</v>
          </cell>
          <cell r="X197">
            <v>48196.1875</v>
          </cell>
          <cell r="AS197">
            <v>0</v>
          </cell>
          <cell r="AU197">
            <v>48196.1875</v>
          </cell>
          <cell r="BL197">
            <v>0</v>
          </cell>
        </row>
        <row r="198">
          <cell r="A198">
            <v>48287.5</v>
          </cell>
          <cell r="V198">
            <v>0</v>
          </cell>
          <cell r="X198">
            <v>48287.5</v>
          </cell>
          <cell r="AS198">
            <v>0</v>
          </cell>
          <cell r="AU198">
            <v>48287.5</v>
          </cell>
          <cell r="BL198">
            <v>0</v>
          </cell>
        </row>
        <row r="199">
          <cell r="A199">
            <v>48378.8125</v>
          </cell>
          <cell r="V199">
            <v>0</v>
          </cell>
          <cell r="X199">
            <v>48378.8125</v>
          </cell>
          <cell r="AS199">
            <v>0</v>
          </cell>
          <cell r="AU199">
            <v>48378.8125</v>
          </cell>
          <cell r="BL199">
            <v>0</v>
          </cell>
        </row>
        <row r="200">
          <cell r="A200">
            <v>48470.125</v>
          </cell>
          <cell r="V200">
            <v>0</v>
          </cell>
          <cell r="X200">
            <v>48470.125</v>
          </cell>
          <cell r="AS200">
            <v>0</v>
          </cell>
          <cell r="AU200">
            <v>48470.125</v>
          </cell>
          <cell r="BL200">
            <v>0</v>
          </cell>
        </row>
        <row r="201">
          <cell r="A201">
            <v>48561.4375</v>
          </cell>
          <cell r="V201">
            <v>0</v>
          </cell>
          <cell r="X201">
            <v>48561.4375</v>
          </cell>
          <cell r="AS201">
            <v>0</v>
          </cell>
          <cell r="AU201">
            <v>48561.4375</v>
          </cell>
          <cell r="BL201">
            <v>0</v>
          </cell>
        </row>
        <row r="202">
          <cell r="A202">
            <v>48652.75</v>
          </cell>
          <cell r="V202">
            <v>0</v>
          </cell>
          <cell r="X202">
            <v>48652.75</v>
          </cell>
          <cell r="AS202">
            <v>0</v>
          </cell>
          <cell r="AU202">
            <v>48652.75</v>
          </cell>
          <cell r="BL202">
            <v>0</v>
          </cell>
        </row>
        <row r="203">
          <cell r="A203">
            <v>48744.0625</v>
          </cell>
          <cell r="V203">
            <v>0</v>
          </cell>
          <cell r="X203">
            <v>48744.0625</v>
          </cell>
          <cell r="AS203">
            <v>0</v>
          </cell>
          <cell r="AU203">
            <v>48744.0625</v>
          </cell>
          <cell r="BL203">
            <v>0</v>
          </cell>
        </row>
        <row r="204">
          <cell r="A204">
            <v>48835.375</v>
          </cell>
          <cell r="V204">
            <v>0</v>
          </cell>
          <cell r="X204">
            <v>48835.375</v>
          </cell>
          <cell r="AS204">
            <v>0</v>
          </cell>
          <cell r="AU204">
            <v>48835.375</v>
          </cell>
          <cell r="BL204">
            <v>0</v>
          </cell>
        </row>
        <row r="205">
          <cell r="A205">
            <v>48926.6875</v>
          </cell>
          <cell r="V205">
            <v>0</v>
          </cell>
          <cell r="X205">
            <v>48926.6875</v>
          </cell>
          <cell r="AS205">
            <v>0</v>
          </cell>
          <cell r="AU205">
            <v>48926.6875</v>
          </cell>
          <cell r="BL205">
            <v>0</v>
          </cell>
        </row>
        <row r="206">
          <cell r="A206">
            <v>49018</v>
          </cell>
          <cell r="V206">
            <v>0</v>
          </cell>
          <cell r="X206">
            <v>49018</v>
          </cell>
          <cell r="AS206">
            <v>0</v>
          </cell>
          <cell r="AU206">
            <v>49018</v>
          </cell>
          <cell r="BL206">
            <v>0</v>
          </cell>
        </row>
        <row r="207">
          <cell r="A207">
            <v>49109.3125</v>
          </cell>
          <cell r="V207">
            <v>0</v>
          </cell>
          <cell r="X207">
            <v>49109.3125</v>
          </cell>
          <cell r="AS207">
            <v>0</v>
          </cell>
          <cell r="AU207">
            <v>49109.3125</v>
          </cell>
          <cell r="BL207">
            <v>0</v>
          </cell>
        </row>
        <row r="208">
          <cell r="A208">
            <v>49200.625</v>
          </cell>
          <cell r="V208">
            <v>0</v>
          </cell>
          <cell r="X208">
            <v>49200.625</v>
          </cell>
          <cell r="AS208">
            <v>0</v>
          </cell>
          <cell r="AU208">
            <v>49200.625</v>
          </cell>
          <cell r="BL208">
            <v>0</v>
          </cell>
        </row>
        <row r="209">
          <cell r="A209">
            <v>49291.9375</v>
          </cell>
          <cell r="V209">
            <v>0</v>
          </cell>
          <cell r="X209">
            <v>49291.9375</v>
          </cell>
          <cell r="AS209">
            <v>0</v>
          </cell>
          <cell r="AU209">
            <v>49291.9375</v>
          </cell>
          <cell r="BL209">
            <v>0</v>
          </cell>
        </row>
        <row r="210">
          <cell r="A210">
            <v>49383.25</v>
          </cell>
          <cell r="V210">
            <v>0</v>
          </cell>
          <cell r="X210">
            <v>49383.25</v>
          </cell>
          <cell r="AS210">
            <v>0</v>
          </cell>
          <cell r="AU210">
            <v>49383.25</v>
          </cell>
          <cell r="BL210">
            <v>0</v>
          </cell>
        </row>
        <row r="211">
          <cell r="A211">
            <v>49474.5625</v>
          </cell>
          <cell r="V211">
            <v>0</v>
          </cell>
          <cell r="X211">
            <v>49474.5625</v>
          </cell>
          <cell r="AS211">
            <v>0</v>
          </cell>
          <cell r="AU211">
            <v>49474.5625</v>
          </cell>
          <cell r="BL211">
            <v>0</v>
          </cell>
        </row>
        <row r="212">
          <cell r="A212">
            <v>49565.875</v>
          </cell>
          <cell r="V212">
            <v>0</v>
          </cell>
          <cell r="X212">
            <v>49565.875</v>
          </cell>
          <cell r="AS212">
            <v>0</v>
          </cell>
          <cell r="AU212">
            <v>49565.875</v>
          </cell>
          <cell r="BL212">
            <v>0</v>
          </cell>
        </row>
        <row r="213">
          <cell r="A213">
            <v>49657.1875</v>
          </cell>
          <cell r="V213">
            <v>0</v>
          </cell>
          <cell r="X213">
            <v>49657.1875</v>
          </cell>
          <cell r="AS213">
            <v>0</v>
          </cell>
          <cell r="AU213">
            <v>49657.1875</v>
          </cell>
          <cell r="BL213">
            <v>0</v>
          </cell>
        </row>
        <row r="214">
          <cell r="A214">
            <v>49748.5</v>
          </cell>
          <cell r="V214">
            <v>0</v>
          </cell>
          <cell r="X214">
            <v>49748.5</v>
          </cell>
          <cell r="AS214">
            <v>0</v>
          </cell>
          <cell r="AU214">
            <v>49748.5</v>
          </cell>
          <cell r="BL214">
            <v>0</v>
          </cell>
        </row>
        <row r="215">
          <cell r="A215">
            <v>49839.8125</v>
          </cell>
          <cell r="V215">
            <v>0</v>
          </cell>
          <cell r="X215">
            <v>49839.8125</v>
          </cell>
          <cell r="AS215">
            <v>0</v>
          </cell>
          <cell r="AU215">
            <v>49839.8125</v>
          </cell>
          <cell r="BL215">
            <v>0</v>
          </cell>
        </row>
        <row r="216">
          <cell r="A216">
            <v>49931.125</v>
          </cell>
          <cell r="V216">
            <v>0</v>
          </cell>
          <cell r="X216">
            <v>49931.125</v>
          </cell>
          <cell r="AS216">
            <v>0</v>
          </cell>
          <cell r="AU216">
            <v>49931.125</v>
          </cell>
          <cell r="BL216">
            <v>0</v>
          </cell>
        </row>
        <row r="217">
          <cell r="A217">
            <v>50022.4375</v>
          </cell>
          <cell r="V217">
            <v>0</v>
          </cell>
          <cell r="X217">
            <v>50022.4375</v>
          </cell>
          <cell r="AS217">
            <v>0</v>
          </cell>
          <cell r="AU217">
            <v>50022.4375</v>
          </cell>
          <cell r="BL217">
            <v>0</v>
          </cell>
        </row>
        <row r="218">
          <cell r="A218">
            <v>50113.75</v>
          </cell>
          <cell r="V218">
            <v>0</v>
          </cell>
          <cell r="X218">
            <v>50113.75</v>
          </cell>
          <cell r="AS218">
            <v>0</v>
          </cell>
          <cell r="AU218">
            <v>50113.75</v>
          </cell>
          <cell r="BL218">
            <v>0</v>
          </cell>
        </row>
        <row r="219">
          <cell r="A219">
            <v>50205.0625</v>
          </cell>
          <cell r="V219">
            <v>0</v>
          </cell>
          <cell r="X219">
            <v>50205.0625</v>
          </cell>
          <cell r="AS219">
            <v>0</v>
          </cell>
          <cell r="AU219">
            <v>50205.0625</v>
          </cell>
          <cell r="BL219">
            <v>0</v>
          </cell>
        </row>
        <row r="220">
          <cell r="A220">
            <v>50296.375</v>
          </cell>
          <cell r="V220">
            <v>0</v>
          </cell>
          <cell r="X220">
            <v>50296.375</v>
          </cell>
          <cell r="AS220">
            <v>0</v>
          </cell>
          <cell r="AU220">
            <v>50296.375</v>
          </cell>
          <cell r="BL220">
            <v>0</v>
          </cell>
        </row>
        <row r="221">
          <cell r="A221">
            <v>50387.6875</v>
          </cell>
          <cell r="V221">
            <v>0</v>
          </cell>
          <cell r="X221">
            <v>50387.6875</v>
          </cell>
          <cell r="AS221">
            <v>0</v>
          </cell>
          <cell r="AU221">
            <v>50387.6875</v>
          </cell>
          <cell r="BL221">
            <v>0</v>
          </cell>
        </row>
        <row r="222">
          <cell r="A222">
            <v>50479</v>
          </cell>
          <cell r="V222">
            <v>0</v>
          </cell>
          <cell r="X222">
            <v>50479</v>
          </cell>
          <cell r="AS222">
            <v>0</v>
          </cell>
          <cell r="AU222">
            <v>50479</v>
          </cell>
          <cell r="BL222">
            <v>0</v>
          </cell>
        </row>
        <row r="223">
          <cell r="A223">
            <v>50570.3125</v>
          </cell>
          <cell r="V223">
            <v>0</v>
          </cell>
          <cell r="X223">
            <v>50570.3125</v>
          </cell>
          <cell r="AS223">
            <v>0</v>
          </cell>
          <cell r="AU223">
            <v>50570.3125</v>
          </cell>
          <cell r="BL223">
            <v>0</v>
          </cell>
        </row>
        <row r="224">
          <cell r="A224">
            <v>50661.625</v>
          </cell>
          <cell r="V224">
            <v>0</v>
          </cell>
          <cell r="X224">
            <v>50661.625</v>
          </cell>
          <cell r="AS224">
            <v>0</v>
          </cell>
          <cell r="AU224">
            <v>50661.625</v>
          </cell>
          <cell r="BL224">
            <v>0</v>
          </cell>
        </row>
        <row r="225">
          <cell r="A225">
            <v>50752.9375</v>
          </cell>
          <cell r="V225">
            <v>0</v>
          </cell>
          <cell r="X225">
            <v>50752.9375</v>
          </cell>
          <cell r="AS225">
            <v>0</v>
          </cell>
          <cell r="AU225">
            <v>50752.9375</v>
          </cell>
          <cell r="BL225">
            <v>0</v>
          </cell>
        </row>
        <row r="226">
          <cell r="A226">
            <v>50844.25</v>
          </cell>
          <cell r="V226">
            <v>0</v>
          </cell>
          <cell r="X226">
            <v>50844.25</v>
          </cell>
          <cell r="AS226">
            <v>0</v>
          </cell>
          <cell r="AU226">
            <v>50844.25</v>
          </cell>
          <cell r="BL226">
            <v>0</v>
          </cell>
        </row>
        <row r="227">
          <cell r="A227">
            <v>50935.5625</v>
          </cell>
          <cell r="V227">
            <v>0</v>
          </cell>
          <cell r="X227">
            <v>50935.5625</v>
          </cell>
          <cell r="AS227">
            <v>0</v>
          </cell>
          <cell r="AU227">
            <v>50935.5625</v>
          </cell>
          <cell r="BL227">
            <v>0</v>
          </cell>
        </row>
        <row r="228">
          <cell r="A228">
            <v>51026.875</v>
          </cell>
          <cell r="V228">
            <v>0</v>
          </cell>
          <cell r="X228">
            <v>51026.875</v>
          </cell>
          <cell r="AS228">
            <v>0</v>
          </cell>
          <cell r="AU228">
            <v>51026.875</v>
          </cell>
          <cell r="BL228">
            <v>0</v>
          </cell>
        </row>
        <row r="229">
          <cell r="A229">
            <v>51118.1875</v>
          </cell>
          <cell r="V229">
            <v>0</v>
          </cell>
          <cell r="X229">
            <v>51118.1875</v>
          </cell>
          <cell r="AS229">
            <v>0</v>
          </cell>
          <cell r="AU229">
            <v>51118.1875</v>
          </cell>
          <cell r="BL229">
            <v>0</v>
          </cell>
        </row>
        <row r="230">
          <cell r="A230">
            <v>51209.5</v>
          </cell>
          <cell r="V230">
            <v>0</v>
          </cell>
          <cell r="X230">
            <v>51209.5</v>
          </cell>
          <cell r="AS230">
            <v>0</v>
          </cell>
          <cell r="AU230">
            <v>51209.5</v>
          </cell>
          <cell r="BL230">
            <v>0</v>
          </cell>
        </row>
        <row r="231">
          <cell r="A231">
            <v>51300.8125</v>
          </cell>
          <cell r="V231">
            <v>0</v>
          </cell>
          <cell r="X231">
            <v>51300.8125</v>
          </cell>
          <cell r="AS231">
            <v>0</v>
          </cell>
          <cell r="AU231">
            <v>51300.8125</v>
          </cell>
          <cell r="BL231">
            <v>0</v>
          </cell>
        </row>
        <row r="232">
          <cell r="A232">
            <v>51392.125</v>
          </cell>
          <cell r="V232">
            <v>0</v>
          </cell>
          <cell r="X232">
            <v>51392.125</v>
          </cell>
          <cell r="AS232">
            <v>0</v>
          </cell>
          <cell r="AU232">
            <v>51392.125</v>
          </cell>
          <cell r="BL232">
            <v>0</v>
          </cell>
        </row>
        <row r="233">
          <cell r="A233">
            <v>51483.4375</v>
          </cell>
          <cell r="V233">
            <v>0</v>
          </cell>
          <cell r="X233">
            <v>51483.4375</v>
          </cell>
          <cell r="AS233">
            <v>0</v>
          </cell>
          <cell r="AU233">
            <v>51483.4375</v>
          </cell>
          <cell r="BL233">
            <v>0</v>
          </cell>
        </row>
        <row r="234">
          <cell r="A234">
            <v>51574.75</v>
          </cell>
          <cell r="V234">
            <v>0</v>
          </cell>
          <cell r="X234">
            <v>51574.75</v>
          </cell>
          <cell r="AS234">
            <v>0</v>
          </cell>
          <cell r="AU234">
            <v>51574.75</v>
          </cell>
          <cell r="BL234">
            <v>0</v>
          </cell>
        </row>
        <row r="235">
          <cell r="A235">
            <v>51666.0625</v>
          </cell>
          <cell r="V235">
            <v>0</v>
          </cell>
          <cell r="X235">
            <v>51666.0625</v>
          </cell>
          <cell r="AS235">
            <v>0</v>
          </cell>
          <cell r="AU235">
            <v>51666.0625</v>
          </cell>
          <cell r="BL235">
            <v>0</v>
          </cell>
        </row>
        <row r="236">
          <cell r="A236">
            <v>51757.375</v>
          </cell>
          <cell r="V236">
            <v>0</v>
          </cell>
          <cell r="X236">
            <v>51757.375</v>
          </cell>
          <cell r="AS236">
            <v>0</v>
          </cell>
          <cell r="AU236">
            <v>51757.375</v>
          </cell>
          <cell r="BL236">
            <v>0</v>
          </cell>
        </row>
        <row r="237">
          <cell r="A237">
            <v>51848.6875</v>
          </cell>
          <cell r="V237">
            <v>0</v>
          </cell>
          <cell r="X237">
            <v>51848.6875</v>
          </cell>
          <cell r="AS237">
            <v>0</v>
          </cell>
          <cell r="AU237">
            <v>51848.6875</v>
          </cell>
          <cell r="BL237">
            <v>0</v>
          </cell>
        </row>
        <row r="238">
          <cell r="A238">
            <v>51940</v>
          </cell>
          <cell r="V238">
            <v>0</v>
          </cell>
          <cell r="X238">
            <v>51940</v>
          </cell>
          <cell r="AS238">
            <v>0</v>
          </cell>
          <cell r="AU238">
            <v>51940</v>
          </cell>
          <cell r="BL238">
            <v>0</v>
          </cell>
        </row>
        <row r="239">
          <cell r="A239">
            <v>52031.3125</v>
          </cell>
          <cell r="V239">
            <v>0</v>
          </cell>
          <cell r="X239">
            <v>52031.3125</v>
          </cell>
          <cell r="AS239">
            <v>0</v>
          </cell>
          <cell r="AU239">
            <v>52031.3125</v>
          </cell>
          <cell r="BL239">
            <v>0</v>
          </cell>
        </row>
        <row r="240">
          <cell r="A240">
            <v>52122.625</v>
          </cell>
          <cell r="V240">
            <v>0</v>
          </cell>
          <cell r="X240">
            <v>52122.625</v>
          </cell>
          <cell r="AS240">
            <v>0</v>
          </cell>
          <cell r="AU240">
            <v>52122.625</v>
          </cell>
          <cell r="BL240">
            <v>0</v>
          </cell>
        </row>
        <row r="241">
          <cell r="A241">
            <v>52213.9375</v>
          </cell>
          <cell r="V241">
            <v>0</v>
          </cell>
          <cell r="X241">
            <v>52213.9375</v>
          </cell>
          <cell r="AS241">
            <v>0</v>
          </cell>
          <cell r="AU241">
            <v>52213.9375</v>
          </cell>
          <cell r="BL241">
            <v>0</v>
          </cell>
        </row>
        <row r="242">
          <cell r="A242">
            <v>52305.25</v>
          </cell>
          <cell r="V242">
            <v>0</v>
          </cell>
          <cell r="X242">
            <v>52305.25</v>
          </cell>
          <cell r="AS242">
            <v>0</v>
          </cell>
          <cell r="AU242">
            <v>52305.25</v>
          </cell>
          <cell r="BL242">
            <v>0</v>
          </cell>
        </row>
        <row r="243">
          <cell r="A243">
            <v>52396.5625</v>
          </cell>
          <cell r="V243">
            <v>0</v>
          </cell>
          <cell r="X243">
            <v>52396.5625</v>
          </cell>
          <cell r="AS243">
            <v>0</v>
          </cell>
          <cell r="AU243">
            <v>52396.5625</v>
          </cell>
          <cell r="BL243">
            <v>0</v>
          </cell>
        </row>
        <row r="244">
          <cell r="A244">
            <v>52487.875</v>
          </cell>
          <cell r="V244">
            <v>0</v>
          </cell>
          <cell r="X244">
            <v>52487.875</v>
          </cell>
          <cell r="AS244">
            <v>0</v>
          </cell>
          <cell r="AU244">
            <v>52487.875</v>
          </cell>
          <cell r="BL244">
            <v>0</v>
          </cell>
        </row>
        <row r="245">
          <cell r="A245">
            <v>52579.1875</v>
          </cell>
          <cell r="V245">
            <v>0</v>
          </cell>
          <cell r="X245">
            <v>52579.1875</v>
          </cell>
          <cell r="AS245">
            <v>0</v>
          </cell>
          <cell r="AU245">
            <v>52579.1875</v>
          </cell>
          <cell r="BL245">
            <v>0</v>
          </cell>
        </row>
        <row r="246">
          <cell r="A246">
            <v>52670.5</v>
          </cell>
          <cell r="V246">
            <v>0</v>
          </cell>
          <cell r="X246">
            <v>52670.5</v>
          </cell>
          <cell r="AS246">
            <v>0</v>
          </cell>
          <cell r="AU246">
            <v>52670.5</v>
          </cell>
          <cell r="BL246">
            <v>0</v>
          </cell>
        </row>
        <row r="247">
          <cell r="A247">
            <v>52761.8125</v>
          </cell>
          <cell r="V247">
            <v>0</v>
          </cell>
          <cell r="X247">
            <v>52761.8125</v>
          </cell>
          <cell r="AS247">
            <v>0</v>
          </cell>
          <cell r="AU247">
            <v>52761.8125</v>
          </cell>
          <cell r="BL247">
            <v>0</v>
          </cell>
        </row>
        <row r="248">
          <cell r="A248">
            <v>52853.125</v>
          </cell>
          <cell r="V248">
            <v>0</v>
          </cell>
          <cell r="X248">
            <v>52853.125</v>
          </cell>
          <cell r="AS248">
            <v>0</v>
          </cell>
          <cell r="AU248">
            <v>52853.125</v>
          </cell>
          <cell r="BL248">
            <v>0</v>
          </cell>
        </row>
        <row r="249">
          <cell r="A249">
            <v>52944.4375</v>
          </cell>
          <cell r="V249">
            <v>0</v>
          </cell>
          <cell r="X249">
            <v>52944.4375</v>
          </cell>
          <cell r="AS249">
            <v>0</v>
          </cell>
          <cell r="AU249">
            <v>52944.4375</v>
          </cell>
          <cell r="BL249">
            <v>0</v>
          </cell>
        </row>
        <row r="250">
          <cell r="A250">
            <v>53035.75</v>
          </cell>
          <cell r="V250">
            <v>0</v>
          </cell>
          <cell r="X250">
            <v>53035.75</v>
          </cell>
          <cell r="AS250">
            <v>0</v>
          </cell>
          <cell r="AU250">
            <v>53035.75</v>
          </cell>
          <cell r="BL250">
            <v>0</v>
          </cell>
        </row>
        <row r="251">
          <cell r="A251">
            <v>53127.0625</v>
          </cell>
          <cell r="V251">
            <v>0</v>
          </cell>
          <cell r="X251">
            <v>53127.0625</v>
          </cell>
          <cell r="AS251">
            <v>0</v>
          </cell>
          <cell r="AU251">
            <v>53127.0625</v>
          </cell>
          <cell r="BL251">
            <v>0</v>
          </cell>
        </row>
        <row r="252">
          <cell r="A252">
            <v>53218.375</v>
          </cell>
          <cell r="V252">
            <v>0</v>
          </cell>
          <cell r="X252">
            <v>53218.375</v>
          </cell>
          <cell r="AS252">
            <v>0</v>
          </cell>
          <cell r="AU252">
            <v>53218.375</v>
          </cell>
          <cell r="BL252">
            <v>0</v>
          </cell>
        </row>
        <row r="253">
          <cell r="A253">
            <v>53309.6875</v>
          </cell>
          <cell r="V253">
            <v>0</v>
          </cell>
          <cell r="X253">
            <v>53309.6875</v>
          </cell>
          <cell r="AS253">
            <v>0</v>
          </cell>
          <cell r="AU253">
            <v>53309.6875</v>
          </cell>
          <cell r="BL253">
            <v>0</v>
          </cell>
        </row>
        <row r="254">
          <cell r="A254">
            <v>53401</v>
          </cell>
          <cell r="V254">
            <v>0</v>
          </cell>
          <cell r="X254">
            <v>53401</v>
          </cell>
          <cell r="AS254">
            <v>0</v>
          </cell>
          <cell r="AU254">
            <v>53401</v>
          </cell>
          <cell r="BL254">
            <v>0</v>
          </cell>
        </row>
        <row r="255">
          <cell r="A255">
            <v>53492.3125</v>
          </cell>
          <cell r="V255">
            <v>0</v>
          </cell>
          <cell r="X255">
            <v>53492.3125</v>
          </cell>
          <cell r="AS255">
            <v>0</v>
          </cell>
          <cell r="AU255">
            <v>53492.3125</v>
          </cell>
          <cell r="BL255">
            <v>0</v>
          </cell>
        </row>
      </sheetData>
      <sheetData sheetId="10">
        <row r="281">
          <cell r="E281">
            <v>36599.5</v>
          </cell>
          <cell r="F281">
            <v>47648313.699999996</v>
          </cell>
          <cell r="G281">
            <v>38442491.331999995</v>
          </cell>
          <cell r="H281">
            <v>38442491.331999995</v>
          </cell>
          <cell r="I281">
            <v>36526261.093999997</v>
          </cell>
          <cell r="J281">
            <v>8104707.1239999998</v>
          </cell>
          <cell r="K281">
            <v>0</v>
          </cell>
          <cell r="L281">
            <v>620904.78899999999</v>
          </cell>
          <cell r="M281">
            <v>163127.13800000001</v>
          </cell>
          <cell r="N281">
            <v>20710462.252999999</v>
          </cell>
          <cell r="O281">
            <v>20710462.252999999</v>
          </cell>
          <cell r="P281">
            <v>0</v>
          </cell>
          <cell r="Q281">
            <v>0</v>
          </cell>
          <cell r="R281">
            <v>6541118.6710000001</v>
          </cell>
          <cell r="S281">
            <v>6541118.6710000001</v>
          </cell>
          <cell r="T281">
            <v>0</v>
          </cell>
          <cell r="U281">
            <v>0</v>
          </cell>
          <cell r="V281">
            <v>0</v>
          </cell>
          <cell r="W281">
            <v>385941.11900000006</v>
          </cell>
          <cell r="X281">
            <v>1916230.2380000006</v>
          </cell>
          <cell r="Y281">
            <v>1916230.2380000006</v>
          </cell>
          <cell r="Z281">
            <v>0</v>
          </cell>
          <cell r="AA281">
            <v>0</v>
          </cell>
          <cell r="AB281">
            <v>0</v>
          </cell>
          <cell r="AC281">
            <v>0</v>
          </cell>
          <cell r="AD281">
            <v>0</v>
          </cell>
          <cell r="AE281">
            <v>9205822.3680000007</v>
          </cell>
          <cell r="AF281">
            <v>0</v>
          </cell>
          <cell r="AG281">
            <v>9205822.3680000007</v>
          </cell>
          <cell r="AH281">
            <v>71872432.103</v>
          </cell>
          <cell r="AI281">
            <v>46591443.677000001</v>
          </cell>
          <cell r="AJ281">
            <v>44111964.254000001</v>
          </cell>
          <cell r="AK281">
            <v>0</v>
          </cell>
          <cell r="AL281">
            <v>0</v>
          </cell>
          <cell r="AM281">
            <v>42377192.745999999</v>
          </cell>
          <cell r="AN281">
            <v>0</v>
          </cell>
          <cell r="AO281">
            <v>22459115.807</v>
          </cell>
          <cell r="AP281">
            <v>0</v>
          </cell>
          <cell r="AQ281">
            <v>5673436.4199999999</v>
          </cell>
          <cell r="AR281">
            <v>0</v>
          </cell>
          <cell r="AS281">
            <v>2752378.588</v>
          </cell>
          <cell r="AT281">
            <v>2479479.423</v>
          </cell>
          <cell r="AU281">
            <v>272899.16499999998</v>
          </cell>
          <cell r="AV281">
            <v>11492261.931</v>
          </cell>
          <cell r="AW281">
            <v>0</v>
          </cell>
          <cell r="AX281">
            <v>0</v>
          </cell>
          <cell r="AY281">
            <v>3151146.057</v>
          </cell>
          <cell r="AZ281">
            <v>0</v>
          </cell>
          <cell r="BA281">
            <v>0</v>
          </cell>
          <cell r="BB281">
            <v>29617138.773000002</v>
          </cell>
          <cell r="BC281">
            <v>4609049.5120000001</v>
          </cell>
          <cell r="BD281">
            <v>0</v>
          </cell>
          <cell r="BE281">
            <v>0</v>
          </cell>
          <cell r="BF281">
            <v>0</v>
          </cell>
          <cell r="BG281">
            <v>0</v>
          </cell>
          <cell r="BH281">
            <v>25008089.261</v>
          </cell>
          <cell r="BI281">
            <v>9205822.3680000007</v>
          </cell>
          <cell r="BJ281">
            <v>15802266.892999999</v>
          </cell>
          <cell r="BK281">
            <v>-121899.41599999997</v>
          </cell>
          <cell r="BL281">
            <v>-175599.41599999997</v>
          </cell>
          <cell r="BM281">
            <v>53700</v>
          </cell>
          <cell r="BN281">
            <v>-24224118.403000005</v>
          </cell>
          <cell r="BO281">
            <v>-33429940.771000005</v>
          </cell>
          <cell r="BP281">
            <v>-30677562.183000006</v>
          </cell>
          <cell r="BQ281">
            <v>-8421851.5100000054</v>
          </cell>
          <cell r="BR281">
            <v>3911995.3371000066</v>
          </cell>
          <cell r="BS281">
            <v>2700938.8310000002</v>
          </cell>
          <cell r="BT281">
            <v>2700938.8310000002</v>
          </cell>
          <cell r="BU281">
            <v>1.7763568394002505E-12</v>
          </cell>
          <cell r="BV281">
            <v>-8324382.0099999998</v>
          </cell>
          <cell r="BW281">
            <v>0</v>
          </cell>
          <cell r="BX281">
            <v>9535438.5161000062</v>
          </cell>
          <cell r="BZ281">
            <v>-20312123.065899998</v>
          </cell>
          <cell r="CA281">
            <v>-29517945.433899999</v>
          </cell>
          <cell r="CB281">
            <v>20312122.80049479</v>
          </cell>
          <cell r="CC281">
            <v>11152522.6314948</v>
          </cell>
          <cell r="CD281">
            <v>15802266.892999999</v>
          </cell>
          <cell r="CE281">
            <v>15802266.892999999</v>
          </cell>
          <cell r="CF281">
            <v>0</v>
          </cell>
          <cell r="CG281">
            <v>0</v>
          </cell>
          <cell r="CH281">
            <v>-4713235.0350000001</v>
          </cell>
          <cell r="CI281">
            <v>63490.773494800029</v>
          </cell>
          <cell r="CJ281">
            <v>9159600.1689999923</v>
          </cell>
          <cell r="CK281">
            <v>11437460.355999991</v>
          </cell>
          <cell r="CL281">
            <v>12761799.999999993</v>
          </cell>
          <cell r="CM281">
            <v>-488100</v>
          </cell>
          <cell r="CN281">
            <v>0</v>
          </cell>
          <cell r="CO281">
            <v>-488100</v>
          </cell>
          <cell r="CP281">
            <v>13249899.999999993</v>
          </cell>
          <cell r="CQ281">
            <v>0</v>
          </cell>
          <cell r="CR281">
            <v>-69000</v>
          </cell>
          <cell r="CS281">
            <v>0</v>
          </cell>
          <cell r="CT281">
            <v>0</v>
          </cell>
          <cell r="CU281">
            <v>13318899.999999993</v>
          </cell>
          <cell r="CV281">
            <v>0</v>
          </cell>
          <cell r="CW281">
            <v>0</v>
          </cell>
          <cell r="CX281">
            <v>-964535.73499999987</v>
          </cell>
          <cell r="CY281">
            <v>-964535.73499999987</v>
          </cell>
          <cell r="CZ281">
            <v>0</v>
          </cell>
          <cell r="DA281">
            <v>0</v>
          </cell>
          <cell r="DB281">
            <v>0</v>
          </cell>
          <cell r="DC281">
            <v>0</v>
          </cell>
          <cell r="DD281">
            <v>0</v>
          </cell>
          <cell r="DE281">
            <v>-359803.90900000202</v>
          </cell>
          <cell r="DF281">
            <v>-359803.90900000202</v>
          </cell>
          <cell r="DG281">
            <v>0</v>
          </cell>
          <cell r="DH281">
            <v>0</v>
          </cell>
          <cell r="DI281">
            <v>-2277860.1869999999</v>
          </cell>
          <cell r="DJ281">
            <v>0</v>
          </cell>
          <cell r="DK281">
            <v>0</v>
          </cell>
          <cell r="DL281">
            <v>0</v>
          </cell>
          <cell r="DM281">
            <v>0</v>
          </cell>
          <cell r="DN281">
            <v>0</v>
          </cell>
          <cell r="DO281">
            <v>0</v>
          </cell>
          <cell r="DP281">
            <v>-2278172.8560000001</v>
          </cell>
          <cell r="DQ281">
            <v>-246599.20500000002</v>
          </cell>
          <cell r="DR281">
            <v>312.66899999999998</v>
          </cell>
          <cell r="DS281">
            <v>0</v>
          </cell>
          <cell r="DT281">
            <v>0.26540520787239075</v>
          </cell>
          <cell r="DU281">
            <v>0</v>
          </cell>
          <cell r="DV281">
            <v>0</v>
          </cell>
          <cell r="DW281">
            <v>2752378.588</v>
          </cell>
          <cell r="DX281">
            <v>0</v>
          </cell>
          <cell r="DY281">
            <v>0</v>
          </cell>
          <cell r="DZ281">
            <v>2479479.423</v>
          </cell>
          <cell r="EA281">
            <v>4986134.2</v>
          </cell>
          <cell r="EB281">
            <v>4713235.0350000001</v>
          </cell>
          <cell r="EC281">
            <v>272899.16499999998</v>
          </cell>
          <cell r="EF281">
            <v>1</v>
          </cell>
        </row>
        <row r="282">
          <cell r="E282">
            <v>36690.8125</v>
          </cell>
          <cell r="F282">
            <v>119359759.86200002</v>
          </cell>
          <cell r="G282">
            <v>100675287.46000001</v>
          </cell>
          <cell r="H282">
            <v>100675287.46000001</v>
          </cell>
          <cell r="I282">
            <v>94743914.330000013</v>
          </cell>
          <cell r="J282">
            <v>29661870.035000004</v>
          </cell>
          <cell r="K282">
            <v>0</v>
          </cell>
          <cell r="L282">
            <v>1478995.128</v>
          </cell>
          <cell r="M282">
            <v>367328.54500000004</v>
          </cell>
          <cell r="N282">
            <v>45349276.106000006</v>
          </cell>
          <cell r="O282">
            <v>45349276.106000006</v>
          </cell>
          <cell r="P282">
            <v>0</v>
          </cell>
          <cell r="Q282">
            <v>0</v>
          </cell>
          <cell r="R282">
            <v>16900393.759</v>
          </cell>
          <cell r="S282">
            <v>16900393.759</v>
          </cell>
          <cell r="T282">
            <v>0</v>
          </cell>
          <cell r="U282">
            <v>0</v>
          </cell>
          <cell r="V282">
            <v>0</v>
          </cell>
          <cell r="W282">
            <v>986050.75700000057</v>
          </cell>
          <cell r="X282">
            <v>5931373.1300000008</v>
          </cell>
          <cell r="Y282">
            <v>5931373.1300000008</v>
          </cell>
          <cell r="Z282">
            <v>0</v>
          </cell>
          <cell r="AA282">
            <v>0</v>
          </cell>
          <cell r="AB282">
            <v>0</v>
          </cell>
          <cell r="AC282">
            <v>0</v>
          </cell>
          <cell r="AD282">
            <v>2.3283064365386963E-10</v>
          </cell>
          <cell r="AE282">
            <v>18684472.402000003</v>
          </cell>
          <cell r="AF282">
            <v>0</v>
          </cell>
          <cell r="AG282">
            <v>18684472.402000003</v>
          </cell>
          <cell r="AH282">
            <v>165066002.89999998</v>
          </cell>
          <cell r="AI282">
            <v>115183424.38399999</v>
          </cell>
          <cell r="AJ282">
            <v>109780098.88799998</v>
          </cell>
          <cell r="AK282">
            <v>0</v>
          </cell>
          <cell r="AL282">
            <v>0</v>
          </cell>
          <cell r="AM282">
            <v>96723789.039999992</v>
          </cell>
          <cell r="AN282">
            <v>0</v>
          </cell>
          <cell r="AO282">
            <v>43962976.556000002</v>
          </cell>
          <cell r="AP282">
            <v>0</v>
          </cell>
          <cell r="AQ282">
            <v>21145375.552999996</v>
          </cell>
          <cell r="AR282">
            <v>0</v>
          </cell>
          <cell r="AS282">
            <v>6126714.8059999999</v>
          </cell>
          <cell r="AT282">
            <v>5403325.4959999993</v>
          </cell>
          <cell r="AU282">
            <v>723389.31</v>
          </cell>
          <cell r="AV282">
            <v>25488722.125</v>
          </cell>
          <cell r="AW282">
            <v>0</v>
          </cell>
          <cell r="AX282">
            <v>500000</v>
          </cell>
          <cell r="AY282">
            <v>4600715.4450000003</v>
          </cell>
          <cell r="AZ282">
            <v>0</v>
          </cell>
          <cell r="BA282">
            <v>0</v>
          </cell>
          <cell r="BB282">
            <v>63694001.851999998</v>
          </cell>
          <cell r="BC282">
            <v>12580527.08</v>
          </cell>
          <cell r="BD282">
            <v>0</v>
          </cell>
          <cell r="BE282">
            <v>0</v>
          </cell>
          <cell r="BF282">
            <v>1954285.5660000001</v>
          </cell>
          <cell r="BG282">
            <v>0</v>
          </cell>
          <cell r="BH282">
            <v>49159189.206</v>
          </cell>
          <cell r="BI282">
            <v>18684472.402000003</v>
          </cell>
          <cell r="BJ282">
            <v>30474716.803999998</v>
          </cell>
          <cell r="BK282">
            <v>4648212.0079999994</v>
          </cell>
          <cell r="BL282">
            <v>4663148.9809999997</v>
          </cell>
          <cell r="BM282">
            <v>-14936.972999999998</v>
          </cell>
          <cell r="BN282">
            <v>-45706243.037999958</v>
          </cell>
          <cell r="BO282">
            <v>-64390715.43999996</v>
          </cell>
          <cell r="BP282">
            <v>-58264000.633999974</v>
          </cell>
          <cell r="BQ282">
            <v>-15231526.233999968</v>
          </cell>
          <cell r="BR282">
            <v>1130368.9531000052</v>
          </cell>
          <cell r="BS282">
            <v>1620810.5230000005</v>
          </cell>
          <cell r="BT282">
            <v>1620810.5230000005</v>
          </cell>
          <cell r="BU282">
            <v>-8.659739592076221E-11</v>
          </cell>
          <cell r="BV282">
            <v>-9438102.7190000005</v>
          </cell>
          <cell r="BW282">
            <v>0</v>
          </cell>
          <cell r="BX282">
            <v>8947661.1491000056</v>
          </cell>
          <cell r="BZ282">
            <v>-44575874.084899954</v>
          </cell>
          <cell r="CA282">
            <v>-63260346.486899957</v>
          </cell>
          <cell r="CB282">
            <v>44575873.899999991</v>
          </cell>
          <cell r="CC282">
            <v>18656336.745999996</v>
          </cell>
          <cell r="CD282">
            <v>30474716.803999998</v>
          </cell>
          <cell r="CE282">
            <v>30474716.803999998</v>
          </cell>
          <cell r="CF282">
            <v>0</v>
          </cell>
          <cell r="CG282">
            <v>0</v>
          </cell>
          <cell r="CH282">
            <v>-11932121.556000002</v>
          </cell>
          <cell r="CI282">
            <v>113741.49800000028</v>
          </cell>
          <cell r="CJ282">
            <v>25919537.153999992</v>
          </cell>
          <cell r="CK282">
            <v>15863362.995999994</v>
          </cell>
          <cell r="CL282">
            <v>20615199.999999993</v>
          </cell>
          <cell r="CM282">
            <v>-2550500</v>
          </cell>
          <cell r="CN282">
            <v>0</v>
          </cell>
          <cell r="CO282">
            <v>-2550500</v>
          </cell>
          <cell r="CP282">
            <v>23165699.999999993</v>
          </cell>
          <cell r="CQ282">
            <v>0</v>
          </cell>
          <cell r="CR282">
            <v>219000</v>
          </cell>
          <cell r="CS282">
            <v>109700</v>
          </cell>
          <cell r="CT282">
            <v>0</v>
          </cell>
          <cell r="CU282">
            <v>22836999.999999993</v>
          </cell>
          <cell r="CV282">
            <v>0</v>
          </cell>
          <cell r="CW282">
            <v>0</v>
          </cell>
          <cell r="CX282">
            <v>-2782917.6239999998</v>
          </cell>
          <cell r="CY282">
            <v>-1929071.47</v>
          </cell>
          <cell r="CZ282">
            <v>-853846.1540000001</v>
          </cell>
          <cell r="DA282">
            <v>-400000</v>
          </cell>
          <cell r="DB282">
            <v>-453846.15400000004</v>
          </cell>
          <cell r="DC282">
            <v>0</v>
          </cell>
          <cell r="DD282">
            <v>0</v>
          </cell>
          <cell r="DE282">
            <v>-1968919.3800000011</v>
          </cell>
          <cell r="DF282">
            <v>-29225.737000000663</v>
          </cell>
          <cell r="DG282">
            <v>-1891000</v>
          </cell>
          <cell r="DH282">
            <v>-48693.643000000498</v>
          </cell>
          <cell r="DI282">
            <v>10056174.158</v>
          </cell>
          <cell r="DJ282">
            <v>0</v>
          </cell>
          <cell r="DK282">
            <v>0</v>
          </cell>
          <cell r="DL282">
            <v>0</v>
          </cell>
          <cell r="DM282">
            <v>0</v>
          </cell>
          <cell r="DN282">
            <v>0</v>
          </cell>
          <cell r="DO282">
            <v>0</v>
          </cell>
          <cell r="DP282">
            <v>-2821704.301</v>
          </cell>
          <cell r="DQ282">
            <v>-493198.41</v>
          </cell>
          <cell r="DR282">
            <v>12877878.458999999</v>
          </cell>
          <cell r="DS282">
            <v>0</v>
          </cell>
          <cell r="DT282">
            <v>0.18489996343851089</v>
          </cell>
          <cell r="DU282">
            <v>0</v>
          </cell>
          <cell r="DV282">
            <v>0</v>
          </cell>
          <cell r="DW282">
            <v>6126714.8059999999</v>
          </cell>
          <cell r="DX282">
            <v>0</v>
          </cell>
          <cell r="DY282">
            <v>0</v>
          </cell>
          <cell r="DZ282">
            <v>5403325.4959999993</v>
          </cell>
          <cell r="EA282">
            <v>12655510.866000002</v>
          </cell>
          <cell r="EB282">
            <v>11932121.556000002</v>
          </cell>
          <cell r="EC282">
            <v>723389.31</v>
          </cell>
          <cell r="EF282">
            <v>2</v>
          </cell>
        </row>
        <row r="283">
          <cell r="E283">
            <v>36782.125</v>
          </cell>
          <cell r="F283">
            <v>194225926.15799999</v>
          </cell>
          <cell r="G283">
            <v>163075375.57999998</v>
          </cell>
          <cell r="H283">
            <v>163075375.57999998</v>
          </cell>
          <cell r="I283">
            <v>152018325.961</v>
          </cell>
          <cell r="J283">
            <v>46810666.760000005</v>
          </cell>
          <cell r="K283">
            <v>0</v>
          </cell>
          <cell r="L283">
            <v>2079577.939</v>
          </cell>
          <cell r="M283">
            <v>581828.48900000006</v>
          </cell>
          <cell r="N283">
            <v>72115494.199000001</v>
          </cell>
          <cell r="O283">
            <v>72115494.199000001</v>
          </cell>
          <cell r="P283">
            <v>0</v>
          </cell>
          <cell r="Q283">
            <v>0</v>
          </cell>
          <cell r="R283">
            <v>28915734.719999999</v>
          </cell>
          <cell r="S283">
            <v>28915734.719999999</v>
          </cell>
          <cell r="T283">
            <v>0</v>
          </cell>
          <cell r="U283">
            <v>0</v>
          </cell>
          <cell r="V283">
            <v>0</v>
          </cell>
          <cell r="W283">
            <v>1515023.8540000007</v>
          </cell>
          <cell r="X283">
            <v>11057049.619000001</v>
          </cell>
          <cell r="Y283">
            <v>11057049.619000001</v>
          </cell>
          <cell r="Z283">
            <v>0</v>
          </cell>
          <cell r="AA283">
            <v>0</v>
          </cell>
          <cell r="AB283">
            <v>0</v>
          </cell>
          <cell r="AC283">
            <v>0</v>
          </cell>
          <cell r="AD283">
            <v>1.4551915228366852E-10</v>
          </cell>
          <cell r="AE283">
            <v>31150550.578000002</v>
          </cell>
          <cell r="AF283">
            <v>3870000</v>
          </cell>
          <cell r="AG283">
            <v>27280550.578000002</v>
          </cell>
          <cell r="AH283">
            <v>262029750.86000001</v>
          </cell>
          <cell r="AI283">
            <v>191761722.39300001</v>
          </cell>
          <cell r="AJ283">
            <v>182855345.89900002</v>
          </cell>
          <cell r="AK283">
            <v>0</v>
          </cell>
          <cell r="AL283">
            <v>0</v>
          </cell>
          <cell r="AM283">
            <v>151592236.252</v>
          </cell>
          <cell r="AN283">
            <v>0</v>
          </cell>
          <cell r="AO283">
            <v>70864699.680000007</v>
          </cell>
          <cell r="AP283">
            <v>0</v>
          </cell>
          <cell r="AQ283">
            <v>32898733.792999998</v>
          </cell>
          <cell r="AR283">
            <v>0</v>
          </cell>
          <cell r="AS283">
            <v>9901907.2169999983</v>
          </cell>
          <cell r="AT283">
            <v>8906376.493999999</v>
          </cell>
          <cell r="AU283">
            <v>995530.723</v>
          </cell>
          <cell r="AV283">
            <v>37926895.562000006</v>
          </cell>
          <cell r="AW283">
            <v>0</v>
          </cell>
          <cell r="AX283">
            <v>500000</v>
          </cell>
          <cell r="AY283">
            <v>8079473.4469999997</v>
          </cell>
          <cell r="AZ283">
            <v>0</v>
          </cell>
          <cell r="BA283">
            <v>0</v>
          </cell>
          <cell r="BB283">
            <v>105889440.461</v>
          </cell>
          <cell r="BC283">
            <v>34080157.151000001</v>
          </cell>
          <cell r="BD283">
            <v>0</v>
          </cell>
          <cell r="BE283">
            <v>0</v>
          </cell>
          <cell r="BF283">
            <v>2536785.5660000001</v>
          </cell>
          <cell r="BG283">
            <v>0</v>
          </cell>
          <cell r="BH283">
            <v>69272497.743999988</v>
          </cell>
          <cell r="BI283">
            <v>27280550.578000002</v>
          </cell>
          <cell r="BJ283">
            <v>41991947.165999994</v>
          </cell>
          <cell r="BK283">
            <v>4548074.1469999999</v>
          </cell>
          <cell r="BL283">
            <v>4616669.5649999995</v>
          </cell>
          <cell r="BM283">
            <v>-68595.418000000005</v>
          </cell>
          <cell r="BN283">
            <v>-67803824.702000022</v>
          </cell>
          <cell r="BO283">
            <v>-98954375.280000031</v>
          </cell>
          <cell r="BP283">
            <v>-89052468.063000023</v>
          </cell>
          <cell r="BQ283">
            <v>-29681877.536000043</v>
          </cell>
          <cell r="BR283">
            <v>10734233.431100009</v>
          </cell>
          <cell r="BS283">
            <v>1134886.0730000003</v>
          </cell>
          <cell r="BT283">
            <v>1134886.0730000003</v>
          </cell>
          <cell r="BU283">
            <v>-3.1974423109204508E-11</v>
          </cell>
          <cell r="BV283">
            <v>-8264879.0639999993</v>
          </cell>
          <cell r="BW283">
            <v>0</v>
          </cell>
          <cell r="BX283">
            <v>17864226.422100008</v>
          </cell>
          <cell r="BZ283">
            <v>-57069591.270900011</v>
          </cell>
          <cell r="CA283">
            <v>-88220141.84890002</v>
          </cell>
          <cell r="CB283">
            <v>57069591.565499976</v>
          </cell>
          <cell r="CC283">
            <v>25051596.202499989</v>
          </cell>
          <cell r="CD283">
            <v>41991947.165999994</v>
          </cell>
          <cell r="CE283">
            <v>41991947.165999994</v>
          </cell>
          <cell r="CF283">
            <v>0</v>
          </cell>
          <cell r="CG283">
            <v>0</v>
          </cell>
          <cell r="CH283">
            <v>-17102558.895000003</v>
          </cell>
          <cell r="CI283">
            <v>162207.93149999972</v>
          </cell>
          <cell r="CJ283">
            <v>32017995.362999987</v>
          </cell>
          <cell r="CK283">
            <v>21949722.155999988</v>
          </cell>
          <cell r="CL283">
            <v>29194099.999999993</v>
          </cell>
          <cell r="CM283">
            <v>1430700</v>
          </cell>
          <cell r="CN283">
            <v>5179000</v>
          </cell>
          <cell r="CO283">
            <v>-3748300</v>
          </cell>
          <cell r="CP283">
            <v>27763399.999999993</v>
          </cell>
          <cell r="CQ283">
            <v>0</v>
          </cell>
          <cell r="CR283">
            <v>1375000</v>
          </cell>
          <cell r="CS283">
            <v>109700</v>
          </cell>
          <cell r="CT283">
            <v>0</v>
          </cell>
          <cell r="CU283">
            <v>26278699.999999993</v>
          </cell>
          <cell r="CV283">
            <v>0</v>
          </cell>
          <cell r="CW283">
            <v>0</v>
          </cell>
          <cell r="CX283">
            <v>-3999286.3719999995</v>
          </cell>
          <cell r="CY283">
            <v>-3145440.2179999994</v>
          </cell>
          <cell r="CZ283">
            <v>-853846.1540000001</v>
          </cell>
          <cell r="DA283">
            <v>-400000</v>
          </cell>
          <cell r="DB283">
            <v>-453846.15400000004</v>
          </cell>
          <cell r="DC283">
            <v>0</v>
          </cell>
          <cell r="DD283">
            <v>0</v>
          </cell>
          <cell r="DE283">
            <v>-3245091.4720000019</v>
          </cell>
          <cell r="DF283">
            <v>-70450.730000000796</v>
          </cell>
          <cell r="DG283">
            <v>-3074000</v>
          </cell>
          <cell r="DH283">
            <v>-100640.742000001</v>
          </cell>
          <cell r="DI283">
            <v>10068273.206999999</v>
          </cell>
          <cell r="DJ283">
            <v>0</v>
          </cell>
          <cell r="DK283">
            <v>0</v>
          </cell>
          <cell r="DL283">
            <v>0</v>
          </cell>
          <cell r="DM283">
            <v>0</v>
          </cell>
          <cell r="DN283">
            <v>0</v>
          </cell>
          <cell r="DO283">
            <v>0</v>
          </cell>
          <cell r="DP283">
            <v>-3894477.1579999998</v>
          </cell>
          <cell r="DQ283">
            <v>-739797.61499999999</v>
          </cell>
          <cell r="DR283">
            <v>13962750.364999998</v>
          </cell>
          <cell r="DS283">
            <v>0</v>
          </cell>
          <cell r="DT283">
            <v>-0.29459996521472931</v>
          </cell>
          <cell r="DU283">
            <v>0</v>
          </cell>
          <cell r="DV283">
            <v>0</v>
          </cell>
          <cell r="DW283">
            <v>9901907.2169999983</v>
          </cell>
          <cell r="DX283">
            <v>0</v>
          </cell>
          <cell r="DY283">
            <v>0</v>
          </cell>
          <cell r="DZ283">
            <v>8906376.493999999</v>
          </cell>
          <cell r="EA283">
            <v>18098089.618000004</v>
          </cell>
          <cell r="EB283">
            <v>17102558.895000003</v>
          </cell>
          <cell r="EC283">
            <v>995530.723</v>
          </cell>
          <cell r="EF283">
            <v>3</v>
          </cell>
        </row>
        <row r="284">
          <cell r="E284">
            <v>36873.4375</v>
          </cell>
          <cell r="F284">
            <v>363064427.61600006</v>
          </cell>
          <cell r="G284">
            <v>219348283.33000004</v>
          </cell>
          <cell r="H284">
            <v>219344923.18000004</v>
          </cell>
          <cell r="I284">
            <v>202936397.60900003</v>
          </cell>
          <cell r="J284">
            <v>61420968.639000013</v>
          </cell>
          <cell r="K284">
            <v>0</v>
          </cell>
          <cell r="L284">
            <v>2727020.0819999999</v>
          </cell>
          <cell r="M284">
            <v>884470.13300000003</v>
          </cell>
          <cell r="N284">
            <v>97658893.333000004</v>
          </cell>
          <cell r="O284">
            <v>97658893.333000004</v>
          </cell>
          <cell r="P284">
            <v>0</v>
          </cell>
          <cell r="Q284">
            <v>0</v>
          </cell>
          <cell r="R284">
            <v>38166500.800999999</v>
          </cell>
          <cell r="S284">
            <v>38166500.800999999</v>
          </cell>
          <cell r="T284">
            <v>0</v>
          </cell>
          <cell r="U284">
            <v>0</v>
          </cell>
          <cell r="V284">
            <v>0</v>
          </cell>
          <cell r="W284">
            <v>2078544.6210000007</v>
          </cell>
          <cell r="X284">
            <v>16408525.571</v>
          </cell>
          <cell r="Y284">
            <v>16408525.571</v>
          </cell>
          <cell r="Z284">
            <v>0</v>
          </cell>
          <cell r="AA284">
            <v>0</v>
          </cell>
          <cell r="AB284">
            <v>0</v>
          </cell>
          <cell r="AC284">
            <v>0</v>
          </cell>
          <cell r="AD284">
            <v>3360.1500000001688</v>
          </cell>
          <cell r="AE284">
            <v>143716144.28600001</v>
          </cell>
          <cell r="AF284">
            <v>22908000</v>
          </cell>
          <cell r="AG284">
            <v>120808144.28600001</v>
          </cell>
          <cell r="AH284">
            <v>424307964.80300003</v>
          </cell>
          <cell r="AI284">
            <v>241401618.06400004</v>
          </cell>
          <cell r="AJ284">
            <v>228305226.85200003</v>
          </cell>
          <cell r="AK284">
            <v>53157958.252999999</v>
          </cell>
          <cell r="AL284">
            <v>26061339</v>
          </cell>
          <cell r="AM284">
            <v>191589181.884</v>
          </cell>
          <cell r="AN284">
            <v>0</v>
          </cell>
          <cell r="AO284">
            <v>88696467.040999994</v>
          </cell>
          <cell r="AP284">
            <v>0</v>
          </cell>
          <cell r="AQ284">
            <v>39968324.664999992</v>
          </cell>
          <cell r="AR284">
            <v>0</v>
          </cell>
          <cell r="AS284">
            <v>16618927.586999999</v>
          </cell>
          <cell r="AT284">
            <v>13096391.211999999</v>
          </cell>
          <cell r="AU284">
            <v>3522536.375</v>
          </cell>
          <cell r="AV284">
            <v>46305462.591000006</v>
          </cell>
          <cell r="AW284">
            <v>0</v>
          </cell>
          <cell r="AX284">
            <v>500000</v>
          </cell>
          <cell r="AY284">
            <v>8994393.375</v>
          </cell>
          <cell r="AZ284">
            <v>0</v>
          </cell>
          <cell r="BA284">
            <v>0</v>
          </cell>
          <cell r="BB284">
            <v>229582421.79500002</v>
          </cell>
          <cell r="BC284">
            <v>47481825.865000002</v>
          </cell>
          <cell r="BD284">
            <v>0</v>
          </cell>
          <cell r="BE284">
            <v>0</v>
          </cell>
          <cell r="BF284">
            <v>2716785.5660000001</v>
          </cell>
          <cell r="BG284">
            <v>0</v>
          </cell>
          <cell r="BH284">
            <v>179383810.36400002</v>
          </cell>
          <cell r="BI284">
            <v>120808144.28600001</v>
          </cell>
          <cell r="BJ284">
            <v>58575666.077999994</v>
          </cell>
          <cell r="BK284">
            <v>3136361.1239999998</v>
          </cell>
          <cell r="BL284">
            <v>3056073.6459999997</v>
          </cell>
          <cell r="BM284">
            <v>80287.478000000003</v>
          </cell>
          <cell r="BN284">
            <v>-61243537.186999977</v>
          </cell>
          <cell r="BO284">
            <v>-204959681.47299999</v>
          </cell>
          <cell r="BP284">
            <v>-188340753.88599998</v>
          </cell>
          <cell r="BQ284">
            <v>-25575871.108999968</v>
          </cell>
          <cell r="BR284">
            <v>458078.59710001014</v>
          </cell>
          <cell r="BS284">
            <v>1771661.2570000009</v>
          </cell>
          <cell r="BT284">
            <v>1771661.2570000009</v>
          </cell>
          <cell r="BU284">
            <v>-1.4210854715202004E-11</v>
          </cell>
          <cell r="BV284">
            <v>-10090235.147</v>
          </cell>
          <cell r="BW284">
            <v>0</v>
          </cell>
          <cell r="BX284">
            <v>8776652.4871000089</v>
          </cell>
          <cell r="BZ284">
            <v>-60785458.589899965</v>
          </cell>
          <cell r="CA284">
            <v>-204501602.87589997</v>
          </cell>
          <cell r="CB284">
            <v>60785458.152999975</v>
          </cell>
          <cell r="CC284">
            <v>33728144.346999988</v>
          </cell>
          <cell r="CD284">
            <v>58575666.077999994</v>
          </cell>
          <cell r="CE284">
            <v>58575666.077999994</v>
          </cell>
          <cell r="CF284">
            <v>0</v>
          </cell>
          <cell r="CG284">
            <v>0</v>
          </cell>
          <cell r="CH284">
            <v>-25183711.808000006</v>
          </cell>
          <cell r="CI284">
            <v>336190.0770000004</v>
          </cell>
          <cell r="CJ284">
            <v>27057313.805999987</v>
          </cell>
          <cell r="CK284">
            <v>16858265.35899999</v>
          </cell>
          <cell r="CL284">
            <v>23162399.999999993</v>
          </cell>
          <cell r="CM284">
            <v>-603800</v>
          </cell>
          <cell r="CN284">
            <v>5179000</v>
          </cell>
          <cell r="CO284">
            <v>-5782800</v>
          </cell>
          <cell r="CP284">
            <v>23766199.999999993</v>
          </cell>
          <cell r="CQ284">
            <v>0</v>
          </cell>
          <cell r="CR284">
            <v>1313000</v>
          </cell>
          <cell r="CS284">
            <v>109700</v>
          </cell>
          <cell r="CT284">
            <v>0</v>
          </cell>
          <cell r="CU284">
            <v>22343499.999999993</v>
          </cell>
          <cell r="CV284">
            <v>0</v>
          </cell>
          <cell r="CW284">
            <v>0</v>
          </cell>
          <cell r="CX284">
            <v>-5767730.9380000001</v>
          </cell>
          <cell r="CY284">
            <v>-4110038.63</v>
          </cell>
          <cell r="CZ284">
            <v>-1657692.3080000002</v>
          </cell>
          <cell r="DA284">
            <v>-750000</v>
          </cell>
          <cell r="DB284">
            <v>-907692.30800000008</v>
          </cell>
          <cell r="DC284">
            <v>0</v>
          </cell>
          <cell r="DD284">
            <v>0</v>
          </cell>
          <cell r="DE284">
            <v>-536403.70300000068</v>
          </cell>
          <cell r="DF284">
            <v>-6368718.4800000004</v>
          </cell>
          <cell r="DG284">
            <v>10705000</v>
          </cell>
          <cell r="DH284">
            <v>-4872685.2230000002</v>
          </cell>
          <cell r="DI284">
            <v>10199048.446999999</v>
          </cell>
          <cell r="DJ284">
            <v>0</v>
          </cell>
          <cell r="DK284">
            <v>0</v>
          </cell>
          <cell r="DL284">
            <v>0</v>
          </cell>
          <cell r="DM284">
            <v>0</v>
          </cell>
          <cell r="DN284">
            <v>0</v>
          </cell>
          <cell r="DO284">
            <v>0</v>
          </cell>
          <cell r="DP284">
            <v>-4441701.9179999996</v>
          </cell>
          <cell r="DQ284">
            <v>-986396.82</v>
          </cell>
          <cell r="DR284">
            <v>14640750.364999998</v>
          </cell>
          <cell r="DS284">
            <v>0</v>
          </cell>
          <cell r="DT284">
            <v>0.43689998984336853</v>
          </cell>
          <cell r="DU284">
            <v>58781269.071000002</v>
          </cell>
          <cell r="DV284">
            <v>42162341.484000005</v>
          </cell>
          <cell r="DW284">
            <v>16618927.586999999</v>
          </cell>
          <cell r="DX284">
            <v>30075020.887999997</v>
          </cell>
          <cell r="DY284">
            <v>16978629.675999999</v>
          </cell>
          <cell r="DZ284">
            <v>13096391.211999999</v>
          </cell>
          <cell r="EA284">
            <v>28706248.183000006</v>
          </cell>
          <cell r="EB284">
            <v>25183711.808000006</v>
          </cell>
          <cell r="EC284">
            <v>3522536.375</v>
          </cell>
          <cell r="EF284">
            <v>4</v>
          </cell>
        </row>
        <row r="285">
          <cell r="E285">
            <v>36964.75</v>
          </cell>
          <cell r="F285">
            <v>52572525.788000003</v>
          </cell>
          <cell r="G285">
            <v>46043026.127999999</v>
          </cell>
          <cell r="H285">
            <v>46043026.127999999</v>
          </cell>
          <cell r="I285">
            <v>43822141.873999998</v>
          </cell>
          <cell r="J285">
            <v>9969889.2529999986</v>
          </cell>
          <cell r="K285">
            <v>3479001.0189999999</v>
          </cell>
          <cell r="L285">
            <v>716893.804</v>
          </cell>
          <cell r="M285">
            <v>204545.37699999998</v>
          </cell>
          <cell r="N285">
            <v>23687806.679000001</v>
          </cell>
          <cell r="O285">
            <v>18501641.085999999</v>
          </cell>
          <cell r="P285">
            <v>1358986.7519999999</v>
          </cell>
          <cell r="Q285">
            <v>3827178.8410000009</v>
          </cell>
          <cell r="R285">
            <v>8735360.0460000001</v>
          </cell>
          <cell r="S285">
            <v>6513104.7829999998</v>
          </cell>
          <cell r="T285">
            <v>759173.478</v>
          </cell>
          <cell r="U285">
            <v>1463081.7849999999</v>
          </cell>
          <cell r="V285">
            <v>0</v>
          </cell>
          <cell r="W285">
            <v>507646.71500000003</v>
          </cell>
          <cell r="X285">
            <v>2220884.2540000002</v>
          </cell>
          <cell r="Y285">
            <v>134716.68799999999</v>
          </cell>
          <cell r="Z285">
            <v>1325742.547</v>
          </cell>
          <cell r="AA285">
            <v>111003.36</v>
          </cell>
          <cell r="AB285">
            <v>182543.25099999999</v>
          </cell>
          <cell r="AC285">
            <v>466878.40799999994</v>
          </cell>
          <cell r="AD285">
            <v>0</v>
          </cell>
          <cell r="AE285">
            <v>6529499.6600000001</v>
          </cell>
          <cell r="AF285">
            <v>0</v>
          </cell>
          <cell r="AG285">
            <v>6529499.6600000001</v>
          </cell>
          <cell r="AH285">
            <v>69899579.596000001</v>
          </cell>
          <cell r="AI285">
            <v>48343869.976999998</v>
          </cell>
          <cell r="AJ285">
            <v>48124884.942999996</v>
          </cell>
          <cell r="AK285">
            <v>0</v>
          </cell>
          <cell r="AL285">
            <v>0</v>
          </cell>
          <cell r="AM285">
            <v>43986080.835000008</v>
          </cell>
          <cell r="AN285">
            <v>0</v>
          </cell>
          <cell r="AO285">
            <v>21331574.256999999</v>
          </cell>
          <cell r="AP285">
            <v>0</v>
          </cell>
          <cell r="AQ285">
            <v>10043510.328</v>
          </cell>
          <cell r="AR285">
            <v>0</v>
          </cell>
          <cell r="AS285">
            <v>2922414.6669999999</v>
          </cell>
          <cell r="AT285">
            <v>218985.03399999999</v>
          </cell>
          <cell r="AU285">
            <v>2703429.6329999999</v>
          </cell>
          <cell r="AV285">
            <v>9688581.5830000006</v>
          </cell>
          <cell r="AW285">
            <v>0</v>
          </cell>
          <cell r="AX285">
            <v>40000</v>
          </cell>
          <cell r="AY285">
            <v>2307389.4169999999</v>
          </cell>
          <cell r="AZ285">
            <v>0</v>
          </cell>
          <cell r="BA285">
            <v>0</v>
          </cell>
          <cell r="BB285">
            <v>25803247.998000003</v>
          </cell>
          <cell r="BC285">
            <v>6795070.0760000004</v>
          </cell>
          <cell r="BD285">
            <v>3643214.8820000002</v>
          </cell>
          <cell r="BE285">
            <v>0</v>
          </cell>
          <cell r="BF285">
            <v>155897.93599999999</v>
          </cell>
          <cell r="BG285">
            <v>0</v>
          </cell>
          <cell r="BH285">
            <v>18852279.986000001</v>
          </cell>
          <cell r="BI285">
            <v>6529499.6600000001</v>
          </cell>
          <cell r="BJ285">
            <v>12322780.325999999</v>
          </cell>
          <cell r="BK285">
            <v>110250.76299999998</v>
          </cell>
          <cell r="BL285">
            <v>-253253.054</v>
          </cell>
          <cell r="BM285">
            <v>363503.81699999998</v>
          </cell>
          <cell r="BN285">
            <v>-17327053.807999998</v>
          </cell>
          <cell r="BO285">
            <v>-23856553.467999998</v>
          </cell>
          <cell r="BP285">
            <v>-20934138.800999999</v>
          </cell>
          <cell r="BQ285">
            <v>-5004273.4820000008</v>
          </cell>
          <cell r="BR285">
            <v>10300591.103000002</v>
          </cell>
          <cell r="BS285">
            <v>11655408.175000001</v>
          </cell>
          <cell r="BT285">
            <v>11655408.175000001</v>
          </cell>
          <cell r="BU285">
            <v>0</v>
          </cell>
          <cell r="BV285">
            <v>-844492.4589999998</v>
          </cell>
          <cell r="BW285">
            <v>0</v>
          </cell>
          <cell r="BX285">
            <v>-510324.61300000001</v>
          </cell>
          <cell r="BZ285">
            <v>-7026462.7049999963</v>
          </cell>
          <cell r="CA285">
            <v>-13555962.364999996</v>
          </cell>
          <cell r="CB285">
            <v>7026462.8489999995</v>
          </cell>
          <cell r="CC285">
            <v>6809592.2489999998</v>
          </cell>
          <cell r="CD285">
            <v>12322780.325999999</v>
          </cell>
          <cell r="CE285">
            <v>12322780.325999999</v>
          </cell>
          <cell r="CF285">
            <v>0</v>
          </cell>
          <cell r="CG285">
            <v>0</v>
          </cell>
          <cell r="CH285">
            <v>-5514413.5429999996</v>
          </cell>
          <cell r="CI285">
            <v>1225.4659999999121</v>
          </cell>
          <cell r="CJ285">
            <v>216870.59999999963</v>
          </cell>
          <cell r="CK285">
            <v>5324393.2769999998</v>
          </cell>
          <cell r="CL285">
            <v>6288367.4479999999</v>
          </cell>
          <cell r="CM285">
            <v>3899767.4479999999</v>
          </cell>
          <cell r="CN285">
            <v>5098000</v>
          </cell>
          <cell r="CO285">
            <v>-1198232.5519999999</v>
          </cell>
          <cell r="CP285">
            <v>2388600</v>
          </cell>
          <cell r="CQ285">
            <v>0</v>
          </cell>
          <cell r="CR285">
            <v>-212000</v>
          </cell>
          <cell r="CS285">
            <v>0</v>
          </cell>
          <cell r="CT285">
            <v>0</v>
          </cell>
          <cell r="CU285">
            <v>2600600</v>
          </cell>
          <cell r="CV285">
            <v>0</v>
          </cell>
          <cell r="CW285">
            <v>0</v>
          </cell>
          <cell r="CX285">
            <v>-963974.17099999997</v>
          </cell>
          <cell r="CY285">
            <v>-965886.55099999998</v>
          </cell>
          <cell r="CZ285">
            <v>0</v>
          </cell>
          <cell r="DA285">
            <v>0</v>
          </cell>
          <cell r="DB285">
            <v>0</v>
          </cell>
          <cell r="DC285">
            <v>0</v>
          </cell>
          <cell r="DD285">
            <v>1912.38</v>
          </cell>
          <cell r="DE285">
            <v>0</v>
          </cell>
          <cell r="DF285">
            <v>0</v>
          </cell>
          <cell r="DG285">
            <v>0</v>
          </cell>
          <cell r="DH285">
            <v>0</v>
          </cell>
          <cell r="DI285">
            <v>-5107522.6770000001</v>
          </cell>
          <cell r="DJ285">
            <v>-1316521.199</v>
          </cell>
          <cell r="DK285">
            <v>0</v>
          </cell>
          <cell r="DL285">
            <v>0</v>
          </cell>
          <cell r="DM285">
            <v>0</v>
          </cell>
          <cell r="DN285">
            <v>-1316521.199</v>
          </cell>
          <cell r="DO285">
            <v>0</v>
          </cell>
          <cell r="DP285">
            <v>-3797284.2779999999</v>
          </cell>
          <cell r="DQ285">
            <v>-246599.20500000002</v>
          </cell>
          <cell r="DR285">
            <v>6282.8</v>
          </cell>
          <cell r="DS285">
            <v>0</v>
          </cell>
          <cell r="DT285">
            <v>-0.14400000311434269</v>
          </cell>
          <cell r="DU285">
            <v>0</v>
          </cell>
          <cell r="DV285">
            <v>0</v>
          </cell>
          <cell r="DW285">
            <v>2922414.6669999999</v>
          </cell>
          <cell r="DX285">
            <v>0</v>
          </cell>
          <cell r="DY285">
            <v>0</v>
          </cell>
          <cell r="DZ285">
            <v>218985.03399999999</v>
          </cell>
          <cell r="EA285">
            <v>8217843.175999999</v>
          </cell>
          <cell r="EB285">
            <v>5514413.5429999996</v>
          </cell>
          <cell r="EC285">
            <v>2703429.6329999999</v>
          </cell>
          <cell r="EF285">
            <v>5</v>
          </cell>
        </row>
        <row r="286">
          <cell r="E286">
            <v>37056.0625</v>
          </cell>
          <cell r="F286">
            <v>138859559.255</v>
          </cell>
          <cell r="G286">
            <v>109574622.677</v>
          </cell>
          <cell r="H286">
            <v>109574622.677</v>
          </cell>
          <cell r="I286">
            <v>104006047.905</v>
          </cell>
          <cell r="J286">
            <v>28929637.089999996</v>
          </cell>
          <cell r="K286">
            <v>14404636.412</v>
          </cell>
          <cell r="L286">
            <v>1522414.6610000001</v>
          </cell>
          <cell r="M286">
            <v>400198.61100000003</v>
          </cell>
          <cell r="N286">
            <v>53024373.285000004</v>
          </cell>
          <cell r="O286">
            <v>40712162.178000003</v>
          </cell>
          <cell r="P286">
            <v>2987663.4219999998</v>
          </cell>
          <cell r="Q286">
            <v>9324547.6850000024</v>
          </cell>
          <cell r="R286">
            <v>18989744.495999999</v>
          </cell>
          <cell r="S286">
            <v>15262987.782</v>
          </cell>
          <cell r="T286">
            <v>1726515.23</v>
          </cell>
          <cell r="U286">
            <v>2000241.4839999997</v>
          </cell>
          <cell r="V286">
            <v>0</v>
          </cell>
          <cell r="W286">
            <v>1139679.7620000001</v>
          </cell>
          <cell r="X286">
            <v>5568574.7719999999</v>
          </cell>
          <cell r="Y286">
            <v>424571.68900000001</v>
          </cell>
          <cell r="Z286">
            <v>2817946.858</v>
          </cell>
          <cell r="AA286">
            <v>244109.74799999999</v>
          </cell>
          <cell r="AB286">
            <v>1136218.7689999999</v>
          </cell>
          <cell r="AC286">
            <v>945727.70799999975</v>
          </cell>
          <cell r="AD286">
            <v>0</v>
          </cell>
          <cell r="AE286">
            <v>29284936.578000002</v>
          </cell>
          <cell r="AF286">
            <v>19384936.578000002</v>
          </cell>
          <cell r="AG286">
            <v>9900000</v>
          </cell>
          <cell r="AH286">
            <v>174465387.70000002</v>
          </cell>
          <cell r="AI286">
            <v>122092779.28</v>
          </cell>
          <cell r="AJ286">
            <v>121020966.712</v>
          </cell>
          <cell r="AK286">
            <v>0</v>
          </cell>
          <cell r="AL286">
            <v>0</v>
          </cell>
          <cell r="AM286">
            <v>103388981.708</v>
          </cell>
          <cell r="AN286">
            <v>0</v>
          </cell>
          <cell r="AO286">
            <v>46110101.292000003</v>
          </cell>
          <cell r="AP286">
            <v>0</v>
          </cell>
          <cell r="AQ286">
            <v>24813213.800999999</v>
          </cell>
          <cell r="AR286">
            <v>0</v>
          </cell>
          <cell r="AS286">
            <v>6809083.8629999999</v>
          </cell>
          <cell r="AT286">
            <v>1071812.568</v>
          </cell>
          <cell r="AU286">
            <v>5737271.2949999999</v>
          </cell>
          <cell r="AV286">
            <v>25656582.752</v>
          </cell>
          <cell r="AW286">
            <v>0</v>
          </cell>
          <cell r="AX286">
            <v>40000</v>
          </cell>
          <cell r="AY286">
            <v>4952988.9519999996</v>
          </cell>
          <cell r="AZ286">
            <v>0</v>
          </cell>
          <cell r="BA286">
            <v>0</v>
          </cell>
          <cell r="BB286">
            <v>70891334.034000009</v>
          </cell>
          <cell r="BC286">
            <v>23867899.373000003</v>
          </cell>
          <cell r="BD286">
            <v>8278630.3230000008</v>
          </cell>
          <cell r="BE286">
            <v>0</v>
          </cell>
          <cell r="BF286">
            <v>388097.53599999996</v>
          </cell>
          <cell r="BG286">
            <v>0</v>
          </cell>
          <cell r="BH286">
            <v>46635337.125</v>
          </cell>
          <cell r="BI286">
            <v>19384936.578000002</v>
          </cell>
          <cell r="BJ286">
            <v>27250400.546999998</v>
          </cell>
          <cell r="BK286">
            <v>185071.95799999998</v>
          </cell>
          <cell r="BL286">
            <v>-786836.848</v>
          </cell>
          <cell r="BM286">
            <v>971908.80599999998</v>
          </cell>
          <cell r="BN286">
            <v>-35605828.445000023</v>
          </cell>
          <cell r="BO286">
            <v>-64890765.023000024</v>
          </cell>
          <cell r="BP286">
            <v>-58081681.160000011</v>
          </cell>
          <cell r="BQ286">
            <v>-18255427.898000017</v>
          </cell>
          <cell r="BR286">
            <v>24661110.346999999</v>
          </cell>
          <cell r="BS286">
            <v>4238831.3569999998</v>
          </cell>
          <cell r="BT286">
            <v>4238831.3569999998</v>
          </cell>
          <cell r="BU286">
            <v>0</v>
          </cell>
          <cell r="BV286">
            <v>7726922.9900000002</v>
          </cell>
          <cell r="BW286">
            <v>0</v>
          </cell>
          <cell r="BX286">
            <v>12695356</v>
          </cell>
          <cell r="BZ286">
            <v>-10944718.098000024</v>
          </cell>
          <cell r="CA286">
            <v>-40229654.676000029</v>
          </cell>
          <cell r="CB286">
            <v>10944718.113999996</v>
          </cell>
          <cell r="CC286">
            <v>14884069.255999997</v>
          </cell>
          <cell r="CD286">
            <v>27250400.546999998</v>
          </cell>
          <cell r="CE286">
            <v>27250400.546999998</v>
          </cell>
          <cell r="CF286">
            <v>0</v>
          </cell>
          <cell r="CG286">
            <v>0</v>
          </cell>
          <cell r="CH286">
            <v>-12481683.377</v>
          </cell>
          <cell r="CI286">
            <v>115352.08599999978</v>
          </cell>
          <cell r="CJ286">
            <v>-3939351.142</v>
          </cell>
          <cell r="CK286">
            <v>-245944.679</v>
          </cell>
          <cell r="CL286">
            <v>2049637.2110000001</v>
          </cell>
          <cell r="CM286">
            <v>1644937.2110000001</v>
          </cell>
          <cell r="CN286">
            <v>5098000</v>
          </cell>
          <cell r="CO286">
            <v>-3453062.7889999999</v>
          </cell>
          <cell r="CP286">
            <v>404700</v>
          </cell>
          <cell r="CQ286">
            <v>0</v>
          </cell>
          <cell r="CR286">
            <v>-6793000</v>
          </cell>
          <cell r="CS286">
            <v>2000000</v>
          </cell>
          <cell r="CT286">
            <v>0</v>
          </cell>
          <cell r="CU286">
            <v>5197700</v>
          </cell>
          <cell r="CV286">
            <v>0</v>
          </cell>
          <cell r="CW286">
            <v>0</v>
          </cell>
          <cell r="CX286">
            <v>-2295581.89</v>
          </cell>
          <cell r="CY286">
            <v>-1495560.4959999998</v>
          </cell>
          <cell r="CZ286">
            <v>-803846.1540000001</v>
          </cell>
          <cell r="DA286">
            <v>-350000</v>
          </cell>
          <cell r="DB286">
            <v>-453846.15400000004</v>
          </cell>
          <cell r="DC286">
            <v>0</v>
          </cell>
          <cell r="DD286">
            <v>3824.76</v>
          </cell>
          <cell r="DE286">
            <v>0</v>
          </cell>
          <cell r="DF286">
            <v>0</v>
          </cell>
          <cell r="DG286">
            <v>0</v>
          </cell>
          <cell r="DH286">
            <v>0</v>
          </cell>
          <cell r="DI286">
            <v>-3693406.463</v>
          </cell>
          <cell r="DJ286">
            <v>1416147.2529999998</v>
          </cell>
          <cell r="DK286">
            <v>0</v>
          </cell>
          <cell r="DL286">
            <v>0</v>
          </cell>
          <cell r="DM286">
            <v>0</v>
          </cell>
          <cell r="DN286">
            <v>1416147.2529999998</v>
          </cell>
          <cell r="DO286">
            <v>0</v>
          </cell>
          <cell r="DP286">
            <v>-5117202.1159999995</v>
          </cell>
          <cell r="DQ286">
            <v>-246599.20500000002</v>
          </cell>
          <cell r="DR286">
            <v>7648.4</v>
          </cell>
          <cell r="DS286">
            <v>0</v>
          </cell>
          <cell r="DT286">
            <v>-1.5999972820281982E-2</v>
          </cell>
          <cell r="DU286">
            <v>0</v>
          </cell>
          <cell r="DV286">
            <v>0</v>
          </cell>
          <cell r="DW286">
            <v>6809083.8629999999</v>
          </cell>
          <cell r="DX286">
            <v>0</v>
          </cell>
          <cell r="DY286">
            <v>0</v>
          </cell>
          <cell r="DZ286">
            <v>1071812.568</v>
          </cell>
          <cell r="EA286">
            <v>18218954.671999998</v>
          </cell>
          <cell r="EB286">
            <v>12481683.377</v>
          </cell>
          <cell r="EC286">
            <v>5737271.2949999999</v>
          </cell>
          <cell r="EF286">
            <v>6</v>
          </cell>
        </row>
        <row r="287">
          <cell r="E287">
            <v>37147.375</v>
          </cell>
          <cell r="F287">
            <v>212615364.02700001</v>
          </cell>
          <cell r="G287">
            <v>166983222.91</v>
          </cell>
          <cell r="H287">
            <v>166983222.91</v>
          </cell>
          <cell r="I287">
            <v>156039378.63499999</v>
          </cell>
          <cell r="J287">
            <v>42262237.372999996</v>
          </cell>
          <cell r="K287">
            <v>20229519.078000002</v>
          </cell>
          <cell r="L287">
            <v>2187195.16</v>
          </cell>
          <cell r="M287">
            <v>790471.65700000001</v>
          </cell>
          <cell r="N287">
            <v>79904896.473000005</v>
          </cell>
          <cell r="O287">
            <v>61349424.693000004</v>
          </cell>
          <cell r="P287">
            <v>4394731.6689999998</v>
          </cell>
          <cell r="Q287">
            <v>14160740.111000001</v>
          </cell>
          <cell r="R287">
            <v>29135166.431000002</v>
          </cell>
          <cell r="S287">
            <v>23061303.588</v>
          </cell>
          <cell r="T287">
            <v>2607440.4139999999</v>
          </cell>
          <cell r="U287">
            <v>3466422.4289999995</v>
          </cell>
          <cell r="V287">
            <v>0</v>
          </cell>
          <cell r="W287">
            <v>1759411.541</v>
          </cell>
          <cell r="X287">
            <v>10943844.274999999</v>
          </cell>
          <cell r="Y287">
            <v>831904.42599999998</v>
          </cell>
          <cell r="Z287">
            <v>3981933.2990000001</v>
          </cell>
          <cell r="AA287">
            <v>368731.34599999996</v>
          </cell>
          <cell r="AB287">
            <v>3406689.6549999998</v>
          </cell>
          <cell r="AC287">
            <v>2354585.5489999996</v>
          </cell>
          <cell r="AD287">
            <v>0</v>
          </cell>
          <cell r="AE287">
            <v>45632141.116999999</v>
          </cell>
          <cell r="AF287">
            <v>35732141.116999999</v>
          </cell>
          <cell r="AG287">
            <v>9900000</v>
          </cell>
          <cell r="AH287">
            <v>267009272.766</v>
          </cell>
          <cell r="AI287">
            <v>182358144.29100001</v>
          </cell>
          <cell r="AJ287">
            <v>178389630.697</v>
          </cell>
          <cell r="AK287">
            <v>0</v>
          </cell>
          <cell r="AL287">
            <v>0</v>
          </cell>
          <cell r="AM287">
            <v>155722485.84</v>
          </cell>
          <cell r="AN287">
            <v>0</v>
          </cell>
          <cell r="AO287">
            <v>69192517.765000001</v>
          </cell>
          <cell r="AP287">
            <v>0</v>
          </cell>
          <cell r="AQ287">
            <v>34723166.030000001</v>
          </cell>
          <cell r="AR287">
            <v>0</v>
          </cell>
          <cell r="AS287">
            <v>12505091.862</v>
          </cell>
          <cell r="AT287">
            <v>3968513.5939999996</v>
          </cell>
          <cell r="AU287">
            <v>8536578.2679999992</v>
          </cell>
          <cell r="AV287">
            <v>39301710.182999998</v>
          </cell>
          <cell r="AW287">
            <v>0</v>
          </cell>
          <cell r="AX287">
            <v>40769.303</v>
          </cell>
          <cell r="AY287">
            <v>7521486.4000000004</v>
          </cell>
          <cell r="AZ287">
            <v>0</v>
          </cell>
          <cell r="BA287">
            <v>0</v>
          </cell>
          <cell r="BB287">
            <v>112152598.278</v>
          </cell>
          <cell r="BC287">
            <v>35634918.409999996</v>
          </cell>
          <cell r="BD287">
            <v>12644659.076000001</v>
          </cell>
          <cell r="BE287">
            <v>0</v>
          </cell>
          <cell r="BF287">
            <v>403129.66099999996</v>
          </cell>
          <cell r="BG287">
            <v>0</v>
          </cell>
          <cell r="BH287">
            <v>76114550.207000002</v>
          </cell>
          <cell r="BI287">
            <v>35732141.116999999</v>
          </cell>
          <cell r="BJ287">
            <v>40382409.090000004</v>
          </cell>
          <cell r="BK287">
            <v>-865811.35199999972</v>
          </cell>
          <cell r="BL287">
            <v>-1917613.7709999997</v>
          </cell>
          <cell r="BM287">
            <v>1051802.419</v>
          </cell>
          <cell r="BN287">
            <v>-54393908.738999993</v>
          </cell>
          <cell r="BO287">
            <v>-100026049.85599999</v>
          </cell>
          <cell r="BP287">
            <v>-87520957.994000018</v>
          </cell>
          <cell r="BQ287">
            <v>-23911499.649000019</v>
          </cell>
          <cell r="BR287">
            <v>29647786.679000001</v>
          </cell>
          <cell r="BS287">
            <v>13004339.218000002</v>
          </cell>
          <cell r="BT287">
            <v>13004339.218000002</v>
          </cell>
          <cell r="BU287">
            <v>0</v>
          </cell>
          <cell r="BV287">
            <v>13392981.554</v>
          </cell>
          <cell r="BW287">
            <v>0</v>
          </cell>
          <cell r="BX287">
            <v>3250465.9070000001</v>
          </cell>
          <cell r="BZ287">
            <v>-24746122.059999991</v>
          </cell>
          <cell r="CA287">
            <v>-70378263.176999986</v>
          </cell>
          <cell r="CB287">
            <v>24746121.712000005</v>
          </cell>
          <cell r="CC287">
            <v>22372787.844000004</v>
          </cell>
          <cell r="CD287">
            <v>40382409.090000004</v>
          </cell>
          <cell r="CE287">
            <v>40382409.090000004</v>
          </cell>
          <cell r="CF287">
            <v>0</v>
          </cell>
          <cell r="CG287">
            <v>0</v>
          </cell>
          <cell r="CH287">
            <v>-18137670.32</v>
          </cell>
          <cell r="CI287">
            <v>128049.07399999954</v>
          </cell>
          <cell r="CJ287">
            <v>2373333.8679999998</v>
          </cell>
          <cell r="CK287">
            <v>7895078.4529999997</v>
          </cell>
          <cell r="CL287">
            <v>10188747.963</v>
          </cell>
          <cell r="CM287">
            <v>5873047.9630000005</v>
          </cell>
          <cell r="CN287">
            <v>10460000</v>
          </cell>
          <cell r="CO287">
            <v>-4586952.0369999995</v>
          </cell>
          <cell r="CP287">
            <v>4315700</v>
          </cell>
          <cell r="CQ287">
            <v>0</v>
          </cell>
          <cell r="CR287">
            <v>-521000</v>
          </cell>
          <cell r="CS287">
            <v>0</v>
          </cell>
          <cell r="CT287">
            <v>0</v>
          </cell>
          <cell r="CU287">
            <v>4836700</v>
          </cell>
          <cell r="CV287">
            <v>0</v>
          </cell>
          <cell r="CW287">
            <v>0</v>
          </cell>
          <cell r="CX287">
            <v>-2293669.5099999998</v>
          </cell>
          <cell r="CY287">
            <v>-1495560.4959999998</v>
          </cell>
          <cell r="CZ287">
            <v>-803846.1540000001</v>
          </cell>
          <cell r="DA287">
            <v>-350000</v>
          </cell>
          <cell r="DB287">
            <v>-453846.15400000004</v>
          </cell>
          <cell r="DC287">
            <v>0</v>
          </cell>
          <cell r="DD287">
            <v>5737.14</v>
          </cell>
          <cell r="DE287">
            <v>0</v>
          </cell>
          <cell r="DF287">
            <v>0</v>
          </cell>
          <cell r="DG287">
            <v>0</v>
          </cell>
          <cell r="DH287">
            <v>0</v>
          </cell>
          <cell r="DI287">
            <v>-5521744.585</v>
          </cell>
          <cell r="DJ287">
            <v>379467.24599999934</v>
          </cell>
          <cell r="DK287">
            <v>0</v>
          </cell>
          <cell r="DL287">
            <v>0</v>
          </cell>
          <cell r="DM287">
            <v>0</v>
          </cell>
          <cell r="DN287">
            <v>379467.24599999934</v>
          </cell>
          <cell r="DO287">
            <v>0</v>
          </cell>
          <cell r="DP287">
            <v>-6651553.811999999</v>
          </cell>
          <cell r="DQ287">
            <v>-493198.41</v>
          </cell>
          <cell r="DR287">
            <v>750341.98100000003</v>
          </cell>
          <cell r="DS287">
            <v>0</v>
          </cell>
          <cell r="DT287">
            <v>0.34799998626112938</v>
          </cell>
          <cell r="DU287">
            <v>0</v>
          </cell>
          <cell r="DV287">
            <v>0</v>
          </cell>
          <cell r="DW287">
            <v>12505091.862</v>
          </cell>
          <cell r="DX287">
            <v>0</v>
          </cell>
          <cell r="DY287">
            <v>0</v>
          </cell>
          <cell r="DZ287">
            <v>3968513.5939999996</v>
          </cell>
          <cell r="EA287">
            <v>26674248.588</v>
          </cell>
          <cell r="EB287">
            <v>18137670.32</v>
          </cell>
          <cell r="EC287">
            <v>8536578.2679999992</v>
          </cell>
          <cell r="EF287">
            <v>7</v>
          </cell>
        </row>
        <row r="288">
          <cell r="E288">
            <v>37238.6875</v>
          </cell>
          <cell r="F288">
            <v>313227757.11500001</v>
          </cell>
          <cell r="G288">
            <v>227962546.734</v>
          </cell>
          <cell r="H288">
            <v>227962546.734</v>
          </cell>
          <cell r="I288">
            <v>213220362.412</v>
          </cell>
          <cell r="J288">
            <v>56104537.219999999</v>
          </cell>
          <cell r="K288">
            <v>26138025.344999999</v>
          </cell>
          <cell r="L288">
            <v>2716451.3380000005</v>
          </cell>
          <cell r="M288">
            <v>1037693.09</v>
          </cell>
          <cell r="N288">
            <v>111773470.141</v>
          </cell>
          <cell r="O288">
            <v>84778891.648000002</v>
          </cell>
          <cell r="P288">
            <v>6158082.0389999989</v>
          </cell>
          <cell r="Q288">
            <v>20836496.454000004</v>
          </cell>
          <cell r="R288">
            <v>39159586.252999999</v>
          </cell>
          <cell r="S288">
            <v>31254056.226</v>
          </cell>
          <cell r="T288">
            <v>3515586.8569999998</v>
          </cell>
          <cell r="U288">
            <v>4389943.17</v>
          </cell>
          <cell r="V288">
            <v>0</v>
          </cell>
          <cell r="W288">
            <v>2428624.37</v>
          </cell>
          <cell r="X288">
            <v>14742184.322000001</v>
          </cell>
          <cell r="Y288">
            <v>1030513.36</v>
          </cell>
          <cell r="Z288">
            <v>5546255.2260000007</v>
          </cell>
          <cell r="AA288">
            <v>600883.03399999999</v>
          </cell>
          <cell r="AB288">
            <v>4181277.8939999994</v>
          </cell>
          <cell r="AC288">
            <v>3383254.8080000007</v>
          </cell>
          <cell r="AD288">
            <v>0</v>
          </cell>
          <cell r="AE288">
            <v>85265210.380999997</v>
          </cell>
          <cell r="AF288">
            <v>58080210.380999997</v>
          </cell>
          <cell r="AG288">
            <v>27185000</v>
          </cell>
          <cell r="AH288">
            <v>380558544.33399999</v>
          </cell>
          <cell r="AI288">
            <v>253957712.54499999</v>
          </cell>
          <cell r="AJ288">
            <v>248987857.72599998</v>
          </cell>
          <cell r="AK288">
            <v>62366600.000000007</v>
          </cell>
          <cell r="AL288">
            <v>20845822.397</v>
          </cell>
          <cell r="AM288">
            <v>215134057.28400001</v>
          </cell>
          <cell r="AN288">
            <v>0</v>
          </cell>
          <cell r="AO288">
            <v>97487840.929999992</v>
          </cell>
          <cell r="AP288">
            <v>0</v>
          </cell>
          <cell r="AQ288">
            <v>42974088.795000002</v>
          </cell>
          <cell r="AR288">
            <v>0</v>
          </cell>
          <cell r="AS288">
            <v>17500934.655000001</v>
          </cell>
          <cell r="AT288">
            <v>4969854.8190000001</v>
          </cell>
          <cell r="AU288">
            <v>12531079.835999999</v>
          </cell>
          <cell r="AV288">
            <v>57171192.904000014</v>
          </cell>
          <cell r="AW288">
            <v>0</v>
          </cell>
          <cell r="AX288">
            <v>62465.529000000002</v>
          </cell>
          <cell r="AY288">
            <v>10176730.795</v>
          </cell>
          <cell r="AZ288">
            <v>0</v>
          </cell>
          <cell r="BA288">
            <v>0</v>
          </cell>
          <cell r="BB288">
            <v>167317917.44300002</v>
          </cell>
          <cell r="BC288">
            <v>52468598.870999999</v>
          </cell>
          <cell r="BD288">
            <v>17602894.766000003</v>
          </cell>
          <cell r="BE288">
            <v>0</v>
          </cell>
          <cell r="BF288">
            <v>779566.61899999995</v>
          </cell>
          <cell r="BG288">
            <v>0</v>
          </cell>
          <cell r="BH288">
            <v>114069751.95300001</v>
          </cell>
          <cell r="BI288">
            <v>58080210.380999997</v>
          </cell>
          <cell r="BJ288">
            <v>55989541.572000004</v>
          </cell>
          <cell r="BK288">
            <v>-1893430.3929999997</v>
          </cell>
          <cell r="BL288">
            <v>-3015201.7819999997</v>
          </cell>
          <cell r="BM288">
            <v>1121771.389</v>
          </cell>
          <cell r="BN288">
            <v>-67330787.218999982</v>
          </cell>
          <cell r="BO288">
            <v>-152595997.59999996</v>
          </cell>
          <cell r="BP288">
            <v>-135095062.94500002</v>
          </cell>
          <cell r="BQ288">
            <v>-38526245.646999985</v>
          </cell>
          <cell r="BR288">
            <v>39482503.046000004</v>
          </cell>
          <cell r="BS288">
            <v>13121997.777000001</v>
          </cell>
          <cell r="BT288">
            <v>13121997.777000001</v>
          </cell>
          <cell r="BU288">
            <v>0</v>
          </cell>
          <cell r="BV288">
            <v>13824049.268999999</v>
          </cell>
          <cell r="BW288">
            <v>0</v>
          </cell>
          <cell r="BX288">
            <v>12536456</v>
          </cell>
          <cell r="BZ288">
            <v>-27848284.172999978</v>
          </cell>
          <cell r="CA288">
            <v>-113113494.55399998</v>
          </cell>
          <cell r="CB288">
            <v>27848284.143999994</v>
          </cell>
          <cell r="CC288">
            <v>62017895.805999994</v>
          </cell>
          <cell r="CD288">
            <v>89060541.571999997</v>
          </cell>
          <cell r="CE288">
            <v>55989541.572000004</v>
          </cell>
          <cell r="CF288">
            <v>33071000</v>
          </cell>
          <cell r="CG288">
            <v>0</v>
          </cell>
          <cell r="CH288">
            <v>-27144344.186000001</v>
          </cell>
          <cell r="CI288">
            <v>101698.42</v>
          </cell>
          <cell r="CJ288">
            <v>-34169611.662</v>
          </cell>
          <cell r="CK288">
            <v>-12729091.619000001</v>
          </cell>
          <cell r="CL288">
            <v>-9581999.5080000013</v>
          </cell>
          <cell r="CM288">
            <v>7544600.4919999996</v>
          </cell>
          <cell r="CN288">
            <v>15657000</v>
          </cell>
          <cell r="CO288">
            <v>-8112399.5080000004</v>
          </cell>
          <cell r="CP288">
            <v>-17126600</v>
          </cell>
          <cell r="CQ288">
            <v>0</v>
          </cell>
          <cell r="CR288">
            <v>-1562000</v>
          </cell>
          <cell r="CS288">
            <v>604000</v>
          </cell>
          <cell r="CT288">
            <v>0</v>
          </cell>
          <cell r="CU288">
            <v>-16168600</v>
          </cell>
          <cell r="CV288">
            <v>0</v>
          </cell>
          <cell r="CW288">
            <v>0</v>
          </cell>
          <cell r="CX288">
            <v>-3147092.111</v>
          </cell>
          <cell r="CY288">
            <v>-1547049.3259999999</v>
          </cell>
          <cell r="CZ288">
            <v>-1607692.3050000002</v>
          </cell>
          <cell r="DA288">
            <v>-700000</v>
          </cell>
          <cell r="DB288">
            <v>-907692.30500000005</v>
          </cell>
          <cell r="DC288">
            <v>0</v>
          </cell>
          <cell r="DD288">
            <v>7649.52</v>
          </cell>
          <cell r="DE288">
            <v>0</v>
          </cell>
          <cell r="DF288">
            <v>0</v>
          </cell>
          <cell r="DG288">
            <v>0</v>
          </cell>
          <cell r="DH288">
            <v>0</v>
          </cell>
          <cell r="DI288">
            <v>-21440520.043000001</v>
          </cell>
          <cell r="DJ288">
            <v>-9786635.637000002</v>
          </cell>
          <cell r="DK288">
            <v>0</v>
          </cell>
          <cell r="DL288">
            <v>0</v>
          </cell>
          <cell r="DM288">
            <v>0</v>
          </cell>
          <cell r="DN288">
            <v>-9786635.637000002</v>
          </cell>
          <cell r="DO288">
            <v>0</v>
          </cell>
          <cell r="DP288">
            <v>-14681880.311999999</v>
          </cell>
          <cell r="DQ288">
            <v>-739797.61499999999</v>
          </cell>
          <cell r="DR288">
            <v>3027995.906</v>
          </cell>
          <cell r="DS288">
            <v>0</v>
          </cell>
          <cell r="DT288">
            <v>2.8999984264373779E-2</v>
          </cell>
          <cell r="DU288">
            <v>72452326.203000009</v>
          </cell>
          <cell r="DV288">
            <v>54951391.548</v>
          </cell>
          <cell r="DW288">
            <v>17500934.655000001</v>
          </cell>
          <cell r="DX288">
            <v>32776902.181000002</v>
          </cell>
          <cell r="DY288">
            <v>27807047.362</v>
          </cell>
          <cell r="DZ288">
            <v>4969854.8190000001</v>
          </cell>
          <cell r="EA288">
            <v>39675424.022</v>
          </cell>
          <cell r="EB288">
            <v>27144344.186000001</v>
          </cell>
          <cell r="EC288">
            <v>12531079.835999999</v>
          </cell>
          <cell r="EF288">
            <v>8</v>
          </cell>
        </row>
        <row r="289">
          <cell r="E289">
            <v>37330</v>
          </cell>
          <cell r="F289">
            <v>68395777.790000007</v>
          </cell>
          <cell r="G289">
            <v>55826006.740000002</v>
          </cell>
          <cell r="H289">
            <v>55825087.740000002</v>
          </cell>
          <cell r="I289">
            <v>53539463.520000003</v>
          </cell>
          <cell r="J289">
            <v>11755971.485000001</v>
          </cell>
          <cell r="K289">
            <v>3945319.27</v>
          </cell>
          <cell r="L289">
            <v>782549.45200000005</v>
          </cell>
          <cell r="M289">
            <v>244350.19099999999</v>
          </cell>
          <cell r="N289">
            <v>29845654.777000003</v>
          </cell>
          <cell r="O289">
            <v>20983678.311999999</v>
          </cell>
          <cell r="P289">
            <v>3386865.656</v>
          </cell>
          <cell r="Q289">
            <v>5475110.8090000022</v>
          </cell>
          <cell r="R289">
            <v>10344530.706</v>
          </cell>
          <cell r="S289">
            <v>7860708.9350000005</v>
          </cell>
          <cell r="T289">
            <v>850151.27</v>
          </cell>
          <cell r="U289">
            <v>1633670.5009999999</v>
          </cell>
          <cell r="V289">
            <v>0</v>
          </cell>
          <cell r="W289">
            <v>566406.90899999999</v>
          </cell>
          <cell r="X289">
            <v>2285624.2200000002</v>
          </cell>
          <cell r="Y289">
            <v>127240.751</v>
          </cell>
          <cell r="Z289">
            <v>32862.430999999997</v>
          </cell>
          <cell r="AA289">
            <v>146964.49900000001</v>
          </cell>
          <cell r="AB289">
            <v>0</v>
          </cell>
          <cell r="AC289">
            <v>1978556.5390000001</v>
          </cell>
          <cell r="AD289">
            <v>919</v>
          </cell>
          <cell r="AE289">
            <v>12569771.050000001</v>
          </cell>
          <cell r="AF289">
            <v>12569771.050000001</v>
          </cell>
          <cell r="AG289">
            <v>0</v>
          </cell>
          <cell r="AH289">
            <v>112697757.08500001</v>
          </cell>
          <cell r="AI289">
            <v>84849037.208000004</v>
          </cell>
          <cell r="AJ289">
            <v>84269239.526000008</v>
          </cell>
          <cell r="AK289">
            <v>12791460.096999999</v>
          </cell>
          <cell r="AL289">
            <v>5563437.0599999996</v>
          </cell>
          <cell r="AM289">
            <v>66515294.881999999</v>
          </cell>
          <cell r="AN289">
            <v>6589313.5729999999</v>
          </cell>
          <cell r="AO289">
            <v>24736067.82</v>
          </cell>
          <cell r="AP289">
            <v>459680</v>
          </cell>
          <cell r="AQ289">
            <v>15298610.502</v>
          </cell>
          <cell r="AR289">
            <v>4592524.7359999996</v>
          </cell>
          <cell r="AS289">
            <v>3528381.1030000001</v>
          </cell>
          <cell r="AT289">
            <v>579797.68200000003</v>
          </cell>
          <cell r="AU289">
            <v>2948583.4210000001</v>
          </cell>
          <cell r="AV289">
            <v>22952235.456999999</v>
          </cell>
          <cell r="AW289">
            <v>0</v>
          </cell>
          <cell r="AX289">
            <v>0.01</v>
          </cell>
          <cell r="AY289">
            <v>2571860.8289999999</v>
          </cell>
          <cell r="AZ289">
            <v>615183.88100000005</v>
          </cell>
          <cell r="BA289">
            <v>1795745.7649999999</v>
          </cell>
          <cell r="BB289">
            <v>45256372.865000002</v>
          </cell>
          <cell r="BC289">
            <v>20171418.399</v>
          </cell>
          <cell r="BD289">
            <v>3450530.0449999999</v>
          </cell>
          <cell r="BE289">
            <v>0</v>
          </cell>
          <cell r="BF289">
            <v>184818.01</v>
          </cell>
          <cell r="BG289">
            <v>0</v>
          </cell>
          <cell r="BH289">
            <v>24900136.456</v>
          </cell>
          <cell r="BI289">
            <v>12569771.050000001</v>
          </cell>
          <cell r="BJ289">
            <v>12330365.405999999</v>
          </cell>
          <cell r="BK289">
            <v>926089.33799999999</v>
          </cell>
          <cell r="BL289">
            <v>-299075.636</v>
          </cell>
          <cell r="BM289">
            <v>1225164.9739999999</v>
          </cell>
          <cell r="BN289">
            <v>-44301979.295000002</v>
          </cell>
          <cell r="BO289">
            <v>-56871750.344999999</v>
          </cell>
          <cell r="BP289">
            <v>-53343369.242000006</v>
          </cell>
          <cell r="BQ289">
            <v>-31971613.889000006</v>
          </cell>
          <cell r="BR289">
            <v>19396717.610999998</v>
          </cell>
          <cell r="BS289">
            <v>1263557.9169999999</v>
          </cell>
          <cell r="BT289">
            <v>1263557.9169999999</v>
          </cell>
          <cell r="BU289">
            <v>0</v>
          </cell>
          <cell r="BV289">
            <v>10036593.495999999</v>
          </cell>
          <cell r="BW289">
            <v>0</v>
          </cell>
          <cell r="BX289">
            <v>8096566.1979999999</v>
          </cell>
          <cell r="BZ289">
            <v>-24905261.684000004</v>
          </cell>
          <cell r="CA289">
            <v>-37475032.734000005</v>
          </cell>
          <cell r="CB289">
            <v>24905261.489999995</v>
          </cell>
          <cell r="CC289">
            <v>32913259.272999998</v>
          </cell>
          <cell r="CD289">
            <v>37920967.923</v>
          </cell>
          <cell r="CE289">
            <v>12330365.405999999</v>
          </cell>
          <cell r="CF289">
            <v>21456000</v>
          </cell>
          <cell r="CG289">
            <v>4134602.5170000005</v>
          </cell>
          <cell r="CH289">
            <v>-5008330.7949999999</v>
          </cell>
          <cell r="CI289">
            <v>622.1449999999968</v>
          </cell>
          <cell r="CJ289">
            <v>-8007997.7830000017</v>
          </cell>
          <cell r="CK289">
            <v>-5778354.7310000025</v>
          </cell>
          <cell r="CL289">
            <v>-7657048.6399999997</v>
          </cell>
          <cell r="CM289">
            <v>-834348.64</v>
          </cell>
          <cell r="CN289">
            <v>0</v>
          </cell>
          <cell r="CO289">
            <v>-834348.64</v>
          </cell>
          <cell r="CP289">
            <v>-6822700</v>
          </cell>
          <cell r="CQ289">
            <v>0</v>
          </cell>
          <cell r="CR289">
            <v>0</v>
          </cell>
          <cell r="CS289">
            <v>197800</v>
          </cell>
          <cell r="CT289">
            <v>0</v>
          </cell>
          <cell r="CU289">
            <v>-7020500</v>
          </cell>
          <cell r="CV289">
            <v>-1793100</v>
          </cell>
          <cell r="CW289">
            <v>0</v>
          </cell>
          <cell r="CX289">
            <v>360721.72800000006</v>
          </cell>
          <cell r="CY289">
            <v>0</v>
          </cell>
          <cell r="CZ289">
            <v>0</v>
          </cell>
          <cell r="DA289">
            <v>0</v>
          </cell>
          <cell r="DB289">
            <v>0</v>
          </cell>
          <cell r="DC289">
            <v>0</v>
          </cell>
          <cell r="DD289">
            <v>360721.72800000006</v>
          </cell>
          <cell r="DE289">
            <v>1517972.1809999973</v>
          </cell>
          <cell r="DF289">
            <v>0</v>
          </cell>
          <cell r="DG289">
            <v>-559114.14800000191</v>
          </cell>
          <cell r="DH289">
            <v>2077086.3289999992</v>
          </cell>
          <cell r="DI289">
            <v>-2229643.0519999992</v>
          </cell>
          <cell r="DJ289">
            <v>0</v>
          </cell>
          <cell r="DK289">
            <v>0</v>
          </cell>
          <cell r="DL289">
            <v>0</v>
          </cell>
          <cell r="DM289">
            <v>0</v>
          </cell>
          <cell r="DN289">
            <v>0</v>
          </cell>
          <cell r="DO289">
            <v>0</v>
          </cell>
          <cell r="DP289">
            <v>-3044325.8519999995</v>
          </cell>
          <cell r="DQ289">
            <v>-246599.20500000002</v>
          </cell>
          <cell r="DR289">
            <v>814682.8</v>
          </cell>
          <cell r="DS289">
            <v>0</v>
          </cell>
          <cell r="DT289">
            <v>0.1940000094473362</v>
          </cell>
          <cell r="DU289">
            <v>0</v>
          </cell>
          <cell r="DV289">
            <v>0</v>
          </cell>
          <cell r="DW289">
            <v>3528381.1030000001</v>
          </cell>
          <cell r="DX289">
            <v>0</v>
          </cell>
          <cell r="DY289">
            <v>0</v>
          </cell>
          <cell r="DZ289">
            <v>579797.68200000003</v>
          </cell>
          <cell r="EA289">
            <v>7956914.216</v>
          </cell>
          <cell r="EB289">
            <v>5008330.7949999999</v>
          </cell>
          <cell r="EC289">
            <v>2948583.4210000001</v>
          </cell>
          <cell r="EF289">
            <v>9</v>
          </cell>
        </row>
        <row r="290">
          <cell r="E290">
            <v>37421.3125</v>
          </cell>
          <cell r="F290">
            <v>164587993.07604802</v>
          </cell>
          <cell r="G290">
            <v>128953050.529048</v>
          </cell>
          <cell r="H290">
            <v>128952131.41286799</v>
          </cell>
          <cell r="I290">
            <v>122161036.063868</v>
          </cell>
          <cell r="J290">
            <v>32267129.877999999</v>
          </cell>
          <cell r="K290">
            <v>16409781.655999999</v>
          </cell>
          <cell r="L290">
            <v>1495451.3</v>
          </cell>
          <cell r="M290">
            <v>518151.45086799999</v>
          </cell>
          <cell r="N290">
            <v>65770931.188000001</v>
          </cell>
          <cell r="O290">
            <v>44827099.567000002</v>
          </cell>
          <cell r="P290">
            <v>8391053.3080000002</v>
          </cell>
          <cell r="Q290">
            <v>12552778.313000003</v>
          </cell>
          <cell r="R290">
            <v>20874739.454999998</v>
          </cell>
          <cell r="S290">
            <v>17228488.881999999</v>
          </cell>
          <cell r="T290">
            <v>1832345.7379999999</v>
          </cell>
          <cell r="U290">
            <v>1813904.835</v>
          </cell>
          <cell r="V290">
            <v>4.7387482380000003</v>
          </cell>
          <cell r="W290">
            <v>1234632.7919999999</v>
          </cell>
          <cell r="X290">
            <v>6791095.3489999995</v>
          </cell>
          <cell r="Y290">
            <v>166964.35200000001</v>
          </cell>
          <cell r="Z290">
            <v>1015857.3879999999</v>
          </cell>
          <cell r="AA290">
            <v>797840.44</v>
          </cell>
          <cell r="AB290">
            <v>0</v>
          </cell>
          <cell r="AC290">
            <v>4810433.1689999998</v>
          </cell>
          <cell r="AD290">
            <v>919.11617999999999</v>
          </cell>
          <cell r="AE290">
            <v>35634942.547000006</v>
          </cell>
          <cell r="AF290">
            <v>25771942.547000002</v>
          </cell>
          <cell r="AG290">
            <v>9863000</v>
          </cell>
          <cell r="AH290">
            <v>227340439.13000003</v>
          </cell>
          <cell r="AI290">
            <v>168141583.62200004</v>
          </cell>
          <cell r="AJ290">
            <v>165801388.80300003</v>
          </cell>
          <cell r="AK290">
            <v>28547308.463</v>
          </cell>
          <cell r="AL290">
            <v>16192914.248</v>
          </cell>
          <cell r="AM290">
            <v>137618318.553</v>
          </cell>
          <cell r="AN290">
            <v>8218118.182</v>
          </cell>
          <cell r="AO290">
            <v>49207403.561999999</v>
          </cell>
          <cell r="AP290">
            <v>500543.8</v>
          </cell>
          <cell r="AQ290">
            <v>35833999.101000004</v>
          </cell>
          <cell r="AR290">
            <v>5684079.915</v>
          </cell>
          <cell r="AS290">
            <v>8894995.8450000007</v>
          </cell>
          <cell r="AT290">
            <v>2340194.8190000001</v>
          </cell>
          <cell r="AU290">
            <v>6554801.0260000005</v>
          </cell>
          <cell r="AV290">
            <v>43681920.044999994</v>
          </cell>
          <cell r="AW290">
            <v>0</v>
          </cell>
          <cell r="AX290">
            <v>10000.02</v>
          </cell>
          <cell r="AY290">
            <v>5682086.7039999999</v>
          </cell>
          <cell r="AZ290">
            <v>925693.42700000003</v>
          </cell>
          <cell r="BA290">
            <v>3881301.2050000001</v>
          </cell>
          <cell r="BB290">
            <v>90278879.978000015</v>
          </cell>
          <cell r="BC290">
            <v>36317354.802000001</v>
          </cell>
          <cell r="BD290">
            <v>7740703.9849999994</v>
          </cell>
          <cell r="BE290">
            <v>0</v>
          </cell>
          <cell r="BF290">
            <v>1317470.6939999999</v>
          </cell>
          <cell r="BG290">
            <v>0</v>
          </cell>
          <cell r="BH290">
            <v>52644054.482000008</v>
          </cell>
          <cell r="BI290">
            <v>25771942.547000002</v>
          </cell>
          <cell r="BJ290">
            <v>26872111.935000002</v>
          </cell>
          <cell r="BK290">
            <v>-556759.40099999984</v>
          </cell>
          <cell r="BL290">
            <v>-1417607.3769999999</v>
          </cell>
          <cell r="BM290">
            <v>860847.97600000002</v>
          </cell>
          <cell r="BN290">
            <v>-62752446.053952008</v>
          </cell>
          <cell r="BO290">
            <v>-98387388.600952014</v>
          </cell>
          <cell r="BP290">
            <v>-89492392.75595203</v>
          </cell>
          <cell r="BQ290">
            <v>-45743334.118952006</v>
          </cell>
          <cell r="BR290">
            <v>39084604.716000006</v>
          </cell>
          <cell r="BS290">
            <v>5854112.3540000003</v>
          </cell>
          <cell r="BT290">
            <v>5854112.3540000003</v>
          </cell>
          <cell r="BU290">
            <v>7.0471406488081811E-11</v>
          </cell>
          <cell r="BV290">
            <v>11204402.081</v>
          </cell>
          <cell r="BW290">
            <v>0</v>
          </cell>
          <cell r="BX290">
            <v>22026090.280999999</v>
          </cell>
          <cell r="BZ290">
            <v>-23667841.337952003</v>
          </cell>
          <cell r="CA290">
            <v>-59302783.884952009</v>
          </cell>
          <cell r="CB290">
            <v>23667841.269999992</v>
          </cell>
          <cell r="CC290">
            <v>45676626.675999999</v>
          </cell>
          <cell r="CD290">
            <v>59011431.155000001</v>
          </cell>
          <cell r="CE290">
            <v>26872111.935000002</v>
          </cell>
          <cell r="CF290">
            <v>21456000.344000001</v>
          </cell>
          <cell r="CG290">
            <v>10683318.876000002</v>
          </cell>
          <cell r="CH290">
            <v>-13158836.445</v>
          </cell>
          <cell r="CI290">
            <v>-175968.03399999969</v>
          </cell>
          <cell r="CJ290">
            <v>-22008785.406000007</v>
          </cell>
          <cell r="CK290">
            <v>-18149730.878000006</v>
          </cell>
          <cell r="CL290">
            <v>-21174245.011</v>
          </cell>
          <cell r="CM290">
            <v>960754.98900000006</v>
          </cell>
          <cell r="CN290">
            <v>5221000</v>
          </cell>
          <cell r="CO290">
            <v>-4260245.0109999999</v>
          </cell>
          <cell r="CP290">
            <v>-22135000</v>
          </cell>
          <cell r="CQ290">
            <v>0</v>
          </cell>
          <cell r="CR290">
            <v>0</v>
          </cell>
          <cell r="CS290">
            <v>-113700</v>
          </cell>
          <cell r="CT290">
            <v>0</v>
          </cell>
          <cell r="CU290">
            <v>-22021300</v>
          </cell>
          <cell r="CV290">
            <v>-8162700</v>
          </cell>
          <cell r="CW290">
            <v>0</v>
          </cell>
          <cell r="CX290">
            <v>1391281.939</v>
          </cell>
          <cell r="CY290">
            <v>0</v>
          </cell>
          <cell r="CZ290">
            <v>696153.8459999999</v>
          </cell>
          <cell r="DA290">
            <v>-350000</v>
          </cell>
          <cell r="DB290">
            <v>-453846.15400000004</v>
          </cell>
          <cell r="DC290">
            <v>1500000</v>
          </cell>
          <cell r="DD290">
            <v>695128.09300000011</v>
          </cell>
          <cell r="DE290">
            <v>1633232.1939999964</v>
          </cell>
          <cell r="DF290">
            <v>0</v>
          </cell>
          <cell r="DG290">
            <v>-1118228.2960000038</v>
          </cell>
          <cell r="DH290">
            <v>2751460.49</v>
          </cell>
          <cell r="DI290">
            <v>-3859054.5279999999</v>
          </cell>
          <cell r="DJ290">
            <v>0</v>
          </cell>
          <cell r="DK290">
            <v>0</v>
          </cell>
          <cell r="DL290">
            <v>0</v>
          </cell>
          <cell r="DM290">
            <v>0</v>
          </cell>
          <cell r="DN290">
            <v>0</v>
          </cell>
          <cell r="DO290">
            <v>0</v>
          </cell>
          <cell r="DP290">
            <v>-4728801.7939999998</v>
          </cell>
          <cell r="DQ290">
            <v>-493198.41</v>
          </cell>
          <cell r="DR290">
            <v>869747.26600000006</v>
          </cell>
          <cell r="DS290">
            <v>0</v>
          </cell>
          <cell r="DT290">
            <v>6.7952010780572891E-2</v>
          </cell>
          <cell r="DU290">
            <v>0</v>
          </cell>
          <cell r="DV290">
            <v>0</v>
          </cell>
          <cell r="DW290">
            <v>8894995.8450000007</v>
          </cell>
          <cell r="DX290">
            <v>0</v>
          </cell>
          <cell r="DY290">
            <v>0</v>
          </cell>
          <cell r="DZ290">
            <v>2340194.8190000001</v>
          </cell>
          <cell r="EA290">
            <v>19713637.471000001</v>
          </cell>
          <cell r="EB290">
            <v>13158836.445</v>
          </cell>
          <cell r="EC290">
            <v>6554801.0260000005</v>
          </cell>
          <cell r="EF290">
            <v>10</v>
          </cell>
        </row>
        <row r="291">
          <cell r="E291">
            <v>37512.625</v>
          </cell>
          <cell r="F291">
            <v>253067543.29704803</v>
          </cell>
          <cell r="G291">
            <v>195618842.09504801</v>
          </cell>
          <cell r="H291">
            <v>195607983.37886801</v>
          </cell>
          <cell r="I291">
            <v>182587873.70586801</v>
          </cell>
          <cell r="J291">
            <v>46822155.496999994</v>
          </cell>
          <cell r="K291">
            <v>23503297.100000001</v>
          </cell>
          <cell r="L291">
            <v>2023979.088</v>
          </cell>
          <cell r="M291">
            <v>804882.4428679999</v>
          </cell>
          <cell r="N291">
            <v>98127785.083000004</v>
          </cell>
          <cell r="O291">
            <v>67238062.044</v>
          </cell>
          <cell r="P291">
            <v>12722249.517999999</v>
          </cell>
          <cell r="Q291">
            <v>18167473.521000002</v>
          </cell>
          <cell r="R291">
            <v>32906834.364999998</v>
          </cell>
          <cell r="S291">
            <v>26186959.715999998</v>
          </cell>
          <cell r="T291">
            <v>2837991.5989999999</v>
          </cell>
          <cell r="U291">
            <v>3881883.05</v>
          </cell>
          <cell r="V291">
            <v>1901768.660748238</v>
          </cell>
          <cell r="W291">
            <v>1902237.23</v>
          </cell>
          <cell r="X291">
            <v>13020109.672999999</v>
          </cell>
          <cell r="Y291">
            <v>240291.78700000001</v>
          </cell>
          <cell r="Z291">
            <v>3567397.2339999997</v>
          </cell>
          <cell r="AA291">
            <v>1293255.1129999999</v>
          </cell>
          <cell r="AB291">
            <v>0</v>
          </cell>
          <cell r="AC291">
            <v>7919165.5389999989</v>
          </cell>
          <cell r="AD291">
            <v>10858.716179999999</v>
          </cell>
          <cell r="AE291">
            <v>57448701.202000007</v>
          </cell>
          <cell r="AF291">
            <v>43021701.202000007</v>
          </cell>
          <cell r="AG291">
            <v>14427000</v>
          </cell>
          <cell r="AH291">
            <v>333519010.71399999</v>
          </cell>
          <cell r="AI291">
            <v>241189558.02900001</v>
          </cell>
          <cell r="AJ291">
            <v>238143238.083</v>
          </cell>
          <cell r="AK291">
            <v>43634868.465999998</v>
          </cell>
          <cell r="AL291">
            <v>18250170.248</v>
          </cell>
          <cell r="AM291">
            <v>190519378.954</v>
          </cell>
          <cell r="AN291">
            <v>10254076.708000001</v>
          </cell>
          <cell r="AO291">
            <v>74658765.978000015</v>
          </cell>
          <cell r="AP291">
            <v>762086.6</v>
          </cell>
          <cell r="AQ291">
            <v>44901255.303000003</v>
          </cell>
          <cell r="AR291">
            <v>6796964.0129999993</v>
          </cell>
          <cell r="AS291">
            <v>12225692.277000001</v>
          </cell>
          <cell r="AT291">
            <v>3046319.9460000005</v>
          </cell>
          <cell r="AU291">
            <v>9179372.3310000002</v>
          </cell>
          <cell r="AV291">
            <v>58733665.395999998</v>
          </cell>
          <cell r="AW291">
            <v>0</v>
          </cell>
          <cell r="AX291">
            <v>10000.02</v>
          </cell>
          <cell r="AY291">
            <v>8629428.5869999994</v>
          </cell>
          <cell r="AZ291">
            <v>1100812.7830000001</v>
          </cell>
          <cell r="BA291">
            <v>6102987.534</v>
          </cell>
          <cell r="BB291">
            <v>144502627.204</v>
          </cell>
          <cell r="BC291">
            <v>59240076.156000003</v>
          </cell>
          <cell r="BD291">
            <v>10976896.006999999</v>
          </cell>
          <cell r="BE291">
            <v>0</v>
          </cell>
          <cell r="BF291">
            <v>2112470.6940000001</v>
          </cell>
          <cell r="BG291">
            <v>0</v>
          </cell>
          <cell r="BH291">
            <v>83150080.354000002</v>
          </cell>
          <cell r="BI291">
            <v>43021701.202000007</v>
          </cell>
          <cell r="BJ291">
            <v>40128379.152000003</v>
          </cell>
          <cell r="BK291">
            <v>-1502995.4439999997</v>
          </cell>
          <cell r="BL291">
            <v>-2356885.5159999998</v>
          </cell>
          <cell r="BM291">
            <v>853890.07200000004</v>
          </cell>
          <cell r="BN291">
            <v>-80451467.416951954</v>
          </cell>
          <cell r="BO291">
            <v>-137900168.61895198</v>
          </cell>
          <cell r="BP291">
            <v>-125674476.34195197</v>
          </cell>
          <cell r="BQ291">
            <v>-54750088.264951974</v>
          </cell>
          <cell r="BR291">
            <v>26952205.022000011</v>
          </cell>
          <cell r="BS291">
            <v>736461.62200000044</v>
          </cell>
          <cell r="BT291">
            <v>736461.43400000036</v>
          </cell>
          <cell r="BU291">
            <v>0.18800000009053242</v>
          </cell>
          <cell r="BV291">
            <v>6402435.2860000096</v>
          </cell>
          <cell r="BW291">
            <v>0</v>
          </cell>
          <cell r="BX291">
            <v>19813308.114</v>
          </cell>
          <cell r="BZ291">
            <v>-53499262.39495194</v>
          </cell>
          <cell r="CA291">
            <v>-110947963.59695195</v>
          </cell>
          <cell r="CB291">
            <v>53499262.407000005</v>
          </cell>
          <cell r="CC291">
            <v>57530678.053000011</v>
          </cell>
          <cell r="CD291">
            <v>75338260.123000011</v>
          </cell>
          <cell r="CE291">
            <v>40128379.152000003</v>
          </cell>
          <cell r="CF291">
            <v>21456000.344000001</v>
          </cell>
          <cell r="CG291">
            <v>13753880.627</v>
          </cell>
          <cell r="CH291">
            <v>-17637921.380000003</v>
          </cell>
          <cell r="CI291">
            <v>-169660.69</v>
          </cell>
          <cell r="CJ291">
            <v>-4031415.6460000062</v>
          </cell>
          <cell r="CK291">
            <v>2044028.6059999941</v>
          </cell>
          <cell r="CL291">
            <v>-15871093.943</v>
          </cell>
          <cell r="CM291">
            <v>-273893.94299999997</v>
          </cell>
          <cell r="CN291">
            <v>5221000</v>
          </cell>
          <cell r="CO291">
            <v>-5494893.943</v>
          </cell>
          <cell r="CP291">
            <v>-15597200</v>
          </cell>
          <cell r="CQ291">
            <v>0</v>
          </cell>
          <cell r="CR291">
            <v>0</v>
          </cell>
          <cell r="CS291">
            <v>-205600</v>
          </cell>
          <cell r="CT291">
            <v>0</v>
          </cell>
          <cell r="CU291">
            <v>-15391600</v>
          </cell>
          <cell r="CV291">
            <v>-8162700</v>
          </cell>
          <cell r="CW291">
            <v>0</v>
          </cell>
          <cell r="CX291">
            <v>16848303.224999998</v>
          </cell>
          <cell r="CY291">
            <v>0</v>
          </cell>
          <cell r="CZ291">
            <v>16723722.825999999</v>
          </cell>
          <cell r="DA291">
            <v>-350000</v>
          </cell>
          <cell r="DB291">
            <v>-726277.17400000012</v>
          </cell>
          <cell r="DC291">
            <v>17800000</v>
          </cell>
          <cell r="DD291">
            <v>124580.39900000009</v>
          </cell>
          <cell r="DE291">
            <v>1066819.3239999963</v>
          </cell>
          <cell r="DF291">
            <v>0</v>
          </cell>
          <cell r="DG291">
            <v>-1722231.9940000027</v>
          </cell>
          <cell r="DH291">
            <v>2789051.317999999</v>
          </cell>
          <cell r="DI291">
            <v>-6075444.2520000003</v>
          </cell>
          <cell r="DJ291">
            <v>0</v>
          </cell>
          <cell r="DK291">
            <v>0</v>
          </cell>
          <cell r="DL291">
            <v>0</v>
          </cell>
          <cell r="DM291">
            <v>0</v>
          </cell>
          <cell r="DN291">
            <v>0</v>
          </cell>
          <cell r="DO291">
            <v>0</v>
          </cell>
          <cell r="DP291">
            <v>-6947497.7560000001</v>
          </cell>
          <cell r="DQ291">
            <v>-739797.61499999999</v>
          </cell>
          <cell r="DR291">
            <v>872053.50400000007</v>
          </cell>
          <cell r="DS291">
            <v>0</v>
          </cell>
          <cell r="DT291">
            <v>-1.2048065662384033E-2</v>
          </cell>
          <cell r="DU291">
            <v>0</v>
          </cell>
          <cell r="DV291">
            <v>0</v>
          </cell>
          <cell r="DW291">
            <v>12225692.277000001</v>
          </cell>
          <cell r="DX291">
            <v>0</v>
          </cell>
          <cell r="DY291">
            <v>0</v>
          </cell>
          <cell r="DZ291">
            <v>3046319.9460000005</v>
          </cell>
          <cell r="EA291">
            <v>26817293.711000003</v>
          </cell>
          <cell r="EB291">
            <v>17637921.380000003</v>
          </cell>
          <cell r="EC291">
            <v>9179372.3310000002</v>
          </cell>
          <cell r="EF291">
            <v>11</v>
          </cell>
        </row>
        <row r="292">
          <cell r="E292">
            <v>37603.9375</v>
          </cell>
          <cell r="F292">
            <v>346491665.619048</v>
          </cell>
          <cell r="G292">
            <v>259442588.57904798</v>
          </cell>
          <cell r="H292">
            <v>259403319.03886798</v>
          </cell>
          <cell r="I292">
            <v>240876462.29886797</v>
          </cell>
          <cell r="J292">
            <v>61680853.969999999</v>
          </cell>
          <cell r="K292">
            <v>29012784.755000003</v>
          </cell>
          <cell r="L292">
            <v>3001561.818</v>
          </cell>
          <cell r="M292">
            <v>1147452.8308679999</v>
          </cell>
          <cell r="N292">
            <v>130176284.33399999</v>
          </cell>
          <cell r="O292">
            <v>89523270.938999996</v>
          </cell>
          <cell r="P292">
            <v>17492303.153999999</v>
          </cell>
          <cell r="Q292">
            <v>23160710.241000004</v>
          </cell>
          <cell r="R292">
            <v>42391091.662</v>
          </cell>
          <cell r="S292">
            <v>34610349.592</v>
          </cell>
          <cell r="T292">
            <v>3680125.0970000001</v>
          </cell>
          <cell r="U292">
            <v>4100616.9729999998</v>
          </cell>
          <cell r="V292">
            <v>1901768.660748238</v>
          </cell>
          <cell r="W292">
            <v>2479217.6839999999</v>
          </cell>
          <cell r="X292">
            <v>18526856.739999998</v>
          </cell>
          <cell r="Y292">
            <v>297109.88300000003</v>
          </cell>
          <cell r="Z292">
            <v>4287486</v>
          </cell>
          <cell r="AA292">
            <v>2137891</v>
          </cell>
          <cell r="AB292">
            <v>0</v>
          </cell>
          <cell r="AC292">
            <v>11804369.856999999</v>
          </cell>
          <cell r="AD292">
            <v>39269.540179999996</v>
          </cell>
          <cell r="AE292">
            <v>87049077.040000007</v>
          </cell>
          <cell r="AF292">
            <v>57112077.040000007</v>
          </cell>
          <cell r="AG292">
            <v>29937000</v>
          </cell>
          <cell r="AH292">
            <v>447297852.88999999</v>
          </cell>
          <cell r="AI292">
            <v>322495110.05199993</v>
          </cell>
          <cell r="AJ292">
            <v>318684121.62499994</v>
          </cell>
          <cell r="AK292">
            <v>81168933.729999989</v>
          </cell>
          <cell r="AL292">
            <v>29572748.123</v>
          </cell>
          <cell r="AM292">
            <v>251367104.19</v>
          </cell>
          <cell r="AN292">
            <v>10975785.006000001</v>
          </cell>
          <cell r="AO292">
            <v>103103513.64899999</v>
          </cell>
          <cell r="AP292">
            <v>762086.6</v>
          </cell>
          <cell r="AQ292">
            <v>62503169.553999998</v>
          </cell>
          <cell r="AR292">
            <v>7518672.3109999998</v>
          </cell>
          <cell r="AS292">
            <v>16671046.796</v>
          </cell>
          <cell r="AT292">
            <v>3810988.4270000001</v>
          </cell>
          <cell r="AU292">
            <v>12860058.368999999</v>
          </cell>
          <cell r="AV292">
            <v>69089374.191000015</v>
          </cell>
          <cell r="AW292">
            <v>0</v>
          </cell>
          <cell r="AX292">
            <v>10000.02</v>
          </cell>
          <cell r="AY292">
            <v>11914829.625</v>
          </cell>
          <cell r="AZ292">
            <v>1488624.6490000002</v>
          </cell>
          <cell r="BA292">
            <v>7393794.4809999997</v>
          </cell>
          <cell r="BB292">
            <v>198676465.76800001</v>
          </cell>
          <cell r="BC292">
            <v>84611310.604999989</v>
          </cell>
          <cell r="BD292">
            <v>13351400.908999998</v>
          </cell>
          <cell r="BE292">
            <v>0</v>
          </cell>
          <cell r="BF292">
            <v>2122470.6940000001</v>
          </cell>
          <cell r="BG292">
            <v>0</v>
          </cell>
          <cell r="BH292">
            <v>111942684.46900001</v>
          </cell>
          <cell r="BI292">
            <v>57112077.040000007</v>
          </cell>
          <cell r="BJ292">
            <v>54830607.429000005</v>
          </cell>
          <cell r="BK292">
            <v>-2745717.068</v>
          </cell>
          <cell r="BL292">
            <v>-3619951</v>
          </cell>
          <cell r="BM292">
            <v>874233.93200000003</v>
          </cell>
          <cell r="BN292">
            <v>-100806187.27095199</v>
          </cell>
          <cell r="BO292">
            <v>-187855264.31095201</v>
          </cell>
          <cell r="BP292">
            <v>-171184217.514952</v>
          </cell>
          <cell r="BQ292">
            <v>-75912579.841952026</v>
          </cell>
          <cell r="BR292">
            <v>30205897.660999998</v>
          </cell>
          <cell r="BS292">
            <v>-7325876.5370000005</v>
          </cell>
          <cell r="BT292">
            <v>-7325876.7230000002</v>
          </cell>
          <cell r="BU292">
            <v>0.18600000017812701</v>
          </cell>
          <cell r="BV292">
            <v>6905629.3899999997</v>
          </cell>
          <cell r="BW292">
            <v>0</v>
          </cell>
          <cell r="BX292">
            <v>30626144.807999998</v>
          </cell>
          <cell r="BZ292">
            <v>-70600289.609951988</v>
          </cell>
          <cell r="CA292">
            <v>-157649366.64995199</v>
          </cell>
          <cell r="CB292">
            <v>70600289.278999999</v>
          </cell>
          <cell r="CC292">
            <v>93882640.738000005</v>
          </cell>
          <cell r="CD292">
            <v>121576213.398</v>
          </cell>
          <cell r="CE292">
            <v>54830607.429000005</v>
          </cell>
          <cell r="CF292">
            <v>45954000.343999997</v>
          </cell>
          <cell r="CG292">
            <v>20791605.625</v>
          </cell>
          <cell r="CH292">
            <v>-27490425.817000005</v>
          </cell>
          <cell r="CI292">
            <v>-203146.84299999985</v>
          </cell>
          <cell r="CJ292">
            <v>-23282351.459000003</v>
          </cell>
          <cell r="CK292">
            <v>-30218404.541000001</v>
          </cell>
          <cell r="CL292">
            <v>-38262296.880999997</v>
          </cell>
          <cell r="CM292">
            <v>1335503.118999999</v>
          </cell>
          <cell r="CN292">
            <v>10114000</v>
          </cell>
          <cell r="CO292">
            <v>-8778496.881000001</v>
          </cell>
          <cell r="CP292">
            <v>-39597800</v>
          </cell>
          <cell r="CQ292">
            <v>0</v>
          </cell>
          <cell r="CR292">
            <v>0</v>
          </cell>
          <cell r="CS292">
            <v>138300</v>
          </cell>
          <cell r="CT292">
            <v>0</v>
          </cell>
          <cell r="CU292">
            <v>-39736100</v>
          </cell>
          <cell r="CV292">
            <v>-19223857.399</v>
          </cell>
          <cell r="CW292">
            <v>0</v>
          </cell>
          <cell r="CX292">
            <v>6971310.2760000005</v>
          </cell>
          <cell r="CY292">
            <v>0</v>
          </cell>
          <cell r="CZ292">
            <v>7004492.057</v>
          </cell>
          <cell r="DA292">
            <v>-700000</v>
          </cell>
          <cell r="DB292">
            <v>-1295507.943</v>
          </cell>
          <cell r="DC292">
            <v>9000000</v>
          </cell>
          <cell r="DD292">
            <v>-33181.78099999993</v>
          </cell>
          <cell r="DE292">
            <v>1072582.0639999975</v>
          </cell>
          <cell r="DF292">
            <v>0</v>
          </cell>
          <cell r="DG292">
            <v>-2326235.6920000017</v>
          </cell>
          <cell r="DH292">
            <v>3398817.7559999991</v>
          </cell>
          <cell r="DI292">
            <v>6936053.0819999995</v>
          </cell>
          <cell r="DJ292">
            <v>14250000</v>
          </cell>
          <cell r="DK292">
            <v>0</v>
          </cell>
          <cell r="DL292">
            <v>0</v>
          </cell>
          <cell r="DM292">
            <v>0</v>
          </cell>
          <cell r="DN292">
            <v>0</v>
          </cell>
          <cell r="DO292">
            <v>0</v>
          </cell>
          <cell r="DP292">
            <v>-8186296.3840000005</v>
          </cell>
          <cell r="DQ292">
            <v>-986396.82</v>
          </cell>
          <cell r="DR292">
            <v>872349.46600000025</v>
          </cell>
          <cell r="DS292">
            <v>0</v>
          </cell>
          <cell r="DT292">
            <v>0.330951988697052</v>
          </cell>
          <cell r="DU292">
            <v>65448009.513000011</v>
          </cell>
          <cell r="DV292">
            <v>48776962.717000008</v>
          </cell>
          <cell r="DW292">
            <v>16671046.796</v>
          </cell>
          <cell r="DX292">
            <v>25097525.327</v>
          </cell>
          <cell r="DY292">
            <v>21286536.899999999</v>
          </cell>
          <cell r="DZ292">
            <v>3810988.4270000001</v>
          </cell>
          <cell r="EA292">
            <v>40350484.186000004</v>
          </cell>
          <cell r="EB292">
            <v>27490425.817000005</v>
          </cell>
          <cell r="EC292">
            <v>12860058.368999999</v>
          </cell>
          <cell r="EF292">
            <v>12</v>
          </cell>
        </row>
        <row r="293">
          <cell r="E293">
            <v>37695.25</v>
          </cell>
          <cell r="F293">
            <v>76170017.044</v>
          </cell>
          <cell r="G293">
            <v>58876773.158</v>
          </cell>
          <cell r="H293">
            <v>58876727.598999999</v>
          </cell>
          <cell r="I293">
            <v>56051090.424000002</v>
          </cell>
          <cell r="J293">
            <v>10625839.772999998</v>
          </cell>
          <cell r="K293">
            <v>3888324.0669999998</v>
          </cell>
          <cell r="L293">
            <v>896702.02499999991</v>
          </cell>
          <cell r="M293">
            <v>344001.87899999996</v>
          </cell>
          <cell r="N293">
            <v>33830492.464000002</v>
          </cell>
          <cell r="O293">
            <v>24206692.747000001</v>
          </cell>
          <cell r="P293">
            <v>4082545.7010000004</v>
          </cell>
          <cell r="Q293">
            <v>5541254.015999997</v>
          </cell>
          <cell r="R293">
            <v>9694868.9129999988</v>
          </cell>
          <cell r="S293">
            <v>9153059.2419999987</v>
          </cell>
          <cell r="T293">
            <v>364178.83100000001</v>
          </cell>
          <cell r="U293">
            <v>177630.84</v>
          </cell>
          <cell r="V293">
            <v>0</v>
          </cell>
          <cell r="W293">
            <v>659185.37</v>
          </cell>
          <cell r="X293">
            <v>2825637.1749999998</v>
          </cell>
          <cell r="Y293">
            <v>248578.848</v>
          </cell>
          <cell r="Z293">
            <v>1908661.7930000001</v>
          </cell>
          <cell r="AA293">
            <v>181178.25200000001</v>
          </cell>
          <cell r="AB293">
            <v>216442.49900000001</v>
          </cell>
          <cell r="AC293">
            <v>270775.78300000005</v>
          </cell>
          <cell r="AD293">
            <v>45.558999999995649</v>
          </cell>
          <cell r="AE293">
            <v>17293243.886000004</v>
          </cell>
          <cell r="AF293">
            <v>14041094.354000002</v>
          </cell>
          <cell r="AG293">
            <v>3252149.5320000001</v>
          </cell>
          <cell r="AH293">
            <v>115825065.502</v>
          </cell>
          <cell r="AI293">
            <v>81633531.59800002</v>
          </cell>
          <cell r="AJ293">
            <v>80380392.571000025</v>
          </cell>
          <cell r="AK293">
            <v>14597650.677999999</v>
          </cell>
          <cell r="AL293">
            <v>7875507.9670000002</v>
          </cell>
          <cell r="AM293">
            <v>57908681.669</v>
          </cell>
          <cell r="AN293">
            <v>3260447.8329999996</v>
          </cell>
          <cell r="AO293">
            <v>26707819.157000002</v>
          </cell>
          <cell r="AP293">
            <v>478928.12400000001</v>
          </cell>
          <cell r="AQ293">
            <v>12005515.833999999</v>
          </cell>
          <cell r="AR293">
            <v>1716867.9889999998</v>
          </cell>
          <cell r="AS293">
            <v>3519532.9380000001</v>
          </cell>
          <cell r="AT293">
            <v>1253139.027</v>
          </cell>
          <cell r="AU293">
            <v>2266393.9110000003</v>
          </cell>
          <cell r="AV293">
            <v>15675813.740000004</v>
          </cell>
          <cell r="AW293">
            <v>0</v>
          </cell>
          <cell r="AX293">
            <v>0</v>
          </cell>
          <cell r="AY293">
            <v>2430867.5520000001</v>
          </cell>
          <cell r="AZ293">
            <v>55925.903000000006</v>
          </cell>
          <cell r="BA293">
            <v>3348744.0939999996</v>
          </cell>
          <cell r="BB293">
            <v>51944399.108999997</v>
          </cell>
          <cell r="BC293">
            <v>19970700.524999999</v>
          </cell>
          <cell r="BD293">
            <v>5174701.7110000001</v>
          </cell>
          <cell r="BE293">
            <v>0</v>
          </cell>
          <cell r="BF293">
            <v>48558.591</v>
          </cell>
          <cell r="BG293">
            <v>0</v>
          </cell>
          <cell r="BH293">
            <v>31925139.993000001</v>
          </cell>
          <cell r="BI293">
            <v>14041094.354000002</v>
          </cell>
          <cell r="BJ293">
            <v>17884045.638999999</v>
          </cell>
          <cell r="BK293">
            <v>5971984.7239999995</v>
          </cell>
          <cell r="BL293">
            <v>-413049.34299999999</v>
          </cell>
          <cell r="BM293">
            <v>6385034.0669999998</v>
          </cell>
          <cell r="BN293">
            <v>-39655048.458000004</v>
          </cell>
          <cell r="BO293">
            <v>-56948292.344000012</v>
          </cell>
          <cell r="BP293">
            <v>-53428759.406000011</v>
          </cell>
          <cell r="BQ293">
            <v>-25023152.351000004</v>
          </cell>
          <cell r="BR293">
            <v>4082307.6570000015</v>
          </cell>
          <cell r="BS293">
            <v>1680754.6310000001</v>
          </cell>
          <cell r="BT293">
            <v>1680754.6310000001</v>
          </cell>
          <cell r="BU293">
            <v>0</v>
          </cell>
          <cell r="BV293">
            <v>10650592.116</v>
          </cell>
          <cell r="BW293">
            <v>0</v>
          </cell>
          <cell r="BX293">
            <v>-8249039.0899999999</v>
          </cell>
          <cell r="BZ293">
            <v>-35572740.800999999</v>
          </cell>
          <cell r="CA293">
            <v>-52865984.687000006</v>
          </cell>
          <cell r="CB293">
            <v>35572741.018999994</v>
          </cell>
          <cell r="CC293">
            <v>17358813.344000001</v>
          </cell>
          <cell r="CD293">
            <v>22058240.919</v>
          </cell>
          <cell r="CE293">
            <v>17884045.638999999</v>
          </cell>
          <cell r="CF293">
            <v>0</v>
          </cell>
          <cell r="CG293">
            <v>4174195.28</v>
          </cell>
          <cell r="CH293">
            <v>-4699427.5750000002</v>
          </cell>
          <cell r="CI293">
            <v>0</v>
          </cell>
          <cell r="CJ293">
            <v>18213927.674999997</v>
          </cell>
          <cell r="CK293">
            <v>21495456.925999999</v>
          </cell>
          <cell r="CL293">
            <v>23176292.614</v>
          </cell>
          <cell r="CM293">
            <v>-1767307.3859999999</v>
          </cell>
          <cell r="CN293">
            <v>0</v>
          </cell>
          <cell r="CO293">
            <v>-1767307.3859999999</v>
          </cell>
          <cell r="CP293">
            <v>24943600</v>
          </cell>
          <cell r="CQ293">
            <v>0</v>
          </cell>
          <cell r="CR293">
            <v>0</v>
          </cell>
          <cell r="CS293">
            <v>-723600</v>
          </cell>
          <cell r="CT293">
            <v>0</v>
          </cell>
          <cell r="CU293">
            <v>25667200</v>
          </cell>
          <cell r="CV293">
            <v>0</v>
          </cell>
          <cell r="CW293">
            <v>0</v>
          </cell>
          <cell r="CX293">
            <v>-38359.569999999971</v>
          </cell>
          <cell r="CY293">
            <v>-32892.743999999999</v>
          </cell>
          <cell r="CZ293">
            <v>0</v>
          </cell>
          <cell r="DA293">
            <v>0</v>
          </cell>
          <cell r="DB293">
            <v>0</v>
          </cell>
          <cell r="DC293">
            <v>0</v>
          </cell>
          <cell r="DD293">
            <v>-5466.8259999999718</v>
          </cell>
          <cell r="DE293">
            <v>-1642476.1179999989</v>
          </cell>
          <cell r="DF293">
            <v>0</v>
          </cell>
          <cell r="DG293">
            <v>-604003.69799999893</v>
          </cell>
          <cell r="DH293">
            <v>-1038472.42</v>
          </cell>
          <cell r="DI293">
            <v>-3281529.2510000002</v>
          </cell>
          <cell r="DJ293">
            <v>0</v>
          </cell>
          <cell r="DK293">
            <v>0</v>
          </cell>
          <cell r="DL293">
            <v>0</v>
          </cell>
          <cell r="DM293">
            <v>0</v>
          </cell>
          <cell r="DN293">
            <v>0</v>
          </cell>
          <cell r="DO293">
            <v>0</v>
          </cell>
          <cell r="DP293">
            <v>-3281529.2510000002</v>
          </cell>
          <cell r="DQ293">
            <v>-246599.20500000002</v>
          </cell>
          <cell r="DR293">
            <v>0</v>
          </cell>
          <cell r="DS293">
            <v>0</v>
          </cell>
          <cell r="DT293">
            <v>-0.21799999475479126</v>
          </cell>
          <cell r="DU293">
            <v>0</v>
          </cell>
          <cell r="DV293">
            <v>0</v>
          </cell>
          <cell r="DW293">
            <v>3519532.9380000001</v>
          </cell>
          <cell r="DX293">
            <v>0</v>
          </cell>
          <cell r="DY293">
            <v>0</v>
          </cell>
          <cell r="DZ293">
            <v>1253139.027</v>
          </cell>
          <cell r="EA293">
            <v>6965821.4860000005</v>
          </cell>
          <cell r="EB293">
            <v>4699427.5750000002</v>
          </cell>
          <cell r="EC293">
            <v>2266393.9110000003</v>
          </cell>
          <cell r="EF293">
            <v>13</v>
          </cell>
        </row>
        <row r="294">
          <cell r="E294">
            <v>37786.5625</v>
          </cell>
          <cell r="F294">
            <v>197104450.28000003</v>
          </cell>
          <cell r="G294">
            <v>146136388.22900003</v>
          </cell>
          <cell r="H294">
            <v>146091730.01400003</v>
          </cell>
          <cell r="I294">
            <v>135156260.87600002</v>
          </cell>
          <cell r="J294">
            <v>36634940.743000001</v>
          </cell>
          <cell r="K294">
            <v>22299030.910000004</v>
          </cell>
          <cell r="L294">
            <v>1679221.3089999999</v>
          </cell>
          <cell r="M294">
            <v>835659.57499999995</v>
          </cell>
          <cell r="N294">
            <v>73448069.218999997</v>
          </cell>
          <cell r="O294">
            <v>52422781.769000001</v>
          </cell>
          <cell r="P294">
            <v>8533800.9360000007</v>
          </cell>
          <cell r="Q294">
            <v>12491486.513999995</v>
          </cell>
          <cell r="R294">
            <v>21137979.348000001</v>
          </cell>
          <cell r="S294">
            <v>19562597.039999999</v>
          </cell>
          <cell r="T294">
            <v>805772.87699999998</v>
          </cell>
          <cell r="U294">
            <v>769609.43099999998</v>
          </cell>
          <cell r="V294">
            <v>421856</v>
          </cell>
          <cell r="W294">
            <v>1420390.682</v>
          </cell>
          <cell r="X294">
            <v>10935469.138</v>
          </cell>
          <cell r="Y294">
            <v>796218.26099999994</v>
          </cell>
          <cell r="Z294">
            <v>4280900.05</v>
          </cell>
          <cell r="AA294">
            <v>533596.82200000004</v>
          </cell>
          <cell r="AB294">
            <v>3174247.4479999999</v>
          </cell>
          <cell r="AC294">
            <v>2150506.5569999996</v>
          </cell>
          <cell r="AD294">
            <v>44658.215000000026</v>
          </cell>
          <cell r="AE294">
            <v>50968062.050999999</v>
          </cell>
          <cell r="AF294">
            <v>31149438.056000002</v>
          </cell>
          <cell r="AG294">
            <v>19818623.995000001</v>
          </cell>
          <cell r="AH294">
            <v>255928958.70409</v>
          </cell>
          <cell r="AI294">
            <v>185701589.10800001</v>
          </cell>
          <cell r="AJ294">
            <v>181401177.07700002</v>
          </cell>
          <cell r="AK294">
            <v>33125451.272999998</v>
          </cell>
          <cell r="AL294">
            <v>13848580.768999999</v>
          </cell>
          <cell r="AM294">
            <v>128233897.62108999</v>
          </cell>
          <cell r="AN294">
            <v>6973777.6009999989</v>
          </cell>
          <cell r="AO294">
            <v>53725020.122999996</v>
          </cell>
          <cell r="AP294">
            <v>778471.12400000007</v>
          </cell>
          <cell r="AQ294">
            <v>28175069.482999995</v>
          </cell>
          <cell r="AR294">
            <v>4435603.7230000002</v>
          </cell>
          <cell r="AS294">
            <v>9999561.74309</v>
          </cell>
          <cell r="AT294">
            <v>4300412.0310000004</v>
          </cell>
          <cell r="AU294">
            <v>5699149.7120900005</v>
          </cell>
          <cell r="AV294">
            <v>36334246.272000007</v>
          </cell>
          <cell r="AW294">
            <v>0</v>
          </cell>
          <cell r="AX294">
            <v>0</v>
          </cell>
          <cell r="AY294">
            <v>6198996.852</v>
          </cell>
          <cell r="AZ294">
            <v>453781.00599999999</v>
          </cell>
          <cell r="BA294">
            <v>7519365.2199999997</v>
          </cell>
          <cell r="BB294">
            <v>112559636.47499999</v>
          </cell>
          <cell r="BC294">
            <v>47011195.055</v>
          </cell>
          <cell r="BD294">
            <v>9523951.5269999988</v>
          </cell>
          <cell r="BE294">
            <v>0</v>
          </cell>
          <cell r="BF294">
            <v>1020221.536</v>
          </cell>
          <cell r="BG294">
            <v>0</v>
          </cell>
          <cell r="BH294">
            <v>64528219.884000003</v>
          </cell>
          <cell r="BI294">
            <v>31149438.056000002</v>
          </cell>
          <cell r="BJ294">
            <v>33378781.828000002</v>
          </cell>
          <cell r="BK294">
            <v>15135424.607999999</v>
          </cell>
          <cell r="BL294">
            <v>-1488594.46</v>
          </cell>
          <cell r="BM294">
            <v>16624019.067999998</v>
          </cell>
          <cell r="BN294">
            <v>-58824508.424089968</v>
          </cell>
          <cell r="BO294">
            <v>-109792570.47508997</v>
          </cell>
          <cell r="BP294">
            <v>-99793008.731999964</v>
          </cell>
          <cell r="BQ294">
            <v>-45264350.591089964</v>
          </cell>
          <cell r="BR294">
            <v>10963419.335000001</v>
          </cell>
          <cell r="BS294">
            <v>2830841.55</v>
          </cell>
          <cell r="BT294">
            <v>2830841.55</v>
          </cell>
          <cell r="BU294">
            <v>0</v>
          </cell>
          <cell r="BV294">
            <v>9256967.5179999992</v>
          </cell>
          <cell r="BW294">
            <v>0</v>
          </cell>
          <cell r="BX294">
            <v>-1124389.733</v>
          </cell>
          <cell r="BZ294">
            <v>-47861089.089089967</v>
          </cell>
          <cell r="CA294">
            <v>-98829151.140089959</v>
          </cell>
          <cell r="CB294">
            <v>47861089.043172002</v>
          </cell>
          <cell r="CC294">
            <v>32416501.814172</v>
          </cell>
          <cell r="CD294">
            <v>44637311.438000001</v>
          </cell>
          <cell r="CE294">
            <v>33378781.828000002</v>
          </cell>
          <cell r="CF294">
            <v>0</v>
          </cell>
          <cell r="CG294">
            <v>11258529.609999999</v>
          </cell>
          <cell r="CH294">
            <v>-12220774.339</v>
          </cell>
          <cell r="CI294">
            <v>-35.284828000000019</v>
          </cell>
          <cell r="CJ294">
            <v>15444587.229000002</v>
          </cell>
          <cell r="CK294">
            <v>-798042.78799999785</v>
          </cell>
          <cell r="CL294">
            <v>1775575.977</v>
          </cell>
          <cell r="CM294">
            <v>-2187452.0750000002</v>
          </cell>
          <cell r="CN294">
            <v>2756000</v>
          </cell>
          <cell r="CO294">
            <v>-4943452.0750000002</v>
          </cell>
          <cell r="CP294">
            <v>3963028.0520000001</v>
          </cell>
          <cell r="CQ294">
            <v>-1488471.9479999999</v>
          </cell>
          <cell r="CR294">
            <v>-747000</v>
          </cell>
          <cell r="CS294">
            <v>-1064600</v>
          </cell>
          <cell r="CT294">
            <v>0</v>
          </cell>
          <cell r="CU294">
            <v>7263100</v>
          </cell>
          <cell r="CV294">
            <v>-9374600</v>
          </cell>
          <cell r="CW294">
            <v>0</v>
          </cell>
          <cell r="CX294">
            <v>-625919.47000000009</v>
          </cell>
          <cell r="CY294">
            <v>-65785.487999999998</v>
          </cell>
          <cell r="CZ294">
            <v>-803846.1540000001</v>
          </cell>
          <cell r="DA294">
            <v>-350000</v>
          </cell>
          <cell r="DB294">
            <v>-453846.15400000004</v>
          </cell>
          <cell r="DC294">
            <v>0</v>
          </cell>
          <cell r="DD294">
            <v>243712.17199999999</v>
          </cell>
          <cell r="DE294">
            <v>-1947699.2949999976</v>
          </cell>
          <cell r="DF294">
            <v>0</v>
          </cell>
          <cell r="DG294">
            <v>-1208007.3959999979</v>
          </cell>
          <cell r="DH294">
            <v>-739691.89899999974</v>
          </cell>
          <cell r="DI294">
            <v>16242630.017000001</v>
          </cell>
          <cell r="DJ294">
            <v>21000000</v>
          </cell>
          <cell r="DK294">
            <v>0</v>
          </cell>
          <cell r="DL294">
            <v>0</v>
          </cell>
          <cell r="DM294">
            <v>44250000</v>
          </cell>
          <cell r="DN294">
            <v>-23250000</v>
          </cell>
          <cell r="DO294">
            <v>0</v>
          </cell>
          <cell r="DP294">
            <v>-4757369.983</v>
          </cell>
          <cell r="DQ294">
            <v>-493198.41</v>
          </cell>
          <cell r="DR294">
            <v>0</v>
          </cell>
          <cell r="DS294">
            <v>0</v>
          </cell>
          <cell r="DT294">
            <v>4.5917965471744537E-2</v>
          </cell>
          <cell r="DU294">
            <v>0</v>
          </cell>
          <cell r="DV294">
            <v>0</v>
          </cell>
          <cell r="DW294">
            <v>9999561.74309</v>
          </cell>
          <cell r="DX294">
            <v>0</v>
          </cell>
          <cell r="DY294">
            <v>0</v>
          </cell>
          <cell r="DZ294">
            <v>4300412.0310000004</v>
          </cell>
          <cell r="EA294">
            <v>17919924.051090002</v>
          </cell>
          <cell r="EB294">
            <v>12220774.339</v>
          </cell>
          <cell r="EC294">
            <v>5699149.7120900005</v>
          </cell>
          <cell r="EF294">
            <v>14</v>
          </cell>
        </row>
        <row r="295">
          <cell r="E295">
            <v>37877.875</v>
          </cell>
          <cell r="F295">
            <v>303650725.70099998</v>
          </cell>
          <cell r="G295">
            <v>223034713.93099996</v>
          </cell>
          <cell r="H295">
            <v>222963517.72899997</v>
          </cell>
          <cell r="I295">
            <v>203323247.68299997</v>
          </cell>
          <cell r="J295">
            <v>52401239.658</v>
          </cell>
          <cell r="K295">
            <v>29245609.761000004</v>
          </cell>
          <cell r="L295">
            <v>2389150.7510000002</v>
          </cell>
          <cell r="M295">
            <v>1263672.51</v>
          </cell>
          <cell r="N295">
            <v>111895760.23599999</v>
          </cell>
          <cell r="O295">
            <v>81063589.592999995</v>
          </cell>
          <cell r="P295">
            <v>12929682.366</v>
          </cell>
          <cell r="Q295">
            <v>17902488.276999999</v>
          </cell>
          <cell r="R295">
            <v>33134625.413999997</v>
          </cell>
          <cell r="S295">
            <v>30549400.457999997</v>
          </cell>
          <cell r="T295">
            <v>1273597.2250000001</v>
          </cell>
          <cell r="U295">
            <v>1311627.7310000001</v>
          </cell>
          <cell r="V295">
            <v>721856</v>
          </cell>
          <cell r="W295">
            <v>2238799.1140000001</v>
          </cell>
          <cell r="X295">
            <v>19640270.046</v>
          </cell>
          <cell r="Y295">
            <v>1321333.6370000001</v>
          </cell>
          <cell r="Z295">
            <v>6502328.557</v>
          </cell>
          <cell r="AA295">
            <v>830313.20400000014</v>
          </cell>
          <cell r="AB295">
            <v>7548334.051</v>
          </cell>
          <cell r="AC295">
            <v>3437960.5969999996</v>
          </cell>
          <cell r="AD295">
            <v>71196.202000000019</v>
          </cell>
          <cell r="AE295">
            <v>80616011.770000011</v>
          </cell>
          <cell r="AF295">
            <v>46366387.774999999</v>
          </cell>
          <cell r="AG295">
            <v>34249623.995000005</v>
          </cell>
          <cell r="AH295">
            <v>389203368.38409007</v>
          </cell>
          <cell r="AI295">
            <v>282702038.87100005</v>
          </cell>
          <cell r="AJ295">
            <v>278578252.30600005</v>
          </cell>
          <cell r="AK295">
            <v>52912513.789999999</v>
          </cell>
          <cell r="AL295">
            <v>23209521.361000001</v>
          </cell>
          <cell r="AM295">
            <v>196396947.77309003</v>
          </cell>
          <cell r="AN295">
            <v>6973777.6009999989</v>
          </cell>
          <cell r="AO295">
            <v>82402840.082000017</v>
          </cell>
          <cell r="AP295">
            <v>778471.12400000007</v>
          </cell>
          <cell r="AQ295">
            <v>45137335.659999996</v>
          </cell>
          <cell r="AR295">
            <v>4481920.898</v>
          </cell>
          <cell r="AS295">
            <v>12577026.90209</v>
          </cell>
          <cell r="AT295">
            <v>4123786.5649999995</v>
          </cell>
          <cell r="AU295">
            <v>8453240.3370900005</v>
          </cell>
          <cell r="AV295">
            <v>56279745.129000008</v>
          </cell>
          <cell r="AW295">
            <v>0</v>
          </cell>
          <cell r="AX295">
            <v>0</v>
          </cell>
          <cell r="AY295">
            <v>10743626.616</v>
          </cell>
          <cell r="AZ295">
            <v>640037.23099999991</v>
          </cell>
          <cell r="BA295">
            <v>9827582.2640000004</v>
          </cell>
          <cell r="BB295">
            <v>167873855.917</v>
          </cell>
          <cell r="BC295">
            <v>68569630.701999992</v>
          </cell>
          <cell r="BD295">
            <v>14943404.728999998</v>
          </cell>
          <cell r="BE295">
            <v>0</v>
          </cell>
          <cell r="BF295">
            <v>1256136.0389999999</v>
          </cell>
          <cell r="BG295">
            <v>0</v>
          </cell>
          <cell r="BH295">
            <v>98048089.175999999</v>
          </cell>
          <cell r="BI295">
            <v>46366387.774999999</v>
          </cell>
          <cell r="BJ295">
            <v>51681701.401000001</v>
          </cell>
          <cell r="BK295">
            <v>24932564.693999998</v>
          </cell>
          <cell r="BL295">
            <v>-1820224.0719999999</v>
          </cell>
          <cell r="BM295">
            <v>26752788.765999999</v>
          </cell>
          <cell r="BN295">
            <v>-85552642.683090091</v>
          </cell>
          <cell r="BO295">
            <v>-166168654.4530901</v>
          </cell>
          <cell r="BP295">
            <v>-153591627.55100009</v>
          </cell>
          <cell r="BQ295">
            <v>-68120565.277090102</v>
          </cell>
          <cell r="BR295">
            <v>-4890235.0790000018</v>
          </cell>
          <cell r="BS295">
            <v>3156692.2169999997</v>
          </cell>
          <cell r="BT295">
            <v>3156692.2169999997</v>
          </cell>
          <cell r="BU295">
            <v>0</v>
          </cell>
          <cell r="BV295">
            <v>4782889.8679999998</v>
          </cell>
          <cell r="BW295">
            <v>0</v>
          </cell>
          <cell r="BX295">
            <v>-12829817.164000001</v>
          </cell>
          <cell r="BZ295">
            <v>-90442877.762090087</v>
          </cell>
          <cell r="CA295">
            <v>-171058889.5320901</v>
          </cell>
          <cell r="CB295">
            <v>90442878.179450005</v>
          </cell>
          <cell r="CC295">
            <v>50794510.817450009</v>
          </cell>
          <cell r="CD295">
            <v>68961942.972000003</v>
          </cell>
          <cell r="CE295">
            <v>51681701.401000001</v>
          </cell>
          <cell r="CF295">
            <v>0</v>
          </cell>
          <cell r="CG295">
            <v>17280241.570999999</v>
          </cell>
          <cell r="CH295">
            <v>-18167382.710999999</v>
          </cell>
          <cell r="CI295">
            <v>-49.443549999999988</v>
          </cell>
          <cell r="CJ295">
            <v>39648367.362000003</v>
          </cell>
          <cell r="CK295">
            <v>24881578.077</v>
          </cell>
          <cell r="CL295">
            <v>15530774.464</v>
          </cell>
          <cell r="CM295">
            <v>-3631534.5319999997</v>
          </cell>
          <cell r="CN295">
            <v>2756000</v>
          </cell>
          <cell r="CO295">
            <v>-6387534.5319999997</v>
          </cell>
          <cell r="CP295">
            <v>19162308.995999999</v>
          </cell>
          <cell r="CQ295">
            <v>-2241091.0039999997</v>
          </cell>
          <cell r="CR295">
            <v>-747000</v>
          </cell>
          <cell r="CS295">
            <v>-961000</v>
          </cell>
          <cell r="CT295">
            <v>0</v>
          </cell>
          <cell r="CU295">
            <v>23111400</v>
          </cell>
          <cell r="CV295">
            <v>-5804900</v>
          </cell>
          <cell r="CW295">
            <v>0</v>
          </cell>
          <cell r="CX295">
            <v>11796050.351</v>
          </cell>
          <cell r="CY295">
            <v>-98678.231999999989</v>
          </cell>
          <cell r="CZ295">
            <v>11912782.617000001</v>
          </cell>
          <cell r="DA295">
            <v>-350000</v>
          </cell>
          <cell r="DB295">
            <v>-737217.38300000015</v>
          </cell>
          <cell r="DC295">
            <v>13000000</v>
          </cell>
          <cell r="DD295">
            <v>-18054.034000000014</v>
          </cell>
          <cell r="DE295">
            <v>-2445246.7379999962</v>
          </cell>
          <cell r="DF295">
            <v>0</v>
          </cell>
          <cell r="DG295">
            <v>-1812041.0939999968</v>
          </cell>
          <cell r="DH295">
            <v>-633205.64399999962</v>
          </cell>
          <cell r="DI295">
            <v>14766789.285</v>
          </cell>
          <cell r="DJ295">
            <v>21000000</v>
          </cell>
          <cell r="DK295">
            <v>0</v>
          </cell>
          <cell r="DL295">
            <v>0</v>
          </cell>
          <cell r="DM295">
            <v>44250000</v>
          </cell>
          <cell r="DN295">
            <v>-23250000</v>
          </cell>
          <cell r="DO295">
            <v>0</v>
          </cell>
          <cell r="DP295">
            <v>-6233210.7149999999</v>
          </cell>
          <cell r="DQ295">
            <v>-825550.82700000005</v>
          </cell>
          <cell r="DR295">
            <v>0</v>
          </cell>
          <cell r="DS295">
            <v>0</v>
          </cell>
          <cell r="DT295">
            <v>-0.41735991835594177</v>
          </cell>
          <cell r="DU295">
            <v>0</v>
          </cell>
          <cell r="DV295">
            <v>0</v>
          </cell>
          <cell r="DW295">
            <v>12577026.90209</v>
          </cell>
          <cell r="DX295">
            <v>0</v>
          </cell>
          <cell r="DY295">
            <v>0</v>
          </cell>
          <cell r="DZ295">
            <v>4123786.5649999995</v>
          </cell>
          <cell r="EA295">
            <v>26620623.04809</v>
          </cell>
          <cell r="EB295">
            <v>18167382.710999999</v>
          </cell>
          <cell r="EC295">
            <v>8453240.3370900005</v>
          </cell>
          <cell r="EF295">
            <v>15</v>
          </cell>
        </row>
        <row r="296">
          <cell r="E296">
            <v>37969.1875</v>
          </cell>
          <cell r="F296">
            <v>434623577.7529</v>
          </cell>
          <cell r="G296">
            <v>301292902.83090001</v>
          </cell>
          <cell r="H296">
            <v>301221706.62889999</v>
          </cell>
          <cell r="I296">
            <v>270392342.47890002</v>
          </cell>
          <cell r="J296">
            <v>67243940.286000013</v>
          </cell>
          <cell r="K296">
            <v>36459436.210000008</v>
          </cell>
          <cell r="L296">
            <v>3305064.9339999999</v>
          </cell>
          <cell r="M296">
            <v>1725080.9720000001</v>
          </cell>
          <cell r="N296">
            <v>147220343.28189999</v>
          </cell>
          <cell r="O296">
            <v>106507981.432</v>
          </cell>
          <cell r="P296">
            <v>17525637.162899997</v>
          </cell>
          <cell r="Q296">
            <v>23186724.687000003</v>
          </cell>
          <cell r="R296">
            <v>44110260.862000003</v>
          </cell>
          <cell r="S296">
            <v>40784539.213</v>
          </cell>
          <cell r="T296">
            <v>1704126.9280000003</v>
          </cell>
          <cell r="U296">
            <v>1621594.7209999999</v>
          </cell>
          <cell r="V296">
            <v>721856</v>
          </cell>
          <cell r="W296">
            <v>6787652.1430000002</v>
          </cell>
          <cell r="X296">
            <v>30829364.150000002</v>
          </cell>
          <cell r="Y296">
            <v>1642178.101</v>
          </cell>
          <cell r="Z296">
            <v>8712287.2230000012</v>
          </cell>
          <cell r="AA296">
            <v>1115439.3640000001</v>
          </cell>
          <cell r="AB296">
            <v>8660533.625</v>
          </cell>
          <cell r="AC296">
            <v>10698925.837000001</v>
          </cell>
          <cell r="AD296">
            <v>71196.202000000019</v>
          </cell>
          <cell r="AE296">
            <v>133330674.92200001</v>
          </cell>
          <cell r="AF296">
            <v>61775050.927000001</v>
          </cell>
          <cell r="AG296">
            <v>71555623.995000005</v>
          </cell>
          <cell r="AH296">
            <v>508274045.01669997</v>
          </cell>
          <cell r="AI296">
            <v>362306513.04499996</v>
          </cell>
          <cell r="AJ296">
            <v>357107587.14699996</v>
          </cell>
          <cell r="AK296">
            <v>85819221.656000003</v>
          </cell>
          <cell r="AL296">
            <v>31809963.614999998</v>
          </cell>
          <cell r="AM296">
            <v>257053028.65270001</v>
          </cell>
          <cell r="AN296">
            <v>9512206.8839999996</v>
          </cell>
          <cell r="AO296">
            <v>112531201.79100001</v>
          </cell>
          <cell r="AP296">
            <v>1675506.274</v>
          </cell>
          <cell r="AQ296">
            <v>56255191.573999994</v>
          </cell>
          <cell r="AR296">
            <v>5050603.9619999994</v>
          </cell>
          <cell r="AS296">
            <v>16785510.278700002</v>
          </cell>
          <cell r="AT296">
            <v>5198925.898</v>
          </cell>
          <cell r="AU296">
            <v>11586584.3807</v>
          </cell>
          <cell r="AV296">
            <v>71481125.009000003</v>
          </cell>
          <cell r="AW296">
            <v>0</v>
          </cell>
          <cell r="AX296">
            <v>0</v>
          </cell>
          <cell r="AY296">
            <v>13540339.254000001</v>
          </cell>
          <cell r="AZ296">
            <v>1205693.233</v>
          </cell>
          <cell r="BA296">
            <v>12346245.091</v>
          </cell>
          <cell r="BB296">
            <v>227673891.28099996</v>
          </cell>
          <cell r="BC296">
            <v>91956807.650999993</v>
          </cell>
          <cell r="BD296">
            <v>19191601.005999997</v>
          </cell>
          <cell r="BE296">
            <v>0</v>
          </cell>
          <cell r="BF296">
            <v>1336136.0389999999</v>
          </cell>
          <cell r="BG296">
            <v>0</v>
          </cell>
          <cell r="BH296">
            <v>134380947.59099996</v>
          </cell>
          <cell r="BI296">
            <v>61775050.926999994</v>
          </cell>
          <cell r="BJ296">
            <v>72605896.663999975</v>
          </cell>
          <cell r="BK296">
            <v>23547125.082999997</v>
          </cell>
          <cell r="BL296">
            <v>-1987388.7689999999</v>
          </cell>
          <cell r="BM296">
            <v>25534513.851999998</v>
          </cell>
          <cell r="BN296">
            <v>-73650467.263799965</v>
          </cell>
          <cell r="BO296">
            <v>-206981142.18579996</v>
          </cell>
          <cell r="BP296">
            <v>-190195631.90709996</v>
          </cell>
          <cell r="BQ296">
            <v>-72600194.594799995</v>
          </cell>
          <cell r="BR296">
            <v>-13694930.515000001</v>
          </cell>
          <cell r="BS296">
            <v>3963203.3530000006</v>
          </cell>
          <cell r="BT296">
            <v>3963203.3530000006</v>
          </cell>
          <cell r="BU296">
            <v>0</v>
          </cell>
          <cell r="BV296">
            <v>2069982.078</v>
          </cell>
          <cell r="BW296">
            <v>0</v>
          </cell>
          <cell r="BX296">
            <v>-19728115.946000002</v>
          </cell>
          <cell r="BZ296">
            <v>-87345397.778799966</v>
          </cell>
          <cell r="CA296">
            <v>-220676072.70079997</v>
          </cell>
          <cell r="CB296">
            <v>87345397.58114998</v>
          </cell>
          <cell r="CC296">
            <v>83026813.070149973</v>
          </cell>
          <cell r="CD296">
            <v>109355819.66569997</v>
          </cell>
          <cell r="CE296">
            <v>72605896.663999975</v>
          </cell>
          <cell r="CF296">
            <v>12084000</v>
          </cell>
          <cell r="CG296">
            <v>24665923.001700003</v>
          </cell>
          <cell r="CH296">
            <v>-26328957.152000003</v>
          </cell>
          <cell r="CI296">
            <v>-49.443549999999988</v>
          </cell>
          <cell r="CJ296">
            <v>4318584.5110000055</v>
          </cell>
          <cell r="CK296">
            <v>8939594.3540000059</v>
          </cell>
          <cell r="CL296">
            <v>4689044.120000001</v>
          </cell>
          <cell r="CM296">
            <v>-6940983.932</v>
          </cell>
          <cell r="CN296">
            <v>2756000</v>
          </cell>
          <cell r="CO296">
            <v>-9696983.932</v>
          </cell>
          <cell r="CP296">
            <v>11630028.052000001</v>
          </cell>
          <cell r="CQ296">
            <v>-1482471.9479999999</v>
          </cell>
          <cell r="CR296">
            <v>-747000</v>
          </cell>
          <cell r="CS296">
            <v>-961000</v>
          </cell>
          <cell r="CT296">
            <v>0</v>
          </cell>
          <cell r="CU296">
            <v>14820500</v>
          </cell>
          <cell r="CV296">
            <v>2351900</v>
          </cell>
          <cell r="CW296">
            <v>0</v>
          </cell>
          <cell r="CX296">
            <v>6635766.8930000002</v>
          </cell>
          <cell r="CY296">
            <v>-65785.487999999983</v>
          </cell>
          <cell r="CZ296">
            <v>6716628.7709999997</v>
          </cell>
          <cell r="DA296">
            <v>0</v>
          </cell>
          <cell r="DB296">
            <v>-283371.22900000011</v>
          </cell>
          <cell r="DC296">
            <v>7000000</v>
          </cell>
          <cell r="DD296">
            <v>-15076.39</v>
          </cell>
          <cell r="DE296">
            <v>-2385216.6589999953</v>
          </cell>
          <cell r="DF296">
            <v>0</v>
          </cell>
          <cell r="DG296">
            <v>-2416044.7919999957</v>
          </cell>
          <cell r="DH296">
            <v>30828.13300000038</v>
          </cell>
          <cell r="DI296">
            <v>-4621009.8430000003</v>
          </cell>
          <cell r="DJ296">
            <v>6375000</v>
          </cell>
          <cell r="DK296">
            <v>0</v>
          </cell>
          <cell r="DL296">
            <v>0</v>
          </cell>
          <cell r="DM296">
            <v>35875000</v>
          </cell>
          <cell r="DN296">
            <v>-29500000</v>
          </cell>
          <cell r="DO296">
            <v>0</v>
          </cell>
          <cell r="DP296">
            <v>-10996009.843</v>
          </cell>
          <cell r="DQ296">
            <v>-493198.41</v>
          </cell>
          <cell r="DR296">
            <v>0</v>
          </cell>
          <cell r="DS296">
            <v>0</v>
          </cell>
          <cell r="DT296">
            <v>0.19764998555183411</v>
          </cell>
          <cell r="DU296">
            <v>71494118.084700003</v>
          </cell>
          <cell r="DV296">
            <v>54708607.806000002</v>
          </cell>
          <cell r="DW296">
            <v>16785510.278700002</v>
          </cell>
          <cell r="DX296">
            <v>33330279.038000003</v>
          </cell>
          <cell r="DY296">
            <v>28131353.140000001</v>
          </cell>
          <cell r="DZ296">
            <v>5198925.898</v>
          </cell>
          <cell r="EA296">
            <v>38163839.046700001</v>
          </cell>
          <cell r="EB296">
            <v>26577254.666000001</v>
          </cell>
          <cell r="EC296">
            <v>11586584.3807</v>
          </cell>
          <cell r="EF296">
            <v>16</v>
          </cell>
        </row>
        <row r="297">
          <cell r="E297">
            <v>38060.5</v>
          </cell>
          <cell r="F297">
            <v>89855252.669699997</v>
          </cell>
          <cell r="G297">
            <v>73925796.565699995</v>
          </cell>
          <cell r="H297">
            <v>73908609.140699998</v>
          </cell>
          <cell r="I297">
            <v>69166135.808699995</v>
          </cell>
          <cell r="J297">
            <v>11726128.2347</v>
          </cell>
          <cell r="K297">
            <v>4626957.7359999996</v>
          </cell>
          <cell r="L297">
            <v>1479962.05</v>
          </cell>
          <cell r="M297">
            <v>317061.22899999999</v>
          </cell>
          <cell r="N297">
            <v>41679634.041999996</v>
          </cell>
          <cell r="O297">
            <v>28914827.307999998</v>
          </cell>
          <cell r="P297">
            <v>5416872.7280000001</v>
          </cell>
          <cell r="Q297">
            <v>7347934.0059999935</v>
          </cell>
          <cell r="R297">
            <v>13397138.613</v>
          </cell>
          <cell r="S297">
            <v>10406718.004000001</v>
          </cell>
          <cell r="T297">
            <v>1108917.382</v>
          </cell>
          <cell r="U297">
            <v>1881503.227</v>
          </cell>
          <cell r="V297">
            <v>1815168.3640000001</v>
          </cell>
          <cell r="W297">
            <v>566211.64</v>
          </cell>
          <cell r="X297">
            <v>4742473.3320000004</v>
          </cell>
          <cell r="Y297">
            <v>117526.77299999999</v>
          </cell>
          <cell r="Z297">
            <v>2081270.4610000001</v>
          </cell>
          <cell r="AA297">
            <v>248381.1</v>
          </cell>
          <cell r="AB297">
            <v>107476.77799999999</v>
          </cell>
          <cell r="AC297">
            <v>2187818.2200000002</v>
          </cell>
          <cell r="AD297">
            <v>17187.424999999999</v>
          </cell>
          <cell r="AE297">
            <v>15929456.104000002</v>
          </cell>
          <cell r="AF297">
            <v>14289456.104000002</v>
          </cell>
          <cell r="AG297">
            <v>1640000</v>
          </cell>
          <cell r="AH297">
            <v>124624235.993</v>
          </cell>
          <cell r="AI297">
            <v>88393789.295999989</v>
          </cell>
          <cell r="AJ297">
            <v>85912751.665999994</v>
          </cell>
          <cell r="AK297">
            <v>20340844.807</v>
          </cell>
          <cell r="AL297">
            <v>8484547.4949999992</v>
          </cell>
          <cell r="AM297">
            <v>75477319.495999992</v>
          </cell>
          <cell r="AN297">
            <v>991.2</v>
          </cell>
          <cell r="AO297">
            <v>37126517.211999997</v>
          </cell>
          <cell r="AP297">
            <v>991.2</v>
          </cell>
          <cell r="AQ297">
            <v>14271498.021</v>
          </cell>
          <cell r="AR297">
            <v>0</v>
          </cell>
          <cell r="AS297">
            <v>4723436.0070000002</v>
          </cell>
          <cell r="AT297">
            <v>2481037.63</v>
          </cell>
          <cell r="AU297">
            <v>2242398.3770000003</v>
          </cell>
          <cell r="AV297">
            <v>19355868.256000001</v>
          </cell>
          <cell r="AW297">
            <v>0</v>
          </cell>
          <cell r="AX297">
            <v>0</v>
          </cell>
          <cell r="AY297">
            <v>2705253.5980000002</v>
          </cell>
          <cell r="AZ297">
            <v>221178.57</v>
          </cell>
          <cell r="BA297">
            <v>2168419.659</v>
          </cell>
          <cell r="BB297">
            <v>49741647.309999995</v>
          </cell>
          <cell r="BC297">
            <v>15722638.989999996</v>
          </cell>
          <cell r="BD297">
            <v>5440500.8829999994</v>
          </cell>
          <cell r="BE297">
            <v>0</v>
          </cell>
          <cell r="BF297">
            <v>30960</v>
          </cell>
          <cell r="BG297">
            <v>0</v>
          </cell>
          <cell r="BH297">
            <v>33988048.32</v>
          </cell>
          <cell r="BI297">
            <v>14289456.104000002</v>
          </cell>
          <cell r="BJ297">
            <v>19698592.215999998</v>
          </cell>
          <cell r="BK297">
            <v>-594730.81300000008</v>
          </cell>
          <cell r="BL297">
            <v>-471058.21500000003</v>
          </cell>
          <cell r="BM297">
            <v>-123672.598</v>
          </cell>
          <cell r="BN297">
            <v>-34768983.323300004</v>
          </cell>
          <cell r="BO297">
            <v>-50698439.427300006</v>
          </cell>
          <cell r="BP297">
            <v>-45975003.420300007</v>
          </cell>
          <cell r="BQ297">
            <v>-16710391.107300013</v>
          </cell>
          <cell r="BR297">
            <v>-865347.84800000116</v>
          </cell>
          <cell r="BS297">
            <v>182634.20899999957</v>
          </cell>
          <cell r="BT297">
            <v>182634.20899999957</v>
          </cell>
          <cell r="BU297">
            <v>0</v>
          </cell>
          <cell r="BV297">
            <v>-15375278.870000001</v>
          </cell>
          <cell r="BW297">
            <v>0</v>
          </cell>
          <cell r="BX297">
            <v>14327296.813000001</v>
          </cell>
          <cell r="BZ297">
            <v>-35634331.171300009</v>
          </cell>
          <cell r="CA297">
            <v>-51563787.275300011</v>
          </cell>
          <cell r="CB297">
            <v>35634331.033999994</v>
          </cell>
          <cell r="CC297">
            <v>26142151.419</v>
          </cell>
          <cell r="CD297">
            <v>32175362.636</v>
          </cell>
          <cell r="CE297">
            <v>19698592.215999998</v>
          </cell>
          <cell r="CF297">
            <v>7679000</v>
          </cell>
          <cell r="CG297">
            <v>4797770.42</v>
          </cell>
          <cell r="CH297">
            <v>-5920815.756000001</v>
          </cell>
          <cell r="CI297">
            <v>-112395.46099999998</v>
          </cell>
          <cell r="CJ297">
            <v>9492179.6149999984</v>
          </cell>
          <cell r="CK297">
            <v>10518020.346999999</v>
          </cell>
          <cell r="CL297">
            <v>11633463.941</v>
          </cell>
          <cell r="CM297">
            <v>-2280485.3830000004</v>
          </cell>
          <cell r="CN297">
            <v>0</v>
          </cell>
          <cell r="CO297">
            <v>-2280485.3830000004</v>
          </cell>
          <cell r="CP297">
            <v>13913949.323999999</v>
          </cell>
          <cell r="CQ297">
            <v>0</v>
          </cell>
          <cell r="CR297">
            <v>-763950.67600000021</v>
          </cell>
          <cell r="CS297">
            <v>-765900</v>
          </cell>
          <cell r="CT297">
            <v>0</v>
          </cell>
          <cell r="CU297">
            <v>15443800</v>
          </cell>
          <cell r="CV297">
            <v>8588400</v>
          </cell>
          <cell r="CW297">
            <v>0</v>
          </cell>
          <cell r="CX297">
            <v>-15390.777999999998</v>
          </cell>
          <cell r="CY297">
            <v>-32892.743999999999</v>
          </cell>
          <cell r="CZ297">
            <v>0</v>
          </cell>
          <cell r="DA297">
            <v>0</v>
          </cell>
          <cell r="DB297">
            <v>0</v>
          </cell>
          <cell r="DC297">
            <v>0</v>
          </cell>
          <cell r="DD297">
            <v>17501.966</v>
          </cell>
          <cell r="DE297">
            <v>-1100052.8159999989</v>
          </cell>
          <cell r="DF297">
            <v>0</v>
          </cell>
          <cell r="DG297">
            <v>-604003.69799999893</v>
          </cell>
          <cell r="DH297">
            <v>-496049.11800000002</v>
          </cell>
          <cell r="DI297">
            <v>-1025840.732</v>
          </cell>
          <cell r="DJ297">
            <v>0</v>
          </cell>
          <cell r="DK297">
            <v>0</v>
          </cell>
          <cell r="DL297">
            <v>0</v>
          </cell>
          <cell r="DM297">
            <v>0</v>
          </cell>
          <cell r="DN297">
            <v>0</v>
          </cell>
          <cell r="DO297">
            <v>0</v>
          </cell>
          <cell r="DP297">
            <v>-1025840.732</v>
          </cell>
          <cell r="DQ297">
            <v>-246599.20500000002</v>
          </cell>
          <cell r="DR297">
            <v>0</v>
          </cell>
          <cell r="DS297">
            <v>0</v>
          </cell>
          <cell r="DT297">
            <v>0.13730001449584961</v>
          </cell>
          <cell r="DU297">
            <v>0</v>
          </cell>
          <cell r="DV297">
            <v>0</v>
          </cell>
          <cell r="DW297">
            <v>4723436.0070000002</v>
          </cell>
          <cell r="DX297">
            <v>0</v>
          </cell>
          <cell r="DY297">
            <v>0</v>
          </cell>
          <cell r="DZ297">
            <v>2481037.63</v>
          </cell>
          <cell r="EA297">
            <v>8163214.1330000013</v>
          </cell>
          <cell r="EB297">
            <v>5920815.756000001</v>
          </cell>
          <cell r="EC297">
            <v>2242398.3770000003</v>
          </cell>
          <cell r="EF297">
            <v>17</v>
          </cell>
        </row>
        <row r="298">
          <cell r="E298">
            <v>38151.8125</v>
          </cell>
          <cell r="F298">
            <v>227884250.3617</v>
          </cell>
          <cell r="G298">
            <v>174556600.1717</v>
          </cell>
          <cell r="H298">
            <v>174539166.74669999</v>
          </cell>
          <cell r="I298">
            <v>162623368.21869999</v>
          </cell>
          <cell r="J298">
            <v>43122778.081699997</v>
          </cell>
          <cell r="K298">
            <v>26856084.780000001</v>
          </cell>
          <cell r="L298">
            <v>2368650.0779999997</v>
          </cell>
          <cell r="M298">
            <v>801020.62700000009</v>
          </cell>
          <cell r="N298">
            <v>86789896.549999997</v>
          </cell>
          <cell r="O298">
            <v>60542260.605999991</v>
          </cell>
          <cell r="P298">
            <v>11134347.488</v>
          </cell>
          <cell r="Q298">
            <v>15113288.455999997</v>
          </cell>
          <cell r="R298">
            <v>28213980.858999997</v>
          </cell>
          <cell r="S298">
            <v>22646080.881999999</v>
          </cell>
          <cell r="T298">
            <v>2362857.4409999996</v>
          </cell>
          <cell r="U298">
            <v>3205042.5360000003</v>
          </cell>
          <cell r="V298">
            <v>3069980.7280000001</v>
          </cell>
          <cell r="W298">
            <v>1327042.0230000003</v>
          </cell>
          <cell r="X298">
            <v>11915798.528000001</v>
          </cell>
          <cell r="Y298">
            <v>238030.68099999998</v>
          </cell>
          <cell r="Z298">
            <v>4624245.2450000001</v>
          </cell>
          <cell r="AA298">
            <v>529043.40399999998</v>
          </cell>
          <cell r="AB298">
            <v>2960385.51</v>
          </cell>
          <cell r="AC298">
            <v>3564093.6880000001</v>
          </cell>
          <cell r="AD298">
            <v>17433.424999999999</v>
          </cell>
          <cell r="AE298">
            <v>53327650.189999998</v>
          </cell>
          <cell r="AF298">
            <v>37424650.189999998</v>
          </cell>
          <cell r="AG298">
            <v>15903000</v>
          </cell>
          <cell r="AH298">
            <v>276048248.81800002</v>
          </cell>
          <cell r="AI298">
            <v>195862769.54899999</v>
          </cell>
          <cell r="AJ298">
            <v>191759568.836</v>
          </cell>
          <cell r="AK298">
            <v>47543361.294</v>
          </cell>
          <cell r="AL298">
            <v>17304675.666000001</v>
          </cell>
          <cell r="AM298">
            <v>141597542.301</v>
          </cell>
          <cell r="AN298">
            <v>2444501.8669999996</v>
          </cell>
          <cell r="AO298">
            <v>59963404.625</v>
          </cell>
          <cell r="AP298">
            <v>651073.96399999992</v>
          </cell>
          <cell r="AQ298">
            <v>32805006.887000002</v>
          </cell>
          <cell r="AR298">
            <v>1423427.9029999999</v>
          </cell>
          <cell r="AS298">
            <v>10646401.18</v>
          </cell>
          <cell r="AT298">
            <v>4103200.713</v>
          </cell>
          <cell r="AU298">
            <v>6543200.4670000002</v>
          </cell>
          <cell r="AV298">
            <v>38182729.609000012</v>
          </cell>
          <cell r="AW298">
            <v>0</v>
          </cell>
          <cell r="AX298">
            <v>0</v>
          </cell>
          <cell r="AY298">
            <v>5207652.0829999996</v>
          </cell>
          <cell r="AZ298">
            <v>409130.63699999999</v>
          </cell>
          <cell r="BA298">
            <v>5285740.0769999996</v>
          </cell>
          <cell r="BB298">
            <v>135956013.79100001</v>
          </cell>
          <cell r="BC298">
            <v>61878476.288999997</v>
          </cell>
          <cell r="BD298">
            <v>9168438.4049999993</v>
          </cell>
          <cell r="BE298">
            <v>0</v>
          </cell>
          <cell r="BF298">
            <v>435258.7</v>
          </cell>
          <cell r="BG298">
            <v>0</v>
          </cell>
          <cell r="BH298">
            <v>73642278.802000001</v>
          </cell>
          <cell r="BI298">
            <v>37424650.189999998</v>
          </cell>
          <cell r="BJ298">
            <v>36217628.612000003</v>
          </cell>
          <cell r="BK298">
            <v>-1505307.2740000002</v>
          </cell>
          <cell r="BL298">
            <v>-1218619.8260000001</v>
          </cell>
          <cell r="BM298">
            <v>-286687.44799999997</v>
          </cell>
          <cell r="BN298">
            <v>-48163998.45630002</v>
          </cell>
          <cell r="BO298">
            <v>-101491648.64630002</v>
          </cell>
          <cell r="BP298">
            <v>-90845247.466300011</v>
          </cell>
          <cell r="BQ298">
            <v>-27849369.844300032</v>
          </cell>
          <cell r="BR298">
            <v>6317836.2529999912</v>
          </cell>
          <cell r="BS298">
            <v>2254255.7579999994</v>
          </cell>
          <cell r="BT298">
            <v>2254255.7579999994</v>
          </cell>
          <cell r="BU298">
            <v>0</v>
          </cell>
          <cell r="BV298">
            <v>-4406103.9100000095</v>
          </cell>
          <cell r="BW298">
            <v>0</v>
          </cell>
          <cell r="BX298">
            <v>8469684.4050000012</v>
          </cell>
          <cell r="BZ298">
            <v>-41846162.203300029</v>
          </cell>
          <cell r="CA298">
            <v>-95173812.393300027</v>
          </cell>
          <cell r="CB298">
            <v>41846162.701000005</v>
          </cell>
          <cell r="CC298">
            <v>43419593.073000006</v>
          </cell>
          <cell r="CD298">
            <v>56652852.446000002</v>
          </cell>
          <cell r="CE298">
            <v>36217628.612000003</v>
          </cell>
          <cell r="CF298">
            <v>7679000</v>
          </cell>
          <cell r="CG298">
            <v>12756223.833999999</v>
          </cell>
          <cell r="CH298">
            <v>-12693626.774</v>
          </cell>
          <cell r="CI298">
            <v>-539632.59900000005</v>
          </cell>
          <cell r="CJ298">
            <v>-1573430.3720000014</v>
          </cell>
          <cell r="CK298">
            <v>5102183.2919999985</v>
          </cell>
          <cell r="CL298">
            <v>16505535.387999998</v>
          </cell>
          <cell r="CM298">
            <v>-2662433.6300000008</v>
          </cell>
          <cell r="CN298">
            <v>2731000</v>
          </cell>
          <cell r="CO298">
            <v>-5393433.6300000008</v>
          </cell>
          <cell r="CP298">
            <v>19167969.017999999</v>
          </cell>
          <cell r="CQ298">
            <v>0</v>
          </cell>
          <cell r="CR298">
            <v>-1533630.9820000003</v>
          </cell>
          <cell r="CS298">
            <v>689900</v>
          </cell>
          <cell r="CT298">
            <v>0</v>
          </cell>
          <cell r="CU298">
            <v>20011700</v>
          </cell>
          <cell r="CV298">
            <v>-25100</v>
          </cell>
          <cell r="CW298">
            <v>0</v>
          </cell>
          <cell r="CX298">
            <v>-7858046.2460000003</v>
          </cell>
          <cell r="CY298">
            <v>-411939.33400000003</v>
          </cell>
          <cell r="CZ298">
            <v>-7457692.3080000002</v>
          </cell>
          <cell r="DA298">
            <v>-350000</v>
          </cell>
          <cell r="DB298">
            <v>-107692.30799999999</v>
          </cell>
          <cell r="DC298">
            <v>-7000000</v>
          </cell>
          <cell r="DD298">
            <v>11585.396000000001</v>
          </cell>
          <cell r="DE298">
            <v>-3545305.8499999987</v>
          </cell>
          <cell r="DF298">
            <v>0</v>
          </cell>
          <cell r="DG298">
            <v>-1208006.6979999989</v>
          </cell>
          <cell r="DH298">
            <v>-2337299.1519999998</v>
          </cell>
          <cell r="DI298">
            <v>-6675613.6639999999</v>
          </cell>
          <cell r="DJ298">
            <v>-4625000</v>
          </cell>
          <cell r="DK298">
            <v>0</v>
          </cell>
          <cell r="DL298">
            <v>0</v>
          </cell>
          <cell r="DM298">
            <v>0</v>
          </cell>
          <cell r="DN298">
            <v>-4625000</v>
          </cell>
          <cell r="DO298">
            <v>0</v>
          </cell>
          <cell r="DP298">
            <v>-2051681.4640000002</v>
          </cell>
          <cell r="DQ298">
            <v>-493198.41</v>
          </cell>
          <cell r="DR298">
            <v>1067.8</v>
          </cell>
          <cell r="DS298">
            <v>0</v>
          </cell>
          <cell r="DT298">
            <v>-0.49769997596740723</v>
          </cell>
          <cell r="DU298">
            <v>0</v>
          </cell>
          <cell r="DV298">
            <v>0</v>
          </cell>
          <cell r="DW298">
            <v>10646401.18</v>
          </cell>
          <cell r="DX298">
            <v>0</v>
          </cell>
          <cell r="DY298">
            <v>0</v>
          </cell>
          <cell r="DZ298">
            <v>4103200.713</v>
          </cell>
          <cell r="EA298">
            <v>19236827.241</v>
          </cell>
          <cell r="EB298">
            <v>12693626.774</v>
          </cell>
          <cell r="EC298">
            <v>6543200.4670000002</v>
          </cell>
          <cell r="EF298">
            <v>18</v>
          </cell>
        </row>
        <row r="299">
          <cell r="E299">
            <v>38243.125</v>
          </cell>
          <cell r="F299">
            <v>338430673.65469998</v>
          </cell>
          <cell r="G299">
            <v>253302314.19069999</v>
          </cell>
          <cell r="H299">
            <v>253261663.01569998</v>
          </cell>
          <cell r="I299">
            <v>234441478.72869998</v>
          </cell>
          <cell r="J299">
            <v>58402874.894699998</v>
          </cell>
          <cell r="K299">
            <v>33191055.113000002</v>
          </cell>
          <cell r="L299">
            <v>3121437.0859999997</v>
          </cell>
          <cell r="M299">
            <v>1135970.496</v>
          </cell>
          <cell r="N299">
            <v>129593144.95999998</v>
          </cell>
          <cell r="O299">
            <v>90355915.41399999</v>
          </cell>
          <cell r="P299">
            <v>16705912.482999999</v>
          </cell>
          <cell r="Q299">
            <v>22531317.062999997</v>
          </cell>
          <cell r="R299">
            <v>39989799.177000001</v>
          </cell>
          <cell r="S299">
            <v>33278209.208000001</v>
          </cell>
          <cell r="T299">
            <v>3443453.0559999999</v>
          </cell>
          <cell r="U299">
            <v>3268136.9130000002</v>
          </cell>
          <cell r="V299">
            <v>3069980.7280000001</v>
          </cell>
          <cell r="W299">
            <v>2198252.1150000002</v>
          </cell>
          <cell r="X299">
            <v>18820184.287</v>
          </cell>
          <cell r="Y299">
            <v>360950.67499999999</v>
          </cell>
          <cell r="Z299">
            <v>7035639.8559999997</v>
          </cell>
          <cell r="AA299">
            <v>976997.59300000011</v>
          </cell>
          <cell r="AB299">
            <v>5595614.8099999996</v>
          </cell>
          <cell r="AC299">
            <v>4850981.3530000001</v>
          </cell>
          <cell r="AD299">
            <v>40651.175000000003</v>
          </cell>
          <cell r="AE299">
            <v>85128359.464000002</v>
          </cell>
          <cell r="AF299">
            <v>51022359.464000002</v>
          </cell>
          <cell r="AG299">
            <v>34106000</v>
          </cell>
          <cell r="AH299">
            <v>433846975.75830001</v>
          </cell>
          <cell r="AI299">
            <v>312717641.23629999</v>
          </cell>
          <cell r="AJ299">
            <v>307422270.7723</v>
          </cell>
          <cell r="AK299">
            <v>80986702.791999996</v>
          </cell>
          <cell r="AL299">
            <v>29189507.375</v>
          </cell>
          <cell r="AM299">
            <v>223750865.35879999</v>
          </cell>
          <cell r="AN299">
            <v>5882125.5780000007</v>
          </cell>
          <cell r="AO299">
            <v>93570414.879999995</v>
          </cell>
          <cell r="AP299">
            <v>1803562.57</v>
          </cell>
          <cell r="AQ299">
            <v>53420416.381500006</v>
          </cell>
          <cell r="AR299">
            <v>3014597.392</v>
          </cell>
          <cell r="AS299">
            <v>13728990.960999999</v>
          </cell>
          <cell r="AT299">
            <v>5295370.4639999997</v>
          </cell>
          <cell r="AU299">
            <v>8433620.4969999995</v>
          </cell>
          <cell r="AV299">
            <v>63031043.136300005</v>
          </cell>
          <cell r="AW299">
            <v>0</v>
          </cell>
          <cell r="AX299">
            <v>30000</v>
          </cell>
          <cell r="AY299">
            <v>9508201.8469999991</v>
          </cell>
          <cell r="AZ299">
            <v>627848.45299999998</v>
          </cell>
          <cell r="BA299">
            <v>8471750.8629999999</v>
          </cell>
          <cell r="BB299">
            <v>213568721.21850002</v>
          </cell>
          <cell r="BC299">
            <v>99061007.193499997</v>
          </cell>
          <cell r="BD299">
            <v>15149126.816999998</v>
          </cell>
          <cell r="BE299">
            <v>0</v>
          </cell>
          <cell r="BF299">
            <v>1812000</v>
          </cell>
          <cell r="BG299">
            <v>0</v>
          </cell>
          <cell r="BH299">
            <v>112695714.02500001</v>
          </cell>
          <cell r="BI299">
            <v>51022359.464000002</v>
          </cell>
          <cell r="BJ299">
            <v>61673354.561000004</v>
          </cell>
          <cell r="BK299">
            <v>-3472610.8189999997</v>
          </cell>
          <cell r="BL299">
            <v>-3149122.5049999999</v>
          </cell>
          <cell r="BM299">
            <v>-323488.31399999995</v>
          </cell>
          <cell r="BN299">
            <v>-95416302.103600025</v>
          </cell>
          <cell r="BO299">
            <v>-180544661.56760001</v>
          </cell>
          <cell r="BP299">
            <v>-166815670.60659999</v>
          </cell>
          <cell r="BQ299">
            <v>-67848947.542599976</v>
          </cell>
          <cell r="BR299">
            <v>23893116.966999903</v>
          </cell>
          <cell r="BS299">
            <v>3878367.4539999999</v>
          </cell>
          <cell r="BT299">
            <v>3878367.4539999999</v>
          </cell>
          <cell r="BU299">
            <v>0</v>
          </cell>
          <cell r="BV299">
            <v>12185839.916999901</v>
          </cell>
          <cell r="BW299">
            <v>0</v>
          </cell>
          <cell r="BX299">
            <v>7828909.5960000018</v>
          </cell>
          <cell r="BZ299">
            <v>-71523185.136600122</v>
          </cell>
          <cell r="CA299">
            <v>-156651544.60060012</v>
          </cell>
          <cell r="CB299">
            <v>71523185.596000016</v>
          </cell>
          <cell r="CC299">
            <v>98934597.918000013</v>
          </cell>
          <cell r="CD299">
            <v>118251243.642</v>
          </cell>
          <cell r="CE299">
            <v>61673354.561000004</v>
          </cell>
          <cell r="CF299">
            <v>40131000</v>
          </cell>
          <cell r="CG299">
            <v>16446889.081</v>
          </cell>
          <cell r="CH299">
            <v>-18186397.881000001</v>
          </cell>
          <cell r="CI299">
            <v>-1130247.8430000003</v>
          </cell>
          <cell r="CJ299">
            <v>-27411412.322000001</v>
          </cell>
          <cell r="CK299">
            <v>-27531560.567000002</v>
          </cell>
          <cell r="CL299">
            <v>-25693395.112</v>
          </cell>
          <cell r="CM299">
            <v>-4232511.2210000008</v>
          </cell>
          <cell r="CN299">
            <v>2731000</v>
          </cell>
          <cell r="CO299">
            <v>-6963511.2210000008</v>
          </cell>
          <cell r="CP299">
            <v>-21460883.890999999</v>
          </cell>
          <cell r="CQ299">
            <v>0</v>
          </cell>
          <cell r="CR299">
            <v>-2309083.8910000003</v>
          </cell>
          <cell r="CS299">
            <v>691800</v>
          </cell>
          <cell r="CT299">
            <v>0</v>
          </cell>
          <cell r="CU299">
            <v>-19843600</v>
          </cell>
          <cell r="CV299">
            <v>5405200</v>
          </cell>
          <cell r="CW299">
            <v>0</v>
          </cell>
          <cell r="CX299">
            <v>807977.55799999984</v>
          </cell>
          <cell r="CY299">
            <v>-411939.33400000003</v>
          </cell>
          <cell r="CZ299">
            <v>1214437.8629999999</v>
          </cell>
          <cell r="DA299">
            <v>-350000</v>
          </cell>
          <cell r="DB299">
            <v>-435562.13699999999</v>
          </cell>
          <cell r="DC299">
            <v>2000000</v>
          </cell>
          <cell r="DD299">
            <v>5479.0290000000014</v>
          </cell>
          <cell r="DE299">
            <v>-2646143.0129999993</v>
          </cell>
          <cell r="DF299">
            <v>0</v>
          </cell>
          <cell r="DG299">
            <v>-2416013.3959999997</v>
          </cell>
          <cell r="DH299">
            <v>-230129.61699999962</v>
          </cell>
          <cell r="DI299">
            <v>120148.24499999988</v>
          </cell>
          <cell r="DJ299">
            <v>2875000</v>
          </cell>
          <cell r="DK299">
            <v>0</v>
          </cell>
          <cell r="DL299">
            <v>0</v>
          </cell>
          <cell r="DM299">
            <v>7500000</v>
          </cell>
          <cell r="DN299">
            <v>-4625000</v>
          </cell>
          <cell r="DO299">
            <v>0</v>
          </cell>
          <cell r="DP299">
            <v>-3627852.9550000001</v>
          </cell>
          <cell r="DQ299">
            <v>-739797.61499999999</v>
          </cell>
          <cell r="DR299">
            <v>873001.2</v>
          </cell>
          <cell r="DS299">
            <v>0</v>
          </cell>
          <cell r="DT299">
            <v>-0.45939989387989044</v>
          </cell>
          <cell r="DU299">
            <v>0</v>
          </cell>
          <cell r="DV299">
            <v>0</v>
          </cell>
          <cell r="DW299">
            <v>13728990.960999999</v>
          </cell>
          <cell r="DX299">
            <v>0</v>
          </cell>
          <cell r="DY299">
            <v>0</v>
          </cell>
          <cell r="DZ299">
            <v>5295370.4639999997</v>
          </cell>
          <cell r="EA299">
            <v>26620018.377999999</v>
          </cell>
          <cell r="EB299">
            <v>18186397.881000001</v>
          </cell>
          <cell r="EC299">
            <v>8433620.4969999995</v>
          </cell>
          <cell r="EF299">
            <v>19</v>
          </cell>
        </row>
        <row r="300">
          <cell r="E300">
            <v>38334.4375</v>
          </cell>
          <cell r="F300">
            <v>462474471.73870003</v>
          </cell>
          <cell r="G300">
            <v>345143864.47570002</v>
          </cell>
          <cell r="H300">
            <v>345102690.30070001</v>
          </cell>
          <cell r="I300">
            <v>318679263.39770001</v>
          </cell>
          <cell r="J300">
            <v>72840053.413699999</v>
          </cell>
          <cell r="K300">
            <v>39083446.245000005</v>
          </cell>
          <cell r="L300">
            <v>4086307.2929999996</v>
          </cell>
          <cell r="M300">
            <v>4130864.5729999999</v>
          </cell>
          <cell r="N300">
            <v>177477514.141</v>
          </cell>
          <cell r="O300">
            <v>125391381.34999999</v>
          </cell>
          <cell r="P300">
            <v>22203377.903999999</v>
          </cell>
          <cell r="Q300">
            <v>29882754.887000002</v>
          </cell>
          <cell r="R300">
            <v>56985045.879000001</v>
          </cell>
          <cell r="S300">
            <v>45923699.215000004</v>
          </cell>
          <cell r="T300">
            <v>4747990.2569999993</v>
          </cell>
          <cell r="U300">
            <v>6313356.4069999997</v>
          </cell>
          <cell r="V300">
            <v>6049525.9460000005</v>
          </cell>
          <cell r="W300">
            <v>3159478.0980000002</v>
          </cell>
          <cell r="X300">
            <v>26423426.903000001</v>
          </cell>
          <cell r="Y300">
            <v>568665.93099999998</v>
          </cell>
          <cell r="Z300">
            <v>9645436.5669999998</v>
          </cell>
          <cell r="AA300">
            <v>979604.39900000009</v>
          </cell>
          <cell r="AB300">
            <v>9434885.8509999998</v>
          </cell>
          <cell r="AC300">
            <v>5794834.1550000003</v>
          </cell>
          <cell r="AD300">
            <v>41174.175000000119</v>
          </cell>
          <cell r="AE300">
            <v>117330607.26300001</v>
          </cell>
          <cell r="AF300">
            <v>70268607.263000011</v>
          </cell>
          <cell r="AG300">
            <v>47062000</v>
          </cell>
          <cell r="AH300">
            <v>570028145.34370005</v>
          </cell>
          <cell r="AI300">
            <v>406790051.17870003</v>
          </cell>
          <cell r="AJ300">
            <v>400407960.24370003</v>
          </cell>
          <cell r="AK300">
            <v>105055866.65899999</v>
          </cell>
          <cell r="AL300">
            <v>34657025.620999999</v>
          </cell>
          <cell r="AM300">
            <v>292123057.94770002</v>
          </cell>
          <cell r="AN300">
            <v>8016960.2639999995</v>
          </cell>
          <cell r="AO300">
            <v>123467925.75570001</v>
          </cell>
          <cell r="AP300">
            <v>1996790.4819999998</v>
          </cell>
          <cell r="AQ300">
            <v>66907733.405000001</v>
          </cell>
          <cell r="AR300">
            <v>3713102.0359999998</v>
          </cell>
          <cell r="AS300">
            <v>19127173.615000002</v>
          </cell>
          <cell r="AT300">
            <v>6382090.9350000005</v>
          </cell>
          <cell r="AU300">
            <v>12745082.68</v>
          </cell>
          <cell r="AV300">
            <v>82620225.172000021</v>
          </cell>
          <cell r="AW300">
            <v>0</v>
          </cell>
          <cell r="AX300">
            <v>30000</v>
          </cell>
          <cell r="AY300">
            <v>13519856.921</v>
          </cell>
          <cell r="AZ300">
            <v>823683.22199999995</v>
          </cell>
          <cell r="BA300">
            <v>13238510.472999999</v>
          </cell>
          <cell r="BB300">
            <v>283291802.43400002</v>
          </cell>
          <cell r="BC300">
            <v>130286380.911</v>
          </cell>
          <cell r="BD300">
            <v>21073444.802999999</v>
          </cell>
          <cell r="BE300">
            <v>0</v>
          </cell>
          <cell r="BF300">
            <v>2512410.0379999997</v>
          </cell>
          <cell r="BG300">
            <v>0</v>
          </cell>
          <cell r="BH300">
            <v>150493011.48500001</v>
          </cell>
          <cell r="BI300">
            <v>70268607.263000011</v>
          </cell>
          <cell r="BJ300">
            <v>80224404.222000003</v>
          </cell>
          <cell r="BK300">
            <v>-5386715.0380000006</v>
          </cell>
          <cell r="BL300">
            <v>-4353922.3370000003</v>
          </cell>
          <cell r="BM300">
            <v>-1032792.701</v>
          </cell>
          <cell r="BN300">
            <v>-107553673.60500002</v>
          </cell>
          <cell r="BO300">
            <v>-224884280.86800003</v>
          </cell>
          <cell r="BP300">
            <v>-205757107.25300002</v>
          </cell>
          <cell r="BQ300">
            <v>-74391269.383000016</v>
          </cell>
          <cell r="BR300">
            <v>-2215801.7020002124</v>
          </cell>
          <cell r="BS300">
            <v>800752.10600000003</v>
          </cell>
          <cell r="BT300">
            <v>800752.10600000003</v>
          </cell>
          <cell r="BU300">
            <v>0</v>
          </cell>
          <cell r="BV300">
            <v>432134.60299978702</v>
          </cell>
          <cell r="BW300">
            <v>0</v>
          </cell>
          <cell r="BX300">
            <v>-3448688.4109999994</v>
          </cell>
          <cell r="BZ300">
            <v>-109769475.30700023</v>
          </cell>
          <cell r="CA300">
            <v>-227100082.57000023</v>
          </cell>
          <cell r="CB300">
            <v>109769475.63</v>
          </cell>
          <cell r="CC300">
            <v>116605973.131</v>
          </cell>
          <cell r="CD300">
            <v>145153801.748</v>
          </cell>
          <cell r="CE300">
            <v>80224404.222000003</v>
          </cell>
          <cell r="CF300">
            <v>40131000</v>
          </cell>
          <cell r="CG300">
            <v>24798397.526000004</v>
          </cell>
          <cell r="CH300">
            <v>-26246420.837000001</v>
          </cell>
          <cell r="CI300">
            <v>-2301407.7799999998</v>
          </cell>
          <cell r="CJ300">
            <v>-6836497.5010000002</v>
          </cell>
          <cell r="CK300">
            <v>-22601264.248</v>
          </cell>
          <cell r="CL300">
            <v>-26797687.043000001</v>
          </cell>
          <cell r="CM300">
            <v>-7829232.2140000015</v>
          </cell>
          <cell r="CN300">
            <v>2731000</v>
          </cell>
          <cell r="CO300">
            <v>-10560232.214000002</v>
          </cell>
          <cell r="CP300">
            <v>-18968454.829</v>
          </cell>
          <cell r="CQ300">
            <v>0</v>
          </cell>
          <cell r="CR300">
            <v>-3490254.8290000004</v>
          </cell>
          <cell r="CS300">
            <v>657600</v>
          </cell>
          <cell r="CT300">
            <v>0</v>
          </cell>
          <cell r="CU300">
            <v>-16135800</v>
          </cell>
          <cell r="CV300">
            <v>800300</v>
          </cell>
          <cell r="CW300">
            <v>0</v>
          </cell>
          <cell r="CX300">
            <v>9747768.0250000004</v>
          </cell>
          <cell r="CY300">
            <v>-865785.48800000013</v>
          </cell>
          <cell r="CZ300">
            <v>10589330.607000001</v>
          </cell>
          <cell r="DA300">
            <v>-700000</v>
          </cell>
          <cell r="DB300">
            <v>-402669.39299999998</v>
          </cell>
          <cell r="DC300">
            <v>11692000</v>
          </cell>
          <cell r="DD300">
            <v>24222.906000000006</v>
          </cell>
          <cell r="DE300">
            <v>-5551345.2300000004</v>
          </cell>
          <cell r="DF300">
            <v>0</v>
          </cell>
          <cell r="DG300">
            <v>-3020017.0940000005</v>
          </cell>
          <cell r="DH300">
            <v>-2531328.1359999999</v>
          </cell>
          <cell r="DI300">
            <v>15764766.747</v>
          </cell>
          <cell r="DJ300">
            <v>18183000</v>
          </cell>
          <cell r="DK300">
            <v>0</v>
          </cell>
          <cell r="DL300">
            <v>0</v>
          </cell>
          <cell r="DM300">
            <v>22808000</v>
          </cell>
          <cell r="DN300">
            <v>-4625000</v>
          </cell>
          <cell r="DO300">
            <v>0</v>
          </cell>
          <cell r="DP300">
            <v>-9729653.3880000003</v>
          </cell>
          <cell r="DQ300">
            <v>-986396.82</v>
          </cell>
          <cell r="DR300">
            <v>7311420.1349999998</v>
          </cell>
          <cell r="DS300">
            <v>0</v>
          </cell>
          <cell r="DT300">
            <v>-0.32299976050853729</v>
          </cell>
          <cell r="DU300">
            <v>74170950.789000005</v>
          </cell>
          <cell r="DV300">
            <v>55043777.174000002</v>
          </cell>
          <cell r="DW300">
            <v>19127173.615000002</v>
          </cell>
          <cell r="DX300">
            <v>35179447.272</v>
          </cell>
          <cell r="DY300">
            <v>28797356.337000001</v>
          </cell>
          <cell r="DZ300">
            <v>6382090.9350000005</v>
          </cell>
          <cell r="EA300">
            <v>38991503.517000005</v>
          </cell>
          <cell r="EB300">
            <v>26246420.837000001</v>
          </cell>
          <cell r="EC300">
            <v>12745082.68</v>
          </cell>
          <cell r="EF300">
            <v>20</v>
          </cell>
        </row>
        <row r="301">
          <cell r="E301">
            <v>38425.75</v>
          </cell>
          <cell r="F301">
            <v>94311860.675000012</v>
          </cell>
          <cell r="G301">
            <v>71887847.345000014</v>
          </cell>
          <cell r="H301">
            <v>71534589.926000014</v>
          </cell>
          <cell r="I301">
            <v>67967558.313000008</v>
          </cell>
          <cell r="J301">
            <v>10657494.416000001</v>
          </cell>
          <cell r="K301">
            <v>3683435.0389999999</v>
          </cell>
          <cell r="L301">
            <v>1022668.562</v>
          </cell>
          <cell r="M301">
            <v>357570.61800000002</v>
          </cell>
          <cell r="N301">
            <v>41482453.582000002</v>
          </cell>
          <cell r="O301">
            <v>28971676.023000002</v>
          </cell>
          <cell r="P301">
            <v>5790581.9450000003</v>
          </cell>
          <cell r="Q301">
            <v>6720195.6140000038</v>
          </cell>
          <cell r="R301">
            <v>13228019.112000002</v>
          </cell>
          <cell r="S301">
            <v>11852944.036000002</v>
          </cell>
          <cell r="T301">
            <v>1298445.693</v>
          </cell>
          <cell r="U301">
            <v>76629.383000000002</v>
          </cell>
          <cell r="V301">
            <v>0</v>
          </cell>
          <cell r="W301">
            <v>1219352.023</v>
          </cell>
          <cell r="X301">
            <v>3567031.6129999999</v>
          </cell>
          <cell r="Y301">
            <v>114845.745</v>
          </cell>
          <cell r="Z301">
            <v>2459041.585</v>
          </cell>
          <cell r="AA301">
            <v>405147.74800000002</v>
          </cell>
          <cell r="AB301">
            <v>11546.587</v>
          </cell>
          <cell r="AC301">
            <v>576449.94800000009</v>
          </cell>
          <cell r="AD301">
            <v>353257.41899999999</v>
          </cell>
          <cell r="AE301">
            <v>22424013.330000002</v>
          </cell>
          <cell r="AF301">
            <v>18938013.330000002</v>
          </cell>
          <cell r="AG301">
            <v>3486000</v>
          </cell>
          <cell r="AH301">
            <v>119537712.88699999</v>
          </cell>
          <cell r="AI301">
            <v>80093146.012999997</v>
          </cell>
          <cell r="AJ301">
            <v>77768733.430999994</v>
          </cell>
          <cell r="AK301">
            <v>42031458.788000003</v>
          </cell>
          <cell r="AL301">
            <v>8560529.477</v>
          </cell>
          <cell r="AM301">
            <v>67460338.600999996</v>
          </cell>
          <cell r="AN301">
            <v>214706.89600000001</v>
          </cell>
          <cell r="AO301">
            <v>35118765.252999999</v>
          </cell>
          <cell r="AP301">
            <v>0</v>
          </cell>
          <cell r="AQ301">
            <v>11405849.51</v>
          </cell>
          <cell r="AR301">
            <v>32456.896000000001</v>
          </cell>
          <cell r="AS301">
            <v>4334684.3090000004</v>
          </cell>
          <cell r="AT301">
            <v>2324412.5819999999</v>
          </cell>
          <cell r="AU301">
            <v>2010271.727</v>
          </cell>
          <cell r="AV301">
            <v>16601039.528999997</v>
          </cell>
          <cell r="AW301">
            <v>0</v>
          </cell>
          <cell r="AX301">
            <v>0</v>
          </cell>
          <cell r="AY301">
            <v>2806386.2220000001</v>
          </cell>
          <cell r="AZ301">
            <v>249338.353</v>
          </cell>
          <cell r="BA301">
            <v>3562022.3569999998</v>
          </cell>
          <cell r="BB301">
            <v>57819951.241999999</v>
          </cell>
          <cell r="BC301">
            <v>20385656.094999999</v>
          </cell>
          <cell r="BD301">
            <v>5736908.6919999998</v>
          </cell>
          <cell r="BE301">
            <v>0</v>
          </cell>
          <cell r="BF301">
            <v>0</v>
          </cell>
          <cell r="BG301">
            <v>0</v>
          </cell>
          <cell r="BH301">
            <v>37434295.147</v>
          </cell>
          <cell r="BI301">
            <v>18938013.330000002</v>
          </cell>
          <cell r="BJ301">
            <v>18496281.816999998</v>
          </cell>
          <cell r="BK301">
            <v>-5742576.9560000002</v>
          </cell>
          <cell r="BL301">
            <v>-305391.24099999998</v>
          </cell>
          <cell r="BM301">
            <v>-5437185.7149999999</v>
          </cell>
          <cell r="BN301">
            <v>-25225852.211999983</v>
          </cell>
          <cell r="BO301">
            <v>-47649865.541999981</v>
          </cell>
          <cell r="BP301">
            <v>-43315181.23299998</v>
          </cell>
          <cell r="BQ301">
            <v>-10215570.394999981</v>
          </cell>
          <cell r="BR301">
            <v>-17605739.912999801</v>
          </cell>
          <cell r="BS301">
            <v>190314.05799999973</v>
          </cell>
          <cell r="BT301">
            <v>190314.05799999973</v>
          </cell>
          <cell r="BU301">
            <v>0</v>
          </cell>
          <cell r="BV301">
            <v>-19365953.756999802</v>
          </cell>
          <cell r="BW301">
            <v>0</v>
          </cell>
          <cell r="BX301">
            <v>1569899.7860000003</v>
          </cell>
          <cell r="BZ301">
            <v>-42831592.124999784</v>
          </cell>
          <cell r="CA301">
            <v>-65255605.45499979</v>
          </cell>
          <cell r="CB301">
            <v>42831591.868999988</v>
          </cell>
          <cell r="CC301">
            <v>17314396.368999999</v>
          </cell>
          <cell r="CD301">
            <v>22353282.910999998</v>
          </cell>
          <cell r="CE301">
            <v>18496281.816999998</v>
          </cell>
          <cell r="CF301">
            <v>0</v>
          </cell>
          <cell r="CG301">
            <v>3857001.0940000005</v>
          </cell>
          <cell r="CH301">
            <v>-5038886.5420000004</v>
          </cell>
          <cell r="CI301">
            <v>0</v>
          </cell>
          <cell r="CJ301">
            <v>25517195.499999993</v>
          </cell>
          <cell r="CK301">
            <v>39885680.371999994</v>
          </cell>
          <cell r="CL301">
            <v>51947233.375</v>
          </cell>
          <cell r="CM301">
            <v>4725561.6960000005</v>
          </cell>
          <cell r="CN301">
            <v>5250000</v>
          </cell>
          <cell r="CO301">
            <v>-524438.304</v>
          </cell>
          <cell r="CP301">
            <v>47221671.678999998</v>
          </cell>
          <cell r="CQ301">
            <v>0</v>
          </cell>
          <cell r="CR301">
            <v>-787128.321</v>
          </cell>
          <cell r="CS301">
            <v>-453200</v>
          </cell>
          <cell r="CT301">
            <v>0</v>
          </cell>
          <cell r="CU301">
            <v>48462000</v>
          </cell>
          <cell r="CV301">
            <v>15530800</v>
          </cell>
          <cell r="CW301">
            <v>0</v>
          </cell>
          <cell r="CX301">
            <v>-11868287.476000002</v>
          </cell>
          <cell r="CY301">
            <v>-32892.743999999999</v>
          </cell>
          <cell r="CZ301">
            <v>-11867000</v>
          </cell>
          <cell r="DA301">
            <v>0</v>
          </cell>
          <cell r="DB301">
            <v>0</v>
          </cell>
          <cell r="DC301">
            <v>-11867000</v>
          </cell>
          <cell r="DD301">
            <v>31605.268000000007</v>
          </cell>
          <cell r="DE301">
            <v>-193265.5270000007</v>
          </cell>
          <cell r="DF301">
            <v>0</v>
          </cell>
          <cell r="DG301">
            <v>-604003.69800000079</v>
          </cell>
          <cell r="DH301">
            <v>410738.17100000009</v>
          </cell>
          <cell r="DI301">
            <v>-14368484.872</v>
          </cell>
          <cell r="DJ301">
            <v>-12966000</v>
          </cell>
          <cell r="DK301">
            <v>0</v>
          </cell>
          <cell r="DL301">
            <v>0</v>
          </cell>
          <cell r="DM301">
            <v>0</v>
          </cell>
          <cell r="DN301">
            <v>-12966000</v>
          </cell>
          <cell r="DO301">
            <v>0</v>
          </cell>
          <cell r="DP301">
            <v>-1402484.872</v>
          </cell>
          <cell r="DQ301">
            <v>-246599.20500000002</v>
          </cell>
          <cell r="DR301">
            <v>0</v>
          </cell>
          <cell r="DS301">
            <v>0</v>
          </cell>
          <cell r="DT301">
            <v>0.25599979609251022</v>
          </cell>
          <cell r="DU301">
            <v>0</v>
          </cell>
          <cell r="DV301">
            <v>0</v>
          </cell>
          <cell r="DW301">
            <v>4334684.3090000004</v>
          </cell>
          <cell r="DX301">
            <v>0</v>
          </cell>
          <cell r="DY301">
            <v>0</v>
          </cell>
          <cell r="DZ301">
            <v>2324412.5819999999</v>
          </cell>
          <cell r="EA301">
            <v>7049158.2690000003</v>
          </cell>
          <cell r="EB301">
            <v>5038886.5420000004</v>
          </cell>
          <cell r="EC301">
            <v>2010271.727</v>
          </cell>
          <cell r="EF301">
            <v>21</v>
          </cell>
        </row>
        <row r="302">
          <cell r="E302">
            <v>38517.0625</v>
          </cell>
          <cell r="F302">
            <v>234841662.49700004</v>
          </cell>
          <cell r="G302">
            <v>185338423.18500003</v>
          </cell>
          <cell r="H302">
            <v>184973931.86600003</v>
          </cell>
          <cell r="I302">
            <v>174014934.39000002</v>
          </cell>
          <cell r="J302">
            <v>45723915.909999996</v>
          </cell>
          <cell r="K302">
            <v>28008654.346000001</v>
          </cell>
          <cell r="L302">
            <v>2208427.4029999999</v>
          </cell>
          <cell r="M302">
            <v>1080343.064</v>
          </cell>
          <cell r="N302">
            <v>93955169.591000021</v>
          </cell>
          <cell r="O302">
            <v>66459519.980000004</v>
          </cell>
          <cell r="P302">
            <v>12269903.82</v>
          </cell>
          <cell r="Q302">
            <v>15225745.791000005</v>
          </cell>
          <cell r="R302">
            <v>29012623.000000004</v>
          </cell>
          <cell r="S302">
            <v>25297213.259000003</v>
          </cell>
          <cell r="T302">
            <v>2861209.79</v>
          </cell>
          <cell r="U302">
            <v>854199.951</v>
          </cell>
          <cell r="V302">
            <v>700000</v>
          </cell>
          <cell r="W302">
            <v>2034455.422</v>
          </cell>
          <cell r="X302">
            <v>10958997.476</v>
          </cell>
          <cell r="Y302">
            <v>312298.93699999998</v>
          </cell>
          <cell r="Z302">
            <v>5455560.3789999997</v>
          </cell>
          <cell r="AA302">
            <v>661718.19799999997</v>
          </cell>
          <cell r="AB302">
            <v>2436840.9959999998</v>
          </cell>
          <cell r="AC302">
            <v>2092578.9660000005</v>
          </cell>
          <cell r="AD302">
            <v>364491.31900000002</v>
          </cell>
          <cell r="AE302">
            <v>49503239.311999999</v>
          </cell>
          <cell r="AF302">
            <v>35645239.311999999</v>
          </cell>
          <cell r="AG302">
            <v>13858000</v>
          </cell>
          <cell r="AH302">
            <v>310024457.83233327</v>
          </cell>
          <cell r="AI302">
            <v>225825188.74033329</v>
          </cell>
          <cell r="AJ302">
            <v>221051743.03633329</v>
          </cell>
          <cell r="AK302">
            <v>64333520.936999999</v>
          </cell>
          <cell r="AL302">
            <v>18953101.954</v>
          </cell>
          <cell r="AM302">
            <v>174222543.3133333</v>
          </cell>
          <cell r="AN302">
            <v>2637408.3840000001</v>
          </cell>
          <cell r="AO302">
            <v>71002328.179000005</v>
          </cell>
          <cell r="AP302">
            <v>642872.12800000003</v>
          </cell>
          <cell r="AQ302">
            <v>42189208.315333299</v>
          </cell>
          <cell r="AR302">
            <v>1500372.2560000001</v>
          </cell>
          <cell r="AS302">
            <v>10464960.361000001</v>
          </cell>
          <cell r="AT302">
            <v>4773445.7039999999</v>
          </cell>
          <cell r="AU302">
            <v>5691514.6570000006</v>
          </cell>
          <cell r="AV302">
            <v>50566046.458000004</v>
          </cell>
          <cell r="AW302">
            <v>494164</v>
          </cell>
          <cell r="AX302">
            <v>0</v>
          </cell>
          <cell r="AY302">
            <v>0</v>
          </cell>
          <cell r="AZ302">
            <v>0</v>
          </cell>
          <cell r="BA302">
            <v>0</v>
          </cell>
          <cell r="BB302">
            <v>147925508.398</v>
          </cell>
          <cell r="BC302">
            <v>67617908.256999999</v>
          </cell>
          <cell r="BD302">
            <v>14257744.885</v>
          </cell>
          <cell r="BE302">
            <v>13432719.244999999</v>
          </cell>
          <cell r="BF302">
            <v>1799845.706</v>
          </cell>
          <cell r="BG302">
            <v>0</v>
          </cell>
          <cell r="BH302">
            <v>78507754.435000002</v>
          </cell>
          <cell r="BI302">
            <v>35645239.311999999</v>
          </cell>
          <cell r="BJ302">
            <v>42862515.122999996</v>
          </cell>
          <cell r="BK302">
            <v>-12123593.879000001</v>
          </cell>
          <cell r="BL302">
            <v>-1390214.0220000001</v>
          </cell>
          <cell r="BM302">
            <v>-10733379.857000001</v>
          </cell>
          <cell r="BN302">
            <v>-75182795.335333228</v>
          </cell>
          <cell r="BO302">
            <v>-124686034.64733323</v>
          </cell>
          <cell r="BP302">
            <v>-114221074.28633323</v>
          </cell>
          <cell r="BQ302">
            <v>-46178280.212333232</v>
          </cell>
          <cell r="BR302">
            <v>11584685.038000211</v>
          </cell>
          <cell r="BS302">
            <v>734240.43399999943</v>
          </cell>
          <cell r="BT302">
            <v>734240.43399999943</v>
          </cell>
          <cell r="BU302">
            <v>0</v>
          </cell>
          <cell r="BV302">
            <v>-5218189.5499997884</v>
          </cell>
          <cell r="BW302">
            <v>0</v>
          </cell>
          <cell r="BX302">
            <v>16068634.153999999</v>
          </cell>
          <cell r="BZ302">
            <v>-63598110.297333017</v>
          </cell>
          <cell r="CA302">
            <v>-113101349.60933301</v>
          </cell>
          <cell r="CB302">
            <v>63598110.126000002</v>
          </cell>
          <cell r="CC302">
            <v>50769856.417999998</v>
          </cell>
          <cell r="CD302">
            <v>62582323.766000003</v>
          </cell>
          <cell r="CE302">
            <v>42862515.122999996</v>
          </cell>
          <cell r="CF302">
            <v>7761000</v>
          </cell>
          <cell r="CG302">
            <v>11958808.643000003</v>
          </cell>
          <cell r="CH302">
            <v>-11847135.274</v>
          </cell>
          <cell r="CI302">
            <v>34667.925999999869</v>
          </cell>
          <cell r="CJ302">
            <v>12828253.708000001</v>
          </cell>
          <cell r="CK302">
            <v>21168120.078000002</v>
          </cell>
          <cell r="CL302">
            <v>42007730.292000003</v>
          </cell>
          <cell r="CM302">
            <v>286490.39699999988</v>
          </cell>
          <cell r="CN302">
            <v>5250000</v>
          </cell>
          <cell r="CO302">
            <v>-4963509.6030000001</v>
          </cell>
          <cell r="CP302">
            <v>41721239.895000003</v>
          </cell>
          <cell r="CQ302">
            <v>0</v>
          </cell>
          <cell r="CR302">
            <v>-1580160.1050000002</v>
          </cell>
          <cell r="CS302">
            <v>436400</v>
          </cell>
          <cell r="CT302">
            <v>0</v>
          </cell>
          <cell r="CU302">
            <v>42865000</v>
          </cell>
          <cell r="CV302">
            <v>8058400</v>
          </cell>
          <cell r="CW302">
            <v>0</v>
          </cell>
          <cell r="CX302">
            <v>-19452278.127</v>
          </cell>
          <cell r="CY302">
            <v>-65785.487999999998</v>
          </cell>
          <cell r="CZ302">
            <v>-19362846.153999999</v>
          </cell>
          <cell r="DA302">
            <v>-350000</v>
          </cell>
          <cell r="DB302">
            <v>-453846.15400000004</v>
          </cell>
          <cell r="DC302">
            <v>-18559000</v>
          </cell>
          <cell r="DD302">
            <v>-23646.484999999997</v>
          </cell>
          <cell r="DE302">
            <v>-1387332.0870000012</v>
          </cell>
          <cell r="DF302">
            <v>0</v>
          </cell>
          <cell r="DG302">
            <v>-1208007.3960000016</v>
          </cell>
          <cell r="DH302">
            <v>-179324.69099999964</v>
          </cell>
          <cell r="DI302">
            <v>-8339866.3700000001</v>
          </cell>
          <cell r="DJ302">
            <v>-5774000</v>
          </cell>
          <cell r="DK302">
            <v>0</v>
          </cell>
          <cell r="DL302">
            <v>0</v>
          </cell>
          <cell r="DM302">
            <v>22500000</v>
          </cell>
          <cell r="DN302">
            <v>-28274000</v>
          </cell>
          <cell r="DO302">
            <v>0</v>
          </cell>
          <cell r="DP302">
            <v>-2565866.37</v>
          </cell>
          <cell r="DQ302">
            <v>-493198.41</v>
          </cell>
          <cell r="DR302">
            <v>0</v>
          </cell>
          <cell r="DS302">
            <v>0</v>
          </cell>
          <cell r="DT302">
            <v>0.17133301496505737</v>
          </cell>
          <cell r="DU302">
            <v>0</v>
          </cell>
          <cell r="DV302">
            <v>0</v>
          </cell>
          <cell r="DW302">
            <v>10464960.361000001</v>
          </cell>
          <cell r="DX302">
            <v>0</v>
          </cell>
          <cell r="DY302">
            <v>0</v>
          </cell>
          <cell r="DZ302">
            <v>4773445.7039999999</v>
          </cell>
          <cell r="EA302">
            <v>17538649.931000002</v>
          </cell>
          <cell r="EB302">
            <v>11847135.274</v>
          </cell>
          <cell r="EC302">
            <v>5691514.6570000006</v>
          </cell>
          <cell r="EF302">
            <v>22</v>
          </cell>
        </row>
        <row r="303">
          <cell r="E303">
            <v>38608.375</v>
          </cell>
          <cell r="F303">
            <v>354654218.05899996</v>
          </cell>
          <cell r="G303">
            <v>278172695.64099997</v>
          </cell>
          <cell r="H303">
            <v>277782959.292</v>
          </cell>
          <cell r="I303">
            <v>255984250.42700002</v>
          </cell>
          <cell r="J303">
            <v>63301110.925999992</v>
          </cell>
          <cell r="K303">
            <v>36333752.868000001</v>
          </cell>
          <cell r="L303">
            <v>3364671.7850000001</v>
          </cell>
          <cell r="M303">
            <v>1545047.7009999999</v>
          </cell>
          <cell r="N303">
            <v>140120811.046</v>
          </cell>
          <cell r="O303">
            <v>100399441.618</v>
          </cell>
          <cell r="P303">
            <v>17305596.645</v>
          </cell>
          <cell r="Q303">
            <v>22415772.783000007</v>
          </cell>
          <cell r="R303">
            <v>44573955.441000007</v>
          </cell>
          <cell r="S303">
            <v>39317681.82100001</v>
          </cell>
          <cell r="T303">
            <v>4321563.8660000004</v>
          </cell>
          <cell r="U303">
            <v>934709.75399999996</v>
          </cell>
          <cell r="V303">
            <v>700000</v>
          </cell>
          <cell r="W303">
            <v>3078653.5280000004</v>
          </cell>
          <cell r="X303">
            <v>21798708.864999998</v>
          </cell>
          <cell r="Y303">
            <v>720084.49399999995</v>
          </cell>
          <cell r="Z303">
            <v>8219950.9800000004</v>
          </cell>
          <cell r="AA303">
            <v>912113.68900000001</v>
          </cell>
          <cell r="AB303">
            <v>8297775.5639999993</v>
          </cell>
          <cell r="AC303">
            <v>3648784.1380000003</v>
          </cell>
          <cell r="AD303">
            <v>389736.34900000005</v>
          </cell>
          <cell r="AE303">
            <v>76481522.417999998</v>
          </cell>
          <cell r="AF303">
            <v>49135522.417999998</v>
          </cell>
          <cell r="AG303">
            <v>27346000</v>
          </cell>
          <cell r="AH303">
            <v>476988353.528</v>
          </cell>
          <cell r="AI303">
            <v>354572336.171</v>
          </cell>
          <cell r="AJ303">
            <v>349033953.82800001</v>
          </cell>
          <cell r="AK303">
            <v>96095139.786999986</v>
          </cell>
          <cell r="AL303">
            <v>28869794.874000002</v>
          </cell>
          <cell r="AM303">
            <v>265969926.64899999</v>
          </cell>
          <cell r="AN303">
            <v>7345966.8600000003</v>
          </cell>
          <cell r="AO303">
            <v>106424361.56299999</v>
          </cell>
          <cell r="AP303">
            <v>1788950.3360000001</v>
          </cell>
          <cell r="AQ303">
            <v>62567102.314999998</v>
          </cell>
          <cell r="AR303">
            <v>4122527.5240000002</v>
          </cell>
          <cell r="AS303">
            <v>13446101.250999998</v>
          </cell>
          <cell r="AT303">
            <v>5538382.3429999994</v>
          </cell>
          <cell r="AU303">
            <v>7907718.9079999998</v>
          </cell>
          <cell r="AV303">
            <v>83532361.519999996</v>
          </cell>
          <cell r="AW303">
            <v>1434489</v>
          </cell>
          <cell r="AX303">
            <v>328841.44300000003</v>
          </cell>
          <cell r="AY303">
            <v>12875580.296</v>
          </cell>
          <cell r="AZ303">
            <v>615892.02800000005</v>
          </cell>
          <cell r="BA303">
            <v>15695644.249000002</v>
          </cell>
          <cell r="BB303">
            <v>223872348.71000001</v>
          </cell>
          <cell r="BC303">
            <v>107064204.55500001</v>
          </cell>
          <cell r="BD303">
            <v>23647929.878999997</v>
          </cell>
          <cell r="BE303">
            <v>22464657.960000001</v>
          </cell>
          <cell r="BF303">
            <v>2299845.7060000002</v>
          </cell>
          <cell r="BG303">
            <v>0</v>
          </cell>
          <cell r="BH303">
            <v>114508298.449</v>
          </cell>
          <cell r="BI303">
            <v>49135522.417999998</v>
          </cell>
          <cell r="BJ303">
            <v>65372776.031000003</v>
          </cell>
          <cell r="BK303">
            <v>-12853921.831</v>
          </cell>
          <cell r="BL303">
            <v>-1807021.9410000001</v>
          </cell>
          <cell r="BM303">
            <v>-11046899.890000001</v>
          </cell>
          <cell r="BN303">
            <v>-122334135.46900004</v>
          </cell>
          <cell r="BO303">
            <v>-198815657.88700002</v>
          </cell>
          <cell r="BP303">
            <v>-185369556.63600004</v>
          </cell>
          <cell r="BQ303">
            <v>-84307359.438000023</v>
          </cell>
          <cell r="BR303">
            <v>26279981.424000211</v>
          </cell>
          <cell r="BS303">
            <v>2896059.875</v>
          </cell>
          <cell r="BT303">
            <v>2896059.875</v>
          </cell>
          <cell r="BU303">
            <v>0</v>
          </cell>
          <cell r="BV303">
            <v>4674594.8740002112</v>
          </cell>
          <cell r="BW303">
            <v>0</v>
          </cell>
          <cell r="BX303">
            <v>18709326.675000001</v>
          </cell>
          <cell r="BZ303">
            <v>-96054154.044999838</v>
          </cell>
          <cell r="CA303">
            <v>-172535676.46299982</v>
          </cell>
          <cell r="CB303">
            <v>96054153.977000013</v>
          </cell>
          <cell r="CC303">
            <v>108313855.29900001</v>
          </cell>
          <cell r="CD303">
            <v>125302921.86400001</v>
          </cell>
          <cell r="CE303">
            <v>65372776.031000003</v>
          </cell>
          <cell r="CF303">
            <v>42976000</v>
          </cell>
          <cell r="CG303">
            <v>16954145.833000001</v>
          </cell>
          <cell r="CH303">
            <v>-17023734.491</v>
          </cell>
          <cell r="CI303">
            <v>34667.925999999869</v>
          </cell>
          <cell r="CJ303">
            <v>-12259701.321999999</v>
          </cell>
          <cell r="CK303">
            <v>1496005.7800000007</v>
          </cell>
          <cell r="CL303">
            <v>22891378.368999999</v>
          </cell>
          <cell r="CM303">
            <v>-1805882.0039999997</v>
          </cell>
          <cell r="CN303">
            <v>5250000</v>
          </cell>
          <cell r="CO303">
            <v>-7055882.0039999997</v>
          </cell>
          <cell r="CP303">
            <v>24697260.373</v>
          </cell>
          <cell r="CQ303">
            <v>0</v>
          </cell>
          <cell r="CR303">
            <v>-2379139.6270000003</v>
          </cell>
          <cell r="CS303">
            <v>-409500</v>
          </cell>
          <cell r="CT303">
            <v>0</v>
          </cell>
          <cell r="CU303">
            <v>27485900</v>
          </cell>
          <cell r="CV303">
            <v>8451500</v>
          </cell>
          <cell r="CW303">
            <v>0</v>
          </cell>
          <cell r="CX303">
            <v>-19781785.804999996</v>
          </cell>
          <cell r="CY303">
            <v>-405927.24</v>
          </cell>
          <cell r="CZ303">
            <v>-19362846.153999999</v>
          </cell>
          <cell r="DA303">
            <v>-350000</v>
          </cell>
          <cell r="DB303">
            <v>-453846.15400000004</v>
          </cell>
          <cell r="DC303">
            <v>-18559000</v>
          </cell>
          <cell r="DD303">
            <v>-13012.410999999998</v>
          </cell>
          <cell r="DE303">
            <v>-1613586.7840000023</v>
          </cell>
          <cell r="DF303">
            <v>0</v>
          </cell>
          <cell r="DG303">
            <v>-1812011.0940000024</v>
          </cell>
          <cell r="DH303">
            <v>198424.31</v>
          </cell>
          <cell r="DI303">
            <v>-13755707.102</v>
          </cell>
          <cell r="DJ303">
            <v>-5774000</v>
          </cell>
          <cell r="DK303">
            <v>0</v>
          </cell>
          <cell r="DL303">
            <v>0</v>
          </cell>
          <cell r="DM303">
            <v>22500000</v>
          </cell>
          <cell r="DN303">
            <v>-28274000</v>
          </cell>
          <cell r="DO303">
            <v>0</v>
          </cell>
          <cell r="DP303">
            <v>-7981707.102</v>
          </cell>
          <cell r="DQ303">
            <v>-739797.61499999999</v>
          </cell>
          <cell r="DR303">
            <v>0</v>
          </cell>
          <cell r="DS303">
            <v>0</v>
          </cell>
          <cell r="DT303">
            <v>6.799982488155365E-2</v>
          </cell>
          <cell r="DU303">
            <v>0</v>
          </cell>
          <cell r="DV303">
            <v>0</v>
          </cell>
          <cell r="DW303">
            <v>13446101.250999998</v>
          </cell>
          <cell r="DX303">
            <v>0</v>
          </cell>
          <cell r="DY303">
            <v>0</v>
          </cell>
          <cell r="DZ303">
            <v>5538382.3429999994</v>
          </cell>
          <cell r="EA303">
            <v>24931453.399</v>
          </cell>
          <cell r="EB303">
            <v>17023734.491</v>
          </cell>
          <cell r="EC303">
            <v>7907718.9079999998</v>
          </cell>
          <cell r="EF303">
            <v>23</v>
          </cell>
        </row>
        <row r="304">
          <cell r="E304">
            <v>38699.6875</v>
          </cell>
          <cell r="F304">
            <v>496718801.04300004</v>
          </cell>
          <cell r="G304">
            <v>365178075.75100005</v>
          </cell>
          <cell r="H304">
            <v>364780399.70200002</v>
          </cell>
          <cell r="I304">
            <v>336755854.611</v>
          </cell>
          <cell r="J304">
            <v>79692212.329999998</v>
          </cell>
          <cell r="K304">
            <v>44627778.658999994</v>
          </cell>
          <cell r="L304">
            <v>4390906.8890000004</v>
          </cell>
          <cell r="M304">
            <v>2026292.879</v>
          </cell>
          <cell r="N304">
            <v>185811088.41200003</v>
          </cell>
          <cell r="O304">
            <v>131784775.50600001</v>
          </cell>
          <cell r="P304">
            <v>23169111.594999999</v>
          </cell>
          <cell r="Q304">
            <v>30857201.311000008</v>
          </cell>
          <cell r="R304">
            <v>60749176.032000013</v>
          </cell>
          <cell r="S304">
            <v>52850807.417000011</v>
          </cell>
          <cell r="T304">
            <v>5690243.4309999999</v>
          </cell>
          <cell r="U304">
            <v>2208125.1839999999</v>
          </cell>
          <cell r="V304">
            <v>1890361.3</v>
          </cell>
          <cell r="W304">
            <v>4086178.0690000001</v>
          </cell>
          <cell r="X304">
            <v>28024545.090999998</v>
          </cell>
          <cell r="Y304">
            <v>1136223.4489999998</v>
          </cell>
          <cell r="Z304">
            <v>10683395.804</v>
          </cell>
          <cell r="AA304">
            <v>1567747.3030000001</v>
          </cell>
          <cell r="AB304">
            <v>8366347.6829999993</v>
          </cell>
          <cell r="AC304">
            <v>6270830.8520000018</v>
          </cell>
          <cell r="AD304">
            <v>397676.049</v>
          </cell>
          <cell r="AE304">
            <v>131540725.292</v>
          </cell>
          <cell r="AF304">
            <v>73771725.291999996</v>
          </cell>
          <cell r="AG304">
            <v>57769000</v>
          </cell>
          <cell r="AH304">
            <v>642012177.62499988</v>
          </cell>
          <cell r="AI304">
            <v>467383965.19999993</v>
          </cell>
          <cell r="AJ304">
            <v>460943187.616</v>
          </cell>
          <cell r="AK304">
            <v>118665595.83399999</v>
          </cell>
          <cell r="AL304">
            <v>39065743.601000004</v>
          </cell>
          <cell r="AM304">
            <v>332163712.13199997</v>
          </cell>
          <cell r="AN304">
            <v>10043319.506999999</v>
          </cell>
          <cell r="AO304">
            <v>141286490.118</v>
          </cell>
          <cell r="AP304">
            <v>1889906.3360000001</v>
          </cell>
          <cell r="AQ304">
            <v>75105574.743000001</v>
          </cell>
          <cell r="AR304">
            <v>6718004.1710000001</v>
          </cell>
          <cell r="AS304">
            <v>18169721.978</v>
          </cell>
          <cell r="AT304">
            <v>6447288.6600000001</v>
          </cell>
          <cell r="AU304">
            <v>11722433.318</v>
          </cell>
          <cell r="AV304">
            <v>97601925.292999998</v>
          </cell>
          <cell r="AW304">
            <v>1435409</v>
          </cell>
          <cell r="AX304">
            <v>428841.44300000003</v>
          </cell>
          <cell r="AY304">
            <v>15230814.942</v>
          </cell>
          <cell r="AZ304">
            <v>1470119.4739999999</v>
          </cell>
          <cell r="BA304">
            <v>17429288.448000003</v>
          </cell>
          <cell r="BB304">
            <v>323017478.69299996</v>
          </cell>
          <cell r="BC304">
            <v>146190057.18599999</v>
          </cell>
          <cell r="BD304">
            <v>26683866.944999997</v>
          </cell>
          <cell r="BE304">
            <v>29722626.733999997</v>
          </cell>
          <cell r="BF304">
            <v>2251881.7060000002</v>
          </cell>
          <cell r="BG304">
            <v>0</v>
          </cell>
          <cell r="BH304">
            <v>174575539.801</v>
          </cell>
          <cell r="BI304">
            <v>73771725.291999996</v>
          </cell>
          <cell r="BJ304">
            <v>100803814.509</v>
          </cell>
          <cell r="BK304">
            <v>-13169013.199999999</v>
          </cell>
          <cell r="BL304">
            <v>-2674371.2350000003</v>
          </cell>
          <cell r="BM304">
            <v>-10494641.965</v>
          </cell>
          <cell r="BN304">
            <v>-145293376.58199984</v>
          </cell>
          <cell r="BO304">
            <v>-276834101.87399983</v>
          </cell>
          <cell r="BP304">
            <v>-258664379.89599979</v>
          </cell>
          <cell r="BQ304">
            <v>-102258562.07299984</v>
          </cell>
          <cell r="BR304">
            <v>23123574.386000209</v>
          </cell>
          <cell r="BS304">
            <v>6286887.4139999989</v>
          </cell>
          <cell r="BT304">
            <v>6286887.4139999989</v>
          </cell>
          <cell r="BU304">
            <v>0</v>
          </cell>
          <cell r="BV304">
            <v>1513125.3240002114</v>
          </cell>
          <cell r="BW304">
            <v>0</v>
          </cell>
          <cell r="BX304">
            <v>15323561.648</v>
          </cell>
          <cell r="BZ304">
            <v>-122169802.19599962</v>
          </cell>
          <cell r="CA304">
            <v>-253710527.48799962</v>
          </cell>
          <cell r="CB304">
            <v>122169801.50600001</v>
          </cell>
          <cell r="CC304">
            <v>136205687.53600001</v>
          </cell>
          <cell r="CD304">
            <v>160608049.54899999</v>
          </cell>
          <cell r="CE304">
            <v>100803814.509</v>
          </cell>
          <cell r="CF304">
            <v>35786000</v>
          </cell>
          <cell r="CG304">
            <v>24018235.039999995</v>
          </cell>
          <cell r="CH304">
            <v>-24511118.623</v>
          </cell>
          <cell r="CI304">
            <v>108756.61</v>
          </cell>
          <cell r="CJ304">
            <v>-14035886.030000001</v>
          </cell>
          <cell r="CK304">
            <v>10765907.343999997</v>
          </cell>
          <cell r="CL304">
            <v>34509835.478</v>
          </cell>
          <cell r="CM304">
            <v>-1373453.0260000005</v>
          </cell>
          <cell r="CN304">
            <v>7972000</v>
          </cell>
          <cell r="CO304">
            <v>-9345453.0260000005</v>
          </cell>
          <cell r="CP304">
            <v>35883288.504000001</v>
          </cell>
          <cell r="CQ304">
            <v>0</v>
          </cell>
          <cell r="CR304">
            <v>-3184111.4960000003</v>
          </cell>
          <cell r="CS304">
            <v>490300</v>
          </cell>
          <cell r="CT304">
            <v>0</v>
          </cell>
          <cell r="CU304">
            <v>38577100</v>
          </cell>
          <cell r="CV304">
            <v>15740600</v>
          </cell>
          <cell r="CW304">
            <v>0</v>
          </cell>
          <cell r="CX304">
            <v>-20300922.618000001</v>
          </cell>
          <cell r="CY304">
            <v>-438819.984</v>
          </cell>
          <cell r="CZ304">
            <v>-19866692.307999998</v>
          </cell>
          <cell r="DA304">
            <v>-700000</v>
          </cell>
          <cell r="DB304">
            <v>-907692.30800000008</v>
          </cell>
          <cell r="DC304">
            <v>-18259000</v>
          </cell>
          <cell r="DD304">
            <v>4589.6739999999991</v>
          </cell>
          <cell r="DE304">
            <v>-3443005.5160000026</v>
          </cell>
          <cell r="DF304">
            <v>0</v>
          </cell>
          <cell r="DG304">
            <v>-2416014.7920000032</v>
          </cell>
          <cell r="DH304">
            <v>-1026990.7239999995</v>
          </cell>
          <cell r="DI304">
            <v>-24801793.373999998</v>
          </cell>
          <cell r="DJ304">
            <v>-13774000</v>
          </cell>
          <cell r="DK304">
            <v>0</v>
          </cell>
          <cell r="DL304">
            <v>0</v>
          </cell>
          <cell r="DM304">
            <v>37000000</v>
          </cell>
          <cell r="DN304">
            <v>-50774000</v>
          </cell>
          <cell r="DO304">
            <v>0</v>
          </cell>
          <cell r="DP304">
            <v>-11027793.373999998</v>
          </cell>
          <cell r="DQ304">
            <v>-986396.82</v>
          </cell>
          <cell r="DR304">
            <v>0</v>
          </cell>
          <cell r="DS304">
            <v>0.3939998596906662</v>
          </cell>
          <cell r="DT304">
            <v>0.29599975049495697</v>
          </cell>
          <cell r="DU304">
            <v>70700725.581</v>
          </cell>
          <cell r="DV304">
            <v>52531003.603</v>
          </cell>
          <cell r="DW304">
            <v>18169721.978</v>
          </cell>
          <cell r="DX304">
            <v>34467173.640000001</v>
          </cell>
          <cell r="DY304">
            <v>28019884.98</v>
          </cell>
          <cell r="DZ304">
            <v>6447288.6600000001</v>
          </cell>
          <cell r="EA304">
            <v>36233551.941</v>
          </cell>
          <cell r="EB304">
            <v>24511118.623</v>
          </cell>
          <cell r="EC304">
            <v>11722433.318</v>
          </cell>
          <cell r="EF304">
            <v>24</v>
          </cell>
        </row>
        <row r="305">
          <cell r="E305">
            <v>38791</v>
          </cell>
          <cell r="F305">
            <v>129569263.47399998</v>
          </cell>
          <cell r="G305">
            <v>87904184.328999981</v>
          </cell>
          <cell r="H305">
            <v>87859752.338999987</v>
          </cell>
          <cell r="I305">
            <v>83676390.304999992</v>
          </cell>
          <cell r="J305">
            <v>18323389.328000002</v>
          </cell>
          <cell r="K305">
            <v>9119501.5709999986</v>
          </cell>
          <cell r="L305">
            <v>1313274.29</v>
          </cell>
          <cell r="M305">
            <v>412776.96399999998</v>
          </cell>
          <cell r="N305">
            <v>47924953.221000001</v>
          </cell>
          <cell r="O305">
            <v>34722220.230999999</v>
          </cell>
          <cell r="P305">
            <v>5650845.7709999997</v>
          </cell>
          <cell r="Q305">
            <v>7551887.2190000024</v>
          </cell>
          <cell r="R305">
            <v>14832047.195</v>
          </cell>
          <cell r="S305">
            <v>13326537.541000001</v>
          </cell>
          <cell r="T305">
            <v>1426536.8470000001</v>
          </cell>
          <cell r="U305">
            <v>78972.807000000001</v>
          </cell>
          <cell r="V305">
            <v>0</v>
          </cell>
          <cell r="W305">
            <v>869949.30699999991</v>
          </cell>
          <cell r="X305">
            <v>4183362.034</v>
          </cell>
          <cell r="Y305">
            <v>160328.47700000001</v>
          </cell>
          <cell r="Z305">
            <v>2658073.1529999999</v>
          </cell>
          <cell r="AA305">
            <v>360977.37800000003</v>
          </cell>
          <cell r="AB305">
            <v>4488.6710000000003</v>
          </cell>
          <cell r="AC305">
            <v>999494.35499999998</v>
          </cell>
          <cell r="AD305">
            <v>44431.99</v>
          </cell>
          <cell r="AE305">
            <v>41665079.145000003</v>
          </cell>
          <cell r="AF305">
            <v>21931079.145000003</v>
          </cell>
          <cell r="AG305">
            <v>19734000</v>
          </cell>
          <cell r="AH305">
            <v>152267618.486</v>
          </cell>
          <cell r="AI305">
            <v>108771101.596</v>
          </cell>
          <cell r="AJ305">
            <v>107079462.733</v>
          </cell>
          <cell r="AK305">
            <v>24751937.620999999</v>
          </cell>
          <cell r="AL305">
            <v>13680002.362</v>
          </cell>
          <cell r="AM305">
            <v>94357412.106999993</v>
          </cell>
          <cell r="AN305">
            <v>0</v>
          </cell>
          <cell r="AO305">
            <v>38607493.276000001</v>
          </cell>
          <cell r="AP305">
            <v>0</v>
          </cell>
          <cell r="AQ305">
            <v>26062382.355</v>
          </cell>
          <cell r="AR305">
            <v>0</v>
          </cell>
          <cell r="AS305">
            <v>3718344.1999999997</v>
          </cell>
          <cell r="AT305">
            <v>1691638.8629999999</v>
          </cell>
          <cell r="AU305">
            <v>2026705.3369999998</v>
          </cell>
          <cell r="AV305">
            <v>25969192.276000001</v>
          </cell>
          <cell r="AW305">
            <v>0</v>
          </cell>
          <cell r="AX305">
            <v>254473.82</v>
          </cell>
          <cell r="AY305">
            <v>5067302.9819999998</v>
          </cell>
          <cell r="AZ305">
            <v>248051.70499999999</v>
          </cell>
          <cell r="BA305">
            <v>6276459.3849999998</v>
          </cell>
          <cell r="BB305">
            <v>61817341.715000004</v>
          </cell>
          <cell r="BC305">
            <v>20347530.162</v>
          </cell>
          <cell r="BD305">
            <v>7963197.1720000003</v>
          </cell>
          <cell r="BE305">
            <v>2039021.05</v>
          </cell>
          <cell r="BF305">
            <v>0</v>
          </cell>
          <cell r="BG305">
            <v>0</v>
          </cell>
          <cell r="BH305">
            <v>41469811.553000003</v>
          </cell>
          <cell r="BI305">
            <v>21931079.145000003</v>
          </cell>
          <cell r="BJ305">
            <v>19538732.408</v>
          </cell>
          <cell r="BK305">
            <v>-3907135.3360000001</v>
          </cell>
          <cell r="BL305">
            <v>-348862.36600000004</v>
          </cell>
          <cell r="BM305">
            <v>-3558272.97</v>
          </cell>
          <cell r="BN305">
            <v>-22698355.012000024</v>
          </cell>
          <cell r="BO305">
            <v>-64363434.157000028</v>
          </cell>
          <cell r="BP305">
            <v>-60645089.957000032</v>
          </cell>
          <cell r="BQ305">
            <v>-22893622.604000017</v>
          </cell>
          <cell r="BR305">
            <v>142196.43466659077</v>
          </cell>
          <cell r="BS305">
            <v>1256134.6503333398</v>
          </cell>
          <cell r="BT305">
            <v>1256134.6503333398</v>
          </cell>
          <cell r="BU305">
            <v>0</v>
          </cell>
          <cell r="BV305">
            <v>-9112220.5256667491</v>
          </cell>
          <cell r="BW305">
            <v>0</v>
          </cell>
          <cell r="BX305">
            <v>7998282.3100000005</v>
          </cell>
          <cell r="BZ305">
            <v>-22556158.577333435</v>
          </cell>
          <cell r="CA305">
            <v>-64221237.722333439</v>
          </cell>
          <cell r="CB305">
            <v>24200861.199999996</v>
          </cell>
          <cell r="CC305">
            <v>17819865.873999998</v>
          </cell>
          <cell r="CD305">
            <v>23053678.517999999</v>
          </cell>
          <cell r="CE305">
            <v>19538732.408</v>
          </cell>
          <cell r="CF305">
            <v>0</v>
          </cell>
          <cell r="CG305">
            <v>3514946.11</v>
          </cell>
          <cell r="CH305">
            <v>-5233812.6439999994</v>
          </cell>
          <cell r="CI305">
            <v>0</v>
          </cell>
          <cell r="CJ305">
            <v>6380995.3259999976</v>
          </cell>
          <cell r="CK305">
            <v>17694108.057999998</v>
          </cell>
          <cell r="CL305">
            <v>19027390.842</v>
          </cell>
          <cell r="CM305">
            <v>2696000</v>
          </cell>
          <cell r="CN305">
            <v>2696000</v>
          </cell>
          <cell r="CO305">
            <v>0</v>
          </cell>
          <cell r="CP305">
            <v>16331390.842</v>
          </cell>
          <cell r="CQ305">
            <v>0</v>
          </cell>
          <cell r="CR305">
            <v>-811009.15799999994</v>
          </cell>
          <cell r="CS305">
            <v>3800</v>
          </cell>
          <cell r="CT305">
            <v>0</v>
          </cell>
          <cell r="CU305">
            <v>17138600</v>
          </cell>
          <cell r="CV305">
            <v>286000</v>
          </cell>
          <cell r="CW305">
            <v>0</v>
          </cell>
          <cell r="CX305">
            <v>-3317313.068</v>
          </cell>
          <cell r="CY305">
            <v>-32892.743999999999</v>
          </cell>
          <cell r="CZ305">
            <v>-3283332.5</v>
          </cell>
          <cell r="DA305">
            <v>0</v>
          </cell>
          <cell r="DB305">
            <v>0</v>
          </cell>
          <cell r="DC305">
            <v>-3283332.5</v>
          </cell>
          <cell r="DD305">
            <v>-1087.8240000000042</v>
          </cell>
          <cell r="DE305">
            <v>1984030.2839999986</v>
          </cell>
          <cell r="DF305">
            <v>0</v>
          </cell>
          <cell r="DG305">
            <v>-604003.69800000079</v>
          </cell>
          <cell r="DH305">
            <v>2588033.9819999994</v>
          </cell>
          <cell r="DI305">
            <v>-11313112.732000001</v>
          </cell>
          <cell r="DJ305">
            <v>-9749997.5</v>
          </cell>
          <cell r="DK305">
            <v>0</v>
          </cell>
          <cell r="DL305">
            <v>0</v>
          </cell>
          <cell r="DM305">
            <v>11000000</v>
          </cell>
          <cell r="DN305">
            <v>-20749997.5</v>
          </cell>
          <cell r="DO305">
            <v>0</v>
          </cell>
          <cell r="DP305">
            <v>-1563115.2319999998</v>
          </cell>
          <cell r="DQ305">
            <v>-246599.20500000002</v>
          </cell>
          <cell r="DR305">
            <v>0</v>
          </cell>
          <cell r="DS305">
            <v>0</v>
          </cell>
          <cell r="DT305">
            <v>-1644702.6226665601</v>
          </cell>
          <cell r="DU305">
            <v>11963177.675999999</v>
          </cell>
          <cell r="DV305">
            <v>8244833.4759999998</v>
          </cell>
          <cell r="DW305">
            <v>3718344.1999999997</v>
          </cell>
          <cell r="DX305">
            <v>4702659.6950000003</v>
          </cell>
          <cell r="DY305">
            <v>3011020.8319999999</v>
          </cell>
          <cell r="DZ305">
            <v>1691638.8629999999</v>
          </cell>
          <cell r="EA305">
            <v>7260517.9809999987</v>
          </cell>
          <cell r="EB305">
            <v>5233812.6439999994</v>
          </cell>
          <cell r="EC305">
            <v>2026705.3369999998</v>
          </cell>
          <cell r="EF305">
            <v>25</v>
          </cell>
        </row>
        <row r="306">
          <cell r="E306">
            <v>38882.3125</v>
          </cell>
          <cell r="F306">
            <v>307022294.47899997</v>
          </cell>
          <cell r="G306">
            <v>205195407.09999996</v>
          </cell>
          <cell r="H306">
            <v>205107029.80099997</v>
          </cell>
          <cell r="I306">
            <v>192637334.72299996</v>
          </cell>
          <cell r="J306">
            <v>51689856.568999998</v>
          </cell>
          <cell r="K306">
            <v>31886108.388999999</v>
          </cell>
          <cell r="L306">
            <v>2379576.253</v>
          </cell>
          <cell r="M306">
            <v>1003330.0049999999</v>
          </cell>
          <cell r="N306">
            <v>100474702.42199999</v>
          </cell>
          <cell r="O306">
            <v>72971559.611000001</v>
          </cell>
          <cell r="P306">
            <v>11929368.071</v>
          </cell>
          <cell r="Q306">
            <v>15573774.740000002</v>
          </cell>
          <cell r="R306">
            <v>35182147.693000004</v>
          </cell>
          <cell r="S306">
            <v>28853615.745000001</v>
          </cell>
          <cell r="T306">
            <v>2948890.8140000002</v>
          </cell>
          <cell r="U306">
            <v>3379641.1340000001</v>
          </cell>
          <cell r="V306">
            <v>3220286.932</v>
          </cell>
          <cell r="W306">
            <v>1907721.7810000004</v>
          </cell>
          <cell r="X306">
            <v>12469695.078000002</v>
          </cell>
          <cell r="Y306">
            <v>575589.75199999998</v>
          </cell>
          <cell r="Z306">
            <v>5668267.6699999999</v>
          </cell>
          <cell r="AA306">
            <v>809108.20499999996</v>
          </cell>
          <cell r="AB306">
            <v>2210616.6639999999</v>
          </cell>
          <cell r="AC306">
            <v>3206112.787</v>
          </cell>
          <cell r="AD306">
            <v>88377.299000000086</v>
          </cell>
          <cell r="AE306">
            <v>101826887.37900001</v>
          </cell>
          <cell r="AF306">
            <v>60130887.379000008</v>
          </cell>
          <cell r="AG306">
            <v>41696000</v>
          </cell>
          <cell r="AH306">
            <v>354250630.78899997</v>
          </cell>
          <cell r="AI306">
            <v>247103821.875</v>
          </cell>
          <cell r="AJ306">
            <v>243896850.57900003</v>
          </cell>
          <cell r="AK306">
            <v>68990579.414000005</v>
          </cell>
          <cell r="AL306">
            <v>29810906.712000001</v>
          </cell>
          <cell r="AM306">
            <v>195974343.86000001</v>
          </cell>
          <cell r="AN306">
            <v>2117480.3739999998</v>
          </cell>
          <cell r="AO306">
            <v>76435753.481000006</v>
          </cell>
          <cell r="AP306">
            <v>587335.44200000004</v>
          </cell>
          <cell r="AQ306">
            <v>49120829.312999994</v>
          </cell>
          <cell r="AR306">
            <v>1170144.932</v>
          </cell>
          <cell r="AS306">
            <v>10114364.403999999</v>
          </cell>
          <cell r="AT306">
            <v>3206971.2960000001</v>
          </cell>
          <cell r="AU306">
            <v>6907393.1079999991</v>
          </cell>
          <cell r="AV306">
            <v>60303396.662</v>
          </cell>
          <cell r="AW306">
            <v>360000</v>
          </cell>
          <cell r="AX306">
            <v>254473.82</v>
          </cell>
          <cell r="AY306">
            <v>10549217.817</v>
          </cell>
          <cell r="AZ306">
            <v>482919.98100000003</v>
          </cell>
          <cell r="BA306">
            <v>11010935.401000001</v>
          </cell>
          <cell r="BB306">
            <v>168101853.49700001</v>
          </cell>
          <cell r="BC306">
            <v>67862437.691</v>
          </cell>
          <cell r="BD306">
            <v>14047737.833000001</v>
          </cell>
          <cell r="BE306">
            <v>8121923.4620000003</v>
          </cell>
          <cell r="BF306">
            <v>850376.223</v>
          </cell>
          <cell r="BG306">
            <v>0</v>
          </cell>
          <cell r="BH306">
            <v>99389039.583000004</v>
          </cell>
          <cell r="BI306">
            <v>60130887.379000008</v>
          </cell>
          <cell r="BJ306">
            <v>39258152.203999996</v>
          </cell>
          <cell r="BK306">
            <v>-9825566.568</v>
          </cell>
          <cell r="BL306">
            <v>-1791368.638</v>
          </cell>
          <cell r="BM306">
            <v>-8034197.9300000006</v>
          </cell>
          <cell r="BN306">
            <v>-47228336.310000002</v>
          </cell>
          <cell r="BO306">
            <v>-149055223.68900001</v>
          </cell>
          <cell r="BP306">
            <v>-138940859.28500003</v>
          </cell>
          <cell r="BQ306">
            <v>-49666184.106000006</v>
          </cell>
          <cell r="BR306">
            <v>10226233.187000003</v>
          </cell>
          <cell r="BS306">
            <v>7822184.5510000009</v>
          </cell>
          <cell r="BT306">
            <v>7822184.5510000009</v>
          </cell>
          <cell r="BU306">
            <v>0</v>
          </cell>
          <cell r="BV306">
            <v>6556699.2420000024</v>
          </cell>
          <cell r="BW306">
            <v>0</v>
          </cell>
          <cell r="BX306">
            <v>-4152650.6059999997</v>
          </cell>
          <cell r="BZ306">
            <v>-37002103.122999996</v>
          </cell>
          <cell r="CA306">
            <v>-138828990.502</v>
          </cell>
          <cell r="CB306">
            <v>37663549.729999997</v>
          </cell>
          <cell r="CC306">
            <v>33484192.739999998</v>
          </cell>
          <cell r="CD306">
            <v>47430959.713999994</v>
          </cell>
          <cell r="CE306">
            <v>39258152.203999996</v>
          </cell>
          <cell r="CF306">
            <v>0</v>
          </cell>
          <cell r="CG306">
            <v>8172807.5099999988</v>
          </cell>
          <cell r="CH306">
            <v>-13946766.973999996</v>
          </cell>
          <cell r="CI306">
            <v>0</v>
          </cell>
          <cell r="CJ306">
            <v>4179356.99</v>
          </cell>
          <cell r="CK306">
            <v>3534374.6889999984</v>
          </cell>
          <cell r="CL306">
            <v>5582499.1160000004</v>
          </cell>
          <cell r="CM306">
            <v>2696000</v>
          </cell>
          <cell r="CN306">
            <v>2696000</v>
          </cell>
          <cell r="CO306">
            <v>0</v>
          </cell>
          <cell r="CP306">
            <v>2886499.1159999999</v>
          </cell>
          <cell r="CQ306">
            <v>0</v>
          </cell>
          <cell r="CR306">
            <v>-1628100.8840000001</v>
          </cell>
          <cell r="CS306">
            <v>-19900</v>
          </cell>
          <cell r="CT306">
            <v>0</v>
          </cell>
          <cell r="CU306">
            <v>4534500</v>
          </cell>
          <cell r="CV306">
            <v>-158000</v>
          </cell>
          <cell r="CW306">
            <v>0</v>
          </cell>
          <cell r="CX306">
            <v>-132578.99800000011</v>
          </cell>
          <cell r="CY306">
            <v>-65785.487999999998</v>
          </cell>
          <cell r="CZ306">
            <v>-53507.05400000012</v>
          </cell>
          <cell r="DA306">
            <v>-350000</v>
          </cell>
          <cell r="DB306">
            <v>-453846.15400000004</v>
          </cell>
          <cell r="DC306">
            <v>750339.1</v>
          </cell>
          <cell r="DD306">
            <v>-13286.456000000004</v>
          </cell>
          <cell r="DE306">
            <v>-1915545.4290000023</v>
          </cell>
          <cell r="DF306">
            <v>0</v>
          </cell>
          <cell r="DG306">
            <v>-1208007.3960000016</v>
          </cell>
          <cell r="DH306">
            <v>-707538.03300000075</v>
          </cell>
          <cell r="DI306">
            <v>644982.30100000172</v>
          </cell>
          <cell r="DJ306">
            <v>2807206.3500000015</v>
          </cell>
          <cell r="DK306">
            <v>0</v>
          </cell>
          <cell r="DL306">
            <v>0</v>
          </cell>
          <cell r="DM306">
            <v>23557203.850000001</v>
          </cell>
          <cell r="DN306">
            <v>-20749997.5</v>
          </cell>
          <cell r="DO306">
            <v>0</v>
          </cell>
          <cell r="DP306">
            <v>-2661445.4929999998</v>
          </cell>
          <cell r="DQ306">
            <v>-493198.41</v>
          </cell>
          <cell r="DR306">
            <v>499221.44400000002</v>
          </cell>
          <cell r="DS306">
            <v>0</v>
          </cell>
          <cell r="DT306">
            <v>-661446.60700000077</v>
          </cell>
          <cell r="DU306">
            <v>30428316.792999994</v>
          </cell>
          <cell r="DV306">
            <v>20313952.388999995</v>
          </cell>
          <cell r="DW306">
            <v>10114364.403999999</v>
          </cell>
          <cell r="DX306">
            <v>9574156.7109999992</v>
          </cell>
          <cell r="DY306">
            <v>6367185.415</v>
          </cell>
          <cell r="DZ306">
            <v>3206971.2960000001</v>
          </cell>
          <cell r="EA306">
            <v>20854160.081999995</v>
          </cell>
          <cell r="EB306">
            <v>13946766.973999996</v>
          </cell>
          <cell r="EC306">
            <v>6907393.1079999991</v>
          </cell>
          <cell r="EF306">
            <v>26</v>
          </cell>
        </row>
        <row r="307">
          <cell r="E307">
            <v>38973.625</v>
          </cell>
          <cell r="F307">
            <v>447986657.44499999</v>
          </cell>
          <cell r="G307">
            <v>301597351.972</v>
          </cell>
          <cell r="H307">
            <v>301482410.88800001</v>
          </cell>
          <cell r="I307">
            <v>279357917.82300001</v>
          </cell>
          <cell r="J307">
            <v>69120214.417000011</v>
          </cell>
          <cell r="K307">
            <v>39026026.751999997</v>
          </cell>
          <cell r="L307">
            <v>3822176.023</v>
          </cell>
          <cell r="M307">
            <v>1438675.0289999999</v>
          </cell>
          <cell r="N307">
            <v>147070619.97600001</v>
          </cell>
          <cell r="O307">
            <v>107154927.13000001</v>
          </cell>
          <cell r="P307">
            <v>17309902.366</v>
          </cell>
          <cell r="Q307">
            <v>22605790.48</v>
          </cell>
          <cell r="R307">
            <v>54894653.770999998</v>
          </cell>
          <cell r="S307">
            <v>43830685.387000002</v>
          </cell>
          <cell r="T307">
            <v>4464754.8629999999</v>
          </cell>
          <cell r="U307">
            <v>6599213.5209999997</v>
          </cell>
          <cell r="V307">
            <v>6355544.9059999995</v>
          </cell>
          <cell r="W307">
            <v>3011578.6070000008</v>
          </cell>
          <cell r="X307">
            <v>22124493.064999998</v>
          </cell>
          <cell r="Y307">
            <v>892989.41899999999</v>
          </cell>
          <cell r="Z307">
            <v>8630883.8509999998</v>
          </cell>
          <cell r="AA307">
            <v>1387719.246</v>
          </cell>
          <cell r="AB307">
            <v>7511150.9809999987</v>
          </cell>
          <cell r="AC307">
            <v>3701749.568</v>
          </cell>
          <cell r="AD307">
            <v>114941.08400000009</v>
          </cell>
          <cell r="AE307">
            <v>146389305.47299999</v>
          </cell>
          <cell r="AF307">
            <v>97849305.473000005</v>
          </cell>
          <cell r="AG307">
            <v>48540000</v>
          </cell>
          <cell r="AH307">
            <v>562528788.72819996</v>
          </cell>
          <cell r="AI307">
            <v>378751333.77259994</v>
          </cell>
          <cell r="AJ307">
            <v>374049243.48559999</v>
          </cell>
          <cell r="AK307">
            <v>85447146.902999997</v>
          </cell>
          <cell r="AL307">
            <v>42794893.142999999</v>
          </cell>
          <cell r="AM307">
            <v>290490741.9242</v>
          </cell>
          <cell r="AN307">
            <v>5569677.54</v>
          </cell>
          <cell r="AO307">
            <v>115324398.758</v>
          </cell>
          <cell r="AP307">
            <v>671335.44200000004</v>
          </cell>
          <cell r="AQ307">
            <v>65388841.886999995</v>
          </cell>
          <cell r="AR307">
            <v>4538342.0980000002</v>
          </cell>
          <cell r="AS307">
            <v>13571441.794</v>
          </cell>
          <cell r="AT307">
            <v>4702090.2869999995</v>
          </cell>
          <cell r="AU307">
            <v>8869351.5069999993</v>
          </cell>
          <cell r="AV307">
            <v>96206059.485200003</v>
          </cell>
          <cell r="AW307">
            <v>360000</v>
          </cell>
          <cell r="AX307">
            <v>453232.09499999997</v>
          </cell>
          <cell r="AY307">
            <v>14113845.497</v>
          </cell>
          <cell r="AZ307">
            <v>909315.23900000006</v>
          </cell>
          <cell r="BA307">
            <v>17204954.793000001</v>
          </cell>
          <cell r="BB307">
            <v>282295528.54100001</v>
          </cell>
          <cell r="BC307">
            <v>107387424.881</v>
          </cell>
          <cell r="BD307">
            <v>17682034.142000001</v>
          </cell>
          <cell r="BE307">
            <v>15481902.587000001</v>
          </cell>
          <cell r="BF307">
            <v>2605590.4459999995</v>
          </cell>
          <cell r="BG307">
            <v>0</v>
          </cell>
          <cell r="BH307">
            <v>172302513.21399999</v>
          </cell>
          <cell r="BI307">
            <v>97849305.473000005</v>
          </cell>
          <cell r="BJ307">
            <v>74453207.740999997</v>
          </cell>
          <cell r="BK307">
            <v>-10257481.737000002</v>
          </cell>
          <cell r="BL307">
            <v>-1870524.7139999999</v>
          </cell>
          <cell r="BM307">
            <v>-8386957.023000001</v>
          </cell>
          <cell r="BN307">
            <v>-114542131.28319997</v>
          </cell>
          <cell r="BO307">
            <v>-260931436.75619996</v>
          </cell>
          <cell r="BP307">
            <v>-247359994.96219993</v>
          </cell>
          <cell r="BQ307">
            <v>-88628923.542199969</v>
          </cell>
          <cell r="BR307">
            <v>28500254.897000007</v>
          </cell>
          <cell r="BS307">
            <v>6859607.4930000016</v>
          </cell>
          <cell r="BT307">
            <v>6859607.4930000016</v>
          </cell>
          <cell r="BU307">
            <v>0</v>
          </cell>
          <cell r="BV307">
            <v>18012438.121000007</v>
          </cell>
          <cell r="BW307">
            <v>0</v>
          </cell>
          <cell r="BX307">
            <v>3628209.2830000003</v>
          </cell>
          <cell r="BZ307">
            <v>-86041876.386199951</v>
          </cell>
          <cell r="CA307">
            <v>-232431181.85919994</v>
          </cell>
          <cell r="CB307">
            <v>85581461.884000003</v>
          </cell>
          <cell r="CC307">
            <v>110858189.15000001</v>
          </cell>
          <cell r="CD307">
            <v>129395378.682</v>
          </cell>
          <cell r="CE307">
            <v>74453207.740999997</v>
          </cell>
          <cell r="CF307">
            <v>43313000</v>
          </cell>
          <cell r="CG307">
            <v>11629170.941</v>
          </cell>
          <cell r="CH307">
            <v>-18537189.531999998</v>
          </cell>
          <cell r="CI307">
            <v>0</v>
          </cell>
          <cell r="CJ307">
            <v>-25276727.266000006</v>
          </cell>
          <cell r="CK307">
            <v>-28249453.819000006</v>
          </cell>
          <cell r="CL307">
            <v>-23595420.798</v>
          </cell>
          <cell r="CM307">
            <v>2696000</v>
          </cell>
          <cell r="CN307">
            <v>2696000</v>
          </cell>
          <cell r="CO307">
            <v>0</v>
          </cell>
          <cell r="CP307">
            <v>-26291420.798</v>
          </cell>
          <cell r="CQ307">
            <v>0</v>
          </cell>
          <cell r="CR307">
            <v>-2451320.798</v>
          </cell>
          <cell r="CS307">
            <v>-195000</v>
          </cell>
          <cell r="CT307">
            <v>0</v>
          </cell>
          <cell r="CU307">
            <v>-23645100</v>
          </cell>
          <cell r="CV307">
            <v>-598700</v>
          </cell>
          <cell r="CW307">
            <v>0</v>
          </cell>
          <cell r="CX307">
            <v>-118588.39199999999</v>
          </cell>
          <cell r="CY307">
            <v>-418184.51199999999</v>
          </cell>
          <cell r="CZ307">
            <v>307482.946</v>
          </cell>
          <cell r="DA307">
            <v>-350000</v>
          </cell>
          <cell r="DB307">
            <v>-453846.15400000004</v>
          </cell>
          <cell r="DC307">
            <v>1111329.1000000001</v>
          </cell>
          <cell r="DD307">
            <v>-7886.8260000000009</v>
          </cell>
          <cell r="DE307">
            <v>-4535444.6290000025</v>
          </cell>
          <cell r="DF307">
            <v>0</v>
          </cell>
          <cell r="DG307">
            <v>-1812011.0940000024</v>
          </cell>
          <cell r="DH307">
            <v>-2723433.5350000001</v>
          </cell>
          <cell r="DI307">
            <v>2972726.5529999994</v>
          </cell>
          <cell r="DJ307">
            <v>-8421599</v>
          </cell>
          <cell r="DK307">
            <v>0</v>
          </cell>
          <cell r="DL307">
            <v>0</v>
          </cell>
          <cell r="DM307">
            <v>36403398.5</v>
          </cell>
          <cell r="DN307">
            <v>-44824997.5</v>
          </cell>
          <cell r="DO307">
            <v>15036407.956999999</v>
          </cell>
          <cell r="DP307">
            <v>-4141303.8479999998</v>
          </cell>
          <cell r="DQ307">
            <v>-739797.61499999999</v>
          </cell>
          <cell r="DR307">
            <v>499221.44400000002</v>
          </cell>
          <cell r="DS307">
            <v>0</v>
          </cell>
          <cell r="DT307">
            <v>460414.50219994783</v>
          </cell>
          <cell r="DU307">
            <v>41735297.731999993</v>
          </cell>
          <cell r="DV307">
            <v>28163855.937999997</v>
          </cell>
          <cell r="DW307">
            <v>13571441.794</v>
          </cell>
          <cell r="DX307">
            <v>14328756.693</v>
          </cell>
          <cell r="DY307">
            <v>9626666.4059999995</v>
          </cell>
          <cell r="DZ307">
            <v>4702090.2869999995</v>
          </cell>
          <cell r="EA307">
            <v>27406541.038999997</v>
          </cell>
          <cell r="EB307">
            <v>18537189.531999998</v>
          </cell>
          <cell r="EC307">
            <v>8869351.5069999993</v>
          </cell>
          <cell r="EF307">
            <v>27</v>
          </cell>
        </row>
        <row r="308">
          <cell r="E308">
            <v>39064.9375</v>
          </cell>
          <cell r="F308">
            <v>561898810.61800003</v>
          </cell>
          <cell r="G308">
            <v>391918600.1730001</v>
          </cell>
          <cell r="H308">
            <v>391296197.60200012</v>
          </cell>
          <cell r="I308">
            <v>362324209.37700009</v>
          </cell>
          <cell r="J308">
            <v>85737288.056000024</v>
          </cell>
          <cell r="K308">
            <v>45386091.316999994</v>
          </cell>
          <cell r="L308">
            <v>4891846.1409999998</v>
          </cell>
          <cell r="M308">
            <v>2079762.7549999997</v>
          </cell>
          <cell r="N308">
            <v>194347024.41600001</v>
          </cell>
          <cell r="O308">
            <v>140453158.89400002</v>
          </cell>
          <cell r="P308">
            <v>23579476.346000001</v>
          </cell>
          <cell r="Q308">
            <v>30314389.175999995</v>
          </cell>
          <cell r="R308">
            <v>71285018.256000012</v>
          </cell>
          <cell r="S308">
            <v>58434492.960000008</v>
          </cell>
          <cell r="T308">
            <v>6167648.5330000008</v>
          </cell>
          <cell r="U308">
            <v>6682876.7629999993</v>
          </cell>
          <cell r="V308">
            <v>6355544.9059999995</v>
          </cell>
          <cell r="W308">
            <v>3983269.753000001</v>
          </cell>
          <cell r="X308">
            <v>28971988.224999994</v>
          </cell>
          <cell r="Y308">
            <v>1310945.4620000001</v>
          </cell>
          <cell r="Z308">
            <v>11530799.809999997</v>
          </cell>
          <cell r="AA308">
            <v>1640343.2459999998</v>
          </cell>
          <cell r="AB308">
            <v>7643480.0019999994</v>
          </cell>
          <cell r="AC308">
            <v>6846419.7050000001</v>
          </cell>
          <cell r="AD308">
            <v>622402.571</v>
          </cell>
          <cell r="AE308">
            <v>169980210.44499999</v>
          </cell>
          <cell r="AF308">
            <v>112339210.44500001</v>
          </cell>
          <cell r="AG308">
            <v>57641000</v>
          </cell>
          <cell r="AH308">
            <v>733539278.16559994</v>
          </cell>
          <cell r="AI308">
            <v>515195842.4555999</v>
          </cell>
          <cell r="AJ308">
            <v>510117404.43759996</v>
          </cell>
          <cell r="AK308">
            <v>121482324.17299999</v>
          </cell>
          <cell r="AL308">
            <v>54315041.251000002</v>
          </cell>
          <cell r="AM308">
            <v>387266552.07459998</v>
          </cell>
          <cell r="AN308">
            <v>6489203.6880000001</v>
          </cell>
          <cell r="AO308">
            <v>159949051.12099999</v>
          </cell>
          <cell r="AP308">
            <v>701246.94200000004</v>
          </cell>
          <cell r="AQ308">
            <v>82219298.679000005</v>
          </cell>
          <cell r="AR308">
            <v>5307956.7460000003</v>
          </cell>
          <cell r="AS308">
            <v>17348165.833999999</v>
          </cell>
          <cell r="AT308">
            <v>5078438.0179999992</v>
          </cell>
          <cell r="AU308">
            <v>12269727.815999998</v>
          </cell>
          <cell r="AV308">
            <v>127750036.44060001</v>
          </cell>
          <cell r="AW308">
            <v>480000</v>
          </cell>
          <cell r="AX308">
            <v>453232.09499999997</v>
          </cell>
          <cell r="AY308">
            <v>21783914.818999998</v>
          </cell>
          <cell r="AZ308">
            <v>1559531.476</v>
          </cell>
          <cell r="BA308">
            <v>20186479.806000002</v>
          </cell>
          <cell r="BB308">
            <v>360913873.69099998</v>
          </cell>
          <cell r="BC308">
            <v>154840165.79699999</v>
          </cell>
          <cell r="BD308">
            <v>24836188.992000002</v>
          </cell>
          <cell r="BE308">
            <v>18321369.302000001</v>
          </cell>
          <cell r="BF308">
            <v>2609807.7149999999</v>
          </cell>
          <cell r="BG308">
            <v>0</v>
          </cell>
          <cell r="BH308">
            <v>203463900.17899999</v>
          </cell>
          <cell r="BI308">
            <v>107388217.25400001</v>
          </cell>
          <cell r="BJ308">
            <v>96075682.924999982</v>
          </cell>
          <cell r="BK308">
            <v>-14641147.600000001</v>
          </cell>
          <cell r="BL308">
            <v>-2818370.4139999999</v>
          </cell>
          <cell r="BM308">
            <v>-11822777.186000001</v>
          </cell>
          <cell r="BN308">
            <v>-171640467.54759991</v>
          </cell>
          <cell r="BO308">
            <v>-341620677.9925999</v>
          </cell>
          <cell r="BP308">
            <v>-324272512.15859985</v>
          </cell>
          <cell r="BQ308">
            <v>-138156777.81359982</v>
          </cell>
          <cell r="BR308">
            <v>37204846.281000003</v>
          </cell>
          <cell r="BS308">
            <v>7471076.5600000005</v>
          </cell>
          <cell r="BT308">
            <v>7471076.5600000005</v>
          </cell>
          <cell r="BU308">
            <v>0</v>
          </cell>
          <cell r="BV308">
            <v>22838757.088</v>
          </cell>
          <cell r="BW308">
            <v>0</v>
          </cell>
          <cell r="BX308">
            <v>6895012.6329999994</v>
          </cell>
          <cell r="BZ308">
            <v>-134435621.26659989</v>
          </cell>
          <cell r="CA308">
            <v>-304415831.71159989</v>
          </cell>
          <cell r="CB308">
            <v>130468281.69199997</v>
          </cell>
          <cell r="CC308">
            <v>130103843.93699998</v>
          </cell>
          <cell r="CD308">
            <v>154773093.39599997</v>
          </cell>
          <cell r="CE308">
            <v>96075682.924999982</v>
          </cell>
          <cell r="CF308">
            <v>43313000</v>
          </cell>
          <cell r="CG308">
            <v>15384410.470999997</v>
          </cell>
          <cell r="CH308">
            <v>-24669249.458999999</v>
          </cell>
          <cell r="CI308">
            <v>0</v>
          </cell>
          <cell r="CJ308">
            <v>364437.75500000175</v>
          </cell>
          <cell r="CK308">
            <v>5378366.8679999979</v>
          </cell>
          <cell r="CL308">
            <v>12973285.138</v>
          </cell>
          <cell r="CM308">
            <v>9913000</v>
          </cell>
          <cell r="CN308">
            <v>9913000</v>
          </cell>
          <cell r="CO308">
            <v>0</v>
          </cell>
          <cell r="CP308">
            <v>3060285.1380000003</v>
          </cell>
          <cell r="CQ308">
            <v>0</v>
          </cell>
          <cell r="CR308">
            <v>-3280714.8619999997</v>
          </cell>
          <cell r="CS308">
            <v>-391900</v>
          </cell>
          <cell r="CT308">
            <v>0</v>
          </cell>
          <cell r="CU308">
            <v>6732900</v>
          </cell>
          <cell r="CV308">
            <v>186700</v>
          </cell>
          <cell r="CW308">
            <v>0</v>
          </cell>
          <cell r="CX308">
            <v>-387267.85</v>
          </cell>
          <cell r="CY308">
            <v>-418184.51199999999</v>
          </cell>
          <cell r="CZ308">
            <v>-36223.770000000019</v>
          </cell>
          <cell r="DA308">
            <v>-350000</v>
          </cell>
          <cell r="DB308">
            <v>-797552.87</v>
          </cell>
          <cell r="DC308">
            <v>1111329.1000000001</v>
          </cell>
          <cell r="DD308">
            <v>67140.432000000001</v>
          </cell>
          <cell r="DE308">
            <v>-7207650.4200000027</v>
          </cell>
          <cell r="DF308">
            <v>0</v>
          </cell>
          <cell r="DG308">
            <v>-2416014.7920000032</v>
          </cell>
          <cell r="DH308">
            <v>-4791635.6279999996</v>
          </cell>
          <cell r="DI308">
            <v>-5013929.1129999962</v>
          </cell>
          <cell r="DJ308">
            <v>-8421598.6499999985</v>
          </cell>
          <cell r="DK308">
            <v>0</v>
          </cell>
          <cell r="DL308">
            <v>0</v>
          </cell>
          <cell r="DM308">
            <v>36403398.850000001</v>
          </cell>
          <cell r="DN308">
            <v>-44824997.5</v>
          </cell>
          <cell r="DO308">
            <v>11361662.006999999</v>
          </cell>
          <cell r="DP308">
            <v>-8453213.9139999989</v>
          </cell>
          <cell r="DQ308">
            <v>0</v>
          </cell>
          <cell r="DR308">
            <v>499221.44400000002</v>
          </cell>
          <cell r="DS308">
            <v>0</v>
          </cell>
          <cell r="DT308">
            <v>3967339.5745999217</v>
          </cell>
          <cell r="DU308">
            <v>57129092.544999994</v>
          </cell>
          <cell r="DV308">
            <v>39780926.710999995</v>
          </cell>
          <cell r="DW308">
            <v>17348165.833999999</v>
          </cell>
          <cell r="DX308">
            <v>20190115.27</v>
          </cell>
          <cell r="DY308">
            <v>15111677.252</v>
          </cell>
          <cell r="DZ308">
            <v>5078438.0179999992</v>
          </cell>
          <cell r="EA308">
            <v>36938977.274999999</v>
          </cell>
          <cell r="EB308">
            <v>24669249.458999999</v>
          </cell>
          <cell r="EC308">
            <v>12269727.815999998</v>
          </cell>
          <cell r="EF308">
            <v>28</v>
          </cell>
        </row>
        <row r="309">
          <cell r="E309">
            <v>39156.25</v>
          </cell>
          <cell r="F309">
            <v>146174412.22799999</v>
          </cell>
          <cell r="G309">
            <v>93738395.965999976</v>
          </cell>
          <cell r="H309">
            <v>93722844.715999991</v>
          </cell>
          <cell r="I309">
            <v>89260481.493999988</v>
          </cell>
          <cell r="J309">
            <v>18336489.930999998</v>
          </cell>
          <cell r="K309">
            <v>6127399.818</v>
          </cell>
          <cell r="L309">
            <v>1591982.6940000001</v>
          </cell>
          <cell r="M309">
            <v>571524.42300000007</v>
          </cell>
          <cell r="N309">
            <v>51800589.123999998</v>
          </cell>
          <cell r="O309">
            <v>37793630.167000003</v>
          </cell>
          <cell r="P309">
            <v>6486615.9000000004</v>
          </cell>
          <cell r="Q309">
            <v>7520343.0569999982</v>
          </cell>
          <cell r="R309">
            <v>15948984.888</v>
          </cell>
          <cell r="S309">
            <v>14177847.004000001</v>
          </cell>
          <cell r="T309">
            <v>1685729.6490000002</v>
          </cell>
          <cell r="U309">
            <v>85408.234999999986</v>
          </cell>
          <cell r="V309">
            <v>0</v>
          </cell>
          <cell r="W309">
            <v>1010910.434</v>
          </cell>
          <cell r="X309">
            <v>4462363.2220000001</v>
          </cell>
          <cell r="Y309">
            <v>186197.15600000002</v>
          </cell>
          <cell r="Z309">
            <v>3062542.4209999996</v>
          </cell>
          <cell r="AA309">
            <v>256613.372</v>
          </cell>
          <cell r="AB309">
            <v>63511.62</v>
          </cell>
          <cell r="AC309">
            <v>893498.65300000017</v>
          </cell>
          <cell r="AD309">
            <v>15551.249999979947</v>
          </cell>
          <cell r="AE309">
            <v>52436016.262000002</v>
          </cell>
          <cell r="AF309">
            <v>39439016.262000002</v>
          </cell>
          <cell r="AG309">
            <v>12997000</v>
          </cell>
          <cell r="AH309">
            <v>204247794.83099997</v>
          </cell>
          <cell r="AI309">
            <v>134414452.058</v>
          </cell>
          <cell r="AJ309">
            <v>133414500.00299999</v>
          </cell>
          <cell r="AK309">
            <v>33605454.869000003</v>
          </cell>
          <cell r="AL309">
            <v>8740584.2530000005</v>
          </cell>
          <cell r="AM309">
            <v>106538090.12199999</v>
          </cell>
          <cell r="AN309">
            <v>0</v>
          </cell>
          <cell r="AO309">
            <v>43367984.208999999</v>
          </cell>
          <cell r="AP309">
            <v>0</v>
          </cell>
          <cell r="AQ309">
            <v>35890413.656999998</v>
          </cell>
          <cell r="AR309">
            <v>0</v>
          </cell>
          <cell r="AS309">
            <v>1830669.557</v>
          </cell>
          <cell r="AT309">
            <v>999952.05499999993</v>
          </cell>
          <cell r="AU309">
            <v>830717.50200000009</v>
          </cell>
          <cell r="AV309">
            <v>25449022.698999997</v>
          </cell>
          <cell r="AW309">
            <v>0</v>
          </cell>
          <cell r="AX309">
            <v>0</v>
          </cell>
          <cell r="AY309">
            <v>4437231.7869999995</v>
          </cell>
          <cell r="AZ309">
            <v>466546.86099999998</v>
          </cell>
          <cell r="BA309">
            <v>156614.125</v>
          </cell>
          <cell r="BB309">
            <v>91516301.713</v>
          </cell>
          <cell r="BC309">
            <v>22513676.442000002</v>
          </cell>
          <cell r="BD309">
            <v>8039223.9560000002</v>
          </cell>
          <cell r="BE309">
            <v>0</v>
          </cell>
          <cell r="BF309">
            <v>6000000</v>
          </cell>
          <cell r="BG309">
            <v>0</v>
          </cell>
          <cell r="BH309">
            <v>63002625.270999998</v>
          </cell>
          <cell r="BI309">
            <v>39439016.262000002</v>
          </cell>
          <cell r="BJ309">
            <v>23563609.009</v>
          </cell>
          <cell r="BK309">
            <v>6193402.9960000003</v>
          </cell>
          <cell r="BL309">
            <v>-560754.41</v>
          </cell>
          <cell r="BM309">
            <v>6754157.4060000004</v>
          </cell>
          <cell r="BN309">
            <v>-58073382.602999985</v>
          </cell>
          <cell r="BO309">
            <v>-110509398.86499998</v>
          </cell>
          <cell r="BP309">
            <v>-108678729.30799998</v>
          </cell>
          <cell r="BQ309">
            <v>-47506773.593999997</v>
          </cell>
          <cell r="BR309">
            <v>-12959956.961999997</v>
          </cell>
          <cell r="BS309">
            <v>1330948.1399999999</v>
          </cell>
          <cell r="BT309">
            <v>1330948.1399999999</v>
          </cell>
          <cell r="BU309">
            <v>0</v>
          </cell>
          <cell r="BV309">
            <v>-24285977.847999997</v>
          </cell>
          <cell r="BW309">
            <v>-3067763.0109999999</v>
          </cell>
          <cell r="BX309">
            <v>13062835.756999999</v>
          </cell>
          <cell r="BZ309">
            <v>-71033339.564999983</v>
          </cell>
          <cell r="CA309">
            <v>-123469355.82699999</v>
          </cell>
          <cell r="CB309">
            <v>72787772.155999988</v>
          </cell>
          <cell r="CC309">
            <v>21304029.736000001</v>
          </cell>
          <cell r="CD309">
            <v>23563609.009</v>
          </cell>
          <cell r="CE309">
            <v>23563609.009</v>
          </cell>
          <cell r="CF309">
            <v>0</v>
          </cell>
          <cell r="CG309">
            <v>0</v>
          </cell>
          <cell r="CH309">
            <v>-2259579.273</v>
          </cell>
          <cell r="CI309">
            <v>0</v>
          </cell>
          <cell r="CJ309">
            <v>51483742.419999994</v>
          </cell>
          <cell r="CK309">
            <v>-65958985.732000001</v>
          </cell>
          <cell r="CL309">
            <v>-57909614.519000001</v>
          </cell>
          <cell r="CM309">
            <v>0</v>
          </cell>
          <cell r="CN309">
            <v>0</v>
          </cell>
          <cell r="CO309">
            <v>0</v>
          </cell>
          <cell r="CP309">
            <v>-57909614.519000001</v>
          </cell>
          <cell r="CQ309">
            <v>0</v>
          </cell>
          <cell r="CR309">
            <v>-835614.51899999997</v>
          </cell>
          <cell r="CS309">
            <v>629400</v>
          </cell>
          <cell r="CT309">
            <v>0</v>
          </cell>
          <cell r="CU309">
            <v>-57703400</v>
          </cell>
          <cell r="CV309">
            <v>-1800</v>
          </cell>
          <cell r="CW309">
            <v>0</v>
          </cell>
          <cell r="CX309">
            <v>-6085502.0060000001</v>
          </cell>
          <cell r="CY309">
            <v>-32892.743999999999</v>
          </cell>
          <cell r="CZ309">
            <v>-6660990</v>
          </cell>
          <cell r="DA309">
            <v>0</v>
          </cell>
          <cell r="DB309">
            <v>0</v>
          </cell>
          <cell r="DC309">
            <v>-6660990</v>
          </cell>
          <cell r="DD309">
            <v>608380.73800000001</v>
          </cell>
          <cell r="DE309">
            <v>-1963869.2070000004</v>
          </cell>
          <cell r="DF309">
            <v>0</v>
          </cell>
          <cell r="DG309">
            <v>-604003.69799999893</v>
          </cell>
          <cell r="DH309">
            <v>-1359865.5090000015</v>
          </cell>
          <cell r="DI309">
            <v>117442728.152</v>
          </cell>
          <cell r="DJ309">
            <v>-12846195</v>
          </cell>
          <cell r="DK309">
            <v>0</v>
          </cell>
          <cell r="DL309">
            <v>0</v>
          </cell>
          <cell r="DM309">
            <v>0</v>
          </cell>
          <cell r="DN309">
            <v>-12846195</v>
          </cell>
          <cell r="DO309">
            <v>-5207118.5520000001</v>
          </cell>
          <cell r="DP309">
            <v>-8814498.296000002</v>
          </cell>
          <cell r="DQ309">
            <v>-246599.20500000002</v>
          </cell>
          <cell r="DR309">
            <v>144310540</v>
          </cell>
          <cell r="DS309">
            <v>0</v>
          </cell>
          <cell r="DT309">
            <v>-1754432.5910000056</v>
          </cell>
          <cell r="DU309">
            <v>14623857.292000003</v>
          </cell>
          <cell r="DV309">
            <v>12793187.735000003</v>
          </cell>
          <cell r="DW309">
            <v>1830669.557</v>
          </cell>
          <cell r="DX309">
            <v>11533560.517000003</v>
          </cell>
          <cell r="DY309">
            <v>10533608.462000003</v>
          </cell>
          <cell r="DZ309">
            <v>999952.05499999993</v>
          </cell>
          <cell r="EA309">
            <v>3090296.7750000004</v>
          </cell>
          <cell r="EB309">
            <v>2259579.273</v>
          </cell>
          <cell r="EC309">
            <v>830717.50200000009</v>
          </cell>
          <cell r="EF309">
            <v>29</v>
          </cell>
        </row>
        <row r="310">
          <cell r="E310">
            <v>39247.5625</v>
          </cell>
          <cell r="F310">
            <v>346420711.26699996</v>
          </cell>
          <cell r="G310">
            <v>228063215.04999998</v>
          </cell>
          <cell r="H310">
            <v>227993801.375</v>
          </cell>
          <cell r="I310">
            <v>210511956.78400001</v>
          </cell>
          <cell r="J310">
            <v>59085815.855000004</v>
          </cell>
          <cell r="K310">
            <v>35457120.120999999</v>
          </cell>
          <cell r="L310">
            <v>2930334.031</v>
          </cell>
          <cell r="M310">
            <v>1033027.7590000001</v>
          </cell>
          <cell r="N310">
            <v>108107382.838</v>
          </cell>
          <cell r="O310">
            <v>78730494.905000001</v>
          </cell>
          <cell r="P310">
            <v>13607705.068</v>
          </cell>
          <cell r="Q310">
            <v>15769182.864999996</v>
          </cell>
          <cell r="R310">
            <v>37190349.530000001</v>
          </cell>
          <cell r="S310">
            <v>30660807.987000003</v>
          </cell>
          <cell r="T310">
            <v>3741731.926</v>
          </cell>
          <cell r="U310">
            <v>2787809.6170000001</v>
          </cell>
          <cell r="V310">
            <v>2600000</v>
          </cell>
          <cell r="W310">
            <v>2165046.7710000002</v>
          </cell>
          <cell r="X310">
            <v>17481844.590999998</v>
          </cell>
          <cell r="Y310">
            <v>735714.92</v>
          </cell>
          <cell r="Z310">
            <v>6607368.0039999997</v>
          </cell>
          <cell r="AA310">
            <v>596363.78</v>
          </cell>
          <cell r="AB310">
            <v>2588659.838</v>
          </cell>
          <cell r="AC310">
            <v>6953738.0490000006</v>
          </cell>
          <cell r="AD310">
            <v>69413.67499997995</v>
          </cell>
          <cell r="AE310">
            <v>118357496.21699999</v>
          </cell>
          <cell r="AF310">
            <v>71061496.216999993</v>
          </cell>
          <cell r="AG310">
            <v>47296000</v>
          </cell>
          <cell r="AH310">
            <v>463307881.32179999</v>
          </cell>
          <cell r="AI310">
            <v>321652941.0808</v>
          </cell>
          <cell r="AJ310">
            <v>319289847.83179998</v>
          </cell>
          <cell r="AK310">
            <v>68587967.810000002</v>
          </cell>
          <cell r="AL310">
            <v>24439865.616</v>
          </cell>
          <cell r="AM310">
            <v>249731231.9188</v>
          </cell>
          <cell r="AN310">
            <v>0</v>
          </cell>
          <cell r="AO310">
            <v>89229338.415000007</v>
          </cell>
          <cell r="AP310">
            <v>0</v>
          </cell>
          <cell r="AQ310">
            <v>70343409.302000001</v>
          </cell>
          <cell r="AR310">
            <v>0</v>
          </cell>
          <cell r="AS310">
            <v>5164025.8879999984</v>
          </cell>
          <cell r="AT310">
            <v>2363093.2489999989</v>
          </cell>
          <cell r="AU310">
            <v>2800932.6389999995</v>
          </cell>
          <cell r="AV310">
            <v>84994458.313799992</v>
          </cell>
          <cell r="AW310">
            <v>0</v>
          </cell>
          <cell r="AX310">
            <v>210437.38200000001</v>
          </cell>
          <cell r="AY310">
            <v>13838769.786</v>
          </cell>
          <cell r="AZ310">
            <v>721870.95600000001</v>
          </cell>
          <cell r="BA310">
            <v>3722187.648</v>
          </cell>
          <cell r="BB310">
            <v>210418591.29299998</v>
          </cell>
          <cell r="BC310">
            <v>71564583.691</v>
          </cell>
          <cell r="BD310">
            <v>10838913.005000001</v>
          </cell>
          <cell r="BE310">
            <v>0</v>
          </cell>
          <cell r="BF310">
            <v>17501617.457000002</v>
          </cell>
          <cell r="BG310">
            <v>0</v>
          </cell>
          <cell r="BH310">
            <v>121352390.14499998</v>
          </cell>
          <cell r="BI310">
            <v>71061496.216999993</v>
          </cell>
          <cell r="BJ310">
            <v>50290893.927999996</v>
          </cell>
          <cell r="BK310">
            <v>3158058.1100000003</v>
          </cell>
          <cell r="BL310">
            <v>-1544195.5760000001</v>
          </cell>
          <cell r="BM310">
            <v>4702253.6860000007</v>
          </cell>
          <cell r="BN310">
            <v>-116887170.05480003</v>
          </cell>
          <cell r="BO310">
            <v>-235244666.27180004</v>
          </cell>
          <cell r="BP310">
            <v>-230080640.3838</v>
          </cell>
          <cell r="BQ310">
            <v>-113892276.12680003</v>
          </cell>
          <cell r="BR310">
            <v>20067968.495999999</v>
          </cell>
          <cell r="BS310">
            <v>690406.50000000186</v>
          </cell>
          <cell r="BT310">
            <v>690406.50000000186</v>
          </cell>
          <cell r="BU310">
            <v>0</v>
          </cell>
          <cell r="BV310">
            <v>11324214.587999996</v>
          </cell>
          <cell r="BW310">
            <v>-3067764.0109999999</v>
          </cell>
          <cell r="BX310">
            <v>11121111.419</v>
          </cell>
          <cell r="BZ310">
            <v>-96819201.558800042</v>
          </cell>
          <cell r="CA310">
            <v>-215176697.77580005</v>
          </cell>
          <cell r="CB310">
            <v>92651097.105000019</v>
          </cell>
          <cell r="CC310">
            <v>42501049.494999997</v>
          </cell>
          <cell r="CD310">
            <v>50290893.927999996</v>
          </cell>
          <cell r="CE310">
            <v>50290893.927999996</v>
          </cell>
          <cell r="CF310">
            <v>0</v>
          </cell>
          <cell r="CG310">
            <v>0</v>
          </cell>
          <cell r="CH310">
            <v>-7789844.4330000002</v>
          </cell>
          <cell r="CI310">
            <v>0</v>
          </cell>
          <cell r="CJ310">
            <v>50150047.610000029</v>
          </cell>
          <cell r="CK310">
            <v>-86266607.505999997</v>
          </cell>
          <cell r="CL310">
            <v>-81319096.147</v>
          </cell>
          <cell r="CM310">
            <v>367000</v>
          </cell>
          <cell r="CN310">
            <v>367000</v>
          </cell>
          <cell r="CO310">
            <v>0</v>
          </cell>
          <cell r="CP310">
            <v>-81686096.147</v>
          </cell>
          <cell r="CQ310">
            <v>0</v>
          </cell>
          <cell r="CR310">
            <v>-1677496.1469999999</v>
          </cell>
          <cell r="CS310">
            <v>417800</v>
          </cell>
          <cell r="CT310">
            <v>0</v>
          </cell>
          <cell r="CU310">
            <v>-80426400</v>
          </cell>
          <cell r="CV310">
            <v>100100</v>
          </cell>
          <cell r="CW310">
            <v>0</v>
          </cell>
          <cell r="CX310">
            <v>-1782403.3660000002</v>
          </cell>
          <cell r="CY310">
            <v>-32892.743999999999</v>
          </cell>
          <cell r="CZ310">
            <v>-1958208.9950000001</v>
          </cell>
          <cell r="DA310">
            <v>0</v>
          </cell>
          <cell r="DB310">
            <v>-486738.89800000004</v>
          </cell>
          <cell r="DC310">
            <v>-1471470.0970000001</v>
          </cell>
          <cell r="DD310">
            <v>208698.37299999999</v>
          </cell>
          <cell r="DE310">
            <v>-3165107.9929999989</v>
          </cell>
          <cell r="DF310">
            <v>0</v>
          </cell>
          <cell r="DG310">
            <v>-1208007.3959999979</v>
          </cell>
          <cell r="DH310">
            <v>-1957100.597000001</v>
          </cell>
          <cell r="DI310">
            <v>136416655.11600003</v>
          </cell>
          <cell r="DJ310">
            <v>7911884.6120000035</v>
          </cell>
          <cell r="DK310">
            <v>0</v>
          </cell>
          <cell r="DL310">
            <v>0</v>
          </cell>
          <cell r="DM310">
            <v>20758079.612000003</v>
          </cell>
          <cell r="DN310">
            <v>-12846195</v>
          </cell>
          <cell r="DO310">
            <v>-5207118.5520000001</v>
          </cell>
          <cell r="DP310">
            <v>-10598650.944000002</v>
          </cell>
          <cell r="DQ310">
            <v>-493198.41</v>
          </cell>
          <cell r="DR310">
            <v>144310540</v>
          </cell>
          <cell r="DS310">
            <v>0</v>
          </cell>
          <cell r="DT310">
            <v>4168104.4538000226</v>
          </cell>
          <cell r="DU310">
            <v>27450854.859999999</v>
          </cell>
          <cell r="DV310">
            <v>22286828.972000003</v>
          </cell>
          <cell r="DW310">
            <v>5164025.8879999984</v>
          </cell>
          <cell r="DX310">
            <v>16860077.788000003</v>
          </cell>
          <cell r="DY310">
            <v>14496984.539000003</v>
          </cell>
          <cell r="DZ310">
            <v>2363093.2489999989</v>
          </cell>
          <cell r="EA310">
            <v>10590777.072000001</v>
          </cell>
          <cell r="EB310">
            <v>7789844.4330000002</v>
          </cell>
          <cell r="EC310">
            <v>2800932.6389999995</v>
          </cell>
          <cell r="EF310">
            <v>30</v>
          </cell>
        </row>
        <row r="311">
          <cell r="E311">
            <v>39338.875</v>
          </cell>
          <cell r="F311">
            <v>475481985.81000006</v>
          </cell>
          <cell r="G311">
            <v>324829709.73700005</v>
          </cell>
          <cell r="H311">
            <v>324748585.41200006</v>
          </cell>
          <cell r="I311">
            <v>301406740.66800004</v>
          </cell>
          <cell r="J311">
            <v>77849823.721000001</v>
          </cell>
          <cell r="K311">
            <v>43149588.659000002</v>
          </cell>
          <cell r="L311">
            <v>4083488.8639999996</v>
          </cell>
          <cell r="M311">
            <v>1443159.392</v>
          </cell>
          <cell r="N311">
            <v>160363329.17199999</v>
          </cell>
          <cell r="O311">
            <v>117235971.986</v>
          </cell>
          <cell r="P311">
            <v>19798078.756999999</v>
          </cell>
          <cell r="Q311">
            <v>23329278.428999998</v>
          </cell>
          <cell r="R311">
            <v>54449989.756999999</v>
          </cell>
          <cell r="S311">
            <v>46049498.620999999</v>
          </cell>
          <cell r="T311">
            <v>5518702.7009999994</v>
          </cell>
          <cell r="U311">
            <v>2881788.4350000001</v>
          </cell>
          <cell r="V311">
            <v>2600000</v>
          </cell>
          <cell r="W311">
            <v>3216949.7620000001</v>
          </cell>
          <cell r="X311">
            <v>23341844.744000003</v>
          </cell>
          <cell r="Y311">
            <v>1017018.6260000002</v>
          </cell>
          <cell r="Z311">
            <v>9813312.1980000008</v>
          </cell>
          <cell r="AA311">
            <v>850620.43800000008</v>
          </cell>
          <cell r="AB311">
            <v>3899980.4840000006</v>
          </cell>
          <cell r="AC311">
            <v>7760912.9979999997</v>
          </cell>
          <cell r="AD311">
            <v>81124.324999979945</v>
          </cell>
          <cell r="AE311">
            <v>150652276.07299998</v>
          </cell>
          <cell r="AF311">
            <v>93503276.072999984</v>
          </cell>
          <cell r="AG311">
            <v>57149000</v>
          </cell>
          <cell r="AH311">
            <v>663913536.03069997</v>
          </cell>
          <cell r="AI311">
            <v>460077811.82670003</v>
          </cell>
          <cell r="AJ311">
            <v>455073513.9777</v>
          </cell>
          <cell r="AK311">
            <v>107521099.29100001</v>
          </cell>
          <cell r="AL311">
            <v>33283169</v>
          </cell>
          <cell r="AM311">
            <v>356534520.36570001</v>
          </cell>
          <cell r="AN311">
            <v>0</v>
          </cell>
          <cell r="AO311">
            <v>140544721.78600001</v>
          </cell>
          <cell r="AP311">
            <v>0</v>
          </cell>
          <cell r="AQ311">
            <v>87182696.915000007</v>
          </cell>
          <cell r="AR311">
            <v>0</v>
          </cell>
          <cell r="AS311">
            <v>9089192.398</v>
          </cell>
          <cell r="AT311">
            <v>5004297.8489999995</v>
          </cell>
          <cell r="AU311">
            <v>4084894.5490000001</v>
          </cell>
          <cell r="AV311">
            <v>119717909.2667</v>
          </cell>
          <cell r="AW311">
            <v>0</v>
          </cell>
          <cell r="AX311">
            <v>1387925.56</v>
          </cell>
          <cell r="AY311">
            <v>19759720.728999998</v>
          </cell>
          <cell r="AZ311">
            <v>844680.522</v>
          </cell>
          <cell r="BA311">
            <v>11995727.036</v>
          </cell>
          <cell r="BB311">
            <v>304931850.329</v>
          </cell>
          <cell r="BC311">
            <v>105181020.67399999</v>
          </cell>
          <cell r="BD311">
            <v>13875940.646000002</v>
          </cell>
          <cell r="BE311">
            <v>0</v>
          </cell>
          <cell r="BF311">
            <v>31792808.695000004</v>
          </cell>
          <cell r="BG311">
            <v>0</v>
          </cell>
          <cell r="BH311">
            <v>167958020.95999998</v>
          </cell>
          <cell r="BI311">
            <v>93503276.072999984</v>
          </cell>
          <cell r="BJ311">
            <v>74454744.886999995</v>
          </cell>
          <cell r="BK311">
            <v>2447165.3360000011</v>
          </cell>
          <cell r="BL311">
            <v>-1946734.2270000002</v>
          </cell>
          <cell r="BM311">
            <v>4393899.563000001</v>
          </cell>
          <cell r="BN311">
            <v>-188431550.22069991</v>
          </cell>
          <cell r="BO311">
            <v>-339083826.29369986</v>
          </cell>
          <cell r="BP311">
            <v>-329994633.89569992</v>
          </cell>
          <cell r="BQ311">
            <v>-171125805.33369994</v>
          </cell>
          <cell r="BR311">
            <v>17241346.726000007</v>
          </cell>
          <cell r="BS311">
            <v>-1557742.646999998</v>
          </cell>
          <cell r="BT311">
            <v>-1557742.646999998</v>
          </cell>
          <cell r="BU311">
            <v>0</v>
          </cell>
          <cell r="BV311">
            <v>2827208.167000005</v>
          </cell>
          <cell r="BW311">
            <v>-3067764.0109999999</v>
          </cell>
          <cell r="BX311">
            <v>19039645.217</v>
          </cell>
          <cell r="BZ311">
            <v>-171190203.4946999</v>
          </cell>
          <cell r="CA311">
            <v>-321842479.56769991</v>
          </cell>
          <cell r="CB311">
            <v>168458238.23000002</v>
          </cell>
          <cell r="CC311">
            <v>116901629.93799999</v>
          </cell>
          <cell r="CD311">
            <v>127964744.88699999</v>
          </cell>
          <cell r="CE311">
            <v>74454744.886999995</v>
          </cell>
          <cell r="CF311">
            <v>53510000</v>
          </cell>
          <cell r="CG311">
            <v>0</v>
          </cell>
          <cell r="CH311">
            <v>-11063114.948999999</v>
          </cell>
          <cell r="CI311">
            <v>0</v>
          </cell>
          <cell r="CJ311">
            <v>51556608.292000026</v>
          </cell>
          <cell r="CK311">
            <v>-80468879.674999997</v>
          </cell>
          <cell r="CL311">
            <v>-113980191.88699999</v>
          </cell>
          <cell r="CM311">
            <v>367000</v>
          </cell>
          <cell r="CN311">
            <v>367000</v>
          </cell>
          <cell r="CO311">
            <v>0</v>
          </cell>
          <cell r="CP311">
            <v>-114347191.88699999</v>
          </cell>
          <cell r="CQ311">
            <v>0</v>
          </cell>
          <cell r="CR311">
            <v>-2525691.8870000001</v>
          </cell>
          <cell r="CS311">
            <v>-195800</v>
          </cell>
          <cell r="CT311">
            <v>0</v>
          </cell>
          <cell r="CU311">
            <v>-111625700</v>
          </cell>
          <cell r="CV311">
            <v>182700</v>
          </cell>
          <cell r="CW311">
            <v>0</v>
          </cell>
          <cell r="CX311">
            <v>36186725.740999997</v>
          </cell>
          <cell r="CY311">
            <v>-65785.487999999998</v>
          </cell>
          <cell r="CZ311">
            <v>36341791.004999995</v>
          </cell>
          <cell r="DA311">
            <v>0</v>
          </cell>
          <cell r="DB311">
            <v>-486738.89800000004</v>
          </cell>
          <cell r="DC311">
            <v>36828529.902999997</v>
          </cell>
          <cell r="DD311">
            <v>-89279.776000000071</v>
          </cell>
          <cell r="DE311">
            <v>-2675413.5289999992</v>
          </cell>
          <cell r="DF311">
            <v>0</v>
          </cell>
          <cell r="DG311">
            <v>-1812011.0939999986</v>
          </cell>
          <cell r="DH311">
            <v>-863402.43500000052</v>
          </cell>
          <cell r="DI311">
            <v>132025487.96700002</v>
          </cell>
          <cell r="DJ311">
            <v>10911884.612000003</v>
          </cell>
          <cell r="DK311">
            <v>0</v>
          </cell>
          <cell r="DL311">
            <v>0</v>
          </cell>
          <cell r="DM311">
            <v>23758079.612000003</v>
          </cell>
          <cell r="DN311">
            <v>-12846195</v>
          </cell>
          <cell r="DO311">
            <v>-5207118.5520000001</v>
          </cell>
          <cell r="DP311">
            <v>-12694296.930000002</v>
          </cell>
          <cell r="DQ311">
            <v>-739797.61499999999</v>
          </cell>
          <cell r="DR311">
            <v>139015018.83700001</v>
          </cell>
          <cell r="DS311">
            <v>0</v>
          </cell>
          <cell r="DT311">
            <v>2731965.2646998763</v>
          </cell>
          <cell r="DU311">
            <v>38476629.259000003</v>
          </cell>
          <cell r="DV311">
            <v>29387436.861000001</v>
          </cell>
          <cell r="DW311">
            <v>9089192.398</v>
          </cell>
          <cell r="DX311">
            <v>23328619.761000004</v>
          </cell>
          <cell r="DY311">
            <v>18324321.912000004</v>
          </cell>
          <cell r="DZ311">
            <v>5004297.8489999995</v>
          </cell>
          <cell r="EA311">
            <v>15148009.498</v>
          </cell>
          <cell r="EB311">
            <v>11063114.948999999</v>
          </cell>
          <cell r="EC311">
            <v>4084894.5490000001</v>
          </cell>
          <cell r="EF311">
            <v>31</v>
          </cell>
        </row>
        <row r="312">
          <cell r="E312">
            <v>39430.1875</v>
          </cell>
          <cell r="F312">
            <v>650547102.03999996</v>
          </cell>
          <cell r="G312">
            <v>440247173.02599996</v>
          </cell>
          <cell r="H312">
            <v>440090957.80000001</v>
          </cell>
          <cell r="I312">
            <v>405237667.80300003</v>
          </cell>
          <cell r="J312">
            <v>98150925.410000011</v>
          </cell>
          <cell r="K312">
            <v>50301924.838000007</v>
          </cell>
          <cell r="L312">
            <v>5270991.8449999997</v>
          </cell>
          <cell r="M312">
            <v>2039693.0629999998</v>
          </cell>
          <cell r="N312">
            <v>217313127.65200001</v>
          </cell>
          <cell r="O312">
            <v>159010474.62400001</v>
          </cell>
          <cell r="P312">
            <v>26301040.775999997</v>
          </cell>
          <cell r="Q312">
            <v>32001612.252</v>
          </cell>
          <cell r="R312">
            <v>78128013.298999995</v>
          </cell>
          <cell r="S312">
            <v>63674278.574999996</v>
          </cell>
          <cell r="T312">
            <v>7628825.686999999</v>
          </cell>
          <cell r="U312">
            <v>6824909.0370000005</v>
          </cell>
          <cell r="V312">
            <v>6444622.2489999998</v>
          </cell>
          <cell r="W312">
            <v>4334916.5340000009</v>
          </cell>
          <cell r="X312">
            <v>34853289.997000001</v>
          </cell>
          <cell r="Y312">
            <v>1434662.1220000002</v>
          </cell>
          <cell r="Z312">
            <v>13018109.128</v>
          </cell>
          <cell r="AA312">
            <v>1373022.987</v>
          </cell>
          <cell r="AB312">
            <v>8713808.6720000021</v>
          </cell>
          <cell r="AC312">
            <v>10313687.088</v>
          </cell>
          <cell r="AD312">
            <v>156215.22599997994</v>
          </cell>
          <cell r="AE312">
            <v>210299929.014</v>
          </cell>
          <cell r="AF312">
            <v>114673293.77199998</v>
          </cell>
          <cell r="AG312">
            <v>95626635.241999999</v>
          </cell>
          <cell r="AH312">
            <v>834762742.54189992</v>
          </cell>
          <cell r="AI312">
            <v>587551164.51559997</v>
          </cell>
          <cell r="AJ312">
            <v>581191889.6536001</v>
          </cell>
          <cell r="AK312">
            <v>116859073.06900001</v>
          </cell>
          <cell r="AL312">
            <v>44640099.947999999</v>
          </cell>
          <cell r="AM312">
            <v>450279430.14189994</v>
          </cell>
          <cell r="AN312">
            <v>0</v>
          </cell>
          <cell r="AO312">
            <v>187595715</v>
          </cell>
          <cell r="AP312">
            <v>0</v>
          </cell>
          <cell r="AQ312">
            <v>94837665</v>
          </cell>
          <cell r="AR312">
            <v>0</v>
          </cell>
          <cell r="AS312">
            <v>13054658.756299999</v>
          </cell>
          <cell r="AT312">
            <v>6359274.8619999997</v>
          </cell>
          <cell r="AU312">
            <v>6695383.8942999998</v>
          </cell>
          <cell r="AV312">
            <v>154791391.3856</v>
          </cell>
          <cell r="AW312">
            <v>0</v>
          </cell>
          <cell r="AX312">
            <v>550437.38199999998</v>
          </cell>
          <cell r="AY312">
            <v>25485723.763</v>
          </cell>
          <cell r="AZ312">
            <v>864432.15599999996</v>
          </cell>
          <cell r="BA312">
            <v>17507692.885000002</v>
          </cell>
          <cell r="BB312">
            <v>383308623.95299995</v>
          </cell>
          <cell r="BC312">
            <v>142792429.82099998</v>
          </cell>
          <cell r="BD312">
            <v>18814415.256999999</v>
          </cell>
          <cell r="BE312">
            <v>32877527.317000005</v>
          </cell>
          <cell r="BF312">
            <v>0</v>
          </cell>
          <cell r="BG312" t="e">
            <v>#REF!</v>
          </cell>
          <cell r="BH312">
            <v>207638666.815</v>
          </cell>
          <cell r="BI312">
            <v>114673293.77199998</v>
          </cell>
          <cell r="BJ312">
            <v>92965373.043000013</v>
          </cell>
          <cell r="BK312">
            <v>1174688.4469999997</v>
          </cell>
          <cell r="BL312">
            <v>-3323942.5350000001</v>
          </cell>
          <cell r="BM312">
            <v>4498630.9819999998</v>
          </cell>
          <cell r="BN312">
            <v>-184215640.50189996</v>
          </cell>
          <cell r="BO312">
            <v>-394515569.51589996</v>
          </cell>
          <cell r="BP312">
            <v>-381460910.75959998</v>
          </cell>
          <cell r="BQ312">
            <v>-186876902.7008999</v>
          </cell>
          <cell r="BR312">
            <v>14109839.011000006</v>
          </cell>
          <cell r="BS312">
            <v>-2935344.5209999979</v>
          </cell>
          <cell r="BT312">
            <v>-2935344.5209999979</v>
          </cell>
          <cell r="BU312">
            <v>0</v>
          </cell>
          <cell r="BV312">
            <v>8804799.5490000024</v>
          </cell>
          <cell r="BW312">
            <v>-3067764.0109999999</v>
          </cell>
          <cell r="BX312">
            <v>7320398.5260000005</v>
          </cell>
          <cell r="BY312">
            <v>3987749.4680000003</v>
          </cell>
          <cell r="BZ312">
            <v>-170105801.49089995</v>
          </cell>
          <cell r="CA312">
            <v>-380405730.50489998</v>
          </cell>
          <cell r="CB312">
            <v>172149947.53300005</v>
          </cell>
          <cell r="CC312">
            <v>99303486.540000007</v>
          </cell>
          <cell r="CD312">
            <v>114475529.23400001</v>
          </cell>
          <cell r="CE312">
            <v>92965373.043000013</v>
          </cell>
          <cell r="CF312">
            <v>21510156.191000003</v>
          </cell>
          <cell r="CG312">
            <v>0</v>
          </cell>
          <cell r="CH312">
            <v>-15172042.694</v>
          </cell>
          <cell r="CI312">
            <v>0</v>
          </cell>
          <cell r="CJ312">
            <v>72846460.993000031</v>
          </cell>
          <cell r="CK312">
            <v>-35862179.267999999</v>
          </cell>
          <cell r="CL312">
            <v>-63168049.094999999</v>
          </cell>
          <cell r="CM312">
            <v>367000</v>
          </cell>
          <cell r="CN312">
            <v>367000</v>
          </cell>
          <cell r="CO312">
            <v>0</v>
          </cell>
          <cell r="CP312">
            <v>-63535049.094999999</v>
          </cell>
          <cell r="CQ312">
            <v>0</v>
          </cell>
          <cell r="CR312">
            <v>-3380249.0950000002</v>
          </cell>
          <cell r="CS312">
            <v>-210800</v>
          </cell>
          <cell r="CT312">
            <v>0</v>
          </cell>
          <cell r="CU312">
            <v>-59944000</v>
          </cell>
          <cell r="CV312">
            <v>182700</v>
          </cell>
          <cell r="CW312">
            <v>0</v>
          </cell>
          <cell r="CX312">
            <v>30714832.677999996</v>
          </cell>
          <cell r="CY312">
            <v>-98678.231999999989</v>
          </cell>
          <cell r="CZ312">
            <v>30698424.947999995</v>
          </cell>
          <cell r="DA312">
            <v>0</v>
          </cell>
          <cell r="DB312">
            <v>-940585.05200000014</v>
          </cell>
          <cell r="DC312">
            <v>31639009.999999996</v>
          </cell>
          <cell r="DD312">
            <v>115085.96199999993</v>
          </cell>
          <cell r="DE312">
            <v>-3408962.8509999979</v>
          </cell>
          <cell r="DF312">
            <v>0</v>
          </cell>
          <cell r="DG312">
            <v>-2416014.7919999976</v>
          </cell>
          <cell r="DH312">
            <v>-992948.05900000036</v>
          </cell>
          <cell r="DI312">
            <v>108708640.26100002</v>
          </cell>
          <cell r="DJ312">
            <v>-9846195</v>
          </cell>
          <cell r="DK312">
            <v>0</v>
          </cell>
          <cell r="DL312">
            <v>0</v>
          </cell>
          <cell r="DM312">
            <v>23758079.612000003</v>
          </cell>
          <cell r="DN312">
            <v>-33604274.612000003</v>
          </cell>
          <cell r="DO312">
            <v>-5207118.5520000001</v>
          </cell>
          <cell r="DP312">
            <v>-15378465.792000003</v>
          </cell>
          <cell r="DQ312">
            <v>-1356602.477</v>
          </cell>
          <cell r="DR312">
            <v>139140419.60500002</v>
          </cell>
          <cell r="DS312">
            <v>0</v>
          </cell>
          <cell r="DT312">
            <v>-2044146.0421001017</v>
          </cell>
          <cell r="DU312">
            <v>50687293.618300006</v>
          </cell>
          <cell r="DV312">
            <v>37632634.862000003</v>
          </cell>
          <cell r="DW312">
            <v>13054658.756299999</v>
          </cell>
          <cell r="DX312">
            <v>28819867.030000005</v>
          </cell>
          <cell r="DY312">
            <v>22460592.168000005</v>
          </cell>
          <cell r="DZ312">
            <v>6359274.8619999997</v>
          </cell>
          <cell r="EA312">
            <v>21867426.588300001</v>
          </cell>
          <cell r="EB312">
            <v>15172042.694</v>
          </cell>
          <cell r="EC312">
            <v>6695383.8942999998</v>
          </cell>
          <cell r="EF312">
            <v>32</v>
          </cell>
        </row>
        <row r="313">
          <cell r="E313">
            <v>39521.5</v>
          </cell>
          <cell r="F313">
            <v>129504981.07700002</v>
          </cell>
          <cell r="G313">
            <v>102431825.79700002</v>
          </cell>
          <cell r="H313">
            <v>102431509.29700002</v>
          </cell>
          <cell r="I313">
            <v>97808263.199000016</v>
          </cell>
          <cell r="J313">
            <v>19363151.218000002</v>
          </cell>
          <cell r="K313">
            <v>8103004.7520000003</v>
          </cell>
          <cell r="L313">
            <v>1263416.263</v>
          </cell>
          <cell r="M313">
            <v>482818.78099999996</v>
          </cell>
          <cell r="N313">
            <v>57083328.987999998</v>
          </cell>
          <cell r="O313">
            <v>41026585.457000002</v>
          </cell>
          <cell r="P313">
            <v>6400310.9000000004</v>
          </cell>
          <cell r="Q313">
            <v>9656432.6309999973</v>
          </cell>
          <cell r="R313">
            <v>18548254.027000003</v>
          </cell>
          <cell r="S313">
            <v>16459703.108000001</v>
          </cell>
          <cell r="T313">
            <v>1999900.3979999998</v>
          </cell>
          <cell r="U313">
            <v>88650.521000000008</v>
          </cell>
          <cell r="V313">
            <v>0</v>
          </cell>
          <cell r="W313">
            <v>1067293.9220000003</v>
          </cell>
          <cell r="X313">
            <v>4623246.0979999993</v>
          </cell>
          <cell r="Y313">
            <v>184023.16500000001</v>
          </cell>
          <cell r="Z313">
            <v>3205449.8130000001</v>
          </cell>
          <cell r="AA313">
            <v>347290.55000000005</v>
          </cell>
          <cell r="AB313">
            <v>36060.292000000001</v>
          </cell>
          <cell r="AC313">
            <v>850422.2779999997</v>
          </cell>
          <cell r="AD313">
            <v>316.5</v>
          </cell>
          <cell r="AE313">
            <v>27073155.280000001</v>
          </cell>
          <cell r="AF313">
            <v>18327155.280000001</v>
          </cell>
          <cell r="AG313">
            <v>8746000</v>
          </cell>
          <cell r="AH313">
            <v>180721323.69599998</v>
          </cell>
          <cell r="AI313">
            <v>131926226.998</v>
          </cell>
          <cell r="AJ313">
            <v>131571640.51099998</v>
          </cell>
          <cell r="AK313">
            <v>31178814.211000003</v>
          </cell>
          <cell r="AL313">
            <v>12104625.5</v>
          </cell>
          <cell r="AM313">
            <v>105109614.28299999</v>
          </cell>
          <cell r="AN313">
            <v>0</v>
          </cell>
          <cell r="AO313">
            <v>43288404</v>
          </cell>
          <cell r="AP313">
            <v>0</v>
          </cell>
          <cell r="AQ313">
            <v>30854337.68</v>
          </cell>
          <cell r="AR313">
            <v>0</v>
          </cell>
          <cell r="AS313">
            <v>1386156.6070000001</v>
          </cell>
          <cell r="AT313">
            <v>354586.48700000002</v>
          </cell>
          <cell r="AU313">
            <v>1031570.12</v>
          </cell>
          <cell r="AV313">
            <v>29580715.995999999</v>
          </cell>
          <cell r="AW313">
            <v>0</v>
          </cell>
          <cell r="AX313">
            <v>0</v>
          </cell>
          <cell r="AY313">
            <v>5417053.8310000002</v>
          </cell>
          <cell r="AZ313">
            <v>907394.78599999996</v>
          </cell>
          <cell r="BA313">
            <v>7106244.932</v>
          </cell>
          <cell r="BB313">
            <v>75688189.876000002</v>
          </cell>
          <cell r="BC313">
            <v>27924663.297999997</v>
          </cell>
          <cell r="BD313">
            <v>10100519.658</v>
          </cell>
          <cell r="BE313">
            <v>0</v>
          </cell>
          <cell r="BF313">
            <v>4276675.2970000003</v>
          </cell>
          <cell r="BG313">
            <v>0</v>
          </cell>
          <cell r="BH313">
            <v>43486851.281000003</v>
          </cell>
          <cell r="BI313">
            <v>18327155.280000001</v>
          </cell>
          <cell r="BJ313">
            <v>25159696.001000002</v>
          </cell>
          <cell r="BK313">
            <v>-76480.463000000222</v>
          </cell>
          <cell r="BL313">
            <v>-581017.77300000004</v>
          </cell>
          <cell r="BM313">
            <v>504537.30999999982</v>
          </cell>
          <cell r="BN313">
            <v>-51216342.618999958</v>
          </cell>
          <cell r="BO313">
            <v>-78289497.898999959</v>
          </cell>
          <cell r="BP313">
            <v>-76903341.291999966</v>
          </cell>
          <cell r="BQ313">
            <v>-34802646.617999941</v>
          </cell>
          <cell r="BR313">
            <v>17207828.254500002</v>
          </cell>
          <cell r="BS313">
            <v>6986836.1910000006</v>
          </cell>
          <cell r="BT313">
            <v>6986836.1910000006</v>
          </cell>
          <cell r="BU313">
            <v>0</v>
          </cell>
          <cell r="BV313">
            <v>-5305509.249499999</v>
          </cell>
          <cell r="BW313">
            <v>0</v>
          </cell>
          <cell r="BX313">
            <v>15526501.313000001</v>
          </cell>
          <cell r="BY313">
            <v>0</v>
          </cell>
          <cell r="BZ313">
            <v>-34008514.364499956</v>
          </cell>
          <cell r="CA313">
            <v>-61081669.644499958</v>
          </cell>
          <cell r="CB313">
            <v>38802778.126000002</v>
          </cell>
          <cell r="CC313">
            <v>23081494.872000001</v>
          </cell>
          <cell r="CD313">
            <v>25159696.001000002</v>
          </cell>
          <cell r="CE313">
            <v>25159696.001000002</v>
          </cell>
          <cell r="CF313">
            <v>0</v>
          </cell>
          <cell r="CG313">
            <v>0</v>
          </cell>
          <cell r="CH313">
            <v>-2078201.1290000002</v>
          </cell>
          <cell r="CI313">
            <v>0</v>
          </cell>
          <cell r="CJ313">
            <v>15721283.254000001</v>
          </cell>
          <cell r="CK313">
            <v>-980495.78800000018</v>
          </cell>
          <cell r="CL313">
            <v>-3653013.1869999999</v>
          </cell>
          <cell r="CM313">
            <v>2503753.2000000002</v>
          </cell>
          <cell r="CN313">
            <v>2503753.2000000002</v>
          </cell>
          <cell r="CO313">
            <v>0</v>
          </cell>
          <cell r="CP313">
            <v>-6156766.3870000001</v>
          </cell>
          <cell r="CQ313">
            <v>0</v>
          </cell>
          <cell r="CR313">
            <v>-860966.3870000001</v>
          </cell>
          <cell r="CS313">
            <v>-475300</v>
          </cell>
          <cell r="CT313">
            <v>0</v>
          </cell>
          <cell r="CU313">
            <v>-4820500</v>
          </cell>
          <cell r="CV313">
            <v>0</v>
          </cell>
          <cell r="CW313">
            <v>0</v>
          </cell>
          <cell r="CX313">
            <v>5180154.449</v>
          </cell>
          <cell r="CY313">
            <v>0</v>
          </cell>
          <cell r="CZ313">
            <v>4797181.7580000004</v>
          </cell>
          <cell r="DA313">
            <v>0</v>
          </cell>
          <cell r="DB313">
            <v>-202818.242</v>
          </cell>
          <cell r="DC313">
            <v>5000000</v>
          </cell>
          <cell r="DD313">
            <v>382972.69099999999</v>
          </cell>
          <cell r="DE313">
            <v>-2507637.0500000003</v>
          </cell>
          <cell r="DF313">
            <v>0</v>
          </cell>
          <cell r="DG313">
            <v>-604006.98</v>
          </cell>
          <cell r="DH313">
            <v>-1903630.0700000003</v>
          </cell>
          <cell r="DI313">
            <v>16701779.042000001</v>
          </cell>
          <cell r="DJ313">
            <v>15000000</v>
          </cell>
          <cell r="DK313">
            <v>0</v>
          </cell>
          <cell r="DL313">
            <v>0</v>
          </cell>
          <cell r="DM313">
            <v>15000000</v>
          </cell>
          <cell r="DN313">
            <v>0</v>
          </cell>
          <cell r="DO313">
            <v>3247124.4</v>
          </cell>
          <cell r="DP313">
            <v>-1545375.358</v>
          </cell>
          <cell r="DQ313">
            <v>-768093.75399999996</v>
          </cell>
          <cell r="DR313">
            <v>30</v>
          </cell>
          <cell r="DS313">
            <v>0</v>
          </cell>
          <cell r="DT313">
            <v>-4794263.7615000457</v>
          </cell>
          <cell r="DU313">
            <v>7242800.2149999999</v>
          </cell>
          <cell r="DV313">
            <v>5856643.608</v>
          </cell>
          <cell r="DW313">
            <v>1386156.6070000001</v>
          </cell>
          <cell r="DX313">
            <v>4133028.966</v>
          </cell>
          <cell r="DY313">
            <v>3778442.4789999998</v>
          </cell>
          <cell r="DZ313">
            <v>354586.48700000002</v>
          </cell>
          <cell r="EA313">
            <v>3109771.2490000003</v>
          </cell>
          <cell r="EB313">
            <v>2078201.1290000002</v>
          </cell>
          <cell r="EC313">
            <v>1031570.12</v>
          </cell>
          <cell r="EF313">
            <v>33</v>
          </cell>
        </row>
        <row r="314">
          <cell r="E314">
            <v>39612.8125</v>
          </cell>
          <cell r="F314">
            <v>307349615.713</v>
          </cell>
          <cell r="G314">
            <v>245210589.60599998</v>
          </cell>
          <cell r="H314">
            <v>245205978.05799997</v>
          </cell>
          <cell r="I314">
            <v>230807545.32799998</v>
          </cell>
          <cell r="J314">
            <v>63063171.368000008</v>
          </cell>
          <cell r="K314">
            <v>39091217.54900001</v>
          </cell>
          <cell r="L314">
            <v>2550582.7609999999</v>
          </cell>
          <cell r="M314">
            <v>1219208.031</v>
          </cell>
          <cell r="N314">
            <v>122097603.919</v>
          </cell>
          <cell r="O314">
            <v>89749206.899000004</v>
          </cell>
          <cell r="P314">
            <v>13888417.737</v>
          </cell>
          <cell r="Q314">
            <v>18459979.283</v>
          </cell>
          <cell r="R314">
            <v>38873240.116000004</v>
          </cell>
          <cell r="S314">
            <v>34402821.973000005</v>
          </cell>
          <cell r="T314">
            <v>4280793.3870000001</v>
          </cell>
          <cell r="U314">
            <v>189624.75599999999</v>
          </cell>
          <cell r="V314">
            <v>0</v>
          </cell>
          <cell r="W314">
            <v>3003739.1330000004</v>
          </cell>
          <cell r="X314">
            <v>14398432.729999997</v>
          </cell>
          <cell r="Y314">
            <v>694820.33400000003</v>
          </cell>
          <cell r="Z314">
            <v>7340502.652999999</v>
          </cell>
          <cell r="AA314">
            <v>879951.34900000016</v>
          </cell>
          <cell r="AB314">
            <v>71410.074000000008</v>
          </cell>
          <cell r="AC314">
            <v>5411748.3199999994</v>
          </cell>
          <cell r="AD314">
            <v>4611.5479999999861</v>
          </cell>
          <cell r="AE314">
            <v>62139026.107000001</v>
          </cell>
          <cell r="AF314">
            <v>27437026.107000001</v>
          </cell>
          <cell r="AG314">
            <v>34702000</v>
          </cell>
          <cell r="AH314">
            <v>399187832.30770004</v>
          </cell>
          <cell r="AI314">
            <v>329302972.78470004</v>
          </cell>
          <cell r="AJ314">
            <v>328768950.41769999</v>
          </cell>
          <cell r="AK314">
            <v>69571999.945000008</v>
          </cell>
          <cell r="AL314">
            <v>30149789.5</v>
          </cell>
          <cell r="AM314">
            <v>240052774.46670002</v>
          </cell>
          <cell r="AN314">
            <v>0</v>
          </cell>
          <cell r="AO314">
            <v>95881588.5</v>
          </cell>
          <cell r="AP314">
            <v>0</v>
          </cell>
          <cell r="AQ314">
            <v>60598885.697999999</v>
          </cell>
          <cell r="AR314">
            <v>0</v>
          </cell>
          <cell r="AS314">
            <v>4014400.4159999997</v>
          </cell>
          <cell r="AT314">
            <v>534022.36700000009</v>
          </cell>
          <cell r="AU314">
            <v>3480378.0489999996</v>
          </cell>
          <cell r="AV314">
            <v>79557899.852699995</v>
          </cell>
          <cell r="AW314">
            <v>0</v>
          </cell>
          <cell r="AX314">
            <v>215437.38200000001</v>
          </cell>
          <cell r="AY314">
            <v>10666228.050000001</v>
          </cell>
          <cell r="AZ314">
            <v>1554917.17</v>
          </cell>
          <cell r="BA314">
            <v>11763553.711999999</v>
          </cell>
          <cell r="BB314">
            <v>159555748.94700003</v>
          </cell>
          <cell r="BC314">
            <v>93151267.473000005</v>
          </cell>
          <cell r="BD314">
            <v>15397977.759</v>
          </cell>
          <cell r="BE314">
            <v>0</v>
          </cell>
          <cell r="BF314">
            <v>5736211.3270000005</v>
          </cell>
          <cell r="BG314">
            <v>0</v>
          </cell>
          <cell r="BH314">
            <v>60668270.147</v>
          </cell>
          <cell r="BI314">
            <v>27437026.107000001</v>
          </cell>
          <cell r="BJ314">
            <v>33231244.039999999</v>
          </cell>
          <cell r="BK314">
            <v>-420691.10600000026</v>
          </cell>
          <cell r="BL314">
            <v>-1412940.169</v>
          </cell>
          <cell r="BM314">
            <v>992249.06299999973</v>
          </cell>
          <cell r="BN314">
            <v>-91838216.594700038</v>
          </cell>
          <cell r="BO314">
            <v>-153977242.70170003</v>
          </cell>
          <cell r="BP314">
            <v>-149962842.28570005</v>
          </cell>
          <cell r="BQ314">
            <v>-93308972.554700047</v>
          </cell>
          <cell r="BR314">
            <v>15107364.3636044</v>
          </cell>
          <cell r="BS314">
            <v>3849083.5890000002</v>
          </cell>
          <cell r="BT314">
            <v>3849083.5890000002</v>
          </cell>
          <cell r="BU314">
            <v>0</v>
          </cell>
          <cell r="BV314">
            <v>-29557476.076000001</v>
          </cell>
          <cell r="BW314">
            <v>0</v>
          </cell>
          <cell r="BX314">
            <v>40815756.8506044</v>
          </cell>
          <cell r="BY314">
            <v>0</v>
          </cell>
          <cell r="BZ314">
            <v>-76730852.231095642</v>
          </cell>
          <cell r="CA314">
            <v>-138869878.33809564</v>
          </cell>
          <cell r="CB314">
            <v>75747320.228000015</v>
          </cell>
          <cell r="CC314">
            <v>26810602.276000001</v>
          </cell>
          <cell r="CD314">
            <v>33231244.039000001</v>
          </cell>
          <cell r="CE314">
            <v>33231244.039000001</v>
          </cell>
          <cell r="CF314">
            <v>0</v>
          </cell>
          <cell r="CG314">
            <v>0</v>
          </cell>
          <cell r="CH314">
            <v>-6420641.7630000003</v>
          </cell>
          <cell r="CI314">
            <v>0</v>
          </cell>
          <cell r="CJ314">
            <v>48936717.952000007</v>
          </cell>
          <cell r="CK314">
            <v>37738073.528000005</v>
          </cell>
          <cell r="CL314">
            <v>34909863.178000003</v>
          </cell>
          <cell r="CM314">
            <v>2503753.2000000002</v>
          </cell>
          <cell r="CN314">
            <v>2503753.2000000002</v>
          </cell>
          <cell r="CO314">
            <v>0</v>
          </cell>
          <cell r="CP314">
            <v>32406109.978</v>
          </cell>
          <cell r="CQ314">
            <v>0</v>
          </cell>
          <cell r="CR314">
            <v>-1728390.0220000001</v>
          </cell>
          <cell r="CS314">
            <v>-176600</v>
          </cell>
          <cell r="CT314">
            <v>0</v>
          </cell>
          <cell r="CU314">
            <v>34311100</v>
          </cell>
          <cell r="CV314">
            <v>0</v>
          </cell>
          <cell r="CW314">
            <v>0</v>
          </cell>
          <cell r="CX314">
            <v>4556015.3080000002</v>
          </cell>
          <cell r="CY314">
            <v>0</v>
          </cell>
          <cell r="CZ314">
            <v>4797181.7580000004</v>
          </cell>
          <cell r="DA314">
            <v>0</v>
          </cell>
          <cell r="DB314">
            <v>-202818.242</v>
          </cell>
          <cell r="DC314">
            <v>5000000</v>
          </cell>
          <cell r="DD314">
            <v>-241166.45000000007</v>
          </cell>
          <cell r="DE314">
            <v>-1727804.9580000001</v>
          </cell>
          <cell r="DF314">
            <v>0</v>
          </cell>
          <cell r="DG314">
            <v>-604006.98</v>
          </cell>
          <cell r="DH314">
            <v>-1123797.9780000001</v>
          </cell>
          <cell r="DI314">
            <v>11198644.424000001</v>
          </cell>
          <cell r="DJ314">
            <v>15000000</v>
          </cell>
          <cell r="DK314">
            <v>0</v>
          </cell>
          <cell r="DL314">
            <v>0</v>
          </cell>
          <cell r="DM314">
            <v>15000000</v>
          </cell>
          <cell r="DN314">
            <v>0</v>
          </cell>
          <cell r="DO314">
            <v>3247124.4</v>
          </cell>
          <cell r="DP314">
            <v>-7048509.9759999998</v>
          </cell>
          <cell r="DQ314">
            <v>-1014692.959</v>
          </cell>
          <cell r="DR314">
            <v>30</v>
          </cell>
          <cell r="DS314">
            <v>0</v>
          </cell>
          <cell r="DT314">
            <v>983532.00309562683</v>
          </cell>
          <cell r="DU314">
            <v>20786857.870999999</v>
          </cell>
          <cell r="DV314">
            <v>16772457.455</v>
          </cell>
          <cell r="DW314">
            <v>4014400.4159999997</v>
          </cell>
          <cell r="DX314">
            <v>10885838.059</v>
          </cell>
          <cell r="DY314">
            <v>10351815.692</v>
          </cell>
          <cell r="DZ314">
            <v>534022.36700000009</v>
          </cell>
          <cell r="EA314">
            <v>9901019.811999999</v>
          </cell>
          <cell r="EB314">
            <v>6420641.7630000003</v>
          </cell>
          <cell r="EC314">
            <v>3480378.0489999996</v>
          </cell>
          <cell r="EF314">
            <v>34</v>
          </cell>
        </row>
        <row r="315">
          <cell r="E315">
            <v>39704.125</v>
          </cell>
          <cell r="F315">
            <v>475370896.48100007</v>
          </cell>
          <cell r="G315">
            <v>358414888.92100006</v>
          </cell>
          <cell r="H315">
            <v>358407564.27300006</v>
          </cell>
          <cell r="I315">
            <v>334608320.26100004</v>
          </cell>
          <cell r="J315">
            <v>83385950.554000005</v>
          </cell>
          <cell r="K315">
            <v>46604008.375000007</v>
          </cell>
          <cell r="L315">
            <v>3753237.5980000002</v>
          </cell>
          <cell r="M315">
            <v>1980782.925</v>
          </cell>
          <cell r="N315">
            <v>182749653.227</v>
          </cell>
          <cell r="O315">
            <v>135713533.796</v>
          </cell>
          <cell r="P315">
            <v>19893649.987</v>
          </cell>
          <cell r="Q315">
            <v>27142469.443999998</v>
          </cell>
          <cell r="R315">
            <v>58622235.600000001</v>
          </cell>
          <cell r="S315">
            <v>51880183.497000001</v>
          </cell>
          <cell r="T315">
            <v>6456748.1100000003</v>
          </cell>
          <cell r="U315">
            <v>285303.99300000002</v>
          </cell>
          <cell r="V315">
            <v>0</v>
          </cell>
          <cell r="W315">
            <v>4116460.3570000003</v>
          </cell>
          <cell r="X315">
            <v>23799244.011999998</v>
          </cell>
          <cell r="Y315">
            <v>1032276.7680000002</v>
          </cell>
          <cell r="Z315">
            <v>11025261.071</v>
          </cell>
          <cell r="AA315">
            <v>1275745.2439999999</v>
          </cell>
          <cell r="AB315">
            <v>3663744.7290000003</v>
          </cell>
          <cell r="AC315">
            <v>6802216.1999999993</v>
          </cell>
          <cell r="AD315">
            <v>7324.6480000001084</v>
          </cell>
          <cell r="AE315">
            <v>116956007.56</v>
          </cell>
          <cell r="AF315">
            <v>39632055.280000001</v>
          </cell>
          <cell r="AG315">
            <v>77323952.280000001</v>
          </cell>
          <cell r="AH315">
            <v>600515241.98370004</v>
          </cell>
          <cell r="AI315">
            <v>506056285.97670007</v>
          </cell>
          <cell r="AJ315">
            <v>502790981.57170004</v>
          </cell>
          <cell r="AK315">
            <v>104980436.72700001</v>
          </cell>
          <cell r="AL315">
            <v>49163814.309</v>
          </cell>
          <cell r="AM315">
            <v>349403736.43970001</v>
          </cell>
          <cell r="AN315">
            <v>0</v>
          </cell>
          <cell r="AO315">
            <v>149439610.89700001</v>
          </cell>
          <cell r="AP315">
            <v>0</v>
          </cell>
          <cell r="AQ315">
            <v>78788531.713</v>
          </cell>
          <cell r="AR315">
            <v>0</v>
          </cell>
          <cell r="AS315">
            <v>7637879.6509999996</v>
          </cell>
          <cell r="AT315">
            <v>3265304.4050000003</v>
          </cell>
          <cell r="AU315">
            <v>4372575.2459999993</v>
          </cell>
          <cell r="AV315">
            <v>113537714.1787</v>
          </cell>
          <cell r="AW315">
            <v>0</v>
          </cell>
          <cell r="AX315">
            <v>400000</v>
          </cell>
          <cell r="AY315">
            <v>18102859.328000002</v>
          </cell>
          <cell r="AZ315">
            <v>1554917.17</v>
          </cell>
          <cell r="BA315">
            <v>14969206.074999999</v>
          </cell>
          <cell r="BB315">
            <v>252108191.08200002</v>
          </cell>
          <cell r="BC315">
            <v>162021810.32100001</v>
          </cell>
          <cell r="BD315">
            <v>25837084.145999998</v>
          </cell>
          <cell r="BE315">
            <v>0</v>
          </cell>
          <cell r="BF315">
            <v>6172216.2630000003</v>
          </cell>
          <cell r="BG315">
            <v>0</v>
          </cell>
          <cell r="BH315">
            <v>83914164.498000011</v>
          </cell>
          <cell r="BI315">
            <v>39632055.280000001</v>
          </cell>
          <cell r="BJ315">
            <v>44282109.21800001</v>
          </cell>
          <cell r="BK315">
            <v>-996685.53800000018</v>
          </cell>
          <cell r="BL315">
            <v>-1982251.6609999998</v>
          </cell>
          <cell r="BM315">
            <v>985566.12299999967</v>
          </cell>
          <cell r="BN315">
            <v>-125144345.50269997</v>
          </cell>
          <cell r="BO315">
            <v>-242100353.06269997</v>
          </cell>
          <cell r="BP315">
            <v>-234462473.41169995</v>
          </cell>
          <cell r="BQ315">
            <v>-158186188.56469995</v>
          </cell>
          <cell r="BR315">
            <v>32267160.31286449</v>
          </cell>
          <cell r="BS315">
            <v>8914903.1100000013</v>
          </cell>
          <cell r="BT315">
            <v>8914903.1100000013</v>
          </cell>
          <cell r="BU315">
            <v>0</v>
          </cell>
          <cell r="BV315">
            <v>-8493038.1850000061</v>
          </cell>
          <cell r="BW315">
            <v>0</v>
          </cell>
          <cell r="BX315">
            <v>31845295.387864493</v>
          </cell>
          <cell r="BY315">
            <v>0</v>
          </cell>
          <cell r="BZ315">
            <v>-92877185.189835489</v>
          </cell>
          <cell r="CA315">
            <v>-209833192.74983549</v>
          </cell>
          <cell r="CB315">
            <v>93400965.763999999</v>
          </cell>
          <cell r="CC315">
            <v>35471878.20700001</v>
          </cell>
          <cell r="CD315">
            <v>44282109.21800001</v>
          </cell>
          <cell r="CE315">
            <v>44282109.21800001</v>
          </cell>
          <cell r="CF315">
            <v>0</v>
          </cell>
          <cell r="CG315">
            <v>0</v>
          </cell>
          <cell r="CH315">
            <v>-8810231.0109999999</v>
          </cell>
          <cell r="CI315">
            <v>0</v>
          </cell>
          <cell r="CJ315">
            <v>57929087.556999996</v>
          </cell>
          <cell r="CK315">
            <v>47830247.541000001</v>
          </cell>
          <cell r="CL315">
            <v>45908133.865000002</v>
          </cell>
          <cell r="CM315">
            <v>5227753.2</v>
          </cell>
          <cell r="CN315">
            <v>5227753.2</v>
          </cell>
          <cell r="CO315">
            <v>0</v>
          </cell>
          <cell r="CP315">
            <v>40680380.664999999</v>
          </cell>
          <cell r="CQ315">
            <v>0</v>
          </cell>
          <cell r="CR315">
            <v>-2602319.335</v>
          </cell>
          <cell r="CS315">
            <v>-676600</v>
          </cell>
          <cell r="CT315">
            <v>0</v>
          </cell>
          <cell r="CU315">
            <v>43959300</v>
          </cell>
          <cell r="CV315">
            <v>0</v>
          </cell>
          <cell r="CW315">
            <v>0</v>
          </cell>
          <cell r="CX315">
            <v>7893329.739000001</v>
          </cell>
          <cell r="CY315">
            <v>-200940.76</v>
          </cell>
          <cell r="CZ315">
            <v>8297181.7580000004</v>
          </cell>
          <cell r="DA315">
            <v>0</v>
          </cell>
          <cell r="DB315">
            <v>-202818.242</v>
          </cell>
          <cell r="DC315">
            <v>8500000</v>
          </cell>
          <cell r="DD315">
            <v>-202911.25900000005</v>
          </cell>
          <cell r="DE315">
            <v>-5971216.0629999992</v>
          </cell>
          <cell r="DF315">
            <v>0</v>
          </cell>
          <cell r="DG315">
            <v>-1208010.6779999998</v>
          </cell>
          <cell r="DH315">
            <v>-4763205.3849999998</v>
          </cell>
          <cell r="DI315">
            <v>10098840.015999999</v>
          </cell>
          <cell r="DJ315">
            <v>12930000</v>
          </cell>
          <cell r="DK315">
            <v>0</v>
          </cell>
          <cell r="DL315">
            <v>0</v>
          </cell>
          <cell r="DM315">
            <v>27930000</v>
          </cell>
          <cell r="DN315">
            <v>-15000000</v>
          </cell>
          <cell r="DO315">
            <v>3247124.4000000004</v>
          </cell>
          <cell r="DP315">
            <v>-7966996.7090000007</v>
          </cell>
          <cell r="DQ315">
            <v>-1261292.1640000001</v>
          </cell>
          <cell r="DR315">
            <v>1888712.325</v>
          </cell>
          <cell r="DS315">
            <v>0</v>
          </cell>
          <cell r="DT315">
            <v>-523780.57416450977</v>
          </cell>
          <cell r="DU315">
            <v>29397290.140000001</v>
          </cell>
          <cell r="DV315">
            <v>21759410.489</v>
          </cell>
          <cell r="DW315">
            <v>7637879.6509999996</v>
          </cell>
          <cell r="DX315">
            <v>16214483.883000001</v>
          </cell>
          <cell r="DY315">
            <v>12949179.478</v>
          </cell>
          <cell r="DZ315">
            <v>3265304.4050000003</v>
          </cell>
          <cell r="EA315">
            <v>13182806.256999999</v>
          </cell>
          <cell r="EB315">
            <v>8810231.0109999999</v>
          </cell>
          <cell r="EC315">
            <v>4372575.2459999993</v>
          </cell>
          <cell r="EF315">
            <v>35</v>
          </cell>
        </row>
        <row r="316">
          <cell r="E316">
            <v>39795.4375</v>
          </cell>
          <cell r="F316">
            <v>630752097.64899993</v>
          </cell>
          <cell r="G316">
            <v>483833897.67499995</v>
          </cell>
          <cell r="H316">
            <v>483826572.07199997</v>
          </cell>
          <cell r="I316">
            <v>444671069.16499996</v>
          </cell>
          <cell r="J316">
            <v>103469343.79799999</v>
          </cell>
          <cell r="K316">
            <v>54456211.589000009</v>
          </cell>
          <cell r="L316">
            <v>4989967.1670000004</v>
          </cell>
          <cell r="M316">
            <v>3208682.2810000004</v>
          </cell>
          <cell r="N316">
            <v>243815710.87</v>
          </cell>
          <cell r="O316">
            <v>181719408.35700002</v>
          </cell>
          <cell r="P316">
            <v>27056896.368000001</v>
          </cell>
          <cell r="Q316">
            <v>35039406.144999996</v>
          </cell>
          <cell r="R316">
            <v>81820979.912999988</v>
          </cell>
          <cell r="S316">
            <v>72499311.707999989</v>
          </cell>
          <cell r="T316">
            <v>8933758.4930000007</v>
          </cell>
          <cell r="U316">
            <v>387909.712</v>
          </cell>
          <cell r="V316">
            <v>0</v>
          </cell>
          <cell r="W316">
            <v>7366385.1359999999</v>
          </cell>
          <cell r="X316">
            <v>39155502.906999998</v>
          </cell>
          <cell r="Y316">
            <v>2153927.6100000003</v>
          </cell>
          <cell r="Z316">
            <v>15869638.739999998</v>
          </cell>
          <cell r="AA316">
            <v>1700360.8959999999</v>
          </cell>
          <cell r="AB316">
            <v>8004730.4979999997</v>
          </cell>
          <cell r="AC316">
            <v>11426845.162999999</v>
          </cell>
          <cell r="AD316">
            <v>7325.6030000000665</v>
          </cell>
          <cell r="AE316">
            <v>146918199.97400001</v>
          </cell>
          <cell r="AF316">
            <v>58684742.194000006</v>
          </cell>
          <cell r="AG316">
            <v>88233457.780000001</v>
          </cell>
          <cell r="AH316">
            <v>791858182.8678</v>
          </cell>
          <cell r="AI316">
            <v>652929066.31780005</v>
          </cell>
          <cell r="AJ316">
            <v>648350326.31780005</v>
          </cell>
          <cell r="AK316">
            <v>142368930.57700002</v>
          </cell>
          <cell r="AL316">
            <v>56429091.200000003</v>
          </cell>
          <cell r="AM316">
            <v>455189052.97579998</v>
          </cell>
          <cell r="AN316">
            <v>0</v>
          </cell>
          <cell r="AO316">
            <v>198826233</v>
          </cell>
          <cell r="AP316">
            <v>0</v>
          </cell>
          <cell r="AQ316">
            <v>95308772.342999995</v>
          </cell>
          <cell r="AR316">
            <v>0</v>
          </cell>
          <cell r="AS316">
            <v>12693274.999999998</v>
          </cell>
          <cell r="AT316">
            <v>4578740</v>
          </cell>
          <cell r="AU316">
            <v>8114534.9999999981</v>
          </cell>
          <cell r="AV316">
            <v>148360772.63279998</v>
          </cell>
          <cell r="AW316">
            <v>0</v>
          </cell>
          <cell r="AX316">
            <v>400000</v>
          </cell>
          <cell r="AY316">
            <v>25117546.478</v>
          </cell>
          <cell r="AZ316">
            <v>1554917.17</v>
          </cell>
          <cell r="BA316">
            <v>17914726.050999999</v>
          </cell>
          <cell r="BB316">
            <v>325066705.24000001</v>
          </cell>
          <cell r="BC316">
            <v>194252123.69</v>
          </cell>
          <cell r="BD316">
            <v>27084982.23</v>
          </cell>
          <cell r="BE316">
            <v>0</v>
          </cell>
          <cell r="BF316">
            <v>6172216.2630000003</v>
          </cell>
          <cell r="BG316">
            <v>0</v>
          </cell>
          <cell r="BH316">
            <v>124642365.28700002</v>
          </cell>
          <cell r="BI316">
            <v>55313362.291000009</v>
          </cell>
          <cell r="BJ316">
            <v>69329002.996000007</v>
          </cell>
          <cell r="BK316">
            <v>11602424.651999999</v>
          </cell>
          <cell r="BL316">
            <v>-3812340.5709999995</v>
          </cell>
          <cell r="BM316">
            <v>15414765.222999999</v>
          </cell>
          <cell r="BN316">
            <v>-161106085.21880007</v>
          </cell>
          <cell r="BO316">
            <v>-308024285.19280005</v>
          </cell>
          <cell r="BP316">
            <v>-295331010.19280005</v>
          </cell>
          <cell r="BQ316">
            <v>-183381919.90579998</v>
          </cell>
          <cell r="BR316">
            <v>19231370.995587822</v>
          </cell>
          <cell r="BS316">
            <v>1897325.0270000026</v>
          </cell>
          <cell r="BT316">
            <v>1897325.0270000026</v>
          </cell>
          <cell r="BU316">
            <v>0</v>
          </cell>
          <cell r="BV316">
            <v>-36865066.605000004</v>
          </cell>
          <cell r="BW316">
            <v>0</v>
          </cell>
          <cell r="BX316">
            <v>50748442.744587824</v>
          </cell>
          <cell r="BY316">
            <v>3450669.8289999999</v>
          </cell>
          <cell r="BZ316">
            <v>-141874714.22321224</v>
          </cell>
          <cell r="CA316">
            <v>-288792914.19721222</v>
          </cell>
          <cell r="CB316">
            <v>144781921.98800001</v>
          </cell>
          <cell r="CC316">
            <v>102279659.34500001</v>
          </cell>
          <cell r="CD316">
            <v>115258498.38300002</v>
          </cell>
          <cell r="CE316">
            <v>69329002.996000007</v>
          </cell>
          <cell r="CF316">
            <v>45929495.387000002</v>
          </cell>
          <cell r="CG316">
            <v>0</v>
          </cell>
          <cell r="CH316">
            <v>-12978839.037999999</v>
          </cell>
          <cell r="CI316">
            <v>0</v>
          </cell>
          <cell r="CJ316">
            <v>42502262.642999999</v>
          </cell>
          <cell r="CK316">
            <v>54431216.25</v>
          </cell>
          <cell r="CL316">
            <v>48372050.083000004</v>
          </cell>
          <cell r="CM316">
            <v>5227753.2</v>
          </cell>
          <cell r="CN316">
            <v>5227753.2</v>
          </cell>
          <cell r="CO316">
            <v>0</v>
          </cell>
          <cell r="CP316">
            <v>43144296.883000001</v>
          </cell>
          <cell r="CQ316">
            <v>0</v>
          </cell>
          <cell r="CR316">
            <v>-3482803.1170000001</v>
          </cell>
          <cell r="CS316">
            <v>-986800</v>
          </cell>
          <cell r="CT316">
            <v>0</v>
          </cell>
          <cell r="CU316">
            <v>47613900</v>
          </cell>
          <cell r="CV316">
            <v>0</v>
          </cell>
          <cell r="CW316">
            <v>0</v>
          </cell>
          <cell r="CX316">
            <v>15466194.364</v>
          </cell>
          <cell r="CY316">
            <v>-233833.50400000002</v>
          </cell>
          <cell r="CZ316">
            <v>15883335.604</v>
          </cell>
          <cell r="DA316">
            <v>0</v>
          </cell>
          <cell r="DB316">
            <v>-656664.39600000007</v>
          </cell>
          <cell r="DC316">
            <v>16540000</v>
          </cell>
          <cell r="DD316">
            <v>-183307.73600000003</v>
          </cell>
          <cell r="DE316">
            <v>-9407028.1970000006</v>
          </cell>
          <cell r="DF316">
            <v>0</v>
          </cell>
          <cell r="DG316">
            <v>-1812014.3759999997</v>
          </cell>
          <cell r="DH316">
            <v>-7595013.8210000005</v>
          </cell>
          <cell r="DI316">
            <v>-11928953.607000001</v>
          </cell>
          <cell r="DJ316">
            <v>3000000</v>
          </cell>
          <cell r="DK316">
            <v>0</v>
          </cell>
          <cell r="DL316">
            <v>0</v>
          </cell>
          <cell r="DM316">
            <v>30930000</v>
          </cell>
          <cell r="DN316">
            <v>-27930000</v>
          </cell>
          <cell r="DO316">
            <v>-2500000</v>
          </cell>
          <cell r="DP316">
            <v>-15339848.572000001</v>
          </cell>
          <cell r="DQ316">
            <v>-1507891.3690000002</v>
          </cell>
          <cell r="DR316">
            <v>2910894.9649999999</v>
          </cell>
          <cell r="DS316">
            <v>0</v>
          </cell>
          <cell r="DT316">
            <v>-2907207.7647877634</v>
          </cell>
          <cell r="DU316">
            <v>47965368.474999994</v>
          </cell>
          <cell r="DV316">
            <v>35272093.474999994</v>
          </cell>
          <cell r="DW316">
            <v>12693274.999999998</v>
          </cell>
          <cell r="DX316">
            <v>26871994.436999999</v>
          </cell>
          <cell r="DY316">
            <v>22293254.436999999</v>
          </cell>
          <cell r="DZ316">
            <v>4578740</v>
          </cell>
          <cell r="EA316">
            <v>21093374.037999995</v>
          </cell>
          <cell r="EB316">
            <v>12978839.037999999</v>
          </cell>
          <cell r="EC316">
            <v>8114534.9999999981</v>
          </cell>
          <cell r="EF316">
            <v>36</v>
          </cell>
        </row>
        <row r="317">
          <cell r="E317">
            <v>39886.75</v>
          </cell>
          <cell r="F317">
            <v>127659683.956</v>
          </cell>
          <cell r="G317">
            <v>117242139.969</v>
          </cell>
          <cell r="H317">
            <v>117242139.763</v>
          </cell>
          <cell r="I317">
            <v>110102282.69299999</v>
          </cell>
          <cell r="J317">
            <v>24869350.435000002</v>
          </cell>
          <cell r="K317">
            <v>9123874.3040000014</v>
          </cell>
          <cell r="L317">
            <v>1518068.257</v>
          </cell>
          <cell r="M317">
            <v>758496.65700000012</v>
          </cell>
          <cell r="N317">
            <v>62367763.055</v>
          </cell>
          <cell r="O317">
            <v>46183429.075999998</v>
          </cell>
          <cell r="P317">
            <v>6930937.8440000005</v>
          </cell>
          <cell r="Q317">
            <v>9253396.1349999998</v>
          </cell>
          <cell r="R317">
            <v>19412846.437999997</v>
          </cell>
          <cell r="S317">
            <v>17022342.783</v>
          </cell>
          <cell r="T317">
            <v>2015069.65</v>
          </cell>
          <cell r="U317">
            <v>375434.005</v>
          </cell>
          <cell r="V317">
            <v>0</v>
          </cell>
          <cell r="W317">
            <v>1175757.8509999998</v>
          </cell>
          <cell r="X317">
            <v>7139857.0700000012</v>
          </cell>
          <cell r="Y317">
            <v>190280.22200000001</v>
          </cell>
          <cell r="Z317">
            <v>3583198.6000000006</v>
          </cell>
          <cell r="AA317">
            <v>336548.98400000005</v>
          </cell>
          <cell r="AB317">
            <v>1500084.6709999999</v>
          </cell>
          <cell r="AC317">
            <v>1529744.5930000001</v>
          </cell>
          <cell r="AD317">
            <v>0.20600000000000002</v>
          </cell>
          <cell r="AE317">
            <v>10417543.987</v>
          </cell>
          <cell r="AF317">
            <v>6829234.754999999</v>
          </cell>
          <cell r="AG317">
            <v>3588309.2319999998</v>
          </cell>
          <cell r="AH317">
            <v>179383287.15140003</v>
          </cell>
          <cell r="AI317">
            <v>151605817.88440001</v>
          </cell>
          <cell r="AJ317">
            <v>150250411.83140001</v>
          </cell>
          <cell r="AK317">
            <v>31215143.142000001</v>
          </cell>
          <cell r="AL317">
            <v>14352809.069</v>
          </cell>
          <cell r="AM317">
            <v>126963691.20640001</v>
          </cell>
          <cell r="AN317">
            <v>0</v>
          </cell>
          <cell r="AO317">
            <v>53084098.129000001</v>
          </cell>
          <cell r="AP317">
            <v>0</v>
          </cell>
          <cell r="AQ317">
            <v>23753573.491</v>
          </cell>
          <cell r="AR317">
            <v>0</v>
          </cell>
          <cell r="AS317">
            <v>2595657.3089999999</v>
          </cell>
          <cell r="AT317">
            <v>1355406.0530000001</v>
          </cell>
          <cell r="AU317">
            <v>1240251.2559999998</v>
          </cell>
          <cell r="AV317">
            <v>47530362.277400002</v>
          </cell>
          <cell r="AW317">
            <v>0</v>
          </cell>
          <cell r="AX317">
            <v>7856403.7323999992</v>
          </cell>
          <cell r="AY317">
            <v>7889874.5030000005</v>
          </cell>
          <cell r="AZ317">
            <v>0</v>
          </cell>
          <cell r="BA317">
            <v>8287583.8289999999</v>
          </cell>
          <cell r="BB317">
            <v>54648152.885000005</v>
          </cell>
          <cell r="BC317">
            <v>28110934.874000002</v>
          </cell>
          <cell r="BD317">
            <v>6616076.0210000006</v>
          </cell>
          <cell r="BE317">
            <v>0</v>
          </cell>
          <cell r="BF317">
            <v>2191697.548</v>
          </cell>
          <cell r="BG317">
            <v>0</v>
          </cell>
          <cell r="BH317">
            <v>24345520.463</v>
          </cell>
          <cell r="BI317">
            <v>6829234.754999999</v>
          </cell>
          <cell r="BJ317">
            <v>17516285.708000001</v>
          </cell>
          <cell r="BK317">
            <v>-2228556.94</v>
          </cell>
          <cell r="BL317">
            <v>-225439.58900000001</v>
          </cell>
          <cell r="BM317">
            <v>-2003117.351</v>
          </cell>
          <cell r="BN317">
            <v>-51723603.195400029</v>
          </cell>
          <cell r="BO317">
            <v>-62141147.182400033</v>
          </cell>
          <cell r="BP317">
            <v>-59545489.873400047</v>
          </cell>
          <cell r="BQ317">
            <v>-37795626.719400033</v>
          </cell>
          <cell r="BR317">
            <v>41990589.817412078</v>
          </cell>
          <cell r="BS317">
            <v>8274591.5639999844</v>
          </cell>
          <cell r="BT317">
            <v>8274591.5639999844</v>
          </cell>
          <cell r="BU317">
            <v>0</v>
          </cell>
          <cell r="BV317">
            <v>14414439.419000044</v>
          </cell>
          <cell r="BW317">
            <v>0</v>
          </cell>
          <cell r="BX317">
            <v>19301558.83441205</v>
          </cell>
          <cell r="BY317">
            <v>0</v>
          </cell>
          <cell r="BZ317">
            <v>-9733013.377987951</v>
          </cell>
          <cell r="CA317">
            <v>-20150557.364987951</v>
          </cell>
          <cell r="CB317">
            <v>9901840.7010000013</v>
          </cell>
          <cell r="CC317">
            <v>15449808.503</v>
          </cell>
          <cell r="CD317">
            <v>17516285.708000001</v>
          </cell>
          <cell r="CE317">
            <v>17516285.708000001</v>
          </cell>
          <cell r="CF317">
            <v>0</v>
          </cell>
          <cell r="CG317">
            <v>0</v>
          </cell>
          <cell r="CH317">
            <v>-2066477.2050000001</v>
          </cell>
          <cell r="CI317">
            <v>0</v>
          </cell>
          <cell r="CJ317">
            <v>-5547967.8019999992</v>
          </cell>
          <cell r="CK317">
            <v>-14504036.285</v>
          </cell>
          <cell r="CL317">
            <v>-3191187.4110000003</v>
          </cell>
          <cell r="CM317">
            <v>2900100</v>
          </cell>
          <cell r="CN317">
            <v>2900100</v>
          </cell>
          <cell r="CO317">
            <v>0</v>
          </cell>
          <cell r="CP317">
            <v>-6091287.4110000003</v>
          </cell>
          <cell r="CQ317">
            <v>0</v>
          </cell>
          <cell r="CR317">
            <v>-887087.41099999996</v>
          </cell>
          <cell r="CS317">
            <v>116900</v>
          </cell>
          <cell r="CT317">
            <v>0</v>
          </cell>
          <cell r="CU317">
            <v>-5321100</v>
          </cell>
          <cell r="CV317">
            <v>0</v>
          </cell>
          <cell r="CW317">
            <v>0</v>
          </cell>
          <cell r="CX317">
            <v>-10909535.196</v>
          </cell>
          <cell r="CY317">
            <v>-32892.743999999999</v>
          </cell>
          <cell r="CZ317">
            <v>-10864102</v>
          </cell>
          <cell r="DA317">
            <v>0</v>
          </cell>
          <cell r="DB317">
            <v>0</v>
          </cell>
          <cell r="DC317">
            <v>-10864102</v>
          </cell>
          <cell r="DD317">
            <v>-12540.452000000019</v>
          </cell>
          <cell r="DE317">
            <v>-403313.67799999891</v>
          </cell>
          <cell r="DF317">
            <v>0</v>
          </cell>
          <cell r="DG317">
            <v>-2778709.3560000001</v>
          </cell>
          <cell r="DH317">
            <v>2375395.6780000012</v>
          </cell>
          <cell r="DI317">
            <v>8956068.4830000009</v>
          </cell>
          <cell r="DJ317">
            <v>8351796</v>
          </cell>
          <cell r="DK317">
            <v>0</v>
          </cell>
          <cell r="DL317">
            <v>0</v>
          </cell>
          <cell r="DM317">
            <v>11351796</v>
          </cell>
          <cell r="DN317">
            <v>-3000000</v>
          </cell>
          <cell r="DO317">
            <v>0</v>
          </cell>
          <cell r="DP317">
            <v>-1468746.0889999999</v>
          </cell>
          <cell r="DQ317">
            <v>-246599.20499999999</v>
          </cell>
          <cell r="DR317">
            <v>2073018.5719999999</v>
          </cell>
          <cell r="DS317">
            <v>0</v>
          </cell>
          <cell r="DT317">
            <v>-168827.32301205024</v>
          </cell>
          <cell r="DU317">
            <v>9829570.1140000001</v>
          </cell>
          <cell r="DV317">
            <v>7233912.8049999997</v>
          </cell>
          <cell r="DW317">
            <v>2595657.3089999999</v>
          </cell>
          <cell r="DX317">
            <v>6522841.6529999999</v>
          </cell>
          <cell r="DY317">
            <v>5167435.5999999996</v>
          </cell>
          <cell r="DZ317">
            <v>1355406.0530000001</v>
          </cell>
          <cell r="EA317">
            <v>3306728.4610000001</v>
          </cell>
          <cell r="EB317">
            <v>2066477.2050000001</v>
          </cell>
          <cell r="EC317">
            <v>1240251.2559999998</v>
          </cell>
          <cell r="EF317">
            <v>37</v>
          </cell>
        </row>
        <row r="318">
          <cell r="E318">
            <v>39978.0625</v>
          </cell>
          <cell r="F318">
            <v>343933664.56800002</v>
          </cell>
          <cell r="G318">
            <v>264205943.551</v>
          </cell>
          <cell r="H318">
            <v>264202197.09299999</v>
          </cell>
          <cell r="I318">
            <v>244148423.14899999</v>
          </cell>
          <cell r="J318">
            <v>64023581.954999991</v>
          </cell>
          <cell r="K318">
            <v>34535509.848000005</v>
          </cell>
          <cell r="L318">
            <v>3053110.0279999999</v>
          </cell>
          <cell r="M318">
            <v>1725950.486</v>
          </cell>
          <cell r="N318">
            <v>131942105.95199999</v>
          </cell>
          <cell r="O318">
            <v>97919488.420999989</v>
          </cell>
          <cell r="P318">
            <v>14245632.624</v>
          </cell>
          <cell r="Q318">
            <v>19776984.907000002</v>
          </cell>
          <cell r="R318">
            <v>40825884.809999995</v>
          </cell>
          <cell r="S318">
            <v>36051708.336999997</v>
          </cell>
          <cell r="T318">
            <v>4294424.4009999996</v>
          </cell>
          <cell r="U318">
            <v>479752.07200000004</v>
          </cell>
          <cell r="V318">
            <v>0</v>
          </cell>
          <cell r="W318">
            <v>2577789.9179999996</v>
          </cell>
          <cell r="X318">
            <v>20053773.943999998</v>
          </cell>
          <cell r="Y318">
            <v>1303731.2339999999</v>
          </cell>
          <cell r="Z318">
            <v>7134229.5500000007</v>
          </cell>
          <cell r="AA318">
            <v>1251575.47</v>
          </cell>
          <cell r="AB318">
            <v>5812792.7479999997</v>
          </cell>
          <cell r="AC318">
            <v>4551444.9419999998</v>
          </cell>
          <cell r="AD318">
            <v>3746.4580000000005</v>
          </cell>
          <cell r="AE318">
            <v>79727721.017000005</v>
          </cell>
          <cell r="AF318">
            <v>47272206.901000001</v>
          </cell>
          <cell r="AG318">
            <v>32455514.116</v>
          </cell>
          <cell r="AH318">
            <v>409019638.21639997</v>
          </cell>
          <cell r="AI318">
            <v>313908329.75040001</v>
          </cell>
          <cell r="AJ318">
            <v>311274045.65939999</v>
          </cell>
          <cell r="AK318">
            <v>68257736.975999996</v>
          </cell>
          <cell r="AL318">
            <v>26421365.265000001</v>
          </cell>
          <cell r="AM318">
            <v>246777531.20840001</v>
          </cell>
          <cell r="AN318">
            <v>0</v>
          </cell>
          <cell r="AO318">
            <v>110736674.32600001</v>
          </cell>
          <cell r="AP318">
            <v>0</v>
          </cell>
          <cell r="AQ318">
            <v>49054544.843000002</v>
          </cell>
          <cell r="AR318">
            <v>0</v>
          </cell>
          <cell r="AS318">
            <v>6950095.3930000011</v>
          </cell>
          <cell r="AT318">
            <v>2634284.0910000005</v>
          </cell>
          <cell r="AU318">
            <v>4315811.3020000001</v>
          </cell>
          <cell r="AV318">
            <v>80036216.64639999</v>
          </cell>
          <cell r="AW318">
            <v>0</v>
          </cell>
          <cell r="AX318">
            <v>8700123.2104000002</v>
          </cell>
          <cell r="AY318">
            <v>14839310.039000001</v>
          </cell>
          <cell r="AZ318">
            <v>0</v>
          </cell>
          <cell r="BA318">
            <v>9981967.5030000005</v>
          </cell>
          <cell r="BB318">
            <v>166288892.35299999</v>
          </cell>
          <cell r="BC318">
            <v>75493395.188999996</v>
          </cell>
          <cell r="BD318">
            <v>14911916.293</v>
          </cell>
          <cell r="BE318">
            <v>0</v>
          </cell>
          <cell r="BF318">
            <v>2454364.548</v>
          </cell>
          <cell r="BG318">
            <v>0</v>
          </cell>
          <cell r="BH318">
            <v>88341132.615999997</v>
          </cell>
          <cell r="BI318">
            <v>47272206.901000001</v>
          </cell>
          <cell r="BJ318">
            <v>41068925.715000004</v>
          </cell>
          <cell r="BK318">
            <v>-4046785.3450000002</v>
          </cell>
          <cell r="BL318">
            <v>-1065762.659</v>
          </cell>
          <cell r="BM318">
            <v>-2981022.6860000002</v>
          </cell>
          <cell r="BN318">
            <v>-65085973.648399949</v>
          </cell>
          <cell r="BO318">
            <v>-144813694.66539997</v>
          </cell>
          <cell r="BP318">
            <v>-137863599.27239996</v>
          </cell>
          <cell r="BQ318">
            <v>-56472562.049399972</v>
          </cell>
          <cell r="BR318">
            <v>33778717.057412073</v>
          </cell>
          <cell r="BS318">
            <v>3601879.5289999796</v>
          </cell>
          <cell r="BT318">
            <v>3601879.5289999796</v>
          </cell>
          <cell r="BU318">
            <v>0</v>
          </cell>
          <cell r="BV318">
            <v>19120876.428000048</v>
          </cell>
          <cell r="BW318">
            <v>0</v>
          </cell>
          <cell r="BX318">
            <v>21574677.454412047</v>
          </cell>
          <cell r="BY318">
            <v>-10518716.354</v>
          </cell>
          <cell r="BZ318">
            <v>-31307256.590987876</v>
          </cell>
          <cell r="CA318">
            <v>-111034977.60798788</v>
          </cell>
          <cell r="CB318">
            <v>35938345.261000007</v>
          </cell>
          <cell r="CC318">
            <v>33549606.164000005</v>
          </cell>
          <cell r="CD318">
            <v>41068925.715000004</v>
          </cell>
          <cell r="CE318">
            <v>41068925.715000004</v>
          </cell>
          <cell r="CF318">
            <v>0</v>
          </cell>
          <cell r="CG318">
            <v>0</v>
          </cell>
          <cell r="CH318">
            <v>-7519319.551</v>
          </cell>
          <cell r="CI318">
            <v>0</v>
          </cell>
          <cell r="CJ318">
            <v>2388739.0970000029</v>
          </cell>
          <cell r="CK318">
            <v>-46543383.851999998</v>
          </cell>
          <cell r="CL318">
            <v>-36177227.976999998</v>
          </cell>
          <cell r="CM318">
            <v>2900100</v>
          </cell>
          <cell r="CN318">
            <v>2900100</v>
          </cell>
          <cell r="CO318">
            <v>0</v>
          </cell>
          <cell r="CP318">
            <v>-39077327.976999998</v>
          </cell>
          <cell r="CQ318">
            <v>0</v>
          </cell>
          <cell r="CR318">
            <v>-1780827.977</v>
          </cell>
          <cell r="CS318">
            <v>-139800</v>
          </cell>
          <cell r="CT318">
            <v>0</v>
          </cell>
          <cell r="CU318">
            <v>-37156700</v>
          </cell>
          <cell r="CV318">
            <v>0</v>
          </cell>
          <cell r="CW318">
            <v>0</v>
          </cell>
          <cell r="CX318">
            <v>-4353125.034</v>
          </cell>
          <cell r="CY318">
            <v>-65785.487999999998</v>
          </cell>
          <cell r="CZ318">
            <v>-4317493.5640000002</v>
          </cell>
          <cell r="DA318">
            <v>0</v>
          </cell>
          <cell r="DB318">
            <v>-453846.16399999999</v>
          </cell>
          <cell r="DC318">
            <v>-3863647.4000000004</v>
          </cell>
          <cell r="DD318">
            <v>30154.017999999978</v>
          </cell>
          <cell r="DE318">
            <v>-6013030.8409999982</v>
          </cell>
          <cell r="DF318">
            <v>0</v>
          </cell>
          <cell r="DG318">
            <v>-6750179.3619999997</v>
          </cell>
          <cell r="DH318">
            <v>737148.52100000158</v>
          </cell>
          <cell r="DI318">
            <v>48932122.949000001</v>
          </cell>
          <cell r="DJ318">
            <v>38501098</v>
          </cell>
          <cell r="DK318">
            <v>0</v>
          </cell>
          <cell r="DL318">
            <v>0</v>
          </cell>
          <cell r="DM318">
            <v>53501098</v>
          </cell>
          <cell r="DN318">
            <v>-15000000</v>
          </cell>
          <cell r="DO318">
            <v>-13500000</v>
          </cell>
          <cell r="DP318">
            <v>-4692004.1569999997</v>
          </cell>
          <cell r="DQ318">
            <v>-493198.41</v>
          </cell>
          <cell r="DR318">
            <v>28623029.105999999</v>
          </cell>
          <cell r="DS318">
            <v>0</v>
          </cell>
          <cell r="DT318">
            <v>-4631088.6700121313</v>
          </cell>
          <cell r="DU318">
            <v>24240588.086000003</v>
          </cell>
          <cell r="DV318">
            <v>17290492.693</v>
          </cell>
          <cell r="DW318">
            <v>6950095.3930000011</v>
          </cell>
          <cell r="DX318">
            <v>12405457.232999999</v>
          </cell>
          <cell r="DY318">
            <v>9771173.1419999991</v>
          </cell>
          <cell r="DZ318">
            <v>2634284.0910000005</v>
          </cell>
          <cell r="EA318">
            <v>11835130.853</v>
          </cell>
          <cell r="EB318">
            <v>7519319.551</v>
          </cell>
          <cell r="EC318">
            <v>4315811.3020000001</v>
          </cell>
          <cell r="EF318">
            <v>38</v>
          </cell>
        </row>
        <row r="319">
          <cell r="E319">
            <v>40069.375</v>
          </cell>
          <cell r="F319">
            <v>564799365.40799999</v>
          </cell>
          <cell r="G319">
            <v>392086381.46100003</v>
          </cell>
          <cell r="H319">
            <v>392082503.838</v>
          </cell>
          <cell r="I319">
            <v>359377651.32800001</v>
          </cell>
          <cell r="J319">
            <v>84899733.283999994</v>
          </cell>
          <cell r="K319">
            <v>41759876.421000004</v>
          </cell>
          <cell r="L319">
            <v>4371280.9179999996</v>
          </cell>
          <cell r="M319">
            <v>2283870.676</v>
          </cell>
          <cell r="N319">
            <v>200434284.93399999</v>
          </cell>
          <cell r="O319">
            <v>150799913.778</v>
          </cell>
          <cell r="P319">
            <v>20622397.359000001</v>
          </cell>
          <cell r="Q319">
            <v>29011973.797000002</v>
          </cell>
          <cell r="R319">
            <v>63628793.127999999</v>
          </cell>
          <cell r="S319">
            <v>56435444.914999999</v>
          </cell>
          <cell r="T319">
            <v>6608554.5899999999</v>
          </cell>
          <cell r="U319">
            <v>584793.62300000002</v>
          </cell>
          <cell r="V319">
            <v>0</v>
          </cell>
          <cell r="W319">
            <v>3759688.3879999998</v>
          </cell>
          <cell r="X319">
            <v>32704852.509999998</v>
          </cell>
          <cell r="Y319">
            <v>2021505.4180000001</v>
          </cell>
          <cell r="Z319">
            <v>10485510.848999999</v>
          </cell>
          <cell r="AA319">
            <v>1828201.6840000001</v>
          </cell>
          <cell r="AB319">
            <v>9045775.8509999979</v>
          </cell>
          <cell r="AC319">
            <v>9323858.7080000006</v>
          </cell>
          <cell r="AD319">
            <v>3877.6230000000005</v>
          </cell>
          <cell r="AE319">
            <v>172712983.947</v>
          </cell>
          <cell r="AF319">
            <v>78366247.677000001</v>
          </cell>
          <cell r="AG319">
            <v>94346736.269999996</v>
          </cell>
          <cell r="AH319">
            <v>647263940.0029</v>
          </cell>
          <cell r="AI319">
            <v>476175179.08090001</v>
          </cell>
          <cell r="AJ319">
            <v>468436194.76489997</v>
          </cell>
          <cell r="AK319">
            <v>111508403.78199999</v>
          </cell>
          <cell r="AL319">
            <v>39487195.476999998</v>
          </cell>
          <cell r="AM319">
            <v>362645966.19490004</v>
          </cell>
          <cell r="AN319">
            <v>0</v>
          </cell>
          <cell r="AO319">
            <v>166594822.83500001</v>
          </cell>
          <cell r="AP319">
            <v>0</v>
          </cell>
          <cell r="AQ319">
            <v>70137696.207000002</v>
          </cell>
          <cell r="AR319">
            <v>0</v>
          </cell>
          <cell r="AS319">
            <v>13047991.244000003</v>
          </cell>
          <cell r="AT319">
            <v>7738984.3160000006</v>
          </cell>
          <cell r="AU319">
            <v>5309006.9280000012</v>
          </cell>
          <cell r="AV319">
            <v>112865455.90889999</v>
          </cell>
          <cell r="AW319">
            <v>0</v>
          </cell>
          <cell r="AX319">
            <v>9337799.6839000005</v>
          </cell>
          <cell r="AY319">
            <v>24041879.690000001</v>
          </cell>
          <cell r="AZ319">
            <v>0</v>
          </cell>
          <cell r="BA319">
            <v>13376344.966</v>
          </cell>
          <cell r="BB319">
            <v>288713755.30999994</v>
          </cell>
          <cell r="BC319">
            <v>122934001.316</v>
          </cell>
          <cell r="BD319">
            <v>21849567.177999996</v>
          </cell>
          <cell r="BE319">
            <v>0</v>
          </cell>
          <cell r="BF319">
            <v>4134111.372</v>
          </cell>
          <cell r="BG319">
            <v>0</v>
          </cell>
          <cell r="BH319">
            <v>161645642.62199998</v>
          </cell>
          <cell r="BI319">
            <v>78366247.677000001</v>
          </cell>
          <cell r="BJ319">
            <v>83279394.944999993</v>
          </cell>
          <cell r="BK319">
            <v>-4095781.5020000013</v>
          </cell>
          <cell r="BL319">
            <v>-1205710.0050000001</v>
          </cell>
          <cell r="BM319">
            <v>-2890071.4970000014</v>
          </cell>
          <cell r="BN319">
            <v>-82464574.594900012</v>
          </cell>
          <cell r="BO319">
            <v>-255177558.54190001</v>
          </cell>
          <cell r="BP319">
            <v>-242129567.29790002</v>
          </cell>
          <cell r="BQ319">
            <v>-93531915.9199</v>
          </cell>
          <cell r="BR319">
            <v>16882795.726412077</v>
          </cell>
          <cell r="BS319">
            <v>-244074.3910000287</v>
          </cell>
          <cell r="BT319">
            <v>-244074.3910000287</v>
          </cell>
          <cell r="BU319">
            <v>0</v>
          </cell>
          <cell r="BV319">
            <v>35661865.905000053</v>
          </cell>
          <cell r="BW319">
            <v>0</v>
          </cell>
          <cell r="BX319">
            <v>-8759629.3595879544</v>
          </cell>
          <cell r="BY319">
            <v>-9775366.4279999994</v>
          </cell>
          <cell r="BZ319">
            <v>-65581778.868487939</v>
          </cell>
          <cell r="CA319">
            <v>-238294762.81548792</v>
          </cell>
          <cell r="CB319">
            <v>68141101.486000016</v>
          </cell>
          <cell r="CC319">
            <v>87712866.262000009</v>
          </cell>
          <cell r="CD319">
            <v>97759252.146000013</v>
          </cell>
          <cell r="CE319">
            <v>83279394.945000008</v>
          </cell>
          <cell r="CF319">
            <v>14479857.200999999</v>
          </cell>
          <cell r="CG319">
            <v>0</v>
          </cell>
          <cell r="CH319">
            <v>-10046385.884</v>
          </cell>
          <cell r="CI319">
            <v>0</v>
          </cell>
          <cell r="CJ319">
            <v>-19571764.775999993</v>
          </cell>
          <cell r="CK319">
            <v>-57570159.888999991</v>
          </cell>
          <cell r="CL319">
            <v>-79653671.607999995</v>
          </cell>
          <cell r="CM319">
            <v>35495100</v>
          </cell>
          <cell r="CN319">
            <v>35495100</v>
          </cell>
          <cell r="CO319">
            <v>0</v>
          </cell>
          <cell r="CP319">
            <v>-115148771.608</v>
          </cell>
          <cell r="CQ319">
            <v>0</v>
          </cell>
          <cell r="CR319">
            <v>-2681271.608</v>
          </cell>
          <cell r="CS319">
            <v>-150600</v>
          </cell>
          <cell r="CT319">
            <v>0</v>
          </cell>
          <cell r="CU319">
            <v>-112316900</v>
          </cell>
          <cell r="CV319">
            <v>0</v>
          </cell>
          <cell r="CW319">
            <v>0</v>
          </cell>
          <cell r="CX319">
            <v>30662340.093000002</v>
          </cell>
          <cell r="CY319">
            <v>-222320.20500000002</v>
          </cell>
          <cell r="CZ319">
            <v>29687051.835999999</v>
          </cell>
          <cell r="DA319">
            <v>0</v>
          </cell>
          <cell r="DB319">
            <v>-453846.16399999999</v>
          </cell>
          <cell r="DC319">
            <v>30140898</v>
          </cell>
          <cell r="DD319">
            <v>1197608.4620000001</v>
          </cell>
          <cell r="DE319">
            <v>-8578828.373999998</v>
          </cell>
          <cell r="DF319">
            <v>0</v>
          </cell>
          <cell r="DG319">
            <v>-6750179.3619999997</v>
          </cell>
          <cell r="DH319">
            <v>-1828649.0119999982</v>
          </cell>
          <cell r="DI319">
            <v>37998395.112999998</v>
          </cell>
          <cell r="DJ319">
            <v>30072796</v>
          </cell>
          <cell r="DK319">
            <v>0</v>
          </cell>
          <cell r="DL319">
            <v>0</v>
          </cell>
          <cell r="DM319">
            <v>55451098</v>
          </cell>
          <cell r="DN319">
            <v>-25378302</v>
          </cell>
          <cell r="DO319">
            <v>-13500000</v>
          </cell>
          <cell r="DP319">
            <v>-7197429.9930000007</v>
          </cell>
          <cell r="DQ319">
            <v>-493198.41</v>
          </cell>
          <cell r="DR319">
            <v>28623029.105999999</v>
          </cell>
          <cell r="DS319">
            <v>0</v>
          </cell>
          <cell r="DT319">
            <v>-2559322.6175120771</v>
          </cell>
          <cell r="DU319">
            <v>36427954.454000004</v>
          </cell>
          <cell r="DV319">
            <v>23379963.210000001</v>
          </cell>
          <cell r="DW319">
            <v>13047991.244000003</v>
          </cell>
          <cell r="DX319">
            <v>21072561.642000001</v>
          </cell>
          <cell r="DY319">
            <v>13333577.325999999</v>
          </cell>
          <cell r="DZ319">
            <v>7738984.3160000006</v>
          </cell>
          <cell r="EA319">
            <v>15355392.812000001</v>
          </cell>
          <cell r="EB319">
            <v>10046385.884</v>
          </cell>
          <cell r="EC319">
            <v>5309006.9280000012</v>
          </cell>
          <cell r="EF319">
            <v>39</v>
          </cell>
        </row>
        <row r="320">
          <cell r="E320">
            <v>40160.6875</v>
          </cell>
          <cell r="F320">
            <v>771523641.87599993</v>
          </cell>
          <cell r="G320">
            <v>539095255.45399988</v>
          </cell>
          <cell r="H320">
            <v>539091338.72299993</v>
          </cell>
          <cell r="I320">
            <v>494578784.54999989</v>
          </cell>
          <cell r="J320">
            <v>106686379.778</v>
          </cell>
          <cell r="K320">
            <v>48844655.973999999</v>
          </cell>
          <cell r="L320">
            <v>6243252.4079999998</v>
          </cell>
          <cell r="M320">
            <v>3487125.7019999996</v>
          </cell>
          <cell r="N320">
            <v>282942741.93699998</v>
          </cell>
          <cell r="O320">
            <v>214409013.417</v>
          </cell>
          <cell r="P320">
            <v>28043699.026000001</v>
          </cell>
          <cell r="Q320">
            <v>40490029.494000003</v>
          </cell>
          <cell r="R320">
            <v>89729070.288000003</v>
          </cell>
          <cell r="S320">
            <v>79668371.422000006</v>
          </cell>
          <cell r="T320">
            <v>9356594.2180000003</v>
          </cell>
          <cell r="U320">
            <v>704104.64799999993</v>
          </cell>
          <cell r="V320">
            <v>0</v>
          </cell>
          <cell r="W320">
            <v>5490214.436999999</v>
          </cell>
          <cell r="X320">
            <v>44512554.172999993</v>
          </cell>
          <cell r="Y320">
            <v>2766417.2080000001</v>
          </cell>
          <cell r="Z320">
            <v>14442049.429</v>
          </cell>
          <cell r="AA320">
            <v>2713455.4249999998</v>
          </cell>
          <cell r="AB320">
            <v>9561119.4339999966</v>
          </cell>
          <cell r="AC320">
            <v>15029512.677000001</v>
          </cell>
          <cell r="AD320">
            <v>3916.7310000000007</v>
          </cell>
          <cell r="AE320">
            <v>232428386.42200002</v>
          </cell>
          <cell r="AF320">
            <v>86924439.897000015</v>
          </cell>
          <cell r="AG320">
            <v>145503946.52500001</v>
          </cell>
          <cell r="AH320">
            <v>959595011.11559999</v>
          </cell>
          <cell r="AI320">
            <v>729087890.51260006</v>
          </cell>
          <cell r="AJ320">
            <v>720966154.4605999</v>
          </cell>
          <cell r="AK320">
            <v>155412735.11500001</v>
          </cell>
          <cell r="AL320">
            <v>60090075.931999989</v>
          </cell>
          <cell r="AM320">
            <v>499074562.36659998</v>
          </cell>
          <cell r="AN320">
            <v>0</v>
          </cell>
          <cell r="AO320">
            <v>228436133</v>
          </cell>
          <cell r="AP320">
            <v>0</v>
          </cell>
          <cell r="AQ320">
            <v>95120137.459000006</v>
          </cell>
          <cell r="AR320">
            <v>0</v>
          </cell>
          <cell r="AS320">
            <v>16870967.228000004</v>
          </cell>
          <cell r="AT320">
            <v>8121736.0520000001</v>
          </cell>
          <cell r="AU320">
            <v>8749231.1760000028</v>
          </cell>
          <cell r="AV320">
            <v>158647324.6796</v>
          </cell>
          <cell r="AW320">
            <v>0</v>
          </cell>
          <cell r="AX320">
            <v>10169179.8506</v>
          </cell>
          <cell r="AY320">
            <v>30732332.412999999</v>
          </cell>
          <cell r="AZ320">
            <v>0</v>
          </cell>
          <cell r="BA320">
            <v>14612144.275</v>
          </cell>
          <cell r="BB320">
            <v>457364172.33899999</v>
          </cell>
          <cell r="BC320">
            <v>235606282.912</v>
          </cell>
          <cell r="BD320">
            <v>36453056.870999992</v>
          </cell>
          <cell r="BE320">
            <v>0</v>
          </cell>
          <cell r="BF320">
            <v>25423713.083999999</v>
          </cell>
          <cell r="BG320">
            <v>0</v>
          </cell>
          <cell r="BH320">
            <v>196334176.34299999</v>
          </cell>
          <cell r="BI320">
            <v>86924439.897000015</v>
          </cell>
          <cell r="BJ320">
            <v>109409736.44599998</v>
          </cell>
          <cell r="BK320">
            <v>3156276.4099999988</v>
          </cell>
          <cell r="BL320">
            <v>-2466720.997</v>
          </cell>
          <cell r="BM320">
            <v>5622997.4069999987</v>
          </cell>
          <cell r="BN320">
            <v>-188071369.23960006</v>
          </cell>
          <cell r="BO320">
            <v>-420499755.66160011</v>
          </cell>
          <cell r="BP320">
            <v>-403628788.43360007</v>
          </cell>
          <cell r="BQ320">
            <v>-224165579.31860006</v>
          </cell>
          <cell r="BR320">
            <v>95474026.419412106</v>
          </cell>
          <cell r="BS320">
            <v>63599155.720999993</v>
          </cell>
          <cell r="BT320">
            <v>63599155.720999993</v>
          </cell>
          <cell r="BU320">
            <v>0</v>
          </cell>
          <cell r="BV320">
            <v>56142719.881000057</v>
          </cell>
          <cell r="BW320">
            <v>-16700651.155999999</v>
          </cell>
          <cell r="BX320">
            <v>4055517.6924120458</v>
          </cell>
          <cell r="BY320">
            <v>-11622715.718999997</v>
          </cell>
          <cell r="BZ320">
            <v>-92597342.820187956</v>
          </cell>
          <cell r="CA320">
            <v>-325025729.24218798</v>
          </cell>
          <cell r="CB320">
            <v>93654884.721000016</v>
          </cell>
          <cell r="CC320">
            <v>109562809.90200001</v>
          </cell>
          <cell r="CD320">
            <v>123889593.64700001</v>
          </cell>
          <cell r="CE320">
            <v>109409736.44600001</v>
          </cell>
          <cell r="CF320">
            <v>14479857.200999999</v>
          </cell>
          <cell r="CG320">
            <v>0</v>
          </cell>
          <cell r="CH320">
            <v>-14326783.744999999</v>
          </cell>
          <cell r="CI320">
            <v>0</v>
          </cell>
          <cell r="CJ320">
            <v>-15907925.180999994</v>
          </cell>
          <cell r="CK320">
            <v>-44034343.665999994</v>
          </cell>
          <cell r="CL320">
            <v>-61745317.355999991</v>
          </cell>
          <cell r="CM320">
            <v>35495100</v>
          </cell>
          <cell r="CN320">
            <v>35495100</v>
          </cell>
          <cell r="CO320">
            <v>0</v>
          </cell>
          <cell r="CP320">
            <v>-97240417.355999991</v>
          </cell>
          <cell r="CQ320">
            <v>0</v>
          </cell>
          <cell r="CR320">
            <v>-3588468.5559999999</v>
          </cell>
          <cell r="CS320">
            <v>384970</v>
          </cell>
          <cell r="CT320">
            <v>0</v>
          </cell>
          <cell r="CU320">
            <v>-94036918.799999997</v>
          </cell>
          <cell r="CV320">
            <v>0</v>
          </cell>
          <cell r="CW320">
            <v>0</v>
          </cell>
          <cell r="CX320">
            <v>29677463.279999997</v>
          </cell>
          <cell r="CY320">
            <v>-255212.94900000002</v>
          </cell>
          <cell r="CZ320">
            <v>29687051.835999999</v>
          </cell>
          <cell r="DA320">
            <v>0</v>
          </cell>
          <cell r="DB320">
            <v>-453846.16399999999</v>
          </cell>
          <cell r="DC320">
            <v>30140898</v>
          </cell>
          <cell r="DD320">
            <v>245624.3930000001</v>
          </cell>
          <cell r="DE320">
            <v>-11966489.589999996</v>
          </cell>
          <cell r="DF320">
            <v>0</v>
          </cell>
          <cell r="DG320">
            <v>-6750179.3619999997</v>
          </cell>
          <cell r="DH320">
            <v>-5216310.2279999964</v>
          </cell>
          <cell r="DI320">
            <v>28126418.484999999</v>
          </cell>
          <cell r="DJ320">
            <v>30072796</v>
          </cell>
          <cell r="DK320">
            <v>0</v>
          </cell>
          <cell r="DL320">
            <v>0</v>
          </cell>
          <cell r="DM320">
            <v>55451098</v>
          </cell>
          <cell r="DN320">
            <v>-25378302</v>
          </cell>
          <cell r="DO320">
            <v>-20000000</v>
          </cell>
          <cell r="DP320">
            <v>-12077961.225999998</v>
          </cell>
          <cell r="DQ320">
            <v>-986396.82</v>
          </cell>
          <cell r="DR320">
            <v>30131583.710999999</v>
          </cell>
          <cell r="DS320">
            <v>0</v>
          </cell>
          <cell r="DT320">
            <v>-1057541.9008120596</v>
          </cell>
          <cell r="DU320">
            <v>50351949.224000007</v>
          </cell>
          <cell r="DV320">
            <v>33480981.995999999</v>
          </cell>
          <cell r="DW320">
            <v>16870967.228000004</v>
          </cell>
          <cell r="DX320">
            <v>27275934.302999999</v>
          </cell>
          <cell r="DY320">
            <v>19154198.250999998</v>
          </cell>
          <cell r="DZ320">
            <v>8121736.0520000001</v>
          </cell>
          <cell r="EA320">
            <v>23076014.921000004</v>
          </cell>
          <cell r="EB320">
            <v>14326783.744999999</v>
          </cell>
          <cell r="EC320">
            <v>8749231.1760000028</v>
          </cell>
          <cell r="EF320">
            <v>40</v>
          </cell>
        </row>
        <row r="321">
          <cell r="E321">
            <v>40252</v>
          </cell>
          <cell r="F321">
            <v>150900928.02199998</v>
          </cell>
          <cell r="G321">
            <v>132867403.95499998</v>
          </cell>
          <cell r="H321">
            <v>132867367.90199998</v>
          </cell>
          <cell r="I321">
            <v>124289843.15899998</v>
          </cell>
          <cell r="J321">
            <v>26131307.557999998</v>
          </cell>
          <cell r="K321">
            <v>9738620.8320000004</v>
          </cell>
          <cell r="L321">
            <v>1612096.8090000001</v>
          </cell>
          <cell r="M321">
            <v>762343.51799999992</v>
          </cell>
          <cell r="N321">
            <v>72574446.682999998</v>
          </cell>
          <cell r="O321">
            <v>54651435.203000002</v>
          </cell>
          <cell r="P321">
            <v>7041711.3259999994</v>
          </cell>
          <cell r="Q321">
            <v>10881300.153999999</v>
          </cell>
          <cell r="R321">
            <v>21925376.476</v>
          </cell>
          <cell r="S321">
            <v>19430835.417999998</v>
          </cell>
          <cell r="T321">
            <v>2389509.9249999998</v>
          </cell>
          <cell r="U321">
            <v>105031.133</v>
          </cell>
          <cell r="V321">
            <v>0</v>
          </cell>
          <cell r="W321">
            <v>1284272.115</v>
          </cell>
          <cell r="X321">
            <v>8577524.7429999989</v>
          </cell>
          <cell r="Y321">
            <v>625775.08799999999</v>
          </cell>
          <cell r="Z321">
            <v>4583970.2359999996</v>
          </cell>
          <cell r="AA321">
            <v>556051.20400000003</v>
          </cell>
          <cell r="AB321">
            <v>113</v>
          </cell>
          <cell r="AC321">
            <v>2811615.2149999999</v>
          </cell>
          <cell r="AD321">
            <v>36.052999999999997</v>
          </cell>
          <cell r="AE321">
            <v>18033524.067000002</v>
          </cell>
          <cell r="AF321">
            <v>13643524.067</v>
          </cell>
          <cell r="AG321">
            <v>4390000</v>
          </cell>
          <cell r="AH321">
            <v>235141730.25584966</v>
          </cell>
          <cell r="AI321">
            <v>152255672.71184969</v>
          </cell>
          <cell r="AJ321">
            <v>150539907.29760003</v>
          </cell>
          <cell r="AK321">
            <v>38053699.847999997</v>
          </cell>
          <cell r="AL321">
            <v>11998954.75</v>
          </cell>
          <cell r="AM321">
            <v>123773740.18484968</v>
          </cell>
          <cell r="AN321">
            <v>0</v>
          </cell>
          <cell r="AO321">
            <v>54018863.681000002</v>
          </cell>
          <cell r="AP321">
            <v>0</v>
          </cell>
          <cell r="AQ321">
            <v>24356873.486000001</v>
          </cell>
          <cell r="AR321">
            <v>0</v>
          </cell>
          <cell r="AS321">
            <v>3001832.9402496931</v>
          </cell>
          <cell r="AT321">
            <v>1715765.414249693</v>
          </cell>
          <cell r="AU321">
            <v>1286067.5260000001</v>
          </cell>
          <cell r="AV321">
            <v>42396170.077599995</v>
          </cell>
          <cell r="AW321">
            <v>0</v>
          </cell>
          <cell r="AX321">
            <v>7553662.1326000001</v>
          </cell>
          <cell r="AY321">
            <v>8995230.2180000003</v>
          </cell>
          <cell r="AZ321">
            <v>0</v>
          </cell>
          <cell r="BA321">
            <v>2765386.6089999997</v>
          </cell>
          <cell r="BB321">
            <v>75659369.135000005</v>
          </cell>
          <cell r="BC321">
            <v>30700969.727000002</v>
          </cell>
          <cell r="BD321">
            <v>2756084.7090000003</v>
          </cell>
          <cell r="BE321">
            <v>0</v>
          </cell>
          <cell r="BF321">
            <v>12250</v>
          </cell>
          <cell r="BG321">
            <v>0</v>
          </cell>
          <cell r="BH321">
            <v>44946149.408</v>
          </cell>
          <cell r="BI321">
            <v>13643524.067</v>
          </cell>
          <cell r="BJ321">
            <v>31302625.340999998</v>
          </cell>
          <cell r="BK321">
            <v>-932969.6739999993</v>
          </cell>
          <cell r="BL321">
            <v>-832845.701</v>
          </cell>
          <cell r="BM321">
            <v>-100123.9729999993</v>
          </cell>
          <cell r="BN321">
            <v>-84240802.233849674</v>
          </cell>
          <cell r="BO321">
            <v>-102274326.30084968</v>
          </cell>
          <cell r="BP321">
            <v>-99272493.360599995</v>
          </cell>
          <cell r="BQ321">
            <v>-57328176.892849684</v>
          </cell>
          <cell r="BR321">
            <v>-20820456.181333363</v>
          </cell>
          <cell r="BS321">
            <v>-67537236.779000029</v>
          </cell>
          <cell r="BT321">
            <v>-67537236.779000029</v>
          </cell>
          <cell r="BU321">
            <v>0</v>
          </cell>
          <cell r="BV321">
            <v>-28620028.081333324</v>
          </cell>
          <cell r="BW321">
            <v>0</v>
          </cell>
          <cell r="BX321">
            <v>75336808.67899999</v>
          </cell>
          <cell r="BY321">
            <v>0</v>
          </cell>
          <cell r="BZ321">
            <v>-105061258.41518304</v>
          </cell>
          <cell r="CA321">
            <v>-123094782.48218304</v>
          </cell>
          <cell r="CB321">
            <v>111158087.02669862</v>
          </cell>
          <cell r="CC321">
            <v>29289341.500999998</v>
          </cell>
          <cell r="CD321">
            <v>31302625.340999998</v>
          </cell>
          <cell r="CE321">
            <v>31302625.340999998</v>
          </cell>
          <cell r="CF321">
            <v>0</v>
          </cell>
          <cell r="CG321">
            <v>0</v>
          </cell>
          <cell r="CH321">
            <v>-2013283.8399999999</v>
          </cell>
          <cell r="CI321">
            <v>0</v>
          </cell>
          <cell r="CJ321">
            <v>81868745.525698617</v>
          </cell>
          <cell r="CK321">
            <v>72106954.503860384</v>
          </cell>
          <cell r="CL321">
            <v>58405757.878000006</v>
          </cell>
          <cell r="CM321">
            <v>24380000</v>
          </cell>
          <cell r="CN321">
            <v>24380000</v>
          </cell>
          <cell r="CO321">
            <v>0</v>
          </cell>
          <cell r="CP321">
            <v>34025757.878000006</v>
          </cell>
          <cell r="CQ321">
            <v>0</v>
          </cell>
          <cell r="CR321">
            <v>-914000.92500000005</v>
          </cell>
          <cell r="CS321">
            <v>-517660</v>
          </cell>
          <cell r="CT321">
            <v>0</v>
          </cell>
          <cell r="CU321">
            <v>35457218.803000003</v>
          </cell>
          <cell r="CV321">
            <v>0</v>
          </cell>
          <cell r="CW321">
            <v>200</v>
          </cell>
          <cell r="CX321">
            <v>17759234.678860381</v>
          </cell>
          <cell r="CY321">
            <v>-42101.648000000001</v>
          </cell>
          <cell r="CZ321">
            <v>17797746.031860378</v>
          </cell>
          <cell r="DA321">
            <v>0</v>
          </cell>
          <cell r="DB321">
            <v>0</v>
          </cell>
          <cell r="DC321">
            <v>17797746.031860378</v>
          </cell>
          <cell r="DD321">
            <v>3590.2950000000128</v>
          </cell>
          <cell r="DE321">
            <v>-4058038.0530000031</v>
          </cell>
          <cell r="DF321">
            <v>0</v>
          </cell>
          <cell r="DG321">
            <v>0</v>
          </cell>
          <cell r="DH321">
            <v>-4058038.0530000031</v>
          </cell>
          <cell r="DI321">
            <v>9761791.0218382385</v>
          </cell>
          <cell r="DJ321">
            <v>10676979.257838238</v>
          </cell>
          <cell r="DK321">
            <v>0</v>
          </cell>
          <cell r="DL321">
            <v>0</v>
          </cell>
          <cell r="DM321">
            <v>10676979.257838238</v>
          </cell>
          <cell r="DN321">
            <v>0</v>
          </cell>
          <cell r="DO321">
            <v>0</v>
          </cell>
          <cell r="DP321">
            <v>-994412.72600000002</v>
          </cell>
          <cell r="DQ321">
            <v>-246599.20499999999</v>
          </cell>
          <cell r="DR321">
            <v>79224.490000000005</v>
          </cell>
          <cell r="DS321">
            <v>0</v>
          </cell>
          <cell r="DT321">
            <v>-6096828.6115155816</v>
          </cell>
          <cell r="DU321">
            <v>6965632.0792496931</v>
          </cell>
          <cell r="DV321">
            <v>3963799.139</v>
          </cell>
          <cell r="DW321">
            <v>3001832.9402496931</v>
          </cell>
          <cell r="DX321">
            <v>3666280.7132496932</v>
          </cell>
          <cell r="DY321">
            <v>1950515.2990000001</v>
          </cell>
          <cell r="DZ321">
            <v>1715765.414249693</v>
          </cell>
          <cell r="EA321">
            <v>3299351.3659999999</v>
          </cell>
          <cell r="EB321">
            <v>2013283.8399999999</v>
          </cell>
          <cell r="EC321">
            <v>1286067.5260000001</v>
          </cell>
          <cell r="EF321">
            <v>41</v>
          </cell>
        </row>
        <row r="322">
          <cell r="E322">
            <v>40343.3125</v>
          </cell>
          <cell r="F322">
            <v>365769747.62799996</v>
          </cell>
          <cell r="G322">
            <v>310940528.06799996</v>
          </cell>
          <cell r="H322">
            <v>310940376.81367248</v>
          </cell>
          <cell r="I322">
            <v>287012390.5682497</v>
          </cell>
          <cell r="J322">
            <v>82360474.117951661</v>
          </cell>
          <cell r="K322">
            <v>49734848.378445163</v>
          </cell>
          <cell r="L322">
            <v>3188396.6980483383</v>
          </cell>
          <cell r="M322">
            <v>1686586.3790000002</v>
          </cell>
          <cell r="N322">
            <v>151513157.37982154</v>
          </cell>
          <cell r="O322">
            <v>111409712.92461923</v>
          </cell>
          <cell r="P322">
            <v>15882056.995999997</v>
          </cell>
          <cell r="Q322">
            <v>24221387.459202312</v>
          </cell>
          <cell r="R322">
            <v>45382616.684999995</v>
          </cell>
          <cell r="S322">
            <v>40131388.957999997</v>
          </cell>
          <cell r="T322">
            <v>5034328.9340000004</v>
          </cell>
          <cell r="U322">
            <v>216898.79300000001</v>
          </cell>
          <cell r="V322">
            <v>0</v>
          </cell>
          <cell r="W322">
            <v>2881159.3084281771</v>
          </cell>
          <cell r="X322">
            <v>23927986.245422803</v>
          </cell>
          <cell r="Y322">
            <v>1351766.7110000001</v>
          </cell>
          <cell r="Z322">
            <v>9027745.8164228052</v>
          </cell>
          <cell r="AA322">
            <v>1280126.5220000001</v>
          </cell>
          <cell r="AB322">
            <v>609297.85699999996</v>
          </cell>
          <cell r="AC322">
            <v>11659049.339</v>
          </cell>
          <cell r="AD322">
            <v>151.25432748583847</v>
          </cell>
          <cell r="AE322">
            <v>54829219.560000002</v>
          </cell>
          <cell r="AF322">
            <v>25028823.425999999</v>
          </cell>
          <cell r="AG322">
            <v>29800396.134</v>
          </cell>
          <cell r="AH322">
            <v>516234400.9098497</v>
          </cell>
          <cell r="AI322">
            <v>347107060.03684968</v>
          </cell>
          <cell r="AJ322">
            <v>342314750.21560001</v>
          </cell>
          <cell r="AK322">
            <v>76839330.425999999</v>
          </cell>
          <cell r="AL322">
            <v>28662774.5</v>
          </cell>
          <cell r="AM322">
            <v>263900702.77284968</v>
          </cell>
          <cell r="AN322">
            <v>0</v>
          </cell>
          <cell r="AO322">
            <v>110646508.502</v>
          </cell>
          <cell r="AP322">
            <v>0</v>
          </cell>
          <cell r="AQ322">
            <v>52933568.104999997</v>
          </cell>
          <cell r="AR322">
            <v>0</v>
          </cell>
          <cell r="AS322">
            <v>9526341.3972496931</v>
          </cell>
          <cell r="AT322">
            <v>4792309.8212496927</v>
          </cell>
          <cell r="AU322">
            <v>4734031.5760000004</v>
          </cell>
          <cell r="AV322">
            <v>90794284.768599987</v>
          </cell>
          <cell r="AW322">
            <v>0</v>
          </cell>
          <cell r="AX322">
            <v>8929772.4076000005</v>
          </cell>
          <cell r="AY322">
            <v>17252369.570999999</v>
          </cell>
          <cell r="AZ322">
            <v>784595.94900000002</v>
          </cell>
          <cell r="BA322">
            <v>13959575.796</v>
          </cell>
          <cell r="BB322">
            <v>186842579.095</v>
          </cell>
          <cell r="BC322">
            <v>90139403.376000002</v>
          </cell>
          <cell r="BD322">
            <v>9295178.2369999997</v>
          </cell>
          <cell r="BE322">
            <v>0</v>
          </cell>
          <cell r="BF322">
            <v>499317.429</v>
          </cell>
          <cell r="BG322">
            <v>0</v>
          </cell>
          <cell r="BH322">
            <v>96203858.289999992</v>
          </cell>
          <cell r="BI322">
            <v>25028823.425999999</v>
          </cell>
          <cell r="BJ322">
            <v>71175034.863999993</v>
          </cell>
          <cell r="BK322">
            <v>-2199014.5359999994</v>
          </cell>
          <cell r="BL322">
            <v>-1722305.325</v>
          </cell>
          <cell r="BM322">
            <v>-476709.2109999992</v>
          </cell>
          <cell r="BN322">
            <v>-150464653.28184974</v>
          </cell>
          <cell r="BO322">
            <v>-205293872.84184974</v>
          </cell>
          <cell r="BP322">
            <v>-195767531.44460005</v>
          </cell>
          <cell r="BQ322">
            <v>-109090014.55184972</v>
          </cell>
          <cell r="BR322">
            <v>-16738989.857000023</v>
          </cell>
          <cell r="BS322">
            <v>-51693612.054000013</v>
          </cell>
          <cell r="BT322">
            <v>-51693612.054000013</v>
          </cell>
          <cell r="BU322">
            <v>0</v>
          </cell>
          <cell r="BV322">
            <v>-32531771.338999987</v>
          </cell>
          <cell r="BW322">
            <v>0</v>
          </cell>
          <cell r="BX322">
            <v>73682867.631999984</v>
          </cell>
          <cell r="BY322">
            <v>-6196474.0960000008</v>
          </cell>
          <cell r="BZ322">
            <v>-167203643.13884977</v>
          </cell>
          <cell r="CA322">
            <v>-222032862.69884977</v>
          </cell>
          <cell r="CB322">
            <v>169092858.99700001</v>
          </cell>
          <cell r="CC322">
            <v>64270327.556999996</v>
          </cell>
          <cell r="CD322">
            <v>71175034.863999993</v>
          </cell>
          <cell r="CE322">
            <v>71175034.863999993</v>
          </cell>
          <cell r="CF322">
            <v>0</v>
          </cell>
          <cell r="CG322">
            <v>0</v>
          </cell>
          <cell r="CH322">
            <v>-6904707.307</v>
          </cell>
          <cell r="CI322">
            <v>0</v>
          </cell>
          <cell r="CJ322">
            <v>104822531.44000001</v>
          </cell>
          <cell r="CK322">
            <v>97682370.082000017</v>
          </cell>
          <cell r="CL322">
            <v>73118351.94600001</v>
          </cell>
          <cell r="CM322">
            <v>24380000</v>
          </cell>
          <cell r="CN322">
            <v>24380000</v>
          </cell>
          <cell r="CO322">
            <v>0</v>
          </cell>
          <cell r="CP322">
            <v>48738351.946000002</v>
          </cell>
          <cell r="CQ322">
            <v>0</v>
          </cell>
          <cell r="CR322">
            <v>-9789056.8570000008</v>
          </cell>
          <cell r="CS322">
            <v>-2142600</v>
          </cell>
          <cell r="CT322">
            <v>0</v>
          </cell>
          <cell r="CU322">
            <v>60669808.803000003</v>
          </cell>
          <cell r="CV322">
            <v>0</v>
          </cell>
          <cell r="CW322">
            <v>200</v>
          </cell>
          <cell r="CX322">
            <v>35881571.472000003</v>
          </cell>
          <cell r="CY322">
            <v>-43252.760999999999</v>
          </cell>
          <cell r="CZ322">
            <v>35998107.256000005</v>
          </cell>
          <cell r="DA322">
            <v>0</v>
          </cell>
          <cell r="DB322">
            <v>-32892.743999999999</v>
          </cell>
          <cell r="DC322">
            <v>36031000.000000007</v>
          </cell>
          <cell r="DD322">
            <v>-73283.022999999972</v>
          </cell>
          <cell r="DE322">
            <v>-11317553.335999999</v>
          </cell>
          <cell r="DF322">
            <v>0</v>
          </cell>
          <cell r="DG322">
            <v>0</v>
          </cell>
          <cell r="DH322">
            <v>-11317553.335999999</v>
          </cell>
          <cell r="DI322">
            <v>7140161.3579999991</v>
          </cell>
          <cell r="DJ322">
            <v>7251999.9999999981</v>
          </cell>
          <cell r="DK322">
            <v>0</v>
          </cell>
          <cell r="DL322">
            <v>0</v>
          </cell>
          <cell r="DM322">
            <v>17928979.257838238</v>
          </cell>
          <cell r="DN322">
            <v>-10676979.25783824</v>
          </cell>
          <cell r="DO322">
            <v>0</v>
          </cell>
          <cell r="DP322">
            <v>-4781063.1319999993</v>
          </cell>
          <cell r="DQ322">
            <v>-493198.41</v>
          </cell>
          <cell r="DR322">
            <v>4669224.49</v>
          </cell>
          <cell r="DS322">
            <v>0</v>
          </cell>
          <cell r="DT322">
            <v>-1889215.8581502438</v>
          </cell>
          <cell r="DU322">
            <v>31077314.19824969</v>
          </cell>
          <cell r="DV322">
            <v>21550972.800999999</v>
          </cell>
          <cell r="DW322">
            <v>9526341.3972496931</v>
          </cell>
          <cell r="DX322">
            <v>19438575.315249693</v>
          </cell>
          <cell r="DY322">
            <v>14646265.494000001</v>
          </cell>
          <cell r="DZ322">
            <v>4792309.8212496927</v>
          </cell>
          <cell r="EA322">
            <v>11638738.883000001</v>
          </cell>
          <cell r="EB322">
            <v>6904707.307</v>
          </cell>
          <cell r="EC322">
            <v>4734031.5760000004</v>
          </cell>
          <cell r="EF322">
            <v>42</v>
          </cell>
        </row>
        <row r="323">
          <cell r="E323">
            <v>40434.625</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F323">
            <v>0</v>
          </cell>
        </row>
        <row r="324">
          <cell r="E324">
            <v>40525.9375</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F324">
            <v>0</v>
          </cell>
        </row>
        <row r="325">
          <cell r="E325">
            <v>40617.25</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F325">
            <v>0</v>
          </cell>
        </row>
        <row r="326">
          <cell r="E326">
            <v>40708.5625</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F326">
            <v>0</v>
          </cell>
        </row>
        <row r="327">
          <cell r="E327">
            <v>40799.875</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F327">
            <v>0</v>
          </cell>
        </row>
        <row r="328">
          <cell r="E328">
            <v>40891.1875</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F328">
            <v>0</v>
          </cell>
        </row>
        <row r="329">
          <cell r="E329">
            <v>40982.5</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F329">
            <v>0</v>
          </cell>
        </row>
        <row r="330">
          <cell r="E330">
            <v>41073.8125</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F330">
            <v>0</v>
          </cell>
        </row>
        <row r="331">
          <cell r="E331">
            <v>41165.125</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F331">
            <v>0</v>
          </cell>
        </row>
        <row r="332">
          <cell r="E332">
            <v>41256.4375</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F332">
            <v>0</v>
          </cell>
        </row>
        <row r="333">
          <cell r="E333">
            <v>41347.75</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F333">
            <v>0</v>
          </cell>
        </row>
        <row r="334">
          <cell r="E334">
            <v>41439.0625</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F334">
            <v>0</v>
          </cell>
        </row>
        <row r="335">
          <cell r="E335">
            <v>41530.375</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F335">
            <v>0</v>
          </cell>
        </row>
        <row r="336">
          <cell r="E336">
            <v>41621.6875</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F336">
            <v>0</v>
          </cell>
        </row>
        <row r="337">
          <cell r="E337">
            <v>41713</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F337">
            <v>0</v>
          </cell>
        </row>
        <row r="338">
          <cell r="E338">
            <v>41804.3125</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F338">
            <v>0</v>
          </cell>
        </row>
        <row r="339">
          <cell r="E339">
            <v>41895.625</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F339">
            <v>0</v>
          </cell>
        </row>
        <row r="340">
          <cell r="E340">
            <v>41986.9375</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F340">
            <v>0</v>
          </cell>
        </row>
        <row r="341">
          <cell r="E341">
            <v>42078.25</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F341">
            <v>0</v>
          </cell>
        </row>
        <row r="342">
          <cell r="E342">
            <v>42169.5625</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F342">
            <v>0</v>
          </cell>
        </row>
        <row r="343">
          <cell r="E343">
            <v>42260.875</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F343">
            <v>0</v>
          </cell>
        </row>
        <row r="344">
          <cell r="E344">
            <v>42352.1875</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F344">
            <v>0</v>
          </cell>
        </row>
        <row r="345">
          <cell r="E345">
            <v>42443.5</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F345">
            <v>0</v>
          </cell>
        </row>
        <row r="346">
          <cell r="E346">
            <v>42534.8125</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F346">
            <v>0</v>
          </cell>
        </row>
        <row r="347">
          <cell r="E347">
            <v>42626.125</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F347">
            <v>0</v>
          </cell>
        </row>
        <row r="348">
          <cell r="E348">
            <v>42717.4375</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F348">
            <v>0</v>
          </cell>
        </row>
        <row r="349">
          <cell r="E349">
            <v>42808.75</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F349">
            <v>0</v>
          </cell>
        </row>
        <row r="350">
          <cell r="E350">
            <v>42900.0625</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F350">
            <v>0</v>
          </cell>
        </row>
        <row r="351">
          <cell r="E351">
            <v>42991.375</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F351">
            <v>0</v>
          </cell>
        </row>
        <row r="352">
          <cell r="E352">
            <v>43082.6875</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F352">
            <v>0</v>
          </cell>
        </row>
      </sheetData>
      <sheetData sheetId="11">
        <row r="174">
          <cell r="E174">
            <v>37238.6875</v>
          </cell>
          <cell r="BW174">
            <v>1</v>
          </cell>
        </row>
        <row r="175">
          <cell r="E175">
            <v>37330</v>
          </cell>
          <cell r="BW175">
            <v>0</v>
          </cell>
        </row>
        <row r="176">
          <cell r="E176">
            <v>37421.3125</v>
          </cell>
          <cell r="BW176">
            <v>0</v>
          </cell>
        </row>
        <row r="177">
          <cell r="E177">
            <v>37512.625</v>
          </cell>
          <cell r="BW177">
            <v>4</v>
          </cell>
        </row>
        <row r="178">
          <cell r="E178">
            <v>37603.9375</v>
          </cell>
          <cell r="BW178">
            <v>0</v>
          </cell>
        </row>
        <row r="179">
          <cell r="E179">
            <v>37695.25</v>
          </cell>
          <cell r="BW179">
            <v>0</v>
          </cell>
        </row>
        <row r="180">
          <cell r="E180">
            <v>37786.5625</v>
          </cell>
          <cell r="BW180">
            <v>0</v>
          </cell>
        </row>
        <row r="181">
          <cell r="E181">
            <v>37877.875</v>
          </cell>
          <cell r="BW181">
            <v>8</v>
          </cell>
        </row>
        <row r="182">
          <cell r="E182">
            <v>37969.1875</v>
          </cell>
          <cell r="BW182">
            <v>0</v>
          </cell>
        </row>
        <row r="183">
          <cell r="E183">
            <v>38060.5</v>
          </cell>
          <cell r="BW183">
            <v>0</v>
          </cell>
        </row>
        <row r="184">
          <cell r="E184">
            <v>38151.8125</v>
          </cell>
          <cell r="BW184">
            <v>0</v>
          </cell>
        </row>
        <row r="185">
          <cell r="E185">
            <v>38243.125</v>
          </cell>
          <cell r="BW185">
            <v>0</v>
          </cell>
        </row>
        <row r="186">
          <cell r="E186">
            <v>38334.4375</v>
          </cell>
          <cell r="BW186">
            <v>0</v>
          </cell>
        </row>
        <row r="187">
          <cell r="E187">
            <v>38425.75</v>
          </cell>
          <cell r="BW187">
            <v>0</v>
          </cell>
        </row>
        <row r="188">
          <cell r="E188">
            <v>38517.0625</v>
          </cell>
          <cell r="BW188">
            <v>0</v>
          </cell>
        </row>
        <row r="189">
          <cell r="E189">
            <v>38608.375</v>
          </cell>
          <cell r="BW189">
            <v>0</v>
          </cell>
        </row>
        <row r="190">
          <cell r="E190">
            <v>38699.6875</v>
          </cell>
          <cell r="BW190">
            <v>0</v>
          </cell>
        </row>
        <row r="191">
          <cell r="E191">
            <v>38791</v>
          </cell>
          <cell r="BW191">
            <v>0</v>
          </cell>
        </row>
        <row r="192">
          <cell r="E192">
            <v>38882.3125</v>
          </cell>
          <cell r="BW192">
            <v>0</v>
          </cell>
        </row>
        <row r="193">
          <cell r="E193">
            <v>38973.625</v>
          </cell>
          <cell r="BW193">
            <v>0</v>
          </cell>
        </row>
        <row r="194">
          <cell r="E194">
            <v>39064.9375</v>
          </cell>
          <cell r="BW194">
            <v>0</v>
          </cell>
        </row>
        <row r="195">
          <cell r="E195">
            <v>39156.25</v>
          </cell>
          <cell r="BW195">
            <v>0</v>
          </cell>
        </row>
        <row r="196">
          <cell r="E196">
            <v>39247.5625</v>
          </cell>
          <cell r="BW196">
            <v>0</v>
          </cell>
        </row>
        <row r="197">
          <cell r="E197">
            <v>39338.875</v>
          </cell>
          <cell r="BW197">
            <v>0</v>
          </cell>
        </row>
        <row r="198">
          <cell r="E198">
            <v>39430.1875</v>
          </cell>
          <cell r="BW198">
            <v>0</v>
          </cell>
        </row>
        <row r="199">
          <cell r="E199">
            <v>39521.5</v>
          </cell>
          <cell r="BW199">
            <v>0</v>
          </cell>
        </row>
        <row r="200">
          <cell r="E200">
            <v>39612.8125</v>
          </cell>
          <cell r="BW200">
            <v>0</v>
          </cell>
        </row>
        <row r="201">
          <cell r="E201">
            <v>39704.125</v>
          </cell>
          <cell r="BW201">
            <v>0</v>
          </cell>
        </row>
        <row r="202">
          <cell r="E202">
            <v>39795.4375</v>
          </cell>
          <cell r="BW202">
            <v>0</v>
          </cell>
        </row>
        <row r="203">
          <cell r="E203">
            <v>39886.75</v>
          </cell>
          <cell r="BW203">
            <v>0</v>
          </cell>
        </row>
        <row r="204">
          <cell r="E204">
            <v>39978.0625</v>
          </cell>
          <cell r="BW204">
            <v>0</v>
          </cell>
        </row>
        <row r="205">
          <cell r="E205">
            <v>40069.375</v>
          </cell>
          <cell r="BW205">
            <v>0</v>
          </cell>
        </row>
        <row r="206">
          <cell r="E206">
            <v>40160.6875</v>
          </cell>
          <cell r="BW206">
            <v>0</v>
          </cell>
        </row>
        <row r="207">
          <cell r="E207">
            <v>40252</v>
          </cell>
          <cell r="BW207">
            <v>0</v>
          </cell>
        </row>
        <row r="208">
          <cell r="E208">
            <v>40343.3125</v>
          </cell>
          <cell r="BW208">
            <v>0</v>
          </cell>
        </row>
        <row r="209">
          <cell r="E209">
            <v>40434.625</v>
          </cell>
          <cell r="BW209">
            <v>0</v>
          </cell>
        </row>
        <row r="210">
          <cell r="E210">
            <v>40525.9375</v>
          </cell>
          <cell r="BW210">
            <v>0</v>
          </cell>
        </row>
        <row r="211">
          <cell r="E211">
            <v>40617.25</v>
          </cell>
          <cell r="BW211">
            <v>0</v>
          </cell>
        </row>
        <row r="212">
          <cell r="E212">
            <v>40708.5625</v>
          </cell>
          <cell r="BW212">
            <v>0</v>
          </cell>
        </row>
        <row r="213">
          <cell r="E213">
            <v>40799.875</v>
          </cell>
          <cell r="BW213">
            <v>0</v>
          </cell>
        </row>
        <row r="214">
          <cell r="E214">
            <v>40891.1875</v>
          </cell>
          <cell r="BW214">
            <v>0</v>
          </cell>
        </row>
        <row r="215">
          <cell r="E215">
            <v>40982.5</v>
          </cell>
          <cell r="BW215">
            <v>0</v>
          </cell>
        </row>
        <row r="216">
          <cell r="E216">
            <v>41073.8125</v>
          </cell>
          <cell r="BW216">
            <v>0</v>
          </cell>
        </row>
        <row r="217">
          <cell r="E217">
            <v>41165.125</v>
          </cell>
          <cell r="BW217">
            <v>0</v>
          </cell>
        </row>
        <row r="218">
          <cell r="E218">
            <v>41256.4375</v>
          </cell>
          <cell r="BW218">
            <v>0</v>
          </cell>
        </row>
        <row r="219">
          <cell r="E219">
            <v>41347.75</v>
          </cell>
          <cell r="BW219">
            <v>0</v>
          </cell>
        </row>
        <row r="220">
          <cell r="E220">
            <v>41439.0625</v>
          </cell>
          <cell r="BW220">
            <v>0</v>
          </cell>
        </row>
        <row r="221">
          <cell r="E221">
            <v>41530.375</v>
          </cell>
          <cell r="BW221">
            <v>0</v>
          </cell>
        </row>
        <row r="222">
          <cell r="E222">
            <v>41621.6875</v>
          </cell>
          <cell r="BW222">
            <v>0</v>
          </cell>
        </row>
        <row r="223">
          <cell r="E223">
            <v>41713</v>
          </cell>
          <cell r="BW223">
            <v>0</v>
          </cell>
        </row>
        <row r="224">
          <cell r="E224">
            <v>41804.3125</v>
          </cell>
          <cell r="BW224">
            <v>0</v>
          </cell>
        </row>
        <row r="225">
          <cell r="E225">
            <v>41895.625</v>
          </cell>
          <cell r="BW225">
            <v>0</v>
          </cell>
        </row>
        <row r="226">
          <cell r="E226">
            <v>41986.9375</v>
          </cell>
          <cell r="BW226">
            <v>0</v>
          </cell>
        </row>
        <row r="227">
          <cell r="E227">
            <v>42078.25</v>
          </cell>
          <cell r="BW227">
            <v>0</v>
          </cell>
        </row>
        <row r="228">
          <cell r="E228">
            <v>42169.5625</v>
          </cell>
          <cell r="BW228">
            <v>0</v>
          </cell>
        </row>
        <row r="229">
          <cell r="E229">
            <v>42260.875</v>
          </cell>
          <cell r="BW229">
            <v>0</v>
          </cell>
        </row>
        <row r="230">
          <cell r="E230">
            <v>42352.1875</v>
          </cell>
          <cell r="BW230">
            <v>0</v>
          </cell>
        </row>
        <row r="231">
          <cell r="E231">
            <v>42443.5</v>
          </cell>
          <cell r="BW231">
            <v>0</v>
          </cell>
        </row>
        <row r="232">
          <cell r="E232">
            <v>42534.8125</v>
          </cell>
          <cell r="BW232">
            <v>0</v>
          </cell>
        </row>
        <row r="233">
          <cell r="E233">
            <v>42626.125</v>
          </cell>
          <cell r="BW233">
            <v>0</v>
          </cell>
        </row>
        <row r="234">
          <cell r="E234">
            <v>42717.4375</v>
          </cell>
          <cell r="BW234">
            <v>0</v>
          </cell>
        </row>
        <row r="235">
          <cell r="E235">
            <v>42808.75</v>
          </cell>
          <cell r="BW235">
            <v>0</v>
          </cell>
        </row>
        <row r="236">
          <cell r="E236">
            <v>42900.0625</v>
          </cell>
          <cell r="BW236">
            <v>0</v>
          </cell>
        </row>
        <row r="237">
          <cell r="E237">
            <v>42991.375</v>
          </cell>
          <cell r="BW237">
            <v>0</v>
          </cell>
        </row>
        <row r="238">
          <cell r="E238">
            <v>43082.6875</v>
          </cell>
          <cell r="BW238">
            <v>0</v>
          </cell>
        </row>
        <row r="239">
          <cell r="E239">
            <v>43174</v>
          </cell>
          <cell r="BW239">
            <v>0</v>
          </cell>
        </row>
        <row r="240">
          <cell r="E240">
            <v>43265.3125</v>
          </cell>
          <cell r="BW240">
            <v>0</v>
          </cell>
        </row>
        <row r="241">
          <cell r="E241">
            <v>43356.625</v>
          </cell>
          <cell r="BW241">
            <v>0</v>
          </cell>
        </row>
        <row r="242">
          <cell r="E242">
            <v>43447.9375</v>
          </cell>
          <cell r="BW242">
            <v>0</v>
          </cell>
        </row>
        <row r="243">
          <cell r="E243">
            <v>43539.25</v>
          </cell>
          <cell r="BW243">
            <v>0</v>
          </cell>
        </row>
        <row r="244">
          <cell r="E244">
            <v>43630.5625</v>
          </cell>
          <cell r="BW244">
            <v>0</v>
          </cell>
        </row>
        <row r="245">
          <cell r="E245">
            <v>43721.875</v>
          </cell>
          <cell r="BW245">
            <v>0</v>
          </cell>
        </row>
      </sheetData>
      <sheetData sheetId="12">
        <row r="282">
          <cell r="F282">
            <v>36233.5</v>
          </cell>
          <cell r="G282">
            <v>1524.0349529999999</v>
          </cell>
          <cell r="H282">
            <v>6088.8595609999993</v>
          </cell>
          <cell r="I282">
            <v>1269.3468639999999</v>
          </cell>
          <cell r="J282">
            <v>4200.0508929999996</v>
          </cell>
          <cell r="K282">
            <v>10526.122948999999</v>
          </cell>
          <cell r="L282">
            <v>9570.4822540000005</v>
          </cell>
          <cell r="M282">
            <v>2848.8153229999998</v>
          </cell>
          <cell r="N282">
            <v>54.200820999999998</v>
          </cell>
          <cell r="O282">
            <v>523.27547099999992</v>
          </cell>
          <cell r="P282">
            <v>1571.9860699999999</v>
          </cell>
          <cell r="Q282">
            <v>2133.8738069999999</v>
          </cell>
          <cell r="R282">
            <v>323.02950199999998</v>
          </cell>
          <cell r="S282">
            <v>624.84566099999995</v>
          </cell>
          <cell r="T282">
            <v>12.545349</v>
          </cell>
          <cell r="U282">
            <v>8081.0955399999993</v>
          </cell>
          <cell r="V282">
            <v>11898.419352999999</v>
          </cell>
          <cell r="W282">
            <v>11045.142903</v>
          </cell>
          <cell r="X282">
            <v>903.38287099999991</v>
          </cell>
          <cell r="Y282">
            <v>66.149428999999998</v>
          </cell>
          <cell r="Z282">
            <v>454.28112499999997</v>
          </cell>
          <cell r="AA282">
            <v>9.5105500000000003</v>
          </cell>
          <cell r="AB282">
            <v>73729.451248999991</v>
          </cell>
          <cell r="AC282">
            <v>4142.7740919999997</v>
          </cell>
          <cell r="AD282">
            <v>1769.136309</v>
          </cell>
          <cell r="AE282">
            <v>13.295396999999999</v>
          </cell>
          <cell r="AF282">
            <v>76.50677499999999</v>
          </cell>
          <cell r="AG282">
            <v>185.97344799999999</v>
          </cell>
          <cell r="AH282">
            <v>10.418958</v>
          </cell>
          <cell r="AI282">
            <v>86.830139000000003</v>
          </cell>
          <cell r="AJ282">
            <v>64.404427999999996</v>
          </cell>
          <cell r="AK282">
            <v>807.22614999999996</v>
          </cell>
          <cell r="AL282">
            <v>37.394934999999997</v>
          </cell>
          <cell r="AM282">
            <v>164.52801099999999</v>
          </cell>
          <cell r="AN282">
            <v>47895.901848000001</v>
          </cell>
          <cell r="AO282">
            <v>47522.975163000003</v>
          </cell>
          <cell r="AP282">
            <v>0</v>
          </cell>
          <cell r="AQ282">
            <v>2.159675</v>
          </cell>
          <cell r="AR282">
            <v>795.09479999999996</v>
          </cell>
          <cell r="AS282">
            <v>794.68079999999998</v>
          </cell>
          <cell r="AT282">
            <v>838.11415899999997</v>
          </cell>
          <cell r="AU282">
            <v>725.72588199999996</v>
          </cell>
          <cell r="AV282">
            <v>674.05482599999993</v>
          </cell>
          <cell r="AW282">
            <v>23.223951</v>
          </cell>
          <cell r="AX282">
            <v>0</v>
          </cell>
          <cell r="AY282">
            <v>43.068049999999999</v>
          </cell>
          <cell r="AZ282">
            <v>9.0779999999999994</v>
          </cell>
          <cell r="BA282">
            <v>58351.614435999996</v>
          </cell>
          <cell r="BB282">
            <v>0</v>
          </cell>
          <cell r="BC282">
            <v>1524.0349529999999</v>
          </cell>
          <cell r="BD282">
            <v>6088.8595609999993</v>
          </cell>
          <cell r="BE282">
            <v>1269.3468639999999</v>
          </cell>
          <cell r="BF282">
            <v>4200.0508929999996</v>
          </cell>
          <cell r="BG282">
            <v>10526.122948999999</v>
          </cell>
          <cell r="BH282">
            <v>9570.4822540000005</v>
          </cell>
          <cell r="BI282">
            <v>2848.8153229999998</v>
          </cell>
          <cell r="BJ282">
            <v>54.200820999999998</v>
          </cell>
          <cell r="BK282">
            <v>523.27547099999992</v>
          </cell>
          <cell r="BL282">
            <v>1571.9860699999999</v>
          </cell>
          <cell r="BM282">
            <v>2133.8738069999999</v>
          </cell>
          <cell r="BN282">
            <v>323.02950199999998</v>
          </cell>
          <cell r="BO282">
            <v>624.84566099999995</v>
          </cell>
          <cell r="BP282">
            <v>12.545349</v>
          </cell>
          <cell r="BQ282">
            <v>8081.0955399999993</v>
          </cell>
          <cell r="BR282">
            <v>11898.419352999999</v>
          </cell>
          <cell r="BS282">
            <v>11045.142903</v>
          </cell>
          <cell r="BT282">
            <v>903.38287099999991</v>
          </cell>
          <cell r="BU282">
            <v>66.149428999999998</v>
          </cell>
          <cell r="BV282">
            <v>454.28112499999997</v>
          </cell>
          <cell r="BW282">
            <v>9.5105500000000003</v>
          </cell>
          <cell r="BX282">
            <v>73729.451248999991</v>
          </cell>
          <cell r="BY282">
            <v>0</v>
          </cell>
          <cell r="BZ282">
            <v>4142.7740919999997</v>
          </cell>
          <cell r="CA282">
            <v>1769.136309</v>
          </cell>
          <cell r="CB282">
            <v>13.295396999999999</v>
          </cell>
          <cell r="CC282">
            <v>76.50677499999999</v>
          </cell>
          <cell r="CD282">
            <v>185.97344799999999</v>
          </cell>
          <cell r="CE282">
            <v>10.418958</v>
          </cell>
          <cell r="CF282">
            <v>86.830139000000003</v>
          </cell>
          <cell r="CG282">
            <v>64.404427999999996</v>
          </cell>
          <cell r="CH282">
            <v>807.22614999999996</v>
          </cell>
          <cell r="CI282">
            <v>37.394934999999997</v>
          </cell>
          <cell r="CJ282">
            <v>164.52801099999999</v>
          </cell>
          <cell r="CK282">
            <v>47895.901848000001</v>
          </cell>
          <cell r="CL282">
            <v>47522.975163000003</v>
          </cell>
          <cell r="CM282">
            <v>0</v>
          </cell>
          <cell r="CN282">
            <v>2.159675</v>
          </cell>
          <cell r="CO282">
            <v>795.09479999999996</v>
          </cell>
          <cell r="CP282">
            <v>794.68079999999998</v>
          </cell>
          <cell r="CQ282">
            <v>838.11415899999997</v>
          </cell>
          <cell r="CR282">
            <v>725.72588199999996</v>
          </cell>
          <cell r="CS282">
            <v>674.05482599999993</v>
          </cell>
          <cell r="CT282">
            <v>23.223951</v>
          </cell>
          <cell r="CU282">
            <v>0</v>
          </cell>
          <cell r="CV282">
            <v>43.068049999999999</v>
          </cell>
          <cell r="CW282">
            <v>9.0779999999999994</v>
          </cell>
          <cell r="CX282">
            <v>58351.614435999996</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Y282">
            <v>1</v>
          </cell>
        </row>
        <row r="283">
          <cell r="F283">
            <v>36324.8125</v>
          </cell>
          <cell r="G283">
            <v>2081.3026030000001</v>
          </cell>
          <cell r="H283">
            <v>10983.822570999999</v>
          </cell>
          <cell r="I283">
            <v>1897.3702569999998</v>
          </cell>
          <cell r="J283">
            <v>7059.7405599999993</v>
          </cell>
          <cell r="K283">
            <v>15087.32072</v>
          </cell>
          <cell r="L283">
            <v>20127.479877999998</v>
          </cell>
          <cell r="M283">
            <v>2901.3283200000001</v>
          </cell>
          <cell r="N283">
            <v>66.128991999999997</v>
          </cell>
          <cell r="O283">
            <v>680.52636299999995</v>
          </cell>
          <cell r="P283">
            <v>2561.2075219999997</v>
          </cell>
          <cell r="Q283">
            <v>1953.9002229999999</v>
          </cell>
          <cell r="R283">
            <v>381.25577099999998</v>
          </cell>
          <cell r="S283">
            <v>741.06900199999995</v>
          </cell>
          <cell r="T283">
            <v>11.267042999999999</v>
          </cell>
          <cell r="U283">
            <v>9079.5680269999993</v>
          </cell>
          <cell r="V283">
            <v>13472.157251999999</v>
          </cell>
          <cell r="W283">
            <v>10824.002657999999</v>
          </cell>
          <cell r="X283">
            <v>988.69915499999991</v>
          </cell>
          <cell r="Y283">
            <v>76.583927000000003</v>
          </cell>
          <cell r="Z283">
            <v>622.68755899999996</v>
          </cell>
          <cell r="AA283">
            <v>27.417812999999999</v>
          </cell>
          <cell r="AB283">
            <v>101624.83621599998</v>
          </cell>
          <cell r="AC283">
            <v>3993.5844499999998</v>
          </cell>
          <cell r="AD283">
            <v>2105.6713880000002</v>
          </cell>
          <cell r="AE283">
            <v>77.991</v>
          </cell>
          <cell r="AF283">
            <v>26.846169</v>
          </cell>
          <cell r="AG283">
            <v>557.05717500000003</v>
          </cell>
          <cell r="AH283">
            <v>56.412413999999998</v>
          </cell>
          <cell r="AI283">
            <v>203.04456399999998</v>
          </cell>
          <cell r="AJ283">
            <v>118.306477</v>
          </cell>
          <cell r="AK283">
            <v>675.90046499999994</v>
          </cell>
          <cell r="AL283">
            <v>62.320802999999998</v>
          </cell>
          <cell r="AM283">
            <v>280.85281699999996</v>
          </cell>
          <cell r="AN283">
            <v>26503.024067999999</v>
          </cell>
          <cell r="AO283">
            <v>26058.822443000001</v>
          </cell>
          <cell r="AP283">
            <v>0.48253699999999999</v>
          </cell>
          <cell r="AQ283">
            <v>6.1757659999999994</v>
          </cell>
          <cell r="AR283">
            <v>1055.709067</v>
          </cell>
          <cell r="AS283">
            <v>1055.709067</v>
          </cell>
          <cell r="AT283">
            <v>1050.1224159999999</v>
          </cell>
          <cell r="AU283">
            <v>375.41683499999999</v>
          </cell>
          <cell r="AV283">
            <v>493.93883</v>
          </cell>
          <cell r="AW283">
            <v>122.30358899999999</v>
          </cell>
          <cell r="AX283">
            <v>0</v>
          </cell>
          <cell r="AY283">
            <v>5.7310530000000002</v>
          </cell>
          <cell r="AZ283">
            <v>43.201370999999995</v>
          </cell>
          <cell r="BA283">
            <v>37736.102254000005</v>
          </cell>
          <cell r="BB283">
            <v>0</v>
          </cell>
          <cell r="BC283">
            <v>2081.3026030000001</v>
          </cell>
          <cell r="BD283">
            <v>10983.822570999999</v>
          </cell>
          <cell r="BE283">
            <v>1897.3702569999998</v>
          </cell>
          <cell r="BF283">
            <v>7059.7405599999993</v>
          </cell>
          <cell r="BG283">
            <v>15087.32072</v>
          </cell>
          <cell r="BH283">
            <v>20127.479877999998</v>
          </cell>
          <cell r="BI283">
            <v>2901.3283200000001</v>
          </cell>
          <cell r="BJ283">
            <v>66.128991999999997</v>
          </cell>
          <cell r="BK283">
            <v>680.52636299999995</v>
          </cell>
          <cell r="BL283">
            <v>2561.2075219999997</v>
          </cell>
          <cell r="BM283">
            <v>1953.9002229999999</v>
          </cell>
          <cell r="BN283">
            <v>381.25577099999998</v>
          </cell>
          <cell r="BO283">
            <v>741.06900199999995</v>
          </cell>
          <cell r="BP283">
            <v>11.267042999999999</v>
          </cell>
          <cell r="BQ283">
            <v>9079.5680269999993</v>
          </cell>
          <cell r="BR283">
            <v>13472.157251999999</v>
          </cell>
          <cell r="BS283">
            <v>10824.002657999999</v>
          </cell>
          <cell r="BT283">
            <v>988.69915499999991</v>
          </cell>
          <cell r="BU283">
            <v>76.583927000000003</v>
          </cell>
          <cell r="BV283">
            <v>622.68755899999996</v>
          </cell>
          <cell r="BW283">
            <v>27.417812999999999</v>
          </cell>
          <cell r="BX283">
            <v>101624.83621599998</v>
          </cell>
          <cell r="BY283">
            <v>0</v>
          </cell>
          <cell r="BZ283">
            <v>3993.5844499999998</v>
          </cell>
          <cell r="CA283">
            <v>2105.6713880000002</v>
          </cell>
          <cell r="CB283">
            <v>77.991</v>
          </cell>
          <cell r="CC283">
            <v>26.846169</v>
          </cell>
          <cell r="CD283">
            <v>557.05717500000003</v>
          </cell>
          <cell r="CE283">
            <v>56.412413999999998</v>
          </cell>
          <cell r="CF283">
            <v>203.04456399999998</v>
          </cell>
          <cell r="CG283">
            <v>118.306477</v>
          </cell>
          <cell r="CH283">
            <v>675.90046499999994</v>
          </cell>
          <cell r="CI283">
            <v>62.320802999999998</v>
          </cell>
          <cell r="CJ283">
            <v>280.85281699999996</v>
          </cell>
          <cell r="CK283">
            <v>26503.024067999999</v>
          </cell>
          <cell r="CL283">
            <v>26058.822443000001</v>
          </cell>
          <cell r="CM283">
            <v>0.48253699999999999</v>
          </cell>
          <cell r="CN283">
            <v>6.1757659999999994</v>
          </cell>
          <cell r="CO283">
            <v>1055.709067</v>
          </cell>
          <cell r="CP283">
            <v>1055.709067</v>
          </cell>
          <cell r="CQ283">
            <v>1050.1224159999999</v>
          </cell>
          <cell r="CR283">
            <v>375.41683499999999</v>
          </cell>
          <cell r="CS283">
            <v>493.93883</v>
          </cell>
          <cell r="CT283">
            <v>122.30358899999999</v>
          </cell>
          <cell r="CU283">
            <v>0</v>
          </cell>
          <cell r="CV283">
            <v>5.7310530000000002</v>
          </cell>
          <cell r="CW283">
            <v>43.201370999999995</v>
          </cell>
          <cell r="CX283">
            <v>37736.102254000005</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Y283">
            <v>2</v>
          </cell>
        </row>
        <row r="284">
          <cell r="F284">
            <v>36416.125</v>
          </cell>
          <cell r="G284">
            <v>1514.9092819999998</v>
          </cell>
          <cell r="H284">
            <v>10599.895091999999</v>
          </cell>
          <cell r="I284">
            <v>1917.1152619999998</v>
          </cell>
          <cell r="J284">
            <v>4386.9202930000001</v>
          </cell>
          <cell r="K284">
            <v>14820.424317999999</v>
          </cell>
          <cell r="L284">
            <v>11928.693522</v>
          </cell>
          <cell r="M284">
            <v>1609.2046329999998</v>
          </cell>
          <cell r="N284">
            <v>123.122321</v>
          </cell>
          <cell r="O284">
            <v>421.39513299999999</v>
          </cell>
          <cell r="P284">
            <v>3509.5315889999997</v>
          </cell>
          <cell r="Q284">
            <v>1539.6543549999999</v>
          </cell>
          <cell r="R284">
            <v>286.04184099999998</v>
          </cell>
          <cell r="S284">
            <v>836.76998499999991</v>
          </cell>
          <cell r="T284">
            <v>41.964745000000001</v>
          </cell>
          <cell r="U284">
            <v>4955.1673940000001</v>
          </cell>
          <cell r="V284">
            <v>9765.2805929999995</v>
          </cell>
          <cell r="W284">
            <v>10032.308755</v>
          </cell>
          <cell r="X284">
            <v>1444.247435</v>
          </cell>
          <cell r="Y284">
            <v>59.014609</v>
          </cell>
          <cell r="Z284">
            <v>614.87671699999999</v>
          </cell>
          <cell r="AA284">
            <v>2.3808699999999998</v>
          </cell>
          <cell r="AB284">
            <v>80408.91874400001</v>
          </cell>
          <cell r="AC284">
            <v>2495.3374349999999</v>
          </cell>
          <cell r="AD284">
            <v>1690.513815</v>
          </cell>
          <cell r="AE284">
            <v>1.53</v>
          </cell>
          <cell r="AF284">
            <v>27.729627999999998</v>
          </cell>
          <cell r="AG284">
            <v>36.427999999999997</v>
          </cell>
          <cell r="AH284">
            <v>20.659167999999998</v>
          </cell>
          <cell r="AI284">
            <v>81.202556000000001</v>
          </cell>
          <cell r="AJ284">
            <v>88.834125</v>
          </cell>
          <cell r="AK284">
            <v>836.80888999999991</v>
          </cell>
          <cell r="AL284">
            <v>39.313505999999997</v>
          </cell>
          <cell r="AM284">
            <v>187.87219999999999</v>
          </cell>
          <cell r="AN284">
            <v>16302.075219999999</v>
          </cell>
          <cell r="AO284">
            <v>16044.351736000001</v>
          </cell>
          <cell r="AP284">
            <v>1.4999999999999999E-2</v>
          </cell>
          <cell r="AQ284">
            <v>3.426275</v>
          </cell>
          <cell r="AR284">
            <v>629.20972999999992</v>
          </cell>
          <cell r="AS284">
            <v>629.20973000000004</v>
          </cell>
          <cell r="AT284">
            <v>865.13610499999993</v>
          </cell>
          <cell r="AU284">
            <v>1123.565566</v>
          </cell>
          <cell r="AV284">
            <v>563.41526899999997</v>
          </cell>
          <cell r="AW284">
            <v>13.322203999999999</v>
          </cell>
          <cell r="AX284">
            <v>0</v>
          </cell>
          <cell r="AY284">
            <v>14.491499999999998</v>
          </cell>
          <cell r="AZ284">
            <v>11.972474999999999</v>
          </cell>
          <cell r="BA284">
            <v>25031.328667000002</v>
          </cell>
          <cell r="BB284">
            <v>0</v>
          </cell>
          <cell r="BC284">
            <v>1514.9092819999998</v>
          </cell>
          <cell r="BD284">
            <v>10599.895091999999</v>
          </cell>
          <cell r="BE284">
            <v>1917.1152619999998</v>
          </cell>
          <cell r="BF284">
            <v>4386.9202930000001</v>
          </cell>
          <cell r="BG284">
            <v>14820.424317999999</v>
          </cell>
          <cell r="BH284">
            <v>11928.693522</v>
          </cell>
          <cell r="BI284">
            <v>1609.2046329999998</v>
          </cell>
          <cell r="BJ284">
            <v>123.122321</v>
          </cell>
          <cell r="BK284">
            <v>421.39513299999999</v>
          </cell>
          <cell r="BL284">
            <v>3509.5315889999997</v>
          </cell>
          <cell r="BM284">
            <v>1539.6543549999999</v>
          </cell>
          <cell r="BN284">
            <v>286.04184099999998</v>
          </cell>
          <cell r="BO284">
            <v>836.76998499999991</v>
          </cell>
          <cell r="BP284">
            <v>41.964745000000001</v>
          </cell>
          <cell r="BQ284">
            <v>4955.1673940000001</v>
          </cell>
          <cell r="BR284">
            <v>9765.2805929999995</v>
          </cell>
          <cell r="BS284">
            <v>10032.308755</v>
          </cell>
          <cell r="BT284">
            <v>1444.247435</v>
          </cell>
          <cell r="BU284">
            <v>59.014609</v>
          </cell>
          <cell r="BV284">
            <v>614.87671699999999</v>
          </cell>
          <cell r="BW284">
            <v>2.3808699999999998</v>
          </cell>
          <cell r="BX284">
            <v>80408.91874400001</v>
          </cell>
          <cell r="BY284">
            <v>0</v>
          </cell>
          <cell r="BZ284">
            <v>2495.3374349999999</v>
          </cell>
          <cell r="CA284">
            <v>1690.513815</v>
          </cell>
          <cell r="CB284">
            <v>1.53</v>
          </cell>
          <cell r="CC284">
            <v>27.729627999999998</v>
          </cell>
          <cell r="CD284">
            <v>36.427999999999997</v>
          </cell>
          <cell r="CE284">
            <v>20.659167999999998</v>
          </cell>
          <cell r="CF284">
            <v>81.202556000000001</v>
          </cell>
          <cell r="CG284">
            <v>88.834125</v>
          </cell>
          <cell r="CH284">
            <v>836.80888999999991</v>
          </cell>
          <cell r="CI284">
            <v>39.313505999999997</v>
          </cell>
          <cell r="CJ284">
            <v>187.87219999999999</v>
          </cell>
          <cell r="CK284">
            <v>16302.075219999999</v>
          </cell>
          <cell r="CL284">
            <v>16044.351736000001</v>
          </cell>
          <cell r="CM284">
            <v>1.4999999999999999E-2</v>
          </cell>
          <cell r="CN284">
            <v>3.426275</v>
          </cell>
          <cell r="CO284">
            <v>629.20972999999992</v>
          </cell>
          <cell r="CP284">
            <v>629.20973000000004</v>
          </cell>
          <cell r="CQ284">
            <v>865.13610499999993</v>
          </cell>
          <cell r="CR284">
            <v>1123.565566</v>
          </cell>
          <cell r="CS284">
            <v>563.41526899999997</v>
          </cell>
          <cell r="CT284">
            <v>13.322203999999999</v>
          </cell>
          <cell r="CU284">
            <v>0</v>
          </cell>
          <cell r="CV284">
            <v>14.491499999999998</v>
          </cell>
          <cell r="CW284">
            <v>11.972474999999999</v>
          </cell>
          <cell r="CX284">
            <v>25031.328667000002</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Y284">
            <v>3</v>
          </cell>
        </row>
        <row r="285">
          <cell r="F285">
            <v>36507.4375</v>
          </cell>
          <cell r="G285">
            <v>1950.183309</v>
          </cell>
          <cell r="H285">
            <v>7938.658684</v>
          </cell>
          <cell r="I285">
            <v>1591.369205</v>
          </cell>
          <cell r="J285">
            <v>5318.7981179999997</v>
          </cell>
          <cell r="K285">
            <v>15552.548417999998</v>
          </cell>
          <cell r="L285">
            <v>13685.803078999999</v>
          </cell>
          <cell r="M285">
            <v>3018.8117969999998</v>
          </cell>
          <cell r="N285">
            <v>37.785013999999997</v>
          </cell>
          <cell r="O285">
            <v>445.94957799999997</v>
          </cell>
          <cell r="P285">
            <v>2788.7824489999998</v>
          </cell>
          <cell r="Q285">
            <v>2454.2828850000001</v>
          </cell>
          <cell r="R285">
            <v>527.21489499999996</v>
          </cell>
          <cell r="S285">
            <v>537.89404999999999</v>
          </cell>
          <cell r="T285">
            <v>4.9774329999999996</v>
          </cell>
          <cell r="U285">
            <v>6176.1870959999997</v>
          </cell>
          <cell r="V285">
            <v>19745.208762999999</v>
          </cell>
          <cell r="W285">
            <v>10570.005184</v>
          </cell>
          <cell r="X285">
            <v>1837.12726</v>
          </cell>
          <cell r="Y285">
            <v>194.522605</v>
          </cell>
          <cell r="Z285">
            <v>600.85537799999997</v>
          </cell>
          <cell r="AA285">
            <v>0.46949999999999997</v>
          </cell>
          <cell r="AB285">
            <v>94977.434699999998</v>
          </cell>
          <cell r="AC285">
            <v>3096.0798</v>
          </cell>
          <cell r="AD285">
            <v>1104.3657459999999</v>
          </cell>
          <cell r="AE285">
            <v>7.5324999999999998</v>
          </cell>
          <cell r="AF285">
            <v>23.394448999999998</v>
          </cell>
          <cell r="AG285">
            <v>230.19106299999999</v>
          </cell>
          <cell r="AH285">
            <v>16.909921000000001</v>
          </cell>
          <cell r="AI285">
            <v>81.931522999999999</v>
          </cell>
          <cell r="AJ285">
            <v>97.501329999999996</v>
          </cell>
          <cell r="AK285">
            <v>924.45767999999998</v>
          </cell>
          <cell r="AL285">
            <v>55.549419</v>
          </cell>
          <cell r="AM285">
            <v>186.24285</v>
          </cell>
          <cell r="AN285">
            <v>2819.8817779999999</v>
          </cell>
          <cell r="AO285">
            <v>2658.4676300000001</v>
          </cell>
          <cell r="AP285">
            <v>1.975E-2</v>
          </cell>
          <cell r="AQ285">
            <v>4.2210469999999995</v>
          </cell>
          <cell r="AR285">
            <v>680.26409799999999</v>
          </cell>
          <cell r="AS285">
            <v>680.26409799999999</v>
          </cell>
          <cell r="AT285">
            <v>696.98840099999995</v>
          </cell>
          <cell r="AU285">
            <v>571.52045199999998</v>
          </cell>
          <cell r="AV285">
            <v>364.99413899999996</v>
          </cell>
          <cell r="AW285">
            <v>84.853574999999992</v>
          </cell>
          <cell r="AX285">
            <v>0</v>
          </cell>
          <cell r="AY285">
            <v>14.864773999999999</v>
          </cell>
          <cell r="AZ285">
            <v>14.760133999999999</v>
          </cell>
          <cell r="BA285">
            <v>11068.991929000002</v>
          </cell>
          <cell r="BB285">
            <v>0</v>
          </cell>
          <cell r="BC285">
            <v>1950.183309</v>
          </cell>
          <cell r="BD285">
            <v>7938.658684</v>
          </cell>
          <cell r="BE285">
            <v>1591.369205</v>
          </cell>
          <cell r="BF285">
            <v>5318.7981179999997</v>
          </cell>
          <cell r="BG285">
            <v>15552.548417999998</v>
          </cell>
          <cell r="BH285">
            <v>13685.803078999999</v>
          </cell>
          <cell r="BI285">
            <v>3018.8117969999998</v>
          </cell>
          <cell r="BJ285">
            <v>37.785013999999997</v>
          </cell>
          <cell r="BK285">
            <v>445.94957799999997</v>
          </cell>
          <cell r="BL285">
            <v>2788.7824489999998</v>
          </cell>
          <cell r="BM285">
            <v>2454.2828850000001</v>
          </cell>
          <cell r="BN285">
            <v>527.21489499999996</v>
          </cell>
          <cell r="BO285">
            <v>537.89404999999999</v>
          </cell>
          <cell r="BP285">
            <v>4.9774329999999996</v>
          </cell>
          <cell r="BQ285">
            <v>6176.1870959999997</v>
          </cell>
          <cell r="BR285">
            <v>19745.208762999999</v>
          </cell>
          <cell r="BS285">
            <v>10570.005184</v>
          </cell>
          <cell r="BT285">
            <v>1837.12726</v>
          </cell>
          <cell r="BU285">
            <v>194.522605</v>
          </cell>
          <cell r="BV285">
            <v>600.85537799999997</v>
          </cell>
          <cell r="BW285">
            <v>0.46949999999999997</v>
          </cell>
          <cell r="BX285">
            <v>94977.434699999998</v>
          </cell>
          <cell r="BY285">
            <v>0</v>
          </cell>
          <cell r="BZ285">
            <v>3096.0798</v>
          </cell>
          <cell r="CA285">
            <v>1104.3657459999999</v>
          </cell>
          <cell r="CB285">
            <v>7.5324999999999998</v>
          </cell>
          <cell r="CC285">
            <v>23.394448999999998</v>
          </cell>
          <cell r="CD285">
            <v>230.19106299999999</v>
          </cell>
          <cell r="CE285">
            <v>16.909921000000001</v>
          </cell>
          <cell r="CF285">
            <v>81.931522999999999</v>
          </cell>
          <cell r="CG285">
            <v>97.501329999999996</v>
          </cell>
          <cell r="CH285">
            <v>924.45767999999998</v>
          </cell>
          <cell r="CI285">
            <v>55.549419</v>
          </cell>
          <cell r="CJ285">
            <v>186.24285</v>
          </cell>
          <cell r="CK285">
            <v>2819.8817779999999</v>
          </cell>
          <cell r="CL285">
            <v>2658.4676300000001</v>
          </cell>
          <cell r="CM285">
            <v>1.975E-2</v>
          </cell>
          <cell r="CN285">
            <v>4.2210469999999995</v>
          </cell>
          <cell r="CO285">
            <v>680.26409799999999</v>
          </cell>
          <cell r="CP285">
            <v>680.26409799999999</v>
          </cell>
          <cell r="CQ285">
            <v>696.98840099999995</v>
          </cell>
          <cell r="CR285">
            <v>571.52045199999998</v>
          </cell>
          <cell r="CS285">
            <v>364.99413899999996</v>
          </cell>
          <cell r="CT285">
            <v>84.853574999999992</v>
          </cell>
          <cell r="CU285">
            <v>0</v>
          </cell>
          <cell r="CV285">
            <v>14.864773999999999</v>
          </cell>
          <cell r="CW285">
            <v>14.760133999999999</v>
          </cell>
          <cell r="CX285">
            <v>11068.991929000002</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11.65433870051662</v>
          </cell>
          <cell r="DM285">
            <v>0</v>
          </cell>
          <cell r="DN285">
            <v>0</v>
          </cell>
          <cell r="DO285">
            <v>0</v>
          </cell>
          <cell r="DP285">
            <v>0</v>
          </cell>
          <cell r="DQ285">
            <v>0</v>
          </cell>
          <cell r="DR285">
            <v>0</v>
          </cell>
          <cell r="DS285">
            <v>0</v>
          </cell>
          <cell r="DT285">
            <v>0</v>
          </cell>
          <cell r="DU285">
            <v>0</v>
          </cell>
          <cell r="DV285">
            <v>0</v>
          </cell>
          <cell r="DY285">
            <v>4</v>
          </cell>
        </row>
        <row r="286">
          <cell r="F286">
            <v>36598.75</v>
          </cell>
          <cell r="G286">
            <v>1586.026194</v>
          </cell>
          <cell r="H286">
            <v>6006.4102069999999</v>
          </cell>
          <cell r="I286">
            <v>939.67118599999992</v>
          </cell>
          <cell r="J286">
            <v>4265.3420959999994</v>
          </cell>
          <cell r="K286">
            <v>14953.308464</v>
          </cell>
          <cell r="L286">
            <v>7162.1389129999998</v>
          </cell>
          <cell r="M286">
            <v>2459.345272</v>
          </cell>
          <cell r="N286">
            <v>38.090022999999995</v>
          </cell>
          <cell r="O286">
            <v>277.16151099999996</v>
          </cell>
          <cell r="P286">
            <v>1530.583789</v>
          </cell>
          <cell r="Q286">
            <v>1373.0723909999999</v>
          </cell>
          <cell r="R286">
            <v>263.27066600000001</v>
          </cell>
          <cell r="S286">
            <v>699.24820599999998</v>
          </cell>
          <cell r="T286">
            <v>2.74227</v>
          </cell>
          <cell r="U286">
            <v>5900.921542</v>
          </cell>
          <cell r="V286">
            <v>15069.422214</v>
          </cell>
          <cell r="W286">
            <v>7124.9147349999994</v>
          </cell>
          <cell r="X286">
            <v>1575.95515</v>
          </cell>
          <cell r="Y286">
            <v>58.362013999999995</v>
          </cell>
          <cell r="Z286">
            <v>566.22866599999998</v>
          </cell>
          <cell r="AA286">
            <v>0.50872899999999999</v>
          </cell>
          <cell r="AB286">
            <v>71852.724237999981</v>
          </cell>
          <cell r="AC286">
            <v>2707.5623999999998</v>
          </cell>
          <cell r="AD286">
            <v>2220.3526809999998</v>
          </cell>
          <cell r="AE286">
            <v>53.07694</v>
          </cell>
          <cell r="AF286">
            <v>33.736388999999996</v>
          </cell>
          <cell r="AG286">
            <v>299.10980000000001</v>
          </cell>
          <cell r="AH286">
            <v>0.3</v>
          </cell>
          <cell r="AI286">
            <v>555.33087</v>
          </cell>
          <cell r="AJ286">
            <v>114.97888499999999</v>
          </cell>
          <cell r="AK286">
            <v>1167.3238019999999</v>
          </cell>
          <cell r="AL286">
            <v>45.553804999999997</v>
          </cell>
          <cell r="AM286">
            <v>242.593108</v>
          </cell>
          <cell r="AN286">
            <v>27216.219856</v>
          </cell>
          <cell r="AO286">
            <v>26707.13408</v>
          </cell>
          <cell r="AP286">
            <v>0.195877</v>
          </cell>
          <cell r="AQ286">
            <v>0.44611799999999996</v>
          </cell>
          <cell r="AR286">
            <v>993.58484799999997</v>
          </cell>
          <cell r="AS286">
            <v>993.58484799999997</v>
          </cell>
          <cell r="AT286">
            <v>357.39918599999999</v>
          </cell>
          <cell r="AU286">
            <v>693.742572</v>
          </cell>
          <cell r="AV286">
            <v>546.24339599999996</v>
          </cell>
          <cell r="AW286">
            <v>1099.6353899999999</v>
          </cell>
          <cell r="AX286">
            <v>0</v>
          </cell>
          <cell r="AY286">
            <v>5.9242499999999998</v>
          </cell>
          <cell r="AZ286">
            <v>89.018874999999994</v>
          </cell>
          <cell r="BA286">
            <v>38389.252108000001</v>
          </cell>
          <cell r="BB286">
            <v>0</v>
          </cell>
          <cell r="BC286">
            <v>1586.026194</v>
          </cell>
          <cell r="BD286">
            <v>6006.4102069999999</v>
          </cell>
          <cell r="BE286">
            <v>939.67118599999992</v>
          </cell>
          <cell r="BF286">
            <v>4265.3420959999994</v>
          </cell>
          <cell r="BG286">
            <v>14953.308464</v>
          </cell>
          <cell r="BH286">
            <v>7162.1389129999998</v>
          </cell>
          <cell r="BI286">
            <v>2459.345272</v>
          </cell>
          <cell r="BJ286">
            <v>38.090022999999995</v>
          </cell>
          <cell r="BK286">
            <v>277.16151099999996</v>
          </cell>
          <cell r="BL286">
            <v>1530.583789</v>
          </cell>
          <cell r="BM286">
            <v>1373.0723909999999</v>
          </cell>
          <cell r="BN286">
            <v>263.27066600000001</v>
          </cell>
          <cell r="BO286">
            <v>699.24820599999998</v>
          </cell>
          <cell r="BP286">
            <v>2.74227</v>
          </cell>
          <cell r="BQ286">
            <v>5900.921542</v>
          </cell>
          <cell r="BR286">
            <v>15069.422214</v>
          </cell>
          <cell r="BS286">
            <v>7124.9147349999994</v>
          </cell>
          <cell r="BT286">
            <v>1575.95515</v>
          </cell>
          <cell r="BU286">
            <v>58.362013999999995</v>
          </cell>
          <cell r="BV286">
            <v>566.22866599999998</v>
          </cell>
          <cell r="BW286">
            <v>0.50872899999999999</v>
          </cell>
          <cell r="BX286">
            <v>71852.724237999981</v>
          </cell>
          <cell r="BY286">
            <v>0</v>
          </cell>
          <cell r="BZ286">
            <v>2707.5623999999998</v>
          </cell>
          <cell r="CA286">
            <v>2220.3526809999998</v>
          </cell>
          <cell r="CB286">
            <v>53.07694</v>
          </cell>
          <cell r="CC286">
            <v>33.736388999999996</v>
          </cell>
          <cell r="CD286">
            <v>299.10980000000001</v>
          </cell>
          <cell r="CE286">
            <v>0.3</v>
          </cell>
          <cell r="CF286">
            <v>555.33087</v>
          </cell>
          <cell r="CG286">
            <v>114.97888499999999</v>
          </cell>
          <cell r="CH286">
            <v>1167.3238019999999</v>
          </cell>
          <cell r="CI286">
            <v>45.553804999999997</v>
          </cell>
          <cell r="CJ286">
            <v>242.593108</v>
          </cell>
          <cell r="CK286">
            <v>27216.219856</v>
          </cell>
          <cell r="CL286">
            <v>26707.13408</v>
          </cell>
          <cell r="CM286">
            <v>0.195877</v>
          </cell>
          <cell r="CN286">
            <v>0.44611799999999996</v>
          </cell>
          <cell r="CO286">
            <v>993.58484799999997</v>
          </cell>
          <cell r="CP286">
            <v>993.58484799999997</v>
          </cell>
          <cell r="CQ286">
            <v>357.39918599999999</v>
          </cell>
          <cell r="CR286">
            <v>693.742572</v>
          </cell>
          <cell r="CS286">
            <v>546.24339599999996</v>
          </cell>
          <cell r="CT286">
            <v>1099.6353899999999</v>
          </cell>
          <cell r="CU286">
            <v>0</v>
          </cell>
          <cell r="CV286">
            <v>5.9242499999999998</v>
          </cell>
          <cell r="CW286">
            <v>89.018874999999994</v>
          </cell>
          <cell r="CX286">
            <v>38389.252108000001</v>
          </cell>
          <cell r="CY286">
            <v>734.88653910907374</v>
          </cell>
          <cell r="CZ286">
            <v>655.96</v>
          </cell>
          <cell r="DA286">
            <v>198.41936555944997</v>
          </cell>
          <cell r="DB286">
            <v>525.22703384615386</v>
          </cell>
          <cell r="DC286">
            <v>125</v>
          </cell>
          <cell r="DD286">
            <v>500</v>
          </cell>
          <cell r="DE286">
            <v>639.92307692307691</v>
          </cell>
          <cell r="DF286">
            <v>38.926923076923067</v>
          </cell>
          <cell r="DG286">
            <v>279.07207521641868</v>
          </cell>
          <cell r="DH286">
            <v>7234.2126498802827</v>
          </cell>
          <cell r="DI286">
            <v>43205.641025641031</v>
          </cell>
          <cell r="DJ286">
            <v>1703.6153846153845</v>
          </cell>
          <cell r="DK286">
            <v>14284.777943221441</v>
          </cell>
          <cell r="DL286">
            <v>0</v>
          </cell>
          <cell r="DM286">
            <v>0</v>
          </cell>
          <cell r="DN286">
            <v>0</v>
          </cell>
          <cell r="DO286">
            <v>0</v>
          </cell>
          <cell r="DP286">
            <v>0</v>
          </cell>
          <cell r="DQ286">
            <v>0</v>
          </cell>
          <cell r="DR286">
            <v>0</v>
          </cell>
          <cell r="DS286">
            <v>0</v>
          </cell>
          <cell r="DT286">
            <v>0</v>
          </cell>
          <cell r="DU286">
            <v>0</v>
          </cell>
          <cell r="DV286">
            <v>0</v>
          </cell>
          <cell r="DY286">
            <v>5</v>
          </cell>
        </row>
        <row r="287">
          <cell r="F287">
            <v>36690.0625</v>
          </cell>
          <cell r="G287">
            <v>1496.66085</v>
          </cell>
          <cell r="H287">
            <v>7545.1618570000001</v>
          </cell>
          <cell r="I287">
            <v>1334.2497739999999</v>
          </cell>
          <cell r="J287">
            <v>4547.0714589999998</v>
          </cell>
          <cell r="K287">
            <v>20181.434907999999</v>
          </cell>
          <cell r="L287">
            <v>17096.110487999998</v>
          </cell>
          <cell r="M287">
            <v>2933.8765719999997</v>
          </cell>
          <cell r="N287">
            <v>35.353837999999996</v>
          </cell>
          <cell r="O287">
            <v>488.877253</v>
          </cell>
          <cell r="P287">
            <v>2319.4618580000001</v>
          </cell>
          <cell r="Q287">
            <v>1408.2821859999999</v>
          </cell>
          <cell r="R287">
            <v>250.39478</v>
          </cell>
          <cell r="S287">
            <v>703.36081999999999</v>
          </cell>
          <cell r="T287">
            <v>4.688212</v>
          </cell>
          <cell r="U287">
            <v>6708.8449700000001</v>
          </cell>
          <cell r="V287">
            <v>10318.591646999999</v>
          </cell>
          <cell r="W287">
            <v>8579.7037879999989</v>
          </cell>
          <cell r="X287">
            <v>1363.9795609999999</v>
          </cell>
          <cell r="Y287">
            <v>26.070453999999998</v>
          </cell>
          <cell r="Z287">
            <v>351.288341</v>
          </cell>
          <cell r="AA287">
            <v>52.688969</v>
          </cell>
          <cell r="AB287">
            <v>87746.152585000003</v>
          </cell>
          <cell r="AC287">
            <v>1460.1904999999999</v>
          </cell>
          <cell r="AD287">
            <v>2278.1161240000001</v>
          </cell>
          <cell r="AE287">
            <v>30.453999999999997</v>
          </cell>
          <cell r="AF287">
            <v>143.39548099999999</v>
          </cell>
          <cell r="AG287">
            <v>1039.6819109999999</v>
          </cell>
          <cell r="AH287">
            <v>8.3031989999999993</v>
          </cell>
          <cell r="AI287">
            <v>630.81040699999994</v>
          </cell>
          <cell r="AJ287">
            <v>212.46335499999998</v>
          </cell>
          <cell r="AK287">
            <v>1364.3926179999999</v>
          </cell>
          <cell r="AL287">
            <v>90.028993999999997</v>
          </cell>
          <cell r="AM287">
            <v>130.403502</v>
          </cell>
          <cell r="AN287">
            <v>35702.860210999999</v>
          </cell>
          <cell r="AO287">
            <v>35102.388012000003</v>
          </cell>
          <cell r="AP287">
            <v>2.8474999999999997</v>
          </cell>
          <cell r="AQ287">
            <v>4.107551</v>
          </cell>
          <cell r="AR287">
            <v>732.80539299999998</v>
          </cell>
          <cell r="AS287">
            <v>732.763463</v>
          </cell>
          <cell r="AT287">
            <v>637.60976399999993</v>
          </cell>
          <cell r="AU287">
            <v>582.07268799999997</v>
          </cell>
          <cell r="AV287">
            <v>447.78513399999997</v>
          </cell>
          <cell r="AW287">
            <v>66.775604999999999</v>
          </cell>
          <cell r="AX287">
            <v>0.760683</v>
          </cell>
          <cell r="AY287">
            <v>0.78159400000000001</v>
          </cell>
          <cell r="AZ287">
            <v>42.914093999999999</v>
          </cell>
          <cell r="BA287">
            <v>45579.106308000009</v>
          </cell>
          <cell r="BB287">
            <v>0</v>
          </cell>
          <cell r="BC287">
            <v>3082.6870440000002</v>
          </cell>
          <cell r="BD287">
            <v>13551.572064</v>
          </cell>
          <cell r="BE287">
            <v>2273.9209599999999</v>
          </cell>
          <cell r="BF287">
            <v>8812.4135549999992</v>
          </cell>
          <cell r="BG287">
            <v>35134.743371999997</v>
          </cell>
          <cell r="BH287">
            <v>24258.249400999997</v>
          </cell>
          <cell r="BI287">
            <v>5393.2218439999997</v>
          </cell>
          <cell r="BJ287">
            <v>73.443860999999998</v>
          </cell>
          <cell r="BK287">
            <v>766.0387639999999</v>
          </cell>
          <cell r="BL287">
            <v>3850.0456469999999</v>
          </cell>
          <cell r="BM287">
            <v>2781.3545770000001</v>
          </cell>
          <cell r="BN287">
            <v>513.66544599999997</v>
          </cell>
          <cell r="BO287">
            <v>1402.6090260000001</v>
          </cell>
          <cell r="BP287">
            <v>7.4304819999999996</v>
          </cell>
          <cell r="BQ287">
            <v>12609.766512</v>
          </cell>
          <cell r="BR287">
            <v>25388.013860999999</v>
          </cell>
          <cell r="BS287">
            <v>15704.618522999997</v>
          </cell>
          <cell r="BT287">
            <v>2939.9347109999999</v>
          </cell>
          <cell r="BU287">
            <v>84.432468</v>
          </cell>
          <cell r="BV287">
            <v>917.51700699999992</v>
          </cell>
          <cell r="BW287">
            <v>53.197698000000003</v>
          </cell>
          <cell r="BX287">
            <v>159598.87682299997</v>
          </cell>
          <cell r="BY287">
            <v>0</v>
          </cell>
          <cell r="BZ287">
            <v>4167.7528999999995</v>
          </cell>
          <cell r="CA287">
            <v>4498.4688050000004</v>
          </cell>
          <cell r="CB287">
            <v>83.530940000000001</v>
          </cell>
          <cell r="CC287">
            <v>177.13186999999999</v>
          </cell>
          <cell r="CD287">
            <v>1338.7917109999999</v>
          </cell>
          <cell r="CE287">
            <v>8.603199</v>
          </cell>
          <cell r="CF287">
            <v>1186.1412769999999</v>
          </cell>
          <cell r="CG287">
            <v>327.44223999999997</v>
          </cell>
          <cell r="CH287">
            <v>2531.7164199999997</v>
          </cell>
          <cell r="CI287">
            <v>135.58279899999999</v>
          </cell>
          <cell r="CJ287">
            <v>372.99661000000003</v>
          </cell>
          <cell r="CK287">
            <v>62919.080067000003</v>
          </cell>
          <cell r="CL287">
            <v>61809.522091999999</v>
          </cell>
          <cell r="CM287">
            <v>3.0433769999999996</v>
          </cell>
          <cell r="CN287">
            <v>4.5536690000000002</v>
          </cell>
          <cell r="CO287">
            <v>1726.3902410000001</v>
          </cell>
          <cell r="CP287">
            <v>1726.348311</v>
          </cell>
          <cell r="CQ287">
            <v>995.00894999999991</v>
          </cell>
          <cell r="CR287">
            <v>1275.8152599999999</v>
          </cell>
          <cell r="CS287">
            <v>994.02852999999993</v>
          </cell>
          <cell r="CT287">
            <v>1166.410995</v>
          </cell>
          <cell r="CU287">
            <v>0.760683</v>
          </cell>
          <cell r="CV287">
            <v>6.7058439999999999</v>
          </cell>
          <cell r="CW287">
            <v>131.93296899999999</v>
          </cell>
          <cell r="CX287">
            <v>83968.358416000003</v>
          </cell>
          <cell r="CY287">
            <v>747.89961714081073</v>
          </cell>
          <cell r="CZ287">
            <v>655.96</v>
          </cell>
          <cell r="DA287">
            <v>201.93289662801891</v>
          </cell>
          <cell r="DB287">
            <v>537.73582461538456</v>
          </cell>
          <cell r="DC287">
            <v>125</v>
          </cell>
          <cell r="DD287">
            <v>500</v>
          </cell>
          <cell r="DE287">
            <v>786.95978252307702</v>
          </cell>
          <cell r="DF287">
            <v>42.792307692307688</v>
          </cell>
          <cell r="DG287">
            <v>281.78997223490808</v>
          </cell>
          <cell r="DH287">
            <v>7434.0151448387951</v>
          </cell>
          <cell r="DI287">
            <v>46759.78523076923</v>
          </cell>
          <cell r="DJ287">
            <v>411.69230769230768</v>
          </cell>
          <cell r="DK287">
            <v>15465.5022414089</v>
          </cell>
          <cell r="DL287">
            <v>0</v>
          </cell>
          <cell r="DM287">
            <v>0</v>
          </cell>
          <cell r="DN287">
            <v>0</v>
          </cell>
          <cell r="DO287">
            <v>0</v>
          </cell>
          <cell r="DP287">
            <v>0</v>
          </cell>
          <cell r="DQ287">
            <v>0</v>
          </cell>
          <cell r="DR287">
            <v>0</v>
          </cell>
          <cell r="DS287">
            <v>0</v>
          </cell>
          <cell r="DT287">
            <v>0</v>
          </cell>
          <cell r="DU287">
            <v>0</v>
          </cell>
          <cell r="DV287">
            <v>0</v>
          </cell>
          <cell r="DY287">
            <v>6</v>
          </cell>
        </row>
        <row r="288">
          <cell r="F288">
            <v>36781.375</v>
          </cell>
          <cell r="G288">
            <v>1358.7255279999999</v>
          </cell>
          <cell r="H288">
            <v>5559.3235930000001</v>
          </cell>
          <cell r="I288">
            <v>1276.8624949999999</v>
          </cell>
          <cell r="J288">
            <v>6858.2952079999995</v>
          </cell>
          <cell r="K288">
            <v>22619.029484999999</v>
          </cell>
          <cell r="L288">
            <v>8213.9168840000002</v>
          </cell>
          <cell r="M288">
            <v>2240.3978769999999</v>
          </cell>
          <cell r="N288">
            <v>72.745200999999994</v>
          </cell>
          <cell r="O288">
            <v>441.70466599999997</v>
          </cell>
          <cell r="P288">
            <v>2649.7095429999999</v>
          </cell>
          <cell r="Q288">
            <v>1872.2223879999999</v>
          </cell>
          <cell r="R288">
            <v>279.54775899999999</v>
          </cell>
          <cell r="S288">
            <v>900.20606999999995</v>
          </cell>
          <cell r="T288">
            <v>2.9745059999999999</v>
          </cell>
          <cell r="U288">
            <v>4671.2589269999999</v>
          </cell>
          <cell r="V288">
            <v>13300.269464999999</v>
          </cell>
          <cell r="W288">
            <v>7546.8226909999994</v>
          </cell>
          <cell r="X288">
            <v>1563.1941099999999</v>
          </cell>
          <cell r="Y288">
            <v>56.944462999999999</v>
          </cell>
          <cell r="Z288">
            <v>704.82266199999992</v>
          </cell>
          <cell r="AA288">
            <v>1.6295269999999999</v>
          </cell>
          <cell r="AB288">
            <v>82190.603048000004</v>
          </cell>
          <cell r="AC288">
            <v>1515.6289999999999</v>
          </cell>
          <cell r="AD288">
            <v>1424.6453329999999</v>
          </cell>
          <cell r="AE288">
            <v>6.4594999999999994</v>
          </cell>
          <cell r="AF288">
            <v>448.02837099999999</v>
          </cell>
          <cell r="AG288">
            <v>528.04374999999993</v>
          </cell>
          <cell r="AH288">
            <v>0.3</v>
          </cell>
          <cell r="AI288">
            <v>117.387671</v>
          </cell>
          <cell r="AJ288">
            <v>77.619745999999992</v>
          </cell>
          <cell r="AK288">
            <v>919.52781599999992</v>
          </cell>
          <cell r="AL288">
            <v>80.506103999999993</v>
          </cell>
          <cell r="AM288">
            <v>195.32849099999999</v>
          </cell>
          <cell r="AN288">
            <v>2230.3022699999997</v>
          </cell>
          <cell r="AO288">
            <v>2129.460493</v>
          </cell>
          <cell r="AP288">
            <v>0.73331099999999994</v>
          </cell>
          <cell r="AQ288">
            <v>4.6537499999999996</v>
          </cell>
          <cell r="AR288">
            <v>513.51645999999994</v>
          </cell>
          <cell r="AS288">
            <v>513.51646000000005</v>
          </cell>
          <cell r="AT288">
            <v>260.90134999999998</v>
          </cell>
          <cell r="AU288">
            <v>526.66907100000003</v>
          </cell>
          <cell r="AV288">
            <v>324.49596500000001</v>
          </cell>
          <cell r="AW288">
            <v>43.77075</v>
          </cell>
          <cell r="AX288">
            <v>0</v>
          </cell>
          <cell r="AY288">
            <v>8.8047500000000003</v>
          </cell>
          <cell r="AZ288">
            <v>25.609719999999999</v>
          </cell>
          <cell r="BA288">
            <v>9246.4736789999988</v>
          </cell>
          <cell r="BB288">
            <v>0</v>
          </cell>
          <cell r="BC288">
            <v>4441.4125720000002</v>
          </cell>
          <cell r="BD288">
            <v>19110.895657000001</v>
          </cell>
          <cell r="BE288">
            <v>3550.7834549999998</v>
          </cell>
          <cell r="BF288">
            <v>15670.708762999999</v>
          </cell>
          <cell r="BG288">
            <v>57753.772856999996</v>
          </cell>
          <cell r="BH288">
            <v>32472.166284999999</v>
          </cell>
          <cell r="BI288">
            <v>7633.6197209999991</v>
          </cell>
          <cell r="BJ288">
            <v>146.18906199999998</v>
          </cell>
          <cell r="BK288">
            <v>1207.74343</v>
          </cell>
          <cell r="BL288">
            <v>6499.7551899999999</v>
          </cell>
          <cell r="BM288">
            <v>4653.5769650000002</v>
          </cell>
          <cell r="BN288">
            <v>793.21320500000002</v>
          </cell>
          <cell r="BO288">
            <v>2302.8150960000003</v>
          </cell>
          <cell r="BP288">
            <v>10.404987999999999</v>
          </cell>
          <cell r="BQ288">
            <v>17281.025439000001</v>
          </cell>
          <cell r="BR288">
            <v>38688.283325999997</v>
          </cell>
          <cell r="BS288">
            <v>23251.441213999999</v>
          </cell>
          <cell r="BT288">
            <v>4503.1288210000002</v>
          </cell>
          <cell r="BU288">
            <v>141.37693100000001</v>
          </cell>
          <cell r="BV288">
            <v>1622.339669</v>
          </cell>
          <cell r="BW288">
            <v>54.827225000000006</v>
          </cell>
          <cell r="BX288">
            <v>241789.47987099999</v>
          </cell>
          <cell r="BY288">
            <v>0</v>
          </cell>
          <cell r="BZ288">
            <v>5683.3818999999994</v>
          </cell>
          <cell r="CA288">
            <v>5923.1141380000008</v>
          </cell>
          <cell r="CB288">
            <v>89.990440000000007</v>
          </cell>
          <cell r="CC288">
            <v>625.16024100000004</v>
          </cell>
          <cell r="CD288">
            <v>1866.8354609999997</v>
          </cell>
          <cell r="CE288">
            <v>8.9031990000000008</v>
          </cell>
          <cell r="CF288">
            <v>1303.5289479999999</v>
          </cell>
          <cell r="CG288">
            <v>405.06198599999993</v>
          </cell>
          <cell r="CH288">
            <v>3451.2442359999995</v>
          </cell>
          <cell r="CI288">
            <v>216.08890299999999</v>
          </cell>
          <cell r="CJ288">
            <v>568.32510100000002</v>
          </cell>
          <cell r="CK288">
            <v>65149.382337000003</v>
          </cell>
          <cell r="CL288">
            <v>63938.982584999998</v>
          </cell>
          <cell r="CM288">
            <v>3.7766879999999996</v>
          </cell>
          <cell r="CN288">
            <v>9.2074189999999998</v>
          </cell>
          <cell r="CO288">
            <v>2239.9067009999999</v>
          </cell>
          <cell r="CP288">
            <v>2239.864771</v>
          </cell>
          <cell r="CQ288">
            <v>1255.9103</v>
          </cell>
          <cell r="CR288">
            <v>1802.4843309999999</v>
          </cell>
          <cell r="CS288">
            <v>1318.5244949999999</v>
          </cell>
          <cell r="CT288">
            <v>1210.1817449999999</v>
          </cell>
          <cell r="CU288">
            <v>0.760683</v>
          </cell>
          <cell r="CV288">
            <v>15.510594000000001</v>
          </cell>
          <cell r="CW288">
            <v>157.542689</v>
          </cell>
          <cell r="CX288">
            <v>93214.832095000005</v>
          </cell>
          <cell r="CY288">
            <v>715.33473896406235</v>
          </cell>
          <cell r="CZ288">
            <v>655.96</v>
          </cell>
          <cell r="DA288">
            <v>193.14037952029682</v>
          </cell>
          <cell r="DB288">
            <v>522.24507692307691</v>
          </cell>
          <cell r="DC288">
            <v>125</v>
          </cell>
          <cell r="DD288">
            <v>500</v>
          </cell>
          <cell r="DE288">
            <v>645.9438006138837</v>
          </cell>
          <cell r="DF288">
            <v>41.426923076923082</v>
          </cell>
          <cell r="DG288">
            <v>312.59293699429912</v>
          </cell>
          <cell r="DH288">
            <v>7887.5672229431411</v>
          </cell>
          <cell r="DI288">
            <v>24529.11372307692</v>
          </cell>
          <cell r="DJ288">
            <v>322.6363322071187</v>
          </cell>
          <cell r="DK288">
            <v>17860.274080230578</v>
          </cell>
          <cell r="DL288">
            <v>0</v>
          </cell>
          <cell r="DM288">
            <v>0</v>
          </cell>
          <cell r="DN288">
            <v>0</v>
          </cell>
          <cell r="DO288">
            <v>0</v>
          </cell>
          <cell r="DP288">
            <v>0</v>
          </cell>
          <cell r="DQ288">
            <v>0</v>
          </cell>
          <cell r="DR288">
            <v>0</v>
          </cell>
          <cell r="DS288">
            <v>0</v>
          </cell>
          <cell r="DT288">
            <v>0</v>
          </cell>
          <cell r="DU288">
            <v>0</v>
          </cell>
          <cell r="DV288">
            <v>0</v>
          </cell>
          <cell r="DY288">
            <v>7</v>
          </cell>
        </row>
        <row r="289">
          <cell r="F289">
            <v>36872.6875</v>
          </cell>
          <cell r="G289">
            <v>979.76454899999999</v>
          </cell>
          <cell r="H289">
            <v>11508.101149999999</v>
          </cell>
          <cell r="I289">
            <v>1121.6904239999999</v>
          </cell>
          <cell r="J289">
            <v>5784.2705299999998</v>
          </cell>
          <cell r="K289">
            <v>29031.557717</v>
          </cell>
          <cell r="L289">
            <v>7856.5856319999994</v>
          </cell>
          <cell r="M289">
            <v>2255.3595059999998</v>
          </cell>
          <cell r="N289">
            <v>53.638691999999999</v>
          </cell>
          <cell r="O289">
            <v>342.04050000000001</v>
          </cell>
          <cell r="P289">
            <v>2966.9132199999999</v>
          </cell>
          <cell r="Q289">
            <v>2613.1522129999998</v>
          </cell>
          <cell r="R289">
            <v>401.08679999999998</v>
          </cell>
          <cell r="S289">
            <v>838.48720199999991</v>
          </cell>
          <cell r="T289">
            <v>29.922846</v>
          </cell>
          <cell r="U289">
            <v>6697.8328359999996</v>
          </cell>
          <cell r="V289">
            <v>20257.511995999997</v>
          </cell>
          <cell r="W289">
            <v>15787.442698999999</v>
          </cell>
          <cell r="X289">
            <v>1569.2611769999999</v>
          </cell>
          <cell r="Y289">
            <v>25.972052999999999</v>
          </cell>
          <cell r="Z289">
            <v>669.39771199999996</v>
          </cell>
          <cell r="AA289">
            <v>3.242645</v>
          </cell>
          <cell r="AB289">
            <v>110793.23209900002</v>
          </cell>
          <cell r="AC289">
            <v>3421.0296020000001</v>
          </cell>
          <cell r="AD289">
            <v>1382.421838</v>
          </cell>
          <cell r="AE289">
            <v>0</v>
          </cell>
          <cell r="AF289">
            <v>1539.641995</v>
          </cell>
          <cell r="AG289">
            <v>927.38029799999993</v>
          </cell>
          <cell r="AH289">
            <v>7.75</v>
          </cell>
          <cell r="AI289">
            <v>253.856393</v>
          </cell>
          <cell r="AJ289">
            <v>182.47109999999998</v>
          </cell>
          <cell r="AK289">
            <v>1024.454919</v>
          </cell>
          <cell r="AL289">
            <v>61.287349999999996</v>
          </cell>
          <cell r="AM289">
            <v>540.06869399999994</v>
          </cell>
          <cell r="AN289">
            <v>12464.487896999999</v>
          </cell>
          <cell r="AO289">
            <v>12244.123275</v>
          </cell>
          <cell r="AP289">
            <v>2.6993659999999999</v>
          </cell>
          <cell r="AQ289">
            <v>5.7784999999999993</v>
          </cell>
          <cell r="AR289">
            <v>245.21642399999999</v>
          </cell>
          <cell r="AS289">
            <v>245.21642399999999</v>
          </cell>
          <cell r="AT289">
            <v>480.00945899999999</v>
          </cell>
          <cell r="AU289">
            <v>519.25949100000003</v>
          </cell>
          <cell r="AV289">
            <v>110.160032</v>
          </cell>
          <cell r="AW289">
            <v>58.293851999999994</v>
          </cell>
          <cell r="AX289">
            <v>0</v>
          </cell>
          <cell r="AY289">
            <v>23.441019999999998</v>
          </cell>
          <cell r="AZ289">
            <v>97.816642999999999</v>
          </cell>
          <cell r="BA289">
            <v>23347.524872999995</v>
          </cell>
          <cell r="BB289">
            <v>0</v>
          </cell>
          <cell r="BC289">
            <v>5421.1771210000006</v>
          </cell>
          <cell r="BD289">
            <v>30618.996807</v>
          </cell>
          <cell r="BE289">
            <v>4672.4738789999992</v>
          </cell>
          <cell r="BF289">
            <v>21454.979292999997</v>
          </cell>
          <cell r="BG289">
            <v>86785.330573999992</v>
          </cell>
          <cell r="BH289">
            <v>40328.751917000001</v>
          </cell>
          <cell r="BI289">
            <v>9888.9792269999998</v>
          </cell>
          <cell r="BJ289">
            <v>199.82775399999997</v>
          </cell>
          <cell r="BK289">
            <v>1549.7839300000001</v>
          </cell>
          <cell r="BL289">
            <v>9466.6684100000002</v>
          </cell>
          <cell r="BM289">
            <v>7266.7291779999996</v>
          </cell>
          <cell r="BN289">
            <v>1194.3000050000001</v>
          </cell>
          <cell r="BO289">
            <v>3141.3022980000001</v>
          </cell>
          <cell r="BP289">
            <v>40.327833999999996</v>
          </cell>
          <cell r="BQ289">
            <v>23978.858274999999</v>
          </cell>
          <cell r="BR289">
            <v>58945.795321999991</v>
          </cell>
          <cell r="BS289">
            <v>39038.883912999998</v>
          </cell>
          <cell r="BT289">
            <v>6072.3899980000006</v>
          </cell>
          <cell r="BU289">
            <v>167.348984</v>
          </cell>
          <cell r="BV289">
            <v>2291.7373809999999</v>
          </cell>
          <cell r="BW289">
            <v>58.069870000000009</v>
          </cell>
          <cell r="BX289">
            <v>352582.71197</v>
          </cell>
          <cell r="BY289">
            <v>0</v>
          </cell>
          <cell r="BZ289">
            <v>9104.411501999999</v>
          </cell>
          <cell r="CA289">
            <v>7305.535976000001</v>
          </cell>
          <cell r="CB289">
            <v>89.990440000000007</v>
          </cell>
          <cell r="CC289">
            <v>2164.802236</v>
          </cell>
          <cell r="CD289">
            <v>2794.2157589999997</v>
          </cell>
          <cell r="CE289">
            <v>16.653199000000001</v>
          </cell>
          <cell r="CF289">
            <v>1557.3853409999999</v>
          </cell>
          <cell r="CG289">
            <v>587.53308599999991</v>
          </cell>
          <cell r="CH289">
            <v>4475.6991549999993</v>
          </cell>
          <cell r="CI289">
            <v>277.37625299999996</v>
          </cell>
          <cell r="CJ289">
            <v>1108.393795</v>
          </cell>
          <cell r="CK289">
            <v>77613.870234000002</v>
          </cell>
          <cell r="CL289">
            <v>76183.105859999996</v>
          </cell>
          <cell r="CM289">
            <v>6.4760539999999995</v>
          </cell>
          <cell r="CN289">
            <v>14.985918999999999</v>
          </cell>
          <cell r="CO289">
            <v>2485.1231250000001</v>
          </cell>
          <cell r="CP289">
            <v>2485.0811950000002</v>
          </cell>
          <cell r="CQ289">
            <v>1735.9197589999999</v>
          </cell>
          <cell r="CR289">
            <v>2321.7438219999999</v>
          </cell>
          <cell r="CS289">
            <v>1428.6845269999999</v>
          </cell>
          <cell r="CT289">
            <v>1268.4755969999999</v>
          </cell>
          <cell r="CU289">
            <v>0.760683</v>
          </cell>
          <cell r="CV289">
            <v>38.951613999999999</v>
          </cell>
          <cell r="CW289">
            <v>255.35933199999999</v>
          </cell>
          <cell r="CX289">
            <v>116562.35696800001</v>
          </cell>
          <cell r="CY289">
            <v>669.04734219897477</v>
          </cell>
          <cell r="CZ289">
            <v>655.96</v>
          </cell>
          <cell r="DA289">
            <v>197.17519266024598</v>
          </cell>
          <cell r="DB289">
            <v>450.08947692307692</v>
          </cell>
          <cell r="DC289">
            <v>125</v>
          </cell>
          <cell r="DD289">
            <v>500</v>
          </cell>
          <cell r="DE289">
            <v>701.9624748</v>
          </cell>
          <cell r="DF289">
            <v>47.634615384615394</v>
          </cell>
          <cell r="DG289">
            <v>311.59020490596043</v>
          </cell>
          <cell r="DH289">
            <v>7353.5194076638663</v>
          </cell>
          <cell r="DI289">
            <v>50278.324830769227</v>
          </cell>
          <cell r="DJ289">
            <v>1530.965963992114</v>
          </cell>
          <cell r="DK289">
            <v>17726.005147678832</v>
          </cell>
          <cell r="DL289">
            <v>33.059578082182853</v>
          </cell>
          <cell r="DM289">
            <v>0</v>
          </cell>
          <cell r="DN289">
            <v>0</v>
          </cell>
          <cell r="DO289">
            <v>0</v>
          </cell>
          <cell r="DP289">
            <v>0</v>
          </cell>
          <cell r="DQ289">
            <v>0</v>
          </cell>
          <cell r="DR289">
            <v>0</v>
          </cell>
          <cell r="DS289">
            <v>0</v>
          </cell>
          <cell r="DT289">
            <v>0</v>
          </cell>
          <cell r="DU289">
            <v>0</v>
          </cell>
          <cell r="DV289">
            <v>0</v>
          </cell>
          <cell r="DY289">
            <v>8</v>
          </cell>
        </row>
        <row r="290">
          <cell r="F290">
            <v>36964</v>
          </cell>
          <cell r="G290">
            <v>770.96928300000002</v>
          </cell>
          <cell r="H290">
            <v>7591.3532999999998</v>
          </cell>
          <cell r="I290">
            <v>1188.9975439999998</v>
          </cell>
          <cell r="J290">
            <v>7079.7220889999999</v>
          </cell>
          <cell r="K290">
            <v>24699.125382999999</v>
          </cell>
          <cell r="L290">
            <v>9770.0328310000004</v>
          </cell>
          <cell r="M290">
            <v>2560.8109099999997</v>
          </cell>
          <cell r="N290">
            <v>50.336366999999996</v>
          </cell>
          <cell r="O290">
            <v>333.63836599999996</v>
          </cell>
          <cell r="P290">
            <v>2724.307147</v>
          </cell>
          <cell r="Q290">
            <v>1799.6677049999998</v>
          </cell>
          <cell r="R290">
            <v>328.75258500000001</v>
          </cell>
          <cell r="S290">
            <v>821.92924799999992</v>
          </cell>
          <cell r="T290">
            <v>25.389016999999999</v>
          </cell>
          <cell r="U290">
            <v>4892.4052849999998</v>
          </cell>
          <cell r="V290">
            <v>12811.442633999999</v>
          </cell>
          <cell r="W290">
            <v>8414.8299589999988</v>
          </cell>
          <cell r="X290">
            <v>1700.4584139999999</v>
          </cell>
          <cell r="Y290">
            <v>112.31809299999999</v>
          </cell>
          <cell r="Z290">
            <v>683.85282999999993</v>
          </cell>
          <cell r="AA290">
            <v>0.61033199999999999</v>
          </cell>
          <cell r="AB290">
            <v>88360.949321999986</v>
          </cell>
          <cell r="AC290">
            <v>3357.2542469999999</v>
          </cell>
          <cell r="AD290">
            <v>1898.062349</v>
          </cell>
          <cell r="AE290">
            <v>0</v>
          </cell>
          <cell r="AF290">
            <v>841.65645599999993</v>
          </cell>
          <cell r="AG290">
            <v>2675.8241519999997</v>
          </cell>
          <cell r="AH290">
            <v>7.3765999999999998</v>
          </cell>
          <cell r="AI290">
            <v>380.44625500000001</v>
          </cell>
          <cell r="AJ290">
            <v>127.40246699999999</v>
          </cell>
          <cell r="AK290">
            <v>1675.501006</v>
          </cell>
          <cell r="AL290">
            <v>85.227159999999998</v>
          </cell>
          <cell r="AM290">
            <v>138.44520199999999</v>
          </cell>
          <cell r="AN290">
            <v>53652.446830000001</v>
          </cell>
          <cell r="AO290">
            <v>53213.398739999997</v>
          </cell>
          <cell r="AP290">
            <v>0.6</v>
          </cell>
          <cell r="AQ290">
            <v>14.145159</v>
          </cell>
          <cell r="AR290">
            <v>312.40954299999999</v>
          </cell>
          <cell r="AS290">
            <v>312.40954299999999</v>
          </cell>
          <cell r="AT290">
            <v>367.63537600000001</v>
          </cell>
          <cell r="AU290">
            <v>751.90471100000002</v>
          </cell>
          <cell r="AV290">
            <v>473.37098699999996</v>
          </cell>
          <cell r="AW290">
            <v>127.35391199999999</v>
          </cell>
          <cell r="AX290">
            <v>0</v>
          </cell>
          <cell r="AY290">
            <v>12.693949</v>
          </cell>
          <cell r="AZ290">
            <v>90.925156000000001</v>
          </cell>
          <cell r="BA290">
            <v>66990.681517000005</v>
          </cell>
          <cell r="BB290">
            <v>0</v>
          </cell>
          <cell r="BC290">
            <v>770.96928300000002</v>
          </cell>
          <cell r="BD290">
            <v>7591.3532999999998</v>
          </cell>
          <cell r="BE290">
            <v>1188.9975439999998</v>
          </cell>
          <cell r="BF290">
            <v>7079.7220889999999</v>
          </cell>
          <cell r="BG290">
            <v>24699.125382999999</v>
          </cell>
          <cell r="BH290">
            <v>9770.0328310000004</v>
          </cell>
          <cell r="BI290">
            <v>2560.8109099999997</v>
          </cell>
          <cell r="BJ290">
            <v>50.336366999999996</v>
          </cell>
          <cell r="BK290">
            <v>333.63836599999996</v>
          </cell>
          <cell r="BL290">
            <v>2724.307147</v>
          </cell>
          <cell r="BM290">
            <v>1799.6677049999998</v>
          </cell>
          <cell r="BN290">
            <v>328.75258500000001</v>
          </cell>
          <cell r="BO290">
            <v>821.92924799999992</v>
          </cell>
          <cell r="BP290">
            <v>25.389016999999999</v>
          </cell>
          <cell r="BQ290">
            <v>4892.4052849999998</v>
          </cell>
          <cell r="BR290">
            <v>12811.442633999999</v>
          </cell>
          <cell r="BS290">
            <v>8414.8299589999988</v>
          </cell>
          <cell r="BT290">
            <v>1700.4584139999999</v>
          </cell>
          <cell r="BU290">
            <v>112.31809299999999</v>
          </cell>
          <cell r="BV290">
            <v>683.85282999999993</v>
          </cell>
          <cell r="BW290">
            <v>0.61033199999999999</v>
          </cell>
          <cell r="BX290">
            <v>88360.949321999986</v>
          </cell>
          <cell r="BY290">
            <v>0</v>
          </cell>
          <cell r="BZ290">
            <v>3357.2542469999999</v>
          </cell>
          <cell r="CA290">
            <v>1898.062349</v>
          </cell>
          <cell r="CB290">
            <v>0</v>
          </cell>
          <cell r="CC290">
            <v>841.65645599999993</v>
          </cell>
          <cell r="CD290">
            <v>2675.8241519999997</v>
          </cell>
          <cell r="CE290">
            <v>7.3765999999999998</v>
          </cell>
          <cell r="CF290">
            <v>380.44625500000001</v>
          </cell>
          <cell r="CG290">
            <v>127.40246699999999</v>
          </cell>
          <cell r="CH290">
            <v>1675.501006</v>
          </cell>
          <cell r="CI290">
            <v>85.227159999999998</v>
          </cell>
          <cell r="CJ290">
            <v>138.44520199999999</v>
          </cell>
          <cell r="CK290">
            <v>53652.446830000001</v>
          </cell>
          <cell r="CL290">
            <v>53213.398739999997</v>
          </cell>
          <cell r="CM290">
            <v>0.6</v>
          </cell>
          <cell r="CN290">
            <v>14.145159</v>
          </cell>
          <cell r="CO290">
            <v>312.40954299999999</v>
          </cell>
          <cell r="CP290">
            <v>312.40954299999999</v>
          </cell>
          <cell r="CQ290">
            <v>367.63537600000001</v>
          </cell>
          <cell r="CR290">
            <v>751.90471100000002</v>
          </cell>
          <cell r="CS290">
            <v>473.37098699999996</v>
          </cell>
          <cell r="CT290">
            <v>127.35391199999999</v>
          </cell>
          <cell r="CU290">
            <v>0</v>
          </cell>
          <cell r="CV290">
            <v>12.693949</v>
          </cell>
          <cell r="CW290">
            <v>90.925156000000001</v>
          </cell>
          <cell r="CX290">
            <v>66990.681517000005</v>
          </cell>
          <cell r="CY290">
            <v>664.53846153846155</v>
          </cell>
          <cell r="CZ290">
            <v>655.96</v>
          </cell>
          <cell r="DA290">
            <v>163.91907692307691</v>
          </cell>
          <cell r="DB290">
            <v>485.41039999999981</v>
          </cell>
          <cell r="DC290">
            <v>125</v>
          </cell>
          <cell r="DD290">
            <v>500</v>
          </cell>
          <cell r="DE290">
            <v>768.38461538461536</v>
          </cell>
          <cell r="DF290">
            <v>51.769230769230766</v>
          </cell>
          <cell r="DG290">
            <v>322.51725083921752</v>
          </cell>
          <cell r="DH290">
            <v>7560.1022131715808</v>
          </cell>
          <cell r="DI290">
            <v>2800</v>
          </cell>
          <cell r="DJ290">
            <v>0</v>
          </cell>
          <cell r="DK290">
            <v>17631.692307692309</v>
          </cell>
          <cell r="DL290">
            <v>0</v>
          </cell>
          <cell r="DM290">
            <v>0</v>
          </cell>
          <cell r="DN290">
            <v>0</v>
          </cell>
          <cell r="DO290">
            <v>0</v>
          </cell>
          <cell r="DP290">
            <v>0</v>
          </cell>
          <cell r="DQ290">
            <v>0</v>
          </cell>
          <cell r="DR290">
            <v>0</v>
          </cell>
          <cell r="DS290">
            <v>0</v>
          </cell>
          <cell r="DT290">
            <v>0</v>
          </cell>
          <cell r="DU290">
            <v>0</v>
          </cell>
          <cell r="DV290">
            <v>0</v>
          </cell>
          <cell r="DY290">
            <v>9</v>
          </cell>
        </row>
        <row r="291">
          <cell r="F291">
            <v>37055.3125</v>
          </cell>
          <cell r="G291">
            <v>1699.1104169999999</v>
          </cell>
          <cell r="H291">
            <v>12472.00707</v>
          </cell>
          <cell r="I291">
            <v>1406.2373599999999</v>
          </cell>
          <cell r="J291">
            <v>9443.1544589999994</v>
          </cell>
          <cell r="K291">
            <v>27134.175717999999</v>
          </cell>
          <cell r="L291">
            <v>12601.349956999999</v>
          </cell>
          <cell r="M291">
            <v>3408.1313449999998</v>
          </cell>
          <cell r="N291">
            <v>39.139158999999999</v>
          </cell>
          <cell r="O291">
            <v>458.72357699999998</v>
          </cell>
          <cell r="P291">
            <v>2302.685567</v>
          </cell>
          <cell r="Q291">
            <v>2798.7986299999998</v>
          </cell>
          <cell r="R291">
            <v>568.51816199999996</v>
          </cell>
          <cell r="S291">
            <v>822.49795699999993</v>
          </cell>
          <cell r="T291">
            <v>45.882238000000001</v>
          </cell>
          <cell r="U291">
            <v>7294.2841389999994</v>
          </cell>
          <cell r="V291">
            <v>14943.133945</v>
          </cell>
          <cell r="W291">
            <v>11293.824322</v>
          </cell>
          <cell r="X291">
            <v>1939.745876</v>
          </cell>
          <cell r="Y291">
            <v>68.221564999999998</v>
          </cell>
          <cell r="Z291">
            <v>540.706818</v>
          </cell>
          <cell r="AA291">
            <v>3.1132269999999997</v>
          </cell>
          <cell r="AB291">
            <v>111283.44150799997</v>
          </cell>
          <cell r="AC291">
            <v>2570.4026130000002</v>
          </cell>
          <cell r="AD291">
            <v>3152.5054</v>
          </cell>
          <cell r="AE291">
            <v>1.4</v>
          </cell>
          <cell r="AF291">
            <v>851.801152</v>
          </cell>
          <cell r="AG291">
            <v>593.58204000000001</v>
          </cell>
          <cell r="AH291">
            <v>16.62114</v>
          </cell>
          <cell r="AI291">
            <v>342.15576799999997</v>
          </cell>
          <cell r="AJ291">
            <v>134.97470799999999</v>
          </cell>
          <cell r="AK291">
            <v>1515.7232529999999</v>
          </cell>
          <cell r="AL291">
            <v>79.888955999999993</v>
          </cell>
          <cell r="AM291">
            <v>78.852531999999997</v>
          </cell>
          <cell r="AN291">
            <v>11049.105298</v>
          </cell>
          <cell r="AO291">
            <v>10668.869341</v>
          </cell>
          <cell r="AP291">
            <v>0.16</v>
          </cell>
          <cell r="AQ291">
            <v>23.415649999999999</v>
          </cell>
          <cell r="AR291">
            <v>267.62089399999996</v>
          </cell>
          <cell r="AS291">
            <v>267.362144</v>
          </cell>
          <cell r="AT291">
            <v>254.51102499999999</v>
          </cell>
          <cell r="AU291">
            <v>380.17054199999995</v>
          </cell>
          <cell r="AV291">
            <v>452.92431599999998</v>
          </cell>
          <cell r="AW291">
            <v>16.326974</v>
          </cell>
          <cell r="AX291">
            <v>0.22</v>
          </cell>
          <cell r="AY291">
            <v>81.637401999999994</v>
          </cell>
          <cell r="AZ291">
            <v>53.399094999999996</v>
          </cell>
          <cell r="BA291">
            <v>21915.998758000002</v>
          </cell>
          <cell r="BB291">
            <v>0</v>
          </cell>
          <cell r="BC291">
            <v>2470.0796999999998</v>
          </cell>
          <cell r="BD291">
            <v>20063.360369999999</v>
          </cell>
          <cell r="BE291">
            <v>2595.2349039999999</v>
          </cell>
          <cell r="BF291">
            <v>16522.876548</v>
          </cell>
          <cell r="BG291">
            <v>51833.301100999997</v>
          </cell>
          <cell r="BH291">
            <v>22371.382787999999</v>
          </cell>
          <cell r="BI291">
            <v>5968.9422549999999</v>
          </cell>
          <cell r="BJ291">
            <v>89.475526000000002</v>
          </cell>
          <cell r="BK291">
            <v>792.36194299999988</v>
          </cell>
          <cell r="BL291">
            <v>5026.992714</v>
          </cell>
          <cell r="BM291">
            <v>4598.4663349999992</v>
          </cell>
          <cell r="BN291">
            <v>897.27074700000003</v>
          </cell>
          <cell r="BO291">
            <v>1644.427205</v>
          </cell>
          <cell r="BP291">
            <v>71.271254999999996</v>
          </cell>
          <cell r="BQ291">
            <v>12186.689424</v>
          </cell>
          <cell r="BR291">
            <v>27754.576579</v>
          </cell>
          <cell r="BS291">
            <v>19708.654280999999</v>
          </cell>
          <cell r="BT291">
            <v>3640.2042899999997</v>
          </cell>
          <cell r="BU291">
            <v>180.53965799999997</v>
          </cell>
          <cell r="BV291">
            <v>1224.5596479999999</v>
          </cell>
          <cell r="BW291">
            <v>3.7235589999999998</v>
          </cell>
          <cell r="BX291">
            <v>199644.39082999996</v>
          </cell>
          <cell r="BY291">
            <v>0</v>
          </cell>
          <cell r="BZ291">
            <v>5927.6568600000001</v>
          </cell>
          <cell r="CA291">
            <v>5050.5677489999998</v>
          </cell>
          <cell r="CB291">
            <v>1.4</v>
          </cell>
          <cell r="CC291">
            <v>1693.4576079999999</v>
          </cell>
          <cell r="CD291">
            <v>3269.4061919999995</v>
          </cell>
          <cell r="CE291">
            <v>23.99774</v>
          </cell>
          <cell r="CF291">
            <v>722.60202299999992</v>
          </cell>
          <cell r="CG291">
            <v>262.37717499999997</v>
          </cell>
          <cell r="CH291">
            <v>3191.2242589999996</v>
          </cell>
          <cell r="CI291">
            <v>165.11611599999998</v>
          </cell>
          <cell r="CJ291">
            <v>217.29773399999999</v>
          </cell>
          <cell r="CK291">
            <v>64701.552128000003</v>
          </cell>
          <cell r="CL291">
            <v>63882.268080999995</v>
          </cell>
          <cell r="CM291">
            <v>0.76</v>
          </cell>
          <cell r="CN291">
            <v>37.560808999999999</v>
          </cell>
          <cell r="CO291">
            <v>580.03043699999989</v>
          </cell>
          <cell r="CP291">
            <v>579.77168699999993</v>
          </cell>
          <cell r="CQ291">
            <v>622.14640099999997</v>
          </cell>
          <cell r="CR291">
            <v>1132.075253</v>
          </cell>
          <cell r="CS291">
            <v>926.29530299999988</v>
          </cell>
          <cell r="CT291">
            <v>143.68088599999999</v>
          </cell>
          <cell r="CU291">
            <v>0.22</v>
          </cell>
          <cell r="CV291">
            <v>94.331350999999998</v>
          </cell>
          <cell r="CW291">
            <v>144.324251</v>
          </cell>
          <cell r="CX291">
            <v>88906.680275000006</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Y291">
            <v>10</v>
          </cell>
        </row>
        <row r="292">
          <cell r="F292">
            <v>37146.625</v>
          </cell>
          <cell r="G292">
            <v>1289.9472989999999</v>
          </cell>
          <cell r="H292">
            <v>12902.254246999999</v>
          </cell>
          <cell r="I292">
            <v>1493.242485</v>
          </cell>
          <cell r="J292">
            <v>7546.3635569999997</v>
          </cell>
          <cell r="K292">
            <v>25128.189612999999</v>
          </cell>
          <cell r="L292">
            <v>12039.09964</v>
          </cell>
          <cell r="M292">
            <v>2891.9516939999999</v>
          </cell>
          <cell r="N292">
            <v>67.239047999999997</v>
          </cell>
          <cell r="O292">
            <v>505.90073099999995</v>
          </cell>
          <cell r="P292">
            <v>3191.8377</v>
          </cell>
          <cell r="Q292">
            <v>2063.336405</v>
          </cell>
          <cell r="R292">
            <v>365.40831800000001</v>
          </cell>
          <cell r="S292">
            <v>1045.568794</v>
          </cell>
          <cell r="T292">
            <v>43.223849999999999</v>
          </cell>
          <cell r="U292">
            <v>6303.3323329999994</v>
          </cell>
          <cell r="V292">
            <v>9633.3683209999999</v>
          </cell>
          <cell r="W292">
            <v>9794.1429799999987</v>
          </cell>
          <cell r="X292">
            <v>1547.6904999999999</v>
          </cell>
          <cell r="Y292">
            <v>313.01608799999997</v>
          </cell>
          <cell r="Z292">
            <v>719.12725699999999</v>
          </cell>
          <cell r="AA292">
            <v>0.88242399999999999</v>
          </cell>
          <cell r="AB292">
            <v>98885.123284000001</v>
          </cell>
          <cell r="AC292">
            <v>1449.584891</v>
          </cell>
          <cell r="AD292">
            <v>2508.1031509999998</v>
          </cell>
          <cell r="AE292">
            <v>0</v>
          </cell>
          <cell r="AF292">
            <v>958.34298100000001</v>
          </cell>
          <cell r="AG292">
            <v>443.055387</v>
          </cell>
          <cell r="AH292">
            <v>0</v>
          </cell>
          <cell r="AI292">
            <v>284.65630999999996</v>
          </cell>
          <cell r="AJ292">
            <v>128.74767299999999</v>
          </cell>
          <cell r="AK292">
            <v>586.73100699999998</v>
          </cell>
          <cell r="AL292">
            <v>135.00299200000001</v>
          </cell>
          <cell r="AM292">
            <v>80.673355000000001</v>
          </cell>
          <cell r="AN292">
            <v>9985.9675599999991</v>
          </cell>
          <cell r="AO292">
            <v>9682.1834839999992</v>
          </cell>
          <cell r="AP292">
            <v>1.34945</v>
          </cell>
          <cell r="AQ292">
            <v>33.157882000000001</v>
          </cell>
          <cell r="AR292">
            <v>141.821833</v>
          </cell>
          <cell r="AS292">
            <v>141.355233</v>
          </cell>
          <cell r="AT292">
            <v>241.11874</v>
          </cell>
          <cell r="AU292">
            <v>1329.0764879999999</v>
          </cell>
          <cell r="AV292">
            <v>351.32916999999998</v>
          </cell>
          <cell r="AW292">
            <v>31.080064</v>
          </cell>
          <cell r="AX292">
            <v>0</v>
          </cell>
          <cell r="AY292">
            <v>50.136899999999997</v>
          </cell>
          <cell r="AZ292">
            <v>119.18316499999999</v>
          </cell>
          <cell r="BA292">
            <v>18859.118999000006</v>
          </cell>
          <cell r="BB292">
            <v>0</v>
          </cell>
          <cell r="BC292">
            <v>3760.0269989999997</v>
          </cell>
          <cell r="BD292">
            <v>32965.614616999999</v>
          </cell>
          <cell r="BE292">
            <v>4088.4773889999997</v>
          </cell>
          <cell r="BF292">
            <v>24069.240105000001</v>
          </cell>
          <cell r="BG292">
            <v>76961.490714</v>
          </cell>
          <cell r="BH292">
            <v>34410.482428000003</v>
          </cell>
          <cell r="BI292">
            <v>8860.8939489999993</v>
          </cell>
          <cell r="BJ292">
            <v>156.714574</v>
          </cell>
          <cell r="BK292">
            <v>1298.2626739999998</v>
          </cell>
          <cell r="BL292">
            <v>8218.830414</v>
          </cell>
          <cell r="BM292">
            <v>6661.8027399999992</v>
          </cell>
          <cell r="BN292">
            <v>1262.679065</v>
          </cell>
          <cell r="BO292">
            <v>2689.9959989999998</v>
          </cell>
          <cell r="BP292">
            <v>114.495105</v>
          </cell>
          <cell r="BQ292">
            <v>18490.021756999999</v>
          </cell>
          <cell r="BR292">
            <v>37387.944900000002</v>
          </cell>
          <cell r="BS292">
            <v>29502.797261</v>
          </cell>
          <cell r="BT292">
            <v>5187.8947899999994</v>
          </cell>
          <cell r="BU292">
            <v>493.55574599999994</v>
          </cell>
          <cell r="BV292">
            <v>1943.686905</v>
          </cell>
          <cell r="BW292">
            <v>4.6059830000000002</v>
          </cell>
          <cell r="BX292">
            <v>298529.51411399996</v>
          </cell>
          <cell r="BY292">
            <v>0</v>
          </cell>
          <cell r="BZ292">
            <v>7377.2417509999996</v>
          </cell>
          <cell r="CA292">
            <v>7558.6708999999992</v>
          </cell>
          <cell r="CB292">
            <v>1.4</v>
          </cell>
          <cell r="CC292">
            <v>2651.8005889999999</v>
          </cell>
          <cell r="CD292">
            <v>3712.4615789999993</v>
          </cell>
          <cell r="CE292">
            <v>23.99774</v>
          </cell>
          <cell r="CF292">
            <v>1007.2583329999999</v>
          </cell>
          <cell r="CG292">
            <v>391.12484799999993</v>
          </cell>
          <cell r="CH292">
            <v>3777.9552659999995</v>
          </cell>
          <cell r="CI292">
            <v>300.11910799999998</v>
          </cell>
          <cell r="CJ292">
            <v>297.97108900000001</v>
          </cell>
          <cell r="CK292">
            <v>74687.519688</v>
          </cell>
          <cell r="CL292">
            <v>73564.451564999996</v>
          </cell>
          <cell r="CM292">
            <v>2.1094499999999998</v>
          </cell>
          <cell r="CN292">
            <v>70.718691000000007</v>
          </cell>
          <cell r="CO292">
            <v>721.85226999999986</v>
          </cell>
          <cell r="CP292">
            <v>721.12691999999993</v>
          </cell>
          <cell r="CQ292">
            <v>863.26514099999997</v>
          </cell>
          <cell r="CR292">
            <v>2461.1517409999997</v>
          </cell>
          <cell r="CS292">
            <v>1277.6244729999999</v>
          </cell>
          <cell r="CT292">
            <v>174.76094999999998</v>
          </cell>
          <cell r="CU292">
            <v>0.22</v>
          </cell>
          <cell r="CV292">
            <v>144.46825100000001</v>
          </cell>
          <cell r="CW292">
            <v>263.50741599999998</v>
          </cell>
          <cell r="CX292">
            <v>107765.79927400002</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Y292">
            <v>11</v>
          </cell>
        </row>
        <row r="293">
          <cell r="F293">
            <v>37237.9375</v>
          </cell>
          <cell r="G293">
            <v>1211.9817109999999</v>
          </cell>
          <cell r="H293">
            <v>11489.492996999999</v>
          </cell>
          <cell r="I293">
            <v>1427.9925469999998</v>
          </cell>
          <cell r="J293">
            <v>9187.0594849999998</v>
          </cell>
          <cell r="K293">
            <v>25004.929312</v>
          </cell>
          <cell r="L293">
            <v>13696.792829999999</v>
          </cell>
          <cell r="M293">
            <v>3162.8177439999999</v>
          </cell>
          <cell r="N293">
            <v>75.074703</v>
          </cell>
          <cell r="O293">
            <v>543.22058400000003</v>
          </cell>
          <cell r="P293">
            <v>2412.6976479999998</v>
          </cell>
          <cell r="Q293">
            <v>4930.3500329999997</v>
          </cell>
          <cell r="R293">
            <v>624.40510799999993</v>
          </cell>
          <cell r="S293">
            <v>737.10598299999992</v>
          </cell>
          <cell r="T293">
            <v>6.4783390000000001</v>
          </cell>
          <cell r="U293">
            <v>7396.5399600000001</v>
          </cell>
          <cell r="V293">
            <v>10822.537398</v>
          </cell>
          <cell r="W293">
            <v>10594.183019</v>
          </cell>
          <cell r="X293">
            <v>1620.8100629999999</v>
          </cell>
          <cell r="Y293">
            <v>59.925111999999999</v>
          </cell>
          <cell r="Z293">
            <v>827.34036399999991</v>
          </cell>
          <cell r="AA293">
            <v>8.2154659999999993</v>
          </cell>
          <cell r="AB293">
            <v>105839.95040599999</v>
          </cell>
          <cell r="AC293">
            <v>2453.9359720000002</v>
          </cell>
          <cell r="AD293">
            <v>3078.030988</v>
          </cell>
          <cell r="AE293">
            <v>10.128499999999999</v>
          </cell>
          <cell r="AF293">
            <v>994.14298099999996</v>
          </cell>
          <cell r="AG293">
            <v>576.23488099999997</v>
          </cell>
          <cell r="AH293">
            <v>3.4224999999999999</v>
          </cell>
          <cell r="AI293">
            <v>150.168497</v>
          </cell>
          <cell r="AJ293">
            <v>138.23999499999999</v>
          </cell>
          <cell r="AK293">
            <v>2430.7348919999999</v>
          </cell>
          <cell r="AL293">
            <v>103.07171699999999</v>
          </cell>
          <cell r="AM293">
            <v>98.386473999999993</v>
          </cell>
          <cell r="AN293">
            <v>5793.6307550000001</v>
          </cell>
          <cell r="AO293">
            <v>5584.6602860000003</v>
          </cell>
          <cell r="AP293">
            <v>0</v>
          </cell>
          <cell r="AQ293">
            <v>1.3631</v>
          </cell>
          <cell r="AR293">
            <v>234.39542899999998</v>
          </cell>
          <cell r="AS293">
            <v>232.96121400000001</v>
          </cell>
          <cell r="AT293">
            <v>259.47654199999999</v>
          </cell>
          <cell r="AU293">
            <v>1597.210012</v>
          </cell>
          <cell r="AV293">
            <v>421.30694599999998</v>
          </cell>
          <cell r="AW293">
            <v>85.872706999999991</v>
          </cell>
          <cell r="AX293">
            <v>0</v>
          </cell>
          <cell r="AY293">
            <v>6.6384999999999996</v>
          </cell>
          <cell r="AZ293">
            <v>135.350931</v>
          </cell>
          <cell r="BA293">
            <v>18561.613819000002</v>
          </cell>
          <cell r="BB293">
            <v>0</v>
          </cell>
          <cell r="BC293">
            <v>4972.0087100000001</v>
          </cell>
          <cell r="BD293">
            <v>44455.107614</v>
          </cell>
          <cell r="BE293">
            <v>5516.4699359999995</v>
          </cell>
          <cell r="BF293">
            <v>33256.299590000002</v>
          </cell>
          <cell r="BG293">
            <v>101966.42002600001</v>
          </cell>
          <cell r="BH293">
            <v>48107.275258000001</v>
          </cell>
          <cell r="BI293">
            <v>12023.711692999999</v>
          </cell>
          <cell r="BJ293">
            <v>231.789277</v>
          </cell>
          <cell r="BK293">
            <v>1841.4832579999998</v>
          </cell>
          <cell r="BL293">
            <v>10631.528061999999</v>
          </cell>
          <cell r="BM293">
            <v>11592.152772999998</v>
          </cell>
          <cell r="BN293">
            <v>1887.084173</v>
          </cell>
          <cell r="BO293">
            <v>3427.1019819999997</v>
          </cell>
          <cell r="BP293">
            <v>120.973444</v>
          </cell>
          <cell r="BQ293">
            <v>25886.561716999997</v>
          </cell>
          <cell r="BR293">
            <v>48210.482298000003</v>
          </cell>
          <cell r="BS293">
            <v>40096.980280000003</v>
          </cell>
          <cell r="BT293">
            <v>6808.7048529999993</v>
          </cell>
          <cell r="BU293">
            <v>553.4808579999999</v>
          </cell>
          <cell r="BV293">
            <v>2771.0272690000002</v>
          </cell>
          <cell r="BW293">
            <v>12.821448999999999</v>
          </cell>
          <cell r="BX293">
            <v>404369.46451999992</v>
          </cell>
          <cell r="BY293">
            <v>0</v>
          </cell>
          <cell r="BZ293">
            <v>9831.1777230000007</v>
          </cell>
          <cell r="CA293">
            <v>10636.701888</v>
          </cell>
          <cell r="CB293">
            <v>11.528499999999999</v>
          </cell>
          <cell r="CC293">
            <v>3645.9435699999999</v>
          </cell>
          <cell r="CD293">
            <v>4288.6964599999992</v>
          </cell>
          <cell r="CE293">
            <v>27.42024</v>
          </cell>
          <cell r="CF293">
            <v>1157.4268299999999</v>
          </cell>
          <cell r="CG293">
            <v>529.36484299999995</v>
          </cell>
          <cell r="CH293">
            <v>6208.6901579999994</v>
          </cell>
          <cell r="CI293">
            <v>403.19082499999996</v>
          </cell>
          <cell r="CJ293">
            <v>396.35756300000003</v>
          </cell>
          <cell r="CK293">
            <v>80481.150443000006</v>
          </cell>
          <cell r="CL293">
            <v>79149.111850999994</v>
          </cell>
          <cell r="CM293">
            <v>2.1094499999999998</v>
          </cell>
          <cell r="CN293">
            <v>72.08179100000001</v>
          </cell>
          <cell r="CO293">
            <v>956.24769899999978</v>
          </cell>
          <cell r="CP293">
            <v>954.08813399999997</v>
          </cell>
          <cell r="CQ293">
            <v>1122.741683</v>
          </cell>
          <cell r="CR293">
            <v>4058.3617529999997</v>
          </cell>
          <cell r="CS293">
            <v>1698.9314189999998</v>
          </cell>
          <cell r="CT293">
            <v>260.63365699999997</v>
          </cell>
          <cell r="CU293">
            <v>0.22</v>
          </cell>
          <cell r="CV293">
            <v>151.106751</v>
          </cell>
          <cell r="CW293">
            <v>398.85834699999998</v>
          </cell>
          <cell r="CX293">
            <v>126327.41309300002</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31.240591631456365</v>
          </cell>
          <cell r="DM293">
            <v>0</v>
          </cell>
          <cell r="DN293">
            <v>0</v>
          </cell>
          <cell r="DO293">
            <v>0</v>
          </cell>
          <cell r="DP293">
            <v>0</v>
          </cell>
          <cell r="DQ293">
            <v>0</v>
          </cell>
          <cell r="DR293">
            <v>0</v>
          </cell>
          <cell r="DS293">
            <v>0</v>
          </cell>
          <cell r="DT293">
            <v>0</v>
          </cell>
          <cell r="DU293">
            <v>0</v>
          </cell>
          <cell r="DV293">
            <v>0</v>
          </cell>
          <cell r="DY293">
            <v>12</v>
          </cell>
        </row>
        <row r="294">
          <cell r="F294">
            <v>37329.25</v>
          </cell>
          <cell r="G294">
            <v>1701.240599</v>
          </cell>
          <cell r="H294">
            <v>11271.555999</v>
          </cell>
          <cell r="I294">
            <v>1297.25272</v>
          </cell>
          <cell r="J294">
            <v>11227.16188</v>
          </cell>
          <cell r="K294">
            <v>26581.536904999997</v>
          </cell>
          <cell r="L294">
            <v>13801.608123</v>
          </cell>
          <cell r="M294">
            <v>3938.6383489999998</v>
          </cell>
          <cell r="N294">
            <v>58.810708999999996</v>
          </cell>
          <cell r="O294">
            <v>712.85934199999997</v>
          </cell>
          <cell r="P294">
            <v>2750.9474230000001</v>
          </cell>
          <cell r="Q294">
            <v>3552.3410629999998</v>
          </cell>
          <cell r="R294">
            <v>653.12811999999997</v>
          </cell>
          <cell r="S294">
            <v>1705.1609079999998</v>
          </cell>
          <cell r="T294">
            <v>13.049294</v>
          </cell>
          <cell r="U294">
            <v>11477.862164999999</v>
          </cell>
          <cell r="V294">
            <v>18318.884491000001</v>
          </cell>
          <cell r="W294">
            <v>15276.564791999999</v>
          </cell>
          <cell r="X294">
            <v>1966.20165</v>
          </cell>
          <cell r="Y294">
            <v>59.640428999999997</v>
          </cell>
          <cell r="Z294">
            <v>1077.3873779999999</v>
          </cell>
          <cell r="AA294">
            <v>0.5625</v>
          </cell>
          <cell r="AB294">
            <v>127442.39483900002</v>
          </cell>
          <cell r="AC294">
            <v>4016.3427959999999</v>
          </cell>
          <cell r="AD294">
            <v>5153.7225509999998</v>
          </cell>
          <cell r="AE294">
            <v>63.002199999999995</v>
          </cell>
          <cell r="AF294">
            <v>591.45430799999997</v>
          </cell>
          <cell r="AG294">
            <v>2010.8455899999999</v>
          </cell>
          <cell r="AH294">
            <v>16.940486</v>
          </cell>
          <cell r="AI294">
            <v>155.81806499999999</v>
          </cell>
          <cell r="AJ294">
            <v>245.532431</v>
          </cell>
          <cell r="AK294">
            <v>2025.9471899999999</v>
          </cell>
          <cell r="AL294">
            <v>1409.203426</v>
          </cell>
          <cell r="AM294">
            <v>26.830621999999998</v>
          </cell>
          <cell r="AN294">
            <v>21268.731168999999</v>
          </cell>
          <cell r="AO294">
            <v>20355.909671000001</v>
          </cell>
          <cell r="AP294">
            <v>0.17156199999999999</v>
          </cell>
          <cell r="AQ294">
            <v>39.612452999999995</v>
          </cell>
          <cell r="AR294">
            <v>139.977733</v>
          </cell>
          <cell r="AS294">
            <v>139.977733</v>
          </cell>
          <cell r="AT294">
            <v>736.27709199999993</v>
          </cell>
          <cell r="AU294">
            <v>874.31702999999993</v>
          </cell>
          <cell r="AV294">
            <v>355.260334</v>
          </cell>
          <cell r="AW294">
            <v>40.375754000000001</v>
          </cell>
          <cell r="AX294">
            <v>0</v>
          </cell>
          <cell r="AY294">
            <v>32.298003999999999</v>
          </cell>
          <cell r="AZ294">
            <v>126.57107699999999</v>
          </cell>
          <cell r="BA294">
            <v>39266.229672999994</v>
          </cell>
          <cell r="BB294">
            <v>0</v>
          </cell>
          <cell r="BC294">
            <v>1701.240599</v>
          </cell>
          <cell r="BD294">
            <v>11271.555999</v>
          </cell>
          <cell r="BE294">
            <v>1297.25272</v>
          </cell>
          <cell r="BF294">
            <v>11227.16188</v>
          </cell>
          <cell r="BG294">
            <v>26581.536904999997</v>
          </cell>
          <cell r="BH294">
            <v>13801.608123</v>
          </cell>
          <cell r="BI294">
            <v>3938.6383489999998</v>
          </cell>
          <cell r="BJ294">
            <v>58.810708999999996</v>
          </cell>
          <cell r="BK294">
            <v>712.85934199999997</v>
          </cell>
          <cell r="BL294">
            <v>2750.9474230000001</v>
          </cell>
          <cell r="BM294">
            <v>3552.3410629999998</v>
          </cell>
          <cell r="BN294">
            <v>653.12811999999997</v>
          </cell>
          <cell r="BO294">
            <v>1705.1609079999998</v>
          </cell>
          <cell r="BP294">
            <v>13.049294</v>
          </cell>
          <cell r="BQ294">
            <v>11477.862164999999</v>
          </cell>
          <cell r="BR294">
            <v>18318.884491000001</v>
          </cell>
          <cell r="BS294">
            <v>15276.564791999999</v>
          </cell>
          <cell r="BT294">
            <v>1966.20165</v>
          </cell>
          <cell r="BU294">
            <v>59.640428999999997</v>
          </cell>
          <cell r="BV294">
            <v>1077.3873779999999</v>
          </cell>
          <cell r="BW294">
            <v>0.5625</v>
          </cell>
          <cell r="BX294">
            <v>127442.39483900002</v>
          </cell>
          <cell r="BY294">
            <v>0</v>
          </cell>
          <cell r="BZ294">
            <v>4016.3427959999999</v>
          </cell>
          <cell r="CA294">
            <v>5153.7225509999998</v>
          </cell>
          <cell r="CB294">
            <v>63.002199999999995</v>
          </cell>
          <cell r="CC294">
            <v>591.45430799999997</v>
          </cell>
          <cell r="CD294">
            <v>2010.8455899999999</v>
          </cell>
          <cell r="CE294">
            <v>16.940486</v>
          </cell>
          <cell r="CF294">
            <v>155.81806499999999</v>
          </cell>
          <cell r="CG294">
            <v>245.532431</v>
          </cell>
          <cell r="CH294">
            <v>2025.9471899999999</v>
          </cell>
          <cell r="CI294">
            <v>1409.203426</v>
          </cell>
          <cell r="CJ294">
            <v>26.830621999999998</v>
          </cell>
          <cell r="CK294">
            <v>21268.731168999999</v>
          </cell>
          <cell r="CL294">
            <v>20355.909671000001</v>
          </cell>
          <cell r="CM294">
            <v>0.17156199999999999</v>
          </cell>
          <cell r="CN294">
            <v>39.612452999999995</v>
          </cell>
          <cell r="CO294">
            <v>139.977733</v>
          </cell>
          <cell r="CP294">
            <v>139.977733</v>
          </cell>
          <cell r="CQ294">
            <v>736.27709199999993</v>
          </cell>
          <cell r="CR294">
            <v>874.31702999999993</v>
          </cell>
          <cell r="CS294">
            <v>355.260334</v>
          </cell>
          <cell r="CT294">
            <v>40.375754000000001</v>
          </cell>
          <cell r="CU294">
            <v>0</v>
          </cell>
          <cell r="CV294">
            <v>32.298003999999999</v>
          </cell>
          <cell r="CW294">
            <v>126.57107699999999</v>
          </cell>
          <cell r="CX294">
            <v>39266.229672999994</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Y294">
            <v>13</v>
          </cell>
        </row>
        <row r="295">
          <cell r="F295">
            <v>37420.5625</v>
          </cell>
          <cell r="G295">
            <v>1050.2544619999999</v>
          </cell>
          <cell r="H295">
            <v>10987.775893</v>
          </cell>
          <cell r="I295">
            <v>1497.636694</v>
          </cell>
          <cell r="J295">
            <v>8035.4389699999992</v>
          </cell>
          <cell r="K295">
            <v>20937.054435999999</v>
          </cell>
          <cell r="L295">
            <v>19219.513048999997</v>
          </cell>
          <cell r="M295">
            <v>3204.7011149999998</v>
          </cell>
          <cell r="N295">
            <v>173.64436499999999</v>
          </cell>
          <cell r="O295">
            <v>541.49786399999994</v>
          </cell>
          <cell r="P295">
            <v>2381.8726379999998</v>
          </cell>
          <cell r="Q295">
            <v>2700.8096599999999</v>
          </cell>
          <cell r="R295">
            <v>605.73369500000001</v>
          </cell>
          <cell r="S295">
            <v>959.69295799999998</v>
          </cell>
          <cell r="T295">
            <v>33.136468000000001</v>
          </cell>
          <cell r="U295">
            <v>5684.0262910000001</v>
          </cell>
          <cell r="V295">
            <v>16019.490715999998</v>
          </cell>
          <cell r="W295">
            <v>9437.7771140000004</v>
          </cell>
          <cell r="X295">
            <v>1349.937872</v>
          </cell>
          <cell r="Y295">
            <v>5.9152509999999996</v>
          </cell>
          <cell r="Z295">
            <v>719.59568300000001</v>
          </cell>
          <cell r="AA295">
            <v>37.827376999999998</v>
          </cell>
          <cell r="AB295">
            <v>105583.33257099999</v>
          </cell>
          <cell r="AC295">
            <v>961.19943699999999</v>
          </cell>
          <cell r="AD295">
            <v>1978.9346459999999</v>
          </cell>
          <cell r="AE295">
            <v>50.078499999999998</v>
          </cell>
          <cell r="AF295">
            <v>390.54220099999998</v>
          </cell>
          <cell r="AG295">
            <v>132.93998199999999</v>
          </cell>
          <cell r="AH295">
            <v>4.2</v>
          </cell>
          <cell r="AI295">
            <v>333.94449399999996</v>
          </cell>
          <cell r="AJ295">
            <v>204.87890399999998</v>
          </cell>
          <cell r="AK295">
            <v>1153.5860639999999</v>
          </cell>
          <cell r="AL295">
            <v>125.00580799999999</v>
          </cell>
          <cell r="AM295">
            <v>106.27426199999999</v>
          </cell>
          <cell r="AN295">
            <v>7764.1134749999992</v>
          </cell>
          <cell r="AO295">
            <v>7387.1328370000001</v>
          </cell>
          <cell r="AP295">
            <v>1.4152829999999998</v>
          </cell>
          <cell r="AQ295">
            <v>22.415364999999998</v>
          </cell>
          <cell r="AR295">
            <v>317.40279599999997</v>
          </cell>
          <cell r="AS295">
            <v>317.40279600000002</v>
          </cell>
          <cell r="AT295">
            <v>167.352811</v>
          </cell>
          <cell r="AU295">
            <v>1950.252166</v>
          </cell>
          <cell r="AV295">
            <v>495.61262399999998</v>
          </cell>
          <cell r="AW295">
            <v>126.130477</v>
          </cell>
          <cell r="AX295">
            <v>0</v>
          </cell>
          <cell r="AY295">
            <v>90.266717999999997</v>
          </cell>
          <cell r="AZ295">
            <v>82.962626</v>
          </cell>
          <cell r="BA295">
            <v>16409.430139</v>
          </cell>
          <cell r="BB295">
            <v>0</v>
          </cell>
          <cell r="BC295">
            <v>2751.4950609999996</v>
          </cell>
          <cell r="BD295">
            <v>22259.331892000002</v>
          </cell>
          <cell r="BE295">
            <v>2794.8894140000002</v>
          </cell>
          <cell r="BF295">
            <v>19262.600849999999</v>
          </cell>
          <cell r="BG295">
            <v>47518.591340999992</v>
          </cell>
          <cell r="BH295">
            <v>33021.121171999999</v>
          </cell>
          <cell r="BI295">
            <v>7143.3394639999997</v>
          </cell>
          <cell r="BJ295">
            <v>232.455074</v>
          </cell>
          <cell r="BK295">
            <v>1254.3572059999999</v>
          </cell>
          <cell r="BL295">
            <v>5132.8200610000004</v>
          </cell>
          <cell r="BM295">
            <v>6253.1507229999997</v>
          </cell>
          <cell r="BN295">
            <v>1258.861815</v>
          </cell>
          <cell r="BO295">
            <v>2664.8538659999999</v>
          </cell>
          <cell r="BP295">
            <v>46.185761999999997</v>
          </cell>
          <cell r="BQ295">
            <v>17161.888456000001</v>
          </cell>
          <cell r="BR295">
            <v>34338.375206999997</v>
          </cell>
          <cell r="BS295">
            <v>24714.341906000001</v>
          </cell>
          <cell r="BT295">
            <v>3316.1395219999999</v>
          </cell>
          <cell r="BU295">
            <v>65.555679999999995</v>
          </cell>
          <cell r="BV295">
            <v>1796.9830609999999</v>
          </cell>
          <cell r="BW295">
            <v>38.389876999999998</v>
          </cell>
          <cell r="BX295">
            <v>233025.72740999999</v>
          </cell>
          <cell r="BY295">
            <v>0</v>
          </cell>
          <cell r="BZ295">
            <v>4977.5422330000001</v>
          </cell>
          <cell r="CA295">
            <v>7132.6571969999995</v>
          </cell>
          <cell r="CB295">
            <v>113.08069999999999</v>
          </cell>
          <cell r="CC295">
            <v>981.99650899999995</v>
          </cell>
          <cell r="CD295">
            <v>2143.7855719999998</v>
          </cell>
          <cell r="CE295">
            <v>21.140485999999999</v>
          </cell>
          <cell r="CF295">
            <v>489.76255899999995</v>
          </cell>
          <cell r="CG295">
            <v>450.41133500000001</v>
          </cell>
          <cell r="CH295">
            <v>3179.5332539999999</v>
          </cell>
          <cell r="CI295">
            <v>1534.2092339999999</v>
          </cell>
          <cell r="CJ295">
            <v>133.104884</v>
          </cell>
          <cell r="CK295">
            <v>29032.844643999997</v>
          </cell>
          <cell r="CL295">
            <v>27743.042508000002</v>
          </cell>
          <cell r="CM295">
            <v>1.5868449999999998</v>
          </cell>
          <cell r="CN295">
            <v>62.027817999999996</v>
          </cell>
          <cell r="CO295">
            <v>457.38052899999997</v>
          </cell>
          <cell r="CP295">
            <v>457.38052900000002</v>
          </cell>
          <cell r="CQ295">
            <v>903.6299029999999</v>
          </cell>
          <cell r="CR295">
            <v>2824.5691959999999</v>
          </cell>
          <cell r="CS295">
            <v>850.87295799999993</v>
          </cell>
          <cell r="CT295">
            <v>166.50623100000001</v>
          </cell>
          <cell r="CU295">
            <v>0</v>
          </cell>
          <cell r="CV295">
            <v>122.56472199999999</v>
          </cell>
          <cell r="CW295">
            <v>209.533703</v>
          </cell>
          <cell r="CX295">
            <v>55675.659811999998</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Y295">
            <v>14</v>
          </cell>
        </row>
        <row r="296">
          <cell r="F296">
            <v>37511.875</v>
          </cell>
          <cell r="G296">
            <v>725.79230099999995</v>
          </cell>
          <cell r="H296">
            <v>11791.673456999999</v>
          </cell>
          <cell r="I296">
            <v>1774.1680319999998</v>
          </cell>
          <cell r="J296">
            <v>9381.580625999999</v>
          </cell>
          <cell r="K296">
            <v>23831.122085999999</v>
          </cell>
          <cell r="L296">
            <v>21831.255888</v>
          </cell>
          <cell r="M296">
            <v>3253.3771539999998</v>
          </cell>
          <cell r="N296">
            <v>65.538405999999995</v>
          </cell>
          <cell r="O296">
            <v>328.56835799999999</v>
          </cell>
          <cell r="P296">
            <v>4020.2564949999996</v>
          </cell>
          <cell r="Q296">
            <v>2296.5926869999998</v>
          </cell>
          <cell r="R296">
            <v>272.03688</v>
          </cell>
          <cell r="S296">
            <v>809.27095999999995</v>
          </cell>
          <cell r="T296">
            <v>57.191662000000001</v>
          </cell>
          <cell r="U296">
            <v>7426.0469299999995</v>
          </cell>
          <cell r="V296">
            <v>14043.831521</v>
          </cell>
          <cell r="W296">
            <v>9958.1774269999987</v>
          </cell>
          <cell r="X296">
            <v>2315.357528</v>
          </cell>
          <cell r="Y296">
            <v>58.514296999999999</v>
          </cell>
          <cell r="Z296">
            <v>881.42074500000001</v>
          </cell>
          <cell r="AA296">
            <v>0.363755</v>
          </cell>
          <cell r="AB296">
            <v>115122.13719499997</v>
          </cell>
          <cell r="AC296">
            <v>1389.335842</v>
          </cell>
          <cell r="AD296">
            <v>2207.0857559999999</v>
          </cell>
          <cell r="AE296">
            <v>20.404999999999998</v>
          </cell>
          <cell r="AF296">
            <v>767.78990899999997</v>
          </cell>
          <cell r="AG296">
            <v>220.733937</v>
          </cell>
          <cell r="AH296">
            <v>106.52465799999999</v>
          </cell>
          <cell r="AI296">
            <v>166.06061299999999</v>
          </cell>
          <cell r="AJ296">
            <v>97.215183999999994</v>
          </cell>
          <cell r="AK296">
            <v>847.62266099999999</v>
          </cell>
          <cell r="AL296">
            <v>39.010950000000001</v>
          </cell>
          <cell r="AM296">
            <v>190.711737</v>
          </cell>
          <cell r="AN296">
            <v>35783.394335999998</v>
          </cell>
          <cell r="AO296">
            <v>35674.147658000002</v>
          </cell>
          <cell r="AP296">
            <v>0</v>
          </cell>
          <cell r="AQ296">
            <v>16.559999999999999</v>
          </cell>
          <cell r="AR296">
            <v>130.399248</v>
          </cell>
          <cell r="AS296">
            <v>130.399248</v>
          </cell>
          <cell r="AT296">
            <v>117.79339499999999</v>
          </cell>
          <cell r="AU296">
            <v>965.48789799999997</v>
          </cell>
          <cell r="AV296">
            <v>737.49703999999997</v>
          </cell>
          <cell r="AW296">
            <v>25.375885</v>
          </cell>
          <cell r="AX296">
            <v>0</v>
          </cell>
          <cell r="AY296">
            <v>196.398685</v>
          </cell>
          <cell r="AZ296">
            <v>101.411445</v>
          </cell>
          <cell r="BA296">
            <v>44106.409178999995</v>
          </cell>
          <cell r="BB296">
            <v>0</v>
          </cell>
          <cell r="BC296">
            <v>3477.2873619999996</v>
          </cell>
          <cell r="BD296">
            <v>34051.005348999999</v>
          </cell>
          <cell r="BE296">
            <v>4569.0574459999998</v>
          </cell>
          <cell r="BF296">
            <v>28644.181475999998</v>
          </cell>
          <cell r="BG296">
            <v>71349.713426999995</v>
          </cell>
          <cell r="BH296">
            <v>54852.377059999999</v>
          </cell>
          <cell r="BI296">
            <v>10396.716617999999</v>
          </cell>
          <cell r="BJ296">
            <v>297.99347999999998</v>
          </cell>
          <cell r="BK296">
            <v>1582.9255639999999</v>
          </cell>
          <cell r="BL296">
            <v>9153.076556</v>
          </cell>
          <cell r="BM296">
            <v>8549.7434099999991</v>
          </cell>
          <cell r="BN296">
            <v>1530.8986949999999</v>
          </cell>
          <cell r="BO296">
            <v>3474.1248259999998</v>
          </cell>
          <cell r="BP296">
            <v>103.37742399999999</v>
          </cell>
          <cell r="BQ296">
            <v>24587.935386000001</v>
          </cell>
          <cell r="BR296">
            <v>48382.206727999997</v>
          </cell>
          <cell r="BS296">
            <v>34672.519333000004</v>
          </cell>
          <cell r="BT296">
            <v>5631.4970499999999</v>
          </cell>
          <cell r="BU296">
            <v>124.06997699999999</v>
          </cell>
          <cell r="BV296">
            <v>2678.4038059999998</v>
          </cell>
          <cell r="BW296">
            <v>38.753631999999996</v>
          </cell>
          <cell r="BX296">
            <v>348147.86460499995</v>
          </cell>
          <cell r="BY296">
            <v>0</v>
          </cell>
          <cell r="BZ296">
            <v>6366.8780750000005</v>
          </cell>
          <cell r="CA296">
            <v>9339.742952999999</v>
          </cell>
          <cell r="CB296">
            <v>133.48569999999998</v>
          </cell>
          <cell r="CC296">
            <v>1749.7864179999999</v>
          </cell>
          <cell r="CD296">
            <v>2364.5195089999997</v>
          </cell>
          <cell r="CE296">
            <v>127.66514399999998</v>
          </cell>
          <cell r="CF296">
            <v>655.82317199999989</v>
          </cell>
          <cell r="CG296">
            <v>547.62651900000003</v>
          </cell>
          <cell r="CH296">
            <v>4027.1559149999998</v>
          </cell>
          <cell r="CI296">
            <v>1573.220184</v>
          </cell>
          <cell r="CJ296">
            <v>323.816621</v>
          </cell>
          <cell r="CK296">
            <v>64816.238979999995</v>
          </cell>
          <cell r="CL296">
            <v>63417.190166</v>
          </cell>
          <cell r="CM296">
            <v>1.5868449999999998</v>
          </cell>
          <cell r="CN296">
            <v>78.587817999999999</v>
          </cell>
          <cell r="CO296">
            <v>587.77977699999997</v>
          </cell>
          <cell r="CP296">
            <v>587.77977699999997</v>
          </cell>
          <cell r="CQ296">
            <v>1021.4232979999999</v>
          </cell>
          <cell r="CR296">
            <v>3790.0570939999998</v>
          </cell>
          <cell r="CS296">
            <v>1588.3699979999999</v>
          </cell>
          <cell r="CT296">
            <v>191.88211600000002</v>
          </cell>
          <cell r="CU296">
            <v>0</v>
          </cell>
          <cell r="CV296">
            <v>318.96340699999996</v>
          </cell>
          <cell r="CW296">
            <v>310.94514800000002</v>
          </cell>
          <cell r="CX296">
            <v>99782.068990999993</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Y296">
            <v>15</v>
          </cell>
        </row>
        <row r="297">
          <cell r="F297">
            <v>37603.1875</v>
          </cell>
          <cell r="G297">
            <v>814.430116</v>
          </cell>
          <cell r="H297">
            <v>10094.683326</v>
          </cell>
          <cell r="I297">
            <v>1244.760014</v>
          </cell>
          <cell r="J297">
            <v>8953.7199779999992</v>
          </cell>
          <cell r="K297">
            <v>20311.593677999997</v>
          </cell>
          <cell r="L297">
            <v>9271.1008009999987</v>
          </cell>
          <cell r="M297">
            <v>2560.0359100000001</v>
          </cell>
          <cell r="N297">
            <v>45.861363999999995</v>
          </cell>
          <cell r="O297">
            <v>364.41887299999996</v>
          </cell>
          <cell r="P297">
            <v>2363.6468070000001</v>
          </cell>
          <cell r="Q297">
            <v>2257.7772289999998</v>
          </cell>
          <cell r="R297">
            <v>294.20569499999999</v>
          </cell>
          <cell r="S297">
            <v>682.12278199999992</v>
          </cell>
          <cell r="T297">
            <v>8.9364639999999991</v>
          </cell>
          <cell r="U297">
            <v>5004.444356</v>
          </cell>
          <cell r="V297">
            <v>10511.239874999999</v>
          </cell>
          <cell r="W297">
            <v>9844.2082190000001</v>
          </cell>
          <cell r="X297">
            <v>1120.588223</v>
          </cell>
          <cell r="Y297">
            <v>89.997292000000002</v>
          </cell>
          <cell r="Z297">
            <v>913.97746899999993</v>
          </cell>
          <cell r="AA297">
            <v>0.610375</v>
          </cell>
          <cell r="AB297">
            <v>86752.358845999988</v>
          </cell>
          <cell r="AC297">
            <v>497.02626900000001</v>
          </cell>
          <cell r="AD297">
            <v>3659.0808870000001</v>
          </cell>
          <cell r="AE297">
            <v>3.4624999999999999</v>
          </cell>
          <cell r="AF297">
            <v>429.580803</v>
          </cell>
          <cell r="AG297">
            <v>1258.2979800000001</v>
          </cell>
          <cell r="AH297">
            <v>477.14092299999999</v>
          </cell>
          <cell r="AI297">
            <v>57.624041999999996</v>
          </cell>
          <cell r="AJ297">
            <v>149.33050299999999</v>
          </cell>
          <cell r="AK297">
            <v>17.655044</v>
          </cell>
          <cell r="AL297">
            <v>37.003907999999996</v>
          </cell>
          <cell r="AM297">
            <v>99.308646999999993</v>
          </cell>
          <cell r="AN297">
            <v>14377.521699999999</v>
          </cell>
          <cell r="AO297">
            <v>12687.103476</v>
          </cell>
          <cell r="AP297">
            <v>2</v>
          </cell>
          <cell r="AQ297">
            <v>1.74302</v>
          </cell>
          <cell r="AR297">
            <v>244.63709399999999</v>
          </cell>
          <cell r="AS297">
            <v>244.63709399999999</v>
          </cell>
          <cell r="AT297">
            <v>716.39776599999993</v>
          </cell>
          <cell r="AU297">
            <v>677.81513499999994</v>
          </cell>
          <cell r="AV297">
            <v>641.20845399999996</v>
          </cell>
          <cell r="AW297">
            <v>31.564715999999997</v>
          </cell>
          <cell r="AX297">
            <v>0</v>
          </cell>
          <cell r="AY297">
            <v>25.271380000000001</v>
          </cell>
          <cell r="AZ297">
            <v>229.035313</v>
          </cell>
          <cell r="BA297">
            <v>23629.243584</v>
          </cell>
          <cell r="BB297">
            <v>0</v>
          </cell>
          <cell r="BC297">
            <v>4291.7174779999996</v>
          </cell>
          <cell r="BD297">
            <v>44145.688674999998</v>
          </cell>
          <cell r="BE297">
            <v>5813.8174600000002</v>
          </cell>
          <cell r="BF297">
            <v>37597.901453999999</v>
          </cell>
          <cell r="BG297">
            <v>91661.307104999985</v>
          </cell>
          <cell r="BH297">
            <v>64123.477860999999</v>
          </cell>
          <cell r="BI297">
            <v>12956.752527999999</v>
          </cell>
          <cell r="BJ297">
            <v>343.85484399999996</v>
          </cell>
          <cell r="BK297">
            <v>1947.3444369999997</v>
          </cell>
          <cell r="BL297">
            <v>11516.723363000001</v>
          </cell>
          <cell r="BM297">
            <v>10807.520638999998</v>
          </cell>
          <cell r="BN297">
            <v>1825.10439</v>
          </cell>
          <cell r="BO297">
            <v>4156.2476079999997</v>
          </cell>
          <cell r="BP297">
            <v>112.31388799999999</v>
          </cell>
          <cell r="BQ297">
            <v>29592.379742000001</v>
          </cell>
          <cell r="BR297">
            <v>58893.446602999997</v>
          </cell>
          <cell r="BS297">
            <v>44516.727552000004</v>
          </cell>
          <cell r="BT297">
            <v>6752.0852729999997</v>
          </cell>
          <cell r="BU297">
            <v>214.06726900000001</v>
          </cell>
          <cell r="BV297">
            <v>3592.3812749999997</v>
          </cell>
          <cell r="BW297">
            <v>39.364006999999994</v>
          </cell>
          <cell r="BX297">
            <v>434900.22345099994</v>
          </cell>
          <cell r="BY297">
            <v>0</v>
          </cell>
          <cell r="BZ297">
            <v>6863.9043440000005</v>
          </cell>
          <cell r="CA297">
            <v>12998.823839999999</v>
          </cell>
          <cell r="CB297">
            <v>136.94819999999999</v>
          </cell>
          <cell r="CC297">
            <v>2179.367221</v>
          </cell>
          <cell r="CD297">
            <v>3622.817489</v>
          </cell>
          <cell r="CE297">
            <v>604.80606699999998</v>
          </cell>
          <cell r="CF297">
            <v>713.44721399999992</v>
          </cell>
          <cell r="CG297">
            <v>696.95702200000005</v>
          </cell>
          <cell r="CH297">
            <v>4044.8109589999999</v>
          </cell>
          <cell r="CI297">
            <v>1610.2240919999999</v>
          </cell>
          <cell r="CJ297">
            <v>423.12526800000001</v>
          </cell>
          <cell r="CK297">
            <v>79193.760679999992</v>
          </cell>
          <cell r="CL297">
            <v>76104.293642000004</v>
          </cell>
          <cell r="CM297">
            <v>3.5868449999999998</v>
          </cell>
          <cell r="CN297">
            <v>80.330838</v>
          </cell>
          <cell r="CO297">
            <v>832.4168709999999</v>
          </cell>
          <cell r="CP297">
            <v>832.4168709999999</v>
          </cell>
          <cell r="CQ297">
            <v>1737.8210639999998</v>
          </cell>
          <cell r="CR297">
            <v>4467.8722289999996</v>
          </cell>
          <cell r="CS297">
            <v>2229.5784519999997</v>
          </cell>
          <cell r="CT297">
            <v>223.44683200000003</v>
          </cell>
          <cell r="CU297">
            <v>0</v>
          </cell>
          <cell r="CV297">
            <v>344.23478699999998</v>
          </cell>
          <cell r="CW297">
            <v>539.98046099999999</v>
          </cell>
          <cell r="CX297">
            <v>123411.31257499999</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28.376925538394143</v>
          </cell>
          <cell r="DM297">
            <v>0</v>
          </cell>
          <cell r="DN297">
            <v>0</v>
          </cell>
          <cell r="DO297">
            <v>0</v>
          </cell>
          <cell r="DP297">
            <v>0</v>
          </cell>
          <cell r="DQ297">
            <v>0</v>
          </cell>
          <cell r="DR297">
            <v>0</v>
          </cell>
          <cell r="DS297">
            <v>0</v>
          </cell>
          <cell r="DT297">
            <v>0</v>
          </cell>
          <cell r="DU297">
            <v>0</v>
          </cell>
          <cell r="DV297">
            <v>0</v>
          </cell>
          <cell r="DY297">
            <v>16</v>
          </cell>
        </row>
        <row r="298">
          <cell r="F298">
            <v>37694.5</v>
          </cell>
          <cell r="G298">
            <v>1286.9296360000001</v>
          </cell>
          <cell r="H298">
            <v>8549.7385250000007</v>
          </cell>
          <cell r="I298">
            <v>504.82255300000003</v>
          </cell>
          <cell r="J298">
            <v>9329.2492480000001</v>
          </cell>
          <cell r="K298">
            <v>21834.958119999999</v>
          </cell>
          <cell r="L298">
            <v>10579.347123</v>
          </cell>
          <cell r="M298">
            <v>3616.7715020000001</v>
          </cell>
          <cell r="N298">
            <v>37.972557999999999</v>
          </cell>
          <cell r="O298">
            <v>474.90550200000001</v>
          </cell>
          <cell r="P298">
            <v>2526.113511</v>
          </cell>
          <cell r="Q298">
            <v>4454.1243400000003</v>
          </cell>
          <cell r="R298">
            <v>510.76636999999999</v>
          </cell>
          <cell r="S298">
            <v>1059.182403</v>
          </cell>
          <cell r="T298">
            <v>7.0074730000000001</v>
          </cell>
          <cell r="U298">
            <v>6743.9692150000001</v>
          </cell>
          <cell r="V298">
            <v>15909.615453</v>
          </cell>
          <cell r="W298">
            <v>12188.776599999999</v>
          </cell>
          <cell r="X298">
            <v>1975.1193599999999</v>
          </cell>
          <cell r="Y298">
            <v>25.590091000000001</v>
          </cell>
          <cell r="Z298">
            <v>1372.1824389999999</v>
          </cell>
          <cell r="AA298">
            <v>14.248217</v>
          </cell>
          <cell r="AB298">
            <v>103001.39023900001</v>
          </cell>
          <cell r="AC298">
            <v>703.95271300000002</v>
          </cell>
          <cell r="AD298">
            <v>4187.4070080000001</v>
          </cell>
          <cell r="AE298">
            <v>11.125685000000001</v>
          </cell>
          <cell r="AF298">
            <v>521.91901099999995</v>
          </cell>
          <cell r="AG298">
            <v>4878.0802910000002</v>
          </cell>
          <cell r="AH298">
            <v>60.057200000000002</v>
          </cell>
          <cell r="AI298">
            <v>184.97087099999999</v>
          </cell>
          <cell r="AJ298">
            <v>274.88562899999999</v>
          </cell>
          <cell r="AK298">
            <v>519.10668399999997</v>
          </cell>
          <cell r="AL298">
            <v>74.799030999999999</v>
          </cell>
          <cell r="AM298">
            <v>54.606105999999997</v>
          </cell>
          <cell r="AN298">
            <v>36415.882135</v>
          </cell>
          <cell r="AO298">
            <v>35627.687467000003</v>
          </cell>
          <cell r="AP298">
            <v>0.165404</v>
          </cell>
          <cell r="AQ298">
            <v>3.6422889999999999</v>
          </cell>
          <cell r="AR298">
            <v>416.344562</v>
          </cell>
          <cell r="AS298">
            <v>415.06028500000002</v>
          </cell>
          <cell r="AT298">
            <v>146.907026</v>
          </cell>
          <cell r="AU298">
            <v>915.83407199999999</v>
          </cell>
          <cell r="AV298">
            <v>682.78116899999998</v>
          </cell>
          <cell r="AW298">
            <v>60.139071000000001</v>
          </cell>
          <cell r="AX298">
            <v>0</v>
          </cell>
          <cell r="AY298">
            <v>122.57253</v>
          </cell>
          <cell r="AZ298">
            <v>110.817601</v>
          </cell>
          <cell r="BA298">
            <v>50334.870403000001</v>
          </cell>
          <cell r="BB298">
            <v>0</v>
          </cell>
          <cell r="BC298">
            <v>1286.9296360000001</v>
          </cell>
          <cell r="BD298">
            <v>8549.7385250000007</v>
          </cell>
          <cell r="BE298">
            <v>504.82255300000003</v>
          </cell>
          <cell r="BF298">
            <v>9329.2492480000001</v>
          </cell>
          <cell r="BG298">
            <v>21834.958119999999</v>
          </cell>
          <cell r="BH298">
            <v>10579.347123</v>
          </cell>
          <cell r="BI298">
            <v>3616.7715020000001</v>
          </cell>
          <cell r="BJ298">
            <v>37.972557999999999</v>
          </cell>
          <cell r="BK298">
            <v>474.90550200000001</v>
          </cell>
          <cell r="BL298">
            <v>2526.113511</v>
          </cell>
          <cell r="BM298">
            <v>4454.1243400000003</v>
          </cell>
          <cell r="BN298">
            <v>510.76636999999999</v>
          </cell>
          <cell r="BO298">
            <v>1059.182403</v>
          </cell>
          <cell r="BP298">
            <v>7.0074730000000001</v>
          </cell>
          <cell r="BQ298">
            <v>6743.9692150000001</v>
          </cell>
          <cell r="BR298">
            <v>15909.615453</v>
          </cell>
          <cell r="BS298">
            <v>12188.776599999999</v>
          </cell>
          <cell r="BT298">
            <v>1975.1193599999999</v>
          </cell>
          <cell r="BU298">
            <v>25.590091000000001</v>
          </cell>
          <cell r="BV298">
            <v>1372.1824389999999</v>
          </cell>
          <cell r="BW298">
            <v>14.248217</v>
          </cell>
          <cell r="BX298">
            <v>103001.39023900001</v>
          </cell>
          <cell r="BY298">
            <v>0</v>
          </cell>
          <cell r="BZ298">
            <v>703.95271300000002</v>
          </cell>
          <cell r="CA298">
            <v>4187.4070080000001</v>
          </cell>
          <cell r="CB298">
            <v>11.125685000000001</v>
          </cell>
          <cell r="CC298">
            <v>521.91901099999995</v>
          </cell>
          <cell r="CD298">
            <v>4878.0802910000002</v>
          </cell>
          <cell r="CE298">
            <v>60.057200000000002</v>
          </cell>
          <cell r="CF298">
            <v>184.97087099999999</v>
          </cell>
          <cell r="CG298">
            <v>274.88562899999999</v>
          </cell>
          <cell r="CH298">
            <v>519.10668399999997</v>
          </cell>
          <cell r="CI298">
            <v>74.799030999999999</v>
          </cell>
          <cell r="CJ298">
            <v>54.606105999999997</v>
          </cell>
          <cell r="CK298">
            <v>36415.882135</v>
          </cell>
          <cell r="CL298">
            <v>35627.687467000003</v>
          </cell>
          <cell r="CM298">
            <v>0.165404</v>
          </cell>
          <cell r="CN298">
            <v>3.6422889999999999</v>
          </cell>
          <cell r="CO298">
            <v>416.344562</v>
          </cell>
          <cell r="CP298">
            <v>415.06028500000002</v>
          </cell>
          <cell r="CQ298">
            <v>146.907026</v>
          </cell>
          <cell r="CR298">
            <v>915.83407199999999</v>
          </cell>
          <cell r="CS298">
            <v>682.78116899999998</v>
          </cell>
          <cell r="CT298">
            <v>60.139071000000001</v>
          </cell>
          <cell r="CU298">
            <v>0</v>
          </cell>
          <cell r="CV298">
            <v>122.57253</v>
          </cell>
          <cell r="CW298">
            <v>110.817601</v>
          </cell>
          <cell r="CX298">
            <v>50334.870403000001</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Y298">
            <v>17</v>
          </cell>
        </row>
        <row r="299">
          <cell r="F299">
            <v>37785.8125</v>
          </cell>
          <cell r="G299">
            <v>1212.5243270000001</v>
          </cell>
          <cell r="H299">
            <v>11268.424727</v>
          </cell>
          <cell r="I299">
            <v>1117.690507</v>
          </cell>
          <cell r="J299">
            <v>9579.6146040000003</v>
          </cell>
          <cell r="K299">
            <v>27515.529167000001</v>
          </cell>
          <cell r="L299">
            <v>24660.984729</v>
          </cell>
          <cell r="M299">
            <v>3595.4580230000001</v>
          </cell>
          <cell r="N299">
            <v>49.555517000000002</v>
          </cell>
          <cell r="O299">
            <v>586.30392300000005</v>
          </cell>
          <cell r="P299">
            <v>2806.877528</v>
          </cell>
          <cell r="Q299">
            <v>2469.1807119999999</v>
          </cell>
          <cell r="R299">
            <v>559.53364999999997</v>
          </cell>
          <cell r="S299">
            <v>1152.7492010000001</v>
          </cell>
          <cell r="T299">
            <v>9.6763630000000003</v>
          </cell>
          <cell r="U299">
            <v>9214.6440729999995</v>
          </cell>
          <cell r="V299">
            <v>21524.348619</v>
          </cell>
          <cell r="W299">
            <v>12103.437497999999</v>
          </cell>
          <cell r="X299">
            <v>2046.4635740000001</v>
          </cell>
          <cell r="Y299">
            <v>13.644368</v>
          </cell>
          <cell r="Z299">
            <v>861.87740499999995</v>
          </cell>
          <cell r="AA299">
            <v>27.703873999999999</v>
          </cell>
          <cell r="AB299">
            <v>132376.222389</v>
          </cell>
          <cell r="AC299">
            <v>1358.8271830000001</v>
          </cell>
          <cell r="AD299">
            <v>5093.180746</v>
          </cell>
          <cell r="AE299">
            <v>0.03</v>
          </cell>
          <cell r="AF299">
            <v>585.24404600000003</v>
          </cell>
          <cell r="AG299">
            <v>3230.8957099999998</v>
          </cell>
          <cell r="AH299">
            <v>13.441253</v>
          </cell>
          <cell r="AI299">
            <v>173.45243199999999</v>
          </cell>
          <cell r="AJ299">
            <v>135.658918</v>
          </cell>
          <cell r="AK299">
            <v>699.35689000000002</v>
          </cell>
          <cell r="AL299">
            <v>83.970078000000001</v>
          </cell>
          <cell r="AM299">
            <v>96.511142000000007</v>
          </cell>
          <cell r="AN299">
            <v>32133.178581</v>
          </cell>
          <cell r="AO299">
            <v>31502.517844999998</v>
          </cell>
          <cell r="AP299">
            <v>4.0498409999999998</v>
          </cell>
          <cell r="AQ299">
            <v>4.0530840000000001</v>
          </cell>
          <cell r="AR299">
            <v>409.87345099999999</v>
          </cell>
          <cell r="AS299">
            <v>405.65650099999999</v>
          </cell>
          <cell r="AT299">
            <v>180.70835099999999</v>
          </cell>
          <cell r="AU299">
            <v>1037.9591129999999</v>
          </cell>
          <cell r="AV299">
            <v>298.21665300000001</v>
          </cell>
          <cell r="AW299">
            <v>95.682501000000002</v>
          </cell>
          <cell r="AX299">
            <v>0</v>
          </cell>
          <cell r="AY299">
            <v>132.548618</v>
          </cell>
          <cell r="AZ299">
            <v>127.047614</v>
          </cell>
          <cell r="BA299">
            <v>45893.856205000004</v>
          </cell>
          <cell r="BB299">
            <v>0</v>
          </cell>
          <cell r="BC299">
            <v>2499.4539629999999</v>
          </cell>
          <cell r="BD299">
            <v>19818.163251999998</v>
          </cell>
          <cell r="BE299">
            <v>1622.51306</v>
          </cell>
          <cell r="BF299">
            <v>18908.863852000002</v>
          </cell>
          <cell r="BG299">
            <v>49350.487286999996</v>
          </cell>
          <cell r="BH299">
            <v>35240.331852000003</v>
          </cell>
          <cell r="BI299">
            <v>7212.2295250000006</v>
          </cell>
          <cell r="BJ299">
            <v>87.528075000000001</v>
          </cell>
          <cell r="BK299">
            <v>1061.209425</v>
          </cell>
          <cell r="BL299">
            <v>5332.9910390000005</v>
          </cell>
          <cell r="BM299">
            <v>6923.3050519999997</v>
          </cell>
          <cell r="BN299">
            <v>1070.3000199999999</v>
          </cell>
          <cell r="BO299">
            <v>2211.9316040000003</v>
          </cell>
          <cell r="BP299">
            <v>16.683835999999999</v>
          </cell>
          <cell r="BQ299">
            <v>15958.613288</v>
          </cell>
          <cell r="BR299">
            <v>37433.964072000002</v>
          </cell>
          <cell r="BS299">
            <v>24292.214097999997</v>
          </cell>
          <cell r="BT299">
            <v>4021.582934</v>
          </cell>
          <cell r="BU299">
            <v>39.234459000000001</v>
          </cell>
          <cell r="BV299">
            <v>2234.0598439999999</v>
          </cell>
          <cell r="BW299">
            <v>41.952090999999996</v>
          </cell>
          <cell r="BX299">
            <v>235377.61262800003</v>
          </cell>
          <cell r="BY299">
            <v>0</v>
          </cell>
          <cell r="BZ299">
            <v>2062.779896</v>
          </cell>
          <cell r="CA299">
            <v>9280.5877540000001</v>
          </cell>
          <cell r="CB299">
            <v>11.155685</v>
          </cell>
          <cell r="CC299">
            <v>1107.163057</v>
          </cell>
          <cell r="CD299">
            <v>8108.976001</v>
          </cell>
          <cell r="CE299">
            <v>73.498452999999998</v>
          </cell>
          <cell r="CF299">
            <v>358.42330299999998</v>
          </cell>
          <cell r="CG299">
            <v>410.54454699999997</v>
          </cell>
          <cell r="CH299">
            <v>1218.4635739999999</v>
          </cell>
          <cell r="CI299">
            <v>158.76910900000001</v>
          </cell>
          <cell r="CJ299">
            <v>151.11724800000002</v>
          </cell>
          <cell r="CK299">
            <v>68549.060716000007</v>
          </cell>
          <cell r="CL299">
            <v>67130.205312000006</v>
          </cell>
          <cell r="CM299">
            <v>4.2152449999999995</v>
          </cell>
          <cell r="CN299">
            <v>7.695373</v>
          </cell>
          <cell r="CO299">
            <v>826.21801299999993</v>
          </cell>
          <cell r="CP299">
            <v>820.71678599999996</v>
          </cell>
          <cell r="CQ299">
            <v>327.61537699999997</v>
          </cell>
          <cell r="CR299">
            <v>1953.793185</v>
          </cell>
          <cell r="CS299">
            <v>980.99782200000004</v>
          </cell>
          <cell r="CT299">
            <v>155.821572</v>
          </cell>
          <cell r="CU299">
            <v>0</v>
          </cell>
          <cell r="CV299">
            <v>255.12114800000001</v>
          </cell>
          <cell r="CW299">
            <v>237.86521499999998</v>
          </cell>
          <cell r="CX299">
            <v>96228.726607999997</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Y299">
            <v>18</v>
          </cell>
        </row>
        <row r="300">
          <cell r="F300">
            <v>37877.125</v>
          </cell>
          <cell r="G300">
            <v>1489.407496</v>
          </cell>
          <cell r="H300">
            <v>9783.6653530000003</v>
          </cell>
          <cell r="I300">
            <v>1224.2937440000001</v>
          </cell>
          <cell r="J300">
            <v>9518.0248690000008</v>
          </cell>
          <cell r="K300">
            <v>22437.653591999999</v>
          </cell>
          <cell r="L300">
            <v>19027.894906000001</v>
          </cell>
          <cell r="M300">
            <v>3790.746005</v>
          </cell>
          <cell r="N300">
            <v>63.265785000000001</v>
          </cell>
          <cell r="O300">
            <v>267.588818</v>
          </cell>
          <cell r="P300">
            <v>3894.7443760000001</v>
          </cell>
          <cell r="Q300">
            <v>2298.316969</v>
          </cell>
          <cell r="R300">
            <v>442.41575599999999</v>
          </cell>
          <cell r="S300">
            <v>1218.011964</v>
          </cell>
          <cell r="T300">
            <v>2.621651</v>
          </cell>
          <cell r="U300">
            <v>8471.0306529999998</v>
          </cell>
          <cell r="V300">
            <v>20099.532008999999</v>
          </cell>
          <cell r="W300">
            <v>13259.873812</v>
          </cell>
          <cell r="X300">
            <v>2117.3219039999999</v>
          </cell>
          <cell r="Y300">
            <v>37.936202999999999</v>
          </cell>
          <cell r="Z300">
            <v>2136.0765689999998</v>
          </cell>
          <cell r="AA300">
            <v>1.4471309999999999</v>
          </cell>
          <cell r="AB300">
            <v>121581.869565</v>
          </cell>
          <cell r="AC300">
            <v>677.53357100000005</v>
          </cell>
          <cell r="AD300">
            <v>2689.4024890000001</v>
          </cell>
          <cell r="AE300">
            <v>15.664857</v>
          </cell>
          <cell r="AF300">
            <v>1267.222839</v>
          </cell>
          <cell r="AG300">
            <v>2091.9572640000001</v>
          </cell>
          <cell r="AH300">
            <v>13.187920999999999</v>
          </cell>
          <cell r="AI300">
            <v>137.509691</v>
          </cell>
          <cell r="AJ300">
            <v>119.220851</v>
          </cell>
          <cell r="AK300">
            <v>121.89293000000001</v>
          </cell>
          <cell r="AL300">
            <v>58.066383999999999</v>
          </cell>
          <cell r="AM300">
            <v>22.612680000000001</v>
          </cell>
          <cell r="AN300">
            <v>12815.162893000001</v>
          </cell>
          <cell r="AO300">
            <v>11743.811615000001</v>
          </cell>
          <cell r="AP300">
            <v>0.26766600000000002</v>
          </cell>
          <cell r="AQ300">
            <v>6.9015380000000004</v>
          </cell>
          <cell r="AR300">
            <v>269.06819100000001</v>
          </cell>
          <cell r="AS300">
            <v>267.43199099999998</v>
          </cell>
          <cell r="AT300">
            <v>356.49933299999998</v>
          </cell>
          <cell r="AU300">
            <v>799.99263599999995</v>
          </cell>
          <cell r="AV300">
            <v>750.09452299999998</v>
          </cell>
          <cell r="AW300">
            <v>37.750686000000002</v>
          </cell>
          <cell r="AX300">
            <v>0</v>
          </cell>
          <cell r="AY300">
            <v>126.17110700000001</v>
          </cell>
          <cell r="AZ300">
            <v>154.28295700000001</v>
          </cell>
          <cell r="BA300">
            <v>22514.798149999991</v>
          </cell>
          <cell r="BB300">
            <v>0</v>
          </cell>
          <cell r="BC300">
            <v>3988.8614589999997</v>
          </cell>
          <cell r="BD300">
            <v>29601.828604999999</v>
          </cell>
          <cell r="BE300">
            <v>2846.8068039999998</v>
          </cell>
          <cell r="BF300">
            <v>28426.888721000003</v>
          </cell>
          <cell r="BG300">
            <v>71788.140878999999</v>
          </cell>
          <cell r="BH300">
            <v>54268.226758000004</v>
          </cell>
          <cell r="BI300">
            <v>11002.97553</v>
          </cell>
          <cell r="BJ300">
            <v>150.79386</v>
          </cell>
          <cell r="BK300">
            <v>1328.798243</v>
          </cell>
          <cell r="BL300">
            <v>9227.735415000001</v>
          </cell>
          <cell r="BM300">
            <v>9221.6220209999992</v>
          </cell>
          <cell r="BN300">
            <v>1512.715776</v>
          </cell>
          <cell r="BO300">
            <v>3429.9435680000006</v>
          </cell>
          <cell r="BP300">
            <v>19.305486999999999</v>
          </cell>
          <cell r="BQ300">
            <v>24429.643941000002</v>
          </cell>
          <cell r="BR300">
            <v>57533.496081000005</v>
          </cell>
          <cell r="BS300">
            <v>37552.087909999995</v>
          </cell>
          <cell r="BT300">
            <v>6138.9048380000004</v>
          </cell>
          <cell r="BU300">
            <v>77.170661999999993</v>
          </cell>
          <cell r="BV300">
            <v>4370.1364130000002</v>
          </cell>
          <cell r="BW300">
            <v>43.399221999999995</v>
          </cell>
          <cell r="BX300">
            <v>356959.48219300003</v>
          </cell>
          <cell r="BY300">
            <v>0</v>
          </cell>
          <cell r="BZ300">
            <v>2740.3134669999999</v>
          </cell>
          <cell r="CA300">
            <v>11969.990243</v>
          </cell>
          <cell r="CB300">
            <v>26.820542</v>
          </cell>
          <cell r="CC300">
            <v>2374.3858959999998</v>
          </cell>
          <cell r="CD300">
            <v>10200.933265</v>
          </cell>
          <cell r="CE300">
            <v>86.686374000000001</v>
          </cell>
          <cell r="CF300">
            <v>495.93299400000001</v>
          </cell>
          <cell r="CG300">
            <v>529.765398</v>
          </cell>
          <cell r="CH300">
            <v>1340.3565039999999</v>
          </cell>
          <cell r="CI300">
            <v>216.83549300000001</v>
          </cell>
          <cell r="CJ300">
            <v>173.72992800000003</v>
          </cell>
          <cell r="CK300">
            <v>81364.223609000008</v>
          </cell>
          <cell r="CL300">
            <v>78874.016927000004</v>
          </cell>
          <cell r="CM300">
            <v>4.4829109999999996</v>
          </cell>
          <cell r="CN300">
            <v>14.596911</v>
          </cell>
          <cell r="CO300">
            <v>1095.286204</v>
          </cell>
          <cell r="CP300">
            <v>1088.1487769999999</v>
          </cell>
          <cell r="CQ300">
            <v>684.11470999999995</v>
          </cell>
          <cell r="CR300">
            <v>2753.7858209999999</v>
          </cell>
          <cell r="CS300">
            <v>1731.092345</v>
          </cell>
          <cell r="CT300">
            <v>193.57225800000001</v>
          </cell>
          <cell r="CU300">
            <v>0</v>
          </cell>
          <cell r="CV300">
            <v>381.29225500000001</v>
          </cell>
          <cell r="CW300">
            <v>392.14817199999999</v>
          </cell>
          <cell r="CX300">
            <v>118743.52475799999</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Y300">
            <v>19</v>
          </cell>
        </row>
        <row r="301">
          <cell r="F301">
            <v>37968.4375</v>
          </cell>
          <cell r="G301">
            <v>712.73258999999996</v>
          </cell>
          <cell r="H301">
            <v>7740.7263549999998</v>
          </cell>
          <cell r="I301">
            <v>964.71867999999995</v>
          </cell>
          <cell r="J301">
            <v>8670.8053959999997</v>
          </cell>
          <cell r="K301">
            <v>25293.895457999999</v>
          </cell>
          <cell r="L301">
            <v>8770.9231849999996</v>
          </cell>
          <cell r="M301">
            <v>2087.3957399999999</v>
          </cell>
          <cell r="N301">
            <v>34.670755999999997</v>
          </cell>
          <cell r="O301">
            <v>502.24497100000002</v>
          </cell>
          <cell r="P301">
            <v>2775.4933959999998</v>
          </cell>
          <cell r="Q301">
            <v>3935.188909</v>
          </cell>
          <cell r="R301">
            <v>425.24384300000003</v>
          </cell>
          <cell r="S301">
            <v>803.32388600000002</v>
          </cell>
          <cell r="T301">
            <v>3.8341310000000002</v>
          </cell>
          <cell r="U301">
            <v>6530.3734210000002</v>
          </cell>
          <cell r="V301">
            <v>8733.0531439999995</v>
          </cell>
          <cell r="W301">
            <v>10498.316499</v>
          </cell>
          <cell r="X301">
            <v>1218.952857</v>
          </cell>
          <cell r="Y301">
            <v>3.2104529999999998</v>
          </cell>
          <cell r="Z301">
            <v>1296.628369</v>
          </cell>
          <cell r="AA301">
            <v>1.9200520000000001</v>
          </cell>
          <cell r="AB301">
            <v>91003.652091000011</v>
          </cell>
          <cell r="AC301">
            <v>454.51699400000001</v>
          </cell>
          <cell r="AD301">
            <v>2503.2958359999998</v>
          </cell>
          <cell r="AE301">
            <v>119.4016</v>
          </cell>
          <cell r="AF301">
            <v>1585.0254500000001</v>
          </cell>
          <cell r="AG301">
            <v>2268.3102979999999</v>
          </cell>
          <cell r="AH301">
            <v>15.68</v>
          </cell>
          <cell r="AI301">
            <v>290.70310000000001</v>
          </cell>
          <cell r="AJ301">
            <v>123.261867</v>
          </cell>
          <cell r="AK301">
            <v>14.659514</v>
          </cell>
          <cell r="AL301">
            <v>24.948415000000001</v>
          </cell>
          <cell r="AM301">
            <v>49.081319999999998</v>
          </cell>
          <cell r="AN301">
            <v>53599.700059000003</v>
          </cell>
          <cell r="AO301">
            <v>52524.429280999997</v>
          </cell>
          <cell r="AP301">
            <v>0</v>
          </cell>
          <cell r="AQ301">
            <v>3.0166010000000001</v>
          </cell>
          <cell r="AR301">
            <v>282.766796</v>
          </cell>
          <cell r="AS301">
            <v>282.32439599999998</v>
          </cell>
          <cell r="AT301">
            <v>488.06740600000001</v>
          </cell>
          <cell r="AU301">
            <v>1845.442929</v>
          </cell>
          <cell r="AV301">
            <v>144.542306</v>
          </cell>
          <cell r="AW301">
            <v>5.6886910000000004</v>
          </cell>
          <cell r="AX301">
            <v>0</v>
          </cell>
          <cell r="AY301">
            <v>21.481397999999999</v>
          </cell>
          <cell r="AZ301">
            <v>98.380305000000007</v>
          </cell>
          <cell r="BA301">
            <v>63818.56928500002</v>
          </cell>
          <cell r="BB301">
            <v>0</v>
          </cell>
          <cell r="BC301">
            <v>4701.5940489999994</v>
          </cell>
          <cell r="BD301">
            <v>37342.554960000001</v>
          </cell>
          <cell r="BE301">
            <v>3811.5254839999998</v>
          </cell>
          <cell r="BF301">
            <v>37097.694117000006</v>
          </cell>
          <cell r="BG301">
            <v>97082.036336999998</v>
          </cell>
          <cell r="BH301">
            <v>63039.149943000004</v>
          </cell>
          <cell r="BI301">
            <v>13090.37127</v>
          </cell>
          <cell r="BJ301">
            <v>185.46461599999998</v>
          </cell>
          <cell r="BK301">
            <v>1831.043214</v>
          </cell>
          <cell r="BL301">
            <v>12003.228811000001</v>
          </cell>
          <cell r="BM301">
            <v>13156.81093</v>
          </cell>
          <cell r="BN301">
            <v>1937.959619</v>
          </cell>
          <cell r="BO301">
            <v>4233.2674540000007</v>
          </cell>
          <cell r="BP301">
            <v>23.139617999999999</v>
          </cell>
          <cell r="BQ301">
            <v>30960.017362000002</v>
          </cell>
          <cell r="BR301">
            <v>66266.54922500001</v>
          </cell>
          <cell r="BS301">
            <v>48050.404408999995</v>
          </cell>
          <cell r="BT301">
            <v>7357.8576950000006</v>
          </cell>
          <cell r="BU301">
            <v>80.381114999999994</v>
          </cell>
          <cell r="BV301">
            <v>5666.7647820000002</v>
          </cell>
          <cell r="BW301">
            <v>45.319273999999993</v>
          </cell>
          <cell r="BX301">
            <v>447963.13428400003</v>
          </cell>
          <cell r="BY301">
            <v>0</v>
          </cell>
          <cell r="BZ301">
            <v>3194.830461</v>
          </cell>
          <cell r="CA301">
            <v>14473.286079</v>
          </cell>
          <cell r="CB301">
            <v>146.22214199999999</v>
          </cell>
          <cell r="CC301">
            <v>3959.4113459999999</v>
          </cell>
          <cell r="CD301">
            <v>12469.243563</v>
          </cell>
          <cell r="CE301">
            <v>102.36637400000001</v>
          </cell>
          <cell r="CF301">
            <v>786.63609399999996</v>
          </cell>
          <cell r="CG301">
            <v>653.02726499999994</v>
          </cell>
          <cell r="CH301">
            <v>1355.0160179999998</v>
          </cell>
          <cell r="CI301">
            <v>241.78390800000003</v>
          </cell>
          <cell r="CJ301">
            <v>222.81124800000003</v>
          </cell>
          <cell r="CK301">
            <v>134963.923668</v>
          </cell>
          <cell r="CL301">
            <v>131398.44620800001</v>
          </cell>
          <cell r="CM301">
            <v>4.4829109999999996</v>
          </cell>
          <cell r="CN301">
            <v>17.613512</v>
          </cell>
          <cell r="CO301">
            <v>1378.0529999999999</v>
          </cell>
          <cell r="CP301">
            <v>1370.4731729999999</v>
          </cell>
          <cell r="CQ301">
            <v>1172.182116</v>
          </cell>
          <cell r="CR301">
            <v>4599.2287500000002</v>
          </cell>
          <cell r="CS301">
            <v>1875.6346510000001</v>
          </cell>
          <cell r="CT301">
            <v>199.26094900000001</v>
          </cell>
          <cell r="CU301">
            <v>0</v>
          </cell>
          <cell r="CV301">
            <v>402.77365300000002</v>
          </cell>
          <cell r="CW301">
            <v>490.52847700000001</v>
          </cell>
          <cell r="CX301">
            <v>182562.09404300002</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40.753821033687821</v>
          </cell>
          <cell r="DM301">
            <v>0</v>
          </cell>
          <cell r="DN301">
            <v>0</v>
          </cell>
          <cell r="DO301">
            <v>0</v>
          </cell>
          <cell r="DP301">
            <v>0</v>
          </cell>
          <cell r="DQ301">
            <v>0</v>
          </cell>
          <cell r="DR301">
            <v>0</v>
          </cell>
          <cell r="DS301">
            <v>0</v>
          </cell>
          <cell r="DT301">
            <v>0</v>
          </cell>
          <cell r="DU301">
            <v>0</v>
          </cell>
          <cell r="DV301">
            <v>0</v>
          </cell>
          <cell r="DY301">
            <v>20</v>
          </cell>
        </row>
        <row r="302">
          <cell r="F302">
            <v>38059.75</v>
          </cell>
          <cell r="G302">
            <v>941.17914199999996</v>
          </cell>
          <cell r="H302">
            <v>8624.9397050000007</v>
          </cell>
          <cell r="I302">
            <v>643.92853000000002</v>
          </cell>
          <cell r="J302">
            <v>6473.9282540000004</v>
          </cell>
          <cell r="K302">
            <v>26762.515791000002</v>
          </cell>
          <cell r="L302">
            <v>14997.221969</v>
          </cell>
          <cell r="M302">
            <v>3624.8140669999998</v>
          </cell>
          <cell r="N302">
            <v>44.228026999999997</v>
          </cell>
          <cell r="O302">
            <v>435.85612700000001</v>
          </cell>
          <cell r="P302">
            <v>3784.0566090000002</v>
          </cell>
          <cell r="Q302">
            <v>2933.4969639999999</v>
          </cell>
          <cell r="R302">
            <v>492.18858899999998</v>
          </cell>
          <cell r="S302">
            <v>1978.899868</v>
          </cell>
          <cell r="T302">
            <v>9.9019209999999998</v>
          </cell>
          <cell r="U302">
            <v>9980.0714690000004</v>
          </cell>
          <cell r="V302">
            <v>18693.372890999999</v>
          </cell>
          <cell r="W302">
            <v>13076.919148000001</v>
          </cell>
          <cell r="X302">
            <v>1660.195663</v>
          </cell>
          <cell r="Y302">
            <v>79.911786000000006</v>
          </cell>
          <cell r="Z302">
            <v>824.76862700000004</v>
          </cell>
          <cell r="AA302">
            <v>0.23441200000000001</v>
          </cell>
          <cell r="AB302">
            <v>116062.62955900001</v>
          </cell>
          <cell r="AC302">
            <v>1182.126477</v>
          </cell>
          <cell r="AD302">
            <v>5251.203348</v>
          </cell>
          <cell r="AE302">
            <v>202.52086199999999</v>
          </cell>
          <cell r="AF302">
            <v>879.97341500000005</v>
          </cell>
          <cell r="AG302">
            <v>4607.3107030000001</v>
          </cell>
          <cell r="AH302">
            <v>13.431041</v>
          </cell>
          <cell r="AI302">
            <v>249.78450599999999</v>
          </cell>
          <cell r="AJ302">
            <v>145.783143</v>
          </cell>
          <cell r="AK302">
            <v>90.714917</v>
          </cell>
          <cell r="AL302">
            <v>20.830368</v>
          </cell>
          <cell r="AM302">
            <v>35.434018000000002</v>
          </cell>
          <cell r="AN302">
            <v>83107.126040999996</v>
          </cell>
          <cell r="AO302">
            <v>82350.572176000001</v>
          </cell>
          <cell r="AP302">
            <v>5.93</v>
          </cell>
          <cell r="AQ302">
            <v>0.38520100000000002</v>
          </cell>
          <cell r="AR302">
            <v>285.29049900000001</v>
          </cell>
          <cell r="AS302">
            <v>285.29049900000001</v>
          </cell>
          <cell r="AT302">
            <v>66.036592999999996</v>
          </cell>
          <cell r="AU302">
            <v>354.18843399999997</v>
          </cell>
          <cell r="AV302">
            <v>148.53648799999999</v>
          </cell>
          <cell r="AW302">
            <v>18.978306</v>
          </cell>
          <cell r="AX302">
            <v>0</v>
          </cell>
          <cell r="AY302">
            <v>93.224162000000007</v>
          </cell>
          <cell r="AZ302">
            <v>84.565735000000004</v>
          </cell>
          <cell r="BA302">
            <v>96640.853394999969</v>
          </cell>
          <cell r="BB302">
            <v>0</v>
          </cell>
          <cell r="BC302">
            <v>941.17914199999996</v>
          </cell>
          <cell r="BD302">
            <v>8624.9397050000007</v>
          </cell>
          <cell r="BE302">
            <v>643.92853000000002</v>
          </cell>
          <cell r="BF302">
            <v>6473.9282540000004</v>
          </cell>
          <cell r="BG302">
            <v>26762.515791000002</v>
          </cell>
          <cell r="BH302">
            <v>14997.221969</v>
          </cell>
          <cell r="BI302">
            <v>3624.8140669999998</v>
          </cell>
          <cell r="BJ302">
            <v>44.228026999999997</v>
          </cell>
          <cell r="BK302">
            <v>435.85612700000001</v>
          </cell>
          <cell r="BL302">
            <v>3784.0566090000002</v>
          </cell>
          <cell r="BM302">
            <v>2933.4969639999999</v>
          </cell>
          <cell r="BN302">
            <v>492.18858899999998</v>
          </cell>
          <cell r="BO302">
            <v>1978.899868</v>
          </cell>
          <cell r="BP302">
            <v>9.9019209999999998</v>
          </cell>
          <cell r="BQ302">
            <v>9980.0714690000004</v>
          </cell>
          <cell r="BR302">
            <v>18693.372890999999</v>
          </cell>
          <cell r="BS302">
            <v>13076.919148000001</v>
          </cell>
          <cell r="BT302">
            <v>1660.195663</v>
          </cell>
          <cell r="BU302">
            <v>79.911786000000006</v>
          </cell>
          <cell r="BV302">
            <v>824.76862700000004</v>
          </cell>
          <cell r="BW302">
            <v>0.23441200000000001</v>
          </cell>
          <cell r="BX302">
            <v>116062.62955900001</v>
          </cell>
          <cell r="BY302">
            <v>0</v>
          </cell>
          <cell r="BZ302">
            <v>1182.126477</v>
          </cell>
          <cell r="CA302">
            <v>5251.203348</v>
          </cell>
          <cell r="CB302">
            <v>202.52086199999999</v>
          </cell>
          <cell r="CC302">
            <v>879.97341500000005</v>
          </cell>
          <cell r="CD302">
            <v>4607.3107030000001</v>
          </cell>
          <cell r="CE302">
            <v>13.431041</v>
          </cell>
          <cell r="CF302">
            <v>249.78450599999999</v>
          </cell>
          <cell r="CG302">
            <v>145.783143</v>
          </cell>
          <cell r="CH302">
            <v>90.714917</v>
          </cell>
          <cell r="CI302">
            <v>20.830368</v>
          </cell>
          <cell r="CJ302">
            <v>35.434018000000002</v>
          </cell>
          <cell r="CK302">
            <v>83107.126040999996</v>
          </cell>
          <cell r="CL302">
            <v>82350.572176000001</v>
          </cell>
          <cell r="CM302">
            <v>5.93</v>
          </cell>
          <cell r="CN302">
            <v>0.38520100000000002</v>
          </cell>
          <cell r="CO302">
            <v>285.29049900000001</v>
          </cell>
          <cell r="CP302">
            <v>285.29049900000001</v>
          </cell>
          <cell r="CQ302">
            <v>66.036592999999996</v>
          </cell>
          <cell r="CR302">
            <v>354.18843399999997</v>
          </cell>
          <cell r="CS302">
            <v>148.53648799999999</v>
          </cell>
          <cell r="CT302">
            <v>18.978306</v>
          </cell>
          <cell r="CU302">
            <v>0</v>
          </cell>
          <cell r="CV302">
            <v>93.224162000000007</v>
          </cell>
          <cell r="CW302">
            <v>84.565735000000004</v>
          </cell>
          <cell r="CX302">
            <v>96640.853394999969</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Y302">
            <v>21</v>
          </cell>
        </row>
        <row r="303">
          <cell r="F303">
            <v>38151.0625</v>
          </cell>
          <cell r="G303">
            <v>1007.893722</v>
          </cell>
          <cell r="H303">
            <v>10990.017827</v>
          </cell>
          <cell r="I303">
            <v>1336.435131</v>
          </cell>
          <cell r="J303">
            <v>12268.679260000001</v>
          </cell>
          <cell r="K303">
            <v>28853.485454000001</v>
          </cell>
          <cell r="L303">
            <v>18771.656553000001</v>
          </cell>
          <cell r="M303">
            <v>4803.9602160000004</v>
          </cell>
          <cell r="N303">
            <v>60.977722999999997</v>
          </cell>
          <cell r="O303">
            <v>479.71403800000002</v>
          </cell>
          <cell r="P303">
            <v>2893.6442889999998</v>
          </cell>
          <cell r="Q303">
            <v>2802.9102630000002</v>
          </cell>
          <cell r="R303">
            <v>445.01540399999999</v>
          </cell>
          <cell r="S303">
            <v>1137.5340349999999</v>
          </cell>
          <cell r="T303">
            <v>17.952196000000001</v>
          </cell>
          <cell r="U303">
            <v>12028.494354</v>
          </cell>
          <cell r="V303">
            <v>16978.128717</v>
          </cell>
          <cell r="W303">
            <v>12574.785569</v>
          </cell>
          <cell r="X303">
            <v>1683.428388</v>
          </cell>
          <cell r="Y303">
            <v>2.0452949999999999</v>
          </cell>
          <cell r="Z303">
            <v>1126.9077119999999</v>
          </cell>
          <cell r="AA303">
            <v>1.730774</v>
          </cell>
          <cell r="AB303">
            <v>130265.39692000003</v>
          </cell>
          <cell r="AC303">
            <v>800.55319999999995</v>
          </cell>
          <cell r="AD303">
            <v>8989.9179390000008</v>
          </cell>
          <cell r="AE303">
            <v>254.43290999999999</v>
          </cell>
          <cell r="AF303">
            <v>732.72674300000006</v>
          </cell>
          <cell r="AG303">
            <v>2307.532905</v>
          </cell>
          <cell r="AH303">
            <v>67.655057999999997</v>
          </cell>
          <cell r="AI303">
            <v>360.07311199999998</v>
          </cell>
          <cell r="AJ303">
            <v>43.668343</v>
          </cell>
          <cell r="AK303">
            <v>110.287802</v>
          </cell>
          <cell r="AL303">
            <v>31.062363999999999</v>
          </cell>
          <cell r="AM303">
            <v>175.14890600000001</v>
          </cell>
          <cell r="AN303">
            <v>47235.439182000002</v>
          </cell>
          <cell r="AO303">
            <v>46735.130832000003</v>
          </cell>
          <cell r="AP303">
            <v>2.6738400000000002</v>
          </cell>
          <cell r="AQ303">
            <v>2.4156550000000001</v>
          </cell>
          <cell r="AR303">
            <v>253.149013</v>
          </cell>
          <cell r="AS303">
            <v>253.149013</v>
          </cell>
          <cell r="AT303">
            <v>113.625084</v>
          </cell>
          <cell r="AU303">
            <v>433.05318399999999</v>
          </cell>
          <cell r="AV303">
            <v>485.508106</v>
          </cell>
          <cell r="AW303">
            <v>22.989671999999999</v>
          </cell>
          <cell r="AX303">
            <v>0</v>
          </cell>
          <cell r="AY303">
            <v>118.9075</v>
          </cell>
          <cell r="AZ303">
            <v>108.425302</v>
          </cell>
          <cell r="BA303">
            <v>62394.812910000008</v>
          </cell>
          <cell r="BB303">
            <v>0</v>
          </cell>
          <cell r="BC303">
            <v>1949.072864</v>
          </cell>
          <cell r="BD303">
            <v>19614.957532</v>
          </cell>
          <cell r="BE303">
            <v>1980.3636609999999</v>
          </cell>
          <cell r="BF303">
            <v>18742.607514000003</v>
          </cell>
          <cell r="BG303">
            <v>55616.001245000007</v>
          </cell>
          <cell r="BH303">
            <v>33768.878521999999</v>
          </cell>
          <cell r="BI303">
            <v>8428.7742830000007</v>
          </cell>
          <cell r="BJ303">
            <v>105.20574999999999</v>
          </cell>
          <cell r="BK303">
            <v>915.57016500000009</v>
          </cell>
          <cell r="BL303">
            <v>6677.7008980000001</v>
          </cell>
          <cell r="BM303">
            <v>5736.4072269999997</v>
          </cell>
          <cell r="BN303">
            <v>937.20399299999997</v>
          </cell>
          <cell r="BO303">
            <v>3116.4339030000001</v>
          </cell>
          <cell r="BP303">
            <v>27.854117000000002</v>
          </cell>
          <cell r="BQ303">
            <v>22008.565823000001</v>
          </cell>
          <cell r="BR303">
            <v>35671.501607999999</v>
          </cell>
          <cell r="BS303">
            <v>25651.704717000001</v>
          </cell>
          <cell r="BT303">
            <v>3343.6240509999998</v>
          </cell>
          <cell r="BU303">
            <v>81.957081000000002</v>
          </cell>
          <cell r="BV303">
            <v>1951.6763390000001</v>
          </cell>
          <cell r="BW303">
            <v>1.9651860000000001</v>
          </cell>
          <cell r="BX303">
            <v>246328.02647900005</v>
          </cell>
          <cell r="BY303">
            <v>0</v>
          </cell>
          <cell r="BZ303">
            <v>1982.6796770000001</v>
          </cell>
          <cell r="CA303">
            <v>14241.121287000002</v>
          </cell>
          <cell r="CB303">
            <v>456.95377199999996</v>
          </cell>
          <cell r="CC303">
            <v>1612.7001580000001</v>
          </cell>
          <cell r="CD303">
            <v>6914.8436080000001</v>
          </cell>
          <cell r="CE303">
            <v>81.08609899999999</v>
          </cell>
          <cell r="CF303">
            <v>609.857618</v>
          </cell>
          <cell r="CG303">
            <v>189.45148599999999</v>
          </cell>
          <cell r="CH303">
            <v>201.00271900000001</v>
          </cell>
          <cell r="CI303">
            <v>51.892731999999995</v>
          </cell>
          <cell r="CJ303">
            <v>210.58292400000002</v>
          </cell>
          <cell r="CK303">
            <v>130342.565223</v>
          </cell>
          <cell r="CL303">
            <v>129085.70300800001</v>
          </cell>
          <cell r="CM303">
            <v>8.6038399999999999</v>
          </cell>
          <cell r="CN303">
            <v>2.800856</v>
          </cell>
          <cell r="CO303">
            <v>538.43951200000004</v>
          </cell>
          <cell r="CP303">
            <v>538.43951200000004</v>
          </cell>
          <cell r="CQ303">
            <v>179.661677</v>
          </cell>
          <cell r="CR303">
            <v>787.24161800000002</v>
          </cell>
          <cell r="CS303">
            <v>634.04459399999996</v>
          </cell>
          <cell r="CT303">
            <v>41.967978000000002</v>
          </cell>
          <cell r="CU303">
            <v>0</v>
          </cell>
          <cell r="CV303">
            <v>212.13166200000001</v>
          </cell>
          <cell r="CW303">
            <v>192.99103700000001</v>
          </cell>
          <cell r="CX303">
            <v>159035.66630499996</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Y303">
            <v>22</v>
          </cell>
        </row>
        <row r="304">
          <cell r="F304">
            <v>38242.375</v>
          </cell>
          <cell r="G304">
            <v>1129.0863730000001</v>
          </cell>
          <cell r="H304">
            <v>8463.6874449999996</v>
          </cell>
          <cell r="I304">
            <v>1098.136411</v>
          </cell>
          <cell r="J304">
            <v>8924.9803319999992</v>
          </cell>
          <cell r="K304">
            <v>27715.492280999999</v>
          </cell>
          <cell r="L304">
            <v>17997.990161000002</v>
          </cell>
          <cell r="M304">
            <v>3049.1493310000001</v>
          </cell>
          <cell r="N304">
            <v>61.904263999999998</v>
          </cell>
          <cell r="O304">
            <v>520.74669200000005</v>
          </cell>
          <cell r="P304">
            <v>3100.262604</v>
          </cell>
          <cell r="Q304">
            <v>2435.4742849999998</v>
          </cell>
          <cell r="R304">
            <v>491.00448299999999</v>
          </cell>
          <cell r="S304">
            <v>1447.6878489999999</v>
          </cell>
          <cell r="T304">
            <v>33.338230000000003</v>
          </cell>
          <cell r="U304">
            <v>8103.272978</v>
          </cell>
          <cell r="V304">
            <v>21360.026549999999</v>
          </cell>
          <cell r="W304">
            <v>12029.207216999999</v>
          </cell>
          <cell r="X304">
            <v>1805.5343969999999</v>
          </cell>
          <cell r="Y304">
            <v>0.59599999999999997</v>
          </cell>
          <cell r="Z304">
            <v>1538.707825</v>
          </cell>
          <cell r="AA304">
            <v>130.62062499999999</v>
          </cell>
          <cell r="AB304">
            <v>121436.90633299998</v>
          </cell>
          <cell r="AC304">
            <v>303.01877000000002</v>
          </cell>
          <cell r="AD304">
            <v>1856.0307700000001</v>
          </cell>
          <cell r="AE304">
            <v>72.5625</v>
          </cell>
          <cell r="AF304">
            <v>489.85533400000003</v>
          </cell>
          <cell r="AG304">
            <v>792.61037699999997</v>
          </cell>
          <cell r="AH304">
            <v>55.349741999999999</v>
          </cell>
          <cell r="AI304">
            <v>188.87005099999999</v>
          </cell>
          <cell r="AJ304">
            <v>53.141606000000003</v>
          </cell>
          <cell r="AK304">
            <v>86.429980999999998</v>
          </cell>
          <cell r="AL304">
            <v>8.3821919999999999</v>
          </cell>
          <cell r="AM304">
            <v>148.17634799999999</v>
          </cell>
          <cell r="AN304">
            <v>2411.7538070000001</v>
          </cell>
          <cell r="AO304">
            <v>2076.0852810000001</v>
          </cell>
          <cell r="AP304">
            <v>12.555647</v>
          </cell>
          <cell r="AQ304">
            <v>43.853133999999997</v>
          </cell>
          <cell r="AR304">
            <v>291.56075399999997</v>
          </cell>
          <cell r="AS304">
            <v>291.56075399999997</v>
          </cell>
          <cell r="AT304">
            <v>58.400556999999999</v>
          </cell>
          <cell r="AU304">
            <v>619.84416699999997</v>
          </cell>
          <cell r="AV304">
            <v>679.10901699999999</v>
          </cell>
          <cell r="AW304">
            <v>22.987784999999999</v>
          </cell>
          <cell r="AX304">
            <v>0</v>
          </cell>
          <cell r="AY304">
            <v>191.99100999999999</v>
          </cell>
          <cell r="AZ304">
            <v>75.676610999999994</v>
          </cell>
          <cell r="BA304">
            <v>8389.5976600000013</v>
          </cell>
          <cell r="BB304">
            <v>0</v>
          </cell>
          <cell r="BC304">
            <v>3078.1592369999998</v>
          </cell>
          <cell r="BD304">
            <v>28078.644977</v>
          </cell>
          <cell r="BE304">
            <v>3078.5000719999998</v>
          </cell>
          <cell r="BF304">
            <v>27667.587846000002</v>
          </cell>
          <cell r="BG304">
            <v>83331.493526000006</v>
          </cell>
          <cell r="BH304">
            <v>51766.868683000001</v>
          </cell>
          <cell r="BI304">
            <v>11477.923614000001</v>
          </cell>
          <cell r="BJ304">
            <v>167.11001399999998</v>
          </cell>
          <cell r="BK304">
            <v>1436.3168570000003</v>
          </cell>
          <cell r="BL304">
            <v>9777.9635020000005</v>
          </cell>
          <cell r="BM304">
            <v>8171.8815119999999</v>
          </cell>
          <cell r="BN304">
            <v>1428.208476</v>
          </cell>
          <cell r="BO304">
            <v>4564.121752</v>
          </cell>
          <cell r="BP304">
            <v>61.192347000000005</v>
          </cell>
          <cell r="BQ304">
            <v>30111.838801000002</v>
          </cell>
          <cell r="BR304">
            <v>57031.528158000001</v>
          </cell>
          <cell r="BS304">
            <v>37680.911934000003</v>
          </cell>
          <cell r="BT304">
            <v>5149.1584480000001</v>
          </cell>
          <cell r="BU304">
            <v>82.553081000000006</v>
          </cell>
          <cell r="BV304">
            <v>3490.3841640000001</v>
          </cell>
          <cell r="BW304">
            <v>132.58581099999998</v>
          </cell>
          <cell r="BX304">
            <v>367764.93281200004</v>
          </cell>
          <cell r="BY304">
            <v>0</v>
          </cell>
          <cell r="BZ304">
            <v>2285.6984470000002</v>
          </cell>
          <cell r="CA304">
            <v>16097.152057000001</v>
          </cell>
          <cell r="CB304">
            <v>529.51627199999996</v>
          </cell>
          <cell r="CC304">
            <v>2102.555492</v>
          </cell>
          <cell r="CD304">
            <v>7707.4539850000001</v>
          </cell>
          <cell r="CE304">
            <v>136.43584099999998</v>
          </cell>
          <cell r="CF304">
            <v>798.72766899999999</v>
          </cell>
          <cell r="CG304">
            <v>242.59309199999998</v>
          </cell>
          <cell r="CH304">
            <v>287.43270000000001</v>
          </cell>
          <cell r="CI304">
            <v>60.274923999999999</v>
          </cell>
          <cell r="CJ304">
            <v>358.75927200000001</v>
          </cell>
          <cell r="CK304">
            <v>132754.31902999998</v>
          </cell>
          <cell r="CL304">
            <v>131161.78828900002</v>
          </cell>
          <cell r="CM304">
            <v>21.159486999999999</v>
          </cell>
          <cell r="CN304">
            <v>46.65399</v>
          </cell>
          <cell r="CO304">
            <v>830.00026600000001</v>
          </cell>
          <cell r="CP304">
            <v>830.00026600000001</v>
          </cell>
          <cell r="CQ304">
            <v>238.06223399999999</v>
          </cell>
          <cell r="CR304">
            <v>1407.085785</v>
          </cell>
          <cell r="CS304">
            <v>1313.153611</v>
          </cell>
          <cell r="CT304">
            <v>64.955763000000005</v>
          </cell>
          <cell r="CU304">
            <v>0</v>
          </cell>
          <cell r="CV304">
            <v>404.12267199999997</v>
          </cell>
          <cell r="CW304">
            <v>268.66764799999999</v>
          </cell>
          <cell r="CX304">
            <v>167425.26396499996</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Y304">
            <v>23</v>
          </cell>
        </row>
        <row r="305">
          <cell r="F305">
            <v>38333.6875</v>
          </cell>
          <cell r="G305">
            <v>1888.4363020000001</v>
          </cell>
          <cell r="H305">
            <v>10708.54398</v>
          </cell>
          <cell r="I305">
            <v>1191.8257229999999</v>
          </cell>
          <cell r="J305">
            <v>15971.537125000001</v>
          </cell>
          <cell r="K305">
            <v>34594.233650000002</v>
          </cell>
          <cell r="L305">
            <v>26711.803048000002</v>
          </cell>
          <cell r="M305">
            <v>6252.6679450000001</v>
          </cell>
          <cell r="N305">
            <v>35.450699</v>
          </cell>
          <cell r="O305">
            <v>589.21099000000004</v>
          </cell>
          <cell r="P305">
            <v>5605.1554759999999</v>
          </cell>
          <cell r="Q305">
            <v>4750.8879559999996</v>
          </cell>
          <cell r="R305">
            <v>846.00737000000004</v>
          </cell>
          <cell r="S305">
            <v>1202.896246</v>
          </cell>
          <cell r="T305">
            <v>10.61936</v>
          </cell>
          <cell r="U305">
            <v>10816.699508</v>
          </cell>
          <cell r="V305">
            <v>24466.263763999999</v>
          </cell>
          <cell r="W305">
            <v>15400.182255</v>
          </cell>
          <cell r="X305">
            <v>2472.370242</v>
          </cell>
          <cell r="Y305">
            <v>17.907171999999999</v>
          </cell>
          <cell r="Z305">
            <v>3193.658707</v>
          </cell>
          <cell r="AA305">
            <v>4.2405819999999999</v>
          </cell>
          <cell r="AB305">
            <v>166730.5981</v>
          </cell>
          <cell r="AC305">
            <v>933.59849999999994</v>
          </cell>
          <cell r="AD305">
            <v>6649.0272489999998</v>
          </cell>
          <cell r="AE305">
            <v>272.68537300000003</v>
          </cell>
          <cell r="AF305">
            <v>776.66841399999998</v>
          </cell>
          <cell r="AG305">
            <v>1540.405702</v>
          </cell>
          <cell r="AH305">
            <v>15.208119</v>
          </cell>
          <cell r="AI305">
            <v>26.120370999999999</v>
          </cell>
          <cell r="AJ305">
            <v>46.783220999999998</v>
          </cell>
          <cell r="AK305">
            <v>100.64114600000001</v>
          </cell>
          <cell r="AL305">
            <v>36.405942000000003</v>
          </cell>
          <cell r="AM305">
            <v>52.564700999999999</v>
          </cell>
          <cell r="AN305">
            <v>24300.600294</v>
          </cell>
          <cell r="AO305">
            <v>24037.323761</v>
          </cell>
          <cell r="AP305">
            <v>0</v>
          </cell>
          <cell r="AQ305">
            <v>22.590952999999999</v>
          </cell>
          <cell r="AR305">
            <v>352.75242900000001</v>
          </cell>
          <cell r="AS305">
            <v>351.78898900000002</v>
          </cell>
          <cell r="AT305">
            <v>181.43440799999999</v>
          </cell>
          <cell r="AU305">
            <v>2472.7495020000001</v>
          </cell>
          <cell r="AV305">
            <v>1307.046756</v>
          </cell>
          <cell r="AW305">
            <v>78.613764000000003</v>
          </cell>
          <cell r="AX305">
            <v>0.10055500000000001</v>
          </cell>
          <cell r="AY305">
            <v>109.944757</v>
          </cell>
          <cell r="AZ305">
            <v>165.90635700000001</v>
          </cell>
          <cell r="BA305">
            <v>39169.163139999997</v>
          </cell>
          <cell r="BB305">
            <v>0</v>
          </cell>
          <cell r="BC305">
            <v>4966.5955389999999</v>
          </cell>
          <cell r="BD305">
            <v>38787.188956999998</v>
          </cell>
          <cell r="BE305">
            <v>4270.3257949999997</v>
          </cell>
          <cell r="BF305">
            <v>43639.124971000005</v>
          </cell>
          <cell r="BG305">
            <v>117925.72717600001</v>
          </cell>
          <cell r="BH305">
            <v>78478.671731000009</v>
          </cell>
          <cell r="BI305">
            <v>17730.591559</v>
          </cell>
          <cell r="BJ305">
            <v>202.56071299999996</v>
          </cell>
          <cell r="BK305">
            <v>2025.5278470000003</v>
          </cell>
          <cell r="BL305">
            <v>15383.118978</v>
          </cell>
          <cell r="BM305">
            <v>12922.769467999999</v>
          </cell>
          <cell r="BN305">
            <v>2274.2158460000001</v>
          </cell>
          <cell r="BO305">
            <v>5767.0179980000003</v>
          </cell>
          <cell r="BP305">
            <v>71.811707000000013</v>
          </cell>
          <cell r="BQ305">
            <v>40928.538309000003</v>
          </cell>
          <cell r="BR305">
            <v>81497.791922000004</v>
          </cell>
          <cell r="BS305">
            <v>53081.094189000003</v>
          </cell>
          <cell r="BT305">
            <v>7621.5286900000001</v>
          </cell>
          <cell r="BU305">
            <v>100.46025300000001</v>
          </cell>
          <cell r="BV305">
            <v>6684.0428709999996</v>
          </cell>
          <cell r="BW305">
            <v>136.82639299999997</v>
          </cell>
          <cell r="BX305">
            <v>534495.53091199999</v>
          </cell>
          <cell r="BY305">
            <v>0</v>
          </cell>
          <cell r="BZ305">
            <v>3219.2969470000003</v>
          </cell>
          <cell r="CA305">
            <v>22746.179306000002</v>
          </cell>
          <cell r="CB305">
            <v>802.20164499999998</v>
          </cell>
          <cell r="CC305">
            <v>2879.2239060000002</v>
          </cell>
          <cell r="CD305">
            <v>9247.8596870000001</v>
          </cell>
          <cell r="CE305">
            <v>151.64395999999999</v>
          </cell>
          <cell r="CF305">
            <v>824.84803999999997</v>
          </cell>
          <cell r="CG305">
            <v>289.37631299999998</v>
          </cell>
          <cell r="CH305">
            <v>388.073846</v>
          </cell>
          <cell r="CI305">
            <v>96.680866000000009</v>
          </cell>
          <cell r="CJ305">
            <v>411.32397300000002</v>
          </cell>
          <cell r="CK305">
            <v>157054.91932399999</v>
          </cell>
          <cell r="CL305">
            <v>155199.11205000003</v>
          </cell>
          <cell r="CM305">
            <v>21.159486999999999</v>
          </cell>
          <cell r="CN305">
            <v>69.244943000000006</v>
          </cell>
          <cell r="CO305">
            <v>1182.7526950000001</v>
          </cell>
          <cell r="CP305">
            <v>1181.7892550000001</v>
          </cell>
          <cell r="CQ305">
            <v>419.49664199999995</v>
          </cell>
          <cell r="CR305">
            <v>3879.8352869999999</v>
          </cell>
          <cell r="CS305">
            <v>2620.2003669999999</v>
          </cell>
          <cell r="CT305">
            <v>143.56952699999999</v>
          </cell>
          <cell r="CU305">
            <v>0.10055500000000001</v>
          </cell>
          <cell r="CV305">
            <v>514.06742899999995</v>
          </cell>
          <cell r="CW305">
            <v>434.574005</v>
          </cell>
          <cell r="CX305">
            <v>206594.42710499995</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38.652227223021235</v>
          </cell>
          <cell r="DM305">
            <v>0</v>
          </cell>
          <cell r="DN305">
            <v>0</v>
          </cell>
          <cell r="DO305">
            <v>0</v>
          </cell>
          <cell r="DP305">
            <v>0</v>
          </cell>
          <cell r="DQ305">
            <v>0</v>
          </cell>
          <cell r="DR305">
            <v>0</v>
          </cell>
          <cell r="DS305">
            <v>0</v>
          </cell>
          <cell r="DT305">
            <v>0</v>
          </cell>
          <cell r="DU305">
            <v>0</v>
          </cell>
          <cell r="DV305">
            <v>0</v>
          </cell>
          <cell r="DY305">
            <v>24</v>
          </cell>
        </row>
        <row r="306">
          <cell r="F306">
            <v>38425</v>
          </cell>
          <cell r="G306">
            <v>1591.2828509999999</v>
          </cell>
          <cell r="H306">
            <v>11833.031070000001</v>
          </cell>
          <cell r="I306">
            <v>1978.3239819999999</v>
          </cell>
          <cell r="J306">
            <v>9843.6936710000009</v>
          </cell>
          <cell r="K306">
            <v>31603.137286000001</v>
          </cell>
          <cell r="L306">
            <v>24983.698563999998</v>
          </cell>
          <cell r="M306">
            <v>3930.0068080000001</v>
          </cell>
          <cell r="N306">
            <v>93.825243999999998</v>
          </cell>
          <cell r="O306">
            <v>689.09313099999997</v>
          </cell>
          <cell r="P306">
            <v>4203.611132</v>
          </cell>
          <cell r="Q306">
            <v>3391.9471549999998</v>
          </cell>
          <cell r="R306">
            <v>603.63136899999995</v>
          </cell>
          <cell r="S306">
            <v>1463.693933</v>
          </cell>
          <cell r="T306">
            <v>7.5033950000000003</v>
          </cell>
          <cell r="U306">
            <v>9713.2922490000001</v>
          </cell>
          <cell r="V306">
            <v>20756.112432999998</v>
          </cell>
          <cell r="W306">
            <v>13092.546834999999</v>
          </cell>
          <cell r="X306">
            <v>2138.6569589999999</v>
          </cell>
          <cell r="Y306">
            <v>43.235517999999999</v>
          </cell>
          <cell r="Z306">
            <v>3151.0734259999999</v>
          </cell>
          <cell r="AA306">
            <v>1.684817</v>
          </cell>
          <cell r="AB306">
            <v>145113.08182800002</v>
          </cell>
          <cell r="AC306">
            <v>865.36450000000002</v>
          </cell>
          <cell r="AD306">
            <v>6449.6063620000004</v>
          </cell>
          <cell r="AE306">
            <v>3820.374769</v>
          </cell>
          <cell r="AF306">
            <v>258.36972900000001</v>
          </cell>
          <cell r="AG306">
            <v>3754.5663629999999</v>
          </cell>
          <cell r="AH306">
            <v>34.040235000000003</v>
          </cell>
          <cell r="AI306">
            <v>618.65232400000002</v>
          </cell>
          <cell r="AJ306">
            <v>62.030476</v>
          </cell>
          <cell r="AK306">
            <v>27.720972</v>
          </cell>
          <cell r="AL306">
            <v>41.614894999999997</v>
          </cell>
          <cell r="AM306">
            <v>38.249448000000001</v>
          </cell>
          <cell r="AN306">
            <v>30836.026686000001</v>
          </cell>
          <cell r="AO306">
            <v>30440.896317999999</v>
          </cell>
          <cell r="AP306">
            <v>0.47516900000000001</v>
          </cell>
          <cell r="AQ306">
            <v>4.6456160000000004</v>
          </cell>
          <cell r="AR306">
            <v>165.35373000000001</v>
          </cell>
          <cell r="AS306">
            <v>165.35373000000001</v>
          </cell>
          <cell r="AT306">
            <v>242.61147199999999</v>
          </cell>
          <cell r="AU306">
            <v>370.97856000000002</v>
          </cell>
          <cell r="AV306">
            <v>152.47634199999999</v>
          </cell>
          <cell r="AW306">
            <v>66.240634</v>
          </cell>
          <cell r="AX306">
            <v>0.47215299999999999</v>
          </cell>
          <cell r="AY306">
            <v>66.570835000000002</v>
          </cell>
          <cell r="AZ306">
            <v>101.19208500000001</v>
          </cell>
          <cell r="BA306">
            <v>44157.258586000011</v>
          </cell>
          <cell r="BB306">
            <v>0</v>
          </cell>
          <cell r="BC306">
            <v>1591.2828509999999</v>
          </cell>
          <cell r="BD306">
            <v>11833.031070000001</v>
          </cell>
          <cell r="BE306">
            <v>1978.3239819999999</v>
          </cell>
          <cell r="BF306">
            <v>9843.6936710000009</v>
          </cell>
          <cell r="BG306">
            <v>31603.137286000001</v>
          </cell>
          <cell r="BH306">
            <v>24983.698563999998</v>
          </cell>
          <cell r="BI306">
            <v>3930.0068080000001</v>
          </cell>
          <cell r="BJ306">
            <v>93.825243999999998</v>
          </cell>
          <cell r="BK306">
            <v>689.09313099999997</v>
          </cell>
          <cell r="BL306">
            <v>4203.611132</v>
          </cell>
          <cell r="BM306">
            <v>3391.9471549999998</v>
          </cell>
          <cell r="BN306">
            <v>603.63136899999995</v>
          </cell>
          <cell r="BO306">
            <v>1463.693933</v>
          </cell>
          <cell r="BP306">
            <v>7.5033950000000003</v>
          </cell>
          <cell r="BQ306">
            <v>9713.2922490000001</v>
          </cell>
          <cell r="BR306">
            <v>20756.112432999998</v>
          </cell>
          <cell r="BS306">
            <v>13092.546834999999</v>
          </cell>
          <cell r="BT306">
            <v>2138.6569589999999</v>
          </cell>
          <cell r="BU306">
            <v>43.235517999999999</v>
          </cell>
          <cell r="BV306">
            <v>3151.0734259999999</v>
          </cell>
          <cell r="BW306">
            <v>1.684817</v>
          </cell>
          <cell r="BX306">
            <v>145113.08182800002</v>
          </cell>
          <cell r="BY306">
            <v>0</v>
          </cell>
          <cell r="BZ306">
            <v>865.36450000000002</v>
          </cell>
          <cell r="CA306">
            <v>6449.6063620000004</v>
          </cell>
          <cell r="CB306">
            <v>3820.374769</v>
          </cell>
          <cell r="CC306">
            <v>258.36972900000001</v>
          </cell>
          <cell r="CD306">
            <v>3754.5663629999999</v>
          </cell>
          <cell r="CE306">
            <v>34.040235000000003</v>
          </cell>
          <cell r="CF306">
            <v>618.65232400000002</v>
          </cell>
          <cell r="CG306">
            <v>62.030476</v>
          </cell>
          <cell r="CH306">
            <v>27.720972</v>
          </cell>
          <cell r="CI306">
            <v>41.614894999999997</v>
          </cell>
          <cell r="CJ306">
            <v>38.249448000000001</v>
          </cell>
          <cell r="CK306">
            <v>30836.026686000001</v>
          </cell>
          <cell r="CL306">
            <v>30440.896317999999</v>
          </cell>
          <cell r="CM306">
            <v>0.47516900000000001</v>
          </cell>
          <cell r="CN306">
            <v>4.6456160000000004</v>
          </cell>
          <cell r="CO306">
            <v>165.35373000000001</v>
          </cell>
          <cell r="CP306">
            <v>165.35373000000001</v>
          </cell>
          <cell r="CQ306">
            <v>242.61147199999999</v>
          </cell>
          <cell r="CR306">
            <v>370.97856000000002</v>
          </cell>
          <cell r="CS306">
            <v>152.47634199999999</v>
          </cell>
          <cell r="CT306">
            <v>66.240634</v>
          </cell>
          <cell r="CU306">
            <v>0.47215299999999999</v>
          </cell>
          <cell r="CV306">
            <v>66.570835000000002</v>
          </cell>
          <cell r="CW306">
            <v>101.19208500000001</v>
          </cell>
          <cell r="CX306">
            <v>44157.258586000011</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Y306">
            <v>25</v>
          </cell>
        </row>
        <row r="307">
          <cell r="F307">
            <v>38516.3125</v>
          </cell>
          <cell r="G307">
            <v>1637.7316519999999</v>
          </cell>
          <cell r="H307">
            <v>15379.940570999999</v>
          </cell>
          <cell r="I307">
            <v>2172.8785579999999</v>
          </cell>
          <cell r="J307">
            <v>9825.637342</v>
          </cell>
          <cell r="K307">
            <v>39658.795948999999</v>
          </cell>
          <cell r="L307">
            <v>32770.522805000001</v>
          </cell>
          <cell r="M307">
            <v>5935.6744040000003</v>
          </cell>
          <cell r="N307">
            <v>42.928517999999997</v>
          </cell>
          <cell r="O307">
            <v>844.47796600000004</v>
          </cell>
          <cell r="P307">
            <v>3243.9644130000001</v>
          </cell>
          <cell r="Q307">
            <v>2735.7125380000002</v>
          </cell>
          <cell r="R307">
            <v>480.01255200000003</v>
          </cell>
          <cell r="S307">
            <v>1254.8697669999999</v>
          </cell>
          <cell r="T307">
            <v>11.626504000000001</v>
          </cell>
          <cell r="U307">
            <v>13458.161776000001</v>
          </cell>
          <cell r="V307">
            <v>17624.966520999998</v>
          </cell>
          <cell r="W307">
            <v>14368.372894</v>
          </cell>
          <cell r="X307">
            <v>1434.6737129999999</v>
          </cell>
          <cell r="Y307">
            <v>2.623704</v>
          </cell>
          <cell r="Z307">
            <v>1609.655908</v>
          </cell>
          <cell r="AA307">
            <v>9.0458420000000004</v>
          </cell>
          <cell r="AB307">
            <v>164502.27389699998</v>
          </cell>
          <cell r="AC307">
            <v>918.87675000000002</v>
          </cell>
          <cell r="AD307">
            <v>3210.2447769999999</v>
          </cell>
          <cell r="AE307">
            <v>1574.3969420000001</v>
          </cell>
          <cell r="AF307">
            <v>236.12836100000001</v>
          </cell>
          <cell r="AG307">
            <v>1192.859582</v>
          </cell>
          <cell r="AH307">
            <v>87.509709000000001</v>
          </cell>
          <cell r="AI307">
            <v>574.23308799999995</v>
          </cell>
          <cell r="AJ307">
            <v>36.745375000000003</v>
          </cell>
          <cell r="AK307">
            <v>30.234985000000002</v>
          </cell>
          <cell r="AL307">
            <v>27.988437000000001</v>
          </cell>
          <cell r="AM307">
            <v>167.11754099999999</v>
          </cell>
          <cell r="AN307">
            <v>52689.199050000003</v>
          </cell>
          <cell r="AO307">
            <v>52329.208031000002</v>
          </cell>
          <cell r="AP307">
            <v>3.1152000000000002</v>
          </cell>
          <cell r="AQ307">
            <v>9.5146259999999998</v>
          </cell>
          <cell r="AR307">
            <v>326.80030399999998</v>
          </cell>
          <cell r="AS307">
            <v>326.80030399999998</v>
          </cell>
          <cell r="AT307">
            <v>198.93032299999999</v>
          </cell>
          <cell r="AU307">
            <v>625.86916499999995</v>
          </cell>
          <cell r="AV307">
            <v>1175.7730610000001</v>
          </cell>
          <cell r="AW307">
            <v>32.378945999999999</v>
          </cell>
          <cell r="AX307">
            <v>0</v>
          </cell>
          <cell r="AY307">
            <v>242.213775</v>
          </cell>
          <cell r="AZ307">
            <v>144.37153599999999</v>
          </cell>
          <cell r="BA307">
            <v>61930.104590999988</v>
          </cell>
          <cell r="BB307">
            <v>0</v>
          </cell>
          <cell r="BC307">
            <v>3229.0145029999999</v>
          </cell>
          <cell r="BD307">
            <v>27212.971641</v>
          </cell>
          <cell r="BE307">
            <v>4151.2025400000002</v>
          </cell>
          <cell r="BF307">
            <v>19669.331013000003</v>
          </cell>
          <cell r="BG307">
            <v>71261.933235000004</v>
          </cell>
          <cell r="BH307">
            <v>57754.221368999999</v>
          </cell>
          <cell r="BI307">
            <v>9865.6812119999995</v>
          </cell>
          <cell r="BJ307">
            <v>136.75376199999999</v>
          </cell>
          <cell r="BK307">
            <v>1533.571097</v>
          </cell>
          <cell r="BL307">
            <v>7447.5755449999997</v>
          </cell>
          <cell r="BM307">
            <v>6127.6596929999996</v>
          </cell>
          <cell r="BN307">
            <v>1083.6439209999999</v>
          </cell>
          <cell r="BO307">
            <v>2718.5636999999997</v>
          </cell>
          <cell r="BP307">
            <v>19.129899000000002</v>
          </cell>
          <cell r="BQ307">
            <v>23171.454024999999</v>
          </cell>
          <cell r="BR307">
            <v>38381.078953999997</v>
          </cell>
          <cell r="BS307">
            <v>27460.919729000001</v>
          </cell>
          <cell r="BT307">
            <v>3573.330672</v>
          </cell>
          <cell r="BU307">
            <v>45.859222000000003</v>
          </cell>
          <cell r="BV307">
            <v>4760.7293339999997</v>
          </cell>
          <cell r="BW307">
            <v>10.730659000000001</v>
          </cell>
          <cell r="BX307">
            <v>309615.35572500003</v>
          </cell>
          <cell r="BY307">
            <v>0</v>
          </cell>
          <cell r="BZ307">
            <v>1784.24125</v>
          </cell>
          <cell r="CA307">
            <v>9659.8511390000003</v>
          </cell>
          <cell r="CB307">
            <v>5394.7717110000003</v>
          </cell>
          <cell r="CC307">
            <v>494.49809000000005</v>
          </cell>
          <cell r="CD307">
            <v>4947.425945</v>
          </cell>
          <cell r="CE307">
            <v>121.54994400000001</v>
          </cell>
          <cell r="CF307">
            <v>1192.8854120000001</v>
          </cell>
          <cell r="CG307">
            <v>98.775851000000003</v>
          </cell>
          <cell r="CH307">
            <v>57.955956999999998</v>
          </cell>
          <cell r="CI307">
            <v>69.603331999999995</v>
          </cell>
          <cell r="CJ307">
            <v>205.36698899999999</v>
          </cell>
          <cell r="CK307">
            <v>83525.225736000008</v>
          </cell>
          <cell r="CL307">
            <v>82770.104349000001</v>
          </cell>
          <cell r="CM307">
            <v>3.5903690000000004</v>
          </cell>
          <cell r="CN307">
            <v>14.160242</v>
          </cell>
          <cell r="CO307">
            <v>492.15403400000002</v>
          </cell>
          <cell r="CP307">
            <v>492.15403400000002</v>
          </cell>
          <cell r="CQ307">
            <v>441.54179499999998</v>
          </cell>
          <cell r="CR307">
            <v>996.84772499999997</v>
          </cell>
          <cell r="CS307">
            <v>1328.249403</v>
          </cell>
          <cell r="CT307">
            <v>98.619579999999999</v>
          </cell>
          <cell r="CU307">
            <v>0.47215299999999999</v>
          </cell>
          <cell r="CV307">
            <v>308.78460999999999</v>
          </cell>
          <cell r="CW307">
            <v>245.56362100000001</v>
          </cell>
          <cell r="CX307">
            <v>106087.36317699999</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Y307">
            <v>26</v>
          </cell>
        </row>
        <row r="308">
          <cell r="F308">
            <v>38607.625</v>
          </cell>
          <cell r="G308">
            <v>724.17300299999999</v>
          </cell>
          <cell r="H308">
            <v>11774.634859</v>
          </cell>
          <cell r="I308">
            <v>2111.6935119999998</v>
          </cell>
          <cell r="J308">
            <v>8556.8115930000004</v>
          </cell>
          <cell r="K308">
            <v>23422.883470000001</v>
          </cell>
          <cell r="L308">
            <v>8701.299567</v>
          </cell>
          <cell r="M308">
            <v>4927.9372219999996</v>
          </cell>
          <cell r="N308">
            <v>67.067654000000005</v>
          </cell>
          <cell r="O308">
            <v>288.40186199999999</v>
          </cell>
          <cell r="P308">
            <v>2946.7410289999998</v>
          </cell>
          <cell r="Q308">
            <v>2729.1937069999999</v>
          </cell>
          <cell r="R308">
            <v>276.50624800000003</v>
          </cell>
          <cell r="S308">
            <v>3012.8640049999999</v>
          </cell>
          <cell r="T308">
            <v>5.4195010000000003</v>
          </cell>
          <cell r="U308">
            <v>9291.8268530000005</v>
          </cell>
          <cell r="V308">
            <v>23747.239754999999</v>
          </cell>
          <cell r="W308">
            <v>10397.018765000001</v>
          </cell>
          <cell r="X308">
            <v>1743.4064800000001</v>
          </cell>
          <cell r="Y308">
            <v>130.04532499999999</v>
          </cell>
          <cell r="Z308">
            <v>822.22002499999996</v>
          </cell>
          <cell r="AA308">
            <v>15.950481</v>
          </cell>
          <cell r="AB308">
            <v>115693.33491600002</v>
          </cell>
          <cell r="AC308">
            <v>338.23622</v>
          </cell>
          <cell r="AD308">
            <v>1573.3141000000001</v>
          </cell>
          <cell r="AE308">
            <v>489.43613199999999</v>
          </cell>
          <cell r="AF308">
            <v>394.77187199999997</v>
          </cell>
          <cell r="AG308">
            <v>631.039491</v>
          </cell>
          <cell r="AH308">
            <v>15.129889</v>
          </cell>
          <cell r="AI308">
            <v>27.330100000000002</v>
          </cell>
          <cell r="AJ308">
            <v>6.5634269999999999</v>
          </cell>
          <cell r="AK308">
            <v>1.963605</v>
          </cell>
          <cell r="AL308">
            <v>20.495360999999999</v>
          </cell>
          <cell r="AM308">
            <v>50.109085999999998</v>
          </cell>
          <cell r="AN308">
            <v>14276.070556999999</v>
          </cell>
          <cell r="AO308">
            <v>11803.115204</v>
          </cell>
          <cell r="AP308">
            <v>1</v>
          </cell>
          <cell r="AQ308">
            <v>0</v>
          </cell>
          <cell r="AR308">
            <v>384.59697799999998</v>
          </cell>
          <cell r="AS308">
            <v>378.33547800000002</v>
          </cell>
          <cell r="AT308">
            <v>1292.180513</v>
          </cell>
          <cell r="AU308">
            <v>128.59668300000001</v>
          </cell>
          <cell r="AV308">
            <v>82.609395000000006</v>
          </cell>
          <cell r="AW308">
            <v>93.407062999999994</v>
          </cell>
          <cell r="AX308">
            <v>0</v>
          </cell>
          <cell r="AY308">
            <v>184.01374899999999</v>
          </cell>
          <cell r="AZ308">
            <v>104.426014</v>
          </cell>
          <cell r="BA308">
            <v>19605.854103000001</v>
          </cell>
          <cell r="BB308">
            <v>0</v>
          </cell>
          <cell r="BD308">
            <v>38987.606500000002</v>
          </cell>
          <cell r="BE308">
            <v>6262.8960520000001</v>
          </cell>
          <cell r="BF308">
            <v>28226.142606000001</v>
          </cell>
          <cell r="BG308">
            <v>94684.816705000005</v>
          </cell>
          <cell r="BH308">
            <v>66455.520936000001</v>
          </cell>
          <cell r="BI308">
            <v>14793.618434</v>
          </cell>
          <cell r="BJ308">
            <v>203.821416</v>
          </cell>
          <cell r="BK308">
            <v>1821.9729589999999</v>
          </cell>
          <cell r="BL308">
            <v>10394.316574</v>
          </cell>
          <cell r="BM308">
            <v>8856.8534</v>
          </cell>
          <cell r="BN308">
            <v>1360.150169</v>
          </cell>
          <cell r="BO308">
            <v>5731.4277050000001</v>
          </cell>
          <cell r="BP308">
            <v>24.549400000000002</v>
          </cell>
          <cell r="BQ308">
            <v>32463.280877999998</v>
          </cell>
          <cell r="BR308">
            <v>62128.318708999999</v>
          </cell>
          <cell r="BS308">
            <v>37857.938494000002</v>
          </cell>
          <cell r="BT308">
            <v>5316.7371519999997</v>
          </cell>
          <cell r="BU308">
            <v>175.90454699999998</v>
          </cell>
          <cell r="BV308">
            <v>5582.9493589999993</v>
          </cell>
          <cell r="BW308">
            <v>26.681139999999999</v>
          </cell>
          <cell r="BX308">
            <v>425308.69064100005</v>
          </cell>
          <cell r="BY308">
            <v>0</v>
          </cell>
          <cell r="BZ308">
            <v>2122.4774699999998</v>
          </cell>
          <cell r="CA308">
            <v>11233.165239</v>
          </cell>
          <cell r="CB308">
            <v>5884.2078430000001</v>
          </cell>
          <cell r="CC308">
            <v>889.26996200000008</v>
          </cell>
          <cell r="CD308">
            <v>5578.4654360000004</v>
          </cell>
          <cell r="CE308">
            <v>136.679833</v>
          </cell>
          <cell r="CF308">
            <v>1220.215512</v>
          </cell>
          <cell r="CG308">
            <v>105.33927800000001</v>
          </cell>
          <cell r="CH308">
            <v>59.919561999999999</v>
          </cell>
          <cell r="CI308">
            <v>90.098692999999997</v>
          </cell>
          <cell r="CJ308">
            <v>255.47607499999998</v>
          </cell>
          <cell r="CK308">
            <v>97801.296293000007</v>
          </cell>
          <cell r="CL308">
            <v>94573.219553000003</v>
          </cell>
          <cell r="CM308">
            <v>4.5903690000000008</v>
          </cell>
          <cell r="CN308">
            <v>14.160242</v>
          </cell>
          <cell r="CO308">
            <v>876.75101199999995</v>
          </cell>
          <cell r="CP308">
            <v>870.4895120000001</v>
          </cell>
          <cell r="CQ308">
            <v>1733.7223079999999</v>
          </cell>
          <cell r="CR308">
            <v>1125.4444080000001</v>
          </cell>
          <cell r="CS308">
            <v>1410.858798</v>
          </cell>
          <cell r="CT308">
            <v>192.02664299999998</v>
          </cell>
          <cell r="CU308">
            <v>0.47215299999999999</v>
          </cell>
          <cell r="CV308">
            <v>492.798359</v>
          </cell>
          <cell r="CW308">
            <v>349.98963500000002</v>
          </cell>
          <cell r="CX308">
            <v>125693.21728</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Y308">
            <v>27</v>
          </cell>
        </row>
        <row r="309">
          <cell r="F309">
            <v>38698.9375</v>
          </cell>
          <cell r="G309">
            <v>1641.6086760000001</v>
          </cell>
          <cell r="H309">
            <v>12775.206699</v>
          </cell>
          <cell r="I309">
            <v>2239.089735</v>
          </cell>
          <cell r="J309">
            <v>9813.4151989999991</v>
          </cell>
          <cell r="K309">
            <v>45346.442649999997</v>
          </cell>
          <cell r="L309">
            <v>15596.934211</v>
          </cell>
          <cell r="M309">
            <v>5010.7736020000002</v>
          </cell>
          <cell r="N309">
            <v>89.441601000000006</v>
          </cell>
          <cell r="O309">
            <v>527.95829900000001</v>
          </cell>
          <cell r="P309">
            <v>2870.4287049999998</v>
          </cell>
          <cell r="Q309">
            <v>3183.6104599999999</v>
          </cell>
          <cell r="R309">
            <v>548.00294099999996</v>
          </cell>
          <cell r="S309">
            <v>972.30637000000002</v>
          </cell>
          <cell r="T309">
            <v>7.1744120000000002</v>
          </cell>
          <cell r="U309">
            <v>10092.573353</v>
          </cell>
          <cell r="V309">
            <v>24268.720947000002</v>
          </cell>
          <cell r="W309">
            <v>15749.225474999999</v>
          </cell>
          <cell r="X309">
            <v>2428.5928640000002</v>
          </cell>
          <cell r="Y309">
            <v>0.57837000000000005</v>
          </cell>
          <cell r="Z309">
            <v>1767.5747590000001</v>
          </cell>
          <cell r="AA309">
            <v>1.423108</v>
          </cell>
          <cell r="AB309">
            <v>154931.082436</v>
          </cell>
          <cell r="AC309">
            <v>1129.596415</v>
          </cell>
          <cell r="AD309">
            <v>4488.5136069999999</v>
          </cell>
          <cell r="AE309">
            <v>3260.215522</v>
          </cell>
          <cell r="AF309">
            <v>1024.403096</v>
          </cell>
          <cell r="AG309">
            <v>1105.9222460000001</v>
          </cell>
          <cell r="AH309">
            <v>51.175409999999999</v>
          </cell>
          <cell r="AI309">
            <v>240.96961999999999</v>
          </cell>
          <cell r="AJ309">
            <v>31.432272000000001</v>
          </cell>
          <cell r="AK309">
            <v>219.10430700000001</v>
          </cell>
          <cell r="AL309">
            <v>22.078699</v>
          </cell>
          <cell r="AM309">
            <v>30.065346000000002</v>
          </cell>
          <cell r="AN309">
            <v>28479.089954999999</v>
          </cell>
          <cell r="AO309">
            <v>27303.013674999998</v>
          </cell>
          <cell r="AP309">
            <v>0</v>
          </cell>
          <cell r="AQ309">
            <v>5.8197369999999999</v>
          </cell>
          <cell r="AR309">
            <v>750.91577800000005</v>
          </cell>
          <cell r="AS309">
            <v>750.513778</v>
          </cell>
          <cell r="AT309">
            <v>142.492998</v>
          </cell>
          <cell r="AU309">
            <v>508.97403200000002</v>
          </cell>
          <cell r="AV309">
            <v>160.113834</v>
          </cell>
          <cell r="AW309">
            <v>14.684198</v>
          </cell>
          <cell r="AX309">
            <v>0</v>
          </cell>
          <cell r="AY309">
            <v>65.817594</v>
          </cell>
          <cell r="AZ309">
            <v>75.644828000000004</v>
          </cell>
          <cell r="BA309">
            <v>38546.813972000004</v>
          </cell>
          <cell r="BB309">
            <v>0</v>
          </cell>
          <cell r="BC309">
            <v>5594.796182</v>
          </cell>
          <cell r="BD309">
            <v>51762.813199000004</v>
          </cell>
          <cell r="BE309">
            <v>8501.9857869999996</v>
          </cell>
          <cell r="BF309">
            <v>38039.557805000004</v>
          </cell>
          <cell r="BG309">
            <v>140031.25935499999</v>
          </cell>
          <cell r="BH309">
            <v>82052.455147000001</v>
          </cell>
          <cell r="BI309">
            <v>19804.392036000001</v>
          </cell>
          <cell r="BJ309">
            <v>293.26301699999999</v>
          </cell>
          <cell r="BK309">
            <v>2349.9312580000001</v>
          </cell>
          <cell r="BL309">
            <v>13264.745279000001</v>
          </cell>
          <cell r="BM309">
            <v>12040.46386</v>
          </cell>
          <cell r="BN309">
            <v>1908.15311</v>
          </cell>
          <cell r="BO309">
            <v>6703.7340750000003</v>
          </cell>
          <cell r="BP309">
            <v>31.723812000000002</v>
          </cell>
          <cell r="BQ309">
            <v>42555.854230999998</v>
          </cell>
          <cell r="BR309">
            <v>86397.039656000008</v>
          </cell>
          <cell r="BS309">
            <v>53607.163969000001</v>
          </cell>
          <cell r="BT309">
            <v>7745.3300159999999</v>
          </cell>
          <cell r="BU309">
            <v>176.48291699999999</v>
          </cell>
          <cell r="BV309">
            <v>7350.5241179999994</v>
          </cell>
          <cell r="BW309">
            <v>28.104247999999998</v>
          </cell>
          <cell r="BX309">
            <v>580239.77307700005</v>
          </cell>
          <cell r="BY309">
            <v>0</v>
          </cell>
          <cell r="BZ309">
            <v>3252.0738849999998</v>
          </cell>
          <cell r="CA309">
            <v>15721.678845999999</v>
          </cell>
          <cell r="CB309">
            <v>9144.4233650000006</v>
          </cell>
          <cell r="CC309">
            <v>1913.6730580000001</v>
          </cell>
          <cell r="CD309">
            <v>6684.3876820000005</v>
          </cell>
          <cell r="CE309">
            <v>187.855243</v>
          </cell>
          <cell r="CF309">
            <v>1461.1851320000001</v>
          </cell>
          <cell r="CG309">
            <v>136.77155000000002</v>
          </cell>
          <cell r="CH309">
            <v>279.02386899999999</v>
          </cell>
          <cell r="CI309">
            <v>112.177392</v>
          </cell>
          <cell r="CJ309">
            <v>285.54142099999996</v>
          </cell>
          <cell r="CK309">
            <v>126280.38624800001</v>
          </cell>
          <cell r="CL309">
            <v>121876.233228</v>
          </cell>
          <cell r="CM309">
            <v>4.5903690000000008</v>
          </cell>
          <cell r="CN309">
            <v>19.979979</v>
          </cell>
          <cell r="CO309">
            <v>1627.66679</v>
          </cell>
          <cell r="CP309">
            <v>1621.0032900000001</v>
          </cell>
          <cell r="CQ309">
            <v>1876.2153059999998</v>
          </cell>
          <cell r="CR309">
            <v>1634.4184400000001</v>
          </cell>
          <cell r="CS309">
            <v>1570.972632</v>
          </cell>
          <cell r="CT309">
            <v>206.71084099999999</v>
          </cell>
          <cell r="CU309">
            <v>0.47215299999999999</v>
          </cell>
          <cell r="CV309">
            <v>558.61595299999999</v>
          </cell>
          <cell r="CW309">
            <v>425.63446300000004</v>
          </cell>
          <cell r="CX309">
            <v>164240.03125200002</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28.305545202638964</v>
          </cell>
          <cell r="DM309">
            <v>0</v>
          </cell>
          <cell r="DN309">
            <v>0</v>
          </cell>
          <cell r="DO309">
            <v>0</v>
          </cell>
          <cell r="DP309">
            <v>0</v>
          </cell>
          <cell r="DQ309">
            <v>0</v>
          </cell>
          <cell r="DR309">
            <v>0</v>
          </cell>
          <cell r="DS309">
            <v>0</v>
          </cell>
          <cell r="DT309">
            <v>0</v>
          </cell>
          <cell r="DU309">
            <v>0</v>
          </cell>
          <cell r="DV309">
            <v>0</v>
          </cell>
          <cell r="DY309">
            <v>28</v>
          </cell>
        </row>
        <row r="310">
          <cell r="F310">
            <v>38790.25</v>
          </cell>
          <cell r="G310">
            <v>1741.2587559999999</v>
          </cell>
          <cell r="H310">
            <v>12619.656601999999</v>
          </cell>
          <cell r="I310">
            <v>2356.9548150000001</v>
          </cell>
          <cell r="J310">
            <v>8270.0880369999995</v>
          </cell>
          <cell r="K310">
            <v>41481.931170999997</v>
          </cell>
          <cell r="L310">
            <v>29888.647005999999</v>
          </cell>
          <cell r="M310">
            <v>5440.1659</v>
          </cell>
          <cell r="N310">
            <v>291.896569</v>
          </cell>
          <cell r="O310">
            <v>623.95326999999997</v>
          </cell>
          <cell r="P310">
            <v>2924.3375099999998</v>
          </cell>
          <cell r="Q310">
            <v>4342.7657689999996</v>
          </cell>
          <cell r="R310">
            <v>665.96061099999997</v>
          </cell>
          <cell r="S310">
            <v>1720.553189</v>
          </cell>
          <cell r="T310">
            <v>8.249765</v>
          </cell>
          <cell r="U310">
            <v>10690.319368</v>
          </cell>
          <cell r="V310">
            <v>23049.17513</v>
          </cell>
          <cell r="W310">
            <v>14216.452393</v>
          </cell>
          <cell r="X310">
            <v>2284.0335129999999</v>
          </cell>
          <cell r="Y310">
            <v>63.839379000000001</v>
          </cell>
          <cell r="Z310">
            <v>1705.540972</v>
          </cell>
          <cell r="AA310">
            <v>8.2301850000000005</v>
          </cell>
          <cell r="AB310">
            <v>164394.00990999996</v>
          </cell>
          <cell r="AC310">
            <v>935.19574999999998</v>
          </cell>
          <cell r="AD310">
            <v>6894.4364009999999</v>
          </cell>
          <cell r="AE310">
            <v>5090.6540859999996</v>
          </cell>
          <cell r="AF310">
            <v>1151.97406</v>
          </cell>
          <cell r="AG310">
            <v>3458.8381610000001</v>
          </cell>
          <cell r="AH310">
            <v>68.934200000000004</v>
          </cell>
          <cell r="AI310">
            <v>88.420070999999993</v>
          </cell>
          <cell r="AJ310">
            <v>124.74743700000001</v>
          </cell>
          <cell r="AK310">
            <v>391.79733099999999</v>
          </cell>
          <cell r="AL310">
            <v>16.633012999999998</v>
          </cell>
          <cell r="AM310">
            <v>43.833706999999997</v>
          </cell>
          <cell r="AN310">
            <v>49412.179408999997</v>
          </cell>
          <cell r="AO310">
            <v>48729.486234000004</v>
          </cell>
          <cell r="AP310">
            <v>0.1338</v>
          </cell>
          <cell r="AQ310">
            <v>5.0311899999999996</v>
          </cell>
          <cell r="AR310">
            <v>159.87043199999999</v>
          </cell>
          <cell r="AS310">
            <v>158.668432</v>
          </cell>
          <cell r="AT310">
            <v>208.415459</v>
          </cell>
          <cell r="AU310">
            <v>324.01382100000001</v>
          </cell>
          <cell r="AV310">
            <v>141.372951</v>
          </cell>
          <cell r="AW310">
            <v>77.069156000000007</v>
          </cell>
          <cell r="AX310">
            <v>0</v>
          </cell>
          <cell r="AY310">
            <v>46.830643999999999</v>
          </cell>
          <cell r="AZ310">
            <v>100.494822</v>
          </cell>
          <cell r="BA310">
            <v>63650.221815000004</v>
          </cell>
          <cell r="BB310">
            <v>0</v>
          </cell>
          <cell r="BC310">
            <v>1741.2587559999999</v>
          </cell>
          <cell r="BD310">
            <v>12619.656601999999</v>
          </cell>
          <cell r="BE310">
            <v>2356.9548150000001</v>
          </cell>
          <cell r="BF310">
            <v>8270.0880369999995</v>
          </cell>
          <cell r="BG310">
            <v>41481.931170999997</v>
          </cell>
          <cell r="BH310">
            <v>29888.647005999999</v>
          </cell>
          <cell r="BI310">
            <v>5440.1659</v>
          </cell>
          <cell r="BJ310">
            <v>291.896569</v>
          </cell>
          <cell r="BK310">
            <v>623.95326999999997</v>
          </cell>
          <cell r="BL310">
            <v>2924.3375099999998</v>
          </cell>
          <cell r="BM310">
            <v>4342.7657689999996</v>
          </cell>
          <cell r="BN310">
            <v>665.96061099999997</v>
          </cell>
          <cell r="BO310">
            <v>1720.553189</v>
          </cell>
          <cell r="BP310">
            <v>8.249765</v>
          </cell>
          <cell r="BQ310">
            <v>10690.319368</v>
          </cell>
          <cell r="BR310">
            <v>23049.17513</v>
          </cell>
          <cell r="BS310">
            <v>14216.452393</v>
          </cell>
          <cell r="BT310">
            <v>2284.0335129999999</v>
          </cell>
          <cell r="BU310">
            <v>63.839379000000001</v>
          </cell>
          <cell r="BV310">
            <v>1705.540972</v>
          </cell>
          <cell r="BW310">
            <v>8.2301850000000005</v>
          </cell>
          <cell r="BX310">
            <v>164394.00990999996</v>
          </cell>
          <cell r="BY310">
            <v>0</v>
          </cell>
          <cell r="BZ310">
            <v>935.19574999999998</v>
          </cell>
          <cell r="CA310">
            <v>6894.4364009999999</v>
          </cell>
          <cell r="CB310">
            <v>5090.6540859999996</v>
          </cell>
          <cell r="CC310">
            <v>1151.97406</v>
          </cell>
          <cell r="CD310">
            <v>3458.8381610000001</v>
          </cell>
          <cell r="CE310">
            <v>68.934200000000004</v>
          </cell>
          <cell r="CF310">
            <v>88.420070999999993</v>
          </cell>
          <cell r="CG310">
            <v>124.74743700000001</v>
          </cell>
          <cell r="CH310">
            <v>391.79733099999999</v>
          </cell>
          <cell r="CI310">
            <v>16.633012999999998</v>
          </cell>
          <cell r="CJ310">
            <v>43.833706999999997</v>
          </cell>
          <cell r="CK310">
            <v>49412.179408999997</v>
          </cell>
          <cell r="CL310">
            <v>48729.486234000004</v>
          </cell>
          <cell r="CM310">
            <v>0.1338</v>
          </cell>
          <cell r="CN310">
            <v>5.0311899999999996</v>
          </cell>
          <cell r="CO310">
            <v>159.87043199999999</v>
          </cell>
          <cell r="CP310">
            <v>158.668432</v>
          </cell>
          <cell r="CQ310">
            <v>208.415459</v>
          </cell>
          <cell r="CR310">
            <v>324.01382100000001</v>
          </cell>
          <cell r="CS310">
            <v>141.372951</v>
          </cell>
          <cell r="CT310">
            <v>77.069156000000007</v>
          </cell>
          <cell r="CU310">
            <v>0</v>
          </cell>
          <cell r="CV310">
            <v>46.830643999999999</v>
          </cell>
          <cell r="CW310">
            <v>100.494822</v>
          </cell>
          <cell r="CX310">
            <v>63650.221815000004</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Y310">
            <v>29</v>
          </cell>
        </row>
        <row r="311">
          <cell r="F311">
            <v>38881.5625</v>
          </cell>
          <cell r="G311">
            <v>1305.3786540000001</v>
          </cell>
          <cell r="H311">
            <v>16853.811753999998</v>
          </cell>
          <cell r="I311">
            <v>1757.291297</v>
          </cell>
          <cell r="J311">
            <v>10304.589708</v>
          </cell>
          <cell r="K311">
            <v>50196.724962</v>
          </cell>
          <cell r="L311">
            <v>29796.723583999999</v>
          </cell>
          <cell r="M311">
            <v>6080.49071</v>
          </cell>
          <cell r="N311">
            <v>91.389048000000003</v>
          </cell>
          <cell r="O311">
            <v>596.14926100000002</v>
          </cell>
          <cell r="P311">
            <v>3905.527286</v>
          </cell>
          <cell r="Q311">
            <v>3057.7546149999998</v>
          </cell>
          <cell r="R311">
            <v>632.49331299999994</v>
          </cell>
          <cell r="S311">
            <v>1150.268926</v>
          </cell>
          <cell r="T311">
            <v>3.5974870000000001</v>
          </cell>
          <cell r="U311">
            <v>11808.893146</v>
          </cell>
          <cell r="V311">
            <v>20563.089630999999</v>
          </cell>
          <cell r="W311">
            <v>12096.844793</v>
          </cell>
          <cell r="X311">
            <v>2954.7614010000002</v>
          </cell>
          <cell r="Y311">
            <v>48.386882</v>
          </cell>
          <cell r="Z311">
            <v>1218.0492959999999</v>
          </cell>
          <cell r="AA311">
            <v>2.9570650000000001</v>
          </cell>
          <cell r="AB311">
            <v>174425.172819</v>
          </cell>
          <cell r="AC311">
            <v>958.10225000000003</v>
          </cell>
          <cell r="AD311">
            <v>6009.3843580000002</v>
          </cell>
          <cell r="AE311">
            <v>2432.1417299999998</v>
          </cell>
          <cell r="AF311">
            <v>1037.5451190000001</v>
          </cell>
          <cell r="AG311">
            <v>989.86179100000004</v>
          </cell>
          <cell r="AH311">
            <v>200.03655000000001</v>
          </cell>
          <cell r="AI311">
            <v>392.01516800000002</v>
          </cell>
          <cell r="AJ311">
            <v>35.805047000000002</v>
          </cell>
          <cell r="AK311">
            <v>1008.77163</v>
          </cell>
          <cell r="AL311">
            <v>9.4718180000000007</v>
          </cell>
          <cell r="AM311">
            <v>149.00387499999999</v>
          </cell>
          <cell r="AN311">
            <v>38612.233286000002</v>
          </cell>
          <cell r="AO311">
            <v>37730.837712</v>
          </cell>
          <cell r="AP311">
            <v>0</v>
          </cell>
          <cell r="AQ311">
            <v>24.929794000000001</v>
          </cell>
          <cell r="AR311">
            <v>909.07079399999998</v>
          </cell>
          <cell r="AS311">
            <v>908.80879400000003</v>
          </cell>
          <cell r="AT311">
            <v>106.455533</v>
          </cell>
          <cell r="AU311">
            <v>836.32370900000001</v>
          </cell>
          <cell r="AV311">
            <v>153.601753</v>
          </cell>
          <cell r="AW311">
            <v>10.4381</v>
          </cell>
          <cell r="AX311">
            <v>0</v>
          </cell>
          <cell r="AY311">
            <v>252.70881700000001</v>
          </cell>
          <cell r="AZ311">
            <v>127.478317</v>
          </cell>
          <cell r="BA311">
            <v>51823.237709000008</v>
          </cell>
          <cell r="BB311">
            <v>0</v>
          </cell>
          <cell r="BC311">
            <v>3046.6374100000003</v>
          </cell>
          <cell r="BD311">
            <v>29473.468355999998</v>
          </cell>
          <cell r="BE311">
            <v>4114.2461119999998</v>
          </cell>
          <cell r="BF311">
            <v>18574.677745000001</v>
          </cell>
          <cell r="BG311">
            <v>91678.656132999997</v>
          </cell>
          <cell r="BH311">
            <v>59685.370589999999</v>
          </cell>
          <cell r="BI311">
            <v>11520.65661</v>
          </cell>
          <cell r="BJ311">
            <v>383.285617</v>
          </cell>
          <cell r="BK311">
            <v>1220.102531</v>
          </cell>
          <cell r="BL311">
            <v>6829.8647959999998</v>
          </cell>
          <cell r="BM311">
            <v>7400.5203839999995</v>
          </cell>
          <cell r="BN311">
            <v>1298.4539239999999</v>
          </cell>
          <cell r="BO311">
            <v>2870.8221149999999</v>
          </cell>
          <cell r="BP311">
            <v>11.847252000000001</v>
          </cell>
          <cell r="BQ311">
            <v>22499.212513999999</v>
          </cell>
          <cell r="BR311">
            <v>43612.264760999999</v>
          </cell>
          <cell r="BS311">
            <v>26313.297186</v>
          </cell>
          <cell r="BT311">
            <v>5238.7949140000001</v>
          </cell>
          <cell r="BU311">
            <v>112.22626099999999</v>
          </cell>
          <cell r="BV311">
            <v>2923.5902679999999</v>
          </cell>
          <cell r="BW311">
            <v>11.187250000000001</v>
          </cell>
          <cell r="BX311">
            <v>338819.18272899999</v>
          </cell>
          <cell r="BY311">
            <v>0</v>
          </cell>
          <cell r="BZ311">
            <v>1893.298</v>
          </cell>
          <cell r="CA311">
            <v>12903.820759</v>
          </cell>
          <cell r="CB311">
            <v>7522.7958159999998</v>
          </cell>
          <cell r="CC311">
            <v>2189.5191789999999</v>
          </cell>
          <cell r="CD311">
            <v>4448.6999519999999</v>
          </cell>
          <cell r="CE311">
            <v>268.97075000000001</v>
          </cell>
          <cell r="CF311">
            <v>480.43523900000002</v>
          </cell>
          <cell r="CG311">
            <v>160.55248399999999</v>
          </cell>
          <cell r="CH311">
            <v>1400.5689609999999</v>
          </cell>
          <cell r="CI311">
            <v>26.104830999999997</v>
          </cell>
          <cell r="CJ311">
            <v>192.837582</v>
          </cell>
          <cell r="CK311">
            <v>88024.412695000006</v>
          </cell>
          <cell r="CL311">
            <v>86460.323946000004</v>
          </cell>
          <cell r="CM311">
            <v>0.1338</v>
          </cell>
          <cell r="CN311">
            <v>29.960984</v>
          </cell>
          <cell r="CO311">
            <v>1068.9412259999999</v>
          </cell>
          <cell r="CP311">
            <v>1067.477226</v>
          </cell>
          <cell r="CQ311">
            <v>314.870992</v>
          </cell>
          <cell r="CR311">
            <v>1160.33753</v>
          </cell>
          <cell r="CS311">
            <v>294.97470399999997</v>
          </cell>
          <cell r="CT311">
            <v>87.507256000000012</v>
          </cell>
          <cell r="CU311">
            <v>0</v>
          </cell>
          <cell r="CV311">
            <v>299.53946100000002</v>
          </cell>
          <cell r="CW311">
            <v>227.973139</v>
          </cell>
          <cell r="CX311">
            <v>115473.45952400001</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Y311">
            <v>30</v>
          </cell>
        </row>
        <row r="312">
          <cell r="F312">
            <v>38972.875</v>
          </cell>
          <cell r="G312">
            <v>1342.0948940000001</v>
          </cell>
          <cell r="H312">
            <v>16369.467189000001</v>
          </cell>
          <cell r="I312">
            <v>2120.3100279999999</v>
          </cell>
          <cell r="J312">
            <v>11814.660131000001</v>
          </cell>
          <cell r="K312">
            <v>46506.519465999998</v>
          </cell>
          <cell r="L312">
            <v>22673.289897999999</v>
          </cell>
          <cell r="M312">
            <v>5862.3736010000002</v>
          </cell>
          <cell r="N312">
            <v>100.249517</v>
          </cell>
          <cell r="O312">
            <v>627.97180700000001</v>
          </cell>
          <cell r="P312">
            <v>3879.0254669999999</v>
          </cell>
          <cell r="Q312">
            <v>2623.0171110000001</v>
          </cell>
          <cell r="R312">
            <v>466.95683700000001</v>
          </cell>
          <cell r="S312">
            <v>1335.5180350000001</v>
          </cell>
          <cell r="T312">
            <v>49.368923000000002</v>
          </cell>
          <cell r="U312">
            <v>10786.878284</v>
          </cell>
          <cell r="V312">
            <v>24720.938150999998</v>
          </cell>
          <cell r="W312">
            <v>11902.643195000001</v>
          </cell>
          <cell r="X312">
            <v>2092.0289560000001</v>
          </cell>
          <cell r="Y312">
            <v>0.22800000000000001</v>
          </cell>
          <cell r="Z312">
            <v>1416.0498419999999</v>
          </cell>
          <cell r="AA312">
            <v>1.6624049999999999</v>
          </cell>
          <cell r="AB312">
            <v>166691.25173700004</v>
          </cell>
          <cell r="AC312">
            <v>538.33050000000003</v>
          </cell>
          <cell r="AD312">
            <v>4052.2093439999999</v>
          </cell>
          <cell r="AE312">
            <v>1735.4578300000001</v>
          </cell>
          <cell r="AF312">
            <v>1108.9006010000001</v>
          </cell>
          <cell r="AG312">
            <v>848.59465799999998</v>
          </cell>
          <cell r="AH312">
            <v>60.245449999999998</v>
          </cell>
          <cell r="AI312">
            <v>272.72099800000001</v>
          </cell>
          <cell r="AJ312">
            <v>37.812928999999997</v>
          </cell>
          <cell r="AK312">
            <v>93.824493000000004</v>
          </cell>
          <cell r="AL312">
            <v>2.4045359999999998</v>
          </cell>
          <cell r="AM312">
            <v>34.199357999999997</v>
          </cell>
          <cell r="AN312">
            <v>45805.597909999997</v>
          </cell>
          <cell r="AO312">
            <v>42657.493435999997</v>
          </cell>
          <cell r="AP312">
            <v>0.2331</v>
          </cell>
          <cell r="AQ312">
            <v>27.692007</v>
          </cell>
          <cell r="AR312">
            <v>876.79756799999996</v>
          </cell>
          <cell r="AS312">
            <v>873.19696799999997</v>
          </cell>
          <cell r="AT312">
            <v>1446.3442399999999</v>
          </cell>
          <cell r="AU312">
            <v>734.44385499999999</v>
          </cell>
          <cell r="AV312">
            <v>418.09014400000001</v>
          </cell>
          <cell r="AW312">
            <v>108.706515</v>
          </cell>
          <cell r="AX312">
            <v>0</v>
          </cell>
          <cell r="AY312">
            <v>302.90884599999998</v>
          </cell>
          <cell r="AZ312">
            <v>54.630308999999997</v>
          </cell>
          <cell r="BA312">
            <v>56824.687360999989</v>
          </cell>
          <cell r="BB312">
            <v>0</v>
          </cell>
          <cell r="BC312">
            <v>4388.7323040000001</v>
          </cell>
          <cell r="BD312">
            <v>45842.935545</v>
          </cell>
          <cell r="BE312">
            <v>6234.5561399999997</v>
          </cell>
          <cell r="BF312">
            <v>30389.337876000001</v>
          </cell>
          <cell r="BG312">
            <v>138185.17559900001</v>
          </cell>
          <cell r="BH312">
            <v>82358.660487999994</v>
          </cell>
          <cell r="BI312">
            <v>17383.030211000001</v>
          </cell>
          <cell r="BJ312">
            <v>483.53513399999997</v>
          </cell>
          <cell r="BK312">
            <v>1848.0743379999999</v>
          </cell>
          <cell r="BL312">
            <v>10708.890262999999</v>
          </cell>
          <cell r="BM312">
            <v>10023.537495</v>
          </cell>
          <cell r="BN312">
            <v>1765.4107609999999</v>
          </cell>
          <cell r="BO312">
            <v>4206.34015</v>
          </cell>
          <cell r="BP312">
            <v>61.216175000000007</v>
          </cell>
          <cell r="BQ312">
            <v>33286.090797999997</v>
          </cell>
          <cell r="BR312">
            <v>68333.202911999993</v>
          </cell>
          <cell r="BS312">
            <v>38215.940381</v>
          </cell>
          <cell r="BT312">
            <v>7330.8238700000002</v>
          </cell>
          <cell r="BU312">
            <v>112.45426099999999</v>
          </cell>
          <cell r="BV312">
            <v>4339.6401100000003</v>
          </cell>
          <cell r="BW312">
            <v>12.849655</v>
          </cell>
          <cell r="BX312">
            <v>505510.43446600006</v>
          </cell>
          <cell r="BY312">
            <v>0</v>
          </cell>
          <cell r="BZ312">
            <v>2431.6284999999998</v>
          </cell>
          <cell r="CA312">
            <v>16956.030103000001</v>
          </cell>
          <cell r="CB312">
            <v>9258.2536459999992</v>
          </cell>
          <cell r="CC312">
            <v>3298.4197800000002</v>
          </cell>
          <cell r="CD312">
            <v>5297.2946099999999</v>
          </cell>
          <cell r="CE312">
            <v>329.21620000000001</v>
          </cell>
          <cell r="CF312">
            <v>753.15623700000003</v>
          </cell>
          <cell r="CG312">
            <v>198.36541299999999</v>
          </cell>
          <cell r="CH312">
            <v>1494.393454</v>
          </cell>
          <cell r="CI312">
            <v>28.509366999999997</v>
          </cell>
          <cell r="CJ312">
            <v>227.03693999999999</v>
          </cell>
          <cell r="CK312">
            <v>133830.01060500002</v>
          </cell>
          <cell r="CL312">
            <v>129117.81738200001</v>
          </cell>
          <cell r="CM312">
            <v>0.3669</v>
          </cell>
          <cell r="CN312">
            <v>57.652991</v>
          </cell>
          <cell r="CO312">
            <v>1945.7387939999999</v>
          </cell>
          <cell r="CP312">
            <v>1940.6741939999999</v>
          </cell>
          <cell r="CQ312">
            <v>1761.215232</v>
          </cell>
          <cell r="CR312">
            <v>1894.781385</v>
          </cell>
          <cell r="CS312">
            <v>713.06484799999998</v>
          </cell>
          <cell r="CT312">
            <v>196.21377100000001</v>
          </cell>
          <cell r="CU312">
            <v>0</v>
          </cell>
          <cell r="CV312">
            <v>602.448307</v>
          </cell>
          <cell r="CW312">
            <v>282.60344800000001</v>
          </cell>
          <cell r="CX312">
            <v>172298.14688499999</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Y312">
            <v>31</v>
          </cell>
        </row>
        <row r="313">
          <cell r="F313">
            <v>39064.1875</v>
          </cell>
          <cell r="G313">
            <v>1836.15148</v>
          </cell>
          <cell r="H313">
            <v>13129.719177000001</v>
          </cell>
          <cell r="I313">
            <v>1928.8449860000001</v>
          </cell>
          <cell r="J313">
            <v>8450.6339690000004</v>
          </cell>
          <cell r="K313">
            <v>46321.518164000001</v>
          </cell>
          <cell r="L313">
            <v>13368.111653</v>
          </cell>
          <cell r="M313">
            <v>6927.6001290000004</v>
          </cell>
          <cell r="N313">
            <v>64.408617000000007</v>
          </cell>
          <cell r="O313">
            <v>675.87925099999995</v>
          </cell>
          <cell r="P313">
            <v>3478.2892919999999</v>
          </cell>
          <cell r="Q313">
            <v>3773.9348110000001</v>
          </cell>
          <cell r="R313">
            <v>746.82896600000004</v>
          </cell>
          <cell r="S313">
            <v>987.84911899999997</v>
          </cell>
          <cell r="T313">
            <v>108.894891</v>
          </cell>
          <cell r="U313">
            <v>16054.951756</v>
          </cell>
          <cell r="V313">
            <v>30245.415303000002</v>
          </cell>
          <cell r="W313">
            <v>16339.150029</v>
          </cell>
          <cell r="X313">
            <v>2062.4665869999999</v>
          </cell>
          <cell r="Y313">
            <v>132.31733700000001</v>
          </cell>
          <cell r="Z313">
            <v>2320.5656049999998</v>
          </cell>
          <cell r="AA313">
            <v>53.14969</v>
          </cell>
          <cell r="AB313">
            <v>169006.68081200001</v>
          </cell>
          <cell r="AC313">
            <v>1075.239</v>
          </cell>
          <cell r="AD313">
            <v>6369.6320070000002</v>
          </cell>
          <cell r="AE313">
            <v>4762.809029</v>
          </cell>
          <cell r="AF313">
            <v>1658.9056889999999</v>
          </cell>
          <cell r="AG313">
            <v>1222.2838819999999</v>
          </cell>
          <cell r="AH313">
            <v>37.477338000000003</v>
          </cell>
          <cell r="AI313">
            <v>65.772396000000001</v>
          </cell>
          <cell r="AJ313">
            <v>146.52391800000001</v>
          </cell>
          <cell r="AK313">
            <v>33.107382000000001</v>
          </cell>
          <cell r="AL313">
            <v>10.034224999999999</v>
          </cell>
          <cell r="AM313">
            <v>14.532420999999999</v>
          </cell>
          <cell r="AN313">
            <v>33089.119713</v>
          </cell>
          <cell r="AO313">
            <v>32299.703303999999</v>
          </cell>
          <cell r="AP313">
            <v>0.5</v>
          </cell>
          <cell r="AQ313">
            <v>9.0991070000000001</v>
          </cell>
          <cell r="AR313">
            <v>2735.3514100000002</v>
          </cell>
          <cell r="AS313">
            <v>2735.3514100000002</v>
          </cell>
          <cell r="AT313">
            <v>486.41109999999998</v>
          </cell>
          <cell r="AU313">
            <v>726.85534099999995</v>
          </cell>
          <cell r="AV313">
            <v>591.53568600000006</v>
          </cell>
          <cell r="AW313">
            <v>180.676356</v>
          </cell>
          <cell r="AX313">
            <v>0</v>
          </cell>
          <cell r="AY313">
            <v>141.04719499999999</v>
          </cell>
          <cell r="AZ313">
            <v>151.75284300000001</v>
          </cell>
          <cell r="BA313">
            <v>48745.857009000014</v>
          </cell>
          <cell r="BB313">
            <v>0</v>
          </cell>
          <cell r="BC313">
            <v>6224.8837839999997</v>
          </cell>
          <cell r="BD313">
            <v>58972.654721999999</v>
          </cell>
          <cell r="BE313">
            <v>8163.4011259999997</v>
          </cell>
          <cell r="BF313">
            <v>38839.971845</v>
          </cell>
          <cell r="BG313">
            <v>184506.69376300002</v>
          </cell>
          <cell r="BH313">
            <v>95726.772140999994</v>
          </cell>
          <cell r="BI313">
            <v>24310.630340000003</v>
          </cell>
          <cell r="BJ313">
            <v>547.94375100000002</v>
          </cell>
          <cell r="BK313">
            <v>2523.9535889999997</v>
          </cell>
          <cell r="BL313">
            <v>14187.179554999999</v>
          </cell>
          <cell r="BM313">
            <v>13797.472306</v>
          </cell>
          <cell r="BN313">
            <v>2512.2397270000001</v>
          </cell>
          <cell r="BO313">
            <v>5194.1892690000004</v>
          </cell>
          <cell r="BP313">
            <v>170.11106599999999</v>
          </cell>
          <cell r="BQ313">
            <v>49341.042554</v>
          </cell>
          <cell r="BR313">
            <v>98578.618214999995</v>
          </cell>
          <cell r="BS313">
            <v>54555.090410000004</v>
          </cell>
          <cell r="BT313">
            <v>9393.2904569999992</v>
          </cell>
          <cell r="BU313">
            <v>244.77159799999998</v>
          </cell>
          <cell r="BV313">
            <v>6660.2057150000001</v>
          </cell>
          <cell r="BW313">
            <v>65.999345000000005</v>
          </cell>
          <cell r="BX313">
            <v>674517.11527800001</v>
          </cell>
          <cell r="BY313">
            <v>0</v>
          </cell>
          <cell r="BZ313">
            <v>3506.8674999999998</v>
          </cell>
          <cell r="CA313">
            <v>23325.662110000001</v>
          </cell>
          <cell r="CB313">
            <v>14021.062674999999</v>
          </cell>
          <cell r="CC313">
            <v>4957.3254690000003</v>
          </cell>
          <cell r="CD313">
            <v>6519.5784919999996</v>
          </cell>
          <cell r="CE313">
            <v>366.69353799999999</v>
          </cell>
          <cell r="CF313">
            <v>818.92863299999999</v>
          </cell>
          <cell r="CG313">
            <v>344.88933099999997</v>
          </cell>
          <cell r="CH313">
            <v>1527.5008359999999</v>
          </cell>
          <cell r="CI313">
            <v>38.543591999999997</v>
          </cell>
          <cell r="CJ313">
            <v>241.56936099999999</v>
          </cell>
          <cell r="CK313">
            <v>166919.13031800001</v>
          </cell>
          <cell r="CL313">
            <v>161417.520686</v>
          </cell>
          <cell r="CM313">
            <v>0.8669</v>
          </cell>
          <cell r="CN313">
            <v>66.752098000000004</v>
          </cell>
          <cell r="CO313">
            <v>4681.0902040000001</v>
          </cell>
          <cell r="CP313">
            <v>4676.0256040000004</v>
          </cell>
          <cell r="CQ313">
            <v>2247.6263319999998</v>
          </cell>
          <cell r="CR313">
            <v>2621.6367259999997</v>
          </cell>
          <cell r="CS313">
            <v>1304.6005340000002</v>
          </cell>
          <cell r="CT313">
            <v>376.89012700000001</v>
          </cell>
          <cell r="CU313">
            <v>0</v>
          </cell>
          <cell r="CV313">
            <v>743.49550199999999</v>
          </cell>
          <cell r="CW313">
            <v>434.35629100000006</v>
          </cell>
          <cell r="CX313">
            <v>221044.00389400002</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32.770703498442359</v>
          </cell>
          <cell r="DM313">
            <v>0</v>
          </cell>
          <cell r="DN313">
            <v>0</v>
          </cell>
          <cell r="DO313">
            <v>0</v>
          </cell>
          <cell r="DP313">
            <v>0</v>
          </cell>
          <cell r="DQ313">
            <v>0</v>
          </cell>
          <cell r="DR313">
            <v>0</v>
          </cell>
          <cell r="DS313">
            <v>0</v>
          </cell>
          <cell r="DT313">
            <v>0</v>
          </cell>
          <cell r="DU313">
            <v>0</v>
          </cell>
          <cell r="DV313">
            <v>0</v>
          </cell>
          <cell r="DY313">
            <v>32</v>
          </cell>
        </row>
        <row r="314">
          <cell r="F314">
            <v>39155.5</v>
          </cell>
          <cell r="G314">
            <v>1310.4748340000001</v>
          </cell>
          <cell r="H314">
            <v>14239.485439</v>
          </cell>
          <cell r="I314">
            <v>2028.1426180000001</v>
          </cell>
          <cell r="J314">
            <v>10753.842889</v>
          </cell>
          <cell r="K314">
            <v>46058.715164000001</v>
          </cell>
          <cell r="L314">
            <v>23200.989486999999</v>
          </cell>
          <cell r="M314">
            <v>6695.3423919999996</v>
          </cell>
          <cell r="N314">
            <v>104.56389799999999</v>
          </cell>
          <cell r="O314">
            <v>904.77552500000002</v>
          </cell>
          <cell r="P314">
            <v>4370.8198899999998</v>
          </cell>
          <cell r="Q314">
            <v>3424.3959989999998</v>
          </cell>
          <cell r="R314">
            <v>670.74448099999995</v>
          </cell>
          <cell r="S314">
            <v>1536.9479550000001</v>
          </cell>
          <cell r="T314">
            <v>13.511753000000001</v>
          </cell>
          <cell r="U314">
            <v>13945.579436</v>
          </cell>
          <cell r="V314">
            <v>22587.295149000001</v>
          </cell>
          <cell r="W314">
            <v>16207.97237</v>
          </cell>
          <cell r="X314">
            <v>2449.7928889999998</v>
          </cell>
          <cell r="Y314">
            <v>64.241605000000007</v>
          </cell>
          <cell r="Z314">
            <v>2249.4226950000002</v>
          </cell>
          <cell r="AA314">
            <v>2.4027090000000002</v>
          </cell>
          <cell r="AB314">
            <v>172819.45917699998</v>
          </cell>
          <cell r="AC314">
            <v>576.02350000000001</v>
          </cell>
          <cell r="AD314">
            <v>12735.062241</v>
          </cell>
          <cell r="AE314">
            <v>9740.4034119999997</v>
          </cell>
          <cell r="AF314">
            <v>1040.984786</v>
          </cell>
          <cell r="AG314">
            <v>2098.792117</v>
          </cell>
          <cell r="AH314">
            <v>29.389600000000002</v>
          </cell>
          <cell r="AI314">
            <v>69.981560999999999</v>
          </cell>
          <cell r="AJ314">
            <v>105.30288299999999</v>
          </cell>
          <cell r="AK314">
            <v>710.86888999999996</v>
          </cell>
          <cell r="AL314">
            <v>6.0513180000000002</v>
          </cell>
          <cell r="AM314">
            <v>55.054490000000001</v>
          </cell>
          <cell r="AN314">
            <v>50615.600114000001</v>
          </cell>
          <cell r="AO314">
            <v>50079.591479000002</v>
          </cell>
          <cell r="AP314">
            <v>0.5</v>
          </cell>
          <cell r="AQ314">
            <v>13.333508999999999</v>
          </cell>
          <cell r="AR314">
            <v>512.20311700000002</v>
          </cell>
          <cell r="AS314">
            <v>511.40211699999998</v>
          </cell>
          <cell r="AT314">
            <v>240.23233999999999</v>
          </cell>
          <cell r="AU314">
            <v>1521.618772</v>
          </cell>
          <cell r="AV314">
            <v>335.91007999999999</v>
          </cell>
          <cell r="AW314">
            <v>72.242830999999995</v>
          </cell>
          <cell r="AX314">
            <v>0</v>
          </cell>
          <cell r="AY314">
            <v>21.442238</v>
          </cell>
          <cell r="AZ314">
            <v>79.399871000000005</v>
          </cell>
          <cell r="BA314">
            <v>70839.994258000006</v>
          </cell>
          <cell r="BB314">
            <v>0</v>
          </cell>
          <cell r="BC314">
            <v>1310.4748340000001</v>
          </cell>
          <cell r="BD314">
            <v>14239.485439</v>
          </cell>
          <cell r="BE314">
            <v>2028.1426180000001</v>
          </cell>
          <cell r="BF314">
            <v>10753.842889</v>
          </cell>
          <cell r="BG314">
            <v>46058.715164000001</v>
          </cell>
          <cell r="BH314">
            <v>23200.989486999999</v>
          </cell>
          <cell r="BI314">
            <v>6695.3423919999996</v>
          </cell>
          <cell r="BJ314">
            <v>104.56389799999999</v>
          </cell>
          <cell r="BK314">
            <v>904.77552500000002</v>
          </cell>
          <cell r="BL314">
            <v>4370.8198899999998</v>
          </cell>
          <cell r="BM314">
            <v>3424.3959989999998</v>
          </cell>
          <cell r="BN314">
            <v>670.74448099999995</v>
          </cell>
          <cell r="BO314">
            <v>1536.9479550000001</v>
          </cell>
          <cell r="BP314">
            <v>13.511753000000001</v>
          </cell>
          <cell r="BQ314">
            <v>13945.579436</v>
          </cell>
          <cell r="BR314">
            <v>22587.295149000001</v>
          </cell>
          <cell r="BS314">
            <v>16207.97237</v>
          </cell>
          <cell r="BT314">
            <v>2449.7928889999998</v>
          </cell>
          <cell r="BU314">
            <v>64.241605000000007</v>
          </cell>
          <cell r="BV314">
            <v>2249.4226950000002</v>
          </cell>
          <cell r="BW314">
            <v>2.4027090000000002</v>
          </cell>
          <cell r="BX314">
            <v>172819.45917699998</v>
          </cell>
          <cell r="BY314">
            <v>0</v>
          </cell>
          <cell r="BZ314">
            <v>576.02350000000001</v>
          </cell>
          <cell r="CA314">
            <v>12735.062241</v>
          </cell>
          <cell r="CB314">
            <v>9740.4034119999997</v>
          </cell>
          <cell r="CC314">
            <v>1040.984786</v>
          </cell>
          <cell r="CD314">
            <v>2098.792117</v>
          </cell>
          <cell r="CE314">
            <v>29.389600000000002</v>
          </cell>
          <cell r="CF314">
            <v>69.981560999999999</v>
          </cell>
          <cell r="CG314">
            <v>105.30288299999999</v>
          </cell>
          <cell r="CH314">
            <v>710.86888999999996</v>
          </cell>
          <cell r="CI314">
            <v>6.0513180000000002</v>
          </cell>
          <cell r="CJ314">
            <v>55.054490000000001</v>
          </cell>
          <cell r="CK314">
            <v>50615.600114000001</v>
          </cell>
          <cell r="CL314">
            <v>50079.591479000002</v>
          </cell>
          <cell r="CM314">
            <v>0.5</v>
          </cell>
          <cell r="CN314">
            <v>13.333508999999999</v>
          </cell>
          <cell r="CO314">
            <v>512.20311700000002</v>
          </cell>
          <cell r="CP314">
            <v>511.40211699999998</v>
          </cell>
          <cell r="CQ314">
            <v>240.23233999999999</v>
          </cell>
          <cell r="CR314">
            <v>1521.618772</v>
          </cell>
          <cell r="CS314">
            <v>335.91007999999999</v>
          </cell>
          <cell r="CT314">
            <v>72.242830999999995</v>
          </cell>
          <cell r="CU314">
            <v>0</v>
          </cell>
          <cell r="CV314">
            <v>21.442238</v>
          </cell>
          <cell r="CW314">
            <v>79.399871000000005</v>
          </cell>
          <cell r="CX314">
            <v>70839.994258000006</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Y314">
            <v>33</v>
          </cell>
        </row>
        <row r="315">
          <cell r="F315">
            <v>39246.8125</v>
          </cell>
          <cell r="G315">
            <v>1283.202603</v>
          </cell>
          <cell r="H315">
            <v>16765.948874999998</v>
          </cell>
          <cell r="I315">
            <v>1661.345378</v>
          </cell>
          <cell r="J315">
            <v>8822.9224520000007</v>
          </cell>
          <cell r="K315">
            <v>51183.345563000003</v>
          </cell>
          <cell r="L315">
            <v>35402.719643999997</v>
          </cell>
          <cell r="M315">
            <v>6286.3685189999997</v>
          </cell>
          <cell r="N315">
            <v>96.128967000000003</v>
          </cell>
          <cell r="O315">
            <v>837.11870499999998</v>
          </cell>
          <cell r="P315">
            <v>4731.6756029999997</v>
          </cell>
          <cell r="Q315">
            <v>3806.0848270000001</v>
          </cell>
          <cell r="R315">
            <v>516.299262</v>
          </cell>
          <cell r="S315">
            <v>1454.3047570000001</v>
          </cell>
          <cell r="T315">
            <v>16.251488999999999</v>
          </cell>
          <cell r="U315">
            <v>16354.331996000001</v>
          </cell>
          <cell r="V315">
            <v>33435.867838999999</v>
          </cell>
          <cell r="W315">
            <v>18298.397937999998</v>
          </cell>
          <cell r="X315">
            <v>1693.2314040000001</v>
          </cell>
          <cell r="Y315">
            <v>238.96327199999999</v>
          </cell>
          <cell r="Z315">
            <v>2207.0396219999998</v>
          </cell>
          <cell r="AA315">
            <v>1.731293</v>
          </cell>
          <cell r="AB315">
            <v>205093.28000799994</v>
          </cell>
          <cell r="AC315">
            <v>562.52425000000005</v>
          </cell>
          <cell r="AD315">
            <v>4747.2800109999998</v>
          </cell>
          <cell r="AE315">
            <v>2225.8011230000002</v>
          </cell>
          <cell r="AF315">
            <v>685.44858799999997</v>
          </cell>
          <cell r="AG315">
            <v>1469.772103</v>
          </cell>
          <cell r="AH315">
            <v>77.687546999999995</v>
          </cell>
          <cell r="AI315">
            <v>724.904133</v>
          </cell>
          <cell r="AJ315">
            <v>81.262921000000006</v>
          </cell>
          <cell r="AK315">
            <v>1847.4523750000001</v>
          </cell>
          <cell r="AL315">
            <v>23.638649999999998</v>
          </cell>
          <cell r="AM315">
            <v>62.157819000000003</v>
          </cell>
          <cell r="AN315">
            <v>61209.508771000001</v>
          </cell>
          <cell r="AO315">
            <v>60435.563971000003</v>
          </cell>
          <cell r="AP315">
            <v>1.211328</v>
          </cell>
          <cell r="AQ315">
            <v>10.006342</v>
          </cell>
          <cell r="AR315">
            <v>384.57966399999998</v>
          </cell>
          <cell r="AS315">
            <v>383.94523400000003</v>
          </cell>
          <cell r="AT315">
            <v>208.65695500000001</v>
          </cell>
          <cell r="AU315">
            <v>2348.0387340000002</v>
          </cell>
          <cell r="AV315">
            <v>520.038816</v>
          </cell>
          <cell r="AW315">
            <v>128.590934</v>
          </cell>
          <cell r="AX315">
            <v>0.28699999999999998</v>
          </cell>
          <cell r="AY315">
            <v>294.34603900000002</v>
          </cell>
          <cell r="AZ315">
            <v>112.544768</v>
          </cell>
          <cell r="BA315">
            <v>75499.937748000011</v>
          </cell>
          <cell r="BB315">
            <v>0</v>
          </cell>
          <cell r="BC315">
            <v>2593.6774370000003</v>
          </cell>
          <cell r="BD315">
            <v>31005.434313999998</v>
          </cell>
          <cell r="BE315">
            <v>3689.4879959999998</v>
          </cell>
          <cell r="BF315">
            <v>19576.765340999998</v>
          </cell>
          <cell r="BG315">
            <v>97242.060727000004</v>
          </cell>
          <cell r="BH315">
            <v>58603.709130999996</v>
          </cell>
          <cell r="BI315">
            <v>12981.710910999998</v>
          </cell>
          <cell r="BJ315">
            <v>200.69286499999998</v>
          </cell>
          <cell r="BK315">
            <v>1741.8942299999999</v>
          </cell>
          <cell r="BL315">
            <v>9102.4954929999985</v>
          </cell>
          <cell r="BM315">
            <v>7230.480826</v>
          </cell>
          <cell r="BN315">
            <v>1187.0437429999999</v>
          </cell>
          <cell r="BO315">
            <v>2991.2527120000004</v>
          </cell>
          <cell r="BP315">
            <v>29.763241999999998</v>
          </cell>
          <cell r="BQ315">
            <v>30299.911432000001</v>
          </cell>
          <cell r="BR315">
            <v>56023.162987999996</v>
          </cell>
          <cell r="BS315">
            <v>34506.370307999998</v>
          </cell>
          <cell r="BT315">
            <v>4143.0242930000004</v>
          </cell>
          <cell r="BU315">
            <v>303.20487700000001</v>
          </cell>
          <cell r="BV315">
            <v>4456.4623169999995</v>
          </cell>
          <cell r="BW315">
            <v>4.1340020000000006</v>
          </cell>
          <cell r="BX315">
            <v>377912.73918499995</v>
          </cell>
          <cell r="BY315">
            <v>0</v>
          </cell>
          <cell r="BZ315">
            <v>1138.5477500000002</v>
          </cell>
          <cell r="CA315">
            <v>17482.342251999999</v>
          </cell>
          <cell r="CB315">
            <v>11966.204535000001</v>
          </cell>
          <cell r="CC315">
            <v>1726.433374</v>
          </cell>
          <cell r="CD315">
            <v>3568.5642200000002</v>
          </cell>
          <cell r="CE315">
            <v>107.077147</v>
          </cell>
          <cell r="CF315">
            <v>794.88569400000006</v>
          </cell>
          <cell r="CG315">
            <v>186.56580400000001</v>
          </cell>
          <cell r="CH315">
            <v>2558.321265</v>
          </cell>
          <cell r="CI315">
            <v>29.689968</v>
          </cell>
          <cell r="CJ315">
            <v>117.212309</v>
          </cell>
          <cell r="CK315">
            <v>111825.10888499999</v>
          </cell>
          <cell r="CL315">
            <v>110515.15545000001</v>
          </cell>
          <cell r="CM315">
            <v>1.711328</v>
          </cell>
          <cell r="CN315">
            <v>23.339850999999999</v>
          </cell>
          <cell r="CO315">
            <v>896.782781</v>
          </cell>
          <cell r="CP315">
            <v>895.347351</v>
          </cell>
          <cell r="CQ315">
            <v>448.889295</v>
          </cell>
          <cell r="CR315">
            <v>3869.6575060000005</v>
          </cell>
          <cell r="CS315">
            <v>855.94889599999999</v>
          </cell>
          <cell r="CT315">
            <v>200.833765</v>
          </cell>
          <cell r="CU315">
            <v>0.28699999999999998</v>
          </cell>
          <cell r="CV315">
            <v>315.78827699999999</v>
          </cell>
          <cell r="CW315">
            <v>191.944639</v>
          </cell>
          <cell r="CX315">
            <v>146339.93200600002</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Y315">
            <v>34</v>
          </cell>
        </row>
        <row r="316">
          <cell r="F316">
            <v>39338.125</v>
          </cell>
          <cell r="G316">
            <v>1551.661654</v>
          </cell>
          <cell r="H316">
            <v>13695.353373</v>
          </cell>
          <cell r="I316">
            <v>3203.2287299999998</v>
          </cell>
          <cell r="J316">
            <v>10718.085714999999</v>
          </cell>
          <cell r="K316">
            <v>49589.549034999996</v>
          </cell>
          <cell r="L316">
            <v>16223.0643</v>
          </cell>
          <cell r="M316">
            <v>7324.5784750000003</v>
          </cell>
          <cell r="N316">
            <v>159.79128700000001</v>
          </cell>
          <cell r="O316">
            <v>660.52977599999997</v>
          </cell>
          <cell r="P316">
            <v>4953.7739060000004</v>
          </cell>
          <cell r="Q316">
            <v>3503.4621579999998</v>
          </cell>
          <cell r="R316">
            <v>650.43604200000004</v>
          </cell>
          <cell r="S316">
            <v>1567.654049</v>
          </cell>
          <cell r="T316">
            <v>15.472791000000001</v>
          </cell>
          <cell r="U316">
            <v>12654.958849000001</v>
          </cell>
          <cell r="V316">
            <v>39494.311153000002</v>
          </cell>
          <cell r="W316">
            <v>16071.105103</v>
          </cell>
          <cell r="X316">
            <v>1958.882239</v>
          </cell>
          <cell r="Y316">
            <v>52.460895999999998</v>
          </cell>
          <cell r="Z316">
            <v>1655.854495</v>
          </cell>
          <cell r="AA316">
            <v>0.89651700000000001</v>
          </cell>
          <cell r="AB316">
            <v>185705.11054299999</v>
          </cell>
          <cell r="AC316">
            <v>430.10219999999998</v>
          </cell>
          <cell r="AD316">
            <v>10029.822914</v>
          </cell>
          <cell r="AE316">
            <v>8601.9996919999994</v>
          </cell>
          <cell r="AF316">
            <v>808.67313799999999</v>
          </cell>
          <cell r="AG316">
            <v>2080.9145290000001</v>
          </cell>
          <cell r="AH316">
            <v>60.862828</v>
          </cell>
          <cell r="AI316">
            <v>445.320382</v>
          </cell>
          <cell r="AJ316">
            <v>161.15356600000001</v>
          </cell>
          <cell r="AK316">
            <v>854.84902199999999</v>
          </cell>
          <cell r="AL316">
            <v>6.1203269999999996</v>
          </cell>
          <cell r="AM316">
            <v>52.61065</v>
          </cell>
          <cell r="AN316">
            <v>18565.201865999999</v>
          </cell>
          <cell r="AO316">
            <v>17696.240022999998</v>
          </cell>
          <cell r="AP316">
            <v>3.5686179999999998</v>
          </cell>
          <cell r="AQ316">
            <v>46.661566999999998</v>
          </cell>
          <cell r="AR316">
            <v>331.27149800000001</v>
          </cell>
          <cell r="AS316">
            <v>330.74949800000002</v>
          </cell>
          <cell r="AT316">
            <v>294.95827800000001</v>
          </cell>
          <cell r="AU316">
            <v>2154.8036069999998</v>
          </cell>
          <cell r="AV316">
            <v>2452.6784069999999</v>
          </cell>
          <cell r="AW316">
            <v>49.922713999999999</v>
          </cell>
          <cell r="AX316">
            <v>0</v>
          </cell>
          <cell r="AY316">
            <v>482.36564900000002</v>
          </cell>
          <cell r="AZ316">
            <v>93.257833000000005</v>
          </cell>
          <cell r="BA316">
            <v>39405.119593000003</v>
          </cell>
          <cell r="BB316">
            <v>0</v>
          </cell>
          <cell r="BC316">
            <v>4145.3390909999998</v>
          </cell>
          <cell r="BD316">
            <v>44700.787686999996</v>
          </cell>
          <cell r="BE316">
            <v>6892.7167259999997</v>
          </cell>
          <cell r="BF316">
            <v>30294.851056</v>
          </cell>
          <cell r="BG316">
            <v>146831.60976200001</v>
          </cell>
          <cell r="BH316">
            <v>74826.773430999994</v>
          </cell>
          <cell r="BI316">
            <v>20306.289385999997</v>
          </cell>
          <cell r="BJ316">
            <v>360.48415199999999</v>
          </cell>
          <cell r="BK316">
            <v>2402.4240059999997</v>
          </cell>
          <cell r="BL316">
            <v>14056.269398999999</v>
          </cell>
          <cell r="BM316">
            <v>10733.942983999999</v>
          </cell>
          <cell r="BN316">
            <v>1837.479785</v>
          </cell>
          <cell r="BO316">
            <v>4558.9067610000002</v>
          </cell>
          <cell r="BP316">
            <v>45.236032999999999</v>
          </cell>
          <cell r="BQ316">
            <v>42954.870281000003</v>
          </cell>
          <cell r="BR316">
            <v>95517.474140999999</v>
          </cell>
          <cell r="BS316">
            <v>50577.475410999999</v>
          </cell>
          <cell r="BT316">
            <v>6101.9065320000009</v>
          </cell>
          <cell r="BU316">
            <v>355.665773</v>
          </cell>
          <cell r="BV316">
            <v>6112.3168119999991</v>
          </cell>
          <cell r="BW316">
            <v>5.0305190000000009</v>
          </cell>
          <cell r="BX316">
            <v>563617.84972799988</v>
          </cell>
          <cell r="BY316">
            <v>0</v>
          </cell>
          <cell r="BZ316">
            <v>1568.6499500000002</v>
          </cell>
          <cell r="CA316">
            <v>27512.165165999999</v>
          </cell>
          <cell r="CB316">
            <v>20568.204227000002</v>
          </cell>
          <cell r="CC316">
            <v>2535.1065119999998</v>
          </cell>
          <cell r="CD316">
            <v>5649.4787489999999</v>
          </cell>
          <cell r="CE316">
            <v>167.939975</v>
          </cell>
          <cell r="CF316">
            <v>1240.2060759999999</v>
          </cell>
          <cell r="CG316">
            <v>347.71937000000003</v>
          </cell>
          <cell r="CH316">
            <v>3413.1702869999999</v>
          </cell>
          <cell r="CI316">
            <v>35.810294999999996</v>
          </cell>
          <cell r="CJ316">
            <v>169.822959</v>
          </cell>
          <cell r="CK316">
            <v>130390.310751</v>
          </cell>
          <cell r="CL316">
            <v>128211.39547300001</v>
          </cell>
          <cell r="CM316">
            <v>5.2799459999999998</v>
          </cell>
          <cell r="CN316">
            <v>70.001418000000001</v>
          </cell>
          <cell r="CO316">
            <v>1228.054279</v>
          </cell>
          <cell r="CP316">
            <v>1226.096849</v>
          </cell>
          <cell r="CQ316">
            <v>743.84757300000001</v>
          </cell>
          <cell r="CR316">
            <v>6024.4611130000003</v>
          </cell>
          <cell r="CS316">
            <v>3308.6273029999998</v>
          </cell>
          <cell r="CT316">
            <v>250.75647900000001</v>
          </cell>
          <cell r="CU316">
            <v>0.28699999999999998</v>
          </cell>
          <cell r="CV316">
            <v>798.15392599999996</v>
          </cell>
          <cell r="CW316">
            <v>285.202472</v>
          </cell>
          <cell r="CX316">
            <v>185745.05159900003</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Y316">
            <v>35</v>
          </cell>
        </row>
        <row r="317">
          <cell r="F317">
            <v>39429.4375</v>
          </cell>
          <cell r="G317">
            <v>2602.8185330000001</v>
          </cell>
          <cell r="H317">
            <v>16306.70968</v>
          </cell>
          <cell r="I317">
            <v>2661.6899370000001</v>
          </cell>
          <cell r="J317">
            <v>12417.345601999999</v>
          </cell>
          <cell r="K317">
            <v>49198.912976</v>
          </cell>
          <cell r="L317">
            <v>18309.313023999999</v>
          </cell>
          <cell r="M317">
            <v>7597.2986540000002</v>
          </cell>
          <cell r="N317">
            <v>99.889081000000004</v>
          </cell>
          <cell r="O317">
            <v>793.95502499999998</v>
          </cell>
          <cell r="P317">
            <v>4120.4091749999998</v>
          </cell>
          <cell r="Q317">
            <v>4281.8857349999998</v>
          </cell>
          <cell r="R317">
            <v>946.64534600000002</v>
          </cell>
          <cell r="S317">
            <v>1403.6265060000001</v>
          </cell>
          <cell r="T317">
            <v>17.354116000000001</v>
          </cell>
          <cell r="U317">
            <v>15079.466645</v>
          </cell>
          <cell r="V317">
            <v>39578.191782000002</v>
          </cell>
          <cell r="W317">
            <v>18193.158027000001</v>
          </cell>
          <cell r="X317">
            <v>2073.3855039999999</v>
          </cell>
          <cell r="Y317">
            <v>66.231881999999999</v>
          </cell>
          <cell r="Z317">
            <v>2021.1340580000001</v>
          </cell>
          <cell r="AA317">
            <v>4.34084</v>
          </cell>
          <cell r="AB317">
            <v>197773.762128</v>
          </cell>
          <cell r="AC317">
            <v>915.06862999999998</v>
          </cell>
          <cell r="AD317">
            <v>9002.2505120000005</v>
          </cell>
          <cell r="AE317">
            <v>8087.828563</v>
          </cell>
          <cell r="AF317">
            <v>171.26612499999999</v>
          </cell>
          <cell r="AG317">
            <v>1376.3775169999999</v>
          </cell>
          <cell r="AH317">
            <v>59.57246</v>
          </cell>
          <cell r="AI317">
            <v>188.419241</v>
          </cell>
          <cell r="AJ317">
            <v>3709.9843799999999</v>
          </cell>
          <cell r="AK317">
            <v>943.36873000000003</v>
          </cell>
          <cell r="AL317">
            <v>18.555052</v>
          </cell>
          <cell r="AM317">
            <v>408.56075800000002</v>
          </cell>
          <cell r="AN317">
            <v>17748.043260999999</v>
          </cell>
          <cell r="AO317">
            <v>16421.773090999999</v>
          </cell>
          <cell r="AP317">
            <v>0.27679999999999999</v>
          </cell>
          <cell r="AQ317">
            <v>3.3466</v>
          </cell>
          <cell r="AR317">
            <v>3390.3399039999999</v>
          </cell>
          <cell r="AS317">
            <v>3389.1399040000001</v>
          </cell>
          <cell r="AT317">
            <v>2121.7788460000002</v>
          </cell>
          <cell r="AU317">
            <v>1194.5833970000001</v>
          </cell>
          <cell r="AV317">
            <v>205.433446</v>
          </cell>
          <cell r="AW317">
            <v>28.046023000000002</v>
          </cell>
          <cell r="AX317">
            <v>0</v>
          </cell>
          <cell r="AY317">
            <v>184.24482900000001</v>
          </cell>
          <cell r="AZ317">
            <v>86.215526999999994</v>
          </cell>
          <cell r="BA317">
            <v>41755.732038000002</v>
          </cell>
          <cell r="BB317">
            <v>0</v>
          </cell>
          <cell r="BC317">
            <v>6748.1576239999995</v>
          </cell>
          <cell r="BD317">
            <v>61007.497366999996</v>
          </cell>
          <cell r="BE317">
            <v>9554.4066629999998</v>
          </cell>
          <cell r="BF317">
            <v>42712.196658000001</v>
          </cell>
          <cell r="BG317">
            <v>196030.522738</v>
          </cell>
          <cell r="BH317">
            <v>93136.086454999997</v>
          </cell>
          <cell r="BI317">
            <v>27903.588039999995</v>
          </cell>
          <cell r="BJ317">
            <v>460.37323300000003</v>
          </cell>
          <cell r="BK317">
            <v>3196.3790309999995</v>
          </cell>
          <cell r="BL317">
            <v>18176.678573999998</v>
          </cell>
          <cell r="BM317">
            <v>15015.828718999999</v>
          </cell>
          <cell r="BN317">
            <v>2784.1251309999998</v>
          </cell>
          <cell r="BO317">
            <v>5962.5332670000007</v>
          </cell>
          <cell r="BP317">
            <v>62.590148999999997</v>
          </cell>
          <cell r="BQ317">
            <v>58034.336926000004</v>
          </cell>
          <cell r="BR317">
            <v>135095.66592299999</v>
          </cell>
          <cell r="BS317">
            <v>68770.633438000004</v>
          </cell>
          <cell r="BT317">
            <v>8175.2920360000007</v>
          </cell>
          <cell r="BU317">
            <v>421.89765499999999</v>
          </cell>
          <cell r="BV317">
            <v>8133.4508699999988</v>
          </cell>
          <cell r="BW317">
            <v>9.3713590000000018</v>
          </cell>
          <cell r="BX317">
            <v>761391.61185599992</v>
          </cell>
          <cell r="BY317">
            <v>0</v>
          </cell>
          <cell r="BZ317">
            <v>2483.7185800000002</v>
          </cell>
          <cell r="CA317">
            <v>36514.415677999998</v>
          </cell>
          <cell r="CB317">
            <v>28656.032790000001</v>
          </cell>
          <cell r="CC317">
            <v>2706.3726369999999</v>
          </cell>
          <cell r="CD317">
            <v>7025.8562659999998</v>
          </cell>
          <cell r="CE317">
            <v>227.51243500000001</v>
          </cell>
          <cell r="CF317">
            <v>1428.625317</v>
          </cell>
          <cell r="CG317">
            <v>4057.7037499999997</v>
          </cell>
          <cell r="CH317">
            <v>4356.5390170000001</v>
          </cell>
          <cell r="CI317">
            <v>54.365347</v>
          </cell>
          <cell r="CJ317">
            <v>578.38371700000005</v>
          </cell>
          <cell r="CK317">
            <v>148138.354012</v>
          </cell>
          <cell r="CL317">
            <v>144633.16856400002</v>
          </cell>
          <cell r="CM317">
            <v>5.5567459999999995</v>
          </cell>
          <cell r="CN317">
            <v>73.348017999999996</v>
          </cell>
          <cell r="CO317">
            <v>4618.3941830000003</v>
          </cell>
          <cell r="CP317">
            <v>4615.2367530000001</v>
          </cell>
          <cell r="CQ317">
            <v>2865.6264190000002</v>
          </cell>
          <cell r="CR317">
            <v>7219.0445100000006</v>
          </cell>
          <cell r="CS317">
            <v>3514.0607489999998</v>
          </cell>
          <cell r="CT317">
            <v>278.802502</v>
          </cell>
          <cell r="CU317">
            <v>0.28699999999999998</v>
          </cell>
          <cell r="CV317">
            <v>982.39875499999994</v>
          </cell>
          <cell r="CW317">
            <v>371.41799900000001</v>
          </cell>
          <cell r="CX317">
            <v>227500.78363700002</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29.879602046368049</v>
          </cell>
          <cell r="DM317">
            <v>0</v>
          </cell>
          <cell r="DN317">
            <v>0</v>
          </cell>
          <cell r="DO317">
            <v>0</v>
          </cell>
          <cell r="DP317">
            <v>0</v>
          </cell>
          <cell r="DQ317">
            <v>0</v>
          </cell>
          <cell r="DR317">
            <v>0</v>
          </cell>
          <cell r="DS317">
            <v>0</v>
          </cell>
          <cell r="DT317">
            <v>0</v>
          </cell>
          <cell r="DU317">
            <v>0</v>
          </cell>
          <cell r="DV317">
            <v>0</v>
          </cell>
          <cell r="DY317">
            <v>36</v>
          </cell>
        </row>
        <row r="318">
          <cell r="F318">
            <v>39520.75</v>
          </cell>
          <cell r="G318">
            <v>2024.3052720000001</v>
          </cell>
          <cell r="H318">
            <v>14741.639904</v>
          </cell>
          <cell r="I318">
            <v>2753.4838180000002</v>
          </cell>
          <cell r="J318">
            <v>12425.392717000001</v>
          </cell>
          <cell r="K318">
            <v>47624.497545999999</v>
          </cell>
          <cell r="L318">
            <v>27670.244755</v>
          </cell>
          <cell r="M318">
            <v>6495.7989200000002</v>
          </cell>
          <cell r="N318">
            <v>106.755432</v>
          </cell>
          <cell r="O318">
            <v>1053.836924</v>
          </cell>
          <cell r="P318">
            <v>4896.8463879999999</v>
          </cell>
          <cell r="Q318">
            <v>4501.8181539999996</v>
          </cell>
          <cell r="R318">
            <v>705.402963</v>
          </cell>
          <cell r="S318">
            <v>1651.7428359999999</v>
          </cell>
          <cell r="T318">
            <v>29.294611</v>
          </cell>
          <cell r="U318">
            <v>14880.830158000001</v>
          </cell>
          <cell r="V318">
            <v>28246.298013</v>
          </cell>
          <cell r="W318">
            <v>19790.454182000001</v>
          </cell>
          <cell r="X318">
            <v>2311.5850249999999</v>
          </cell>
          <cell r="Y318">
            <v>186.51663099999999</v>
          </cell>
          <cell r="Z318">
            <v>1901.623006</v>
          </cell>
          <cell r="AA318">
            <v>5.3874180000000003</v>
          </cell>
          <cell r="AB318">
            <v>194003.75467300005</v>
          </cell>
          <cell r="AC318">
            <v>395.24340000000001</v>
          </cell>
          <cell r="AD318">
            <v>14935.190154</v>
          </cell>
          <cell r="AE318">
            <v>9722.3528819999992</v>
          </cell>
          <cell r="AF318">
            <v>747.26559999999995</v>
          </cell>
          <cell r="AG318">
            <v>1735.318706</v>
          </cell>
          <cell r="AH318">
            <v>67.385838000000007</v>
          </cell>
          <cell r="AI318">
            <v>364.24866100000003</v>
          </cell>
          <cell r="AJ318">
            <v>149.53462500000001</v>
          </cell>
          <cell r="AK318">
            <v>1522.7261040000001</v>
          </cell>
          <cell r="AL318">
            <v>6.1298399999999997</v>
          </cell>
          <cell r="AM318">
            <v>9.0872759999999992</v>
          </cell>
          <cell r="AN318">
            <v>51154.155369</v>
          </cell>
          <cell r="AO318">
            <v>50778.956827000002</v>
          </cell>
          <cell r="AP318">
            <v>7.0919999999999996</v>
          </cell>
          <cell r="AQ318">
            <v>12.79</v>
          </cell>
          <cell r="AR318">
            <v>5734.6496699999998</v>
          </cell>
          <cell r="AS318">
            <v>5733.4476699999996</v>
          </cell>
          <cell r="AT318">
            <v>182.99722</v>
          </cell>
          <cell r="AU318">
            <v>768.73100799999997</v>
          </cell>
          <cell r="AV318">
            <v>511.25583499999999</v>
          </cell>
          <cell r="AW318">
            <v>65.704344000000006</v>
          </cell>
          <cell r="AX318">
            <v>0.20119999999999999</v>
          </cell>
          <cell r="AY318">
            <v>195.69055499999999</v>
          </cell>
          <cell r="AZ318">
            <v>79.754828000000003</v>
          </cell>
          <cell r="BA318">
            <v>78645.152233000001</v>
          </cell>
          <cell r="BB318">
            <v>0</v>
          </cell>
          <cell r="BC318">
            <v>2024.3052720000001</v>
          </cell>
          <cell r="BD318">
            <v>14741.639904</v>
          </cell>
          <cell r="BE318">
            <v>2753.4838180000002</v>
          </cell>
          <cell r="BF318">
            <v>12425.392717000001</v>
          </cell>
          <cell r="BG318">
            <v>47624.497545999999</v>
          </cell>
          <cell r="BH318">
            <v>27670.244755</v>
          </cell>
          <cell r="BI318">
            <v>6495.7989200000002</v>
          </cell>
          <cell r="BJ318">
            <v>106.755432</v>
          </cell>
          <cell r="BK318">
            <v>1053.836924</v>
          </cell>
          <cell r="BL318">
            <v>4896.8463879999999</v>
          </cell>
          <cell r="BM318">
            <v>4501.8181539999996</v>
          </cell>
          <cell r="BN318">
            <v>705.402963</v>
          </cell>
          <cell r="BO318">
            <v>1651.7428359999999</v>
          </cell>
          <cell r="BP318">
            <v>29.294611</v>
          </cell>
          <cell r="BQ318">
            <v>14880.830158000001</v>
          </cell>
          <cell r="BR318">
            <v>28246.298013</v>
          </cell>
          <cell r="BS318">
            <v>19790.454182000001</v>
          </cell>
          <cell r="BT318">
            <v>2311.5850249999999</v>
          </cell>
          <cell r="BU318">
            <v>186.51663099999999</v>
          </cell>
          <cell r="BV318">
            <v>1901.623006</v>
          </cell>
          <cell r="BW318">
            <v>5.3874180000000003</v>
          </cell>
          <cell r="BX318">
            <v>194003.75467300005</v>
          </cell>
          <cell r="BY318">
            <v>0</v>
          </cell>
          <cell r="BZ318">
            <v>395.24340000000001</v>
          </cell>
          <cell r="CA318">
            <v>14935.190154</v>
          </cell>
          <cell r="CB318">
            <v>9722.3528819999992</v>
          </cell>
          <cell r="CC318">
            <v>747.26559999999995</v>
          </cell>
          <cell r="CD318">
            <v>1735.318706</v>
          </cell>
          <cell r="CE318">
            <v>67.385838000000007</v>
          </cell>
          <cell r="CF318">
            <v>364.24866100000003</v>
          </cell>
          <cell r="CG318">
            <v>149.53462500000001</v>
          </cell>
          <cell r="CH318">
            <v>1522.7261040000001</v>
          </cell>
          <cell r="CI318">
            <v>6.1298399999999997</v>
          </cell>
          <cell r="CJ318">
            <v>9.0872759999999992</v>
          </cell>
          <cell r="CK318">
            <v>51154.155369</v>
          </cell>
          <cell r="CL318">
            <v>50778.956827000002</v>
          </cell>
          <cell r="CM318">
            <v>7.0919999999999996</v>
          </cell>
          <cell r="CN318">
            <v>12.79</v>
          </cell>
          <cell r="CO318">
            <v>5734.6496699999998</v>
          </cell>
          <cell r="CP318">
            <v>5733.4476699999996</v>
          </cell>
          <cell r="CQ318">
            <v>182.99722</v>
          </cell>
          <cell r="CR318">
            <v>768.73100799999997</v>
          </cell>
          <cell r="CS318">
            <v>511.25583499999999</v>
          </cell>
          <cell r="CT318">
            <v>65.704344000000006</v>
          </cell>
          <cell r="CU318">
            <v>0.20119999999999999</v>
          </cell>
          <cell r="CV318">
            <v>195.69055499999999</v>
          </cell>
          <cell r="CW318">
            <v>79.754828000000003</v>
          </cell>
          <cell r="CX318">
            <v>78645.152233000001</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Y318">
            <v>37</v>
          </cell>
        </row>
        <row r="319">
          <cell r="F319">
            <v>39612.0625</v>
          </cell>
          <cell r="G319">
            <v>3077.3580529999999</v>
          </cell>
          <cell r="H319">
            <v>17845.939816999999</v>
          </cell>
          <cell r="I319">
            <v>2162.7244089999999</v>
          </cell>
          <cell r="J319">
            <v>13471.995140000001</v>
          </cell>
          <cell r="K319">
            <v>62051.575191000004</v>
          </cell>
          <cell r="L319">
            <v>30547.743094000001</v>
          </cell>
          <cell r="M319">
            <v>8774.9881270000005</v>
          </cell>
          <cell r="N319">
            <v>150.35407000000001</v>
          </cell>
          <cell r="O319">
            <v>1212.8276000000001</v>
          </cell>
          <cell r="P319">
            <v>5052.7546339999999</v>
          </cell>
          <cell r="Q319">
            <v>6898.4229919999998</v>
          </cell>
          <cell r="R319">
            <v>1102.621214</v>
          </cell>
          <cell r="S319">
            <v>2039.4367500000001</v>
          </cell>
          <cell r="T319">
            <v>23.821843000000001</v>
          </cell>
          <cell r="U319">
            <v>18945.043709000001</v>
          </cell>
          <cell r="V319">
            <v>30036.457557000002</v>
          </cell>
          <cell r="W319">
            <v>20212.023612000001</v>
          </cell>
          <cell r="X319">
            <v>2977.723841</v>
          </cell>
          <cell r="Y319">
            <v>146.465102</v>
          </cell>
          <cell r="Z319">
            <v>1759.226007</v>
          </cell>
          <cell r="AA319">
            <v>2.0856979999999998</v>
          </cell>
          <cell r="AB319">
            <v>228491.58846</v>
          </cell>
          <cell r="AC319">
            <v>2470.1439999999998</v>
          </cell>
          <cell r="AD319">
            <v>4355.5205340000002</v>
          </cell>
          <cell r="AE319">
            <v>1505.8607549999999</v>
          </cell>
          <cell r="AF319">
            <v>81.841686999999993</v>
          </cell>
          <cell r="AG319">
            <v>1956.203859</v>
          </cell>
          <cell r="AH319">
            <v>72.213459</v>
          </cell>
          <cell r="AI319">
            <v>868.45793600000002</v>
          </cell>
          <cell r="AJ319">
            <v>57.226484999999997</v>
          </cell>
          <cell r="AK319">
            <v>1549.638895</v>
          </cell>
          <cell r="AL319">
            <v>7.0507580000000001</v>
          </cell>
          <cell r="AM319">
            <v>61.789876</v>
          </cell>
          <cell r="AN319">
            <v>22652.690414000001</v>
          </cell>
          <cell r="AO319">
            <v>22089.088823999999</v>
          </cell>
          <cell r="AP319">
            <v>5.40625</v>
          </cell>
          <cell r="AQ319">
            <v>22.880299999999998</v>
          </cell>
          <cell r="AR319">
            <v>14092.997742</v>
          </cell>
          <cell r="AS319">
            <v>14090.775925</v>
          </cell>
          <cell r="AT319">
            <v>615.02730599999995</v>
          </cell>
          <cell r="AU319">
            <v>1046.159664</v>
          </cell>
          <cell r="AV319">
            <v>1222.3353</v>
          </cell>
          <cell r="AW319">
            <v>44.689433000000001</v>
          </cell>
          <cell r="AX319">
            <v>0</v>
          </cell>
          <cell r="AY319">
            <v>199.70004800000001</v>
          </cell>
          <cell r="AZ319">
            <v>93.855350000000001</v>
          </cell>
          <cell r="BA319">
            <v>51475.829295999989</v>
          </cell>
          <cell r="BB319">
            <v>0</v>
          </cell>
          <cell r="BC319">
            <v>5101.6633249999995</v>
          </cell>
          <cell r="BD319">
            <v>32587.579720999998</v>
          </cell>
          <cell r="BE319">
            <v>4916.2082270000001</v>
          </cell>
          <cell r="BF319">
            <v>25897.387857000002</v>
          </cell>
          <cell r="BG319">
            <v>109676.07273700001</v>
          </cell>
          <cell r="BH319">
            <v>58217.987848999997</v>
          </cell>
          <cell r="BI319">
            <v>15270.787047000002</v>
          </cell>
          <cell r="BJ319">
            <v>257.10950200000002</v>
          </cell>
          <cell r="BK319">
            <v>2266.6645239999998</v>
          </cell>
          <cell r="BL319">
            <v>9949.6010219999989</v>
          </cell>
          <cell r="BM319">
            <v>11400.241146</v>
          </cell>
          <cell r="BN319">
            <v>1808.024177</v>
          </cell>
          <cell r="BO319">
            <v>3691.1795860000002</v>
          </cell>
          <cell r="BP319">
            <v>53.116454000000004</v>
          </cell>
          <cell r="BQ319">
            <v>33825.873867000002</v>
          </cell>
          <cell r="BR319">
            <v>58282.755570000001</v>
          </cell>
          <cell r="BS319">
            <v>40002.477794000006</v>
          </cell>
          <cell r="BT319">
            <v>5289.3088659999994</v>
          </cell>
          <cell r="BU319">
            <v>332.98173299999996</v>
          </cell>
          <cell r="BV319">
            <v>3660.849013</v>
          </cell>
          <cell r="BW319">
            <v>7.4731160000000001</v>
          </cell>
          <cell r="BX319">
            <v>422495.34313300007</v>
          </cell>
          <cell r="BY319">
            <v>0</v>
          </cell>
          <cell r="BZ319">
            <v>2865.3873999999996</v>
          </cell>
          <cell r="CA319">
            <v>19290.710687999999</v>
          </cell>
          <cell r="CB319">
            <v>11228.213636999999</v>
          </cell>
          <cell r="CC319">
            <v>829.10728699999993</v>
          </cell>
          <cell r="CD319">
            <v>3691.5225650000002</v>
          </cell>
          <cell r="CE319">
            <v>139.59929700000001</v>
          </cell>
          <cell r="CF319">
            <v>1232.7065970000001</v>
          </cell>
          <cell r="CG319">
            <v>206.76111</v>
          </cell>
          <cell r="CH319">
            <v>3072.3649990000004</v>
          </cell>
          <cell r="CI319">
            <v>13.180598</v>
          </cell>
          <cell r="CJ319">
            <v>70.877151999999995</v>
          </cell>
          <cell r="CK319">
            <v>73806.845782999997</v>
          </cell>
          <cell r="CL319">
            <v>72868.045650999993</v>
          </cell>
          <cell r="CM319">
            <v>12.498249999999999</v>
          </cell>
          <cell r="CN319">
            <v>35.670299999999997</v>
          </cell>
          <cell r="CO319">
            <v>19827.647411999998</v>
          </cell>
          <cell r="CP319">
            <v>19824.223594999999</v>
          </cell>
          <cell r="CQ319">
            <v>798.02452599999992</v>
          </cell>
          <cell r="CR319">
            <v>1814.890672</v>
          </cell>
          <cell r="CS319">
            <v>1733.5911349999999</v>
          </cell>
          <cell r="CT319">
            <v>110.393777</v>
          </cell>
          <cell r="CU319">
            <v>0.20119999999999999</v>
          </cell>
          <cell r="CV319">
            <v>395.390603</v>
          </cell>
          <cell r="CW319">
            <v>173.61017800000002</v>
          </cell>
          <cell r="CX319">
            <v>130120.98152899998</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Y319">
            <v>38</v>
          </cell>
        </row>
        <row r="320">
          <cell r="F320">
            <v>39703.375</v>
          </cell>
          <cell r="G320">
            <v>2591.2905639999999</v>
          </cell>
          <cell r="H320">
            <v>21827.364637999999</v>
          </cell>
          <cell r="I320">
            <v>2655.6432020000002</v>
          </cell>
          <cell r="J320">
            <v>12356.403957</v>
          </cell>
          <cell r="K320">
            <v>61718.774371</v>
          </cell>
          <cell r="L320">
            <v>29846.134912000001</v>
          </cell>
          <cell r="M320">
            <v>6201.7057269999996</v>
          </cell>
          <cell r="N320">
            <v>209.80628100000001</v>
          </cell>
          <cell r="O320">
            <v>838.74444100000005</v>
          </cell>
          <cell r="P320">
            <v>5396.4864449999995</v>
          </cell>
          <cell r="Q320">
            <v>5731.5090369999998</v>
          </cell>
          <cell r="R320">
            <v>1043.2122670000001</v>
          </cell>
          <cell r="S320">
            <v>2021.879177</v>
          </cell>
          <cell r="T320">
            <v>18.578644000000001</v>
          </cell>
          <cell r="U320">
            <v>19247.511062000001</v>
          </cell>
          <cell r="V320">
            <v>35227.760893999999</v>
          </cell>
          <cell r="W320">
            <v>18531.504634000001</v>
          </cell>
          <cell r="X320">
            <v>1674.934863</v>
          </cell>
          <cell r="Y320">
            <v>45.873454000000002</v>
          </cell>
          <cell r="Z320">
            <v>2908.5284959999999</v>
          </cell>
          <cell r="AA320">
            <v>4.8866170000000002</v>
          </cell>
          <cell r="AB320">
            <v>230098.53368299999</v>
          </cell>
          <cell r="AC320">
            <v>2401.2849999999999</v>
          </cell>
          <cell r="AD320">
            <v>1609.471243</v>
          </cell>
          <cell r="AE320">
            <v>616.15227000000004</v>
          </cell>
          <cell r="AF320">
            <v>432.12508000000003</v>
          </cell>
          <cell r="AG320">
            <v>3299.4986140000001</v>
          </cell>
          <cell r="AH320">
            <v>67.684208999999996</v>
          </cell>
          <cell r="AI320">
            <v>217.31247099999999</v>
          </cell>
          <cell r="AJ320">
            <v>1444.0456939999999</v>
          </cell>
          <cell r="AK320">
            <v>670.330961</v>
          </cell>
          <cell r="AL320">
            <v>6.9411500000000004</v>
          </cell>
          <cell r="AM320">
            <v>16.585825</v>
          </cell>
          <cell r="AN320">
            <v>14181.143114</v>
          </cell>
          <cell r="AO320">
            <v>13151.701537000001</v>
          </cell>
          <cell r="AP320">
            <v>2.0801590000000001</v>
          </cell>
          <cell r="AQ320">
            <v>107.62516599999999</v>
          </cell>
          <cell r="AR320">
            <v>12135.451427</v>
          </cell>
          <cell r="AS320">
            <v>12135.451427</v>
          </cell>
          <cell r="AT320">
            <v>1262.3470400000001</v>
          </cell>
          <cell r="AU320">
            <v>1365.5098069999999</v>
          </cell>
          <cell r="AV320">
            <v>466.820357</v>
          </cell>
          <cell r="AW320">
            <v>39.343953999999997</v>
          </cell>
          <cell r="AX320">
            <v>0</v>
          </cell>
          <cell r="AY320">
            <v>433.15391199999999</v>
          </cell>
          <cell r="AZ320">
            <v>35.856701999999999</v>
          </cell>
          <cell r="BA320">
            <v>40194.611885000006</v>
          </cell>
          <cell r="BB320">
            <v>0</v>
          </cell>
          <cell r="BC320">
            <v>7692.9538889999994</v>
          </cell>
          <cell r="BD320">
            <v>54414.944359000001</v>
          </cell>
          <cell r="BE320">
            <v>7571.8514290000003</v>
          </cell>
          <cell r="BF320">
            <v>38253.791814000004</v>
          </cell>
          <cell r="BG320">
            <v>171394.84710800002</v>
          </cell>
          <cell r="BH320">
            <v>88064.122761000006</v>
          </cell>
          <cell r="BI320">
            <v>21472.492774000002</v>
          </cell>
          <cell r="BJ320">
            <v>466.91578300000003</v>
          </cell>
          <cell r="BK320">
            <v>3105.4089649999996</v>
          </cell>
          <cell r="BL320">
            <v>15346.087466999998</v>
          </cell>
          <cell r="BM320">
            <v>17131.750183</v>
          </cell>
          <cell r="BN320">
            <v>2851.2364440000001</v>
          </cell>
          <cell r="BO320">
            <v>5713.058763</v>
          </cell>
          <cell r="BP320">
            <v>71.695098000000002</v>
          </cell>
          <cell r="BQ320">
            <v>53073.384929000007</v>
          </cell>
          <cell r="BR320">
            <v>93510.516464</v>
          </cell>
          <cell r="BS320">
            <v>58533.982428000003</v>
          </cell>
          <cell r="BT320">
            <v>6964.2437289999998</v>
          </cell>
          <cell r="BU320">
            <v>378.85518699999994</v>
          </cell>
          <cell r="BV320">
            <v>6569.3775089999999</v>
          </cell>
          <cell r="BW320">
            <v>12.359733</v>
          </cell>
          <cell r="BX320">
            <v>652593.87681600009</v>
          </cell>
          <cell r="BY320">
            <v>0</v>
          </cell>
          <cell r="BZ320">
            <v>5266.6723999999995</v>
          </cell>
          <cell r="CA320">
            <v>20900.181930999999</v>
          </cell>
          <cell r="CB320">
            <v>11844.365906999999</v>
          </cell>
          <cell r="CC320">
            <v>1261.2323670000001</v>
          </cell>
          <cell r="CD320">
            <v>6991.0211790000003</v>
          </cell>
          <cell r="CE320">
            <v>207.28350599999999</v>
          </cell>
          <cell r="CF320">
            <v>1450.0190680000001</v>
          </cell>
          <cell r="CG320">
            <v>1650.8068039999998</v>
          </cell>
          <cell r="CH320">
            <v>3742.6959600000005</v>
          </cell>
          <cell r="CI320">
            <v>20.121748</v>
          </cell>
          <cell r="CJ320">
            <v>87.462976999999995</v>
          </cell>
          <cell r="CK320">
            <v>87987.988897000003</v>
          </cell>
          <cell r="CL320">
            <v>86019.747187999994</v>
          </cell>
          <cell r="CM320">
            <v>14.578408999999999</v>
          </cell>
          <cell r="CN320">
            <v>143.29546599999998</v>
          </cell>
          <cell r="CO320">
            <v>31963.098838999998</v>
          </cell>
          <cell r="CP320">
            <v>31959.675021999999</v>
          </cell>
          <cell r="CQ320">
            <v>2060.3715659999998</v>
          </cell>
          <cell r="CR320">
            <v>3180.4004789999999</v>
          </cell>
          <cell r="CS320">
            <v>2200.4114919999997</v>
          </cell>
          <cell r="CT320">
            <v>149.737731</v>
          </cell>
          <cell r="CU320">
            <v>0.20119999999999999</v>
          </cell>
          <cell r="CV320">
            <v>828.54451500000005</v>
          </cell>
          <cell r="CW320">
            <v>209.46688</v>
          </cell>
          <cell r="CX320">
            <v>170315.593414</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Y320">
            <v>39</v>
          </cell>
        </row>
        <row r="321">
          <cell r="F321">
            <v>39794.6875</v>
          </cell>
          <cell r="G321">
            <v>3175.3259069999999</v>
          </cell>
          <cell r="H321">
            <v>20131.603431</v>
          </cell>
          <cell r="I321">
            <v>2984.9989150000001</v>
          </cell>
          <cell r="J321">
            <v>12282.301305000001</v>
          </cell>
          <cell r="K321">
            <v>65233.596415</v>
          </cell>
          <cell r="L321">
            <v>22063.744882999999</v>
          </cell>
          <cell r="M321">
            <v>6939.3597339999997</v>
          </cell>
          <cell r="N321">
            <v>121.435581</v>
          </cell>
          <cell r="O321">
            <v>692.25277600000004</v>
          </cell>
          <cell r="P321">
            <v>4819.118974</v>
          </cell>
          <cell r="Q321">
            <v>6981.8517080000001</v>
          </cell>
          <cell r="R321">
            <v>1365.370134</v>
          </cell>
          <cell r="S321">
            <v>1779.1079339999999</v>
          </cell>
          <cell r="T321">
            <v>26.014472000000001</v>
          </cell>
          <cell r="U321">
            <v>27337.764005000001</v>
          </cell>
          <cell r="V321">
            <v>44630.519869999996</v>
          </cell>
          <cell r="W321">
            <v>23259.587402000001</v>
          </cell>
          <cell r="X321">
            <v>2387.004226</v>
          </cell>
          <cell r="Y321">
            <v>1789.295327</v>
          </cell>
          <cell r="Z321">
            <v>2233.1080550000001</v>
          </cell>
          <cell r="AA321">
            <v>6.6085140000000004</v>
          </cell>
          <cell r="AB321">
            <v>250239.969568</v>
          </cell>
          <cell r="AC321">
            <v>4466.9000720000004</v>
          </cell>
          <cell r="AD321">
            <v>8138.3156360000003</v>
          </cell>
          <cell r="AE321">
            <v>6583.6830630000004</v>
          </cell>
          <cell r="AF321">
            <v>1034.329168</v>
          </cell>
          <cell r="AG321">
            <v>2779.2414779999999</v>
          </cell>
          <cell r="AH321">
            <v>196.273044</v>
          </cell>
          <cell r="AI321">
            <v>169.330153</v>
          </cell>
          <cell r="AJ321">
            <v>79.874926000000002</v>
          </cell>
          <cell r="AK321">
            <v>761.07160699999997</v>
          </cell>
          <cell r="AL321">
            <v>8.5454410000000003</v>
          </cell>
          <cell r="AM321">
            <v>18.913381999999999</v>
          </cell>
          <cell r="AN321">
            <v>2837.6889940000001</v>
          </cell>
          <cell r="AO321">
            <v>1882.2202589999999</v>
          </cell>
          <cell r="AP321">
            <v>3.669</v>
          </cell>
          <cell r="AQ321">
            <v>42.293990000000001</v>
          </cell>
          <cell r="AR321">
            <v>23683.849928</v>
          </cell>
          <cell r="AS321">
            <v>23683.730277999999</v>
          </cell>
          <cell r="AT321">
            <v>1406.7142779999999</v>
          </cell>
          <cell r="AU321">
            <v>2198.7193860000002</v>
          </cell>
          <cell r="AV321">
            <v>2665.3085310000001</v>
          </cell>
          <cell r="AW321">
            <v>34.873688999999999</v>
          </cell>
          <cell r="AX321">
            <v>0</v>
          </cell>
          <cell r="AY321">
            <v>176.871422</v>
          </cell>
          <cell r="AZ321">
            <v>65.131861999999998</v>
          </cell>
          <cell r="BA321">
            <v>50767.915986999993</v>
          </cell>
          <cell r="BB321">
            <v>0</v>
          </cell>
          <cell r="BC321">
            <v>10868.279795999999</v>
          </cell>
          <cell r="BD321">
            <v>74546.547789999997</v>
          </cell>
          <cell r="BE321">
            <v>10556.850344</v>
          </cell>
          <cell r="BF321">
            <v>50536.093119000005</v>
          </cell>
          <cell r="BG321">
            <v>236628.44352300002</v>
          </cell>
          <cell r="BH321">
            <v>110127.86764400001</v>
          </cell>
          <cell r="BI321">
            <v>28411.852508000004</v>
          </cell>
          <cell r="BJ321">
            <v>588.35136399999999</v>
          </cell>
          <cell r="BK321">
            <v>3797.6617409999999</v>
          </cell>
          <cell r="BL321">
            <v>20165.206440999998</v>
          </cell>
          <cell r="BM321">
            <v>24113.601890999998</v>
          </cell>
          <cell r="BN321">
            <v>4216.6065779999999</v>
          </cell>
          <cell r="BO321">
            <v>7492.1666969999997</v>
          </cell>
          <cell r="BP321">
            <v>97.709569999999999</v>
          </cell>
          <cell r="BQ321">
            <v>80411.148934000012</v>
          </cell>
          <cell r="BR321">
            <v>138141.036334</v>
          </cell>
          <cell r="BS321">
            <v>81793.569830000008</v>
          </cell>
          <cell r="BT321">
            <v>9351.2479549999989</v>
          </cell>
          <cell r="BU321">
            <v>2168.1505139999999</v>
          </cell>
          <cell r="BV321">
            <v>8802.4855640000005</v>
          </cell>
          <cell r="BW321">
            <v>18.968247000000002</v>
          </cell>
          <cell r="BX321">
            <v>902833.84638400003</v>
          </cell>
          <cell r="BY321">
            <v>0</v>
          </cell>
          <cell r="BZ321">
            <v>9733.5724719999998</v>
          </cell>
          <cell r="CA321">
            <v>29038.497566999999</v>
          </cell>
          <cell r="CB321">
            <v>18428.04897</v>
          </cell>
          <cell r="CC321">
            <v>2295.5615349999998</v>
          </cell>
          <cell r="CD321">
            <v>9770.2626569999993</v>
          </cell>
          <cell r="CE321">
            <v>403.55655000000002</v>
          </cell>
          <cell r="CF321">
            <v>1619.3492209999999</v>
          </cell>
          <cell r="CG321">
            <v>1730.6817299999998</v>
          </cell>
          <cell r="CH321">
            <v>4503.7675670000008</v>
          </cell>
          <cell r="CI321">
            <v>28.667189</v>
          </cell>
          <cell r="CJ321">
            <v>106.37635899999999</v>
          </cell>
          <cell r="CK321">
            <v>90825.677890999999</v>
          </cell>
          <cell r="CL321">
            <v>87901.967446999988</v>
          </cell>
          <cell r="CM321">
            <v>18.247408999999998</v>
          </cell>
          <cell r="CN321">
            <v>185.58945599999998</v>
          </cell>
          <cell r="CO321">
            <v>55646.948766999994</v>
          </cell>
          <cell r="CP321">
            <v>55643.405299999999</v>
          </cell>
          <cell r="CQ321">
            <v>3467.0858439999997</v>
          </cell>
          <cell r="CR321">
            <v>5379.1198650000006</v>
          </cell>
          <cell r="CS321">
            <v>4865.7200229999999</v>
          </cell>
          <cell r="CT321">
            <v>184.61142000000001</v>
          </cell>
          <cell r="CU321">
            <v>0.20119999999999999</v>
          </cell>
          <cell r="CV321">
            <v>1005.415937</v>
          </cell>
          <cell r="CW321">
            <v>274.59874200000002</v>
          </cell>
          <cell r="CX321">
            <v>221083.50940099999</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24.487729418483397</v>
          </cell>
          <cell r="DM321">
            <v>0</v>
          </cell>
          <cell r="DN321">
            <v>0</v>
          </cell>
          <cell r="DO321">
            <v>0</v>
          </cell>
          <cell r="DP321">
            <v>0</v>
          </cell>
          <cell r="DQ321">
            <v>0</v>
          </cell>
          <cell r="DR321">
            <v>0</v>
          </cell>
          <cell r="DS321">
            <v>0</v>
          </cell>
          <cell r="DT321">
            <v>0</v>
          </cell>
          <cell r="DU321">
            <v>0</v>
          </cell>
          <cell r="DV321">
            <v>0</v>
          </cell>
          <cell r="DY321">
            <v>40</v>
          </cell>
        </row>
        <row r="322">
          <cell r="F322">
            <v>39886</v>
          </cell>
          <cell r="G322">
            <v>2416.5991429999999</v>
          </cell>
          <cell r="H322">
            <v>9844.8201480000007</v>
          </cell>
          <cell r="I322">
            <v>3759.7113939999999</v>
          </cell>
          <cell r="J322">
            <v>10474.498004999999</v>
          </cell>
          <cell r="K322">
            <v>57195.749044999997</v>
          </cell>
          <cell r="L322">
            <v>27175.069361000002</v>
          </cell>
          <cell r="M322">
            <v>7902.4766360000003</v>
          </cell>
          <cell r="N322">
            <v>102.152053</v>
          </cell>
          <cell r="O322">
            <v>816.660888</v>
          </cell>
          <cell r="P322">
            <v>4172.775506</v>
          </cell>
          <cell r="Q322">
            <v>7256.6912480000001</v>
          </cell>
          <cell r="R322">
            <v>1250.788822</v>
          </cell>
          <cell r="S322">
            <v>1329.9737640000001</v>
          </cell>
          <cell r="T322">
            <v>8.1923929999999991</v>
          </cell>
          <cell r="U322">
            <v>18460.427113999998</v>
          </cell>
          <cell r="V322">
            <v>31252.59967</v>
          </cell>
          <cell r="W322">
            <v>21141.695072999999</v>
          </cell>
          <cell r="X322">
            <v>2414.5910600000002</v>
          </cell>
          <cell r="Y322">
            <v>740.38402699999995</v>
          </cell>
          <cell r="Z322">
            <v>4033.244158</v>
          </cell>
          <cell r="AA322">
            <v>2.2719360000000002</v>
          </cell>
          <cell r="AB322">
            <v>211751.37144399999</v>
          </cell>
          <cell r="AC322">
            <v>1895.167743</v>
          </cell>
          <cell r="AD322">
            <v>15946.918884000001</v>
          </cell>
          <cell r="AE322">
            <v>12538.180120000001</v>
          </cell>
          <cell r="AF322">
            <v>477.51843300000002</v>
          </cell>
          <cell r="AG322">
            <v>2749.5808189999998</v>
          </cell>
          <cell r="AH322">
            <v>350.69322199999999</v>
          </cell>
          <cell r="AI322">
            <v>354.011415</v>
          </cell>
          <cell r="AJ322">
            <v>128.12091599999999</v>
          </cell>
          <cell r="AK322">
            <v>758.47399399999995</v>
          </cell>
          <cell r="AL322">
            <v>10.874834999999999</v>
          </cell>
          <cell r="AM322">
            <v>11.801301</v>
          </cell>
          <cell r="AN322">
            <v>46195.113701000002</v>
          </cell>
          <cell r="AO322">
            <v>45551.393806</v>
          </cell>
          <cell r="AP322">
            <v>6.0481920000000002</v>
          </cell>
          <cell r="AQ322">
            <v>144.00653</v>
          </cell>
          <cell r="AR322">
            <v>39877.358397000004</v>
          </cell>
          <cell r="AS322">
            <v>39877.083596999997</v>
          </cell>
          <cell r="AT322">
            <v>1449.7417210000001</v>
          </cell>
          <cell r="AU322">
            <v>2128.4908139999998</v>
          </cell>
          <cell r="AV322">
            <v>1179.3917879999999</v>
          </cell>
          <cell r="AW322">
            <v>89.743388999999993</v>
          </cell>
          <cell r="AX322">
            <v>0</v>
          </cell>
          <cell r="AY322">
            <v>209.649021</v>
          </cell>
          <cell r="AZ322">
            <v>34.220120000000001</v>
          </cell>
          <cell r="BA322">
            <v>113996.925235</v>
          </cell>
          <cell r="BB322">
            <v>0</v>
          </cell>
          <cell r="BC322">
            <v>2416.5991429999999</v>
          </cell>
          <cell r="BD322">
            <v>9844.8201480000007</v>
          </cell>
          <cell r="BE322">
            <v>3759.7113939999999</v>
          </cell>
          <cell r="BF322">
            <v>10474.498004999999</v>
          </cell>
          <cell r="BG322">
            <v>57195.749044999997</v>
          </cell>
          <cell r="BH322">
            <v>27175.069361000002</v>
          </cell>
          <cell r="BI322">
            <v>7902.4766360000003</v>
          </cell>
          <cell r="BJ322">
            <v>102.152053</v>
          </cell>
          <cell r="BK322">
            <v>816.660888</v>
          </cell>
          <cell r="BL322">
            <v>4172.775506</v>
          </cell>
          <cell r="BM322">
            <v>7256.6912480000001</v>
          </cell>
          <cell r="BN322">
            <v>1250.788822</v>
          </cell>
          <cell r="BO322">
            <v>1329.9737640000001</v>
          </cell>
          <cell r="BP322">
            <v>8.1923929999999991</v>
          </cell>
          <cell r="BQ322">
            <v>18460.427113999998</v>
          </cell>
          <cell r="BR322">
            <v>31252.59967</v>
          </cell>
          <cell r="BS322">
            <v>21141.695072999999</v>
          </cell>
          <cell r="BT322">
            <v>2414.5910600000002</v>
          </cell>
          <cell r="BU322">
            <v>740.38402699999995</v>
          </cell>
          <cell r="BV322">
            <v>4033.244158</v>
          </cell>
          <cell r="BW322">
            <v>2.2719360000000002</v>
          </cell>
          <cell r="BX322">
            <v>211751.37144399999</v>
          </cell>
          <cell r="BY322">
            <v>0</v>
          </cell>
          <cell r="BZ322">
            <v>1895.167743</v>
          </cell>
          <cell r="CA322">
            <v>15946.918884000001</v>
          </cell>
          <cell r="CB322">
            <v>12538.180120000001</v>
          </cell>
          <cell r="CC322">
            <v>477.51843300000002</v>
          </cell>
          <cell r="CD322">
            <v>2749.5808189999998</v>
          </cell>
          <cell r="CE322">
            <v>350.69322199999999</v>
          </cell>
          <cell r="CF322">
            <v>354.011415</v>
          </cell>
          <cell r="CG322">
            <v>128.12091599999999</v>
          </cell>
          <cell r="CH322">
            <v>758.47399399999995</v>
          </cell>
          <cell r="CI322">
            <v>10.874834999999999</v>
          </cell>
          <cell r="CJ322">
            <v>11.801301</v>
          </cell>
          <cell r="CK322">
            <v>46195.113701000002</v>
          </cell>
          <cell r="CL322">
            <v>45551.393806</v>
          </cell>
          <cell r="CM322">
            <v>6.0481920000000002</v>
          </cell>
          <cell r="CN322">
            <v>144.00653</v>
          </cell>
          <cell r="CO322">
            <v>39877.358397000004</v>
          </cell>
          <cell r="CP322">
            <v>39877.083596999997</v>
          </cell>
          <cell r="CQ322">
            <v>1449.7417210000001</v>
          </cell>
          <cell r="CR322">
            <v>2128.4908139999998</v>
          </cell>
          <cell r="CS322">
            <v>1179.3917879999999</v>
          </cell>
          <cell r="CT322">
            <v>89.743388999999993</v>
          </cell>
          <cell r="CU322">
            <v>0</v>
          </cell>
          <cell r="CV322">
            <v>209.649021</v>
          </cell>
          <cell r="CW322">
            <v>34.220120000000001</v>
          </cell>
          <cell r="CX322">
            <v>113996.925235</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Y322">
            <v>41</v>
          </cell>
        </row>
        <row r="323">
          <cell r="F323">
            <v>39977.3125</v>
          </cell>
          <cell r="G323">
            <v>2964.3620080000001</v>
          </cell>
          <cell r="H323">
            <v>16647.964134999998</v>
          </cell>
          <cell r="I323">
            <v>3071.5763419999998</v>
          </cell>
          <cell r="J323">
            <v>12844.446833</v>
          </cell>
          <cell r="K323">
            <v>62055.006161999998</v>
          </cell>
          <cell r="L323">
            <v>35554.160943000003</v>
          </cell>
          <cell r="M323">
            <v>9031.4462860000003</v>
          </cell>
          <cell r="N323">
            <v>289.96220199999999</v>
          </cell>
          <cell r="O323">
            <v>971.54811700000005</v>
          </cell>
          <cell r="P323">
            <v>4667.2359889999998</v>
          </cell>
          <cell r="Q323">
            <v>6595.3622070000001</v>
          </cell>
          <cell r="R323">
            <v>770.05456900000001</v>
          </cell>
          <cell r="S323">
            <v>1693.288086</v>
          </cell>
          <cell r="T323">
            <v>14.308662</v>
          </cell>
          <cell r="U323">
            <v>19192.726605</v>
          </cell>
          <cell r="V323">
            <v>37920.993668000003</v>
          </cell>
          <cell r="W323">
            <v>21733.858377</v>
          </cell>
          <cell r="X323">
            <v>2639.2020729999999</v>
          </cell>
          <cell r="Y323">
            <v>93.365853000000001</v>
          </cell>
          <cell r="Z323">
            <v>2611.3324539999999</v>
          </cell>
          <cell r="AA323">
            <v>1.503215</v>
          </cell>
          <cell r="AB323">
            <v>241363.70478599996</v>
          </cell>
          <cell r="AC323">
            <v>2427.5719429999999</v>
          </cell>
          <cell r="AD323">
            <v>10112.054858</v>
          </cell>
          <cell r="AE323">
            <v>7529.0869080000002</v>
          </cell>
          <cell r="AF323">
            <v>392.21756199999999</v>
          </cell>
          <cell r="AG323">
            <v>1723.248585</v>
          </cell>
          <cell r="AH323">
            <v>1756.04385</v>
          </cell>
          <cell r="AI323">
            <v>683.25162999999998</v>
          </cell>
          <cell r="AJ323">
            <v>85.936096000000006</v>
          </cell>
          <cell r="AK323">
            <v>252.303864</v>
          </cell>
          <cell r="AL323">
            <v>8.4871339999999993</v>
          </cell>
          <cell r="AM323">
            <v>31.597517</v>
          </cell>
          <cell r="AN323">
            <v>48537.002995000003</v>
          </cell>
          <cell r="AO323">
            <v>46784.496752999999</v>
          </cell>
          <cell r="AP323">
            <v>1.7825</v>
          </cell>
          <cell r="AQ323">
            <v>56.618270000000003</v>
          </cell>
          <cell r="AR323">
            <v>48798.584301000003</v>
          </cell>
          <cell r="AS323">
            <v>48798.584301000003</v>
          </cell>
          <cell r="AT323">
            <v>1910.0466939999999</v>
          </cell>
          <cell r="AU323">
            <v>4849.8234679999996</v>
          </cell>
          <cell r="AV323">
            <v>7543.0881099999997</v>
          </cell>
          <cell r="AW323">
            <v>253.942486</v>
          </cell>
          <cell r="AX323">
            <v>0</v>
          </cell>
          <cell r="AY323">
            <v>249.54230699999999</v>
          </cell>
          <cell r="AZ323">
            <v>127.701582</v>
          </cell>
          <cell r="BA323">
            <v>129800.84575200001</v>
          </cell>
          <cell r="BB323">
            <v>0</v>
          </cell>
          <cell r="BC323">
            <v>5380.9611509999995</v>
          </cell>
          <cell r="BD323">
            <v>26492.784283000001</v>
          </cell>
          <cell r="BE323">
            <v>6831.2877360000002</v>
          </cell>
          <cell r="BF323">
            <v>23318.944837999999</v>
          </cell>
          <cell r="BG323">
            <v>119250.75520699999</v>
          </cell>
          <cell r="BH323">
            <v>62729.230304000004</v>
          </cell>
          <cell r="BI323">
            <v>16933.922922000002</v>
          </cell>
          <cell r="BJ323">
            <v>392.11425499999996</v>
          </cell>
          <cell r="BK323">
            <v>1788.2090050000002</v>
          </cell>
          <cell r="BL323">
            <v>8840.0114949999988</v>
          </cell>
          <cell r="BM323">
            <v>13852.053455000001</v>
          </cell>
          <cell r="BN323">
            <v>2020.8433909999999</v>
          </cell>
          <cell r="BO323">
            <v>3023.2618499999999</v>
          </cell>
          <cell r="BP323">
            <v>22.501055000000001</v>
          </cell>
          <cell r="BQ323">
            <v>37653.153718999994</v>
          </cell>
          <cell r="BR323">
            <v>69173.593338000006</v>
          </cell>
          <cell r="BS323">
            <v>42875.553449999999</v>
          </cell>
          <cell r="BT323">
            <v>5053.7931330000001</v>
          </cell>
          <cell r="BU323">
            <v>833.74987999999996</v>
          </cell>
          <cell r="BV323">
            <v>6644.5766119999998</v>
          </cell>
          <cell r="BW323">
            <v>3.7751510000000001</v>
          </cell>
          <cell r="BX323">
            <v>453115.07622999995</v>
          </cell>
          <cell r="BY323">
            <v>0</v>
          </cell>
          <cell r="BZ323">
            <v>4322.7396859999999</v>
          </cell>
          <cell r="CA323">
            <v>26058.973742000002</v>
          </cell>
          <cell r="CB323">
            <v>20067.267028000002</v>
          </cell>
          <cell r="CC323">
            <v>869.735995</v>
          </cell>
          <cell r="CD323">
            <v>4472.8294040000001</v>
          </cell>
          <cell r="CE323">
            <v>2106.7370719999999</v>
          </cell>
          <cell r="CF323">
            <v>1037.2630449999999</v>
          </cell>
          <cell r="CG323">
            <v>214.05701199999999</v>
          </cell>
          <cell r="CH323">
            <v>1010.7778579999999</v>
          </cell>
          <cell r="CI323">
            <v>19.361968999999998</v>
          </cell>
          <cell r="CJ323">
            <v>43.398817999999999</v>
          </cell>
          <cell r="CK323">
            <v>94732.116696000012</v>
          </cell>
          <cell r="CL323">
            <v>92335.890558999992</v>
          </cell>
          <cell r="CM323">
            <v>7.830692</v>
          </cell>
          <cell r="CN323">
            <v>200.62479999999999</v>
          </cell>
          <cell r="CO323">
            <v>88675.942697999999</v>
          </cell>
          <cell r="CP323">
            <v>88675.667898</v>
          </cell>
          <cell r="CQ323">
            <v>3359.788415</v>
          </cell>
          <cell r="CR323">
            <v>6978.3142819999994</v>
          </cell>
          <cell r="CS323">
            <v>8722.4798979999996</v>
          </cell>
          <cell r="CT323">
            <v>343.68587500000001</v>
          </cell>
          <cell r="CU323">
            <v>0</v>
          </cell>
          <cell r="CV323">
            <v>459.191328</v>
          </cell>
          <cell r="CW323">
            <v>161.92170200000001</v>
          </cell>
          <cell r="CX323">
            <v>243797.77098700003</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Y323">
            <v>42</v>
          </cell>
        </row>
        <row r="324">
          <cell r="F324">
            <v>40068.625</v>
          </cell>
          <cell r="G324">
            <v>3916.5447210000002</v>
          </cell>
          <cell r="H324">
            <v>16933.867568999998</v>
          </cell>
          <cell r="I324">
            <v>2433.9326390000001</v>
          </cell>
          <cell r="J324">
            <v>18109.369223000002</v>
          </cell>
          <cell r="K324">
            <v>60091.279355999999</v>
          </cell>
          <cell r="L324">
            <v>28119.743324999999</v>
          </cell>
          <cell r="M324">
            <v>7862.1594809999997</v>
          </cell>
          <cell r="N324">
            <v>223.834881</v>
          </cell>
          <cell r="O324">
            <v>851.53664800000001</v>
          </cell>
          <cell r="P324">
            <v>7614.5336070000003</v>
          </cell>
          <cell r="Q324">
            <v>7412.7225589999998</v>
          </cell>
          <cell r="R324">
            <v>807.99659699999995</v>
          </cell>
          <cell r="S324">
            <v>1798.078516</v>
          </cell>
          <cell r="T324">
            <v>9.2917690000000004</v>
          </cell>
          <cell r="U324">
            <v>16802.15496</v>
          </cell>
          <cell r="V324">
            <v>34387.224330999998</v>
          </cell>
          <cell r="W324">
            <v>29687.384176</v>
          </cell>
          <cell r="X324">
            <v>1604.591212</v>
          </cell>
          <cell r="Y324">
            <v>84.218618000000006</v>
          </cell>
          <cell r="Z324">
            <v>2076.3731600000001</v>
          </cell>
          <cell r="AA324">
            <v>6.8823100000000004</v>
          </cell>
          <cell r="AB324">
            <v>240833.71965799999</v>
          </cell>
          <cell r="AC324">
            <v>2122.6274149999999</v>
          </cell>
          <cell r="AD324">
            <v>3435.290195</v>
          </cell>
          <cell r="AE324">
            <v>1549.0382890000001</v>
          </cell>
          <cell r="AF324">
            <v>161.28969699999999</v>
          </cell>
          <cell r="AG324">
            <v>1942.7593770000001</v>
          </cell>
          <cell r="AH324">
            <v>1155.642863</v>
          </cell>
          <cell r="AI324">
            <v>422.742636</v>
          </cell>
          <cell r="AJ324">
            <v>1582.7308410000001</v>
          </cell>
          <cell r="AK324">
            <v>83.392337999999995</v>
          </cell>
          <cell r="AL324">
            <v>10.253779</v>
          </cell>
          <cell r="AM324">
            <v>25.749637</v>
          </cell>
          <cell r="AN324">
            <v>16755.350681</v>
          </cell>
          <cell r="AO324">
            <v>15757.793511</v>
          </cell>
          <cell r="AP324">
            <v>5.55</v>
          </cell>
          <cell r="AQ324">
            <v>54.428364000000002</v>
          </cell>
          <cell r="AR324">
            <v>47895.326560000001</v>
          </cell>
          <cell r="AS324">
            <v>47895.326560000001</v>
          </cell>
          <cell r="AT324">
            <v>1494.5418480000001</v>
          </cell>
          <cell r="AU324">
            <v>1240.216375</v>
          </cell>
          <cell r="AV324">
            <v>895.05305599999997</v>
          </cell>
          <cell r="AW324">
            <v>98.216483999999994</v>
          </cell>
          <cell r="AX324">
            <v>184.96127200000001</v>
          </cell>
          <cell r="AY324">
            <v>579.98208899999997</v>
          </cell>
          <cell r="AZ324">
            <v>95.567442999999997</v>
          </cell>
          <cell r="BA324">
            <v>80241.672950000007</v>
          </cell>
          <cell r="BB324">
            <v>0</v>
          </cell>
          <cell r="BC324">
            <v>9297.5058719999997</v>
          </cell>
          <cell r="BD324">
            <v>43426.651851999995</v>
          </cell>
          <cell r="BE324">
            <v>9265.2203750000008</v>
          </cell>
          <cell r="BF324">
            <v>41428.314060999997</v>
          </cell>
          <cell r="BG324">
            <v>179342.03456299999</v>
          </cell>
          <cell r="BH324">
            <v>90848.973629</v>
          </cell>
          <cell r="BI324">
            <v>24796.082403</v>
          </cell>
          <cell r="BJ324">
            <v>615.94913599999995</v>
          </cell>
          <cell r="BK324">
            <v>2639.7456529999999</v>
          </cell>
          <cell r="BL324">
            <v>16454.545102</v>
          </cell>
          <cell r="BM324">
            <v>21264.776014000003</v>
          </cell>
          <cell r="BN324">
            <v>2828.8399879999997</v>
          </cell>
          <cell r="BO324">
            <v>4821.3403660000004</v>
          </cell>
          <cell r="BP324">
            <v>31.792824000000003</v>
          </cell>
          <cell r="BQ324">
            <v>54455.308678999994</v>
          </cell>
          <cell r="BR324">
            <v>103560.81766900001</v>
          </cell>
          <cell r="BS324">
            <v>72562.937625999999</v>
          </cell>
          <cell r="BT324">
            <v>6658.3843450000004</v>
          </cell>
          <cell r="BU324">
            <v>917.96849799999995</v>
          </cell>
          <cell r="BV324">
            <v>8720.9497719999999</v>
          </cell>
          <cell r="BW324">
            <v>10.657461000000001</v>
          </cell>
          <cell r="BX324">
            <v>693948.79588799994</v>
          </cell>
          <cell r="BY324">
            <v>0</v>
          </cell>
          <cell r="BZ324">
            <v>6445.3671009999998</v>
          </cell>
          <cell r="CA324">
            <v>29494.263937000003</v>
          </cell>
          <cell r="CB324">
            <v>21616.305317000002</v>
          </cell>
          <cell r="CC324">
            <v>1031.0256919999999</v>
          </cell>
          <cell r="CD324">
            <v>6415.5887810000004</v>
          </cell>
          <cell r="CE324">
            <v>3262.3799349999999</v>
          </cell>
          <cell r="CF324">
            <v>1460.0056809999999</v>
          </cell>
          <cell r="CG324">
            <v>1796.787853</v>
          </cell>
          <cell r="CH324">
            <v>1094.170196</v>
          </cell>
          <cell r="CI324">
            <v>29.615747999999996</v>
          </cell>
          <cell r="CJ324">
            <v>69.148454999999998</v>
          </cell>
          <cell r="CK324">
            <v>111487.46737700001</v>
          </cell>
          <cell r="CL324">
            <v>108093.68406999999</v>
          </cell>
          <cell r="CM324">
            <v>13.380692</v>
          </cell>
          <cell r="CN324">
            <v>255.05316399999998</v>
          </cell>
          <cell r="CO324">
            <v>136571.26925800001</v>
          </cell>
          <cell r="CP324">
            <v>136570.994458</v>
          </cell>
          <cell r="CQ324">
            <v>4854.3302629999998</v>
          </cell>
          <cell r="CR324">
            <v>8218.5306569999993</v>
          </cell>
          <cell r="CS324">
            <v>9617.5329540000002</v>
          </cell>
          <cell r="CT324">
            <v>441.90235899999999</v>
          </cell>
          <cell r="CU324">
            <v>184.96127200000001</v>
          </cell>
          <cell r="CV324">
            <v>1039.173417</v>
          </cell>
          <cell r="CW324">
            <v>257.48914500000001</v>
          </cell>
          <cell r="CX324">
            <v>324039.443937</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Y324">
            <v>43</v>
          </cell>
        </row>
        <row r="325">
          <cell r="F325">
            <v>40159.9375</v>
          </cell>
          <cell r="G325">
            <v>2617.3232119999998</v>
          </cell>
          <cell r="H325">
            <v>21124.179372999999</v>
          </cell>
          <cell r="I325">
            <v>3221.3634900000002</v>
          </cell>
          <cell r="J325">
            <v>18435.810387000001</v>
          </cell>
          <cell r="K325">
            <v>65807.065057999993</v>
          </cell>
          <cell r="L325">
            <v>25392.266599999999</v>
          </cell>
          <cell r="M325">
            <v>11349.003812999999</v>
          </cell>
          <cell r="N325">
            <v>217.96191099999999</v>
          </cell>
          <cell r="O325">
            <v>932.97760300000004</v>
          </cell>
          <cell r="P325">
            <v>5920.6668980000004</v>
          </cell>
          <cell r="Q325">
            <v>7576.6099320000003</v>
          </cell>
          <cell r="R325">
            <v>1050.9316679999999</v>
          </cell>
          <cell r="S325">
            <v>2168.0655830000001</v>
          </cell>
          <cell r="T325">
            <v>11.471246000000001</v>
          </cell>
          <cell r="U325">
            <v>17141.804196000001</v>
          </cell>
          <cell r="V325">
            <v>65160.066772999999</v>
          </cell>
          <cell r="W325">
            <v>30251.219107000001</v>
          </cell>
          <cell r="X325">
            <v>2086.3636059999999</v>
          </cell>
          <cell r="Y325">
            <v>138.24790100000001</v>
          </cell>
          <cell r="Z325">
            <v>2413.3238710000001</v>
          </cell>
          <cell r="AA325">
            <v>22.22437</v>
          </cell>
          <cell r="AB325">
            <v>283038.94659800001</v>
          </cell>
          <cell r="AC325">
            <v>2249.0137500000001</v>
          </cell>
          <cell r="AD325">
            <v>7835.842893</v>
          </cell>
          <cell r="AE325">
            <v>6779.0023799999999</v>
          </cell>
          <cell r="AF325">
            <v>250.08887200000001</v>
          </cell>
          <cell r="AG325">
            <v>2125.8931360000001</v>
          </cell>
          <cell r="AH325">
            <v>1410.7600199999999</v>
          </cell>
          <cell r="AI325">
            <v>255.956423</v>
          </cell>
          <cell r="AJ325">
            <v>1116.290643</v>
          </cell>
          <cell r="AK325">
            <v>670.39149299999997</v>
          </cell>
          <cell r="AL325">
            <v>20.132422999999999</v>
          </cell>
          <cell r="AM325">
            <v>10.092390999999999</v>
          </cell>
          <cell r="AN325">
            <v>10134.87859</v>
          </cell>
          <cell r="AO325">
            <v>9231.6966520000005</v>
          </cell>
          <cell r="AP325">
            <v>1.3</v>
          </cell>
          <cell r="AQ325">
            <v>66.676929000000001</v>
          </cell>
          <cell r="AR325">
            <v>53752.539240999999</v>
          </cell>
          <cell r="AS325">
            <v>53752.476740999999</v>
          </cell>
          <cell r="AT325">
            <v>1498.989206</v>
          </cell>
          <cell r="AU325">
            <v>4276.8510759999999</v>
          </cell>
          <cell r="AV325">
            <v>1298.207279</v>
          </cell>
          <cell r="AW325">
            <v>58.288179</v>
          </cell>
          <cell r="AX325">
            <v>217.51614599999999</v>
          </cell>
          <cell r="AY325">
            <v>175.64029199999999</v>
          </cell>
          <cell r="AZ325">
            <v>67.223658</v>
          </cell>
          <cell r="BA325">
            <v>87492.572639999984</v>
          </cell>
          <cell r="BB325">
            <v>0</v>
          </cell>
          <cell r="BC325">
            <v>11914.829083999999</v>
          </cell>
          <cell r="BD325">
            <v>64550.831224999994</v>
          </cell>
          <cell r="BE325">
            <v>12486.583865000001</v>
          </cell>
          <cell r="BF325">
            <v>59864.124448000002</v>
          </cell>
          <cell r="BG325">
            <v>245149.099621</v>
          </cell>
          <cell r="BH325">
            <v>116241.240229</v>
          </cell>
          <cell r="BI325">
            <v>36145.086215999996</v>
          </cell>
          <cell r="BJ325">
            <v>833.91104699999994</v>
          </cell>
          <cell r="BK325">
            <v>3572.7232560000002</v>
          </cell>
          <cell r="BL325">
            <v>22375.212</v>
          </cell>
          <cell r="BM325">
            <v>28841.385946000002</v>
          </cell>
          <cell r="BN325">
            <v>3879.7716559999999</v>
          </cell>
          <cell r="BO325">
            <v>6989.405949</v>
          </cell>
          <cell r="BP325">
            <v>43.264070000000004</v>
          </cell>
          <cell r="BQ325">
            <v>71597.112874999992</v>
          </cell>
          <cell r="BR325">
            <v>168720.88444200001</v>
          </cell>
          <cell r="BS325">
            <v>102814.156733</v>
          </cell>
          <cell r="BT325">
            <v>8744.7479510000012</v>
          </cell>
          <cell r="BU325">
            <v>1056.2163989999999</v>
          </cell>
          <cell r="BV325">
            <v>11134.273643</v>
          </cell>
          <cell r="BW325">
            <v>32.881831000000005</v>
          </cell>
          <cell r="BX325">
            <v>976987.74248599994</v>
          </cell>
          <cell r="BY325">
            <v>8.2134599183447232E-2</v>
          </cell>
          <cell r="BZ325">
            <v>8694.3808509999999</v>
          </cell>
          <cell r="CA325">
            <v>37330.106830000004</v>
          </cell>
          <cell r="CB325">
            <v>28395.307697000004</v>
          </cell>
          <cell r="CC325">
            <v>1281.114564</v>
          </cell>
          <cell r="CD325">
            <v>8541.481917000001</v>
          </cell>
          <cell r="CE325">
            <v>4673.1399549999996</v>
          </cell>
          <cell r="CF325">
            <v>1715.962104</v>
          </cell>
          <cell r="CG325">
            <v>2913.0784960000001</v>
          </cell>
          <cell r="CH325">
            <v>1764.5616890000001</v>
          </cell>
          <cell r="CI325">
            <v>49.748170999999999</v>
          </cell>
          <cell r="CJ325">
            <v>79.240846000000005</v>
          </cell>
          <cell r="CK325">
            <v>121622.345967</v>
          </cell>
          <cell r="CL325">
            <v>117325.38072199999</v>
          </cell>
          <cell r="CM325">
            <v>14.680692000000001</v>
          </cell>
          <cell r="CN325">
            <v>321.73009300000001</v>
          </cell>
          <cell r="CO325">
            <v>190323.80849900001</v>
          </cell>
          <cell r="CP325">
            <v>190323.47119899999</v>
          </cell>
          <cell r="CQ325">
            <v>6353.319469</v>
          </cell>
          <cell r="CR325">
            <v>12495.381732999998</v>
          </cell>
          <cell r="CS325">
            <v>10915.740233</v>
          </cell>
          <cell r="CT325">
            <v>500.190538</v>
          </cell>
          <cell r="CU325">
            <v>402.477418</v>
          </cell>
          <cell r="CV325">
            <v>1214.813709</v>
          </cell>
          <cell r="CW325">
            <v>324.71280300000001</v>
          </cell>
          <cell r="CX325">
            <v>411532.01657699997</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42.122536310418155</v>
          </cell>
          <cell r="DM325">
            <v>0</v>
          </cell>
          <cell r="DN325">
            <v>0</v>
          </cell>
          <cell r="DO325">
            <v>0</v>
          </cell>
          <cell r="DP325">
            <v>0</v>
          </cell>
          <cell r="DQ325">
            <v>0</v>
          </cell>
          <cell r="DR325">
            <v>0</v>
          </cell>
          <cell r="DS325">
            <v>0</v>
          </cell>
          <cell r="DT325">
            <v>0</v>
          </cell>
          <cell r="DU325">
            <v>0</v>
          </cell>
          <cell r="DV325">
            <v>0</v>
          </cell>
          <cell r="DY325">
            <v>44</v>
          </cell>
        </row>
        <row r="326">
          <cell r="F326">
            <v>40251.25</v>
          </cell>
          <cell r="G326">
            <v>3162.4930549999999</v>
          </cell>
          <cell r="H326">
            <v>14509.239232</v>
          </cell>
          <cell r="I326">
            <v>1849.784819</v>
          </cell>
          <cell r="J326">
            <v>17388.631284999999</v>
          </cell>
          <cell r="K326">
            <v>55926.383602000002</v>
          </cell>
          <cell r="L326">
            <v>30433.476449999998</v>
          </cell>
          <cell r="M326">
            <v>9802.0391799999998</v>
          </cell>
          <cell r="N326">
            <v>195.715014</v>
          </cell>
          <cell r="O326">
            <v>1042.42229</v>
          </cell>
          <cell r="P326">
            <v>4330.952061</v>
          </cell>
          <cell r="Q326">
            <v>6819.2726409999996</v>
          </cell>
          <cell r="R326">
            <v>783.27713700000004</v>
          </cell>
          <cell r="S326">
            <v>1961.5977170000001</v>
          </cell>
          <cell r="T326">
            <v>14.497638</v>
          </cell>
          <cell r="U326">
            <v>19603.722322000001</v>
          </cell>
          <cell r="V326">
            <v>36849.226795000002</v>
          </cell>
          <cell r="W326">
            <v>22087.032679</v>
          </cell>
          <cell r="X326">
            <v>2789.683994</v>
          </cell>
          <cell r="Y326">
            <v>154.085397</v>
          </cell>
          <cell r="Z326">
            <v>2682.7804160000001</v>
          </cell>
          <cell r="AA326">
            <v>2.9447459999999999</v>
          </cell>
          <cell r="AB326">
            <v>232389.25846999991</v>
          </cell>
          <cell r="AC326">
            <v>1121.595</v>
          </cell>
          <cell r="AD326">
            <v>21983.833364999999</v>
          </cell>
          <cell r="AE326">
            <v>17880.890500000001</v>
          </cell>
          <cell r="AF326">
            <v>812.18404299999997</v>
          </cell>
          <cell r="AG326">
            <v>2401.1060010000001</v>
          </cell>
          <cell r="AH326">
            <v>825.02861399999995</v>
          </cell>
          <cell r="AI326">
            <v>211.96883</v>
          </cell>
          <cell r="AJ326">
            <v>83.370512000000005</v>
          </cell>
          <cell r="AK326">
            <v>24.65213</v>
          </cell>
          <cell r="AL326">
            <v>13.037008</v>
          </cell>
          <cell r="AM326">
            <v>11.619512</v>
          </cell>
          <cell r="AN326">
            <v>51937.577579999997</v>
          </cell>
          <cell r="AO326">
            <v>51040.769171</v>
          </cell>
          <cell r="AP326">
            <v>0.52118200000000003</v>
          </cell>
          <cell r="AQ326">
            <v>66.063518999999999</v>
          </cell>
          <cell r="AR326">
            <v>68849.037784</v>
          </cell>
          <cell r="AS326">
            <v>68846.907183999996</v>
          </cell>
          <cell r="AT326">
            <v>895.02192400000001</v>
          </cell>
          <cell r="AU326">
            <v>2093.8685700000001</v>
          </cell>
          <cell r="AV326">
            <v>474.556918</v>
          </cell>
          <cell r="AW326">
            <v>84.821076000000005</v>
          </cell>
          <cell r="AX326">
            <v>89.349323999999996</v>
          </cell>
          <cell r="AY326">
            <v>215.445233</v>
          </cell>
          <cell r="AZ326">
            <v>43.074834000000003</v>
          </cell>
          <cell r="BA326">
            <v>152237.73295899999</v>
          </cell>
          <cell r="BB326">
            <v>0</v>
          </cell>
          <cell r="BC326">
            <v>3162.4930549999999</v>
          </cell>
          <cell r="BD326">
            <v>14509.239232</v>
          </cell>
          <cell r="BE326">
            <v>1849.784819</v>
          </cell>
          <cell r="BF326">
            <v>17388.631284999999</v>
          </cell>
          <cell r="BG326">
            <v>55926.383602000002</v>
          </cell>
          <cell r="BH326">
            <v>30433.476449999998</v>
          </cell>
          <cell r="BI326">
            <v>9802.0391799999998</v>
          </cell>
          <cell r="BJ326">
            <v>195.715014</v>
          </cell>
          <cell r="BK326">
            <v>1042.42229</v>
          </cell>
          <cell r="BL326">
            <v>4330.952061</v>
          </cell>
          <cell r="BM326">
            <v>6819.2726409999996</v>
          </cell>
          <cell r="BN326">
            <v>783.27713700000004</v>
          </cell>
          <cell r="BO326">
            <v>1961.5977170000001</v>
          </cell>
          <cell r="BP326">
            <v>14.497638</v>
          </cell>
          <cell r="BQ326">
            <v>19603.722322000001</v>
          </cell>
          <cell r="BR326">
            <v>36849.226795000002</v>
          </cell>
          <cell r="BS326">
            <v>22087.032679</v>
          </cell>
          <cell r="BT326">
            <v>2789.683994</v>
          </cell>
          <cell r="BU326">
            <v>154.085397</v>
          </cell>
          <cell r="BV326">
            <v>2682.7804160000001</v>
          </cell>
          <cell r="BW326">
            <v>2.9447459999999999</v>
          </cell>
          <cell r="BX326">
            <v>232389.25846999991</v>
          </cell>
          <cell r="BY326">
            <v>0</v>
          </cell>
          <cell r="BZ326">
            <v>1121.595</v>
          </cell>
          <cell r="CA326">
            <v>21983.833364999999</v>
          </cell>
          <cell r="CB326">
            <v>17880.890500000001</v>
          </cell>
          <cell r="CC326">
            <v>812.18404299999997</v>
          </cell>
          <cell r="CD326">
            <v>2401.1060010000001</v>
          </cell>
          <cell r="CE326">
            <v>825.02861399999995</v>
          </cell>
          <cell r="CF326">
            <v>211.96883</v>
          </cell>
          <cell r="CG326">
            <v>83.370512000000005</v>
          </cell>
          <cell r="CH326">
            <v>24.65213</v>
          </cell>
          <cell r="CI326">
            <v>13.037008</v>
          </cell>
          <cell r="CJ326">
            <v>11.619512</v>
          </cell>
          <cell r="CK326">
            <v>51937.577579999997</v>
          </cell>
          <cell r="CL326">
            <v>51040.769171</v>
          </cell>
          <cell r="CM326">
            <v>0.52118200000000003</v>
          </cell>
          <cell r="CN326">
            <v>66.063518999999999</v>
          </cell>
          <cell r="CO326">
            <v>68849.037784</v>
          </cell>
          <cell r="CP326">
            <v>68846.907183999996</v>
          </cell>
          <cell r="CQ326">
            <v>895.02192400000001</v>
          </cell>
          <cell r="CR326">
            <v>2093.8685700000001</v>
          </cell>
          <cell r="CS326">
            <v>474.556918</v>
          </cell>
          <cell r="CT326">
            <v>84.821076000000005</v>
          </cell>
          <cell r="CU326">
            <v>89.349323999999996</v>
          </cell>
          <cell r="CV326">
            <v>215.445233</v>
          </cell>
          <cell r="CW326">
            <v>43.074834000000003</v>
          </cell>
          <cell r="CX326">
            <v>152237.73295899999</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Y326">
            <v>45</v>
          </cell>
        </row>
        <row r="327">
          <cell r="F327">
            <v>40342.5625</v>
          </cell>
          <cell r="G327">
            <v>2596.8700399999998</v>
          </cell>
          <cell r="H327">
            <v>16312.505594</v>
          </cell>
          <cell r="I327">
            <v>1821.6567700000001</v>
          </cell>
          <cell r="J327">
            <v>17787.337901999999</v>
          </cell>
          <cell r="K327">
            <v>70484.052823000005</v>
          </cell>
          <cell r="L327">
            <v>39292.051740000003</v>
          </cell>
          <cell r="M327">
            <v>10965.542242</v>
          </cell>
          <cell r="N327">
            <v>149.16081399999999</v>
          </cell>
          <cell r="O327">
            <v>1079.7121979999999</v>
          </cell>
          <cell r="P327">
            <v>6202.7454989999997</v>
          </cell>
          <cell r="Q327">
            <v>6075.1599159999996</v>
          </cell>
          <cell r="R327">
            <v>1218.3092690000001</v>
          </cell>
          <cell r="S327">
            <v>1948.951971</v>
          </cell>
          <cell r="T327">
            <v>30.31354</v>
          </cell>
          <cell r="U327">
            <v>21885.125705999999</v>
          </cell>
          <cell r="V327">
            <v>32261.20522</v>
          </cell>
          <cell r="W327">
            <v>22431.923879999998</v>
          </cell>
          <cell r="X327">
            <v>2770.7312229999998</v>
          </cell>
          <cell r="Y327">
            <v>640.21147399999995</v>
          </cell>
          <cell r="Z327">
            <v>2922.2007939999999</v>
          </cell>
          <cell r="AA327">
            <v>1.1378980000000001</v>
          </cell>
          <cell r="AB327">
            <v>258876.90651299999</v>
          </cell>
          <cell r="AC327">
            <v>1310.9755</v>
          </cell>
          <cell r="AD327">
            <v>11373.752312000001</v>
          </cell>
          <cell r="AE327">
            <v>4609.3807040000002</v>
          </cell>
          <cell r="AF327">
            <v>453.51174500000002</v>
          </cell>
          <cell r="AG327">
            <v>2893.340987</v>
          </cell>
          <cell r="AH327">
            <v>907.78507500000001</v>
          </cell>
          <cell r="AI327">
            <v>1679.4375500000001</v>
          </cell>
          <cell r="AJ327">
            <v>87.908141000000001</v>
          </cell>
          <cell r="AK327">
            <v>808.02208399999995</v>
          </cell>
          <cell r="AL327">
            <v>5.7435900000000002</v>
          </cell>
          <cell r="AM327">
            <v>22.748699999999999</v>
          </cell>
          <cell r="AN327">
            <v>38433.956380000003</v>
          </cell>
          <cell r="AO327">
            <v>37283.008218000003</v>
          </cell>
          <cell r="AP327">
            <v>0.53266800000000003</v>
          </cell>
          <cell r="AQ327">
            <v>96.557547</v>
          </cell>
          <cell r="AR327">
            <v>96789.476670000004</v>
          </cell>
          <cell r="AS327">
            <v>96789.386578999998</v>
          </cell>
          <cell r="AT327">
            <v>606.01487699999996</v>
          </cell>
          <cell r="AU327">
            <v>936.74593600000003</v>
          </cell>
          <cell r="AV327">
            <v>1276.7933889999999</v>
          </cell>
          <cell r="AW327">
            <v>179.647998</v>
          </cell>
          <cell r="AX327">
            <v>0.25</v>
          </cell>
          <cell r="AY327">
            <v>306.22476</v>
          </cell>
          <cell r="AZ327">
            <v>41.38015</v>
          </cell>
          <cell r="BA327">
            <v>158210.80605900002</v>
          </cell>
          <cell r="BB327">
            <v>0</v>
          </cell>
          <cell r="BC327">
            <v>5759.3630949999997</v>
          </cell>
          <cell r="BD327">
            <v>30821.744826000002</v>
          </cell>
          <cell r="BE327">
            <v>3671.441589</v>
          </cell>
          <cell r="BF327">
            <v>35175.969186999995</v>
          </cell>
          <cell r="BG327">
            <v>126410.43642500001</v>
          </cell>
          <cell r="BH327">
            <v>69725.528189999997</v>
          </cell>
          <cell r="BI327">
            <v>20767.581421999999</v>
          </cell>
          <cell r="BJ327">
            <v>344.87582799999996</v>
          </cell>
          <cell r="BK327">
            <v>2122.1344879999997</v>
          </cell>
          <cell r="BL327">
            <v>10533.697560000001</v>
          </cell>
          <cell r="BM327">
            <v>12894.432557</v>
          </cell>
          <cell r="BN327">
            <v>2001.5864060000001</v>
          </cell>
          <cell r="BO327">
            <v>3910.5496880000001</v>
          </cell>
          <cell r="BP327">
            <v>44.811177999999998</v>
          </cell>
          <cell r="BQ327">
            <v>41488.848028</v>
          </cell>
          <cell r="BR327">
            <v>69110.432014999999</v>
          </cell>
          <cell r="BS327">
            <v>44518.956558999998</v>
          </cell>
          <cell r="BT327">
            <v>5560.4152169999998</v>
          </cell>
          <cell r="BU327">
            <v>794.29687100000001</v>
          </cell>
          <cell r="BV327">
            <v>5604.9812099999999</v>
          </cell>
          <cell r="BW327">
            <v>4.0826440000000002</v>
          </cell>
          <cell r="BX327">
            <v>491266.16498299991</v>
          </cell>
          <cell r="BY327">
            <v>0</v>
          </cell>
          <cell r="BZ327">
            <v>2432.5704999999998</v>
          </cell>
          <cell r="CA327">
            <v>33357.585676999995</v>
          </cell>
          <cell r="CB327">
            <v>22490.271204000001</v>
          </cell>
          <cell r="CC327">
            <v>1265.695788</v>
          </cell>
          <cell r="CD327">
            <v>5294.4469879999997</v>
          </cell>
          <cell r="CE327">
            <v>1732.8136890000001</v>
          </cell>
          <cell r="CF327">
            <v>1891.4063800000001</v>
          </cell>
          <cell r="CG327">
            <v>171.27865300000002</v>
          </cell>
          <cell r="CH327">
            <v>832.67421399999989</v>
          </cell>
          <cell r="CI327">
            <v>18.780598000000001</v>
          </cell>
          <cell r="CJ327">
            <v>34.368212</v>
          </cell>
          <cell r="CK327">
            <v>90371.533960000001</v>
          </cell>
          <cell r="CL327">
            <v>88323.777388999995</v>
          </cell>
          <cell r="CM327">
            <v>1.0538500000000002</v>
          </cell>
          <cell r="CN327">
            <v>162.62106599999998</v>
          </cell>
          <cell r="CO327">
            <v>165638.51445399999</v>
          </cell>
          <cell r="CP327">
            <v>165636.29376299999</v>
          </cell>
          <cell r="CQ327">
            <v>1501.036801</v>
          </cell>
          <cell r="CR327">
            <v>3030.6145059999999</v>
          </cell>
          <cell r="CS327">
            <v>1751.3503069999999</v>
          </cell>
          <cell r="CT327">
            <v>264.46907399999998</v>
          </cell>
          <cell r="CU327">
            <v>89.599323999999996</v>
          </cell>
          <cell r="CV327">
            <v>521.66999299999998</v>
          </cell>
          <cell r="CW327">
            <v>84.454983999999996</v>
          </cell>
          <cell r="CX327">
            <v>310448.53901800001</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Y327">
            <v>46</v>
          </cell>
        </row>
        <row r="328">
          <cell r="F328">
            <v>40433.875</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491266.16498299991</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310448.53901800001</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Y328">
            <v>0</v>
          </cell>
        </row>
        <row r="329">
          <cell r="F329">
            <v>40525.1875</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491266.16498299991</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310448.53901800001</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63.193551916758395</v>
          </cell>
          <cell r="DM329">
            <v>0</v>
          </cell>
          <cell r="DN329">
            <v>0</v>
          </cell>
          <cell r="DO329">
            <v>0</v>
          </cell>
          <cell r="DP329">
            <v>0</v>
          </cell>
          <cell r="DQ329">
            <v>0</v>
          </cell>
          <cell r="DR329">
            <v>0</v>
          </cell>
          <cell r="DS329">
            <v>0</v>
          </cell>
          <cell r="DT329">
            <v>0</v>
          </cell>
          <cell r="DU329">
            <v>0</v>
          </cell>
          <cell r="DV329">
            <v>0</v>
          </cell>
          <cell r="DY329">
            <v>0</v>
          </cell>
        </row>
        <row r="330">
          <cell r="F330">
            <v>40616.5</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Y330">
            <v>0</v>
          </cell>
        </row>
        <row r="331">
          <cell r="F331">
            <v>40707.8125</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Y331">
            <v>0</v>
          </cell>
        </row>
        <row r="332">
          <cell r="F332">
            <v>40799.125</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Y332">
            <v>0</v>
          </cell>
        </row>
        <row r="333">
          <cell r="F333">
            <v>40890.4375</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t="e">
            <v>#DIV/0!</v>
          </cell>
          <cell r="DM333">
            <v>0</v>
          </cell>
          <cell r="DN333">
            <v>0</v>
          </cell>
          <cell r="DO333">
            <v>0</v>
          </cell>
          <cell r="DP333">
            <v>0</v>
          </cell>
          <cell r="DQ333">
            <v>0</v>
          </cell>
          <cell r="DR333">
            <v>0</v>
          </cell>
          <cell r="DS333">
            <v>0</v>
          </cell>
          <cell r="DT333">
            <v>0</v>
          </cell>
          <cell r="DU333">
            <v>0</v>
          </cell>
          <cell r="DV333">
            <v>0</v>
          </cell>
          <cell r="DY333">
            <v>0</v>
          </cell>
        </row>
        <row r="334">
          <cell r="F334">
            <v>40981.75</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Y334">
            <v>0</v>
          </cell>
        </row>
        <row r="335">
          <cell r="F335">
            <v>41073.0625</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Y335">
            <v>0</v>
          </cell>
        </row>
        <row r="336">
          <cell r="F336">
            <v>41164.375</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Y336">
            <v>0</v>
          </cell>
        </row>
        <row r="337">
          <cell r="F337">
            <v>41255.6875</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t="e">
            <v>#DIV/0!</v>
          </cell>
          <cell r="DM337">
            <v>0</v>
          </cell>
          <cell r="DN337">
            <v>0</v>
          </cell>
          <cell r="DO337">
            <v>0</v>
          </cell>
          <cell r="DP337">
            <v>0</v>
          </cell>
          <cell r="DQ337">
            <v>0</v>
          </cell>
          <cell r="DR337">
            <v>0</v>
          </cell>
          <cell r="DS337">
            <v>0</v>
          </cell>
          <cell r="DT337">
            <v>0</v>
          </cell>
          <cell r="DU337">
            <v>0</v>
          </cell>
          <cell r="DV337">
            <v>0</v>
          </cell>
          <cell r="DY337">
            <v>0</v>
          </cell>
        </row>
        <row r="338">
          <cell r="F338">
            <v>41347</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Y338">
            <v>0</v>
          </cell>
        </row>
        <row r="339">
          <cell r="F339">
            <v>41438.3125</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Y339">
            <v>0</v>
          </cell>
        </row>
        <row r="340">
          <cell r="F340">
            <v>41529.625</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Y340">
            <v>0</v>
          </cell>
        </row>
        <row r="341">
          <cell r="F341">
            <v>41620.9375</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t="e">
            <v>#DIV/0!</v>
          </cell>
          <cell r="DM341">
            <v>0</v>
          </cell>
          <cell r="DN341">
            <v>0</v>
          </cell>
          <cell r="DO341">
            <v>0</v>
          </cell>
          <cell r="DP341">
            <v>0</v>
          </cell>
          <cell r="DQ341">
            <v>0</v>
          </cell>
          <cell r="DR341">
            <v>0</v>
          </cell>
          <cell r="DS341">
            <v>0</v>
          </cell>
          <cell r="DT341">
            <v>0</v>
          </cell>
          <cell r="DU341">
            <v>0</v>
          </cell>
          <cell r="DV341">
            <v>0</v>
          </cell>
          <cell r="DY341">
            <v>0</v>
          </cell>
        </row>
        <row r="342">
          <cell r="F342">
            <v>41712.25</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Y342">
            <v>0</v>
          </cell>
        </row>
        <row r="343">
          <cell r="F343">
            <v>41803.5625</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Y343">
            <v>0</v>
          </cell>
        </row>
        <row r="344">
          <cell r="F344">
            <v>41894.875</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Y344">
            <v>0</v>
          </cell>
        </row>
        <row r="345">
          <cell r="F345">
            <v>41986.1875</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t="e">
            <v>#DIV/0!</v>
          </cell>
          <cell r="DM345">
            <v>0</v>
          </cell>
          <cell r="DN345">
            <v>0</v>
          </cell>
          <cell r="DO345">
            <v>0</v>
          </cell>
          <cell r="DP345">
            <v>0</v>
          </cell>
          <cell r="DQ345">
            <v>0</v>
          </cell>
          <cell r="DR345">
            <v>0</v>
          </cell>
          <cell r="DS345">
            <v>0</v>
          </cell>
          <cell r="DT345">
            <v>0</v>
          </cell>
          <cell r="DU345">
            <v>0</v>
          </cell>
          <cell r="DV345">
            <v>0</v>
          </cell>
          <cell r="DY345">
            <v>0</v>
          </cell>
        </row>
        <row r="346">
          <cell r="F346">
            <v>42077.5</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Y346">
            <v>0</v>
          </cell>
        </row>
        <row r="347">
          <cell r="F347">
            <v>42168.8125</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Y347">
            <v>0</v>
          </cell>
        </row>
        <row r="348">
          <cell r="F348">
            <v>42260.125</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Y348">
            <v>0</v>
          </cell>
        </row>
        <row r="349">
          <cell r="F349">
            <v>42351.4375</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t="e">
            <v>#DIV/0!</v>
          </cell>
          <cell r="DM349">
            <v>0</v>
          </cell>
          <cell r="DN349">
            <v>0</v>
          </cell>
          <cell r="DO349">
            <v>0</v>
          </cell>
          <cell r="DP349">
            <v>0</v>
          </cell>
          <cell r="DQ349">
            <v>0</v>
          </cell>
          <cell r="DR349">
            <v>0</v>
          </cell>
          <cell r="DS349">
            <v>0</v>
          </cell>
          <cell r="DT349">
            <v>0</v>
          </cell>
          <cell r="DU349">
            <v>0</v>
          </cell>
          <cell r="DV349">
            <v>0</v>
          </cell>
          <cell r="DY349">
            <v>0</v>
          </cell>
        </row>
        <row r="350">
          <cell r="F350">
            <v>42442.75</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Y350">
            <v>0</v>
          </cell>
        </row>
        <row r="351">
          <cell r="F351">
            <v>42534.0625</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Y351">
            <v>0</v>
          </cell>
        </row>
        <row r="352">
          <cell r="F352">
            <v>42625.375</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Y352">
            <v>0</v>
          </cell>
        </row>
        <row r="353">
          <cell r="F353">
            <v>42716.6875</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t="e">
            <v>#DIV/0!</v>
          </cell>
          <cell r="DM353">
            <v>0</v>
          </cell>
          <cell r="DN353">
            <v>0</v>
          </cell>
          <cell r="DO353">
            <v>0</v>
          </cell>
          <cell r="DP353">
            <v>0</v>
          </cell>
          <cell r="DQ353">
            <v>0</v>
          </cell>
          <cell r="DR353">
            <v>0</v>
          </cell>
          <cell r="DS353">
            <v>0</v>
          </cell>
          <cell r="DT353">
            <v>0</v>
          </cell>
          <cell r="DU353">
            <v>0</v>
          </cell>
          <cell r="DV353">
            <v>0</v>
          </cell>
          <cell r="DY353">
            <v>0</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row>
        <row r="355">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row>
        <row r="356">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row>
        <row r="357">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t="e">
            <v>#DIV/0!</v>
          </cell>
          <cell r="DM357">
            <v>0</v>
          </cell>
          <cell r="DN357">
            <v>0</v>
          </cell>
          <cell r="DO357">
            <v>0</v>
          </cell>
          <cell r="DP357">
            <v>0</v>
          </cell>
          <cell r="DQ357">
            <v>0</v>
          </cell>
          <cell r="DR357">
            <v>0</v>
          </cell>
          <cell r="DS357">
            <v>0</v>
          </cell>
          <cell r="DT357">
            <v>0</v>
          </cell>
          <cell r="DU357">
            <v>0</v>
          </cell>
          <cell r="DV357">
            <v>0</v>
          </cell>
        </row>
      </sheetData>
      <sheetData sheetId="13">
        <row r="30">
          <cell r="A30">
            <v>27394.25</v>
          </cell>
          <cell r="J30">
            <v>0</v>
          </cell>
          <cell r="L30">
            <v>27394.25</v>
          </cell>
          <cell r="V30">
            <v>1</v>
          </cell>
          <cell r="X30">
            <v>27394.25</v>
          </cell>
          <cell r="AA30">
            <v>0</v>
          </cell>
          <cell r="AC30">
            <v>0</v>
          </cell>
          <cell r="AE30">
            <v>0</v>
          </cell>
          <cell r="AG30">
            <v>0</v>
          </cell>
          <cell r="AH30">
            <v>0</v>
          </cell>
          <cell r="AI30">
            <v>0</v>
          </cell>
          <cell r="AK30">
            <v>0</v>
          </cell>
          <cell r="AN30">
            <v>0</v>
          </cell>
          <cell r="AP30">
            <v>0</v>
          </cell>
          <cell r="AS30">
            <v>0</v>
          </cell>
          <cell r="AU30">
            <v>0</v>
          </cell>
          <cell r="BB30">
            <v>1</v>
          </cell>
          <cell r="BD30">
            <v>27394.25</v>
          </cell>
          <cell r="BG30">
            <v>0</v>
          </cell>
          <cell r="BH30">
            <v>0.03</v>
          </cell>
          <cell r="BK30">
            <v>0</v>
          </cell>
          <cell r="BN30">
            <v>0</v>
          </cell>
          <cell r="BP30">
            <v>0</v>
          </cell>
          <cell r="BR30">
            <v>0</v>
          </cell>
          <cell r="BS30">
            <v>0.17</v>
          </cell>
          <cell r="BY30">
            <v>0</v>
          </cell>
        </row>
        <row r="31">
          <cell r="A31">
            <v>27759.5</v>
          </cell>
          <cell r="J31">
            <v>0</v>
          </cell>
          <cell r="L31">
            <v>27759.5</v>
          </cell>
          <cell r="V31">
            <v>0</v>
          </cell>
          <cell r="X31">
            <v>27759.5</v>
          </cell>
          <cell r="AA31">
            <v>0</v>
          </cell>
          <cell r="AC31">
            <v>0</v>
          </cell>
          <cell r="AE31">
            <v>0</v>
          </cell>
          <cell r="AG31">
            <v>0</v>
          </cell>
          <cell r="AH31">
            <v>0</v>
          </cell>
          <cell r="AI31">
            <v>0</v>
          </cell>
          <cell r="AK31">
            <v>0</v>
          </cell>
          <cell r="AN31">
            <v>0</v>
          </cell>
          <cell r="AP31">
            <v>0</v>
          </cell>
          <cell r="AS31">
            <v>0</v>
          </cell>
          <cell r="AU31">
            <v>0</v>
          </cell>
          <cell r="BB31">
            <v>0</v>
          </cell>
          <cell r="BD31">
            <v>27759.5</v>
          </cell>
          <cell r="BG31">
            <v>0</v>
          </cell>
          <cell r="BH31">
            <v>0.03</v>
          </cell>
          <cell r="BK31">
            <v>0</v>
          </cell>
          <cell r="BN31">
            <v>0</v>
          </cell>
          <cell r="BP31">
            <v>0</v>
          </cell>
          <cell r="BR31">
            <v>0</v>
          </cell>
          <cell r="BS31">
            <v>0.17</v>
          </cell>
          <cell r="BY31">
            <v>0</v>
          </cell>
        </row>
        <row r="32">
          <cell r="A32">
            <v>28124.75</v>
          </cell>
          <cell r="J32">
            <v>0</v>
          </cell>
          <cell r="L32">
            <v>28124.75</v>
          </cell>
          <cell r="V32">
            <v>0</v>
          </cell>
          <cell r="X32">
            <v>28124.75</v>
          </cell>
          <cell r="AA32">
            <v>0</v>
          </cell>
          <cell r="AC32">
            <v>0</v>
          </cell>
          <cell r="AE32">
            <v>0</v>
          </cell>
          <cell r="AG32">
            <v>0</v>
          </cell>
          <cell r="AH32">
            <v>0</v>
          </cell>
          <cell r="AI32">
            <v>0</v>
          </cell>
          <cell r="AK32">
            <v>0</v>
          </cell>
          <cell r="AN32">
            <v>0</v>
          </cell>
          <cell r="AP32">
            <v>0</v>
          </cell>
          <cell r="AS32">
            <v>0</v>
          </cell>
          <cell r="AU32">
            <v>0</v>
          </cell>
          <cell r="BB32">
            <v>0</v>
          </cell>
          <cell r="BD32">
            <v>28124.75</v>
          </cell>
          <cell r="BG32">
            <v>0</v>
          </cell>
          <cell r="BH32">
            <v>0.03</v>
          </cell>
          <cell r="BK32">
            <v>0</v>
          </cell>
          <cell r="BN32">
            <v>0</v>
          </cell>
          <cell r="BP32">
            <v>0</v>
          </cell>
          <cell r="BR32">
            <v>0</v>
          </cell>
          <cell r="BS32">
            <v>0.17</v>
          </cell>
          <cell r="BY32">
            <v>0</v>
          </cell>
        </row>
        <row r="33">
          <cell r="A33">
            <v>28490</v>
          </cell>
          <cell r="J33">
            <v>0</v>
          </cell>
          <cell r="L33">
            <v>28490</v>
          </cell>
          <cell r="V33">
            <v>0</v>
          </cell>
          <cell r="X33">
            <v>28490</v>
          </cell>
          <cell r="AA33">
            <v>0</v>
          </cell>
          <cell r="AC33">
            <v>0</v>
          </cell>
          <cell r="AE33">
            <v>0</v>
          </cell>
          <cell r="AG33">
            <v>0</v>
          </cell>
          <cell r="AH33">
            <v>0</v>
          </cell>
          <cell r="AI33">
            <v>0</v>
          </cell>
          <cell r="AK33">
            <v>0</v>
          </cell>
          <cell r="AN33">
            <v>0</v>
          </cell>
          <cell r="AP33">
            <v>0</v>
          </cell>
          <cell r="AS33">
            <v>0</v>
          </cell>
          <cell r="AU33">
            <v>0</v>
          </cell>
          <cell r="BB33">
            <v>0</v>
          </cell>
          <cell r="BD33">
            <v>28490</v>
          </cell>
          <cell r="BG33">
            <v>0</v>
          </cell>
          <cell r="BH33">
            <v>0.03</v>
          </cell>
          <cell r="BK33">
            <v>0</v>
          </cell>
          <cell r="BN33">
            <v>0</v>
          </cell>
          <cell r="BP33">
            <v>0</v>
          </cell>
          <cell r="BR33">
            <v>0</v>
          </cell>
          <cell r="BS33">
            <v>0.17</v>
          </cell>
          <cell r="BY33">
            <v>0</v>
          </cell>
        </row>
        <row r="34">
          <cell r="A34">
            <v>28855.25</v>
          </cell>
          <cell r="J34">
            <v>0</v>
          </cell>
          <cell r="L34">
            <v>28855.25</v>
          </cell>
          <cell r="V34">
            <v>0</v>
          </cell>
          <cell r="X34">
            <v>28855.25</v>
          </cell>
          <cell r="AA34">
            <v>0</v>
          </cell>
          <cell r="AC34">
            <v>0</v>
          </cell>
          <cell r="AE34">
            <v>0</v>
          </cell>
          <cell r="AG34">
            <v>0</v>
          </cell>
          <cell r="AH34">
            <v>0</v>
          </cell>
          <cell r="AI34">
            <v>0</v>
          </cell>
          <cell r="AK34">
            <v>0</v>
          </cell>
          <cell r="AN34">
            <v>0</v>
          </cell>
          <cell r="AP34">
            <v>0</v>
          </cell>
          <cell r="AS34">
            <v>0</v>
          </cell>
          <cell r="AU34">
            <v>0</v>
          </cell>
          <cell r="BB34">
            <v>0</v>
          </cell>
          <cell r="BD34">
            <v>28855.25</v>
          </cell>
          <cell r="BG34">
            <v>0</v>
          </cell>
          <cell r="BH34">
            <v>0.03</v>
          </cell>
          <cell r="BK34">
            <v>0</v>
          </cell>
          <cell r="BN34">
            <v>0</v>
          </cell>
          <cell r="BP34">
            <v>0</v>
          </cell>
          <cell r="BR34">
            <v>0</v>
          </cell>
          <cell r="BS34">
            <v>0.17</v>
          </cell>
          <cell r="BY34">
            <v>0</v>
          </cell>
        </row>
        <row r="35">
          <cell r="A35">
            <v>29220.5</v>
          </cell>
          <cell r="J35">
            <v>0</v>
          </cell>
          <cell r="L35">
            <v>29220.5</v>
          </cell>
          <cell r="V35">
            <v>0</v>
          </cell>
          <cell r="X35">
            <v>29220.5</v>
          </cell>
          <cell r="AA35">
            <v>0</v>
          </cell>
          <cell r="AC35">
            <v>0</v>
          </cell>
          <cell r="AE35">
            <v>0</v>
          </cell>
          <cell r="AG35">
            <v>0</v>
          </cell>
          <cell r="AH35">
            <v>0</v>
          </cell>
          <cell r="AI35">
            <v>0</v>
          </cell>
          <cell r="AK35">
            <v>0</v>
          </cell>
          <cell r="AN35">
            <v>0</v>
          </cell>
          <cell r="AP35">
            <v>0</v>
          </cell>
          <cell r="AS35">
            <v>0</v>
          </cell>
          <cell r="AU35">
            <v>0</v>
          </cell>
          <cell r="BB35">
            <v>0</v>
          </cell>
          <cell r="BD35">
            <v>29220.5</v>
          </cell>
          <cell r="BG35">
            <v>0</v>
          </cell>
          <cell r="BH35">
            <v>0.03</v>
          </cell>
          <cell r="BK35">
            <v>0</v>
          </cell>
          <cell r="BN35">
            <v>0</v>
          </cell>
          <cell r="BP35">
            <v>0</v>
          </cell>
          <cell r="BR35">
            <v>0</v>
          </cell>
          <cell r="BS35">
            <v>0.17</v>
          </cell>
          <cell r="BY35">
            <v>0</v>
          </cell>
        </row>
        <row r="36">
          <cell r="A36">
            <v>29585.75</v>
          </cell>
          <cell r="J36">
            <v>0</v>
          </cell>
          <cell r="L36">
            <v>29585.75</v>
          </cell>
          <cell r="V36">
            <v>0</v>
          </cell>
          <cell r="X36">
            <v>29585.75</v>
          </cell>
          <cell r="AA36">
            <v>0</v>
          </cell>
          <cell r="AC36">
            <v>0</v>
          </cell>
          <cell r="AE36">
            <v>0</v>
          </cell>
          <cell r="AG36">
            <v>0</v>
          </cell>
          <cell r="AH36">
            <v>0</v>
          </cell>
          <cell r="AI36">
            <v>0</v>
          </cell>
          <cell r="AK36">
            <v>0</v>
          </cell>
          <cell r="AN36">
            <v>0</v>
          </cell>
          <cell r="AP36">
            <v>0</v>
          </cell>
          <cell r="AS36">
            <v>0</v>
          </cell>
          <cell r="AU36">
            <v>0</v>
          </cell>
          <cell r="BB36">
            <v>0</v>
          </cell>
          <cell r="BD36">
            <v>29585.75</v>
          </cell>
          <cell r="BG36">
            <v>0</v>
          </cell>
          <cell r="BH36">
            <v>0.03</v>
          </cell>
          <cell r="BK36">
            <v>0</v>
          </cell>
          <cell r="BN36">
            <v>0</v>
          </cell>
          <cell r="BP36">
            <v>0</v>
          </cell>
          <cell r="BR36">
            <v>0</v>
          </cell>
          <cell r="BS36">
            <v>0.17</v>
          </cell>
          <cell r="BY36">
            <v>0</v>
          </cell>
        </row>
        <row r="37">
          <cell r="A37">
            <v>29951</v>
          </cell>
          <cell r="J37">
            <v>0</v>
          </cell>
          <cell r="L37">
            <v>29951</v>
          </cell>
          <cell r="V37">
            <v>0</v>
          </cell>
          <cell r="X37">
            <v>29951</v>
          </cell>
          <cell r="AA37">
            <v>0</v>
          </cell>
          <cell r="AC37">
            <v>0</v>
          </cell>
          <cell r="AE37">
            <v>0</v>
          </cell>
          <cell r="AG37">
            <v>0</v>
          </cell>
          <cell r="AH37">
            <v>0</v>
          </cell>
          <cell r="AI37">
            <v>0</v>
          </cell>
          <cell r="AK37">
            <v>0</v>
          </cell>
          <cell r="AN37">
            <v>0</v>
          </cell>
          <cell r="AP37">
            <v>0</v>
          </cell>
          <cell r="AS37">
            <v>0</v>
          </cell>
          <cell r="AU37">
            <v>0</v>
          </cell>
          <cell r="BB37">
            <v>0</v>
          </cell>
          <cell r="BD37">
            <v>29951</v>
          </cell>
          <cell r="BG37">
            <v>0</v>
          </cell>
          <cell r="BH37">
            <v>0.03</v>
          </cell>
          <cell r="BK37">
            <v>0</v>
          </cell>
          <cell r="BN37">
            <v>0</v>
          </cell>
          <cell r="BP37">
            <v>0</v>
          </cell>
          <cell r="BR37">
            <v>0</v>
          </cell>
          <cell r="BS37">
            <v>0.17</v>
          </cell>
          <cell r="BY37">
            <v>0</v>
          </cell>
        </row>
        <row r="38">
          <cell r="A38">
            <v>30316.25</v>
          </cell>
          <cell r="J38">
            <v>0</v>
          </cell>
          <cell r="L38">
            <v>30316.25</v>
          </cell>
          <cell r="V38">
            <v>0</v>
          </cell>
          <cell r="X38">
            <v>30316.25</v>
          </cell>
          <cell r="AA38">
            <v>0</v>
          </cell>
          <cell r="AC38">
            <v>0</v>
          </cell>
          <cell r="AE38">
            <v>0</v>
          </cell>
          <cell r="AG38">
            <v>0</v>
          </cell>
          <cell r="AH38">
            <v>0</v>
          </cell>
          <cell r="AI38">
            <v>0</v>
          </cell>
          <cell r="AK38">
            <v>0</v>
          </cell>
          <cell r="AN38">
            <v>0</v>
          </cell>
          <cell r="AP38">
            <v>0</v>
          </cell>
          <cell r="AS38">
            <v>0</v>
          </cell>
          <cell r="AU38">
            <v>0</v>
          </cell>
          <cell r="BB38">
            <v>0</v>
          </cell>
          <cell r="BD38">
            <v>30316.25</v>
          </cell>
          <cell r="BG38">
            <v>0</v>
          </cell>
          <cell r="BH38">
            <v>0.03</v>
          </cell>
          <cell r="BK38">
            <v>0</v>
          </cell>
          <cell r="BN38">
            <v>0</v>
          </cell>
          <cell r="BP38">
            <v>0</v>
          </cell>
          <cell r="BR38">
            <v>0</v>
          </cell>
          <cell r="BS38">
            <v>0.17</v>
          </cell>
          <cell r="BY38">
            <v>0</v>
          </cell>
        </row>
        <row r="39">
          <cell r="A39">
            <v>30681.5</v>
          </cell>
          <cell r="J39">
            <v>0</v>
          </cell>
          <cell r="L39">
            <v>30681.5</v>
          </cell>
          <cell r="V39">
            <v>0</v>
          </cell>
          <cell r="X39">
            <v>30681.5</v>
          </cell>
          <cell r="AA39">
            <v>0</v>
          </cell>
          <cell r="AC39">
            <v>0</v>
          </cell>
          <cell r="AE39">
            <v>0</v>
          </cell>
          <cell r="AG39">
            <v>0</v>
          </cell>
          <cell r="AH39">
            <v>0</v>
          </cell>
          <cell r="AI39">
            <v>0</v>
          </cell>
          <cell r="AK39">
            <v>0</v>
          </cell>
          <cell r="AN39">
            <v>0</v>
          </cell>
          <cell r="AP39">
            <v>0</v>
          </cell>
          <cell r="AS39">
            <v>0</v>
          </cell>
          <cell r="AU39">
            <v>0</v>
          </cell>
          <cell r="BB39">
            <v>0</v>
          </cell>
          <cell r="BD39">
            <v>30681.5</v>
          </cell>
          <cell r="BG39">
            <v>0</v>
          </cell>
          <cell r="BH39">
            <v>0.03</v>
          </cell>
          <cell r="BK39">
            <v>0</v>
          </cell>
          <cell r="BN39">
            <v>0</v>
          </cell>
          <cell r="BP39">
            <v>0</v>
          </cell>
          <cell r="BR39">
            <v>0</v>
          </cell>
          <cell r="BS39">
            <v>0.17</v>
          </cell>
          <cell r="BY39">
            <v>0</v>
          </cell>
        </row>
        <row r="40">
          <cell r="A40">
            <v>31046.75</v>
          </cell>
          <cell r="J40">
            <v>0</v>
          </cell>
          <cell r="L40">
            <v>31046.75</v>
          </cell>
          <cell r="V40">
            <v>0</v>
          </cell>
          <cell r="X40">
            <v>31046.75</v>
          </cell>
          <cell r="AA40">
            <v>0</v>
          </cell>
          <cell r="AC40">
            <v>0</v>
          </cell>
          <cell r="AE40">
            <v>0</v>
          </cell>
          <cell r="AG40">
            <v>0</v>
          </cell>
          <cell r="AH40">
            <v>0</v>
          </cell>
          <cell r="AI40">
            <v>0</v>
          </cell>
          <cell r="AK40">
            <v>0</v>
          </cell>
          <cell r="AN40">
            <v>0</v>
          </cell>
          <cell r="AP40">
            <v>0</v>
          </cell>
          <cell r="AS40">
            <v>0</v>
          </cell>
          <cell r="AU40">
            <v>0</v>
          </cell>
          <cell r="BB40">
            <v>0</v>
          </cell>
          <cell r="BD40">
            <v>31046.75</v>
          </cell>
          <cell r="BG40">
            <v>0</v>
          </cell>
          <cell r="BH40">
            <v>0.03</v>
          </cell>
          <cell r="BK40">
            <v>0</v>
          </cell>
          <cell r="BN40">
            <v>0</v>
          </cell>
          <cell r="BP40">
            <v>0</v>
          </cell>
          <cell r="BR40">
            <v>0</v>
          </cell>
          <cell r="BS40">
            <v>0.17</v>
          </cell>
          <cell r="BY40">
            <v>0</v>
          </cell>
        </row>
        <row r="41">
          <cell r="A41">
            <v>31412</v>
          </cell>
          <cell r="B41">
            <v>1573046</v>
          </cell>
          <cell r="C41">
            <v>585124</v>
          </cell>
          <cell r="D41">
            <v>814411</v>
          </cell>
          <cell r="E41">
            <v>132724</v>
          </cell>
          <cell r="F41">
            <v>33744</v>
          </cell>
          <cell r="G41">
            <v>7043</v>
          </cell>
          <cell r="J41">
            <v>12</v>
          </cell>
          <cell r="L41">
            <v>31412</v>
          </cell>
          <cell r="M41">
            <v>3045000</v>
          </cell>
          <cell r="N41">
            <v>2148000</v>
          </cell>
          <cell r="O41">
            <v>3236000</v>
          </cell>
          <cell r="P41">
            <v>20400</v>
          </cell>
          <cell r="V41">
            <v>12</v>
          </cell>
          <cell r="X41">
            <v>31412</v>
          </cell>
          <cell r="Y41">
            <v>58.8</v>
          </cell>
          <cell r="Z41">
            <v>11.659929449999998</v>
          </cell>
          <cell r="AA41">
            <v>0.19829811989795917</v>
          </cell>
          <cell r="AB41">
            <v>6.3518400000000002</v>
          </cell>
          <cell r="AC41">
            <v>0.10802448979591837</v>
          </cell>
          <cell r="AD41">
            <v>2.4969999999999999</v>
          </cell>
          <cell r="AE41">
            <v>4.2465986394557821E-2</v>
          </cell>
          <cell r="AF41">
            <v>5.8840000000000003</v>
          </cell>
          <cell r="AG41">
            <v>0.10006802721088437</v>
          </cell>
          <cell r="AH41">
            <v>32.407230549999994</v>
          </cell>
          <cell r="AI41">
            <v>0.55114337670068025</v>
          </cell>
          <cell r="AJ41">
            <v>158.5</v>
          </cell>
          <cell r="AK41">
            <v>-99.7</v>
          </cell>
          <cell r="AL41">
            <v>-48.41</v>
          </cell>
          <cell r="AM41">
            <v>-0.89899999999999913</v>
          </cell>
          <cell r="AN41">
            <v>-49.308999999999997</v>
          </cell>
          <cell r="AO41">
            <v>68.73599999999999</v>
          </cell>
          <cell r="AP41">
            <v>-80.273000000000025</v>
          </cell>
          <cell r="AQ41">
            <v>50.981999999999999</v>
          </cell>
          <cell r="AR41">
            <v>22.798000000000009</v>
          </cell>
          <cell r="AS41">
            <v>73.78</v>
          </cell>
          <cell r="AT41">
            <v>-0.59799999999997633</v>
          </cell>
          <cell r="AU41">
            <v>-7.0909999999999993</v>
          </cell>
          <cell r="AV41">
            <v>100</v>
          </cell>
          <cell r="AW41">
            <v>100</v>
          </cell>
          <cell r="AX41">
            <v>100</v>
          </cell>
          <cell r="AY41">
            <v>37.097791798107252</v>
          </cell>
          <cell r="BB41">
            <v>12</v>
          </cell>
          <cell r="BD41">
            <v>31412</v>
          </cell>
          <cell r="BE41">
            <v>8477.3259999999991</v>
          </cell>
          <cell r="BF41">
            <v>697477.72225959727</v>
          </cell>
          <cell r="BG41">
            <v>1.2154260601379877E-2</v>
          </cell>
          <cell r="BH41">
            <v>0.03</v>
          </cell>
          <cell r="BI41">
            <v>6.4442567567567499E-2</v>
          </cell>
          <cell r="BJ41">
            <v>178014.33799999999</v>
          </cell>
          <cell r="BK41">
            <v>0.25522584065236142</v>
          </cell>
          <cell r="BL41">
            <v>5670</v>
          </cell>
          <cell r="BM41">
            <v>51280</v>
          </cell>
          <cell r="BN41">
            <v>0.11056942277691108</v>
          </cell>
          <cell r="BO41">
            <v>33780</v>
          </cell>
          <cell r="BP41">
            <v>0.65873634945397819</v>
          </cell>
          <cell r="BQ41">
            <v>-94924.000000000015</v>
          </cell>
          <cell r="BR41">
            <v>-0.13609610310201398</v>
          </cell>
          <cell r="BS41">
            <v>0.17</v>
          </cell>
          <cell r="BT41">
            <v>7.7334085360060451E-2</v>
          </cell>
          <cell r="BU41">
            <v>9.9703973016814301E-2</v>
          </cell>
          <cell r="BV41">
            <v>0.1338012627810721</v>
          </cell>
          <cell r="BY41">
            <v>12</v>
          </cell>
        </row>
        <row r="42">
          <cell r="A42">
            <v>31777.25</v>
          </cell>
          <cell r="B42">
            <v>1725497</v>
          </cell>
          <cell r="C42">
            <v>612437</v>
          </cell>
          <cell r="D42">
            <v>928463</v>
          </cell>
          <cell r="E42">
            <v>155781</v>
          </cell>
          <cell r="F42">
            <v>22307</v>
          </cell>
          <cell r="G42">
            <v>6509</v>
          </cell>
          <cell r="J42">
            <v>13</v>
          </cell>
          <cell r="L42">
            <v>31777.25</v>
          </cell>
          <cell r="M42">
            <v>3106000</v>
          </cell>
          <cell r="N42">
            <v>2215000</v>
          </cell>
          <cell r="O42">
            <v>3335000</v>
          </cell>
          <cell r="P42">
            <v>20500</v>
          </cell>
          <cell r="V42">
            <v>13</v>
          </cell>
          <cell r="X42">
            <v>31777.25</v>
          </cell>
          <cell r="Y42">
            <v>51.5</v>
          </cell>
          <cell r="Z42">
            <v>10.625795909999999</v>
          </cell>
          <cell r="AA42">
            <v>0.20632613417475726</v>
          </cell>
          <cell r="AB42">
            <v>5.2186000000000003</v>
          </cell>
          <cell r="AC42">
            <v>0.10133203883495147</v>
          </cell>
          <cell r="AD42">
            <v>0.63</v>
          </cell>
          <cell r="AE42">
            <v>1.2233009708737865E-2</v>
          </cell>
          <cell r="AF42">
            <v>8.0759999999999987</v>
          </cell>
          <cell r="AG42">
            <v>0.15681553398058251</v>
          </cell>
          <cell r="AH42">
            <v>26.949604089999994</v>
          </cell>
          <cell r="AI42">
            <v>0.5232932833009708</v>
          </cell>
          <cell r="AJ42">
            <v>152.80000000000001</v>
          </cell>
          <cell r="AK42">
            <v>-101.30000000000001</v>
          </cell>
          <cell r="AL42">
            <v>-40.652000000000001</v>
          </cell>
          <cell r="AM42">
            <v>0.58899999999999952</v>
          </cell>
          <cell r="AN42">
            <v>-40.063000000000002</v>
          </cell>
          <cell r="AO42">
            <v>82.851299999999995</v>
          </cell>
          <cell r="AP42">
            <v>-58.511700000000005</v>
          </cell>
          <cell r="AQ42">
            <v>54.719700000000003</v>
          </cell>
          <cell r="AR42">
            <v>20.783000000000012</v>
          </cell>
          <cell r="AS42">
            <v>75.502700000000019</v>
          </cell>
          <cell r="AT42">
            <v>-2.938400000000005</v>
          </cell>
          <cell r="AU42">
            <v>14.052600000000009</v>
          </cell>
          <cell r="AV42">
            <v>88.9</v>
          </cell>
          <cell r="AW42">
            <v>87.2</v>
          </cell>
          <cell r="AX42">
            <v>98.087739032620931</v>
          </cell>
          <cell r="AY42">
            <v>33.704188481675388</v>
          </cell>
          <cell r="BB42">
            <v>13</v>
          </cell>
          <cell r="BD42">
            <v>31777.25</v>
          </cell>
          <cell r="BE42">
            <v>-3923.5140000000019</v>
          </cell>
          <cell r="BF42">
            <v>705183.87209671468</v>
          </cell>
          <cell r="BG42">
            <v>-5.5638169777398128E-3</v>
          </cell>
          <cell r="BH42">
            <v>0.03</v>
          </cell>
          <cell r="BI42">
            <v>-2.7057049908751907E-2</v>
          </cell>
          <cell r="BJ42">
            <v>189356.14718999999</v>
          </cell>
          <cell r="BK42">
            <v>0.26852024653795564</v>
          </cell>
          <cell r="BL42">
            <v>5380</v>
          </cell>
          <cell r="BM42">
            <v>60850</v>
          </cell>
          <cell r="BN42">
            <v>8.8414133114215282E-2</v>
          </cell>
          <cell r="BO42">
            <v>37240</v>
          </cell>
          <cell r="BP42">
            <v>0.61199671322925231</v>
          </cell>
          <cell r="BQ42">
            <v>-77833</v>
          </cell>
          <cell r="BR42">
            <v>-0.11037263198969664</v>
          </cell>
          <cell r="BS42">
            <v>0.17</v>
          </cell>
          <cell r="BT42">
            <v>8.4637090154738623E-2</v>
          </cell>
          <cell r="BU42">
            <v>0.12114187998372686</v>
          </cell>
          <cell r="BV42">
            <v>0.16193436140345899</v>
          </cell>
          <cell r="BY42">
            <v>13</v>
          </cell>
        </row>
        <row r="43">
          <cell r="A43">
            <v>32142.5</v>
          </cell>
          <cell r="B43">
            <v>1455560</v>
          </cell>
          <cell r="C43">
            <v>527607</v>
          </cell>
          <cell r="D43">
            <v>689538</v>
          </cell>
          <cell r="E43">
            <v>191699</v>
          </cell>
          <cell r="F43">
            <v>40979</v>
          </cell>
          <cell r="G43">
            <v>5737</v>
          </cell>
          <cell r="J43">
            <v>14</v>
          </cell>
          <cell r="L43">
            <v>32142.5</v>
          </cell>
          <cell r="M43">
            <v>2700000</v>
          </cell>
          <cell r="N43">
            <v>2800000</v>
          </cell>
          <cell r="O43">
            <v>4900000</v>
          </cell>
          <cell r="P43">
            <v>21000</v>
          </cell>
          <cell r="V43">
            <v>14</v>
          </cell>
          <cell r="X43">
            <v>32142.5</v>
          </cell>
          <cell r="Y43">
            <v>69.099999999999994</v>
          </cell>
          <cell r="Z43">
            <v>20.137874999999998</v>
          </cell>
          <cell r="AA43">
            <v>0.29143089725036181</v>
          </cell>
          <cell r="AB43">
            <v>5.4114000000000004</v>
          </cell>
          <cell r="AC43">
            <v>7.8312590448625194E-2</v>
          </cell>
          <cell r="AD43">
            <v>0.55100000000000005</v>
          </cell>
          <cell r="AE43">
            <v>7.9739507959479036E-3</v>
          </cell>
          <cell r="AF43">
            <v>14.494</v>
          </cell>
          <cell r="AG43">
            <v>0.20975397973950796</v>
          </cell>
          <cell r="AH43">
            <v>28.505724999999998</v>
          </cell>
          <cell r="AI43">
            <v>0.41252858176555718</v>
          </cell>
          <cell r="AJ43">
            <v>142.69999999999999</v>
          </cell>
          <cell r="AK43">
            <v>-73.599999999999994</v>
          </cell>
          <cell r="AL43">
            <v>-46.447000000000003</v>
          </cell>
          <cell r="AM43">
            <v>-0.78799999999999937</v>
          </cell>
          <cell r="AN43">
            <v>-47.234999999999999</v>
          </cell>
          <cell r="AO43">
            <v>62.895000000000003</v>
          </cell>
          <cell r="AP43">
            <v>-57.939999999999991</v>
          </cell>
          <cell r="AQ43">
            <v>44.89</v>
          </cell>
          <cell r="AR43">
            <v>26.765000000000001</v>
          </cell>
          <cell r="AS43">
            <v>71.655000000000001</v>
          </cell>
          <cell r="AT43">
            <v>-1.4793000000000021</v>
          </cell>
          <cell r="AU43">
            <v>12.235700000000008</v>
          </cell>
          <cell r="AV43">
            <v>89.5</v>
          </cell>
          <cell r="AW43">
            <v>88.8</v>
          </cell>
          <cell r="AX43">
            <v>99.217877094972067</v>
          </cell>
          <cell r="AY43">
            <v>48.423265592151367</v>
          </cell>
          <cell r="BB43">
            <v>14</v>
          </cell>
          <cell r="BD43">
            <v>32142.5</v>
          </cell>
          <cell r="BE43">
            <v>-2472.5079999999907</v>
          </cell>
          <cell r="BF43">
            <v>712222.06202854996</v>
          </cell>
          <cell r="BG43">
            <v>-3.4715408744258732E-3</v>
          </cell>
          <cell r="BH43">
            <v>0.03</v>
          </cell>
          <cell r="BI43">
            <v>-2.5689120861197234E-2</v>
          </cell>
          <cell r="BJ43">
            <v>206525.4</v>
          </cell>
          <cell r="BK43">
            <v>0.28997332575148627</v>
          </cell>
          <cell r="BL43">
            <v>9878</v>
          </cell>
          <cell r="BM43">
            <v>65100</v>
          </cell>
          <cell r="BN43">
            <v>0.15173579109062979</v>
          </cell>
          <cell r="BO43">
            <v>42200</v>
          </cell>
          <cell r="BP43">
            <v>0.64823348694316441</v>
          </cell>
          <cell r="BQ43">
            <v>-71697.999999999985</v>
          </cell>
          <cell r="BR43">
            <v>-0.10066804136309655</v>
          </cell>
          <cell r="BS43">
            <v>0.17</v>
          </cell>
          <cell r="BT43">
            <v>8.965067155672532E-2</v>
          </cell>
          <cell r="BU43">
            <v>0.12767885867084355</v>
          </cell>
          <cell r="BV43">
            <v>0.1786908982256413</v>
          </cell>
          <cell r="BY43">
            <v>14</v>
          </cell>
        </row>
        <row r="44">
          <cell r="A44">
            <v>32507.75</v>
          </cell>
          <cell r="B44">
            <v>2059908</v>
          </cell>
          <cell r="C44">
            <v>763912</v>
          </cell>
          <cell r="D44">
            <v>970016</v>
          </cell>
          <cell r="E44">
            <v>255762</v>
          </cell>
          <cell r="F44">
            <v>55998</v>
          </cell>
          <cell r="G44">
            <v>14220</v>
          </cell>
          <cell r="J44">
            <v>15</v>
          </cell>
          <cell r="L44">
            <v>32507.75</v>
          </cell>
          <cell r="M44">
            <v>2800000</v>
          </cell>
          <cell r="N44">
            <v>3379600</v>
          </cell>
          <cell r="O44">
            <v>4388800</v>
          </cell>
          <cell r="P44">
            <v>16373</v>
          </cell>
          <cell r="V44">
            <v>15</v>
          </cell>
          <cell r="X44">
            <v>32507.75</v>
          </cell>
          <cell r="Y44">
            <v>71.5</v>
          </cell>
          <cell r="Z44">
            <v>19.010675000000003</v>
          </cell>
          <cell r="AA44">
            <v>0.26588356643356648</v>
          </cell>
          <cell r="AB44">
            <v>7.4679327500000001</v>
          </cell>
          <cell r="AC44">
            <v>0.10444661188811188</v>
          </cell>
          <cell r="AD44">
            <v>0.154</v>
          </cell>
          <cell r="AE44">
            <v>2.1538461538461538E-3</v>
          </cell>
          <cell r="AF44">
            <v>15.082159090909094</v>
          </cell>
          <cell r="AG44">
            <v>0.21093928798474257</v>
          </cell>
          <cell r="AH44">
            <v>29.785233159090893</v>
          </cell>
          <cell r="AI44">
            <v>0.41657668753973276</v>
          </cell>
          <cell r="AJ44">
            <v>142.1</v>
          </cell>
          <cell r="AK44">
            <v>-70.599999999999994</v>
          </cell>
          <cell r="AL44">
            <v>-56.076000000000001</v>
          </cell>
          <cell r="AM44">
            <v>1.891</v>
          </cell>
          <cell r="AN44">
            <v>-54.185000000000002</v>
          </cell>
          <cell r="AO44">
            <v>62.199375500000002</v>
          </cell>
          <cell r="AP44">
            <v>-62.585624499999994</v>
          </cell>
          <cell r="AQ44">
            <v>53.320624500000001</v>
          </cell>
          <cell r="AR44">
            <v>19.634000000000004</v>
          </cell>
          <cell r="AS44">
            <v>72.954624500000008</v>
          </cell>
          <cell r="AT44">
            <v>-4.0709999999999855</v>
          </cell>
          <cell r="AU44">
            <v>6.2980000000000285</v>
          </cell>
          <cell r="AV44">
            <v>92.3</v>
          </cell>
          <cell r="AW44">
            <v>97.2</v>
          </cell>
          <cell r="AX44">
            <v>105.30877573131094</v>
          </cell>
          <cell r="AY44">
            <v>50.316678395496126</v>
          </cell>
          <cell r="BB44">
            <v>15</v>
          </cell>
          <cell r="BD44">
            <v>32507.75</v>
          </cell>
          <cell r="BE44">
            <v>-7761.251000000012</v>
          </cell>
          <cell r="BF44">
            <v>779183.026446281</v>
          </cell>
          <cell r="BG44">
            <v>-9.9607547091955222E-3</v>
          </cell>
          <cell r="BH44">
            <v>0.03</v>
          </cell>
          <cell r="BI44">
            <v>4.2270025947936718E-2</v>
          </cell>
          <cell r="BJ44">
            <v>257270</v>
          </cell>
          <cell r="BK44">
            <v>0.33017916364703676</v>
          </cell>
          <cell r="BL44">
            <v>6840</v>
          </cell>
          <cell r="BM44">
            <v>69710</v>
          </cell>
          <cell r="BN44">
            <v>9.8120786113900446E-2</v>
          </cell>
          <cell r="BO44">
            <v>51290</v>
          </cell>
          <cell r="BP44">
            <v>0.73576244441256633</v>
          </cell>
          <cell r="BQ44">
            <v>-78770.000000000015</v>
          </cell>
          <cell r="BR44">
            <v>-0.10109306456437631</v>
          </cell>
          <cell r="BS44">
            <v>0.17</v>
          </cell>
          <cell r="BT44">
            <v>8.7980196184118051E-2</v>
          </cell>
          <cell r="BU44">
            <v>0.13602786046739854</v>
          </cell>
          <cell r="BV44">
            <v>0.19412127172463248</v>
          </cell>
          <cell r="BY44">
            <v>15</v>
          </cell>
        </row>
        <row r="45">
          <cell r="A45">
            <v>32873</v>
          </cell>
          <cell r="B45">
            <v>1953042</v>
          </cell>
          <cell r="C45">
            <v>649297</v>
          </cell>
          <cell r="D45">
            <v>991188</v>
          </cell>
          <cell r="E45">
            <v>256916</v>
          </cell>
          <cell r="F45">
            <v>41841</v>
          </cell>
          <cell r="G45">
            <v>13800</v>
          </cell>
          <cell r="J45">
            <v>16</v>
          </cell>
          <cell r="L45">
            <v>32873</v>
          </cell>
          <cell r="M45">
            <v>3200000</v>
          </cell>
          <cell r="N45">
            <v>4420975</v>
          </cell>
          <cell r="O45">
            <v>5484300</v>
          </cell>
          <cell r="P45">
            <v>16700</v>
          </cell>
          <cell r="V45">
            <v>16</v>
          </cell>
          <cell r="X45">
            <v>32873</v>
          </cell>
          <cell r="Y45">
            <v>58.875999999999998</v>
          </cell>
          <cell r="Z45">
            <v>14.355847840000001</v>
          </cell>
          <cell r="AA45">
            <v>0.24383191521163125</v>
          </cell>
          <cell r="AB45">
            <v>6.2024999999999997</v>
          </cell>
          <cell r="AC45">
            <v>0.10534852911203206</v>
          </cell>
          <cell r="AD45">
            <v>0.22400000000000003</v>
          </cell>
          <cell r="AE45">
            <v>3.8046062911882609E-3</v>
          </cell>
          <cell r="AF45">
            <v>11.382999999999997</v>
          </cell>
          <cell r="AG45">
            <v>0.19333854202051767</v>
          </cell>
          <cell r="AH45">
            <v>26.710652160000002</v>
          </cell>
          <cell r="AI45">
            <v>0.45367640736463083</v>
          </cell>
          <cell r="AJ45">
            <v>140.9</v>
          </cell>
          <cell r="AK45">
            <v>-82.024000000000001</v>
          </cell>
          <cell r="AL45">
            <v>-42.862000000000009</v>
          </cell>
          <cell r="AM45">
            <v>1.4560000000000004</v>
          </cell>
          <cell r="AN45">
            <v>-41.406000000000006</v>
          </cell>
          <cell r="AO45">
            <v>56.325406724137935</v>
          </cell>
          <cell r="AP45">
            <v>-67.104593275862072</v>
          </cell>
          <cell r="AQ45">
            <v>162.42259327586211</v>
          </cell>
          <cell r="AR45">
            <v>-61.94650189655173</v>
          </cell>
          <cell r="AS45">
            <v>100.47609137931039</v>
          </cell>
          <cell r="AT45">
            <v>-63.412125689655234</v>
          </cell>
          <cell r="AU45">
            <v>-30.040627586206917</v>
          </cell>
          <cell r="AV45">
            <v>98.9</v>
          </cell>
          <cell r="AW45">
            <v>99.1</v>
          </cell>
          <cell r="AX45">
            <v>100.20222446916077</v>
          </cell>
          <cell r="AY45">
            <v>41.78566359119943</v>
          </cell>
          <cell r="BB45">
            <v>16</v>
          </cell>
          <cell r="BD45">
            <v>32873</v>
          </cell>
          <cell r="BE45">
            <v>-12232.296999999991</v>
          </cell>
          <cell r="BF45">
            <v>834394.18181818188</v>
          </cell>
          <cell r="BG45">
            <v>-1.4660093834002142E-2</v>
          </cell>
          <cell r="BH45">
            <v>0.03</v>
          </cell>
          <cell r="BI45">
            <v>-4.8185030517186034E-3</v>
          </cell>
          <cell r="BJ45">
            <v>267714</v>
          </cell>
          <cell r="BK45">
            <v>0.32084835421148233</v>
          </cell>
          <cell r="BL45">
            <v>9520</v>
          </cell>
          <cell r="BM45">
            <v>66876</v>
          </cell>
          <cell r="BN45">
            <v>0.14235301154375263</v>
          </cell>
          <cell r="BO45">
            <v>55030</v>
          </cell>
          <cell r="BP45">
            <v>0.82286620013158684</v>
          </cell>
          <cell r="BQ45">
            <v>-80608</v>
          </cell>
          <cell r="BR45">
            <v>-9.6606618018778123E-2</v>
          </cell>
          <cell r="BS45">
            <v>0.17</v>
          </cell>
          <cell r="BT45">
            <v>7.8854988154706568E-2</v>
          </cell>
          <cell r="BU45">
            <v>0.12616710697886849</v>
          </cell>
          <cell r="BV45">
            <v>0.18476291345185006</v>
          </cell>
          <cell r="BY45">
            <v>16</v>
          </cell>
        </row>
        <row r="46">
          <cell r="A46">
            <v>33238.25</v>
          </cell>
          <cell r="B46">
            <v>1517900</v>
          </cell>
          <cell r="C46">
            <v>449000</v>
          </cell>
          <cell r="D46">
            <v>750500</v>
          </cell>
          <cell r="E46">
            <v>257900</v>
          </cell>
          <cell r="F46">
            <v>47800</v>
          </cell>
          <cell r="G46">
            <v>12700</v>
          </cell>
          <cell r="J46">
            <v>17</v>
          </cell>
          <cell r="L46">
            <v>33238.25</v>
          </cell>
          <cell r="M46">
            <v>3937200</v>
          </cell>
          <cell r="N46">
            <v>5047000</v>
          </cell>
          <cell r="O46">
            <v>6561100</v>
          </cell>
          <cell r="P46">
            <v>17010.5</v>
          </cell>
          <cell r="V46">
            <v>17</v>
          </cell>
          <cell r="X46">
            <v>33238.25</v>
          </cell>
          <cell r="Y46">
            <v>76.37299999999999</v>
          </cell>
          <cell r="Z46">
            <v>23.414749819999994</v>
          </cell>
          <cell r="AA46">
            <v>0.30658413077920205</v>
          </cell>
          <cell r="AB46">
            <v>9.5426800000000007</v>
          </cell>
          <cell r="AC46">
            <v>0.12494834561952525</v>
          </cell>
          <cell r="AD46">
            <v>0.63</v>
          </cell>
          <cell r="AE46">
            <v>8.2489885168842408E-3</v>
          </cell>
          <cell r="AF46">
            <v>16.037999999999997</v>
          </cell>
          <cell r="AG46">
            <v>0.20999567910125305</v>
          </cell>
          <cell r="AH46">
            <v>26.74757017999999</v>
          </cell>
          <cell r="AI46">
            <v>0.35022285598313529</v>
          </cell>
          <cell r="AJ46">
            <v>147.69999999999999</v>
          </cell>
          <cell r="AK46">
            <v>-71.326999999999998</v>
          </cell>
          <cell r="AL46">
            <v>-39.935999999999993</v>
          </cell>
          <cell r="AM46">
            <v>-9.4000000000000306E-2</v>
          </cell>
          <cell r="AN46">
            <v>-40.029999999999994</v>
          </cell>
          <cell r="AO46">
            <v>41.508816806481946</v>
          </cell>
          <cell r="AP46">
            <v>-69.848183193518054</v>
          </cell>
          <cell r="AQ46">
            <v>48.952183193518053</v>
          </cell>
          <cell r="AR46">
            <v>9.1340207151881962</v>
          </cell>
          <cell r="AS46">
            <v>58.086203908706253</v>
          </cell>
          <cell r="AT46">
            <v>-1.413376543354979</v>
          </cell>
          <cell r="AU46">
            <v>-13.175355828166779</v>
          </cell>
          <cell r="AV46">
            <v>95.6</v>
          </cell>
          <cell r="AW46">
            <v>101.3</v>
          </cell>
          <cell r="AX46">
            <v>105.96234309623431</v>
          </cell>
          <cell r="AY46">
            <v>51.708192281651996</v>
          </cell>
          <cell r="BB46">
            <v>17</v>
          </cell>
          <cell r="BD46">
            <v>33238.25</v>
          </cell>
          <cell r="BE46">
            <v>-4086.5340000000037</v>
          </cell>
          <cell r="BF46">
            <v>844375</v>
          </cell>
          <cell r="BG46">
            <v>-4.8397145817912698E-3</v>
          </cell>
          <cell r="BH46">
            <v>0.03</v>
          </cell>
          <cell r="BI46">
            <v>-8.3118140735958246E-3</v>
          </cell>
          <cell r="BJ46">
            <v>223824</v>
          </cell>
          <cell r="BK46">
            <v>0.26507653589933383</v>
          </cell>
          <cell r="BL46">
            <v>7160</v>
          </cell>
          <cell r="BM46">
            <v>76422</v>
          </cell>
          <cell r="BN46">
            <v>9.3690298605113714E-2</v>
          </cell>
          <cell r="BO46">
            <v>57459</v>
          </cell>
          <cell r="BP46">
            <v>0.75186464630603755</v>
          </cell>
          <cell r="BQ46">
            <v>-84422</v>
          </cell>
          <cell r="BR46">
            <v>-9.9981643227239084E-2</v>
          </cell>
          <cell r="BS46">
            <v>0.17</v>
          </cell>
          <cell r="BT46">
            <v>8.9884729078315073E-2</v>
          </cell>
          <cell r="BU46">
            <v>0.12127159141376757</v>
          </cell>
          <cell r="BV46">
            <v>0.18295330866025167</v>
          </cell>
          <cell r="BY46">
            <v>17</v>
          </cell>
        </row>
        <row r="47">
          <cell r="A47">
            <v>33603.5</v>
          </cell>
          <cell r="B47">
            <v>2454900</v>
          </cell>
          <cell r="C47">
            <v>848500</v>
          </cell>
          <cell r="D47">
            <v>1238300</v>
          </cell>
          <cell r="E47">
            <v>315100</v>
          </cell>
          <cell r="F47">
            <v>38600</v>
          </cell>
          <cell r="G47">
            <v>14400</v>
          </cell>
          <cell r="J47">
            <v>18</v>
          </cell>
          <cell r="L47">
            <v>33603.5</v>
          </cell>
          <cell r="M47">
            <v>4015600</v>
          </cell>
          <cell r="N47">
            <v>5198400</v>
          </cell>
          <cell r="O47">
            <v>6692600</v>
          </cell>
          <cell r="P47">
            <v>17351.099999999999</v>
          </cell>
          <cell r="V47">
            <v>18</v>
          </cell>
          <cell r="X47">
            <v>33603.5</v>
          </cell>
          <cell r="Y47">
            <v>75.900000000000006</v>
          </cell>
          <cell r="Z47">
            <v>29.2979512</v>
          </cell>
          <cell r="AA47">
            <v>0.38600726218708825</v>
          </cell>
          <cell r="AB47">
            <v>8.2081999999999997</v>
          </cell>
          <cell r="AC47">
            <v>0.10814492753623187</v>
          </cell>
          <cell r="AD47">
            <v>0.16900000000000001</v>
          </cell>
          <cell r="AE47">
            <v>2.2266139657444004E-3</v>
          </cell>
          <cell r="AF47">
            <v>11.018000000000001</v>
          </cell>
          <cell r="AG47">
            <v>0.14516469038208168</v>
          </cell>
          <cell r="AH47">
            <v>27.20684880000001</v>
          </cell>
          <cell r="AI47">
            <v>0.35845650592885386</v>
          </cell>
          <cell r="AJ47">
            <v>138.4</v>
          </cell>
          <cell r="AK47">
            <v>-62.5</v>
          </cell>
          <cell r="AL47">
            <v>-52.078999999999994</v>
          </cell>
          <cell r="AM47">
            <v>-0.79799999999999915</v>
          </cell>
          <cell r="AN47">
            <v>-52.876999999999995</v>
          </cell>
          <cell r="AO47">
            <v>44.327958505641419</v>
          </cell>
          <cell r="AP47">
            <v>-71.049041494358576</v>
          </cell>
          <cell r="AQ47">
            <v>44.656041494358583</v>
          </cell>
          <cell r="AR47">
            <v>24.66</v>
          </cell>
          <cell r="AS47">
            <v>69.316041494358586</v>
          </cell>
          <cell r="AT47">
            <v>-17.961703215217486</v>
          </cell>
          <cell r="AU47">
            <v>-19.694703215217476</v>
          </cell>
          <cell r="AV47">
            <v>97.4</v>
          </cell>
          <cell r="AW47">
            <v>101.2</v>
          </cell>
          <cell r="AX47">
            <v>103.90143737166323</v>
          </cell>
          <cell r="AY47">
            <v>54.841040462427749</v>
          </cell>
          <cell r="BB47">
            <v>18</v>
          </cell>
          <cell r="BD47">
            <v>33603.5</v>
          </cell>
          <cell r="BE47">
            <v>4818.998999999998</v>
          </cell>
          <cell r="BF47">
            <v>884418</v>
          </cell>
          <cell r="BG47">
            <v>5.4487798755791924E-3</v>
          </cell>
          <cell r="BH47">
            <v>0.03</v>
          </cell>
          <cell r="BI47">
            <v>3.181707217837082E-2</v>
          </cell>
          <cell r="BJ47">
            <v>344657</v>
          </cell>
          <cell r="BK47">
            <v>0.38969921462475887</v>
          </cell>
          <cell r="BL47">
            <v>5198</v>
          </cell>
          <cell r="BM47">
            <v>79523</v>
          </cell>
          <cell r="BN47">
            <v>6.5364737245828253E-2</v>
          </cell>
          <cell r="BO47">
            <v>54100</v>
          </cell>
          <cell r="BP47">
            <v>0.68030632647158684</v>
          </cell>
          <cell r="BQ47">
            <v>-89643.999999999985</v>
          </cell>
          <cell r="BR47">
            <v>-0.10135931199952962</v>
          </cell>
          <cell r="BS47">
            <v>0.17</v>
          </cell>
          <cell r="BT47">
            <v>8.7880353045364915E-2</v>
          </cell>
          <cell r="BU47">
            <v>0.12768521219604306</v>
          </cell>
          <cell r="BV47">
            <v>0.18880212750079714</v>
          </cell>
          <cell r="BY47">
            <v>18</v>
          </cell>
        </row>
        <row r="48">
          <cell r="A48">
            <v>33968.75</v>
          </cell>
          <cell r="B48">
            <v>2478600</v>
          </cell>
          <cell r="C48">
            <v>783500</v>
          </cell>
          <cell r="D48">
            <v>1292100</v>
          </cell>
          <cell r="E48">
            <v>342700</v>
          </cell>
          <cell r="F48">
            <v>46700</v>
          </cell>
          <cell r="G48">
            <v>13600</v>
          </cell>
          <cell r="J48">
            <v>19</v>
          </cell>
          <cell r="L48">
            <v>33968.75</v>
          </cell>
          <cell r="M48">
            <v>4095900</v>
          </cell>
          <cell r="N48">
            <v>5354200</v>
          </cell>
          <cell r="O48">
            <v>6859900</v>
          </cell>
          <cell r="P48">
            <v>17784.900000000001</v>
          </cell>
          <cell r="V48">
            <v>19</v>
          </cell>
          <cell r="X48">
            <v>33968.75</v>
          </cell>
          <cell r="Y48">
            <v>62.8</v>
          </cell>
          <cell r="Z48">
            <v>24.965790000000002</v>
          </cell>
          <cell r="AA48">
            <v>0.39754442675159241</v>
          </cell>
          <cell r="AB48">
            <v>8.6957500000000003</v>
          </cell>
          <cell r="AC48">
            <v>0.13846735668789811</v>
          </cell>
          <cell r="AD48">
            <v>0.5</v>
          </cell>
          <cell r="AE48">
            <v>7.9617834394904458E-3</v>
          </cell>
          <cell r="AF48">
            <v>8.4</v>
          </cell>
          <cell r="AG48">
            <v>0.13375796178343949</v>
          </cell>
          <cell r="AH48">
            <v>20.238459999999996</v>
          </cell>
          <cell r="AI48">
            <v>0.32226847133757958</v>
          </cell>
          <cell r="AJ48">
            <v>121.467</v>
          </cell>
          <cell r="AK48">
            <v>-58.667000000000002</v>
          </cell>
          <cell r="AL48">
            <v>-37.909999999999997</v>
          </cell>
          <cell r="AM48">
            <v>1.0960000000000008</v>
          </cell>
          <cell r="AN48">
            <v>-36.813999999999993</v>
          </cell>
          <cell r="AO48">
            <v>46.928783154887853</v>
          </cell>
          <cell r="AP48">
            <v>-48.552216845112142</v>
          </cell>
          <cell r="AQ48">
            <v>42.9345</v>
          </cell>
          <cell r="AR48">
            <v>19.411999999999999</v>
          </cell>
          <cell r="AS48">
            <v>62.346499999999999</v>
          </cell>
          <cell r="AT48">
            <v>1.2284168451121467</v>
          </cell>
          <cell r="AU48">
            <v>15.022700000000004</v>
          </cell>
          <cell r="AV48">
            <v>97.985872803882259</v>
          </cell>
          <cell r="AW48">
            <v>97.711883687822919</v>
          </cell>
          <cell r="AX48">
            <v>99.720378960538795</v>
          </cell>
          <cell r="AY48">
            <v>51.701285122708221</v>
          </cell>
          <cell r="BB48">
            <v>19</v>
          </cell>
          <cell r="BD48">
            <v>33968.75</v>
          </cell>
          <cell r="BE48">
            <v>-12467.4</v>
          </cell>
          <cell r="BF48">
            <v>888489</v>
          </cell>
          <cell r="BG48">
            <v>-1.4032137707951364E-2</v>
          </cell>
          <cell r="BH48">
            <v>0.03</v>
          </cell>
          <cell r="BI48">
            <v>-1.8927444794952564E-2</v>
          </cell>
          <cell r="BJ48">
            <v>351043</v>
          </cell>
          <cell r="BK48">
            <v>0.39510112111686246</v>
          </cell>
          <cell r="BL48">
            <v>11800</v>
          </cell>
          <cell r="BM48">
            <v>68900.399999999994</v>
          </cell>
          <cell r="BN48">
            <v>0.17126170530214629</v>
          </cell>
          <cell r="BO48">
            <v>50900</v>
          </cell>
          <cell r="BP48">
            <v>0.73874752541349553</v>
          </cell>
          <cell r="BQ48">
            <v>-67817</v>
          </cell>
          <cell r="BR48">
            <v>-7.6328463267412425E-2</v>
          </cell>
          <cell r="BS48">
            <v>0.17</v>
          </cell>
          <cell r="BT48">
            <v>7.5024157080554113E-2</v>
          </cell>
          <cell r="BU48">
            <v>0.12731919022070054</v>
          </cell>
          <cell r="BV48">
            <v>0.19906661759459038</v>
          </cell>
          <cell r="BY48">
            <v>19</v>
          </cell>
        </row>
        <row r="49">
          <cell r="A49">
            <v>34334</v>
          </cell>
          <cell r="B49">
            <v>2527359</v>
          </cell>
          <cell r="C49">
            <v>899198</v>
          </cell>
          <cell r="D49">
            <v>1281072</v>
          </cell>
          <cell r="E49">
            <v>270723</v>
          </cell>
          <cell r="F49">
            <v>53812</v>
          </cell>
          <cell r="G49">
            <v>22554</v>
          </cell>
          <cell r="J49">
            <v>20</v>
          </cell>
          <cell r="L49">
            <v>34334</v>
          </cell>
          <cell r="M49">
            <v>4177500</v>
          </cell>
          <cell r="N49">
            <v>5514900</v>
          </cell>
          <cell r="O49">
            <v>7031300</v>
          </cell>
          <cell r="P49">
            <v>18229.400000000001</v>
          </cell>
          <cell r="V49">
            <v>20</v>
          </cell>
          <cell r="X49">
            <v>34334</v>
          </cell>
          <cell r="Y49">
            <v>64.03</v>
          </cell>
          <cell r="Z49">
            <v>22.201012000000002</v>
          </cell>
          <cell r="AA49">
            <v>0.34672828361705454</v>
          </cell>
          <cell r="AB49">
            <v>10.3</v>
          </cell>
          <cell r="AC49">
            <v>0.16086209589255038</v>
          </cell>
          <cell r="AD49">
            <v>0.101075</v>
          </cell>
          <cell r="AE49">
            <v>1.5785569264407308E-3</v>
          </cell>
          <cell r="AF49">
            <v>7.6</v>
          </cell>
          <cell r="AG49">
            <v>0.11869436201780414</v>
          </cell>
          <cell r="AH49">
            <v>23.827912999999995</v>
          </cell>
          <cell r="AI49">
            <v>0.37213670154615014</v>
          </cell>
          <cell r="AJ49">
            <v>132.79793901502165</v>
          </cell>
          <cell r="AK49">
            <v>-68.767939015021653</v>
          </cell>
          <cell r="AL49">
            <v>-40.887060000000005</v>
          </cell>
          <cell r="AM49">
            <v>0.98</v>
          </cell>
          <cell r="AN49">
            <v>-39.907060000000008</v>
          </cell>
          <cell r="AO49">
            <v>54.903200000000012</v>
          </cell>
          <cell r="AP49">
            <v>-53.771799015021642</v>
          </cell>
          <cell r="AQ49">
            <v>36.638602200000001</v>
          </cell>
          <cell r="AR49">
            <v>25.999079999999999</v>
          </cell>
          <cell r="AS49">
            <v>62.6376822</v>
          </cell>
          <cell r="AT49">
            <v>-1.0083831849783529</v>
          </cell>
          <cell r="AU49">
            <v>7.8575000000000053</v>
          </cell>
          <cell r="AV49">
            <v>99.567688468169948</v>
          </cell>
          <cell r="AW49">
            <v>93.908097829588655</v>
          </cell>
          <cell r="AX49">
            <v>94.315836065240617</v>
          </cell>
          <cell r="AY49">
            <v>48.216109734020151</v>
          </cell>
          <cell r="BB49">
            <v>20</v>
          </cell>
          <cell r="BD49">
            <v>34334</v>
          </cell>
          <cell r="BE49">
            <v>-29059.749</v>
          </cell>
          <cell r="BF49">
            <v>905989</v>
          </cell>
          <cell r="BG49">
            <v>-3.207516757929732E-2</v>
          </cell>
          <cell r="BH49">
            <v>0.03</v>
          </cell>
          <cell r="BI49">
            <v>-1.9407819879547761E-3</v>
          </cell>
          <cell r="BJ49">
            <v>386689</v>
          </cell>
          <cell r="BK49">
            <v>0.42681423284388664</v>
          </cell>
          <cell r="BL49">
            <v>8800</v>
          </cell>
          <cell r="BM49">
            <v>72579.551000000007</v>
          </cell>
          <cell r="BN49">
            <v>0.12124627224547034</v>
          </cell>
          <cell r="BO49">
            <v>52240</v>
          </cell>
          <cell r="BP49">
            <v>0.71976196160265571</v>
          </cell>
          <cell r="BQ49">
            <v>-81796.199015021644</v>
          </cell>
          <cell r="BR49">
            <v>-9.0283876531637414E-2</v>
          </cell>
          <cell r="BS49">
            <v>0.17</v>
          </cell>
          <cell r="BT49">
            <v>7.8875592980714726E-2</v>
          </cell>
          <cell r="BU49">
            <v>0.13898292363373066</v>
          </cell>
          <cell r="BV49">
            <v>0.25227756628391734</v>
          </cell>
          <cell r="BY49">
            <v>20</v>
          </cell>
        </row>
        <row r="50">
          <cell r="A50">
            <v>34699.25</v>
          </cell>
          <cell r="B50">
            <v>2491560</v>
          </cell>
          <cell r="C50">
            <v>831423</v>
          </cell>
          <cell r="D50">
            <v>1232433</v>
          </cell>
          <cell r="E50">
            <v>350314</v>
          </cell>
          <cell r="F50">
            <v>61010</v>
          </cell>
          <cell r="G50">
            <v>16380</v>
          </cell>
          <cell r="J50">
            <v>21</v>
          </cell>
          <cell r="L50">
            <v>34699.25</v>
          </cell>
          <cell r="M50">
            <v>4260900</v>
          </cell>
          <cell r="N50">
            <v>5680600</v>
          </cell>
          <cell r="O50">
            <v>7242100</v>
          </cell>
          <cell r="P50">
            <v>18776.400000000001</v>
          </cell>
          <cell r="V50">
            <v>21</v>
          </cell>
          <cell r="X50">
            <v>34699.25</v>
          </cell>
          <cell r="Y50">
            <v>119.69</v>
          </cell>
          <cell r="Z50">
            <v>32.825901028589932</v>
          </cell>
          <cell r="AA50">
            <v>0.2742576742300103</v>
          </cell>
          <cell r="AB50">
            <v>33.1</v>
          </cell>
          <cell r="AC50">
            <v>0.27654774834990392</v>
          </cell>
          <cell r="AD50">
            <v>1.7</v>
          </cell>
          <cell r="AE50">
            <v>1.4203358676581167E-2</v>
          </cell>
          <cell r="AF50">
            <v>12.215</v>
          </cell>
          <cell r="AG50">
            <v>0.10205530954966999</v>
          </cell>
          <cell r="AH50">
            <v>39.849098971410072</v>
          </cell>
          <cell r="AI50">
            <v>0.3329359091938347</v>
          </cell>
          <cell r="AJ50">
            <v>191.2</v>
          </cell>
          <cell r="AK50">
            <v>-71.509999999999991</v>
          </cell>
          <cell r="AL50">
            <v>-51.428500000000014</v>
          </cell>
          <cell r="AM50">
            <v>-5.9715000000000007</v>
          </cell>
          <cell r="AN50">
            <v>-57.400000000000013</v>
          </cell>
          <cell r="AO50">
            <v>89.375394999999997</v>
          </cell>
          <cell r="AP50">
            <v>-39.534604999999999</v>
          </cell>
          <cell r="AQ50">
            <v>52.180605</v>
          </cell>
          <cell r="AR50">
            <v>54.003979999999991</v>
          </cell>
          <cell r="AS50">
            <v>106.184585</v>
          </cell>
          <cell r="AT50">
            <v>-4.3799459999999968</v>
          </cell>
          <cell r="AU50">
            <v>62.270034000000003</v>
          </cell>
          <cell r="AV50">
            <v>163.75249372917293</v>
          </cell>
          <cell r="AW50">
            <v>123.04672339559207</v>
          </cell>
          <cell r="AX50">
            <v>75.141892861245012</v>
          </cell>
          <cell r="AY50">
            <v>62.599372384937247</v>
          </cell>
          <cell r="BB50">
            <v>21</v>
          </cell>
          <cell r="BD50">
            <v>34699.25</v>
          </cell>
          <cell r="BE50">
            <v>-32376.124946255062</v>
          </cell>
          <cell r="BF50">
            <v>1052274.2344683902</v>
          </cell>
          <cell r="BG50">
            <v>-1.95653680272431E-2</v>
          </cell>
          <cell r="BH50">
            <v>0.03</v>
          </cell>
          <cell r="BI50">
            <v>0.24668668186899323</v>
          </cell>
          <cell r="BJ50">
            <v>750615</v>
          </cell>
          <cell r="BK50">
            <v>0.885101712586435</v>
          </cell>
          <cell r="BL50">
            <v>9194.2090000000007</v>
          </cell>
          <cell r="BM50">
            <v>104400.52200000001</v>
          </cell>
          <cell r="BN50">
            <v>8.806669568184726E-2</v>
          </cell>
          <cell r="BO50">
            <v>58248.781999999999</v>
          </cell>
          <cell r="BP50">
            <v>0.55854126679462601</v>
          </cell>
          <cell r="BQ50">
            <v>-94324</v>
          </cell>
          <cell r="BR50">
            <v>-8.9638230140313718E-2</v>
          </cell>
          <cell r="BS50">
            <v>0.17</v>
          </cell>
          <cell r="BT50">
            <v>8.8255902529815203E-2</v>
          </cell>
          <cell r="BU50">
            <v>0.16654831436459025</v>
          </cell>
          <cell r="BV50">
            <v>0.2381922808616761</v>
          </cell>
          <cell r="BY50">
            <v>21</v>
          </cell>
        </row>
        <row r="51">
          <cell r="A51">
            <v>35064.5</v>
          </cell>
          <cell r="B51">
            <v>2307989</v>
          </cell>
          <cell r="C51">
            <v>733704</v>
          </cell>
          <cell r="D51">
            <v>1266156</v>
          </cell>
          <cell r="E51">
            <v>212493</v>
          </cell>
          <cell r="F51">
            <v>84026</v>
          </cell>
          <cell r="G51">
            <v>11610</v>
          </cell>
          <cell r="J51">
            <v>22</v>
          </cell>
          <cell r="L51">
            <v>35064.5</v>
          </cell>
          <cell r="M51">
            <v>4345900</v>
          </cell>
          <cell r="N51">
            <v>5850900</v>
          </cell>
          <cell r="O51">
            <v>7459400</v>
          </cell>
          <cell r="P51">
            <v>19339.8</v>
          </cell>
          <cell r="V51">
            <v>22</v>
          </cell>
          <cell r="X51">
            <v>35064.5</v>
          </cell>
          <cell r="Y51">
            <v>137.56400000000002</v>
          </cell>
          <cell r="Z51">
            <v>47.914000000000009</v>
          </cell>
          <cell r="AA51">
            <v>0.34830333517490042</v>
          </cell>
          <cell r="AB51">
            <v>35.5</v>
          </cell>
          <cell r="AC51">
            <v>0.25806170218952629</v>
          </cell>
          <cell r="AD51">
            <v>3.4944000000000002</v>
          </cell>
          <cell r="AE51">
            <v>2.5401994707917767E-2</v>
          </cell>
          <cell r="AF51">
            <v>11.7</v>
          </cell>
          <cell r="AG51">
            <v>8.5051321566688945E-2</v>
          </cell>
          <cell r="AH51">
            <v>38.955600000000004</v>
          </cell>
          <cell r="AI51">
            <v>0.28318164636096654</v>
          </cell>
          <cell r="AJ51">
            <v>242.30099999999999</v>
          </cell>
          <cell r="AK51">
            <v>-104.73699999999997</v>
          </cell>
          <cell r="AL51">
            <v>-45.550999999999995</v>
          </cell>
          <cell r="AM51">
            <v>-9.14</v>
          </cell>
          <cell r="AN51">
            <v>-54.690999999999995</v>
          </cell>
          <cell r="AO51">
            <v>112.535</v>
          </cell>
          <cell r="AP51">
            <v>-46.892999999999972</v>
          </cell>
          <cell r="AQ51">
            <v>51.166463</v>
          </cell>
          <cell r="AR51">
            <v>55.387000000000015</v>
          </cell>
          <cell r="AS51">
            <v>106.55346300000002</v>
          </cell>
          <cell r="AT51">
            <v>12.89563699999993</v>
          </cell>
          <cell r="AU51">
            <v>72.556099999999986</v>
          </cell>
          <cell r="AV51">
            <v>175.20684894520107</v>
          </cell>
          <cell r="AW51">
            <v>138.53196214016091</v>
          </cell>
          <cell r="AX51">
            <v>79.067663721005076</v>
          </cell>
          <cell r="AY51">
            <v>56.774012488598899</v>
          </cell>
          <cell r="BB51">
            <v>22</v>
          </cell>
          <cell r="BD51">
            <v>35064.5</v>
          </cell>
          <cell r="BE51">
            <v>-6514.4290000000119</v>
          </cell>
          <cell r="BF51">
            <v>1187732.6687920026</v>
          </cell>
          <cell r="BG51">
            <v>-4.3521269546577101E-3</v>
          </cell>
          <cell r="BH51">
            <v>0.03</v>
          </cell>
          <cell r="BI51">
            <v>7.7556772797978457E-2</v>
          </cell>
          <cell r="BJ51">
            <v>699526</v>
          </cell>
          <cell r="BK51">
            <v>0.73977882493555602</v>
          </cell>
          <cell r="BL51">
            <v>10491.728000000001</v>
          </cell>
          <cell r="BM51">
            <v>127973.11599999999</v>
          </cell>
          <cell r="BN51">
            <v>8.1983844169270695E-2</v>
          </cell>
          <cell r="BO51">
            <v>61626.531999999999</v>
          </cell>
          <cell r="BP51">
            <v>0.48143806174286802</v>
          </cell>
          <cell r="BQ51">
            <v>-119015</v>
          </cell>
          <cell r="BR51">
            <v>-0.10020352485635138</v>
          </cell>
          <cell r="BS51">
            <v>0.17</v>
          </cell>
          <cell r="BT51">
            <v>9.6212823868080499E-2</v>
          </cell>
          <cell r="BU51">
            <v>0.18372526557002061</v>
          </cell>
          <cell r="BV51">
            <v>0.25616816645234697</v>
          </cell>
          <cell r="BY51">
            <v>22</v>
          </cell>
        </row>
        <row r="52">
          <cell r="A52">
            <v>35429.75</v>
          </cell>
          <cell r="B52">
            <v>2524699.9940771549</v>
          </cell>
          <cell r="C52">
            <v>868705.87706532562</v>
          </cell>
          <cell r="D52">
            <v>1239248.7507950545</v>
          </cell>
          <cell r="E52">
            <v>294106.0690372758</v>
          </cell>
          <cell r="F52">
            <v>111807</v>
          </cell>
          <cell r="G52">
            <v>10839</v>
          </cell>
          <cell r="J52">
            <v>23</v>
          </cell>
          <cell r="L52">
            <v>35429.75</v>
          </cell>
          <cell r="M52">
            <v>4432900</v>
          </cell>
          <cell r="N52">
            <v>6026500</v>
          </cell>
          <cell r="O52">
            <v>7682800</v>
          </cell>
          <cell r="P52">
            <v>19920</v>
          </cell>
          <cell r="V52">
            <v>23</v>
          </cell>
          <cell r="X52">
            <v>35429.75</v>
          </cell>
          <cell r="Y52">
            <v>119.04300000000001</v>
          </cell>
          <cell r="Z52">
            <v>49.6</v>
          </cell>
          <cell r="AA52">
            <v>0.41665616625925084</v>
          </cell>
          <cell r="AB52">
            <v>33</v>
          </cell>
          <cell r="AC52">
            <v>0.27721075577732412</v>
          </cell>
          <cell r="AD52">
            <v>4</v>
          </cell>
          <cell r="AE52">
            <v>3.3601303730584745E-2</v>
          </cell>
          <cell r="AF52">
            <v>8.9990000000000006</v>
          </cell>
          <cell r="AG52">
            <v>7.5594533067883038E-2</v>
          </cell>
          <cell r="AH52">
            <v>23.44400000000001</v>
          </cell>
          <cell r="AI52">
            <v>0.19693724116495728</v>
          </cell>
          <cell r="AJ52">
            <v>287.79399999999998</v>
          </cell>
          <cell r="AK52">
            <v>-168.75099999999998</v>
          </cell>
          <cell r="AL52">
            <v>-60.68</v>
          </cell>
          <cell r="AM52">
            <v>-4.0189999999999984</v>
          </cell>
          <cell r="AN52">
            <v>-64.698999999999998</v>
          </cell>
          <cell r="AO52">
            <v>104.82400000000001</v>
          </cell>
          <cell r="AP52">
            <v>-128.62599999999998</v>
          </cell>
          <cell r="AQ52">
            <v>87.451999999999998</v>
          </cell>
          <cell r="AR52">
            <v>42.494999999999997</v>
          </cell>
          <cell r="AS52">
            <v>129.947</v>
          </cell>
          <cell r="AT52">
            <v>-1.9593509999999936</v>
          </cell>
          <cell r="AU52">
            <v>-0.63835099999996725</v>
          </cell>
          <cell r="AV52">
            <v>181.54970908027633</v>
          </cell>
          <cell r="AW52">
            <v>116.66673259107792</v>
          </cell>
          <cell r="AX52">
            <v>64.261591595000056</v>
          </cell>
          <cell r="AY52">
            <v>41.363961722621042</v>
          </cell>
          <cell r="BB52">
            <v>23</v>
          </cell>
          <cell r="BD52">
            <v>35429.75</v>
          </cell>
          <cell r="BE52">
            <v>9396.9099999999726</v>
          </cell>
          <cell r="BF52">
            <v>1323156.1999424656</v>
          </cell>
          <cell r="BG52">
            <v>5.9857059801906101E-3</v>
          </cell>
          <cell r="BH52">
            <v>0.03</v>
          </cell>
          <cell r="BI52">
            <v>6.0881491515961672E-2</v>
          </cell>
          <cell r="BJ52">
            <v>728694.98</v>
          </cell>
          <cell r="BK52">
            <v>0.68822403336879201</v>
          </cell>
          <cell r="BL52">
            <v>15663.53</v>
          </cell>
          <cell r="BM52">
            <v>150220.851</v>
          </cell>
          <cell r="BN52">
            <v>0.105369127516779</v>
          </cell>
          <cell r="BO52">
            <v>64715.439000000006</v>
          </cell>
          <cell r="BP52">
            <v>0.43416107382550301</v>
          </cell>
          <cell r="BQ52">
            <v>-190426.99999999997</v>
          </cell>
          <cell r="BR52">
            <v>-0.1439187603158873</v>
          </cell>
          <cell r="BS52">
            <v>0.17</v>
          </cell>
          <cell r="BT52">
            <v>0.100930596838828</v>
          </cell>
          <cell r="BU52">
            <v>0.18100002101823934</v>
          </cell>
          <cell r="BV52">
            <v>0.25312226932433468</v>
          </cell>
          <cell r="BY52">
            <v>23</v>
          </cell>
        </row>
        <row r="53">
          <cell r="A53">
            <v>35795</v>
          </cell>
          <cell r="B53">
            <v>1812521.3360357813</v>
          </cell>
          <cell r="C53">
            <v>568016.85289156705</v>
          </cell>
          <cell r="D53">
            <v>779667.88702904317</v>
          </cell>
          <cell r="E53">
            <v>364573.41802093136</v>
          </cell>
          <cell r="F53">
            <v>89516</v>
          </cell>
          <cell r="G53">
            <v>10752</v>
          </cell>
          <cell r="J53">
            <v>24</v>
          </cell>
          <cell r="L53">
            <v>35795</v>
          </cell>
          <cell r="M53">
            <v>4521500</v>
          </cell>
          <cell r="N53">
            <v>6207200</v>
          </cell>
          <cell r="O53">
            <v>7913500</v>
          </cell>
          <cell r="P53">
            <v>20517.5</v>
          </cell>
          <cell r="V53">
            <v>24</v>
          </cell>
          <cell r="X53">
            <v>35795</v>
          </cell>
          <cell r="Y53">
            <v>133.62</v>
          </cell>
          <cell r="Z53">
            <v>74.403510000000011</v>
          </cell>
          <cell r="AA53">
            <v>0.55682914234396053</v>
          </cell>
          <cell r="AB53">
            <v>27.1</v>
          </cell>
          <cell r="AC53">
            <v>0.20281395000748392</v>
          </cell>
          <cell r="AD53">
            <v>2.85</v>
          </cell>
          <cell r="AE53">
            <v>2.1329142343960484E-2</v>
          </cell>
          <cell r="AF53">
            <v>9.01</v>
          </cell>
          <cell r="AG53">
            <v>6.7430025445292613E-2</v>
          </cell>
          <cell r="AH53">
            <v>20.256489999999992</v>
          </cell>
          <cell r="AI53">
            <v>0.15159773985930244</v>
          </cell>
          <cell r="AJ53">
            <v>297.7</v>
          </cell>
          <cell r="AK53">
            <v>-164.07999999999998</v>
          </cell>
          <cell r="AL53">
            <v>-65.126999999999995</v>
          </cell>
          <cell r="AM53">
            <v>-7.7839999999999998</v>
          </cell>
          <cell r="AN53">
            <v>-72.911000000000001</v>
          </cell>
          <cell r="AO53">
            <v>95.56</v>
          </cell>
          <cell r="AP53">
            <v>-141.43099999999998</v>
          </cell>
          <cell r="AQ53">
            <v>91.61</v>
          </cell>
          <cell r="AR53">
            <v>31.487891315235899</v>
          </cell>
          <cell r="AS53">
            <v>123.0978913152359</v>
          </cell>
          <cell r="AT53">
            <v>-6.2413913152359406</v>
          </cell>
          <cell r="AU53">
            <v>-24.574500000000025</v>
          </cell>
          <cell r="AV53">
            <v>185.93947760623814</v>
          </cell>
          <cell r="AW53">
            <v>83.448813086045959</v>
          </cell>
          <cell r="AX53">
            <v>44.879556595702894</v>
          </cell>
          <cell r="AY53">
            <v>44.884111521666107</v>
          </cell>
          <cell r="BB53">
            <v>24</v>
          </cell>
          <cell r="BD53">
            <v>35795</v>
          </cell>
          <cell r="BE53">
            <v>4836.0339999999906</v>
          </cell>
          <cell r="BF53">
            <v>1428629.4610314227</v>
          </cell>
          <cell r="BG53">
            <v>3.2271026655343901E-3</v>
          </cell>
          <cell r="BH53">
            <v>0.03</v>
          </cell>
          <cell r="BI53">
            <v>2.2792022792022637E-2</v>
          </cell>
          <cell r="BJ53">
            <v>813341.26391999994</v>
          </cell>
          <cell r="BK53">
            <v>0.68786328790551499</v>
          </cell>
          <cell r="BL53">
            <v>35737.85</v>
          </cell>
          <cell r="BM53">
            <v>168138.128</v>
          </cell>
          <cell r="BN53">
            <v>0.238581730769231</v>
          </cell>
          <cell r="BO53">
            <v>67783.163</v>
          </cell>
          <cell r="BP53">
            <v>0.40685096153846201</v>
          </cell>
          <cell r="BQ53">
            <v>-193599.99999999997</v>
          </cell>
          <cell r="BR53">
            <v>-0.13551449503234186</v>
          </cell>
          <cell r="BS53">
            <v>0.17</v>
          </cell>
          <cell r="BT53">
            <v>0.104797183097189</v>
          </cell>
          <cell r="BU53">
            <v>0.19284874595900567</v>
          </cell>
          <cell r="BV53">
            <v>0.26489422927536582</v>
          </cell>
          <cell r="BY53">
            <v>24</v>
          </cell>
        </row>
        <row r="54">
          <cell r="A54">
            <v>36160.25</v>
          </cell>
          <cell r="B54">
            <v>2667967.9388795914</v>
          </cell>
          <cell r="C54">
            <v>1009457.760967746</v>
          </cell>
          <cell r="D54">
            <v>1176247.9993475419</v>
          </cell>
          <cell r="E54">
            <v>378843.83044329309</v>
          </cell>
          <cell r="F54">
            <v>88997.78300000001</v>
          </cell>
          <cell r="G54">
            <v>14424.488999999998</v>
          </cell>
          <cell r="J54">
            <v>25</v>
          </cell>
          <cell r="L54">
            <v>36160.25</v>
          </cell>
          <cell r="M54">
            <v>4611900</v>
          </cell>
          <cell r="N54">
            <v>6393100</v>
          </cell>
          <cell r="O54">
            <v>8150900</v>
          </cell>
          <cell r="P54">
            <v>21133.3</v>
          </cell>
          <cell r="V54">
            <v>25</v>
          </cell>
          <cell r="X54">
            <v>36160.25</v>
          </cell>
          <cell r="Y54">
            <v>190.44</v>
          </cell>
          <cell r="Z54">
            <v>120.89899999999999</v>
          </cell>
          <cell r="AA54">
            <v>0.63484036967023727</v>
          </cell>
          <cell r="AB54">
            <v>27</v>
          </cell>
          <cell r="AC54">
            <v>0.14177693761814744</v>
          </cell>
          <cell r="AD54">
            <v>3</v>
          </cell>
          <cell r="AE54">
            <v>1.5752993068683049E-2</v>
          </cell>
          <cell r="AF54">
            <v>9.5</v>
          </cell>
          <cell r="AG54">
            <v>4.9884478050829656E-2</v>
          </cell>
          <cell r="AH54">
            <v>30.041000000000011</v>
          </cell>
          <cell r="AI54">
            <v>0.15774522159210255</v>
          </cell>
          <cell r="AJ54">
            <v>374.20299999999997</v>
          </cell>
          <cell r="AK54">
            <v>-183.76299999999998</v>
          </cell>
          <cell r="AL54">
            <v>-73.567000000000007</v>
          </cell>
          <cell r="AM54">
            <v>-7.0090000000000003</v>
          </cell>
          <cell r="AN54">
            <v>-80.576000000000008</v>
          </cell>
          <cell r="AO54">
            <v>111.44900000000001</v>
          </cell>
          <cell r="AP54">
            <v>-152.88999999999999</v>
          </cell>
          <cell r="AQ54">
            <v>89.504000000000005</v>
          </cell>
          <cell r="AR54">
            <v>41.062108684764098</v>
          </cell>
          <cell r="AS54">
            <v>130.56610868476412</v>
          </cell>
          <cell r="AT54">
            <v>2.9926913152358452</v>
          </cell>
          <cell r="AU54">
            <v>-19.331200000000024</v>
          </cell>
          <cell r="AV54">
            <v>186.06193895271264</v>
          </cell>
          <cell r="AW54">
            <v>90.253253481186476</v>
          </cell>
          <cell r="AX54">
            <v>48.50710144653722</v>
          </cell>
          <cell r="AY54">
            <v>50.892162810025575</v>
          </cell>
          <cell r="BB54">
            <v>25</v>
          </cell>
          <cell r="BD54">
            <v>36160.25</v>
          </cell>
          <cell r="BE54">
            <v>-4336.6092180000205</v>
          </cell>
          <cell r="BF54">
            <v>1654757.175738093</v>
          </cell>
          <cell r="BG54">
            <v>-2.82522618447707E-3</v>
          </cell>
          <cell r="BH54">
            <v>0.03</v>
          </cell>
          <cell r="BI54">
            <v>4.8746518105849512E-2</v>
          </cell>
          <cell r="BJ54">
            <v>845874.01400000008</v>
          </cell>
          <cell r="BK54">
            <v>0.69285330122355304</v>
          </cell>
          <cell r="BL54">
            <v>46481.24</v>
          </cell>
          <cell r="BM54">
            <v>184031.90400000001</v>
          </cell>
          <cell r="BN54">
            <v>0.25257164105632463</v>
          </cell>
          <cell r="BO54">
            <v>71988.224000000002</v>
          </cell>
          <cell r="BP54">
            <v>0.39186102374250298</v>
          </cell>
          <cell r="BQ54">
            <v>-220480</v>
          </cell>
          <cell r="BR54">
            <v>-0.13324009300739634</v>
          </cell>
          <cell r="BS54">
            <v>0.17</v>
          </cell>
          <cell r="BT54">
            <v>0.100636612058392</v>
          </cell>
          <cell r="BU54">
            <v>0.16267752389708107</v>
          </cell>
          <cell r="BV54">
            <v>0.23218131677152484</v>
          </cell>
          <cell r="BY54">
            <v>25</v>
          </cell>
        </row>
        <row r="55">
          <cell r="A55">
            <v>36525.5</v>
          </cell>
          <cell r="B55">
            <v>2381841.6471500117</v>
          </cell>
          <cell r="C55">
            <v>1026371.4679814004</v>
          </cell>
          <cell r="D55">
            <v>821366.2845470371</v>
          </cell>
          <cell r="E55">
            <v>427451.05241601355</v>
          </cell>
          <cell r="F55">
            <v>94208.760999999999</v>
          </cell>
          <cell r="G55">
            <v>13342.962</v>
          </cell>
          <cell r="J55">
            <v>26</v>
          </cell>
          <cell r="L55">
            <v>36525.5</v>
          </cell>
          <cell r="M55">
            <v>4704138</v>
          </cell>
          <cell r="N55">
            <v>6584893</v>
          </cell>
          <cell r="O55">
            <v>8395427</v>
          </cell>
          <cell r="P55">
            <v>21767.298999999999</v>
          </cell>
          <cell r="V55">
            <v>26</v>
          </cell>
          <cell r="X55">
            <v>36525.5</v>
          </cell>
          <cell r="Y55">
            <v>156.19999999999999</v>
          </cell>
          <cell r="Z55">
            <v>83.6</v>
          </cell>
          <cell r="AA55">
            <v>0.53521126760563376</v>
          </cell>
          <cell r="AB55">
            <v>29.298999999999999</v>
          </cell>
          <cell r="AC55">
            <v>0.18757362355953908</v>
          </cell>
          <cell r="AD55">
            <v>7.0519999999999996</v>
          </cell>
          <cell r="AE55">
            <v>4.5147247119078103E-2</v>
          </cell>
          <cell r="AF55">
            <v>9.2240000000000002</v>
          </cell>
          <cell r="AG55">
            <v>5.905249679897568E-2</v>
          </cell>
          <cell r="AH55">
            <v>27.024999999999995</v>
          </cell>
          <cell r="AI55">
            <v>0.17301536491677336</v>
          </cell>
          <cell r="AJ55">
            <v>357.35399999999998</v>
          </cell>
          <cell r="AK55">
            <v>-201.154</v>
          </cell>
          <cell r="AL55">
            <v>-70.76100000000001</v>
          </cell>
          <cell r="AM55">
            <v>-11.26</v>
          </cell>
          <cell r="AN55">
            <v>-82.021000000000015</v>
          </cell>
          <cell r="AO55">
            <v>88.664000000000001</v>
          </cell>
          <cell r="AP55">
            <v>-194.51100000000002</v>
          </cell>
          <cell r="AQ55">
            <v>120.402</v>
          </cell>
          <cell r="AR55">
            <v>69.5</v>
          </cell>
          <cell r="AS55">
            <v>189.90199999999999</v>
          </cell>
          <cell r="AT55">
            <v>-5.2105999999999462</v>
          </cell>
          <cell r="AU55">
            <v>-9.8195999999999835</v>
          </cell>
          <cell r="AV55">
            <v>196.88274143799003</v>
          </cell>
          <cell r="AW55">
            <v>71.52294251583838</v>
          </cell>
          <cell r="AX55">
            <v>36.327685196503204</v>
          </cell>
          <cell r="AY55">
            <v>43.710158554262719</v>
          </cell>
          <cell r="BB55">
            <v>26</v>
          </cell>
          <cell r="BD55">
            <v>36525.5</v>
          </cell>
          <cell r="BE55">
            <v>-7899.2170000000069</v>
          </cell>
          <cell r="BF55">
            <v>1854884</v>
          </cell>
          <cell r="BG55">
            <v>-3.5976740815687799E-3</v>
          </cell>
          <cell r="BH55">
            <v>0.03</v>
          </cell>
          <cell r="BI55">
            <v>-1.1288180610889653E-2</v>
          </cell>
          <cell r="BJ55">
            <v>930471.45600000012</v>
          </cell>
          <cell r="BK55">
            <v>0.60069328316758497</v>
          </cell>
          <cell r="BL55">
            <v>41172.061000000002</v>
          </cell>
          <cell r="BM55">
            <v>197823.00100000002</v>
          </cell>
          <cell r="BN55">
            <v>0.2081257527783637</v>
          </cell>
          <cell r="BO55">
            <v>82600</v>
          </cell>
          <cell r="BP55">
            <v>0.41741598952969</v>
          </cell>
          <cell r="BQ55">
            <v>-243446.00000000003</v>
          </cell>
          <cell r="BR55">
            <v>-0.13124594314253615</v>
          </cell>
          <cell r="BS55">
            <v>0.17</v>
          </cell>
          <cell r="BT55">
            <v>0.106578161946893</v>
          </cell>
          <cell r="BU55">
            <v>0.14259040464364778</v>
          </cell>
          <cell r="BV55">
            <v>0.21389560089368886</v>
          </cell>
          <cell r="BY55">
            <v>26</v>
          </cell>
        </row>
        <row r="56">
          <cell r="A56">
            <v>36890.75</v>
          </cell>
          <cell r="B56">
            <v>1850177.3730390775</v>
          </cell>
          <cell r="C56">
            <v>767521.47962970799</v>
          </cell>
          <cell r="D56">
            <v>664578.14588897268</v>
          </cell>
          <cell r="E56">
            <v>339603.79938334809</v>
          </cell>
          <cell r="F56">
            <v>66395.307000000015</v>
          </cell>
          <cell r="G56">
            <v>10777.55</v>
          </cell>
          <cell r="J56">
            <v>27</v>
          </cell>
          <cell r="L56">
            <v>36890.75</v>
          </cell>
          <cell r="M56">
            <v>4798221</v>
          </cell>
          <cell r="N56">
            <v>6782440</v>
          </cell>
          <cell r="O56">
            <v>8647290</v>
          </cell>
          <cell r="P56">
            <v>22420.317999999999</v>
          </cell>
          <cell r="V56">
            <v>27</v>
          </cell>
          <cell r="X56">
            <v>36890.75</v>
          </cell>
          <cell r="Y56">
            <v>146.4</v>
          </cell>
          <cell r="Z56">
            <v>72.400000000000006</v>
          </cell>
          <cell r="AA56">
            <v>0.49453551912568305</v>
          </cell>
          <cell r="AB56">
            <v>32.1</v>
          </cell>
          <cell r="AC56">
            <v>0.21926229508196721</v>
          </cell>
          <cell r="AD56">
            <v>4.5</v>
          </cell>
          <cell r="AE56">
            <v>3.0737704918032786E-2</v>
          </cell>
          <cell r="AF56">
            <v>6.2</v>
          </cell>
          <cell r="AG56">
            <v>4.2349726775956283E-2</v>
          </cell>
          <cell r="AH56">
            <v>31.2</v>
          </cell>
          <cell r="AI56">
            <v>0.21311475409836064</v>
          </cell>
          <cell r="AJ56">
            <v>368.6</v>
          </cell>
          <cell r="AK56">
            <v>-222.20000000000002</v>
          </cell>
          <cell r="AL56">
            <v>-77.253</v>
          </cell>
          <cell r="AM56">
            <v>-14.28</v>
          </cell>
          <cell r="AN56">
            <v>-91.533000000000001</v>
          </cell>
          <cell r="AO56">
            <v>86.777000000000001</v>
          </cell>
          <cell r="AP56">
            <v>-226.95600000000002</v>
          </cell>
          <cell r="AQ56">
            <v>132.56800000000001</v>
          </cell>
          <cell r="AR56">
            <v>62.335999999999999</v>
          </cell>
          <cell r="AS56">
            <v>194.904</v>
          </cell>
          <cell r="AT56">
            <v>3.536</v>
          </cell>
          <cell r="AU56">
            <v>-28.51600000000002</v>
          </cell>
          <cell r="AV56">
            <v>227.44499830733128</v>
          </cell>
          <cell r="AW56">
            <v>74.499292758202699</v>
          </cell>
          <cell r="AX56">
            <v>32.754860873017208</v>
          </cell>
          <cell r="AY56">
            <v>33.059578082182853</v>
          </cell>
          <cell r="BB56">
            <v>27</v>
          </cell>
          <cell r="BD56">
            <v>36890.75</v>
          </cell>
          <cell r="BE56">
            <v>-29645.937000000024</v>
          </cell>
          <cell r="BF56">
            <v>1874420</v>
          </cell>
          <cell r="BG56">
            <v>-1.0642412534878701E-2</v>
          </cell>
          <cell r="BH56">
            <v>0.03</v>
          </cell>
          <cell r="BI56">
            <v>-3.0000000000000027E-3</v>
          </cell>
          <cell r="BJ56">
            <v>1091634.622</v>
          </cell>
          <cell r="BK56">
            <v>0.64632495135187196</v>
          </cell>
          <cell r="BL56">
            <v>53400</v>
          </cell>
          <cell r="BM56">
            <v>202936.39799999996</v>
          </cell>
          <cell r="BN56">
            <v>0.23401591917200601</v>
          </cell>
          <cell r="BO56">
            <v>88900</v>
          </cell>
          <cell r="BP56">
            <v>0.43714379990142899</v>
          </cell>
          <cell r="BQ56">
            <v>-278127.00000000006</v>
          </cell>
          <cell r="BR56">
            <v>-0.14838029897248217</v>
          </cell>
          <cell r="BS56">
            <v>0.17</v>
          </cell>
          <cell r="BT56">
            <v>0.10914816554156399</v>
          </cell>
          <cell r="BU56">
            <v>0.15249580271778393</v>
          </cell>
          <cell r="BV56">
            <v>0.23043103573486193</v>
          </cell>
          <cell r="BY56">
            <v>27</v>
          </cell>
        </row>
        <row r="57">
          <cell r="A57">
            <v>37256</v>
          </cell>
          <cell r="B57">
            <v>3512637.5264471178</v>
          </cell>
          <cell r="C57">
            <v>969365.4062086565</v>
          </cell>
          <cell r="D57">
            <v>1021330.0992516989</v>
          </cell>
          <cell r="E57">
            <v>1413776.2830492004</v>
          </cell>
          <cell r="F57">
            <v>109867.74073682315</v>
          </cell>
          <cell r="G57">
            <v>12320.1525059334</v>
          </cell>
          <cell r="J57">
            <v>28</v>
          </cell>
          <cell r="L57">
            <v>37256</v>
          </cell>
          <cell r="M57">
            <v>4894185</v>
          </cell>
          <cell r="N57">
            <v>6985913</v>
          </cell>
          <cell r="O57">
            <v>8906709</v>
          </cell>
          <cell r="P57">
            <v>23092.928</v>
          </cell>
          <cell r="V57">
            <v>28</v>
          </cell>
          <cell r="X57">
            <v>37256</v>
          </cell>
          <cell r="Y57">
            <v>163.80000000000001</v>
          </cell>
          <cell r="Z57">
            <v>96</v>
          </cell>
          <cell r="AA57">
            <v>0.586080586080586</v>
          </cell>
          <cell r="AB57">
            <v>31</v>
          </cell>
          <cell r="AC57">
            <v>0.18925518925518925</v>
          </cell>
          <cell r="AD57">
            <v>4.5</v>
          </cell>
          <cell r="AE57">
            <v>2.7472527472527472E-2</v>
          </cell>
          <cell r="AF57">
            <v>2.2000000000000002</v>
          </cell>
          <cell r="AG57">
            <v>1.3431013431013432E-2</v>
          </cell>
          <cell r="AH57">
            <v>30.100000000000012</v>
          </cell>
          <cell r="AI57">
            <v>0.18376068376068383</v>
          </cell>
          <cell r="AJ57">
            <v>373.3</v>
          </cell>
          <cell r="AK57">
            <v>-209.5</v>
          </cell>
          <cell r="AL57">
            <v>-76.7</v>
          </cell>
          <cell r="AM57">
            <v>-17.899999999999999</v>
          </cell>
          <cell r="AN57">
            <v>-94.6</v>
          </cell>
          <cell r="AO57">
            <v>90.817999999999998</v>
          </cell>
          <cell r="AP57">
            <v>-213.28200000000004</v>
          </cell>
          <cell r="AQ57">
            <v>144.584</v>
          </cell>
          <cell r="AR57">
            <v>70.811999999999998</v>
          </cell>
          <cell r="AS57">
            <v>215.39600000000002</v>
          </cell>
          <cell r="AT57">
            <v>2.335</v>
          </cell>
          <cell r="AU57">
            <v>4.4489999999999759</v>
          </cell>
          <cell r="AV57">
            <v>224.01716905533232</v>
          </cell>
          <cell r="AW57">
            <v>85.377262573687986</v>
          </cell>
          <cell r="AX57">
            <v>38.111928176629966</v>
          </cell>
          <cell r="AY57">
            <v>31.240591631456365</v>
          </cell>
          <cell r="BB57">
            <v>28</v>
          </cell>
          <cell r="BD57">
            <v>37256</v>
          </cell>
          <cell r="BE57">
            <v>-40419.676040000013</v>
          </cell>
          <cell r="BF57">
            <v>2077550</v>
          </cell>
          <cell r="BG57">
            <v>-2.0047686044684501E-2</v>
          </cell>
          <cell r="BH57">
            <v>0.03</v>
          </cell>
          <cell r="BI57">
            <v>4.8999999999999932E-2</v>
          </cell>
          <cell r="BJ57">
            <v>1058143.189</v>
          </cell>
          <cell r="BK57">
            <v>0.63133314472114399</v>
          </cell>
          <cell r="BL57">
            <v>52468.598871000002</v>
          </cell>
          <cell r="BM57">
            <v>213220.36241199999</v>
          </cell>
          <cell r="BN57">
            <v>0.24607686750675498</v>
          </cell>
          <cell r="BO57">
            <v>97487.840929999991</v>
          </cell>
          <cell r="BP57">
            <v>0.46096835723409901</v>
          </cell>
          <cell r="BQ57">
            <v>-278110</v>
          </cell>
          <cell r="BR57">
            <v>-0.13386440759548507</v>
          </cell>
          <cell r="BS57">
            <v>0.17</v>
          </cell>
          <cell r="BT57">
            <v>0.10263067671632452</v>
          </cell>
          <cell r="BU57">
            <v>0.13233543040383641</v>
          </cell>
          <cell r="BV57">
            <v>0.21109526830280842</v>
          </cell>
          <cell r="BY57">
            <v>28</v>
          </cell>
        </row>
        <row r="58">
          <cell r="A58">
            <v>37621.25</v>
          </cell>
          <cell r="B58">
            <v>3520765.5988187236</v>
          </cell>
          <cell r="C58">
            <v>1008051.0420524317</v>
          </cell>
          <cell r="D58">
            <v>944604.99998530187</v>
          </cell>
          <cell r="E58">
            <v>1485110.2747277541</v>
          </cell>
          <cell r="F58">
            <v>89103.548589543701</v>
          </cell>
          <cell r="G58">
            <v>8873.3169817531725</v>
          </cell>
          <cell r="J58">
            <v>29</v>
          </cell>
          <cell r="L58">
            <v>37621.25</v>
          </cell>
          <cell r="M58">
            <v>4992030</v>
          </cell>
          <cell r="N58">
            <v>7199377</v>
          </cell>
          <cell r="O58">
            <v>9173894</v>
          </cell>
          <cell r="P58">
            <v>23785.715</v>
          </cell>
          <cell r="V58">
            <v>29</v>
          </cell>
          <cell r="X58">
            <v>37621.25</v>
          </cell>
          <cell r="Y58">
            <v>170.791</v>
          </cell>
          <cell r="Z58">
            <v>97.432000000000002</v>
          </cell>
          <cell r="AA58">
            <v>0.570475025030593</v>
          </cell>
          <cell r="AB58">
            <v>34.360999999999997</v>
          </cell>
          <cell r="AC58">
            <v>0.20118741619874583</v>
          </cell>
          <cell r="AD58">
            <v>4.7</v>
          </cell>
          <cell r="AE58">
            <v>2.7519014467975479E-2</v>
          </cell>
          <cell r="AF58">
            <v>3.8980000000000001</v>
          </cell>
          <cell r="AG58">
            <v>2.2823216680035834E-2</v>
          </cell>
          <cell r="AH58">
            <v>30.399999999999995</v>
          </cell>
          <cell r="AI58">
            <v>0.17799532762264988</v>
          </cell>
          <cell r="AJ58">
            <v>381.7</v>
          </cell>
          <cell r="AK58">
            <v>-210.90899999999999</v>
          </cell>
          <cell r="AL58">
            <v>-72.512</v>
          </cell>
          <cell r="AM58">
            <v>-14.728999999999999</v>
          </cell>
          <cell r="AN58">
            <v>-87.241</v>
          </cell>
          <cell r="AO58">
            <v>90.058000000000007</v>
          </cell>
          <cell r="AP58">
            <v>-208.09199999999998</v>
          </cell>
          <cell r="AQ58">
            <v>112.649</v>
          </cell>
          <cell r="AR58">
            <v>109.41500000000001</v>
          </cell>
          <cell r="AS58">
            <v>222.06400000000002</v>
          </cell>
          <cell r="AT58">
            <v>-3.1179999999999999</v>
          </cell>
          <cell r="AU58">
            <v>10.854000000000037</v>
          </cell>
          <cell r="AV58">
            <v>230.73768412699229</v>
          </cell>
          <cell r="AW58">
            <v>74.954812635389331</v>
          </cell>
          <cell r="AX58">
            <v>32.484859557720128</v>
          </cell>
          <cell r="AY58">
            <v>28.376925538394143</v>
          </cell>
          <cell r="BB58">
            <v>29</v>
          </cell>
          <cell r="BD58">
            <v>37621.25</v>
          </cell>
          <cell r="BE58">
            <v>-78658.296909952012</v>
          </cell>
          <cell r="BF58">
            <v>2234260</v>
          </cell>
          <cell r="BG58">
            <v>-3.5365779098346997E-2</v>
          </cell>
          <cell r="BH58">
            <v>0.03</v>
          </cell>
          <cell r="BI58">
            <v>2.2999999999999909E-2</v>
          </cell>
          <cell r="BJ58">
            <v>1091983.6000000001</v>
          </cell>
          <cell r="BK58">
            <v>0.49177357971591701</v>
          </cell>
          <cell r="BL58">
            <v>84611.310604999991</v>
          </cell>
          <cell r="BM58">
            <v>240876.46229886796</v>
          </cell>
          <cell r="BN58">
            <v>0.36012392666127002</v>
          </cell>
          <cell r="BO58">
            <v>103103.51364899999</v>
          </cell>
          <cell r="BP58">
            <v>0.42755914091868802</v>
          </cell>
          <cell r="BQ58">
            <v>-266749.99999999994</v>
          </cell>
          <cell r="BR58">
            <v>-0.11939076025171642</v>
          </cell>
          <cell r="BS58">
            <v>0.17</v>
          </cell>
          <cell r="BT58">
            <v>0.10781039910255207</v>
          </cell>
          <cell r="BU58">
            <v>0.11360654207611762</v>
          </cell>
          <cell r="BV58">
            <v>0.1957130578655262</v>
          </cell>
          <cell r="BY58">
            <v>29</v>
          </cell>
        </row>
        <row r="59">
          <cell r="A59">
            <v>37986.5</v>
          </cell>
          <cell r="B59">
            <v>4722260.7819752861</v>
          </cell>
          <cell r="C59">
            <v>1165506.1583231536</v>
          </cell>
          <cell r="D59">
            <v>1522476.851759532</v>
          </cell>
          <cell r="E59">
            <v>1927982.8770160726</v>
          </cell>
          <cell r="F59">
            <v>91052.738902021214</v>
          </cell>
          <cell r="G59">
            <v>8740.8959181082027</v>
          </cell>
          <cell r="J59">
            <v>30</v>
          </cell>
          <cell r="L59">
            <v>37986.5</v>
          </cell>
          <cell r="M59">
            <v>7311544</v>
          </cell>
          <cell r="N59">
            <v>6702640</v>
          </cell>
          <cell r="O59">
            <v>10035687</v>
          </cell>
          <cell r="P59">
            <v>30501.333999999999</v>
          </cell>
          <cell r="V59">
            <v>30</v>
          </cell>
          <cell r="X59">
            <v>37986.5</v>
          </cell>
          <cell r="Y59">
            <v>186.27133900000001</v>
          </cell>
          <cell r="Z59">
            <v>119.87133900000001</v>
          </cell>
          <cell r="AA59">
            <v>0.64353077421105565</v>
          </cell>
          <cell r="AB59">
            <v>25.149000000000001</v>
          </cell>
          <cell r="AC59">
            <v>0.13501271926756267</v>
          </cell>
          <cell r="AD59">
            <v>5.5</v>
          </cell>
          <cell r="AE59">
            <v>2.952681840119268E-2</v>
          </cell>
          <cell r="AF59">
            <v>5.133</v>
          </cell>
          <cell r="AG59">
            <v>2.7556574336967642E-2</v>
          </cell>
          <cell r="AH59">
            <v>30.618000000000006</v>
          </cell>
          <cell r="AI59">
            <v>0.16437311378322139</v>
          </cell>
          <cell r="AJ59">
            <v>398.30099999999999</v>
          </cell>
          <cell r="AK59">
            <v>-212.02966099999998</v>
          </cell>
          <cell r="AL59">
            <v>-108.89</v>
          </cell>
          <cell r="AM59">
            <v>-14.948</v>
          </cell>
          <cell r="AN59">
            <v>-123.83799999999999</v>
          </cell>
          <cell r="AO59">
            <v>137.71700000000001</v>
          </cell>
          <cell r="AP59">
            <v>-198.15066099999999</v>
          </cell>
          <cell r="AQ59">
            <v>119.575</v>
          </cell>
          <cell r="AR59">
            <v>116.92700000000001</v>
          </cell>
          <cell r="AS59">
            <v>236.50200000000001</v>
          </cell>
          <cell r="AT59">
            <v>-10.50523900000003</v>
          </cell>
          <cell r="AU59">
            <v>27.846099999999993</v>
          </cell>
          <cell r="AV59">
            <v>237.65981465080208</v>
          </cell>
          <cell r="AW59">
            <v>76.558121605975785</v>
          </cell>
          <cell r="AX59">
            <v>32.213322104312851</v>
          </cell>
          <cell r="AY59">
            <v>40.753821033687821</v>
          </cell>
          <cell r="BB59">
            <v>30</v>
          </cell>
          <cell r="BD59">
            <v>37986.5</v>
          </cell>
          <cell r="BE59">
            <v>-49053.069511799986</v>
          </cell>
          <cell r="BF59">
            <v>2444349</v>
          </cell>
          <cell r="BG59">
            <v>-1.9402187419987501E-2</v>
          </cell>
          <cell r="BH59">
            <v>0.03</v>
          </cell>
          <cell r="BI59">
            <v>0.02</v>
          </cell>
          <cell r="BJ59">
            <v>1096004.89894</v>
          </cell>
          <cell r="BK59">
            <v>0.44822103372277899</v>
          </cell>
          <cell r="BL59">
            <v>91956.807650999996</v>
          </cell>
          <cell r="BM59">
            <v>270392.34247890004</v>
          </cell>
          <cell r="BN59">
            <v>0.33153231735827499</v>
          </cell>
          <cell r="BO59">
            <v>112531.20179100001</v>
          </cell>
          <cell r="BP59">
            <v>0.41664056951880601</v>
          </cell>
          <cell r="BQ59">
            <v>-317678</v>
          </cell>
          <cell r="BR59">
            <v>-0.12996425633164496</v>
          </cell>
          <cell r="BS59">
            <v>0.17</v>
          </cell>
          <cell r="BT59">
            <v>0.11061936837943356</v>
          </cell>
          <cell r="BU59">
            <v>0.12267218063625285</v>
          </cell>
          <cell r="BV59">
            <v>0.27519589060318311</v>
          </cell>
          <cell r="BY59">
            <v>30</v>
          </cell>
        </row>
        <row r="60">
          <cell r="A60">
            <v>38351.75</v>
          </cell>
          <cell r="B60">
            <v>2901973</v>
          </cell>
          <cell r="C60">
            <v>937630</v>
          </cell>
          <cell r="D60">
            <v>1399302</v>
          </cell>
          <cell r="E60">
            <v>481474</v>
          </cell>
          <cell r="F60">
            <v>74501</v>
          </cell>
          <cell r="G60">
            <v>9066</v>
          </cell>
          <cell r="J60">
            <v>31</v>
          </cell>
          <cell r="L60">
            <v>38351.75</v>
          </cell>
          <cell r="M60">
            <v>7458000</v>
          </cell>
          <cell r="N60">
            <v>6904000</v>
          </cell>
          <cell r="O60">
            <v>10337000</v>
          </cell>
          <cell r="P60">
            <v>31416</v>
          </cell>
          <cell r="V60">
            <v>31</v>
          </cell>
          <cell r="X60">
            <v>38351.75</v>
          </cell>
          <cell r="Y60">
            <v>253.1969</v>
          </cell>
          <cell r="Z60">
            <v>163.2379</v>
          </cell>
          <cell r="AA60">
            <v>0.64470734041372546</v>
          </cell>
          <cell r="AB60">
            <v>32.700000000000003</v>
          </cell>
          <cell r="AC60">
            <v>0.12914850063330161</v>
          </cell>
          <cell r="AD60">
            <v>9.5</v>
          </cell>
          <cell r="AE60">
            <v>3.7520206606005052E-2</v>
          </cell>
          <cell r="AF60">
            <v>7</v>
          </cell>
          <cell r="AG60">
            <v>2.7646468025477405E-2</v>
          </cell>
          <cell r="AH60">
            <v>40.759</v>
          </cell>
          <cell r="AI60">
            <v>0.1609774843214905</v>
          </cell>
          <cell r="AJ60">
            <v>497.90699999999998</v>
          </cell>
          <cell r="AK60">
            <v>-244.71009999999998</v>
          </cell>
          <cell r="AL60">
            <v>-120.65600000000001</v>
          </cell>
          <cell r="AM60">
            <v>-16.222000000000001</v>
          </cell>
          <cell r="AN60">
            <v>-136.87800000000001</v>
          </cell>
          <cell r="AO60">
            <v>101.05</v>
          </cell>
          <cell r="AP60">
            <v>-280.53809999999999</v>
          </cell>
          <cell r="AQ60">
            <v>106.46899999999999</v>
          </cell>
          <cell r="AR60">
            <v>115.56100000000001</v>
          </cell>
          <cell r="AS60">
            <v>222.03</v>
          </cell>
          <cell r="AT60">
            <v>1.5183999999999942</v>
          </cell>
          <cell r="AU60">
            <v>-56.989699999999992</v>
          </cell>
          <cell r="AV60">
            <v>244.78960909032614</v>
          </cell>
          <cell r="AW60">
            <v>83.535141053528193</v>
          </cell>
          <cell r="AX60">
            <v>34.125280629335926</v>
          </cell>
          <cell r="AY60">
            <v>38.652227223021235</v>
          </cell>
          <cell r="BB60">
            <v>31</v>
          </cell>
          <cell r="BD60">
            <v>38351.75</v>
          </cell>
          <cell r="BE60">
            <v>-79777.984421000001</v>
          </cell>
          <cell r="BF60">
            <v>2556133</v>
          </cell>
          <cell r="BG60">
            <v>-3.1328819508547899E-2</v>
          </cell>
          <cell r="BH60">
            <v>0.03</v>
          </cell>
          <cell r="BI60">
            <v>-3.9316979827448417E-3</v>
          </cell>
          <cell r="BJ60">
            <v>1171250.5</v>
          </cell>
          <cell r="BK60">
            <v>0.43405360152262501</v>
          </cell>
          <cell r="BL60">
            <v>130286.380911</v>
          </cell>
          <cell r="BM60">
            <v>318679.26339770004</v>
          </cell>
          <cell r="BN60">
            <v>0.42658870333917698</v>
          </cell>
          <cell r="BO60">
            <v>123467.92575570001</v>
          </cell>
          <cell r="BP60">
            <v>0.38780844864173702</v>
          </cell>
          <cell r="BQ60">
            <v>-357529.42517805583</v>
          </cell>
          <cell r="BR60">
            <v>-0.1398712137349879</v>
          </cell>
          <cell r="BS60">
            <v>0.17</v>
          </cell>
          <cell r="BT60">
            <v>0.12467241078523693</v>
          </cell>
          <cell r="BU60">
            <v>0.14014594648401618</v>
          </cell>
          <cell r="BV60">
            <v>0.24421964741271288</v>
          </cell>
          <cell r="BY60">
            <v>31</v>
          </cell>
        </row>
        <row r="61">
          <cell r="A61">
            <v>38717</v>
          </cell>
          <cell r="B61">
            <v>3649533</v>
          </cell>
          <cell r="C61">
            <v>1196253</v>
          </cell>
          <cell r="D61">
            <v>1552911</v>
          </cell>
          <cell r="E61">
            <v>799052</v>
          </cell>
          <cell r="F61">
            <v>93516</v>
          </cell>
          <cell r="G61">
            <v>7801</v>
          </cell>
          <cell r="J61">
            <v>32</v>
          </cell>
          <cell r="L61">
            <v>38717</v>
          </cell>
          <cell r="M61">
            <v>7607000</v>
          </cell>
          <cell r="N61">
            <v>7110000</v>
          </cell>
          <cell r="O61">
            <v>10647000</v>
          </cell>
          <cell r="P61">
            <v>32358</v>
          </cell>
          <cell r="V61">
            <v>32</v>
          </cell>
          <cell r="X61">
            <v>38717</v>
          </cell>
          <cell r="Y61">
            <v>247.09351199999998</v>
          </cell>
          <cell r="Z61">
            <v>148.32051199999998</v>
          </cell>
          <cell r="AA61">
            <v>0.60026064949855906</v>
          </cell>
          <cell r="AB61">
            <v>37.5</v>
          </cell>
          <cell r="AC61">
            <v>0.15176440569592942</v>
          </cell>
          <cell r="AD61">
            <v>12.5</v>
          </cell>
          <cell r="AE61">
            <v>5.0588135231976472E-2</v>
          </cell>
          <cell r="AF61">
            <v>7.875</v>
          </cell>
          <cell r="AG61">
            <v>3.187052519614518E-2</v>
          </cell>
          <cell r="AH61">
            <v>40.897999999999996</v>
          </cell>
          <cell r="AI61">
            <v>0.16551628437738988</v>
          </cell>
          <cell r="AJ61">
            <v>540.52099999999996</v>
          </cell>
          <cell r="AK61">
            <v>-293.42748799999998</v>
          </cell>
          <cell r="AL61">
            <v>-154.089</v>
          </cell>
          <cell r="AM61">
            <v>-10.851000000000001</v>
          </cell>
          <cell r="AN61">
            <v>-164.94</v>
          </cell>
          <cell r="AO61">
            <v>123.81399999999999</v>
          </cell>
          <cell r="AP61">
            <v>-334.55348800000002</v>
          </cell>
          <cell r="AQ61">
            <v>110.663</v>
          </cell>
          <cell r="AR61">
            <v>121.852</v>
          </cell>
          <cell r="AS61">
            <v>232.51499999999999</v>
          </cell>
          <cell r="AT61">
            <v>-1.671011999999988</v>
          </cell>
          <cell r="AU61">
            <v>-103.70950000000002</v>
          </cell>
          <cell r="AV61">
            <v>252.13329736303592</v>
          </cell>
          <cell r="AW61">
            <v>78.853909989381748</v>
          </cell>
          <cell r="AX61">
            <v>31.274691131272274</v>
          </cell>
          <cell r="AY61">
            <v>28.305545202638964</v>
          </cell>
          <cell r="BB61">
            <v>32</v>
          </cell>
          <cell r="BD61">
            <v>38717</v>
          </cell>
          <cell r="BE61">
            <v>-115427.57527299991</v>
          </cell>
          <cell r="BF61">
            <v>2881405</v>
          </cell>
          <cell r="BG61">
            <v>-3.82199135127183E-2</v>
          </cell>
          <cell r="BH61">
            <v>0.03</v>
          </cell>
          <cell r="BI61">
            <v>6.3905067931845361E-2</v>
          </cell>
          <cell r="BJ61">
            <v>1270651.5</v>
          </cell>
          <cell r="BK61">
            <v>0.42910312911123999</v>
          </cell>
          <cell r="BL61">
            <v>146190.05718599999</v>
          </cell>
          <cell r="BM61">
            <v>336755.85461099999</v>
          </cell>
          <cell r="BN61">
            <v>0.43411288975174583</v>
          </cell>
          <cell r="BO61">
            <v>141286.49011799999</v>
          </cell>
          <cell r="BP61">
            <v>0.41955169652864865</v>
          </cell>
          <cell r="BQ61">
            <v>-427703.58808141213</v>
          </cell>
          <cell r="BR61">
            <v>-0.14843577632488739</v>
          </cell>
          <cell r="BS61">
            <v>0.17</v>
          </cell>
          <cell r="BT61">
            <v>0.11687210045481283</v>
          </cell>
          <cell r="BU61">
            <v>0.12502537612491982</v>
          </cell>
          <cell r="BV61">
            <v>0.20858424969763012</v>
          </cell>
          <cell r="BY61">
            <v>32</v>
          </cell>
        </row>
        <row r="62">
          <cell r="A62">
            <v>39082.25</v>
          </cell>
          <cell r="B62">
            <v>3858224</v>
          </cell>
          <cell r="C62">
            <v>1198656</v>
          </cell>
          <cell r="D62">
            <v>1553830</v>
          </cell>
          <cell r="E62">
            <v>905713</v>
          </cell>
          <cell r="F62">
            <v>189176</v>
          </cell>
          <cell r="G62">
            <v>10850</v>
          </cell>
          <cell r="J62">
            <v>33</v>
          </cell>
          <cell r="L62">
            <v>39082.25</v>
          </cell>
          <cell r="M62">
            <v>7759000</v>
          </cell>
          <cell r="N62">
            <v>7324000</v>
          </cell>
          <cell r="O62">
            <v>10966000</v>
          </cell>
          <cell r="P62">
            <v>33329</v>
          </cell>
          <cell r="V62">
            <v>33</v>
          </cell>
          <cell r="X62">
            <v>39082.25</v>
          </cell>
          <cell r="Y62">
            <v>307.601</v>
          </cell>
          <cell r="Z62">
            <v>200.61600000000001</v>
          </cell>
          <cell r="AA62">
            <v>0.65219553902620608</v>
          </cell>
          <cell r="AB62">
            <v>43.7</v>
          </cell>
          <cell r="AC62">
            <v>0.1420671584292639</v>
          </cell>
          <cell r="AD62">
            <v>12.000999999999999</v>
          </cell>
          <cell r="AE62">
            <v>3.9014827650105166E-2</v>
          </cell>
          <cell r="AF62">
            <v>9.8699999999999992</v>
          </cell>
          <cell r="AG62">
            <v>3.2087021823726192E-2</v>
          </cell>
          <cell r="AH62">
            <v>41.413999999999987</v>
          </cell>
          <cell r="AI62">
            <v>0.13463545307069869</v>
          </cell>
          <cell r="AJ62">
            <v>562.053</v>
          </cell>
          <cell r="AK62">
            <v>-254.452</v>
          </cell>
          <cell r="AL62">
            <v>-154.88800000000001</v>
          </cell>
          <cell r="AM62">
            <v>-0.20799999999999999</v>
          </cell>
          <cell r="AN62">
            <v>-155.096</v>
          </cell>
          <cell r="AO62">
            <v>125.38200000000001</v>
          </cell>
          <cell r="AP62">
            <v>-284.166</v>
          </cell>
          <cell r="AQ62">
            <v>818.75400000000002</v>
          </cell>
          <cell r="AR62">
            <v>-481.27800000000002</v>
          </cell>
          <cell r="AS62">
            <v>337.476</v>
          </cell>
          <cell r="AT62">
            <v>-3.7586999999999535</v>
          </cell>
          <cell r="AU62">
            <v>49.551300000000047</v>
          </cell>
          <cell r="AV62">
            <v>259.69729628392702</v>
          </cell>
          <cell r="AW62">
            <v>74.473342734775528</v>
          </cell>
          <cell r="AX62">
            <v>28.676980392338713</v>
          </cell>
          <cell r="AY62">
            <v>32.770703498442359</v>
          </cell>
          <cell r="BB62">
            <v>33</v>
          </cell>
          <cell r="BD62">
            <v>39082.25</v>
          </cell>
          <cell r="BE62">
            <v>-152797.92541359988</v>
          </cell>
          <cell r="BF62">
            <v>3041291</v>
          </cell>
          <cell r="BG62">
            <v>-4.75047138033209E-2</v>
          </cell>
          <cell r="BH62">
            <v>0.03</v>
          </cell>
          <cell r="BI62">
            <v>2.4E-2</v>
          </cell>
          <cell r="BJ62">
            <v>687027.79999999993</v>
          </cell>
          <cell r="BK62">
            <v>0.18912395659640099</v>
          </cell>
          <cell r="BL62">
            <v>154840.16579699999</v>
          </cell>
          <cell r="BM62">
            <v>362324.20937700011</v>
          </cell>
          <cell r="BN62">
            <v>0.42735252514106242</v>
          </cell>
          <cell r="BO62">
            <v>159949.051121</v>
          </cell>
          <cell r="BP62">
            <v>0.441452839698526</v>
          </cell>
          <cell r="BQ62">
            <v>-379908.26022306178</v>
          </cell>
          <cell r="BR62">
            <v>-0.12491677390393151</v>
          </cell>
          <cell r="BS62">
            <v>0.17</v>
          </cell>
          <cell r="BT62">
            <v>0.11913500200309675</v>
          </cell>
          <cell r="BU62">
            <v>0.12960913820968306</v>
          </cell>
          <cell r="BV62">
            <v>0.21754159664431982</v>
          </cell>
          <cell r="BY62">
            <v>33</v>
          </cell>
        </row>
        <row r="63">
          <cell r="A63">
            <v>39447.5</v>
          </cell>
          <cell r="B63">
            <v>3088811</v>
          </cell>
          <cell r="C63">
            <v>966016</v>
          </cell>
          <cell r="D63">
            <v>1507162</v>
          </cell>
          <cell r="E63">
            <v>533874</v>
          </cell>
          <cell r="F63">
            <v>68916</v>
          </cell>
          <cell r="G63">
            <v>12843</v>
          </cell>
          <cell r="J63">
            <v>34</v>
          </cell>
          <cell r="L63">
            <v>39447.5</v>
          </cell>
          <cell r="M63">
            <v>7914180</v>
          </cell>
          <cell r="N63">
            <v>7543720</v>
          </cell>
          <cell r="O63">
            <v>11294980</v>
          </cell>
          <cell r="P63">
            <v>34329</v>
          </cell>
          <cell r="V63">
            <v>34</v>
          </cell>
          <cell r="X63">
            <v>39447.5</v>
          </cell>
          <cell r="Y63">
            <v>298.55965299999997</v>
          </cell>
          <cell r="Z63">
            <v>166.39467800000003</v>
          </cell>
          <cell r="AA63">
            <v>0.55732473000965088</v>
          </cell>
          <cell r="AB63">
            <v>45.5</v>
          </cell>
          <cell r="AC63">
            <v>0.15239835504497992</v>
          </cell>
          <cell r="AD63">
            <v>13.5</v>
          </cell>
          <cell r="AE63">
            <v>4.5217094354005033E-2</v>
          </cell>
          <cell r="AF63">
            <v>16.103999999999999</v>
          </cell>
          <cell r="AG63">
            <v>5.393896944273311E-2</v>
          </cell>
          <cell r="AH63">
            <v>57.060974999999942</v>
          </cell>
          <cell r="AI63">
            <v>0.19112085114863109</v>
          </cell>
          <cell r="AJ63">
            <v>585.14400000000001</v>
          </cell>
          <cell r="AK63">
            <v>-286.58434700000004</v>
          </cell>
          <cell r="AL63">
            <v>-173.94499999999999</v>
          </cell>
          <cell r="AM63">
            <v>-1.1240000000000001</v>
          </cell>
          <cell r="AN63">
            <v>-175.06899999999999</v>
          </cell>
          <cell r="AO63">
            <v>193.26599999999999</v>
          </cell>
          <cell r="AP63">
            <v>-268.38734700000009</v>
          </cell>
          <cell r="AQ63">
            <v>140.18799999999999</v>
          </cell>
          <cell r="AR63">
            <v>317.75099999999998</v>
          </cell>
          <cell r="AS63">
            <v>457.93899999999996</v>
          </cell>
          <cell r="AT63">
            <v>-1.4779530000000378</v>
          </cell>
          <cell r="AU63">
            <v>188.07369999999983</v>
          </cell>
          <cell r="AV63">
            <v>267.48821517244482</v>
          </cell>
          <cell r="AW63">
            <v>62.576030275436331</v>
          </cell>
          <cell r="AX63">
            <v>23.393939144232839</v>
          </cell>
          <cell r="AY63">
            <v>29.879602046368049</v>
          </cell>
          <cell r="BB63">
            <v>34</v>
          </cell>
          <cell r="BD63">
            <v>39447.5</v>
          </cell>
          <cell r="BE63">
            <v>-185702.21425389996</v>
          </cell>
          <cell r="BF63">
            <v>3234153</v>
          </cell>
          <cell r="BG63">
            <v>-5.7419118469008719E-2</v>
          </cell>
          <cell r="BH63">
            <v>0.03</v>
          </cell>
          <cell r="BI63">
            <v>-3.0000000000000001E-3</v>
          </cell>
          <cell r="BJ63">
            <v>811232.42699999991</v>
          </cell>
          <cell r="BK63">
            <v>0.25083303943876495</v>
          </cell>
          <cell r="BL63">
            <v>142792.42982099997</v>
          </cell>
          <cell r="BM63">
            <v>405237.66780300002</v>
          </cell>
          <cell r="BN63">
            <v>0.35236711975752533</v>
          </cell>
          <cell r="BO63">
            <v>187595.715</v>
          </cell>
          <cell r="BP63">
            <v>0.4629276345830633</v>
          </cell>
          <cell r="BQ63">
            <v>-406551.16547530633</v>
          </cell>
          <cell r="BR63">
            <v>-0.12570560683904142</v>
          </cell>
          <cell r="BS63">
            <v>0.17</v>
          </cell>
          <cell r="BT63">
            <v>0.12529947340246428</v>
          </cell>
          <cell r="BU63">
            <v>0.14372282325542421</v>
          </cell>
          <cell r="BV63">
            <v>0.25149351313929796</v>
          </cell>
          <cell r="BY63">
            <v>34</v>
          </cell>
        </row>
        <row r="64">
          <cell r="A64">
            <v>39812.75</v>
          </cell>
          <cell r="B64">
            <v>4358518</v>
          </cell>
          <cell r="C64">
            <v>1255189</v>
          </cell>
          <cell r="D64">
            <v>1875046</v>
          </cell>
          <cell r="E64">
            <v>1013634</v>
          </cell>
          <cell r="F64">
            <v>195102</v>
          </cell>
          <cell r="G64">
            <v>19547</v>
          </cell>
          <cell r="J64">
            <v>35</v>
          </cell>
          <cell r="L64">
            <v>39812.75</v>
          </cell>
          <cell r="M64">
            <v>8072420</v>
          </cell>
          <cell r="N64">
            <v>7770083</v>
          </cell>
          <cell r="O64">
            <v>11633992</v>
          </cell>
          <cell r="P64">
            <v>35359.173999999999</v>
          </cell>
          <cell r="V64">
            <v>35</v>
          </cell>
          <cell r="X64">
            <v>39812.75</v>
          </cell>
          <cell r="Y64">
            <v>310.35211272900005</v>
          </cell>
          <cell r="Z64">
            <v>102.83528100000001</v>
          </cell>
          <cell r="AA64">
            <v>0.3313503494329228</v>
          </cell>
          <cell r="AB64">
            <v>50.707999999999998</v>
          </cell>
          <cell r="AC64">
            <v>0.16338860900321406</v>
          </cell>
          <cell r="AD64">
            <v>16.8</v>
          </cell>
          <cell r="AE64">
            <v>5.413206261840333E-2</v>
          </cell>
          <cell r="AF64">
            <v>70.206999999999994</v>
          </cell>
          <cell r="AG64">
            <v>0.22621724525299061</v>
          </cell>
          <cell r="AH64">
            <v>69.801831729000043</v>
          </cell>
          <cell r="AI64">
            <v>0.2249117336924692</v>
          </cell>
          <cell r="AJ64">
            <v>711.71400000000006</v>
          </cell>
          <cell r="AK64">
            <v>-401.361887271</v>
          </cell>
          <cell r="AL64">
            <v>-211.572</v>
          </cell>
          <cell r="AM64">
            <v>-1.64</v>
          </cell>
          <cell r="AN64">
            <v>-213.21199999999999</v>
          </cell>
          <cell r="AO64">
            <v>183.27976629999998</v>
          </cell>
          <cell r="AP64">
            <v>-431.29412097099998</v>
          </cell>
          <cell r="AQ64">
            <v>85.891999999999996</v>
          </cell>
          <cell r="AR64">
            <v>310.91000000000003</v>
          </cell>
          <cell r="AS64">
            <v>396.80200000000002</v>
          </cell>
          <cell r="AT64">
            <v>1.5016209709999384</v>
          </cell>
          <cell r="AU64">
            <v>-32.990500000000026</v>
          </cell>
          <cell r="AV64">
            <v>275.51286162761818</v>
          </cell>
          <cell r="AW64">
            <v>69.364448399752433</v>
          </cell>
          <cell r="AX64">
            <v>25.176482865436995</v>
          </cell>
          <cell r="AY64">
            <v>24.487729418483397</v>
          </cell>
          <cell r="BB64">
            <v>35</v>
          </cell>
          <cell r="BD64">
            <v>39812.75</v>
          </cell>
          <cell r="BE64">
            <v>-171779.49525380004</v>
          </cell>
          <cell r="BF64">
            <v>3689550.6349587636</v>
          </cell>
          <cell r="BG64">
            <v>-4.6558378580355206E-2</v>
          </cell>
          <cell r="BH64">
            <v>0.03</v>
          </cell>
          <cell r="BI64">
            <v>0.107</v>
          </cell>
          <cell r="BJ64">
            <v>925988.84100000001</v>
          </cell>
          <cell r="BK64">
            <v>0.25097604901425874</v>
          </cell>
          <cell r="BL64">
            <v>194252.12369000001</v>
          </cell>
          <cell r="BM64">
            <v>444671.06916499994</v>
          </cell>
          <cell r="BN64">
            <v>0.4368445288216416</v>
          </cell>
          <cell r="BO64">
            <v>198826.23300000001</v>
          </cell>
          <cell r="BP64">
            <v>0.4471310296245592</v>
          </cell>
          <cell r="BQ64">
            <v>-557341.12497737457</v>
          </cell>
          <cell r="BR64">
            <v>-0.15105935115689331</v>
          </cell>
          <cell r="BS64">
            <v>0.17</v>
          </cell>
          <cell r="BT64">
            <v>0.12052174184891484</v>
          </cell>
          <cell r="BU64">
            <v>0.135778451303352</v>
          </cell>
          <cell r="BV64">
            <v>0.24716227199012059</v>
          </cell>
          <cell r="BY64">
            <v>35</v>
          </cell>
        </row>
        <row r="65">
          <cell r="A65">
            <v>40178</v>
          </cell>
          <cell r="B65">
            <v>3626637</v>
          </cell>
          <cell r="C65">
            <v>970927</v>
          </cell>
          <cell r="D65">
            <v>1521468</v>
          </cell>
          <cell r="E65">
            <v>894558</v>
          </cell>
          <cell r="F65">
            <v>213584</v>
          </cell>
          <cell r="G65">
            <v>26101</v>
          </cell>
          <cell r="J65">
            <v>36</v>
          </cell>
          <cell r="L65">
            <v>40178</v>
          </cell>
          <cell r="M65">
            <v>8233845</v>
          </cell>
          <cell r="N65">
            <v>8003164</v>
          </cell>
          <cell r="O65">
            <v>11982987</v>
          </cell>
          <cell r="P65">
            <v>36419.908000000003</v>
          </cell>
          <cell r="V65">
            <v>36</v>
          </cell>
          <cell r="X65">
            <v>40178</v>
          </cell>
          <cell r="Y65">
            <v>425.63806643589999</v>
          </cell>
          <cell r="Z65">
            <v>99.284000000000006</v>
          </cell>
          <cell r="AA65">
            <v>0.23325921206098685</v>
          </cell>
          <cell r="AB65">
            <v>58.311999999999998</v>
          </cell>
          <cell r="AC65">
            <v>0.13699902475424303</v>
          </cell>
          <cell r="AD65">
            <v>17.7</v>
          </cell>
          <cell r="AE65">
            <v>4.158462646025006E-2</v>
          </cell>
          <cell r="AF65">
            <v>179.8310664359</v>
          </cell>
          <cell r="AG65">
            <v>0.42249761150764487</v>
          </cell>
          <cell r="AH65">
            <v>70.510999999999996</v>
          </cell>
          <cell r="AI65">
            <v>0.16565952521687524</v>
          </cell>
          <cell r="AJ65">
            <v>653.77099999999996</v>
          </cell>
          <cell r="AK65">
            <v>-228.13293356409997</v>
          </cell>
          <cell r="AL65">
            <v>-194.34722095111238</v>
          </cell>
          <cell r="AM65">
            <v>-2.1259999999999999</v>
          </cell>
          <cell r="AN65">
            <v>-196.47322095111238</v>
          </cell>
          <cell r="AO65">
            <v>242.53165519999999</v>
          </cell>
          <cell r="AP65">
            <v>-182.07449931521234</v>
          </cell>
          <cell r="AQ65">
            <v>132.85704000000001</v>
          </cell>
          <cell r="AR65">
            <v>275.30399999999997</v>
          </cell>
          <cell r="AS65">
            <v>408.16103999999996</v>
          </cell>
          <cell r="AT65">
            <v>-1.3981406847876496</v>
          </cell>
          <cell r="AU65">
            <v>224.68839999999997</v>
          </cell>
          <cell r="AV65">
            <v>283.77824747644672</v>
          </cell>
          <cell r="AW65">
            <v>69.995815889436102</v>
          </cell>
          <cell r="AX65">
            <v>24.665673465773896</v>
          </cell>
          <cell r="AY65">
            <v>42.122536310418155</v>
          </cell>
          <cell r="BB65">
            <v>36</v>
          </cell>
          <cell r="BD65">
            <v>40178</v>
          </cell>
          <cell r="BE65">
            <v>-221009.3029086001</v>
          </cell>
          <cell r="BF65">
            <v>3940477.6091400767</v>
          </cell>
          <cell r="BG65">
            <v>-5.6086932811383383E-2</v>
          </cell>
          <cell r="BH65">
            <v>0.03</v>
          </cell>
          <cell r="BI65">
            <v>2.5999999999999999E-2</v>
          </cell>
          <cell r="BJ65">
            <v>1084583.7948799999</v>
          </cell>
          <cell r="BK65">
            <v>0.27524170987909424</v>
          </cell>
          <cell r="BL65">
            <v>235606.282912</v>
          </cell>
          <cell r="BM65">
            <v>494578.78454999987</v>
          </cell>
          <cell r="BN65">
            <v>0.47637765765947687</v>
          </cell>
          <cell r="BO65">
            <v>228436.133</v>
          </cell>
          <cell r="BP65">
            <v>0.46188016982541241</v>
          </cell>
          <cell r="BQ65">
            <v>-362480.72371630935</v>
          </cell>
          <cell r="BR65">
            <v>-9.1989032719161382E-2</v>
          </cell>
          <cell r="BS65">
            <v>0.17</v>
          </cell>
          <cell r="BT65">
            <v>0.12551239560473759</v>
          </cell>
          <cell r="BU65">
            <v>0.14220738716423956</v>
          </cell>
          <cell r="BV65">
            <v>0.28096335363814107</v>
          </cell>
          <cell r="BY65">
            <v>36</v>
          </cell>
        </row>
        <row r="66">
          <cell r="A66">
            <v>40543.25</v>
          </cell>
          <cell r="J66">
            <v>0</v>
          </cell>
          <cell r="L66">
            <v>40543.25</v>
          </cell>
          <cell r="V66">
            <v>0</v>
          </cell>
          <cell r="X66">
            <v>40543.25</v>
          </cell>
          <cell r="Y66">
            <v>475.72342954919998</v>
          </cell>
          <cell r="Z66">
            <v>109.896</v>
          </cell>
          <cell r="AA66">
            <v>0.23100817234109847</v>
          </cell>
          <cell r="AB66">
            <v>61.435000000000002</v>
          </cell>
          <cell r="AC66">
            <v>0.12914016040415832</v>
          </cell>
          <cell r="AD66">
            <v>21.85</v>
          </cell>
          <cell r="AE66">
            <v>4.5930048096864323E-2</v>
          </cell>
          <cell r="AF66">
            <v>211.9304295492</v>
          </cell>
          <cell r="AG66">
            <v>0.44549083855303762</v>
          </cell>
          <cell r="AH66">
            <v>70.611999999999938</v>
          </cell>
          <cell r="AI66">
            <v>0.14843078060484122</v>
          </cell>
          <cell r="AJ66">
            <v>766.50750000000005</v>
          </cell>
          <cell r="AK66">
            <v>-290.78407045080007</v>
          </cell>
          <cell r="AL66">
            <v>-227.86052373565786</v>
          </cell>
          <cell r="AM66">
            <v>-3.5</v>
          </cell>
          <cell r="AN66">
            <v>-231.36052373565786</v>
          </cell>
          <cell r="AO66">
            <v>253.55506350000002</v>
          </cell>
          <cell r="AP66">
            <v>-268.58953068645786</v>
          </cell>
          <cell r="AQ66">
            <v>169.078</v>
          </cell>
          <cell r="AR66">
            <v>99.512</v>
          </cell>
          <cell r="AT66">
            <v>-4.6931354212574659E-4</v>
          </cell>
          <cell r="AV66">
            <v>292.29159490074011</v>
          </cell>
          <cell r="AW66">
            <v>72.892918786592375</v>
          </cell>
          <cell r="BB66">
            <v>0</v>
          </cell>
          <cell r="BD66">
            <v>40543.25</v>
          </cell>
          <cell r="BG66">
            <v>0</v>
          </cell>
          <cell r="BK66">
            <v>0</v>
          </cell>
          <cell r="BY66">
            <v>0</v>
          </cell>
        </row>
        <row r="67">
          <cell r="A67">
            <v>40908.5</v>
          </cell>
          <cell r="J67">
            <v>0</v>
          </cell>
          <cell r="L67">
            <v>40908.5</v>
          </cell>
          <cell r="V67">
            <v>0</v>
          </cell>
          <cell r="X67">
            <v>40908.5</v>
          </cell>
          <cell r="AA67">
            <v>0</v>
          </cell>
          <cell r="AC67">
            <v>0</v>
          </cell>
          <cell r="AE67">
            <v>0</v>
          </cell>
          <cell r="AG67">
            <v>0</v>
          </cell>
          <cell r="AH67">
            <v>0</v>
          </cell>
          <cell r="AI67">
            <v>0</v>
          </cell>
          <cell r="AK67">
            <v>0</v>
          </cell>
          <cell r="AN67">
            <v>0</v>
          </cell>
          <cell r="BB67">
            <v>0</v>
          </cell>
          <cell r="BD67">
            <v>40908.5</v>
          </cell>
          <cell r="BG67">
            <v>0</v>
          </cell>
          <cell r="BK67">
            <v>0</v>
          </cell>
          <cell r="BY67">
            <v>0</v>
          </cell>
        </row>
        <row r="68">
          <cell r="A68">
            <v>41273.75</v>
          </cell>
          <cell r="J68">
            <v>0</v>
          </cell>
          <cell r="L68">
            <v>41273.75</v>
          </cell>
          <cell r="V68">
            <v>0</v>
          </cell>
          <cell r="X68">
            <v>41273.75</v>
          </cell>
          <cell r="AA68">
            <v>0</v>
          </cell>
          <cell r="AC68">
            <v>0</v>
          </cell>
          <cell r="AE68">
            <v>0</v>
          </cell>
          <cell r="AG68">
            <v>0</v>
          </cell>
          <cell r="AH68">
            <v>0</v>
          </cell>
          <cell r="AI68">
            <v>0</v>
          </cell>
          <cell r="AK68">
            <v>0</v>
          </cell>
          <cell r="AN68">
            <v>0</v>
          </cell>
          <cell r="BB68">
            <v>0</v>
          </cell>
          <cell r="BD68">
            <v>41273.75</v>
          </cell>
          <cell r="BG68">
            <v>0</v>
          </cell>
          <cell r="BK68">
            <v>0</v>
          </cell>
          <cell r="BY68">
            <v>0</v>
          </cell>
        </row>
        <row r="69">
          <cell r="A69">
            <v>41639</v>
          </cell>
          <cell r="J69">
            <v>0</v>
          </cell>
          <cell r="L69">
            <v>41639</v>
          </cell>
          <cell r="V69">
            <v>0</v>
          </cell>
          <cell r="X69">
            <v>41639</v>
          </cell>
          <cell r="AA69">
            <v>0</v>
          </cell>
          <cell r="AC69">
            <v>0</v>
          </cell>
          <cell r="AE69">
            <v>0</v>
          </cell>
          <cell r="AG69">
            <v>0</v>
          </cell>
          <cell r="AH69">
            <v>0</v>
          </cell>
          <cell r="AI69">
            <v>0</v>
          </cell>
          <cell r="AK69">
            <v>0</v>
          </cell>
          <cell r="AN69">
            <v>0</v>
          </cell>
          <cell r="BB69">
            <v>0</v>
          </cell>
          <cell r="BD69">
            <v>41639</v>
          </cell>
          <cell r="BG69">
            <v>0</v>
          </cell>
          <cell r="BK69">
            <v>0</v>
          </cell>
          <cell r="BY69">
            <v>0</v>
          </cell>
        </row>
        <row r="70">
          <cell r="A70">
            <v>42004.25</v>
          </cell>
          <cell r="J70">
            <v>0</v>
          </cell>
          <cell r="L70">
            <v>42004.25</v>
          </cell>
          <cell r="V70">
            <v>0</v>
          </cell>
          <cell r="X70">
            <v>42004.25</v>
          </cell>
          <cell r="AA70">
            <v>0</v>
          </cell>
          <cell r="AC70">
            <v>0</v>
          </cell>
          <cell r="AE70">
            <v>0</v>
          </cell>
          <cell r="AG70">
            <v>0</v>
          </cell>
          <cell r="AH70">
            <v>0</v>
          </cell>
          <cell r="AI70">
            <v>0</v>
          </cell>
          <cell r="AK70">
            <v>0</v>
          </cell>
          <cell r="AN70">
            <v>0</v>
          </cell>
          <cell r="BB70">
            <v>0</v>
          </cell>
          <cell r="BD70">
            <v>42004.25</v>
          </cell>
          <cell r="BG70">
            <v>0</v>
          </cell>
          <cell r="BK70">
            <v>0</v>
          </cell>
          <cell r="BY70">
            <v>0</v>
          </cell>
        </row>
        <row r="71">
          <cell r="A71">
            <v>42369.5</v>
          </cell>
          <cell r="J71">
            <v>0</v>
          </cell>
          <cell r="L71">
            <v>42369.5</v>
          </cell>
          <cell r="V71">
            <v>0</v>
          </cell>
          <cell r="X71">
            <v>42369.5</v>
          </cell>
          <cell r="AA71">
            <v>0</v>
          </cell>
          <cell r="AC71">
            <v>0</v>
          </cell>
          <cell r="AE71">
            <v>0</v>
          </cell>
          <cell r="AG71">
            <v>0</v>
          </cell>
          <cell r="AH71">
            <v>0</v>
          </cell>
          <cell r="AI71">
            <v>0</v>
          </cell>
          <cell r="AK71">
            <v>0</v>
          </cell>
          <cell r="AN71">
            <v>0</v>
          </cell>
          <cell r="BB71">
            <v>0</v>
          </cell>
          <cell r="BD71">
            <v>42369.5</v>
          </cell>
          <cell r="BG71">
            <v>0</v>
          </cell>
          <cell r="BK71">
            <v>0</v>
          </cell>
          <cell r="BY71">
            <v>0</v>
          </cell>
        </row>
        <row r="72">
          <cell r="A72">
            <v>42734.75</v>
          </cell>
          <cell r="J72">
            <v>0</v>
          </cell>
          <cell r="L72">
            <v>42734.75</v>
          </cell>
          <cell r="V72">
            <v>0</v>
          </cell>
          <cell r="X72">
            <v>42734.75</v>
          </cell>
          <cell r="AA72">
            <v>0</v>
          </cell>
          <cell r="AC72">
            <v>0</v>
          </cell>
          <cell r="AE72">
            <v>0</v>
          </cell>
          <cell r="AG72">
            <v>0</v>
          </cell>
          <cell r="AH72">
            <v>0</v>
          </cell>
          <cell r="AI72">
            <v>0</v>
          </cell>
          <cell r="AK72">
            <v>0</v>
          </cell>
          <cell r="AN72">
            <v>0</v>
          </cell>
          <cell r="BB72">
            <v>0</v>
          </cell>
          <cell r="BD72">
            <v>42734.75</v>
          </cell>
          <cell r="BG72">
            <v>0</v>
          </cell>
          <cell r="BK72">
            <v>0</v>
          </cell>
          <cell r="BY72">
            <v>0</v>
          </cell>
        </row>
        <row r="73">
          <cell r="A73">
            <v>43100</v>
          </cell>
          <cell r="J73">
            <v>0</v>
          </cell>
          <cell r="L73">
            <v>43100</v>
          </cell>
          <cell r="V73">
            <v>0</v>
          </cell>
          <cell r="X73">
            <v>43100</v>
          </cell>
          <cell r="AA73">
            <v>0</v>
          </cell>
          <cell r="AC73">
            <v>0</v>
          </cell>
          <cell r="AE73">
            <v>0</v>
          </cell>
          <cell r="AG73">
            <v>0</v>
          </cell>
          <cell r="AH73">
            <v>0</v>
          </cell>
          <cell r="AI73">
            <v>0</v>
          </cell>
          <cell r="AK73">
            <v>0</v>
          </cell>
          <cell r="AN73">
            <v>0</v>
          </cell>
          <cell r="BB73">
            <v>0</v>
          </cell>
          <cell r="BD73">
            <v>43100</v>
          </cell>
          <cell r="BG73">
            <v>0</v>
          </cell>
          <cell r="BK73">
            <v>0</v>
          </cell>
          <cell r="BY73">
            <v>0</v>
          </cell>
        </row>
        <row r="74">
          <cell r="A74">
            <v>43465.25</v>
          </cell>
          <cell r="J74">
            <v>0</v>
          </cell>
          <cell r="L74">
            <v>43465.25</v>
          </cell>
          <cell r="V74">
            <v>0</v>
          </cell>
          <cell r="X74">
            <v>43465.25</v>
          </cell>
          <cell r="AA74">
            <v>0</v>
          </cell>
          <cell r="AC74">
            <v>0</v>
          </cell>
          <cell r="AE74">
            <v>0</v>
          </cell>
          <cell r="AG74">
            <v>0</v>
          </cell>
          <cell r="AH74">
            <v>0</v>
          </cell>
          <cell r="AI74">
            <v>0</v>
          </cell>
          <cell r="AK74">
            <v>0</v>
          </cell>
          <cell r="AN74">
            <v>0</v>
          </cell>
          <cell r="BB74">
            <v>0</v>
          </cell>
          <cell r="BD74">
            <v>43465.25</v>
          </cell>
          <cell r="BG74">
            <v>0</v>
          </cell>
          <cell r="BK74">
            <v>0</v>
          </cell>
          <cell r="BY74">
            <v>0</v>
          </cell>
        </row>
        <row r="75">
          <cell r="A75">
            <v>43830.5</v>
          </cell>
          <cell r="J75">
            <v>0</v>
          </cell>
          <cell r="L75">
            <v>43830.5</v>
          </cell>
          <cell r="V75">
            <v>0</v>
          </cell>
          <cell r="X75">
            <v>43830.5</v>
          </cell>
          <cell r="AA75">
            <v>0</v>
          </cell>
          <cell r="AC75">
            <v>0</v>
          </cell>
          <cell r="AE75">
            <v>0</v>
          </cell>
          <cell r="AG75">
            <v>0</v>
          </cell>
          <cell r="AH75">
            <v>0</v>
          </cell>
          <cell r="AI75">
            <v>0</v>
          </cell>
          <cell r="AK75">
            <v>0</v>
          </cell>
          <cell r="AN75">
            <v>0</v>
          </cell>
          <cell r="BB75">
            <v>0</v>
          </cell>
          <cell r="BD75">
            <v>43830.5</v>
          </cell>
          <cell r="BG75">
            <v>0</v>
          </cell>
          <cell r="BK75">
            <v>0</v>
          </cell>
          <cell r="BY75">
            <v>0</v>
          </cell>
        </row>
        <row r="76">
          <cell r="A76">
            <v>44195.75</v>
          </cell>
          <cell r="J76">
            <v>0</v>
          </cell>
          <cell r="L76">
            <v>44195.75</v>
          </cell>
          <cell r="V76">
            <v>0</v>
          </cell>
          <cell r="X76">
            <v>44195.75</v>
          </cell>
          <cell r="AA76">
            <v>0</v>
          </cell>
          <cell r="AC76">
            <v>0</v>
          </cell>
          <cell r="AE76">
            <v>0</v>
          </cell>
          <cell r="AG76">
            <v>0</v>
          </cell>
          <cell r="AH76">
            <v>0</v>
          </cell>
          <cell r="AI76">
            <v>0</v>
          </cell>
          <cell r="AK76">
            <v>0</v>
          </cell>
          <cell r="AN76">
            <v>0</v>
          </cell>
          <cell r="BB76">
            <v>0</v>
          </cell>
          <cell r="BD76">
            <v>44195.75</v>
          </cell>
          <cell r="BG76">
            <v>0</v>
          </cell>
          <cell r="BK76">
            <v>0</v>
          </cell>
          <cell r="BY76">
            <v>0</v>
          </cell>
        </row>
        <row r="77">
          <cell r="A77">
            <v>44561</v>
          </cell>
          <cell r="J77">
            <v>0</v>
          </cell>
          <cell r="L77">
            <v>44561</v>
          </cell>
          <cell r="V77">
            <v>0</v>
          </cell>
          <cell r="X77">
            <v>44561</v>
          </cell>
          <cell r="AA77">
            <v>0</v>
          </cell>
          <cell r="AC77">
            <v>0</v>
          </cell>
          <cell r="AE77">
            <v>0</v>
          </cell>
          <cell r="AG77">
            <v>0</v>
          </cell>
          <cell r="AH77">
            <v>0</v>
          </cell>
          <cell r="AI77">
            <v>0</v>
          </cell>
          <cell r="AK77">
            <v>0</v>
          </cell>
          <cell r="AN77">
            <v>0</v>
          </cell>
          <cell r="BB77">
            <v>0</v>
          </cell>
          <cell r="BD77">
            <v>44561</v>
          </cell>
          <cell r="BG77">
            <v>0</v>
          </cell>
          <cell r="BK77">
            <v>0</v>
          </cell>
          <cell r="BY77">
            <v>0</v>
          </cell>
        </row>
        <row r="78">
          <cell r="A78">
            <v>44926.25</v>
          </cell>
          <cell r="J78">
            <v>0</v>
          </cell>
          <cell r="L78">
            <v>44926.25</v>
          </cell>
          <cell r="V78">
            <v>0</v>
          </cell>
          <cell r="X78">
            <v>44926.25</v>
          </cell>
          <cell r="AA78">
            <v>0</v>
          </cell>
          <cell r="AC78">
            <v>0</v>
          </cell>
          <cell r="AE78">
            <v>0</v>
          </cell>
          <cell r="AG78">
            <v>0</v>
          </cell>
          <cell r="AH78">
            <v>0</v>
          </cell>
          <cell r="AI78">
            <v>0</v>
          </cell>
          <cell r="AK78">
            <v>0</v>
          </cell>
          <cell r="AN78">
            <v>0</v>
          </cell>
          <cell r="BB78">
            <v>0</v>
          </cell>
          <cell r="BD78">
            <v>44926.25</v>
          </cell>
          <cell r="BG78">
            <v>0</v>
          </cell>
          <cell r="BK78">
            <v>0</v>
          </cell>
          <cell r="BY78">
            <v>0</v>
          </cell>
        </row>
        <row r="79">
          <cell r="A79">
            <v>45291.5</v>
          </cell>
          <cell r="J79">
            <v>0</v>
          </cell>
          <cell r="L79">
            <v>45291.5</v>
          </cell>
          <cell r="V79">
            <v>0</v>
          </cell>
          <cell r="X79">
            <v>45291.5</v>
          </cell>
          <cell r="AA79">
            <v>0</v>
          </cell>
          <cell r="AC79">
            <v>0</v>
          </cell>
          <cell r="AE79">
            <v>0</v>
          </cell>
          <cell r="AG79">
            <v>0</v>
          </cell>
          <cell r="AH79">
            <v>0</v>
          </cell>
          <cell r="AI79">
            <v>0</v>
          </cell>
          <cell r="AK79">
            <v>0</v>
          </cell>
          <cell r="AN79">
            <v>0</v>
          </cell>
          <cell r="BB79">
            <v>0</v>
          </cell>
          <cell r="BD79">
            <v>45291.5</v>
          </cell>
          <cell r="BG79">
            <v>0</v>
          </cell>
          <cell r="BK79">
            <v>0</v>
          </cell>
          <cell r="BY79">
            <v>0</v>
          </cell>
        </row>
        <row r="80">
          <cell r="A80">
            <v>45656.75</v>
          </cell>
          <cell r="J80">
            <v>0</v>
          </cell>
          <cell r="L80">
            <v>45656.75</v>
          </cell>
          <cell r="V80">
            <v>0</v>
          </cell>
          <cell r="X80">
            <v>45656.75</v>
          </cell>
          <cell r="AA80">
            <v>0</v>
          </cell>
          <cell r="AC80">
            <v>0</v>
          </cell>
          <cell r="AE80">
            <v>0</v>
          </cell>
          <cell r="AG80">
            <v>0</v>
          </cell>
          <cell r="AH80">
            <v>0</v>
          </cell>
          <cell r="AI80">
            <v>0</v>
          </cell>
          <cell r="AK80">
            <v>0</v>
          </cell>
          <cell r="AN80">
            <v>0</v>
          </cell>
          <cell r="BB80">
            <v>0</v>
          </cell>
          <cell r="BD80">
            <v>45656.75</v>
          </cell>
          <cell r="BG80">
            <v>0</v>
          </cell>
          <cell r="BK80">
            <v>0</v>
          </cell>
          <cell r="BY80">
            <v>0</v>
          </cell>
        </row>
        <row r="81">
          <cell r="A81">
            <v>46022</v>
          </cell>
          <cell r="J81">
            <v>0</v>
          </cell>
          <cell r="L81">
            <v>46022</v>
          </cell>
          <cell r="V81">
            <v>0</v>
          </cell>
          <cell r="X81">
            <v>46022</v>
          </cell>
          <cell r="AA81">
            <v>0</v>
          </cell>
          <cell r="AC81">
            <v>0</v>
          </cell>
          <cell r="AE81">
            <v>0</v>
          </cell>
          <cell r="AG81">
            <v>0</v>
          </cell>
          <cell r="AH81">
            <v>0</v>
          </cell>
          <cell r="AI81">
            <v>0</v>
          </cell>
          <cell r="AK81">
            <v>0</v>
          </cell>
          <cell r="AN81">
            <v>0</v>
          </cell>
          <cell r="BB81">
            <v>0</v>
          </cell>
          <cell r="BD81">
            <v>46022</v>
          </cell>
          <cell r="BG81">
            <v>0</v>
          </cell>
          <cell r="BK81">
            <v>0</v>
          </cell>
          <cell r="BY81">
            <v>0</v>
          </cell>
        </row>
        <row r="82">
          <cell r="A82">
            <v>46387.25</v>
          </cell>
          <cell r="J82">
            <v>0</v>
          </cell>
          <cell r="L82">
            <v>46387.25</v>
          </cell>
          <cell r="V82">
            <v>0</v>
          </cell>
          <cell r="X82">
            <v>46387.25</v>
          </cell>
          <cell r="AA82">
            <v>0</v>
          </cell>
          <cell r="AC82">
            <v>0</v>
          </cell>
          <cell r="AE82">
            <v>0</v>
          </cell>
          <cell r="AG82">
            <v>0</v>
          </cell>
          <cell r="AH82">
            <v>0</v>
          </cell>
          <cell r="AI82">
            <v>0</v>
          </cell>
          <cell r="AK82">
            <v>0</v>
          </cell>
          <cell r="AN82">
            <v>0</v>
          </cell>
          <cell r="BB82">
            <v>0</v>
          </cell>
          <cell r="BD82">
            <v>46387.25</v>
          </cell>
          <cell r="BG82">
            <v>0</v>
          </cell>
          <cell r="BK82">
            <v>0</v>
          </cell>
          <cell r="BY82">
            <v>0</v>
          </cell>
        </row>
        <row r="83">
          <cell r="A83">
            <v>46752.5</v>
          </cell>
          <cell r="J83">
            <v>0</v>
          </cell>
          <cell r="L83">
            <v>46752.5</v>
          </cell>
          <cell r="V83">
            <v>0</v>
          </cell>
          <cell r="X83">
            <v>46752.5</v>
          </cell>
          <cell r="AA83">
            <v>0</v>
          </cell>
          <cell r="AC83">
            <v>0</v>
          </cell>
          <cell r="AE83">
            <v>0</v>
          </cell>
          <cell r="AG83">
            <v>0</v>
          </cell>
          <cell r="AH83">
            <v>0</v>
          </cell>
          <cell r="AI83">
            <v>0</v>
          </cell>
          <cell r="AK83">
            <v>0</v>
          </cell>
          <cell r="AN83">
            <v>0</v>
          </cell>
          <cell r="BB83">
            <v>0</v>
          </cell>
          <cell r="BD83">
            <v>46752.5</v>
          </cell>
          <cell r="BG83">
            <v>0</v>
          </cell>
          <cell r="BK83">
            <v>0</v>
          </cell>
          <cell r="BY83">
            <v>0</v>
          </cell>
        </row>
        <row r="84">
          <cell r="A84">
            <v>47117.75</v>
          </cell>
          <cell r="J84">
            <v>0</v>
          </cell>
          <cell r="L84">
            <v>47117.75</v>
          </cell>
          <cell r="V84">
            <v>0</v>
          </cell>
          <cell r="X84">
            <v>47117.75</v>
          </cell>
          <cell r="AA84">
            <v>0</v>
          </cell>
          <cell r="AC84">
            <v>0</v>
          </cell>
          <cell r="AE84">
            <v>0</v>
          </cell>
          <cell r="AG84">
            <v>0</v>
          </cell>
          <cell r="AH84">
            <v>0</v>
          </cell>
          <cell r="AI84">
            <v>0</v>
          </cell>
          <cell r="AK84">
            <v>0</v>
          </cell>
          <cell r="AN84">
            <v>0</v>
          </cell>
          <cell r="BB84">
            <v>0</v>
          </cell>
          <cell r="BD84">
            <v>47117.75</v>
          </cell>
          <cell r="BG84">
            <v>0</v>
          </cell>
          <cell r="BK84">
            <v>0</v>
          </cell>
          <cell r="BY84">
            <v>0</v>
          </cell>
        </row>
        <row r="85">
          <cell r="A85">
            <v>47483</v>
          </cell>
          <cell r="J85">
            <v>0</v>
          </cell>
          <cell r="L85">
            <v>47483</v>
          </cell>
          <cell r="V85">
            <v>0</v>
          </cell>
          <cell r="X85">
            <v>47483</v>
          </cell>
          <cell r="AA85">
            <v>0</v>
          </cell>
          <cell r="AC85">
            <v>0</v>
          </cell>
          <cell r="AE85">
            <v>0</v>
          </cell>
          <cell r="AG85">
            <v>0</v>
          </cell>
          <cell r="AH85">
            <v>0</v>
          </cell>
          <cell r="AI85">
            <v>0</v>
          </cell>
          <cell r="AK85">
            <v>0</v>
          </cell>
          <cell r="AN85">
            <v>0</v>
          </cell>
          <cell r="BB85">
            <v>0</v>
          </cell>
          <cell r="BD85">
            <v>47483</v>
          </cell>
          <cell r="BG85">
            <v>0</v>
          </cell>
          <cell r="BK85">
            <v>0</v>
          </cell>
          <cell r="BY85">
            <v>0</v>
          </cell>
        </row>
        <row r="86">
          <cell r="A86">
            <v>47848.25</v>
          </cell>
          <cell r="J86">
            <v>0</v>
          </cell>
          <cell r="L86">
            <v>47848.25</v>
          </cell>
          <cell r="V86">
            <v>0</v>
          </cell>
          <cell r="X86">
            <v>47848.25</v>
          </cell>
          <cell r="AA86">
            <v>0</v>
          </cell>
          <cell r="AC86">
            <v>0</v>
          </cell>
          <cell r="AE86">
            <v>0</v>
          </cell>
          <cell r="AG86">
            <v>0</v>
          </cell>
          <cell r="AH86">
            <v>0</v>
          </cell>
          <cell r="AI86">
            <v>0</v>
          </cell>
          <cell r="AK86">
            <v>0</v>
          </cell>
          <cell r="AN86">
            <v>0</v>
          </cell>
          <cell r="BB86">
            <v>0</v>
          </cell>
          <cell r="BD86">
            <v>47848.25</v>
          </cell>
          <cell r="BG86">
            <v>0</v>
          </cell>
          <cell r="BK86">
            <v>0</v>
          </cell>
          <cell r="BY86">
            <v>0</v>
          </cell>
        </row>
        <row r="87">
          <cell r="A87">
            <v>48213.5</v>
          </cell>
          <cell r="J87">
            <v>0</v>
          </cell>
          <cell r="L87">
            <v>48213.5</v>
          </cell>
          <cell r="V87">
            <v>0</v>
          </cell>
          <cell r="X87">
            <v>48213.5</v>
          </cell>
          <cell r="AA87">
            <v>0</v>
          </cell>
          <cell r="AC87">
            <v>0</v>
          </cell>
          <cell r="AE87">
            <v>0</v>
          </cell>
          <cell r="AG87">
            <v>0</v>
          </cell>
          <cell r="AH87">
            <v>0</v>
          </cell>
          <cell r="AI87">
            <v>0</v>
          </cell>
          <cell r="AK87">
            <v>0</v>
          </cell>
          <cell r="AN87">
            <v>0</v>
          </cell>
          <cell r="BB87">
            <v>0</v>
          </cell>
          <cell r="BD87">
            <v>48213.5</v>
          </cell>
          <cell r="BG87">
            <v>0</v>
          </cell>
          <cell r="BK87">
            <v>0</v>
          </cell>
          <cell r="BY87">
            <v>0</v>
          </cell>
        </row>
        <row r="88">
          <cell r="A88">
            <v>48578.75</v>
          </cell>
          <cell r="J88">
            <v>0</v>
          </cell>
          <cell r="L88">
            <v>48578.75</v>
          </cell>
          <cell r="V88">
            <v>0</v>
          </cell>
          <cell r="X88">
            <v>48578.75</v>
          </cell>
          <cell r="AA88">
            <v>0</v>
          </cell>
          <cell r="AC88">
            <v>0</v>
          </cell>
          <cell r="AE88">
            <v>0</v>
          </cell>
          <cell r="AG88">
            <v>0</v>
          </cell>
          <cell r="AH88">
            <v>0</v>
          </cell>
          <cell r="AI88">
            <v>0</v>
          </cell>
          <cell r="AK88">
            <v>0</v>
          </cell>
          <cell r="AN88">
            <v>0</v>
          </cell>
          <cell r="BB88">
            <v>0</v>
          </cell>
          <cell r="BD88">
            <v>48578.75</v>
          </cell>
          <cell r="BG88">
            <v>0</v>
          </cell>
          <cell r="BK88">
            <v>0</v>
          </cell>
          <cell r="BY88">
            <v>0</v>
          </cell>
        </row>
        <row r="89">
          <cell r="A89">
            <v>48944</v>
          </cell>
          <cell r="J89">
            <v>0</v>
          </cell>
          <cell r="L89">
            <v>48944</v>
          </cell>
          <cell r="V89">
            <v>0</v>
          </cell>
          <cell r="X89">
            <v>48944</v>
          </cell>
          <cell r="AA89">
            <v>0</v>
          </cell>
          <cell r="AC89">
            <v>0</v>
          </cell>
          <cell r="AE89">
            <v>0</v>
          </cell>
          <cell r="AG89">
            <v>0</v>
          </cell>
          <cell r="AH89">
            <v>0</v>
          </cell>
          <cell r="AI89">
            <v>0</v>
          </cell>
          <cell r="AK89">
            <v>0</v>
          </cell>
          <cell r="AN89">
            <v>0</v>
          </cell>
          <cell r="BB89">
            <v>0</v>
          </cell>
          <cell r="BD89">
            <v>48944</v>
          </cell>
          <cell r="BG89">
            <v>0</v>
          </cell>
          <cell r="BK89">
            <v>0</v>
          </cell>
          <cell r="BY89">
            <v>0</v>
          </cell>
        </row>
        <row r="90">
          <cell r="A90">
            <v>49309.25</v>
          </cell>
          <cell r="J90">
            <v>0</v>
          </cell>
          <cell r="L90">
            <v>49309.25</v>
          </cell>
          <cell r="V90">
            <v>0</v>
          </cell>
          <cell r="X90">
            <v>49309.25</v>
          </cell>
          <cell r="AA90">
            <v>0</v>
          </cell>
          <cell r="AC90">
            <v>0</v>
          </cell>
          <cell r="AE90">
            <v>0</v>
          </cell>
          <cell r="AG90">
            <v>0</v>
          </cell>
          <cell r="AH90">
            <v>0</v>
          </cell>
          <cell r="AI90">
            <v>0</v>
          </cell>
          <cell r="AK90">
            <v>0</v>
          </cell>
          <cell r="AN90">
            <v>0</v>
          </cell>
          <cell r="BB90">
            <v>0</v>
          </cell>
          <cell r="BD90">
            <v>49309.25</v>
          </cell>
          <cell r="BG90">
            <v>0</v>
          </cell>
          <cell r="BK90">
            <v>0</v>
          </cell>
          <cell r="BY90">
            <v>0</v>
          </cell>
        </row>
        <row r="91">
          <cell r="A91">
            <v>49674.5</v>
          </cell>
          <cell r="J91">
            <v>0</v>
          </cell>
          <cell r="L91">
            <v>49674.5</v>
          </cell>
          <cell r="V91">
            <v>0</v>
          </cell>
          <cell r="X91">
            <v>49674.5</v>
          </cell>
          <cell r="AA91">
            <v>0</v>
          </cell>
          <cell r="AC91">
            <v>0</v>
          </cell>
          <cell r="AE91">
            <v>0</v>
          </cell>
          <cell r="AG91">
            <v>0</v>
          </cell>
          <cell r="AH91">
            <v>0</v>
          </cell>
          <cell r="AI91">
            <v>0</v>
          </cell>
          <cell r="AK91">
            <v>0</v>
          </cell>
          <cell r="AN91">
            <v>0</v>
          </cell>
          <cell r="BB91">
            <v>0</v>
          </cell>
          <cell r="BD91">
            <v>49674.5</v>
          </cell>
          <cell r="BG91">
            <v>0</v>
          </cell>
          <cell r="BK91">
            <v>0</v>
          </cell>
          <cell r="BY91">
            <v>0</v>
          </cell>
        </row>
        <row r="92">
          <cell r="A92">
            <v>50039.75</v>
          </cell>
          <cell r="J92">
            <v>0</v>
          </cell>
          <cell r="L92">
            <v>50039.75</v>
          </cell>
          <cell r="V92">
            <v>0</v>
          </cell>
          <cell r="X92">
            <v>50039.75</v>
          </cell>
          <cell r="AA92">
            <v>0</v>
          </cell>
          <cell r="AC92">
            <v>0</v>
          </cell>
          <cell r="AE92">
            <v>0</v>
          </cell>
          <cell r="AG92">
            <v>0</v>
          </cell>
          <cell r="AH92">
            <v>0</v>
          </cell>
          <cell r="AI92">
            <v>0</v>
          </cell>
          <cell r="AK92">
            <v>0</v>
          </cell>
          <cell r="AN92">
            <v>0</v>
          </cell>
          <cell r="BB92">
            <v>0</v>
          </cell>
          <cell r="BD92">
            <v>50039.75</v>
          </cell>
          <cell r="BG92">
            <v>0</v>
          </cell>
          <cell r="BK92">
            <v>0</v>
          </cell>
          <cell r="BY92">
            <v>0</v>
          </cell>
        </row>
        <row r="93">
          <cell r="A93">
            <v>50405</v>
          </cell>
          <cell r="J93">
            <v>0</v>
          </cell>
          <cell r="L93">
            <v>50405</v>
          </cell>
          <cell r="V93">
            <v>0</v>
          </cell>
          <cell r="X93">
            <v>50405</v>
          </cell>
          <cell r="AA93">
            <v>0</v>
          </cell>
          <cell r="AC93">
            <v>0</v>
          </cell>
          <cell r="AE93">
            <v>0</v>
          </cell>
          <cell r="AG93">
            <v>0</v>
          </cell>
          <cell r="AH93">
            <v>0</v>
          </cell>
          <cell r="AI93">
            <v>0</v>
          </cell>
          <cell r="AK93">
            <v>0</v>
          </cell>
          <cell r="AN93">
            <v>0</v>
          </cell>
          <cell r="BB93">
            <v>0</v>
          </cell>
          <cell r="BD93">
            <v>50405</v>
          </cell>
          <cell r="BG93">
            <v>0</v>
          </cell>
          <cell r="BK93">
            <v>0</v>
          </cell>
          <cell r="BY93">
            <v>0</v>
          </cell>
        </row>
        <row r="94">
          <cell r="A94">
            <v>50770.25</v>
          </cell>
          <cell r="J94">
            <v>0</v>
          </cell>
          <cell r="L94">
            <v>50770.25</v>
          </cell>
          <cell r="V94">
            <v>0</v>
          </cell>
          <cell r="X94">
            <v>50770.25</v>
          </cell>
          <cell r="AA94">
            <v>0</v>
          </cell>
          <cell r="AC94">
            <v>0</v>
          </cell>
          <cell r="AE94">
            <v>0</v>
          </cell>
          <cell r="AG94">
            <v>0</v>
          </cell>
          <cell r="AH94">
            <v>0</v>
          </cell>
          <cell r="AI94">
            <v>0</v>
          </cell>
          <cell r="AK94">
            <v>0</v>
          </cell>
          <cell r="AN94">
            <v>0</v>
          </cell>
          <cell r="BB94">
            <v>0</v>
          </cell>
          <cell r="BD94">
            <v>50770.25</v>
          </cell>
          <cell r="BG94">
            <v>0</v>
          </cell>
          <cell r="BK94">
            <v>0</v>
          </cell>
          <cell r="BY94">
            <v>0</v>
          </cell>
        </row>
        <row r="95">
          <cell r="A95">
            <v>51135.5</v>
          </cell>
          <cell r="J95">
            <v>0</v>
          </cell>
          <cell r="L95">
            <v>51135.5</v>
          </cell>
          <cell r="V95">
            <v>0</v>
          </cell>
          <cell r="X95">
            <v>51135.5</v>
          </cell>
          <cell r="AA95">
            <v>0</v>
          </cell>
          <cell r="AC95">
            <v>0</v>
          </cell>
          <cell r="AE95">
            <v>0</v>
          </cell>
          <cell r="AG95">
            <v>0</v>
          </cell>
          <cell r="AH95">
            <v>0</v>
          </cell>
          <cell r="AI95">
            <v>0</v>
          </cell>
          <cell r="AK95">
            <v>0</v>
          </cell>
          <cell r="AN95">
            <v>0</v>
          </cell>
          <cell r="BB95">
            <v>0</v>
          </cell>
          <cell r="BD95">
            <v>51135.5</v>
          </cell>
          <cell r="BG95">
            <v>0</v>
          </cell>
          <cell r="BK95">
            <v>0</v>
          </cell>
          <cell r="BY95">
            <v>0</v>
          </cell>
        </row>
        <row r="96">
          <cell r="A96">
            <v>51500.75</v>
          </cell>
          <cell r="J96">
            <v>0</v>
          </cell>
          <cell r="L96">
            <v>51500.75</v>
          </cell>
          <cell r="V96">
            <v>0</v>
          </cell>
          <cell r="X96">
            <v>51500.75</v>
          </cell>
          <cell r="AA96">
            <v>0</v>
          </cell>
          <cell r="AC96">
            <v>0</v>
          </cell>
          <cell r="AE96">
            <v>0</v>
          </cell>
          <cell r="AG96">
            <v>0</v>
          </cell>
          <cell r="AH96">
            <v>0</v>
          </cell>
          <cell r="AI96">
            <v>0</v>
          </cell>
          <cell r="AK96">
            <v>0</v>
          </cell>
          <cell r="AN96">
            <v>0</v>
          </cell>
          <cell r="BB96">
            <v>0</v>
          </cell>
          <cell r="BD96">
            <v>51500.75</v>
          </cell>
          <cell r="BG96">
            <v>0</v>
          </cell>
          <cell r="BK96">
            <v>0</v>
          </cell>
          <cell r="BY96">
            <v>0</v>
          </cell>
        </row>
        <row r="97">
          <cell r="A97">
            <v>51866</v>
          </cell>
          <cell r="J97">
            <v>0</v>
          </cell>
          <cell r="L97">
            <v>51866</v>
          </cell>
          <cell r="V97">
            <v>0</v>
          </cell>
          <cell r="X97">
            <v>51866</v>
          </cell>
          <cell r="AA97">
            <v>0</v>
          </cell>
          <cell r="AC97">
            <v>0</v>
          </cell>
          <cell r="AE97">
            <v>0</v>
          </cell>
          <cell r="AG97">
            <v>0</v>
          </cell>
          <cell r="AH97">
            <v>0</v>
          </cell>
          <cell r="AI97">
            <v>0</v>
          </cell>
          <cell r="AK97">
            <v>0</v>
          </cell>
          <cell r="AN97">
            <v>0</v>
          </cell>
          <cell r="BB97">
            <v>0</v>
          </cell>
          <cell r="BD97">
            <v>51866</v>
          </cell>
          <cell r="BG97">
            <v>0</v>
          </cell>
          <cell r="BK97">
            <v>0</v>
          </cell>
          <cell r="BY97">
            <v>0</v>
          </cell>
        </row>
        <row r="98">
          <cell r="A98">
            <v>52231.25</v>
          </cell>
          <cell r="J98">
            <v>0</v>
          </cell>
          <cell r="L98">
            <v>52231.25</v>
          </cell>
          <cell r="V98">
            <v>0</v>
          </cell>
          <cell r="X98">
            <v>52231.25</v>
          </cell>
          <cell r="AA98">
            <v>0</v>
          </cell>
          <cell r="AC98">
            <v>0</v>
          </cell>
          <cell r="AE98">
            <v>0</v>
          </cell>
          <cell r="AG98">
            <v>0</v>
          </cell>
          <cell r="AH98">
            <v>0</v>
          </cell>
          <cell r="AI98">
            <v>0</v>
          </cell>
          <cell r="AK98">
            <v>0</v>
          </cell>
          <cell r="AN98">
            <v>0</v>
          </cell>
          <cell r="BB98">
            <v>0</v>
          </cell>
          <cell r="BD98">
            <v>52231.25</v>
          </cell>
          <cell r="BG98">
            <v>0</v>
          </cell>
          <cell r="BK98">
            <v>0</v>
          </cell>
          <cell r="BY98">
            <v>0</v>
          </cell>
        </row>
        <row r="99">
          <cell r="A99">
            <v>52596.5</v>
          </cell>
          <cell r="J99">
            <v>0</v>
          </cell>
          <cell r="L99">
            <v>52596.5</v>
          </cell>
          <cell r="V99">
            <v>0</v>
          </cell>
          <cell r="X99">
            <v>52596.5</v>
          </cell>
          <cell r="AA99">
            <v>0</v>
          </cell>
          <cell r="AC99">
            <v>0</v>
          </cell>
          <cell r="AE99">
            <v>0</v>
          </cell>
          <cell r="AG99">
            <v>0</v>
          </cell>
          <cell r="AH99">
            <v>0</v>
          </cell>
          <cell r="AI99">
            <v>0</v>
          </cell>
          <cell r="AK99">
            <v>0</v>
          </cell>
          <cell r="AN99">
            <v>0</v>
          </cell>
          <cell r="BB99">
            <v>0</v>
          </cell>
          <cell r="BD99">
            <v>52596.5</v>
          </cell>
          <cell r="BG99">
            <v>0</v>
          </cell>
          <cell r="BK99">
            <v>0</v>
          </cell>
          <cell r="BY99">
            <v>0</v>
          </cell>
        </row>
        <row r="100">
          <cell r="A100">
            <v>52961.75</v>
          </cell>
          <cell r="J100">
            <v>0</v>
          </cell>
          <cell r="L100">
            <v>52961.75</v>
          </cell>
          <cell r="V100">
            <v>0</v>
          </cell>
          <cell r="X100">
            <v>52961.75</v>
          </cell>
          <cell r="AA100">
            <v>0</v>
          </cell>
          <cell r="AC100">
            <v>0</v>
          </cell>
          <cell r="AE100">
            <v>0</v>
          </cell>
          <cell r="AG100">
            <v>0</v>
          </cell>
          <cell r="AH100">
            <v>0</v>
          </cell>
          <cell r="AI100">
            <v>0</v>
          </cell>
          <cell r="AK100">
            <v>0</v>
          </cell>
          <cell r="AN100">
            <v>0</v>
          </cell>
          <cell r="BB100">
            <v>0</v>
          </cell>
          <cell r="BD100">
            <v>52961.75</v>
          </cell>
          <cell r="BG100">
            <v>0</v>
          </cell>
          <cell r="BK100">
            <v>0</v>
          </cell>
          <cell r="BY100">
            <v>0</v>
          </cell>
        </row>
        <row r="101">
          <cell r="A101">
            <v>53327</v>
          </cell>
          <cell r="J101">
            <v>0</v>
          </cell>
          <cell r="L101">
            <v>53327</v>
          </cell>
          <cell r="V101">
            <v>0</v>
          </cell>
          <cell r="X101">
            <v>53327</v>
          </cell>
          <cell r="AA101">
            <v>0</v>
          </cell>
          <cell r="AC101">
            <v>0</v>
          </cell>
          <cell r="AE101">
            <v>0</v>
          </cell>
          <cell r="AG101">
            <v>0</v>
          </cell>
          <cell r="AH101">
            <v>0</v>
          </cell>
          <cell r="AI101">
            <v>0</v>
          </cell>
          <cell r="AK101">
            <v>0</v>
          </cell>
          <cell r="AN101">
            <v>0</v>
          </cell>
          <cell r="BB101">
            <v>0</v>
          </cell>
          <cell r="BD101">
            <v>53327</v>
          </cell>
          <cell r="BG101">
            <v>0</v>
          </cell>
          <cell r="BK101">
            <v>0</v>
          </cell>
          <cell r="BY101">
            <v>0</v>
          </cell>
        </row>
        <row r="102">
          <cell r="A102">
            <v>53692.25</v>
          </cell>
          <cell r="J102">
            <v>0</v>
          </cell>
          <cell r="L102">
            <v>53692.25</v>
          </cell>
          <cell r="V102">
            <v>0</v>
          </cell>
          <cell r="X102">
            <v>53692.25</v>
          </cell>
          <cell r="AA102">
            <v>0</v>
          </cell>
          <cell r="AC102">
            <v>0</v>
          </cell>
          <cell r="AE102">
            <v>0</v>
          </cell>
          <cell r="AG102">
            <v>0</v>
          </cell>
          <cell r="AH102">
            <v>0</v>
          </cell>
          <cell r="AI102">
            <v>0</v>
          </cell>
          <cell r="AK102">
            <v>0</v>
          </cell>
          <cell r="AN102">
            <v>0</v>
          </cell>
          <cell r="BB102">
            <v>0</v>
          </cell>
          <cell r="BD102">
            <v>53692.25</v>
          </cell>
          <cell r="BG102">
            <v>0</v>
          </cell>
          <cell r="BK102">
            <v>0</v>
          </cell>
          <cell r="BY102">
            <v>0</v>
          </cell>
        </row>
        <row r="103">
          <cell r="A103">
            <v>54057.5</v>
          </cell>
          <cell r="J103">
            <v>0</v>
          </cell>
          <cell r="L103">
            <v>54057.5</v>
          </cell>
          <cell r="V103">
            <v>0</v>
          </cell>
          <cell r="X103">
            <v>54057.5</v>
          </cell>
          <cell r="AA103">
            <v>0</v>
          </cell>
          <cell r="AC103">
            <v>0</v>
          </cell>
          <cell r="AE103">
            <v>0</v>
          </cell>
          <cell r="AG103">
            <v>0</v>
          </cell>
          <cell r="AH103">
            <v>0</v>
          </cell>
          <cell r="AI103">
            <v>0</v>
          </cell>
          <cell r="AK103">
            <v>0</v>
          </cell>
          <cell r="AN103">
            <v>0</v>
          </cell>
          <cell r="BB103">
            <v>0</v>
          </cell>
          <cell r="BD103">
            <v>54057.5</v>
          </cell>
          <cell r="BG103">
            <v>0</v>
          </cell>
          <cell r="BK103">
            <v>0</v>
          </cell>
          <cell r="BY103">
            <v>0</v>
          </cell>
        </row>
        <row r="104">
          <cell r="A104">
            <v>54422.75</v>
          </cell>
          <cell r="J104">
            <v>0</v>
          </cell>
          <cell r="L104">
            <v>54422.75</v>
          </cell>
          <cell r="V104">
            <v>0</v>
          </cell>
          <cell r="X104">
            <v>54422.75</v>
          </cell>
          <cell r="AA104">
            <v>0</v>
          </cell>
          <cell r="AC104">
            <v>0</v>
          </cell>
          <cell r="AE104">
            <v>0</v>
          </cell>
          <cell r="AG104">
            <v>0</v>
          </cell>
          <cell r="AH104">
            <v>0</v>
          </cell>
          <cell r="AI104">
            <v>0</v>
          </cell>
          <cell r="AK104">
            <v>0</v>
          </cell>
          <cell r="AN104">
            <v>0</v>
          </cell>
          <cell r="BB104">
            <v>0</v>
          </cell>
          <cell r="BD104">
            <v>54422.75</v>
          </cell>
          <cell r="BG104">
            <v>0</v>
          </cell>
          <cell r="BK104">
            <v>0</v>
          </cell>
          <cell r="BY104">
            <v>0</v>
          </cell>
        </row>
        <row r="105">
          <cell r="A105">
            <v>54788</v>
          </cell>
          <cell r="J105">
            <v>0</v>
          </cell>
          <cell r="L105">
            <v>54788</v>
          </cell>
          <cell r="V105">
            <v>0</v>
          </cell>
          <cell r="X105">
            <v>54788</v>
          </cell>
          <cell r="AA105">
            <v>0</v>
          </cell>
          <cell r="AC105">
            <v>0</v>
          </cell>
          <cell r="AE105">
            <v>0</v>
          </cell>
          <cell r="AG105">
            <v>0</v>
          </cell>
          <cell r="AH105">
            <v>0</v>
          </cell>
          <cell r="AI105">
            <v>0</v>
          </cell>
          <cell r="AK105">
            <v>0</v>
          </cell>
          <cell r="AN105">
            <v>0</v>
          </cell>
          <cell r="BB105">
            <v>0</v>
          </cell>
          <cell r="BD105">
            <v>54788</v>
          </cell>
          <cell r="BG105">
            <v>0</v>
          </cell>
          <cell r="BK105">
            <v>0</v>
          </cell>
          <cell r="BY105">
            <v>0</v>
          </cell>
        </row>
        <row r="106">
          <cell r="A106">
            <v>55153.25</v>
          </cell>
          <cell r="J106">
            <v>0</v>
          </cell>
          <cell r="L106">
            <v>55153.25</v>
          </cell>
          <cell r="V106">
            <v>0</v>
          </cell>
          <cell r="X106">
            <v>55153.25</v>
          </cell>
          <cell r="AA106">
            <v>0</v>
          </cell>
          <cell r="AC106">
            <v>0</v>
          </cell>
          <cell r="AE106">
            <v>0</v>
          </cell>
          <cell r="AG106">
            <v>0</v>
          </cell>
          <cell r="AH106">
            <v>0</v>
          </cell>
          <cell r="AI106">
            <v>0</v>
          </cell>
          <cell r="AK106">
            <v>0</v>
          </cell>
          <cell r="AN106">
            <v>0</v>
          </cell>
          <cell r="BB106">
            <v>0</v>
          </cell>
          <cell r="BD106">
            <v>55153.25</v>
          </cell>
          <cell r="BG106">
            <v>0</v>
          </cell>
          <cell r="BK106">
            <v>0</v>
          </cell>
          <cell r="BY106">
            <v>0</v>
          </cell>
        </row>
        <row r="107">
          <cell r="A107">
            <v>55518.5</v>
          </cell>
          <cell r="J107">
            <v>0</v>
          </cell>
          <cell r="L107">
            <v>55518.5</v>
          </cell>
          <cell r="V107">
            <v>0</v>
          </cell>
          <cell r="X107">
            <v>55518.5</v>
          </cell>
          <cell r="AA107">
            <v>0</v>
          </cell>
          <cell r="AC107">
            <v>0</v>
          </cell>
          <cell r="AE107">
            <v>0</v>
          </cell>
          <cell r="AG107">
            <v>0</v>
          </cell>
          <cell r="AH107">
            <v>0</v>
          </cell>
          <cell r="AI107">
            <v>0</v>
          </cell>
          <cell r="AK107">
            <v>0</v>
          </cell>
          <cell r="AN107">
            <v>0</v>
          </cell>
          <cell r="BB107">
            <v>0</v>
          </cell>
          <cell r="BD107">
            <v>55518.5</v>
          </cell>
          <cell r="BG107">
            <v>0</v>
          </cell>
          <cell r="BK107">
            <v>0</v>
          </cell>
          <cell r="BY107">
            <v>0</v>
          </cell>
        </row>
        <row r="108">
          <cell r="A108">
            <v>55883.75</v>
          </cell>
          <cell r="J108">
            <v>0</v>
          </cell>
          <cell r="L108">
            <v>55883.75</v>
          </cell>
          <cell r="V108">
            <v>0</v>
          </cell>
          <cell r="X108">
            <v>55883.75</v>
          </cell>
          <cell r="AA108">
            <v>0</v>
          </cell>
          <cell r="AC108">
            <v>0</v>
          </cell>
          <cell r="AE108">
            <v>0</v>
          </cell>
          <cell r="AG108">
            <v>0</v>
          </cell>
          <cell r="AH108">
            <v>0</v>
          </cell>
          <cell r="AI108">
            <v>0</v>
          </cell>
          <cell r="AK108">
            <v>0</v>
          </cell>
          <cell r="AN108">
            <v>0</v>
          </cell>
          <cell r="BB108">
            <v>0</v>
          </cell>
          <cell r="BD108">
            <v>55883.75</v>
          </cell>
          <cell r="BG108">
            <v>0</v>
          </cell>
          <cell r="BK108">
            <v>0</v>
          </cell>
          <cell r="BY108">
            <v>0</v>
          </cell>
        </row>
        <row r="109">
          <cell r="J109">
            <v>0</v>
          </cell>
          <cell r="V109">
            <v>0</v>
          </cell>
          <cell r="AA109">
            <v>0</v>
          </cell>
          <cell r="AC109">
            <v>0</v>
          </cell>
          <cell r="AE109">
            <v>0</v>
          </cell>
          <cell r="AG109">
            <v>0</v>
          </cell>
          <cell r="AH109">
            <v>0</v>
          </cell>
          <cell r="AI109">
            <v>0</v>
          </cell>
          <cell r="AK109">
            <v>0</v>
          </cell>
          <cell r="AN109">
            <v>0</v>
          </cell>
          <cell r="BB109">
            <v>0</v>
          </cell>
          <cell r="BY109">
            <v>0</v>
          </cell>
        </row>
        <row r="110">
          <cell r="J110">
            <v>0</v>
          </cell>
          <cell r="V110">
            <v>0</v>
          </cell>
          <cell r="AA110">
            <v>0</v>
          </cell>
          <cell r="AC110">
            <v>0</v>
          </cell>
          <cell r="AE110">
            <v>0</v>
          </cell>
          <cell r="AG110">
            <v>0</v>
          </cell>
          <cell r="AH110">
            <v>0</v>
          </cell>
          <cell r="AI110">
            <v>0</v>
          </cell>
          <cell r="AK110">
            <v>0</v>
          </cell>
          <cell r="AN110">
            <v>0</v>
          </cell>
          <cell r="BB110">
            <v>0</v>
          </cell>
          <cell r="BY110">
            <v>0</v>
          </cell>
        </row>
        <row r="111">
          <cell r="J111">
            <v>0</v>
          </cell>
          <cell r="V111">
            <v>0</v>
          </cell>
          <cell r="AA111">
            <v>0</v>
          </cell>
          <cell r="AC111">
            <v>0</v>
          </cell>
          <cell r="AE111">
            <v>0</v>
          </cell>
          <cell r="AG111">
            <v>0</v>
          </cell>
          <cell r="AH111">
            <v>0</v>
          </cell>
          <cell r="AI111">
            <v>0</v>
          </cell>
          <cell r="AK111">
            <v>0</v>
          </cell>
          <cell r="AN111">
            <v>0</v>
          </cell>
          <cell r="BB111">
            <v>0</v>
          </cell>
          <cell r="BY111">
            <v>0</v>
          </cell>
        </row>
        <row r="112">
          <cell r="J112">
            <v>0</v>
          </cell>
          <cell r="V112">
            <v>0</v>
          </cell>
          <cell r="AA112">
            <v>0</v>
          </cell>
          <cell r="AC112">
            <v>0</v>
          </cell>
          <cell r="AE112">
            <v>0</v>
          </cell>
          <cell r="AG112">
            <v>0</v>
          </cell>
          <cell r="AH112">
            <v>0</v>
          </cell>
          <cell r="AI112">
            <v>0</v>
          </cell>
          <cell r="AK112">
            <v>0</v>
          </cell>
          <cell r="AN112">
            <v>0</v>
          </cell>
          <cell r="BB112">
            <v>0</v>
          </cell>
          <cell r="BY112">
            <v>0</v>
          </cell>
        </row>
        <row r="113">
          <cell r="J113">
            <v>0</v>
          </cell>
          <cell r="V113">
            <v>0</v>
          </cell>
          <cell r="AA113">
            <v>0</v>
          </cell>
          <cell r="AC113">
            <v>0</v>
          </cell>
          <cell r="AE113">
            <v>0</v>
          </cell>
          <cell r="AG113">
            <v>0</v>
          </cell>
          <cell r="AH113">
            <v>0</v>
          </cell>
          <cell r="AI113">
            <v>0</v>
          </cell>
          <cell r="AK113">
            <v>0</v>
          </cell>
          <cell r="AN113">
            <v>0</v>
          </cell>
          <cell r="BB113">
            <v>0</v>
          </cell>
          <cell r="BY113">
            <v>0</v>
          </cell>
        </row>
        <row r="114">
          <cell r="J114">
            <v>0</v>
          </cell>
          <cell r="V114">
            <v>0</v>
          </cell>
          <cell r="AA114">
            <v>0</v>
          </cell>
          <cell r="AC114">
            <v>0</v>
          </cell>
          <cell r="AE114">
            <v>0</v>
          </cell>
          <cell r="AG114">
            <v>0</v>
          </cell>
          <cell r="AH114">
            <v>0</v>
          </cell>
          <cell r="AI114">
            <v>0</v>
          </cell>
          <cell r="AK114">
            <v>0</v>
          </cell>
          <cell r="AN114">
            <v>0</v>
          </cell>
          <cell r="BB114">
            <v>0</v>
          </cell>
          <cell r="BY114">
            <v>0</v>
          </cell>
        </row>
        <row r="115">
          <cell r="J115">
            <v>0</v>
          </cell>
          <cell r="V115">
            <v>0</v>
          </cell>
          <cell r="AA115">
            <v>0</v>
          </cell>
          <cell r="AC115">
            <v>0</v>
          </cell>
          <cell r="AE115">
            <v>0</v>
          </cell>
          <cell r="AG115">
            <v>0</v>
          </cell>
          <cell r="AH115">
            <v>0</v>
          </cell>
          <cell r="AI115">
            <v>0</v>
          </cell>
          <cell r="AK115">
            <v>0</v>
          </cell>
          <cell r="AN115">
            <v>0</v>
          </cell>
          <cell r="BB115">
            <v>0</v>
          </cell>
          <cell r="BY115">
            <v>0</v>
          </cell>
        </row>
        <row r="116">
          <cell r="J116">
            <v>0</v>
          </cell>
          <cell r="V116">
            <v>0</v>
          </cell>
          <cell r="AA116">
            <v>0</v>
          </cell>
          <cell r="AC116">
            <v>0</v>
          </cell>
          <cell r="AE116">
            <v>0</v>
          </cell>
          <cell r="AG116">
            <v>0</v>
          </cell>
          <cell r="AH116">
            <v>0</v>
          </cell>
          <cell r="AI116">
            <v>0</v>
          </cell>
          <cell r="AK116">
            <v>0</v>
          </cell>
          <cell r="AN116">
            <v>0</v>
          </cell>
          <cell r="BB116">
            <v>0</v>
          </cell>
          <cell r="BY116">
            <v>0</v>
          </cell>
        </row>
        <row r="117">
          <cell r="J117">
            <v>0</v>
          </cell>
          <cell r="V117">
            <v>0</v>
          </cell>
          <cell r="AA117">
            <v>0</v>
          </cell>
          <cell r="AC117">
            <v>0</v>
          </cell>
          <cell r="AE117">
            <v>0</v>
          </cell>
          <cell r="AG117">
            <v>0</v>
          </cell>
          <cell r="AH117">
            <v>0</v>
          </cell>
          <cell r="AI117">
            <v>0</v>
          </cell>
          <cell r="AK117">
            <v>0</v>
          </cell>
          <cell r="AN117">
            <v>0</v>
          </cell>
          <cell r="BB117">
            <v>0</v>
          </cell>
          <cell r="BY117">
            <v>0</v>
          </cell>
        </row>
        <row r="118">
          <cell r="J118">
            <v>0</v>
          </cell>
          <cell r="V118">
            <v>0</v>
          </cell>
          <cell r="AA118">
            <v>0</v>
          </cell>
          <cell r="AC118">
            <v>0</v>
          </cell>
          <cell r="AE118">
            <v>0</v>
          </cell>
          <cell r="AG118">
            <v>0</v>
          </cell>
          <cell r="AH118">
            <v>0</v>
          </cell>
          <cell r="AI118">
            <v>0</v>
          </cell>
          <cell r="AK118">
            <v>0</v>
          </cell>
          <cell r="AN118">
            <v>0</v>
          </cell>
          <cell r="BB118">
            <v>0</v>
          </cell>
          <cell r="BY118">
            <v>0</v>
          </cell>
        </row>
        <row r="119">
          <cell r="J119">
            <v>0</v>
          </cell>
          <cell r="V119">
            <v>0</v>
          </cell>
          <cell r="AA119">
            <v>0</v>
          </cell>
          <cell r="AC119">
            <v>0</v>
          </cell>
          <cell r="AE119">
            <v>0</v>
          </cell>
          <cell r="AG119">
            <v>0</v>
          </cell>
          <cell r="AH119">
            <v>0</v>
          </cell>
          <cell r="AI119">
            <v>0</v>
          </cell>
          <cell r="AK119">
            <v>0</v>
          </cell>
          <cell r="AN119">
            <v>0</v>
          </cell>
          <cell r="BB119">
            <v>0</v>
          </cell>
          <cell r="BY119">
            <v>0</v>
          </cell>
        </row>
        <row r="120">
          <cell r="J120">
            <v>0</v>
          </cell>
          <cell r="V120">
            <v>0</v>
          </cell>
          <cell r="AA120">
            <v>0</v>
          </cell>
          <cell r="AC120">
            <v>0</v>
          </cell>
          <cell r="AE120">
            <v>0</v>
          </cell>
          <cell r="AG120">
            <v>0</v>
          </cell>
          <cell r="AH120">
            <v>0</v>
          </cell>
          <cell r="AI120">
            <v>0</v>
          </cell>
          <cell r="AK120">
            <v>0</v>
          </cell>
          <cell r="AN120">
            <v>0</v>
          </cell>
          <cell r="BB120">
            <v>0</v>
          </cell>
          <cell r="BY120">
            <v>0</v>
          </cell>
        </row>
        <row r="121">
          <cell r="J121">
            <v>0</v>
          </cell>
          <cell r="V121">
            <v>0</v>
          </cell>
          <cell r="AA121">
            <v>0</v>
          </cell>
          <cell r="AC121">
            <v>0</v>
          </cell>
          <cell r="AE121">
            <v>0</v>
          </cell>
          <cell r="AG121">
            <v>0</v>
          </cell>
          <cell r="AH121">
            <v>0</v>
          </cell>
          <cell r="AI121">
            <v>0</v>
          </cell>
          <cell r="AK121">
            <v>0</v>
          </cell>
          <cell r="AN121">
            <v>0</v>
          </cell>
          <cell r="BB121">
            <v>0</v>
          </cell>
          <cell r="BY121">
            <v>0</v>
          </cell>
        </row>
        <row r="122">
          <cell r="J122">
            <v>0</v>
          </cell>
          <cell r="V122">
            <v>0</v>
          </cell>
          <cell r="AA122">
            <v>0</v>
          </cell>
          <cell r="AC122">
            <v>0</v>
          </cell>
          <cell r="AE122">
            <v>0</v>
          </cell>
          <cell r="AG122">
            <v>0</v>
          </cell>
          <cell r="AH122">
            <v>0</v>
          </cell>
          <cell r="AI122">
            <v>0</v>
          </cell>
          <cell r="AK122">
            <v>0</v>
          </cell>
          <cell r="AN122">
            <v>0</v>
          </cell>
          <cell r="BB122">
            <v>0</v>
          </cell>
          <cell r="BY122">
            <v>0</v>
          </cell>
        </row>
        <row r="123">
          <cell r="J123">
            <v>0</v>
          </cell>
          <cell r="V123">
            <v>0</v>
          </cell>
          <cell r="AA123">
            <v>0</v>
          </cell>
          <cell r="AC123">
            <v>0</v>
          </cell>
          <cell r="AE123">
            <v>0</v>
          </cell>
          <cell r="AG123">
            <v>0</v>
          </cell>
          <cell r="AH123">
            <v>0</v>
          </cell>
          <cell r="AI123">
            <v>0</v>
          </cell>
          <cell r="AK123">
            <v>0</v>
          </cell>
          <cell r="AN123">
            <v>0</v>
          </cell>
          <cell r="BB123">
            <v>0</v>
          </cell>
          <cell r="BY123">
            <v>0</v>
          </cell>
        </row>
        <row r="124">
          <cell r="J124">
            <v>0</v>
          </cell>
          <cell r="V124">
            <v>0</v>
          </cell>
          <cell r="AA124">
            <v>0</v>
          </cell>
          <cell r="AC124">
            <v>0</v>
          </cell>
          <cell r="AE124">
            <v>0</v>
          </cell>
          <cell r="AG124">
            <v>0</v>
          </cell>
          <cell r="AH124">
            <v>0</v>
          </cell>
          <cell r="AI124">
            <v>0</v>
          </cell>
          <cell r="AK124">
            <v>0</v>
          </cell>
          <cell r="AN124">
            <v>0</v>
          </cell>
          <cell r="BB124">
            <v>0</v>
          </cell>
          <cell r="BY124">
            <v>0</v>
          </cell>
        </row>
        <row r="125">
          <cell r="J125">
            <v>0</v>
          </cell>
          <cell r="V125">
            <v>0</v>
          </cell>
          <cell r="AA125">
            <v>0</v>
          </cell>
          <cell r="AC125">
            <v>0</v>
          </cell>
          <cell r="AE125">
            <v>0</v>
          </cell>
          <cell r="AG125">
            <v>0</v>
          </cell>
          <cell r="AH125">
            <v>0</v>
          </cell>
          <cell r="AI125">
            <v>0</v>
          </cell>
          <cell r="AK125">
            <v>0</v>
          </cell>
          <cell r="AN125">
            <v>0</v>
          </cell>
          <cell r="BB125">
            <v>0</v>
          </cell>
          <cell r="BY125">
            <v>0</v>
          </cell>
        </row>
        <row r="126">
          <cell r="J126">
            <v>0</v>
          </cell>
          <cell r="V126">
            <v>0</v>
          </cell>
          <cell r="AA126">
            <v>0</v>
          </cell>
          <cell r="AC126">
            <v>0</v>
          </cell>
          <cell r="AE126">
            <v>0</v>
          </cell>
          <cell r="AG126">
            <v>0</v>
          </cell>
          <cell r="AH126">
            <v>0</v>
          </cell>
          <cell r="AI126">
            <v>0</v>
          </cell>
          <cell r="AK126">
            <v>0</v>
          </cell>
          <cell r="AN126">
            <v>0</v>
          </cell>
          <cell r="BB126">
            <v>0</v>
          </cell>
          <cell r="BY126">
            <v>0</v>
          </cell>
        </row>
        <row r="127">
          <cell r="J127">
            <v>0</v>
          </cell>
          <cell r="V127">
            <v>0</v>
          </cell>
          <cell r="AA127">
            <v>0</v>
          </cell>
          <cell r="AC127">
            <v>0</v>
          </cell>
          <cell r="AE127">
            <v>0</v>
          </cell>
          <cell r="AG127">
            <v>0</v>
          </cell>
          <cell r="AH127">
            <v>0</v>
          </cell>
          <cell r="AI127">
            <v>0</v>
          </cell>
          <cell r="AK127">
            <v>0</v>
          </cell>
          <cell r="AN127">
            <v>0</v>
          </cell>
          <cell r="BB127">
            <v>0</v>
          </cell>
          <cell r="BY127">
            <v>0</v>
          </cell>
        </row>
        <row r="128">
          <cell r="J128">
            <v>0</v>
          </cell>
          <cell r="V128">
            <v>0</v>
          </cell>
          <cell r="AA128">
            <v>0</v>
          </cell>
          <cell r="AC128">
            <v>0</v>
          </cell>
          <cell r="AE128">
            <v>0</v>
          </cell>
          <cell r="AG128">
            <v>0</v>
          </cell>
          <cell r="AH128">
            <v>0</v>
          </cell>
          <cell r="AI128">
            <v>0</v>
          </cell>
          <cell r="AK128">
            <v>0</v>
          </cell>
          <cell r="AN128">
            <v>0</v>
          </cell>
          <cell r="BB128">
            <v>0</v>
          </cell>
          <cell r="BY128">
            <v>0</v>
          </cell>
        </row>
        <row r="129">
          <cell r="J129">
            <v>0</v>
          </cell>
          <cell r="V129">
            <v>0</v>
          </cell>
          <cell r="AA129">
            <v>0</v>
          </cell>
          <cell r="AC129">
            <v>0</v>
          </cell>
          <cell r="AE129">
            <v>0</v>
          </cell>
          <cell r="AG129">
            <v>0</v>
          </cell>
          <cell r="AH129">
            <v>0</v>
          </cell>
          <cell r="AI129">
            <v>0</v>
          </cell>
          <cell r="AK129">
            <v>0</v>
          </cell>
          <cell r="AN129">
            <v>0</v>
          </cell>
          <cell r="BB129">
            <v>0</v>
          </cell>
          <cell r="BY129">
            <v>0</v>
          </cell>
        </row>
        <row r="130">
          <cell r="J130">
            <v>0</v>
          </cell>
          <cell r="V130">
            <v>0</v>
          </cell>
          <cell r="AA130">
            <v>0</v>
          </cell>
          <cell r="AC130">
            <v>0</v>
          </cell>
          <cell r="AE130">
            <v>0</v>
          </cell>
          <cell r="AG130">
            <v>0</v>
          </cell>
          <cell r="AH130">
            <v>0</v>
          </cell>
          <cell r="AI130">
            <v>0</v>
          </cell>
          <cell r="AK130">
            <v>0</v>
          </cell>
          <cell r="AN130">
            <v>0</v>
          </cell>
          <cell r="BB130">
            <v>0</v>
          </cell>
          <cell r="BY130">
            <v>0</v>
          </cell>
        </row>
        <row r="131">
          <cell r="J131">
            <v>0</v>
          </cell>
          <cell r="V131">
            <v>0</v>
          </cell>
          <cell r="AA131">
            <v>0</v>
          </cell>
          <cell r="AC131">
            <v>0</v>
          </cell>
          <cell r="AE131">
            <v>0</v>
          </cell>
          <cell r="AG131">
            <v>0</v>
          </cell>
          <cell r="AH131">
            <v>0</v>
          </cell>
          <cell r="AI131">
            <v>0</v>
          </cell>
          <cell r="AK131">
            <v>0</v>
          </cell>
          <cell r="AN131">
            <v>0</v>
          </cell>
          <cell r="BB131">
            <v>0</v>
          </cell>
          <cell r="BY131">
            <v>0</v>
          </cell>
        </row>
        <row r="132">
          <cell r="J132">
            <v>0</v>
          </cell>
          <cell r="V132">
            <v>0</v>
          </cell>
          <cell r="AA132">
            <v>0</v>
          </cell>
          <cell r="AC132">
            <v>0</v>
          </cell>
          <cell r="AE132">
            <v>0</v>
          </cell>
          <cell r="AG132">
            <v>0</v>
          </cell>
          <cell r="AH132">
            <v>0</v>
          </cell>
          <cell r="AI132">
            <v>0</v>
          </cell>
          <cell r="AK132">
            <v>0</v>
          </cell>
          <cell r="AN132">
            <v>0</v>
          </cell>
          <cell r="BB132">
            <v>0</v>
          </cell>
          <cell r="BY132">
            <v>0</v>
          </cell>
        </row>
        <row r="133">
          <cell r="J133">
            <v>0</v>
          </cell>
          <cell r="V133">
            <v>0</v>
          </cell>
          <cell r="AA133">
            <v>0</v>
          </cell>
          <cell r="AC133">
            <v>0</v>
          </cell>
          <cell r="AE133">
            <v>0</v>
          </cell>
          <cell r="AG133">
            <v>0</v>
          </cell>
          <cell r="AH133">
            <v>0</v>
          </cell>
          <cell r="AI133">
            <v>0</v>
          </cell>
          <cell r="AK133">
            <v>0</v>
          </cell>
          <cell r="AN133">
            <v>0</v>
          </cell>
          <cell r="BB133">
            <v>0</v>
          </cell>
          <cell r="BY133">
            <v>0</v>
          </cell>
        </row>
        <row r="134">
          <cell r="J134">
            <v>0</v>
          </cell>
          <cell r="V134">
            <v>0</v>
          </cell>
          <cell r="AA134">
            <v>0</v>
          </cell>
          <cell r="AC134">
            <v>0</v>
          </cell>
          <cell r="AE134">
            <v>0</v>
          </cell>
          <cell r="AG134">
            <v>0</v>
          </cell>
          <cell r="AH134">
            <v>0</v>
          </cell>
          <cell r="AI134">
            <v>0</v>
          </cell>
          <cell r="AK134">
            <v>0</v>
          </cell>
          <cell r="AN134">
            <v>0</v>
          </cell>
          <cell r="BB134">
            <v>0</v>
          </cell>
          <cell r="BY134">
            <v>0</v>
          </cell>
        </row>
        <row r="135">
          <cell r="J135">
            <v>0</v>
          </cell>
          <cell r="V135">
            <v>0</v>
          </cell>
          <cell r="AA135">
            <v>0</v>
          </cell>
          <cell r="AC135">
            <v>0</v>
          </cell>
          <cell r="AE135">
            <v>0</v>
          </cell>
          <cell r="AG135">
            <v>0</v>
          </cell>
          <cell r="AH135">
            <v>0</v>
          </cell>
          <cell r="AI135">
            <v>0</v>
          </cell>
          <cell r="AK135">
            <v>0</v>
          </cell>
          <cell r="AN135">
            <v>0</v>
          </cell>
          <cell r="BB135">
            <v>0</v>
          </cell>
          <cell r="BY135">
            <v>0</v>
          </cell>
        </row>
        <row r="136">
          <cell r="J136">
            <v>0</v>
          </cell>
          <cell r="V136">
            <v>0</v>
          </cell>
          <cell r="AA136">
            <v>0</v>
          </cell>
          <cell r="AC136">
            <v>0</v>
          </cell>
          <cell r="AE136">
            <v>0</v>
          </cell>
          <cell r="AG136">
            <v>0</v>
          </cell>
          <cell r="AH136">
            <v>0</v>
          </cell>
          <cell r="AI136">
            <v>0</v>
          </cell>
          <cell r="AK136">
            <v>0</v>
          </cell>
          <cell r="AN136">
            <v>0</v>
          </cell>
          <cell r="BB136">
            <v>0</v>
          </cell>
          <cell r="BY136">
            <v>0</v>
          </cell>
        </row>
        <row r="137">
          <cell r="J137">
            <v>0</v>
          </cell>
          <cell r="V137">
            <v>0</v>
          </cell>
          <cell r="AA137">
            <v>0</v>
          </cell>
          <cell r="AC137">
            <v>0</v>
          </cell>
          <cell r="AE137">
            <v>0</v>
          </cell>
          <cell r="AG137">
            <v>0</v>
          </cell>
          <cell r="AH137">
            <v>0</v>
          </cell>
          <cell r="AI137">
            <v>0</v>
          </cell>
          <cell r="AK137">
            <v>0</v>
          </cell>
          <cell r="AN137">
            <v>0</v>
          </cell>
          <cell r="BB137">
            <v>0</v>
          </cell>
          <cell r="BY137">
            <v>0</v>
          </cell>
        </row>
        <row r="138">
          <cell r="J138">
            <v>0</v>
          </cell>
          <cell r="V138">
            <v>0</v>
          </cell>
          <cell r="AA138">
            <v>0</v>
          </cell>
          <cell r="AC138">
            <v>0</v>
          </cell>
          <cell r="AE138">
            <v>0</v>
          </cell>
          <cell r="AG138">
            <v>0</v>
          </cell>
          <cell r="AH138">
            <v>0</v>
          </cell>
          <cell r="AI138">
            <v>0</v>
          </cell>
          <cell r="AK138">
            <v>0</v>
          </cell>
          <cell r="AN138">
            <v>0</v>
          </cell>
          <cell r="BB138">
            <v>0</v>
          </cell>
          <cell r="BY138">
            <v>0</v>
          </cell>
        </row>
        <row r="139">
          <cell r="J139">
            <v>0</v>
          </cell>
          <cell r="V139">
            <v>0</v>
          </cell>
          <cell r="AA139">
            <v>0</v>
          </cell>
          <cell r="AC139">
            <v>0</v>
          </cell>
          <cell r="AE139">
            <v>0</v>
          </cell>
          <cell r="AG139">
            <v>0</v>
          </cell>
          <cell r="AH139">
            <v>0</v>
          </cell>
          <cell r="AI139">
            <v>0</v>
          </cell>
          <cell r="AK139">
            <v>0</v>
          </cell>
          <cell r="AN139">
            <v>0</v>
          </cell>
          <cell r="BB139">
            <v>0</v>
          </cell>
          <cell r="BY139">
            <v>0</v>
          </cell>
        </row>
        <row r="140">
          <cell r="J140">
            <v>0</v>
          </cell>
          <cell r="V140">
            <v>0</v>
          </cell>
          <cell r="AA140">
            <v>0</v>
          </cell>
          <cell r="AC140">
            <v>0</v>
          </cell>
          <cell r="AE140">
            <v>0</v>
          </cell>
          <cell r="AG140">
            <v>0</v>
          </cell>
          <cell r="AH140">
            <v>0</v>
          </cell>
          <cell r="AI140">
            <v>0</v>
          </cell>
          <cell r="AK140">
            <v>0</v>
          </cell>
          <cell r="AN140">
            <v>0</v>
          </cell>
          <cell r="BB140">
            <v>0</v>
          </cell>
          <cell r="BY140">
            <v>0</v>
          </cell>
        </row>
        <row r="141">
          <cell r="J141">
            <v>0</v>
          </cell>
          <cell r="V141">
            <v>0</v>
          </cell>
          <cell r="AA141">
            <v>0</v>
          </cell>
          <cell r="AC141">
            <v>0</v>
          </cell>
          <cell r="AE141">
            <v>0</v>
          </cell>
          <cell r="AG141">
            <v>0</v>
          </cell>
          <cell r="AH141">
            <v>0</v>
          </cell>
          <cell r="AI141">
            <v>0</v>
          </cell>
          <cell r="AK141">
            <v>0</v>
          </cell>
          <cell r="AN141">
            <v>0</v>
          </cell>
          <cell r="BB141">
            <v>0</v>
          </cell>
          <cell r="BY141">
            <v>0</v>
          </cell>
        </row>
        <row r="142">
          <cell r="J142">
            <v>0</v>
          </cell>
          <cell r="V142">
            <v>0</v>
          </cell>
          <cell r="AA142">
            <v>0</v>
          </cell>
          <cell r="AC142">
            <v>0</v>
          </cell>
          <cell r="AE142">
            <v>0</v>
          </cell>
          <cell r="AG142">
            <v>0</v>
          </cell>
          <cell r="AH142">
            <v>0</v>
          </cell>
          <cell r="AI142">
            <v>0</v>
          </cell>
          <cell r="AK142">
            <v>0</v>
          </cell>
          <cell r="AN142">
            <v>0</v>
          </cell>
          <cell r="BB142">
            <v>0</v>
          </cell>
          <cell r="BY142">
            <v>0</v>
          </cell>
        </row>
        <row r="143">
          <cell r="J143">
            <v>0</v>
          </cell>
          <cell r="V143">
            <v>0</v>
          </cell>
          <cell r="AA143">
            <v>0</v>
          </cell>
          <cell r="AC143">
            <v>0</v>
          </cell>
          <cell r="AE143">
            <v>0</v>
          </cell>
          <cell r="AG143">
            <v>0</v>
          </cell>
          <cell r="AH143">
            <v>0</v>
          </cell>
          <cell r="AI143">
            <v>0</v>
          </cell>
          <cell r="AK143">
            <v>0</v>
          </cell>
          <cell r="AN143">
            <v>0</v>
          </cell>
          <cell r="BB143">
            <v>0</v>
          </cell>
          <cell r="BY143">
            <v>0</v>
          </cell>
        </row>
        <row r="144">
          <cell r="J144">
            <v>0</v>
          </cell>
          <cell r="V144">
            <v>0</v>
          </cell>
          <cell r="AA144">
            <v>0</v>
          </cell>
          <cell r="AC144">
            <v>0</v>
          </cell>
          <cell r="AE144">
            <v>0</v>
          </cell>
          <cell r="AG144">
            <v>0</v>
          </cell>
          <cell r="AH144">
            <v>0</v>
          </cell>
          <cell r="AI144">
            <v>0</v>
          </cell>
          <cell r="AK144">
            <v>0</v>
          </cell>
          <cell r="AN144">
            <v>0</v>
          </cell>
          <cell r="BB144">
            <v>0</v>
          </cell>
          <cell r="BY144">
            <v>0</v>
          </cell>
        </row>
        <row r="145">
          <cell r="J145">
            <v>0</v>
          </cell>
          <cell r="V145">
            <v>0</v>
          </cell>
          <cell r="AA145">
            <v>0</v>
          </cell>
          <cell r="AC145">
            <v>0</v>
          </cell>
          <cell r="AE145">
            <v>0</v>
          </cell>
          <cell r="AG145">
            <v>0</v>
          </cell>
          <cell r="AH145">
            <v>0</v>
          </cell>
          <cell r="AI145">
            <v>0</v>
          </cell>
          <cell r="AK145">
            <v>0</v>
          </cell>
          <cell r="AN145">
            <v>0</v>
          </cell>
          <cell r="BB145">
            <v>0</v>
          </cell>
          <cell r="BY145">
            <v>0</v>
          </cell>
        </row>
        <row r="146">
          <cell r="J146">
            <v>0</v>
          </cell>
          <cell r="V146">
            <v>0</v>
          </cell>
          <cell r="AA146">
            <v>0</v>
          </cell>
          <cell r="AC146">
            <v>0</v>
          </cell>
          <cell r="AE146">
            <v>0</v>
          </cell>
          <cell r="AG146">
            <v>0</v>
          </cell>
          <cell r="AH146">
            <v>0</v>
          </cell>
          <cell r="AI146">
            <v>0</v>
          </cell>
          <cell r="AK146">
            <v>0</v>
          </cell>
          <cell r="AN146">
            <v>0</v>
          </cell>
          <cell r="BB146">
            <v>0</v>
          </cell>
          <cell r="BY146">
            <v>0</v>
          </cell>
        </row>
        <row r="147">
          <cell r="J147">
            <v>0</v>
          </cell>
          <cell r="V147">
            <v>0</v>
          </cell>
          <cell r="AA147">
            <v>0</v>
          </cell>
          <cell r="AC147">
            <v>0</v>
          </cell>
          <cell r="AE147">
            <v>0</v>
          </cell>
          <cell r="AG147">
            <v>0</v>
          </cell>
          <cell r="AH147">
            <v>0</v>
          </cell>
          <cell r="AI147">
            <v>0</v>
          </cell>
          <cell r="AK147">
            <v>0</v>
          </cell>
          <cell r="AN147">
            <v>0</v>
          </cell>
          <cell r="BB147">
            <v>0</v>
          </cell>
          <cell r="BY147">
            <v>0</v>
          </cell>
        </row>
        <row r="148">
          <cell r="J148">
            <v>0</v>
          </cell>
          <cell r="V148">
            <v>0</v>
          </cell>
          <cell r="AA148">
            <v>0</v>
          </cell>
          <cell r="AC148">
            <v>0</v>
          </cell>
          <cell r="AE148">
            <v>0</v>
          </cell>
          <cell r="AG148">
            <v>0</v>
          </cell>
          <cell r="AH148">
            <v>0</v>
          </cell>
          <cell r="AI148">
            <v>0</v>
          </cell>
          <cell r="AK148">
            <v>0</v>
          </cell>
          <cell r="AN148">
            <v>0</v>
          </cell>
          <cell r="BB148">
            <v>0</v>
          </cell>
          <cell r="BY148">
            <v>0</v>
          </cell>
        </row>
        <row r="149">
          <cell r="J149">
            <v>0</v>
          </cell>
          <cell r="V149">
            <v>0</v>
          </cell>
          <cell r="AA149">
            <v>0</v>
          </cell>
          <cell r="AC149">
            <v>0</v>
          </cell>
          <cell r="AE149">
            <v>0</v>
          </cell>
          <cell r="AG149">
            <v>0</v>
          </cell>
          <cell r="AH149">
            <v>0</v>
          </cell>
          <cell r="AI149">
            <v>0</v>
          </cell>
          <cell r="AK149">
            <v>0</v>
          </cell>
          <cell r="AN149">
            <v>0</v>
          </cell>
          <cell r="BB149">
            <v>0</v>
          </cell>
          <cell r="BY149">
            <v>0</v>
          </cell>
        </row>
        <row r="150">
          <cell r="J150">
            <v>0</v>
          </cell>
          <cell r="V150">
            <v>0</v>
          </cell>
          <cell r="AA150">
            <v>0</v>
          </cell>
          <cell r="AC150">
            <v>0</v>
          </cell>
          <cell r="AE150">
            <v>0</v>
          </cell>
          <cell r="AG150">
            <v>0</v>
          </cell>
          <cell r="AH150">
            <v>0</v>
          </cell>
          <cell r="AI150">
            <v>0</v>
          </cell>
          <cell r="AK150">
            <v>0</v>
          </cell>
          <cell r="AN150">
            <v>0</v>
          </cell>
          <cell r="BB150">
            <v>0</v>
          </cell>
          <cell r="BY150">
            <v>0</v>
          </cell>
        </row>
        <row r="151">
          <cell r="J151">
            <v>0</v>
          </cell>
          <cell r="V151">
            <v>0</v>
          </cell>
          <cell r="AA151">
            <v>0</v>
          </cell>
          <cell r="AC151">
            <v>0</v>
          </cell>
          <cell r="AE151">
            <v>0</v>
          </cell>
          <cell r="AG151">
            <v>0</v>
          </cell>
          <cell r="AH151">
            <v>0</v>
          </cell>
          <cell r="AI151">
            <v>0</v>
          </cell>
          <cell r="AK151">
            <v>0</v>
          </cell>
          <cell r="AN151">
            <v>0</v>
          </cell>
          <cell r="BB151">
            <v>0</v>
          </cell>
          <cell r="BY151">
            <v>0</v>
          </cell>
        </row>
        <row r="152">
          <cell r="J152">
            <v>0</v>
          </cell>
          <cell r="V152">
            <v>0</v>
          </cell>
          <cell r="AA152">
            <v>0</v>
          </cell>
          <cell r="AC152">
            <v>0</v>
          </cell>
          <cell r="AE152">
            <v>0</v>
          </cell>
          <cell r="AG152">
            <v>0</v>
          </cell>
          <cell r="AH152">
            <v>0</v>
          </cell>
          <cell r="AI152">
            <v>0</v>
          </cell>
          <cell r="AK152">
            <v>0</v>
          </cell>
          <cell r="AN152">
            <v>0</v>
          </cell>
          <cell r="BB152">
            <v>0</v>
          </cell>
          <cell r="BY152">
            <v>0</v>
          </cell>
        </row>
        <row r="153">
          <cell r="J153">
            <v>0</v>
          </cell>
          <cell r="V153">
            <v>0</v>
          </cell>
          <cell r="AA153">
            <v>0</v>
          </cell>
          <cell r="AC153">
            <v>0</v>
          </cell>
          <cell r="AE153">
            <v>0</v>
          </cell>
          <cell r="AG153">
            <v>0</v>
          </cell>
          <cell r="AH153">
            <v>0</v>
          </cell>
          <cell r="AI153">
            <v>0</v>
          </cell>
          <cell r="AK153">
            <v>0</v>
          </cell>
          <cell r="AN153">
            <v>0</v>
          </cell>
          <cell r="BB153">
            <v>0</v>
          </cell>
          <cell r="BY153">
            <v>0</v>
          </cell>
        </row>
        <row r="154">
          <cell r="J154">
            <v>0</v>
          </cell>
          <cell r="V154">
            <v>0</v>
          </cell>
          <cell r="AA154">
            <v>0</v>
          </cell>
          <cell r="AC154">
            <v>0</v>
          </cell>
          <cell r="AE154">
            <v>0</v>
          </cell>
          <cell r="AG154">
            <v>0</v>
          </cell>
          <cell r="AH154">
            <v>0</v>
          </cell>
          <cell r="AI154">
            <v>0</v>
          </cell>
          <cell r="AK154">
            <v>0</v>
          </cell>
          <cell r="AN154">
            <v>0</v>
          </cell>
          <cell r="BB154">
            <v>0</v>
          </cell>
          <cell r="BY154">
            <v>0</v>
          </cell>
        </row>
        <row r="155">
          <cell r="J155">
            <v>0</v>
          </cell>
          <cell r="V155">
            <v>0</v>
          </cell>
          <cell r="AA155">
            <v>0</v>
          </cell>
          <cell r="AC155">
            <v>0</v>
          </cell>
          <cell r="AE155">
            <v>0</v>
          </cell>
          <cell r="AG155">
            <v>0</v>
          </cell>
          <cell r="AH155">
            <v>0</v>
          </cell>
          <cell r="AI155">
            <v>0</v>
          </cell>
          <cell r="AK155">
            <v>0</v>
          </cell>
          <cell r="AN155">
            <v>0</v>
          </cell>
          <cell r="BB155">
            <v>0</v>
          </cell>
          <cell r="BY155">
            <v>0</v>
          </cell>
        </row>
        <row r="156">
          <cell r="J156">
            <v>0</v>
          </cell>
          <cell r="V156">
            <v>0</v>
          </cell>
          <cell r="AA156">
            <v>0</v>
          </cell>
          <cell r="AC156">
            <v>0</v>
          </cell>
          <cell r="AE156">
            <v>0</v>
          </cell>
          <cell r="AG156">
            <v>0</v>
          </cell>
          <cell r="AH156">
            <v>0</v>
          </cell>
          <cell r="AI156">
            <v>0</v>
          </cell>
          <cell r="AK156">
            <v>0</v>
          </cell>
          <cell r="AN156">
            <v>0</v>
          </cell>
          <cell r="BB156">
            <v>0</v>
          </cell>
          <cell r="BY156">
            <v>0</v>
          </cell>
        </row>
        <row r="157">
          <cell r="J157">
            <v>0</v>
          </cell>
          <cell r="V157">
            <v>0</v>
          </cell>
          <cell r="AA157">
            <v>0</v>
          </cell>
          <cell r="AC157">
            <v>0</v>
          </cell>
          <cell r="AE157">
            <v>0</v>
          </cell>
          <cell r="AG157">
            <v>0</v>
          </cell>
          <cell r="AH157">
            <v>0</v>
          </cell>
          <cell r="AI157">
            <v>0</v>
          </cell>
          <cell r="AK157">
            <v>0</v>
          </cell>
          <cell r="AN157">
            <v>0</v>
          </cell>
          <cell r="BB157">
            <v>0</v>
          </cell>
          <cell r="BY157">
            <v>0</v>
          </cell>
        </row>
        <row r="158">
          <cell r="J158">
            <v>0</v>
          </cell>
          <cell r="V158">
            <v>0</v>
          </cell>
          <cell r="AA158">
            <v>0</v>
          </cell>
          <cell r="AC158">
            <v>0</v>
          </cell>
          <cell r="AE158">
            <v>0</v>
          </cell>
          <cell r="AG158">
            <v>0</v>
          </cell>
          <cell r="AH158">
            <v>0</v>
          </cell>
          <cell r="AI158">
            <v>0</v>
          </cell>
          <cell r="AK158">
            <v>0</v>
          </cell>
          <cell r="AN158">
            <v>0</v>
          </cell>
          <cell r="BB158">
            <v>0</v>
          </cell>
          <cell r="BY158">
            <v>0</v>
          </cell>
        </row>
        <row r="159">
          <cell r="J159">
            <v>0</v>
          </cell>
          <cell r="V159">
            <v>0</v>
          </cell>
          <cell r="AA159">
            <v>0</v>
          </cell>
          <cell r="AC159">
            <v>0</v>
          </cell>
          <cell r="AE159">
            <v>0</v>
          </cell>
          <cell r="AG159">
            <v>0</v>
          </cell>
          <cell r="AH159">
            <v>0</v>
          </cell>
          <cell r="AI159">
            <v>0</v>
          </cell>
          <cell r="AK159">
            <v>0</v>
          </cell>
          <cell r="AN159">
            <v>0</v>
          </cell>
          <cell r="BB159">
            <v>0</v>
          </cell>
          <cell r="BY159">
            <v>0</v>
          </cell>
        </row>
        <row r="160">
          <cell r="J160">
            <v>0</v>
          </cell>
          <cell r="V160">
            <v>0</v>
          </cell>
          <cell r="AA160">
            <v>0</v>
          </cell>
          <cell r="AC160">
            <v>0</v>
          </cell>
          <cell r="AE160">
            <v>0</v>
          </cell>
          <cell r="AG160">
            <v>0</v>
          </cell>
          <cell r="AH160">
            <v>0</v>
          </cell>
          <cell r="AI160">
            <v>0</v>
          </cell>
          <cell r="AK160">
            <v>0</v>
          </cell>
          <cell r="AN160">
            <v>0</v>
          </cell>
          <cell r="BB160">
            <v>0</v>
          </cell>
          <cell r="BY160">
            <v>0</v>
          </cell>
        </row>
        <row r="161">
          <cell r="J161">
            <v>0</v>
          </cell>
          <cell r="V161">
            <v>0</v>
          </cell>
          <cell r="AA161">
            <v>0</v>
          </cell>
          <cell r="AC161">
            <v>0</v>
          </cell>
          <cell r="AE161">
            <v>0</v>
          </cell>
          <cell r="AG161">
            <v>0</v>
          </cell>
          <cell r="AH161">
            <v>0</v>
          </cell>
          <cell r="AI161">
            <v>0</v>
          </cell>
          <cell r="AK161">
            <v>0</v>
          </cell>
          <cell r="AN161">
            <v>0</v>
          </cell>
          <cell r="BB161">
            <v>0</v>
          </cell>
          <cell r="BY161">
            <v>0</v>
          </cell>
        </row>
        <row r="162">
          <cell r="J162">
            <v>0</v>
          </cell>
          <cell r="V162">
            <v>0</v>
          </cell>
          <cell r="AA162">
            <v>0</v>
          </cell>
          <cell r="AC162">
            <v>0</v>
          </cell>
          <cell r="AE162">
            <v>0</v>
          </cell>
          <cell r="AG162">
            <v>0</v>
          </cell>
          <cell r="AH162">
            <v>0</v>
          </cell>
          <cell r="AI162">
            <v>0</v>
          </cell>
          <cell r="AK162">
            <v>0</v>
          </cell>
          <cell r="AN162">
            <v>0</v>
          </cell>
          <cell r="BB162">
            <v>0</v>
          </cell>
          <cell r="BY162">
            <v>0</v>
          </cell>
        </row>
        <row r="163">
          <cell r="J163">
            <v>0</v>
          </cell>
          <cell r="V163">
            <v>0</v>
          </cell>
          <cell r="AA163">
            <v>0</v>
          </cell>
          <cell r="AC163">
            <v>0</v>
          </cell>
          <cell r="AE163">
            <v>0</v>
          </cell>
          <cell r="AG163">
            <v>0</v>
          </cell>
          <cell r="AH163">
            <v>0</v>
          </cell>
          <cell r="AI163">
            <v>0</v>
          </cell>
          <cell r="AK163">
            <v>0</v>
          </cell>
          <cell r="AN163">
            <v>0</v>
          </cell>
          <cell r="BB163">
            <v>0</v>
          </cell>
          <cell r="BY163">
            <v>0</v>
          </cell>
        </row>
        <row r="164">
          <cell r="J164">
            <v>0</v>
          </cell>
          <cell r="V164">
            <v>0</v>
          </cell>
          <cell r="AA164">
            <v>0</v>
          </cell>
          <cell r="AC164">
            <v>0</v>
          </cell>
          <cell r="AE164">
            <v>0</v>
          </cell>
          <cell r="AG164">
            <v>0</v>
          </cell>
          <cell r="AH164">
            <v>0</v>
          </cell>
          <cell r="AI164">
            <v>0</v>
          </cell>
          <cell r="AK164">
            <v>0</v>
          </cell>
          <cell r="AN164">
            <v>0</v>
          </cell>
          <cell r="BB164">
            <v>0</v>
          </cell>
          <cell r="BY164">
            <v>0</v>
          </cell>
        </row>
        <row r="165">
          <cell r="J165">
            <v>0</v>
          </cell>
          <cell r="V165">
            <v>0</v>
          </cell>
          <cell r="AA165">
            <v>0</v>
          </cell>
          <cell r="AC165">
            <v>0</v>
          </cell>
          <cell r="AE165">
            <v>0</v>
          </cell>
          <cell r="AG165">
            <v>0</v>
          </cell>
          <cell r="AH165">
            <v>0</v>
          </cell>
          <cell r="AI165">
            <v>0</v>
          </cell>
          <cell r="AK165">
            <v>0</v>
          </cell>
          <cell r="AN165">
            <v>0</v>
          </cell>
          <cell r="BB165">
            <v>0</v>
          </cell>
          <cell r="BY165">
            <v>0</v>
          </cell>
        </row>
        <row r="166">
          <cell r="J166">
            <v>0</v>
          </cell>
          <cell r="V166">
            <v>0</v>
          </cell>
          <cell r="AA166">
            <v>0</v>
          </cell>
          <cell r="AC166">
            <v>0</v>
          </cell>
          <cell r="AE166">
            <v>0</v>
          </cell>
          <cell r="AG166">
            <v>0</v>
          </cell>
          <cell r="AH166">
            <v>0</v>
          </cell>
          <cell r="AI166">
            <v>0</v>
          </cell>
          <cell r="AK166">
            <v>0</v>
          </cell>
          <cell r="AN166">
            <v>0</v>
          </cell>
          <cell r="BB166">
            <v>0</v>
          </cell>
          <cell r="BY166">
            <v>0</v>
          </cell>
        </row>
        <row r="167">
          <cell r="J167">
            <v>0</v>
          </cell>
          <cell r="V167">
            <v>0</v>
          </cell>
          <cell r="AA167">
            <v>0</v>
          </cell>
          <cell r="AC167">
            <v>0</v>
          </cell>
          <cell r="AE167">
            <v>0</v>
          </cell>
          <cell r="AG167">
            <v>0</v>
          </cell>
          <cell r="AH167">
            <v>0</v>
          </cell>
          <cell r="AI167">
            <v>0</v>
          </cell>
          <cell r="AK167">
            <v>0</v>
          </cell>
          <cell r="AN167">
            <v>0</v>
          </cell>
          <cell r="BB167">
            <v>0</v>
          </cell>
          <cell r="BY167">
            <v>0</v>
          </cell>
        </row>
        <row r="168">
          <cell r="J168">
            <v>0</v>
          </cell>
          <cell r="V168">
            <v>0</v>
          </cell>
          <cell r="AA168">
            <v>0</v>
          </cell>
          <cell r="AC168">
            <v>0</v>
          </cell>
          <cell r="AE168">
            <v>0</v>
          </cell>
          <cell r="AG168">
            <v>0</v>
          </cell>
          <cell r="AH168">
            <v>0</v>
          </cell>
          <cell r="AI168">
            <v>0</v>
          </cell>
          <cell r="AK168">
            <v>0</v>
          </cell>
          <cell r="AN168">
            <v>0</v>
          </cell>
          <cell r="BB168">
            <v>0</v>
          </cell>
          <cell r="BY168">
            <v>0</v>
          </cell>
        </row>
        <row r="169">
          <cell r="J169">
            <v>0</v>
          </cell>
          <cell r="V169">
            <v>0</v>
          </cell>
          <cell r="AA169">
            <v>0</v>
          </cell>
          <cell r="AC169">
            <v>0</v>
          </cell>
          <cell r="AE169">
            <v>0</v>
          </cell>
          <cell r="AG169">
            <v>0</v>
          </cell>
          <cell r="AH169">
            <v>0</v>
          </cell>
          <cell r="AI169">
            <v>0</v>
          </cell>
          <cell r="AK169">
            <v>0</v>
          </cell>
          <cell r="AN169">
            <v>0</v>
          </cell>
          <cell r="BB169">
            <v>0</v>
          </cell>
          <cell r="BY169">
            <v>0</v>
          </cell>
        </row>
        <row r="170">
          <cell r="J170">
            <v>0</v>
          </cell>
          <cell r="V170">
            <v>0</v>
          </cell>
          <cell r="AA170">
            <v>0</v>
          </cell>
          <cell r="AC170">
            <v>0</v>
          </cell>
          <cell r="AE170">
            <v>0</v>
          </cell>
          <cell r="AG170">
            <v>0</v>
          </cell>
          <cell r="AH170">
            <v>0</v>
          </cell>
          <cell r="AI170">
            <v>0</v>
          </cell>
          <cell r="AK170">
            <v>0</v>
          </cell>
          <cell r="AN170">
            <v>0</v>
          </cell>
          <cell r="BB170">
            <v>0</v>
          </cell>
          <cell r="BY170">
            <v>0</v>
          </cell>
        </row>
        <row r="171">
          <cell r="J171">
            <v>0</v>
          </cell>
          <cell r="V171">
            <v>0</v>
          </cell>
          <cell r="AA171">
            <v>0</v>
          </cell>
          <cell r="AC171">
            <v>0</v>
          </cell>
          <cell r="AE171">
            <v>0</v>
          </cell>
          <cell r="AG171">
            <v>0</v>
          </cell>
          <cell r="AH171">
            <v>0</v>
          </cell>
          <cell r="AI171">
            <v>0</v>
          </cell>
          <cell r="AK171">
            <v>0</v>
          </cell>
          <cell r="AN171">
            <v>0</v>
          </cell>
          <cell r="BB171">
            <v>0</v>
          </cell>
          <cell r="BY171">
            <v>0</v>
          </cell>
        </row>
        <row r="172">
          <cell r="J172">
            <v>0</v>
          </cell>
          <cell r="V172">
            <v>0</v>
          </cell>
          <cell r="AA172">
            <v>0</v>
          </cell>
          <cell r="AC172">
            <v>0</v>
          </cell>
          <cell r="AE172">
            <v>0</v>
          </cell>
          <cell r="AG172">
            <v>0</v>
          </cell>
          <cell r="AH172">
            <v>0</v>
          </cell>
          <cell r="AI172">
            <v>0</v>
          </cell>
          <cell r="AK172">
            <v>0</v>
          </cell>
          <cell r="AN172">
            <v>0</v>
          </cell>
          <cell r="BB172">
            <v>0</v>
          </cell>
          <cell r="BY172">
            <v>0</v>
          </cell>
        </row>
        <row r="173">
          <cell r="J173">
            <v>0</v>
          </cell>
          <cell r="V173">
            <v>0</v>
          </cell>
          <cell r="AA173">
            <v>0</v>
          </cell>
          <cell r="AC173">
            <v>0</v>
          </cell>
          <cell r="AE173">
            <v>0</v>
          </cell>
          <cell r="AG173">
            <v>0</v>
          </cell>
          <cell r="AH173">
            <v>0</v>
          </cell>
          <cell r="AI173">
            <v>0</v>
          </cell>
          <cell r="AK173">
            <v>0</v>
          </cell>
          <cell r="AN173">
            <v>0</v>
          </cell>
          <cell r="BB173">
            <v>0</v>
          </cell>
          <cell r="BY173">
            <v>0</v>
          </cell>
        </row>
        <row r="174">
          <cell r="J174">
            <v>0</v>
          </cell>
          <cell r="V174">
            <v>0</v>
          </cell>
          <cell r="AA174">
            <v>0</v>
          </cell>
          <cell r="AC174">
            <v>0</v>
          </cell>
          <cell r="AE174">
            <v>0</v>
          </cell>
          <cell r="AG174">
            <v>0</v>
          </cell>
          <cell r="AH174">
            <v>0</v>
          </cell>
          <cell r="AI174">
            <v>0</v>
          </cell>
          <cell r="AK174">
            <v>0</v>
          </cell>
          <cell r="AN174">
            <v>0</v>
          </cell>
          <cell r="BB174">
            <v>0</v>
          </cell>
          <cell r="BY174">
            <v>0</v>
          </cell>
        </row>
        <row r="175">
          <cell r="J175">
            <v>0</v>
          </cell>
          <cell r="V175">
            <v>0</v>
          </cell>
          <cell r="AA175">
            <v>0</v>
          </cell>
          <cell r="AC175">
            <v>0</v>
          </cell>
          <cell r="AE175">
            <v>0</v>
          </cell>
          <cell r="AG175">
            <v>0</v>
          </cell>
          <cell r="AH175">
            <v>0</v>
          </cell>
          <cell r="AI175">
            <v>0</v>
          </cell>
          <cell r="AK175">
            <v>0</v>
          </cell>
          <cell r="AN175">
            <v>0</v>
          </cell>
          <cell r="BB175">
            <v>0</v>
          </cell>
          <cell r="BY175">
            <v>0</v>
          </cell>
        </row>
        <row r="176">
          <cell r="J176">
            <v>0</v>
          </cell>
          <cell r="V176">
            <v>0</v>
          </cell>
          <cell r="AA176">
            <v>0</v>
          </cell>
          <cell r="AC176">
            <v>0</v>
          </cell>
          <cell r="AE176">
            <v>0</v>
          </cell>
          <cell r="AG176">
            <v>0</v>
          </cell>
          <cell r="AH176">
            <v>0</v>
          </cell>
          <cell r="AI176">
            <v>0</v>
          </cell>
          <cell r="AK176">
            <v>0</v>
          </cell>
          <cell r="AN176">
            <v>0</v>
          </cell>
          <cell r="BB176">
            <v>0</v>
          </cell>
          <cell r="BY176">
            <v>0</v>
          </cell>
        </row>
        <row r="177">
          <cell r="J177">
            <v>0</v>
          </cell>
          <cell r="V177">
            <v>0</v>
          </cell>
          <cell r="AA177">
            <v>0</v>
          </cell>
          <cell r="AC177">
            <v>0</v>
          </cell>
          <cell r="AE177">
            <v>0</v>
          </cell>
          <cell r="AG177">
            <v>0</v>
          </cell>
          <cell r="AH177">
            <v>0</v>
          </cell>
          <cell r="AI177">
            <v>0</v>
          </cell>
          <cell r="AK177">
            <v>0</v>
          </cell>
          <cell r="AN177">
            <v>0</v>
          </cell>
          <cell r="BB177">
            <v>0</v>
          </cell>
          <cell r="BY177">
            <v>0</v>
          </cell>
        </row>
        <row r="178">
          <cell r="J178">
            <v>0</v>
          </cell>
          <cell r="V178">
            <v>0</v>
          </cell>
          <cell r="AA178">
            <v>0</v>
          </cell>
          <cell r="AC178">
            <v>0</v>
          </cell>
          <cell r="AE178">
            <v>0</v>
          </cell>
          <cell r="AG178">
            <v>0</v>
          </cell>
          <cell r="AH178">
            <v>0</v>
          </cell>
          <cell r="AI178">
            <v>0</v>
          </cell>
          <cell r="AK178">
            <v>0</v>
          </cell>
          <cell r="AN178">
            <v>0</v>
          </cell>
          <cell r="BB178">
            <v>0</v>
          </cell>
          <cell r="BY178">
            <v>0</v>
          </cell>
        </row>
        <row r="179">
          <cell r="J179">
            <v>0</v>
          </cell>
          <cell r="V179">
            <v>0</v>
          </cell>
          <cell r="AA179">
            <v>0</v>
          </cell>
          <cell r="AC179">
            <v>0</v>
          </cell>
          <cell r="AE179">
            <v>0</v>
          </cell>
          <cell r="AG179">
            <v>0</v>
          </cell>
          <cell r="AH179">
            <v>0</v>
          </cell>
          <cell r="AI179">
            <v>0</v>
          </cell>
          <cell r="AK179">
            <v>0</v>
          </cell>
          <cell r="AN179">
            <v>0</v>
          </cell>
          <cell r="BB179">
            <v>0</v>
          </cell>
          <cell r="BY179">
            <v>0</v>
          </cell>
        </row>
        <row r="180">
          <cell r="J180">
            <v>0</v>
          </cell>
          <cell r="V180">
            <v>0</v>
          </cell>
          <cell r="AA180">
            <v>0</v>
          </cell>
          <cell r="AC180">
            <v>0</v>
          </cell>
          <cell r="AE180">
            <v>0</v>
          </cell>
          <cell r="AG180">
            <v>0</v>
          </cell>
          <cell r="AH180">
            <v>0</v>
          </cell>
          <cell r="AI180">
            <v>0</v>
          </cell>
          <cell r="AK180">
            <v>0</v>
          </cell>
          <cell r="AN180">
            <v>0</v>
          </cell>
          <cell r="BB180">
            <v>0</v>
          </cell>
          <cell r="BY180">
            <v>0</v>
          </cell>
        </row>
        <row r="181">
          <cell r="J181">
            <v>0</v>
          </cell>
          <cell r="V181">
            <v>0</v>
          </cell>
          <cell r="AA181">
            <v>0</v>
          </cell>
          <cell r="AC181">
            <v>0</v>
          </cell>
          <cell r="AE181">
            <v>0</v>
          </cell>
          <cell r="AG181">
            <v>0</v>
          </cell>
          <cell r="AH181">
            <v>0</v>
          </cell>
          <cell r="AI181">
            <v>0</v>
          </cell>
          <cell r="AK181">
            <v>0</v>
          </cell>
          <cell r="AN181">
            <v>0</v>
          </cell>
          <cell r="BB181">
            <v>0</v>
          </cell>
          <cell r="BY181">
            <v>0</v>
          </cell>
        </row>
        <row r="182">
          <cell r="J182">
            <v>0</v>
          </cell>
          <cell r="V182">
            <v>0</v>
          </cell>
          <cell r="AA182">
            <v>0</v>
          </cell>
          <cell r="AC182">
            <v>0</v>
          </cell>
          <cell r="AE182">
            <v>0</v>
          </cell>
          <cell r="AG182">
            <v>0</v>
          </cell>
          <cell r="AH182">
            <v>0</v>
          </cell>
          <cell r="AI182">
            <v>0</v>
          </cell>
          <cell r="AK182">
            <v>0</v>
          </cell>
          <cell r="AN182">
            <v>0</v>
          </cell>
          <cell r="BB182">
            <v>0</v>
          </cell>
          <cell r="BY182">
            <v>0</v>
          </cell>
        </row>
        <row r="183">
          <cell r="J183">
            <v>0</v>
          </cell>
          <cell r="V183">
            <v>0</v>
          </cell>
          <cell r="AA183">
            <v>0</v>
          </cell>
          <cell r="AC183">
            <v>0</v>
          </cell>
          <cell r="AE183">
            <v>0</v>
          </cell>
          <cell r="AG183">
            <v>0</v>
          </cell>
          <cell r="AH183">
            <v>0</v>
          </cell>
          <cell r="AI183">
            <v>0</v>
          </cell>
          <cell r="AK183">
            <v>0</v>
          </cell>
          <cell r="AN183">
            <v>0</v>
          </cell>
          <cell r="BB183">
            <v>0</v>
          </cell>
          <cell r="BY183">
            <v>0</v>
          </cell>
        </row>
        <row r="184">
          <cell r="J184">
            <v>0</v>
          </cell>
          <cell r="V184">
            <v>0</v>
          </cell>
          <cell r="AA184">
            <v>0</v>
          </cell>
          <cell r="AC184">
            <v>0</v>
          </cell>
          <cell r="AE184">
            <v>0</v>
          </cell>
          <cell r="AG184">
            <v>0</v>
          </cell>
          <cell r="AH184">
            <v>0</v>
          </cell>
          <cell r="AI184">
            <v>0</v>
          </cell>
          <cell r="AK184">
            <v>0</v>
          </cell>
          <cell r="AN184">
            <v>0</v>
          </cell>
          <cell r="BB184">
            <v>0</v>
          </cell>
          <cell r="BY184">
            <v>0</v>
          </cell>
        </row>
        <row r="185">
          <cell r="J185">
            <v>0</v>
          </cell>
          <cell r="V185">
            <v>0</v>
          </cell>
          <cell r="AA185">
            <v>0</v>
          </cell>
          <cell r="AC185">
            <v>0</v>
          </cell>
          <cell r="AE185">
            <v>0</v>
          </cell>
          <cell r="AG185">
            <v>0</v>
          </cell>
          <cell r="AH185">
            <v>0</v>
          </cell>
          <cell r="AI185">
            <v>0</v>
          </cell>
          <cell r="AK185">
            <v>0</v>
          </cell>
          <cell r="AN185">
            <v>0</v>
          </cell>
          <cell r="BB185">
            <v>0</v>
          </cell>
          <cell r="BY185">
            <v>0</v>
          </cell>
        </row>
        <row r="186">
          <cell r="J186">
            <v>0</v>
          </cell>
          <cell r="V186">
            <v>0</v>
          </cell>
          <cell r="AA186">
            <v>0</v>
          </cell>
          <cell r="AC186">
            <v>0</v>
          </cell>
          <cell r="AE186">
            <v>0</v>
          </cell>
          <cell r="AG186">
            <v>0</v>
          </cell>
          <cell r="AH186">
            <v>0</v>
          </cell>
          <cell r="AI186">
            <v>0</v>
          </cell>
          <cell r="AK186">
            <v>0</v>
          </cell>
          <cell r="AN186">
            <v>0</v>
          </cell>
          <cell r="BB186">
            <v>0</v>
          </cell>
          <cell r="BY186">
            <v>0</v>
          </cell>
        </row>
        <row r="187">
          <cell r="J187">
            <v>0</v>
          </cell>
          <cell r="V187">
            <v>0</v>
          </cell>
          <cell r="AA187">
            <v>0</v>
          </cell>
          <cell r="AC187">
            <v>0</v>
          </cell>
          <cell r="AE187">
            <v>0</v>
          </cell>
          <cell r="AG187">
            <v>0</v>
          </cell>
          <cell r="AH187">
            <v>0</v>
          </cell>
          <cell r="AI187">
            <v>0</v>
          </cell>
          <cell r="AK187">
            <v>0</v>
          </cell>
          <cell r="AN187">
            <v>0</v>
          </cell>
          <cell r="BB187">
            <v>0</v>
          </cell>
          <cell r="BY187">
            <v>0</v>
          </cell>
        </row>
        <row r="188">
          <cell r="J188">
            <v>0</v>
          </cell>
          <cell r="V188">
            <v>0</v>
          </cell>
          <cell r="AA188">
            <v>0</v>
          </cell>
          <cell r="AC188">
            <v>0</v>
          </cell>
          <cell r="AE188">
            <v>0</v>
          </cell>
          <cell r="AG188">
            <v>0</v>
          </cell>
          <cell r="AH188">
            <v>0</v>
          </cell>
          <cell r="AI188">
            <v>0</v>
          </cell>
          <cell r="AK188">
            <v>0</v>
          </cell>
          <cell r="AN188">
            <v>0</v>
          </cell>
          <cell r="BB188">
            <v>0</v>
          </cell>
          <cell r="BY188">
            <v>0</v>
          </cell>
        </row>
        <row r="189">
          <cell r="J189">
            <v>0</v>
          </cell>
          <cell r="V189">
            <v>0</v>
          </cell>
          <cell r="AA189">
            <v>0</v>
          </cell>
          <cell r="AC189">
            <v>0</v>
          </cell>
          <cell r="AE189">
            <v>0</v>
          </cell>
          <cell r="AG189">
            <v>0</v>
          </cell>
          <cell r="AH189">
            <v>0</v>
          </cell>
          <cell r="AI189">
            <v>0</v>
          </cell>
          <cell r="AK189">
            <v>0</v>
          </cell>
          <cell r="AN189">
            <v>0</v>
          </cell>
          <cell r="BB189">
            <v>0</v>
          </cell>
          <cell r="BY189">
            <v>0</v>
          </cell>
        </row>
        <row r="190">
          <cell r="J190">
            <v>0</v>
          </cell>
          <cell r="V190">
            <v>0</v>
          </cell>
          <cell r="AA190">
            <v>0</v>
          </cell>
          <cell r="AC190">
            <v>0</v>
          </cell>
          <cell r="AE190">
            <v>0</v>
          </cell>
          <cell r="AG190">
            <v>0</v>
          </cell>
          <cell r="AH190">
            <v>0</v>
          </cell>
          <cell r="AI190">
            <v>0</v>
          </cell>
          <cell r="AK190">
            <v>0</v>
          </cell>
          <cell r="AN190">
            <v>0</v>
          </cell>
          <cell r="BB190">
            <v>0</v>
          </cell>
          <cell r="BY190">
            <v>0</v>
          </cell>
        </row>
        <row r="191">
          <cell r="J191">
            <v>0</v>
          </cell>
          <cell r="V191">
            <v>0</v>
          </cell>
          <cell r="AA191">
            <v>0</v>
          </cell>
          <cell r="AC191">
            <v>0</v>
          </cell>
          <cell r="AE191">
            <v>0</v>
          </cell>
          <cell r="AG191">
            <v>0</v>
          </cell>
          <cell r="AH191">
            <v>0</v>
          </cell>
          <cell r="AI191">
            <v>0</v>
          </cell>
          <cell r="AK191">
            <v>0</v>
          </cell>
          <cell r="AN191">
            <v>0</v>
          </cell>
          <cell r="BB191">
            <v>0</v>
          </cell>
          <cell r="BY191">
            <v>0</v>
          </cell>
        </row>
        <row r="192">
          <cell r="J192">
            <v>0</v>
          </cell>
          <cell r="V192">
            <v>0</v>
          </cell>
          <cell r="AA192">
            <v>0</v>
          </cell>
          <cell r="AC192">
            <v>0</v>
          </cell>
          <cell r="AE192">
            <v>0</v>
          </cell>
          <cell r="AG192">
            <v>0</v>
          </cell>
          <cell r="AH192">
            <v>0</v>
          </cell>
          <cell r="AI192">
            <v>0</v>
          </cell>
          <cell r="AK192">
            <v>0</v>
          </cell>
          <cell r="AN192">
            <v>0</v>
          </cell>
          <cell r="BB192">
            <v>0</v>
          </cell>
          <cell r="BY192">
            <v>0</v>
          </cell>
        </row>
        <row r="193">
          <cell r="J193">
            <v>0</v>
          </cell>
          <cell r="V193">
            <v>0</v>
          </cell>
          <cell r="AA193">
            <v>0</v>
          </cell>
          <cell r="AC193">
            <v>0</v>
          </cell>
          <cell r="AE193">
            <v>0</v>
          </cell>
          <cell r="AG193">
            <v>0</v>
          </cell>
          <cell r="AH193">
            <v>0</v>
          </cell>
          <cell r="AI193">
            <v>0</v>
          </cell>
          <cell r="AK193">
            <v>0</v>
          </cell>
          <cell r="AN193">
            <v>0</v>
          </cell>
          <cell r="BB193">
            <v>0</v>
          </cell>
          <cell r="BY193">
            <v>0</v>
          </cell>
        </row>
        <row r="194">
          <cell r="J194">
            <v>0</v>
          </cell>
          <cell r="V194">
            <v>0</v>
          </cell>
          <cell r="AA194">
            <v>0</v>
          </cell>
          <cell r="AC194">
            <v>0</v>
          </cell>
          <cell r="AE194">
            <v>0</v>
          </cell>
          <cell r="AG194">
            <v>0</v>
          </cell>
          <cell r="AH194">
            <v>0</v>
          </cell>
          <cell r="AI194">
            <v>0</v>
          </cell>
          <cell r="AK194">
            <v>0</v>
          </cell>
          <cell r="AN194">
            <v>0</v>
          </cell>
          <cell r="BB194">
            <v>0</v>
          </cell>
          <cell r="BY194">
            <v>0</v>
          </cell>
        </row>
        <row r="195">
          <cell r="J195">
            <v>0</v>
          </cell>
          <cell r="V195">
            <v>0</v>
          </cell>
          <cell r="AA195">
            <v>0</v>
          </cell>
          <cell r="AC195">
            <v>0</v>
          </cell>
          <cell r="AE195">
            <v>0</v>
          </cell>
          <cell r="AG195">
            <v>0</v>
          </cell>
          <cell r="AH195">
            <v>0</v>
          </cell>
          <cell r="AI195">
            <v>0</v>
          </cell>
          <cell r="AK195">
            <v>0</v>
          </cell>
          <cell r="AN195">
            <v>0</v>
          </cell>
          <cell r="BB195">
            <v>0</v>
          </cell>
          <cell r="BY195">
            <v>0</v>
          </cell>
        </row>
        <row r="196">
          <cell r="J196">
            <v>0</v>
          </cell>
          <cell r="V196">
            <v>0</v>
          </cell>
          <cell r="AA196">
            <v>0</v>
          </cell>
          <cell r="AC196">
            <v>0</v>
          </cell>
          <cell r="AE196">
            <v>0</v>
          </cell>
          <cell r="AG196">
            <v>0</v>
          </cell>
          <cell r="AH196">
            <v>0</v>
          </cell>
          <cell r="AI196">
            <v>0</v>
          </cell>
          <cell r="AK196">
            <v>0</v>
          </cell>
          <cell r="AN196">
            <v>0</v>
          </cell>
          <cell r="BB196">
            <v>0</v>
          </cell>
          <cell r="BY196">
            <v>0</v>
          </cell>
        </row>
        <row r="197">
          <cell r="J197">
            <v>0</v>
          </cell>
          <cell r="V197">
            <v>0</v>
          </cell>
          <cell r="AA197">
            <v>0</v>
          </cell>
          <cell r="AC197">
            <v>0</v>
          </cell>
          <cell r="AE197">
            <v>0</v>
          </cell>
          <cell r="AG197">
            <v>0</v>
          </cell>
          <cell r="AH197">
            <v>0</v>
          </cell>
          <cell r="AI197">
            <v>0</v>
          </cell>
          <cell r="AK197">
            <v>0</v>
          </cell>
          <cell r="AN197">
            <v>0</v>
          </cell>
          <cell r="BB197">
            <v>0</v>
          </cell>
          <cell r="BY197">
            <v>0</v>
          </cell>
        </row>
        <row r="198">
          <cell r="J198">
            <v>0</v>
          </cell>
          <cell r="V198">
            <v>0</v>
          </cell>
          <cell r="AA198">
            <v>0</v>
          </cell>
          <cell r="AC198">
            <v>0</v>
          </cell>
          <cell r="AE198">
            <v>0</v>
          </cell>
          <cell r="AG198">
            <v>0</v>
          </cell>
          <cell r="AH198">
            <v>0</v>
          </cell>
          <cell r="AI198">
            <v>0</v>
          </cell>
          <cell r="AK198">
            <v>0</v>
          </cell>
          <cell r="AN198">
            <v>0</v>
          </cell>
          <cell r="BB198">
            <v>0</v>
          </cell>
          <cell r="BY198">
            <v>0</v>
          </cell>
        </row>
        <row r="199">
          <cell r="J199">
            <v>0</v>
          </cell>
          <cell r="V199">
            <v>0</v>
          </cell>
          <cell r="AA199">
            <v>0</v>
          </cell>
          <cell r="AC199">
            <v>0</v>
          </cell>
          <cell r="AE199">
            <v>0</v>
          </cell>
          <cell r="AG199">
            <v>0</v>
          </cell>
          <cell r="AH199">
            <v>0</v>
          </cell>
          <cell r="AI199">
            <v>0</v>
          </cell>
          <cell r="AK199">
            <v>0</v>
          </cell>
          <cell r="AN199">
            <v>0</v>
          </cell>
          <cell r="BB199">
            <v>0</v>
          </cell>
          <cell r="BY199">
            <v>0</v>
          </cell>
        </row>
        <row r="200">
          <cell r="J200">
            <v>0</v>
          </cell>
          <cell r="V200">
            <v>0</v>
          </cell>
          <cell r="AA200">
            <v>0</v>
          </cell>
          <cell r="AC200">
            <v>0</v>
          </cell>
          <cell r="AE200">
            <v>0</v>
          </cell>
          <cell r="AG200">
            <v>0</v>
          </cell>
          <cell r="AH200">
            <v>0</v>
          </cell>
          <cell r="AI200">
            <v>0</v>
          </cell>
          <cell r="AK200">
            <v>0</v>
          </cell>
          <cell r="AN200">
            <v>0</v>
          </cell>
          <cell r="BB200">
            <v>0</v>
          </cell>
          <cell r="BY200">
            <v>0</v>
          </cell>
        </row>
        <row r="201">
          <cell r="J201">
            <v>0</v>
          </cell>
          <cell r="V201">
            <v>0</v>
          </cell>
          <cell r="AA201">
            <v>0</v>
          </cell>
          <cell r="AC201">
            <v>0</v>
          </cell>
          <cell r="AE201">
            <v>0</v>
          </cell>
          <cell r="AG201">
            <v>0</v>
          </cell>
          <cell r="AH201">
            <v>0</v>
          </cell>
          <cell r="AI201">
            <v>0</v>
          </cell>
          <cell r="AK201">
            <v>0</v>
          </cell>
          <cell r="AN201">
            <v>0</v>
          </cell>
          <cell r="BB201">
            <v>0</v>
          </cell>
          <cell r="BY201">
            <v>0</v>
          </cell>
        </row>
        <row r="202">
          <cell r="J202">
            <v>0</v>
          </cell>
          <cell r="V202">
            <v>0</v>
          </cell>
          <cell r="AA202">
            <v>0</v>
          </cell>
          <cell r="AC202">
            <v>0</v>
          </cell>
          <cell r="AE202">
            <v>0</v>
          </cell>
          <cell r="AG202">
            <v>0</v>
          </cell>
          <cell r="AH202">
            <v>0</v>
          </cell>
          <cell r="AI202">
            <v>0</v>
          </cell>
          <cell r="AK202">
            <v>0</v>
          </cell>
          <cell r="AN202">
            <v>0</v>
          </cell>
          <cell r="BB202">
            <v>0</v>
          </cell>
          <cell r="BY202">
            <v>0</v>
          </cell>
        </row>
        <row r="203">
          <cell r="J203">
            <v>0</v>
          </cell>
          <cell r="V203">
            <v>0</v>
          </cell>
          <cell r="AA203">
            <v>0</v>
          </cell>
          <cell r="AC203">
            <v>0</v>
          </cell>
          <cell r="AE203">
            <v>0</v>
          </cell>
          <cell r="AG203">
            <v>0</v>
          </cell>
          <cell r="AH203">
            <v>0</v>
          </cell>
          <cell r="AI203">
            <v>0</v>
          </cell>
          <cell r="AK203">
            <v>0</v>
          </cell>
          <cell r="AN203">
            <v>0</v>
          </cell>
          <cell r="BB203">
            <v>0</v>
          </cell>
          <cell r="BY203">
            <v>0</v>
          </cell>
        </row>
        <row r="204">
          <cell r="J204">
            <v>0</v>
          </cell>
          <cell r="V204">
            <v>0</v>
          </cell>
          <cell r="AA204">
            <v>0</v>
          </cell>
          <cell r="AC204">
            <v>0</v>
          </cell>
          <cell r="AE204">
            <v>0</v>
          </cell>
          <cell r="AG204">
            <v>0</v>
          </cell>
          <cell r="AH204">
            <v>0</v>
          </cell>
          <cell r="AI204">
            <v>0</v>
          </cell>
          <cell r="AK204">
            <v>0</v>
          </cell>
          <cell r="AN204">
            <v>0</v>
          </cell>
          <cell r="BB204">
            <v>0</v>
          </cell>
          <cell r="BY204">
            <v>0</v>
          </cell>
        </row>
        <row r="205">
          <cell r="J205">
            <v>0</v>
          </cell>
          <cell r="V205">
            <v>0</v>
          </cell>
          <cell r="AA205">
            <v>0</v>
          </cell>
          <cell r="AC205">
            <v>0</v>
          </cell>
          <cell r="AE205">
            <v>0</v>
          </cell>
          <cell r="AG205">
            <v>0</v>
          </cell>
          <cell r="AH205">
            <v>0</v>
          </cell>
          <cell r="AI205">
            <v>0</v>
          </cell>
          <cell r="AK205">
            <v>0</v>
          </cell>
          <cell r="AN205">
            <v>0</v>
          </cell>
          <cell r="BB205">
            <v>0</v>
          </cell>
          <cell r="BY205">
            <v>0</v>
          </cell>
        </row>
        <row r="206">
          <cell r="J206">
            <v>0</v>
          </cell>
          <cell r="V206">
            <v>0</v>
          </cell>
          <cell r="AA206">
            <v>0</v>
          </cell>
          <cell r="AC206">
            <v>0</v>
          </cell>
          <cell r="AE206">
            <v>0</v>
          </cell>
          <cell r="AG206">
            <v>0</v>
          </cell>
          <cell r="AH206">
            <v>0</v>
          </cell>
          <cell r="AI206">
            <v>0</v>
          </cell>
          <cell r="AK206">
            <v>0</v>
          </cell>
          <cell r="AN206">
            <v>0</v>
          </cell>
          <cell r="BB206">
            <v>0</v>
          </cell>
          <cell r="BY206">
            <v>0</v>
          </cell>
        </row>
        <row r="207">
          <cell r="J207">
            <v>0</v>
          </cell>
          <cell r="V207">
            <v>0</v>
          </cell>
          <cell r="AA207">
            <v>0</v>
          </cell>
          <cell r="AC207">
            <v>0</v>
          </cell>
          <cell r="AE207">
            <v>0</v>
          </cell>
          <cell r="AG207">
            <v>0</v>
          </cell>
          <cell r="AH207">
            <v>0</v>
          </cell>
          <cell r="AI207">
            <v>0</v>
          </cell>
          <cell r="AK207">
            <v>0</v>
          </cell>
          <cell r="AN207">
            <v>0</v>
          </cell>
          <cell r="BB207">
            <v>0</v>
          </cell>
          <cell r="BY207">
            <v>0</v>
          </cell>
        </row>
        <row r="208">
          <cell r="J208">
            <v>0</v>
          </cell>
          <cell r="V208">
            <v>0</v>
          </cell>
          <cell r="AA208">
            <v>0</v>
          </cell>
          <cell r="AC208">
            <v>0</v>
          </cell>
          <cell r="AE208">
            <v>0</v>
          </cell>
          <cell r="AG208">
            <v>0</v>
          </cell>
          <cell r="AH208">
            <v>0</v>
          </cell>
          <cell r="AI208">
            <v>0</v>
          </cell>
          <cell r="AK208">
            <v>0</v>
          </cell>
          <cell r="AN208">
            <v>0</v>
          </cell>
          <cell r="BB208">
            <v>0</v>
          </cell>
          <cell r="BY208">
            <v>0</v>
          </cell>
        </row>
        <row r="209">
          <cell r="J209">
            <v>0</v>
          </cell>
          <cell r="V209">
            <v>0</v>
          </cell>
          <cell r="AA209">
            <v>0</v>
          </cell>
          <cell r="AC209">
            <v>0</v>
          </cell>
          <cell r="AE209">
            <v>0</v>
          </cell>
          <cell r="AG209">
            <v>0</v>
          </cell>
          <cell r="AH209">
            <v>0</v>
          </cell>
          <cell r="AI209">
            <v>0</v>
          </cell>
          <cell r="AK209">
            <v>0</v>
          </cell>
          <cell r="AN209">
            <v>0</v>
          </cell>
          <cell r="BB209">
            <v>0</v>
          </cell>
          <cell r="BY209">
            <v>0</v>
          </cell>
        </row>
        <row r="210">
          <cell r="J210">
            <v>0</v>
          </cell>
          <cell r="V210">
            <v>0</v>
          </cell>
          <cell r="AA210">
            <v>0</v>
          </cell>
          <cell r="AC210">
            <v>0</v>
          </cell>
          <cell r="AE210">
            <v>0</v>
          </cell>
          <cell r="AG210">
            <v>0</v>
          </cell>
          <cell r="AH210">
            <v>0</v>
          </cell>
          <cell r="AI210">
            <v>0</v>
          </cell>
          <cell r="AK210">
            <v>0</v>
          </cell>
          <cell r="AN210">
            <v>0</v>
          </cell>
          <cell r="BB210">
            <v>0</v>
          </cell>
          <cell r="BY210">
            <v>0</v>
          </cell>
        </row>
        <row r="211">
          <cell r="J211">
            <v>0</v>
          </cell>
          <cell r="V211">
            <v>0</v>
          </cell>
          <cell r="AA211">
            <v>0</v>
          </cell>
          <cell r="AC211">
            <v>0</v>
          </cell>
          <cell r="AE211">
            <v>0</v>
          </cell>
          <cell r="AG211">
            <v>0</v>
          </cell>
          <cell r="AH211">
            <v>0</v>
          </cell>
          <cell r="AI211">
            <v>0</v>
          </cell>
          <cell r="AK211">
            <v>0</v>
          </cell>
          <cell r="AN211">
            <v>0</v>
          </cell>
          <cell r="BB211">
            <v>0</v>
          </cell>
          <cell r="BY211">
            <v>0</v>
          </cell>
        </row>
        <row r="212">
          <cell r="J212">
            <v>0</v>
          </cell>
          <cell r="V212">
            <v>0</v>
          </cell>
          <cell r="AA212">
            <v>0</v>
          </cell>
          <cell r="AC212">
            <v>0</v>
          </cell>
          <cell r="AE212">
            <v>0</v>
          </cell>
          <cell r="AG212">
            <v>0</v>
          </cell>
          <cell r="AH212">
            <v>0</v>
          </cell>
          <cell r="AI212">
            <v>0</v>
          </cell>
          <cell r="AK212">
            <v>0</v>
          </cell>
          <cell r="AN212">
            <v>0</v>
          </cell>
          <cell r="BB212">
            <v>0</v>
          </cell>
          <cell r="BY212">
            <v>0</v>
          </cell>
        </row>
        <row r="213">
          <cell r="J213">
            <v>0</v>
          </cell>
          <cell r="V213">
            <v>0</v>
          </cell>
          <cell r="AA213">
            <v>0</v>
          </cell>
          <cell r="AC213">
            <v>0</v>
          </cell>
          <cell r="AE213">
            <v>0</v>
          </cell>
          <cell r="AG213">
            <v>0</v>
          </cell>
          <cell r="AH213">
            <v>0</v>
          </cell>
          <cell r="AI213">
            <v>0</v>
          </cell>
          <cell r="AK213">
            <v>0</v>
          </cell>
          <cell r="AN213">
            <v>0</v>
          </cell>
          <cell r="BB213">
            <v>0</v>
          </cell>
          <cell r="BY213">
            <v>0</v>
          </cell>
        </row>
        <row r="214">
          <cell r="J214">
            <v>0</v>
          </cell>
          <cell r="V214">
            <v>0</v>
          </cell>
          <cell r="AA214">
            <v>0</v>
          </cell>
          <cell r="AC214">
            <v>0</v>
          </cell>
          <cell r="AE214">
            <v>0</v>
          </cell>
          <cell r="AG214">
            <v>0</v>
          </cell>
          <cell r="AH214">
            <v>0</v>
          </cell>
          <cell r="AI214">
            <v>0</v>
          </cell>
          <cell r="AK214">
            <v>0</v>
          </cell>
          <cell r="AN214">
            <v>0</v>
          </cell>
          <cell r="BB214">
            <v>0</v>
          </cell>
          <cell r="BY214">
            <v>0</v>
          </cell>
        </row>
        <row r="215">
          <cell r="J215">
            <v>0</v>
          </cell>
          <cell r="V215">
            <v>0</v>
          </cell>
          <cell r="AA215">
            <v>0</v>
          </cell>
          <cell r="AC215">
            <v>0</v>
          </cell>
          <cell r="AE215">
            <v>0</v>
          </cell>
          <cell r="AG215">
            <v>0</v>
          </cell>
          <cell r="AH215">
            <v>0</v>
          </cell>
          <cell r="AI215">
            <v>0</v>
          </cell>
          <cell r="AK215">
            <v>0</v>
          </cell>
          <cell r="AN215">
            <v>0</v>
          </cell>
          <cell r="BB215">
            <v>0</v>
          </cell>
          <cell r="BY215">
            <v>0</v>
          </cell>
        </row>
        <row r="216">
          <cell r="J216">
            <v>0</v>
          </cell>
          <cell r="V216">
            <v>0</v>
          </cell>
          <cell r="AA216">
            <v>0</v>
          </cell>
          <cell r="AC216">
            <v>0</v>
          </cell>
          <cell r="AE216">
            <v>0</v>
          </cell>
          <cell r="AG216">
            <v>0</v>
          </cell>
          <cell r="AH216">
            <v>0</v>
          </cell>
          <cell r="AI216">
            <v>0</v>
          </cell>
          <cell r="AK216">
            <v>0</v>
          </cell>
          <cell r="AN216">
            <v>0</v>
          </cell>
          <cell r="BB216">
            <v>0</v>
          </cell>
          <cell r="BY216">
            <v>0</v>
          </cell>
        </row>
        <row r="217">
          <cell r="J217">
            <v>0</v>
          </cell>
          <cell r="V217">
            <v>0</v>
          </cell>
          <cell r="AA217">
            <v>0</v>
          </cell>
          <cell r="AC217">
            <v>0</v>
          </cell>
          <cell r="AE217">
            <v>0</v>
          </cell>
          <cell r="AG217">
            <v>0</v>
          </cell>
          <cell r="AH217">
            <v>0</v>
          </cell>
          <cell r="AI217">
            <v>0</v>
          </cell>
          <cell r="AK217">
            <v>0</v>
          </cell>
          <cell r="AN217">
            <v>0</v>
          </cell>
          <cell r="BB217">
            <v>0</v>
          </cell>
          <cell r="BY217">
            <v>0</v>
          </cell>
        </row>
        <row r="218">
          <cell r="J218">
            <v>0</v>
          </cell>
          <cell r="V218">
            <v>0</v>
          </cell>
          <cell r="AA218">
            <v>0</v>
          </cell>
          <cell r="AC218">
            <v>0</v>
          </cell>
          <cell r="AE218">
            <v>0</v>
          </cell>
          <cell r="AG218">
            <v>0</v>
          </cell>
          <cell r="AH218">
            <v>0</v>
          </cell>
          <cell r="AI218">
            <v>0</v>
          </cell>
          <cell r="AK218">
            <v>0</v>
          </cell>
          <cell r="AN218">
            <v>0</v>
          </cell>
          <cell r="BB218">
            <v>0</v>
          </cell>
          <cell r="BY218">
            <v>0</v>
          </cell>
        </row>
        <row r="219">
          <cell r="J219">
            <v>0</v>
          </cell>
          <cell r="V219">
            <v>0</v>
          </cell>
          <cell r="AA219">
            <v>0</v>
          </cell>
          <cell r="AC219">
            <v>0</v>
          </cell>
          <cell r="AE219">
            <v>0</v>
          </cell>
          <cell r="AG219">
            <v>0</v>
          </cell>
          <cell r="AH219">
            <v>0</v>
          </cell>
          <cell r="AI219">
            <v>0</v>
          </cell>
          <cell r="AK219">
            <v>0</v>
          </cell>
          <cell r="AN219">
            <v>0</v>
          </cell>
          <cell r="BB219">
            <v>0</v>
          </cell>
          <cell r="BY219">
            <v>0</v>
          </cell>
        </row>
        <row r="220">
          <cell r="J220">
            <v>0</v>
          </cell>
          <cell r="V220">
            <v>0</v>
          </cell>
          <cell r="AA220">
            <v>0</v>
          </cell>
          <cell r="AC220">
            <v>0</v>
          </cell>
          <cell r="AE220">
            <v>0</v>
          </cell>
          <cell r="AG220">
            <v>0</v>
          </cell>
          <cell r="AH220">
            <v>0</v>
          </cell>
          <cell r="AI220">
            <v>0</v>
          </cell>
          <cell r="AK220">
            <v>0</v>
          </cell>
          <cell r="AN220">
            <v>0</v>
          </cell>
          <cell r="BB220">
            <v>0</v>
          </cell>
          <cell r="BY220">
            <v>0</v>
          </cell>
        </row>
        <row r="221">
          <cell r="J221">
            <v>0</v>
          </cell>
          <cell r="V221">
            <v>0</v>
          </cell>
          <cell r="AA221">
            <v>0</v>
          </cell>
          <cell r="AC221">
            <v>0</v>
          </cell>
          <cell r="AE221">
            <v>0</v>
          </cell>
          <cell r="AG221">
            <v>0</v>
          </cell>
          <cell r="AH221">
            <v>0</v>
          </cell>
          <cell r="AI221">
            <v>0</v>
          </cell>
          <cell r="AK221">
            <v>0</v>
          </cell>
          <cell r="AN221">
            <v>0</v>
          </cell>
          <cell r="BB221">
            <v>0</v>
          </cell>
          <cell r="BY221">
            <v>0</v>
          </cell>
        </row>
        <row r="222">
          <cell r="J222">
            <v>0</v>
          </cell>
          <cell r="V222">
            <v>0</v>
          </cell>
          <cell r="AA222">
            <v>0</v>
          </cell>
          <cell r="AC222">
            <v>0</v>
          </cell>
          <cell r="AE222">
            <v>0</v>
          </cell>
          <cell r="AG222">
            <v>0</v>
          </cell>
          <cell r="AH222">
            <v>0</v>
          </cell>
          <cell r="AI222">
            <v>0</v>
          </cell>
          <cell r="AK222">
            <v>0</v>
          </cell>
          <cell r="AN222">
            <v>0</v>
          </cell>
          <cell r="BB222">
            <v>0</v>
          </cell>
          <cell r="BY222">
            <v>0</v>
          </cell>
        </row>
        <row r="223">
          <cell r="J223">
            <v>0</v>
          </cell>
          <cell r="V223">
            <v>0</v>
          </cell>
          <cell r="AA223">
            <v>0</v>
          </cell>
          <cell r="AC223">
            <v>0</v>
          </cell>
          <cell r="AE223">
            <v>0</v>
          </cell>
          <cell r="AG223">
            <v>0</v>
          </cell>
          <cell r="AH223">
            <v>0</v>
          </cell>
          <cell r="AI223">
            <v>0</v>
          </cell>
          <cell r="AK223">
            <v>0</v>
          </cell>
          <cell r="AN223">
            <v>0</v>
          </cell>
          <cell r="BB223">
            <v>0</v>
          </cell>
          <cell r="BY223">
            <v>0</v>
          </cell>
        </row>
        <row r="224">
          <cell r="J224">
            <v>0</v>
          </cell>
          <cell r="V224">
            <v>0</v>
          </cell>
          <cell r="AA224">
            <v>0</v>
          </cell>
          <cell r="AC224">
            <v>0</v>
          </cell>
          <cell r="AE224">
            <v>0</v>
          </cell>
          <cell r="AG224">
            <v>0</v>
          </cell>
          <cell r="AH224">
            <v>0</v>
          </cell>
          <cell r="AI224">
            <v>0</v>
          </cell>
          <cell r="AK224">
            <v>0</v>
          </cell>
          <cell r="AN224">
            <v>0</v>
          </cell>
          <cell r="BB224">
            <v>0</v>
          </cell>
          <cell r="BY224">
            <v>0</v>
          </cell>
        </row>
        <row r="225">
          <cell r="J225">
            <v>0</v>
          </cell>
          <cell r="V225">
            <v>0</v>
          </cell>
          <cell r="AA225">
            <v>0</v>
          </cell>
          <cell r="AC225">
            <v>0</v>
          </cell>
          <cell r="AE225">
            <v>0</v>
          </cell>
          <cell r="AG225">
            <v>0</v>
          </cell>
          <cell r="AH225">
            <v>0</v>
          </cell>
          <cell r="AI225">
            <v>0</v>
          </cell>
          <cell r="AK225">
            <v>0</v>
          </cell>
          <cell r="AN225">
            <v>0</v>
          </cell>
          <cell r="BB225">
            <v>0</v>
          </cell>
          <cell r="BY225">
            <v>0</v>
          </cell>
        </row>
        <row r="226">
          <cell r="J226">
            <v>0</v>
          </cell>
          <cell r="V226">
            <v>0</v>
          </cell>
          <cell r="AA226">
            <v>0</v>
          </cell>
          <cell r="AC226">
            <v>0</v>
          </cell>
          <cell r="AE226">
            <v>0</v>
          </cell>
          <cell r="AG226">
            <v>0</v>
          </cell>
          <cell r="AH226">
            <v>0</v>
          </cell>
          <cell r="AI226">
            <v>0</v>
          </cell>
          <cell r="AK226">
            <v>0</v>
          </cell>
          <cell r="AN226">
            <v>0</v>
          </cell>
          <cell r="BB226">
            <v>0</v>
          </cell>
          <cell r="BY226">
            <v>0</v>
          </cell>
        </row>
        <row r="227">
          <cell r="J227">
            <v>0</v>
          </cell>
          <cell r="V227">
            <v>0</v>
          </cell>
          <cell r="AA227">
            <v>0</v>
          </cell>
          <cell r="AC227">
            <v>0</v>
          </cell>
          <cell r="AE227">
            <v>0</v>
          </cell>
          <cell r="AG227">
            <v>0</v>
          </cell>
          <cell r="AH227">
            <v>0</v>
          </cell>
          <cell r="AI227">
            <v>0</v>
          </cell>
          <cell r="AK227">
            <v>0</v>
          </cell>
          <cell r="AN227">
            <v>0</v>
          </cell>
          <cell r="BB227">
            <v>0</v>
          </cell>
          <cell r="BY227">
            <v>0</v>
          </cell>
        </row>
        <row r="228">
          <cell r="J228">
            <v>0</v>
          </cell>
          <cell r="V228">
            <v>0</v>
          </cell>
          <cell r="AA228">
            <v>0</v>
          </cell>
          <cell r="AC228">
            <v>0</v>
          </cell>
          <cell r="AE228">
            <v>0</v>
          </cell>
          <cell r="AG228">
            <v>0</v>
          </cell>
          <cell r="AH228">
            <v>0</v>
          </cell>
          <cell r="AI228">
            <v>0</v>
          </cell>
          <cell r="AK228">
            <v>0</v>
          </cell>
          <cell r="AN228">
            <v>0</v>
          </cell>
          <cell r="BB228">
            <v>0</v>
          </cell>
          <cell r="BY228">
            <v>0</v>
          </cell>
        </row>
        <row r="229">
          <cell r="J229">
            <v>0</v>
          </cell>
          <cell r="V229">
            <v>0</v>
          </cell>
          <cell r="AA229">
            <v>0</v>
          </cell>
          <cell r="AC229">
            <v>0</v>
          </cell>
          <cell r="AE229">
            <v>0</v>
          </cell>
          <cell r="AG229">
            <v>0</v>
          </cell>
          <cell r="AH229">
            <v>0</v>
          </cell>
          <cell r="AI229">
            <v>0</v>
          </cell>
          <cell r="AK229">
            <v>0</v>
          </cell>
          <cell r="AN229">
            <v>0</v>
          </cell>
          <cell r="BB229">
            <v>0</v>
          </cell>
          <cell r="BY229">
            <v>0</v>
          </cell>
        </row>
        <row r="230">
          <cell r="J230">
            <v>0</v>
          </cell>
          <cell r="V230">
            <v>0</v>
          </cell>
          <cell r="AA230">
            <v>0</v>
          </cell>
          <cell r="AC230">
            <v>0</v>
          </cell>
          <cell r="AE230">
            <v>0</v>
          </cell>
          <cell r="AG230">
            <v>0</v>
          </cell>
          <cell r="AH230">
            <v>0</v>
          </cell>
          <cell r="AI230">
            <v>0</v>
          </cell>
          <cell r="AK230">
            <v>0</v>
          </cell>
          <cell r="AN230">
            <v>0</v>
          </cell>
          <cell r="BB230">
            <v>0</v>
          </cell>
          <cell r="BY230">
            <v>0</v>
          </cell>
        </row>
        <row r="231">
          <cell r="J231">
            <v>0</v>
          </cell>
          <cell r="V231">
            <v>0</v>
          </cell>
          <cell r="AA231">
            <v>0</v>
          </cell>
          <cell r="AC231">
            <v>0</v>
          </cell>
          <cell r="AE231">
            <v>0</v>
          </cell>
          <cell r="AG231">
            <v>0</v>
          </cell>
          <cell r="AH231">
            <v>0</v>
          </cell>
          <cell r="AI231">
            <v>0</v>
          </cell>
          <cell r="AK231">
            <v>0</v>
          </cell>
          <cell r="AN231">
            <v>0</v>
          </cell>
          <cell r="BB231">
            <v>0</v>
          </cell>
          <cell r="BY231">
            <v>0</v>
          </cell>
        </row>
        <row r="232">
          <cell r="J232">
            <v>0</v>
          </cell>
          <cell r="V232">
            <v>0</v>
          </cell>
          <cell r="AA232">
            <v>0</v>
          </cell>
          <cell r="AC232">
            <v>0</v>
          </cell>
          <cell r="AE232">
            <v>0</v>
          </cell>
          <cell r="AG232">
            <v>0</v>
          </cell>
          <cell r="AH232">
            <v>0</v>
          </cell>
          <cell r="AI232">
            <v>0</v>
          </cell>
          <cell r="AK232">
            <v>0</v>
          </cell>
          <cell r="AN232">
            <v>0</v>
          </cell>
          <cell r="BB232">
            <v>0</v>
          </cell>
          <cell r="BY232">
            <v>0</v>
          </cell>
        </row>
        <row r="233">
          <cell r="J233">
            <v>0</v>
          </cell>
          <cell r="V233">
            <v>0</v>
          </cell>
          <cell r="AA233">
            <v>0</v>
          </cell>
          <cell r="AC233">
            <v>0</v>
          </cell>
          <cell r="AE233">
            <v>0</v>
          </cell>
          <cell r="AG233">
            <v>0</v>
          </cell>
          <cell r="AH233">
            <v>0</v>
          </cell>
          <cell r="AI233">
            <v>0</v>
          </cell>
          <cell r="AK233">
            <v>0</v>
          </cell>
          <cell r="AN233">
            <v>0</v>
          </cell>
          <cell r="BB233">
            <v>0</v>
          </cell>
          <cell r="BY233">
            <v>0</v>
          </cell>
        </row>
        <row r="234">
          <cell r="J234">
            <v>0</v>
          </cell>
          <cell r="V234">
            <v>0</v>
          </cell>
          <cell r="AA234">
            <v>0</v>
          </cell>
          <cell r="AC234">
            <v>0</v>
          </cell>
          <cell r="AE234">
            <v>0</v>
          </cell>
          <cell r="AG234">
            <v>0</v>
          </cell>
          <cell r="AH234">
            <v>0</v>
          </cell>
          <cell r="AI234">
            <v>0</v>
          </cell>
          <cell r="AK234">
            <v>0</v>
          </cell>
          <cell r="AN234">
            <v>0</v>
          </cell>
          <cell r="BB234">
            <v>0</v>
          </cell>
          <cell r="BY234">
            <v>0</v>
          </cell>
        </row>
        <row r="235">
          <cell r="J235">
            <v>0</v>
          </cell>
          <cell r="V235">
            <v>0</v>
          </cell>
          <cell r="AA235">
            <v>0</v>
          </cell>
          <cell r="AC235">
            <v>0</v>
          </cell>
          <cell r="AE235">
            <v>0</v>
          </cell>
          <cell r="AG235">
            <v>0</v>
          </cell>
          <cell r="AH235">
            <v>0</v>
          </cell>
          <cell r="AI235">
            <v>0</v>
          </cell>
          <cell r="AK235">
            <v>0</v>
          </cell>
          <cell r="AN235">
            <v>0</v>
          </cell>
          <cell r="BB235">
            <v>0</v>
          </cell>
          <cell r="BY235">
            <v>0</v>
          </cell>
        </row>
        <row r="236">
          <cell r="J236">
            <v>0</v>
          </cell>
          <cell r="V236">
            <v>0</v>
          </cell>
          <cell r="AA236">
            <v>0</v>
          </cell>
          <cell r="AC236">
            <v>0</v>
          </cell>
          <cell r="AE236">
            <v>0</v>
          </cell>
          <cell r="AG236">
            <v>0</v>
          </cell>
          <cell r="AH236">
            <v>0</v>
          </cell>
          <cell r="AI236">
            <v>0</v>
          </cell>
          <cell r="AK236">
            <v>0</v>
          </cell>
          <cell r="AN236">
            <v>0</v>
          </cell>
          <cell r="BB236">
            <v>0</v>
          </cell>
          <cell r="BY236">
            <v>0</v>
          </cell>
        </row>
        <row r="237">
          <cell r="J237">
            <v>0</v>
          </cell>
          <cell r="V237">
            <v>0</v>
          </cell>
          <cell r="AA237">
            <v>0</v>
          </cell>
          <cell r="AC237">
            <v>0</v>
          </cell>
          <cell r="AE237">
            <v>0</v>
          </cell>
          <cell r="AG237">
            <v>0</v>
          </cell>
          <cell r="AH237">
            <v>0</v>
          </cell>
          <cell r="AI237">
            <v>0</v>
          </cell>
          <cell r="AK237">
            <v>0</v>
          </cell>
          <cell r="AN237">
            <v>0</v>
          </cell>
          <cell r="BB237">
            <v>0</v>
          </cell>
          <cell r="BY237">
            <v>0</v>
          </cell>
        </row>
        <row r="238">
          <cell r="J238">
            <v>0</v>
          </cell>
          <cell r="V238">
            <v>0</v>
          </cell>
          <cell r="AA238">
            <v>0</v>
          </cell>
          <cell r="AC238">
            <v>0</v>
          </cell>
          <cell r="AE238">
            <v>0</v>
          </cell>
          <cell r="AG238">
            <v>0</v>
          </cell>
          <cell r="AH238">
            <v>0</v>
          </cell>
          <cell r="AI238">
            <v>0</v>
          </cell>
          <cell r="AK238">
            <v>0</v>
          </cell>
          <cell r="AN238">
            <v>0</v>
          </cell>
          <cell r="BB238">
            <v>0</v>
          </cell>
          <cell r="BY238">
            <v>0</v>
          </cell>
        </row>
        <row r="239">
          <cell r="J239">
            <v>0</v>
          </cell>
          <cell r="V239">
            <v>0</v>
          </cell>
          <cell r="AA239">
            <v>0</v>
          </cell>
          <cell r="AC239">
            <v>0</v>
          </cell>
          <cell r="AE239">
            <v>0</v>
          </cell>
          <cell r="AG239">
            <v>0</v>
          </cell>
          <cell r="AH239">
            <v>0</v>
          </cell>
          <cell r="AI239">
            <v>0</v>
          </cell>
          <cell r="AK239">
            <v>0</v>
          </cell>
          <cell r="AN239">
            <v>0</v>
          </cell>
          <cell r="BB239">
            <v>0</v>
          </cell>
          <cell r="BY239">
            <v>0</v>
          </cell>
        </row>
        <row r="240">
          <cell r="J240">
            <v>0</v>
          </cell>
          <cell r="V240">
            <v>0</v>
          </cell>
          <cell r="AA240">
            <v>0</v>
          </cell>
          <cell r="AC240">
            <v>0</v>
          </cell>
          <cell r="AE240">
            <v>0</v>
          </cell>
          <cell r="AG240">
            <v>0</v>
          </cell>
          <cell r="AH240">
            <v>0</v>
          </cell>
          <cell r="AI240">
            <v>0</v>
          </cell>
          <cell r="AK240">
            <v>0</v>
          </cell>
          <cell r="AN240">
            <v>0</v>
          </cell>
          <cell r="BB240">
            <v>0</v>
          </cell>
          <cell r="BY240">
            <v>0</v>
          </cell>
        </row>
        <row r="241">
          <cell r="J241">
            <v>0</v>
          </cell>
          <cell r="V241">
            <v>0</v>
          </cell>
          <cell r="AA241">
            <v>0</v>
          </cell>
          <cell r="AC241">
            <v>0</v>
          </cell>
          <cell r="AE241">
            <v>0</v>
          </cell>
          <cell r="AG241">
            <v>0</v>
          </cell>
          <cell r="AH241">
            <v>0</v>
          </cell>
          <cell r="AI241">
            <v>0</v>
          </cell>
          <cell r="AK241">
            <v>0</v>
          </cell>
          <cell r="AN241">
            <v>0</v>
          </cell>
          <cell r="BB241">
            <v>0</v>
          </cell>
          <cell r="BY241">
            <v>0</v>
          </cell>
        </row>
        <row r="242">
          <cell r="J242">
            <v>0</v>
          </cell>
          <cell r="V242">
            <v>0</v>
          </cell>
          <cell r="AA242">
            <v>0</v>
          </cell>
          <cell r="AC242">
            <v>0</v>
          </cell>
          <cell r="AE242">
            <v>0</v>
          </cell>
          <cell r="AG242">
            <v>0</v>
          </cell>
          <cell r="AH242">
            <v>0</v>
          </cell>
          <cell r="AI242">
            <v>0</v>
          </cell>
          <cell r="AK242">
            <v>0</v>
          </cell>
          <cell r="AN242">
            <v>0</v>
          </cell>
          <cell r="BB242">
            <v>0</v>
          </cell>
          <cell r="BY242">
            <v>0</v>
          </cell>
        </row>
        <row r="243">
          <cell r="J243">
            <v>0</v>
          </cell>
          <cell r="V243">
            <v>0</v>
          </cell>
          <cell r="AA243">
            <v>0</v>
          </cell>
          <cell r="AC243">
            <v>0</v>
          </cell>
          <cell r="AE243">
            <v>0</v>
          </cell>
          <cell r="AG243">
            <v>0</v>
          </cell>
          <cell r="AH243">
            <v>0</v>
          </cell>
          <cell r="AI243">
            <v>0</v>
          </cell>
          <cell r="AK243">
            <v>0</v>
          </cell>
          <cell r="AN243">
            <v>0</v>
          </cell>
          <cell r="BB243">
            <v>0</v>
          </cell>
          <cell r="BY243">
            <v>0</v>
          </cell>
        </row>
        <row r="244">
          <cell r="J244">
            <v>0</v>
          </cell>
          <cell r="V244">
            <v>0</v>
          </cell>
          <cell r="AA244">
            <v>0</v>
          </cell>
          <cell r="AC244">
            <v>0</v>
          </cell>
          <cell r="AE244">
            <v>0</v>
          </cell>
          <cell r="AG244">
            <v>0</v>
          </cell>
          <cell r="AH244">
            <v>0</v>
          </cell>
          <cell r="AI244">
            <v>0</v>
          </cell>
          <cell r="AK244">
            <v>0</v>
          </cell>
          <cell r="AN244">
            <v>0</v>
          </cell>
          <cell r="BB244">
            <v>0</v>
          </cell>
          <cell r="BY244">
            <v>0</v>
          </cell>
        </row>
        <row r="245">
          <cell r="J245">
            <v>0</v>
          </cell>
          <cell r="V245">
            <v>0</v>
          </cell>
          <cell r="AA245">
            <v>0</v>
          </cell>
          <cell r="AC245">
            <v>0</v>
          </cell>
          <cell r="AE245">
            <v>0</v>
          </cell>
          <cell r="AG245">
            <v>0</v>
          </cell>
          <cell r="AH245">
            <v>0</v>
          </cell>
          <cell r="AI245">
            <v>0</v>
          </cell>
          <cell r="AK245">
            <v>0</v>
          </cell>
          <cell r="AN245">
            <v>0</v>
          </cell>
          <cell r="BB245">
            <v>0</v>
          </cell>
          <cell r="BY245">
            <v>0</v>
          </cell>
        </row>
        <row r="246">
          <cell r="J246">
            <v>0</v>
          </cell>
          <cell r="V246">
            <v>0</v>
          </cell>
          <cell r="AA246">
            <v>0</v>
          </cell>
          <cell r="AC246">
            <v>0</v>
          </cell>
          <cell r="AE246">
            <v>0</v>
          </cell>
          <cell r="AG246">
            <v>0</v>
          </cell>
          <cell r="AH246">
            <v>0</v>
          </cell>
          <cell r="AI246">
            <v>0</v>
          </cell>
          <cell r="AK246">
            <v>0</v>
          </cell>
          <cell r="AN246">
            <v>0</v>
          </cell>
          <cell r="BB246">
            <v>0</v>
          </cell>
          <cell r="BY246">
            <v>0</v>
          </cell>
        </row>
        <row r="247">
          <cell r="J247">
            <v>0</v>
          </cell>
          <cell r="V247">
            <v>0</v>
          </cell>
          <cell r="AA247">
            <v>0</v>
          </cell>
          <cell r="AC247">
            <v>0</v>
          </cell>
          <cell r="AE247">
            <v>0</v>
          </cell>
          <cell r="AG247">
            <v>0</v>
          </cell>
          <cell r="AH247">
            <v>0</v>
          </cell>
          <cell r="AI247">
            <v>0</v>
          </cell>
          <cell r="AK247">
            <v>0</v>
          </cell>
          <cell r="AN247">
            <v>0</v>
          </cell>
          <cell r="BB247">
            <v>0</v>
          </cell>
          <cell r="BY247">
            <v>0</v>
          </cell>
        </row>
        <row r="248">
          <cell r="J248">
            <v>0</v>
          </cell>
          <cell r="V248">
            <v>0</v>
          </cell>
          <cell r="AA248">
            <v>0</v>
          </cell>
          <cell r="AC248">
            <v>0</v>
          </cell>
          <cell r="AE248">
            <v>0</v>
          </cell>
          <cell r="AG248">
            <v>0</v>
          </cell>
          <cell r="AH248">
            <v>0</v>
          </cell>
          <cell r="AI248">
            <v>0</v>
          </cell>
          <cell r="AK248">
            <v>0</v>
          </cell>
          <cell r="AN248">
            <v>0</v>
          </cell>
          <cell r="BB248">
            <v>0</v>
          </cell>
          <cell r="BY248">
            <v>0</v>
          </cell>
        </row>
        <row r="249">
          <cell r="J249">
            <v>0</v>
          </cell>
          <cell r="V249">
            <v>0</v>
          </cell>
          <cell r="AA249">
            <v>0</v>
          </cell>
          <cell r="AC249">
            <v>0</v>
          </cell>
          <cell r="AE249">
            <v>0</v>
          </cell>
          <cell r="AG249">
            <v>0</v>
          </cell>
          <cell r="AH249">
            <v>0</v>
          </cell>
          <cell r="AI249">
            <v>0</v>
          </cell>
          <cell r="AK249">
            <v>0</v>
          </cell>
          <cell r="AN249">
            <v>0</v>
          </cell>
          <cell r="BB249">
            <v>0</v>
          </cell>
          <cell r="BY249">
            <v>0</v>
          </cell>
        </row>
        <row r="250">
          <cell r="J250">
            <v>0</v>
          </cell>
          <cell r="V250">
            <v>0</v>
          </cell>
          <cell r="AA250">
            <v>0</v>
          </cell>
          <cell r="AC250">
            <v>0</v>
          </cell>
          <cell r="AE250">
            <v>0</v>
          </cell>
          <cell r="AG250">
            <v>0</v>
          </cell>
          <cell r="AH250">
            <v>0</v>
          </cell>
          <cell r="AI250">
            <v>0</v>
          </cell>
          <cell r="AK250">
            <v>0</v>
          </cell>
          <cell r="AN250">
            <v>0</v>
          </cell>
          <cell r="BB250">
            <v>0</v>
          </cell>
          <cell r="BY250">
            <v>0</v>
          </cell>
        </row>
        <row r="251">
          <cell r="J251">
            <v>0</v>
          </cell>
          <cell r="V251">
            <v>0</v>
          </cell>
          <cell r="AA251">
            <v>0</v>
          </cell>
          <cell r="AC251">
            <v>0</v>
          </cell>
          <cell r="AE251">
            <v>0</v>
          </cell>
          <cell r="AG251">
            <v>0</v>
          </cell>
          <cell r="AH251">
            <v>0</v>
          </cell>
          <cell r="AI251">
            <v>0</v>
          </cell>
          <cell r="AK251">
            <v>0</v>
          </cell>
          <cell r="AN251">
            <v>0</v>
          </cell>
          <cell r="BB251">
            <v>0</v>
          </cell>
          <cell r="BY251">
            <v>0</v>
          </cell>
        </row>
        <row r="252">
          <cell r="J252">
            <v>0</v>
          </cell>
          <cell r="V252">
            <v>0</v>
          </cell>
          <cell r="AA252">
            <v>0</v>
          </cell>
          <cell r="AC252">
            <v>0</v>
          </cell>
          <cell r="AE252">
            <v>0</v>
          </cell>
          <cell r="AG252">
            <v>0</v>
          </cell>
          <cell r="AH252">
            <v>0</v>
          </cell>
          <cell r="AI252">
            <v>0</v>
          </cell>
          <cell r="AK252">
            <v>0</v>
          </cell>
          <cell r="AN252">
            <v>0</v>
          </cell>
          <cell r="BB252">
            <v>0</v>
          </cell>
          <cell r="BY252">
            <v>0</v>
          </cell>
        </row>
        <row r="253">
          <cell r="J253">
            <v>0</v>
          </cell>
          <cell r="V253">
            <v>0</v>
          </cell>
          <cell r="AA253">
            <v>0</v>
          </cell>
          <cell r="AC253">
            <v>0</v>
          </cell>
          <cell r="AE253">
            <v>0</v>
          </cell>
          <cell r="AG253">
            <v>0</v>
          </cell>
          <cell r="AH253">
            <v>0</v>
          </cell>
          <cell r="AI253">
            <v>0</v>
          </cell>
          <cell r="AK253">
            <v>0</v>
          </cell>
          <cell r="AN253">
            <v>0</v>
          </cell>
          <cell r="BB253">
            <v>0</v>
          </cell>
          <cell r="BY253">
            <v>0</v>
          </cell>
        </row>
        <row r="254">
          <cell r="J254">
            <v>0</v>
          </cell>
          <cell r="V254">
            <v>0</v>
          </cell>
          <cell r="AA254">
            <v>0</v>
          </cell>
          <cell r="AC254">
            <v>0</v>
          </cell>
          <cell r="AE254">
            <v>0</v>
          </cell>
          <cell r="AG254">
            <v>0</v>
          </cell>
          <cell r="AH254">
            <v>0</v>
          </cell>
          <cell r="AI254">
            <v>0</v>
          </cell>
          <cell r="AK254">
            <v>0</v>
          </cell>
          <cell r="AN254">
            <v>0</v>
          </cell>
          <cell r="BB254">
            <v>0</v>
          </cell>
          <cell r="BY254">
            <v>0</v>
          </cell>
        </row>
        <row r="255">
          <cell r="J255">
            <v>0</v>
          </cell>
          <cell r="V255">
            <v>0</v>
          </cell>
          <cell r="AA255">
            <v>0</v>
          </cell>
          <cell r="AC255">
            <v>0</v>
          </cell>
          <cell r="AE255">
            <v>0</v>
          </cell>
          <cell r="AG255">
            <v>0</v>
          </cell>
          <cell r="AH255">
            <v>0</v>
          </cell>
          <cell r="AI255">
            <v>0</v>
          </cell>
          <cell r="AK255">
            <v>0</v>
          </cell>
          <cell r="AN255">
            <v>0</v>
          </cell>
          <cell r="BB255">
            <v>0</v>
          </cell>
          <cell r="BY255">
            <v>0</v>
          </cell>
        </row>
        <row r="256">
          <cell r="J256">
            <v>0</v>
          </cell>
          <cell r="V256">
            <v>0</v>
          </cell>
          <cell r="AA256">
            <v>0</v>
          </cell>
          <cell r="AC256">
            <v>0</v>
          </cell>
          <cell r="AE256">
            <v>0</v>
          </cell>
          <cell r="AG256">
            <v>0</v>
          </cell>
          <cell r="AH256">
            <v>0</v>
          </cell>
          <cell r="AI256">
            <v>0</v>
          </cell>
          <cell r="AK256">
            <v>0</v>
          </cell>
          <cell r="AN256">
            <v>0</v>
          </cell>
          <cell r="BB256">
            <v>0</v>
          </cell>
          <cell r="BY256">
            <v>0</v>
          </cell>
        </row>
        <row r="257">
          <cell r="J257">
            <v>0</v>
          </cell>
          <cell r="V257">
            <v>0</v>
          </cell>
          <cell r="AA257">
            <v>0</v>
          </cell>
          <cell r="AC257">
            <v>0</v>
          </cell>
          <cell r="AE257">
            <v>0</v>
          </cell>
          <cell r="AG257">
            <v>0</v>
          </cell>
          <cell r="AH257">
            <v>0</v>
          </cell>
          <cell r="AI257">
            <v>0</v>
          </cell>
          <cell r="AK257">
            <v>0</v>
          </cell>
          <cell r="AN257">
            <v>0</v>
          </cell>
          <cell r="BB257">
            <v>0</v>
          </cell>
          <cell r="BY257">
            <v>0</v>
          </cell>
        </row>
        <row r="258">
          <cell r="J258">
            <v>0</v>
          </cell>
          <cell r="V258">
            <v>0</v>
          </cell>
          <cell r="AA258">
            <v>0</v>
          </cell>
          <cell r="AC258">
            <v>0</v>
          </cell>
          <cell r="AE258">
            <v>0</v>
          </cell>
          <cell r="AG258">
            <v>0</v>
          </cell>
          <cell r="AH258">
            <v>0</v>
          </cell>
          <cell r="AI258">
            <v>0</v>
          </cell>
          <cell r="AK258">
            <v>0</v>
          </cell>
          <cell r="AN258">
            <v>0</v>
          </cell>
          <cell r="BB258">
            <v>0</v>
          </cell>
          <cell r="BY258">
            <v>0</v>
          </cell>
        </row>
        <row r="259">
          <cell r="J259">
            <v>0</v>
          </cell>
          <cell r="V259">
            <v>0</v>
          </cell>
          <cell r="AA259">
            <v>0</v>
          </cell>
          <cell r="AC259">
            <v>0</v>
          </cell>
          <cell r="AE259">
            <v>0</v>
          </cell>
          <cell r="AG259">
            <v>0</v>
          </cell>
          <cell r="AH259">
            <v>0</v>
          </cell>
          <cell r="AI259">
            <v>0</v>
          </cell>
          <cell r="AK259">
            <v>0</v>
          </cell>
          <cell r="AN259">
            <v>0</v>
          </cell>
          <cell r="BB259">
            <v>0</v>
          </cell>
          <cell r="BY259">
            <v>0</v>
          </cell>
        </row>
        <row r="260">
          <cell r="J260">
            <v>0</v>
          </cell>
          <cell r="V260">
            <v>0</v>
          </cell>
          <cell r="AA260">
            <v>0</v>
          </cell>
          <cell r="AC260">
            <v>0</v>
          </cell>
          <cell r="AE260">
            <v>0</v>
          </cell>
          <cell r="AG260">
            <v>0</v>
          </cell>
          <cell r="AH260">
            <v>0</v>
          </cell>
          <cell r="AI260">
            <v>0</v>
          </cell>
          <cell r="AK260">
            <v>0</v>
          </cell>
          <cell r="AN260">
            <v>0</v>
          </cell>
          <cell r="BB260">
            <v>0</v>
          </cell>
          <cell r="BY260">
            <v>0</v>
          </cell>
        </row>
        <row r="261">
          <cell r="J261">
            <v>0</v>
          </cell>
          <cell r="V261">
            <v>0</v>
          </cell>
          <cell r="AA261">
            <v>0</v>
          </cell>
          <cell r="AC261">
            <v>0</v>
          </cell>
          <cell r="AE261">
            <v>0</v>
          </cell>
          <cell r="AG261">
            <v>0</v>
          </cell>
          <cell r="AH261">
            <v>0</v>
          </cell>
          <cell r="AI261">
            <v>0</v>
          </cell>
          <cell r="AK261">
            <v>0</v>
          </cell>
          <cell r="AN261">
            <v>0</v>
          </cell>
          <cell r="BB261">
            <v>0</v>
          </cell>
          <cell r="BY261">
            <v>0</v>
          </cell>
        </row>
        <row r="262">
          <cell r="J262">
            <v>0</v>
          </cell>
          <cell r="V262">
            <v>0</v>
          </cell>
          <cell r="AA262">
            <v>0</v>
          </cell>
          <cell r="AC262">
            <v>0</v>
          </cell>
          <cell r="AE262">
            <v>0</v>
          </cell>
          <cell r="AG262">
            <v>0</v>
          </cell>
          <cell r="AH262">
            <v>0</v>
          </cell>
          <cell r="AI262">
            <v>0</v>
          </cell>
          <cell r="AK262">
            <v>0</v>
          </cell>
          <cell r="AN262">
            <v>0</v>
          </cell>
          <cell r="BB262">
            <v>0</v>
          </cell>
          <cell r="BY262">
            <v>0</v>
          </cell>
        </row>
        <row r="263">
          <cell r="J263">
            <v>0</v>
          </cell>
          <cell r="V263">
            <v>0</v>
          </cell>
          <cell r="AA263">
            <v>0</v>
          </cell>
          <cell r="AC263">
            <v>0</v>
          </cell>
          <cell r="AE263">
            <v>0</v>
          </cell>
          <cell r="AG263">
            <v>0</v>
          </cell>
          <cell r="AH263">
            <v>0</v>
          </cell>
          <cell r="AI263">
            <v>0</v>
          </cell>
          <cell r="AK263">
            <v>0</v>
          </cell>
          <cell r="AN263">
            <v>0</v>
          </cell>
          <cell r="BB263">
            <v>0</v>
          </cell>
          <cell r="BY263">
            <v>0</v>
          </cell>
        </row>
        <row r="264">
          <cell r="J264">
            <v>0</v>
          </cell>
          <cell r="V264">
            <v>0</v>
          </cell>
          <cell r="AA264">
            <v>0</v>
          </cell>
          <cell r="AC264">
            <v>0</v>
          </cell>
          <cell r="AE264">
            <v>0</v>
          </cell>
          <cell r="AG264">
            <v>0</v>
          </cell>
          <cell r="AH264">
            <v>0</v>
          </cell>
          <cell r="AI264">
            <v>0</v>
          </cell>
          <cell r="AK264">
            <v>0</v>
          </cell>
          <cell r="AN264">
            <v>0</v>
          </cell>
          <cell r="BB264">
            <v>0</v>
          </cell>
          <cell r="BY264">
            <v>0</v>
          </cell>
        </row>
        <row r="265">
          <cell r="J265">
            <v>0</v>
          </cell>
          <cell r="V265">
            <v>0</v>
          </cell>
          <cell r="AA265">
            <v>0</v>
          </cell>
          <cell r="AC265">
            <v>0</v>
          </cell>
          <cell r="AE265">
            <v>0</v>
          </cell>
          <cell r="AG265">
            <v>0</v>
          </cell>
          <cell r="AH265">
            <v>0</v>
          </cell>
          <cell r="AI265">
            <v>0</v>
          </cell>
          <cell r="AK265">
            <v>0</v>
          </cell>
          <cell r="AN265">
            <v>0</v>
          </cell>
          <cell r="BB265">
            <v>0</v>
          </cell>
          <cell r="BY265">
            <v>0</v>
          </cell>
        </row>
        <row r="266">
          <cell r="J266">
            <v>0</v>
          </cell>
          <cell r="V266">
            <v>0</v>
          </cell>
          <cell r="AA266">
            <v>0</v>
          </cell>
          <cell r="AC266">
            <v>0</v>
          </cell>
          <cell r="AE266">
            <v>0</v>
          </cell>
          <cell r="AG266">
            <v>0</v>
          </cell>
          <cell r="AH266">
            <v>0</v>
          </cell>
          <cell r="AI266">
            <v>0</v>
          </cell>
          <cell r="AK266">
            <v>0</v>
          </cell>
          <cell r="AN266">
            <v>0</v>
          </cell>
          <cell r="BB266">
            <v>0</v>
          </cell>
          <cell r="BY266">
            <v>0</v>
          </cell>
        </row>
        <row r="267">
          <cell r="J267">
            <v>0</v>
          </cell>
          <cell r="V267">
            <v>0</v>
          </cell>
          <cell r="AA267">
            <v>0</v>
          </cell>
          <cell r="AC267">
            <v>0</v>
          </cell>
          <cell r="AE267">
            <v>0</v>
          </cell>
          <cell r="AG267">
            <v>0</v>
          </cell>
          <cell r="AH267">
            <v>0</v>
          </cell>
          <cell r="AI267">
            <v>0</v>
          </cell>
          <cell r="AK267">
            <v>0</v>
          </cell>
          <cell r="AN267">
            <v>0</v>
          </cell>
          <cell r="BB267">
            <v>0</v>
          </cell>
          <cell r="BY267">
            <v>0</v>
          </cell>
        </row>
        <row r="268">
          <cell r="J268">
            <v>0</v>
          </cell>
          <cell r="V268">
            <v>0</v>
          </cell>
          <cell r="AA268">
            <v>0</v>
          </cell>
          <cell r="AC268">
            <v>0</v>
          </cell>
          <cell r="AE268">
            <v>0</v>
          </cell>
          <cell r="AG268">
            <v>0</v>
          </cell>
          <cell r="AH268">
            <v>0</v>
          </cell>
          <cell r="AI268">
            <v>0</v>
          </cell>
          <cell r="AK268">
            <v>0</v>
          </cell>
          <cell r="AN268">
            <v>0</v>
          </cell>
          <cell r="BB268">
            <v>0</v>
          </cell>
          <cell r="BY268">
            <v>0</v>
          </cell>
        </row>
        <row r="269">
          <cell r="J269">
            <v>0</v>
          </cell>
          <cell r="V269">
            <v>0</v>
          </cell>
          <cell r="AA269">
            <v>0</v>
          </cell>
          <cell r="AC269">
            <v>0</v>
          </cell>
          <cell r="AE269">
            <v>0</v>
          </cell>
          <cell r="AG269">
            <v>0</v>
          </cell>
          <cell r="AH269">
            <v>0</v>
          </cell>
          <cell r="AI269">
            <v>0</v>
          </cell>
          <cell r="AK269">
            <v>0</v>
          </cell>
          <cell r="AN269">
            <v>0</v>
          </cell>
          <cell r="BB269">
            <v>0</v>
          </cell>
          <cell r="BY269">
            <v>0</v>
          </cell>
        </row>
        <row r="270">
          <cell r="J270">
            <v>0</v>
          </cell>
          <cell r="V270">
            <v>0</v>
          </cell>
          <cell r="AA270">
            <v>0</v>
          </cell>
          <cell r="AC270">
            <v>0</v>
          </cell>
          <cell r="AE270">
            <v>0</v>
          </cell>
          <cell r="AG270">
            <v>0</v>
          </cell>
          <cell r="AH270">
            <v>0</v>
          </cell>
          <cell r="AI270">
            <v>0</v>
          </cell>
          <cell r="AK270">
            <v>0</v>
          </cell>
          <cell r="AN270">
            <v>0</v>
          </cell>
          <cell r="BB270">
            <v>0</v>
          </cell>
          <cell r="BY270">
            <v>0</v>
          </cell>
        </row>
        <row r="271">
          <cell r="J271">
            <v>0</v>
          </cell>
          <cell r="V271">
            <v>0</v>
          </cell>
          <cell r="AA271">
            <v>0</v>
          </cell>
          <cell r="AC271">
            <v>0</v>
          </cell>
          <cell r="AE271">
            <v>0</v>
          </cell>
          <cell r="AG271">
            <v>0</v>
          </cell>
          <cell r="AH271">
            <v>0</v>
          </cell>
          <cell r="AI271">
            <v>0</v>
          </cell>
          <cell r="AK271">
            <v>0</v>
          </cell>
          <cell r="AN271">
            <v>0</v>
          </cell>
          <cell r="BB271">
            <v>0</v>
          </cell>
          <cell r="BY271">
            <v>0</v>
          </cell>
        </row>
        <row r="272">
          <cell r="J272">
            <v>0</v>
          </cell>
          <cell r="V272">
            <v>0</v>
          </cell>
          <cell r="AA272">
            <v>0</v>
          </cell>
          <cell r="AC272">
            <v>0</v>
          </cell>
          <cell r="AE272">
            <v>0</v>
          </cell>
          <cell r="AG272">
            <v>0</v>
          </cell>
          <cell r="AH272">
            <v>0</v>
          </cell>
          <cell r="AI272">
            <v>0</v>
          </cell>
          <cell r="AK272">
            <v>0</v>
          </cell>
          <cell r="AN272">
            <v>0</v>
          </cell>
          <cell r="BB272">
            <v>0</v>
          </cell>
          <cell r="BY272">
            <v>0</v>
          </cell>
        </row>
        <row r="273">
          <cell r="J273">
            <v>0</v>
          </cell>
          <cell r="V273">
            <v>0</v>
          </cell>
          <cell r="AA273">
            <v>0</v>
          </cell>
          <cell r="AC273">
            <v>0</v>
          </cell>
          <cell r="AE273">
            <v>0</v>
          </cell>
          <cell r="AG273">
            <v>0</v>
          </cell>
          <cell r="AH273">
            <v>0</v>
          </cell>
          <cell r="AI273">
            <v>0</v>
          </cell>
          <cell r="AK273">
            <v>0</v>
          </cell>
          <cell r="AN273">
            <v>0</v>
          </cell>
          <cell r="BB273">
            <v>0</v>
          </cell>
          <cell r="BY273">
            <v>0</v>
          </cell>
        </row>
        <row r="274">
          <cell r="J274">
            <v>0</v>
          </cell>
          <cell r="V274">
            <v>0</v>
          </cell>
          <cell r="AA274">
            <v>0</v>
          </cell>
          <cell r="AC274">
            <v>0</v>
          </cell>
          <cell r="AE274">
            <v>0</v>
          </cell>
          <cell r="AG274">
            <v>0</v>
          </cell>
          <cell r="AH274">
            <v>0</v>
          </cell>
          <cell r="AI274">
            <v>0</v>
          </cell>
          <cell r="AK274">
            <v>0</v>
          </cell>
          <cell r="AN274">
            <v>0</v>
          </cell>
          <cell r="BB274">
            <v>0</v>
          </cell>
          <cell r="BY274">
            <v>0</v>
          </cell>
        </row>
        <row r="275">
          <cell r="J275">
            <v>0</v>
          </cell>
          <cell r="V275">
            <v>0</v>
          </cell>
          <cell r="AA275">
            <v>0</v>
          </cell>
          <cell r="AC275">
            <v>0</v>
          </cell>
          <cell r="AE275">
            <v>0</v>
          </cell>
          <cell r="AG275">
            <v>0</v>
          </cell>
          <cell r="AH275">
            <v>0</v>
          </cell>
          <cell r="AI275">
            <v>0</v>
          </cell>
          <cell r="AK275">
            <v>0</v>
          </cell>
          <cell r="AN275">
            <v>0</v>
          </cell>
          <cell r="BB275">
            <v>0</v>
          </cell>
          <cell r="BY275">
            <v>0</v>
          </cell>
        </row>
        <row r="276">
          <cell r="J276">
            <v>0</v>
          </cell>
          <cell r="V276">
            <v>0</v>
          </cell>
          <cell r="AA276">
            <v>0</v>
          </cell>
          <cell r="AC276">
            <v>0</v>
          </cell>
          <cell r="AE276">
            <v>0</v>
          </cell>
          <cell r="AG276">
            <v>0</v>
          </cell>
          <cell r="AH276">
            <v>0</v>
          </cell>
          <cell r="AI276">
            <v>0</v>
          </cell>
          <cell r="AK276">
            <v>0</v>
          </cell>
          <cell r="AN276">
            <v>0</v>
          </cell>
          <cell r="BB276">
            <v>0</v>
          </cell>
          <cell r="BY276">
            <v>0</v>
          </cell>
        </row>
        <row r="277">
          <cell r="J277">
            <v>0</v>
          </cell>
          <cell r="V277">
            <v>0</v>
          </cell>
          <cell r="AA277">
            <v>0</v>
          </cell>
          <cell r="AC277">
            <v>0</v>
          </cell>
          <cell r="AE277">
            <v>0</v>
          </cell>
          <cell r="AG277">
            <v>0</v>
          </cell>
          <cell r="AH277">
            <v>0</v>
          </cell>
          <cell r="AI277">
            <v>0</v>
          </cell>
          <cell r="AK277">
            <v>0</v>
          </cell>
          <cell r="AN277">
            <v>0</v>
          </cell>
          <cell r="BB277">
            <v>0</v>
          </cell>
          <cell r="BY277">
            <v>0</v>
          </cell>
        </row>
        <row r="278">
          <cell r="J278">
            <v>0</v>
          </cell>
          <cell r="V278">
            <v>0</v>
          </cell>
          <cell r="AA278">
            <v>0</v>
          </cell>
          <cell r="AC278">
            <v>0</v>
          </cell>
          <cell r="AE278">
            <v>0</v>
          </cell>
          <cell r="AG278">
            <v>0</v>
          </cell>
          <cell r="AH278">
            <v>0</v>
          </cell>
          <cell r="AI278">
            <v>0</v>
          </cell>
          <cell r="AK278">
            <v>0</v>
          </cell>
          <cell r="AN278">
            <v>0</v>
          </cell>
          <cell r="BB278">
            <v>0</v>
          </cell>
          <cell r="BY278">
            <v>0</v>
          </cell>
        </row>
        <row r="279">
          <cell r="J279">
            <v>0</v>
          </cell>
          <cell r="V279">
            <v>0</v>
          </cell>
          <cell r="AA279">
            <v>0</v>
          </cell>
          <cell r="AC279">
            <v>0</v>
          </cell>
          <cell r="AE279">
            <v>0</v>
          </cell>
          <cell r="AG279">
            <v>0</v>
          </cell>
          <cell r="AH279">
            <v>0</v>
          </cell>
          <cell r="AI279">
            <v>0</v>
          </cell>
          <cell r="AK279">
            <v>0</v>
          </cell>
          <cell r="AN279">
            <v>0</v>
          </cell>
          <cell r="BB279">
            <v>0</v>
          </cell>
          <cell r="BY279">
            <v>0</v>
          </cell>
        </row>
        <row r="280">
          <cell r="J280">
            <v>0</v>
          </cell>
          <cell r="V280">
            <v>0</v>
          </cell>
          <cell r="AA280">
            <v>0</v>
          </cell>
          <cell r="AC280">
            <v>0</v>
          </cell>
          <cell r="AE280">
            <v>0</v>
          </cell>
          <cell r="AG280">
            <v>0</v>
          </cell>
          <cell r="AH280">
            <v>0</v>
          </cell>
          <cell r="AI280">
            <v>0</v>
          </cell>
          <cell r="AK280">
            <v>0</v>
          </cell>
          <cell r="AN280">
            <v>0</v>
          </cell>
          <cell r="BB280">
            <v>0</v>
          </cell>
          <cell r="BY280">
            <v>0</v>
          </cell>
        </row>
        <row r="281">
          <cell r="J281">
            <v>0</v>
          </cell>
          <cell r="V281">
            <v>0</v>
          </cell>
          <cell r="AA281">
            <v>0</v>
          </cell>
          <cell r="AC281">
            <v>0</v>
          </cell>
          <cell r="AE281">
            <v>0</v>
          </cell>
          <cell r="AG281">
            <v>0</v>
          </cell>
          <cell r="AH281">
            <v>0</v>
          </cell>
          <cell r="AI281">
            <v>0</v>
          </cell>
          <cell r="AK281">
            <v>0</v>
          </cell>
          <cell r="AN281">
            <v>0</v>
          </cell>
          <cell r="BB281">
            <v>0</v>
          </cell>
          <cell r="BY281">
            <v>0</v>
          </cell>
        </row>
        <row r="282">
          <cell r="J282">
            <v>0</v>
          </cell>
          <cell r="V282">
            <v>0</v>
          </cell>
          <cell r="AA282">
            <v>0</v>
          </cell>
          <cell r="AC282">
            <v>0</v>
          </cell>
          <cell r="AE282">
            <v>0</v>
          </cell>
          <cell r="AG282">
            <v>0</v>
          </cell>
          <cell r="AH282">
            <v>0</v>
          </cell>
          <cell r="AI282">
            <v>0</v>
          </cell>
          <cell r="AK282">
            <v>0</v>
          </cell>
          <cell r="AN282">
            <v>0</v>
          </cell>
          <cell r="BB282">
            <v>0</v>
          </cell>
          <cell r="BY282">
            <v>0</v>
          </cell>
        </row>
        <row r="283">
          <cell r="J283">
            <v>0</v>
          </cell>
          <cell r="V283">
            <v>0</v>
          </cell>
          <cell r="AA283">
            <v>0</v>
          </cell>
          <cell r="AC283">
            <v>0</v>
          </cell>
          <cell r="AE283">
            <v>0</v>
          </cell>
          <cell r="AG283">
            <v>0</v>
          </cell>
          <cell r="AH283">
            <v>0</v>
          </cell>
          <cell r="AI283">
            <v>0</v>
          </cell>
          <cell r="AK283">
            <v>0</v>
          </cell>
          <cell r="AN283">
            <v>0</v>
          </cell>
          <cell r="BB283">
            <v>0</v>
          </cell>
          <cell r="BY283">
            <v>0</v>
          </cell>
        </row>
        <row r="284">
          <cell r="J284">
            <v>0</v>
          </cell>
          <cell r="V284">
            <v>0</v>
          </cell>
          <cell r="AA284">
            <v>0</v>
          </cell>
          <cell r="AC284">
            <v>0</v>
          </cell>
          <cell r="AE284">
            <v>0</v>
          </cell>
          <cell r="AG284">
            <v>0</v>
          </cell>
          <cell r="AH284">
            <v>0</v>
          </cell>
          <cell r="AI284">
            <v>0</v>
          </cell>
          <cell r="AK284">
            <v>0</v>
          </cell>
          <cell r="AN284">
            <v>0</v>
          </cell>
          <cell r="BB284">
            <v>0</v>
          </cell>
          <cell r="BY284">
            <v>0</v>
          </cell>
        </row>
        <row r="285">
          <cell r="J285">
            <v>0</v>
          </cell>
          <cell r="V285">
            <v>0</v>
          </cell>
          <cell r="AA285">
            <v>0</v>
          </cell>
          <cell r="AC285">
            <v>0</v>
          </cell>
          <cell r="AE285">
            <v>0</v>
          </cell>
          <cell r="AG285">
            <v>0</v>
          </cell>
          <cell r="AH285">
            <v>0</v>
          </cell>
          <cell r="AI285">
            <v>0</v>
          </cell>
          <cell r="AK285">
            <v>0</v>
          </cell>
          <cell r="AN285">
            <v>0</v>
          </cell>
          <cell r="BB285">
            <v>0</v>
          </cell>
          <cell r="BY285">
            <v>0</v>
          </cell>
        </row>
        <row r="286">
          <cell r="J286">
            <v>0</v>
          </cell>
          <cell r="V286">
            <v>0</v>
          </cell>
          <cell r="AA286">
            <v>0</v>
          </cell>
          <cell r="AC286">
            <v>0</v>
          </cell>
          <cell r="AE286">
            <v>0</v>
          </cell>
          <cell r="AG286">
            <v>0</v>
          </cell>
          <cell r="AH286">
            <v>0</v>
          </cell>
          <cell r="AI286">
            <v>0</v>
          </cell>
          <cell r="AK286">
            <v>0</v>
          </cell>
          <cell r="AN286">
            <v>0</v>
          </cell>
          <cell r="BB286">
            <v>0</v>
          </cell>
          <cell r="BY286">
            <v>0</v>
          </cell>
        </row>
        <row r="287">
          <cell r="J287">
            <v>0</v>
          </cell>
          <cell r="V287">
            <v>0</v>
          </cell>
          <cell r="AA287">
            <v>0</v>
          </cell>
          <cell r="AC287">
            <v>0</v>
          </cell>
          <cell r="AE287">
            <v>0</v>
          </cell>
          <cell r="AG287">
            <v>0</v>
          </cell>
          <cell r="AH287">
            <v>0</v>
          </cell>
          <cell r="AI287">
            <v>0</v>
          </cell>
          <cell r="AK287">
            <v>0</v>
          </cell>
          <cell r="AN287">
            <v>0</v>
          </cell>
          <cell r="BB287">
            <v>0</v>
          </cell>
          <cell r="BY287">
            <v>0</v>
          </cell>
        </row>
        <row r="288">
          <cell r="J288">
            <v>0</v>
          </cell>
          <cell r="V288">
            <v>0</v>
          </cell>
          <cell r="AA288">
            <v>0</v>
          </cell>
          <cell r="AC288">
            <v>0</v>
          </cell>
          <cell r="AE288">
            <v>0</v>
          </cell>
          <cell r="AG288">
            <v>0</v>
          </cell>
          <cell r="AH288">
            <v>0</v>
          </cell>
          <cell r="AI288">
            <v>0</v>
          </cell>
          <cell r="AK288">
            <v>0</v>
          </cell>
          <cell r="AN288">
            <v>0</v>
          </cell>
          <cell r="BB288">
            <v>0</v>
          </cell>
          <cell r="BY288">
            <v>0</v>
          </cell>
        </row>
        <row r="289">
          <cell r="J289">
            <v>0</v>
          </cell>
          <cell r="V289">
            <v>0</v>
          </cell>
          <cell r="AA289">
            <v>0</v>
          </cell>
          <cell r="AC289">
            <v>0</v>
          </cell>
          <cell r="AE289">
            <v>0</v>
          </cell>
          <cell r="AG289">
            <v>0</v>
          </cell>
          <cell r="AH289">
            <v>0</v>
          </cell>
          <cell r="AI289">
            <v>0</v>
          </cell>
          <cell r="AK289">
            <v>0</v>
          </cell>
          <cell r="AN289">
            <v>0</v>
          </cell>
          <cell r="BB289">
            <v>0</v>
          </cell>
          <cell r="BY289">
            <v>0</v>
          </cell>
        </row>
        <row r="290">
          <cell r="J290">
            <v>0</v>
          </cell>
          <cell r="V290">
            <v>0</v>
          </cell>
          <cell r="AA290">
            <v>0</v>
          </cell>
          <cell r="AC290">
            <v>0</v>
          </cell>
          <cell r="AE290">
            <v>0</v>
          </cell>
          <cell r="AG290">
            <v>0</v>
          </cell>
          <cell r="AH290">
            <v>0</v>
          </cell>
          <cell r="AI290">
            <v>0</v>
          </cell>
          <cell r="AK290">
            <v>0</v>
          </cell>
          <cell r="AN290">
            <v>0</v>
          </cell>
          <cell r="BB290">
            <v>0</v>
          </cell>
          <cell r="BY290">
            <v>0</v>
          </cell>
        </row>
        <row r="291">
          <cell r="J291">
            <v>0</v>
          </cell>
          <cell r="V291">
            <v>0</v>
          </cell>
          <cell r="AA291">
            <v>0</v>
          </cell>
          <cell r="AC291">
            <v>0</v>
          </cell>
          <cell r="AE291">
            <v>0</v>
          </cell>
          <cell r="AG291">
            <v>0</v>
          </cell>
          <cell r="AH291">
            <v>0</v>
          </cell>
          <cell r="AI291">
            <v>0</v>
          </cell>
          <cell r="AK291">
            <v>0</v>
          </cell>
          <cell r="AN291">
            <v>0</v>
          </cell>
          <cell r="BB291">
            <v>0</v>
          </cell>
          <cell r="BY291">
            <v>0</v>
          </cell>
        </row>
        <row r="292">
          <cell r="J292">
            <v>0</v>
          </cell>
          <cell r="V292">
            <v>0</v>
          </cell>
          <cell r="AA292">
            <v>0</v>
          </cell>
          <cell r="AC292">
            <v>0</v>
          </cell>
          <cell r="AE292">
            <v>0</v>
          </cell>
          <cell r="AG292">
            <v>0</v>
          </cell>
          <cell r="AH292">
            <v>0</v>
          </cell>
          <cell r="AI292">
            <v>0</v>
          </cell>
          <cell r="AK292">
            <v>0</v>
          </cell>
          <cell r="AN292">
            <v>0</v>
          </cell>
          <cell r="BB292">
            <v>0</v>
          </cell>
          <cell r="BY292">
            <v>0</v>
          </cell>
        </row>
      </sheetData>
      <sheetData sheetId="14"/>
      <sheetData sheetId="15"/>
      <sheetData sheetId="16"/>
      <sheetData sheetId="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hyperlink" Target="http://www.arcep.bf/"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mailto:insd@insd.bf"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s://fr.exchange-rates.org/"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worldbank.org/en/research/commodity-markets"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fr.climate-data.org/afrique/burkina-faso-14/"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00B050"/>
  </sheetPr>
  <dimension ref="A1:H48"/>
  <sheetViews>
    <sheetView showGridLines="0" tabSelected="1" view="pageBreakPreview" zoomScaleSheetLayoutView="100" workbookViewId="0">
      <selection activeCell="K50" sqref="K50"/>
    </sheetView>
  </sheetViews>
  <sheetFormatPr baseColWidth="10" defaultColWidth="11.44140625" defaultRowHeight="12.3"/>
  <cols>
    <col min="1" max="1" width="11" style="1095" customWidth="1"/>
    <col min="2" max="2" width="16.1640625" style="1095" customWidth="1"/>
    <col min="3" max="3" width="13.83203125" style="1095" customWidth="1"/>
    <col min="4" max="4" width="15.27734375" style="1095" customWidth="1"/>
    <col min="5" max="5" width="13.44140625" style="1095" customWidth="1"/>
    <col min="6" max="6" width="17.5546875" style="1095" customWidth="1"/>
    <col min="7" max="7" width="12.71875" style="1095" customWidth="1"/>
    <col min="8" max="16384" width="11.44140625" style="1095"/>
  </cols>
  <sheetData>
    <row r="1" spans="1:7">
      <c r="G1" s="1096"/>
    </row>
    <row r="2" spans="1:7" ht="15">
      <c r="A2" s="1213"/>
      <c r="B2" s="1213"/>
      <c r="C2" s="1213"/>
      <c r="D2" s="1213"/>
      <c r="E2" s="1213"/>
      <c r="F2" s="1213"/>
      <c r="G2" s="1213"/>
    </row>
    <row r="3" spans="1:7" ht="15">
      <c r="A3" s="1214"/>
      <c r="B3" s="1214"/>
      <c r="C3" s="1214"/>
      <c r="D3" s="1214"/>
      <c r="E3" s="1214"/>
      <c r="F3" s="1214"/>
      <c r="G3" s="1214"/>
    </row>
    <row r="4" spans="1:7" ht="15">
      <c r="A4" s="1214"/>
      <c r="B4" s="1214"/>
      <c r="C4" s="1214"/>
      <c r="D4" s="1214"/>
      <c r="E4" s="1214"/>
      <c r="F4" s="1214"/>
      <c r="G4" s="1214"/>
    </row>
    <row r="5" spans="1:7" ht="15">
      <c r="A5" s="1215"/>
      <c r="B5" s="1215"/>
      <c r="C5" s="1215"/>
      <c r="D5" s="1215"/>
      <c r="E5" s="1215"/>
      <c r="F5" s="1215"/>
      <c r="G5" s="1215"/>
    </row>
    <row r="6" spans="1:7" ht="15">
      <c r="A6" s="1214"/>
      <c r="B6" s="1214"/>
      <c r="C6" s="1214"/>
      <c r="D6" s="1214"/>
      <c r="E6" s="1214"/>
      <c r="F6" s="1214"/>
      <c r="G6" s="1214"/>
    </row>
    <row r="7" spans="1:7" ht="15">
      <c r="A7" s="1214"/>
      <c r="B7" s="1214"/>
      <c r="C7" s="1214"/>
      <c r="D7" s="1214"/>
      <c r="E7" s="1214"/>
      <c r="F7" s="1214"/>
      <c r="G7" s="1214"/>
    </row>
    <row r="8" spans="1:7" ht="15">
      <c r="A8" s="1214"/>
      <c r="B8" s="1214"/>
      <c r="C8" s="1214"/>
      <c r="D8" s="1214"/>
      <c r="E8" s="1214"/>
      <c r="F8" s="1214"/>
      <c r="G8" s="1214"/>
    </row>
    <row r="9" spans="1:7" ht="15">
      <c r="A9" s="1215"/>
      <c r="B9" s="1215"/>
      <c r="C9" s="1215"/>
      <c r="D9" s="1215"/>
      <c r="E9" s="1215"/>
      <c r="F9" s="1215"/>
      <c r="G9" s="1215"/>
    </row>
    <row r="10" spans="1:7" ht="15">
      <c r="A10" s="1215"/>
      <c r="B10" s="1215"/>
      <c r="C10" s="1215"/>
      <c r="D10" s="1215"/>
      <c r="E10" s="1215"/>
      <c r="F10" s="1215"/>
      <c r="G10" s="1215"/>
    </row>
    <row r="11" spans="1:7" ht="15">
      <c r="A11" s="1215"/>
      <c r="B11" s="1215"/>
      <c r="C11" s="1215"/>
      <c r="D11" s="1215"/>
      <c r="E11" s="1215"/>
      <c r="F11" s="1215"/>
      <c r="G11" s="1215"/>
    </row>
    <row r="12" spans="1:7" ht="15">
      <c r="A12" s="1215"/>
      <c r="B12" s="1215"/>
      <c r="C12" s="1215"/>
      <c r="D12" s="1215"/>
      <c r="E12" s="1215"/>
      <c r="F12" s="1215"/>
      <c r="G12" s="1215"/>
    </row>
    <row r="13" spans="1:7" ht="15">
      <c r="A13" s="1215"/>
      <c r="B13" s="1215"/>
      <c r="C13" s="1215"/>
      <c r="D13" s="1215"/>
      <c r="E13" s="1215"/>
      <c r="F13" s="1215"/>
      <c r="G13" s="1215"/>
    </row>
    <row r="14" spans="1:7" ht="15">
      <c r="A14" s="1216"/>
    </row>
    <row r="18" spans="1:8" ht="20.100000000000001">
      <c r="A18" s="1217"/>
      <c r="B18" s="1217"/>
      <c r="C18" s="1217"/>
      <c r="D18" s="1217"/>
      <c r="E18" s="1217"/>
      <c r="F18" s="1217"/>
      <c r="G18" s="1218"/>
    </row>
    <row r="19" spans="1:8" ht="15.75" customHeight="1">
      <c r="A19" s="1215"/>
      <c r="B19" s="1215"/>
      <c r="C19" s="1215"/>
      <c r="D19" s="1215"/>
      <c r="E19" s="1215"/>
      <c r="F19" s="1215"/>
      <c r="G19" s="1215"/>
    </row>
    <row r="20" spans="1:8" ht="20.25" customHeight="1">
      <c r="B20" s="1219"/>
      <c r="C20" s="1220"/>
      <c r="D20" s="1220"/>
      <c r="E20" s="1219"/>
      <c r="F20" s="1219"/>
      <c r="G20" s="1219"/>
    </row>
    <row r="21" spans="1:8" ht="12.75" customHeight="1"/>
    <row r="30" spans="1:8" ht="14.4">
      <c r="B30" s="1166"/>
    </row>
    <row r="32" spans="1:8" ht="19.8">
      <c r="C32" s="2042" t="s">
        <v>1176</v>
      </c>
      <c r="D32" s="2042"/>
      <c r="E32" s="2042"/>
      <c r="F32" s="2042"/>
      <c r="G32" s="2042"/>
      <c r="H32" s="2042"/>
    </row>
    <row r="35" spans="1:7" ht="15">
      <c r="A35" s="1221"/>
      <c r="B35" s="1221"/>
      <c r="C35" s="1221"/>
      <c r="D35" s="1221"/>
      <c r="E35" s="1221"/>
      <c r="F35" s="1221"/>
      <c r="G35" s="1221"/>
    </row>
    <row r="43" spans="1:7" ht="15">
      <c r="B43" s="2043"/>
      <c r="C43" s="2043"/>
      <c r="D43" s="2043"/>
      <c r="E43" s="2043"/>
      <c r="F43" s="2043"/>
    </row>
    <row r="44" spans="1:7" ht="15">
      <c r="B44" s="2044"/>
      <c r="C44" s="2044"/>
      <c r="D44" s="2044"/>
      <c r="E44" s="2044"/>
      <c r="F44" s="2044"/>
    </row>
    <row r="45" spans="1:7" ht="15">
      <c r="B45" s="2044"/>
      <c r="C45" s="2044"/>
      <c r="D45" s="2044"/>
      <c r="E45" s="2044"/>
      <c r="F45" s="2044"/>
    </row>
    <row r="46" spans="1:7" ht="15">
      <c r="B46" s="2045"/>
      <c r="C46" s="2046"/>
      <c r="D46" s="2046"/>
      <c r="E46" s="2046"/>
      <c r="F46" s="2046"/>
    </row>
    <row r="48" spans="1:7" ht="17.399999999999999">
      <c r="B48" s="2041"/>
      <c r="C48" s="2041"/>
      <c r="D48" s="2041"/>
      <c r="E48" s="2041"/>
      <c r="F48" s="2041"/>
    </row>
  </sheetData>
  <mergeCells count="6">
    <mergeCell ref="B48:F48"/>
    <mergeCell ref="C32:H32"/>
    <mergeCell ref="B43:F43"/>
    <mergeCell ref="B44:F44"/>
    <mergeCell ref="B45:F45"/>
    <mergeCell ref="B46:F46"/>
  </mergeCells>
  <pageMargins left="0.70866141732283472" right="0.70866141732283472" top="0.74803149606299213" bottom="0.74803149606299213" header="0.31496062992125984" footer="0.31496062992125984"/>
  <pageSetup paperSize="9" scale="70" firstPageNumber="7" orientation="portrait" r:id="rId1"/>
  <headerFooter>
    <oddFooter>&amp;L&amp;8Bulletin trimestriel de conjoncture, 4e trimestre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rgb="FF00B050"/>
  </sheetPr>
  <dimension ref="A1:K55"/>
  <sheetViews>
    <sheetView view="pageBreakPreview" zoomScaleSheetLayoutView="100" workbookViewId="0">
      <selection activeCell="K50" sqref="K50"/>
    </sheetView>
  </sheetViews>
  <sheetFormatPr baseColWidth="10" defaultRowHeight="12.3"/>
  <cols>
    <col min="1" max="1" width="31.44140625" customWidth="1"/>
    <col min="2" max="9" width="10.83203125" customWidth="1"/>
  </cols>
  <sheetData>
    <row r="1" spans="1:11" ht="17.7">
      <c r="A1" s="2048" t="s">
        <v>526</v>
      </c>
      <c r="B1" s="2048"/>
      <c r="C1" s="2048"/>
      <c r="D1" s="2048"/>
      <c r="E1" s="2048"/>
      <c r="F1" s="2048"/>
      <c r="G1" s="2048"/>
      <c r="H1" s="2048"/>
      <c r="I1" s="2048"/>
    </row>
    <row r="2" spans="1:11">
      <c r="A2" s="192"/>
      <c r="B2" s="781"/>
      <c r="C2" s="532"/>
      <c r="D2" s="532"/>
      <c r="E2" s="532"/>
      <c r="F2" s="532"/>
      <c r="G2" s="70"/>
      <c r="H2" s="192"/>
      <c r="I2" s="192"/>
    </row>
    <row r="3" spans="1:11">
      <c r="A3" s="2078" t="s">
        <v>1096</v>
      </c>
      <c r="B3" s="2078"/>
      <c r="C3" s="2078"/>
      <c r="D3" s="2078"/>
      <c r="E3" s="2078"/>
      <c r="F3" s="2078"/>
      <c r="G3" s="2078"/>
      <c r="H3" s="2078"/>
      <c r="I3" s="2078"/>
    </row>
    <row r="4" spans="1:11">
      <c r="A4" s="86"/>
      <c r="B4" s="781"/>
      <c r="C4" s="532"/>
      <c r="D4" s="532"/>
      <c r="E4" s="532"/>
      <c r="F4" s="532"/>
      <c r="G4" s="70"/>
      <c r="H4" s="192"/>
      <c r="I4" s="192"/>
      <c r="K4" t="s">
        <v>1100</v>
      </c>
    </row>
    <row r="5" spans="1:11">
      <c r="A5" s="86"/>
      <c r="B5" s="781"/>
      <c r="C5" s="532"/>
      <c r="D5" s="532"/>
      <c r="E5" s="532"/>
      <c r="F5" s="532"/>
      <c r="G5" s="70"/>
      <c r="H5" s="192"/>
      <c r="I5" s="192"/>
    </row>
    <row r="6" spans="1:11">
      <c r="A6" s="192"/>
      <c r="B6" s="781"/>
      <c r="C6" s="2079" t="s">
        <v>527</v>
      </c>
      <c r="D6" s="2080"/>
      <c r="E6" s="2080"/>
      <c r="F6" s="2080"/>
      <c r="G6" s="2081"/>
      <c r="H6" s="2067" t="s">
        <v>18</v>
      </c>
      <c r="I6" s="2069"/>
    </row>
    <row r="7" spans="1:11">
      <c r="A7" s="257" t="s">
        <v>528</v>
      </c>
      <c r="B7" s="782" t="s">
        <v>221</v>
      </c>
      <c r="C7" s="783" t="str">
        <f>Base_Trimestrielle!ND7</f>
        <v>3T2022</v>
      </c>
      <c r="D7" s="783" t="str">
        <f>Base_Trimestrielle!NE7</f>
        <v>4T2022</v>
      </c>
      <c r="E7" s="784" t="str">
        <f>Base_Trimestrielle!NF7</f>
        <v>1T2023</v>
      </c>
      <c r="F7" s="783" t="str">
        <f>Base_Trimestrielle!NG7</f>
        <v>2T2023</v>
      </c>
      <c r="G7" s="784" t="str">
        <f>Base_Trimestrielle!NH7</f>
        <v>3T2023</v>
      </c>
      <c r="H7" s="32" t="s">
        <v>503</v>
      </c>
      <c r="I7" s="449" t="s">
        <v>20</v>
      </c>
    </row>
    <row r="8" spans="1:11">
      <c r="A8" s="1405" t="s">
        <v>1067</v>
      </c>
      <c r="B8" s="82"/>
      <c r="C8" s="82">
        <f>Base_Trimestrielle!ND11</f>
        <v>191.20125615508783</v>
      </c>
      <c r="D8" s="82">
        <f>Base_Trimestrielle!NE11</f>
        <v>184.83397273105629</v>
      </c>
      <c r="E8" s="82">
        <f>Base_Trimestrielle!NF11</f>
        <v>185.44910196267048</v>
      </c>
      <c r="F8" s="82">
        <f>Base_Trimestrielle!NG11</f>
        <v>192.92951298081073</v>
      </c>
      <c r="G8" s="82"/>
      <c r="H8" s="1242"/>
      <c r="I8" s="1242"/>
    </row>
    <row r="9" spans="1:11">
      <c r="A9" s="1404" t="s">
        <v>1068</v>
      </c>
      <c r="B9" s="1549"/>
      <c r="C9" s="81">
        <f>Base_Trimestrielle!ND12</f>
        <v>164.82898807898135</v>
      </c>
      <c r="D9" s="81">
        <f>Base_Trimestrielle!NE12</f>
        <v>163.57040026055947</v>
      </c>
      <c r="E9" s="81">
        <f>Base_Trimestrielle!NF12</f>
        <v>171.83233759008618</v>
      </c>
      <c r="F9" s="81">
        <f>Base_Trimestrielle!NG12</f>
        <v>180.18896630628549</v>
      </c>
      <c r="G9" s="81">
        <f>Base_Trimestrielle!NH12</f>
        <v>180.57516319194769</v>
      </c>
      <c r="H9" s="1244">
        <f t="shared" ref="H9:H33" si="0">+IF(F9=0,"",(G9/F9-1)*100)</f>
        <v>0.21432882022629496</v>
      </c>
      <c r="I9" s="1244">
        <f t="shared" ref="I9:I33" si="1">+IF(C9=0,"",(G9/C9-1)*100)</f>
        <v>9.5530375430207926</v>
      </c>
      <c r="J9" s="1922"/>
    </row>
    <row r="10" spans="1:11">
      <c r="A10" s="1405" t="s">
        <v>1069</v>
      </c>
      <c r="B10" s="82"/>
      <c r="C10" s="82">
        <f>Base_Trimestrielle!ND13</f>
        <v>120.59773086214763</v>
      </c>
      <c r="D10" s="82">
        <f>Base_Trimestrielle!NE13</f>
        <v>117.00601803831762</v>
      </c>
      <c r="E10" s="82">
        <f>Base_Trimestrielle!NF13</f>
        <v>118.58925328952803</v>
      </c>
      <c r="F10" s="82">
        <f>Base_Trimestrielle!NG13</f>
        <v>118.93824073436346</v>
      </c>
      <c r="G10" s="82">
        <f>Base_Trimestrielle!NH13</f>
        <v>145.32361035541837</v>
      </c>
      <c r="H10" s="1242">
        <f t="shared" si="0"/>
        <v>22.184092734298932</v>
      </c>
      <c r="I10" s="1242">
        <f t="shared" si="1"/>
        <v>20.502773407514852</v>
      </c>
    </row>
    <row r="11" spans="1:11" ht="37.200000000000003" thickBot="1">
      <c r="A11" s="1911" t="s">
        <v>1070</v>
      </c>
      <c r="B11" s="1912"/>
      <c r="C11" s="1913">
        <f>Base_Trimestrielle!ND14</f>
        <v>100.0000000000001</v>
      </c>
      <c r="D11" s="1913">
        <f>Base_Trimestrielle!NE14</f>
        <v>100.0000000000001</v>
      </c>
      <c r="E11" s="1913">
        <f>Base_Trimestrielle!NF14</f>
        <v>100.00000000000013</v>
      </c>
      <c r="F11" s="1913">
        <f>Base_Trimestrielle!NG14</f>
        <v>100.00000000000013</v>
      </c>
      <c r="G11" s="1913">
        <f>Base_Trimestrielle!NH14</f>
        <v>100.00000000000013</v>
      </c>
      <c r="H11" s="1913">
        <f t="shared" si="0"/>
        <v>0</v>
      </c>
      <c r="I11" s="1913">
        <f t="shared" si="1"/>
        <v>2.2204460492503131E-14</v>
      </c>
    </row>
    <row r="12" spans="1:11" ht="24.6">
      <c r="A12" s="1405" t="s">
        <v>1071</v>
      </c>
      <c r="B12" s="82"/>
      <c r="C12" s="82">
        <f>Base_Trimestrielle!ND16</f>
        <v>165.37471658011734</v>
      </c>
      <c r="D12" s="82">
        <f>Base_Trimestrielle!NE16</f>
        <v>164.05640703732243</v>
      </c>
      <c r="E12" s="82">
        <f>Base_Trimestrielle!NF16</f>
        <v>172.33449359840873</v>
      </c>
      <c r="F12" s="82">
        <f>Base_Trimestrielle!NG16</f>
        <v>180.88913239674687</v>
      </c>
      <c r="G12" s="82">
        <f>Base_Trimestrielle!NH16</f>
        <v>181.28448020674099</v>
      </c>
      <c r="H12" s="1242">
        <f t="shared" si="0"/>
        <v>0.2185580774012541</v>
      </c>
      <c r="I12" s="1242">
        <f t="shared" si="1"/>
        <v>9.620432890608166</v>
      </c>
    </row>
    <row r="13" spans="1:11" ht="24.6">
      <c r="A13" s="1404" t="s">
        <v>1072</v>
      </c>
      <c r="B13" s="1549"/>
      <c r="C13" s="81">
        <f>Base_Trimestrielle!ND17</f>
        <v>159.99999999999986</v>
      </c>
      <c r="D13" s="81">
        <f>Base_Trimestrielle!NE17</f>
        <v>159.99999999999986</v>
      </c>
      <c r="E13" s="81">
        <f>Base_Trimestrielle!NF17</f>
        <v>159.99999999999986</v>
      </c>
      <c r="F13" s="81">
        <f>Base_Trimestrielle!NG17</f>
        <v>159.99999999999986</v>
      </c>
      <c r="G13" s="81">
        <f>Base_Trimestrielle!NH17</f>
        <v>159.99999999999986</v>
      </c>
      <c r="H13" s="1244">
        <f t="shared" si="0"/>
        <v>0</v>
      </c>
      <c r="I13" s="1244">
        <f t="shared" si="1"/>
        <v>0</v>
      </c>
    </row>
    <row r="14" spans="1:11" ht="24.6">
      <c r="A14" s="1405" t="s">
        <v>1073</v>
      </c>
      <c r="B14" s="82"/>
      <c r="C14" s="82">
        <f>Base_Trimestrielle!ND18</f>
        <v>138.62806110200322</v>
      </c>
      <c r="D14" s="82">
        <f>Base_Trimestrielle!NE18</f>
        <v>132.65018373644946</v>
      </c>
      <c r="E14" s="82">
        <f>Base_Trimestrielle!NF18</f>
        <v>136.47146675096886</v>
      </c>
      <c r="F14" s="82">
        <f>Base_Trimestrielle!NG18</f>
        <v>135.17309667885354</v>
      </c>
      <c r="G14" s="82">
        <f>Base_Trimestrielle!NH18</f>
        <v>239.55148475970464</v>
      </c>
      <c r="H14" s="1242">
        <f t="shared" si="0"/>
        <v>77.218315364066115</v>
      </c>
      <c r="I14" s="1242">
        <f t="shared" si="1"/>
        <v>72.801583500068915</v>
      </c>
    </row>
    <row r="15" spans="1:11">
      <c r="A15" s="1404" t="s">
        <v>1074</v>
      </c>
      <c r="B15" s="1549"/>
      <c r="C15" s="81">
        <f>Base_Trimestrielle!ND19</f>
        <v>100.00065465091683</v>
      </c>
      <c r="D15" s="81">
        <f>Base_Trimestrielle!NE19</f>
        <v>100.00065465091683</v>
      </c>
      <c r="E15" s="81">
        <f>Base_Trimestrielle!NF19</f>
        <v>100.00065465091681</v>
      </c>
      <c r="F15" s="81">
        <f>Base_Trimestrielle!NG19</f>
        <v>100.00065465091681</v>
      </c>
      <c r="G15" s="81">
        <f>Base_Trimestrielle!NH19</f>
        <v>99.989210142220131</v>
      </c>
      <c r="H15" s="1244">
        <f t="shared" si="0"/>
        <v>-1.1444433775598117E-2</v>
      </c>
      <c r="I15" s="1244">
        <f t="shared" si="1"/>
        <v>-1.144443377560922E-2</v>
      </c>
    </row>
    <row r="16" spans="1:11" ht="24.6">
      <c r="A16" s="1405" t="s">
        <v>1075</v>
      </c>
      <c r="B16" s="82"/>
      <c r="C16" s="82">
        <f>Base_Trimestrielle!ND20</f>
        <v>181.34312248667365</v>
      </c>
      <c r="D16" s="82">
        <f>Base_Trimestrielle!NE20</f>
        <v>101.26140661236944</v>
      </c>
      <c r="E16" s="82">
        <f>Base_Trimestrielle!NF20</f>
        <v>101.2614066124502</v>
      </c>
      <c r="F16" s="82">
        <f>Base_Trimestrielle!NG20</f>
        <v>101.2614066124502</v>
      </c>
      <c r="G16" s="82">
        <f>Base_Trimestrielle!NH20</f>
        <v>101.2614066124502</v>
      </c>
      <c r="H16" s="1242">
        <f t="shared" si="0"/>
        <v>0</v>
      </c>
      <c r="I16" s="1242">
        <f t="shared" si="1"/>
        <v>-44.160326995642421</v>
      </c>
    </row>
    <row r="17" spans="1:11" ht="24.6">
      <c r="A17" s="1404" t="s">
        <v>1076</v>
      </c>
      <c r="B17" s="1549"/>
      <c r="C17" s="81">
        <f>Base_Trimestrielle!ND21</f>
        <v>100.08999602021392</v>
      </c>
      <c r="D17" s="81">
        <f>Base_Trimestrielle!NE21</f>
        <v>100.08999602021392</v>
      </c>
      <c r="E17" s="81">
        <f>Base_Trimestrielle!NF21</f>
        <v>99.94720577109365</v>
      </c>
      <c r="F17" s="81">
        <f>Base_Trimestrielle!NG21</f>
        <v>99.94720577109365</v>
      </c>
      <c r="G17" s="81">
        <f>Base_Trimestrielle!NH21</f>
        <v>99.94720577109365</v>
      </c>
      <c r="H17" s="1244">
        <f t="shared" si="0"/>
        <v>0</v>
      </c>
      <c r="I17" s="1244">
        <f t="shared" si="1"/>
        <v>-0.14266185912469309</v>
      </c>
    </row>
    <row r="18" spans="1:11" ht="24.6">
      <c r="A18" s="1405" t="s">
        <v>1077</v>
      </c>
      <c r="B18" s="82"/>
      <c r="C18" s="82">
        <f>Base_Trimestrielle!ND22</f>
        <v>104.35461790372415</v>
      </c>
      <c r="D18" s="82">
        <f>Base_Trimestrielle!NE22</f>
        <v>100.01070944793751</v>
      </c>
      <c r="E18" s="82">
        <f>Base_Trimestrielle!NF22</f>
        <v>99.624105419119161</v>
      </c>
      <c r="F18" s="82">
        <f>Base_Trimestrielle!NG22</f>
        <v>99.850548769862584</v>
      </c>
      <c r="G18" s="82">
        <f>Base_Trimestrielle!NH22</f>
        <v>99.860768180618436</v>
      </c>
      <c r="H18" s="1242">
        <f t="shared" si="0"/>
        <v>1.0234706650846803E-2</v>
      </c>
      <c r="I18" s="1242">
        <f t="shared" si="1"/>
        <v>-4.3063256934653964</v>
      </c>
    </row>
    <row r="19" spans="1:11" ht="36.9">
      <c r="A19" s="1404" t="s">
        <v>1078</v>
      </c>
      <c r="B19" s="1549"/>
      <c r="C19" s="81">
        <f>Base_Trimestrielle!ND23</f>
        <v>115.09799658584342</v>
      </c>
      <c r="D19" s="81">
        <f>Base_Trimestrielle!NE23</f>
        <v>115.09799658584342</v>
      </c>
      <c r="E19" s="81">
        <f>Base_Trimestrielle!NF23</f>
        <v>115.09799658584345</v>
      </c>
      <c r="F19" s="81">
        <f>Base_Trimestrielle!NG23</f>
        <v>115.09799658584345</v>
      </c>
      <c r="G19" s="81">
        <f>Base_Trimestrielle!NH23</f>
        <v>115.09799658584345</v>
      </c>
      <c r="H19" s="1244">
        <f t="shared" si="0"/>
        <v>0</v>
      </c>
      <c r="I19" s="1244">
        <f t="shared" si="1"/>
        <v>2.2204460492503131E-14</v>
      </c>
    </row>
    <row r="20" spans="1:11" ht="36.9">
      <c r="A20" s="1405" t="s">
        <v>1079</v>
      </c>
      <c r="B20" s="82"/>
      <c r="C20" s="82">
        <f>Base_Trimestrielle!ND24</f>
        <v>103.65414305948853</v>
      </c>
      <c r="D20" s="82">
        <f>Base_Trimestrielle!NE24</f>
        <v>103.65414305948853</v>
      </c>
      <c r="E20" s="82">
        <f>Base_Trimestrielle!NF24</f>
        <v>103.65414305957231</v>
      </c>
      <c r="F20" s="82">
        <f>Base_Trimestrielle!NG24</f>
        <v>103.65414305957231</v>
      </c>
      <c r="G20" s="82">
        <f>Base_Trimestrielle!NH24</f>
        <v>103.65414305957231</v>
      </c>
      <c r="H20" s="1242">
        <f t="shared" si="0"/>
        <v>0</v>
      </c>
      <c r="I20" s="1242">
        <f t="shared" si="1"/>
        <v>8.0824236192711396E-11</v>
      </c>
    </row>
    <row r="21" spans="1:11" ht="24.6">
      <c r="A21" s="1404" t="s">
        <v>1080</v>
      </c>
      <c r="B21" s="1549"/>
      <c r="C21" s="81">
        <f>Base_Trimestrielle!ND25</f>
        <v>113.34630183820379</v>
      </c>
      <c r="D21" s="81">
        <f>Base_Trimestrielle!NE25</f>
        <v>113.34630183820379</v>
      </c>
      <c r="E21" s="81">
        <f>Base_Trimestrielle!NF25</f>
        <v>113.25646998473957</v>
      </c>
      <c r="F21" s="81">
        <f>Base_Trimestrielle!NG25</f>
        <v>175.5956960708983</v>
      </c>
      <c r="G21" s="81">
        <f>Base_Trimestrielle!NH25</f>
        <v>200.13788742603765</v>
      </c>
      <c r="H21" s="1244">
        <f t="shared" si="0"/>
        <v>13.976533539426983</v>
      </c>
      <c r="I21" s="1244">
        <f t="shared" si="1"/>
        <v>76.572048827604931</v>
      </c>
    </row>
    <row r="22" spans="1:11" ht="24.6">
      <c r="A22" s="1405" t="s">
        <v>1081</v>
      </c>
      <c r="B22" s="82"/>
      <c r="C22" s="82">
        <f>Base_Trimestrielle!ND26</f>
        <v>111.72982942654124</v>
      </c>
      <c r="D22" s="82">
        <f>Base_Trimestrielle!NE26</f>
        <v>91.344419906738977</v>
      </c>
      <c r="E22" s="82">
        <f>Base_Trimestrielle!NF26</f>
        <v>109.42678018724067</v>
      </c>
      <c r="F22" s="82">
        <f>Base_Trimestrielle!NG26</f>
        <v>111.08781966653486</v>
      </c>
      <c r="G22" s="82">
        <f>Base_Trimestrielle!NH26</f>
        <v>269.81702108253143</v>
      </c>
      <c r="H22" s="1242">
        <f t="shared" si="0"/>
        <v>142.88623351549467</v>
      </c>
      <c r="I22" s="1242">
        <f t="shared" si="1"/>
        <v>141.49058713092137</v>
      </c>
    </row>
    <row r="23" spans="1:11" ht="24.6">
      <c r="A23" s="1404" t="s">
        <v>1082</v>
      </c>
      <c r="B23" s="1549"/>
      <c r="C23" s="81">
        <f>Base_Trimestrielle!ND27</f>
        <v>135.92143888739156</v>
      </c>
      <c r="D23" s="81">
        <f>Base_Trimestrielle!NE27</f>
        <v>135.71122341959449</v>
      </c>
      <c r="E23" s="81">
        <f>Base_Trimestrielle!NF27</f>
        <v>126.56908947932352</v>
      </c>
      <c r="F23" s="81">
        <f>Base_Trimestrielle!NG27</f>
        <v>129.17693302246218</v>
      </c>
      <c r="G23" s="81">
        <f>Base_Trimestrielle!NH27</f>
        <v>129.2720630717989</v>
      </c>
      <c r="H23" s="1244">
        <f t="shared" si="0"/>
        <v>7.3643217183505527E-2</v>
      </c>
      <c r="I23" s="1244">
        <f t="shared" si="1"/>
        <v>-4.8920728547477754</v>
      </c>
    </row>
    <row r="24" spans="1:11" ht="24.6">
      <c r="A24" s="1405" t="s">
        <v>1083</v>
      </c>
      <c r="B24" s="82"/>
      <c r="C24" s="82">
        <f>Base_Trimestrielle!ND28</f>
        <v>127.95425996125658</v>
      </c>
      <c r="D24" s="82">
        <f>Base_Trimestrielle!NE28</f>
        <v>280.94503707816625</v>
      </c>
      <c r="E24" s="82">
        <f>Base_Trimestrielle!NF28</f>
        <v>233.13534657913254</v>
      </c>
      <c r="F24" s="82">
        <f>Base_Trimestrielle!NG28</f>
        <v>249.92951759185877</v>
      </c>
      <c r="G24" s="82">
        <f>Base_Trimestrielle!NH28</f>
        <v>274.3734727451041</v>
      </c>
      <c r="H24" s="1242">
        <f t="shared" si="0"/>
        <v>9.7803394287996568</v>
      </c>
      <c r="I24" s="1242">
        <f t="shared" si="1"/>
        <v>114.43090118936405</v>
      </c>
    </row>
    <row r="25" spans="1:11" ht="24.6">
      <c r="A25" s="1404" t="s">
        <v>1084</v>
      </c>
      <c r="B25" s="1549"/>
      <c r="C25" s="81">
        <f>Base_Trimestrielle!ND29</f>
        <v>94.717997189985084</v>
      </c>
      <c r="D25" s="81">
        <f>Base_Trimestrielle!NE29</f>
        <v>94.717997189985084</v>
      </c>
      <c r="E25" s="81">
        <f>Base_Trimestrielle!NF29</f>
        <v>94.677754704105354</v>
      </c>
      <c r="F25" s="81">
        <f>Base_Trimestrielle!NG29</f>
        <v>96.545261157095354</v>
      </c>
      <c r="G25" s="81">
        <f>Base_Trimestrielle!NH29</f>
        <v>96.569475537039551</v>
      </c>
      <c r="H25" s="1244">
        <f t="shared" si="0"/>
        <v>2.5080858090786862E-2</v>
      </c>
      <c r="I25" s="1244">
        <f t="shared" si="1"/>
        <v>1.9547270867021904</v>
      </c>
    </row>
    <row r="26" spans="1:11">
      <c r="A26" s="1405" t="s">
        <v>1085</v>
      </c>
      <c r="B26" s="82"/>
      <c r="C26" s="82">
        <f>Base_Trimestrielle!ND30</f>
        <v>113.86646305321543</v>
      </c>
      <c r="D26" s="82">
        <f>Base_Trimestrielle!NE30</f>
        <v>113.41871097281577</v>
      </c>
      <c r="E26" s="82">
        <f>Base_Trimestrielle!NF30</f>
        <v>114.48096940358101</v>
      </c>
      <c r="F26" s="82">
        <f>Base_Trimestrielle!NG30</f>
        <v>114.459054908764</v>
      </c>
      <c r="G26" s="82">
        <f>Base_Trimestrielle!NH30</f>
        <v>114.43568564900062</v>
      </c>
      <c r="H26" s="1242">
        <f t="shared" si="0"/>
        <v>-2.0417135002570586E-2</v>
      </c>
      <c r="I26" s="1242">
        <f t="shared" si="1"/>
        <v>0.49990364196976778</v>
      </c>
    </row>
    <row r="27" spans="1:11" ht="24.6">
      <c r="A27" s="1404" t="s">
        <v>1086</v>
      </c>
      <c r="B27" s="1549"/>
      <c r="C27" s="81">
        <f>Base_Trimestrielle!ND31</f>
        <v>103.27612425977642</v>
      </c>
      <c r="D27" s="81">
        <f>Base_Trimestrielle!NE31</f>
        <v>103.27612425977642</v>
      </c>
      <c r="E27" s="81">
        <f>Base_Trimestrielle!NF31</f>
        <v>104.35960355406276</v>
      </c>
      <c r="F27" s="81">
        <f>Base_Trimestrielle!NG31</f>
        <v>104.35960355406276</v>
      </c>
      <c r="G27" s="81">
        <f>Base_Trimestrielle!NH31</f>
        <v>104.35960355406276</v>
      </c>
      <c r="H27" s="1244">
        <f t="shared" si="0"/>
        <v>0</v>
      </c>
      <c r="I27" s="1244">
        <f t="shared" si="1"/>
        <v>1.0491091741213987</v>
      </c>
    </row>
    <row r="28" spans="1:11" ht="24.6">
      <c r="A28" s="1405" t="s">
        <v>1087</v>
      </c>
      <c r="B28" s="82"/>
      <c r="C28" s="82"/>
      <c r="D28" s="82"/>
      <c r="E28" s="82"/>
      <c r="F28" s="82"/>
      <c r="G28" s="82"/>
      <c r="H28" s="1242" t="str">
        <f t="shared" si="0"/>
        <v/>
      </c>
      <c r="I28" s="1242" t="str">
        <f t="shared" si="1"/>
        <v/>
      </c>
    </row>
    <row r="29" spans="1:11" ht="24.6">
      <c r="A29" s="1404" t="s">
        <v>1088</v>
      </c>
      <c r="B29" s="1549"/>
      <c r="C29" s="81">
        <f>Base_Trimestrielle!ND33</f>
        <v>102.98512035867947</v>
      </c>
      <c r="D29" s="81">
        <f>Base_Trimestrielle!NE33</f>
        <v>100.73355721093445</v>
      </c>
      <c r="E29" s="81">
        <f>Base_Trimestrielle!NF33</f>
        <v>103.89082840607622</v>
      </c>
      <c r="F29" s="81">
        <f>Base_Trimestrielle!NG33</f>
        <v>91.619567653981576</v>
      </c>
      <c r="G29" s="81">
        <f>Base_Trimestrielle!NH33</f>
        <v>91.548679272845447</v>
      </c>
      <c r="H29" s="1244">
        <f t="shared" si="0"/>
        <v>-7.7372534002617677E-2</v>
      </c>
      <c r="I29" s="1244">
        <f t="shared" si="1"/>
        <v>-11.104945108577692</v>
      </c>
      <c r="K29" t="s">
        <v>1006</v>
      </c>
    </row>
    <row r="30" spans="1:11" ht="24.6">
      <c r="A30" s="1405" t="s">
        <v>1089</v>
      </c>
      <c r="B30" s="82"/>
      <c r="C30" s="82">
        <f>Base_Trimestrielle!ND34</f>
        <v>148.33551693595305</v>
      </c>
      <c r="D30" s="82">
        <f>Base_Trimestrielle!NE34</f>
        <v>148.33551693595305</v>
      </c>
      <c r="E30" s="82">
        <f>Base_Trimestrielle!NF34</f>
        <v>148.33551693595314</v>
      </c>
      <c r="F30" s="82">
        <f>Base_Trimestrielle!NG34</f>
        <v>141.7931376608401</v>
      </c>
      <c r="G30" s="82">
        <f>Base_Trimestrielle!NH34</f>
        <v>131.01745414888916</v>
      </c>
      <c r="H30" s="1242">
        <f t="shared" si="0"/>
        <v>-7.5995804096850357</v>
      </c>
      <c r="I30" s="1242">
        <f t="shared" si="1"/>
        <v>-11.674926642512274</v>
      </c>
    </row>
    <row r="31" spans="1:11" ht="24.6">
      <c r="A31" s="1404" t="s">
        <v>1090</v>
      </c>
      <c r="B31" s="1549"/>
      <c r="C31" s="81">
        <f>Base_Trimestrielle!ND35</f>
        <v>100.00000000000001</v>
      </c>
      <c r="D31" s="81">
        <f>Base_Trimestrielle!NE35</f>
        <v>100.00000000000001</v>
      </c>
      <c r="E31" s="81">
        <f>Base_Trimestrielle!NF35</f>
        <v>100.00000000000007</v>
      </c>
      <c r="F31" s="81">
        <f>Base_Trimestrielle!NG35</f>
        <v>100.00000000000007</v>
      </c>
      <c r="G31" s="81">
        <f>Base_Trimestrielle!NH35</f>
        <v>100.00000000000007</v>
      </c>
      <c r="H31" s="1244">
        <f t="shared" si="0"/>
        <v>0</v>
      </c>
      <c r="I31" s="1244">
        <f t="shared" si="1"/>
        <v>6.6613381477509392E-14</v>
      </c>
    </row>
    <row r="32" spans="1:11" ht="24.9" thickBot="1">
      <c r="A32" s="1405" t="s">
        <v>1091</v>
      </c>
      <c r="B32" s="82"/>
      <c r="C32" s="82">
        <f>Base_Trimestrielle!ND36</f>
        <v>100.00000000000004</v>
      </c>
      <c r="D32" s="82">
        <f>Base_Trimestrielle!NE36</f>
        <v>100.00000000000004</v>
      </c>
      <c r="E32" s="82">
        <f>Base_Trimestrielle!NF36</f>
        <v>100.00000000000006</v>
      </c>
      <c r="F32" s="82">
        <f>Base_Trimestrielle!NG36</f>
        <v>100.00000000000006</v>
      </c>
      <c r="G32" s="82">
        <f>Base_Trimestrielle!NH36</f>
        <v>100.00000000000006</v>
      </c>
      <c r="H32" s="1242">
        <f t="shared" si="0"/>
        <v>0</v>
      </c>
      <c r="I32" s="1242">
        <f t="shared" si="1"/>
        <v>2.2204460492503131E-14</v>
      </c>
    </row>
    <row r="33" spans="1:9" ht="12.6" thickBot="1">
      <c r="A33" s="1907" t="s">
        <v>1092</v>
      </c>
      <c r="B33" s="1908"/>
      <c r="C33" s="1909">
        <f>Base_Trimestrielle!ND37</f>
        <v>142.41359103794704</v>
      </c>
      <c r="D33" s="1909">
        <f>Base_Trimestrielle!NE37</f>
        <v>140.06324054375355</v>
      </c>
      <c r="E33" s="1909">
        <f>Base_Trimestrielle!NF37</f>
        <v>145.21060880695899</v>
      </c>
      <c r="F33" s="1909">
        <f>Base_Trimestrielle!NG37</f>
        <v>149.83441534500247</v>
      </c>
      <c r="G33" s="1909">
        <f>Base_Trimestrielle!NH37</f>
        <v>160.21520815883616</v>
      </c>
      <c r="H33" s="1909">
        <f t="shared" si="0"/>
        <v>6.9281765407041673</v>
      </c>
      <c r="I33" s="1910">
        <f t="shared" si="1"/>
        <v>12.499942590553559</v>
      </c>
    </row>
    <row r="34" spans="1:9">
      <c r="A34" s="1915" t="s">
        <v>1097</v>
      </c>
      <c r="B34" s="192"/>
      <c r="C34" s="192"/>
      <c r="D34" s="192"/>
      <c r="E34" s="192"/>
      <c r="F34" s="192"/>
      <c r="G34" s="192"/>
      <c r="H34" s="192"/>
      <c r="I34" s="192"/>
    </row>
    <row r="35" spans="1:9">
      <c r="A35" s="192"/>
      <c r="B35" s="192"/>
      <c r="C35" s="192"/>
      <c r="D35" s="192"/>
      <c r="E35" s="192"/>
      <c r="F35" s="192"/>
      <c r="G35" s="192"/>
      <c r="H35" s="192"/>
      <c r="I35" s="192"/>
    </row>
    <row r="36" spans="1:9">
      <c r="A36" s="192"/>
      <c r="B36" s="192"/>
      <c r="C36" s="192"/>
      <c r="D36" s="192"/>
      <c r="E36" s="192"/>
      <c r="F36" s="192"/>
      <c r="G36" s="192"/>
      <c r="H36" s="192"/>
      <c r="I36" s="192"/>
    </row>
    <row r="37" spans="1:9">
      <c r="A37" s="192"/>
      <c r="B37" s="192"/>
      <c r="C37" s="192"/>
      <c r="D37" s="192"/>
      <c r="E37" s="192"/>
      <c r="F37" s="192"/>
      <c r="G37" s="192"/>
      <c r="H37" s="192"/>
      <c r="I37" s="192"/>
    </row>
    <row r="38" spans="1:9">
      <c r="A38" s="192"/>
      <c r="B38" s="192"/>
      <c r="C38" s="192"/>
      <c r="D38" s="192"/>
      <c r="E38" s="192"/>
      <c r="F38" s="192"/>
      <c r="G38" s="192"/>
      <c r="H38" s="192"/>
      <c r="I38" s="192"/>
    </row>
    <row r="39" spans="1:9" ht="13.5" customHeight="1">
      <c r="A39" s="192"/>
      <c r="B39" s="192"/>
      <c r="C39" s="192"/>
      <c r="D39" s="192"/>
      <c r="E39" s="192"/>
      <c r="F39" s="192"/>
      <c r="G39" s="192"/>
      <c r="H39" s="192"/>
      <c r="I39" s="192"/>
    </row>
    <row r="40" spans="1:9">
      <c r="A40" s="192"/>
      <c r="B40" s="192"/>
      <c r="C40" s="192"/>
      <c r="D40" s="192"/>
      <c r="E40" s="192"/>
      <c r="F40" s="192"/>
      <c r="G40" s="192"/>
      <c r="H40" s="192"/>
      <c r="I40" s="192"/>
    </row>
    <row r="41" spans="1:9">
      <c r="A41" s="192"/>
      <c r="B41" s="192"/>
      <c r="C41" s="192"/>
      <c r="D41" s="192"/>
      <c r="E41" s="192"/>
      <c r="F41" s="192"/>
      <c r="G41" s="192"/>
      <c r="H41" s="192"/>
      <c r="I41" s="192"/>
    </row>
    <row r="42" spans="1:9">
      <c r="A42" s="192"/>
      <c r="B42" s="192"/>
      <c r="C42" s="192"/>
      <c r="D42" s="192"/>
      <c r="E42" s="192"/>
      <c r="F42" s="192"/>
      <c r="G42" s="192"/>
      <c r="H42" s="192"/>
      <c r="I42" s="192"/>
    </row>
    <row r="43" spans="1:9">
      <c r="A43" s="192"/>
      <c r="B43" s="192"/>
      <c r="C43" s="192"/>
      <c r="D43" s="192"/>
      <c r="E43" s="192"/>
      <c r="F43" s="192"/>
      <c r="G43" s="192"/>
      <c r="H43" s="192"/>
      <c r="I43" s="192"/>
    </row>
    <row r="44" spans="1:9">
      <c r="A44" s="192"/>
      <c r="B44" s="192"/>
      <c r="C44" s="192"/>
      <c r="D44" s="192"/>
      <c r="E44" s="192"/>
      <c r="F44" s="192"/>
      <c r="G44" s="192"/>
      <c r="H44" s="192"/>
      <c r="I44" s="192"/>
    </row>
    <row r="45" spans="1:9">
      <c r="A45" s="192"/>
      <c r="B45" s="192"/>
      <c r="C45" s="192"/>
      <c r="D45" s="192"/>
      <c r="E45" s="192"/>
      <c r="F45" s="192"/>
      <c r="G45" s="192"/>
      <c r="H45" s="192"/>
      <c r="I45" s="192"/>
    </row>
    <row r="46" spans="1:9">
      <c r="A46" s="192"/>
      <c r="B46" s="192"/>
      <c r="C46" s="192"/>
      <c r="D46" s="192"/>
      <c r="E46" s="192"/>
      <c r="F46" s="192"/>
      <c r="G46" s="192"/>
      <c r="H46" s="192"/>
      <c r="I46" s="192"/>
    </row>
    <row r="54" spans="1:9" ht="12.6" thickBot="1"/>
    <row r="55" spans="1:9" ht="12.6" thickBot="1">
      <c r="A55" s="1895"/>
      <c r="B55" s="1896"/>
      <c r="C55" s="1896"/>
      <c r="D55" s="1896"/>
      <c r="E55" s="1896"/>
      <c r="F55" s="1896"/>
      <c r="G55" s="1896"/>
      <c r="H55" s="1896"/>
      <c r="I55" s="1897"/>
    </row>
  </sheetData>
  <mergeCells count="4">
    <mergeCell ref="A1:I1"/>
    <mergeCell ref="A3:I3"/>
    <mergeCell ref="C6:G6"/>
    <mergeCell ref="H6:I6"/>
  </mergeCells>
  <pageMargins left="0.70866141732283472" right="0.70866141732283472" top="0.74803149606299213" bottom="0.74803149606299213" header="0.31496062992125984" footer="0.31496062992125984"/>
  <pageSetup paperSize="9" scale="70" firstPageNumber="6" orientation="portrait" r:id="rId1"/>
  <headerFooter>
    <oddFooter>&amp;L&amp;8Bulletin trimestriel de conjoncture, 4e trimestre 2023</oddFooter>
  </headerFooter>
  <rowBreaks count="1" manualBreakCount="1">
    <brk id="34" max="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tabColor rgb="FF00B050"/>
  </sheetPr>
  <dimension ref="A1:J82"/>
  <sheetViews>
    <sheetView view="pageBreakPreview" zoomScaleSheetLayoutView="100" workbookViewId="0">
      <selection activeCell="K50" sqref="K50"/>
    </sheetView>
  </sheetViews>
  <sheetFormatPr baseColWidth="10" defaultRowHeight="12.3"/>
  <cols>
    <col min="1" max="1" width="23.27734375" customWidth="1"/>
    <col min="2" max="10" width="11.44140625" customWidth="1"/>
  </cols>
  <sheetData>
    <row r="1" spans="1:9">
      <c r="A1" s="86" t="s">
        <v>541</v>
      </c>
      <c r="B1" s="809"/>
      <c r="C1" s="532"/>
      <c r="D1" s="532"/>
      <c r="E1" s="532"/>
      <c r="F1" s="532"/>
      <c r="G1" s="70"/>
      <c r="H1" s="192"/>
      <c r="I1" s="192"/>
    </row>
    <row r="2" spans="1:9">
      <c r="A2" s="86"/>
      <c r="B2" s="809"/>
      <c r="C2" s="532"/>
      <c r="D2" s="532"/>
      <c r="E2" s="532"/>
      <c r="F2" s="532"/>
      <c r="H2" s="192"/>
      <c r="I2" s="192"/>
    </row>
    <row r="3" spans="1:9">
      <c r="A3" s="192"/>
      <c r="B3" s="809"/>
      <c r="C3" s="2079" t="s">
        <v>527</v>
      </c>
      <c r="D3" s="2080"/>
      <c r="E3" s="2080"/>
      <c r="F3" s="2080"/>
      <c r="G3" s="2081"/>
      <c r="H3" s="2064" t="s">
        <v>18</v>
      </c>
      <c r="I3" s="2065"/>
    </row>
    <row r="4" spans="1:9">
      <c r="A4" s="257" t="s">
        <v>542</v>
      </c>
      <c r="B4" s="810" t="s">
        <v>61</v>
      </c>
      <c r="C4" s="783" t="s">
        <v>1151</v>
      </c>
      <c r="D4" s="783" t="s">
        <v>1152</v>
      </c>
      <c r="E4" s="783" t="s">
        <v>1153</v>
      </c>
      <c r="F4" s="783" t="s">
        <v>1150</v>
      </c>
      <c r="G4" s="783" t="s">
        <v>1175</v>
      </c>
      <c r="H4" s="32" t="s">
        <v>503</v>
      </c>
      <c r="I4" s="32" t="s">
        <v>20</v>
      </c>
    </row>
    <row r="5" spans="1:9">
      <c r="A5" s="1258" t="s">
        <v>87</v>
      </c>
      <c r="B5" s="811" t="s">
        <v>543</v>
      </c>
      <c r="C5" s="812">
        <v>14.024369</v>
      </c>
      <c r="D5" s="812">
        <v>13.934317</v>
      </c>
      <c r="E5" s="812">
        <v>13.592886</v>
      </c>
      <c r="F5" s="812">
        <v>14.420200999999999</v>
      </c>
      <c r="G5" s="812">
        <v>14.909767999999998</v>
      </c>
      <c r="H5" s="200">
        <f>+IF(F5=0,"",(G5/F5-1)*100)</f>
        <v>3.395008155572854</v>
      </c>
      <c r="I5" s="201">
        <f t="shared" ref="I5" si="0">+IF(C5=0,"",(G5/C5-1)*100)</f>
        <v>6.3132893893479203</v>
      </c>
    </row>
    <row r="6" spans="1:9">
      <c r="A6" s="86"/>
      <c r="B6" s="809"/>
      <c r="C6" s="532"/>
      <c r="D6" s="532"/>
      <c r="E6" s="532"/>
      <c r="F6" s="532"/>
      <c r="G6" s="70"/>
      <c r="H6" s="192"/>
      <c r="I6" s="192"/>
    </row>
    <row r="7" spans="1:9">
      <c r="A7" s="192"/>
      <c r="B7" s="809"/>
      <c r="C7" s="2079" t="s">
        <v>527</v>
      </c>
      <c r="D7" s="2080"/>
      <c r="E7" s="2080"/>
      <c r="F7" s="2080"/>
      <c r="G7" s="2081"/>
      <c r="H7" s="2064" t="s">
        <v>18</v>
      </c>
      <c r="I7" s="2065"/>
    </row>
    <row r="8" spans="1:9">
      <c r="A8" s="257" t="s">
        <v>542</v>
      </c>
      <c r="B8" s="810" t="s">
        <v>61</v>
      </c>
      <c r="C8" s="783" t="str">
        <f>Base_Trimestrielle!M33</f>
        <v>3T2022</v>
      </c>
      <c r="D8" s="783" t="str">
        <f>Base_Trimestrielle!O33</f>
        <v>1T2023</v>
      </c>
      <c r="E8" s="783" t="str">
        <f>Base_Trimestrielle!Q33</f>
        <v>2T2023</v>
      </c>
      <c r="F8" s="783" t="str">
        <f>Base_Trimestrielle!R33</f>
        <v>3T2023</v>
      </c>
      <c r="G8" s="783" t="s">
        <v>1150</v>
      </c>
      <c r="H8" s="32" t="s">
        <v>503</v>
      </c>
      <c r="I8" s="32" t="s">
        <v>20</v>
      </c>
    </row>
    <row r="9" spans="1:9">
      <c r="A9" s="1257" t="s">
        <v>544</v>
      </c>
      <c r="B9" s="813" t="s">
        <v>545</v>
      </c>
      <c r="C9" s="814">
        <f>Base_Trimestrielle!M38</f>
        <v>0</v>
      </c>
      <c r="D9" s="815">
        <f>Base_Trimestrielle!N38</f>
        <v>53.220118014000001</v>
      </c>
      <c r="E9" s="815">
        <f>Base_Trimestrielle!O38</f>
        <v>21.169567752216768</v>
      </c>
      <c r="F9" s="815">
        <f>Base_Trimestrielle!Q38</f>
        <v>2.2853293800575729</v>
      </c>
      <c r="G9" s="816">
        <f>Base_Trimestrielle!R38</f>
        <v>0</v>
      </c>
      <c r="H9" s="1244">
        <f>+IF(F9=0,"",(G9/F9-1)*100)</f>
        <v>-100</v>
      </c>
      <c r="I9" s="198" t="str">
        <f>+IF(C9=0,"",(G9/C9-1)*100)</f>
        <v/>
      </c>
    </row>
    <row r="10" spans="1:9">
      <c r="A10" s="1259" t="s">
        <v>546</v>
      </c>
      <c r="B10" s="817" t="s">
        <v>543</v>
      </c>
      <c r="C10" s="818"/>
      <c r="D10" s="819"/>
      <c r="E10" s="820"/>
      <c r="F10" s="819"/>
      <c r="G10" s="821"/>
      <c r="H10" s="1261"/>
      <c r="I10" s="1262"/>
    </row>
    <row r="11" spans="1:9">
      <c r="A11" s="1260" t="s">
        <v>547</v>
      </c>
      <c r="B11" s="822" t="s">
        <v>545</v>
      </c>
      <c r="C11" s="823">
        <f>Base_Trimestrielle!M40</f>
        <v>70.451400562607674</v>
      </c>
      <c r="D11" s="824">
        <f>Base_Trimestrielle!N40</f>
        <v>72.005413000456358</v>
      </c>
      <c r="E11" s="825">
        <f>Base_Trimestrielle!O40</f>
        <v>67.075686458922945</v>
      </c>
      <c r="F11" s="824">
        <f>Base_Trimestrielle!Q40</f>
        <v>69.505189889514909</v>
      </c>
      <c r="G11" s="825">
        <f>Base_Trimestrielle!R40</f>
        <v>59.435713606733835</v>
      </c>
      <c r="H11" s="146">
        <f>+IF(F11=0,"",(G11/F11-1)*100)</f>
        <v>-14.487373243332568</v>
      </c>
      <c r="I11" s="203">
        <f>+IF(C11=0,"",(G11/C11-1)*100)</f>
        <v>-15.635866523454823</v>
      </c>
    </row>
    <row r="12" spans="1:9">
      <c r="A12" s="73" t="s">
        <v>548</v>
      </c>
      <c r="B12" s="809"/>
      <c r="C12" s="532"/>
      <c r="D12" s="532"/>
      <c r="E12" s="532"/>
      <c r="F12" s="532"/>
      <c r="G12" s="70"/>
      <c r="H12" s="532"/>
      <c r="I12" s="532"/>
    </row>
    <row r="13" spans="1:9">
      <c r="A13" s="826"/>
      <c r="B13" s="809"/>
      <c r="C13" s="532"/>
      <c r="D13" s="532"/>
      <c r="E13" s="532"/>
      <c r="F13" s="532"/>
      <c r="G13" s="70"/>
      <c r="H13" s="532"/>
      <c r="I13" s="532"/>
    </row>
    <row r="14" spans="1:9">
      <c r="A14" s="86" t="s">
        <v>549</v>
      </c>
      <c r="B14" s="809"/>
      <c r="C14" s="532"/>
      <c r="D14" s="532"/>
      <c r="E14" s="532"/>
      <c r="F14" s="532"/>
      <c r="G14" s="70"/>
      <c r="H14" s="532"/>
      <c r="I14" s="532"/>
    </row>
    <row r="15" spans="1:9">
      <c r="A15" s="192"/>
      <c r="B15" s="809"/>
      <c r="C15" s="2079" t="s">
        <v>527</v>
      </c>
      <c r="D15" s="2080"/>
      <c r="E15" s="2080"/>
      <c r="F15" s="2080"/>
      <c r="G15" s="2081"/>
      <c r="H15" s="2064" t="s">
        <v>18</v>
      </c>
      <c r="I15" s="2065"/>
    </row>
    <row r="16" spans="1:9">
      <c r="A16" s="257" t="s">
        <v>542</v>
      </c>
      <c r="B16" s="810" t="s">
        <v>61</v>
      </c>
      <c r="C16" s="783" t="str">
        <f>Base_Trimestrielle!Y33</f>
        <v>3T2022</v>
      </c>
      <c r="D16" s="784" t="str">
        <f>Base_Trimestrielle!Z33</f>
        <v>4T2022</v>
      </c>
      <c r="E16" s="783" t="str">
        <f>Base_Trimestrielle!AA33</f>
        <v>1T2023</v>
      </c>
      <c r="F16" s="783" t="str">
        <f>Base_Trimestrielle!AB33</f>
        <v>2T2023</v>
      </c>
      <c r="G16" s="784" t="str">
        <f>Base_Trimestrielle!AC33</f>
        <v>3T2023</v>
      </c>
      <c r="H16" s="32" t="s">
        <v>503</v>
      </c>
      <c r="I16" s="449" t="s">
        <v>20</v>
      </c>
    </row>
    <row r="17" spans="1:9" ht="24.6">
      <c r="A17" s="1263" t="s">
        <v>550</v>
      </c>
      <c r="B17" s="811" t="s">
        <v>543</v>
      </c>
      <c r="C17" s="827">
        <f>Base_Trimestrielle!Y37</f>
        <v>149.79762700000001</v>
      </c>
      <c r="D17" s="827">
        <f>Base_Trimestrielle!Z37</f>
        <v>2561.8968340000001</v>
      </c>
      <c r="E17" s="827">
        <f>Base_Trimestrielle!AA37</f>
        <v>3975.101424</v>
      </c>
      <c r="F17" s="827">
        <f>Base_Trimestrielle!AB37</f>
        <v>639.29997100000003</v>
      </c>
      <c r="G17" s="827">
        <f>Base_Trimestrielle!AC37</f>
        <v>639.29997100000003</v>
      </c>
      <c r="H17" s="827">
        <f>+IF(F17=0,"",(G17/F17-1)*100)</f>
        <v>0</v>
      </c>
      <c r="I17" s="827">
        <f t="shared" ref="I17:I23" si="1">+IF(C17=0,"",(G17/C17-1)*100)</f>
        <v>326.77576661478088</v>
      </c>
    </row>
    <row r="18" spans="1:9">
      <c r="A18" s="1257" t="s">
        <v>551</v>
      </c>
      <c r="B18" s="813" t="s">
        <v>543</v>
      </c>
      <c r="C18" s="1270">
        <f>Base_Trimestrielle!Y38</f>
        <v>149.79762700000001</v>
      </c>
      <c r="D18" s="1270">
        <f>Base_Trimestrielle!Z38</f>
        <v>2561.8968340000001</v>
      </c>
      <c r="E18" s="1270">
        <f>Base_Trimestrielle!AA38</f>
        <v>3975.101424</v>
      </c>
      <c r="F18" s="1270">
        <f>Base_Trimestrielle!AB38</f>
        <v>639.29997100000003</v>
      </c>
      <c r="G18" s="1270">
        <f>Base_Trimestrielle!AC38</f>
        <v>639.29997100000003</v>
      </c>
      <c r="H18" s="1270">
        <f t="shared" ref="H18:H23" si="2">+IF(F18=0,"",(G18/F18-1)*100)</f>
        <v>0</v>
      </c>
      <c r="I18" s="1270">
        <f t="shared" si="1"/>
        <v>326.77576661478088</v>
      </c>
    </row>
    <row r="19" spans="1:9">
      <c r="A19" s="1259" t="s">
        <v>552</v>
      </c>
      <c r="B19" s="817" t="s">
        <v>553</v>
      </c>
      <c r="C19" s="818">
        <f>Base_Trimestrielle!Y39</f>
        <v>4987.5957364832575</v>
      </c>
      <c r="D19" s="819">
        <f>Base_Trimestrielle!Z39</f>
        <v>10154.429253333119</v>
      </c>
      <c r="E19" s="820">
        <f>Base_Trimestrielle!AA39</f>
        <v>5665.7625325759627</v>
      </c>
      <c r="F19" s="819">
        <f>Base_Trimestrielle!AB39</f>
        <v>6419.4862007637757</v>
      </c>
      <c r="G19" s="821">
        <f>Base_Trimestrielle!AC39</f>
        <v>7809.114187805807</v>
      </c>
      <c r="H19" s="1261">
        <f t="shared" si="2"/>
        <v>21.647028182359772</v>
      </c>
      <c r="I19" s="1262">
        <f t="shared" si="1"/>
        <v>56.570712631813969</v>
      </c>
    </row>
    <row r="20" spans="1:9">
      <c r="A20" s="1264" t="s">
        <v>554</v>
      </c>
      <c r="B20" s="813" t="s">
        <v>553</v>
      </c>
      <c r="C20" s="1270">
        <f>Base_Trimestrielle!Y40</f>
        <v>1688.4145681589944</v>
      </c>
      <c r="D20" s="1270">
        <f>Base_Trimestrielle!Z40</f>
        <v>1724.7269363061728</v>
      </c>
      <c r="E20" s="1270">
        <f>Base_Trimestrielle!AA40</f>
        <v>2184.881026506524</v>
      </c>
      <c r="F20" s="1270">
        <f>Base_Trimestrielle!AB40</f>
        <v>2231.8707917504935</v>
      </c>
      <c r="G20" s="1270">
        <f>Base_Trimestrielle!AC40</f>
        <v>2912.0540853555717</v>
      </c>
      <c r="H20" s="1270">
        <f t="shared" si="2"/>
        <v>30.475926120776876</v>
      </c>
      <c r="I20" s="1270">
        <f t="shared" si="1"/>
        <v>72.472693630617258</v>
      </c>
    </row>
    <row r="21" spans="1:9" ht="24.6">
      <c r="A21" s="1259" t="s">
        <v>555</v>
      </c>
      <c r="B21" s="817" t="s">
        <v>556</v>
      </c>
      <c r="C21" s="1271">
        <f>Base_Trimestrielle!Y41</f>
        <v>10.220456064</v>
      </c>
      <c r="D21" s="1271">
        <f>Base_Trimestrielle!Z41</f>
        <v>11.472883476</v>
      </c>
      <c r="E21" s="1271">
        <f>Base_Trimestrielle!AA41</f>
        <v>13.904306553</v>
      </c>
      <c r="F21" s="1271">
        <f>Base_Trimestrielle!AB41</f>
        <v>9.7727789299999994</v>
      </c>
      <c r="G21" s="1271">
        <f>Base_Trimestrielle!AC41</f>
        <v>6.3102674805179557</v>
      </c>
      <c r="H21" s="1271">
        <f t="shared" si="2"/>
        <v>-35.430162436735323</v>
      </c>
      <c r="I21" s="1271">
        <f t="shared" si="1"/>
        <v>-38.258454994538724</v>
      </c>
    </row>
    <row r="22" spans="1:9">
      <c r="A22" s="1264" t="s">
        <v>557</v>
      </c>
      <c r="B22" s="813" t="s">
        <v>558</v>
      </c>
      <c r="C22" s="531">
        <f>Base_Trimestrielle!Y42</f>
        <v>246.031114</v>
      </c>
      <c r="D22" s="531">
        <f>Base_Trimestrielle!Z42</f>
        <v>292.91305</v>
      </c>
      <c r="E22" s="531">
        <f>Base_Trimestrielle!AA42</f>
        <v>9.598703059027434</v>
      </c>
      <c r="F22" s="531">
        <f>Base_Trimestrielle!AB42</f>
        <v>192.45170009789933</v>
      </c>
      <c r="G22" s="531">
        <f>Base_Trimestrielle!AC42</f>
        <v>90.031999999999996</v>
      </c>
      <c r="H22" s="531">
        <f t="shared" si="2"/>
        <v>-53.218391963177716</v>
      </c>
      <c r="I22" s="531">
        <f t="shared" si="1"/>
        <v>-63.406254381305601</v>
      </c>
    </row>
    <row r="23" spans="1:9">
      <c r="A23" s="1259" t="s">
        <v>559</v>
      </c>
      <c r="B23" s="817" t="s">
        <v>558</v>
      </c>
      <c r="C23" s="818">
        <f>Base_Trimestrielle!Y43</f>
        <v>384.32177999999999</v>
      </c>
      <c r="D23" s="819">
        <f>Base_Trimestrielle!Z43</f>
        <v>591.29629399999999</v>
      </c>
      <c r="E23" s="820">
        <f>Base_Trimestrielle!AA43</f>
        <v>366.16090169507112</v>
      </c>
      <c r="F23" s="819">
        <f>Base_Trimestrielle!AB43</f>
        <v>210.88197878709929</v>
      </c>
      <c r="G23" s="821">
        <f>Base_Trimestrielle!AC43</f>
        <v>426.17099999999999</v>
      </c>
      <c r="H23" s="1261">
        <f t="shared" si="2"/>
        <v>102.08981462102584</v>
      </c>
      <c r="I23" s="1262">
        <f t="shared" si="1"/>
        <v>10.88910964140517</v>
      </c>
    </row>
    <row r="24" spans="1:9">
      <c r="A24" s="1264" t="s">
        <v>560</v>
      </c>
      <c r="B24" s="813" t="s">
        <v>561</v>
      </c>
      <c r="C24" s="531">
        <f>Base_Trimestrielle!Y44</f>
        <v>170.20802599999999</v>
      </c>
      <c r="D24" s="531">
        <f>Base_Trimestrielle!Z44</f>
        <v>217.875799</v>
      </c>
      <c r="E24" s="531">
        <f>Base_Trimestrielle!AA44</f>
        <v>281.79192</v>
      </c>
      <c r="F24" s="531">
        <f>Base_Trimestrielle!AB44</f>
        <v>375.919397</v>
      </c>
      <c r="G24" s="531">
        <f>Base_Trimestrielle!AC44</f>
        <v>234.13803999999999</v>
      </c>
      <c r="H24" s="531">
        <f>+IF(F24=0,"",(G24/F24-1)*100)</f>
        <v>-37.715892856680654</v>
      </c>
      <c r="I24" s="531">
        <f>+IF(C24=0,"",(G24/C24-1)*100)</f>
        <v>37.559929165737472</v>
      </c>
    </row>
    <row r="25" spans="1:9" ht="13.8">
      <c r="A25" s="1265" t="s">
        <v>562</v>
      </c>
      <c r="B25" s="828" t="s">
        <v>563</v>
      </c>
      <c r="C25" s="829">
        <f>Base_Trimestrielle!Y45</f>
        <v>15.807117485483049</v>
      </c>
      <c r="D25" s="829">
        <f>Base_Trimestrielle!Z45</f>
        <v>17.466216497126677</v>
      </c>
      <c r="E25" s="829">
        <f>Base_Trimestrielle!AA45</f>
        <v>17.782235259140588</v>
      </c>
      <c r="F25" s="829">
        <f>Base_Trimestrielle!AB45</f>
        <v>14.428880681000001</v>
      </c>
      <c r="G25" s="829">
        <f>Base_Trimestrielle!AC45</f>
        <v>14.123596976946496</v>
      </c>
      <c r="H25" s="829">
        <f t="shared" ref="H25" si="3">+IF(F25=0,"",(G25/F25-1)*100)</f>
        <v>-2.1157823035816148</v>
      </c>
      <c r="I25" s="829">
        <f t="shared" ref="I25" si="4">+IF(C25=0,"",(G25/C25-1)*100)</f>
        <v>-10.650395368305865</v>
      </c>
    </row>
    <row r="26" spans="1:9">
      <c r="A26" s="73" t="s">
        <v>540</v>
      </c>
      <c r="B26" s="809"/>
      <c r="C26" s="532"/>
      <c r="D26" s="532"/>
      <c r="E26" s="532"/>
      <c r="F26" s="532"/>
      <c r="G26" s="70"/>
      <c r="H26" s="192"/>
      <c r="I26" s="192"/>
    </row>
    <row r="27" spans="1:9">
      <c r="A27" s="357"/>
      <c r="B27" s="357"/>
      <c r="C27" s="357"/>
      <c r="D27" s="357"/>
      <c r="E27" s="357"/>
      <c r="F27" s="357"/>
      <c r="G27" s="357"/>
      <c r="H27" s="357"/>
      <c r="I27" s="357"/>
    </row>
    <row r="28" spans="1:9">
      <c r="A28" s="86" t="s">
        <v>564</v>
      </c>
      <c r="B28" s="357"/>
      <c r="C28" s="357"/>
      <c r="D28" s="357"/>
      <c r="E28" s="357"/>
      <c r="F28" s="357"/>
      <c r="G28" s="357"/>
      <c r="H28" s="357"/>
      <c r="I28" s="357"/>
    </row>
    <row r="29" spans="1:9">
      <c r="A29" s="526"/>
      <c r="B29" s="357"/>
      <c r="C29" s="357"/>
      <c r="D29" s="357"/>
      <c r="E29" s="357"/>
      <c r="F29" s="357"/>
      <c r="G29" s="357"/>
      <c r="H29" s="357"/>
      <c r="I29" s="357"/>
    </row>
    <row r="30" spans="1:9">
      <c r="A30" s="830" t="s">
        <v>565</v>
      </c>
      <c r="B30" s="831"/>
      <c r="C30" s="357"/>
      <c r="D30" s="357"/>
      <c r="E30" s="690" t="s">
        <v>1151</v>
      </c>
      <c r="F30" s="832" t="s">
        <v>1152</v>
      </c>
      <c r="G30" s="690" t="s">
        <v>1153</v>
      </c>
      <c r="H30" s="690" t="s">
        <v>1150</v>
      </c>
      <c r="I30" s="832" t="s">
        <v>1175</v>
      </c>
    </row>
    <row r="31" spans="1:9">
      <c r="A31" s="1266"/>
      <c r="B31" s="833" t="s">
        <v>566</v>
      </c>
      <c r="C31" s="834"/>
      <c r="D31" s="834"/>
      <c r="E31" s="827">
        <v>-7.9117280541837331</v>
      </c>
      <c r="F31" s="827">
        <v>-32.91837388196285</v>
      </c>
      <c r="G31" s="827">
        <v>-55.481587787128326</v>
      </c>
      <c r="H31" s="827">
        <v>-36.499847179931997</v>
      </c>
      <c r="I31" s="827">
        <v>-17.370755008962078</v>
      </c>
    </row>
    <row r="32" spans="1:9">
      <c r="A32" s="1267" t="s">
        <v>567</v>
      </c>
      <c r="B32" s="835" t="s">
        <v>568</v>
      </c>
      <c r="C32" s="357"/>
      <c r="D32" s="357"/>
      <c r="E32" s="1270">
        <v>19.396443983997749</v>
      </c>
      <c r="F32" s="1270">
        <v>-50.47944261718618</v>
      </c>
      <c r="G32" s="1270">
        <v>-50.071269867977584</v>
      </c>
      <c r="H32" s="1270">
        <v>-37.349442967520631</v>
      </c>
      <c r="I32" s="1270">
        <v>-19.520565103834414</v>
      </c>
    </row>
    <row r="33" spans="1:10">
      <c r="A33" s="1267" t="s">
        <v>569</v>
      </c>
      <c r="B33" s="837" t="s">
        <v>570</v>
      </c>
      <c r="C33" s="838"/>
      <c r="D33" s="838"/>
      <c r="E33" s="1271">
        <v>-34.423837988532874</v>
      </c>
      <c r="F33" s="1271">
        <v>-27.595669934710422</v>
      </c>
      <c r="G33" s="1271">
        <v>-17.172918449877187</v>
      </c>
      <c r="H33" s="1271">
        <v>-21.830088964522837</v>
      </c>
      <c r="I33" s="1271">
        <v>33.67036906104105</v>
      </c>
    </row>
    <row r="34" spans="1:10">
      <c r="A34" s="1267" t="s">
        <v>571</v>
      </c>
      <c r="B34" s="835" t="s">
        <v>572</v>
      </c>
      <c r="D34" s="357"/>
      <c r="E34" s="1270">
        <v>15.036334404097756</v>
      </c>
      <c r="F34" s="1270"/>
      <c r="G34" s="1270"/>
      <c r="H34" s="1270"/>
      <c r="I34" s="1270">
        <v>3.1899753667285284</v>
      </c>
      <c r="J34" s="1545"/>
    </row>
    <row r="35" spans="1:10">
      <c r="A35" s="1268" t="s">
        <v>573</v>
      </c>
      <c r="B35" s="837" t="s">
        <v>574</v>
      </c>
      <c r="C35" s="838"/>
      <c r="D35" s="838"/>
      <c r="E35" s="1271">
        <v>-20.015367894499157</v>
      </c>
      <c r="F35" s="1271">
        <v>-25.966969563163378</v>
      </c>
      <c r="G35" s="1271">
        <v>7.4980975441054838</v>
      </c>
      <c r="H35" s="1271">
        <v>-42.671659523647151</v>
      </c>
      <c r="I35" s="1271">
        <v>-2.4659937488868025</v>
      </c>
    </row>
    <row r="36" spans="1:10">
      <c r="A36" s="1267" t="s">
        <v>575</v>
      </c>
      <c r="B36" s="835" t="s">
        <v>576</v>
      </c>
      <c r="C36" s="357"/>
      <c r="D36" s="357"/>
      <c r="E36" s="1270">
        <v>47.71229610478283</v>
      </c>
      <c r="F36" s="1270">
        <v>-7.7258497438963847</v>
      </c>
      <c r="G36" s="1270">
        <v>15.841633795916934</v>
      </c>
      <c r="H36" s="1270">
        <v>5.0728684131668977</v>
      </c>
      <c r="I36" s="1270"/>
    </row>
    <row r="37" spans="1:10">
      <c r="A37" s="1268"/>
      <c r="B37" s="837" t="s">
        <v>577</v>
      </c>
      <c r="C37" s="838"/>
      <c r="D37" s="838"/>
      <c r="E37" s="1271">
        <v>50.365877293160253</v>
      </c>
      <c r="F37" s="1271">
        <v>45.681872005048326</v>
      </c>
      <c r="G37" s="1271">
        <v>88.592410950915948</v>
      </c>
      <c r="H37" s="1271">
        <v>35.818738936992766</v>
      </c>
      <c r="I37" s="1271"/>
    </row>
    <row r="38" spans="1:10">
      <c r="A38" s="1269"/>
      <c r="B38" s="840" t="s">
        <v>578</v>
      </c>
      <c r="C38" s="522"/>
      <c r="D38" s="522"/>
      <c r="E38" s="1270">
        <v>12.4361482280675</v>
      </c>
      <c r="F38" s="1270">
        <v>7.6437640936037612</v>
      </c>
      <c r="G38" s="1270">
        <v>5.7985613980577968</v>
      </c>
      <c r="H38" s="1270">
        <v>-15.628294300709717</v>
      </c>
      <c r="I38" s="1270">
        <v>16.513824974718773</v>
      </c>
    </row>
    <row r="39" spans="1:10">
      <c r="A39" s="1266"/>
      <c r="B39" s="837" t="s">
        <v>566</v>
      </c>
      <c r="C39" s="838"/>
      <c r="D39" s="838"/>
      <c r="E39" s="841">
        <v>20.453837537741109</v>
      </c>
      <c r="F39" s="841">
        <v>-33.6818384499188</v>
      </c>
      <c r="G39" s="841">
        <v>-49.684755198400708</v>
      </c>
      <c r="H39" s="841">
        <v>-23.591984046356984</v>
      </c>
      <c r="I39" s="841">
        <v>-15.929345900695097</v>
      </c>
    </row>
    <row r="40" spans="1:10">
      <c r="A40" s="1267" t="s">
        <v>567</v>
      </c>
      <c r="B40" s="835" t="s">
        <v>568</v>
      </c>
      <c r="C40" s="357"/>
      <c r="D40" s="357"/>
      <c r="E40" s="1270">
        <v>24.463590233197902</v>
      </c>
      <c r="F40" s="1270">
        <v>-28.964648093073176</v>
      </c>
      <c r="G40" s="1270">
        <v>-34.862133086416925</v>
      </c>
      <c r="H40" s="1270">
        <v>-23.59640629409726</v>
      </c>
      <c r="I40" s="1270">
        <v>-14.106297916001115</v>
      </c>
    </row>
    <row r="41" spans="1:10">
      <c r="A41" s="1268" t="s">
        <v>569</v>
      </c>
      <c r="B41" s="837" t="s">
        <v>570</v>
      </c>
      <c r="C41" s="838"/>
      <c r="D41" s="838"/>
      <c r="E41" s="1271">
        <v>-6.8970931281872581</v>
      </c>
      <c r="F41" s="1271">
        <v>-23.337643424624126</v>
      </c>
      <c r="G41" s="1271">
        <v>-13.433804871179747</v>
      </c>
      <c r="H41" s="1271">
        <v>-36.309501122809948</v>
      </c>
      <c r="I41" s="1271">
        <v>-15.464754919346804</v>
      </c>
    </row>
    <row r="42" spans="1:10">
      <c r="A42" s="1267" t="s">
        <v>579</v>
      </c>
      <c r="B42" s="835" t="s">
        <v>572</v>
      </c>
      <c r="C42" s="357"/>
      <c r="D42" s="357"/>
      <c r="E42" s="1270">
        <v>3.7333247693923397</v>
      </c>
      <c r="F42" s="1270"/>
      <c r="G42" s="1270"/>
      <c r="H42" s="1270"/>
      <c r="I42" s="1270">
        <v>-12.741915859172186</v>
      </c>
      <c r="J42" s="774"/>
    </row>
    <row r="43" spans="1:10">
      <c r="A43" s="1269"/>
      <c r="B43" s="837" t="s">
        <v>580</v>
      </c>
      <c r="C43" s="838"/>
      <c r="D43" s="838"/>
      <c r="E43" s="842">
        <v>-29.729729729729726</v>
      </c>
      <c r="F43" s="842"/>
      <c r="G43" s="842"/>
      <c r="H43" s="842"/>
      <c r="I43" s="842"/>
    </row>
    <row r="44" spans="1:10">
      <c r="A44" s="1266"/>
      <c r="B44" s="843" t="s">
        <v>581</v>
      </c>
      <c r="C44" s="844"/>
      <c r="D44" s="844"/>
      <c r="E44" s="1270">
        <v>-7.5304629759203383</v>
      </c>
      <c r="F44" s="1270">
        <v>-3.1107070462121147</v>
      </c>
      <c r="G44" s="1270">
        <v>-73.36875364451835</v>
      </c>
      <c r="H44" s="1270">
        <v>-11.300942989630808</v>
      </c>
      <c r="I44" s="1270">
        <v>-12.02951939378997</v>
      </c>
    </row>
    <row r="45" spans="1:10">
      <c r="A45" s="1267" t="s">
        <v>582</v>
      </c>
      <c r="B45" s="837" t="s">
        <v>583</v>
      </c>
      <c r="C45" s="838"/>
      <c r="D45" s="838"/>
      <c r="E45" s="1271">
        <v>-13.199097188812653</v>
      </c>
      <c r="F45" s="1271">
        <v>-39.29726146365747</v>
      </c>
      <c r="G45" s="1271">
        <v>-62.967108536148878</v>
      </c>
      <c r="H45" s="1271">
        <v>-52.663848132992122</v>
      </c>
      <c r="I45" s="1271">
        <v>-43.458493165125851</v>
      </c>
    </row>
    <row r="46" spans="1:10">
      <c r="A46" s="1268"/>
      <c r="B46" s="835" t="s">
        <v>584</v>
      </c>
      <c r="C46" s="357"/>
      <c r="D46" s="357"/>
      <c r="E46" s="1270">
        <v>-4.2597483814177046</v>
      </c>
      <c r="F46" s="1270">
        <v>-63.085484664219202</v>
      </c>
      <c r="G46" s="1270">
        <v>-39.37683395657411</v>
      </c>
      <c r="H46" s="1270">
        <v>-45.862907848509991</v>
      </c>
      <c r="I46" s="1270">
        <v>-56.489360158130033</v>
      </c>
    </row>
    <row r="47" spans="1:10">
      <c r="A47" s="1269"/>
      <c r="B47" s="845" t="s">
        <v>585</v>
      </c>
      <c r="C47" s="846"/>
      <c r="D47" s="846"/>
      <c r="E47" s="842">
        <v>-21.466920406433154</v>
      </c>
      <c r="F47" s="842"/>
      <c r="G47" s="842"/>
      <c r="H47" s="842"/>
      <c r="I47" s="842"/>
    </row>
    <row r="48" spans="1:10">
      <c r="A48" s="1268"/>
      <c r="B48" s="835" t="s">
        <v>566</v>
      </c>
      <c r="C48" s="357"/>
      <c r="D48" s="357"/>
      <c r="E48" s="1270">
        <v>16.298481424129619</v>
      </c>
      <c r="F48" s="1270">
        <v>19.228812384032821</v>
      </c>
      <c r="G48" s="1270">
        <v>-20.202121414434664</v>
      </c>
      <c r="H48" s="1270">
        <v>-15.402245584731499</v>
      </c>
      <c r="I48" s="1270">
        <v>-6.7243636625705321</v>
      </c>
    </row>
    <row r="49" spans="1:9">
      <c r="A49" s="1267" t="s">
        <v>586</v>
      </c>
      <c r="B49" s="837" t="s">
        <v>568</v>
      </c>
      <c r="C49" s="838"/>
      <c r="D49" s="838"/>
      <c r="E49" s="1271">
        <v>40.505539069428124</v>
      </c>
      <c r="F49" s="1271">
        <v>-32.21054349786229</v>
      </c>
      <c r="G49" s="1271">
        <v>-17.357800546716202</v>
      </c>
      <c r="H49" s="1271">
        <v>-24.052756167745365</v>
      </c>
      <c r="I49" s="1271">
        <v>-11.063620557116943</v>
      </c>
    </row>
    <row r="50" spans="1:9">
      <c r="A50" s="1268" t="s">
        <v>587</v>
      </c>
      <c r="B50" s="835" t="s">
        <v>570</v>
      </c>
      <c r="C50" s="357"/>
      <c r="D50" s="357"/>
      <c r="E50" s="1270">
        <v>-0.34816662942402843</v>
      </c>
      <c r="F50" s="1270">
        <v>-41.75596829578285</v>
      </c>
      <c r="G50" s="1270">
        <v>-22.303553454218637</v>
      </c>
      <c r="H50" s="1270">
        <v>-33.511202507946081</v>
      </c>
      <c r="I50" s="1270">
        <v>-29.200321275778801</v>
      </c>
    </row>
    <row r="51" spans="1:9">
      <c r="A51" s="1268"/>
      <c r="B51" s="837" t="s">
        <v>572</v>
      </c>
      <c r="C51" s="838"/>
      <c r="D51" s="838"/>
      <c r="E51" s="1271">
        <v>-0.98784011051793907</v>
      </c>
      <c r="F51" s="1271"/>
      <c r="G51" s="1271"/>
      <c r="H51" s="1271"/>
      <c r="I51" s="1271">
        <v>-13.615294049512977</v>
      </c>
    </row>
    <row r="52" spans="1:9">
      <c r="A52" s="1268"/>
      <c r="B52" s="835" t="s">
        <v>588</v>
      </c>
      <c r="C52" s="357"/>
      <c r="D52" s="357"/>
      <c r="E52" s="1270">
        <v>-1.7957346174552562</v>
      </c>
      <c r="F52" s="1270">
        <v>-0.72798222280987535</v>
      </c>
      <c r="G52" s="1270">
        <v>-34.861537423009771</v>
      </c>
      <c r="H52" s="1270">
        <v>-7.2804350141196821</v>
      </c>
      <c r="I52" s="1270">
        <v>-18.303504576286702</v>
      </c>
    </row>
    <row r="53" spans="1:9">
      <c r="A53" s="1269"/>
      <c r="B53" s="845" t="s">
        <v>580</v>
      </c>
      <c r="C53" s="846"/>
      <c r="D53" s="846"/>
      <c r="E53" s="842">
        <v>-6.7567567567567579</v>
      </c>
      <c r="F53" s="842"/>
      <c r="G53" s="842"/>
      <c r="H53" s="842"/>
      <c r="I53" s="842"/>
    </row>
    <row r="54" spans="1:9">
      <c r="A54" s="357"/>
      <c r="B54" s="357"/>
      <c r="C54" s="357"/>
      <c r="D54" s="357"/>
      <c r="E54" s="357"/>
      <c r="F54" s="357"/>
      <c r="G54" s="357"/>
      <c r="H54" s="357"/>
      <c r="I54" s="357"/>
    </row>
    <row r="55" spans="1:9">
      <c r="A55" s="526" t="s">
        <v>589</v>
      </c>
      <c r="B55" s="357"/>
      <c r="C55" s="357"/>
      <c r="D55" s="357"/>
      <c r="E55" s="357"/>
      <c r="F55" s="357"/>
      <c r="G55" s="357"/>
      <c r="H55" s="357"/>
      <c r="I55" s="357"/>
    </row>
    <row r="56" spans="1:9">
      <c r="A56" s="526"/>
      <c r="B56" s="357"/>
      <c r="C56" s="357"/>
      <c r="D56" s="357"/>
      <c r="E56" s="357"/>
      <c r="F56" s="357"/>
      <c r="G56" s="357"/>
      <c r="H56" s="357"/>
      <c r="I56" s="357"/>
    </row>
    <row r="57" spans="1:9">
      <c r="A57" s="830" t="s">
        <v>565</v>
      </c>
      <c r="B57" s="831"/>
      <c r="C57" s="357"/>
      <c r="D57" s="357"/>
      <c r="E57" s="690" t="s">
        <v>1151</v>
      </c>
      <c r="F57" s="832" t="s">
        <v>1152</v>
      </c>
      <c r="G57" s="690" t="s">
        <v>1153</v>
      </c>
      <c r="H57" s="690" t="s">
        <v>1150</v>
      </c>
      <c r="I57" s="832" t="s">
        <v>1175</v>
      </c>
    </row>
    <row r="58" spans="1:9">
      <c r="A58" s="1266"/>
      <c r="B58" s="833" t="s">
        <v>566</v>
      </c>
      <c r="C58" s="834"/>
      <c r="D58" s="834"/>
      <c r="E58" s="841">
        <v>-69.781696457898803</v>
      </c>
      <c r="F58" s="841">
        <v>-60.107308460150833</v>
      </c>
      <c r="G58" s="841">
        <v>-24.298698796992387</v>
      </c>
      <c r="H58" s="841">
        <v>-58.843306044976963</v>
      </c>
      <c r="I58" s="841">
        <v>-10.540827307379624</v>
      </c>
    </row>
    <row r="59" spans="1:9">
      <c r="A59" s="1267" t="s">
        <v>567</v>
      </c>
      <c r="B59" s="835" t="s">
        <v>568</v>
      </c>
      <c r="C59" s="357"/>
      <c r="D59" s="357"/>
      <c r="E59" s="836">
        <v>-6.4744640762096353</v>
      </c>
      <c r="F59" s="836">
        <v>-66.570578293809305</v>
      </c>
      <c r="G59" s="836">
        <v>-46.357999583589802</v>
      </c>
      <c r="H59" s="836">
        <v>-27.9055845353423</v>
      </c>
      <c r="I59" s="836">
        <v>-3.2800402921756566</v>
      </c>
    </row>
    <row r="60" spans="1:9">
      <c r="A60" s="1267" t="s">
        <v>569</v>
      </c>
      <c r="B60" s="837" t="s">
        <v>570</v>
      </c>
      <c r="C60" s="838"/>
      <c r="D60" s="838"/>
      <c r="E60" s="839">
        <v>-48.794909387707705</v>
      </c>
      <c r="F60" s="839">
        <v>-18.720336818811777</v>
      </c>
      <c r="G60" s="839">
        <v>-11.188384611811001</v>
      </c>
      <c r="H60" s="839">
        <v>-43.006053466653036</v>
      </c>
      <c r="I60" s="839">
        <v>29.547238217152106</v>
      </c>
    </row>
    <row r="61" spans="1:9">
      <c r="A61" s="1267" t="s">
        <v>571</v>
      </c>
      <c r="B61" s="835" t="s">
        <v>572</v>
      </c>
      <c r="C61" s="357"/>
      <c r="D61" s="357"/>
      <c r="E61" s="836">
        <v>41.499545420754394</v>
      </c>
      <c r="F61" s="836"/>
      <c r="G61" s="836"/>
      <c r="H61" s="836"/>
      <c r="I61" s="836">
        <v>8.1417469299335803</v>
      </c>
    </row>
    <row r="62" spans="1:9">
      <c r="A62" s="1268" t="s">
        <v>573</v>
      </c>
      <c r="B62" s="837" t="s">
        <v>574</v>
      </c>
      <c r="C62" s="838"/>
      <c r="D62" s="838"/>
      <c r="E62" s="839">
        <v>-20.325427022514958</v>
      </c>
      <c r="F62" s="839">
        <v>-25.966969563163378</v>
      </c>
      <c r="G62" s="839">
        <v>7.4980975441054838</v>
      </c>
      <c r="H62" s="839">
        <v>-42.671659523647151</v>
      </c>
      <c r="I62" s="839">
        <v>-2.4659937488868025</v>
      </c>
    </row>
    <row r="63" spans="1:9">
      <c r="A63" s="1267" t="s">
        <v>575</v>
      </c>
      <c r="B63" s="835" t="s">
        <v>576</v>
      </c>
      <c r="C63" s="357"/>
      <c r="D63" s="357"/>
      <c r="E63" s="836">
        <v>60.724679064327489</v>
      </c>
      <c r="F63" s="836">
        <v>-19.138716733293585</v>
      </c>
      <c r="G63" s="836">
        <v>40.101223653529097</v>
      </c>
      <c r="H63" s="836">
        <v>-5.3094973184755814</v>
      </c>
      <c r="I63" s="836"/>
    </row>
    <row r="64" spans="1:9">
      <c r="A64" s="1268"/>
      <c r="B64" s="837" t="s">
        <v>577</v>
      </c>
      <c r="C64" s="838"/>
      <c r="D64" s="838"/>
      <c r="E64" s="839">
        <v>66.857773883406097</v>
      </c>
      <c r="F64" s="839"/>
      <c r="G64" s="839"/>
      <c r="H64" s="839"/>
      <c r="I64" s="839"/>
    </row>
    <row r="65" spans="1:9">
      <c r="A65" s="1268"/>
      <c r="B65" s="840" t="s">
        <v>578</v>
      </c>
      <c r="C65" s="522"/>
      <c r="D65" s="522"/>
      <c r="E65" s="847">
        <v>37.116914108693052</v>
      </c>
      <c r="F65" s="847">
        <v>7.6437640936037612</v>
      </c>
      <c r="G65" s="847">
        <v>5.7985613980577968</v>
      </c>
      <c r="H65" s="847">
        <v>-15.628294300709717</v>
      </c>
      <c r="I65" s="847">
        <v>16.513824974718773</v>
      </c>
    </row>
    <row r="66" spans="1:9">
      <c r="A66" s="1266"/>
      <c r="B66" s="838" t="s">
        <v>566</v>
      </c>
      <c r="C66" s="838"/>
      <c r="D66" s="838"/>
      <c r="E66" s="839">
        <v>-16.432763484448266</v>
      </c>
      <c r="F66" s="839">
        <v>-0.35605693368850333</v>
      </c>
      <c r="G66" s="839">
        <v>-31.928256485909433</v>
      </c>
      <c r="H66" s="839">
        <v>-52.069147841157339</v>
      </c>
      <c r="I66" s="839">
        <v>-19.509766898242827</v>
      </c>
    </row>
    <row r="67" spans="1:9">
      <c r="A67" s="1268"/>
      <c r="B67" s="357" t="s">
        <v>568</v>
      </c>
      <c r="C67" s="357"/>
      <c r="D67" s="357"/>
      <c r="E67" s="836">
        <v>-1.8334609806570583</v>
      </c>
      <c r="F67" s="836">
        <v>-8.3390491283668773</v>
      </c>
      <c r="G67" s="836">
        <v>-32.768678964215255</v>
      </c>
      <c r="H67" s="836">
        <v>-30.994046164639478</v>
      </c>
      <c r="I67" s="836">
        <v>-18.912018616321845</v>
      </c>
    </row>
    <row r="68" spans="1:9">
      <c r="A68" s="1267" t="s">
        <v>567</v>
      </c>
      <c r="B68" s="838" t="s">
        <v>570</v>
      </c>
      <c r="C68" s="838"/>
      <c r="D68" s="838"/>
      <c r="E68" s="839">
        <v>25.990653631908906</v>
      </c>
      <c r="F68" s="839">
        <v>-16.928508501151683</v>
      </c>
      <c r="G68" s="839">
        <v>-3.185158699375104</v>
      </c>
      <c r="H68" s="839">
        <v>-66.074800332970753</v>
      </c>
      <c r="I68" s="839">
        <v>-14.438631719444361</v>
      </c>
    </row>
    <row r="69" spans="1:9">
      <c r="A69" s="1268" t="s">
        <v>569</v>
      </c>
      <c r="B69" s="357" t="s">
        <v>572</v>
      </c>
      <c r="C69" s="357"/>
      <c r="D69" s="357"/>
      <c r="E69" s="836">
        <v>-9.6368434516817718</v>
      </c>
      <c r="F69" s="836"/>
      <c r="G69" s="836"/>
      <c r="H69" s="836"/>
      <c r="I69" s="836">
        <v>-21.876603859842948</v>
      </c>
    </row>
    <row r="70" spans="1:9">
      <c r="A70" s="1267" t="s">
        <v>579</v>
      </c>
      <c r="B70" s="838" t="s">
        <v>590</v>
      </c>
      <c r="C70" s="838"/>
      <c r="D70" s="838"/>
      <c r="E70" s="839">
        <v>-28.571428571428569</v>
      </c>
      <c r="F70" s="839"/>
      <c r="G70" s="839"/>
      <c r="H70" s="839"/>
      <c r="I70" s="839"/>
    </row>
    <row r="71" spans="1:9">
      <c r="A71" s="1269"/>
      <c r="B71" s="357" t="s">
        <v>580</v>
      </c>
      <c r="C71" s="357"/>
      <c r="D71" s="357"/>
      <c r="E71" s="836">
        <v>-42.857142857142861</v>
      </c>
      <c r="F71" s="836"/>
      <c r="G71" s="836"/>
      <c r="H71" s="836"/>
      <c r="I71" s="836"/>
    </row>
    <row r="72" spans="1:9">
      <c r="A72" s="1268"/>
      <c r="B72" s="833" t="s">
        <v>581</v>
      </c>
      <c r="C72" s="834"/>
      <c r="D72" s="834"/>
      <c r="E72" s="841">
        <v>42.500501881311997</v>
      </c>
      <c r="F72" s="841">
        <v>-2.0553811580217962</v>
      </c>
      <c r="G72" s="841">
        <v>-26.555791098007951</v>
      </c>
      <c r="H72" s="841">
        <v>-47.063209103859037</v>
      </c>
      <c r="I72" s="841">
        <v>-35.160385032075425</v>
      </c>
    </row>
    <row r="73" spans="1:9">
      <c r="A73" s="1267" t="s">
        <v>582</v>
      </c>
      <c r="B73" s="835" t="s">
        <v>583</v>
      </c>
      <c r="C73" s="357"/>
      <c r="D73" s="357"/>
      <c r="E73" s="836">
        <v>-47.980317547981947</v>
      </c>
      <c r="F73" s="836">
        <v>-39.29726146365747</v>
      </c>
      <c r="G73" s="836">
        <v>-39.37683395657411</v>
      </c>
      <c r="H73" s="836">
        <v>-52.663848132992122</v>
      </c>
      <c r="I73" s="836">
        <v>-43.458493165125851</v>
      </c>
    </row>
    <row r="74" spans="1:9">
      <c r="A74" s="1268"/>
      <c r="B74" s="837" t="s">
        <v>584</v>
      </c>
      <c r="C74" s="838"/>
      <c r="D74" s="838"/>
      <c r="E74" s="839">
        <v>-16.992410178139643</v>
      </c>
      <c r="F74" s="839">
        <v>-63.085484664219202</v>
      </c>
      <c r="G74" s="839">
        <v>-8.8687450519168927</v>
      </c>
      <c r="H74" s="839">
        <v>-45.862907848509991</v>
      </c>
      <c r="I74" s="839">
        <v>-56.489360158130033</v>
      </c>
    </row>
    <row r="75" spans="1:9">
      <c r="A75" s="1269"/>
      <c r="B75" s="840" t="s">
        <v>585</v>
      </c>
      <c r="C75" s="522"/>
      <c r="D75" s="522"/>
      <c r="E75" s="847">
        <v>-50.617622812829637</v>
      </c>
      <c r="F75" s="847"/>
      <c r="G75" s="847"/>
      <c r="H75" s="847"/>
      <c r="I75" s="847"/>
    </row>
    <row r="76" spans="1:9">
      <c r="A76" s="1266"/>
      <c r="B76" s="837" t="s">
        <v>566</v>
      </c>
      <c r="C76" s="838"/>
      <c r="D76" s="838"/>
      <c r="E76" s="839">
        <v>-5.3016429489891834</v>
      </c>
      <c r="F76" s="839">
        <v>7.5400892162905633</v>
      </c>
      <c r="G76" s="839">
        <v>-8.8687450519168927</v>
      </c>
      <c r="H76" s="839">
        <v>-25.335244200479512</v>
      </c>
      <c r="I76" s="839">
        <v>-19.299704948437771</v>
      </c>
    </row>
    <row r="77" spans="1:9">
      <c r="A77" s="1267" t="s">
        <v>586</v>
      </c>
      <c r="B77" s="835" t="s">
        <v>568</v>
      </c>
      <c r="C77" s="357"/>
      <c r="D77" s="357"/>
      <c r="E77" s="836">
        <v>55.175369509788325</v>
      </c>
      <c r="F77" s="836">
        <v>18.2934483940085</v>
      </c>
      <c r="G77" s="836">
        <v>-8.1481730684185152</v>
      </c>
      <c r="H77" s="836">
        <v>-32.21054349786229</v>
      </c>
      <c r="I77" s="836">
        <v>-19.971220055984283</v>
      </c>
    </row>
    <row r="78" spans="1:9">
      <c r="A78" s="1268" t="s">
        <v>587</v>
      </c>
      <c r="B78" s="837" t="s">
        <v>570</v>
      </c>
      <c r="C78" s="838"/>
      <c r="D78" s="838"/>
      <c r="E78" s="839">
        <v>41.770391214622059</v>
      </c>
      <c r="F78" s="839">
        <v>-45.91780166666156</v>
      </c>
      <c r="G78" s="839">
        <v>-18.266300485289221</v>
      </c>
      <c r="H78" s="839">
        <v>-44.85852218621411</v>
      </c>
      <c r="I78" s="839">
        <v>-39.84284038197373</v>
      </c>
    </row>
    <row r="79" spans="1:9">
      <c r="A79" s="1268"/>
      <c r="B79" s="835" t="s">
        <v>572</v>
      </c>
      <c r="C79" s="357"/>
      <c r="D79" s="357"/>
      <c r="E79" s="836">
        <v>-8.5462659723434022</v>
      </c>
      <c r="F79" s="836"/>
      <c r="G79" s="836"/>
      <c r="H79" s="836"/>
      <c r="I79" s="836">
        <v>-25.447797776012493</v>
      </c>
    </row>
    <row r="80" spans="1:9">
      <c r="A80" s="1268"/>
      <c r="B80" s="837" t="s">
        <v>588</v>
      </c>
      <c r="C80" s="838"/>
      <c r="D80" s="838"/>
      <c r="E80" s="839">
        <v>-7.7763335500539235</v>
      </c>
      <c r="F80" s="839">
        <v>7.5541465754629664</v>
      </c>
      <c r="G80" s="839">
        <v>-54.600895529181848</v>
      </c>
      <c r="H80" s="839">
        <v>-1.8107250175769696</v>
      </c>
      <c r="I80" s="839">
        <v>-32.993281231893633</v>
      </c>
    </row>
    <row r="81" spans="1:9">
      <c r="A81" s="1268"/>
      <c r="B81" s="835" t="s">
        <v>590</v>
      </c>
      <c r="C81" s="357"/>
      <c r="D81" s="357"/>
      <c r="E81" s="836">
        <v>-9.5238095238095237</v>
      </c>
      <c r="F81" s="836"/>
      <c r="G81" s="836"/>
      <c r="H81" s="836"/>
      <c r="I81" s="836"/>
    </row>
    <row r="82" spans="1:9">
      <c r="A82" s="1269"/>
      <c r="B82" s="845" t="s">
        <v>580</v>
      </c>
      <c r="C82" s="846"/>
      <c r="D82" s="846"/>
      <c r="E82" s="842">
        <v>-23.80952380952381</v>
      </c>
      <c r="F82" s="842"/>
      <c r="G82" s="842"/>
      <c r="H82" s="842"/>
      <c r="I82" s="842"/>
    </row>
  </sheetData>
  <mergeCells count="6">
    <mergeCell ref="C3:G3"/>
    <mergeCell ref="H3:I3"/>
    <mergeCell ref="C7:G7"/>
    <mergeCell ref="H7:I7"/>
    <mergeCell ref="C15:G15"/>
    <mergeCell ref="H15:I15"/>
  </mergeCells>
  <pageMargins left="0.70866141732283472" right="0.70866141732283472" top="0.74803149606299213" bottom="0.74803149606299213" header="0.31496062992125984" footer="0.31496062992125984"/>
  <pageSetup paperSize="9" scale="70" firstPageNumber="6" orientation="portrait" r:id="rId1"/>
  <headerFooter>
    <oddFooter>&amp;L&amp;8Bulletin trimestriel de conjoncture, 4e trimestre 2023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rgb="FFFF0000"/>
  </sheetPr>
  <dimension ref="A1:Q52"/>
  <sheetViews>
    <sheetView view="pageBreakPreview" topLeftCell="A33" zoomScale="110" zoomScaleSheetLayoutView="110" workbookViewId="0">
      <selection activeCell="K50" sqref="K50"/>
    </sheetView>
  </sheetViews>
  <sheetFormatPr baseColWidth="10" defaultRowHeight="12.3"/>
  <cols>
    <col min="1" max="1" width="29.44140625" customWidth="1"/>
    <col min="2" max="2" width="11.83203125" customWidth="1"/>
    <col min="3" max="6" width="11.5546875" customWidth="1"/>
    <col min="7" max="8" width="9.44140625" customWidth="1"/>
  </cols>
  <sheetData>
    <row r="1" spans="1:17" ht="18" thickBot="1">
      <c r="A1" s="2082" t="s">
        <v>968</v>
      </c>
      <c r="B1" s="2082"/>
      <c r="C1" s="2082"/>
      <c r="D1" s="2082"/>
      <c r="E1" s="2082"/>
      <c r="F1" s="2082"/>
      <c r="G1" s="2082"/>
      <c r="H1" s="2082"/>
    </row>
    <row r="2" spans="1:17" ht="18" thickBot="1">
      <c r="A2" s="2087" t="s">
        <v>969</v>
      </c>
      <c r="B2" s="2087"/>
      <c r="C2" s="2087"/>
      <c r="D2" s="2087"/>
      <c r="E2" s="2087"/>
      <c r="F2" s="2087"/>
      <c r="G2" s="2087"/>
      <c r="H2" s="2087"/>
      <c r="I2" s="395"/>
      <c r="J2" s="396"/>
      <c r="K2" s="396"/>
      <c r="L2" s="396"/>
      <c r="M2" s="396"/>
      <c r="N2" s="396"/>
      <c r="O2" s="396"/>
      <c r="P2" s="396"/>
      <c r="Q2" s="397"/>
    </row>
    <row r="3" spans="1:17" ht="17.7">
      <c r="A3" s="1272"/>
      <c r="B3" s="1272"/>
      <c r="C3" s="1272"/>
      <c r="D3" s="1272"/>
      <c r="E3" s="1272"/>
      <c r="F3" s="1272"/>
      <c r="G3" s="1272"/>
      <c r="H3" s="1272"/>
    </row>
    <row r="4" spans="1:17">
      <c r="A4" s="86" t="s">
        <v>165</v>
      </c>
      <c r="B4" s="330"/>
      <c r="C4" s="330"/>
      <c r="D4" s="330"/>
      <c r="E4" s="330"/>
      <c r="F4" s="330"/>
      <c r="G4" s="330"/>
      <c r="H4" s="330"/>
    </row>
    <row r="5" spans="1:17">
      <c r="A5" s="31"/>
      <c r="B5" s="330"/>
      <c r="C5" s="330"/>
      <c r="D5" s="330"/>
      <c r="E5" s="330"/>
      <c r="F5" s="330"/>
      <c r="G5" s="330"/>
      <c r="H5" s="330"/>
    </row>
    <row r="6" spans="1:17">
      <c r="A6" s="2083" t="s">
        <v>166</v>
      </c>
      <c r="B6" s="2064" t="s">
        <v>12</v>
      </c>
      <c r="C6" s="2063"/>
      <c r="D6" s="2063"/>
      <c r="E6" s="2063"/>
      <c r="F6" s="2063"/>
      <c r="G6" s="2067" t="s">
        <v>18</v>
      </c>
      <c r="H6" s="2069"/>
    </row>
    <row r="7" spans="1:17" ht="24.6">
      <c r="A7" s="2084"/>
      <c r="B7" s="144">
        <f>Base_Mensuelle!CZ6</f>
        <v>44044</v>
      </c>
      <c r="C7" s="144">
        <f>Base_Mensuelle!DA6</f>
        <v>44317</v>
      </c>
      <c r="D7" s="144">
        <f>Base_Mensuelle!DB6</f>
        <v>44348</v>
      </c>
      <c r="E7" s="144">
        <f>Base_Mensuelle!DC6</f>
        <v>44378</v>
      </c>
      <c r="F7" s="144">
        <f>Base_Mensuelle!DD6</f>
        <v>44409</v>
      </c>
      <c r="G7" s="32" t="s">
        <v>503</v>
      </c>
      <c r="H7" s="32" t="s">
        <v>20</v>
      </c>
    </row>
    <row r="8" spans="1:17">
      <c r="A8" s="1273" t="s">
        <v>167</v>
      </c>
      <c r="B8" s="200">
        <f>IF(Base_Mensuelle!CZ8=0,"",Base_Mensuelle!CZ8)</f>
        <v>151.014937</v>
      </c>
      <c r="C8" s="200">
        <f>IF(Base_Mensuelle!DA8=0,"",Base_Mensuelle!DA8)</f>
        <v>189.72285200000002</v>
      </c>
      <c r="D8" s="200">
        <f>IF(Base_Mensuelle!DB8=0,"",Base_Mensuelle!DB8)</f>
        <v>180.06336799999997</v>
      </c>
      <c r="E8" s="200">
        <f>IF(Base_Mensuelle!DC8=0,"",Base_Mensuelle!DC8)</f>
        <v>174.309078</v>
      </c>
      <c r="F8" s="200">
        <f>IF(Base_Mensuelle!DD8=0,"",Base_Mensuelle!DD8)</f>
        <v>162.20991100000003</v>
      </c>
      <c r="G8" s="200">
        <f>+IF(E8=0,"",(F8/C8-1)*100)</f>
        <v>-14.501648436109315</v>
      </c>
      <c r="H8" s="200">
        <f>+IF(B8=0,"",(F8/B8-1)*100)</f>
        <v>7.4131567528316955</v>
      </c>
    </row>
    <row r="9" spans="1:17" ht="12.6">
      <c r="A9" s="1274" t="s">
        <v>168</v>
      </c>
      <c r="B9" s="1666">
        <f>IF(Base_Mensuelle!CZ9=0,"",Base_Mensuelle!CZ9)</f>
        <v>79.949066000000002</v>
      </c>
      <c r="C9" s="1666">
        <f>IF(Base_Mensuelle!DA9=0,"",Base_Mensuelle!DA9)</f>
        <v>105.404245</v>
      </c>
      <c r="D9" s="1666">
        <f>IF(Base_Mensuelle!DB9=0,"",Base_Mensuelle!DB9)</f>
        <v>94.472492000000003</v>
      </c>
      <c r="E9" s="1666">
        <f>IF(Base_Mensuelle!DC9=0,"",Base_Mensuelle!DC9)</f>
        <v>86.583000999999996</v>
      </c>
      <c r="F9" s="1666">
        <f>IF(Base_Mensuelle!DD9=0,"",Base_Mensuelle!DD9)</f>
        <v>78.165429000000003</v>
      </c>
      <c r="G9" s="1277">
        <f t="shared" ref="G9:G10" si="0">+IF(E9=0,"",(F9/C9-1)*100)</f>
        <v>-25.842238137562678</v>
      </c>
      <c r="H9" s="1277">
        <f t="shared" ref="H9:H10" si="1">+IF(B9=0,"",(F9/B9-1)*100)</f>
        <v>-2.2309666506923231</v>
      </c>
    </row>
    <row r="10" spans="1:17">
      <c r="A10" s="1273" t="s">
        <v>169</v>
      </c>
      <c r="B10" s="1242">
        <f>IF(Base_Mensuelle!CZ10=0,"",Base_Mensuelle!CZ10)</f>
        <v>53.604885000000003</v>
      </c>
      <c r="C10" s="1242">
        <f>IF(Base_Mensuelle!DA10=0,"",Base_Mensuelle!DA10)</f>
        <v>66.065570687645703</v>
      </c>
      <c r="D10" s="1242">
        <f>IF(Base_Mensuelle!DB10=0,"",Base_Mensuelle!DB10)</f>
        <v>67.216130761072293</v>
      </c>
      <c r="E10" s="1242">
        <f>IF(Base_Mensuelle!DC10=0,"",Base_Mensuelle!DC10)</f>
        <v>69.229622834498798</v>
      </c>
      <c r="F10" s="1242">
        <f>IF(Base_Mensuelle!DD10=0,"",Base_Mensuelle!DD10)</f>
        <v>65.426318907925406</v>
      </c>
      <c r="G10" s="1242">
        <f t="shared" si="0"/>
        <v>-0.96760199460418361</v>
      </c>
      <c r="H10" s="1242">
        <f t="shared" si="1"/>
        <v>22.052904148428642</v>
      </c>
    </row>
    <row r="11" spans="1:17">
      <c r="A11" s="1275" t="s">
        <v>170</v>
      </c>
      <c r="B11" s="331" t="str">
        <f>IF(Base_Mensuelle!CZ11=0,"",Base_Mensuelle!CZ11)</f>
        <v/>
      </c>
      <c r="C11" s="332" t="str">
        <f>IF(Base_Mensuelle!DA11=0,"",Base_Mensuelle!DA11)</f>
        <v/>
      </c>
      <c r="D11" s="332" t="str">
        <f>IF(Base_Mensuelle!DB11=0,"",Base_Mensuelle!DB11)</f>
        <v/>
      </c>
      <c r="E11" s="332" t="str">
        <f>IF(Base_Mensuelle!DC11=0,"",Base_Mensuelle!DC11)</f>
        <v/>
      </c>
      <c r="F11" s="332" t="str">
        <f>IF(Base_Mensuelle!DD11=0,"",Base_Mensuelle!DD11)</f>
        <v/>
      </c>
      <c r="G11" s="1277" t="str">
        <f>+IF(E11="","",(F11/E11-1)*100)</f>
        <v/>
      </c>
      <c r="H11" s="1277" t="str">
        <f>+IF(OR(B11="",F11=""),"",(F11/B11-1)*100)</f>
        <v/>
      </c>
    </row>
    <row r="12" spans="1:17">
      <c r="A12" s="1273" t="s">
        <v>168</v>
      </c>
      <c r="B12" s="1242" t="str">
        <f>IF(Base_Mensuelle!CZ12=0,"",Base_Mensuelle!CZ12)</f>
        <v/>
      </c>
      <c r="C12" s="1242" t="str">
        <f>IF(Base_Mensuelle!DA12=0,"",Base_Mensuelle!DA12)</f>
        <v/>
      </c>
      <c r="D12" s="1242" t="str">
        <f>IF(Base_Mensuelle!DB12=0,"",Base_Mensuelle!DB12)</f>
        <v/>
      </c>
      <c r="E12" s="1242" t="str">
        <f>IF(Base_Mensuelle!DC12=0,"",Base_Mensuelle!DC12)</f>
        <v/>
      </c>
      <c r="F12" s="1242" t="str">
        <f>IF(Base_Mensuelle!DD12=0,"",Base_Mensuelle!DD12)</f>
        <v/>
      </c>
      <c r="G12" s="1242" t="str">
        <f>+IF(E12="","",(F12/E12-1)*100)</f>
        <v/>
      </c>
      <c r="H12" s="1242" t="str">
        <f>+IF(OR(B12="",F12=""),"",(F12/B12-1)*100)</f>
        <v/>
      </c>
    </row>
    <row r="13" spans="1:17" ht="12.6">
      <c r="A13" s="1276" t="s">
        <v>169</v>
      </c>
      <c r="B13" s="333" t="str">
        <f>IF(Base_Mensuelle!CZ13=0,"",Base_Mensuelle!CZ13)</f>
        <v/>
      </c>
      <c r="C13" s="333" t="str">
        <f>IF(Base_Mensuelle!DA13=0,"",Base_Mensuelle!DA13)</f>
        <v/>
      </c>
      <c r="D13" s="333" t="str">
        <f>IF(Base_Mensuelle!DB13=0,"",Base_Mensuelle!DB13)</f>
        <v/>
      </c>
      <c r="E13" s="333" t="str">
        <f>IF(Base_Mensuelle!DC13=0,"",Base_Mensuelle!DC13)</f>
        <v/>
      </c>
      <c r="F13" s="333" t="str">
        <f>IF(Base_Mensuelle!DD13=0,"",Base_Mensuelle!DD13)</f>
        <v/>
      </c>
      <c r="G13" s="334" t="str">
        <f>+IF(E13="","",(F13/E13-1)*100)</f>
        <v/>
      </c>
      <c r="H13" s="334" t="str">
        <f>+IF(OR(B13="",F13=""),"",(F13/B13-1)*100)</f>
        <v/>
      </c>
    </row>
    <row r="14" spans="1:17" ht="12.6" thickBot="1">
      <c r="A14" s="335" t="s">
        <v>171</v>
      </c>
      <c r="B14" s="249"/>
      <c r="C14" s="249"/>
      <c r="D14" s="330"/>
      <c r="E14" s="330"/>
      <c r="F14" s="249"/>
      <c r="G14" s="330"/>
      <c r="H14" s="336"/>
    </row>
    <row r="15" spans="1:17" ht="12.6" thickBot="1">
      <c r="A15" s="31"/>
      <c r="B15" s="249"/>
      <c r="C15" s="330"/>
      <c r="D15" s="330"/>
      <c r="E15" s="330"/>
      <c r="F15" s="330"/>
      <c r="G15" s="330"/>
      <c r="H15" s="330"/>
      <c r="I15" s="395"/>
      <c r="J15" s="396"/>
      <c r="K15" s="396"/>
      <c r="L15" s="396"/>
      <c r="M15" s="396"/>
      <c r="N15" s="396"/>
      <c r="O15" s="396"/>
      <c r="P15" s="396"/>
      <c r="Q15" s="397"/>
    </row>
    <row r="16" spans="1:17">
      <c r="A16" s="337" t="s">
        <v>172</v>
      </c>
      <c r="B16" s="338"/>
      <c r="C16" s="338"/>
      <c r="D16" s="338"/>
      <c r="E16" s="338"/>
      <c r="F16" s="338"/>
      <c r="G16" s="338"/>
      <c r="H16" s="338"/>
    </row>
    <row r="17" spans="1:17">
      <c r="A17" s="337"/>
      <c r="B17" s="338"/>
      <c r="C17" s="338"/>
      <c r="D17" s="338"/>
      <c r="E17" s="338"/>
      <c r="F17" s="338"/>
      <c r="G17" s="338"/>
      <c r="H17" s="338"/>
    </row>
    <row r="18" spans="1:17">
      <c r="A18" s="337"/>
      <c r="B18" s="338"/>
      <c r="C18" s="338"/>
      <c r="D18" s="338"/>
      <c r="E18" s="338"/>
      <c r="F18" s="338"/>
      <c r="G18" s="338"/>
      <c r="H18" s="338"/>
    </row>
    <row r="19" spans="1:17">
      <c r="A19" s="2085" t="s">
        <v>166</v>
      </c>
      <c r="B19" s="2067" t="s">
        <v>12</v>
      </c>
      <c r="C19" s="2068"/>
      <c r="D19" s="2068"/>
      <c r="E19" s="2068"/>
      <c r="F19" s="2068"/>
      <c r="G19" s="2067" t="s">
        <v>18</v>
      </c>
      <c r="H19" s="2069"/>
    </row>
    <row r="20" spans="1:17" ht="24.6">
      <c r="A20" s="2086"/>
      <c r="B20" s="144">
        <f>Base_Mensuelle!DK7</f>
        <v>44896</v>
      </c>
      <c r="C20" s="144">
        <f>Base_Mensuelle!DL7</f>
        <v>45170</v>
      </c>
      <c r="D20" s="144">
        <f>Base_Mensuelle!DM7</f>
        <v>45200</v>
      </c>
      <c r="E20" s="144">
        <f>Base_Mensuelle!DN7</f>
        <v>45231</v>
      </c>
      <c r="F20" s="144">
        <f>Base_Mensuelle!DO7</f>
        <v>45261</v>
      </c>
      <c r="G20" s="32" t="s">
        <v>503</v>
      </c>
      <c r="H20" s="32" t="s">
        <v>20</v>
      </c>
    </row>
    <row r="21" spans="1:17" ht="24.6">
      <c r="A21" s="1667" t="s">
        <v>1010</v>
      </c>
      <c r="B21" s="1665">
        <f>Base_Mensuelle!DK8</f>
        <v>511170</v>
      </c>
      <c r="C21" s="1665">
        <f>Base_Mensuelle!DL8</f>
        <v>520794</v>
      </c>
      <c r="D21" s="1665">
        <f>Base_Mensuelle!DM8</f>
        <v>523551</v>
      </c>
      <c r="E21" s="1665">
        <f>Base_Mensuelle!DN8</f>
        <v>524801</v>
      </c>
      <c r="F21" s="1665">
        <f>Base_Mensuelle!DO8</f>
        <v>525880</v>
      </c>
      <c r="G21" s="207">
        <f>+IF(E21=0,"",(F21/C21-1)*100)</f>
        <v>0.97658575175596507</v>
      </c>
      <c r="H21" s="207">
        <f>+IF(B21=0,"",(F21/B21-1)*100)</f>
        <v>2.8777119158009956</v>
      </c>
    </row>
    <row r="22" spans="1:17">
      <c r="A22" s="192" t="s">
        <v>173</v>
      </c>
      <c r="B22" s="338"/>
      <c r="C22" s="338"/>
      <c r="D22" s="338"/>
      <c r="E22" s="338"/>
      <c r="F22" s="338"/>
      <c r="G22" s="338"/>
      <c r="H22" s="338"/>
    </row>
    <row r="23" spans="1:17">
      <c r="A23" s="31"/>
      <c r="B23" s="69"/>
      <c r="C23" s="69"/>
      <c r="D23" s="69"/>
      <c r="E23" s="69"/>
      <c r="F23" s="1914"/>
      <c r="G23" s="339"/>
      <c r="H23" s="69"/>
    </row>
    <row r="24" spans="1:17" ht="12.9">
      <c r="A24" s="337" t="s">
        <v>174</v>
      </c>
      <c r="B24" s="330"/>
      <c r="C24" s="330"/>
      <c r="D24" s="330"/>
      <c r="E24" s="330"/>
      <c r="F24" s="330"/>
      <c r="G24" s="330"/>
      <c r="H24" s="330"/>
    </row>
    <row r="25" spans="1:17">
      <c r="A25" s="31"/>
      <c r="B25" s="330"/>
      <c r="C25" s="330"/>
      <c r="D25" s="330"/>
      <c r="E25" s="330"/>
      <c r="F25" s="330"/>
      <c r="G25" s="330"/>
      <c r="H25" s="330"/>
    </row>
    <row r="26" spans="1:17">
      <c r="A26" s="2085" t="s">
        <v>166</v>
      </c>
      <c r="B26" s="2068" t="s">
        <v>12</v>
      </c>
      <c r="C26" s="2068"/>
      <c r="D26" s="2068"/>
      <c r="E26" s="2068"/>
      <c r="F26" s="2068"/>
      <c r="G26" s="2067" t="s">
        <v>18</v>
      </c>
      <c r="H26" s="2069"/>
    </row>
    <row r="27" spans="1:17" ht="24.9" thickBot="1">
      <c r="A27" s="2086"/>
      <c r="B27" s="144">
        <f>Base_Mensuelle!DK7</f>
        <v>44896</v>
      </c>
      <c r="C27" s="144">
        <f>Base_Mensuelle!DL7</f>
        <v>45170</v>
      </c>
      <c r="D27" s="144">
        <f>Base_Mensuelle!DM7</f>
        <v>45200</v>
      </c>
      <c r="E27" s="144">
        <f>Base_Mensuelle!DN7</f>
        <v>45231</v>
      </c>
      <c r="F27" s="144">
        <f>Base_Mensuelle!DO7</f>
        <v>45261</v>
      </c>
      <c r="G27" s="32" t="s">
        <v>503</v>
      </c>
      <c r="H27" s="32" t="s">
        <v>20</v>
      </c>
    </row>
    <row r="28" spans="1:17" ht="12.6" thickBot="1">
      <c r="A28" s="340" t="s">
        <v>175</v>
      </c>
      <c r="B28" s="383">
        <f>Base_Mensuelle!DK9</f>
        <v>5342576</v>
      </c>
      <c r="C28" s="383">
        <f>Base_Mensuelle!DL9</f>
        <v>4974079</v>
      </c>
      <c r="D28" s="383">
        <f>Base_Mensuelle!DM9</f>
        <v>5188741</v>
      </c>
      <c r="E28" s="383">
        <f>Base_Mensuelle!DN9</f>
        <v>5403856</v>
      </c>
      <c r="F28" s="383">
        <f>Base_Mensuelle!DO9</f>
        <v>5493981</v>
      </c>
      <c r="G28" s="384">
        <f>+IF(F28=0,"",(F28/C28-1)*100)</f>
        <v>10.452226432270173</v>
      </c>
      <c r="H28" s="200">
        <f>+IF(B28=0,"",(F28/B28-1)*100)</f>
        <v>2.8339325448996977</v>
      </c>
      <c r="I28" s="396"/>
      <c r="J28" s="396"/>
      <c r="K28" s="396"/>
      <c r="L28" s="396"/>
      <c r="M28" s="396"/>
      <c r="N28" s="396"/>
      <c r="O28" s="396"/>
      <c r="P28" s="396"/>
      <c r="Q28" s="397"/>
    </row>
    <row r="29" spans="1:17">
      <c r="A29" s="341" t="s">
        <v>176</v>
      </c>
      <c r="B29" s="1541">
        <f>Base_Mensuelle!DK10</f>
        <v>293353</v>
      </c>
      <c r="C29" s="385">
        <f>Base_Mensuelle!DL10</f>
        <v>276454</v>
      </c>
      <c r="D29" s="385">
        <f>Base_Mensuelle!DM10</f>
        <v>290997</v>
      </c>
      <c r="E29" s="385">
        <f>Base_Mensuelle!DN10</f>
        <v>283704</v>
      </c>
      <c r="F29" s="385">
        <f>Base_Mensuelle!DO10</f>
        <v>303414</v>
      </c>
      <c r="G29" s="1278">
        <f t="shared" ref="G29:G33" si="2">+IF(F29=0,"",(F29/C29-1)*100)</f>
        <v>9.7520744861713027</v>
      </c>
      <c r="H29" s="342">
        <f t="shared" ref="H29:H33" si="3">+IF(B29=0,"",(F29/B29-1)*100)</f>
        <v>3.4296564207626945</v>
      </c>
    </row>
    <row r="30" spans="1:17">
      <c r="A30" s="343" t="s">
        <v>177</v>
      </c>
      <c r="B30" s="386">
        <f>Base_Mensuelle!DK11</f>
        <v>21106</v>
      </c>
      <c r="C30" s="386">
        <f>Base_Mensuelle!DL11</f>
        <v>18023</v>
      </c>
      <c r="D30" s="386">
        <f>Base_Mensuelle!DM11</f>
        <v>19794</v>
      </c>
      <c r="E30" s="386">
        <f>Base_Mensuelle!DN11</f>
        <v>22459</v>
      </c>
      <c r="F30" s="386">
        <f>Base_Mensuelle!DO11</f>
        <v>24264</v>
      </c>
      <c r="G30" s="1279">
        <f t="shared" si="2"/>
        <v>34.627975364811633</v>
      </c>
      <c r="H30" s="1242">
        <f t="shared" si="3"/>
        <v>14.96256988534066</v>
      </c>
    </row>
    <row r="31" spans="1:17">
      <c r="A31" s="341" t="s">
        <v>178</v>
      </c>
      <c r="B31" s="1541">
        <f>Base_Mensuelle!DK12</f>
        <v>582776</v>
      </c>
      <c r="C31" s="385">
        <f>Base_Mensuelle!DL12</f>
        <v>494094</v>
      </c>
      <c r="D31" s="385">
        <f>Base_Mensuelle!DM12</f>
        <v>521368</v>
      </c>
      <c r="E31" s="385">
        <f>Base_Mensuelle!DN12</f>
        <v>560084</v>
      </c>
      <c r="F31" s="385">
        <f>Base_Mensuelle!DO12</f>
        <v>557897</v>
      </c>
      <c r="G31" s="1278">
        <f t="shared" si="2"/>
        <v>12.913129890263786</v>
      </c>
      <c r="H31" s="342">
        <f t="shared" si="3"/>
        <v>-4.2690502011064275</v>
      </c>
    </row>
    <row r="32" spans="1:17">
      <c r="A32" s="343" t="s">
        <v>179</v>
      </c>
      <c r="B32" s="386">
        <f>Base_Mensuelle!DK13</f>
        <v>6767</v>
      </c>
      <c r="C32" s="386">
        <f>Base_Mensuelle!DL13</f>
        <v>3932</v>
      </c>
      <c r="D32" s="387">
        <f>Base_Mensuelle!DM13</f>
        <v>5264</v>
      </c>
      <c r="E32" s="386">
        <f>Base_Mensuelle!DN13</f>
        <v>5036</v>
      </c>
      <c r="F32" s="386">
        <f>Base_Mensuelle!DO13</f>
        <v>5739</v>
      </c>
      <c r="G32" s="1280">
        <f t="shared" si="2"/>
        <v>45.956256358087487</v>
      </c>
      <c r="H32" s="1242">
        <f t="shared" si="3"/>
        <v>-15.191369883256979</v>
      </c>
    </row>
    <row r="33" spans="1:17">
      <c r="A33" s="345" t="s">
        <v>180</v>
      </c>
      <c r="B33" s="1542">
        <f>Base_Mensuelle!DK14</f>
        <v>1623341</v>
      </c>
      <c r="C33" s="388">
        <f>Base_Mensuelle!DL14</f>
        <v>1355055</v>
      </c>
      <c r="D33" s="388">
        <f>Base_Mensuelle!DM14</f>
        <v>1515354</v>
      </c>
      <c r="E33" s="388">
        <f>Base_Mensuelle!DN14</f>
        <v>1504130</v>
      </c>
      <c r="F33" s="388">
        <f>Base_Mensuelle!DO14</f>
        <v>1703882</v>
      </c>
      <c r="G33" s="389">
        <f t="shared" si="2"/>
        <v>25.742645132485386</v>
      </c>
      <c r="H33" s="346">
        <f t="shared" si="3"/>
        <v>4.9614344737180849</v>
      </c>
    </row>
    <row r="34" spans="1:17">
      <c r="A34" s="347" t="s">
        <v>128</v>
      </c>
      <c r="B34" s="390">
        <f>SUM(B28:B33)</f>
        <v>7869919</v>
      </c>
      <c r="C34" s="390">
        <f>SUM(C28:C33)</f>
        <v>7121637</v>
      </c>
      <c r="D34" s="391">
        <f>SUM(D28:D33)</f>
        <v>7541518</v>
      </c>
      <c r="E34" s="390">
        <f>SUM(E28:E33)</f>
        <v>7779269</v>
      </c>
      <c r="F34" s="390">
        <f>SUM(F28:F33)</f>
        <v>8089177</v>
      </c>
      <c r="G34" s="1281">
        <f>+IF(E34=0,"",(F34/E34-1)*100)</f>
        <v>3.9837676264955046</v>
      </c>
      <c r="H34" s="147">
        <f t="shared" ref="H34" si="4">+IF(B34=0,"",(F34/B34-1)*100)</f>
        <v>2.7860261331787539</v>
      </c>
    </row>
    <row r="35" spans="1:17">
      <c r="A35" s="348" t="s">
        <v>173</v>
      </c>
      <c r="B35" s="330"/>
      <c r="C35" s="330"/>
      <c r="D35" s="330"/>
      <c r="E35" s="330"/>
      <c r="F35" s="1934"/>
      <c r="G35" s="1934"/>
      <c r="H35" s="330"/>
    </row>
    <row r="36" spans="1:17">
      <c r="A36" s="192"/>
      <c r="B36" s="330"/>
      <c r="C36" s="330"/>
      <c r="D36" s="330"/>
      <c r="E36" s="330"/>
      <c r="F36" s="1934"/>
      <c r="G36" s="1934"/>
      <c r="H36" s="330"/>
    </row>
    <row r="37" spans="1:17">
      <c r="A37" s="337" t="s">
        <v>1147</v>
      </c>
      <c r="B37" s="330"/>
      <c r="C37" s="330"/>
      <c r="D37" s="330"/>
      <c r="E37" s="330"/>
      <c r="F37" s="1934"/>
      <c r="G37" s="330"/>
      <c r="H37" s="330"/>
    </row>
    <row r="38" spans="1:17">
      <c r="A38" s="337"/>
      <c r="B38" s="330"/>
      <c r="C38" s="330"/>
      <c r="D38" s="330"/>
      <c r="E38" s="330"/>
      <c r="F38" s="1934"/>
      <c r="G38" s="330"/>
      <c r="H38" s="330"/>
    </row>
    <row r="39" spans="1:17">
      <c r="A39" s="2083" t="s">
        <v>166</v>
      </c>
      <c r="B39" s="2063" t="s">
        <v>12</v>
      </c>
      <c r="C39" s="2063"/>
      <c r="D39" s="2063"/>
      <c r="E39" s="2063"/>
      <c r="F39" s="2063"/>
      <c r="G39" s="2064" t="s">
        <v>18</v>
      </c>
      <c r="H39" s="2065"/>
    </row>
    <row r="40" spans="1:17" ht="24.6">
      <c r="A40" s="2084"/>
      <c r="B40" s="144">
        <f>Base_Mensuelle!DT6</f>
        <v>44896</v>
      </c>
      <c r="C40" s="144">
        <f>Base_Mensuelle!DU6</f>
        <v>45170</v>
      </c>
      <c r="D40" s="144">
        <f>Base_Mensuelle!DV6</f>
        <v>45200</v>
      </c>
      <c r="E40" s="144">
        <f>Base_Mensuelle!DW6</f>
        <v>45231</v>
      </c>
      <c r="F40" s="144">
        <f>Base_Mensuelle!DX6</f>
        <v>45261</v>
      </c>
      <c r="G40" s="32" t="s">
        <v>503</v>
      </c>
      <c r="H40" s="32" t="s">
        <v>20</v>
      </c>
    </row>
    <row r="41" spans="1:17">
      <c r="A41" s="349" t="s">
        <v>182</v>
      </c>
      <c r="B41" s="350">
        <f>Base_Mensuelle!DT8</f>
        <v>79058.3</v>
      </c>
      <c r="C41" s="350">
        <f>Base_Mensuelle!DU8</f>
        <v>70580.44</v>
      </c>
      <c r="D41" s="350">
        <f>Base_Mensuelle!DV8</f>
        <v>73532.09</v>
      </c>
      <c r="E41" s="350">
        <f>Base_Mensuelle!DW8</f>
        <v>72073.5</v>
      </c>
      <c r="F41" s="350">
        <f>Base_Mensuelle!DX8</f>
        <v>80344.83</v>
      </c>
      <c r="G41" s="351">
        <f>+IF(E41=0,"",(F41/C41-1)*100)</f>
        <v>13.834413613743401</v>
      </c>
      <c r="H41" s="352">
        <f>+IF(B41=0,"",(F41/B41-1)*100)</f>
        <v>1.6273180678056498</v>
      </c>
    </row>
    <row r="42" spans="1:17" ht="12.6" thickBot="1">
      <c r="A42" s="353" t="s">
        <v>183</v>
      </c>
      <c r="B42" s="82">
        <f>Base_Mensuelle!DT9</f>
        <v>748</v>
      </c>
      <c r="C42" s="82">
        <f>Base_Mensuelle!DU9</f>
        <v>141</v>
      </c>
      <c r="D42" s="344">
        <f>Base_Mensuelle!DV9</f>
        <v>109</v>
      </c>
      <c r="E42" s="82">
        <f>Base_Mensuelle!DW9</f>
        <v>148.5</v>
      </c>
      <c r="F42" s="82">
        <f>Base_Mensuelle!DX9</f>
        <v>550.5</v>
      </c>
      <c r="G42" s="1282">
        <f t="shared" ref="G42:G48" si="5">+IF(E42=0,"",(F42/C42-1)*100)</f>
        <v>290.42553191489361</v>
      </c>
      <c r="H42" s="1242">
        <f t="shared" ref="H42:H48" si="6">+IF(B42=0,"",(F42/B42-1)*100)</f>
        <v>-26.40374331550802</v>
      </c>
    </row>
    <row r="43" spans="1:17" ht="12.6" thickBot="1">
      <c r="A43" s="354" t="s">
        <v>184</v>
      </c>
      <c r="B43" s="355">
        <f>Base_Mensuelle!DT10</f>
        <v>73554.14</v>
      </c>
      <c r="C43" s="355">
        <f>Base_Mensuelle!DU10</f>
        <v>67815.02</v>
      </c>
      <c r="D43" s="355">
        <f>Base_Mensuelle!DV10</f>
        <v>63881.440000000002</v>
      </c>
      <c r="E43" s="355">
        <f>Base_Mensuelle!DW10</f>
        <v>63941.1</v>
      </c>
      <c r="F43" s="355">
        <f>Base_Mensuelle!DX10</f>
        <v>72085.149999999994</v>
      </c>
      <c r="G43" s="1277">
        <f t="shared" si="5"/>
        <v>6.2967319039351377</v>
      </c>
      <c r="H43" s="342">
        <f t="shared" si="6"/>
        <v>-1.9971547488693453</v>
      </c>
      <c r="I43" s="396"/>
      <c r="J43" s="396"/>
      <c r="K43" s="396"/>
      <c r="L43" s="396"/>
      <c r="M43" s="396"/>
      <c r="N43" s="396"/>
      <c r="O43" s="396"/>
      <c r="P43" s="396"/>
      <c r="Q43" s="397"/>
    </row>
    <row r="44" spans="1:17" ht="12.6" thickBot="1">
      <c r="A44" s="353" t="s">
        <v>185</v>
      </c>
      <c r="B44" s="82">
        <f>Base_Mensuelle!DT11</f>
        <v>1756.0239999999999</v>
      </c>
      <c r="C44" s="82">
        <f>Base_Mensuelle!DU11</f>
        <v>1982.973</v>
      </c>
      <c r="D44" s="344">
        <f>Base_Mensuelle!DV11</f>
        <v>1798.431</v>
      </c>
      <c r="E44" s="82">
        <f>Base_Mensuelle!DW11</f>
        <v>2711.9140000000002</v>
      </c>
      <c r="F44" s="82">
        <f>Base_Mensuelle!DX11</f>
        <v>3411.6759999999999</v>
      </c>
      <c r="G44" s="1282">
        <f t="shared" si="5"/>
        <v>72.048535204463192</v>
      </c>
      <c r="H44" s="1242">
        <f t="shared" si="6"/>
        <v>94.284132790895796</v>
      </c>
      <c r="I44" s="396"/>
      <c r="J44" s="396"/>
      <c r="K44" s="396"/>
      <c r="L44" s="396"/>
      <c r="M44" s="396"/>
      <c r="N44" s="396"/>
      <c r="O44" s="397"/>
    </row>
    <row r="45" spans="1:17">
      <c r="A45" s="354" t="s">
        <v>186</v>
      </c>
      <c r="B45" s="355">
        <f>Base_Mensuelle!DT12</f>
        <v>1756.0239999999999</v>
      </c>
      <c r="C45" s="355">
        <f>Base_Mensuelle!DU12</f>
        <v>20591.722000000002</v>
      </c>
      <c r="D45" s="355">
        <f>Base_Mensuelle!DV12</f>
        <v>20518.963</v>
      </c>
      <c r="E45" s="355">
        <f>Base_Mensuelle!DW12</f>
        <v>31682.812999999998</v>
      </c>
      <c r="F45" s="355">
        <f>Base_Mensuelle!DX12</f>
        <v>30167.778999999999</v>
      </c>
      <c r="G45" s="1277">
        <f t="shared" si="5"/>
        <v>46.504401137505624</v>
      </c>
      <c r="H45" s="342">
        <f t="shared" si="6"/>
        <v>1617.9593786873074</v>
      </c>
    </row>
    <row r="46" spans="1:17">
      <c r="A46" s="353" t="s">
        <v>187</v>
      </c>
      <c r="B46" s="82">
        <f>Base_Mensuelle!DT13</f>
        <v>4077</v>
      </c>
      <c r="C46" s="82">
        <f>Base_Mensuelle!DU13</f>
        <v>3494.5</v>
      </c>
      <c r="D46" s="344">
        <f>Base_Mensuelle!DV13</f>
        <v>5333</v>
      </c>
      <c r="E46" s="82">
        <f>Base_Mensuelle!DW13</f>
        <v>4050</v>
      </c>
      <c r="F46" s="82">
        <f>Base_Mensuelle!DX13</f>
        <v>4955</v>
      </c>
      <c r="G46" s="1282">
        <f t="shared" si="5"/>
        <v>41.794248104163678</v>
      </c>
      <c r="H46" s="1242">
        <f t="shared" si="6"/>
        <v>21.535442727495703</v>
      </c>
    </row>
    <row r="47" spans="1:17">
      <c r="A47" s="354" t="s">
        <v>128</v>
      </c>
      <c r="B47" s="355">
        <f>SUM(B41:B46)</f>
        <v>160949.48800000001</v>
      </c>
      <c r="C47" s="355">
        <f>SUM(C41:C46)</f>
        <v>164605.65500000003</v>
      </c>
      <c r="D47" s="355">
        <f>SUM(D41:D46)</f>
        <v>165172.924</v>
      </c>
      <c r="E47" s="355">
        <f>SUM(E41:E46)</f>
        <v>174607.82699999999</v>
      </c>
      <c r="F47" s="355">
        <f>SUM(F41:F46)</f>
        <v>191514.935</v>
      </c>
      <c r="G47" s="1277">
        <f t="shared" si="5"/>
        <v>16.347725113089197</v>
      </c>
      <c r="H47" s="342">
        <f t="shared" si="6"/>
        <v>18.990707817598018</v>
      </c>
    </row>
    <row r="48" spans="1:17">
      <c r="A48" s="356" t="s">
        <v>188</v>
      </c>
      <c r="B48" s="147">
        <f>Base_Mensuelle!DT14</f>
        <v>22784.123214285712</v>
      </c>
      <c r="C48" s="147">
        <f>Base_Mensuelle!DU14</f>
        <v>13271.496999999999</v>
      </c>
      <c r="D48" s="210">
        <f>Base_Mensuelle!DV14</f>
        <v>14153.455</v>
      </c>
      <c r="E48" s="147">
        <f>Base_Mensuelle!DW14</f>
        <v>12574.839</v>
      </c>
      <c r="F48" s="147">
        <f>Base_Mensuelle!DX14</f>
        <v>14654.11</v>
      </c>
      <c r="G48" s="1283">
        <f t="shared" si="5"/>
        <v>10.417912915174533</v>
      </c>
      <c r="H48" s="147">
        <f t="shared" si="6"/>
        <v>-35.682800421251969</v>
      </c>
    </row>
    <row r="49" spans="1:8">
      <c r="A49" s="357" t="s">
        <v>189</v>
      </c>
      <c r="B49" s="330"/>
      <c r="C49" s="330"/>
      <c r="D49" s="330"/>
      <c r="E49" s="330"/>
      <c r="F49" s="330"/>
      <c r="G49" s="330"/>
      <c r="H49" s="330"/>
    </row>
    <row r="50" spans="1:8">
      <c r="A50" s="31"/>
      <c r="B50" s="330"/>
      <c r="C50" s="330"/>
      <c r="D50" s="330"/>
      <c r="E50" s="330"/>
      <c r="F50" s="330"/>
      <c r="G50" s="330"/>
      <c r="H50" s="330"/>
    </row>
    <row r="51" spans="1:8">
      <c r="A51" s="358" t="s">
        <v>190</v>
      </c>
      <c r="B51" s="330"/>
      <c r="C51" s="330"/>
      <c r="D51" s="330"/>
      <c r="E51" s="330"/>
      <c r="F51" s="330"/>
      <c r="G51" s="330"/>
      <c r="H51" s="330"/>
    </row>
    <row r="52" spans="1:8">
      <c r="A52" s="358" t="s">
        <v>191</v>
      </c>
      <c r="B52" s="31"/>
      <c r="C52" s="31"/>
      <c r="D52" s="31"/>
      <c r="E52" s="31"/>
      <c r="F52" s="31"/>
      <c r="G52" s="31"/>
      <c r="H52" s="31"/>
    </row>
  </sheetData>
  <mergeCells count="14">
    <mergeCell ref="A26:A27"/>
    <mergeCell ref="B26:F26"/>
    <mergeCell ref="G26:H26"/>
    <mergeCell ref="A39:A40"/>
    <mergeCell ref="B39:F39"/>
    <mergeCell ref="G39:H39"/>
    <mergeCell ref="A1:H1"/>
    <mergeCell ref="A6:A7"/>
    <mergeCell ref="B6:F6"/>
    <mergeCell ref="G6:H6"/>
    <mergeCell ref="A19:A20"/>
    <mergeCell ref="B19:F19"/>
    <mergeCell ref="G19:H19"/>
    <mergeCell ref="A2:H2"/>
  </mergeCells>
  <pageMargins left="0.70866141732283472" right="0.70866141732283472" top="0.74803149606299213" bottom="0.74803149606299213" header="0.31496062992125984" footer="0.31496062992125984"/>
  <pageSetup paperSize="9" scale="70" firstPageNumber="6" orientation="portrait" r:id="rId1"/>
  <headerFooter>
    <oddFooter>&amp;L&amp;8Bulletin trimestriel de conjoncture, 4e trimestre 2023</oddFooter>
  </headerFooter>
  <colBreaks count="1" manualBreakCount="1">
    <brk id="8"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tabColor rgb="FF00B050"/>
  </sheetPr>
  <dimension ref="A1:K59"/>
  <sheetViews>
    <sheetView view="pageBreakPreview" zoomScaleSheetLayoutView="100" workbookViewId="0">
      <selection activeCell="K50" sqref="K50"/>
    </sheetView>
  </sheetViews>
  <sheetFormatPr baseColWidth="10" defaultRowHeight="12.3"/>
  <cols>
    <col min="1" max="1" width="31.27734375" customWidth="1"/>
    <col min="8" max="8" width="11.5546875" customWidth="1"/>
    <col min="11" max="11" width="19.1640625" bestFit="1" customWidth="1"/>
  </cols>
  <sheetData>
    <row r="1" spans="1:11">
      <c r="A1" s="192"/>
      <c r="B1" s="69"/>
      <c r="C1" s="69"/>
      <c r="D1" s="69"/>
      <c r="E1" s="69"/>
      <c r="F1" s="69"/>
      <c r="G1" s="70"/>
      <c r="H1" s="70"/>
      <c r="I1" s="398"/>
    </row>
    <row r="2" spans="1:11">
      <c r="A2" s="68" t="s">
        <v>204</v>
      </c>
      <c r="B2" s="69"/>
      <c r="C2" s="69"/>
      <c r="D2" s="69"/>
      <c r="E2" s="69"/>
      <c r="F2" s="69"/>
      <c r="G2" s="70"/>
      <c r="H2" s="70"/>
      <c r="I2" s="398"/>
    </row>
    <row r="3" spans="1:11">
      <c r="A3" s="68"/>
      <c r="B3" s="69"/>
      <c r="C3" s="69"/>
      <c r="D3" s="69"/>
      <c r="E3" s="69"/>
      <c r="F3" s="69"/>
      <c r="G3" s="70"/>
      <c r="H3" s="70"/>
      <c r="I3" s="69"/>
    </row>
    <row r="4" spans="1:11">
      <c r="A4" s="192"/>
      <c r="B4" s="2067" t="s">
        <v>12</v>
      </c>
      <c r="C4" s="2068"/>
      <c r="D4" s="2068"/>
      <c r="E4" s="2068"/>
      <c r="F4" s="2068"/>
      <c r="G4" s="2070" t="s">
        <v>18</v>
      </c>
      <c r="H4" s="2071"/>
      <c r="I4" s="69"/>
    </row>
    <row r="5" spans="1:11" ht="12.75" customHeight="1">
      <c r="A5" s="400"/>
      <c r="B5" s="144">
        <f>Base_Mensuelle!EL7</f>
        <v>44896</v>
      </c>
      <c r="C5" s="144">
        <f>Base_Mensuelle!EM7</f>
        <v>45170</v>
      </c>
      <c r="D5" s="144">
        <f>Base_Mensuelle!EN7</f>
        <v>45200</v>
      </c>
      <c r="E5" s="144">
        <f>Base_Mensuelle!EO7</f>
        <v>45231</v>
      </c>
      <c r="F5" s="144">
        <f>Base_Mensuelle!EP7</f>
        <v>45261</v>
      </c>
      <c r="G5" s="87" t="s">
        <v>503</v>
      </c>
      <c r="H5" s="118" t="s">
        <v>20</v>
      </c>
      <c r="I5" s="69"/>
      <c r="K5" s="1917"/>
    </row>
    <row r="6" spans="1:11" ht="12.75" customHeight="1">
      <c r="A6" s="383" t="s">
        <v>205</v>
      </c>
      <c r="B6" s="383">
        <f>Base_Mensuelle!EL8</f>
        <v>24817</v>
      </c>
      <c r="C6" s="383">
        <f>Base_Mensuelle!EM8</f>
        <v>22334</v>
      </c>
      <c r="D6" s="383">
        <f>Base_Mensuelle!EN8</f>
        <v>20285</v>
      </c>
      <c r="E6" s="383">
        <f>Base_Mensuelle!EO8</f>
        <v>20056</v>
      </c>
      <c r="F6" s="1608">
        <f>Base_Mensuelle!EP8</f>
        <v>23267</v>
      </c>
      <c r="G6" s="384">
        <f>+IF(C6=0,"",(F6/C6-1)*100)</f>
        <v>4.1774872391868945</v>
      </c>
      <c r="H6" s="200">
        <f>+IF(B6=0,"",(F6/B6-1)*100)</f>
        <v>-6.2457186605955561</v>
      </c>
      <c r="I6" s="1935"/>
      <c r="J6" s="1833"/>
    </row>
    <row r="7" spans="1:11" ht="12.75" customHeight="1">
      <c r="A7" s="1541" t="s">
        <v>206</v>
      </c>
      <c r="B7" s="385">
        <f>Base_Mensuelle!EL9</f>
        <v>20258</v>
      </c>
      <c r="C7" s="385">
        <f>Base_Mensuelle!EM9</f>
        <v>23744</v>
      </c>
      <c r="D7" s="385">
        <f>Base_Mensuelle!EN9</f>
        <v>21307</v>
      </c>
      <c r="E7" s="385">
        <f>Base_Mensuelle!EO9</f>
        <v>20152</v>
      </c>
      <c r="F7" s="1609">
        <f>Base_Mensuelle!EP9</f>
        <v>19147</v>
      </c>
      <c r="G7" s="1278">
        <f>+IF(C7=0,"",(F7/C7-1)*100)</f>
        <v>-19.360680592991919</v>
      </c>
      <c r="H7" s="342">
        <f>+IF(B7=0,"",(F7/B7-1)*100)</f>
        <v>-5.4842531345641206</v>
      </c>
      <c r="I7" s="1935"/>
      <c r="J7" s="1833"/>
    </row>
    <row r="8" spans="1:11">
      <c r="A8" s="386" t="s">
        <v>207</v>
      </c>
      <c r="B8" s="386">
        <f>Base_Mensuelle!EL10</f>
        <v>56382</v>
      </c>
      <c r="C8" s="386">
        <f>Base_Mensuelle!EM10</f>
        <v>55850</v>
      </c>
      <c r="D8" s="386">
        <f>Base_Mensuelle!EN10</f>
        <v>51749</v>
      </c>
      <c r="E8" s="386">
        <f>Base_Mensuelle!EO10</f>
        <v>49929</v>
      </c>
      <c r="F8" s="1610">
        <f>Base_Mensuelle!EP10</f>
        <v>52590</v>
      </c>
      <c r="G8" s="1279">
        <f>+IF(C8=0,"",(F8/C8-1)*100)</f>
        <v>-5.8370635631154855</v>
      </c>
      <c r="H8" s="1242">
        <f>+IF(B8=0,"",(F8/B8-1)*100)</f>
        <v>-6.7255507076726566</v>
      </c>
      <c r="I8" s="1935"/>
      <c r="J8" s="1833"/>
    </row>
    <row r="9" spans="1:11">
      <c r="A9" s="1542" t="s">
        <v>208</v>
      </c>
      <c r="B9" s="388">
        <f>Base_Mensuelle!EL11</f>
        <v>11307</v>
      </c>
      <c r="C9" s="388">
        <f>Base_Mensuelle!EM11</f>
        <v>9772</v>
      </c>
      <c r="D9" s="388">
        <f>Base_Mensuelle!EN11</f>
        <v>10157</v>
      </c>
      <c r="E9" s="388">
        <f>Base_Mensuelle!EO11</f>
        <v>9721</v>
      </c>
      <c r="F9" s="1611">
        <f>Base_Mensuelle!EP11</f>
        <v>10176</v>
      </c>
      <c r="G9" s="389">
        <f>+IF(C9=0,"",(F9/C9-1)*100)</f>
        <v>4.1342611543184526</v>
      </c>
      <c r="H9" s="346">
        <f>+IF(B9=0,"",(F9/B9-1)*100)</f>
        <v>-10.002653223666758</v>
      </c>
      <c r="I9" s="1935"/>
      <c r="J9" s="1833"/>
    </row>
    <row r="10" spans="1:11">
      <c r="A10" s="1472"/>
      <c r="B10" s="69"/>
      <c r="C10" s="69"/>
      <c r="D10" s="69"/>
      <c r="E10" s="69"/>
      <c r="F10" s="69"/>
      <c r="G10" s="70"/>
      <c r="H10" s="769"/>
      <c r="I10" s="1935"/>
      <c r="J10" s="1833"/>
    </row>
    <row r="11" spans="1:11">
      <c r="A11" s="383" t="s">
        <v>209</v>
      </c>
      <c r="B11" s="383">
        <f>Base_Mensuelle!EL12</f>
        <v>297.291</v>
      </c>
      <c r="C11" s="383">
        <f>Base_Mensuelle!EM12</f>
        <v>149.988</v>
      </c>
      <c r="D11" s="383">
        <f>Base_Mensuelle!EN12</f>
        <v>118.13200000000001</v>
      </c>
      <c r="E11" s="383">
        <f>Base_Mensuelle!EO12</f>
        <v>89.445999999999998</v>
      </c>
      <c r="F11" s="383">
        <f>Base_Mensuelle!EP12</f>
        <v>72.245000000000005</v>
      </c>
      <c r="G11" s="384">
        <f>+IF(C11=0,"",(F11/C11-1)*100)</f>
        <v>-51.832813291729998</v>
      </c>
      <c r="H11" s="200">
        <f>+IF(B11=0,"",(F11/B11-1)*100)</f>
        <v>-75.698894349307579</v>
      </c>
      <c r="I11" s="1935"/>
      <c r="J11" s="1833"/>
    </row>
    <row r="12" spans="1:11">
      <c r="A12" s="1541" t="s">
        <v>210</v>
      </c>
      <c r="B12" s="385">
        <f>Base_Mensuelle!EL13</f>
        <v>139.881</v>
      </c>
      <c r="C12" s="385">
        <f>Base_Mensuelle!EM13</f>
        <v>83.870999999999995</v>
      </c>
      <c r="D12" s="385">
        <f>Base_Mensuelle!EN13</f>
        <v>64.102999999999994</v>
      </c>
      <c r="E12" s="385">
        <f>Base_Mensuelle!EO13</f>
        <v>68.314999999999998</v>
      </c>
      <c r="F12" s="385">
        <f>Base_Mensuelle!EP13</f>
        <v>63.058999999999997</v>
      </c>
      <c r="G12" s="1278">
        <f>+IF(C12=0,"",(F12/C12-1)*100)</f>
        <v>-24.814298148346868</v>
      </c>
      <c r="H12" s="342">
        <f>+IF(B12=0,"",(F12/B12-1)*100)</f>
        <v>-54.919538750795319</v>
      </c>
      <c r="I12" s="1935"/>
      <c r="J12" s="1833"/>
    </row>
    <row r="13" spans="1:11">
      <c r="A13" s="386" t="s">
        <v>211</v>
      </c>
      <c r="B13" s="386">
        <f>Base_Mensuelle!EL14</f>
        <v>7.56</v>
      </c>
      <c r="C13" s="386">
        <f>Base_Mensuelle!EM14</f>
        <v>3.6459999999999999</v>
      </c>
      <c r="D13" s="386">
        <f>Base_Mensuelle!EN14</f>
        <v>3.3530000000000002</v>
      </c>
      <c r="E13" s="386">
        <f>Base_Mensuelle!EO14</f>
        <v>2.927</v>
      </c>
      <c r="F13" s="386">
        <f>Base_Mensuelle!EP14</f>
        <v>4.1740000000000004</v>
      </c>
      <c r="G13" s="1279">
        <f t="shared" ref="G13:G14" si="0">+IF(C13=0,"",(F13/C13-1)*100)</f>
        <v>14.481623697202428</v>
      </c>
      <c r="H13" s="1242">
        <f t="shared" ref="H13:H14" si="1">+IF(B13=0,"",(F13/B13-1)*100)</f>
        <v>-44.788359788359777</v>
      </c>
      <c r="I13" s="1935"/>
      <c r="J13" s="1833"/>
    </row>
    <row r="14" spans="1:11">
      <c r="A14" s="1542" t="s">
        <v>212</v>
      </c>
      <c r="B14" s="388">
        <f>Base_Mensuelle!EL15</f>
        <v>8.7789999999999999</v>
      </c>
      <c r="C14" s="388">
        <f>Base_Mensuelle!EM15</f>
        <v>8.266</v>
      </c>
      <c r="D14" s="388">
        <f>Base_Mensuelle!EN15</f>
        <v>9.1199999999999992</v>
      </c>
      <c r="E14" s="388">
        <f>Base_Mensuelle!EO15</f>
        <v>7.0170000000000003</v>
      </c>
      <c r="F14" s="388">
        <f>Base_Mensuelle!EP15</f>
        <v>16.085999999999999</v>
      </c>
      <c r="G14" s="389">
        <f t="shared" si="0"/>
        <v>94.604403580933933</v>
      </c>
      <c r="H14" s="346">
        <f t="shared" si="1"/>
        <v>83.232714432167668</v>
      </c>
      <c r="I14" s="1935"/>
      <c r="J14" s="1833"/>
    </row>
    <row r="15" spans="1:11">
      <c r="A15" s="1573" t="s">
        <v>213</v>
      </c>
      <c r="B15" s="1573">
        <f>Base_Mensuelle!EL16</f>
        <v>453.51100000000002</v>
      </c>
      <c r="C15" s="1573">
        <f>Base_Mensuelle!EM16</f>
        <v>245.77099999999996</v>
      </c>
      <c r="D15" s="1573">
        <f>Base_Mensuelle!EN16</f>
        <v>194.70800000000003</v>
      </c>
      <c r="E15" s="1573">
        <f>Base_Mensuelle!EO16</f>
        <v>167.70499999999998</v>
      </c>
      <c r="F15" s="1573">
        <f>Base_Mensuelle!EP16</f>
        <v>155.56400000000002</v>
      </c>
      <c r="G15" s="1574">
        <f>+IF(C15=0,"",(F15/C15-1)*100)</f>
        <v>-36.703679441431234</v>
      </c>
      <c r="H15" s="207">
        <f>+IF(B15=0,"",(F15/B15-1)*100)</f>
        <v>-65.697855178815942</v>
      </c>
      <c r="I15" s="1935"/>
      <c r="J15" s="1833"/>
    </row>
    <row r="16" spans="1:11">
      <c r="A16" s="414" t="s">
        <v>214</v>
      </c>
      <c r="B16" s="398"/>
      <c r="C16" s="398"/>
      <c r="D16" s="398"/>
      <c r="E16" s="398"/>
      <c r="F16" s="398"/>
      <c r="G16" s="399"/>
      <c r="H16" s="399"/>
      <c r="I16" s="1935"/>
      <c r="J16" s="1833"/>
    </row>
    <row r="17" spans="1:9">
      <c r="A17" s="415"/>
      <c r="B17" s="398"/>
      <c r="C17" s="398"/>
      <c r="D17" s="398"/>
      <c r="E17" s="398"/>
      <c r="F17" s="398"/>
      <c r="G17" s="399"/>
      <c r="H17" s="399"/>
      <c r="I17" s="1935"/>
    </row>
    <row r="18" spans="1:9">
      <c r="A18" s="68" t="s">
        <v>215</v>
      </c>
      <c r="B18" s="69"/>
      <c r="C18" s="69"/>
      <c r="D18" s="69"/>
      <c r="E18" s="69"/>
      <c r="F18" s="69"/>
      <c r="G18" s="70"/>
      <c r="H18" s="399"/>
      <c r="I18" s="1935"/>
    </row>
    <row r="19" spans="1:9">
      <c r="A19" s="68"/>
      <c r="B19" s="69"/>
      <c r="C19" s="69"/>
      <c r="D19" s="69"/>
      <c r="E19" s="69"/>
      <c r="F19" s="69"/>
      <c r="G19" s="70"/>
      <c r="H19" s="399"/>
      <c r="I19" s="1935"/>
    </row>
    <row r="20" spans="1:9" ht="12.75" customHeight="1">
      <c r="A20" s="192"/>
      <c r="B20" s="2067" t="s">
        <v>12</v>
      </c>
      <c r="C20" s="2068"/>
      <c r="D20" s="2068"/>
      <c r="E20" s="2068"/>
      <c r="F20" s="2068"/>
      <c r="G20" s="2070" t="s">
        <v>18</v>
      </c>
      <c r="H20" s="2071"/>
      <c r="I20" s="1935"/>
    </row>
    <row r="21" spans="1:9">
      <c r="A21" s="400"/>
      <c r="B21" s="144">
        <f>Base_Mensuelle!EU6</f>
        <v>44896</v>
      </c>
      <c r="C21" s="144">
        <f>Base_Mensuelle!EV6</f>
        <v>45170</v>
      </c>
      <c r="D21" s="144">
        <f>Base_Mensuelle!EW6</f>
        <v>45200</v>
      </c>
      <c r="E21" s="144">
        <f>Base_Mensuelle!EX6</f>
        <v>45231</v>
      </c>
      <c r="F21" s="144">
        <f>Base_Mensuelle!EY6</f>
        <v>45261</v>
      </c>
      <c r="G21" s="87" t="s">
        <v>503</v>
      </c>
      <c r="H21" s="87" t="s">
        <v>20</v>
      </c>
      <c r="I21" s="1935"/>
    </row>
    <row r="22" spans="1:9">
      <c r="A22" s="383" t="s">
        <v>205</v>
      </c>
      <c r="B22" s="383">
        <f>Base_Mensuelle!EU8</f>
        <v>23664</v>
      </c>
      <c r="C22" s="383">
        <f>Base_Mensuelle!EV8</f>
        <v>20636</v>
      </c>
      <c r="D22" s="383">
        <f>Base_Mensuelle!EW8</f>
        <v>18612</v>
      </c>
      <c r="E22" s="383">
        <f>Base_Mensuelle!EX8</f>
        <v>18303</v>
      </c>
      <c r="F22" s="1608">
        <f>Base_Mensuelle!EY8</f>
        <v>22254</v>
      </c>
      <c r="G22" s="384">
        <f>+IF(C22=0,"",(F22/C22-1)*100)</f>
        <v>7.8406667958906828</v>
      </c>
      <c r="H22" s="200">
        <f>+IF(B22=0,"",(F22/B22-1)*100)</f>
        <v>-5.9584178498985789</v>
      </c>
      <c r="I22" s="1935"/>
    </row>
    <row r="23" spans="1:9">
      <c r="A23" s="1541" t="s">
        <v>206</v>
      </c>
      <c r="B23" s="385">
        <f>Base_Mensuelle!EU9</f>
        <v>19131</v>
      </c>
      <c r="C23" s="385">
        <f>Base_Mensuelle!EV9</f>
        <v>22062</v>
      </c>
      <c r="D23" s="385">
        <f>Base_Mensuelle!EW9</f>
        <v>19633</v>
      </c>
      <c r="E23" s="385">
        <f>Base_Mensuelle!EX9</f>
        <v>18467</v>
      </c>
      <c r="F23" s="1609">
        <f>Base_Mensuelle!EY9</f>
        <v>18100</v>
      </c>
      <c r="G23" s="1278">
        <f>+IF(C23=0,"",(F23/C23-1)*100)</f>
        <v>-17.958480645453722</v>
      </c>
      <c r="H23" s="342">
        <f>+IF(B23=0,"",(F23/B23-1)*100)</f>
        <v>-5.3891589566671954</v>
      </c>
      <c r="I23" s="1935"/>
    </row>
    <row r="24" spans="1:9">
      <c r="A24" s="386" t="s">
        <v>207</v>
      </c>
      <c r="B24" s="386">
        <f>Base_Mensuelle!EU10</f>
        <v>42795</v>
      </c>
      <c r="C24" s="386">
        <f>Base_Mensuelle!EV10</f>
        <v>42698</v>
      </c>
      <c r="D24" s="386">
        <f>Base_Mensuelle!EW10</f>
        <v>38245</v>
      </c>
      <c r="E24" s="386">
        <f>Base_Mensuelle!EX10</f>
        <v>36770</v>
      </c>
      <c r="F24" s="1610">
        <f>Base_Mensuelle!EY10</f>
        <v>40354</v>
      </c>
      <c r="G24" s="1279">
        <f>+IF(C24=0,"",(F24/C24-1)*100)</f>
        <v>-5.4897184879853844</v>
      </c>
      <c r="H24" s="1242">
        <f>+IF(B24=0,"",(F24/B24-1)*100)</f>
        <v>-5.7039373758616669</v>
      </c>
      <c r="I24" s="1935"/>
    </row>
    <row r="25" spans="1:9">
      <c r="A25" s="1542" t="s">
        <v>208</v>
      </c>
      <c r="B25" s="388">
        <f>Base_Mensuelle!EU11</f>
        <v>11016</v>
      </c>
      <c r="C25" s="388">
        <f>Base_Mensuelle!EV11</f>
        <v>9304</v>
      </c>
      <c r="D25" s="388">
        <f>Base_Mensuelle!EW11</f>
        <v>9879</v>
      </c>
      <c r="E25" s="388">
        <f>Base_Mensuelle!EX11</f>
        <v>9204</v>
      </c>
      <c r="F25" s="1611">
        <f>Base_Mensuelle!EY11</f>
        <v>9525</v>
      </c>
      <c r="G25" s="389">
        <f>+IF(C25=0,"",(F25/C25-1)*100)</f>
        <v>2.3753224419604368</v>
      </c>
      <c r="H25" s="346">
        <f>+IF(B25=0,"",(F25/B25-1)*100)</f>
        <v>-13.534858387799565</v>
      </c>
      <c r="I25" s="1935"/>
    </row>
    <row r="26" spans="1:9">
      <c r="A26" s="1472"/>
      <c r="B26" s="69"/>
      <c r="C26" s="69"/>
      <c r="D26" s="69"/>
      <c r="E26" s="69"/>
      <c r="F26" s="69"/>
      <c r="G26" s="70"/>
      <c r="H26" s="769"/>
      <c r="I26" s="1935"/>
    </row>
    <row r="27" spans="1:9">
      <c r="A27" s="383" t="s">
        <v>209</v>
      </c>
      <c r="B27" s="383">
        <f>Base_Mensuelle!EU12</f>
        <v>295.61</v>
      </c>
      <c r="C27" s="383">
        <f>Base_Mensuelle!EV12</f>
        <v>149.988</v>
      </c>
      <c r="D27" s="383">
        <f>Base_Mensuelle!EW12</f>
        <v>118.13200000000001</v>
      </c>
      <c r="E27" s="383">
        <f>Base_Mensuelle!EX12</f>
        <v>89.445999999999998</v>
      </c>
      <c r="F27" s="1608">
        <f>Base_Mensuelle!EY12</f>
        <v>72.245000000000005</v>
      </c>
      <c r="G27" s="384">
        <f>+IF(C27=0,"",(F27/C27-1)*100)</f>
        <v>-51.832813291729998</v>
      </c>
      <c r="H27" s="200">
        <f>+IF(B27=0,"",(F27/B27-1)*100)</f>
        <v>-75.560704982916675</v>
      </c>
      <c r="I27" s="1935"/>
    </row>
    <row r="28" spans="1:9">
      <c r="A28" s="1541" t="s">
        <v>210</v>
      </c>
      <c r="B28" s="385">
        <f>Base_Mensuelle!EU13</f>
        <v>134.416</v>
      </c>
      <c r="C28" s="385">
        <f>Base_Mensuelle!EV13</f>
        <v>83.870999999999995</v>
      </c>
      <c r="D28" s="385">
        <f>Base_Mensuelle!EW13</f>
        <v>64.102999999999994</v>
      </c>
      <c r="E28" s="385">
        <f>Base_Mensuelle!EX13</f>
        <v>68.314999999999998</v>
      </c>
      <c r="F28" s="1609">
        <f>Base_Mensuelle!EY13</f>
        <v>63.058999999999997</v>
      </c>
      <c r="G28" s="1278">
        <f>+IF(C28=0,"",(F28/C28-1)*100)</f>
        <v>-24.814298148346868</v>
      </c>
      <c r="H28" s="342">
        <f>+IF(B28=0,"",(F28/B28-1)*100)</f>
        <v>-53.086686108796563</v>
      </c>
      <c r="I28" s="1935"/>
    </row>
    <row r="29" spans="1:9">
      <c r="A29" s="386" t="s">
        <v>211</v>
      </c>
      <c r="B29" s="386">
        <f>Base_Mensuelle!EU14</f>
        <v>7.56</v>
      </c>
      <c r="C29" s="386">
        <f>Base_Mensuelle!EV14</f>
        <v>3.6459999999999999</v>
      </c>
      <c r="D29" s="386">
        <f>Base_Mensuelle!EW14</f>
        <v>3.3530000000000002</v>
      </c>
      <c r="E29" s="386">
        <f>Base_Mensuelle!EX14</f>
        <v>2.927</v>
      </c>
      <c r="F29" s="1610">
        <f>Base_Mensuelle!EY14</f>
        <v>4.1740000000000004</v>
      </c>
      <c r="G29" s="1279">
        <f t="shared" ref="G29:G30" si="2">+IF(C29=0,"",(F29/C29-1)*100)</f>
        <v>14.481623697202428</v>
      </c>
      <c r="H29" s="1242">
        <f t="shared" ref="H29:H30" si="3">+IF(B29=0,"",(F29/B29-1)*100)</f>
        <v>-44.788359788359777</v>
      </c>
      <c r="I29" s="1935"/>
    </row>
    <row r="30" spans="1:9">
      <c r="A30" s="1542" t="s">
        <v>212</v>
      </c>
      <c r="B30" s="388">
        <f>Base_Mensuelle!EU15</f>
        <v>8.7789999999999999</v>
      </c>
      <c r="C30" s="388">
        <f>Base_Mensuelle!EV15</f>
        <v>8.266</v>
      </c>
      <c r="D30" s="388">
        <f>Base_Mensuelle!EW15</f>
        <v>9.1199999999999992</v>
      </c>
      <c r="E30" s="388">
        <f>Base_Mensuelle!EX15</f>
        <v>7.0170000000000003</v>
      </c>
      <c r="F30" s="1611">
        <f>Base_Mensuelle!EY15</f>
        <v>16.085999999999999</v>
      </c>
      <c r="G30" s="389">
        <f t="shared" si="2"/>
        <v>94.604403580933933</v>
      </c>
      <c r="H30" s="346">
        <f t="shared" si="3"/>
        <v>83.232714432167668</v>
      </c>
      <c r="I30" s="1935"/>
    </row>
    <row r="31" spans="1:9">
      <c r="A31" s="1573" t="s">
        <v>213</v>
      </c>
      <c r="B31" s="1573">
        <f>SUM(B27:B30)</f>
        <v>446.36500000000001</v>
      </c>
      <c r="C31" s="1573">
        <f>SUM(C27:C30)</f>
        <v>245.77099999999996</v>
      </c>
      <c r="D31" s="1573">
        <f>SUM(D27:D30)</f>
        <v>194.70800000000003</v>
      </c>
      <c r="E31" s="1573">
        <f>SUM(E27:E30)</f>
        <v>167.70499999999998</v>
      </c>
      <c r="F31" s="1573">
        <f>SUM(F27:F30)</f>
        <v>155.56400000000002</v>
      </c>
      <c r="G31" s="1574">
        <f>+IF(C31=0,"",(F31/C31-1)*100)</f>
        <v>-36.703679441431234</v>
      </c>
      <c r="H31" s="207">
        <f>+IF(B31=0,"",(F31/B31-1)*100)</f>
        <v>-65.148701175047321</v>
      </c>
      <c r="I31" s="1935"/>
    </row>
    <row r="32" spans="1:9">
      <c r="A32" s="414" t="s">
        <v>216</v>
      </c>
      <c r="C32" s="398"/>
      <c r="D32" s="398"/>
      <c r="E32" s="398"/>
      <c r="F32" s="398"/>
      <c r="G32" s="399"/>
      <c r="H32" s="399"/>
      <c r="I32" s="1935"/>
    </row>
    <row r="33" spans="1:11">
      <c r="I33" s="1935"/>
    </row>
    <row r="34" spans="1:11">
      <c r="I34" s="1935"/>
      <c r="K34" s="398"/>
    </row>
    <row r="35" spans="1:11">
      <c r="A35" s="68" t="s">
        <v>515</v>
      </c>
      <c r="B35" s="69"/>
      <c r="C35" s="69"/>
      <c r="D35" s="69"/>
      <c r="E35" s="69"/>
      <c r="F35" s="69"/>
      <c r="G35" s="70"/>
      <c r="H35" s="399"/>
      <c r="I35" s="1935"/>
    </row>
    <row r="36" spans="1:11">
      <c r="A36" s="68"/>
      <c r="B36" s="69"/>
      <c r="C36" s="69"/>
      <c r="D36" s="69"/>
      <c r="E36" s="69"/>
      <c r="F36" s="69"/>
      <c r="G36" s="70"/>
      <c r="H36" s="399"/>
      <c r="I36" s="1935"/>
    </row>
    <row r="37" spans="1:11">
      <c r="A37" s="192"/>
      <c r="B37" s="2067" t="s">
        <v>12</v>
      </c>
      <c r="C37" s="2068"/>
      <c r="D37" s="2068"/>
      <c r="E37" s="2068"/>
      <c r="F37" s="2068"/>
      <c r="G37" s="2070" t="s">
        <v>18</v>
      </c>
      <c r="H37" s="2071"/>
      <c r="I37" s="1935"/>
    </row>
    <row r="38" spans="1:11">
      <c r="A38" s="400"/>
      <c r="B38" s="144">
        <f>Base_Mensuelle!FD7</f>
        <v>44896</v>
      </c>
      <c r="C38" s="518">
        <f>Base_Mensuelle!FE7</f>
        <v>45170</v>
      </c>
      <c r="D38" s="518">
        <f>Base_Mensuelle!FF7</f>
        <v>45200</v>
      </c>
      <c r="E38" s="518">
        <f>Base_Mensuelle!FG7</f>
        <v>45231</v>
      </c>
      <c r="F38" s="519">
        <f>Base_Mensuelle!FH7</f>
        <v>45261</v>
      </c>
      <c r="G38" s="527" t="s">
        <v>503</v>
      </c>
      <c r="H38" s="118" t="s">
        <v>20</v>
      </c>
      <c r="I38" s="1935"/>
    </row>
    <row r="39" spans="1:11">
      <c r="A39" s="383" t="s">
        <v>205</v>
      </c>
      <c r="B39" s="383">
        <f>Base_Mensuelle!FD8</f>
        <v>1153</v>
      </c>
      <c r="C39" s="383">
        <f>Base_Mensuelle!FE8</f>
        <v>1698</v>
      </c>
      <c r="D39" s="383">
        <f>Base_Mensuelle!FF8</f>
        <v>1673</v>
      </c>
      <c r="E39" s="383">
        <f>Base_Mensuelle!FG8</f>
        <v>1753</v>
      </c>
      <c r="F39" s="1608">
        <f>Base_Mensuelle!FH8</f>
        <v>1013</v>
      </c>
      <c r="G39" s="384">
        <f>+IF(C39=0,"",(F39/C39-1)*100)</f>
        <v>-40.341578327444047</v>
      </c>
      <c r="H39" s="200">
        <f>+IF(B39=0,"",(F39/B39-1)*100)</f>
        <v>-12.142237640936681</v>
      </c>
      <c r="I39" s="1935"/>
    </row>
    <row r="40" spans="1:11">
      <c r="A40" s="1541" t="s">
        <v>206</v>
      </c>
      <c r="B40" s="385">
        <f>Base_Mensuelle!FD9</f>
        <v>1127</v>
      </c>
      <c r="C40" s="385">
        <f>Base_Mensuelle!FE9</f>
        <v>1682</v>
      </c>
      <c r="D40" s="385">
        <f>Base_Mensuelle!FF9</f>
        <v>1674</v>
      </c>
      <c r="E40" s="385">
        <f>Base_Mensuelle!FG9</f>
        <v>1685</v>
      </c>
      <c r="F40" s="1609">
        <f>Base_Mensuelle!FH9</f>
        <v>1047</v>
      </c>
      <c r="G40" s="1278">
        <f>+IF(C40=0,"",(F40/C40-1)*100)</f>
        <v>-37.752675386444714</v>
      </c>
      <c r="H40" s="342">
        <f>+IF(B40=0,"",(F40/B40-1)*100)</f>
        <v>-7.098491570541265</v>
      </c>
      <c r="I40" s="1935"/>
    </row>
    <row r="41" spans="1:11">
      <c r="A41" s="386" t="s">
        <v>207</v>
      </c>
      <c r="B41" s="386">
        <f>Base_Mensuelle!FD10</f>
        <v>2280</v>
      </c>
      <c r="C41" s="386">
        <f>Base_Mensuelle!FE10</f>
        <v>3380</v>
      </c>
      <c r="D41" s="386">
        <f>Base_Mensuelle!FF10</f>
        <v>3347</v>
      </c>
      <c r="E41" s="386">
        <f>Base_Mensuelle!FG10</f>
        <v>3438</v>
      </c>
      <c r="F41" s="1610">
        <f>Base_Mensuelle!FH10</f>
        <v>2060</v>
      </c>
      <c r="G41" s="1279">
        <f>+IF(C41=0,"",(F41/C41-1)*100)</f>
        <v>-39.053254437869825</v>
      </c>
      <c r="H41" s="1242">
        <f>+IF(B41=0,"",(F41/B41-1)*100)</f>
        <v>-9.649122807017541</v>
      </c>
      <c r="I41" s="1935"/>
    </row>
    <row r="42" spans="1:11">
      <c r="A42" s="1542" t="s">
        <v>208</v>
      </c>
      <c r="B42" s="388">
        <f>Base_Mensuelle!FD11</f>
        <v>291</v>
      </c>
      <c r="C42" s="388">
        <f>Base_Mensuelle!FE11</f>
        <v>468</v>
      </c>
      <c r="D42" s="388">
        <f>Base_Mensuelle!FF11</f>
        <v>278</v>
      </c>
      <c r="E42" s="388">
        <f>Base_Mensuelle!FG11</f>
        <v>517</v>
      </c>
      <c r="F42" s="1611">
        <f>Base_Mensuelle!FH11</f>
        <v>651</v>
      </c>
      <c r="G42" s="389">
        <f>+IF(C42=0,"",(F42/C42-1)*100)</f>
        <v>39.102564102564095</v>
      </c>
      <c r="H42" s="346">
        <f>+IF(B42=0,"",(F42/B42-1)*100)</f>
        <v>123.71134020618557</v>
      </c>
      <c r="I42" s="1935"/>
    </row>
    <row r="43" spans="1:11">
      <c r="A43" s="1472"/>
      <c r="B43" s="69"/>
      <c r="C43" s="69"/>
      <c r="D43" s="69"/>
      <c r="E43" s="69"/>
      <c r="F43" s="69"/>
      <c r="G43" s="70"/>
      <c r="H43" s="769"/>
      <c r="I43" s="1935"/>
    </row>
    <row r="44" spans="1:11">
      <c r="A44" s="383" t="s">
        <v>209</v>
      </c>
      <c r="B44" s="383">
        <f>Base_Mensuelle!FD13</f>
        <v>5.4649999999999999</v>
      </c>
      <c r="C44" s="383">
        <f>Base_Mensuelle!FE13</f>
        <v>0</v>
      </c>
      <c r="D44" s="383">
        <f>Base_Mensuelle!FF13</f>
        <v>0</v>
      </c>
      <c r="E44" s="383">
        <f>Base_Mensuelle!FG13</f>
        <v>0</v>
      </c>
      <c r="F44" s="383">
        <f>Base_Mensuelle!FH13</f>
        <v>0</v>
      </c>
      <c r="G44" s="384"/>
      <c r="H44" s="200"/>
      <c r="I44" s="1935"/>
    </row>
    <row r="45" spans="1:11">
      <c r="A45" s="1541" t="s">
        <v>210</v>
      </c>
      <c r="B45" s="385">
        <f>Base_Mensuelle!FD14</f>
        <v>0</v>
      </c>
      <c r="C45" s="385">
        <f>Base_Mensuelle!FE14</f>
        <v>0</v>
      </c>
      <c r="D45" s="385">
        <f>Base_Mensuelle!FF14</f>
        <v>0</v>
      </c>
      <c r="E45" s="385">
        <f>Base_Mensuelle!FG14</f>
        <v>0</v>
      </c>
      <c r="F45" s="385">
        <f>Base_Mensuelle!FH14</f>
        <v>0</v>
      </c>
      <c r="G45" s="1278"/>
      <c r="H45" s="342"/>
      <c r="I45" s="1935"/>
    </row>
    <row r="46" spans="1:11">
      <c r="A46" s="386" t="s">
        <v>211</v>
      </c>
      <c r="B46" s="386">
        <f>Base_Mensuelle!FD15</f>
        <v>0</v>
      </c>
      <c r="C46" s="386">
        <f>Base_Mensuelle!FE15</f>
        <v>0</v>
      </c>
      <c r="D46" s="386">
        <f>Base_Mensuelle!FF15</f>
        <v>0</v>
      </c>
      <c r="E46" s="386">
        <f>Base_Mensuelle!FG15</f>
        <v>0</v>
      </c>
      <c r="F46" s="386">
        <f>Base_Mensuelle!FH15</f>
        <v>0</v>
      </c>
      <c r="G46" s="1279"/>
      <c r="H46" s="1242"/>
      <c r="I46" s="1935"/>
    </row>
    <row r="47" spans="1:11">
      <c r="A47" s="1542" t="s">
        <v>212</v>
      </c>
      <c r="B47" s="1602">
        <f>Base_Mensuelle!FD16</f>
        <v>7.1459999999999999</v>
      </c>
      <c r="C47" s="1602">
        <f>Base_Mensuelle!FE16</f>
        <v>0</v>
      </c>
      <c r="D47" s="388">
        <f>Base_Mensuelle!FF16</f>
        <v>0</v>
      </c>
      <c r="E47" s="388">
        <f>Base_Mensuelle!FG16</f>
        <v>0</v>
      </c>
      <c r="F47" s="388">
        <f>Base_Mensuelle!FH16</f>
        <v>0</v>
      </c>
      <c r="G47" s="389"/>
      <c r="H47" s="346"/>
      <c r="I47" s="1935"/>
    </row>
    <row r="48" spans="1:11">
      <c r="A48" s="1573" t="s">
        <v>516</v>
      </c>
      <c r="B48" s="1573">
        <f>SUM(B44:B47)</f>
        <v>12.611000000000001</v>
      </c>
      <c r="C48" s="1573">
        <f>SUM(C44:C47)</f>
        <v>0</v>
      </c>
      <c r="D48" s="1573">
        <f>SUM(D44:D47)</f>
        <v>0</v>
      </c>
      <c r="E48" s="1573">
        <f>SUM(E44:E47)</f>
        <v>0</v>
      </c>
      <c r="F48" s="1573">
        <f>SUM(F44:F47)</f>
        <v>0</v>
      </c>
      <c r="G48" s="1574"/>
      <c r="H48" s="207"/>
      <c r="I48" s="1935"/>
    </row>
    <row r="49" spans="1:8" ht="12.6" thickBot="1">
      <c r="A49" s="414" t="s">
        <v>216</v>
      </c>
      <c r="B49" s="398"/>
      <c r="C49" s="398"/>
      <c r="D49" s="398"/>
      <c r="E49" s="398"/>
      <c r="F49" s="398"/>
      <c r="G49" s="399"/>
      <c r="H49" s="399"/>
    </row>
    <row r="50" spans="1:8" ht="12.6" thickBot="1">
      <c r="A50" s="395"/>
      <c r="B50" s="396"/>
      <c r="C50" s="396"/>
      <c r="D50" s="396"/>
      <c r="E50" s="396"/>
      <c r="F50" s="396"/>
      <c r="G50" s="396"/>
      <c r="H50" s="397"/>
    </row>
    <row r="59" spans="1:8" ht="13.5" customHeight="1"/>
  </sheetData>
  <mergeCells count="6">
    <mergeCell ref="B37:F37"/>
    <mergeCell ref="G37:H37"/>
    <mergeCell ref="B4:F4"/>
    <mergeCell ref="G4:H4"/>
    <mergeCell ref="B20:F20"/>
    <mergeCell ref="G20:H20"/>
  </mergeCells>
  <pageMargins left="0.70866141732283472" right="0.70866141732283472" top="0.74803149606299213" bottom="0.74803149606299213" header="0.31496062992125984" footer="0.31496062992125984"/>
  <pageSetup paperSize="9" scale="70" firstPageNumber="6" orientation="portrait" r:id="rId1"/>
  <headerFooter>
    <oddFooter>&amp;L&amp;8Bulletin trimestriel de conjoncture, 4e trimestre 2023</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00B050"/>
  </sheetPr>
  <dimension ref="A1:I60"/>
  <sheetViews>
    <sheetView view="pageBreakPreview" topLeftCell="A34" zoomScaleSheetLayoutView="100" workbookViewId="0">
      <selection activeCell="K50" sqref="K50"/>
    </sheetView>
  </sheetViews>
  <sheetFormatPr baseColWidth="10" defaultRowHeight="12.3"/>
  <cols>
    <col min="1" max="1" width="21" customWidth="1"/>
  </cols>
  <sheetData>
    <row r="1" spans="1:9">
      <c r="A1" s="86" t="s">
        <v>598</v>
      </c>
      <c r="B1" s="398"/>
      <c r="C1" s="398"/>
      <c r="D1" s="398"/>
      <c r="E1" s="398"/>
      <c r="F1" s="398"/>
      <c r="G1" s="398"/>
      <c r="H1" s="398"/>
      <c r="I1" s="398"/>
    </row>
    <row r="2" spans="1:9">
      <c r="A2" s="86"/>
      <c r="B2" s="398"/>
      <c r="C2" s="398"/>
      <c r="D2" s="398"/>
      <c r="E2" s="398"/>
      <c r="F2" s="398"/>
      <c r="G2" s="398"/>
      <c r="H2" s="398"/>
      <c r="I2" s="398"/>
    </row>
    <row r="3" spans="1:9">
      <c r="A3" s="192"/>
      <c r="B3" s="2079" t="s">
        <v>527</v>
      </c>
      <c r="C3" s="2080"/>
      <c r="D3" s="2080"/>
      <c r="E3" s="2080"/>
      <c r="F3" s="2081"/>
      <c r="G3" s="2064" t="s">
        <v>18</v>
      </c>
      <c r="H3" s="2088"/>
      <c r="I3" s="398"/>
    </row>
    <row r="4" spans="1:9">
      <c r="A4" s="400"/>
      <c r="B4" s="690" t="str">
        <f>Base_Trimestrielle!CF40</f>
        <v>3T2022</v>
      </c>
      <c r="C4" s="690" t="str">
        <f>Base_Trimestrielle!CG40</f>
        <v>4T2022</v>
      </c>
      <c r="D4" s="690" t="str">
        <f>Base_Trimestrielle!CH40</f>
        <v>1T2023</v>
      </c>
      <c r="E4" s="832" t="str">
        <f>Base_Trimestrielle!CI40</f>
        <v>2T2023</v>
      </c>
      <c r="F4" s="832" t="str">
        <f>Base_Trimestrielle!CJ40</f>
        <v>3T2023</v>
      </c>
      <c r="G4" s="876" t="s">
        <v>503</v>
      </c>
      <c r="H4" s="876" t="s">
        <v>20</v>
      </c>
    </row>
    <row r="5" spans="1:9">
      <c r="A5" s="1603" t="s">
        <v>599</v>
      </c>
      <c r="B5" s="1674">
        <f>Base_Trimestrielle!CF44</f>
        <v>82323</v>
      </c>
      <c r="C5" s="1674">
        <f>Base_Trimestrielle!CG44</f>
        <v>82473</v>
      </c>
      <c r="D5" s="1674">
        <f>Base_Trimestrielle!CH44</f>
        <v>82143</v>
      </c>
      <c r="E5" s="1674">
        <f>Base_Trimestrielle!CI44</f>
        <v>81884</v>
      </c>
      <c r="F5" s="1674">
        <f>Base_Trimestrielle!CJ44</f>
        <v>81913</v>
      </c>
      <c r="G5" s="1675">
        <f>+IF(E5=0,"",(F5/E5-1)*100)</f>
        <v>3.5415954276785122E-2</v>
      </c>
      <c r="H5" s="1675">
        <f>+IF(B5=0,"",(F5/B5-1)*100)</f>
        <v>-0.49803821532257153</v>
      </c>
    </row>
    <row r="6" spans="1:9" ht="24.6">
      <c r="A6" s="1604" t="s">
        <v>600</v>
      </c>
      <c r="B6" s="1680">
        <f>Base_Trimestrielle!CF45</f>
        <v>25680876</v>
      </c>
      <c r="C6" s="1680">
        <f>Base_Trimestrielle!CG45</f>
        <v>25659436</v>
      </c>
      <c r="D6" s="1680">
        <f>Base_Trimestrielle!CH45</f>
        <v>26044508</v>
      </c>
      <c r="E6" s="1680">
        <f>Base_Trimestrielle!CI45</f>
        <v>26308462</v>
      </c>
      <c r="F6" s="1680">
        <f>Base_Trimestrielle!CJ45</f>
        <v>26427599</v>
      </c>
      <c r="G6" s="1678">
        <f>+IF(E6=0,"",(F6/E6-1)*100)</f>
        <v>0.45284669244443077</v>
      </c>
      <c r="H6" s="1678">
        <f>+IF(B6=0,"",(F6/B6-1)*100)</f>
        <v>2.9077006563171803</v>
      </c>
    </row>
    <row r="7" spans="1:9" ht="24.6">
      <c r="A7" s="1603" t="s">
        <v>601</v>
      </c>
      <c r="B7" s="1674">
        <f>Base_Trimestrielle!CF46</f>
        <v>16164539</v>
      </c>
      <c r="C7" s="1674">
        <f>Base_Trimestrielle!CG46</f>
        <v>16358457</v>
      </c>
      <c r="D7" s="1674">
        <f>Base_Trimestrielle!CH46</f>
        <v>17060341</v>
      </c>
      <c r="E7" s="1674">
        <f>Base_Trimestrielle!CI46</f>
        <v>17599050</v>
      </c>
      <c r="F7" s="1674">
        <f>Base_Trimestrielle!CJ46</f>
        <v>17805486</v>
      </c>
      <c r="G7" s="1675">
        <f>+IF(E7=0,"",(F7/E7-1)*100)</f>
        <v>1.1729951332600352</v>
      </c>
      <c r="H7" s="1675">
        <f>+IF(B7=0,"",(F7/B7-1)*100)</f>
        <v>10.151523653102634</v>
      </c>
    </row>
    <row r="8" spans="1:9" ht="14.4">
      <c r="A8" s="1887" t="s">
        <v>1063</v>
      </c>
      <c r="B8" s="69"/>
      <c r="C8" s="69"/>
      <c r="D8" s="69"/>
      <c r="E8" s="69"/>
      <c r="F8" s="69"/>
      <c r="G8" s="69"/>
      <c r="H8" s="69"/>
      <c r="I8" s="69"/>
    </row>
    <row r="9" spans="1:9">
      <c r="A9" s="878"/>
      <c r="B9" s="69"/>
      <c r="C9" s="69"/>
      <c r="D9" s="69"/>
      <c r="E9" s="69"/>
      <c r="F9" s="69"/>
      <c r="G9" s="69"/>
      <c r="H9" s="69"/>
      <c r="I9" s="69"/>
    </row>
    <row r="10" spans="1:9">
      <c r="A10" s="409"/>
      <c r="B10" s="69"/>
      <c r="C10" s="69"/>
      <c r="D10" s="69"/>
      <c r="E10" s="69"/>
      <c r="F10" s="69"/>
      <c r="G10" s="69"/>
      <c r="H10" s="69"/>
      <c r="I10" s="69"/>
    </row>
    <row r="11" spans="1:9">
      <c r="A11" s="409"/>
      <c r="B11" s="69"/>
      <c r="C11" s="69"/>
      <c r="D11" s="69"/>
      <c r="E11" s="69"/>
      <c r="F11" s="69"/>
      <c r="G11" s="69"/>
      <c r="H11" s="69"/>
      <c r="I11" s="69"/>
    </row>
    <row r="12" spans="1:9">
      <c r="A12" s="409"/>
      <c r="B12" s="69"/>
      <c r="C12" s="69"/>
      <c r="D12" s="69"/>
      <c r="E12" s="69"/>
      <c r="F12" s="69"/>
      <c r="G12" s="69"/>
      <c r="H12" s="69"/>
      <c r="I12" s="69"/>
    </row>
    <row r="13" spans="1:9">
      <c r="A13" s="409"/>
      <c r="B13" s="69"/>
      <c r="C13" s="69"/>
      <c r="D13" s="69"/>
      <c r="E13" s="69"/>
      <c r="F13" s="69"/>
      <c r="G13" s="69"/>
      <c r="H13" s="69"/>
      <c r="I13" s="69"/>
    </row>
    <row r="14" spans="1:9">
      <c r="A14" s="409"/>
      <c r="B14" s="69"/>
      <c r="C14" s="69"/>
      <c r="D14" s="69"/>
      <c r="E14" s="69"/>
      <c r="F14" s="69"/>
      <c r="G14" s="69"/>
      <c r="H14" s="69"/>
      <c r="I14" s="69"/>
    </row>
    <row r="15" spans="1:9">
      <c r="A15" s="409"/>
      <c r="B15" s="69"/>
      <c r="C15" s="69"/>
      <c r="D15" s="69"/>
      <c r="E15" s="69"/>
      <c r="F15" s="69"/>
      <c r="G15" s="69"/>
      <c r="H15" s="69"/>
      <c r="I15" s="69"/>
    </row>
    <row r="16" spans="1:9">
      <c r="A16" s="409"/>
      <c r="B16" s="69"/>
      <c r="C16" s="69"/>
      <c r="D16" s="69"/>
      <c r="E16" s="69"/>
      <c r="F16" s="69"/>
      <c r="G16" s="69"/>
      <c r="H16" s="69"/>
      <c r="I16" s="69"/>
    </row>
    <row r="17" spans="1:9">
      <c r="A17" s="409"/>
      <c r="B17" s="69"/>
      <c r="C17" s="69"/>
      <c r="D17" s="69"/>
      <c r="E17" s="69"/>
      <c r="F17" s="69"/>
      <c r="G17" s="69"/>
      <c r="H17" s="69"/>
      <c r="I17" s="69"/>
    </row>
    <row r="18" spans="1:9">
      <c r="A18" s="409"/>
      <c r="B18" s="69"/>
      <c r="C18" s="69"/>
      <c r="D18" s="69"/>
      <c r="E18" s="69"/>
      <c r="F18" s="69"/>
      <c r="G18" s="69"/>
      <c r="H18" s="69"/>
      <c r="I18" s="69"/>
    </row>
    <row r="19" spans="1:9">
      <c r="A19" s="409"/>
      <c r="B19" s="69"/>
      <c r="C19" s="69"/>
      <c r="D19" s="69"/>
      <c r="E19" s="69"/>
      <c r="F19" s="69"/>
      <c r="G19" s="69"/>
      <c r="H19" s="69"/>
      <c r="I19" s="69"/>
    </row>
    <row r="20" spans="1:9">
      <c r="A20" s="409"/>
      <c r="B20" s="69"/>
      <c r="C20" s="69"/>
      <c r="D20" s="69"/>
      <c r="E20" s="69"/>
      <c r="F20" s="69"/>
      <c r="G20" s="69"/>
      <c r="H20" s="69"/>
      <c r="I20" s="69"/>
    </row>
    <row r="21" spans="1:9">
      <c r="A21" s="409"/>
      <c r="B21" s="69"/>
      <c r="C21" s="69"/>
      <c r="D21" s="69"/>
      <c r="E21" s="69"/>
      <c r="F21" s="69"/>
      <c r="G21" s="69"/>
      <c r="H21" s="69"/>
      <c r="I21" s="69"/>
    </row>
    <row r="22" spans="1:9">
      <c r="A22" s="409"/>
      <c r="B22" s="69"/>
      <c r="C22" s="69"/>
      <c r="D22" s="69"/>
      <c r="E22" s="69"/>
      <c r="F22" s="69"/>
      <c r="G22" s="69"/>
      <c r="H22" s="69"/>
      <c r="I22" s="69"/>
    </row>
    <row r="23" spans="1:9">
      <c r="A23" s="409"/>
      <c r="B23" s="69"/>
      <c r="C23" s="69"/>
      <c r="D23" s="69"/>
      <c r="E23" s="69"/>
      <c r="F23" s="69"/>
      <c r="G23" s="69"/>
      <c r="H23" s="69"/>
      <c r="I23" s="69"/>
    </row>
    <row r="24" spans="1:9">
      <c r="A24" s="409"/>
      <c r="B24" s="69"/>
      <c r="C24" s="69"/>
      <c r="D24" s="69"/>
      <c r="E24" s="69"/>
      <c r="F24" s="69"/>
      <c r="G24" s="69"/>
      <c r="H24" s="69"/>
      <c r="I24" s="69"/>
    </row>
    <row r="25" spans="1:9">
      <c r="A25" s="409"/>
      <c r="B25" s="69"/>
      <c r="C25" s="69"/>
      <c r="D25" s="69"/>
      <c r="E25" s="69"/>
      <c r="F25" s="69"/>
      <c r="G25" s="69"/>
      <c r="H25" s="69"/>
      <c r="I25" s="69"/>
    </row>
    <row r="26" spans="1:9">
      <c r="A26" s="415"/>
      <c r="B26" s="879"/>
      <c r="C26" s="398"/>
      <c r="D26" s="398"/>
      <c r="E26" s="398"/>
      <c r="F26" s="398"/>
      <c r="G26" s="398"/>
      <c r="H26" s="398"/>
      <c r="I26" s="398"/>
    </row>
    <row r="27" spans="1:9">
      <c r="A27" s="415"/>
      <c r="B27" s="415"/>
      <c r="C27" s="415"/>
      <c r="D27" s="415"/>
      <c r="E27" s="415"/>
      <c r="F27" s="415"/>
      <c r="G27" s="415"/>
      <c r="H27" s="415"/>
      <c r="I27" s="415"/>
    </row>
    <row r="28" spans="1:9">
      <c r="A28" s="415"/>
      <c r="B28" s="415"/>
      <c r="C28" s="415"/>
      <c r="D28" s="415"/>
      <c r="E28" s="415"/>
      <c r="F28" s="415"/>
      <c r="G28" s="415"/>
      <c r="H28" s="415"/>
      <c r="I28" s="415"/>
    </row>
    <row r="29" spans="1:9">
      <c r="A29" s="415"/>
      <c r="B29" s="415"/>
      <c r="C29" s="415"/>
      <c r="D29" s="415"/>
      <c r="E29" s="415"/>
      <c r="F29" s="415"/>
      <c r="G29" s="415"/>
      <c r="H29" s="415"/>
      <c r="I29" s="415"/>
    </row>
    <row r="30" spans="1:9">
      <c r="A30" s="415"/>
      <c r="B30" s="415"/>
      <c r="C30" s="415"/>
      <c r="D30" s="415"/>
      <c r="E30" s="415"/>
      <c r="F30" s="415"/>
      <c r="G30" s="415"/>
      <c r="H30" s="415"/>
      <c r="I30" s="415"/>
    </row>
    <row r="31" spans="1:9" ht="12.6" thickBot="1">
      <c r="A31" s="415"/>
      <c r="B31" s="415"/>
      <c r="C31" s="415"/>
      <c r="D31" s="415"/>
      <c r="E31" s="415"/>
      <c r="F31" s="415"/>
      <c r="G31" s="415"/>
      <c r="H31" s="415"/>
      <c r="I31" s="415"/>
    </row>
    <row r="32" spans="1:9" ht="12.6" thickBot="1">
      <c r="A32" s="395"/>
      <c r="B32" s="396"/>
      <c r="C32" s="396"/>
      <c r="D32" s="396"/>
      <c r="E32" s="396"/>
      <c r="F32" s="396"/>
      <c r="G32" s="396"/>
      <c r="H32" s="397"/>
      <c r="I32" s="415"/>
    </row>
    <row r="33" spans="1:9" ht="11.25" customHeight="1">
      <c r="A33" s="415"/>
      <c r="B33" s="415"/>
      <c r="C33" s="415"/>
      <c r="D33" s="415"/>
      <c r="E33" s="415"/>
      <c r="F33" s="415"/>
      <c r="G33" s="415"/>
      <c r="H33" s="415"/>
      <c r="I33" s="415"/>
    </row>
    <row r="34" spans="1:9">
      <c r="A34" s="415"/>
      <c r="B34" s="415"/>
      <c r="C34" s="415"/>
      <c r="D34" s="415"/>
      <c r="E34" s="415"/>
      <c r="F34" s="415"/>
      <c r="G34" s="415"/>
      <c r="H34" s="415"/>
      <c r="I34" s="415"/>
    </row>
    <row r="35" spans="1:9">
      <c r="A35" s="415"/>
      <c r="B35" s="415"/>
      <c r="C35" s="415"/>
      <c r="D35" s="415"/>
      <c r="E35" s="415"/>
      <c r="F35" s="415"/>
      <c r="G35" s="415"/>
      <c r="H35" s="415"/>
      <c r="I35" s="415"/>
    </row>
    <row r="36" spans="1:9">
      <c r="A36" s="415"/>
      <c r="B36" s="415"/>
      <c r="C36" s="415"/>
      <c r="D36" s="415"/>
      <c r="E36" s="415"/>
      <c r="F36" s="415"/>
      <c r="G36" s="415"/>
      <c r="H36" s="415"/>
      <c r="I36" s="415"/>
    </row>
    <row r="37" spans="1:9">
      <c r="A37" s="415"/>
      <c r="B37" s="415"/>
      <c r="C37" s="415"/>
      <c r="D37" s="415"/>
      <c r="E37" s="415"/>
      <c r="F37" s="415"/>
      <c r="G37" s="415"/>
      <c r="H37" s="415"/>
      <c r="I37" s="415"/>
    </row>
    <row r="38" spans="1:9">
      <c r="A38" s="415"/>
      <c r="B38" s="415"/>
      <c r="C38" s="415"/>
      <c r="D38" s="415"/>
      <c r="E38" s="415"/>
      <c r="F38" s="415"/>
      <c r="G38" s="415"/>
      <c r="H38" s="415"/>
      <c r="I38" s="415"/>
    </row>
    <row r="39" spans="1:9">
      <c r="A39" s="415"/>
      <c r="B39" s="415"/>
      <c r="C39" s="415"/>
      <c r="D39" s="415"/>
      <c r="E39" s="415"/>
      <c r="F39" s="415"/>
      <c r="G39" s="415"/>
      <c r="H39" s="415"/>
      <c r="I39" s="415"/>
    </row>
    <row r="40" spans="1:9">
      <c r="A40" s="415"/>
      <c r="B40" s="415"/>
      <c r="C40" s="415"/>
      <c r="D40" s="415"/>
      <c r="E40" s="415"/>
      <c r="F40" s="415"/>
      <c r="G40" s="415"/>
      <c r="H40" s="415"/>
      <c r="I40" s="415"/>
    </row>
    <row r="41" spans="1:9">
      <c r="A41" s="415"/>
      <c r="B41" s="415"/>
      <c r="C41" s="415"/>
      <c r="D41" s="415"/>
      <c r="E41" s="415"/>
      <c r="F41" s="415"/>
      <c r="G41" s="415"/>
      <c r="H41" s="415"/>
      <c r="I41" s="415"/>
    </row>
    <row r="42" spans="1:9">
      <c r="A42" s="415"/>
      <c r="B42" s="415"/>
      <c r="C42" s="415"/>
      <c r="D42" s="415"/>
      <c r="E42" s="415"/>
      <c r="F42" s="415"/>
      <c r="G42" s="415"/>
      <c r="H42" s="415"/>
      <c r="I42" s="415"/>
    </row>
    <row r="43" spans="1:9">
      <c r="A43" s="415"/>
      <c r="B43" s="415"/>
      <c r="C43" s="415"/>
      <c r="D43" s="415"/>
      <c r="E43" s="415"/>
      <c r="F43" s="415"/>
      <c r="G43" s="415"/>
      <c r="H43" s="415"/>
      <c r="I43" s="415"/>
    </row>
    <row r="44" spans="1:9">
      <c r="A44" s="415"/>
      <c r="B44" s="415"/>
      <c r="C44" s="415"/>
      <c r="D44" s="415"/>
      <c r="E44" s="415"/>
      <c r="F44" s="415"/>
      <c r="G44" s="415"/>
      <c r="H44" s="415"/>
      <c r="I44" s="415"/>
    </row>
    <row r="45" spans="1:9">
      <c r="A45" s="415"/>
      <c r="B45" s="415"/>
      <c r="C45" s="415"/>
      <c r="D45" s="415"/>
      <c r="E45" s="415"/>
      <c r="F45" s="415"/>
      <c r="G45" s="415"/>
      <c r="H45" s="415"/>
      <c r="I45" s="415"/>
    </row>
    <row r="46" spans="1:9">
      <c r="A46" s="415"/>
      <c r="B46" s="415"/>
      <c r="C46" s="415"/>
      <c r="D46" s="415"/>
      <c r="E46" s="415"/>
      <c r="F46" s="415"/>
      <c r="G46" s="415"/>
      <c r="H46" s="415"/>
      <c r="I46" s="415"/>
    </row>
    <row r="47" spans="1:9">
      <c r="A47" s="415"/>
      <c r="B47" s="415"/>
      <c r="C47" s="415"/>
      <c r="D47" s="415"/>
      <c r="E47" s="415"/>
      <c r="F47" s="415"/>
      <c r="G47" s="415"/>
      <c r="H47" s="415"/>
      <c r="I47" s="415"/>
    </row>
    <row r="48" spans="1:9">
      <c r="A48" s="415"/>
      <c r="B48" s="415"/>
      <c r="C48" s="415"/>
      <c r="D48" s="415"/>
      <c r="E48" s="415"/>
      <c r="F48" s="415"/>
      <c r="G48" s="415"/>
      <c r="H48" s="415"/>
      <c r="I48" s="415"/>
    </row>
    <row r="49" spans="1:9">
      <c r="A49" s="415"/>
      <c r="B49" s="415"/>
      <c r="C49" s="415"/>
      <c r="D49" s="415"/>
      <c r="E49" s="415"/>
      <c r="F49" s="415"/>
      <c r="G49" s="415"/>
      <c r="H49" s="415"/>
      <c r="I49" s="415"/>
    </row>
    <row r="50" spans="1:9">
      <c r="A50" s="415"/>
      <c r="B50" s="415"/>
      <c r="C50" s="415"/>
      <c r="D50" s="415"/>
      <c r="E50" s="415"/>
      <c r="F50" s="415"/>
      <c r="G50" s="415"/>
      <c r="H50" s="415"/>
      <c r="I50" s="415"/>
    </row>
    <row r="51" spans="1:9">
      <c r="A51" s="415"/>
      <c r="B51" s="415"/>
      <c r="C51" s="415"/>
      <c r="D51" s="415"/>
      <c r="E51" s="415"/>
      <c r="F51" s="415"/>
      <c r="G51" s="415"/>
      <c r="H51" s="415"/>
      <c r="I51" s="415"/>
    </row>
    <row r="52" spans="1:9">
      <c r="A52" s="415"/>
      <c r="B52" s="415"/>
      <c r="C52" s="415"/>
      <c r="D52" s="415"/>
      <c r="E52" s="415"/>
      <c r="F52" s="415"/>
      <c r="G52" s="415"/>
      <c r="H52" s="415"/>
      <c r="I52" s="415"/>
    </row>
    <row r="53" spans="1:9">
      <c r="A53" s="415"/>
      <c r="B53" s="415"/>
      <c r="C53" s="415"/>
      <c r="D53" s="415"/>
      <c r="E53" s="415"/>
      <c r="F53" s="415"/>
      <c r="G53" s="415"/>
      <c r="H53" s="415"/>
      <c r="I53" s="415"/>
    </row>
    <row r="54" spans="1:9">
      <c r="A54" s="415"/>
      <c r="B54" s="415"/>
      <c r="C54" s="415"/>
      <c r="D54" s="415"/>
      <c r="E54" s="415"/>
      <c r="F54" s="415"/>
      <c r="G54" s="415"/>
      <c r="H54" s="415"/>
      <c r="I54" s="415"/>
    </row>
    <row r="55" spans="1:9">
      <c r="A55" s="415"/>
      <c r="B55" s="415"/>
      <c r="C55" s="415"/>
      <c r="D55" s="415"/>
      <c r="E55" s="415"/>
      <c r="F55" s="415"/>
      <c r="G55" s="415"/>
      <c r="H55" s="415"/>
      <c r="I55" s="415"/>
    </row>
    <row r="56" spans="1:9">
      <c r="A56" s="880" t="s">
        <v>602</v>
      </c>
      <c r="B56" s="415"/>
      <c r="C56" s="415"/>
      <c r="D56" s="415"/>
      <c r="E56" s="415"/>
      <c r="F56" s="415"/>
      <c r="G56" s="415"/>
      <c r="H56" s="415"/>
      <c r="I56" s="415"/>
    </row>
    <row r="57" spans="1:9">
      <c r="A57" s="523" t="s">
        <v>603</v>
      </c>
      <c r="B57" s="415"/>
      <c r="C57" s="415"/>
      <c r="D57" s="415"/>
      <c r="E57" s="415"/>
      <c r="F57" s="415"/>
      <c r="G57" s="415"/>
      <c r="H57" s="415"/>
      <c r="I57" s="415"/>
    </row>
    <row r="58" spans="1:9">
      <c r="A58" s="523" t="s">
        <v>604</v>
      </c>
      <c r="B58" s="415"/>
      <c r="C58" s="415"/>
      <c r="D58" s="415"/>
      <c r="E58" s="415"/>
      <c r="F58" s="415"/>
      <c r="G58" s="415"/>
      <c r="H58" s="415"/>
      <c r="I58" s="415"/>
    </row>
    <row r="59" spans="1:9">
      <c r="A59" s="523" t="s">
        <v>605</v>
      </c>
      <c r="B59" s="415"/>
      <c r="C59" s="415"/>
      <c r="D59" s="415"/>
      <c r="E59" s="415"/>
      <c r="F59" s="415"/>
      <c r="G59" s="415"/>
      <c r="H59" s="415"/>
      <c r="I59" s="415"/>
    </row>
    <row r="60" spans="1:9">
      <c r="A60" s="523" t="s">
        <v>606</v>
      </c>
      <c r="B60" s="415"/>
      <c r="C60" s="415"/>
      <c r="D60" s="415"/>
      <c r="E60" s="415"/>
      <c r="F60" s="415"/>
      <c r="G60" s="415"/>
      <c r="H60" s="415"/>
      <c r="I60" s="415"/>
    </row>
  </sheetData>
  <mergeCells count="2">
    <mergeCell ref="B3:F3"/>
    <mergeCell ref="G3:H3"/>
  </mergeCells>
  <hyperlinks>
    <hyperlink ref="A8" r:id="rId1" xr:uid="{00000000-0004-0000-0D00-000000000000}"/>
  </hyperlinks>
  <pageMargins left="0.70866141732283472" right="0.70866141732283472" top="0.74803149606299213" bottom="0.74803149606299213" header="0.31496062992125984" footer="0.31496062992125984"/>
  <pageSetup paperSize="9" scale="70" firstPageNumber="6" orientation="portrait" r:id="rId2"/>
  <headerFooter>
    <oddFooter>&amp;L&amp;8Bulletin trimestriel de conjoncture, 4e trimestre 2023</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tabColor rgb="FFFF0000"/>
  </sheetPr>
  <dimension ref="A1:H50"/>
  <sheetViews>
    <sheetView view="pageBreakPreview" zoomScaleSheetLayoutView="100" workbookViewId="0">
      <selection activeCell="K50" sqref="K50"/>
    </sheetView>
  </sheetViews>
  <sheetFormatPr baseColWidth="10" defaultRowHeight="12.3"/>
  <cols>
    <col min="1" max="1" width="20.83203125" customWidth="1"/>
  </cols>
  <sheetData>
    <row r="1" spans="1:8">
      <c r="A1" s="68" t="s">
        <v>608</v>
      </c>
      <c r="B1" s="398"/>
      <c r="C1" s="398"/>
      <c r="D1" s="398"/>
      <c r="E1" s="398"/>
      <c r="F1" s="398"/>
      <c r="G1" s="398"/>
      <c r="H1" s="69"/>
    </row>
    <row r="2" spans="1:8">
      <c r="A2" s="68"/>
      <c r="B2" s="398"/>
      <c r="C2" s="398"/>
      <c r="D2" s="398"/>
      <c r="E2" s="398"/>
      <c r="F2" s="398"/>
      <c r="G2" s="398"/>
      <c r="H2" s="69"/>
    </row>
    <row r="3" spans="1:8">
      <c r="A3" s="68"/>
      <c r="B3" s="398"/>
      <c r="C3" s="398"/>
      <c r="D3" s="398"/>
      <c r="E3" s="398"/>
      <c r="F3" s="398"/>
      <c r="G3" s="398"/>
      <c r="H3" s="69"/>
    </row>
    <row r="4" spans="1:8">
      <c r="A4" s="192"/>
      <c r="B4" s="2079" t="s">
        <v>527</v>
      </c>
      <c r="C4" s="2080"/>
      <c r="D4" s="2080"/>
      <c r="E4" s="2080"/>
      <c r="F4" s="2081"/>
      <c r="G4" s="2067" t="s">
        <v>18</v>
      </c>
      <c r="H4" s="2069"/>
    </row>
    <row r="5" spans="1:8">
      <c r="A5" s="543"/>
      <c r="B5" s="783" t="str">
        <f>Base_Trimestrielle!CN40</f>
        <v>1T2022</v>
      </c>
      <c r="C5" s="783" t="str">
        <f>Base_Trimestrielle!CO40</f>
        <v>2T2022</v>
      </c>
      <c r="D5" s="783" t="str">
        <f>Base_Trimestrielle!CP40</f>
        <v>3T2022</v>
      </c>
      <c r="E5" s="783" t="str">
        <f>Base_Trimestrielle!CQ40</f>
        <v>4T2022</v>
      </c>
      <c r="F5" s="783" t="str">
        <f>Base_Trimestrielle!CR40</f>
        <v>1T2023</v>
      </c>
      <c r="G5" s="32" t="s">
        <v>503</v>
      </c>
      <c r="H5" s="32" t="s">
        <v>20</v>
      </c>
    </row>
    <row r="6" spans="1:8">
      <c r="A6" s="1576" t="s">
        <v>609</v>
      </c>
      <c r="B6" s="401">
        <f>Base_Trimestrielle!CN44</f>
        <v>11706</v>
      </c>
      <c r="C6" s="401">
        <f>Base_Trimestrielle!CO44</f>
        <v>12615</v>
      </c>
      <c r="D6" s="401">
        <f>Base_Trimestrielle!CP44</f>
        <v>11803</v>
      </c>
      <c r="E6" s="401">
        <f>Base_Trimestrielle!CQ44</f>
        <v>13603</v>
      </c>
      <c r="F6" s="766">
        <f>Base_Trimestrielle!CR44</f>
        <v>17606</v>
      </c>
      <c r="G6" s="402">
        <f>+IF(E6=0,"",(F6/E6-1)*100)</f>
        <v>29.427332206131005</v>
      </c>
      <c r="H6" s="1471">
        <f>+IF(B6=0,"",(F6/B6-1)*100)</f>
        <v>50.401503502477361</v>
      </c>
    </row>
    <row r="7" spans="1:8">
      <c r="A7" s="1577" t="s">
        <v>610</v>
      </c>
      <c r="B7" s="404">
        <f>Base_Trimestrielle!CN45</f>
        <v>4278</v>
      </c>
      <c r="C7" s="404">
        <f>Base_Trimestrielle!CO45</f>
        <v>4239</v>
      </c>
      <c r="D7" s="404">
        <f>Base_Trimestrielle!CP45</f>
        <v>4441</v>
      </c>
      <c r="E7" s="404">
        <f>Base_Trimestrielle!CQ45</f>
        <v>5056</v>
      </c>
      <c r="F7" s="877">
        <f>Base_Trimestrielle!CR45</f>
        <v>7858</v>
      </c>
      <c r="G7" s="1473">
        <f t="shared" ref="G7:G14" si="0">+IF(E7=0,"",(F7/E7-1)*100)</f>
        <v>55.419303797468359</v>
      </c>
      <c r="H7" s="1474">
        <f t="shared" ref="H7:H15" si="1">+IF(B7=0,"",(F7/B7-1)*100)</f>
        <v>83.683964469378225</v>
      </c>
    </row>
    <row r="8" spans="1:8">
      <c r="A8" s="1578" t="s">
        <v>611</v>
      </c>
      <c r="B8" s="332">
        <f>Base_Trimestrielle!CN46</f>
        <v>1986</v>
      </c>
      <c r="C8" s="332">
        <f>Base_Trimestrielle!CO46</f>
        <v>2158</v>
      </c>
      <c r="D8" s="332">
        <f>Base_Trimestrielle!CP46</f>
        <v>2238</v>
      </c>
      <c r="E8" s="332">
        <f>Base_Trimestrielle!CQ46</f>
        <v>2535</v>
      </c>
      <c r="F8" s="767">
        <f>Base_Trimestrielle!CR46</f>
        <v>3560</v>
      </c>
      <c r="G8" s="1470">
        <f t="shared" si="0"/>
        <v>40.433925049309671</v>
      </c>
      <c r="H8" s="769">
        <f t="shared" si="1"/>
        <v>79.254783484390742</v>
      </c>
    </row>
    <row r="9" spans="1:8">
      <c r="A9" s="1577" t="s">
        <v>612</v>
      </c>
      <c r="B9" s="404">
        <f>Base_Trimestrielle!CN47</f>
        <v>7780</v>
      </c>
      <c r="C9" s="404">
        <f>Base_Trimestrielle!CO47</f>
        <v>7297</v>
      </c>
      <c r="D9" s="404">
        <f>Base_Trimestrielle!CP47</f>
        <v>6612</v>
      </c>
      <c r="E9" s="404">
        <f>Base_Trimestrielle!CQ47</f>
        <v>8341</v>
      </c>
      <c r="F9" s="877">
        <f>Base_Trimestrielle!CR47</f>
        <v>7949</v>
      </c>
      <c r="G9" s="1473">
        <f t="shared" si="0"/>
        <v>-4.6996762978060218</v>
      </c>
      <c r="H9" s="1474">
        <f t="shared" si="1"/>
        <v>2.1722365038560509</v>
      </c>
    </row>
    <row r="10" spans="1:8">
      <c r="A10" s="1578" t="s">
        <v>613</v>
      </c>
      <c r="B10" s="332">
        <f>Base_Trimestrielle!CN48</f>
        <v>2545</v>
      </c>
      <c r="C10" s="332">
        <f>Base_Trimestrielle!CO48</f>
        <v>2350</v>
      </c>
      <c r="D10" s="332">
        <f>Base_Trimestrielle!CP48</f>
        <v>2447</v>
      </c>
      <c r="E10" s="332">
        <f>Base_Trimestrielle!CQ48</f>
        <v>2932</v>
      </c>
      <c r="F10" s="767">
        <f>Base_Trimestrielle!CR48</f>
        <v>5343</v>
      </c>
      <c r="G10" s="1470">
        <f t="shared" si="0"/>
        <v>82.230559345156877</v>
      </c>
      <c r="H10" s="769">
        <f t="shared" si="1"/>
        <v>109.94106090373279</v>
      </c>
    </row>
    <row r="11" spans="1:8">
      <c r="A11" s="1579" t="s">
        <v>614</v>
      </c>
      <c r="B11" s="884">
        <f>Base_Trimestrielle!CN49</f>
        <v>178</v>
      </c>
      <c r="C11" s="884">
        <f>Base_Trimestrielle!CO49</f>
        <v>120</v>
      </c>
      <c r="D11" s="884">
        <f>Base_Trimestrielle!CP49</f>
        <v>111</v>
      </c>
      <c r="E11" s="884">
        <f>Base_Trimestrielle!CQ49</f>
        <v>136</v>
      </c>
      <c r="F11" s="885">
        <f>Base_Trimestrielle!CR49</f>
        <v>212</v>
      </c>
      <c r="G11" s="1302">
        <f t="shared" si="0"/>
        <v>55.882352941176471</v>
      </c>
      <c r="H11" s="1477">
        <f t="shared" si="1"/>
        <v>19.101123595505619</v>
      </c>
    </row>
    <row r="12" spans="1:8">
      <c r="A12" s="1576" t="s">
        <v>615</v>
      </c>
      <c r="B12" s="1478">
        <f>Base_Trimestrielle!CN50</f>
        <v>904</v>
      </c>
      <c r="C12" s="1478">
        <f>Base_Trimestrielle!CO50</f>
        <v>842</v>
      </c>
      <c r="D12" s="1478">
        <f>Base_Trimestrielle!CP50</f>
        <v>815</v>
      </c>
      <c r="E12" s="1478">
        <f>Base_Trimestrielle!CQ50</f>
        <v>987</v>
      </c>
      <c r="F12" s="767">
        <f>Base_Trimestrielle!CR50</f>
        <v>744</v>
      </c>
      <c r="G12" s="1470">
        <f t="shared" si="0"/>
        <v>-24.620060790273556</v>
      </c>
      <c r="H12" s="769">
        <f t="shared" si="1"/>
        <v>-17.699115044247794</v>
      </c>
    </row>
    <row r="13" spans="1:8">
      <c r="A13" s="1577" t="s">
        <v>616</v>
      </c>
      <c r="B13" s="404">
        <f>Base_Trimestrielle!CN51</f>
        <v>1285</v>
      </c>
      <c r="C13" s="404">
        <f>Base_Trimestrielle!CO51</f>
        <v>1394</v>
      </c>
      <c r="D13" s="404">
        <f>Base_Trimestrielle!CP51</f>
        <v>1350</v>
      </c>
      <c r="E13" s="404">
        <f>Base_Trimestrielle!CQ51</f>
        <v>1474</v>
      </c>
      <c r="F13" s="877">
        <f>Base_Trimestrielle!CR51</f>
        <v>2362</v>
      </c>
      <c r="G13" s="1473">
        <f t="shared" si="0"/>
        <v>60.244233378561731</v>
      </c>
      <c r="H13" s="1474">
        <f t="shared" si="1"/>
        <v>83.813229571984422</v>
      </c>
    </row>
    <row r="14" spans="1:8" ht="24.6">
      <c r="A14" s="1575" t="s">
        <v>1000</v>
      </c>
      <c r="B14" s="332">
        <f>Base_Trimestrielle!CN52</f>
        <v>2488</v>
      </c>
      <c r="C14" s="332">
        <f>Base_Trimestrielle!CO52</f>
        <v>2785</v>
      </c>
      <c r="D14" s="332">
        <f>Base_Trimestrielle!CP52</f>
        <v>2558</v>
      </c>
      <c r="E14" s="332">
        <f>Base_Trimestrielle!CQ52</f>
        <v>3074</v>
      </c>
      <c r="F14" s="767">
        <f>Base_Trimestrielle!CR52</f>
        <v>4727</v>
      </c>
      <c r="G14" s="1470">
        <f t="shared" si="0"/>
        <v>53.773584905660378</v>
      </c>
      <c r="H14" s="769">
        <f t="shared" si="1"/>
        <v>89.991961414791007</v>
      </c>
    </row>
    <row r="15" spans="1:8" ht="24.6">
      <c r="A15" s="1580" t="s">
        <v>1001</v>
      </c>
      <c r="B15" s="404">
        <f>Base_Trimestrielle!CN53</f>
        <v>2229</v>
      </c>
      <c r="C15" s="404">
        <f>Base_Trimestrielle!CO53</f>
        <v>2400</v>
      </c>
      <c r="D15" s="404">
        <f>Base_Trimestrielle!CP53</f>
        <v>2611</v>
      </c>
      <c r="E15" s="404">
        <f>Base_Trimestrielle!CQ53</f>
        <v>3035</v>
      </c>
      <c r="F15" s="877">
        <f>Base_Trimestrielle!CR53</f>
        <v>3941</v>
      </c>
      <c r="G15" s="1473">
        <f>+IF(E15=0,"",(F15/E15-1)*100)</f>
        <v>29.851729818780882</v>
      </c>
      <c r="H15" s="1474">
        <f t="shared" si="1"/>
        <v>76.805742485419472</v>
      </c>
    </row>
    <row r="16" spans="1:8" ht="24.6">
      <c r="A16" s="1575" t="s">
        <v>1002</v>
      </c>
      <c r="B16" s="332">
        <f>Base_Trimestrielle!CN54</f>
        <v>96579</v>
      </c>
      <c r="C16" s="332">
        <f>Base_Trimestrielle!CO54</f>
        <v>97894</v>
      </c>
      <c r="D16" s="332">
        <f>Base_Trimestrielle!CP54</f>
        <v>98696</v>
      </c>
      <c r="E16" s="332">
        <f>Base_Trimestrielle!CQ54</f>
        <v>103717</v>
      </c>
      <c r="F16" s="767">
        <f>Base_Trimestrielle!CR54</f>
        <v>98110</v>
      </c>
      <c r="G16" s="1470">
        <f>+IF(E16=0,"",(F16/E16-1)*100)</f>
        <v>-5.4060568662803625</v>
      </c>
      <c r="H16" s="769">
        <f>+IF(B16=0,"",(F16/B16-1)*100)</f>
        <v>1.5852307437434598</v>
      </c>
    </row>
    <row r="17" spans="1:8">
      <c r="A17" s="1681" t="s">
        <v>128</v>
      </c>
      <c r="B17" s="416">
        <f>Base_Trimestrielle!CN55</f>
        <v>122971</v>
      </c>
      <c r="C17" s="416">
        <f>Base_Trimestrielle!CO55</f>
        <v>125227</v>
      </c>
      <c r="D17" s="416">
        <f>Base_Trimestrielle!CP55</f>
        <v>124445</v>
      </c>
      <c r="E17" s="416">
        <f>Base_Trimestrielle!CQ55</f>
        <v>134231</v>
      </c>
      <c r="F17" s="971">
        <f>Base_Trimestrielle!CR55</f>
        <v>135439</v>
      </c>
      <c r="G17" s="405">
        <f>+IF(E17=0,"",(F17/E17-1)*100)</f>
        <v>0.89994114623299648</v>
      </c>
      <c r="H17" s="413">
        <f>+IF(B17=0,"",(F17/B17-1)*100)</f>
        <v>10.138975856096156</v>
      </c>
    </row>
    <row r="18" spans="1:8">
      <c r="A18" s="409" t="s">
        <v>620</v>
      </c>
      <c r="B18" s="192"/>
      <c r="C18" s="192"/>
      <c r="D18" s="192"/>
      <c r="E18" s="192"/>
      <c r="F18" s="192"/>
      <c r="G18" s="192"/>
      <c r="H18" s="192"/>
    </row>
    <row r="19" spans="1:8">
      <c r="A19" s="409"/>
      <c r="B19" s="398"/>
      <c r="C19" s="398"/>
      <c r="D19" s="398"/>
      <c r="E19" s="398"/>
      <c r="F19" s="398"/>
      <c r="G19" s="398"/>
      <c r="H19" s="398"/>
    </row>
    <row r="20" spans="1:8">
      <c r="A20" s="68" t="s">
        <v>621</v>
      </c>
      <c r="B20" s="398"/>
      <c r="C20" s="398"/>
      <c r="D20" s="398"/>
      <c r="E20" s="398"/>
      <c r="F20" s="398"/>
      <c r="G20" s="398"/>
      <c r="H20" s="398"/>
    </row>
    <row r="21" spans="1:8">
      <c r="A21" s="68"/>
      <c r="B21" s="398"/>
      <c r="C21" s="398"/>
      <c r="D21" s="398"/>
      <c r="E21" s="398"/>
      <c r="F21" s="398"/>
      <c r="G21" s="398"/>
      <c r="H21" s="1476"/>
    </row>
    <row r="22" spans="1:8">
      <c r="A22" s="192"/>
      <c r="B22" s="2079" t="s">
        <v>527</v>
      </c>
      <c r="C22" s="2080"/>
      <c r="D22" s="2080"/>
      <c r="E22" s="2080"/>
      <c r="F22" s="2081"/>
      <c r="G22" s="2067" t="s">
        <v>18</v>
      </c>
      <c r="H22" s="2069"/>
    </row>
    <row r="23" spans="1:8">
      <c r="A23" s="543"/>
      <c r="B23" s="783" t="str">
        <f>Base_Trimestrielle!CW40</f>
        <v>1T2022</v>
      </c>
      <c r="C23" s="783" t="str">
        <f>Base_Trimestrielle!CX40</f>
        <v>2T2022</v>
      </c>
      <c r="D23" s="783" t="str">
        <f>Base_Trimestrielle!CY40</f>
        <v>3T2022</v>
      </c>
      <c r="E23" s="783" t="str">
        <f>Base_Trimestrielle!CZ40</f>
        <v>4T2022</v>
      </c>
      <c r="F23" s="783" t="str">
        <f>Base_Trimestrielle!DA40</f>
        <v>1T2023</v>
      </c>
      <c r="G23" s="32" t="s">
        <v>503</v>
      </c>
      <c r="H23" s="32" t="s">
        <v>20</v>
      </c>
    </row>
    <row r="24" spans="1:8">
      <c r="A24" s="1605" t="s">
        <v>622</v>
      </c>
      <c r="B24" s="401">
        <f>Base_Trimestrielle!CW44</f>
        <v>12332</v>
      </c>
      <c r="C24" s="401">
        <f>Base_Trimestrielle!CX44</f>
        <v>10444</v>
      </c>
      <c r="D24" s="401">
        <f>Base_Trimestrielle!CY44</f>
        <v>15217</v>
      </c>
      <c r="E24" s="401">
        <f>Base_Trimestrielle!CZ44</f>
        <v>16587</v>
      </c>
      <c r="F24" s="766">
        <f>Base_Trimestrielle!DA44</f>
        <v>12214</v>
      </c>
      <c r="G24" s="402">
        <f t="shared" ref="G24:G31" si="2">+IF(E24=0,"",(F24/E24-1)*100)</f>
        <v>-26.364020015674928</v>
      </c>
      <c r="H24" s="1471">
        <f t="shared" ref="H24:H31" si="3">+IF(B24=0,"",(F24/B24-1)*100)</f>
        <v>-0.9568602011028271</v>
      </c>
    </row>
    <row r="25" spans="1:8" ht="24.6">
      <c r="A25" s="1606" t="s">
        <v>623</v>
      </c>
      <c r="B25" s="404">
        <f>Base_Trimestrielle!CW45</f>
        <v>78581</v>
      </c>
      <c r="C25" s="404">
        <f>Base_Trimestrielle!CX45</f>
        <v>86582</v>
      </c>
      <c r="D25" s="404">
        <f>Base_Trimestrielle!CY45</f>
        <v>81420</v>
      </c>
      <c r="E25" s="404">
        <f>Base_Trimestrielle!CZ45</f>
        <v>88788</v>
      </c>
      <c r="F25" s="877">
        <f>Base_Trimestrielle!DA45</f>
        <v>73234</v>
      </c>
      <c r="G25" s="1473">
        <f t="shared" si="2"/>
        <v>-17.518133081046994</v>
      </c>
      <c r="H25" s="1474">
        <f t="shared" si="3"/>
        <v>-6.8044438222980119</v>
      </c>
    </row>
    <row r="26" spans="1:8" ht="24.6">
      <c r="A26" s="1607" t="s">
        <v>624</v>
      </c>
      <c r="B26" s="332">
        <f>Base_Trimestrielle!CW46</f>
        <v>17225</v>
      </c>
      <c r="C26" s="332">
        <f>Base_Trimestrielle!CX46</f>
        <v>17153</v>
      </c>
      <c r="D26" s="332">
        <f>Base_Trimestrielle!CY46</f>
        <v>14503</v>
      </c>
      <c r="E26" s="332">
        <f>Base_Trimestrielle!CZ46</f>
        <v>14083</v>
      </c>
      <c r="F26" s="767">
        <f>Base_Trimestrielle!DA46</f>
        <v>8630</v>
      </c>
      <c r="G26" s="1470">
        <f t="shared" si="2"/>
        <v>-38.720443087410352</v>
      </c>
      <c r="H26" s="769">
        <f t="shared" si="3"/>
        <v>-49.898403483309139</v>
      </c>
    </row>
    <row r="27" spans="1:8">
      <c r="A27" s="1606" t="s">
        <v>625</v>
      </c>
      <c r="B27" s="404">
        <f>Base_Trimestrielle!CW47</f>
        <v>1122</v>
      </c>
      <c r="C27" s="404">
        <f>Base_Trimestrielle!CX47</f>
        <v>1041</v>
      </c>
      <c r="D27" s="404">
        <f>Base_Trimestrielle!CY47</f>
        <v>1160</v>
      </c>
      <c r="E27" s="404">
        <f>Base_Trimestrielle!CZ47</f>
        <v>1473</v>
      </c>
      <c r="F27" s="877">
        <f>Base_Trimestrielle!DA47</f>
        <v>2976</v>
      </c>
      <c r="G27" s="1473">
        <f t="shared" si="2"/>
        <v>102.03665987780042</v>
      </c>
      <c r="H27" s="1474">
        <f t="shared" si="3"/>
        <v>165.24064171122996</v>
      </c>
    </row>
    <row r="28" spans="1:8">
      <c r="A28" s="1607" t="s">
        <v>626</v>
      </c>
      <c r="B28" s="332">
        <f>Base_Trimestrielle!CW48</f>
        <v>507</v>
      </c>
      <c r="C28" s="332">
        <f>Base_Trimestrielle!CX48</f>
        <v>324</v>
      </c>
      <c r="D28" s="332">
        <f>Base_Trimestrielle!CY48</f>
        <v>947</v>
      </c>
      <c r="E28" s="332">
        <f>Base_Trimestrielle!CZ48</f>
        <v>945</v>
      </c>
      <c r="F28" s="767">
        <f>Base_Trimestrielle!DA48</f>
        <v>1637</v>
      </c>
      <c r="G28" s="1470">
        <f t="shared" si="2"/>
        <v>73.227513227513214</v>
      </c>
      <c r="H28" s="769">
        <f t="shared" si="3"/>
        <v>222.87968441814593</v>
      </c>
    </row>
    <row r="29" spans="1:8">
      <c r="A29" s="1606" t="s">
        <v>627</v>
      </c>
      <c r="B29" s="884">
        <f>Base_Trimestrielle!CW49</f>
        <v>812</v>
      </c>
      <c r="C29" s="884">
        <f>Base_Trimestrielle!CX49</f>
        <v>406</v>
      </c>
      <c r="D29" s="884">
        <f>Base_Trimestrielle!CY49</f>
        <v>368</v>
      </c>
      <c r="E29" s="884">
        <f>Base_Trimestrielle!CZ49</f>
        <v>360</v>
      </c>
      <c r="F29" s="885">
        <f>Base_Trimestrielle!DA49</f>
        <v>444</v>
      </c>
      <c r="G29" s="1302">
        <f t="shared" si="2"/>
        <v>23.333333333333339</v>
      </c>
      <c r="H29" s="1477">
        <f t="shared" si="3"/>
        <v>-45.320197044334975</v>
      </c>
    </row>
    <row r="30" spans="1:8">
      <c r="A30" s="1607" t="s">
        <v>628</v>
      </c>
      <c r="B30" s="332">
        <f>Base_Trimestrielle!CW50</f>
        <v>12391</v>
      </c>
      <c r="C30" s="411">
        <f>Base_Trimestrielle!CX50</f>
        <v>9265</v>
      </c>
      <c r="D30" s="411">
        <f>Base_Trimestrielle!CY50</f>
        <v>10830</v>
      </c>
      <c r="E30" s="411">
        <f>Base_Trimestrielle!CZ50</f>
        <v>11995</v>
      </c>
      <c r="F30" s="768">
        <f>Base_Trimestrielle!DA50</f>
        <v>36304</v>
      </c>
      <c r="G30" s="1470">
        <f t="shared" si="2"/>
        <v>202.65944143393079</v>
      </c>
      <c r="H30" s="769">
        <f t="shared" si="3"/>
        <v>192.986845290937</v>
      </c>
    </row>
    <row r="31" spans="1:8">
      <c r="A31" s="1475" t="s">
        <v>128</v>
      </c>
      <c r="B31" s="416">
        <f>SUM(B24:B30)</f>
        <v>122970</v>
      </c>
      <c r="C31" s="416">
        <f>SUM(C24:C30)</f>
        <v>125215</v>
      </c>
      <c r="D31" s="416">
        <f>SUM(D24:D30)</f>
        <v>124445</v>
      </c>
      <c r="E31" s="416">
        <f>SUM(E24:E30)</f>
        <v>134231</v>
      </c>
      <c r="F31" s="416">
        <f>SUM(F24:F30)</f>
        <v>135439</v>
      </c>
      <c r="G31" s="405">
        <f t="shared" si="2"/>
        <v>0.89994114623299648</v>
      </c>
      <c r="H31" s="413">
        <f t="shared" si="3"/>
        <v>10.139871513377251</v>
      </c>
    </row>
    <row r="32" spans="1:8">
      <c r="A32" s="409" t="s">
        <v>620</v>
      </c>
      <c r="B32" s="398"/>
      <c r="D32" s="398"/>
      <c r="E32" s="398"/>
      <c r="F32" s="398"/>
      <c r="G32" s="398"/>
      <c r="H32" s="398"/>
    </row>
    <row r="33" spans="1:8">
      <c r="A33" s="409"/>
      <c r="B33" s="398"/>
      <c r="C33" s="398"/>
      <c r="D33" s="398"/>
      <c r="F33" s="398"/>
      <c r="G33" s="398"/>
      <c r="H33" s="398"/>
    </row>
    <row r="34" spans="1:8">
      <c r="A34" s="415"/>
      <c r="B34" s="398"/>
      <c r="C34" s="398"/>
      <c r="D34" s="398"/>
      <c r="E34" s="398"/>
      <c r="F34" s="398"/>
      <c r="G34" s="398"/>
      <c r="H34" s="398"/>
    </row>
    <row r="35" spans="1:8">
      <c r="A35" s="2089"/>
      <c r="B35" s="2089"/>
      <c r="C35" s="2089"/>
      <c r="D35" s="2089"/>
      <c r="E35" s="2089"/>
      <c r="F35" s="2089"/>
      <c r="G35" s="2089"/>
      <c r="H35" s="2089"/>
    </row>
    <row r="36" spans="1:8">
      <c r="A36" s="415"/>
      <c r="B36" s="398"/>
      <c r="C36" s="398"/>
      <c r="D36" s="398"/>
      <c r="E36" s="398"/>
      <c r="F36" s="398"/>
      <c r="G36" s="398"/>
      <c r="H36" s="398"/>
    </row>
    <row r="37" spans="1:8">
      <c r="A37" s="415"/>
      <c r="B37" s="398"/>
      <c r="C37" s="398"/>
      <c r="D37" s="398"/>
      <c r="E37" s="398"/>
      <c r="F37" s="398"/>
      <c r="G37" s="398"/>
      <c r="H37" s="398"/>
    </row>
    <row r="38" spans="1:8">
      <c r="A38" s="415"/>
      <c r="B38" s="398"/>
      <c r="C38" s="398"/>
      <c r="D38" s="398"/>
      <c r="E38" s="398"/>
      <c r="F38" s="398"/>
      <c r="G38" s="398"/>
      <c r="H38" s="398"/>
    </row>
    <row r="39" spans="1:8">
      <c r="A39" s="415"/>
      <c r="B39" s="398"/>
      <c r="C39" s="398"/>
      <c r="D39" s="398"/>
      <c r="E39" s="398"/>
      <c r="F39" s="398"/>
      <c r="G39" s="398"/>
      <c r="H39" s="398"/>
    </row>
    <row r="40" spans="1:8">
      <c r="A40" s="415"/>
      <c r="B40" s="398"/>
      <c r="C40" s="398"/>
      <c r="D40" s="398"/>
      <c r="E40" s="398"/>
      <c r="F40" s="398"/>
      <c r="G40" s="398"/>
      <c r="H40" s="398"/>
    </row>
    <row r="41" spans="1:8">
      <c r="A41" s="415"/>
      <c r="B41" s="398"/>
      <c r="C41" s="398"/>
      <c r="D41" s="398"/>
      <c r="E41" s="398"/>
      <c r="F41" s="398"/>
      <c r="G41" s="398"/>
      <c r="H41" s="398"/>
    </row>
    <row r="42" spans="1:8">
      <c r="A42" s="415"/>
      <c r="B42" s="398"/>
      <c r="C42" s="398"/>
      <c r="D42" s="398"/>
      <c r="E42" s="398"/>
      <c r="F42" s="398"/>
      <c r="G42" s="398"/>
      <c r="H42" s="398"/>
    </row>
    <row r="43" spans="1:8">
      <c r="A43" s="415"/>
      <c r="B43" s="398"/>
      <c r="C43" s="398"/>
      <c r="D43" s="398"/>
      <c r="E43" s="398"/>
      <c r="F43" s="398"/>
      <c r="G43" s="398"/>
      <c r="H43" s="398"/>
    </row>
    <row r="44" spans="1:8">
      <c r="A44" s="415"/>
      <c r="B44" s="398"/>
      <c r="C44" s="398"/>
      <c r="D44" s="398"/>
      <c r="E44" s="398"/>
      <c r="F44" s="398"/>
      <c r="G44" s="398"/>
      <c r="H44" s="398"/>
    </row>
    <row r="45" spans="1:8">
      <c r="A45" s="415"/>
      <c r="B45" s="398"/>
      <c r="C45" s="398"/>
      <c r="D45" s="398"/>
      <c r="E45" s="398"/>
      <c r="F45" s="398"/>
      <c r="G45" s="398"/>
      <c r="H45" s="398"/>
    </row>
    <row r="46" spans="1:8">
      <c r="A46" s="415"/>
      <c r="B46" s="398"/>
      <c r="C46" s="398"/>
      <c r="D46" s="398"/>
      <c r="E46" s="398"/>
      <c r="F46" s="398"/>
      <c r="G46" s="398"/>
      <c r="H46" s="398"/>
    </row>
    <row r="47" spans="1:8">
      <c r="A47" s="415"/>
      <c r="B47" s="398"/>
      <c r="C47" s="398"/>
      <c r="D47" s="398"/>
      <c r="E47" s="398"/>
      <c r="F47" s="398"/>
      <c r="G47" s="398"/>
      <c r="H47" s="398"/>
    </row>
    <row r="48" spans="1:8">
      <c r="A48" s="415"/>
      <c r="B48" s="398"/>
      <c r="C48" s="398"/>
      <c r="D48" s="398"/>
      <c r="E48" s="398"/>
      <c r="F48" s="398"/>
      <c r="G48" s="398"/>
      <c r="H48" s="398"/>
    </row>
    <row r="49" spans="1:8">
      <c r="A49" s="415"/>
      <c r="B49" s="398"/>
      <c r="C49" s="398"/>
      <c r="D49" s="398"/>
      <c r="E49" s="398"/>
      <c r="F49" s="398"/>
      <c r="G49" s="398"/>
      <c r="H49" s="398"/>
    </row>
    <row r="50" spans="1:8">
      <c r="A50" s="415"/>
      <c r="B50" s="398"/>
      <c r="C50" s="398"/>
      <c r="D50" s="398"/>
      <c r="E50" s="398"/>
      <c r="F50" s="398"/>
      <c r="G50" s="398"/>
      <c r="H50" s="398"/>
    </row>
  </sheetData>
  <mergeCells count="5">
    <mergeCell ref="B4:F4"/>
    <mergeCell ref="G4:H4"/>
    <mergeCell ref="B22:F22"/>
    <mergeCell ref="G22:H22"/>
    <mergeCell ref="A35:H35"/>
  </mergeCells>
  <pageMargins left="0.70866141732283472" right="0.70866141732283472" top="0.74803149606299213" bottom="0.74803149606299213" header="0.31496062992125984" footer="0.31496062992125984"/>
  <pageSetup paperSize="9" scale="70" firstPageNumber="6" orientation="portrait" r:id="rId1"/>
  <headerFooter>
    <oddFooter>&amp;L&amp;8Bulletin trimestriel de conjoncture, 4e trimestre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tabColor rgb="FF00B050"/>
  </sheetPr>
  <dimension ref="A1:H160"/>
  <sheetViews>
    <sheetView view="pageBreakPreview" zoomScaleSheetLayoutView="100" workbookViewId="0">
      <selection activeCell="K50" sqref="K50"/>
    </sheetView>
  </sheetViews>
  <sheetFormatPr baseColWidth="10" defaultRowHeight="12.3"/>
  <cols>
    <col min="1" max="1" width="26.44140625" customWidth="1"/>
    <col min="8" max="8" width="12.1640625" customWidth="1"/>
  </cols>
  <sheetData>
    <row r="1" spans="1:8" ht="17.7">
      <c r="A1" s="2048" t="s">
        <v>631</v>
      </c>
      <c r="B1" s="2048"/>
      <c r="C1" s="2048"/>
      <c r="D1" s="2048"/>
      <c r="E1" s="2048"/>
      <c r="F1" s="2048"/>
      <c r="G1" s="2048"/>
      <c r="H1" s="2048"/>
    </row>
    <row r="2" spans="1:8">
      <c r="A2" s="31"/>
      <c r="B2" s="903"/>
      <c r="C2" s="903"/>
      <c r="D2" s="903"/>
      <c r="E2" s="903"/>
      <c r="F2" s="903"/>
      <c r="G2" s="903"/>
      <c r="H2" s="903"/>
    </row>
    <row r="3" spans="1:8">
      <c r="A3" s="86" t="s">
        <v>632</v>
      </c>
      <c r="B3" s="330"/>
      <c r="C3" s="69"/>
      <c r="D3" s="69"/>
      <c r="E3" s="69"/>
      <c r="F3" s="69"/>
      <c r="G3" s="69"/>
      <c r="H3" s="69"/>
    </row>
    <row r="4" spans="1:8">
      <c r="A4" s="68"/>
      <c r="B4" s="330"/>
      <c r="C4" s="69"/>
      <c r="D4" s="69"/>
      <c r="E4" s="69"/>
      <c r="F4" s="69"/>
      <c r="G4" s="69"/>
      <c r="H4" s="69"/>
    </row>
    <row r="5" spans="1:8">
      <c r="A5" s="31"/>
      <c r="B5" s="2079" t="s">
        <v>527</v>
      </c>
      <c r="C5" s="2080"/>
      <c r="D5" s="2080"/>
      <c r="E5" s="2080"/>
      <c r="F5" s="2081"/>
      <c r="G5" s="2067" t="s">
        <v>18</v>
      </c>
      <c r="H5" s="2069"/>
    </row>
    <row r="6" spans="1:8">
      <c r="A6" s="904"/>
      <c r="B6" s="783" t="str">
        <f>Base_Trimestrielle!DG40</f>
        <v>4T2022</v>
      </c>
      <c r="C6" s="783" t="str">
        <f>Base_Trimestrielle!DH40</f>
        <v>1T2023</v>
      </c>
      <c r="D6" s="783" t="str">
        <f>Base_Trimestrielle!DI40</f>
        <v>2T2023</v>
      </c>
      <c r="E6" s="784" t="str">
        <f>Base_Trimestrielle!DJ40</f>
        <v>3T2023</v>
      </c>
      <c r="F6" s="784" t="str">
        <f>Base_Trimestrielle!DK40</f>
        <v>4T2023</v>
      </c>
      <c r="G6" s="32" t="s">
        <v>503</v>
      </c>
      <c r="H6" s="32" t="s">
        <v>20</v>
      </c>
    </row>
    <row r="7" spans="1:8" ht="24.6">
      <c r="A7" s="1800" t="s">
        <v>633</v>
      </c>
      <c r="B7" s="907">
        <f>Base_Trimestrielle!DG44</f>
        <v>748.35125717899996</v>
      </c>
      <c r="C7" s="907">
        <f>Base_Trimestrielle!DH44</f>
        <v>693.80107024899996</v>
      </c>
      <c r="D7" s="907">
        <f>Base_Trimestrielle!DI44</f>
        <v>686.813883519</v>
      </c>
      <c r="E7" s="907">
        <f>Base_Trimestrielle!DJ44</f>
        <v>624.37754000300004</v>
      </c>
      <c r="F7" s="1491">
        <f>Base_Trimestrielle!DK44</f>
        <v>699.56294215200001</v>
      </c>
      <c r="G7" s="907">
        <f>+IF(E7=0,"",(F7/E7-1)*100)</f>
        <v>12.041657063551447</v>
      </c>
      <c r="H7" s="1491">
        <f>+IF(B7=0,"",(F7/B7-1)*100)</f>
        <v>-6.5194405112531495</v>
      </c>
    </row>
    <row r="8" spans="1:8" ht="24.6">
      <c r="A8" s="1669" t="s">
        <v>634</v>
      </c>
      <c r="B8" s="1757">
        <f>Base_Trimestrielle!DG45</f>
        <v>494.26969100000002</v>
      </c>
      <c r="C8" s="204">
        <f>Base_Trimestrielle!DH45</f>
        <v>611.25936300000001</v>
      </c>
      <c r="D8" s="204">
        <f>Base_Trimestrielle!DI45</f>
        <v>532.01099799999997</v>
      </c>
      <c r="E8" s="204">
        <f>Base_Trimestrielle!DJ45</f>
        <v>464.98458599999998</v>
      </c>
      <c r="F8" s="204">
        <f>Base_Trimestrielle!DK45</f>
        <v>419.53811300000001</v>
      </c>
      <c r="G8" s="1670">
        <f>+IF(E8=0,"",(F8/E8-1)*100)</f>
        <v>-9.7737590381114181</v>
      </c>
      <c r="H8" s="1671">
        <f>+IF(B8=0,"",(F8/B8-1)*100)</f>
        <v>-15.119595508436712</v>
      </c>
    </row>
    <row r="9" spans="1:8">
      <c r="A9" s="73" t="s">
        <v>344</v>
      </c>
      <c r="B9" s="72"/>
      <c r="C9" s="72"/>
      <c r="D9" s="72"/>
      <c r="E9" s="72"/>
      <c r="F9" s="72"/>
      <c r="G9" s="72"/>
      <c r="H9" s="72"/>
    </row>
    <row r="10" spans="1:8">
      <c r="A10" s="73"/>
      <c r="B10" s="72"/>
      <c r="C10" s="72"/>
      <c r="D10" s="72"/>
      <c r="E10" s="72"/>
      <c r="F10" s="72"/>
      <c r="G10" s="72"/>
      <c r="H10" s="72"/>
    </row>
    <row r="11" spans="1:8" ht="12.6">
      <c r="A11" s="86" t="s">
        <v>635</v>
      </c>
      <c r="B11" s="72"/>
      <c r="C11" s="72"/>
      <c r="D11" s="72"/>
      <c r="E11" s="72"/>
      <c r="F11" s="72"/>
      <c r="G11" s="72"/>
      <c r="H11" s="72"/>
    </row>
    <row r="12" spans="1:8">
      <c r="A12" s="68"/>
      <c r="B12" s="72"/>
      <c r="C12" s="72"/>
      <c r="D12" s="72"/>
      <c r="E12" s="72"/>
      <c r="F12" s="72"/>
      <c r="G12" s="72"/>
      <c r="H12" s="72"/>
    </row>
    <row r="13" spans="1:8">
      <c r="A13" s="31"/>
      <c r="B13" s="2079" t="s">
        <v>527</v>
      </c>
      <c r="C13" s="2080"/>
      <c r="D13" s="2080"/>
      <c r="E13" s="2080"/>
      <c r="F13" s="2081"/>
      <c r="G13" s="2067" t="s">
        <v>18</v>
      </c>
      <c r="H13" s="2069"/>
    </row>
    <row r="14" spans="1:8">
      <c r="A14" s="904"/>
      <c r="B14" s="783" t="str">
        <f>Base_Trimestrielle!DO40</f>
        <v>4T2022</v>
      </c>
      <c r="C14" s="783" t="str">
        <f>Base_Trimestrielle!DP40</f>
        <v>1T2023</v>
      </c>
      <c r="D14" s="783" t="str">
        <f>Base_Trimestrielle!DQ40</f>
        <v>2T2023</v>
      </c>
      <c r="E14" s="784" t="str">
        <f>Base_Trimestrielle!DR40</f>
        <v>3T2023</v>
      </c>
      <c r="F14" s="784" t="str">
        <f>Base_Trimestrielle!DS40</f>
        <v>4T2023</v>
      </c>
      <c r="G14" s="32" t="s">
        <v>503</v>
      </c>
      <c r="H14" s="32" t="s">
        <v>20</v>
      </c>
    </row>
    <row r="15" spans="1:8" ht="24.6">
      <c r="A15" s="1668" t="s">
        <v>636</v>
      </c>
      <c r="B15" s="907">
        <f>Base_Trimestrielle!DO44</f>
        <v>949.471688352</v>
      </c>
      <c r="C15" s="907">
        <f>Base_Trimestrielle!DP44</f>
        <v>864.46288067037494</v>
      </c>
      <c r="D15" s="907">
        <f>Base_Trimestrielle!DQ44</f>
        <v>873.37362322499996</v>
      </c>
      <c r="E15" s="907">
        <f>Base_Trimestrielle!DR44</f>
        <v>867.56550407422799</v>
      </c>
      <c r="F15" s="1491">
        <f>Base_Trimestrielle!DS44</f>
        <v>961.39779235289097</v>
      </c>
      <c r="G15" s="907">
        <f>+IF(E15=0,"",(F15/E15-1)*100)</f>
        <v>10.815585432801477</v>
      </c>
      <c r="H15" s="1491">
        <f>+IF(B15=0,"",(F15/B15-1)*100)</f>
        <v>1.2560778954442631</v>
      </c>
    </row>
    <row r="16" spans="1:8" ht="24.6">
      <c r="A16" s="1669" t="s">
        <v>637</v>
      </c>
      <c r="B16" s="1757">
        <f>Base_Trimestrielle!DO45</f>
        <v>2343.4935009999999</v>
      </c>
      <c r="C16" s="204">
        <f>Base_Trimestrielle!DP45</f>
        <v>2145.5227089999998</v>
      </c>
      <c r="D16" s="204">
        <f>Base_Trimestrielle!DQ45</f>
        <v>2182.2213379999998</v>
      </c>
      <c r="E16" s="204">
        <f>Base_Trimestrielle!DR45</f>
        <v>2476.8817159999999</v>
      </c>
      <c r="F16" s="204">
        <f>Base_Trimestrielle!DS45</f>
        <v>2424.744353</v>
      </c>
      <c r="G16" s="1670">
        <f>+IF(E16=0,"",(F16/E16-1)*100)</f>
        <v>-2.1049597428575706</v>
      </c>
      <c r="H16" s="1671">
        <f>+IF(B16=0,"",(F16/B16-1)*100)</f>
        <v>3.4670824546912282</v>
      </c>
    </row>
    <row r="17" spans="1:8">
      <c r="A17" s="73" t="s">
        <v>344</v>
      </c>
      <c r="B17" s="908"/>
      <c r="C17" s="908"/>
      <c r="D17" s="908"/>
      <c r="E17" s="31"/>
      <c r="F17" s="67"/>
      <c r="G17" s="31"/>
      <c r="H17" s="31"/>
    </row>
    <row r="18" spans="1:8">
      <c r="A18" s="145"/>
      <c r="B18" s="72"/>
      <c r="C18" s="72"/>
      <c r="D18" s="72"/>
      <c r="E18" s="72"/>
      <c r="F18" s="72"/>
      <c r="G18" s="72"/>
      <c r="H18" s="72"/>
    </row>
    <row r="19" spans="1:8" ht="12.6">
      <c r="A19" s="86" t="s">
        <v>638</v>
      </c>
      <c r="B19" s="72"/>
      <c r="C19" s="72"/>
      <c r="D19" s="72"/>
      <c r="E19" s="72"/>
      <c r="F19" s="72"/>
      <c r="G19" s="72"/>
      <c r="H19" s="72"/>
    </row>
    <row r="20" spans="1:8">
      <c r="A20" s="68"/>
      <c r="B20" s="72"/>
      <c r="C20" s="72"/>
      <c r="D20" s="72"/>
      <c r="E20" s="72"/>
      <c r="F20" s="72"/>
      <c r="G20" s="72"/>
      <c r="H20" s="72"/>
    </row>
    <row r="21" spans="1:8">
      <c r="A21" s="31"/>
      <c r="B21" s="2079" t="s">
        <v>527</v>
      </c>
      <c r="C21" s="2080"/>
      <c r="D21" s="2080"/>
      <c r="E21" s="2080"/>
      <c r="F21" s="2081"/>
      <c r="G21" s="2067" t="s">
        <v>18</v>
      </c>
      <c r="H21" s="2069"/>
    </row>
    <row r="22" spans="1:8">
      <c r="A22" s="904"/>
      <c r="B22" s="783" t="str">
        <f>Base_Trimestrielle!DO22</f>
        <v>4T2022</v>
      </c>
      <c r="C22" s="783" t="str">
        <f>Base_Trimestrielle!DP22</f>
        <v>1T2023</v>
      </c>
      <c r="D22" s="783" t="str">
        <f>Base_Trimestrielle!DQ22</f>
        <v>2T2023</v>
      </c>
      <c r="E22" s="784" t="str">
        <f>Base_Trimestrielle!DR22</f>
        <v>3T2023</v>
      </c>
      <c r="F22" s="784" t="str">
        <f>Base_Trimestrielle!DS22</f>
        <v>4T2023</v>
      </c>
      <c r="G22" s="32" t="s">
        <v>503</v>
      </c>
      <c r="H22" s="449" t="s">
        <v>20</v>
      </c>
    </row>
    <row r="23" spans="1:8" ht="24.6">
      <c r="A23" s="1668" t="s">
        <v>633</v>
      </c>
      <c r="B23" s="907">
        <f>Base_Trimestrielle!DO26</f>
        <v>748.35125717899996</v>
      </c>
      <c r="C23" s="907">
        <f>Base_Trimestrielle!DP26</f>
        <v>693.80107024899996</v>
      </c>
      <c r="D23" s="907">
        <f>Base_Trimestrielle!DQ26</f>
        <v>686.813883519</v>
      </c>
      <c r="E23" s="907">
        <f>Base_Trimestrielle!DR26</f>
        <v>624.37754000300004</v>
      </c>
      <c r="F23" s="1491">
        <f>Base_Trimestrielle!DS26</f>
        <v>699.56294215200001</v>
      </c>
      <c r="G23" s="907">
        <f>+IF(E23=0,"",(F23/E23-1)*100)</f>
        <v>12.041657063551447</v>
      </c>
      <c r="H23" s="1491">
        <f>+IF(B23=0,"",(F23/B23-1)*100)</f>
        <v>-6.5194405112531495</v>
      </c>
    </row>
    <row r="24" spans="1:8" ht="24.6">
      <c r="A24" s="1669" t="s">
        <v>636</v>
      </c>
      <c r="B24" s="1757">
        <f>Base_Trimestrielle!DO27</f>
        <v>949.471688352</v>
      </c>
      <c r="C24" s="204">
        <f>Base_Trimestrielle!DP27</f>
        <v>864.46288067037494</v>
      </c>
      <c r="D24" s="204">
        <f>Base_Trimestrielle!DQ27</f>
        <v>873.37362322499996</v>
      </c>
      <c r="E24" s="204">
        <f>Base_Trimestrielle!DR27</f>
        <v>867.56550407422799</v>
      </c>
      <c r="F24" s="204">
        <f>Base_Trimestrielle!DS27</f>
        <v>961.39779235289097</v>
      </c>
      <c r="G24" s="1670">
        <f>+IF(E24=0,"",(F24/E24-1)*100)</f>
        <v>10.815585432801477</v>
      </c>
      <c r="H24" s="1671">
        <f>+IF(B24=0,"",(F24/B24-1)*100)</f>
        <v>1.2560778954442631</v>
      </c>
    </row>
    <row r="25" spans="1:8" ht="24.6">
      <c r="A25" s="1668" t="s">
        <v>639</v>
      </c>
      <c r="B25" s="907">
        <f>Base_Trimestrielle!DO28</f>
        <v>-201.12043117299999</v>
      </c>
      <c r="C25" s="907">
        <f>Base_Trimestrielle!DP28</f>
        <v>-170.66181042137501</v>
      </c>
      <c r="D25" s="907">
        <f>Base_Trimestrielle!DQ28</f>
        <v>-186.55973970599999</v>
      </c>
      <c r="E25" s="907">
        <f>Base_Trimestrielle!DR28</f>
        <v>-243.18796407122804</v>
      </c>
      <c r="F25" s="1491">
        <f>Base_Trimestrielle!DS28</f>
        <v>-261.83485020089097</v>
      </c>
      <c r="G25" s="907">
        <f>+IF(E25=0,"",(F25/E25-1)*100)</f>
        <v>7.6676846244748242</v>
      </c>
      <c r="H25" s="907">
        <f>-IF(B25=0,"",(F25/B25-1)*100)</f>
        <v>-30.188091122212036</v>
      </c>
    </row>
    <row r="26" spans="1:8">
      <c r="A26" s="1669" t="s">
        <v>640</v>
      </c>
      <c r="B26" s="1757">
        <f>Base_Trimestrielle!DO29</f>
        <v>78.817648420661683</v>
      </c>
      <c r="C26" s="204">
        <f>Base_Trimestrielle!DP29</f>
        <v>80.258052226715634</v>
      </c>
      <c r="D26" s="204">
        <f>Base_Trimestrielle!DQ29</f>
        <v>78.639183192055455</v>
      </c>
      <c r="E26" s="204">
        <f>Base_Trimestrielle!DR29</f>
        <v>71.968921893600196</v>
      </c>
      <c r="F26" s="204">
        <f>Base_Trimestrielle!DS29</f>
        <v>72.765191236804739</v>
      </c>
      <c r="G26" s="1670">
        <f>+IF(E26=0,"",(F26/E26-1)*100)</f>
        <v>1.1064072133548875</v>
      </c>
      <c r="H26" s="1671">
        <f>+IF(B26=0,"",(F26/B26-1)*100)</f>
        <v>-7.6790633888923825</v>
      </c>
    </row>
    <row r="27" spans="1:8">
      <c r="A27" s="73" t="s">
        <v>344</v>
      </c>
      <c r="B27" s="908"/>
      <c r="C27" s="908"/>
      <c r="D27" s="908"/>
      <c r="E27" s="31"/>
      <c r="F27" s="67"/>
      <c r="G27" s="31"/>
      <c r="H27" s="31"/>
    </row>
    <row r="28" spans="1:8">
      <c r="A28" s="909"/>
      <c r="B28" s="910"/>
      <c r="C28" s="910"/>
      <c r="D28" s="910"/>
      <c r="E28" s="910"/>
      <c r="F28" s="910"/>
      <c r="G28" s="72"/>
      <c r="H28" s="72"/>
    </row>
    <row r="29" spans="1:8" ht="12.6">
      <c r="A29" s="86" t="s">
        <v>641</v>
      </c>
      <c r="B29" s="908"/>
      <c r="C29" s="908"/>
      <c r="D29" s="908"/>
      <c r="E29" s="72"/>
      <c r="F29" s="72"/>
      <c r="G29" s="72"/>
      <c r="H29" s="72"/>
    </row>
    <row r="30" spans="1:8">
      <c r="A30" s="68"/>
      <c r="B30" s="908"/>
      <c r="C30" s="908"/>
      <c r="D30" s="908"/>
      <c r="E30" s="72"/>
      <c r="F30" s="72"/>
      <c r="G30" s="72"/>
      <c r="H30" s="72"/>
    </row>
    <row r="31" spans="1:8">
      <c r="A31" s="31"/>
      <c r="B31" s="2079" t="s">
        <v>527</v>
      </c>
      <c r="C31" s="2080"/>
      <c r="D31" s="2080"/>
      <c r="E31" s="2080"/>
      <c r="F31" s="2081"/>
      <c r="G31" s="2067" t="s">
        <v>18</v>
      </c>
      <c r="H31" s="2069"/>
    </row>
    <row r="32" spans="1:8">
      <c r="A32" s="904"/>
      <c r="B32" s="783" t="str">
        <f>Base_Trimestrielle!DW40</f>
        <v>4T2022</v>
      </c>
      <c r="C32" s="783" t="str">
        <f>Base_Trimestrielle!DX40</f>
        <v>1T2023</v>
      </c>
      <c r="D32" s="783" t="str">
        <f>Base_Trimestrielle!DY40</f>
        <v>2T2023</v>
      </c>
      <c r="E32" s="784" t="str">
        <f>Base_Trimestrielle!DZ40</f>
        <v>3T2023</v>
      </c>
      <c r="F32" s="784" t="str">
        <f>Base_Trimestrielle!EA40</f>
        <v>4T2023</v>
      </c>
      <c r="G32" s="32" t="s">
        <v>503</v>
      </c>
      <c r="H32" s="32" t="s">
        <v>20</v>
      </c>
    </row>
    <row r="33" spans="1:8">
      <c r="A33" s="1668" t="s">
        <v>642</v>
      </c>
      <c r="B33" s="907">
        <f>Base_Trimestrielle!DW44</f>
        <v>172.69645755126868</v>
      </c>
      <c r="C33" s="907">
        <f>Base_Trimestrielle!DX44</f>
        <v>170.65928250240501</v>
      </c>
      <c r="D33" s="907">
        <f>Base_Trimestrielle!DY44</f>
        <v>173.99781314745474</v>
      </c>
      <c r="E33" s="907">
        <f>Base_Trimestrielle!DZ44</f>
        <v>175.50144030498919</v>
      </c>
      <c r="F33" s="1491">
        <f>Base_Trimestrielle!EA44</f>
        <v>179.67492222203327</v>
      </c>
      <c r="G33" s="907">
        <f>+IF(E33=0,"",(F33/E33-1)*100)</f>
        <v>2.3780328581870069</v>
      </c>
      <c r="H33" s="1491">
        <f>+IF(B33=0,"",(F33/B33-1)*100)</f>
        <v>4.0408846653341879</v>
      </c>
    </row>
    <row r="34" spans="1:8" ht="24.6">
      <c r="A34" s="1669" t="s">
        <v>643</v>
      </c>
      <c r="B34" s="1757">
        <f>Base_Trimestrielle!DW45</f>
        <v>132.22383172907399</v>
      </c>
      <c r="C34" s="204">
        <f>Base_Trimestrielle!DX45</f>
        <v>123.4253814211751</v>
      </c>
      <c r="D34" s="204">
        <f>Base_Trimestrielle!DY45</f>
        <v>120.34024053937735</v>
      </c>
      <c r="E34" s="204">
        <f>Base_Trimestrielle!DZ45</f>
        <v>107.92998726147185</v>
      </c>
      <c r="F34" s="204">
        <f>Base_Trimestrielle!EA45</f>
        <v>118.97331927154251</v>
      </c>
      <c r="G34" s="1670">
        <f>+IF(E34=0,"",(F34/E34-1)*100)</f>
        <v>10.231940436828758</v>
      </c>
      <c r="H34" s="1671">
        <f>+IF(B34=0,"",(F34/B34-1)*100)</f>
        <v>-10.021273989912594</v>
      </c>
    </row>
    <row r="35" spans="1:8" ht="24.6">
      <c r="A35" s="1668" t="s">
        <v>644</v>
      </c>
      <c r="B35" s="907">
        <f>Base_Trimestrielle!DW46</f>
        <v>228.34587343466123</v>
      </c>
      <c r="C35" s="907">
        <f>Base_Trimestrielle!DX46</f>
        <v>210.63687035923419</v>
      </c>
      <c r="D35" s="907">
        <f>Base_Trimestrielle!DY46</f>
        <v>209.38938687490335</v>
      </c>
      <c r="E35" s="907">
        <f>Base_Trimestrielle!DZ46</f>
        <v>189.4186821648745</v>
      </c>
      <c r="F35" s="1491">
        <f>Base_Trimestrielle!EA46</f>
        <v>213.76521886611533</v>
      </c>
      <c r="G35" s="907">
        <f>+IF(E35=0,"",(F35/E35-1)*100)</f>
        <v>12.853292200633648</v>
      </c>
      <c r="H35" s="1491">
        <f>+IF(B35=0,"",(F35/B35-1)*100)</f>
        <v>-6.3853374485079106</v>
      </c>
    </row>
    <row r="36" spans="1:8">
      <c r="A36" s="73" t="s">
        <v>344</v>
      </c>
      <c r="B36" s="908"/>
      <c r="C36" s="908"/>
      <c r="D36" s="908"/>
      <c r="E36" s="72"/>
      <c r="F36" s="72"/>
      <c r="G36" s="72"/>
      <c r="H36" s="72"/>
    </row>
    <row r="37" spans="1:8">
      <c r="A37" s="909"/>
      <c r="B37" s="908"/>
      <c r="C37" s="908"/>
      <c r="D37" s="908"/>
      <c r="E37" s="72"/>
      <c r="F37" s="72"/>
      <c r="G37" s="72"/>
      <c r="H37" s="72"/>
    </row>
    <row r="38" spans="1:8">
      <c r="A38" s="909"/>
      <c r="B38" s="908"/>
      <c r="C38" s="908"/>
      <c r="D38" s="908"/>
      <c r="E38" s="72"/>
      <c r="F38" s="72"/>
      <c r="G38" s="72"/>
      <c r="H38" s="72"/>
    </row>
    <row r="39" spans="1:8" ht="12.6">
      <c r="A39" s="86" t="s">
        <v>645</v>
      </c>
      <c r="B39" s="72"/>
      <c r="C39" s="72"/>
      <c r="D39" s="72"/>
      <c r="E39" s="72"/>
      <c r="F39" s="72"/>
      <c r="G39" s="72"/>
      <c r="H39" s="72"/>
    </row>
    <row r="40" spans="1:8">
      <c r="A40" s="68"/>
      <c r="B40" s="72"/>
      <c r="C40" s="72"/>
      <c r="D40" s="72"/>
      <c r="E40" s="72"/>
      <c r="F40" s="72"/>
      <c r="G40" s="72"/>
      <c r="H40" s="72"/>
    </row>
    <row r="41" spans="1:8">
      <c r="A41" s="31"/>
      <c r="B41" s="2079" t="s">
        <v>527</v>
      </c>
      <c r="C41" s="2080"/>
      <c r="D41" s="2080"/>
      <c r="E41" s="2080"/>
      <c r="F41" s="2081"/>
      <c r="G41" s="2067" t="s">
        <v>18</v>
      </c>
      <c r="H41" s="2069"/>
    </row>
    <row r="42" spans="1:8">
      <c r="A42" s="904"/>
      <c r="B42" s="783" t="str">
        <f>Base_Trimestrielle!DW23</f>
        <v>4T2022</v>
      </c>
      <c r="C42" s="911" t="str">
        <f>Base_Trimestrielle!DX23</f>
        <v>1T2023</v>
      </c>
      <c r="D42" s="911" t="str">
        <f>Base_Trimestrielle!DY23</f>
        <v>2T2023</v>
      </c>
      <c r="E42" s="681" t="str">
        <f>Base_Trimestrielle!DZ23</f>
        <v>3T2023</v>
      </c>
      <c r="F42" s="681" t="str">
        <f>Base_Trimestrielle!EA23</f>
        <v>4T2023</v>
      </c>
      <c r="G42" s="466" t="s">
        <v>503</v>
      </c>
      <c r="H42" s="449" t="s">
        <v>20</v>
      </c>
    </row>
    <row r="43" spans="1:8">
      <c r="A43" s="1668" t="s">
        <v>642</v>
      </c>
      <c r="B43" s="907">
        <f>Base_Trimestrielle!DW27</f>
        <v>115.56436641191914</v>
      </c>
      <c r="C43" s="907">
        <f>Base_Trimestrielle!DX27</f>
        <v>113.96721549633442</v>
      </c>
      <c r="D43" s="907">
        <f>Base_Trimestrielle!DY27</f>
        <v>111.83640207380456</v>
      </c>
      <c r="E43" s="907">
        <f>Base_Trimestrielle!DZ27</f>
        <v>106.90937458902822</v>
      </c>
      <c r="F43" s="1491">
        <f>Base_Trimestrielle!EA27</f>
        <v>113.83526706475433</v>
      </c>
      <c r="G43" s="907">
        <f>+IF(E43=0,"",(F43/E43-1)*100)</f>
        <v>6.4782835951945561</v>
      </c>
      <c r="H43" s="1491">
        <f>+IF(B43=0,"",(F43/B43-1)*100)</f>
        <v>-1.4962218898873947</v>
      </c>
    </row>
    <row r="44" spans="1:8" ht="24.6">
      <c r="A44" s="1669" t="s">
        <v>643</v>
      </c>
      <c r="B44" s="1757">
        <f>Base_Trimestrielle!DW28</f>
        <v>173.02500085540561</v>
      </c>
      <c r="C44" s="204">
        <f>Base_Trimestrielle!DX28</f>
        <v>162.19222087380911</v>
      </c>
      <c r="D44" s="204">
        <f>Base_Trimestrielle!DY28</f>
        <v>166.05956552674539</v>
      </c>
      <c r="E44" s="204">
        <f>Base_Trimestrielle!DZ28</f>
        <v>173.49642784732646</v>
      </c>
      <c r="F44" s="204">
        <f>Base_Trimestrielle!EA28</f>
        <v>178.53127903131099</v>
      </c>
      <c r="G44" s="204">
        <f>+IF(E44=0,"",(F44/E44-1)*100)</f>
        <v>2.9019912665954717</v>
      </c>
      <c r="H44" s="1671">
        <f>+IF(B44=0,"",(F44/B44-1)*100)</f>
        <v>3.1823598605307257</v>
      </c>
    </row>
    <row r="45" spans="1:8" ht="24.6">
      <c r="A45" s="1668" t="s">
        <v>646</v>
      </c>
      <c r="B45" s="907">
        <f>Base_Trimestrielle!DW29</f>
        <v>199.95524597276705</v>
      </c>
      <c r="C45" s="907">
        <f>Base_Trimestrielle!DX29</f>
        <v>184.84595788154493</v>
      </c>
      <c r="D45" s="907">
        <f>Base_Trimestrielle!DY29</f>
        <v>185.71504338450379</v>
      </c>
      <c r="E45" s="907">
        <f>Base_Trimestrielle!DZ29</f>
        <v>185.48394594588135</v>
      </c>
      <c r="F45" s="1491">
        <f>Base_Trimestrielle!EA29</f>
        <v>203.23155827941449</v>
      </c>
      <c r="G45" s="907">
        <f>+IF(E45=0,"",(F45/E45-1)*100)</f>
        <v>9.5682740859477811</v>
      </c>
      <c r="H45" s="1491">
        <f>+IF(B45=0,"",(F45/B45-1)*100)</f>
        <v>1.638522805795084</v>
      </c>
    </row>
    <row r="46" spans="1:8">
      <c r="A46" s="73" t="s">
        <v>344</v>
      </c>
      <c r="B46" s="908"/>
      <c r="C46" s="908"/>
      <c r="D46" s="908"/>
      <c r="E46" s="72"/>
      <c r="F46" s="72"/>
      <c r="G46" s="72"/>
      <c r="H46" s="72"/>
    </row>
    <row r="47" spans="1:8">
      <c r="A47" s="600"/>
      <c r="B47" s="72"/>
      <c r="C47" s="72"/>
      <c r="D47" s="72"/>
      <c r="E47" s="72"/>
      <c r="F47" s="72"/>
      <c r="G47" s="72"/>
      <c r="H47" s="72"/>
    </row>
    <row r="48" spans="1:8">
      <c r="A48" s="600"/>
      <c r="B48" s="72"/>
      <c r="C48" s="72"/>
      <c r="D48" s="72"/>
      <c r="E48" s="72"/>
      <c r="F48" s="72"/>
      <c r="G48" s="72"/>
      <c r="H48" s="72"/>
    </row>
    <row r="49" spans="1:8" ht="12.6">
      <c r="A49" s="86" t="s">
        <v>647</v>
      </c>
      <c r="B49" s="72"/>
      <c r="C49" s="72"/>
      <c r="D49" s="72"/>
      <c r="E49" s="72"/>
      <c r="F49" s="72"/>
      <c r="G49" s="72"/>
      <c r="H49" s="72"/>
    </row>
    <row r="50" spans="1:8">
      <c r="A50" s="68"/>
      <c r="B50" s="72"/>
      <c r="C50" s="72"/>
      <c r="D50" s="72"/>
      <c r="E50" s="72"/>
      <c r="F50" s="72"/>
      <c r="G50" s="72"/>
      <c r="H50" s="72"/>
    </row>
    <row r="51" spans="1:8">
      <c r="A51" s="31"/>
      <c r="B51" s="2079" t="s">
        <v>527</v>
      </c>
      <c r="C51" s="2080"/>
      <c r="D51" s="2080"/>
      <c r="E51" s="2080"/>
      <c r="F51" s="2081"/>
      <c r="G51" s="2067" t="s">
        <v>18</v>
      </c>
      <c r="H51" s="2069"/>
    </row>
    <row r="52" spans="1:8">
      <c r="A52" s="904"/>
      <c r="B52" s="783" t="str">
        <f>Base_Trimestrielle!DW51</f>
        <v>4T2022</v>
      </c>
      <c r="C52" s="783" t="str">
        <f>Base_Trimestrielle!DX51</f>
        <v>1T2023</v>
      </c>
      <c r="D52" s="783" t="str">
        <f>Base_Trimestrielle!DY51</f>
        <v>2T2023</v>
      </c>
      <c r="E52" s="784" t="str">
        <f>Base_Trimestrielle!DZ51</f>
        <v>3T2023</v>
      </c>
      <c r="F52" s="784" t="str">
        <f>Base_Trimestrielle!EA51</f>
        <v>4T2023</v>
      </c>
      <c r="G52" s="32" t="s">
        <v>503</v>
      </c>
      <c r="H52" s="449" t="s">
        <v>20</v>
      </c>
    </row>
    <row r="53" spans="1:8">
      <c r="A53" s="1668" t="s">
        <v>648</v>
      </c>
      <c r="B53" s="1672">
        <f>Base_Trimestrielle!DW55</f>
        <v>149.43746321916149</v>
      </c>
      <c r="C53" s="1672">
        <f>Base_Trimestrielle!DX55</f>
        <v>149.7441889399272</v>
      </c>
      <c r="D53" s="1672">
        <f>Base_Trimestrielle!DY55</f>
        <v>155.58244893521146</v>
      </c>
      <c r="E53" s="1672">
        <f>Base_Trimestrielle!DZ55</f>
        <v>164.15907489837693</v>
      </c>
      <c r="F53" s="1672">
        <f>Base_Trimestrielle!EA55</f>
        <v>157.83766037973677</v>
      </c>
      <c r="G53" s="1672">
        <f>+IF(E53=0,"",(F53/E53-1)*100)</f>
        <v>-3.8507859054112248</v>
      </c>
      <c r="H53" s="1672">
        <f>+IF(B53=0,"",(F53/B53-1)*100)</f>
        <v>5.6212123651053769</v>
      </c>
    </row>
    <row r="54" spans="1:8">
      <c r="A54" s="1673" t="s">
        <v>649</v>
      </c>
      <c r="B54" s="1758">
        <f>Base_Trimestrielle!DW56</f>
        <v>1653.6513180328334</v>
      </c>
      <c r="C54" s="204">
        <f>Base_Trimestrielle!DX56</f>
        <v>126.95925805770986</v>
      </c>
      <c r="D54" s="204">
        <f>Base_Trimestrielle!DY56</f>
        <v>133.64522124700574</v>
      </c>
      <c r="E54" s="204">
        <f>Base_Trimestrielle!DZ56</f>
        <v>152.77476617518283</v>
      </c>
      <c r="F54" s="204">
        <f>Base_Trimestrielle!EA56</f>
        <v>140.15799612312031</v>
      </c>
      <c r="G54" s="204">
        <f>+IF(E54=0,"",(F54/E54-1)*100)</f>
        <v>-8.2584122809883365</v>
      </c>
      <c r="H54" s="204">
        <f>+IF(B54=0,"",(F54/B54-1)*100)</f>
        <v>-91.52433196800817</v>
      </c>
    </row>
    <row r="55" spans="1:8">
      <c r="A55" s="73" t="s">
        <v>344</v>
      </c>
      <c r="B55" s="72"/>
      <c r="C55" s="72"/>
      <c r="D55" s="72"/>
      <c r="E55" s="72"/>
      <c r="F55" s="72"/>
      <c r="G55" s="72"/>
      <c r="H55" s="72"/>
    </row>
    <row r="56" spans="1:8">
      <c r="A56" s="86" t="s">
        <v>650</v>
      </c>
      <c r="B56" s="72"/>
      <c r="C56" s="72"/>
      <c r="D56" s="72"/>
      <c r="E56" s="72"/>
      <c r="F56" s="72"/>
      <c r="G56" s="72"/>
      <c r="H56" s="72"/>
    </row>
    <row r="57" spans="1:8">
      <c r="A57" s="68"/>
      <c r="B57" s="72"/>
      <c r="C57" s="72"/>
      <c r="D57" s="72"/>
      <c r="E57" s="72"/>
      <c r="F57" s="72"/>
      <c r="G57" s="72"/>
      <c r="H57" s="72"/>
    </row>
    <row r="58" spans="1:8">
      <c r="A58" s="31"/>
      <c r="B58" s="2079" t="s">
        <v>527</v>
      </c>
      <c r="C58" s="2080"/>
      <c r="D58" s="2080"/>
      <c r="E58" s="2080"/>
      <c r="F58" s="2081"/>
      <c r="G58" s="2067" t="s">
        <v>18</v>
      </c>
      <c r="H58" s="2069"/>
    </row>
    <row r="59" spans="1:8">
      <c r="A59" s="904"/>
      <c r="B59" s="783" t="str">
        <f>Base_Trimestrielle!EE40</f>
        <v>4T2022</v>
      </c>
      <c r="C59" s="783" t="str">
        <f>Base_Trimestrielle!EF40</f>
        <v>1T2023</v>
      </c>
      <c r="D59" s="783" t="str">
        <f>Base_Trimestrielle!EG40</f>
        <v>2T2023</v>
      </c>
      <c r="E59" s="784" t="str">
        <f>Base_Trimestrielle!EH40</f>
        <v>3T2023</v>
      </c>
      <c r="F59" s="784" t="str">
        <f>Base_Trimestrielle!EI40</f>
        <v>4T2023</v>
      </c>
      <c r="G59" s="32" t="s">
        <v>503</v>
      </c>
      <c r="H59" s="449" t="s">
        <v>20</v>
      </c>
    </row>
    <row r="60" spans="1:8" ht="36.9">
      <c r="A60" s="1800" t="s">
        <v>1154</v>
      </c>
      <c r="B60" s="1672">
        <v>551.52482362000001</v>
      </c>
      <c r="C60" s="1672">
        <v>512.98247863200004</v>
      </c>
      <c r="D60" s="1672">
        <v>522.10059471800002</v>
      </c>
      <c r="E60" s="1672">
        <v>529.29129958400006</v>
      </c>
      <c r="F60" s="1672">
        <v>565.90447214400001</v>
      </c>
      <c r="G60" s="1672">
        <f>+IF(E60=0,"",(F60/E60-1)*100)</f>
        <v>6.9173955039080193</v>
      </c>
      <c r="H60" s="1672">
        <f>+IF(B60=0,"",(F60/B60-1)*100)</f>
        <v>2.6072531839305801</v>
      </c>
    </row>
    <row r="61" spans="1:8">
      <c r="A61" s="1673" t="s">
        <v>86</v>
      </c>
      <c r="B61" s="1758">
        <v>95.074188403999997</v>
      </c>
      <c r="C61" s="204">
        <v>60.942253847000003</v>
      </c>
      <c r="D61" s="204">
        <v>47.054705376000001</v>
      </c>
      <c r="E61" s="204">
        <v>7.9614614560000003</v>
      </c>
      <c r="F61" s="204">
        <v>35.508889758999999</v>
      </c>
      <c r="G61" s="204">
        <f>+IF(E61=0,"",(F61/E61-1)*100)</f>
        <v>346.0096925073903</v>
      </c>
      <c r="H61" s="204">
        <f>+IF(B61=0,"",(F61/B61-1)*100)</f>
        <v>-62.651387979130988</v>
      </c>
    </row>
    <row r="62" spans="1:8" ht="36.9">
      <c r="A62" s="1668" t="s">
        <v>653</v>
      </c>
      <c r="B62" s="1672">
        <v>16.288630336000001</v>
      </c>
      <c r="C62" s="1672">
        <v>6.5112855249999999</v>
      </c>
      <c r="D62" s="1672">
        <v>0.39523518699999999</v>
      </c>
      <c r="E62" s="1672">
        <v>18.047975321999999</v>
      </c>
      <c r="F62" s="1672">
        <v>24.264326642</v>
      </c>
      <c r="G62" s="1672">
        <f>+IF(E62=0,"",(F62/E62-1)*100)</f>
        <v>34.443483045006353</v>
      </c>
      <c r="H62" s="1672">
        <f>+IF(B62=0,"",(F62/B62-1)*100)</f>
        <v>48.96480638014522</v>
      </c>
    </row>
    <row r="63" spans="1:8">
      <c r="A63" s="1673" t="s">
        <v>652</v>
      </c>
      <c r="B63" s="1758">
        <v>20.192794231000001</v>
      </c>
      <c r="C63" s="204">
        <v>15.552852553999999</v>
      </c>
      <c r="D63" s="204">
        <v>8.1336953400000009</v>
      </c>
      <c r="E63" s="204">
        <v>0.365345484</v>
      </c>
      <c r="F63" s="204">
        <v>15.904607819999999</v>
      </c>
      <c r="G63" s="204"/>
      <c r="H63" s="204"/>
    </row>
    <row r="64" spans="1:8" ht="36.9">
      <c r="A64" s="1668" t="s">
        <v>1155</v>
      </c>
      <c r="B64" s="1672">
        <v>8.6585564880000003</v>
      </c>
      <c r="C64" s="1672">
        <v>15.869468016000001</v>
      </c>
      <c r="D64" s="1672">
        <v>17.561082544000001</v>
      </c>
      <c r="E64" s="1672">
        <v>17.934180012000002</v>
      </c>
      <c r="F64" s="1672">
        <v>12.607235000000001</v>
      </c>
      <c r="G64" s="1672">
        <f>+IF(E64=0,"",(F64/E64-1)*100)</f>
        <v>-29.70275199889636</v>
      </c>
      <c r="H64" s="1672">
        <f>+IF(B64=0,"",(F64/B64-1)*100)</f>
        <v>45.604351227280461</v>
      </c>
    </row>
    <row r="65" spans="1:8">
      <c r="A65" s="73" t="s">
        <v>344</v>
      </c>
      <c r="B65" s="908"/>
      <c r="C65" s="908"/>
      <c r="D65" s="908"/>
      <c r="E65" s="72"/>
      <c r="F65" s="72"/>
      <c r="G65" s="72"/>
      <c r="H65" s="72"/>
    </row>
    <row r="66" spans="1:8">
      <c r="A66" s="145"/>
      <c r="B66" s="908"/>
      <c r="C66" s="908"/>
      <c r="D66" s="145"/>
      <c r="E66" s="145"/>
      <c r="F66" s="145"/>
      <c r="G66" s="145"/>
      <c r="H66" s="145"/>
    </row>
    <row r="67" spans="1:8">
      <c r="A67" s="86" t="s">
        <v>655</v>
      </c>
      <c r="B67" s="908"/>
      <c r="C67" s="908"/>
      <c r="D67" s="145"/>
      <c r="E67" s="145"/>
      <c r="F67" s="145"/>
      <c r="G67" s="145"/>
      <c r="H67" s="145"/>
    </row>
    <row r="68" spans="1:8">
      <c r="A68" s="68"/>
      <c r="B68" s="908"/>
      <c r="C68" s="908"/>
      <c r="D68" s="145"/>
      <c r="E68" s="145"/>
      <c r="F68" s="145"/>
      <c r="G68" s="145"/>
      <c r="H68" s="145"/>
    </row>
    <row r="69" spans="1:8">
      <c r="A69" s="31"/>
      <c r="B69" s="2079" t="s">
        <v>527</v>
      </c>
      <c r="C69" s="2080"/>
      <c r="D69" s="2080"/>
      <c r="E69" s="2080"/>
      <c r="F69" s="2081"/>
      <c r="G69" s="2067" t="s">
        <v>18</v>
      </c>
      <c r="H69" s="2069"/>
    </row>
    <row r="70" spans="1:8">
      <c r="A70" s="904"/>
      <c r="B70" s="783" t="str">
        <f>Base_Trimestrielle!EE54</f>
        <v>4T2022</v>
      </c>
      <c r="C70" s="783" t="str">
        <f>Base_Trimestrielle!EF54</f>
        <v>1T2023</v>
      </c>
      <c r="D70" s="783" t="str">
        <f>Base_Trimestrielle!EG54</f>
        <v>2T2023</v>
      </c>
      <c r="E70" s="784" t="str">
        <f>Base_Trimestrielle!EH54</f>
        <v>3T2023</v>
      </c>
      <c r="F70" s="784" t="str">
        <f>Base_Trimestrielle!EI54</f>
        <v>4T2023</v>
      </c>
      <c r="G70" s="32" t="s">
        <v>503</v>
      </c>
      <c r="H70" s="32" t="s">
        <v>20</v>
      </c>
    </row>
    <row r="71" spans="1:8">
      <c r="A71" s="1668" t="s">
        <v>656</v>
      </c>
      <c r="B71" s="1672">
        <v>318.41540303900001</v>
      </c>
      <c r="C71" s="1672">
        <v>249.99553598124999</v>
      </c>
      <c r="D71" s="1672">
        <v>278.66916553200002</v>
      </c>
      <c r="E71" s="1672">
        <v>284.16017509600005</v>
      </c>
      <c r="F71" s="1672">
        <v>407.12767281100002</v>
      </c>
      <c r="G71" s="1672">
        <f>+IF(E71=0,"",(F71/E71-1)*100)</f>
        <v>43.274008285452716</v>
      </c>
      <c r="H71" s="1672">
        <f>+IF(B71=0,"",(F71/B71-1)*100)</f>
        <v>27.86054598028802</v>
      </c>
    </row>
    <row r="72" spans="1:8">
      <c r="A72" s="1673" t="s">
        <v>1156</v>
      </c>
      <c r="B72" s="1758">
        <v>42.064696712</v>
      </c>
      <c r="C72" s="204">
        <v>36.674661770999997</v>
      </c>
      <c r="D72" s="204">
        <v>42.968896132000005</v>
      </c>
      <c r="E72" s="204">
        <v>33.266041909999998</v>
      </c>
      <c r="F72" s="204">
        <v>39.305634142000002</v>
      </c>
      <c r="G72" s="204">
        <f>+IF(E72=0,"",(F72/E72-1)*100)</f>
        <v>18.155427833404069</v>
      </c>
      <c r="H72" s="204">
        <f>+IF(B72=0,"",(F72/B72-1)*100)</f>
        <v>-6.5590929821512489</v>
      </c>
    </row>
    <row r="73" spans="1:8">
      <c r="A73" s="1668" t="s">
        <v>1157</v>
      </c>
      <c r="B73" s="1672">
        <v>39.407501824000001</v>
      </c>
      <c r="C73" s="1672">
        <v>25.769359359999999</v>
      </c>
      <c r="D73" s="1672">
        <v>30.574418072</v>
      </c>
      <c r="E73" s="1672">
        <v>24.684510696</v>
      </c>
      <c r="F73" s="1672">
        <v>37.896030074000002</v>
      </c>
      <c r="G73" s="1672">
        <f>+IF(E73=0,"",(F73/E73-1)*100)</f>
        <v>53.521495891514114</v>
      </c>
      <c r="H73" s="1672">
        <f>+IF(B73=0,"",(F73/B73-1)*100)</f>
        <v>-3.8354924317467898</v>
      </c>
    </row>
    <row r="74" spans="1:8" ht="36.9">
      <c r="A74" s="1669" t="s">
        <v>1155</v>
      </c>
      <c r="B74" s="1758">
        <v>36.824623041000002</v>
      </c>
      <c r="C74" s="204">
        <v>35.461084694</v>
      </c>
      <c r="D74" s="204">
        <v>28.502257509</v>
      </c>
      <c r="E74" s="204">
        <v>42.254623679999995</v>
      </c>
      <c r="F74" s="204">
        <v>32.198506297000002</v>
      </c>
      <c r="G74" s="204">
        <f>+IF(E74=0,"",(F74/E74-1)*100)</f>
        <v>-23.798856804775582</v>
      </c>
      <c r="H74" s="204">
        <f>+IF(B74=0,"",(F74/B74-1)*100)</f>
        <v>-12.562563746679356</v>
      </c>
    </row>
    <row r="75" spans="1:8">
      <c r="A75" s="1668" t="s">
        <v>1158</v>
      </c>
      <c r="B75" s="1672">
        <v>17.48095825</v>
      </c>
      <c r="C75" s="1672">
        <v>12.812907746999999</v>
      </c>
      <c r="D75" s="1672">
        <v>13.723876368999999</v>
      </c>
      <c r="E75" s="1672">
        <v>14.174829477999999</v>
      </c>
      <c r="F75" s="1672">
        <v>18.276054026999997</v>
      </c>
      <c r="G75" s="1672">
        <f>+IF(E75=0,"",(F75/E75-1)*100)</f>
        <v>28.933149110296476</v>
      </c>
      <c r="H75" s="1672">
        <f>+IF(B75=0,"",(F75/B75-1)*100)</f>
        <v>4.548353503447089</v>
      </c>
    </row>
    <row r="76" spans="1:8">
      <c r="A76" s="73" t="s">
        <v>344</v>
      </c>
      <c r="B76" s="908"/>
      <c r="C76" s="908"/>
      <c r="D76" s="908"/>
      <c r="E76" s="908"/>
      <c r="F76" s="908"/>
      <c r="G76" s="908"/>
      <c r="H76" s="908"/>
    </row>
    <row r="77" spans="1:8">
      <c r="A77" s="600"/>
      <c r="B77" s="908"/>
      <c r="C77" s="908"/>
      <c r="D77" s="908"/>
      <c r="E77" s="908"/>
      <c r="F77" s="908"/>
      <c r="G77" s="908"/>
      <c r="H77" s="908"/>
    </row>
    <row r="78" spans="1:8" ht="12.6">
      <c r="A78" s="86" t="s">
        <v>661</v>
      </c>
      <c r="B78" s="908"/>
      <c r="C78" s="908"/>
      <c r="D78" s="908"/>
      <c r="E78" s="908"/>
      <c r="F78" s="908"/>
      <c r="G78" s="908"/>
      <c r="H78" s="908"/>
    </row>
    <row r="79" spans="1:8">
      <c r="A79" s="68" t="s">
        <v>662</v>
      </c>
      <c r="B79" s="908"/>
      <c r="C79" s="908"/>
      <c r="D79" s="908"/>
      <c r="E79" s="908"/>
      <c r="F79" s="908"/>
      <c r="G79" s="908"/>
      <c r="H79" s="908"/>
    </row>
    <row r="80" spans="1:8">
      <c r="A80" s="68"/>
      <c r="B80" s="908"/>
      <c r="C80" s="908"/>
      <c r="D80" s="908"/>
      <c r="E80" s="908"/>
      <c r="F80" s="908"/>
      <c r="G80" s="908"/>
      <c r="H80" s="908"/>
    </row>
    <row r="81" spans="1:8">
      <c r="A81" s="31"/>
      <c r="B81" s="2079" t="s">
        <v>527</v>
      </c>
      <c r="C81" s="2080"/>
      <c r="D81" s="2080"/>
      <c r="E81" s="2080"/>
      <c r="F81" s="2081"/>
      <c r="G81" s="2067" t="s">
        <v>18</v>
      </c>
      <c r="H81" s="2069"/>
    </row>
    <row r="82" spans="1:8">
      <c r="A82" s="904"/>
      <c r="B82" s="783" t="str">
        <f>Base_Trimestrielle!EN40</f>
        <v>4T2022</v>
      </c>
      <c r="C82" s="783" t="str">
        <f>Base_Trimestrielle!EO40</f>
        <v>1T2023</v>
      </c>
      <c r="D82" s="783" t="str">
        <f>Base_Trimestrielle!EP40</f>
        <v>2T2023</v>
      </c>
      <c r="E82" s="784" t="str">
        <f>Base_Trimestrielle!EQ40</f>
        <v>3T2023</v>
      </c>
      <c r="F82" s="784" t="str">
        <f>Base_Trimestrielle!ER40</f>
        <v>4T2023</v>
      </c>
      <c r="G82" s="32" t="s">
        <v>503</v>
      </c>
      <c r="H82" s="32" t="s">
        <v>20</v>
      </c>
    </row>
    <row r="83" spans="1:8">
      <c r="A83" s="1668" t="s">
        <v>1159</v>
      </c>
      <c r="B83" s="1675">
        <v>475.14969001899999</v>
      </c>
      <c r="C83" s="1675">
        <v>467.43536460899998</v>
      </c>
      <c r="D83" s="1675">
        <v>452.18488259499998</v>
      </c>
      <c r="E83" s="1675">
        <v>466.93331428900001</v>
      </c>
      <c r="F83" s="1676">
        <v>441.01632700499999</v>
      </c>
      <c r="G83" s="1675">
        <f t="shared" ref="G83:G92" si="0">+IF(E83=0,"",(F83/E83-1)*100)</f>
        <v>-5.5504686624178508</v>
      </c>
      <c r="H83" s="1676">
        <f t="shared" ref="H83:H92" si="1">+IF(B83=0,"",(F83/B83-1)*100)</f>
        <v>-7.1837073097185673</v>
      </c>
    </row>
    <row r="84" spans="1:8">
      <c r="A84" s="1677" t="s">
        <v>1160</v>
      </c>
      <c r="B84" s="1678">
        <v>4.8623866290000004</v>
      </c>
      <c r="C84" s="1678">
        <v>9.8682356870000003</v>
      </c>
      <c r="D84" s="1678">
        <v>71.681220683999996</v>
      </c>
      <c r="E84" s="1678">
        <v>65.977610149</v>
      </c>
      <c r="F84" s="1679">
        <v>83.093844848000003</v>
      </c>
      <c r="G84" s="1678">
        <f t="shared" si="0"/>
        <v>25.942489672399006</v>
      </c>
      <c r="H84" s="1679">
        <f t="shared" si="1"/>
        <v>1608.9106890927987</v>
      </c>
    </row>
    <row r="85" spans="1:8">
      <c r="A85" s="1668" t="s">
        <v>1161</v>
      </c>
      <c r="B85" s="1675">
        <v>0.97707501200000002</v>
      </c>
      <c r="C85" s="1675">
        <v>3.2776761200000002</v>
      </c>
      <c r="D85" s="1675">
        <v>2.5339768810000001</v>
      </c>
      <c r="E85" s="1675">
        <v>0.18126647300000001</v>
      </c>
      <c r="F85" s="1676">
        <v>44.278723675999998</v>
      </c>
      <c r="G85" s="1675">
        <f t="shared" si="0"/>
        <v>24327.420550076014</v>
      </c>
      <c r="H85" s="1676">
        <f t="shared" si="1"/>
        <v>4431.762979524442</v>
      </c>
    </row>
    <row r="86" spans="1:8">
      <c r="A86" s="1677" t="s">
        <v>1162</v>
      </c>
      <c r="B86" s="1678">
        <v>100.586996054</v>
      </c>
      <c r="C86" s="1678">
        <v>77.000566672000005</v>
      </c>
      <c r="D86" s="1678">
        <v>40.030505691999998</v>
      </c>
      <c r="E86" s="1678">
        <v>23.132730746</v>
      </c>
      <c r="F86" s="1679">
        <v>22.577915039000001</v>
      </c>
      <c r="G86" s="1678">
        <f t="shared" si="0"/>
        <v>-2.398401265686867</v>
      </c>
      <c r="H86" s="1679">
        <f t="shared" si="1"/>
        <v>-77.553843016766223</v>
      </c>
    </row>
    <row r="87" spans="1:8">
      <c r="A87" s="1668" t="s">
        <v>1163</v>
      </c>
      <c r="B87" s="1675">
        <v>10.696339721999999</v>
      </c>
      <c r="C87" s="1675">
        <v>7.5932149390000001</v>
      </c>
      <c r="D87" s="1675">
        <v>8.7475344259999996</v>
      </c>
      <c r="E87" s="1675">
        <v>14.235936046000001</v>
      </c>
      <c r="F87" s="1676">
        <v>18.945936086</v>
      </c>
      <c r="G87" s="1675">
        <f t="shared" si="0"/>
        <v>33.08528518799725</v>
      </c>
      <c r="H87" s="1676">
        <f t="shared" si="1"/>
        <v>77.125414659674746</v>
      </c>
    </row>
    <row r="88" spans="1:8">
      <c r="A88" s="1677" t="s">
        <v>1164</v>
      </c>
      <c r="B88" s="1678">
        <v>45.440505635000001</v>
      </c>
      <c r="C88" s="1678">
        <v>34.472707921999998</v>
      </c>
      <c r="D88" s="1678">
        <v>24.957115915999999</v>
      </c>
      <c r="E88" s="1678">
        <v>4.0818452880000002</v>
      </c>
      <c r="F88" s="1679">
        <v>18.864290492999999</v>
      </c>
      <c r="G88" s="1678">
        <f t="shared" si="0"/>
        <v>362.15104106121129</v>
      </c>
      <c r="H88" s="1679">
        <f t="shared" si="1"/>
        <v>-58.485738155012946</v>
      </c>
    </row>
    <row r="89" spans="1:8">
      <c r="A89" s="1668" t="s">
        <v>1165</v>
      </c>
      <c r="B89" s="1675">
        <v>42.078766991999998</v>
      </c>
      <c r="C89" s="1675">
        <v>16.806304352000002</v>
      </c>
      <c r="D89" s="1675">
        <v>14.548066829</v>
      </c>
      <c r="E89" s="1675">
        <v>0</v>
      </c>
      <c r="F89" s="1676">
        <v>16.257369600000001</v>
      </c>
      <c r="G89" s="1675"/>
      <c r="H89" s="1676"/>
    </row>
    <row r="90" spans="1:8">
      <c r="A90" s="1677" t="s">
        <v>1166</v>
      </c>
      <c r="B90" s="1678">
        <v>6.3906488990000003</v>
      </c>
      <c r="C90" s="1678">
        <v>14.251367655999999</v>
      </c>
      <c r="D90" s="1678">
        <v>11.33547012</v>
      </c>
      <c r="E90" s="1678">
        <v>3.4887767759999999</v>
      </c>
      <c r="F90" s="1679">
        <v>11.170834952</v>
      </c>
      <c r="G90" s="1678">
        <f t="shared" si="0"/>
        <v>220.19345659620387</v>
      </c>
      <c r="H90" s="1679">
        <f t="shared" si="1"/>
        <v>74.799697629265722</v>
      </c>
    </row>
    <row r="91" spans="1:8">
      <c r="A91" s="1668" t="s">
        <v>1167</v>
      </c>
      <c r="B91" s="1675">
        <v>8.15</v>
      </c>
      <c r="C91" s="1675">
        <v>3.7050000000000001</v>
      </c>
      <c r="D91" s="1675">
        <v>7.3031077E-2</v>
      </c>
      <c r="E91" s="1675">
        <v>8.6717121739999996</v>
      </c>
      <c r="F91" s="1676">
        <v>9.9042849099999994</v>
      </c>
      <c r="G91" s="1675"/>
      <c r="H91" s="1676"/>
    </row>
    <row r="92" spans="1:8" ht="24.6">
      <c r="A92" s="1677" t="s">
        <v>1168</v>
      </c>
      <c r="B92" s="1678">
        <v>6.2364465000000001E-2</v>
      </c>
      <c r="C92" s="1678">
        <v>2.4467800240000002</v>
      </c>
      <c r="D92" s="1678">
        <v>1.427831055</v>
      </c>
      <c r="E92" s="1678">
        <v>5.7091949000000003E-2</v>
      </c>
      <c r="F92" s="1679">
        <v>4.4534333110000004</v>
      </c>
      <c r="G92" s="1678">
        <f t="shared" si="0"/>
        <v>7700.4576634789619</v>
      </c>
      <c r="H92" s="1679">
        <f t="shared" si="1"/>
        <v>7040.9789388877143</v>
      </c>
    </row>
    <row r="93" spans="1:8">
      <c r="A93" s="73" t="s">
        <v>344</v>
      </c>
      <c r="B93" s="908"/>
      <c r="C93" s="908"/>
      <c r="D93" s="908"/>
      <c r="E93" s="908"/>
      <c r="F93" s="908"/>
      <c r="G93" s="908"/>
      <c r="H93" s="908"/>
    </row>
    <row r="94" spans="1:8">
      <c r="A94" s="73"/>
      <c r="B94" s="908"/>
      <c r="C94" s="908"/>
      <c r="D94" s="908"/>
      <c r="E94" s="908"/>
      <c r="F94" s="908"/>
      <c r="G94" s="908"/>
      <c r="H94" s="908"/>
    </row>
    <row r="95" spans="1:8">
      <c r="A95" s="73"/>
      <c r="B95" s="908"/>
      <c r="C95" s="908"/>
      <c r="D95" s="908"/>
      <c r="E95" s="908"/>
      <c r="F95" s="908"/>
      <c r="G95" s="908"/>
      <c r="H95" s="908"/>
    </row>
    <row r="96" spans="1:8" ht="12.6">
      <c r="A96" s="68" t="s">
        <v>673</v>
      </c>
      <c r="B96" s="908"/>
      <c r="C96" s="908"/>
      <c r="D96" s="908"/>
      <c r="E96" s="908"/>
      <c r="F96" s="908"/>
      <c r="G96" s="908"/>
      <c r="H96" s="908"/>
    </row>
    <row r="97" spans="1:8">
      <c r="A97" s="68"/>
      <c r="B97" s="908"/>
      <c r="C97" s="908"/>
      <c r="D97" s="908"/>
      <c r="E97" s="908"/>
      <c r="F97" s="908"/>
      <c r="G97" s="908"/>
      <c r="H97" s="908"/>
    </row>
    <row r="98" spans="1:8">
      <c r="A98" s="68"/>
      <c r="B98" s="908"/>
      <c r="C98" s="908"/>
      <c r="D98" s="908"/>
      <c r="E98" s="908"/>
      <c r="F98" s="908"/>
      <c r="G98" s="908"/>
      <c r="H98" s="908"/>
    </row>
    <row r="99" spans="1:8">
      <c r="A99" s="31"/>
      <c r="B99" s="2079" t="s">
        <v>527</v>
      </c>
      <c r="C99" s="2080"/>
      <c r="D99" s="2080"/>
      <c r="E99" s="2080"/>
      <c r="F99" s="2081"/>
      <c r="G99" s="2067" t="s">
        <v>18</v>
      </c>
      <c r="H99" s="2069"/>
    </row>
    <row r="100" spans="1:8">
      <c r="A100" s="904"/>
      <c r="B100" s="783" t="str">
        <f>Base_Trimestrielle!EW40</f>
        <v>4T2022</v>
      </c>
      <c r="C100" s="784" t="str">
        <f>Base_Trimestrielle!EX40</f>
        <v>1T2023</v>
      </c>
      <c r="D100" s="784" t="str">
        <f>Base_Trimestrielle!EY40</f>
        <v>2T2023</v>
      </c>
      <c r="E100" s="784" t="str">
        <f>Base_Trimestrielle!EZ40</f>
        <v>3T2023</v>
      </c>
      <c r="F100" s="784" t="str">
        <f>Base_Trimestrielle!FA40</f>
        <v>4T2023</v>
      </c>
      <c r="G100" s="32" t="s">
        <v>503</v>
      </c>
      <c r="H100" s="32" t="s">
        <v>20</v>
      </c>
    </row>
    <row r="101" spans="1:8">
      <c r="A101" s="1668" t="s">
        <v>1164</v>
      </c>
      <c r="B101" s="1675">
        <v>95.245066007999995</v>
      </c>
      <c r="C101" s="1675">
        <v>113.00471533699999</v>
      </c>
      <c r="D101" s="1675">
        <v>113.846338647</v>
      </c>
      <c r="E101" s="1675">
        <v>103.757496123</v>
      </c>
      <c r="F101" s="1676">
        <v>164.76781187200001</v>
      </c>
      <c r="G101" s="1675">
        <f t="shared" ref="G101:G110" si="2">+IF(E101=0,"",(F101/E101-1)*100)</f>
        <v>58.800875145131613</v>
      </c>
      <c r="H101" s="1676">
        <f t="shared" ref="H101:H110" si="3">+IF(B101=0,"",(F101/B101-1)*100)</f>
        <v>72.993540534856209</v>
      </c>
    </row>
    <row r="102" spans="1:8" ht="24.6">
      <c r="A102" s="1677" t="s">
        <v>1168</v>
      </c>
      <c r="B102" s="1678">
        <v>117.76732165999999</v>
      </c>
      <c r="C102" s="1678">
        <v>121.48047572575</v>
      </c>
      <c r="D102" s="1678">
        <v>122.99823919649999</v>
      </c>
      <c r="E102" s="1678">
        <v>129.39510424727899</v>
      </c>
      <c r="F102" s="1679">
        <v>115.91662055625</v>
      </c>
      <c r="G102" s="1678">
        <f t="shared" si="2"/>
        <v>-10.416532966557302</v>
      </c>
      <c r="H102" s="1679">
        <f t="shared" si="3"/>
        <v>-1.5714895080089053</v>
      </c>
    </row>
    <row r="103" spans="1:8">
      <c r="A103" s="1668" t="s">
        <v>1169</v>
      </c>
      <c r="B103" s="1675">
        <v>38.183657955000001</v>
      </c>
      <c r="C103" s="1675">
        <v>49.806672405999997</v>
      </c>
      <c r="D103" s="1675">
        <v>85.706398356999998</v>
      </c>
      <c r="E103" s="1675">
        <v>84.953179782999996</v>
      </c>
      <c r="F103" s="1676">
        <v>97.319515570999997</v>
      </c>
      <c r="G103" s="1675">
        <f t="shared" si="2"/>
        <v>14.556648520500271</v>
      </c>
      <c r="H103" s="1676">
        <f t="shared" si="3"/>
        <v>154.87216464617526</v>
      </c>
    </row>
    <row r="104" spans="1:8">
      <c r="A104" s="1677" t="s">
        <v>1163</v>
      </c>
      <c r="B104" s="1678">
        <v>39.635081632999999</v>
      </c>
      <c r="C104" s="1678">
        <v>38.404912664000001</v>
      </c>
      <c r="D104" s="1678">
        <v>45.776231367500003</v>
      </c>
      <c r="E104" s="1678">
        <v>63.584492103999999</v>
      </c>
      <c r="F104" s="1679">
        <v>80.087062660000001</v>
      </c>
      <c r="G104" s="1678"/>
      <c r="H104" s="1679"/>
    </row>
    <row r="105" spans="1:8">
      <c r="A105" s="1668" t="s">
        <v>1170</v>
      </c>
      <c r="B105" s="1675">
        <v>106.117880054</v>
      </c>
      <c r="C105" s="1675">
        <v>71.016905443374995</v>
      </c>
      <c r="D105" s="1675">
        <v>63.868229266</v>
      </c>
      <c r="E105" s="1675">
        <v>71.761893073871008</v>
      </c>
      <c r="F105" s="1676">
        <v>56.031250686999996</v>
      </c>
      <c r="G105" s="1675">
        <f t="shared" si="2"/>
        <v>-21.920606763645488</v>
      </c>
      <c r="H105" s="1676">
        <f t="shared" si="3"/>
        <v>-47.199048210831684</v>
      </c>
    </row>
    <row r="106" spans="1:8" ht="24.6">
      <c r="A106" s="1677" t="s">
        <v>1171</v>
      </c>
      <c r="B106" s="1678">
        <v>44.803299969999998</v>
      </c>
      <c r="C106" s="1678">
        <v>32.602658193000003</v>
      </c>
      <c r="D106" s="1678">
        <v>28.230634515999999</v>
      </c>
      <c r="E106" s="1678">
        <v>34.430934716762998</v>
      </c>
      <c r="F106" s="1679">
        <v>52.851036004999997</v>
      </c>
      <c r="G106" s="1678">
        <f t="shared" si="2"/>
        <v>53.498696563904247</v>
      </c>
      <c r="H106" s="1679">
        <f t="shared" si="3"/>
        <v>17.962373397470088</v>
      </c>
    </row>
    <row r="107" spans="1:8">
      <c r="A107" s="1668" t="s">
        <v>1161</v>
      </c>
      <c r="B107" s="1675">
        <v>76.708057268999994</v>
      </c>
      <c r="C107" s="1675">
        <v>41.741618447999997</v>
      </c>
      <c r="D107" s="1675">
        <v>70.107779722000004</v>
      </c>
      <c r="E107" s="1675">
        <v>50.463712334999997</v>
      </c>
      <c r="F107" s="1676">
        <v>42.607515743999997</v>
      </c>
      <c r="G107" s="1675"/>
      <c r="H107" s="1676"/>
    </row>
    <row r="108" spans="1:8">
      <c r="A108" s="1677" t="s">
        <v>1172</v>
      </c>
      <c r="B108" s="1678">
        <v>61.316834790999998</v>
      </c>
      <c r="C108" s="1678">
        <v>35.373602697999999</v>
      </c>
      <c r="D108" s="1678">
        <v>29.920509418000002</v>
      </c>
      <c r="E108" s="1678">
        <v>18.643803233</v>
      </c>
      <c r="F108" s="1679">
        <v>39.526010188999997</v>
      </c>
      <c r="G108" s="1678">
        <f t="shared" si="2"/>
        <v>112.00615397526815</v>
      </c>
      <c r="H108" s="1679">
        <f t="shared" si="3"/>
        <v>-35.538078043778</v>
      </c>
    </row>
    <row r="109" spans="1:8">
      <c r="A109" s="1668" t="s">
        <v>1173</v>
      </c>
      <c r="B109" s="1675">
        <v>7.180631902</v>
      </c>
      <c r="C109" s="1675">
        <v>7.4253911270000001</v>
      </c>
      <c r="D109" s="1675">
        <v>7.5306069019999997</v>
      </c>
      <c r="E109" s="1675">
        <v>7.7043357984180005</v>
      </c>
      <c r="F109" s="1676">
        <v>31.364083014999999</v>
      </c>
      <c r="G109" s="1675">
        <f t="shared" si="2"/>
        <v>307.09652117500201</v>
      </c>
      <c r="H109" s="1676">
        <f t="shared" si="3"/>
        <v>336.78722768485397</v>
      </c>
    </row>
    <row r="110" spans="1:8">
      <c r="A110" s="1677" t="s">
        <v>1174</v>
      </c>
      <c r="B110" s="1678">
        <v>21.664220784000001</v>
      </c>
      <c r="C110" s="1678">
        <v>16.408443428000002</v>
      </c>
      <c r="D110" s="1678">
        <v>10.732680744</v>
      </c>
      <c r="E110" s="1678">
        <v>8.9542662688279986</v>
      </c>
      <c r="F110" s="1679">
        <v>24.083409423999999</v>
      </c>
      <c r="G110" s="1678">
        <f t="shared" si="2"/>
        <v>168.96016603661056</v>
      </c>
      <c r="H110" s="1679">
        <f t="shared" si="3"/>
        <v>11.166746610091227</v>
      </c>
    </row>
    <row r="111" spans="1:8">
      <c r="A111" s="73" t="s">
        <v>344</v>
      </c>
      <c r="B111" s="903"/>
      <c r="C111" s="903"/>
      <c r="D111" s="903"/>
      <c r="E111" s="903"/>
      <c r="F111" s="903"/>
      <c r="G111" s="903"/>
      <c r="H111" s="903"/>
    </row>
    <row r="112" spans="1:8">
      <c r="A112" s="31"/>
      <c r="B112" s="903"/>
      <c r="C112" s="903"/>
      <c r="D112" s="903"/>
      <c r="E112" s="903"/>
      <c r="F112" s="903"/>
      <c r="G112" s="903"/>
      <c r="H112" s="903"/>
    </row>
    <row r="113" spans="1:8">
      <c r="A113" s="31"/>
      <c r="B113" s="903"/>
      <c r="C113" s="903"/>
      <c r="D113" s="903"/>
      <c r="E113" s="903"/>
      <c r="F113" s="903"/>
      <c r="G113" s="903"/>
      <c r="H113" s="903"/>
    </row>
    <row r="114" spans="1:8">
      <c r="A114" s="31"/>
      <c r="B114" s="903"/>
      <c r="C114" s="903"/>
      <c r="D114" s="903"/>
      <c r="E114" s="903"/>
      <c r="F114" s="903"/>
      <c r="G114" s="903"/>
      <c r="H114" s="903"/>
    </row>
    <row r="115" spans="1:8">
      <c r="A115" s="31"/>
      <c r="B115" s="903"/>
      <c r="C115" s="903"/>
      <c r="D115" s="903"/>
      <c r="E115" s="903"/>
      <c r="F115" s="903"/>
      <c r="G115" s="903"/>
      <c r="H115" s="903"/>
    </row>
    <row r="116" spans="1:8">
      <c r="A116" s="31"/>
      <c r="B116" s="903"/>
      <c r="C116" s="903"/>
      <c r="D116" s="903"/>
      <c r="E116" s="903"/>
      <c r="F116" s="903"/>
      <c r="G116" s="903"/>
      <c r="H116" s="903"/>
    </row>
    <row r="117" spans="1:8">
      <c r="A117" s="31"/>
      <c r="B117" s="903"/>
      <c r="C117" s="903"/>
      <c r="D117" s="903"/>
      <c r="E117" s="903"/>
      <c r="F117" s="903"/>
      <c r="G117" s="903"/>
      <c r="H117" s="903"/>
    </row>
    <row r="118" spans="1:8">
      <c r="A118" s="31"/>
      <c r="B118" s="903"/>
      <c r="C118" s="903"/>
      <c r="D118" s="903"/>
      <c r="E118" s="903"/>
      <c r="F118" s="903"/>
      <c r="G118" s="903"/>
      <c r="H118" s="903"/>
    </row>
    <row r="119" spans="1:8">
      <c r="A119" s="31"/>
      <c r="B119" s="903"/>
      <c r="C119" s="903"/>
      <c r="D119" s="903"/>
      <c r="E119" s="903"/>
      <c r="F119" s="903"/>
      <c r="G119" s="903"/>
      <c r="H119" s="903"/>
    </row>
    <row r="120" spans="1:8">
      <c r="A120" s="31"/>
      <c r="B120" s="903"/>
      <c r="C120" s="903"/>
      <c r="D120" s="903"/>
      <c r="E120" s="903"/>
      <c r="F120" s="903"/>
      <c r="G120" s="903"/>
      <c r="H120" s="903"/>
    </row>
    <row r="121" spans="1:8">
      <c r="A121" s="31"/>
      <c r="B121" s="903"/>
      <c r="C121" s="903"/>
      <c r="D121" s="903"/>
      <c r="E121" s="903"/>
      <c r="F121" s="903"/>
      <c r="G121" s="903"/>
      <c r="H121" s="903"/>
    </row>
    <row r="122" spans="1:8">
      <c r="A122" s="31"/>
      <c r="B122" s="903"/>
      <c r="C122" s="903"/>
      <c r="D122" s="903"/>
      <c r="E122" s="903"/>
      <c r="F122" s="903"/>
      <c r="G122" s="903"/>
      <c r="H122" s="903"/>
    </row>
    <row r="123" spans="1:8">
      <c r="A123" s="31"/>
      <c r="B123" s="903"/>
      <c r="C123" s="903"/>
      <c r="D123" s="903"/>
      <c r="E123" s="903"/>
      <c r="F123" s="903"/>
      <c r="G123" s="903"/>
      <c r="H123" s="903"/>
    </row>
    <row r="124" spans="1:8">
      <c r="A124" s="31"/>
      <c r="B124" s="903"/>
      <c r="C124" s="903"/>
      <c r="D124" s="903"/>
      <c r="E124" s="903"/>
      <c r="F124" s="903"/>
      <c r="G124" s="903"/>
      <c r="H124" s="903"/>
    </row>
    <row r="125" spans="1:8">
      <c r="A125" s="31"/>
      <c r="B125" s="903"/>
      <c r="C125" s="903"/>
      <c r="D125" s="903"/>
      <c r="E125" s="903"/>
      <c r="F125" s="903"/>
      <c r="G125" s="903"/>
      <c r="H125" s="903"/>
    </row>
    <row r="126" spans="1:8">
      <c r="A126" s="31"/>
      <c r="B126" s="903"/>
      <c r="C126" s="903"/>
      <c r="D126" s="903"/>
      <c r="E126" s="903"/>
      <c r="F126" s="903"/>
      <c r="G126" s="903"/>
      <c r="H126" s="903"/>
    </row>
    <row r="127" spans="1:8">
      <c r="A127" s="31"/>
      <c r="B127" s="903"/>
      <c r="C127" s="903"/>
      <c r="D127" s="903"/>
      <c r="E127" s="903"/>
      <c r="F127" s="903"/>
      <c r="G127" s="903"/>
      <c r="H127" s="903"/>
    </row>
    <row r="128" spans="1:8">
      <c r="A128" s="31"/>
      <c r="B128" s="903"/>
      <c r="C128" s="903"/>
      <c r="D128" s="903"/>
      <c r="E128" s="903"/>
      <c r="F128" s="903"/>
      <c r="G128" s="903"/>
      <c r="H128" s="903"/>
    </row>
    <row r="129" spans="1:8">
      <c r="A129" s="31"/>
      <c r="B129" s="903"/>
      <c r="C129" s="903"/>
      <c r="D129" s="903"/>
      <c r="E129" s="903"/>
      <c r="F129" s="903"/>
      <c r="G129" s="903"/>
      <c r="H129" s="903"/>
    </row>
    <row r="130" spans="1:8">
      <c r="A130" s="31"/>
      <c r="B130" s="903"/>
      <c r="C130" s="903"/>
      <c r="D130" s="903"/>
      <c r="E130" s="903"/>
      <c r="F130" s="903"/>
      <c r="G130" s="903"/>
      <c r="H130" s="903"/>
    </row>
    <row r="131" spans="1:8">
      <c r="A131" s="31"/>
      <c r="B131" s="903"/>
      <c r="C131" s="903"/>
      <c r="D131" s="903"/>
      <c r="E131" s="903"/>
      <c r="F131" s="903"/>
      <c r="G131" s="903"/>
      <c r="H131" s="903"/>
    </row>
    <row r="132" spans="1:8">
      <c r="A132" s="31"/>
      <c r="B132" s="903"/>
      <c r="C132" s="903"/>
      <c r="D132" s="903"/>
      <c r="E132" s="903"/>
      <c r="F132" s="903"/>
      <c r="G132" s="903"/>
      <c r="H132" s="903"/>
    </row>
    <row r="133" spans="1:8">
      <c r="A133" s="31"/>
      <c r="B133" s="903"/>
      <c r="C133" s="903"/>
      <c r="D133" s="903"/>
      <c r="E133" s="903"/>
      <c r="F133" s="903"/>
      <c r="G133" s="903"/>
      <c r="H133" s="903"/>
    </row>
    <row r="134" spans="1:8">
      <c r="A134" s="31"/>
      <c r="B134" s="903"/>
      <c r="C134" s="903"/>
      <c r="D134" s="903"/>
      <c r="E134" s="903"/>
      <c r="F134" s="903"/>
      <c r="G134" s="903"/>
      <c r="H134" s="903"/>
    </row>
    <row r="135" spans="1:8">
      <c r="A135" s="31"/>
      <c r="B135" s="903"/>
      <c r="C135" s="903"/>
      <c r="D135" s="903"/>
      <c r="E135" s="903"/>
      <c r="F135" s="903"/>
      <c r="G135" s="903"/>
      <c r="H135" s="903"/>
    </row>
    <row r="136" spans="1:8">
      <c r="A136" s="31"/>
      <c r="B136" s="903"/>
      <c r="C136" s="903"/>
      <c r="D136" s="903"/>
      <c r="E136" s="903"/>
      <c r="F136" s="903"/>
      <c r="G136" s="903"/>
      <c r="H136" s="903"/>
    </row>
    <row r="137" spans="1:8">
      <c r="A137" s="31"/>
      <c r="B137" s="903"/>
      <c r="C137" s="903"/>
      <c r="D137" s="903"/>
      <c r="E137" s="903"/>
      <c r="F137" s="903"/>
      <c r="G137" s="903"/>
      <c r="H137" s="903"/>
    </row>
    <row r="138" spans="1:8">
      <c r="A138" s="31"/>
      <c r="B138" s="903"/>
      <c r="C138" s="903"/>
      <c r="D138" s="903"/>
      <c r="E138" s="903"/>
      <c r="F138" s="903"/>
      <c r="G138" s="903"/>
      <c r="H138" s="903"/>
    </row>
    <row r="139" spans="1:8">
      <c r="A139" s="31"/>
      <c r="B139" s="903"/>
      <c r="C139" s="903"/>
      <c r="D139" s="903"/>
      <c r="E139" s="903"/>
      <c r="F139" s="903"/>
      <c r="G139" s="903"/>
      <c r="H139" s="903"/>
    </row>
    <row r="140" spans="1:8">
      <c r="A140" s="31"/>
      <c r="B140" s="903"/>
      <c r="C140" s="903"/>
      <c r="D140" s="903"/>
      <c r="E140" s="903"/>
      <c r="F140" s="903"/>
      <c r="G140" s="903"/>
      <c r="H140" s="903"/>
    </row>
    <row r="141" spans="1:8">
      <c r="A141" s="31"/>
      <c r="B141" s="903"/>
      <c r="C141" s="903"/>
      <c r="D141" s="903"/>
      <c r="E141" s="903"/>
      <c r="F141" s="903"/>
      <c r="G141" s="903"/>
      <c r="H141" s="903"/>
    </row>
    <row r="142" spans="1:8">
      <c r="A142" s="31"/>
      <c r="B142" s="903"/>
      <c r="C142" s="903"/>
      <c r="D142" s="903"/>
      <c r="E142" s="903"/>
      <c r="F142" s="903"/>
      <c r="G142" s="903"/>
      <c r="H142" s="903"/>
    </row>
    <row r="143" spans="1:8">
      <c r="A143" s="31"/>
      <c r="B143" s="903"/>
      <c r="C143" s="903"/>
      <c r="D143" s="903"/>
      <c r="E143" s="903"/>
      <c r="F143" s="903"/>
      <c r="G143" s="903"/>
      <c r="H143" s="903"/>
    </row>
    <row r="144" spans="1:8">
      <c r="A144" s="31"/>
      <c r="B144" s="903"/>
      <c r="C144" s="903"/>
      <c r="D144" s="903"/>
      <c r="E144" s="903"/>
      <c r="F144" s="903"/>
      <c r="G144" s="903"/>
      <c r="H144" s="903"/>
    </row>
    <row r="145" spans="1:8">
      <c r="A145" s="31"/>
      <c r="B145" s="903"/>
      <c r="C145" s="903"/>
      <c r="D145" s="903"/>
      <c r="E145" s="903"/>
      <c r="F145" s="903"/>
      <c r="G145" s="903"/>
      <c r="H145" s="903"/>
    </row>
    <row r="146" spans="1:8">
      <c r="A146" s="31"/>
      <c r="B146" s="903"/>
      <c r="C146" s="903"/>
      <c r="D146" s="903"/>
      <c r="E146" s="903"/>
      <c r="F146" s="903"/>
      <c r="G146" s="903"/>
      <c r="H146" s="903"/>
    </row>
    <row r="147" spans="1:8">
      <c r="A147" s="31"/>
      <c r="B147" s="903"/>
      <c r="C147" s="903"/>
      <c r="D147" s="903"/>
      <c r="E147" s="903"/>
      <c r="F147" s="903"/>
      <c r="G147" s="903"/>
      <c r="H147" s="903"/>
    </row>
    <row r="148" spans="1:8">
      <c r="A148" s="31"/>
      <c r="B148" s="903"/>
      <c r="C148" s="903"/>
      <c r="D148" s="903"/>
      <c r="E148" s="903"/>
      <c r="F148" s="903"/>
      <c r="G148" s="903"/>
      <c r="H148" s="903"/>
    </row>
    <row r="149" spans="1:8">
      <c r="A149" s="31"/>
      <c r="B149" s="903"/>
      <c r="C149" s="903"/>
      <c r="D149" s="903"/>
      <c r="E149" s="903"/>
      <c r="F149" s="903"/>
      <c r="G149" s="903"/>
      <c r="H149" s="903"/>
    </row>
    <row r="150" spans="1:8">
      <c r="A150" s="31"/>
      <c r="B150" s="903"/>
      <c r="C150" s="903"/>
      <c r="D150" s="903"/>
      <c r="E150" s="903"/>
      <c r="F150" s="903"/>
      <c r="G150" s="903"/>
      <c r="H150" s="903"/>
    </row>
    <row r="151" spans="1:8">
      <c r="A151" s="31"/>
      <c r="B151" s="903"/>
      <c r="C151" s="903"/>
      <c r="D151" s="903"/>
      <c r="E151" s="903"/>
      <c r="F151" s="903"/>
      <c r="G151" s="903"/>
      <c r="H151" s="903"/>
    </row>
    <row r="152" spans="1:8">
      <c r="A152" s="31"/>
      <c r="B152" s="903"/>
      <c r="C152" s="903"/>
      <c r="D152" s="903"/>
      <c r="E152" s="903"/>
      <c r="F152" s="903"/>
      <c r="G152" s="903"/>
      <c r="H152" s="903"/>
    </row>
    <row r="153" spans="1:8">
      <c r="A153" s="31"/>
      <c r="B153" s="903"/>
      <c r="C153" s="903"/>
      <c r="D153" s="903"/>
      <c r="E153" s="903"/>
      <c r="F153" s="903"/>
      <c r="G153" s="903"/>
      <c r="H153" s="903"/>
    </row>
    <row r="154" spans="1:8">
      <c r="A154" s="31"/>
      <c r="B154" s="903"/>
      <c r="C154" s="903"/>
      <c r="D154" s="903"/>
      <c r="E154" s="903"/>
      <c r="F154" s="903"/>
      <c r="G154" s="903"/>
      <c r="H154" s="903"/>
    </row>
    <row r="155" spans="1:8">
      <c r="A155" s="31"/>
      <c r="B155" s="903"/>
      <c r="C155" s="903"/>
      <c r="D155" s="903"/>
      <c r="E155" s="903"/>
      <c r="F155" s="903"/>
      <c r="G155" s="903"/>
      <c r="H155" s="903"/>
    </row>
    <row r="156" spans="1:8">
      <c r="A156" s="31"/>
      <c r="B156" s="903"/>
      <c r="C156" s="903"/>
      <c r="D156" s="903"/>
      <c r="E156" s="903"/>
      <c r="F156" s="903"/>
      <c r="G156" s="903"/>
      <c r="H156" s="903"/>
    </row>
    <row r="157" spans="1:8">
      <c r="A157" s="31"/>
      <c r="B157" s="903"/>
      <c r="C157" s="903"/>
      <c r="D157" s="903"/>
      <c r="E157" s="903"/>
      <c r="F157" s="903"/>
      <c r="G157" s="903"/>
      <c r="H157" s="903"/>
    </row>
    <row r="158" spans="1:8">
      <c r="A158" s="31"/>
      <c r="B158" s="903"/>
      <c r="C158" s="903"/>
      <c r="D158" s="903"/>
      <c r="E158" s="903"/>
      <c r="F158" s="903"/>
      <c r="G158" s="903"/>
      <c r="H158" s="903"/>
    </row>
    <row r="159" spans="1:8">
      <c r="A159" s="31"/>
      <c r="B159" s="903"/>
      <c r="C159" s="903"/>
      <c r="D159" s="903"/>
      <c r="E159" s="903"/>
      <c r="F159" s="903"/>
      <c r="G159" s="903"/>
      <c r="H159" s="903"/>
    </row>
    <row r="160" spans="1:8">
      <c r="A160" s="31"/>
      <c r="B160" s="903"/>
      <c r="C160" s="903"/>
      <c r="D160" s="903"/>
      <c r="E160" s="903"/>
      <c r="F160" s="903"/>
      <c r="G160" s="903"/>
      <c r="H160" s="903"/>
    </row>
  </sheetData>
  <mergeCells count="21">
    <mergeCell ref="B99:F99"/>
    <mergeCell ref="G99:H99"/>
    <mergeCell ref="B58:F58"/>
    <mergeCell ref="G58:H58"/>
    <mergeCell ref="B69:F69"/>
    <mergeCell ref="G69:H69"/>
    <mergeCell ref="B81:F81"/>
    <mergeCell ref="G81:H81"/>
    <mergeCell ref="B31:F31"/>
    <mergeCell ref="G31:H31"/>
    <mergeCell ref="B41:F41"/>
    <mergeCell ref="G41:H41"/>
    <mergeCell ref="B51:F51"/>
    <mergeCell ref="G51:H51"/>
    <mergeCell ref="B21:F21"/>
    <mergeCell ref="G21:H21"/>
    <mergeCell ref="A1:H1"/>
    <mergeCell ref="B5:F5"/>
    <mergeCell ref="G5:H5"/>
    <mergeCell ref="B13:F13"/>
    <mergeCell ref="G13:H13"/>
  </mergeCells>
  <pageMargins left="0.70866141732283472" right="0.70866141732283472" top="0.74803149606299213" bottom="0.74803149606299213" header="0.31496062992125984" footer="0.31496062992125984"/>
  <pageSetup paperSize="9" scale="70" firstPageNumber="6" orientation="portrait" r:id="rId1"/>
  <headerFooter>
    <oddFooter>&amp;L&amp;8Bulletin trimestriel de conjoncture, 4e trimestre 2023</oddFooter>
  </headerFooter>
  <rowBreaks count="3" manualBreakCount="3">
    <brk id="47" max="7" man="1"/>
    <brk id="111" max="16383" man="1"/>
    <brk id="174"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tabColor rgb="FF00B050"/>
  </sheetPr>
  <dimension ref="A1:T91"/>
  <sheetViews>
    <sheetView view="pageBreakPreview" topLeftCell="D1" zoomScaleSheetLayoutView="100" workbookViewId="0">
      <selection activeCell="K50" sqref="K50"/>
    </sheetView>
  </sheetViews>
  <sheetFormatPr baseColWidth="10" defaultRowHeight="12.3"/>
  <cols>
    <col min="1" max="1" width="27.1640625" customWidth="1"/>
    <col min="2" max="2" width="8.83203125" bestFit="1" customWidth="1"/>
    <col min="3" max="3" width="7.83203125" bestFit="1" customWidth="1"/>
    <col min="4" max="4" width="8.44140625" bestFit="1" customWidth="1"/>
    <col min="5" max="5" width="8" customWidth="1"/>
    <col min="6" max="7" width="7.83203125" bestFit="1" customWidth="1"/>
    <col min="8" max="8" width="8" customWidth="1"/>
    <col min="9" max="9" width="7.83203125" customWidth="1"/>
    <col min="10" max="10" width="19.44140625" customWidth="1"/>
    <col min="18" max="18" width="12.5546875" customWidth="1"/>
    <col min="20" max="20" width="12.27734375" bestFit="1" customWidth="1"/>
  </cols>
  <sheetData>
    <row r="1" spans="1:20" ht="17.7">
      <c r="A1" s="2048"/>
      <c r="B1" s="2048"/>
      <c r="C1" s="2048"/>
      <c r="D1" s="2048"/>
      <c r="E1" s="2048"/>
      <c r="F1" s="2048"/>
      <c r="G1" s="2048"/>
      <c r="H1" s="2048"/>
      <c r="I1" s="2048"/>
      <c r="J1" s="2090" t="s">
        <v>220</v>
      </c>
      <c r="K1" s="2090"/>
      <c r="L1" s="2090"/>
      <c r="M1" s="2090"/>
      <c r="N1" s="2090"/>
      <c r="O1" s="2090"/>
      <c r="P1" s="2090"/>
      <c r="Q1" s="2090"/>
      <c r="R1" s="1879"/>
    </row>
    <row r="2" spans="1:20">
      <c r="A2" s="415"/>
      <c r="B2" s="415"/>
      <c r="C2" s="415"/>
      <c r="D2" s="415"/>
      <c r="E2" s="415"/>
      <c r="F2" s="415"/>
      <c r="G2" s="415"/>
      <c r="H2" s="432"/>
      <c r="I2" s="415"/>
    </row>
    <row r="3" spans="1:20">
      <c r="A3" s="1301"/>
      <c r="B3" s="68"/>
      <c r="C3" s="68"/>
      <c r="D3" s="68"/>
      <c r="E3" s="68"/>
      <c r="F3" s="68"/>
      <c r="G3" s="68"/>
      <c r="H3" s="68"/>
      <c r="I3" s="68"/>
      <c r="J3" t="s">
        <v>970</v>
      </c>
    </row>
    <row r="4" spans="1:20">
      <c r="A4" s="68"/>
      <c r="B4" s="68"/>
      <c r="C4" s="68"/>
      <c r="D4" s="68"/>
      <c r="E4" s="68"/>
      <c r="F4" s="68"/>
      <c r="G4" s="68"/>
      <c r="H4" s="68"/>
      <c r="I4" s="68"/>
    </row>
    <row r="5" spans="1:20">
      <c r="A5" s="68"/>
      <c r="B5" s="68"/>
      <c r="C5" s="68"/>
      <c r="D5" s="68"/>
      <c r="E5" s="68"/>
      <c r="F5" s="68"/>
      <c r="G5" s="68"/>
      <c r="H5" s="68"/>
      <c r="I5" s="68"/>
    </row>
    <row r="6" spans="1:20">
      <c r="A6" s="1843"/>
      <c r="B6" s="1844"/>
      <c r="C6" s="1845"/>
      <c r="D6" s="1846"/>
      <c r="E6" s="1847"/>
      <c r="F6" s="1847"/>
      <c r="G6" s="1846"/>
      <c r="H6" s="1847"/>
      <c r="I6" s="1847"/>
      <c r="J6" s="68"/>
      <c r="K6" s="433"/>
      <c r="L6" s="2067" t="s">
        <v>12</v>
      </c>
      <c r="M6" s="2068"/>
      <c r="N6" s="2068"/>
      <c r="O6" s="2068"/>
      <c r="P6" s="2069"/>
      <c r="Q6" s="2067" t="s">
        <v>18</v>
      </c>
      <c r="R6" s="2068"/>
      <c r="S6" s="2069"/>
    </row>
    <row r="7" spans="1:20">
      <c r="A7" s="1839"/>
      <c r="B7" s="1840"/>
      <c r="C7" s="1841"/>
      <c r="D7" s="1841"/>
      <c r="E7" s="1841"/>
      <c r="F7" s="1841"/>
      <c r="G7" s="1841"/>
      <c r="H7" s="1842"/>
      <c r="I7" s="1842"/>
      <c r="J7" s="1284"/>
      <c r="K7" s="434" t="s">
        <v>221</v>
      </c>
      <c r="L7" s="144">
        <f>Base_Mensuelle!FP7</f>
        <v>44896</v>
      </c>
      <c r="M7" s="144">
        <f>Base_Mensuelle!FQ7</f>
        <v>45170</v>
      </c>
      <c r="N7" s="144">
        <f>Base_Mensuelle!FR7</f>
        <v>45200</v>
      </c>
      <c r="O7" s="144">
        <f>Base_Mensuelle!FS7</f>
        <v>45231</v>
      </c>
      <c r="P7" s="144">
        <f>Base_Mensuelle!FT7</f>
        <v>45261</v>
      </c>
      <c r="Q7" s="32" t="s">
        <v>19</v>
      </c>
      <c r="R7" s="32" t="s">
        <v>1148</v>
      </c>
      <c r="S7" s="32" t="s">
        <v>20</v>
      </c>
    </row>
    <row r="8" spans="1:20">
      <c r="A8" s="1843"/>
      <c r="B8" s="1844"/>
      <c r="C8" s="1845"/>
      <c r="D8" s="1846"/>
      <c r="E8" s="1847"/>
      <c r="F8" s="1847"/>
      <c r="G8" s="1846"/>
      <c r="H8" s="1847"/>
      <c r="I8" s="1847"/>
      <c r="J8" s="1285" t="s">
        <v>222</v>
      </c>
      <c r="K8" s="435">
        <v>10000</v>
      </c>
      <c r="L8" s="436">
        <f>Base_Mensuelle!FP8</f>
        <v>123.24</v>
      </c>
      <c r="M8" s="1479">
        <f>Base_Mensuelle!FQ8</f>
        <v>125.6</v>
      </c>
      <c r="N8" s="1480">
        <f>Base_Mensuelle!FR8</f>
        <v>125.5</v>
      </c>
      <c r="O8" s="1480">
        <f>Base_Mensuelle!FS8</f>
        <v>126.32015672999999</v>
      </c>
      <c r="P8" s="1479">
        <f>Base_Mensuelle!FT8</f>
        <v>124.51924911000002</v>
      </c>
      <c r="Q8" s="1480">
        <f>+IF(O8=0,"",(P8/O8-1)*100)</f>
        <v>-1.4256692412512484</v>
      </c>
      <c r="R8" s="1480">
        <f>+(P8/M8-1)*100</f>
        <v>-0.86047045382163789</v>
      </c>
      <c r="S8" s="1480">
        <f t="shared" ref="S8:S20" si="0">+IF(L8=0,"",(P8/L8-1)*100)</f>
        <v>1.0380145326192913</v>
      </c>
      <c r="T8" s="1918"/>
    </row>
    <row r="9" spans="1:20" ht="36" customHeight="1">
      <c r="A9" s="437"/>
      <c r="B9" s="1848"/>
      <c r="C9" s="1849"/>
      <c r="D9" s="1850"/>
      <c r="E9" s="399"/>
      <c r="F9" s="399"/>
      <c r="G9" s="1850"/>
      <c r="H9" s="399"/>
      <c r="I9" s="399"/>
      <c r="J9" s="1286" t="s">
        <v>223</v>
      </c>
      <c r="K9" s="438">
        <v>5016.7700000000004</v>
      </c>
      <c r="L9" s="1481">
        <f>Base_Mensuelle!FP9</f>
        <v>138.97999999999999</v>
      </c>
      <c r="M9" s="1482">
        <f>Base_Mensuelle!FQ9</f>
        <v>140</v>
      </c>
      <c r="N9" s="1454">
        <f>Base_Mensuelle!FR9</f>
        <v>139.9</v>
      </c>
      <c r="O9" s="1454">
        <f>Base_Mensuelle!FS9</f>
        <v>140.69999999999999</v>
      </c>
      <c r="P9" s="1482">
        <f>Base_Mensuelle!FT9</f>
        <v>137.51</v>
      </c>
      <c r="Q9" s="1454">
        <f t="shared" ref="Q9:Q20" si="1">+IF(O9=0,"",(P9/O9-1)*100)</f>
        <v>-2.2672352523098738</v>
      </c>
      <c r="R9" s="1776">
        <f t="shared" ref="R9:R20" si="2">+(P9/M9-1)*100</f>
        <v>-1.7785714285714405</v>
      </c>
      <c r="S9" s="1454">
        <f t="shared" si="0"/>
        <v>-1.0577061447690328</v>
      </c>
      <c r="T9" s="1918"/>
    </row>
    <row r="10" spans="1:20" ht="26.25" customHeight="1">
      <c r="A10" s="1851"/>
      <c r="B10" s="1848"/>
      <c r="C10" s="1852"/>
      <c r="D10" s="1850"/>
      <c r="E10" s="399"/>
      <c r="F10" s="399"/>
      <c r="G10" s="1850"/>
      <c r="H10" s="399"/>
      <c r="I10" s="399"/>
      <c r="J10" s="1287" t="s">
        <v>224</v>
      </c>
      <c r="K10" s="440">
        <v>285</v>
      </c>
      <c r="L10" s="1483">
        <f>Base_Mensuelle!FP10</f>
        <v>148.84</v>
      </c>
      <c r="M10" s="1484">
        <f>Base_Mensuelle!FQ10</f>
        <v>156.5</v>
      </c>
      <c r="N10" s="1453">
        <f>Base_Mensuelle!FR10</f>
        <v>151.30000000000001</v>
      </c>
      <c r="O10" s="1453">
        <f>Base_Mensuelle!FS10</f>
        <v>162.38999999999999</v>
      </c>
      <c r="P10" s="1484">
        <f>Base_Mensuelle!FT10</f>
        <v>161.11000000000001</v>
      </c>
      <c r="Q10" s="1453">
        <f t="shared" si="1"/>
        <v>-0.78822587597756621</v>
      </c>
      <c r="R10" s="1778">
        <f t="shared" si="2"/>
        <v>2.9456869009584663</v>
      </c>
      <c r="S10" s="1453">
        <f t="shared" si="0"/>
        <v>8.2437516796560075</v>
      </c>
      <c r="T10" s="1918"/>
    </row>
    <row r="11" spans="1:20" ht="26.25" customHeight="1">
      <c r="A11" s="1853"/>
      <c r="B11" s="1848"/>
      <c r="C11" s="1852"/>
      <c r="D11" s="1850"/>
      <c r="E11" s="399"/>
      <c r="F11" s="399"/>
      <c r="G11" s="1850"/>
      <c r="H11" s="399"/>
      <c r="I11" s="399"/>
      <c r="J11" s="1288" t="s">
        <v>225</v>
      </c>
      <c r="K11" s="442">
        <v>627.47</v>
      </c>
      <c r="L11" s="1485">
        <f>Base_Mensuelle!FP11</f>
        <v>101.71</v>
      </c>
      <c r="M11" s="1486">
        <f>Base_Mensuelle!FQ11</f>
        <v>101.7</v>
      </c>
      <c r="N11" s="1454">
        <f>Base_Mensuelle!FR11</f>
        <v>101.8</v>
      </c>
      <c r="O11" s="1454">
        <f>Base_Mensuelle!FS11</f>
        <v>101.76</v>
      </c>
      <c r="P11" s="1486">
        <f>Base_Mensuelle!FT11</f>
        <v>101.76</v>
      </c>
      <c r="Q11" s="1454">
        <f t="shared" si="1"/>
        <v>0</v>
      </c>
      <c r="R11" s="1776">
        <f t="shared" si="2"/>
        <v>5.8997050147491237E-2</v>
      </c>
      <c r="S11" s="1454">
        <f t="shared" si="0"/>
        <v>4.9159374692764324E-2</v>
      </c>
      <c r="T11" s="1918"/>
    </row>
    <row r="12" spans="1:20" ht="45.75" customHeight="1">
      <c r="A12" s="1853"/>
      <c r="B12" s="1848"/>
      <c r="C12" s="1852"/>
      <c r="D12" s="1850"/>
      <c r="E12" s="399"/>
      <c r="F12" s="399"/>
      <c r="G12" s="1850"/>
      <c r="H12" s="399"/>
      <c r="I12" s="399"/>
      <c r="J12" s="1289" t="s">
        <v>226</v>
      </c>
      <c r="K12" s="440">
        <v>919.7</v>
      </c>
      <c r="L12" s="1483">
        <f>Base_Mensuelle!FP12</f>
        <v>105.63</v>
      </c>
      <c r="M12" s="1484">
        <f>Base_Mensuelle!FQ12</f>
        <v>116.1</v>
      </c>
      <c r="N12" s="1453">
        <f>Base_Mensuelle!FR12</f>
        <v>116.5</v>
      </c>
      <c r="O12" s="1453">
        <f>Base_Mensuelle!FS12</f>
        <v>117.44</v>
      </c>
      <c r="P12" s="1484">
        <f>Base_Mensuelle!FT12</f>
        <v>116.61</v>
      </c>
      <c r="Q12" s="1453">
        <f t="shared" si="1"/>
        <v>-0.7067438692098027</v>
      </c>
      <c r="R12" s="1778">
        <f t="shared" si="2"/>
        <v>0.4392764857881204</v>
      </c>
      <c r="S12" s="1453">
        <f t="shared" si="0"/>
        <v>10.394774211871628</v>
      </c>
      <c r="T12" s="1918"/>
    </row>
    <row r="13" spans="1:20" ht="40.5" customHeight="1">
      <c r="A13" s="437"/>
      <c r="B13" s="1848"/>
      <c r="C13" s="1852"/>
      <c r="D13" s="1850"/>
      <c r="E13" s="399"/>
      <c r="F13" s="399"/>
      <c r="G13" s="1850"/>
      <c r="H13" s="399"/>
      <c r="I13" s="399"/>
      <c r="J13" s="1286" t="s">
        <v>227</v>
      </c>
      <c r="K13" s="442">
        <v>480.24</v>
      </c>
      <c r="L13" s="1485">
        <f>Base_Mensuelle!FP13</f>
        <v>102.08</v>
      </c>
      <c r="M13" s="1486">
        <f>Base_Mensuelle!FQ13</f>
        <v>102</v>
      </c>
      <c r="N13" s="1454">
        <f>Base_Mensuelle!FR13</f>
        <v>102</v>
      </c>
      <c r="O13" s="1454">
        <f>Base_Mensuelle!FS13</f>
        <v>102</v>
      </c>
      <c r="P13" s="1486">
        <f>Base_Mensuelle!FT13</f>
        <v>102</v>
      </c>
      <c r="Q13" s="1454">
        <f t="shared" si="1"/>
        <v>0</v>
      </c>
      <c r="R13" s="1776">
        <f t="shared" si="2"/>
        <v>0</v>
      </c>
      <c r="S13" s="1454">
        <f t="shared" si="0"/>
        <v>-7.8369905956110486E-2</v>
      </c>
      <c r="T13" s="1918"/>
    </row>
    <row r="14" spans="1:20" ht="13.5" customHeight="1">
      <c r="A14" s="437"/>
      <c r="B14" s="1848"/>
      <c r="C14" s="1852"/>
      <c r="D14" s="1850"/>
      <c r="E14" s="399"/>
      <c r="F14" s="399"/>
      <c r="G14" s="1850"/>
      <c r="H14" s="399"/>
      <c r="I14" s="399"/>
      <c r="J14" s="1290" t="s">
        <v>228</v>
      </c>
      <c r="K14" s="440">
        <v>225.91</v>
      </c>
      <c r="L14" s="1483">
        <f>Base_Mensuelle!FP14</f>
        <v>100.66</v>
      </c>
      <c r="M14" s="1484">
        <f>Base_Mensuelle!FQ14</f>
        <v>106.5</v>
      </c>
      <c r="N14" s="1453">
        <f>Base_Mensuelle!FR14</f>
        <v>106.5</v>
      </c>
      <c r="O14" s="1453">
        <f>Base_Mensuelle!FS14</f>
        <v>106.54</v>
      </c>
      <c r="P14" s="1484">
        <f>Base_Mensuelle!FT14</f>
        <v>106.54</v>
      </c>
      <c r="Q14" s="1453">
        <f t="shared" si="1"/>
        <v>0</v>
      </c>
      <c r="R14" s="1778">
        <f t="shared" si="2"/>
        <v>3.7558685446015261E-2</v>
      </c>
      <c r="S14" s="1453">
        <f t="shared" si="0"/>
        <v>5.8414464534075172</v>
      </c>
      <c r="T14" s="1918"/>
    </row>
    <row r="15" spans="1:20" ht="13.5" customHeight="1">
      <c r="A15" s="437"/>
      <c r="B15" s="1848"/>
      <c r="C15" s="1852"/>
      <c r="D15" s="1850"/>
      <c r="E15" s="399"/>
      <c r="F15" s="399"/>
      <c r="G15" s="1850"/>
      <c r="H15" s="399"/>
      <c r="I15" s="399"/>
      <c r="J15" s="1286" t="s">
        <v>229</v>
      </c>
      <c r="K15" s="442">
        <v>848.84</v>
      </c>
      <c r="L15" s="1485">
        <f>Base_Mensuelle!FP15</f>
        <v>106.33</v>
      </c>
      <c r="M15" s="1486">
        <f>Base_Mensuelle!FQ15</f>
        <v>110.5</v>
      </c>
      <c r="N15" s="1454">
        <f>Base_Mensuelle!FR15</f>
        <v>110.5</v>
      </c>
      <c r="O15" s="1454">
        <f>Base_Mensuelle!FS15</f>
        <v>110.52</v>
      </c>
      <c r="P15" s="1486">
        <f>Base_Mensuelle!FT15</f>
        <v>110.52</v>
      </c>
      <c r="Q15" s="1454">
        <f t="shared" si="1"/>
        <v>0</v>
      </c>
      <c r="R15" s="1776">
        <f t="shared" si="2"/>
        <v>1.8099547511307712E-2</v>
      </c>
      <c r="S15" s="1454">
        <f t="shared" si="0"/>
        <v>3.9405624000752315</v>
      </c>
      <c r="T15" s="1918"/>
    </row>
    <row r="16" spans="1:20" ht="13.5" customHeight="1">
      <c r="A16" s="437"/>
      <c r="B16" s="1848"/>
      <c r="C16" s="1852"/>
      <c r="D16" s="1850"/>
      <c r="E16" s="399"/>
      <c r="F16" s="399"/>
      <c r="G16" s="1850"/>
      <c r="H16" s="399"/>
      <c r="I16" s="399"/>
      <c r="J16" s="1290" t="s">
        <v>230</v>
      </c>
      <c r="K16" s="440">
        <v>260.83999999999997</v>
      </c>
      <c r="L16" s="1483">
        <f>Base_Mensuelle!FP16</f>
        <v>98.74</v>
      </c>
      <c r="M16" s="1484">
        <f>Base_Mensuelle!FQ16</f>
        <v>99.4</v>
      </c>
      <c r="N16" s="1453">
        <f>Base_Mensuelle!FR16</f>
        <v>99.4</v>
      </c>
      <c r="O16" s="1453">
        <f>Base_Mensuelle!FS16</f>
        <v>99.35</v>
      </c>
      <c r="P16" s="1484">
        <f>Base_Mensuelle!FT16</f>
        <v>99.35</v>
      </c>
      <c r="Q16" s="1453">
        <f t="shared" si="1"/>
        <v>0</v>
      </c>
      <c r="R16" s="1778">
        <f t="shared" si="2"/>
        <v>-5.0301810865205354E-2</v>
      </c>
      <c r="S16" s="1453">
        <f t="shared" si="0"/>
        <v>0.61778407940045188</v>
      </c>
      <c r="T16" s="1918"/>
    </row>
    <row r="17" spans="1:20" ht="13.5" customHeight="1">
      <c r="A17" s="437"/>
      <c r="B17" s="1848"/>
      <c r="C17" s="1852"/>
      <c r="D17" s="1850"/>
      <c r="E17" s="399"/>
      <c r="F17" s="399"/>
      <c r="G17" s="1850"/>
      <c r="H17" s="399"/>
      <c r="I17" s="399"/>
      <c r="J17" s="1286" t="s">
        <v>231</v>
      </c>
      <c r="K17" s="442">
        <v>134.63</v>
      </c>
      <c r="L17" s="1485">
        <f>Base_Mensuelle!FP17</f>
        <v>102.04</v>
      </c>
      <c r="M17" s="1486">
        <f>Base_Mensuelle!FQ17</f>
        <v>101.1</v>
      </c>
      <c r="N17" s="1454">
        <f>Base_Mensuelle!FR17</f>
        <v>102.1</v>
      </c>
      <c r="O17" s="1454">
        <f>Base_Mensuelle!FS17</f>
        <v>102.06</v>
      </c>
      <c r="P17" s="1486">
        <f>Base_Mensuelle!FT17</f>
        <v>102.06</v>
      </c>
      <c r="Q17" s="1454">
        <f t="shared" si="1"/>
        <v>0</v>
      </c>
      <c r="R17" s="1776">
        <f t="shared" si="2"/>
        <v>0.94955489614243493</v>
      </c>
      <c r="S17" s="1454">
        <f t="shared" si="0"/>
        <v>1.9600156801247159E-2</v>
      </c>
      <c r="T17" s="1918"/>
    </row>
    <row r="18" spans="1:20" ht="13.5" customHeight="1">
      <c r="A18" s="437"/>
      <c r="B18" s="1848"/>
      <c r="C18" s="1852"/>
      <c r="D18" s="1850"/>
      <c r="E18" s="399"/>
      <c r="F18" s="399"/>
      <c r="G18" s="1850"/>
      <c r="H18" s="399"/>
      <c r="I18" s="399"/>
      <c r="J18" s="1290" t="s">
        <v>232</v>
      </c>
      <c r="K18" s="440">
        <v>172.05</v>
      </c>
      <c r="L18" s="1483">
        <f>Base_Mensuelle!FP18</f>
        <v>114.07</v>
      </c>
      <c r="M18" s="1484">
        <f>Base_Mensuelle!FQ18</f>
        <v>114.1</v>
      </c>
      <c r="N18" s="1453">
        <f>Base_Mensuelle!FR18</f>
        <v>117.1</v>
      </c>
      <c r="O18" s="1453">
        <f>Base_Mensuelle!FS18</f>
        <v>117.08</v>
      </c>
      <c r="P18" s="1484">
        <f>Base_Mensuelle!FT18</f>
        <v>117.08</v>
      </c>
      <c r="Q18" s="1453">
        <f t="shared" si="1"/>
        <v>0</v>
      </c>
      <c r="R18" s="1778">
        <f t="shared" si="2"/>
        <v>2.6117440841367356</v>
      </c>
      <c r="S18" s="1453">
        <f t="shared" si="0"/>
        <v>2.6387306040150937</v>
      </c>
      <c r="T18" s="1918"/>
    </row>
    <row r="19" spans="1:20" ht="13.5" customHeight="1">
      <c r="A19" s="437"/>
      <c r="B19" s="1848"/>
      <c r="C19" s="1852"/>
      <c r="D19" s="1850"/>
      <c r="E19" s="399"/>
      <c r="F19" s="399"/>
      <c r="G19" s="1850"/>
      <c r="H19" s="399"/>
      <c r="I19" s="399"/>
      <c r="J19" s="1286" t="s">
        <v>233</v>
      </c>
      <c r="K19" s="442">
        <v>622.29</v>
      </c>
      <c r="L19" s="1485">
        <f>Base_Mensuelle!FP19</f>
        <v>109</v>
      </c>
      <c r="M19" s="1486">
        <f>Base_Mensuelle!FQ19</f>
        <v>114</v>
      </c>
      <c r="N19" s="1454">
        <f>Base_Mensuelle!FR19</f>
        <v>114</v>
      </c>
      <c r="O19" s="1454">
        <f>Base_Mensuelle!FS19</f>
        <v>113.91</v>
      </c>
      <c r="P19" s="1486">
        <f>Base_Mensuelle!FT19</f>
        <v>112.5</v>
      </c>
      <c r="Q19" s="1454">
        <f t="shared" si="1"/>
        <v>-1.2378193310508268</v>
      </c>
      <c r="R19" s="1776">
        <f t="shared" si="2"/>
        <v>-1.3157894736842146</v>
      </c>
      <c r="S19" s="1454">
        <f t="shared" si="0"/>
        <v>3.2110091743119185</v>
      </c>
      <c r="T19" s="1918"/>
    </row>
    <row r="20" spans="1:20" ht="22.5" customHeight="1">
      <c r="A20" s="437"/>
      <c r="B20" s="1848"/>
      <c r="C20" s="1852"/>
      <c r="D20" s="1850"/>
      <c r="E20" s="399"/>
      <c r="F20" s="399"/>
      <c r="G20" s="1850"/>
      <c r="H20" s="399"/>
      <c r="I20" s="399"/>
      <c r="J20" s="1291" t="s">
        <v>234</v>
      </c>
      <c r="K20" s="444">
        <v>406.26</v>
      </c>
      <c r="L20" s="445">
        <f>Base_Mensuelle!FP20</f>
        <v>101.4</v>
      </c>
      <c r="M20" s="1487">
        <f>Base_Mensuelle!FQ20</f>
        <v>102.4</v>
      </c>
      <c r="N20" s="454">
        <f>Base_Mensuelle!FR20</f>
        <v>102.5</v>
      </c>
      <c r="O20" s="454">
        <f>Base_Mensuelle!FS20</f>
        <v>102.52</v>
      </c>
      <c r="P20" s="1487">
        <f>Base_Mensuelle!FT20</f>
        <v>102.52</v>
      </c>
      <c r="Q20" s="454">
        <f t="shared" si="1"/>
        <v>0</v>
      </c>
      <c r="R20" s="454">
        <f t="shared" si="2"/>
        <v>0.11718749999998224</v>
      </c>
      <c r="S20" s="454">
        <f t="shared" si="0"/>
        <v>1.104536489151875</v>
      </c>
      <c r="T20" s="1918"/>
    </row>
    <row r="21" spans="1:20">
      <c r="A21" s="446"/>
      <c r="B21" s="415"/>
      <c r="C21" s="415"/>
      <c r="D21" s="415"/>
      <c r="E21" s="415"/>
      <c r="F21" s="415"/>
      <c r="G21" s="415"/>
      <c r="H21" s="415"/>
      <c r="I21" s="415"/>
      <c r="J21" s="446" t="s">
        <v>235</v>
      </c>
      <c r="K21" s="415"/>
      <c r="L21" s="415"/>
      <c r="M21" s="415"/>
      <c r="N21" s="415"/>
      <c r="O21" s="415"/>
      <c r="P21" s="415"/>
      <c r="Q21" s="415"/>
      <c r="R21" s="415"/>
      <c r="S21" s="415"/>
    </row>
    <row r="22" spans="1:20">
      <c r="A22" s="446"/>
      <c r="B22" s="415"/>
      <c r="C22" s="415"/>
      <c r="D22" s="415"/>
      <c r="E22" s="415"/>
      <c r="F22" s="415"/>
      <c r="G22" s="415"/>
      <c r="H22" s="415"/>
      <c r="I22" s="415"/>
    </row>
    <row r="23" spans="1:20">
      <c r="A23" s="1301"/>
      <c r="B23" s="415"/>
      <c r="C23" s="415"/>
      <c r="D23" s="415"/>
      <c r="E23" s="415"/>
      <c r="F23" s="415"/>
      <c r="G23" s="415"/>
      <c r="H23" s="415"/>
      <c r="I23" s="415"/>
      <c r="J23" s="1301" t="s">
        <v>236</v>
      </c>
    </row>
    <row r="24" spans="1:20">
      <c r="A24" s="68"/>
      <c r="B24" s="415"/>
      <c r="C24" s="415"/>
      <c r="D24" s="415"/>
      <c r="E24" s="415"/>
      <c r="F24" s="415"/>
      <c r="G24" s="415"/>
      <c r="H24" s="415"/>
      <c r="I24" s="415"/>
      <c r="J24" s="68" t="s">
        <v>237</v>
      </c>
    </row>
    <row r="25" spans="1:20">
      <c r="A25" s="68"/>
      <c r="B25" s="415"/>
      <c r="C25" s="415"/>
      <c r="D25" s="415"/>
      <c r="E25" s="415"/>
      <c r="F25" s="415"/>
      <c r="G25" s="415"/>
      <c r="H25" s="415"/>
      <c r="I25" s="415"/>
    </row>
    <row r="26" spans="1:20">
      <c r="A26" s="68"/>
      <c r="B26" s="447"/>
      <c r="C26" s="2091"/>
      <c r="D26" s="2091"/>
      <c r="E26" s="2091"/>
      <c r="F26" s="2091"/>
      <c r="G26" s="2091"/>
      <c r="H26" s="2091"/>
      <c r="I26" s="2091"/>
      <c r="J26" s="68"/>
      <c r="K26" s="447"/>
      <c r="L26" s="2067" t="s">
        <v>12</v>
      </c>
      <c r="M26" s="2068"/>
      <c r="N26" s="2068"/>
      <c r="O26" s="2068"/>
      <c r="P26" s="2069"/>
      <c r="Q26" s="2067" t="s">
        <v>18</v>
      </c>
      <c r="R26" s="2068"/>
      <c r="S26" s="2069"/>
    </row>
    <row r="27" spans="1:20" ht="12.75" customHeight="1">
      <c r="A27" s="1839"/>
      <c r="B27" s="1840"/>
      <c r="C27" s="1841"/>
      <c r="D27" s="1841"/>
      <c r="E27" s="1841"/>
      <c r="F27" s="1841"/>
      <c r="G27" s="1841"/>
      <c r="H27" s="1842"/>
      <c r="I27" s="1842"/>
      <c r="J27" s="1284"/>
      <c r="K27" s="434" t="s">
        <v>221</v>
      </c>
      <c r="L27" s="144">
        <f>Base_Mensuelle!GE7</f>
        <v>44896</v>
      </c>
      <c r="M27" s="518">
        <f>Base_Mensuelle!GF7</f>
        <v>45170</v>
      </c>
      <c r="N27" s="518">
        <f>Base_Mensuelle!GG7</f>
        <v>45200</v>
      </c>
      <c r="O27" s="518">
        <f>Base_Mensuelle!GH7</f>
        <v>45231</v>
      </c>
      <c r="P27" s="519">
        <f>Base_Mensuelle!GI7</f>
        <v>45261</v>
      </c>
      <c r="Q27" s="450" t="s">
        <v>19</v>
      </c>
      <c r="R27" s="32" t="s">
        <v>1062</v>
      </c>
      <c r="S27" s="479" t="s">
        <v>20</v>
      </c>
    </row>
    <row r="28" spans="1:20">
      <c r="A28" s="1843"/>
      <c r="B28" s="1844"/>
      <c r="C28" s="1845"/>
      <c r="D28" s="1846"/>
      <c r="E28" s="1847"/>
      <c r="F28" s="1847"/>
      <c r="G28" s="1846"/>
      <c r="H28" s="1847"/>
      <c r="I28" s="1846"/>
      <c r="J28" s="1292" t="s">
        <v>222</v>
      </c>
      <c r="K28" s="451">
        <v>10000</v>
      </c>
      <c r="L28" s="452">
        <f>Base_Mensuelle!GE8</f>
        <v>123.24</v>
      </c>
      <c r="M28" s="453">
        <f>Base_Mensuelle!GF8</f>
        <v>125.6</v>
      </c>
      <c r="N28" s="406">
        <f>Base_Mensuelle!GG8</f>
        <v>125.5</v>
      </c>
      <c r="O28" s="406">
        <f>Base_Mensuelle!GH8</f>
        <v>126.32015672999999</v>
      </c>
      <c r="P28" s="453">
        <f>Base_Mensuelle!GI8</f>
        <v>124.51924911000002</v>
      </c>
      <c r="Q28" s="406">
        <f t="shared" ref="Q28:Q40" si="3">+IF(O28=0,"",(P28/O28-1)*100)</f>
        <v>-1.4256692412512484</v>
      </c>
      <c r="R28" s="406">
        <f t="shared" ref="R28:R40" si="4">+(P28/M28-1)*100</f>
        <v>-0.86047045382163789</v>
      </c>
      <c r="S28" s="453">
        <f t="shared" ref="S28:S40" si="5">+IF(L28=0,"",(P28/L28-1)*100)</f>
        <v>1.0380145326192913</v>
      </c>
    </row>
    <row r="29" spans="1:20" ht="13.5" customHeight="1">
      <c r="A29" s="437"/>
      <c r="B29" s="1848"/>
      <c r="C29" s="1849"/>
      <c r="D29" s="399"/>
      <c r="E29" s="399"/>
      <c r="F29" s="399"/>
      <c r="G29" s="399"/>
      <c r="H29" s="399"/>
      <c r="I29" s="399"/>
      <c r="J29" s="1286" t="s">
        <v>238</v>
      </c>
      <c r="K29" s="438">
        <v>676.84</v>
      </c>
      <c r="L29" s="439">
        <f>Base_Mensuelle!GE9</f>
        <v>109.63</v>
      </c>
      <c r="M29" s="403">
        <f>Base_Mensuelle!GF9</f>
        <v>112.3</v>
      </c>
      <c r="N29" s="403">
        <f>Base_Mensuelle!GG9</f>
        <v>111.9</v>
      </c>
      <c r="O29" s="403">
        <f>Base_Mensuelle!GH9</f>
        <v>112.88</v>
      </c>
      <c r="P29" s="403">
        <f>Base_Mensuelle!GI9</f>
        <v>113.17</v>
      </c>
      <c r="Q29" s="403">
        <f t="shared" si="3"/>
        <v>0.25690999291283489</v>
      </c>
      <c r="R29" s="403">
        <f t="shared" si="4"/>
        <v>0.77471059661620156</v>
      </c>
      <c r="S29" s="403">
        <f t="shared" si="5"/>
        <v>3.2290431451245105</v>
      </c>
    </row>
    <row r="30" spans="1:20" ht="13.5" customHeight="1">
      <c r="A30" s="1851"/>
      <c r="B30" s="1848"/>
      <c r="C30" s="1852"/>
      <c r="D30" s="399"/>
      <c r="E30" s="399"/>
      <c r="F30" s="399"/>
      <c r="G30" s="399"/>
      <c r="H30" s="399"/>
      <c r="I30" s="399"/>
      <c r="J30" s="1293" t="s">
        <v>239</v>
      </c>
      <c r="K30" s="444">
        <v>2868.08</v>
      </c>
      <c r="L30" s="441">
        <f>Base_Mensuelle!GE10</f>
        <v>129.72999999999999</v>
      </c>
      <c r="M30" s="454">
        <f>Base_Mensuelle!GF10</f>
        <v>132.19999999999999</v>
      </c>
      <c r="N30" s="454">
        <f>Base_Mensuelle!GG10</f>
        <v>132.30000000000001</v>
      </c>
      <c r="O30" s="454">
        <f>Base_Mensuelle!GH10</f>
        <v>133.15</v>
      </c>
      <c r="P30" s="454">
        <f>Base_Mensuelle!GI10</f>
        <v>130.26</v>
      </c>
      <c r="Q30" s="454">
        <f t="shared" si="3"/>
        <v>-2.1704844160721048</v>
      </c>
      <c r="R30" s="454">
        <f t="shared" si="4"/>
        <v>-1.4674735249621818</v>
      </c>
      <c r="S30" s="454">
        <f t="shared" si="5"/>
        <v>0.40854081553995947</v>
      </c>
    </row>
    <row r="31" spans="1:20" ht="13.5" customHeight="1">
      <c r="A31" s="1853"/>
      <c r="B31" s="1848"/>
      <c r="C31" s="1852"/>
      <c r="D31" s="399"/>
      <c r="E31" s="399"/>
      <c r="F31" s="399"/>
      <c r="G31" s="399"/>
      <c r="H31" s="399"/>
      <c r="I31" s="399"/>
      <c r="J31" s="1294" t="s">
        <v>240</v>
      </c>
      <c r="K31" s="455">
        <v>6455.08</v>
      </c>
      <c r="L31" s="456">
        <f>Base_Mensuelle!GE11</f>
        <v>109.05</v>
      </c>
      <c r="M31" s="403">
        <f>Base_Mensuelle!GF11</f>
        <v>125.1</v>
      </c>
      <c r="N31" s="403">
        <f>Base_Mensuelle!GG11</f>
        <v>125.8</v>
      </c>
      <c r="O31" s="403">
        <f>Base_Mensuelle!GH11</f>
        <v>126.86</v>
      </c>
      <c r="P31" s="403">
        <f>Base_Mensuelle!GI11</f>
        <v>125.87</v>
      </c>
      <c r="Q31" s="403">
        <f t="shared" si="3"/>
        <v>-0.78038782910294646</v>
      </c>
      <c r="R31" s="403">
        <f t="shared" si="4"/>
        <v>0.61550759392485777</v>
      </c>
      <c r="S31" s="403">
        <f t="shared" si="5"/>
        <v>15.424117377349855</v>
      </c>
    </row>
    <row r="32" spans="1:20" ht="13.5" customHeight="1">
      <c r="A32" s="1853"/>
      <c r="B32" s="1848"/>
      <c r="C32" s="399"/>
      <c r="D32" s="399"/>
      <c r="E32" s="399"/>
      <c r="F32" s="399"/>
      <c r="G32" s="399"/>
      <c r="H32" s="399"/>
      <c r="I32" s="399"/>
      <c r="J32" s="1289" t="s">
        <v>241</v>
      </c>
      <c r="K32" s="1781">
        <v>6830.58</v>
      </c>
      <c r="L32" s="1460">
        <f>Base_Mensuelle!GE12</f>
        <v>154.32</v>
      </c>
      <c r="M32" s="1460">
        <f>Base_Mensuelle!GF12</f>
        <v>154.5</v>
      </c>
      <c r="N32" s="1460">
        <f>Base_Mensuelle!GG12</f>
        <v>153.4</v>
      </c>
      <c r="O32" s="1460">
        <f>Base_Mensuelle!GH12</f>
        <v>155.63</v>
      </c>
      <c r="P32" s="1460">
        <f>Base_Mensuelle!GI12</f>
        <v>150.68</v>
      </c>
      <c r="Q32" s="1778">
        <f t="shared" si="3"/>
        <v>-3.1806207029492994</v>
      </c>
      <c r="R32" s="1778">
        <f t="shared" si="4"/>
        <v>-2.4724919093851105</v>
      </c>
      <c r="S32" s="1778">
        <f t="shared" si="5"/>
        <v>-2.3587350959046072</v>
      </c>
    </row>
    <row r="33" spans="1:19" ht="24" customHeight="1">
      <c r="A33" s="437"/>
      <c r="B33" s="1848"/>
      <c r="C33" s="1852"/>
      <c r="D33" s="399"/>
      <c r="E33" s="399"/>
      <c r="F33" s="399"/>
      <c r="G33" s="399"/>
      <c r="H33" s="399"/>
      <c r="I33" s="399"/>
      <c r="J33" s="1295" t="s">
        <v>242</v>
      </c>
      <c r="K33" s="457">
        <v>3169.42</v>
      </c>
      <c r="L33" s="1548">
        <f>Base_Mensuelle!GE13</f>
        <v>110.78</v>
      </c>
      <c r="M33" s="1776">
        <f>Base_Mensuelle!GF13</f>
        <v>113</v>
      </c>
      <c r="N33" s="1776">
        <f>Base_Mensuelle!GG13</f>
        <v>113.2</v>
      </c>
      <c r="O33" s="1776">
        <f>Base_Mensuelle!GH13</f>
        <v>113.5</v>
      </c>
      <c r="P33" s="1776">
        <f>Base_Mensuelle!GI13</f>
        <v>113.14</v>
      </c>
      <c r="Q33" s="1776">
        <f t="shared" si="3"/>
        <v>-0.31718061674008702</v>
      </c>
      <c r="R33" s="1776">
        <f t="shared" si="4"/>
        <v>0.12389380530972716</v>
      </c>
      <c r="S33" s="1776">
        <f t="shared" si="5"/>
        <v>2.1303484383462745</v>
      </c>
    </row>
    <row r="34" spans="1:19" ht="13.5" customHeight="1">
      <c r="A34" s="437"/>
      <c r="B34" s="1848"/>
      <c r="C34" s="1852"/>
      <c r="D34" s="399"/>
      <c r="E34" s="399"/>
      <c r="F34" s="399"/>
      <c r="G34" s="399"/>
      <c r="H34" s="399"/>
      <c r="I34" s="399"/>
      <c r="J34" s="1296" t="s">
        <v>243</v>
      </c>
      <c r="K34" s="458">
        <v>325.95999999999998</v>
      </c>
      <c r="L34" s="459">
        <f>Base_Mensuelle!GE14</f>
        <v>146.63999999999999</v>
      </c>
      <c r="M34" s="1779">
        <f>Base_Mensuelle!GF14</f>
        <v>149.4</v>
      </c>
      <c r="N34" s="1779">
        <f>Base_Mensuelle!GG14</f>
        <v>149.4</v>
      </c>
      <c r="O34" s="1779">
        <f>Base_Mensuelle!GH14</f>
        <v>151.58000000000001</v>
      </c>
      <c r="P34" s="1779">
        <f>Base_Mensuelle!GI14</f>
        <v>147.26</v>
      </c>
      <c r="Q34" s="1779">
        <f t="shared" si="3"/>
        <v>-2.8499802084707926</v>
      </c>
      <c r="R34" s="1779">
        <f t="shared" si="4"/>
        <v>-1.4323962516733735</v>
      </c>
      <c r="S34" s="1779">
        <f t="shared" si="5"/>
        <v>0.42280414620841089</v>
      </c>
    </row>
    <row r="35" spans="1:19" ht="13.5" customHeight="1">
      <c r="A35" s="437"/>
      <c r="B35" s="1848"/>
      <c r="C35" s="1852"/>
      <c r="D35" s="1852"/>
      <c r="E35" s="1852"/>
      <c r="F35" s="1852"/>
      <c r="G35" s="1852"/>
      <c r="H35" s="399"/>
      <c r="I35" s="399"/>
      <c r="J35" s="1286" t="s">
        <v>244</v>
      </c>
      <c r="K35" s="442">
        <v>1152.3800000000001</v>
      </c>
      <c r="L35" s="1780">
        <f>Base_Mensuelle!GE15</f>
        <v>111.53</v>
      </c>
      <c r="M35" s="1780">
        <f>Base_Mensuelle!GF15</f>
        <v>113.2</v>
      </c>
      <c r="N35" s="1780">
        <f>Base_Mensuelle!GG15</f>
        <v>113</v>
      </c>
      <c r="O35" s="1780">
        <f>Base_Mensuelle!GH15</f>
        <v>113.23</v>
      </c>
      <c r="P35" s="1780">
        <f>Base_Mensuelle!GI15</f>
        <v>112.81</v>
      </c>
      <c r="Q35" s="1776">
        <f t="shared" si="3"/>
        <v>-0.37092643292413463</v>
      </c>
      <c r="R35" s="1776">
        <f t="shared" si="4"/>
        <v>-0.34452296819788009</v>
      </c>
      <c r="S35" s="1776">
        <f t="shared" si="5"/>
        <v>1.147673271765437</v>
      </c>
    </row>
    <row r="36" spans="1:19" ht="13.5" customHeight="1">
      <c r="A36" s="437"/>
      <c r="B36" s="1848"/>
      <c r="C36" s="1852"/>
      <c r="D36" s="399"/>
      <c r="E36" s="399"/>
      <c r="F36" s="399"/>
      <c r="G36" s="399"/>
      <c r="H36" s="399"/>
      <c r="I36" s="399"/>
      <c r="J36" s="1291" t="s">
        <v>245</v>
      </c>
      <c r="K36" s="444">
        <v>6440.62</v>
      </c>
      <c r="L36" s="445">
        <f>Base_Mensuelle!GE16</f>
        <v>105.79</v>
      </c>
      <c r="M36" s="454">
        <f>Base_Mensuelle!GF16</f>
        <v>108</v>
      </c>
      <c r="N36" s="454">
        <f>Base_Mensuelle!GG16</f>
        <v>108.5</v>
      </c>
      <c r="O36" s="454">
        <f>Base_Mensuelle!GH16</f>
        <v>108.51</v>
      </c>
      <c r="P36" s="454">
        <f>Base_Mensuelle!GI16</f>
        <v>108.51</v>
      </c>
      <c r="Q36" s="454">
        <f t="shared" si="3"/>
        <v>0</v>
      </c>
      <c r="R36" s="454">
        <f t="shared" si="4"/>
        <v>0.47222222222222943</v>
      </c>
      <c r="S36" s="454">
        <f t="shared" si="5"/>
        <v>2.5711314869080182</v>
      </c>
    </row>
    <row r="37" spans="1:19" ht="13.5" customHeight="1">
      <c r="A37" s="437"/>
      <c r="B37" s="1848"/>
      <c r="C37" s="1852"/>
      <c r="D37" s="399"/>
      <c r="E37" s="399"/>
      <c r="F37" s="399"/>
      <c r="G37" s="399"/>
      <c r="H37" s="399"/>
      <c r="I37" s="399"/>
      <c r="J37" s="1286" t="s">
        <v>246</v>
      </c>
      <c r="K37" s="442">
        <v>2081.04</v>
      </c>
      <c r="L37" s="443">
        <f>Base_Mensuelle!GE17</f>
        <v>100.33</v>
      </c>
      <c r="M37" s="403">
        <f>Base_Mensuelle!GF17</f>
        <v>103.1</v>
      </c>
      <c r="N37" s="403">
        <f>Base_Mensuelle!GG17</f>
        <v>103.1</v>
      </c>
      <c r="O37" s="403">
        <f>Base_Mensuelle!GH17</f>
        <v>103.1</v>
      </c>
      <c r="P37" s="403">
        <f>Base_Mensuelle!GI17</f>
        <v>103.1</v>
      </c>
      <c r="Q37" s="403">
        <f t="shared" si="3"/>
        <v>0</v>
      </c>
      <c r="R37" s="403">
        <f t="shared" si="4"/>
        <v>0</v>
      </c>
      <c r="S37" s="403">
        <f t="shared" si="5"/>
        <v>2.7608890660819174</v>
      </c>
    </row>
    <row r="38" spans="1:19" ht="13.5" customHeight="1">
      <c r="A38" s="437"/>
      <c r="B38" s="1848"/>
      <c r="C38" s="1852"/>
      <c r="D38" s="399"/>
      <c r="E38" s="399"/>
      <c r="F38" s="399"/>
      <c r="G38" s="399"/>
      <c r="H38" s="399"/>
      <c r="I38" s="399"/>
      <c r="J38" s="1290" t="s">
        <v>247</v>
      </c>
      <c r="K38" s="440">
        <v>3639.58</v>
      </c>
      <c r="L38" s="1777">
        <f>Base_Mensuelle!GE18</f>
        <v>134.08000000000001</v>
      </c>
      <c r="M38" s="1778">
        <f>Base_Mensuelle!GF18</f>
        <v>136.80000000000001</v>
      </c>
      <c r="N38" s="1778">
        <f>Base_Mensuelle!GG18</f>
        <v>136.5</v>
      </c>
      <c r="O38" s="1778">
        <f>Base_Mensuelle!GH18</f>
        <v>137.91</v>
      </c>
      <c r="P38" s="1778">
        <f>Base_Mensuelle!GI18</f>
        <v>135.13999999999999</v>
      </c>
      <c r="Q38" s="1778">
        <f t="shared" si="3"/>
        <v>-2.0085563048364952</v>
      </c>
      <c r="R38" s="1778">
        <f t="shared" si="4"/>
        <v>-1.2134502923976775</v>
      </c>
      <c r="S38" s="1778">
        <f t="shared" si="5"/>
        <v>0.79057279236274258</v>
      </c>
    </row>
    <row r="39" spans="1:19" ht="13.5" customHeight="1">
      <c r="A39" s="437"/>
      <c r="B39" s="1848"/>
      <c r="C39" s="1852"/>
      <c r="D39" s="399"/>
      <c r="E39" s="399"/>
      <c r="F39" s="399"/>
      <c r="G39" s="399"/>
      <c r="H39" s="399"/>
      <c r="I39" s="399"/>
      <c r="J39" s="1286" t="s">
        <v>248</v>
      </c>
      <c r="K39" s="442">
        <v>4279.38</v>
      </c>
      <c r="L39" s="443">
        <f>Base_Mensuelle!GE19</f>
        <v>101.85</v>
      </c>
      <c r="M39" s="1776">
        <f>Base_Mensuelle!GF19</f>
        <v>102.4</v>
      </c>
      <c r="N39" s="1776">
        <f>Base_Mensuelle!GG19</f>
        <v>102.4</v>
      </c>
      <c r="O39" s="1776">
        <f>Base_Mensuelle!GH19</f>
        <v>102.41</v>
      </c>
      <c r="P39" s="1776">
        <f>Base_Mensuelle!GI19</f>
        <v>102.42</v>
      </c>
      <c r="Q39" s="1776">
        <f t="shared" si="3"/>
        <v>9.7646714188215356E-3</v>
      </c>
      <c r="R39" s="1776">
        <f t="shared" si="4"/>
        <v>1.9531250000004441E-2</v>
      </c>
      <c r="S39" s="1776">
        <f t="shared" si="5"/>
        <v>0.55964653902798034</v>
      </c>
    </row>
    <row r="40" spans="1:19" ht="13.5" customHeight="1">
      <c r="A40" s="437"/>
      <c r="B40" s="1848"/>
      <c r="C40" s="1852"/>
      <c r="D40" s="399"/>
      <c r="E40" s="399"/>
      <c r="F40" s="399"/>
      <c r="G40" s="399"/>
      <c r="H40" s="399"/>
      <c r="I40" s="399"/>
      <c r="J40" s="1291" t="s">
        <v>249</v>
      </c>
      <c r="K40" s="444">
        <v>2081.04</v>
      </c>
      <c r="L40" s="445">
        <f>Base_Mensuelle!GE20</f>
        <v>105.79</v>
      </c>
      <c r="M40" s="454">
        <f>Base_Mensuelle!GF20</f>
        <v>108.3</v>
      </c>
      <c r="N40" s="454">
        <f>Base_Mensuelle!GG20</f>
        <v>108.5</v>
      </c>
      <c r="O40" s="454">
        <f>Base_Mensuelle!GH20</f>
        <v>108.5</v>
      </c>
      <c r="P40" s="454">
        <f>Base_Mensuelle!GI20</f>
        <v>108.5</v>
      </c>
      <c r="Q40" s="454">
        <f t="shared" si="3"/>
        <v>0</v>
      </c>
      <c r="R40" s="454">
        <f t="shared" si="4"/>
        <v>0.18467220683286989</v>
      </c>
      <c r="S40" s="454">
        <f t="shared" si="5"/>
        <v>2.5616787976179056</v>
      </c>
    </row>
    <row r="41" spans="1:19">
      <c r="A41" s="446"/>
      <c r="B41" s="415"/>
      <c r="C41" s="415"/>
      <c r="D41" s="415"/>
      <c r="E41" s="415"/>
      <c r="F41" s="415"/>
      <c r="G41" s="415"/>
      <c r="H41" s="415"/>
      <c r="I41" s="415"/>
      <c r="J41" s="446" t="s">
        <v>235</v>
      </c>
      <c r="K41" s="415"/>
      <c r="L41" s="415"/>
      <c r="M41" s="415"/>
      <c r="N41" s="415"/>
      <c r="O41" s="415"/>
      <c r="P41" s="415"/>
      <c r="Q41" s="415"/>
      <c r="R41" s="415"/>
      <c r="S41" s="415"/>
    </row>
    <row r="42" spans="1:19">
      <c r="A42" s="415"/>
      <c r="B42" s="415"/>
      <c r="C42" s="415"/>
      <c r="D42" s="415"/>
      <c r="E42" s="415"/>
      <c r="F42" s="415"/>
      <c r="G42" s="415"/>
      <c r="H42" s="415"/>
      <c r="I42" s="415"/>
    </row>
    <row r="43" spans="1:19">
      <c r="A43" s="415"/>
      <c r="B43" s="415"/>
      <c r="C43" s="415"/>
      <c r="D43" s="415"/>
      <c r="E43" s="415"/>
      <c r="F43" s="415"/>
      <c r="G43" s="415"/>
      <c r="H43" s="415"/>
      <c r="I43" s="415"/>
    </row>
    <row r="44" spans="1:19">
      <c r="A44" s="415"/>
      <c r="B44" s="415"/>
      <c r="C44" s="415"/>
      <c r="D44" s="415"/>
      <c r="E44" s="415"/>
      <c r="F44" s="415"/>
      <c r="G44" s="415"/>
      <c r="H44" s="415"/>
      <c r="I44" s="415"/>
    </row>
    <row r="45" spans="1:19">
      <c r="A45" s="415"/>
      <c r="B45" s="415"/>
      <c r="C45" s="415"/>
      <c r="D45" s="415"/>
      <c r="E45" s="415"/>
      <c r="F45" s="415"/>
      <c r="G45" s="415"/>
      <c r="H45" s="415"/>
      <c r="I45" s="415"/>
    </row>
    <row r="46" spans="1:19">
      <c r="A46" s="415"/>
      <c r="B46" s="415"/>
      <c r="C46" s="415"/>
      <c r="D46" s="415"/>
      <c r="E46" s="415"/>
      <c r="F46" s="415"/>
      <c r="G46" s="415"/>
      <c r="H46" s="415"/>
      <c r="I46" s="415"/>
    </row>
    <row r="47" spans="1:19">
      <c r="A47" s="415"/>
      <c r="B47" s="415"/>
      <c r="C47" s="415"/>
      <c r="D47" s="415"/>
      <c r="E47" s="415"/>
      <c r="F47" s="415"/>
      <c r="G47" s="415"/>
      <c r="H47" s="415"/>
      <c r="I47" s="415"/>
    </row>
    <row r="48" spans="1:19">
      <c r="A48" s="415"/>
      <c r="B48" s="415"/>
      <c r="C48" s="415"/>
      <c r="D48" s="415"/>
      <c r="E48" s="415"/>
      <c r="F48" s="415"/>
      <c r="G48" s="415"/>
      <c r="H48" s="415"/>
      <c r="I48" s="415"/>
    </row>
    <row r="49" spans="1:9">
      <c r="A49" s="415"/>
      <c r="B49" s="415"/>
      <c r="C49" s="415"/>
      <c r="D49" s="415"/>
      <c r="E49" s="415"/>
      <c r="F49" s="415"/>
      <c r="G49" s="415"/>
      <c r="H49" s="415"/>
      <c r="I49" s="415"/>
    </row>
    <row r="50" spans="1:9">
      <c r="A50" s="415"/>
      <c r="B50" s="415"/>
      <c r="C50" s="415"/>
      <c r="D50" s="415"/>
      <c r="E50" s="415"/>
      <c r="F50" s="415"/>
      <c r="G50" s="415"/>
      <c r="H50" s="415"/>
      <c r="I50" s="415"/>
    </row>
    <row r="51" spans="1:9">
      <c r="A51" s="415"/>
      <c r="B51" s="415"/>
      <c r="C51" s="415"/>
      <c r="D51" s="415"/>
      <c r="E51" s="415"/>
      <c r="F51" s="415"/>
      <c r="G51" s="415"/>
      <c r="H51" s="415"/>
      <c r="I51" s="415"/>
    </row>
    <row r="52" spans="1:9">
      <c r="A52" s="415"/>
      <c r="B52" s="415"/>
      <c r="C52" s="415"/>
      <c r="D52" s="415"/>
      <c r="E52" s="415"/>
      <c r="F52" s="415"/>
      <c r="G52" s="415"/>
      <c r="H52" s="415"/>
      <c r="I52" s="415"/>
    </row>
    <row r="53" spans="1:9">
      <c r="A53" s="415"/>
      <c r="B53" s="415"/>
      <c r="C53" s="415"/>
      <c r="D53" s="415"/>
      <c r="E53" s="415"/>
      <c r="F53" s="415"/>
      <c r="G53" s="415"/>
      <c r="H53" s="415"/>
      <c r="I53" s="415"/>
    </row>
    <row r="54" spans="1:9">
      <c r="A54" s="415"/>
      <c r="B54" s="415"/>
      <c r="C54" s="415"/>
      <c r="D54" s="415"/>
      <c r="E54" s="415"/>
      <c r="F54" s="415"/>
      <c r="G54" s="415"/>
      <c r="H54" s="415"/>
      <c r="I54" s="415"/>
    </row>
    <row r="55" spans="1:9" ht="12.75" customHeight="1">
      <c r="A55" s="415"/>
      <c r="B55" s="415"/>
      <c r="C55" s="415"/>
      <c r="D55" s="415"/>
      <c r="E55" s="415"/>
      <c r="F55" s="415"/>
      <c r="G55" s="415"/>
      <c r="H55" s="415"/>
      <c r="I55" s="415"/>
    </row>
    <row r="56" spans="1:9">
      <c r="A56" s="460" t="s">
        <v>250</v>
      </c>
      <c r="C56" s="415"/>
      <c r="D56" s="415"/>
      <c r="E56" s="415"/>
      <c r="F56" s="415"/>
      <c r="G56" s="415"/>
      <c r="H56" s="415"/>
      <c r="I56" s="415"/>
    </row>
    <row r="57" spans="1:9">
      <c r="A57" s="461" t="s">
        <v>251</v>
      </c>
      <c r="B57" s="462"/>
      <c r="C57" s="415"/>
      <c r="D57" s="415"/>
      <c r="E57" s="415"/>
      <c r="F57" s="415"/>
      <c r="G57" s="415"/>
      <c r="H57" s="415"/>
      <c r="I57" s="415"/>
    </row>
    <row r="58" spans="1:9">
      <c r="A58" s="463"/>
      <c r="B58" s="463"/>
      <c r="C58" s="415"/>
      <c r="D58" s="415"/>
      <c r="E58" s="415"/>
      <c r="F58" s="415"/>
      <c r="G58" s="415"/>
      <c r="H58" s="415"/>
      <c r="I58" s="415"/>
    </row>
    <row r="59" spans="1:9">
      <c r="A59" s="464"/>
      <c r="B59" s="447"/>
      <c r="C59" s="2067" t="s">
        <v>12</v>
      </c>
      <c r="D59" s="2068"/>
      <c r="E59" s="2068"/>
      <c r="F59" s="2068"/>
      <c r="G59" s="2069"/>
      <c r="H59" s="2067" t="s">
        <v>18</v>
      </c>
      <c r="I59" s="2069"/>
    </row>
    <row r="60" spans="1:9" ht="24.6">
      <c r="A60" s="1297" t="s">
        <v>252</v>
      </c>
      <c r="B60" s="465" t="s">
        <v>253</v>
      </c>
      <c r="C60" s="144">
        <f>Base_Mensuelle!GU7</f>
        <v>44896</v>
      </c>
      <c r="D60" s="518">
        <f>Base_Mensuelle!GV7</f>
        <v>45170</v>
      </c>
      <c r="E60" s="518">
        <f>Base_Mensuelle!GW7</f>
        <v>45200</v>
      </c>
      <c r="F60" s="518">
        <f>Base_Mensuelle!GX7</f>
        <v>45231</v>
      </c>
      <c r="G60" s="519">
        <f>Base_Mensuelle!GY7</f>
        <v>45261</v>
      </c>
      <c r="H60" s="466" t="s">
        <v>19</v>
      </c>
      <c r="I60" s="449" t="s">
        <v>20</v>
      </c>
    </row>
    <row r="61" spans="1:9">
      <c r="A61" s="1298" t="s">
        <v>254</v>
      </c>
      <c r="B61" s="467" t="s">
        <v>255</v>
      </c>
      <c r="C61" s="468">
        <f>Base_Mensuelle!GU9</f>
        <v>457</v>
      </c>
      <c r="D61" s="468">
        <f>Base_Mensuelle!GV9</f>
        <v>391</v>
      </c>
      <c r="E61" s="468">
        <f>Base_Mensuelle!GW9</f>
        <v>371</v>
      </c>
      <c r="F61" s="468">
        <f>Base_Mensuelle!GX9</f>
        <v>380</v>
      </c>
      <c r="G61" s="468">
        <f>Base_Mensuelle!GY9</f>
        <v>361</v>
      </c>
      <c r="H61" s="1303">
        <f t="shared" ref="H61:H66" si="6">+IF(F61=0,"",(G61/F61-1)*100)</f>
        <v>-5.0000000000000044</v>
      </c>
      <c r="I61" s="1514">
        <f t="shared" ref="I61:I66" si="7">+IF(C61=0,"",(G61/C61-1)*100)</f>
        <v>-21.006564551422326</v>
      </c>
    </row>
    <row r="62" spans="1:9">
      <c r="A62" s="1288" t="s">
        <v>126</v>
      </c>
      <c r="B62" s="469" t="s">
        <v>255</v>
      </c>
      <c r="C62" s="470">
        <f>Base_Mensuelle!GU10</f>
        <v>341</v>
      </c>
      <c r="D62" s="470">
        <f>Base_Mensuelle!GV10</f>
        <v>330</v>
      </c>
      <c r="E62" s="470">
        <f>Base_Mensuelle!GW10</f>
        <v>320</v>
      </c>
      <c r="F62" s="470">
        <f>Base_Mensuelle!GX10</f>
        <v>329</v>
      </c>
      <c r="G62" s="470">
        <f>Base_Mensuelle!GY10</f>
        <v>323</v>
      </c>
      <c r="H62" s="1515">
        <f t="shared" si="6"/>
        <v>-1.8237082066869248</v>
      </c>
      <c r="I62" s="1515">
        <f t="shared" si="7"/>
        <v>-5.2785923753665642</v>
      </c>
    </row>
    <row r="63" spans="1:9">
      <c r="A63" s="1298" t="s">
        <v>256</v>
      </c>
      <c r="B63" s="467" t="s">
        <v>255</v>
      </c>
      <c r="C63" s="468">
        <f>Base_Mensuelle!GU11</f>
        <v>320</v>
      </c>
      <c r="D63" s="468">
        <f>Base_Mensuelle!GV11</f>
        <v>330</v>
      </c>
      <c r="E63" s="468">
        <f>Base_Mensuelle!GW11</f>
        <v>302</v>
      </c>
      <c r="F63" s="468">
        <f>Base_Mensuelle!GX11</f>
        <v>307</v>
      </c>
      <c r="G63" s="468">
        <f>Base_Mensuelle!GY11</f>
        <v>305</v>
      </c>
      <c r="H63" s="1303">
        <f t="shared" si="6"/>
        <v>-0.6514657980456029</v>
      </c>
      <c r="I63" s="1514">
        <f t="shared" si="7"/>
        <v>-4.6875</v>
      </c>
    </row>
    <row r="64" spans="1:9">
      <c r="A64" s="1939" t="s">
        <v>257</v>
      </c>
      <c r="B64" s="469" t="s">
        <v>255</v>
      </c>
      <c r="C64" s="470">
        <f>Base_Mensuelle!GU12</f>
        <v>289</v>
      </c>
      <c r="D64" s="470">
        <f>Base_Mensuelle!GV12</f>
        <v>268</v>
      </c>
      <c r="E64" s="470">
        <f>Base_Mensuelle!GW12</f>
        <v>273</v>
      </c>
      <c r="F64" s="470">
        <f>Base_Mensuelle!GX12</f>
        <v>271</v>
      </c>
      <c r="G64" s="470">
        <f>Base_Mensuelle!GY12</f>
        <v>252</v>
      </c>
      <c r="H64" s="1515">
        <f t="shared" si="6"/>
        <v>-7.0110701107011124</v>
      </c>
      <c r="I64" s="1515">
        <f t="shared" si="7"/>
        <v>-12.802768166089962</v>
      </c>
    </row>
    <row r="65" spans="1:9">
      <c r="A65" s="1298" t="s">
        <v>258</v>
      </c>
      <c r="B65" s="467" t="s">
        <v>255</v>
      </c>
      <c r="C65" s="468">
        <f>Base_Mensuelle!GU13</f>
        <v>410</v>
      </c>
      <c r="D65" s="468">
        <f>Base_Mensuelle!GV13</f>
        <v>413</v>
      </c>
      <c r="E65" s="468">
        <f>Base_Mensuelle!GW13</f>
        <v>421</v>
      </c>
      <c r="F65" s="468">
        <f>Base_Mensuelle!GX13</f>
        <v>422</v>
      </c>
      <c r="G65" s="468">
        <f>Base_Mensuelle!GY13</f>
        <v>434</v>
      </c>
      <c r="H65" s="1303">
        <f t="shared" si="6"/>
        <v>2.8436018957346043</v>
      </c>
      <c r="I65" s="1514">
        <f t="shared" si="7"/>
        <v>5.8536585365853711</v>
      </c>
    </row>
    <row r="66" spans="1:9">
      <c r="A66" s="1940" t="s">
        <v>125</v>
      </c>
      <c r="B66" s="471" t="s">
        <v>255</v>
      </c>
      <c r="C66" s="472">
        <f>Base_Mensuelle!GU14</f>
        <v>1145</v>
      </c>
      <c r="D66" s="472">
        <f>Base_Mensuelle!GV14</f>
        <v>1490</v>
      </c>
      <c r="E66" s="472">
        <f>Base_Mensuelle!GW14</f>
        <v>1495</v>
      </c>
      <c r="F66" s="472">
        <f>Base_Mensuelle!GX14</f>
        <v>1419</v>
      </c>
      <c r="G66" s="472">
        <f>Base_Mensuelle!GY14</f>
        <v>1413</v>
      </c>
      <c r="H66" s="1516">
        <f t="shared" si="6"/>
        <v>-0.42283298097252064</v>
      </c>
      <c r="I66" s="1516">
        <f t="shared" si="7"/>
        <v>23.4061135371179</v>
      </c>
    </row>
    <row r="67" spans="1:9">
      <c r="A67" s="1941" t="s">
        <v>259</v>
      </c>
      <c r="B67" s="473"/>
      <c r="C67" s="470"/>
      <c r="D67" s="470"/>
      <c r="E67" s="470"/>
      <c r="F67" s="470"/>
      <c r="G67" s="470"/>
      <c r="H67" s="470"/>
      <c r="I67" s="470"/>
    </row>
    <row r="68" spans="1:9">
      <c r="A68" s="1298" t="s">
        <v>260</v>
      </c>
      <c r="B68" s="467" t="s">
        <v>255</v>
      </c>
      <c r="C68" s="468">
        <f>Base_Mensuelle!GU16</f>
        <v>499</v>
      </c>
      <c r="D68" s="468">
        <f>Base_Mensuelle!GV16</f>
        <v>398</v>
      </c>
      <c r="E68" s="468">
        <f>Base_Mensuelle!GW16</f>
        <v>394</v>
      </c>
      <c r="F68" s="468">
        <f>Base_Mensuelle!GX16</f>
        <v>415</v>
      </c>
      <c r="G68" s="468">
        <f>Base_Mensuelle!GY16</f>
        <v>427</v>
      </c>
      <c r="H68" s="1303">
        <f t="shared" ref="H68:H73" si="8">+IF(F68=0,"",(G68/F68-1)*100)</f>
        <v>2.8915662650602414</v>
      </c>
      <c r="I68" s="1514">
        <f t="shared" ref="I68:I73" si="9">+IF(C68=0,"",(G68/C68-1)*100)</f>
        <v>-14.428857715430865</v>
      </c>
    </row>
    <row r="69" spans="1:9">
      <c r="A69" s="1939" t="s">
        <v>261</v>
      </c>
      <c r="B69" s="469" t="s">
        <v>255</v>
      </c>
      <c r="C69" s="470">
        <f>Base_Mensuelle!GU17</f>
        <v>677</v>
      </c>
      <c r="D69" s="470">
        <f>Base_Mensuelle!GV17</f>
        <v>634</v>
      </c>
      <c r="E69" s="470">
        <f>Base_Mensuelle!GW17</f>
        <v>602</v>
      </c>
      <c r="F69" s="470">
        <f>Base_Mensuelle!GX17</f>
        <v>573</v>
      </c>
      <c r="G69" s="470">
        <f>Base_Mensuelle!GY17</f>
        <v>605</v>
      </c>
      <c r="H69" s="1515">
        <f t="shared" si="8"/>
        <v>5.5846422338568846</v>
      </c>
      <c r="I69" s="1515">
        <f t="shared" si="9"/>
        <v>-10.635155096011816</v>
      </c>
    </row>
    <row r="70" spans="1:9">
      <c r="A70" s="1298" t="s">
        <v>262</v>
      </c>
      <c r="B70" s="467" t="s">
        <v>255</v>
      </c>
      <c r="C70" s="468">
        <f>Base_Mensuelle!GU18</f>
        <v>553</v>
      </c>
      <c r="D70" s="468">
        <f>Base_Mensuelle!GV18</f>
        <v>785</v>
      </c>
      <c r="E70" s="468">
        <f>Base_Mensuelle!GW18</f>
        <v>764</v>
      </c>
      <c r="F70" s="468">
        <f>Base_Mensuelle!GX18</f>
        <v>675</v>
      </c>
      <c r="G70" s="468">
        <f>Base_Mensuelle!GY18</f>
        <v>619</v>
      </c>
      <c r="H70" s="1303">
        <f t="shared" si="8"/>
        <v>-8.2962962962963012</v>
      </c>
      <c r="I70" s="1514">
        <f t="shared" si="9"/>
        <v>11.934900542495486</v>
      </c>
    </row>
    <row r="71" spans="1:9">
      <c r="A71" s="1939" t="s">
        <v>263</v>
      </c>
      <c r="B71" s="469" t="s">
        <v>255</v>
      </c>
      <c r="C71" s="470">
        <f>Base_Mensuelle!GU19</f>
        <v>781</v>
      </c>
      <c r="D71" s="470">
        <f>Base_Mensuelle!GV19</f>
        <v>757</v>
      </c>
      <c r="E71" s="470">
        <f>Base_Mensuelle!GW19</f>
        <v>1067</v>
      </c>
      <c r="F71" s="470">
        <f>Base_Mensuelle!GX19</f>
        <v>1016</v>
      </c>
      <c r="G71" s="470">
        <f>Base_Mensuelle!GY19</f>
        <v>858</v>
      </c>
      <c r="H71" s="1515">
        <f t="shared" si="8"/>
        <v>-15.5511811023622</v>
      </c>
      <c r="I71" s="1515">
        <f t="shared" si="9"/>
        <v>9.8591549295774747</v>
      </c>
    </row>
    <row r="72" spans="1:9">
      <c r="A72" s="1298" t="s">
        <v>264</v>
      </c>
      <c r="B72" s="467" t="s">
        <v>255</v>
      </c>
      <c r="C72" s="468">
        <f>Base_Mensuelle!GU20</f>
        <v>415</v>
      </c>
      <c r="D72" s="468">
        <f>Base_Mensuelle!GV20</f>
        <v>503</v>
      </c>
      <c r="E72" s="468">
        <f>Base_Mensuelle!GW20</f>
        <v>501</v>
      </c>
      <c r="F72" s="468">
        <f>Base_Mensuelle!GX20</f>
        <v>624</v>
      </c>
      <c r="G72" s="468">
        <f>Base_Mensuelle!GY20</f>
        <v>400</v>
      </c>
      <c r="H72" s="1303">
        <f t="shared" si="8"/>
        <v>-35.897435897435891</v>
      </c>
      <c r="I72" s="1514">
        <f t="shared" si="9"/>
        <v>-3.6144578313253017</v>
      </c>
    </row>
    <row r="73" spans="1:9">
      <c r="A73" s="1942" t="s">
        <v>265</v>
      </c>
      <c r="B73" s="471" t="s">
        <v>255</v>
      </c>
      <c r="C73" s="472">
        <f>Base_Mensuelle!GU21</f>
        <v>1083</v>
      </c>
      <c r="D73" s="472">
        <f>Base_Mensuelle!GV21</f>
        <v>618</v>
      </c>
      <c r="E73" s="472">
        <f>Base_Mensuelle!GW21</f>
        <v>835</v>
      </c>
      <c r="F73" s="472">
        <f>Base_Mensuelle!GX21</f>
        <v>1437</v>
      </c>
      <c r="G73" s="472">
        <f>Base_Mensuelle!GY21</f>
        <v>1315</v>
      </c>
      <c r="H73" s="1516">
        <f t="shared" si="8"/>
        <v>-8.4899095337508719</v>
      </c>
      <c r="I73" s="1516">
        <f t="shared" si="9"/>
        <v>21.421975992613106</v>
      </c>
    </row>
    <row r="74" spans="1:9">
      <c r="A74" s="1941" t="s">
        <v>266</v>
      </c>
      <c r="B74" s="473"/>
      <c r="C74" s="473"/>
      <c r="D74" s="473"/>
      <c r="E74" s="473"/>
      <c r="F74" s="473"/>
      <c r="G74" s="473"/>
      <c r="H74" s="473"/>
      <c r="I74" s="473"/>
    </row>
    <row r="75" spans="1:9">
      <c r="A75" s="1298" t="s">
        <v>267</v>
      </c>
      <c r="B75" s="467" t="s">
        <v>255</v>
      </c>
      <c r="C75" s="467">
        <f>Base_Mensuelle!GU23</f>
        <v>2479</v>
      </c>
      <c r="D75" s="467">
        <f>Base_Mensuelle!GV23</f>
        <v>2403</v>
      </c>
      <c r="E75" s="467">
        <f>Base_Mensuelle!GW23</f>
        <v>2460</v>
      </c>
      <c r="F75" s="467">
        <f>Base_Mensuelle!GX23</f>
        <v>2429</v>
      </c>
      <c r="G75" s="467">
        <f>Base_Mensuelle!GY23</f>
        <v>2364</v>
      </c>
      <c r="H75" s="1303">
        <f t="shared" ref="H75:H87" si="10">+IF(F75=0,"",(G75/F75-1)*100)</f>
        <v>-2.6759983532317788</v>
      </c>
      <c r="I75" s="1514">
        <f t="shared" ref="I75:I87" si="11">+IF(C75=0,"",(G75/C75-1)*100)</f>
        <v>-4.6389673255344928</v>
      </c>
    </row>
    <row r="76" spans="1:9" ht="24.6">
      <c r="A76" s="1288" t="s">
        <v>268</v>
      </c>
      <c r="B76" s="469" t="s">
        <v>255</v>
      </c>
      <c r="C76" s="470">
        <f>Base_Mensuelle!GU24</f>
        <v>2628</v>
      </c>
      <c r="D76" s="470">
        <f>Base_Mensuelle!GV24</f>
        <v>2741</v>
      </c>
      <c r="E76" s="470">
        <f>Base_Mensuelle!GW24</f>
        <v>2946</v>
      </c>
      <c r="F76" s="470">
        <f>Base_Mensuelle!GX24</f>
        <v>2975</v>
      </c>
      <c r="G76" s="470">
        <f>Base_Mensuelle!GY24</f>
        <v>2878</v>
      </c>
      <c r="H76" s="1515">
        <f t="shared" si="10"/>
        <v>-3.2605042016806696</v>
      </c>
      <c r="I76" s="1515">
        <f t="shared" si="11"/>
        <v>9.5129375951293671</v>
      </c>
    </row>
    <row r="77" spans="1:9">
      <c r="A77" s="1298" t="s">
        <v>269</v>
      </c>
      <c r="B77" s="467" t="s">
        <v>255</v>
      </c>
      <c r="C77" s="467">
        <f>Base_Mensuelle!GU25</f>
        <v>2758</v>
      </c>
      <c r="D77" s="467">
        <f>Base_Mensuelle!GV25</f>
        <v>2667</v>
      </c>
      <c r="E77" s="467">
        <f>Base_Mensuelle!GW25</f>
        <v>2444</v>
      </c>
      <c r="F77" s="467">
        <f>Base_Mensuelle!GX25</f>
        <v>2839</v>
      </c>
      <c r="G77" s="467">
        <f>Base_Mensuelle!GY25</f>
        <v>2997</v>
      </c>
      <c r="H77" s="1303">
        <f t="shared" si="10"/>
        <v>5.5653399084184541</v>
      </c>
      <c r="I77" s="1514">
        <f t="shared" si="11"/>
        <v>8.6656997824510427</v>
      </c>
    </row>
    <row r="78" spans="1:9">
      <c r="A78" s="1939" t="s">
        <v>270</v>
      </c>
      <c r="B78" s="469" t="s">
        <v>255</v>
      </c>
      <c r="C78" s="470">
        <f>Base_Mensuelle!GU26</f>
        <v>3150</v>
      </c>
      <c r="D78" s="470">
        <f>Base_Mensuelle!GV26</f>
        <v>3150</v>
      </c>
      <c r="E78" s="470">
        <f>Base_Mensuelle!GW26</f>
        <v>3150</v>
      </c>
      <c r="F78" s="470">
        <f>Base_Mensuelle!GX26</f>
        <v>3150</v>
      </c>
      <c r="G78" s="470">
        <f>Base_Mensuelle!GY26</f>
        <v>3150</v>
      </c>
      <c r="H78" s="1515">
        <f t="shared" si="10"/>
        <v>0</v>
      </c>
      <c r="I78" s="1515">
        <f t="shared" si="11"/>
        <v>0</v>
      </c>
    </row>
    <row r="79" spans="1:9">
      <c r="A79" s="1298" t="s">
        <v>271</v>
      </c>
      <c r="B79" s="467" t="s">
        <v>255</v>
      </c>
      <c r="C79" s="467">
        <f>Base_Mensuelle!GU27</f>
        <v>3495</v>
      </c>
      <c r="D79" s="467">
        <f>Base_Mensuelle!GV27</f>
        <v>3725</v>
      </c>
      <c r="E79" s="467">
        <f>Base_Mensuelle!GW27</f>
        <v>3724</v>
      </c>
      <c r="F79" s="467">
        <f>Base_Mensuelle!GX27</f>
        <v>3751</v>
      </c>
      <c r="G79" s="467">
        <f>Base_Mensuelle!GY27</f>
        <v>3791</v>
      </c>
      <c r="H79" s="1303">
        <f t="shared" si="10"/>
        <v>1.0663822980538473</v>
      </c>
      <c r="I79" s="1514">
        <f t="shared" si="11"/>
        <v>8.4692417739627999</v>
      </c>
    </row>
    <row r="80" spans="1:9">
      <c r="A80" s="1288" t="s">
        <v>272</v>
      </c>
      <c r="B80" s="469" t="s">
        <v>255</v>
      </c>
      <c r="C80" s="470">
        <f>Base_Mensuelle!GU28</f>
        <v>3765</v>
      </c>
      <c r="D80" s="470">
        <f>Base_Mensuelle!GV28</f>
        <v>3918</v>
      </c>
      <c r="E80" s="470">
        <f>Base_Mensuelle!GW28</f>
        <v>4229</v>
      </c>
      <c r="F80" s="470">
        <f>Base_Mensuelle!GX28</f>
        <v>4129</v>
      </c>
      <c r="G80" s="470">
        <f>Base_Mensuelle!GY28</f>
        <v>4267</v>
      </c>
      <c r="H80" s="1515">
        <f t="shared" si="10"/>
        <v>3.3422136110438316</v>
      </c>
      <c r="I80" s="1515">
        <f t="shared" si="11"/>
        <v>13.33333333333333</v>
      </c>
    </row>
    <row r="81" spans="1:9">
      <c r="A81" s="1298" t="s">
        <v>273</v>
      </c>
      <c r="B81" s="467"/>
      <c r="C81" s="467"/>
      <c r="D81" s="467"/>
      <c r="E81" s="467"/>
      <c r="F81" s="467"/>
      <c r="G81" s="467"/>
      <c r="H81" s="1300" t="str">
        <f t="shared" si="10"/>
        <v/>
      </c>
      <c r="I81" s="1514" t="str">
        <f t="shared" si="11"/>
        <v/>
      </c>
    </row>
    <row r="82" spans="1:9">
      <c r="A82" s="1943" t="s">
        <v>274</v>
      </c>
      <c r="B82" s="475" t="s">
        <v>255</v>
      </c>
      <c r="C82" s="476">
        <f>Base_Mensuelle!GU30</f>
        <v>958</v>
      </c>
      <c r="D82" s="476">
        <f>Base_Mensuelle!GV30</f>
        <v>985</v>
      </c>
      <c r="E82" s="476">
        <f>Base_Mensuelle!GW30</f>
        <v>980</v>
      </c>
      <c r="F82" s="476">
        <f>Base_Mensuelle!GX30</f>
        <v>996</v>
      </c>
      <c r="G82" s="476">
        <f>Base_Mensuelle!GY30</f>
        <v>996</v>
      </c>
      <c r="H82" s="1517">
        <f t="shared" si="10"/>
        <v>0</v>
      </c>
      <c r="I82" s="1517">
        <f t="shared" si="11"/>
        <v>3.9665970772442494</v>
      </c>
    </row>
    <row r="83" spans="1:9">
      <c r="A83" s="1298" t="s">
        <v>275</v>
      </c>
      <c r="B83" s="467" t="s">
        <v>255</v>
      </c>
      <c r="C83" s="467">
        <f>Base_Mensuelle!GU31</f>
        <v>2157</v>
      </c>
      <c r="D83" s="467">
        <f>Base_Mensuelle!GV31</f>
        <v>2240</v>
      </c>
      <c r="E83" s="467">
        <f>Base_Mensuelle!GW31</f>
        <v>2286</v>
      </c>
      <c r="F83" s="467">
        <f>Base_Mensuelle!GX31</f>
        <v>2367</v>
      </c>
      <c r="G83" s="467">
        <f>Base_Mensuelle!GY31</f>
        <v>2445</v>
      </c>
      <c r="H83" s="1303">
        <f t="shared" si="10"/>
        <v>3.2953105196451116</v>
      </c>
      <c r="I83" s="1514">
        <f t="shared" si="11"/>
        <v>13.351877607788598</v>
      </c>
    </row>
    <row r="84" spans="1:9">
      <c r="A84" s="1939" t="s">
        <v>276</v>
      </c>
      <c r="B84" s="469" t="s">
        <v>255</v>
      </c>
      <c r="C84" s="476">
        <f>Base_Mensuelle!GU32</f>
        <v>1063</v>
      </c>
      <c r="D84" s="476">
        <f>Base_Mensuelle!GV32</f>
        <v>1268</v>
      </c>
      <c r="E84" s="476">
        <f>Base_Mensuelle!GW32</f>
        <v>1268</v>
      </c>
      <c r="F84" s="476">
        <f>Base_Mensuelle!GX32</f>
        <v>1241</v>
      </c>
      <c r="G84" s="476">
        <f>Base_Mensuelle!GY32</f>
        <v>1223</v>
      </c>
      <c r="H84" s="1517">
        <f t="shared" si="10"/>
        <v>-1.4504431909750148</v>
      </c>
      <c r="I84" s="1517">
        <f t="shared" si="11"/>
        <v>15.051740357478828</v>
      </c>
    </row>
    <row r="85" spans="1:9">
      <c r="A85" s="1298" t="s">
        <v>277</v>
      </c>
      <c r="B85" s="467" t="s">
        <v>278</v>
      </c>
      <c r="C85" s="467">
        <f>Base_Mensuelle!GU33</f>
        <v>1331</v>
      </c>
      <c r="D85" s="467">
        <f>Base_Mensuelle!GV33</f>
        <v>1139</v>
      </c>
      <c r="E85" s="467">
        <f>Base_Mensuelle!GW33</f>
        <v>1133</v>
      </c>
      <c r="F85" s="467">
        <f>Base_Mensuelle!GX33</f>
        <v>1102</v>
      </c>
      <c r="G85" s="467">
        <f>Base_Mensuelle!GY33</f>
        <v>1062</v>
      </c>
      <c r="H85" s="1303">
        <f t="shared" si="10"/>
        <v>-3.6297640653357499</v>
      </c>
      <c r="I85" s="1514">
        <f t="shared" si="11"/>
        <v>-20.210368144252445</v>
      </c>
    </row>
    <row r="86" spans="1:9">
      <c r="A86" s="1939" t="s">
        <v>279</v>
      </c>
      <c r="B86" s="469" t="s">
        <v>255</v>
      </c>
      <c r="C86" s="476">
        <f>Base_Mensuelle!GU34</f>
        <v>2544</v>
      </c>
      <c r="D86" s="476">
        <f>Base_Mensuelle!GV34</f>
        <v>2261</v>
      </c>
      <c r="E86" s="476">
        <f>Base_Mensuelle!GW34</f>
        <v>2697</v>
      </c>
      <c r="F86" s="476">
        <f>Base_Mensuelle!GX34</f>
        <v>2962</v>
      </c>
      <c r="G86" s="476">
        <f>Base_Mensuelle!GY34</f>
        <v>2771</v>
      </c>
      <c r="H86" s="1517">
        <f t="shared" si="10"/>
        <v>-6.4483457123565184</v>
      </c>
      <c r="I86" s="1517">
        <f t="shared" si="11"/>
        <v>8.9229559748427612</v>
      </c>
    </row>
    <row r="87" spans="1:9">
      <c r="A87" s="1298" t="s">
        <v>280</v>
      </c>
      <c r="B87" s="467" t="s">
        <v>278</v>
      </c>
      <c r="C87" s="477">
        <f>Base_Mensuelle!GU35</f>
        <v>245</v>
      </c>
      <c r="D87" s="467">
        <f>Base_Mensuelle!GV35</f>
        <v>184</v>
      </c>
      <c r="E87" s="467">
        <f>Base_Mensuelle!GW35</f>
        <v>186</v>
      </c>
      <c r="F87" s="467">
        <f>Base_Mensuelle!GX35</f>
        <v>204</v>
      </c>
      <c r="G87" s="467">
        <f>Base_Mensuelle!GY35</f>
        <v>186</v>
      </c>
      <c r="H87" s="1303">
        <f t="shared" si="10"/>
        <v>-8.8235294117647083</v>
      </c>
      <c r="I87" s="1514">
        <f t="shared" si="11"/>
        <v>-24.081632653061224</v>
      </c>
    </row>
    <row r="88" spans="1:9">
      <c r="A88" s="1944" t="s">
        <v>281</v>
      </c>
      <c r="B88" s="1782"/>
      <c r="C88" s="1782"/>
      <c r="D88" s="1782"/>
      <c r="E88" s="1782"/>
      <c r="F88" s="1782"/>
      <c r="G88" s="1782"/>
      <c r="H88" s="1782"/>
      <c r="I88" s="1782"/>
    </row>
    <row r="89" spans="1:9" ht="24.6">
      <c r="A89" s="1298" t="s">
        <v>282</v>
      </c>
      <c r="B89" s="467" t="s">
        <v>255</v>
      </c>
      <c r="C89" s="467">
        <f>Base_Mensuelle!GU37</f>
        <v>70</v>
      </c>
      <c r="D89" s="467">
        <f>Base_Mensuelle!GV37</f>
        <v>64</v>
      </c>
      <c r="E89" s="467">
        <f>Base_Mensuelle!GW37</f>
        <v>66</v>
      </c>
      <c r="F89" s="467">
        <f>Base_Mensuelle!GX37</f>
        <v>66</v>
      </c>
      <c r="G89" s="467">
        <f>Base_Mensuelle!GY37</f>
        <v>66</v>
      </c>
      <c r="H89" s="1303">
        <f>+IF(F89=0,"",(G89/F89-1)*100)</f>
        <v>0</v>
      </c>
      <c r="I89" s="1514">
        <f>+IF(C89=0,"",(G89/C89-1)*100)</f>
        <v>-5.7142857142857162</v>
      </c>
    </row>
    <row r="90" spans="1:9">
      <c r="A90" s="1299" t="s">
        <v>283</v>
      </c>
      <c r="B90" s="478" t="s">
        <v>255</v>
      </c>
      <c r="C90" s="472">
        <f>Base_Mensuelle!GU38</f>
        <v>202</v>
      </c>
      <c r="D90" s="472">
        <f>Base_Mensuelle!GV38</f>
        <v>194</v>
      </c>
      <c r="E90" s="472">
        <f>Base_Mensuelle!GW38</f>
        <v>195</v>
      </c>
      <c r="F90" s="472">
        <f>Base_Mensuelle!GX38</f>
        <v>199</v>
      </c>
      <c r="G90" s="472">
        <f>Base_Mensuelle!GY38</f>
        <v>212</v>
      </c>
      <c r="H90" s="1516">
        <f>+IF(F90=0,"",(G90/F90-1)*100)</f>
        <v>6.5326633165829096</v>
      </c>
      <c r="I90" s="1516">
        <f>+IF(C90=0,"",(G90/C90-1)*100)</f>
        <v>4.9504950495049549</v>
      </c>
    </row>
    <row r="91" spans="1:9">
      <c r="A91" s="446" t="s">
        <v>235</v>
      </c>
      <c r="C91" s="415"/>
      <c r="D91" s="415"/>
      <c r="E91" s="415"/>
      <c r="F91" s="415"/>
      <c r="G91" s="415"/>
      <c r="H91" s="415"/>
      <c r="I91" s="415"/>
    </row>
  </sheetData>
  <mergeCells count="10">
    <mergeCell ref="C59:G59"/>
    <mergeCell ref="H59:I59"/>
    <mergeCell ref="C26:G26"/>
    <mergeCell ref="H26:I26"/>
    <mergeCell ref="L26:P26"/>
    <mergeCell ref="Q26:S26"/>
    <mergeCell ref="A1:I1"/>
    <mergeCell ref="J1:Q1"/>
    <mergeCell ref="L6:P6"/>
    <mergeCell ref="Q6:S6"/>
  </mergeCells>
  <pageMargins left="0.70866141732283472" right="0.70866141732283472" top="0.74803149606299213" bottom="0.74803149606299213" header="0.31496062992125984" footer="0.31496062992125984"/>
  <pageSetup paperSize="9" scale="70" firstPageNumber="6" orientation="portrait" r:id="rId1"/>
  <headerFooter>
    <oddFooter>&amp;L&amp;8Bulletin trimestriel de conjoncture, 4e trimestre 2023</oddFooter>
  </headerFooter>
  <rowBreaks count="1" manualBreakCount="1">
    <brk id="54" max="8" man="1"/>
  </rowBreaks>
  <colBreaks count="1" manualBreakCount="1">
    <brk id="9"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tabColor rgb="FFFF0000"/>
  </sheetPr>
  <dimension ref="A1:T223"/>
  <sheetViews>
    <sheetView view="pageBreakPreview" topLeftCell="A145" zoomScaleSheetLayoutView="100" workbookViewId="0">
      <selection activeCell="K50" sqref="K50"/>
    </sheetView>
  </sheetViews>
  <sheetFormatPr baseColWidth="10" defaultRowHeight="12.3"/>
  <cols>
    <col min="1" max="1" width="4.1640625" customWidth="1"/>
    <col min="2" max="2" width="24.71875" customWidth="1"/>
    <col min="3" max="3" width="11.5546875" customWidth="1"/>
    <col min="4" max="4" width="12.5546875" bestFit="1" customWidth="1"/>
    <col min="5" max="5" width="11.5546875" bestFit="1" customWidth="1"/>
    <col min="6" max="6" width="13.44140625" bestFit="1" customWidth="1"/>
    <col min="7" max="7" width="14.44140625" bestFit="1" customWidth="1"/>
    <col min="8" max="8" width="14.27734375" customWidth="1"/>
    <col min="9" max="9" width="12.83203125" bestFit="1" customWidth="1"/>
  </cols>
  <sheetData>
    <row r="1" spans="2:19">
      <c r="B1" s="86" t="s">
        <v>287</v>
      </c>
      <c r="C1" s="73"/>
      <c r="D1" s="73"/>
      <c r="E1" s="73"/>
      <c r="F1" s="73"/>
      <c r="G1" s="73"/>
      <c r="H1" s="520"/>
      <c r="I1" s="521"/>
      <c r="J1" s="774"/>
      <c r="K1" s="774"/>
      <c r="L1" s="774"/>
      <c r="M1" s="774"/>
      <c r="N1" s="774"/>
      <c r="O1" s="774"/>
      <c r="P1" s="774"/>
      <c r="Q1" s="774"/>
      <c r="R1" s="774"/>
      <c r="S1" s="774"/>
    </row>
    <row r="2" spans="2:19">
      <c r="B2" s="86"/>
      <c r="C2" s="73"/>
      <c r="D2" s="73"/>
      <c r="E2" s="73"/>
      <c r="F2" s="73"/>
      <c r="G2" s="73"/>
      <c r="H2" s="520"/>
      <c r="I2" s="521"/>
    </row>
    <row r="3" spans="2:19">
      <c r="B3" s="2061" t="s">
        <v>288</v>
      </c>
      <c r="C3" s="2067" t="s">
        <v>12</v>
      </c>
      <c r="D3" s="2068"/>
      <c r="E3" s="2068"/>
      <c r="F3" s="2068"/>
      <c r="G3" s="2069"/>
      <c r="H3" s="2070" t="s">
        <v>18</v>
      </c>
      <c r="I3" s="2071"/>
    </row>
    <row r="4" spans="2:19">
      <c r="B4" s="2123"/>
      <c r="C4" s="144">
        <f>Base_Mensuelle!HV7</f>
        <v>44531</v>
      </c>
      <c r="D4" s="144">
        <f>Base_Mensuelle!HW7</f>
        <v>44805</v>
      </c>
      <c r="E4" s="144">
        <f>Base_Mensuelle!HX7</f>
        <v>44835</v>
      </c>
      <c r="F4" s="144">
        <f>Base_Mensuelle!HY7</f>
        <v>44866</v>
      </c>
      <c r="G4" s="144">
        <f>Base_Mensuelle!HZ7</f>
        <v>44896</v>
      </c>
      <c r="H4" s="32" t="s">
        <v>19</v>
      </c>
      <c r="I4" s="32" t="s">
        <v>20</v>
      </c>
    </row>
    <row r="5" spans="2:19">
      <c r="B5" s="1784" t="s">
        <v>289</v>
      </c>
      <c r="C5" s="438">
        <f>Base_Mensuelle!HV8</f>
        <v>297.78622436523438</v>
      </c>
      <c r="D5" s="1481">
        <f>Base_Mensuelle!HW8</f>
        <v>457.04803466796875</v>
      </c>
      <c r="E5" s="1482">
        <f>Base_Mensuelle!HX8</f>
        <v>430</v>
      </c>
      <c r="F5" s="1454">
        <f>Base_Mensuelle!HY8</f>
        <v>468</v>
      </c>
      <c r="G5" s="1454">
        <f>Base_Mensuelle!HZ8</f>
        <v>426</v>
      </c>
      <c r="H5" s="1482">
        <f t="shared" ref="H5:H12" si="0">+IF(F5=0,"",(G5/F5-1)*100)</f>
        <v>-8.9743589743589762</v>
      </c>
      <c r="I5" s="1454">
        <f t="shared" ref="I5:I12" si="1">+IF(C5=0,"",(G5/C5-1)*100)</f>
        <v>43.055643661176092</v>
      </c>
    </row>
    <row r="6" spans="2:19">
      <c r="B6" s="1287" t="s">
        <v>157</v>
      </c>
      <c r="C6" s="440">
        <f>Base_Mensuelle!HV9</f>
        <v>333.33334350585938</v>
      </c>
      <c r="D6" s="1483">
        <f>Base_Mensuelle!HW9</f>
        <v>435.15390624999998</v>
      </c>
      <c r="E6" s="1484">
        <f>Base_Mensuelle!HX9</f>
        <v>387</v>
      </c>
      <c r="F6" s="1453">
        <f>Base_Mensuelle!HY9</f>
        <v>404</v>
      </c>
      <c r="G6" s="1453">
        <f>Base_Mensuelle!HZ9</f>
        <v>407</v>
      </c>
      <c r="H6" s="1484">
        <f t="shared" si="0"/>
        <v>0.74257425742574323</v>
      </c>
      <c r="I6" s="1453">
        <f t="shared" si="1"/>
        <v>22.099996273803836</v>
      </c>
    </row>
    <row r="7" spans="2:19">
      <c r="B7" s="1288" t="s">
        <v>290</v>
      </c>
      <c r="C7" s="442">
        <f>Base_Mensuelle!HV10</f>
        <v>257.88147735595703</v>
      </c>
      <c r="D7" s="1485">
        <f>Base_Mensuelle!HW10</f>
        <v>394.09185028076172</v>
      </c>
      <c r="E7" s="1486">
        <f>Base_Mensuelle!HX10</f>
        <v>390</v>
      </c>
      <c r="F7" s="1454">
        <f>Base_Mensuelle!HY10</f>
        <v>396</v>
      </c>
      <c r="G7" s="1454">
        <f>Base_Mensuelle!HZ10</f>
        <v>395</v>
      </c>
      <c r="H7" s="1486">
        <f t="shared" si="0"/>
        <v>-0.2525252525252486</v>
      </c>
      <c r="I7" s="1454">
        <f t="shared" si="1"/>
        <v>53.171140498305959</v>
      </c>
    </row>
    <row r="8" spans="2:19">
      <c r="B8" s="1289" t="s">
        <v>291</v>
      </c>
      <c r="C8" s="440">
        <f>Base_Mensuelle!HV11</f>
        <v>255.10203552246094</v>
      </c>
      <c r="D8" s="1483">
        <f>Base_Mensuelle!HW11</f>
        <v>369.89794921875</v>
      </c>
      <c r="E8" s="1484">
        <f>Base_Mensuelle!HX11</f>
        <v>383</v>
      </c>
      <c r="F8" s="1453">
        <f>Base_Mensuelle!HY11</f>
        <v>332</v>
      </c>
      <c r="G8" s="1453">
        <f>Base_Mensuelle!HZ11</f>
        <v>332</v>
      </c>
      <c r="H8" s="1484">
        <f t="shared" si="0"/>
        <v>0</v>
      </c>
      <c r="I8" s="1453">
        <f t="shared" si="1"/>
        <v>30.144002700742245</v>
      </c>
    </row>
    <row r="9" spans="2:19">
      <c r="B9" s="1286" t="s">
        <v>292</v>
      </c>
      <c r="C9" s="442">
        <f>Base_Mensuelle!HV12</f>
        <v>282.23906249999999</v>
      </c>
      <c r="D9" s="1485">
        <f>Base_Mensuelle!HW12</f>
        <v>416.66667175292969</v>
      </c>
      <c r="E9" s="1486">
        <f>Base_Mensuelle!HX12</f>
        <v>410</v>
      </c>
      <c r="F9" s="1454">
        <f>Base_Mensuelle!HY12</f>
        <v>394</v>
      </c>
      <c r="G9" s="1454">
        <f>Base_Mensuelle!HZ12</f>
        <v>337</v>
      </c>
      <c r="H9" s="1486">
        <f t="shared" si="0"/>
        <v>-14.467005076142136</v>
      </c>
      <c r="I9" s="1454">
        <f t="shared" si="1"/>
        <v>19.402324049315478</v>
      </c>
    </row>
    <row r="10" spans="2:19">
      <c r="B10" s="1290" t="s">
        <v>293</v>
      </c>
      <c r="C10" s="440">
        <f>Base_Mensuelle!HV13</f>
        <v>282.12895584106445</v>
      </c>
      <c r="D10" s="1483">
        <f>Base_Mensuelle!HW13</f>
        <v>444.4444580078125</v>
      </c>
      <c r="E10" s="1484">
        <f>Base_Mensuelle!HX13</f>
        <v>441</v>
      </c>
      <c r="F10" s="1453">
        <f>Base_Mensuelle!HY13</f>
        <v>421</v>
      </c>
      <c r="G10" s="1453">
        <f>Base_Mensuelle!HZ13</f>
        <v>370</v>
      </c>
      <c r="H10" s="1484">
        <f t="shared" si="0"/>
        <v>-12.11401425178147</v>
      </c>
      <c r="I10" s="1453">
        <f t="shared" si="1"/>
        <v>31.145702112347927</v>
      </c>
    </row>
    <row r="11" spans="2:19">
      <c r="B11" s="1286" t="s">
        <v>294</v>
      </c>
      <c r="C11" s="1585">
        <f>Base_Mensuelle!HV14</f>
        <v>242.48367309570313</v>
      </c>
      <c r="D11" s="1485">
        <f>Base_Mensuelle!HW14</f>
        <v>411.71617126464844</v>
      </c>
      <c r="E11" s="1486">
        <f>Base_Mensuelle!HX14</f>
        <v>415</v>
      </c>
      <c r="F11" s="1454">
        <f>Base_Mensuelle!HY14</f>
        <v>407</v>
      </c>
      <c r="G11" s="1454">
        <f>Base_Mensuelle!HZ14</f>
        <v>356</v>
      </c>
      <c r="H11" s="1486">
        <f t="shared" si="0"/>
        <v>-12.530712530712529</v>
      </c>
      <c r="I11" s="1454">
        <f t="shared" si="1"/>
        <v>46.814008322735368</v>
      </c>
    </row>
    <row r="12" spans="2:19">
      <c r="B12" s="1291" t="s">
        <v>295</v>
      </c>
      <c r="C12" s="444">
        <f>Base_Mensuelle!HV15</f>
        <v>367.32015228271484</v>
      </c>
      <c r="D12" s="445">
        <f>Base_Mensuelle!HW15</f>
        <v>445.18185424804688</v>
      </c>
      <c r="E12" s="1487">
        <f>Base_Mensuelle!HX15</f>
        <v>449</v>
      </c>
      <c r="F12" s="454">
        <f>Base_Mensuelle!HY15</f>
        <v>439</v>
      </c>
      <c r="G12" s="454">
        <f>Base_Mensuelle!HZ15</f>
        <v>401</v>
      </c>
      <c r="H12" s="1487">
        <f t="shared" si="0"/>
        <v>-8.6560364464692512</v>
      </c>
      <c r="I12" s="454">
        <f t="shared" si="1"/>
        <v>9.1690715872737805</v>
      </c>
    </row>
    <row r="13" spans="2:19">
      <c r="B13" s="73" t="s">
        <v>296</v>
      </c>
      <c r="C13" s="31"/>
      <c r="D13" s="31"/>
      <c r="E13" s="31"/>
      <c r="F13" s="31"/>
      <c r="G13" s="31"/>
      <c r="H13" s="67"/>
      <c r="I13" s="521"/>
    </row>
    <row r="14" spans="2:19">
      <c r="B14" s="73"/>
      <c r="C14" s="31"/>
      <c r="D14" s="31"/>
      <c r="E14" s="31"/>
      <c r="F14" s="31"/>
      <c r="G14" s="31"/>
      <c r="H14" s="67"/>
      <c r="I14" s="521"/>
    </row>
    <row r="15" spans="2:19">
      <c r="B15" s="86" t="s">
        <v>297</v>
      </c>
      <c r="C15" s="73"/>
      <c r="D15" s="73"/>
      <c r="E15" s="73"/>
      <c r="F15" s="73"/>
      <c r="G15" s="73"/>
      <c r="H15" s="520"/>
      <c r="I15" s="521"/>
    </row>
    <row r="16" spans="2:19">
      <c r="B16" s="86"/>
      <c r="C16" s="73"/>
      <c r="D16" s="73"/>
      <c r="E16" s="73"/>
      <c r="F16" s="73"/>
      <c r="G16" s="73"/>
      <c r="H16" s="520"/>
      <c r="I16" s="521"/>
      <c r="J16" s="774"/>
      <c r="K16" s="774"/>
      <c r="L16" s="774"/>
      <c r="M16" s="774"/>
      <c r="N16" s="774"/>
      <c r="O16" s="774"/>
      <c r="P16" s="774"/>
      <c r="Q16" s="774"/>
      <c r="R16" s="774"/>
    </row>
    <row r="17" spans="2:19">
      <c r="B17" s="2061" t="s">
        <v>298</v>
      </c>
      <c r="C17" s="2067" t="s">
        <v>12</v>
      </c>
      <c r="D17" s="2068"/>
      <c r="E17" s="2068"/>
      <c r="F17" s="2068"/>
      <c r="G17" s="2069"/>
      <c r="H17" s="2070" t="s">
        <v>18</v>
      </c>
      <c r="I17" s="2071"/>
    </row>
    <row r="18" spans="2:19">
      <c r="B18" s="2124"/>
      <c r="C18" s="144">
        <f>Base_Mensuelle!ID7</f>
        <v>44531</v>
      </c>
      <c r="D18" s="144">
        <f>Base_Mensuelle!IE7</f>
        <v>44805</v>
      </c>
      <c r="E18" s="144">
        <f>Base_Mensuelle!IF7</f>
        <v>44835</v>
      </c>
      <c r="F18" s="144">
        <f>Base_Mensuelle!IG7</f>
        <v>44866</v>
      </c>
      <c r="G18" s="144">
        <f>Base_Mensuelle!IH7</f>
        <v>44896</v>
      </c>
      <c r="H18" s="87" t="s">
        <v>19</v>
      </c>
      <c r="I18" s="1306" t="s">
        <v>20</v>
      </c>
    </row>
    <row r="19" spans="2:19">
      <c r="B19" s="1286" t="s">
        <v>299</v>
      </c>
      <c r="C19" s="438">
        <f>Base_Mensuelle!ID8</f>
        <v>315.97811889648438</v>
      </c>
      <c r="D19" s="1481">
        <f>Base_Mensuelle!IE8</f>
        <v>409.89401245117188</v>
      </c>
      <c r="E19" s="1482">
        <f>Base_Mensuelle!IF8</f>
        <v>403</v>
      </c>
      <c r="F19" s="1454">
        <f>Base_Mensuelle!IG8</f>
        <v>401</v>
      </c>
      <c r="G19" s="1454">
        <f>Base_Mensuelle!IH8</f>
        <v>402</v>
      </c>
      <c r="H19" s="1482">
        <f t="shared" ref="H19:H24" si="2">+IF(F19=0,"",(G19/F19-1)*100)</f>
        <v>0.24937655860348684</v>
      </c>
      <c r="I19" s="1454">
        <f t="shared" ref="I19:I24" si="3">+IF(C19=0,"",(G19/C19-1)*100)</f>
        <v>27.223999371835216</v>
      </c>
      <c r="S19" s="774"/>
    </row>
    <row r="20" spans="2:19">
      <c r="B20" s="1287" t="s">
        <v>300</v>
      </c>
      <c r="C20" s="440">
        <f>Base_Mensuelle!ID9</f>
        <v>199.11595916748047</v>
      </c>
      <c r="D20" s="1483">
        <f>Base_Mensuelle!IE9</f>
        <v>316.41771697998047</v>
      </c>
      <c r="E20" s="1484">
        <f>Base_Mensuelle!IF9</f>
        <v>313</v>
      </c>
      <c r="F20" s="1453">
        <f>Base_Mensuelle!IG9</f>
        <v>285</v>
      </c>
      <c r="G20" s="1453">
        <f>Base_Mensuelle!IH9</f>
        <v>214</v>
      </c>
      <c r="H20" s="1484">
        <f t="shared" si="2"/>
        <v>-24.912280701754387</v>
      </c>
      <c r="I20" s="1453">
        <f t="shared" si="3"/>
        <v>7.4750617151688292</v>
      </c>
    </row>
    <row r="21" spans="2:19">
      <c r="B21" s="1288" t="s">
        <v>301</v>
      </c>
      <c r="C21" s="442">
        <f>Base_Mensuelle!ID10</f>
        <v>216.66667175292969</v>
      </c>
      <c r="D21" s="1485">
        <f>Base_Mensuelle!IE10</f>
        <v>370.68964385986328</v>
      </c>
      <c r="E21" s="1486">
        <f>Base_Mensuelle!IF10</f>
        <v>372</v>
      </c>
      <c r="F21" s="1454">
        <f>Base_Mensuelle!IG10</f>
        <v>344</v>
      </c>
      <c r="G21" s="1454">
        <f>Base_Mensuelle!IH10</f>
        <v>304</v>
      </c>
      <c r="H21" s="1486">
        <f t="shared" si="2"/>
        <v>-11.627906976744185</v>
      </c>
      <c r="I21" s="1454">
        <f t="shared" si="3"/>
        <v>40.307689013960868</v>
      </c>
    </row>
    <row r="22" spans="2:19">
      <c r="B22" s="1289" t="s">
        <v>302</v>
      </c>
      <c r="C22" s="440">
        <f>Base_Mensuelle!ID11</f>
        <v>206.73077392578125</v>
      </c>
      <c r="D22" s="1483">
        <f>Base_Mensuelle!IE11</f>
        <v>323.5294189453125</v>
      </c>
      <c r="E22" s="1484"/>
      <c r="F22" s="1453"/>
      <c r="G22" s="1453">
        <f>Base_Mensuelle!IH11</f>
        <v>490.88892534233923</v>
      </c>
      <c r="H22" s="1484" t="str">
        <f t="shared" si="2"/>
        <v/>
      </c>
      <c r="I22" s="1453">
        <f t="shared" si="3"/>
        <v>137.45324221471452</v>
      </c>
    </row>
    <row r="23" spans="2:19">
      <c r="B23" s="1286" t="s">
        <v>303</v>
      </c>
      <c r="C23" s="1585">
        <f>Base_Mensuelle!ID12</f>
        <v>242.51347732543945</v>
      </c>
      <c r="D23" s="1485">
        <f>Base_Mensuelle!IE12</f>
        <v>401.09032440185547</v>
      </c>
      <c r="E23" s="1486">
        <f>Base_Mensuelle!IF12</f>
        <v>384</v>
      </c>
      <c r="F23" s="1454">
        <f>Base_Mensuelle!IG12</f>
        <v>354</v>
      </c>
      <c r="G23" s="1454">
        <f>Base_Mensuelle!IH12</f>
        <v>284</v>
      </c>
      <c r="H23" s="1486">
        <f t="shared" si="2"/>
        <v>-19.774011299435024</v>
      </c>
      <c r="I23" s="1454">
        <f t="shared" si="3"/>
        <v>17.106893658898791</v>
      </c>
    </row>
    <row r="24" spans="2:19">
      <c r="B24" s="1291" t="s">
        <v>304</v>
      </c>
      <c r="C24" s="444">
        <f>Base_Mensuelle!ID13</f>
        <v>207.18232727050781</v>
      </c>
      <c r="D24" s="445">
        <f>Base_Mensuelle!IE13</f>
        <v>312.50001525878906</v>
      </c>
      <c r="E24" s="1487">
        <f>Base_Mensuelle!IF13</f>
        <v>325</v>
      </c>
      <c r="F24" s="454">
        <f>Base_Mensuelle!IG13</f>
        <v>280</v>
      </c>
      <c r="G24" s="454">
        <f>Base_Mensuelle!IH13</f>
        <v>213</v>
      </c>
      <c r="H24" s="1487">
        <f t="shared" si="2"/>
        <v>-23.928571428571431</v>
      </c>
      <c r="I24" s="454">
        <f t="shared" si="3"/>
        <v>2.8079966115528432</v>
      </c>
    </row>
    <row r="25" spans="2:19">
      <c r="B25" s="73" t="s">
        <v>296</v>
      </c>
      <c r="C25" s="31"/>
      <c r="D25" s="31"/>
      <c r="E25" s="31"/>
      <c r="F25" s="31"/>
      <c r="G25" s="31"/>
      <c r="H25" s="67"/>
      <c r="I25" s="521"/>
    </row>
    <row r="26" spans="2:19">
      <c r="B26" s="73"/>
      <c r="C26" s="31"/>
      <c r="D26" s="31"/>
      <c r="E26" s="31"/>
      <c r="F26" s="31"/>
      <c r="G26" s="31"/>
      <c r="H26" s="67"/>
      <c r="I26" s="521"/>
    </row>
    <row r="27" spans="2:19">
      <c r="B27" s="86" t="s">
        <v>305</v>
      </c>
      <c r="C27" s="73"/>
      <c r="D27" s="73"/>
      <c r="E27" s="73"/>
      <c r="F27" s="73"/>
      <c r="G27" s="73"/>
      <c r="H27" s="520"/>
      <c r="I27" s="521"/>
    </row>
    <row r="28" spans="2:19">
      <c r="B28" s="86"/>
      <c r="C28" s="73"/>
      <c r="D28" s="73"/>
      <c r="E28" s="73"/>
      <c r="F28" s="73"/>
      <c r="G28" s="73"/>
      <c r="H28" s="520"/>
      <c r="I28" s="521"/>
    </row>
    <row r="29" spans="2:19">
      <c r="B29" s="2061" t="s">
        <v>306</v>
      </c>
      <c r="C29" s="2067" t="s">
        <v>12</v>
      </c>
      <c r="D29" s="2068"/>
      <c r="E29" s="2068"/>
      <c r="F29" s="2068"/>
      <c r="G29" s="2069"/>
      <c r="H29" s="2070" t="s">
        <v>18</v>
      </c>
      <c r="I29" s="2071"/>
    </row>
    <row r="30" spans="2:19">
      <c r="B30" s="2123"/>
      <c r="C30" s="144">
        <f>Base_Mensuelle!IL7</f>
        <v>44531</v>
      </c>
      <c r="D30" s="144">
        <f>Base_Mensuelle!IM7</f>
        <v>44805</v>
      </c>
      <c r="E30" s="144">
        <f>Base_Mensuelle!IN7</f>
        <v>44835</v>
      </c>
      <c r="F30" s="144">
        <f>Base_Mensuelle!IO7</f>
        <v>44866</v>
      </c>
      <c r="G30" s="144">
        <f>Base_Mensuelle!IP7</f>
        <v>44896</v>
      </c>
      <c r="H30" s="32" t="s">
        <v>19</v>
      </c>
      <c r="I30" s="32" t="s">
        <v>20</v>
      </c>
    </row>
    <row r="31" spans="2:19">
      <c r="B31" s="1784" t="s">
        <v>289</v>
      </c>
      <c r="C31" s="438">
        <f>Base_Mensuelle!IL8</f>
        <v>193.70039558410645</v>
      </c>
      <c r="D31" s="1481">
        <f>Base_Mensuelle!IM8</f>
        <v>253.57142639160156</v>
      </c>
      <c r="E31" s="1482">
        <f>Base_Mensuelle!IN8</f>
        <v>246</v>
      </c>
      <c r="F31" s="1454">
        <f>Base_Mensuelle!IO8</f>
        <v>177</v>
      </c>
      <c r="G31" s="1454">
        <f>Base_Mensuelle!IP8</f>
        <v>224</v>
      </c>
      <c r="H31" s="1482">
        <f t="shared" ref="H31:H38" si="4">+IF(F31=0,"",(G31/F31-1)*100)</f>
        <v>26.553672316384191</v>
      </c>
      <c r="I31" s="1454">
        <f t="shared" ref="I31:I38" si="5">+IF(C31=0,"",(G31/C31-1)*100)</f>
        <v>15.642510344144966</v>
      </c>
    </row>
    <row r="32" spans="2:19">
      <c r="B32" s="1287" t="s">
        <v>157</v>
      </c>
      <c r="C32" s="440">
        <f>Base_Mensuelle!IL9</f>
        <v>273.22402954101563</v>
      </c>
      <c r="D32" s="1483">
        <f>Base_Mensuelle!IM9</f>
        <v>323.2581848144531</v>
      </c>
      <c r="E32" s="1484">
        <f>Base_Mensuelle!IN9</f>
        <v>322</v>
      </c>
      <c r="F32" s="1453">
        <f>Base_Mensuelle!IO9</f>
        <v>331</v>
      </c>
      <c r="G32" s="1453">
        <f>Base_Mensuelle!IP9</f>
        <v>281</v>
      </c>
      <c r="H32" s="1484">
        <f t="shared" si="4"/>
        <v>-15.105740181268878</v>
      </c>
      <c r="I32" s="1453">
        <f t="shared" si="5"/>
        <v>2.8460053356387016</v>
      </c>
    </row>
    <row r="33" spans="2:20">
      <c r="B33" s="1288" t="s">
        <v>290</v>
      </c>
      <c r="C33" s="442">
        <f>Base_Mensuelle!IL10</f>
        <v>238.5029296875</v>
      </c>
      <c r="D33" s="1486">
        <f>Base_Mensuelle!IM10</f>
        <v>299.35906982421875</v>
      </c>
      <c r="E33" s="1486">
        <f>Base_Mensuelle!IN10</f>
        <v>282</v>
      </c>
      <c r="F33" s="1454">
        <f>Base_Mensuelle!IO10</f>
        <v>255</v>
      </c>
      <c r="G33" s="1454">
        <f>Base_Mensuelle!IP10</f>
        <v>264</v>
      </c>
      <c r="H33" s="1486">
        <f t="shared" si="4"/>
        <v>3.529411764705892</v>
      </c>
      <c r="I33" s="1454">
        <f t="shared" si="5"/>
        <v>10.690464199290005</v>
      </c>
      <c r="T33" s="1544"/>
    </row>
    <row r="34" spans="2:20">
      <c r="B34" s="1289" t="s">
        <v>292</v>
      </c>
      <c r="C34" s="440">
        <f>Base_Mensuelle!IL11</f>
        <v>225.00000915527343</v>
      </c>
      <c r="D34" s="1483">
        <f>Base_Mensuelle!IM11</f>
        <v>281.25000762939453</v>
      </c>
      <c r="E34" s="1484">
        <f>Base_Mensuelle!IN11</f>
        <v>268</v>
      </c>
      <c r="F34" s="1453">
        <f>Base_Mensuelle!IO11</f>
        <v>241</v>
      </c>
      <c r="G34" s="1453">
        <f>Base_Mensuelle!IP11</f>
        <v>243</v>
      </c>
      <c r="H34" s="1484">
        <f t="shared" si="4"/>
        <v>0.82987551867219622</v>
      </c>
      <c r="I34" s="1453">
        <f t="shared" si="5"/>
        <v>7.9999956054689347</v>
      </c>
    </row>
    <row r="35" spans="2:20">
      <c r="B35" s="1286" t="s">
        <v>293</v>
      </c>
      <c r="C35" s="442">
        <f>Base_Mensuelle!IL12</f>
        <v>226.51888465881348</v>
      </c>
      <c r="D35" s="1485">
        <f>Base_Mensuelle!IM12</f>
        <v>285.71429443359375</v>
      </c>
      <c r="E35" s="1486">
        <f>Base_Mensuelle!IN12</f>
        <v>259</v>
      </c>
      <c r="F35" s="1454">
        <f>Base_Mensuelle!IO12</f>
        <v>226</v>
      </c>
      <c r="G35" s="1454">
        <f>Base_Mensuelle!IP12</f>
        <v>225</v>
      </c>
      <c r="H35" s="1486">
        <f t="shared" si="4"/>
        <v>-0.44247787610619538</v>
      </c>
      <c r="I35" s="1454">
        <f t="shared" si="5"/>
        <v>-0.67053334696629552</v>
      </c>
    </row>
    <row r="36" spans="2:20">
      <c r="B36" s="1290" t="s">
        <v>294</v>
      </c>
      <c r="C36" s="440">
        <f>Base_Mensuelle!IL13</f>
        <v>206.45161743164061</v>
      </c>
      <c r="D36" s="1483">
        <f>Base_Mensuelle!IM13</f>
        <v>289.69593811035156</v>
      </c>
      <c r="E36" s="1484">
        <f>Base_Mensuelle!IN13</f>
        <v>255</v>
      </c>
      <c r="F36" s="1453">
        <f>Base_Mensuelle!IO13</f>
        <v>214</v>
      </c>
      <c r="G36" s="1453">
        <f>Base_Mensuelle!IP13</f>
        <v>241</v>
      </c>
      <c r="H36" s="1484">
        <f t="shared" si="4"/>
        <v>12.616822429906538</v>
      </c>
      <c r="I36" s="1453">
        <f t="shared" si="5"/>
        <v>16.73437243948883</v>
      </c>
    </row>
    <row r="37" spans="2:20">
      <c r="B37" s="1286" t="s">
        <v>307</v>
      </c>
      <c r="C37" s="1586">
        <f>Base_Mensuelle!IL14</f>
        <v>235.01178359985352</v>
      </c>
      <c r="D37" s="1481">
        <f>Base_Mensuelle!IM14</f>
        <v>0</v>
      </c>
      <c r="E37" s="1482">
        <f>Base_Mensuelle!IN14</f>
        <v>0</v>
      </c>
      <c r="F37" s="1454">
        <f>Base_Mensuelle!IO14</f>
        <v>0</v>
      </c>
      <c r="G37" s="1454">
        <f>Base_Mensuelle!IP14</f>
        <v>0</v>
      </c>
      <c r="H37" s="1482" t="str">
        <f t="shared" si="4"/>
        <v/>
      </c>
      <c r="I37" s="1454">
        <f t="shared" si="5"/>
        <v>-100</v>
      </c>
    </row>
    <row r="38" spans="2:20">
      <c r="B38" s="1293" t="s">
        <v>295</v>
      </c>
      <c r="C38" s="444">
        <f>Base_Mensuelle!IL15</f>
        <v>280.67967987060547</v>
      </c>
      <c r="D38" s="445">
        <f>Base_Mensuelle!IM15</f>
        <v>282.40132141113281</v>
      </c>
      <c r="E38" s="1487">
        <f>Base_Mensuelle!IN15</f>
        <v>283</v>
      </c>
      <c r="F38" s="454">
        <f>Base_Mensuelle!IO15</f>
        <v>257</v>
      </c>
      <c r="G38" s="454">
        <f>Base_Mensuelle!IP15</f>
        <v>241</v>
      </c>
      <c r="H38" s="1487">
        <f t="shared" si="4"/>
        <v>-6.2256809338521402</v>
      </c>
      <c r="I38" s="454">
        <f t="shared" si="5"/>
        <v>-14.136997693918552</v>
      </c>
      <c r="S38" s="774"/>
    </row>
    <row r="39" spans="2:20">
      <c r="B39" s="73" t="s">
        <v>296</v>
      </c>
      <c r="C39" s="31"/>
      <c r="D39" s="31"/>
      <c r="E39" s="31"/>
      <c r="F39" s="31"/>
      <c r="G39" s="31"/>
      <c r="H39" s="67"/>
      <c r="I39" s="521"/>
    </row>
    <row r="40" spans="2:20">
      <c r="B40" s="73"/>
      <c r="C40" s="31"/>
      <c r="D40" s="31"/>
      <c r="E40" s="31"/>
      <c r="F40" s="31"/>
      <c r="G40" s="31"/>
      <c r="H40" s="67"/>
      <c r="I40" s="521"/>
    </row>
    <row r="41" spans="2:20">
      <c r="B41" s="86" t="s">
        <v>308</v>
      </c>
      <c r="C41" s="73"/>
      <c r="D41" s="73"/>
      <c r="E41" s="73"/>
      <c r="F41" s="73"/>
      <c r="G41" s="73"/>
      <c r="H41" s="520"/>
      <c r="I41" s="521"/>
    </row>
    <row r="42" spans="2:20">
      <c r="B42" s="86"/>
      <c r="C42" s="73"/>
      <c r="D42" s="73"/>
      <c r="E42" s="73"/>
      <c r="F42" s="73"/>
      <c r="G42" s="73"/>
      <c r="H42" s="520"/>
      <c r="I42" s="521"/>
    </row>
    <row r="43" spans="2:20">
      <c r="B43" s="2061" t="s">
        <v>309</v>
      </c>
      <c r="C43" s="2067" t="s">
        <v>12</v>
      </c>
      <c r="D43" s="2068"/>
      <c r="E43" s="2068"/>
      <c r="F43" s="2068"/>
      <c r="G43" s="2069"/>
      <c r="H43" s="2070" t="s">
        <v>18</v>
      </c>
      <c r="I43" s="2071"/>
    </row>
    <row r="44" spans="2:20">
      <c r="B44" s="2124"/>
      <c r="C44" s="144">
        <f>Base_Mensuelle!IT7</f>
        <v>44531</v>
      </c>
      <c r="D44" s="144">
        <f>Base_Mensuelle!IU7</f>
        <v>44805</v>
      </c>
      <c r="E44" s="144">
        <f>Base_Mensuelle!IV7</f>
        <v>44835</v>
      </c>
      <c r="F44" s="144">
        <f>Base_Mensuelle!IW7</f>
        <v>44866</v>
      </c>
      <c r="G44" s="144">
        <f>Base_Mensuelle!IX7</f>
        <v>44896</v>
      </c>
      <c r="H44" s="32" t="s">
        <v>19</v>
      </c>
      <c r="I44" s="32" t="s">
        <v>20</v>
      </c>
    </row>
    <row r="45" spans="2:20">
      <c r="B45" s="1286" t="s">
        <v>299</v>
      </c>
      <c r="C45" s="438">
        <f>Base_Mensuelle!IT8</f>
        <v>227.10349426269531</v>
      </c>
      <c r="D45" s="1481">
        <f>Base_Mensuelle!IU8</f>
        <v>296.85533650716144</v>
      </c>
      <c r="E45" s="1482">
        <f>Base_Mensuelle!IV8</f>
        <v>268</v>
      </c>
      <c r="F45" s="1454">
        <f>Base_Mensuelle!IW8</f>
        <v>260</v>
      </c>
      <c r="G45" s="1454">
        <f>Base_Mensuelle!IX8</f>
        <v>285</v>
      </c>
      <c r="H45" s="1482">
        <f t="shared" ref="H45:H50" si="6">+IF(F45=0,"",(G45/F45-1)*100)</f>
        <v>9.6153846153846256</v>
      </c>
      <c r="I45" s="1454">
        <f t="shared" ref="I45:I50" si="7">+IF(C45=0,"",(G45/C45-1)*100)</f>
        <v>25.493445587558682</v>
      </c>
    </row>
    <row r="46" spans="2:20">
      <c r="B46" s="1287" t="s">
        <v>300</v>
      </c>
      <c r="C46" s="440">
        <f>Base_Mensuelle!IT9</f>
        <v>157.05127716064453</v>
      </c>
      <c r="D46" s="1483">
        <f>Base_Mensuelle!IU9</f>
        <v>192.77201843261719</v>
      </c>
      <c r="E46" s="1484">
        <f>Base_Mensuelle!IV9</f>
        <v>121</v>
      </c>
      <c r="F46" s="1453">
        <f>Base_Mensuelle!IW9</f>
        <v>137</v>
      </c>
      <c r="G46" s="1453">
        <f>Base_Mensuelle!IX9</f>
        <v>162</v>
      </c>
      <c r="H46" s="1484">
        <f t="shared" si="6"/>
        <v>18.248175182481763</v>
      </c>
      <c r="I46" s="1453">
        <f t="shared" si="7"/>
        <v>3.1510236203259323</v>
      </c>
    </row>
    <row r="47" spans="2:20">
      <c r="B47" s="1288" t="s">
        <v>301</v>
      </c>
      <c r="C47" s="442">
        <f>Base_Mensuelle!IT10</f>
        <v>193.96551132202148</v>
      </c>
      <c r="D47" s="1485">
        <f>Base_Mensuelle!IU10</f>
        <v>250</v>
      </c>
      <c r="E47" s="1486">
        <f>Base_Mensuelle!IV10</f>
        <v>227</v>
      </c>
      <c r="F47" s="1454">
        <f>Base_Mensuelle!IW10</f>
        <v>167</v>
      </c>
      <c r="G47" s="1454">
        <f>Base_Mensuelle!IX10</f>
        <v>213</v>
      </c>
      <c r="H47" s="1486">
        <f t="shared" si="6"/>
        <v>27.544910179640713</v>
      </c>
      <c r="I47" s="1454">
        <f t="shared" si="7"/>
        <v>9.8133366845704053</v>
      </c>
    </row>
    <row r="48" spans="2:20">
      <c r="B48" s="1289" t="s">
        <v>302</v>
      </c>
      <c r="C48" s="440">
        <f>Base_Mensuelle!IT11</f>
        <v>172.02573013305664</v>
      </c>
      <c r="D48" s="1483">
        <f>Base_Mensuelle!IU11</f>
        <v>222.40260314941406</v>
      </c>
      <c r="E48" s="1484">
        <f>Base_Mensuelle!IV11</f>
        <v>186</v>
      </c>
      <c r="F48" s="1453">
        <f>Base_Mensuelle!IW11</f>
        <v>190</v>
      </c>
      <c r="G48" s="1453">
        <f>Base_Mensuelle!IX11</f>
        <v>221</v>
      </c>
      <c r="H48" s="1484">
        <f t="shared" si="6"/>
        <v>16.315789473684216</v>
      </c>
      <c r="I48" s="1453">
        <f t="shared" si="7"/>
        <v>28.469153904513746</v>
      </c>
    </row>
    <row r="49" spans="2:19">
      <c r="B49" s="1286" t="s">
        <v>303</v>
      </c>
      <c r="C49" s="1585">
        <f>Base_Mensuelle!IT12</f>
        <v>226.40078353881836</v>
      </c>
      <c r="D49" s="1485">
        <f>Base_Mensuelle!IU12</f>
        <v>272.83280944824219</v>
      </c>
      <c r="E49" s="1486">
        <f>Base_Mensuelle!IV12</f>
        <v>240</v>
      </c>
      <c r="F49" s="1454">
        <f>Base_Mensuelle!IW12</f>
        <v>240</v>
      </c>
      <c r="G49" s="1454">
        <f>Base_Mensuelle!IX12</f>
        <v>250</v>
      </c>
      <c r="H49" s="1486">
        <f t="shared" si="6"/>
        <v>4.1666666666666741</v>
      </c>
      <c r="I49" s="1454">
        <f t="shared" si="7"/>
        <v>10.423646107715602</v>
      </c>
    </row>
    <row r="50" spans="2:19">
      <c r="B50" s="1291" t="s">
        <v>304</v>
      </c>
      <c r="C50" s="444">
        <f>Base_Mensuelle!IT13</f>
        <v>176.39665222167969</v>
      </c>
      <c r="D50" s="445">
        <f>Base_Mensuelle!IU13</f>
        <v>213.99455642700195</v>
      </c>
      <c r="E50" s="1487">
        <f>Base_Mensuelle!IV13</f>
        <v>132</v>
      </c>
      <c r="F50" s="454">
        <f>Base_Mensuelle!IW13</f>
        <v>146</v>
      </c>
      <c r="G50" s="454">
        <f>Base_Mensuelle!IX13</f>
        <v>169</v>
      </c>
      <c r="H50" s="1487">
        <f t="shared" si="6"/>
        <v>15.753424657534243</v>
      </c>
      <c r="I50" s="454">
        <f t="shared" si="7"/>
        <v>-4.1931930841772598</v>
      </c>
    </row>
    <row r="51" spans="2:19">
      <c r="B51" s="73" t="s">
        <v>296</v>
      </c>
      <c r="C51" s="31"/>
      <c r="D51" s="31"/>
      <c r="E51" s="31"/>
      <c r="F51" s="31"/>
      <c r="G51" s="31"/>
      <c r="H51" s="67"/>
      <c r="I51" s="521"/>
    </row>
    <row r="52" spans="2:19">
      <c r="B52" s="523" t="s">
        <v>310</v>
      </c>
      <c r="C52" s="31"/>
      <c r="D52" s="31"/>
      <c r="E52" s="31"/>
      <c r="F52" s="31"/>
      <c r="G52" s="31"/>
      <c r="H52" s="67"/>
      <c r="I52" s="521"/>
    </row>
    <row r="53" spans="2:19">
      <c r="B53" s="523" t="s">
        <v>311</v>
      </c>
      <c r="C53" s="31"/>
      <c r="D53" s="31"/>
      <c r="E53" s="31"/>
      <c r="F53" s="31"/>
      <c r="G53" s="31"/>
      <c r="H53" s="67"/>
      <c r="I53" s="521"/>
    </row>
    <row r="54" spans="2:19">
      <c r="C54" s="31"/>
      <c r="D54" s="31"/>
      <c r="E54" s="31"/>
      <c r="F54" s="31"/>
      <c r="G54" s="31"/>
      <c r="H54" s="67"/>
      <c r="I54" s="521"/>
      <c r="S54" s="774"/>
    </row>
    <row r="55" spans="2:19">
      <c r="B55" s="86" t="s">
        <v>312</v>
      </c>
      <c r="C55" s="73"/>
      <c r="D55" s="73"/>
      <c r="E55" s="73"/>
      <c r="F55" s="73"/>
      <c r="G55" s="73"/>
      <c r="H55" s="520"/>
      <c r="I55" s="521"/>
    </row>
    <row r="56" spans="2:19">
      <c r="B56" s="192"/>
      <c r="C56" s="256"/>
      <c r="D56" s="256"/>
      <c r="E56" s="256"/>
      <c r="F56" s="256"/>
      <c r="G56" s="256"/>
      <c r="H56" s="67"/>
      <c r="I56" s="521"/>
    </row>
    <row r="57" spans="2:19">
      <c r="B57" s="2061" t="s">
        <v>306</v>
      </c>
      <c r="C57" s="2067" t="s">
        <v>12</v>
      </c>
      <c r="D57" s="2068"/>
      <c r="E57" s="2068"/>
      <c r="F57" s="2068"/>
      <c r="G57" s="2069"/>
      <c r="H57" s="2070" t="s">
        <v>18</v>
      </c>
      <c r="I57" s="2071"/>
    </row>
    <row r="58" spans="2:19">
      <c r="B58" s="2123"/>
      <c r="C58" s="144">
        <f>Base_Mensuelle!JB7</f>
        <v>44531</v>
      </c>
      <c r="D58" s="144">
        <f>Base_Mensuelle!JC7</f>
        <v>44805</v>
      </c>
      <c r="E58" s="144">
        <f>Base_Mensuelle!JD7</f>
        <v>44835</v>
      </c>
      <c r="F58" s="144">
        <f>Base_Mensuelle!JE7</f>
        <v>44866</v>
      </c>
      <c r="G58" s="144">
        <f>Base_Mensuelle!JF7</f>
        <v>44896</v>
      </c>
      <c r="H58" s="524" t="s">
        <v>19</v>
      </c>
      <c r="I58" s="1306" t="s">
        <v>20</v>
      </c>
    </row>
    <row r="59" spans="2:19">
      <c r="B59" s="1783" t="s">
        <v>313</v>
      </c>
      <c r="C59" s="525">
        <f>Base_Mensuelle!JB8</f>
        <v>405.50108032226564</v>
      </c>
      <c r="D59" s="525">
        <f>Base_Mensuelle!JC8</f>
        <v>410</v>
      </c>
      <c r="E59" s="525">
        <f>Base_Mensuelle!JD8</f>
        <v>415</v>
      </c>
      <c r="F59" s="525">
        <f>Base_Mensuelle!JE8</f>
        <v>411</v>
      </c>
      <c r="G59" s="525">
        <f>Base_Mensuelle!JF8</f>
        <v>420</v>
      </c>
      <c r="H59" s="1307">
        <f t="shared" ref="H59:H66" si="8">+IF(F59=0,"",(G59/F59-1)*100)</f>
        <v>2.1897810218978186</v>
      </c>
      <c r="I59" s="1307">
        <f t="shared" ref="I59:I66" si="9">+IF(C59=0,"",(G59/C59-1)*100)</f>
        <v>3.5755563625654352</v>
      </c>
    </row>
    <row r="60" spans="2:19">
      <c r="B60" s="1304" t="s">
        <v>157</v>
      </c>
      <c r="C60" s="35">
        <f>Base_Mensuelle!JB9</f>
        <v>410.7526824951172</v>
      </c>
      <c r="D60" s="35">
        <f>Base_Mensuelle!JC9</f>
        <v>465.32258300781251</v>
      </c>
      <c r="E60" s="35">
        <f>Base_Mensuelle!JD9</f>
        <v>435</v>
      </c>
      <c r="F60" s="35">
        <f>Base_Mensuelle!JE9</f>
        <v>440</v>
      </c>
      <c r="G60" s="35">
        <f>Base_Mensuelle!JF9</f>
        <v>425</v>
      </c>
      <c r="H60" s="1308">
        <f t="shared" si="8"/>
        <v>-3.4090909090909061</v>
      </c>
      <c r="I60" s="1308">
        <f t="shared" si="9"/>
        <v>3.4685878174519624</v>
      </c>
    </row>
    <row r="61" spans="2:19">
      <c r="B61" s="1305" t="s">
        <v>314</v>
      </c>
      <c r="C61" s="34">
        <f>Base_Mensuelle!JB10</f>
        <v>431.25</v>
      </c>
      <c r="D61" s="34">
        <f>Base_Mensuelle!JC10</f>
        <v>450</v>
      </c>
      <c r="E61" s="34">
        <f>Base_Mensuelle!JD10</f>
        <v>450</v>
      </c>
      <c r="F61" s="34">
        <f>Base_Mensuelle!JE10</f>
        <v>450</v>
      </c>
      <c r="G61" s="34">
        <f>Base_Mensuelle!JF10</f>
        <v>450</v>
      </c>
      <c r="H61" s="1307">
        <f t="shared" si="8"/>
        <v>0</v>
      </c>
      <c r="I61" s="1307">
        <f t="shared" si="9"/>
        <v>4.3478260869565188</v>
      </c>
    </row>
    <row r="62" spans="2:19">
      <c r="B62" s="1304" t="s">
        <v>292</v>
      </c>
      <c r="C62" s="35">
        <f>Base_Mensuelle!JB11</f>
        <v>400</v>
      </c>
      <c r="D62" s="35">
        <f>Base_Mensuelle!JC11</f>
        <v>450</v>
      </c>
      <c r="E62" s="35">
        <f>Base_Mensuelle!JD11</f>
        <v>450</v>
      </c>
      <c r="F62" s="35">
        <f>Base_Mensuelle!JE11</f>
        <v>450</v>
      </c>
      <c r="G62" s="35">
        <f>Base_Mensuelle!JF11</f>
        <v>450</v>
      </c>
      <c r="H62" s="1308">
        <f t="shared" si="8"/>
        <v>0</v>
      </c>
      <c r="I62" s="1308">
        <f t="shared" si="9"/>
        <v>12.5</v>
      </c>
    </row>
    <row r="63" spans="2:19">
      <c r="B63" s="1305" t="s">
        <v>293</v>
      </c>
      <c r="C63" s="34">
        <f>Base_Mensuelle!JB12</f>
        <v>422.5</v>
      </c>
      <c r="D63" s="34">
        <f>Base_Mensuelle!JC12</f>
        <v>430</v>
      </c>
      <c r="E63" s="34">
        <f>Base_Mensuelle!JD12</f>
        <v>0</v>
      </c>
      <c r="F63" s="34">
        <f>Base_Mensuelle!JE12</f>
        <v>0</v>
      </c>
      <c r="G63" s="34">
        <f>Base_Mensuelle!JF12</f>
        <v>0</v>
      </c>
      <c r="H63" s="1307" t="str">
        <f t="shared" si="8"/>
        <v/>
      </c>
      <c r="I63" s="1307">
        <f t="shared" si="9"/>
        <v>-100</v>
      </c>
    </row>
    <row r="64" spans="2:19">
      <c r="B64" s="1304" t="s">
        <v>315</v>
      </c>
      <c r="C64" s="35">
        <f>Base_Mensuelle!JB13</f>
        <v>400</v>
      </c>
      <c r="D64" s="35">
        <f>Base_Mensuelle!JC13</f>
        <v>425</v>
      </c>
      <c r="E64" s="35">
        <f>Base_Mensuelle!JD13</f>
        <v>425</v>
      </c>
      <c r="F64" s="35">
        <f>Base_Mensuelle!JE13</f>
        <v>425</v>
      </c>
      <c r="G64" s="35">
        <f>Base_Mensuelle!JF13</f>
        <v>425</v>
      </c>
      <c r="H64" s="1308">
        <f t="shared" si="8"/>
        <v>0</v>
      </c>
      <c r="I64" s="1308">
        <f t="shared" si="9"/>
        <v>6.25</v>
      </c>
    </row>
    <row r="65" spans="2:19">
      <c r="B65" s="1305" t="s">
        <v>307</v>
      </c>
      <c r="C65" s="34">
        <f>Base_Mensuelle!JB14</f>
        <v>390</v>
      </c>
      <c r="D65" s="34">
        <f>Base_Mensuelle!JC14</f>
        <v>480</v>
      </c>
      <c r="E65" s="34">
        <f>Base_Mensuelle!JD14</f>
        <v>476</v>
      </c>
      <c r="F65" s="34">
        <f>Base_Mensuelle!JE14</f>
        <v>460</v>
      </c>
      <c r="G65" s="34">
        <f>Base_Mensuelle!JF14</f>
        <v>460</v>
      </c>
      <c r="H65" s="1307">
        <f t="shared" si="8"/>
        <v>0</v>
      </c>
      <c r="I65" s="1307">
        <f t="shared" si="9"/>
        <v>17.948717948717952</v>
      </c>
    </row>
    <row r="66" spans="2:19">
      <c r="B66" s="1269" t="s">
        <v>295</v>
      </c>
      <c r="C66" s="88">
        <f>Base_Mensuelle!JB15</f>
        <v>400</v>
      </c>
      <c r="D66" s="88">
        <f>Base_Mensuelle!JC15</f>
        <v>500</v>
      </c>
      <c r="E66" s="88">
        <f>Base_Mensuelle!JD15</f>
        <v>500</v>
      </c>
      <c r="F66" s="88">
        <f>Base_Mensuelle!JE15</f>
        <v>500</v>
      </c>
      <c r="G66" s="88">
        <f>Base_Mensuelle!JF15</f>
        <v>500</v>
      </c>
      <c r="H66" s="88">
        <f t="shared" si="8"/>
        <v>0</v>
      </c>
      <c r="I66" s="88">
        <f t="shared" si="9"/>
        <v>25</v>
      </c>
    </row>
    <row r="67" spans="2:19">
      <c r="B67" s="73" t="s">
        <v>296</v>
      </c>
      <c r="C67" s="31"/>
      <c r="D67" s="31"/>
      <c r="E67" s="31"/>
      <c r="F67" s="31"/>
      <c r="G67" s="31"/>
      <c r="H67" s="67"/>
      <c r="I67" s="521"/>
    </row>
    <row r="68" spans="2:19">
      <c r="B68" s="192"/>
      <c r="C68" s="256"/>
      <c r="D68" s="256"/>
      <c r="E68" s="256"/>
      <c r="F68" s="256"/>
      <c r="G68" s="256"/>
      <c r="H68" s="67"/>
      <c r="I68" s="521"/>
    </row>
    <row r="69" spans="2:19">
      <c r="B69" s="86" t="s">
        <v>316</v>
      </c>
      <c r="C69" s="73"/>
      <c r="D69" s="73"/>
      <c r="E69" s="73"/>
      <c r="F69" s="73"/>
      <c r="G69" s="73"/>
      <c r="H69" s="520"/>
      <c r="I69" s="521"/>
    </row>
    <row r="70" spans="2:19">
      <c r="B70" s="86"/>
      <c r="C70" s="73"/>
      <c r="D70" s="73"/>
      <c r="E70" s="73"/>
      <c r="F70" s="73"/>
      <c r="G70" s="73"/>
      <c r="H70" s="520"/>
      <c r="I70" s="521"/>
    </row>
    <row r="71" spans="2:19">
      <c r="B71" s="2061" t="s">
        <v>306</v>
      </c>
      <c r="C71" s="2067" t="s">
        <v>12</v>
      </c>
      <c r="D71" s="2068"/>
      <c r="E71" s="2068"/>
      <c r="F71" s="2068"/>
      <c r="G71" s="2069"/>
      <c r="H71" s="2070" t="s">
        <v>18</v>
      </c>
      <c r="I71" s="2071"/>
    </row>
    <row r="72" spans="2:19">
      <c r="B72" s="2123"/>
      <c r="C72" s="144">
        <f>Base_Mensuelle!JJ7</f>
        <v>44531</v>
      </c>
      <c r="D72" s="144">
        <f>Base_Mensuelle!JK7</f>
        <v>44805</v>
      </c>
      <c r="E72" s="144">
        <f>Base_Mensuelle!JL7</f>
        <v>44835</v>
      </c>
      <c r="F72" s="144">
        <f>Base_Mensuelle!JM7</f>
        <v>44866</v>
      </c>
      <c r="G72" s="144">
        <f>Base_Mensuelle!JN7</f>
        <v>44896</v>
      </c>
      <c r="H72" s="32" t="s">
        <v>19</v>
      </c>
      <c r="I72" s="32" t="s">
        <v>20</v>
      </c>
      <c r="S72" s="774"/>
    </row>
    <row r="73" spans="2:19">
      <c r="B73" s="1783" t="s">
        <v>289</v>
      </c>
      <c r="C73" s="34">
        <f>Base_Mensuelle!JJ8</f>
        <v>230.13322257995605</v>
      </c>
      <c r="D73" s="34">
        <f>Base_Mensuelle!JK8</f>
        <v>276.15985488891602</v>
      </c>
      <c r="E73" s="34">
        <f>Base_Mensuelle!JL8</f>
        <v>321</v>
      </c>
      <c r="F73" s="34">
        <f>Base_Mensuelle!JM8</f>
        <v>339</v>
      </c>
      <c r="G73" s="34">
        <f>Base_Mensuelle!JN8</f>
        <v>327</v>
      </c>
      <c r="H73" s="1307">
        <f t="shared" ref="H73:H80" si="10">+IF(F73=0,"",(G73/F73-1)*100)</f>
        <v>-3.539823008849563</v>
      </c>
      <c r="I73" s="1307">
        <f t="shared" ref="I73:I80" si="11">+IF(C73=0,"",(G73/C73-1)*100)</f>
        <v>42.091609518216842</v>
      </c>
    </row>
    <row r="74" spans="2:19">
      <c r="B74" s="1304" t="s">
        <v>157</v>
      </c>
      <c r="C74" s="35">
        <f>Base_Mensuelle!JJ9</f>
        <v>273.22402954101563</v>
      </c>
      <c r="D74" s="35">
        <f>Base_Mensuelle!JK9</f>
        <v>384.93851623535159</v>
      </c>
      <c r="E74" s="35">
        <f>Base_Mensuelle!JL9</f>
        <v>338</v>
      </c>
      <c r="F74" s="35">
        <f>Base_Mensuelle!JM9</f>
        <v>337</v>
      </c>
      <c r="G74" s="35">
        <f>Base_Mensuelle!JN9</f>
        <v>334</v>
      </c>
      <c r="H74" s="1308">
        <f t="shared" si="10"/>
        <v>-0.89020771513352859</v>
      </c>
      <c r="I74" s="1308">
        <f t="shared" si="11"/>
        <v>22.244006342004717</v>
      </c>
    </row>
    <row r="75" spans="2:19">
      <c r="B75" s="1305" t="s">
        <v>290</v>
      </c>
      <c r="C75" s="34">
        <f>Base_Mensuelle!JJ10</f>
        <v>232.94701766967773</v>
      </c>
      <c r="D75" s="34">
        <f>Base_Mensuelle!JK10</f>
        <v>368.26446533203125</v>
      </c>
      <c r="E75" s="34">
        <f>Base_Mensuelle!JL10</f>
        <v>319</v>
      </c>
      <c r="F75" s="34">
        <f>Base_Mensuelle!JM10</f>
        <v>282</v>
      </c>
      <c r="G75" s="34">
        <f>Base_Mensuelle!JN10</f>
        <v>261</v>
      </c>
      <c r="H75" s="1307">
        <f t="shared" si="10"/>
        <v>-7.4468085106383031</v>
      </c>
      <c r="I75" s="1307">
        <f t="shared" si="11"/>
        <v>12.042644980371374</v>
      </c>
    </row>
    <row r="76" spans="2:19">
      <c r="B76" s="1304" t="s">
        <v>291</v>
      </c>
      <c r="C76" s="35">
        <f>Base_Mensuelle!JJ11</f>
        <v>185.36585083007813</v>
      </c>
      <c r="D76" s="35">
        <f>Base_Mensuelle!JK11</f>
        <v>326.92305755615234</v>
      </c>
      <c r="E76" s="35">
        <f>Base_Mensuelle!JL11</f>
        <v>333</v>
      </c>
      <c r="F76" s="35">
        <f>Base_Mensuelle!JM11</f>
        <v>308</v>
      </c>
      <c r="G76" s="35">
        <f>Base_Mensuelle!JN11</f>
        <v>308</v>
      </c>
      <c r="H76" s="1308">
        <f t="shared" si="10"/>
        <v>0</v>
      </c>
      <c r="I76" s="1308">
        <f t="shared" si="11"/>
        <v>66.157897272210391</v>
      </c>
    </row>
    <row r="77" spans="2:19">
      <c r="B77" s="1305" t="s">
        <v>292</v>
      </c>
      <c r="C77" s="34">
        <f>Base_Mensuelle!JJ12</f>
        <v>217.76926879882814</v>
      </c>
      <c r="D77" s="34">
        <f>Base_Mensuelle!JK12</f>
        <v>368.26598358154297</v>
      </c>
      <c r="E77" s="34">
        <f>Base_Mensuelle!JL12</f>
        <v>370</v>
      </c>
      <c r="F77" s="34">
        <f>Base_Mensuelle!JM12</f>
        <v>296</v>
      </c>
      <c r="G77" s="34">
        <f>Base_Mensuelle!JN12</f>
        <v>269</v>
      </c>
      <c r="H77" s="1307">
        <f t="shared" si="10"/>
        <v>-9.1216216216216228</v>
      </c>
      <c r="I77" s="1307">
        <f t="shared" si="11"/>
        <v>23.525234521725835</v>
      </c>
    </row>
    <row r="78" spans="2:19">
      <c r="B78" s="1304" t="s">
        <v>293</v>
      </c>
      <c r="C78" s="35">
        <f>Base_Mensuelle!JJ13</f>
        <v>211.08622550964355</v>
      </c>
      <c r="D78" s="35">
        <f>Base_Mensuelle!JK13</f>
        <v>348.64864349365234</v>
      </c>
      <c r="E78" s="35">
        <f>Base_Mensuelle!JL13</f>
        <v>338</v>
      </c>
      <c r="F78" s="35">
        <f>Base_Mensuelle!JM13</f>
        <v>323</v>
      </c>
      <c r="G78" s="35">
        <f>Base_Mensuelle!JN13</f>
        <v>279</v>
      </c>
      <c r="H78" s="1308">
        <f t="shared" si="10"/>
        <v>-13.622291021671828</v>
      </c>
      <c r="I78" s="1308">
        <f t="shared" si="11"/>
        <v>32.173475235717717</v>
      </c>
    </row>
    <row r="79" spans="2:19">
      <c r="B79" s="1305" t="s">
        <v>294</v>
      </c>
      <c r="C79" s="34">
        <f>Base_Mensuelle!JJ14</f>
        <v>199.33993530273438</v>
      </c>
      <c r="D79" s="34">
        <f>Base_Mensuelle!JK14</f>
        <v>372.5</v>
      </c>
      <c r="E79" s="34">
        <f>Base_Mensuelle!JL14</f>
        <v>342</v>
      </c>
      <c r="F79" s="34">
        <f>Base_Mensuelle!JM14</f>
        <v>308</v>
      </c>
      <c r="G79" s="34">
        <f>Base_Mensuelle!JN14</f>
        <v>284</v>
      </c>
      <c r="H79" s="1307">
        <f t="shared" si="10"/>
        <v>-7.7922077922077948</v>
      </c>
      <c r="I79" s="1307">
        <f t="shared" si="11"/>
        <v>42.470197739702151</v>
      </c>
    </row>
    <row r="80" spans="2:19">
      <c r="B80" s="1269" t="s">
        <v>295</v>
      </c>
      <c r="C80" s="88">
        <f>Base_Mensuelle!JJ15</f>
        <v>281.49480438232422</v>
      </c>
      <c r="D80" s="88">
        <f>Base_Mensuelle!JK15</f>
        <v>400.21268463134766</v>
      </c>
      <c r="E80" s="88">
        <f>Base_Mensuelle!JL15</f>
        <v>387</v>
      </c>
      <c r="F80" s="88">
        <f>Base_Mensuelle!JM15</f>
        <v>377</v>
      </c>
      <c r="G80" s="88">
        <f>Base_Mensuelle!JN15</f>
        <v>315</v>
      </c>
      <c r="H80" s="88">
        <f t="shared" si="10"/>
        <v>-16.445623342175065</v>
      </c>
      <c r="I80" s="88">
        <f t="shared" si="11"/>
        <v>11.90259823487516</v>
      </c>
    </row>
    <row r="81" spans="2:9">
      <c r="B81" s="73" t="s">
        <v>296</v>
      </c>
      <c r="C81" s="31"/>
      <c r="D81" s="31"/>
      <c r="E81" s="31"/>
      <c r="F81" s="31"/>
      <c r="G81" s="31"/>
      <c r="H81" s="67"/>
      <c r="I81" s="521"/>
    </row>
    <row r="82" spans="2:9">
      <c r="B82" s="73"/>
      <c r="C82" s="31"/>
      <c r="D82" s="31"/>
      <c r="E82" s="31"/>
      <c r="F82" s="31"/>
      <c r="G82" s="31"/>
      <c r="H82" s="67"/>
      <c r="I82" s="521"/>
    </row>
    <row r="83" spans="2:9">
      <c r="B83" s="86" t="s">
        <v>317</v>
      </c>
      <c r="C83" s="73"/>
      <c r="D83" s="73"/>
      <c r="E83" s="73"/>
      <c r="F83" s="73"/>
      <c r="G83" s="73"/>
      <c r="H83" s="520"/>
      <c r="I83" s="521"/>
    </row>
    <row r="84" spans="2:9">
      <c r="B84" s="86"/>
      <c r="C84" s="73"/>
      <c r="D84" s="73"/>
      <c r="E84" s="73"/>
      <c r="F84" s="73"/>
      <c r="G84" s="73"/>
      <c r="H84" s="520"/>
      <c r="I84" s="521"/>
    </row>
    <row r="85" spans="2:9">
      <c r="B85" s="2061" t="s">
        <v>309</v>
      </c>
      <c r="C85" s="2067" t="s">
        <v>12</v>
      </c>
      <c r="D85" s="2068"/>
      <c r="E85" s="2068"/>
      <c r="F85" s="2068"/>
      <c r="G85" s="2069"/>
      <c r="H85" s="2070" t="s">
        <v>18</v>
      </c>
      <c r="I85" s="2071"/>
    </row>
    <row r="86" spans="2:9">
      <c r="B86" s="2062"/>
      <c r="C86" s="144">
        <f>Base_Mensuelle!JR7</f>
        <v>44531</v>
      </c>
      <c r="D86" s="144">
        <f>Base_Mensuelle!JS7</f>
        <v>44805</v>
      </c>
      <c r="E86" s="144">
        <f>Base_Mensuelle!JT7</f>
        <v>44835</v>
      </c>
      <c r="F86" s="144">
        <f>Base_Mensuelle!JU7</f>
        <v>44866</v>
      </c>
      <c r="G86" s="144">
        <f>Base_Mensuelle!JV7</f>
        <v>44896</v>
      </c>
      <c r="H86" s="32" t="s">
        <v>19</v>
      </c>
      <c r="I86" s="32" t="s">
        <v>20</v>
      </c>
    </row>
    <row r="87" spans="2:9">
      <c r="B87" s="1305" t="s">
        <v>299</v>
      </c>
      <c r="C87" s="34">
        <f>Base_Mensuelle!JR8</f>
        <v>208.52799072265626</v>
      </c>
      <c r="D87" s="34">
        <f>Base_Mensuelle!JS8</f>
        <v>287.769775390625</v>
      </c>
      <c r="E87" s="34">
        <f>Base_Mensuelle!JT8</f>
        <v>301</v>
      </c>
      <c r="F87" s="34">
        <f>Base_Mensuelle!JU8</f>
        <v>350</v>
      </c>
      <c r="G87" s="34">
        <f>Base_Mensuelle!JV8</f>
        <v>308</v>
      </c>
      <c r="H87" s="1307">
        <f t="shared" ref="H87:H92" si="12">+IF(F87=0,"",(G87/F87-1)*100)</f>
        <v>-12</v>
      </c>
      <c r="I87" s="1307">
        <f t="shared" ref="I87:I92" si="13">+IF(C87=0,"",(G87/C87-1)*100)</f>
        <v>47.701993834315616</v>
      </c>
    </row>
    <row r="88" spans="2:9">
      <c r="B88" s="1304" t="s">
        <v>300</v>
      </c>
      <c r="C88" s="35">
        <f>Base_Mensuelle!JR9</f>
        <v>148.33743667602539</v>
      </c>
      <c r="D88" s="35">
        <f>Base_Mensuelle!JS9</f>
        <v>244.15171432495117</v>
      </c>
      <c r="E88" s="35">
        <f>Base_Mensuelle!JT9</f>
        <v>226</v>
      </c>
      <c r="F88" s="35">
        <f>Base_Mensuelle!JU9</f>
        <v>168</v>
      </c>
      <c r="G88" s="35">
        <f>Base_Mensuelle!JV9</f>
        <v>148</v>
      </c>
      <c r="H88" s="1308">
        <f t="shared" si="12"/>
        <v>-11.904761904761907</v>
      </c>
      <c r="I88" s="1308">
        <f t="shared" si="13"/>
        <v>-0.22747910681668593</v>
      </c>
    </row>
    <row r="89" spans="2:9">
      <c r="B89" s="1305" t="s">
        <v>301</v>
      </c>
      <c r="C89" s="34">
        <f>Base_Mensuelle!JR10</f>
        <v>187.49999618530273</v>
      </c>
      <c r="D89" s="34">
        <f>Base_Mensuelle!JS10</f>
        <v>300</v>
      </c>
      <c r="E89" s="34">
        <f>Base_Mensuelle!JT10</f>
        <v>289</v>
      </c>
      <c r="F89" s="34">
        <f>Base_Mensuelle!JU10</f>
        <v>237</v>
      </c>
      <c r="G89" s="34">
        <f>Base_Mensuelle!JV10</f>
        <v>217</v>
      </c>
      <c r="H89" s="1307">
        <f t="shared" si="12"/>
        <v>-8.4388185654008403</v>
      </c>
      <c r="I89" s="1307">
        <f t="shared" si="13"/>
        <v>15.733335687934069</v>
      </c>
    </row>
    <row r="90" spans="2:9">
      <c r="B90" s="1304" t="s">
        <v>302</v>
      </c>
      <c r="C90" s="35">
        <f>Base_Mensuelle!JR11</f>
        <v>0</v>
      </c>
      <c r="D90" s="35">
        <f>Base_Mensuelle!JS11</f>
        <v>267.85713577270508</v>
      </c>
      <c r="E90" s="35">
        <f>Base_Mensuelle!JT11</f>
        <v>309.23897465119967</v>
      </c>
      <c r="F90" s="35">
        <f>Base_Mensuelle!JU11</f>
        <v>351.83488753562432</v>
      </c>
      <c r="G90" s="35">
        <f>Base_Mensuelle!JV11</f>
        <v>403.2443899043663</v>
      </c>
      <c r="H90" s="1308">
        <f t="shared" si="12"/>
        <v>14.611826225884617</v>
      </c>
      <c r="I90" s="1308" t="str">
        <f t="shared" si="13"/>
        <v/>
      </c>
    </row>
    <row r="91" spans="2:9">
      <c r="B91" s="1305" t="s">
        <v>303</v>
      </c>
      <c r="C91" s="1307">
        <f>Base_Mensuelle!JR12</f>
        <v>225.08340454101563</v>
      </c>
      <c r="D91" s="1307">
        <f>Base_Mensuelle!JS12</f>
        <v>381.41994476318359</v>
      </c>
      <c r="E91" s="1307">
        <f>Base_Mensuelle!JT12</f>
        <v>348</v>
      </c>
      <c r="F91" s="1307">
        <f>Base_Mensuelle!JU12</f>
        <v>332</v>
      </c>
      <c r="G91" s="1307">
        <f>Base_Mensuelle!JV12</f>
        <v>305</v>
      </c>
      <c r="H91" s="1307">
        <f t="shared" si="12"/>
        <v>-8.1325301204819294</v>
      </c>
      <c r="I91" s="1307">
        <f t="shared" si="13"/>
        <v>35.505325513423912</v>
      </c>
    </row>
    <row r="92" spans="2:9">
      <c r="B92" s="1583" t="s">
        <v>304</v>
      </c>
      <c r="C92" s="88">
        <f>Base_Mensuelle!JR13</f>
        <v>172.08994293212891</v>
      </c>
      <c r="D92" s="88">
        <f>Base_Mensuelle!JS13</f>
        <v>258.85417938232422</v>
      </c>
      <c r="E92" s="88">
        <f>Base_Mensuelle!JT13</f>
        <v>232</v>
      </c>
      <c r="F92" s="88">
        <f>Base_Mensuelle!JU13</f>
        <v>165</v>
      </c>
      <c r="G92" s="88">
        <f>Base_Mensuelle!JV13</f>
        <v>163</v>
      </c>
      <c r="H92" s="88">
        <f t="shared" si="12"/>
        <v>-1.2121212121212088</v>
      </c>
      <c r="I92" s="88">
        <f t="shared" si="13"/>
        <v>-5.2820884110083792</v>
      </c>
    </row>
    <row r="93" spans="2:9">
      <c r="B93" s="73" t="s">
        <v>296</v>
      </c>
      <c r="C93" s="31"/>
      <c r="D93" s="31"/>
      <c r="E93" s="31"/>
      <c r="F93" s="31"/>
      <c r="G93" s="31"/>
      <c r="H93" s="67"/>
      <c r="I93" s="521"/>
    </row>
    <row r="94" spans="2:9">
      <c r="B94" s="523" t="s">
        <v>310</v>
      </c>
      <c r="C94" s="31"/>
      <c r="D94" s="31"/>
      <c r="E94" s="31"/>
      <c r="F94" s="31"/>
      <c r="G94" s="31"/>
      <c r="H94" s="67"/>
      <c r="I94" s="521"/>
    </row>
    <row r="95" spans="2:9">
      <c r="B95" s="523" t="s">
        <v>311</v>
      </c>
      <c r="C95" s="31"/>
      <c r="D95" s="31"/>
      <c r="E95" s="31"/>
      <c r="F95" s="31"/>
      <c r="G95" s="31"/>
      <c r="H95" s="67"/>
      <c r="I95" s="521"/>
    </row>
    <row r="96" spans="2:9">
      <c r="B96" s="73"/>
      <c r="C96" s="31"/>
      <c r="D96" s="31"/>
      <c r="E96" s="31"/>
      <c r="F96" s="31"/>
      <c r="G96" s="31"/>
      <c r="H96" s="67"/>
      <c r="I96" s="521"/>
    </row>
    <row r="97" spans="2:9">
      <c r="B97" s="526" t="s">
        <v>318</v>
      </c>
      <c r="C97" s="330"/>
      <c r="D97" s="330"/>
      <c r="E97" s="69"/>
      <c r="F97" s="69"/>
      <c r="G97" s="69"/>
      <c r="H97" s="70"/>
      <c r="I97" s="474"/>
    </row>
    <row r="98" spans="2:9">
      <c r="B98" s="526"/>
      <c r="C98" s="330"/>
      <c r="D98" s="330"/>
      <c r="E98" s="69"/>
      <c r="F98" s="69"/>
      <c r="G98" s="69"/>
      <c r="H98" s="70"/>
      <c r="I98" s="474"/>
    </row>
    <row r="99" spans="2:9">
      <c r="B99" s="2061" t="s">
        <v>319</v>
      </c>
      <c r="C99" s="2067" t="s">
        <v>12</v>
      </c>
      <c r="D99" s="2068"/>
      <c r="E99" s="2068"/>
      <c r="F99" s="2068"/>
      <c r="G99" s="2069"/>
      <c r="H99" s="2070" t="s">
        <v>18</v>
      </c>
      <c r="I99" s="2071"/>
    </row>
    <row r="100" spans="2:9">
      <c r="B100" s="2062"/>
      <c r="C100" s="144">
        <f>Base_Mensuelle!JZ7</f>
        <v>44166</v>
      </c>
      <c r="D100" s="518">
        <f>Base_Mensuelle!KA7</f>
        <v>44440</v>
      </c>
      <c r="E100" s="518">
        <f>Base_Mensuelle!KB7</f>
        <v>44470</v>
      </c>
      <c r="F100" s="518">
        <f>Base_Mensuelle!KC7</f>
        <v>44501</v>
      </c>
      <c r="G100" s="519">
        <f>Base_Mensuelle!KD7</f>
        <v>44531</v>
      </c>
      <c r="H100" s="527" t="s">
        <v>19</v>
      </c>
      <c r="I100" s="118" t="s">
        <v>20</v>
      </c>
    </row>
    <row r="101" spans="2:9" ht="13.8">
      <c r="B101" s="1305" t="s">
        <v>320</v>
      </c>
      <c r="C101" s="34"/>
      <c r="D101" s="34"/>
      <c r="E101" s="34"/>
      <c r="F101" s="34"/>
      <c r="G101" s="34"/>
      <c r="H101" s="1307" t="str">
        <f t="shared" ref="H101:H107" si="14">+IF(F101=0,"",(G101/F101-1)*100)</f>
        <v/>
      </c>
      <c r="I101" s="1307" t="str">
        <f t="shared" ref="I101:I107" si="15">+IF(C101=0,"",(G101/C101-1)*100)</f>
        <v/>
      </c>
    </row>
    <row r="102" spans="2:9" ht="13.8">
      <c r="B102" s="1304" t="s">
        <v>321</v>
      </c>
      <c r="C102" s="35">
        <f>Base_Mensuelle!JZ9</f>
        <v>0</v>
      </c>
      <c r="D102" s="35">
        <f>Base_Mensuelle!KA9</f>
        <v>338846</v>
      </c>
      <c r="E102" s="35">
        <f>Base_Mensuelle!KB9</f>
        <v>339583</v>
      </c>
      <c r="F102" s="35">
        <f>Base_Mensuelle!KC9</f>
        <v>338182</v>
      </c>
      <c r="G102" s="35">
        <f>Base_Mensuelle!KD9</f>
        <v>0</v>
      </c>
      <c r="H102" s="1308">
        <f t="shared" si="14"/>
        <v>-100</v>
      </c>
      <c r="I102" s="1308" t="str">
        <f t="shared" si="15"/>
        <v/>
      </c>
    </row>
    <row r="103" spans="2:9" ht="13.8">
      <c r="B103" s="1305" t="s">
        <v>322</v>
      </c>
      <c r="C103" s="34">
        <f>Base_Mensuelle!JZ10</f>
        <v>0</v>
      </c>
      <c r="D103" s="34">
        <f>Base_Mensuelle!KA10</f>
        <v>0</v>
      </c>
      <c r="E103" s="34">
        <f>Base_Mensuelle!KB10</f>
        <v>0</v>
      </c>
      <c r="F103" s="34">
        <f>Base_Mensuelle!KC10</f>
        <v>0</v>
      </c>
      <c r="G103" s="34">
        <f>Base_Mensuelle!KD10</f>
        <v>0</v>
      </c>
      <c r="H103" s="1307" t="str">
        <f t="shared" si="14"/>
        <v/>
      </c>
      <c r="I103" s="1307" t="str">
        <f t="shared" si="15"/>
        <v/>
      </c>
    </row>
    <row r="104" spans="2:9" ht="13.8">
      <c r="B104" s="1304" t="s">
        <v>323</v>
      </c>
      <c r="C104" s="35">
        <f>Base_Mensuelle!JZ11</f>
        <v>0</v>
      </c>
      <c r="D104" s="35">
        <f>Base_Mensuelle!KA11</f>
        <v>0</v>
      </c>
      <c r="E104" s="35">
        <f>Base_Mensuelle!KB11</f>
        <v>0</v>
      </c>
      <c r="F104" s="35">
        <f>Base_Mensuelle!KC11</f>
        <v>0</v>
      </c>
      <c r="G104" s="35">
        <f>Base_Mensuelle!KD11</f>
        <v>0</v>
      </c>
      <c r="H104" s="1308" t="str">
        <f t="shared" si="14"/>
        <v/>
      </c>
      <c r="I104" s="1308" t="str">
        <f t="shared" si="15"/>
        <v/>
      </c>
    </row>
    <row r="105" spans="2:9" ht="13.8">
      <c r="B105" s="1305" t="s">
        <v>324</v>
      </c>
      <c r="C105" s="34">
        <f>Base_Mensuelle!JZ12</f>
        <v>0</v>
      </c>
      <c r="D105" s="34">
        <f>Base_Mensuelle!KA12</f>
        <v>387500</v>
      </c>
      <c r="E105" s="34">
        <f>Base_Mensuelle!KB12</f>
        <v>392000</v>
      </c>
      <c r="F105" s="34">
        <f>Base_Mensuelle!KC12</f>
        <v>401875</v>
      </c>
      <c r="G105" s="34">
        <f>Base_Mensuelle!KD12</f>
        <v>0</v>
      </c>
      <c r="H105" s="1307">
        <f t="shared" si="14"/>
        <v>-100</v>
      </c>
      <c r="I105" s="1307" t="str">
        <f t="shared" si="15"/>
        <v/>
      </c>
    </row>
    <row r="106" spans="2:9" ht="13.8">
      <c r="B106" s="1304" t="s">
        <v>325</v>
      </c>
      <c r="C106" s="1308">
        <f>Base_Mensuelle!JZ13</f>
        <v>0</v>
      </c>
      <c r="D106" s="1308">
        <f>Base_Mensuelle!KA13</f>
        <v>383750</v>
      </c>
      <c r="E106" s="1308">
        <f>Base_Mensuelle!KB13</f>
        <v>371000</v>
      </c>
      <c r="F106" s="1308">
        <f>Base_Mensuelle!KC13</f>
        <v>349250</v>
      </c>
      <c r="G106" s="1308">
        <f>Base_Mensuelle!KD13</f>
        <v>381667</v>
      </c>
      <c r="H106" s="1308">
        <f t="shared" si="14"/>
        <v>9.2818897637795281</v>
      </c>
      <c r="I106" s="1308" t="str">
        <f t="shared" si="15"/>
        <v/>
      </c>
    </row>
    <row r="107" spans="2:9" ht="13.8">
      <c r="B107" s="1584" t="s">
        <v>326</v>
      </c>
      <c r="C107" s="83">
        <f>Base_Mensuelle!JZ14</f>
        <v>0</v>
      </c>
      <c r="D107" s="83">
        <f>Base_Mensuelle!KA14</f>
        <v>407308</v>
      </c>
      <c r="E107" s="83">
        <f>Base_Mensuelle!KB14</f>
        <v>375000</v>
      </c>
      <c r="F107" s="83">
        <f>Base_Mensuelle!KC14</f>
        <v>372083</v>
      </c>
      <c r="G107" s="83">
        <f>Base_Mensuelle!KD14</f>
        <v>378889</v>
      </c>
      <c r="H107" s="83">
        <f t="shared" si="14"/>
        <v>1.8291617730452625</v>
      </c>
      <c r="I107" s="83" t="str">
        <f t="shared" si="15"/>
        <v/>
      </c>
    </row>
    <row r="108" spans="2:9">
      <c r="B108" s="73" t="s">
        <v>327</v>
      </c>
    </row>
    <row r="109" spans="2:9" ht="14.4">
      <c r="B109" s="528"/>
    </row>
    <row r="110" spans="2:9">
      <c r="B110" s="526" t="s">
        <v>328</v>
      </c>
      <c r="C110" s="330"/>
      <c r="D110" s="330"/>
      <c r="E110" s="69"/>
      <c r="F110" s="69"/>
      <c r="G110" s="69"/>
      <c r="H110" s="70"/>
      <c r="I110" s="474"/>
    </row>
    <row r="111" spans="2:9">
      <c r="B111" s="526"/>
      <c r="C111" s="330"/>
      <c r="D111" s="330"/>
      <c r="E111" s="69"/>
      <c r="F111" s="69"/>
      <c r="G111" s="69"/>
      <c r="H111" s="70"/>
      <c r="I111" s="474"/>
    </row>
    <row r="112" spans="2:9">
      <c r="B112" s="211" t="s">
        <v>319</v>
      </c>
      <c r="C112" s="2067" t="s">
        <v>12</v>
      </c>
      <c r="D112" s="2125"/>
      <c r="E112" s="2125"/>
      <c r="F112" s="2125"/>
      <c r="G112" s="2088"/>
      <c r="H112" s="2070" t="s">
        <v>18</v>
      </c>
      <c r="I112" s="2071"/>
    </row>
    <row r="113" spans="2:9">
      <c r="B113" s="1309"/>
      <c r="C113" s="144">
        <f>Base_Mensuelle!KH7</f>
        <v>44166</v>
      </c>
      <c r="D113" s="518">
        <f>Base_Mensuelle!KI7</f>
        <v>44440</v>
      </c>
      <c r="E113" s="518">
        <f>Base_Mensuelle!KJ7</f>
        <v>44470</v>
      </c>
      <c r="F113" s="518">
        <f>Base_Mensuelle!KK7</f>
        <v>44501</v>
      </c>
      <c r="G113" s="519">
        <f>Base_Mensuelle!KL7</f>
        <v>44531</v>
      </c>
      <c r="H113" s="527" t="s">
        <v>19</v>
      </c>
      <c r="I113" s="118" t="s">
        <v>20</v>
      </c>
    </row>
    <row r="114" spans="2:9" ht="13.8">
      <c r="B114" s="1783" t="s">
        <v>320</v>
      </c>
      <c r="C114" s="34"/>
      <c r="D114" s="34"/>
      <c r="E114" s="34"/>
      <c r="F114" s="34"/>
      <c r="G114" s="34"/>
      <c r="H114" s="1307" t="str">
        <f t="shared" ref="H114:H119" si="16">+IF(F114=0,"",(G114/F114-1)*100)</f>
        <v/>
      </c>
      <c r="I114" s="1307" t="str">
        <f t="shared" ref="I114:I119" si="17">+IF(C114=0,"",(G114/C114-1)*100)</f>
        <v/>
      </c>
    </row>
    <row r="115" spans="2:9" ht="13.8">
      <c r="B115" s="1304" t="s">
        <v>321</v>
      </c>
      <c r="C115" s="35"/>
      <c r="D115" s="35">
        <f>Base_Mensuelle!KI9</f>
        <v>42385</v>
      </c>
      <c r="E115" s="35">
        <f>Base_Mensuelle!KJ9</f>
        <v>56625</v>
      </c>
      <c r="F115" s="35">
        <f>Base_Mensuelle!KK9</f>
        <v>56042</v>
      </c>
      <c r="G115" s="35">
        <f>Base_Mensuelle!KL9</f>
        <v>0</v>
      </c>
      <c r="H115" s="1308">
        <f t="shared" si="16"/>
        <v>-100</v>
      </c>
      <c r="I115" s="1308" t="str">
        <f t="shared" si="17"/>
        <v/>
      </c>
    </row>
    <row r="116" spans="2:9" ht="13.8">
      <c r="B116" s="1305" t="s">
        <v>323</v>
      </c>
      <c r="C116" s="34"/>
      <c r="D116" s="34"/>
      <c r="E116" s="34"/>
      <c r="F116" s="34"/>
      <c r="G116" s="34"/>
      <c r="H116" s="1307"/>
      <c r="I116" s="1307" t="str">
        <f t="shared" si="17"/>
        <v/>
      </c>
    </row>
    <row r="117" spans="2:9" ht="13.8">
      <c r="B117" s="1304" t="s">
        <v>324</v>
      </c>
      <c r="C117" s="35"/>
      <c r="D117" s="35">
        <f>Base_Mensuelle!KI11</f>
        <v>93750</v>
      </c>
      <c r="E117" s="35">
        <f>Base_Mensuelle!KJ11</f>
        <v>108500</v>
      </c>
      <c r="F117" s="35">
        <f>Base_Mensuelle!KK11</f>
        <v>109000</v>
      </c>
      <c r="G117" s="35">
        <f>Base_Mensuelle!KL11</f>
        <v>0</v>
      </c>
      <c r="H117" s="1308">
        <f t="shared" si="16"/>
        <v>-100</v>
      </c>
      <c r="I117" s="1308" t="str">
        <f t="shared" si="17"/>
        <v/>
      </c>
    </row>
    <row r="118" spans="2:9" ht="13.8">
      <c r="B118" s="1305" t="s">
        <v>325</v>
      </c>
      <c r="C118" s="1307"/>
      <c r="D118" s="1307">
        <f>Base_Mensuelle!KI12</f>
        <v>58125</v>
      </c>
      <c r="E118" s="1307">
        <f>Base_Mensuelle!KJ12</f>
        <v>65300</v>
      </c>
      <c r="F118" s="1307">
        <f>Base_Mensuelle!KK12</f>
        <v>60875</v>
      </c>
      <c r="G118" s="1307">
        <f>Base_Mensuelle!KL12</f>
        <v>73333</v>
      </c>
      <c r="H118" s="1307">
        <f t="shared" si="16"/>
        <v>20.464887063655034</v>
      </c>
      <c r="I118" s="1307" t="str">
        <f t="shared" si="17"/>
        <v/>
      </c>
    </row>
    <row r="119" spans="2:9" ht="13.8">
      <c r="B119" s="1583" t="s">
        <v>329</v>
      </c>
      <c r="C119" s="88"/>
      <c r="D119" s="88"/>
      <c r="E119" s="88"/>
      <c r="F119" s="88"/>
      <c r="G119" s="88"/>
      <c r="H119" s="88" t="str">
        <f t="shared" si="16"/>
        <v/>
      </c>
      <c r="I119" s="88" t="str">
        <f t="shared" si="17"/>
        <v/>
      </c>
    </row>
    <row r="120" spans="2:9">
      <c r="B120" s="73" t="s">
        <v>327</v>
      </c>
      <c r="H120" s="529"/>
      <c r="I120" s="529"/>
    </row>
    <row r="121" spans="2:9" ht="14.4">
      <c r="B121" s="528"/>
      <c r="H121" s="529"/>
      <c r="I121" s="529"/>
    </row>
    <row r="122" spans="2:9">
      <c r="B122" s="526" t="s">
        <v>330</v>
      </c>
      <c r="C122" s="330"/>
      <c r="D122" s="330"/>
      <c r="E122" s="69"/>
      <c r="F122" s="69"/>
      <c r="G122" s="69"/>
      <c r="H122" s="70"/>
      <c r="I122" s="474"/>
    </row>
    <row r="123" spans="2:9">
      <c r="B123" s="526"/>
      <c r="C123" s="330"/>
      <c r="D123" s="330"/>
      <c r="E123" s="69"/>
      <c r="F123" s="69"/>
      <c r="G123" s="69"/>
      <c r="H123" s="70"/>
      <c r="I123" s="474"/>
    </row>
    <row r="124" spans="2:9">
      <c r="B124" s="2061" t="s">
        <v>319</v>
      </c>
      <c r="C124" s="2067" t="s">
        <v>12</v>
      </c>
      <c r="D124" s="2068"/>
      <c r="E124" s="2068"/>
      <c r="F124" s="2068"/>
      <c r="G124" s="2069"/>
      <c r="H124" s="2070" t="s">
        <v>18</v>
      </c>
      <c r="I124" s="2071"/>
    </row>
    <row r="125" spans="2:9">
      <c r="B125" s="2123"/>
      <c r="C125" s="144">
        <f>Base_Mensuelle!KP7</f>
        <v>44166</v>
      </c>
      <c r="D125" s="518">
        <f>Base_Mensuelle!KQ7</f>
        <v>44440</v>
      </c>
      <c r="E125" s="518">
        <f>Base_Mensuelle!KR7</f>
        <v>44470</v>
      </c>
      <c r="F125" s="518">
        <f>Base_Mensuelle!KS7</f>
        <v>44501</v>
      </c>
      <c r="G125" s="519">
        <f>Base_Mensuelle!KT7</f>
        <v>44531</v>
      </c>
      <c r="H125" s="527" t="s">
        <v>19</v>
      </c>
      <c r="I125" s="118" t="s">
        <v>20</v>
      </c>
    </row>
    <row r="126" spans="2:9" ht="13.8">
      <c r="B126" s="1783" t="s">
        <v>320</v>
      </c>
      <c r="C126" s="34">
        <f>Base_Mensuelle!KP8</f>
        <v>0</v>
      </c>
      <c r="D126" s="34">
        <f>Base_Mensuelle!KQ8</f>
        <v>36125</v>
      </c>
      <c r="E126" s="34"/>
      <c r="F126" s="34"/>
      <c r="G126" s="34"/>
      <c r="H126" s="1307" t="str">
        <f t="shared" ref="H126:H131" si="18">+IF(F126=0,"",(G126/F126-1)*100)</f>
        <v/>
      </c>
      <c r="I126" s="1307" t="str">
        <f t="shared" ref="I126:I131" si="19">+IF(C126=0,"",(G126/C126-1)*100)</f>
        <v/>
      </c>
    </row>
    <row r="127" spans="2:9" ht="13.8">
      <c r="B127" s="1304" t="s">
        <v>321</v>
      </c>
      <c r="C127" s="35">
        <f>Base_Mensuelle!KP9</f>
        <v>0</v>
      </c>
      <c r="D127" s="35">
        <f>Base_Mensuelle!KQ9</f>
        <v>17558</v>
      </c>
      <c r="E127" s="35">
        <f>Base_Mensuelle!KR9</f>
        <v>21125</v>
      </c>
      <c r="F127" s="35">
        <f>Base_Mensuelle!KS9</f>
        <v>20542</v>
      </c>
      <c r="G127" s="35">
        <f>Base_Mensuelle!KT9</f>
        <v>0</v>
      </c>
      <c r="H127" s="1308">
        <f t="shared" si="18"/>
        <v>-100</v>
      </c>
      <c r="I127" s="1308" t="str">
        <f t="shared" si="19"/>
        <v/>
      </c>
    </row>
    <row r="128" spans="2:9" ht="13.8">
      <c r="B128" s="1305" t="s">
        <v>323</v>
      </c>
      <c r="C128" s="34">
        <f>Base_Mensuelle!KP10</f>
        <v>0</v>
      </c>
      <c r="D128" s="34">
        <f>Base_Mensuelle!KQ10</f>
        <v>0</v>
      </c>
      <c r="E128" s="34">
        <f>Base_Mensuelle!KR10</f>
        <v>0</v>
      </c>
      <c r="F128" s="34">
        <f>Base_Mensuelle!KS10</f>
        <v>0</v>
      </c>
      <c r="G128" s="34">
        <f>Base_Mensuelle!KT10</f>
        <v>0</v>
      </c>
      <c r="H128" s="1307" t="str">
        <f t="shared" si="18"/>
        <v/>
      </c>
      <c r="I128" s="1307" t="str">
        <f t="shared" si="19"/>
        <v/>
      </c>
    </row>
    <row r="129" spans="2:9" ht="13.8">
      <c r="B129" s="1304" t="s">
        <v>324</v>
      </c>
      <c r="C129" s="1308">
        <f>Base_Mensuelle!KP11</f>
        <v>0</v>
      </c>
      <c r="D129" s="1308">
        <f>Base_Mensuelle!KQ11</f>
        <v>61375</v>
      </c>
      <c r="E129" s="1308">
        <f>Base_Mensuelle!KR11</f>
        <v>66700</v>
      </c>
      <c r="F129" s="1308">
        <f>Base_Mensuelle!KS11</f>
        <v>58125</v>
      </c>
      <c r="G129" s="1308">
        <f>Base_Mensuelle!KT11</f>
        <v>0</v>
      </c>
      <c r="H129" s="1308">
        <f t="shared" si="18"/>
        <v>-100</v>
      </c>
      <c r="I129" s="1308" t="str">
        <f t="shared" si="19"/>
        <v/>
      </c>
    </row>
    <row r="130" spans="2:9" ht="13.8">
      <c r="B130" s="1305" t="s">
        <v>325</v>
      </c>
      <c r="C130" s="1307">
        <f>Base_Mensuelle!KP12</f>
        <v>0</v>
      </c>
      <c r="D130" s="1307">
        <f>Base_Mensuelle!KQ12</f>
        <v>42750</v>
      </c>
      <c r="E130" s="1307">
        <f>Base_Mensuelle!KR12</f>
        <v>37600</v>
      </c>
      <c r="F130" s="1307">
        <f>Base_Mensuelle!KS12</f>
        <v>42250</v>
      </c>
      <c r="G130" s="1307">
        <f>Base_Mensuelle!KT12</f>
        <v>45000</v>
      </c>
      <c r="H130" s="1307">
        <f t="shared" si="18"/>
        <v>6.5088757396449815</v>
      </c>
      <c r="I130" s="1307" t="str">
        <f t="shared" si="19"/>
        <v/>
      </c>
    </row>
    <row r="131" spans="2:9" ht="13.8">
      <c r="B131" s="1583" t="s">
        <v>329</v>
      </c>
      <c r="C131" s="88">
        <f>Base_Mensuelle!KP13</f>
        <v>0</v>
      </c>
      <c r="D131" s="88">
        <f>Base_Mensuelle!KQ13</f>
        <v>0</v>
      </c>
      <c r="E131" s="88">
        <f>Base_Mensuelle!KR13</f>
        <v>0</v>
      </c>
      <c r="F131" s="88">
        <f>Base_Mensuelle!KS13</f>
        <v>0</v>
      </c>
      <c r="G131" s="88">
        <f>Base_Mensuelle!KT13</f>
        <v>0</v>
      </c>
      <c r="H131" s="88" t="str">
        <f t="shared" si="18"/>
        <v/>
      </c>
      <c r="I131" s="88" t="str">
        <f t="shared" si="19"/>
        <v/>
      </c>
    </row>
    <row r="132" spans="2:9">
      <c r="B132" s="73" t="s">
        <v>327</v>
      </c>
      <c r="C132" s="415"/>
      <c r="D132" s="415"/>
      <c r="E132" s="415"/>
      <c r="F132" s="415"/>
      <c r="G132" s="415"/>
      <c r="H132" s="474"/>
      <c r="I132" s="474"/>
    </row>
    <row r="133" spans="2:9" ht="14.4">
      <c r="B133" s="528"/>
      <c r="H133" s="529"/>
      <c r="I133" s="529"/>
    </row>
    <row r="134" spans="2:9">
      <c r="B134" s="526" t="s">
        <v>331</v>
      </c>
      <c r="C134" s="330"/>
      <c r="D134" s="330"/>
      <c r="E134" s="69"/>
      <c r="F134" s="69"/>
      <c r="G134" s="69"/>
      <c r="H134" s="70"/>
      <c r="I134" s="474"/>
    </row>
    <row r="135" spans="2:9">
      <c r="B135" s="526"/>
      <c r="C135" s="330"/>
      <c r="D135" s="330"/>
      <c r="E135" s="69"/>
      <c r="F135" s="69"/>
      <c r="G135" s="69"/>
      <c r="H135" s="70"/>
      <c r="I135" s="474"/>
    </row>
    <row r="136" spans="2:9">
      <c r="B136" s="211" t="s">
        <v>319</v>
      </c>
      <c r="C136" s="2067" t="s">
        <v>12</v>
      </c>
      <c r="D136" s="2125"/>
      <c r="E136" s="2125"/>
      <c r="F136" s="2125"/>
      <c r="G136" s="2088"/>
      <c r="H136" s="2070" t="s">
        <v>18</v>
      </c>
      <c r="I136" s="2071"/>
    </row>
    <row r="137" spans="2:9">
      <c r="B137" s="1309"/>
      <c r="C137" s="144">
        <f>Base_Mensuelle!KX7</f>
        <v>44166</v>
      </c>
      <c r="D137" s="518">
        <f>Base_Mensuelle!KY7</f>
        <v>44440</v>
      </c>
      <c r="E137" s="518">
        <f>Base_Mensuelle!KZ7</f>
        <v>44470</v>
      </c>
      <c r="F137" s="518">
        <f>Base_Mensuelle!LA7</f>
        <v>44501</v>
      </c>
      <c r="G137" s="519">
        <f>Base_Mensuelle!LB7</f>
        <v>44531</v>
      </c>
      <c r="H137" s="527" t="s">
        <v>19</v>
      </c>
      <c r="I137" s="118" t="s">
        <v>20</v>
      </c>
    </row>
    <row r="138" spans="2:9" ht="13.8">
      <c r="B138" s="1783" t="s">
        <v>320</v>
      </c>
      <c r="C138" s="34">
        <f>Base_Mensuelle!KX8</f>
        <v>0</v>
      </c>
      <c r="D138" s="34">
        <f>Base_Mensuelle!KY8</f>
        <v>33750</v>
      </c>
      <c r="E138" s="34"/>
      <c r="F138" s="34"/>
      <c r="G138" s="34"/>
      <c r="H138" s="1307" t="str">
        <f t="shared" ref="H138:H143" si="20">+IF(F138=0,"",(G138/F138-1)*100)</f>
        <v/>
      </c>
      <c r="I138" s="1307" t="str">
        <f t="shared" ref="I138:I143" si="21">+IF(C138=0,"",(G138/C138-1)*100)</f>
        <v/>
      </c>
    </row>
    <row r="139" spans="2:9" ht="13.8">
      <c r="B139" s="1304" t="s">
        <v>321</v>
      </c>
      <c r="C139" s="35">
        <f>Base_Mensuelle!KX9</f>
        <v>0</v>
      </c>
      <c r="D139" s="35">
        <f>Base_Mensuelle!KY9</f>
        <v>29654</v>
      </c>
      <c r="E139" s="35">
        <f>Base_Mensuelle!KZ9</f>
        <v>30542</v>
      </c>
      <c r="F139" s="35">
        <f>Base_Mensuelle!LA9</f>
        <v>31125</v>
      </c>
      <c r="G139" s="35">
        <f>Base_Mensuelle!LB9</f>
        <v>0</v>
      </c>
      <c r="H139" s="1308">
        <f t="shared" si="20"/>
        <v>-100</v>
      </c>
      <c r="I139" s="1308" t="str">
        <f t="shared" si="21"/>
        <v/>
      </c>
    </row>
    <row r="140" spans="2:9" ht="13.8">
      <c r="B140" s="1305" t="s">
        <v>323</v>
      </c>
      <c r="C140" s="34">
        <f>Base_Mensuelle!KX10</f>
        <v>0</v>
      </c>
      <c r="D140" s="34">
        <f>Base_Mensuelle!KY10</f>
        <v>0</v>
      </c>
      <c r="E140" s="34">
        <f>Base_Mensuelle!KZ10</f>
        <v>0</v>
      </c>
      <c r="F140" s="34">
        <f>Base_Mensuelle!LA10</f>
        <v>0</v>
      </c>
      <c r="G140" s="34">
        <f>Base_Mensuelle!LB10</f>
        <v>0</v>
      </c>
      <c r="H140" s="1307" t="str">
        <f t="shared" si="20"/>
        <v/>
      </c>
      <c r="I140" s="1307" t="str">
        <f t="shared" si="21"/>
        <v/>
      </c>
    </row>
    <row r="141" spans="2:9" ht="13.8">
      <c r="B141" s="1304" t="s">
        <v>324</v>
      </c>
      <c r="C141" s="35">
        <f>Base_Mensuelle!KX11</f>
        <v>0</v>
      </c>
      <c r="D141" s="35">
        <f>Base_Mensuelle!KY11</f>
        <v>46875</v>
      </c>
      <c r="E141" s="35">
        <f>Base_Mensuelle!KZ11</f>
        <v>42600</v>
      </c>
      <c r="F141" s="35">
        <f>Base_Mensuelle!LA11</f>
        <v>43250</v>
      </c>
      <c r="G141" s="35">
        <f>Base_Mensuelle!LB11</f>
        <v>0</v>
      </c>
      <c r="H141" s="1308">
        <f t="shared" si="20"/>
        <v>-100</v>
      </c>
      <c r="I141" s="1308" t="str">
        <f t="shared" si="21"/>
        <v/>
      </c>
    </row>
    <row r="142" spans="2:9" ht="13.8">
      <c r="B142" s="1305" t="s">
        <v>325</v>
      </c>
      <c r="C142" s="1307">
        <f>Base_Mensuelle!KX12</f>
        <v>0</v>
      </c>
      <c r="D142" s="1307">
        <f>Base_Mensuelle!KY12</f>
        <v>26000</v>
      </c>
      <c r="E142" s="1307">
        <f>Base_Mensuelle!KZ12</f>
        <v>25100</v>
      </c>
      <c r="F142" s="1307">
        <f>Base_Mensuelle!LA12</f>
        <v>26500</v>
      </c>
      <c r="G142" s="1307">
        <f>Base_Mensuelle!LB12</f>
        <v>27667</v>
      </c>
      <c r="H142" s="1307">
        <f t="shared" si="20"/>
        <v>4.4037735849056681</v>
      </c>
      <c r="I142" s="1307" t="str">
        <f t="shared" si="21"/>
        <v/>
      </c>
    </row>
    <row r="143" spans="2:9" ht="13.8">
      <c r="B143" s="1583" t="s">
        <v>329</v>
      </c>
      <c r="C143" s="88"/>
      <c r="D143" s="88"/>
      <c r="E143" s="88"/>
      <c r="F143" s="88"/>
      <c r="G143" s="88"/>
      <c r="H143" s="88" t="str">
        <f t="shared" si="20"/>
        <v/>
      </c>
      <c r="I143" s="88" t="str">
        <f t="shared" si="21"/>
        <v/>
      </c>
    </row>
    <row r="144" spans="2:9">
      <c r="B144" s="73" t="s">
        <v>327</v>
      </c>
      <c r="C144" s="415"/>
      <c r="D144" s="415"/>
      <c r="E144" s="415"/>
      <c r="F144" s="415"/>
      <c r="G144" s="415"/>
      <c r="H144" s="474"/>
      <c r="I144" s="474"/>
    </row>
    <row r="145" spans="2:9">
      <c r="B145" s="523" t="s">
        <v>332</v>
      </c>
      <c r="C145" s="523" t="s">
        <v>333</v>
      </c>
      <c r="D145" s="415"/>
      <c r="E145" s="415"/>
      <c r="F145" s="415"/>
      <c r="G145" s="415"/>
      <c r="H145" s="474"/>
      <c r="I145" s="474"/>
    </row>
    <row r="146" spans="2:9">
      <c r="B146" s="523" t="s">
        <v>334</v>
      </c>
      <c r="C146" s="523" t="s">
        <v>335</v>
      </c>
      <c r="D146" s="415"/>
      <c r="E146" s="415"/>
      <c r="F146" s="415"/>
      <c r="G146" s="415"/>
      <c r="H146" s="474"/>
      <c r="I146" s="474"/>
    </row>
    <row r="147" spans="2:9">
      <c r="B147" s="523"/>
      <c r="C147" s="415"/>
      <c r="D147" s="415"/>
      <c r="E147" s="415"/>
      <c r="F147" s="415"/>
      <c r="G147" s="415"/>
      <c r="H147" s="474"/>
      <c r="I147" s="474"/>
    </row>
    <row r="148" spans="2:9">
      <c r="B148" s="523"/>
      <c r="C148" s="415"/>
      <c r="D148" s="415"/>
      <c r="E148" s="415"/>
      <c r="F148" s="415"/>
      <c r="G148" s="415"/>
      <c r="H148" s="474"/>
      <c r="I148" s="474"/>
    </row>
    <row r="149" spans="2:9">
      <c r="B149" s="86" t="s">
        <v>336</v>
      </c>
      <c r="C149" s="330"/>
      <c r="D149" s="330"/>
      <c r="E149" s="330"/>
      <c r="F149" s="330"/>
      <c r="G149" s="330"/>
      <c r="H149" s="530"/>
      <c r="I149" s="530"/>
    </row>
    <row r="150" spans="2:9">
      <c r="B150" s="86"/>
      <c r="C150" s="330"/>
      <c r="D150" s="330"/>
      <c r="E150" s="330"/>
      <c r="F150" s="330"/>
      <c r="G150" s="330"/>
      <c r="H150" s="530"/>
      <c r="I150" s="530"/>
    </row>
    <row r="151" spans="2:9">
      <c r="B151" s="86"/>
      <c r="C151" s="2067" t="s">
        <v>12</v>
      </c>
      <c r="D151" s="2068"/>
      <c r="E151" s="2068"/>
      <c r="F151" s="2068"/>
      <c r="G151" s="2069"/>
      <c r="H151" s="2070" t="s">
        <v>18</v>
      </c>
      <c r="I151" s="2071"/>
    </row>
    <row r="152" spans="2:9">
      <c r="B152" s="434" t="s">
        <v>166</v>
      </c>
      <c r="C152" s="144">
        <f>Base_Mensuelle!LF7</f>
        <v>43160</v>
      </c>
      <c r="D152" s="518">
        <f>Base_Mensuelle!LG7</f>
        <v>43435</v>
      </c>
      <c r="E152" s="518">
        <f>Base_Mensuelle!LH7</f>
        <v>43466</v>
      </c>
      <c r="F152" s="518">
        <f>Base_Mensuelle!LI7</f>
        <v>43497</v>
      </c>
      <c r="G152" s="519">
        <f>Base_Mensuelle!LJ7</f>
        <v>43525</v>
      </c>
      <c r="H152" s="527" t="s">
        <v>19</v>
      </c>
      <c r="I152" s="118" t="s">
        <v>20</v>
      </c>
    </row>
    <row r="153" spans="2:9">
      <c r="B153" s="1305" t="s">
        <v>337</v>
      </c>
      <c r="C153" s="34">
        <f>Base_Mensuelle!LF8</f>
        <v>380</v>
      </c>
      <c r="D153" s="34">
        <f>Base_Mensuelle!LG8</f>
        <v>380</v>
      </c>
      <c r="E153" s="34">
        <f>Base_Mensuelle!LH8</f>
        <v>380</v>
      </c>
      <c r="F153" s="34">
        <f>Base_Mensuelle!LI8</f>
        <v>380</v>
      </c>
      <c r="G153" s="34">
        <f>Base_Mensuelle!LJ8</f>
        <v>380</v>
      </c>
      <c r="H153" s="1307">
        <f t="shared" ref="H153:H159" si="22">+IF(F153=0,"",(G153/F153-1)*100)</f>
        <v>0</v>
      </c>
      <c r="I153" s="1307">
        <f t="shared" ref="I153:I159" si="23">+IF(C153=0,"",(G153/C153-1)*100)</f>
        <v>0</v>
      </c>
    </row>
    <row r="154" spans="2:9">
      <c r="B154" s="1304" t="s">
        <v>338</v>
      </c>
      <c r="C154" s="35">
        <f>Base_Mensuelle!LF9</f>
        <v>610</v>
      </c>
      <c r="D154" s="35">
        <f>Base_Mensuelle!LG9</f>
        <v>610</v>
      </c>
      <c r="E154" s="35">
        <f>Base_Mensuelle!LH9</f>
        <v>610</v>
      </c>
      <c r="F154" s="35">
        <f>Base_Mensuelle!LI9</f>
        <v>610</v>
      </c>
      <c r="G154" s="35">
        <f>Base_Mensuelle!LJ9</f>
        <v>610</v>
      </c>
      <c r="H154" s="1308">
        <f t="shared" si="22"/>
        <v>0</v>
      </c>
      <c r="I154" s="1308">
        <f t="shared" si="23"/>
        <v>0</v>
      </c>
    </row>
    <row r="155" spans="2:9">
      <c r="B155" s="1305" t="s">
        <v>339</v>
      </c>
      <c r="C155" s="34">
        <f>Base_Mensuelle!LF10</f>
        <v>602</v>
      </c>
      <c r="D155" s="34">
        <f>Base_Mensuelle!LG10</f>
        <v>602</v>
      </c>
      <c r="E155" s="34">
        <f>Base_Mensuelle!LH10</f>
        <v>602</v>
      </c>
      <c r="F155" s="34">
        <f>Base_Mensuelle!LI10</f>
        <v>602</v>
      </c>
      <c r="G155" s="34">
        <f>Base_Mensuelle!LJ10</f>
        <v>602</v>
      </c>
      <c r="H155" s="1307">
        <f t="shared" si="22"/>
        <v>0</v>
      </c>
      <c r="I155" s="1307">
        <f t="shared" si="23"/>
        <v>0</v>
      </c>
    </row>
    <row r="156" spans="2:9">
      <c r="B156" s="1304" t="s">
        <v>340</v>
      </c>
      <c r="C156" s="35">
        <f>Base_Mensuelle!LF11</f>
        <v>0</v>
      </c>
      <c r="D156" s="35">
        <f>Base_Mensuelle!LG11</f>
        <v>0</v>
      </c>
      <c r="E156" s="35">
        <f>Base_Mensuelle!LH11</f>
        <v>0</v>
      </c>
      <c r="F156" s="35">
        <f>Base_Mensuelle!LI11</f>
        <v>0</v>
      </c>
      <c r="G156" s="35">
        <f>Base_Mensuelle!LJ11</f>
        <v>0</v>
      </c>
      <c r="H156" s="1308" t="str">
        <f t="shared" si="22"/>
        <v/>
      </c>
      <c r="I156" s="1308" t="str">
        <f t="shared" si="23"/>
        <v/>
      </c>
    </row>
    <row r="157" spans="2:9">
      <c r="B157" s="1305" t="s">
        <v>341</v>
      </c>
      <c r="C157" s="34">
        <f>Base_Mensuelle!LF12</f>
        <v>526</v>
      </c>
      <c r="D157" s="34">
        <f>Base_Mensuelle!LG12</f>
        <v>526</v>
      </c>
      <c r="E157" s="34">
        <f>Base_Mensuelle!LH12</f>
        <v>526</v>
      </c>
      <c r="F157" s="34">
        <f>Base_Mensuelle!LI12</f>
        <v>526</v>
      </c>
      <c r="G157" s="34">
        <f>Base_Mensuelle!LJ12</f>
        <v>526</v>
      </c>
      <c r="H157" s="1307">
        <f t="shared" si="22"/>
        <v>0</v>
      </c>
      <c r="I157" s="1307">
        <f t="shared" si="23"/>
        <v>0</v>
      </c>
    </row>
    <row r="158" spans="2:9" ht="24.6">
      <c r="B158" s="1581" t="s">
        <v>1003</v>
      </c>
      <c r="C158" s="1308">
        <f>Base_Mensuelle!LF13</f>
        <v>5000</v>
      </c>
      <c r="D158" s="1308">
        <f>Base_Mensuelle!LG13</f>
        <v>5000</v>
      </c>
      <c r="E158" s="1308">
        <f>Base_Mensuelle!LH13</f>
        <v>5000</v>
      </c>
      <c r="F158" s="1308">
        <f>Base_Mensuelle!LI13</f>
        <v>5000</v>
      </c>
      <c r="G158" s="1308">
        <f>Base_Mensuelle!LJ13</f>
        <v>5000</v>
      </c>
      <c r="H158" s="1308">
        <f t="shared" si="22"/>
        <v>0</v>
      </c>
      <c r="I158" s="1308">
        <f t="shared" si="23"/>
        <v>0</v>
      </c>
    </row>
    <row r="159" spans="2:9" ht="24.6">
      <c r="B159" s="1582" t="s">
        <v>1004</v>
      </c>
      <c r="C159" s="83">
        <f>Base_Mensuelle!LF14</f>
        <v>2000</v>
      </c>
      <c r="D159" s="83">
        <f>Base_Mensuelle!LG14</f>
        <v>2000</v>
      </c>
      <c r="E159" s="83">
        <f>Base_Mensuelle!LH14</f>
        <v>2000</v>
      </c>
      <c r="F159" s="83">
        <f>Base_Mensuelle!LI14</f>
        <v>2000</v>
      </c>
      <c r="G159" s="83">
        <f>Base_Mensuelle!LJ14</f>
        <v>2000</v>
      </c>
      <c r="H159" s="83">
        <f t="shared" si="22"/>
        <v>0</v>
      </c>
      <c r="I159" s="83">
        <f t="shared" si="23"/>
        <v>0</v>
      </c>
    </row>
    <row r="160" spans="2:9">
      <c r="B160" s="73" t="s">
        <v>1057</v>
      </c>
      <c r="C160" s="330"/>
      <c r="D160" s="330"/>
      <c r="E160" s="330"/>
      <c r="F160" s="330"/>
      <c r="G160" s="330"/>
      <c r="H160" s="530"/>
      <c r="I160" s="530"/>
    </row>
    <row r="161" spans="1:9" ht="14.4">
      <c r="B161" s="528"/>
      <c r="H161" s="529"/>
      <c r="I161" s="529"/>
    </row>
    <row r="162" spans="1:9" ht="14.4">
      <c r="B162" s="86" t="s">
        <v>345</v>
      </c>
      <c r="C162" s="533"/>
      <c r="D162" s="533"/>
      <c r="E162" s="533"/>
      <c r="F162" s="533"/>
      <c r="G162" s="533"/>
      <c r="H162" s="534"/>
      <c r="I162" s="534"/>
    </row>
    <row r="163" spans="1:9" ht="12.6" thickBot="1">
      <c r="B163" s="86"/>
      <c r="C163" s="533"/>
      <c r="D163" s="533"/>
      <c r="E163" s="533"/>
      <c r="F163" s="533"/>
      <c r="G163" s="533"/>
      <c r="H163" s="529"/>
      <c r="I163" s="529"/>
    </row>
    <row r="164" spans="1:9" ht="12.6" thickBot="1">
      <c r="A164" s="2132" t="s">
        <v>1200</v>
      </c>
      <c r="B164" s="2103"/>
      <c r="C164" s="2092" t="s">
        <v>1201</v>
      </c>
      <c r="D164" s="2134" t="s">
        <v>1202</v>
      </c>
      <c r="E164" s="2134"/>
      <c r="F164" s="2134"/>
      <c r="G164" s="2134"/>
      <c r="H164" s="2135"/>
    </row>
    <row r="165" spans="1:9" ht="32.25" customHeight="1" thickBot="1">
      <c r="A165" s="2133"/>
      <c r="B165" s="2107"/>
      <c r="C165" s="2096"/>
      <c r="D165" s="2100" t="s">
        <v>1203</v>
      </c>
      <c r="E165" s="2114"/>
      <c r="F165" s="2101"/>
      <c r="G165" s="2115" t="s">
        <v>1204</v>
      </c>
      <c r="H165" s="2116"/>
    </row>
    <row r="166" spans="1:9" ht="38.1" thickBot="1">
      <c r="A166" s="2117" t="s">
        <v>1205</v>
      </c>
      <c r="B166" s="2120" t="s">
        <v>1206</v>
      </c>
      <c r="C166" s="2040" t="s">
        <v>1207</v>
      </c>
      <c r="D166" s="2022" t="s">
        <v>1208</v>
      </c>
      <c r="E166" s="2022" t="s">
        <v>1209</v>
      </c>
      <c r="F166" s="2023" t="s">
        <v>1210</v>
      </c>
      <c r="G166" s="2024"/>
      <c r="H166" s="2025"/>
    </row>
    <row r="167" spans="1:9" ht="12.6" thickBot="1">
      <c r="A167" s="2118"/>
      <c r="B167" s="2121"/>
      <c r="C167" s="2026" t="s">
        <v>1211</v>
      </c>
      <c r="D167" s="2027">
        <v>75</v>
      </c>
      <c r="E167" s="2027">
        <v>128</v>
      </c>
      <c r="F167" s="2027">
        <v>138</v>
      </c>
      <c r="G167" s="2027">
        <v>1132</v>
      </c>
      <c r="H167" s="2027">
        <v>0</v>
      </c>
    </row>
    <row r="168" spans="1:9" ht="38.1" thickBot="1">
      <c r="A168" s="2118"/>
      <c r="B168" s="2121"/>
      <c r="C168" s="2040" t="s">
        <v>1212</v>
      </c>
      <c r="D168" s="2040" t="s">
        <v>1213</v>
      </c>
      <c r="E168" s="2040" t="s">
        <v>1214</v>
      </c>
      <c r="F168" s="2040" t="s">
        <v>1215</v>
      </c>
      <c r="G168" s="2024"/>
      <c r="H168" s="2025"/>
    </row>
    <row r="169" spans="1:9" ht="12.6" thickBot="1">
      <c r="A169" s="2118"/>
      <c r="B169" s="2121"/>
      <c r="C169" s="2028" t="s">
        <v>1216</v>
      </c>
      <c r="D169" s="2029">
        <v>96</v>
      </c>
      <c r="E169" s="2029">
        <v>102</v>
      </c>
      <c r="F169" s="2029">
        <v>109</v>
      </c>
      <c r="G169" s="2029">
        <v>457</v>
      </c>
      <c r="H169" s="2030" t="s">
        <v>1217</v>
      </c>
    </row>
    <row r="170" spans="1:9" ht="12.6" thickBot="1">
      <c r="A170" s="2118"/>
      <c r="B170" s="2121"/>
      <c r="C170" s="2028" t="s">
        <v>1218</v>
      </c>
      <c r="D170" s="2029">
        <v>96</v>
      </c>
      <c r="E170" s="2029">
        <v>102</v>
      </c>
      <c r="F170" s="2029">
        <v>109</v>
      </c>
      <c r="G170" s="2029">
        <v>764</v>
      </c>
      <c r="H170" s="2030" t="s">
        <v>1217</v>
      </c>
    </row>
    <row r="171" spans="1:9" ht="38.1" thickBot="1">
      <c r="A171" s="2118"/>
      <c r="B171" s="2121"/>
      <c r="C171" s="2040" t="s">
        <v>1219</v>
      </c>
      <c r="D171" s="2108" t="s">
        <v>1220</v>
      </c>
      <c r="E171" s="2109"/>
      <c r="F171" s="2110"/>
      <c r="G171" s="2032">
        <v>1</v>
      </c>
      <c r="H171" s="2033"/>
    </row>
    <row r="172" spans="1:9" ht="12.6" thickBot="1">
      <c r="A172" s="2118"/>
      <c r="B172" s="2121"/>
      <c r="C172" s="2028" t="s">
        <v>1216</v>
      </c>
      <c r="D172" s="2111">
        <v>160</v>
      </c>
      <c r="E172" s="2112"/>
      <c r="F172" s="2113"/>
      <c r="G172" s="2029">
        <v>457</v>
      </c>
      <c r="H172" s="2030" t="s">
        <v>1217</v>
      </c>
    </row>
    <row r="173" spans="1:9" ht="12.6" thickBot="1">
      <c r="A173" s="2118"/>
      <c r="B173" s="2122"/>
      <c r="C173" s="2028" t="s">
        <v>1218</v>
      </c>
      <c r="D173" s="2111">
        <v>160</v>
      </c>
      <c r="E173" s="2112"/>
      <c r="F173" s="2113"/>
      <c r="G173" s="2029">
        <v>764</v>
      </c>
      <c r="H173" s="2030" t="s">
        <v>1217</v>
      </c>
    </row>
    <row r="174" spans="1:9" ht="38.1" thickBot="1">
      <c r="A174" s="2118"/>
      <c r="B174" s="2120" t="s">
        <v>1221</v>
      </c>
      <c r="C174" s="2040" t="s">
        <v>1222</v>
      </c>
      <c r="D174" s="2040" t="s">
        <v>1213</v>
      </c>
      <c r="E174" s="2040" t="s">
        <v>1214</v>
      </c>
      <c r="F174" s="2040" t="s">
        <v>1215</v>
      </c>
      <c r="G174" s="2024"/>
      <c r="H174" s="2025"/>
    </row>
    <row r="175" spans="1:9" ht="12.6" thickBot="1">
      <c r="A175" s="2118"/>
      <c r="B175" s="2121"/>
      <c r="C175" s="2028" t="s">
        <v>1223</v>
      </c>
      <c r="D175" s="2029">
        <v>96</v>
      </c>
      <c r="E175" s="2029">
        <v>108</v>
      </c>
      <c r="F175" s="2029">
        <v>114</v>
      </c>
      <c r="G175" s="2029">
        <v>1226</v>
      </c>
      <c r="H175" s="2030" t="s">
        <v>1224</v>
      </c>
    </row>
    <row r="176" spans="1:9" ht="12.6" thickBot="1">
      <c r="A176" s="2118"/>
      <c r="B176" s="2121"/>
      <c r="C176" s="2028" t="s">
        <v>1218</v>
      </c>
      <c r="D176" s="2029">
        <v>96</v>
      </c>
      <c r="E176" s="2029">
        <v>108</v>
      </c>
      <c r="F176" s="2029">
        <v>114</v>
      </c>
      <c r="G176" s="2029">
        <v>1373</v>
      </c>
      <c r="H176" s="2030" t="s">
        <v>1224</v>
      </c>
    </row>
    <row r="177" spans="1:8" ht="38.1" thickBot="1">
      <c r="A177" s="2118"/>
      <c r="B177" s="2121"/>
      <c r="C177" s="2040" t="s">
        <v>1225</v>
      </c>
      <c r="D177" s="2108" t="s">
        <v>1220</v>
      </c>
      <c r="E177" s="2109"/>
      <c r="F177" s="2110"/>
      <c r="G177" s="2032">
        <v>1</v>
      </c>
      <c r="H177" s="2033"/>
    </row>
    <row r="178" spans="1:8" ht="12.6" thickBot="1">
      <c r="A178" s="2118"/>
      <c r="B178" s="2121"/>
      <c r="C178" s="2028" t="s">
        <v>1223</v>
      </c>
      <c r="D178" s="2111">
        <v>160</v>
      </c>
      <c r="E178" s="2112"/>
      <c r="F178" s="2113"/>
      <c r="G178" s="2029">
        <v>1226</v>
      </c>
      <c r="H178" s="2030" t="s">
        <v>1224</v>
      </c>
    </row>
    <row r="179" spans="1:8" ht="12.6" thickBot="1">
      <c r="A179" s="2118"/>
      <c r="B179" s="2122"/>
      <c r="C179" s="2028" t="s">
        <v>1218</v>
      </c>
      <c r="D179" s="2111">
        <v>160</v>
      </c>
      <c r="E179" s="2112"/>
      <c r="F179" s="2113"/>
      <c r="G179" s="2029">
        <v>1373</v>
      </c>
      <c r="H179" s="2030" t="s">
        <v>1224</v>
      </c>
    </row>
    <row r="180" spans="1:8" ht="38.1" thickBot="1">
      <c r="A180" s="2118"/>
      <c r="B180" s="2120" t="s">
        <v>1226</v>
      </c>
      <c r="C180" s="2021" t="s">
        <v>1227</v>
      </c>
      <c r="D180" s="2022" t="s">
        <v>1228</v>
      </c>
      <c r="E180" s="2022" t="s">
        <v>1229</v>
      </c>
      <c r="F180" s="2034"/>
      <c r="G180" s="2024"/>
      <c r="H180" s="2025"/>
    </row>
    <row r="181" spans="1:8" ht="12.9" thickBot="1">
      <c r="A181" s="2118"/>
      <c r="B181" s="2121"/>
      <c r="C181" s="2028" t="s">
        <v>1230</v>
      </c>
      <c r="D181" s="2029">
        <v>88</v>
      </c>
      <c r="E181" s="2029">
        <v>165</v>
      </c>
      <c r="F181" s="2035"/>
      <c r="G181" s="2029">
        <v>8538</v>
      </c>
      <c r="H181" s="2030" t="s">
        <v>1231</v>
      </c>
    </row>
    <row r="182" spans="1:8" ht="12.9" thickBot="1">
      <c r="A182" s="2118"/>
      <c r="B182" s="2121"/>
      <c r="C182" s="2028" t="s">
        <v>1232</v>
      </c>
      <c r="D182" s="2029">
        <v>75</v>
      </c>
      <c r="E182" s="2029">
        <v>140</v>
      </c>
      <c r="F182" s="2035"/>
      <c r="G182" s="2029">
        <v>7115</v>
      </c>
      <c r="H182" s="2030" t="s">
        <v>1233</v>
      </c>
    </row>
    <row r="183" spans="1:8" ht="12.9" thickBot="1">
      <c r="A183" s="2119"/>
      <c r="B183" s="2122"/>
      <c r="C183" s="2028" t="s">
        <v>1234</v>
      </c>
      <c r="D183" s="2029">
        <v>160</v>
      </c>
      <c r="E183" s="2029">
        <v>160</v>
      </c>
      <c r="F183" s="2035"/>
      <c r="G183" s="2029">
        <v>8538</v>
      </c>
      <c r="H183" s="2030" t="s">
        <v>1231</v>
      </c>
    </row>
    <row r="184" spans="1:8" ht="38.1" thickBot="1">
      <c r="A184" s="2092" t="s">
        <v>1235</v>
      </c>
      <c r="B184" s="2093"/>
      <c r="C184" s="2021" t="s">
        <v>1236</v>
      </c>
      <c r="D184" s="2036" t="s">
        <v>1228</v>
      </c>
      <c r="E184" s="2022" t="s">
        <v>1229</v>
      </c>
      <c r="F184" s="2034"/>
      <c r="G184" s="2024"/>
      <c r="H184" s="2025"/>
    </row>
    <row r="185" spans="1:8" ht="12.9" thickBot="1">
      <c r="A185" s="2094"/>
      <c r="B185" s="2095"/>
      <c r="C185" s="2028" t="s">
        <v>1237</v>
      </c>
      <c r="D185" s="2029">
        <v>64</v>
      </c>
      <c r="E185" s="2029">
        <v>139</v>
      </c>
      <c r="F185" s="2035"/>
      <c r="G185" s="2029">
        <v>8538</v>
      </c>
      <c r="H185" s="2030" t="s">
        <v>1238</v>
      </c>
    </row>
    <row r="186" spans="1:8" ht="12.9" thickBot="1">
      <c r="A186" s="2094"/>
      <c r="B186" s="2095"/>
      <c r="C186" s="2028" t="s">
        <v>1239</v>
      </c>
      <c r="D186" s="2029">
        <v>54</v>
      </c>
      <c r="E186" s="2029">
        <v>118</v>
      </c>
      <c r="F186" s="2035"/>
      <c r="G186" s="2029">
        <v>7115</v>
      </c>
      <c r="H186" s="2030" t="s">
        <v>1240</v>
      </c>
    </row>
    <row r="187" spans="1:8" ht="12.9" thickBot="1">
      <c r="A187" s="2096"/>
      <c r="B187" s="2097"/>
      <c r="C187" s="2028" t="s">
        <v>1241</v>
      </c>
      <c r="D187" s="2029">
        <v>160</v>
      </c>
      <c r="E187" s="2029">
        <v>160</v>
      </c>
      <c r="F187" s="2035"/>
      <c r="G187" s="2029">
        <v>8538</v>
      </c>
      <c r="H187" s="2030" t="s">
        <v>1238</v>
      </c>
    </row>
    <row r="188" spans="1:8" ht="38.1" thickBot="1">
      <c r="A188" s="2098" t="s">
        <v>1242</v>
      </c>
      <c r="B188" s="2099"/>
      <c r="C188" s="2021" t="s">
        <v>1243</v>
      </c>
      <c r="D188" s="2036" t="s">
        <v>1244</v>
      </c>
      <c r="E188" s="2022" t="s">
        <v>1245</v>
      </c>
      <c r="F188" s="2034"/>
      <c r="G188" s="2024"/>
      <c r="H188" s="2025"/>
    </row>
    <row r="189" spans="1:8" ht="12.9" thickBot="1">
      <c r="A189" s="2100"/>
      <c r="B189" s="2101"/>
      <c r="C189" s="2028" t="s">
        <v>1243</v>
      </c>
      <c r="D189" s="2029">
        <v>70</v>
      </c>
      <c r="E189" s="2029">
        <v>140</v>
      </c>
      <c r="F189" s="2035"/>
      <c r="G189" s="2029">
        <v>7115</v>
      </c>
      <c r="H189" s="2030" t="s">
        <v>1240</v>
      </c>
    </row>
    <row r="190" spans="1:8" ht="12.9" thickBot="1">
      <c r="A190" s="2102" t="s">
        <v>1246</v>
      </c>
      <c r="B190" s="2103"/>
      <c r="C190" s="2031" t="s">
        <v>1247</v>
      </c>
      <c r="D190" s="2108" t="s">
        <v>1248</v>
      </c>
      <c r="E190" s="2109"/>
      <c r="F190" s="2110"/>
      <c r="G190" s="2024"/>
      <c r="H190" s="2025"/>
    </row>
    <row r="191" spans="1:8" ht="184.8" thickBot="1">
      <c r="A191" s="2104"/>
      <c r="B191" s="2105"/>
      <c r="C191" s="2028" t="s">
        <v>1249</v>
      </c>
      <c r="D191" s="2111">
        <v>122</v>
      </c>
      <c r="E191" s="2112"/>
      <c r="F191" s="2113"/>
      <c r="G191" s="2029">
        <v>381</v>
      </c>
      <c r="H191" s="2037" t="s">
        <v>1250</v>
      </c>
    </row>
    <row r="192" spans="1:8" ht="12.6" thickBot="1">
      <c r="A192" s="2104"/>
      <c r="B192" s="2105"/>
      <c r="C192" s="2028" t="s">
        <v>1251</v>
      </c>
      <c r="D192" s="2111">
        <v>122</v>
      </c>
      <c r="E192" s="2112"/>
      <c r="F192" s="2113"/>
      <c r="G192" s="2029">
        <v>637</v>
      </c>
      <c r="H192" s="2038"/>
    </row>
    <row r="193" spans="1:9" ht="12.6" thickBot="1">
      <c r="A193" s="2104"/>
      <c r="B193" s="2105"/>
      <c r="C193" s="2028" t="s">
        <v>1252</v>
      </c>
      <c r="D193" s="2111">
        <v>122</v>
      </c>
      <c r="E193" s="2112"/>
      <c r="F193" s="2113"/>
      <c r="G193" s="2029">
        <v>1022</v>
      </c>
      <c r="H193" s="2038"/>
    </row>
    <row r="194" spans="1:9" ht="12.6" thickBot="1">
      <c r="A194" s="2106"/>
      <c r="B194" s="2107"/>
      <c r="C194" s="2028" t="s">
        <v>1253</v>
      </c>
      <c r="D194" s="2111">
        <v>122</v>
      </c>
      <c r="E194" s="2112"/>
      <c r="F194" s="2113"/>
      <c r="G194" s="2029">
        <v>1144</v>
      </c>
      <c r="H194" s="2039"/>
    </row>
    <row r="195" spans="1:9">
      <c r="B195" s="533"/>
      <c r="C195" s="533"/>
      <c r="D195" s="533"/>
      <c r="E195" s="1950"/>
      <c r="F195" s="533"/>
      <c r="G195" s="533"/>
      <c r="H195" s="2070" t="s">
        <v>18</v>
      </c>
      <c r="I195" s="2071"/>
    </row>
    <row r="196" spans="1:9" ht="14.4">
      <c r="B196" s="528"/>
      <c r="H196" s="529"/>
      <c r="I196" s="529"/>
    </row>
    <row r="197" spans="1:9" ht="14.4">
      <c r="B197" s="86" t="s">
        <v>351</v>
      </c>
      <c r="C197" s="533"/>
      <c r="D197" s="533"/>
      <c r="E197" s="533"/>
      <c r="F197" s="533"/>
      <c r="G197" s="533"/>
      <c r="H197" s="534"/>
      <c r="I197" s="534"/>
    </row>
    <row r="198" spans="1:9" ht="14.4">
      <c r="B198" s="86"/>
      <c r="C198" s="533"/>
      <c r="D198" s="533"/>
      <c r="E198" s="533"/>
      <c r="F198" s="533"/>
      <c r="G198" s="533"/>
      <c r="H198" s="534"/>
      <c r="I198" s="534"/>
    </row>
    <row r="199" spans="1:9" ht="12.6" thickBot="1">
      <c r="B199" s="1957"/>
      <c r="C199" s="151"/>
      <c r="D199" s="151"/>
      <c r="E199" s="151"/>
      <c r="F199" s="151"/>
      <c r="G199" s="151" t="s">
        <v>1181</v>
      </c>
      <c r="H199" s="143" t="s">
        <v>61</v>
      </c>
      <c r="I199" s="1306" t="s">
        <v>1183</v>
      </c>
    </row>
    <row r="200" spans="1:9" ht="20.399999999999999" thickBot="1">
      <c r="B200" s="2129" t="s">
        <v>175</v>
      </c>
      <c r="C200" s="2130"/>
      <c r="D200" s="2130"/>
      <c r="E200" s="2130"/>
      <c r="F200" s="2131"/>
      <c r="G200" s="1958"/>
      <c r="H200" s="1959"/>
      <c r="I200" s="1960"/>
    </row>
    <row r="201" spans="1:9">
      <c r="B201" s="2143" t="s">
        <v>352</v>
      </c>
      <c r="C201" s="2141"/>
      <c r="D201" s="2141"/>
      <c r="E201" s="2141"/>
      <c r="F201" s="2142"/>
      <c r="G201" s="1978">
        <f>Base_Mensuelle!LZ9</f>
        <v>188</v>
      </c>
      <c r="H201" s="1961" t="s">
        <v>1178</v>
      </c>
      <c r="I201" s="1962"/>
    </row>
    <row r="202" spans="1:9">
      <c r="B202" s="2126" t="s">
        <v>353</v>
      </c>
      <c r="C202" s="2127"/>
      <c r="D202" s="2127"/>
      <c r="E202" s="2127"/>
      <c r="F202" s="2128"/>
      <c r="G202" s="1979">
        <f>Base_Mensuelle!LZ10</f>
        <v>463</v>
      </c>
      <c r="H202" s="1963" t="s">
        <v>1178</v>
      </c>
      <c r="I202" s="1964"/>
    </row>
    <row r="203" spans="1:9">
      <c r="B203" s="2126" t="s">
        <v>354</v>
      </c>
      <c r="C203" s="2127"/>
      <c r="D203" s="2127"/>
      <c r="E203" s="2127"/>
      <c r="F203" s="2128"/>
      <c r="G203" s="1979">
        <f>Base_Mensuelle!LZ11</f>
        <v>663</v>
      </c>
      <c r="H203" s="1963" t="s">
        <v>1178</v>
      </c>
      <c r="I203" s="1964"/>
    </row>
    <row r="204" spans="1:9">
      <c r="B204" s="2126" t="s">
        <v>355</v>
      </c>
      <c r="C204" s="2127"/>
      <c r="D204" s="2127"/>
      <c r="E204" s="2127"/>
      <c r="F204" s="2128"/>
      <c r="G204" s="1979">
        <f>Base_Mensuelle!LZ12</f>
        <v>1104</v>
      </c>
      <c r="H204" s="1963" t="s">
        <v>1178</v>
      </c>
      <c r="I204" s="1964"/>
    </row>
    <row r="205" spans="1:9">
      <c r="B205" s="2126" t="s">
        <v>1177</v>
      </c>
      <c r="C205" s="2127"/>
      <c r="D205" s="2127"/>
      <c r="E205" s="2127"/>
      <c r="F205" s="2128"/>
      <c r="G205" s="1979">
        <v>1000</v>
      </c>
      <c r="H205" s="1963" t="s">
        <v>1182</v>
      </c>
      <c r="I205" s="1964" t="s">
        <v>1184</v>
      </c>
    </row>
    <row r="206" spans="1:9">
      <c r="B206" s="2136" t="s">
        <v>1179</v>
      </c>
      <c r="C206" s="2127"/>
      <c r="D206" s="2127"/>
      <c r="E206" s="2127"/>
      <c r="F206" s="2128"/>
      <c r="G206" s="1979">
        <v>21</v>
      </c>
      <c r="H206" s="1963" t="s">
        <v>1178</v>
      </c>
      <c r="I206" s="1964" t="s">
        <v>1184</v>
      </c>
    </row>
    <row r="207" spans="1:9" ht="12.6" thickBot="1">
      <c r="B207" s="2137" t="s">
        <v>1180</v>
      </c>
      <c r="C207" s="2138"/>
      <c r="D207" s="2138"/>
      <c r="E207" s="2138"/>
      <c r="F207" s="2139"/>
      <c r="G207" s="1980">
        <v>60</v>
      </c>
      <c r="H207" s="1965" t="s">
        <v>1178</v>
      </c>
      <c r="I207" s="1966" t="s">
        <v>1184</v>
      </c>
    </row>
    <row r="208" spans="1:9" ht="20.399999999999999" thickBot="1">
      <c r="B208" s="2129" t="s">
        <v>1185</v>
      </c>
      <c r="C208" s="2130"/>
      <c r="D208" s="2130"/>
      <c r="E208" s="2130"/>
      <c r="F208" s="2131"/>
      <c r="G208" s="1981"/>
      <c r="H208" s="1967"/>
      <c r="I208" s="1960"/>
    </row>
    <row r="209" spans="2:9">
      <c r="B209" s="2140" t="s">
        <v>1186</v>
      </c>
      <c r="C209" s="2141"/>
      <c r="D209" s="2141"/>
      <c r="E209" s="2141"/>
      <c r="F209" s="2142"/>
      <c r="G209" s="1978">
        <v>1104</v>
      </c>
      <c r="H209" s="1961" t="s">
        <v>1178</v>
      </c>
      <c r="I209" s="1968" t="str">
        <f>+IF(C209=0,"",(G209/C209-1)*100)</f>
        <v/>
      </c>
    </row>
    <row r="210" spans="2:9">
      <c r="B210" s="2126" t="s">
        <v>1177</v>
      </c>
      <c r="C210" s="2127"/>
      <c r="D210" s="2127"/>
      <c r="E210" s="2127"/>
      <c r="F210" s="2128"/>
      <c r="G210" s="1979">
        <v>1000</v>
      </c>
      <c r="H210" s="1963" t="s">
        <v>1182</v>
      </c>
      <c r="I210" s="1964" t="s">
        <v>1184</v>
      </c>
    </row>
    <row r="211" spans="2:9">
      <c r="B211" s="2136" t="s">
        <v>1179</v>
      </c>
      <c r="C211" s="2127"/>
      <c r="D211" s="2127"/>
      <c r="E211" s="2127"/>
      <c r="F211" s="2128"/>
      <c r="G211" s="1979">
        <v>21</v>
      </c>
      <c r="H211" s="1963" t="s">
        <v>1178</v>
      </c>
      <c r="I211" s="1964" t="s">
        <v>1184</v>
      </c>
    </row>
    <row r="212" spans="2:9" ht="12.6" thickBot="1">
      <c r="B212" s="2137" t="s">
        <v>1180</v>
      </c>
      <c r="C212" s="2138"/>
      <c r="D212" s="2138"/>
      <c r="E212" s="2138"/>
      <c r="F212" s="2139"/>
      <c r="G212" s="1980">
        <v>90</v>
      </c>
      <c r="H212" s="1965" t="s">
        <v>1178</v>
      </c>
      <c r="I212" s="1966" t="s">
        <v>1184</v>
      </c>
    </row>
    <row r="213" spans="2:9" ht="20.399999999999999" thickBot="1">
      <c r="B213" s="2129" t="s">
        <v>1187</v>
      </c>
      <c r="C213" s="2130"/>
      <c r="D213" s="2130"/>
      <c r="E213" s="2130"/>
      <c r="F213" s="2131"/>
      <c r="G213" s="1958"/>
      <c r="H213" s="1959"/>
      <c r="I213" s="1960"/>
    </row>
    <row r="214" spans="2:9">
      <c r="B214" s="2143" t="s">
        <v>1048</v>
      </c>
      <c r="C214" s="2141"/>
      <c r="D214" s="2141"/>
      <c r="E214" s="2141"/>
      <c r="F214" s="2142"/>
      <c r="G214" s="1978">
        <v>5</v>
      </c>
      <c r="H214" s="1961" t="s">
        <v>1188</v>
      </c>
      <c r="I214" s="1968" t="str">
        <f>+IF(C214=0,"",(G214/C214-1)*100)</f>
        <v/>
      </c>
    </row>
    <row r="215" spans="2:9">
      <c r="B215" s="2126" t="s">
        <v>357</v>
      </c>
      <c r="C215" s="2127"/>
      <c r="D215" s="2127"/>
      <c r="E215" s="2127"/>
      <c r="F215" s="2128"/>
      <c r="G215" s="1979">
        <v>10</v>
      </c>
      <c r="H215" s="1963" t="s">
        <v>1188</v>
      </c>
      <c r="I215" s="1952" t="str">
        <f>+IF(C215=0,"",(G215/C215-1)*100)</f>
        <v/>
      </c>
    </row>
    <row r="216" spans="2:9">
      <c r="B216" s="2136" t="s">
        <v>1189</v>
      </c>
      <c r="C216" s="2127"/>
      <c r="D216" s="2127"/>
      <c r="E216" s="2127"/>
      <c r="F216" s="2128"/>
      <c r="G216" s="1979">
        <v>60</v>
      </c>
      <c r="H216" s="1963" t="s">
        <v>1188</v>
      </c>
      <c r="I216" s="1952" t="str">
        <f>+IF(C216=0,"",(G216/C216-1)*100)</f>
        <v/>
      </c>
    </row>
    <row r="217" spans="2:9">
      <c r="B217" s="2136" t="s">
        <v>180</v>
      </c>
      <c r="C217" s="2127"/>
      <c r="D217" s="2127"/>
      <c r="E217" s="2127"/>
      <c r="F217" s="2128"/>
      <c r="G217" s="1951">
        <v>188</v>
      </c>
      <c r="H217" s="1963" t="s">
        <v>1178</v>
      </c>
      <c r="I217" s="1969"/>
    </row>
    <row r="218" spans="2:9">
      <c r="B218" s="1970" t="s">
        <v>1192</v>
      </c>
      <c r="C218" s="1971"/>
      <c r="D218" s="1971"/>
      <c r="E218" s="1971"/>
      <c r="F218" s="1972"/>
      <c r="G218" s="1951">
        <v>10</v>
      </c>
      <c r="H218" s="1963" t="s">
        <v>1178</v>
      </c>
      <c r="I218" s="1969"/>
    </row>
    <row r="219" spans="2:9">
      <c r="B219" s="2136" t="s">
        <v>1190</v>
      </c>
      <c r="C219" s="2127"/>
      <c r="D219" s="2127"/>
      <c r="E219" s="2127"/>
      <c r="F219" s="2128"/>
      <c r="G219" s="1951">
        <v>95</v>
      </c>
      <c r="H219" s="1963" t="s">
        <v>1178</v>
      </c>
      <c r="I219" s="1969"/>
    </row>
    <row r="220" spans="2:9">
      <c r="B220" s="1970" t="s">
        <v>1193</v>
      </c>
      <c r="C220" s="1971"/>
      <c r="D220" s="1971"/>
      <c r="E220" s="1971"/>
      <c r="F220" s="1972"/>
      <c r="G220" s="1951">
        <v>10</v>
      </c>
      <c r="H220" s="1963" t="s">
        <v>1178</v>
      </c>
      <c r="I220" s="1969"/>
    </row>
    <row r="221" spans="2:9">
      <c r="B221" s="1973" t="s">
        <v>1191</v>
      </c>
      <c r="C221" s="1971"/>
      <c r="D221" s="1971"/>
      <c r="E221" s="1971"/>
      <c r="F221" s="1972"/>
      <c r="G221" s="1951">
        <v>439</v>
      </c>
      <c r="H221" s="1963" t="s">
        <v>1178</v>
      </c>
      <c r="I221" s="1969"/>
    </row>
    <row r="222" spans="2:9" ht="12.6" thickBot="1">
      <c r="B222" s="1974" t="s">
        <v>1194</v>
      </c>
      <c r="C222" s="1975"/>
      <c r="D222" s="1975"/>
      <c r="E222" s="1975"/>
      <c r="F222" s="1982"/>
      <c r="G222" s="1976">
        <v>52</v>
      </c>
      <c r="H222" s="1965" t="s">
        <v>1178</v>
      </c>
      <c r="I222" s="1977"/>
    </row>
    <row r="223" spans="2:9">
      <c r="B223" s="73" t="s">
        <v>360</v>
      </c>
    </row>
  </sheetData>
  <mergeCells count="76">
    <mergeCell ref="B217:F217"/>
    <mergeCell ref="B219:F219"/>
    <mergeCell ref="B215:F215"/>
    <mergeCell ref="B216:F216"/>
    <mergeCell ref="B200:F200"/>
    <mergeCell ref="B205:F205"/>
    <mergeCell ref="B206:F206"/>
    <mergeCell ref="B207:F207"/>
    <mergeCell ref="B211:F211"/>
    <mergeCell ref="B209:F209"/>
    <mergeCell ref="B210:F210"/>
    <mergeCell ref="B212:F212"/>
    <mergeCell ref="B213:F213"/>
    <mergeCell ref="B214:F214"/>
    <mergeCell ref="B201:F201"/>
    <mergeCell ref="B202:F202"/>
    <mergeCell ref="B203:F203"/>
    <mergeCell ref="B204:F204"/>
    <mergeCell ref="B208:F208"/>
    <mergeCell ref="C151:G151"/>
    <mergeCell ref="H151:I151"/>
    <mergeCell ref="H195:I195"/>
    <mergeCell ref="A164:B165"/>
    <mergeCell ref="C164:C165"/>
    <mergeCell ref="D164:H164"/>
    <mergeCell ref="C136:G136"/>
    <mergeCell ref="H136:I136"/>
    <mergeCell ref="B85:B86"/>
    <mergeCell ref="C85:G85"/>
    <mergeCell ref="H85:I85"/>
    <mergeCell ref="B99:B100"/>
    <mergeCell ref="C99:G99"/>
    <mergeCell ref="H99:I99"/>
    <mergeCell ref="C112:G112"/>
    <mergeCell ref="H112:I112"/>
    <mergeCell ref="B124:B125"/>
    <mergeCell ref="C124:G124"/>
    <mergeCell ref="H124:I124"/>
    <mergeCell ref="B57:B58"/>
    <mergeCell ref="C57:G57"/>
    <mergeCell ref="H57:I57"/>
    <mergeCell ref="B71:B72"/>
    <mergeCell ref="C71:G71"/>
    <mergeCell ref="H71:I71"/>
    <mergeCell ref="B29:B30"/>
    <mergeCell ref="C29:G29"/>
    <mergeCell ref="H29:I29"/>
    <mergeCell ref="B43:B44"/>
    <mergeCell ref="C43:G43"/>
    <mergeCell ref="H43:I43"/>
    <mergeCell ref="B3:B4"/>
    <mergeCell ref="C3:G3"/>
    <mergeCell ref="H3:I3"/>
    <mergeCell ref="B17:B18"/>
    <mergeCell ref="C17:G17"/>
    <mergeCell ref="H17:I17"/>
    <mergeCell ref="D165:F165"/>
    <mergeCell ref="G165:H165"/>
    <mergeCell ref="A166:A183"/>
    <mergeCell ref="B166:B173"/>
    <mergeCell ref="D171:F171"/>
    <mergeCell ref="D172:F172"/>
    <mergeCell ref="D173:F173"/>
    <mergeCell ref="B174:B179"/>
    <mergeCell ref="D177:F177"/>
    <mergeCell ref="D178:F178"/>
    <mergeCell ref="D179:F179"/>
    <mergeCell ref="B180:B183"/>
    <mergeCell ref="A184:B187"/>
    <mergeCell ref="A188:B189"/>
    <mergeCell ref="A190:B194"/>
    <mergeCell ref="D190:F190"/>
    <mergeCell ref="D191:F191"/>
    <mergeCell ref="D192:F192"/>
    <mergeCell ref="D193:F193"/>
    <mergeCell ref="D194:F194"/>
  </mergeCells>
  <phoneticPr fontId="52" type="noConversion"/>
  <pageMargins left="0.70866141732283472" right="0.70866141732283472" top="0.74803149606299213" bottom="0.74803149606299213" header="0.31496062992125984" footer="0.31496062992125984"/>
  <pageSetup paperSize="9" scale="45" firstPageNumber="6" orientation="portrait" r:id="rId1"/>
  <headerFooter>
    <oddFooter>&amp;L&amp;8Bulletin trimestriel de conjoncture, 4e trimestre 2023</oddFooter>
  </headerFooter>
  <rowBreaks count="3" manualBreakCount="3">
    <brk id="81" max="8" man="1"/>
    <brk id="81" min="9" max="18" man="1"/>
    <brk id="132" max="8" man="1"/>
  </rowBreaks>
  <colBreaks count="1" manualBreakCount="1">
    <brk id="9"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tabColor rgb="FFFF0000"/>
  </sheetPr>
  <dimension ref="A1:J112"/>
  <sheetViews>
    <sheetView view="pageBreakPreview" topLeftCell="A45" zoomScaleSheetLayoutView="100" workbookViewId="0">
      <selection activeCell="K50" sqref="K50"/>
    </sheetView>
  </sheetViews>
  <sheetFormatPr baseColWidth="10" defaultRowHeight="12.3"/>
  <cols>
    <col min="1" max="1" width="21.1640625" customWidth="1"/>
  </cols>
  <sheetData>
    <row r="1" spans="1:8" ht="17.7">
      <c r="A1" s="2048" t="s">
        <v>690</v>
      </c>
      <c r="B1" s="2048"/>
      <c r="C1" s="2048"/>
      <c r="D1" s="2048"/>
      <c r="E1" s="2048"/>
      <c r="F1" s="2048"/>
      <c r="G1" s="2048"/>
      <c r="H1" s="2048"/>
    </row>
    <row r="2" spans="1:8">
      <c r="A2" s="415"/>
      <c r="B2" s="398"/>
      <c r="C2" s="398"/>
      <c r="D2" s="398"/>
      <c r="E2" s="398"/>
      <c r="F2" s="398"/>
      <c r="G2" s="398"/>
      <c r="H2" s="398"/>
    </row>
    <row r="3" spans="1:8">
      <c r="A3" s="86" t="s">
        <v>691</v>
      </c>
      <c r="B3" s="398"/>
      <c r="C3" s="398"/>
      <c r="D3" s="398"/>
      <c r="E3" s="398"/>
      <c r="F3" s="398"/>
      <c r="G3" s="398"/>
      <c r="H3" s="398"/>
    </row>
    <row r="4" spans="1:8">
      <c r="A4" s="86"/>
      <c r="B4" s="398"/>
      <c r="C4" s="398"/>
      <c r="D4" s="398"/>
      <c r="E4" s="398"/>
      <c r="F4" s="398"/>
      <c r="G4" s="398"/>
      <c r="H4" s="398"/>
    </row>
    <row r="5" spans="1:8">
      <c r="A5" s="415"/>
      <c r="B5" s="2079" t="s">
        <v>527</v>
      </c>
      <c r="C5" s="2080"/>
      <c r="D5" s="2080"/>
      <c r="E5" s="2080"/>
      <c r="F5" s="2081"/>
      <c r="G5" s="2064" t="s">
        <v>18</v>
      </c>
      <c r="H5" s="2065"/>
    </row>
    <row r="6" spans="1:8">
      <c r="A6" s="947"/>
      <c r="B6" s="783" t="str">
        <f>Base_Trimestrielle!FK40</f>
        <v>3T2021</v>
      </c>
      <c r="C6" s="911" t="str">
        <f>Base_Trimestrielle!FL40</f>
        <v>4T2021</v>
      </c>
      <c r="D6" s="911" t="str">
        <f>Base_Trimestrielle!FM40</f>
        <v>1T2022</v>
      </c>
      <c r="E6" s="681" t="str">
        <f>Base_Trimestrielle!FN40</f>
        <v>2T2022</v>
      </c>
      <c r="F6" s="682" t="str">
        <f>Base_Trimestrielle!FO40</f>
        <v>3T2022</v>
      </c>
      <c r="G6" s="466" t="s">
        <v>503</v>
      </c>
      <c r="H6" s="449" t="s">
        <v>20</v>
      </c>
    </row>
    <row r="7" spans="1:8">
      <c r="A7" s="1317" t="s">
        <v>692</v>
      </c>
      <c r="B7" s="948">
        <f>Base_Trimestrielle!FK44</f>
        <v>971</v>
      </c>
      <c r="C7" s="949">
        <f>Base_Trimestrielle!FL44</f>
        <v>1328</v>
      </c>
      <c r="D7" s="949">
        <f>Base_Trimestrielle!FM44</f>
        <v>2144</v>
      </c>
      <c r="E7" s="949">
        <f>Base_Trimestrielle!FN44</f>
        <v>3196.8326777759853</v>
      </c>
      <c r="F7" s="950">
        <f>Base_Trimestrielle!FO44</f>
        <v>1434</v>
      </c>
      <c r="G7" s="951">
        <f>+IF(E7=0,"",(F7/E7-1)*100)</f>
        <v>-55.143101171074619</v>
      </c>
      <c r="H7" s="1311">
        <f>+IF(B7=0,"",(F7/B7-1)*100)</f>
        <v>47.682801235839342</v>
      </c>
    </row>
    <row r="8" spans="1:8">
      <c r="A8" s="1318" t="s">
        <v>693</v>
      </c>
      <c r="B8" s="952">
        <f>Base_Trimestrielle!FK45</f>
        <v>1470</v>
      </c>
      <c r="C8" s="953">
        <f>Base_Trimestrielle!FL45</f>
        <v>1566</v>
      </c>
      <c r="D8" s="953">
        <f>Base_Trimestrielle!FM45</f>
        <v>1702</v>
      </c>
      <c r="E8" s="953">
        <f>Base_Trimestrielle!FN45</f>
        <v>1831.4810019026768</v>
      </c>
      <c r="F8" s="954">
        <f>Base_Trimestrielle!FO45</f>
        <v>1224</v>
      </c>
      <c r="G8" s="1312">
        <f>+IF(E8=0,"",(F8/E8-1)*100)</f>
        <v>-33.168839931813707</v>
      </c>
      <c r="H8" s="1313">
        <f>+IF(B8=0,"",(F8/B8-1)*100)</f>
        <v>-16.73469387755102</v>
      </c>
    </row>
    <row r="9" spans="1:8">
      <c r="A9" s="1319" t="s">
        <v>694</v>
      </c>
      <c r="B9" s="955">
        <f>Base_Trimestrielle!FK46</f>
        <v>0</v>
      </c>
      <c r="C9" s="956">
        <f>Base_Trimestrielle!FL46</f>
        <v>0</v>
      </c>
      <c r="D9" s="956">
        <f>Base_Trimestrielle!FM46</f>
        <v>0</v>
      </c>
      <c r="E9" s="956">
        <f>Base_Trimestrielle!FN46</f>
        <v>0</v>
      </c>
      <c r="F9" s="957">
        <f>Base_Trimestrielle!FO46</f>
        <v>0</v>
      </c>
      <c r="G9" s="1314" t="str">
        <f>+IF(E9=0,"",(F9/E9-1)*100)</f>
        <v/>
      </c>
      <c r="H9" s="1315" t="str">
        <f>+IF(B9=0,"",(F9/B9-1)*100)</f>
        <v/>
      </c>
    </row>
    <row r="10" spans="1:8">
      <c r="A10" s="1623" t="s">
        <v>128</v>
      </c>
      <c r="B10" s="1618">
        <f>+SUM(B7:B9)</f>
        <v>2441</v>
      </c>
      <c r="C10" s="1619">
        <f>+SUM(C7:C9)</f>
        <v>2894</v>
      </c>
      <c r="D10" s="1619">
        <f>+SUM(D7:D9)</f>
        <v>3846</v>
      </c>
      <c r="E10" s="1619">
        <f>+SUM(E7:E9)</f>
        <v>5028.3136796786621</v>
      </c>
      <c r="F10" s="1620">
        <f>+SUM(F7:F9)</f>
        <v>2658</v>
      </c>
      <c r="G10" s="1621">
        <f>+IF(E10=0,"",(F10/E10-1)*100)</f>
        <v>-47.139335981722972</v>
      </c>
      <c r="H10" s="1622">
        <f>+IF(B10=0,"",(F10/B10-1)*100)</f>
        <v>8.8897992625972968</v>
      </c>
    </row>
    <row r="11" spans="1:8">
      <c r="A11" s="962" t="s">
        <v>695</v>
      </c>
      <c r="B11" s="398"/>
      <c r="C11" s="398"/>
      <c r="D11" s="398"/>
      <c r="E11" s="398"/>
      <c r="F11" s="398"/>
      <c r="G11" s="398"/>
      <c r="H11" s="398"/>
    </row>
    <row r="12" spans="1:8">
      <c r="A12" s="962"/>
      <c r="B12" s="398"/>
      <c r="C12" s="398"/>
      <c r="D12" s="398"/>
      <c r="E12" s="398"/>
      <c r="F12" s="398"/>
      <c r="G12" s="398"/>
      <c r="H12" s="398"/>
    </row>
    <row r="13" spans="1:8">
      <c r="A13" s="86" t="s">
        <v>696</v>
      </c>
      <c r="B13" s="398"/>
      <c r="C13" s="398"/>
      <c r="D13" s="398"/>
      <c r="E13" s="398"/>
      <c r="F13" s="398"/>
      <c r="G13" s="398"/>
      <c r="H13" s="398"/>
    </row>
    <row r="14" spans="1:8">
      <c r="A14" s="86"/>
      <c r="B14" s="398"/>
      <c r="C14" s="398"/>
      <c r="D14" s="398"/>
      <c r="E14" s="398"/>
      <c r="F14" s="398"/>
      <c r="G14" s="398"/>
      <c r="H14" s="398"/>
    </row>
    <row r="15" spans="1:8">
      <c r="A15" s="415"/>
      <c r="B15" s="2079" t="s">
        <v>527</v>
      </c>
      <c r="C15" s="2080"/>
      <c r="D15" s="2080"/>
      <c r="E15" s="2080"/>
      <c r="F15" s="2081"/>
      <c r="G15" s="2064" t="s">
        <v>18</v>
      </c>
      <c r="H15" s="2065"/>
    </row>
    <row r="16" spans="1:8">
      <c r="A16" s="947"/>
      <c r="B16" s="783" t="str">
        <f>Base_Trimestrielle!FS40</f>
        <v>3T2021</v>
      </c>
      <c r="C16" s="911" t="str">
        <f>Base_Trimestrielle!FT40</f>
        <v>4T2021</v>
      </c>
      <c r="D16" s="911" t="str">
        <f>Base_Trimestrielle!FU40</f>
        <v>1T2022</v>
      </c>
      <c r="E16" s="681" t="str">
        <f>Base_Trimestrielle!FV40</f>
        <v>2T2022</v>
      </c>
      <c r="F16" s="682" t="str">
        <f>Base_Trimestrielle!FW40</f>
        <v>3T2022</v>
      </c>
      <c r="G16" s="466" t="s">
        <v>503</v>
      </c>
      <c r="H16" s="449" t="s">
        <v>20</v>
      </c>
    </row>
    <row r="17" spans="1:8">
      <c r="A17" s="1320" t="s">
        <v>697</v>
      </c>
      <c r="B17" s="948">
        <f>Base_Trimestrielle!FS44</f>
        <v>51</v>
      </c>
      <c r="C17" s="949">
        <f>Base_Trimestrielle!FT44</f>
        <v>55</v>
      </c>
      <c r="D17" s="949">
        <f>Base_Trimestrielle!FU44</f>
        <v>26</v>
      </c>
      <c r="E17" s="949">
        <f>Base_Trimestrielle!FV44</f>
        <v>20.165062388591799</v>
      </c>
      <c r="F17" s="950">
        <f>Base_Trimestrielle!FW44</f>
        <v>59</v>
      </c>
      <c r="G17" s="963">
        <f t="shared" ref="G17:G27" si="0">+IF(E17=0,"",(F17/E17-1)*100)</f>
        <v>192.58525891483833</v>
      </c>
      <c r="H17" s="1311">
        <f t="shared" ref="H17:H27" si="1">+IF(B17=0,"",(F17/B17-1)*100)</f>
        <v>15.686274509803933</v>
      </c>
    </row>
    <row r="18" spans="1:8">
      <c r="A18" s="1289" t="s">
        <v>698</v>
      </c>
      <c r="B18" s="952">
        <f>Base_Trimestrielle!FS45</f>
        <v>815</v>
      </c>
      <c r="C18" s="953">
        <f>Base_Trimestrielle!FT45</f>
        <v>972</v>
      </c>
      <c r="D18" s="953">
        <f>Base_Trimestrielle!FU45</f>
        <v>897</v>
      </c>
      <c r="E18" s="953">
        <f>Base_Trimestrielle!FV45</f>
        <v>948.79167802772099</v>
      </c>
      <c r="F18" s="954">
        <f>Base_Trimestrielle!FW45</f>
        <v>812</v>
      </c>
      <c r="G18" s="1312">
        <f t="shared" si="0"/>
        <v>-14.41746183019581</v>
      </c>
      <c r="H18" s="1313">
        <f t="shared" si="1"/>
        <v>-0.36809815950920033</v>
      </c>
    </row>
    <row r="19" spans="1:8">
      <c r="A19" s="1319" t="s">
        <v>699</v>
      </c>
      <c r="B19" s="955">
        <f>Base_Trimestrielle!FS46</f>
        <v>982</v>
      </c>
      <c r="C19" s="956">
        <f>Base_Trimestrielle!FT46</f>
        <v>1068</v>
      </c>
      <c r="D19" s="956">
        <f>Base_Trimestrielle!FU46</f>
        <v>1595</v>
      </c>
      <c r="E19" s="956">
        <f>Base_Trimestrielle!FV46</f>
        <v>2058.3650989343769</v>
      </c>
      <c r="F19" s="957">
        <f>Base_Trimestrielle!FW46</f>
        <v>996</v>
      </c>
      <c r="G19" s="1314">
        <f t="shared" si="0"/>
        <v>-51.61208278766324</v>
      </c>
      <c r="H19" s="1315">
        <f t="shared" si="1"/>
        <v>1.4256619144602745</v>
      </c>
    </row>
    <row r="20" spans="1:8">
      <c r="A20" s="1289" t="s">
        <v>700</v>
      </c>
      <c r="B20" s="952">
        <f>Base_Trimestrielle!FS47</f>
        <v>382</v>
      </c>
      <c r="C20" s="953">
        <f>Base_Trimestrielle!FT47</f>
        <v>540</v>
      </c>
      <c r="D20" s="953">
        <f>Base_Trimestrielle!FU47</f>
        <v>885</v>
      </c>
      <c r="E20" s="953">
        <f>Base_Trimestrielle!FV47</f>
        <v>1350.7318935427572</v>
      </c>
      <c r="F20" s="954">
        <f>Base_Trimestrielle!FW47</f>
        <v>520</v>
      </c>
      <c r="G20" s="1312">
        <f t="shared" si="0"/>
        <v>-61.502352725519657</v>
      </c>
      <c r="H20" s="1313">
        <f t="shared" si="1"/>
        <v>36.125654450261791</v>
      </c>
    </row>
    <row r="21" spans="1:8">
      <c r="A21" s="1319" t="s">
        <v>701</v>
      </c>
      <c r="B21" s="955">
        <f>Base_Trimestrielle!FS48</f>
        <v>156</v>
      </c>
      <c r="C21" s="956">
        <f>Base_Trimestrielle!FT48</f>
        <v>199</v>
      </c>
      <c r="D21" s="956">
        <f>Base_Trimestrielle!FU48</f>
        <v>334</v>
      </c>
      <c r="E21" s="956">
        <f>Base_Trimestrielle!FV48</f>
        <v>493.32350856848342</v>
      </c>
      <c r="F21" s="957">
        <f>Base_Trimestrielle!FW48</f>
        <v>194</v>
      </c>
      <c r="G21" s="1314">
        <f t="shared" si="0"/>
        <v>-60.674892513647805</v>
      </c>
      <c r="H21" s="1315">
        <f t="shared" si="1"/>
        <v>24.358974358974361</v>
      </c>
    </row>
    <row r="22" spans="1:8">
      <c r="A22" s="1289" t="s">
        <v>702</v>
      </c>
      <c r="B22" s="952">
        <f>Base_Trimestrielle!FS49</f>
        <v>36</v>
      </c>
      <c r="C22" s="953">
        <f>Base_Trimestrielle!FT49</f>
        <v>42</v>
      </c>
      <c r="D22" s="953">
        <f>Base_Trimestrielle!FU49</f>
        <v>85</v>
      </c>
      <c r="E22" s="953">
        <f>Base_Trimestrielle!FV49</f>
        <v>135.5952380952381</v>
      </c>
      <c r="F22" s="954">
        <f>Base_Trimestrielle!FW49</f>
        <v>42</v>
      </c>
      <c r="G22" s="1312">
        <f t="shared" si="0"/>
        <v>-69.025460930640918</v>
      </c>
      <c r="H22" s="1313">
        <f t="shared" si="1"/>
        <v>16.666666666666675</v>
      </c>
    </row>
    <row r="23" spans="1:8">
      <c r="A23" s="1319" t="s">
        <v>703</v>
      </c>
      <c r="B23" s="955">
        <f>Base_Trimestrielle!FS50</f>
        <v>13</v>
      </c>
      <c r="C23" s="956">
        <f>Base_Trimestrielle!FT50</f>
        <v>15</v>
      </c>
      <c r="D23" s="956">
        <f>Base_Trimestrielle!FU50</f>
        <v>15</v>
      </c>
      <c r="E23" s="956">
        <f>Base_Trimestrielle!FV50</f>
        <v>16.153846153846153</v>
      </c>
      <c r="F23" s="957">
        <f>Base_Trimestrielle!FW50</f>
        <v>17</v>
      </c>
      <c r="G23" s="1314">
        <f t="shared" si="0"/>
        <v>5.2380952380952417</v>
      </c>
      <c r="H23" s="1315">
        <f t="shared" si="1"/>
        <v>30.76923076923077</v>
      </c>
    </row>
    <row r="24" spans="1:8">
      <c r="A24" s="1289" t="s">
        <v>704</v>
      </c>
      <c r="B24" s="952">
        <f>Base_Trimestrielle!FS51</f>
        <v>3</v>
      </c>
      <c r="C24" s="953">
        <f>Base_Trimestrielle!FT51</f>
        <v>2</v>
      </c>
      <c r="D24" s="953">
        <f>Base_Trimestrielle!FU51</f>
        <v>3</v>
      </c>
      <c r="E24" s="953">
        <f>Base_Trimestrielle!FV51</f>
        <v>3.25</v>
      </c>
      <c r="F24" s="954">
        <f>Base_Trimestrielle!FW51</f>
        <v>14</v>
      </c>
      <c r="G24" s="1312">
        <f t="shared" si="0"/>
        <v>330.76923076923077</v>
      </c>
      <c r="H24" s="1313">
        <f t="shared" si="1"/>
        <v>366.66666666666669</v>
      </c>
    </row>
    <row r="25" spans="1:8">
      <c r="A25" s="1319" t="s">
        <v>705</v>
      </c>
      <c r="B25" s="955">
        <f>Base_Trimestrielle!FS52</f>
        <v>3</v>
      </c>
      <c r="C25" s="956">
        <f>Base_Trimestrielle!FT52</f>
        <v>1</v>
      </c>
      <c r="D25" s="956">
        <f>Base_Trimestrielle!FU52</f>
        <v>6</v>
      </c>
      <c r="E25" s="956">
        <f>Base_Trimestrielle!FV52</f>
        <v>19</v>
      </c>
      <c r="F25" s="957">
        <f>Base_Trimestrielle!FW52</f>
        <v>4</v>
      </c>
      <c r="G25" s="1314">
        <f t="shared" si="0"/>
        <v>-78.94736842105263</v>
      </c>
      <c r="H25" s="1315">
        <f t="shared" si="1"/>
        <v>33.333333333333329</v>
      </c>
    </row>
    <row r="26" spans="1:8">
      <c r="A26" s="1321" t="s">
        <v>694</v>
      </c>
      <c r="B26" s="964">
        <f>Base_Trimestrielle!FS53</f>
        <v>0</v>
      </c>
      <c r="C26" s="965">
        <f>Base_Trimestrielle!FT53</f>
        <v>0</v>
      </c>
      <c r="D26" s="965">
        <f>Base_Trimestrielle!FU53</f>
        <v>0</v>
      </c>
      <c r="E26" s="965">
        <f>Base_Trimestrielle!FV53</f>
        <v>0</v>
      </c>
      <c r="F26" s="966">
        <f>Base_Trimestrielle!FW53</f>
        <v>0</v>
      </c>
      <c r="G26" s="1312" t="str">
        <f t="shared" si="0"/>
        <v/>
      </c>
      <c r="H26" s="1322" t="str">
        <f t="shared" si="1"/>
        <v/>
      </c>
    </row>
    <row r="27" spans="1:8">
      <c r="A27" s="1432" t="s">
        <v>128</v>
      </c>
      <c r="B27" s="958">
        <f>+SUM(B17:B26)</f>
        <v>2441</v>
      </c>
      <c r="C27" s="959">
        <f>+SUM(C17:C26)</f>
        <v>2894</v>
      </c>
      <c r="D27" s="959">
        <f>+SUM(D17:D26)</f>
        <v>3846</v>
      </c>
      <c r="E27" s="959">
        <f>+SUM(E17:E26)</f>
        <v>5045.3763257110149</v>
      </c>
      <c r="F27" s="960">
        <f>+SUM(F17:F26)</f>
        <v>2658</v>
      </c>
      <c r="G27" s="961">
        <f t="shared" si="0"/>
        <v>-47.318102190812816</v>
      </c>
      <c r="H27" s="1316">
        <f t="shared" si="1"/>
        <v>8.8897992625972968</v>
      </c>
    </row>
    <row r="28" spans="1:8">
      <c r="A28" s="1615" t="s">
        <v>695</v>
      </c>
      <c r="B28" s="1616"/>
      <c r="C28" s="1616"/>
      <c r="D28" s="1616"/>
      <c r="E28" s="1616"/>
      <c r="F28" s="1616"/>
      <c r="G28" s="1617"/>
      <c r="H28" s="1617"/>
    </row>
    <row r="29" spans="1:8">
      <c r="A29" s="415"/>
      <c r="B29" s="398"/>
      <c r="C29" s="398"/>
      <c r="D29" s="398"/>
      <c r="E29" s="398"/>
      <c r="F29" s="398"/>
      <c r="G29" s="398"/>
      <c r="H29" s="398"/>
    </row>
    <row r="30" spans="1:8">
      <c r="A30" s="86" t="s">
        <v>706</v>
      </c>
      <c r="B30" s="398"/>
      <c r="C30" s="398"/>
      <c r="D30" s="398"/>
      <c r="E30" s="398"/>
      <c r="F30" s="398"/>
      <c r="G30" s="398"/>
      <c r="H30" s="398"/>
    </row>
    <row r="31" spans="1:8">
      <c r="A31" s="86"/>
      <c r="B31" s="398"/>
      <c r="C31" s="398"/>
      <c r="D31" s="398"/>
      <c r="E31" s="398"/>
      <c r="F31" s="398"/>
      <c r="G31" s="398"/>
      <c r="H31" s="398"/>
    </row>
    <row r="32" spans="1:8">
      <c r="A32" s="69"/>
      <c r="B32" s="2079" t="s">
        <v>527</v>
      </c>
      <c r="C32" s="2080"/>
      <c r="D32" s="2080"/>
      <c r="E32" s="2080"/>
      <c r="F32" s="2081"/>
      <c r="G32" s="2064" t="s">
        <v>18</v>
      </c>
      <c r="H32" s="2065"/>
    </row>
    <row r="33" spans="1:8">
      <c r="A33" s="947"/>
      <c r="B33" s="783" t="str">
        <f>Base_Trimestrielle!GA40</f>
        <v>3T2021</v>
      </c>
      <c r="C33" s="911" t="str">
        <f>Base_Trimestrielle!GB40</f>
        <v>4T2021</v>
      </c>
      <c r="D33" s="911" t="str">
        <f>Base_Trimestrielle!GC40</f>
        <v>1T2022</v>
      </c>
      <c r="E33" s="681" t="str">
        <f>Base_Trimestrielle!GD40</f>
        <v>2T2022</v>
      </c>
      <c r="F33" s="682" t="str">
        <f>Base_Trimestrielle!GE40</f>
        <v>3T2022</v>
      </c>
      <c r="G33" s="466" t="s">
        <v>503</v>
      </c>
      <c r="H33" s="449" t="s">
        <v>20</v>
      </c>
    </row>
    <row r="34" spans="1:8">
      <c r="A34" s="1320" t="s">
        <v>707</v>
      </c>
      <c r="B34" s="948">
        <f>Base_Trimestrielle!GA44</f>
        <v>0</v>
      </c>
      <c r="C34" s="949">
        <f>Base_Trimestrielle!GB44</f>
        <v>4</v>
      </c>
      <c r="D34" s="949">
        <f>Base_Trimestrielle!GC44</f>
        <v>6</v>
      </c>
      <c r="E34" s="956">
        <f>Base_Trimestrielle!GD44</f>
        <v>0</v>
      </c>
      <c r="F34" s="950">
        <f>Base_Trimestrielle!GE44</f>
        <v>4</v>
      </c>
      <c r="G34" s="951" t="str">
        <f t="shared" ref="G34:G45" si="2">+IF(E34=0,"",(F34/E34-1)*100)</f>
        <v/>
      </c>
      <c r="H34" s="1311" t="str">
        <f t="shared" ref="H34:H45" si="3">+IF(B34=0,"",(F34/B34-1)*100)</f>
        <v/>
      </c>
    </row>
    <row r="35" spans="1:8">
      <c r="A35" s="1289" t="s">
        <v>708</v>
      </c>
      <c r="B35" s="952">
        <f>Base_Trimestrielle!GA45</f>
        <v>77</v>
      </c>
      <c r="C35" s="953">
        <f>Base_Trimestrielle!GB45</f>
        <v>110</v>
      </c>
      <c r="D35" s="953">
        <f>Base_Trimestrielle!GC45</f>
        <v>121</v>
      </c>
      <c r="E35" s="953">
        <f>Base_Trimestrielle!GD45</f>
        <v>152.97857142857143</v>
      </c>
      <c r="F35" s="954">
        <f>Base_Trimestrielle!GE45</f>
        <v>128</v>
      </c>
      <c r="G35" s="1312">
        <f>+IF(E35=0,"",(F35/E35-1)*100)</f>
        <v>-16.328150534622033</v>
      </c>
      <c r="H35" s="1313">
        <f t="shared" si="3"/>
        <v>66.233766233766247</v>
      </c>
    </row>
    <row r="36" spans="1:8">
      <c r="A36" s="1319" t="s">
        <v>709</v>
      </c>
      <c r="B36" s="955">
        <f>Base_Trimestrielle!GA46</f>
        <v>200</v>
      </c>
      <c r="C36" s="956">
        <f>Base_Trimestrielle!GB46</f>
        <v>277</v>
      </c>
      <c r="D36" s="956">
        <f>Base_Trimestrielle!GC46</f>
        <v>268</v>
      </c>
      <c r="E36" s="956">
        <f>Base_Trimestrielle!GD46</f>
        <v>315.23620938628164</v>
      </c>
      <c r="F36" s="957">
        <f>Base_Trimestrielle!GE46</f>
        <v>285</v>
      </c>
      <c r="G36" s="1314">
        <f t="shared" si="2"/>
        <v>-9.591604164111434</v>
      </c>
      <c r="H36" s="1315">
        <f t="shared" si="3"/>
        <v>42.500000000000007</v>
      </c>
    </row>
    <row r="37" spans="1:8">
      <c r="A37" s="1289" t="s">
        <v>710</v>
      </c>
      <c r="B37" s="952">
        <f>Base_Trimestrielle!GA47</f>
        <v>76</v>
      </c>
      <c r="C37" s="953">
        <f>Base_Trimestrielle!GB47</f>
        <v>81</v>
      </c>
      <c r="D37" s="953">
        <f>Base_Trimestrielle!GC47</f>
        <v>162</v>
      </c>
      <c r="E37" s="953">
        <f>Base_Trimestrielle!GD47</f>
        <v>248.32894736842107</v>
      </c>
      <c r="F37" s="954">
        <f>Base_Trimestrielle!GE47</f>
        <v>80</v>
      </c>
      <c r="G37" s="1312">
        <f t="shared" si="2"/>
        <v>-67.784665924866204</v>
      </c>
      <c r="H37" s="1313">
        <f t="shared" si="3"/>
        <v>5.2631578947368363</v>
      </c>
    </row>
    <row r="38" spans="1:8">
      <c r="A38" s="1319" t="s">
        <v>711</v>
      </c>
      <c r="B38" s="955">
        <f>Base_Trimestrielle!GA48</f>
        <v>515</v>
      </c>
      <c r="C38" s="956">
        <f>Base_Trimestrielle!GB48</f>
        <v>573</v>
      </c>
      <c r="D38" s="956">
        <f>Base_Trimestrielle!GC48</f>
        <v>817</v>
      </c>
      <c r="E38" s="956">
        <f>Base_Trimestrielle!GD48</f>
        <v>1036.9569596231722</v>
      </c>
      <c r="F38" s="957">
        <f>Base_Trimestrielle!GE48</f>
        <v>629</v>
      </c>
      <c r="G38" s="1314">
        <f t="shared" si="2"/>
        <v>-39.341744692221639</v>
      </c>
      <c r="H38" s="1315">
        <f t="shared" si="3"/>
        <v>22.135922330097092</v>
      </c>
    </row>
    <row r="39" spans="1:8">
      <c r="A39" s="1289" t="s">
        <v>712</v>
      </c>
      <c r="B39" s="952">
        <f>Base_Trimestrielle!GA49</f>
        <v>92</v>
      </c>
      <c r="C39" s="953">
        <f>Base_Trimestrielle!GB49</f>
        <v>123</v>
      </c>
      <c r="D39" s="953">
        <f>Base_Trimestrielle!GC49</f>
        <v>174</v>
      </c>
      <c r="E39" s="953">
        <f>Base_Trimestrielle!GD49</f>
        <v>239.38838812301165</v>
      </c>
      <c r="F39" s="954">
        <f>Base_Trimestrielle!GE49</f>
        <v>246</v>
      </c>
      <c r="G39" s="1312">
        <f t="shared" si="2"/>
        <v>2.7618766009614992</v>
      </c>
      <c r="H39" s="1313">
        <f t="shared" si="3"/>
        <v>167.39130434782606</v>
      </c>
    </row>
    <row r="40" spans="1:8">
      <c r="A40" s="1319" t="s">
        <v>713</v>
      </c>
      <c r="B40" s="955">
        <f>Base_Trimestrielle!GA50</f>
        <v>858</v>
      </c>
      <c r="C40" s="956">
        <f>Base_Trimestrielle!GB50</f>
        <v>1062</v>
      </c>
      <c r="D40" s="956">
        <f>Base_Trimestrielle!GC50</f>
        <v>1187</v>
      </c>
      <c r="E40" s="956">
        <f>Base_Trimestrielle!GD50</f>
        <v>1397.9682911250707</v>
      </c>
      <c r="F40" s="957">
        <f>Base_Trimestrielle!GE50</f>
        <v>727</v>
      </c>
      <c r="G40" s="1314">
        <f t="shared" si="2"/>
        <v>-47.995959234889526</v>
      </c>
      <c r="H40" s="1315">
        <f t="shared" si="3"/>
        <v>-15.268065268065268</v>
      </c>
    </row>
    <row r="41" spans="1:8">
      <c r="A41" s="1289" t="s">
        <v>714</v>
      </c>
      <c r="B41" s="952">
        <f>Base_Trimestrielle!GA51</f>
        <v>100</v>
      </c>
      <c r="C41" s="953">
        <f>Base_Trimestrielle!GB51</f>
        <v>109</v>
      </c>
      <c r="D41" s="953">
        <f>Base_Trimestrielle!GC51</f>
        <v>161</v>
      </c>
      <c r="E41" s="953">
        <f>Base_Trimestrielle!GD51</f>
        <v>206.64866972477066</v>
      </c>
      <c r="F41" s="954">
        <f>Base_Trimestrielle!GE51</f>
        <v>99</v>
      </c>
      <c r="G41" s="1312">
        <f t="shared" si="2"/>
        <v>-52.092602322649739</v>
      </c>
      <c r="H41" s="1313">
        <f t="shared" si="3"/>
        <v>-1.0000000000000009</v>
      </c>
    </row>
    <row r="42" spans="1:8">
      <c r="A42" s="1319" t="s">
        <v>715</v>
      </c>
      <c r="B42" s="955">
        <f>Base_Trimestrielle!GA52</f>
        <v>23</v>
      </c>
      <c r="C42" s="956">
        <f>Base_Trimestrielle!GB52</f>
        <v>20</v>
      </c>
      <c r="D42" s="956">
        <f>Base_Trimestrielle!GC52</f>
        <v>16</v>
      </c>
      <c r="E42" s="956">
        <f>Base_Trimestrielle!GD52</f>
        <v>13.356521739130436</v>
      </c>
      <c r="F42" s="957">
        <f>Base_Trimestrielle!GE52</f>
        <v>10</v>
      </c>
      <c r="G42" s="1314">
        <f t="shared" si="2"/>
        <v>-25.130208333333336</v>
      </c>
      <c r="H42" s="1315">
        <f t="shared" si="3"/>
        <v>-56.521739130434788</v>
      </c>
    </row>
    <row r="43" spans="1:8">
      <c r="A43" s="1289" t="s">
        <v>716</v>
      </c>
      <c r="B43" s="952">
        <f>Base_Trimestrielle!GA53</f>
        <v>414</v>
      </c>
      <c r="C43" s="953">
        <f>Base_Trimestrielle!GB53</f>
        <v>439</v>
      </c>
      <c r="D43" s="953">
        <f>Base_Trimestrielle!GC53</f>
        <v>731</v>
      </c>
      <c r="E43" s="953">
        <f>Base_Trimestrielle!GD53</f>
        <v>996.18287335072023</v>
      </c>
      <c r="F43" s="954">
        <f>Base_Trimestrielle!GE53</f>
        <v>360</v>
      </c>
      <c r="G43" s="1312">
        <f t="shared" si="2"/>
        <v>-63.862056894321164</v>
      </c>
      <c r="H43" s="1313">
        <f t="shared" si="3"/>
        <v>-13.043478260869568</v>
      </c>
    </row>
    <row r="44" spans="1:8">
      <c r="A44" s="1319" t="s">
        <v>694</v>
      </c>
      <c r="B44" s="1439">
        <f>Base_Trimestrielle!GA54</f>
        <v>86</v>
      </c>
      <c r="C44" s="956">
        <f>Base_Trimestrielle!GB54</f>
        <v>96</v>
      </c>
      <c r="D44" s="956">
        <f>Base_Trimestrielle!GC54</f>
        <v>203</v>
      </c>
      <c r="E44" s="956">
        <f>Base_Trimestrielle!GD54</f>
        <v>327.93253391472865</v>
      </c>
      <c r="F44" s="957">
        <f>Base_Trimestrielle!GE54</f>
        <v>90</v>
      </c>
      <c r="G44" s="1314">
        <f t="shared" si="2"/>
        <v>-72.555330535334306</v>
      </c>
      <c r="H44" s="1315">
        <f t="shared" si="3"/>
        <v>4.6511627906976827</v>
      </c>
    </row>
    <row r="45" spans="1:8">
      <c r="A45" s="1292" t="s">
        <v>128</v>
      </c>
      <c r="B45" s="1618">
        <f>+SUM(B34:B44)</f>
        <v>2441</v>
      </c>
      <c r="C45" s="1619">
        <f>+SUM(C34:C44)</f>
        <v>2894</v>
      </c>
      <c r="D45" s="1619">
        <f>+SUM(D34:D44)</f>
        <v>3846</v>
      </c>
      <c r="E45" s="1619">
        <f>+SUM(E34:E44)</f>
        <v>4934.977965783879</v>
      </c>
      <c r="F45" s="1620">
        <f>+SUM(F34:F44)</f>
        <v>2658</v>
      </c>
      <c r="G45" s="1621">
        <f t="shared" si="2"/>
        <v>-46.139577148490886</v>
      </c>
      <c r="H45" s="1622">
        <f t="shared" si="3"/>
        <v>8.8897992625972968</v>
      </c>
    </row>
    <row r="46" spans="1:8">
      <c r="A46" s="962" t="s">
        <v>695</v>
      </c>
      <c r="B46" s="398"/>
      <c r="C46" s="398"/>
      <c r="D46" s="398"/>
      <c r="E46" s="398"/>
      <c r="F46" s="398"/>
      <c r="G46" s="398"/>
      <c r="H46" s="398"/>
    </row>
    <row r="47" spans="1:8">
      <c r="A47" s="962"/>
      <c r="B47" s="398"/>
      <c r="C47" s="398"/>
      <c r="D47" s="398"/>
      <c r="E47" s="398"/>
      <c r="F47" s="398"/>
      <c r="G47" s="398"/>
      <c r="H47" s="398"/>
    </row>
    <row r="48" spans="1:8">
      <c r="A48" s="415"/>
      <c r="B48" s="398"/>
      <c r="C48" s="398"/>
      <c r="D48" s="398"/>
      <c r="E48" s="398"/>
      <c r="F48" s="398"/>
      <c r="G48" s="398"/>
      <c r="H48" s="398"/>
    </row>
    <row r="49" spans="1:10">
      <c r="A49" s="86" t="s">
        <v>717</v>
      </c>
      <c r="B49" s="69"/>
      <c r="C49" s="69"/>
      <c r="D49" s="69"/>
      <c r="E49" s="69"/>
      <c r="F49" s="69"/>
      <c r="G49" s="69"/>
      <c r="H49" s="69"/>
    </row>
    <row r="50" spans="1:10">
      <c r="A50" s="86"/>
      <c r="B50" s="69"/>
      <c r="C50" s="69"/>
      <c r="D50" s="69"/>
      <c r="E50" s="69"/>
      <c r="F50" s="69"/>
      <c r="G50" s="69"/>
      <c r="H50" s="69"/>
    </row>
    <row r="51" spans="1:10">
      <c r="A51" s="967"/>
      <c r="B51" s="2064" t="s">
        <v>12</v>
      </c>
      <c r="C51" s="2063"/>
      <c r="D51" s="2063"/>
      <c r="E51" s="2063"/>
      <c r="F51" s="2065"/>
      <c r="G51" s="2064" t="s">
        <v>18</v>
      </c>
      <c r="H51" s="2065"/>
    </row>
    <row r="52" spans="1:10">
      <c r="A52" s="968"/>
      <c r="B52" s="144">
        <f>Base_Mensuelle!RQ6</f>
        <v>44440</v>
      </c>
      <c r="C52" s="518">
        <f>Base_Mensuelle!RR6</f>
        <v>44713</v>
      </c>
      <c r="D52" s="518">
        <f>Base_Mensuelle!RS6</f>
        <v>44743</v>
      </c>
      <c r="E52" s="518">
        <f>Base_Mensuelle!RT6</f>
        <v>44774</v>
      </c>
      <c r="F52" s="519">
        <f>Base_Mensuelle!RU6</f>
        <v>44805</v>
      </c>
      <c r="G52" s="466" t="s">
        <v>19</v>
      </c>
      <c r="H52" s="449" t="s">
        <v>20</v>
      </c>
      <c r="J52" s="85"/>
    </row>
    <row r="53" spans="1:10" ht="24.6">
      <c r="A53" s="1320" t="s">
        <v>718</v>
      </c>
      <c r="B53" s="1550">
        <f>Base_Mensuelle!RQ7</f>
        <v>814</v>
      </c>
      <c r="C53" s="956">
        <f>Base_Mensuelle!RR7</f>
        <v>451.28219795270263</v>
      </c>
      <c r="D53" s="956">
        <f>Base_Mensuelle!RS7</f>
        <v>68</v>
      </c>
      <c r="E53" s="956">
        <f>Base_Mensuelle!RT7</f>
        <v>100</v>
      </c>
      <c r="F53" s="957">
        <f>Base_Mensuelle!RU7</f>
        <v>328</v>
      </c>
      <c r="G53" s="1314">
        <f>+IF(E53=0,"",(F53/E53-1)*100)</f>
        <v>227.99999999999997</v>
      </c>
      <c r="H53" s="1315">
        <f>+IF(B53=0,"",(F53/B53-1)*100)</f>
        <v>-59.705159705159701</v>
      </c>
      <c r="I53" s="85"/>
      <c r="J53" s="1931"/>
    </row>
    <row r="54" spans="1:10">
      <c r="A54" s="1321" t="s">
        <v>719</v>
      </c>
      <c r="B54" s="964">
        <f>Base_Mensuelle!RQ8</f>
        <v>175</v>
      </c>
      <c r="C54" s="965">
        <f>Base_Mensuelle!RR8</f>
        <v>116.71668263660345</v>
      </c>
      <c r="D54" s="965">
        <f>Base_Mensuelle!RS8</f>
        <v>95</v>
      </c>
      <c r="E54" s="965">
        <f>Base_Mensuelle!RT8</f>
        <v>188</v>
      </c>
      <c r="F54" s="966">
        <f>Base_Mensuelle!RU8</f>
        <v>109</v>
      </c>
      <c r="G54" s="969">
        <f>+IF(E54=0,"",(F54/E54-1)*100)</f>
        <v>-42.021276595744681</v>
      </c>
      <c r="H54" s="1322">
        <f>+IF(B54=0,"",(F54/B54-1)*100)</f>
        <v>-37.714285714285708</v>
      </c>
    </row>
    <row r="55" spans="1:10">
      <c r="A55" s="962" t="s">
        <v>695</v>
      </c>
      <c r="B55" s="69"/>
      <c r="C55" s="69"/>
      <c r="D55" s="69"/>
      <c r="E55" s="69"/>
      <c r="F55" s="69"/>
      <c r="G55" s="69"/>
      <c r="H55" s="69"/>
    </row>
    <row r="56" spans="1:10">
      <c r="A56" s="962"/>
      <c r="B56" s="69"/>
      <c r="C56" s="69"/>
      <c r="D56" s="69"/>
      <c r="E56" s="69"/>
      <c r="F56" s="69"/>
      <c r="G56" s="1914"/>
      <c r="H56" s="69"/>
    </row>
    <row r="57" spans="1:10">
      <c r="A57" s="86" t="s">
        <v>1042</v>
      </c>
      <c r="B57" s="69"/>
      <c r="C57" s="69"/>
      <c r="D57" s="69"/>
      <c r="E57" s="69"/>
      <c r="F57" s="69"/>
      <c r="G57" s="69"/>
      <c r="H57" s="69"/>
    </row>
    <row r="58" spans="1:10">
      <c r="A58" s="962"/>
      <c r="B58" s="69"/>
      <c r="C58" s="69"/>
      <c r="D58" s="69"/>
      <c r="E58" s="69"/>
      <c r="F58" s="69"/>
      <c r="G58" s="69"/>
      <c r="H58" s="69"/>
    </row>
    <row r="59" spans="1:10">
      <c r="A59" s="967"/>
      <c r="B59" s="2064" t="s">
        <v>12</v>
      </c>
      <c r="C59" s="2063"/>
      <c r="D59" s="2063"/>
      <c r="E59" s="2063"/>
      <c r="F59" s="2065"/>
      <c r="G59" s="2064" t="s">
        <v>18</v>
      </c>
      <c r="H59" s="2065"/>
    </row>
    <row r="60" spans="1:10">
      <c r="A60" s="968"/>
      <c r="B60" s="144">
        <f>Base_Mensuelle!RQ11</f>
        <v>44896</v>
      </c>
      <c r="C60" s="518">
        <f>Base_Mensuelle!RR11</f>
        <v>45170</v>
      </c>
      <c r="D60" s="518">
        <f>Base_Mensuelle!RS11</f>
        <v>45200</v>
      </c>
      <c r="E60" s="518">
        <f>Base_Mensuelle!RT11</f>
        <v>45231</v>
      </c>
      <c r="F60" s="519">
        <f>Base_Mensuelle!RU11</f>
        <v>45261</v>
      </c>
      <c r="G60" s="466" t="s">
        <v>19</v>
      </c>
      <c r="H60" s="449" t="s">
        <v>20</v>
      </c>
    </row>
    <row r="61" spans="1:10" ht="24.6">
      <c r="A61" s="1320" t="s">
        <v>718</v>
      </c>
      <c r="B61" s="1550">
        <f>Base_Mensuelle!RQ13</f>
        <v>1482</v>
      </c>
      <c r="C61" s="1550">
        <f>Base_Mensuelle!RR13</f>
        <v>1627</v>
      </c>
      <c r="D61" s="1550">
        <f>Base_Mensuelle!RS13</f>
        <v>2101</v>
      </c>
      <c r="E61" s="1550">
        <f>Base_Mensuelle!RT13</f>
        <v>2665</v>
      </c>
      <c r="F61" s="1550">
        <f>Base_Mensuelle!RU13</f>
        <v>2435</v>
      </c>
      <c r="G61" s="1314">
        <f>+IF(E61=0,"",(F61/C61-1)*100)</f>
        <v>49.661954517516889</v>
      </c>
      <c r="H61" s="1315">
        <f>+IF(B61=0,"",(F61/B61-1)*100)</f>
        <v>64.304993252361669</v>
      </c>
    </row>
    <row r="62" spans="1:10" ht="24.6">
      <c r="A62" s="1321" t="s">
        <v>1052</v>
      </c>
      <c r="B62" s="964">
        <f>Base_Mensuelle!RQ14</f>
        <v>42</v>
      </c>
      <c r="C62" s="964">
        <f>Base_Mensuelle!RR14</f>
        <v>37</v>
      </c>
      <c r="D62" s="964">
        <f>Base_Mensuelle!RS14</f>
        <v>38</v>
      </c>
      <c r="E62" s="964">
        <f>Base_Mensuelle!RT14</f>
        <v>31</v>
      </c>
      <c r="F62" s="964">
        <f>Base_Mensuelle!RU14</f>
        <v>35</v>
      </c>
      <c r="G62" s="969">
        <f>+IF(E62=0,"",(F62/C62-1)*100)</f>
        <v>-5.4054054054054053</v>
      </c>
      <c r="H62" s="1322">
        <f>+IF(B62=0,"",(F62/B62-1)*100)</f>
        <v>-16.666666666666664</v>
      </c>
    </row>
    <row r="63" spans="1:10">
      <c r="A63" s="1775" t="s">
        <v>1051</v>
      </c>
      <c r="B63" s="69"/>
      <c r="C63" s="69"/>
      <c r="D63" s="69"/>
      <c r="E63" s="69"/>
      <c r="F63" s="69"/>
      <c r="G63" s="69"/>
      <c r="H63" s="69"/>
    </row>
    <row r="64" spans="1:10">
      <c r="A64" s="1775"/>
      <c r="B64" s="69"/>
      <c r="C64" s="69"/>
      <c r="D64" s="69"/>
      <c r="E64" s="69"/>
      <c r="F64" s="69"/>
      <c r="G64" s="69"/>
      <c r="H64" s="69"/>
    </row>
    <row r="65" spans="1:8">
      <c r="A65" s="86" t="s">
        <v>1047</v>
      </c>
      <c r="B65" s="69"/>
      <c r="C65" s="69"/>
      <c r="D65" s="69"/>
      <c r="E65" s="69"/>
      <c r="F65" s="69"/>
      <c r="G65" s="69"/>
      <c r="H65" s="69"/>
    </row>
    <row r="66" spans="1:8">
      <c r="A66" s="962"/>
      <c r="B66" s="69"/>
      <c r="C66" s="69"/>
      <c r="D66" s="69"/>
      <c r="E66" s="69"/>
      <c r="F66" s="69"/>
      <c r="G66" s="69"/>
      <c r="H66" s="69"/>
    </row>
    <row r="67" spans="1:8">
      <c r="A67" s="947"/>
      <c r="B67" s="680" t="str">
        <f>Base_Trimestrielle!GO27</f>
        <v>4T2022</v>
      </c>
      <c r="C67" s="911" t="str">
        <f>Base_Trimestrielle!GP27</f>
        <v>1T2023</v>
      </c>
      <c r="D67" s="911" t="str">
        <f>Base_Trimestrielle!GQ27</f>
        <v>2T2023</v>
      </c>
      <c r="E67" s="911" t="str">
        <f>Base_Trimestrielle!GR27</f>
        <v>3T2023</v>
      </c>
      <c r="F67" s="682" t="str">
        <f>Base_Trimestrielle!GS27</f>
        <v>4T2023</v>
      </c>
      <c r="G67" s="466" t="s">
        <v>503</v>
      </c>
      <c r="H67" s="449" t="s">
        <v>20</v>
      </c>
    </row>
    <row r="68" spans="1:8">
      <c r="A68" s="1323" t="s">
        <v>720</v>
      </c>
      <c r="B68" s="970">
        <f>Base_Trimestrielle!GO31</f>
        <v>4598</v>
      </c>
      <c r="C68" s="970">
        <f>Base_Trimestrielle!GP31</f>
        <v>3945</v>
      </c>
      <c r="D68" s="970">
        <f>Base_Trimestrielle!GQ31</f>
        <v>4810</v>
      </c>
      <c r="E68" s="970">
        <f>Base_Trimestrielle!GR31</f>
        <v>5572</v>
      </c>
      <c r="F68" s="971">
        <f>Base_Trimestrielle!GS31</f>
        <v>5847</v>
      </c>
      <c r="G68" s="407">
        <f>+IF(E68=0,"",(F68/E68-1)*100)</f>
        <v>4.9353912419239032</v>
      </c>
      <c r="H68" s="413">
        <f>+IF(B68=0,"",(F68/B68-1)*100)</f>
        <v>27.163984341017834</v>
      </c>
    </row>
    <row r="69" spans="1:8">
      <c r="A69" s="1587" t="s">
        <v>721</v>
      </c>
      <c r="B69" s="949">
        <f>Base_Trimestrielle!GO32</f>
        <v>2406</v>
      </c>
      <c r="C69" s="949">
        <f>Base_Trimestrielle!GP32</f>
        <v>2093</v>
      </c>
      <c r="D69" s="949">
        <f>Base_Trimestrielle!GQ32</f>
        <v>2400</v>
      </c>
      <c r="E69" s="956">
        <f>Base_Trimestrielle!GR32</f>
        <v>2803</v>
      </c>
      <c r="F69" s="950">
        <f>Base_Trimestrielle!GS32</f>
        <v>2711</v>
      </c>
      <c r="G69" s="951">
        <f>+IF(E69=0,"",(F69/E69-1)*100)</f>
        <v>-3.2821976453799473</v>
      </c>
      <c r="H69" s="1311">
        <f>+IF(B69=0,"",(F69/B69-1)*100)</f>
        <v>12.676641729010797</v>
      </c>
    </row>
    <row r="70" spans="1:8">
      <c r="A70" s="1323" t="s">
        <v>128</v>
      </c>
      <c r="B70" s="970">
        <f>B68+B69</f>
        <v>7004</v>
      </c>
      <c r="C70" s="970">
        <f>C68+C69</f>
        <v>6038</v>
      </c>
      <c r="D70" s="970">
        <f>D68+D69</f>
        <v>7210</v>
      </c>
      <c r="E70" s="970">
        <f>E68+E69</f>
        <v>8375</v>
      </c>
      <c r="F70" s="971">
        <f>F68+F69</f>
        <v>8558</v>
      </c>
      <c r="G70" s="407">
        <f>+IF(E70=0,"",(F70/E70-1)*100)</f>
        <v>2.1850746268656795</v>
      </c>
      <c r="H70" s="413">
        <f>+IF(B70=0,"",(F70/B70-1)*100)</f>
        <v>22.187321530553959</v>
      </c>
    </row>
    <row r="71" spans="1:8">
      <c r="A71" s="972" t="s">
        <v>722</v>
      </c>
      <c r="B71" s="69"/>
      <c r="C71" s="69"/>
      <c r="D71" s="69"/>
      <c r="E71" s="69"/>
      <c r="F71" s="69"/>
      <c r="G71" s="69"/>
      <c r="H71" s="398"/>
    </row>
    <row r="72" spans="1:8">
      <c r="A72" s="973"/>
      <c r="B72" s="69"/>
      <c r="C72" s="69"/>
      <c r="D72" s="69"/>
      <c r="E72" s="69"/>
      <c r="F72" s="69"/>
      <c r="G72" s="69"/>
      <c r="H72" s="398"/>
    </row>
    <row r="73" spans="1:8">
      <c r="A73" s="415"/>
      <c r="B73" s="398"/>
      <c r="C73" s="398"/>
      <c r="D73" s="398"/>
      <c r="E73" s="398"/>
      <c r="F73" s="398"/>
      <c r="G73" s="398"/>
      <c r="H73" s="398"/>
    </row>
    <row r="74" spans="1:8">
      <c r="A74" s="86" t="s">
        <v>1043</v>
      </c>
      <c r="B74" s="956"/>
      <c r="C74" s="956"/>
      <c r="D74" s="69"/>
      <c r="E74" s="69"/>
      <c r="F74" s="69"/>
      <c r="G74" s="69"/>
      <c r="H74" s="69"/>
    </row>
    <row r="75" spans="1:8">
      <c r="A75" s="86"/>
      <c r="B75" s="956"/>
      <c r="C75" s="956"/>
      <c r="D75" s="69"/>
      <c r="E75" s="69"/>
      <c r="F75" s="69"/>
      <c r="G75" s="69"/>
      <c r="H75" s="69"/>
    </row>
    <row r="76" spans="1:8">
      <c r="A76" s="967"/>
      <c r="B76" s="2079" t="s">
        <v>527</v>
      </c>
      <c r="C76" s="2080"/>
      <c r="D76" s="2080"/>
      <c r="E76" s="2080"/>
      <c r="F76" s="2081"/>
      <c r="G76" s="2064" t="s">
        <v>18</v>
      </c>
      <c r="H76" s="2065"/>
    </row>
    <row r="77" spans="1:8">
      <c r="A77" s="947"/>
      <c r="B77" s="680" t="str">
        <f>Base_Trimestrielle!GO40</f>
        <v>4T2022</v>
      </c>
      <c r="C77" s="911" t="str">
        <f>Base_Trimestrielle!GP40</f>
        <v>1T2023</v>
      </c>
      <c r="D77" s="911" t="str">
        <f>Base_Trimestrielle!GQ40</f>
        <v>2T2023</v>
      </c>
      <c r="E77" s="911" t="str">
        <f>Base_Trimestrielle!GR40</f>
        <v>3T2023</v>
      </c>
      <c r="F77" s="682" t="str">
        <f>Base_Trimestrielle!GS40</f>
        <v>4T2023</v>
      </c>
      <c r="G77" s="466" t="s">
        <v>503</v>
      </c>
      <c r="H77" s="449" t="s">
        <v>20</v>
      </c>
    </row>
    <row r="78" spans="1:8">
      <c r="A78" s="1323" t="s">
        <v>720</v>
      </c>
      <c r="B78" s="970">
        <f>Base_Trimestrielle!GO44</f>
        <v>30.91</v>
      </c>
      <c r="C78" s="970">
        <f>Base_Trimestrielle!GP44</f>
        <v>31.17</v>
      </c>
      <c r="D78" s="970">
        <f>Base_Trimestrielle!GQ44</f>
        <v>30.52</v>
      </c>
      <c r="E78" s="970">
        <f>Base_Trimestrielle!GR44</f>
        <v>30</v>
      </c>
      <c r="F78" s="971">
        <f>Base_Trimestrielle!GS44</f>
        <v>31</v>
      </c>
      <c r="G78" s="407">
        <f>+IF(E78=0,"",(F78/E78-1)*100)</f>
        <v>3.3333333333333437</v>
      </c>
      <c r="H78" s="413">
        <f>+IF(B78=0,"",(F78/B78-1)*100)</f>
        <v>0.29116790682626181</v>
      </c>
    </row>
    <row r="79" spans="1:8">
      <c r="A79" s="1587" t="s">
        <v>721</v>
      </c>
      <c r="B79" s="949">
        <f>Base_Trimestrielle!GO45</f>
        <v>30.29</v>
      </c>
      <c r="C79" s="949">
        <f>Base_Trimestrielle!GP45</f>
        <v>30.56</v>
      </c>
      <c r="D79" s="949">
        <f>Base_Trimestrielle!GQ45</f>
        <v>29.98</v>
      </c>
      <c r="E79" s="956">
        <f>Base_Trimestrielle!GR45</f>
        <v>29</v>
      </c>
      <c r="F79" s="950">
        <f>Base_Trimestrielle!GS45</f>
        <v>30</v>
      </c>
      <c r="G79" s="951">
        <f>+IF(E79=0,"",(F79/E79-1)*100)</f>
        <v>3.4482758620689724</v>
      </c>
      <c r="H79" s="1311">
        <f>+IF(B79=0,"",(F79/B79-1)*100)</f>
        <v>-0.95741168702542234</v>
      </c>
    </row>
    <row r="80" spans="1:8">
      <c r="A80" s="1323" t="s">
        <v>723</v>
      </c>
      <c r="B80" s="970">
        <f>AVERAGE(B78:B79)</f>
        <v>30.6</v>
      </c>
      <c r="C80" s="970">
        <f>AVERAGE(C78:C79)</f>
        <v>30.865000000000002</v>
      </c>
      <c r="D80" s="970">
        <f>AVERAGE(D78:D79)</f>
        <v>30.25</v>
      </c>
      <c r="E80" s="970">
        <f>AVERAGE(E78:E79)</f>
        <v>29.5</v>
      </c>
      <c r="F80" s="970">
        <f>AVERAGE(F78:F79)</f>
        <v>30.5</v>
      </c>
      <c r="G80" s="407">
        <f>+IF(E80=0,"",(F80/E80-1)*100)</f>
        <v>3.3898305084745672</v>
      </c>
      <c r="H80" s="413">
        <f>+IF(B80=0,"",(F80/B80-1)*100)</f>
        <v>-0.32679738562092497</v>
      </c>
    </row>
    <row r="81" spans="1:8">
      <c r="A81" s="972" t="s">
        <v>722</v>
      </c>
      <c r="B81" s="69"/>
      <c r="C81" s="69"/>
      <c r="D81" s="69"/>
      <c r="E81" s="69"/>
      <c r="F81" s="69"/>
      <c r="G81" s="69"/>
      <c r="H81" s="398"/>
    </row>
    <row r="82" spans="1:8">
      <c r="A82" s="415"/>
      <c r="B82" s="398"/>
      <c r="C82" s="398"/>
      <c r="D82" s="398"/>
      <c r="E82" s="398"/>
      <c r="F82" s="398"/>
      <c r="G82" s="398"/>
      <c r="H82" s="398"/>
    </row>
    <row r="83" spans="1:8">
      <c r="A83" s="415"/>
      <c r="B83" s="398"/>
      <c r="C83" s="398"/>
      <c r="D83" s="398"/>
      <c r="E83" s="398"/>
      <c r="F83" s="398"/>
      <c r="G83" s="398"/>
      <c r="H83" s="398"/>
    </row>
    <row r="84" spans="1:8">
      <c r="A84" s="415"/>
      <c r="B84" s="398"/>
      <c r="C84" s="398"/>
      <c r="D84" s="398"/>
      <c r="E84" s="398"/>
      <c r="F84" s="398"/>
      <c r="G84" s="398"/>
      <c r="H84" s="398"/>
    </row>
    <row r="85" spans="1:8">
      <c r="A85" s="415"/>
      <c r="B85" s="398"/>
      <c r="C85" s="398"/>
      <c r="D85" s="398"/>
      <c r="E85" s="398"/>
      <c r="F85" s="398"/>
      <c r="G85" s="398"/>
      <c r="H85" s="398"/>
    </row>
    <row r="86" spans="1:8">
      <c r="A86" s="415"/>
      <c r="B86" s="398"/>
      <c r="C86" s="398"/>
      <c r="D86" s="398"/>
      <c r="E86" s="398"/>
      <c r="F86" s="398"/>
      <c r="G86" s="398"/>
      <c r="H86" s="398"/>
    </row>
    <row r="87" spans="1:8">
      <c r="A87" s="415"/>
      <c r="B87" s="398"/>
      <c r="C87" s="398"/>
      <c r="D87" s="398"/>
      <c r="E87" s="398"/>
      <c r="F87" s="398"/>
      <c r="G87" s="398"/>
      <c r="H87" s="398"/>
    </row>
    <row r="88" spans="1:8">
      <c r="A88" s="415"/>
      <c r="B88" s="398"/>
      <c r="C88" s="398"/>
      <c r="D88" s="398"/>
      <c r="E88" s="398"/>
      <c r="F88" s="398"/>
      <c r="G88" s="398"/>
      <c r="H88" s="398"/>
    </row>
    <row r="89" spans="1:8">
      <c r="A89" s="415"/>
      <c r="B89" s="398"/>
      <c r="C89" s="398"/>
      <c r="D89" s="398"/>
      <c r="E89" s="398"/>
      <c r="F89" s="398"/>
      <c r="G89" s="398"/>
      <c r="H89" s="398"/>
    </row>
    <row r="90" spans="1:8">
      <c r="A90" s="415"/>
      <c r="B90" s="398"/>
      <c r="C90" s="398"/>
      <c r="D90" s="398"/>
      <c r="E90" s="398"/>
      <c r="F90" s="398"/>
      <c r="G90" s="398"/>
      <c r="H90" s="398"/>
    </row>
    <row r="91" spans="1:8">
      <c r="A91" s="415"/>
      <c r="B91" s="398"/>
      <c r="C91" s="398"/>
      <c r="D91" s="398"/>
      <c r="E91" s="398"/>
      <c r="F91" s="398"/>
      <c r="G91" s="398"/>
      <c r="H91" s="398"/>
    </row>
    <row r="92" spans="1:8">
      <c r="A92" s="415"/>
      <c r="B92" s="398"/>
      <c r="C92" s="398"/>
      <c r="D92" s="398"/>
      <c r="E92" s="398"/>
      <c r="F92" s="398"/>
      <c r="G92" s="398"/>
      <c r="H92" s="398"/>
    </row>
    <row r="93" spans="1:8">
      <c r="A93" s="415"/>
      <c r="B93" s="398"/>
      <c r="C93" s="398"/>
      <c r="D93" s="398"/>
      <c r="E93" s="398"/>
      <c r="F93" s="398"/>
      <c r="G93" s="398"/>
      <c r="H93" s="398"/>
    </row>
    <row r="94" spans="1:8">
      <c r="A94" s="415"/>
      <c r="B94" s="398"/>
      <c r="C94" s="398"/>
      <c r="D94" s="398"/>
      <c r="E94" s="398"/>
      <c r="F94" s="398"/>
      <c r="G94" s="398"/>
      <c r="H94" s="398"/>
    </row>
    <row r="95" spans="1:8">
      <c r="A95" s="415"/>
      <c r="B95" s="398"/>
      <c r="C95" s="398"/>
      <c r="D95" s="398"/>
      <c r="E95" s="398"/>
      <c r="F95" s="398"/>
      <c r="G95" s="398"/>
      <c r="H95" s="398"/>
    </row>
    <row r="96" spans="1:8">
      <c r="A96" s="415"/>
      <c r="B96" s="398"/>
      <c r="C96" s="398"/>
      <c r="D96" s="398"/>
      <c r="E96" s="398"/>
      <c r="F96" s="398"/>
      <c r="G96" s="398"/>
      <c r="H96" s="398"/>
    </row>
    <row r="97" spans="1:8">
      <c r="A97" s="415"/>
      <c r="B97" s="398"/>
      <c r="C97" s="398"/>
      <c r="D97" s="398"/>
      <c r="E97" s="398"/>
      <c r="F97" s="398"/>
      <c r="G97" s="398"/>
      <c r="H97" s="398"/>
    </row>
    <row r="98" spans="1:8">
      <c r="A98" s="415"/>
      <c r="B98" s="398"/>
      <c r="C98" s="398"/>
      <c r="D98" s="398"/>
      <c r="E98" s="398"/>
      <c r="F98" s="398"/>
      <c r="G98" s="398"/>
      <c r="H98" s="398"/>
    </row>
    <row r="99" spans="1:8">
      <c r="A99" s="415"/>
      <c r="B99" s="398"/>
      <c r="C99" s="398"/>
      <c r="D99" s="398"/>
      <c r="E99" s="398"/>
      <c r="F99" s="398"/>
      <c r="G99" s="398"/>
      <c r="H99" s="398"/>
    </row>
    <row r="100" spans="1:8">
      <c r="A100" s="415"/>
      <c r="B100" s="398"/>
      <c r="C100" s="398"/>
      <c r="D100" s="398"/>
      <c r="E100" s="398"/>
      <c r="F100" s="398"/>
      <c r="G100" s="398"/>
      <c r="H100" s="398"/>
    </row>
    <row r="101" spans="1:8">
      <c r="A101" s="415"/>
      <c r="B101" s="398"/>
      <c r="C101" s="398"/>
      <c r="D101" s="398"/>
      <c r="E101" s="398"/>
      <c r="F101" s="398"/>
      <c r="G101" s="398"/>
      <c r="H101" s="398"/>
    </row>
    <row r="102" spans="1:8">
      <c r="A102" s="415"/>
      <c r="B102" s="398"/>
      <c r="C102" s="398"/>
      <c r="D102" s="398"/>
      <c r="E102" s="398"/>
      <c r="F102" s="398"/>
      <c r="G102" s="398"/>
      <c r="H102" s="398"/>
    </row>
    <row r="103" spans="1:8">
      <c r="A103" s="415"/>
      <c r="B103" s="398"/>
      <c r="C103" s="398"/>
      <c r="D103" s="398"/>
      <c r="E103" s="398"/>
      <c r="F103" s="398"/>
      <c r="G103" s="398"/>
      <c r="H103" s="398"/>
    </row>
    <row r="104" spans="1:8">
      <c r="A104" s="415"/>
      <c r="B104" s="398"/>
      <c r="C104" s="398"/>
      <c r="D104" s="398"/>
      <c r="E104" s="398"/>
      <c r="F104" s="398"/>
      <c r="G104" s="398"/>
      <c r="H104" s="398"/>
    </row>
    <row r="105" spans="1:8">
      <c r="A105" s="415"/>
      <c r="B105" s="398"/>
      <c r="C105" s="398"/>
      <c r="D105" s="398"/>
      <c r="E105" s="398"/>
      <c r="F105" s="398"/>
      <c r="G105" s="398"/>
      <c r="H105" s="398"/>
    </row>
    <row r="106" spans="1:8">
      <c r="A106" s="415"/>
      <c r="B106" s="398"/>
      <c r="C106" s="398"/>
      <c r="D106" s="398"/>
      <c r="E106" s="398"/>
      <c r="F106" s="398"/>
      <c r="G106" s="398"/>
      <c r="H106" s="398"/>
    </row>
    <row r="107" spans="1:8">
      <c r="A107" s="415"/>
      <c r="B107" s="398"/>
      <c r="C107" s="398"/>
      <c r="D107" s="398"/>
      <c r="E107" s="398"/>
      <c r="F107" s="398"/>
      <c r="G107" s="398"/>
      <c r="H107" s="398"/>
    </row>
    <row r="108" spans="1:8">
      <c r="A108" s="415"/>
      <c r="B108" s="398"/>
      <c r="C108" s="398"/>
      <c r="D108" s="398"/>
      <c r="E108" s="398"/>
      <c r="F108" s="398"/>
      <c r="G108" s="398"/>
      <c r="H108" s="398"/>
    </row>
    <row r="109" spans="1:8">
      <c r="A109" s="415"/>
      <c r="B109" s="398"/>
      <c r="C109" s="398"/>
      <c r="D109" s="398"/>
      <c r="E109" s="398"/>
      <c r="F109" s="398"/>
      <c r="G109" s="398"/>
      <c r="H109" s="398"/>
    </row>
    <row r="110" spans="1:8">
      <c r="A110" s="415"/>
      <c r="B110" s="398"/>
      <c r="C110" s="398"/>
      <c r="D110" s="398"/>
      <c r="E110" s="398"/>
      <c r="F110" s="398"/>
      <c r="G110" s="398"/>
      <c r="H110" s="398"/>
    </row>
    <row r="111" spans="1:8">
      <c r="A111" s="415"/>
      <c r="B111" s="398"/>
      <c r="C111" s="398"/>
      <c r="D111" s="398"/>
      <c r="E111" s="398"/>
      <c r="F111" s="398"/>
      <c r="G111" s="398"/>
      <c r="H111" s="398"/>
    </row>
    <row r="112" spans="1:8">
      <c r="A112" s="415"/>
      <c r="B112" s="398"/>
      <c r="C112" s="398"/>
      <c r="D112" s="398"/>
      <c r="E112" s="398"/>
      <c r="F112" s="398"/>
      <c r="G112" s="398"/>
      <c r="H112" s="398"/>
    </row>
  </sheetData>
  <mergeCells count="13">
    <mergeCell ref="B51:F51"/>
    <mergeCell ref="G51:H51"/>
    <mergeCell ref="B76:F76"/>
    <mergeCell ref="G76:H76"/>
    <mergeCell ref="B59:F59"/>
    <mergeCell ref="G59:H59"/>
    <mergeCell ref="B32:F32"/>
    <mergeCell ref="G32:H32"/>
    <mergeCell ref="A1:H1"/>
    <mergeCell ref="B5:F5"/>
    <mergeCell ref="G5:H5"/>
    <mergeCell ref="B15:F15"/>
    <mergeCell ref="G15:H15"/>
  </mergeCells>
  <pageMargins left="0.70866141732283472" right="0.70866141732283472" top="0.74803149606299213" bottom="0.74803149606299213" header="0.31496062992125984" footer="0.31496062992125984"/>
  <pageSetup paperSize="9" scale="70" firstPageNumber="6" orientation="portrait" r:id="rId1"/>
  <headerFooter>
    <oddFooter>&amp;L&amp;8Bulletin trimestriel de conjoncture, 4e trimestre 2023</oddFooter>
  </headerFooter>
  <rowBreaks count="1" manualBreakCount="1">
    <brk id="63"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00B050"/>
  </sheetPr>
  <dimension ref="A1:C46"/>
  <sheetViews>
    <sheetView showGridLines="0" view="pageBreakPreview" topLeftCell="A6" zoomScaleSheetLayoutView="100" workbookViewId="0">
      <selection activeCell="K50" sqref="K50"/>
    </sheetView>
  </sheetViews>
  <sheetFormatPr baseColWidth="10" defaultColWidth="11.44140625" defaultRowHeight="16.2"/>
  <cols>
    <col min="1" max="1" width="77.44140625" style="1222" customWidth="1"/>
    <col min="2" max="2" width="4.71875" style="1223" bestFit="1" customWidth="1"/>
    <col min="3" max="16384" width="11.44140625" style="1222"/>
  </cols>
  <sheetData>
    <row r="1" spans="1:3">
      <c r="C1" s="1224"/>
    </row>
    <row r="2" spans="1:3" ht="16.5">
      <c r="A2" s="1546" t="s">
        <v>834</v>
      </c>
      <c r="B2" s="1223">
        <v>1</v>
      </c>
    </row>
    <row r="5" spans="1:3">
      <c r="A5" s="1222" t="s">
        <v>835</v>
      </c>
      <c r="B5" s="1223">
        <v>2</v>
      </c>
    </row>
    <row r="7" spans="1:3">
      <c r="A7" s="1222" t="s">
        <v>836</v>
      </c>
      <c r="B7" s="1223">
        <v>3</v>
      </c>
    </row>
    <row r="9" spans="1:3">
      <c r="A9" s="1222" t="s">
        <v>837</v>
      </c>
      <c r="B9" s="1223">
        <v>4</v>
      </c>
    </row>
    <row r="11" spans="1:3">
      <c r="A11" s="1222" t="s">
        <v>838</v>
      </c>
      <c r="B11" s="1223">
        <v>6</v>
      </c>
    </row>
    <row r="12" spans="1:3">
      <c r="A12" s="1222" t="s">
        <v>839</v>
      </c>
      <c r="B12" s="1223">
        <v>9</v>
      </c>
    </row>
    <row r="13" spans="1:3">
      <c r="A13" s="1222" t="s">
        <v>840</v>
      </c>
      <c r="B13" s="1223">
        <v>12</v>
      </c>
    </row>
    <row r="14" spans="1:3">
      <c r="A14" s="1222" t="s">
        <v>841</v>
      </c>
      <c r="B14" s="1223">
        <v>14</v>
      </c>
    </row>
    <row r="15" spans="1:3" ht="15" customHeight="1">
      <c r="A15" s="1225" t="s">
        <v>842</v>
      </c>
    </row>
    <row r="16" spans="1:3" ht="15" customHeight="1">
      <c r="A16" s="1225" t="s">
        <v>843</v>
      </c>
      <c r="B16" s="1223">
        <v>16</v>
      </c>
    </row>
    <row r="17" spans="1:2">
      <c r="A17" s="1222" t="s">
        <v>844</v>
      </c>
      <c r="B17" s="1223">
        <v>21</v>
      </c>
    </row>
    <row r="18" spans="1:2">
      <c r="A18" s="1222" t="s">
        <v>845</v>
      </c>
      <c r="B18" s="1223">
        <v>25</v>
      </c>
    </row>
    <row r="19" spans="1:2">
      <c r="A19" s="1222" t="s">
        <v>846</v>
      </c>
      <c r="B19" s="1223">
        <v>32</v>
      </c>
    </row>
    <row r="20" spans="1:2">
      <c r="A20" s="1222" t="s">
        <v>847</v>
      </c>
      <c r="B20" s="1223">
        <v>34</v>
      </c>
    </row>
    <row r="21" spans="1:2">
      <c r="A21" s="1222" t="s">
        <v>848</v>
      </c>
      <c r="B21" s="1223">
        <v>35</v>
      </c>
    </row>
    <row r="22" spans="1:2">
      <c r="B22" s="1222"/>
    </row>
    <row r="23" spans="1:2">
      <c r="A23" s="1222" t="s">
        <v>849</v>
      </c>
      <c r="B23" s="1223">
        <v>39</v>
      </c>
    </row>
    <row r="30" spans="1:2" ht="12.75" customHeight="1"/>
    <row r="46" spans="2:2">
      <c r="B46" s="1226"/>
    </row>
  </sheetData>
  <pageMargins left="0.70866141732283472" right="0.70866141732283472" top="0.74803149606299213" bottom="0.74803149606299213" header="0.31496062992125984" footer="0.31496062992125984"/>
  <pageSetup paperSize="9" scale="70" orientation="portrait" r:id="rId1"/>
  <headerFooter>
    <oddFooter>&amp;L&amp;8Bulletin trimestriel de conjoncture, 4e trimestre 2023</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tabColor rgb="FF00B050"/>
  </sheetPr>
  <dimension ref="A1:I64"/>
  <sheetViews>
    <sheetView view="pageBreakPreview" zoomScaleSheetLayoutView="100" workbookViewId="0">
      <selection activeCell="K50" sqref="K50"/>
    </sheetView>
  </sheetViews>
  <sheetFormatPr baseColWidth="10" defaultRowHeight="12.3"/>
  <cols>
    <col min="1" max="1" width="28.5546875" customWidth="1"/>
    <col min="2" max="2" width="8" customWidth="1"/>
    <col min="3" max="7" width="15.27734375" bestFit="1" customWidth="1"/>
    <col min="8" max="8" width="12.71875" bestFit="1" customWidth="1"/>
  </cols>
  <sheetData>
    <row r="1" spans="1:9" ht="17.7">
      <c r="A1" s="2048" t="s">
        <v>383</v>
      </c>
      <c r="B1" s="2048"/>
      <c r="C1" s="2048"/>
      <c r="D1" s="2048"/>
      <c r="E1" s="2048"/>
      <c r="F1" s="2048"/>
      <c r="G1" s="2048"/>
      <c r="H1" s="2048"/>
    </row>
    <row r="2" spans="1:9">
      <c r="A2" s="31"/>
      <c r="B2" s="557"/>
      <c r="C2" s="557"/>
      <c r="D2" s="557"/>
      <c r="E2" s="557"/>
      <c r="F2" s="557"/>
      <c r="G2" s="558"/>
      <c r="H2" s="558"/>
    </row>
    <row r="3" spans="1:9">
      <c r="A3" s="68" t="s">
        <v>1054</v>
      </c>
      <c r="B3" s="557"/>
      <c r="C3" s="557"/>
      <c r="D3" s="557"/>
      <c r="E3" s="557"/>
      <c r="F3" s="557"/>
      <c r="G3" s="558"/>
      <c r="H3" s="558"/>
    </row>
    <row r="4" spans="1:9">
      <c r="A4" s="68"/>
      <c r="B4" s="557"/>
      <c r="C4" s="557"/>
      <c r="D4" s="557"/>
      <c r="E4" s="557"/>
      <c r="F4" s="557"/>
      <c r="G4" s="558"/>
      <c r="H4" s="558"/>
    </row>
    <row r="5" spans="1:9">
      <c r="A5" s="559"/>
      <c r="B5" s="2067" t="s">
        <v>12</v>
      </c>
      <c r="C5" s="2068"/>
      <c r="D5" s="2068"/>
      <c r="E5" s="2068"/>
      <c r="F5" s="2069"/>
      <c r="G5" s="31"/>
      <c r="H5" s="31"/>
    </row>
    <row r="6" spans="1:9">
      <c r="A6" s="559"/>
      <c r="B6" s="720" t="s">
        <v>510</v>
      </c>
      <c r="C6" s="720" t="s">
        <v>510</v>
      </c>
      <c r="D6" s="720" t="s">
        <v>510</v>
      </c>
      <c r="E6" s="720" t="s">
        <v>510</v>
      </c>
      <c r="F6" s="720" t="s">
        <v>510</v>
      </c>
      <c r="G6" s="31"/>
      <c r="H6" s="31"/>
    </row>
    <row r="7" spans="1:9" ht="24.6">
      <c r="A7" s="560"/>
      <c r="B7" s="721">
        <f>Base_Mensuelle!MF7</f>
        <v>44896</v>
      </c>
      <c r="C7" s="721">
        <f>Base_Mensuelle!MG7</f>
        <v>45170</v>
      </c>
      <c r="D7" s="721">
        <f>Base_Mensuelle!MH7</f>
        <v>45200</v>
      </c>
      <c r="E7" s="721">
        <f>Base_Mensuelle!MI7</f>
        <v>45231</v>
      </c>
      <c r="F7" s="721">
        <f>Base_Mensuelle!MJ7</f>
        <v>45261</v>
      </c>
      <c r="G7" s="32" t="s">
        <v>1149</v>
      </c>
      <c r="H7" s="32" t="s">
        <v>384</v>
      </c>
    </row>
    <row r="8" spans="1:9">
      <c r="A8" s="1325" t="s">
        <v>385</v>
      </c>
      <c r="B8" s="1821">
        <f>Base_Mensuelle!MF8</f>
        <v>2551.9444802460298</v>
      </c>
      <c r="C8" s="1821">
        <f>Base_Mensuelle!MG8</f>
        <v>2057.5893136305863</v>
      </c>
      <c r="D8" s="1821">
        <f>Base_Mensuelle!MH8</f>
        <v>2320.7005888735862</v>
      </c>
      <c r="E8" s="1821">
        <f>Base_Mensuelle!MI8</f>
        <v>2514.9203162335862</v>
      </c>
      <c r="F8" s="1821">
        <f>Base_Mensuelle!MJ8</f>
        <v>2746.8865690087646</v>
      </c>
      <c r="G8" s="1822">
        <v>2621.0030004674441</v>
      </c>
      <c r="H8" s="1721">
        <f>IF(OR(G8 = 0,G8 = ""),"",+F8/G8*100)</f>
        <v>104.80287769677751</v>
      </c>
      <c r="I8" s="1953"/>
    </row>
    <row r="9" spans="1:9">
      <c r="A9" s="1599" t="s">
        <v>386</v>
      </c>
      <c r="B9" s="1823">
        <f>Base_Mensuelle!MF9</f>
        <v>2288.2530338894558</v>
      </c>
      <c r="C9" s="1823">
        <f>Base_Mensuelle!MG9</f>
        <v>1863.2286064845614</v>
      </c>
      <c r="D9" s="1823">
        <f>Base_Mensuelle!MH9</f>
        <v>2124.2092202315616</v>
      </c>
      <c r="E9" s="1823">
        <f>Base_Mensuelle!MI9</f>
        <v>2316.0459779625617</v>
      </c>
      <c r="F9" s="1823">
        <f>Base_Mensuelle!MJ9</f>
        <v>2543.3855251855616</v>
      </c>
      <c r="G9" s="1823">
        <v>2337.5445830674439</v>
      </c>
      <c r="H9" s="1956">
        <f t="shared" ref="H9:H60" si="0">IF(OR(G9 = 0,G9 = ""),"",+F9/G9*100)</f>
        <v>108.8058616553958</v>
      </c>
      <c r="I9" s="1953"/>
    </row>
    <row r="10" spans="1:9">
      <c r="A10" s="1326" t="s">
        <v>387</v>
      </c>
      <c r="B10" s="1824">
        <f>Base_Mensuelle!MF10</f>
        <v>2288.2530338894558</v>
      </c>
      <c r="C10" s="1824">
        <f>Base_Mensuelle!MG10</f>
        <v>1863.2286064845614</v>
      </c>
      <c r="D10" s="1824">
        <f>Base_Mensuelle!MH10</f>
        <v>2124.2092202315616</v>
      </c>
      <c r="E10" s="1824">
        <f>Base_Mensuelle!MI10</f>
        <v>2316.0459779625617</v>
      </c>
      <c r="F10" s="1824">
        <f>Base_Mensuelle!MJ10</f>
        <v>2543.3855251855616</v>
      </c>
      <c r="G10" s="1825">
        <v>2337.5445830674439</v>
      </c>
      <c r="H10" s="1722">
        <f t="shared" si="0"/>
        <v>108.8058616553958</v>
      </c>
    </row>
    <row r="11" spans="1:9">
      <c r="A11" s="1599" t="s">
        <v>388</v>
      </c>
      <c r="B11" s="1823">
        <f>Base_Mensuelle!MF11</f>
        <v>2052.4457756864558</v>
      </c>
      <c r="C11" s="1823">
        <f>Base_Mensuelle!MG11</f>
        <v>1638.9743887819998</v>
      </c>
      <c r="D11" s="1823">
        <f>Base_Mensuelle!MH11</f>
        <v>1880.0318887579999</v>
      </c>
      <c r="E11" s="1823">
        <f>Base_Mensuelle!MI11</f>
        <v>2059.7678674129997</v>
      </c>
      <c r="F11" s="1823">
        <f>Base_Mensuelle!MJ11</f>
        <v>2245.9507107459999</v>
      </c>
      <c r="G11" s="1823">
        <v>2091.7204283617471</v>
      </c>
      <c r="H11" s="1956">
        <f t="shared" si="0"/>
        <v>107.37336980090821</v>
      </c>
    </row>
    <row r="12" spans="1:9">
      <c r="A12" s="1327" t="s">
        <v>389</v>
      </c>
      <c r="B12" s="1826">
        <f>Base_Mensuelle!MF12</f>
        <v>723.20708317100002</v>
      </c>
      <c r="C12" s="1826">
        <f>Base_Mensuelle!MG12</f>
        <v>556.18376578599998</v>
      </c>
      <c r="D12" s="1826">
        <f>Base_Mensuelle!MH12</f>
        <v>653.35256040100001</v>
      </c>
      <c r="E12" s="1826">
        <f>Base_Mensuelle!MI12</f>
        <v>685.16845392700009</v>
      </c>
      <c r="F12" s="1826">
        <f>Base_Mensuelle!MJ12</f>
        <v>724.52241631599998</v>
      </c>
      <c r="G12" s="1827">
        <v>732.11715900000002</v>
      </c>
      <c r="H12" s="1723">
        <f t="shared" si="0"/>
        <v>98.962632880456766</v>
      </c>
    </row>
    <row r="13" spans="1:9">
      <c r="A13" s="1599" t="s">
        <v>390</v>
      </c>
      <c r="B13" s="1823">
        <f>Base_Mensuelle!MF13</f>
        <v>18.236443629</v>
      </c>
      <c r="C13" s="1823">
        <f>Base_Mensuelle!MG13</f>
        <v>13.966450811000001</v>
      </c>
      <c r="D13" s="1823">
        <f>Base_Mensuelle!MH13</f>
        <v>15.460823969</v>
      </c>
      <c r="E13" s="1823">
        <f>Base_Mensuelle!MI13</f>
        <v>16.974790444000003</v>
      </c>
      <c r="F13" s="1823">
        <f>Base_Mensuelle!MJ13</f>
        <v>18.464338783000002</v>
      </c>
      <c r="G13" s="1823">
        <v>20.472771000000002</v>
      </c>
      <c r="H13" s="1956">
        <f t="shared" si="0"/>
        <v>90.189739254153736</v>
      </c>
    </row>
    <row r="14" spans="1:9">
      <c r="A14" s="1327" t="s">
        <v>391</v>
      </c>
      <c r="B14" s="1826">
        <f>Base_Mensuelle!MF14</f>
        <v>62.020125433155641</v>
      </c>
      <c r="C14" s="1826">
        <f>Base_Mensuelle!MG14</f>
        <v>52.649604813999993</v>
      </c>
      <c r="D14" s="1826">
        <f>Base_Mensuelle!MH14</f>
        <v>59.519124567999995</v>
      </c>
      <c r="E14" s="1826">
        <f>Base_Mensuelle!MI14</f>
        <v>65.585726166000001</v>
      </c>
      <c r="F14" s="1826">
        <f>Base_Mensuelle!MJ14</f>
        <v>73.01861349699999</v>
      </c>
      <c r="G14" s="1827">
        <v>67.176738</v>
      </c>
      <c r="H14" s="1723">
        <f t="shared" si="0"/>
        <v>108.69627741823366</v>
      </c>
    </row>
    <row r="15" spans="1:9">
      <c r="A15" s="1599" t="s">
        <v>392</v>
      </c>
      <c r="B15" s="1823">
        <f>Base_Mensuelle!MF15</f>
        <v>950.66698914430003</v>
      </c>
      <c r="C15" s="1823">
        <f>Base_Mensuelle!MG15</f>
        <v>784.50084895499992</v>
      </c>
      <c r="D15" s="1823">
        <f>Base_Mensuelle!MH15</f>
        <v>891.83996401499996</v>
      </c>
      <c r="E15" s="1823">
        <f>Base_Mensuelle!MI15</f>
        <v>1002.3909790519999</v>
      </c>
      <c r="F15" s="1823">
        <f>Base_Mensuelle!MJ15</f>
        <v>1110.2652626419999</v>
      </c>
      <c r="G15" s="1823">
        <v>982.34166318109067</v>
      </c>
      <c r="H15" s="1956">
        <f t="shared" si="0"/>
        <v>113.02231232325602</v>
      </c>
    </row>
    <row r="16" spans="1:9">
      <c r="A16" s="1328" t="s">
        <v>393</v>
      </c>
      <c r="B16" s="1826">
        <f>Base_Mensuelle!MF16</f>
        <v>296.24677123899994</v>
      </c>
      <c r="C16" s="1826">
        <f>Base_Mensuelle!MG16</f>
        <v>230.77980442199998</v>
      </c>
      <c r="D16" s="1826">
        <f>Base_Mensuelle!MH16</f>
        <v>258.86760969900001</v>
      </c>
      <c r="E16" s="1826">
        <f>Base_Mensuelle!MI16</f>
        <v>288.51590841000001</v>
      </c>
      <c r="F16" s="1826">
        <f>Base_Mensuelle!MJ16</f>
        <v>318.46810214100003</v>
      </c>
      <c r="G16" s="1827">
        <v>288.12378818065656</v>
      </c>
      <c r="H16" s="1723">
        <f t="shared" si="0"/>
        <v>110.53169339191018</v>
      </c>
    </row>
    <row r="17" spans="1:9">
      <c r="A17" s="1599" t="s">
        <v>394</v>
      </c>
      <c r="B17" s="1823">
        <f>Base_Mensuelle!MF17</f>
        <v>2.0683630700000002</v>
      </c>
      <c r="C17" s="1823">
        <f>Base_Mensuelle!MG17</f>
        <v>0.89391399400000005</v>
      </c>
      <c r="D17" s="1823">
        <f>Base_Mensuelle!MH17</f>
        <v>0.99180610600000008</v>
      </c>
      <c r="E17" s="1823">
        <f>Base_Mensuelle!MI17</f>
        <v>1.1320094140000001</v>
      </c>
      <c r="F17" s="1823">
        <f>Base_Mensuelle!MJ17</f>
        <v>1.211977367</v>
      </c>
      <c r="G17" s="1823">
        <v>1.4883090000000001</v>
      </c>
      <c r="H17" s="1956">
        <f t="shared" si="0"/>
        <v>81.433181348765601</v>
      </c>
    </row>
    <row r="18" spans="1:9">
      <c r="A18" s="1275" t="s">
        <v>395</v>
      </c>
      <c r="B18" s="1826">
        <f>Base_Mensuelle!MF18</f>
        <v>235.80725820300006</v>
      </c>
      <c r="C18" s="1826">
        <f>Base_Mensuelle!MG18</f>
        <v>224.25421770256145</v>
      </c>
      <c r="D18" s="1826">
        <f>Base_Mensuelle!MH18</f>
        <v>244.17733147356142</v>
      </c>
      <c r="E18" s="1826">
        <f>Base_Mensuelle!MI18</f>
        <v>256.27811054956146</v>
      </c>
      <c r="F18" s="1826">
        <f>Base_Mensuelle!MJ18</f>
        <v>297.43481443956142</v>
      </c>
      <c r="G18" s="1827">
        <v>245.82415470569657</v>
      </c>
      <c r="H18" s="1723">
        <f t="shared" si="0"/>
        <v>120.99495055547071</v>
      </c>
    </row>
    <row r="19" spans="1:9">
      <c r="A19" s="1599" t="s">
        <v>396</v>
      </c>
      <c r="B19" s="1823">
        <f>Base_Mensuelle!MF19</f>
        <v>5.1058066079999982</v>
      </c>
      <c r="C19" s="1823">
        <f>Base_Mensuelle!MG19</f>
        <v>4.8644625550000002</v>
      </c>
      <c r="D19" s="1823">
        <f>Base_Mensuelle!MH19</f>
        <v>5.4793614440000011</v>
      </c>
      <c r="E19" s="1823">
        <f>Base_Mensuelle!MI19</f>
        <v>6.4958517040000006</v>
      </c>
      <c r="F19" s="1823">
        <f>Base_Mensuelle!MJ19</f>
        <v>7.5043773630000006</v>
      </c>
      <c r="G19" s="1823">
        <v>7.201642682005434</v>
      </c>
      <c r="H19" s="1956">
        <f t="shared" si="0"/>
        <v>104.20368927426797</v>
      </c>
    </row>
    <row r="20" spans="1:9">
      <c r="A20" s="1327" t="s">
        <v>397</v>
      </c>
      <c r="B20" s="1826">
        <f>Base_Mensuelle!MF20</f>
        <v>47.288769762999998</v>
      </c>
      <c r="C20" s="1826">
        <f>Base_Mensuelle!MG20</f>
        <v>32.691060529000005</v>
      </c>
      <c r="D20" s="1826">
        <f>Base_Mensuelle!MH20</f>
        <v>35.546940876000008</v>
      </c>
      <c r="E20" s="1826">
        <f>Base_Mensuelle!MI20</f>
        <v>38.63602808800001</v>
      </c>
      <c r="F20" s="1826">
        <f>Base_Mensuelle!MJ20</f>
        <v>42.910191037000011</v>
      </c>
      <c r="G20" s="1827">
        <v>41.889510028444192</v>
      </c>
      <c r="H20" s="1723">
        <f t="shared" si="0"/>
        <v>102.43660288187364</v>
      </c>
    </row>
    <row r="21" spans="1:9">
      <c r="A21" s="1599" t="s">
        <v>398</v>
      </c>
      <c r="B21" s="1823">
        <f>Base_Mensuelle!MF21</f>
        <v>4.4635998640000238</v>
      </c>
      <c r="C21" s="1823">
        <f>Base_Mensuelle!MG21</f>
        <v>1.5717227280000001</v>
      </c>
      <c r="D21" s="1823">
        <f>Base_Mensuelle!MH21</f>
        <v>1.8235117380000001</v>
      </c>
      <c r="E21" s="1823">
        <f>Base_Mensuelle!MI21</f>
        <v>2.0194393129999999</v>
      </c>
      <c r="F21" s="1823">
        <f>Base_Mensuelle!MJ21</f>
        <v>2.4730740940000002</v>
      </c>
      <c r="G21" s="1823">
        <v>2.6228592861374995</v>
      </c>
      <c r="H21" s="1956">
        <f t="shared" si="0"/>
        <v>94.289240260461042</v>
      </c>
    </row>
    <row r="22" spans="1:9">
      <c r="A22" s="1327" t="s">
        <v>399</v>
      </c>
      <c r="B22" s="1826">
        <f>Base_Mensuelle!MF22</f>
        <v>72.286867036000004</v>
      </c>
      <c r="C22" s="1826">
        <f>Base_Mensuelle!MG22</f>
        <v>95.398116923999993</v>
      </c>
      <c r="D22" s="1826">
        <f>Base_Mensuelle!MH22</f>
        <v>101.43793068599999</v>
      </c>
      <c r="E22" s="1826">
        <f>Base_Mensuelle!MI22</f>
        <v>102.214828489</v>
      </c>
      <c r="F22" s="1826">
        <f>Base_Mensuelle!MJ22</f>
        <v>102.30698891399999</v>
      </c>
      <c r="G22" s="1827">
        <v>64.823528641628499</v>
      </c>
      <c r="H22" s="1723">
        <f t="shared" si="0"/>
        <v>157.8238504719416</v>
      </c>
    </row>
    <row r="23" spans="1:9">
      <c r="A23" s="1599" t="s">
        <v>400</v>
      </c>
      <c r="B23" s="1823">
        <f>Base_Mensuelle!MF23</f>
        <v>106.662214932</v>
      </c>
      <c r="C23" s="1823">
        <f>Base_Mensuelle!MG23</f>
        <v>89.728854966561457</v>
      </c>
      <c r="D23" s="1823">
        <f>Base_Mensuelle!MH23</f>
        <v>99.889586729561444</v>
      </c>
      <c r="E23" s="1823">
        <f>Base_Mensuelle!MI23</f>
        <v>106.91196295556145</v>
      </c>
      <c r="F23" s="1823">
        <f>Base_Mensuelle!MJ23</f>
        <v>142.24018303156143</v>
      </c>
      <c r="G23" s="1823">
        <v>129.28661406748094</v>
      </c>
      <c r="H23" s="1956">
        <f t="shared" si="0"/>
        <v>110.01926537987869</v>
      </c>
    </row>
    <row r="24" spans="1:9">
      <c r="A24" s="1326" t="s">
        <v>401</v>
      </c>
      <c r="B24" s="1824">
        <f>Base_Mensuelle!MF24</f>
        <v>0</v>
      </c>
      <c r="C24" s="1824">
        <f>Base_Mensuelle!MG24</f>
        <v>0</v>
      </c>
      <c r="D24" s="1824">
        <f>Base_Mensuelle!MH24</f>
        <v>0</v>
      </c>
      <c r="E24" s="1824">
        <f>Base_Mensuelle!MI24</f>
        <v>0</v>
      </c>
      <c r="F24" s="1824">
        <f>Base_Mensuelle!MJ24</f>
        <v>0</v>
      </c>
      <c r="G24" s="1825">
        <v>0</v>
      </c>
      <c r="H24" s="1722" t="str">
        <f t="shared" si="0"/>
        <v/>
      </c>
    </row>
    <row r="25" spans="1:9">
      <c r="A25" s="1599" t="s">
        <v>402</v>
      </c>
      <c r="B25" s="1823">
        <f>Base_Mensuelle!MF25</f>
        <v>263.69144635657256</v>
      </c>
      <c r="C25" s="1823">
        <f>Base_Mensuelle!MG25</f>
        <v>194.36070714602499</v>
      </c>
      <c r="D25" s="1823">
        <f>Base_Mensuelle!MH25</f>
        <v>196.49136864202498</v>
      </c>
      <c r="E25" s="1823">
        <f>Base_Mensuelle!MI25</f>
        <v>198.87433827102501</v>
      </c>
      <c r="F25" s="1823">
        <f>Base_Mensuelle!MJ25</f>
        <v>203.50104382320364</v>
      </c>
      <c r="G25" s="1823">
        <v>283.45841739999997</v>
      </c>
      <c r="H25" s="1956">
        <f t="shared" si="0"/>
        <v>71.792203487834641</v>
      </c>
      <c r="I25" s="1954"/>
    </row>
    <row r="26" spans="1:9">
      <c r="A26" s="1326" t="s">
        <v>403</v>
      </c>
      <c r="B26" s="1828">
        <f>Base_Mensuelle!MF26</f>
        <v>203.42640019557257</v>
      </c>
      <c r="C26" s="1828">
        <f>Base_Mensuelle!MG26</f>
        <v>194.36070714602499</v>
      </c>
      <c r="D26" s="1828">
        <f>Base_Mensuelle!MH26</f>
        <v>196.49136864202498</v>
      </c>
      <c r="E26" s="1828">
        <f>Base_Mensuelle!MI26</f>
        <v>198.87433827102501</v>
      </c>
      <c r="F26" s="1828">
        <f>Base_Mensuelle!MJ26</f>
        <v>203.50104382320364</v>
      </c>
      <c r="G26" s="1825">
        <v>239.58980600000001</v>
      </c>
      <c r="H26" s="1722">
        <f t="shared" si="0"/>
        <v>84.937271422642937</v>
      </c>
    </row>
    <row r="27" spans="1:9">
      <c r="A27" s="1601" t="s">
        <v>404</v>
      </c>
      <c r="B27" s="1829">
        <f>Base_Mensuelle!MF27</f>
        <v>60.265046161000001</v>
      </c>
      <c r="C27" s="1829">
        <f>Base_Mensuelle!MG27</f>
        <v>0</v>
      </c>
      <c r="D27" s="1829">
        <f>Base_Mensuelle!MH27</f>
        <v>0</v>
      </c>
      <c r="E27" s="1829">
        <f>Base_Mensuelle!MI27</f>
        <v>0</v>
      </c>
      <c r="F27" s="1829">
        <f>Base_Mensuelle!MJ27</f>
        <v>0</v>
      </c>
      <c r="G27" s="1829">
        <v>43.868611399999999</v>
      </c>
      <c r="H27" s="619">
        <f t="shared" si="0"/>
        <v>0</v>
      </c>
    </row>
    <row r="28" spans="1:9" ht="24.6">
      <c r="A28" s="1329" t="s">
        <v>405</v>
      </c>
      <c r="B28" s="1828">
        <f>Base_Mensuelle!MF28</f>
        <v>3617.0085714882512</v>
      </c>
      <c r="C28" s="1828">
        <f>Base_Mensuelle!MG28</f>
        <v>2486.2814577181193</v>
      </c>
      <c r="D28" s="1828">
        <f>Base_Mensuelle!MH28</f>
        <v>2654.4046542527753</v>
      </c>
      <c r="E28" s="1828">
        <f>Base_Mensuelle!MI28</f>
        <v>3011.75629216569</v>
      </c>
      <c r="F28" s="1828">
        <f>Base_Mensuelle!MJ28</f>
        <v>3550.3288240730408</v>
      </c>
      <c r="G28" s="1830">
        <v>3225.6559310676171</v>
      </c>
      <c r="H28" s="1724">
        <f t="shared" si="0"/>
        <v>110.0653293452152</v>
      </c>
      <c r="I28" s="1954"/>
    </row>
    <row r="29" spans="1:9">
      <c r="A29" s="1599" t="s">
        <v>406</v>
      </c>
      <c r="B29" s="1823">
        <f>Base_Mensuelle!MF29</f>
        <v>3626.5257596342517</v>
      </c>
      <c r="C29" s="1823">
        <f>Base_Mensuelle!MG29</f>
        <v>2492.9605723671198</v>
      </c>
      <c r="D29" s="1823">
        <f>Base_Mensuelle!MH29</f>
        <v>2662.029417302776</v>
      </c>
      <c r="E29" s="1823">
        <f>Base_Mensuelle!MI29</f>
        <v>3021.0880979786907</v>
      </c>
      <c r="F29" s="1823">
        <f>Base_Mensuelle!MJ29</f>
        <v>3561.8047678300413</v>
      </c>
      <c r="G29" s="1823">
        <v>3235.9136239999448</v>
      </c>
      <c r="H29" s="1956">
        <f t="shared" si="0"/>
        <v>110.07107054443743</v>
      </c>
      <c r="I29" s="1833"/>
    </row>
    <row r="30" spans="1:9">
      <c r="A30" s="1326" t="s">
        <v>407</v>
      </c>
      <c r="B30" s="1824">
        <f>Base_Mensuelle!MF30</f>
        <v>2352.850690755</v>
      </c>
      <c r="C30" s="1824">
        <f>Base_Mensuelle!MG30</f>
        <v>1629.5743112833156</v>
      </c>
      <c r="D30" s="1824">
        <f>Base_Mensuelle!MH30</f>
        <v>1773.660991549551</v>
      </c>
      <c r="E30" s="1824">
        <f>Base_Mensuelle!MI30</f>
        <v>1952.7539674065072</v>
      </c>
      <c r="F30" s="1824">
        <f>Base_Mensuelle!MJ30</f>
        <v>2183.2575295468996</v>
      </c>
      <c r="G30" s="1825">
        <v>2053.6248039999446</v>
      </c>
      <c r="H30" s="1722">
        <f t="shared" si="0"/>
        <v>106.3123860451268</v>
      </c>
      <c r="I30" s="1833"/>
    </row>
    <row r="31" spans="1:9">
      <c r="A31" s="1599" t="s">
        <v>408</v>
      </c>
      <c r="B31" s="1823">
        <f>Base_Mensuelle!MF31</f>
        <v>1009.122074191</v>
      </c>
      <c r="C31" s="1823">
        <f>Base_Mensuelle!MG31</f>
        <v>836.06197448599994</v>
      </c>
      <c r="D31" s="1823">
        <f>Base_Mensuelle!MH31</f>
        <v>928.27105553499996</v>
      </c>
      <c r="E31" s="1823">
        <f>Base_Mensuelle!MI31</f>
        <v>1026.1601341000001</v>
      </c>
      <c r="F31" s="1823">
        <f>Base_Mensuelle!MJ31</f>
        <v>1096.9451239749999</v>
      </c>
      <c r="G31" s="1823">
        <v>1097.1808209999999</v>
      </c>
      <c r="H31" s="1956">
        <f t="shared" si="0"/>
        <v>99.978517941574552</v>
      </c>
      <c r="I31" s="1833"/>
    </row>
    <row r="32" spans="1:9">
      <c r="A32" s="1327" t="s">
        <v>409</v>
      </c>
      <c r="B32" s="1826">
        <f>Base_Mensuelle!MF32</f>
        <v>209.66884892100001</v>
      </c>
      <c r="C32" s="1826">
        <f>Base_Mensuelle!MG32</f>
        <v>158.71833323800001</v>
      </c>
      <c r="D32" s="1826">
        <f>Base_Mensuelle!MH32</f>
        <v>176.37877322099999</v>
      </c>
      <c r="E32" s="1826">
        <f>Base_Mensuelle!MI32</f>
        <v>203.82519230599999</v>
      </c>
      <c r="F32" s="1826">
        <f>Base_Mensuelle!MJ32</f>
        <v>221.334330201</v>
      </c>
      <c r="G32" s="1827">
        <v>210</v>
      </c>
      <c r="H32" s="1723">
        <f t="shared" si="0"/>
        <v>105.39730009571429</v>
      </c>
      <c r="I32" s="1833"/>
    </row>
    <row r="33" spans="1:9">
      <c r="A33" s="1599" t="s">
        <v>410</v>
      </c>
      <c r="B33" s="1823">
        <f>Base_Mensuelle!MF33</f>
        <v>229.58681870500001</v>
      </c>
      <c r="C33" s="1823">
        <f>Base_Mensuelle!MG33</f>
        <v>228.68119476523819</v>
      </c>
      <c r="D33" s="1823">
        <f>Base_Mensuelle!MH33</f>
        <v>244.56594561751106</v>
      </c>
      <c r="E33" s="1823">
        <f>Base_Mensuelle!MI33</f>
        <v>268.89814773575227</v>
      </c>
      <c r="F33" s="1823">
        <f>Base_Mensuelle!MJ33</f>
        <v>290.40875866200003</v>
      </c>
      <c r="G33" s="1823">
        <v>234.16024199994447</v>
      </c>
      <c r="H33" s="1956">
        <f t="shared" si="0"/>
        <v>124.02137791695181</v>
      </c>
      <c r="I33" s="1833"/>
    </row>
    <row r="34" spans="1:9">
      <c r="A34" s="1327" t="s">
        <v>411</v>
      </c>
      <c r="B34" s="1826">
        <f>Base_Mensuelle!MF34</f>
        <v>196.28035046005124</v>
      </c>
      <c r="C34" s="1826">
        <f>Base_Mensuelle!MG34</f>
        <v>201.089038719</v>
      </c>
      <c r="D34" s="1826">
        <f>Base_Mensuelle!MH34</f>
        <v>212.47107559900002</v>
      </c>
      <c r="E34" s="1826">
        <f>Base_Mensuelle!MI34</f>
        <v>228.88100906900002</v>
      </c>
      <c r="F34" s="1826">
        <f>Base_Mensuelle!MJ34</f>
        <v>246.95744401623216</v>
      </c>
      <c r="G34" s="1827">
        <v>193.07094713394449</v>
      </c>
      <c r="H34" s="1723">
        <f t="shared" si="0"/>
        <v>127.91020486624718</v>
      </c>
      <c r="I34" s="1833"/>
    </row>
    <row r="35" spans="1:9">
      <c r="A35" s="1599" t="s">
        <v>412</v>
      </c>
      <c r="B35" s="1823">
        <f>Base_Mensuelle!MF35</f>
        <v>33.306468244948768</v>
      </c>
      <c r="C35" s="1823">
        <f>Base_Mensuelle!MG35</f>
        <v>27.592156046238188</v>
      </c>
      <c r="D35" s="1823">
        <f>Base_Mensuelle!MH35</f>
        <v>32.094870018511052</v>
      </c>
      <c r="E35" s="1823">
        <f>Base_Mensuelle!MI35</f>
        <v>40.017138666752274</v>
      </c>
      <c r="F35" s="1823">
        <f>Base_Mensuelle!MJ35</f>
        <v>43.451314645767852</v>
      </c>
      <c r="G35" s="1823">
        <v>41.089294865999989</v>
      </c>
      <c r="H35" s="1956">
        <f t="shared" si="0"/>
        <v>105.74850405068001</v>
      </c>
      <c r="I35" s="1833"/>
    </row>
    <row r="36" spans="1:9">
      <c r="A36" s="1328" t="s">
        <v>413</v>
      </c>
      <c r="B36" s="1826">
        <f>Base_Mensuelle!MF36</f>
        <v>904.47294893799994</v>
      </c>
      <c r="C36" s="1826">
        <f>Base_Mensuelle!MG36</f>
        <v>406.11280879407758</v>
      </c>
      <c r="D36" s="1826">
        <f>Base_Mensuelle!MH36</f>
        <v>424.44521717604005</v>
      </c>
      <c r="E36" s="1826">
        <f>Base_Mensuelle!MI36</f>
        <v>453.87049326475505</v>
      </c>
      <c r="F36" s="1826">
        <f>Base_Mensuelle!MJ36</f>
        <v>574.56931670890015</v>
      </c>
      <c r="G36" s="1827">
        <v>512.28374099999996</v>
      </c>
      <c r="H36" s="1723">
        <f t="shared" si="0"/>
        <v>112.15841353608373</v>
      </c>
      <c r="I36" s="1833"/>
    </row>
    <row r="37" spans="1:9">
      <c r="A37" s="1599" t="s">
        <v>414</v>
      </c>
      <c r="B37" s="1823">
        <f>Base_Mensuelle!MF37</f>
        <v>3.3759375</v>
      </c>
      <c r="C37" s="1823">
        <f>Base_Mensuelle!MG37</f>
        <v>42.686954502999995</v>
      </c>
      <c r="D37" s="1823">
        <f>Base_Mensuelle!MH37</f>
        <v>44.896008002999999</v>
      </c>
      <c r="E37" s="1823">
        <f>Base_Mensuelle!MI37</f>
        <v>45.021002003</v>
      </c>
      <c r="F37" s="1823">
        <f>Base_Mensuelle!MJ37</f>
        <v>45.508690399999999</v>
      </c>
      <c r="G37" s="1823">
        <v>0.60153400000000001</v>
      </c>
      <c r="H37" s="1956">
        <f t="shared" si="0"/>
        <v>7565.439426532831</v>
      </c>
      <c r="I37" s="1833"/>
    </row>
    <row r="38" spans="1:9">
      <c r="A38" s="1275" t="s">
        <v>415</v>
      </c>
      <c r="B38" s="1826">
        <f>Base_Mensuelle!MF38</f>
        <v>113.89058710799999</v>
      </c>
      <c r="C38" s="1826">
        <f>Base_Mensuelle!MG38</f>
        <v>123.09731329500001</v>
      </c>
      <c r="D38" s="1826">
        <f>Base_Mensuelle!MH38</f>
        <v>131.175131171</v>
      </c>
      <c r="E38" s="1826">
        <f>Base_Mensuelle!MI38</f>
        <v>137.71027008799999</v>
      </c>
      <c r="F38" s="1826">
        <f>Base_Mensuelle!MJ38</f>
        <v>148.626847543</v>
      </c>
      <c r="G38" s="1827">
        <v>132.28737100000001</v>
      </c>
      <c r="H38" s="1723">
        <f t="shared" si="0"/>
        <v>112.351501446801</v>
      </c>
      <c r="I38" s="1833"/>
    </row>
    <row r="39" spans="1:9">
      <c r="A39" s="1599" t="s">
        <v>416</v>
      </c>
      <c r="B39" s="1823">
        <f>Base_Mensuelle!MF39</f>
        <v>0</v>
      </c>
      <c r="C39" s="1823">
        <f>Base_Mensuelle!MG39</f>
        <v>0</v>
      </c>
      <c r="D39" s="1823">
        <f>Base_Mensuelle!MH39</f>
        <v>0</v>
      </c>
      <c r="E39" s="1823">
        <f>Base_Mensuelle!MI39</f>
        <v>0</v>
      </c>
      <c r="F39" s="1823">
        <f>Base_Mensuelle!MJ39</f>
        <v>0</v>
      </c>
      <c r="G39" s="1823"/>
      <c r="H39" s="1956" t="str">
        <f t="shared" si="0"/>
        <v/>
      </c>
      <c r="I39" s="1833"/>
    </row>
    <row r="40" spans="1:9">
      <c r="A40" s="1327" t="s">
        <v>417</v>
      </c>
      <c r="B40" s="1826">
        <f>Base_Mensuelle!MF40</f>
        <v>390.49002059999998</v>
      </c>
      <c r="C40" s="1826">
        <f>Base_Mensuelle!MG40</f>
        <v>69.687769889999998</v>
      </c>
      <c r="D40" s="1826">
        <f>Base_Mensuelle!MH40</f>
        <v>75.197299881999996</v>
      </c>
      <c r="E40" s="1826">
        <f>Base_Mensuelle!MI40</f>
        <v>84.999986766000006</v>
      </c>
      <c r="F40" s="1826">
        <f>Base_Mensuelle!MJ40</f>
        <v>114.999984359</v>
      </c>
      <c r="G40" s="1827">
        <v>76</v>
      </c>
      <c r="H40" s="1723">
        <f>IF(OR(G40 = 0,G40 = ""),"",+F40/G40*100)</f>
        <v>151.31576889342105</v>
      </c>
      <c r="I40" s="1833"/>
    </row>
    <row r="41" spans="1:9">
      <c r="A41" s="1599" t="s">
        <v>418</v>
      </c>
      <c r="B41" s="1823">
        <f>Base_Mensuelle!MF41</f>
        <v>1273.6750688792515</v>
      </c>
      <c r="C41" s="1823">
        <f>Base_Mensuelle!MG41</f>
        <v>863.38626108380367</v>
      </c>
      <c r="D41" s="1823">
        <f>Base_Mensuelle!MH41</f>
        <v>888.36842575322453</v>
      </c>
      <c r="E41" s="1823">
        <f>Base_Mensuelle!MI41</f>
        <v>1068.3341305721831</v>
      </c>
      <c r="F41" s="1823">
        <f>Base_Mensuelle!MJ41</f>
        <v>1378.547238283141</v>
      </c>
      <c r="G41" s="1823">
        <v>1182.28882</v>
      </c>
      <c r="H41" s="1956">
        <f t="shared" si="0"/>
        <v>116.59987094212234</v>
      </c>
      <c r="I41" s="1833"/>
    </row>
    <row r="42" spans="1:9">
      <c r="A42" s="1327" t="s">
        <v>419</v>
      </c>
      <c r="B42" s="1826">
        <f>Base_Mensuelle!MF42</f>
        <v>871.3767186770001</v>
      </c>
      <c r="C42" s="1826">
        <f>Base_Mensuelle!MG42</f>
        <v>400.51939548838754</v>
      </c>
      <c r="D42" s="1826">
        <f>Base_Mensuelle!MH42</f>
        <v>419.31108863219998</v>
      </c>
      <c r="E42" s="1826">
        <f>Base_Mensuelle!MI42</f>
        <v>587.87050990750004</v>
      </c>
      <c r="F42" s="1826">
        <f>Base_Mensuelle!MJ42</f>
        <v>873.14459142750002</v>
      </c>
      <c r="G42" s="1827">
        <v>717</v>
      </c>
      <c r="H42" s="1723">
        <f t="shared" si="0"/>
        <v>121.77748834414226</v>
      </c>
      <c r="I42" s="1833"/>
    </row>
    <row r="43" spans="1:9">
      <c r="A43" s="1599" t="s">
        <v>420</v>
      </c>
      <c r="B43" s="1823">
        <f>Base_Mensuelle!MF43</f>
        <v>4.8274209910000003</v>
      </c>
      <c r="C43" s="1823">
        <f>Base_Mensuelle!MG43</f>
        <v>6.7144057290000001</v>
      </c>
      <c r="D43" s="1823">
        <f>Base_Mensuelle!MH43</f>
        <v>6.8241656069999994</v>
      </c>
      <c r="E43" s="1823">
        <f>Base_Mensuelle!MI43</f>
        <v>6.8241656069999994</v>
      </c>
      <c r="F43" s="1823">
        <f>Base_Mensuelle!MJ43</f>
        <v>6.8241656069999994</v>
      </c>
      <c r="G43" s="1823">
        <v>10</v>
      </c>
      <c r="H43" s="1956">
        <f t="shared" si="0"/>
        <v>68.241656069999991</v>
      </c>
      <c r="I43" s="1833"/>
    </row>
    <row r="44" spans="1:9">
      <c r="A44" s="1326" t="s">
        <v>421</v>
      </c>
      <c r="B44" s="1828">
        <f>Base_Mensuelle!MF44</f>
        <v>397.47092921125142</v>
      </c>
      <c r="C44" s="1828">
        <f>Base_Mensuelle!MG44</f>
        <v>456.15245986641605</v>
      </c>
      <c r="D44" s="1828">
        <f>Base_Mensuelle!MH44</f>
        <v>462.23317151402438</v>
      </c>
      <c r="E44" s="1828">
        <f>Base_Mensuelle!MI44</f>
        <v>473.63945505768288</v>
      </c>
      <c r="F44" s="1828">
        <f>Base_Mensuelle!MJ44</f>
        <v>498.57848124864108</v>
      </c>
      <c r="G44" s="1825">
        <v>455.28881999999999</v>
      </c>
      <c r="H44" s="1722">
        <f t="shared" si="0"/>
        <v>109.50817576602059</v>
      </c>
      <c r="I44" s="1833"/>
    </row>
    <row r="45" spans="1:9">
      <c r="A45" s="1601" t="s">
        <v>422</v>
      </c>
      <c r="B45" s="1829">
        <f>Base_Mensuelle!MF45</f>
        <v>-9.5171881460000023</v>
      </c>
      <c r="C45" s="1829">
        <f>Base_Mensuelle!MG45</f>
        <v>-6.6791146490000042</v>
      </c>
      <c r="D45" s="1829">
        <f>Base_Mensuelle!MH45</f>
        <v>-7.624763050000003</v>
      </c>
      <c r="E45" s="1829">
        <f>Base_Mensuelle!MI45</f>
        <v>-9.3318058130000043</v>
      </c>
      <c r="F45" s="1829">
        <f>Base_Mensuelle!MJ45</f>
        <v>-11.475943757000007</v>
      </c>
      <c r="G45" s="1829">
        <v>-10.257692932327691</v>
      </c>
      <c r="H45" s="619">
        <f t="shared" si="0"/>
        <v>111.87646025972302</v>
      </c>
      <c r="I45" s="1833"/>
    </row>
    <row r="46" spans="1:9">
      <c r="A46" s="1326" t="s">
        <v>423</v>
      </c>
      <c r="B46" s="1824">
        <f>Base_Mensuelle!MF46</f>
        <v>-1065.0640912422232</v>
      </c>
      <c r="C46" s="1824">
        <f>Base_Mensuelle!MG46</f>
        <v>-428.69214408753299</v>
      </c>
      <c r="D46" s="1824">
        <f>Base_Mensuelle!MH46</f>
        <v>-333.70406537918916</v>
      </c>
      <c r="E46" s="1824">
        <f>Base_Mensuelle!MI46</f>
        <v>-496.83597593210385</v>
      </c>
      <c r="F46" s="1824">
        <f>Base_Mensuelle!MJ46</f>
        <v>-803.44225506427597</v>
      </c>
      <c r="G46" s="1825">
        <v>-604.65293060017302</v>
      </c>
      <c r="H46" s="1722">
        <f t="shared" si="0"/>
        <v>132.87659984824458</v>
      </c>
      <c r="I46" s="1833"/>
    </row>
    <row r="47" spans="1:9">
      <c r="A47" s="1599" t="s">
        <v>424</v>
      </c>
      <c r="B47" s="1823">
        <f>Base_Mensuelle!MF47</f>
        <v>-1328.7555375987959</v>
      </c>
      <c r="C47" s="1823">
        <f>Base_Mensuelle!MG47</f>
        <v>-623.05285123355782</v>
      </c>
      <c r="D47" s="1823">
        <f>Base_Mensuelle!MH47</f>
        <v>-530.19543402121406</v>
      </c>
      <c r="E47" s="1823">
        <f>Base_Mensuelle!MI47</f>
        <v>-695.71031420312886</v>
      </c>
      <c r="F47" s="1823">
        <f>Base_Mensuelle!MJ47</f>
        <v>-1006.9432988874795</v>
      </c>
      <c r="G47" s="1823">
        <v>-888.11134800017305</v>
      </c>
      <c r="H47" s="1956">
        <f t="shared" si="0"/>
        <v>113.3802986703063</v>
      </c>
    </row>
    <row r="48" spans="1:9">
      <c r="A48" s="1326" t="s">
        <v>425</v>
      </c>
      <c r="B48" s="1824">
        <f>Base_Mensuelle!MF48</f>
        <v>-701.69778968254423</v>
      </c>
      <c r="C48" s="1824">
        <f>Base_Mensuelle!MG48</f>
        <v>61.780803398096381</v>
      </c>
      <c r="D48" s="1824">
        <f>Base_Mensuelle!MH48</f>
        <v>176.60368311032144</v>
      </c>
      <c r="E48" s="1824">
        <f>Base_Mensuelle!MI48</f>
        <v>46.827288590306338</v>
      </c>
      <c r="F48" s="1824">
        <f>Base_Mensuelle!MJ48</f>
        <v>-217.95605897683853</v>
      </c>
      <c r="G48" s="1825">
        <v>-198.66228600022839</v>
      </c>
      <c r="H48" s="1722">
        <f t="shared" si="0"/>
        <v>109.7118448423512</v>
      </c>
    </row>
    <row r="49" spans="1:8">
      <c r="A49" s="1601" t="s">
        <v>426</v>
      </c>
      <c r="B49" s="1829">
        <f>Base_Mensuelle!MF49</f>
        <v>-931.28460838754427</v>
      </c>
      <c r="C49" s="1829">
        <f>Base_Mensuelle!MG49</f>
        <v>-166.90039136714185</v>
      </c>
      <c r="D49" s="1829">
        <f>Base_Mensuelle!MH49</f>
        <v>-67.962262507189664</v>
      </c>
      <c r="E49" s="1829">
        <f>Base_Mensuelle!MI49</f>
        <v>-222.07085914544595</v>
      </c>
      <c r="F49" s="1829">
        <f>Base_Mensuelle!MJ49</f>
        <v>-508.36481763883853</v>
      </c>
      <c r="G49" s="1829">
        <v>-432.82252800017307</v>
      </c>
      <c r="H49" s="619">
        <f t="shared" si="0"/>
        <v>117.45340982774243</v>
      </c>
    </row>
    <row r="50" spans="1:8">
      <c r="A50" s="1326" t="s">
        <v>427</v>
      </c>
      <c r="B50" s="1824">
        <f>Base_Mensuelle!MF50</f>
        <v>-875.0708394262233</v>
      </c>
      <c r="C50" s="1824">
        <f>Base_Mensuelle!MG50</f>
        <v>-388.84251679453303</v>
      </c>
      <c r="D50" s="1824">
        <f>Base_Mensuelle!MH50</f>
        <v>-389.5919433482988</v>
      </c>
      <c r="E50" s="1824">
        <f>Base_Mensuelle!MI50</f>
        <v>-395.86295898530733</v>
      </c>
      <c r="F50" s="1824">
        <f>Base_Mensuelle!MJ50</f>
        <v>-487.42620934969079</v>
      </c>
      <c r="G50" s="1825">
        <v>-604.65293060017302</v>
      </c>
      <c r="H50" s="1722">
        <f t="shared" si="0"/>
        <v>80.6125604759537</v>
      </c>
    </row>
    <row r="51" spans="1:8">
      <c r="A51" s="1601" t="s">
        <v>428</v>
      </c>
      <c r="B51" s="1829">
        <f>Base_Mensuelle!MF51</f>
        <v>-1138.7622857827957</v>
      </c>
      <c r="C51" s="1829">
        <f>Base_Mensuelle!MG51</f>
        <v>-583.2032239405579</v>
      </c>
      <c r="D51" s="1829">
        <f>Base_Mensuelle!MH51</f>
        <v>-586.08331199032375</v>
      </c>
      <c r="E51" s="1829">
        <f>Base_Mensuelle!MI51</f>
        <v>-594.73729725633223</v>
      </c>
      <c r="F51" s="1829">
        <f>Base_Mensuelle!MJ51</f>
        <v>-690.92725317289444</v>
      </c>
      <c r="G51" s="1829">
        <v>-888.11134800017305</v>
      </c>
      <c r="H51" s="619">
        <f t="shared" si="0"/>
        <v>77.797367945889576</v>
      </c>
    </row>
    <row r="52" spans="1:8">
      <c r="A52" s="1327" t="s">
        <v>429</v>
      </c>
      <c r="B52" s="1826">
        <f>Base_Mensuelle!MF52</f>
        <v>871.75690127339431</v>
      </c>
      <c r="C52" s="1826">
        <f>Base_Mensuelle!MG52</f>
        <v>385.13825007242883</v>
      </c>
      <c r="D52" s="1826">
        <f>Base_Mensuelle!MH52</f>
        <v>384.5386576122097</v>
      </c>
      <c r="E52" s="1826">
        <f>Base_Mensuelle!MI52</f>
        <v>388.82601846415372</v>
      </c>
      <c r="F52" s="1826">
        <f>Base_Mensuelle!MJ52</f>
        <v>481.03601213907967</v>
      </c>
      <c r="G52" s="1827">
        <v>543.98110406900003</v>
      </c>
      <c r="H52" s="1723">
        <f t="shared" si="0"/>
        <v>88.428809115043038</v>
      </c>
    </row>
    <row r="53" spans="1:8">
      <c r="A53" s="1599" t="s">
        <v>430</v>
      </c>
      <c r="B53" s="1823">
        <f>Base_Mensuelle!MF53</f>
        <v>157.52256306635326</v>
      </c>
      <c r="C53" s="1823">
        <f>Base_Mensuelle!MG53</f>
        <v>165.65075672242898</v>
      </c>
      <c r="D53" s="1823">
        <f>Base_Mensuelle!MH53</f>
        <v>156.50869759420982</v>
      </c>
      <c r="E53" s="1823">
        <f>Base_Mensuelle!MI53</f>
        <v>151.60998981815382</v>
      </c>
      <c r="F53" s="1823">
        <f>Base_Mensuelle!MJ53</f>
        <v>158.13227589607979</v>
      </c>
      <c r="G53" s="1823">
        <v>125.07758523900002</v>
      </c>
      <c r="H53" s="1956">
        <f t="shared" si="0"/>
        <v>126.42734954781739</v>
      </c>
    </row>
    <row r="54" spans="1:8">
      <c r="A54" s="1327" t="s">
        <v>431</v>
      </c>
      <c r="B54" s="1826">
        <f>Base_Mensuelle!MF54</f>
        <v>251.40920854567898</v>
      </c>
      <c r="C54" s="1826">
        <f>Base_Mensuelle!MG54</f>
        <v>261.79175272039112</v>
      </c>
      <c r="D54" s="1826">
        <f>Base_Mensuelle!MH54</f>
        <v>265.74180287199948</v>
      </c>
      <c r="E54" s="1826">
        <f>Base_Mensuelle!MI54</f>
        <v>274.76511678665793</v>
      </c>
      <c r="F54" s="1826">
        <f>Base_Mensuelle!MJ54</f>
        <v>295.07743742543749</v>
      </c>
      <c r="G54" s="1827">
        <v>270.69901399999998</v>
      </c>
      <c r="H54" s="1723">
        <f t="shared" si="0"/>
        <v>109.00573041076444</v>
      </c>
    </row>
    <row r="55" spans="1:8">
      <c r="A55" s="1599" t="s">
        <v>432</v>
      </c>
      <c r="B55" s="1823">
        <f>Base_Mensuelle!MF55</f>
        <v>-93.886645479325693</v>
      </c>
      <c r="C55" s="1823">
        <f>Base_Mensuelle!MG55</f>
        <v>-96.140995997962193</v>
      </c>
      <c r="D55" s="1823">
        <f>Base_Mensuelle!MH55</f>
        <v>-109.23310527778968</v>
      </c>
      <c r="E55" s="1823">
        <f>Base_Mensuelle!MI55</f>
        <v>-123.15512696850415</v>
      </c>
      <c r="F55" s="1823">
        <f>Base_Mensuelle!MJ55</f>
        <v>-136.94516152935776</v>
      </c>
      <c r="G55" s="1823">
        <v>-145.62142876099998</v>
      </c>
      <c r="H55" s="1956">
        <f t="shared" si="0"/>
        <v>94.041902139360218</v>
      </c>
    </row>
    <row r="56" spans="1:8">
      <c r="A56" s="1328" t="s">
        <v>433</v>
      </c>
      <c r="B56" s="1826">
        <f>Base_Mensuelle!MF56</f>
        <v>0</v>
      </c>
      <c r="C56" s="1826">
        <f>Base_Mensuelle!MG56</f>
        <v>0</v>
      </c>
      <c r="D56" s="1826">
        <f>Base_Mensuelle!MH56</f>
        <v>0</v>
      </c>
      <c r="E56" s="1826">
        <f>Base_Mensuelle!MI56</f>
        <v>0</v>
      </c>
      <c r="F56" s="1826">
        <f>Base_Mensuelle!MJ56</f>
        <v>0</v>
      </c>
      <c r="G56" s="1827">
        <v>0</v>
      </c>
      <c r="H56" s="1723" t="str">
        <f t="shared" si="0"/>
        <v/>
      </c>
    </row>
    <row r="57" spans="1:8">
      <c r="A57" s="1599" t="s">
        <v>434</v>
      </c>
      <c r="B57" s="1823">
        <f>Base_Mensuelle!MF57</f>
        <v>714.23433820704099</v>
      </c>
      <c r="C57" s="1823">
        <f>Base_Mensuelle!MG57</f>
        <v>219.48749334999994</v>
      </c>
      <c r="D57" s="1823">
        <f>Base_Mensuelle!MH57</f>
        <v>228.02996001799994</v>
      </c>
      <c r="E57" s="1823">
        <f>Base_Mensuelle!MI57</f>
        <v>237.21602864599993</v>
      </c>
      <c r="F57" s="1823">
        <f>Base_Mensuelle!MJ57</f>
        <v>322.90373624299991</v>
      </c>
      <c r="G57" s="1823">
        <v>418.90351883000005</v>
      </c>
      <c r="H57" s="1956">
        <f t="shared" si="0"/>
        <v>77.083080405930204</v>
      </c>
    </row>
    <row r="58" spans="1:8">
      <c r="A58" s="1275" t="s">
        <v>435</v>
      </c>
      <c r="B58" s="1826">
        <f>Base_Mensuelle!MF58</f>
        <v>622.50737603590005</v>
      </c>
      <c r="C58" s="1826">
        <f>Base_Mensuelle!MG58</f>
        <v>435.37896149690005</v>
      </c>
      <c r="D58" s="1826">
        <f>Base_Mensuelle!MH58</f>
        <v>485.83820636990004</v>
      </c>
      <c r="E58" s="1826">
        <f>Base_Mensuelle!MI58</f>
        <v>537.12364599789998</v>
      </c>
      <c r="F58" s="1826">
        <f>Base_Mensuelle!MJ58</f>
        <v>584.78870637989996</v>
      </c>
      <c r="G58" s="1827">
        <v>489.44474857146605</v>
      </c>
      <c r="H58" s="1723">
        <f t="shared" si="0"/>
        <v>119.48002467831409</v>
      </c>
    </row>
    <row r="59" spans="1:8">
      <c r="A59" s="1599" t="s">
        <v>436</v>
      </c>
      <c r="B59" s="1823">
        <f>Base_Mensuelle!MF59</f>
        <v>91.726962171141182</v>
      </c>
      <c r="C59" s="1823">
        <f>Base_Mensuelle!MG59</f>
        <v>-215.89146814690002</v>
      </c>
      <c r="D59" s="1823">
        <f>Base_Mensuelle!MH59</f>
        <v>-257.80824635190004</v>
      </c>
      <c r="E59" s="1823">
        <f>Base_Mensuelle!MI59</f>
        <v>-299.90761735190006</v>
      </c>
      <c r="F59" s="1823">
        <f>Base_Mensuelle!MJ59</f>
        <v>-261.88497013690005</v>
      </c>
      <c r="G59" s="1823">
        <v>-70.541229741466012</v>
      </c>
      <c r="H59" s="1956">
        <f t="shared" si="0"/>
        <v>371.25092814047883</v>
      </c>
    </row>
    <row r="60" spans="1:8">
      <c r="A60" s="1600" t="s">
        <v>437</v>
      </c>
      <c r="B60" s="1831">
        <f>Base_Mensuelle!MF60</f>
        <v>3.3139381528289897</v>
      </c>
      <c r="C60" s="1831">
        <f>Base_Mensuelle!MG60</f>
        <v>3.7042667221040575</v>
      </c>
      <c r="D60" s="1831">
        <f>Base_Mensuelle!MH60</f>
        <v>5.05328573608901</v>
      </c>
      <c r="E60" s="1831">
        <f>Base_Mensuelle!MI60</f>
        <v>7.0369405211535261</v>
      </c>
      <c r="F60" s="1831">
        <f>Base_Mensuelle!MJ60</f>
        <v>6.3901972106110172</v>
      </c>
      <c r="G60" s="1832">
        <v>60.671826531172989</v>
      </c>
      <c r="H60" s="1725">
        <f t="shared" si="0"/>
        <v>10.532396296537659</v>
      </c>
    </row>
    <row r="61" spans="1:8">
      <c r="A61" s="446" t="s">
        <v>438</v>
      </c>
      <c r="B61" s="562"/>
      <c r="C61" s="557"/>
      <c r="D61" s="557"/>
      <c r="E61" s="557"/>
      <c r="F61" s="557"/>
      <c r="G61" s="558"/>
      <c r="H61" s="558"/>
    </row>
    <row r="62" spans="1:8">
      <c r="A62" s="446"/>
      <c r="B62" s="1785"/>
      <c r="C62" s="557"/>
      <c r="D62" s="557"/>
      <c r="E62" s="557"/>
      <c r="F62" s="557"/>
      <c r="G62" s="558"/>
      <c r="H62" s="558"/>
    </row>
    <row r="63" spans="1:8" ht="12.75" customHeight="1"/>
    <row r="64" spans="1:8" ht="9.75" customHeight="1"/>
  </sheetData>
  <mergeCells count="2">
    <mergeCell ref="A1:H1"/>
    <mergeCell ref="B5:F5"/>
  </mergeCells>
  <pageMargins left="0.70866141732283472" right="0.70866141732283472" top="0.74803149606299213" bottom="0.74803149606299213" header="0.31496062992125984" footer="0.31496062992125984"/>
  <pageSetup paperSize="9" scale="70" firstPageNumber="6" orientation="portrait" r:id="rId1"/>
  <headerFooter>
    <oddFooter>&amp;L&amp;8Bulletin trimestriel de conjoncture, 4e trimestre 2023</oddFooter>
  </headerFooter>
  <rowBreaks count="1" manualBreakCount="1">
    <brk id="6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35"/>
  <dimension ref="B1:AC26"/>
  <sheetViews>
    <sheetView topLeftCell="F5" workbookViewId="0">
      <selection activeCell="V20" sqref="V20"/>
    </sheetView>
  </sheetViews>
  <sheetFormatPr baseColWidth="10" defaultRowHeight="12.3"/>
  <cols>
    <col min="7" max="7" width="11.71875" bestFit="1" customWidth="1"/>
    <col min="10" max="10" width="12.83203125" bestFit="1" customWidth="1"/>
    <col min="11" max="11" width="14.44140625" bestFit="1" customWidth="1"/>
    <col min="12" max="17" width="11.83203125" customWidth="1"/>
    <col min="18" max="18" width="14.71875" customWidth="1"/>
    <col min="19" max="23" width="11.83203125" customWidth="1"/>
    <col min="25" max="27" width="13" bestFit="1" customWidth="1"/>
    <col min="28" max="28" width="12.83203125" bestFit="1" customWidth="1"/>
  </cols>
  <sheetData>
    <row r="1" spans="2:29">
      <c r="Y1" t="s">
        <v>513</v>
      </c>
    </row>
    <row r="3" spans="2:29">
      <c r="B3" s="1" t="s">
        <v>1</v>
      </c>
      <c r="L3" t="s">
        <v>144</v>
      </c>
      <c r="R3" s="329" t="s">
        <v>164</v>
      </c>
    </row>
    <row r="4" spans="2:29" ht="12.6" thickBot="1"/>
    <row r="5" spans="2:29" ht="37.5" thickTop="1" thickBot="1">
      <c r="B5" s="16" t="s">
        <v>0</v>
      </c>
      <c r="C5" s="2" t="s">
        <v>2</v>
      </c>
      <c r="D5" s="3" t="s">
        <v>3</v>
      </c>
      <c r="E5" s="3" t="s">
        <v>4</v>
      </c>
      <c r="F5" s="3" t="s">
        <v>5</v>
      </c>
      <c r="G5" s="3" t="s">
        <v>6</v>
      </c>
      <c r="H5" s="3" t="s">
        <v>7</v>
      </c>
      <c r="I5" s="3" t="s">
        <v>8</v>
      </c>
      <c r="J5" s="4" t="s">
        <v>9</v>
      </c>
      <c r="K5" s="27" t="s">
        <v>10</v>
      </c>
      <c r="L5" s="23" t="s">
        <v>124</v>
      </c>
      <c r="M5" s="23" t="s">
        <v>91</v>
      </c>
      <c r="N5" s="149" t="s">
        <v>126</v>
      </c>
      <c r="O5" s="305" t="s">
        <v>149</v>
      </c>
      <c r="P5" s="305" t="s">
        <v>86</v>
      </c>
      <c r="Q5" s="305" t="s">
        <v>133</v>
      </c>
      <c r="R5" s="305" t="s">
        <v>160</v>
      </c>
      <c r="S5" s="305" t="s">
        <v>153</v>
      </c>
      <c r="T5" s="305" t="s">
        <v>159</v>
      </c>
      <c r="U5" s="305" t="s">
        <v>161</v>
      </c>
      <c r="V5" s="305" t="s">
        <v>170</v>
      </c>
      <c r="W5" s="305" t="s">
        <v>200</v>
      </c>
      <c r="X5" s="23" t="s">
        <v>11</v>
      </c>
      <c r="Y5" s="761" t="s">
        <v>205</v>
      </c>
      <c r="Z5" s="762" t="s">
        <v>206</v>
      </c>
      <c r="AA5" s="762" t="s">
        <v>207</v>
      </c>
      <c r="AB5" s="763" t="s">
        <v>208</v>
      </c>
      <c r="AC5" s="177" t="s">
        <v>11</v>
      </c>
    </row>
    <row r="6" spans="2:29" ht="12.6" thickTop="1">
      <c r="B6" s="29">
        <f t="shared" ref="B6:B22" si="0">B7-1</f>
        <v>2004</v>
      </c>
      <c r="C6" s="5"/>
      <c r="D6" s="6"/>
      <c r="E6" s="6"/>
      <c r="F6" s="6"/>
      <c r="G6" s="6"/>
      <c r="H6" s="6"/>
      <c r="I6" s="6"/>
      <c r="J6" s="291"/>
      <c r="K6" s="292"/>
      <c r="L6" s="293"/>
      <c r="M6" s="293"/>
      <c r="N6" s="293"/>
      <c r="O6" s="293"/>
      <c r="P6" s="293"/>
      <c r="Q6" s="293"/>
      <c r="R6" s="293"/>
      <c r="S6" s="293"/>
      <c r="T6" s="293"/>
      <c r="U6" s="293"/>
      <c r="V6" s="293"/>
      <c r="W6" s="293"/>
      <c r="X6" s="24">
        <v>1</v>
      </c>
      <c r="Y6" s="726"/>
      <c r="Z6" s="166"/>
      <c r="AA6" s="166"/>
      <c r="AB6" s="727"/>
      <c r="AC6" s="25">
        <v>1</v>
      </c>
    </row>
    <row r="7" spans="2:29">
      <c r="B7" s="29">
        <f t="shared" si="0"/>
        <v>2005</v>
      </c>
      <c r="C7" s="8"/>
      <c r="D7" s="9"/>
      <c r="E7" s="9"/>
      <c r="F7" s="9"/>
      <c r="G7" s="9"/>
      <c r="H7" s="9"/>
      <c r="I7" s="9"/>
      <c r="J7" s="1613"/>
      <c r="K7" s="294"/>
      <c r="L7" s="295"/>
      <c r="M7" s="295"/>
      <c r="N7" s="295"/>
      <c r="O7" s="295"/>
      <c r="P7" s="295"/>
      <c r="Q7" s="295"/>
      <c r="R7" s="295"/>
      <c r="S7" s="295"/>
      <c r="T7" s="295"/>
      <c r="U7" s="295"/>
      <c r="V7" s="295"/>
      <c r="W7" s="295"/>
      <c r="X7" s="25">
        <v>2</v>
      </c>
      <c r="Y7" s="19"/>
      <c r="Z7" s="93"/>
      <c r="AA7" s="93"/>
      <c r="AB7" s="1614"/>
      <c r="AC7" s="25">
        <v>2</v>
      </c>
    </row>
    <row r="8" spans="2:29">
      <c r="B8" s="29">
        <f t="shared" si="0"/>
        <v>2006</v>
      </c>
      <c r="C8" s="8"/>
      <c r="D8" s="85">
        <f>ANN_Base_mens!D7</f>
        <v>159344</v>
      </c>
      <c r="E8" s="9"/>
      <c r="F8" s="9"/>
      <c r="G8" s="75">
        <f>ANN_Base_mens!G7</f>
        <v>798491</v>
      </c>
      <c r="H8" s="9"/>
      <c r="I8" s="75">
        <f>ANN_Base_mens!I7</f>
        <v>333680</v>
      </c>
      <c r="J8" s="1613"/>
      <c r="K8" s="294"/>
      <c r="L8" s="295"/>
      <c r="M8" s="295"/>
      <c r="N8" s="295"/>
      <c r="O8" s="295"/>
      <c r="P8" s="295"/>
      <c r="Q8" s="295"/>
      <c r="R8" s="295"/>
      <c r="S8" s="295"/>
      <c r="T8" s="295"/>
      <c r="U8" s="295"/>
      <c r="V8" s="295"/>
      <c r="W8" s="295"/>
      <c r="X8" s="25">
        <v>3</v>
      </c>
      <c r="Y8" s="19"/>
      <c r="Z8" s="93"/>
      <c r="AA8" s="93"/>
      <c r="AB8" s="1614"/>
      <c r="AC8" s="25">
        <v>3</v>
      </c>
    </row>
    <row r="9" spans="2:29">
      <c r="B9" s="29">
        <f t="shared" si="0"/>
        <v>2007</v>
      </c>
      <c r="C9" s="8"/>
      <c r="D9" s="85">
        <f>ANN_Base_mens!D8</f>
        <v>195675</v>
      </c>
      <c r="E9" s="9"/>
      <c r="F9" s="9"/>
      <c r="G9" s="75">
        <f>ANN_Base_mens!G8</f>
        <v>797055</v>
      </c>
      <c r="H9" s="9"/>
      <c r="I9" s="75">
        <f>ANN_Base_mens!I8</f>
        <v>318596</v>
      </c>
      <c r="J9" s="1613"/>
      <c r="K9" s="294"/>
      <c r="L9" s="295"/>
      <c r="M9" s="295"/>
      <c r="N9" s="295"/>
      <c r="O9" s="295"/>
      <c r="P9" s="295"/>
      <c r="Q9" s="295"/>
      <c r="R9" s="295"/>
      <c r="S9" s="295"/>
      <c r="T9" s="295"/>
      <c r="U9" s="295"/>
      <c r="V9" s="295"/>
      <c r="W9" s="295"/>
      <c r="X9" s="25">
        <v>4</v>
      </c>
      <c r="Y9" s="19"/>
      <c r="Z9" s="93"/>
      <c r="AA9" s="93"/>
      <c r="AB9" s="1614"/>
      <c r="AC9" s="25">
        <v>4</v>
      </c>
    </row>
    <row r="10" spans="2:29">
      <c r="B10" s="29">
        <f t="shared" si="0"/>
        <v>2008</v>
      </c>
      <c r="C10" s="8"/>
      <c r="D10" s="85">
        <f>ANN_Base_mens!D9</f>
        <v>152112</v>
      </c>
      <c r="E10" s="9"/>
      <c r="F10" s="9"/>
      <c r="G10" s="75">
        <f>ANN_Base_mens!G9</f>
        <v>716871</v>
      </c>
      <c r="H10" s="9"/>
      <c r="I10" s="75">
        <f>ANN_Base_mens!I9</f>
        <v>278680</v>
      </c>
      <c r="J10" s="1613"/>
      <c r="K10" s="294"/>
      <c r="L10" s="295"/>
      <c r="M10" s="295"/>
      <c r="N10" s="295"/>
      <c r="O10" s="295"/>
      <c r="P10" s="295"/>
      <c r="Q10" s="295"/>
      <c r="R10" s="295"/>
      <c r="S10" s="295"/>
      <c r="T10" s="295"/>
      <c r="U10" s="295"/>
      <c r="V10" s="295"/>
      <c r="W10" s="295"/>
      <c r="X10" s="25">
        <v>5</v>
      </c>
      <c r="Y10" s="19"/>
      <c r="Z10" s="93"/>
      <c r="AA10" s="93"/>
      <c r="AB10" s="1614"/>
      <c r="AC10" s="25">
        <v>5</v>
      </c>
    </row>
    <row r="11" spans="2:29">
      <c r="B11" s="29">
        <f t="shared" si="0"/>
        <v>2009</v>
      </c>
      <c r="C11" s="8"/>
      <c r="D11" s="85">
        <f>ANN_Base_mens!D10</f>
        <v>195284</v>
      </c>
      <c r="E11" s="9"/>
      <c r="F11" s="9"/>
      <c r="G11" s="75">
        <f>ANN_Base_mens!G10</f>
        <v>826748</v>
      </c>
      <c r="H11" s="9"/>
      <c r="I11" s="75">
        <f>ANN_Base_mens!I10</f>
        <v>228272</v>
      </c>
      <c r="J11" s="1613"/>
      <c r="K11" s="294"/>
      <c r="L11" s="295"/>
      <c r="M11" s="295"/>
      <c r="N11" s="295"/>
      <c r="O11" s="295"/>
      <c r="P11" s="295"/>
      <c r="Q11" s="295"/>
      <c r="R11" s="295"/>
      <c r="S11" s="295"/>
      <c r="T11" s="295"/>
      <c r="U11" s="295"/>
      <c r="V11" s="295">
        <v>254194</v>
      </c>
      <c r="W11" s="295">
        <v>86785</v>
      </c>
      <c r="X11" s="25">
        <v>6</v>
      </c>
      <c r="Z11" s="182"/>
      <c r="AA11" s="182"/>
      <c r="AB11" s="1613"/>
      <c r="AC11" s="25">
        <v>6</v>
      </c>
    </row>
    <row r="12" spans="2:29">
      <c r="B12" s="29">
        <f t="shared" si="0"/>
        <v>2010</v>
      </c>
      <c r="C12" s="8"/>
      <c r="D12" s="85">
        <f>ANN_Base_mens!D11</f>
        <v>173670</v>
      </c>
      <c r="E12" s="9"/>
      <c r="F12" s="9"/>
      <c r="G12" s="75">
        <f>ANN_Base_mens!G11</f>
        <v>809446</v>
      </c>
      <c r="H12" s="9"/>
      <c r="I12" s="75">
        <f>ANN_Base_mens!I11</f>
        <v>213270</v>
      </c>
      <c r="J12" s="1613"/>
      <c r="K12" s="294"/>
      <c r="L12" s="295"/>
      <c r="M12" s="295"/>
      <c r="N12" s="295"/>
      <c r="O12" s="295"/>
      <c r="P12" s="295"/>
      <c r="Q12" s="295"/>
      <c r="R12" s="295"/>
      <c r="S12" s="295"/>
      <c r="T12" s="295"/>
      <c r="U12" s="295"/>
      <c r="V12" s="295">
        <v>283908</v>
      </c>
      <c r="W12" s="295">
        <v>107899</v>
      </c>
      <c r="X12" s="25">
        <v>7</v>
      </c>
      <c r="Y12" s="181"/>
      <c r="Z12" s="182"/>
      <c r="AA12" s="182"/>
      <c r="AB12" s="1613"/>
      <c r="AC12" s="25">
        <v>7</v>
      </c>
    </row>
    <row r="13" spans="2:29">
      <c r="B13" s="29">
        <f t="shared" si="0"/>
        <v>2011</v>
      </c>
      <c r="C13" s="8"/>
      <c r="D13" s="85">
        <f>ANN_Base_mens!D12</f>
        <v>186170</v>
      </c>
      <c r="E13" s="9"/>
      <c r="F13" s="9"/>
      <c r="G13" s="75">
        <f>ANN_Base_mens!G12</f>
        <v>828179</v>
      </c>
      <c r="H13" s="9"/>
      <c r="I13" s="75">
        <f>ANN_Base_mens!I12</f>
        <v>307031</v>
      </c>
      <c r="J13" s="1613"/>
      <c r="K13" s="294"/>
      <c r="L13" s="295"/>
      <c r="M13" s="295"/>
      <c r="N13" s="295"/>
      <c r="O13" s="295"/>
      <c r="P13" s="295"/>
      <c r="Q13" s="295"/>
      <c r="R13" s="295"/>
      <c r="S13" s="295"/>
      <c r="T13" s="295"/>
      <c r="U13" s="295"/>
      <c r="V13" s="295">
        <v>287785</v>
      </c>
      <c r="W13" s="295">
        <v>147667</v>
      </c>
      <c r="X13" s="25">
        <v>8</v>
      </c>
      <c r="Y13" s="181">
        <f>VLOOKUP($B13,ANN_Base_mens!$B$5:$AW$55,30,0)</f>
        <v>185829</v>
      </c>
      <c r="Z13" s="182">
        <f>VLOOKUP($B13,ANN_Base_mens!$B$5:$AW$55,31,0)</f>
        <v>193576</v>
      </c>
      <c r="AA13" s="182">
        <f>VLOOKUP($B13,ANN_Base_mens!$B$5:$AW$55,32,0)</f>
        <v>379405</v>
      </c>
      <c r="AB13" s="1613">
        <f>VLOOKUP($B13,ANN_Base_mens!$B$5:$AW$55,33,0)</f>
        <v>57444.777849784667</v>
      </c>
      <c r="AC13" s="25">
        <v>8</v>
      </c>
    </row>
    <row r="14" spans="2:29">
      <c r="B14" s="29">
        <f t="shared" si="0"/>
        <v>2012</v>
      </c>
      <c r="C14" s="8"/>
      <c r="D14" s="85">
        <f>ANN_Base_mens!D13</f>
        <v>212519</v>
      </c>
      <c r="E14" s="9"/>
      <c r="F14" s="9"/>
      <c r="G14" s="75">
        <f>ANN_Base_mens!G13</f>
        <v>877222</v>
      </c>
      <c r="H14" s="9"/>
      <c r="I14" s="75">
        <f>ANN_Base_mens!I13</f>
        <v>287191</v>
      </c>
      <c r="J14" s="1613"/>
      <c r="K14" s="294"/>
      <c r="L14" s="295"/>
      <c r="M14" s="295"/>
      <c r="N14" s="295"/>
      <c r="O14" s="295"/>
      <c r="P14" s="295"/>
      <c r="Q14" s="295"/>
      <c r="R14" s="295"/>
      <c r="S14" s="295"/>
      <c r="T14" s="295"/>
      <c r="U14" s="295"/>
      <c r="V14" s="295">
        <v>338171</v>
      </c>
      <c r="W14" s="295">
        <v>151347</v>
      </c>
      <c r="X14" s="25">
        <v>9</v>
      </c>
      <c r="Y14" s="181">
        <f>VLOOKUP($B14,ANN_Base_mens!$B$5:$AW$55,30,0)</f>
        <v>203284</v>
      </c>
      <c r="Z14" s="182">
        <f>VLOOKUP($B14,ANN_Base_mens!$B$5:$AW$55,31,0)</f>
        <v>210658</v>
      </c>
      <c r="AA14" s="182">
        <f>VLOOKUP($B14,ANN_Base_mens!$B$5:$AW$55,32,0)</f>
        <v>413942</v>
      </c>
      <c r="AB14" s="1613">
        <f>VLOOKUP($B14,ANN_Base_mens!$B$5:$AW$55,33,0)</f>
        <v>83254.352014399701</v>
      </c>
      <c r="AC14" s="25">
        <v>9</v>
      </c>
    </row>
    <row r="15" spans="2:29">
      <c r="B15" s="29">
        <f t="shared" si="0"/>
        <v>2013</v>
      </c>
      <c r="C15" s="8"/>
      <c r="D15" s="85">
        <f>ANN_Base_mens!D14</f>
        <v>217168</v>
      </c>
      <c r="E15" s="9"/>
      <c r="F15" s="9"/>
      <c r="G15" s="75">
        <f>ANN_Base_mens!G14</f>
        <v>865291</v>
      </c>
      <c r="H15" s="9"/>
      <c r="I15" s="75">
        <f>ANN_Base_mens!I14</f>
        <v>295592</v>
      </c>
      <c r="J15" s="1613"/>
      <c r="K15" s="294"/>
      <c r="L15" s="295"/>
      <c r="M15" s="295"/>
      <c r="N15" s="295"/>
      <c r="O15" s="295"/>
      <c r="P15" s="295"/>
      <c r="Q15" s="295"/>
      <c r="R15" s="295"/>
      <c r="S15" s="295"/>
      <c r="T15" s="295"/>
      <c r="U15" s="295"/>
      <c r="V15" s="295">
        <v>338171</v>
      </c>
      <c r="W15" s="295">
        <v>165973</v>
      </c>
      <c r="X15" s="25">
        <v>10</v>
      </c>
      <c r="Y15" s="181">
        <f>VLOOKUP($B15,ANN_Base_mens!$B$5:$AW$55,30,0)</f>
        <v>69042</v>
      </c>
      <c r="Z15" s="182">
        <f>VLOOKUP($B15,ANN_Base_mens!$B$5:$AW$55,31,0)</f>
        <v>70144</v>
      </c>
      <c r="AA15" s="182">
        <f>VLOOKUP($B15,ANN_Base_mens!$B$5:$AW$55,32,0)</f>
        <v>139186</v>
      </c>
      <c r="AB15" s="1613">
        <f>VLOOKUP($B15,ANN_Base_mens!$B$5:$AW$55,33,0)</f>
        <v>23911</v>
      </c>
      <c r="AC15" s="25">
        <v>10</v>
      </c>
    </row>
    <row r="16" spans="2:29">
      <c r="B16" s="29">
        <f t="shared" si="0"/>
        <v>2014</v>
      </c>
      <c r="C16" s="8"/>
      <c r="D16" s="85">
        <f>ANN_Base_mens!D15</f>
        <v>225381</v>
      </c>
      <c r="E16" s="9"/>
      <c r="F16" s="9"/>
      <c r="G16" s="75">
        <f>ANN_Base_mens!G15</f>
        <v>925406</v>
      </c>
      <c r="H16" s="9"/>
      <c r="I16" s="75">
        <f>ANN_Base_mens!I15</f>
        <v>299328</v>
      </c>
      <c r="J16" s="1613"/>
      <c r="K16" s="294"/>
      <c r="L16" s="295"/>
      <c r="M16" s="295"/>
      <c r="N16" s="295"/>
      <c r="O16" s="295"/>
      <c r="P16" s="295"/>
      <c r="Q16" s="295"/>
      <c r="R16" s="295"/>
      <c r="S16" s="295"/>
      <c r="T16" s="295"/>
      <c r="U16" s="295"/>
      <c r="V16" s="295">
        <v>362165</v>
      </c>
      <c r="W16" s="295">
        <v>182411</v>
      </c>
      <c r="X16" s="25">
        <v>11</v>
      </c>
      <c r="Y16" s="181">
        <f>VLOOKUP($B16,ANN_Base_mens!$B$5:$AW$55,30,0)</f>
        <v>222743.88181536971</v>
      </c>
      <c r="Z16" s="182">
        <f>VLOOKUP($B16,ANN_Base_mens!$B$5:$AW$55,31,0)</f>
        <v>214941.84037430913</v>
      </c>
      <c r="AA16" s="182">
        <f>VLOOKUP($B16,ANN_Base_mens!$B$5:$AW$55,32,0)</f>
        <v>429086.08807285014</v>
      </c>
      <c r="AB16" s="1613">
        <f>VLOOKUP($B16,ANN_Base_mens!$B$5:$AW$55,33,0)</f>
        <v>103353.76065518135</v>
      </c>
      <c r="AC16" s="25">
        <v>11</v>
      </c>
    </row>
    <row r="17" spans="2:29">
      <c r="B17" s="29">
        <f t="shared" si="0"/>
        <v>2015</v>
      </c>
      <c r="C17" s="8"/>
      <c r="D17" s="85">
        <f>ANN_Base_mens!D16</f>
        <v>226111</v>
      </c>
      <c r="E17" s="9"/>
      <c r="F17" s="9"/>
      <c r="G17" s="75">
        <f>ANN_Base_mens!G16</f>
        <v>971093</v>
      </c>
      <c r="H17" s="9"/>
      <c r="I17" s="75">
        <f>ANN_Base_mens!I16</f>
        <v>319520</v>
      </c>
      <c r="J17" s="1613"/>
      <c r="K17" s="294"/>
      <c r="L17" s="295">
        <f>VLOOKUP($B17,Base_Annuelle!$A$35:$G$185,2,0)</f>
        <v>946184.13903598441</v>
      </c>
      <c r="M17" s="295">
        <f>VLOOKUP($B17,Base_Annuelle!$A$35:$G$185,3,0)</f>
        <v>1469611.7498937806</v>
      </c>
      <c r="N17" s="295">
        <f>VLOOKUP($B17,Base_Annuelle!$A$35:$G$185,6,0)</f>
        <v>1073094.945368899</v>
      </c>
      <c r="O17" s="295">
        <f>VLOOKUP($B17,Base_Annuelle!$A$35:$G$185,2,0)+VLOOKUP($B17,Base_Annuelle!$A$35:$G$185,3,0)+VLOOKUP($B17,Base_Annuelle!$A$35:$G$185,4,0)+VLOOKUP($B17,Base_Annuelle!$A$35:$G$185,5,0)+VLOOKUP($B17,Base_Annuelle!$A$35:$G$185,6,0)+VLOOKUP($B17,Base_Annuelle!$A$35:$G$185,7,0)</f>
        <v>4189665.153377939</v>
      </c>
      <c r="P17" s="295">
        <f>VLOOKUP($B17,Base_Annuelle!$A$35:$K$185,9,0)</f>
        <v>768930.17224691447</v>
      </c>
      <c r="Q17" s="295">
        <f>VLOOKUP($B17,Base_Annuelle!$A$35:$K$185,8,0)</f>
        <v>365887.07009204442</v>
      </c>
      <c r="R17" s="295">
        <f>VLOOKUP($B17,Base_Annuelle!$A$35:$AY$185,49,0)</f>
        <v>874.9</v>
      </c>
      <c r="S17" s="295">
        <f>VLOOKUP($B17,Base_Annuelle!$A$35:$AY$185,42,0)</f>
        <v>1155.4000000000001</v>
      </c>
      <c r="T17" s="295">
        <f>VLOOKUP($B17,Base_Annuelle!$A$35:$AY$185,48,0)</f>
        <v>1113.5</v>
      </c>
      <c r="U17" s="295">
        <f>VLOOKUP($B17,Base_Annuelle!$A$35:$AY$185,50,0)</f>
        <v>815.3</v>
      </c>
      <c r="V17" s="295">
        <f>VLOOKUP($B17,Base_Mensuelle!$CX$67:$DE$679,6,0)</f>
        <v>544825</v>
      </c>
      <c r="W17" s="295">
        <v>212464</v>
      </c>
      <c r="X17" s="25">
        <v>12</v>
      </c>
      <c r="Y17">
        <f>VLOOKUP($B17,ANN_Base_mens!$B$5:$AW$55,30,0)</f>
        <v>219296.23428077906</v>
      </c>
      <c r="Z17" s="182">
        <f>VLOOKUP($B17,ANN_Base_mens!$B$5:$AW$55,31,0)</f>
        <v>244127.42302692463</v>
      </c>
      <c r="AA17" s="182">
        <f>VLOOKUP($B17,ANN_Base_mens!$B$5:$AW$55,32,0)</f>
        <v>461541.14580678678</v>
      </c>
      <c r="AB17" s="1613">
        <f>VLOOKUP($B17,ANN_Base_mens!$B$5:$AW$55,33,0)</f>
        <v>85485.657429590719</v>
      </c>
      <c r="AC17" s="25">
        <v>12</v>
      </c>
    </row>
    <row r="18" spans="2:29">
      <c r="B18" s="29">
        <f t="shared" si="0"/>
        <v>2016</v>
      </c>
      <c r="C18" s="8"/>
      <c r="D18" s="85">
        <f>ANN_Base_mens!D17</f>
        <v>250297</v>
      </c>
      <c r="E18" s="9"/>
      <c r="F18" s="9"/>
      <c r="G18" s="75">
        <f>ANN_Base_mens!G17</f>
        <v>1061514</v>
      </c>
      <c r="H18" s="9"/>
      <c r="I18" s="75">
        <f>ANN_Base_mens!I17</f>
        <v>355739</v>
      </c>
      <c r="J18" s="1613"/>
      <c r="K18" s="294"/>
      <c r="L18" s="295">
        <f>VLOOKUP($B18,Base_Annuelle!$A$35:$G$185,2,0)</f>
        <v>905071.1884869365</v>
      </c>
      <c r="M18" s="295">
        <f>VLOOKUP($B18,Base_Annuelle!$A$35:$G$185,3,0)</f>
        <v>1602524.5979340866</v>
      </c>
      <c r="N18" s="295">
        <f>VLOOKUP($B18,Base_Annuelle!$A$35:$G$185,6,0)</f>
        <v>1177442.2356510342</v>
      </c>
      <c r="O18" s="295">
        <f>VLOOKUP($B18,Base_Annuelle!$A$35:$G$185,2,0)+VLOOKUP($B18,Base_Annuelle!$A$35:$G$185,3,0)+VLOOKUP($B18,Base_Annuelle!$A$35:$G$185,4,0)+VLOOKUP($B18,Base_Annuelle!$A$35:$G$185,5,0)+VLOOKUP($B18,Base_Annuelle!$A$35:$G$185,6,0)+VLOOKUP($B18,Base_Annuelle!$A$35:$G$185,7,0)</f>
        <v>4567065.5166683877</v>
      </c>
      <c r="P18" s="295">
        <f>VLOOKUP($B18,Base_Annuelle!$A$35:$K$185,9,0)</f>
        <v>784784.15308621898</v>
      </c>
      <c r="Q18" s="295">
        <f>VLOOKUP($B18,Base_Annuelle!$A$35:$K$185,8,0)</f>
        <v>519345.28784296091</v>
      </c>
      <c r="R18" s="295">
        <f>VLOOKUP($B18,Base_Annuelle!$A$35:$AY$185,49,0)</f>
        <v>974.1</v>
      </c>
      <c r="S18" s="295">
        <f>VLOOKUP($B18,Base_Annuelle!$A$35:$AY$185,42,0)</f>
        <v>1190.5999999999999</v>
      </c>
      <c r="T18" s="295">
        <f>VLOOKUP($B18,Base_Annuelle!$A$35:$AY$185,48,0)</f>
        <v>1104.8</v>
      </c>
      <c r="U18" s="295">
        <f>VLOOKUP($B18,Base_Annuelle!$A$35:$AY$185,50,0)</f>
        <v>920.8</v>
      </c>
      <c r="V18" s="295">
        <f>VLOOKUP($B18,Base_Mensuelle!$CX$67:$DE$679,6,0)</f>
        <v>585634</v>
      </c>
      <c r="W18" s="295">
        <v>240517</v>
      </c>
      <c r="X18" s="25">
        <v>13</v>
      </c>
      <c r="Y18" s="181">
        <f>VLOOKUP($B18,ANN_Base_mens!$B$5:$AW$55,30,0)</f>
        <v>230040.12554299497</v>
      </c>
      <c r="Z18" s="182">
        <f>VLOOKUP($B18,ANN_Base_mens!$B$5:$AW$55,31,0)</f>
        <v>237299.73620545771</v>
      </c>
      <c r="AA18" s="182">
        <f>VLOOKUP($B18,ANN_Base_mens!$B$5:$AW$55,32,0)</f>
        <v>467229.66605392756</v>
      </c>
      <c r="AB18" s="1613">
        <f>VLOOKUP($B18,ANN_Base_mens!$B$5:$AW$55,33,0)</f>
        <v>71517.054461980966</v>
      </c>
      <c r="AC18" s="25">
        <v>13</v>
      </c>
    </row>
    <row r="19" spans="2:29">
      <c r="B19" s="29">
        <f t="shared" si="0"/>
        <v>2017</v>
      </c>
      <c r="C19" s="8"/>
      <c r="D19" s="85">
        <f>ANN_Base_mens!D18</f>
        <v>260463</v>
      </c>
      <c r="E19" s="9"/>
      <c r="F19" s="9"/>
      <c r="G19" s="75">
        <f>ANN_Base_mens!G18</f>
        <v>987395</v>
      </c>
      <c r="H19" s="9"/>
      <c r="I19" s="75">
        <f>ANN_Base_mens!I18</f>
        <v>331961</v>
      </c>
      <c r="J19" s="1613"/>
      <c r="K19" s="294"/>
      <c r="L19" s="295">
        <f>VLOOKUP($B19,Base_Annuelle!$A$35:$G$185,2,0)</f>
        <v>828234.30594400514</v>
      </c>
      <c r="M19" s="295">
        <f>VLOOKUP($B19,Base_Annuelle!$A$35:$G$185,3,0)</f>
        <v>1533430.7674806667</v>
      </c>
      <c r="N19" s="295">
        <f>VLOOKUP($B19,Base_Annuelle!$A$35:$G$185,6,0)</f>
        <v>1005214.3215854032</v>
      </c>
      <c r="O19" s="295">
        <f>VLOOKUP($B19,Base_Annuelle!$A$35:$G$185,2,0)+VLOOKUP($B19,Base_Annuelle!$A$35:$G$185,3,0)+VLOOKUP($B19,Base_Annuelle!$A$35:$G$185,4,0)+VLOOKUP($B19,Base_Annuelle!$A$35:$G$185,5,0)+VLOOKUP($B19,Base_Annuelle!$A$35:$G$185,6,0)+VLOOKUP($B19,Base_Annuelle!$A$35:$G$185,7,0)</f>
        <v>4063198.1376393288</v>
      </c>
      <c r="P19" s="295">
        <f>VLOOKUP($B19,Base_Annuelle!$A$35:$K$185,9,0)</f>
        <v>844337.13100948383</v>
      </c>
      <c r="Q19" s="295">
        <f>VLOOKUP($B19,Base_Annuelle!$A$35:$K$185,8,0)</f>
        <v>334327.83543372271</v>
      </c>
      <c r="R19" s="295">
        <f>VLOOKUP($B19,Base_Annuelle!$A$35:$AY$185,49,0)</f>
        <v>994.67802323436399</v>
      </c>
      <c r="S19" s="295">
        <f>VLOOKUP($B19,Base_Annuelle!$A$35:$AY$185,42,0)</f>
        <v>1151.6705015408004</v>
      </c>
      <c r="T19" s="295">
        <f>VLOOKUP($B19,Base_Annuelle!$A$35:$AY$185,48,0)</f>
        <v>1140.1810728525904</v>
      </c>
      <c r="U19" s="295">
        <f>VLOOKUP($B19,Base_Annuelle!$A$35:$AY$185,50,0)</f>
        <v>945.54247813673294</v>
      </c>
      <c r="V19" s="295">
        <f>VLOOKUP($B19,Base_Mensuelle!$CX$67:$DE$679,6,0)</f>
        <v>628111</v>
      </c>
      <c r="W19" s="295">
        <v>269615</v>
      </c>
      <c r="X19" s="25">
        <v>14</v>
      </c>
      <c r="Y19" s="181">
        <f>VLOOKUP($B19,ANN_Base_mens!$B$5:$AW$55,30,0)</f>
        <v>252236</v>
      </c>
      <c r="Z19" s="182">
        <f>VLOOKUP($B19,ANN_Base_mens!$B$5:$AW$55,31,0)</f>
        <v>257948</v>
      </c>
      <c r="AA19" s="182">
        <f>VLOOKUP($B19,ANN_Base_mens!$B$5:$AW$55,32,0)</f>
        <v>510184</v>
      </c>
      <c r="AB19" s="1613">
        <f>VLOOKUP($B19,ANN_Base_mens!$B$5:$AW$55,33,0)</f>
        <v>76456</v>
      </c>
      <c r="AC19" s="25">
        <v>14</v>
      </c>
    </row>
    <row r="20" spans="2:29">
      <c r="B20" s="29">
        <f t="shared" si="0"/>
        <v>2018</v>
      </c>
      <c r="C20" s="8"/>
      <c r="D20" s="85">
        <f>ANN_Base_mens!D19</f>
        <v>237497</v>
      </c>
      <c r="E20" s="9"/>
      <c r="F20" s="9"/>
      <c r="G20" s="75">
        <f>ANN_Base_mens!G19</f>
        <v>1026913</v>
      </c>
      <c r="H20" s="9"/>
      <c r="I20" s="75">
        <f>ANN_Base_mens!I19</f>
        <v>351901</v>
      </c>
      <c r="J20" s="1613"/>
      <c r="K20" s="294"/>
      <c r="L20" s="295">
        <f>VLOOKUP($B20,Base_Annuelle!$A$35:$G$185,2,0)</f>
        <v>1189078.5635154962</v>
      </c>
      <c r="M20" s="295">
        <f>VLOOKUP($B20,Base_Annuelle!$A$35:$G$185,3,0)</f>
        <v>1700127.0413762112</v>
      </c>
      <c r="N20" s="295">
        <f>VLOOKUP($B20,Base_Annuelle!$A$35:$G$185,6,0)</f>
        <v>1528847.5255076853</v>
      </c>
      <c r="O20" s="295">
        <f>VLOOKUP($B20,Base_Annuelle!$A$35:$G$185,2,0)+VLOOKUP($B20,Base_Annuelle!$A$35:$G$185,3,0)+VLOOKUP($B20,Base_Annuelle!$A$35:$G$185,4,0)+VLOOKUP($B20,Base_Annuelle!$A$35:$G$185,5,0)+VLOOKUP($B20,Base_Annuelle!$A$35:$G$185,6,0)+VLOOKUP($B20,Base_Annuelle!$A$35:$G$185,7,0)</f>
        <v>5180701.9950712034</v>
      </c>
      <c r="P20" s="295">
        <f>VLOOKUP($B20,Base_Annuelle!$A$35:$K$185,9,0)</f>
        <v>482173.02154259849</v>
      </c>
      <c r="Q20" s="295">
        <f>VLOOKUP($B20,Base_Annuelle!$A$35:$K$185,8,0)</f>
        <v>329783.40731657366</v>
      </c>
      <c r="R20" s="295">
        <f>VLOOKUP($B20,Base_Annuelle!$A$35:$AY$185,49,0)</f>
        <v>1011.6135992424839</v>
      </c>
      <c r="S20" s="295">
        <f>VLOOKUP($B20,Base_Annuelle!$A$35:$AY$185,42,0)</f>
        <v>1150.3853877999252</v>
      </c>
      <c r="T20" s="295">
        <f>VLOOKUP($B20,Base_Annuelle!$A$35:$AY$185,48,0)</f>
        <v>1141.4295364816421</v>
      </c>
      <c r="U20" s="295">
        <f>VLOOKUP($B20,Base_Annuelle!$A$35:$AY$185,50,0)</f>
        <v>966.32532368729574</v>
      </c>
      <c r="V20" s="295">
        <f>VLOOKUP($B20,Base_Mensuelle!$CX$67:$DE$679,6,0)</f>
        <v>669448</v>
      </c>
      <c r="W20" s="295">
        <v>296370</v>
      </c>
      <c r="X20" s="25">
        <v>15</v>
      </c>
      <c r="Y20" s="181">
        <f>VLOOKUP($B20,ANN_Base_mens!$B$5:$AW$55,30,0)</f>
        <v>241603</v>
      </c>
      <c r="Z20" s="182">
        <f>VLOOKUP($B20,ANN_Base_mens!$B$5:$AW$55,31,0)</f>
        <v>252310</v>
      </c>
      <c r="AA20" s="182">
        <f>VLOOKUP($B20,ANN_Base_mens!$B$5:$AW$55,32,0)</f>
        <v>493913</v>
      </c>
      <c r="AB20" s="1613">
        <f>VLOOKUP($B20,ANN_Base_mens!$B$5:$AW$55,33,0)</f>
        <v>100256</v>
      </c>
      <c r="AC20" s="25">
        <v>15</v>
      </c>
    </row>
    <row r="21" spans="2:29">
      <c r="B21" s="29">
        <f t="shared" si="0"/>
        <v>2019</v>
      </c>
      <c r="C21" s="74">
        <f>SUMIF(Base_Mensuelle!$A$68:$A$679,$B21,Base_Mensuelle!C$68:C$679)</f>
        <v>17737</v>
      </c>
      <c r="D21" s="75">
        <f>SUMIF(Base_Mensuelle!$A$68:$A$679,$B21,Base_Mensuelle!D$68:D$679)</f>
        <v>260731</v>
      </c>
      <c r="E21" s="74">
        <f>SUMIF(Base_Mensuelle!$A$68:$A$679,$B21,Base_Mensuelle!E$68:E$679)</f>
        <v>686</v>
      </c>
      <c r="F21" s="75">
        <f>SUMIF(Base_Mensuelle!$A$68:$A$679,$B21,Base_Mensuelle!F$68:F$679)</f>
        <v>3894</v>
      </c>
      <c r="G21" s="75">
        <f>SUMIF(Base_Mensuelle!$A$68:$A$679,$B21,Base_Mensuelle!G$68:G$679)</f>
        <v>1062756</v>
      </c>
      <c r="H21" s="75">
        <f>SUMIF(Base_Mensuelle!$A$68:$A$679,$B21,Base_Mensuelle!H$68:H$679)</f>
        <v>196</v>
      </c>
      <c r="I21" s="75">
        <f>SUMIF(Base_Mensuelle!$A$68:$A$679,$B21,Base_Mensuelle!I$68:I$679)</f>
        <v>343504</v>
      </c>
      <c r="J21" s="1613">
        <f>SUMIF(Base_Mensuelle!$A$68:$A$679,$B21,Base_Mensuelle!J$68:J$679)</f>
        <v>190061</v>
      </c>
      <c r="K21" s="294">
        <f>SUM(C21:J21)</f>
        <v>1879565</v>
      </c>
      <c r="L21" s="295">
        <f>VLOOKUP($B21,Base_Annuelle!$A$35:$G$185,2,0)</f>
        <v>970175.88475286064</v>
      </c>
      <c r="M21" s="295">
        <f>VLOOKUP($B21,Base_Annuelle!$A$35:$G$185,3,0)</f>
        <v>1710897.56078783</v>
      </c>
      <c r="N21" s="295">
        <f>VLOOKUP($B21,Base_Annuelle!$A$35:$G$185,6,0)</f>
        <v>1467997.6356373823</v>
      </c>
      <c r="O21" s="295">
        <f>VLOOKUP($B21,Base_Annuelle!$A$35:$G$185,2,0)+VLOOKUP($B21,Base_Annuelle!$A$35:$G$185,3,0)+VLOOKUP($B21,Base_Annuelle!$A$35:$G$185,4,0)+VLOOKUP($B21,Base_Annuelle!$A$35:$G$185,5,0)+VLOOKUP($B21,Base_Annuelle!$A$35:$G$185,6,0)+VLOOKUP($B21,Base_Annuelle!$A$35:$G$185,7,0)</f>
        <v>4939629.9078475805</v>
      </c>
      <c r="P21" s="295">
        <f>VLOOKUP($B21,Base_Annuelle!$A$35:$K$185,9,0)</f>
        <v>724231.80209709122</v>
      </c>
      <c r="Q21" s="295">
        <f>VLOOKUP($B21,Base_Annuelle!$A$35:$K$185,8,0)</f>
        <v>396128.73759972042</v>
      </c>
      <c r="R21" s="295">
        <f>VLOOKUP($B21,Base_Annuelle!$A$35:$AY$185,49,0)</f>
        <v>1013.6521799237888</v>
      </c>
      <c r="S21" s="295">
        <f>VLOOKUP($B21,Base_Annuelle!$A$35:$AY$185,42,0)</f>
        <v>1132.1996417074711</v>
      </c>
      <c r="T21" s="295">
        <f>VLOOKUP($B21,Base_Annuelle!$A$35:$AY$185,48,0)</f>
        <v>1159.0623781662757</v>
      </c>
      <c r="U21" s="295">
        <f>VLOOKUP($B21,Base_Annuelle!$A$35:$AY$185,50,0)</f>
        <v>968.63756299533884</v>
      </c>
      <c r="V21" s="295">
        <f>VLOOKUP($B21,Base_Mensuelle!$CX$67:$DE$679,6,0)</f>
        <v>0</v>
      </c>
      <c r="W21" s="295">
        <f>VLOOKUP($B21,Base_Mensuelle!$A$64:$DO$676,112,0)</f>
        <v>400779</v>
      </c>
      <c r="X21" s="25">
        <v>16</v>
      </c>
      <c r="Y21" s="181">
        <f>VLOOKUP($B21,ANN_Base_mens!$B$5:$AW$55,30,0)</f>
        <v>492865</v>
      </c>
      <c r="Z21" s="182">
        <f>VLOOKUP($B21,ANN_Base_mens!$B$5:$AW$55,31,0)</f>
        <v>529666</v>
      </c>
      <c r="AA21" s="182">
        <f>VLOOKUP($B21,ANN_Base_mens!$B$5:$AW$55,32,0)</f>
        <v>578765</v>
      </c>
      <c r="AB21" s="1613">
        <f>VLOOKUP($B21,ANN_Base_mens!$B$5:$AW$55,33,0)</f>
        <v>99863</v>
      </c>
      <c r="AC21" s="25">
        <v>16</v>
      </c>
    </row>
    <row r="22" spans="2:29">
      <c r="B22" s="29">
        <f t="shared" si="0"/>
        <v>2020</v>
      </c>
      <c r="C22" s="74">
        <f>SUMIF(Base_Mensuelle!$A$68:$A$679,$B22,Base_Mensuelle!C$68:C$679)</f>
        <v>20127</v>
      </c>
      <c r="D22" s="75">
        <f>SUMIF(Base_Mensuelle!$A$68:$A$679,$B22,Base_Mensuelle!D$68:D$679)</f>
        <v>338996</v>
      </c>
      <c r="E22" s="75">
        <f>SUMIF(Base_Mensuelle!$A$68:$A$679,$B22,Base_Mensuelle!E$68:E$679)</f>
        <v>1583</v>
      </c>
      <c r="F22" s="75">
        <f>SUMIF(Base_Mensuelle!$A$68:$A$679,$B22,Base_Mensuelle!F$68:F$679)</f>
        <v>0</v>
      </c>
      <c r="G22" s="75">
        <f>SUMIF(Base_Mensuelle!$A$68:$A$679,$B22,Base_Mensuelle!G$68:G$679)</f>
        <v>1273588</v>
      </c>
      <c r="H22" s="75">
        <f>SUMIF(Base_Mensuelle!$A$68:$A$679,$B22,Base_Mensuelle!H$68:H$679)</f>
        <v>871</v>
      </c>
      <c r="I22" s="75">
        <f>SUMIF(Base_Mensuelle!$A$68:$A$679,$B22,Base_Mensuelle!I$68:I$679)</f>
        <v>375736</v>
      </c>
      <c r="J22" s="1613">
        <f>SUMIF(Base_Mensuelle!$A$68:$A$679,$B22,Base_Mensuelle!J$68:J$679)</f>
        <v>233130</v>
      </c>
      <c r="K22" s="294">
        <f>SUM(C22:J22)</f>
        <v>2244031</v>
      </c>
      <c r="L22" s="295">
        <f>VLOOKUP($B22,Base_Annuelle!$A$35:$G$185,2,0)</f>
        <v>957252.67585186812</v>
      </c>
      <c r="M22" s="295">
        <f>VLOOKUP($B22,Base_Annuelle!$A$35:$G$185,3,0)</f>
        <v>1920101.1649852863</v>
      </c>
      <c r="N22" s="295">
        <f>VLOOKUP($B22,Base_Annuelle!$A$35:$G$185,6,0)</f>
        <v>1425103.3709850935</v>
      </c>
      <c r="O22" s="295">
        <f>VLOOKUP($B22,Base_Annuelle!$A$35:$G$185,2,0)+VLOOKUP($B22,Base_Annuelle!$A$35:$G$185,3,0)+VLOOKUP($B22,Base_Annuelle!$A$35:$G$185,4,0)+VLOOKUP($B22,Base_Annuelle!$A$35:$G$185,5,0)+VLOOKUP($B22,Base_Annuelle!$A$35:$G$185,6,0)+VLOOKUP($B22,Base_Annuelle!$A$35:$G$185,7,0)</f>
        <v>5179104.1311345007</v>
      </c>
      <c r="P22" s="295">
        <f>VLOOKUP($B22,Base_Annuelle!$A$35:$K$185,9,0)</f>
        <v>696635.62056103267</v>
      </c>
      <c r="Q22" s="295">
        <f>VLOOKUP($B22,Base_Annuelle!$A$35:$K$185,8,0)</f>
        <v>630525.75122875546</v>
      </c>
      <c r="R22" s="295">
        <f>VLOOKUP($B22,Base_Annuelle!$A$35:$AY$185,49,0)</f>
        <v>1021.2448517460836</v>
      </c>
      <c r="S22" s="295">
        <f>VLOOKUP($B22,Base_Annuelle!$A$35:$AY$185,42,0)</f>
        <v>1140.650674892737</v>
      </c>
      <c r="T22" s="295">
        <f>VLOOKUP($B22,Base_Annuelle!$A$35:$AY$185,48,0)</f>
        <v>1150.8708726533537</v>
      </c>
      <c r="U22" s="295">
        <f>VLOOKUP($B22,Base_Annuelle!$A$35:$AY$185,50,0)</f>
        <v>978.10126763168967</v>
      </c>
      <c r="V22" s="295">
        <f>VLOOKUP($B22,Base_Mensuelle!$CX$67:$DE$679,6,0)</f>
        <v>0</v>
      </c>
      <c r="W22" s="295">
        <f>VLOOKUP($B22,Base_Mensuelle!$A$64:$DO$676,112,0)</f>
        <v>427768</v>
      </c>
      <c r="X22" s="25">
        <v>17</v>
      </c>
      <c r="Y22" s="181">
        <f>VLOOKUP($B22,ANN_Base_mens!$B$5:$AW$55,30,0)</f>
        <v>107105</v>
      </c>
      <c r="Z22" s="182">
        <f>VLOOKUP($B22,ANN_Base_mens!$B$5:$AW$55,31,0)</f>
        <v>116867</v>
      </c>
      <c r="AA22" s="182">
        <f>VLOOKUP($B22,ANN_Base_mens!$B$5:$AW$55,32,0)</f>
        <v>223972</v>
      </c>
      <c r="AB22" s="1613">
        <f>VLOOKUP($B22,ANN_Base_mens!$B$5:$AW$55,33,0)</f>
        <v>39558</v>
      </c>
      <c r="AC22" s="25">
        <v>17</v>
      </c>
    </row>
    <row r="23" spans="2:29">
      <c r="B23" s="29">
        <f>B24-1</f>
        <v>2021</v>
      </c>
      <c r="C23" s="74">
        <f>SUMIF(Base_Mensuelle!$A$68:$A$679,$B23,Base_Mensuelle!C$68:C$679)</f>
        <v>24042</v>
      </c>
      <c r="D23" s="75">
        <f>SUMIF(Base_Mensuelle!$A$68:$A$679,$B23,Base_Mensuelle!D$68:D$679)</f>
        <v>390101</v>
      </c>
      <c r="E23" s="75">
        <f>SUMIF(Base_Mensuelle!$A$68:$A$679,$B23,Base_Mensuelle!E$68:E$679)</f>
        <v>1646</v>
      </c>
      <c r="F23" s="75">
        <f>SUMIF(Base_Mensuelle!$A$68:$A$679,$B23,Base_Mensuelle!F$68:F$679)</f>
        <v>0</v>
      </c>
      <c r="G23" s="75">
        <f>SUMIF(Base_Mensuelle!$A$68:$A$679,$B23,Base_Mensuelle!G$68:G$679)</f>
        <v>1190992</v>
      </c>
      <c r="H23" s="75">
        <f>SUMIF(Base_Mensuelle!$A$68:$A$679,$B23,Base_Mensuelle!H$68:H$679)</f>
        <v>633</v>
      </c>
      <c r="I23" s="75">
        <f>SUMIF(Base_Mensuelle!$A$68:$A$679,$B23,Base_Mensuelle!I$68:I$679)</f>
        <v>392078</v>
      </c>
      <c r="J23" s="1613">
        <f>SUMIF(Base_Mensuelle!$A$68:$A$679,$B23,Base_Mensuelle!J$68:J$679)</f>
        <v>206553</v>
      </c>
      <c r="K23" s="294">
        <f>SUM(C23:J23)</f>
        <v>2206045</v>
      </c>
      <c r="L23" s="295">
        <f>VLOOKUP($B23,Base_Annuelle!$A$35:$G$185,2,0)</f>
        <v>717777</v>
      </c>
      <c r="M23" s="295">
        <f>VLOOKUP($B23,Base_Annuelle!$A$35:$G$185,3,0)</f>
        <v>1912703</v>
      </c>
      <c r="N23" s="295">
        <f>VLOOKUP($B23,Base_Annuelle!$A$35:$G$185,6,0)</f>
        <v>1207977</v>
      </c>
      <c r="O23" s="295">
        <f>VLOOKUP($B23,Base_Annuelle!$A$35:$G$185,2,0)+VLOOKUP($B23,Base_Annuelle!$A$35:$G$185,3,0)+VLOOKUP($B23,Base_Annuelle!$A$35:$G$185,4,0)+VLOOKUP($B23,Base_Annuelle!$A$35:$G$185,5,0)+VLOOKUP($B23,Base_Annuelle!$A$35:$G$185,6,0)+VLOOKUP($B23,Base_Annuelle!$A$35:$G$185,7,0)</f>
        <v>4709489</v>
      </c>
      <c r="P23" s="295">
        <f>VLOOKUP($B23,Base_Annuelle!$A$35:$K$185,9,0)</f>
        <v>795413.50837110472</v>
      </c>
      <c r="Q23" s="295">
        <f>VLOOKUP($B23,Base_Annuelle!$A$35:$K$185,8,0)</f>
        <v>535284.92384218785</v>
      </c>
      <c r="R23" s="295">
        <f>VLOOKUP($B23,Base_Annuelle!$A$35:$AY$185,49,0)</f>
        <v>0</v>
      </c>
      <c r="S23" s="295">
        <f>VLOOKUP($B23,Base_Annuelle!$A$35:$AY$185,42,0)</f>
        <v>0</v>
      </c>
      <c r="T23" s="295">
        <f>VLOOKUP($B23,Base_Annuelle!$A$35:$AY$185,48,0)</f>
        <v>0</v>
      </c>
      <c r="U23" s="295">
        <f>VLOOKUP($B23,Base_Annuelle!$A$35:$AY$185,50,0)</f>
        <v>0</v>
      </c>
      <c r="V23" s="295">
        <f>VLOOKUP($B23,Base_Mensuelle!$CX$67:$DE$679,6,0)</f>
        <v>0</v>
      </c>
      <c r="W23" s="295">
        <f>VLOOKUP($B23,Base_Mensuelle!$A$64:$DO$676,112,0)</f>
        <v>463999</v>
      </c>
      <c r="X23" s="25">
        <v>18</v>
      </c>
      <c r="Y23" s="181">
        <f>VLOOKUP($B23,ANN_Base_mens!$B$5:$AW$55,30,0)</f>
        <v>182726</v>
      </c>
      <c r="Z23" s="182">
        <f>VLOOKUP($B23,ANN_Base_mens!$B$5:$AW$55,31,0)</f>
        <v>197146</v>
      </c>
      <c r="AA23" s="182">
        <f>VLOOKUP($B23,ANN_Base_mens!$B$5:$AW$55,32,0)</f>
        <v>462511</v>
      </c>
      <c r="AB23" s="1613">
        <f>VLOOKUP($B23,ANN_Base_mens!$B$5:$AW$55,33,0)</f>
        <v>82639</v>
      </c>
      <c r="AC23" s="25">
        <v>18</v>
      </c>
    </row>
    <row r="24" spans="2:29">
      <c r="B24" s="29">
        <f>B25-1</f>
        <v>2022</v>
      </c>
      <c r="C24" s="74">
        <f>SUMIF(Base_Mensuelle!$A$68:$A$679,$B24,Base_Mensuelle!C$68:C$679)</f>
        <v>21956.418939352363</v>
      </c>
      <c r="D24" s="75">
        <f>SUMIF(Base_Mensuelle!$A$68:$A$679,$B24,Base_Mensuelle!D$68:D$679)</f>
        <v>371448.8573928207</v>
      </c>
      <c r="E24" s="75">
        <f>SUMIF(Base_Mensuelle!$A$68:$A$679,$B24,Base_Mensuelle!E$68:E$679)</f>
        <v>894.41950642869506</v>
      </c>
      <c r="F24" s="75">
        <f>SUMIF(Base_Mensuelle!$A$68:$A$679,$B24,Base_Mensuelle!F$68:F$679)</f>
        <v>0</v>
      </c>
      <c r="G24" s="75">
        <f>SUMIF(Base_Mensuelle!$A$68:$A$679,$B24,Base_Mensuelle!G$68:G$679)</f>
        <v>2674827.5272509684</v>
      </c>
      <c r="H24" s="75">
        <f>SUMIF(Base_Mensuelle!$A$68:$A$679,$B24,Base_Mensuelle!H$68:H$679)</f>
        <v>440.16159749712131</v>
      </c>
      <c r="I24" s="75">
        <f>SUMIF(Base_Mensuelle!$A$68:$A$679,$B24,Base_Mensuelle!I$68:I$679)</f>
        <v>377296.46425679768</v>
      </c>
      <c r="J24" s="1613">
        <f>SUMIF(Base_Mensuelle!$A$68:$A$679,$B24,Base_Mensuelle!J$68:J$679)</f>
        <v>210988.74950456151</v>
      </c>
      <c r="K24" s="294">
        <f>SUM(C24:J24)</f>
        <v>3657852.5984484265</v>
      </c>
      <c r="L24" s="295">
        <f>VLOOKUP($B24,Base_Annuelle!$A$35:$G$185,2,0)</f>
        <v>907744.76964221837</v>
      </c>
      <c r="M24" s="295">
        <f>VLOOKUP($B24,Base_Annuelle!$A$35:$G$185,3,0)</f>
        <v>1810276.2817576844</v>
      </c>
      <c r="N24" s="295">
        <f>VLOOKUP($B24,Base_Annuelle!$A$35:$G$185,6,0)</f>
        <v>1492369.3764321844</v>
      </c>
      <c r="O24" s="295">
        <f>VLOOKUP($B24,Base_Annuelle!$A$35:$G$185,2,0)+VLOOKUP($B24,Base_Annuelle!$A$35:$G$185,3,0)+VLOOKUP($B24,Base_Annuelle!$A$35:$G$185,4,0)+VLOOKUP($B24,Base_Annuelle!$A$35:$G$185,5,0)+VLOOKUP($B24,Base_Annuelle!$A$35:$G$185,6,0)+VLOOKUP($B24,Base_Annuelle!$A$35:$G$185,7,0)</f>
        <v>5179059.0179476617</v>
      </c>
      <c r="P24" s="295">
        <f>VLOOKUP($B24,Base_Annuelle!$A$35:$K$185,9,0)</f>
        <v>668633.09761909652</v>
      </c>
      <c r="Q24" s="295">
        <f>VLOOKUP($B24,Base_Annuelle!$A$35:$K$185,8,0)</f>
        <v>559064.38548850967</v>
      </c>
      <c r="R24" s="295">
        <f>VLOOKUP($B24,Base_Annuelle!$A$35:$AY$185,49,0)</f>
        <v>0</v>
      </c>
      <c r="S24" s="295">
        <f>VLOOKUP($B24,Base_Annuelle!$A$35:$AY$185,42,0)</f>
        <v>0</v>
      </c>
      <c r="T24" s="295">
        <f>VLOOKUP($B24,Base_Annuelle!$A$35:$AY$185,48,0)</f>
        <v>0</v>
      </c>
      <c r="U24" s="295">
        <f>VLOOKUP($B24,Base_Annuelle!$A$35:$AY$185,50,0)</f>
        <v>0</v>
      </c>
      <c r="V24" s="295">
        <f>VLOOKUP($B24,Base_Mensuelle!$CX$67:$DE$679,6,0)</f>
        <v>0</v>
      </c>
      <c r="W24" s="295">
        <f>VLOOKUP($B24,Base_Mensuelle!$A$64:$DO$676,112,0)</f>
        <v>505276.82576475554</v>
      </c>
      <c r="X24" s="25">
        <v>19</v>
      </c>
      <c r="Y24" s="181">
        <f>VLOOKUP($B24,ANN_Base_mens!$B$5:$AW$55,30,0)</f>
        <v>225875</v>
      </c>
      <c r="Z24" s="182">
        <f>VLOOKUP($B24,ANN_Base_mens!$B$5:$AW$55,31,0)</f>
        <v>237523</v>
      </c>
      <c r="AA24" s="182">
        <f>VLOOKUP($B24,ANN_Base_mens!$B$5:$AW$55,32,0)</f>
        <v>593688</v>
      </c>
      <c r="AB24" s="1613">
        <f>VLOOKUP($B24,ANN_Base_mens!$B$5:$AW$55,33,0)</f>
        <v>130290</v>
      </c>
      <c r="AC24" s="25">
        <v>19</v>
      </c>
    </row>
    <row r="25" spans="2:29" ht="12.6" thickBot="1">
      <c r="B25" s="30">
        <f>INDEX(Base_Mensuelle!$A$68:$L$679,MAX(Base_Mensuelle!$L$68:$L$679),1)</f>
        <v>2023</v>
      </c>
      <c r="C25" s="1625">
        <f>SUMIF(Base_Mensuelle!$A$68:$A$679,$B25,Base_Mensuelle!C$68:C$679)</f>
        <v>15462</v>
      </c>
      <c r="D25" s="84">
        <f>SUMIF(Base_Mensuelle!$A$68:$A$679,$B25,Base_Mensuelle!D$68:D$679)</f>
        <v>338290</v>
      </c>
      <c r="E25" s="84">
        <f>SUMIF(Base_Mensuelle!$A$68:$A$679,$B25,Base_Mensuelle!E$68:E$679)</f>
        <v>619</v>
      </c>
      <c r="F25" s="84">
        <f>SUMIF(Base_Mensuelle!$A$68:$A$679,$B25,Base_Mensuelle!F$68:F$679)</f>
        <v>0</v>
      </c>
      <c r="G25" s="84">
        <f>SUMIF(Base_Mensuelle!$A$68:$A$679,$B25,Base_Mensuelle!G$68:G$679)</f>
        <v>951687</v>
      </c>
      <c r="H25" s="84">
        <f>SUMIF(Base_Mensuelle!$A$68:$A$679,$B25,Base_Mensuelle!H$68:H$679)</f>
        <v>436</v>
      </c>
      <c r="I25" s="84">
        <f>SUMIF(Base_Mensuelle!$A$68:$A$679,$B25,Base_Mensuelle!I$68:I$679)</f>
        <v>348177</v>
      </c>
      <c r="J25" s="296">
        <f>SUMIF(Base_Mensuelle!$A$68:$A$679,$B25,Base_Mensuelle!J$68:J$679)</f>
        <v>165630</v>
      </c>
      <c r="K25" s="297">
        <f>SUM(C25:J25)</f>
        <v>1820301</v>
      </c>
      <c r="L25" s="298">
        <f>VLOOKUP($B25,Base_Annuelle!$A$35:$G$185,2,0)</f>
        <v>871314.30805841333</v>
      </c>
      <c r="M25" s="298">
        <f>VLOOKUP($B25,Base_Annuelle!$A$35:$G$185,3,0)</f>
        <v>2053927.2357634851</v>
      </c>
      <c r="N25" s="298">
        <f>VLOOKUP($B25,Base_Annuelle!$A$35:$G$185,6,0)</f>
        <v>1446415.6994831371</v>
      </c>
      <c r="O25" s="298">
        <f>VLOOKUP($B25,Base_Annuelle!$A$35:$G$185,2,0)+VLOOKUP($B25,Base_Annuelle!$A$35:$G$185,3,0)+VLOOKUP($B25,Base_Annuelle!$A$35:$G$185,4,0)+VLOOKUP($B25,Base_Annuelle!$A$35:$G$185,5,0)+VLOOKUP($B25,Base_Annuelle!$A$35:$G$185,6,0)+VLOOKUP($B25,Base_Annuelle!$A$35:$G$185,7,0)</f>
        <v>5246404.5649529751</v>
      </c>
      <c r="P25" s="298">
        <f>VLOOKUP($B25,Base_Annuelle!$A$35:$K$185,9,0)</f>
        <v>605012.10210556793</v>
      </c>
      <c r="Q25" s="298">
        <f>VLOOKUP($B25,Base_Annuelle!$A$35:$K$185,8,0)</f>
        <v>667055.68733472005</v>
      </c>
      <c r="R25" s="298">
        <f>VLOOKUP($B25,Base_Annuelle!$A$35:$AY$185,49,0)</f>
        <v>0</v>
      </c>
      <c r="S25" s="298">
        <f>VLOOKUP($B25,Base_Annuelle!$A$35:$AY$185,42,0)</f>
        <v>0</v>
      </c>
      <c r="T25" s="298">
        <f>VLOOKUP($B25,Base_Annuelle!$A$35:$AY$185,48,0)</f>
        <v>0</v>
      </c>
      <c r="U25" s="298">
        <f>VLOOKUP($B25,Base_Annuelle!$A$35:$AY$185,50,0)</f>
        <v>0</v>
      </c>
      <c r="V25" s="295">
        <f>VLOOKUP($B25,Base_Mensuelle!$CX$67:$DE$679,6,0)</f>
        <v>0</v>
      </c>
      <c r="W25" s="298">
        <f>VLOOKUP($B25,Base_Mensuelle!$A$64:$DO$676,112,0)</f>
        <v>511204.80119126331</v>
      </c>
      <c r="X25" s="26">
        <v>20</v>
      </c>
      <c r="Y25" s="764">
        <f>VLOOKUP($B25,ANN_Base_mens!$B$5:$AW$55,30,0)</f>
        <v>0</v>
      </c>
      <c r="Z25" s="382">
        <f>VLOOKUP($B25,ANN_Base_mens!$B$5:$AW$55,31,0)</f>
        <v>0</v>
      </c>
      <c r="AA25" s="382">
        <f>VLOOKUP($B25,ANN_Base_mens!$B$5:$AW$55,32,0)</f>
        <v>0</v>
      </c>
      <c r="AB25" s="296">
        <f>VLOOKUP($B25,ANN_Base_mens!$B$5:$AW$55,33,0)</f>
        <v>0</v>
      </c>
      <c r="AC25" s="25">
        <v>20</v>
      </c>
    </row>
    <row r="26" spans="2:29" ht="12.6" thickTop="1"/>
  </sheetData>
  <dataValidations count="2">
    <dataValidation type="custom" allowBlank="1" showInputMessage="1" showErrorMessage="1" promptTitle="Nombre positif autorisé" prompt="Seul des valeures positives sont valides" sqref="C6:C20 D6:J7 D21:D25 F21:J25 E22:E25" xr:uid="{00000000-0002-0000-1400-000000000000}">
      <formula1>"&gt;0"</formula1>
    </dataValidation>
    <dataValidation allowBlank="1" showInputMessage="1" showErrorMessage="1" promptTitle="Nombre positif autorisé" prompt="Seul des valeures positives sont valides" sqref="D8:J20" xr:uid="{00000000-0002-0000-1400-000001000000}"/>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33"/>
  <dimension ref="A2:BF186"/>
  <sheetViews>
    <sheetView topLeftCell="A29" zoomScale="90" zoomScaleNormal="90" workbookViewId="0">
      <pane xSplit="1" ySplit="6" topLeftCell="B52" activePane="bottomRight" state="frozen"/>
      <selection activeCell="EF320" sqref="EF320"/>
      <selection pane="topRight" activeCell="EF320" sqref="EF320"/>
      <selection pane="bottomLeft" activeCell="EF320" sqref="EF320"/>
      <selection pane="bottomRight" activeCell="AV63" sqref="AV63"/>
    </sheetView>
  </sheetViews>
  <sheetFormatPr baseColWidth="10" defaultRowHeight="12.3"/>
  <cols>
    <col min="1" max="1" width="7.1640625" customWidth="1"/>
    <col min="4" max="4" width="14.71875" customWidth="1"/>
    <col min="8" max="10" width="15.71875" customWidth="1"/>
    <col min="11" max="14" width="13.71875" customWidth="1"/>
    <col min="15" max="18" width="14.27734375" customWidth="1"/>
    <col min="19" max="25" width="13.5546875" bestFit="1" customWidth="1"/>
    <col min="26" max="26" width="19.5546875" customWidth="1"/>
    <col min="27" max="27" width="13.5546875" bestFit="1" customWidth="1"/>
    <col min="28" max="28" width="14.44140625" bestFit="1" customWidth="1"/>
    <col min="29" max="32" width="14.5546875" bestFit="1" customWidth="1"/>
    <col min="33" max="41" width="12.83203125" bestFit="1" customWidth="1"/>
    <col min="42" max="42" width="14.83203125" customWidth="1"/>
    <col min="43" max="48" width="12.83203125" customWidth="1"/>
    <col min="49" max="49" width="14" customWidth="1"/>
    <col min="50" max="51" width="12.83203125" customWidth="1"/>
    <col min="53" max="54" width="12" bestFit="1" customWidth="1"/>
    <col min="55" max="55" width="10.44140625" bestFit="1" customWidth="1"/>
    <col min="56" max="56" width="11" bestFit="1" customWidth="1"/>
    <col min="57" max="57" width="12" bestFit="1" customWidth="1"/>
  </cols>
  <sheetData>
    <row r="2" spans="2:48" ht="12.6" thickBot="1">
      <c r="B2" t="s">
        <v>144</v>
      </c>
      <c r="J2" t="s">
        <v>145</v>
      </c>
      <c r="R2" t="s">
        <v>146</v>
      </c>
      <c r="Z2" t="s">
        <v>147</v>
      </c>
      <c r="AH2" t="s">
        <v>148</v>
      </c>
    </row>
    <row r="3" spans="2:48" ht="12.6" thickBot="1">
      <c r="B3" s="36"/>
      <c r="C3" s="43" t="s">
        <v>15</v>
      </c>
      <c r="D3" s="2144"/>
      <c r="E3" s="2145"/>
      <c r="F3" s="2145"/>
      <c r="G3" s="2145"/>
      <c r="H3" s="2146"/>
      <c r="J3" s="36"/>
      <c r="K3" s="43" t="s">
        <v>15</v>
      </c>
      <c r="L3" s="2144"/>
      <c r="M3" s="2145"/>
      <c r="N3" s="2145"/>
      <c r="O3" s="2145"/>
      <c r="P3" s="2146"/>
      <c r="R3" s="36"/>
      <c r="S3" s="43" t="s">
        <v>15</v>
      </c>
      <c r="T3" s="2144"/>
      <c r="U3" s="2145"/>
      <c r="V3" s="2145"/>
      <c r="W3" s="2145"/>
      <c r="X3" s="2146"/>
      <c r="Z3" s="36"/>
      <c r="AA3" s="43" t="s">
        <v>15</v>
      </c>
      <c r="AB3" s="2144"/>
      <c r="AC3" s="2145"/>
      <c r="AD3" s="2145"/>
      <c r="AE3" s="2145"/>
      <c r="AF3" s="2146"/>
      <c r="AH3" s="36"/>
      <c r="AI3" s="43" t="s">
        <v>15</v>
      </c>
      <c r="AJ3" s="2144"/>
      <c r="AK3" s="2145"/>
      <c r="AL3" s="2145"/>
      <c r="AM3" s="2145"/>
      <c r="AN3" s="2146"/>
      <c r="AP3" s="36"/>
      <c r="AQ3" s="43" t="s">
        <v>15</v>
      </c>
      <c r="AR3" s="2144"/>
      <c r="AS3" s="2145"/>
      <c r="AT3" s="2145"/>
      <c r="AU3" s="2145"/>
      <c r="AV3" s="2146"/>
    </row>
    <row r="4" spans="2:48">
      <c r="B4" s="37"/>
      <c r="C4" s="44"/>
      <c r="D4" s="45" t="str">
        <f>D5</f>
        <v>Moy. 5 dern. camp. (5)</v>
      </c>
      <c r="E4" s="46" t="str">
        <f>CONCATENATE(E5," / ",F5)</f>
        <v>2020 / 2021</v>
      </c>
      <c r="F4" s="46" t="str">
        <f>CONCATENATE(F5," / ",G5)</f>
        <v>2021 / 2022</v>
      </c>
      <c r="G4" s="46" t="str">
        <f>CONCATENATE(G5," / ",H5)</f>
        <v>2022 / 2023</v>
      </c>
      <c r="H4" s="47" t="str">
        <f>CONCATENATE(INDEX($A$35:$AO$185,MAX($AZ$35:$AZ$185),$C5)," / ",INDEX($A$35:$AO$185,MAX($AZ$35:$AZ$185),$C5)+1)</f>
        <v>2023 / 2024</v>
      </c>
      <c r="J4" s="37"/>
      <c r="K4" s="44"/>
      <c r="L4" s="45" t="str">
        <f>L5</f>
        <v>Moy. 5 dern. camp. (5)</v>
      </c>
      <c r="M4" s="46" t="str">
        <f>CONCATENATE(M5," / ",N5)</f>
        <v>2020 / 2021</v>
      </c>
      <c r="N4" s="46" t="str">
        <f>CONCATENATE(N5," / ",O5)</f>
        <v>2021 / 2022</v>
      </c>
      <c r="O4" s="46" t="str">
        <f>CONCATENATE(O5," / ",P5)</f>
        <v>2022 / 2023</v>
      </c>
      <c r="P4" s="47" t="str">
        <f>CONCATENATE(INDEX($A$35:$AO$185,MAX($AZ$35:$AZ$185),$C5)," / ",INDEX($A$35:$AO$185,MAX($AZ$35:$AZ$185),$C5)+1)</f>
        <v>2023 / 2024</v>
      </c>
      <c r="R4" s="37"/>
      <c r="S4" s="44"/>
      <c r="T4" s="45" t="str">
        <f>T5</f>
        <v>Moy. 5 dern. camp. (5)</v>
      </c>
      <c r="U4" s="46" t="str">
        <f>CONCATENATE(U5," / ",V5)</f>
        <v>2020 / 2021</v>
      </c>
      <c r="V4" s="46" t="str">
        <f>CONCATENATE(V5," / ",W5)</f>
        <v>2021 / 2022</v>
      </c>
      <c r="W4" s="46" t="str">
        <f>CONCATENATE(W5," / ",X5)</f>
        <v>2022 / 2023</v>
      </c>
      <c r="X4" s="47" t="str">
        <f>CONCATENATE(INDEX($A$35:$AO$185,MAX($AZ$35:$AZ$185),$C5)," / ",INDEX($A$35:$AO$185,MAX($AZ$35:$AZ$185),$C5)+1)</f>
        <v>2023 / 2024</v>
      </c>
      <c r="Z4" s="37"/>
      <c r="AA4" s="44"/>
      <c r="AB4" s="45" t="str">
        <f>AB5</f>
        <v>Moy. 5 dern. camp. (5)</v>
      </c>
      <c r="AC4" s="46" t="str">
        <f>CONCATENATE(AC5," / ",AD5)</f>
        <v>2020 / 2021</v>
      </c>
      <c r="AD4" s="46" t="str">
        <f>CONCATENATE(AD5," / ",AE5)</f>
        <v>2021 / 2022</v>
      </c>
      <c r="AE4" s="46" t="str">
        <f>CONCATENATE(AE5," / ",AF5)</f>
        <v>2022 / 2023</v>
      </c>
      <c r="AF4" s="47" t="str">
        <f>CONCATENATE(INDEX($A$35:$AO$185,MAX($AZ$35:$AZ$185),$C5)," / ",INDEX($A$35:$AO$185,MAX($AZ$35:$AZ$185),$C5)+1)</f>
        <v>2023 / 2024</v>
      </c>
      <c r="AH4" s="37"/>
      <c r="AI4" s="44"/>
      <c r="AJ4" s="45" t="str">
        <f>AJ5</f>
        <v>Moy. 5 dern. camp. (5)</v>
      </c>
      <c r="AK4" s="46" t="str">
        <f>CONCATENATE(AK5," / ",AL5)</f>
        <v>2020 / 2021</v>
      </c>
      <c r="AL4" s="46" t="str">
        <f>CONCATENATE(AL5," / ",AM5)</f>
        <v>2021 / 2022</v>
      </c>
      <c r="AM4" s="46" t="str">
        <f>CONCATENATE(AM5," / ",AN5)</f>
        <v>2022 / 2023</v>
      </c>
      <c r="AN4" s="47" t="str">
        <f>CONCATENATE(INDEX($A$35:$AO$185,MAX($AZ$35:$AZ$185),$C5)," / ",INDEX($A$35:$AO$185,MAX($AZ$35:$AZ$185),$C5)+1)</f>
        <v>2023 / 2024</v>
      </c>
      <c r="AP4" s="37"/>
      <c r="AQ4" s="44"/>
      <c r="AR4" s="45" t="str">
        <f>AR5</f>
        <v>Moy. 5 dern. camp. (5)</v>
      </c>
      <c r="AS4" s="46">
        <f>AS5</f>
        <v>2020</v>
      </c>
      <c r="AT4" s="46">
        <f>AT5</f>
        <v>2021</v>
      </c>
      <c r="AU4" s="46">
        <f>AU5</f>
        <v>2022</v>
      </c>
      <c r="AV4" s="47">
        <f>AV5</f>
        <v>2023</v>
      </c>
    </row>
    <row r="5" spans="2:48" ht="31.5" customHeight="1" thickBot="1">
      <c r="B5" s="37"/>
      <c r="C5" s="63">
        <v>1</v>
      </c>
      <c r="D5" s="226" t="s">
        <v>121</v>
      </c>
      <c r="E5" s="226">
        <f t="shared" ref="E5:E11" si="0">INDEX($A$35:$AO$185,MAX($AZ$35:$AZ$185)-3,$C5)</f>
        <v>2020</v>
      </c>
      <c r="F5" s="226">
        <f t="shared" ref="F5:F11" si="1">INDEX($A$35:$AO$185,MAX($AZ$35:$AZ$185)-2,$C5)</f>
        <v>2021</v>
      </c>
      <c r="G5" s="227">
        <f t="shared" ref="G5:G11" si="2">INDEX($A$35:$AO$185,MAX($AZ$35:$AZ$185)-1,$C5)</f>
        <v>2022</v>
      </c>
      <c r="H5" s="227">
        <f t="shared" ref="H5:H11" si="3">INDEX($A$35:$AO$185,MAX($AZ$35:$AZ$185),$C5)</f>
        <v>2023</v>
      </c>
      <c r="J5" s="260"/>
      <c r="K5" s="64">
        <v>1</v>
      </c>
      <c r="L5" s="261" t="s">
        <v>121</v>
      </c>
      <c r="M5" s="261">
        <f>INDEX($A$35:$AO$185,MAX($AZ$35:$AZ$185)-3,$K5)</f>
        <v>2020</v>
      </c>
      <c r="N5" s="261">
        <f>INDEX($A$35:$AO$185,MAX($AZ$35:$AZ$185)-2,$K5)</f>
        <v>2021</v>
      </c>
      <c r="O5" s="211">
        <f>INDEX($A$35:$AO$185,MAX($AZ$35:$AZ$185)-1,$K5)</f>
        <v>2022</v>
      </c>
      <c r="P5" s="211">
        <f>INDEX($A$35:$AO$185,MAX($AZ$35:$AZ$185),$K5)</f>
        <v>2023</v>
      </c>
      <c r="R5" s="260"/>
      <c r="S5" s="64">
        <v>1</v>
      </c>
      <c r="T5" s="261" t="s">
        <v>121</v>
      </c>
      <c r="U5" s="261">
        <f>INDEX($A$35:$AO$185,MAX($AZ$35:$AZ$185)-3,$S5)</f>
        <v>2020</v>
      </c>
      <c r="V5" s="261">
        <f>INDEX($A$35:$AO$185,MAX($AZ$35:$AZ$185)-2,$S5)</f>
        <v>2021</v>
      </c>
      <c r="W5" s="211">
        <f>INDEX($A$35:$AO$185,MAX($AZ$35:$AZ$185)-1,$S5)</f>
        <v>2022</v>
      </c>
      <c r="X5" s="211">
        <f>INDEX($A$35:$AO$185,MAX($AZ$35:$AZ$185),$S5)</f>
        <v>2023</v>
      </c>
      <c r="Z5" s="260"/>
      <c r="AA5" s="286">
        <v>1</v>
      </c>
      <c r="AB5" s="287" t="s">
        <v>121</v>
      </c>
      <c r="AC5" s="287">
        <f t="shared" ref="AC5:AC18" si="4">INDEX($A$35:$AO$185,MAX($AZ$35:$AZ$185)-3,$AA5)</f>
        <v>2020</v>
      </c>
      <c r="AD5" s="287">
        <f t="shared" ref="AD5:AD18" si="5">INDEX($A$35:$AO$185,MAX($AZ$35:$AZ$185)-2,$AA5)</f>
        <v>2021</v>
      </c>
      <c r="AE5" s="288">
        <f t="shared" ref="AE5:AE18" si="6">INDEX($A$35:$AO$185,MAX($AZ$35:$AZ$185)-1,$AA5)</f>
        <v>2022</v>
      </c>
      <c r="AF5" s="289">
        <f t="shared" ref="AF5:AF18" si="7">INDEX($A$35:$AO$185,MAX($AZ$35:$AZ$185),$AA5)</f>
        <v>2023</v>
      </c>
      <c r="AH5" s="260"/>
      <c r="AI5" s="286">
        <v>1</v>
      </c>
      <c r="AJ5" s="287" t="s">
        <v>121</v>
      </c>
      <c r="AK5" s="287">
        <f t="shared" ref="AK5:AK18" si="8">INDEX($A$35:$AO$185,MAX($AZ$35:$AZ$185)-3,$AI5)</f>
        <v>2020</v>
      </c>
      <c r="AL5" s="287">
        <f t="shared" ref="AL5:AL18" si="9">INDEX($A$35:$AO$185,MAX($AZ$35:$AZ$185)-2,$AI5)</f>
        <v>2021</v>
      </c>
      <c r="AM5" s="288">
        <f t="shared" ref="AM5:AM18" si="10">INDEX($A$35:$AO$185,MAX($AZ$35:$AZ$185)-1,$AI5)</f>
        <v>2022</v>
      </c>
      <c r="AN5" s="289">
        <f t="shared" ref="AN5:AN18" si="11">INDEX($A$35:$AO$185,MAX($AZ$35:$AZ$185),$AI5)</f>
        <v>2023</v>
      </c>
      <c r="AP5" s="260"/>
      <c r="AQ5" s="310">
        <v>1</v>
      </c>
      <c r="AR5" s="261" t="s">
        <v>121</v>
      </c>
      <c r="AS5" s="261">
        <f>AT5-1</f>
        <v>2020</v>
      </c>
      <c r="AT5" s="261">
        <f>AU5-1</f>
        <v>2021</v>
      </c>
      <c r="AU5" s="211">
        <f>AV5-1</f>
        <v>2022</v>
      </c>
      <c r="AV5" s="311">
        <f>INDEX($A$35:$AY$185,MAX($AZ$35:$AZ$185),$AQ5)</f>
        <v>2023</v>
      </c>
    </row>
    <row r="6" spans="2:48" ht="12.6" thickBot="1">
      <c r="B6" s="38" t="s">
        <v>124</v>
      </c>
      <c r="C6" s="64">
        <v>2</v>
      </c>
      <c r="D6" s="55">
        <f ca="1">AVERAGEIF($A$35:$A$185,CONCATENATE("&gt;",INDEX($A$35:$AO$185,MAX($AZ$35:$AZ$185),$C$5)-5),$B$35:$B$184)</f>
        <v>884852.92766107211</v>
      </c>
      <c r="E6" s="56">
        <f t="shared" si="0"/>
        <v>957252.67585186812</v>
      </c>
      <c r="F6" s="56">
        <f t="shared" si="1"/>
        <v>717777</v>
      </c>
      <c r="G6" s="56">
        <f t="shared" si="2"/>
        <v>907744.76964221837</v>
      </c>
      <c r="H6" s="57">
        <f t="shared" si="3"/>
        <v>871314.30805841333</v>
      </c>
      <c r="J6" s="262" t="s">
        <v>133</v>
      </c>
      <c r="K6" s="271">
        <v>8</v>
      </c>
      <c r="L6" s="55">
        <f ca="1">AVERAGEIF($A$35:$A$185,CONCATENATE("&gt;",INDEX($A$35:$AO$185,MAX($AZ$35:$AZ$185),$K$5)-5),$H$35:$H$184)</f>
        <v>557611.89709877863</v>
      </c>
      <c r="M6" s="56">
        <f>INDEX($A$35:$AO$185,MAX($AZ$35:$AZ$185)-3,$K6)</f>
        <v>630525.75122875546</v>
      </c>
      <c r="N6" s="56">
        <f>INDEX($A$35:$AO$185,MAX($AZ$35:$AZ$185)-2,$K6)</f>
        <v>535284.92384218785</v>
      </c>
      <c r="O6" s="56">
        <f>INDEX($A$35:$AO$185,MAX($AZ$35:$AZ$185)-1,$K6)</f>
        <v>559064.38548850967</v>
      </c>
      <c r="P6" s="57">
        <f>INDEX($A$35:$AO$185,MAX($AZ$35:$AZ$185),$K6)</f>
        <v>667055.68733472005</v>
      </c>
      <c r="R6" s="262" t="s">
        <v>138</v>
      </c>
      <c r="S6" s="271">
        <v>12</v>
      </c>
      <c r="T6" s="55">
        <f ca="1">AVERAGEIF($A$35:$A$185,CONCATENATE("&gt;",INDEX($A$35:$AO$185,MAX($AZ$35:$AZ$185),$S$5)-5),$L$35:$L$184)</f>
        <v>717847.96680608951</v>
      </c>
      <c r="U6" s="56">
        <f>INDEX($A$35:$AO$185,MAX($AZ$35:$AZ$185)-3,$S6)</f>
        <v>704539.47495829756</v>
      </c>
      <c r="V6" s="56">
        <f>INDEX($A$35:$AO$185,MAX($AZ$35:$AZ$185)-2,$S6)</f>
        <v>515127.01271587145</v>
      </c>
      <c r="W6" s="56">
        <f>INDEX($A$35:$AO$185,MAX($AZ$35:$AZ$185)-1,$S6)</f>
        <v>829204.07209993131</v>
      </c>
      <c r="X6" s="57">
        <f>INDEX($A$35:$AO$185,MAX($AZ$35:$AZ$185),$S6)</f>
        <v>832375.13294321089</v>
      </c>
      <c r="Z6" s="275" t="s">
        <v>23</v>
      </c>
      <c r="AA6" s="276">
        <v>16</v>
      </c>
      <c r="AB6" s="279">
        <f ca="1">AVERAGEIF($A$35:$A$185,CONCATENATE("&gt;",INDEX($A$35:$AO$185,MAX($AZ$35:$AZ$185),$S$5)-5),$P$35:$P$184)</f>
        <v>941149.07124961657</v>
      </c>
      <c r="AC6" s="280">
        <f t="shared" si="4"/>
        <v>965456.12293991214</v>
      </c>
      <c r="AD6" s="280">
        <f t="shared" si="5"/>
        <v>911234</v>
      </c>
      <c r="AE6" s="280">
        <f t="shared" si="6"/>
        <v>1000796.3509038963</v>
      </c>
      <c r="AF6" s="281">
        <f t="shared" si="7"/>
        <v>904535.47174973483</v>
      </c>
      <c r="AH6" s="275" t="s">
        <v>23</v>
      </c>
      <c r="AI6" s="276">
        <v>29</v>
      </c>
      <c r="AJ6" s="279">
        <f ca="1">AVERAGEIF($A$35:$A$185,CONCATENATE("&gt;",INDEX($A$35:$AO$185,MAX($AZ$35:$AZ$185),$S$5)-5),$AC$35:$AC$184)</f>
        <v>798212.05770642671</v>
      </c>
      <c r="AK6" s="280">
        <f t="shared" si="8"/>
        <v>775078.23895573767</v>
      </c>
      <c r="AL6" s="280">
        <f t="shared" si="9"/>
        <v>733713.73719743232</v>
      </c>
      <c r="AM6" s="280">
        <f t="shared" si="10"/>
        <v>859680.62038332189</v>
      </c>
      <c r="AN6" s="281">
        <f t="shared" si="11"/>
        <v>800738.11353881285</v>
      </c>
      <c r="AP6" s="312" t="s">
        <v>153</v>
      </c>
      <c r="AQ6" s="315">
        <v>42</v>
      </c>
      <c r="AR6" s="323">
        <f>AVERAGEIF($A$35:$A$185,CONCATENATE("&gt;",INDEX($A$35:$AY$185,MAX($AZ$35:$AZ$185),$S$5)-5),$AP$35:$AP$185)</f>
        <v>1136.4251583001042</v>
      </c>
      <c r="AS6" s="280">
        <f>INDEX($A$35:$AY$185,MAX($AZ$35:$AZ$185)-3,$AQ6)</f>
        <v>1140.650674892737</v>
      </c>
      <c r="AT6" s="280">
        <f>INDEX($A$35:$AY$185,MAX($AZ$35:$AZ$185)-2,$AQ6)</f>
        <v>0</v>
      </c>
      <c r="AU6" s="280">
        <f>INDEX($A$35:$AY$185,MAX($AZ$35:$AZ$185)-1,$AQ6)</f>
        <v>0</v>
      </c>
      <c r="AV6" s="281">
        <f>INDEX($A$35:$AY$185,MAX($AZ$35:$AZ$185),$AQ6)</f>
        <v>0</v>
      </c>
    </row>
    <row r="7" spans="2:48" ht="12.6" thickBot="1">
      <c r="B7" s="39" t="s">
        <v>91</v>
      </c>
      <c r="C7" s="65">
        <v>3</v>
      </c>
      <c r="D7" s="58">
        <f ca="1">AVERAGEIF($A$35:$A$185,CONCATENATE("&gt;",INDEX($A$35:$AO$185,MAX($AZ$35:$AZ$185),$C$5)-5),$C$35:$C$184)</f>
        <v>1881581.0486588571</v>
      </c>
      <c r="E7" s="35">
        <f t="shared" si="0"/>
        <v>1920101.1649852863</v>
      </c>
      <c r="F7" s="35">
        <f t="shared" si="1"/>
        <v>1912703</v>
      </c>
      <c r="G7" s="35">
        <f t="shared" si="2"/>
        <v>1810276.2817576844</v>
      </c>
      <c r="H7" s="59">
        <f t="shared" si="3"/>
        <v>2053927.2357634851</v>
      </c>
      <c r="J7" s="263" t="s">
        <v>86</v>
      </c>
      <c r="K7" s="65">
        <v>9</v>
      </c>
      <c r="L7" s="58">
        <f ca="1">AVERAGEIF($A$35:$A$185,CONCATENATE("&gt;",INDEX($A$35:$AO$185,MAX($AZ$35:$AZ$185),$K$5)-5),$I$35:$I$184)</f>
        <v>697985.2261507787</v>
      </c>
      <c r="M7" s="35">
        <f>INDEX($A$35:$AO$185,MAX($AZ$35:$AZ$185)-3,$K7)</f>
        <v>696635.62056103267</v>
      </c>
      <c r="N7" s="35">
        <f>INDEX($A$35:$AO$185,MAX($AZ$35:$AZ$185)-2,$K7)</f>
        <v>795413.50837110472</v>
      </c>
      <c r="O7" s="35">
        <f>INDEX($A$35:$AO$185,MAX($AZ$35:$AZ$185)-1,$K7)</f>
        <v>668633.09761909652</v>
      </c>
      <c r="P7" s="59">
        <f>INDEX($A$35:$AO$185,MAX($AZ$35:$AZ$185),$K7)</f>
        <v>605012.10210556793</v>
      </c>
      <c r="R7" s="263" t="s">
        <v>139</v>
      </c>
      <c r="S7" s="65">
        <v>13</v>
      </c>
      <c r="T7" s="58">
        <f ca="1">AVERAGEIF($A$35:$A$185,CONCATENATE("&gt;",INDEX($A$35:$AO$185,MAX($AZ$35:$AZ$185),$S$5)-5),$M$35:$M$184)</f>
        <v>60667.61896046171</v>
      </c>
      <c r="U7" s="56">
        <f>INDEX($A$35:$AO$185,MAX($AZ$35:$AZ$185)-3,$S7)</f>
        <v>74647.126669011137</v>
      </c>
      <c r="V7" s="56">
        <f>INDEX($A$35:$AO$185,MAX($AZ$35:$AZ$185)-2,$S7)</f>
        <v>48305.724828941617</v>
      </c>
      <c r="W7" s="56">
        <f>INDEX($A$35:$AO$185,MAX($AZ$35:$AZ$185)-1,$S7)</f>
        <v>57208.529213202331</v>
      </c>
      <c r="X7" s="57">
        <f>INDEX($A$35:$AO$185,MAX($AZ$35:$AZ$185),$S7)</f>
        <v>64741.449836547814</v>
      </c>
      <c r="Z7" s="91" t="s">
        <v>24</v>
      </c>
      <c r="AA7" s="277">
        <v>17</v>
      </c>
      <c r="AB7" s="182">
        <f ca="1">AVERAGEIF($A$35:$A$185,CONCATENATE("&gt;",INDEX($A$35:$AO$185,MAX($AZ$35:$AZ$185),$S$5)-5),$Q$35:$Q$184)</f>
        <v>321918.84263808408</v>
      </c>
      <c r="AC7" s="182">
        <f t="shared" si="4"/>
        <v>291223.29288004717</v>
      </c>
      <c r="AD7" s="182">
        <f t="shared" si="5"/>
        <v>332881</v>
      </c>
      <c r="AE7" s="182">
        <f t="shared" si="6"/>
        <v>348742.33690680092</v>
      </c>
      <c r="AF7" s="282">
        <f t="shared" si="7"/>
        <v>387719.81717562024</v>
      </c>
      <c r="AH7" s="91" t="s">
        <v>24</v>
      </c>
      <c r="AI7" s="277">
        <v>30</v>
      </c>
      <c r="AJ7" s="182">
        <f ca="1">AVERAGEIF($A$35:$A$185,CONCATENATE("&gt;",INDEX($A$35:$AO$185,MAX($AZ$35:$AZ$185),$S$5)-5),$AD$35:$AD$184)</f>
        <v>172384.83758221503</v>
      </c>
      <c r="AK7" s="182">
        <f t="shared" si="8"/>
        <v>156616.02272453922</v>
      </c>
      <c r="AL7" s="182">
        <f t="shared" si="9"/>
        <v>169808.58324767518</v>
      </c>
      <c r="AM7" s="182">
        <f t="shared" si="10"/>
        <v>203692.06841041456</v>
      </c>
      <c r="AN7" s="282">
        <f t="shared" si="11"/>
        <v>203849.44410361053</v>
      </c>
      <c r="AP7" s="313" t="s">
        <v>154</v>
      </c>
      <c r="AQ7" s="316">
        <v>43</v>
      </c>
      <c r="AR7" s="324">
        <f>AVERAGEIF($A$35:$A$185,CONCATENATE("&gt;",INDEX($A$35:$AY$185,MAX($AZ$35:$AZ$185),$S$5)-5),$AQ$35:$AQ$185)</f>
        <v>1070.0865224206548</v>
      </c>
      <c r="AS7" s="182">
        <f t="shared" ref="AS7:AS15" si="12">INDEX($A$35:$AY$185,MAX($AZ$35:$AZ$185)-3,$AQ7)</f>
        <v>1062.9749556764355</v>
      </c>
      <c r="AT7" s="182">
        <f t="shared" ref="AT7:AT15" si="13">INDEX($A$35:$AY$185,MAX($AZ$35:$AZ$185)-2,$AQ7)</f>
        <v>0</v>
      </c>
      <c r="AU7" s="182">
        <f t="shared" ref="AU7:AU15" si="14">INDEX($A$35:$AY$185,MAX($AZ$35:$AZ$185)-1,$AQ7)</f>
        <v>0</v>
      </c>
      <c r="AV7" s="282">
        <f t="shared" ref="AV7:AV15" si="15">INDEX($A$35:$AY$185,MAX($AZ$35:$AZ$185),$AQ7)</f>
        <v>0</v>
      </c>
    </row>
    <row r="8" spans="2:48" ht="12.6" thickBot="1">
      <c r="B8" s="39" t="s">
        <v>90</v>
      </c>
      <c r="C8" s="65">
        <v>4</v>
      </c>
      <c r="D8" s="58">
        <f ca="1">AVERAGEIF($A$35:$A$185,CONCATENATE("&gt;",INDEX($A$35:$AO$185,MAX($AZ$35:$AZ$185),$C$5)-5),$D$35:$D$184)</f>
        <v>433218.94715995697</v>
      </c>
      <c r="E8" s="35">
        <f t="shared" si="0"/>
        <v>451421.10450174758</v>
      </c>
      <c r="F8" s="35">
        <f t="shared" si="1"/>
        <v>454379</v>
      </c>
      <c r="G8" s="35">
        <f t="shared" si="2"/>
        <v>438982.38046859921</v>
      </c>
      <c r="H8" s="59">
        <f t="shared" si="3"/>
        <v>444785.00271067</v>
      </c>
      <c r="J8" s="263" t="s">
        <v>134</v>
      </c>
      <c r="K8" s="65">
        <v>10</v>
      </c>
      <c r="L8" s="58">
        <f ca="1">AVERAGEIF($A$35:$A$185,CONCATENATE("&gt;",INDEX($A$35:$AO$185,MAX($AZ$35:$AZ$185),$K$5)-5),$J$35:$J$184)</f>
        <v>108907.94642162754</v>
      </c>
      <c r="M8" s="35">
        <f>INDEX($A$35:$AO$185,MAX($AZ$35:$AZ$185)-3,$K8)</f>
        <v>98512.808518667705</v>
      </c>
      <c r="N8" s="35">
        <f>INDEX($A$35:$AO$185,MAX($AZ$35:$AZ$185)-2,$K8)</f>
        <v>94427.943010046452</v>
      </c>
      <c r="O8" s="35">
        <f>INDEX($A$35:$AO$185,MAX($AZ$35:$AZ$185)-1,$K8)</f>
        <v>152540.46631617605</v>
      </c>
      <c r="P8" s="59">
        <f>INDEX($A$35:$AO$185,MAX($AZ$35:$AZ$185),$K8)</f>
        <v>147350.82186666047</v>
      </c>
      <c r="R8" s="263" t="s">
        <v>140</v>
      </c>
      <c r="S8" s="65">
        <v>14</v>
      </c>
      <c r="T8" s="58">
        <f ca="1">AVERAGEIF($A$35:$A$185,CONCATENATE("&gt;",INDEX($A$35:$AO$185,MAX($AZ$35:$AZ$185),$S$5)-5),$N$35:$N$184)</f>
        <v>59552.127435433897</v>
      </c>
      <c r="U8" s="56">
        <f>INDEX($A$35:$AO$185,MAX($AZ$35:$AZ$185)-3,$S8)</f>
        <v>62185.847315877276</v>
      </c>
      <c r="V8" s="56">
        <f>INDEX($A$35:$AO$185,MAX($AZ$35:$AZ$185)-2,$S8)</f>
        <v>50262.666562602273</v>
      </c>
      <c r="W8" s="56">
        <f>INDEX($A$35:$AO$185,MAX($AZ$35:$AZ$185)-1,$S8)</f>
        <v>62661.862396037766</v>
      </c>
      <c r="X8" s="57">
        <f>INDEX($A$35:$AO$185,MAX($AZ$35:$AZ$185),$S8)</f>
        <v>72498.144547804855</v>
      </c>
      <c r="Z8" s="91" t="s">
        <v>25</v>
      </c>
      <c r="AA8" s="277">
        <v>18</v>
      </c>
      <c r="AB8" s="182">
        <f ca="1">AVERAGEIF($A$35:$A$185,CONCATENATE("&gt;",INDEX($A$35:$AO$185,MAX($AZ$35:$AZ$185),$S$5)-5),$R$35:$R$184)</f>
        <v>61331.755827607863</v>
      </c>
      <c r="AC8" s="182">
        <f t="shared" si="4"/>
        <v>65019.389561196513</v>
      </c>
      <c r="AD8" s="182">
        <f t="shared" si="5"/>
        <v>52048</v>
      </c>
      <c r="AE8" s="182">
        <f t="shared" si="6"/>
        <v>58557.638669325526</v>
      </c>
      <c r="AF8" s="282">
        <f t="shared" si="7"/>
        <v>43086.25508663807</v>
      </c>
      <c r="AH8" s="91" t="s">
        <v>25</v>
      </c>
      <c r="AI8" s="277">
        <v>31</v>
      </c>
      <c r="AJ8" s="182">
        <f ca="1">AVERAGEIF($A$35:$A$185,CONCATENATE("&gt;",INDEX($A$35:$AO$185,MAX($AZ$35:$AZ$185),$S$5)-5),$AE$35:$AE$184)</f>
        <v>46829.540918447121</v>
      </c>
      <c r="AK8" s="182">
        <f t="shared" si="8"/>
        <v>47650.962335984943</v>
      </c>
      <c r="AL8" s="182">
        <f t="shared" si="9"/>
        <v>47071.277405880981</v>
      </c>
      <c r="AM8" s="182">
        <f t="shared" si="10"/>
        <v>47126.076300042361</v>
      </c>
      <c r="AN8" s="282">
        <f t="shared" si="11"/>
        <v>30589.400663759803</v>
      </c>
      <c r="AP8" s="313" t="s">
        <v>155</v>
      </c>
      <c r="AQ8" s="316">
        <v>44</v>
      </c>
      <c r="AR8" s="324">
        <f>AVERAGEIF($A$35:$A$185,CONCATENATE("&gt;",INDEX($A$35:$AY$185,MAX($AZ$35:$AZ$185),$S$5)-5),$AR$35:$AR$185)</f>
        <v>909.40939018921767</v>
      </c>
      <c r="AS8" s="182">
        <f t="shared" si="12"/>
        <v>894.66070530323293</v>
      </c>
      <c r="AT8" s="182">
        <f t="shared" si="13"/>
        <v>0</v>
      </c>
      <c r="AU8" s="182">
        <f t="shared" si="14"/>
        <v>0</v>
      </c>
      <c r="AV8" s="282">
        <f t="shared" si="15"/>
        <v>0</v>
      </c>
    </row>
    <row r="9" spans="2:48" ht="12.6" thickBot="1">
      <c r="B9" s="39" t="s">
        <v>125</v>
      </c>
      <c r="C9" s="65">
        <v>5</v>
      </c>
      <c r="D9" s="58">
        <f ca="1">AVERAGEIF($A$35:$A$185,CONCATENATE("&gt;",INDEX($A$35:$AO$185,MAX($AZ$35:$AZ$185),$C$5)-5),$E$35:$E$184)</f>
        <v>10843.091722901901</v>
      </c>
      <c r="E9" s="35">
        <f t="shared" si="0"/>
        <v>10758.451417435064</v>
      </c>
      <c r="F9" s="35">
        <f t="shared" si="1"/>
        <v>7978</v>
      </c>
      <c r="G9" s="35">
        <f t="shared" si="2"/>
        <v>8186.6233224617954</v>
      </c>
      <c r="H9" s="59">
        <f t="shared" si="3"/>
        <v>17054.339910195788</v>
      </c>
      <c r="J9" s="170" t="s">
        <v>135</v>
      </c>
      <c r="K9" s="272">
        <v>11</v>
      </c>
      <c r="L9" s="273">
        <f ca="1">AVERAGEIF($A$35:$A$185,CONCATENATE("&gt;",INDEX($A$35:$AO$185,MAX($AZ$35:$AZ$185),$K$5)-5),$K$35:$K$184)</f>
        <v>281213.72933051584</v>
      </c>
      <c r="M9" s="264">
        <f>INDEX($A$35:$AO$185,MAX($AZ$35:$AZ$185)-3,$K9)</f>
        <v>384614.42156258627</v>
      </c>
      <c r="N9" s="264">
        <f>INDEX($A$35:$AO$185,MAX($AZ$35:$AZ$185)-2,$K9)</f>
        <v>234637.32148515349</v>
      </c>
      <c r="O9" s="264">
        <f>INDEX($A$35:$AO$185,MAX($AZ$35:$AZ$185)-1,$K9)</f>
        <v>208795.64487097581</v>
      </c>
      <c r="P9" s="265">
        <f>INDEX($A$35:$AO$185,MAX($AZ$35:$AZ$185),$K9)</f>
        <v>203318.5075041547</v>
      </c>
      <c r="R9" s="170" t="s">
        <v>141</v>
      </c>
      <c r="S9" s="272">
        <v>15</v>
      </c>
      <c r="T9" s="58">
        <f ca="1">AVERAGEIF($A$35:$A$185,CONCATENATE("&gt;",INDEX($A$35:$AO$185,MAX($AZ$35:$AZ$185),$S$5)-5),$O$35:$O$184)</f>
        <v>105093.87199693883</v>
      </c>
      <c r="U9" s="56">
        <f>INDEX($A$35:$AO$185,MAX($AZ$35:$AZ$185)-3,$S9)</f>
        <v>126558.89712353561</v>
      </c>
      <c r="V9" s="56">
        <f>INDEX($A$35:$AO$185,MAX($AZ$35:$AZ$185)-2,$S9)</f>
        <v>105136.92288131606</v>
      </c>
      <c r="W9" s="56">
        <f>INDEX($A$35:$AO$185,MAX($AZ$35:$AZ$185)-1,$S9)</f>
        <v>115579.98296178543</v>
      </c>
      <c r="X9" s="57">
        <f>INDEX($A$35:$AO$185,MAX($AZ$35:$AZ$185),$S9)</f>
        <v>111810.97925267741</v>
      </c>
      <c r="Z9" s="91" t="s">
        <v>26</v>
      </c>
      <c r="AA9" s="277">
        <v>19</v>
      </c>
      <c r="AB9" s="182">
        <f ca="1">AVERAGEIF($A$35:$A$185,CONCATENATE("&gt;",INDEX($A$35:$AO$185,MAX($AZ$35:$AZ$185),$S$5)-5),$S$35:$S$184)</f>
        <v>360279.0843882683</v>
      </c>
      <c r="AC9" s="182">
        <f t="shared" si="4"/>
        <v>367729.37497159932</v>
      </c>
      <c r="AD9" s="182">
        <f t="shared" si="5"/>
        <v>310362</v>
      </c>
      <c r="AE9" s="182">
        <f t="shared" si="6"/>
        <v>356495.92087003676</v>
      </c>
      <c r="AF9" s="282">
        <f t="shared" si="7"/>
        <v>395220.36195078888</v>
      </c>
      <c r="AH9" s="91" t="s">
        <v>26</v>
      </c>
      <c r="AI9" s="277">
        <v>32</v>
      </c>
      <c r="AJ9" s="182">
        <f ca="1">AVERAGEIF($A$35:$A$185,CONCATENATE("&gt;",INDEX($A$35:$AO$185,MAX($AZ$35:$AZ$185),$S$5)-5),$AF$35:$AF$184)</f>
        <v>268093.10864102829</v>
      </c>
      <c r="AK9" s="182">
        <f t="shared" si="8"/>
        <v>255405.78232392855</v>
      </c>
      <c r="AL9" s="182">
        <f t="shared" si="9"/>
        <v>254150.14054539587</v>
      </c>
      <c r="AM9" s="182">
        <f t="shared" si="10"/>
        <v>283221.60912473669</v>
      </c>
      <c r="AN9" s="282">
        <f t="shared" si="11"/>
        <v>292276.43933629675</v>
      </c>
      <c r="AP9" s="313" t="s">
        <v>156</v>
      </c>
      <c r="AQ9" s="316">
        <v>45</v>
      </c>
      <c r="AR9" s="324">
        <f>AVERAGEIF($A$35:$A$185,CONCATENATE("&gt;",INDEX($A$35:$AY$185,MAX($AZ$35:$AZ$185),$S$5)-5),$AS$35:$AS$185)</f>
        <v>940.53107598871406</v>
      </c>
      <c r="AS9" s="182">
        <f t="shared" si="12"/>
        <v>956.91584839417453</v>
      </c>
      <c r="AT9" s="182">
        <f t="shared" si="13"/>
        <v>0</v>
      </c>
      <c r="AU9" s="182">
        <f t="shared" si="14"/>
        <v>0</v>
      </c>
      <c r="AV9" s="282">
        <f t="shared" si="15"/>
        <v>0</v>
      </c>
    </row>
    <row r="10" spans="2:48" ht="12.6" thickBot="1">
      <c r="B10" s="39" t="s">
        <v>126</v>
      </c>
      <c r="C10" s="65">
        <v>6</v>
      </c>
      <c r="D10" s="58">
        <f ca="1">AVERAGEIF($A$35:$A$185,CONCATENATE("&gt;",INDEX($A$35:$AO$185,MAX($AZ$35:$AZ$185),$C$5)-5),$F$35:$F$184)</f>
        <v>1407972.6165075593</v>
      </c>
      <c r="E10" s="35">
        <f t="shared" si="0"/>
        <v>1425103.3709850935</v>
      </c>
      <c r="F10" s="35">
        <f t="shared" si="1"/>
        <v>1207977</v>
      </c>
      <c r="G10" s="35">
        <f t="shared" si="2"/>
        <v>1492369.3764321844</v>
      </c>
      <c r="H10" s="59">
        <f t="shared" si="3"/>
        <v>1446415.6994831371</v>
      </c>
      <c r="J10" s="267" t="s">
        <v>10</v>
      </c>
      <c r="K10" s="268"/>
      <c r="L10" s="274">
        <f ca="1">SUM(L6:L9)</f>
        <v>1645718.7990017007</v>
      </c>
      <c r="M10" s="269">
        <f>SUM(M6:M9)</f>
        <v>1810288.601871042</v>
      </c>
      <c r="N10" s="269">
        <f>SUM(N6:N9)</f>
        <v>1659763.6967084922</v>
      </c>
      <c r="O10" s="269">
        <f>SUM(O6:O9)</f>
        <v>1589033.594294758</v>
      </c>
      <c r="P10" s="270">
        <f>SUM(P6:P9)</f>
        <v>1622737.118811103</v>
      </c>
      <c r="R10" s="267" t="s">
        <v>10</v>
      </c>
      <c r="S10" s="268"/>
      <c r="T10" s="274">
        <f ca="1">SUM(T6:T9)</f>
        <v>943161.58519892395</v>
      </c>
      <c r="U10" s="269">
        <f>SUM(U6:U9)</f>
        <v>967931.3460667216</v>
      </c>
      <c r="V10" s="269">
        <f>SUM(V6:V9)</f>
        <v>718832.32698873139</v>
      </c>
      <c r="W10" s="269">
        <f>SUM(W6:W9)</f>
        <v>1064654.4466709569</v>
      </c>
      <c r="X10" s="270">
        <f>SUM(X6:X9)</f>
        <v>1081425.706580241</v>
      </c>
      <c r="Z10" s="91" t="s">
        <v>27</v>
      </c>
      <c r="AA10" s="277">
        <v>20</v>
      </c>
      <c r="AB10" s="182">
        <f ca="1">AVERAGEIF($A$35:$A$185,CONCATENATE("&gt;",INDEX($A$35:$AO$185,MAX($AZ$35:$AZ$185),$S$5)-5),$T$35:$T$184)</f>
        <v>289124.6984468085</v>
      </c>
      <c r="AC10" s="182">
        <f t="shared" si="4"/>
        <v>371896.75818492536</v>
      </c>
      <c r="AD10" s="182">
        <f t="shared" si="5"/>
        <v>264635</v>
      </c>
      <c r="AE10" s="182">
        <f t="shared" si="6"/>
        <v>290554.10931192053</v>
      </c>
      <c r="AF10" s="282">
        <f t="shared" si="7"/>
        <v>249342.44465960236</v>
      </c>
      <c r="AH10" s="91" t="s">
        <v>27</v>
      </c>
      <c r="AI10" s="277">
        <v>33</v>
      </c>
      <c r="AJ10" s="182">
        <f ca="1">AVERAGEIF($A$35:$A$185,CONCATENATE("&gt;",INDEX($A$35:$AO$185,MAX($AZ$35:$AZ$185),$S$5)-5),$AG$35:$AG$184)</f>
        <v>313785.7314702071</v>
      </c>
      <c r="AK10" s="182">
        <f t="shared" si="8"/>
        <v>346163.74093907018</v>
      </c>
      <c r="AL10" s="182">
        <f t="shared" si="9"/>
        <v>347555.67506058794</v>
      </c>
      <c r="AM10" s="182">
        <f t="shared" si="10"/>
        <v>303106.75893104024</v>
      </c>
      <c r="AN10" s="282">
        <f t="shared" si="11"/>
        <v>243924.19981236427</v>
      </c>
      <c r="AP10" s="313" t="s">
        <v>157</v>
      </c>
      <c r="AQ10" s="316">
        <v>46</v>
      </c>
      <c r="AR10" s="324">
        <f>AVERAGEIF($A$35:$A$185,CONCATENATE("&gt;",INDEX($A$35:$AY$185,MAX($AZ$35:$AZ$185),$S$5)-5),$AT$35:$AT$185)</f>
        <v>536.97593738207695</v>
      </c>
      <c r="AS10" s="182">
        <f t="shared" si="12"/>
        <v>550.70991584840294</v>
      </c>
      <c r="AT10" s="182">
        <f t="shared" si="13"/>
        <v>0</v>
      </c>
      <c r="AU10" s="182">
        <f t="shared" si="14"/>
        <v>0</v>
      </c>
      <c r="AV10" s="282">
        <f t="shared" si="15"/>
        <v>0</v>
      </c>
    </row>
    <row r="11" spans="2:48">
      <c r="B11" s="39" t="s">
        <v>127</v>
      </c>
      <c r="C11" s="65">
        <v>7</v>
      </c>
      <c r="D11" s="58">
        <f ca="1">AVERAGEIF($A$35:$A$185,CONCATENATE("&gt;",INDEX($A$35:$AO$185,MAX($AZ$35:$AZ$185),$C$5)-5),$G$35:$G$184)</f>
        <v>432268.69266619609</v>
      </c>
      <c r="E11" s="35">
        <f t="shared" si="0"/>
        <v>414467.36339307006</v>
      </c>
      <c r="F11" s="35">
        <f t="shared" si="1"/>
        <v>408675</v>
      </c>
      <c r="G11" s="35">
        <f t="shared" si="2"/>
        <v>521499.58632451424</v>
      </c>
      <c r="H11" s="59">
        <f t="shared" si="3"/>
        <v>412907.97902707377</v>
      </c>
      <c r="Z11" s="91" t="s">
        <v>28</v>
      </c>
      <c r="AA11" s="277">
        <v>21</v>
      </c>
      <c r="AB11" s="182">
        <f ca="1">AVERAGEIF($A$35:$A$185,CONCATENATE("&gt;",INDEX($A$35:$AO$185,MAX($AZ$35:$AZ$185),$S$5)-5),$U$35:$U$184)</f>
        <v>510336.46740535961</v>
      </c>
      <c r="AC11" s="182">
        <f t="shared" si="4"/>
        <v>490077.2983838949</v>
      </c>
      <c r="AD11" s="182">
        <f t="shared" si="5"/>
        <v>489606</v>
      </c>
      <c r="AE11" s="182">
        <f t="shared" si="6"/>
        <v>515004.08129863109</v>
      </c>
      <c r="AF11" s="282">
        <f t="shared" si="7"/>
        <v>594478.43995395605</v>
      </c>
      <c r="AH11" s="91" t="s">
        <v>28</v>
      </c>
      <c r="AI11" s="277">
        <v>34</v>
      </c>
      <c r="AJ11" s="182">
        <f ca="1">AVERAGEIF($A$35:$A$185,CONCATENATE("&gt;",INDEX($A$35:$AO$185,MAX($AZ$35:$AZ$185),$S$5)-5),$AH$35:$AH$184)</f>
        <v>505901.94215751346</v>
      </c>
      <c r="AK11" s="182">
        <f t="shared" si="8"/>
        <v>456290.05814276554</v>
      </c>
      <c r="AL11" s="182">
        <f t="shared" si="9"/>
        <v>464962.92045446613</v>
      </c>
      <c r="AM11" s="182">
        <f t="shared" si="10"/>
        <v>553596.67103083315</v>
      </c>
      <c r="AN11" s="282">
        <f t="shared" si="11"/>
        <v>629470.69701911369</v>
      </c>
      <c r="AP11" s="313" t="s">
        <v>158</v>
      </c>
      <c r="AQ11" s="316">
        <v>47</v>
      </c>
      <c r="AR11" s="324">
        <f>AVERAGEIF($A$35:$A$185,CONCATENATE("&gt;",INDEX($A$35:$AY$185,MAX($AZ$35:$AZ$185),$S$5)-5),$AU$35:$AU$185)</f>
        <v>812.35811971131716</v>
      </c>
      <c r="AS11" s="182">
        <f t="shared" si="12"/>
        <v>811.63553791751599</v>
      </c>
      <c r="AT11" s="182">
        <f t="shared" si="13"/>
        <v>0</v>
      </c>
      <c r="AU11" s="182">
        <f t="shared" si="14"/>
        <v>0</v>
      </c>
      <c r="AV11" s="282">
        <f t="shared" si="15"/>
        <v>0</v>
      </c>
    </row>
    <row r="12" spans="2:48" ht="12.6" thickBot="1">
      <c r="B12" s="40" t="s">
        <v>10</v>
      </c>
      <c r="C12" s="66">
        <v>10</v>
      </c>
      <c r="D12" s="52">
        <f ca="1">SUM(D6:D11)</f>
        <v>5050737.324376544</v>
      </c>
      <c r="E12" s="53">
        <f>SUM(E6:E11)</f>
        <v>5179104.1311345007</v>
      </c>
      <c r="F12" s="53">
        <f>SUM(F6:F11)</f>
        <v>4709489</v>
      </c>
      <c r="G12" s="53">
        <f>SUM(G6:G11)</f>
        <v>5179059.0179476617</v>
      </c>
      <c r="H12" s="54">
        <f>SUM(H6:H11)</f>
        <v>5246404.5649529751</v>
      </c>
      <c r="Z12" s="91" t="s">
        <v>29</v>
      </c>
      <c r="AA12" s="277">
        <v>22</v>
      </c>
      <c r="AB12" s="182">
        <f ca="1">AVERAGEIF($A$35:$A$185,CONCATENATE("&gt;",INDEX($A$35:$AO$185,MAX($AZ$35:$AZ$185),$S$5)-5),$V$35:$V$184)</f>
        <v>266841.01236713573</v>
      </c>
      <c r="AC12" s="182">
        <f t="shared" si="4"/>
        <v>264602.23475261522</v>
      </c>
      <c r="AD12" s="182">
        <f t="shared" si="5"/>
        <v>257326</v>
      </c>
      <c r="AE12" s="182">
        <f t="shared" si="6"/>
        <v>287175.13218140369</v>
      </c>
      <c r="AF12" s="282">
        <f t="shared" si="7"/>
        <v>262793.19898343453</v>
      </c>
      <c r="AH12" s="91" t="s">
        <v>29</v>
      </c>
      <c r="AI12" s="277">
        <v>35</v>
      </c>
      <c r="AJ12" s="182">
        <f ca="1">AVERAGEIF($A$35:$A$185,CONCATENATE("&gt;",INDEX($A$35:$AO$185,MAX($AZ$35:$AZ$185),$S$5)-5),$AI$35:$AI$184)</f>
        <v>182660.7924498354</v>
      </c>
      <c r="AK12" s="182">
        <f t="shared" si="8"/>
        <v>173663.29755683502</v>
      </c>
      <c r="AL12" s="182">
        <f t="shared" si="9"/>
        <v>165376.08616107842</v>
      </c>
      <c r="AM12" s="182">
        <f t="shared" si="10"/>
        <v>207473.25445108014</v>
      </c>
      <c r="AN12" s="282">
        <f t="shared" si="11"/>
        <v>179141.91797099644</v>
      </c>
      <c r="AP12" s="313" t="s">
        <v>159</v>
      </c>
      <c r="AQ12" s="316">
        <v>48</v>
      </c>
      <c r="AR12" s="324">
        <f>AVERAGEIF($A$35:$A$185,CONCATENATE("&gt;",INDEX($A$35:$AY$185,MAX($AZ$35:$AZ$185),$S$5)-5),$AV$35:$AV$185)</f>
        <v>1154.9666254098147</v>
      </c>
      <c r="AS12" s="182">
        <f t="shared" si="12"/>
        <v>1150.8708726533537</v>
      </c>
      <c r="AT12" s="182">
        <f t="shared" si="13"/>
        <v>0</v>
      </c>
      <c r="AU12" s="182">
        <f t="shared" si="14"/>
        <v>0</v>
      </c>
      <c r="AV12" s="282">
        <f t="shared" si="15"/>
        <v>0</v>
      </c>
    </row>
    <row r="13" spans="2:48">
      <c r="Z13" s="91" t="s">
        <v>30</v>
      </c>
      <c r="AA13" s="277">
        <v>23</v>
      </c>
      <c r="AB13" s="182">
        <f ca="1">AVERAGEIF($A$35:$A$185,CONCATENATE("&gt;",INDEX($A$35:$AO$185,MAX($AZ$35:$AZ$185),$S$5)-5),$W$35:$W$184)</f>
        <v>465144.50065206399</v>
      </c>
      <c r="AC13" s="182">
        <f t="shared" si="4"/>
        <v>434153.31458377209</v>
      </c>
      <c r="AD13" s="182">
        <f t="shared" si="5"/>
        <v>396250</v>
      </c>
      <c r="AE13" s="182">
        <f t="shared" si="6"/>
        <v>455050.66923523747</v>
      </c>
      <c r="AF13" s="282">
        <f t="shared" si="7"/>
        <v>540455.84072308498</v>
      </c>
      <c r="AH13" s="91" t="s">
        <v>30</v>
      </c>
      <c r="AI13" s="277">
        <v>36</v>
      </c>
      <c r="AJ13" s="182">
        <f ca="1">AVERAGEIF($A$35:$A$185,CONCATENATE("&gt;",INDEX($A$35:$AO$185,MAX($AZ$35:$AZ$185),$S$5)-5),$AJ$35:$AJ$184)</f>
        <v>399698.33397181443</v>
      </c>
      <c r="AK13" s="182">
        <f t="shared" si="8"/>
        <v>390890.06779804331</v>
      </c>
      <c r="AL13" s="182">
        <f t="shared" si="9"/>
        <v>364922.81214221648</v>
      </c>
      <c r="AM13" s="182">
        <f t="shared" si="10"/>
        <v>377296.59051977179</v>
      </c>
      <c r="AN13" s="282">
        <f t="shared" si="11"/>
        <v>410391.35159276699</v>
      </c>
      <c r="AP13" s="313" t="s">
        <v>160</v>
      </c>
      <c r="AQ13" s="316">
        <v>49</v>
      </c>
      <c r="AR13" s="324">
        <f>AVERAGEIF($A$35:$A$185,CONCATENATE("&gt;",INDEX($A$35:$AY$185,MAX($AZ$35:$AZ$185),$S$5)-5),$AW$35:$AW$185)</f>
        <v>1017.4485158349362</v>
      </c>
      <c r="AS13" s="182">
        <f t="shared" si="12"/>
        <v>1021.2448517460836</v>
      </c>
      <c r="AT13" s="182">
        <f t="shared" si="13"/>
        <v>0</v>
      </c>
      <c r="AU13" s="182">
        <f t="shared" si="14"/>
        <v>0</v>
      </c>
      <c r="AV13" s="282">
        <f t="shared" si="15"/>
        <v>0</v>
      </c>
    </row>
    <row r="14" spans="2:48">
      <c r="Z14" s="91" t="s">
        <v>31</v>
      </c>
      <c r="AA14" s="277">
        <v>24</v>
      </c>
      <c r="AB14" s="182">
        <f ca="1">AVERAGEIF($A$35:$A$185,CONCATENATE("&gt;",INDEX($A$35:$AO$185,MAX($AZ$35:$AZ$185),$S$5)-5),$X$35:$X$184)</f>
        <v>786673.24273595808</v>
      </c>
      <c r="AC14" s="182">
        <f t="shared" si="4"/>
        <v>834248.34921834338</v>
      </c>
      <c r="AD14" s="182">
        <f t="shared" si="5"/>
        <v>764139</v>
      </c>
      <c r="AE14" s="182">
        <f t="shared" si="6"/>
        <v>760655.13186399674</v>
      </c>
      <c r="AF14" s="282">
        <f t="shared" si="7"/>
        <v>802569.75158577145</v>
      </c>
      <c r="AH14" s="91" t="s">
        <v>31</v>
      </c>
      <c r="AI14" s="277">
        <v>37</v>
      </c>
      <c r="AJ14" s="182">
        <f ca="1">AVERAGEIF($A$35:$A$185,CONCATENATE("&gt;",INDEX($A$35:$AO$185,MAX($AZ$35:$AZ$185),$S$5)-5),$AK$35:$AK$184)</f>
        <v>458250.39879692142</v>
      </c>
      <c r="AK14" s="182">
        <f t="shared" si="8"/>
        <v>472523.9206920279</v>
      </c>
      <c r="AL14" s="182">
        <f t="shared" si="9"/>
        <v>443962.76575835765</v>
      </c>
      <c r="AM14" s="182">
        <f t="shared" si="10"/>
        <v>450204.1520333644</v>
      </c>
      <c r="AN14" s="282">
        <f t="shared" si="11"/>
        <v>452114.37273102946</v>
      </c>
      <c r="AP14" s="313" t="s">
        <v>161</v>
      </c>
      <c r="AQ14" s="316">
        <v>50</v>
      </c>
      <c r="AR14" s="324">
        <f>AVERAGEIF($A$35:$A$185,CONCATENATE("&gt;",INDEX($A$35:$AY$185,MAX($AZ$35:$AZ$185),$S$5)-5),$AX$35:$AX$185)</f>
        <v>973.36941531351431</v>
      </c>
      <c r="AS14" s="182">
        <f t="shared" si="12"/>
        <v>978.10126763168967</v>
      </c>
      <c r="AT14" s="182">
        <f t="shared" si="13"/>
        <v>0</v>
      </c>
      <c r="AU14" s="182">
        <f t="shared" si="14"/>
        <v>0</v>
      </c>
      <c r="AV14" s="282">
        <f t="shared" si="15"/>
        <v>0</v>
      </c>
    </row>
    <row r="15" spans="2:48" ht="12.6" thickBot="1">
      <c r="Z15" s="91" t="s">
        <v>32</v>
      </c>
      <c r="AA15" s="277">
        <v>25</v>
      </c>
      <c r="AB15" s="182">
        <f ca="1">AVERAGEIF($A$35:$A$185,CONCATENATE("&gt;",INDEX($A$35:$AO$185,MAX($AZ$35:$AZ$185),$S$5)-5),$Y$35:$Y$184)</f>
        <v>225325.23907755953</v>
      </c>
      <c r="AC15" s="182">
        <f t="shared" si="4"/>
        <v>289781.60874355718</v>
      </c>
      <c r="AD15" s="182">
        <f t="shared" si="5"/>
        <v>254041</v>
      </c>
      <c r="AE15" s="182">
        <f t="shared" si="6"/>
        <v>295894.69945231586</v>
      </c>
      <c r="AF15" s="282">
        <f t="shared" si="7"/>
        <v>12839.85</v>
      </c>
      <c r="AH15" s="91" t="s">
        <v>32</v>
      </c>
      <c r="AI15" s="277">
        <v>38</v>
      </c>
      <c r="AJ15" s="182">
        <f ca="1">AVERAGEIF($A$35:$A$185,CONCATENATE("&gt;",INDEX($A$35:$AO$185,MAX($AZ$35:$AZ$185),$S$5)-5),$AL$35:$AL$184)</f>
        <v>284040.7881142812</v>
      </c>
      <c r="AK15" s="182">
        <f t="shared" si="8"/>
        <v>273515.92440171959</v>
      </c>
      <c r="AL15" s="182">
        <f t="shared" si="9"/>
        <v>269331.93510232645</v>
      </c>
      <c r="AM15" s="182">
        <f t="shared" si="10"/>
        <v>286146.94648975279</v>
      </c>
      <c r="AN15" s="282">
        <f t="shared" si="11"/>
        <v>295678.29260960588</v>
      </c>
      <c r="AP15" s="314" t="s">
        <v>162</v>
      </c>
      <c r="AQ15" s="317">
        <v>51</v>
      </c>
      <c r="AR15" s="325">
        <f>AVERAGEIF($A$35:$A$185,CONCATENATE("&gt;",INDEX($A$35:$AY$185,MAX($AZ$35:$AZ$185),$S$5)-5),$AY$35:$AY$185)</f>
        <v>827.72949718402299</v>
      </c>
      <c r="AS15" s="321">
        <f t="shared" si="12"/>
        <v>821.08755751949082</v>
      </c>
      <c r="AT15" s="321">
        <f t="shared" si="13"/>
        <v>0</v>
      </c>
      <c r="AU15" s="321">
        <f t="shared" si="14"/>
        <v>0</v>
      </c>
      <c r="AV15" s="322">
        <f t="shared" si="15"/>
        <v>0</v>
      </c>
    </row>
    <row r="16" spans="2:48" ht="12.6" thickBot="1">
      <c r="Z16" s="91" t="s">
        <v>33</v>
      </c>
      <c r="AA16" s="277">
        <v>26</v>
      </c>
      <c r="AB16" s="182">
        <f ca="1">AVERAGEIF($A$35:$A$185,CONCATENATE("&gt;",INDEX($A$35:$AO$185,MAX($AZ$35:$AZ$185),$S$5)-5),$Z$35:$Z$184)</f>
        <v>167092.2152320435</v>
      </c>
      <c r="AC16" s="182">
        <f t="shared" si="4"/>
        <v>224607.55791123814</v>
      </c>
      <c r="AD16" s="182">
        <f t="shared" si="5"/>
        <v>181391</v>
      </c>
      <c r="AE16" s="182">
        <f t="shared" si="6"/>
        <v>225720.04589310358</v>
      </c>
      <c r="AF16" s="282">
        <f t="shared" si="7"/>
        <v>11182.05</v>
      </c>
      <c r="AH16" s="91" t="s">
        <v>33</v>
      </c>
      <c r="AI16" s="277">
        <v>39</v>
      </c>
      <c r="AJ16" s="182">
        <f ca="1">AVERAGEIF($A$35:$A$185,CONCATENATE("&gt;",INDEX($A$35:$AO$185,MAX($AZ$35:$AZ$185),$S$5)-5),$AM$35:$AM$184)</f>
        <v>196280.59393820883</v>
      </c>
      <c r="AK16" s="182">
        <f t="shared" si="8"/>
        <v>193890.20061740582</v>
      </c>
      <c r="AL16" s="182">
        <f t="shared" si="9"/>
        <v>185195.52955957409</v>
      </c>
      <c r="AM16" s="182">
        <f t="shared" si="10"/>
        <v>195745.19280257082</v>
      </c>
      <c r="AN16" s="282">
        <f t="shared" si="11"/>
        <v>193859.09825660073</v>
      </c>
      <c r="AP16" s="285" t="s">
        <v>10</v>
      </c>
      <c r="AQ16" s="285"/>
      <c r="AR16" s="326">
        <f>SUM(AR6:AR15)</f>
        <v>9379.3002577343741</v>
      </c>
      <c r="AS16" s="327">
        <f>SUM(AS6:AS15)</f>
        <v>9388.8521875831175</v>
      </c>
      <c r="AT16" s="327">
        <f>SUM(AT6:AT15)</f>
        <v>0</v>
      </c>
      <c r="AU16" s="327">
        <f>SUM(AU6:AU15)</f>
        <v>0</v>
      </c>
      <c r="AV16" s="328">
        <f>SUM(AV6:AV15)</f>
        <v>0</v>
      </c>
    </row>
    <row r="17" spans="2:42">
      <c r="Z17" s="91" t="s">
        <v>34</v>
      </c>
      <c r="AA17" s="277">
        <v>27</v>
      </c>
      <c r="AB17" s="182">
        <f ca="1">AVERAGEIF($A$35:$A$185,CONCATENATE("&gt;",INDEX($A$35:$AO$185,MAX($AZ$35:$AZ$185),$S$5)-5),$AA$35:$AA$184)</f>
        <v>181109.11178679162</v>
      </c>
      <c r="AC17" s="182">
        <f t="shared" si="4"/>
        <v>253372.19524074253</v>
      </c>
      <c r="AD17" s="182">
        <f t="shared" si="5"/>
        <v>186998</v>
      </c>
      <c r="AE17" s="182">
        <f t="shared" si="6"/>
        <v>188014.33887504987</v>
      </c>
      <c r="AF17" s="282">
        <f t="shared" si="7"/>
        <v>1129.6500000000001</v>
      </c>
      <c r="AH17" s="91" t="s">
        <v>34</v>
      </c>
      <c r="AI17" s="277">
        <v>40</v>
      </c>
      <c r="AJ17" s="182">
        <f ca="1">AVERAGEIF($A$35:$A$185,CONCATENATE("&gt;",INDEX($A$35:$AO$185,MAX($AZ$35:$AZ$185),$S$5)-5),$AN$35:$AN$184)</f>
        <v>275237.99446095177</v>
      </c>
      <c r="AK17" s="182">
        <f t="shared" si="8"/>
        <v>315276.79821587983</v>
      </c>
      <c r="AL17" s="182">
        <f t="shared" si="9"/>
        <v>250392.77780213457</v>
      </c>
      <c r="AM17" s="182">
        <f t="shared" si="10"/>
        <v>235989.29266145689</v>
      </c>
      <c r="AN17" s="282">
        <f t="shared" si="11"/>
        <v>170577.69337577739</v>
      </c>
    </row>
    <row r="18" spans="2:42" ht="12.6" thickBot="1">
      <c r="Z18" s="91" t="s">
        <v>35</v>
      </c>
      <c r="AA18" s="277">
        <v>28</v>
      </c>
      <c r="AB18" s="182">
        <f ca="1">AVERAGEIF($A$35:$A$185,CONCATENATE("&gt;",INDEX($A$35:$AO$185,MAX($AZ$35:$AZ$185),$S$5)-5),$AB$35:$AB$184)</f>
        <v>340941.42144259339</v>
      </c>
      <c r="AC18" s="182">
        <f t="shared" si="4"/>
        <v>326936.63376265659</v>
      </c>
      <c r="AD18" s="182">
        <f t="shared" si="5"/>
        <v>308578</v>
      </c>
      <c r="AE18" s="182">
        <f t="shared" si="6"/>
        <v>379960.5174859442</v>
      </c>
      <c r="AF18" s="282">
        <f t="shared" si="7"/>
        <v>390136.17245107912</v>
      </c>
      <c r="AH18" s="91" t="s">
        <v>35</v>
      </c>
      <c r="AI18" s="277">
        <v>41</v>
      </c>
      <c r="AJ18" s="182">
        <f ca="1">AVERAGEIF($A$35:$A$185,CONCATENATE("&gt;",INDEX($A$35:$AO$185,MAX($AZ$35:$AZ$185),$S$5)-5),$AO$35:$AO$184)</f>
        <v>260396.07336865301</v>
      </c>
      <c r="AK18" s="182">
        <f t="shared" si="8"/>
        <v>247861.70597336878</v>
      </c>
      <c r="AL18" s="182">
        <f t="shared" si="9"/>
        <v>260679.29896225064</v>
      </c>
      <c r="AM18" s="182">
        <f t="shared" si="10"/>
        <v>292462.25998934818</v>
      </c>
      <c r="AN18" s="282">
        <f t="shared" si="11"/>
        <v>275772.37444493698</v>
      </c>
    </row>
    <row r="19" spans="2:42" ht="12.6" thickBot="1">
      <c r="Z19" s="285" t="s">
        <v>13</v>
      </c>
      <c r="AA19" s="278"/>
      <c r="AB19" s="283">
        <f ca="1">SUM(AB6:AB18)</f>
        <v>4917266.6632498913</v>
      </c>
      <c r="AC19" s="283">
        <f>SUM(AC6:AC18)</f>
        <v>5179104.1311344998</v>
      </c>
      <c r="AD19" s="283">
        <f>SUM(AD6:AD18)</f>
        <v>4709489</v>
      </c>
      <c r="AE19" s="283">
        <f>SUM(AE6:AE18)</f>
        <v>5162620.9729476627</v>
      </c>
      <c r="AF19" s="284">
        <f>SUM(AF6:AF18)</f>
        <v>4595489.3043197114</v>
      </c>
      <c r="AH19" s="285" t="s">
        <v>13</v>
      </c>
      <c r="AI19" s="278"/>
      <c r="AJ19" s="283">
        <f ca="1">SUM(AJ6:AJ18)</f>
        <v>4161772.193576504</v>
      </c>
      <c r="AK19" s="283">
        <f>SUM(AK6:AK18)</f>
        <v>4104826.7206773064</v>
      </c>
      <c r="AL19" s="283">
        <f>SUM(AL6:AL18)</f>
        <v>3957123.5393993766</v>
      </c>
      <c r="AM19" s="283">
        <f>SUM(AM6:AM18)</f>
        <v>4295741.4931277344</v>
      </c>
      <c r="AN19" s="284">
        <f>SUM(AN6:AN18)</f>
        <v>4178383.3954556715</v>
      </c>
    </row>
    <row r="32" spans="2:42">
      <c r="B32" t="s">
        <v>144</v>
      </c>
      <c r="H32" t="s">
        <v>145</v>
      </c>
      <c r="K32" t="s">
        <v>146</v>
      </c>
      <c r="P32" t="s">
        <v>147</v>
      </c>
      <c r="AC32" t="s">
        <v>148</v>
      </c>
      <c r="AP32" t="s">
        <v>163</v>
      </c>
    </row>
    <row r="33" spans="1:58" ht="12.6" thickBot="1">
      <c r="A33">
        <v>1</v>
      </c>
      <c r="B33">
        <v>2</v>
      </c>
      <c r="C33">
        <v>3</v>
      </c>
      <c r="D33">
        <v>4</v>
      </c>
      <c r="E33">
        <v>5</v>
      </c>
      <c r="F33">
        <v>6</v>
      </c>
      <c r="G33">
        <v>7</v>
      </c>
      <c r="H33">
        <v>8</v>
      </c>
      <c r="I33">
        <v>9</v>
      </c>
      <c r="J33">
        <v>10</v>
      </c>
      <c r="K33">
        <v>11</v>
      </c>
      <c r="L33">
        <v>12</v>
      </c>
      <c r="M33">
        <v>13</v>
      </c>
      <c r="N33">
        <v>14</v>
      </c>
      <c r="O33">
        <v>15</v>
      </c>
      <c r="P33">
        <v>16</v>
      </c>
      <c r="Q33">
        <v>17</v>
      </c>
      <c r="R33">
        <v>18</v>
      </c>
      <c r="S33">
        <v>19</v>
      </c>
      <c r="T33">
        <v>20</v>
      </c>
      <c r="U33">
        <v>21</v>
      </c>
      <c r="V33">
        <v>22</v>
      </c>
      <c r="W33">
        <v>23</v>
      </c>
      <c r="X33">
        <v>24</v>
      </c>
      <c r="Y33">
        <v>25</v>
      </c>
      <c r="Z33">
        <v>26</v>
      </c>
      <c r="AA33">
        <v>27</v>
      </c>
      <c r="AB33">
        <v>28</v>
      </c>
      <c r="AC33">
        <v>29</v>
      </c>
      <c r="AD33">
        <v>30</v>
      </c>
      <c r="AE33">
        <v>31</v>
      </c>
      <c r="AF33">
        <v>32</v>
      </c>
      <c r="AG33">
        <v>33</v>
      </c>
      <c r="AH33">
        <v>34</v>
      </c>
      <c r="AI33">
        <v>35</v>
      </c>
      <c r="AJ33">
        <v>36</v>
      </c>
      <c r="AK33">
        <v>37</v>
      </c>
      <c r="AL33">
        <v>38</v>
      </c>
      <c r="AM33">
        <v>39</v>
      </c>
      <c r="AN33">
        <v>40</v>
      </c>
      <c r="AO33">
        <v>41</v>
      </c>
      <c r="AP33">
        <v>42</v>
      </c>
      <c r="AQ33">
        <v>43</v>
      </c>
      <c r="AR33">
        <v>44</v>
      </c>
      <c r="AS33">
        <v>45</v>
      </c>
      <c r="AT33">
        <v>46</v>
      </c>
      <c r="AU33">
        <v>47</v>
      </c>
      <c r="AV33">
        <v>48</v>
      </c>
      <c r="AW33">
        <v>49</v>
      </c>
      <c r="AX33">
        <v>50</v>
      </c>
      <c r="AY33">
        <v>51</v>
      </c>
      <c r="AZ33">
        <v>52</v>
      </c>
      <c r="BA33">
        <v>53</v>
      </c>
      <c r="BB33">
        <v>54</v>
      </c>
      <c r="BC33">
        <v>55</v>
      </c>
      <c r="BD33">
        <v>56</v>
      </c>
      <c r="BE33">
        <v>57</v>
      </c>
      <c r="BF33">
        <v>58</v>
      </c>
    </row>
    <row r="34" spans="1:58" ht="25.2" thickTop="1" thickBot="1">
      <c r="A34" s="121" t="s">
        <v>0</v>
      </c>
      <c r="B34" s="148" t="s">
        <v>124</v>
      </c>
      <c r="C34" s="149" t="s">
        <v>91</v>
      </c>
      <c r="D34" s="149" t="s">
        <v>90</v>
      </c>
      <c r="E34" s="149" t="s">
        <v>125</v>
      </c>
      <c r="F34" s="149" t="s">
        <v>126</v>
      </c>
      <c r="G34" s="217" t="s">
        <v>127</v>
      </c>
      <c r="H34" s="259" t="s">
        <v>133</v>
      </c>
      <c r="I34" s="153" t="s">
        <v>86</v>
      </c>
      <c r="J34" s="266" t="s">
        <v>134</v>
      </c>
      <c r="K34" s="258" t="s">
        <v>135</v>
      </c>
      <c r="L34" s="152" t="s">
        <v>138</v>
      </c>
      <c r="M34" s="153" t="s">
        <v>139</v>
      </c>
      <c r="N34" s="153" t="s">
        <v>140</v>
      </c>
      <c r="O34" s="258" t="s">
        <v>141</v>
      </c>
      <c r="P34" s="148" t="s">
        <v>23</v>
      </c>
      <c r="Q34" s="149" t="s">
        <v>24</v>
      </c>
      <c r="R34" s="149" t="s">
        <v>25</v>
      </c>
      <c r="S34" s="149" t="s">
        <v>26</v>
      </c>
      <c r="T34" s="149" t="s">
        <v>27</v>
      </c>
      <c r="U34" s="149" t="s">
        <v>28</v>
      </c>
      <c r="V34" s="149" t="s">
        <v>29</v>
      </c>
      <c r="W34" s="149" t="s">
        <v>30</v>
      </c>
      <c r="X34" s="149" t="s">
        <v>31</v>
      </c>
      <c r="Y34" s="149" t="s">
        <v>32</v>
      </c>
      <c r="Z34" s="149" t="s">
        <v>33</v>
      </c>
      <c r="AA34" s="149" t="s">
        <v>34</v>
      </c>
      <c r="AB34" s="217" t="s">
        <v>35</v>
      </c>
      <c r="AC34" s="148" t="s">
        <v>23</v>
      </c>
      <c r="AD34" s="149" t="s">
        <v>24</v>
      </c>
      <c r="AE34" s="149" t="s">
        <v>25</v>
      </c>
      <c r="AF34" s="149" t="s">
        <v>26</v>
      </c>
      <c r="AG34" s="149" t="s">
        <v>27</v>
      </c>
      <c r="AH34" s="149" t="s">
        <v>28</v>
      </c>
      <c r="AI34" s="149" t="s">
        <v>29</v>
      </c>
      <c r="AJ34" s="149" t="s">
        <v>30</v>
      </c>
      <c r="AK34" s="149" t="s">
        <v>31</v>
      </c>
      <c r="AL34" s="149" t="s">
        <v>32</v>
      </c>
      <c r="AM34" s="149" t="s">
        <v>33</v>
      </c>
      <c r="AN34" s="149" t="s">
        <v>34</v>
      </c>
      <c r="AO34" s="217" t="s">
        <v>35</v>
      </c>
      <c r="AP34" s="148" t="s">
        <v>153</v>
      </c>
      <c r="AQ34" s="149" t="s">
        <v>154</v>
      </c>
      <c r="AR34" s="149" t="s">
        <v>155</v>
      </c>
      <c r="AS34" s="149" t="s">
        <v>156</v>
      </c>
      <c r="AT34" s="149" t="s">
        <v>157</v>
      </c>
      <c r="AU34" s="149" t="s">
        <v>158</v>
      </c>
      <c r="AV34" s="149" t="s">
        <v>159</v>
      </c>
      <c r="AW34" s="149" t="s">
        <v>160</v>
      </c>
      <c r="AX34" s="149" t="s">
        <v>161</v>
      </c>
      <c r="AY34" s="217" t="s">
        <v>162</v>
      </c>
      <c r="AZ34" s="27" t="s">
        <v>11</v>
      </c>
      <c r="BA34" s="149" t="s">
        <v>124</v>
      </c>
      <c r="BB34" s="149" t="s">
        <v>91</v>
      </c>
      <c r="BC34" s="149" t="s">
        <v>90</v>
      </c>
      <c r="BD34" s="149" t="s">
        <v>125</v>
      </c>
      <c r="BE34" s="217" t="s">
        <v>753</v>
      </c>
      <c r="BF34" s="27" t="s">
        <v>11</v>
      </c>
    </row>
    <row r="35" spans="1:58" ht="12.6" thickTop="1">
      <c r="A35" s="29">
        <v>2000</v>
      </c>
      <c r="B35" s="17"/>
      <c r="C35" s="92"/>
      <c r="D35" s="92"/>
      <c r="E35" s="92"/>
      <c r="F35" s="92"/>
      <c r="G35" s="18"/>
      <c r="H35" s="17"/>
      <c r="I35" s="92"/>
      <c r="J35" s="213"/>
      <c r="K35" s="18"/>
      <c r="L35" s="17"/>
      <c r="M35" s="92"/>
      <c r="N35" s="92"/>
      <c r="O35" s="18"/>
      <c r="P35" s="17"/>
      <c r="Q35" s="92"/>
      <c r="R35" s="92"/>
      <c r="S35" s="92"/>
      <c r="T35" s="92"/>
      <c r="U35" s="92"/>
      <c r="V35" s="92"/>
      <c r="W35" s="92"/>
      <c r="X35" s="92"/>
      <c r="Y35" s="92"/>
      <c r="Z35" s="92"/>
      <c r="AA35" s="92"/>
      <c r="AB35" s="18"/>
      <c r="AC35" s="17"/>
      <c r="AD35" s="92"/>
      <c r="AE35" s="92"/>
      <c r="AF35" s="92"/>
      <c r="AG35" s="92"/>
      <c r="AH35" s="92"/>
      <c r="AI35" s="92"/>
      <c r="AJ35" s="92"/>
      <c r="AK35" s="92"/>
      <c r="AL35" s="92"/>
      <c r="AM35" s="92"/>
      <c r="AN35" s="92"/>
      <c r="AO35" s="18"/>
      <c r="AP35" s="19"/>
      <c r="AQ35" s="93"/>
      <c r="AR35" s="93"/>
      <c r="AS35" s="93"/>
      <c r="AT35" s="93"/>
      <c r="AU35" s="93"/>
      <c r="AV35" s="93"/>
      <c r="AW35" s="93"/>
      <c r="AX35" s="93"/>
      <c r="AY35" s="20"/>
      <c r="AZ35" s="25">
        <v>1</v>
      </c>
      <c r="BA35" s="93"/>
      <c r="BB35" s="93"/>
      <c r="BC35" s="93"/>
      <c r="BD35" s="93"/>
      <c r="BE35" s="20"/>
      <c r="BF35" s="25">
        <v>1</v>
      </c>
    </row>
    <row r="36" spans="1:58">
      <c r="A36" s="29">
        <v>2001</v>
      </c>
      <c r="B36" s="19"/>
      <c r="C36" s="93"/>
      <c r="D36" s="93"/>
      <c r="E36" s="93"/>
      <c r="F36" s="93"/>
      <c r="G36" s="20"/>
      <c r="H36" s="19"/>
      <c r="I36" s="93"/>
      <c r="J36" s="214"/>
      <c r="K36" s="20"/>
      <c r="L36" s="19"/>
      <c r="M36" s="93"/>
      <c r="N36" s="93"/>
      <c r="O36" s="20"/>
      <c r="P36" s="19"/>
      <c r="Q36" s="93"/>
      <c r="R36" s="93"/>
      <c r="S36" s="93"/>
      <c r="T36" s="93"/>
      <c r="U36" s="93"/>
      <c r="V36" s="93"/>
      <c r="W36" s="93"/>
      <c r="X36" s="93"/>
      <c r="Y36" s="93"/>
      <c r="Z36" s="93"/>
      <c r="AA36" s="93"/>
      <c r="AB36" s="20"/>
      <c r="AC36" s="19"/>
      <c r="AD36" s="93"/>
      <c r="AE36" s="93"/>
      <c r="AF36" s="93"/>
      <c r="AG36" s="93"/>
      <c r="AH36" s="93"/>
      <c r="AI36" s="93"/>
      <c r="AJ36" s="93"/>
      <c r="AK36" s="93"/>
      <c r="AL36" s="93"/>
      <c r="AM36" s="93"/>
      <c r="AN36" s="93"/>
      <c r="AO36" s="20"/>
      <c r="AP36" s="19"/>
      <c r="AQ36" s="93"/>
      <c r="AR36" s="93"/>
      <c r="AS36" s="93"/>
      <c r="AT36" s="93"/>
      <c r="AU36" s="93"/>
      <c r="AV36" s="93"/>
      <c r="AW36" s="93"/>
      <c r="AX36" s="93"/>
      <c r="AY36" s="20"/>
      <c r="AZ36" s="25">
        <v>2</v>
      </c>
      <c r="BA36" s="93"/>
      <c r="BB36" s="93"/>
      <c r="BC36" s="93"/>
      <c r="BD36" s="93"/>
      <c r="BE36" s="20"/>
      <c r="BF36" s="25">
        <v>2</v>
      </c>
    </row>
    <row r="37" spans="1:58">
      <c r="A37" s="29">
        <v>2002</v>
      </c>
      <c r="B37" s="19"/>
      <c r="C37" s="93"/>
      <c r="D37" s="93"/>
      <c r="E37" s="93"/>
      <c r="F37" s="93"/>
      <c r="G37" s="20"/>
      <c r="H37" s="19"/>
      <c r="I37" s="93"/>
      <c r="J37" s="214"/>
      <c r="K37" s="20"/>
      <c r="L37" s="19"/>
      <c r="M37" s="93"/>
      <c r="N37" s="93"/>
      <c r="O37" s="20"/>
      <c r="P37" s="19"/>
      <c r="Q37" s="93"/>
      <c r="R37" s="93"/>
      <c r="S37" s="93"/>
      <c r="T37" s="93"/>
      <c r="U37" s="93"/>
      <c r="V37" s="93"/>
      <c r="W37" s="93"/>
      <c r="X37" s="93"/>
      <c r="Y37" s="93"/>
      <c r="Z37" s="93"/>
      <c r="AA37" s="93"/>
      <c r="AB37" s="20"/>
      <c r="AC37" s="19"/>
      <c r="AD37" s="93"/>
      <c r="AE37" s="93"/>
      <c r="AF37" s="93"/>
      <c r="AG37" s="93"/>
      <c r="AH37" s="93"/>
      <c r="AI37" s="93"/>
      <c r="AJ37" s="93"/>
      <c r="AK37" s="93"/>
      <c r="AL37" s="93"/>
      <c r="AM37" s="93"/>
      <c r="AN37" s="93"/>
      <c r="AO37" s="20"/>
      <c r="AP37" s="19"/>
      <c r="AQ37" s="93"/>
      <c r="AR37" s="93"/>
      <c r="AS37" s="93"/>
      <c r="AT37" s="93"/>
      <c r="AU37" s="93"/>
      <c r="AV37" s="93"/>
      <c r="AW37" s="93"/>
      <c r="AX37" s="93"/>
      <c r="AY37" s="20"/>
      <c r="AZ37" s="25">
        <v>3</v>
      </c>
      <c r="BA37" s="93"/>
      <c r="BB37" s="93"/>
      <c r="BC37" s="93"/>
      <c r="BD37" s="93"/>
      <c r="BE37" s="20"/>
      <c r="BF37" s="25">
        <v>3</v>
      </c>
    </row>
    <row r="38" spans="1:58">
      <c r="A38" s="29">
        <v>2003</v>
      </c>
      <c r="B38" s="19"/>
      <c r="C38" s="93"/>
      <c r="D38" s="93"/>
      <c r="E38" s="93"/>
      <c r="F38" s="93"/>
      <c r="G38" s="20"/>
      <c r="H38" s="19"/>
      <c r="I38" s="93"/>
      <c r="J38" s="214"/>
      <c r="K38" s="20"/>
      <c r="L38" s="19"/>
      <c r="M38" s="93"/>
      <c r="N38" s="93"/>
      <c r="O38" s="20"/>
      <c r="P38" s="19"/>
      <c r="Q38" s="93"/>
      <c r="R38" s="93"/>
      <c r="S38" s="93"/>
      <c r="T38" s="93"/>
      <c r="U38" s="93"/>
      <c r="V38" s="93"/>
      <c r="W38" s="93"/>
      <c r="X38" s="93"/>
      <c r="Y38" s="93"/>
      <c r="Z38" s="93"/>
      <c r="AA38" s="93"/>
      <c r="AB38" s="20"/>
      <c r="AC38" s="19"/>
      <c r="AD38" s="93"/>
      <c r="AE38" s="93"/>
      <c r="AF38" s="93"/>
      <c r="AG38" s="93"/>
      <c r="AH38" s="93"/>
      <c r="AI38" s="93"/>
      <c r="AJ38" s="93"/>
      <c r="AK38" s="93"/>
      <c r="AL38" s="93"/>
      <c r="AM38" s="93"/>
      <c r="AN38" s="93"/>
      <c r="AO38" s="20"/>
      <c r="AP38" s="19"/>
      <c r="AQ38" s="93"/>
      <c r="AR38" s="93"/>
      <c r="AS38" s="93"/>
      <c r="AT38" s="93"/>
      <c r="AU38" s="93"/>
      <c r="AV38" s="93"/>
      <c r="AW38" s="93"/>
      <c r="AX38" s="93"/>
      <c r="AY38" s="20"/>
      <c r="AZ38" s="25">
        <v>4</v>
      </c>
      <c r="BA38" s="93"/>
      <c r="BB38" s="93"/>
      <c r="BC38" s="93"/>
      <c r="BD38" s="93"/>
      <c r="BE38" s="20"/>
      <c r="BF38" s="25">
        <v>4</v>
      </c>
    </row>
    <row r="39" spans="1:58">
      <c r="A39" s="29">
        <v>2004</v>
      </c>
      <c r="B39" s="19"/>
      <c r="C39" s="93"/>
      <c r="D39" s="93"/>
      <c r="E39" s="93"/>
      <c r="F39" s="93"/>
      <c r="G39" s="20"/>
      <c r="H39" s="19"/>
      <c r="I39" s="93"/>
      <c r="J39" s="214"/>
      <c r="K39" s="20"/>
      <c r="L39" s="19"/>
      <c r="M39" s="93"/>
      <c r="N39" s="93"/>
      <c r="O39" s="20"/>
      <c r="P39" s="19"/>
      <c r="Q39" s="93"/>
      <c r="R39" s="93"/>
      <c r="S39" s="93"/>
      <c r="T39" s="93"/>
      <c r="U39" s="93"/>
      <c r="V39" s="93"/>
      <c r="W39" s="93"/>
      <c r="X39" s="93"/>
      <c r="Y39" s="93"/>
      <c r="Z39" s="93"/>
      <c r="AA39" s="93"/>
      <c r="AB39" s="20"/>
      <c r="AC39" s="19"/>
      <c r="AD39" s="93"/>
      <c r="AE39" s="93"/>
      <c r="AF39" s="93"/>
      <c r="AG39" s="93"/>
      <c r="AH39" s="93"/>
      <c r="AI39" s="93"/>
      <c r="AJ39" s="93"/>
      <c r="AK39" s="93"/>
      <c r="AL39" s="93"/>
      <c r="AM39" s="93"/>
      <c r="AN39" s="93"/>
      <c r="AO39" s="20"/>
      <c r="AP39" s="19"/>
      <c r="AQ39" s="93"/>
      <c r="AR39" s="93"/>
      <c r="AS39" s="93"/>
      <c r="AT39" s="93"/>
      <c r="AU39" s="93"/>
      <c r="AV39" s="93"/>
      <c r="AW39" s="93"/>
      <c r="AX39" s="93"/>
      <c r="AY39" s="20"/>
      <c r="AZ39" s="25">
        <v>5</v>
      </c>
      <c r="BA39" s="93"/>
      <c r="BB39" s="93"/>
      <c r="BC39" s="93"/>
      <c r="BD39" s="93"/>
      <c r="BE39" s="20"/>
      <c r="BF39" s="25">
        <v>5</v>
      </c>
    </row>
    <row r="40" spans="1:58">
      <c r="A40" s="29">
        <v>2005</v>
      </c>
      <c r="B40" s="19"/>
      <c r="C40" s="93"/>
      <c r="D40" s="93"/>
      <c r="E40" s="93"/>
      <c r="F40" s="93"/>
      <c r="G40" s="20"/>
      <c r="H40" s="19"/>
      <c r="I40" s="93"/>
      <c r="J40" s="214"/>
      <c r="K40" s="20"/>
      <c r="L40" s="19"/>
      <c r="M40" s="93"/>
      <c r="N40" s="93"/>
      <c r="O40" s="20"/>
      <c r="P40" s="19"/>
      <c r="Q40" s="93"/>
      <c r="R40" s="93"/>
      <c r="S40" s="93"/>
      <c r="T40" s="93"/>
      <c r="U40" s="93"/>
      <c r="V40" s="93"/>
      <c r="W40" s="93"/>
      <c r="X40" s="93"/>
      <c r="Y40" s="93"/>
      <c r="Z40" s="93"/>
      <c r="AA40" s="93"/>
      <c r="AB40" s="20"/>
      <c r="AC40" s="19"/>
      <c r="AD40" s="93"/>
      <c r="AE40" s="93"/>
      <c r="AF40" s="93"/>
      <c r="AG40" s="93"/>
      <c r="AH40" s="93"/>
      <c r="AI40" s="93"/>
      <c r="AJ40" s="93"/>
      <c r="AK40" s="93"/>
      <c r="AL40" s="93"/>
      <c r="AM40" s="93"/>
      <c r="AN40" s="93"/>
      <c r="AO40" s="20"/>
      <c r="AP40" s="19"/>
      <c r="AQ40" s="93"/>
      <c r="AR40" s="93"/>
      <c r="AS40" s="93"/>
      <c r="AT40" s="93"/>
      <c r="AU40" s="93"/>
      <c r="AV40" s="93"/>
      <c r="AW40" s="93"/>
      <c r="AX40" s="93"/>
      <c r="AY40" s="20"/>
      <c r="AZ40" s="25">
        <v>6</v>
      </c>
      <c r="BA40" s="93"/>
      <c r="BB40" s="93"/>
      <c r="BC40" s="93"/>
      <c r="BD40" s="93"/>
      <c r="BE40" s="20"/>
      <c r="BF40" s="25">
        <v>6</v>
      </c>
    </row>
    <row r="41" spans="1:58">
      <c r="A41" s="29">
        <v>2006</v>
      </c>
      <c r="B41" s="19"/>
      <c r="C41" s="93"/>
      <c r="D41" s="93"/>
      <c r="E41" s="93"/>
      <c r="F41" s="93"/>
      <c r="G41" s="20"/>
      <c r="H41" s="19"/>
      <c r="I41" s="93"/>
      <c r="J41" s="214"/>
      <c r="K41" s="20"/>
      <c r="L41" s="19"/>
      <c r="M41" s="93"/>
      <c r="N41" s="93"/>
      <c r="O41" s="20"/>
      <c r="P41" s="19"/>
      <c r="Q41" s="93"/>
      <c r="R41" s="93"/>
      <c r="S41" s="93"/>
      <c r="T41" s="93"/>
      <c r="U41" s="93"/>
      <c r="V41" s="93"/>
      <c r="W41" s="93"/>
      <c r="X41" s="93"/>
      <c r="Y41" s="93"/>
      <c r="Z41" s="93"/>
      <c r="AA41" s="93"/>
      <c r="AB41" s="20"/>
      <c r="AC41" s="19"/>
      <c r="AD41" s="93"/>
      <c r="AE41" s="93"/>
      <c r="AF41" s="93"/>
      <c r="AG41" s="93"/>
      <c r="AH41" s="93"/>
      <c r="AI41" s="93"/>
      <c r="AJ41" s="93"/>
      <c r="AK41" s="93"/>
      <c r="AL41" s="93"/>
      <c r="AM41" s="93"/>
      <c r="AN41" s="93"/>
      <c r="AO41" s="20"/>
      <c r="AP41" s="19"/>
      <c r="AQ41" s="93"/>
      <c r="AR41" s="93"/>
      <c r="AS41" s="93"/>
      <c r="AT41" s="93"/>
      <c r="AU41" s="93"/>
      <c r="AV41" s="93"/>
      <c r="AW41" s="93"/>
      <c r="AX41" s="93"/>
      <c r="AY41" s="20"/>
      <c r="AZ41" s="25">
        <v>7</v>
      </c>
      <c r="BA41" s="93"/>
      <c r="BB41" s="93"/>
      <c r="BC41" s="93"/>
      <c r="BD41" s="93"/>
      <c r="BE41" s="20"/>
      <c r="BF41" s="25">
        <v>7</v>
      </c>
    </row>
    <row r="42" spans="1:58">
      <c r="A42" s="29">
        <v>2007</v>
      </c>
      <c r="B42" s="19"/>
      <c r="C42" s="93"/>
      <c r="D42" s="93"/>
      <c r="E42" s="93"/>
      <c r="F42" s="93"/>
      <c r="G42" s="20"/>
      <c r="H42" s="19"/>
      <c r="I42" s="93"/>
      <c r="J42" s="214"/>
      <c r="K42" s="20"/>
      <c r="L42" s="19"/>
      <c r="M42" s="93"/>
      <c r="N42" s="93"/>
      <c r="O42" s="20"/>
      <c r="P42" s="19"/>
      <c r="Q42" s="93"/>
      <c r="R42" s="93"/>
      <c r="S42" s="93"/>
      <c r="T42" s="93"/>
      <c r="U42" s="93"/>
      <c r="V42" s="93"/>
      <c r="W42" s="93"/>
      <c r="X42" s="93"/>
      <c r="Y42" s="93"/>
      <c r="Z42" s="93"/>
      <c r="AA42" s="93"/>
      <c r="AB42" s="20"/>
      <c r="AC42" s="19"/>
      <c r="AD42" s="93"/>
      <c r="AE42" s="93"/>
      <c r="AF42" s="93"/>
      <c r="AG42" s="93"/>
      <c r="AH42" s="93"/>
      <c r="AI42" s="93"/>
      <c r="AJ42" s="93"/>
      <c r="AK42" s="93"/>
      <c r="AL42" s="93"/>
      <c r="AM42" s="93"/>
      <c r="AN42" s="93"/>
      <c r="AO42" s="20"/>
      <c r="AP42" s="19"/>
      <c r="AQ42" s="93"/>
      <c r="AR42" s="93"/>
      <c r="AS42" s="93"/>
      <c r="AT42" s="93"/>
      <c r="AU42" s="93"/>
      <c r="AV42" s="93"/>
      <c r="AX42" s="93"/>
      <c r="AY42" s="20"/>
      <c r="AZ42" s="25">
        <v>8</v>
      </c>
      <c r="BA42" s="93"/>
      <c r="BB42" s="93"/>
      <c r="BD42" s="93"/>
      <c r="BE42" s="20"/>
      <c r="BF42" s="25">
        <v>8</v>
      </c>
    </row>
    <row r="43" spans="1:58">
      <c r="A43" s="29">
        <v>2008</v>
      </c>
      <c r="B43" s="19"/>
      <c r="C43" s="93"/>
      <c r="D43" s="93"/>
      <c r="E43" s="93"/>
      <c r="F43" s="93"/>
      <c r="G43" s="20"/>
      <c r="H43" s="19"/>
      <c r="I43" s="93"/>
      <c r="J43" s="214"/>
      <c r="K43" s="20"/>
      <c r="L43" s="19"/>
      <c r="M43" s="93"/>
      <c r="N43" s="93"/>
      <c r="O43" s="20"/>
      <c r="P43" s="19"/>
      <c r="Q43" s="93"/>
      <c r="R43" s="93"/>
      <c r="S43" s="93"/>
      <c r="T43" s="93"/>
      <c r="U43" s="93"/>
      <c r="V43" s="93"/>
      <c r="W43" s="93"/>
      <c r="X43" s="93"/>
      <c r="Y43" s="93"/>
      <c r="Z43" s="93"/>
      <c r="AA43" s="93"/>
      <c r="AB43" s="20"/>
      <c r="AC43" s="19"/>
      <c r="AD43" s="93"/>
      <c r="AE43" s="93"/>
      <c r="AF43" s="93"/>
      <c r="AG43" s="93"/>
      <c r="AH43" s="93"/>
      <c r="AI43" s="93"/>
      <c r="AJ43" s="93"/>
      <c r="AK43" s="93"/>
      <c r="AL43" s="93"/>
      <c r="AM43" s="93"/>
      <c r="AN43" s="93"/>
      <c r="AO43" s="20"/>
      <c r="AP43" s="19"/>
      <c r="AQ43" s="93"/>
      <c r="AR43" s="93"/>
      <c r="AS43" s="93"/>
      <c r="AT43" s="93"/>
      <c r="AU43" s="93"/>
      <c r="AV43" s="93"/>
      <c r="AW43" s="93"/>
      <c r="AX43" s="93"/>
      <c r="AY43" s="20"/>
      <c r="AZ43" s="25">
        <v>9</v>
      </c>
      <c r="BA43" s="93"/>
      <c r="BB43" s="93"/>
      <c r="BC43" s="93"/>
      <c r="BD43" s="93"/>
      <c r="BE43" s="20"/>
      <c r="BF43" s="25">
        <v>9</v>
      </c>
    </row>
    <row r="44" spans="1:58">
      <c r="A44" s="29">
        <v>2009</v>
      </c>
      <c r="B44" s="19"/>
      <c r="C44" s="93"/>
      <c r="D44" s="93"/>
      <c r="E44" s="93"/>
      <c r="F44" s="93"/>
      <c r="G44" s="20"/>
      <c r="H44" s="19"/>
      <c r="I44" s="93"/>
      <c r="J44" s="214"/>
      <c r="K44" s="20"/>
      <c r="L44" s="19"/>
      <c r="M44" s="93"/>
      <c r="N44" s="93"/>
      <c r="O44" s="20"/>
      <c r="P44" s="19"/>
      <c r="Q44" s="93"/>
      <c r="R44" s="93"/>
      <c r="S44" s="93"/>
      <c r="T44" s="93"/>
      <c r="U44" s="93"/>
      <c r="V44" s="93"/>
      <c r="W44" s="93"/>
      <c r="X44" s="93"/>
      <c r="Y44" s="93"/>
      <c r="Z44" s="93"/>
      <c r="AA44" s="93"/>
      <c r="AB44" s="20"/>
      <c r="AC44" s="19"/>
      <c r="AD44" s="93"/>
      <c r="AE44" s="93"/>
      <c r="AF44" s="93"/>
      <c r="AG44" s="93"/>
      <c r="AH44" s="93"/>
      <c r="AI44" s="93"/>
      <c r="AJ44" s="93"/>
      <c r="AK44" s="93"/>
      <c r="AL44" s="93"/>
      <c r="AM44" s="93"/>
      <c r="AN44" s="93"/>
      <c r="AO44" s="20"/>
      <c r="AP44" s="19"/>
      <c r="AQ44" s="93"/>
      <c r="AR44" s="93"/>
      <c r="AS44" s="93"/>
      <c r="AT44" s="93"/>
      <c r="AU44" s="93"/>
      <c r="AV44" s="93"/>
      <c r="AW44" s="93"/>
      <c r="AX44" s="93"/>
      <c r="AY44" s="20"/>
      <c r="AZ44" s="25">
        <v>10</v>
      </c>
      <c r="BA44" s="93"/>
      <c r="BB44" s="93"/>
      <c r="BC44" s="93"/>
      <c r="BD44" s="93"/>
      <c r="BE44" s="20"/>
      <c r="BF44" s="25">
        <v>10</v>
      </c>
    </row>
    <row r="45" spans="1:58">
      <c r="A45" s="29">
        <v>2010</v>
      </c>
      <c r="B45" s="19"/>
      <c r="C45" s="93"/>
      <c r="D45" s="93"/>
      <c r="E45" s="93"/>
      <c r="F45" s="93"/>
      <c r="G45" s="20"/>
      <c r="H45" s="19"/>
      <c r="I45" s="93"/>
      <c r="J45" s="214"/>
      <c r="K45" s="20"/>
      <c r="L45" s="19"/>
      <c r="M45" s="93"/>
      <c r="N45" s="93"/>
      <c r="O45" s="20"/>
      <c r="P45" s="19"/>
      <c r="Q45" s="93"/>
      <c r="R45" s="93"/>
      <c r="S45" s="93"/>
      <c r="T45" s="93"/>
      <c r="U45" s="93"/>
      <c r="V45" s="93"/>
      <c r="W45" s="93"/>
      <c r="X45" s="93"/>
      <c r="Y45" s="93"/>
      <c r="Z45" s="93"/>
      <c r="AA45" s="93"/>
      <c r="AB45" s="20"/>
      <c r="AC45" s="19"/>
      <c r="AD45" s="93"/>
      <c r="AE45" s="93"/>
      <c r="AF45" s="93"/>
      <c r="AG45" s="93"/>
      <c r="AH45" s="93"/>
      <c r="AI45" s="93"/>
      <c r="AJ45" s="93"/>
      <c r="AK45" s="93"/>
      <c r="AL45" s="93"/>
      <c r="AM45" s="93"/>
      <c r="AN45" s="93"/>
      <c r="AO45" s="20"/>
      <c r="AP45" s="19">
        <v>1250.0999999999999</v>
      </c>
      <c r="AQ45" s="93">
        <v>636</v>
      </c>
      <c r="AR45" s="93">
        <v>1033.0999999999999</v>
      </c>
      <c r="AS45" s="93">
        <v>1022.6</v>
      </c>
      <c r="AT45" s="93">
        <v>446.8</v>
      </c>
      <c r="AU45" s="93">
        <v>790.3</v>
      </c>
      <c r="AV45" s="93">
        <v>1113.7</v>
      </c>
      <c r="AW45" s="93">
        <v>839</v>
      </c>
      <c r="AX45" s="93">
        <v>898.7</v>
      </c>
      <c r="AY45" s="20">
        <v>1182.9000000000001</v>
      </c>
      <c r="AZ45" s="25">
        <v>11</v>
      </c>
      <c r="BA45" s="93">
        <v>1361835.0854293008</v>
      </c>
      <c r="BB45" s="93">
        <v>790321</v>
      </c>
      <c r="BC45" s="93">
        <v>133737</v>
      </c>
      <c r="BD45" s="93">
        <v>22480.785900850849</v>
      </c>
      <c r="BE45" s="20">
        <v>1983122.2965572141</v>
      </c>
      <c r="BF45" s="25">
        <v>11</v>
      </c>
    </row>
    <row r="46" spans="1:58">
      <c r="A46" s="29">
        <v>2011</v>
      </c>
      <c r="B46" s="179">
        <v>828741</v>
      </c>
      <c r="C46" s="99">
        <v>1076754</v>
      </c>
      <c r="D46" s="99">
        <v>240865</v>
      </c>
      <c r="E46" s="99">
        <v>14502</v>
      </c>
      <c r="F46" s="99">
        <v>1505543</v>
      </c>
      <c r="G46" s="132"/>
      <c r="H46" s="179">
        <v>265322</v>
      </c>
      <c r="I46" s="99">
        <v>441057</v>
      </c>
      <c r="J46" s="221">
        <v>23056</v>
      </c>
      <c r="K46" s="132">
        <v>84759</v>
      </c>
      <c r="L46" s="179">
        <v>441015</v>
      </c>
      <c r="M46" s="99">
        <v>48751</v>
      </c>
      <c r="N46" s="99">
        <v>99730</v>
      </c>
      <c r="O46" s="132">
        <v>140061</v>
      </c>
      <c r="P46" s="179">
        <v>693273</v>
      </c>
      <c r="Q46" s="99">
        <v>212693</v>
      </c>
      <c r="R46" s="99">
        <v>56795</v>
      </c>
      <c r="S46" s="99">
        <v>327473</v>
      </c>
      <c r="T46" s="99">
        <v>190299</v>
      </c>
      <c r="U46" s="99">
        <v>354220</v>
      </c>
      <c r="V46" s="99">
        <v>187886</v>
      </c>
      <c r="W46" s="99">
        <v>297661</v>
      </c>
      <c r="X46" s="99">
        <v>597484</v>
      </c>
      <c r="Y46" s="99">
        <v>178619</v>
      </c>
      <c r="Z46" s="99">
        <v>168170</v>
      </c>
      <c r="AA46" s="99">
        <v>181770</v>
      </c>
      <c r="AB46" s="132">
        <v>220061</v>
      </c>
      <c r="AC46" s="181">
        <v>692508</v>
      </c>
      <c r="AD46" s="182">
        <v>146305</v>
      </c>
      <c r="AE46" s="182">
        <v>64893</v>
      </c>
      <c r="AF46" s="182">
        <v>302010</v>
      </c>
      <c r="AG46" s="182">
        <v>299377</v>
      </c>
      <c r="AH46" s="182">
        <v>398709</v>
      </c>
      <c r="AI46" s="182">
        <v>177749</v>
      </c>
      <c r="AJ46" s="182">
        <v>351516</v>
      </c>
      <c r="AK46" s="182">
        <v>466235</v>
      </c>
      <c r="AL46" s="182">
        <v>333617</v>
      </c>
      <c r="AM46" s="182">
        <v>192476</v>
      </c>
      <c r="AN46" s="182">
        <v>296646</v>
      </c>
      <c r="AO46" s="290">
        <v>238960</v>
      </c>
      <c r="AP46" s="181">
        <v>775</v>
      </c>
      <c r="AQ46" s="182">
        <v>620</v>
      </c>
      <c r="AR46" s="182">
        <v>816</v>
      </c>
      <c r="AS46" s="182">
        <v>758</v>
      </c>
      <c r="AT46" s="182">
        <v>528</v>
      </c>
      <c r="AU46" s="182">
        <v>753</v>
      </c>
      <c r="AV46" s="182">
        <v>893</v>
      </c>
      <c r="AW46" s="182">
        <v>674</v>
      </c>
      <c r="AX46" s="182">
        <v>505</v>
      </c>
      <c r="AY46" s="290">
        <v>927</v>
      </c>
      <c r="AZ46" s="25">
        <v>12</v>
      </c>
      <c r="BA46" s="1628">
        <v>1143410.39548243</v>
      </c>
      <c r="BB46" s="1628">
        <v>701195.65745748661</v>
      </c>
      <c r="BC46" s="1628">
        <v>135478.53551717865</v>
      </c>
      <c r="BD46" s="1628">
        <v>21691</v>
      </c>
      <c r="BE46" s="1629">
        <v>1681880.8128146396</v>
      </c>
      <c r="BF46" s="25">
        <v>12</v>
      </c>
    </row>
    <row r="47" spans="1:58">
      <c r="A47" s="29">
        <v>2012</v>
      </c>
      <c r="B47" s="179">
        <v>1078374</v>
      </c>
      <c r="C47" s="99">
        <v>1556316</v>
      </c>
      <c r="D47" s="99">
        <v>319390</v>
      </c>
      <c r="E47" s="99">
        <v>20659</v>
      </c>
      <c r="F47" s="99">
        <v>1923805</v>
      </c>
      <c r="G47" s="132"/>
      <c r="H47" s="179">
        <v>310759</v>
      </c>
      <c r="I47" s="99">
        <v>606992</v>
      </c>
      <c r="J47" s="221">
        <v>24305</v>
      </c>
      <c r="K47" s="132">
        <v>100488</v>
      </c>
      <c r="L47" s="179">
        <v>598525</v>
      </c>
      <c r="M47" s="99">
        <v>65119</v>
      </c>
      <c r="N47" s="99">
        <v>113345</v>
      </c>
      <c r="O47" s="132">
        <v>92817</v>
      </c>
      <c r="P47" s="179">
        <v>943515</v>
      </c>
      <c r="Q47" s="99">
        <v>242439</v>
      </c>
      <c r="R47" s="99">
        <v>81828</v>
      </c>
      <c r="S47" s="99">
        <v>336534</v>
      </c>
      <c r="T47" s="99">
        <v>276289</v>
      </c>
      <c r="U47" s="99">
        <v>560981</v>
      </c>
      <c r="V47" s="99">
        <v>192741</v>
      </c>
      <c r="W47" s="99">
        <v>521487</v>
      </c>
      <c r="X47" s="99">
        <v>745393</v>
      </c>
      <c r="Y47" s="99">
        <v>298726</v>
      </c>
      <c r="Z47" s="99">
        <v>210627</v>
      </c>
      <c r="AA47" s="99">
        <v>267674</v>
      </c>
      <c r="AB47" s="132">
        <v>220311</v>
      </c>
      <c r="AC47" s="181">
        <v>841751</v>
      </c>
      <c r="AD47" s="182">
        <v>160536</v>
      </c>
      <c r="AE47" s="182">
        <v>64831</v>
      </c>
      <c r="AF47" s="182">
        <v>312783</v>
      </c>
      <c r="AG47" s="182">
        <v>262984</v>
      </c>
      <c r="AH47" s="182">
        <v>463988</v>
      </c>
      <c r="AI47" s="182">
        <v>184602</v>
      </c>
      <c r="AJ47" s="182">
        <v>474625</v>
      </c>
      <c r="AK47" s="182">
        <v>518536</v>
      </c>
      <c r="AL47" s="182">
        <v>294750</v>
      </c>
      <c r="AM47" s="182">
        <v>218439</v>
      </c>
      <c r="AN47" s="182">
        <v>438133</v>
      </c>
      <c r="AO47" s="290">
        <v>211685</v>
      </c>
      <c r="AP47" s="181">
        <v>1079.2</v>
      </c>
      <c r="AQ47" s="182">
        <v>806</v>
      </c>
      <c r="AR47" s="182">
        <v>1038.7</v>
      </c>
      <c r="AS47" s="182">
        <v>968.5</v>
      </c>
      <c r="AT47" s="182">
        <v>623.5</v>
      </c>
      <c r="AU47" s="182">
        <v>824.2</v>
      </c>
      <c r="AV47" s="182">
        <v>1072</v>
      </c>
      <c r="AW47" s="182">
        <v>991.5</v>
      </c>
      <c r="AX47" s="182">
        <v>963.6</v>
      </c>
      <c r="AY47" s="290">
        <v>1009</v>
      </c>
      <c r="AZ47" s="25">
        <v>13</v>
      </c>
      <c r="BA47" s="1628">
        <v>1272901</v>
      </c>
      <c r="BB47" s="1628">
        <v>846488</v>
      </c>
      <c r="BC47" s="1628">
        <v>136864</v>
      </c>
      <c r="BD47" s="1628">
        <v>26833</v>
      </c>
      <c r="BE47" s="1629">
        <v>1788696</v>
      </c>
      <c r="BF47" s="25">
        <v>13</v>
      </c>
    </row>
    <row r="48" spans="1:58">
      <c r="A48" s="29">
        <v>2013</v>
      </c>
      <c r="B48" s="179">
        <v>1078570</v>
      </c>
      <c r="C48" s="99">
        <v>1585418</v>
      </c>
      <c r="D48" s="99">
        <v>305382</v>
      </c>
      <c r="E48" s="99">
        <v>19888</v>
      </c>
      <c r="F48" s="99">
        <v>1880465</v>
      </c>
      <c r="G48" s="132"/>
      <c r="H48" s="179">
        <v>349668</v>
      </c>
      <c r="I48" s="99">
        <v>766221</v>
      </c>
      <c r="J48" s="221">
        <v>21773</v>
      </c>
      <c r="K48" s="132">
        <v>137347</v>
      </c>
      <c r="L48" s="179">
        <v>599804</v>
      </c>
      <c r="M48" s="99">
        <v>56555</v>
      </c>
      <c r="N48" s="99">
        <v>91577</v>
      </c>
      <c r="O48" s="132">
        <v>167550</v>
      </c>
      <c r="P48" s="179">
        <v>1037233</v>
      </c>
      <c r="Q48" s="99">
        <v>234355</v>
      </c>
      <c r="R48" s="99">
        <v>71030</v>
      </c>
      <c r="S48" s="99">
        <v>356361</v>
      </c>
      <c r="T48" s="99">
        <v>252801</v>
      </c>
      <c r="U48" s="99">
        <v>447119</v>
      </c>
      <c r="V48" s="99">
        <v>233948</v>
      </c>
      <c r="W48" s="99">
        <v>404569</v>
      </c>
      <c r="X48" s="99">
        <v>828582</v>
      </c>
      <c r="Y48" s="99">
        <v>332865</v>
      </c>
      <c r="Z48" s="99">
        <v>215055</v>
      </c>
      <c r="AA48" s="99">
        <v>253066</v>
      </c>
      <c r="AB48" s="132">
        <v>202740</v>
      </c>
      <c r="AC48" s="181">
        <v>819683</v>
      </c>
      <c r="AD48" s="182">
        <v>128113</v>
      </c>
      <c r="AE48" s="182">
        <v>56795</v>
      </c>
      <c r="AF48" s="182">
        <v>276838</v>
      </c>
      <c r="AG48" s="182">
        <v>283053</v>
      </c>
      <c r="AH48" s="182">
        <v>437566</v>
      </c>
      <c r="AI48" s="182">
        <v>180330</v>
      </c>
      <c r="AJ48" s="182">
        <v>370230</v>
      </c>
      <c r="AK48" s="182">
        <v>493535</v>
      </c>
      <c r="AL48" s="182">
        <v>337728</v>
      </c>
      <c r="AM48" s="182">
        <v>204408</v>
      </c>
      <c r="AN48" s="182">
        <v>418054</v>
      </c>
      <c r="AO48" s="290">
        <v>204323</v>
      </c>
      <c r="AP48" s="181">
        <v>936.2</v>
      </c>
      <c r="AQ48" s="182">
        <v>663.8</v>
      </c>
      <c r="AR48" s="182">
        <v>967.7</v>
      </c>
      <c r="AS48" s="182">
        <v>749.2</v>
      </c>
      <c r="AT48" s="182">
        <v>579.29999999999995</v>
      </c>
      <c r="AU48" s="182">
        <v>796.8</v>
      </c>
      <c r="AV48" s="182">
        <v>1011.1</v>
      </c>
      <c r="AW48" s="182">
        <v>795.3</v>
      </c>
      <c r="AX48" s="182">
        <v>712.6</v>
      </c>
      <c r="AY48" s="290">
        <v>956.1</v>
      </c>
      <c r="AZ48" s="25">
        <v>14</v>
      </c>
      <c r="BA48" s="1628">
        <v>1327077.844151021</v>
      </c>
      <c r="BB48" s="1628">
        <v>913630</v>
      </c>
      <c r="BC48" s="1628">
        <v>138852</v>
      </c>
      <c r="BD48" s="1628">
        <v>24567.361997989701</v>
      </c>
      <c r="BE48" s="1629">
        <v>1806528.5847298126</v>
      </c>
      <c r="BF48" s="25">
        <v>14</v>
      </c>
    </row>
    <row r="49" spans="1:58">
      <c r="A49" s="29">
        <v>2014</v>
      </c>
      <c r="B49" s="179">
        <v>972538.51489137858</v>
      </c>
      <c r="C49" s="99">
        <v>1433085.4452344179</v>
      </c>
      <c r="D49" s="99">
        <v>347501.33274856466</v>
      </c>
      <c r="E49" s="99">
        <v>8561.9067253138128</v>
      </c>
      <c r="F49" s="99">
        <v>1280529</v>
      </c>
      <c r="G49" s="132">
        <v>427084</v>
      </c>
      <c r="H49" s="179">
        <v>335222.75195916084</v>
      </c>
      <c r="I49" s="99">
        <v>894982.29494452279</v>
      </c>
      <c r="J49" s="221">
        <v>15055.204546542784</v>
      </c>
      <c r="K49" s="132">
        <v>321837.07794285746</v>
      </c>
      <c r="L49" s="179">
        <v>562729.32730075321</v>
      </c>
      <c r="M49" s="99">
        <v>51090.607366133423</v>
      </c>
      <c r="N49" s="99">
        <v>43952.70071216119</v>
      </c>
      <c r="O49" s="132">
        <v>37737.993082108704</v>
      </c>
      <c r="P49" s="179">
        <v>775174.74772080046</v>
      </c>
      <c r="Q49" s="99">
        <v>202970.28896785996</v>
      </c>
      <c r="R49" s="99">
        <v>100609.50416199758</v>
      </c>
      <c r="S49" s="99">
        <v>305204.60410481441</v>
      </c>
      <c r="T49" s="99">
        <v>231831.33015037689</v>
      </c>
      <c r="U49" s="99">
        <v>471307.46511762525</v>
      </c>
      <c r="V49" s="99">
        <v>238325.69027678689</v>
      </c>
      <c r="W49" s="99">
        <v>401149.97061996575</v>
      </c>
      <c r="X49" s="99">
        <v>722280.34134453081</v>
      </c>
      <c r="Y49" s="99">
        <v>287272.04882533354</v>
      </c>
      <c r="Z49" s="99">
        <v>222101.12791437309</v>
      </c>
      <c r="AA49" s="99">
        <v>231008.34887924013</v>
      </c>
      <c r="AB49" s="132">
        <v>280064.39591435617</v>
      </c>
      <c r="AC49" s="181">
        <v>646918.68036735931</v>
      </c>
      <c r="AD49" s="182">
        <v>102484.4163492431</v>
      </c>
      <c r="AE49" s="182">
        <v>60987.999498293415</v>
      </c>
      <c r="AF49" s="182">
        <v>205131.87409632723</v>
      </c>
      <c r="AG49" s="182">
        <v>265078.5700055529</v>
      </c>
      <c r="AH49" s="182">
        <v>384565.29411198944</v>
      </c>
      <c r="AI49" s="182">
        <v>169520.97330829338</v>
      </c>
      <c r="AJ49" s="182">
        <v>321273.97377536993</v>
      </c>
      <c r="AK49" s="182">
        <v>365299.96530850918</v>
      </c>
      <c r="AL49" s="182">
        <v>256825.54225581302</v>
      </c>
      <c r="AM49" s="182">
        <v>218090.04380870447</v>
      </c>
      <c r="AN49" s="182">
        <v>447850.69725442433</v>
      </c>
      <c r="AO49" s="290">
        <v>201979.41569476837</v>
      </c>
      <c r="AP49" s="181">
        <v>1277.9000000000001</v>
      </c>
      <c r="AQ49" s="182">
        <v>509.4</v>
      </c>
      <c r="AR49" s="182">
        <v>1114.8</v>
      </c>
      <c r="AS49" s="182">
        <v>798.4</v>
      </c>
      <c r="AT49" s="182">
        <v>432</v>
      </c>
      <c r="AU49" s="182">
        <v>813.9</v>
      </c>
      <c r="AV49" s="182">
        <v>1137.3</v>
      </c>
      <c r="AW49" s="182">
        <v>844.7</v>
      </c>
      <c r="AX49" s="182">
        <v>766.6</v>
      </c>
      <c r="AY49" s="290">
        <v>941</v>
      </c>
      <c r="AZ49" s="25">
        <v>15</v>
      </c>
      <c r="BA49" s="1628">
        <v>1192006</v>
      </c>
      <c r="BB49" s="1628">
        <v>749935</v>
      </c>
      <c r="BC49" s="1628">
        <v>144261</v>
      </c>
      <c r="BD49" s="1628">
        <v>11400</v>
      </c>
      <c r="BE49" s="1629">
        <v>1548404</v>
      </c>
      <c r="BF49" s="25">
        <v>15</v>
      </c>
    </row>
    <row r="50" spans="1:58">
      <c r="A50" s="29">
        <v>2015</v>
      </c>
      <c r="B50" s="179">
        <v>946184.13903598441</v>
      </c>
      <c r="C50" s="99">
        <v>1469611.7498937806</v>
      </c>
      <c r="D50" s="99">
        <v>325138.43577441742</v>
      </c>
      <c r="E50" s="99">
        <v>13090.54760436879</v>
      </c>
      <c r="F50" s="99">
        <v>1073094.945368899</v>
      </c>
      <c r="G50" s="132">
        <v>362545.33570048882</v>
      </c>
      <c r="H50" s="179">
        <v>365887.07009204442</v>
      </c>
      <c r="I50" s="99">
        <v>768930.17224691447</v>
      </c>
      <c r="J50" s="221">
        <v>20020.883722221221</v>
      </c>
      <c r="K50" s="132">
        <v>235079.04098587137</v>
      </c>
      <c r="L50" s="179">
        <v>571303.92870351439</v>
      </c>
      <c r="M50" s="99">
        <v>46876.092684120173</v>
      </c>
      <c r="N50" s="99">
        <v>28761.909775717391</v>
      </c>
      <c r="O50" s="132">
        <v>47028.858055092736</v>
      </c>
      <c r="P50" s="179">
        <v>798863.58961380471</v>
      </c>
      <c r="Q50" s="99">
        <v>182056.99926375586</v>
      </c>
      <c r="R50" s="99">
        <v>79358.140402499368</v>
      </c>
      <c r="S50" s="99">
        <v>263929.1093232985</v>
      </c>
      <c r="T50" s="99">
        <v>173003.6888502959</v>
      </c>
      <c r="U50" s="99">
        <v>373578.75099613861</v>
      </c>
      <c r="V50" s="99">
        <v>192925.01561004273</v>
      </c>
      <c r="W50" s="99">
        <v>339905.15365475282</v>
      </c>
      <c r="X50" s="99">
        <v>861546.34316400171</v>
      </c>
      <c r="Y50" s="99">
        <v>280579.73107154237</v>
      </c>
      <c r="Z50" s="99">
        <v>146542.36242162963</v>
      </c>
      <c r="AA50" s="99">
        <v>273047.85849810956</v>
      </c>
      <c r="AB50" s="132">
        <v>224218.29091695783</v>
      </c>
      <c r="AC50" s="1874">
        <v>671331.1475035589</v>
      </c>
      <c r="AD50" s="1628">
        <v>92547.58622869027</v>
      </c>
      <c r="AE50" s="1628">
        <v>65450.063535949455</v>
      </c>
      <c r="AF50" s="1628">
        <v>198848.19189057706</v>
      </c>
      <c r="AG50" s="1628">
        <v>215983.14240624651</v>
      </c>
      <c r="AH50" s="1628">
        <v>329684.13517265476</v>
      </c>
      <c r="AI50" s="1628">
        <v>150487.36587620591</v>
      </c>
      <c r="AJ50" s="1628">
        <v>328424.08464738366</v>
      </c>
      <c r="AK50" s="1628">
        <v>457921.5591639448</v>
      </c>
      <c r="AL50" s="1628">
        <v>281967.7819220738</v>
      </c>
      <c r="AM50" s="1628">
        <v>142848.44806650959</v>
      </c>
      <c r="AN50" s="1628">
        <v>464689.37141594151</v>
      </c>
      <c r="AO50" s="1629">
        <v>183925.11528445323</v>
      </c>
      <c r="AP50" s="1874">
        <v>1155.4000000000001</v>
      </c>
      <c r="AQ50" s="1628">
        <v>582.9</v>
      </c>
      <c r="AR50" s="1628">
        <v>822.8</v>
      </c>
      <c r="AS50" s="1628">
        <v>1148.2</v>
      </c>
      <c r="AT50" s="1628">
        <v>530.9</v>
      </c>
      <c r="AU50" s="1628">
        <v>831.4</v>
      </c>
      <c r="AV50" s="1628">
        <v>1113.5</v>
      </c>
      <c r="AW50" s="1628">
        <v>874.9</v>
      </c>
      <c r="AX50" s="1628">
        <v>815.3</v>
      </c>
      <c r="AY50" s="1629">
        <v>912.1</v>
      </c>
      <c r="AZ50" s="25">
        <v>16</v>
      </c>
      <c r="BA50" s="1628">
        <v>1160718</v>
      </c>
      <c r="BB50" s="1628">
        <v>820117</v>
      </c>
      <c r="BC50" s="1628">
        <v>142715</v>
      </c>
      <c r="BD50" s="1628">
        <v>15743</v>
      </c>
      <c r="BE50" s="1629">
        <v>1444937</v>
      </c>
      <c r="BF50" s="25">
        <v>16</v>
      </c>
    </row>
    <row r="51" spans="1:58">
      <c r="A51" s="29">
        <v>2016</v>
      </c>
      <c r="B51" s="179">
        <v>905071.1884869365</v>
      </c>
      <c r="C51" s="99">
        <v>1602524.5979340866</v>
      </c>
      <c r="D51" s="99">
        <v>384689.83649391448</v>
      </c>
      <c r="E51" s="99">
        <v>10936.141970135981</v>
      </c>
      <c r="F51" s="99">
        <v>1177442.2356510342</v>
      </c>
      <c r="G51" s="132">
        <v>486401.51613227918</v>
      </c>
      <c r="H51" s="179">
        <v>519345.28784296091</v>
      </c>
      <c r="I51" s="99">
        <v>784784.15308621898</v>
      </c>
      <c r="J51" s="221">
        <v>25850.691826515609</v>
      </c>
      <c r="K51" s="132">
        <v>163919.96558522526</v>
      </c>
      <c r="L51" s="179">
        <v>554285.93587351521</v>
      </c>
      <c r="M51" s="99">
        <v>51835.575403962488</v>
      </c>
      <c r="N51" s="99">
        <v>47662.122621181981</v>
      </c>
      <c r="O51" s="132">
        <v>70502.496567387308</v>
      </c>
      <c r="P51" s="179">
        <v>804168.28888626129</v>
      </c>
      <c r="Q51" s="99">
        <v>215123.41333924158</v>
      </c>
      <c r="R51" s="99">
        <v>78233.608130562687</v>
      </c>
      <c r="S51" s="99">
        <v>422222.75466166146</v>
      </c>
      <c r="T51" s="99">
        <v>171151.78747957162</v>
      </c>
      <c r="U51" s="99">
        <v>406487.326357449</v>
      </c>
      <c r="V51" s="99">
        <v>269248.73380931839</v>
      </c>
      <c r="W51" s="99">
        <v>437554.54777169065</v>
      </c>
      <c r="X51" s="99">
        <v>798530.09888301732</v>
      </c>
      <c r="Y51" s="99">
        <v>271916.26549797325</v>
      </c>
      <c r="Z51" s="99">
        <v>166500.70102437929</v>
      </c>
      <c r="AA51" s="99">
        <v>264500.47341340705</v>
      </c>
      <c r="AB51" s="132">
        <v>261427.51741385309</v>
      </c>
      <c r="AC51" s="1874">
        <v>733396.7217693791</v>
      </c>
      <c r="AD51" s="1628">
        <v>110015.5728669074</v>
      </c>
      <c r="AE51" s="1628">
        <v>57475.860277885455</v>
      </c>
      <c r="AF51" s="1628">
        <v>284679.40346356697</v>
      </c>
      <c r="AG51" s="1628">
        <v>235689.04768415241</v>
      </c>
      <c r="AH51" s="1628">
        <v>387016.00289315154</v>
      </c>
      <c r="AI51" s="1628">
        <v>202611.94934439613</v>
      </c>
      <c r="AJ51" s="1628">
        <v>360884.08935789968</v>
      </c>
      <c r="AK51" s="1628">
        <v>462514.63153376855</v>
      </c>
      <c r="AL51" s="1628">
        <v>364762.43521561206</v>
      </c>
      <c r="AM51" s="1628">
        <v>161323.07835860673</v>
      </c>
      <c r="AN51" s="1628">
        <v>464140.71698042064</v>
      </c>
      <c r="AO51" s="1629">
        <v>193076.30500706402</v>
      </c>
      <c r="AP51" s="181">
        <v>1190.5999999999999</v>
      </c>
      <c r="AQ51" s="182">
        <v>766.8</v>
      </c>
      <c r="AR51" s="182">
        <v>932.3</v>
      </c>
      <c r="AS51" s="182">
        <v>808</v>
      </c>
      <c r="AT51" s="182">
        <v>519.20000000000005</v>
      </c>
      <c r="AU51" s="182">
        <v>807.6</v>
      </c>
      <c r="AV51" s="182">
        <v>1104.8</v>
      </c>
      <c r="AW51" s="182">
        <v>974.1</v>
      </c>
      <c r="AX51" s="182">
        <v>920.8</v>
      </c>
      <c r="AY51" s="320">
        <f>(((AY50/AY49-1)+(AY49/AY48-1)+(AY48/AY47-1))^1/3+1)*AY50</f>
        <v>882.02092361650716</v>
      </c>
      <c r="AZ51" s="25">
        <v>17</v>
      </c>
      <c r="BA51" s="1628">
        <v>1187397</v>
      </c>
      <c r="BB51" s="1628">
        <v>911728</v>
      </c>
      <c r="BC51" s="1628">
        <v>170158</v>
      </c>
      <c r="BD51" s="1628">
        <v>14133</v>
      </c>
      <c r="BE51" s="1629">
        <v>1734170</v>
      </c>
      <c r="BF51" s="25">
        <v>17</v>
      </c>
    </row>
    <row r="52" spans="1:58">
      <c r="A52" s="29">
        <v>2017</v>
      </c>
      <c r="B52" s="179">
        <v>828234.30594400514</v>
      </c>
      <c r="C52" s="99">
        <v>1533430.7674806667</v>
      </c>
      <c r="D52" s="99">
        <v>325566.28680404776</v>
      </c>
      <c r="E52" s="99">
        <v>10068.421467871642</v>
      </c>
      <c r="F52" s="99">
        <v>1005214.3215854032</v>
      </c>
      <c r="G52" s="132">
        <v>360684.03435733414</v>
      </c>
      <c r="H52" s="179">
        <v>334327.83543372271</v>
      </c>
      <c r="I52" s="99">
        <v>844337.13100948383</v>
      </c>
      <c r="J52" s="221">
        <v>18500.108941278588</v>
      </c>
      <c r="K52" s="132">
        <v>163787.35042053758</v>
      </c>
      <c r="L52" s="179">
        <v>555833.35955562023</v>
      </c>
      <c r="M52" s="99">
        <v>56100.999826452367</v>
      </c>
      <c r="N52" s="99">
        <v>46734.926848914802</v>
      </c>
      <c r="O52" s="132">
        <v>58749.286778427857</v>
      </c>
      <c r="P52" s="179">
        <v>742313.97052528826</v>
      </c>
      <c r="Q52" s="99">
        <v>200727.07013487109</v>
      </c>
      <c r="R52" s="99">
        <v>57368.342938763846</v>
      </c>
      <c r="S52" s="99">
        <v>287372.46876322979</v>
      </c>
      <c r="T52" s="99">
        <v>157042.24959730616</v>
      </c>
      <c r="U52" s="99">
        <v>356300.12577749218</v>
      </c>
      <c r="V52" s="99">
        <v>225490.94244241127</v>
      </c>
      <c r="W52" s="99">
        <v>346868.06156415236</v>
      </c>
      <c r="X52" s="99">
        <v>823052.89316280582</v>
      </c>
      <c r="Y52" s="99">
        <v>233157.04538002156</v>
      </c>
      <c r="Z52" s="99">
        <v>148692.43668873174</v>
      </c>
      <c r="AA52" s="99">
        <v>274029.43860437663</v>
      </c>
      <c r="AB52" s="132">
        <v>210783.09205987764</v>
      </c>
      <c r="AC52" s="1874">
        <v>769250.27248391847</v>
      </c>
      <c r="AD52" s="1628">
        <v>117425.85390222543</v>
      </c>
      <c r="AE52" s="1628">
        <v>54973.526622131103</v>
      </c>
      <c r="AF52" s="1628">
        <v>224128.18219045713</v>
      </c>
      <c r="AG52" s="1628">
        <v>275091.06493720505</v>
      </c>
      <c r="AH52" s="1628">
        <v>388658.05204244039</v>
      </c>
      <c r="AI52" s="1628">
        <v>171672.54064717708</v>
      </c>
      <c r="AJ52" s="1628">
        <v>397740.81110884238</v>
      </c>
      <c r="AK52" s="1628">
        <v>496523.92273035378</v>
      </c>
      <c r="AL52" s="1628">
        <v>324995.84805349621</v>
      </c>
      <c r="AM52" s="1628">
        <v>180058.92340898415</v>
      </c>
      <c r="AN52" s="1628">
        <v>441444.98892764747</v>
      </c>
      <c r="AO52" s="1629">
        <v>184955.04267270444</v>
      </c>
      <c r="AP52" s="318">
        <f>(((AP51/AP50-1)+(AP50/AP49-1))^1/2+1)*AP51</f>
        <v>1151.6705015408004</v>
      </c>
      <c r="AQ52" s="319">
        <f>(((AQ51/AQ50-1)+(AQ50/AQ49-1))^1/2+1)*AQ51</f>
        <v>943.07923214438335</v>
      </c>
      <c r="AR52" s="319">
        <f t="shared" ref="AR52:AV53" si="16">(((AR51/AR50-1)+(AR50/AR49-1)+(AR49/AR48-1))^1/3+1)*AR51</f>
        <v>939.49788051557562</v>
      </c>
      <c r="AS52" s="319">
        <f t="shared" si="16"/>
        <v>863.88840536995656</v>
      </c>
      <c r="AT52" s="319">
        <f t="shared" si="16"/>
        <v>511.00092147326177</v>
      </c>
      <c r="AU52" s="319">
        <f t="shared" si="16"/>
        <v>811.4592089476281</v>
      </c>
      <c r="AV52" s="319">
        <f t="shared" si="16"/>
        <v>1140.1810728525904</v>
      </c>
      <c r="AW52" s="319">
        <f>(((AW51/AW50-1)+(AW50/AW49-1)+(AW49/AW48-1))^1/10+1)*AW51</f>
        <v>994.67802323436399</v>
      </c>
      <c r="AX52" s="319">
        <f>(((AX51/AX50-1)+(AX50/AX49-1)+(AX49/AX48-1))^1/10+1)*AX51</f>
        <v>945.54247813673294</v>
      </c>
      <c r="AY52" s="320">
        <f>(((AY51/AY50-1)+(AY50/AY49-1)+(AY49/AY48-1))^1/3+1)*AY51</f>
        <v>858.65231934417409</v>
      </c>
      <c r="AZ52" s="25">
        <v>18</v>
      </c>
      <c r="BA52" s="1628">
        <v>1222575.3811203712</v>
      </c>
      <c r="BB52" s="1628">
        <v>956386.33341590595</v>
      </c>
      <c r="BC52" s="1628">
        <v>165085.82142114325</v>
      </c>
      <c r="BD52" s="1628">
        <v>15678.638402584587</v>
      </c>
      <c r="BE52" s="1629">
        <v>1667192.8553676207</v>
      </c>
      <c r="BF52" s="25">
        <v>18</v>
      </c>
    </row>
    <row r="53" spans="1:58">
      <c r="A53" s="29">
        <v>2018</v>
      </c>
      <c r="B53" s="179">
        <v>1189078.5635154962</v>
      </c>
      <c r="C53" s="99">
        <v>1700127.0413762112</v>
      </c>
      <c r="D53" s="99">
        <v>350392.18522840046</v>
      </c>
      <c r="E53" s="99">
        <v>11269.95112057726</v>
      </c>
      <c r="F53" s="99">
        <v>1528847.5255076853</v>
      </c>
      <c r="G53" s="132">
        <v>400986.7283228329</v>
      </c>
      <c r="H53" s="99">
        <v>329783.40731657366</v>
      </c>
      <c r="I53" s="221">
        <v>482173.02154259849</v>
      </c>
      <c r="J53" s="99">
        <v>31313.812112517204</v>
      </c>
      <c r="K53" s="221">
        <v>253935.65540537066</v>
      </c>
      <c r="L53" s="179">
        <v>683173.98841121362</v>
      </c>
      <c r="M53" s="99">
        <v>63333.13164254732</v>
      </c>
      <c r="N53" s="99">
        <v>35909.092261283455</v>
      </c>
      <c r="O53" s="132">
        <v>64536.846269135182</v>
      </c>
      <c r="P53" s="179">
        <v>987201.41428241145</v>
      </c>
      <c r="Q53" s="99">
        <v>243838.14177346602</v>
      </c>
      <c r="R53" s="99">
        <v>64710.452401056682</v>
      </c>
      <c r="S53" s="99">
        <v>372325.81555291312</v>
      </c>
      <c r="T53" s="99">
        <v>301832.48836397583</v>
      </c>
      <c r="U53" s="99">
        <v>547480.45821079158</v>
      </c>
      <c r="V53" s="99">
        <v>239627.48922508923</v>
      </c>
      <c r="W53" s="99">
        <v>473608.35258709785</v>
      </c>
      <c r="X53" s="99">
        <v>791786.57035724982</v>
      </c>
      <c r="Y53" s="99">
        <v>273062.51130918274</v>
      </c>
      <c r="Z53" s="99">
        <v>217780.94135606493</v>
      </c>
      <c r="AA53" s="99">
        <v>362767.20724106254</v>
      </c>
      <c r="AB53" s="132">
        <v>304680.4524108402</v>
      </c>
      <c r="AC53" s="1874">
        <v>864946.82726651814</v>
      </c>
      <c r="AD53" s="1628">
        <v>135476.11324720414</v>
      </c>
      <c r="AE53" s="1628">
        <v>51275.705404224398</v>
      </c>
      <c r="AF53" s="1628">
        <v>257941.9454087831</v>
      </c>
      <c r="AG53" s="1628">
        <v>344277.33453346929</v>
      </c>
      <c r="AH53" s="1628">
        <v>440670.48111856304</v>
      </c>
      <c r="AI53" s="1628">
        <v>191656.32623125138</v>
      </c>
      <c r="AJ53" s="1628">
        <v>451370.19226698729</v>
      </c>
      <c r="AK53" s="1628">
        <v>537513.26359930378</v>
      </c>
      <c r="AL53" s="1628">
        <v>283102.99595277902</v>
      </c>
      <c r="AM53" s="1628">
        <v>212967.99538553105</v>
      </c>
      <c r="AN53" s="1628">
        <v>499990.89738510217</v>
      </c>
      <c r="AO53" s="1629">
        <v>224571.61102946301</v>
      </c>
      <c r="AP53" s="318">
        <f>(((AP52/AP51-1)+(AP51/AP50-1))^1/2+1)*AP52</f>
        <v>1150.3853877999252</v>
      </c>
      <c r="AQ53" s="319">
        <f>(((AQ52/AQ51-1)+(AQ51/AQ50-1))^1/10+1)*AQ52</f>
        <v>994.51297788368686</v>
      </c>
      <c r="AR53" s="319">
        <f t="shared" si="16"/>
        <v>901.56481743211782</v>
      </c>
      <c r="AS53" s="319">
        <f t="shared" si="16"/>
        <v>924.65006145778648</v>
      </c>
      <c r="AT53" s="319">
        <f t="shared" si="16"/>
        <v>543.55259705622723</v>
      </c>
      <c r="AU53" s="319">
        <f t="shared" si="16"/>
        <v>810.8245434437307</v>
      </c>
      <c r="AV53" s="319">
        <f t="shared" si="16"/>
        <v>1141.4295364816421</v>
      </c>
      <c r="AW53" s="319">
        <f>(((AW52/AW51-1)+(AW51/AW50-1)+(AW50/AW49-1))^1/10+1)*AW52</f>
        <v>1011.6135992424839</v>
      </c>
      <c r="AX53" s="319">
        <f>(((AX52/AX51-1)+(AX51/AX50-1)+(AX50/AX49-1))^1/10+1)*AX52</f>
        <v>966.32532368729574</v>
      </c>
      <c r="AY53" s="320">
        <f>(((AY52/AY51-1)+(AY51/AY50-1)+(AY50/AY49-1))^1/3+1)*AY52</f>
        <v>832.84002176466311</v>
      </c>
      <c r="AZ53" s="25">
        <v>19</v>
      </c>
      <c r="BA53" s="1628">
        <v>1393878.1769486901</v>
      </c>
      <c r="BB53" s="1628">
        <v>1019181.3683634998</v>
      </c>
      <c r="BC53" s="1628">
        <v>160949.05705241355</v>
      </c>
      <c r="BD53" s="1628">
        <v>14132.986295719558</v>
      </c>
      <c r="BE53" s="1629">
        <v>1907650.400168858</v>
      </c>
      <c r="BF53" s="25">
        <v>19</v>
      </c>
    </row>
    <row r="54" spans="1:58">
      <c r="A54" s="29">
        <f>IF(AZ54="","",AZ53+2000)</f>
        <v>2019</v>
      </c>
      <c r="B54" s="179">
        <v>970175.88475286064</v>
      </c>
      <c r="C54" s="99">
        <v>1710897.56078783</v>
      </c>
      <c r="D54" s="99">
        <v>376527.24811876798</v>
      </c>
      <c r="E54" s="99">
        <v>10238.043964416855</v>
      </c>
      <c r="F54" s="99">
        <v>1467997.6356373823</v>
      </c>
      <c r="G54" s="132">
        <v>403793.5345863222</v>
      </c>
      <c r="H54" s="570">
        <v>396128.73759972042</v>
      </c>
      <c r="I54" s="570">
        <v>724231.80209709122</v>
      </c>
      <c r="J54" s="1539">
        <v>51707.69239658703</v>
      </c>
      <c r="K54" s="734">
        <v>374702.75122970896</v>
      </c>
      <c r="L54" s="179">
        <v>707994.14131313621</v>
      </c>
      <c r="M54" s="99">
        <v>58435.264254605616</v>
      </c>
      <c r="N54" s="570">
        <v>50152.116354847356</v>
      </c>
      <c r="O54" s="734">
        <v>66382.577765379625</v>
      </c>
      <c r="P54" s="179">
        <v>923723.41065453913</v>
      </c>
      <c r="Q54" s="99">
        <v>249027.76622795186</v>
      </c>
      <c r="R54" s="99">
        <v>87947.495820879238</v>
      </c>
      <c r="S54" s="99">
        <v>371587.76414891653</v>
      </c>
      <c r="T54" s="99">
        <v>269195.18007759406</v>
      </c>
      <c r="U54" s="99">
        <v>462516.51739031594</v>
      </c>
      <c r="V54" s="99">
        <v>262308.49591822538</v>
      </c>
      <c r="W54" s="99">
        <v>499812.6787182258</v>
      </c>
      <c r="X54" s="99">
        <v>771753.98101167905</v>
      </c>
      <c r="Y54" s="99">
        <v>274069.03719192446</v>
      </c>
      <c r="Z54" s="99">
        <v>192560.42235587578</v>
      </c>
      <c r="AA54" s="99">
        <v>276031.37481816567</v>
      </c>
      <c r="AB54" s="132">
        <v>299095.7835132872</v>
      </c>
      <c r="AC54" s="1875">
        <v>821849.57845682907</v>
      </c>
      <c r="AD54" s="1876">
        <v>127958.06942483567</v>
      </c>
      <c r="AE54" s="1876">
        <v>61709.987886567549</v>
      </c>
      <c r="AF54" s="1876">
        <v>255411.57187478381</v>
      </c>
      <c r="AG54" s="1876">
        <v>328178.28260797285</v>
      </c>
      <c r="AH54" s="1876">
        <v>425189.36414038914</v>
      </c>
      <c r="AI54" s="1876">
        <v>187649.40610918691</v>
      </c>
      <c r="AJ54" s="1876">
        <v>454990.84780627332</v>
      </c>
      <c r="AK54" s="1876">
        <v>472446.78276982752</v>
      </c>
      <c r="AL54" s="1876">
        <v>295530.84196800104</v>
      </c>
      <c r="AM54" s="1876">
        <v>212712.94845489267</v>
      </c>
      <c r="AN54" s="1876">
        <v>403953.41024951002</v>
      </c>
      <c r="AO54" s="1877">
        <v>225204.72747336031</v>
      </c>
      <c r="AP54" s="369">
        <f t="shared" ref="AP54:AY55" si="17">(((AP53/AP52-1)+(AP52/AP51-1))^1/2+1)*AP52</f>
        <v>1132.1996417074711</v>
      </c>
      <c r="AQ54" s="1624">
        <f t="shared" si="17"/>
        <v>1077.1980891648741</v>
      </c>
      <c r="AR54" s="1624">
        <f t="shared" si="17"/>
        <v>924.15807507520242</v>
      </c>
      <c r="AS54" s="1624">
        <f t="shared" si="17"/>
        <v>924.1463035832536</v>
      </c>
      <c r="AT54" s="1624">
        <f t="shared" si="17"/>
        <v>523.24195891575096</v>
      </c>
      <c r="AU54" s="1624">
        <f t="shared" si="17"/>
        <v>813.08070150511833</v>
      </c>
      <c r="AV54" s="1624">
        <f t="shared" si="17"/>
        <v>1159.0623781662757</v>
      </c>
      <c r="AW54" s="1624">
        <f t="shared" si="17"/>
        <v>1013.6521799237888</v>
      </c>
      <c r="AX54" s="1624">
        <f t="shared" si="17"/>
        <v>968.63756299533884</v>
      </c>
      <c r="AY54" s="1506">
        <f t="shared" si="17"/>
        <v>834.37143684855516</v>
      </c>
      <c r="AZ54" s="25">
        <v>20</v>
      </c>
      <c r="BA54" s="1527">
        <v>1176512</v>
      </c>
      <c r="BB54" s="1527">
        <v>1014253</v>
      </c>
      <c r="BC54" s="1527">
        <v>172814</v>
      </c>
      <c r="BD54" s="1527">
        <v>13938</v>
      </c>
      <c r="BE54" s="1528">
        <v>1888933</v>
      </c>
      <c r="BF54" s="25">
        <v>20</v>
      </c>
    </row>
    <row r="55" spans="1:58">
      <c r="A55" s="29">
        <f t="shared" ref="A55:A118" si="18">IF(AZ55="","",AZ54+2000)</f>
        <v>2020</v>
      </c>
      <c r="B55" s="179">
        <v>957252.67585186812</v>
      </c>
      <c r="C55" s="99">
        <v>1920101.1649852863</v>
      </c>
      <c r="D55" s="99">
        <v>451421.10450174758</v>
      </c>
      <c r="E55" s="99">
        <v>10758.451417435064</v>
      </c>
      <c r="F55" s="99">
        <v>1425103.3709850935</v>
      </c>
      <c r="G55" s="132">
        <v>414467.36339307006</v>
      </c>
      <c r="H55" s="733">
        <v>630525.75122875546</v>
      </c>
      <c r="I55" s="1539">
        <v>696635.62056103267</v>
      </c>
      <c r="J55" s="1539">
        <v>98512.808518667705</v>
      </c>
      <c r="K55" s="734">
        <v>384614.42156258627</v>
      </c>
      <c r="L55" s="179">
        <v>704539.47495829756</v>
      </c>
      <c r="M55" s="99">
        <v>74647.126669011137</v>
      </c>
      <c r="N55" s="570">
        <v>62185.847315877276</v>
      </c>
      <c r="O55" s="734">
        <v>126558.89712353561</v>
      </c>
      <c r="P55" s="179">
        <v>965456.12293991214</v>
      </c>
      <c r="Q55" s="99">
        <v>291223.29288004717</v>
      </c>
      <c r="R55" s="99">
        <v>65019.389561196513</v>
      </c>
      <c r="S55" s="99">
        <v>367729.37497159932</v>
      </c>
      <c r="T55" s="99">
        <v>371896.75818492536</v>
      </c>
      <c r="U55" s="99">
        <v>490077.2983838949</v>
      </c>
      <c r="V55" s="99">
        <v>264602.23475261522</v>
      </c>
      <c r="W55" s="99">
        <v>434153.31458377209</v>
      </c>
      <c r="X55" s="99">
        <v>834248.34921834338</v>
      </c>
      <c r="Y55" s="99">
        <v>289781.60874355718</v>
      </c>
      <c r="Z55" s="99">
        <v>224607.55791123814</v>
      </c>
      <c r="AA55" s="99">
        <v>253372.19524074253</v>
      </c>
      <c r="AB55" s="132">
        <v>326936.63376265659</v>
      </c>
      <c r="AC55" s="1874">
        <v>775078.23895573767</v>
      </c>
      <c r="AD55" s="1628">
        <v>156616.02272453922</v>
      </c>
      <c r="AE55" s="1628">
        <v>47650.962335984943</v>
      </c>
      <c r="AF55" s="1628">
        <v>255405.78232392855</v>
      </c>
      <c r="AG55" s="1628">
        <v>346163.74093907018</v>
      </c>
      <c r="AH55" s="1628">
        <v>456290.05814276554</v>
      </c>
      <c r="AI55" s="1628">
        <v>173663.29755683502</v>
      </c>
      <c r="AJ55" s="1628">
        <v>390890.06779804331</v>
      </c>
      <c r="AK55" s="1628">
        <v>472523.9206920279</v>
      </c>
      <c r="AL55" s="1628">
        <v>273515.92440171959</v>
      </c>
      <c r="AM55" s="1628">
        <v>193890.20061740582</v>
      </c>
      <c r="AN55" s="1628">
        <v>315276.79821587983</v>
      </c>
      <c r="AO55" s="1629">
        <v>247861.70597336878</v>
      </c>
      <c r="AP55" s="369">
        <f t="shared" si="17"/>
        <v>1140.650674892737</v>
      </c>
      <c r="AQ55" s="1624">
        <f t="shared" si="17"/>
        <v>1062.9749556764355</v>
      </c>
      <c r="AR55" s="1624">
        <f t="shared" si="17"/>
        <v>894.66070530323293</v>
      </c>
      <c r="AS55" s="1624">
        <f t="shared" si="17"/>
        <v>956.91584839417453</v>
      </c>
      <c r="AT55" s="1624">
        <f t="shared" si="17"/>
        <v>550.70991584840294</v>
      </c>
      <c r="AU55" s="1624">
        <f t="shared" si="17"/>
        <v>811.63553791751599</v>
      </c>
      <c r="AV55" s="1624">
        <f t="shared" si="17"/>
        <v>1150.8708726533537</v>
      </c>
      <c r="AW55" s="1624">
        <f t="shared" si="17"/>
        <v>1021.2448517460836</v>
      </c>
      <c r="AX55" s="1624">
        <f t="shared" si="17"/>
        <v>978.10126763168967</v>
      </c>
      <c r="AY55" s="1506">
        <f t="shared" si="17"/>
        <v>821.08755751949082</v>
      </c>
      <c r="AZ55" s="25">
        <v>21</v>
      </c>
      <c r="BA55" s="93"/>
      <c r="BB55" s="93"/>
      <c r="BC55" s="93"/>
      <c r="BD55" s="93"/>
      <c r="BE55" s="20"/>
      <c r="BF55" s="25"/>
    </row>
    <row r="56" spans="1:58">
      <c r="A56" s="29">
        <f t="shared" si="18"/>
        <v>2021</v>
      </c>
      <c r="B56" s="19">
        <v>717777</v>
      </c>
      <c r="C56" s="93">
        <v>1912703</v>
      </c>
      <c r="D56" s="93">
        <v>454379</v>
      </c>
      <c r="E56" s="93">
        <v>7978</v>
      </c>
      <c r="F56" s="93">
        <v>1207977</v>
      </c>
      <c r="G56" s="20">
        <v>408675</v>
      </c>
      <c r="H56" s="733">
        <v>535284.92384218785</v>
      </c>
      <c r="I56" s="570">
        <v>795413.50837110472</v>
      </c>
      <c r="J56" s="1539">
        <v>94427.943010046452</v>
      </c>
      <c r="K56" s="734">
        <v>234637.32148515349</v>
      </c>
      <c r="L56" s="733">
        <v>515127.01271587145</v>
      </c>
      <c r="M56" s="570">
        <v>48305.724828941617</v>
      </c>
      <c r="N56" s="570">
        <v>50262.666562602273</v>
      </c>
      <c r="O56" s="734">
        <v>105136.92288131606</v>
      </c>
      <c r="P56" s="19">
        <v>911234</v>
      </c>
      <c r="Q56" s="93">
        <v>332881</v>
      </c>
      <c r="R56" s="93">
        <v>52048</v>
      </c>
      <c r="S56" s="93">
        <v>310362</v>
      </c>
      <c r="T56" s="93">
        <v>264635</v>
      </c>
      <c r="U56" s="93">
        <v>489606</v>
      </c>
      <c r="V56" s="93">
        <v>257326</v>
      </c>
      <c r="W56" s="93">
        <v>396250</v>
      </c>
      <c r="X56" s="93">
        <v>764139</v>
      </c>
      <c r="Y56" s="93">
        <v>254041</v>
      </c>
      <c r="Z56" s="93">
        <v>181391</v>
      </c>
      <c r="AA56" s="93">
        <v>186998</v>
      </c>
      <c r="AB56" s="20">
        <v>308578</v>
      </c>
      <c r="AC56" s="1767">
        <f>(((AC55/AC54-1)+(AC54/AC53-1))^1/2+1)*AC55</f>
        <v>733713.73719743232</v>
      </c>
      <c r="AD56" s="1927">
        <f t="shared" ref="AD56:AO56" si="19">(((AD55/AD54-1)+(AD54/AD53-1))^1/2+1)*AD55</f>
        <v>169808.58324767518</v>
      </c>
      <c r="AE56" s="1927">
        <f t="shared" si="19"/>
        <v>47071.277405880981</v>
      </c>
      <c r="AF56" s="1927">
        <f t="shared" si="19"/>
        <v>254150.14054539587</v>
      </c>
      <c r="AG56" s="1927">
        <f t="shared" si="19"/>
        <v>347555.67506058794</v>
      </c>
      <c r="AH56" s="1927">
        <f t="shared" si="19"/>
        <v>464962.92045446613</v>
      </c>
      <c r="AI56" s="1927">
        <f t="shared" si="19"/>
        <v>165376.08616107842</v>
      </c>
      <c r="AJ56" s="1927">
        <f t="shared" si="19"/>
        <v>364922.81214221648</v>
      </c>
      <c r="AK56" s="1927">
        <f t="shared" si="19"/>
        <v>443962.76575835765</v>
      </c>
      <c r="AL56" s="1927">
        <f t="shared" si="19"/>
        <v>269331.93510232645</v>
      </c>
      <c r="AM56" s="1927">
        <f t="shared" si="19"/>
        <v>185195.52955957409</v>
      </c>
      <c r="AN56" s="1927">
        <f t="shared" si="19"/>
        <v>250392.77780213457</v>
      </c>
      <c r="AO56" s="1923">
        <f t="shared" si="19"/>
        <v>260679.29896225064</v>
      </c>
      <c r="AP56" s="19"/>
      <c r="AQ56" s="93"/>
      <c r="AR56" s="93"/>
      <c r="AS56" s="93"/>
      <c r="AT56" s="93"/>
      <c r="AU56" s="93"/>
      <c r="AV56" s="93"/>
      <c r="AW56" s="93"/>
      <c r="AX56" s="93"/>
      <c r="AY56" s="20"/>
      <c r="AZ56" s="25">
        <v>22</v>
      </c>
      <c r="BA56" s="93"/>
      <c r="BB56" s="93"/>
      <c r="BC56" s="93"/>
      <c r="BD56" s="93"/>
      <c r="BE56" s="20"/>
      <c r="BF56" s="25"/>
    </row>
    <row r="57" spans="1:58">
      <c r="A57" s="29">
        <f t="shared" si="18"/>
        <v>2022</v>
      </c>
      <c r="B57" s="19">
        <v>907744.76964221837</v>
      </c>
      <c r="C57" s="93">
        <v>1810276.2817576844</v>
      </c>
      <c r="D57" s="93">
        <v>438982.38046859921</v>
      </c>
      <c r="E57" s="93">
        <v>8186.6233224617954</v>
      </c>
      <c r="F57" s="93">
        <v>1492369.3764321844</v>
      </c>
      <c r="G57" s="20">
        <v>521499.58632451424</v>
      </c>
      <c r="H57" s="733">
        <v>559064.38548850967</v>
      </c>
      <c r="I57" s="570">
        <v>668633.09761909652</v>
      </c>
      <c r="J57" s="1539">
        <v>152540.46631617605</v>
      </c>
      <c r="K57" s="734">
        <v>208795.64487097581</v>
      </c>
      <c r="L57" s="19">
        <v>829204.07209993131</v>
      </c>
      <c r="M57" s="93">
        <v>57208.529213202331</v>
      </c>
      <c r="N57" s="93">
        <v>62661.862396037766</v>
      </c>
      <c r="O57" s="20">
        <v>115579.98296178543</v>
      </c>
      <c r="P57" s="19">
        <v>1000796.3509038963</v>
      </c>
      <c r="Q57" s="99">
        <v>348742.33690680092</v>
      </c>
      <c r="R57" s="99">
        <v>58557.638669325526</v>
      </c>
      <c r="S57" s="99">
        <v>356495.92087003676</v>
      </c>
      <c r="T57" s="99">
        <v>290554.10931192053</v>
      </c>
      <c r="U57" s="99">
        <v>515004.08129863109</v>
      </c>
      <c r="V57" s="99">
        <v>287175.13218140369</v>
      </c>
      <c r="W57" s="99">
        <v>455050.66923523747</v>
      </c>
      <c r="X57" s="99">
        <v>760655.13186399674</v>
      </c>
      <c r="Y57" s="99">
        <v>295894.69945231586</v>
      </c>
      <c r="Z57" s="99">
        <v>225720.04589310358</v>
      </c>
      <c r="AA57" s="99">
        <v>188014.33887504987</v>
      </c>
      <c r="AB57" s="132">
        <v>379960.5174859442</v>
      </c>
      <c r="AC57" s="19">
        <v>859680.62038332189</v>
      </c>
      <c r="AD57" s="93">
        <v>203692.06841041456</v>
      </c>
      <c r="AE57" s="93">
        <v>47126.076300042361</v>
      </c>
      <c r="AF57" s="93">
        <v>283221.60912473669</v>
      </c>
      <c r="AG57" s="93">
        <v>303106.75893104024</v>
      </c>
      <c r="AH57" s="93">
        <v>553596.67103083315</v>
      </c>
      <c r="AI57" s="93">
        <v>207473.25445108014</v>
      </c>
      <c r="AJ57" s="93">
        <v>377296.59051977179</v>
      </c>
      <c r="AK57" s="93">
        <v>450204.1520333644</v>
      </c>
      <c r="AL57" s="93">
        <v>286146.94648975279</v>
      </c>
      <c r="AM57" s="93">
        <v>195745.19280257082</v>
      </c>
      <c r="AN57" s="93">
        <v>235989.29266145689</v>
      </c>
      <c r="AO57" s="20">
        <v>292462.25998934818</v>
      </c>
      <c r="AP57" s="19"/>
      <c r="AQ57" s="93"/>
      <c r="AR57" s="93"/>
      <c r="AS57" s="93"/>
      <c r="AT57" s="93"/>
      <c r="AU57" s="93"/>
      <c r="AV57" s="93"/>
      <c r="AW57" s="93"/>
      <c r="AX57" s="93"/>
      <c r="AY57" s="20"/>
      <c r="AZ57" s="25">
        <v>23</v>
      </c>
      <c r="BA57" s="93"/>
      <c r="BB57" s="93"/>
      <c r="BC57" s="93"/>
      <c r="BD57" s="93"/>
      <c r="BE57" s="20"/>
      <c r="BF57" s="25"/>
    </row>
    <row r="58" spans="1:58">
      <c r="A58" s="29">
        <f t="shared" si="18"/>
        <v>2023</v>
      </c>
      <c r="B58" s="19">
        <v>871314.30805841333</v>
      </c>
      <c r="C58" s="93">
        <v>2053927.2357634851</v>
      </c>
      <c r="D58" s="93">
        <v>444785.00271067</v>
      </c>
      <c r="E58" s="93">
        <v>17054.339910195788</v>
      </c>
      <c r="F58" s="93">
        <v>1446415.6994831371</v>
      </c>
      <c r="G58" s="20">
        <v>412907.97902707377</v>
      </c>
      <c r="H58" s="733">
        <v>667055.68733472005</v>
      </c>
      <c r="I58" s="570">
        <v>605012.10210556793</v>
      </c>
      <c r="J58" s="1539">
        <v>147350.82186666047</v>
      </c>
      <c r="K58" s="734">
        <v>203318.5075041547</v>
      </c>
      <c r="L58" s="19">
        <v>832375.13294321089</v>
      </c>
      <c r="M58" s="93">
        <v>64741.449836547814</v>
      </c>
      <c r="N58" s="93">
        <v>72498.144547804855</v>
      </c>
      <c r="O58" s="20">
        <v>111810.97925267741</v>
      </c>
      <c r="P58" s="19">
        <v>904535.47174973483</v>
      </c>
      <c r="Q58" s="93">
        <v>387719.81717562024</v>
      </c>
      <c r="R58" s="93">
        <v>43086.25508663807</v>
      </c>
      <c r="S58" s="93">
        <v>395220.36195078888</v>
      </c>
      <c r="T58" s="93">
        <v>249342.44465960236</v>
      </c>
      <c r="U58" s="93">
        <v>594478.43995395605</v>
      </c>
      <c r="V58" s="93">
        <v>262793.19898343453</v>
      </c>
      <c r="W58" s="93">
        <v>540455.84072308498</v>
      </c>
      <c r="X58" s="93">
        <v>802569.75158577145</v>
      </c>
      <c r="Y58" s="93">
        <v>12839.85</v>
      </c>
      <c r="Z58" s="93">
        <v>11182.05</v>
      </c>
      <c r="AA58" s="93">
        <v>1129.6500000000001</v>
      </c>
      <c r="AB58" s="20">
        <v>390136.17245107912</v>
      </c>
      <c r="AC58" s="19">
        <v>800738.11353881285</v>
      </c>
      <c r="AD58" s="93">
        <v>203849.44410361053</v>
      </c>
      <c r="AE58" s="93">
        <v>30589.400663759803</v>
      </c>
      <c r="AF58" s="93">
        <v>292276.43933629675</v>
      </c>
      <c r="AG58" s="93">
        <v>243924.19981236427</v>
      </c>
      <c r="AH58" s="93">
        <v>629470.69701911369</v>
      </c>
      <c r="AI58" s="93">
        <v>179141.91797099644</v>
      </c>
      <c r="AJ58" s="93">
        <v>410391.35159276699</v>
      </c>
      <c r="AK58" s="93">
        <v>452114.37273102946</v>
      </c>
      <c r="AL58" s="93">
        <v>295678.29260960588</v>
      </c>
      <c r="AM58" s="93">
        <v>193859.09825660073</v>
      </c>
      <c r="AN58" s="93">
        <v>170577.69337577739</v>
      </c>
      <c r="AO58" s="20">
        <v>275772.37444493698</v>
      </c>
      <c r="AP58" s="19"/>
      <c r="AQ58" s="93"/>
      <c r="AR58" s="93"/>
      <c r="AS58" s="93"/>
      <c r="AT58" s="93"/>
      <c r="AU58" s="93"/>
      <c r="AV58" s="93"/>
      <c r="AW58" s="93"/>
      <c r="AX58" s="93"/>
      <c r="AY58" s="20"/>
      <c r="AZ58" s="25">
        <v>24</v>
      </c>
      <c r="BA58" s="93"/>
      <c r="BB58" s="93"/>
      <c r="BC58" s="93"/>
      <c r="BD58" s="93"/>
      <c r="BE58" s="20"/>
      <c r="BF58" s="29"/>
    </row>
    <row r="59" spans="1:58">
      <c r="A59" s="29" t="str">
        <f t="shared" si="18"/>
        <v/>
      </c>
      <c r="B59" s="19"/>
      <c r="C59" s="93"/>
      <c r="D59" s="93"/>
      <c r="E59" s="93"/>
      <c r="F59" s="93"/>
      <c r="G59" s="20"/>
      <c r="H59" s="19"/>
      <c r="I59" s="93"/>
      <c r="J59" s="214"/>
      <c r="K59" s="20"/>
      <c r="L59" s="19"/>
      <c r="M59" s="93"/>
      <c r="N59" s="93"/>
      <c r="O59" s="20"/>
      <c r="P59" s="19"/>
      <c r="Q59" s="93"/>
      <c r="R59" s="93"/>
      <c r="S59" s="93"/>
      <c r="T59" s="93"/>
      <c r="U59" s="93"/>
      <c r="V59" s="93"/>
      <c r="W59" s="93"/>
      <c r="X59" s="93"/>
      <c r="Y59" s="93"/>
      <c r="Z59" s="93"/>
      <c r="AA59" s="93"/>
      <c r="AB59" s="20"/>
      <c r="AC59" s="19"/>
      <c r="AD59" s="93"/>
      <c r="AE59" s="93"/>
      <c r="AF59" s="93"/>
      <c r="AG59" s="93"/>
      <c r="AH59" s="93"/>
      <c r="AI59" s="93"/>
      <c r="AJ59" s="93"/>
      <c r="AK59" s="93"/>
      <c r="AL59" s="93"/>
      <c r="AM59" s="93"/>
      <c r="AN59" s="93"/>
      <c r="AO59" s="20"/>
      <c r="AP59" s="19"/>
      <c r="AQ59" s="93"/>
      <c r="AR59" s="93"/>
      <c r="AS59" s="93"/>
      <c r="AT59" s="93"/>
      <c r="AU59" s="93"/>
      <c r="AV59" s="93"/>
      <c r="AW59" s="93"/>
      <c r="AX59" s="93"/>
      <c r="AY59" s="20"/>
      <c r="AZ59" s="29"/>
      <c r="BA59" s="93"/>
      <c r="BB59" s="93"/>
      <c r="BC59" s="93"/>
      <c r="BD59" s="93"/>
      <c r="BE59" s="20"/>
      <c r="BF59" s="29"/>
    </row>
    <row r="60" spans="1:58">
      <c r="A60" s="29" t="str">
        <f t="shared" si="18"/>
        <v/>
      </c>
      <c r="B60" s="19"/>
      <c r="C60" s="93"/>
      <c r="D60" s="93"/>
      <c r="E60" s="93"/>
      <c r="F60" s="93"/>
      <c r="G60" s="20"/>
      <c r="H60" s="19"/>
      <c r="I60" s="93"/>
      <c r="J60" s="214"/>
      <c r="K60" s="20"/>
      <c r="L60" s="19"/>
      <c r="M60" s="93"/>
      <c r="N60" s="93"/>
      <c r="O60" s="20"/>
      <c r="P60" s="19"/>
      <c r="Q60" s="93"/>
      <c r="R60" s="93"/>
      <c r="S60" s="93"/>
      <c r="T60" s="93"/>
      <c r="U60" s="93"/>
      <c r="V60" s="93"/>
      <c r="W60" s="93"/>
      <c r="X60" s="93"/>
      <c r="Y60" s="93"/>
      <c r="Z60" s="93"/>
      <c r="AA60" s="93"/>
      <c r="AB60" s="20"/>
      <c r="AC60" s="19"/>
      <c r="AD60" s="93"/>
      <c r="AE60" s="93"/>
      <c r="AF60" s="93"/>
      <c r="AG60" s="93"/>
      <c r="AH60" s="93"/>
      <c r="AI60" s="93"/>
      <c r="AJ60" s="93"/>
      <c r="AK60" s="93"/>
      <c r="AL60" s="93"/>
      <c r="AM60" s="93"/>
      <c r="AN60" s="93"/>
      <c r="AO60" s="20"/>
      <c r="AP60" s="19"/>
      <c r="AQ60" s="93"/>
      <c r="AR60" s="93"/>
      <c r="AS60" s="93"/>
      <c r="AT60" s="93"/>
      <c r="AU60" s="93"/>
      <c r="AV60" s="93"/>
      <c r="AW60" s="93"/>
      <c r="AX60" s="93"/>
      <c r="AY60" s="20"/>
      <c r="AZ60" s="29"/>
      <c r="BA60" s="93"/>
      <c r="BB60" s="93"/>
      <c r="BC60" s="93"/>
      <c r="BD60" s="93"/>
      <c r="BE60" s="20"/>
      <c r="BF60" s="29"/>
    </row>
    <row r="61" spans="1:58">
      <c r="A61" s="29" t="str">
        <f t="shared" si="18"/>
        <v/>
      </c>
      <c r="B61" s="19"/>
      <c r="C61" s="93"/>
      <c r="D61" s="93"/>
      <c r="E61" s="93"/>
      <c r="F61" s="93"/>
      <c r="G61" s="20"/>
      <c r="H61" s="19"/>
      <c r="I61" s="93"/>
      <c r="J61" s="214"/>
      <c r="K61" s="20"/>
      <c r="L61" s="19"/>
      <c r="M61" s="93"/>
      <c r="N61" s="93"/>
      <c r="O61" s="20"/>
      <c r="P61" s="19"/>
      <c r="Q61" s="93"/>
      <c r="R61" s="93"/>
      <c r="S61" s="93"/>
      <c r="T61" s="93"/>
      <c r="U61" s="93"/>
      <c r="V61" s="93"/>
      <c r="W61" s="93"/>
      <c r="X61" s="93"/>
      <c r="Y61" s="93"/>
      <c r="Z61" s="93"/>
      <c r="AA61" s="93"/>
      <c r="AB61" s="20"/>
      <c r="AC61" s="19"/>
      <c r="AD61" s="93"/>
      <c r="AE61" s="93"/>
      <c r="AF61" s="93"/>
      <c r="AG61" s="93"/>
      <c r="AH61" s="93"/>
      <c r="AI61" s="93"/>
      <c r="AJ61" s="93"/>
      <c r="AK61" s="93"/>
      <c r="AL61" s="93"/>
      <c r="AM61" s="93"/>
      <c r="AN61" s="93"/>
      <c r="AO61" s="20"/>
      <c r="AP61" s="19"/>
      <c r="AQ61" s="93"/>
      <c r="AR61" s="93"/>
      <c r="AS61" s="93"/>
      <c r="AT61" s="93"/>
      <c r="AU61" s="93"/>
      <c r="AV61" s="93"/>
      <c r="AW61" s="93"/>
      <c r="AX61" s="93"/>
      <c r="AY61" s="20"/>
      <c r="AZ61" s="29"/>
      <c r="BA61" s="93"/>
      <c r="BB61" s="93"/>
      <c r="BC61" s="93"/>
      <c r="BD61" s="93"/>
      <c r="BE61" s="20"/>
      <c r="BF61" s="29"/>
    </row>
    <row r="62" spans="1:58">
      <c r="A62" s="29" t="str">
        <f t="shared" si="18"/>
        <v/>
      </c>
      <c r="B62" s="19"/>
      <c r="C62" s="93"/>
      <c r="D62" s="93"/>
      <c r="E62" s="93"/>
      <c r="F62" s="93"/>
      <c r="G62" s="20"/>
      <c r="H62" s="19"/>
      <c r="I62" s="93"/>
      <c r="J62" s="214"/>
      <c r="K62" s="20"/>
      <c r="L62" s="19"/>
      <c r="M62" s="93"/>
      <c r="N62" s="93"/>
      <c r="O62" s="20"/>
      <c r="P62" s="19"/>
      <c r="Q62" s="93"/>
      <c r="R62" s="93"/>
      <c r="S62" s="93"/>
      <c r="T62" s="93"/>
      <c r="U62" s="93"/>
      <c r="V62" s="93"/>
      <c r="W62" s="93"/>
      <c r="X62" s="93"/>
      <c r="Y62" s="93"/>
      <c r="Z62" s="93"/>
      <c r="AA62" s="93"/>
      <c r="AB62" s="20"/>
      <c r="AC62" s="19"/>
      <c r="AD62" s="93"/>
      <c r="AE62" s="93"/>
      <c r="AF62" s="93"/>
      <c r="AG62" s="93"/>
      <c r="AH62" s="93"/>
      <c r="AI62" s="93"/>
      <c r="AJ62" s="93"/>
      <c r="AK62" s="93"/>
      <c r="AL62" s="93"/>
      <c r="AM62" s="93"/>
      <c r="AN62" s="93"/>
      <c r="AO62" s="20"/>
      <c r="AP62" s="19"/>
      <c r="AQ62" s="93"/>
      <c r="AR62" s="93"/>
      <c r="AS62" s="93"/>
      <c r="AT62" s="93"/>
      <c r="AU62" s="93"/>
      <c r="AV62" s="93"/>
      <c r="AW62" s="93"/>
      <c r="AX62" s="93"/>
      <c r="AY62" s="20"/>
      <c r="AZ62" s="29"/>
      <c r="BA62" s="93"/>
      <c r="BB62" s="93"/>
      <c r="BC62" s="93"/>
      <c r="BD62" s="93"/>
      <c r="BE62" s="20"/>
      <c r="BF62" s="29"/>
    </row>
    <row r="63" spans="1:58">
      <c r="A63" s="29" t="str">
        <f t="shared" si="18"/>
        <v/>
      </c>
      <c r="B63" s="19"/>
      <c r="C63" s="93"/>
      <c r="D63" s="93"/>
      <c r="E63" s="93"/>
      <c r="F63" s="93"/>
      <c r="G63" s="20"/>
      <c r="H63" s="19"/>
      <c r="I63" s="93"/>
      <c r="J63" s="214"/>
      <c r="K63" s="20"/>
      <c r="L63" s="19"/>
      <c r="M63" s="93"/>
      <c r="N63" s="93"/>
      <c r="O63" s="20"/>
      <c r="P63" s="19"/>
      <c r="Q63" s="93"/>
      <c r="R63" s="93"/>
      <c r="S63" s="93"/>
      <c r="T63" s="93"/>
      <c r="U63" s="93"/>
      <c r="V63" s="93"/>
      <c r="W63" s="93"/>
      <c r="X63" s="93"/>
      <c r="Y63" s="93"/>
      <c r="Z63" s="93"/>
      <c r="AA63" s="93"/>
      <c r="AB63" s="20"/>
      <c r="AC63" s="19"/>
      <c r="AD63" s="93"/>
      <c r="AE63" s="93"/>
      <c r="AF63" s="93"/>
      <c r="AG63" s="93"/>
      <c r="AH63" s="93"/>
      <c r="AI63" s="93"/>
      <c r="AJ63" s="93"/>
      <c r="AK63" s="93"/>
      <c r="AL63" s="93"/>
      <c r="AM63" s="93"/>
      <c r="AN63" s="93"/>
      <c r="AO63" s="20"/>
      <c r="AP63" s="19"/>
      <c r="AQ63" s="93"/>
      <c r="AR63" s="93"/>
      <c r="AS63" s="93"/>
      <c r="AT63" s="93"/>
      <c r="AU63" s="93"/>
      <c r="AV63" s="93"/>
      <c r="AW63" s="93"/>
      <c r="AX63" s="93"/>
      <c r="AY63" s="20"/>
      <c r="AZ63" s="29"/>
      <c r="BA63" s="93"/>
      <c r="BB63" s="93"/>
      <c r="BC63" s="93"/>
      <c r="BD63" s="93"/>
      <c r="BE63" s="20"/>
      <c r="BF63" s="29"/>
    </row>
    <row r="64" spans="1:58">
      <c r="A64" s="29" t="str">
        <f t="shared" si="18"/>
        <v/>
      </c>
      <c r="B64" s="19"/>
      <c r="C64" s="93"/>
      <c r="D64" s="93"/>
      <c r="E64" s="93"/>
      <c r="F64" s="93"/>
      <c r="G64" s="20"/>
      <c r="H64" s="19"/>
      <c r="I64" s="93"/>
      <c r="J64" s="214"/>
      <c r="K64" s="20"/>
      <c r="L64" s="19"/>
      <c r="M64" s="93"/>
      <c r="N64" s="93"/>
      <c r="O64" s="20"/>
      <c r="P64" s="19"/>
      <c r="Q64" s="93"/>
      <c r="R64" s="93"/>
      <c r="S64" s="93"/>
      <c r="T64" s="93"/>
      <c r="U64" s="93"/>
      <c r="V64" s="93"/>
      <c r="W64" s="93"/>
      <c r="X64" s="93"/>
      <c r="Y64" s="93"/>
      <c r="Z64" s="93"/>
      <c r="AA64" s="93"/>
      <c r="AB64" s="20"/>
      <c r="AC64" s="19"/>
      <c r="AD64" s="93"/>
      <c r="AE64" s="93"/>
      <c r="AF64" s="93"/>
      <c r="AG64" s="93"/>
      <c r="AH64" s="93"/>
      <c r="AI64" s="93"/>
      <c r="AJ64" s="93"/>
      <c r="AK64" s="93"/>
      <c r="AL64" s="93"/>
      <c r="AM64" s="93"/>
      <c r="AN64" s="93"/>
      <c r="AO64" s="20"/>
      <c r="AP64" s="19"/>
      <c r="AQ64" s="93"/>
      <c r="AR64" s="93"/>
      <c r="AS64" s="93"/>
      <c r="AT64" s="93"/>
      <c r="AU64" s="93"/>
      <c r="AV64" s="93"/>
      <c r="AW64" s="93"/>
      <c r="AX64" s="93"/>
      <c r="AY64" s="20"/>
      <c r="AZ64" s="29"/>
      <c r="BA64" s="93"/>
      <c r="BB64" s="93"/>
      <c r="BC64" s="93"/>
      <c r="BD64" s="93"/>
      <c r="BE64" s="20"/>
      <c r="BF64" s="29"/>
    </row>
    <row r="65" spans="1:58">
      <c r="A65" s="29" t="str">
        <f t="shared" si="18"/>
        <v/>
      </c>
      <c r="B65" s="19"/>
      <c r="C65" s="93"/>
      <c r="D65" s="93"/>
      <c r="E65" s="93"/>
      <c r="F65" s="93"/>
      <c r="G65" s="20"/>
      <c r="H65" s="19"/>
      <c r="I65" s="93"/>
      <c r="J65" s="214"/>
      <c r="K65" s="20"/>
      <c r="L65" s="19"/>
      <c r="M65" s="93"/>
      <c r="N65" s="93"/>
      <c r="O65" s="20"/>
      <c r="P65" s="19"/>
      <c r="Q65" s="93"/>
      <c r="R65" s="93"/>
      <c r="S65" s="93"/>
      <c r="T65" s="93"/>
      <c r="U65" s="93"/>
      <c r="V65" s="93"/>
      <c r="W65" s="93"/>
      <c r="X65" s="93"/>
      <c r="Y65" s="93"/>
      <c r="Z65" s="93"/>
      <c r="AA65" s="93"/>
      <c r="AB65" s="20"/>
      <c r="AC65" s="19"/>
      <c r="AD65" s="93"/>
      <c r="AE65" s="93"/>
      <c r="AF65" s="93"/>
      <c r="AG65" s="93"/>
      <c r="AH65" s="93"/>
      <c r="AI65" s="93"/>
      <c r="AJ65" s="93"/>
      <c r="AK65" s="93"/>
      <c r="AL65" s="93"/>
      <c r="AM65" s="93"/>
      <c r="AN65" s="93"/>
      <c r="AO65" s="20"/>
      <c r="AP65" s="19"/>
      <c r="AQ65" s="93"/>
      <c r="AR65" s="93"/>
      <c r="AS65" s="93"/>
      <c r="AT65" s="93"/>
      <c r="AU65" s="93"/>
      <c r="AV65" s="93"/>
      <c r="AW65" s="93"/>
      <c r="AX65" s="93"/>
      <c r="AY65" s="20"/>
      <c r="AZ65" s="29"/>
      <c r="BA65" s="93"/>
      <c r="BB65" s="93"/>
      <c r="BC65" s="93"/>
      <c r="BD65" s="93"/>
      <c r="BE65" s="20"/>
      <c r="BF65" s="29"/>
    </row>
    <row r="66" spans="1:58">
      <c r="A66" s="29" t="str">
        <f t="shared" si="18"/>
        <v/>
      </c>
      <c r="B66" s="19"/>
      <c r="C66" s="93"/>
      <c r="D66" s="93"/>
      <c r="E66" s="93"/>
      <c r="F66" s="93"/>
      <c r="G66" s="20"/>
      <c r="H66" s="19"/>
      <c r="I66" s="93"/>
      <c r="J66" s="214"/>
      <c r="K66" s="20"/>
      <c r="L66" s="19"/>
      <c r="M66" s="93"/>
      <c r="N66" s="93"/>
      <c r="O66" s="20"/>
      <c r="P66" s="19"/>
      <c r="Q66" s="93"/>
      <c r="R66" s="93"/>
      <c r="S66" s="93"/>
      <c r="T66" s="93"/>
      <c r="U66" s="93"/>
      <c r="V66" s="93"/>
      <c r="W66" s="93"/>
      <c r="X66" s="93"/>
      <c r="Y66" s="93"/>
      <c r="Z66" s="93"/>
      <c r="AA66" s="93"/>
      <c r="AB66" s="20"/>
      <c r="AC66" s="19"/>
      <c r="AD66" s="93"/>
      <c r="AE66" s="93"/>
      <c r="AF66" s="93"/>
      <c r="AG66" s="93"/>
      <c r="AH66" s="93"/>
      <c r="AI66" s="93"/>
      <c r="AJ66" s="93"/>
      <c r="AK66" s="93"/>
      <c r="AL66" s="93"/>
      <c r="AM66" s="93"/>
      <c r="AN66" s="93"/>
      <c r="AO66" s="20"/>
      <c r="AP66" s="19"/>
      <c r="AQ66" s="93"/>
      <c r="AR66" s="93"/>
      <c r="AS66" s="93"/>
      <c r="AT66" s="93"/>
      <c r="AU66" s="93"/>
      <c r="AV66" s="93"/>
      <c r="AW66" s="93"/>
      <c r="AX66" s="93"/>
      <c r="AY66" s="20"/>
      <c r="AZ66" s="29"/>
      <c r="BA66" s="93"/>
      <c r="BB66" s="93"/>
      <c r="BC66" s="93"/>
      <c r="BD66" s="93"/>
      <c r="BE66" s="20"/>
      <c r="BF66" s="29"/>
    </row>
    <row r="67" spans="1:58">
      <c r="A67" s="29" t="str">
        <f t="shared" si="18"/>
        <v/>
      </c>
      <c r="B67" s="19"/>
      <c r="C67" s="93"/>
      <c r="D67" s="93"/>
      <c r="E67" s="93"/>
      <c r="F67" s="93"/>
      <c r="G67" s="20"/>
      <c r="H67" s="19"/>
      <c r="I67" s="93"/>
      <c r="J67" s="214"/>
      <c r="K67" s="20"/>
      <c r="L67" s="19"/>
      <c r="M67" s="93"/>
      <c r="N67" s="93"/>
      <c r="O67" s="20"/>
      <c r="P67" s="19"/>
      <c r="Q67" s="93"/>
      <c r="R67" s="93"/>
      <c r="S67" s="93"/>
      <c r="T67" s="93"/>
      <c r="U67" s="93"/>
      <c r="V67" s="93"/>
      <c r="W67" s="93"/>
      <c r="X67" s="93"/>
      <c r="Y67" s="93"/>
      <c r="Z67" s="93"/>
      <c r="AA67" s="93"/>
      <c r="AB67" s="20"/>
      <c r="AC67" s="19"/>
      <c r="AD67" s="93"/>
      <c r="AE67" s="93"/>
      <c r="AF67" s="93"/>
      <c r="AG67" s="93"/>
      <c r="AH67" s="93"/>
      <c r="AI67" s="93"/>
      <c r="AJ67" s="93"/>
      <c r="AK67" s="93"/>
      <c r="AL67" s="93"/>
      <c r="AM67" s="93"/>
      <c r="AN67" s="93"/>
      <c r="AO67" s="20"/>
      <c r="AP67" s="19"/>
      <c r="AQ67" s="93"/>
      <c r="AR67" s="93"/>
      <c r="AS67" s="93"/>
      <c r="AT67" s="93"/>
      <c r="AU67" s="93"/>
      <c r="AV67" s="93"/>
      <c r="AW67" s="93"/>
      <c r="AX67" s="93"/>
      <c r="AY67" s="20"/>
      <c r="AZ67" s="29"/>
      <c r="BA67" s="93"/>
      <c r="BB67" s="93"/>
      <c r="BC67" s="93"/>
      <c r="BD67" s="93"/>
      <c r="BE67" s="20"/>
      <c r="BF67" s="29"/>
    </row>
    <row r="68" spans="1:58">
      <c r="A68" s="29" t="str">
        <f t="shared" si="18"/>
        <v/>
      </c>
      <c r="B68" s="19"/>
      <c r="C68" s="93"/>
      <c r="D68" s="93"/>
      <c r="E68" s="93"/>
      <c r="F68" s="93"/>
      <c r="G68" s="20"/>
      <c r="H68" s="19"/>
      <c r="I68" s="93"/>
      <c r="J68" s="214"/>
      <c r="K68" s="20"/>
      <c r="L68" s="19"/>
      <c r="M68" s="93"/>
      <c r="N68" s="93"/>
      <c r="O68" s="20"/>
      <c r="P68" s="19"/>
      <c r="Q68" s="93"/>
      <c r="R68" s="93"/>
      <c r="S68" s="93"/>
      <c r="T68" s="93"/>
      <c r="U68" s="93"/>
      <c r="V68" s="93"/>
      <c r="W68" s="93"/>
      <c r="X68" s="93"/>
      <c r="Y68" s="93"/>
      <c r="Z68" s="93"/>
      <c r="AA68" s="93"/>
      <c r="AB68" s="20"/>
      <c r="AC68" s="19"/>
      <c r="AD68" s="93"/>
      <c r="AE68" s="93"/>
      <c r="AF68" s="93"/>
      <c r="AG68" s="93"/>
      <c r="AH68" s="93"/>
      <c r="AI68" s="93"/>
      <c r="AJ68" s="93"/>
      <c r="AK68" s="93"/>
      <c r="AL68" s="93"/>
      <c r="AM68" s="93"/>
      <c r="AN68" s="93"/>
      <c r="AO68" s="20"/>
      <c r="AP68" s="19"/>
      <c r="AQ68" s="93"/>
      <c r="AR68" s="93"/>
      <c r="AS68" s="93"/>
      <c r="AT68" s="93"/>
      <c r="AU68" s="93"/>
      <c r="AV68" s="93"/>
      <c r="AW68" s="93"/>
      <c r="AX68" s="93"/>
      <c r="AY68" s="20"/>
      <c r="AZ68" s="29"/>
      <c r="BA68" s="93"/>
      <c r="BB68" s="93"/>
      <c r="BC68" s="93"/>
      <c r="BD68" s="93"/>
      <c r="BE68" s="20"/>
      <c r="BF68" s="29"/>
    </row>
    <row r="69" spans="1:58">
      <c r="A69" s="29" t="str">
        <f t="shared" si="18"/>
        <v/>
      </c>
      <c r="B69" s="19"/>
      <c r="C69" s="93"/>
      <c r="D69" s="93"/>
      <c r="E69" s="93"/>
      <c r="F69" s="93"/>
      <c r="G69" s="20"/>
      <c r="H69" s="19"/>
      <c r="I69" s="93"/>
      <c r="J69" s="214"/>
      <c r="K69" s="20"/>
      <c r="L69" s="19"/>
      <c r="M69" s="93"/>
      <c r="N69" s="93"/>
      <c r="O69" s="20"/>
      <c r="P69" s="19"/>
      <c r="Q69" s="93"/>
      <c r="R69" s="93"/>
      <c r="S69" s="93"/>
      <c r="T69" s="93"/>
      <c r="U69" s="93"/>
      <c r="V69" s="93"/>
      <c r="W69" s="93"/>
      <c r="X69" s="93"/>
      <c r="Y69" s="93"/>
      <c r="Z69" s="93"/>
      <c r="AA69" s="93"/>
      <c r="AB69" s="20"/>
      <c r="AC69" s="19"/>
      <c r="AD69" s="93"/>
      <c r="AE69" s="93"/>
      <c r="AF69" s="93"/>
      <c r="AG69" s="93"/>
      <c r="AH69" s="93"/>
      <c r="AI69" s="93"/>
      <c r="AJ69" s="93"/>
      <c r="AK69" s="93"/>
      <c r="AL69" s="93"/>
      <c r="AM69" s="93"/>
      <c r="AN69" s="93"/>
      <c r="AO69" s="20"/>
      <c r="AP69" s="19"/>
      <c r="AQ69" s="93"/>
      <c r="AR69" s="93"/>
      <c r="AS69" s="93"/>
      <c r="AT69" s="93"/>
      <c r="AU69" s="93"/>
      <c r="AV69" s="93"/>
      <c r="AW69" s="93"/>
      <c r="AX69" s="93"/>
      <c r="AY69" s="20"/>
      <c r="AZ69" s="29"/>
      <c r="BA69" s="93"/>
      <c r="BB69" s="93"/>
      <c r="BC69" s="93"/>
      <c r="BD69" s="93"/>
      <c r="BE69" s="20"/>
      <c r="BF69" s="29"/>
    </row>
    <row r="70" spans="1:58">
      <c r="A70" s="29" t="str">
        <f t="shared" si="18"/>
        <v/>
      </c>
      <c r="B70" s="19"/>
      <c r="C70" s="93"/>
      <c r="D70" s="93"/>
      <c r="E70" s="93"/>
      <c r="F70" s="93"/>
      <c r="G70" s="20"/>
      <c r="H70" s="19"/>
      <c r="I70" s="93"/>
      <c r="J70" s="214"/>
      <c r="K70" s="20"/>
      <c r="L70" s="19"/>
      <c r="M70" s="93"/>
      <c r="N70" s="93"/>
      <c r="O70" s="20"/>
      <c r="P70" s="19"/>
      <c r="Q70" s="93"/>
      <c r="R70" s="93"/>
      <c r="S70" s="93"/>
      <c r="T70" s="93"/>
      <c r="U70" s="93"/>
      <c r="V70" s="93"/>
      <c r="W70" s="93"/>
      <c r="X70" s="93"/>
      <c r="Y70" s="93"/>
      <c r="Z70" s="93"/>
      <c r="AA70" s="93"/>
      <c r="AB70" s="20"/>
      <c r="AC70" s="19"/>
      <c r="AD70" s="93"/>
      <c r="AE70" s="93"/>
      <c r="AF70" s="93"/>
      <c r="AG70" s="93"/>
      <c r="AH70" s="93"/>
      <c r="AI70" s="93"/>
      <c r="AJ70" s="93"/>
      <c r="AK70" s="93"/>
      <c r="AL70" s="93"/>
      <c r="AM70" s="93"/>
      <c r="AN70" s="93"/>
      <c r="AO70" s="20"/>
      <c r="AP70" s="19"/>
      <c r="AQ70" s="93"/>
      <c r="AR70" s="93"/>
      <c r="AS70" s="93"/>
      <c r="AT70" s="93"/>
      <c r="AU70" s="93"/>
      <c r="AV70" s="93"/>
      <c r="AW70" s="93"/>
      <c r="AX70" s="93"/>
      <c r="AY70" s="20"/>
      <c r="AZ70" s="29"/>
      <c r="BA70" s="93"/>
      <c r="BB70" s="93"/>
      <c r="BC70" s="93"/>
      <c r="BD70" s="93"/>
      <c r="BE70" s="20"/>
      <c r="BF70" s="29"/>
    </row>
    <row r="71" spans="1:58">
      <c r="A71" s="29" t="str">
        <f t="shared" si="18"/>
        <v/>
      </c>
      <c r="B71" s="19"/>
      <c r="C71" s="93"/>
      <c r="D71" s="93"/>
      <c r="E71" s="93"/>
      <c r="F71" s="93"/>
      <c r="G71" s="20"/>
      <c r="H71" s="19"/>
      <c r="I71" s="93"/>
      <c r="J71" s="214"/>
      <c r="K71" s="20"/>
      <c r="L71" s="19"/>
      <c r="M71" s="93"/>
      <c r="N71" s="93"/>
      <c r="O71" s="20"/>
      <c r="P71" s="19"/>
      <c r="Q71" s="93"/>
      <c r="R71" s="93"/>
      <c r="S71" s="93"/>
      <c r="T71" s="93"/>
      <c r="U71" s="93"/>
      <c r="V71" s="93"/>
      <c r="W71" s="93"/>
      <c r="X71" s="93"/>
      <c r="Y71" s="93"/>
      <c r="Z71" s="93"/>
      <c r="AA71" s="93"/>
      <c r="AB71" s="20"/>
      <c r="AC71" s="19"/>
      <c r="AD71" s="93"/>
      <c r="AE71" s="93"/>
      <c r="AF71" s="93"/>
      <c r="AG71" s="93"/>
      <c r="AH71" s="93"/>
      <c r="AI71" s="93"/>
      <c r="AJ71" s="93"/>
      <c r="AK71" s="93"/>
      <c r="AL71" s="93"/>
      <c r="AM71" s="93"/>
      <c r="AN71" s="93"/>
      <c r="AO71" s="20"/>
      <c r="AP71" s="19"/>
      <c r="AQ71" s="93"/>
      <c r="AR71" s="93"/>
      <c r="AS71" s="93"/>
      <c r="AT71" s="93"/>
      <c r="AU71" s="93"/>
      <c r="AV71" s="93"/>
      <c r="AW71" s="93"/>
      <c r="AX71" s="93"/>
      <c r="AY71" s="20"/>
      <c r="AZ71" s="29"/>
      <c r="BA71" s="93"/>
      <c r="BB71" s="93"/>
      <c r="BC71" s="93"/>
      <c r="BD71" s="93"/>
      <c r="BE71" s="20"/>
      <c r="BF71" s="29"/>
    </row>
    <row r="72" spans="1:58">
      <c r="A72" s="29" t="str">
        <f t="shared" si="18"/>
        <v/>
      </c>
      <c r="B72" s="19"/>
      <c r="C72" s="93"/>
      <c r="D72" s="93"/>
      <c r="E72" s="93"/>
      <c r="F72" s="93"/>
      <c r="G72" s="20"/>
      <c r="H72" s="19"/>
      <c r="I72" s="93"/>
      <c r="J72" s="214"/>
      <c r="K72" s="20"/>
      <c r="L72" s="19"/>
      <c r="M72" s="93"/>
      <c r="N72" s="93"/>
      <c r="O72" s="20"/>
      <c r="P72" s="19"/>
      <c r="Q72" s="93"/>
      <c r="R72" s="93"/>
      <c r="S72" s="93"/>
      <c r="T72" s="93"/>
      <c r="U72" s="93"/>
      <c r="V72" s="93"/>
      <c r="W72" s="93"/>
      <c r="X72" s="93"/>
      <c r="Y72" s="93"/>
      <c r="Z72" s="93"/>
      <c r="AA72" s="93"/>
      <c r="AB72" s="20"/>
      <c r="AC72" s="19"/>
      <c r="AD72" s="93"/>
      <c r="AE72" s="93"/>
      <c r="AF72" s="93"/>
      <c r="AG72" s="93"/>
      <c r="AH72" s="93"/>
      <c r="AI72" s="93"/>
      <c r="AJ72" s="93"/>
      <c r="AK72" s="93"/>
      <c r="AL72" s="93"/>
      <c r="AM72" s="93"/>
      <c r="AN72" s="93"/>
      <c r="AO72" s="20"/>
      <c r="AP72" s="19"/>
      <c r="AQ72" s="93"/>
      <c r="AR72" s="93"/>
      <c r="AS72" s="93"/>
      <c r="AT72" s="93"/>
      <c r="AU72" s="93"/>
      <c r="AV72" s="93"/>
      <c r="AW72" s="93"/>
      <c r="AX72" s="93"/>
      <c r="AY72" s="20"/>
      <c r="AZ72" s="29"/>
      <c r="BA72" s="93"/>
      <c r="BB72" s="93"/>
      <c r="BC72" s="93"/>
      <c r="BD72" s="93"/>
      <c r="BE72" s="20"/>
      <c r="BF72" s="29"/>
    </row>
    <row r="73" spans="1:58">
      <c r="A73" s="29" t="str">
        <f t="shared" si="18"/>
        <v/>
      </c>
      <c r="B73" s="19"/>
      <c r="C73" s="93"/>
      <c r="D73" s="93"/>
      <c r="E73" s="93"/>
      <c r="F73" s="93"/>
      <c r="G73" s="20"/>
      <c r="H73" s="19"/>
      <c r="I73" s="93"/>
      <c r="J73" s="214"/>
      <c r="K73" s="20"/>
      <c r="L73" s="19"/>
      <c r="M73" s="93"/>
      <c r="N73" s="93"/>
      <c r="O73" s="20"/>
      <c r="P73" s="19"/>
      <c r="Q73" s="93"/>
      <c r="R73" s="93"/>
      <c r="S73" s="93"/>
      <c r="T73" s="93"/>
      <c r="U73" s="93"/>
      <c r="V73" s="93"/>
      <c r="W73" s="93"/>
      <c r="X73" s="93"/>
      <c r="Y73" s="93"/>
      <c r="Z73" s="93"/>
      <c r="AA73" s="93"/>
      <c r="AB73" s="20"/>
      <c r="AC73" s="19"/>
      <c r="AD73" s="93"/>
      <c r="AE73" s="93"/>
      <c r="AF73" s="93"/>
      <c r="AG73" s="93"/>
      <c r="AH73" s="93"/>
      <c r="AI73" s="93"/>
      <c r="AJ73" s="93"/>
      <c r="AK73" s="93"/>
      <c r="AL73" s="93"/>
      <c r="AM73" s="93"/>
      <c r="AN73" s="93"/>
      <c r="AO73" s="20"/>
      <c r="AP73" s="19"/>
      <c r="AQ73" s="93"/>
      <c r="AR73" s="93"/>
      <c r="AS73" s="93"/>
      <c r="AT73" s="93"/>
      <c r="AU73" s="93"/>
      <c r="AV73" s="93"/>
      <c r="AW73" s="93"/>
      <c r="AX73" s="93"/>
      <c r="AY73" s="20"/>
      <c r="AZ73" s="29"/>
      <c r="BA73" s="93"/>
      <c r="BB73" s="93"/>
      <c r="BC73" s="93"/>
      <c r="BD73" s="93"/>
      <c r="BE73" s="20"/>
      <c r="BF73" s="29"/>
    </row>
    <row r="74" spans="1:58">
      <c r="A74" s="29" t="str">
        <f t="shared" si="18"/>
        <v/>
      </c>
      <c r="B74" s="19"/>
      <c r="C74" s="93"/>
      <c r="D74" s="93"/>
      <c r="E74" s="93"/>
      <c r="F74" s="93"/>
      <c r="G74" s="20"/>
      <c r="H74" s="19"/>
      <c r="I74" s="93"/>
      <c r="J74" s="214"/>
      <c r="K74" s="20"/>
      <c r="L74" s="19"/>
      <c r="M74" s="93"/>
      <c r="N74" s="93"/>
      <c r="O74" s="20"/>
      <c r="P74" s="19"/>
      <c r="Q74" s="93"/>
      <c r="R74" s="93"/>
      <c r="S74" s="93"/>
      <c r="T74" s="93"/>
      <c r="U74" s="93"/>
      <c r="V74" s="93"/>
      <c r="W74" s="93"/>
      <c r="X74" s="93"/>
      <c r="Y74" s="93"/>
      <c r="Z74" s="93"/>
      <c r="AA74" s="93"/>
      <c r="AB74" s="20"/>
      <c r="AC74" s="19"/>
      <c r="AD74" s="93"/>
      <c r="AE74" s="93"/>
      <c r="AF74" s="93"/>
      <c r="AG74" s="93"/>
      <c r="AH74" s="93"/>
      <c r="AI74" s="93"/>
      <c r="AJ74" s="93"/>
      <c r="AK74" s="93"/>
      <c r="AL74" s="93"/>
      <c r="AM74" s="93"/>
      <c r="AN74" s="93"/>
      <c r="AO74" s="20"/>
      <c r="AP74" s="19"/>
      <c r="AQ74" s="93"/>
      <c r="AR74" s="93"/>
      <c r="AS74" s="93"/>
      <c r="AT74" s="93"/>
      <c r="AU74" s="93"/>
      <c r="AV74" s="93"/>
      <c r="AW74" s="93"/>
      <c r="AX74" s="93"/>
      <c r="AY74" s="20"/>
      <c r="AZ74" s="29"/>
      <c r="BA74" s="93"/>
      <c r="BB74" s="93"/>
      <c r="BC74" s="93"/>
      <c r="BD74" s="93"/>
      <c r="BE74" s="20"/>
      <c r="BF74" s="29"/>
    </row>
    <row r="75" spans="1:58">
      <c r="A75" s="29" t="str">
        <f t="shared" si="18"/>
        <v/>
      </c>
      <c r="B75" s="19"/>
      <c r="C75" s="93"/>
      <c r="D75" s="93"/>
      <c r="E75" s="93"/>
      <c r="F75" s="93"/>
      <c r="G75" s="20"/>
      <c r="H75" s="19"/>
      <c r="I75" s="93"/>
      <c r="J75" s="214"/>
      <c r="K75" s="20"/>
      <c r="L75" s="19"/>
      <c r="M75" s="93"/>
      <c r="N75" s="93"/>
      <c r="O75" s="20"/>
      <c r="P75" s="19"/>
      <c r="Q75" s="93"/>
      <c r="R75" s="93"/>
      <c r="S75" s="93"/>
      <c r="T75" s="93"/>
      <c r="U75" s="93"/>
      <c r="V75" s="93"/>
      <c r="W75" s="93"/>
      <c r="X75" s="93"/>
      <c r="Y75" s="93"/>
      <c r="Z75" s="93"/>
      <c r="AA75" s="93"/>
      <c r="AB75" s="20"/>
      <c r="AC75" s="19"/>
      <c r="AD75" s="93"/>
      <c r="AE75" s="93"/>
      <c r="AF75" s="93"/>
      <c r="AG75" s="93"/>
      <c r="AH75" s="93"/>
      <c r="AI75" s="93"/>
      <c r="AJ75" s="93"/>
      <c r="AK75" s="93"/>
      <c r="AL75" s="93"/>
      <c r="AM75" s="93"/>
      <c r="AN75" s="93"/>
      <c r="AO75" s="20"/>
      <c r="AP75" s="19"/>
      <c r="AQ75" s="93"/>
      <c r="AR75" s="93"/>
      <c r="AS75" s="93"/>
      <c r="AT75" s="93"/>
      <c r="AU75" s="93"/>
      <c r="AV75" s="93"/>
      <c r="AW75" s="93"/>
      <c r="AX75" s="93"/>
      <c r="AY75" s="20"/>
      <c r="AZ75" s="29"/>
      <c r="BA75" s="93"/>
      <c r="BB75" s="93"/>
      <c r="BC75" s="93"/>
      <c r="BD75" s="93"/>
      <c r="BE75" s="20"/>
      <c r="BF75" s="29"/>
    </row>
    <row r="76" spans="1:58">
      <c r="A76" s="29" t="str">
        <f t="shared" si="18"/>
        <v/>
      </c>
      <c r="B76" s="19"/>
      <c r="C76" s="93"/>
      <c r="D76" s="93"/>
      <c r="E76" s="93"/>
      <c r="F76" s="93"/>
      <c r="G76" s="20"/>
      <c r="H76" s="19"/>
      <c r="I76" s="93"/>
      <c r="J76" s="214"/>
      <c r="K76" s="20"/>
      <c r="L76" s="19"/>
      <c r="M76" s="93"/>
      <c r="N76" s="93"/>
      <c r="O76" s="20"/>
      <c r="P76" s="19"/>
      <c r="Q76" s="93"/>
      <c r="R76" s="93"/>
      <c r="S76" s="93"/>
      <c r="T76" s="93"/>
      <c r="U76" s="93"/>
      <c r="V76" s="93"/>
      <c r="W76" s="93"/>
      <c r="X76" s="93"/>
      <c r="Y76" s="93"/>
      <c r="Z76" s="93"/>
      <c r="AA76" s="93"/>
      <c r="AB76" s="20"/>
      <c r="AC76" s="19"/>
      <c r="AD76" s="93"/>
      <c r="AE76" s="93"/>
      <c r="AF76" s="93"/>
      <c r="AG76" s="93"/>
      <c r="AH76" s="93"/>
      <c r="AI76" s="93"/>
      <c r="AJ76" s="93"/>
      <c r="AK76" s="93"/>
      <c r="AL76" s="93"/>
      <c r="AM76" s="93"/>
      <c r="AN76" s="93"/>
      <c r="AO76" s="20"/>
      <c r="AP76" s="19"/>
      <c r="AQ76" s="93"/>
      <c r="AR76" s="93"/>
      <c r="AS76" s="93"/>
      <c r="AT76" s="93"/>
      <c r="AU76" s="93"/>
      <c r="AV76" s="93"/>
      <c r="AW76" s="93"/>
      <c r="AX76" s="93"/>
      <c r="AY76" s="20"/>
      <c r="AZ76" s="29"/>
      <c r="BA76" s="93"/>
      <c r="BB76" s="93"/>
      <c r="BC76" s="93"/>
      <c r="BD76" s="93"/>
      <c r="BE76" s="20"/>
      <c r="BF76" s="29"/>
    </row>
    <row r="77" spans="1:58">
      <c r="A77" s="29" t="str">
        <f t="shared" si="18"/>
        <v/>
      </c>
      <c r="B77" s="19"/>
      <c r="C77" s="93"/>
      <c r="D77" s="93"/>
      <c r="E77" s="93"/>
      <c r="F77" s="93"/>
      <c r="G77" s="20"/>
      <c r="H77" s="19"/>
      <c r="I77" s="93"/>
      <c r="J77" s="214"/>
      <c r="K77" s="20"/>
      <c r="L77" s="19"/>
      <c r="M77" s="93"/>
      <c r="N77" s="93"/>
      <c r="O77" s="20"/>
      <c r="P77" s="19"/>
      <c r="Q77" s="93"/>
      <c r="R77" s="93"/>
      <c r="S77" s="93"/>
      <c r="T77" s="93"/>
      <c r="U77" s="93"/>
      <c r="V77" s="93"/>
      <c r="W77" s="93"/>
      <c r="X77" s="93"/>
      <c r="Y77" s="93"/>
      <c r="Z77" s="93"/>
      <c r="AA77" s="93"/>
      <c r="AB77" s="20"/>
      <c r="AC77" s="19"/>
      <c r="AD77" s="93"/>
      <c r="AE77" s="93"/>
      <c r="AF77" s="93"/>
      <c r="AG77" s="93"/>
      <c r="AH77" s="93"/>
      <c r="AI77" s="93"/>
      <c r="AJ77" s="93"/>
      <c r="AK77" s="93"/>
      <c r="AL77" s="93"/>
      <c r="AM77" s="93"/>
      <c r="AN77" s="93"/>
      <c r="AO77" s="20"/>
      <c r="AP77" s="19"/>
      <c r="AQ77" s="93"/>
      <c r="AR77" s="93"/>
      <c r="AS77" s="93"/>
      <c r="AT77" s="93"/>
      <c r="AU77" s="93"/>
      <c r="AV77" s="93"/>
      <c r="AW77" s="93"/>
      <c r="AX77" s="93"/>
      <c r="AY77" s="20"/>
      <c r="AZ77" s="29"/>
      <c r="BA77" s="93"/>
      <c r="BB77" s="93"/>
      <c r="BC77" s="93"/>
      <c r="BD77" s="93"/>
      <c r="BE77" s="20"/>
      <c r="BF77" s="29"/>
    </row>
    <row r="78" spans="1:58">
      <c r="A78" s="29" t="str">
        <f t="shared" si="18"/>
        <v/>
      </c>
      <c r="B78" s="19"/>
      <c r="C78" s="93"/>
      <c r="D78" s="93"/>
      <c r="E78" s="93"/>
      <c r="F78" s="93"/>
      <c r="G78" s="20"/>
      <c r="H78" s="19"/>
      <c r="I78" s="93"/>
      <c r="J78" s="214"/>
      <c r="K78" s="20"/>
      <c r="L78" s="19"/>
      <c r="M78" s="93"/>
      <c r="N78" s="93"/>
      <c r="O78" s="20"/>
      <c r="P78" s="19"/>
      <c r="Q78" s="93"/>
      <c r="R78" s="93"/>
      <c r="S78" s="93"/>
      <c r="T78" s="93"/>
      <c r="U78" s="93"/>
      <c r="V78" s="93"/>
      <c r="W78" s="93"/>
      <c r="X78" s="93"/>
      <c r="Y78" s="93"/>
      <c r="Z78" s="93"/>
      <c r="AA78" s="93"/>
      <c r="AB78" s="20"/>
      <c r="AC78" s="19"/>
      <c r="AD78" s="93"/>
      <c r="AE78" s="93"/>
      <c r="AF78" s="93"/>
      <c r="AG78" s="93"/>
      <c r="AH78" s="93"/>
      <c r="AI78" s="93"/>
      <c r="AJ78" s="93"/>
      <c r="AK78" s="93"/>
      <c r="AL78" s="93"/>
      <c r="AM78" s="93"/>
      <c r="AN78" s="93"/>
      <c r="AO78" s="20"/>
      <c r="AP78" s="19"/>
      <c r="AQ78" s="93"/>
      <c r="AR78" s="93"/>
      <c r="AS78" s="93"/>
      <c r="AT78" s="93"/>
      <c r="AU78" s="93"/>
      <c r="AV78" s="93"/>
      <c r="AW78" s="93"/>
      <c r="AX78" s="93"/>
      <c r="AY78" s="20"/>
      <c r="AZ78" s="29"/>
      <c r="BA78" s="93"/>
      <c r="BB78" s="93"/>
      <c r="BC78" s="93"/>
      <c r="BD78" s="93"/>
      <c r="BE78" s="20"/>
      <c r="BF78" s="29"/>
    </row>
    <row r="79" spans="1:58">
      <c r="A79" s="29" t="str">
        <f t="shared" si="18"/>
        <v/>
      </c>
      <c r="B79" s="19"/>
      <c r="C79" s="93"/>
      <c r="D79" s="93"/>
      <c r="E79" s="93"/>
      <c r="F79" s="93"/>
      <c r="G79" s="20"/>
      <c r="H79" s="19"/>
      <c r="I79" s="93"/>
      <c r="J79" s="214"/>
      <c r="K79" s="20"/>
      <c r="L79" s="19"/>
      <c r="M79" s="93"/>
      <c r="N79" s="93"/>
      <c r="O79" s="20"/>
      <c r="P79" s="19"/>
      <c r="Q79" s="93"/>
      <c r="R79" s="93"/>
      <c r="S79" s="93"/>
      <c r="T79" s="93"/>
      <c r="U79" s="93"/>
      <c r="V79" s="93"/>
      <c r="W79" s="93"/>
      <c r="X79" s="93"/>
      <c r="Y79" s="93"/>
      <c r="Z79" s="93"/>
      <c r="AA79" s="93"/>
      <c r="AB79" s="20"/>
      <c r="AC79" s="19"/>
      <c r="AD79" s="93"/>
      <c r="AE79" s="93"/>
      <c r="AF79" s="93"/>
      <c r="AG79" s="93"/>
      <c r="AH79" s="93"/>
      <c r="AI79" s="93"/>
      <c r="AJ79" s="93"/>
      <c r="AK79" s="93"/>
      <c r="AL79" s="93"/>
      <c r="AM79" s="93"/>
      <c r="AN79" s="93"/>
      <c r="AO79" s="20"/>
      <c r="AP79" s="19"/>
      <c r="AQ79" s="93"/>
      <c r="AR79" s="93"/>
      <c r="AS79" s="93"/>
      <c r="AT79" s="93"/>
      <c r="AU79" s="93"/>
      <c r="AV79" s="93"/>
      <c r="AW79" s="93"/>
      <c r="AX79" s="93"/>
      <c r="AY79" s="20"/>
      <c r="AZ79" s="29"/>
      <c r="BA79" s="93"/>
      <c r="BB79" s="93"/>
      <c r="BC79" s="93"/>
      <c r="BD79" s="93"/>
      <c r="BE79" s="20"/>
      <c r="BF79" s="29"/>
    </row>
    <row r="80" spans="1:58">
      <c r="A80" s="29" t="str">
        <f t="shared" si="18"/>
        <v/>
      </c>
      <c r="B80" s="19"/>
      <c r="C80" s="93"/>
      <c r="D80" s="93"/>
      <c r="E80" s="93"/>
      <c r="F80" s="93"/>
      <c r="G80" s="20"/>
      <c r="H80" s="19"/>
      <c r="I80" s="93"/>
      <c r="J80" s="214"/>
      <c r="K80" s="20"/>
      <c r="L80" s="19"/>
      <c r="M80" s="93"/>
      <c r="N80" s="93"/>
      <c r="O80" s="20"/>
      <c r="P80" s="19"/>
      <c r="Q80" s="93"/>
      <c r="R80" s="93"/>
      <c r="S80" s="93"/>
      <c r="T80" s="93"/>
      <c r="U80" s="93"/>
      <c r="V80" s="93"/>
      <c r="W80" s="93"/>
      <c r="X80" s="93"/>
      <c r="Y80" s="93"/>
      <c r="Z80" s="93"/>
      <c r="AA80" s="93"/>
      <c r="AB80" s="20"/>
      <c r="AC80" s="19"/>
      <c r="AD80" s="93"/>
      <c r="AE80" s="93"/>
      <c r="AF80" s="93"/>
      <c r="AG80" s="93"/>
      <c r="AH80" s="93"/>
      <c r="AI80" s="93"/>
      <c r="AJ80" s="93"/>
      <c r="AK80" s="93"/>
      <c r="AL80" s="93"/>
      <c r="AM80" s="93"/>
      <c r="AN80" s="93"/>
      <c r="AO80" s="20"/>
      <c r="AP80" s="19"/>
      <c r="AQ80" s="93"/>
      <c r="AR80" s="93"/>
      <c r="AS80" s="93"/>
      <c r="AT80" s="93"/>
      <c r="AU80" s="93"/>
      <c r="AV80" s="93"/>
      <c r="AW80" s="93"/>
      <c r="AX80" s="93"/>
      <c r="AY80" s="20"/>
      <c r="AZ80" s="29"/>
      <c r="BA80" s="93"/>
      <c r="BB80" s="93"/>
      <c r="BC80" s="93"/>
      <c r="BD80" s="93"/>
      <c r="BE80" s="20"/>
      <c r="BF80" s="29"/>
    </row>
    <row r="81" spans="1:58">
      <c r="A81" s="29" t="str">
        <f t="shared" si="18"/>
        <v/>
      </c>
      <c r="B81" s="19"/>
      <c r="C81" s="93"/>
      <c r="D81" s="93"/>
      <c r="E81" s="93"/>
      <c r="F81" s="93"/>
      <c r="G81" s="20"/>
      <c r="H81" s="19"/>
      <c r="I81" s="93"/>
      <c r="J81" s="214"/>
      <c r="K81" s="20"/>
      <c r="L81" s="19"/>
      <c r="M81" s="93"/>
      <c r="N81" s="93"/>
      <c r="O81" s="20"/>
      <c r="P81" s="19"/>
      <c r="Q81" s="93"/>
      <c r="R81" s="93"/>
      <c r="S81" s="93"/>
      <c r="T81" s="93"/>
      <c r="U81" s="93"/>
      <c r="V81" s="93"/>
      <c r="W81" s="93"/>
      <c r="X81" s="93"/>
      <c r="Y81" s="93"/>
      <c r="Z81" s="93"/>
      <c r="AA81" s="93"/>
      <c r="AB81" s="20"/>
      <c r="AC81" s="19"/>
      <c r="AD81" s="93"/>
      <c r="AE81" s="93"/>
      <c r="AF81" s="93"/>
      <c r="AG81" s="93"/>
      <c r="AH81" s="93"/>
      <c r="AI81" s="93"/>
      <c r="AJ81" s="93"/>
      <c r="AK81" s="93"/>
      <c r="AL81" s="93"/>
      <c r="AM81" s="93"/>
      <c r="AN81" s="93"/>
      <c r="AO81" s="20"/>
      <c r="AP81" s="19"/>
      <c r="AQ81" s="93"/>
      <c r="AR81" s="93"/>
      <c r="AS81" s="93"/>
      <c r="AT81" s="93"/>
      <c r="AU81" s="93"/>
      <c r="AV81" s="93"/>
      <c r="AW81" s="93"/>
      <c r="AX81" s="93"/>
      <c r="AY81" s="20"/>
      <c r="AZ81" s="29"/>
      <c r="BA81" s="93"/>
      <c r="BB81" s="93"/>
      <c r="BC81" s="93"/>
      <c r="BD81" s="93"/>
      <c r="BE81" s="20"/>
      <c r="BF81" s="29"/>
    </row>
    <row r="82" spans="1:58">
      <c r="A82" s="29" t="str">
        <f t="shared" si="18"/>
        <v/>
      </c>
      <c r="B82" s="19"/>
      <c r="C82" s="93"/>
      <c r="D82" s="93"/>
      <c r="E82" s="93"/>
      <c r="F82" s="93"/>
      <c r="G82" s="20"/>
      <c r="H82" s="19"/>
      <c r="I82" s="93"/>
      <c r="J82" s="214"/>
      <c r="K82" s="20"/>
      <c r="L82" s="19"/>
      <c r="M82" s="93"/>
      <c r="N82" s="93"/>
      <c r="O82" s="20"/>
      <c r="P82" s="19"/>
      <c r="Q82" s="93"/>
      <c r="R82" s="93"/>
      <c r="S82" s="93"/>
      <c r="T82" s="93"/>
      <c r="U82" s="93"/>
      <c r="V82" s="93"/>
      <c r="W82" s="93"/>
      <c r="X82" s="93"/>
      <c r="Y82" s="93"/>
      <c r="Z82" s="93"/>
      <c r="AA82" s="93"/>
      <c r="AB82" s="20"/>
      <c r="AC82" s="19"/>
      <c r="AD82" s="93"/>
      <c r="AE82" s="93"/>
      <c r="AF82" s="93"/>
      <c r="AG82" s="93"/>
      <c r="AH82" s="93"/>
      <c r="AI82" s="93"/>
      <c r="AJ82" s="93"/>
      <c r="AK82" s="93"/>
      <c r="AL82" s="93"/>
      <c r="AM82" s="93"/>
      <c r="AN82" s="93"/>
      <c r="AO82" s="20"/>
      <c r="AP82" s="19"/>
      <c r="AQ82" s="93"/>
      <c r="AR82" s="93"/>
      <c r="AS82" s="93"/>
      <c r="AT82" s="93"/>
      <c r="AU82" s="93"/>
      <c r="AV82" s="93"/>
      <c r="AW82" s="93"/>
      <c r="AX82" s="93"/>
      <c r="AY82" s="20"/>
      <c r="AZ82" s="29"/>
      <c r="BA82" s="93"/>
      <c r="BB82" s="93"/>
      <c r="BC82" s="93"/>
      <c r="BD82" s="93"/>
      <c r="BE82" s="20"/>
      <c r="BF82" s="29"/>
    </row>
    <row r="83" spans="1:58">
      <c r="A83" s="29" t="str">
        <f t="shared" si="18"/>
        <v/>
      </c>
      <c r="B83" s="19"/>
      <c r="C83" s="93"/>
      <c r="D83" s="93"/>
      <c r="E83" s="93"/>
      <c r="F83" s="93"/>
      <c r="G83" s="20"/>
      <c r="H83" s="19"/>
      <c r="I83" s="93"/>
      <c r="J83" s="214"/>
      <c r="K83" s="20"/>
      <c r="L83" s="19"/>
      <c r="M83" s="93"/>
      <c r="N83" s="93"/>
      <c r="O83" s="20"/>
      <c r="P83" s="19"/>
      <c r="Q83" s="93"/>
      <c r="R83" s="93"/>
      <c r="S83" s="93"/>
      <c r="T83" s="93"/>
      <c r="U83" s="93"/>
      <c r="V83" s="93"/>
      <c r="W83" s="93"/>
      <c r="X83" s="93"/>
      <c r="Y83" s="93"/>
      <c r="Z83" s="93"/>
      <c r="AA83" s="93"/>
      <c r="AB83" s="20"/>
      <c r="AC83" s="19"/>
      <c r="AD83" s="93"/>
      <c r="AE83" s="93"/>
      <c r="AF83" s="93"/>
      <c r="AG83" s="93"/>
      <c r="AH83" s="93"/>
      <c r="AI83" s="93"/>
      <c r="AJ83" s="93"/>
      <c r="AK83" s="93"/>
      <c r="AL83" s="93"/>
      <c r="AM83" s="93"/>
      <c r="AN83" s="93"/>
      <c r="AO83" s="20"/>
      <c r="AP83" s="19"/>
      <c r="AQ83" s="93"/>
      <c r="AR83" s="93"/>
      <c r="AS83" s="93"/>
      <c r="AT83" s="93"/>
      <c r="AU83" s="93"/>
      <c r="AV83" s="93"/>
      <c r="AW83" s="93"/>
      <c r="AX83" s="93"/>
      <c r="AY83" s="20"/>
      <c r="AZ83" s="29"/>
      <c r="BA83" s="93"/>
      <c r="BB83" s="93"/>
      <c r="BC83" s="93"/>
      <c r="BD83" s="93"/>
      <c r="BE83" s="20"/>
      <c r="BF83" s="29"/>
    </row>
    <row r="84" spans="1:58">
      <c r="A84" s="29" t="str">
        <f t="shared" si="18"/>
        <v/>
      </c>
      <c r="B84" s="19"/>
      <c r="C84" s="93"/>
      <c r="D84" s="93"/>
      <c r="E84" s="93"/>
      <c r="F84" s="93"/>
      <c r="G84" s="20"/>
      <c r="H84" s="19"/>
      <c r="I84" s="93"/>
      <c r="J84" s="214"/>
      <c r="K84" s="20"/>
      <c r="L84" s="19"/>
      <c r="M84" s="93"/>
      <c r="N84" s="93"/>
      <c r="O84" s="20"/>
      <c r="P84" s="19"/>
      <c r="Q84" s="93"/>
      <c r="R84" s="93"/>
      <c r="S84" s="93"/>
      <c r="T84" s="93"/>
      <c r="U84" s="93"/>
      <c r="V84" s="93"/>
      <c r="W84" s="93"/>
      <c r="X84" s="93"/>
      <c r="Y84" s="93"/>
      <c r="Z84" s="93"/>
      <c r="AA84" s="93"/>
      <c r="AB84" s="20"/>
      <c r="AC84" s="19"/>
      <c r="AD84" s="93"/>
      <c r="AE84" s="93"/>
      <c r="AF84" s="93"/>
      <c r="AG84" s="93"/>
      <c r="AH84" s="93"/>
      <c r="AI84" s="93"/>
      <c r="AJ84" s="93"/>
      <c r="AK84" s="93"/>
      <c r="AL84" s="93"/>
      <c r="AM84" s="93"/>
      <c r="AN84" s="93"/>
      <c r="AO84" s="20"/>
      <c r="AP84" s="19"/>
      <c r="AQ84" s="93"/>
      <c r="AR84" s="93"/>
      <c r="AS84" s="93"/>
      <c r="AT84" s="93"/>
      <c r="AU84" s="93"/>
      <c r="AV84" s="93"/>
      <c r="AW84" s="93"/>
      <c r="AX84" s="93"/>
      <c r="AY84" s="20"/>
      <c r="AZ84" s="29"/>
      <c r="BA84" s="93"/>
      <c r="BB84" s="93"/>
      <c r="BC84" s="93"/>
      <c r="BD84" s="93"/>
      <c r="BE84" s="20"/>
      <c r="BF84" s="29"/>
    </row>
    <row r="85" spans="1:58">
      <c r="A85" s="29" t="str">
        <f t="shared" si="18"/>
        <v/>
      </c>
      <c r="B85" s="19"/>
      <c r="C85" s="93"/>
      <c r="D85" s="93"/>
      <c r="E85" s="93"/>
      <c r="F85" s="93"/>
      <c r="G85" s="20"/>
      <c r="H85" s="19"/>
      <c r="I85" s="93"/>
      <c r="J85" s="214"/>
      <c r="K85" s="20"/>
      <c r="L85" s="19"/>
      <c r="M85" s="93"/>
      <c r="N85" s="93"/>
      <c r="O85" s="20"/>
      <c r="P85" s="19"/>
      <c r="Q85" s="93"/>
      <c r="R85" s="93"/>
      <c r="S85" s="93"/>
      <c r="T85" s="93"/>
      <c r="U85" s="93"/>
      <c r="V85" s="93"/>
      <c r="W85" s="93"/>
      <c r="X85" s="93"/>
      <c r="Y85" s="93"/>
      <c r="Z85" s="93"/>
      <c r="AA85" s="93"/>
      <c r="AB85" s="20"/>
      <c r="AC85" s="19"/>
      <c r="AD85" s="93"/>
      <c r="AE85" s="93"/>
      <c r="AF85" s="93"/>
      <c r="AG85" s="93"/>
      <c r="AH85" s="93"/>
      <c r="AI85" s="93"/>
      <c r="AJ85" s="93"/>
      <c r="AK85" s="93"/>
      <c r="AL85" s="93"/>
      <c r="AM85" s="93"/>
      <c r="AN85" s="93"/>
      <c r="AO85" s="20"/>
      <c r="AP85" s="19"/>
      <c r="AQ85" s="93"/>
      <c r="AR85" s="93"/>
      <c r="AS85" s="93"/>
      <c r="AT85" s="93"/>
      <c r="AU85" s="93"/>
      <c r="AV85" s="93"/>
      <c r="AW85" s="93"/>
      <c r="AX85" s="93"/>
      <c r="AY85" s="20"/>
      <c r="AZ85" s="29"/>
      <c r="BA85" s="93"/>
      <c r="BB85" s="93"/>
      <c r="BC85" s="93"/>
      <c r="BD85" s="93"/>
      <c r="BE85" s="20"/>
      <c r="BF85" s="29"/>
    </row>
    <row r="86" spans="1:58">
      <c r="A86" s="29" t="str">
        <f t="shared" si="18"/>
        <v/>
      </c>
      <c r="B86" s="19"/>
      <c r="C86" s="93"/>
      <c r="D86" s="93"/>
      <c r="E86" s="93"/>
      <c r="F86" s="93"/>
      <c r="G86" s="20"/>
      <c r="H86" s="19"/>
      <c r="I86" s="93"/>
      <c r="J86" s="214"/>
      <c r="K86" s="20"/>
      <c r="L86" s="19"/>
      <c r="M86" s="93"/>
      <c r="N86" s="93"/>
      <c r="O86" s="20"/>
      <c r="P86" s="19"/>
      <c r="Q86" s="93"/>
      <c r="R86" s="93"/>
      <c r="S86" s="93"/>
      <c r="T86" s="93"/>
      <c r="U86" s="93"/>
      <c r="V86" s="93"/>
      <c r="W86" s="93"/>
      <c r="X86" s="93"/>
      <c r="Y86" s="93"/>
      <c r="Z86" s="93"/>
      <c r="AA86" s="93"/>
      <c r="AB86" s="20"/>
      <c r="AC86" s="19"/>
      <c r="AD86" s="93"/>
      <c r="AE86" s="93"/>
      <c r="AF86" s="93"/>
      <c r="AG86" s="93"/>
      <c r="AH86" s="93"/>
      <c r="AI86" s="93"/>
      <c r="AJ86" s="93"/>
      <c r="AK86" s="93"/>
      <c r="AL86" s="93"/>
      <c r="AM86" s="93"/>
      <c r="AN86" s="93"/>
      <c r="AO86" s="20"/>
      <c r="AP86" s="19"/>
      <c r="AQ86" s="93"/>
      <c r="AR86" s="93"/>
      <c r="AS86" s="93"/>
      <c r="AT86" s="93"/>
      <c r="AU86" s="93"/>
      <c r="AV86" s="93"/>
      <c r="AW86" s="93"/>
      <c r="AX86" s="93"/>
      <c r="AY86" s="20"/>
      <c r="AZ86" s="29"/>
      <c r="BA86" s="93"/>
      <c r="BB86" s="93"/>
      <c r="BC86" s="93"/>
      <c r="BD86" s="93"/>
      <c r="BE86" s="20"/>
      <c r="BF86" s="29"/>
    </row>
    <row r="87" spans="1:58">
      <c r="A87" s="29" t="str">
        <f t="shared" si="18"/>
        <v/>
      </c>
      <c r="B87" s="19"/>
      <c r="C87" s="93"/>
      <c r="D87" s="93"/>
      <c r="E87" s="93"/>
      <c r="F87" s="93"/>
      <c r="G87" s="20"/>
      <c r="H87" s="19"/>
      <c r="I87" s="93"/>
      <c r="J87" s="214"/>
      <c r="K87" s="20"/>
      <c r="L87" s="19"/>
      <c r="M87" s="93"/>
      <c r="N87" s="93"/>
      <c r="O87" s="20"/>
      <c r="P87" s="19"/>
      <c r="Q87" s="93"/>
      <c r="R87" s="93"/>
      <c r="S87" s="93"/>
      <c r="T87" s="93"/>
      <c r="U87" s="93"/>
      <c r="V87" s="93"/>
      <c r="W87" s="93"/>
      <c r="X87" s="93"/>
      <c r="Y87" s="93"/>
      <c r="Z87" s="93"/>
      <c r="AA87" s="93"/>
      <c r="AB87" s="20"/>
      <c r="AC87" s="19"/>
      <c r="AD87" s="93"/>
      <c r="AE87" s="93"/>
      <c r="AF87" s="93"/>
      <c r="AG87" s="93"/>
      <c r="AH87" s="93"/>
      <c r="AI87" s="93"/>
      <c r="AJ87" s="93"/>
      <c r="AK87" s="93"/>
      <c r="AL87" s="93"/>
      <c r="AM87" s="93"/>
      <c r="AN87" s="93"/>
      <c r="AO87" s="20"/>
      <c r="AP87" s="19"/>
      <c r="AQ87" s="93"/>
      <c r="AR87" s="93"/>
      <c r="AS87" s="93"/>
      <c r="AT87" s="93"/>
      <c r="AU87" s="93"/>
      <c r="AV87" s="93"/>
      <c r="AW87" s="93"/>
      <c r="AX87" s="93"/>
      <c r="AY87" s="20"/>
      <c r="AZ87" s="29"/>
      <c r="BA87" s="93"/>
      <c r="BB87" s="93"/>
      <c r="BC87" s="93"/>
      <c r="BD87" s="93"/>
      <c r="BE87" s="20"/>
      <c r="BF87" s="29"/>
    </row>
    <row r="88" spans="1:58">
      <c r="A88" s="29" t="str">
        <f t="shared" si="18"/>
        <v/>
      </c>
      <c r="B88" s="19"/>
      <c r="C88" s="93"/>
      <c r="D88" s="93"/>
      <c r="E88" s="93"/>
      <c r="F88" s="93"/>
      <c r="G88" s="20"/>
      <c r="H88" s="19"/>
      <c r="I88" s="93"/>
      <c r="J88" s="214"/>
      <c r="K88" s="20"/>
      <c r="L88" s="19"/>
      <c r="M88" s="93"/>
      <c r="N88" s="93"/>
      <c r="O88" s="20"/>
      <c r="P88" s="19"/>
      <c r="Q88" s="93"/>
      <c r="R88" s="93"/>
      <c r="S88" s="93"/>
      <c r="T88" s="93"/>
      <c r="U88" s="93"/>
      <c r="V88" s="93"/>
      <c r="W88" s="93"/>
      <c r="X88" s="93"/>
      <c r="Y88" s="93"/>
      <c r="Z88" s="93"/>
      <c r="AA88" s="93"/>
      <c r="AB88" s="20"/>
      <c r="AC88" s="19"/>
      <c r="AD88" s="93"/>
      <c r="AE88" s="93"/>
      <c r="AF88" s="93"/>
      <c r="AG88" s="93"/>
      <c r="AH88" s="93"/>
      <c r="AI88" s="93"/>
      <c r="AJ88" s="93"/>
      <c r="AK88" s="93"/>
      <c r="AL88" s="93"/>
      <c r="AM88" s="93"/>
      <c r="AN88" s="93"/>
      <c r="AO88" s="20"/>
      <c r="AP88" s="19"/>
      <c r="AQ88" s="93"/>
      <c r="AR88" s="93"/>
      <c r="AS88" s="93"/>
      <c r="AT88" s="93"/>
      <c r="AU88" s="93"/>
      <c r="AV88" s="93"/>
      <c r="AW88" s="93"/>
      <c r="AX88" s="93"/>
      <c r="AY88" s="20"/>
      <c r="AZ88" s="29"/>
      <c r="BA88" s="93"/>
      <c r="BB88" s="93"/>
      <c r="BC88" s="93"/>
      <c r="BD88" s="93"/>
      <c r="BE88" s="20"/>
      <c r="BF88" s="29"/>
    </row>
    <row r="89" spans="1:58">
      <c r="A89" s="29" t="str">
        <f t="shared" si="18"/>
        <v/>
      </c>
      <c r="B89" s="19"/>
      <c r="C89" s="93"/>
      <c r="D89" s="93"/>
      <c r="E89" s="93"/>
      <c r="F89" s="93"/>
      <c r="G89" s="20"/>
      <c r="H89" s="19"/>
      <c r="I89" s="93"/>
      <c r="J89" s="214"/>
      <c r="K89" s="20"/>
      <c r="L89" s="19"/>
      <c r="M89" s="93"/>
      <c r="N89" s="93"/>
      <c r="O89" s="20"/>
      <c r="P89" s="19"/>
      <c r="Q89" s="93"/>
      <c r="R89" s="93"/>
      <c r="S89" s="93"/>
      <c r="T89" s="93"/>
      <c r="U89" s="93"/>
      <c r="V89" s="93"/>
      <c r="W89" s="93"/>
      <c r="X89" s="93"/>
      <c r="Y89" s="93"/>
      <c r="Z89" s="93"/>
      <c r="AA89" s="93"/>
      <c r="AB89" s="20"/>
      <c r="AC89" s="19"/>
      <c r="AD89" s="93"/>
      <c r="AE89" s="93"/>
      <c r="AF89" s="93"/>
      <c r="AG89" s="93"/>
      <c r="AH89" s="93"/>
      <c r="AI89" s="93"/>
      <c r="AJ89" s="93"/>
      <c r="AK89" s="93"/>
      <c r="AL89" s="93"/>
      <c r="AM89" s="93"/>
      <c r="AN89" s="93"/>
      <c r="AO89" s="20"/>
      <c r="AP89" s="19"/>
      <c r="AQ89" s="93"/>
      <c r="AR89" s="93"/>
      <c r="AS89" s="93"/>
      <c r="AT89" s="93"/>
      <c r="AU89" s="93"/>
      <c r="AV89" s="93"/>
      <c r="AW89" s="93"/>
      <c r="AX89" s="93"/>
      <c r="AY89" s="20"/>
      <c r="AZ89" s="29"/>
      <c r="BA89" s="93"/>
      <c r="BB89" s="93"/>
      <c r="BC89" s="93"/>
      <c r="BD89" s="93"/>
      <c r="BE89" s="20"/>
      <c r="BF89" s="29"/>
    </row>
    <row r="90" spans="1:58">
      <c r="A90" s="29" t="str">
        <f t="shared" si="18"/>
        <v/>
      </c>
      <c r="B90" s="19"/>
      <c r="C90" s="93"/>
      <c r="D90" s="93"/>
      <c r="E90" s="93"/>
      <c r="F90" s="93"/>
      <c r="G90" s="20"/>
      <c r="H90" s="19"/>
      <c r="I90" s="93"/>
      <c r="J90" s="214"/>
      <c r="K90" s="20"/>
      <c r="L90" s="19"/>
      <c r="M90" s="93"/>
      <c r="N90" s="93"/>
      <c r="O90" s="20"/>
      <c r="P90" s="19"/>
      <c r="Q90" s="93"/>
      <c r="R90" s="93"/>
      <c r="S90" s="93"/>
      <c r="T90" s="93"/>
      <c r="U90" s="93"/>
      <c r="V90" s="93"/>
      <c r="W90" s="93"/>
      <c r="X90" s="93"/>
      <c r="Y90" s="93"/>
      <c r="Z90" s="93"/>
      <c r="AA90" s="93"/>
      <c r="AB90" s="20"/>
      <c r="AC90" s="19"/>
      <c r="AD90" s="93"/>
      <c r="AE90" s="93"/>
      <c r="AF90" s="93"/>
      <c r="AG90" s="93"/>
      <c r="AH90" s="93"/>
      <c r="AI90" s="93"/>
      <c r="AJ90" s="93"/>
      <c r="AK90" s="93"/>
      <c r="AL90" s="93"/>
      <c r="AM90" s="93"/>
      <c r="AN90" s="93"/>
      <c r="AO90" s="20"/>
      <c r="AP90" s="19"/>
      <c r="AQ90" s="93"/>
      <c r="AR90" s="93"/>
      <c r="AS90" s="93"/>
      <c r="AT90" s="93"/>
      <c r="AU90" s="93"/>
      <c r="AV90" s="93"/>
      <c r="AW90" s="93"/>
      <c r="AX90" s="93"/>
      <c r="AY90" s="20"/>
      <c r="AZ90" s="29"/>
      <c r="BA90" s="93"/>
      <c r="BB90" s="93"/>
      <c r="BC90" s="93"/>
      <c r="BD90" s="93"/>
      <c r="BE90" s="20"/>
      <c r="BF90" s="29"/>
    </row>
    <row r="91" spans="1:58">
      <c r="A91" s="29" t="str">
        <f t="shared" si="18"/>
        <v/>
      </c>
      <c r="B91" s="19"/>
      <c r="C91" s="93"/>
      <c r="D91" s="93"/>
      <c r="E91" s="93"/>
      <c r="F91" s="93"/>
      <c r="G91" s="20"/>
      <c r="H91" s="19"/>
      <c r="I91" s="93"/>
      <c r="J91" s="214"/>
      <c r="K91" s="20"/>
      <c r="L91" s="19"/>
      <c r="M91" s="93"/>
      <c r="N91" s="93"/>
      <c r="O91" s="20"/>
      <c r="P91" s="19"/>
      <c r="Q91" s="93"/>
      <c r="R91" s="93"/>
      <c r="S91" s="93"/>
      <c r="T91" s="93"/>
      <c r="U91" s="93"/>
      <c r="V91" s="93"/>
      <c r="W91" s="93"/>
      <c r="X91" s="93"/>
      <c r="Y91" s="93"/>
      <c r="Z91" s="93"/>
      <c r="AA91" s="93"/>
      <c r="AB91" s="20"/>
      <c r="AC91" s="19"/>
      <c r="AD91" s="93"/>
      <c r="AE91" s="93"/>
      <c r="AF91" s="93"/>
      <c r="AG91" s="93"/>
      <c r="AH91" s="93"/>
      <c r="AI91" s="93"/>
      <c r="AJ91" s="93"/>
      <c r="AK91" s="93"/>
      <c r="AL91" s="93"/>
      <c r="AM91" s="93"/>
      <c r="AN91" s="93"/>
      <c r="AO91" s="20"/>
      <c r="AP91" s="19"/>
      <c r="AQ91" s="93"/>
      <c r="AR91" s="93"/>
      <c r="AS91" s="93"/>
      <c r="AT91" s="93"/>
      <c r="AU91" s="93"/>
      <c r="AV91" s="93"/>
      <c r="AW91" s="93"/>
      <c r="AX91" s="93"/>
      <c r="AY91" s="20"/>
      <c r="AZ91" s="29"/>
      <c r="BA91" s="93"/>
      <c r="BB91" s="93"/>
      <c r="BC91" s="93"/>
      <c r="BD91" s="93"/>
      <c r="BE91" s="20"/>
      <c r="BF91" s="29"/>
    </row>
    <row r="92" spans="1:58">
      <c r="A92" s="29" t="str">
        <f t="shared" si="18"/>
        <v/>
      </c>
      <c r="B92" s="19"/>
      <c r="C92" s="93"/>
      <c r="D92" s="93"/>
      <c r="E92" s="93"/>
      <c r="F92" s="93"/>
      <c r="G92" s="20"/>
      <c r="H92" s="19"/>
      <c r="I92" s="93"/>
      <c r="J92" s="214"/>
      <c r="K92" s="20"/>
      <c r="L92" s="19"/>
      <c r="M92" s="93"/>
      <c r="N92" s="93"/>
      <c r="O92" s="20"/>
      <c r="P92" s="19"/>
      <c r="Q92" s="93"/>
      <c r="R92" s="93"/>
      <c r="S92" s="93"/>
      <c r="T92" s="93"/>
      <c r="U92" s="93"/>
      <c r="V92" s="93"/>
      <c r="W92" s="93"/>
      <c r="X92" s="93"/>
      <c r="Y92" s="93"/>
      <c r="Z92" s="93"/>
      <c r="AA92" s="93"/>
      <c r="AB92" s="20"/>
      <c r="AC92" s="19"/>
      <c r="AD92" s="93"/>
      <c r="AE92" s="93"/>
      <c r="AF92" s="93"/>
      <c r="AG92" s="93"/>
      <c r="AH92" s="93"/>
      <c r="AI92" s="93"/>
      <c r="AJ92" s="93"/>
      <c r="AK92" s="93"/>
      <c r="AL92" s="93"/>
      <c r="AM92" s="93"/>
      <c r="AN92" s="93"/>
      <c r="AO92" s="20"/>
      <c r="AP92" s="19"/>
      <c r="AQ92" s="93"/>
      <c r="AR92" s="93"/>
      <c r="AS92" s="93"/>
      <c r="AT92" s="93"/>
      <c r="AU92" s="93"/>
      <c r="AV92" s="93"/>
      <c r="AW92" s="93"/>
      <c r="AX92" s="93"/>
      <c r="AY92" s="20"/>
      <c r="AZ92" s="29"/>
      <c r="BA92" s="93"/>
      <c r="BB92" s="93"/>
      <c r="BC92" s="93"/>
      <c r="BD92" s="93"/>
      <c r="BE92" s="20"/>
      <c r="BF92" s="29"/>
    </row>
    <row r="93" spans="1:58">
      <c r="A93" s="29" t="str">
        <f t="shared" si="18"/>
        <v/>
      </c>
      <c r="B93" s="19"/>
      <c r="C93" s="93"/>
      <c r="D93" s="93"/>
      <c r="E93" s="93"/>
      <c r="F93" s="93"/>
      <c r="G93" s="20"/>
      <c r="H93" s="19"/>
      <c r="I93" s="93"/>
      <c r="J93" s="214"/>
      <c r="K93" s="20"/>
      <c r="L93" s="19"/>
      <c r="M93" s="93"/>
      <c r="N93" s="93"/>
      <c r="O93" s="20"/>
      <c r="P93" s="19"/>
      <c r="Q93" s="93"/>
      <c r="R93" s="93"/>
      <c r="S93" s="93"/>
      <c r="T93" s="93"/>
      <c r="U93" s="93"/>
      <c r="V93" s="93"/>
      <c r="W93" s="93"/>
      <c r="X93" s="93"/>
      <c r="Y93" s="93"/>
      <c r="Z93" s="93"/>
      <c r="AA93" s="93"/>
      <c r="AB93" s="20"/>
      <c r="AC93" s="19"/>
      <c r="AD93" s="93"/>
      <c r="AE93" s="93"/>
      <c r="AF93" s="93"/>
      <c r="AG93" s="93"/>
      <c r="AH93" s="93"/>
      <c r="AI93" s="93"/>
      <c r="AJ93" s="93"/>
      <c r="AK93" s="93"/>
      <c r="AL93" s="93"/>
      <c r="AM93" s="93"/>
      <c r="AN93" s="93"/>
      <c r="AO93" s="20"/>
      <c r="AP93" s="19"/>
      <c r="AQ93" s="93"/>
      <c r="AR93" s="93"/>
      <c r="AS93" s="93"/>
      <c r="AT93" s="93"/>
      <c r="AU93" s="93"/>
      <c r="AV93" s="93"/>
      <c r="AW93" s="93"/>
      <c r="AX93" s="93"/>
      <c r="AY93" s="20"/>
      <c r="AZ93" s="29"/>
      <c r="BA93" s="93"/>
      <c r="BB93" s="93"/>
      <c r="BC93" s="93"/>
      <c r="BD93" s="93"/>
      <c r="BE93" s="20"/>
      <c r="BF93" s="29"/>
    </row>
    <row r="94" spans="1:58">
      <c r="A94" s="29" t="str">
        <f t="shared" si="18"/>
        <v/>
      </c>
      <c r="B94" s="19"/>
      <c r="C94" s="93"/>
      <c r="D94" s="93"/>
      <c r="E94" s="93"/>
      <c r="F94" s="93"/>
      <c r="G94" s="20"/>
      <c r="H94" s="19"/>
      <c r="I94" s="93"/>
      <c r="J94" s="214"/>
      <c r="K94" s="20"/>
      <c r="L94" s="19"/>
      <c r="M94" s="93"/>
      <c r="N94" s="93"/>
      <c r="O94" s="20"/>
      <c r="P94" s="19"/>
      <c r="Q94" s="93"/>
      <c r="R94" s="93"/>
      <c r="S94" s="93"/>
      <c r="T94" s="93"/>
      <c r="U94" s="93"/>
      <c r="V94" s="93"/>
      <c r="W94" s="93"/>
      <c r="X94" s="93"/>
      <c r="Y94" s="93"/>
      <c r="Z94" s="93"/>
      <c r="AA94" s="93"/>
      <c r="AB94" s="20"/>
      <c r="AC94" s="19"/>
      <c r="AD94" s="93"/>
      <c r="AE94" s="93"/>
      <c r="AF94" s="93"/>
      <c r="AG94" s="93"/>
      <c r="AH94" s="93"/>
      <c r="AI94" s="93"/>
      <c r="AJ94" s="93"/>
      <c r="AK94" s="93"/>
      <c r="AL94" s="93"/>
      <c r="AM94" s="93"/>
      <c r="AN94" s="93"/>
      <c r="AO94" s="20"/>
      <c r="AP94" s="19"/>
      <c r="AQ94" s="93"/>
      <c r="AR94" s="93"/>
      <c r="AS94" s="93"/>
      <c r="AT94" s="93"/>
      <c r="AU94" s="93"/>
      <c r="AV94" s="93"/>
      <c r="AW94" s="93"/>
      <c r="AX94" s="93"/>
      <c r="AY94" s="20"/>
      <c r="AZ94" s="29"/>
      <c r="BA94" s="93"/>
      <c r="BB94" s="93"/>
      <c r="BC94" s="93"/>
      <c r="BD94" s="93"/>
      <c r="BE94" s="20"/>
      <c r="BF94" s="29"/>
    </row>
    <row r="95" spans="1:58">
      <c r="A95" s="29" t="str">
        <f t="shared" si="18"/>
        <v/>
      </c>
      <c r="B95" s="19"/>
      <c r="C95" s="93"/>
      <c r="D95" s="93"/>
      <c r="E95" s="93"/>
      <c r="F95" s="93"/>
      <c r="G95" s="20"/>
      <c r="H95" s="19"/>
      <c r="I95" s="93"/>
      <c r="J95" s="214"/>
      <c r="K95" s="20"/>
      <c r="L95" s="19"/>
      <c r="M95" s="93"/>
      <c r="N95" s="93"/>
      <c r="O95" s="20"/>
      <c r="P95" s="19"/>
      <c r="Q95" s="93"/>
      <c r="R95" s="93"/>
      <c r="S95" s="93"/>
      <c r="T95" s="93"/>
      <c r="U95" s="93"/>
      <c r="V95" s="93"/>
      <c r="W95" s="93"/>
      <c r="X95" s="93"/>
      <c r="Y95" s="93"/>
      <c r="Z95" s="93"/>
      <c r="AA95" s="93"/>
      <c r="AB95" s="20"/>
      <c r="AC95" s="19"/>
      <c r="AD95" s="93"/>
      <c r="AE95" s="93"/>
      <c r="AF95" s="93"/>
      <c r="AG95" s="93"/>
      <c r="AH95" s="93"/>
      <c r="AI95" s="93"/>
      <c r="AJ95" s="93"/>
      <c r="AK95" s="93"/>
      <c r="AL95" s="93"/>
      <c r="AM95" s="93"/>
      <c r="AN95" s="93"/>
      <c r="AO95" s="20"/>
      <c r="AP95" s="19"/>
      <c r="AQ95" s="93"/>
      <c r="AR95" s="93"/>
      <c r="AS95" s="93"/>
      <c r="AT95" s="93"/>
      <c r="AU95" s="93"/>
      <c r="AV95" s="93"/>
      <c r="AW95" s="93"/>
      <c r="AX95" s="93"/>
      <c r="AY95" s="20"/>
      <c r="AZ95" s="29"/>
      <c r="BA95" s="93"/>
      <c r="BB95" s="93"/>
      <c r="BC95" s="93"/>
      <c r="BD95" s="93"/>
      <c r="BE95" s="20"/>
      <c r="BF95" s="29"/>
    </row>
    <row r="96" spans="1:58">
      <c r="A96" s="29" t="str">
        <f t="shared" si="18"/>
        <v/>
      </c>
      <c r="B96" s="19"/>
      <c r="C96" s="93"/>
      <c r="D96" s="93"/>
      <c r="E96" s="93"/>
      <c r="F96" s="93"/>
      <c r="G96" s="20"/>
      <c r="H96" s="19"/>
      <c r="I96" s="93"/>
      <c r="J96" s="214"/>
      <c r="K96" s="20"/>
      <c r="L96" s="19"/>
      <c r="M96" s="93"/>
      <c r="N96" s="93"/>
      <c r="O96" s="20"/>
      <c r="P96" s="19"/>
      <c r="Q96" s="93"/>
      <c r="R96" s="93"/>
      <c r="S96" s="93"/>
      <c r="T96" s="93"/>
      <c r="U96" s="93"/>
      <c r="V96" s="93"/>
      <c r="W96" s="93"/>
      <c r="X96" s="93"/>
      <c r="Y96" s="93"/>
      <c r="Z96" s="93"/>
      <c r="AA96" s="93"/>
      <c r="AB96" s="20"/>
      <c r="AC96" s="19"/>
      <c r="AD96" s="93"/>
      <c r="AE96" s="93"/>
      <c r="AF96" s="93"/>
      <c r="AG96" s="93"/>
      <c r="AH96" s="93"/>
      <c r="AI96" s="93"/>
      <c r="AJ96" s="93"/>
      <c r="AK96" s="93"/>
      <c r="AL96" s="93"/>
      <c r="AM96" s="93"/>
      <c r="AN96" s="93"/>
      <c r="AO96" s="20"/>
      <c r="AP96" s="19"/>
      <c r="AQ96" s="93"/>
      <c r="AR96" s="93"/>
      <c r="AS96" s="93"/>
      <c r="AT96" s="93"/>
      <c r="AU96" s="93"/>
      <c r="AV96" s="93"/>
      <c r="AW96" s="93"/>
      <c r="AX96" s="93"/>
      <c r="AY96" s="20"/>
      <c r="AZ96" s="29"/>
      <c r="BA96" s="93"/>
      <c r="BB96" s="93"/>
      <c r="BC96" s="93"/>
      <c r="BD96" s="93"/>
      <c r="BE96" s="20"/>
      <c r="BF96" s="29"/>
    </row>
    <row r="97" spans="1:58">
      <c r="A97" s="29" t="str">
        <f t="shared" si="18"/>
        <v/>
      </c>
      <c r="B97" s="19"/>
      <c r="C97" s="93"/>
      <c r="D97" s="93"/>
      <c r="E97" s="93"/>
      <c r="F97" s="93"/>
      <c r="G97" s="20"/>
      <c r="H97" s="19"/>
      <c r="I97" s="93"/>
      <c r="J97" s="214"/>
      <c r="K97" s="20"/>
      <c r="L97" s="19"/>
      <c r="M97" s="93"/>
      <c r="N97" s="93"/>
      <c r="O97" s="20"/>
      <c r="P97" s="19"/>
      <c r="Q97" s="93"/>
      <c r="R97" s="93"/>
      <c r="S97" s="93"/>
      <c r="T97" s="93"/>
      <c r="U97" s="93"/>
      <c r="V97" s="93"/>
      <c r="W97" s="93"/>
      <c r="X97" s="93"/>
      <c r="Y97" s="93"/>
      <c r="Z97" s="93"/>
      <c r="AA97" s="93"/>
      <c r="AB97" s="20"/>
      <c r="AC97" s="19"/>
      <c r="AD97" s="93"/>
      <c r="AE97" s="93"/>
      <c r="AF97" s="93"/>
      <c r="AG97" s="93"/>
      <c r="AH97" s="93"/>
      <c r="AI97" s="93"/>
      <c r="AJ97" s="93"/>
      <c r="AK97" s="93"/>
      <c r="AL97" s="93"/>
      <c r="AM97" s="93"/>
      <c r="AN97" s="93"/>
      <c r="AO97" s="20"/>
      <c r="AP97" s="19"/>
      <c r="AQ97" s="93"/>
      <c r="AR97" s="93"/>
      <c r="AS97" s="93"/>
      <c r="AT97" s="93"/>
      <c r="AU97" s="93"/>
      <c r="AV97" s="93"/>
      <c r="AW97" s="93"/>
      <c r="AX97" s="93"/>
      <c r="AY97" s="20"/>
      <c r="AZ97" s="29"/>
      <c r="BA97" s="93"/>
      <c r="BB97" s="93"/>
      <c r="BC97" s="93"/>
      <c r="BD97" s="93"/>
      <c r="BE97" s="20"/>
      <c r="BF97" s="29"/>
    </row>
    <row r="98" spans="1:58">
      <c r="A98" s="29" t="str">
        <f t="shared" si="18"/>
        <v/>
      </c>
      <c r="B98" s="19"/>
      <c r="C98" s="93"/>
      <c r="D98" s="93"/>
      <c r="E98" s="93"/>
      <c r="F98" s="93"/>
      <c r="G98" s="20"/>
      <c r="H98" s="19"/>
      <c r="I98" s="93"/>
      <c r="J98" s="214"/>
      <c r="K98" s="20"/>
      <c r="L98" s="19"/>
      <c r="M98" s="93"/>
      <c r="N98" s="93"/>
      <c r="O98" s="20"/>
      <c r="P98" s="19"/>
      <c r="Q98" s="93"/>
      <c r="R98" s="93"/>
      <c r="S98" s="93"/>
      <c r="T98" s="93"/>
      <c r="U98" s="93"/>
      <c r="V98" s="93"/>
      <c r="W98" s="93"/>
      <c r="X98" s="93"/>
      <c r="Y98" s="93"/>
      <c r="Z98" s="93"/>
      <c r="AA98" s="93"/>
      <c r="AB98" s="20"/>
      <c r="AC98" s="19"/>
      <c r="AD98" s="93"/>
      <c r="AE98" s="93"/>
      <c r="AF98" s="93"/>
      <c r="AG98" s="93"/>
      <c r="AH98" s="93"/>
      <c r="AI98" s="93"/>
      <c r="AJ98" s="93"/>
      <c r="AK98" s="93"/>
      <c r="AL98" s="93"/>
      <c r="AM98" s="93"/>
      <c r="AN98" s="93"/>
      <c r="AO98" s="20"/>
      <c r="AP98" s="19"/>
      <c r="AQ98" s="93"/>
      <c r="AR98" s="93"/>
      <c r="AS98" s="93"/>
      <c r="AT98" s="93"/>
      <c r="AU98" s="93"/>
      <c r="AV98" s="93"/>
      <c r="AW98" s="93"/>
      <c r="AX98" s="93"/>
      <c r="AY98" s="20"/>
      <c r="AZ98" s="29"/>
      <c r="BA98" s="93"/>
      <c r="BB98" s="93"/>
      <c r="BC98" s="93"/>
      <c r="BD98" s="93"/>
      <c r="BE98" s="20"/>
      <c r="BF98" s="29"/>
    </row>
    <row r="99" spans="1:58">
      <c r="A99" s="29" t="str">
        <f t="shared" si="18"/>
        <v/>
      </c>
      <c r="B99" s="19"/>
      <c r="C99" s="93"/>
      <c r="D99" s="93"/>
      <c r="E99" s="93"/>
      <c r="F99" s="93"/>
      <c r="G99" s="20"/>
      <c r="H99" s="19"/>
      <c r="I99" s="93"/>
      <c r="J99" s="214"/>
      <c r="K99" s="20"/>
      <c r="L99" s="19"/>
      <c r="M99" s="93"/>
      <c r="N99" s="93"/>
      <c r="O99" s="20"/>
      <c r="P99" s="19"/>
      <c r="Q99" s="93"/>
      <c r="R99" s="93"/>
      <c r="S99" s="93"/>
      <c r="T99" s="93"/>
      <c r="U99" s="93"/>
      <c r="V99" s="93"/>
      <c r="W99" s="93"/>
      <c r="X99" s="93"/>
      <c r="Y99" s="93"/>
      <c r="Z99" s="93"/>
      <c r="AA99" s="93"/>
      <c r="AB99" s="20"/>
      <c r="AC99" s="19"/>
      <c r="AD99" s="93"/>
      <c r="AE99" s="93"/>
      <c r="AF99" s="93"/>
      <c r="AG99" s="93"/>
      <c r="AH99" s="93"/>
      <c r="AI99" s="93"/>
      <c r="AJ99" s="93"/>
      <c r="AK99" s="93"/>
      <c r="AL99" s="93"/>
      <c r="AM99" s="93"/>
      <c r="AN99" s="93"/>
      <c r="AO99" s="20"/>
      <c r="AP99" s="19"/>
      <c r="AQ99" s="93"/>
      <c r="AR99" s="93"/>
      <c r="AS99" s="93"/>
      <c r="AT99" s="93"/>
      <c r="AU99" s="93"/>
      <c r="AV99" s="93"/>
      <c r="AW99" s="93"/>
      <c r="AX99" s="93"/>
      <c r="AY99" s="20"/>
      <c r="AZ99" s="29"/>
      <c r="BA99" s="93"/>
      <c r="BB99" s="93"/>
      <c r="BC99" s="93"/>
      <c r="BD99" s="93"/>
      <c r="BE99" s="20"/>
      <c r="BF99" s="29"/>
    </row>
    <row r="100" spans="1:58">
      <c r="A100" s="29" t="str">
        <f t="shared" si="18"/>
        <v/>
      </c>
      <c r="B100" s="19"/>
      <c r="C100" s="93"/>
      <c r="D100" s="93"/>
      <c r="E100" s="93"/>
      <c r="F100" s="93"/>
      <c r="G100" s="20"/>
      <c r="H100" s="19"/>
      <c r="I100" s="93"/>
      <c r="J100" s="214"/>
      <c r="K100" s="20"/>
      <c r="L100" s="19"/>
      <c r="M100" s="93"/>
      <c r="N100" s="93"/>
      <c r="O100" s="20"/>
      <c r="P100" s="19"/>
      <c r="Q100" s="93"/>
      <c r="R100" s="93"/>
      <c r="S100" s="93"/>
      <c r="T100" s="93"/>
      <c r="U100" s="93"/>
      <c r="V100" s="93"/>
      <c r="W100" s="93"/>
      <c r="X100" s="93"/>
      <c r="Y100" s="93"/>
      <c r="Z100" s="93"/>
      <c r="AA100" s="93"/>
      <c r="AB100" s="20"/>
      <c r="AC100" s="19"/>
      <c r="AD100" s="93"/>
      <c r="AE100" s="93"/>
      <c r="AF100" s="93"/>
      <c r="AG100" s="93"/>
      <c r="AH100" s="93"/>
      <c r="AI100" s="93"/>
      <c r="AJ100" s="93"/>
      <c r="AK100" s="93"/>
      <c r="AL100" s="93"/>
      <c r="AM100" s="93"/>
      <c r="AN100" s="93"/>
      <c r="AO100" s="20"/>
      <c r="AP100" s="19"/>
      <c r="AQ100" s="93"/>
      <c r="AR100" s="93"/>
      <c r="AS100" s="93"/>
      <c r="AT100" s="93"/>
      <c r="AU100" s="93"/>
      <c r="AV100" s="93"/>
      <c r="AW100" s="93"/>
      <c r="AX100" s="93"/>
      <c r="AY100" s="20"/>
      <c r="AZ100" s="29"/>
      <c r="BA100" s="93"/>
      <c r="BB100" s="93"/>
      <c r="BC100" s="93"/>
      <c r="BD100" s="93"/>
      <c r="BE100" s="20"/>
      <c r="BF100" s="29"/>
    </row>
    <row r="101" spans="1:58">
      <c r="A101" s="29" t="str">
        <f t="shared" si="18"/>
        <v/>
      </c>
      <c r="B101" s="19"/>
      <c r="C101" s="93"/>
      <c r="D101" s="93"/>
      <c r="E101" s="93"/>
      <c r="F101" s="93"/>
      <c r="G101" s="20"/>
      <c r="H101" s="19"/>
      <c r="I101" s="93"/>
      <c r="J101" s="214"/>
      <c r="K101" s="20"/>
      <c r="L101" s="19"/>
      <c r="M101" s="93"/>
      <c r="N101" s="93"/>
      <c r="O101" s="20"/>
      <c r="P101" s="19"/>
      <c r="Q101" s="93"/>
      <c r="R101" s="93"/>
      <c r="S101" s="93"/>
      <c r="T101" s="93"/>
      <c r="U101" s="93"/>
      <c r="V101" s="93"/>
      <c r="W101" s="93"/>
      <c r="X101" s="93"/>
      <c r="Y101" s="93"/>
      <c r="Z101" s="93"/>
      <c r="AA101" s="93"/>
      <c r="AB101" s="20"/>
      <c r="AC101" s="19"/>
      <c r="AD101" s="93"/>
      <c r="AE101" s="93"/>
      <c r="AF101" s="93"/>
      <c r="AG101" s="93"/>
      <c r="AH101" s="93"/>
      <c r="AI101" s="93"/>
      <c r="AJ101" s="93"/>
      <c r="AK101" s="93"/>
      <c r="AL101" s="93"/>
      <c r="AM101" s="93"/>
      <c r="AN101" s="93"/>
      <c r="AO101" s="20"/>
      <c r="AP101" s="19"/>
      <c r="AQ101" s="93"/>
      <c r="AR101" s="93"/>
      <c r="AS101" s="93"/>
      <c r="AT101" s="93"/>
      <c r="AU101" s="93"/>
      <c r="AV101" s="93"/>
      <c r="AW101" s="93"/>
      <c r="AX101" s="93"/>
      <c r="AY101" s="20"/>
      <c r="AZ101" s="29"/>
      <c r="BA101" s="93"/>
      <c r="BB101" s="93"/>
      <c r="BC101" s="93"/>
      <c r="BD101" s="93"/>
      <c r="BE101" s="20"/>
      <c r="BF101" s="29"/>
    </row>
    <row r="102" spans="1:58">
      <c r="A102" s="29" t="str">
        <f t="shared" si="18"/>
        <v/>
      </c>
      <c r="B102" s="19"/>
      <c r="C102" s="93"/>
      <c r="D102" s="93"/>
      <c r="E102" s="93"/>
      <c r="F102" s="93"/>
      <c r="G102" s="20"/>
      <c r="H102" s="19"/>
      <c r="I102" s="93"/>
      <c r="J102" s="214"/>
      <c r="K102" s="20"/>
      <c r="L102" s="19"/>
      <c r="M102" s="93"/>
      <c r="N102" s="93"/>
      <c r="O102" s="20"/>
      <c r="P102" s="19"/>
      <c r="Q102" s="93"/>
      <c r="R102" s="93"/>
      <c r="S102" s="93"/>
      <c r="T102" s="93"/>
      <c r="U102" s="93"/>
      <c r="V102" s="93"/>
      <c r="W102" s="93"/>
      <c r="X102" s="93"/>
      <c r="Y102" s="93"/>
      <c r="Z102" s="93"/>
      <c r="AA102" s="93"/>
      <c r="AB102" s="20"/>
      <c r="AC102" s="19"/>
      <c r="AD102" s="93"/>
      <c r="AE102" s="93"/>
      <c r="AF102" s="93"/>
      <c r="AG102" s="93"/>
      <c r="AH102" s="93"/>
      <c r="AI102" s="93"/>
      <c r="AJ102" s="93"/>
      <c r="AK102" s="93"/>
      <c r="AL102" s="93"/>
      <c r="AM102" s="93"/>
      <c r="AN102" s="93"/>
      <c r="AO102" s="20"/>
      <c r="AP102" s="19"/>
      <c r="AQ102" s="93"/>
      <c r="AR102" s="93"/>
      <c r="AS102" s="93"/>
      <c r="AT102" s="93"/>
      <c r="AU102" s="93"/>
      <c r="AV102" s="93"/>
      <c r="AW102" s="93"/>
      <c r="AX102" s="93"/>
      <c r="AY102" s="20"/>
      <c r="AZ102" s="29"/>
      <c r="BA102" s="93"/>
      <c r="BB102" s="93"/>
      <c r="BC102" s="93"/>
      <c r="BD102" s="93"/>
      <c r="BE102" s="20"/>
      <c r="BF102" s="29"/>
    </row>
    <row r="103" spans="1:58">
      <c r="A103" s="29" t="str">
        <f t="shared" si="18"/>
        <v/>
      </c>
      <c r="B103" s="19"/>
      <c r="C103" s="93"/>
      <c r="D103" s="93"/>
      <c r="E103" s="93"/>
      <c r="F103" s="93"/>
      <c r="G103" s="20"/>
      <c r="H103" s="19"/>
      <c r="I103" s="93"/>
      <c r="J103" s="214"/>
      <c r="K103" s="20"/>
      <c r="L103" s="19"/>
      <c r="M103" s="93"/>
      <c r="N103" s="93"/>
      <c r="O103" s="20"/>
      <c r="P103" s="19"/>
      <c r="Q103" s="93"/>
      <c r="R103" s="93"/>
      <c r="S103" s="93"/>
      <c r="T103" s="93"/>
      <c r="U103" s="93"/>
      <c r="V103" s="93"/>
      <c r="W103" s="93"/>
      <c r="X103" s="93"/>
      <c r="Y103" s="93"/>
      <c r="Z103" s="93"/>
      <c r="AA103" s="93"/>
      <c r="AB103" s="20"/>
      <c r="AC103" s="19"/>
      <c r="AD103" s="93"/>
      <c r="AE103" s="93"/>
      <c r="AF103" s="93"/>
      <c r="AG103" s="93"/>
      <c r="AH103" s="93"/>
      <c r="AI103" s="93"/>
      <c r="AJ103" s="93"/>
      <c r="AK103" s="93"/>
      <c r="AL103" s="93"/>
      <c r="AM103" s="93"/>
      <c r="AN103" s="93"/>
      <c r="AO103" s="20"/>
      <c r="AP103" s="19"/>
      <c r="AQ103" s="93"/>
      <c r="AR103" s="93"/>
      <c r="AS103" s="93"/>
      <c r="AT103" s="93"/>
      <c r="AU103" s="93"/>
      <c r="AV103" s="93"/>
      <c r="AW103" s="93"/>
      <c r="AX103" s="93"/>
      <c r="AY103" s="20"/>
      <c r="AZ103" s="29"/>
      <c r="BA103" s="93"/>
      <c r="BB103" s="93"/>
      <c r="BC103" s="93"/>
      <c r="BD103" s="93"/>
      <c r="BE103" s="20"/>
      <c r="BF103" s="29"/>
    </row>
    <row r="104" spans="1:58">
      <c r="A104" s="29" t="str">
        <f t="shared" si="18"/>
        <v/>
      </c>
      <c r="B104" s="19"/>
      <c r="C104" s="93"/>
      <c r="D104" s="93"/>
      <c r="E104" s="93"/>
      <c r="F104" s="93"/>
      <c r="G104" s="20"/>
      <c r="H104" s="19"/>
      <c r="I104" s="93"/>
      <c r="J104" s="214"/>
      <c r="K104" s="20"/>
      <c r="L104" s="19"/>
      <c r="M104" s="93"/>
      <c r="N104" s="93"/>
      <c r="O104" s="20"/>
      <c r="P104" s="19"/>
      <c r="Q104" s="93"/>
      <c r="R104" s="93"/>
      <c r="S104" s="93"/>
      <c r="T104" s="93"/>
      <c r="U104" s="93"/>
      <c r="V104" s="93"/>
      <c r="W104" s="93"/>
      <c r="X104" s="93"/>
      <c r="Y104" s="93"/>
      <c r="Z104" s="93"/>
      <c r="AA104" s="93"/>
      <c r="AB104" s="20"/>
      <c r="AC104" s="19"/>
      <c r="AD104" s="93"/>
      <c r="AE104" s="93"/>
      <c r="AF104" s="93"/>
      <c r="AG104" s="93"/>
      <c r="AH104" s="93"/>
      <c r="AI104" s="93"/>
      <c r="AJ104" s="93"/>
      <c r="AK104" s="93"/>
      <c r="AL104" s="93"/>
      <c r="AM104" s="93"/>
      <c r="AN104" s="93"/>
      <c r="AO104" s="20"/>
      <c r="AP104" s="19"/>
      <c r="AQ104" s="93"/>
      <c r="AR104" s="93"/>
      <c r="AS104" s="93"/>
      <c r="AT104" s="93"/>
      <c r="AU104" s="93"/>
      <c r="AV104" s="93"/>
      <c r="AW104" s="93"/>
      <c r="AX104" s="93"/>
      <c r="AY104" s="20"/>
      <c r="AZ104" s="29"/>
      <c r="BA104" s="93"/>
      <c r="BB104" s="93"/>
      <c r="BC104" s="93"/>
      <c r="BD104" s="93"/>
      <c r="BE104" s="20"/>
      <c r="BF104" s="29"/>
    </row>
    <row r="105" spans="1:58">
      <c r="A105" s="29" t="str">
        <f t="shared" si="18"/>
        <v/>
      </c>
      <c r="B105" s="19"/>
      <c r="C105" s="93"/>
      <c r="D105" s="93"/>
      <c r="E105" s="93"/>
      <c r="F105" s="93"/>
      <c r="G105" s="20"/>
      <c r="H105" s="19"/>
      <c r="I105" s="93"/>
      <c r="J105" s="214"/>
      <c r="K105" s="20"/>
      <c r="L105" s="19"/>
      <c r="M105" s="93"/>
      <c r="N105" s="93"/>
      <c r="O105" s="20"/>
      <c r="P105" s="19"/>
      <c r="Q105" s="93"/>
      <c r="R105" s="93"/>
      <c r="S105" s="93"/>
      <c r="T105" s="93"/>
      <c r="U105" s="93"/>
      <c r="V105" s="93"/>
      <c r="W105" s="93"/>
      <c r="X105" s="93"/>
      <c r="Y105" s="93"/>
      <c r="Z105" s="93"/>
      <c r="AA105" s="93"/>
      <c r="AB105" s="20"/>
      <c r="AC105" s="19"/>
      <c r="AD105" s="93"/>
      <c r="AE105" s="93"/>
      <c r="AF105" s="93"/>
      <c r="AG105" s="93"/>
      <c r="AH105" s="93"/>
      <c r="AI105" s="93"/>
      <c r="AJ105" s="93"/>
      <c r="AK105" s="93"/>
      <c r="AL105" s="93"/>
      <c r="AM105" s="93"/>
      <c r="AN105" s="93"/>
      <c r="AO105" s="20"/>
      <c r="AP105" s="19"/>
      <c r="AQ105" s="93"/>
      <c r="AR105" s="93"/>
      <c r="AS105" s="93"/>
      <c r="AT105" s="93"/>
      <c r="AU105" s="93"/>
      <c r="AV105" s="93"/>
      <c r="AW105" s="93"/>
      <c r="AX105" s="93"/>
      <c r="AY105" s="20"/>
      <c r="AZ105" s="29"/>
      <c r="BA105" s="93"/>
      <c r="BB105" s="93"/>
      <c r="BC105" s="93"/>
      <c r="BD105" s="93"/>
      <c r="BE105" s="20"/>
      <c r="BF105" s="29"/>
    </row>
    <row r="106" spans="1:58">
      <c r="A106" s="29" t="str">
        <f t="shared" si="18"/>
        <v/>
      </c>
      <c r="B106" s="19"/>
      <c r="C106" s="93"/>
      <c r="D106" s="93"/>
      <c r="E106" s="93"/>
      <c r="F106" s="93"/>
      <c r="G106" s="20"/>
      <c r="H106" s="19"/>
      <c r="I106" s="93"/>
      <c r="J106" s="214"/>
      <c r="K106" s="20"/>
      <c r="L106" s="19"/>
      <c r="M106" s="93"/>
      <c r="N106" s="93"/>
      <c r="O106" s="20"/>
      <c r="P106" s="19"/>
      <c r="Q106" s="93"/>
      <c r="R106" s="93"/>
      <c r="S106" s="93"/>
      <c r="T106" s="93"/>
      <c r="U106" s="93"/>
      <c r="V106" s="93"/>
      <c r="W106" s="93"/>
      <c r="X106" s="93"/>
      <c r="Y106" s="93"/>
      <c r="Z106" s="93"/>
      <c r="AA106" s="93"/>
      <c r="AB106" s="20"/>
      <c r="AC106" s="19"/>
      <c r="AD106" s="93"/>
      <c r="AE106" s="93"/>
      <c r="AF106" s="93"/>
      <c r="AG106" s="93"/>
      <c r="AH106" s="93"/>
      <c r="AI106" s="93"/>
      <c r="AJ106" s="93"/>
      <c r="AK106" s="93"/>
      <c r="AL106" s="93"/>
      <c r="AM106" s="93"/>
      <c r="AN106" s="93"/>
      <c r="AO106" s="20"/>
      <c r="AP106" s="19"/>
      <c r="AQ106" s="93"/>
      <c r="AR106" s="93"/>
      <c r="AS106" s="93"/>
      <c r="AT106" s="93"/>
      <c r="AU106" s="93"/>
      <c r="AV106" s="93"/>
      <c r="AW106" s="93"/>
      <c r="AX106" s="93"/>
      <c r="AY106" s="20"/>
      <c r="AZ106" s="29"/>
      <c r="BA106" s="93"/>
      <c r="BB106" s="93"/>
      <c r="BC106" s="93"/>
      <c r="BD106" s="93"/>
      <c r="BE106" s="20"/>
      <c r="BF106" s="29"/>
    </row>
    <row r="107" spans="1:58">
      <c r="A107" s="29" t="str">
        <f t="shared" si="18"/>
        <v/>
      </c>
      <c r="B107" s="19"/>
      <c r="C107" s="93"/>
      <c r="D107" s="93"/>
      <c r="E107" s="93"/>
      <c r="F107" s="93"/>
      <c r="G107" s="20"/>
      <c r="H107" s="19"/>
      <c r="I107" s="93"/>
      <c r="J107" s="214"/>
      <c r="K107" s="20"/>
      <c r="L107" s="19"/>
      <c r="M107" s="93"/>
      <c r="N107" s="93"/>
      <c r="O107" s="20"/>
      <c r="P107" s="19"/>
      <c r="Q107" s="93"/>
      <c r="R107" s="93"/>
      <c r="S107" s="93"/>
      <c r="T107" s="93"/>
      <c r="U107" s="93"/>
      <c r="V107" s="93"/>
      <c r="W107" s="93"/>
      <c r="X107" s="93"/>
      <c r="Y107" s="93"/>
      <c r="Z107" s="93"/>
      <c r="AA107" s="93"/>
      <c r="AB107" s="20"/>
      <c r="AC107" s="19"/>
      <c r="AD107" s="93"/>
      <c r="AE107" s="93"/>
      <c r="AF107" s="93"/>
      <c r="AG107" s="93"/>
      <c r="AH107" s="93"/>
      <c r="AI107" s="93"/>
      <c r="AJ107" s="93"/>
      <c r="AK107" s="93"/>
      <c r="AL107" s="93"/>
      <c r="AM107" s="93"/>
      <c r="AN107" s="93"/>
      <c r="AO107" s="20"/>
      <c r="AP107" s="19"/>
      <c r="AQ107" s="93"/>
      <c r="AR107" s="93"/>
      <c r="AS107" s="93"/>
      <c r="AT107" s="93"/>
      <c r="AU107" s="93"/>
      <c r="AV107" s="93"/>
      <c r="AW107" s="93"/>
      <c r="AX107" s="93"/>
      <c r="AY107" s="20"/>
      <c r="AZ107" s="29"/>
      <c r="BA107" s="93"/>
      <c r="BB107" s="93"/>
      <c r="BC107" s="93"/>
      <c r="BD107" s="93"/>
      <c r="BE107" s="20"/>
      <c r="BF107" s="29"/>
    </row>
    <row r="108" spans="1:58">
      <c r="A108" s="29" t="str">
        <f t="shared" si="18"/>
        <v/>
      </c>
      <c r="B108" s="19"/>
      <c r="C108" s="93"/>
      <c r="D108" s="93"/>
      <c r="E108" s="93"/>
      <c r="F108" s="93"/>
      <c r="G108" s="20"/>
      <c r="H108" s="19"/>
      <c r="I108" s="93"/>
      <c r="J108" s="214"/>
      <c r="K108" s="20"/>
      <c r="L108" s="19"/>
      <c r="M108" s="93"/>
      <c r="N108" s="93"/>
      <c r="O108" s="20"/>
      <c r="P108" s="19"/>
      <c r="Q108" s="93"/>
      <c r="R108" s="93"/>
      <c r="S108" s="93"/>
      <c r="T108" s="93"/>
      <c r="U108" s="93"/>
      <c r="V108" s="93"/>
      <c r="W108" s="93"/>
      <c r="X108" s="93"/>
      <c r="Y108" s="93"/>
      <c r="Z108" s="93"/>
      <c r="AA108" s="93"/>
      <c r="AB108" s="20"/>
      <c r="AC108" s="19"/>
      <c r="AD108" s="93"/>
      <c r="AE108" s="93"/>
      <c r="AF108" s="93"/>
      <c r="AG108" s="93"/>
      <c r="AH108" s="93"/>
      <c r="AI108" s="93"/>
      <c r="AJ108" s="93"/>
      <c r="AK108" s="93"/>
      <c r="AL108" s="93"/>
      <c r="AM108" s="93"/>
      <c r="AN108" s="93"/>
      <c r="AO108" s="20"/>
      <c r="AP108" s="19"/>
      <c r="AQ108" s="93"/>
      <c r="AR108" s="93"/>
      <c r="AS108" s="93"/>
      <c r="AT108" s="93"/>
      <c r="AU108" s="93"/>
      <c r="AV108" s="93"/>
      <c r="AW108" s="93"/>
      <c r="AX108" s="93"/>
      <c r="AY108" s="20"/>
      <c r="AZ108" s="29"/>
      <c r="BA108" s="93"/>
      <c r="BB108" s="93"/>
      <c r="BC108" s="93"/>
      <c r="BD108" s="93"/>
      <c r="BE108" s="20"/>
      <c r="BF108" s="29"/>
    </row>
    <row r="109" spans="1:58">
      <c r="A109" s="29" t="str">
        <f t="shared" si="18"/>
        <v/>
      </c>
      <c r="B109" s="19"/>
      <c r="C109" s="93"/>
      <c r="D109" s="93"/>
      <c r="E109" s="93"/>
      <c r="F109" s="93"/>
      <c r="G109" s="20"/>
      <c r="H109" s="19"/>
      <c r="I109" s="93"/>
      <c r="J109" s="214"/>
      <c r="K109" s="20"/>
      <c r="L109" s="19"/>
      <c r="M109" s="93"/>
      <c r="N109" s="93"/>
      <c r="O109" s="20"/>
      <c r="P109" s="19"/>
      <c r="Q109" s="93"/>
      <c r="R109" s="93"/>
      <c r="S109" s="93"/>
      <c r="T109" s="93"/>
      <c r="U109" s="93"/>
      <c r="V109" s="93"/>
      <c r="W109" s="93"/>
      <c r="X109" s="93"/>
      <c r="Y109" s="93"/>
      <c r="Z109" s="93"/>
      <c r="AA109" s="93"/>
      <c r="AB109" s="20"/>
      <c r="AC109" s="19"/>
      <c r="AD109" s="93"/>
      <c r="AE109" s="93"/>
      <c r="AF109" s="93"/>
      <c r="AG109" s="93"/>
      <c r="AH109" s="93"/>
      <c r="AI109" s="93"/>
      <c r="AJ109" s="93"/>
      <c r="AK109" s="93"/>
      <c r="AL109" s="93"/>
      <c r="AM109" s="93"/>
      <c r="AN109" s="93"/>
      <c r="AO109" s="20"/>
      <c r="AP109" s="19"/>
      <c r="AQ109" s="93"/>
      <c r="AR109" s="93"/>
      <c r="AS109" s="93"/>
      <c r="AT109" s="93"/>
      <c r="AU109" s="93"/>
      <c r="AV109" s="93"/>
      <c r="AW109" s="93"/>
      <c r="AX109" s="93"/>
      <c r="AY109" s="20"/>
      <c r="AZ109" s="29"/>
      <c r="BA109" s="93"/>
      <c r="BB109" s="93"/>
      <c r="BC109" s="93"/>
      <c r="BD109" s="93"/>
      <c r="BE109" s="20"/>
      <c r="BF109" s="29"/>
    </row>
    <row r="110" spans="1:58">
      <c r="A110" s="29" t="str">
        <f t="shared" si="18"/>
        <v/>
      </c>
      <c r="B110" s="19"/>
      <c r="C110" s="93"/>
      <c r="D110" s="93"/>
      <c r="E110" s="93"/>
      <c r="F110" s="93"/>
      <c r="G110" s="20"/>
      <c r="H110" s="19"/>
      <c r="I110" s="93"/>
      <c r="J110" s="214"/>
      <c r="K110" s="20"/>
      <c r="L110" s="19"/>
      <c r="M110" s="93"/>
      <c r="N110" s="93"/>
      <c r="O110" s="20"/>
      <c r="P110" s="19"/>
      <c r="Q110" s="93"/>
      <c r="R110" s="93"/>
      <c r="S110" s="93"/>
      <c r="T110" s="93"/>
      <c r="U110" s="93"/>
      <c r="V110" s="93"/>
      <c r="W110" s="93"/>
      <c r="X110" s="93"/>
      <c r="Y110" s="93"/>
      <c r="Z110" s="93"/>
      <c r="AA110" s="93"/>
      <c r="AB110" s="20"/>
      <c r="AC110" s="19"/>
      <c r="AD110" s="93"/>
      <c r="AE110" s="93"/>
      <c r="AF110" s="93"/>
      <c r="AG110" s="93"/>
      <c r="AH110" s="93"/>
      <c r="AI110" s="93"/>
      <c r="AJ110" s="93"/>
      <c r="AK110" s="93"/>
      <c r="AL110" s="93"/>
      <c r="AM110" s="93"/>
      <c r="AN110" s="93"/>
      <c r="AO110" s="20"/>
      <c r="AP110" s="19"/>
      <c r="AQ110" s="93"/>
      <c r="AR110" s="93"/>
      <c r="AS110" s="93"/>
      <c r="AT110" s="93"/>
      <c r="AU110" s="93"/>
      <c r="AV110" s="93"/>
      <c r="AW110" s="93"/>
      <c r="AX110" s="93"/>
      <c r="AY110" s="20"/>
      <c r="AZ110" s="29"/>
      <c r="BA110" s="93"/>
      <c r="BB110" s="93"/>
      <c r="BC110" s="93"/>
      <c r="BD110" s="93"/>
      <c r="BE110" s="20"/>
      <c r="BF110" s="29"/>
    </row>
    <row r="111" spans="1:58">
      <c r="A111" s="29" t="str">
        <f t="shared" si="18"/>
        <v/>
      </c>
      <c r="B111" s="19"/>
      <c r="C111" s="93"/>
      <c r="D111" s="93"/>
      <c r="E111" s="93"/>
      <c r="F111" s="93"/>
      <c r="G111" s="20"/>
      <c r="H111" s="19"/>
      <c r="I111" s="93"/>
      <c r="J111" s="214"/>
      <c r="K111" s="20"/>
      <c r="L111" s="19"/>
      <c r="M111" s="93"/>
      <c r="N111" s="93"/>
      <c r="O111" s="20"/>
      <c r="P111" s="19"/>
      <c r="Q111" s="93"/>
      <c r="R111" s="93"/>
      <c r="S111" s="93"/>
      <c r="T111" s="93"/>
      <c r="U111" s="93"/>
      <c r="V111" s="93"/>
      <c r="W111" s="93"/>
      <c r="X111" s="93"/>
      <c r="Y111" s="93"/>
      <c r="Z111" s="93"/>
      <c r="AA111" s="93"/>
      <c r="AB111" s="20"/>
      <c r="AC111" s="19"/>
      <c r="AD111" s="93"/>
      <c r="AE111" s="93"/>
      <c r="AF111" s="93"/>
      <c r="AG111" s="93"/>
      <c r="AH111" s="93"/>
      <c r="AI111" s="93"/>
      <c r="AJ111" s="93"/>
      <c r="AK111" s="93"/>
      <c r="AL111" s="93"/>
      <c r="AM111" s="93"/>
      <c r="AN111" s="93"/>
      <c r="AO111" s="20"/>
      <c r="AP111" s="19"/>
      <c r="AQ111" s="93"/>
      <c r="AR111" s="93"/>
      <c r="AS111" s="93"/>
      <c r="AT111" s="93"/>
      <c r="AU111" s="93"/>
      <c r="AV111" s="93"/>
      <c r="AW111" s="93"/>
      <c r="AX111" s="93"/>
      <c r="AY111" s="20"/>
      <c r="AZ111" s="29"/>
      <c r="BA111" s="93"/>
      <c r="BB111" s="93"/>
      <c r="BC111" s="93"/>
      <c r="BD111" s="93"/>
      <c r="BE111" s="20"/>
      <c r="BF111" s="29"/>
    </row>
    <row r="112" spans="1:58">
      <c r="A112" s="29" t="str">
        <f t="shared" si="18"/>
        <v/>
      </c>
      <c r="B112" s="19"/>
      <c r="C112" s="93"/>
      <c r="D112" s="93"/>
      <c r="E112" s="93"/>
      <c r="F112" s="93"/>
      <c r="G112" s="20"/>
      <c r="H112" s="19"/>
      <c r="I112" s="93"/>
      <c r="J112" s="214"/>
      <c r="K112" s="20"/>
      <c r="L112" s="19"/>
      <c r="M112" s="93"/>
      <c r="N112" s="93"/>
      <c r="O112" s="20"/>
      <c r="P112" s="19"/>
      <c r="Q112" s="93"/>
      <c r="R112" s="93"/>
      <c r="S112" s="93"/>
      <c r="T112" s="93"/>
      <c r="U112" s="93"/>
      <c r="V112" s="93"/>
      <c r="W112" s="93"/>
      <c r="X112" s="93"/>
      <c r="Y112" s="93"/>
      <c r="Z112" s="93"/>
      <c r="AA112" s="93"/>
      <c r="AB112" s="20"/>
      <c r="AC112" s="19"/>
      <c r="AD112" s="93"/>
      <c r="AE112" s="93"/>
      <c r="AF112" s="93"/>
      <c r="AG112" s="93"/>
      <c r="AH112" s="93"/>
      <c r="AI112" s="93"/>
      <c r="AJ112" s="93"/>
      <c r="AK112" s="93"/>
      <c r="AL112" s="93"/>
      <c r="AM112" s="93"/>
      <c r="AN112" s="93"/>
      <c r="AO112" s="20"/>
      <c r="AP112" s="19"/>
      <c r="AQ112" s="93"/>
      <c r="AR112" s="93"/>
      <c r="AS112" s="93"/>
      <c r="AT112" s="93"/>
      <c r="AU112" s="93"/>
      <c r="AV112" s="93"/>
      <c r="AW112" s="93"/>
      <c r="AX112" s="93"/>
      <c r="AY112" s="20"/>
      <c r="AZ112" s="29"/>
      <c r="BA112" s="93"/>
      <c r="BB112" s="93"/>
      <c r="BC112" s="93"/>
      <c r="BD112" s="93"/>
      <c r="BE112" s="20"/>
      <c r="BF112" s="29"/>
    </row>
    <row r="113" spans="1:58">
      <c r="A113" s="29" t="str">
        <f t="shared" si="18"/>
        <v/>
      </c>
      <c r="B113" s="19"/>
      <c r="C113" s="93"/>
      <c r="D113" s="93"/>
      <c r="E113" s="93"/>
      <c r="F113" s="93"/>
      <c r="G113" s="20"/>
      <c r="H113" s="19"/>
      <c r="I113" s="93"/>
      <c r="J113" s="214"/>
      <c r="K113" s="20"/>
      <c r="L113" s="19"/>
      <c r="M113" s="93"/>
      <c r="N113" s="93"/>
      <c r="O113" s="20"/>
      <c r="P113" s="19"/>
      <c r="Q113" s="93"/>
      <c r="R113" s="93"/>
      <c r="S113" s="93"/>
      <c r="T113" s="93"/>
      <c r="U113" s="93"/>
      <c r="V113" s="93"/>
      <c r="W113" s="93"/>
      <c r="X113" s="93"/>
      <c r="Y113" s="93"/>
      <c r="Z113" s="93"/>
      <c r="AA113" s="93"/>
      <c r="AB113" s="20"/>
      <c r="AC113" s="19"/>
      <c r="AD113" s="93"/>
      <c r="AE113" s="93"/>
      <c r="AF113" s="93"/>
      <c r="AG113" s="93"/>
      <c r="AH113" s="93"/>
      <c r="AI113" s="93"/>
      <c r="AJ113" s="93"/>
      <c r="AK113" s="93"/>
      <c r="AL113" s="93"/>
      <c r="AM113" s="93"/>
      <c r="AN113" s="93"/>
      <c r="AO113" s="20"/>
      <c r="AP113" s="19"/>
      <c r="AQ113" s="93"/>
      <c r="AR113" s="93"/>
      <c r="AS113" s="93"/>
      <c r="AT113" s="93"/>
      <c r="AU113" s="93"/>
      <c r="AV113" s="93"/>
      <c r="AW113" s="93"/>
      <c r="AX113" s="93"/>
      <c r="AY113" s="20"/>
      <c r="AZ113" s="29"/>
      <c r="BA113" s="93"/>
      <c r="BB113" s="93"/>
      <c r="BC113" s="93"/>
      <c r="BD113" s="93"/>
      <c r="BE113" s="20"/>
      <c r="BF113" s="29"/>
    </row>
    <row r="114" spans="1:58">
      <c r="A114" s="29" t="str">
        <f t="shared" si="18"/>
        <v/>
      </c>
      <c r="B114" s="19"/>
      <c r="C114" s="93"/>
      <c r="D114" s="93"/>
      <c r="E114" s="93"/>
      <c r="F114" s="93"/>
      <c r="G114" s="20"/>
      <c r="H114" s="19"/>
      <c r="I114" s="93"/>
      <c r="J114" s="214"/>
      <c r="K114" s="20"/>
      <c r="L114" s="19"/>
      <c r="M114" s="93"/>
      <c r="N114" s="93"/>
      <c r="O114" s="20"/>
      <c r="P114" s="19"/>
      <c r="Q114" s="93"/>
      <c r="R114" s="93"/>
      <c r="S114" s="93"/>
      <c r="T114" s="93"/>
      <c r="U114" s="93"/>
      <c r="V114" s="93"/>
      <c r="W114" s="93"/>
      <c r="X114" s="93"/>
      <c r="Y114" s="93"/>
      <c r="Z114" s="93"/>
      <c r="AA114" s="93"/>
      <c r="AB114" s="20"/>
      <c r="AC114" s="19"/>
      <c r="AD114" s="93"/>
      <c r="AE114" s="93"/>
      <c r="AF114" s="93"/>
      <c r="AG114" s="93"/>
      <c r="AH114" s="93"/>
      <c r="AI114" s="93"/>
      <c r="AJ114" s="93"/>
      <c r="AK114" s="93"/>
      <c r="AL114" s="93"/>
      <c r="AM114" s="93"/>
      <c r="AN114" s="93"/>
      <c r="AO114" s="20"/>
      <c r="AP114" s="19"/>
      <c r="AQ114" s="93"/>
      <c r="AR114" s="93"/>
      <c r="AS114" s="93"/>
      <c r="AT114" s="93"/>
      <c r="AU114" s="93"/>
      <c r="AV114" s="93"/>
      <c r="AW114" s="93"/>
      <c r="AX114" s="93"/>
      <c r="AY114" s="20"/>
      <c r="AZ114" s="29"/>
      <c r="BA114" s="93"/>
      <c r="BB114" s="93"/>
      <c r="BC114" s="93"/>
      <c r="BD114" s="93"/>
      <c r="BE114" s="20"/>
      <c r="BF114" s="29"/>
    </row>
    <row r="115" spans="1:58">
      <c r="A115" s="29" t="str">
        <f t="shared" si="18"/>
        <v/>
      </c>
      <c r="B115" s="19"/>
      <c r="C115" s="93"/>
      <c r="D115" s="93"/>
      <c r="E115" s="93"/>
      <c r="F115" s="93"/>
      <c r="G115" s="20"/>
      <c r="H115" s="19"/>
      <c r="I115" s="93"/>
      <c r="J115" s="214"/>
      <c r="K115" s="20"/>
      <c r="L115" s="19"/>
      <c r="M115" s="93"/>
      <c r="N115" s="93"/>
      <c r="O115" s="20"/>
      <c r="P115" s="19"/>
      <c r="Q115" s="93"/>
      <c r="R115" s="93"/>
      <c r="S115" s="93"/>
      <c r="T115" s="93"/>
      <c r="U115" s="93"/>
      <c r="V115" s="93"/>
      <c r="W115" s="93"/>
      <c r="X115" s="93"/>
      <c r="Y115" s="93"/>
      <c r="Z115" s="93"/>
      <c r="AA115" s="93"/>
      <c r="AB115" s="20"/>
      <c r="AC115" s="19"/>
      <c r="AD115" s="93"/>
      <c r="AE115" s="93"/>
      <c r="AF115" s="93"/>
      <c r="AG115" s="93"/>
      <c r="AH115" s="93"/>
      <c r="AI115" s="93"/>
      <c r="AJ115" s="93"/>
      <c r="AK115" s="93"/>
      <c r="AL115" s="93"/>
      <c r="AM115" s="93"/>
      <c r="AN115" s="93"/>
      <c r="AO115" s="20"/>
      <c r="AP115" s="19"/>
      <c r="AQ115" s="93"/>
      <c r="AR115" s="93"/>
      <c r="AS115" s="93"/>
      <c r="AT115" s="93"/>
      <c r="AU115" s="93"/>
      <c r="AV115" s="93"/>
      <c r="AW115" s="93"/>
      <c r="AX115" s="93"/>
      <c r="AY115" s="20"/>
      <c r="AZ115" s="29"/>
      <c r="BA115" s="93"/>
      <c r="BB115" s="93"/>
      <c r="BC115" s="93"/>
      <c r="BD115" s="93"/>
      <c r="BE115" s="20"/>
      <c r="BF115" s="29"/>
    </row>
    <row r="116" spans="1:58">
      <c r="A116" s="29" t="str">
        <f t="shared" si="18"/>
        <v/>
      </c>
      <c r="B116" s="19"/>
      <c r="C116" s="93"/>
      <c r="D116" s="93"/>
      <c r="E116" s="93"/>
      <c r="F116" s="93"/>
      <c r="G116" s="20"/>
      <c r="H116" s="19"/>
      <c r="I116" s="93"/>
      <c r="J116" s="214"/>
      <c r="K116" s="20"/>
      <c r="L116" s="19"/>
      <c r="M116" s="93"/>
      <c r="N116" s="93"/>
      <c r="O116" s="20"/>
      <c r="P116" s="19"/>
      <c r="Q116" s="93"/>
      <c r="R116" s="93"/>
      <c r="S116" s="93"/>
      <c r="T116" s="93"/>
      <c r="U116" s="93"/>
      <c r="V116" s="93"/>
      <c r="W116" s="93"/>
      <c r="X116" s="93"/>
      <c r="Y116" s="93"/>
      <c r="Z116" s="93"/>
      <c r="AA116" s="93"/>
      <c r="AB116" s="20"/>
      <c r="AC116" s="19"/>
      <c r="AD116" s="93"/>
      <c r="AE116" s="93"/>
      <c r="AF116" s="93"/>
      <c r="AG116" s="93"/>
      <c r="AH116" s="93"/>
      <c r="AI116" s="93"/>
      <c r="AJ116" s="93"/>
      <c r="AK116" s="93"/>
      <c r="AL116" s="93"/>
      <c r="AM116" s="93"/>
      <c r="AN116" s="93"/>
      <c r="AO116" s="20"/>
      <c r="AP116" s="19"/>
      <c r="AQ116" s="93"/>
      <c r="AR116" s="93"/>
      <c r="AS116" s="93"/>
      <c r="AT116" s="93"/>
      <c r="AU116" s="93"/>
      <c r="AV116" s="93"/>
      <c r="AW116" s="93"/>
      <c r="AX116" s="93"/>
      <c r="AY116" s="20"/>
      <c r="AZ116" s="29"/>
      <c r="BA116" s="93"/>
      <c r="BB116" s="93"/>
      <c r="BC116" s="93"/>
      <c r="BD116" s="93"/>
      <c r="BE116" s="20"/>
      <c r="BF116" s="29"/>
    </row>
    <row r="117" spans="1:58">
      <c r="A117" s="29" t="str">
        <f t="shared" si="18"/>
        <v/>
      </c>
      <c r="B117" s="19"/>
      <c r="C117" s="93"/>
      <c r="D117" s="93"/>
      <c r="E117" s="93"/>
      <c r="F117" s="93"/>
      <c r="G117" s="20"/>
      <c r="H117" s="19"/>
      <c r="I117" s="93"/>
      <c r="J117" s="214"/>
      <c r="K117" s="20"/>
      <c r="L117" s="19"/>
      <c r="M117" s="93"/>
      <c r="N117" s="93"/>
      <c r="O117" s="20"/>
      <c r="P117" s="19"/>
      <c r="Q117" s="93"/>
      <c r="R117" s="93"/>
      <c r="S117" s="93"/>
      <c r="T117" s="93"/>
      <c r="U117" s="93"/>
      <c r="V117" s="93"/>
      <c r="W117" s="93"/>
      <c r="X117" s="93"/>
      <c r="Y117" s="93"/>
      <c r="Z117" s="93"/>
      <c r="AA117" s="93"/>
      <c r="AB117" s="20"/>
      <c r="AC117" s="19"/>
      <c r="AD117" s="93"/>
      <c r="AE117" s="93"/>
      <c r="AF117" s="93"/>
      <c r="AG117" s="93"/>
      <c r="AH117" s="93"/>
      <c r="AI117" s="93"/>
      <c r="AJ117" s="93"/>
      <c r="AK117" s="93"/>
      <c r="AL117" s="93"/>
      <c r="AM117" s="93"/>
      <c r="AN117" s="93"/>
      <c r="AO117" s="20"/>
      <c r="AP117" s="19"/>
      <c r="AQ117" s="93"/>
      <c r="AR117" s="93"/>
      <c r="AS117" s="93"/>
      <c r="AT117" s="93"/>
      <c r="AU117" s="93"/>
      <c r="AV117" s="93"/>
      <c r="AW117" s="93"/>
      <c r="AX117" s="93"/>
      <c r="AY117" s="20"/>
      <c r="AZ117" s="29"/>
      <c r="BA117" s="93"/>
      <c r="BB117" s="93"/>
      <c r="BC117" s="93"/>
      <c r="BD117" s="93"/>
      <c r="BE117" s="20"/>
      <c r="BF117" s="29"/>
    </row>
    <row r="118" spans="1:58">
      <c r="A118" s="29" t="str">
        <f t="shared" si="18"/>
        <v/>
      </c>
      <c r="B118" s="19"/>
      <c r="C118" s="93"/>
      <c r="D118" s="93"/>
      <c r="E118" s="93"/>
      <c r="F118" s="93"/>
      <c r="G118" s="20"/>
      <c r="H118" s="19"/>
      <c r="I118" s="93"/>
      <c r="J118" s="214"/>
      <c r="K118" s="20"/>
      <c r="L118" s="19"/>
      <c r="M118" s="93"/>
      <c r="N118" s="93"/>
      <c r="O118" s="20"/>
      <c r="P118" s="19"/>
      <c r="Q118" s="93"/>
      <c r="R118" s="93"/>
      <c r="S118" s="93"/>
      <c r="T118" s="93"/>
      <c r="U118" s="93"/>
      <c r="V118" s="93"/>
      <c r="W118" s="93"/>
      <c r="X118" s="93"/>
      <c r="Y118" s="93"/>
      <c r="Z118" s="93"/>
      <c r="AA118" s="93"/>
      <c r="AB118" s="20"/>
      <c r="AC118" s="19"/>
      <c r="AD118" s="93"/>
      <c r="AE118" s="93"/>
      <c r="AF118" s="93"/>
      <c r="AG118" s="93"/>
      <c r="AH118" s="93"/>
      <c r="AI118" s="93"/>
      <c r="AJ118" s="93"/>
      <c r="AK118" s="93"/>
      <c r="AL118" s="93"/>
      <c r="AM118" s="93"/>
      <c r="AN118" s="93"/>
      <c r="AO118" s="20"/>
      <c r="AP118" s="19"/>
      <c r="AQ118" s="93"/>
      <c r="AR118" s="93"/>
      <c r="AS118" s="93"/>
      <c r="AT118" s="93"/>
      <c r="AU118" s="93"/>
      <c r="AV118" s="93"/>
      <c r="AW118" s="93"/>
      <c r="AX118" s="93"/>
      <c r="AY118" s="20"/>
      <c r="AZ118" s="29"/>
      <c r="BA118" s="93"/>
      <c r="BB118" s="93"/>
      <c r="BC118" s="93"/>
      <c r="BD118" s="93"/>
      <c r="BE118" s="20"/>
      <c r="BF118" s="29"/>
    </row>
    <row r="119" spans="1:58">
      <c r="A119" s="29" t="str">
        <f t="shared" ref="A119:A182" si="20">IF(AZ119="","",AZ118+2000)</f>
        <v/>
      </c>
      <c r="B119" s="19"/>
      <c r="C119" s="93"/>
      <c r="D119" s="93"/>
      <c r="E119" s="93"/>
      <c r="F119" s="93"/>
      <c r="G119" s="20"/>
      <c r="H119" s="19"/>
      <c r="I119" s="93"/>
      <c r="J119" s="214"/>
      <c r="K119" s="20"/>
      <c r="L119" s="19"/>
      <c r="M119" s="93"/>
      <c r="N119" s="93"/>
      <c r="O119" s="20"/>
      <c r="P119" s="19"/>
      <c r="Q119" s="93"/>
      <c r="R119" s="93"/>
      <c r="S119" s="93"/>
      <c r="T119" s="93"/>
      <c r="U119" s="93"/>
      <c r="V119" s="93"/>
      <c r="W119" s="93"/>
      <c r="X119" s="93"/>
      <c r="Y119" s="93"/>
      <c r="Z119" s="93"/>
      <c r="AA119" s="93"/>
      <c r="AB119" s="20"/>
      <c r="AC119" s="19"/>
      <c r="AD119" s="93"/>
      <c r="AE119" s="93"/>
      <c r="AF119" s="93"/>
      <c r="AG119" s="93"/>
      <c r="AH119" s="93"/>
      <c r="AI119" s="93"/>
      <c r="AJ119" s="93"/>
      <c r="AK119" s="93"/>
      <c r="AL119" s="93"/>
      <c r="AM119" s="93"/>
      <c r="AN119" s="93"/>
      <c r="AO119" s="20"/>
      <c r="AP119" s="19"/>
      <c r="AQ119" s="93"/>
      <c r="AR119" s="93"/>
      <c r="AS119" s="93"/>
      <c r="AT119" s="93"/>
      <c r="AU119" s="93"/>
      <c r="AV119" s="93"/>
      <c r="AW119" s="93"/>
      <c r="AX119" s="93"/>
      <c r="AY119" s="20"/>
      <c r="AZ119" s="29"/>
      <c r="BA119" s="93"/>
      <c r="BB119" s="93"/>
      <c r="BC119" s="93"/>
      <c r="BD119" s="93"/>
      <c r="BE119" s="20"/>
      <c r="BF119" s="29"/>
    </row>
    <row r="120" spans="1:58">
      <c r="A120" s="29" t="str">
        <f t="shared" si="20"/>
        <v/>
      </c>
      <c r="B120" s="19"/>
      <c r="C120" s="93"/>
      <c r="D120" s="93"/>
      <c r="E120" s="93"/>
      <c r="F120" s="93"/>
      <c r="G120" s="20"/>
      <c r="H120" s="19"/>
      <c r="I120" s="93"/>
      <c r="J120" s="214"/>
      <c r="K120" s="20"/>
      <c r="L120" s="19"/>
      <c r="M120" s="93"/>
      <c r="N120" s="93"/>
      <c r="O120" s="20"/>
      <c r="P120" s="19"/>
      <c r="Q120" s="93"/>
      <c r="R120" s="93"/>
      <c r="S120" s="93"/>
      <c r="T120" s="93"/>
      <c r="U120" s="93"/>
      <c r="V120" s="93"/>
      <c r="W120" s="93"/>
      <c r="X120" s="93"/>
      <c r="Y120" s="93"/>
      <c r="Z120" s="93"/>
      <c r="AA120" s="93"/>
      <c r="AB120" s="20"/>
      <c r="AC120" s="19"/>
      <c r="AD120" s="93"/>
      <c r="AE120" s="93"/>
      <c r="AF120" s="93"/>
      <c r="AG120" s="93"/>
      <c r="AH120" s="93"/>
      <c r="AI120" s="93"/>
      <c r="AJ120" s="93"/>
      <c r="AK120" s="93"/>
      <c r="AL120" s="93"/>
      <c r="AM120" s="93"/>
      <c r="AN120" s="93"/>
      <c r="AO120" s="20"/>
      <c r="AP120" s="19"/>
      <c r="AQ120" s="93"/>
      <c r="AR120" s="93"/>
      <c r="AS120" s="93"/>
      <c r="AT120" s="93"/>
      <c r="AU120" s="93"/>
      <c r="AV120" s="93"/>
      <c r="AW120" s="93"/>
      <c r="AX120" s="93"/>
      <c r="AY120" s="20"/>
      <c r="AZ120" s="29"/>
      <c r="BA120" s="93"/>
      <c r="BB120" s="93"/>
      <c r="BC120" s="93"/>
      <c r="BD120" s="93"/>
      <c r="BE120" s="20"/>
      <c r="BF120" s="29"/>
    </row>
    <row r="121" spans="1:58">
      <c r="A121" s="29" t="str">
        <f t="shared" si="20"/>
        <v/>
      </c>
      <c r="B121" s="19"/>
      <c r="C121" s="93"/>
      <c r="D121" s="93"/>
      <c r="E121" s="93"/>
      <c r="F121" s="93"/>
      <c r="G121" s="20"/>
      <c r="H121" s="19"/>
      <c r="I121" s="93"/>
      <c r="J121" s="214"/>
      <c r="K121" s="20"/>
      <c r="L121" s="19"/>
      <c r="M121" s="93"/>
      <c r="N121" s="93"/>
      <c r="O121" s="20"/>
      <c r="P121" s="19"/>
      <c r="Q121" s="93"/>
      <c r="R121" s="93"/>
      <c r="S121" s="93"/>
      <c r="T121" s="93"/>
      <c r="U121" s="93"/>
      <c r="V121" s="93"/>
      <c r="W121" s="93"/>
      <c r="X121" s="93"/>
      <c r="Y121" s="93"/>
      <c r="Z121" s="93"/>
      <c r="AA121" s="93"/>
      <c r="AB121" s="20"/>
      <c r="AC121" s="19"/>
      <c r="AD121" s="93"/>
      <c r="AE121" s="93"/>
      <c r="AF121" s="93"/>
      <c r="AG121" s="93"/>
      <c r="AH121" s="93"/>
      <c r="AI121" s="93"/>
      <c r="AJ121" s="93"/>
      <c r="AK121" s="93"/>
      <c r="AL121" s="93"/>
      <c r="AM121" s="93"/>
      <c r="AN121" s="93"/>
      <c r="AO121" s="20"/>
      <c r="AP121" s="19"/>
      <c r="AQ121" s="93"/>
      <c r="AR121" s="93"/>
      <c r="AS121" s="93"/>
      <c r="AT121" s="93"/>
      <c r="AU121" s="93"/>
      <c r="AV121" s="93"/>
      <c r="AW121" s="93"/>
      <c r="AX121" s="93"/>
      <c r="AY121" s="20"/>
      <c r="AZ121" s="29"/>
      <c r="BA121" s="93"/>
      <c r="BB121" s="93"/>
      <c r="BC121" s="93"/>
      <c r="BD121" s="93"/>
      <c r="BE121" s="20"/>
      <c r="BF121" s="29"/>
    </row>
    <row r="122" spans="1:58">
      <c r="A122" s="29" t="str">
        <f t="shared" si="20"/>
        <v/>
      </c>
      <c r="B122" s="19"/>
      <c r="C122" s="93"/>
      <c r="D122" s="93"/>
      <c r="E122" s="93"/>
      <c r="F122" s="93"/>
      <c r="G122" s="20"/>
      <c r="H122" s="19"/>
      <c r="I122" s="93"/>
      <c r="J122" s="214"/>
      <c r="K122" s="20"/>
      <c r="L122" s="19"/>
      <c r="M122" s="93"/>
      <c r="N122" s="93"/>
      <c r="O122" s="20"/>
      <c r="P122" s="19"/>
      <c r="Q122" s="93"/>
      <c r="R122" s="93"/>
      <c r="S122" s="93"/>
      <c r="T122" s="93"/>
      <c r="U122" s="93"/>
      <c r="V122" s="93"/>
      <c r="W122" s="93"/>
      <c r="X122" s="93"/>
      <c r="Y122" s="93"/>
      <c r="Z122" s="93"/>
      <c r="AA122" s="93"/>
      <c r="AB122" s="20"/>
      <c r="AC122" s="19"/>
      <c r="AD122" s="93"/>
      <c r="AE122" s="93"/>
      <c r="AF122" s="93"/>
      <c r="AG122" s="93"/>
      <c r="AH122" s="93"/>
      <c r="AI122" s="93"/>
      <c r="AJ122" s="93"/>
      <c r="AK122" s="93"/>
      <c r="AL122" s="93"/>
      <c r="AM122" s="93"/>
      <c r="AN122" s="93"/>
      <c r="AO122" s="20"/>
      <c r="AP122" s="19"/>
      <c r="AQ122" s="93"/>
      <c r="AR122" s="93"/>
      <c r="AS122" s="93"/>
      <c r="AT122" s="93"/>
      <c r="AU122" s="93"/>
      <c r="AV122" s="93"/>
      <c r="AW122" s="93"/>
      <c r="AX122" s="93"/>
      <c r="AY122" s="20"/>
      <c r="AZ122" s="29"/>
      <c r="BA122" s="93"/>
      <c r="BB122" s="93"/>
      <c r="BC122" s="93"/>
      <c r="BD122" s="93"/>
      <c r="BE122" s="20"/>
      <c r="BF122" s="29"/>
    </row>
    <row r="123" spans="1:58">
      <c r="A123" s="29" t="str">
        <f t="shared" si="20"/>
        <v/>
      </c>
      <c r="B123" s="19"/>
      <c r="C123" s="93"/>
      <c r="D123" s="93"/>
      <c r="E123" s="93"/>
      <c r="F123" s="93"/>
      <c r="G123" s="20"/>
      <c r="H123" s="19"/>
      <c r="I123" s="93"/>
      <c r="J123" s="214"/>
      <c r="K123" s="20"/>
      <c r="L123" s="19"/>
      <c r="M123" s="93"/>
      <c r="N123" s="93"/>
      <c r="O123" s="20"/>
      <c r="P123" s="19"/>
      <c r="Q123" s="93"/>
      <c r="R123" s="93"/>
      <c r="S123" s="93"/>
      <c r="T123" s="93"/>
      <c r="U123" s="93"/>
      <c r="V123" s="93"/>
      <c r="W123" s="93"/>
      <c r="X123" s="93"/>
      <c r="Y123" s="93"/>
      <c r="Z123" s="93"/>
      <c r="AA123" s="93"/>
      <c r="AB123" s="20"/>
      <c r="AC123" s="19"/>
      <c r="AD123" s="93"/>
      <c r="AE123" s="93"/>
      <c r="AF123" s="93"/>
      <c r="AG123" s="93"/>
      <c r="AH123" s="93"/>
      <c r="AI123" s="93"/>
      <c r="AJ123" s="93"/>
      <c r="AK123" s="93"/>
      <c r="AL123" s="93"/>
      <c r="AM123" s="93"/>
      <c r="AN123" s="93"/>
      <c r="AO123" s="20"/>
      <c r="AP123" s="19"/>
      <c r="AQ123" s="93"/>
      <c r="AR123" s="93"/>
      <c r="AS123" s="93"/>
      <c r="AT123" s="93"/>
      <c r="AU123" s="93"/>
      <c r="AV123" s="93"/>
      <c r="AW123" s="93"/>
      <c r="AX123" s="93"/>
      <c r="AY123" s="20"/>
      <c r="AZ123" s="29"/>
      <c r="BA123" s="93"/>
      <c r="BB123" s="93"/>
      <c r="BC123" s="93"/>
      <c r="BD123" s="93"/>
      <c r="BE123" s="20"/>
      <c r="BF123" s="29"/>
    </row>
    <row r="124" spans="1:58">
      <c r="A124" s="29" t="str">
        <f t="shared" si="20"/>
        <v/>
      </c>
      <c r="B124" s="19"/>
      <c r="C124" s="93"/>
      <c r="D124" s="93"/>
      <c r="E124" s="93"/>
      <c r="F124" s="93"/>
      <c r="G124" s="20"/>
      <c r="H124" s="19"/>
      <c r="I124" s="93"/>
      <c r="J124" s="214"/>
      <c r="K124" s="20"/>
      <c r="L124" s="19"/>
      <c r="M124" s="93"/>
      <c r="N124" s="93"/>
      <c r="O124" s="20"/>
      <c r="P124" s="19"/>
      <c r="Q124" s="93"/>
      <c r="R124" s="93"/>
      <c r="S124" s="93"/>
      <c r="T124" s="93"/>
      <c r="U124" s="93"/>
      <c r="V124" s="93"/>
      <c r="W124" s="93"/>
      <c r="X124" s="93"/>
      <c r="Y124" s="93"/>
      <c r="Z124" s="93"/>
      <c r="AA124" s="93"/>
      <c r="AB124" s="20"/>
      <c r="AC124" s="19"/>
      <c r="AD124" s="93"/>
      <c r="AE124" s="93"/>
      <c r="AF124" s="93"/>
      <c r="AG124" s="93"/>
      <c r="AH124" s="93"/>
      <c r="AI124" s="93"/>
      <c r="AJ124" s="93"/>
      <c r="AK124" s="93"/>
      <c r="AL124" s="93"/>
      <c r="AM124" s="93"/>
      <c r="AN124" s="93"/>
      <c r="AO124" s="20"/>
      <c r="AP124" s="19"/>
      <c r="AQ124" s="93"/>
      <c r="AR124" s="93"/>
      <c r="AS124" s="93"/>
      <c r="AT124" s="93"/>
      <c r="AU124" s="93"/>
      <c r="AV124" s="93"/>
      <c r="AW124" s="93"/>
      <c r="AX124" s="93"/>
      <c r="AY124" s="20"/>
      <c r="AZ124" s="29"/>
      <c r="BA124" s="93"/>
      <c r="BB124" s="93"/>
      <c r="BC124" s="93"/>
      <c r="BD124" s="93"/>
      <c r="BE124" s="20"/>
      <c r="BF124" s="29"/>
    </row>
    <row r="125" spans="1:58">
      <c r="A125" s="29" t="str">
        <f t="shared" si="20"/>
        <v/>
      </c>
      <c r="B125" s="19"/>
      <c r="C125" s="93"/>
      <c r="D125" s="93"/>
      <c r="E125" s="93"/>
      <c r="F125" s="93"/>
      <c r="G125" s="20"/>
      <c r="H125" s="19"/>
      <c r="I125" s="93"/>
      <c r="J125" s="214"/>
      <c r="K125" s="20"/>
      <c r="L125" s="19"/>
      <c r="M125" s="93"/>
      <c r="N125" s="93"/>
      <c r="O125" s="20"/>
      <c r="P125" s="19"/>
      <c r="Q125" s="93"/>
      <c r="R125" s="93"/>
      <c r="S125" s="93"/>
      <c r="T125" s="93"/>
      <c r="U125" s="93"/>
      <c r="V125" s="93"/>
      <c r="W125" s="93"/>
      <c r="X125" s="93"/>
      <c r="Y125" s="93"/>
      <c r="Z125" s="93"/>
      <c r="AA125" s="93"/>
      <c r="AB125" s="20"/>
      <c r="AC125" s="19"/>
      <c r="AD125" s="93"/>
      <c r="AE125" s="93"/>
      <c r="AF125" s="93"/>
      <c r="AG125" s="93"/>
      <c r="AH125" s="93"/>
      <c r="AI125" s="93"/>
      <c r="AJ125" s="93"/>
      <c r="AK125" s="93"/>
      <c r="AL125" s="93"/>
      <c r="AM125" s="93"/>
      <c r="AN125" s="93"/>
      <c r="AO125" s="20"/>
      <c r="AP125" s="19"/>
      <c r="AQ125" s="93"/>
      <c r="AR125" s="93"/>
      <c r="AS125" s="93"/>
      <c r="AT125" s="93"/>
      <c r="AU125" s="93"/>
      <c r="AV125" s="93"/>
      <c r="AW125" s="93"/>
      <c r="AX125" s="93"/>
      <c r="AY125" s="20"/>
      <c r="AZ125" s="29"/>
      <c r="BA125" s="93"/>
      <c r="BB125" s="93"/>
      <c r="BC125" s="93"/>
      <c r="BD125" s="93"/>
      <c r="BE125" s="20"/>
      <c r="BF125" s="29"/>
    </row>
    <row r="126" spans="1:58">
      <c r="A126" s="29" t="str">
        <f t="shared" si="20"/>
        <v/>
      </c>
      <c r="B126" s="19"/>
      <c r="C126" s="93"/>
      <c r="D126" s="93"/>
      <c r="E126" s="93"/>
      <c r="F126" s="93"/>
      <c r="G126" s="20"/>
      <c r="H126" s="19"/>
      <c r="I126" s="93"/>
      <c r="J126" s="214"/>
      <c r="K126" s="20"/>
      <c r="L126" s="19"/>
      <c r="M126" s="93"/>
      <c r="N126" s="93"/>
      <c r="O126" s="20"/>
      <c r="P126" s="19"/>
      <c r="Q126" s="93"/>
      <c r="R126" s="93"/>
      <c r="S126" s="93"/>
      <c r="T126" s="93"/>
      <c r="U126" s="93"/>
      <c r="V126" s="93"/>
      <c r="W126" s="93"/>
      <c r="X126" s="93"/>
      <c r="Y126" s="93"/>
      <c r="Z126" s="93"/>
      <c r="AA126" s="93"/>
      <c r="AB126" s="20"/>
      <c r="AC126" s="19"/>
      <c r="AD126" s="93"/>
      <c r="AE126" s="93"/>
      <c r="AF126" s="93"/>
      <c r="AG126" s="93"/>
      <c r="AH126" s="93"/>
      <c r="AI126" s="93"/>
      <c r="AJ126" s="93"/>
      <c r="AK126" s="93"/>
      <c r="AL126" s="93"/>
      <c r="AM126" s="93"/>
      <c r="AN126" s="93"/>
      <c r="AO126" s="20"/>
      <c r="AP126" s="19"/>
      <c r="AQ126" s="93"/>
      <c r="AR126" s="93"/>
      <c r="AS126" s="93"/>
      <c r="AT126" s="93"/>
      <c r="AU126" s="93"/>
      <c r="AV126" s="93"/>
      <c r="AW126" s="93"/>
      <c r="AX126" s="93"/>
      <c r="AY126" s="20"/>
      <c r="AZ126" s="29"/>
      <c r="BA126" s="93"/>
      <c r="BB126" s="93"/>
      <c r="BC126" s="93"/>
      <c r="BD126" s="93"/>
      <c r="BE126" s="20"/>
      <c r="BF126" s="29"/>
    </row>
    <row r="127" spans="1:58">
      <c r="A127" s="29" t="str">
        <f t="shared" si="20"/>
        <v/>
      </c>
      <c r="B127" s="19"/>
      <c r="C127" s="93"/>
      <c r="D127" s="93"/>
      <c r="E127" s="93"/>
      <c r="F127" s="93"/>
      <c r="G127" s="20"/>
      <c r="H127" s="19"/>
      <c r="I127" s="93"/>
      <c r="J127" s="214"/>
      <c r="K127" s="20"/>
      <c r="L127" s="19"/>
      <c r="M127" s="93"/>
      <c r="N127" s="93"/>
      <c r="O127" s="20"/>
      <c r="P127" s="19"/>
      <c r="Q127" s="93"/>
      <c r="R127" s="93"/>
      <c r="S127" s="93"/>
      <c r="T127" s="93"/>
      <c r="U127" s="93"/>
      <c r="V127" s="93"/>
      <c r="W127" s="93"/>
      <c r="X127" s="93"/>
      <c r="Y127" s="93"/>
      <c r="Z127" s="93"/>
      <c r="AA127" s="93"/>
      <c r="AB127" s="20"/>
      <c r="AC127" s="19"/>
      <c r="AD127" s="93"/>
      <c r="AE127" s="93"/>
      <c r="AF127" s="93"/>
      <c r="AG127" s="93"/>
      <c r="AH127" s="93"/>
      <c r="AI127" s="93"/>
      <c r="AJ127" s="93"/>
      <c r="AK127" s="93"/>
      <c r="AL127" s="93"/>
      <c r="AM127" s="93"/>
      <c r="AN127" s="93"/>
      <c r="AO127" s="20"/>
      <c r="AP127" s="19"/>
      <c r="AQ127" s="93"/>
      <c r="AR127" s="93"/>
      <c r="AS127" s="93"/>
      <c r="AT127" s="93"/>
      <c r="AU127" s="93"/>
      <c r="AV127" s="93"/>
      <c r="AW127" s="93"/>
      <c r="AX127" s="93"/>
      <c r="AY127" s="20"/>
      <c r="AZ127" s="29"/>
      <c r="BA127" s="93"/>
      <c r="BB127" s="93"/>
      <c r="BC127" s="93"/>
      <c r="BD127" s="93"/>
      <c r="BE127" s="20"/>
      <c r="BF127" s="29"/>
    </row>
    <row r="128" spans="1:58">
      <c r="A128" s="29" t="str">
        <f t="shared" si="20"/>
        <v/>
      </c>
      <c r="B128" s="19"/>
      <c r="C128" s="93"/>
      <c r="D128" s="93"/>
      <c r="E128" s="93"/>
      <c r="F128" s="93"/>
      <c r="G128" s="20"/>
      <c r="H128" s="19"/>
      <c r="I128" s="93"/>
      <c r="J128" s="214"/>
      <c r="K128" s="20"/>
      <c r="L128" s="19"/>
      <c r="M128" s="93"/>
      <c r="N128" s="93"/>
      <c r="O128" s="20"/>
      <c r="P128" s="19"/>
      <c r="Q128" s="93"/>
      <c r="R128" s="93"/>
      <c r="S128" s="93"/>
      <c r="T128" s="93"/>
      <c r="U128" s="93"/>
      <c r="V128" s="93"/>
      <c r="W128" s="93"/>
      <c r="X128" s="93"/>
      <c r="Y128" s="93"/>
      <c r="Z128" s="93"/>
      <c r="AA128" s="93"/>
      <c r="AB128" s="20"/>
      <c r="AC128" s="19"/>
      <c r="AD128" s="93"/>
      <c r="AE128" s="93"/>
      <c r="AF128" s="93"/>
      <c r="AG128" s="93"/>
      <c r="AH128" s="93"/>
      <c r="AI128" s="93"/>
      <c r="AJ128" s="93"/>
      <c r="AK128" s="93"/>
      <c r="AL128" s="93"/>
      <c r="AM128" s="93"/>
      <c r="AN128" s="93"/>
      <c r="AO128" s="20"/>
      <c r="AP128" s="19"/>
      <c r="AQ128" s="93"/>
      <c r="AR128" s="93"/>
      <c r="AS128" s="93"/>
      <c r="AT128" s="93"/>
      <c r="AU128" s="93"/>
      <c r="AV128" s="93"/>
      <c r="AW128" s="93"/>
      <c r="AX128" s="93"/>
      <c r="AY128" s="20"/>
      <c r="AZ128" s="29"/>
      <c r="BA128" s="93"/>
      <c r="BB128" s="93"/>
      <c r="BC128" s="93"/>
      <c r="BD128" s="93"/>
      <c r="BE128" s="20"/>
      <c r="BF128" s="29"/>
    </row>
    <row r="129" spans="1:58">
      <c r="A129" s="29" t="str">
        <f t="shared" si="20"/>
        <v/>
      </c>
      <c r="B129" s="19"/>
      <c r="C129" s="93"/>
      <c r="D129" s="93"/>
      <c r="E129" s="93"/>
      <c r="F129" s="93"/>
      <c r="G129" s="20"/>
      <c r="H129" s="19"/>
      <c r="I129" s="93"/>
      <c r="J129" s="214"/>
      <c r="K129" s="20"/>
      <c r="L129" s="19"/>
      <c r="M129" s="93"/>
      <c r="N129" s="93"/>
      <c r="O129" s="20"/>
      <c r="P129" s="19"/>
      <c r="Q129" s="93"/>
      <c r="R129" s="93"/>
      <c r="S129" s="93"/>
      <c r="T129" s="93"/>
      <c r="U129" s="93"/>
      <c r="V129" s="93"/>
      <c r="W129" s="93"/>
      <c r="X129" s="93"/>
      <c r="Y129" s="93"/>
      <c r="Z129" s="93"/>
      <c r="AA129" s="93"/>
      <c r="AB129" s="20"/>
      <c r="AC129" s="19"/>
      <c r="AD129" s="93"/>
      <c r="AE129" s="93"/>
      <c r="AF129" s="93"/>
      <c r="AG129" s="93"/>
      <c r="AH129" s="93"/>
      <c r="AI129" s="93"/>
      <c r="AJ129" s="93"/>
      <c r="AK129" s="93"/>
      <c r="AL129" s="93"/>
      <c r="AM129" s="93"/>
      <c r="AN129" s="93"/>
      <c r="AO129" s="20"/>
      <c r="AP129" s="19"/>
      <c r="AQ129" s="93"/>
      <c r="AR129" s="93"/>
      <c r="AS129" s="93"/>
      <c r="AT129" s="93"/>
      <c r="AU129" s="93"/>
      <c r="AV129" s="93"/>
      <c r="AW129" s="93"/>
      <c r="AX129" s="93"/>
      <c r="AY129" s="20"/>
      <c r="AZ129" s="29"/>
      <c r="BA129" s="93"/>
      <c r="BB129" s="93"/>
      <c r="BC129" s="93"/>
      <c r="BD129" s="93"/>
      <c r="BE129" s="20"/>
      <c r="BF129" s="29"/>
    </row>
    <row r="130" spans="1:58">
      <c r="A130" s="29" t="str">
        <f t="shared" si="20"/>
        <v/>
      </c>
      <c r="B130" s="19"/>
      <c r="C130" s="93"/>
      <c r="D130" s="93"/>
      <c r="E130" s="93"/>
      <c r="F130" s="93"/>
      <c r="G130" s="20"/>
      <c r="H130" s="19"/>
      <c r="I130" s="93"/>
      <c r="J130" s="214"/>
      <c r="K130" s="20"/>
      <c r="L130" s="19"/>
      <c r="M130" s="93"/>
      <c r="N130" s="93"/>
      <c r="O130" s="20"/>
      <c r="P130" s="19"/>
      <c r="Q130" s="93"/>
      <c r="R130" s="93"/>
      <c r="S130" s="93"/>
      <c r="T130" s="93"/>
      <c r="U130" s="93"/>
      <c r="V130" s="93"/>
      <c r="W130" s="93"/>
      <c r="X130" s="93"/>
      <c r="Y130" s="93"/>
      <c r="Z130" s="93"/>
      <c r="AA130" s="93"/>
      <c r="AB130" s="20"/>
      <c r="AC130" s="19"/>
      <c r="AD130" s="93"/>
      <c r="AE130" s="93"/>
      <c r="AF130" s="93"/>
      <c r="AG130" s="93"/>
      <c r="AH130" s="93"/>
      <c r="AI130" s="93"/>
      <c r="AJ130" s="93"/>
      <c r="AK130" s="93"/>
      <c r="AL130" s="93"/>
      <c r="AM130" s="93"/>
      <c r="AN130" s="93"/>
      <c r="AO130" s="20"/>
      <c r="AP130" s="19"/>
      <c r="AQ130" s="93"/>
      <c r="AR130" s="93"/>
      <c r="AS130" s="93"/>
      <c r="AT130" s="93"/>
      <c r="AU130" s="93"/>
      <c r="AV130" s="93"/>
      <c r="AW130" s="93"/>
      <c r="AX130" s="93"/>
      <c r="AY130" s="20"/>
      <c r="AZ130" s="29"/>
      <c r="BA130" s="93"/>
      <c r="BB130" s="93"/>
      <c r="BC130" s="93"/>
      <c r="BD130" s="93"/>
      <c r="BE130" s="20"/>
      <c r="BF130" s="29"/>
    </row>
    <row r="131" spans="1:58">
      <c r="A131" s="29" t="str">
        <f t="shared" si="20"/>
        <v/>
      </c>
      <c r="B131" s="19"/>
      <c r="C131" s="93"/>
      <c r="D131" s="93"/>
      <c r="E131" s="93"/>
      <c r="F131" s="93"/>
      <c r="G131" s="20"/>
      <c r="H131" s="19"/>
      <c r="I131" s="93"/>
      <c r="J131" s="214"/>
      <c r="K131" s="20"/>
      <c r="L131" s="19"/>
      <c r="M131" s="93"/>
      <c r="N131" s="93"/>
      <c r="O131" s="20"/>
      <c r="P131" s="19"/>
      <c r="Q131" s="93"/>
      <c r="R131" s="93"/>
      <c r="S131" s="93"/>
      <c r="T131" s="93"/>
      <c r="U131" s="93"/>
      <c r="V131" s="93"/>
      <c r="W131" s="93"/>
      <c r="X131" s="93"/>
      <c r="Y131" s="93"/>
      <c r="Z131" s="93"/>
      <c r="AA131" s="93"/>
      <c r="AB131" s="20"/>
      <c r="AC131" s="19"/>
      <c r="AD131" s="93"/>
      <c r="AE131" s="93"/>
      <c r="AF131" s="93"/>
      <c r="AG131" s="93"/>
      <c r="AH131" s="93"/>
      <c r="AI131" s="93"/>
      <c r="AJ131" s="93"/>
      <c r="AK131" s="93"/>
      <c r="AL131" s="93"/>
      <c r="AM131" s="93"/>
      <c r="AN131" s="93"/>
      <c r="AO131" s="20"/>
      <c r="AP131" s="19"/>
      <c r="AQ131" s="93"/>
      <c r="AR131" s="93"/>
      <c r="AS131" s="93"/>
      <c r="AT131" s="93"/>
      <c r="AU131" s="93"/>
      <c r="AV131" s="93"/>
      <c r="AW131" s="93"/>
      <c r="AX131" s="93"/>
      <c r="AY131" s="20"/>
      <c r="AZ131" s="29"/>
      <c r="BA131" s="93"/>
      <c r="BB131" s="93"/>
      <c r="BC131" s="93"/>
      <c r="BD131" s="93"/>
      <c r="BE131" s="20"/>
      <c r="BF131" s="29"/>
    </row>
    <row r="132" spans="1:58">
      <c r="A132" s="29" t="str">
        <f t="shared" si="20"/>
        <v/>
      </c>
      <c r="B132" s="19"/>
      <c r="C132" s="93"/>
      <c r="D132" s="93"/>
      <c r="E132" s="93"/>
      <c r="F132" s="93"/>
      <c r="G132" s="20"/>
      <c r="H132" s="19"/>
      <c r="I132" s="93"/>
      <c r="J132" s="214"/>
      <c r="K132" s="20"/>
      <c r="L132" s="19"/>
      <c r="M132" s="93"/>
      <c r="N132" s="93"/>
      <c r="O132" s="20"/>
      <c r="P132" s="19"/>
      <c r="Q132" s="93"/>
      <c r="R132" s="93"/>
      <c r="S132" s="93"/>
      <c r="T132" s="93"/>
      <c r="U132" s="93"/>
      <c r="V132" s="93"/>
      <c r="W132" s="93"/>
      <c r="X132" s="93"/>
      <c r="Y132" s="93"/>
      <c r="Z132" s="93"/>
      <c r="AA132" s="93"/>
      <c r="AB132" s="20"/>
      <c r="AC132" s="19"/>
      <c r="AD132" s="93"/>
      <c r="AE132" s="93"/>
      <c r="AF132" s="93"/>
      <c r="AG132" s="93"/>
      <c r="AH132" s="93"/>
      <c r="AI132" s="93"/>
      <c r="AJ132" s="93"/>
      <c r="AK132" s="93"/>
      <c r="AL132" s="93"/>
      <c r="AM132" s="93"/>
      <c r="AN132" s="93"/>
      <c r="AO132" s="20"/>
      <c r="AP132" s="19"/>
      <c r="AQ132" s="93"/>
      <c r="AR132" s="93"/>
      <c r="AS132" s="93"/>
      <c r="AT132" s="93"/>
      <c r="AU132" s="93"/>
      <c r="AV132" s="93"/>
      <c r="AW132" s="93"/>
      <c r="AX132" s="93"/>
      <c r="AY132" s="20"/>
      <c r="AZ132" s="29"/>
      <c r="BA132" s="93"/>
      <c r="BB132" s="93"/>
      <c r="BC132" s="93"/>
      <c r="BD132" s="93"/>
      <c r="BE132" s="20"/>
      <c r="BF132" s="29"/>
    </row>
    <row r="133" spans="1:58">
      <c r="A133" s="29" t="str">
        <f t="shared" si="20"/>
        <v/>
      </c>
      <c r="B133" s="19"/>
      <c r="C133" s="93"/>
      <c r="D133" s="93"/>
      <c r="E133" s="93"/>
      <c r="F133" s="93"/>
      <c r="G133" s="20"/>
      <c r="H133" s="19"/>
      <c r="I133" s="93"/>
      <c r="J133" s="214"/>
      <c r="K133" s="20"/>
      <c r="L133" s="19"/>
      <c r="M133" s="93"/>
      <c r="N133" s="93"/>
      <c r="O133" s="20"/>
      <c r="P133" s="19"/>
      <c r="Q133" s="93"/>
      <c r="R133" s="93"/>
      <c r="S133" s="93"/>
      <c r="T133" s="93"/>
      <c r="U133" s="93"/>
      <c r="V133" s="93"/>
      <c r="W133" s="93"/>
      <c r="X133" s="93"/>
      <c r="Y133" s="93"/>
      <c r="Z133" s="93"/>
      <c r="AA133" s="93"/>
      <c r="AB133" s="20"/>
      <c r="AC133" s="19"/>
      <c r="AD133" s="93"/>
      <c r="AE133" s="93"/>
      <c r="AF133" s="93"/>
      <c r="AG133" s="93"/>
      <c r="AH133" s="93"/>
      <c r="AI133" s="93"/>
      <c r="AJ133" s="93"/>
      <c r="AK133" s="93"/>
      <c r="AL133" s="93"/>
      <c r="AM133" s="93"/>
      <c r="AN133" s="93"/>
      <c r="AO133" s="20"/>
      <c r="AP133" s="19"/>
      <c r="AQ133" s="93"/>
      <c r="AR133" s="93"/>
      <c r="AS133" s="93"/>
      <c r="AT133" s="93"/>
      <c r="AU133" s="93"/>
      <c r="AV133" s="93"/>
      <c r="AW133" s="93"/>
      <c r="AX133" s="93"/>
      <c r="AY133" s="20"/>
      <c r="AZ133" s="29"/>
      <c r="BA133" s="93"/>
      <c r="BB133" s="93"/>
      <c r="BC133" s="93"/>
      <c r="BD133" s="93"/>
      <c r="BE133" s="20"/>
      <c r="BF133" s="29"/>
    </row>
    <row r="134" spans="1:58">
      <c r="A134" s="29" t="str">
        <f t="shared" si="20"/>
        <v/>
      </c>
      <c r="B134" s="19"/>
      <c r="C134" s="93"/>
      <c r="D134" s="93"/>
      <c r="E134" s="93"/>
      <c r="F134" s="93"/>
      <c r="G134" s="20"/>
      <c r="H134" s="19"/>
      <c r="I134" s="93"/>
      <c r="J134" s="214"/>
      <c r="K134" s="20"/>
      <c r="L134" s="19"/>
      <c r="M134" s="93"/>
      <c r="N134" s="93"/>
      <c r="O134" s="20"/>
      <c r="P134" s="19"/>
      <c r="Q134" s="93"/>
      <c r="R134" s="93"/>
      <c r="S134" s="93"/>
      <c r="T134" s="93"/>
      <c r="U134" s="93"/>
      <c r="V134" s="93"/>
      <c r="W134" s="93"/>
      <c r="X134" s="93"/>
      <c r="Y134" s="93"/>
      <c r="Z134" s="93"/>
      <c r="AA134" s="93"/>
      <c r="AB134" s="20"/>
      <c r="AC134" s="19"/>
      <c r="AD134" s="93"/>
      <c r="AE134" s="93"/>
      <c r="AF134" s="93"/>
      <c r="AG134" s="93"/>
      <c r="AH134" s="93"/>
      <c r="AI134" s="93"/>
      <c r="AJ134" s="93"/>
      <c r="AK134" s="93"/>
      <c r="AL134" s="93"/>
      <c r="AM134" s="93"/>
      <c r="AN134" s="93"/>
      <c r="AO134" s="20"/>
      <c r="AP134" s="19"/>
      <c r="AQ134" s="93"/>
      <c r="AR134" s="93"/>
      <c r="AS134" s="93"/>
      <c r="AT134" s="93"/>
      <c r="AU134" s="93"/>
      <c r="AV134" s="93"/>
      <c r="AW134" s="93"/>
      <c r="AX134" s="93"/>
      <c r="AY134" s="20"/>
      <c r="AZ134" s="29"/>
      <c r="BA134" s="93"/>
      <c r="BB134" s="93"/>
      <c r="BC134" s="93"/>
      <c r="BD134" s="93"/>
      <c r="BE134" s="20"/>
      <c r="BF134" s="29"/>
    </row>
    <row r="135" spans="1:58">
      <c r="A135" s="29" t="str">
        <f t="shared" si="20"/>
        <v/>
      </c>
      <c r="B135" s="19"/>
      <c r="C135" s="93"/>
      <c r="D135" s="93"/>
      <c r="E135" s="93"/>
      <c r="F135" s="93"/>
      <c r="G135" s="20"/>
      <c r="H135" s="19"/>
      <c r="I135" s="93"/>
      <c r="J135" s="214"/>
      <c r="K135" s="20"/>
      <c r="L135" s="19"/>
      <c r="M135" s="93"/>
      <c r="N135" s="93"/>
      <c r="O135" s="20"/>
      <c r="P135" s="19"/>
      <c r="Q135" s="93"/>
      <c r="R135" s="93"/>
      <c r="S135" s="93"/>
      <c r="T135" s="93"/>
      <c r="U135" s="93"/>
      <c r="V135" s="93"/>
      <c r="W135" s="93"/>
      <c r="X135" s="93"/>
      <c r="Y135" s="93"/>
      <c r="Z135" s="93"/>
      <c r="AA135" s="93"/>
      <c r="AB135" s="20"/>
      <c r="AC135" s="19"/>
      <c r="AD135" s="93"/>
      <c r="AE135" s="93"/>
      <c r="AF135" s="93"/>
      <c r="AG135" s="93"/>
      <c r="AH135" s="93"/>
      <c r="AI135" s="93"/>
      <c r="AJ135" s="93"/>
      <c r="AK135" s="93"/>
      <c r="AL135" s="93"/>
      <c r="AM135" s="93"/>
      <c r="AN135" s="93"/>
      <c r="AO135" s="20"/>
      <c r="AP135" s="19"/>
      <c r="AQ135" s="93"/>
      <c r="AR135" s="93"/>
      <c r="AS135" s="93"/>
      <c r="AT135" s="93"/>
      <c r="AU135" s="93"/>
      <c r="AV135" s="93"/>
      <c r="AW135" s="93"/>
      <c r="AX135" s="93"/>
      <c r="AY135" s="20"/>
      <c r="AZ135" s="29"/>
      <c r="BA135" s="93"/>
      <c r="BB135" s="93"/>
      <c r="BC135" s="93"/>
      <c r="BD135" s="93"/>
      <c r="BE135" s="20"/>
      <c r="BF135" s="29"/>
    </row>
    <row r="136" spans="1:58">
      <c r="A136" s="29" t="str">
        <f t="shared" si="20"/>
        <v/>
      </c>
      <c r="B136" s="19"/>
      <c r="C136" s="93"/>
      <c r="D136" s="93"/>
      <c r="E136" s="93"/>
      <c r="F136" s="93"/>
      <c r="G136" s="20"/>
      <c r="H136" s="19"/>
      <c r="I136" s="93"/>
      <c r="J136" s="214"/>
      <c r="K136" s="20"/>
      <c r="L136" s="19"/>
      <c r="M136" s="93"/>
      <c r="N136" s="93"/>
      <c r="O136" s="20"/>
      <c r="P136" s="19"/>
      <c r="Q136" s="93"/>
      <c r="R136" s="93"/>
      <c r="S136" s="93"/>
      <c r="T136" s="93"/>
      <c r="U136" s="93"/>
      <c r="V136" s="93"/>
      <c r="W136" s="93"/>
      <c r="X136" s="93"/>
      <c r="Y136" s="93"/>
      <c r="Z136" s="93"/>
      <c r="AA136" s="93"/>
      <c r="AB136" s="20"/>
      <c r="AC136" s="19"/>
      <c r="AD136" s="93"/>
      <c r="AE136" s="93"/>
      <c r="AF136" s="93"/>
      <c r="AG136" s="93"/>
      <c r="AH136" s="93"/>
      <c r="AI136" s="93"/>
      <c r="AJ136" s="93"/>
      <c r="AK136" s="93"/>
      <c r="AL136" s="93"/>
      <c r="AM136" s="93"/>
      <c r="AN136" s="93"/>
      <c r="AO136" s="20"/>
      <c r="AP136" s="19"/>
      <c r="AQ136" s="93"/>
      <c r="AR136" s="93"/>
      <c r="AS136" s="93"/>
      <c r="AT136" s="93"/>
      <c r="AU136" s="93"/>
      <c r="AV136" s="93"/>
      <c r="AW136" s="93"/>
      <c r="AX136" s="93"/>
      <c r="AY136" s="20"/>
      <c r="AZ136" s="29"/>
      <c r="BA136" s="93"/>
      <c r="BB136" s="93"/>
      <c r="BC136" s="93"/>
      <c r="BD136" s="93"/>
      <c r="BE136" s="20"/>
      <c r="BF136" s="29"/>
    </row>
    <row r="137" spans="1:58">
      <c r="A137" s="29" t="str">
        <f t="shared" si="20"/>
        <v/>
      </c>
      <c r="B137" s="19"/>
      <c r="C137" s="93"/>
      <c r="D137" s="93"/>
      <c r="E137" s="93"/>
      <c r="F137" s="93"/>
      <c r="G137" s="20"/>
      <c r="H137" s="19"/>
      <c r="I137" s="93"/>
      <c r="J137" s="214"/>
      <c r="K137" s="20"/>
      <c r="L137" s="19"/>
      <c r="M137" s="93"/>
      <c r="N137" s="93"/>
      <c r="O137" s="20"/>
      <c r="P137" s="19"/>
      <c r="Q137" s="93"/>
      <c r="R137" s="93"/>
      <c r="S137" s="93"/>
      <c r="T137" s="93"/>
      <c r="U137" s="93"/>
      <c r="V137" s="93"/>
      <c r="W137" s="93"/>
      <c r="X137" s="93"/>
      <c r="Y137" s="93"/>
      <c r="Z137" s="93"/>
      <c r="AA137" s="93"/>
      <c r="AB137" s="20"/>
      <c r="AC137" s="19"/>
      <c r="AD137" s="93"/>
      <c r="AE137" s="93"/>
      <c r="AF137" s="93"/>
      <c r="AG137" s="93"/>
      <c r="AH137" s="93"/>
      <c r="AI137" s="93"/>
      <c r="AJ137" s="93"/>
      <c r="AK137" s="93"/>
      <c r="AL137" s="93"/>
      <c r="AM137" s="93"/>
      <c r="AN137" s="93"/>
      <c r="AO137" s="20"/>
      <c r="AP137" s="19"/>
      <c r="AQ137" s="93"/>
      <c r="AR137" s="93"/>
      <c r="AS137" s="93"/>
      <c r="AT137" s="93"/>
      <c r="AU137" s="93"/>
      <c r="AV137" s="93"/>
      <c r="AW137" s="93"/>
      <c r="AX137" s="93"/>
      <c r="AY137" s="20"/>
      <c r="AZ137" s="29"/>
      <c r="BA137" s="93"/>
      <c r="BB137" s="93"/>
      <c r="BC137" s="93"/>
      <c r="BD137" s="93"/>
      <c r="BE137" s="20"/>
      <c r="BF137" s="29"/>
    </row>
    <row r="138" spans="1:58">
      <c r="A138" s="29" t="str">
        <f t="shared" si="20"/>
        <v/>
      </c>
      <c r="B138" s="19"/>
      <c r="C138" s="93"/>
      <c r="D138" s="93"/>
      <c r="E138" s="93"/>
      <c r="F138" s="93"/>
      <c r="G138" s="20"/>
      <c r="H138" s="19"/>
      <c r="I138" s="93"/>
      <c r="J138" s="214"/>
      <c r="K138" s="20"/>
      <c r="L138" s="19"/>
      <c r="M138" s="93"/>
      <c r="N138" s="93"/>
      <c r="O138" s="20"/>
      <c r="P138" s="19"/>
      <c r="Q138" s="93"/>
      <c r="R138" s="93"/>
      <c r="S138" s="93"/>
      <c r="T138" s="93"/>
      <c r="U138" s="93"/>
      <c r="V138" s="93"/>
      <c r="W138" s="93"/>
      <c r="X138" s="93"/>
      <c r="Y138" s="93"/>
      <c r="Z138" s="93"/>
      <c r="AA138" s="93"/>
      <c r="AB138" s="20"/>
      <c r="AC138" s="19"/>
      <c r="AD138" s="93"/>
      <c r="AE138" s="93"/>
      <c r="AF138" s="93"/>
      <c r="AG138" s="93"/>
      <c r="AH138" s="93"/>
      <c r="AI138" s="93"/>
      <c r="AJ138" s="93"/>
      <c r="AK138" s="93"/>
      <c r="AL138" s="93"/>
      <c r="AM138" s="93"/>
      <c r="AN138" s="93"/>
      <c r="AO138" s="20"/>
      <c r="AP138" s="19"/>
      <c r="AQ138" s="93"/>
      <c r="AR138" s="93"/>
      <c r="AS138" s="93"/>
      <c r="AT138" s="93"/>
      <c r="AU138" s="93"/>
      <c r="AV138" s="93"/>
      <c r="AW138" s="93"/>
      <c r="AX138" s="93"/>
      <c r="AY138" s="20"/>
      <c r="AZ138" s="29"/>
      <c r="BA138" s="93"/>
      <c r="BB138" s="93"/>
      <c r="BC138" s="93"/>
      <c r="BD138" s="93"/>
      <c r="BE138" s="20"/>
      <c r="BF138" s="29"/>
    </row>
    <row r="139" spans="1:58">
      <c r="A139" s="29" t="str">
        <f t="shared" si="20"/>
        <v/>
      </c>
      <c r="B139" s="19"/>
      <c r="C139" s="93"/>
      <c r="D139" s="93"/>
      <c r="E139" s="93"/>
      <c r="F139" s="93"/>
      <c r="G139" s="20"/>
      <c r="H139" s="19"/>
      <c r="I139" s="93"/>
      <c r="J139" s="214"/>
      <c r="K139" s="20"/>
      <c r="L139" s="19"/>
      <c r="M139" s="93"/>
      <c r="N139" s="93"/>
      <c r="O139" s="20"/>
      <c r="P139" s="19"/>
      <c r="Q139" s="93"/>
      <c r="R139" s="93"/>
      <c r="S139" s="93"/>
      <c r="T139" s="93"/>
      <c r="U139" s="93"/>
      <c r="V139" s="93"/>
      <c r="W139" s="93"/>
      <c r="X139" s="93"/>
      <c r="Y139" s="93"/>
      <c r="Z139" s="93"/>
      <c r="AA139" s="93"/>
      <c r="AB139" s="20"/>
      <c r="AC139" s="19"/>
      <c r="AD139" s="93"/>
      <c r="AE139" s="93"/>
      <c r="AF139" s="93"/>
      <c r="AG139" s="93"/>
      <c r="AH139" s="93"/>
      <c r="AI139" s="93"/>
      <c r="AJ139" s="93"/>
      <c r="AK139" s="93"/>
      <c r="AL139" s="93"/>
      <c r="AM139" s="93"/>
      <c r="AN139" s="93"/>
      <c r="AO139" s="20"/>
      <c r="AP139" s="19"/>
      <c r="AQ139" s="93"/>
      <c r="AR139" s="93"/>
      <c r="AS139" s="93"/>
      <c r="AT139" s="93"/>
      <c r="AU139" s="93"/>
      <c r="AV139" s="93"/>
      <c r="AW139" s="93"/>
      <c r="AX139" s="93"/>
      <c r="AY139" s="20"/>
      <c r="AZ139" s="29"/>
      <c r="BA139" s="93"/>
      <c r="BB139" s="93"/>
      <c r="BC139" s="93"/>
      <c r="BD139" s="93"/>
      <c r="BE139" s="20"/>
      <c r="BF139" s="29"/>
    </row>
    <row r="140" spans="1:58">
      <c r="A140" s="29" t="str">
        <f t="shared" si="20"/>
        <v/>
      </c>
      <c r="B140" s="19"/>
      <c r="C140" s="93"/>
      <c r="D140" s="93"/>
      <c r="E140" s="93"/>
      <c r="F140" s="93"/>
      <c r="G140" s="20"/>
      <c r="H140" s="19"/>
      <c r="I140" s="93"/>
      <c r="J140" s="214"/>
      <c r="K140" s="20"/>
      <c r="L140" s="19"/>
      <c r="M140" s="93"/>
      <c r="N140" s="93"/>
      <c r="O140" s="20"/>
      <c r="P140" s="19"/>
      <c r="Q140" s="93"/>
      <c r="R140" s="93"/>
      <c r="S140" s="93"/>
      <c r="T140" s="93"/>
      <c r="U140" s="93"/>
      <c r="V140" s="93"/>
      <c r="W140" s="93"/>
      <c r="X140" s="93"/>
      <c r="Y140" s="93"/>
      <c r="Z140" s="93"/>
      <c r="AA140" s="93"/>
      <c r="AB140" s="20"/>
      <c r="AC140" s="19"/>
      <c r="AD140" s="93"/>
      <c r="AE140" s="93"/>
      <c r="AF140" s="93"/>
      <c r="AG140" s="93"/>
      <c r="AH140" s="93"/>
      <c r="AI140" s="93"/>
      <c r="AJ140" s="93"/>
      <c r="AK140" s="93"/>
      <c r="AL140" s="93"/>
      <c r="AM140" s="93"/>
      <c r="AN140" s="93"/>
      <c r="AO140" s="20"/>
      <c r="AP140" s="19"/>
      <c r="AQ140" s="93"/>
      <c r="AR140" s="93"/>
      <c r="AS140" s="93"/>
      <c r="AT140" s="93"/>
      <c r="AU140" s="93"/>
      <c r="AV140" s="93"/>
      <c r="AW140" s="93"/>
      <c r="AX140" s="93"/>
      <c r="AY140" s="20"/>
      <c r="AZ140" s="29"/>
      <c r="BA140" s="93"/>
      <c r="BB140" s="93"/>
      <c r="BC140" s="93"/>
      <c r="BD140" s="93"/>
      <c r="BE140" s="20"/>
      <c r="BF140" s="29"/>
    </row>
    <row r="141" spans="1:58">
      <c r="A141" s="29" t="str">
        <f t="shared" si="20"/>
        <v/>
      </c>
      <c r="B141" s="19"/>
      <c r="C141" s="93"/>
      <c r="D141" s="93"/>
      <c r="E141" s="93"/>
      <c r="F141" s="93"/>
      <c r="G141" s="20"/>
      <c r="H141" s="19"/>
      <c r="I141" s="93"/>
      <c r="J141" s="214"/>
      <c r="K141" s="20"/>
      <c r="L141" s="19"/>
      <c r="M141" s="93"/>
      <c r="N141" s="93"/>
      <c r="O141" s="20"/>
      <c r="P141" s="19"/>
      <c r="Q141" s="93"/>
      <c r="R141" s="93"/>
      <c r="S141" s="93"/>
      <c r="T141" s="93"/>
      <c r="U141" s="93"/>
      <c r="V141" s="93"/>
      <c r="W141" s="93"/>
      <c r="X141" s="93"/>
      <c r="Y141" s="93"/>
      <c r="Z141" s="93"/>
      <c r="AA141" s="93"/>
      <c r="AB141" s="20"/>
      <c r="AC141" s="19"/>
      <c r="AD141" s="93"/>
      <c r="AE141" s="93"/>
      <c r="AF141" s="93"/>
      <c r="AG141" s="93"/>
      <c r="AH141" s="93"/>
      <c r="AI141" s="93"/>
      <c r="AJ141" s="93"/>
      <c r="AK141" s="93"/>
      <c r="AL141" s="93"/>
      <c r="AM141" s="93"/>
      <c r="AN141" s="93"/>
      <c r="AO141" s="20"/>
      <c r="AP141" s="19"/>
      <c r="AQ141" s="93"/>
      <c r="AR141" s="93"/>
      <c r="AS141" s="93"/>
      <c r="AT141" s="93"/>
      <c r="AU141" s="93"/>
      <c r="AV141" s="93"/>
      <c r="AW141" s="93"/>
      <c r="AX141" s="93"/>
      <c r="AY141" s="20"/>
      <c r="AZ141" s="29"/>
      <c r="BA141" s="93"/>
      <c r="BB141" s="93"/>
      <c r="BC141" s="93"/>
      <c r="BD141" s="93"/>
      <c r="BE141" s="20"/>
      <c r="BF141" s="29"/>
    </row>
    <row r="142" spans="1:58">
      <c r="A142" s="29" t="str">
        <f t="shared" si="20"/>
        <v/>
      </c>
      <c r="B142" s="19"/>
      <c r="C142" s="93"/>
      <c r="D142" s="93"/>
      <c r="E142" s="93"/>
      <c r="F142" s="93"/>
      <c r="G142" s="20"/>
      <c r="H142" s="19"/>
      <c r="I142" s="93"/>
      <c r="J142" s="214"/>
      <c r="K142" s="20"/>
      <c r="L142" s="19"/>
      <c r="M142" s="93"/>
      <c r="N142" s="93"/>
      <c r="O142" s="20"/>
      <c r="P142" s="19"/>
      <c r="Q142" s="93"/>
      <c r="R142" s="93"/>
      <c r="S142" s="93"/>
      <c r="T142" s="93"/>
      <c r="U142" s="93"/>
      <c r="V142" s="93"/>
      <c r="W142" s="93"/>
      <c r="X142" s="93"/>
      <c r="Y142" s="93"/>
      <c r="Z142" s="93"/>
      <c r="AA142" s="93"/>
      <c r="AB142" s="20"/>
      <c r="AC142" s="19"/>
      <c r="AD142" s="93"/>
      <c r="AE142" s="93"/>
      <c r="AF142" s="93"/>
      <c r="AG142" s="93"/>
      <c r="AH142" s="93"/>
      <c r="AI142" s="93"/>
      <c r="AJ142" s="93"/>
      <c r="AK142" s="93"/>
      <c r="AL142" s="93"/>
      <c r="AM142" s="93"/>
      <c r="AN142" s="93"/>
      <c r="AO142" s="20"/>
      <c r="AP142" s="19"/>
      <c r="AQ142" s="93"/>
      <c r="AR142" s="93"/>
      <c r="AS142" s="93"/>
      <c r="AT142" s="93"/>
      <c r="AU142" s="93"/>
      <c r="AV142" s="93"/>
      <c r="AW142" s="93"/>
      <c r="AX142" s="93"/>
      <c r="AY142" s="20"/>
      <c r="AZ142" s="29"/>
      <c r="BA142" s="93"/>
      <c r="BB142" s="93"/>
      <c r="BC142" s="93"/>
      <c r="BD142" s="93"/>
      <c r="BE142" s="20"/>
      <c r="BF142" s="29"/>
    </row>
    <row r="143" spans="1:58">
      <c r="A143" s="29" t="str">
        <f t="shared" si="20"/>
        <v/>
      </c>
      <c r="B143" s="19"/>
      <c r="C143" s="93"/>
      <c r="D143" s="93"/>
      <c r="E143" s="93"/>
      <c r="F143" s="93"/>
      <c r="G143" s="20"/>
      <c r="H143" s="19"/>
      <c r="I143" s="93"/>
      <c r="J143" s="214"/>
      <c r="K143" s="20"/>
      <c r="L143" s="19"/>
      <c r="M143" s="93"/>
      <c r="N143" s="93"/>
      <c r="O143" s="20"/>
      <c r="P143" s="19"/>
      <c r="Q143" s="93"/>
      <c r="R143" s="93"/>
      <c r="S143" s="93"/>
      <c r="T143" s="93"/>
      <c r="U143" s="93"/>
      <c r="V143" s="93"/>
      <c r="W143" s="93"/>
      <c r="X143" s="93"/>
      <c r="Y143" s="93"/>
      <c r="Z143" s="93"/>
      <c r="AA143" s="93"/>
      <c r="AB143" s="20"/>
      <c r="AC143" s="19"/>
      <c r="AD143" s="93"/>
      <c r="AE143" s="93"/>
      <c r="AF143" s="93"/>
      <c r="AG143" s="93"/>
      <c r="AH143" s="93"/>
      <c r="AI143" s="93"/>
      <c r="AJ143" s="93"/>
      <c r="AK143" s="93"/>
      <c r="AL143" s="93"/>
      <c r="AM143" s="93"/>
      <c r="AN143" s="93"/>
      <c r="AO143" s="20"/>
      <c r="AP143" s="19"/>
      <c r="AQ143" s="93"/>
      <c r="AR143" s="93"/>
      <c r="AS143" s="93"/>
      <c r="AT143" s="93"/>
      <c r="AU143" s="93"/>
      <c r="AV143" s="93"/>
      <c r="AW143" s="93"/>
      <c r="AX143" s="93"/>
      <c r="AY143" s="20"/>
      <c r="AZ143" s="29"/>
      <c r="BA143" s="93"/>
      <c r="BB143" s="93"/>
      <c r="BC143" s="93"/>
      <c r="BD143" s="93"/>
      <c r="BE143" s="20"/>
      <c r="BF143" s="29"/>
    </row>
    <row r="144" spans="1:58">
      <c r="A144" s="29" t="str">
        <f t="shared" si="20"/>
        <v/>
      </c>
      <c r="B144" s="19"/>
      <c r="C144" s="93"/>
      <c r="D144" s="93"/>
      <c r="E144" s="93"/>
      <c r="F144" s="93"/>
      <c r="G144" s="20"/>
      <c r="H144" s="19"/>
      <c r="I144" s="93"/>
      <c r="J144" s="214"/>
      <c r="K144" s="20"/>
      <c r="L144" s="19"/>
      <c r="M144" s="93"/>
      <c r="N144" s="93"/>
      <c r="O144" s="20"/>
      <c r="P144" s="19"/>
      <c r="Q144" s="93"/>
      <c r="R144" s="93"/>
      <c r="S144" s="93"/>
      <c r="T144" s="93"/>
      <c r="U144" s="93"/>
      <c r="V144" s="93"/>
      <c r="W144" s="93"/>
      <c r="X144" s="93"/>
      <c r="Y144" s="93"/>
      <c r="Z144" s="93"/>
      <c r="AA144" s="93"/>
      <c r="AB144" s="20"/>
      <c r="AC144" s="19"/>
      <c r="AD144" s="93"/>
      <c r="AE144" s="93"/>
      <c r="AF144" s="93"/>
      <c r="AG144" s="93"/>
      <c r="AH144" s="93"/>
      <c r="AI144" s="93"/>
      <c r="AJ144" s="93"/>
      <c r="AK144" s="93"/>
      <c r="AL144" s="93"/>
      <c r="AM144" s="93"/>
      <c r="AN144" s="93"/>
      <c r="AO144" s="20"/>
      <c r="AP144" s="19"/>
      <c r="AQ144" s="93"/>
      <c r="AR144" s="93"/>
      <c r="AS144" s="93"/>
      <c r="AT144" s="93"/>
      <c r="AU144" s="93"/>
      <c r="AV144" s="93"/>
      <c r="AW144" s="93"/>
      <c r="AX144" s="93"/>
      <c r="AY144" s="20"/>
      <c r="AZ144" s="29"/>
      <c r="BA144" s="93"/>
      <c r="BB144" s="93"/>
      <c r="BC144" s="93"/>
      <c r="BD144" s="93"/>
      <c r="BE144" s="20"/>
      <c r="BF144" s="29"/>
    </row>
    <row r="145" spans="1:58">
      <c r="A145" s="29" t="str">
        <f t="shared" si="20"/>
        <v/>
      </c>
      <c r="B145" s="19"/>
      <c r="C145" s="93"/>
      <c r="D145" s="93"/>
      <c r="E145" s="93"/>
      <c r="F145" s="93"/>
      <c r="G145" s="20"/>
      <c r="H145" s="19"/>
      <c r="I145" s="93"/>
      <c r="J145" s="214"/>
      <c r="K145" s="20"/>
      <c r="L145" s="19"/>
      <c r="M145" s="93"/>
      <c r="N145" s="93"/>
      <c r="O145" s="20"/>
      <c r="P145" s="19"/>
      <c r="Q145" s="93"/>
      <c r="R145" s="93"/>
      <c r="S145" s="93"/>
      <c r="T145" s="93"/>
      <c r="U145" s="93"/>
      <c r="V145" s="93"/>
      <c r="W145" s="93"/>
      <c r="X145" s="93"/>
      <c r="Y145" s="93"/>
      <c r="Z145" s="93"/>
      <c r="AA145" s="93"/>
      <c r="AB145" s="20"/>
      <c r="AC145" s="19"/>
      <c r="AD145" s="93"/>
      <c r="AE145" s="93"/>
      <c r="AF145" s="93"/>
      <c r="AG145" s="93"/>
      <c r="AH145" s="93"/>
      <c r="AI145" s="93"/>
      <c r="AJ145" s="93"/>
      <c r="AK145" s="93"/>
      <c r="AL145" s="93"/>
      <c r="AM145" s="93"/>
      <c r="AN145" s="93"/>
      <c r="AO145" s="20"/>
      <c r="AP145" s="19"/>
      <c r="AQ145" s="93"/>
      <c r="AR145" s="93"/>
      <c r="AS145" s="93"/>
      <c r="AT145" s="93"/>
      <c r="AU145" s="93"/>
      <c r="AV145" s="93"/>
      <c r="AW145" s="93"/>
      <c r="AX145" s="93"/>
      <c r="AY145" s="20"/>
      <c r="AZ145" s="29"/>
      <c r="BA145" s="93"/>
      <c r="BB145" s="93"/>
      <c r="BC145" s="93"/>
      <c r="BD145" s="93"/>
      <c r="BE145" s="20"/>
      <c r="BF145" s="29"/>
    </row>
    <row r="146" spans="1:58">
      <c r="A146" s="29" t="str">
        <f t="shared" si="20"/>
        <v/>
      </c>
      <c r="B146" s="19"/>
      <c r="C146" s="93"/>
      <c r="D146" s="93"/>
      <c r="E146" s="93"/>
      <c r="F146" s="93"/>
      <c r="G146" s="20"/>
      <c r="H146" s="19"/>
      <c r="I146" s="93"/>
      <c r="J146" s="214"/>
      <c r="K146" s="20"/>
      <c r="L146" s="19"/>
      <c r="M146" s="93"/>
      <c r="N146" s="93"/>
      <c r="O146" s="20"/>
      <c r="P146" s="19"/>
      <c r="Q146" s="93"/>
      <c r="R146" s="93"/>
      <c r="S146" s="93"/>
      <c r="T146" s="93"/>
      <c r="U146" s="93"/>
      <c r="V146" s="93"/>
      <c r="W146" s="93"/>
      <c r="X146" s="93"/>
      <c r="Y146" s="93"/>
      <c r="Z146" s="93"/>
      <c r="AA146" s="93"/>
      <c r="AB146" s="20"/>
      <c r="AC146" s="19"/>
      <c r="AD146" s="93"/>
      <c r="AE146" s="93"/>
      <c r="AF146" s="93"/>
      <c r="AG146" s="93"/>
      <c r="AH146" s="93"/>
      <c r="AI146" s="93"/>
      <c r="AJ146" s="93"/>
      <c r="AK146" s="93"/>
      <c r="AL146" s="93"/>
      <c r="AM146" s="93"/>
      <c r="AN146" s="93"/>
      <c r="AO146" s="20"/>
      <c r="AP146" s="19"/>
      <c r="AQ146" s="93"/>
      <c r="AR146" s="93"/>
      <c r="AS146" s="93"/>
      <c r="AT146" s="93"/>
      <c r="AU146" s="93"/>
      <c r="AV146" s="93"/>
      <c r="AW146" s="93"/>
      <c r="AX146" s="93"/>
      <c r="AY146" s="20"/>
      <c r="AZ146" s="29"/>
      <c r="BA146" s="93"/>
      <c r="BB146" s="93"/>
      <c r="BC146" s="93"/>
      <c r="BD146" s="93"/>
      <c r="BE146" s="20"/>
      <c r="BF146" s="29"/>
    </row>
    <row r="147" spans="1:58">
      <c r="A147" s="29" t="str">
        <f t="shared" si="20"/>
        <v/>
      </c>
      <c r="B147" s="19"/>
      <c r="C147" s="93"/>
      <c r="D147" s="93"/>
      <c r="E147" s="93"/>
      <c r="F147" s="93"/>
      <c r="G147" s="20"/>
      <c r="H147" s="19"/>
      <c r="I147" s="93"/>
      <c r="J147" s="214"/>
      <c r="K147" s="20"/>
      <c r="L147" s="19"/>
      <c r="M147" s="93"/>
      <c r="N147" s="93"/>
      <c r="O147" s="20"/>
      <c r="P147" s="19"/>
      <c r="Q147" s="93"/>
      <c r="R147" s="93"/>
      <c r="S147" s="93"/>
      <c r="T147" s="93"/>
      <c r="U147" s="93"/>
      <c r="V147" s="93"/>
      <c r="W147" s="93"/>
      <c r="X147" s="93"/>
      <c r="Y147" s="93"/>
      <c r="Z147" s="93"/>
      <c r="AA147" s="93"/>
      <c r="AB147" s="20"/>
      <c r="AC147" s="19"/>
      <c r="AD147" s="93"/>
      <c r="AE147" s="93"/>
      <c r="AF147" s="93"/>
      <c r="AG147" s="93"/>
      <c r="AH147" s="93"/>
      <c r="AI147" s="93"/>
      <c r="AJ147" s="93"/>
      <c r="AK147" s="93"/>
      <c r="AL147" s="93"/>
      <c r="AM147" s="93"/>
      <c r="AN147" s="93"/>
      <c r="AO147" s="20"/>
      <c r="AP147" s="19"/>
      <c r="AQ147" s="93"/>
      <c r="AR147" s="93"/>
      <c r="AS147" s="93"/>
      <c r="AT147" s="93"/>
      <c r="AU147" s="93"/>
      <c r="AV147" s="93"/>
      <c r="AW147" s="93"/>
      <c r="AX147" s="93"/>
      <c r="AY147" s="20"/>
      <c r="AZ147" s="29"/>
      <c r="BA147" s="93"/>
      <c r="BB147" s="93"/>
      <c r="BC147" s="93"/>
      <c r="BD147" s="93"/>
      <c r="BE147" s="20"/>
      <c r="BF147" s="29"/>
    </row>
    <row r="148" spans="1:58">
      <c r="A148" s="29" t="str">
        <f t="shared" si="20"/>
        <v/>
      </c>
      <c r="B148" s="19"/>
      <c r="C148" s="93"/>
      <c r="D148" s="93"/>
      <c r="E148" s="93"/>
      <c r="F148" s="93"/>
      <c r="G148" s="20"/>
      <c r="H148" s="19"/>
      <c r="I148" s="93"/>
      <c r="J148" s="214"/>
      <c r="K148" s="20"/>
      <c r="L148" s="19"/>
      <c r="M148" s="93"/>
      <c r="N148" s="93"/>
      <c r="O148" s="20"/>
      <c r="P148" s="19"/>
      <c r="Q148" s="93"/>
      <c r="R148" s="93"/>
      <c r="S148" s="93"/>
      <c r="T148" s="93"/>
      <c r="U148" s="93"/>
      <c r="V148" s="93"/>
      <c r="W148" s="93"/>
      <c r="X148" s="93"/>
      <c r="Y148" s="93"/>
      <c r="Z148" s="93"/>
      <c r="AA148" s="93"/>
      <c r="AB148" s="20"/>
      <c r="AC148" s="19"/>
      <c r="AD148" s="93"/>
      <c r="AE148" s="93"/>
      <c r="AF148" s="93"/>
      <c r="AG148" s="93"/>
      <c r="AH148" s="93"/>
      <c r="AI148" s="93"/>
      <c r="AJ148" s="93"/>
      <c r="AK148" s="93"/>
      <c r="AL148" s="93"/>
      <c r="AM148" s="93"/>
      <c r="AN148" s="93"/>
      <c r="AO148" s="20"/>
      <c r="AP148" s="19"/>
      <c r="AQ148" s="93"/>
      <c r="AR148" s="93"/>
      <c r="AS148" s="93"/>
      <c r="AT148" s="93"/>
      <c r="AU148" s="93"/>
      <c r="AV148" s="93"/>
      <c r="AW148" s="93"/>
      <c r="AX148" s="93"/>
      <c r="AY148" s="20"/>
      <c r="AZ148" s="29"/>
      <c r="BA148" s="93"/>
      <c r="BB148" s="93"/>
      <c r="BC148" s="93"/>
      <c r="BD148" s="93"/>
      <c r="BE148" s="20"/>
      <c r="BF148" s="29"/>
    </row>
    <row r="149" spans="1:58">
      <c r="A149" s="29" t="str">
        <f t="shared" si="20"/>
        <v/>
      </c>
      <c r="B149" s="19"/>
      <c r="C149" s="93"/>
      <c r="D149" s="93"/>
      <c r="E149" s="93"/>
      <c r="F149" s="93"/>
      <c r="G149" s="20"/>
      <c r="H149" s="19"/>
      <c r="I149" s="93"/>
      <c r="J149" s="214"/>
      <c r="K149" s="20"/>
      <c r="L149" s="19"/>
      <c r="M149" s="93"/>
      <c r="N149" s="93"/>
      <c r="O149" s="20"/>
      <c r="P149" s="19"/>
      <c r="Q149" s="93"/>
      <c r="R149" s="93"/>
      <c r="S149" s="93"/>
      <c r="T149" s="93"/>
      <c r="U149" s="93"/>
      <c r="V149" s="93"/>
      <c r="W149" s="93"/>
      <c r="X149" s="93"/>
      <c r="Y149" s="93"/>
      <c r="Z149" s="93"/>
      <c r="AA149" s="93"/>
      <c r="AB149" s="20"/>
      <c r="AC149" s="19"/>
      <c r="AD149" s="93"/>
      <c r="AE149" s="93"/>
      <c r="AF149" s="93"/>
      <c r="AG149" s="93"/>
      <c r="AH149" s="93"/>
      <c r="AI149" s="93"/>
      <c r="AJ149" s="93"/>
      <c r="AK149" s="93"/>
      <c r="AL149" s="93"/>
      <c r="AM149" s="93"/>
      <c r="AN149" s="93"/>
      <c r="AO149" s="20"/>
      <c r="AP149" s="19"/>
      <c r="AQ149" s="93"/>
      <c r="AR149" s="93"/>
      <c r="AS149" s="93"/>
      <c r="AT149" s="93"/>
      <c r="AU149" s="93"/>
      <c r="AV149" s="93"/>
      <c r="AW149" s="93"/>
      <c r="AX149" s="93"/>
      <c r="AY149" s="20"/>
      <c r="AZ149" s="29"/>
      <c r="BA149" s="93"/>
      <c r="BB149" s="93"/>
      <c r="BC149" s="93"/>
      <c r="BD149" s="93"/>
      <c r="BE149" s="20"/>
      <c r="BF149" s="29"/>
    </row>
    <row r="150" spans="1:58">
      <c r="A150" s="29" t="str">
        <f t="shared" si="20"/>
        <v/>
      </c>
      <c r="B150" s="19"/>
      <c r="C150" s="93"/>
      <c r="D150" s="93"/>
      <c r="E150" s="93"/>
      <c r="F150" s="93"/>
      <c r="G150" s="20"/>
      <c r="H150" s="19"/>
      <c r="I150" s="93"/>
      <c r="J150" s="214"/>
      <c r="K150" s="20"/>
      <c r="L150" s="19"/>
      <c r="M150" s="93"/>
      <c r="N150" s="93"/>
      <c r="O150" s="20"/>
      <c r="P150" s="19"/>
      <c r="Q150" s="93"/>
      <c r="R150" s="93"/>
      <c r="S150" s="93"/>
      <c r="T150" s="93"/>
      <c r="U150" s="93"/>
      <c r="V150" s="93"/>
      <c r="W150" s="93"/>
      <c r="X150" s="93"/>
      <c r="Y150" s="93"/>
      <c r="Z150" s="93"/>
      <c r="AA150" s="93"/>
      <c r="AB150" s="20"/>
      <c r="AC150" s="19"/>
      <c r="AD150" s="93"/>
      <c r="AE150" s="93"/>
      <c r="AF150" s="93"/>
      <c r="AG150" s="93"/>
      <c r="AH150" s="93"/>
      <c r="AI150" s="93"/>
      <c r="AJ150" s="93"/>
      <c r="AK150" s="93"/>
      <c r="AL150" s="93"/>
      <c r="AM150" s="93"/>
      <c r="AN150" s="93"/>
      <c r="AO150" s="20"/>
      <c r="AP150" s="19"/>
      <c r="AQ150" s="93"/>
      <c r="AR150" s="93"/>
      <c r="AS150" s="93"/>
      <c r="AT150" s="93"/>
      <c r="AU150" s="93"/>
      <c r="AV150" s="93"/>
      <c r="AW150" s="93"/>
      <c r="AX150" s="93"/>
      <c r="AY150" s="20"/>
      <c r="AZ150" s="29"/>
      <c r="BA150" s="93"/>
      <c r="BB150" s="93"/>
      <c r="BC150" s="93"/>
      <c r="BD150" s="93"/>
      <c r="BE150" s="20"/>
      <c r="BF150" s="29"/>
    </row>
    <row r="151" spans="1:58">
      <c r="A151" s="29" t="str">
        <f t="shared" si="20"/>
        <v/>
      </c>
      <c r="B151" s="19"/>
      <c r="C151" s="93"/>
      <c r="D151" s="93"/>
      <c r="E151" s="93"/>
      <c r="F151" s="93"/>
      <c r="G151" s="20"/>
      <c r="H151" s="19"/>
      <c r="I151" s="93"/>
      <c r="J151" s="214"/>
      <c r="K151" s="20"/>
      <c r="L151" s="19"/>
      <c r="M151" s="93"/>
      <c r="N151" s="93"/>
      <c r="O151" s="20"/>
      <c r="P151" s="19"/>
      <c r="Q151" s="93"/>
      <c r="R151" s="93"/>
      <c r="S151" s="93"/>
      <c r="T151" s="93"/>
      <c r="U151" s="93"/>
      <c r="V151" s="93"/>
      <c r="W151" s="93"/>
      <c r="X151" s="93"/>
      <c r="Y151" s="93"/>
      <c r="Z151" s="93"/>
      <c r="AA151" s="93"/>
      <c r="AB151" s="20"/>
      <c r="AC151" s="19"/>
      <c r="AD151" s="93"/>
      <c r="AE151" s="93"/>
      <c r="AF151" s="93"/>
      <c r="AG151" s="93"/>
      <c r="AH151" s="93"/>
      <c r="AI151" s="93"/>
      <c r="AJ151" s="93"/>
      <c r="AK151" s="93"/>
      <c r="AL151" s="93"/>
      <c r="AM151" s="93"/>
      <c r="AN151" s="93"/>
      <c r="AO151" s="20"/>
      <c r="AP151" s="19"/>
      <c r="AQ151" s="93"/>
      <c r="AR151" s="93"/>
      <c r="AS151" s="93"/>
      <c r="AT151" s="93"/>
      <c r="AU151" s="93"/>
      <c r="AV151" s="93"/>
      <c r="AW151" s="93"/>
      <c r="AX151" s="93"/>
      <c r="AY151" s="20"/>
      <c r="AZ151" s="29"/>
      <c r="BA151" s="93"/>
      <c r="BB151" s="93"/>
      <c r="BC151" s="93"/>
      <c r="BD151" s="93"/>
      <c r="BE151" s="20"/>
      <c r="BF151" s="29"/>
    </row>
    <row r="152" spans="1:58">
      <c r="A152" s="29" t="str">
        <f t="shared" si="20"/>
        <v/>
      </c>
      <c r="B152" s="19"/>
      <c r="C152" s="93"/>
      <c r="D152" s="93"/>
      <c r="E152" s="93"/>
      <c r="F152" s="93"/>
      <c r="G152" s="20"/>
      <c r="H152" s="19"/>
      <c r="I152" s="93"/>
      <c r="J152" s="214"/>
      <c r="K152" s="20"/>
      <c r="L152" s="19"/>
      <c r="M152" s="93"/>
      <c r="N152" s="93"/>
      <c r="O152" s="20"/>
      <c r="P152" s="19"/>
      <c r="Q152" s="93"/>
      <c r="R152" s="93"/>
      <c r="S152" s="93"/>
      <c r="T152" s="93"/>
      <c r="U152" s="93"/>
      <c r="V152" s="93"/>
      <c r="W152" s="93"/>
      <c r="X152" s="93"/>
      <c r="Y152" s="93"/>
      <c r="Z152" s="93"/>
      <c r="AA152" s="93"/>
      <c r="AB152" s="20"/>
      <c r="AC152" s="19"/>
      <c r="AD152" s="93"/>
      <c r="AE152" s="93"/>
      <c r="AF152" s="93"/>
      <c r="AG152" s="93"/>
      <c r="AH152" s="93"/>
      <c r="AI152" s="93"/>
      <c r="AJ152" s="93"/>
      <c r="AK152" s="93"/>
      <c r="AL152" s="93"/>
      <c r="AM152" s="93"/>
      <c r="AN152" s="93"/>
      <c r="AO152" s="20"/>
      <c r="AP152" s="19"/>
      <c r="AQ152" s="93"/>
      <c r="AR152" s="93"/>
      <c r="AS152" s="93"/>
      <c r="AT152" s="93"/>
      <c r="AU152" s="93"/>
      <c r="AV152" s="93"/>
      <c r="AW152" s="93"/>
      <c r="AX152" s="93"/>
      <c r="AY152" s="20"/>
      <c r="AZ152" s="29"/>
      <c r="BA152" s="93"/>
      <c r="BB152" s="93"/>
      <c r="BC152" s="93"/>
      <c r="BD152" s="93"/>
      <c r="BE152" s="20"/>
      <c r="BF152" s="29"/>
    </row>
    <row r="153" spans="1:58">
      <c r="A153" s="29" t="str">
        <f t="shared" si="20"/>
        <v/>
      </c>
      <c r="B153" s="19"/>
      <c r="C153" s="93"/>
      <c r="D153" s="93"/>
      <c r="E153" s="93"/>
      <c r="F153" s="93"/>
      <c r="G153" s="20"/>
      <c r="H153" s="19"/>
      <c r="I153" s="93"/>
      <c r="J153" s="214"/>
      <c r="K153" s="20"/>
      <c r="L153" s="19"/>
      <c r="M153" s="93"/>
      <c r="N153" s="93"/>
      <c r="O153" s="20"/>
      <c r="P153" s="19"/>
      <c r="Q153" s="93"/>
      <c r="R153" s="93"/>
      <c r="S153" s="93"/>
      <c r="T153" s="93"/>
      <c r="U153" s="93"/>
      <c r="V153" s="93"/>
      <c r="W153" s="93"/>
      <c r="X153" s="93"/>
      <c r="Y153" s="93"/>
      <c r="Z153" s="93"/>
      <c r="AA153" s="93"/>
      <c r="AB153" s="20"/>
      <c r="AC153" s="19"/>
      <c r="AD153" s="93"/>
      <c r="AE153" s="93"/>
      <c r="AF153" s="93"/>
      <c r="AG153" s="93"/>
      <c r="AH153" s="93"/>
      <c r="AI153" s="93"/>
      <c r="AJ153" s="93"/>
      <c r="AK153" s="93"/>
      <c r="AL153" s="93"/>
      <c r="AM153" s="93"/>
      <c r="AN153" s="93"/>
      <c r="AO153" s="20"/>
      <c r="AP153" s="19"/>
      <c r="AQ153" s="93"/>
      <c r="AR153" s="93"/>
      <c r="AS153" s="93"/>
      <c r="AT153" s="93"/>
      <c r="AU153" s="93"/>
      <c r="AV153" s="93"/>
      <c r="AW153" s="93"/>
      <c r="AX153" s="93"/>
      <c r="AY153" s="20"/>
      <c r="AZ153" s="29"/>
      <c r="BA153" s="93"/>
      <c r="BB153" s="93"/>
      <c r="BC153" s="93"/>
      <c r="BD153" s="93"/>
      <c r="BE153" s="20"/>
      <c r="BF153" s="29"/>
    </row>
    <row r="154" spans="1:58">
      <c r="A154" s="29" t="str">
        <f t="shared" si="20"/>
        <v/>
      </c>
      <c r="B154" s="19"/>
      <c r="C154" s="93"/>
      <c r="D154" s="93"/>
      <c r="E154" s="93"/>
      <c r="F154" s="93"/>
      <c r="G154" s="20"/>
      <c r="H154" s="19"/>
      <c r="I154" s="93"/>
      <c r="J154" s="214"/>
      <c r="K154" s="20"/>
      <c r="L154" s="19"/>
      <c r="M154" s="93"/>
      <c r="N154" s="93"/>
      <c r="O154" s="20"/>
      <c r="P154" s="19"/>
      <c r="Q154" s="93"/>
      <c r="R154" s="93"/>
      <c r="S154" s="93"/>
      <c r="T154" s="93"/>
      <c r="U154" s="93"/>
      <c r="V154" s="93"/>
      <c r="W154" s="93"/>
      <c r="X154" s="93"/>
      <c r="Y154" s="93"/>
      <c r="Z154" s="93"/>
      <c r="AA154" s="93"/>
      <c r="AB154" s="20"/>
      <c r="AC154" s="19"/>
      <c r="AD154" s="93"/>
      <c r="AE154" s="93"/>
      <c r="AF154" s="93"/>
      <c r="AG154" s="93"/>
      <c r="AH154" s="93"/>
      <c r="AI154" s="93"/>
      <c r="AJ154" s="93"/>
      <c r="AK154" s="93"/>
      <c r="AL154" s="93"/>
      <c r="AM154" s="93"/>
      <c r="AN154" s="93"/>
      <c r="AO154" s="20"/>
      <c r="AP154" s="19"/>
      <c r="AQ154" s="93"/>
      <c r="AR154" s="93"/>
      <c r="AS154" s="93"/>
      <c r="AT154" s="93"/>
      <c r="AU154" s="93"/>
      <c r="AV154" s="93"/>
      <c r="AW154" s="93"/>
      <c r="AX154" s="93"/>
      <c r="AY154" s="20"/>
      <c r="AZ154" s="29"/>
      <c r="BA154" s="93"/>
      <c r="BB154" s="93"/>
      <c r="BC154" s="93"/>
      <c r="BD154" s="93"/>
      <c r="BE154" s="20"/>
      <c r="BF154" s="29"/>
    </row>
    <row r="155" spans="1:58">
      <c r="A155" s="29" t="str">
        <f t="shared" si="20"/>
        <v/>
      </c>
      <c r="B155" s="19"/>
      <c r="C155" s="93"/>
      <c r="D155" s="93"/>
      <c r="E155" s="93"/>
      <c r="F155" s="93"/>
      <c r="G155" s="20"/>
      <c r="H155" s="19"/>
      <c r="I155" s="93"/>
      <c r="J155" s="214"/>
      <c r="K155" s="20"/>
      <c r="L155" s="19"/>
      <c r="M155" s="93"/>
      <c r="N155" s="93"/>
      <c r="O155" s="20"/>
      <c r="P155" s="19"/>
      <c r="Q155" s="93"/>
      <c r="R155" s="93"/>
      <c r="S155" s="93"/>
      <c r="T155" s="93"/>
      <c r="U155" s="93"/>
      <c r="V155" s="93"/>
      <c r="W155" s="93"/>
      <c r="X155" s="93"/>
      <c r="Y155" s="93"/>
      <c r="Z155" s="93"/>
      <c r="AA155" s="93"/>
      <c r="AB155" s="20"/>
      <c r="AC155" s="19"/>
      <c r="AD155" s="93"/>
      <c r="AE155" s="93"/>
      <c r="AF155" s="93"/>
      <c r="AG155" s="93"/>
      <c r="AH155" s="93"/>
      <c r="AI155" s="93"/>
      <c r="AJ155" s="93"/>
      <c r="AK155" s="93"/>
      <c r="AL155" s="93"/>
      <c r="AM155" s="93"/>
      <c r="AN155" s="93"/>
      <c r="AO155" s="20"/>
      <c r="AP155" s="19"/>
      <c r="AQ155" s="93"/>
      <c r="AR155" s="93"/>
      <c r="AS155" s="93"/>
      <c r="AT155" s="93"/>
      <c r="AU155" s="93"/>
      <c r="AV155" s="93"/>
      <c r="AW155" s="93"/>
      <c r="AX155" s="93"/>
      <c r="AY155" s="20"/>
      <c r="AZ155" s="29"/>
      <c r="BA155" s="93"/>
      <c r="BB155" s="93"/>
      <c r="BC155" s="93"/>
      <c r="BD155" s="93"/>
      <c r="BE155" s="20"/>
      <c r="BF155" s="29"/>
    </row>
    <row r="156" spans="1:58">
      <c r="A156" s="29" t="str">
        <f t="shared" si="20"/>
        <v/>
      </c>
      <c r="B156" s="19"/>
      <c r="C156" s="93"/>
      <c r="D156" s="93"/>
      <c r="E156" s="93"/>
      <c r="F156" s="93"/>
      <c r="G156" s="20"/>
      <c r="H156" s="19"/>
      <c r="I156" s="93"/>
      <c r="J156" s="214"/>
      <c r="K156" s="20"/>
      <c r="L156" s="19"/>
      <c r="M156" s="93"/>
      <c r="N156" s="93"/>
      <c r="O156" s="20"/>
      <c r="P156" s="19"/>
      <c r="Q156" s="93"/>
      <c r="R156" s="93"/>
      <c r="S156" s="93"/>
      <c r="T156" s="93"/>
      <c r="U156" s="93"/>
      <c r="V156" s="93"/>
      <c r="W156" s="93"/>
      <c r="X156" s="93"/>
      <c r="Y156" s="93"/>
      <c r="Z156" s="93"/>
      <c r="AA156" s="93"/>
      <c r="AB156" s="20"/>
      <c r="AC156" s="19"/>
      <c r="AD156" s="93"/>
      <c r="AE156" s="93"/>
      <c r="AF156" s="93"/>
      <c r="AG156" s="93"/>
      <c r="AH156" s="93"/>
      <c r="AI156" s="93"/>
      <c r="AJ156" s="93"/>
      <c r="AK156" s="93"/>
      <c r="AL156" s="93"/>
      <c r="AM156" s="93"/>
      <c r="AN156" s="93"/>
      <c r="AO156" s="20"/>
      <c r="AP156" s="19"/>
      <c r="AQ156" s="93"/>
      <c r="AR156" s="93"/>
      <c r="AS156" s="93"/>
      <c r="AT156" s="93"/>
      <c r="AU156" s="93"/>
      <c r="AV156" s="93"/>
      <c r="AW156" s="93"/>
      <c r="AX156" s="93"/>
      <c r="AY156" s="20"/>
      <c r="AZ156" s="29"/>
      <c r="BA156" s="93"/>
      <c r="BB156" s="93"/>
      <c r="BC156" s="93"/>
      <c r="BD156" s="93"/>
      <c r="BE156" s="20"/>
      <c r="BF156" s="29"/>
    </row>
    <row r="157" spans="1:58">
      <c r="A157" s="29" t="str">
        <f t="shared" si="20"/>
        <v/>
      </c>
      <c r="B157" s="19"/>
      <c r="C157" s="93"/>
      <c r="D157" s="93"/>
      <c r="E157" s="93"/>
      <c r="F157" s="93"/>
      <c r="G157" s="20"/>
      <c r="H157" s="19"/>
      <c r="I157" s="93"/>
      <c r="J157" s="214"/>
      <c r="K157" s="20"/>
      <c r="L157" s="19"/>
      <c r="M157" s="93"/>
      <c r="N157" s="93"/>
      <c r="O157" s="20"/>
      <c r="P157" s="19"/>
      <c r="Q157" s="93"/>
      <c r="R157" s="93"/>
      <c r="S157" s="93"/>
      <c r="T157" s="93"/>
      <c r="U157" s="93"/>
      <c r="V157" s="93"/>
      <c r="W157" s="93"/>
      <c r="X157" s="93"/>
      <c r="Y157" s="93"/>
      <c r="Z157" s="93"/>
      <c r="AA157" s="93"/>
      <c r="AB157" s="20"/>
      <c r="AC157" s="19"/>
      <c r="AD157" s="93"/>
      <c r="AE157" s="93"/>
      <c r="AF157" s="93"/>
      <c r="AG157" s="93"/>
      <c r="AH157" s="93"/>
      <c r="AI157" s="93"/>
      <c r="AJ157" s="93"/>
      <c r="AK157" s="93"/>
      <c r="AL157" s="93"/>
      <c r="AM157" s="93"/>
      <c r="AN157" s="93"/>
      <c r="AO157" s="20"/>
      <c r="AP157" s="19"/>
      <c r="AQ157" s="93"/>
      <c r="AR157" s="93"/>
      <c r="AS157" s="93"/>
      <c r="AT157" s="93"/>
      <c r="AU157" s="93"/>
      <c r="AV157" s="93"/>
      <c r="AW157" s="93"/>
      <c r="AX157" s="93"/>
      <c r="AY157" s="20"/>
      <c r="AZ157" s="29"/>
      <c r="BA157" s="93"/>
      <c r="BB157" s="93"/>
      <c r="BC157" s="93"/>
      <c r="BD157" s="93"/>
      <c r="BE157" s="20"/>
      <c r="BF157" s="29"/>
    </row>
    <row r="158" spans="1:58">
      <c r="A158" s="29" t="str">
        <f t="shared" si="20"/>
        <v/>
      </c>
      <c r="B158" s="19"/>
      <c r="C158" s="93"/>
      <c r="D158" s="93"/>
      <c r="E158" s="93"/>
      <c r="F158" s="93"/>
      <c r="G158" s="20"/>
      <c r="H158" s="19"/>
      <c r="I158" s="93"/>
      <c r="J158" s="214"/>
      <c r="K158" s="20"/>
      <c r="L158" s="19"/>
      <c r="M158" s="93"/>
      <c r="N158" s="93"/>
      <c r="O158" s="20"/>
      <c r="P158" s="19"/>
      <c r="Q158" s="93"/>
      <c r="R158" s="93"/>
      <c r="S158" s="93"/>
      <c r="T158" s="93"/>
      <c r="U158" s="93"/>
      <c r="V158" s="93"/>
      <c r="W158" s="93"/>
      <c r="X158" s="93"/>
      <c r="Y158" s="93"/>
      <c r="Z158" s="93"/>
      <c r="AA158" s="93"/>
      <c r="AB158" s="20"/>
      <c r="AC158" s="19"/>
      <c r="AD158" s="93"/>
      <c r="AE158" s="93"/>
      <c r="AF158" s="93"/>
      <c r="AG158" s="93"/>
      <c r="AH158" s="93"/>
      <c r="AI158" s="93"/>
      <c r="AJ158" s="93"/>
      <c r="AK158" s="93"/>
      <c r="AL158" s="93"/>
      <c r="AM158" s="93"/>
      <c r="AN158" s="93"/>
      <c r="AO158" s="20"/>
      <c r="AP158" s="19"/>
      <c r="AQ158" s="93"/>
      <c r="AR158" s="93"/>
      <c r="AS158" s="93"/>
      <c r="AT158" s="93"/>
      <c r="AU158" s="93"/>
      <c r="AV158" s="93"/>
      <c r="AW158" s="93"/>
      <c r="AX158" s="93"/>
      <c r="AY158" s="20"/>
      <c r="AZ158" s="29"/>
      <c r="BA158" s="93"/>
      <c r="BB158" s="93"/>
      <c r="BC158" s="93"/>
      <c r="BD158" s="93"/>
      <c r="BE158" s="20"/>
      <c r="BF158" s="29"/>
    </row>
    <row r="159" spans="1:58">
      <c r="A159" s="29" t="str">
        <f t="shared" si="20"/>
        <v/>
      </c>
      <c r="B159" s="19"/>
      <c r="C159" s="93"/>
      <c r="D159" s="93"/>
      <c r="E159" s="93"/>
      <c r="F159" s="93"/>
      <c r="G159" s="20"/>
      <c r="H159" s="19"/>
      <c r="I159" s="93"/>
      <c r="J159" s="214"/>
      <c r="K159" s="20"/>
      <c r="L159" s="19"/>
      <c r="M159" s="93"/>
      <c r="N159" s="93"/>
      <c r="O159" s="20"/>
      <c r="P159" s="19"/>
      <c r="Q159" s="93"/>
      <c r="R159" s="93"/>
      <c r="S159" s="93"/>
      <c r="T159" s="93"/>
      <c r="U159" s="93"/>
      <c r="V159" s="93"/>
      <c r="W159" s="93"/>
      <c r="X159" s="93"/>
      <c r="Y159" s="93"/>
      <c r="Z159" s="93"/>
      <c r="AA159" s="93"/>
      <c r="AB159" s="20"/>
      <c r="AC159" s="19"/>
      <c r="AD159" s="93"/>
      <c r="AE159" s="93"/>
      <c r="AF159" s="93"/>
      <c r="AG159" s="93"/>
      <c r="AH159" s="93"/>
      <c r="AI159" s="93"/>
      <c r="AJ159" s="93"/>
      <c r="AK159" s="93"/>
      <c r="AL159" s="93"/>
      <c r="AM159" s="93"/>
      <c r="AN159" s="93"/>
      <c r="AO159" s="20"/>
      <c r="AP159" s="19"/>
      <c r="AQ159" s="93"/>
      <c r="AR159" s="93"/>
      <c r="AS159" s="93"/>
      <c r="AT159" s="93"/>
      <c r="AU159" s="93"/>
      <c r="AV159" s="93"/>
      <c r="AW159" s="93"/>
      <c r="AX159" s="93"/>
      <c r="AY159" s="20"/>
      <c r="AZ159" s="29"/>
      <c r="BA159" s="93"/>
      <c r="BB159" s="93"/>
      <c r="BC159" s="93"/>
      <c r="BD159" s="93"/>
      <c r="BE159" s="20"/>
      <c r="BF159" s="29"/>
    </row>
    <row r="160" spans="1:58">
      <c r="A160" s="29" t="str">
        <f t="shared" si="20"/>
        <v/>
      </c>
      <c r="B160" s="19"/>
      <c r="C160" s="93"/>
      <c r="D160" s="93"/>
      <c r="E160" s="93"/>
      <c r="F160" s="93"/>
      <c r="G160" s="20"/>
      <c r="H160" s="19"/>
      <c r="I160" s="93"/>
      <c r="J160" s="214"/>
      <c r="K160" s="20"/>
      <c r="L160" s="19"/>
      <c r="M160" s="93"/>
      <c r="N160" s="93"/>
      <c r="O160" s="20"/>
      <c r="P160" s="19"/>
      <c r="Q160" s="93"/>
      <c r="R160" s="93"/>
      <c r="S160" s="93"/>
      <c r="T160" s="93"/>
      <c r="U160" s="93"/>
      <c r="V160" s="93"/>
      <c r="W160" s="93"/>
      <c r="X160" s="93"/>
      <c r="Y160" s="93"/>
      <c r="Z160" s="93"/>
      <c r="AA160" s="93"/>
      <c r="AB160" s="20"/>
      <c r="AC160" s="19"/>
      <c r="AD160" s="93"/>
      <c r="AE160" s="93"/>
      <c r="AF160" s="93"/>
      <c r="AG160" s="93"/>
      <c r="AH160" s="93"/>
      <c r="AI160" s="93"/>
      <c r="AJ160" s="93"/>
      <c r="AK160" s="93"/>
      <c r="AL160" s="93"/>
      <c r="AM160" s="93"/>
      <c r="AN160" s="93"/>
      <c r="AO160" s="20"/>
      <c r="AP160" s="19"/>
      <c r="AQ160" s="93"/>
      <c r="AR160" s="93"/>
      <c r="AS160" s="93"/>
      <c r="AT160" s="93"/>
      <c r="AU160" s="93"/>
      <c r="AV160" s="93"/>
      <c r="AW160" s="93"/>
      <c r="AX160" s="93"/>
      <c r="AY160" s="20"/>
      <c r="AZ160" s="29"/>
      <c r="BA160" s="93"/>
      <c r="BB160" s="93"/>
      <c r="BC160" s="93"/>
      <c r="BD160" s="93"/>
      <c r="BE160" s="20"/>
      <c r="BF160" s="29"/>
    </row>
    <row r="161" spans="1:58">
      <c r="A161" s="29" t="str">
        <f t="shared" si="20"/>
        <v/>
      </c>
      <c r="B161" s="19"/>
      <c r="C161" s="93"/>
      <c r="D161" s="93"/>
      <c r="E161" s="93"/>
      <c r="F161" s="93"/>
      <c r="G161" s="20"/>
      <c r="H161" s="19"/>
      <c r="I161" s="93"/>
      <c r="J161" s="214"/>
      <c r="K161" s="20"/>
      <c r="L161" s="19"/>
      <c r="M161" s="93"/>
      <c r="N161" s="93"/>
      <c r="O161" s="20"/>
      <c r="P161" s="19"/>
      <c r="Q161" s="93"/>
      <c r="R161" s="93"/>
      <c r="S161" s="93"/>
      <c r="T161" s="93"/>
      <c r="U161" s="93"/>
      <c r="V161" s="93"/>
      <c r="W161" s="93"/>
      <c r="X161" s="93"/>
      <c r="Y161" s="93"/>
      <c r="Z161" s="93"/>
      <c r="AA161" s="93"/>
      <c r="AB161" s="20"/>
      <c r="AC161" s="19"/>
      <c r="AD161" s="93"/>
      <c r="AE161" s="93"/>
      <c r="AF161" s="93"/>
      <c r="AG161" s="93"/>
      <c r="AH161" s="93"/>
      <c r="AI161" s="93"/>
      <c r="AJ161" s="93"/>
      <c r="AK161" s="93"/>
      <c r="AL161" s="93"/>
      <c r="AM161" s="93"/>
      <c r="AN161" s="93"/>
      <c r="AO161" s="20"/>
      <c r="AP161" s="19"/>
      <c r="AQ161" s="93"/>
      <c r="AR161" s="93"/>
      <c r="AS161" s="93"/>
      <c r="AT161" s="93"/>
      <c r="AU161" s="93"/>
      <c r="AV161" s="93"/>
      <c r="AW161" s="93"/>
      <c r="AX161" s="93"/>
      <c r="AY161" s="20"/>
      <c r="AZ161" s="29"/>
      <c r="BA161" s="93"/>
      <c r="BB161" s="93"/>
      <c r="BC161" s="93"/>
      <c r="BD161" s="93"/>
      <c r="BE161" s="20"/>
      <c r="BF161" s="29"/>
    </row>
    <row r="162" spans="1:58">
      <c r="A162" s="29" t="str">
        <f t="shared" si="20"/>
        <v/>
      </c>
      <c r="B162" s="19"/>
      <c r="C162" s="93"/>
      <c r="D162" s="93"/>
      <c r="E162" s="93"/>
      <c r="F162" s="93"/>
      <c r="G162" s="20"/>
      <c r="H162" s="19"/>
      <c r="I162" s="93"/>
      <c r="J162" s="214"/>
      <c r="K162" s="20"/>
      <c r="L162" s="19"/>
      <c r="M162" s="93"/>
      <c r="N162" s="93"/>
      <c r="O162" s="20"/>
      <c r="P162" s="19"/>
      <c r="Q162" s="93"/>
      <c r="R162" s="93"/>
      <c r="S162" s="93"/>
      <c r="T162" s="93"/>
      <c r="U162" s="93"/>
      <c r="V162" s="93"/>
      <c r="W162" s="93"/>
      <c r="X162" s="93"/>
      <c r="Y162" s="93"/>
      <c r="Z162" s="93"/>
      <c r="AA162" s="93"/>
      <c r="AB162" s="20"/>
      <c r="AC162" s="19"/>
      <c r="AD162" s="93"/>
      <c r="AE162" s="93"/>
      <c r="AF162" s="93"/>
      <c r="AG162" s="93"/>
      <c r="AH162" s="93"/>
      <c r="AI162" s="93"/>
      <c r="AJ162" s="93"/>
      <c r="AK162" s="93"/>
      <c r="AL162" s="93"/>
      <c r="AM162" s="93"/>
      <c r="AN162" s="93"/>
      <c r="AO162" s="20"/>
      <c r="AP162" s="19"/>
      <c r="AQ162" s="93"/>
      <c r="AR162" s="93"/>
      <c r="AS162" s="93"/>
      <c r="AT162" s="93"/>
      <c r="AU162" s="93"/>
      <c r="AV162" s="93"/>
      <c r="AW162" s="93"/>
      <c r="AX162" s="93"/>
      <c r="AY162" s="20"/>
      <c r="AZ162" s="29"/>
      <c r="BA162" s="93"/>
      <c r="BB162" s="93"/>
      <c r="BC162" s="93"/>
      <c r="BD162" s="93"/>
      <c r="BE162" s="20"/>
      <c r="BF162" s="29"/>
    </row>
    <row r="163" spans="1:58">
      <c r="A163" s="29" t="str">
        <f t="shared" si="20"/>
        <v/>
      </c>
      <c r="B163" s="19"/>
      <c r="C163" s="93"/>
      <c r="D163" s="93"/>
      <c r="E163" s="93"/>
      <c r="F163" s="93"/>
      <c r="G163" s="20"/>
      <c r="H163" s="19"/>
      <c r="I163" s="93"/>
      <c r="J163" s="214"/>
      <c r="K163" s="20"/>
      <c r="L163" s="19"/>
      <c r="M163" s="93"/>
      <c r="N163" s="93"/>
      <c r="O163" s="20"/>
      <c r="P163" s="19"/>
      <c r="Q163" s="93"/>
      <c r="R163" s="93"/>
      <c r="S163" s="93"/>
      <c r="T163" s="93"/>
      <c r="U163" s="93"/>
      <c r="V163" s="93"/>
      <c r="W163" s="93"/>
      <c r="X163" s="93"/>
      <c r="Y163" s="93"/>
      <c r="Z163" s="93"/>
      <c r="AA163" s="93"/>
      <c r="AB163" s="20"/>
      <c r="AC163" s="19"/>
      <c r="AD163" s="93"/>
      <c r="AE163" s="93"/>
      <c r="AF163" s="93"/>
      <c r="AG163" s="93"/>
      <c r="AH163" s="93"/>
      <c r="AI163" s="93"/>
      <c r="AJ163" s="93"/>
      <c r="AK163" s="93"/>
      <c r="AL163" s="93"/>
      <c r="AM163" s="93"/>
      <c r="AN163" s="93"/>
      <c r="AO163" s="20"/>
      <c r="AP163" s="19"/>
      <c r="AQ163" s="93"/>
      <c r="AR163" s="93"/>
      <c r="AS163" s="93"/>
      <c r="AT163" s="93"/>
      <c r="AU163" s="93"/>
      <c r="AV163" s="93"/>
      <c r="AW163" s="93"/>
      <c r="AX163" s="93"/>
      <c r="AY163" s="20"/>
      <c r="AZ163" s="29"/>
      <c r="BA163" s="93"/>
      <c r="BB163" s="93"/>
      <c r="BC163" s="93"/>
      <c r="BD163" s="93"/>
      <c r="BE163" s="20"/>
      <c r="BF163" s="29"/>
    </row>
    <row r="164" spans="1:58">
      <c r="A164" s="29" t="str">
        <f t="shared" si="20"/>
        <v/>
      </c>
      <c r="B164" s="19"/>
      <c r="C164" s="93"/>
      <c r="D164" s="93"/>
      <c r="E164" s="93"/>
      <c r="F164" s="93"/>
      <c r="G164" s="20"/>
      <c r="H164" s="19"/>
      <c r="I164" s="93"/>
      <c r="J164" s="214"/>
      <c r="K164" s="20"/>
      <c r="L164" s="19"/>
      <c r="M164" s="93"/>
      <c r="N164" s="93"/>
      <c r="O164" s="20"/>
      <c r="P164" s="19"/>
      <c r="Q164" s="93"/>
      <c r="R164" s="93"/>
      <c r="S164" s="93"/>
      <c r="T164" s="93"/>
      <c r="U164" s="93"/>
      <c r="V164" s="93"/>
      <c r="W164" s="93"/>
      <c r="X164" s="93"/>
      <c r="Y164" s="93"/>
      <c r="Z164" s="93"/>
      <c r="AA164" s="93"/>
      <c r="AB164" s="20"/>
      <c r="AC164" s="19"/>
      <c r="AD164" s="93"/>
      <c r="AE164" s="93"/>
      <c r="AF164" s="93"/>
      <c r="AG164" s="93"/>
      <c r="AH164" s="93"/>
      <c r="AI164" s="93"/>
      <c r="AJ164" s="93"/>
      <c r="AK164" s="93"/>
      <c r="AL164" s="93"/>
      <c r="AM164" s="93"/>
      <c r="AN164" s="93"/>
      <c r="AO164" s="20"/>
      <c r="AP164" s="19"/>
      <c r="AQ164" s="93"/>
      <c r="AR164" s="93"/>
      <c r="AS164" s="93"/>
      <c r="AT164" s="93"/>
      <c r="AU164" s="93"/>
      <c r="AV164" s="93"/>
      <c r="AW164" s="93"/>
      <c r="AX164" s="93"/>
      <c r="AY164" s="20"/>
      <c r="AZ164" s="29"/>
      <c r="BA164" s="93"/>
      <c r="BB164" s="93"/>
      <c r="BC164" s="93"/>
      <c r="BD164" s="93"/>
      <c r="BE164" s="20"/>
      <c r="BF164" s="29"/>
    </row>
    <row r="165" spans="1:58">
      <c r="A165" s="29" t="str">
        <f t="shared" si="20"/>
        <v/>
      </c>
      <c r="B165" s="19"/>
      <c r="C165" s="93"/>
      <c r="D165" s="93"/>
      <c r="E165" s="93"/>
      <c r="F165" s="93"/>
      <c r="G165" s="20"/>
      <c r="H165" s="19"/>
      <c r="I165" s="93"/>
      <c r="J165" s="214"/>
      <c r="K165" s="20"/>
      <c r="L165" s="19"/>
      <c r="M165" s="93"/>
      <c r="N165" s="93"/>
      <c r="O165" s="20"/>
      <c r="P165" s="19"/>
      <c r="Q165" s="93"/>
      <c r="R165" s="93"/>
      <c r="S165" s="93"/>
      <c r="T165" s="93"/>
      <c r="U165" s="93"/>
      <c r="V165" s="93"/>
      <c r="W165" s="93"/>
      <c r="X165" s="93"/>
      <c r="Y165" s="93"/>
      <c r="Z165" s="93"/>
      <c r="AA165" s="93"/>
      <c r="AB165" s="20"/>
      <c r="AC165" s="19"/>
      <c r="AD165" s="93"/>
      <c r="AE165" s="93"/>
      <c r="AF165" s="93"/>
      <c r="AG165" s="93"/>
      <c r="AH165" s="93"/>
      <c r="AI165" s="93"/>
      <c r="AJ165" s="93"/>
      <c r="AK165" s="93"/>
      <c r="AL165" s="93"/>
      <c r="AM165" s="93"/>
      <c r="AN165" s="93"/>
      <c r="AO165" s="20"/>
      <c r="AP165" s="19"/>
      <c r="AQ165" s="93"/>
      <c r="AR165" s="93"/>
      <c r="AS165" s="93"/>
      <c r="AT165" s="93"/>
      <c r="AU165" s="93"/>
      <c r="AV165" s="93"/>
      <c r="AW165" s="93"/>
      <c r="AX165" s="93"/>
      <c r="AY165" s="20"/>
      <c r="AZ165" s="29"/>
      <c r="BA165" s="93"/>
      <c r="BB165" s="93"/>
      <c r="BC165" s="93"/>
      <c r="BD165" s="93"/>
      <c r="BE165" s="20"/>
      <c r="BF165" s="29"/>
    </row>
    <row r="166" spans="1:58">
      <c r="A166" s="29" t="str">
        <f t="shared" si="20"/>
        <v/>
      </c>
      <c r="B166" s="19"/>
      <c r="C166" s="93"/>
      <c r="D166" s="93"/>
      <c r="E166" s="93"/>
      <c r="F166" s="93"/>
      <c r="G166" s="20"/>
      <c r="H166" s="19"/>
      <c r="I166" s="93"/>
      <c r="J166" s="214"/>
      <c r="K166" s="20"/>
      <c r="L166" s="19"/>
      <c r="M166" s="93"/>
      <c r="N166" s="93"/>
      <c r="O166" s="20"/>
      <c r="P166" s="19"/>
      <c r="Q166" s="93"/>
      <c r="R166" s="93"/>
      <c r="S166" s="93"/>
      <c r="T166" s="93"/>
      <c r="U166" s="93"/>
      <c r="V166" s="93"/>
      <c r="W166" s="93"/>
      <c r="X166" s="93"/>
      <c r="Y166" s="93"/>
      <c r="Z166" s="93"/>
      <c r="AA166" s="93"/>
      <c r="AB166" s="20"/>
      <c r="AC166" s="19"/>
      <c r="AD166" s="93"/>
      <c r="AE166" s="93"/>
      <c r="AF166" s="93"/>
      <c r="AG166" s="93"/>
      <c r="AH166" s="93"/>
      <c r="AI166" s="93"/>
      <c r="AJ166" s="93"/>
      <c r="AK166" s="93"/>
      <c r="AL166" s="93"/>
      <c r="AM166" s="93"/>
      <c r="AN166" s="93"/>
      <c r="AO166" s="20"/>
      <c r="AP166" s="19"/>
      <c r="AQ166" s="93"/>
      <c r="AR166" s="93"/>
      <c r="AS166" s="93"/>
      <c r="AT166" s="93"/>
      <c r="AU166" s="93"/>
      <c r="AV166" s="93"/>
      <c r="AW166" s="93"/>
      <c r="AX166" s="93"/>
      <c r="AY166" s="20"/>
      <c r="AZ166" s="29"/>
      <c r="BA166" s="93"/>
      <c r="BB166" s="93"/>
      <c r="BC166" s="93"/>
      <c r="BD166" s="93"/>
      <c r="BE166" s="20"/>
      <c r="BF166" s="29"/>
    </row>
    <row r="167" spans="1:58">
      <c r="A167" s="29" t="str">
        <f t="shared" si="20"/>
        <v/>
      </c>
      <c r="B167" s="19"/>
      <c r="C167" s="93"/>
      <c r="D167" s="93"/>
      <c r="E167" s="93"/>
      <c r="F167" s="93"/>
      <c r="G167" s="20"/>
      <c r="H167" s="19"/>
      <c r="I167" s="93"/>
      <c r="J167" s="214"/>
      <c r="K167" s="20"/>
      <c r="L167" s="19"/>
      <c r="M167" s="93"/>
      <c r="N167" s="93"/>
      <c r="O167" s="20"/>
      <c r="P167" s="19"/>
      <c r="Q167" s="93"/>
      <c r="R167" s="93"/>
      <c r="S167" s="93"/>
      <c r="T167" s="93"/>
      <c r="U167" s="93"/>
      <c r="V167" s="93"/>
      <c r="W167" s="93"/>
      <c r="X167" s="93"/>
      <c r="Y167" s="93"/>
      <c r="Z167" s="93"/>
      <c r="AA167" s="93"/>
      <c r="AB167" s="20"/>
      <c r="AC167" s="19"/>
      <c r="AD167" s="93"/>
      <c r="AE167" s="93"/>
      <c r="AF167" s="93"/>
      <c r="AG167" s="93"/>
      <c r="AH167" s="93"/>
      <c r="AI167" s="93"/>
      <c r="AJ167" s="93"/>
      <c r="AK167" s="93"/>
      <c r="AL167" s="93"/>
      <c r="AM167" s="93"/>
      <c r="AN167" s="93"/>
      <c r="AO167" s="20"/>
      <c r="AP167" s="19"/>
      <c r="AQ167" s="93"/>
      <c r="AR167" s="93"/>
      <c r="AS167" s="93"/>
      <c r="AT167" s="93"/>
      <c r="AU167" s="93"/>
      <c r="AV167" s="93"/>
      <c r="AW167" s="93"/>
      <c r="AX167" s="93"/>
      <c r="AY167" s="20"/>
      <c r="AZ167" s="29"/>
      <c r="BA167" s="93"/>
      <c r="BB167" s="93"/>
      <c r="BC167" s="93"/>
      <c r="BD167" s="93"/>
      <c r="BE167" s="20"/>
      <c r="BF167" s="29"/>
    </row>
    <row r="168" spans="1:58">
      <c r="A168" s="29" t="str">
        <f t="shared" si="20"/>
        <v/>
      </c>
      <c r="B168" s="19"/>
      <c r="C168" s="93"/>
      <c r="D168" s="93"/>
      <c r="E168" s="93"/>
      <c r="F168" s="93"/>
      <c r="G168" s="20"/>
      <c r="H168" s="19"/>
      <c r="I168" s="93"/>
      <c r="J168" s="214"/>
      <c r="K168" s="20"/>
      <c r="L168" s="19"/>
      <c r="M168" s="93"/>
      <c r="N168" s="93"/>
      <c r="O168" s="20"/>
      <c r="P168" s="19"/>
      <c r="Q168" s="93"/>
      <c r="R168" s="93"/>
      <c r="S168" s="93"/>
      <c r="T168" s="93"/>
      <c r="U168" s="93"/>
      <c r="V168" s="93"/>
      <c r="W168" s="93"/>
      <c r="X168" s="93"/>
      <c r="Y168" s="93"/>
      <c r="Z168" s="93"/>
      <c r="AA168" s="93"/>
      <c r="AB168" s="20"/>
      <c r="AC168" s="19"/>
      <c r="AD168" s="93"/>
      <c r="AE168" s="93"/>
      <c r="AF168" s="93"/>
      <c r="AG168" s="93"/>
      <c r="AH168" s="93"/>
      <c r="AI168" s="93"/>
      <c r="AJ168" s="93"/>
      <c r="AK168" s="93"/>
      <c r="AL168" s="93"/>
      <c r="AM168" s="93"/>
      <c r="AN168" s="93"/>
      <c r="AO168" s="20"/>
      <c r="AP168" s="19"/>
      <c r="AQ168" s="93"/>
      <c r="AR168" s="93"/>
      <c r="AS168" s="93"/>
      <c r="AT168" s="93"/>
      <c r="AU168" s="93"/>
      <c r="AV168" s="93"/>
      <c r="AW168" s="93"/>
      <c r="AX168" s="93"/>
      <c r="AY168" s="20"/>
      <c r="AZ168" s="29"/>
      <c r="BA168" s="93"/>
      <c r="BB168" s="93"/>
      <c r="BC168" s="93"/>
      <c r="BD168" s="93"/>
      <c r="BE168" s="20"/>
      <c r="BF168" s="29"/>
    </row>
    <row r="169" spans="1:58">
      <c r="A169" s="29" t="str">
        <f t="shared" si="20"/>
        <v/>
      </c>
      <c r="B169" s="19"/>
      <c r="C169" s="93"/>
      <c r="D169" s="93"/>
      <c r="E169" s="93"/>
      <c r="F169" s="93"/>
      <c r="G169" s="20"/>
      <c r="H169" s="19"/>
      <c r="I169" s="93"/>
      <c r="J169" s="214"/>
      <c r="K169" s="20"/>
      <c r="L169" s="19"/>
      <c r="M169" s="93"/>
      <c r="N169" s="93"/>
      <c r="O169" s="20"/>
      <c r="P169" s="19"/>
      <c r="Q169" s="93"/>
      <c r="R169" s="93"/>
      <c r="S169" s="93"/>
      <c r="T169" s="93"/>
      <c r="U169" s="93"/>
      <c r="V169" s="93"/>
      <c r="W169" s="93"/>
      <c r="X169" s="93"/>
      <c r="Y169" s="93"/>
      <c r="Z169" s="93"/>
      <c r="AA169" s="93"/>
      <c r="AB169" s="20"/>
      <c r="AC169" s="19"/>
      <c r="AD169" s="93"/>
      <c r="AE169" s="93"/>
      <c r="AF169" s="93"/>
      <c r="AG169" s="93"/>
      <c r="AH169" s="93"/>
      <c r="AI169" s="93"/>
      <c r="AJ169" s="93"/>
      <c r="AK169" s="93"/>
      <c r="AL169" s="93"/>
      <c r="AM169" s="93"/>
      <c r="AN169" s="93"/>
      <c r="AO169" s="20"/>
      <c r="AP169" s="19"/>
      <c r="AQ169" s="93"/>
      <c r="AR169" s="93"/>
      <c r="AS169" s="93"/>
      <c r="AT169" s="93"/>
      <c r="AU169" s="93"/>
      <c r="AV169" s="93"/>
      <c r="AW169" s="93"/>
      <c r="AX169" s="93"/>
      <c r="AY169" s="20"/>
      <c r="AZ169" s="29"/>
      <c r="BA169" s="93"/>
      <c r="BB169" s="93"/>
      <c r="BC169" s="93"/>
      <c r="BD169" s="93"/>
      <c r="BE169" s="20"/>
      <c r="BF169" s="29"/>
    </row>
    <row r="170" spans="1:58">
      <c r="A170" s="29" t="str">
        <f t="shared" si="20"/>
        <v/>
      </c>
      <c r="B170" s="19"/>
      <c r="C170" s="93"/>
      <c r="D170" s="93"/>
      <c r="E170" s="93"/>
      <c r="F170" s="93"/>
      <c r="G170" s="20"/>
      <c r="H170" s="19"/>
      <c r="I170" s="93"/>
      <c r="J170" s="214"/>
      <c r="K170" s="20"/>
      <c r="L170" s="19"/>
      <c r="M170" s="93"/>
      <c r="N170" s="93"/>
      <c r="O170" s="20"/>
      <c r="P170" s="19"/>
      <c r="Q170" s="93"/>
      <c r="R170" s="93"/>
      <c r="S170" s="93"/>
      <c r="T170" s="93"/>
      <c r="U170" s="93"/>
      <c r="V170" s="93"/>
      <c r="W170" s="93"/>
      <c r="X170" s="93"/>
      <c r="Y170" s="93"/>
      <c r="Z170" s="93"/>
      <c r="AA170" s="93"/>
      <c r="AB170" s="20"/>
      <c r="AC170" s="19"/>
      <c r="AD170" s="93"/>
      <c r="AE170" s="93"/>
      <c r="AF170" s="93"/>
      <c r="AG170" s="93"/>
      <c r="AH170" s="93"/>
      <c r="AI170" s="93"/>
      <c r="AJ170" s="93"/>
      <c r="AK170" s="93"/>
      <c r="AL170" s="93"/>
      <c r="AM170" s="93"/>
      <c r="AN170" s="93"/>
      <c r="AO170" s="20"/>
      <c r="AP170" s="19"/>
      <c r="AQ170" s="93"/>
      <c r="AR170" s="93"/>
      <c r="AS170" s="93"/>
      <c r="AT170" s="93"/>
      <c r="AU170" s="93"/>
      <c r="AV170" s="93"/>
      <c r="AW170" s="93"/>
      <c r="AX170" s="93"/>
      <c r="AY170" s="20"/>
      <c r="AZ170" s="29"/>
      <c r="BA170" s="93"/>
      <c r="BB170" s="93"/>
      <c r="BC170" s="93"/>
      <c r="BD170" s="93"/>
      <c r="BE170" s="20"/>
      <c r="BF170" s="29"/>
    </row>
    <row r="171" spans="1:58">
      <c r="A171" s="29" t="str">
        <f t="shared" si="20"/>
        <v/>
      </c>
      <c r="B171" s="19"/>
      <c r="C171" s="93"/>
      <c r="D171" s="93"/>
      <c r="E171" s="93"/>
      <c r="F171" s="93"/>
      <c r="G171" s="20"/>
      <c r="H171" s="19"/>
      <c r="I171" s="93"/>
      <c r="J171" s="214"/>
      <c r="K171" s="20"/>
      <c r="L171" s="19"/>
      <c r="M171" s="93"/>
      <c r="N171" s="93"/>
      <c r="O171" s="20"/>
      <c r="P171" s="19"/>
      <c r="Q171" s="93"/>
      <c r="R171" s="93"/>
      <c r="S171" s="93"/>
      <c r="T171" s="93"/>
      <c r="U171" s="93"/>
      <c r="V171" s="93"/>
      <c r="W171" s="93"/>
      <c r="X171" s="93"/>
      <c r="Y171" s="93"/>
      <c r="Z171" s="93"/>
      <c r="AA171" s="93"/>
      <c r="AB171" s="20"/>
      <c r="AC171" s="19"/>
      <c r="AD171" s="93"/>
      <c r="AE171" s="93"/>
      <c r="AF171" s="93"/>
      <c r="AG171" s="93"/>
      <c r="AH171" s="93"/>
      <c r="AI171" s="93"/>
      <c r="AJ171" s="93"/>
      <c r="AK171" s="93"/>
      <c r="AL171" s="93"/>
      <c r="AM171" s="93"/>
      <c r="AN171" s="93"/>
      <c r="AO171" s="20"/>
      <c r="AP171" s="19"/>
      <c r="AQ171" s="93"/>
      <c r="AR171" s="93"/>
      <c r="AS171" s="93"/>
      <c r="AT171" s="93"/>
      <c r="AU171" s="93"/>
      <c r="AV171" s="93"/>
      <c r="AW171" s="93"/>
      <c r="AX171" s="93"/>
      <c r="AY171" s="20"/>
      <c r="AZ171" s="29"/>
      <c r="BA171" s="93"/>
      <c r="BB171" s="93"/>
      <c r="BC171" s="93"/>
      <c r="BD171" s="93"/>
      <c r="BE171" s="20"/>
      <c r="BF171" s="29"/>
    </row>
    <row r="172" spans="1:58">
      <c r="A172" s="29" t="str">
        <f t="shared" si="20"/>
        <v/>
      </c>
      <c r="B172" s="19"/>
      <c r="C172" s="93"/>
      <c r="D172" s="93"/>
      <c r="E172" s="93"/>
      <c r="F172" s="93"/>
      <c r="G172" s="20"/>
      <c r="H172" s="19"/>
      <c r="I172" s="93"/>
      <c r="J172" s="214"/>
      <c r="K172" s="20"/>
      <c r="L172" s="19"/>
      <c r="M172" s="93"/>
      <c r="N172" s="93"/>
      <c r="O172" s="20"/>
      <c r="P172" s="19"/>
      <c r="Q172" s="93"/>
      <c r="R172" s="93"/>
      <c r="S172" s="93"/>
      <c r="T172" s="93"/>
      <c r="U172" s="93"/>
      <c r="V172" s="93"/>
      <c r="W172" s="93"/>
      <c r="X172" s="93"/>
      <c r="Y172" s="93"/>
      <c r="Z172" s="93"/>
      <c r="AA172" s="93"/>
      <c r="AB172" s="20"/>
      <c r="AC172" s="19"/>
      <c r="AD172" s="93"/>
      <c r="AE172" s="93"/>
      <c r="AF172" s="93"/>
      <c r="AG172" s="93"/>
      <c r="AH172" s="93"/>
      <c r="AI172" s="93"/>
      <c r="AJ172" s="93"/>
      <c r="AK172" s="93"/>
      <c r="AL172" s="93"/>
      <c r="AM172" s="93"/>
      <c r="AN172" s="93"/>
      <c r="AO172" s="20"/>
      <c r="AP172" s="19"/>
      <c r="AQ172" s="93"/>
      <c r="AR172" s="93"/>
      <c r="AS172" s="93"/>
      <c r="AT172" s="93"/>
      <c r="AU172" s="93"/>
      <c r="AV172" s="93"/>
      <c r="AW172" s="93"/>
      <c r="AX172" s="93"/>
      <c r="AY172" s="20"/>
      <c r="AZ172" s="29"/>
      <c r="BA172" s="93"/>
      <c r="BB172" s="93"/>
      <c r="BC172" s="93"/>
      <c r="BD172" s="93"/>
      <c r="BE172" s="20"/>
      <c r="BF172" s="29"/>
    </row>
    <row r="173" spans="1:58">
      <c r="A173" s="29" t="str">
        <f t="shared" si="20"/>
        <v/>
      </c>
      <c r="B173" s="19"/>
      <c r="C173" s="93"/>
      <c r="D173" s="93"/>
      <c r="E173" s="93"/>
      <c r="F173" s="93"/>
      <c r="G173" s="20"/>
      <c r="H173" s="19"/>
      <c r="I173" s="93"/>
      <c r="J173" s="214"/>
      <c r="K173" s="20"/>
      <c r="L173" s="19"/>
      <c r="M173" s="93"/>
      <c r="N173" s="93"/>
      <c r="O173" s="20"/>
      <c r="P173" s="19"/>
      <c r="Q173" s="93"/>
      <c r="R173" s="93"/>
      <c r="S173" s="93"/>
      <c r="T173" s="93"/>
      <c r="U173" s="93"/>
      <c r="V173" s="93"/>
      <c r="W173" s="93"/>
      <c r="X173" s="93"/>
      <c r="Y173" s="93"/>
      <c r="Z173" s="93"/>
      <c r="AA173" s="93"/>
      <c r="AB173" s="20"/>
      <c r="AC173" s="19"/>
      <c r="AD173" s="93"/>
      <c r="AE173" s="93"/>
      <c r="AF173" s="93"/>
      <c r="AG173" s="93"/>
      <c r="AH173" s="93"/>
      <c r="AI173" s="93"/>
      <c r="AJ173" s="93"/>
      <c r="AK173" s="93"/>
      <c r="AL173" s="93"/>
      <c r="AM173" s="93"/>
      <c r="AN173" s="93"/>
      <c r="AO173" s="20"/>
      <c r="AP173" s="19"/>
      <c r="AQ173" s="93"/>
      <c r="AR173" s="93"/>
      <c r="AS173" s="93"/>
      <c r="AT173" s="93"/>
      <c r="AU173" s="93"/>
      <c r="AV173" s="93"/>
      <c r="AW173" s="93"/>
      <c r="AX173" s="93"/>
      <c r="AY173" s="20"/>
      <c r="AZ173" s="29"/>
      <c r="BA173" s="93"/>
      <c r="BB173" s="93"/>
      <c r="BC173" s="93"/>
      <c r="BD173" s="93"/>
      <c r="BE173" s="20"/>
      <c r="BF173" s="29"/>
    </row>
    <row r="174" spans="1:58">
      <c r="A174" s="29" t="str">
        <f t="shared" si="20"/>
        <v/>
      </c>
      <c r="B174" s="19"/>
      <c r="C174" s="93"/>
      <c r="D174" s="93"/>
      <c r="E174" s="93"/>
      <c r="F174" s="93"/>
      <c r="G174" s="20"/>
      <c r="H174" s="19"/>
      <c r="I174" s="93"/>
      <c r="J174" s="214"/>
      <c r="K174" s="20"/>
      <c r="L174" s="19"/>
      <c r="M174" s="93"/>
      <c r="N174" s="93"/>
      <c r="O174" s="20"/>
      <c r="P174" s="19"/>
      <c r="Q174" s="93"/>
      <c r="R174" s="93"/>
      <c r="S174" s="93"/>
      <c r="T174" s="93"/>
      <c r="U174" s="93"/>
      <c r="V174" s="93"/>
      <c r="W174" s="93"/>
      <c r="X174" s="93"/>
      <c r="Y174" s="93"/>
      <c r="Z174" s="93"/>
      <c r="AA174" s="93"/>
      <c r="AB174" s="20"/>
      <c r="AC174" s="19"/>
      <c r="AD174" s="93"/>
      <c r="AE174" s="93"/>
      <c r="AF174" s="93"/>
      <c r="AG174" s="93"/>
      <c r="AH174" s="93"/>
      <c r="AI174" s="93"/>
      <c r="AJ174" s="93"/>
      <c r="AK174" s="93"/>
      <c r="AL174" s="93"/>
      <c r="AM174" s="93"/>
      <c r="AN174" s="93"/>
      <c r="AO174" s="20"/>
      <c r="AP174" s="19"/>
      <c r="AQ174" s="93"/>
      <c r="AR174" s="93"/>
      <c r="AS174" s="93"/>
      <c r="AT174" s="93"/>
      <c r="AU174" s="93"/>
      <c r="AV174" s="93"/>
      <c r="AW174" s="93"/>
      <c r="AX174" s="93"/>
      <c r="AY174" s="20"/>
      <c r="AZ174" s="29"/>
      <c r="BA174" s="93"/>
      <c r="BB174" s="93"/>
      <c r="BC174" s="93"/>
      <c r="BD174" s="93"/>
      <c r="BE174" s="20"/>
      <c r="BF174" s="29"/>
    </row>
    <row r="175" spans="1:58">
      <c r="A175" s="29" t="str">
        <f t="shared" si="20"/>
        <v/>
      </c>
      <c r="B175" s="19"/>
      <c r="C175" s="93"/>
      <c r="D175" s="93"/>
      <c r="E175" s="93"/>
      <c r="F175" s="93"/>
      <c r="G175" s="20"/>
      <c r="H175" s="19"/>
      <c r="I175" s="93"/>
      <c r="J175" s="214"/>
      <c r="K175" s="20"/>
      <c r="L175" s="19"/>
      <c r="M175" s="93"/>
      <c r="N175" s="93"/>
      <c r="O175" s="20"/>
      <c r="P175" s="19"/>
      <c r="Q175" s="93"/>
      <c r="R175" s="93"/>
      <c r="S175" s="93"/>
      <c r="T175" s="93"/>
      <c r="U175" s="93"/>
      <c r="V175" s="93"/>
      <c r="W175" s="93"/>
      <c r="X175" s="93"/>
      <c r="Y175" s="93"/>
      <c r="Z175" s="93"/>
      <c r="AA175" s="93"/>
      <c r="AB175" s="20"/>
      <c r="AC175" s="19"/>
      <c r="AD175" s="93"/>
      <c r="AE175" s="93"/>
      <c r="AF175" s="93"/>
      <c r="AG175" s="93"/>
      <c r="AH175" s="93"/>
      <c r="AI175" s="93"/>
      <c r="AJ175" s="93"/>
      <c r="AK175" s="93"/>
      <c r="AL175" s="93"/>
      <c r="AM175" s="93"/>
      <c r="AN175" s="93"/>
      <c r="AO175" s="20"/>
      <c r="AP175" s="19"/>
      <c r="AQ175" s="93"/>
      <c r="AR175" s="93"/>
      <c r="AS175" s="93"/>
      <c r="AT175" s="93"/>
      <c r="AU175" s="93"/>
      <c r="AV175" s="93"/>
      <c r="AW175" s="93"/>
      <c r="AX175" s="93"/>
      <c r="AY175" s="20"/>
      <c r="AZ175" s="29"/>
      <c r="BA175" s="93"/>
      <c r="BB175" s="93"/>
      <c r="BC175" s="93"/>
      <c r="BD175" s="93"/>
      <c r="BE175" s="20"/>
      <c r="BF175" s="29"/>
    </row>
    <row r="176" spans="1:58">
      <c r="A176" s="29" t="str">
        <f t="shared" si="20"/>
        <v/>
      </c>
      <c r="B176" s="19"/>
      <c r="C176" s="93"/>
      <c r="D176" s="93"/>
      <c r="E176" s="93"/>
      <c r="F176" s="93"/>
      <c r="G176" s="20"/>
      <c r="H176" s="19"/>
      <c r="I176" s="93"/>
      <c r="J176" s="214"/>
      <c r="K176" s="20"/>
      <c r="L176" s="19"/>
      <c r="M176" s="93"/>
      <c r="N176" s="93"/>
      <c r="O176" s="20"/>
      <c r="P176" s="19"/>
      <c r="Q176" s="93"/>
      <c r="R176" s="93"/>
      <c r="S176" s="93"/>
      <c r="T176" s="93"/>
      <c r="U176" s="93"/>
      <c r="V176" s="93"/>
      <c r="W176" s="93"/>
      <c r="X176" s="93"/>
      <c r="Y176" s="93"/>
      <c r="Z176" s="93"/>
      <c r="AA176" s="93"/>
      <c r="AB176" s="20"/>
      <c r="AC176" s="19"/>
      <c r="AD176" s="93"/>
      <c r="AE176" s="93"/>
      <c r="AF176" s="93"/>
      <c r="AG176" s="93"/>
      <c r="AH176" s="93"/>
      <c r="AI176" s="93"/>
      <c r="AJ176" s="93"/>
      <c r="AK176" s="93"/>
      <c r="AL176" s="93"/>
      <c r="AM176" s="93"/>
      <c r="AN176" s="93"/>
      <c r="AO176" s="20"/>
      <c r="AP176" s="19"/>
      <c r="AQ176" s="93"/>
      <c r="AR176" s="93"/>
      <c r="AS176" s="93"/>
      <c r="AT176" s="93"/>
      <c r="AU176" s="93"/>
      <c r="AV176" s="93"/>
      <c r="AW176" s="93"/>
      <c r="AX176" s="93"/>
      <c r="AY176" s="20"/>
      <c r="AZ176" s="29"/>
      <c r="BA176" s="93"/>
      <c r="BB176" s="93"/>
      <c r="BC176" s="93"/>
      <c r="BD176" s="93"/>
      <c r="BE176" s="20"/>
      <c r="BF176" s="29"/>
    </row>
    <row r="177" spans="1:58">
      <c r="A177" s="29" t="str">
        <f t="shared" si="20"/>
        <v/>
      </c>
      <c r="B177" s="19"/>
      <c r="C177" s="93"/>
      <c r="D177" s="93"/>
      <c r="E177" s="93"/>
      <c r="F177" s="93"/>
      <c r="G177" s="20"/>
      <c r="H177" s="19"/>
      <c r="I177" s="93"/>
      <c r="J177" s="214"/>
      <c r="K177" s="20"/>
      <c r="L177" s="19"/>
      <c r="M177" s="93"/>
      <c r="N177" s="93"/>
      <c r="O177" s="20"/>
      <c r="P177" s="19"/>
      <c r="Q177" s="93"/>
      <c r="R177" s="93"/>
      <c r="S177" s="93"/>
      <c r="T177" s="93"/>
      <c r="U177" s="93"/>
      <c r="V177" s="93"/>
      <c r="W177" s="93"/>
      <c r="X177" s="93"/>
      <c r="Y177" s="93"/>
      <c r="Z177" s="93"/>
      <c r="AA177" s="93"/>
      <c r="AB177" s="20"/>
      <c r="AC177" s="19"/>
      <c r="AD177" s="93"/>
      <c r="AE177" s="93"/>
      <c r="AF177" s="93"/>
      <c r="AG177" s="93"/>
      <c r="AH177" s="93"/>
      <c r="AI177" s="93"/>
      <c r="AJ177" s="93"/>
      <c r="AK177" s="93"/>
      <c r="AL177" s="93"/>
      <c r="AM177" s="93"/>
      <c r="AN177" s="93"/>
      <c r="AO177" s="20"/>
      <c r="AP177" s="19"/>
      <c r="AQ177" s="93"/>
      <c r="AR177" s="93"/>
      <c r="AS177" s="93"/>
      <c r="AT177" s="93"/>
      <c r="AU177" s="93"/>
      <c r="AV177" s="93"/>
      <c r="AW177" s="93"/>
      <c r="AX177" s="93"/>
      <c r="AY177" s="20"/>
      <c r="AZ177" s="29"/>
      <c r="BA177" s="93"/>
      <c r="BB177" s="93"/>
      <c r="BC177" s="93"/>
      <c r="BD177" s="93"/>
      <c r="BE177" s="20"/>
      <c r="BF177" s="29"/>
    </row>
    <row r="178" spans="1:58">
      <c r="A178" s="29" t="str">
        <f t="shared" si="20"/>
        <v/>
      </c>
      <c r="B178" s="19"/>
      <c r="C178" s="93"/>
      <c r="D178" s="93"/>
      <c r="E178" s="93"/>
      <c r="F178" s="93"/>
      <c r="G178" s="20"/>
      <c r="H178" s="19"/>
      <c r="I178" s="93"/>
      <c r="J178" s="214"/>
      <c r="K178" s="20"/>
      <c r="L178" s="19"/>
      <c r="M178" s="93"/>
      <c r="N178" s="93"/>
      <c r="O178" s="20"/>
      <c r="P178" s="19"/>
      <c r="Q178" s="93"/>
      <c r="R178" s="93"/>
      <c r="S178" s="93"/>
      <c r="T178" s="93"/>
      <c r="U178" s="93"/>
      <c r="V178" s="93"/>
      <c r="W178" s="93"/>
      <c r="X178" s="93"/>
      <c r="Y178" s="93"/>
      <c r="Z178" s="93"/>
      <c r="AA178" s="93"/>
      <c r="AB178" s="20"/>
      <c r="AC178" s="19"/>
      <c r="AD178" s="93"/>
      <c r="AE178" s="93"/>
      <c r="AF178" s="93"/>
      <c r="AG178" s="93"/>
      <c r="AH178" s="93"/>
      <c r="AI178" s="93"/>
      <c r="AJ178" s="93"/>
      <c r="AK178" s="93"/>
      <c r="AL178" s="93"/>
      <c r="AM178" s="93"/>
      <c r="AN178" s="93"/>
      <c r="AO178" s="20"/>
      <c r="AP178" s="19"/>
      <c r="AQ178" s="93"/>
      <c r="AR178" s="93"/>
      <c r="AS178" s="93"/>
      <c r="AT178" s="93"/>
      <c r="AU178" s="93"/>
      <c r="AV178" s="93"/>
      <c r="AW178" s="93"/>
      <c r="AX178" s="93"/>
      <c r="AY178" s="20"/>
      <c r="AZ178" s="29"/>
      <c r="BA178" s="93"/>
      <c r="BB178" s="93"/>
      <c r="BC178" s="93"/>
      <c r="BD178" s="93"/>
      <c r="BE178" s="20"/>
      <c r="BF178" s="29"/>
    </row>
    <row r="179" spans="1:58">
      <c r="A179" s="29" t="str">
        <f t="shared" si="20"/>
        <v/>
      </c>
      <c r="B179" s="19"/>
      <c r="C179" s="93"/>
      <c r="D179" s="93"/>
      <c r="E179" s="93"/>
      <c r="F179" s="93"/>
      <c r="G179" s="20"/>
      <c r="H179" s="19"/>
      <c r="I179" s="93"/>
      <c r="J179" s="214"/>
      <c r="K179" s="20"/>
      <c r="L179" s="19"/>
      <c r="M179" s="93"/>
      <c r="N179" s="93"/>
      <c r="O179" s="20"/>
      <c r="P179" s="19"/>
      <c r="Q179" s="93"/>
      <c r="R179" s="93"/>
      <c r="S179" s="93"/>
      <c r="T179" s="93"/>
      <c r="U179" s="93"/>
      <c r="V179" s="93"/>
      <c r="W179" s="93"/>
      <c r="X179" s="93"/>
      <c r="Y179" s="93"/>
      <c r="Z179" s="93"/>
      <c r="AA179" s="93"/>
      <c r="AB179" s="20"/>
      <c r="AC179" s="19"/>
      <c r="AD179" s="93"/>
      <c r="AE179" s="93"/>
      <c r="AF179" s="93"/>
      <c r="AG179" s="93"/>
      <c r="AH179" s="93"/>
      <c r="AI179" s="93"/>
      <c r="AJ179" s="93"/>
      <c r="AK179" s="93"/>
      <c r="AL179" s="93"/>
      <c r="AM179" s="93"/>
      <c r="AN179" s="93"/>
      <c r="AO179" s="20"/>
      <c r="AP179" s="19"/>
      <c r="AQ179" s="93"/>
      <c r="AR179" s="93"/>
      <c r="AS179" s="93"/>
      <c r="AT179" s="93"/>
      <c r="AU179" s="93"/>
      <c r="AV179" s="93"/>
      <c r="AW179" s="93"/>
      <c r="AX179" s="93"/>
      <c r="AY179" s="20"/>
      <c r="AZ179" s="29"/>
      <c r="BA179" s="93"/>
      <c r="BB179" s="93"/>
      <c r="BC179" s="93"/>
      <c r="BD179" s="93"/>
      <c r="BE179" s="20"/>
      <c r="BF179" s="29"/>
    </row>
    <row r="180" spans="1:58">
      <c r="A180" s="29" t="str">
        <f t="shared" si="20"/>
        <v/>
      </c>
      <c r="B180" s="19"/>
      <c r="C180" s="93"/>
      <c r="D180" s="93"/>
      <c r="E180" s="93"/>
      <c r="F180" s="93"/>
      <c r="G180" s="20"/>
      <c r="H180" s="19"/>
      <c r="I180" s="93"/>
      <c r="J180" s="214"/>
      <c r="K180" s="20"/>
      <c r="L180" s="19"/>
      <c r="M180" s="93"/>
      <c r="N180" s="93"/>
      <c r="O180" s="20"/>
      <c r="P180" s="19"/>
      <c r="Q180" s="93"/>
      <c r="R180" s="93"/>
      <c r="S180" s="93"/>
      <c r="T180" s="93"/>
      <c r="U180" s="93"/>
      <c r="V180" s="93"/>
      <c r="W180" s="93"/>
      <c r="X180" s="93"/>
      <c r="Y180" s="93"/>
      <c r="Z180" s="93"/>
      <c r="AA180" s="93"/>
      <c r="AB180" s="20"/>
      <c r="AC180" s="19"/>
      <c r="AD180" s="93"/>
      <c r="AE180" s="93"/>
      <c r="AF180" s="93"/>
      <c r="AG180" s="93"/>
      <c r="AH180" s="93"/>
      <c r="AI180" s="93"/>
      <c r="AJ180" s="93"/>
      <c r="AK180" s="93"/>
      <c r="AL180" s="93"/>
      <c r="AM180" s="93"/>
      <c r="AN180" s="93"/>
      <c r="AO180" s="20"/>
      <c r="AP180" s="19"/>
      <c r="AQ180" s="93"/>
      <c r="AR180" s="93"/>
      <c r="AS180" s="93"/>
      <c r="AT180" s="93"/>
      <c r="AU180" s="93"/>
      <c r="AV180" s="93"/>
      <c r="AW180" s="93"/>
      <c r="AX180" s="93"/>
      <c r="AY180" s="20"/>
      <c r="AZ180" s="29"/>
      <c r="BA180" s="93"/>
      <c r="BB180" s="93"/>
      <c r="BC180" s="93"/>
      <c r="BD180" s="93"/>
      <c r="BE180" s="20"/>
      <c r="BF180" s="29"/>
    </row>
    <row r="181" spans="1:58">
      <c r="A181" s="29" t="str">
        <f t="shared" si="20"/>
        <v/>
      </c>
      <c r="B181" s="19"/>
      <c r="C181" s="93"/>
      <c r="D181" s="93"/>
      <c r="E181" s="93"/>
      <c r="F181" s="93"/>
      <c r="G181" s="20"/>
      <c r="H181" s="19"/>
      <c r="I181" s="93"/>
      <c r="J181" s="214"/>
      <c r="K181" s="20"/>
      <c r="L181" s="19"/>
      <c r="M181" s="93"/>
      <c r="N181" s="93"/>
      <c r="O181" s="20"/>
      <c r="P181" s="19"/>
      <c r="Q181" s="93"/>
      <c r="R181" s="93"/>
      <c r="S181" s="93"/>
      <c r="T181" s="93"/>
      <c r="U181" s="93"/>
      <c r="V181" s="93"/>
      <c r="W181" s="93"/>
      <c r="X181" s="93"/>
      <c r="Y181" s="93"/>
      <c r="Z181" s="93"/>
      <c r="AA181" s="93"/>
      <c r="AB181" s="20"/>
      <c r="AC181" s="19"/>
      <c r="AD181" s="93"/>
      <c r="AE181" s="93"/>
      <c r="AF181" s="93"/>
      <c r="AG181" s="93"/>
      <c r="AH181" s="93"/>
      <c r="AI181" s="93"/>
      <c r="AJ181" s="93"/>
      <c r="AK181" s="93"/>
      <c r="AL181" s="93"/>
      <c r="AM181" s="93"/>
      <c r="AN181" s="93"/>
      <c r="AO181" s="20"/>
      <c r="AP181" s="19"/>
      <c r="AQ181" s="93"/>
      <c r="AR181" s="93"/>
      <c r="AS181" s="93"/>
      <c r="AT181" s="93"/>
      <c r="AU181" s="93"/>
      <c r="AV181" s="93"/>
      <c r="AW181" s="93"/>
      <c r="AX181" s="93"/>
      <c r="AY181" s="20"/>
      <c r="AZ181" s="29"/>
      <c r="BA181" s="93"/>
      <c r="BB181" s="93"/>
      <c r="BC181" s="93"/>
      <c r="BD181" s="93"/>
      <c r="BE181" s="20"/>
      <c r="BF181" s="29"/>
    </row>
    <row r="182" spans="1:58">
      <c r="A182" s="29" t="str">
        <f t="shared" si="20"/>
        <v/>
      </c>
      <c r="B182" s="19"/>
      <c r="C182" s="93"/>
      <c r="D182" s="93"/>
      <c r="E182" s="93"/>
      <c r="F182" s="93"/>
      <c r="G182" s="20"/>
      <c r="H182" s="19"/>
      <c r="I182" s="93"/>
      <c r="J182" s="214"/>
      <c r="K182" s="20"/>
      <c r="L182" s="19"/>
      <c r="M182" s="93"/>
      <c r="N182" s="93"/>
      <c r="O182" s="20"/>
      <c r="P182" s="19"/>
      <c r="Q182" s="93"/>
      <c r="R182" s="93"/>
      <c r="S182" s="93"/>
      <c r="T182" s="93"/>
      <c r="U182" s="93"/>
      <c r="V182" s="93"/>
      <c r="W182" s="93"/>
      <c r="X182" s="93"/>
      <c r="Y182" s="93"/>
      <c r="Z182" s="93"/>
      <c r="AA182" s="93"/>
      <c r="AB182" s="20"/>
      <c r="AC182" s="19"/>
      <c r="AD182" s="93"/>
      <c r="AE182" s="93"/>
      <c r="AF182" s="93"/>
      <c r="AG182" s="93"/>
      <c r="AH182" s="93"/>
      <c r="AI182" s="93"/>
      <c r="AJ182" s="93"/>
      <c r="AK182" s="93"/>
      <c r="AL182" s="93"/>
      <c r="AM182" s="93"/>
      <c r="AN182" s="93"/>
      <c r="AO182" s="20"/>
      <c r="AP182" s="19"/>
      <c r="AQ182" s="93"/>
      <c r="AR182" s="93"/>
      <c r="AS182" s="93"/>
      <c r="AT182" s="93"/>
      <c r="AU182" s="93"/>
      <c r="AV182" s="93"/>
      <c r="AW182" s="93"/>
      <c r="AX182" s="93"/>
      <c r="AY182" s="20"/>
      <c r="AZ182" s="29"/>
      <c r="BA182" s="93"/>
      <c r="BB182" s="93"/>
      <c r="BC182" s="93"/>
      <c r="BD182" s="93"/>
      <c r="BE182" s="20"/>
      <c r="BF182" s="29"/>
    </row>
    <row r="183" spans="1:58">
      <c r="A183" s="29" t="str">
        <f>IF(AZ183="","",AZ182+2000)</f>
        <v/>
      </c>
      <c r="B183" s="19"/>
      <c r="C183" s="93"/>
      <c r="D183" s="93"/>
      <c r="E183" s="93"/>
      <c r="F183" s="93"/>
      <c r="G183" s="20"/>
      <c r="H183" s="19"/>
      <c r="I183" s="93"/>
      <c r="J183" s="214"/>
      <c r="K183" s="20"/>
      <c r="L183" s="19"/>
      <c r="M183" s="93"/>
      <c r="N183" s="93"/>
      <c r="O183" s="20"/>
      <c r="P183" s="19"/>
      <c r="Q183" s="93"/>
      <c r="R183" s="93"/>
      <c r="S183" s="93"/>
      <c r="T183" s="93"/>
      <c r="U183" s="93"/>
      <c r="V183" s="93"/>
      <c r="W183" s="93"/>
      <c r="X183" s="93"/>
      <c r="Y183" s="93"/>
      <c r="Z183" s="93"/>
      <c r="AA183" s="93"/>
      <c r="AB183" s="20"/>
      <c r="AC183" s="19"/>
      <c r="AD183" s="93"/>
      <c r="AE183" s="93"/>
      <c r="AF183" s="93"/>
      <c r="AG183" s="93"/>
      <c r="AH183" s="93"/>
      <c r="AI183" s="93"/>
      <c r="AJ183" s="93"/>
      <c r="AK183" s="93"/>
      <c r="AL183" s="93"/>
      <c r="AM183" s="93"/>
      <c r="AN183" s="93"/>
      <c r="AO183" s="20"/>
      <c r="AP183" s="19"/>
      <c r="AQ183" s="93"/>
      <c r="AR183" s="93"/>
      <c r="AS183" s="93"/>
      <c r="AT183" s="93"/>
      <c r="AU183" s="93"/>
      <c r="AV183" s="93"/>
      <c r="AW183" s="93"/>
      <c r="AX183" s="93"/>
      <c r="AY183" s="20"/>
      <c r="AZ183" s="29"/>
      <c r="BA183" s="93"/>
      <c r="BB183" s="93"/>
      <c r="BC183" s="93"/>
      <c r="BD183" s="93"/>
      <c r="BE183" s="20"/>
      <c r="BF183" s="29"/>
    </row>
    <row r="184" spans="1:58" ht="12.6" thickBot="1">
      <c r="A184" s="29" t="str">
        <f>IF(AZ184="","",AZ183+2000)</f>
        <v/>
      </c>
      <c r="B184" s="21"/>
      <c r="C184" s="94"/>
      <c r="D184" s="94"/>
      <c r="E184" s="94"/>
      <c r="F184" s="94"/>
      <c r="G184" s="22"/>
      <c r="H184" s="21"/>
      <c r="I184" s="94"/>
      <c r="J184" s="215"/>
      <c r="K184" s="22"/>
      <c r="L184" s="21"/>
      <c r="M184" s="94"/>
      <c r="N184" s="94"/>
      <c r="O184" s="22"/>
      <c r="P184" s="21"/>
      <c r="Q184" s="94"/>
      <c r="R184" s="94"/>
      <c r="S184" s="94"/>
      <c r="T184" s="94"/>
      <c r="U184" s="94"/>
      <c r="V184" s="94"/>
      <c r="W184" s="94"/>
      <c r="X184" s="94"/>
      <c r="Y184" s="94"/>
      <c r="Z184" s="94"/>
      <c r="AA184" s="94"/>
      <c r="AB184" s="22"/>
      <c r="AC184" s="21"/>
      <c r="AD184" s="94"/>
      <c r="AE184" s="94"/>
      <c r="AF184" s="94"/>
      <c r="AG184" s="94"/>
      <c r="AH184" s="94"/>
      <c r="AI184" s="94"/>
      <c r="AJ184" s="94"/>
      <c r="AK184" s="94"/>
      <c r="AL184" s="94"/>
      <c r="AM184" s="94"/>
      <c r="AN184" s="94"/>
      <c r="AO184" s="22"/>
      <c r="AP184" s="19"/>
      <c r="AQ184" s="93"/>
      <c r="AR184" s="93"/>
      <c r="AS184" s="93"/>
      <c r="AT184" s="93"/>
      <c r="AU184" s="93"/>
      <c r="AV184" s="93"/>
      <c r="AW184" s="93"/>
      <c r="AX184" s="93"/>
      <c r="AY184" s="20"/>
      <c r="AZ184" s="29"/>
      <c r="BA184" s="93"/>
      <c r="BB184" s="93"/>
      <c r="BC184" s="93"/>
      <c r="BD184" s="93"/>
      <c r="BE184" s="20"/>
      <c r="BF184" s="29"/>
    </row>
    <row r="185" spans="1:58" ht="12.9" thickTop="1" thickBot="1">
      <c r="A185" s="29" t="str">
        <f>IF(AZ185="","",AZ184+2000)</f>
        <v/>
      </c>
      <c r="AP185" s="21"/>
      <c r="AQ185" s="94"/>
      <c r="AR185" s="94"/>
      <c r="AS185" s="94"/>
      <c r="AT185" s="94"/>
      <c r="AU185" s="94"/>
      <c r="AV185" s="94"/>
      <c r="AW185" s="94"/>
      <c r="AX185" s="94"/>
      <c r="AY185" s="22"/>
      <c r="AZ185" s="30"/>
      <c r="BA185" s="94"/>
      <c r="BB185" s="94"/>
      <c r="BC185" s="94"/>
      <c r="BD185" s="94"/>
      <c r="BE185" s="22"/>
      <c r="BF185" s="30"/>
    </row>
    <row r="186" spans="1:58" ht="12.6" thickTop="1"/>
  </sheetData>
  <mergeCells count="6">
    <mergeCell ref="AR3:AV3"/>
    <mergeCell ref="D3:H3"/>
    <mergeCell ref="L3:P3"/>
    <mergeCell ref="T3:X3"/>
    <mergeCell ref="AB3:AF3"/>
    <mergeCell ref="AJ3:AN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1">
    <tabColor rgb="FF00B050"/>
  </sheetPr>
  <dimension ref="A1:K219"/>
  <sheetViews>
    <sheetView view="pageBreakPreview" topLeftCell="A191" zoomScaleSheetLayoutView="100" workbookViewId="0">
      <selection activeCell="K50" sqref="K50"/>
    </sheetView>
  </sheetViews>
  <sheetFormatPr baseColWidth="10" defaultRowHeight="12.3"/>
  <cols>
    <col min="1" max="1" width="59.71875" customWidth="1"/>
    <col min="2" max="5" width="9" customWidth="1"/>
    <col min="6" max="6" width="10.27734375" customWidth="1"/>
    <col min="7" max="7" width="9.5546875" customWidth="1"/>
    <col min="8" max="8" width="9.27734375" customWidth="1"/>
  </cols>
  <sheetData>
    <row r="1" spans="1:8" ht="17.7">
      <c r="A1" s="2048" t="s">
        <v>442</v>
      </c>
      <c r="B1" s="2048"/>
      <c r="C1" s="2048"/>
      <c r="D1" s="2048"/>
      <c r="E1" s="2048"/>
      <c r="F1" s="2048"/>
      <c r="G1" s="2048"/>
      <c r="H1" s="2048"/>
    </row>
    <row r="2" spans="1:8">
      <c r="A2" s="31"/>
      <c r="B2" s="67"/>
      <c r="C2" s="67"/>
      <c r="D2" s="67"/>
      <c r="E2" s="67"/>
      <c r="F2" s="67"/>
      <c r="G2" s="31"/>
      <c r="H2" s="31"/>
    </row>
    <row r="3" spans="1:8">
      <c r="A3" s="86" t="s">
        <v>443</v>
      </c>
      <c r="B3" s="571"/>
      <c r="C3" s="67"/>
      <c r="D3" s="67"/>
      <c r="E3" s="67"/>
      <c r="F3" s="67"/>
      <c r="G3" s="572"/>
      <c r="H3" s="31"/>
    </row>
    <row r="4" spans="1:8">
      <c r="A4" s="68"/>
      <c r="B4" s="571"/>
      <c r="C4" s="67"/>
      <c r="D4" s="67"/>
      <c r="E4" s="67"/>
      <c r="F4" s="67"/>
      <c r="G4" s="31"/>
      <c r="H4" s="31"/>
    </row>
    <row r="5" spans="1:8">
      <c r="A5" s="31"/>
      <c r="B5" s="2070" t="s">
        <v>12</v>
      </c>
      <c r="C5" s="2074"/>
      <c r="D5" s="2074"/>
      <c r="E5" s="2074"/>
      <c r="F5" s="2074"/>
      <c r="G5" s="2067" t="s">
        <v>18</v>
      </c>
      <c r="H5" s="2069"/>
    </row>
    <row r="6" spans="1:8" ht="30.75" customHeight="1">
      <c r="A6" s="573"/>
      <c r="B6" s="144">
        <f>Base_Mensuelle!OH7</f>
        <v>44896</v>
      </c>
      <c r="C6" s="518">
        <f>Base_Mensuelle!OI7</f>
        <v>45170</v>
      </c>
      <c r="D6" s="518">
        <f>Base_Mensuelle!OJ7</f>
        <v>45200</v>
      </c>
      <c r="E6" s="518">
        <f>Base_Mensuelle!OK7</f>
        <v>45231</v>
      </c>
      <c r="F6" s="519">
        <f>Base_Mensuelle!OL7</f>
        <v>45261</v>
      </c>
      <c r="G6" s="466" t="s">
        <v>19</v>
      </c>
      <c r="H6" s="449" t="s">
        <v>20</v>
      </c>
    </row>
    <row r="7" spans="1:8">
      <c r="A7" s="412" t="s">
        <v>444</v>
      </c>
      <c r="B7" s="574"/>
      <c r="C7" s="575"/>
      <c r="D7" s="576"/>
      <c r="E7" s="577"/>
      <c r="F7" s="578"/>
      <c r="G7" s="579"/>
      <c r="H7" s="1332"/>
    </row>
    <row r="8" spans="1:8">
      <c r="A8" s="1348" t="s">
        <v>445</v>
      </c>
      <c r="B8" s="580">
        <f>Base_Mensuelle!OH9</f>
        <v>828.74838173000012</v>
      </c>
      <c r="C8" s="581">
        <f>Base_Mensuelle!OI9</f>
        <v>933.14057847800018</v>
      </c>
      <c r="D8" s="582">
        <f>Base_Mensuelle!OJ9</f>
        <v>909.10119619900001</v>
      </c>
      <c r="E8" s="583">
        <f>Base_Mensuelle!OK9</f>
        <v>936.48323727700006</v>
      </c>
      <c r="F8" s="584">
        <f>Base_Mensuelle!OL9</f>
        <v>986.10114882400012</v>
      </c>
      <c r="G8" s="1333">
        <f t="shared" ref="G8:G15" si="0">+IF(E8=0,"",(F8/E8-1)*100)</f>
        <v>5.2983235120442007</v>
      </c>
      <c r="H8" s="1334">
        <f t="shared" ref="H8:H15" si="1">+IF(B8=0,"",(F8/B8-1)*100)</f>
        <v>18.986796301855623</v>
      </c>
    </row>
    <row r="9" spans="1:8">
      <c r="A9" s="1345" t="s">
        <v>446</v>
      </c>
      <c r="B9" s="614">
        <f>Base_Mensuelle!OH10</f>
        <v>2813.9410329239995</v>
      </c>
      <c r="C9" s="615">
        <f>Base_Mensuelle!OI10</f>
        <v>2693.1156919209998</v>
      </c>
      <c r="D9" s="616">
        <f>Base_Mensuelle!OJ10</f>
        <v>2581.2692009709999</v>
      </c>
      <c r="E9" s="617">
        <f>Base_Mensuelle!OK10</f>
        <v>2489.0704990740001</v>
      </c>
      <c r="F9" s="618">
        <f>Base_Mensuelle!OL10</f>
        <v>2491.7672695840001</v>
      </c>
      <c r="G9" s="615">
        <f t="shared" si="0"/>
        <v>0.1083444808414713</v>
      </c>
      <c r="H9" s="1342">
        <f t="shared" si="1"/>
        <v>-11.44920094523888</v>
      </c>
    </row>
    <row r="10" spans="1:8">
      <c r="A10" s="1346" t="s">
        <v>447</v>
      </c>
      <c r="B10" s="580">
        <f>Base_Mensuelle!OH11</f>
        <v>0.42652169400000001</v>
      </c>
      <c r="C10" s="581">
        <f>Base_Mensuelle!OI11</f>
        <v>0.51118069099999996</v>
      </c>
      <c r="D10" s="583">
        <f>Base_Mensuelle!OJ11</f>
        <v>0.61968974099999996</v>
      </c>
      <c r="E10" s="583">
        <f>Base_Mensuelle!OK11</f>
        <v>5.250987844</v>
      </c>
      <c r="F10" s="584">
        <f>Base_Mensuelle!OL11</f>
        <v>0.99675835400000001</v>
      </c>
      <c r="G10" s="594">
        <f t="shared" si="0"/>
        <v>-81.017698314823988</v>
      </c>
      <c r="H10" s="1338">
        <f t="shared" si="1"/>
        <v>133.69464391182876</v>
      </c>
    </row>
    <row r="11" spans="1:8">
      <c r="A11" s="1345" t="s">
        <v>448</v>
      </c>
      <c r="B11" s="614">
        <f>Base_Mensuelle!OH12</f>
        <v>2511.9139999999998</v>
      </c>
      <c r="C11" s="615">
        <f>Base_Mensuelle!OI12</f>
        <v>2391.0039999999999</v>
      </c>
      <c r="D11" s="616">
        <f>Base_Mensuelle!OJ12</f>
        <v>2279.049</v>
      </c>
      <c r="E11" s="617">
        <f>Base_Mensuelle!OK12</f>
        <v>2182.2190000000001</v>
      </c>
      <c r="F11" s="618">
        <f>Base_Mensuelle!OL12</f>
        <v>2189.17</v>
      </c>
      <c r="G11" s="615">
        <f t="shared" si="0"/>
        <v>0.31852898357132009</v>
      </c>
      <c r="H11" s="1342">
        <f t="shared" si="1"/>
        <v>-12.848529049959501</v>
      </c>
    </row>
    <row r="12" spans="1:8">
      <c r="A12" s="1346" t="s">
        <v>449</v>
      </c>
      <c r="B12" s="580">
        <f>Base_Mensuelle!OH13</f>
        <v>301.60051123</v>
      </c>
      <c r="C12" s="581">
        <f>Base_Mensuelle!OI13</f>
        <v>301.60051123</v>
      </c>
      <c r="D12" s="583">
        <f>Base_Mensuelle!OJ13</f>
        <v>301.60051123</v>
      </c>
      <c r="E12" s="583">
        <f>Base_Mensuelle!OK13</f>
        <v>301.60051123</v>
      </c>
      <c r="F12" s="584">
        <f>Base_Mensuelle!OL13</f>
        <v>301.60051123</v>
      </c>
      <c r="G12" s="594">
        <f t="shared" si="0"/>
        <v>0</v>
      </c>
      <c r="H12" s="1338">
        <f t="shared" si="1"/>
        <v>0</v>
      </c>
    </row>
    <row r="13" spans="1:8">
      <c r="A13" s="1345" t="s">
        <v>450</v>
      </c>
      <c r="B13" s="614">
        <f>Base_Mensuelle!OH14</f>
        <v>3642.6894146539998</v>
      </c>
      <c r="C13" s="615">
        <f>Base_Mensuelle!OI14</f>
        <v>3626.2562703989997</v>
      </c>
      <c r="D13" s="616">
        <f>Base_Mensuelle!OJ14</f>
        <v>3490.3703971699997</v>
      </c>
      <c r="E13" s="617">
        <f>Base_Mensuelle!OK14</f>
        <v>3425.5537363510002</v>
      </c>
      <c r="F13" s="618">
        <f>Base_Mensuelle!OL14</f>
        <v>3477.8684184080003</v>
      </c>
      <c r="G13" s="615">
        <f t="shared" si="0"/>
        <v>1.5271890644088071</v>
      </c>
      <c r="H13" s="1342">
        <f t="shared" si="1"/>
        <v>-4.5247062673789635</v>
      </c>
    </row>
    <row r="14" spans="1:8">
      <c r="A14" s="1346" t="s">
        <v>451</v>
      </c>
      <c r="B14" s="580">
        <f>Base_Mensuelle!OH15</f>
        <v>2074.1841083190002</v>
      </c>
      <c r="C14" s="581">
        <f>Base_Mensuelle!OI15</f>
        <v>2153.0131083190004</v>
      </c>
      <c r="D14" s="583">
        <f>Base_Mensuelle!OJ15</f>
        <v>2238.5811083190001</v>
      </c>
      <c r="E14" s="583">
        <f>Base_Mensuelle!OK15</f>
        <v>2178.6221083189998</v>
      </c>
      <c r="F14" s="584">
        <f>Base_Mensuelle!OL15</f>
        <v>2074.1401083189999</v>
      </c>
      <c r="G14" s="594">
        <f t="shared" si="0"/>
        <v>-4.7957835184467612</v>
      </c>
      <c r="H14" s="1338">
        <f t="shared" si="1"/>
        <v>-2.1213160309119239E-3</v>
      </c>
    </row>
    <row r="15" spans="1:8">
      <c r="A15" s="1345" t="s">
        <v>452</v>
      </c>
      <c r="B15" s="614">
        <f>Base_Mensuelle!OH16</f>
        <v>5716.873522973</v>
      </c>
      <c r="C15" s="615">
        <f>Base_Mensuelle!OI16</f>
        <v>5779.2693787179996</v>
      </c>
      <c r="D15" s="616">
        <f>Base_Mensuelle!OJ16</f>
        <v>5728.9515054889998</v>
      </c>
      <c r="E15" s="617">
        <f>Base_Mensuelle!OK16</f>
        <v>5604.1758446700005</v>
      </c>
      <c r="F15" s="618">
        <f>Base_Mensuelle!OL16</f>
        <v>5552.0085267270006</v>
      </c>
      <c r="G15" s="615">
        <f t="shared" si="0"/>
        <v>-0.93086511538739147</v>
      </c>
      <c r="H15" s="1342">
        <f t="shared" si="1"/>
        <v>-2.8838314435940759</v>
      </c>
    </row>
    <row r="16" spans="1:8">
      <c r="A16" s="601" t="s">
        <v>453</v>
      </c>
      <c r="B16" s="602"/>
      <c r="C16" s="603"/>
      <c r="D16" s="604"/>
      <c r="E16" s="605"/>
      <c r="F16" s="1612"/>
      <c r="G16" s="607"/>
      <c r="H16" s="604"/>
    </row>
    <row r="17" spans="1:8">
      <c r="A17" s="1344" t="s">
        <v>454</v>
      </c>
      <c r="B17" s="608">
        <f>Base_Mensuelle!OH18</f>
        <v>1972.0706759070001</v>
      </c>
      <c r="C17" s="609">
        <f>Base_Mensuelle!OI18</f>
        <v>1900.7818864940004</v>
      </c>
      <c r="D17" s="610">
        <f>Base_Mensuelle!OJ18</f>
        <v>1791.0793027590005</v>
      </c>
      <c r="E17" s="611">
        <f>Base_Mensuelle!OK18</f>
        <v>1703.4346748600001</v>
      </c>
      <c r="F17" s="612">
        <f>Base_Mensuelle!OL18</f>
        <v>1626.2842100790003</v>
      </c>
      <c r="G17" s="613">
        <f t="shared" ref="G17:G29" si="2">+IF(E17=0,"",(F17/E17-1)*100)</f>
        <v>-4.5291120299250975</v>
      </c>
      <c r="H17" s="1341">
        <f t="shared" ref="H17:H29" si="3">+IF(B17=0,"",(F17/B17-1)*100)</f>
        <v>-17.534182220369189</v>
      </c>
    </row>
    <row r="18" spans="1:8">
      <c r="A18" s="1310" t="s">
        <v>447</v>
      </c>
      <c r="B18" s="593">
        <f>Base_Mensuelle!OH19</f>
        <v>-624.09032409300016</v>
      </c>
      <c r="C18" s="594">
        <f>Base_Mensuelle!OI19</f>
        <v>-377.72911350600009</v>
      </c>
      <c r="D18" s="520">
        <f>Base_Mensuelle!OJ19</f>
        <v>-320.50269724099996</v>
      </c>
      <c r="E18" s="67">
        <f>Base_Mensuelle!OK19</f>
        <v>-334.61732514000005</v>
      </c>
      <c r="F18" s="595">
        <f>Base_Mensuelle!OL19</f>
        <v>-372.52078992099985</v>
      </c>
      <c r="G18" s="594">
        <f t="shared" si="2"/>
        <v>11.327406542725015</v>
      </c>
      <c r="H18" s="1338">
        <f t="shared" si="3"/>
        <v>-40.309795627357325</v>
      </c>
    </row>
    <row r="19" spans="1:8">
      <c r="A19" s="1345" t="s">
        <v>448</v>
      </c>
      <c r="B19" s="614">
        <f>Base_Mensuelle!OH20</f>
        <v>2596.1610000000001</v>
      </c>
      <c r="C19" s="615">
        <f>Base_Mensuelle!OI20</f>
        <v>2278.5110000000004</v>
      </c>
      <c r="D19" s="616">
        <f>Base_Mensuelle!OJ20</f>
        <v>2111.5820000000003</v>
      </c>
      <c r="E19" s="617">
        <f>Base_Mensuelle!OK20</f>
        <v>2038.0520000000001</v>
      </c>
      <c r="F19" s="618">
        <f>Base_Mensuelle!OL20</f>
        <v>1998.8049999999998</v>
      </c>
      <c r="G19" s="615">
        <f t="shared" si="2"/>
        <v>-1.9257114146253529</v>
      </c>
      <c r="H19" s="1342">
        <f t="shared" si="3"/>
        <v>-23.009204745006194</v>
      </c>
    </row>
    <row r="20" spans="1:8">
      <c r="A20" s="1346" t="s">
        <v>455</v>
      </c>
      <c r="B20" s="580">
        <f>Base_Mensuelle!OH21</f>
        <v>4396.1364443080001</v>
      </c>
      <c r="C20" s="581">
        <f>Base_Mensuelle!OI21</f>
        <v>4686.3317924869998</v>
      </c>
      <c r="D20" s="583">
        <f>Base_Mensuelle!OJ21</f>
        <v>4747.5566415049998</v>
      </c>
      <c r="E20" s="583">
        <f>Base_Mensuelle!OK21</f>
        <v>4666.9326713299997</v>
      </c>
      <c r="F20" s="584">
        <f>Base_Mensuelle!OL21</f>
        <v>4764.6858344120001</v>
      </c>
      <c r="G20" s="594">
        <f t="shared" si="2"/>
        <v>2.0945912436774572</v>
      </c>
      <c r="H20" s="1338">
        <f t="shared" si="3"/>
        <v>8.3834838789225365</v>
      </c>
    </row>
    <row r="21" spans="1:8">
      <c r="A21" s="1345" t="s">
        <v>456</v>
      </c>
      <c r="B21" s="614">
        <f>Base_Mensuelle!OH22</f>
        <v>142.06168322100001</v>
      </c>
      <c r="C21" s="615">
        <f>Base_Mensuelle!OI22</f>
        <v>341.3764939460001</v>
      </c>
      <c r="D21" s="616">
        <f>Base_Mensuelle!OJ22</f>
        <v>514.32491412399986</v>
      </c>
      <c r="E21" s="617">
        <f>Base_Mensuelle!OK22</f>
        <v>385.791473747</v>
      </c>
      <c r="F21" s="618">
        <f>Base_Mensuelle!OL22</f>
        <v>443.46075541800013</v>
      </c>
      <c r="G21" s="615">
        <f t="shared" si="2"/>
        <v>14.948303836496745</v>
      </c>
      <c r="H21" s="1342">
        <f t="shared" si="3"/>
        <v>212.16070749219895</v>
      </c>
    </row>
    <row r="22" spans="1:8">
      <c r="A22" s="1310" t="s">
        <v>457</v>
      </c>
      <c r="B22" s="593">
        <f>Base_Mensuelle!OH23</f>
        <v>60.571683221000008</v>
      </c>
      <c r="C22" s="594">
        <f>Base_Mensuelle!OI23</f>
        <v>84.521493945999964</v>
      </c>
      <c r="D22" s="520">
        <f>Base_Mensuelle!OJ23</f>
        <v>126.490914124</v>
      </c>
      <c r="E22" s="67">
        <f>Base_Mensuelle!OK23</f>
        <v>174.81147374699998</v>
      </c>
      <c r="F22" s="595">
        <f>Base_Mensuelle!OL23</f>
        <v>199.76375541800002</v>
      </c>
      <c r="G22" s="594">
        <f t="shared" si="2"/>
        <v>14.273823757765935</v>
      </c>
      <c r="H22" s="1338">
        <f t="shared" si="3"/>
        <v>229.79726630535927</v>
      </c>
    </row>
    <row r="23" spans="1:8">
      <c r="A23" s="1345" t="s">
        <v>458</v>
      </c>
      <c r="B23" s="614">
        <f>Base_Mensuelle!OH24</f>
        <v>81.490000000000009</v>
      </c>
      <c r="C23" s="615">
        <f>Base_Mensuelle!OI24</f>
        <v>256.85500000000013</v>
      </c>
      <c r="D23" s="616">
        <f>Base_Mensuelle!OJ24</f>
        <v>387.83399999999983</v>
      </c>
      <c r="E23" s="617">
        <f>Base_Mensuelle!OK24</f>
        <v>210.98000000000002</v>
      </c>
      <c r="F23" s="618">
        <f>Base_Mensuelle!OL24</f>
        <v>243.69700000000012</v>
      </c>
      <c r="G23" s="615">
        <f t="shared" si="2"/>
        <v>15.507157076500189</v>
      </c>
      <c r="H23" s="1342">
        <f t="shared" si="3"/>
        <v>199.05141735182244</v>
      </c>
    </row>
    <row r="24" spans="1:8">
      <c r="A24" s="1310" t="s">
        <v>459</v>
      </c>
      <c r="B24" s="593">
        <f>Base_Mensuelle!OH25</f>
        <v>4254.0747610870003</v>
      </c>
      <c r="C24" s="594">
        <f>Base_Mensuelle!OI25</f>
        <v>4344.955298541</v>
      </c>
      <c r="D24" s="520">
        <f>Base_Mensuelle!OJ25</f>
        <v>4233.2317273810004</v>
      </c>
      <c r="E24" s="67">
        <f>Base_Mensuelle!OK25</f>
        <v>4281.1411975829997</v>
      </c>
      <c r="F24" s="595">
        <f>Base_Mensuelle!OL25</f>
        <v>4321.2250789939999</v>
      </c>
      <c r="G24" s="594">
        <f t="shared" si="2"/>
        <v>0.93628963776364316</v>
      </c>
      <c r="H24" s="1338">
        <f t="shared" si="3"/>
        <v>1.5784940716425444</v>
      </c>
    </row>
    <row r="25" spans="1:8">
      <c r="A25" s="1345" t="s">
        <v>457</v>
      </c>
      <c r="B25" s="614">
        <f>Base_Mensuelle!OH26</f>
        <v>9.1537610869999995</v>
      </c>
      <c r="C25" s="615">
        <f>Base_Mensuelle!OI26</f>
        <v>8.8982985410000008</v>
      </c>
      <c r="D25" s="616">
        <f>Base_Mensuelle!OJ26</f>
        <v>9.0767273809999995</v>
      </c>
      <c r="E25" s="617">
        <f>Base_Mensuelle!OK26</f>
        <v>9.0901975830000001</v>
      </c>
      <c r="F25" s="618">
        <f>Base_Mensuelle!OL26</f>
        <v>9.0020789939999997</v>
      </c>
      <c r="G25" s="615">
        <f t="shared" si="2"/>
        <v>-0.96938034839633147</v>
      </c>
      <c r="H25" s="1342">
        <f t="shared" si="3"/>
        <v>-1.657046667029749</v>
      </c>
    </row>
    <row r="26" spans="1:8">
      <c r="A26" s="1310" t="s">
        <v>458</v>
      </c>
      <c r="B26" s="593">
        <f>Base_Mensuelle!OH27</f>
        <v>4244.9210000000003</v>
      </c>
      <c r="C26" s="594">
        <f>Base_Mensuelle!OI27</f>
        <v>4336.0569999999998</v>
      </c>
      <c r="D26" s="520">
        <f>Base_Mensuelle!OJ27</f>
        <v>4224.1550000000007</v>
      </c>
      <c r="E26" s="67">
        <f>Base_Mensuelle!OK27</f>
        <v>4272.0509999999995</v>
      </c>
      <c r="F26" s="595">
        <f>Base_Mensuelle!OL27</f>
        <v>4312.223</v>
      </c>
      <c r="G26" s="594">
        <f t="shared" si="2"/>
        <v>0.9403445792196985</v>
      </c>
      <c r="H26" s="1338">
        <f t="shared" si="3"/>
        <v>1.5854712019375494</v>
      </c>
    </row>
    <row r="27" spans="1:8">
      <c r="A27" s="1347" t="s">
        <v>460</v>
      </c>
      <c r="B27" s="608">
        <f>Base_Mensuelle!OH28</f>
        <v>1187.8806726909993</v>
      </c>
      <c r="C27" s="609">
        <f>Base_Mensuelle!OI28</f>
        <v>1290.1788243949986</v>
      </c>
      <c r="D27" s="611">
        <f>Base_Mensuelle!OJ28</f>
        <v>1260.232426416</v>
      </c>
      <c r="E27" s="611">
        <f>Base_Mensuelle!OK28</f>
        <v>1317.60696057</v>
      </c>
      <c r="F27" s="612">
        <f>Base_Mensuelle!OL28</f>
        <v>1370.4811924599999</v>
      </c>
      <c r="G27" s="615">
        <f t="shared" si="2"/>
        <v>4.0128986467350192</v>
      </c>
      <c r="H27" s="1342">
        <f t="shared" si="3"/>
        <v>15.371958140824127</v>
      </c>
    </row>
    <row r="28" spans="1:8">
      <c r="A28" s="1346" t="s">
        <v>461</v>
      </c>
      <c r="B28" s="580">
        <f>Base_Mensuelle!OH29</f>
        <v>-536.54707544899986</v>
      </c>
      <c r="C28" s="581">
        <f>Base_Mensuelle!OI29</f>
        <v>-482.3345241320003</v>
      </c>
      <c r="D28" s="583">
        <f>Base_Mensuelle!OJ29</f>
        <v>-450.54798764099991</v>
      </c>
      <c r="E28" s="583">
        <f>Base_Mensuelle!OK29</f>
        <v>-551.41545904999975</v>
      </c>
      <c r="F28" s="584">
        <f>Base_Mensuelle!OL29</f>
        <v>-531.51967469599992</v>
      </c>
      <c r="G28" s="594">
        <f t="shared" si="2"/>
        <v>-3.6081295922093082</v>
      </c>
      <c r="H28" s="1338">
        <f t="shared" si="3"/>
        <v>-0.93699154893218672</v>
      </c>
    </row>
    <row r="29" spans="1:8">
      <c r="A29" s="1323" t="s">
        <v>462</v>
      </c>
      <c r="B29" s="619">
        <f>Base_Mensuelle!OH30</f>
        <v>5716.8735229730009</v>
      </c>
      <c r="C29" s="620">
        <f>Base_Mensuelle!OI30</f>
        <v>5779.2693787180024</v>
      </c>
      <c r="D29" s="621">
        <f>Base_Mensuelle!OJ30</f>
        <v>5728.9515054890007</v>
      </c>
      <c r="E29" s="622">
        <f>Base_Mensuelle!OK30</f>
        <v>5604.1758446700005</v>
      </c>
      <c r="F29" s="623">
        <f>Base_Mensuelle!OL30</f>
        <v>5552.0085267270006</v>
      </c>
      <c r="G29" s="624">
        <f t="shared" si="2"/>
        <v>-0.93086511538739147</v>
      </c>
      <c r="H29" s="1343">
        <f t="shared" si="3"/>
        <v>-2.8838314435940871</v>
      </c>
    </row>
    <row r="30" spans="1:8">
      <c r="A30" s="625" t="s">
        <v>463</v>
      </c>
      <c r="B30" s="67"/>
      <c r="C30" s="530"/>
      <c r="D30" s="530"/>
      <c r="E30" s="530"/>
      <c r="F30" s="530"/>
      <c r="G30" s="31"/>
      <c r="H30" s="31"/>
    </row>
    <row r="31" spans="1:8">
      <c r="A31" s="625"/>
      <c r="B31" s="67"/>
      <c r="C31" s="626"/>
      <c r="D31" s="626"/>
      <c r="E31" s="1921"/>
      <c r="F31" s="1920"/>
      <c r="G31" s="67"/>
      <c r="H31" s="31"/>
    </row>
    <row r="32" spans="1:8">
      <c r="A32" s="625"/>
      <c r="B32" s="67"/>
      <c r="C32" s="626"/>
      <c r="D32" s="626"/>
      <c r="E32" s="67"/>
      <c r="F32" s="67"/>
      <c r="G32" s="67"/>
      <c r="H32" s="31"/>
    </row>
    <row r="33" spans="1:8">
      <c r="A33" s="627" t="s">
        <v>464</v>
      </c>
      <c r="B33" s="67"/>
      <c r="C33" s="626"/>
      <c r="D33" s="626"/>
      <c r="E33" s="67"/>
      <c r="F33" s="572"/>
      <c r="G33" s="67"/>
      <c r="H33" s="31"/>
    </row>
    <row r="34" spans="1:8">
      <c r="A34" s="627" t="s">
        <v>465</v>
      </c>
      <c r="B34" s="67"/>
      <c r="C34" s="626"/>
      <c r="D34" s="626"/>
      <c r="E34" s="67"/>
      <c r="F34" s="67"/>
      <c r="G34" s="31"/>
      <c r="H34" s="31"/>
    </row>
    <row r="35" spans="1:8">
      <c r="A35" s="627" t="s">
        <v>466</v>
      </c>
      <c r="B35" s="67"/>
      <c r="C35" s="626"/>
      <c r="D35" s="626"/>
      <c r="E35" s="67"/>
      <c r="F35" s="67"/>
      <c r="G35" s="31"/>
      <c r="H35" s="31"/>
    </row>
    <row r="36" spans="1:8">
      <c r="A36" s="627" t="s">
        <v>467</v>
      </c>
      <c r="B36" s="67"/>
      <c r="C36" s="626"/>
      <c r="D36" s="626"/>
      <c r="E36" s="67"/>
      <c r="F36" s="67"/>
      <c r="G36" s="31"/>
      <c r="H36" s="31"/>
    </row>
    <row r="37" spans="1:8">
      <c r="A37" s="625"/>
      <c r="B37" s="67"/>
      <c r="C37" s="626"/>
      <c r="D37" s="626"/>
      <c r="E37" s="67"/>
      <c r="F37" s="67"/>
      <c r="G37" s="31"/>
      <c r="H37" s="31"/>
    </row>
    <row r="38" spans="1:8">
      <c r="A38" s="86" t="s">
        <v>468</v>
      </c>
      <c r="B38" s="67"/>
      <c r="C38" s="530"/>
      <c r="D38" s="530"/>
      <c r="E38" s="67"/>
      <c r="F38" s="67"/>
      <c r="G38" s="31"/>
      <c r="H38" s="31"/>
    </row>
    <row r="39" spans="1:8">
      <c r="A39" s="68"/>
      <c r="B39" s="67"/>
      <c r="C39" s="530"/>
      <c r="D39" s="530"/>
      <c r="E39" s="67"/>
      <c r="F39" s="67"/>
      <c r="G39" s="31"/>
      <c r="H39" s="31"/>
    </row>
    <row r="40" spans="1:8">
      <c r="A40" s="561"/>
      <c r="B40" s="2070" t="s">
        <v>12</v>
      </c>
      <c r="C40" s="2074"/>
      <c r="D40" s="2074"/>
      <c r="E40" s="2074"/>
      <c r="F40" s="2074"/>
      <c r="G40" s="2067" t="s">
        <v>18</v>
      </c>
      <c r="H40" s="2069"/>
    </row>
    <row r="41" spans="1:8" ht="24.9" thickBot="1">
      <c r="A41" s="573"/>
      <c r="B41" s="144">
        <f>Base_Mensuelle!PF7</f>
        <v>44896</v>
      </c>
      <c r="C41" s="518">
        <f>Base_Mensuelle!PG7</f>
        <v>45170</v>
      </c>
      <c r="D41" s="518">
        <f>Base_Mensuelle!PH7</f>
        <v>45200</v>
      </c>
      <c r="E41" s="518">
        <f>Base_Mensuelle!PI7</f>
        <v>45231</v>
      </c>
      <c r="F41" s="519">
        <f>Base_Mensuelle!PJ7</f>
        <v>45261</v>
      </c>
      <c r="G41" s="32" t="s">
        <v>19</v>
      </c>
      <c r="H41" s="32" t="s">
        <v>20</v>
      </c>
    </row>
    <row r="42" spans="1:8">
      <c r="A42" s="628" t="s">
        <v>469</v>
      </c>
      <c r="B42" s="629"/>
      <c r="C42" s="630"/>
      <c r="D42" s="631"/>
      <c r="E42" s="631"/>
      <c r="F42" s="632"/>
      <c r="G42" s="633"/>
      <c r="H42" s="1391"/>
    </row>
    <row r="43" spans="1:8">
      <c r="A43" s="1349" t="s">
        <v>454</v>
      </c>
      <c r="B43" s="634">
        <f>Base_Mensuelle!PF9</f>
        <v>-624.09032409300016</v>
      </c>
      <c r="C43" s="635">
        <f>Base_Mensuelle!PG9</f>
        <v>-377.72911350600009</v>
      </c>
      <c r="D43" s="636">
        <f>Base_Mensuelle!PH9</f>
        <v>-320.50269724099996</v>
      </c>
      <c r="E43" s="637">
        <f>Base_Mensuelle!PI9</f>
        <v>-334.61732514000005</v>
      </c>
      <c r="F43" s="638">
        <f>Base_Mensuelle!PJ9</f>
        <v>-372.52078992099985</v>
      </c>
      <c r="G43" s="634">
        <f t="shared" ref="G43:G73" si="4">+IF(E43=0,"",(F43/E43-1)*100)</f>
        <v>11.327406542725015</v>
      </c>
      <c r="H43" s="634">
        <f t="shared" ref="H43:H73" si="5">+IF(B43=0,"",(F43/B43-1)*100)</f>
        <v>-40.309795627357325</v>
      </c>
    </row>
    <row r="44" spans="1:8">
      <c r="A44" s="1350" t="s">
        <v>470</v>
      </c>
      <c r="B44" s="593">
        <f>Base_Mensuelle!PF10</f>
        <v>168.74831944099998</v>
      </c>
      <c r="C44" s="594">
        <f>Base_Mensuelle!PG10</f>
        <v>657.57678681699997</v>
      </c>
      <c r="D44" s="520">
        <f>Base_Mensuelle!PH10</f>
        <v>668.511166602</v>
      </c>
      <c r="E44" s="67">
        <f>Base_Mensuelle!PI10</f>
        <v>616.596024349</v>
      </c>
      <c r="F44" s="595">
        <f>Base_Mensuelle!PJ10</f>
        <v>524.372294302</v>
      </c>
      <c r="G44" s="1392">
        <f t="shared" si="4"/>
        <v>-14.956912857874737</v>
      </c>
      <c r="H44" s="1393">
        <f t="shared" si="5"/>
        <v>210.74223200506478</v>
      </c>
    </row>
    <row r="45" spans="1:8">
      <c r="A45" s="1351" t="s">
        <v>471</v>
      </c>
      <c r="B45" s="596">
        <f>Base_Mensuelle!PF11</f>
        <v>792.83864353400008</v>
      </c>
      <c r="C45" s="591">
        <f>Base_Mensuelle!PG11</f>
        <v>1035.3059003230001</v>
      </c>
      <c r="D45" s="592">
        <f>Base_Mensuelle!PH11</f>
        <v>989.01386384299997</v>
      </c>
      <c r="E45" s="597">
        <f>Base_Mensuelle!PI11</f>
        <v>951.21334948900005</v>
      </c>
      <c r="F45" s="598">
        <f>Base_Mensuelle!PJ11</f>
        <v>896.89308422299985</v>
      </c>
      <c r="G45" s="1394">
        <f t="shared" si="4"/>
        <v>-5.7106289871963529</v>
      </c>
      <c r="H45" s="1395">
        <f t="shared" si="5"/>
        <v>13.124289732547268</v>
      </c>
    </row>
    <row r="46" spans="1:8">
      <c r="A46" s="1352" t="s">
        <v>472</v>
      </c>
      <c r="B46" s="593"/>
      <c r="C46" s="594"/>
      <c r="D46" s="520"/>
      <c r="E46" s="67"/>
      <c r="F46" s="595"/>
      <c r="G46" s="640"/>
      <c r="H46" s="593"/>
    </row>
    <row r="47" spans="1:8">
      <c r="A47" s="1353" t="s">
        <v>473</v>
      </c>
      <c r="B47" s="586">
        <f>Base_Mensuelle!PF12</f>
        <v>1812.489944057</v>
      </c>
      <c r="C47" s="587">
        <f>Base_Mensuelle!PG12</f>
        <v>1651.611206</v>
      </c>
      <c r="D47" s="588">
        <f>Base_Mensuelle!PH12</f>
        <v>1435.511246713</v>
      </c>
      <c r="E47" s="589">
        <f>Base_Mensuelle!PI12</f>
        <v>1412.846554</v>
      </c>
      <c r="F47" s="590">
        <f>Base_Mensuelle!PJ12</f>
        <v>1508.405847045</v>
      </c>
      <c r="G47" s="642">
        <f t="shared" si="4"/>
        <v>6.7636002490472968</v>
      </c>
      <c r="H47" s="586">
        <f t="shared" si="5"/>
        <v>-16.777146709644697</v>
      </c>
    </row>
    <row r="48" spans="1:8">
      <c r="A48" s="1354" t="s">
        <v>472</v>
      </c>
      <c r="B48" s="580"/>
      <c r="C48" s="581"/>
      <c r="D48" s="582"/>
      <c r="E48" s="583"/>
      <c r="F48" s="584"/>
      <c r="G48" s="580"/>
      <c r="H48" s="580"/>
    </row>
    <row r="49" spans="1:11">
      <c r="A49" s="1353" t="s">
        <v>474</v>
      </c>
      <c r="B49" s="586">
        <f>Base_Mensuelle!PF13</f>
        <v>67.136885559000007</v>
      </c>
      <c r="C49" s="587">
        <f>Base_Mensuelle!PG13</f>
        <v>91.08669628399997</v>
      </c>
      <c r="D49" s="588">
        <f>Base_Mensuelle!PH13</f>
        <v>133.05611646200001</v>
      </c>
      <c r="E49" s="589">
        <f>Base_Mensuelle!PI13</f>
        <v>181.37667608499999</v>
      </c>
      <c r="F49" s="590">
        <f>Base_Mensuelle!PJ13</f>
        <v>206.32895775600002</v>
      </c>
      <c r="G49" s="586">
        <f t="shared" si="4"/>
        <v>13.757161179481781</v>
      </c>
      <c r="H49" s="586">
        <f t="shared" si="5"/>
        <v>207.32578081042766</v>
      </c>
    </row>
    <row r="50" spans="1:11" ht="12.6">
      <c r="A50" s="1350" t="s">
        <v>475</v>
      </c>
      <c r="B50" s="593">
        <f>Base_Mensuelle!PF14</f>
        <v>276.05598233500001</v>
      </c>
      <c r="C50" s="594">
        <f>Base_Mensuelle!PG14</f>
        <v>337.52794514699997</v>
      </c>
      <c r="D50" s="520">
        <f>Base_Mensuelle!PH14</f>
        <v>337.60668273300001</v>
      </c>
      <c r="E50" s="67">
        <f>Base_Mensuelle!PI14</f>
        <v>337.65553846500001</v>
      </c>
      <c r="F50" s="595">
        <f>Base_Mensuelle!PJ14</f>
        <v>333.17791819000001</v>
      </c>
      <c r="G50" s="644">
        <f t="shared" si="4"/>
        <v>-1.3260911683414034</v>
      </c>
      <c r="H50" s="593">
        <f t="shared" si="5"/>
        <v>20.6921564864627</v>
      </c>
    </row>
    <row r="51" spans="1:11">
      <c r="A51" s="1353" t="s">
        <v>476</v>
      </c>
      <c r="B51" s="586">
        <f>Base_Mensuelle!PF15</f>
        <v>208.919096776</v>
      </c>
      <c r="C51" s="587">
        <f>Base_Mensuelle!PG15</f>
        <v>246.441248863</v>
      </c>
      <c r="D51" s="588">
        <f>Base_Mensuelle!PH15</f>
        <v>204.55056627100001</v>
      </c>
      <c r="E51" s="589">
        <f>Base_Mensuelle!PI15</f>
        <v>156.27886238000002</v>
      </c>
      <c r="F51" s="590">
        <f>Base_Mensuelle!PJ15</f>
        <v>126.84896043400001</v>
      </c>
      <c r="G51" s="586">
        <f t="shared" si="4"/>
        <v>-18.831658675912109</v>
      </c>
      <c r="H51" s="586">
        <f t="shared" si="5"/>
        <v>-39.283214224305397</v>
      </c>
    </row>
    <row r="52" spans="1:11">
      <c r="A52" s="1352"/>
      <c r="B52" s="593"/>
      <c r="C52" s="594"/>
      <c r="D52" s="520"/>
      <c r="E52" s="67"/>
      <c r="F52" s="595"/>
      <c r="G52" s="640"/>
      <c r="H52" s="593"/>
    </row>
    <row r="53" spans="1:11">
      <c r="A53" s="1353" t="s">
        <v>477</v>
      </c>
      <c r="B53" s="586">
        <f>Base_Mensuelle!PF16</f>
        <v>9.1537610869999995</v>
      </c>
      <c r="C53" s="587">
        <f>Base_Mensuelle!PG16</f>
        <v>8.8982985410000008</v>
      </c>
      <c r="D53" s="588">
        <f>Base_Mensuelle!PH16</f>
        <v>9.0767273809999995</v>
      </c>
      <c r="E53" s="589">
        <f>Base_Mensuelle!PI16</f>
        <v>9.0901975830000001</v>
      </c>
      <c r="F53" s="590">
        <f>Base_Mensuelle!PJ16</f>
        <v>9.0020789939999997</v>
      </c>
      <c r="G53" s="586">
        <f t="shared" si="4"/>
        <v>-0.96938034839633147</v>
      </c>
      <c r="H53" s="586">
        <f t="shared" si="5"/>
        <v>-1.657046667029749</v>
      </c>
    </row>
    <row r="54" spans="1:11">
      <c r="A54" s="1355" t="s">
        <v>478</v>
      </c>
      <c r="B54" s="586">
        <f>Base_Mensuelle!PF17</f>
        <v>3.6619999999999999</v>
      </c>
      <c r="C54" s="587">
        <f>Base_Mensuelle!PG17</f>
        <v>2.6890000000000001</v>
      </c>
      <c r="D54" s="588">
        <f>Base_Mensuelle!PH17</f>
        <v>2.6890000000000001</v>
      </c>
      <c r="E54" s="589">
        <f>Base_Mensuelle!PI17</f>
        <v>2.6890000000000001</v>
      </c>
      <c r="F54" s="590">
        <f>Base_Mensuelle!PJ17</f>
        <v>2.6890000000000001</v>
      </c>
      <c r="G54" s="586">
        <f t="shared" si="4"/>
        <v>0</v>
      </c>
      <c r="H54" s="586">
        <f t="shared" si="5"/>
        <v>-26.570180229382846</v>
      </c>
    </row>
    <row r="55" spans="1:11">
      <c r="A55" s="1356" t="s">
        <v>479</v>
      </c>
      <c r="B55" s="593">
        <f>Base_Mensuelle!PF20</f>
        <v>5.4917610870000004</v>
      </c>
      <c r="C55" s="594">
        <f>Base_Mensuelle!PG20</f>
        <v>6.2092985410000008</v>
      </c>
      <c r="D55" s="520">
        <f>Base_Mensuelle!PH20</f>
        <v>6.3877273809999995</v>
      </c>
      <c r="E55" s="67">
        <f>Base_Mensuelle!PI20</f>
        <v>6.4011975830000001</v>
      </c>
      <c r="F55" s="595">
        <f>Base_Mensuelle!PJ20</f>
        <v>6.3130789939999996</v>
      </c>
      <c r="G55" s="640">
        <f t="shared" si="4"/>
        <v>-1.3765953613745885</v>
      </c>
      <c r="H55" s="593">
        <f t="shared" si="5"/>
        <v>14.955455890901881</v>
      </c>
      <c r="K55" t="s">
        <v>1006</v>
      </c>
    </row>
    <row r="56" spans="1:11">
      <c r="A56" s="1352"/>
      <c r="B56" s="645"/>
      <c r="C56" s="646"/>
      <c r="D56" s="645"/>
      <c r="E56" s="645"/>
      <c r="F56" s="647"/>
      <c r="G56" s="648"/>
      <c r="H56" s="649"/>
    </row>
    <row r="57" spans="1:11">
      <c r="A57" s="1357" t="s">
        <v>480</v>
      </c>
      <c r="B57" s="631"/>
      <c r="C57" s="630"/>
      <c r="D57" s="631"/>
      <c r="E57" s="631"/>
      <c r="F57" s="632"/>
      <c r="G57" s="650"/>
      <c r="H57" s="651"/>
    </row>
    <row r="58" spans="1:11">
      <c r="A58" s="1353" t="s">
        <v>481</v>
      </c>
      <c r="B58" s="586">
        <f>Base_Mensuelle!PF21</f>
        <v>1262.7449119200003</v>
      </c>
      <c r="C58" s="587">
        <f>Base_Mensuelle!PG21</f>
        <v>1335.9944169970001</v>
      </c>
      <c r="D58" s="588">
        <f>Base_Mensuelle!PH21</f>
        <v>1298.314494235</v>
      </c>
      <c r="E58" s="589">
        <f>Base_Mensuelle!PI21</f>
        <v>1264.17441975</v>
      </c>
      <c r="F58" s="590">
        <f>Base_Mensuelle!PJ21</f>
        <v>1382.586212357</v>
      </c>
      <c r="G58" s="642">
        <f t="shared" si="4"/>
        <v>9.3667290491779465</v>
      </c>
      <c r="H58" s="642">
        <f t="shared" si="5"/>
        <v>9.4905391663611116</v>
      </c>
    </row>
    <row r="59" spans="1:11">
      <c r="A59" s="1356" t="s">
        <v>445</v>
      </c>
      <c r="B59" s="593">
        <f>Base_Mensuelle!PF22</f>
        <v>967.05458406800005</v>
      </c>
      <c r="C59" s="594">
        <f>Base_Mensuelle!PG22</f>
        <v>1063.2407808160001</v>
      </c>
      <c r="D59" s="520">
        <f>Base_Mensuelle!PH22</f>
        <v>1055.218398537</v>
      </c>
      <c r="E59" s="67">
        <f>Base_Mensuelle!PI22</f>
        <v>1075.665439615</v>
      </c>
      <c r="F59" s="595">
        <f>Base_Mensuelle!PJ22</f>
        <v>1147.2083511620001</v>
      </c>
      <c r="G59" s="640">
        <f t="shared" si="4"/>
        <v>6.651037479888422</v>
      </c>
      <c r="H59" s="640">
        <f t="shared" si="5"/>
        <v>18.629120844054881</v>
      </c>
    </row>
    <row r="60" spans="1:11">
      <c r="A60" s="1524" t="s">
        <v>482</v>
      </c>
      <c r="B60" s="596">
        <f>Base_Mensuelle!PF23</f>
        <v>294.930697839</v>
      </c>
      <c r="C60" s="591">
        <f>Base_Mensuelle!PG23</f>
        <v>271.90934717099998</v>
      </c>
      <c r="D60" s="592">
        <f>Base_Mensuelle!PH23</f>
        <v>242.14329763800001</v>
      </c>
      <c r="E60" s="597">
        <f>Base_Mensuelle!PI23</f>
        <v>182.924883972</v>
      </c>
      <c r="F60" s="598">
        <f>Base_Mensuelle!PJ23</f>
        <v>234.04799452200001</v>
      </c>
      <c r="G60" s="641">
        <f t="shared" si="4"/>
        <v>27.947597636757472</v>
      </c>
      <c r="H60" s="641">
        <f t="shared" si="5"/>
        <v>-20.64305403374297</v>
      </c>
    </row>
    <row r="61" spans="1:11">
      <c r="A61" s="1356" t="s">
        <v>483</v>
      </c>
      <c r="B61" s="593">
        <f>Base_Mensuelle!PF24</f>
        <v>0.75963001299999999</v>
      </c>
      <c r="C61" s="594">
        <f>Base_Mensuelle!PG24</f>
        <v>0.84428901000000001</v>
      </c>
      <c r="D61" s="520">
        <f>Base_Mensuelle!PH24</f>
        <v>0.95279805999999989</v>
      </c>
      <c r="E61" s="67">
        <f>Base_Mensuelle!PI24</f>
        <v>5.5840961629999999</v>
      </c>
      <c r="F61" s="595">
        <f>Base_Mensuelle!PJ24</f>
        <v>1.3298666729999999</v>
      </c>
      <c r="G61" s="593">
        <f t="shared" si="4"/>
        <v>-76.184746211721006</v>
      </c>
      <c r="H61" s="593">
        <f t="shared" si="5"/>
        <v>75.067684299093116</v>
      </c>
    </row>
    <row r="62" spans="1:11">
      <c r="A62" s="1351" t="s">
        <v>472</v>
      </c>
      <c r="B62" s="596"/>
      <c r="C62" s="591"/>
      <c r="D62" s="592"/>
      <c r="E62" s="597"/>
      <c r="F62" s="597"/>
      <c r="G62" s="641" t="str">
        <f t="shared" si="4"/>
        <v/>
      </c>
      <c r="H62" s="596" t="str">
        <f t="shared" si="5"/>
        <v/>
      </c>
    </row>
    <row r="63" spans="1:11" ht="21" customHeight="1">
      <c r="A63" s="1525" t="s">
        <v>993</v>
      </c>
      <c r="B63" s="1395">
        <f>Base_Mensuelle!PF25</f>
        <v>0</v>
      </c>
      <c r="C63" s="1335">
        <f>Base_Mensuelle!PG25</f>
        <v>0</v>
      </c>
      <c r="D63" s="592">
        <f>Base_Mensuelle!PH25</f>
        <v>0</v>
      </c>
      <c r="E63" s="597">
        <f>Base_Mensuelle!PI25</f>
        <v>0</v>
      </c>
      <c r="F63" s="597">
        <f>Base_Mensuelle!PJ25</f>
        <v>0</v>
      </c>
      <c r="G63" s="1394" t="str">
        <f t="shared" si="4"/>
        <v/>
      </c>
      <c r="H63" s="1395" t="str">
        <f t="shared" si="5"/>
        <v/>
      </c>
    </row>
    <row r="64" spans="1:11">
      <c r="A64" s="1353"/>
      <c r="B64" s="1395"/>
      <c r="C64" s="1335"/>
      <c r="D64" s="592"/>
      <c r="E64" s="597"/>
      <c r="F64" s="597"/>
      <c r="G64" s="1394" t="str">
        <f t="shared" si="4"/>
        <v/>
      </c>
      <c r="H64" s="1395" t="str">
        <f t="shared" si="5"/>
        <v/>
      </c>
    </row>
    <row r="65" spans="1:8">
      <c r="A65" s="1525" t="s">
        <v>484</v>
      </c>
      <c r="B65" s="1395">
        <f>Base_Mensuelle!PF26</f>
        <v>0.77700933500000002</v>
      </c>
      <c r="C65" s="1335">
        <f>Base_Mensuelle!PG26</f>
        <v>4.3275082450000006</v>
      </c>
      <c r="D65" s="592">
        <f>Base_Mensuelle!PH26</f>
        <v>4.4251287679999995</v>
      </c>
      <c r="E65" s="597">
        <f>Base_Mensuelle!PI26</f>
        <v>4.1871836140000003</v>
      </c>
      <c r="F65" s="597">
        <f>Base_Mensuelle!PJ26</f>
        <v>3.6631229470000002</v>
      </c>
      <c r="G65" s="1394">
        <f t="shared" si="4"/>
        <v>-12.515827231645261</v>
      </c>
      <c r="H65" s="1395">
        <f t="shared" si="5"/>
        <v>371.43873078436053</v>
      </c>
    </row>
    <row r="66" spans="1:8">
      <c r="A66" s="1524" t="s">
        <v>994</v>
      </c>
      <c r="B66" s="596">
        <f>Base_Mensuelle!PF27</f>
        <v>0</v>
      </c>
      <c r="C66" s="591">
        <f>Base_Mensuelle!PG27</f>
        <v>0</v>
      </c>
      <c r="D66" s="592">
        <f>Base_Mensuelle!PH27</f>
        <v>0</v>
      </c>
      <c r="E66" s="597">
        <f>Base_Mensuelle!PI27</f>
        <v>0</v>
      </c>
      <c r="F66" s="597">
        <f>Base_Mensuelle!PJ27</f>
        <v>0</v>
      </c>
      <c r="G66" s="722" t="str">
        <f t="shared" si="4"/>
        <v/>
      </c>
      <c r="H66" s="596" t="str">
        <f t="shared" si="5"/>
        <v/>
      </c>
    </row>
    <row r="67" spans="1:8">
      <c r="A67" s="1524" t="s">
        <v>982</v>
      </c>
      <c r="B67" s="596">
        <f>Base_Mensuelle!PF28</f>
        <v>0</v>
      </c>
      <c r="C67" s="591">
        <f>Base_Mensuelle!PG28</f>
        <v>0</v>
      </c>
      <c r="D67" s="592">
        <f>Base_Mensuelle!PH28</f>
        <v>0</v>
      </c>
      <c r="E67" s="597">
        <f>Base_Mensuelle!PI28</f>
        <v>0</v>
      </c>
      <c r="F67" s="597">
        <f>Base_Mensuelle!PJ28</f>
        <v>0</v>
      </c>
      <c r="G67" s="641" t="str">
        <f t="shared" si="4"/>
        <v/>
      </c>
      <c r="H67" s="596" t="str">
        <f t="shared" si="5"/>
        <v/>
      </c>
    </row>
    <row r="68" spans="1:8">
      <c r="A68" s="1524" t="s">
        <v>485</v>
      </c>
      <c r="B68" s="1395">
        <f>Base_Mensuelle!PF29</f>
        <v>0.77700933500000002</v>
      </c>
      <c r="C68" s="1335">
        <f>Base_Mensuelle!PG29</f>
        <v>4.3275082450000006</v>
      </c>
      <c r="D68" s="592">
        <f>Base_Mensuelle!PH29</f>
        <v>4.4251287679999995</v>
      </c>
      <c r="E68" s="597">
        <f>Base_Mensuelle!PI29</f>
        <v>4.1871836140000003</v>
      </c>
      <c r="F68" s="597">
        <f>Base_Mensuelle!PJ29</f>
        <v>3.6631229470000002</v>
      </c>
      <c r="G68" s="1394">
        <f t="shared" si="4"/>
        <v>-12.515827231645261</v>
      </c>
      <c r="H68" s="1395">
        <f t="shared" si="5"/>
        <v>371.43873078436053</v>
      </c>
    </row>
    <row r="69" spans="1:8">
      <c r="A69" s="1524" t="s">
        <v>506</v>
      </c>
      <c r="B69" s="1395">
        <f>Base_Mensuelle!PF30</f>
        <v>0</v>
      </c>
      <c r="C69" s="1335">
        <f>Base_Mensuelle!PG30</f>
        <v>0</v>
      </c>
      <c r="D69" s="592">
        <f>Base_Mensuelle!PH30</f>
        <v>0</v>
      </c>
      <c r="E69" s="597">
        <f>Base_Mensuelle!PI30</f>
        <v>0</v>
      </c>
      <c r="F69" s="597">
        <f>Base_Mensuelle!PJ30</f>
        <v>0</v>
      </c>
      <c r="G69" s="1394" t="str">
        <f t="shared" si="4"/>
        <v/>
      </c>
      <c r="H69" s="1395" t="str">
        <f t="shared" si="5"/>
        <v/>
      </c>
    </row>
    <row r="70" spans="1:8">
      <c r="A70" s="1351"/>
      <c r="B70" s="596"/>
      <c r="C70" s="591"/>
      <c r="D70" s="592"/>
      <c r="E70" s="597"/>
      <c r="F70" s="597"/>
      <c r="G70" s="641" t="str">
        <f t="shared" si="4"/>
        <v/>
      </c>
      <c r="H70" s="596" t="str">
        <f t="shared" si="5"/>
        <v/>
      </c>
    </row>
    <row r="71" spans="1:8">
      <c r="A71" s="1353" t="s">
        <v>486</v>
      </c>
      <c r="B71" s="586">
        <f>Base_Mensuelle!PF33</f>
        <v>0.50266335600000001</v>
      </c>
      <c r="C71" s="587">
        <f>Base_Mensuelle!PG33</f>
        <v>37.880316149999999</v>
      </c>
      <c r="D71" s="588">
        <f>Base_Mensuelle!PH33</f>
        <v>43.416297648000004</v>
      </c>
      <c r="E71" s="589">
        <f>Base_Mensuelle!PI33</f>
        <v>45.646776956000004</v>
      </c>
      <c r="F71" s="589">
        <f>Base_Mensuelle!PJ33</f>
        <v>0.48906951300000001</v>
      </c>
      <c r="G71" s="642">
        <f t="shared" si="4"/>
        <v>-98.928578213810297</v>
      </c>
      <c r="H71" s="586">
        <f t="shared" si="5"/>
        <v>-2.7043632358989766</v>
      </c>
    </row>
    <row r="72" spans="1:8">
      <c r="A72" s="1358" t="s">
        <v>472</v>
      </c>
      <c r="B72" s="593"/>
      <c r="C72" s="594"/>
      <c r="D72" s="520"/>
      <c r="E72" s="67"/>
      <c r="F72" s="595"/>
      <c r="G72" s="640"/>
      <c r="H72" s="593"/>
    </row>
    <row r="73" spans="1:8">
      <c r="A73" s="1359" t="s">
        <v>487</v>
      </c>
      <c r="B73" s="652">
        <f>Base_Mensuelle!PF34</f>
        <v>0.66568199899998581</v>
      </c>
      <c r="C73" s="653">
        <f>Base_Mensuelle!PG34</f>
        <v>-4.3351540729999725</v>
      </c>
      <c r="D73" s="654">
        <f>Base_Mensuelle!PH34</f>
        <v>-89.014527336000015</v>
      </c>
      <c r="E73" s="655">
        <f>Base_Mensuelle!PI34</f>
        <v>-45.312277791999975</v>
      </c>
      <c r="F73" s="656">
        <f>Base_Mensuelle!PJ34</f>
        <v>-35.522310943000001</v>
      </c>
      <c r="G73" s="657">
        <f t="shared" si="4"/>
        <v>-21.60555003202338</v>
      </c>
      <c r="H73" s="652">
        <f t="shared" si="5"/>
        <v>-5436.2282585923967</v>
      </c>
    </row>
    <row r="74" spans="1:8">
      <c r="A74" s="625" t="s">
        <v>463</v>
      </c>
      <c r="B74" s="67"/>
      <c r="C74" s="626"/>
      <c r="D74" s="626"/>
      <c r="E74" s="67"/>
      <c r="F74" s="67"/>
      <c r="G74" s="31"/>
      <c r="H74" s="31"/>
    </row>
    <row r="75" spans="1:8">
      <c r="A75" s="658" t="s">
        <v>488</v>
      </c>
      <c r="B75" s="67"/>
      <c r="C75" s="626"/>
      <c r="D75" s="626"/>
      <c r="E75" s="67"/>
      <c r="F75" s="67"/>
      <c r="G75" s="31"/>
      <c r="H75" s="31"/>
    </row>
    <row r="76" spans="1:8">
      <c r="A76" s="658"/>
      <c r="B76" s="67"/>
      <c r="C76" s="626"/>
      <c r="D76" s="626"/>
      <c r="E76" s="67"/>
      <c r="F76" s="67"/>
      <c r="G76" s="31"/>
      <c r="H76" s="31"/>
    </row>
    <row r="77" spans="1:8">
      <c r="A77" s="86" t="s">
        <v>489</v>
      </c>
      <c r="B77" s="67"/>
      <c r="C77" s="530"/>
      <c r="D77" s="530"/>
      <c r="E77" s="67"/>
      <c r="F77" s="67"/>
      <c r="G77" s="31"/>
      <c r="H77" s="31"/>
    </row>
    <row r="78" spans="1:8">
      <c r="A78" s="68"/>
      <c r="B78" s="67"/>
      <c r="C78" s="530"/>
      <c r="D78" s="530"/>
      <c r="E78" s="67"/>
      <c r="F78" s="67"/>
      <c r="G78" s="31"/>
      <c r="H78" s="31"/>
    </row>
    <row r="79" spans="1:8" ht="15.75" customHeight="1">
      <c r="A79" s="31"/>
      <c r="B79" s="2070" t="s">
        <v>12</v>
      </c>
      <c r="C79" s="2074"/>
      <c r="D79" s="2074"/>
      <c r="E79" s="2074"/>
      <c r="F79" s="2074"/>
      <c r="G79" s="2067" t="s">
        <v>18</v>
      </c>
      <c r="H79" s="2069"/>
    </row>
    <row r="80" spans="1:8" ht="24.6">
      <c r="A80" s="573"/>
      <c r="B80" s="144">
        <f>Base_Mensuelle!QH7</f>
        <v>44896</v>
      </c>
      <c r="C80" s="518">
        <f>Base_Mensuelle!QI7</f>
        <v>45170</v>
      </c>
      <c r="D80" s="518">
        <f>Base_Mensuelle!QJ7</f>
        <v>45200</v>
      </c>
      <c r="E80" s="518">
        <f>Base_Mensuelle!QK7</f>
        <v>45231</v>
      </c>
      <c r="F80" s="519">
        <f>Base_Mensuelle!QL7</f>
        <v>45261</v>
      </c>
      <c r="G80" s="466" t="s">
        <v>19</v>
      </c>
      <c r="H80" s="449" t="s">
        <v>20</v>
      </c>
    </row>
    <row r="81" spans="1:8">
      <c r="A81" s="1786" t="s">
        <v>490</v>
      </c>
      <c r="B81" s="660"/>
      <c r="C81" s="660"/>
      <c r="D81" s="660"/>
      <c r="E81" s="660"/>
      <c r="F81" s="660"/>
      <c r="G81" s="660"/>
      <c r="H81" s="660"/>
    </row>
    <row r="82" spans="1:8">
      <c r="A82" s="1364" t="s">
        <v>454</v>
      </c>
      <c r="B82" s="661">
        <f>Base_Mensuelle!QH9</f>
        <v>2596.1610000000001</v>
      </c>
      <c r="C82" s="661">
        <f>Base_Mensuelle!QI9</f>
        <v>2278.5110000000004</v>
      </c>
      <c r="D82" s="661">
        <f>Base_Mensuelle!QJ9</f>
        <v>2111.5820000000003</v>
      </c>
      <c r="E82" s="661">
        <f>Base_Mensuelle!QK9</f>
        <v>2038.0520000000001</v>
      </c>
      <c r="F82" s="661">
        <f>Base_Mensuelle!QL9</f>
        <v>1998.8049999999998</v>
      </c>
      <c r="G82" s="634">
        <f t="shared" ref="G82:G113" si="6">+IF(E82=0,"",(F82/E82-1)*100)</f>
        <v>-1.9257114146253529</v>
      </c>
      <c r="H82" s="634">
        <f t="shared" ref="H82:H113" si="7">+IF(B82=0,"",(F82/B82-1)*100)</f>
        <v>-23.009204745006194</v>
      </c>
    </row>
    <row r="83" spans="1:8">
      <c r="A83" s="1350" t="s">
        <v>470</v>
      </c>
      <c r="B83" s="662">
        <f>Base_Mensuelle!QH10</f>
        <v>2968.3040000000001</v>
      </c>
      <c r="C83" s="663">
        <f>Base_Mensuelle!QI10</f>
        <v>2636.6230000000005</v>
      </c>
      <c r="D83" s="663">
        <f>Base_Mensuelle!QJ10</f>
        <v>2577.3720000000003</v>
      </c>
      <c r="E83" s="663">
        <f>Base_Mensuelle!QK10</f>
        <v>2593.0950000000003</v>
      </c>
      <c r="F83" s="663">
        <f>Base_Mensuelle!QL10</f>
        <v>2624.3069999999998</v>
      </c>
      <c r="G83" s="1360">
        <f t="shared" si="6"/>
        <v>1.2036581768118504</v>
      </c>
      <c r="H83" s="1360">
        <f t="shared" si="7"/>
        <v>-11.589008403451951</v>
      </c>
    </row>
    <row r="84" spans="1:8">
      <c r="A84" s="1365" t="s">
        <v>471</v>
      </c>
      <c r="B84" s="666">
        <f>Base_Mensuelle!QH11</f>
        <v>-372.14300000000003</v>
      </c>
      <c r="C84" s="667">
        <f>Base_Mensuelle!QI11</f>
        <v>-358.11200000000002</v>
      </c>
      <c r="D84" s="667">
        <f>Base_Mensuelle!QJ11</f>
        <v>-465.79</v>
      </c>
      <c r="E84" s="667">
        <f>Base_Mensuelle!QK11</f>
        <v>-555.04300000000001</v>
      </c>
      <c r="F84" s="667">
        <f>Base_Mensuelle!QL11</f>
        <v>-625.50199999999995</v>
      </c>
      <c r="G84" s="1361">
        <f t="shared" si="6"/>
        <v>12.694331790509917</v>
      </c>
      <c r="H84" s="1361">
        <f t="shared" si="7"/>
        <v>68.08108710898766</v>
      </c>
    </row>
    <row r="85" spans="1:8">
      <c r="A85" s="1350" t="s">
        <v>472</v>
      </c>
      <c r="B85" s="662"/>
      <c r="C85" s="663"/>
      <c r="D85" s="663"/>
      <c r="E85" s="663"/>
      <c r="F85" s="663"/>
      <c r="G85" s="1360" t="str">
        <f t="shared" si="6"/>
        <v/>
      </c>
      <c r="H85" s="1360" t="str">
        <f t="shared" si="7"/>
        <v/>
      </c>
    </row>
    <row r="86" spans="1:8">
      <c r="A86" s="1366" t="s">
        <v>491</v>
      </c>
      <c r="B86" s="670">
        <f>Base_Mensuelle!QH12</f>
        <v>510.38700000000006</v>
      </c>
      <c r="C86" s="670">
        <f>Base_Mensuelle!QI12</f>
        <v>393.78200000000004</v>
      </c>
      <c r="D86" s="670">
        <f>Base_Mensuelle!QJ12</f>
        <v>387.40099999999995</v>
      </c>
      <c r="E86" s="670">
        <f>Base_Mensuelle!QK12</f>
        <v>375.56899999999996</v>
      </c>
      <c r="F86" s="670">
        <f>Base_Mensuelle!QL12</f>
        <v>433.61</v>
      </c>
      <c r="G86" s="1362">
        <f t="shared" si="6"/>
        <v>15.454150901698505</v>
      </c>
      <c r="H86" s="1362">
        <f t="shared" si="7"/>
        <v>-15.042898819915095</v>
      </c>
    </row>
    <row r="87" spans="1:8">
      <c r="A87" s="1350" t="s">
        <v>492</v>
      </c>
      <c r="B87" s="662">
        <f>Base_Mensuelle!QH13</f>
        <v>131.74100000000001</v>
      </c>
      <c r="C87" s="663">
        <f>Base_Mensuelle!QI13</f>
        <v>123.535</v>
      </c>
      <c r="D87" s="663">
        <f>Base_Mensuelle!QJ13</f>
        <v>139.55199999999999</v>
      </c>
      <c r="E87" s="663">
        <f>Base_Mensuelle!QK13</f>
        <v>132.61699999999999</v>
      </c>
      <c r="F87" s="663">
        <f>Base_Mensuelle!QL13</f>
        <v>154.542</v>
      </c>
      <c r="G87" s="1360">
        <f t="shared" si="6"/>
        <v>16.53257123898144</v>
      </c>
      <c r="H87" s="1360">
        <f t="shared" si="7"/>
        <v>17.307444151782647</v>
      </c>
    </row>
    <row r="88" spans="1:8">
      <c r="A88" s="1365" t="s">
        <v>493</v>
      </c>
      <c r="B88" s="666">
        <f>Base_Mensuelle!QH14</f>
        <v>378.64600000000002</v>
      </c>
      <c r="C88" s="667">
        <f>Base_Mensuelle!QI14</f>
        <v>270.24700000000001</v>
      </c>
      <c r="D88" s="667">
        <f>Base_Mensuelle!QJ14</f>
        <v>247.84899999999999</v>
      </c>
      <c r="E88" s="667">
        <f>Base_Mensuelle!QK14</f>
        <v>242.952</v>
      </c>
      <c r="F88" s="667">
        <f>Base_Mensuelle!QL14</f>
        <v>279.06800000000004</v>
      </c>
      <c r="G88" s="1361">
        <f t="shared" si="6"/>
        <v>14.865487832987601</v>
      </c>
      <c r="H88" s="1361">
        <f t="shared" si="7"/>
        <v>-26.298442344564577</v>
      </c>
    </row>
    <row r="89" spans="1:8">
      <c r="A89" s="1352" t="s">
        <v>472</v>
      </c>
      <c r="B89" s="672"/>
      <c r="C89" s="673"/>
      <c r="D89" s="673"/>
      <c r="E89" s="673"/>
      <c r="F89" s="673"/>
      <c r="G89" s="1363" t="str">
        <f t="shared" si="6"/>
        <v/>
      </c>
      <c r="H89" s="1363" t="str">
        <f t="shared" si="7"/>
        <v/>
      </c>
    </row>
    <row r="90" spans="1:8">
      <c r="A90" s="1354" t="s">
        <v>474</v>
      </c>
      <c r="B90" s="672">
        <f>Base_Mensuelle!QH16</f>
        <v>81.490000000000009</v>
      </c>
      <c r="C90" s="672">
        <f>Base_Mensuelle!QI16</f>
        <v>256.85500000000013</v>
      </c>
      <c r="D90" s="672">
        <f>Base_Mensuelle!QJ16</f>
        <v>387.83399999999983</v>
      </c>
      <c r="E90" s="672">
        <f>Base_Mensuelle!QK16</f>
        <v>210.98000000000002</v>
      </c>
      <c r="F90" s="672">
        <f>Base_Mensuelle!QL16</f>
        <v>243.69700000000012</v>
      </c>
      <c r="G90" s="1363">
        <f t="shared" si="6"/>
        <v>15.507157076500189</v>
      </c>
      <c r="H90" s="1363">
        <f t="shared" si="7"/>
        <v>199.05141735182244</v>
      </c>
    </row>
    <row r="91" spans="1:8">
      <c r="A91" s="1365" t="s">
        <v>475</v>
      </c>
      <c r="B91" s="666">
        <f>Base_Mensuelle!QH17</f>
        <v>1019.239</v>
      </c>
      <c r="C91" s="667">
        <f>Base_Mensuelle!QI17</f>
        <v>1150.4490000000001</v>
      </c>
      <c r="D91" s="667">
        <f>Base_Mensuelle!QJ17</f>
        <v>1194.33</v>
      </c>
      <c r="E91" s="667">
        <f>Base_Mensuelle!QK17</f>
        <v>1138.673</v>
      </c>
      <c r="F91" s="667">
        <f>Base_Mensuelle!QL17</f>
        <v>1154.7450000000001</v>
      </c>
      <c r="G91" s="1361">
        <f t="shared" si="6"/>
        <v>1.4114675591675674</v>
      </c>
      <c r="H91" s="1361">
        <f t="shared" si="7"/>
        <v>13.294820939936569</v>
      </c>
    </row>
    <row r="92" spans="1:8">
      <c r="A92" s="1350" t="s">
        <v>476</v>
      </c>
      <c r="B92" s="662">
        <f>Base_Mensuelle!QH18</f>
        <v>-937.74900000000002</v>
      </c>
      <c r="C92" s="663">
        <f>Base_Mensuelle!QI18</f>
        <v>-893.59399999999994</v>
      </c>
      <c r="D92" s="663">
        <f>Base_Mensuelle!QJ18</f>
        <v>-806.49600000000009</v>
      </c>
      <c r="E92" s="663">
        <f>Base_Mensuelle!QK18</f>
        <v>-927.69299999999998</v>
      </c>
      <c r="F92" s="663">
        <f>Base_Mensuelle!QL18</f>
        <v>-911.048</v>
      </c>
      <c r="G92" s="1360">
        <f t="shared" si="6"/>
        <v>-1.7942358086134091</v>
      </c>
      <c r="H92" s="1360">
        <f t="shared" si="7"/>
        <v>-2.8473504103976643</v>
      </c>
    </row>
    <row r="93" spans="1:8">
      <c r="A93" s="1367" t="s">
        <v>472</v>
      </c>
      <c r="B93" s="666"/>
      <c r="C93" s="666"/>
      <c r="D93" s="666"/>
      <c r="E93" s="666"/>
      <c r="F93" s="666"/>
      <c r="G93" s="1361" t="str">
        <f t="shared" si="6"/>
        <v/>
      </c>
      <c r="H93" s="1361" t="str">
        <f t="shared" si="7"/>
        <v/>
      </c>
    </row>
    <row r="94" spans="1:8">
      <c r="A94" s="1354" t="s">
        <v>477</v>
      </c>
      <c r="B94" s="672">
        <f>Base_Mensuelle!QH19</f>
        <v>4244.9210000000003</v>
      </c>
      <c r="C94" s="672">
        <f>Base_Mensuelle!QI19</f>
        <v>4336.0569999999998</v>
      </c>
      <c r="D94" s="672">
        <f>Base_Mensuelle!QJ19</f>
        <v>4224.1550000000007</v>
      </c>
      <c r="E94" s="672">
        <f>Base_Mensuelle!QK19</f>
        <v>4272.0509999999995</v>
      </c>
      <c r="F94" s="672">
        <f>Base_Mensuelle!QL19</f>
        <v>4312.223</v>
      </c>
      <c r="G94" s="1363">
        <f t="shared" si="6"/>
        <v>0.9403445792196985</v>
      </c>
      <c r="H94" s="1363">
        <f t="shared" si="7"/>
        <v>1.5854712019375494</v>
      </c>
    </row>
    <row r="95" spans="1:8">
      <c r="A95" s="1365" t="s">
        <v>478</v>
      </c>
      <c r="B95" s="666">
        <f>Base_Mensuelle!QH20</f>
        <v>59.407000000000004</v>
      </c>
      <c r="C95" s="667">
        <f>Base_Mensuelle!QI20</f>
        <v>68.712000000000003</v>
      </c>
      <c r="D95" s="667">
        <f>Base_Mensuelle!QJ20</f>
        <v>56.991</v>
      </c>
      <c r="E95" s="667">
        <f>Base_Mensuelle!QK20</f>
        <v>66.817999999999998</v>
      </c>
      <c r="F95" s="667">
        <f>Base_Mensuelle!QL20</f>
        <v>72.391000000000005</v>
      </c>
      <c r="G95" s="1361">
        <f t="shared" si="6"/>
        <v>8.3405669131072493</v>
      </c>
      <c r="H95" s="1361">
        <f t="shared" si="7"/>
        <v>21.85601023448416</v>
      </c>
    </row>
    <row r="96" spans="1:8">
      <c r="A96" s="1350" t="s">
        <v>494</v>
      </c>
      <c r="B96" s="662">
        <f>Base_Mensuelle!QH21</f>
        <v>154.69300000000001</v>
      </c>
      <c r="C96" s="663">
        <f>Base_Mensuelle!QI21</f>
        <v>5.29</v>
      </c>
      <c r="D96" s="663">
        <f>Base_Mensuelle!QJ21</f>
        <v>5.3140000000000001</v>
      </c>
      <c r="E96" s="663">
        <f>Base_Mensuelle!QK21</f>
        <v>5.3369999999999997</v>
      </c>
      <c r="F96" s="663">
        <f>Base_Mensuelle!QL21</f>
        <v>5.3620000000000001</v>
      </c>
      <c r="G96" s="1360">
        <f t="shared" si="6"/>
        <v>0.46842795578041496</v>
      </c>
      <c r="H96" s="1360">
        <f t="shared" si="7"/>
        <v>-96.533779809041135</v>
      </c>
    </row>
    <row r="97" spans="1:8">
      <c r="A97" s="1365" t="s">
        <v>495</v>
      </c>
      <c r="B97" s="666">
        <f>Base_Mensuelle!QH22</f>
        <v>359.95600000000002</v>
      </c>
      <c r="C97" s="667">
        <f>Base_Mensuelle!QI22</f>
        <v>353.37</v>
      </c>
      <c r="D97" s="667">
        <f>Base_Mensuelle!QJ22</f>
        <v>351.02199999999999</v>
      </c>
      <c r="E97" s="667">
        <f>Base_Mensuelle!QK22</f>
        <v>340.95</v>
      </c>
      <c r="F97" s="667">
        <f>Base_Mensuelle!QL22</f>
        <v>347.82799999999997</v>
      </c>
      <c r="G97" s="1361">
        <f t="shared" si="6"/>
        <v>2.0173045901158426</v>
      </c>
      <c r="H97" s="1361">
        <f t="shared" si="7"/>
        <v>-3.3693006923068536</v>
      </c>
    </row>
    <row r="98" spans="1:8">
      <c r="A98" s="1350" t="s">
        <v>479</v>
      </c>
      <c r="B98" s="662">
        <f>Base_Mensuelle!QH23</f>
        <v>3670.8649999999998</v>
      </c>
      <c r="C98" s="663">
        <f>Base_Mensuelle!QI23</f>
        <v>3908.6849999999999</v>
      </c>
      <c r="D98" s="663">
        <f>Base_Mensuelle!QJ23</f>
        <v>3810.8280000000004</v>
      </c>
      <c r="E98" s="663">
        <f>Base_Mensuelle!QK23</f>
        <v>3858.9459999999999</v>
      </c>
      <c r="F98" s="663">
        <f>Base_Mensuelle!QL23</f>
        <v>3886.6419999999998</v>
      </c>
      <c r="G98" s="1360">
        <f t="shared" si="6"/>
        <v>0.7177089288111338</v>
      </c>
      <c r="H98" s="1360">
        <f t="shared" si="7"/>
        <v>5.8780968518319376</v>
      </c>
    </row>
    <row r="99" spans="1:8">
      <c r="A99" s="1367" t="s">
        <v>472</v>
      </c>
      <c r="B99" s="666"/>
      <c r="C99" s="666"/>
      <c r="D99" s="666"/>
      <c r="E99" s="666"/>
      <c r="F99" s="666"/>
      <c r="G99" s="1361" t="str">
        <f t="shared" si="6"/>
        <v/>
      </c>
      <c r="H99" s="1361" t="str">
        <f t="shared" si="7"/>
        <v/>
      </c>
    </row>
    <row r="100" spans="1:8">
      <c r="A100" s="1786" t="s">
        <v>496</v>
      </c>
      <c r="B100" s="1786"/>
      <c r="C100" s="1786"/>
      <c r="D100" s="1786"/>
      <c r="E100" s="1786"/>
      <c r="F100" s="1786"/>
      <c r="G100" s="1786" t="str">
        <f t="shared" si="6"/>
        <v/>
      </c>
      <c r="H100" s="1786" t="str">
        <f t="shared" si="7"/>
        <v/>
      </c>
    </row>
    <row r="101" spans="1:8">
      <c r="A101" s="1366" t="s">
        <v>497</v>
      </c>
      <c r="B101" s="670">
        <f>Base_Mensuelle!QH25</f>
        <v>1670.4850000000001</v>
      </c>
      <c r="C101" s="670">
        <f>Base_Mensuelle!QI25</f>
        <v>1647.8049999999998</v>
      </c>
      <c r="D101" s="670">
        <f>Base_Mensuelle!QJ25</f>
        <v>1435.105</v>
      </c>
      <c r="E101" s="670">
        <f>Base_Mensuelle!QK25</f>
        <v>1412.3420000000001</v>
      </c>
      <c r="F101" s="670">
        <f>Base_Mensuelle!QL25</f>
        <v>1508.2710000000002</v>
      </c>
      <c r="G101" s="1362">
        <f t="shared" si="6"/>
        <v>6.7921933922520328</v>
      </c>
      <c r="H101" s="1362">
        <f t="shared" si="7"/>
        <v>-9.7105930313651339</v>
      </c>
    </row>
    <row r="102" spans="1:8">
      <c r="A102" s="1354" t="s">
        <v>472</v>
      </c>
      <c r="B102" s="672"/>
      <c r="C102" s="672"/>
      <c r="D102" s="672"/>
      <c r="E102" s="672"/>
      <c r="F102" s="672"/>
      <c r="G102" s="1363" t="str">
        <f t="shared" si="6"/>
        <v/>
      </c>
      <c r="H102" s="1363" t="str">
        <f t="shared" si="7"/>
        <v/>
      </c>
    </row>
    <row r="103" spans="1:8">
      <c r="A103" s="1366" t="s">
        <v>498</v>
      </c>
      <c r="B103" s="670">
        <f>Base_Mensuelle!QH26</f>
        <v>2511.9140000000002</v>
      </c>
      <c r="C103" s="670">
        <f>Base_Mensuelle!QI26</f>
        <v>2391.0039999999999</v>
      </c>
      <c r="D103" s="670">
        <f>Base_Mensuelle!QJ26</f>
        <v>2279.049</v>
      </c>
      <c r="E103" s="670">
        <f>Base_Mensuelle!QK26</f>
        <v>2182.2190000000001</v>
      </c>
      <c r="F103" s="670">
        <f>Base_Mensuelle!QL26</f>
        <v>2189.17</v>
      </c>
      <c r="G103" s="1362">
        <f t="shared" si="6"/>
        <v>0.31852898357132009</v>
      </c>
      <c r="H103" s="1362">
        <f t="shared" si="7"/>
        <v>-12.848529049959524</v>
      </c>
    </row>
    <row r="104" spans="1:8">
      <c r="A104" s="1354" t="s">
        <v>472</v>
      </c>
      <c r="B104" s="672"/>
      <c r="C104" s="672"/>
      <c r="D104" s="672"/>
      <c r="E104" s="672"/>
      <c r="F104" s="672"/>
      <c r="G104" s="1363" t="str">
        <f t="shared" si="6"/>
        <v/>
      </c>
      <c r="H104" s="1363" t="str">
        <f t="shared" si="7"/>
        <v/>
      </c>
    </row>
    <row r="105" spans="1:8">
      <c r="A105" s="1366" t="s">
        <v>499</v>
      </c>
      <c r="B105" s="670">
        <f>Base_Mensuelle!QH27</f>
        <v>2073.8510000000001</v>
      </c>
      <c r="C105" s="670">
        <f>Base_Mensuelle!QI27</f>
        <v>2152.6800000000003</v>
      </c>
      <c r="D105" s="670">
        <f>Base_Mensuelle!QJ27</f>
        <v>2238.248</v>
      </c>
      <c r="E105" s="670">
        <f>Base_Mensuelle!QK27</f>
        <v>2178.2889999999998</v>
      </c>
      <c r="F105" s="670">
        <f>Base_Mensuelle!QL27</f>
        <v>2073.8069999999998</v>
      </c>
      <c r="G105" s="1362">
        <f t="shared" si="6"/>
        <v>-4.796516899272774</v>
      </c>
      <c r="H105" s="1362">
        <f t="shared" si="7"/>
        <v>-2.121656763209856E-3</v>
      </c>
    </row>
    <row r="106" spans="1:8">
      <c r="A106" s="1354" t="s">
        <v>472</v>
      </c>
      <c r="B106" s="672"/>
      <c r="C106" s="672"/>
      <c r="D106" s="672"/>
      <c r="E106" s="672"/>
      <c r="F106" s="672"/>
      <c r="G106" s="1363" t="str">
        <f t="shared" si="6"/>
        <v/>
      </c>
      <c r="H106" s="1363" t="str">
        <f t="shared" si="7"/>
        <v/>
      </c>
    </row>
    <row r="107" spans="1:8">
      <c r="A107" s="1366" t="s">
        <v>485</v>
      </c>
      <c r="B107" s="670">
        <f>Base_Mensuelle!QH29</f>
        <v>289.28999999999996</v>
      </c>
      <c r="C107" s="670">
        <f>Base_Mensuelle!QI29</f>
        <v>302.67899999999997</v>
      </c>
      <c r="D107" s="670">
        <f>Base_Mensuelle!QJ29</f>
        <v>291.50900000000001</v>
      </c>
      <c r="E107" s="670">
        <f>Base_Mensuelle!QK29</f>
        <v>319.20400000000001</v>
      </c>
      <c r="F107" s="670">
        <f>Base_Mensuelle!QL29</f>
        <v>380.92499999999995</v>
      </c>
      <c r="G107" s="1362">
        <f t="shared" si="6"/>
        <v>19.335910577561677</v>
      </c>
      <c r="H107" s="1362">
        <f t="shared" si="7"/>
        <v>31.675827024784819</v>
      </c>
    </row>
    <row r="108" spans="1:8">
      <c r="A108" s="1354" t="s">
        <v>472</v>
      </c>
      <c r="B108" s="672"/>
      <c r="C108" s="672"/>
      <c r="D108" s="672"/>
      <c r="E108" s="672"/>
      <c r="F108" s="672"/>
      <c r="G108" s="1363" t="str">
        <f t="shared" si="6"/>
        <v/>
      </c>
      <c r="H108" s="1363" t="str">
        <f t="shared" si="7"/>
        <v/>
      </c>
    </row>
    <row r="109" spans="1:8">
      <c r="A109" s="1366" t="s">
        <v>500</v>
      </c>
      <c r="B109" s="670">
        <f>Base_Mensuelle!QH31</f>
        <v>59.491999999999997</v>
      </c>
      <c r="C109" s="670">
        <f>Base_Mensuelle!QI31</f>
        <v>44.905000000000001</v>
      </c>
      <c r="D109" s="670">
        <f>Base_Mensuelle!QJ31</f>
        <v>44.860999999999997</v>
      </c>
      <c r="E109" s="670">
        <f>Base_Mensuelle!QK31</f>
        <v>62.927000000000007</v>
      </c>
      <c r="F109" s="670">
        <f>Base_Mensuelle!QL31</f>
        <v>73.088999999999999</v>
      </c>
      <c r="G109" s="1362">
        <f t="shared" si="6"/>
        <v>16.148870913916102</v>
      </c>
      <c r="H109" s="1362">
        <f t="shared" si="7"/>
        <v>22.855173804881336</v>
      </c>
    </row>
    <row r="110" spans="1:8">
      <c r="A110" s="1354" t="s">
        <v>472</v>
      </c>
      <c r="B110" s="672"/>
      <c r="C110" s="672"/>
      <c r="D110" s="672"/>
      <c r="E110" s="672"/>
      <c r="F110" s="672"/>
      <c r="G110" s="1363" t="str">
        <f t="shared" si="6"/>
        <v/>
      </c>
      <c r="H110" s="1363" t="str">
        <f t="shared" si="7"/>
        <v/>
      </c>
    </row>
    <row r="111" spans="1:8">
      <c r="A111" s="1366" t="s">
        <v>486</v>
      </c>
      <c r="B111" s="670">
        <f>Base_Mensuelle!QH34</f>
        <v>837.81899999999928</v>
      </c>
      <c r="C111" s="670">
        <f>Base_Mensuelle!QI34</f>
        <v>900.38699999999858</v>
      </c>
      <c r="D111" s="670">
        <f>Base_Mensuelle!QJ34</f>
        <v>876.02099999999996</v>
      </c>
      <c r="E111" s="670">
        <f>Base_Mensuelle!QK34</f>
        <v>885.64199999999994</v>
      </c>
      <c r="F111" s="670">
        <f>Base_Mensuelle!QL34</f>
        <v>912.31500000000005</v>
      </c>
      <c r="G111" s="1362">
        <f t="shared" si="6"/>
        <v>3.011713536620908</v>
      </c>
      <c r="H111" s="1362">
        <f t="shared" si="7"/>
        <v>8.8916579834070077</v>
      </c>
    </row>
    <row r="112" spans="1:8">
      <c r="A112" s="1354" t="s">
        <v>472</v>
      </c>
      <c r="B112" s="672"/>
      <c r="C112" s="672"/>
      <c r="D112" s="672"/>
      <c r="E112" s="672"/>
      <c r="F112" s="672"/>
      <c r="G112" s="1363" t="str">
        <f t="shared" si="6"/>
        <v/>
      </c>
      <c r="H112" s="1363" t="str">
        <f t="shared" si="7"/>
        <v/>
      </c>
    </row>
    <row r="113" spans="1:11" ht="12.6" thickBot="1">
      <c r="A113" s="1368" t="s">
        <v>487</v>
      </c>
      <c r="B113" s="677">
        <f>Base_Mensuelle!QH35</f>
        <v>-9.8920000000000528</v>
      </c>
      <c r="C113" s="677">
        <f>Base_Mensuelle!QI35</f>
        <v>-174.25500000000005</v>
      </c>
      <c r="D113" s="677">
        <f>Base_Mensuelle!QJ35</f>
        <v>-53.820999999999913</v>
      </c>
      <c r="E113" s="677">
        <f>Base_Mensuelle!QK35</f>
        <v>-143.971</v>
      </c>
      <c r="F113" s="677">
        <f>Base_Mensuelle!QL35</f>
        <v>-149.24200000000008</v>
      </c>
      <c r="G113" s="678">
        <f t="shared" si="6"/>
        <v>3.6611539823992789</v>
      </c>
      <c r="H113" s="678">
        <f t="shared" si="7"/>
        <v>1408.7141124140646</v>
      </c>
    </row>
    <row r="114" spans="1:11">
      <c r="A114" s="625"/>
      <c r="B114" s="67"/>
      <c r="C114" s="530"/>
      <c r="D114" s="530"/>
      <c r="E114" s="67"/>
      <c r="F114" s="67"/>
      <c r="G114" s="31"/>
      <c r="H114" s="31"/>
    </row>
    <row r="115" spans="1:11">
      <c r="A115" s="625"/>
      <c r="B115" s="67"/>
      <c r="C115" s="67"/>
      <c r="D115" s="67"/>
      <c r="E115" s="67"/>
      <c r="F115" s="67"/>
      <c r="G115" s="31"/>
      <c r="H115" s="31"/>
    </row>
    <row r="116" spans="1:11">
      <c r="A116" s="86" t="s">
        <v>501</v>
      </c>
      <c r="B116" s="571"/>
      <c r="C116" s="67"/>
      <c r="D116" s="67"/>
      <c r="E116" s="67"/>
      <c r="F116" s="67"/>
      <c r="G116" s="31"/>
      <c r="H116" s="31"/>
    </row>
    <row r="117" spans="1:11">
      <c r="A117" s="68"/>
      <c r="B117" s="571"/>
      <c r="C117" s="67"/>
      <c r="D117" s="67"/>
      <c r="E117" s="67"/>
      <c r="F117" s="67"/>
      <c r="G117" s="31"/>
      <c r="H117" s="31"/>
    </row>
    <row r="118" spans="1:11">
      <c r="A118" s="31"/>
      <c r="B118" s="2070" t="s">
        <v>439</v>
      </c>
      <c r="C118" s="2074"/>
      <c r="D118" s="2074"/>
      <c r="E118" s="2074"/>
      <c r="F118" s="2074"/>
      <c r="G118" s="2067" t="s">
        <v>18</v>
      </c>
      <c r="H118" s="2069"/>
    </row>
    <row r="119" spans="1:11" ht="24.6">
      <c r="A119" s="573"/>
      <c r="B119" s="32" t="str">
        <f>Base_Trimestrielle!IZ4</f>
        <v>4T2022</v>
      </c>
      <c r="C119" s="448" t="str">
        <f>Base_Trimestrielle!JA4</f>
        <v>1T2023</v>
      </c>
      <c r="D119" s="448" t="str">
        <f>Base_Trimestrielle!JB4</f>
        <v>2T2023</v>
      </c>
      <c r="E119" s="448" t="str">
        <f>Base_Trimestrielle!JC4</f>
        <v>3T2023</v>
      </c>
      <c r="F119" s="449" t="str">
        <f>Base_Trimestrielle!JD4</f>
        <v>4T2023</v>
      </c>
      <c r="G119" s="466" t="s">
        <v>503</v>
      </c>
      <c r="H119" s="449" t="s">
        <v>20</v>
      </c>
    </row>
    <row r="120" spans="1:11">
      <c r="A120" s="1787" t="s">
        <v>444</v>
      </c>
      <c r="B120" s="579"/>
      <c r="C120" s="577"/>
      <c r="D120" s="576"/>
      <c r="E120" s="577"/>
      <c r="F120" s="578"/>
      <c r="G120" s="579"/>
      <c r="H120" s="1332"/>
    </row>
    <row r="121" spans="1:11">
      <c r="A121" s="1348" t="s">
        <v>445</v>
      </c>
      <c r="B121" s="580">
        <f>Base_Trimestrielle!IZ9</f>
        <v>828.74838173000012</v>
      </c>
      <c r="C121" s="581">
        <f>Base_Trimestrielle!JA9</f>
        <v>858.63758405400006</v>
      </c>
      <c r="D121" s="582">
        <f>Base_Trimestrielle!JB9</f>
        <v>923.48333448599999</v>
      </c>
      <c r="E121" s="583">
        <f>Base_Trimestrielle!JC9</f>
        <v>933.14057847800018</v>
      </c>
      <c r="F121" s="584">
        <f>Base_Trimestrielle!JD9</f>
        <v>986.10114882400012</v>
      </c>
      <c r="G121" s="1333">
        <f t="shared" ref="G121:G142" si="8">+IF(E121=0,"",(F121/E121-1)*100)</f>
        <v>5.6755189483219448</v>
      </c>
      <c r="H121" s="1334">
        <f t="shared" ref="H121:H142" si="9">+IF(B121=0,"",(F121/B121-1)*100)</f>
        <v>18.986796301855623</v>
      </c>
      <c r="I121" s="529"/>
      <c r="J121" s="529"/>
    </row>
    <row r="122" spans="1:11">
      <c r="A122" s="1347" t="s">
        <v>446</v>
      </c>
      <c r="B122" s="608">
        <f>Base_Trimestrielle!IZ10</f>
        <v>2813.9410329239995</v>
      </c>
      <c r="C122" s="609">
        <f>Base_Trimestrielle!JA10</f>
        <v>2550.6226424810002</v>
      </c>
      <c r="D122" s="610">
        <f>Base_Trimestrielle!JB10</f>
        <v>2690.4704537129996</v>
      </c>
      <c r="E122" s="611">
        <f>Base_Trimestrielle!JC10</f>
        <v>2693.1156919209998</v>
      </c>
      <c r="F122" s="612">
        <f>Base_Trimestrielle!JD10</f>
        <v>2491.7672695840001</v>
      </c>
      <c r="G122" s="1788">
        <f t="shared" si="8"/>
        <v>-7.4764119098566395</v>
      </c>
      <c r="H122" s="1371">
        <f t="shared" si="9"/>
        <v>-11.44920094523888</v>
      </c>
      <c r="I122" s="529"/>
      <c r="J122" s="529"/>
    </row>
    <row r="123" spans="1:11">
      <c r="A123" s="1310" t="s">
        <v>447</v>
      </c>
      <c r="B123" s="593">
        <f>Base_Trimestrielle!IZ11</f>
        <v>0.42652169400000001</v>
      </c>
      <c r="C123" s="594">
        <f>Base_Trimestrielle!JA11</f>
        <v>0.54813125100000004</v>
      </c>
      <c r="D123" s="520">
        <f>Base_Trimestrielle!JB11</f>
        <v>0.35494248299999998</v>
      </c>
      <c r="E123" s="67">
        <f>Base_Trimestrielle!JC11</f>
        <v>0.51118069099999996</v>
      </c>
      <c r="F123" s="595">
        <f>Base_Trimestrielle!JD11</f>
        <v>0.99675835400000001</v>
      </c>
      <c r="G123" s="1337">
        <f t="shared" si="8"/>
        <v>94.991393757476672</v>
      </c>
      <c r="H123" s="1338">
        <f t="shared" si="9"/>
        <v>133.69464391182876</v>
      </c>
      <c r="I123" s="529"/>
      <c r="J123" s="529"/>
    </row>
    <row r="124" spans="1:11">
      <c r="A124" s="1345" t="s">
        <v>448</v>
      </c>
      <c r="B124" s="614">
        <f>Base_Trimestrielle!IZ12</f>
        <v>2511.9139999999998</v>
      </c>
      <c r="C124" s="615">
        <f>Base_Trimestrielle!JA12</f>
        <v>2248.4740000000002</v>
      </c>
      <c r="D124" s="616">
        <f>Base_Trimestrielle!JB12</f>
        <v>2388.5149999999999</v>
      </c>
      <c r="E124" s="617">
        <f>Base_Trimestrielle!JC12</f>
        <v>2391.0039999999999</v>
      </c>
      <c r="F124" s="618">
        <f>Base_Trimestrielle!JD12</f>
        <v>2189.17</v>
      </c>
      <c r="G124" s="1372">
        <f t="shared" si="8"/>
        <v>-8.4413911478190666</v>
      </c>
      <c r="H124" s="1342">
        <f t="shared" si="9"/>
        <v>-12.848529049959501</v>
      </c>
      <c r="I124" s="529"/>
      <c r="J124" s="529"/>
    </row>
    <row r="125" spans="1:11">
      <c r="A125" s="1310" t="s">
        <v>449</v>
      </c>
      <c r="B125" s="593">
        <f>Base_Trimestrielle!IZ13</f>
        <v>301.60051123</v>
      </c>
      <c r="C125" s="594">
        <f>Base_Trimestrielle!JA13</f>
        <v>301.60051123</v>
      </c>
      <c r="D125" s="520">
        <f>Base_Trimestrielle!JB13</f>
        <v>301.60051123</v>
      </c>
      <c r="E125" s="67">
        <f>Base_Trimestrielle!JC13</f>
        <v>301.60051123</v>
      </c>
      <c r="F125" s="595">
        <f>Base_Trimestrielle!JD13</f>
        <v>301.60051123</v>
      </c>
      <c r="G125" s="1337">
        <f t="shared" si="8"/>
        <v>0</v>
      </c>
      <c r="H125" s="1338">
        <f t="shared" si="9"/>
        <v>0</v>
      </c>
      <c r="I125" s="529"/>
      <c r="J125" s="529"/>
    </row>
    <row r="126" spans="1:11">
      <c r="A126" s="1345" t="s">
        <v>450</v>
      </c>
      <c r="B126" s="614">
        <f>Base_Trimestrielle!IZ14</f>
        <v>3642.6894146539998</v>
      </c>
      <c r="C126" s="615">
        <f>Base_Trimestrielle!JA14</f>
        <v>3409.2602265350001</v>
      </c>
      <c r="D126" s="616">
        <f>Base_Trimestrielle!JB14</f>
        <v>3613.9537881989995</v>
      </c>
      <c r="E126" s="617">
        <f>Base_Trimestrielle!JC14</f>
        <v>3626.2562703989997</v>
      </c>
      <c r="F126" s="618">
        <f>Base_Trimestrielle!JD14</f>
        <v>3477.8684184080003</v>
      </c>
      <c r="G126" s="1372">
        <f t="shared" si="8"/>
        <v>-4.0920398594628926</v>
      </c>
      <c r="H126" s="1342">
        <f t="shared" si="9"/>
        <v>-4.5247062673789635</v>
      </c>
      <c r="I126" s="529"/>
      <c r="J126" s="529"/>
    </row>
    <row r="127" spans="1:11">
      <c r="A127" s="1346" t="s">
        <v>451</v>
      </c>
      <c r="B127" s="580">
        <f>Base_Trimestrielle!IZ15</f>
        <v>2074.1841083190002</v>
      </c>
      <c r="C127" s="581">
        <f>Base_Trimestrielle!JA15</f>
        <v>1969.3901083190001</v>
      </c>
      <c r="D127" s="582">
        <f>Base_Trimestrielle!JB15</f>
        <v>2130.9751083189999</v>
      </c>
      <c r="E127" s="583">
        <f>Base_Trimestrielle!JC15</f>
        <v>2153.0131083190004</v>
      </c>
      <c r="F127" s="583">
        <f>Base_Trimestrielle!JD15</f>
        <v>2074.1401083189999</v>
      </c>
      <c r="G127" s="1337">
        <f t="shared" si="8"/>
        <v>-3.6633776030087328</v>
      </c>
      <c r="H127" s="1338">
        <f t="shared" si="9"/>
        <v>-2.1213160309119239E-3</v>
      </c>
      <c r="I127" s="529"/>
      <c r="J127" s="529"/>
    </row>
    <row r="128" spans="1:11">
      <c r="A128" s="1347" t="s">
        <v>452</v>
      </c>
      <c r="B128" s="608">
        <f>Base_Trimestrielle!IZ16</f>
        <v>5716.873522973</v>
      </c>
      <c r="C128" s="609">
        <f>Base_Trimestrielle!JA16</f>
        <v>5378.650334854</v>
      </c>
      <c r="D128" s="610">
        <f>Base_Trimestrielle!JB16</f>
        <v>5744.9288965179994</v>
      </c>
      <c r="E128" s="611">
        <f>Base_Trimestrielle!JC16</f>
        <v>5779.2693787179996</v>
      </c>
      <c r="F128" s="612">
        <f>Base_Trimestrielle!JD16</f>
        <v>5552.0085267270006</v>
      </c>
      <c r="G128" s="1788">
        <f t="shared" si="8"/>
        <v>-3.9323457187837807</v>
      </c>
      <c r="H128" s="1371">
        <f t="shared" si="9"/>
        <v>-2.8838314435940759</v>
      </c>
      <c r="I128" s="529"/>
      <c r="J128" s="529"/>
      <c r="K128" s="529"/>
    </row>
    <row r="129" spans="1:10">
      <c r="A129" s="1373" t="s">
        <v>453</v>
      </c>
      <c r="B129" s="602"/>
      <c r="C129" s="603"/>
      <c r="D129" s="604"/>
      <c r="E129" s="605"/>
      <c r="F129" s="606"/>
      <c r="G129" s="607" t="str">
        <f t="shared" si="8"/>
        <v/>
      </c>
      <c r="H129" s="1369" t="str">
        <f t="shared" si="9"/>
        <v/>
      </c>
      <c r="I129" s="529"/>
      <c r="J129" s="529"/>
    </row>
    <row r="130" spans="1:10">
      <c r="A130" s="1374" t="s">
        <v>454</v>
      </c>
      <c r="B130" s="608">
        <f>Base_Trimestrielle!IZ18</f>
        <v>1972.0706759070001</v>
      </c>
      <c r="C130" s="609">
        <f>Base_Trimestrielle!JA18</f>
        <v>1657.7496957499998</v>
      </c>
      <c r="D130" s="610">
        <f>Base_Trimestrielle!JB18</f>
        <v>1870.3018244580001</v>
      </c>
      <c r="E130" s="611">
        <f>Base_Trimestrielle!JC18</f>
        <v>1900.7818864940004</v>
      </c>
      <c r="F130" s="612">
        <f>Base_Trimestrielle!JD18</f>
        <v>1626.2842100790003</v>
      </c>
      <c r="G130" s="1370">
        <f t="shared" si="8"/>
        <v>-14.441303253437043</v>
      </c>
      <c r="H130" s="1371">
        <f t="shared" si="9"/>
        <v>-17.534182220369189</v>
      </c>
      <c r="I130" s="529"/>
      <c r="J130" s="529"/>
    </row>
    <row r="131" spans="1:10">
      <c r="A131" s="1310" t="s">
        <v>447</v>
      </c>
      <c r="B131" s="593">
        <f>Base_Trimestrielle!IZ19</f>
        <v>-624.09032409300016</v>
      </c>
      <c r="C131" s="594">
        <f>Base_Trimestrielle!JA19</f>
        <v>-391.68530425</v>
      </c>
      <c r="D131" s="520">
        <f>Base_Trimestrielle!JB19</f>
        <v>-404.02417554199997</v>
      </c>
      <c r="E131" s="67">
        <f>Base_Trimestrielle!JC19</f>
        <v>-377.72911350600009</v>
      </c>
      <c r="F131" s="595">
        <f>Base_Trimestrielle!JD19</f>
        <v>-372.52078992099985</v>
      </c>
      <c r="G131" s="1337">
        <f>+IF(E131=0,"",(F131/E131-1)*100)</f>
        <v>-1.3788515099240617</v>
      </c>
      <c r="H131" s="1338">
        <f t="shared" si="9"/>
        <v>-40.309795627357325</v>
      </c>
      <c r="I131" s="529"/>
      <c r="J131" s="529"/>
    </row>
    <row r="132" spans="1:10">
      <c r="A132" s="1345" t="s">
        <v>448</v>
      </c>
      <c r="B132" s="614">
        <f>Base_Trimestrielle!IZ20</f>
        <v>2596.1610000000001</v>
      </c>
      <c r="C132" s="615">
        <f>Base_Trimestrielle!JA20</f>
        <v>2049.4349999999999</v>
      </c>
      <c r="D132" s="616">
        <f>Base_Trimestrielle!JB20</f>
        <v>2274.326</v>
      </c>
      <c r="E132" s="617">
        <f>Base_Trimestrielle!JC20</f>
        <v>2278.5110000000004</v>
      </c>
      <c r="F132" s="618">
        <f>Base_Trimestrielle!JD20</f>
        <v>1998.8049999999998</v>
      </c>
      <c r="G132" s="1372">
        <f t="shared" si="8"/>
        <v>-12.275823992072043</v>
      </c>
      <c r="H132" s="1342">
        <f t="shared" si="9"/>
        <v>-23.009204745006194</v>
      </c>
      <c r="I132" s="529"/>
      <c r="J132" s="529"/>
    </row>
    <row r="133" spans="1:10">
      <c r="A133" s="1346" t="s">
        <v>455</v>
      </c>
      <c r="B133" s="580">
        <f>Base_Trimestrielle!IZ21</f>
        <v>4396.1364443080001</v>
      </c>
      <c r="C133" s="581">
        <f>Base_Trimestrielle!JA21</f>
        <v>4317.6425430890004</v>
      </c>
      <c r="D133" s="583">
        <f>Base_Trimestrielle!JB21</f>
        <v>4551.9022971499999</v>
      </c>
      <c r="E133" s="583">
        <f>Base_Trimestrielle!JC21</f>
        <v>4686.3317924869998</v>
      </c>
      <c r="F133" s="584">
        <f>Base_Trimestrielle!JD21</f>
        <v>4764.6858344120001</v>
      </c>
      <c r="G133" s="1337">
        <f t="shared" si="8"/>
        <v>1.6719695786503008</v>
      </c>
      <c r="H133" s="1338">
        <f t="shared" si="9"/>
        <v>8.3834838789225365</v>
      </c>
      <c r="I133" s="529"/>
      <c r="J133" s="529"/>
    </row>
    <row r="134" spans="1:10">
      <c r="A134" s="1888" t="s">
        <v>456</v>
      </c>
      <c r="B134" s="614">
        <f>Base_Trimestrielle!IZ22</f>
        <v>142.06168322100001</v>
      </c>
      <c r="C134" s="615">
        <f>Base_Trimestrielle!JA22</f>
        <v>205.32350421300009</v>
      </c>
      <c r="D134" s="616">
        <f>Base_Trimestrielle!JB22</f>
        <v>399.33740789299998</v>
      </c>
      <c r="E134" s="617">
        <f>Base_Trimestrielle!JC22</f>
        <v>341.3764939460001</v>
      </c>
      <c r="F134" s="618">
        <f>Base_Trimestrielle!JD22</f>
        <v>443.46075541800013</v>
      </c>
      <c r="G134" s="1372">
        <f>+IF(E134=0,"",(F134/E134-1)*100)</f>
        <v>29.903717239578896</v>
      </c>
      <c r="H134" s="1342">
        <f t="shared" si="9"/>
        <v>212.16070749219895</v>
      </c>
      <c r="I134" s="529"/>
      <c r="J134" s="529"/>
    </row>
    <row r="135" spans="1:10">
      <c r="A135" s="1310" t="s">
        <v>457</v>
      </c>
      <c r="B135" s="593">
        <f>Base_Trimestrielle!IZ23</f>
        <v>60.571683221000008</v>
      </c>
      <c r="C135" s="594">
        <f>Base_Trimestrielle!JA23</f>
        <v>22.294504212999989</v>
      </c>
      <c r="D135" s="520">
        <f>Base_Trimestrielle!JB23</f>
        <v>117.20440789299997</v>
      </c>
      <c r="E135" s="67">
        <f>Base_Trimestrielle!JC23</f>
        <v>84.521493945999964</v>
      </c>
      <c r="F135" s="595">
        <f>Base_Trimestrielle!JD23</f>
        <v>199.76375541800002</v>
      </c>
      <c r="G135" s="1337">
        <f t="shared" si="8"/>
        <v>136.34669252962723</v>
      </c>
      <c r="H135" s="1338">
        <f t="shared" si="9"/>
        <v>229.79726630535927</v>
      </c>
      <c r="I135" s="529"/>
      <c r="J135" s="529"/>
    </row>
    <row r="136" spans="1:10">
      <c r="A136" s="1345" t="s">
        <v>458</v>
      </c>
      <c r="B136" s="614">
        <f>Base_Trimestrielle!IZ24</f>
        <v>81.490000000000009</v>
      </c>
      <c r="C136" s="615">
        <f>Base_Trimestrielle!JA24</f>
        <v>183.02900000000011</v>
      </c>
      <c r="D136" s="616">
        <f>Base_Trimestrielle!JB24</f>
        <v>282.13300000000004</v>
      </c>
      <c r="E136" s="617">
        <f>Base_Trimestrielle!JC24</f>
        <v>256.85500000000013</v>
      </c>
      <c r="F136" s="618">
        <f>Base_Trimestrielle!JD24</f>
        <v>243.69700000000012</v>
      </c>
      <c r="G136" s="1372">
        <f t="shared" si="8"/>
        <v>-5.1227346168071559</v>
      </c>
      <c r="H136" s="1342">
        <f t="shared" si="9"/>
        <v>199.05141735182244</v>
      </c>
      <c r="I136" s="529"/>
      <c r="J136" s="529"/>
    </row>
    <row r="137" spans="1:10">
      <c r="A137" s="1310" t="s">
        <v>459</v>
      </c>
      <c r="B137" s="593">
        <f>Base_Trimestrielle!IZ25</f>
        <v>4254.0747610870003</v>
      </c>
      <c r="C137" s="594">
        <f>Base_Trimestrielle!JA25</f>
        <v>4112.3190388760004</v>
      </c>
      <c r="D137" s="520">
        <f>Base_Trimestrielle!JB25</f>
        <v>4152.5648892569998</v>
      </c>
      <c r="E137" s="67">
        <f>Base_Trimestrielle!JC25</f>
        <v>4344.955298541</v>
      </c>
      <c r="F137" s="595">
        <f>Base_Trimestrielle!JD25</f>
        <v>4321.2250789939999</v>
      </c>
      <c r="G137" s="1337">
        <f t="shared" si="8"/>
        <v>-0.5461556659735578</v>
      </c>
      <c r="H137" s="1338">
        <f t="shared" si="9"/>
        <v>1.5784940716425444</v>
      </c>
      <c r="I137" s="529"/>
      <c r="J137" s="529"/>
    </row>
    <row r="138" spans="1:10">
      <c r="A138" s="1345" t="s">
        <v>457</v>
      </c>
      <c r="B138" s="614">
        <f>Base_Trimestrielle!IZ26</f>
        <v>9.1537610869999995</v>
      </c>
      <c r="C138" s="615">
        <f>Base_Trimestrielle!JA26</f>
        <v>9.2310388759999995</v>
      </c>
      <c r="D138" s="616">
        <f>Base_Trimestrielle!JB26</f>
        <v>9.3588892569999995</v>
      </c>
      <c r="E138" s="617">
        <f>Base_Trimestrielle!JC26</f>
        <v>8.8982985410000008</v>
      </c>
      <c r="F138" s="618">
        <f>Base_Trimestrielle!JD26</f>
        <v>9.0020789939999997</v>
      </c>
      <c r="G138" s="1372">
        <f t="shared" si="8"/>
        <v>1.1662954723514529</v>
      </c>
      <c r="H138" s="1342">
        <f t="shared" si="9"/>
        <v>-1.657046667029749</v>
      </c>
      <c r="I138" s="529"/>
      <c r="J138" s="529"/>
    </row>
    <row r="139" spans="1:10">
      <c r="A139" s="1310" t="s">
        <v>458</v>
      </c>
      <c r="B139" s="593">
        <f>Base_Trimestrielle!IZ27</f>
        <v>4244.9210000000003</v>
      </c>
      <c r="C139" s="594">
        <f>Base_Trimestrielle!JA27</f>
        <v>4103.0879999999997</v>
      </c>
      <c r="D139" s="520">
        <f>Base_Trimestrielle!JB27</f>
        <v>4143.2060000000001</v>
      </c>
      <c r="E139" s="67">
        <f>Base_Trimestrielle!JC27</f>
        <v>4336.0569999999998</v>
      </c>
      <c r="F139" s="595">
        <f>Base_Trimestrielle!JD27</f>
        <v>4312.223</v>
      </c>
      <c r="G139" s="1337">
        <f t="shared" si="8"/>
        <v>-0.54966989594462667</v>
      </c>
      <c r="H139" s="1338">
        <f t="shared" si="9"/>
        <v>1.5854712019375494</v>
      </c>
      <c r="I139" s="529"/>
      <c r="J139" s="529"/>
    </row>
    <row r="140" spans="1:10">
      <c r="A140" s="1347" t="s">
        <v>460</v>
      </c>
      <c r="B140" s="608">
        <f>Base_Trimestrielle!IZ28</f>
        <v>1187.8806726909993</v>
      </c>
      <c r="C140" s="609">
        <f>Base_Trimestrielle!JA28</f>
        <v>1185.428432729</v>
      </c>
      <c r="D140" s="611">
        <f>Base_Trimestrielle!JB28</f>
        <v>1262.5841128569991</v>
      </c>
      <c r="E140" s="611">
        <f>Base_Trimestrielle!JC28</f>
        <v>1290.1788243949986</v>
      </c>
      <c r="F140" s="612">
        <f>Base_Trimestrielle!JD28</f>
        <v>1370.4811924599999</v>
      </c>
      <c r="G140" s="1372">
        <f t="shared" si="8"/>
        <v>6.2241269618308337</v>
      </c>
      <c r="H140" s="1342">
        <f t="shared" si="9"/>
        <v>15.371958140824127</v>
      </c>
      <c r="I140" s="529"/>
      <c r="J140" s="529"/>
    </row>
    <row r="141" spans="1:10">
      <c r="A141" s="1346" t="s">
        <v>461</v>
      </c>
      <c r="B141" s="580">
        <f>Base_Trimestrielle!IZ29</f>
        <v>-536.54707544899986</v>
      </c>
      <c r="C141" s="581">
        <f>Base_Trimestrielle!JA29</f>
        <v>-588.68652874400004</v>
      </c>
      <c r="D141" s="583">
        <f>Base_Trimestrielle!JB29</f>
        <v>-585.30888776700021</v>
      </c>
      <c r="E141" s="583">
        <f>Base_Trimestrielle!JC29</f>
        <v>-482.3345241320003</v>
      </c>
      <c r="F141" s="584">
        <f>Base_Trimestrielle!JD29</f>
        <v>-531.51967469599992</v>
      </c>
      <c r="G141" s="1337">
        <f t="shared" si="8"/>
        <v>10.197310808823445</v>
      </c>
      <c r="H141" s="1338">
        <f t="shared" si="9"/>
        <v>-0.93699154893218672</v>
      </c>
      <c r="I141" s="529"/>
      <c r="J141" s="529"/>
    </row>
    <row r="142" spans="1:10">
      <c r="A142" s="1323" t="s">
        <v>462</v>
      </c>
      <c r="B142" s="619">
        <f>Base_Trimestrielle!IZ30</f>
        <v>5716.8735229730009</v>
      </c>
      <c r="C142" s="620">
        <f>Base_Trimestrielle!JA30</f>
        <v>5378.6503348540009</v>
      </c>
      <c r="D142" s="621">
        <f>Base_Trimestrielle!JB30</f>
        <v>5744.9288965180003</v>
      </c>
      <c r="E142" s="622">
        <f>Base_Trimestrielle!JC30</f>
        <v>5779.2693787180024</v>
      </c>
      <c r="F142" s="623">
        <f>Base_Trimestrielle!JD30</f>
        <v>5552.0085267270006</v>
      </c>
      <c r="G142" s="624">
        <f t="shared" si="8"/>
        <v>-3.9323457187838251</v>
      </c>
      <c r="H142" s="1343">
        <f t="shared" si="9"/>
        <v>-2.8838314435940871</v>
      </c>
      <c r="I142" s="529"/>
      <c r="J142" s="529"/>
    </row>
    <row r="143" spans="1:10">
      <c r="A143" s="625" t="s">
        <v>463</v>
      </c>
      <c r="B143" s="67"/>
      <c r="C143" s="530"/>
      <c r="D143" s="530"/>
      <c r="E143" s="67"/>
      <c r="F143" s="67"/>
      <c r="G143" s="31"/>
      <c r="H143" s="31"/>
      <c r="I143" s="529"/>
      <c r="J143" s="529"/>
    </row>
    <row r="144" spans="1:10">
      <c r="A144" s="625"/>
      <c r="B144" s="67"/>
      <c r="C144" s="530"/>
      <c r="D144" s="530"/>
      <c r="E144" s="67"/>
      <c r="F144" s="67"/>
      <c r="G144" s="31"/>
      <c r="H144" s="31"/>
      <c r="I144" s="529"/>
      <c r="J144" s="529"/>
    </row>
    <row r="145" spans="1:10">
      <c r="A145" s="86" t="s">
        <v>502</v>
      </c>
      <c r="B145" s="67"/>
      <c r="C145" s="530"/>
      <c r="D145" s="530"/>
      <c r="E145" s="67"/>
      <c r="F145" s="67"/>
      <c r="G145" s="31"/>
      <c r="H145" s="31"/>
      <c r="I145" s="529"/>
      <c r="J145" s="529"/>
    </row>
    <row r="146" spans="1:10">
      <c r="A146" s="68"/>
      <c r="B146" s="67"/>
      <c r="C146" s="530"/>
      <c r="D146" s="530"/>
      <c r="E146" s="67"/>
      <c r="F146" s="67"/>
      <c r="G146" s="31"/>
      <c r="H146" s="31"/>
      <c r="I146" s="529"/>
      <c r="J146" s="529"/>
    </row>
    <row r="147" spans="1:10">
      <c r="A147" s="561"/>
      <c r="B147" s="2070" t="s">
        <v>439</v>
      </c>
      <c r="C147" s="2074"/>
      <c r="D147" s="2074"/>
      <c r="E147" s="2074"/>
      <c r="F147" s="2071"/>
      <c r="G147" s="2067" t="s">
        <v>18</v>
      </c>
      <c r="H147" s="2069"/>
      <c r="I147" s="529"/>
      <c r="J147" s="529"/>
    </row>
    <row r="148" spans="1:10" ht="24.6">
      <c r="A148" s="679"/>
      <c r="B148" s="680" t="str">
        <f>Base_Trimestrielle!JY4</f>
        <v>4T2022</v>
      </c>
      <c r="C148" s="680" t="str">
        <f>Base_Trimestrielle!JZ4</f>
        <v>1T2023</v>
      </c>
      <c r="D148" s="681" t="str">
        <f>Base_Trimestrielle!KA4</f>
        <v>2T2023</v>
      </c>
      <c r="E148" s="681" t="str">
        <f>Base_Trimestrielle!KB4</f>
        <v>3T2023</v>
      </c>
      <c r="F148" s="682" t="str">
        <f>Base_Trimestrielle!KC4</f>
        <v>4T2023</v>
      </c>
      <c r="G148" s="466" t="s">
        <v>503</v>
      </c>
      <c r="H148" s="449" t="s">
        <v>20</v>
      </c>
      <c r="I148" s="529"/>
      <c r="J148" s="529"/>
    </row>
    <row r="149" spans="1:10">
      <c r="A149" s="679" t="s">
        <v>469</v>
      </c>
      <c r="B149" s="683"/>
      <c r="C149" s="683"/>
      <c r="D149" s="684"/>
      <c r="E149" s="684"/>
      <c r="F149" s="685"/>
      <c r="G149" s="450"/>
      <c r="H149" s="479"/>
      <c r="I149" s="529"/>
      <c r="J149" s="529"/>
    </row>
    <row r="150" spans="1:10">
      <c r="A150" s="1381" t="s">
        <v>454</v>
      </c>
      <c r="B150" s="686">
        <f>Base_Trimestrielle!JY9</f>
        <v>-624.09032409300016</v>
      </c>
      <c r="C150" s="635">
        <f>Base_Trimestrielle!JZ9</f>
        <v>-391.68530425</v>
      </c>
      <c r="D150" s="637">
        <f>Base_Trimestrielle!KA9</f>
        <v>-404.02417554199997</v>
      </c>
      <c r="E150" s="637">
        <f>Base_Trimestrielle!KB9</f>
        <v>-377.72911350600009</v>
      </c>
      <c r="F150" s="638">
        <f>Base_Trimestrielle!KC9</f>
        <v>-372.52078992099985</v>
      </c>
      <c r="G150" s="687">
        <f t="shared" ref="G150:G168" si="10">+IF(E150=0,"",(F150/E150-1)*100)</f>
        <v>-1.3788515099240617</v>
      </c>
      <c r="H150" s="1375">
        <f t="shared" ref="H150:H168" si="11">+IF(B150=0,"",(F150/B150-1)*100)</f>
        <v>-40.309795627357325</v>
      </c>
      <c r="I150" s="529"/>
      <c r="J150" s="529"/>
    </row>
    <row r="151" spans="1:10">
      <c r="A151" s="1310" t="s">
        <v>470</v>
      </c>
      <c r="B151" s="688">
        <f>Base_Trimestrielle!JY10</f>
        <v>168.74831944099998</v>
      </c>
      <c r="C151" s="594">
        <f>Base_Trimestrielle!JZ10</f>
        <v>310.95002076400004</v>
      </c>
      <c r="D151" s="67">
        <f>Base_Trimestrielle!KA10</f>
        <v>496.70488802700004</v>
      </c>
      <c r="E151" s="67">
        <f>Base_Trimestrielle!KB10</f>
        <v>657.57678681699997</v>
      </c>
      <c r="F151" s="595">
        <f>Base_Trimestrielle!KC10</f>
        <v>524.372294302</v>
      </c>
      <c r="G151" s="1376">
        <f t="shared" si="10"/>
        <v>-20.25687268551194</v>
      </c>
      <c r="H151" s="1338">
        <f t="shared" si="11"/>
        <v>210.74223200506478</v>
      </c>
      <c r="I151" s="529"/>
      <c r="J151" s="529"/>
    </row>
    <row r="152" spans="1:10">
      <c r="A152" s="1382" t="s">
        <v>471</v>
      </c>
      <c r="B152" s="689">
        <f>Base_Trimestrielle!JY11</f>
        <v>792.83864353400008</v>
      </c>
      <c r="C152" s="591">
        <f>Base_Trimestrielle!JZ11</f>
        <v>702.63532501400005</v>
      </c>
      <c r="D152" s="597">
        <f>Base_Trimestrielle!KA11</f>
        <v>900.729063569</v>
      </c>
      <c r="E152" s="597">
        <f>Base_Trimestrielle!KB11</f>
        <v>1035.3059003230001</v>
      </c>
      <c r="F152" s="598">
        <f>Base_Trimestrielle!KC11</f>
        <v>896.89308422299985</v>
      </c>
      <c r="G152" s="1377">
        <f t="shared" si="10"/>
        <v>-13.369267581380296</v>
      </c>
      <c r="H152" s="1336">
        <f t="shared" si="11"/>
        <v>13.124289732547268</v>
      </c>
      <c r="I152" s="529"/>
      <c r="J152" s="529"/>
    </row>
    <row r="153" spans="1:10">
      <c r="A153" s="1310" t="s">
        <v>472</v>
      </c>
      <c r="B153" s="688"/>
      <c r="C153" s="594"/>
      <c r="D153" s="67"/>
      <c r="E153" s="67"/>
      <c r="F153" s="595"/>
      <c r="G153" s="1376" t="str">
        <f t="shared" si="10"/>
        <v/>
      </c>
      <c r="H153" s="1338" t="str">
        <f t="shared" si="11"/>
        <v/>
      </c>
      <c r="I153" s="529"/>
      <c r="J153" s="529"/>
    </row>
    <row r="154" spans="1:10">
      <c r="A154" s="1382" t="s">
        <v>473</v>
      </c>
      <c r="B154" s="689">
        <f>Base_Trimestrielle!JY12</f>
        <v>1812.489944057</v>
      </c>
      <c r="C154" s="591">
        <f>Base_Trimestrielle!JZ12</f>
        <v>1547.456031532</v>
      </c>
      <c r="D154" s="597">
        <f>Base_Trimestrielle!KA12</f>
        <v>1644.2957604129999</v>
      </c>
      <c r="E154" s="597">
        <f>Base_Trimestrielle!KB12</f>
        <v>1651.611206</v>
      </c>
      <c r="F154" s="598">
        <f>Base_Trimestrielle!KC12</f>
        <v>1508.405847045</v>
      </c>
      <c r="G154" s="1377">
        <f t="shared" si="10"/>
        <v>-8.6706458780832492</v>
      </c>
      <c r="H154" s="1336">
        <f t="shared" si="11"/>
        <v>-16.777146709644697</v>
      </c>
      <c r="I154" s="529"/>
      <c r="J154" s="529"/>
    </row>
    <row r="155" spans="1:10">
      <c r="A155" s="1383" t="s">
        <v>472</v>
      </c>
      <c r="B155" s="585"/>
      <c r="C155" s="581"/>
      <c r="D155" s="583"/>
      <c r="E155" s="583"/>
      <c r="F155" s="584"/>
      <c r="G155" s="1378" t="str">
        <f t="shared" si="10"/>
        <v/>
      </c>
      <c r="H155" s="1334" t="str">
        <f t="shared" si="11"/>
        <v/>
      </c>
      <c r="I155" s="529"/>
      <c r="J155" s="529"/>
    </row>
    <row r="156" spans="1:10">
      <c r="A156" s="1384" t="s">
        <v>474</v>
      </c>
      <c r="B156" s="599">
        <f>Base_Trimestrielle!JY13</f>
        <v>67.136885559000007</v>
      </c>
      <c r="C156" s="587">
        <f>Base_Trimestrielle!JZ13</f>
        <v>28.859706550999988</v>
      </c>
      <c r="D156" s="589">
        <f>Base_Trimestrielle!KA13</f>
        <v>123.76961023099997</v>
      </c>
      <c r="E156" s="589">
        <f>Base_Trimestrielle!KB13</f>
        <v>91.08669628399997</v>
      </c>
      <c r="F156" s="590">
        <f>Base_Trimestrielle!KC13</f>
        <v>206.32895775600002</v>
      </c>
      <c r="G156" s="1379">
        <f t="shared" si="10"/>
        <v>126.51931201092776</v>
      </c>
      <c r="H156" s="1340">
        <f t="shared" si="11"/>
        <v>207.32578081042766</v>
      </c>
      <c r="I156" s="529"/>
      <c r="J156" s="529"/>
    </row>
    <row r="157" spans="1:10" ht="12.6">
      <c r="A157" s="1385" t="s">
        <v>475</v>
      </c>
      <c r="B157" s="688">
        <f>Base_Trimestrielle!JY14</f>
        <v>276.05598233500001</v>
      </c>
      <c r="C157" s="594">
        <f>Base_Trimestrielle!JZ14</f>
        <v>324.13975690299998</v>
      </c>
      <c r="D157" s="67">
        <f>Base_Trimestrielle!KA14</f>
        <v>320.24977640499998</v>
      </c>
      <c r="E157" s="67">
        <f>Base_Trimestrielle!KB14</f>
        <v>337.52794514699997</v>
      </c>
      <c r="F157" s="595">
        <f>Base_Trimestrielle!KC14</f>
        <v>333.17791819000001</v>
      </c>
      <c r="G157" s="1380">
        <f t="shared" si="10"/>
        <v>-1.2887901637612331</v>
      </c>
      <c r="H157" s="1338">
        <f t="shared" si="11"/>
        <v>20.6921564864627</v>
      </c>
      <c r="I157" s="529"/>
      <c r="J157" s="529"/>
    </row>
    <row r="158" spans="1:10">
      <c r="A158" s="1384" t="s">
        <v>476</v>
      </c>
      <c r="B158" s="599">
        <f>Base_Trimestrielle!JY15</f>
        <v>208.919096776</v>
      </c>
      <c r="C158" s="587">
        <f>Base_Trimestrielle!JZ15</f>
        <v>295.28005035199999</v>
      </c>
      <c r="D158" s="589">
        <f>Base_Trimestrielle!KA15</f>
        <v>196.480166174</v>
      </c>
      <c r="E158" s="589">
        <f>Base_Trimestrielle!KB15</f>
        <v>246.441248863</v>
      </c>
      <c r="F158" s="590">
        <f>Base_Trimestrielle!KC15</f>
        <v>126.84896043400001</v>
      </c>
      <c r="G158" s="1379">
        <f t="shared" si="10"/>
        <v>-48.52770750869022</v>
      </c>
      <c r="H158" s="1340">
        <f t="shared" si="11"/>
        <v>-39.283214224305397</v>
      </c>
      <c r="I158" s="529"/>
      <c r="J158" s="529"/>
    </row>
    <row r="159" spans="1:10">
      <c r="A159" s="1310"/>
      <c r="B159" s="688"/>
      <c r="C159" s="594"/>
      <c r="D159" s="67"/>
      <c r="E159" s="67"/>
      <c r="F159" s="595"/>
      <c r="G159" s="1376" t="str">
        <f t="shared" si="10"/>
        <v/>
      </c>
      <c r="H159" s="1338" t="str">
        <f t="shared" si="11"/>
        <v/>
      </c>
      <c r="I159" s="529"/>
      <c r="J159" s="529"/>
    </row>
    <row r="160" spans="1:10">
      <c r="A160" s="1384" t="s">
        <v>477</v>
      </c>
      <c r="B160" s="599">
        <f>Base_Trimestrielle!JY16</f>
        <v>9.1537610869999995</v>
      </c>
      <c r="C160" s="587">
        <f>Base_Trimestrielle!JZ16</f>
        <v>9.2310388759999995</v>
      </c>
      <c r="D160" s="589">
        <f>Base_Trimestrielle!KA16</f>
        <v>9.3588892569999995</v>
      </c>
      <c r="E160" s="589">
        <f>Base_Trimestrielle!KB16</f>
        <v>8.8982985410000008</v>
      </c>
      <c r="F160" s="590">
        <f>Base_Trimestrielle!KC16</f>
        <v>9.0020789939999997</v>
      </c>
      <c r="G160" s="1379">
        <f t="shared" si="10"/>
        <v>1.1662954723514529</v>
      </c>
      <c r="H160" s="1340">
        <f t="shared" si="11"/>
        <v>-1.657046667029749</v>
      </c>
      <c r="I160" s="529"/>
      <c r="J160" s="529"/>
    </row>
    <row r="161" spans="1:10">
      <c r="A161" s="1383" t="s">
        <v>478</v>
      </c>
      <c r="B161" s="585">
        <f>Base_Trimestrielle!JY17</f>
        <v>3.6619999999999999</v>
      </c>
      <c r="C161" s="581">
        <f>Base_Trimestrielle!JZ17</f>
        <v>3.5590000000000002</v>
      </c>
      <c r="D161" s="583">
        <f>Base_Trimestrielle!KA17</f>
        <v>3.3340000000000001</v>
      </c>
      <c r="E161" s="583">
        <f>Base_Trimestrielle!KB17</f>
        <v>2.6890000000000001</v>
      </c>
      <c r="F161" s="584">
        <f>Base_Trimestrielle!KC17</f>
        <v>2.6890000000000001</v>
      </c>
      <c r="G161" s="1378">
        <f t="shared" si="10"/>
        <v>0</v>
      </c>
      <c r="H161" s="1334">
        <f t="shared" si="11"/>
        <v>-26.570180229382846</v>
      </c>
      <c r="I161" s="529"/>
      <c r="J161" s="529"/>
    </row>
    <row r="162" spans="1:10">
      <c r="A162" s="1384" t="s">
        <v>479</v>
      </c>
      <c r="B162" s="599">
        <f>Base_Trimestrielle!JY20</f>
        <v>5.4917610870000004</v>
      </c>
      <c r="C162" s="587">
        <f>Base_Trimestrielle!JZ20</f>
        <v>5.6720388760000002</v>
      </c>
      <c r="D162" s="589">
        <f>Base_Trimestrielle!KA20</f>
        <v>6.0248892569999999</v>
      </c>
      <c r="E162" s="589">
        <f>Base_Trimestrielle!KB20</f>
        <v>6.2092985410000008</v>
      </c>
      <c r="F162" s="590">
        <f>Base_Trimestrielle!KC20</f>
        <v>6.3130789939999996</v>
      </c>
      <c r="G162" s="1379">
        <f t="shared" si="10"/>
        <v>1.6713716100898779</v>
      </c>
      <c r="H162" s="1340">
        <f t="shared" si="11"/>
        <v>14.955455890901881</v>
      </c>
      <c r="I162" s="529"/>
      <c r="J162" s="529"/>
    </row>
    <row r="163" spans="1:10">
      <c r="A163" s="1310"/>
      <c r="B163" s="688"/>
      <c r="C163" s="594"/>
      <c r="D163" s="67"/>
      <c r="E163" s="67"/>
      <c r="F163" s="595"/>
      <c r="G163" s="1376" t="str">
        <f t="shared" si="10"/>
        <v/>
      </c>
      <c r="H163" s="1338" t="str">
        <f t="shared" si="11"/>
        <v/>
      </c>
      <c r="I163" s="529"/>
      <c r="J163" s="529"/>
    </row>
    <row r="164" spans="1:10">
      <c r="A164" s="1384" t="s">
        <v>480</v>
      </c>
      <c r="B164" s="599"/>
      <c r="C164" s="587"/>
      <c r="D164" s="589"/>
      <c r="E164" s="589"/>
      <c r="F164" s="590"/>
      <c r="G164" s="1379" t="str">
        <f t="shared" si="10"/>
        <v/>
      </c>
      <c r="H164" s="1340" t="str">
        <f t="shared" si="11"/>
        <v/>
      </c>
      <c r="I164" s="529"/>
      <c r="J164" s="529"/>
    </row>
    <row r="165" spans="1:10">
      <c r="A165" s="1383" t="s">
        <v>481</v>
      </c>
      <c r="B165" s="585">
        <f>Base_Trimestrielle!JY21</f>
        <v>1262.7449119200003</v>
      </c>
      <c r="C165" s="581">
        <f>Base_Trimestrielle!JZ21</f>
        <v>1243.6039750799998</v>
      </c>
      <c r="D165" s="583">
        <f>Base_Trimestrielle!KA21</f>
        <v>1349.5134398269997</v>
      </c>
      <c r="E165" s="583">
        <f>Base_Trimestrielle!KB21</f>
        <v>1335.9944169970001</v>
      </c>
      <c r="F165" s="584">
        <f>Base_Trimestrielle!KC21</f>
        <v>1382.586212357</v>
      </c>
      <c r="G165" s="1378">
        <f t="shared" si="10"/>
        <v>3.4874244059138526</v>
      </c>
      <c r="H165" s="1334">
        <f t="shared" si="11"/>
        <v>9.4905391663611116</v>
      </c>
      <c r="I165" s="529"/>
      <c r="J165" s="529"/>
    </row>
    <row r="166" spans="1:10">
      <c r="A166" s="1384" t="s">
        <v>445</v>
      </c>
      <c r="B166" s="599">
        <f>Base_Trimestrielle!JY22</f>
        <v>967.05458406800005</v>
      </c>
      <c r="C166" s="587">
        <f>Base_Trimestrielle!JZ22</f>
        <v>983.01278639199995</v>
      </c>
      <c r="D166" s="589">
        <f>Base_Trimestrielle!KA22</f>
        <v>1063.3675368239999</v>
      </c>
      <c r="E166" s="589">
        <f>Base_Trimestrielle!KB22</f>
        <v>1063.2407808160001</v>
      </c>
      <c r="F166" s="590">
        <f>Base_Trimestrielle!KC22</f>
        <v>1147.2083511620001</v>
      </c>
      <c r="G166" s="1379">
        <f t="shared" si="10"/>
        <v>7.8973240926253574</v>
      </c>
      <c r="H166" s="1340">
        <f t="shared" si="11"/>
        <v>18.629120844054881</v>
      </c>
      <c r="I166" s="529"/>
      <c r="J166" s="529"/>
    </row>
    <row r="167" spans="1:10">
      <c r="A167" s="1383" t="s">
        <v>482</v>
      </c>
      <c r="B167" s="585">
        <f>Base_Trimestrielle!JY23</f>
        <v>294.930697839</v>
      </c>
      <c r="C167" s="581">
        <f>Base_Trimestrielle!JZ23</f>
        <v>259.709949118</v>
      </c>
      <c r="D167" s="583">
        <f>Base_Trimestrielle!KA23</f>
        <v>285.45785220099998</v>
      </c>
      <c r="E167" s="583">
        <f>Base_Trimestrielle!KB23</f>
        <v>271.90934717099998</v>
      </c>
      <c r="F167" s="584">
        <f>Base_Trimestrielle!KC23</f>
        <v>234.04799452200001</v>
      </c>
      <c r="G167" s="1378">
        <f t="shared" si="10"/>
        <v>-13.924255654657392</v>
      </c>
      <c r="H167" s="1334">
        <f t="shared" si="11"/>
        <v>-20.64305403374297</v>
      </c>
      <c r="I167" s="529"/>
      <c r="J167" s="529"/>
    </row>
    <row r="168" spans="1:10">
      <c r="A168" s="1384" t="s">
        <v>483</v>
      </c>
      <c r="B168" s="599">
        <f>Base_Trimestrielle!JY24</f>
        <v>0.75963001299999999</v>
      </c>
      <c r="C168" s="587">
        <f>Base_Trimestrielle!JZ24</f>
        <v>0.88123956999999997</v>
      </c>
      <c r="D168" s="589">
        <f>Base_Trimestrielle!KA24</f>
        <v>0.68805080200000002</v>
      </c>
      <c r="E168" s="589">
        <f>Base_Trimestrielle!KB24</f>
        <v>0.84428901000000001</v>
      </c>
      <c r="F168" s="590">
        <f>Base_Trimestrielle!KC24</f>
        <v>1.3298666729999999</v>
      </c>
      <c r="G168" s="1379">
        <f t="shared" si="10"/>
        <v>57.513204275867565</v>
      </c>
      <c r="H168" s="1340">
        <f t="shared" si="11"/>
        <v>75.067684299093116</v>
      </c>
      <c r="I168" s="529"/>
      <c r="J168" s="529"/>
    </row>
    <row r="169" spans="1:10">
      <c r="A169" s="1310"/>
      <c r="B169" s="688"/>
      <c r="C169" s="594"/>
      <c r="D169" s="67"/>
      <c r="E169" s="67"/>
      <c r="F169" s="595"/>
      <c r="G169" s="1376"/>
      <c r="H169" s="1338"/>
      <c r="I169" s="529"/>
      <c r="J169" s="529"/>
    </row>
    <row r="170" spans="1:10">
      <c r="A170" s="1383" t="s">
        <v>472</v>
      </c>
      <c r="B170" s="585"/>
      <c r="C170" s="594"/>
      <c r="D170" s="67"/>
      <c r="E170" s="67"/>
      <c r="F170" s="595"/>
      <c r="G170" s="1378"/>
      <c r="H170" s="1334"/>
      <c r="I170" s="529"/>
      <c r="J170" s="529"/>
    </row>
    <row r="171" spans="1:10">
      <c r="A171" s="1384" t="s">
        <v>484</v>
      </c>
      <c r="B171" s="599">
        <f>Base_Trimestrielle!JY26</f>
        <v>0.77700933500000002</v>
      </c>
      <c r="C171" s="587">
        <f>Base_Trimestrielle!JZ26</f>
        <v>3.91654276</v>
      </c>
      <c r="D171" s="589">
        <f>Base_Trimestrielle!KA26</f>
        <v>4.2606470080000003</v>
      </c>
      <c r="E171" s="589">
        <f>Base_Trimestrielle!KB26</f>
        <v>4.3275082450000006</v>
      </c>
      <c r="F171" s="590">
        <f>Base_Trimestrielle!KC26</f>
        <v>3.6631229470000002</v>
      </c>
      <c r="G171" s="1379">
        <f t="shared" ref="G171:G176" si="12">+IF(E171=0,"",(F171/E171-1)*100)</f>
        <v>-15.352606173948502</v>
      </c>
      <c r="H171" s="1340">
        <f t="shared" ref="H171:H176" si="13">+IF(B171=0,"",(F171/B171-1)*100)</f>
        <v>371.43873078436053</v>
      </c>
      <c r="I171" s="529"/>
      <c r="J171" s="529"/>
    </row>
    <row r="172" spans="1:10">
      <c r="A172" s="1310" t="s">
        <v>485</v>
      </c>
      <c r="B172" s="688">
        <f>Base_Trimestrielle!JY29</f>
        <v>0.77700933500000002</v>
      </c>
      <c r="C172" s="594">
        <f>Base_Trimestrielle!JZ29</f>
        <v>3.91654276</v>
      </c>
      <c r="D172" s="67">
        <f>Base_Trimestrielle!KA29</f>
        <v>4.2606470080000003</v>
      </c>
      <c r="E172" s="67">
        <f>Base_Trimestrielle!KB29</f>
        <v>4.3275082450000006</v>
      </c>
      <c r="F172" s="595">
        <f>Base_Trimestrielle!KC29</f>
        <v>3.6631229470000002</v>
      </c>
      <c r="G172" s="1376">
        <f t="shared" si="12"/>
        <v>-15.352606173948502</v>
      </c>
      <c r="H172" s="1338">
        <f t="shared" si="13"/>
        <v>371.43873078436053</v>
      </c>
      <c r="I172" s="529"/>
      <c r="J172" s="529"/>
    </row>
    <row r="173" spans="1:10">
      <c r="A173" s="1383" t="s">
        <v>472</v>
      </c>
      <c r="B173" s="585"/>
      <c r="C173" s="581"/>
      <c r="D173" s="583"/>
      <c r="E173" s="583"/>
      <c r="F173" s="584"/>
      <c r="G173" s="1378" t="str">
        <f t="shared" si="12"/>
        <v/>
      </c>
      <c r="H173" s="1334" t="str">
        <f t="shared" si="13"/>
        <v/>
      </c>
      <c r="I173" s="529"/>
      <c r="J173" s="529"/>
    </row>
    <row r="174" spans="1:10">
      <c r="A174" s="1384" t="s">
        <v>486</v>
      </c>
      <c r="B174" s="599">
        <f>Base_Trimestrielle!JY33</f>
        <v>0.50266335600000001</v>
      </c>
      <c r="C174" s="587">
        <f>Base_Trimestrielle!JZ33</f>
        <v>9.1908899690000005</v>
      </c>
      <c r="D174" s="589">
        <f>Base_Trimestrielle!KA33</f>
        <v>25.694465849</v>
      </c>
      <c r="E174" s="589">
        <f>Base_Trimestrielle!KB33</f>
        <v>37.880316149999999</v>
      </c>
      <c r="F174" s="590">
        <f>Base_Trimestrielle!KC33</f>
        <v>0.48906951300000001</v>
      </c>
      <c r="G174" s="1379">
        <f t="shared" si="12"/>
        <v>-98.708908576519363</v>
      </c>
      <c r="H174" s="1340">
        <f t="shared" si="13"/>
        <v>-2.7043632358989766</v>
      </c>
      <c r="I174" s="529"/>
      <c r="J174" s="529"/>
    </row>
    <row r="175" spans="1:10">
      <c r="A175" s="1310" t="s">
        <v>472</v>
      </c>
      <c r="B175" s="688"/>
      <c r="C175" s="594"/>
      <c r="D175" s="67"/>
      <c r="E175" s="67"/>
      <c r="F175" s="595"/>
      <c r="G175" s="1376" t="str">
        <f t="shared" si="12"/>
        <v/>
      </c>
      <c r="H175" s="1338" t="str">
        <f t="shared" si="13"/>
        <v/>
      </c>
      <c r="I175" s="529"/>
      <c r="J175" s="529"/>
    </row>
    <row r="176" spans="1:10">
      <c r="A176" s="1382" t="s">
        <v>487</v>
      </c>
      <c r="B176" s="689">
        <f>Base_Trimestrielle!JY34</f>
        <v>0.66568199899998581</v>
      </c>
      <c r="C176" s="591">
        <f>Base_Trimestrielle!JZ34</f>
        <v>-62.84993510000001</v>
      </c>
      <c r="D176" s="597">
        <f>Base_Trimestrielle!KA34</f>
        <v>-6.0684683249999862</v>
      </c>
      <c r="E176" s="597">
        <f>Base_Trimestrielle!KB34</f>
        <v>-4.3351540729999725</v>
      </c>
      <c r="F176" s="598">
        <f>Base_Trimestrielle!KC34</f>
        <v>-35.522310943000001</v>
      </c>
      <c r="G176" s="1377">
        <f t="shared" si="12"/>
        <v>719.40134871419195</v>
      </c>
      <c r="H176" s="1336">
        <f t="shared" si="13"/>
        <v>-5436.2282585923967</v>
      </c>
      <c r="I176" s="529"/>
      <c r="J176" s="529"/>
    </row>
    <row r="177" spans="1:10">
      <c r="A177" s="625" t="s">
        <v>463</v>
      </c>
      <c r="B177" s="67"/>
      <c r="C177" s="626"/>
      <c r="D177" s="626"/>
      <c r="E177" s="67"/>
      <c r="F177" s="67"/>
      <c r="G177" s="31"/>
      <c r="H177" s="31"/>
      <c r="I177" s="529"/>
      <c r="J177" s="529"/>
    </row>
    <row r="178" spans="1:10">
      <c r="A178" s="625"/>
      <c r="B178" s="67"/>
      <c r="C178" s="626"/>
      <c r="D178" s="626"/>
      <c r="E178" s="67"/>
      <c r="F178" s="67"/>
      <c r="G178" s="31"/>
      <c r="H178" s="31"/>
      <c r="I178" s="529"/>
      <c r="J178" s="529"/>
    </row>
    <row r="179" spans="1:10">
      <c r="A179" s="625"/>
      <c r="B179" s="67"/>
      <c r="C179" s="626"/>
      <c r="D179" s="626"/>
      <c r="E179" s="67"/>
      <c r="F179" s="67"/>
      <c r="G179" s="31"/>
      <c r="H179" s="31"/>
      <c r="I179" s="529"/>
      <c r="J179" s="529"/>
    </row>
    <row r="180" spans="1:10">
      <c r="A180" s="86" t="s">
        <v>504</v>
      </c>
      <c r="B180" s="67"/>
      <c r="C180" s="530"/>
      <c r="D180" s="530"/>
      <c r="E180" s="67"/>
      <c r="F180" s="67"/>
      <c r="G180" s="31"/>
      <c r="H180" s="31"/>
      <c r="I180" s="529"/>
      <c r="J180" s="529"/>
    </row>
    <row r="181" spans="1:10">
      <c r="A181" s="68"/>
      <c r="B181" s="67"/>
      <c r="C181" s="530"/>
      <c r="D181" s="530"/>
      <c r="E181" s="67"/>
      <c r="F181" s="67"/>
      <c r="G181" s="31"/>
      <c r="H181" s="31"/>
      <c r="I181" s="529"/>
      <c r="J181" s="529"/>
    </row>
    <row r="182" spans="1:10">
      <c r="A182" s="31"/>
      <c r="B182" s="2070" t="s">
        <v>439</v>
      </c>
      <c r="C182" s="2074"/>
      <c r="D182" s="2074"/>
      <c r="E182" s="2074"/>
      <c r="F182" s="2074"/>
      <c r="G182" s="2067" t="s">
        <v>18</v>
      </c>
      <c r="H182" s="2069"/>
      <c r="I182" s="529"/>
      <c r="J182" s="529"/>
    </row>
    <row r="183" spans="1:10" ht="24.6">
      <c r="A183" s="679"/>
      <c r="B183" s="680" t="str">
        <f>Base_Trimestrielle!LA4</f>
        <v>4T2022</v>
      </c>
      <c r="C183" s="680" t="str">
        <f>Base_Trimestrielle!LB4</f>
        <v>1T2023</v>
      </c>
      <c r="D183" s="681" t="str">
        <f>Base_Trimestrielle!LC4</f>
        <v>2T2023</v>
      </c>
      <c r="E183" s="681" t="str">
        <f>Base_Trimestrielle!LD4</f>
        <v>3T2023</v>
      </c>
      <c r="F183" s="682" t="str">
        <f>Base_Trimestrielle!LE4</f>
        <v>4T2023</v>
      </c>
      <c r="G183" s="466" t="s">
        <v>503</v>
      </c>
      <c r="H183" s="449" t="s">
        <v>20</v>
      </c>
      <c r="I183" s="529"/>
      <c r="J183" s="529"/>
    </row>
    <row r="184" spans="1:10">
      <c r="A184" s="1589" t="s">
        <v>490</v>
      </c>
      <c r="B184" s="1589"/>
      <c r="C184" s="1589"/>
      <c r="D184" s="1589"/>
      <c r="E184" s="1589"/>
      <c r="F184" s="1589"/>
      <c r="G184" s="1589"/>
      <c r="H184" s="1589"/>
      <c r="I184" s="529"/>
      <c r="J184" s="529"/>
    </row>
    <row r="185" spans="1:10">
      <c r="A185" s="669" t="s">
        <v>454</v>
      </c>
      <c r="B185" s="661">
        <f>Base_Trimestrielle!LA9</f>
        <v>2596.1610000000001</v>
      </c>
      <c r="C185" s="637">
        <f>Base_Trimestrielle!LB9</f>
        <v>2049.4349999999999</v>
      </c>
      <c r="D185" s="637">
        <f>Base_Trimestrielle!LC9</f>
        <v>2274.326</v>
      </c>
      <c r="E185" s="637">
        <f>Base_Trimestrielle!LD9</f>
        <v>2278.5110000000004</v>
      </c>
      <c r="F185" s="638">
        <f>Base_Trimestrielle!LE9</f>
        <v>1998.8049999999998</v>
      </c>
      <c r="G185" s="687">
        <f t="shared" ref="G185:G219" si="14">+IF(E185=0,"",(F185/E185-1)*100)</f>
        <v>-12.275823992072043</v>
      </c>
      <c r="H185" s="1386">
        <f t="shared" ref="H185:H219" si="15">+IF(B185=0,"",(F185/B185-1)*100)</f>
        <v>-23.009204745006194</v>
      </c>
      <c r="I185" s="529"/>
      <c r="J185" s="529"/>
    </row>
    <row r="186" spans="1:10">
      <c r="A186" s="639" t="s">
        <v>470</v>
      </c>
      <c r="B186" s="410">
        <f>Base_Trimestrielle!LA10</f>
        <v>2968.3040000000001</v>
      </c>
      <c r="C186" s="67">
        <f>Base_Trimestrielle!LB10</f>
        <v>2795.2429999999999</v>
      </c>
      <c r="D186" s="67">
        <f>Base_Trimestrielle!LC10</f>
        <v>2699.6080000000002</v>
      </c>
      <c r="E186" s="67">
        <f>Base_Trimestrielle!LD10</f>
        <v>2636.6230000000005</v>
      </c>
      <c r="F186" s="595">
        <f>Base_Trimestrielle!LE10</f>
        <v>2624.3069999999998</v>
      </c>
      <c r="G186" s="1376">
        <f t="shared" si="14"/>
        <v>-0.46711266646770611</v>
      </c>
      <c r="H186" s="769">
        <f t="shared" si="15"/>
        <v>-11.589008403451951</v>
      </c>
      <c r="I186" s="529"/>
      <c r="J186" s="529"/>
    </row>
    <row r="187" spans="1:10">
      <c r="A187" s="665" t="s">
        <v>471</v>
      </c>
      <c r="B187" s="691">
        <f>Base_Trimestrielle!LA11</f>
        <v>-372.14300000000003</v>
      </c>
      <c r="C187" s="597">
        <f>Base_Trimestrielle!LB11</f>
        <v>-745.80799999999999</v>
      </c>
      <c r="D187" s="597">
        <f>Base_Trimestrielle!LC11</f>
        <v>-425.2820000000001</v>
      </c>
      <c r="E187" s="597">
        <f>Base_Trimestrielle!LD11</f>
        <v>-358.11200000000002</v>
      </c>
      <c r="F187" s="598">
        <f>Base_Trimestrielle!LE11</f>
        <v>-625.50199999999995</v>
      </c>
      <c r="G187" s="1377">
        <f t="shared" si="14"/>
        <v>74.666584755607175</v>
      </c>
      <c r="H187" s="1387">
        <f t="shared" si="15"/>
        <v>68.08108710898766</v>
      </c>
      <c r="I187" s="529"/>
      <c r="J187" s="529"/>
    </row>
    <row r="188" spans="1:10">
      <c r="A188" s="639" t="s">
        <v>472</v>
      </c>
      <c r="B188" s="692"/>
      <c r="C188" s="583"/>
      <c r="D188" s="583"/>
      <c r="E188" s="583"/>
      <c r="F188" s="584"/>
      <c r="G188" s="1378" t="str">
        <f t="shared" si="14"/>
        <v/>
      </c>
      <c r="H188" s="1388" t="str">
        <f t="shared" si="15"/>
        <v/>
      </c>
      <c r="I188" s="529"/>
      <c r="J188" s="529"/>
    </row>
    <row r="189" spans="1:10">
      <c r="A189" s="669" t="s">
        <v>491</v>
      </c>
      <c r="B189" s="661">
        <f>Base_Trimestrielle!LA13</f>
        <v>510.38700000000006</v>
      </c>
      <c r="C189" s="589">
        <f>Base_Trimestrielle!LB13</f>
        <v>379.733</v>
      </c>
      <c r="D189" s="589">
        <f>Base_Trimestrielle!LC13</f>
        <v>528.58299999999997</v>
      </c>
      <c r="E189" s="589">
        <f>Base_Trimestrielle!LD13</f>
        <v>393.78200000000004</v>
      </c>
      <c r="F189" s="590">
        <f>Base_Trimestrielle!LE13</f>
        <v>433.61</v>
      </c>
      <c r="G189" s="1593">
        <f t="shared" si="14"/>
        <v>10.11422563753548</v>
      </c>
      <c r="H189" s="1389">
        <f t="shared" si="15"/>
        <v>-15.042898819915095</v>
      </c>
      <c r="I189" s="529"/>
      <c r="J189" s="529"/>
    </row>
    <row r="190" spans="1:10">
      <c r="A190" s="639" t="s">
        <v>492</v>
      </c>
      <c r="B190" s="410">
        <f>Base_Trimestrielle!LA14</f>
        <v>131.74100000000001</v>
      </c>
      <c r="C190" s="67">
        <f>Base_Trimestrielle!LB14</f>
        <v>117.81</v>
      </c>
      <c r="D190" s="67">
        <f>Base_Trimestrielle!LC14</f>
        <v>133.31899999999999</v>
      </c>
      <c r="E190" s="67">
        <f>Base_Trimestrielle!LD14</f>
        <v>123.535</v>
      </c>
      <c r="F190" s="595">
        <f>Base_Trimestrielle!LE14</f>
        <v>154.542</v>
      </c>
      <c r="G190" s="1376">
        <f t="shared" si="14"/>
        <v>25.099769296150896</v>
      </c>
      <c r="H190" s="769">
        <f t="shared" si="15"/>
        <v>17.307444151782647</v>
      </c>
      <c r="I190" s="529"/>
      <c r="J190" s="529"/>
    </row>
    <row r="191" spans="1:10">
      <c r="A191" s="665" t="s">
        <v>493</v>
      </c>
      <c r="B191" s="691">
        <f>Base_Trimestrielle!LA15</f>
        <v>378.64600000000002</v>
      </c>
      <c r="C191" s="1590">
        <f>Base_Trimestrielle!LB15</f>
        <v>261.923</v>
      </c>
      <c r="D191" s="1590">
        <f>Base_Trimestrielle!LC15</f>
        <v>395.26400000000001</v>
      </c>
      <c r="E191" s="1590">
        <f>Base_Trimestrielle!LD15</f>
        <v>270.24700000000001</v>
      </c>
      <c r="F191" s="1591">
        <f>Base_Trimestrielle!LE15</f>
        <v>279.06800000000004</v>
      </c>
      <c r="G191" s="1592">
        <f t="shared" si="14"/>
        <v>3.2640510347941021</v>
      </c>
      <c r="H191" s="1387">
        <f t="shared" si="15"/>
        <v>-26.298442344564577</v>
      </c>
      <c r="I191" s="529"/>
      <c r="J191" s="529"/>
    </row>
    <row r="192" spans="1:10">
      <c r="A192" s="639" t="s">
        <v>505</v>
      </c>
      <c r="B192" s="410">
        <f>Base_Trimestrielle!LA16</f>
        <v>0</v>
      </c>
      <c r="C192" s="1594">
        <f>Base_Trimestrielle!LB16</f>
        <v>0</v>
      </c>
      <c r="D192" s="1594">
        <f>Base_Trimestrielle!LC16</f>
        <v>0</v>
      </c>
      <c r="E192" s="1594">
        <f>Base_Trimestrielle!LD16</f>
        <v>0</v>
      </c>
      <c r="F192" s="1595">
        <f>Base_Trimestrielle!LE16</f>
        <v>0</v>
      </c>
      <c r="G192" s="1324" t="str">
        <f t="shared" si="14"/>
        <v/>
      </c>
      <c r="H192" s="769" t="str">
        <f t="shared" si="15"/>
        <v/>
      </c>
      <c r="I192" s="529"/>
      <c r="J192" s="529"/>
    </row>
    <row r="193" spans="1:10">
      <c r="A193" s="693" t="s">
        <v>472</v>
      </c>
      <c r="B193" s="661"/>
      <c r="C193" s="589"/>
      <c r="D193" s="589"/>
      <c r="E193" s="589"/>
      <c r="F193" s="590"/>
      <c r="G193" s="1339" t="str">
        <f t="shared" si="14"/>
        <v/>
      </c>
      <c r="H193" s="1389" t="str">
        <f t="shared" si="15"/>
        <v/>
      </c>
      <c r="I193" s="529"/>
      <c r="J193" s="529"/>
    </row>
    <row r="194" spans="1:10">
      <c r="A194" s="643" t="s">
        <v>474</v>
      </c>
      <c r="B194" s="692">
        <f>Base_Trimestrielle!LA18</f>
        <v>81.490000000000009</v>
      </c>
      <c r="C194" s="583">
        <f>Base_Trimestrielle!LB18</f>
        <v>310.81400000000008</v>
      </c>
      <c r="D194" s="583">
        <f>Base_Trimestrielle!LC18</f>
        <v>282.13300000000004</v>
      </c>
      <c r="E194" s="583">
        <f>Base_Trimestrielle!LD18</f>
        <v>256.85500000000013</v>
      </c>
      <c r="F194" s="584">
        <f>Base_Trimestrielle!LE18</f>
        <v>243.69700000000012</v>
      </c>
      <c r="G194" s="1390">
        <f t="shared" si="14"/>
        <v>-5.1227346168071559</v>
      </c>
      <c r="H194" s="1388">
        <f t="shared" si="15"/>
        <v>199.05141735182244</v>
      </c>
      <c r="I194" s="529"/>
      <c r="J194" s="529"/>
    </row>
    <row r="195" spans="1:10">
      <c r="A195" s="639" t="s">
        <v>475</v>
      </c>
      <c r="B195" s="692">
        <f>Base_Trimestrielle!LA19</f>
        <v>1019.239</v>
      </c>
      <c r="C195" s="583">
        <f>Base_Trimestrielle!LB19</f>
        <v>1115.586</v>
      </c>
      <c r="D195" s="583">
        <f>Base_Trimestrielle!LC19</f>
        <v>1184.596</v>
      </c>
      <c r="E195" s="583">
        <f>Base_Trimestrielle!LD19</f>
        <v>1150.4490000000001</v>
      </c>
      <c r="F195" s="584">
        <f>Base_Trimestrielle!LE19</f>
        <v>1154.7450000000001</v>
      </c>
      <c r="G195" s="1378">
        <f t="shared" si="14"/>
        <v>0.37341942146067453</v>
      </c>
      <c r="H195" s="1388">
        <f t="shared" si="15"/>
        <v>13.294820939936569</v>
      </c>
      <c r="I195" s="529"/>
      <c r="J195" s="529"/>
    </row>
    <row r="196" spans="1:10">
      <c r="A196" s="665" t="s">
        <v>476</v>
      </c>
      <c r="B196" s="661">
        <f>Base_Trimestrielle!LA20</f>
        <v>-937.74900000000002</v>
      </c>
      <c r="C196" s="589">
        <f>Base_Trimestrielle!LB20</f>
        <v>-804.77199999999993</v>
      </c>
      <c r="D196" s="589">
        <f>Base_Trimestrielle!LC20</f>
        <v>-902.46299999999997</v>
      </c>
      <c r="E196" s="589">
        <f>Base_Trimestrielle!LD20</f>
        <v>-893.59399999999994</v>
      </c>
      <c r="F196" s="590">
        <f>Base_Trimestrielle!LE20</f>
        <v>-911.048</v>
      </c>
      <c r="G196" s="1379">
        <f t="shared" si="14"/>
        <v>1.9532360333663901</v>
      </c>
      <c r="H196" s="1389">
        <f t="shared" si="15"/>
        <v>-2.8473504103976643</v>
      </c>
      <c r="I196" s="529"/>
      <c r="J196" s="529"/>
    </row>
    <row r="197" spans="1:10">
      <c r="A197" s="694" t="s">
        <v>472</v>
      </c>
      <c r="B197" s="692"/>
      <c r="C197" s="583"/>
      <c r="D197" s="583"/>
      <c r="E197" s="583"/>
      <c r="F197" s="584"/>
      <c r="G197" s="1378" t="str">
        <f t="shared" si="14"/>
        <v/>
      </c>
      <c r="H197" s="1388" t="str">
        <f t="shared" si="15"/>
        <v/>
      </c>
      <c r="I197" s="529"/>
      <c r="J197" s="529"/>
    </row>
    <row r="198" spans="1:10">
      <c r="A198" s="669" t="s">
        <v>477</v>
      </c>
      <c r="B198" s="691">
        <f>Base_Trimestrielle!LA22</f>
        <v>4244.9210000000003</v>
      </c>
      <c r="C198" s="597">
        <f>Base_Trimestrielle!LB22</f>
        <v>3975.3029999999999</v>
      </c>
      <c r="D198" s="597">
        <f>Base_Trimestrielle!LC22</f>
        <v>4143.2060000000001</v>
      </c>
      <c r="E198" s="597">
        <f>Base_Trimestrielle!LD22</f>
        <v>4336.0569999999998</v>
      </c>
      <c r="F198" s="598">
        <f>Base_Trimestrielle!LE22</f>
        <v>4312.223</v>
      </c>
      <c r="G198" s="1377">
        <f t="shared" si="14"/>
        <v>-0.54966989594462667</v>
      </c>
      <c r="H198" s="1387">
        <f t="shared" si="15"/>
        <v>1.5854712019375494</v>
      </c>
      <c r="I198" s="529"/>
      <c r="J198" s="529"/>
    </row>
    <row r="199" spans="1:10">
      <c r="A199" s="639" t="s">
        <v>478</v>
      </c>
      <c r="B199" s="410">
        <f>Base_Trimestrielle!LA23</f>
        <v>59.407000000000004</v>
      </c>
      <c r="C199" s="67">
        <f>Base_Trimestrielle!LB23</f>
        <v>43.541000000000004</v>
      </c>
      <c r="D199" s="67">
        <f>Base_Trimestrielle!LC23</f>
        <v>64.765000000000001</v>
      </c>
      <c r="E199" s="67">
        <f>Base_Trimestrielle!LD23</f>
        <v>68.712000000000003</v>
      </c>
      <c r="F199" s="595">
        <f>Base_Trimestrielle!LE23</f>
        <v>72.391000000000005</v>
      </c>
      <c r="G199" s="1376">
        <f t="shared" si="14"/>
        <v>5.3542321574106433</v>
      </c>
      <c r="H199" s="769">
        <f t="shared" si="15"/>
        <v>21.85601023448416</v>
      </c>
      <c r="I199" s="529"/>
      <c r="J199" s="529"/>
    </row>
    <row r="200" spans="1:10">
      <c r="A200" s="665" t="s">
        <v>494</v>
      </c>
      <c r="B200" s="661">
        <f>Base_Trimestrielle!LA24</f>
        <v>154.69300000000001</v>
      </c>
      <c r="C200" s="589">
        <f>Base_Trimestrielle!LB24</f>
        <v>15.304</v>
      </c>
      <c r="D200" s="589">
        <f>Base_Trimestrielle!LC24</f>
        <v>15.122999999999999</v>
      </c>
      <c r="E200" s="589">
        <f>Base_Trimestrielle!LD24</f>
        <v>5.29</v>
      </c>
      <c r="F200" s="590">
        <f>Base_Trimestrielle!LE24</f>
        <v>5.3620000000000001</v>
      </c>
      <c r="G200" s="1379"/>
      <c r="H200" s="1389"/>
      <c r="I200" s="529"/>
      <c r="J200" s="529"/>
    </row>
    <row r="201" spans="1:10">
      <c r="A201" s="639" t="s">
        <v>495</v>
      </c>
      <c r="B201" s="410">
        <f>Base_Trimestrielle!LA25</f>
        <v>359.95600000000002</v>
      </c>
      <c r="C201" s="67">
        <f>Base_Trimestrielle!LB25</f>
        <v>343.779</v>
      </c>
      <c r="D201" s="67">
        <f>Base_Trimestrielle!LC25</f>
        <v>403.38900000000001</v>
      </c>
      <c r="E201" s="67">
        <f>Base_Trimestrielle!LD25</f>
        <v>353.37</v>
      </c>
      <c r="F201" s="595">
        <f>Base_Trimestrielle!LE25</f>
        <v>347.82799999999997</v>
      </c>
      <c r="G201" s="1376">
        <f t="shared" si="14"/>
        <v>-1.5683278150380731</v>
      </c>
      <c r="H201" s="769">
        <f t="shared" si="15"/>
        <v>-3.3693006923068536</v>
      </c>
      <c r="I201" s="529"/>
      <c r="J201" s="529"/>
    </row>
    <row r="202" spans="1:10">
      <c r="A202" s="665" t="s">
        <v>479</v>
      </c>
      <c r="B202" s="691">
        <f>Base_Trimestrielle!LA26</f>
        <v>3670.8649999999998</v>
      </c>
      <c r="C202" s="597">
        <f>Base_Trimestrielle!LB26</f>
        <v>3572.6790000000001</v>
      </c>
      <c r="D202" s="597">
        <f>Base_Trimestrielle!LC26</f>
        <v>3659.9290000000001</v>
      </c>
      <c r="E202" s="597">
        <f>Base_Trimestrielle!LD26</f>
        <v>3908.6849999999999</v>
      </c>
      <c r="F202" s="598">
        <f>Base_Trimestrielle!LE26</f>
        <v>3886.6419999999998</v>
      </c>
      <c r="G202" s="1377">
        <f t="shared" si="14"/>
        <v>-0.56394925659141171</v>
      </c>
      <c r="H202" s="1387">
        <f t="shared" si="15"/>
        <v>5.8780968518319376</v>
      </c>
      <c r="I202" s="529"/>
      <c r="J202" s="529"/>
    </row>
    <row r="203" spans="1:10">
      <c r="A203" s="694" t="s">
        <v>472</v>
      </c>
      <c r="B203" s="410"/>
      <c r="C203" s="67"/>
      <c r="D203" s="67"/>
      <c r="E203" s="67"/>
      <c r="F203" s="595"/>
      <c r="G203" s="1376" t="str">
        <f t="shared" si="14"/>
        <v/>
      </c>
      <c r="H203" s="769" t="str">
        <f t="shared" si="15"/>
        <v/>
      </c>
      <c r="I203" s="529"/>
      <c r="J203" s="529"/>
    </row>
    <row r="204" spans="1:10">
      <c r="A204" s="1589" t="s">
        <v>496</v>
      </c>
      <c r="B204" s="1589"/>
      <c r="C204" s="1589"/>
      <c r="D204" s="1589"/>
      <c r="E204" s="1589"/>
      <c r="F204" s="1589"/>
      <c r="G204" s="1589" t="str">
        <f t="shared" si="14"/>
        <v/>
      </c>
      <c r="H204" s="1589" t="str">
        <f t="shared" si="15"/>
        <v/>
      </c>
      <c r="I204" s="529"/>
      <c r="J204" s="529"/>
    </row>
    <row r="205" spans="1:10">
      <c r="A205" s="1588" t="s">
        <v>497</v>
      </c>
      <c r="B205" s="661">
        <f>Base_Trimestrielle!LA29</f>
        <v>1670.4850000000001</v>
      </c>
      <c r="C205" s="589">
        <f>Base_Trimestrielle!LB29</f>
        <v>1544.69</v>
      </c>
      <c r="D205" s="589">
        <f>Base_Trimestrielle!LC29</f>
        <v>1644.2049999999999</v>
      </c>
      <c r="E205" s="589">
        <f>Base_Trimestrielle!LD29</f>
        <v>1647.8049999999998</v>
      </c>
      <c r="F205" s="590">
        <f>Base_Trimestrielle!LE29</f>
        <v>1508.2710000000002</v>
      </c>
      <c r="G205" s="1593">
        <f t="shared" si="14"/>
        <v>-8.4678708949177626</v>
      </c>
      <c r="H205" s="1389">
        <f t="shared" si="15"/>
        <v>-9.7105930313651339</v>
      </c>
      <c r="I205" s="529"/>
      <c r="J205" s="529"/>
    </row>
    <row r="206" spans="1:10">
      <c r="A206" s="692" t="s">
        <v>472</v>
      </c>
      <c r="B206" s="410"/>
      <c r="C206" s="67"/>
      <c r="D206" s="67"/>
      <c r="E206" s="67"/>
      <c r="F206" s="595"/>
      <c r="G206" s="1376" t="str">
        <f t="shared" si="14"/>
        <v/>
      </c>
      <c r="H206" s="769" t="str">
        <f t="shared" si="15"/>
        <v/>
      </c>
      <c r="I206" s="529"/>
      <c r="J206" s="529"/>
    </row>
    <row r="207" spans="1:10">
      <c r="A207" s="1588" t="s">
        <v>498</v>
      </c>
      <c r="B207" s="661">
        <f>Base_Trimestrielle!LA31</f>
        <v>2511.9140000000002</v>
      </c>
      <c r="C207" s="589">
        <f>Base_Trimestrielle!LB31</f>
        <v>2248.4740000000002</v>
      </c>
      <c r="D207" s="589">
        <f>Base_Trimestrielle!LC31</f>
        <v>2388.5149999999999</v>
      </c>
      <c r="E207" s="589">
        <f>Base_Trimestrielle!LD31</f>
        <v>2391.0039999999999</v>
      </c>
      <c r="F207" s="590">
        <f>Base_Trimestrielle!LE31</f>
        <v>2189.17</v>
      </c>
      <c r="G207" s="1593">
        <f t="shared" si="14"/>
        <v>-8.4413911478190666</v>
      </c>
      <c r="H207" s="1389">
        <f t="shared" si="15"/>
        <v>-12.848529049959524</v>
      </c>
      <c r="I207" s="529"/>
      <c r="J207" s="529"/>
    </row>
    <row r="208" spans="1:10">
      <c r="A208" s="692" t="s">
        <v>472</v>
      </c>
      <c r="B208" s="692"/>
      <c r="C208" s="583"/>
      <c r="D208" s="583"/>
      <c r="E208" s="583"/>
      <c r="F208" s="584"/>
      <c r="G208" s="1378" t="str">
        <f t="shared" si="14"/>
        <v/>
      </c>
      <c r="H208" s="1388" t="str">
        <f t="shared" si="15"/>
        <v/>
      </c>
      <c r="I208" s="529"/>
      <c r="J208" s="529"/>
    </row>
    <row r="209" spans="1:10">
      <c r="A209" s="669" t="s">
        <v>499</v>
      </c>
      <c r="B209" s="642">
        <f>Base_Trimestrielle!LA33</f>
        <v>2073.8510000000001</v>
      </c>
      <c r="C209" s="587">
        <f>Base_Trimestrielle!LB33</f>
        <v>1969.057</v>
      </c>
      <c r="D209" s="589">
        <f>Base_Trimestrielle!LC33</f>
        <v>2130.6420000000003</v>
      </c>
      <c r="E209" s="589">
        <f>Base_Trimestrielle!LD33</f>
        <v>2152.6800000000003</v>
      </c>
      <c r="F209" s="590">
        <f>Base_Trimestrielle!LE33</f>
        <v>2073.8069999999998</v>
      </c>
      <c r="G209" s="1596">
        <f t="shared" si="14"/>
        <v>-3.663944478510528</v>
      </c>
      <c r="H209" s="590">
        <f t="shared" si="15"/>
        <v>-2.121656763209856E-3</v>
      </c>
      <c r="I209" s="529"/>
      <c r="J209" s="529"/>
    </row>
    <row r="210" spans="1:10">
      <c r="A210" s="643" t="s">
        <v>472</v>
      </c>
      <c r="B210" s="580"/>
      <c r="C210" s="581"/>
      <c r="D210" s="583"/>
      <c r="E210" s="583"/>
      <c r="F210" s="584"/>
      <c r="G210" s="1378" t="str">
        <f t="shared" si="14"/>
        <v/>
      </c>
      <c r="H210" s="1334" t="str">
        <f t="shared" si="15"/>
        <v/>
      </c>
      <c r="I210" s="529"/>
      <c r="J210" s="529"/>
    </row>
    <row r="211" spans="1:10">
      <c r="A211" s="669" t="s">
        <v>485</v>
      </c>
      <c r="B211" s="642">
        <f>Base_Trimestrielle!LA35</f>
        <v>289.28999999999996</v>
      </c>
      <c r="C211" s="587">
        <f>Base_Trimestrielle!LB35</f>
        <v>263.64299999999997</v>
      </c>
      <c r="D211" s="589">
        <f>Base_Trimestrielle!LC35</f>
        <v>285.96199999999999</v>
      </c>
      <c r="E211" s="589">
        <f>Base_Trimestrielle!LD35</f>
        <v>302.67899999999997</v>
      </c>
      <c r="F211" s="590">
        <f>Base_Trimestrielle!LE35</f>
        <v>380.92499999999995</v>
      </c>
      <c r="G211" s="1596">
        <f t="shared" si="14"/>
        <v>25.8511492373108</v>
      </c>
      <c r="H211" s="590">
        <f t="shared" si="15"/>
        <v>31.675827024784819</v>
      </c>
      <c r="I211" s="529"/>
      <c r="J211" s="529"/>
    </row>
    <row r="212" spans="1:10">
      <c r="A212" s="643" t="s">
        <v>472</v>
      </c>
      <c r="B212" s="1597"/>
      <c r="C212" s="581"/>
      <c r="D212" s="583"/>
      <c r="E212" s="583"/>
      <c r="F212" s="584"/>
      <c r="G212" s="1598" t="str">
        <f t="shared" si="14"/>
        <v/>
      </c>
      <c r="H212" s="584" t="str">
        <f t="shared" si="15"/>
        <v/>
      </c>
      <c r="I212" s="529"/>
      <c r="J212" s="529"/>
    </row>
    <row r="213" spans="1:10">
      <c r="A213" s="669" t="s">
        <v>506</v>
      </c>
      <c r="B213" s="642">
        <f>Base_Trimestrielle!LA37</f>
        <v>0</v>
      </c>
      <c r="C213" s="587">
        <f>Base_Trimestrielle!LB37</f>
        <v>0</v>
      </c>
      <c r="D213" s="589">
        <f>Base_Trimestrielle!LC37</f>
        <v>0</v>
      </c>
      <c r="E213" s="589">
        <f>Base_Trimestrielle!LD37</f>
        <v>0</v>
      </c>
      <c r="F213" s="590">
        <f>Base_Trimestrielle!LE37</f>
        <v>0</v>
      </c>
      <c r="G213" s="1596" t="str">
        <f t="shared" si="14"/>
        <v/>
      </c>
      <c r="H213" s="590" t="str">
        <f t="shared" si="15"/>
        <v/>
      </c>
      <c r="I213" s="529"/>
      <c r="J213" s="529"/>
    </row>
    <row r="214" spans="1:10">
      <c r="A214" s="643" t="s">
        <v>472</v>
      </c>
      <c r="B214" s="1597"/>
      <c r="C214" s="581"/>
      <c r="D214" s="583"/>
      <c r="E214" s="583"/>
      <c r="F214" s="584"/>
      <c r="G214" s="1598" t="str">
        <f t="shared" si="14"/>
        <v/>
      </c>
      <c r="H214" s="584" t="str">
        <f t="shared" si="15"/>
        <v/>
      </c>
      <c r="I214" s="529"/>
      <c r="J214" s="529"/>
    </row>
    <row r="215" spans="1:10">
      <c r="A215" s="669" t="s">
        <v>500</v>
      </c>
      <c r="B215" s="642">
        <f>Base_Trimestrielle!LA39</f>
        <v>59.491999999999997</v>
      </c>
      <c r="C215" s="587">
        <f>Base_Trimestrielle!LB39</f>
        <v>45.588999999999992</v>
      </c>
      <c r="D215" s="589">
        <f>Base_Trimestrielle!LC39</f>
        <v>101.01599999999999</v>
      </c>
      <c r="E215" s="589">
        <f>Base_Trimestrielle!LD39</f>
        <v>44.905000000000001</v>
      </c>
      <c r="F215" s="590">
        <f>Base_Trimestrielle!LE39</f>
        <v>73.088999999999999</v>
      </c>
      <c r="G215" s="1596">
        <f t="shared" si="14"/>
        <v>62.763612069925401</v>
      </c>
      <c r="H215" s="590">
        <f t="shared" si="15"/>
        <v>22.855173804881336</v>
      </c>
      <c r="I215" s="529"/>
      <c r="J215" s="529"/>
    </row>
    <row r="216" spans="1:10">
      <c r="A216" s="643" t="s">
        <v>472</v>
      </c>
      <c r="B216" s="1597"/>
      <c r="C216" s="581"/>
      <c r="D216" s="583"/>
      <c r="E216" s="583"/>
      <c r="F216" s="584"/>
      <c r="G216" s="1598" t="str">
        <f t="shared" si="14"/>
        <v/>
      </c>
      <c r="H216" s="584" t="str">
        <f t="shared" si="15"/>
        <v/>
      </c>
      <c r="I216" s="529"/>
      <c r="J216" s="529"/>
    </row>
    <row r="217" spans="1:10">
      <c r="A217" s="669" t="s">
        <v>486</v>
      </c>
      <c r="B217" s="642">
        <f>Base_Trimestrielle!LA41</f>
        <v>837.81899999999928</v>
      </c>
      <c r="C217" s="587">
        <f>Base_Trimestrielle!LB41</f>
        <v>731.08899999999994</v>
      </c>
      <c r="D217" s="589">
        <f>Base_Trimestrielle!LC41</f>
        <v>845.65099999999916</v>
      </c>
      <c r="E217" s="589">
        <f>Base_Trimestrielle!LD41</f>
        <v>900.38699999999858</v>
      </c>
      <c r="F217" s="590">
        <f>Base_Trimestrielle!LE41</f>
        <v>912.31500000000005</v>
      </c>
      <c r="G217" s="1596">
        <f t="shared" si="14"/>
        <v>1.3247636849489819</v>
      </c>
      <c r="H217" s="590">
        <f t="shared" si="15"/>
        <v>8.8916579834070077</v>
      </c>
      <c r="I217" s="529"/>
      <c r="J217" s="529"/>
    </row>
    <row r="218" spans="1:10">
      <c r="A218" s="643" t="s">
        <v>472</v>
      </c>
      <c r="B218" s="1597"/>
      <c r="C218" s="581"/>
      <c r="D218" s="583"/>
      <c r="E218" s="583"/>
      <c r="F218" s="584"/>
      <c r="G218" s="1598" t="str">
        <f t="shared" si="14"/>
        <v/>
      </c>
      <c r="H218" s="584" t="str">
        <f t="shared" si="15"/>
        <v/>
      </c>
      <c r="I218" s="529"/>
      <c r="J218" s="529"/>
    </row>
    <row r="219" spans="1:10" ht="12.6" thickBot="1">
      <c r="A219" s="676" t="s">
        <v>487</v>
      </c>
      <c r="B219" s="657">
        <f>Base_Trimestrielle!LA43</f>
        <v>-9.8920000000000528</v>
      </c>
      <c r="C219" s="653">
        <f>Base_Trimestrielle!LB43</f>
        <v>-87.257000000000005</v>
      </c>
      <c r="D219" s="655">
        <f>Base_Trimestrielle!LC43</f>
        <v>-167.74299999999999</v>
      </c>
      <c r="E219" s="655">
        <f>Base_Trimestrielle!LD43</f>
        <v>-174.25500000000005</v>
      </c>
      <c r="F219" s="656">
        <f>Base_Trimestrielle!LE43</f>
        <v>-149.24200000000008</v>
      </c>
      <c r="G219" s="1596">
        <f t="shared" si="14"/>
        <v>-14.354250954061554</v>
      </c>
      <c r="H219" s="590">
        <f t="shared" si="15"/>
        <v>1408.7141124140646</v>
      </c>
      <c r="I219" s="529"/>
      <c r="J219" s="529"/>
    </row>
  </sheetData>
  <mergeCells count="13">
    <mergeCell ref="B118:F118"/>
    <mergeCell ref="G118:H118"/>
    <mergeCell ref="B147:F147"/>
    <mergeCell ref="G147:H147"/>
    <mergeCell ref="B182:F182"/>
    <mergeCell ref="G182:H182"/>
    <mergeCell ref="B79:F79"/>
    <mergeCell ref="G79:H79"/>
    <mergeCell ref="A1:H1"/>
    <mergeCell ref="B5:F5"/>
    <mergeCell ref="G5:H5"/>
    <mergeCell ref="B40:F40"/>
    <mergeCell ref="G40:H40"/>
  </mergeCells>
  <pageMargins left="0.70866141732283472" right="0.70866141732283472" top="0.74803149606299213" bottom="0.74803149606299213" header="0.31496062992125984" footer="0.31496062992125984"/>
  <pageSetup paperSize="9" scale="70" firstPageNumber="6" orientation="portrait" r:id="rId1"/>
  <headerFooter>
    <oddFooter>&amp;L&amp;8Bulletin trimestriel de conjoncture, 4e trimestre 2023</oddFooter>
  </headerFooter>
  <rowBreaks count="2" manualBreakCount="2">
    <brk id="76" max="7" man="1"/>
    <brk id="144" max="16383" man="1"/>
  </rowBreaks>
  <colBreaks count="1" manualBreakCount="1">
    <brk id="8"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36"/>
  <dimension ref="A2:L79"/>
  <sheetViews>
    <sheetView workbookViewId="0">
      <pane xSplit="2" ySplit="3" topLeftCell="C67" activePane="bottomRight" state="frozen"/>
      <selection activeCell="I78" sqref="I78"/>
      <selection pane="topRight" activeCell="I78" sqref="I78"/>
      <selection pane="bottomLeft" activeCell="I78" sqref="I78"/>
      <selection pane="bottomRight" activeCell="I78" sqref="I78"/>
    </sheetView>
  </sheetViews>
  <sheetFormatPr baseColWidth="10" defaultRowHeight="12.3"/>
  <cols>
    <col min="8" max="8" width="12.83203125" bestFit="1" customWidth="1"/>
  </cols>
  <sheetData>
    <row r="2" spans="1:12" ht="12.6" thickBot="1"/>
    <row r="3" spans="1:12" ht="113.4" thickTop="1" thickBot="1">
      <c r="B3" s="121" t="s">
        <v>0</v>
      </c>
      <c r="C3" s="95" t="s">
        <v>1093</v>
      </c>
      <c r="D3" s="95" t="s">
        <v>539</v>
      </c>
      <c r="E3" s="95" t="s">
        <v>1094</v>
      </c>
      <c r="F3" s="121" t="s">
        <v>0</v>
      </c>
      <c r="G3" s="1906" t="s">
        <v>1095</v>
      </c>
      <c r="H3" s="305" t="s">
        <v>200</v>
      </c>
      <c r="I3" s="95" t="s">
        <v>86</v>
      </c>
      <c r="J3" s="95" t="s">
        <v>87</v>
      </c>
      <c r="K3" s="95" t="s">
        <v>170</v>
      </c>
      <c r="L3" s="95" t="s">
        <v>196</v>
      </c>
    </row>
    <row r="4" spans="1:12" ht="12.6" thickTop="1">
      <c r="A4" s="175">
        <f t="shared" ref="A4:A57" si="0">A5+1</f>
        <v>74</v>
      </c>
      <c r="B4" s="14">
        <f>INDEX(Base_Trimestrielle!$MK$74:$NL$276,MAX(Base_Trimestrielle!$NL$74:$NL$276)-A5,1)</f>
        <v>38504</v>
      </c>
      <c r="C4" s="733">
        <f>VLOOKUP($B4,Base_Trimestrielle!$MK$74:NL$276,3,0)</f>
        <v>0</v>
      </c>
      <c r="D4" s="570">
        <f>VLOOKUP($B4,Base_Trimestrielle!$MK$74:NL$276,28,0)</f>
        <v>22</v>
      </c>
      <c r="E4" s="570">
        <f>VLOOKUP($B4,Base_Trimestrielle!$MK$74:NL$276,12,0)</f>
        <v>0</v>
      </c>
      <c r="F4" s="14">
        <f>INDEX(Base_Trimestrielle!$MK$74:$NL$276,MAX(Base_Trimestrielle!$NL$74:$NL$276)-A5,1)</f>
        <v>38504</v>
      </c>
      <c r="G4" s="99">
        <f>VLOOKUP($B4,Base_Trimestrielle!$MK$74:NL$276,5,0)</f>
        <v>0</v>
      </c>
      <c r="H4" s="132">
        <f>VLOOKUP($B4,Base_Mensuelle!$DG$67:$DN$679,2,0)</f>
        <v>0</v>
      </c>
      <c r="I4" s="99">
        <f>VLOOKUP($B4,Base_Mensuelle!$CF$68:$CJ$679,2,0)</f>
        <v>1.1930501549999999</v>
      </c>
      <c r="J4" s="132">
        <f>VLOOKUP($B4,Base_Mensuelle!$CF$68:$CJ$679,3,0)</f>
        <v>430.65699999999998</v>
      </c>
      <c r="K4" s="19">
        <f>VLOOKUP($B4,Base_Mensuelle!$CY$67:$DE$679,5,0)</f>
        <v>256493</v>
      </c>
      <c r="L4" s="99">
        <f>VLOOKUP($B4,Base_Mensuelle!$CY$67:$DE$679,2,0)</f>
        <v>47.634544000000005</v>
      </c>
    </row>
    <row r="5" spans="1:12">
      <c r="A5" s="175">
        <f t="shared" si="0"/>
        <v>73</v>
      </c>
      <c r="B5" s="14">
        <f>INDEX(Base_Trimestrielle!$MK$74:$NL$276,MAX(Base_Trimestrielle!$NL$74:$NL$276)-A6,1)</f>
        <v>38596</v>
      </c>
      <c r="C5" s="733">
        <f>VLOOKUP($B5,Base_Trimestrielle!$MK$74:NL$276,3,0)</f>
        <v>0</v>
      </c>
      <c r="D5" s="570">
        <f>VLOOKUP($B5,Base_Trimestrielle!$MK$74:NL$276,28,0)</f>
        <v>23</v>
      </c>
      <c r="E5" s="99">
        <f>VLOOKUP($B5,Base_Trimestrielle!$MK$74:NL$276,12,0)</f>
        <v>0</v>
      </c>
      <c r="F5" s="14">
        <f>INDEX(Base_Trimestrielle!$MK$74:$NL$276,MAX(Base_Trimestrielle!$NL$74:$NL$276)-A6,1)</f>
        <v>38596</v>
      </c>
      <c r="G5" s="99">
        <f>VLOOKUP($B5,Base_Trimestrielle!$MK$74:NL$276,5,0)</f>
        <v>0</v>
      </c>
      <c r="H5" s="132">
        <f>VLOOKUP($B5,Base_Mensuelle!$DG$67:$DN$679,2,0)</f>
        <v>0</v>
      </c>
      <c r="I5" s="99">
        <f>VLOOKUP($B5,Base_Mensuelle!$CF$68:$CJ$679,2,0)</f>
        <v>1.21110320434783</v>
      </c>
      <c r="J5" s="132">
        <f>VLOOKUP($B5,Base_Mensuelle!$CF$68:$CJ$679,3,0)</f>
        <v>456.048</v>
      </c>
      <c r="K5" s="19">
        <f>VLOOKUP($B5,Base_Mensuelle!$CY$67:$DE$679,5,0)</f>
        <v>256493</v>
      </c>
      <c r="L5" s="99">
        <f>VLOOKUP($B5,Base_Mensuelle!$CY$67:$DE$679,2,0)</f>
        <v>39.373342000000001</v>
      </c>
    </row>
    <row r="6" spans="1:12">
      <c r="A6" s="175">
        <f t="shared" si="0"/>
        <v>72</v>
      </c>
      <c r="B6" s="14">
        <f>INDEX(Base_Trimestrielle!$MK$74:$NL$276,MAX(Base_Trimestrielle!$NL$74:$NL$276)-A7,1)</f>
        <v>38687</v>
      </c>
      <c r="C6" s="733">
        <f>VLOOKUP($B6,Base_Trimestrielle!$MK$74:NL$276,3,0)</f>
        <v>0</v>
      </c>
      <c r="D6" s="570">
        <f>VLOOKUP($B6,Base_Trimestrielle!$MK$74:NL$276,28,0)</f>
        <v>24</v>
      </c>
      <c r="E6" s="99">
        <f>VLOOKUP($B6,Base_Trimestrielle!$MK$74:NL$276,12,0)</f>
        <v>0</v>
      </c>
      <c r="F6" s="14">
        <f>INDEX(Base_Trimestrielle!$MK$74:$NL$276,MAX(Base_Trimestrielle!$NL$74:$NL$276)-A7,1)</f>
        <v>38687</v>
      </c>
      <c r="G6" s="99">
        <f>VLOOKUP($B6,Base_Trimestrielle!$MK$74:NL$276,5,0)</f>
        <v>0</v>
      </c>
      <c r="H6" s="132">
        <f>VLOOKUP($B6,Base_Mensuelle!$DG$67:$DN$679,2,0)</f>
        <v>0</v>
      </c>
      <c r="I6" s="99">
        <f>VLOOKUP($B6,Base_Mensuelle!$CF$68:$CJ$679,2,0)</f>
        <v>1.2493781960000001</v>
      </c>
      <c r="J6" s="132">
        <f>VLOOKUP($B6,Base_Mensuelle!$CF$68:$CJ$679,3,0)</f>
        <v>510.09699999999998</v>
      </c>
      <c r="K6" s="19">
        <f>VLOOKUP($B6,Base_Mensuelle!$CY$67:$DE$679,5,0)</f>
        <v>256493</v>
      </c>
      <c r="L6" s="99">
        <f>VLOOKUP($B6,Base_Mensuelle!$CY$67:$DE$679,2,0)</f>
        <v>44.203783999999999</v>
      </c>
    </row>
    <row r="7" spans="1:12">
      <c r="A7" s="175">
        <f t="shared" si="0"/>
        <v>71</v>
      </c>
      <c r="B7" s="14">
        <f>INDEX(Base_Trimestrielle!$MK$74:$NL$276,MAX(Base_Trimestrielle!$NL$74:$NL$276)-A8,1)</f>
        <v>38777</v>
      </c>
      <c r="C7" s="733">
        <f>VLOOKUP($B7,Base_Trimestrielle!$MK$74:NL$276,3,0)</f>
        <v>0</v>
      </c>
      <c r="D7" s="570">
        <f>VLOOKUP($B7,Base_Trimestrielle!$MK$74:NL$276,28,0)</f>
        <v>25</v>
      </c>
      <c r="E7" s="99">
        <f>VLOOKUP($B7,Base_Trimestrielle!$MK$74:NL$276,12,0)</f>
        <v>0</v>
      </c>
      <c r="F7" s="14">
        <f>INDEX(Base_Trimestrielle!$MK$74:$NL$276,MAX(Base_Trimestrielle!$NL$74:$NL$276)-A8,1)</f>
        <v>38777</v>
      </c>
      <c r="G7" s="99">
        <f>VLOOKUP($B7,Base_Trimestrielle!$MK$74:NL$276,5,0)</f>
        <v>0</v>
      </c>
      <c r="H7" s="132">
        <f>VLOOKUP($B7,Base_Mensuelle!$DG$67:$DN$679,2,0)</f>
        <v>0</v>
      </c>
      <c r="I7" s="99">
        <f>VLOOKUP($B7,Base_Mensuelle!$CF$68:$CJ$679,2,0)</f>
        <v>1.2698611200000001</v>
      </c>
      <c r="J7" s="132">
        <f>VLOOKUP($B7,Base_Mensuelle!$CF$68:$CJ$679,3,0)</f>
        <v>557.09299999999996</v>
      </c>
      <c r="K7" s="19">
        <f>VLOOKUP($B7,Base_Mensuelle!$CY$67:$DE$679,5,0)</f>
        <v>283908</v>
      </c>
      <c r="L7" s="99">
        <f>VLOOKUP($B7,Base_Mensuelle!$CY$67:$DE$679,2,0)</f>
        <v>44.743994000000001</v>
      </c>
    </row>
    <row r="8" spans="1:12">
      <c r="A8" s="175">
        <f t="shared" si="0"/>
        <v>70</v>
      </c>
      <c r="B8" s="14">
        <f>INDEX(Base_Trimestrielle!$MK$74:$NL$276,MAX(Base_Trimestrielle!$NL$74:$NL$276)-A9,1)</f>
        <v>38869</v>
      </c>
      <c r="C8" s="733">
        <f>VLOOKUP($B8,Base_Trimestrielle!$MK$74:NL$276,3,0)</f>
        <v>0</v>
      </c>
      <c r="D8" s="570">
        <f>VLOOKUP($B8,Base_Trimestrielle!$MK$74:NL$276,28,0)</f>
        <v>26</v>
      </c>
      <c r="E8" s="99">
        <f>VLOOKUP($B8,Base_Trimestrielle!$MK$74:NL$276,12,0)</f>
        <v>0</v>
      </c>
      <c r="F8" s="14">
        <f>INDEX(Base_Trimestrielle!$MK$74:$NL$276,MAX(Base_Trimestrielle!$NL$74:$NL$276)-A9,1)</f>
        <v>38869</v>
      </c>
      <c r="G8" s="99">
        <f>VLOOKUP($B8,Base_Trimestrielle!$MK$74:NL$276,5,0)</f>
        <v>0</v>
      </c>
      <c r="H8" s="132">
        <f>VLOOKUP($B8,Base_Mensuelle!$DG$67:$DN$679,2,0)</f>
        <v>0</v>
      </c>
      <c r="I8" s="99">
        <f>VLOOKUP($B8,Base_Mensuelle!$CF$68:$CJ$679,2,0)</f>
        <v>1.21584793</v>
      </c>
      <c r="J8" s="132">
        <f>VLOOKUP($B8,Base_Mensuelle!$CF$68:$CJ$679,3,0)</f>
        <v>596.14499999999998</v>
      </c>
      <c r="K8" s="19">
        <f>VLOOKUP($B8,Base_Mensuelle!$CY$67:$DE$679,5,0)</f>
        <v>283908</v>
      </c>
      <c r="L8" s="99">
        <f>VLOOKUP($B8,Base_Mensuelle!$CY$67:$DE$679,2,0)</f>
        <v>51.040796999999998</v>
      </c>
    </row>
    <row r="9" spans="1:12">
      <c r="A9" s="175">
        <f t="shared" si="0"/>
        <v>69</v>
      </c>
      <c r="B9" s="14">
        <f>INDEX(Base_Trimestrielle!$MK$74:$NL$276,MAX(Base_Trimestrielle!$NL$74:$NL$276)-A10,1)</f>
        <v>38961</v>
      </c>
      <c r="C9" s="733">
        <f>VLOOKUP($B9,Base_Trimestrielle!$MK$74:NL$276,3,0)</f>
        <v>0</v>
      </c>
      <c r="D9" s="570">
        <f>VLOOKUP($B9,Base_Trimestrielle!$MK$74:NL$276,28,0)</f>
        <v>27</v>
      </c>
      <c r="E9" s="99">
        <f>VLOOKUP($B9,Base_Trimestrielle!$MK$74:NL$276,12,0)</f>
        <v>0</v>
      </c>
      <c r="F9" s="14">
        <f>INDEX(Base_Trimestrielle!$MK$74:$NL$276,MAX(Base_Trimestrielle!$NL$74:$NL$276)-A10,1)</f>
        <v>38961</v>
      </c>
      <c r="G9" s="99">
        <f>VLOOKUP($B9,Base_Trimestrielle!$MK$74:NL$276,5,0)</f>
        <v>0</v>
      </c>
      <c r="H9" s="132">
        <f>VLOOKUP($B9,Base_Mensuelle!$DG$67:$DN$679,2,0)</f>
        <v>0</v>
      </c>
      <c r="I9" s="99">
        <f>VLOOKUP($B9,Base_Mensuelle!$CF$68:$CJ$679,2,0)</f>
        <v>1.29741887</v>
      </c>
      <c r="J9" s="132">
        <f>VLOOKUP($B9,Base_Mensuelle!$CF$68:$CJ$679,3,0)</f>
        <v>598.18600000000004</v>
      </c>
      <c r="K9" s="19">
        <f>VLOOKUP($B9,Base_Mensuelle!$CY$67:$DE$679,5,0)</f>
        <v>283908</v>
      </c>
      <c r="L9" s="99">
        <f>VLOOKUP($B9,Base_Mensuelle!$CY$67:$DE$679,2,0)</f>
        <v>38.441542999999996</v>
      </c>
    </row>
    <row r="10" spans="1:12">
      <c r="A10" s="175">
        <f t="shared" si="0"/>
        <v>68</v>
      </c>
      <c r="B10" s="14">
        <f>INDEX(Base_Trimestrielle!$MK$74:$NL$276,MAX(Base_Trimestrielle!$NL$74:$NL$276)-A11,1)</f>
        <v>39052</v>
      </c>
      <c r="C10" s="733">
        <f>VLOOKUP($B10,Base_Trimestrielle!$MK$74:NL$276,3,0)</f>
        <v>0</v>
      </c>
      <c r="D10" s="570">
        <f>VLOOKUP($B10,Base_Trimestrielle!$MK$74:NL$276,28,0)</f>
        <v>28</v>
      </c>
      <c r="E10" s="99">
        <f>VLOOKUP($B10,Base_Trimestrielle!$MK$74:NL$276,12,0)</f>
        <v>0</v>
      </c>
      <c r="F10" s="14">
        <f>INDEX(Base_Trimestrielle!$MK$74:$NL$276,MAX(Base_Trimestrielle!$NL$74:$NL$276)-A11,1)</f>
        <v>39052</v>
      </c>
      <c r="G10" s="99">
        <f>VLOOKUP($B10,Base_Trimestrielle!$MK$74:NL$276,5,0)</f>
        <v>0</v>
      </c>
      <c r="H10" s="132">
        <f>VLOOKUP($B10,Base_Mensuelle!$DG$67:$DN$679,2,0)</f>
        <v>0</v>
      </c>
      <c r="I10" s="99">
        <f>VLOOKUP($B10,Base_Mensuelle!$CF$68:$CJ$679,2,0)</f>
        <v>1.3106465899999999</v>
      </c>
      <c r="J10" s="132">
        <f>VLOOKUP($B10,Base_Mensuelle!$CF$68:$CJ$679,3,0)</f>
        <v>629.79100000000005</v>
      </c>
      <c r="K10" s="19">
        <f>VLOOKUP($B10,Base_Mensuelle!$CY$67:$DE$679,5,0)</f>
        <v>283908</v>
      </c>
      <c r="L10" s="99">
        <f>VLOOKUP($B10,Base_Mensuelle!$CY$67:$DE$679,2,0)</f>
        <v>45.800846</v>
      </c>
    </row>
    <row r="11" spans="1:12">
      <c r="A11" s="175">
        <f t="shared" si="0"/>
        <v>67</v>
      </c>
      <c r="B11" s="14">
        <f>INDEX(Base_Trimestrielle!$MK$74:$NL$276,MAX(Base_Trimestrielle!$NL$74:$NL$276)-A12,1)</f>
        <v>39142</v>
      </c>
      <c r="C11" s="733">
        <f>VLOOKUP($B11,Base_Trimestrielle!$MK$74:NL$276,3,0)</f>
        <v>0</v>
      </c>
      <c r="D11" s="570">
        <f>VLOOKUP($B11,Base_Trimestrielle!$MK$74:NL$276,28,0)</f>
        <v>29</v>
      </c>
      <c r="E11" s="99">
        <f>VLOOKUP($B11,Base_Trimestrielle!$MK$74:NL$276,12,0)</f>
        <v>0</v>
      </c>
      <c r="F11" s="14">
        <f>INDEX(Base_Trimestrielle!$MK$74:$NL$276,MAX(Base_Trimestrielle!$NL$74:$NL$276)-A12,1)</f>
        <v>39142</v>
      </c>
      <c r="G11" s="99">
        <f>VLOOKUP($B11,Base_Trimestrielle!$MK$74:NL$276,5,0)</f>
        <v>0</v>
      </c>
      <c r="H11" s="132">
        <f>VLOOKUP($B11,Base_Mensuelle!$DG$67:$DN$679,2,0)</f>
        <v>0</v>
      </c>
      <c r="I11" s="99">
        <f>VLOOKUP($B11,Base_Mensuelle!$CF$68:$CJ$679,2,0)</f>
        <v>1.28749808</v>
      </c>
      <c r="J11" s="132">
        <f>VLOOKUP($B11,Base_Mensuelle!$CF$68:$CJ$679,3,0)</f>
        <v>654.89499999999998</v>
      </c>
      <c r="K11" s="19">
        <f>VLOOKUP($B11,Base_Mensuelle!$CY$67:$DE$679,5,0)</f>
        <v>288475</v>
      </c>
      <c r="L11" s="99">
        <f>VLOOKUP($B11,Base_Mensuelle!$CY$67:$DE$679,2,0)</f>
        <v>48.803234000000003</v>
      </c>
    </row>
    <row r="12" spans="1:12">
      <c r="A12" s="175">
        <f t="shared" si="0"/>
        <v>66</v>
      </c>
      <c r="B12" s="14">
        <f>INDEX(Base_Trimestrielle!$MK$74:$NL$276,MAX(Base_Trimestrielle!$NL$74:$NL$276)-A13,1)</f>
        <v>39234</v>
      </c>
      <c r="C12" s="733">
        <f>VLOOKUP($B12,Base_Trimestrielle!$MK$74:NL$276,3,0)</f>
        <v>0</v>
      </c>
      <c r="D12" s="570">
        <f>VLOOKUP($B12,Base_Trimestrielle!$MK$74:NL$276,28,0)</f>
        <v>30</v>
      </c>
      <c r="E12" s="99">
        <f>VLOOKUP($B12,Base_Trimestrielle!$MK$74:NL$276,12,0)</f>
        <v>0</v>
      </c>
      <c r="F12" s="14">
        <f>INDEX(Base_Trimestrielle!$MK$74:$NL$276,MAX(Base_Trimestrielle!$NL$74:$NL$276)-A13,1)</f>
        <v>39234</v>
      </c>
      <c r="G12" s="99">
        <f>VLOOKUP($B12,Base_Trimestrielle!$MK$74:NL$276,5,0)</f>
        <v>0</v>
      </c>
      <c r="H12" s="132">
        <f>VLOOKUP($B12,Base_Mensuelle!$DG$67:$DN$679,2,0)</f>
        <v>0</v>
      </c>
      <c r="I12" s="99">
        <f>VLOOKUP($B12,Base_Mensuelle!$CF$68:$CJ$679,2,0)</f>
        <v>1.33599972</v>
      </c>
      <c r="J12" s="132">
        <f>VLOOKUP($B12,Base_Mensuelle!$CF$68:$CJ$679,3,0)</f>
        <v>655.66</v>
      </c>
      <c r="K12" s="19">
        <f>VLOOKUP($B12,Base_Mensuelle!$CY$67:$DE$679,5,0)</f>
        <v>288475</v>
      </c>
      <c r="L12" s="99">
        <f>VLOOKUP($B12,Base_Mensuelle!$CY$67:$DE$679,2,0)</f>
        <v>54.109115000000003</v>
      </c>
    </row>
    <row r="13" spans="1:12">
      <c r="A13" s="175">
        <f t="shared" si="0"/>
        <v>65</v>
      </c>
      <c r="B13" s="14">
        <f>INDEX(Base_Trimestrielle!$MK$74:$NL$276,MAX(Base_Trimestrielle!$NL$74:$NL$276)-A14,1)</f>
        <v>39326</v>
      </c>
      <c r="C13" s="733">
        <f>VLOOKUP($B13,Base_Trimestrielle!$MK$74:NL$276,3,0)</f>
        <v>0</v>
      </c>
      <c r="D13" s="570">
        <f>VLOOKUP($B13,Base_Trimestrielle!$MK$74:NL$276,28,0)</f>
        <v>31</v>
      </c>
      <c r="E13" s="99">
        <f>VLOOKUP($B13,Base_Trimestrielle!$MK$74:NL$276,12,0)</f>
        <v>0</v>
      </c>
      <c r="F13" s="14">
        <f>INDEX(Base_Trimestrielle!$MK$74:$NL$276,MAX(Base_Trimestrielle!$NL$74:$NL$276)-A14,1)</f>
        <v>39326</v>
      </c>
      <c r="G13" s="99">
        <f>VLOOKUP($B13,Base_Trimestrielle!$MK$74:NL$276,5,0)</f>
        <v>0</v>
      </c>
      <c r="H13" s="132">
        <f>VLOOKUP($B13,Base_Mensuelle!$DG$67:$DN$679,2,0)</f>
        <v>0</v>
      </c>
      <c r="I13" s="99">
        <f>VLOOKUP($B13,Base_Mensuelle!$CF$68:$CJ$679,2,0)</f>
        <v>1.5024485299999999</v>
      </c>
      <c r="J13" s="132">
        <f>VLOOKUP($B13,Base_Mensuelle!$CF$68:$CJ$679,3,0)</f>
        <v>712.65300000000002</v>
      </c>
      <c r="K13" s="19">
        <f>VLOOKUP($B13,Base_Mensuelle!$CY$67:$DE$679,5,0)</f>
        <v>288475</v>
      </c>
      <c r="L13" s="99">
        <f>VLOOKUP($B13,Base_Mensuelle!$CY$67:$DE$679,2,0)</f>
        <v>43.694032999999997</v>
      </c>
    </row>
    <row r="14" spans="1:12">
      <c r="A14" s="175">
        <f t="shared" si="0"/>
        <v>64</v>
      </c>
      <c r="B14" s="14">
        <f>INDEX(Base_Trimestrielle!$MK$74:$NL$276,MAX(Base_Trimestrielle!$NL$74:$NL$276)-A15,1)</f>
        <v>39417</v>
      </c>
      <c r="C14" s="733">
        <f>VLOOKUP($B14,Base_Trimestrielle!$MK$74:NL$276,3,0)</f>
        <v>0</v>
      </c>
      <c r="D14" s="570">
        <f>VLOOKUP($B14,Base_Trimestrielle!$MK$74:NL$276,28,0)</f>
        <v>32</v>
      </c>
      <c r="E14" s="99">
        <f>VLOOKUP($B14,Base_Trimestrielle!$MK$74:NL$276,12,0)</f>
        <v>0</v>
      </c>
      <c r="F14" s="14">
        <f>INDEX(Base_Trimestrielle!$MK$74:$NL$276,MAX(Base_Trimestrielle!$NL$74:$NL$276)-A15,1)</f>
        <v>39417</v>
      </c>
      <c r="G14" s="99">
        <f>VLOOKUP($B14,Base_Trimestrielle!$MK$74:NL$276,5,0)</f>
        <v>0</v>
      </c>
      <c r="H14" s="132">
        <f>VLOOKUP($B14,Base_Mensuelle!$DG$67:$DN$679,2,0)</f>
        <v>0</v>
      </c>
      <c r="I14" s="99">
        <f>VLOOKUP($B14,Base_Mensuelle!$CF$68:$CJ$679,2,0)</f>
        <v>1.53331321</v>
      </c>
      <c r="J14" s="132">
        <f>VLOOKUP($B14,Base_Mensuelle!$CF$68:$CJ$679,3,0)</f>
        <v>803.20299999999997</v>
      </c>
      <c r="K14" s="19">
        <f>VLOOKUP($B14,Base_Mensuelle!$CY$67:$DE$679,5,0)</f>
        <v>288475</v>
      </c>
      <c r="L14" s="99">
        <f>VLOOKUP($B14,Base_Mensuelle!$CY$67:$DE$679,2,0)</f>
        <v>47.115023999999998</v>
      </c>
    </row>
    <row r="15" spans="1:12">
      <c r="A15" s="175">
        <f t="shared" si="0"/>
        <v>63</v>
      </c>
      <c r="B15" s="14">
        <f>INDEX(Base_Trimestrielle!$MK$74:$NL$276,MAX(Base_Trimestrielle!$NL$74:$NL$276)-A16,1)</f>
        <v>39508</v>
      </c>
      <c r="C15" s="733">
        <f>VLOOKUP($B15,Base_Trimestrielle!$MK$74:NL$276,3,0)</f>
        <v>0</v>
      </c>
      <c r="D15" s="570">
        <f>VLOOKUP($B15,Base_Trimestrielle!$MK$74:NL$276,28,0)</f>
        <v>33</v>
      </c>
      <c r="E15" s="99">
        <f>VLOOKUP($B15,Base_Trimestrielle!$MK$74:NL$276,12,0)</f>
        <v>0</v>
      </c>
      <c r="F15" s="14">
        <f>INDEX(Base_Trimestrielle!$MK$74:$NL$276,MAX(Base_Trimestrielle!$NL$74:$NL$276)-A16,1)</f>
        <v>39508</v>
      </c>
      <c r="G15" s="99">
        <f>VLOOKUP($B15,Base_Trimestrielle!$MK$74:NL$276,5,0)</f>
        <v>0</v>
      </c>
      <c r="H15" s="132">
        <f>VLOOKUP($B15,Base_Mensuelle!$DG$67:$DN$679,2,0)</f>
        <v>0</v>
      </c>
      <c r="I15" s="99">
        <f>VLOOKUP($B15,Base_Mensuelle!$CF$68:$CJ$679,2,0)</f>
        <v>1.7681052399999999</v>
      </c>
      <c r="J15" s="132">
        <f>VLOOKUP($B15,Base_Mensuelle!$CF$68:$CJ$679,3,0)</f>
        <v>968.43399999999997</v>
      </c>
      <c r="K15" s="19">
        <f>VLOOKUP($B15,Base_Mensuelle!$CY$67:$DE$679,5,0)</f>
        <v>308942</v>
      </c>
      <c r="L15" s="99">
        <f>VLOOKUP($B15,Base_Mensuelle!$CY$67:$DE$679,2,0)</f>
        <v>49.253871901171181</v>
      </c>
    </row>
    <row r="16" spans="1:12">
      <c r="A16" s="175">
        <f t="shared" si="0"/>
        <v>62</v>
      </c>
      <c r="B16" s="14">
        <f>INDEX(Base_Trimestrielle!$MK$74:$NL$276,MAX(Base_Trimestrielle!$NL$74:$NL$276)-A17,1)</f>
        <v>39600</v>
      </c>
      <c r="C16" s="733">
        <f>VLOOKUP($B16,Base_Trimestrielle!$MK$74:NL$276,3,0)</f>
        <v>0</v>
      </c>
      <c r="D16" s="570">
        <f>VLOOKUP($B16,Base_Trimestrielle!$MK$74:NL$276,28,0)</f>
        <v>34</v>
      </c>
      <c r="E16" s="99">
        <f>VLOOKUP($B16,Base_Trimestrielle!$MK$74:NL$276,12,0)</f>
        <v>0</v>
      </c>
      <c r="F16" s="14">
        <f>INDEX(Base_Trimestrielle!$MK$74:$NL$276,MAX(Base_Trimestrielle!$NL$74:$NL$276)-A17,1)</f>
        <v>39600</v>
      </c>
      <c r="G16" s="99">
        <f>VLOOKUP($B16,Base_Trimestrielle!$MK$74:NL$276,5,0)</f>
        <v>0</v>
      </c>
      <c r="H16" s="132">
        <f>VLOOKUP($B16,Base_Mensuelle!$DG$67:$DN$679,2,0)</f>
        <v>0</v>
      </c>
      <c r="I16" s="99">
        <f>VLOOKUP($B16,Base_Mensuelle!$CF$68:$CJ$679,2,0)</f>
        <v>1.69865971</v>
      </c>
      <c r="J16" s="132">
        <f>VLOOKUP($B16,Base_Mensuelle!$CF$68:$CJ$679,3,0)</f>
        <v>889.48800000000006</v>
      </c>
      <c r="K16" s="19">
        <f>VLOOKUP($B16,Base_Mensuelle!$CY$67:$DE$679,5,0)</f>
        <v>308942</v>
      </c>
      <c r="L16" s="99">
        <f>VLOOKUP($B16,Base_Mensuelle!$CY$67:$DE$679,2,0)</f>
        <v>59.656516999999994</v>
      </c>
    </row>
    <row r="17" spans="1:12">
      <c r="A17" s="175">
        <f t="shared" si="0"/>
        <v>61</v>
      </c>
      <c r="B17" s="14">
        <f>INDEX(Base_Trimestrielle!$MK$74:$NL$276,MAX(Base_Trimestrielle!$NL$74:$NL$276)-A18,1)</f>
        <v>39692</v>
      </c>
      <c r="C17" s="733">
        <f>VLOOKUP($B17,Base_Trimestrielle!$MK$74:NL$276,3,0)</f>
        <v>0</v>
      </c>
      <c r="D17" s="570">
        <f>VLOOKUP($B17,Base_Trimestrielle!$MK$74:NL$276,28,0)</f>
        <v>35</v>
      </c>
      <c r="E17" s="99">
        <f>VLOOKUP($B17,Base_Trimestrielle!$MK$74:NL$276,12,0)</f>
        <v>0</v>
      </c>
      <c r="F17" s="14">
        <f>INDEX(Base_Trimestrielle!$MK$74:$NL$276,MAX(Base_Trimestrielle!$NL$74:$NL$276)-A18,1)</f>
        <v>39692</v>
      </c>
      <c r="G17" s="99">
        <f>VLOOKUP($B17,Base_Trimestrielle!$MK$74:NL$276,5,0)</f>
        <v>0</v>
      </c>
      <c r="H17" s="132">
        <f>VLOOKUP($B17,Base_Mensuelle!$DG$67:$DN$679,2,0)</f>
        <v>0</v>
      </c>
      <c r="I17" s="99">
        <f>VLOOKUP($B17,Base_Mensuelle!$CF$68:$CJ$679,2,0)</f>
        <v>1.6226003200000001</v>
      </c>
      <c r="J17" s="132">
        <f>VLOOKUP($B17,Base_Mensuelle!$CF$68:$CJ$679,3,0)</f>
        <v>829.93200000000002</v>
      </c>
      <c r="K17" s="19">
        <f>VLOOKUP($B17,Base_Mensuelle!$CY$67:$DE$679,5,0)</f>
        <v>308942</v>
      </c>
      <c r="L17" s="99">
        <f>VLOOKUP($B17,Base_Mensuelle!$CY$67:$DE$679,2,0)</f>
        <v>49.879921000000003</v>
      </c>
    </row>
    <row r="18" spans="1:12">
      <c r="A18" s="175">
        <f t="shared" si="0"/>
        <v>60</v>
      </c>
      <c r="B18" s="14">
        <f>INDEX(Base_Trimestrielle!$MK$74:$NL$276,MAX(Base_Trimestrielle!$NL$74:$NL$276)-A19,1)</f>
        <v>39783</v>
      </c>
      <c r="C18" s="733">
        <f>VLOOKUP($B18,Base_Trimestrielle!$MK$74:NL$276,3,0)</f>
        <v>0</v>
      </c>
      <c r="D18" s="570">
        <f>VLOOKUP($B18,Base_Trimestrielle!$MK$74:NL$276,28,0)</f>
        <v>36</v>
      </c>
      <c r="E18" s="99">
        <f>VLOOKUP($B18,Base_Trimestrielle!$MK$74:NL$276,12,0)</f>
        <v>0</v>
      </c>
      <c r="F18" s="14">
        <f>INDEX(Base_Trimestrielle!$MK$74:$NL$276,MAX(Base_Trimestrielle!$NL$74:$NL$276)-A19,1)</f>
        <v>39783</v>
      </c>
      <c r="G18" s="99">
        <f>VLOOKUP($B18,Base_Trimestrielle!$MK$74:NL$276,5,0)</f>
        <v>0</v>
      </c>
      <c r="H18" s="132">
        <f>VLOOKUP($B18,Base_Mensuelle!$DG$67:$DN$679,2,0)</f>
        <v>0</v>
      </c>
      <c r="I18" s="99">
        <f>VLOOKUP($B18,Base_Mensuelle!$CF$68:$CJ$679,2,0)</f>
        <v>1.2224617900000001</v>
      </c>
      <c r="J18" s="132">
        <f>VLOOKUP($B18,Base_Mensuelle!$CF$68:$CJ$679,3,0)</f>
        <v>816.09199999999998</v>
      </c>
      <c r="K18" s="19">
        <f>VLOOKUP($B18,Base_Mensuelle!$CY$67:$DE$679,5,0)</f>
        <v>308942</v>
      </c>
      <c r="L18" s="99">
        <f>VLOOKUP($B18,Base_Mensuelle!$CY$67:$DE$679,2,0)</f>
        <v>50.625129000000001</v>
      </c>
    </row>
    <row r="19" spans="1:12">
      <c r="A19" s="175">
        <f t="shared" si="0"/>
        <v>59</v>
      </c>
      <c r="B19" s="14">
        <f>INDEX(Base_Trimestrielle!$MK$74:$NL$276,MAX(Base_Trimestrielle!$NL$74:$NL$276)-A20,1)</f>
        <v>39873</v>
      </c>
      <c r="C19" s="733">
        <f>VLOOKUP($B19,Base_Trimestrielle!$MK$74:NL$276,3,0)</f>
        <v>0</v>
      </c>
      <c r="D19" s="570">
        <f>VLOOKUP($B19,Base_Trimestrielle!$MK$74:NL$276,28,0)</f>
        <v>37</v>
      </c>
      <c r="E19" s="99">
        <f>VLOOKUP($B19,Base_Trimestrielle!$MK$74:NL$276,12,0)</f>
        <v>0</v>
      </c>
      <c r="F19" s="14">
        <f>INDEX(Base_Trimestrielle!$MK$74:$NL$276,MAX(Base_Trimestrielle!$NL$74:$NL$276)-A20,1)</f>
        <v>39873</v>
      </c>
      <c r="G19" s="99">
        <f>VLOOKUP($B19,Base_Trimestrielle!$MK$74:NL$276,5,0)</f>
        <v>0</v>
      </c>
      <c r="H19" s="132">
        <f>VLOOKUP($B19,Base_Mensuelle!$DG$67:$DN$679,2,0)</f>
        <v>0</v>
      </c>
      <c r="I19" s="99">
        <f>VLOOKUP($B19,Base_Mensuelle!$CF$68:$CJ$679,2,0)</f>
        <v>1.1353793000000001</v>
      </c>
      <c r="J19" s="132">
        <f>VLOOKUP($B19,Base_Mensuelle!$CF$68:$CJ$679,3,0)</f>
        <v>924.27300000000002</v>
      </c>
      <c r="K19" s="19">
        <f>VLOOKUP($B19,Base_Mensuelle!$CY$67:$DE$679,5,0)</f>
        <v>338171</v>
      </c>
      <c r="L19" s="99">
        <f>VLOOKUP($B19,Base_Mensuelle!$CY$67:$DE$679,2,0)</f>
        <v>59.324502653636657</v>
      </c>
    </row>
    <row r="20" spans="1:12">
      <c r="A20" s="175">
        <f t="shared" si="0"/>
        <v>58</v>
      </c>
      <c r="B20" s="14">
        <f>INDEX(Base_Trimestrielle!$MK$74:$NL$276,MAX(Base_Trimestrielle!$NL$74:$NL$276)-A21,1)</f>
        <v>39965</v>
      </c>
      <c r="C20" s="733">
        <f>VLOOKUP($B20,Base_Trimestrielle!$MK$74:NL$276,3,0)</f>
        <v>0</v>
      </c>
      <c r="D20" s="570">
        <f>VLOOKUP($B20,Base_Trimestrielle!$MK$74:NL$276,28,0)</f>
        <v>38</v>
      </c>
      <c r="E20" s="99">
        <f>VLOOKUP($B20,Base_Trimestrielle!$MK$74:NL$276,12,0)</f>
        <v>0</v>
      </c>
      <c r="F20" s="14">
        <f>INDEX(Base_Trimestrielle!$MK$74:$NL$276,MAX(Base_Trimestrielle!$NL$74:$NL$276)-A21,1)</f>
        <v>39965</v>
      </c>
      <c r="G20" s="99">
        <f>VLOOKUP($B20,Base_Trimestrielle!$MK$74:NL$276,5,0)</f>
        <v>0</v>
      </c>
      <c r="H20" s="132">
        <f>VLOOKUP($B20,Base_Mensuelle!$DG$67:$DN$679,2,0)</f>
        <v>0</v>
      </c>
      <c r="I20" s="99">
        <f>VLOOKUP($B20,Base_Mensuelle!$CF$68:$CJ$679,2,0)</f>
        <v>1.3536366799999999</v>
      </c>
      <c r="J20" s="132">
        <f>VLOOKUP($B20,Base_Mensuelle!$CF$68:$CJ$679,3,0)</f>
        <v>945.67</v>
      </c>
      <c r="K20" s="19">
        <f>VLOOKUP($B20,Base_Mensuelle!$CY$67:$DE$679,5,0)</f>
        <v>338171</v>
      </c>
      <c r="L20" s="99">
        <f>VLOOKUP($B20,Base_Mensuelle!$CY$67:$DE$679,2,0)</f>
        <v>62.787694999999999</v>
      </c>
    </row>
    <row r="21" spans="1:12">
      <c r="A21" s="175">
        <f t="shared" si="0"/>
        <v>57</v>
      </c>
      <c r="B21" s="14">
        <f>INDEX(Base_Trimestrielle!$MK$74:$NL$276,MAX(Base_Trimestrielle!$NL$74:$NL$276)-A22,1)</f>
        <v>40057</v>
      </c>
      <c r="C21" s="733">
        <f>VLOOKUP($B21,Base_Trimestrielle!$MK$74:NL$276,3,0)</f>
        <v>0</v>
      </c>
      <c r="D21" s="570">
        <f>VLOOKUP($B21,Base_Trimestrielle!$MK$74:NL$276,28,0)</f>
        <v>39</v>
      </c>
      <c r="E21" s="99">
        <f>VLOOKUP($B21,Base_Trimestrielle!$MK$74:NL$276,12,0)</f>
        <v>0</v>
      </c>
      <c r="F21" s="14">
        <f>INDEX(Base_Trimestrielle!$MK$74:$NL$276,MAX(Base_Trimestrielle!$NL$74:$NL$276)-A22,1)</f>
        <v>40057</v>
      </c>
      <c r="G21" s="99">
        <f>VLOOKUP($B21,Base_Trimestrielle!$MK$74:NL$276,5,0)</f>
        <v>0</v>
      </c>
      <c r="H21" s="132">
        <f>VLOOKUP($B21,Base_Mensuelle!$DG$67:$DN$679,2,0)</f>
        <v>0</v>
      </c>
      <c r="I21" s="99">
        <f>VLOOKUP($B21,Base_Mensuelle!$CF$68:$CJ$679,2,0)</f>
        <v>1.41205911</v>
      </c>
      <c r="J21" s="132">
        <f>VLOOKUP($B21,Base_Mensuelle!$CF$68:$CJ$679,3,0)</f>
        <v>996.59100000000001</v>
      </c>
      <c r="K21" s="19">
        <f>VLOOKUP($B21,Base_Mensuelle!$CY$67:$DE$679,5,0)</f>
        <v>338171</v>
      </c>
      <c r="L21" s="99">
        <f>VLOOKUP($B21,Base_Mensuelle!$CY$67:$DE$679,2,0)</f>
        <v>57.719498000000002</v>
      </c>
    </row>
    <row r="22" spans="1:12">
      <c r="A22" s="175">
        <f t="shared" si="0"/>
        <v>56</v>
      </c>
      <c r="B22" s="14">
        <f>INDEX(Base_Trimestrielle!$MK$74:$NL$276,MAX(Base_Trimestrielle!$NL$74:$NL$276)-A23,1)</f>
        <v>40148</v>
      </c>
      <c r="C22" s="733">
        <f>VLOOKUP($B22,Base_Trimestrielle!$MK$74:NL$276,3,0)</f>
        <v>0</v>
      </c>
      <c r="D22" s="570">
        <f>VLOOKUP($B22,Base_Trimestrielle!$MK$74:NL$276,28,0)</f>
        <v>40</v>
      </c>
      <c r="E22" s="99">
        <f>VLOOKUP($B22,Base_Trimestrielle!$MK$74:NL$276,12,0)</f>
        <v>0</v>
      </c>
      <c r="F22" s="14">
        <f>INDEX(Base_Trimestrielle!$MK$74:$NL$276,MAX(Base_Trimestrielle!$NL$74:$NL$276)-A23,1)</f>
        <v>40148</v>
      </c>
      <c r="G22" s="99">
        <f>VLOOKUP($B22,Base_Trimestrielle!$MK$74:NL$276,5,0)</f>
        <v>0</v>
      </c>
      <c r="H22" s="132">
        <f>VLOOKUP($B22,Base_Mensuelle!$DG$67:$DN$679,2,0)</f>
        <v>0</v>
      </c>
      <c r="I22" s="99">
        <f>VLOOKUP($B22,Base_Mensuelle!$CF$68:$CJ$679,2,0)</f>
        <v>1.6755112000000001</v>
      </c>
      <c r="J22" s="132">
        <f>VLOOKUP($B22,Base_Mensuelle!$CF$68:$CJ$679,3,0)</f>
        <v>1134.7239999999999</v>
      </c>
      <c r="K22" s="19">
        <f>VLOOKUP($B22,Base_Mensuelle!$CY$67:$DE$679,5,0)</f>
        <v>338171</v>
      </c>
      <c r="L22" s="99">
        <f>VLOOKUP($B22,Base_Mensuelle!$CY$67:$DE$679,2,0)</f>
        <v>50.710870999999997</v>
      </c>
    </row>
    <row r="23" spans="1:12">
      <c r="A23" s="175">
        <f t="shared" si="0"/>
        <v>55</v>
      </c>
      <c r="B23" s="14">
        <f>INDEX(Base_Trimestrielle!$MK$74:$NL$276,MAX(Base_Trimestrielle!$NL$74:$NL$276)-A24,1)</f>
        <v>40238</v>
      </c>
      <c r="C23" s="733">
        <f>VLOOKUP($B23,Base_Trimestrielle!$MK$74:NL$276,3,0)</f>
        <v>0</v>
      </c>
      <c r="D23" s="570">
        <f>VLOOKUP($B23,Base_Trimestrielle!$MK$74:NL$276,28,0)</f>
        <v>41</v>
      </c>
      <c r="E23" s="99">
        <f>VLOOKUP($B23,Base_Trimestrielle!$MK$74:NL$276,12,0)</f>
        <v>0</v>
      </c>
      <c r="F23" s="14">
        <f>INDEX(Base_Trimestrielle!$MK$74:$NL$276,MAX(Base_Trimestrielle!$NL$74:$NL$276)-A24,1)</f>
        <v>40238</v>
      </c>
      <c r="G23" s="99">
        <f>VLOOKUP($B23,Base_Trimestrielle!$MK$74:NL$276,5,0)</f>
        <v>0</v>
      </c>
      <c r="H23" s="132">
        <f>VLOOKUP($B23,Base_Mensuelle!$DG$67:$DN$679,2,0)</f>
        <v>0</v>
      </c>
      <c r="I23" s="99">
        <f>VLOOKUP($B23,Base_Mensuelle!$CF$68:$CJ$679,2,0)</f>
        <v>1.89156396</v>
      </c>
      <c r="J23" s="132">
        <f>VLOOKUP($B23,Base_Mensuelle!$CF$68:$CJ$679,3,0)</f>
        <v>1113.337</v>
      </c>
      <c r="K23" s="19">
        <f>VLOOKUP($B23,Base_Mensuelle!$CY$67:$DE$679,5,0)</f>
        <v>362165</v>
      </c>
      <c r="L23" s="99">
        <f>VLOOKUP($B23,Base_Mensuelle!$CY$67:$DE$679,2,0)</f>
        <v>64.616109899999998</v>
      </c>
    </row>
    <row r="24" spans="1:12">
      <c r="A24" s="175">
        <f t="shared" si="0"/>
        <v>54</v>
      </c>
      <c r="B24" s="14">
        <f>INDEX(Base_Trimestrielle!$MK$74:$NL$276,MAX(Base_Trimestrielle!$NL$74:$NL$276)-A25,1)</f>
        <v>40330</v>
      </c>
      <c r="C24" s="733">
        <f>VLOOKUP($B24,Base_Trimestrielle!$MK$74:NL$276,3,0)</f>
        <v>0</v>
      </c>
      <c r="D24" s="570">
        <f>VLOOKUP($B24,Base_Trimestrielle!$MK$74:NL$276,28,0)</f>
        <v>42</v>
      </c>
      <c r="E24" s="99">
        <f>VLOOKUP($B24,Base_Trimestrielle!$MK$74:NL$276,12,0)</f>
        <v>0</v>
      </c>
      <c r="F24" s="14">
        <f>INDEX(Base_Trimestrielle!$MK$74:$NL$276,MAX(Base_Trimestrielle!$NL$74:$NL$276)-A25,1)</f>
        <v>40330</v>
      </c>
      <c r="G24" s="99">
        <f>VLOOKUP($B24,Base_Trimestrielle!$MK$74:NL$276,5,0)</f>
        <v>0</v>
      </c>
      <c r="H24" s="132">
        <f>VLOOKUP($B24,Base_Mensuelle!$DG$67:$DN$679,2,0)</f>
        <v>0</v>
      </c>
      <c r="I24" s="99">
        <f>VLOOKUP($B24,Base_Mensuelle!$CF$68:$CJ$679,2,0)</f>
        <v>2.0511784479999999</v>
      </c>
      <c r="J24" s="132">
        <f>VLOOKUP($B24,Base_Mensuelle!$CF$68:$CJ$679,3,0)</f>
        <v>1232.92</v>
      </c>
      <c r="K24" s="19">
        <f>VLOOKUP($B24,Base_Mensuelle!$CY$67:$DE$679,5,0)</f>
        <v>362165</v>
      </c>
      <c r="L24" s="99">
        <f>VLOOKUP($B24,Base_Mensuelle!$CY$67:$DE$679,2,0)</f>
        <v>71.248239100000006</v>
      </c>
    </row>
    <row r="25" spans="1:12">
      <c r="A25" s="175">
        <f t="shared" si="0"/>
        <v>53</v>
      </c>
      <c r="B25" s="14">
        <f>INDEX(Base_Trimestrielle!$MK$74:$NL$276,MAX(Base_Trimestrielle!$NL$74:$NL$276)-A26,1)</f>
        <v>40422</v>
      </c>
      <c r="C25" s="733">
        <f>VLOOKUP($B25,Base_Trimestrielle!$MK$74:NL$276,3,0)</f>
        <v>0</v>
      </c>
      <c r="D25" s="570">
        <f>VLOOKUP($B25,Base_Trimestrielle!$MK$74:NL$276,28,0)</f>
        <v>43</v>
      </c>
      <c r="E25" s="99">
        <f>VLOOKUP($B25,Base_Trimestrielle!$MK$74:NL$276,12,0)</f>
        <v>0</v>
      </c>
      <c r="F25" s="14">
        <f>INDEX(Base_Trimestrielle!$MK$74:$NL$276,MAX(Base_Trimestrielle!$NL$74:$NL$276)-A26,1)</f>
        <v>40422</v>
      </c>
      <c r="G25" s="99">
        <f>VLOOKUP($B25,Base_Trimestrielle!$MK$74:NL$276,5,0)</f>
        <v>0</v>
      </c>
      <c r="H25" s="132">
        <f>VLOOKUP($B25,Base_Mensuelle!$DG$67:$DN$679,2,0)</f>
        <v>0</v>
      </c>
      <c r="I25" s="99">
        <f>VLOOKUP($B25,Base_Mensuelle!$CF$68:$CJ$679,2,0)</f>
        <v>2.3088985260000001</v>
      </c>
      <c r="J25" s="132">
        <f>VLOOKUP($B25,Base_Mensuelle!$CF$68:$CJ$679,3,0)</f>
        <v>1270.9770000000001</v>
      </c>
      <c r="K25" s="19">
        <f>VLOOKUP($B25,Base_Mensuelle!$CY$67:$DE$679,5,0)</f>
        <v>362165</v>
      </c>
      <c r="L25" s="99">
        <f>VLOOKUP($B25,Base_Mensuelle!$CY$67:$DE$679,2,0)</f>
        <v>64.052525700264255</v>
      </c>
    </row>
    <row r="26" spans="1:12">
      <c r="A26" s="175">
        <f t="shared" si="0"/>
        <v>52</v>
      </c>
      <c r="B26" s="14">
        <f>INDEX(Base_Trimestrielle!$MK$74:$NL$276,MAX(Base_Trimestrielle!$NL$74:$NL$276)-A27,1)</f>
        <v>40513</v>
      </c>
      <c r="C26" s="733">
        <f>VLOOKUP($B26,Base_Trimestrielle!$MK$74:NL$276,3,0)</f>
        <v>0</v>
      </c>
      <c r="D26" s="570">
        <f>VLOOKUP($B26,Base_Trimestrielle!$MK$74:NL$276,28,0)</f>
        <v>44</v>
      </c>
      <c r="E26" s="99">
        <f>VLOOKUP($B26,Base_Trimestrielle!$MK$74:NL$276,12,0)</f>
        <v>0</v>
      </c>
      <c r="F26" s="14">
        <f>INDEX(Base_Trimestrielle!$MK$74:$NL$276,MAX(Base_Trimestrielle!$NL$74:$NL$276)-A27,1)</f>
        <v>40513</v>
      </c>
      <c r="G26" s="99">
        <f>VLOOKUP($B26,Base_Trimestrielle!$MK$74:NL$276,5,0)</f>
        <v>0</v>
      </c>
      <c r="H26" s="132">
        <f>VLOOKUP($B26,Base_Mensuelle!$DG$67:$DN$679,2,0)</f>
        <v>0</v>
      </c>
      <c r="I26" s="99">
        <f>VLOOKUP($B26,Base_Mensuelle!$CF$68:$CJ$679,2,0)</f>
        <v>3.7034088608000002</v>
      </c>
      <c r="J26" s="132">
        <f>VLOOKUP($B26,Base_Mensuelle!$CF$68:$CJ$679,3,0)</f>
        <v>1390.5530000000001</v>
      </c>
      <c r="K26" s="19">
        <f>VLOOKUP($B26,Base_Mensuelle!$CY$67:$DE$679,5,0)</f>
        <v>362165</v>
      </c>
      <c r="L26" s="99">
        <f>VLOOKUP($B26,Base_Mensuelle!$CY$67:$DE$679,2,0)</f>
        <v>66.092476593557549</v>
      </c>
    </row>
    <row r="27" spans="1:12">
      <c r="A27" s="175">
        <f t="shared" si="0"/>
        <v>51</v>
      </c>
      <c r="B27" s="14">
        <f>INDEX(Base_Trimestrielle!$MK$74:$NL$276,MAX(Base_Trimestrielle!$NL$74:$NL$276)-A28,1)</f>
        <v>40603</v>
      </c>
      <c r="C27" s="733">
        <f>VLOOKUP($B27,Base_Trimestrielle!$MK$74:NL$276,3,0)</f>
        <v>0</v>
      </c>
      <c r="D27" s="570">
        <f>VLOOKUP($B27,Base_Trimestrielle!$MK$74:NL$276,28,0)</f>
        <v>45</v>
      </c>
      <c r="E27" s="99">
        <f>VLOOKUP($B27,Base_Trimestrielle!$MK$74:NL$276,12,0)</f>
        <v>0</v>
      </c>
      <c r="F27" s="14">
        <f>INDEX(Base_Trimestrielle!$MK$74:$NL$276,MAX(Base_Trimestrielle!$NL$74:$NL$276)-A28,1)</f>
        <v>40603</v>
      </c>
      <c r="G27" s="99">
        <f>VLOOKUP($B27,Base_Trimestrielle!$MK$74:NL$276,5,0)</f>
        <v>0</v>
      </c>
      <c r="H27" s="132">
        <f>VLOOKUP($B27,Base_Mensuelle!$DG$67:$DN$679,2,0)</f>
        <v>0</v>
      </c>
      <c r="I27" s="99">
        <f>VLOOKUP($B27,Base_Mensuelle!$CF$68:$CJ$679,2,0)</f>
        <v>5.063350754</v>
      </c>
      <c r="J27" s="132">
        <f>VLOOKUP($B27,Base_Mensuelle!$CF$68:$CJ$679,3,0)</f>
        <v>1423.26</v>
      </c>
      <c r="K27" s="19">
        <f>VLOOKUP($B27,Base_Mensuelle!$CY$67:$DE$679,5,0)</f>
        <v>401476</v>
      </c>
      <c r="L27" s="99">
        <f>VLOOKUP($B27,Base_Mensuelle!$CY$67:$DE$679,2,0)</f>
        <v>63.11871143751614</v>
      </c>
    </row>
    <row r="28" spans="1:12">
      <c r="A28" s="175">
        <f t="shared" si="0"/>
        <v>50</v>
      </c>
      <c r="B28" s="14">
        <f>INDEX(Base_Trimestrielle!$MK$74:$NL$276,MAX(Base_Trimestrielle!$NL$74:$NL$276)-A29,1)</f>
        <v>40695</v>
      </c>
      <c r="C28" s="733">
        <f>VLOOKUP($B28,Base_Trimestrielle!$MK$74:NL$276,3,0)</f>
        <v>0</v>
      </c>
      <c r="D28" s="570">
        <f>VLOOKUP($B28,Base_Trimestrielle!$MK$74:NL$276,28,0)</f>
        <v>46</v>
      </c>
      <c r="E28" s="99">
        <f>VLOOKUP($B28,Base_Trimestrielle!$MK$74:NL$276,12,0)</f>
        <v>0</v>
      </c>
      <c r="F28" s="14">
        <f>INDEX(Base_Trimestrielle!$MK$74:$NL$276,MAX(Base_Trimestrielle!$NL$74:$NL$276)-A29,1)</f>
        <v>40695</v>
      </c>
      <c r="G28" s="99">
        <f>VLOOKUP($B28,Base_Trimestrielle!$MK$74:NL$276,5,0)</f>
        <v>0</v>
      </c>
      <c r="H28" s="132">
        <f>VLOOKUP($B28,Base_Mensuelle!$DG$67:$DN$679,2,0)</f>
        <v>0</v>
      </c>
      <c r="I28" s="99">
        <f>VLOOKUP($B28,Base_Mensuelle!$CF$68:$CJ$679,2,0)</f>
        <v>3.1775188060000001</v>
      </c>
      <c r="J28" s="132">
        <f>VLOOKUP($B28,Base_Mensuelle!$CF$68:$CJ$679,3,0)</f>
        <v>1529.36</v>
      </c>
      <c r="K28" s="19">
        <f>VLOOKUP($B28,Base_Mensuelle!$CY$67:$DE$679,5,0)</f>
        <v>401476</v>
      </c>
      <c r="L28" s="99">
        <f>VLOOKUP($B28,Base_Mensuelle!$CY$67:$DE$679,2,0)</f>
        <v>82.096999419190183</v>
      </c>
    </row>
    <row r="29" spans="1:12">
      <c r="A29" s="175">
        <f t="shared" si="0"/>
        <v>49</v>
      </c>
      <c r="B29" s="14">
        <f>INDEX(Base_Trimestrielle!$MK$74:$NL$276,MAX(Base_Trimestrielle!$NL$74:$NL$276)-A30,1)</f>
        <v>40787</v>
      </c>
      <c r="C29" s="733">
        <f>VLOOKUP($B29,Base_Trimestrielle!$MK$74:NL$276,3,0)</f>
        <v>0</v>
      </c>
      <c r="D29" s="570">
        <f>VLOOKUP($B29,Base_Trimestrielle!$MK$74:NL$276,28,0)</f>
        <v>47</v>
      </c>
      <c r="E29" s="99">
        <f>VLOOKUP($B29,Base_Trimestrielle!$MK$74:NL$276,12,0)</f>
        <v>0</v>
      </c>
      <c r="F29" s="14">
        <f>INDEX(Base_Trimestrielle!$MK$74:$NL$276,MAX(Base_Trimestrielle!$NL$74:$NL$276)-A30,1)</f>
        <v>40787</v>
      </c>
      <c r="G29" s="99">
        <f>VLOOKUP($B29,Base_Trimestrielle!$MK$74:NL$276,5,0)</f>
        <v>0</v>
      </c>
      <c r="H29" s="132">
        <f>VLOOKUP($B29,Base_Mensuelle!$DG$67:$DN$679,2,0)</f>
        <v>0</v>
      </c>
      <c r="I29" s="99">
        <f>VLOOKUP($B29,Base_Mensuelle!$CF$68:$CJ$679,2,0)</f>
        <v>2.576318932</v>
      </c>
      <c r="J29" s="132">
        <f>VLOOKUP($B29,Base_Mensuelle!$CF$68:$CJ$679,3,0)</f>
        <v>1772.14</v>
      </c>
      <c r="K29" s="19">
        <f>VLOOKUP($B29,Base_Mensuelle!$CY$67:$DE$679,5,0)</f>
        <v>401476</v>
      </c>
      <c r="L29" s="99">
        <f>VLOOKUP($B29,Base_Mensuelle!$CY$67:$DE$679,2,0)</f>
        <v>67.313752245128398</v>
      </c>
    </row>
    <row r="30" spans="1:12">
      <c r="A30" s="175">
        <f t="shared" si="0"/>
        <v>48</v>
      </c>
      <c r="B30" s="14">
        <f>INDEX(Base_Trimestrielle!$MK$74:$NL$276,MAX(Base_Trimestrielle!$NL$74:$NL$276)-A31,1)</f>
        <v>40878</v>
      </c>
      <c r="C30" s="733">
        <f>VLOOKUP($B30,Base_Trimestrielle!$MK$74:NL$276,3,0)</f>
        <v>0</v>
      </c>
      <c r="D30" s="570">
        <f>VLOOKUP($B30,Base_Trimestrielle!$MK$74:NL$276,28,0)</f>
        <v>48</v>
      </c>
      <c r="E30" s="99">
        <f>VLOOKUP($B30,Base_Trimestrielle!$MK$74:NL$276,12,0)</f>
        <v>0</v>
      </c>
      <c r="F30" s="14">
        <f>INDEX(Base_Trimestrielle!$MK$74:$NL$276,MAX(Base_Trimestrielle!$NL$74:$NL$276)-A31,1)</f>
        <v>40878</v>
      </c>
      <c r="G30" s="99">
        <f>VLOOKUP($B30,Base_Trimestrielle!$MK$74:NL$276,5,0)</f>
        <v>0</v>
      </c>
      <c r="H30" s="132">
        <f>VLOOKUP($B30,Base_Mensuelle!$DG$67:$DN$679,2,0)</f>
        <v>0</v>
      </c>
      <c r="I30" s="99">
        <f>VLOOKUP($B30,Base_Mensuelle!$CF$68:$CJ$679,2,0)</f>
        <v>2.1043097899999998</v>
      </c>
      <c r="J30" s="132">
        <f>VLOOKUP($B30,Base_Mensuelle!$CF$68:$CJ$679,3,0)</f>
        <v>1639.97</v>
      </c>
      <c r="K30" s="19">
        <f>VLOOKUP($B30,Base_Mensuelle!$CY$67:$DE$679,5,0)</f>
        <v>401476</v>
      </c>
      <c r="L30" s="99">
        <f>VLOOKUP($B30,Base_Mensuelle!$CY$67:$DE$679,2,0)</f>
        <v>68.704464440809218</v>
      </c>
    </row>
    <row r="31" spans="1:12">
      <c r="A31" s="175">
        <f t="shared" si="0"/>
        <v>47</v>
      </c>
      <c r="B31" s="14">
        <f>INDEX(Base_Trimestrielle!$MK$74:$NL$276,MAX(Base_Trimestrielle!$NL$74:$NL$276)-A32,1)</f>
        <v>40969</v>
      </c>
      <c r="C31" s="733">
        <f>VLOOKUP($B31,Base_Trimestrielle!$MK$74:NL$276,3,0)</f>
        <v>0</v>
      </c>
      <c r="D31" s="570">
        <f>VLOOKUP($B31,Base_Trimestrielle!$MK$74:NL$276,28,0)</f>
        <v>49</v>
      </c>
      <c r="E31" s="99">
        <f>VLOOKUP($B31,Base_Trimestrielle!$MK$74:NL$276,12,0)</f>
        <v>0</v>
      </c>
      <c r="F31" s="14">
        <f>INDEX(Base_Trimestrielle!$MK$74:$NL$276,MAX(Base_Trimestrielle!$NL$74:$NL$276)-A32,1)</f>
        <v>40969</v>
      </c>
      <c r="G31" s="99">
        <f>VLOOKUP($B31,Base_Trimestrielle!$MK$74:NL$276,5,0)</f>
        <v>0</v>
      </c>
      <c r="H31" s="132">
        <f>VLOOKUP($B31,Base_Mensuelle!$DG$67:$DN$679,2,0)</f>
        <v>0</v>
      </c>
      <c r="I31" s="99">
        <f>VLOOKUP($B31,Base_Mensuelle!$CF$68:$CJ$679,2,0)</f>
        <v>2.1935969000000002</v>
      </c>
      <c r="J31" s="132">
        <f>VLOOKUP($B31,Base_Mensuelle!$CF$68:$CJ$679,3,0)</f>
        <v>1675.95</v>
      </c>
      <c r="K31" s="19">
        <f>VLOOKUP($B31,Base_Mensuelle!$CY$67:$DE$679,5,0)</f>
        <v>436250</v>
      </c>
      <c r="L31" s="99">
        <f>VLOOKUP($B31,Base_Mensuelle!$CY$67:$DE$679,2,0)</f>
        <v>75.704846421925566</v>
      </c>
    </row>
    <row r="32" spans="1:12">
      <c r="A32" s="175">
        <f t="shared" si="0"/>
        <v>46</v>
      </c>
      <c r="B32" s="14">
        <f>INDEX(Base_Trimestrielle!$MK$74:$NL$276,MAX(Base_Trimestrielle!$NL$74:$NL$276)-A33,1)</f>
        <v>41061</v>
      </c>
      <c r="C32" s="733">
        <f>VLOOKUP($B32,Base_Trimestrielle!$MK$74:NL$276,3,0)</f>
        <v>0</v>
      </c>
      <c r="D32" s="570">
        <f>VLOOKUP($B32,Base_Trimestrielle!$MK$74:NL$276,28,0)</f>
        <v>50</v>
      </c>
      <c r="E32" s="99">
        <f>VLOOKUP($B32,Base_Trimestrielle!$MK$74:NL$276,12,0)</f>
        <v>0</v>
      </c>
      <c r="F32" s="14">
        <f>INDEX(Base_Trimestrielle!$MK$74:$NL$276,MAX(Base_Trimestrielle!$NL$74:$NL$276)-A33,1)</f>
        <v>41061</v>
      </c>
      <c r="G32" s="99">
        <f>VLOOKUP($B32,Base_Trimestrielle!$MK$74:NL$276,5,0)</f>
        <v>0</v>
      </c>
      <c r="H32" s="132">
        <f>VLOOKUP($B32,Base_Mensuelle!$DG$67:$DN$679,2,0)</f>
        <v>0</v>
      </c>
      <c r="I32" s="99">
        <f>VLOOKUP($B32,Base_Mensuelle!$CF$68:$CJ$679,2,0)</f>
        <v>1.8117567160000001</v>
      </c>
      <c r="J32" s="132">
        <f>VLOOKUP($B32,Base_Mensuelle!$CF$68:$CJ$679,3,0)</f>
        <v>1598.76</v>
      </c>
      <c r="K32" s="19">
        <f>VLOOKUP($B32,Base_Mensuelle!$CY$67:$DE$679,5,0)</f>
        <v>436250</v>
      </c>
      <c r="L32" s="99">
        <f>VLOOKUP($B32,Base_Mensuelle!$CY$67:$DE$679,2,0)</f>
        <v>86.843658000000005</v>
      </c>
    </row>
    <row r="33" spans="1:12">
      <c r="A33" s="175">
        <f t="shared" si="0"/>
        <v>45</v>
      </c>
      <c r="B33" s="14">
        <f>INDEX(Base_Trimestrielle!$MK$74:$NL$276,MAX(Base_Trimestrielle!$NL$74:$NL$276)-A34,1)</f>
        <v>41153</v>
      </c>
      <c r="C33" s="733">
        <f>VLOOKUP($B33,Base_Trimestrielle!$MK$74:NL$276,3,0)</f>
        <v>0</v>
      </c>
      <c r="D33" s="570">
        <f>VLOOKUP($B33,Base_Trimestrielle!$MK$74:NL$276,28,0)</f>
        <v>51</v>
      </c>
      <c r="E33" s="99">
        <f>VLOOKUP($B33,Base_Trimestrielle!$MK$74:NL$276,12,0)</f>
        <v>0</v>
      </c>
      <c r="F33" s="14">
        <f>INDEX(Base_Trimestrielle!$MK$74:$NL$276,MAX(Base_Trimestrielle!$NL$74:$NL$276)-A34,1)</f>
        <v>41153</v>
      </c>
      <c r="G33" s="99">
        <f>VLOOKUP($B33,Base_Trimestrielle!$MK$74:NL$276,5,0)</f>
        <v>0</v>
      </c>
      <c r="H33" s="132">
        <f>VLOOKUP($B33,Base_Mensuelle!$DG$67:$DN$679,2,0)</f>
        <v>0</v>
      </c>
      <c r="I33" s="99">
        <f>VLOOKUP($B33,Base_Mensuelle!$CF$68:$CJ$679,2,0)</f>
        <v>1.8551877299999999</v>
      </c>
      <c r="J33" s="132">
        <f>VLOOKUP($B33,Base_Mensuelle!$CF$68:$CJ$679,3,0)</f>
        <v>1744.81</v>
      </c>
      <c r="K33" s="19">
        <f>VLOOKUP($B33,Base_Mensuelle!$CY$67:$DE$679,5,0)</f>
        <v>436250</v>
      </c>
      <c r="L33" s="99">
        <f>VLOOKUP($B33,Base_Mensuelle!$CY$67:$DE$679,2,0)</f>
        <v>71.695799000000008</v>
      </c>
    </row>
    <row r="34" spans="1:12">
      <c r="A34" s="175">
        <f t="shared" si="0"/>
        <v>44</v>
      </c>
      <c r="B34" s="14">
        <f>INDEX(Base_Trimestrielle!$MK$74:$NL$276,MAX(Base_Trimestrielle!$NL$74:$NL$276)-A35,1)</f>
        <v>41244</v>
      </c>
      <c r="C34" s="733">
        <f>VLOOKUP($B34,Base_Trimestrielle!$MK$74:NL$276,3,0)</f>
        <v>0</v>
      </c>
      <c r="D34" s="570">
        <f>VLOOKUP($B34,Base_Trimestrielle!$MK$74:NL$276,28,0)</f>
        <v>52</v>
      </c>
      <c r="E34" s="99">
        <f>VLOOKUP($B34,Base_Trimestrielle!$MK$74:NL$276,12,0)</f>
        <v>0</v>
      </c>
      <c r="F34" s="14">
        <f>INDEX(Base_Trimestrielle!$MK$74:$NL$276,MAX(Base_Trimestrielle!$NL$74:$NL$276)-A35,1)</f>
        <v>41244</v>
      </c>
      <c r="G34" s="99">
        <f>VLOOKUP($B34,Base_Trimestrielle!$MK$74:NL$276,5,0)</f>
        <v>0</v>
      </c>
      <c r="H34" s="132">
        <f>VLOOKUP($B34,Base_Mensuelle!$DG$67:$DN$679,2,0)</f>
        <v>0</v>
      </c>
      <c r="I34" s="99">
        <f>VLOOKUP($B34,Base_Mensuelle!$CF$68:$CJ$679,2,0)</f>
        <v>1.8379916940000001</v>
      </c>
      <c r="J34" s="132">
        <f>VLOOKUP($B34,Base_Mensuelle!$CF$68:$CJ$679,3,0)</f>
        <v>1684.7619999999999</v>
      </c>
      <c r="K34" s="19">
        <f>VLOOKUP($B34,Base_Mensuelle!$CY$67:$DE$679,5,0)</f>
        <v>436250</v>
      </c>
      <c r="L34" s="99">
        <f>VLOOKUP($B34,Base_Mensuelle!$CY$67:$DE$679,2,0)</f>
        <v>80.156857000000002</v>
      </c>
    </row>
    <row r="35" spans="1:12">
      <c r="A35" s="175">
        <f t="shared" si="0"/>
        <v>43</v>
      </c>
      <c r="B35" s="14">
        <f>INDEX(Base_Trimestrielle!$MK$74:$NL$276,MAX(Base_Trimestrielle!$NL$74:$NL$276)-A36,1)</f>
        <v>41334</v>
      </c>
      <c r="C35" s="733">
        <f>VLOOKUP($B35,Base_Trimestrielle!$MK$74:NL$276,3,0)</f>
        <v>0</v>
      </c>
      <c r="D35" s="570">
        <f>VLOOKUP($B35,Base_Trimestrielle!$MK$74:NL$276,28,0)</f>
        <v>53</v>
      </c>
      <c r="E35" s="99">
        <f>VLOOKUP($B35,Base_Trimestrielle!$MK$74:NL$276,12,0)</f>
        <v>0</v>
      </c>
      <c r="F35" s="14">
        <f>INDEX(Base_Trimestrielle!$MK$74:$NL$276,MAX(Base_Trimestrielle!$NL$74:$NL$276)-A36,1)</f>
        <v>41334</v>
      </c>
      <c r="G35" s="99">
        <f>VLOOKUP($B35,Base_Trimestrielle!$MK$74:NL$276,5,0)</f>
        <v>0</v>
      </c>
      <c r="H35" s="132">
        <f>VLOOKUP($B35,Base_Mensuelle!$DG$67:$DN$679,2,0)</f>
        <v>0</v>
      </c>
      <c r="I35" s="99">
        <f>VLOOKUP($B35,Base_Mensuelle!$CF$68:$CJ$679,2,0)</f>
        <v>2.0822635900000002</v>
      </c>
      <c r="J35" s="132">
        <f>VLOOKUP($B35,Base_Mensuelle!$CF$68:$CJ$679,3,0)</f>
        <v>1593.08619047619</v>
      </c>
      <c r="K35" s="19">
        <f>VLOOKUP($B35,Base_Mensuelle!$CY$67:$DE$679,5,0)</f>
        <v>472441</v>
      </c>
      <c r="L35" s="99">
        <f>VLOOKUP($B35,Base_Mensuelle!$CY$67:$DE$679,2,0)</f>
        <v>86.009877218330203</v>
      </c>
    </row>
    <row r="36" spans="1:12">
      <c r="A36" s="175">
        <f t="shared" si="0"/>
        <v>42</v>
      </c>
      <c r="B36" s="14">
        <f>INDEX(Base_Trimestrielle!$MK$74:$NL$276,MAX(Base_Trimestrielle!$NL$74:$NL$276)-A37,1)</f>
        <v>41426</v>
      </c>
      <c r="C36" s="733">
        <f>VLOOKUP($B36,Base_Trimestrielle!$MK$74:NL$276,3,0)</f>
        <v>0</v>
      </c>
      <c r="D36" s="570">
        <f>VLOOKUP($B36,Base_Trimestrielle!$MK$74:NL$276,28,0)</f>
        <v>54</v>
      </c>
      <c r="E36" s="99">
        <f>VLOOKUP($B36,Base_Trimestrielle!$MK$74:NL$276,12,0)</f>
        <v>0</v>
      </c>
      <c r="F36" s="14">
        <f>INDEX(Base_Trimestrielle!$MK$74:$NL$276,MAX(Base_Trimestrielle!$NL$74:$NL$276)-A37,1)</f>
        <v>41426</v>
      </c>
      <c r="G36" s="99">
        <f>VLOOKUP($B36,Base_Trimestrielle!$MK$74:NL$276,5,0)</f>
        <v>0</v>
      </c>
      <c r="H36" s="132">
        <f>VLOOKUP($B36,Base_Mensuelle!$DG$67:$DN$679,2,0)</f>
        <v>0</v>
      </c>
      <c r="I36" s="99">
        <f>VLOOKUP($B36,Base_Mensuelle!$CF$68:$CJ$679,2,0)</f>
        <v>2.0520602960000001</v>
      </c>
      <c r="J36" s="132">
        <f>VLOOKUP($B36,Base_Mensuelle!$CF$68:$CJ$679,3,0)</f>
        <v>1343.35</v>
      </c>
      <c r="K36" s="19">
        <f>VLOOKUP($B36,Base_Mensuelle!$CY$67:$DE$679,5,0)</f>
        <v>472441</v>
      </c>
      <c r="L36" s="99">
        <f>VLOOKUP($B36,Base_Mensuelle!$CY$67:$DE$679,2,0)</f>
        <v>92.371611526290536</v>
      </c>
    </row>
    <row r="37" spans="1:12">
      <c r="A37" s="175">
        <f t="shared" si="0"/>
        <v>41</v>
      </c>
      <c r="B37" s="14">
        <f>INDEX(Base_Trimestrielle!$MK$74:$NL$276,MAX(Base_Trimestrielle!$NL$74:$NL$276)-A38,1)</f>
        <v>41518</v>
      </c>
      <c r="C37" s="733">
        <f>VLOOKUP($B37,Base_Trimestrielle!$MK$74:NL$276,3,0)</f>
        <v>0</v>
      </c>
      <c r="D37" s="570">
        <f>VLOOKUP($B37,Base_Trimestrielle!$MK$74:NL$276,28,0)</f>
        <v>55</v>
      </c>
      <c r="E37" s="99">
        <f>VLOOKUP($B37,Base_Trimestrielle!$MK$74:NL$276,12,0)</f>
        <v>0</v>
      </c>
      <c r="F37" s="14">
        <f>INDEX(Base_Trimestrielle!$MK$74:$NL$276,MAX(Base_Trimestrielle!$NL$74:$NL$276)-A38,1)</f>
        <v>41518</v>
      </c>
      <c r="G37" s="99">
        <f>VLOOKUP($B37,Base_Trimestrielle!$MK$74:NL$276,5,0)</f>
        <v>0</v>
      </c>
      <c r="H37" s="132">
        <f>VLOOKUP($B37,Base_Mensuelle!$DG$67:$DN$679,2,0)</f>
        <v>0</v>
      </c>
      <c r="I37" s="99">
        <f>VLOOKUP($B37,Base_Mensuelle!$CF$68:$CJ$679,2,0)</f>
        <v>1.986142158</v>
      </c>
      <c r="J37" s="132">
        <f>VLOOKUP($B37,Base_Mensuelle!$CF$68:$CJ$679,3,0)</f>
        <v>1348.6</v>
      </c>
      <c r="K37" s="19">
        <f>VLOOKUP($B37,Base_Mensuelle!$CY$67:$DE$679,5,0)</f>
        <v>472441</v>
      </c>
      <c r="L37" s="99">
        <f>VLOOKUP($B37,Base_Mensuelle!$CY$67:$DE$679,2,0)</f>
        <v>74.239772000000002</v>
      </c>
    </row>
    <row r="38" spans="1:12">
      <c r="A38" s="175">
        <f t="shared" si="0"/>
        <v>40</v>
      </c>
      <c r="B38" s="14">
        <f>INDEX(Base_Trimestrielle!$MK$74:$NL$276,MAX(Base_Trimestrielle!$NL$74:$NL$276)-A39,1)</f>
        <v>41609</v>
      </c>
      <c r="C38" s="733">
        <f>VLOOKUP($B38,Base_Trimestrielle!$MK$74:NL$276,3,0)</f>
        <v>0</v>
      </c>
      <c r="D38" s="570">
        <f>VLOOKUP($B38,Base_Trimestrielle!$MK$74:NL$276,28,0)</f>
        <v>56</v>
      </c>
      <c r="E38" s="99">
        <f>VLOOKUP($B38,Base_Trimestrielle!$MK$74:NL$276,12,0)</f>
        <v>0</v>
      </c>
      <c r="F38" s="14">
        <f>INDEX(Base_Trimestrielle!$MK$74:$NL$276,MAX(Base_Trimestrielle!$NL$74:$NL$276)-A39,1)</f>
        <v>41609</v>
      </c>
      <c r="G38" s="99">
        <f>VLOOKUP($B38,Base_Trimestrielle!$MK$74:NL$276,5,0)</f>
        <v>0</v>
      </c>
      <c r="H38" s="132">
        <f>VLOOKUP($B38,Base_Mensuelle!$DG$67:$DN$679,2,0)</f>
        <v>0</v>
      </c>
      <c r="I38" s="99">
        <f>VLOOKUP($B38,Base_Mensuelle!$CF$68:$CJ$679,2,0)</f>
        <v>1.9287669224999999</v>
      </c>
      <c r="J38" s="132">
        <f>VLOOKUP($B38,Base_Mensuelle!$CF$68:$CJ$679,3,0)</f>
        <v>1221.5119047619</v>
      </c>
      <c r="K38" s="19">
        <f>VLOOKUP($B38,Base_Mensuelle!$CY$67:$DE$679,5,0)</f>
        <v>472441</v>
      </c>
      <c r="L38" s="99">
        <f>VLOOKUP($B38,Base_Mensuelle!$CY$67:$DE$679,2,0)</f>
        <v>81.502949000000001</v>
      </c>
    </row>
    <row r="39" spans="1:12">
      <c r="A39" s="175">
        <f t="shared" si="0"/>
        <v>39</v>
      </c>
      <c r="B39" s="14">
        <f>INDEX(Base_Trimestrielle!$MK$74:$NL$276,MAX(Base_Trimestrielle!$NL$74:$NL$276)-A40,1)</f>
        <v>41699</v>
      </c>
      <c r="C39" s="733">
        <f>VLOOKUP($B39,Base_Trimestrielle!$MK$74:NL$276,3,0)</f>
        <v>0</v>
      </c>
      <c r="D39" s="570">
        <f>VLOOKUP($B39,Base_Trimestrielle!$MK$74:NL$276,28,0)</f>
        <v>57</v>
      </c>
      <c r="E39" s="99">
        <f>VLOOKUP($B39,Base_Trimestrielle!$MK$74:NL$276,12,0)</f>
        <v>0</v>
      </c>
      <c r="F39" s="14">
        <f>INDEX(Base_Trimestrielle!$MK$74:$NL$276,MAX(Base_Trimestrielle!$NL$74:$NL$276)-A40,1)</f>
        <v>41699</v>
      </c>
      <c r="G39" s="99">
        <f>VLOOKUP($B39,Base_Trimestrielle!$MK$74:NL$276,5,0)</f>
        <v>0</v>
      </c>
      <c r="H39" s="132">
        <f>VLOOKUP($B39,Base_Mensuelle!$DG$67:$DN$679,2,0)</f>
        <v>0</v>
      </c>
      <c r="I39" s="99">
        <f>VLOOKUP($B39,Base_Mensuelle!$CF$68:$CJ$679,2,0)</f>
        <v>2.13737909</v>
      </c>
      <c r="J39" s="132">
        <f>VLOOKUP($B39,Base_Mensuelle!$CF$68:$CJ$679,3,0)</f>
        <v>1336.08</v>
      </c>
      <c r="K39" s="19">
        <f>VLOOKUP($B39,Base_Mensuelle!$CY$67:$DE$679,5,0)</f>
        <v>508499</v>
      </c>
      <c r="L39" s="99">
        <f>VLOOKUP($B39,Base_Mensuelle!$CY$67:$DE$679,2,0)</f>
        <v>86.788736</v>
      </c>
    </row>
    <row r="40" spans="1:12">
      <c r="A40" s="175">
        <f t="shared" si="0"/>
        <v>38</v>
      </c>
      <c r="B40" s="14">
        <f>INDEX(Base_Trimestrielle!$MK$74:$NL$276,MAX(Base_Trimestrielle!$NL$74:$NL$276)-A41,1)</f>
        <v>41791</v>
      </c>
      <c r="C40" s="733">
        <f>VLOOKUP($B40,Base_Trimestrielle!$MK$74:NL$276,3,0)</f>
        <v>0</v>
      </c>
      <c r="D40" s="570">
        <f>VLOOKUP($B40,Base_Trimestrielle!$MK$74:NL$276,28,0)</f>
        <v>58</v>
      </c>
      <c r="E40" s="99">
        <f>VLOOKUP($B40,Base_Trimestrielle!$MK$74:NL$276,12,0)</f>
        <v>0</v>
      </c>
      <c r="F40" s="14">
        <f>INDEX(Base_Trimestrielle!$MK$74:$NL$276,MAX(Base_Trimestrielle!$NL$74:$NL$276)-A41,1)</f>
        <v>41791</v>
      </c>
      <c r="G40" s="99">
        <f>VLOOKUP($B40,Base_Trimestrielle!$MK$74:NL$276,5,0)</f>
        <v>0</v>
      </c>
      <c r="H40" s="132">
        <f>VLOOKUP($B40,Base_Mensuelle!$DG$67:$DN$679,2,0)</f>
        <v>0</v>
      </c>
      <c r="I40" s="99">
        <f>VLOOKUP($B40,Base_Mensuelle!$CF$68:$CJ$679,2,0)</f>
        <v>2.0039995799999999</v>
      </c>
      <c r="J40" s="132">
        <f>VLOOKUP($B40,Base_Mensuelle!$CF$68:$CJ$679,3,0)</f>
        <v>1279.0999999999999</v>
      </c>
      <c r="K40" s="19">
        <f>VLOOKUP($B40,Base_Mensuelle!$CY$67:$DE$679,5,0)</f>
        <v>508499</v>
      </c>
      <c r="L40" s="99">
        <f>VLOOKUP($B40,Base_Mensuelle!$CY$67:$DE$679,2,0)</f>
        <v>98.035572000000002</v>
      </c>
    </row>
    <row r="41" spans="1:12">
      <c r="A41" s="175">
        <f t="shared" si="0"/>
        <v>37</v>
      </c>
      <c r="B41" s="14">
        <f>INDEX(Base_Trimestrielle!$MK$74:$NL$276,MAX(Base_Trimestrielle!$NL$74:$NL$276)-A42,1)</f>
        <v>41883</v>
      </c>
      <c r="C41" s="733">
        <f>VLOOKUP($B41,Base_Trimestrielle!$MK$74:NL$276,3,0)</f>
        <v>0</v>
      </c>
      <c r="D41" s="570">
        <f>VLOOKUP($B41,Base_Trimestrielle!$MK$74:NL$276,28,0)</f>
        <v>59</v>
      </c>
      <c r="E41" s="99">
        <f>VLOOKUP($B41,Base_Trimestrielle!$MK$74:NL$276,12,0)</f>
        <v>0</v>
      </c>
      <c r="F41" s="14">
        <f>INDEX(Base_Trimestrielle!$MK$74:$NL$276,MAX(Base_Trimestrielle!$NL$74:$NL$276)-A42,1)</f>
        <v>41883</v>
      </c>
      <c r="G41" s="99">
        <f>VLOOKUP($B41,Base_Trimestrielle!$MK$74:NL$276,5,0)</f>
        <v>0</v>
      </c>
      <c r="H41" s="132">
        <f>VLOOKUP($B41,Base_Mensuelle!$DG$67:$DN$679,2,0)</f>
        <v>289779</v>
      </c>
      <c r="I41" s="99">
        <f>VLOOKUP($B41,Base_Mensuelle!$CF$68:$CJ$679,2,0)</f>
        <v>1.6177501560000001</v>
      </c>
      <c r="J41" s="132">
        <f>VLOOKUP($B41,Base_Mensuelle!$CF$68:$CJ$679,3,0)</f>
        <v>1236.55</v>
      </c>
      <c r="K41" s="19">
        <f>VLOOKUP($B41,Base_Mensuelle!$CY$67:$DE$679,5,0)</f>
        <v>508499</v>
      </c>
      <c r="L41" s="99">
        <f>VLOOKUP($B41,Base_Mensuelle!$CY$67:$DE$679,2,0)</f>
        <v>83.532846460000002</v>
      </c>
    </row>
    <row r="42" spans="1:12">
      <c r="A42" s="175">
        <f t="shared" si="0"/>
        <v>36</v>
      </c>
      <c r="B42" s="14">
        <f>INDEX(Base_Trimestrielle!$MK$74:$NL$276,MAX(Base_Trimestrielle!$NL$74:$NL$276)-A43,1)</f>
        <v>41974</v>
      </c>
      <c r="C42" s="733">
        <f>VLOOKUP($B42,Base_Trimestrielle!$MK$74:NL$276,3,0)</f>
        <v>0</v>
      </c>
      <c r="D42" s="570">
        <f>VLOOKUP($B42,Base_Trimestrielle!$MK$74:NL$276,28,0)</f>
        <v>60</v>
      </c>
      <c r="E42" s="99">
        <f>VLOOKUP($B42,Base_Trimestrielle!$MK$74:NL$276,12,0)</f>
        <v>0</v>
      </c>
      <c r="F42" s="14">
        <f>INDEX(Base_Trimestrielle!$MK$74:$NL$276,MAX(Base_Trimestrielle!$NL$74:$NL$276)-A43,1)</f>
        <v>41974</v>
      </c>
      <c r="G42" s="99">
        <f>VLOOKUP($B42,Base_Trimestrielle!$MK$74:NL$276,5,0)</f>
        <v>0</v>
      </c>
      <c r="H42" s="132">
        <f>VLOOKUP($B42,Base_Mensuelle!$DG$67:$DN$679,2,0)</f>
        <v>296370</v>
      </c>
      <c r="I42" s="99">
        <f>VLOOKUP($B42,Base_Mensuelle!$CF$68:$CJ$679,2,0)</f>
        <v>1.50575546</v>
      </c>
      <c r="J42" s="132">
        <f>VLOOKUP($B42,Base_Mensuelle!$CF$68:$CJ$679,3,0)</f>
        <v>1200.6199999999999</v>
      </c>
      <c r="K42" s="19">
        <f>VLOOKUP($B42,Base_Mensuelle!$CY$67:$DE$679,5,0)</f>
        <v>508499</v>
      </c>
      <c r="L42" s="99">
        <f>VLOOKUP($B42,Base_Mensuelle!$CY$67:$DE$679,2,0)</f>
        <v>95.548249285893917</v>
      </c>
    </row>
    <row r="43" spans="1:12">
      <c r="A43" s="175">
        <f t="shared" si="0"/>
        <v>35</v>
      </c>
      <c r="B43" s="14">
        <f>INDEX(Base_Trimestrielle!$MK$74:$NL$276,MAX(Base_Trimestrielle!$NL$74:$NL$276)-A44,1)</f>
        <v>42064</v>
      </c>
      <c r="C43" s="733">
        <f>VLOOKUP($B43,Base_Trimestrielle!$MK$74:NL$276,3,0)</f>
        <v>100.91711477378692</v>
      </c>
      <c r="D43" s="570">
        <f>VLOOKUP($B43,Base_Trimestrielle!$MK$74:NL$276,28,0)</f>
        <v>61</v>
      </c>
      <c r="E43" s="99">
        <f>VLOOKUP($B43,Base_Trimestrielle!$MK$74:NL$276,12,0)</f>
        <v>100.24701084341227</v>
      </c>
      <c r="F43" s="14">
        <f>INDEX(Base_Trimestrielle!$MK$74:$NL$276,MAX(Base_Trimestrielle!$NL$74:$NL$276)-A44,1)</f>
        <v>42064</v>
      </c>
      <c r="G43" s="99">
        <f>VLOOKUP($B43,Base_Trimestrielle!$MK$74:NL$276,5,0)</f>
        <v>100</v>
      </c>
      <c r="H43" s="132">
        <f>VLOOKUP($B43,Base_Mensuelle!$DG$67:$DN$679,2,0)</f>
        <v>305285</v>
      </c>
      <c r="I43" s="99">
        <f>VLOOKUP($B43,Base_Mensuelle!$CF$68:$CJ$679,2,0)</f>
        <v>1.52890397</v>
      </c>
      <c r="J43" s="132">
        <f>VLOOKUP($B43,Base_Mensuelle!$CF$68:$CJ$679,3,0)</f>
        <v>1178.6300000000001</v>
      </c>
      <c r="K43" s="19">
        <f>VLOOKUP($B43,Base_Mensuelle!$CY$67:$DE$679,5,0)</f>
        <v>544825</v>
      </c>
      <c r="L43" s="99">
        <f>VLOOKUP($B43,Base_Mensuelle!$CY$67:$DE$679,2,0)</f>
        <v>97.04651693223218</v>
      </c>
    </row>
    <row r="44" spans="1:12">
      <c r="A44" s="175">
        <f t="shared" si="0"/>
        <v>34</v>
      </c>
      <c r="B44" s="14">
        <f>INDEX(Base_Trimestrielle!$MK$74:$NL$276,MAX(Base_Trimestrielle!$NL$74:$NL$276)-A45,1)</f>
        <v>42156</v>
      </c>
      <c r="C44" s="733">
        <f>VLOOKUP($B44,Base_Trimestrielle!$MK$74:NL$276,3,0)</f>
        <v>97.221640939843198</v>
      </c>
      <c r="D44" s="570">
        <f>VLOOKUP($B44,Base_Trimestrielle!$MK$74:NL$276,28,0)</f>
        <v>62</v>
      </c>
      <c r="E44" s="99">
        <f>VLOOKUP($B44,Base_Trimestrielle!$MK$74:NL$276,12,0)</f>
        <v>99.869933375310282</v>
      </c>
      <c r="F44" s="14">
        <f>INDEX(Base_Trimestrielle!$MK$74:$NL$276,MAX(Base_Trimestrielle!$NL$74:$NL$276)-A45,1)</f>
        <v>42156</v>
      </c>
      <c r="G44" s="99">
        <f>VLOOKUP($B44,Base_Trimestrielle!$MK$74:NL$276,5,0)</f>
        <v>100</v>
      </c>
      <c r="H44" s="132">
        <f>VLOOKUP($B44,Base_Mensuelle!$DG$67:$DN$679,2,0)</f>
        <v>317044</v>
      </c>
      <c r="I44" s="99">
        <f>VLOOKUP($B44,Base_Mensuelle!$CF$68:$CJ$679,2,0)</f>
        <v>1.5950425699999999</v>
      </c>
      <c r="J44" s="132">
        <f>VLOOKUP($B44,Base_Mensuelle!$CF$68:$CJ$679,3,0)</f>
        <v>1181.5</v>
      </c>
      <c r="K44" s="19">
        <f>VLOOKUP($B44,Base_Mensuelle!$CY$67:$DE$679,5,0)</f>
        <v>544825</v>
      </c>
      <c r="L44" s="99">
        <f>VLOOKUP($B44,Base_Mensuelle!$CY$67:$DE$679,2,0)</f>
        <v>105.29117165682757</v>
      </c>
    </row>
    <row r="45" spans="1:12">
      <c r="A45" s="175">
        <f t="shared" si="0"/>
        <v>33</v>
      </c>
      <c r="B45" s="14">
        <f>INDEX(Base_Trimestrielle!$MK$74:$NL$276,MAX(Base_Trimestrielle!$NL$74:$NL$276)-A46,1)</f>
        <v>42248</v>
      </c>
      <c r="C45" s="733">
        <f>VLOOKUP($B45,Base_Trimestrielle!$MK$74:NL$276,3,0)</f>
        <v>96.396727028025282</v>
      </c>
      <c r="D45" s="570">
        <f>VLOOKUP($B45,Base_Trimestrielle!$MK$74:NL$276,28,0)</f>
        <v>63</v>
      </c>
      <c r="E45" s="99">
        <f>VLOOKUP($B45,Base_Trimestrielle!$MK$74:NL$276,12,0)</f>
        <v>99.869933375310282</v>
      </c>
      <c r="F45" s="14">
        <f>INDEX(Base_Trimestrielle!$MK$74:$NL$276,MAX(Base_Trimestrielle!$NL$74:$NL$276)-A46,1)</f>
        <v>42248</v>
      </c>
      <c r="G45" s="99">
        <f>VLOOKUP($B45,Base_Trimestrielle!$MK$74:NL$276,5,0)</f>
        <v>100</v>
      </c>
      <c r="H45" s="132">
        <f>VLOOKUP($B45,Base_Mensuelle!$DG$67:$DN$679,2,0)</f>
        <v>321248</v>
      </c>
      <c r="I45" s="99">
        <f>VLOOKUP($B45,Base_Mensuelle!$CF$68:$CJ$679,2,0)</f>
        <v>1.5154557879999999</v>
      </c>
      <c r="J45" s="132">
        <f>VLOOKUP($B45,Base_Mensuelle!$CF$68:$CJ$679,3,0)</f>
        <v>1124.77</v>
      </c>
      <c r="K45" s="19">
        <f>VLOOKUP($B45,Base_Mensuelle!$CY$67:$DE$679,5,0)</f>
        <v>544825</v>
      </c>
      <c r="L45" s="99">
        <f>VLOOKUP($B45,Base_Mensuelle!$CY$67:$DE$679,2,0)</f>
        <v>97.568646000000001</v>
      </c>
    </row>
    <row r="46" spans="1:12">
      <c r="A46" s="175">
        <f t="shared" si="0"/>
        <v>32</v>
      </c>
      <c r="B46" s="14">
        <f>INDEX(Base_Trimestrielle!$MK$74:$NL$276,MAX(Base_Trimestrielle!$NL$74:$NL$276)-A47,1)</f>
        <v>42339</v>
      </c>
      <c r="C46" s="733">
        <f>VLOOKUP($B46,Base_Trimestrielle!$MK$74:NL$276,3,0)</f>
        <v>105.46451725834466</v>
      </c>
      <c r="D46" s="570">
        <f>VLOOKUP($B46,Base_Trimestrielle!$MK$74:NL$276,28,0)</f>
        <v>64</v>
      </c>
      <c r="E46" s="99">
        <f>VLOOKUP($B46,Base_Trimestrielle!$MK$74:NL$276,12,0)</f>
        <v>100.01312240596739</v>
      </c>
      <c r="F46" s="14">
        <f>INDEX(Base_Trimestrielle!$MK$74:$NL$276,MAX(Base_Trimestrielle!$NL$74:$NL$276)-A47,1)</f>
        <v>42339</v>
      </c>
      <c r="G46" s="99">
        <f>VLOOKUP($B46,Base_Trimestrielle!$MK$74:NL$276,5,0)</f>
        <v>100</v>
      </c>
      <c r="H46" s="132">
        <f>VLOOKUP($B46,Base_Mensuelle!$DG$67:$DN$679,2,0)</f>
        <v>328780</v>
      </c>
      <c r="I46" s="99">
        <f>VLOOKUP($B46,Base_Mensuelle!$CF$68:$CJ$679,2,0)</f>
        <v>1.551832018</v>
      </c>
      <c r="J46" s="132">
        <f>VLOOKUP($B46,Base_Mensuelle!$CF$68:$CJ$679,3,0)</f>
        <v>1075.74</v>
      </c>
      <c r="K46" s="19">
        <f>VLOOKUP($B46,Base_Mensuelle!$CY$67:$DE$679,5,0)</f>
        <v>544825</v>
      </c>
      <c r="L46" s="99">
        <f>VLOOKUP($B46,Base_Mensuelle!$CY$67:$DE$679,2,0)</f>
        <v>94.517721000000009</v>
      </c>
    </row>
    <row r="47" spans="1:12">
      <c r="A47" s="175">
        <f t="shared" si="0"/>
        <v>31</v>
      </c>
      <c r="B47" s="14">
        <f>INDEX(Base_Trimestrielle!$MK$74:$NL$276,MAX(Base_Trimestrielle!$NL$74:$NL$276)-A48,1)</f>
        <v>42430</v>
      </c>
      <c r="C47" s="733">
        <f>VLOOKUP($B47,Base_Trimestrielle!$MK$74:NL$276,3,0)</f>
        <v>110.65471952286067</v>
      </c>
      <c r="D47" s="570">
        <f>VLOOKUP($B47,Base_Trimestrielle!$MK$74:NL$276,28,0)</f>
        <v>65</v>
      </c>
      <c r="E47" s="99">
        <f>VLOOKUP($B47,Base_Trimestrielle!$MK$74:NL$276,12,0)</f>
        <v>100.29950046728167</v>
      </c>
      <c r="F47" s="14">
        <f>INDEX(Base_Trimestrielle!$MK$74:$NL$276,MAX(Base_Trimestrielle!$NL$74:$NL$276)-A48,1)</f>
        <v>42430</v>
      </c>
      <c r="G47" s="99">
        <f>VLOOKUP($B47,Base_Trimestrielle!$MK$74:NL$276,5,0)</f>
        <v>100</v>
      </c>
      <c r="H47" s="132">
        <f>VLOOKUP($B47,Base_Mensuelle!$DG$67:$DN$679,2,0)</f>
        <v>338333</v>
      </c>
      <c r="I47" s="99">
        <f>VLOOKUP($B47,Base_Mensuelle!$CF$68:$CJ$679,2,0)</f>
        <v>1.443144252</v>
      </c>
      <c r="J47" s="132">
        <f>VLOOKUP($B47,Base_Mensuelle!$CF$68:$CJ$679,3,0)</f>
        <v>1245.1400000000001</v>
      </c>
      <c r="K47" s="19">
        <f>VLOOKUP($B47,Base_Mensuelle!$CY$67:$DE$679,5,0)</f>
        <v>585634</v>
      </c>
      <c r="L47" s="99">
        <f>VLOOKUP($B47,Base_Mensuelle!$CY$67:$DE$679,2,0)</f>
        <v>104.16013717855886</v>
      </c>
    </row>
    <row r="48" spans="1:12">
      <c r="A48" s="175">
        <f t="shared" si="0"/>
        <v>30</v>
      </c>
      <c r="B48" s="14">
        <f>INDEX(Base_Trimestrielle!$MK$74:$NL$276,MAX(Base_Trimestrielle!$NL$74:$NL$276)-A49,1)</f>
        <v>42522</v>
      </c>
      <c r="C48" s="733">
        <f>VLOOKUP($B48,Base_Trimestrielle!$MK$74:NL$276,3,0)</f>
        <v>112.80958873396928</v>
      </c>
      <c r="D48" s="570">
        <f>VLOOKUP($B48,Base_Trimestrielle!$MK$74:NL$276,28,0)</f>
        <v>66</v>
      </c>
      <c r="E48" s="99">
        <f>VLOOKUP($B48,Base_Trimestrielle!$MK$74:NL$276,12,0)</f>
        <v>100.29950046728167</v>
      </c>
      <c r="F48" s="14">
        <f>INDEX(Base_Trimestrielle!$MK$74:$NL$276,MAX(Base_Trimestrielle!$NL$74:$NL$276)-A49,1)</f>
        <v>42522</v>
      </c>
      <c r="G48" s="99">
        <f>VLOOKUP($B48,Base_Trimestrielle!$MK$74:NL$276,5,0)</f>
        <v>100</v>
      </c>
      <c r="H48" s="132">
        <f>VLOOKUP($B48,Base_Mensuelle!$DG$67:$DN$679,2,0)</f>
        <v>341732</v>
      </c>
      <c r="I48" s="99">
        <f>VLOOKUP($B48,Base_Mensuelle!$CF$68:$CJ$679,2,0)</f>
        <v>1.6336234199999999</v>
      </c>
      <c r="J48" s="132">
        <f>VLOOKUP($B48,Base_Mensuelle!$CF$68:$CJ$679,3,0)</f>
        <v>1276.4000000000001</v>
      </c>
      <c r="K48" s="19">
        <f>VLOOKUP($B48,Base_Mensuelle!$CY$67:$DE$679,5,0)</f>
        <v>585634</v>
      </c>
      <c r="L48" s="99">
        <f>VLOOKUP($B48,Base_Mensuelle!$CY$67:$DE$679,2,0)</f>
        <v>118.3582887488395</v>
      </c>
    </row>
    <row r="49" spans="1:12">
      <c r="A49" s="175">
        <f t="shared" si="0"/>
        <v>29</v>
      </c>
      <c r="B49" s="14">
        <f>INDEX(Base_Trimestrielle!$MK$74:$NL$276,MAX(Base_Trimestrielle!$NL$74:$NL$276)-A50,1)</f>
        <v>42614</v>
      </c>
      <c r="C49" s="733">
        <f>VLOOKUP($B49,Base_Trimestrielle!$MK$74:NL$276,3,0)</f>
        <v>107.76215948004311</v>
      </c>
      <c r="D49" s="570">
        <f>VLOOKUP($B49,Base_Trimestrielle!$MK$74:NL$276,28,0)</f>
        <v>67</v>
      </c>
      <c r="E49" s="99">
        <f>VLOOKUP($B49,Base_Trimestrielle!$MK$74:NL$276,12,0)</f>
        <v>100.29950046728167</v>
      </c>
      <c r="F49" s="14">
        <f>INDEX(Base_Trimestrielle!$MK$74:$NL$276,MAX(Base_Trimestrielle!$NL$74:$NL$276)-A50,1)</f>
        <v>42614</v>
      </c>
      <c r="G49" s="99">
        <f>VLOOKUP($B49,Base_Trimestrielle!$MK$74:NL$276,5,0)</f>
        <v>100</v>
      </c>
      <c r="H49" s="132">
        <f>VLOOKUP($B49,Base_Mensuelle!$DG$67:$DN$679,2,0)</f>
        <v>349411</v>
      </c>
      <c r="I49" s="99">
        <f>VLOOKUP($B49,Base_Mensuelle!$CF$68:$CJ$679,2,0)</f>
        <v>1.7165171319999999</v>
      </c>
      <c r="J49" s="132">
        <f>VLOOKUP($B49,Base_Mensuelle!$CF$68:$CJ$679,3,0)</f>
        <v>1326.61</v>
      </c>
      <c r="K49" s="19">
        <f>VLOOKUP($B49,Base_Mensuelle!$CY$67:$DE$679,5,0)</f>
        <v>585634</v>
      </c>
      <c r="L49" s="99">
        <f>VLOOKUP($B49,Base_Mensuelle!$CY$67:$DE$679,2,0)</f>
        <v>103.66224026025505</v>
      </c>
    </row>
    <row r="50" spans="1:12">
      <c r="A50" s="175">
        <f t="shared" si="0"/>
        <v>28</v>
      </c>
      <c r="B50" s="14">
        <f>INDEX(Base_Trimestrielle!$MK$74:$NL$276,MAX(Base_Trimestrielle!$NL$74:$NL$276)-A51,1)</f>
        <v>42705</v>
      </c>
      <c r="C50" s="733">
        <f>VLOOKUP($B50,Base_Trimestrielle!$MK$74:NL$276,3,0)</f>
        <v>111.74596566564013</v>
      </c>
      <c r="D50" s="570">
        <f>VLOOKUP($B50,Base_Trimestrielle!$MK$74:NL$276,28,0)</f>
        <v>68</v>
      </c>
      <c r="E50" s="99">
        <f>VLOOKUP($B50,Base_Trimestrielle!$MK$74:NL$276,12,0)</f>
        <v>100.29950046728167</v>
      </c>
      <c r="F50" s="14">
        <f>INDEX(Base_Trimestrielle!$MK$74:$NL$276,MAX(Base_Trimestrielle!$NL$74:$NL$276)-A51,1)</f>
        <v>42705</v>
      </c>
      <c r="G50" s="99">
        <f>VLOOKUP($B50,Base_Trimestrielle!$MK$74:NL$276,5,0)</f>
        <v>100</v>
      </c>
      <c r="H50" s="132">
        <f>VLOOKUP($B50,Base_Mensuelle!$DG$67:$DN$679,2,0)</f>
        <v>353830</v>
      </c>
      <c r="I50" s="99">
        <f>VLOOKUP($B50,Base_Mensuelle!$CF$68:$CJ$679,2,0)</f>
        <v>1.7526729000000001</v>
      </c>
      <c r="J50" s="132">
        <f>VLOOKUP($B50,Base_Mensuelle!$CF$68:$CJ$679,3,0)</f>
        <v>1157.3599999999999</v>
      </c>
      <c r="K50" s="19">
        <f>VLOOKUP($B50,Base_Mensuelle!$CY$67:$DE$679,5,0)</f>
        <v>585634</v>
      </c>
      <c r="L50" s="99">
        <f>VLOOKUP($B50,Base_Mensuelle!$CY$67:$DE$679,2,0)</f>
        <v>110.67661572150462</v>
      </c>
    </row>
    <row r="51" spans="1:12">
      <c r="A51" s="175">
        <f t="shared" si="0"/>
        <v>27</v>
      </c>
      <c r="B51" s="14">
        <f>INDEX(Base_Trimestrielle!$MK$74:$NL$276,MAX(Base_Trimestrielle!$NL$74:$NL$276)-A52,1)</f>
        <v>42795</v>
      </c>
      <c r="C51" s="733">
        <f>VLOOKUP($B51,Base_Trimestrielle!$MK$74:NL$276,3,0)</f>
        <v>106.29488783822366</v>
      </c>
      <c r="D51" s="570">
        <f>VLOOKUP($B51,Base_Trimestrielle!$MK$74:NL$276,28,0)</f>
        <v>69</v>
      </c>
      <c r="E51" s="99">
        <f>VLOOKUP($B51,Base_Trimestrielle!$MK$74:NL$276,12,0)</f>
        <v>100.29950046728165</v>
      </c>
      <c r="F51" s="14">
        <f>INDEX(Base_Trimestrielle!$MK$74:$NL$276,MAX(Base_Trimestrielle!$NL$74:$NL$276)-A52,1)</f>
        <v>42795</v>
      </c>
      <c r="G51" s="99">
        <f>VLOOKUP($B51,Base_Trimestrielle!$MK$74:NL$276,5,0)</f>
        <v>100.00000000000001</v>
      </c>
      <c r="H51" s="132">
        <f>VLOOKUP($B51,Base_Mensuelle!$DG$67:$DN$679,2,0)</f>
        <v>360767</v>
      </c>
      <c r="I51" s="99">
        <f>VLOOKUP($B51,Base_Mensuelle!$CF$68:$CJ$679,2,0)</f>
        <v>1.9131692360000001</v>
      </c>
      <c r="J51" s="132">
        <f>VLOOKUP($B51,Base_Mensuelle!$CF$68:$CJ$679,3,0)</f>
        <v>1231.42</v>
      </c>
      <c r="K51" s="19">
        <f>VLOOKUP($B51,Base_Mensuelle!$CY$67:$DE$679,5,0)</f>
        <v>628111</v>
      </c>
      <c r="L51" s="99">
        <f>VLOOKUP($B51,Base_Mensuelle!$CY$67:$DE$679,2,0)</f>
        <v>116.69479157628643</v>
      </c>
    </row>
    <row r="52" spans="1:12">
      <c r="A52" s="175">
        <f t="shared" si="0"/>
        <v>26</v>
      </c>
      <c r="B52" s="14">
        <f>INDEX(Base_Trimestrielle!$MK$74:$NL$276,MAX(Base_Trimestrielle!$NL$74:$NL$276)-A53,1)</f>
        <v>42887</v>
      </c>
      <c r="C52" s="733">
        <f>VLOOKUP($B52,Base_Trimestrielle!$MK$74:NL$276,3,0)</f>
        <v>104.85086115826098</v>
      </c>
      <c r="D52" s="570">
        <f>VLOOKUP($B52,Base_Trimestrielle!$MK$74:NL$276,28,0)</f>
        <v>70</v>
      </c>
      <c r="E52" s="99">
        <f>VLOOKUP($B52,Base_Trimestrielle!$MK$74:NL$276,12,0)</f>
        <v>100.29950046728165</v>
      </c>
      <c r="F52" s="14">
        <f>INDEX(Base_Trimestrielle!$MK$74:$NL$276,MAX(Base_Trimestrielle!$NL$74:$NL$276)-A53,1)</f>
        <v>42887</v>
      </c>
      <c r="G52" s="99">
        <f>VLOOKUP($B52,Base_Trimestrielle!$MK$74:NL$276,5,0)</f>
        <v>100.00000000000001</v>
      </c>
      <c r="H52" s="132">
        <f>VLOOKUP($B52,Base_Mensuelle!$DG$67:$DN$679,2,0)</f>
        <v>369973</v>
      </c>
      <c r="I52" s="99">
        <f>VLOOKUP($B52,Base_Mensuelle!$CF$68:$CJ$679,2,0)</f>
        <v>1.868635912</v>
      </c>
      <c r="J52" s="132">
        <f>VLOOKUP($B52,Base_Mensuelle!$CF$68:$CJ$679,3,0)</f>
        <v>1260.26</v>
      </c>
      <c r="K52" s="19">
        <f>VLOOKUP($B52,Base_Mensuelle!$CY$67:$DE$679,5,0)</f>
        <v>628111</v>
      </c>
      <c r="L52" s="99">
        <f>VLOOKUP($B52,Base_Mensuelle!$CY$67:$DE$679,2,0)</f>
        <v>132.45224764</v>
      </c>
    </row>
    <row r="53" spans="1:12">
      <c r="A53" s="175">
        <f t="shared" si="0"/>
        <v>25</v>
      </c>
      <c r="B53" s="14">
        <f>INDEX(Base_Trimestrielle!$MK$74:$NL$276,MAX(Base_Trimestrielle!$NL$74:$NL$276)-A54,1)</f>
        <v>42979</v>
      </c>
      <c r="C53" s="733">
        <f>VLOOKUP($B53,Base_Trimestrielle!$MK$74:NL$276,3,0)</f>
        <v>104.01841324940588</v>
      </c>
      <c r="D53" s="570">
        <f>VLOOKUP($B53,Base_Trimestrielle!$MK$74:NL$276,28,0)</f>
        <v>71</v>
      </c>
      <c r="E53" s="99">
        <f>VLOOKUP($B53,Base_Trimestrielle!$MK$74:NL$276,12,0)</f>
        <v>100.29950046728165</v>
      </c>
      <c r="F53" s="14">
        <f>INDEX(Base_Trimestrielle!$MK$74:$NL$276,MAX(Base_Trimestrielle!$NL$74:$NL$276)-A54,1)</f>
        <v>42979</v>
      </c>
      <c r="G53" s="99">
        <f>VLOOKUP($B53,Base_Trimestrielle!$MK$74:NL$276,5,0)</f>
        <v>100.00000000000001</v>
      </c>
      <c r="H53" s="132">
        <f>VLOOKUP($B53,Base_Mensuelle!$DG$67:$DN$679,2,0)</f>
        <v>386576.58184045763</v>
      </c>
      <c r="I53" s="99">
        <f>VLOOKUP($B53,Base_Mensuelle!$CF$68:$CJ$679,2,0)</f>
        <v>1.7769237200000001</v>
      </c>
      <c r="J53" s="132">
        <f>VLOOKUP($B53,Base_Mensuelle!$CF$68:$CJ$679,3,0)</f>
        <v>1314.07</v>
      </c>
      <c r="K53" s="19">
        <f>VLOOKUP($B53,Base_Mensuelle!$CY$67:$DE$679,5,0)</f>
        <v>628111</v>
      </c>
      <c r="L53" s="99">
        <f>VLOOKUP($B53,Base_Mensuelle!$CY$67:$DE$679,2,0)</f>
        <v>115.3603475358089</v>
      </c>
    </row>
    <row r="54" spans="1:12">
      <c r="A54" s="175">
        <f t="shared" si="0"/>
        <v>24</v>
      </c>
      <c r="B54" s="14">
        <f>INDEX(Base_Trimestrielle!$MK$74:$NL$276,MAX(Base_Trimestrielle!$NL$74:$NL$276)-A55,1)</f>
        <v>43070</v>
      </c>
      <c r="C54" s="733">
        <f>VLOOKUP($B54,Base_Trimestrielle!$MK$74:NL$276,3,0)</f>
        <v>103.61327792786298</v>
      </c>
      <c r="D54" s="570">
        <f>VLOOKUP($B54,Base_Trimestrielle!$MK$74:NL$276,28,0)</f>
        <v>72</v>
      </c>
      <c r="E54" s="99">
        <f>VLOOKUP($B54,Base_Trimestrielle!$MK$74:NL$276,12,0)</f>
        <v>100.29950046728165</v>
      </c>
      <c r="F54" s="14">
        <f>INDEX(Base_Trimestrielle!$MK$74:$NL$276,MAX(Base_Trimestrielle!$NL$74:$NL$276)-A55,1)</f>
        <v>43070</v>
      </c>
      <c r="G54" s="99">
        <f>VLOOKUP($B54,Base_Trimestrielle!$MK$74:NL$276,5,0)</f>
        <v>100.00000000000001</v>
      </c>
      <c r="H54" s="132">
        <f>VLOOKUP($B54,Base_Mensuelle!$DG$67:$DN$679,2,0)</f>
        <v>404312.81278529955</v>
      </c>
      <c r="I54" s="99">
        <f>VLOOKUP($B54,Base_Mensuelle!$CF$68:$CJ$679,2,0)</f>
        <v>1.8831864039999999</v>
      </c>
      <c r="J54" s="132">
        <f>VLOOKUP($B54,Base_Mensuelle!$CF$68:$CJ$679,3,0)</f>
        <v>1264.45</v>
      </c>
      <c r="K54" s="19">
        <f>VLOOKUP($B54,Base_Mensuelle!$CY$67:$DE$679,5,0)</f>
        <v>628111</v>
      </c>
      <c r="L54" s="99">
        <f>VLOOKUP($B54,Base_Mensuelle!$CY$67:$DE$679,2,0)</f>
        <v>117.67603528112758</v>
      </c>
    </row>
    <row r="55" spans="1:12">
      <c r="A55" s="175">
        <f t="shared" si="0"/>
        <v>23</v>
      </c>
      <c r="B55" s="14">
        <f>INDEX(Base_Trimestrielle!$MK$74:$NL$276,MAX(Base_Trimestrielle!$NL$74:$NL$276)-A56,1)</f>
        <v>43160</v>
      </c>
      <c r="C55" s="733">
        <f>VLOOKUP($B55,Base_Trimestrielle!$MK$74:NL$276,3,0)</f>
        <v>104.4002698085975</v>
      </c>
      <c r="D55" s="570">
        <f>VLOOKUP($B55,Base_Trimestrielle!$MK$74:NL$276,28,0)</f>
        <v>73</v>
      </c>
      <c r="E55" s="99">
        <f>VLOOKUP($B55,Base_Trimestrielle!$MK$74:NL$276,12,0)</f>
        <v>100.29950046728165</v>
      </c>
      <c r="F55" s="14">
        <f>INDEX(Base_Trimestrielle!$MK$74:$NL$276,MAX(Base_Trimestrielle!$NL$74:$NL$276)-A56,1)</f>
        <v>43160</v>
      </c>
      <c r="G55" s="99">
        <f>VLOOKUP($B55,Base_Trimestrielle!$MK$74:NL$276,5,0)</f>
        <v>100.00000000000003</v>
      </c>
      <c r="H55" s="132">
        <f>VLOOKUP($B55,Base_Mensuelle!$DG$67:$DN$679,2,0)</f>
        <v>391361</v>
      </c>
      <c r="I55" s="99">
        <f>VLOOKUP($B55,Base_Mensuelle!$CF$68:$CJ$679,2,0)</f>
        <v>2.0313368679999999</v>
      </c>
      <c r="J55" s="132">
        <f>VLOOKUP($B55,Base_Mensuelle!$CF$68:$CJ$679,3,0)</f>
        <v>1324.66</v>
      </c>
      <c r="K55" s="19">
        <f>VLOOKUP($B55,Base_Mensuelle!$CY$67:$DE$679,5,0)</f>
        <v>669448</v>
      </c>
      <c r="L55" s="99">
        <f>VLOOKUP($B55,Base_Mensuelle!$CY$67:$DE$679,2,0)</f>
        <v>124.84660676272165</v>
      </c>
    </row>
    <row r="56" spans="1:12">
      <c r="A56" s="175">
        <f t="shared" si="0"/>
        <v>22</v>
      </c>
      <c r="B56" s="14">
        <f>INDEX(Base_Trimestrielle!$MK$74:$NL$276,MAX(Base_Trimestrielle!$NL$74:$NL$276)-A57,1)</f>
        <v>43252</v>
      </c>
      <c r="C56" s="733">
        <f>VLOOKUP($B56,Base_Trimestrielle!$MK$74:NL$276,3,0)</f>
        <v>100.13730915103899</v>
      </c>
      <c r="D56" s="570">
        <f>VLOOKUP($B56,Base_Trimestrielle!$MK$74:NL$276,28,0)</f>
        <v>74</v>
      </c>
      <c r="E56" s="99">
        <f>VLOOKUP($B56,Base_Trimestrielle!$MK$74:NL$276,12,0)</f>
        <v>100.29950046728165</v>
      </c>
      <c r="F56" s="14">
        <f>INDEX(Base_Trimestrielle!$MK$74:$NL$276,MAX(Base_Trimestrielle!$NL$74:$NL$276)-A57,1)</f>
        <v>43252</v>
      </c>
      <c r="G56" s="99">
        <f>VLOOKUP($B56,Base_Trimestrielle!$MK$74:NL$276,5,0)</f>
        <v>100.00000000000003</v>
      </c>
      <c r="H56" s="132">
        <f>VLOOKUP($B56,Base_Mensuelle!$DG$67:$DN$679,2,0)</f>
        <v>393213</v>
      </c>
      <c r="I56" s="99">
        <f>VLOOKUP($B56,Base_Mensuelle!$CF$68:$CJ$679,2,0)</f>
        <v>2.1541342019999998</v>
      </c>
      <c r="J56" s="132">
        <f>VLOOKUP($B56,Base_Mensuelle!$CF$68:$CJ$679,3,0)</f>
        <v>1281.57</v>
      </c>
      <c r="K56" s="19">
        <f>VLOOKUP($B56,Base_Mensuelle!$CY$67:$DE$679,5,0)</f>
        <v>669448</v>
      </c>
      <c r="L56" s="99">
        <f>VLOOKUP($B56,Base_Mensuelle!$CY$67:$DE$679,2,0)</f>
        <v>139.82304604993146</v>
      </c>
    </row>
    <row r="57" spans="1:12">
      <c r="A57" s="175">
        <f t="shared" si="0"/>
        <v>21</v>
      </c>
      <c r="B57" s="14">
        <f>INDEX(Base_Trimestrielle!$MK$74:$NL$276,MAX(Base_Trimestrielle!$NL$74:$NL$276)-A58,1)</f>
        <v>43344</v>
      </c>
      <c r="C57" s="733">
        <f>VLOOKUP($B57,Base_Trimestrielle!$MK$74:NL$276,3,0)</f>
        <v>105.89018828088579</v>
      </c>
      <c r="D57" s="570">
        <f>VLOOKUP($B57,Base_Trimestrielle!$MK$74:NL$276,28,0)</f>
        <v>75</v>
      </c>
      <c r="E57" s="99">
        <f>VLOOKUP($B57,Base_Trimestrielle!$MK$74:NL$276,12,0)</f>
        <v>100.29950046728165</v>
      </c>
      <c r="F57" s="14">
        <f>INDEX(Base_Trimestrielle!$MK$74:$NL$276,MAX(Base_Trimestrielle!$NL$74:$NL$276)-A58,1)</f>
        <v>43344</v>
      </c>
      <c r="G57" s="99">
        <f>VLOOKUP($B57,Base_Trimestrielle!$MK$74:NL$276,5,0)</f>
        <v>100.00000000000003</v>
      </c>
      <c r="H57" s="132">
        <f>VLOOKUP($B57,Base_Mensuelle!$DG$67:$DN$679,2,0)</f>
        <v>396475</v>
      </c>
      <c r="I57" s="99">
        <f>VLOOKUP($B57,Base_Mensuelle!$CF$68:$CJ$679,2,0)</f>
        <v>1.9920946319999999</v>
      </c>
      <c r="J57" s="132">
        <f>VLOOKUP($B57,Base_Mensuelle!$CF$68:$CJ$679,3,0)</f>
        <v>1198.3900000000001</v>
      </c>
      <c r="K57" s="19">
        <f>VLOOKUP($B57,Base_Mensuelle!$CY$67:$DE$679,5,0)</f>
        <v>669448</v>
      </c>
      <c r="L57" s="99">
        <f>VLOOKUP($B57,Base_Mensuelle!$CY$67:$DE$679,2,0)</f>
        <v>121.96905879458902</v>
      </c>
    </row>
    <row r="58" spans="1:12">
      <c r="A58" s="175">
        <f t="shared" ref="A58:A76" si="1">A59+1</f>
        <v>20</v>
      </c>
      <c r="B58" s="14">
        <f>INDEX(Base_Trimestrielle!$MK$74:$NL$276,MAX(Base_Trimestrielle!$NL$74:$NL$276)-A59,1)</f>
        <v>43435</v>
      </c>
      <c r="C58" s="733">
        <f>VLOOKUP($B58,Base_Trimestrielle!$MK$74:NL$276,3,0)</f>
        <v>103.88260937758294</v>
      </c>
      <c r="D58" s="570">
        <f>VLOOKUP($B58,Base_Trimestrielle!$MK$74:NL$276,28,0)</f>
        <v>76</v>
      </c>
      <c r="E58" s="99">
        <f>VLOOKUP($B58,Base_Trimestrielle!$MK$74:NL$276,12,0)</f>
        <v>100.29950046728165</v>
      </c>
      <c r="F58" s="14">
        <f>INDEX(Base_Trimestrielle!$MK$74:$NL$276,MAX(Base_Trimestrielle!$NL$74:$NL$276)-A59,1)</f>
        <v>43435</v>
      </c>
      <c r="G58" s="99">
        <f>VLOOKUP($B58,Base_Trimestrielle!$MK$74:NL$276,5,0)</f>
        <v>100.00000000000003</v>
      </c>
      <c r="H58" s="132">
        <f>VLOOKUP($B58,Base_Mensuelle!$DG$67:$DN$679,2,0)</f>
        <v>400036.5</v>
      </c>
      <c r="I58" s="99">
        <f>VLOOKUP($B58,Base_Mensuelle!$CF$68:$CJ$679,2,0)</f>
        <v>1.8959732</v>
      </c>
      <c r="J58" s="132">
        <f>VLOOKUP($B58,Base_Mensuelle!$CF$68:$CJ$679,3,0)</f>
        <v>1250.4000000000001</v>
      </c>
      <c r="K58" s="19">
        <f>VLOOKUP($B58,Base_Mensuelle!$CY$67:$DE$679,5,0)</f>
        <v>669448</v>
      </c>
      <c r="L58" s="99">
        <f>VLOOKUP($B58,Base_Mensuelle!$CY$67:$DE$679,2,0)</f>
        <v>144.65919638104236</v>
      </c>
    </row>
    <row r="59" spans="1:12">
      <c r="A59" s="175">
        <f t="shared" si="1"/>
        <v>19</v>
      </c>
      <c r="B59" s="14">
        <f>INDEX(Base_Trimestrielle!$MK$74:$NL$276,MAX(Base_Trimestrielle!$NL$74:$NL$276)-A60,1)</f>
        <v>43525</v>
      </c>
      <c r="C59" s="733">
        <f>VLOOKUP($B59,Base_Trimestrielle!$MK$74:NL$276,3,0)</f>
        <v>110.00994257172236</v>
      </c>
      <c r="D59" s="570">
        <f>VLOOKUP($B59,Base_Trimestrielle!$MK$74:NL$276,28,0)</f>
        <v>77</v>
      </c>
      <c r="E59" s="99">
        <f>VLOOKUP($B59,Base_Trimestrielle!$MK$74:NL$276,12,0)</f>
        <v>100.29950046728163</v>
      </c>
      <c r="F59" s="14">
        <f>INDEX(Base_Trimestrielle!$MK$74:$NL$276,MAX(Base_Trimestrielle!$NL$74:$NL$276)-A60,1)</f>
        <v>43525</v>
      </c>
      <c r="G59" s="99">
        <f>VLOOKUP($B59,Base_Trimestrielle!$MK$74:NL$276,5,0)</f>
        <v>100.00000000000001</v>
      </c>
      <c r="H59" s="132">
        <f>VLOOKUP($B59,Base_Mensuelle!$DG$67:$DN$679,2,0)</f>
        <v>407709</v>
      </c>
      <c r="I59" s="99">
        <f>VLOOKUP($B59,Base_Mensuelle!$CF$68:$CJ$679,2,0)</f>
        <v>1.8476920219999999</v>
      </c>
      <c r="J59" s="132">
        <f>VLOOKUP($B59,Base_Mensuelle!$CF$68:$CJ$679,3,0)</f>
        <v>1300.9000000000001</v>
      </c>
      <c r="K59" s="19">
        <f>VLOOKUP($B59,Base_Mensuelle!$CY$67:$DE$679,5,0)</f>
        <v>0</v>
      </c>
      <c r="L59" s="99">
        <f>VLOOKUP($B59,Base_Mensuelle!$CY$67:$DE$679,2,0)</f>
        <v>130.4919161</v>
      </c>
    </row>
    <row r="60" spans="1:12">
      <c r="A60" s="175">
        <f t="shared" si="1"/>
        <v>18</v>
      </c>
      <c r="B60" s="14">
        <f>INDEX(Base_Trimestrielle!$MK$74:$NL$276,MAX(Base_Trimestrielle!$NL$74:$NL$276)-A61,1)</f>
        <v>43617</v>
      </c>
      <c r="C60" s="733">
        <f>VLOOKUP($B60,Base_Trimestrielle!$MK$74:NL$276,3,0)</f>
        <v>111.55188134194881</v>
      </c>
      <c r="D60" s="570">
        <f>VLOOKUP($B60,Base_Trimestrielle!$MK$74:NL$276,28,0)</f>
        <v>78</v>
      </c>
      <c r="E60" s="99">
        <f>VLOOKUP($B60,Base_Trimestrielle!$MK$74:NL$276,12,0)</f>
        <v>100.29950046728163</v>
      </c>
      <c r="F60" s="14">
        <f>INDEX(Base_Trimestrielle!$MK$74:$NL$276,MAX(Base_Trimestrielle!$NL$74:$NL$276)-A61,1)</f>
        <v>43617</v>
      </c>
      <c r="G60" s="99">
        <f>VLOOKUP($B60,Base_Trimestrielle!$MK$74:NL$276,5,0)</f>
        <v>100.00000000000001</v>
      </c>
      <c r="H60" s="132">
        <f>VLOOKUP($B60,Base_Mensuelle!$DG$67:$DN$679,2,0)</f>
        <v>412782</v>
      </c>
      <c r="I60" s="99">
        <f>VLOOKUP($B60,Base_Mensuelle!$CF$68:$CJ$679,2,0)</f>
        <v>1.71188743</v>
      </c>
      <c r="J60" s="132">
        <f>VLOOKUP($B60,Base_Mensuelle!$CF$68:$CJ$679,3,0)</f>
        <v>1359.04</v>
      </c>
      <c r="K60" s="19">
        <f>VLOOKUP($B60,Base_Mensuelle!$CY$67:$DE$679,5,0)</f>
        <v>0</v>
      </c>
      <c r="L60" s="99">
        <f>VLOOKUP($B60,Base_Mensuelle!$CY$67:$DE$679,2,0)</f>
        <v>165.36286959999998</v>
      </c>
    </row>
    <row r="61" spans="1:12">
      <c r="A61" s="175">
        <f t="shared" si="1"/>
        <v>17</v>
      </c>
      <c r="B61" s="14">
        <f>INDEX(Base_Trimestrielle!$MK$74:$NL$276,MAX(Base_Trimestrielle!$NL$74:$NL$276)-A62,1)</f>
        <v>43709</v>
      </c>
      <c r="C61" s="733">
        <f>VLOOKUP($B61,Base_Trimestrielle!$MK$74:NL$276,3,0)</f>
        <v>126.90065598638252</v>
      </c>
      <c r="D61" s="570">
        <f>VLOOKUP($B61,Base_Trimestrielle!$MK$74:NL$276,28,0)</f>
        <v>79</v>
      </c>
      <c r="E61" s="99">
        <f>VLOOKUP($B61,Base_Trimestrielle!$MK$74:NL$276,12,0)</f>
        <v>100.29950046728163</v>
      </c>
      <c r="F61" s="14">
        <f>INDEX(Base_Trimestrielle!$MK$74:$NL$276,MAX(Base_Trimestrielle!$NL$74:$NL$276)-A62,1)</f>
        <v>43709</v>
      </c>
      <c r="G61" s="99">
        <f>VLOOKUP($B61,Base_Trimestrielle!$MK$74:NL$276,5,0)</f>
        <v>100.00000000000001</v>
      </c>
      <c r="H61" s="132">
        <f>VLOOKUP($B61,Base_Mensuelle!$DG$67:$DN$679,2,0)</f>
        <v>416138</v>
      </c>
      <c r="I61" s="99">
        <f>VLOOKUP($B61,Base_Mensuelle!$CF$68:$CJ$679,2,0)</f>
        <v>1.5721145219999999</v>
      </c>
      <c r="J61" s="132">
        <f>VLOOKUP($B61,Base_Mensuelle!$CF$68:$CJ$679,3,0)</f>
        <v>1510.58</v>
      </c>
      <c r="K61" s="19">
        <f>VLOOKUP($B61,Base_Mensuelle!$CY$67:$DE$679,5,0)</f>
        <v>0</v>
      </c>
      <c r="L61" s="99">
        <f>VLOOKUP($B61,Base_Mensuelle!$CY$67:$DE$679,2,0)</f>
        <v>129.22752320000001</v>
      </c>
    </row>
    <row r="62" spans="1:12">
      <c r="A62" s="175">
        <f t="shared" si="1"/>
        <v>16</v>
      </c>
      <c r="B62" s="14">
        <f>INDEX(Base_Trimestrielle!$MK$74:$NL$276,MAX(Base_Trimestrielle!$NL$74:$NL$276)-A63,1)</f>
        <v>43800</v>
      </c>
      <c r="C62" s="733">
        <f>VLOOKUP($B62,Base_Trimestrielle!$MK$74:NL$276,3,0)</f>
        <v>127.7865049510963</v>
      </c>
      <c r="D62" s="570">
        <f>VLOOKUP($B62,Base_Trimestrielle!$MK$74:NL$276,28,0)</f>
        <v>80</v>
      </c>
      <c r="E62" s="99">
        <f>VLOOKUP($B62,Base_Trimestrielle!$MK$74:NL$276,12,0)</f>
        <v>100.29950046728163</v>
      </c>
      <c r="F62" s="14">
        <f>INDEX(Base_Trimestrielle!$MK$74:$NL$276,MAX(Base_Trimestrielle!$NL$74:$NL$276)-A63,1)</f>
        <v>43800</v>
      </c>
      <c r="G62" s="99">
        <f>VLOOKUP($B62,Base_Trimestrielle!$MK$74:NL$276,5,0)</f>
        <v>100.00000000000001</v>
      </c>
      <c r="H62" s="290">
        <f>VLOOKUP($B62,Base_Mensuelle!$DG$67:$DN$679,2,0)</f>
        <v>424876</v>
      </c>
      <c r="I62" s="99">
        <f>VLOOKUP($B62,Base_Mensuelle!$CF$68:$CJ$679,2,0)</f>
        <v>1.6717633460000001</v>
      </c>
      <c r="J62" s="132">
        <f>VLOOKUP($B62,Base_Mensuelle!$CF$68:$CJ$679,3,0)</f>
        <v>1479.13</v>
      </c>
      <c r="K62" s="19">
        <f>VLOOKUP($B62,Base_Mensuelle!$CY$67:$DE$679,5,0)</f>
        <v>0</v>
      </c>
      <c r="L62" s="99">
        <f>VLOOKUP($B62,Base_Mensuelle!$CY$67:$DE$679,2,0)</f>
        <v>133.40707810000001</v>
      </c>
    </row>
    <row r="63" spans="1:12">
      <c r="A63" s="175">
        <f t="shared" si="1"/>
        <v>15</v>
      </c>
      <c r="B63" s="14">
        <f>INDEX(Base_Trimestrielle!$MK$74:$NL$276,MAX(Base_Trimestrielle!$NL$74:$NL$276)-A64,1)</f>
        <v>43891</v>
      </c>
      <c r="C63" s="733">
        <f>VLOOKUP($B63,Base_Trimestrielle!$MK$74:NL$276,3,0)</f>
        <v>127.73924455010344</v>
      </c>
      <c r="D63" s="570">
        <f>VLOOKUP($B63,Base_Trimestrielle!$MK$74:NL$276,28,0)</f>
        <v>81</v>
      </c>
      <c r="E63" s="99">
        <f>VLOOKUP($B63,Base_Trimestrielle!$MK$74:NL$276,12,0)</f>
        <v>100.29950046728163</v>
      </c>
      <c r="F63" s="14">
        <f>INDEX(Base_Trimestrielle!$MK$74:$NL$276,MAX(Base_Trimestrielle!$NL$74:$NL$276)-A64,1)</f>
        <v>43891</v>
      </c>
      <c r="G63" s="99">
        <f>VLOOKUP($B63,Base_Trimestrielle!$MK$74:NL$276,5,0)</f>
        <v>100.00000000000004</v>
      </c>
      <c r="H63" s="290">
        <f>VLOOKUP($B63,Base_Mensuelle!$DG$67:$DN$679,2,0)</f>
        <v>435656</v>
      </c>
      <c r="I63" s="99">
        <f>VLOOKUP($B63,Base_Mensuelle!$CF$68:$CJ$679,2,0)</f>
        <v>1.492307278</v>
      </c>
      <c r="J63" s="132">
        <f>VLOOKUP($B63,Base_Mensuelle!$CF$68:$CJ$679,3,0)</f>
        <v>1591.93</v>
      </c>
      <c r="K63" s="19">
        <f>VLOOKUP($B63,Base_Mensuelle!$CY$67:$DE$679,5,0)</f>
        <v>0</v>
      </c>
      <c r="L63" s="99">
        <f>VLOOKUP($B63,Base_Mensuelle!$CY$67:$DE$679,2,0)</f>
        <v>149.05891700000001</v>
      </c>
    </row>
    <row r="64" spans="1:12">
      <c r="A64" s="175">
        <f t="shared" si="1"/>
        <v>14</v>
      </c>
      <c r="B64" s="14">
        <f>INDEX(Base_Trimestrielle!$MK$74:$NL$276,MAX(Base_Trimestrielle!$NL$74:$NL$276)-A65,1)</f>
        <v>43983</v>
      </c>
      <c r="C64" s="733">
        <f>VLOOKUP($B64,Base_Trimestrielle!$MK$74:NL$276,3,0)</f>
        <v>127.73924455010344</v>
      </c>
      <c r="D64" s="570">
        <f>VLOOKUP($B64,Base_Trimestrielle!$MK$74:NL$276,28,0)</f>
        <v>82</v>
      </c>
      <c r="E64" s="99">
        <f>VLOOKUP($B64,Base_Trimestrielle!$MK$74:NL$276,12,0)</f>
        <v>100.29950046728163</v>
      </c>
      <c r="F64" s="14">
        <f>INDEX(Base_Trimestrielle!$MK$74:$NL$276,MAX(Base_Trimestrielle!$NL$74:$NL$276)-A65,1)</f>
        <v>43983</v>
      </c>
      <c r="G64" s="99">
        <f>VLOOKUP($B64,Base_Trimestrielle!$MK$74:NL$276,5,0)</f>
        <v>100.00000000000004</v>
      </c>
      <c r="H64" s="290">
        <f>VLOOKUP($B64,Base_Mensuelle!$DG$67:$DN$679,2,0)</f>
        <v>441347</v>
      </c>
      <c r="I64" s="99">
        <f>VLOOKUP($B64,Base_Mensuelle!$CF$68:$CJ$679,2,0)</f>
        <v>1.49473236</v>
      </c>
      <c r="J64" s="132">
        <f>VLOOKUP($B64,Base_Mensuelle!$CF$68:$CJ$679,3,0)</f>
        <v>1732.22</v>
      </c>
      <c r="K64" s="19">
        <f>VLOOKUP($B64,Base_Mensuelle!$CY$67:$DE$679,5,0)</f>
        <v>0</v>
      </c>
      <c r="L64" s="99">
        <f>VLOOKUP($B64,Base_Mensuelle!$CY$67:$DE$679,2,0)</f>
        <v>168.00785849000002</v>
      </c>
    </row>
    <row r="65" spans="1:12">
      <c r="A65" s="175">
        <f t="shared" si="1"/>
        <v>13</v>
      </c>
      <c r="B65" s="14">
        <f>INDEX(Base_Trimestrielle!$MK$74:$NL$276,MAX(Base_Trimestrielle!$NL$74:$NL$276)-A66,1)</f>
        <v>44075</v>
      </c>
      <c r="C65" s="733">
        <f>VLOOKUP($B65,Base_Trimestrielle!$MK$74:NL$276,3,0)</f>
        <v>127.73924455010344</v>
      </c>
      <c r="D65" s="570">
        <f>VLOOKUP($B65,Base_Trimestrielle!$MK$74:NL$276,28,0)</f>
        <v>83</v>
      </c>
      <c r="E65" s="99">
        <f>VLOOKUP($B65,Base_Trimestrielle!$MK$74:NL$276,12,0)</f>
        <v>100.29950046728163</v>
      </c>
      <c r="F65" s="14">
        <f>INDEX(Base_Trimestrielle!$MK$74:$NL$276,MAX(Base_Trimestrielle!$NL$74:$NL$276)-A66,1)</f>
        <v>44075</v>
      </c>
      <c r="G65" s="99">
        <f>VLOOKUP($B65,Base_Trimestrielle!$MK$74:NL$276,5,0)</f>
        <v>100.00000000000004</v>
      </c>
      <c r="H65" s="290">
        <f>VLOOKUP($B65,Base_Mensuelle!$DG$67:$DN$679,2,0)</f>
        <v>449300</v>
      </c>
      <c r="I65" s="99">
        <f>VLOOKUP($B65,Base_Mensuelle!$CF$68:$CJ$679,2,0)</f>
        <v>1.5610914220000001</v>
      </c>
      <c r="J65" s="132">
        <f>VLOOKUP($B65,Base_Mensuelle!$CF$68:$CJ$679,3,0)</f>
        <v>1921.92</v>
      </c>
      <c r="K65" s="19">
        <f>VLOOKUP($B65,Base_Mensuelle!$CY$67:$DE$679,5,0)</f>
        <v>0</v>
      </c>
      <c r="L65" s="99">
        <f>VLOOKUP($B65,Base_Mensuelle!$CY$67:$DE$679,2,0)</f>
        <v>135.88035199999999</v>
      </c>
    </row>
    <row r="66" spans="1:12">
      <c r="A66" s="175">
        <f t="shared" si="1"/>
        <v>12</v>
      </c>
      <c r="B66" s="14">
        <f>INDEX(Base_Trimestrielle!$MK$74:$NL$276,MAX(Base_Trimestrielle!$NL$74:$NL$276)-A67,1)</f>
        <v>44166</v>
      </c>
      <c r="C66" s="733">
        <f>VLOOKUP($B66,Base_Trimestrielle!$MK$74:NL$276,3,0)</f>
        <v>127.73924455010344</v>
      </c>
      <c r="D66" s="570">
        <f>VLOOKUP($B66,Base_Trimestrielle!$MK$74:NL$276,28,0)</f>
        <v>84</v>
      </c>
      <c r="E66" s="99">
        <f>VLOOKUP($B66,Base_Trimestrielle!$MK$74:NL$276,12,0)</f>
        <v>100.29950046728163</v>
      </c>
      <c r="F66" s="14">
        <f>INDEX(Base_Trimestrielle!$MK$74:$NL$276,MAX(Base_Trimestrielle!$NL$74:$NL$276)-A67,1)</f>
        <v>44166</v>
      </c>
      <c r="G66" s="99">
        <f>VLOOKUP($B66,Base_Trimestrielle!$MK$74:NL$276,5,0)</f>
        <v>100.00000000000004</v>
      </c>
      <c r="H66" s="290">
        <f>VLOOKUP($B66,Base_Mensuelle!$DG$67:$DN$679,2,0)</f>
        <v>460473</v>
      </c>
      <c r="I66" s="99">
        <f>VLOOKUP($B66,Base_Mensuelle!$CF$68:$CJ$679,2,0)</f>
        <v>1.7861831239999999</v>
      </c>
      <c r="J66" s="132">
        <f>VLOOKUP($B66,Base_Mensuelle!$CF$68:$CJ$679,3,0)</f>
        <v>1858.42</v>
      </c>
      <c r="K66" s="19">
        <f>VLOOKUP($B66,Base_Mensuelle!$CY$67:$DE$679,5,0)</f>
        <v>0</v>
      </c>
      <c r="L66" s="99">
        <f>VLOOKUP($B66,Base_Mensuelle!$CY$67:$DE$679,2,0)</f>
        <v>145.17673400000001</v>
      </c>
    </row>
    <row r="67" spans="1:12">
      <c r="A67" s="175">
        <f t="shared" si="1"/>
        <v>11</v>
      </c>
      <c r="B67" s="14">
        <f>INDEX(Base_Trimestrielle!$MK$74:$NL$276,MAX(Base_Trimestrielle!$NL$74:$NL$276)-A68,1)</f>
        <v>44256</v>
      </c>
      <c r="C67" s="733">
        <f>VLOOKUP($B67,Base_Trimestrielle!$MK$74:NL$276,3,0)</f>
        <v>127.73924455010351</v>
      </c>
      <c r="D67" s="570">
        <f>VLOOKUP($B67,Base_Trimestrielle!$MK$74:NL$276,28,0)</f>
        <v>85</v>
      </c>
      <c r="E67" s="99">
        <f>VLOOKUP($B67,Base_Trimestrielle!$MK$74:NL$276,12,0)</f>
        <v>100.29950046728163</v>
      </c>
      <c r="F67" s="14">
        <f>INDEX(Base_Trimestrielle!$MK$74:$NL$276,MAX(Base_Trimestrielle!$NL$74:$NL$276)-A68,1)</f>
        <v>44256</v>
      </c>
      <c r="G67" s="99">
        <f>VLOOKUP($B67,Base_Trimestrielle!$MK$74:NL$276,5,0)</f>
        <v>100.00000000000007</v>
      </c>
      <c r="H67" s="290">
        <f>VLOOKUP($B67,Base_Mensuelle!$DG$67:$DN$679,2,0)</f>
        <v>469464</v>
      </c>
      <c r="I67" s="99">
        <f>VLOOKUP($B67,Base_Mensuelle!$CF$68:$CJ$679,2,0)</f>
        <v>2.0161249899999998</v>
      </c>
      <c r="J67" s="132">
        <f>VLOOKUP($B67,Base_Mensuelle!$CF$68:$CJ$679,3,0)</f>
        <v>1718.23</v>
      </c>
      <c r="K67" s="19">
        <f>VLOOKUP($B67,Base_Mensuelle!$CY$67:$DE$679,5,0)</f>
        <v>0</v>
      </c>
      <c r="L67" s="99">
        <f>VLOOKUP($B67,Base_Mensuelle!$CY$67:$DE$679,2,0)</f>
        <v>160.32455299999998</v>
      </c>
    </row>
    <row r="68" spans="1:12">
      <c r="A68" s="175">
        <f t="shared" si="1"/>
        <v>10</v>
      </c>
      <c r="B68" s="14">
        <f>INDEX(Base_Trimestrielle!$MK$74:$NL$276,MAX(Base_Trimestrielle!$NL$74:$NL$276)-A69,1)</f>
        <v>44348</v>
      </c>
      <c r="C68" s="733">
        <f>VLOOKUP($B68,Base_Trimestrielle!$MK$74:NL$276,3,0)</f>
        <v>127.73924455010351</v>
      </c>
      <c r="D68" s="570">
        <f>VLOOKUP($B68,Base_Trimestrielle!$MK$74:NL$276,28,0)</f>
        <v>86</v>
      </c>
      <c r="E68" s="99">
        <f>VLOOKUP($B68,Base_Trimestrielle!$MK$74:NL$276,12,0)</f>
        <v>100.29950046728163</v>
      </c>
      <c r="F68" s="14">
        <f>INDEX(Base_Trimestrielle!$MK$74:$NL$276,MAX(Base_Trimestrielle!$NL$74:$NL$276)-A69,1)</f>
        <v>44348</v>
      </c>
      <c r="G68" s="99">
        <f>VLOOKUP($B68,Base_Trimestrielle!$MK$74:NL$276,5,0)</f>
        <v>100.00000000000007</v>
      </c>
      <c r="H68" s="290">
        <f>VLOOKUP($B68,Base_Mensuelle!$DG$67:$DN$679,2,0)</f>
        <v>477559</v>
      </c>
      <c r="I68" s="99">
        <f>VLOOKUP($B68,Base_Mensuelle!$CF$68:$CJ$679,2,0)</f>
        <v>2.0833659</v>
      </c>
      <c r="J68" s="132">
        <f>VLOOKUP($B68,Base_Mensuelle!$CF$68:$CJ$679,3,0)</f>
        <v>1834.57</v>
      </c>
      <c r="K68" s="19">
        <f>VLOOKUP($B68,Base_Mensuelle!$CY$67:$DE$679,5,0)</f>
        <v>0</v>
      </c>
      <c r="L68" s="99">
        <f>VLOOKUP($B68,Base_Mensuelle!$CY$67:$DE$679,2,0)</f>
        <v>180.06336799999997</v>
      </c>
    </row>
    <row r="69" spans="1:12">
      <c r="A69" s="175">
        <f t="shared" si="1"/>
        <v>9</v>
      </c>
      <c r="B69" s="14">
        <f>INDEX(Base_Trimestrielle!$MK$74:$NL$276,MAX(Base_Trimestrielle!$NL$74:$NL$276)-A70,1)</f>
        <v>44440</v>
      </c>
      <c r="C69" s="733">
        <f>VLOOKUP($B69,Base_Trimestrielle!$MK$74:NL$276,3,0)</f>
        <v>134.33210988699639</v>
      </c>
      <c r="D69" s="570">
        <f>VLOOKUP($B69,Base_Trimestrielle!$MK$74:NL$276,28,0)</f>
        <v>87</v>
      </c>
      <c r="E69" s="99">
        <f>VLOOKUP($B69,Base_Trimestrielle!$MK$74:NL$276,12,0)</f>
        <v>100.29950046728163</v>
      </c>
      <c r="F69" s="14">
        <f>INDEX(Base_Trimestrielle!$MK$74:$NL$276,MAX(Base_Trimestrielle!$NL$74:$NL$276)-A70,1)</f>
        <v>44440</v>
      </c>
      <c r="G69" s="99">
        <f>VLOOKUP($B69,Base_Trimestrielle!$MK$74:NL$276,5,0)</f>
        <v>100.00000000000007</v>
      </c>
      <c r="H69" s="290">
        <f>VLOOKUP($B69,Base_Mensuelle!$DG$67:$DN$679,2,0)</f>
        <v>488997.44425920915</v>
      </c>
      <c r="I69" s="99">
        <f>VLOOKUP($B69,Base_Mensuelle!$CF$68:$CJ$679,2,0)</f>
        <v>2.2857500160000002</v>
      </c>
      <c r="J69" s="132">
        <f>VLOOKUP($B69,Base_Mensuelle!$CF$68:$CJ$679,3,0)</f>
        <v>1775.14</v>
      </c>
      <c r="K69" s="19">
        <f>VLOOKUP($B69,Base_Mensuelle!$CY$67:$DE$679,5,0)</f>
        <v>0</v>
      </c>
      <c r="L69" s="99">
        <f>VLOOKUP($B69,Base_Mensuelle!$CY$67:$DE$679,2,0)</f>
        <v>0</v>
      </c>
    </row>
    <row r="70" spans="1:12">
      <c r="A70" s="175">
        <f t="shared" si="1"/>
        <v>8</v>
      </c>
      <c r="B70" s="14">
        <f>INDEX(Base_Trimestrielle!$MK$74:$NL$276,MAX(Base_Trimestrielle!$NL$74:$NL$276)-A71,1)</f>
        <v>44531</v>
      </c>
      <c r="C70" s="733">
        <f>VLOOKUP($B70,Base_Trimestrielle!$MK$74:NL$276,3,0)</f>
        <v>139.50221981605392</v>
      </c>
      <c r="D70" s="570">
        <f>VLOOKUP($B70,Base_Trimestrielle!$MK$74:NL$276,28,0)</f>
        <v>88</v>
      </c>
      <c r="E70" s="99">
        <f>VLOOKUP($B70,Base_Trimestrielle!$MK$74:NL$276,12,0)</f>
        <v>100.29950046728163</v>
      </c>
      <c r="F70" s="14">
        <f>INDEX(Base_Trimestrielle!$MK$74:$NL$276,MAX(Base_Trimestrielle!$NL$74:$NL$276)-A71,1)</f>
        <v>44531</v>
      </c>
      <c r="G70" s="99">
        <f>VLOOKUP($B70,Base_Trimestrielle!$MK$74:NL$276,5,0)</f>
        <v>100.00000000000007</v>
      </c>
      <c r="H70" s="290">
        <f>VLOOKUP($B70,Base_Mensuelle!$DG$67:$DN$679,2,0)</f>
        <v>501176.28851900029</v>
      </c>
      <c r="I70" s="99">
        <f>VLOOKUP($B70,Base_Mensuelle!$CF$68:$CJ$679,2,0)</f>
        <v>2.6464258479999998</v>
      </c>
      <c r="J70" s="132">
        <f>VLOOKUP($B70,Base_Mensuelle!$CF$68:$CJ$679,3,0)</f>
        <v>1790.43</v>
      </c>
      <c r="K70" s="19">
        <f>VLOOKUP($B70,Base_Mensuelle!$CY$67:$DE$679,5,0)</f>
        <v>0</v>
      </c>
      <c r="L70" s="99">
        <f>VLOOKUP($B70,Base_Mensuelle!$CY$67:$DE$679,2,0)</f>
        <v>0</v>
      </c>
    </row>
    <row r="71" spans="1:12">
      <c r="A71" s="175">
        <f t="shared" si="1"/>
        <v>7</v>
      </c>
      <c r="B71" s="14">
        <f>INDEX(Base_Trimestrielle!$MK$74:$NL$276,MAX(Base_Trimestrielle!$NL$74:$NL$276)-A72,1)</f>
        <v>44621</v>
      </c>
      <c r="C71" s="733">
        <f>VLOOKUP($B71,Base_Trimestrielle!$MK$74:NL$276,3,0)</f>
        <v>144.37652254652119</v>
      </c>
      <c r="D71" s="570">
        <f>VLOOKUP($B71,Base_Trimestrielle!$MK$74:NL$276,28,0)</f>
        <v>89</v>
      </c>
      <c r="E71" s="99">
        <f>VLOOKUP($B71,Base_Trimestrielle!$MK$74:NL$276,12,0)</f>
        <v>100.3627705304438</v>
      </c>
      <c r="F71" s="14">
        <f>INDEX(Base_Trimestrielle!$MK$74:$NL$276,MAX(Base_Trimestrielle!$NL$74:$NL$276)-A72,1)</f>
        <v>44621</v>
      </c>
      <c r="G71" s="99">
        <f>VLOOKUP($B71,Base_Trimestrielle!$MK$74:NL$276,5,0)</f>
        <v>100.0000000000001</v>
      </c>
      <c r="H71" s="290">
        <f>VLOOKUP($B71,Base_Mensuelle!$DG$67:$DN$679,2,0)</f>
        <v>513598.73280074878</v>
      </c>
      <c r="I71" s="99">
        <f>VLOOKUP($B71,Base_Mensuelle!$CF$68:$CJ$679,2,0)</f>
        <v>3.1113802060000002</v>
      </c>
      <c r="J71" s="132">
        <f>VLOOKUP($B71,Base_Mensuelle!$CF$68:$CJ$679,3,0)</f>
        <v>1947.83</v>
      </c>
      <c r="K71" s="19">
        <f>VLOOKUP($B71,Base_Mensuelle!$CY$67:$DE$679,5,0)</f>
        <v>0</v>
      </c>
      <c r="L71" s="99">
        <f>VLOOKUP($B71,Base_Mensuelle!$CY$67:$DE$679,2,0)</f>
        <v>0</v>
      </c>
    </row>
    <row r="72" spans="1:12">
      <c r="A72" s="175">
        <f t="shared" si="1"/>
        <v>6</v>
      </c>
      <c r="B72" s="14">
        <f>INDEX(Base_Trimestrielle!$MK$74:$NL$276,MAX(Base_Trimestrielle!$NL$74:$NL$276)-A73,1)</f>
        <v>44713</v>
      </c>
      <c r="C72" s="733">
        <f>VLOOKUP($B72,Base_Trimestrielle!$MK$74:NL$276,3,0)</f>
        <v>148.6623776276362</v>
      </c>
      <c r="D72" s="570">
        <f>VLOOKUP($B72,Base_Trimestrielle!$MK$74:NL$276,28,0)</f>
        <v>90</v>
      </c>
      <c r="E72" s="99">
        <f>VLOOKUP($B72,Base_Trimestrielle!$MK$74:NL$276,12,0)</f>
        <v>100.48931065676811</v>
      </c>
      <c r="F72" s="14">
        <f>INDEX(Base_Trimestrielle!$MK$74:$NL$276,MAX(Base_Trimestrielle!$NL$74:$NL$276)-A73,1)</f>
        <v>44713</v>
      </c>
      <c r="G72" s="99">
        <f>VLOOKUP($B72,Base_Trimestrielle!$MK$74:NL$276,5,0)</f>
        <v>100.0000000000001</v>
      </c>
      <c r="H72" s="290">
        <f>VLOOKUP($B72,Base_Mensuelle!$DG$67:$DN$679,2,0)</f>
        <v>507957</v>
      </c>
      <c r="I72" s="99">
        <f>VLOOKUP($B72,Base_Mensuelle!$CF$68:$CJ$679,2,0)</f>
        <v>3.3988626540000002</v>
      </c>
      <c r="J72" s="132">
        <f>VLOOKUP($B72,Base_Mensuelle!$CF$68:$CJ$679,3,0)</f>
        <v>1836.57</v>
      </c>
      <c r="K72" s="19">
        <f>VLOOKUP($B72,Base_Mensuelle!$CY$67:$DE$679,5,0)</f>
        <v>0</v>
      </c>
      <c r="L72" s="99">
        <f>VLOOKUP($B72,Base_Mensuelle!$CY$67:$DE$679,2,0)</f>
        <v>0</v>
      </c>
    </row>
    <row r="73" spans="1:12">
      <c r="A73" s="175">
        <f t="shared" si="1"/>
        <v>5</v>
      </c>
      <c r="B73" s="14">
        <f>INDEX(Base_Trimestrielle!$MK$74:$NL$276,MAX(Base_Trimestrielle!$NL$74:$NL$276)-A74,1)</f>
        <v>44805</v>
      </c>
      <c r="C73" s="733">
        <f>VLOOKUP($B73,Base_Trimestrielle!$MK$74:NL$276,3,0)</f>
        <v>164.82898807898135</v>
      </c>
      <c r="D73" s="570">
        <f>VLOOKUP($B73,Base_Trimestrielle!$MK$74:NL$276,28,0)</f>
        <v>91</v>
      </c>
      <c r="E73" s="99">
        <f>VLOOKUP($B73,Base_Trimestrielle!$MK$74:NL$276,12,0)</f>
        <v>100.08999602021392</v>
      </c>
      <c r="F73" s="14">
        <f>INDEX(Base_Trimestrielle!$MK$74:$NL$276,MAX(Base_Trimestrielle!$NL$74:$NL$276)-A74,1)</f>
        <v>44805</v>
      </c>
      <c r="G73" s="99">
        <f>VLOOKUP($B73,Base_Trimestrielle!$MK$74:NL$276,5,0)</f>
        <v>100.0000000000001</v>
      </c>
      <c r="H73" s="290">
        <f>VLOOKUP($B73,Base_Mensuelle!$DG$67:$DN$679,2,0)</f>
        <v>509737</v>
      </c>
      <c r="I73" s="99">
        <f>VLOOKUP($B73,Base_Mensuelle!$CF$68:$CJ$679,2,0)</f>
        <v>2.5926331199999999</v>
      </c>
      <c r="J73" s="132">
        <f>VLOOKUP($B73,Base_Mensuelle!$CF$68:$CJ$679,3,0)</f>
        <v>1680.78</v>
      </c>
      <c r="K73" s="19">
        <f>VLOOKUP($B73,Base_Mensuelle!$CY$67:$DE$679,5,0)</f>
        <v>0</v>
      </c>
      <c r="L73" s="99">
        <f>VLOOKUP($B73,Base_Mensuelle!$CY$67:$DE$679,2,0)</f>
        <v>0</v>
      </c>
    </row>
    <row r="74" spans="1:12">
      <c r="A74" s="175">
        <f t="shared" si="1"/>
        <v>4</v>
      </c>
      <c r="B74" s="14">
        <f>INDEX(Base_Trimestrielle!$MK$74:$NL$276,MAX(Base_Trimestrielle!$NL$74:$NL$276)-A75,1)</f>
        <v>44896</v>
      </c>
      <c r="C74" s="733">
        <f>VLOOKUP($B74,Base_Trimestrielle!$MK$74:NL$276,3,0)</f>
        <v>163.57040026055947</v>
      </c>
      <c r="D74" s="570">
        <f>VLOOKUP($B74,Base_Trimestrielle!$MK$74:NL$276,28,0)</f>
        <v>92</v>
      </c>
      <c r="E74" s="99">
        <f>VLOOKUP($B74,Base_Trimestrielle!$MK$74:NL$276,12,0)</f>
        <v>100.08999602021392</v>
      </c>
      <c r="F74" s="14">
        <f>INDEX(Base_Trimestrielle!$MK$74:$NL$276,MAX(Base_Trimestrielle!$NL$74:$NL$276)-A75,1)</f>
        <v>44896</v>
      </c>
      <c r="G74" s="99">
        <f>VLOOKUP($B74,Base_Trimestrielle!$MK$74:NL$276,5,0)</f>
        <v>100.0000000000001</v>
      </c>
      <c r="H74" s="290">
        <f>VLOOKUP($B74,Base_Mensuelle!$DG$67:$DN$679,2,0)</f>
        <v>511170</v>
      </c>
      <c r="I74" s="99">
        <f>VLOOKUP($B74,Base_Mensuelle!$CF$68:$CJ$679,2,0)</f>
        <v>2.2238001939999998</v>
      </c>
      <c r="J74" s="132">
        <f>VLOOKUP($B74,Base_Mensuelle!$CF$68:$CJ$679,3,0)</f>
        <v>1797.55</v>
      </c>
      <c r="K74" s="19">
        <f>VLOOKUP($B74,Base_Mensuelle!$CY$67:$DE$679,5,0)</f>
        <v>0</v>
      </c>
      <c r="L74" s="99">
        <f>VLOOKUP($B74,Base_Mensuelle!$CY$67:$DE$679,2,0)</f>
        <v>0</v>
      </c>
    </row>
    <row r="75" spans="1:12">
      <c r="A75" s="175">
        <f t="shared" si="1"/>
        <v>3</v>
      </c>
      <c r="B75" s="14">
        <f>INDEX(Base_Trimestrielle!$MK$74:$NL$276,MAX(Base_Trimestrielle!$NL$74:$NL$276)-A76,1)</f>
        <v>44986</v>
      </c>
      <c r="C75" s="733">
        <f>VLOOKUP($B75,Base_Trimestrielle!$MK$74:NL$276,3,0)</f>
        <v>171.83233759008618</v>
      </c>
      <c r="D75" s="570">
        <f>VLOOKUP($B75,Base_Trimestrielle!$MK$74:NL$276,28,0)</f>
        <v>93</v>
      </c>
      <c r="E75" s="99">
        <f>VLOOKUP($B75,Base_Trimestrielle!$MK$74:NL$276,12,0)</f>
        <v>99.94720577109365</v>
      </c>
      <c r="F75" s="14">
        <f>INDEX(Base_Trimestrielle!$MK$74:$NL$276,MAX(Base_Trimestrielle!$NL$74:$NL$276)-A76,1)</f>
        <v>44986</v>
      </c>
      <c r="G75" s="99">
        <f>VLOOKUP($B75,Base_Trimestrielle!$MK$74:NL$276,5,0)</f>
        <v>100.00000000000013</v>
      </c>
      <c r="H75" s="290">
        <f>VLOOKUP($B75,Base_Mensuelle!$DG$67:$DN$679,2,0)</f>
        <v>510006.37638283643</v>
      </c>
      <c r="I75" s="99">
        <f>VLOOKUP($B75,Base_Mensuelle!$CF$68:$CJ$679,2,0)</f>
        <v>2.1029870179999999</v>
      </c>
      <c r="J75" s="132">
        <f>VLOOKUP($B75,Base_Mensuelle!$CF$68:$CJ$679,3,0)</f>
        <v>1912.73</v>
      </c>
      <c r="K75" s="19">
        <f>VLOOKUP($B75,Base_Mensuelle!$CY$67:$DE$679,5,0)</f>
        <v>0</v>
      </c>
      <c r="L75" s="99">
        <f>VLOOKUP($B75,Base_Mensuelle!$CY$67:$DE$679,2,0)</f>
        <v>0</v>
      </c>
    </row>
    <row r="76" spans="1:12">
      <c r="A76" s="175">
        <f t="shared" si="1"/>
        <v>2</v>
      </c>
      <c r="B76" s="14">
        <f>INDEX(Base_Trimestrielle!$MK$74:$NL$276,MAX(Base_Trimestrielle!$NL$74:$NL$276)-A77,1)</f>
        <v>45078</v>
      </c>
      <c r="C76" s="733">
        <f>VLOOKUP($B76,Base_Trimestrielle!$MK$74:NL$276,3,0)</f>
        <v>180.18896630628549</v>
      </c>
      <c r="D76" s="570">
        <f>VLOOKUP($B76,Base_Trimestrielle!$MK$74:NL$276,28,0)</f>
        <v>94</v>
      </c>
      <c r="E76" s="99">
        <f>VLOOKUP($B76,Base_Trimestrielle!$MK$74:NL$276,12,0)</f>
        <v>99.94720577109365</v>
      </c>
      <c r="F76" s="14">
        <f>INDEX(Base_Trimestrielle!$MK$74:$NL$276,MAX(Base_Trimestrielle!$NL$74:$NL$276)-A77,1)</f>
        <v>45078</v>
      </c>
      <c r="G76" s="99">
        <f>VLOOKUP($B76,Base_Trimestrielle!$MK$74:NL$276,5,0)</f>
        <v>100.00000000000013</v>
      </c>
      <c r="H76" s="290">
        <f>VLOOKUP($B76,Base_Mensuelle!$DG$67:$DN$679,2,0)</f>
        <v>515114</v>
      </c>
      <c r="I76" s="99">
        <f>VLOOKUP($B76,Base_Mensuelle!$CF$68:$CJ$679,2,0)</f>
        <v>2.0388325759999999</v>
      </c>
      <c r="J76" s="132">
        <f>VLOOKUP($B76,Base_Mensuelle!$CF$68:$CJ$679,3,0)</f>
        <v>1942.9</v>
      </c>
      <c r="K76" s="19">
        <f>VLOOKUP($B76,Base_Mensuelle!$CY$67:$DE$679,5,0)</f>
        <v>0</v>
      </c>
      <c r="L76" s="99">
        <f>VLOOKUP($B76,Base_Mensuelle!$CY$67:$DE$679,2,0)</f>
        <v>0</v>
      </c>
    </row>
    <row r="77" spans="1:12">
      <c r="A77" s="175">
        <f>A78+1</f>
        <v>1</v>
      </c>
      <c r="B77" s="14">
        <f>INDEX(Base_Trimestrielle!$MK$74:$NL$276,MAX(Base_Trimestrielle!$NL$74:$NL$276)-A78,1)</f>
        <v>45170</v>
      </c>
      <c r="C77" s="733">
        <f>VLOOKUP($B77,Base_Trimestrielle!$MK$74:NL$276,3,0)</f>
        <v>180.57516319194769</v>
      </c>
      <c r="D77" s="570">
        <f>VLOOKUP($B77,Base_Trimestrielle!$MK$74:NL$276,28,0)</f>
        <v>95</v>
      </c>
      <c r="E77" s="99">
        <f>VLOOKUP($B77,Base_Trimestrielle!$MK$74:NL$276,12,0)</f>
        <v>99.94720577109365</v>
      </c>
      <c r="F77" s="14">
        <f>INDEX(Base_Trimestrielle!$MK$74:$NL$276,MAX(Base_Trimestrielle!$NL$74:$NL$276)-A78,1)</f>
        <v>45170</v>
      </c>
      <c r="G77" s="99">
        <f>VLOOKUP($B77,Base_Trimestrielle!$MK$74:NL$276,5,0)</f>
        <v>100.00000000000013</v>
      </c>
      <c r="H77" s="290">
        <f>VLOOKUP($B77,Base_Mensuelle!$DG$67:$DN$679,2,0)</f>
        <v>520794</v>
      </c>
      <c r="I77" s="99">
        <f>VLOOKUP($B77,Base_Mensuelle!$CF$68:$CJ$679,2,0)</f>
        <v>2.1594252900000002</v>
      </c>
      <c r="J77" s="132">
        <f>VLOOKUP($B77,Base_Mensuelle!$CF$68:$CJ$679,3,0)</f>
        <v>1915.95</v>
      </c>
      <c r="K77" s="19">
        <f>VLOOKUP($B77,Base_Mensuelle!$CY$67:$DE$679,5,0)</f>
        <v>0</v>
      </c>
      <c r="L77" s="99">
        <f>VLOOKUP($B77,Base_Mensuelle!$CY$67:$DE$679,2,0)</f>
        <v>0</v>
      </c>
    </row>
    <row r="78" spans="1:12" ht="12.6" thickBot="1">
      <c r="A78" s="175">
        <f>A79+1</f>
        <v>0</v>
      </c>
      <c r="B78" s="15">
        <f>INDEX(Base_Trimestrielle!$MK$74:$NL$276,MAX(Base_Trimestrielle!$NL$74:$NL$276)-A79,1)</f>
        <v>45261</v>
      </c>
      <c r="C78" s="183">
        <f>VLOOKUP($B78,Base_Trimestrielle!$MK$74:NL$276,3,0)</f>
        <v>0</v>
      </c>
      <c r="D78" s="187">
        <f>VLOOKUP($B78,Base_Trimestrielle!$MK$74:NL$276,28,0)</f>
        <v>0</v>
      </c>
      <c r="E78" s="187">
        <f>VLOOKUP($B78,Base_Trimestrielle!$MK$74:NL$276,12,0)</f>
        <v>0</v>
      </c>
      <c r="F78" s="15">
        <f>INDEX(Base_Trimestrielle!$MK$74:$NL$276,MAX(Base_Trimestrielle!$NL$74:$NL$276)-A79,1)</f>
        <v>45261</v>
      </c>
      <c r="G78" s="187">
        <f>VLOOKUP($B78,Base_Trimestrielle!$MK$74:NL$276,5,0)</f>
        <v>0</v>
      </c>
      <c r="H78" s="296">
        <f>VLOOKUP($B78,Base_Mensuelle!$DG$67:$DN$679,2,0)</f>
        <v>525880</v>
      </c>
      <c r="I78" s="183">
        <f>VLOOKUP($B78,Base_Mensuelle!$CF$68:$CJ$679,2,0)</f>
        <v>1.9954015620000001</v>
      </c>
      <c r="J78" s="222">
        <f>VLOOKUP($B78,Base_Mensuelle!$CF$68:$CJ$679,3,0)</f>
        <v>2026.18</v>
      </c>
      <c r="K78" s="21">
        <f>VLOOKUP($B78,Base_Mensuelle!$CY$67:$DE$679,5,0)</f>
        <v>0</v>
      </c>
      <c r="L78" s="187">
        <f>VLOOKUP($B78,Base_Mensuelle!$CY$67:$DE$679,2,0)</f>
        <v>0</v>
      </c>
    </row>
    <row r="79" spans="1:12" ht="12.6" thickTop="1">
      <c r="A79">
        <v>-1</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37"/>
  <dimension ref="A1:AX112"/>
  <sheetViews>
    <sheetView zoomScale="70" zoomScaleNormal="70" workbookViewId="0">
      <pane xSplit="2" ySplit="3" topLeftCell="C93" activePane="bottomRight" state="frozen"/>
      <selection activeCell="I78" sqref="I78"/>
      <selection pane="topRight" activeCell="I78" sqref="I78"/>
      <selection pane="bottomLeft" activeCell="I78" sqref="I78"/>
      <selection pane="bottomRight" activeCell="N108" sqref="N108"/>
    </sheetView>
  </sheetViews>
  <sheetFormatPr baseColWidth="10" defaultRowHeight="12.3"/>
  <cols>
    <col min="1" max="1" width="2.5546875" customWidth="1"/>
    <col min="13" max="13" width="12.83203125" bestFit="1" customWidth="1"/>
    <col min="14" max="14" width="14.44140625" bestFit="1" customWidth="1"/>
    <col min="21" max="21" width="12.1640625" bestFit="1" customWidth="1"/>
    <col min="22" max="22" width="11.5546875" bestFit="1" customWidth="1"/>
    <col min="23" max="23" width="12.1640625" bestFit="1" customWidth="1"/>
    <col min="24" max="25" width="11.5546875" bestFit="1" customWidth="1"/>
    <col min="26" max="27" width="11.5546875" customWidth="1"/>
    <col min="28" max="28" width="11.5546875" bestFit="1" customWidth="1"/>
  </cols>
  <sheetData>
    <row r="1" spans="1:50" ht="12.6" thickBot="1"/>
    <row r="2" spans="1:50" ht="26.25" customHeight="1" thickTop="1" thickBot="1">
      <c r="B2">
        <v>1</v>
      </c>
      <c r="C2">
        <v>2</v>
      </c>
      <c r="D2">
        <v>3</v>
      </c>
      <c r="E2">
        <v>4</v>
      </c>
      <c r="F2">
        <v>5</v>
      </c>
      <c r="G2">
        <v>6</v>
      </c>
      <c r="H2">
        <v>2</v>
      </c>
      <c r="I2">
        <v>3</v>
      </c>
      <c r="Q2" s="2149" t="s">
        <v>511</v>
      </c>
      <c r="R2" s="2150"/>
      <c r="S2" s="2150"/>
      <c r="U2" s="2149" t="s">
        <v>512</v>
      </c>
      <c r="V2" s="2149"/>
      <c r="W2" s="2149"/>
      <c r="X2" s="2149"/>
      <c r="Y2" s="2149"/>
      <c r="Z2" s="2149"/>
      <c r="AA2" s="2149"/>
      <c r="AB2" s="2149"/>
      <c r="AM2" s="2147" t="s">
        <v>520</v>
      </c>
      <c r="AN2" s="2151"/>
      <c r="AO2" s="2151"/>
      <c r="AP2" s="2151" t="s">
        <v>522</v>
      </c>
      <c r="AQ2" s="2148"/>
      <c r="AR2" s="2147" t="s">
        <v>523</v>
      </c>
      <c r="AS2" s="2148"/>
      <c r="AT2" s="2147" t="s">
        <v>524</v>
      </c>
      <c r="AU2" s="2148"/>
      <c r="AV2" s="2147" t="s">
        <v>525</v>
      </c>
      <c r="AW2" s="2148"/>
    </row>
    <row r="3" spans="1:50" ht="120.6" thickTop="1" thickBot="1">
      <c r="B3" s="121" t="s">
        <v>0</v>
      </c>
      <c r="C3" s="95" t="s">
        <v>52</v>
      </c>
      <c r="D3" s="95" t="s">
        <v>57</v>
      </c>
      <c r="E3" s="95" t="s">
        <v>58</v>
      </c>
      <c r="F3" s="95" t="s">
        <v>55</v>
      </c>
      <c r="G3" s="95" t="s">
        <v>56</v>
      </c>
      <c r="H3" s="95" t="s">
        <v>86</v>
      </c>
      <c r="I3" s="95" t="s">
        <v>87</v>
      </c>
      <c r="J3" s="95" t="s">
        <v>170</v>
      </c>
      <c r="K3" s="95" t="s">
        <v>196</v>
      </c>
      <c r="L3" s="95"/>
      <c r="M3" s="95" t="s">
        <v>197</v>
      </c>
      <c r="N3" s="95" t="s">
        <v>198</v>
      </c>
      <c r="O3" s="95"/>
      <c r="P3" s="95"/>
      <c r="Q3" s="121" t="s">
        <v>0</v>
      </c>
      <c r="R3" s="723" t="s">
        <v>454</v>
      </c>
      <c r="S3" s="724" t="s">
        <v>455</v>
      </c>
      <c r="T3" s="724" t="s">
        <v>460</v>
      </c>
      <c r="U3" s="725" t="s">
        <v>456</v>
      </c>
      <c r="V3" s="723" t="s">
        <v>454</v>
      </c>
      <c r="W3" s="724" t="s">
        <v>473</v>
      </c>
      <c r="X3" s="724" t="s">
        <v>474</v>
      </c>
      <c r="Y3" s="724" t="s">
        <v>477</v>
      </c>
      <c r="Z3" s="724" t="s">
        <v>481</v>
      </c>
      <c r="AA3" s="725" t="s">
        <v>486</v>
      </c>
      <c r="AB3" s="16" t="s">
        <v>0</v>
      </c>
      <c r="AC3" s="770" t="s">
        <v>517</v>
      </c>
      <c r="AD3" s="771" t="s">
        <v>518</v>
      </c>
      <c r="AE3" s="771" t="s">
        <v>519</v>
      </c>
      <c r="AF3" s="771" t="s">
        <v>254</v>
      </c>
      <c r="AG3" s="771" t="s">
        <v>126</v>
      </c>
      <c r="AH3" s="771" t="s">
        <v>267</v>
      </c>
      <c r="AI3" s="771" t="s">
        <v>240</v>
      </c>
      <c r="AJ3" s="771" t="s">
        <v>241</v>
      </c>
      <c r="AK3" s="771" t="s">
        <v>242</v>
      </c>
      <c r="AL3" s="771" t="s">
        <v>238</v>
      </c>
      <c r="AM3" s="775" t="s">
        <v>239</v>
      </c>
      <c r="AN3" s="776" t="s">
        <v>124</v>
      </c>
      <c r="AO3" s="777" t="s">
        <v>91</v>
      </c>
      <c r="AP3" s="777" t="s">
        <v>521</v>
      </c>
      <c r="AQ3" s="777" t="s">
        <v>299</v>
      </c>
      <c r="AR3" s="778" t="s">
        <v>300</v>
      </c>
      <c r="AS3" s="148" t="s">
        <v>369</v>
      </c>
      <c r="AT3" s="217" t="s">
        <v>374</v>
      </c>
      <c r="AU3" s="148" t="s">
        <v>369</v>
      </c>
      <c r="AV3" s="217" t="s">
        <v>377</v>
      </c>
      <c r="AW3" s="148" t="s">
        <v>369</v>
      </c>
      <c r="AX3" s="217" t="s">
        <v>377</v>
      </c>
    </row>
    <row r="4" spans="1:50" ht="12.6" thickTop="1">
      <c r="A4" s="175">
        <f t="shared" ref="A4:A90" si="0">A5+1</f>
        <v>105</v>
      </c>
      <c r="B4" s="14">
        <f>INDEX(Base_Mensuelle!$BX$68:$CD$679,MAX(Base_Mensuelle!$CD$68:$CD$679)-A5,1)</f>
        <v>42095</v>
      </c>
      <c r="C4" s="184">
        <f>VLOOKUP($B4,Base_Mensuelle!$BX$68:$CD$679,C$2,0)</f>
        <v>608.39117263181811</v>
      </c>
      <c r="D4" s="185">
        <f>VLOOKUP($B4,Base_Mensuelle!$BX$68:$CD$679,D$2,0)</f>
        <v>664.95699999999999</v>
      </c>
      <c r="E4" s="185">
        <f>VLOOKUP($B4,Base_Mensuelle!$BX$68:$CD$679,E$2,0)</f>
        <v>631.97967258760002</v>
      </c>
      <c r="F4" s="185">
        <f>VLOOKUP($B4,Base_Mensuelle!$BX$68:$CD$679,F$2,0)</f>
        <v>50.64409301798495</v>
      </c>
      <c r="G4" s="186">
        <f>VLOOKUP($B4,Base_Mensuelle!$BX$68:$CD$679,G$2,0)</f>
        <v>159.75057168040826</v>
      </c>
      <c r="H4" s="185">
        <f>VLOOKUP($B4,Base_Mensuelle!$CF$68:$CJ$679,H$2,0)</f>
        <v>1.5807125399999999</v>
      </c>
      <c r="I4" s="186">
        <f>VLOOKUP($B4,Base_Mensuelle!$CF$68:$CJ$679,I$2,0)</f>
        <v>1198.93</v>
      </c>
      <c r="J4" s="17">
        <f>VLOOKUP($B4,Base_Mensuelle!$CY$67:$DE$679,5,0)</f>
        <v>544825</v>
      </c>
      <c r="K4" s="185">
        <f>VLOOKUP($B4,Base_Mensuelle!$CY$67:$DE$679,2,0)</f>
        <v>108.42133641286082</v>
      </c>
      <c r="L4" s="92"/>
      <c r="M4" s="394">
        <f>VLOOKUP($B4,Base_Mensuelle!$DG$67:$DN$679,2,0)</f>
        <v>309063</v>
      </c>
      <c r="N4" s="394">
        <f>VLOOKUP($B4,Base_Mensuelle!$DG$68:$DO$679,9,0)</f>
        <v>0</v>
      </c>
      <c r="O4" s="92"/>
      <c r="P4" s="18"/>
      <c r="Q4" s="14">
        <f>INDEX(Base_Mensuelle!$BX$68:$CD$679,MAX(Base_Mensuelle!$PD$68:$PD$679)-A5,1)</f>
        <v>42095</v>
      </c>
      <c r="R4" s="731">
        <f>VLOOKUP($Q4,Base_Mensuelle!$OF$67:$RN$679,12,0)</f>
        <v>559.98358548376996</v>
      </c>
      <c r="S4" s="569">
        <f>VLOOKUP($Q4,Base_Mensuelle!$OF$67:$RN$679,15,0)</f>
        <v>1960.7032537471659</v>
      </c>
      <c r="T4" s="569">
        <f>VLOOKUP($Q4,Base_Mensuelle!$OF$67:$RN$679,22,0)</f>
        <v>351.76411762499998</v>
      </c>
      <c r="U4" s="732">
        <f>VLOOKUP($Q4,Base_Mensuelle!$OF$67:$RN$679,16,0)</f>
        <v>37.079322729999994</v>
      </c>
      <c r="V4" s="731">
        <f>VLOOKUP($Q4,Base_Mensuelle!$OF$67:$RN$679,27,0)</f>
        <v>-149.31824742700002</v>
      </c>
      <c r="W4" s="569">
        <f>VLOOKUP($Q4,Base_Mensuelle!$OF$67:$RN$679,31,0)</f>
        <v>35.720381490000008</v>
      </c>
      <c r="X4" s="569">
        <f>VLOOKUP($Q4,Base_Mensuelle!$OF$67:$RN$679,33,0)</f>
        <v>89.130347956999998</v>
      </c>
      <c r="Y4" s="569">
        <f>VLOOKUP($Q4,Base_Mensuelle!$OF$67:$RN$679,65,0)</f>
        <v>1919.6576517211661</v>
      </c>
      <c r="Z4" s="569">
        <f>VLOOKUP($Q4,Base_Mensuelle!$OF$67:$RN$679,39,0)</f>
        <v>375.55789437200002</v>
      </c>
      <c r="AA4" s="732">
        <f>VLOOKUP($Q4,Base_Mensuelle!$OF$67:$RN$679,51,0)</f>
        <v>3.4802995669999999</v>
      </c>
      <c r="AB4" s="14">
        <f>INDEX(Base_Mensuelle!$BX$68:$CD$679,MAX(Base_Mensuelle!$FZ$68:$FZ$679)-A4,1)</f>
        <v>42064</v>
      </c>
      <c r="AC4" s="184">
        <f>VLOOKUP($AB4,Base_Mensuelle!$FL$67:$FY$679,2,0)</f>
        <v>99.85</v>
      </c>
      <c r="AD4" s="92"/>
      <c r="AE4" s="18">
        <f t="shared" ref="AE4:AE67" si="1">3/100</f>
        <v>0.03</v>
      </c>
      <c r="AF4" s="218">
        <f>VLOOKUP($AB4,Base_Mensuelle!$GP$67:$HR$679,2,0)</f>
        <v>249.408130358443</v>
      </c>
      <c r="AG4" s="92">
        <f>VLOOKUP($AB4,Base_Mensuelle!$GP$67:$HR$679,3,0)</f>
        <v>200.87088844628499</v>
      </c>
      <c r="AH4" s="92">
        <f>VLOOKUP($AB4,Base_Mensuelle!$GP$67:$HR$679,14,0)</f>
        <v>1894.8460657958699</v>
      </c>
      <c r="AI4" s="185">
        <f>VLOOKUP($AB4,Base_Mensuelle!$GA$67:$GO$679,5,0)</f>
        <v>97.99</v>
      </c>
      <c r="AJ4" s="185">
        <f>VLOOKUP($AB4,Base_Mensuelle!$GA$67:$GO$679,6,0)</f>
        <v>99.26</v>
      </c>
      <c r="AK4" s="185">
        <f>VLOOKUP($AB4,Base_Mensuelle!$GA$67:$GO$679,7,0)</f>
        <v>100.16</v>
      </c>
      <c r="AL4" s="185">
        <f>VLOOKUP($AB4,Base_Mensuelle!$GA$67:$GO$679,3,0)</f>
        <v>99.85</v>
      </c>
      <c r="AM4" s="186">
        <f>VLOOKUP($AB4,Base_Mensuelle!$GA$67:$GO$679,4,0)</f>
        <v>100.04</v>
      </c>
      <c r="AN4" s="184">
        <f>VLOOKUP($AB4,Base_Mensuelle!$HS$67:$JV$679,9,0)</f>
        <v>159.67742538452148</v>
      </c>
      <c r="AO4" s="185">
        <f>VLOOKUP($AB4,Base_Mensuelle!$HS$67:$JV$679,23,0)</f>
        <v>126.18296051025391</v>
      </c>
      <c r="AP4" s="185">
        <f>VLOOKUP($AB4,Base_Mensuelle!$HS$67:$JV$679,39,0)</f>
        <v>383.33333333333331</v>
      </c>
      <c r="AQ4" s="185">
        <f>VLOOKUP($AB4,Base_Mensuelle!$HS$67:$JV$679,10,0)</f>
        <v>191.37930297851563</v>
      </c>
      <c r="AR4" s="186">
        <f>VLOOKUP($AB4,Base_Mensuelle!$HS$67:$JV$679,11,0)</f>
        <v>125</v>
      </c>
      <c r="AS4" s="779">
        <f>VLOOKUP($B4,Base_Mensuelle!$JW$67:$KZ$679,3,0)</f>
        <v>305.83333333333331</v>
      </c>
      <c r="AT4" s="780">
        <f>VLOOKUP($B4,Base_Mensuelle!$JW$67:$KZ$679,8,0)</f>
        <v>412.91666666666669</v>
      </c>
      <c r="AU4" s="779">
        <f>VLOOKUP($B4,Base_Mensuelle!$JW$67:$KZ$679,11,0)</f>
        <v>40.236111111111114</v>
      </c>
      <c r="AV4" s="780">
        <f>VLOOKUP($B4,Base_Mensuelle!$JW$67:$KZ$679,15,0)</f>
        <v>73.902777777777771</v>
      </c>
      <c r="AW4" s="779">
        <f>VLOOKUP($B4,Base_Mensuelle!$JW$67:$KZ$679,25,0)</f>
        <v>24.055555555555557</v>
      </c>
      <c r="AX4" s="780">
        <f>VLOOKUP($B4,Base_Mensuelle!$JW$67:$KZ$679,29,0)</f>
        <v>27.680555555555557</v>
      </c>
    </row>
    <row r="5" spans="1:50">
      <c r="A5" s="175">
        <f t="shared" si="0"/>
        <v>104</v>
      </c>
      <c r="B5" s="14">
        <f>INDEX(Base_Mensuelle!$BX$68:$CD$679,MAX(Base_Mensuelle!$CD$68:$CD$679)-A6,1)</f>
        <v>42125</v>
      </c>
      <c r="C5" s="179">
        <f>VLOOKUP($B5,Base_Mensuelle!$BX$68:$CD$679,C$2,0)</f>
        <v>588.27160841428565</v>
      </c>
      <c r="D5" s="99">
        <f>VLOOKUP($B5,Base_Mensuelle!$BX$68:$CD$679,D$2,0)</f>
        <v>664.95699999999999</v>
      </c>
      <c r="E5" s="99">
        <f>VLOOKUP($B5,Base_Mensuelle!$BX$68:$CD$679,E$2,0)</f>
        <v>631.25897263169998</v>
      </c>
      <c r="F5" s="99">
        <f>VLOOKUP($B5,Base_Mensuelle!$BX$68:$CD$679,F$2,0)</f>
        <v>49.181165227039372</v>
      </c>
      <c r="G5" s="132">
        <f>VLOOKUP($B5,Base_Mensuelle!$BX$68:$CD$679,G$2,0)</f>
        <v>151.09679008490676</v>
      </c>
      <c r="H5" s="99">
        <f>VLOOKUP($B5,Base_Mensuelle!$CF$68:$CJ$679,H$2,0)</f>
        <v>1.6062861319999999</v>
      </c>
      <c r="I5" s="132">
        <f>VLOOKUP($B5,Base_Mensuelle!$CF$68:$CJ$679,I$2,0)</f>
        <v>1198.6300000000001</v>
      </c>
      <c r="J5" s="19">
        <f>VLOOKUP($B5,Base_Mensuelle!$CY$67:$DE$679,5,0)</f>
        <v>544825</v>
      </c>
      <c r="K5" s="99">
        <f>VLOOKUP($B5,Base_Mensuelle!$CY$67:$DE$679,2,0)</f>
        <v>110.00018541166381</v>
      </c>
      <c r="L5" s="93"/>
      <c r="M5" s="182">
        <f>VLOOKUP($B5,Base_Mensuelle!$DG$67:$DN$679,2,0)</f>
        <v>315017</v>
      </c>
      <c r="N5" s="182">
        <f>VLOOKUP($B5,Base_Mensuelle!$DG$68:$DO$679,9,0)</f>
        <v>0</v>
      </c>
      <c r="O5" s="93"/>
      <c r="P5" s="20"/>
      <c r="Q5" s="14">
        <f>INDEX(Base_Mensuelle!$BX$68:$CD$679,MAX(Base_Mensuelle!$PD$68:$PD$679)-A6,1)</f>
        <v>42125</v>
      </c>
      <c r="R5" s="733">
        <f>VLOOKUP($Q5,Base_Mensuelle!$OF$67:$RN$679,12,0)</f>
        <v>518.8708046412371</v>
      </c>
      <c r="S5" s="570">
        <f>VLOOKUP($Q5,Base_Mensuelle!$OF$67:$RN$679,15,0)</f>
        <v>1948.097553209142</v>
      </c>
      <c r="T5" s="570">
        <f>VLOOKUP($Q5,Base_Mensuelle!$OF$67:$RN$679,22,0)</f>
        <v>351.90127439499997</v>
      </c>
      <c r="U5" s="734">
        <f>VLOOKUP($Q5,Base_Mensuelle!$OF$67:$RN$679,16,0)</f>
        <v>24.91109748200001</v>
      </c>
      <c r="V5" s="733">
        <f>VLOOKUP($Q5,Base_Mensuelle!$OF$67:$RN$679,27,0)</f>
        <v>-150.36835441300008</v>
      </c>
      <c r="W5" s="570">
        <f>VLOOKUP($Q5,Base_Mensuelle!$OF$67:$RN$679,31,0)</f>
        <v>25.551242771000005</v>
      </c>
      <c r="X5" s="570">
        <f>VLOOKUP($Q5,Base_Mensuelle!$OF$67:$RN$679,33,0)</f>
        <v>99.319304631999998</v>
      </c>
      <c r="Y5" s="570">
        <f>VLOOKUP($Q5,Base_Mensuelle!$OF$67:$RN$679,65,0)</f>
        <v>1919.201267021142</v>
      </c>
      <c r="Z5" s="570">
        <f>VLOOKUP($Q5,Base_Mensuelle!$OF$67:$RN$679,39,0)</f>
        <v>398.689017788</v>
      </c>
      <c r="AA5" s="734">
        <f>VLOOKUP($Q5,Base_Mensuelle!$OF$67:$RN$679,51,0)</f>
        <v>4.2647013520000003</v>
      </c>
      <c r="AB5" s="14">
        <f>INDEX(Base_Mensuelle!$BX$68:$CD$679,MAX(Base_Mensuelle!$FZ$68:$FZ$679)-A5,1)</f>
        <v>42095</v>
      </c>
      <c r="AC5" s="179">
        <f>VLOOKUP($AB5,Base_Mensuelle!$FL$67:$FY$679,2,0)</f>
        <v>99.81</v>
      </c>
      <c r="AD5" s="93"/>
      <c r="AE5" s="20">
        <f t="shared" si="1"/>
        <v>0.03</v>
      </c>
      <c r="AF5" s="219">
        <f>VLOOKUP($AB5,Base_Mensuelle!$GP$67:$HR$679,2,0)</f>
        <v>258.77979610650499</v>
      </c>
      <c r="AG5" s="93">
        <f>VLOOKUP($AB5,Base_Mensuelle!$GP$67:$HR$679,3,0)</f>
        <v>233.15218045316101</v>
      </c>
      <c r="AH5" s="93">
        <f>VLOOKUP($AB5,Base_Mensuelle!$GP$67:$HR$679,14,0)</f>
        <v>1672.95461464495</v>
      </c>
      <c r="AI5" s="99">
        <f>VLOOKUP($AB5,Base_Mensuelle!$GA$67:$GO$679,5,0)</f>
        <v>93.55</v>
      </c>
      <c r="AJ5" s="99">
        <f>VLOOKUP($AB5,Base_Mensuelle!$GA$67:$GO$679,6,0)</f>
        <v>100.11</v>
      </c>
      <c r="AK5" s="99">
        <f>VLOOKUP($AB5,Base_Mensuelle!$GA$67:$GO$679,7,0)</f>
        <v>100.61</v>
      </c>
      <c r="AL5" s="99">
        <f>VLOOKUP($AB5,Base_Mensuelle!$GA$67:$GO$679,3,0)</f>
        <v>99.57</v>
      </c>
      <c r="AM5" s="132">
        <f>VLOOKUP($AB5,Base_Mensuelle!$GA$67:$GO$679,4,0)</f>
        <v>100.23</v>
      </c>
      <c r="AN5" s="179">
        <f>VLOOKUP($AB5,Base_Mensuelle!$HS$67:$JV$679,9,0)</f>
        <v>170.96774291992188</v>
      </c>
      <c r="AO5" s="99">
        <f>VLOOKUP($AB5,Base_Mensuelle!$HS$67:$JV$679,23,0)</f>
        <v>141.95582580566406</v>
      </c>
      <c r="AP5" s="99">
        <f>VLOOKUP($AB5,Base_Mensuelle!$HS$67:$JV$679,39,0)</f>
        <v>350</v>
      </c>
      <c r="AQ5" s="99">
        <f>VLOOKUP($AB5,Base_Mensuelle!$HS$67:$JV$679,10,0)</f>
        <v>177.58620452880859</v>
      </c>
      <c r="AR5" s="132">
        <f>VLOOKUP($AB5,Base_Mensuelle!$HS$67:$JV$679,11,0)</f>
        <v>134.375</v>
      </c>
      <c r="AS5" s="733">
        <f>VLOOKUP($B5,Base_Mensuelle!$JW$67:$KZ$679,3,0)</f>
        <v>319.46428571428572</v>
      </c>
      <c r="AT5" s="734">
        <f>VLOOKUP($B5,Base_Mensuelle!$JW$67:$KZ$679,8,0)</f>
        <v>404.74358974358972</v>
      </c>
      <c r="AU5" s="733">
        <f>VLOOKUP($B5,Base_Mensuelle!$JW$67:$KZ$679,11,0)</f>
        <v>40.884615384615387</v>
      </c>
      <c r="AV5" s="734">
        <f>VLOOKUP($B5,Base_Mensuelle!$JW$67:$KZ$679,15,0)</f>
        <v>75.357142857142861</v>
      </c>
      <c r="AW5" s="733">
        <f>VLOOKUP($B5,Base_Mensuelle!$JW$67:$KZ$679,25,0)</f>
        <v>22.75</v>
      </c>
      <c r="AX5" s="734">
        <f>VLOOKUP($B5,Base_Mensuelle!$JW$67:$KZ$679,29,0)</f>
        <v>28.404761904761905</v>
      </c>
    </row>
    <row r="6" spans="1:50">
      <c r="A6" s="175">
        <f t="shared" si="0"/>
        <v>103</v>
      </c>
      <c r="B6" s="14">
        <f>INDEX(Base_Mensuelle!$BX$68:$CD$679,MAX(Base_Mensuelle!$CD$68:$CD$679)-A7,1)</f>
        <v>42156</v>
      </c>
      <c r="C6" s="179">
        <f>VLOOKUP($B6,Base_Mensuelle!$BX$68:$CD$679,C$2,0)</f>
        <v>585</v>
      </c>
      <c r="D6" s="99">
        <f>VLOOKUP($B6,Base_Mensuelle!$BX$68:$CD$679,D$2,0)</f>
        <v>664.95699999999999</v>
      </c>
      <c r="E6" s="99">
        <f>VLOOKUP($B6,Base_Mensuelle!$BX$68:$CD$679,E$2,0)</f>
        <v>627.42365764839997</v>
      </c>
      <c r="F6" s="99">
        <f>VLOOKUP($B6,Base_Mensuelle!$BX$68:$CD$679,F$2,0)</f>
        <v>47.533000000000001</v>
      </c>
      <c r="G6" s="132">
        <f>VLOOKUP($B6,Base_Mensuelle!$BX$68:$CD$679,G$2,0)</f>
        <v>139.55000000000001</v>
      </c>
      <c r="H6" s="99">
        <f>VLOOKUP($B6,Base_Mensuelle!$CF$68:$CJ$679,H$2,0)</f>
        <v>1.5950425699999999</v>
      </c>
      <c r="I6" s="132">
        <f>VLOOKUP($B6,Base_Mensuelle!$CF$68:$CJ$679,I$2,0)</f>
        <v>1181.5</v>
      </c>
      <c r="J6" s="19">
        <f>VLOOKUP($B6,Base_Mensuelle!$CY$67:$DE$679,5,0)</f>
        <v>544825</v>
      </c>
      <c r="K6" s="99">
        <f>VLOOKUP($B6,Base_Mensuelle!$CY$67:$DE$679,2,0)</f>
        <v>105.29117165682757</v>
      </c>
      <c r="L6" s="93"/>
      <c r="M6" s="182">
        <f>VLOOKUP($B6,Base_Mensuelle!$DG$67:$DN$679,2,0)</f>
        <v>317044</v>
      </c>
      <c r="N6" s="182">
        <f>VLOOKUP($B6,Base_Mensuelle!$DG$68:$DO$679,9,0)</f>
        <v>0</v>
      </c>
      <c r="O6" s="93"/>
      <c r="P6" s="20"/>
      <c r="Q6" s="14">
        <f>INDEX(Base_Mensuelle!$BX$68:$CD$679,MAX(Base_Mensuelle!$PD$68:$PD$679)-A7,1)</f>
        <v>42156</v>
      </c>
      <c r="R6" s="733">
        <f>VLOOKUP($Q6,Base_Mensuelle!$OF$67:$RN$679,12,0)</f>
        <v>491.08956981790129</v>
      </c>
      <c r="S6" s="570">
        <f>VLOOKUP($Q6,Base_Mensuelle!$OF$67:$RN$679,15,0)</f>
        <v>1961.0121917116089</v>
      </c>
      <c r="T6" s="570">
        <f>VLOOKUP($Q6,Base_Mensuelle!$OF$67:$RN$679,22,0)</f>
        <v>358.77724268899999</v>
      </c>
      <c r="U6" s="734">
        <f>VLOOKUP($Q6,Base_Mensuelle!$OF$67:$RN$679,16,0)</f>
        <v>14.844508336000015</v>
      </c>
      <c r="V6" s="733">
        <f>VLOOKUP($Q6,Base_Mensuelle!$OF$67:$RN$679,27,0)</f>
        <v>-81.893259354000008</v>
      </c>
      <c r="W6" s="570">
        <f>VLOOKUP($Q6,Base_Mensuelle!$OF$67:$RN$679,31,0)</f>
        <v>15.143815129000018</v>
      </c>
      <c r="X6" s="570">
        <f>VLOOKUP($Q6,Base_Mensuelle!$OF$67:$RN$679,33,0)</f>
        <v>124.683576652</v>
      </c>
      <c r="Y6" s="570">
        <f>VLOOKUP($Q6,Base_Mensuelle!$OF$67:$RN$679,65,0)</f>
        <v>1942.1369011876088</v>
      </c>
      <c r="Z6" s="570">
        <f>VLOOKUP($Q6,Base_Mensuelle!$OF$67:$RN$679,39,0)</f>
        <v>398.08502293599997</v>
      </c>
      <c r="AA6" s="734">
        <f>VLOOKUP($Q6,Base_Mensuelle!$OF$67:$RN$679,51,0)</f>
        <v>5.2033969860000004</v>
      </c>
      <c r="AB6" s="14">
        <f>INDEX(Base_Mensuelle!$BX$68:$CD$679,MAX(Base_Mensuelle!$FZ$68:$FZ$679)-A6,1)</f>
        <v>42125</v>
      </c>
      <c r="AC6" s="179">
        <f>VLOOKUP($AB6,Base_Mensuelle!$FL$67:$FY$679,2,0)</f>
        <v>100.79</v>
      </c>
      <c r="AD6" s="93"/>
      <c r="AE6" s="20">
        <f t="shared" si="1"/>
        <v>0.03</v>
      </c>
      <c r="AF6" s="219">
        <f>VLOOKUP($AB6,Base_Mensuelle!$GP$67:$HR$679,2,0)</f>
        <v>241.70336357095999</v>
      </c>
      <c r="AG6" s="93">
        <f>VLOOKUP($AB6,Base_Mensuelle!$GP$67:$HR$679,3,0)</f>
        <v>214.61912852323599</v>
      </c>
      <c r="AH6" s="93">
        <f>VLOOKUP($AB6,Base_Mensuelle!$GP$67:$HR$679,14,0)</f>
        <v>1819.9836164257799</v>
      </c>
      <c r="AI6" s="99">
        <f>VLOOKUP($AB6,Base_Mensuelle!$GA$67:$GO$679,5,0)</f>
        <v>97.26</v>
      </c>
      <c r="AJ6" s="99">
        <f>VLOOKUP($AB6,Base_Mensuelle!$GA$67:$GO$679,6,0)</f>
        <v>102.36</v>
      </c>
      <c r="AK6" s="99">
        <f>VLOOKUP($AB6,Base_Mensuelle!$GA$67:$GO$679,7,0)</f>
        <v>100.67</v>
      </c>
      <c r="AL6" s="99">
        <f>VLOOKUP($AB6,Base_Mensuelle!$GA$67:$GO$679,3,0)</f>
        <v>99.16</v>
      </c>
      <c r="AM6" s="132">
        <f>VLOOKUP($AB6,Base_Mensuelle!$GA$67:$GO$679,4,0)</f>
        <v>101.76</v>
      </c>
      <c r="AN6" s="179">
        <f>VLOOKUP($AB6,Base_Mensuelle!$HS$67:$JV$679,9,0)</f>
        <v>175.80645751953125</v>
      </c>
      <c r="AO6" s="99">
        <f>VLOOKUP($AB6,Base_Mensuelle!$HS$67:$JV$679,23,0)</f>
        <v>138.81341247558595</v>
      </c>
      <c r="AP6" s="99">
        <f>VLOOKUP($AB6,Base_Mensuelle!$HS$67:$JV$679,39,0)</f>
        <v>360</v>
      </c>
      <c r="AQ6" s="99">
        <f>VLOOKUP($AB6,Base_Mensuelle!$HS$67:$JV$679,10,0)</f>
        <v>206.89654541015625</v>
      </c>
      <c r="AR6" s="132">
        <f>VLOOKUP($AB6,Base_Mensuelle!$HS$67:$JV$679,11,0)</f>
        <v>143.66161499023437</v>
      </c>
      <c r="AS6" s="733">
        <f>VLOOKUP($B6,Base_Mensuelle!$JW$67:$KZ$679,3,0)</f>
        <v>345.38461538461536</v>
      </c>
      <c r="AT6" s="734">
        <f>VLOOKUP($B6,Base_Mensuelle!$JW$67:$KZ$679,8,0)</f>
        <v>408.46153846153845</v>
      </c>
      <c r="AU6" s="733">
        <f>VLOOKUP($B6,Base_Mensuelle!$JW$67:$KZ$679,11,0)</f>
        <v>39.569444444444443</v>
      </c>
      <c r="AV6" s="734">
        <f>VLOOKUP($B6,Base_Mensuelle!$JW$67:$KZ$679,15,0)</f>
        <v>74.980769230769226</v>
      </c>
      <c r="AW6" s="733">
        <f>VLOOKUP($B6,Base_Mensuelle!$JW$67:$KZ$679,25,0)</f>
        <v>23.282051282051281</v>
      </c>
      <c r="AX6" s="734">
        <f>VLOOKUP($B6,Base_Mensuelle!$JW$67:$KZ$679,29,0)</f>
        <v>27.705128205128204</v>
      </c>
    </row>
    <row r="7" spans="1:50">
      <c r="A7" s="175">
        <f t="shared" si="0"/>
        <v>102</v>
      </c>
      <c r="B7" s="14">
        <f>INDEX(Base_Mensuelle!$BX$68:$CD$679,MAX(Base_Mensuelle!$CD$68:$CD$679)-A8,1)</f>
        <v>42186</v>
      </c>
      <c r="C7" s="179">
        <f>VLOOKUP($B7,Base_Mensuelle!$BX$68:$CD$679,C$2,0)</f>
        <v>596.6</v>
      </c>
      <c r="D7" s="99">
        <f>VLOOKUP($B7,Base_Mensuelle!$BX$68:$CD$679,D$2,0)</f>
        <v>664.95699999999999</v>
      </c>
      <c r="E7" s="99">
        <f>VLOOKUP($B7,Base_Mensuelle!$BX$68:$CD$679,E$2,0)</f>
        <v>625.21039313469998</v>
      </c>
      <c r="F7" s="99">
        <f>VLOOKUP($B7,Base_Mensuelle!$BX$68:$CD$679,F$2,0)</f>
        <v>47.908000000000001</v>
      </c>
      <c r="G7" s="132">
        <f>VLOOKUP($B7,Base_Mensuelle!$BX$68:$CD$679,G$2,0)</f>
        <v>169.66</v>
      </c>
      <c r="H7" s="99">
        <f>VLOOKUP($B7,Base_Mensuelle!$CF$68:$CJ$679,H$2,0)</f>
        <v>1.5950425699999999</v>
      </c>
      <c r="I7" s="132">
        <f>VLOOKUP($B7,Base_Mensuelle!$CF$68:$CJ$679,I$2,0)</f>
        <v>1128.31</v>
      </c>
      <c r="J7" s="19">
        <f>VLOOKUP($B7,Base_Mensuelle!$CY$67:$DE$679,5,0)</f>
        <v>544825</v>
      </c>
      <c r="K7" s="99">
        <f>VLOOKUP($B7,Base_Mensuelle!$CY$67:$DE$679,2,0)</f>
        <v>107.34191413912868</v>
      </c>
      <c r="L7" s="93"/>
      <c r="M7" s="182">
        <f>VLOOKUP($B7,Base_Mensuelle!$DG$67:$DN$679,2,0)</f>
        <v>321117.89714830165</v>
      </c>
      <c r="N7" s="182">
        <f>VLOOKUP($B7,Base_Mensuelle!$DG$68:$DO$679,9,0)</f>
        <v>0</v>
      </c>
      <c r="O7" s="93"/>
      <c r="P7" s="20"/>
      <c r="Q7" s="14">
        <f>INDEX(Base_Mensuelle!$BX$68:$CD$679,MAX(Base_Mensuelle!$PD$68:$PD$679)-A8,1)</f>
        <v>42186</v>
      </c>
      <c r="R7" s="733">
        <f>VLOOKUP($Q7,Base_Mensuelle!$OF$67:$RN$679,12,0)</f>
        <v>631.20751971665322</v>
      </c>
      <c r="S7" s="570">
        <f>VLOOKUP($Q7,Base_Mensuelle!$OF$67:$RN$679,15,0)</f>
        <v>1871.2250169589483</v>
      </c>
      <c r="T7" s="570">
        <f>VLOOKUP($Q7,Base_Mensuelle!$OF$67:$RN$679,22,0)</f>
        <v>370.47243284799998</v>
      </c>
      <c r="U7" s="734">
        <f>VLOOKUP($Q7,Base_Mensuelle!$OF$67:$RN$679,16,0)</f>
        <v>-25.522233197000013</v>
      </c>
      <c r="V7" s="733">
        <f>VLOOKUP($Q7,Base_Mensuelle!$OF$67:$RN$679,27,0)</f>
        <v>-72.882122391999985</v>
      </c>
      <c r="W7" s="570">
        <f>VLOOKUP($Q7,Base_Mensuelle!$OF$67:$RN$679,31,0)</f>
        <v>-44.040486928000036</v>
      </c>
      <c r="X7" s="570">
        <f>VLOOKUP($Q7,Base_Mensuelle!$OF$67:$RN$679,33,0)</f>
        <v>183.36265032900002</v>
      </c>
      <c r="Y7" s="570">
        <f>VLOOKUP($Q7,Base_Mensuelle!$OF$67:$RN$679,65,0)</f>
        <v>1892.6835935629483</v>
      </c>
      <c r="Z7" s="570">
        <f>VLOOKUP($Q7,Base_Mensuelle!$OF$67:$RN$679,39,0)</f>
        <v>398.97723395200001</v>
      </c>
      <c r="AA7" s="734">
        <f>VLOOKUP($Q7,Base_Mensuelle!$OF$67:$RN$679,51,0)</f>
        <v>5.5669167079999999</v>
      </c>
      <c r="AB7" s="14">
        <f>INDEX(Base_Mensuelle!$BX$68:$CD$679,MAX(Base_Mensuelle!$FZ$68:$FZ$679)-A7,1)</f>
        <v>42156</v>
      </c>
      <c r="AC7" s="179">
        <f>VLOOKUP($AB7,Base_Mensuelle!$FL$67:$FY$679,2,0)</f>
        <v>103.07</v>
      </c>
      <c r="AD7" s="93"/>
      <c r="AE7" s="20">
        <f t="shared" si="1"/>
        <v>0.03</v>
      </c>
      <c r="AF7" s="219">
        <f>VLOOKUP($AB7,Base_Mensuelle!$GP$67:$HR$679,2,0)</f>
        <v>250.547527549379</v>
      </c>
      <c r="AG7" s="93">
        <f>VLOOKUP($AB7,Base_Mensuelle!$GP$67:$HR$679,3,0)</f>
        <v>213.59328193869499</v>
      </c>
      <c r="AH7" s="93">
        <f>VLOOKUP($AB7,Base_Mensuelle!$GP$67:$HR$679,14,0)</f>
        <v>1632.3453708813699</v>
      </c>
      <c r="AI7" s="99">
        <f>VLOOKUP($AB7,Base_Mensuelle!$GA$67:$GO$679,5,0)</f>
        <v>100.32</v>
      </c>
      <c r="AJ7" s="99">
        <f>VLOOKUP($AB7,Base_Mensuelle!$GA$67:$GO$679,6,0)</f>
        <v>108.28</v>
      </c>
      <c r="AK7" s="99">
        <f>VLOOKUP($AB7,Base_Mensuelle!$GA$67:$GO$679,7,0)</f>
        <v>101.3</v>
      </c>
      <c r="AL7" s="99">
        <f>VLOOKUP($AB7,Base_Mensuelle!$GA$67:$GO$679,3,0)</f>
        <v>100.04</v>
      </c>
      <c r="AM7" s="132">
        <f>VLOOKUP($AB7,Base_Mensuelle!$GA$67:$GO$679,4,0)</f>
        <v>104.73</v>
      </c>
      <c r="AN7" s="179">
        <f>VLOOKUP($AB7,Base_Mensuelle!$HS$67:$JV$679,9,0)</f>
        <v>178.49462890625</v>
      </c>
      <c r="AO7" s="99">
        <f>VLOOKUP($AB7,Base_Mensuelle!$HS$67:$JV$679,23,0)</f>
        <v>146.83735656738281</v>
      </c>
      <c r="AP7" s="99">
        <f>VLOOKUP($AB7,Base_Mensuelle!$HS$67:$JV$679,39,0)</f>
        <v>400</v>
      </c>
      <c r="AQ7" s="99">
        <f>VLOOKUP($AB7,Base_Mensuelle!$HS$67:$JV$679,10,0)</f>
        <v>206.89654541015625</v>
      </c>
      <c r="AR7" s="132">
        <f>VLOOKUP($AB7,Base_Mensuelle!$HS$67:$JV$679,11,0)</f>
        <v>154.67171859741211</v>
      </c>
      <c r="AS7" s="733">
        <f>VLOOKUP($B7,Base_Mensuelle!$JW$67:$KZ$679,3,0)</f>
        <v>311.82692307692304</v>
      </c>
      <c r="AT7" s="734">
        <f>VLOOKUP($B7,Base_Mensuelle!$JW$67:$KZ$679,8,0)</f>
        <v>401.7045454545455</v>
      </c>
      <c r="AU7" s="733">
        <f>VLOOKUP($B7,Base_Mensuelle!$JW$67:$KZ$679,11,0)</f>
        <v>41.328947368421055</v>
      </c>
      <c r="AV7" s="734">
        <f>VLOOKUP($B7,Base_Mensuelle!$JW$67:$KZ$679,15,0)</f>
        <v>77.060897435897431</v>
      </c>
      <c r="AW7" s="733">
        <f>VLOOKUP($B7,Base_Mensuelle!$JW$67:$KZ$679,25,0)</f>
        <v>23.07</v>
      </c>
      <c r="AX7" s="734">
        <f>VLOOKUP($B7,Base_Mensuelle!$JW$67:$KZ$679,29,0)</f>
        <v>27.692810457516341</v>
      </c>
    </row>
    <row r="8" spans="1:50">
      <c r="A8" s="175">
        <f t="shared" si="0"/>
        <v>101</v>
      </c>
      <c r="B8" s="14">
        <f>INDEX(Base_Mensuelle!$BX$68:$CD$679,MAX(Base_Mensuelle!$CD$68:$CD$679)-A9,1)</f>
        <v>42217</v>
      </c>
      <c r="C8" s="179">
        <f>VLOOKUP($B8,Base_Mensuelle!$BX$68:$CD$679,C$2,0)</f>
        <v>589</v>
      </c>
      <c r="D8" s="99">
        <f>VLOOKUP($B8,Base_Mensuelle!$BX$68:$CD$679,D$2,0)</f>
        <v>664.95699999999999</v>
      </c>
      <c r="E8" s="99">
        <f>VLOOKUP($B8,Base_Mensuelle!$BX$68:$CD$679,E$2,0)</f>
        <v>608.66381221400002</v>
      </c>
      <c r="F8" s="99">
        <f>VLOOKUP($B8,Base_Mensuelle!$BX$68:$CD$679,F$2,0)</f>
        <v>45.62</v>
      </c>
      <c r="G8" s="132">
        <f>VLOOKUP($B8,Base_Mensuelle!$BX$68:$CD$679,G$2,0)</f>
        <v>151.79</v>
      </c>
      <c r="H8" s="99">
        <f>VLOOKUP($B8,Base_Mensuelle!$CF$68:$CJ$679,H$2,0)</f>
        <v>1.5833580840000001</v>
      </c>
      <c r="I8" s="132">
        <f>VLOOKUP($B8,Base_Mensuelle!$CF$68:$CJ$679,I$2,0)</f>
        <v>1117.93</v>
      </c>
      <c r="J8" s="19">
        <f>VLOOKUP($B8,Base_Mensuelle!$CY$67:$DE$679,5,0)</f>
        <v>544825</v>
      </c>
      <c r="K8" s="99">
        <f>VLOOKUP($B8,Base_Mensuelle!$CY$67:$DE$679,2,0)</f>
        <v>99.134534000000002</v>
      </c>
      <c r="L8" s="93"/>
      <c r="M8" s="182">
        <f>VLOOKUP($B8,Base_Mensuelle!$DG$67:$DN$679,2,0)</f>
        <v>324214.14808705379</v>
      </c>
      <c r="N8" s="182">
        <f>VLOOKUP($B8,Base_Mensuelle!$DG$68:$DO$679,9,0)</f>
        <v>0</v>
      </c>
      <c r="O8" s="93"/>
      <c r="P8" s="20"/>
      <c r="Q8" s="14">
        <f>INDEX(Base_Mensuelle!$BX$68:$CD$679,MAX(Base_Mensuelle!$PD$68:$PD$679)-A9,1)</f>
        <v>42217</v>
      </c>
      <c r="R8" s="733">
        <f>VLOOKUP($Q8,Base_Mensuelle!$OF$67:$RN$679,12,0)</f>
        <v>717.80777560819092</v>
      </c>
      <c r="S8" s="570">
        <f>VLOOKUP($Q8,Base_Mensuelle!$OF$67:$RN$679,15,0)</f>
        <v>1827.8371080618426</v>
      </c>
      <c r="T8" s="570">
        <f>VLOOKUP($Q8,Base_Mensuelle!$OF$67:$RN$679,22,0)</f>
        <v>372.28836756499993</v>
      </c>
      <c r="U8" s="734">
        <f>VLOOKUP($Q8,Base_Mensuelle!$OF$67:$RN$679,16,0)</f>
        <v>-75.43855176400001</v>
      </c>
      <c r="V8" s="733">
        <f>VLOOKUP($Q8,Base_Mensuelle!$OF$67:$RN$679,27,0)</f>
        <v>17.600834398000075</v>
      </c>
      <c r="W8" s="570">
        <f>VLOOKUP($Q8,Base_Mensuelle!$OF$67:$RN$679,31,0)</f>
        <v>-92.157823529000012</v>
      </c>
      <c r="X8" s="570">
        <f>VLOOKUP($Q8,Base_Mensuelle!$OF$67:$RN$679,33,0)</f>
        <v>231.501250562</v>
      </c>
      <c r="Y8" s="570">
        <f>VLOOKUP($Q8,Base_Mensuelle!$OF$67:$RN$679,65,0)</f>
        <v>1899.1866438838426</v>
      </c>
      <c r="Z8" s="570">
        <f>VLOOKUP($Q8,Base_Mensuelle!$OF$67:$RN$679,39,0)</f>
        <v>409.57767104999999</v>
      </c>
      <c r="AA8" s="734">
        <f>VLOOKUP($Q8,Base_Mensuelle!$OF$67:$RN$679,51,0)</f>
        <v>6.3135218230000003</v>
      </c>
      <c r="AB8" s="14">
        <f>INDEX(Base_Mensuelle!$BX$68:$CD$679,MAX(Base_Mensuelle!$FZ$68:$FZ$679)-A8,1)</f>
        <v>42186</v>
      </c>
      <c r="AC8" s="179">
        <f>VLOOKUP($AB8,Base_Mensuelle!$FL$67:$FY$679,2,0)</f>
        <v>103.14</v>
      </c>
      <c r="AD8" s="93"/>
      <c r="AE8" s="20">
        <f t="shared" si="1"/>
        <v>0.03</v>
      </c>
      <c r="AF8" s="219">
        <f>VLOOKUP($AB8,Base_Mensuelle!$GP$67:$HR$679,2,0)</f>
        <v>256.920881836094</v>
      </c>
      <c r="AG8" s="93">
        <f>VLOOKUP($AB8,Base_Mensuelle!$GP$67:$HR$679,3,0)</f>
        <v>230.59215301115901</v>
      </c>
      <c r="AH8" s="93">
        <f>VLOOKUP($AB8,Base_Mensuelle!$GP$67:$HR$679,14,0)</f>
        <v>1887.7301117915099</v>
      </c>
      <c r="AI8" s="99">
        <f>VLOOKUP($AB8,Base_Mensuelle!$GA$67:$GO$679,5,0)</f>
        <v>101.54</v>
      </c>
      <c r="AJ8" s="99">
        <f>VLOOKUP($AB8,Base_Mensuelle!$GA$67:$GO$679,6,0)</f>
        <v>109.17</v>
      </c>
      <c r="AK8" s="99">
        <f>VLOOKUP($AB8,Base_Mensuelle!$GA$67:$GO$679,7,0)</f>
        <v>101.18</v>
      </c>
      <c r="AL8" s="99">
        <f>VLOOKUP($AB8,Base_Mensuelle!$GA$67:$GO$679,3,0)</f>
        <v>99.98</v>
      </c>
      <c r="AM8" s="132">
        <f>VLOOKUP($AB8,Base_Mensuelle!$GA$67:$GO$679,4,0)</f>
        <v>104.87</v>
      </c>
      <c r="AN8" s="179">
        <f>VLOOKUP($AB8,Base_Mensuelle!$HS$67:$JV$679,9,0)</f>
        <v>186.29033279418945</v>
      </c>
      <c r="AO8" s="99">
        <f>VLOOKUP($AB8,Base_Mensuelle!$HS$67:$JV$679,23,0)</f>
        <v>143.64475250244141</v>
      </c>
      <c r="AP8" s="99">
        <f>VLOOKUP($AB8,Base_Mensuelle!$HS$67:$JV$679,39,0)</f>
        <v>387.5</v>
      </c>
      <c r="AQ8" s="99">
        <f>VLOOKUP($AB8,Base_Mensuelle!$HS$67:$JV$679,10,0)</f>
        <v>206.20689086914064</v>
      </c>
      <c r="AR8" s="132">
        <f>VLOOKUP($AB8,Base_Mensuelle!$HS$67:$JV$679,11,0)</f>
        <v>151.51515197753906</v>
      </c>
      <c r="AS8" s="733">
        <f>VLOOKUP($B8,Base_Mensuelle!$JW$67:$KZ$679,3,0)</f>
        <v>313.38461538461536</v>
      </c>
      <c r="AT8" s="734">
        <f>VLOOKUP($B8,Base_Mensuelle!$JW$67:$KZ$679,8,0)</f>
        <v>398.13333333333333</v>
      </c>
      <c r="AU8" s="733">
        <f>VLOOKUP($B8,Base_Mensuelle!$JW$67:$KZ$679,11,0)</f>
        <v>39.875</v>
      </c>
      <c r="AV8" s="734">
        <f>VLOOKUP($B8,Base_Mensuelle!$JW$67:$KZ$679,15,0)</f>
        <v>75.537499999999994</v>
      </c>
      <c r="AW8" s="733">
        <f>VLOOKUP($B8,Base_Mensuelle!$JW$67:$KZ$679,25,0)</f>
        <v>21.966666666666669</v>
      </c>
      <c r="AX8" s="734">
        <f>VLOOKUP($B8,Base_Mensuelle!$JW$67:$KZ$679,29,0)</f>
        <v>27.953125</v>
      </c>
    </row>
    <row r="9" spans="1:50">
      <c r="A9" s="175">
        <f t="shared" si="0"/>
        <v>100</v>
      </c>
      <c r="B9" s="14">
        <f>INDEX(Base_Mensuelle!$BX$68:$CD$679,MAX(Base_Mensuelle!$CD$68:$CD$679)-A10,1)</f>
        <v>42248</v>
      </c>
      <c r="C9" s="179">
        <f>VLOOKUP($B9,Base_Mensuelle!$BX$68:$CD$679,C$2,0)</f>
        <v>584.58000000000004</v>
      </c>
      <c r="D9" s="99">
        <f>VLOOKUP($B9,Base_Mensuelle!$BX$68:$CD$679,D$2,0)</f>
        <v>664.95699999999999</v>
      </c>
      <c r="E9" s="99">
        <f>VLOOKUP($B9,Base_Mensuelle!$BX$68:$CD$679,E$2,0)</f>
        <v>601.08626254569992</v>
      </c>
      <c r="F9" s="99">
        <f>VLOOKUP($B9,Base_Mensuelle!$BX$68:$CD$679,F$2,0)</f>
        <v>42.854800248260538</v>
      </c>
      <c r="G9" s="132">
        <f>VLOOKUP($B9,Base_Mensuelle!$BX$68:$CD$679,G$2,0)</f>
        <v>150.76795666666666</v>
      </c>
      <c r="H9" s="99">
        <f>VLOOKUP($B9,Base_Mensuelle!$CF$68:$CJ$679,H$2,0)</f>
        <v>1.5154557879999999</v>
      </c>
      <c r="I9" s="132">
        <f>VLOOKUP($B9,Base_Mensuelle!$CF$68:$CJ$679,I$2,0)</f>
        <v>1124.77</v>
      </c>
      <c r="J9" s="19">
        <f>VLOOKUP($B9,Base_Mensuelle!$CY$67:$DE$679,5,0)</f>
        <v>544825</v>
      </c>
      <c r="K9" s="99">
        <f>VLOOKUP($B9,Base_Mensuelle!$CY$67:$DE$679,2,0)</f>
        <v>97.568646000000001</v>
      </c>
      <c r="L9" s="93"/>
      <c r="M9" s="182">
        <f>VLOOKUP($B9,Base_Mensuelle!$DG$67:$DN$679,2,0)</f>
        <v>321248</v>
      </c>
      <c r="N9" s="182">
        <f>VLOOKUP($B9,Base_Mensuelle!$DG$68:$DO$679,9,0)</f>
        <v>0</v>
      </c>
      <c r="O9" s="93"/>
      <c r="P9" s="20"/>
      <c r="Q9" s="14">
        <f>INDEX(Base_Mensuelle!$BX$68:$CD$679,MAX(Base_Mensuelle!$PD$68:$PD$679)-A10,1)</f>
        <v>42248</v>
      </c>
      <c r="R9" s="733">
        <f>VLOOKUP($Q9,Base_Mensuelle!$OF$67:$RN$679,12,0)</f>
        <v>650.98189194319286</v>
      </c>
      <c r="S9" s="570">
        <f>VLOOKUP($Q9,Base_Mensuelle!$OF$67:$RN$679,15,0)</f>
        <v>1870.5762354640799</v>
      </c>
      <c r="T9" s="570">
        <f>VLOOKUP($Q9,Base_Mensuelle!$OF$67:$RN$679,22,0)</f>
        <v>379.979883282</v>
      </c>
      <c r="U9" s="734">
        <f>VLOOKUP($Q9,Base_Mensuelle!$OF$67:$RN$679,16,0)</f>
        <v>-33.00151539899997</v>
      </c>
      <c r="V9" s="733">
        <f>VLOOKUP($Q9,Base_Mensuelle!$OF$67:$RN$679,27,0)</f>
        <v>2.259052975999964</v>
      </c>
      <c r="W9" s="570">
        <f>VLOOKUP($Q9,Base_Mensuelle!$OF$67:$RN$679,31,0)</f>
        <v>-54.783027669000006</v>
      </c>
      <c r="X9" s="570">
        <f>VLOOKUP($Q9,Base_Mensuelle!$OF$67:$RN$679,33,0)</f>
        <v>191.67977908099999</v>
      </c>
      <c r="Y9" s="570">
        <f>VLOOKUP($Q9,Base_Mensuelle!$OF$67:$RN$679,65,0)</f>
        <v>1899.4534670880798</v>
      </c>
      <c r="Z9" s="570">
        <f>VLOOKUP($Q9,Base_Mensuelle!$OF$67:$RN$679,39,0)</f>
        <v>432.83701739700001</v>
      </c>
      <c r="AA9" s="734">
        <f>VLOOKUP($Q9,Base_Mensuelle!$OF$67:$RN$679,51,0)</f>
        <v>7.2511100099999997</v>
      </c>
      <c r="AB9" s="14">
        <f>INDEX(Base_Mensuelle!$BX$68:$CD$679,MAX(Base_Mensuelle!$FZ$68:$FZ$679)-A9,1)</f>
        <v>42217</v>
      </c>
      <c r="AC9" s="179">
        <f>VLOOKUP($AB9,Base_Mensuelle!$FL$67:$FY$679,2,0)</f>
        <v>103.41</v>
      </c>
      <c r="AD9" s="93"/>
      <c r="AE9" s="20">
        <f t="shared" si="1"/>
        <v>0.03</v>
      </c>
      <c r="AF9" s="219">
        <f>VLOOKUP($AB9,Base_Mensuelle!$GP$67:$HR$679,2,0)</f>
        <v>219.322709579617</v>
      </c>
      <c r="AG9" s="93">
        <f>VLOOKUP($AB9,Base_Mensuelle!$GP$67:$HR$679,3,0)</f>
        <v>216.07267521854001</v>
      </c>
      <c r="AH9" s="93">
        <f>VLOOKUP($AB9,Base_Mensuelle!$GP$67:$HR$679,14,0)</f>
        <v>1688.69191036814</v>
      </c>
      <c r="AI9" s="99">
        <f>VLOOKUP($AB9,Base_Mensuelle!$GA$67:$GO$679,5,0)</f>
        <v>99.98</v>
      </c>
      <c r="AJ9" s="99">
        <f>VLOOKUP($AB9,Base_Mensuelle!$GA$67:$GO$679,6,0)</f>
        <v>107.3</v>
      </c>
      <c r="AK9" s="99">
        <f>VLOOKUP($AB9,Base_Mensuelle!$GA$67:$GO$679,7,0)</f>
        <v>102.03</v>
      </c>
      <c r="AL9" s="99">
        <f>VLOOKUP($AB9,Base_Mensuelle!$GA$67:$GO$679,3,0)</f>
        <v>99.68</v>
      </c>
      <c r="AM9" s="132">
        <f>VLOOKUP($AB9,Base_Mensuelle!$GA$67:$GO$679,4,0)</f>
        <v>105.37</v>
      </c>
      <c r="AN9" s="179">
        <f>VLOOKUP($AB9,Base_Mensuelle!$HS$67:$JV$679,9,0)</f>
        <v>182.82469940185547</v>
      </c>
      <c r="AO9" s="99">
        <f>VLOOKUP($AB9,Base_Mensuelle!$HS$67:$JV$679,23,0)</f>
        <v>145.34883117675781</v>
      </c>
      <c r="AP9" s="99">
        <f>VLOOKUP($AB9,Base_Mensuelle!$HS$67:$JV$679,39,0)</f>
        <v>366.66666666666669</v>
      </c>
      <c r="AQ9" s="99">
        <f>VLOOKUP($AB9,Base_Mensuelle!$HS$67:$JV$679,10,0)</f>
        <v>200.86206436157227</v>
      </c>
      <c r="AR9" s="132">
        <f>VLOOKUP($AB9,Base_Mensuelle!$HS$67:$JV$679,11,0)</f>
        <v>150.90604553222656</v>
      </c>
      <c r="AS9" s="733">
        <f>VLOOKUP($B9,Base_Mensuelle!$JW$67:$KZ$679,3,0)</f>
        <v>293.72435897435901</v>
      </c>
      <c r="AT9" s="734">
        <f>VLOOKUP($B9,Base_Mensuelle!$JW$67:$KZ$679,8,0)</f>
        <v>392.05128205128204</v>
      </c>
      <c r="AU9" s="733">
        <f>VLOOKUP($B9,Base_Mensuelle!$JW$67:$KZ$679,11,0)</f>
        <v>36.359459459459458</v>
      </c>
      <c r="AV9" s="734">
        <f>VLOOKUP($B9,Base_Mensuelle!$JW$67:$KZ$679,15,0)</f>
        <v>73.766025641025635</v>
      </c>
      <c r="AW9" s="733">
        <f>VLOOKUP($B9,Base_Mensuelle!$JW$67:$KZ$679,25,0)</f>
        <v>22.21153846153846</v>
      </c>
      <c r="AX9" s="734">
        <f>VLOOKUP($B9,Base_Mensuelle!$JW$67:$KZ$679,29,0)</f>
        <v>28.392307692307693</v>
      </c>
    </row>
    <row r="10" spans="1:50">
      <c r="A10" s="175">
        <f t="shared" si="0"/>
        <v>99</v>
      </c>
      <c r="B10" s="14">
        <f>INDEX(Base_Mensuelle!$BX$68:$CD$679,MAX(Base_Mensuelle!$CD$68:$CD$679)-A11,1)</f>
        <v>42278</v>
      </c>
      <c r="C10" s="179">
        <f>VLOOKUP($B10,Base_Mensuelle!$BX$68:$CD$679,C$2,0)</f>
        <v>583.85</v>
      </c>
      <c r="D10" s="99">
        <f>VLOOKUP($B10,Base_Mensuelle!$BX$68:$CD$679,D$2,0)</f>
        <v>664.95699999999999</v>
      </c>
      <c r="E10" s="99">
        <f>VLOOKUP($B10,Base_Mensuelle!$BX$68:$CD$679,E$2,0)</f>
        <v>602.7758765863</v>
      </c>
      <c r="F10" s="99">
        <f>VLOOKUP($B10,Base_Mensuelle!$BX$68:$CD$679,F$2,0)</f>
        <v>43.274925946206274</v>
      </c>
      <c r="G10" s="132">
        <f>VLOOKUP($B10,Base_Mensuelle!$BX$68:$CD$679,G$2,0)</f>
        <v>154.2555419354839</v>
      </c>
      <c r="H10" s="99">
        <f>VLOOKUP($B10,Base_Mensuelle!$CF$68:$CJ$679,H$2,0)</f>
        <v>1.5218491860000001</v>
      </c>
      <c r="I10" s="132">
        <f>VLOOKUP($B10,Base_Mensuelle!$CF$68:$CJ$679,I$2,0)</f>
        <v>1159.25</v>
      </c>
      <c r="J10" s="19">
        <f>VLOOKUP($B10,Base_Mensuelle!$CY$67:$DE$679,5,0)</f>
        <v>544825</v>
      </c>
      <c r="K10" s="99">
        <f>VLOOKUP($B10,Base_Mensuelle!$CY$67:$DE$679,2,0)</f>
        <v>92.972103000000004</v>
      </c>
      <c r="L10" s="93"/>
      <c r="M10" s="182">
        <f>VLOOKUP($B10,Base_Mensuelle!$DG$67:$DN$679,2,0)</f>
        <v>323594</v>
      </c>
      <c r="N10" s="182">
        <f>VLOOKUP($B10,Base_Mensuelle!$DG$68:$DO$679,9,0)</f>
        <v>0</v>
      </c>
      <c r="O10" s="93"/>
      <c r="P10" s="20"/>
      <c r="Q10" s="14">
        <f>INDEX(Base_Mensuelle!$BX$68:$CD$679,MAX(Base_Mensuelle!$PD$68:$PD$679)-A11,1)</f>
        <v>42278</v>
      </c>
      <c r="R10" s="733">
        <f>VLOOKUP($Q10,Base_Mensuelle!$OF$67:$RN$679,12,0)</f>
        <v>653.57875080728468</v>
      </c>
      <c r="S10" s="570">
        <f>VLOOKUP($Q10,Base_Mensuelle!$OF$67:$RN$679,15,0)</f>
        <v>1922.4636985979259</v>
      </c>
      <c r="T10" s="570">
        <f>VLOOKUP($Q10,Base_Mensuelle!$OF$67:$RN$679,22,0)</f>
        <v>380.66671841000004</v>
      </c>
      <c r="U10" s="734">
        <f>VLOOKUP($Q10,Base_Mensuelle!$OF$67:$RN$679,16,0)</f>
        <v>-37.399164086999917</v>
      </c>
      <c r="V10" s="733">
        <f>VLOOKUP($Q10,Base_Mensuelle!$OF$67:$RN$679,27,0)</f>
        <v>-78.582743023000035</v>
      </c>
      <c r="W10" s="570">
        <f>VLOOKUP($Q10,Base_Mensuelle!$OF$67:$RN$679,31,0)</f>
        <v>-70.11926416999998</v>
      </c>
      <c r="X10" s="570">
        <f>VLOOKUP($Q10,Base_Mensuelle!$OF$67:$RN$679,33,0)</f>
        <v>207.05212882399999</v>
      </c>
      <c r="Y10" s="570">
        <f>VLOOKUP($Q10,Base_Mensuelle!$OF$67:$RN$679,65,0)</f>
        <v>1955.6302332769258</v>
      </c>
      <c r="Z10" s="570">
        <f>VLOOKUP($Q10,Base_Mensuelle!$OF$67:$RN$679,39,0)</f>
        <v>433.62571938300005</v>
      </c>
      <c r="AA10" s="734">
        <f>VLOOKUP($Q10,Base_Mensuelle!$OF$67:$RN$679,51,0)</f>
        <v>7.4956492800000003</v>
      </c>
      <c r="AB10" s="14">
        <f>INDEX(Base_Mensuelle!$BX$68:$CD$679,MAX(Base_Mensuelle!$FZ$68:$FZ$679)-A10,1)</f>
        <v>42248</v>
      </c>
      <c r="AC10" s="179">
        <f>VLOOKUP($AB10,Base_Mensuelle!$FL$67:$FY$679,2,0)</f>
        <v>101.83</v>
      </c>
      <c r="AD10" s="93"/>
      <c r="AE10" s="20">
        <f t="shared" si="1"/>
        <v>0.03</v>
      </c>
      <c r="AF10" s="219">
        <f>VLOOKUP($AB10,Base_Mensuelle!$GP$67:$HR$679,2,0)</f>
        <v>266.44054226313102</v>
      </c>
      <c r="AG10" s="93">
        <f>VLOOKUP($AB10,Base_Mensuelle!$GP$67:$HR$679,3,0)</f>
        <v>233.10420690172899</v>
      </c>
      <c r="AH10" s="93">
        <f>VLOOKUP($AB10,Base_Mensuelle!$GP$67:$HR$679,14,0)</f>
        <v>1983.7485694703701</v>
      </c>
      <c r="AI10" s="99">
        <f>VLOOKUP($AB10,Base_Mensuelle!$GA$67:$GO$679,5,0)</f>
        <v>96.95</v>
      </c>
      <c r="AJ10" s="99">
        <f>VLOOKUP($AB10,Base_Mensuelle!$GA$67:$GO$679,6,0)</f>
        <v>104.97</v>
      </c>
      <c r="AK10" s="99">
        <f>VLOOKUP($AB10,Base_Mensuelle!$GA$67:$GO$679,7,0)</f>
        <v>101.1</v>
      </c>
      <c r="AL10" s="99">
        <f>VLOOKUP($AB10,Base_Mensuelle!$GA$67:$GO$679,3,0)</f>
        <v>99.58</v>
      </c>
      <c r="AM10" s="132">
        <f>VLOOKUP($AB10,Base_Mensuelle!$GA$67:$GO$679,4,0)</f>
        <v>103.01</v>
      </c>
      <c r="AN10" s="179">
        <f>VLOOKUP($AB10,Base_Mensuelle!$HS$67:$JV$679,9,0)</f>
        <v>172.54902648925781</v>
      </c>
      <c r="AO10" s="99">
        <f>VLOOKUP($AB10,Base_Mensuelle!$HS$67:$JV$679,23,0)</f>
        <v>145.34883117675781</v>
      </c>
      <c r="AP10" s="99">
        <f>VLOOKUP($AB10,Base_Mensuelle!$HS$67:$JV$679,39,0)</f>
        <v>366.66666666666669</v>
      </c>
      <c r="AQ10" s="99">
        <f>VLOOKUP($AB10,Base_Mensuelle!$HS$67:$JV$679,10,0)</f>
        <v>222.82678985595703</v>
      </c>
      <c r="AR10" s="132">
        <f>VLOOKUP($AB10,Base_Mensuelle!$HS$67:$JV$679,11,0)</f>
        <v>138.19095420837402</v>
      </c>
      <c r="AS10" s="733">
        <f>VLOOKUP($B10,Base_Mensuelle!$JW$67:$KZ$679,3,0)</f>
        <v>264.19444444444446</v>
      </c>
      <c r="AT10" s="734">
        <f>VLOOKUP($B10,Base_Mensuelle!$JW$67:$KZ$679,8,0)</f>
        <v>369.02777777777777</v>
      </c>
      <c r="AU10" s="733">
        <f>VLOOKUP($B10,Base_Mensuelle!$JW$67:$KZ$679,11,0)</f>
        <v>38.418918918918919</v>
      </c>
      <c r="AV10" s="734">
        <f>VLOOKUP($B10,Base_Mensuelle!$JW$67:$KZ$679,15,0)</f>
        <v>74.516203703703709</v>
      </c>
      <c r="AW10" s="733">
        <f>VLOOKUP($B10,Base_Mensuelle!$JW$67:$KZ$679,25,0)</f>
        <v>21.98076923076923</v>
      </c>
      <c r="AX10" s="734">
        <f>VLOOKUP($B10,Base_Mensuelle!$JW$67:$KZ$679,29,0)</f>
        <v>26.045918367346939</v>
      </c>
    </row>
    <row r="11" spans="1:50">
      <c r="A11" s="175">
        <f t="shared" si="0"/>
        <v>98</v>
      </c>
      <c r="B11" s="14">
        <f>INDEX(Base_Mensuelle!$BX$68:$CD$679,MAX(Base_Mensuelle!$CD$68:$CD$679)-A12,1)</f>
        <v>42309</v>
      </c>
      <c r="C11" s="179">
        <f>VLOOKUP($B11,Base_Mensuelle!$BX$68:$CD$679,C$2,0)</f>
        <v>610.99</v>
      </c>
      <c r="D11" s="99">
        <f>VLOOKUP($B11,Base_Mensuelle!$BX$68:$CD$679,D$2,0)</f>
        <v>664.95699999999999</v>
      </c>
      <c r="E11" s="99">
        <f>VLOOKUP($B11,Base_Mensuelle!$BX$68:$CD$679,E$2,0)</f>
        <v>605.52295890659991</v>
      </c>
      <c r="F11" s="99">
        <f>VLOOKUP($B11,Base_Mensuelle!$BX$68:$CD$679,F$2,0)</f>
        <v>43.22815549975946</v>
      </c>
      <c r="G11" s="132">
        <f>VLOOKUP($B11,Base_Mensuelle!$BX$68:$CD$679,G$2,0)</f>
        <v>160.14535666666669</v>
      </c>
      <c r="H11" s="99">
        <f>VLOOKUP($B11,Base_Mensuelle!$CF$68:$CJ$679,H$2,0)</f>
        <v>1.5260379639999999</v>
      </c>
      <c r="I11" s="132">
        <f>VLOOKUP($B11,Base_Mensuelle!$CF$68:$CJ$679,I$2,0)</f>
        <v>1086.44</v>
      </c>
      <c r="J11" s="19">
        <f>VLOOKUP($B11,Base_Mensuelle!$CY$67:$DE$679,5,0)</f>
        <v>544825</v>
      </c>
      <c r="K11" s="99">
        <f>VLOOKUP($B11,Base_Mensuelle!$CY$67:$DE$679,2,0)</f>
        <v>103.95114</v>
      </c>
      <c r="L11" s="93"/>
      <c r="M11" s="182">
        <f>VLOOKUP($B11,Base_Mensuelle!$DG$67:$DN$679,2,0)</f>
        <v>326184</v>
      </c>
      <c r="N11" s="182">
        <f>VLOOKUP($B11,Base_Mensuelle!$DG$68:$DO$679,9,0)</f>
        <v>0</v>
      </c>
      <c r="O11" s="93"/>
      <c r="P11" s="20"/>
      <c r="Q11" s="14">
        <f>INDEX(Base_Mensuelle!$BX$68:$CD$679,MAX(Base_Mensuelle!$PD$68:$PD$679)-A12,1)</f>
        <v>42309</v>
      </c>
      <c r="R11" s="733">
        <f>VLOOKUP($Q11,Base_Mensuelle!$OF$67:$RN$679,12,0)</f>
        <v>673.07108670302932</v>
      </c>
      <c r="S11" s="570">
        <f>VLOOKUP($Q11,Base_Mensuelle!$OF$67:$RN$679,15,0)</f>
        <v>1982.2230068366266</v>
      </c>
      <c r="T11" s="570">
        <f>VLOOKUP($Q11,Base_Mensuelle!$OF$67:$RN$679,22,0)</f>
        <v>398.04716454400062</v>
      </c>
      <c r="U11" s="734">
        <f>VLOOKUP($Q11,Base_Mensuelle!$OF$67:$RN$679,16,0)</f>
        <v>14.048835156000024</v>
      </c>
      <c r="V11" s="733">
        <f>VLOOKUP($Q11,Base_Mensuelle!$OF$67:$RN$679,27,0)</f>
        <v>-103.30285127500008</v>
      </c>
      <c r="W11" s="570">
        <f>VLOOKUP($Q11,Base_Mensuelle!$OF$67:$RN$679,31,0)</f>
        <v>-11.357340805000007</v>
      </c>
      <c r="X11" s="570">
        <f>VLOOKUP($Q11,Base_Mensuelle!$OF$67:$RN$679,33,0)</f>
        <v>148.25914829300001</v>
      </c>
      <c r="Y11" s="570">
        <f>VLOOKUP($Q11,Base_Mensuelle!$OF$67:$RN$679,65,0)</f>
        <v>1964.0142261976266</v>
      </c>
      <c r="Z11" s="570">
        <f>VLOOKUP($Q11,Base_Mensuelle!$OF$67:$RN$679,39,0)</f>
        <v>462.83168485599998</v>
      </c>
      <c r="AA11" s="734">
        <f>VLOOKUP($Q11,Base_Mensuelle!$OF$67:$RN$679,51,0)</f>
        <v>8.2791810750000003</v>
      </c>
      <c r="AB11" s="14">
        <f>INDEX(Base_Mensuelle!$BX$68:$CD$679,MAX(Base_Mensuelle!$FZ$68:$FZ$679)-A11,1)</f>
        <v>42278</v>
      </c>
      <c r="AC11" s="179">
        <f>VLOOKUP($AB11,Base_Mensuelle!$FL$67:$FY$679,2,0)</f>
        <v>103.14</v>
      </c>
      <c r="AD11" s="93"/>
      <c r="AE11" s="20">
        <f t="shared" si="1"/>
        <v>0.03</v>
      </c>
      <c r="AF11" s="219">
        <f>VLOOKUP($AB11,Base_Mensuelle!$GP$67:$HR$679,2,0)</f>
        <v>251.72101894787599</v>
      </c>
      <c r="AG11" s="93">
        <f>VLOOKUP($AB11,Base_Mensuelle!$GP$67:$HR$679,3,0)</f>
        <v>225.924533986819</v>
      </c>
      <c r="AH11" s="93">
        <f>VLOOKUP($AB11,Base_Mensuelle!$GP$67:$HR$679,14,0)</f>
        <v>1985.01562724015</v>
      </c>
      <c r="AI11" s="99">
        <f>VLOOKUP($AB11,Base_Mensuelle!$GA$67:$GO$679,5,0)</f>
        <v>103.33</v>
      </c>
      <c r="AJ11" s="99">
        <f>VLOOKUP($AB11,Base_Mensuelle!$GA$67:$GO$679,6,0)</f>
        <v>107.59</v>
      </c>
      <c r="AK11" s="99">
        <f>VLOOKUP($AB11,Base_Mensuelle!$GA$67:$GO$679,7,0)</f>
        <v>101.89</v>
      </c>
      <c r="AL11" s="99">
        <f>VLOOKUP($AB11,Base_Mensuelle!$GA$67:$GO$679,3,0)</f>
        <v>99.87</v>
      </c>
      <c r="AM11" s="132">
        <f>VLOOKUP($AB11,Base_Mensuelle!$GA$67:$GO$679,4,0)</f>
        <v>104.87</v>
      </c>
      <c r="AN11" s="179">
        <f>VLOOKUP($AB11,Base_Mensuelle!$HS$67:$JV$679,9,0)</f>
        <v>175.65360260009766</v>
      </c>
      <c r="AO11" s="99">
        <f>VLOOKUP($AB11,Base_Mensuelle!$HS$67:$JV$679,23,0)</f>
        <v>155.26512654622397</v>
      </c>
      <c r="AP11" s="99">
        <f>VLOOKUP($AB11,Base_Mensuelle!$HS$67:$JV$679,39,0)</f>
        <v>383.33333333333331</v>
      </c>
      <c r="AQ11" s="99">
        <f>VLOOKUP($AB11,Base_Mensuelle!$HS$67:$JV$679,10,0)</f>
        <v>224.33458862304687</v>
      </c>
      <c r="AR11" s="132">
        <f>VLOOKUP($AB11,Base_Mensuelle!$HS$67:$JV$679,11,0)</f>
        <v>150.75376892089844</v>
      </c>
      <c r="AS11" s="733">
        <f>VLOOKUP($B11,Base_Mensuelle!$JW$67:$KZ$679,3,0)</f>
        <v>277.19696969696969</v>
      </c>
      <c r="AT11" s="734">
        <f>VLOOKUP($B11,Base_Mensuelle!$JW$67:$KZ$679,8,0)</f>
        <v>320.27777777777777</v>
      </c>
      <c r="AU11" s="733">
        <f>VLOOKUP($B11,Base_Mensuelle!$JW$67:$KZ$679,11,0)</f>
        <v>37.410377358490564</v>
      </c>
      <c r="AV11" s="734">
        <f>VLOOKUP($B11,Base_Mensuelle!$JW$67:$KZ$679,15,0)</f>
        <v>74.516203703703709</v>
      </c>
      <c r="AW11" s="733">
        <f>VLOOKUP($B11,Base_Mensuelle!$JW$67:$KZ$679,25,0)</f>
        <v>22.388888888888889</v>
      </c>
      <c r="AX11" s="734">
        <f>VLOOKUP($B11,Base_Mensuelle!$JW$67:$KZ$679,29,0)</f>
        <v>28.712962962962962</v>
      </c>
    </row>
    <row r="12" spans="1:50">
      <c r="A12" s="175">
        <f t="shared" si="0"/>
        <v>97</v>
      </c>
      <c r="B12" s="14">
        <f>INDEX(Base_Mensuelle!$BX$68:$CD$679,MAX(Base_Mensuelle!$CD$68:$CD$679)-A13,1)</f>
        <v>42339</v>
      </c>
      <c r="C12" s="179">
        <f>VLOOKUP($B12,Base_Mensuelle!$BX$68:$CD$679,C$2,0)</f>
        <v>603.06794152799489</v>
      </c>
      <c r="D12" s="99">
        <f>VLOOKUP($B12,Base_Mensuelle!$BX$68:$CD$679,D$2,0)</f>
        <v>664.95699999999999</v>
      </c>
      <c r="E12" s="99">
        <f>VLOOKUP($B12,Base_Mensuelle!$BX$68:$CD$679,E$2,0)</f>
        <v>605.85296019211228</v>
      </c>
      <c r="F12" s="99">
        <f>VLOOKUP($B12,Base_Mensuelle!$BX$68:$CD$679,F$2,0)</f>
        <v>40.190980944795044</v>
      </c>
      <c r="G12" s="132">
        <f>VLOOKUP($B12,Base_Mensuelle!$BX$68:$CD$679,G$2,0)</f>
        <v>157.87902580645158</v>
      </c>
      <c r="H12" s="99">
        <f>VLOOKUP($B12,Base_Mensuelle!$CF$68:$CJ$679,H$2,0)</f>
        <v>1.551832018</v>
      </c>
      <c r="I12" s="132">
        <f>VLOOKUP($B12,Base_Mensuelle!$CF$68:$CJ$679,I$2,0)</f>
        <v>1075.74</v>
      </c>
      <c r="J12" s="19">
        <f>VLOOKUP($B12,Base_Mensuelle!$CY$67:$DE$679,5,0)</f>
        <v>544825</v>
      </c>
      <c r="K12" s="99">
        <f>VLOOKUP($B12,Base_Mensuelle!$CY$67:$DE$679,2,0)</f>
        <v>94.517721000000009</v>
      </c>
      <c r="L12" s="93"/>
      <c r="M12" s="182">
        <f>VLOOKUP($B12,Base_Mensuelle!$DG$67:$DN$679,2,0)</f>
        <v>328780</v>
      </c>
      <c r="N12" s="182">
        <f>VLOOKUP($B12,Base_Mensuelle!$DG$68:$DO$679,9,0)</f>
        <v>0</v>
      </c>
      <c r="O12" s="93"/>
      <c r="P12" s="20"/>
      <c r="Q12" s="14">
        <f>INDEX(Base_Mensuelle!$BX$68:$CD$679,MAX(Base_Mensuelle!$PD$68:$PD$679)-A13,1)</f>
        <v>42339</v>
      </c>
      <c r="R12" s="733">
        <f>VLOOKUP($Q12,Base_Mensuelle!$OF$67:$RN$679,12,0)</f>
        <v>737.75407879126396</v>
      </c>
      <c r="S12" s="570">
        <f>VLOOKUP($Q12,Base_Mensuelle!$OF$67:$RN$679,15,0)</f>
        <v>2036.1243578712526</v>
      </c>
      <c r="T12" s="570">
        <f>VLOOKUP($Q12,Base_Mensuelle!$OF$67:$RN$679,22,0)</f>
        <v>394.72472733499995</v>
      </c>
      <c r="U12" s="734">
        <f>VLOOKUP($Q12,Base_Mensuelle!$OF$67:$RN$679,16,0)</f>
        <v>17.871258429999983</v>
      </c>
      <c r="V12" s="733">
        <f>VLOOKUP($Q12,Base_Mensuelle!$OF$67:$RN$679,27,0)</f>
        <v>-136.05306034600005</v>
      </c>
      <c r="W12" s="570">
        <f>VLOOKUP($Q12,Base_Mensuelle!$OF$67:$RN$679,31,0)</f>
        <v>-7.8990911449999999</v>
      </c>
      <c r="X12" s="570">
        <f>VLOOKUP($Q12,Base_Mensuelle!$OF$67:$RN$679,33,0)</f>
        <v>139.98177500599999</v>
      </c>
      <c r="Y12" s="570">
        <f>VLOOKUP($Q12,Base_Mensuelle!$OF$67:$RN$679,65,0)</f>
        <v>2014.6846369172526</v>
      </c>
      <c r="Z12" s="570">
        <f>VLOOKUP($Q12,Base_Mensuelle!$OF$67:$RN$679,39,0)</f>
        <v>504.36069793500002</v>
      </c>
      <c r="AA12" s="734">
        <f>VLOOKUP($Q12,Base_Mensuelle!$OF$67:$RN$679,51,0)</f>
        <v>8.7337777340000002</v>
      </c>
      <c r="AB12" s="14">
        <f>INDEX(Base_Mensuelle!$BX$68:$CD$679,MAX(Base_Mensuelle!$FZ$68:$FZ$679)-A12,1)</f>
        <v>42309</v>
      </c>
      <c r="AC12" s="179">
        <f>VLOOKUP($AB12,Base_Mensuelle!$FL$67:$FY$679,2,0)</f>
        <v>102.42</v>
      </c>
      <c r="AD12" s="93"/>
      <c r="AE12" s="20">
        <f t="shared" si="1"/>
        <v>0.03</v>
      </c>
      <c r="AF12" s="219">
        <f>VLOOKUP($AB12,Base_Mensuelle!$GP$67:$HR$679,2,0)</f>
        <v>255.93801580559</v>
      </c>
      <c r="AG12" s="93">
        <f>VLOOKUP($AB12,Base_Mensuelle!$GP$67:$HR$679,3,0)</f>
        <v>213.601732842004</v>
      </c>
      <c r="AH12" s="93">
        <f>VLOOKUP($AB12,Base_Mensuelle!$GP$67:$HR$679,14,0)</f>
        <v>2123.6601299428999</v>
      </c>
      <c r="AI12" s="99">
        <f>VLOOKUP($AB12,Base_Mensuelle!$GA$67:$GO$679,5,0)</f>
        <v>101.1</v>
      </c>
      <c r="AJ12" s="99">
        <f>VLOOKUP($AB12,Base_Mensuelle!$GA$67:$GO$679,6,0)</f>
        <v>106.24</v>
      </c>
      <c r="AK12" s="99">
        <f>VLOOKUP($AB12,Base_Mensuelle!$GA$67:$GO$679,7,0)</f>
        <v>101.72</v>
      </c>
      <c r="AL12" s="99">
        <f>VLOOKUP($AB12,Base_Mensuelle!$GA$67:$GO$679,3,0)</f>
        <v>99.61</v>
      </c>
      <c r="AM12" s="132">
        <f>VLOOKUP($AB12,Base_Mensuelle!$GA$67:$GO$679,4,0)</f>
        <v>104.02</v>
      </c>
      <c r="AN12" s="179">
        <f>VLOOKUP($AB12,Base_Mensuelle!$HS$67:$JV$679,9,0)</f>
        <v>173.20262145996094</v>
      </c>
      <c r="AO12" s="99">
        <f>VLOOKUP($AB12,Base_Mensuelle!$HS$67:$JV$679,23,0)</f>
        <v>140.05241966247559</v>
      </c>
      <c r="AP12" s="99">
        <f>VLOOKUP($AB12,Base_Mensuelle!$HS$67:$JV$679,39,0)</f>
        <v>360</v>
      </c>
      <c r="AQ12" s="99">
        <f>VLOOKUP($AB12,Base_Mensuelle!$HS$67:$JV$679,10,0)</f>
        <v>220.53230794270834</v>
      </c>
      <c r="AR12" s="132">
        <f>VLOOKUP($AB12,Base_Mensuelle!$HS$67:$JV$679,11,0)</f>
        <v>140.70351867675782</v>
      </c>
      <c r="AS12" s="733">
        <f>VLOOKUP($B12,Base_Mensuelle!$JW$67:$KZ$679,3,0)</f>
        <v>284.88095238095241</v>
      </c>
      <c r="AT12" s="734">
        <f>VLOOKUP($B12,Base_Mensuelle!$JW$67:$KZ$679,8,0)</f>
        <v>378.71794871794873</v>
      </c>
      <c r="AU12" s="733">
        <f>VLOOKUP($B12,Base_Mensuelle!$JW$67:$KZ$679,11,0)</f>
        <v>37.459821428571431</v>
      </c>
      <c r="AV12" s="734">
        <f>VLOOKUP($B12,Base_Mensuelle!$JW$67:$KZ$679,15,0)</f>
        <v>71.727272727272734</v>
      </c>
      <c r="AW12" s="733">
        <f>VLOOKUP($B12,Base_Mensuelle!$JW$67:$KZ$679,25,0)</f>
        <v>23.402777777777779</v>
      </c>
      <c r="AX12" s="734">
        <f>VLOOKUP($B12,Base_Mensuelle!$JW$67:$KZ$679,29,0)</f>
        <v>29.631944444444443</v>
      </c>
    </row>
    <row r="13" spans="1:50">
      <c r="A13" s="175">
        <f t="shared" si="0"/>
        <v>96</v>
      </c>
      <c r="B13" s="14">
        <f>INDEX(Base_Mensuelle!$BX$68:$CD$679,MAX(Base_Mensuelle!$CD$68:$CD$679)-A14,1)</f>
        <v>42370</v>
      </c>
      <c r="C13" s="179">
        <f>VLOOKUP($B13,Base_Mensuelle!$BX$68:$CD$679,C$2,0)</f>
        <v>604.01197053406997</v>
      </c>
      <c r="D13" s="99">
        <f>VLOOKUP($B13,Base_Mensuelle!$BX$68:$CD$679,D$2,0)</f>
        <v>664.95699999999999</v>
      </c>
      <c r="E13" s="99">
        <f>VLOOKUP($B13,Base_Mensuelle!$BX$68:$CD$679,E$2,0)</f>
        <v>599.54026140206565</v>
      </c>
      <c r="F13" s="99">
        <f>VLOOKUP($B13,Base_Mensuelle!$BX$68:$CD$679,F$2,0)</f>
        <v>36.936179557637729</v>
      </c>
      <c r="G13" s="132">
        <f>VLOOKUP($B13,Base_Mensuelle!$BX$68:$CD$679,G$2,0)</f>
        <v>155.5823870967742</v>
      </c>
      <c r="H13" s="99">
        <f>VLOOKUP($B13,Base_Mensuelle!$CF$68:$CJ$679,H$2,0)</f>
        <v>1.5156762500000001</v>
      </c>
      <c r="I13" s="132">
        <f>VLOOKUP($B13,Base_Mensuelle!$CF$68:$CJ$679,I$2,0)</f>
        <v>1097.9100000000001</v>
      </c>
      <c r="J13" s="19">
        <f>VLOOKUP($B13,Base_Mensuelle!$CY$67:$DE$679,5,0)</f>
        <v>585634</v>
      </c>
      <c r="K13" s="99">
        <f>VLOOKUP($B13,Base_Mensuelle!$CY$67:$DE$679,2,0)</f>
        <v>93.967916938197959</v>
      </c>
      <c r="L13" s="93"/>
      <c r="M13" s="182">
        <f>VLOOKUP($B13,Base_Mensuelle!$DG$67:$DN$679,2,0)</f>
        <v>334090</v>
      </c>
      <c r="N13" s="182">
        <f>VLOOKUP($B13,Base_Mensuelle!$DG$68:$DO$679,9,0)</f>
        <v>0</v>
      </c>
      <c r="O13" s="93"/>
      <c r="P13" s="20"/>
      <c r="Q13" s="14">
        <f>INDEX(Base_Mensuelle!$BX$68:$CD$679,MAX(Base_Mensuelle!$PD$68:$PD$679)-A14,1)</f>
        <v>42370</v>
      </c>
      <c r="R13" s="733">
        <f>VLOOKUP($Q13,Base_Mensuelle!$OF$67:$RN$679,12,0)</f>
        <v>745.90025919406082</v>
      </c>
      <c r="S13" s="570">
        <f>VLOOKUP($Q13,Base_Mensuelle!$OF$67:$RN$679,15,0)</f>
        <v>1973.3343446695294</v>
      </c>
      <c r="T13" s="570">
        <f>VLOOKUP($Q13,Base_Mensuelle!$OF$67:$RN$679,22,0)</f>
        <v>377.78092597699998</v>
      </c>
      <c r="U13" s="734">
        <f>VLOOKUP($Q13,Base_Mensuelle!$OF$67:$RN$679,16,0)</f>
        <v>-18.720559709999989</v>
      </c>
      <c r="V13" s="733">
        <f>VLOOKUP($Q13,Base_Mensuelle!$OF$67:$RN$679,27,0)</f>
        <v>-137.64523415500003</v>
      </c>
      <c r="W13" s="570">
        <f>VLOOKUP($Q13,Base_Mensuelle!$OF$67:$RN$679,31,0)</f>
        <v>-51.243347749999998</v>
      </c>
      <c r="X13" s="570">
        <f>VLOOKUP($Q13,Base_Mensuelle!$OF$67:$RN$679,33,0)</f>
        <v>182.812943784</v>
      </c>
      <c r="Y13" s="570">
        <f>VLOOKUP($Q13,Base_Mensuelle!$OF$67:$RN$679,65,0)</f>
        <v>1988.4757794595296</v>
      </c>
      <c r="Z13" s="570">
        <f>VLOOKUP($Q13,Base_Mensuelle!$OF$67:$RN$679,39,0)</f>
        <v>449.65371441899993</v>
      </c>
      <c r="AA13" s="734">
        <f>VLOOKUP($Q13,Base_Mensuelle!$OF$67:$RN$679,51,0)</f>
        <v>1.2322314569999999</v>
      </c>
      <c r="AB13" s="14">
        <f>INDEX(Base_Mensuelle!$BX$68:$CD$679,MAX(Base_Mensuelle!$FZ$68:$FZ$679)-A13,1)</f>
        <v>42339</v>
      </c>
      <c r="AC13" s="179">
        <f>VLOOKUP($AB13,Base_Mensuelle!$FL$67:$FY$679,2,0)</f>
        <v>102.74</v>
      </c>
      <c r="AD13" s="93"/>
      <c r="AE13" s="20">
        <f t="shared" si="1"/>
        <v>0.03</v>
      </c>
      <c r="AF13" s="219">
        <f>VLOOKUP($AB13,Base_Mensuelle!$GP$67:$HR$679,2,0)</f>
        <v>218.15922573926201</v>
      </c>
      <c r="AG13" s="93">
        <f>VLOOKUP($AB13,Base_Mensuelle!$GP$67:$HR$679,3,0)</f>
        <v>186.858724464331</v>
      </c>
      <c r="AH13" s="93">
        <f>VLOOKUP($AB13,Base_Mensuelle!$GP$67:$HR$679,14,0)</f>
        <v>1973.1338200504699</v>
      </c>
      <c r="AI13" s="99">
        <f>VLOOKUP($AB13,Base_Mensuelle!$GA$67:$GO$679,5,0)</f>
        <v>113.11</v>
      </c>
      <c r="AJ13" s="99">
        <f>VLOOKUP($AB13,Base_Mensuelle!$GA$67:$GO$679,6,0)</f>
        <v>104.61</v>
      </c>
      <c r="AK13" s="99">
        <f>VLOOKUP($AB13,Base_Mensuelle!$GA$67:$GO$679,7,0)</f>
        <v>101.63</v>
      </c>
      <c r="AL13" s="99">
        <f>VLOOKUP($AB13,Base_Mensuelle!$GA$67:$GO$679,3,0)</f>
        <v>99.47</v>
      </c>
      <c r="AM13" s="132">
        <f>VLOOKUP($AB13,Base_Mensuelle!$GA$67:$GO$679,4,0)</f>
        <v>104.69</v>
      </c>
      <c r="AN13" s="179">
        <f>VLOOKUP($AB13,Base_Mensuelle!$HS$67:$JV$679,9,0)</f>
        <v>181.37255859375</v>
      </c>
      <c r="AO13" s="99">
        <f>VLOOKUP($AB13,Base_Mensuelle!$HS$67:$JV$679,23,0)</f>
        <v>145.34883117675781</v>
      </c>
      <c r="AP13" s="99">
        <f>VLOOKUP($AB13,Base_Mensuelle!$HS$67:$JV$679,39,0)</f>
        <v>400</v>
      </c>
      <c r="AQ13" s="99">
        <f>VLOOKUP($AB13,Base_Mensuelle!$HS$67:$JV$679,10,0)</f>
        <v>195.437255859375</v>
      </c>
      <c r="AR13" s="132">
        <f>VLOOKUP($AB13,Base_Mensuelle!$HS$67:$JV$679,11,0)</f>
        <v>131.9095458984375</v>
      </c>
      <c r="AS13" s="733">
        <f>VLOOKUP($B13,Base_Mensuelle!$JW$67:$KZ$679,3,0)</f>
        <v>302.05681818181819</v>
      </c>
      <c r="AT13" s="734">
        <f>VLOOKUP($B13,Base_Mensuelle!$JW$67:$KZ$679,8,0)</f>
        <v>311.98275862068965</v>
      </c>
      <c r="AU13" s="733">
        <f>VLOOKUP($B13,Base_Mensuelle!$JW$67:$KZ$679,11,0)</f>
        <v>40.39473684210526</v>
      </c>
      <c r="AV13" s="734">
        <f>VLOOKUP($B13,Base_Mensuelle!$JW$67:$KZ$679,15,0)</f>
        <v>58.696428571428569</v>
      </c>
      <c r="AW13" s="733">
        <f>VLOOKUP($B13,Base_Mensuelle!$JW$67:$KZ$679,25,0)</f>
        <v>23.897435897435898</v>
      </c>
      <c r="AX13" s="734">
        <f>VLOOKUP($B13,Base_Mensuelle!$JW$67:$KZ$679,29,0)</f>
        <v>22.966463414634145</v>
      </c>
    </row>
    <row r="14" spans="1:50">
      <c r="A14" s="175">
        <f t="shared" si="0"/>
        <v>95</v>
      </c>
      <c r="B14" s="14">
        <f>INDEX(Base_Mensuelle!$BX$68:$CD$679,MAX(Base_Mensuelle!$CD$68:$CD$679)-A15,1)</f>
        <v>42401</v>
      </c>
      <c r="C14" s="179">
        <f>VLOOKUP($B14,Base_Mensuelle!$BX$68:$CD$679,C$2,0)</f>
        <v>591.32516001081763</v>
      </c>
      <c r="D14" s="99">
        <f>VLOOKUP($B14,Base_Mensuelle!$BX$68:$CD$679,D$2,0)</f>
        <v>664.95699999999999</v>
      </c>
      <c r="E14" s="99">
        <f>VLOOKUP($B14,Base_Mensuelle!$BX$68:$CD$679,E$2,0)</f>
        <v>595.35033581412233</v>
      </c>
      <c r="F14" s="99">
        <f>VLOOKUP($B14,Base_Mensuelle!$BX$68:$CD$679,F$2,0)</f>
        <v>37.486041820249504</v>
      </c>
      <c r="G14" s="132">
        <f>VLOOKUP($B14,Base_Mensuelle!$BX$68:$CD$679,G$2,0)</f>
        <v>149.47606206896552</v>
      </c>
      <c r="H14" s="99">
        <f>VLOOKUP($B14,Base_Mensuelle!$CF$68:$CJ$679,H$2,0)</f>
        <v>1.4676155340000001</v>
      </c>
      <c r="I14" s="132">
        <f>VLOOKUP($B14,Base_Mensuelle!$CF$68:$CJ$679,I$2,0)</f>
        <v>1199.5</v>
      </c>
      <c r="J14" s="19">
        <f>VLOOKUP($B14,Base_Mensuelle!$CY$67:$DE$679,5,0)</f>
        <v>585634</v>
      </c>
      <c r="K14" s="99">
        <f>VLOOKUP($B14,Base_Mensuelle!$CY$67:$DE$679,2,0)</f>
        <v>92.847638396209348</v>
      </c>
      <c r="L14" s="93"/>
      <c r="M14" s="182">
        <f>VLOOKUP($B14,Base_Mensuelle!$DG$67:$DN$679,2,0)</f>
        <v>336238</v>
      </c>
      <c r="N14" s="182">
        <f>VLOOKUP($B14,Base_Mensuelle!$DG$68:$DO$679,9,0)</f>
        <v>0</v>
      </c>
      <c r="O14" s="93"/>
      <c r="P14" s="20"/>
      <c r="Q14" s="14">
        <f>INDEX(Base_Mensuelle!$BX$68:$CD$679,MAX(Base_Mensuelle!$PD$68:$PD$679)-A15,1)</f>
        <v>42401</v>
      </c>
      <c r="R14" s="733">
        <f>VLOOKUP($Q14,Base_Mensuelle!$OF$67:$RN$679,12,0)</f>
        <v>742.83065835082766</v>
      </c>
      <c r="S14" s="570">
        <f>VLOOKUP($Q14,Base_Mensuelle!$OF$67:$RN$679,15,0)</f>
        <v>2052.2027244430074</v>
      </c>
      <c r="T14" s="570">
        <f>VLOOKUP($Q14,Base_Mensuelle!$OF$67:$RN$679,22,0)</f>
        <v>381.45406901299998</v>
      </c>
      <c r="U14" s="734">
        <f>VLOOKUP($Q14,Base_Mensuelle!$OF$67:$RN$679,16,0)</f>
        <v>34.539178912000025</v>
      </c>
      <c r="V14" s="733">
        <f>VLOOKUP($Q14,Base_Mensuelle!$OF$67:$RN$679,27,0)</f>
        <v>-148.94028216000015</v>
      </c>
      <c r="W14" s="570">
        <f>VLOOKUP($Q14,Base_Mensuelle!$OF$67:$RN$679,31,0)</f>
        <v>-5.0619434200000057</v>
      </c>
      <c r="X14" s="570">
        <f>VLOOKUP($Q14,Base_Mensuelle!$OF$67:$RN$679,33,0)</f>
        <v>136.65248363400002</v>
      </c>
      <c r="Y14" s="570">
        <f>VLOOKUP($Q14,Base_Mensuelle!$OF$67:$RN$679,65,0)</f>
        <v>2013.3861274840074</v>
      </c>
      <c r="Z14" s="570">
        <f>VLOOKUP($Q14,Base_Mensuelle!$OF$67:$RN$679,39,0)</f>
        <v>522.66725241199993</v>
      </c>
      <c r="AA14" s="734">
        <f>VLOOKUP($Q14,Base_Mensuelle!$OF$67:$RN$679,51,0)</f>
        <v>1.9832287419999999</v>
      </c>
      <c r="AB14" s="14">
        <f>INDEX(Base_Mensuelle!$BX$68:$CD$679,MAX(Base_Mensuelle!$FZ$68:$FZ$679)-A14,1)</f>
        <v>42370</v>
      </c>
      <c r="AC14" s="179">
        <f>VLOOKUP($AB14,Base_Mensuelle!$FL$67:$FY$679,2,0)</f>
        <v>99.99</v>
      </c>
      <c r="AD14" s="93"/>
      <c r="AE14" s="20">
        <f t="shared" si="1"/>
        <v>0.03</v>
      </c>
      <c r="AF14" s="219">
        <f>VLOOKUP($AB14,Base_Mensuelle!$GP$67:$HR$679,2,0)</f>
        <v>234.397937410955</v>
      </c>
      <c r="AG14" s="93">
        <f>VLOOKUP($AB14,Base_Mensuelle!$GP$67:$HR$679,3,0)</f>
        <v>211.52173771704</v>
      </c>
      <c r="AH14" s="93">
        <f>VLOOKUP($AB14,Base_Mensuelle!$GP$67:$HR$679,14,0)</f>
        <v>1921.6867663206399</v>
      </c>
      <c r="AI14" s="99">
        <f>VLOOKUP($AB14,Base_Mensuelle!$GA$67:$GO$679,5,0)</f>
        <v>96.94</v>
      </c>
      <c r="AJ14" s="99">
        <f>VLOOKUP($AB14,Base_Mensuelle!$GA$67:$GO$679,6,0)</f>
        <v>98.42</v>
      </c>
      <c r="AK14" s="99">
        <f>VLOOKUP($AB14,Base_Mensuelle!$GA$67:$GO$679,7,0)</f>
        <v>101.61</v>
      </c>
      <c r="AL14" s="99">
        <f>VLOOKUP($AB14,Base_Mensuelle!$GA$67:$GO$679,3,0)</f>
        <v>100.48</v>
      </c>
      <c r="AM14" s="132">
        <f>VLOOKUP($AB14,Base_Mensuelle!$GA$67:$GO$679,4,0)</f>
        <v>100.12</v>
      </c>
      <c r="AN14" s="179">
        <f>VLOOKUP($AB14,Base_Mensuelle!$HS$67:$JV$679,9,0)</f>
        <v>172.79412460327148</v>
      </c>
      <c r="AO14" s="99">
        <f>VLOOKUP($AB14,Base_Mensuelle!$HS$67:$JV$679,23,0)</f>
        <v>149.39218292236328</v>
      </c>
      <c r="AP14" s="99">
        <f>VLOOKUP($AB14,Base_Mensuelle!$HS$67:$JV$679,39,0)</f>
        <v>387.5</v>
      </c>
      <c r="AQ14" s="99">
        <f>VLOOKUP($AB14,Base_Mensuelle!$HS$67:$JV$679,10,0)</f>
        <v>211.02660751342773</v>
      </c>
      <c r="AR14" s="132">
        <f>VLOOKUP($AB14,Base_Mensuelle!$HS$67:$JV$679,11,0)</f>
        <v>120.60301513671875</v>
      </c>
      <c r="AS14" s="733">
        <f>VLOOKUP($B14,Base_Mensuelle!$JW$67:$KZ$679,3,0)</f>
        <v>292.94871794871796</v>
      </c>
      <c r="AT14" s="734">
        <f>VLOOKUP($B14,Base_Mensuelle!$JW$67:$KZ$679,8,0)</f>
        <v>311.780303030303</v>
      </c>
      <c r="AU14" s="733">
        <f>VLOOKUP($B14,Base_Mensuelle!$JW$67:$KZ$679,11,0)</f>
        <v>38.200000000000003</v>
      </c>
      <c r="AV14" s="734">
        <f>VLOOKUP($B14,Base_Mensuelle!$JW$67:$KZ$679,15,0)</f>
        <v>58.166666666666664</v>
      </c>
      <c r="AW14" s="733">
        <f>VLOOKUP($B14,Base_Mensuelle!$JW$67:$KZ$679,25,0)</f>
        <v>24.179487179487179</v>
      </c>
      <c r="AX14" s="734">
        <f>VLOOKUP($B14,Base_Mensuelle!$JW$67:$KZ$679,29,0)</f>
        <v>22.643939393939394</v>
      </c>
    </row>
    <row r="15" spans="1:50">
      <c r="A15" s="175">
        <f t="shared" si="0"/>
        <v>94</v>
      </c>
      <c r="B15" s="14">
        <f>INDEX(Base_Mensuelle!$BX$68:$CD$679,MAX(Base_Mensuelle!$CD$68:$CD$679)-A16,1)</f>
        <v>42430</v>
      </c>
      <c r="C15" s="179">
        <f>VLOOKUP($B15,Base_Mensuelle!$BX$68:$CD$679,C$2,0)</f>
        <v>590.95225225225215</v>
      </c>
      <c r="D15" s="99">
        <f>VLOOKUP($B15,Base_Mensuelle!$BX$68:$CD$679,D$2,0)</f>
        <v>664.95699999999999</v>
      </c>
      <c r="E15" s="99">
        <f>VLOOKUP($B15,Base_Mensuelle!$BX$68:$CD$679,E$2,0)</f>
        <v>600.69322344322336</v>
      </c>
      <c r="F15" s="99">
        <f>VLOOKUP($B15,Base_Mensuelle!$BX$68:$CD$679,F$2,0)</f>
        <v>38.310322271670699</v>
      </c>
      <c r="G15" s="132">
        <f>VLOOKUP($B15,Base_Mensuelle!$BX$68:$CD$679,G$2,0)</f>
        <v>157.87902580645158</v>
      </c>
      <c r="H15" s="99">
        <f>VLOOKUP($B15,Base_Mensuelle!$CF$68:$CJ$679,H$2,0)</f>
        <v>1.443144252</v>
      </c>
      <c r="I15" s="132">
        <f>VLOOKUP($B15,Base_Mensuelle!$CF$68:$CJ$679,I$2,0)</f>
        <v>1245.1400000000001</v>
      </c>
      <c r="J15" s="19">
        <f>VLOOKUP($B15,Base_Mensuelle!$CY$67:$DE$679,5,0)</f>
        <v>585634</v>
      </c>
      <c r="K15" s="99">
        <f>VLOOKUP($B15,Base_Mensuelle!$CY$67:$DE$679,2,0)</f>
        <v>104.16013717855886</v>
      </c>
      <c r="L15" s="93"/>
      <c r="M15" s="182">
        <f>VLOOKUP($B15,Base_Mensuelle!$DG$67:$DN$679,2,0)</f>
        <v>338333</v>
      </c>
      <c r="N15" s="182">
        <f>VLOOKUP($B15,Base_Mensuelle!$DG$68:$DO$679,9,0)</f>
        <v>0</v>
      </c>
      <c r="O15" s="93"/>
      <c r="P15" s="20"/>
      <c r="Q15" s="14">
        <f>INDEX(Base_Mensuelle!$BX$68:$CD$679,MAX(Base_Mensuelle!$PD$68:$PD$679)-A16,1)</f>
        <v>42430</v>
      </c>
      <c r="R15" s="733">
        <f>VLOOKUP($Q15,Base_Mensuelle!$OF$67:$RN$679,12,0)</f>
        <v>823.58451706976825</v>
      </c>
      <c r="S15" s="570">
        <f>VLOOKUP($Q15,Base_Mensuelle!$OF$67:$RN$679,15,0)</f>
        <v>2033.6743651472434</v>
      </c>
      <c r="T15" s="570">
        <f>VLOOKUP($Q15,Base_Mensuelle!$OF$67:$RN$679,22,0)</f>
        <v>379.99496468500001</v>
      </c>
      <c r="U15" s="734">
        <f>VLOOKUP($Q15,Base_Mensuelle!$OF$67:$RN$679,16,0)</f>
        <v>35.218995739999997</v>
      </c>
      <c r="V15" s="733">
        <f>VLOOKUP($Q15,Base_Mensuelle!$OF$67:$RN$679,27,0)</f>
        <v>-135.50939624600016</v>
      </c>
      <c r="W15" s="570">
        <f>VLOOKUP($Q15,Base_Mensuelle!$OF$67:$RN$679,31,0)</f>
        <v>-18.299996238000006</v>
      </c>
      <c r="X15" s="570">
        <f>VLOOKUP($Q15,Base_Mensuelle!$OF$67:$RN$679,33,0)</f>
        <v>147.69990406400001</v>
      </c>
      <c r="Y15" s="570">
        <f>VLOOKUP($Q15,Base_Mensuelle!$OF$67:$RN$679,65,0)</f>
        <v>1994.9115635312435</v>
      </c>
      <c r="Z15" s="570">
        <f>VLOOKUP($Q15,Base_Mensuelle!$OF$67:$RN$679,39,0)</f>
        <v>524.88540785099997</v>
      </c>
      <c r="AA15" s="734">
        <f>VLOOKUP($Q15,Base_Mensuelle!$OF$67:$RN$679,51,0)</f>
        <v>4.2393092059999997</v>
      </c>
      <c r="AB15" s="14">
        <f>INDEX(Base_Mensuelle!$BX$68:$CD$679,MAX(Base_Mensuelle!$FZ$68:$FZ$679)-A15,1)</f>
        <v>42401</v>
      </c>
      <c r="AC15" s="179">
        <f>VLOOKUP($AB15,Base_Mensuelle!$FL$67:$FY$679,2,0)</f>
        <v>100.55</v>
      </c>
      <c r="AD15" s="93"/>
      <c r="AE15" s="20">
        <f t="shared" si="1"/>
        <v>0.03</v>
      </c>
      <c r="AF15" s="219">
        <f>VLOOKUP($AB15,Base_Mensuelle!$GP$67:$HR$679,2,0)</f>
        <v>249.87152604506801</v>
      </c>
      <c r="AG15" s="93">
        <f>VLOOKUP($AB15,Base_Mensuelle!$GP$67:$HR$679,3,0)</f>
        <v>209.54422829746301</v>
      </c>
      <c r="AH15" s="93">
        <f>VLOOKUP($AB15,Base_Mensuelle!$GP$67:$HR$679,14,0)</f>
        <v>1823.07312080412</v>
      </c>
      <c r="AI15" s="99">
        <f>VLOOKUP($AB15,Base_Mensuelle!$GA$67:$GO$679,5,0)</f>
        <v>96.96</v>
      </c>
      <c r="AJ15" s="99">
        <f>VLOOKUP($AB15,Base_Mensuelle!$GA$67:$GO$679,6,0)</f>
        <v>99.99</v>
      </c>
      <c r="AK15" s="99">
        <f>VLOOKUP($AB15,Base_Mensuelle!$GA$67:$GO$679,7,0)</f>
        <v>101.47</v>
      </c>
      <c r="AL15" s="99">
        <f>VLOOKUP($AB15,Base_Mensuelle!$GA$67:$GO$679,3,0)</f>
        <v>99.56</v>
      </c>
      <c r="AM15" s="132">
        <f>VLOOKUP($AB15,Base_Mensuelle!$GA$67:$GO$679,4,0)</f>
        <v>101.34</v>
      </c>
      <c r="AN15" s="179">
        <f>VLOOKUP($AB15,Base_Mensuelle!$HS$67:$JV$679,9,0)</f>
        <v>174.83660888671875</v>
      </c>
      <c r="AO15" s="99">
        <f>VLOOKUP($AB15,Base_Mensuelle!$HS$67:$JV$679,23,0)</f>
        <v>155.11586952209473</v>
      </c>
      <c r="AP15" s="99">
        <f>VLOOKUP($AB15,Base_Mensuelle!$HS$67:$JV$679,39,0)</f>
        <v>400</v>
      </c>
      <c r="AQ15" s="99">
        <f>VLOOKUP($AB15,Base_Mensuelle!$HS$67:$JV$679,10,0)</f>
        <v>205.32318496704102</v>
      </c>
      <c r="AR15" s="132">
        <f>VLOOKUP($AB15,Base_Mensuelle!$HS$67:$JV$679,11,0)</f>
        <v>119.34673309326172</v>
      </c>
      <c r="AS15" s="733">
        <f>VLOOKUP($B15,Base_Mensuelle!$JW$67:$KZ$679,3,0)</f>
        <v>289.28571428571428</v>
      </c>
      <c r="AT15" s="734">
        <f>VLOOKUP($B15,Base_Mensuelle!$JW$67:$KZ$679,8,0)</f>
        <v>291.93333333333334</v>
      </c>
      <c r="AU15" s="733">
        <f>VLOOKUP($B15,Base_Mensuelle!$JW$67:$KZ$679,11,0)</f>
        <v>38.256756756756758</v>
      </c>
      <c r="AV15" s="734">
        <f>VLOOKUP($B15,Base_Mensuelle!$JW$67:$KZ$679,15,0)</f>
        <v>57.487179487179489</v>
      </c>
      <c r="AW15" s="733">
        <f>VLOOKUP($B15,Base_Mensuelle!$JW$67:$KZ$679,25,0)</f>
        <v>23.05952380952381</v>
      </c>
      <c r="AX15" s="734">
        <f>VLOOKUP($B15,Base_Mensuelle!$JW$67:$KZ$679,29,0)</f>
        <v>22.253333333333334</v>
      </c>
    </row>
    <row r="16" spans="1:50">
      <c r="A16" s="175">
        <f t="shared" si="0"/>
        <v>93</v>
      </c>
      <c r="B16" s="14">
        <f>INDEX(Base_Mensuelle!$BX$68:$CD$679,MAX(Base_Mensuelle!$CD$68:$CD$679)-A17,1)</f>
        <v>42461</v>
      </c>
      <c r="C16" s="179">
        <f>VLOOKUP($B16,Base_Mensuelle!$BX$68:$CD$679,C$2,0)</f>
        <v>578.49634006526151</v>
      </c>
      <c r="D16" s="99">
        <f>VLOOKUP($B16,Base_Mensuelle!$BX$68:$CD$679,D$2,0)</f>
        <v>664.95699999999999</v>
      </c>
      <c r="E16" s="99">
        <f>VLOOKUP($B16,Base_Mensuelle!$BX$68:$CD$679,E$2,0)</f>
        <v>600.14364135407141</v>
      </c>
      <c r="F16" s="99">
        <f>VLOOKUP($B16,Base_Mensuelle!$BX$68:$CD$679,F$2,0)</f>
        <v>39.588219318627594</v>
      </c>
      <c r="G16" s="132">
        <f>VLOOKUP($B16,Base_Mensuelle!$BX$68:$CD$679,G$2,0)</f>
        <v>155.5823870967742</v>
      </c>
      <c r="H16" s="99">
        <f>VLOOKUP($B16,Base_Mensuelle!$CF$68:$CJ$679,H$2,0)</f>
        <v>1.5273607360000001</v>
      </c>
      <c r="I16" s="132">
        <f>VLOOKUP($B16,Base_Mensuelle!$CF$68:$CJ$679,I$2,0)</f>
        <v>1242.26</v>
      </c>
      <c r="J16" s="19">
        <f>VLOOKUP($B16,Base_Mensuelle!$CY$67:$DE$679,5,0)</f>
        <v>585634</v>
      </c>
      <c r="K16" s="99">
        <f>VLOOKUP($B16,Base_Mensuelle!$CY$67:$DE$679,2,0)</f>
        <v>125.03971300857812</v>
      </c>
      <c r="L16" s="93"/>
      <c r="M16" s="182">
        <f>VLOOKUP($B16,Base_Mensuelle!$DG$67:$DN$679,2,0)</f>
        <v>340474.66664738674</v>
      </c>
      <c r="N16" s="182">
        <f>VLOOKUP($B16,Base_Mensuelle!$DG$68:$DO$679,9,0)</f>
        <v>0</v>
      </c>
      <c r="O16" s="93"/>
      <c r="P16" s="20"/>
      <c r="Q16" s="14">
        <f>INDEX(Base_Mensuelle!$BX$68:$CD$679,MAX(Base_Mensuelle!$PD$68:$PD$679)-A17,1)</f>
        <v>42461</v>
      </c>
      <c r="R16" s="733">
        <f>VLOOKUP($Q16,Base_Mensuelle!$OF$67:$RN$679,12,0)</f>
        <v>834.20862182667997</v>
      </c>
      <c r="S16" s="570">
        <f>VLOOKUP($Q16,Base_Mensuelle!$OF$67:$RN$679,15,0)</f>
        <v>2027.7556193092828</v>
      </c>
      <c r="T16" s="570">
        <f>VLOOKUP($Q16,Base_Mensuelle!$OF$67:$RN$679,22,0)</f>
        <v>372.48328018800004</v>
      </c>
      <c r="U16" s="734">
        <f>VLOOKUP($Q16,Base_Mensuelle!$OF$67:$RN$679,16,0)</f>
        <v>20.424483127999959</v>
      </c>
      <c r="V16" s="733">
        <f>VLOOKUP($Q16,Base_Mensuelle!$OF$67:$RN$679,27,0)</f>
        <v>-134.30882126899996</v>
      </c>
      <c r="W16" s="570">
        <f>VLOOKUP($Q16,Base_Mensuelle!$OF$67:$RN$679,31,0)</f>
        <v>-9.5524679039999967</v>
      </c>
      <c r="X16" s="570">
        <f>VLOOKUP($Q16,Base_Mensuelle!$OF$67:$RN$679,33,0)</f>
        <v>138.949000907</v>
      </c>
      <c r="Y16" s="570">
        <f>VLOOKUP($Q16,Base_Mensuelle!$OF$67:$RN$679,65,0)</f>
        <v>2003.1202433962826</v>
      </c>
      <c r="Z16" s="570">
        <f>VLOOKUP($Q16,Base_Mensuelle!$OF$67:$RN$679,39,0)</f>
        <v>536.59618818600006</v>
      </c>
      <c r="AA16" s="734">
        <f>VLOOKUP($Q16,Base_Mensuelle!$OF$67:$RN$679,51,0)</f>
        <v>5.4350917839999999</v>
      </c>
      <c r="AB16" s="14">
        <f>INDEX(Base_Mensuelle!$BX$68:$CD$679,MAX(Base_Mensuelle!$FZ$68:$FZ$679)-A16,1)</f>
        <v>42430</v>
      </c>
      <c r="AC16" s="179">
        <f>VLOOKUP($AB16,Base_Mensuelle!$FL$67:$FY$679,2,0)</f>
        <v>100.89</v>
      </c>
      <c r="AD16" s="93"/>
      <c r="AE16" s="20">
        <f t="shared" si="1"/>
        <v>0.03</v>
      </c>
      <c r="AF16" s="219">
        <f>VLOOKUP($AB16,Base_Mensuelle!$GP$67:$HR$679,2,0)</f>
        <v>249.19990899240099</v>
      </c>
      <c r="AG16" s="93">
        <f>VLOOKUP($AB16,Base_Mensuelle!$GP$67:$HR$679,3,0)</f>
        <v>218.82638226743501</v>
      </c>
      <c r="AH16" s="93">
        <f>VLOOKUP($AB16,Base_Mensuelle!$GP$67:$HR$679,14,0)</f>
        <v>1943.42678092813</v>
      </c>
      <c r="AI16" s="99">
        <f>VLOOKUP($AB16,Base_Mensuelle!$GA$67:$GO$679,5,0)</f>
        <v>102.2</v>
      </c>
      <c r="AJ16" s="99">
        <f>VLOOKUP($AB16,Base_Mensuelle!$GA$67:$GO$679,6,0)</f>
        <v>100.89</v>
      </c>
      <c r="AK16" s="99">
        <f>VLOOKUP($AB16,Base_Mensuelle!$GA$67:$GO$679,7,0)</f>
        <v>101.34</v>
      </c>
      <c r="AL16" s="99">
        <f>VLOOKUP($AB16,Base_Mensuelle!$GA$67:$GO$679,3,0)</f>
        <v>99.76</v>
      </c>
      <c r="AM16" s="132">
        <f>VLOOKUP($AB16,Base_Mensuelle!$GA$67:$GO$679,4,0)</f>
        <v>101.73</v>
      </c>
      <c r="AN16" s="179">
        <f>VLOOKUP($AB16,Base_Mensuelle!$HS$67:$JV$679,9,0)</f>
        <v>181.69934997558593</v>
      </c>
      <c r="AO16" s="99">
        <f>VLOOKUP($AB16,Base_Mensuelle!$HS$67:$JV$679,23,0)</f>
        <v>153.91563034057617</v>
      </c>
      <c r="AP16" s="99">
        <f>VLOOKUP($AB16,Base_Mensuelle!$HS$67:$JV$679,39,0)</f>
        <v>400</v>
      </c>
      <c r="AQ16" s="99">
        <f>VLOOKUP($AB16,Base_Mensuelle!$HS$67:$JV$679,10,0)</f>
        <v>217.99745178222656</v>
      </c>
      <c r="AR16" s="132">
        <f>VLOOKUP($AB16,Base_Mensuelle!$HS$67:$JV$679,11,0)</f>
        <v>125.62814331054688</v>
      </c>
      <c r="AS16" s="733">
        <f>VLOOKUP($B16,Base_Mensuelle!$JW$67:$KZ$679,3,0)</f>
        <v>283.11561064125152</v>
      </c>
      <c r="AT16" s="734">
        <f>VLOOKUP($B16,Base_Mensuelle!$JW$67:$KZ$679,8,0)</f>
        <v>282.54682439660257</v>
      </c>
      <c r="AU16" s="733">
        <f>VLOOKUP($B16,Base_Mensuelle!$JW$67:$KZ$679,11,0)</f>
        <v>37.245889509714928</v>
      </c>
      <c r="AV16" s="734">
        <f>VLOOKUP($B16,Base_Mensuelle!$JW$67:$KZ$679,15,0)</f>
        <v>56.891980748140959</v>
      </c>
      <c r="AW16" s="733">
        <f>VLOOKUP($B16,Base_Mensuelle!$JW$67:$KZ$679,25,0)</f>
        <v>22.661560651231309</v>
      </c>
      <c r="AX16" s="734">
        <f>VLOOKUP($B16,Base_Mensuelle!$JW$67:$KZ$679,29,0)</f>
        <v>21.905144589250444</v>
      </c>
    </row>
    <row r="17" spans="1:50">
      <c r="A17" s="175">
        <f t="shared" si="0"/>
        <v>92</v>
      </c>
      <c r="B17" s="14">
        <f>INDEX(Base_Mensuelle!$BX$68:$CD$679,MAX(Base_Mensuelle!$CD$68:$CD$679)-A18,1)</f>
        <v>42491</v>
      </c>
      <c r="C17" s="179">
        <f>VLOOKUP($B17,Base_Mensuelle!$BX$68:$CD$679,C$2,0)</f>
        <v>579.92838829458049</v>
      </c>
      <c r="D17" s="99">
        <f>VLOOKUP($B17,Base_Mensuelle!$BX$68:$CD$679,D$2,0)</f>
        <v>664.95699999999999</v>
      </c>
      <c r="E17" s="99">
        <f>VLOOKUP($B17,Base_Mensuelle!$BX$68:$CD$679,E$2,0)</f>
        <v>593.14314133285097</v>
      </c>
      <c r="F17" s="99">
        <f>VLOOKUP($B17,Base_Mensuelle!$BX$68:$CD$679,F$2,0)</f>
        <v>37.838506665436064</v>
      </c>
      <c r="G17" s="132">
        <f>VLOOKUP($B17,Base_Mensuelle!$BX$68:$CD$679,G$2,0)</f>
        <v>149.47606206896552</v>
      </c>
      <c r="H17" s="99">
        <f>VLOOKUP($B17,Base_Mensuelle!$CF$68:$CJ$679,H$2,0)</f>
        <v>1.549406936</v>
      </c>
      <c r="I17" s="132">
        <f>VLOOKUP($B17,Base_Mensuelle!$CF$68:$CJ$679,I$2,0)</f>
        <v>1260.95</v>
      </c>
      <c r="J17" s="19">
        <f>VLOOKUP($B17,Base_Mensuelle!$CY$67:$DE$679,5,0)</f>
        <v>585634</v>
      </c>
      <c r="K17" s="99">
        <f>VLOOKUP($B17,Base_Mensuelle!$CY$67:$DE$679,2,0)</f>
        <v>124.90095044206134</v>
      </c>
      <c r="L17" s="93"/>
      <c r="M17" s="182">
        <f>VLOOKUP($B17,Base_Mensuelle!$DG$67:$DN$679,2,0)</f>
        <v>342612.97711675527</v>
      </c>
      <c r="N17" s="182">
        <f>VLOOKUP($B17,Base_Mensuelle!$DG$68:$DO$679,9,0)</f>
        <v>0</v>
      </c>
      <c r="O17" s="93"/>
      <c r="P17" s="20"/>
      <c r="Q17" s="14">
        <f>INDEX(Base_Mensuelle!$BX$68:$CD$679,MAX(Base_Mensuelle!$PD$68:$PD$679)-A18,1)</f>
        <v>42491</v>
      </c>
      <c r="R17" s="733">
        <f>VLOOKUP($Q17,Base_Mensuelle!$OF$67:$RN$679,12,0)</f>
        <v>782.95230764098551</v>
      </c>
      <c r="S17" s="570">
        <f>VLOOKUP($Q17,Base_Mensuelle!$OF$67:$RN$679,15,0)</f>
        <v>2132.4578953333557</v>
      </c>
      <c r="T17" s="570">
        <f>VLOOKUP($Q17,Base_Mensuelle!$OF$67:$RN$679,22,0)</f>
        <v>387.76748473100002</v>
      </c>
      <c r="U17" s="734">
        <f>VLOOKUP($Q17,Base_Mensuelle!$OF$67:$RN$679,16,0)</f>
        <v>21.966848249999991</v>
      </c>
      <c r="V17" s="733">
        <f>VLOOKUP($Q17,Base_Mensuelle!$OF$67:$RN$679,27,0)</f>
        <v>-130.01416139899993</v>
      </c>
      <c r="W17" s="570">
        <f>VLOOKUP($Q17,Base_Mensuelle!$OF$67:$RN$679,31,0)</f>
        <v>-36.12776286899998</v>
      </c>
      <c r="X17" s="570">
        <f>VLOOKUP($Q17,Base_Mensuelle!$OF$67:$RN$679,33,0)</f>
        <v>165.54605421899998</v>
      </c>
      <c r="Y17" s="570">
        <f>VLOOKUP($Q17,Base_Mensuelle!$OF$67:$RN$679,65,0)</f>
        <v>2106.3068736633559</v>
      </c>
      <c r="Z17" s="570">
        <f>VLOOKUP($Q17,Base_Mensuelle!$OF$67:$RN$679,39,0)</f>
        <v>501.16489192899996</v>
      </c>
      <c r="AA17" s="734">
        <f>VLOOKUP($Q17,Base_Mensuelle!$OF$67:$RN$679,51,0)</f>
        <v>7.0919777020000003</v>
      </c>
      <c r="AB17" s="14">
        <f>INDEX(Base_Mensuelle!$BX$68:$CD$679,MAX(Base_Mensuelle!$FZ$68:$FZ$679)-A17,1)</f>
        <v>42461</v>
      </c>
      <c r="AC17" s="179">
        <f>VLOOKUP($AB17,Base_Mensuelle!$FL$67:$FY$679,2,0)</f>
        <v>101.25</v>
      </c>
      <c r="AD17" s="93"/>
      <c r="AE17" s="20">
        <f t="shared" si="1"/>
        <v>0.03</v>
      </c>
      <c r="AF17" s="219">
        <f>VLOOKUP($AB17,Base_Mensuelle!$GP$67:$HR$679,2,0)</f>
        <v>257.09036742570999</v>
      </c>
      <c r="AG17" s="93">
        <f>VLOOKUP($AB17,Base_Mensuelle!$GP$67:$HR$679,3,0)</f>
        <v>222.65014430343822</v>
      </c>
      <c r="AH17" s="93">
        <f>VLOOKUP($AB17,Base_Mensuelle!$GP$67:$HR$679,14,0)</f>
        <v>1957.7116694306167</v>
      </c>
      <c r="AI17" s="99">
        <f>VLOOKUP($AB17,Base_Mensuelle!$GA$67:$GO$679,5,0)</f>
        <v>91.37</v>
      </c>
      <c r="AJ17" s="99">
        <f>VLOOKUP($AB17,Base_Mensuelle!$GA$67:$GO$679,6,0)</f>
        <v>105.32</v>
      </c>
      <c r="AK17" s="99">
        <f>VLOOKUP($AB17,Base_Mensuelle!$GA$67:$GO$679,7,0)</f>
        <v>100.72</v>
      </c>
      <c r="AL17" s="99">
        <f>VLOOKUP($AB17,Base_Mensuelle!$GA$67:$GO$679,3,0)</f>
        <v>98.18</v>
      </c>
      <c r="AM17" s="132">
        <f>VLOOKUP($AB17,Base_Mensuelle!$GA$67:$GO$679,4,0)</f>
        <v>103</v>
      </c>
      <c r="AN17" s="179">
        <f>VLOOKUP($AB17,Base_Mensuelle!$HS$67:$JV$679,9,0)</f>
        <v>186.27451070149741</v>
      </c>
      <c r="AO17" s="99">
        <f>VLOOKUP($AB17,Base_Mensuelle!$HS$67:$JV$679,23,0)</f>
        <v>148.40847587585449</v>
      </c>
      <c r="AP17" s="99">
        <f>VLOOKUP($AB17,Base_Mensuelle!$HS$67:$JV$679,39,0)</f>
        <v>406.45161290322579</v>
      </c>
      <c r="AQ17" s="99">
        <f>VLOOKUP($AB17,Base_Mensuelle!$HS$67:$JV$679,10,0)</f>
        <v>228.13687133789063</v>
      </c>
      <c r="AR17" s="132">
        <f>VLOOKUP($AB17,Base_Mensuelle!$HS$67:$JV$679,11,0)</f>
        <v>131.9095458984375</v>
      </c>
      <c r="AS17" s="733">
        <f>VLOOKUP($B17,Base_Mensuelle!$JW$67:$KZ$679,3,0)</f>
        <v>278.32633342883526</v>
      </c>
      <c r="AT17" s="734">
        <f>VLOOKUP($B17,Base_Mensuelle!$JW$67:$KZ$679,8,0)</f>
        <v>269.0114433250377</v>
      </c>
      <c r="AU17" s="733">
        <f>VLOOKUP($B17,Base_Mensuelle!$JW$67:$KZ$679,11,0)</f>
        <v>36.78148065697377</v>
      </c>
      <c r="AV17" s="734">
        <f>VLOOKUP($B17,Base_Mensuelle!$JW$67:$KZ$679,15,0)</f>
        <v>56.265164278107299</v>
      </c>
      <c r="AW17" s="733">
        <f>VLOOKUP($B17,Base_Mensuelle!$JW$67:$KZ$679,25,0)</f>
        <v>21.941185649345943</v>
      </c>
      <c r="AX17" s="734">
        <f>VLOOKUP($B17,Base_Mensuelle!$JW$67:$KZ$679,29,0)</f>
        <v>21.544843244157754</v>
      </c>
    </row>
    <row r="18" spans="1:50">
      <c r="A18" s="175">
        <f t="shared" si="0"/>
        <v>91</v>
      </c>
      <c r="B18" s="14">
        <f>INDEX(Base_Mensuelle!$BX$68:$CD$679,MAX(Base_Mensuelle!$CD$68:$CD$679)-A19,1)</f>
        <v>42522</v>
      </c>
      <c r="C18" s="179">
        <f>VLOOKUP($B18,Base_Mensuelle!$BX$68:$CD$679,C$2,0)</f>
        <v>584.1633270994746</v>
      </c>
      <c r="D18" s="99">
        <f>VLOOKUP($B18,Base_Mensuelle!$BX$68:$CD$679,D$2,0)</f>
        <v>664.95699999999999</v>
      </c>
      <c r="E18" s="99">
        <f>VLOOKUP($B18,Base_Mensuelle!$BX$68:$CD$679,E$2,0)</f>
        <v>602.12685882136964</v>
      </c>
      <c r="F18" s="99">
        <f>VLOOKUP($B18,Base_Mensuelle!$BX$68:$CD$679,F$2,0)</f>
        <v>38.729003194171369</v>
      </c>
      <c r="G18" s="132">
        <f>VLOOKUP($B18,Base_Mensuelle!$BX$68:$CD$679,G$2,0)</f>
        <v>153.08563666666666</v>
      </c>
      <c r="H18" s="99">
        <f>VLOOKUP($B18,Base_Mensuelle!$CF$68:$CJ$679,H$2,0)</f>
        <v>1.6336234199999999</v>
      </c>
      <c r="I18" s="132">
        <f>VLOOKUP($B18,Base_Mensuelle!$CF$68:$CJ$679,I$2,0)</f>
        <v>1276.4000000000001</v>
      </c>
      <c r="J18" s="19">
        <f>VLOOKUP($B18,Base_Mensuelle!$CY$67:$DE$679,5,0)</f>
        <v>585634</v>
      </c>
      <c r="K18" s="99">
        <f>VLOOKUP($B18,Base_Mensuelle!$CY$67:$DE$679,2,0)</f>
        <v>118.3582887488395</v>
      </c>
      <c r="L18" s="93"/>
      <c r="M18" s="182">
        <f>VLOOKUP($B18,Base_Mensuelle!$DG$67:$DN$679,2,0)</f>
        <v>341732</v>
      </c>
      <c r="N18" s="182">
        <f>VLOOKUP($B18,Base_Mensuelle!$DG$68:$DO$679,9,0)</f>
        <v>0</v>
      </c>
      <c r="O18" s="93"/>
      <c r="P18" s="20"/>
      <c r="Q18" s="14">
        <f>INDEX(Base_Mensuelle!$BX$68:$CD$679,MAX(Base_Mensuelle!$PD$68:$PD$679)-A19,1)</f>
        <v>42522</v>
      </c>
      <c r="R18" s="733">
        <f>VLOOKUP($Q18,Base_Mensuelle!$OF$67:$RN$679,12,0)</f>
        <v>830.54150418713607</v>
      </c>
      <c r="S18" s="570">
        <f>VLOOKUP($Q18,Base_Mensuelle!$OF$67:$RN$679,15,0)</f>
        <v>2079.0300702707614</v>
      </c>
      <c r="T18" s="570">
        <f>VLOOKUP($Q18,Base_Mensuelle!$OF$67:$RN$679,22,0)</f>
        <v>394.607343077</v>
      </c>
      <c r="U18" s="734">
        <f>VLOOKUP($Q18,Base_Mensuelle!$OF$67:$RN$679,16,0)</f>
        <v>-3.4380817659999536</v>
      </c>
      <c r="V18" s="733">
        <f>VLOOKUP($Q18,Base_Mensuelle!$OF$67:$RN$679,27,0)</f>
        <v>-108.78433889700011</v>
      </c>
      <c r="W18" s="570">
        <f>VLOOKUP($Q18,Base_Mensuelle!$OF$67:$RN$679,31,0)</f>
        <v>-58.055629542999981</v>
      </c>
      <c r="X18" s="570">
        <f>VLOOKUP($Q18,Base_Mensuelle!$OF$67:$RN$679,33,0)</f>
        <v>197.63045762900001</v>
      </c>
      <c r="Y18" s="570">
        <f>VLOOKUP($Q18,Base_Mensuelle!$OF$67:$RN$679,65,0)</f>
        <v>2078.2104698947614</v>
      </c>
      <c r="Z18" s="570">
        <f>VLOOKUP($Q18,Base_Mensuelle!$OF$67:$RN$679,39,0)</f>
        <v>531.3466275479999</v>
      </c>
      <c r="AA18" s="734">
        <f>VLOOKUP($Q18,Base_Mensuelle!$OF$67:$RN$679,51,0)</f>
        <v>8.5795674049999988</v>
      </c>
      <c r="AB18" s="14">
        <f>INDEX(Base_Mensuelle!$BX$68:$CD$679,MAX(Base_Mensuelle!$FZ$68:$FZ$679)-A18,1)</f>
        <v>42491</v>
      </c>
      <c r="AC18" s="179">
        <f>VLOOKUP($AB18,Base_Mensuelle!$FL$67:$FY$679,2,0)</f>
        <v>101.92</v>
      </c>
      <c r="AD18" s="93"/>
      <c r="AE18" s="20">
        <f t="shared" si="1"/>
        <v>0.03</v>
      </c>
      <c r="AF18" s="219">
        <f>VLOOKUP($AB18,Base_Mensuelle!$GP$67:$HR$679,2,0)</f>
        <v>260.81500498958587</v>
      </c>
      <c r="AG18" s="93">
        <f>VLOOKUP($AB18,Base_Mensuelle!$GP$67:$HR$679,3,0)</f>
        <v>229.52678597184195</v>
      </c>
      <c r="AH18" s="93">
        <f>VLOOKUP($AB18,Base_Mensuelle!$GP$67:$HR$679,14,0)</f>
        <v>2029.5276539824354</v>
      </c>
      <c r="AI18" s="99">
        <f>VLOOKUP($AB18,Base_Mensuelle!$GA$67:$GO$679,5,0)</f>
        <v>88.77</v>
      </c>
      <c r="AJ18" s="99">
        <f>VLOOKUP($AB18,Base_Mensuelle!$GA$67:$GO$679,6,0)</f>
        <v>108.31</v>
      </c>
      <c r="AK18" s="99">
        <f>VLOOKUP($AB18,Base_Mensuelle!$GA$67:$GO$679,7,0)</f>
        <v>100.99</v>
      </c>
      <c r="AL18" s="99">
        <f>VLOOKUP($AB18,Base_Mensuelle!$GA$67:$GO$679,3,0)</f>
        <v>97.85</v>
      </c>
      <c r="AM18" s="132">
        <f>VLOOKUP($AB18,Base_Mensuelle!$GA$67:$GO$679,4,0)</f>
        <v>104.24</v>
      </c>
      <c r="AN18" s="179">
        <f>VLOOKUP($AB18,Base_Mensuelle!$HS$67:$JV$679,9,0)</f>
        <v>204.90196228027344</v>
      </c>
      <c r="AO18" s="99">
        <f>VLOOKUP($AB18,Base_Mensuelle!$HS$67:$JV$679,23,0)</f>
        <v>161.71013488769532</v>
      </c>
      <c r="AP18" s="99">
        <f>VLOOKUP($AB18,Base_Mensuelle!$HS$67:$JV$679,39,0)</f>
        <v>409.72944849115504</v>
      </c>
      <c r="AQ18" s="99">
        <f>VLOOKUP($AB18,Base_Mensuelle!$HS$67:$JV$679,10,0)</f>
        <v>228.13687133789063</v>
      </c>
      <c r="AR18" s="132">
        <f>VLOOKUP($AB18,Base_Mensuelle!$HS$67:$JV$679,11,0)</f>
        <v>138.19094848632813</v>
      </c>
      <c r="AS18" s="733">
        <f>VLOOKUP($B18,Base_Mensuelle!$JW$67:$KZ$679,3,0)</f>
        <v>321.5</v>
      </c>
      <c r="AT18" s="734">
        <f>VLOOKUP($B18,Base_Mensuelle!$JW$67:$KZ$679,8,0)</f>
        <v>343.83333333333331</v>
      </c>
      <c r="AU18" s="733">
        <f>VLOOKUP($B18,Base_Mensuelle!$JW$67:$KZ$679,11,0)</f>
        <v>43.154545454545456</v>
      </c>
      <c r="AV18" s="734">
        <f>VLOOKUP($B18,Base_Mensuelle!$JW$67:$KZ$679,15,0)</f>
        <v>62.421428571428571</v>
      </c>
      <c r="AW18" s="733">
        <f>VLOOKUP($B18,Base_Mensuelle!$JW$67:$KZ$679,25,0)</f>
        <v>23.701754385964911</v>
      </c>
      <c r="AX18" s="734">
        <f>VLOOKUP($B18,Base_Mensuelle!$JW$67:$KZ$679,29,0)</f>
        <v>24.15625</v>
      </c>
    </row>
    <row r="19" spans="1:50">
      <c r="A19" s="175">
        <f t="shared" si="0"/>
        <v>90</v>
      </c>
      <c r="B19" s="14">
        <f>INDEX(Base_Mensuelle!$BX$68:$CD$679,MAX(Base_Mensuelle!$CD$68:$CD$679)-A20,1)</f>
        <v>42552</v>
      </c>
      <c r="C19" s="179">
        <f>VLOOKUP($B19,Base_Mensuelle!$BX$68:$CD$679,C$2,0)</f>
        <v>592.60728159725363</v>
      </c>
      <c r="D19" s="99">
        <f>VLOOKUP($B19,Base_Mensuelle!$BX$68:$CD$679,D$2,0)</f>
        <v>664.95699999999999</v>
      </c>
      <c r="E19" s="99">
        <f>VLOOKUP($B19,Base_Mensuelle!$BX$68:$CD$679,E$2,0)</f>
        <v>603.62289500322072</v>
      </c>
      <c r="F19" s="99">
        <f>VLOOKUP($B19,Base_Mensuelle!$BX$68:$CD$679,F$2,0)</f>
        <v>41.13898487917767</v>
      </c>
      <c r="G19" s="132">
        <f>VLOOKUP($B19,Base_Mensuelle!$BX$68:$CD$679,G$2,0)</f>
        <v>152.71469527746879</v>
      </c>
      <c r="H19" s="99">
        <f>VLOOKUP($B19,Base_Mensuelle!$CF$68:$CJ$679,H$2,0)</f>
        <v>1.787064972</v>
      </c>
      <c r="I19" s="132">
        <f>VLOOKUP($B19,Base_Mensuelle!$CF$68:$CJ$679,I$2,0)</f>
        <v>1336.66</v>
      </c>
      <c r="J19" s="19">
        <f>VLOOKUP($B19,Base_Mensuelle!$CY$67:$DE$679,5,0)</f>
        <v>585634</v>
      </c>
      <c r="K19" s="99">
        <f>VLOOKUP($B19,Base_Mensuelle!$CY$67:$DE$679,2,0)</f>
        <v>114.97994399999999</v>
      </c>
      <c r="L19" s="93"/>
      <c r="M19" s="182">
        <f>VLOOKUP($B19,Base_Mensuelle!$DG$67:$DN$679,2,0)</f>
        <v>343084</v>
      </c>
      <c r="N19" s="182">
        <f>VLOOKUP($B19,Base_Mensuelle!$DG$68:$DO$679,9,0)</f>
        <v>0</v>
      </c>
      <c r="O19" s="93"/>
      <c r="P19" s="20"/>
      <c r="Q19" s="14">
        <f>INDEX(Base_Mensuelle!$BX$68:$CD$679,MAX(Base_Mensuelle!$PD$68:$PD$679)-A20,1)</f>
        <v>42552</v>
      </c>
      <c r="R19" s="733">
        <f>VLOOKUP($Q19,Base_Mensuelle!$OF$67:$RN$679,12,0)</f>
        <v>804.29016402838852</v>
      </c>
      <c r="S19" s="570">
        <f>VLOOKUP($Q19,Base_Mensuelle!$OF$67:$RN$679,15,0)</f>
        <v>2005.7084037399859</v>
      </c>
      <c r="T19" s="570">
        <f>VLOOKUP($Q19,Base_Mensuelle!$OF$67:$RN$679,22,0)</f>
        <v>400.416610983</v>
      </c>
      <c r="U19" s="734">
        <f>VLOOKUP($Q19,Base_Mensuelle!$OF$67:$RN$679,16,0)</f>
        <v>-43.826710791000039</v>
      </c>
      <c r="V19" s="733">
        <f>VLOOKUP($Q19,Base_Mensuelle!$OF$67:$RN$679,27,0)</f>
        <v>-166.30242031799992</v>
      </c>
      <c r="W19" s="570">
        <f>VLOOKUP($Q19,Base_Mensuelle!$OF$67:$RN$679,31,0)</f>
        <v>-74.192117476000021</v>
      </c>
      <c r="X19" s="570">
        <f>VLOOKUP($Q19,Base_Mensuelle!$OF$67:$RN$679,33,0)</f>
        <v>213.26109774900002</v>
      </c>
      <c r="Y19" s="570">
        <f>VLOOKUP($Q19,Base_Mensuelle!$OF$67:$RN$679,65,0)</f>
        <v>2045.2842582299861</v>
      </c>
      <c r="Z19" s="570">
        <f>VLOOKUP($Q19,Base_Mensuelle!$OF$67:$RN$679,39,0)</f>
        <v>472.94230172999994</v>
      </c>
      <c r="AA19" s="734">
        <f>VLOOKUP($Q19,Base_Mensuelle!$OF$67:$RN$679,51,0)</f>
        <v>9.8845115139999997</v>
      </c>
      <c r="AB19" s="14">
        <f>INDEX(Base_Mensuelle!$BX$68:$CD$679,MAX(Base_Mensuelle!$FZ$68:$FZ$679)-A19,1)</f>
        <v>42522</v>
      </c>
      <c r="AC19" s="179">
        <f>VLOOKUP($AB19,Base_Mensuelle!$FL$67:$FY$679,2,0)</f>
        <v>102.05</v>
      </c>
      <c r="AD19" s="93"/>
      <c r="AE19" s="20">
        <f t="shared" si="1"/>
        <v>0.03</v>
      </c>
      <c r="AF19" s="219">
        <f>VLOOKUP($AB19,Base_Mensuelle!$GP$67:$HR$679,2,0)</f>
        <v>265.52838144416</v>
      </c>
      <c r="AG19" s="93">
        <f>VLOOKUP($AB19,Base_Mensuelle!$GP$67:$HR$679,3,0)</f>
        <v>225.03508334223901</v>
      </c>
      <c r="AH19" s="93">
        <f>VLOOKUP($AB19,Base_Mensuelle!$GP$67:$HR$679,14,0)</f>
        <v>1677.00074951184</v>
      </c>
      <c r="AI19" s="99">
        <f>VLOOKUP($AB19,Base_Mensuelle!$GA$67:$GO$679,5,0)</f>
        <v>86.03</v>
      </c>
      <c r="AJ19" s="99">
        <f>VLOOKUP($AB19,Base_Mensuelle!$GA$67:$GO$679,6,0)</f>
        <v>111.15</v>
      </c>
      <c r="AK19" s="99">
        <f>VLOOKUP($AB19,Base_Mensuelle!$GA$67:$GO$679,7,0)</f>
        <v>100.61</v>
      </c>
      <c r="AL19" s="99">
        <f>VLOOKUP($AB19,Base_Mensuelle!$GA$67:$GO$679,3,0)</f>
        <v>97.45</v>
      </c>
      <c r="AM19" s="132">
        <f>VLOOKUP($AB19,Base_Mensuelle!$GA$67:$GO$679,4,0)</f>
        <v>104.74</v>
      </c>
      <c r="AN19" s="179">
        <f>VLOOKUP($AB19,Base_Mensuelle!$HS$67:$JV$679,9,0)</f>
        <v>205.06536102294922</v>
      </c>
      <c r="AO19" s="99">
        <f>VLOOKUP($AB19,Base_Mensuelle!$HS$67:$JV$679,23,0)</f>
        <v>154.51497268676758</v>
      </c>
      <c r="AP19" s="99">
        <f>VLOOKUP($AB19,Base_Mensuelle!$HS$67:$JV$679,39,0)</f>
        <v>400</v>
      </c>
      <c r="AQ19" s="99">
        <f>VLOOKUP($AB19,Base_Mensuelle!$HS$67:$JV$679,10,0)</f>
        <v>219.01139526367189</v>
      </c>
      <c r="AR19" s="132">
        <f>VLOOKUP($AB19,Base_Mensuelle!$HS$67:$JV$679,11,0)</f>
        <v>141.3316535949707</v>
      </c>
      <c r="AS19" s="733">
        <f>VLOOKUP($B19,Base_Mensuelle!$JW$67:$KZ$679,3,0)</f>
        <v>270.25974025974028</v>
      </c>
      <c r="AT19" s="734">
        <f>VLOOKUP($B19,Base_Mensuelle!$JW$67:$KZ$679,8,0)</f>
        <v>312.60869565217388</v>
      </c>
      <c r="AU19" s="733">
        <f>VLOOKUP($B19,Base_Mensuelle!$JW$67:$KZ$679,11,0)</f>
        <v>39.658333333333339</v>
      </c>
      <c r="AV19" s="734">
        <f>VLOOKUP($B19,Base_Mensuelle!$JW$67:$KZ$679,15,0)</f>
        <v>65.646586345381522</v>
      </c>
      <c r="AW19" s="733">
        <f>VLOOKUP($B19,Base_Mensuelle!$JW$67:$KZ$679,25,0)</f>
        <v>22.215517241379313</v>
      </c>
      <c r="AX19" s="734">
        <f>VLOOKUP($B19,Base_Mensuelle!$JW$67:$KZ$679,29,0)</f>
        <v>25.252118644067796</v>
      </c>
    </row>
    <row r="20" spans="1:50">
      <c r="A20" s="175">
        <f t="shared" si="0"/>
        <v>89</v>
      </c>
      <c r="B20" s="14">
        <f>INDEX(Base_Mensuelle!$BX$68:$CD$679,MAX(Base_Mensuelle!$CD$68:$CD$679)-A21,1)</f>
        <v>42583</v>
      </c>
      <c r="C20" s="179">
        <f>VLOOKUP($B20,Base_Mensuelle!$BX$68:$CD$679,C$2,0)</f>
        <v>585.04905458437395</v>
      </c>
      <c r="D20" s="99">
        <f>VLOOKUP($B20,Base_Mensuelle!$BX$68:$CD$679,D$2,0)</f>
        <v>664.95699999999999</v>
      </c>
      <c r="E20" s="99">
        <f>VLOOKUP($B20,Base_Mensuelle!$BX$68:$CD$679,E$2,0)</f>
        <v>602.84624574947156</v>
      </c>
      <c r="F20" s="99">
        <f>VLOOKUP($B20,Base_Mensuelle!$BX$68:$CD$679,F$2,0)</f>
        <v>42.539916211624018</v>
      </c>
      <c r="G20" s="132">
        <f>VLOOKUP($B20,Base_Mensuelle!$BX$68:$CD$679,G$2,0)</f>
        <v>151.75879800436698</v>
      </c>
      <c r="H20" s="99">
        <f>VLOOKUP($B20,Base_Mensuelle!$CF$68:$CJ$679,H$2,0)</f>
        <v>1.7694280120000001</v>
      </c>
      <c r="I20" s="132">
        <f>VLOOKUP($B20,Base_Mensuelle!$CF$68:$CJ$679,I$2,0)</f>
        <v>1340.17</v>
      </c>
      <c r="J20" s="19">
        <f>VLOOKUP($B20,Base_Mensuelle!$CY$67:$DE$679,5,0)</f>
        <v>585634</v>
      </c>
      <c r="K20" s="99">
        <f>VLOOKUP($B20,Base_Mensuelle!$CY$67:$DE$679,2,0)</f>
        <v>106.68387452609505</v>
      </c>
      <c r="L20" s="93"/>
      <c r="M20" s="182">
        <f>VLOOKUP($B20,Base_Mensuelle!$DG$67:$DN$679,2,0)</f>
        <v>347516</v>
      </c>
      <c r="N20" s="182">
        <f>VLOOKUP($B20,Base_Mensuelle!$DG$68:$DO$679,9,0)</f>
        <v>0</v>
      </c>
      <c r="O20" s="93"/>
      <c r="P20" s="20"/>
      <c r="Q20" s="14">
        <f>INDEX(Base_Mensuelle!$BX$68:$CD$679,MAX(Base_Mensuelle!$PD$68:$PD$679)-A21,1)</f>
        <v>42583</v>
      </c>
      <c r="R20" s="733">
        <f>VLOOKUP($Q20,Base_Mensuelle!$OF$67:$RN$679,12,0)</f>
        <v>859.69587498756277</v>
      </c>
      <c r="S20" s="570">
        <f>VLOOKUP($Q20,Base_Mensuelle!$OF$67:$RN$679,15,0)</f>
        <v>1991.4642811936615</v>
      </c>
      <c r="T20" s="570">
        <f>VLOOKUP($Q20,Base_Mensuelle!$OF$67:$RN$679,22,0)</f>
        <v>404.61039947299997</v>
      </c>
      <c r="U20" s="734">
        <f>VLOOKUP($Q20,Base_Mensuelle!$OF$67:$RN$679,16,0)</f>
        <v>-39.413518226000036</v>
      </c>
      <c r="V20" s="733">
        <f>VLOOKUP($Q20,Base_Mensuelle!$OF$67:$RN$679,27,0)</f>
        <v>-137.12748439000006</v>
      </c>
      <c r="W20" s="570">
        <f>VLOOKUP($Q20,Base_Mensuelle!$OF$67:$RN$679,31,0)</f>
        <v>-93.395222290000021</v>
      </c>
      <c r="X20" s="570">
        <f>VLOOKUP($Q20,Base_Mensuelle!$OF$67:$RN$679,33,0)</f>
        <v>232.48986117300001</v>
      </c>
      <c r="Y20" s="570">
        <f>VLOOKUP($Q20,Base_Mensuelle!$OF$67:$RN$679,65,0)</f>
        <v>2026.5856932146614</v>
      </c>
      <c r="Z20" s="570">
        <f>VLOOKUP($Q20,Base_Mensuelle!$OF$67:$RN$679,39,0)</f>
        <v>456.86027438799999</v>
      </c>
      <c r="AA20" s="734">
        <f>VLOOKUP($Q20,Base_Mensuelle!$OF$67:$RN$679,51,0)</f>
        <v>11.624133473000001</v>
      </c>
      <c r="AB20" s="14">
        <f>INDEX(Base_Mensuelle!$BX$68:$CD$679,MAX(Base_Mensuelle!$FZ$68:$FZ$679)-A20,1)</f>
        <v>42552</v>
      </c>
      <c r="AC20" s="179">
        <f>VLOOKUP($AB20,Base_Mensuelle!$FL$67:$FY$679,2,0)</f>
        <v>101.96</v>
      </c>
      <c r="AD20" s="93"/>
      <c r="AE20" s="20">
        <f t="shared" si="1"/>
        <v>0.03</v>
      </c>
      <c r="AF20" s="219">
        <f>VLOOKUP($AB20,Base_Mensuelle!$GP$67:$HR$679,2,0)</f>
        <v>250.259942766129</v>
      </c>
      <c r="AG20" s="93">
        <f>VLOOKUP($AB20,Base_Mensuelle!$GP$67:$HR$679,3,0)</f>
        <v>211.756508386815</v>
      </c>
      <c r="AH20" s="93">
        <f>VLOOKUP($AB20,Base_Mensuelle!$GP$67:$HR$679,14,0)</f>
        <v>1865.4422730167901</v>
      </c>
      <c r="AI20" s="99">
        <f>VLOOKUP($AB20,Base_Mensuelle!$GA$67:$GO$679,5,0)</f>
        <v>92.43</v>
      </c>
      <c r="AJ20" s="99">
        <f>VLOOKUP($AB20,Base_Mensuelle!$GA$67:$GO$679,6,0)</f>
        <v>109.06</v>
      </c>
      <c r="AK20" s="99">
        <f>VLOOKUP($AB20,Base_Mensuelle!$GA$67:$GO$679,7,0)</f>
        <v>100.34</v>
      </c>
      <c r="AL20" s="99">
        <f>VLOOKUP($AB20,Base_Mensuelle!$GA$67:$GO$679,3,0)</f>
        <v>97.86</v>
      </c>
      <c r="AM20" s="132">
        <f>VLOOKUP($AB20,Base_Mensuelle!$GA$67:$GO$679,4,0)</f>
        <v>104.18</v>
      </c>
      <c r="AN20" s="179">
        <f>VLOOKUP($AB20,Base_Mensuelle!$HS$67:$JV$679,9,0)</f>
        <v>200.57189941406301</v>
      </c>
      <c r="AO20" s="99">
        <f>VLOOKUP($AB20,Base_Mensuelle!$HS$67:$JV$679,23,0)</f>
        <v>161.20419616699201</v>
      </c>
      <c r="AP20" s="99">
        <f>VLOOKUP($AB20,Base_Mensuelle!$HS$67:$JV$679,39,0)</f>
        <v>400</v>
      </c>
      <c r="AQ20" s="99">
        <f>VLOOKUP($AB20,Base_Mensuelle!$HS$67:$JV$679,10,0)</f>
        <v>226.23572921752901</v>
      </c>
      <c r="AR20" s="132">
        <f>VLOOKUP($AB20,Base_Mensuelle!$HS$67:$JV$679,11,0)</f>
        <v>128.140704345703</v>
      </c>
      <c r="AS20" s="733">
        <f>VLOOKUP($B20,Base_Mensuelle!$JW$67:$KZ$679,3,0)</f>
        <v>287.53205128205133</v>
      </c>
      <c r="AT20" s="734">
        <f>VLOOKUP($B20,Base_Mensuelle!$JW$67:$KZ$679,8,0)</f>
        <v>318.23333333333329</v>
      </c>
      <c r="AU20" s="733">
        <f>VLOOKUP($B20,Base_Mensuelle!$JW$67:$KZ$679,11,0)</f>
        <v>42.607692307692304</v>
      </c>
      <c r="AV20" s="734">
        <f>VLOOKUP($B20,Base_Mensuelle!$JW$67:$KZ$679,15,0)</f>
        <v>64.733333333333334</v>
      </c>
      <c r="AW20" s="733">
        <f>VLOOKUP($B20,Base_Mensuelle!$JW$67:$KZ$679,25,0)</f>
        <v>22.9758064516129</v>
      </c>
      <c r="AX20" s="734">
        <f>VLOOKUP($B20,Base_Mensuelle!$JW$67:$KZ$679,29,0)</f>
        <v>25.081140350877195</v>
      </c>
    </row>
    <row r="21" spans="1:50">
      <c r="A21" s="175">
        <f t="shared" si="0"/>
        <v>88</v>
      </c>
      <c r="B21" s="14">
        <f>INDEX(Base_Mensuelle!$BX$68:$CD$679,MAX(Base_Mensuelle!$CD$68:$CD$679)-A22,1)</f>
        <v>42614</v>
      </c>
      <c r="C21" s="179">
        <f>VLOOKUP($B21,Base_Mensuelle!$BX$68:$CD$679,C$2,0)</f>
        <v>585.04905458437395</v>
      </c>
      <c r="D21" s="99">
        <f>VLOOKUP($B21,Base_Mensuelle!$BX$68:$CD$679,D$2,0)</f>
        <v>664.95699999999999</v>
      </c>
      <c r="E21" s="99">
        <f>VLOOKUP($B21,Base_Mensuelle!$BX$68:$CD$679,E$2,0)</f>
        <v>600.74823701804189</v>
      </c>
      <c r="F21" s="99">
        <f>VLOOKUP($B21,Base_Mensuelle!$BX$68:$CD$679,F$2,0)</f>
        <v>41.699691681764733</v>
      </c>
      <c r="G21" s="132">
        <f>VLOOKUP($B21,Base_Mensuelle!$BX$68:$CD$679,G$2,0)</f>
        <v>146.58810666666668</v>
      </c>
      <c r="H21" s="99">
        <f>VLOOKUP($B21,Base_Mensuelle!$CF$68:$CJ$679,H$2,0)</f>
        <v>1.7165171319999999</v>
      </c>
      <c r="I21" s="132">
        <f>VLOOKUP($B21,Base_Mensuelle!$CF$68:$CJ$679,I$2,0)</f>
        <v>1326.61</v>
      </c>
      <c r="J21" s="19">
        <f>VLOOKUP($B21,Base_Mensuelle!$CY$67:$DE$679,5,0)</f>
        <v>585634</v>
      </c>
      <c r="K21" s="99">
        <f>VLOOKUP($B21,Base_Mensuelle!$CY$67:$DE$679,2,0)</f>
        <v>103.66224026025505</v>
      </c>
      <c r="L21" s="93"/>
      <c r="M21" s="182">
        <f>VLOOKUP($B21,Base_Mensuelle!$DG$67:$DN$679,2,0)</f>
        <v>349411</v>
      </c>
      <c r="N21" s="182">
        <f>VLOOKUP($B21,Base_Mensuelle!$DG$68:$DO$679,9,0)</f>
        <v>0</v>
      </c>
      <c r="O21" s="93"/>
      <c r="P21" s="20"/>
      <c r="Q21" s="14">
        <f>INDEX(Base_Mensuelle!$BX$68:$CD$679,MAX(Base_Mensuelle!$PD$68:$PD$679)-A22,1)</f>
        <v>42614</v>
      </c>
      <c r="R21" s="733">
        <f>VLOOKUP($Q21,Base_Mensuelle!$OF$67:$RN$679,12,0)</f>
        <v>925.42490973062309</v>
      </c>
      <c r="S21" s="570">
        <f>VLOOKUP($Q21,Base_Mensuelle!$OF$67:$RN$679,15,0)</f>
        <v>1999.0192095841178</v>
      </c>
      <c r="T21" s="570">
        <f>VLOOKUP($Q21,Base_Mensuelle!$OF$67:$RN$679,22,0)</f>
        <v>420.71912774500004</v>
      </c>
      <c r="U21" s="734">
        <f>VLOOKUP($Q21,Base_Mensuelle!$OF$67:$RN$679,16,0)</f>
        <v>-12.477470770000068</v>
      </c>
      <c r="V21" s="733">
        <f>VLOOKUP($Q21,Base_Mensuelle!$OF$67:$RN$679,27,0)</f>
        <v>-133.28973059099997</v>
      </c>
      <c r="W21" s="570">
        <f>VLOOKUP($Q21,Base_Mensuelle!$OF$67:$RN$679,31,0)</f>
        <v>-81.467496531000023</v>
      </c>
      <c r="X21" s="570">
        <f>VLOOKUP($Q21,Base_Mensuelle!$OF$67:$RN$679,33,0)</f>
        <v>218.63173763400002</v>
      </c>
      <c r="Y21" s="570">
        <f>VLOOKUP($Q21,Base_Mensuelle!$OF$67:$RN$679,65,0)</f>
        <v>2007.1378873711176</v>
      </c>
      <c r="Z21" s="570">
        <f>VLOOKUP($Q21,Base_Mensuelle!$OF$67:$RN$679,39,0)</f>
        <v>447.77387410599999</v>
      </c>
      <c r="AA21" s="734">
        <f>VLOOKUP($Q21,Base_Mensuelle!$OF$67:$RN$679,51,0)</f>
        <v>13.058915154999999</v>
      </c>
      <c r="AB21" s="14">
        <f>INDEX(Base_Mensuelle!$BX$68:$CD$679,MAX(Base_Mensuelle!$FZ$68:$FZ$679)-A21,1)</f>
        <v>42583</v>
      </c>
      <c r="AC21" s="179">
        <f>VLOOKUP($AB21,Base_Mensuelle!$FL$67:$FY$679,2,0)</f>
        <v>102.6</v>
      </c>
      <c r="AD21" s="93"/>
      <c r="AE21" s="20">
        <f t="shared" si="1"/>
        <v>0.03</v>
      </c>
      <c r="AF21" s="219">
        <f>VLOOKUP($AB21,Base_Mensuelle!$GP$67:$HR$679,2,0)</f>
        <v>250.259942766129</v>
      </c>
      <c r="AG21" s="93">
        <f>VLOOKUP($AB21,Base_Mensuelle!$GP$67:$HR$679,3,0)</f>
        <v>211.756508386815</v>
      </c>
      <c r="AH21" s="93">
        <f>VLOOKUP($AB21,Base_Mensuelle!$GP$67:$HR$679,14,0)</f>
        <v>1865.4422730167901</v>
      </c>
      <c r="AI21" s="99">
        <f>VLOOKUP($AB21,Base_Mensuelle!$GA$67:$GO$679,5,0)</f>
        <v>92.53</v>
      </c>
      <c r="AJ21" s="99">
        <f>VLOOKUP($AB21,Base_Mensuelle!$GA$67:$GO$679,6,0)</f>
        <v>107.01</v>
      </c>
      <c r="AK21" s="99">
        <f>VLOOKUP($AB21,Base_Mensuelle!$GA$67:$GO$679,7,0)</f>
        <v>102.01</v>
      </c>
      <c r="AL21" s="99">
        <f>VLOOKUP($AB21,Base_Mensuelle!$GA$67:$GO$679,3,0)</f>
        <v>99.29</v>
      </c>
      <c r="AM21" s="132">
        <f>VLOOKUP($AB21,Base_Mensuelle!$GA$67:$GO$679,4,0)</f>
        <v>104.46</v>
      </c>
      <c r="AN21" s="179">
        <f>VLOOKUP($AB21,Base_Mensuelle!$HS$67:$JV$679,9,0)</f>
        <v>193.40607833862305</v>
      </c>
      <c r="AO21" s="99">
        <f>VLOOKUP($AB21,Base_Mensuelle!$HS$67:$JV$679,23,0)</f>
        <v>164.31344223022461</v>
      </c>
      <c r="AP21" s="99">
        <f>VLOOKUP($AB21,Base_Mensuelle!$HS$67:$JV$679,39,0)</f>
        <v>400</v>
      </c>
      <c r="AQ21" s="99">
        <f>VLOOKUP($AB21,Base_Mensuelle!$HS$67:$JV$679,10,0)</f>
        <v>226.2357292175293</v>
      </c>
      <c r="AR21" s="132">
        <f>VLOOKUP($AB21,Base_Mensuelle!$HS$67:$JV$679,11,0)</f>
        <v>137.22713851928711</v>
      </c>
      <c r="AS21" s="733">
        <f>VLOOKUP($B21,Base_Mensuelle!$JW$67:$KZ$679,3,0)</f>
        <v>300</v>
      </c>
      <c r="AT21" s="734">
        <f>VLOOKUP($B21,Base_Mensuelle!$JW$67:$KZ$679,8,0)</f>
        <v>288.75</v>
      </c>
      <c r="AU21" s="733">
        <f>VLOOKUP($B21,Base_Mensuelle!$JW$67:$KZ$679,11,0)</f>
        <v>44.772727272727273</v>
      </c>
      <c r="AV21" s="734">
        <f>VLOOKUP($B21,Base_Mensuelle!$JW$67:$KZ$679,15,0)</f>
        <v>70.373831775700936</v>
      </c>
      <c r="AW21" s="733">
        <f>VLOOKUP($B21,Base_Mensuelle!$JW$67:$KZ$679,25,0)</f>
        <v>22.706140350877195</v>
      </c>
      <c r="AX21" s="734">
        <f>VLOOKUP($B21,Base_Mensuelle!$JW$67:$KZ$679,29,0)</f>
        <v>25.874396135265698</v>
      </c>
    </row>
    <row r="22" spans="1:50">
      <c r="A22" s="175">
        <f t="shared" si="0"/>
        <v>87</v>
      </c>
      <c r="B22" s="14">
        <f>INDEX(Base_Mensuelle!$BX$68:$CD$679,MAX(Base_Mensuelle!$CD$68:$CD$679)-A23,1)</f>
        <v>42644</v>
      </c>
      <c r="C22" s="179">
        <f>VLOOKUP($B22,Base_Mensuelle!$BX$68:$CD$679,C$2,0)</f>
        <v>594.91837475058946</v>
      </c>
      <c r="D22" s="99">
        <f>VLOOKUP($B22,Base_Mensuelle!$BX$68:$CD$679,D$2,0)</f>
        <v>664.95699999999999</v>
      </c>
      <c r="E22" s="99">
        <f>VLOOKUP($B22,Base_Mensuelle!$BX$68:$CD$679,E$2,0)</f>
        <v>602.51400753191876</v>
      </c>
      <c r="F22" s="99">
        <f>VLOOKUP($B22,Base_Mensuelle!$BX$68:$CD$679,F$2,0)</f>
        <v>42.70748015860098</v>
      </c>
      <c r="G22" s="132">
        <f>VLOOKUP($B22,Base_Mensuelle!$BX$68:$CD$679,G$2,0)</f>
        <v>151.11458709677419</v>
      </c>
      <c r="H22" s="99">
        <f>VLOOKUP($B22,Base_Mensuelle!$CF$68:$CJ$679,H$2,0)</f>
        <v>1.731067624</v>
      </c>
      <c r="I22" s="132">
        <f>VLOOKUP($B22,Base_Mensuelle!$CF$68:$CJ$679,I$2,0)</f>
        <v>1266.55</v>
      </c>
      <c r="J22" s="19">
        <f>VLOOKUP($B22,Base_Mensuelle!$CY$67:$DE$679,5,0)</f>
        <v>585634</v>
      </c>
      <c r="K22" s="99">
        <f>VLOOKUP($B22,Base_Mensuelle!$CY$67:$DE$679,2,0)</f>
        <v>105.909645</v>
      </c>
      <c r="L22" s="93"/>
      <c r="M22" s="182">
        <f>VLOOKUP($B22,Base_Mensuelle!$DG$67:$DN$679,2,0)</f>
        <v>346987</v>
      </c>
      <c r="N22" s="182">
        <f>VLOOKUP($B22,Base_Mensuelle!$DG$68:$DO$679,9,0)</f>
        <v>0</v>
      </c>
      <c r="O22" s="93"/>
      <c r="P22" s="20"/>
      <c r="Q22" s="14">
        <f>INDEX(Base_Mensuelle!$BX$68:$CD$679,MAX(Base_Mensuelle!$PD$68:$PD$679)-A23,1)</f>
        <v>42644</v>
      </c>
      <c r="R22" s="733">
        <f>VLOOKUP($Q22,Base_Mensuelle!$OF$67:$RN$679,12,0)</f>
        <v>871.40471790801803</v>
      </c>
      <c r="S22" s="570">
        <f>VLOOKUP($Q22,Base_Mensuelle!$OF$67:$RN$679,15,0)</f>
        <v>1993.0468990064028</v>
      </c>
      <c r="T22" s="570">
        <f>VLOOKUP($Q22,Base_Mensuelle!$OF$67:$RN$679,22,0)</f>
        <v>419.81314606699993</v>
      </c>
      <c r="U22" s="734">
        <f>VLOOKUP($Q22,Base_Mensuelle!$OF$67:$RN$679,16,0)</f>
        <v>-41.308974867000003</v>
      </c>
      <c r="V22" s="733">
        <f>VLOOKUP($Q22,Base_Mensuelle!$OF$67:$RN$679,27,0)</f>
        <v>-190.99111126699995</v>
      </c>
      <c r="W22" s="570">
        <f>VLOOKUP($Q22,Base_Mensuelle!$OF$67:$RN$679,31,0)</f>
        <v>-106.03902398300002</v>
      </c>
      <c r="X22" s="570">
        <f>VLOOKUP($Q22,Base_Mensuelle!$OF$67:$RN$679,33,0)</f>
        <v>243.187338501</v>
      </c>
      <c r="Y22" s="570">
        <f>VLOOKUP($Q22,Base_Mensuelle!$OF$67:$RN$679,65,0)</f>
        <v>2029.9984404114027</v>
      </c>
      <c r="Z22" s="570">
        <f>VLOOKUP($Q22,Base_Mensuelle!$OF$67:$RN$679,39,0)</f>
        <v>450.283318237</v>
      </c>
      <c r="AA22" s="734">
        <f>VLOOKUP($Q22,Base_Mensuelle!$OF$67:$RN$679,51,0)</f>
        <v>13.940406232000001</v>
      </c>
      <c r="AB22" s="14">
        <f>INDEX(Base_Mensuelle!$BX$68:$CD$679,MAX(Base_Mensuelle!$FZ$68:$FZ$679)-A22,1)</f>
        <v>42614</v>
      </c>
      <c r="AC22" s="179">
        <f>VLOOKUP($AB22,Base_Mensuelle!$FL$67:$FY$679,2,0)</f>
        <v>104.8</v>
      </c>
      <c r="AD22" s="93"/>
      <c r="AE22" s="20">
        <f t="shared" si="1"/>
        <v>0.03</v>
      </c>
      <c r="AF22" s="219">
        <f>VLOOKUP($AB22,Base_Mensuelle!$GP$67:$HR$679,2,0)</f>
        <v>259.60567751571898</v>
      </c>
      <c r="AG22" s="93">
        <f>VLOOKUP($AB22,Base_Mensuelle!$GP$67:$HR$679,3,0)</f>
        <v>224.91869378446799</v>
      </c>
      <c r="AH22" s="93">
        <f>VLOOKUP($AB22,Base_Mensuelle!$GP$67:$HR$679,14,0)</f>
        <v>1989.0423258043099</v>
      </c>
      <c r="AI22" s="99">
        <f>VLOOKUP($AB22,Base_Mensuelle!$GA$67:$GO$679,5,0)</f>
        <v>92.91</v>
      </c>
      <c r="AJ22" s="99">
        <f>VLOOKUP($AB22,Base_Mensuelle!$GA$67:$GO$679,6,0)</f>
        <v>116.64</v>
      </c>
      <c r="AK22" s="99">
        <f>VLOOKUP($AB22,Base_Mensuelle!$GA$67:$GO$679,7,0)</f>
        <v>100.95</v>
      </c>
      <c r="AL22" s="99">
        <f>VLOOKUP($AB22,Base_Mensuelle!$GA$67:$GO$679,3,0)</f>
        <v>101.83</v>
      </c>
      <c r="AM22" s="132">
        <f>VLOOKUP($AB22,Base_Mensuelle!$GA$67:$GO$679,4,0)</f>
        <v>106.52</v>
      </c>
      <c r="AN22" s="179">
        <f>VLOOKUP($AB22,Base_Mensuelle!$HS$67:$JV$679,9,0)</f>
        <v>200.64305877685547</v>
      </c>
      <c r="AO22" s="99">
        <f>VLOOKUP($AB22,Base_Mensuelle!$HS$67:$JV$679,23,0)</f>
        <v>166.51570129394531</v>
      </c>
      <c r="AP22" s="99">
        <f>VLOOKUP($AB22,Base_Mensuelle!$HS$67:$JV$679,39,0)</f>
        <v>400</v>
      </c>
      <c r="AQ22" s="99">
        <f>VLOOKUP($AB22,Base_Mensuelle!$HS$67:$JV$679,10,0)</f>
        <v>215.96957092285157</v>
      </c>
      <c r="AR22" s="132">
        <f>VLOOKUP($AB22,Base_Mensuelle!$HS$67:$JV$679,11,0)</f>
        <v>149.30556106567383</v>
      </c>
      <c r="AS22" s="733">
        <f>VLOOKUP($B22,Base_Mensuelle!$JW$67:$KZ$679,3,0)</f>
        <v>292.38095238095241</v>
      </c>
      <c r="AT22" s="734">
        <f>VLOOKUP($B22,Base_Mensuelle!$JW$67:$KZ$679,8,0)</f>
        <v>279.2628205128205</v>
      </c>
      <c r="AU22" s="733">
        <f>VLOOKUP($B22,Base_Mensuelle!$JW$67:$KZ$679,11,0)</f>
        <v>43.047619047619051</v>
      </c>
      <c r="AV22" s="734">
        <f>VLOOKUP($B22,Base_Mensuelle!$JW$67:$KZ$679,15,0)</f>
        <v>68.692307692307693</v>
      </c>
      <c r="AW22" s="733">
        <f>VLOOKUP($B22,Base_Mensuelle!$JW$67:$KZ$679,25,0)</f>
        <v>22.556818181818183</v>
      </c>
      <c r="AX22" s="734">
        <f>VLOOKUP($B22,Base_Mensuelle!$JW$67:$KZ$679,29,0)</f>
        <v>30.160256410256409</v>
      </c>
    </row>
    <row r="23" spans="1:50">
      <c r="A23" s="175">
        <f t="shared" si="0"/>
        <v>86</v>
      </c>
      <c r="B23" s="14">
        <f>INDEX(Base_Mensuelle!$BX$68:$CD$679,MAX(Base_Mensuelle!$CD$68:$CD$679)-A24,1)</f>
        <v>42675</v>
      </c>
      <c r="C23" s="179">
        <f>VLOOKUP($B23,Base_Mensuelle!$BX$68:$CD$679,C$2,0)</f>
        <v>607.42383554032767</v>
      </c>
      <c r="D23" s="99">
        <f>VLOOKUP($B23,Base_Mensuelle!$BX$68:$CD$679,D$2,0)</f>
        <v>664.95699999999999</v>
      </c>
      <c r="E23" s="99">
        <f>VLOOKUP($B23,Base_Mensuelle!$BX$68:$CD$679,E$2,0)</f>
        <v>609.73879903327747</v>
      </c>
      <c r="F23" s="99">
        <f>VLOOKUP($B23,Base_Mensuelle!$BX$68:$CD$679,F$2,0)</f>
        <v>43.628376266203752</v>
      </c>
      <c r="G23" s="132">
        <f>VLOOKUP($B23,Base_Mensuelle!$BX$68:$CD$679,G$2,0)</f>
        <v>150.64180666666667</v>
      </c>
      <c r="H23" s="99">
        <f>VLOOKUP($B23,Base_Mensuelle!$CF$68:$CJ$679,H$2,0)</f>
        <v>1.739886104</v>
      </c>
      <c r="I23" s="132">
        <f>VLOOKUP($B23,Base_Mensuelle!$CF$68:$CJ$679,I$2,0)</f>
        <v>1238.3499999999999</v>
      </c>
      <c r="J23" s="19">
        <f>VLOOKUP($B23,Base_Mensuelle!$CY$67:$DE$679,5,0)</f>
        <v>585634</v>
      </c>
      <c r="K23" s="99">
        <f>VLOOKUP($B23,Base_Mensuelle!$CY$67:$DE$679,2,0)</f>
        <v>115.88796225033235</v>
      </c>
      <c r="L23" s="93"/>
      <c r="M23" s="182">
        <f>VLOOKUP($B23,Base_Mensuelle!$DG$67:$DN$679,2,0)</f>
        <v>348391</v>
      </c>
      <c r="N23" s="182">
        <f>VLOOKUP($B23,Base_Mensuelle!$DG$68:$DO$679,9,0)</f>
        <v>0</v>
      </c>
      <c r="O23" s="93"/>
      <c r="P23" s="20"/>
      <c r="Q23" s="14">
        <f>INDEX(Base_Mensuelle!$BX$68:$CD$679,MAX(Base_Mensuelle!$PD$68:$PD$679)-A24,1)</f>
        <v>42675</v>
      </c>
      <c r="R23" s="733">
        <f>VLOOKUP($Q23,Base_Mensuelle!$OF$67:$RN$679,12,0)</f>
        <v>925.70521319569298</v>
      </c>
      <c r="S23" s="570">
        <f>VLOOKUP($Q23,Base_Mensuelle!$OF$67:$RN$679,15,0)</f>
        <v>2069.8125741751983</v>
      </c>
      <c r="T23" s="570">
        <f>VLOOKUP($Q23,Base_Mensuelle!$OF$67:$RN$679,22,0)</f>
        <v>433.09189092600002</v>
      </c>
      <c r="U23" s="734">
        <f>VLOOKUP($Q23,Base_Mensuelle!$OF$67:$RN$679,16,0)</f>
        <v>12.529201395000015</v>
      </c>
      <c r="V23" s="733">
        <f>VLOOKUP($Q23,Base_Mensuelle!$OF$67:$RN$679,27,0)</f>
        <v>-226.39131581699996</v>
      </c>
      <c r="W23" s="570">
        <f>VLOOKUP($Q23,Base_Mensuelle!$OF$67:$RN$679,31,0)</f>
        <v>-38.95509946300001</v>
      </c>
      <c r="X23" s="570">
        <f>VLOOKUP($Q23,Base_Mensuelle!$OF$67:$RN$679,33,0)</f>
        <v>176.13043647399999</v>
      </c>
      <c r="Y23" s="570">
        <f>VLOOKUP($Q23,Base_Mensuelle!$OF$67:$RN$679,65,0)</f>
        <v>2052.9430173641981</v>
      </c>
      <c r="Z23" s="570">
        <f>VLOOKUP($Q23,Base_Mensuelle!$OF$67:$RN$679,39,0)</f>
        <v>497.15191882700003</v>
      </c>
      <c r="AA23" s="734">
        <f>VLOOKUP($Q23,Base_Mensuelle!$OF$67:$RN$679,51,0)</f>
        <v>16.474459067000002</v>
      </c>
      <c r="AB23" s="14">
        <f>INDEX(Base_Mensuelle!$BX$68:$CD$679,MAX(Base_Mensuelle!$FZ$68:$FZ$679)-A23,1)</f>
        <v>42644</v>
      </c>
      <c r="AC23" s="179">
        <f>VLOOKUP($AB23,Base_Mensuelle!$FL$67:$FY$679,2,0)</f>
        <v>103.65</v>
      </c>
      <c r="AD23" s="93"/>
      <c r="AE23" s="20">
        <f t="shared" si="1"/>
        <v>0.03</v>
      </c>
      <c r="AF23" s="219">
        <f>VLOOKUP($AB23,Base_Mensuelle!$GP$67:$HR$679,2,0)</f>
        <v>261.39684629763798</v>
      </c>
      <c r="AG23" s="93">
        <f>VLOOKUP($AB23,Base_Mensuelle!$GP$67:$HR$679,3,0)</f>
        <v>212.585295380405</v>
      </c>
      <c r="AH23" s="93">
        <f>VLOOKUP($AB23,Base_Mensuelle!$GP$67:$HR$679,14,0)</f>
        <v>1873.2352691098799</v>
      </c>
      <c r="AI23" s="99">
        <f>VLOOKUP($AB23,Base_Mensuelle!$GA$67:$GO$679,5,0)</f>
        <v>93.47</v>
      </c>
      <c r="AJ23" s="99">
        <f>VLOOKUP($AB23,Base_Mensuelle!$GA$67:$GO$679,6,0)</f>
        <v>107.97</v>
      </c>
      <c r="AK23" s="99">
        <f>VLOOKUP($AB23,Base_Mensuelle!$GA$67:$GO$679,7,0)</f>
        <v>103.14</v>
      </c>
      <c r="AL23" s="99">
        <f>VLOOKUP($AB23,Base_Mensuelle!$GA$67:$GO$679,3,0)</f>
        <v>104.22</v>
      </c>
      <c r="AM23" s="132">
        <f>VLOOKUP($AB23,Base_Mensuelle!$GA$67:$GO$679,4,0)</f>
        <v>103.76</v>
      </c>
      <c r="AN23" s="179">
        <f>VLOOKUP($AB23,Base_Mensuelle!$HS$67:$JV$679,9,0)</f>
        <v>182.35294494628906</v>
      </c>
      <c r="AO23" s="99">
        <f>VLOOKUP($AB23,Base_Mensuelle!$HS$67:$JV$679,23,0)</f>
        <v>149.96799468994141</v>
      </c>
      <c r="AP23" s="99">
        <f>VLOOKUP($AB23,Base_Mensuelle!$HS$67:$JV$679,39,0)</f>
        <v>410</v>
      </c>
      <c r="AQ23" s="99">
        <f>VLOOKUP($AB23,Base_Mensuelle!$HS$67:$JV$679,10,0)</f>
        <v>223.3840217590332</v>
      </c>
      <c r="AR23" s="132">
        <f>VLOOKUP($AB23,Base_Mensuelle!$HS$67:$JV$679,11,0)</f>
        <v>154.89418334960936</v>
      </c>
      <c r="AS23" s="733">
        <f>VLOOKUP($B23,Base_Mensuelle!$JW$67:$KZ$679,3,0)</f>
        <v>280.55555555555554</v>
      </c>
      <c r="AT23" s="734">
        <f>VLOOKUP($B23,Base_Mensuelle!$JW$67:$KZ$679,8,0)</f>
        <v>257.99382716049382</v>
      </c>
      <c r="AU23" s="733">
        <f>VLOOKUP($B23,Base_Mensuelle!$JW$67:$KZ$679,11,0)</f>
        <v>42.416666666666664</v>
      </c>
      <c r="AV23" s="734">
        <f>VLOOKUP($B23,Base_Mensuelle!$JW$67:$KZ$679,15,0)</f>
        <v>69.295454545454504</v>
      </c>
      <c r="AW23" s="733">
        <f>VLOOKUP($B23,Base_Mensuelle!$JW$67:$KZ$679,25,0)</f>
        <v>22.833333333333332</v>
      </c>
      <c r="AX23" s="734">
        <f>VLOOKUP($B23,Base_Mensuelle!$JW$67:$KZ$679,29,0)</f>
        <v>30.008333333333333</v>
      </c>
    </row>
    <row r="24" spans="1:50">
      <c r="A24" s="175">
        <f t="shared" si="0"/>
        <v>85</v>
      </c>
      <c r="B24" s="14">
        <f>INDEX(Base_Mensuelle!$BX$68:$CD$679,MAX(Base_Mensuelle!$CD$68:$CD$679)-A25,1)</f>
        <v>42705</v>
      </c>
      <c r="C24" s="179">
        <f>VLOOKUP($B24,Base_Mensuelle!$BX$68:$CD$679,C$2,0)</f>
        <v>622.17300578582945</v>
      </c>
      <c r="D24" s="99">
        <f>VLOOKUP($B24,Base_Mensuelle!$BX$68:$CD$679,D$2,0)</f>
        <v>664.95699999999999</v>
      </c>
      <c r="E24" s="99">
        <f>VLOOKUP($B24,Base_Mensuelle!$BX$68:$CD$679,E$2,0)</f>
        <v>610.19255813953487</v>
      </c>
      <c r="F24" s="99">
        <f>VLOOKUP($B24,Base_Mensuelle!$BX$68:$CD$679,F$2,0)</f>
        <v>44.88490646083946</v>
      </c>
      <c r="G24" s="132">
        <f>VLOOKUP($B24,Base_Mensuelle!$BX$68:$CD$679,G$2,0)</f>
        <v>146.80591612903223</v>
      </c>
      <c r="H24" s="99">
        <f>VLOOKUP($B24,Base_Mensuelle!$CF$68:$CJ$679,H$2,0)</f>
        <v>1.7526729000000001</v>
      </c>
      <c r="I24" s="132">
        <f>VLOOKUP($B24,Base_Mensuelle!$CF$68:$CJ$679,I$2,0)</f>
        <v>1157.3599999999999</v>
      </c>
      <c r="J24" s="19">
        <f>VLOOKUP($B24,Base_Mensuelle!$CY$67:$DE$679,5,0)</f>
        <v>585634</v>
      </c>
      <c r="K24" s="99">
        <f>VLOOKUP($B24,Base_Mensuelle!$CY$67:$DE$679,2,0)</f>
        <v>110.67661572150462</v>
      </c>
      <c r="L24" s="93"/>
      <c r="M24" s="182">
        <f>VLOOKUP($B24,Base_Mensuelle!$DG$67:$DN$679,2,0)</f>
        <v>353830</v>
      </c>
      <c r="N24" s="182">
        <f>VLOOKUP($B24,Base_Mensuelle!$DG$68:$DO$679,9,0)</f>
        <v>0</v>
      </c>
      <c r="O24" s="93"/>
      <c r="P24" s="20"/>
      <c r="Q24" s="14">
        <f>INDEX(Base_Mensuelle!$BX$68:$CD$679,MAX(Base_Mensuelle!$PD$68:$PD$679)-A25,1)</f>
        <v>42705</v>
      </c>
      <c r="R24" s="733">
        <f>VLOOKUP($Q24,Base_Mensuelle!$OF$67:$RN$679,12,0)</f>
        <v>1052.7629037723555</v>
      </c>
      <c r="S24" s="570">
        <f>VLOOKUP($Q24,Base_Mensuelle!$OF$67:$RN$679,15,0)</f>
        <v>2055.8370954678235</v>
      </c>
      <c r="T24" s="570">
        <f>VLOOKUP($Q24,Base_Mensuelle!$OF$67:$RN$679,22,0)</f>
        <v>487.006033011</v>
      </c>
      <c r="U24" s="734">
        <f>VLOOKUP($Q24,Base_Mensuelle!$OF$67:$RN$679,16,0)</f>
        <v>-88.478374844000058</v>
      </c>
      <c r="V24" s="733">
        <f>VLOOKUP($Q24,Base_Mensuelle!$OF$67:$RN$679,27,0)</f>
        <v>-136.60231978799993</v>
      </c>
      <c r="W24" s="570">
        <f>VLOOKUP($Q24,Base_Mensuelle!$OF$67:$RN$679,31,0)</f>
        <v>-141.78972330300002</v>
      </c>
      <c r="X24" s="570">
        <f>VLOOKUP($Q24,Base_Mensuelle!$OF$67:$RN$679,33,0)</f>
        <v>277.37345301300002</v>
      </c>
      <c r="Y24" s="570">
        <f>VLOOKUP($Q24,Base_Mensuelle!$OF$67:$RN$679,65,0)</f>
        <v>2140.0873093918235</v>
      </c>
      <c r="Z24" s="570">
        <f>VLOOKUP($Q24,Base_Mensuelle!$OF$67:$RN$679,39,0)</f>
        <v>478.16496640500003</v>
      </c>
      <c r="AA24" s="734">
        <f>VLOOKUP($Q24,Base_Mensuelle!$OF$67:$RN$679,51,0)</f>
        <v>17.945786177999999</v>
      </c>
      <c r="AB24" s="14">
        <f>INDEX(Base_Mensuelle!$BX$68:$CD$679,MAX(Base_Mensuelle!$FZ$68:$FZ$679)-A24,1)</f>
        <v>42675</v>
      </c>
      <c r="AC24" s="179">
        <f>VLOOKUP($AB24,Base_Mensuelle!$FL$67:$FY$679,2,0)</f>
        <v>103.13</v>
      </c>
      <c r="AD24" s="93"/>
      <c r="AE24" s="20">
        <f t="shared" si="1"/>
        <v>0.03</v>
      </c>
      <c r="AF24" s="219">
        <f>VLOOKUP($AB24,Base_Mensuelle!$GP$67:$HR$679,2,0)</f>
        <v>266.11452497963899</v>
      </c>
      <c r="AG24" s="93">
        <f>VLOOKUP($AB24,Base_Mensuelle!$GP$67:$HR$679,3,0)</f>
        <v>213.95458583264499</v>
      </c>
      <c r="AH24" s="93">
        <f>VLOOKUP($AB24,Base_Mensuelle!$GP$67:$HR$679,14,0)</f>
        <v>1729.72982327626</v>
      </c>
      <c r="AI24" s="99">
        <f>VLOOKUP($AB24,Base_Mensuelle!$GA$67:$GO$679,5,0)</f>
        <v>92.41</v>
      </c>
      <c r="AJ24" s="99">
        <f>VLOOKUP($AB24,Base_Mensuelle!$GA$67:$GO$679,6,0)</f>
        <v>107.11</v>
      </c>
      <c r="AK24" s="99">
        <f>VLOOKUP($AB24,Base_Mensuelle!$GA$67:$GO$679,7,0)</f>
        <v>102.58</v>
      </c>
      <c r="AL24" s="99">
        <f>VLOOKUP($AB24,Base_Mensuelle!$GA$67:$GO$679,3,0)</f>
        <v>102.18</v>
      </c>
      <c r="AM24" s="132">
        <f>VLOOKUP($AB24,Base_Mensuelle!$GA$67:$GO$679,4,0)</f>
        <v>103.81</v>
      </c>
      <c r="AN24" s="179">
        <f>VLOOKUP($AB24,Base_Mensuelle!$HS$67:$JV$679,9,0)</f>
        <v>185.45751953125</v>
      </c>
      <c r="AO24" s="99">
        <f>VLOOKUP($AB24,Base_Mensuelle!$HS$67:$JV$679,23,0)</f>
        <v>153.91434860229492</v>
      </c>
      <c r="AP24" s="99">
        <f>VLOOKUP($AB24,Base_Mensuelle!$HS$67:$JV$679,39,0)</f>
        <v>400</v>
      </c>
      <c r="AQ24" s="99">
        <f>VLOOKUP($AB24,Base_Mensuelle!$HS$67:$JV$679,10,0)</f>
        <v>231.93915176391602</v>
      </c>
      <c r="AR24" s="132">
        <f>VLOOKUP($AB24,Base_Mensuelle!$HS$67:$JV$679,11,0)</f>
        <v>167.3497200012207</v>
      </c>
      <c r="AS24" s="733">
        <f>VLOOKUP($B24,Base_Mensuelle!$JW$67:$KZ$679,3,0)</f>
        <v>290.83333333333331</v>
      </c>
      <c r="AT24" s="734">
        <f>VLOOKUP($B24,Base_Mensuelle!$JW$67:$KZ$679,8,0)</f>
        <v>260.625</v>
      </c>
      <c r="AU24" s="733">
        <f>VLOOKUP($B24,Base_Mensuelle!$JW$67:$KZ$679,11,0)</f>
        <v>45.083333333333336</v>
      </c>
      <c r="AV24" s="734">
        <f>VLOOKUP($B24,Base_Mensuelle!$JW$67:$KZ$679,15,0)</f>
        <v>76.099999999999994</v>
      </c>
      <c r="AW24" s="733">
        <f>VLOOKUP($B24,Base_Mensuelle!$JW$67:$KZ$679,25,0)</f>
        <v>23.666666666666668</v>
      </c>
      <c r="AX24" s="734">
        <f>VLOOKUP($B24,Base_Mensuelle!$JW$67:$KZ$679,29,0)</f>
        <v>31.583333333333332</v>
      </c>
    </row>
    <row r="25" spans="1:50">
      <c r="A25" s="175">
        <f t="shared" si="0"/>
        <v>84</v>
      </c>
      <c r="B25" s="14">
        <f>INDEX(Base_Mensuelle!$BX$68:$CD$679,MAX(Base_Mensuelle!$CD$68:$CD$679)-A26,1)</f>
        <v>42736</v>
      </c>
      <c r="C25" s="179">
        <f>VLOOKUP($B25,Base_Mensuelle!$BX$68:$CD$679,C$2,0)</f>
        <v>618.01111739212365</v>
      </c>
      <c r="D25" s="99">
        <f>VLOOKUP($B25,Base_Mensuelle!$BX$68:$CD$679,D$2,0)</f>
        <v>664.95699999999999</v>
      </c>
      <c r="E25" s="99">
        <f>VLOOKUP($B25,Base_Mensuelle!$BX$68:$CD$679,E$2,0)</f>
        <v>612.24285980959496</v>
      </c>
      <c r="F25" s="99">
        <f>VLOOKUP($B25,Base_Mensuelle!$BX$68:$CD$679,F$2,0)</f>
        <v>45.548773713301671</v>
      </c>
      <c r="G25" s="132">
        <f>VLOOKUP($B25,Base_Mensuelle!$BX$68:$CD$679,G$2,0)</f>
        <v>144.42887096774191</v>
      </c>
      <c r="H25" s="99">
        <f>VLOOKUP($B25,Base_Mensuelle!$CF$68:$CJ$679,H$2,0)</f>
        <v>1.815063646</v>
      </c>
      <c r="I25" s="132">
        <f>VLOOKUP($B25,Base_Mensuelle!$CF$68:$CJ$679,I$2,0)</f>
        <v>1192.0999999999999</v>
      </c>
      <c r="J25" s="19">
        <f>VLOOKUP($B25,Base_Mensuelle!$CY$67:$DE$679,5,0)</f>
        <v>628111</v>
      </c>
      <c r="K25" s="99">
        <f>VLOOKUP($B25,Base_Mensuelle!$CY$67:$DE$679,2,0)</f>
        <v>111.247811</v>
      </c>
      <c r="L25" s="93"/>
      <c r="M25" s="182">
        <f>VLOOKUP($B25,Base_Mensuelle!$DG$67:$DN$679,2,0)</f>
        <v>355537</v>
      </c>
      <c r="N25" s="182">
        <f>VLOOKUP($B25,Base_Mensuelle!$DG$68:$DO$679,9,0)</f>
        <v>0</v>
      </c>
      <c r="O25" s="93"/>
      <c r="P25" s="20"/>
      <c r="Q25" s="14">
        <f>INDEX(Base_Mensuelle!$BX$68:$CD$679,MAX(Base_Mensuelle!$PD$68:$PD$679)-A26,1)</f>
        <v>42736</v>
      </c>
      <c r="R25" s="733">
        <f>VLOOKUP($Q25,Base_Mensuelle!$OF$67:$RN$679,12,0)</f>
        <v>925.67964595162471</v>
      </c>
      <c r="S25" s="570">
        <f>VLOOKUP($Q25,Base_Mensuelle!$OF$67:$RN$679,15,0)</f>
        <v>2101.6625192667107</v>
      </c>
      <c r="T25" s="570">
        <f>VLOOKUP($Q25,Base_Mensuelle!$OF$67:$RN$679,22,0)</f>
        <v>475.96506255000003</v>
      </c>
      <c r="U25" s="734">
        <f>VLOOKUP($Q25,Base_Mensuelle!$OF$67:$RN$679,16,0)</f>
        <v>-67.813989691000018</v>
      </c>
      <c r="V25" s="733">
        <f>VLOOKUP($Q25,Base_Mensuelle!$OF$67:$RN$679,27,0)</f>
        <v>-194.69075469200004</v>
      </c>
      <c r="W25" s="570">
        <f>VLOOKUP($Q25,Base_Mensuelle!$OF$67:$RN$679,31,0)</f>
        <v>-136.04505787800002</v>
      </c>
      <c r="X25" s="570">
        <f>VLOOKUP($Q25,Base_Mensuelle!$OF$67:$RN$679,33,0)</f>
        <v>270.64717908400002</v>
      </c>
      <c r="Y25" s="570">
        <f>VLOOKUP($Q25,Base_Mensuelle!$OF$67:$RN$679,65,0)</f>
        <v>2165.206811539711</v>
      </c>
      <c r="Z25" s="570">
        <f>VLOOKUP($Q25,Base_Mensuelle!$OF$67:$RN$679,39,0)</f>
        <v>509.05170203</v>
      </c>
      <c r="AA25" s="734">
        <f>VLOOKUP($Q25,Base_Mensuelle!$OF$67:$RN$679,51,0)</f>
        <v>2.2131634900000003</v>
      </c>
      <c r="AB25" s="14">
        <f>INDEX(Base_Mensuelle!$BX$68:$CD$679,MAX(Base_Mensuelle!$FZ$68:$FZ$679)-A25,1)</f>
        <v>42705</v>
      </c>
      <c r="AC25" s="179">
        <f>VLOOKUP($AB25,Base_Mensuelle!$FL$67:$FY$679,2,0)</f>
        <v>102.43</v>
      </c>
      <c r="AD25" s="93"/>
      <c r="AE25" s="20">
        <f t="shared" si="1"/>
        <v>0.03</v>
      </c>
      <c r="AF25" s="219">
        <f>VLOOKUP($AB25,Base_Mensuelle!$GP$67:$HR$679,2,0)</f>
        <v>245.958717359509</v>
      </c>
      <c r="AG25" s="93">
        <f>VLOOKUP($AB25,Base_Mensuelle!$GP$67:$HR$679,3,0)</f>
        <v>210.27700932517499</v>
      </c>
      <c r="AH25" s="93">
        <f>VLOOKUP($AB25,Base_Mensuelle!$GP$67:$HR$679,14,0)</f>
        <v>1922.86635191966</v>
      </c>
      <c r="AI25" s="99">
        <f>VLOOKUP($AB25,Base_Mensuelle!$GA$67:$GO$679,5,0)</f>
        <v>127.07</v>
      </c>
      <c r="AJ25" s="99">
        <f>VLOOKUP($AB25,Base_Mensuelle!$GA$67:$GO$679,6,0)</f>
        <v>100.18</v>
      </c>
      <c r="AK25" s="99">
        <f>VLOOKUP($AB25,Base_Mensuelle!$GA$67:$GO$679,7,0)</f>
        <v>101.7</v>
      </c>
      <c r="AL25" s="99">
        <f>VLOOKUP($AB25,Base_Mensuelle!$GA$67:$GO$679,3,0)</f>
        <v>100.63</v>
      </c>
      <c r="AM25" s="132">
        <f>VLOOKUP($AB25,Base_Mensuelle!$GA$67:$GO$679,4,0)</f>
        <v>103.68</v>
      </c>
      <c r="AN25" s="179">
        <f>VLOOKUP($AB25,Base_Mensuelle!$HS$67:$JV$679,9,0)</f>
        <v>178.10458374023438</v>
      </c>
      <c r="AO25" s="99">
        <f>VLOOKUP($AB25,Base_Mensuelle!$HS$67:$JV$679,23,0)</f>
        <v>134.57260208129884</v>
      </c>
      <c r="AP25" s="99">
        <f>VLOOKUP($AB25,Base_Mensuelle!$HS$67:$JV$679,39,0)</f>
        <v>400</v>
      </c>
      <c r="AQ25" s="99">
        <f>VLOOKUP($AB25,Base_Mensuelle!$HS$67:$JV$679,10,0)</f>
        <v>213.87831497192383</v>
      </c>
      <c r="AR25" s="132">
        <f>VLOOKUP($AB25,Base_Mensuelle!$HS$67:$JV$679,11,0)</f>
        <v>147.05882263183594</v>
      </c>
      <c r="AS25" s="733">
        <f>VLOOKUP($B25,Base_Mensuelle!$JW$67:$KZ$679,3,0)</f>
        <v>290.27907699157532</v>
      </c>
      <c r="AT25" s="734">
        <f>VLOOKUP($B25,Base_Mensuelle!$JW$67:$KZ$679,8,0)</f>
        <v>266.73913043478257</v>
      </c>
      <c r="AU25" s="733">
        <f>VLOOKUP($B25,Base_Mensuelle!$JW$67:$KZ$679,11,0)</f>
        <v>43.04</v>
      </c>
      <c r="AV25" s="734">
        <f>VLOOKUP($B25,Base_Mensuelle!$JW$67:$KZ$679,15,0)</f>
        <v>83.756944444444443</v>
      </c>
      <c r="AW25" s="733">
        <f>VLOOKUP($B25,Base_Mensuelle!$JW$67:$KZ$679,25,0)</f>
        <v>22.555555555555554</v>
      </c>
      <c r="AX25" s="734">
        <f>VLOOKUP($B25,Base_Mensuelle!$JW$67:$KZ$679,29,0)</f>
        <v>30.416666666666668</v>
      </c>
    </row>
    <row r="26" spans="1:50">
      <c r="A26" s="175">
        <f t="shared" si="0"/>
        <v>83</v>
      </c>
      <c r="B26" s="14">
        <f>INDEX(Base_Mensuelle!$BX$68:$CD$679,MAX(Base_Mensuelle!$CD$68:$CD$679)-A27,1)</f>
        <v>42767</v>
      </c>
      <c r="C26" s="179">
        <f>VLOOKUP($B26,Base_Mensuelle!$BX$68:$CD$679,C$2,0)</f>
        <v>616.32716339377987</v>
      </c>
      <c r="D26" s="99">
        <f>VLOOKUP($B26,Base_Mensuelle!$BX$68:$CD$679,D$2,0)</f>
        <v>664.95699999999999</v>
      </c>
      <c r="E26" s="99">
        <f>VLOOKUP($B26,Base_Mensuelle!$BX$68:$CD$679,E$2,0)</f>
        <v>615.34427767354589</v>
      </c>
      <c r="F26" s="99">
        <f>VLOOKUP($B26,Base_Mensuelle!$BX$68:$CD$679,F$2,0)</f>
        <v>47.490099547511313</v>
      </c>
      <c r="G26" s="132">
        <f>VLOOKUP($B26,Base_Mensuelle!$BX$68:$CD$679,G$2,0)</f>
        <v>137.95894285714286</v>
      </c>
      <c r="H26" s="99">
        <f>VLOOKUP($B26,Base_Mensuelle!$CF$68:$CJ$679,H$2,0)</f>
        <v>1.8772339300000001</v>
      </c>
      <c r="I26" s="132">
        <f>VLOOKUP($B26,Base_Mensuelle!$CF$68:$CJ$679,I$2,0)</f>
        <v>1234.2</v>
      </c>
      <c r="J26" s="19">
        <f>VLOOKUP($B26,Base_Mensuelle!$CY$67:$DE$679,5,0)</f>
        <v>628111</v>
      </c>
      <c r="K26" s="99">
        <f>VLOOKUP($B26,Base_Mensuelle!$CY$67:$DE$679,2,0)</f>
        <v>107.22360379858121</v>
      </c>
      <c r="L26" s="93"/>
      <c r="M26" s="182">
        <f>VLOOKUP($B26,Base_Mensuelle!$DG$67:$DN$679,2,0)</f>
        <v>358626</v>
      </c>
      <c r="N26" s="182">
        <f>VLOOKUP($B26,Base_Mensuelle!$DG$68:$DO$679,9,0)</f>
        <v>0</v>
      </c>
      <c r="O26" s="93"/>
      <c r="P26" s="20"/>
      <c r="Q26" s="14">
        <f>INDEX(Base_Mensuelle!$BX$68:$CD$679,MAX(Base_Mensuelle!$PD$68:$PD$679)-A27,1)</f>
        <v>42767</v>
      </c>
      <c r="R26" s="733">
        <f>VLOOKUP($Q26,Base_Mensuelle!$OF$67:$RN$679,12,0)</f>
        <v>1078.5645821663361</v>
      </c>
      <c r="S26" s="570">
        <f>VLOOKUP($Q26,Base_Mensuelle!$OF$67:$RN$679,15,0)</f>
        <v>2166.7044665748845</v>
      </c>
      <c r="T26" s="570">
        <f>VLOOKUP($Q26,Base_Mensuelle!$OF$67:$RN$679,22,0)</f>
        <v>479.85301201300001</v>
      </c>
      <c r="U26" s="734">
        <f>VLOOKUP($Q26,Base_Mensuelle!$OF$67:$RN$679,16,0)</f>
        <v>-6.3047001769999866</v>
      </c>
      <c r="V26" s="733">
        <f>VLOOKUP($Q26,Base_Mensuelle!$OF$67:$RN$679,27,0)</f>
        <v>-148.29685204212115</v>
      </c>
      <c r="W26" s="570">
        <f>VLOOKUP($Q26,Base_Mensuelle!$OF$67:$RN$679,31,0)</f>
        <v>-91.60921464499998</v>
      </c>
      <c r="X26" s="570">
        <f>VLOOKUP($Q26,Base_Mensuelle!$OF$67:$RN$679,33,0)</f>
        <v>226.22905846399999</v>
      </c>
      <c r="Y26" s="570">
        <f>VLOOKUP($Q26,Base_Mensuelle!$OF$67:$RN$679,65,0)</f>
        <v>2168.5630209328842</v>
      </c>
      <c r="Z26" s="570">
        <f>VLOOKUP($Q26,Base_Mensuelle!$OF$67:$RN$679,39,0)</f>
        <v>598.96828317787913</v>
      </c>
      <c r="AA26" s="734">
        <f>VLOOKUP($Q26,Base_Mensuelle!$OF$67:$RN$679,51,0)</f>
        <v>4.7218417379999993</v>
      </c>
      <c r="AB26" s="14">
        <f>INDEX(Base_Mensuelle!$BX$68:$CD$679,MAX(Base_Mensuelle!$FZ$68:$FZ$679)-A26,1)</f>
        <v>42736</v>
      </c>
      <c r="AC26" s="179">
        <f>VLOOKUP($AB26,Base_Mensuelle!$FL$67:$FY$679,2,0)</f>
        <v>101.66</v>
      </c>
      <c r="AD26" s="93"/>
      <c r="AE26" s="20">
        <f t="shared" si="1"/>
        <v>0.03</v>
      </c>
      <c r="AF26" s="219">
        <f>VLOOKUP($AB26,Base_Mensuelle!$GP$67:$HR$679,2,0)</f>
        <v>256.99021626883098</v>
      </c>
      <c r="AG26" s="93">
        <f>VLOOKUP($AB26,Base_Mensuelle!$GP$67:$HR$679,3,0)</f>
        <v>214.93894741117299</v>
      </c>
      <c r="AH26" s="93">
        <f>VLOOKUP($AB26,Base_Mensuelle!$GP$67:$HR$679,14,0)</f>
        <v>1780.1564246614</v>
      </c>
      <c r="AI26" s="99">
        <f>VLOOKUP($AB26,Base_Mensuelle!$GA$67:$GO$679,5,0)</f>
        <v>91.87</v>
      </c>
      <c r="AJ26" s="99">
        <f>VLOOKUP($AB26,Base_Mensuelle!$GA$67:$GO$679,6,0)</f>
        <v>99.88</v>
      </c>
      <c r="AK26" s="99">
        <f>VLOOKUP($AB26,Base_Mensuelle!$GA$67:$GO$679,7,0)</f>
        <v>104.06</v>
      </c>
      <c r="AL26" s="99">
        <f>VLOOKUP($AB26,Base_Mensuelle!$GA$67:$GO$679,3,0)</f>
        <v>104.35</v>
      </c>
      <c r="AM26" s="132">
        <f>VLOOKUP($AB26,Base_Mensuelle!$GA$67:$GO$679,4,0)</f>
        <v>100.89</v>
      </c>
      <c r="AN26" s="179">
        <f>VLOOKUP($AB26,Base_Mensuelle!$HS$67:$JV$679,9,0)</f>
        <v>180.96406173706055</v>
      </c>
      <c r="AO26" s="99">
        <f>VLOOKUP($AB26,Base_Mensuelle!$HS$67:$JV$679,23,0)</f>
        <v>141.64306640625</v>
      </c>
      <c r="AP26" s="99">
        <f>VLOOKUP($AB26,Base_Mensuelle!$HS$67:$JV$679,39,0)</f>
        <v>400</v>
      </c>
      <c r="AQ26" s="99">
        <f>VLOOKUP($AB26,Base_Mensuelle!$HS$67:$JV$679,10,0)</f>
        <v>210.0760383605957</v>
      </c>
      <c r="AR26" s="132">
        <f>VLOOKUP($AB26,Base_Mensuelle!$HS$67:$JV$679,11,0)</f>
        <v>147.05882263183594</v>
      </c>
      <c r="AS26" s="733">
        <f>VLOOKUP($B26,Base_Mensuelle!$JW$67:$KZ$679,3,0)</f>
        <v>295.31946995279111</v>
      </c>
      <c r="AT26" s="734">
        <f>VLOOKUP($B26,Base_Mensuelle!$JW$67:$KZ$679,8,0)</f>
        <v>267.26666666666671</v>
      </c>
      <c r="AU26" s="733">
        <f>VLOOKUP($B26,Base_Mensuelle!$JW$67:$KZ$679,11,0)</f>
        <v>43.184210526315788</v>
      </c>
      <c r="AV26" s="734">
        <f>VLOOKUP($B26,Base_Mensuelle!$JW$67:$KZ$679,15,0)</f>
        <v>79.201388888888886</v>
      </c>
      <c r="AW26" s="733">
        <f>VLOOKUP($B26,Base_Mensuelle!$JW$67:$KZ$679,25,0)</f>
        <v>23.270833333333332</v>
      </c>
      <c r="AX26" s="734">
        <f>VLOOKUP($B26,Base_Mensuelle!$JW$67:$KZ$679,29,0)</f>
        <v>29.893939393939391</v>
      </c>
    </row>
    <row r="27" spans="1:50">
      <c r="A27" s="175">
        <f t="shared" si="0"/>
        <v>82</v>
      </c>
      <c r="B27" s="14">
        <f>INDEX(Base_Mensuelle!$BX$68:$CD$679,MAX(Base_Mensuelle!$CD$68:$CD$679)-A28,1)</f>
        <v>42795</v>
      </c>
      <c r="C27" s="179">
        <f>VLOOKUP($B27,Base_Mensuelle!$BX$68:$CD$679,C$2,0)</f>
        <v>613.9045390734675</v>
      </c>
      <c r="D27" s="99">
        <f>VLOOKUP($B27,Base_Mensuelle!$BX$68:$CD$679,D$2,0)</f>
        <v>664.95699999999999</v>
      </c>
      <c r="E27" s="99">
        <f>VLOOKUP($B27,Base_Mensuelle!$BX$68:$CD$679,E$2,0)</f>
        <v>612.7003549411545</v>
      </c>
      <c r="F27" s="99">
        <f>VLOOKUP($B27,Base_Mensuelle!$BX$68:$CD$679,F$2,0)</f>
        <v>47.490099547511313</v>
      </c>
      <c r="G27" s="132">
        <f>VLOOKUP($B27,Base_Mensuelle!$BX$68:$CD$679,G$2,0)</f>
        <v>136.02179677419358</v>
      </c>
      <c r="H27" s="99">
        <f>VLOOKUP($B27,Base_Mensuelle!$CF$68:$CJ$679,H$2,0)</f>
        <v>1.9131692360000001</v>
      </c>
      <c r="I27" s="132">
        <f>VLOOKUP($B27,Base_Mensuelle!$CF$68:$CJ$679,I$2,0)</f>
        <v>1231.42</v>
      </c>
      <c r="J27" s="19">
        <f>VLOOKUP($B27,Base_Mensuelle!$CY$67:$DE$679,5,0)</f>
        <v>628111</v>
      </c>
      <c r="K27" s="99">
        <f>VLOOKUP($B27,Base_Mensuelle!$CY$67:$DE$679,2,0)</f>
        <v>116.69479157628643</v>
      </c>
      <c r="L27" s="93"/>
      <c r="M27" s="182">
        <f>VLOOKUP($B27,Base_Mensuelle!$DG$67:$DN$679,2,0)</f>
        <v>360767</v>
      </c>
      <c r="N27" s="182">
        <f>VLOOKUP($B27,Base_Mensuelle!$DG$68:$DO$679,9,0)</f>
        <v>0</v>
      </c>
      <c r="O27" s="93"/>
      <c r="P27" s="20"/>
      <c r="Q27" s="14">
        <f>INDEX(Base_Mensuelle!$BX$68:$CD$679,MAX(Base_Mensuelle!$PD$68:$PD$679)-A28,1)</f>
        <v>42795</v>
      </c>
      <c r="R27" s="733">
        <f>VLOOKUP($Q27,Base_Mensuelle!$OF$67:$RN$679,12,0)</f>
        <v>1125.4047199810218</v>
      </c>
      <c r="S27" s="570">
        <f>VLOOKUP($Q27,Base_Mensuelle!$OF$67:$RN$679,15,0)</f>
        <v>2153.1102394728164</v>
      </c>
      <c r="T27" s="570">
        <f>VLOOKUP($Q27,Base_Mensuelle!$OF$67:$RN$679,22,0)</f>
        <v>481.59625178599998</v>
      </c>
      <c r="U27" s="734">
        <f>VLOOKUP($Q27,Base_Mensuelle!$OF$67:$RN$679,16,0)</f>
        <v>-19.762168720000062</v>
      </c>
      <c r="V27" s="733">
        <f>VLOOKUP($Q27,Base_Mensuelle!$OF$67:$RN$679,27,0)</f>
        <v>-232.63005314100008</v>
      </c>
      <c r="W27" s="570">
        <f>VLOOKUP($Q27,Base_Mensuelle!$OF$67:$RN$679,31,0)</f>
        <v>-93.37250324499999</v>
      </c>
      <c r="X27" s="570">
        <f>VLOOKUP($Q27,Base_Mensuelle!$OF$67:$RN$679,33,0)</f>
        <v>226.755214884</v>
      </c>
      <c r="Y27" s="570">
        <f>VLOOKUP($Q27,Base_Mensuelle!$OF$67:$RN$679,65,0)</f>
        <v>2168.4142787848164</v>
      </c>
      <c r="Z27" s="570">
        <f>VLOOKUP($Q27,Base_Mensuelle!$OF$67:$RN$679,39,0)</f>
        <v>453.40094893799994</v>
      </c>
      <c r="AA27" s="734">
        <f>VLOOKUP($Q27,Base_Mensuelle!$OF$67:$RN$679,51,0)</f>
        <v>7.0651509969999999</v>
      </c>
      <c r="AB27" s="14">
        <f>INDEX(Base_Mensuelle!$BX$68:$CD$679,MAX(Base_Mensuelle!$FZ$68:$FZ$679)-A27,1)</f>
        <v>42767</v>
      </c>
      <c r="AC27" s="179">
        <f>VLOOKUP($AB27,Base_Mensuelle!$FL$67:$FY$679,2,0)</f>
        <v>101.19</v>
      </c>
      <c r="AD27" s="93"/>
      <c r="AE27" s="20">
        <f t="shared" si="1"/>
        <v>0.03</v>
      </c>
      <c r="AF27" s="219">
        <f>VLOOKUP($AB27,Base_Mensuelle!$GP$67:$HR$679,2,0)</f>
        <v>260.65687649173901</v>
      </c>
      <c r="AG27" s="93">
        <f>VLOOKUP($AB27,Base_Mensuelle!$GP$67:$HR$679,3,0)</f>
        <v>216.399688948164</v>
      </c>
      <c r="AH27" s="93">
        <f>VLOOKUP($AB27,Base_Mensuelle!$GP$67:$HR$679,14,0)</f>
        <v>1932.92812998979</v>
      </c>
      <c r="AI27" s="99">
        <f>VLOOKUP($AB27,Base_Mensuelle!$GA$67:$GO$679,5,0)</f>
        <v>90.18</v>
      </c>
      <c r="AJ27" s="99">
        <f>VLOOKUP($AB27,Base_Mensuelle!$GA$67:$GO$679,6,0)</f>
        <v>100.26</v>
      </c>
      <c r="AK27" s="99">
        <f>VLOOKUP($AB27,Base_Mensuelle!$GA$67:$GO$679,7,0)</f>
        <v>103.43</v>
      </c>
      <c r="AL27" s="99">
        <f>VLOOKUP($AB27,Base_Mensuelle!$GA$67:$GO$679,3,0)</f>
        <v>103.93</v>
      </c>
      <c r="AM27" s="132">
        <f>VLOOKUP($AB27,Base_Mensuelle!$GA$67:$GO$679,4,0)</f>
        <v>100.43</v>
      </c>
      <c r="AN27" s="179">
        <f>VLOOKUP($AB27,Base_Mensuelle!$HS$67:$JV$679,9,0)</f>
        <v>186.27451171875001</v>
      </c>
      <c r="AO27" s="99">
        <f>VLOOKUP($AB27,Base_Mensuelle!$HS$67:$JV$679,23,0)</f>
        <v>149.76407241821289</v>
      </c>
      <c r="AP27" s="99">
        <f>VLOOKUP($AB27,Base_Mensuelle!$HS$67:$JV$679,39,0)</f>
        <v>400</v>
      </c>
      <c r="AQ27" s="99">
        <f>VLOOKUP($AB27,Base_Mensuelle!$HS$67:$JV$679,10,0)</f>
        <v>185.76902008056641</v>
      </c>
      <c r="AR27" s="132">
        <f>VLOOKUP($AB27,Base_Mensuelle!$HS$67:$JV$679,11,0)</f>
        <v>142.95212650299072</v>
      </c>
      <c r="AS27" s="733">
        <f>VLOOKUP($B27,Base_Mensuelle!$JW$67:$KZ$679,3,0)</f>
        <v>297.6020241089775</v>
      </c>
      <c r="AT27" s="734">
        <f>VLOOKUP($B27,Base_Mensuelle!$JW$67:$KZ$679,8,0)</f>
        <v>295.5128205128205</v>
      </c>
      <c r="AU27" s="733">
        <f>VLOOKUP($B27,Base_Mensuelle!$JW$67:$KZ$679,11,0)</f>
        <v>43.541666666666664</v>
      </c>
      <c r="AV27" s="734">
        <f>VLOOKUP($B27,Base_Mensuelle!$JW$67:$KZ$679,15,0)</f>
        <v>82.49404761904762</v>
      </c>
      <c r="AW27" s="733">
        <f>VLOOKUP($B27,Base_Mensuelle!$JW$67:$KZ$679,25,0)</f>
        <v>23.731481481481481</v>
      </c>
      <c r="AX27" s="734">
        <f>VLOOKUP($B27,Base_Mensuelle!$JW$67:$KZ$679,29,0)</f>
        <v>30.481012658227851</v>
      </c>
    </row>
    <row r="28" spans="1:50">
      <c r="A28" s="175">
        <f t="shared" si="0"/>
        <v>81</v>
      </c>
      <c r="B28" s="14">
        <f>INDEX(Base_Mensuelle!$BX$68:$CD$679,MAX(Base_Mensuelle!$CD$68:$CD$679)-A29,1)</f>
        <v>42826</v>
      </c>
      <c r="C28" s="179">
        <f>VLOOKUP($B28,Base_Mensuelle!$BX$68:$CD$679,C$2,0)</f>
        <v>611.72899375174859</v>
      </c>
      <c r="D28" s="99">
        <f>VLOOKUP($B28,Base_Mensuelle!$BX$68:$CD$679,D$2,0)</f>
        <v>664.95699999999999</v>
      </c>
      <c r="E28" s="99">
        <f>VLOOKUP($B28,Base_Mensuelle!$BX$68:$CD$679,E$2,0)</f>
        <v>611.50088561573591</v>
      </c>
      <c r="F28" s="99">
        <f>VLOOKUP($B28,Base_Mensuelle!$BX$68:$CD$679,F$2,0)</f>
        <v>45.431418993794324</v>
      </c>
      <c r="G28" s="132">
        <f>VLOOKUP($B28,Base_Mensuelle!$BX$68:$CD$679,G$2,0)</f>
        <v>146.19839999999996</v>
      </c>
      <c r="H28" s="99">
        <f>VLOOKUP($B28,Base_Mensuelle!$CF$68:$CJ$679,H$2,0)</f>
        <v>1.9189012480000001</v>
      </c>
      <c r="I28" s="132">
        <f>VLOOKUP($B28,Base_Mensuelle!$CF$68:$CJ$679,I$2,0)</f>
        <v>1266.8800000000001</v>
      </c>
      <c r="J28" s="19">
        <f>VLOOKUP($B28,Base_Mensuelle!$CY$67:$DE$679,5,0)</f>
        <v>628111</v>
      </c>
      <c r="K28" s="99">
        <f>VLOOKUP($B28,Base_Mensuelle!$CY$67:$DE$679,2,0)</f>
        <v>136.32361890333334</v>
      </c>
      <c r="L28" s="93"/>
      <c r="M28" s="182">
        <f>VLOOKUP($B28,Base_Mensuelle!$DG$67:$DN$679,2,0)</f>
        <v>359919</v>
      </c>
      <c r="N28" s="182">
        <f>VLOOKUP($B28,Base_Mensuelle!$DG$68:$DO$679,9,0)</f>
        <v>0</v>
      </c>
      <c r="O28" s="93"/>
      <c r="P28" s="20"/>
      <c r="Q28" s="14">
        <f>INDEX(Base_Mensuelle!$BX$68:$CD$679,MAX(Base_Mensuelle!$PD$68:$PD$679)-A29,1)</f>
        <v>42826</v>
      </c>
      <c r="R28" s="733">
        <f>VLOOKUP($Q28,Base_Mensuelle!$OF$67:$RN$679,12,0)</f>
        <v>1128.1835295197081</v>
      </c>
      <c r="S28" s="570">
        <f>VLOOKUP($Q28,Base_Mensuelle!$OF$67:$RN$679,15,0)</f>
        <v>2153.377802903186</v>
      </c>
      <c r="T28" s="570">
        <f>VLOOKUP($Q28,Base_Mensuelle!$OF$67:$RN$679,22,0)</f>
        <v>464.76048516800006</v>
      </c>
      <c r="U28" s="734">
        <f>VLOOKUP($Q28,Base_Mensuelle!$OF$67:$RN$679,16,0)</f>
        <v>-41.066484185000064</v>
      </c>
      <c r="V28" s="733">
        <f>VLOOKUP($Q28,Base_Mensuelle!$OF$67:$RN$679,27,0)</f>
        <v>-229.32665080200013</v>
      </c>
      <c r="W28" s="570">
        <f>VLOOKUP($Q28,Base_Mensuelle!$OF$67:$RN$679,31,0)</f>
        <v>-112.33664147900001</v>
      </c>
      <c r="X28" s="570">
        <f>VLOOKUP($Q28,Base_Mensuelle!$OF$67:$RN$679,33,0)</f>
        <v>245.70616487300001</v>
      </c>
      <c r="Y28" s="570">
        <f>VLOOKUP($Q28,Base_Mensuelle!$OF$67:$RN$679,65,0)</f>
        <v>2190.0567558771859</v>
      </c>
      <c r="Z28" s="570">
        <f>VLOOKUP($Q28,Base_Mensuelle!$OF$67:$RN$679,39,0)</f>
        <v>488.67181311399997</v>
      </c>
      <c r="AA28" s="734">
        <f>VLOOKUP($Q28,Base_Mensuelle!$OF$67:$RN$679,51,0)</f>
        <v>7.2601016120000006</v>
      </c>
      <c r="AB28" s="14">
        <f>INDEX(Base_Mensuelle!$BX$68:$CD$679,MAX(Base_Mensuelle!$FZ$68:$FZ$679)-A28,1)</f>
        <v>42795</v>
      </c>
      <c r="AC28" s="179">
        <f>VLOOKUP($AB28,Base_Mensuelle!$FL$67:$FY$679,2,0)</f>
        <v>102.76</v>
      </c>
      <c r="AD28" s="93"/>
      <c r="AE28" s="20">
        <f t="shared" si="1"/>
        <v>0.03</v>
      </c>
      <c r="AF28" s="219">
        <f>VLOOKUP($AB28,Base_Mensuelle!$GP$67:$HR$679,2,0)</f>
        <v>263.97015124768598</v>
      </c>
      <c r="AG28" s="93">
        <f>VLOOKUP($AB28,Base_Mensuelle!$GP$67:$HR$679,3,0)</f>
        <v>227.03352550726001</v>
      </c>
      <c r="AH28" s="93">
        <f>VLOOKUP($AB28,Base_Mensuelle!$GP$67:$HR$679,14,0)</f>
        <v>1901.4388816283399</v>
      </c>
      <c r="AI28" s="99">
        <f>VLOOKUP($AB28,Base_Mensuelle!$GA$67:$GO$679,5,0)</f>
        <v>89.91</v>
      </c>
      <c r="AJ28" s="99">
        <f>VLOOKUP($AB28,Base_Mensuelle!$GA$67:$GO$679,6,0)</f>
        <v>104.25</v>
      </c>
      <c r="AK28" s="99">
        <f>VLOOKUP($AB28,Base_Mensuelle!$GA$67:$GO$679,7,0)</f>
        <v>104</v>
      </c>
      <c r="AL28" s="99">
        <f>VLOOKUP($AB28,Base_Mensuelle!$GA$67:$GO$679,3,0)</f>
        <v>105.47</v>
      </c>
      <c r="AM28" s="132">
        <f>VLOOKUP($AB28,Base_Mensuelle!$GA$67:$GO$679,4,0)</f>
        <v>102.06</v>
      </c>
      <c r="AN28" s="179">
        <f>VLOOKUP($AB28,Base_Mensuelle!$HS$67:$JV$679,9,0)</f>
        <v>185.45752334594727</v>
      </c>
      <c r="AO28" s="99">
        <f>VLOOKUP($AB28,Base_Mensuelle!$HS$67:$JV$679,23,0)</f>
        <v>149.84226226806641</v>
      </c>
      <c r="AP28" s="99">
        <f>VLOOKUP($AB28,Base_Mensuelle!$HS$67:$JV$679,39,0)</f>
        <v>400</v>
      </c>
      <c r="AQ28" s="99">
        <f>VLOOKUP($AB28,Base_Mensuelle!$HS$67:$JV$679,10,0)</f>
        <v>182.71604919433594</v>
      </c>
      <c r="AR28" s="132">
        <f>VLOOKUP($AB28,Base_Mensuelle!$HS$67:$JV$679,11,0)</f>
        <v>159.574462890625</v>
      </c>
      <c r="AS28" s="733">
        <f>VLOOKUP($B28,Base_Mensuelle!$JW$67:$KZ$679,3,0)</f>
        <v>301.33589637780506</v>
      </c>
      <c r="AT28" s="734">
        <f>VLOOKUP($B28,Base_Mensuelle!$JW$67:$KZ$679,8,0)</f>
        <v>310.444444444444</v>
      </c>
      <c r="AU28" s="733">
        <f>VLOOKUP($B28,Base_Mensuelle!$JW$67:$KZ$679,11,0)</f>
        <v>40.653846153846153</v>
      </c>
      <c r="AV28" s="734">
        <f>VLOOKUP($B28,Base_Mensuelle!$JW$67:$KZ$679,15,0)</f>
        <v>83.1</v>
      </c>
      <c r="AW28" s="733">
        <f>VLOOKUP($B28,Base_Mensuelle!$JW$67:$KZ$679,25,0)</f>
        <v>23.326923076923077</v>
      </c>
      <c r="AX28" s="734">
        <f>VLOOKUP($B28,Base_Mensuelle!$JW$67:$KZ$679,29,0)</f>
        <v>29.896666666666668</v>
      </c>
    </row>
    <row r="29" spans="1:50">
      <c r="A29" s="175">
        <f t="shared" si="0"/>
        <v>80</v>
      </c>
      <c r="B29" s="14">
        <f>INDEX(Base_Mensuelle!$BX$68:$CD$679,MAX(Base_Mensuelle!$CD$68:$CD$679)-A30,1)</f>
        <v>42856</v>
      </c>
      <c r="C29" s="179">
        <f>VLOOKUP($B29,Base_Mensuelle!$BX$68:$CD$679,C$2,0)</f>
        <v>593.1967806113222</v>
      </c>
      <c r="D29" s="99">
        <f>VLOOKUP($B29,Base_Mensuelle!$BX$68:$CD$679,D$2,0)</f>
        <v>664.95699999999999</v>
      </c>
      <c r="E29" s="99">
        <f>VLOOKUP($B29,Base_Mensuelle!$BX$68:$CD$679,E$2,0)</f>
        <v>601.57465150403516</v>
      </c>
      <c r="F29" s="99">
        <f>VLOOKUP($B29,Base_Mensuelle!$BX$68:$CD$679,F$2,0)</f>
        <v>44.724849146013028</v>
      </c>
      <c r="G29" s="132">
        <f>VLOOKUP($B29,Base_Mensuelle!$BX$68:$CD$679,G$2,0)</f>
        <v>139.53950967741935</v>
      </c>
      <c r="H29" s="99">
        <f>VLOOKUP($B29,Base_Mensuelle!$CF$68:$CJ$679,H$2,0)</f>
        <v>1.9541751679999999</v>
      </c>
      <c r="I29" s="132">
        <f>VLOOKUP($B29,Base_Mensuelle!$CF$68:$CJ$679,I$2,0)</f>
        <v>1246.04</v>
      </c>
      <c r="J29" s="19">
        <f>VLOOKUP($B29,Base_Mensuelle!$CY$67:$DE$679,5,0)</f>
        <v>628111</v>
      </c>
      <c r="K29" s="99">
        <f>VLOOKUP($B29,Base_Mensuelle!$CY$67:$DE$679,2,0)</f>
        <v>131.76225005000001</v>
      </c>
      <c r="L29" s="93"/>
      <c r="M29" s="182">
        <f>VLOOKUP($B29,Base_Mensuelle!$DG$67:$DN$679,2,0)</f>
        <v>363669</v>
      </c>
      <c r="N29" s="182">
        <f>VLOOKUP($B29,Base_Mensuelle!$DG$68:$DO$679,9,0)</f>
        <v>0</v>
      </c>
      <c r="O29" s="93"/>
      <c r="P29" s="20"/>
      <c r="Q29" s="14">
        <f>INDEX(Base_Mensuelle!$BX$68:$CD$679,MAX(Base_Mensuelle!$PD$68:$PD$679)-A30,1)</f>
        <v>42856</v>
      </c>
      <c r="R29" s="733">
        <f>VLOOKUP($Q29,Base_Mensuelle!$OF$67:$RN$679,12,0)</f>
        <v>1289.9405932929981</v>
      </c>
      <c r="S29" s="570">
        <f>VLOOKUP($Q29,Base_Mensuelle!$OF$67:$RN$679,15,0)</f>
        <v>2187.8946204696394</v>
      </c>
      <c r="T29" s="570">
        <f>VLOOKUP($Q29,Base_Mensuelle!$OF$67:$RN$679,22,0)</f>
        <v>476.21448313499997</v>
      </c>
      <c r="U29" s="734">
        <f>VLOOKUP($Q29,Base_Mensuelle!$OF$67:$RN$679,16,0)</f>
        <v>-70.50423609799995</v>
      </c>
      <c r="V29" s="733">
        <f>VLOOKUP($Q29,Base_Mensuelle!$OF$67:$RN$679,27,0)</f>
        <v>-29.012201569829926</v>
      </c>
      <c r="W29" s="570">
        <f>VLOOKUP($Q29,Base_Mensuelle!$OF$67:$RN$679,31,0)</f>
        <v>-142.34405230799999</v>
      </c>
      <c r="X29" s="570">
        <f>VLOOKUP($Q29,Base_Mensuelle!$OF$67:$RN$679,33,0)</f>
        <v>275.73410245899998</v>
      </c>
      <c r="Y29" s="570">
        <f>VLOOKUP($Q29,Base_Mensuelle!$OF$67:$RN$679,65,0)</f>
        <v>2253.8783108456396</v>
      </c>
      <c r="Z29" s="570">
        <f>VLOOKUP($Q29,Base_Mensuelle!$OF$67:$RN$679,39,0)</f>
        <v>690.48981676417009</v>
      </c>
      <c r="AA29" s="734">
        <f>VLOOKUP($Q29,Base_Mensuelle!$OF$67:$RN$679,51,0)</f>
        <v>8.7346684430000003</v>
      </c>
      <c r="AB29" s="14">
        <f>INDEX(Base_Mensuelle!$BX$68:$CD$679,MAX(Base_Mensuelle!$FZ$68:$FZ$679)-A29,1)</f>
        <v>42826</v>
      </c>
      <c r="AC29" s="179">
        <f>VLOOKUP($AB29,Base_Mensuelle!$FL$67:$FY$679,2,0)</f>
        <v>102.96</v>
      </c>
      <c r="AD29" s="93"/>
      <c r="AE29" s="20">
        <f t="shared" si="1"/>
        <v>0.03</v>
      </c>
      <c r="AF29" s="219">
        <f>VLOOKUP($AB29,Base_Mensuelle!$GP$67:$HR$679,2,0)</f>
        <v>266.05393450987401</v>
      </c>
      <c r="AG29" s="93">
        <f>VLOOKUP($AB29,Base_Mensuelle!$GP$67:$HR$679,3,0)</f>
        <v>216.286543816868</v>
      </c>
      <c r="AH29" s="93">
        <f>VLOOKUP($AB29,Base_Mensuelle!$GP$67:$HR$679,14,0)</f>
        <v>2417.6302325198899</v>
      </c>
      <c r="AI29" s="99">
        <f>VLOOKUP($AB29,Base_Mensuelle!$GA$67:$GO$679,5,0)</f>
        <v>88.79</v>
      </c>
      <c r="AJ29" s="99">
        <f>VLOOKUP($AB29,Base_Mensuelle!$GA$67:$GO$679,6,0)</f>
        <v>106.08</v>
      </c>
      <c r="AK29" s="99">
        <f>VLOOKUP($AB29,Base_Mensuelle!$GA$67:$GO$679,7,0)</f>
        <v>103.69</v>
      </c>
      <c r="AL29" s="99">
        <f>VLOOKUP($AB29,Base_Mensuelle!$GA$67:$GO$679,3,0)</f>
        <v>105.62</v>
      </c>
      <c r="AM29" s="132">
        <f>VLOOKUP($AB29,Base_Mensuelle!$GA$67:$GO$679,4,0)</f>
        <v>102.27</v>
      </c>
      <c r="AN29" s="179">
        <f>VLOOKUP($AB29,Base_Mensuelle!$HS$67:$JV$679,9,0)</f>
        <v>197.16775512695313</v>
      </c>
      <c r="AO29" s="99">
        <f>VLOOKUP($AB29,Base_Mensuelle!$HS$67:$JV$679,23,0)</f>
        <v>158.6466064453125</v>
      </c>
      <c r="AP29" s="99">
        <f>VLOOKUP($AB29,Base_Mensuelle!$HS$67:$JV$679,39,0)</f>
        <v>400</v>
      </c>
      <c r="AQ29" s="99">
        <f>VLOOKUP($AB29,Base_Mensuelle!$HS$67:$JV$679,10,0)</f>
        <v>203.63831329345703</v>
      </c>
      <c r="AR29" s="132">
        <f>VLOOKUP($AB29,Base_Mensuelle!$HS$67:$JV$679,11,0)</f>
        <v>170.2127685546875</v>
      </c>
      <c r="AS29" s="733">
        <f>VLOOKUP($B29,Base_Mensuelle!$JW$67:$KZ$679,3,0)</f>
        <v>304.39078394291067</v>
      </c>
      <c r="AT29" s="734">
        <f>VLOOKUP($B29,Base_Mensuelle!$JW$67:$KZ$679,8,0)</f>
        <v>314</v>
      </c>
      <c r="AU29" s="733">
        <f>VLOOKUP($B29,Base_Mensuelle!$JW$67:$KZ$679,11,0)</f>
        <v>43.858974358974358</v>
      </c>
      <c r="AV29" s="734">
        <f>VLOOKUP($B29,Base_Mensuelle!$JW$67:$KZ$679,15,0)</f>
        <v>82.935897435897431</v>
      </c>
      <c r="AW29" s="733">
        <f>VLOOKUP($B29,Base_Mensuelle!$JW$67:$KZ$679,25,0)</f>
        <v>24.076923076923077</v>
      </c>
      <c r="AX29" s="734">
        <f>VLOOKUP($B29,Base_Mensuelle!$JW$67:$KZ$679,29,0)</f>
        <v>30.032051282051281</v>
      </c>
    </row>
    <row r="30" spans="1:50">
      <c r="A30" s="175">
        <f t="shared" si="0"/>
        <v>79</v>
      </c>
      <c r="B30" s="14">
        <f>INDEX(Base_Mensuelle!$BX$68:$CD$679,MAX(Base_Mensuelle!$CD$68:$CD$679)-A31,1)</f>
        <v>42887</v>
      </c>
      <c r="C30" s="179">
        <f>VLOOKUP($B30,Base_Mensuelle!$BX$68:$CD$679,C$2,0)</f>
        <v>584.1633270994746</v>
      </c>
      <c r="D30" s="99">
        <f>VLOOKUP($B30,Base_Mensuelle!$BX$68:$CD$679,D$2,0)</f>
        <v>664.95699999999999</v>
      </c>
      <c r="E30" s="99">
        <f>VLOOKUP($B30,Base_Mensuelle!$BX$68:$CD$679,E$2,0)</f>
        <v>603.23432039727788</v>
      </c>
      <c r="F30" s="99">
        <f>VLOOKUP($B30,Base_Mensuelle!$BX$68:$CD$679,F$2,0)</f>
        <v>45.230615411136014</v>
      </c>
      <c r="G30" s="132">
        <f>VLOOKUP($B30,Base_Mensuelle!$BX$68:$CD$679,G$2,0)</f>
        <v>133.71889333333334</v>
      </c>
      <c r="H30" s="99">
        <f>VLOOKUP($B30,Base_Mensuelle!$CF$68:$CJ$679,H$2,0)</f>
        <v>1.868635912</v>
      </c>
      <c r="I30" s="132">
        <f>VLOOKUP($B30,Base_Mensuelle!$CF$68:$CJ$679,I$2,0)</f>
        <v>1260.26</v>
      </c>
      <c r="J30" s="19">
        <f>VLOOKUP($B30,Base_Mensuelle!$CY$67:$DE$679,5,0)</f>
        <v>628111</v>
      </c>
      <c r="K30" s="99">
        <f>VLOOKUP($B30,Base_Mensuelle!$CY$67:$DE$679,2,0)</f>
        <v>132.45224764</v>
      </c>
      <c r="L30" s="93"/>
      <c r="M30" s="182">
        <f>VLOOKUP($B30,Base_Mensuelle!$DG$67:$DN$679,2,0)</f>
        <v>369973</v>
      </c>
      <c r="N30" s="182">
        <f>VLOOKUP($B30,Base_Mensuelle!$DG$68:$DO$679,9,0)</f>
        <v>0</v>
      </c>
      <c r="O30" s="93"/>
      <c r="P30" s="20"/>
      <c r="Q30" s="14">
        <f>INDEX(Base_Mensuelle!$BX$68:$CD$679,MAX(Base_Mensuelle!$PD$68:$PD$679)-A31,1)</f>
        <v>42887</v>
      </c>
      <c r="R30" s="733">
        <f>VLOOKUP($Q30,Base_Mensuelle!$OF$67:$RN$679,12,0)</f>
        <v>1182.612644385099</v>
      </c>
      <c r="S30" s="570">
        <f>VLOOKUP($Q30,Base_Mensuelle!$OF$67:$RN$679,15,0)</f>
        <v>2269.3503666219904</v>
      </c>
      <c r="T30" s="570">
        <f>VLOOKUP($Q30,Base_Mensuelle!$OF$67:$RN$679,22,0)</f>
        <v>503.6404388200001</v>
      </c>
      <c r="U30" s="734">
        <f>VLOOKUP($Q30,Base_Mensuelle!$OF$67:$RN$679,16,0)</f>
        <v>-19.947977449000007</v>
      </c>
      <c r="V30" s="733">
        <f>VLOOKUP($Q30,Base_Mensuelle!$OF$67:$RN$679,27,0)</f>
        <v>-146.20323957999994</v>
      </c>
      <c r="W30" s="570">
        <f>VLOOKUP($Q30,Base_Mensuelle!$OF$67:$RN$679,31,0)</f>
        <v>-103.880594214</v>
      </c>
      <c r="X30" s="570">
        <f>VLOOKUP($Q30,Base_Mensuelle!$OF$67:$RN$679,33,0)</f>
        <v>231.64687465</v>
      </c>
      <c r="Y30" s="570">
        <f>VLOOKUP($Q30,Base_Mensuelle!$OF$67:$RN$679,65,0)</f>
        <v>2284.7951203849907</v>
      </c>
      <c r="Z30" s="570">
        <f>VLOOKUP($Q30,Base_Mensuelle!$OF$67:$RN$679,39,0)</f>
        <v>596.18975868300004</v>
      </c>
      <c r="AA30" s="734">
        <f>VLOOKUP($Q30,Base_Mensuelle!$OF$67:$RN$679,51,0)</f>
        <v>11.823383059999999</v>
      </c>
      <c r="AB30" s="14">
        <f>INDEX(Base_Mensuelle!$BX$68:$CD$679,MAX(Base_Mensuelle!$FZ$68:$FZ$679)-A30,1)</f>
        <v>42856</v>
      </c>
      <c r="AC30" s="179">
        <f>VLOOKUP($AB30,Base_Mensuelle!$FL$67:$FY$679,2,0)</f>
        <v>104.12</v>
      </c>
      <c r="AD30" s="93"/>
      <c r="AE30" s="20">
        <f t="shared" si="1"/>
        <v>0.03</v>
      </c>
      <c r="AF30" s="219">
        <f>VLOOKUP($AB30,Base_Mensuelle!$GP$67:$HR$679,2,0)</f>
        <v>271.33461810580599</v>
      </c>
      <c r="AG30" s="93">
        <f>VLOOKUP($AB30,Base_Mensuelle!$GP$67:$HR$679,3,0)</f>
        <v>222.124100016368</v>
      </c>
      <c r="AH30" s="93">
        <f>VLOOKUP($AB30,Base_Mensuelle!$GP$67:$HR$679,14,0)</f>
        <v>1968.1955133650199</v>
      </c>
      <c r="AI30" s="99">
        <f>VLOOKUP($AB30,Base_Mensuelle!$GA$67:$GO$679,5,0)</f>
        <v>91.44</v>
      </c>
      <c r="AJ30" s="99">
        <f>VLOOKUP($AB30,Base_Mensuelle!$GA$67:$GO$679,6,0)</f>
        <v>108.86</v>
      </c>
      <c r="AK30" s="99">
        <f>VLOOKUP($AB30,Base_Mensuelle!$GA$67:$GO$679,7,0)</f>
        <v>103.86</v>
      </c>
      <c r="AL30" s="99">
        <f>VLOOKUP($AB30,Base_Mensuelle!$GA$67:$GO$679,3,0)</f>
        <v>105.68</v>
      </c>
      <c r="AM30" s="132">
        <f>VLOOKUP($AB30,Base_Mensuelle!$GA$67:$GO$679,4,0)</f>
        <v>103.78</v>
      </c>
      <c r="AN30" s="179">
        <f>VLOOKUP($AB30,Base_Mensuelle!$HS$67:$JV$679,9,0)</f>
        <v>207.51634216308594</v>
      </c>
      <c r="AO30" s="99">
        <f>VLOOKUP($AB30,Base_Mensuelle!$HS$67:$JV$679,23,0)</f>
        <v>158.73014831542969</v>
      </c>
      <c r="AP30" s="99">
        <f>VLOOKUP($AB30,Base_Mensuelle!$HS$67:$JV$679,39,0)</f>
        <v>400</v>
      </c>
      <c r="AQ30" s="99">
        <f>VLOOKUP($AB30,Base_Mensuelle!$HS$67:$JV$679,10,0)</f>
        <v>196.9477653503418</v>
      </c>
      <c r="AR30" s="132">
        <f>VLOOKUP($AB30,Base_Mensuelle!$HS$67:$JV$679,11,0)</f>
        <v>182.84574508666992</v>
      </c>
      <c r="AS30" s="733">
        <f>VLOOKUP($B30,Base_Mensuelle!$JW$67:$KZ$679,3,0)</f>
        <v>307.84323648661444</v>
      </c>
      <c r="AT30" s="734">
        <f>VLOOKUP($B30,Base_Mensuelle!$JW$67:$KZ$679,8,0)</f>
        <v>303.33333333333331</v>
      </c>
      <c r="AU30" s="733">
        <f>VLOOKUP($B30,Base_Mensuelle!$JW$67:$KZ$679,11,0)</f>
        <v>43.3</v>
      </c>
      <c r="AV30" s="734">
        <f>VLOOKUP($B30,Base_Mensuelle!$JW$67:$KZ$679,15,0)</f>
        <v>81.371212121212125</v>
      </c>
      <c r="AW30" s="733">
        <f>VLOOKUP($B30,Base_Mensuelle!$JW$67:$KZ$679,25,0)</f>
        <v>24.233333333333331</v>
      </c>
      <c r="AX30" s="734">
        <f>VLOOKUP($B30,Base_Mensuelle!$JW$67:$KZ$679,29,0)</f>
        <v>30.457070707070706</v>
      </c>
    </row>
    <row r="31" spans="1:50">
      <c r="A31" s="175">
        <f t="shared" si="0"/>
        <v>78</v>
      </c>
      <c r="B31" s="14">
        <f>INDEX(Base_Mensuelle!$BX$68:$CD$679,MAX(Base_Mensuelle!$CD$68:$CD$679)-A32,1)</f>
        <v>42917</v>
      </c>
      <c r="C31" s="179">
        <f>VLOOKUP($B31,Base_Mensuelle!$BX$68:$CD$679,C$2,0)</f>
        <v>569.85231517678744</v>
      </c>
      <c r="D31" s="99">
        <f>VLOOKUP($B31,Base_Mensuelle!$BX$68:$CD$679,D$2,0)</f>
        <v>664.95699999999999</v>
      </c>
      <c r="E31" s="99">
        <f>VLOOKUP($B31,Base_Mensuelle!$BX$68:$CD$679,E$2,0)</f>
        <v>593.14314133285097</v>
      </c>
      <c r="F31" s="99">
        <f>VLOOKUP($B31,Base_Mensuelle!$BX$68:$CD$679,F$2,0)</f>
        <v>43.340116682413722</v>
      </c>
      <c r="G31" s="132">
        <f>VLOOKUP($B31,Base_Mensuelle!$BX$68:$CD$679,G$2,0)</f>
        <v>129.87125483870963</v>
      </c>
      <c r="H31" s="99">
        <f>VLOOKUP($B31,Base_Mensuelle!$CF$68:$CJ$679,H$2,0)</f>
        <v>1.853864958</v>
      </c>
      <c r="I31" s="132">
        <f>VLOOKUP($B31,Base_Mensuelle!$CF$68:$CJ$679,I$2,0)</f>
        <v>1236.8399999999999</v>
      </c>
      <c r="J31" s="19">
        <f>VLOOKUP($B31,Base_Mensuelle!$CY$67:$DE$679,5,0)</f>
        <v>628111</v>
      </c>
      <c r="K31" s="99">
        <f>VLOOKUP($B31,Base_Mensuelle!$CY$67:$DE$679,2,0)</f>
        <v>120.45729212000001</v>
      </c>
      <c r="L31" s="93"/>
      <c r="M31" s="182">
        <f>VLOOKUP($B31,Base_Mensuelle!$DG$67:$DN$679,2,0)</f>
        <v>375107.01453624055</v>
      </c>
      <c r="N31" s="182">
        <f>VLOOKUP($B31,Base_Mensuelle!$DG$68:$DO$679,9,0)</f>
        <v>0</v>
      </c>
      <c r="O31" s="93"/>
      <c r="P31" s="20"/>
      <c r="Q31" s="14">
        <f>INDEX(Base_Mensuelle!$BX$68:$CD$679,MAX(Base_Mensuelle!$PD$68:$PD$679)-A32,1)</f>
        <v>42917</v>
      </c>
      <c r="R31" s="733">
        <f>VLOOKUP($Q31,Base_Mensuelle!$OF$67:$RN$679,12,0)</f>
        <v>1272.1959856919721</v>
      </c>
      <c r="S31" s="570">
        <f>VLOOKUP($Q31,Base_Mensuelle!$OF$67:$RN$679,15,0)</f>
        <v>2262.7193068913061</v>
      </c>
      <c r="T31" s="570">
        <f>VLOOKUP($Q31,Base_Mensuelle!$OF$67:$RN$679,22,0)</f>
        <v>504.67827017999997</v>
      </c>
      <c r="U31" s="734">
        <f>VLOOKUP($Q31,Base_Mensuelle!$OF$67:$RN$679,16,0)</f>
        <v>5.6714347589999932</v>
      </c>
      <c r="V31" s="733">
        <f>VLOOKUP($Q31,Base_Mensuelle!$OF$67:$RN$679,27,0)</f>
        <v>37.980832432999932</v>
      </c>
      <c r="W31" s="570">
        <f>VLOOKUP($Q31,Base_Mensuelle!$OF$67:$RN$679,31,0)</f>
        <v>-92.758903314999998</v>
      </c>
      <c r="X31" s="570">
        <f>VLOOKUP($Q31,Base_Mensuelle!$OF$67:$RN$679,33,0)</f>
        <v>223.09026533700001</v>
      </c>
      <c r="Y31" s="570">
        <f>VLOOKUP($Q31,Base_Mensuelle!$OF$67:$RN$679,65,0)</f>
        <v>2252.4939589413057</v>
      </c>
      <c r="Z31" s="570">
        <f>VLOOKUP($Q31,Base_Mensuelle!$OF$67:$RN$679,39,0)</f>
        <v>663.03019515999995</v>
      </c>
      <c r="AA31" s="734">
        <f>VLOOKUP($Q31,Base_Mensuelle!$OF$67:$RN$679,51,0)</f>
        <v>13.048615732</v>
      </c>
      <c r="AB31" s="14">
        <f>INDEX(Base_Mensuelle!$BX$68:$CD$679,MAX(Base_Mensuelle!$FZ$68:$FZ$679)-A31,1)</f>
        <v>42887</v>
      </c>
      <c r="AC31" s="179">
        <f>VLOOKUP($AB31,Base_Mensuelle!$FL$67:$FY$679,2,0)</f>
        <v>103.44</v>
      </c>
      <c r="AD31" s="93"/>
      <c r="AE31" s="20">
        <f t="shared" si="1"/>
        <v>0.03</v>
      </c>
      <c r="AF31" s="219">
        <f>VLOOKUP($AB31,Base_Mensuelle!$GP$67:$HR$679,2,0)</f>
        <v>310.93798630740298</v>
      </c>
      <c r="AG31" s="93">
        <f>VLOOKUP($AB31,Base_Mensuelle!$GP$67:$HR$679,3,0)</f>
        <v>214.33501413393699</v>
      </c>
      <c r="AH31" s="93">
        <f>VLOOKUP($AB31,Base_Mensuelle!$GP$67:$HR$679,14,0)</f>
        <v>2066.4214774503898</v>
      </c>
      <c r="AI31" s="99">
        <f>VLOOKUP($AB31,Base_Mensuelle!$GA$67:$GO$679,5,0)</f>
        <v>91.84</v>
      </c>
      <c r="AJ31" s="99">
        <f>VLOOKUP($AB31,Base_Mensuelle!$GA$67:$GO$679,6,0)</f>
        <v>111.66</v>
      </c>
      <c r="AK31" s="99">
        <f>VLOOKUP($AB31,Base_Mensuelle!$GA$67:$GO$679,7,0)</f>
        <v>102</v>
      </c>
      <c r="AL31" s="99">
        <f>VLOOKUP($AB31,Base_Mensuelle!$GA$67:$GO$679,3,0)</f>
        <v>100.72</v>
      </c>
      <c r="AM31" s="132">
        <f>VLOOKUP($AB31,Base_Mensuelle!$GA$67:$GO$679,4,0)</f>
        <v>105.23</v>
      </c>
      <c r="AN31" s="179">
        <f>VLOOKUP($AB31,Base_Mensuelle!$HS$67:$JV$679,9,0)</f>
        <v>216.09477615356445</v>
      </c>
      <c r="AO31" s="99">
        <f>VLOOKUP($AB31,Base_Mensuelle!$HS$67:$JV$679,23,0)</f>
        <v>158.6257209777832</v>
      </c>
      <c r="AP31" s="99">
        <f>VLOOKUP($AB31,Base_Mensuelle!$HS$67:$JV$679,39,0)</f>
        <v>400</v>
      </c>
      <c r="AQ31" s="99">
        <f>VLOOKUP($AB31,Base_Mensuelle!$HS$67:$JV$679,10,0)</f>
        <v>214.33225097656251</v>
      </c>
      <c r="AR31" s="132">
        <f>VLOOKUP($AB31,Base_Mensuelle!$HS$67:$JV$679,11,0)</f>
        <v>179.52127838134766</v>
      </c>
      <c r="AS31" s="733">
        <f>VLOOKUP($B31,Base_Mensuelle!$JW$67:$KZ$679,3,0)</f>
        <v>311.14947080086085</v>
      </c>
      <c r="AT31" s="734">
        <f>VLOOKUP($B31,Base_Mensuelle!$JW$67:$KZ$679,8,0)</f>
        <v>299.9182304007021</v>
      </c>
      <c r="AU31" s="733">
        <f>VLOOKUP($B31,Base_Mensuelle!$JW$67:$KZ$679,11,0)</f>
        <v>44.730949634821783</v>
      </c>
      <c r="AV31" s="734">
        <f>VLOOKUP($B31,Base_Mensuelle!$JW$67:$KZ$679,15,0)</f>
        <v>80.523284986335966</v>
      </c>
      <c r="AW31" s="733">
        <f>VLOOKUP($B31,Base_Mensuelle!$JW$67:$KZ$679,25,0)</f>
        <v>24.701617814172049</v>
      </c>
      <c r="AX31" s="734">
        <f>VLOOKUP($B31,Base_Mensuelle!$JW$67:$KZ$679,29,0)</f>
        <v>30.741549077998695</v>
      </c>
    </row>
    <row r="32" spans="1:50">
      <c r="A32" s="175">
        <f t="shared" si="0"/>
        <v>77</v>
      </c>
      <c r="B32" s="14">
        <f>INDEX(Base_Mensuelle!$BX$68:$CD$679,MAX(Base_Mensuelle!$CD$68:$CD$679)-A33,1)</f>
        <v>42948</v>
      </c>
      <c r="C32" s="179">
        <f>VLOOKUP($B32,Base_Mensuelle!$BX$68:$CD$679,C$2,0)</f>
        <v>555.56618954857288</v>
      </c>
      <c r="D32" s="99">
        <f>VLOOKUP($B32,Base_Mensuelle!$BX$68:$CD$679,D$2,0)</f>
        <v>664.95699999999999</v>
      </c>
      <c r="E32" s="99">
        <f>VLOOKUP($B32,Base_Mensuelle!$BX$68:$CD$679,E$2,0)</f>
        <v>575.50184242849627</v>
      </c>
      <c r="F32" s="99">
        <f>VLOOKUP($B32,Base_Mensuelle!$BX$68:$CD$679,F$2,0)</f>
        <v>41.96513338877871</v>
      </c>
      <c r="G32" s="132">
        <f>VLOOKUP($B32,Base_Mensuelle!$BX$68:$CD$679,G$2,0)</f>
        <v>125.63139677419355</v>
      </c>
      <c r="H32" s="99">
        <f>VLOOKUP($B32,Base_Mensuelle!$CF$68:$CJ$679,H$2,0)</f>
        <v>1.749145508</v>
      </c>
      <c r="I32" s="132">
        <f>VLOOKUP($B32,Base_Mensuelle!$CF$68:$CJ$679,I$2,0)</f>
        <v>1283.04</v>
      </c>
      <c r="J32" s="19">
        <f>VLOOKUP($B32,Base_Mensuelle!$CY$67:$DE$679,5,0)</f>
        <v>628111</v>
      </c>
      <c r="K32" s="99">
        <f>VLOOKUP($B32,Base_Mensuelle!$CY$67:$DE$679,2,0)</f>
        <v>122.87761419</v>
      </c>
      <c r="L32" s="93"/>
      <c r="M32" s="182">
        <f>VLOOKUP($B32,Base_Mensuelle!$DG$67:$DN$679,2,0)</f>
        <v>380960.77927750023</v>
      </c>
      <c r="N32" s="182">
        <f>VLOOKUP($B32,Base_Mensuelle!$DG$68:$DO$679,9,0)</f>
        <v>0</v>
      </c>
      <c r="O32" s="93"/>
      <c r="P32" s="20"/>
      <c r="Q32" s="14">
        <f>INDEX(Base_Mensuelle!$BX$68:$CD$679,MAX(Base_Mensuelle!$PD$68:$PD$679)-A33,1)</f>
        <v>42948</v>
      </c>
      <c r="R32" s="733">
        <f>VLOOKUP($Q32,Base_Mensuelle!$OF$67:$RN$679,12,0)</f>
        <v>1256.1074337078369</v>
      </c>
      <c r="S32" s="570">
        <f>VLOOKUP($Q32,Base_Mensuelle!$OF$67:$RN$679,15,0)</f>
        <v>2205.7952405882784</v>
      </c>
      <c r="T32" s="570">
        <f>VLOOKUP($Q32,Base_Mensuelle!$OF$67:$RN$679,22,0)</f>
        <v>526.50471518500001</v>
      </c>
      <c r="U32" s="734">
        <f>VLOOKUP($Q32,Base_Mensuelle!$OF$67:$RN$679,16,0)</f>
        <v>-39.274681554000011</v>
      </c>
      <c r="V32" s="733">
        <f>VLOOKUP($Q32,Base_Mensuelle!$OF$67:$RN$679,27,0)</f>
        <v>24.929191752424799</v>
      </c>
      <c r="W32" s="570">
        <f>VLOOKUP($Q32,Base_Mensuelle!$OF$67:$RN$679,31,0)</f>
        <v>-138.97871606300001</v>
      </c>
      <c r="X32" s="570">
        <f>VLOOKUP($Q32,Base_Mensuelle!$OF$67:$RN$679,33,0)</f>
        <v>269.32929780300003</v>
      </c>
      <c r="Y32" s="570">
        <f>VLOOKUP($Q32,Base_Mensuelle!$OF$67:$RN$679,65,0)</f>
        <v>2240.5169495372784</v>
      </c>
      <c r="Z32" s="570">
        <f>VLOOKUP($Q32,Base_Mensuelle!$OF$67:$RN$679,39,0)</f>
        <v>581.44571165542493</v>
      </c>
      <c r="AA32" s="734">
        <f>VLOOKUP($Q32,Base_Mensuelle!$OF$67:$RN$679,51,0)</f>
        <v>14.669613052000001</v>
      </c>
      <c r="AB32" s="14">
        <f>INDEX(Base_Mensuelle!$BX$68:$CD$679,MAX(Base_Mensuelle!$FZ$68:$FZ$679)-A32,1)</f>
        <v>42917</v>
      </c>
      <c r="AC32" s="179">
        <f>VLOOKUP($AB32,Base_Mensuelle!$FL$67:$FY$679,2,0)</f>
        <v>105.11</v>
      </c>
      <c r="AD32" s="93"/>
      <c r="AE32" s="20">
        <f t="shared" si="1"/>
        <v>0.03</v>
      </c>
      <c r="AF32" s="219">
        <f>VLOOKUP($AB32,Base_Mensuelle!$GP$67:$HR$679,2,0)</f>
        <v>336.71565298154684</v>
      </c>
      <c r="AG32" s="93">
        <f>VLOOKUP($AB32,Base_Mensuelle!$GP$67:$HR$679,3,0)</f>
        <v>213.46948096273468</v>
      </c>
      <c r="AH32" s="93">
        <f>VLOOKUP($AB32,Base_Mensuelle!$GP$67:$HR$679,14,0)</f>
        <v>1925.912816997637</v>
      </c>
      <c r="AI32" s="99">
        <f>VLOOKUP($AB32,Base_Mensuelle!$GA$67:$GO$679,5,0)</f>
        <v>94.44</v>
      </c>
      <c r="AJ32" s="99">
        <f>VLOOKUP($AB32,Base_Mensuelle!$GA$67:$GO$679,6,0)</f>
        <v>114.57</v>
      </c>
      <c r="AK32" s="99">
        <f>VLOOKUP($AB32,Base_Mensuelle!$GA$67:$GO$679,7,0)</f>
        <v>102.81</v>
      </c>
      <c r="AL32" s="99">
        <f>VLOOKUP($AB32,Base_Mensuelle!$GA$67:$GO$679,3,0)</f>
        <v>101.2</v>
      </c>
      <c r="AM32" s="132">
        <f>VLOOKUP($AB32,Base_Mensuelle!$GA$67:$GO$679,4,0)</f>
        <v>107.32</v>
      </c>
      <c r="AN32" s="179">
        <f>VLOOKUP($AB32,Base_Mensuelle!$HS$67:$JV$679,9,0)</f>
        <v>211.11111755371093</v>
      </c>
      <c r="AO32" s="99">
        <f>VLOOKUP($AB32,Base_Mensuelle!$HS$67:$JV$679,23,0)</f>
        <v>157.19110412597655</v>
      </c>
      <c r="AP32" s="99">
        <f>VLOOKUP($AB32,Base_Mensuelle!$HS$67:$JV$679,39,0)</f>
        <v>400</v>
      </c>
      <c r="AQ32" s="99">
        <f>VLOOKUP($AB32,Base_Mensuelle!$HS$67:$JV$679,10,0)</f>
        <v>204.12595621744791</v>
      </c>
      <c r="AR32" s="132">
        <f>VLOOKUP($AB32,Base_Mensuelle!$HS$67:$JV$679,11,0)</f>
        <v>177.65957641601563</v>
      </c>
      <c r="AS32" s="733">
        <f>VLOOKUP($B32,Base_Mensuelle!$JW$67:$KZ$679,3,0)</f>
        <v>314.58489779061563</v>
      </c>
      <c r="AT32" s="734">
        <f>VLOOKUP($B32,Base_Mensuelle!$JW$67:$KZ$679,8,0)</f>
        <v>293.13575100770129</v>
      </c>
      <c r="AU32" s="733">
        <f>VLOOKUP($B32,Base_Mensuelle!$JW$67:$KZ$679,11,0)</f>
        <v>45.185025228961408</v>
      </c>
      <c r="AV32" s="734">
        <f>VLOOKUP($B32,Base_Mensuelle!$JW$67:$KZ$679,15,0)</f>
        <v>79.344155081427985</v>
      </c>
      <c r="AW32" s="733">
        <f>VLOOKUP($B32,Base_Mensuelle!$JW$67:$KZ$679,25,0)</f>
        <v>25.02051883674039</v>
      </c>
      <c r="AX32" s="734">
        <f>VLOOKUP($B32,Base_Mensuelle!$JW$67:$KZ$679,29,0)</f>
        <v>31.102647008872019</v>
      </c>
    </row>
    <row r="33" spans="1:50">
      <c r="A33" s="175">
        <f t="shared" si="0"/>
        <v>76</v>
      </c>
      <c r="B33" s="14">
        <f>INDEX(Base_Mensuelle!$BX$68:$CD$679,MAX(Base_Mensuelle!$CD$68:$CD$679)-A34,1)</f>
        <v>42979</v>
      </c>
      <c r="C33" s="179">
        <f>VLOOKUP($B33,Base_Mensuelle!$BX$68:$CD$679,C$2,0)</f>
        <v>550.53042383550144</v>
      </c>
      <c r="D33" s="99">
        <f>VLOOKUP($B33,Base_Mensuelle!$BX$68:$CD$679,D$2,0)</f>
        <v>664.95699999999999</v>
      </c>
      <c r="E33" s="99">
        <f>VLOOKUP($B33,Base_Mensuelle!$BX$68:$CD$679,E$2,0)</f>
        <v>571.88927637314725</v>
      </c>
      <c r="F33" s="99">
        <f>VLOOKUP($B33,Base_Mensuelle!$BX$68:$CD$679,F$2,0)</f>
        <v>41.843065460622839</v>
      </c>
      <c r="G33" s="132">
        <f>VLOOKUP($B33,Base_Mensuelle!$BX$68:$CD$679,G$2,0)</f>
        <v>124.31055333333335</v>
      </c>
      <c r="H33" s="99">
        <f>VLOOKUP($B33,Base_Mensuelle!$CF$68:$CJ$679,H$2,0)</f>
        <v>1.7769237200000001</v>
      </c>
      <c r="I33" s="132">
        <f>VLOOKUP($B33,Base_Mensuelle!$CF$68:$CJ$679,I$2,0)</f>
        <v>1314.07</v>
      </c>
      <c r="J33" s="19">
        <f>VLOOKUP($B33,Base_Mensuelle!$CY$67:$DE$679,5,0)</f>
        <v>628111</v>
      </c>
      <c r="K33" s="99">
        <f>VLOOKUP($B33,Base_Mensuelle!$CY$67:$DE$679,2,0)</f>
        <v>115.3603475358089</v>
      </c>
      <c r="L33" s="93"/>
      <c r="M33" s="182">
        <f>VLOOKUP($B33,Base_Mensuelle!$DG$67:$DN$679,2,0)</f>
        <v>386576.58184045763</v>
      </c>
      <c r="N33" s="182">
        <f>VLOOKUP($B33,Base_Mensuelle!$DG$68:$DO$679,9,0)</f>
        <v>0</v>
      </c>
      <c r="O33" s="93"/>
      <c r="P33" s="20"/>
      <c r="Q33" s="14">
        <f>INDEX(Base_Mensuelle!$BX$68:$CD$679,MAX(Base_Mensuelle!$PD$68:$PD$679)-A34,1)</f>
        <v>42979</v>
      </c>
      <c r="R33" s="733">
        <f>VLOOKUP($Q33,Base_Mensuelle!$OF$67:$RN$679,12,0)</f>
        <v>1260.3277636730809</v>
      </c>
      <c r="S33" s="570">
        <f>VLOOKUP($Q33,Base_Mensuelle!$OF$67:$RN$679,15,0)</f>
        <v>2268.2651970117604</v>
      </c>
      <c r="T33" s="570">
        <f>VLOOKUP($Q33,Base_Mensuelle!$OF$67:$RN$679,22,0)</f>
        <v>529.239709855</v>
      </c>
      <c r="U33" s="734">
        <f>VLOOKUP($Q33,Base_Mensuelle!$OF$67:$RN$679,16,0)</f>
        <v>-6.9064918540000235</v>
      </c>
      <c r="V33" s="733">
        <f>VLOOKUP($Q33,Base_Mensuelle!$OF$67:$RN$679,27,0)</f>
        <v>36.945802214956075</v>
      </c>
      <c r="W33" s="570">
        <f>VLOOKUP($Q33,Base_Mensuelle!$OF$67:$RN$679,31,0)</f>
        <v>-112.03585705299997</v>
      </c>
      <c r="X33" s="570">
        <f>VLOOKUP($Q33,Base_Mensuelle!$OF$67:$RN$679,33,0)</f>
        <v>241.13597633399999</v>
      </c>
      <c r="Y33" s="570">
        <f>VLOOKUP($Q33,Base_Mensuelle!$OF$67:$RN$679,65,0)</f>
        <v>2270.0090593227601</v>
      </c>
      <c r="Z33" s="570">
        <f>VLOOKUP($Q33,Base_Mensuelle!$OF$67:$RN$679,39,0)</f>
        <v>566.44677755395605</v>
      </c>
      <c r="AA33" s="734">
        <f>VLOOKUP($Q33,Base_Mensuelle!$OF$67:$RN$679,51,0)</f>
        <v>15.974240444000001</v>
      </c>
      <c r="AB33" s="14">
        <f>INDEX(Base_Mensuelle!$BX$68:$CD$679,MAX(Base_Mensuelle!$FZ$68:$FZ$679)-A33,1)</f>
        <v>42948</v>
      </c>
      <c r="AC33" s="179">
        <f>VLOOKUP($AB33,Base_Mensuelle!$FL$67:$FY$679,2,0)</f>
        <v>104.7</v>
      </c>
      <c r="AD33" s="93"/>
      <c r="AE33" s="20">
        <f t="shared" si="1"/>
        <v>0.03</v>
      </c>
      <c r="AF33" s="219">
        <f>VLOOKUP($AB33,Base_Mensuelle!$GP$67:$HR$679,2,0)</f>
        <v>375.24612402720396</v>
      </c>
      <c r="AG33" s="93">
        <f>VLOOKUP($AB33,Base_Mensuelle!$GP$67:$HR$679,3,0)</f>
        <v>209.29566208215959</v>
      </c>
      <c r="AH33" s="93">
        <f>VLOOKUP($AB33,Base_Mensuelle!$GP$67:$HR$679,14,0)</f>
        <v>1908.4933982850521</v>
      </c>
      <c r="AI33" s="99">
        <f>VLOOKUP($AB33,Base_Mensuelle!$GA$67:$GO$679,5,0)</f>
        <v>94.97</v>
      </c>
      <c r="AJ33" s="99">
        <f>VLOOKUP($AB33,Base_Mensuelle!$GA$67:$GO$679,6,0)</f>
        <v>113.74</v>
      </c>
      <c r="AK33" s="99">
        <f>VLOOKUP($AB33,Base_Mensuelle!$GA$67:$GO$679,7,0)</f>
        <v>101.82</v>
      </c>
      <c r="AL33" s="99">
        <f>VLOOKUP($AB33,Base_Mensuelle!$GA$67:$GO$679,3,0)</f>
        <v>100.98</v>
      </c>
      <c r="AM33" s="132">
        <f>VLOOKUP($AB33,Base_Mensuelle!$GA$67:$GO$679,4,0)</f>
        <v>106.63</v>
      </c>
      <c r="AN33" s="179">
        <f>VLOOKUP($AB33,Base_Mensuelle!$HS$67:$JV$679,9,0)</f>
        <v>233.66013717651367</v>
      </c>
      <c r="AO33" s="99">
        <f>VLOOKUP($AB33,Base_Mensuelle!$HS$67:$JV$679,23,0)</f>
        <v>171.875</v>
      </c>
      <c r="AP33" s="99">
        <f>VLOOKUP($AB33,Base_Mensuelle!$HS$67:$JV$679,39,0)</f>
        <v>400</v>
      </c>
      <c r="AQ33" s="99">
        <f>VLOOKUP($AB33,Base_Mensuelle!$HS$67:$JV$679,10,0)</f>
        <v>205.21173095703125</v>
      </c>
      <c r="AR33" s="132">
        <f>VLOOKUP($AB33,Base_Mensuelle!$HS$67:$JV$679,11,0)</f>
        <v>189.49468231201172</v>
      </c>
      <c r="AS33" s="733">
        <f>VLOOKUP($B33,Base_Mensuelle!$JW$67:$KZ$679,3,0)</f>
        <v>306.53846153846155</v>
      </c>
      <c r="AT33" s="734">
        <f>VLOOKUP($B33,Base_Mensuelle!$JW$67:$KZ$679,8,0)</f>
        <v>317.91666666666669</v>
      </c>
      <c r="AU33" s="733">
        <f>VLOOKUP($B33,Base_Mensuelle!$JW$67:$KZ$679,11,0)</f>
        <v>44.846153846153847</v>
      </c>
      <c r="AV33" s="734">
        <f>VLOOKUP($B33,Base_Mensuelle!$JW$67:$KZ$679,15,0)</f>
        <v>61.657407407407412</v>
      </c>
      <c r="AW33" s="733">
        <f>VLOOKUP($B33,Base_Mensuelle!$JW$67:$KZ$679,25,0)</f>
        <v>23.576923076923077</v>
      </c>
      <c r="AX33" s="734">
        <f>VLOOKUP($B33,Base_Mensuelle!$JW$67:$KZ$679,29,0)</f>
        <v>24.158385093167702</v>
      </c>
    </row>
    <row r="34" spans="1:50">
      <c r="A34" s="175">
        <f t="shared" si="0"/>
        <v>75</v>
      </c>
      <c r="B34" s="14">
        <f>INDEX(Base_Mensuelle!$BX$68:$CD$679,MAX(Base_Mensuelle!$CD$68:$CD$679)-A35,1)</f>
        <v>43009</v>
      </c>
      <c r="C34" s="179">
        <f>VLOOKUP($B34,Base_Mensuelle!$BX$68:$CD$679,C$2,0)</f>
        <v>557.98299741575693</v>
      </c>
      <c r="D34" s="99">
        <f>VLOOKUP($B34,Base_Mensuelle!$BX$68:$CD$679,D$2,0)</f>
        <v>664.95699999999999</v>
      </c>
      <c r="E34" s="99">
        <f>VLOOKUP($B34,Base_Mensuelle!$BX$68:$CD$679,E$2,0)</f>
        <v>568.1450666444938</v>
      </c>
      <c r="F34" s="99">
        <f>VLOOKUP($B34,Base_Mensuelle!$BX$68:$CD$679,F$2,0)</f>
        <v>40.705906547384757</v>
      </c>
      <c r="G34" s="132">
        <f>VLOOKUP($B34,Base_Mensuelle!$BX$68:$CD$679,G$2,0)</f>
        <v>126.91940967741934</v>
      </c>
      <c r="H34" s="99">
        <f>VLOOKUP($B34,Base_Mensuelle!$CF$68:$CJ$679,H$2,0)</f>
        <v>1.7328313200000001</v>
      </c>
      <c r="I34" s="132">
        <f>VLOOKUP($B34,Base_Mensuelle!$CF$68:$CJ$679,I$2,0)</f>
        <v>1279.51</v>
      </c>
      <c r="J34" s="19">
        <f>VLOOKUP($B34,Base_Mensuelle!$CY$67:$DE$679,5,0)</f>
        <v>628111</v>
      </c>
      <c r="K34" s="99">
        <f>VLOOKUP($B34,Base_Mensuelle!$CY$67:$DE$679,2,0)</f>
        <v>115.99910241000001</v>
      </c>
      <c r="L34" s="93"/>
      <c r="M34" s="182">
        <f>VLOOKUP($B34,Base_Mensuelle!$DG$67:$DN$679,2,0)</f>
        <v>392442.25186446065</v>
      </c>
      <c r="N34" s="182">
        <f>VLOOKUP($B34,Base_Mensuelle!$DG$68:$DO$679,9,0)</f>
        <v>0</v>
      </c>
      <c r="O34" s="93"/>
      <c r="P34" s="20"/>
      <c r="Q34" s="14">
        <f>INDEX(Base_Mensuelle!$BX$68:$CD$679,MAX(Base_Mensuelle!$PD$68:$PD$679)-A35,1)</f>
        <v>43009</v>
      </c>
      <c r="R34" s="733">
        <f>VLOOKUP($Q34,Base_Mensuelle!$OF$67:$RN$679,12,0)</f>
        <v>1327.8259013962997</v>
      </c>
      <c r="S34" s="570">
        <f>VLOOKUP($Q34,Base_Mensuelle!$OF$67:$RN$679,15,0)</f>
        <v>2206.5715252970281</v>
      </c>
      <c r="T34" s="570">
        <f>VLOOKUP($Q34,Base_Mensuelle!$OF$67:$RN$679,22,0)</f>
        <v>545.41319115900001</v>
      </c>
      <c r="U34" s="734">
        <f>VLOOKUP($Q34,Base_Mensuelle!$OF$67:$RN$679,16,0)</f>
        <v>-95.16653980600006</v>
      </c>
      <c r="V34" s="733">
        <f>VLOOKUP($Q34,Base_Mensuelle!$OF$67:$RN$679,27,0)</f>
        <v>36.355622195289129</v>
      </c>
      <c r="W34" s="570">
        <f>VLOOKUP($Q34,Base_Mensuelle!$OF$67:$RN$679,31,0)</f>
        <v>-196.92935972100003</v>
      </c>
      <c r="X34" s="570">
        <f>VLOOKUP($Q34,Base_Mensuelle!$OF$67:$RN$679,33,0)</f>
        <v>326.06332271300005</v>
      </c>
      <c r="Y34" s="570">
        <f>VLOOKUP($Q34,Base_Mensuelle!$OF$67:$RN$679,65,0)</f>
        <v>2296.4373380160278</v>
      </c>
      <c r="Z34" s="570">
        <f>VLOOKUP($Q34,Base_Mensuelle!$OF$67:$RN$679,39,0)</f>
        <v>584.87764848328902</v>
      </c>
      <c r="AA34" s="734">
        <f>VLOOKUP($Q34,Base_Mensuelle!$OF$67:$RN$679,51,0)</f>
        <v>19.047195768000002</v>
      </c>
      <c r="AB34" s="14">
        <f>INDEX(Base_Mensuelle!$BX$68:$CD$679,MAX(Base_Mensuelle!$FZ$68:$FZ$679)-A34,1)</f>
        <v>42979</v>
      </c>
      <c r="AC34" s="179">
        <f>VLOOKUP($AB34,Base_Mensuelle!$FL$67:$FY$679,2,0)</f>
        <v>105.22</v>
      </c>
      <c r="AD34" s="93"/>
      <c r="AE34" s="20">
        <f t="shared" si="1"/>
        <v>0.03</v>
      </c>
      <c r="AF34" s="219">
        <f>VLOOKUP($AB34,Base_Mensuelle!$GP$67:$HR$679,2,0)</f>
        <v>324.49327543852098</v>
      </c>
      <c r="AG34" s="93">
        <f>VLOOKUP($AB34,Base_Mensuelle!$GP$67:$HR$679,3,0)</f>
        <v>257.62385234392099</v>
      </c>
      <c r="AH34" s="93">
        <f>VLOOKUP($AB34,Base_Mensuelle!$GP$67:$HR$679,14,0)</f>
        <v>1942.0179540013801</v>
      </c>
      <c r="AI34" s="99">
        <f>VLOOKUP($AB34,Base_Mensuelle!$GA$67:$GO$679,5,0)</f>
        <v>90.39</v>
      </c>
      <c r="AJ34" s="99">
        <f>VLOOKUP($AB34,Base_Mensuelle!$GA$67:$GO$679,6,0)</f>
        <v>114.7</v>
      </c>
      <c r="AK34" s="99">
        <f>VLOOKUP($AB34,Base_Mensuelle!$GA$67:$GO$679,7,0)</f>
        <v>102.47</v>
      </c>
      <c r="AL34" s="99">
        <f>VLOOKUP($AB34,Base_Mensuelle!$GA$67:$GO$679,3,0)</f>
        <v>100.84</v>
      </c>
      <c r="AM34" s="132">
        <f>VLOOKUP($AB34,Base_Mensuelle!$GA$67:$GO$679,4,0)</f>
        <v>107.49</v>
      </c>
      <c r="AN34" s="179">
        <f>VLOOKUP($AB34,Base_Mensuelle!$HS$67:$JV$679,9,0)</f>
        <v>224.6732063293457</v>
      </c>
      <c r="AO34" s="99">
        <f>VLOOKUP($AB34,Base_Mensuelle!$HS$67:$JV$679,23,0)</f>
        <v>187.5</v>
      </c>
      <c r="AP34" s="99">
        <f>VLOOKUP($AB34,Base_Mensuelle!$HS$67:$JV$679,39,0)</f>
        <v>400</v>
      </c>
      <c r="AQ34" s="99">
        <f>VLOOKUP($AB34,Base_Mensuelle!$HS$67:$JV$679,10,0)</f>
        <v>214.98371887207031</v>
      </c>
      <c r="AR34" s="132">
        <f>VLOOKUP($AB34,Base_Mensuelle!$HS$67:$JV$679,11,0)</f>
        <v>216.09042739868164</v>
      </c>
      <c r="AS34" s="733">
        <f>VLOOKUP($B34,Base_Mensuelle!$JW$67:$KZ$679,3,0)</f>
        <v>290.89743589743586</v>
      </c>
      <c r="AT34" s="734">
        <f>VLOOKUP($B34,Base_Mensuelle!$JW$67:$KZ$679,8,0)</f>
        <v>274.95</v>
      </c>
      <c r="AU34" s="733">
        <f>VLOOKUP($B34,Base_Mensuelle!$JW$67:$KZ$679,11,0)</f>
        <v>43.565789473684212</v>
      </c>
      <c r="AV34" s="734">
        <f>VLOOKUP($B34,Base_Mensuelle!$JW$67:$KZ$679,15,0)</f>
        <v>60.317307692307693</v>
      </c>
      <c r="AW34" s="733">
        <f>VLOOKUP($B34,Base_Mensuelle!$JW$67:$KZ$679,25,0)</f>
        <v>23.493589743589741</v>
      </c>
      <c r="AX34" s="734">
        <f>VLOOKUP($B34,Base_Mensuelle!$JW$67:$KZ$679,29,0)</f>
        <v>23.864779874213838</v>
      </c>
    </row>
    <row r="35" spans="1:50">
      <c r="A35" s="175">
        <f t="shared" si="0"/>
        <v>74</v>
      </c>
      <c r="B35" s="14">
        <f>INDEX(Base_Mensuelle!$BX$68:$CD$679,MAX(Base_Mensuelle!$CD$68:$CD$679)-A36,1)</f>
        <v>43040</v>
      </c>
      <c r="C35" s="179">
        <f>VLOOKUP($B35,Base_Mensuelle!$BX$68:$CD$679,C$2,0)</f>
        <v>558.83199863690572</v>
      </c>
      <c r="D35" s="99">
        <f>VLOOKUP($B35,Base_Mensuelle!$BX$68:$CD$679,D$2,0)</f>
        <v>664.95699999999999</v>
      </c>
      <c r="E35" s="99">
        <f>VLOOKUP($B35,Base_Mensuelle!$BX$68:$CD$679,E$2,0)</f>
        <v>563.55001361715438</v>
      </c>
      <c r="F35" s="99">
        <f>VLOOKUP($B35,Base_Mensuelle!$BX$68:$CD$679,F$2,0)</f>
        <v>39.709965069890487</v>
      </c>
      <c r="G35" s="132">
        <f>VLOOKUP($B35,Base_Mensuelle!$BX$68:$CD$679,G$2,0)</f>
        <v>124.06734666666668</v>
      </c>
      <c r="H35" s="99">
        <f>VLOOKUP($B35,Base_Mensuelle!$CF$68:$CJ$679,H$2,0)</f>
        <v>1.772734942</v>
      </c>
      <c r="I35" s="132">
        <f>VLOOKUP($B35,Base_Mensuelle!$CF$68:$CJ$679,I$2,0)</f>
        <v>1281.9000000000001</v>
      </c>
      <c r="J35" s="19">
        <f>VLOOKUP($B35,Base_Mensuelle!$CY$67:$DE$679,5,0)</f>
        <v>628111</v>
      </c>
      <c r="K35" s="99">
        <f>VLOOKUP($B35,Base_Mensuelle!$CY$67:$DE$679,2,0)</f>
        <v>123.87346552565452</v>
      </c>
      <c r="L35" s="93"/>
      <c r="M35" s="182">
        <f>VLOOKUP($B35,Base_Mensuelle!$DG$67:$DN$679,2,0)</f>
        <v>398312.11424619245</v>
      </c>
      <c r="N35" s="182">
        <f>VLOOKUP($B35,Base_Mensuelle!$DG$68:$DO$679,9,0)</f>
        <v>0</v>
      </c>
      <c r="O35" s="93"/>
      <c r="P35" s="20"/>
      <c r="Q35" s="14">
        <f>INDEX(Base_Mensuelle!$BX$68:$CD$679,MAX(Base_Mensuelle!$PD$68:$PD$679)-A36,1)</f>
        <v>43040</v>
      </c>
      <c r="R35" s="733">
        <f>VLOOKUP($Q35,Base_Mensuelle!$OF$67:$RN$679,12,0)</f>
        <v>1308.7759741335954</v>
      </c>
      <c r="S35" s="570">
        <f>VLOOKUP($Q35,Base_Mensuelle!$OF$67:$RN$679,15,0)</f>
        <v>2341.3833981174266</v>
      </c>
      <c r="T35" s="570">
        <f>VLOOKUP($Q35,Base_Mensuelle!$OF$67:$RN$679,22,0)</f>
        <v>554.03965761500001</v>
      </c>
      <c r="U35" s="734">
        <f>VLOOKUP($Q35,Base_Mensuelle!$OF$67:$RN$679,16,0)</f>
        <v>39.023979132999926</v>
      </c>
      <c r="V35" s="733">
        <f>VLOOKUP($Q35,Base_Mensuelle!$OF$67:$RN$679,27,0)</f>
        <v>48.98806446404194</v>
      </c>
      <c r="W35" s="570">
        <f>VLOOKUP($Q35,Base_Mensuelle!$OF$67:$RN$679,31,0)</f>
        <v>-67.259676529000018</v>
      </c>
      <c r="X35" s="570">
        <f>VLOOKUP($Q35,Base_Mensuelle!$OF$67:$RN$679,33,0)</f>
        <v>196.41233978100001</v>
      </c>
      <c r="Y35" s="570">
        <f>VLOOKUP($Q35,Base_Mensuelle!$OF$67:$RN$679,65,0)</f>
        <v>2297.1461458564268</v>
      </c>
      <c r="Z35" s="570">
        <f>VLOOKUP($Q35,Base_Mensuelle!$OF$67:$RN$679,39,0)</f>
        <v>685.75019201804196</v>
      </c>
      <c r="AA35" s="734">
        <f>VLOOKUP($Q35,Base_Mensuelle!$OF$67:$RN$679,51,0)</f>
        <v>20.627583884</v>
      </c>
      <c r="AB35" s="14">
        <f>INDEX(Base_Mensuelle!$BX$68:$CD$679,MAX(Base_Mensuelle!$FZ$68:$FZ$679)-A35,1)</f>
        <v>43009</v>
      </c>
      <c r="AC35" s="179">
        <f>VLOOKUP($AB35,Base_Mensuelle!$FL$67:$FY$679,2,0)</f>
        <v>103.83</v>
      </c>
      <c r="AD35" s="93"/>
      <c r="AE35" s="20">
        <f t="shared" si="1"/>
        <v>0.03</v>
      </c>
      <c r="AF35" s="219">
        <f>VLOOKUP($AB35,Base_Mensuelle!$GP$67:$HR$679,2,0)</f>
        <v>335.454317819636</v>
      </c>
      <c r="AG35" s="93">
        <f>VLOOKUP($AB35,Base_Mensuelle!$GP$67:$HR$679,3,0)</f>
        <v>252.335868463823</v>
      </c>
      <c r="AH35" s="93">
        <f>VLOOKUP($AB35,Base_Mensuelle!$GP$67:$HR$679,14,0)</f>
        <v>1872.3806744363301</v>
      </c>
      <c r="AI35" s="99">
        <f>VLOOKUP($AB35,Base_Mensuelle!$GA$67:$GO$679,5,0)</f>
        <v>91.26</v>
      </c>
      <c r="AJ35" s="99">
        <f>VLOOKUP($AB35,Base_Mensuelle!$GA$67:$GO$679,6,0)</f>
        <v>112.01</v>
      </c>
      <c r="AK35" s="99">
        <f>VLOOKUP($AB35,Base_Mensuelle!$GA$67:$GO$679,7,0)</f>
        <v>101.86</v>
      </c>
      <c r="AL35" s="99">
        <f>VLOOKUP($AB35,Base_Mensuelle!$GA$67:$GO$679,3,0)</f>
        <v>101.2</v>
      </c>
      <c r="AM35" s="132">
        <f>VLOOKUP($AB35,Base_Mensuelle!$GA$67:$GO$679,4,0)</f>
        <v>105.31</v>
      </c>
      <c r="AN35" s="179">
        <f>VLOOKUP($AB35,Base_Mensuelle!$HS$67:$JV$679,9,0)</f>
        <v>205.88235473632813</v>
      </c>
      <c r="AO35" s="99">
        <f>VLOOKUP($AB35,Base_Mensuelle!$HS$67:$JV$679,23,0)</f>
        <v>165.38825683593751</v>
      </c>
      <c r="AP35" s="99">
        <f>VLOOKUP($AB35,Base_Mensuelle!$HS$67:$JV$679,39,0)</f>
        <v>400</v>
      </c>
      <c r="AQ35" s="99">
        <f>VLOOKUP($AB35,Base_Mensuelle!$HS$67:$JV$679,10,0)</f>
        <v>201.95440292358398</v>
      </c>
      <c r="AR35" s="132">
        <f>VLOOKUP($AB35,Base_Mensuelle!$HS$67:$JV$679,11,0)</f>
        <v>199.46809005737305</v>
      </c>
      <c r="AS35" s="733">
        <f>VLOOKUP($B35,Base_Mensuelle!$JW$67:$KZ$679,3,0)</f>
        <v>281.38888888888886</v>
      </c>
      <c r="AT35" s="734">
        <f>VLOOKUP($B35,Base_Mensuelle!$JW$67:$KZ$679,8,0)</f>
        <v>262.27564102564099</v>
      </c>
      <c r="AU35" s="733">
        <f>VLOOKUP($B35,Base_Mensuelle!$JW$67:$KZ$679,11,0)</f>
        <v>44.722222222222221</v>
      </c>
      <c r="AV35" s="734">
        <f>VLOOKUP($B35,Base_Mensuelle!$JW$67:$KZ$679,15,0)</f>
        <v>56.284722222222221</v>
      </c>
      <c r="AW35" s="733">
        <f>VLOOKUP($B35,Base_Mensuelle!$JW$67:$KZ$679,25,0)</f>
        <v>23.041666666666668</v>
      </c>
      <c r="AX35" s="734">
        <f>VLOOKUP($B35,Base_Mensuelle!$JW$67:$KZ$679,29,0)</f>
        <v>23.736111111111111</v>
      </c>
    </row>
    <row r="36" spans="1:50">
      <c r="A36" s="175">
        <f t="shared" si="0"/>
        <v>73</v>
      </c>
      <c r="B36" s="14">
        <f>INDEX(Base_Mensuelle!$BX$68:$CD$679,MAX(Base_Mensuelle!$CD$68:$CD$679)-A37,1)</f>
        <v>43070</v>
      </c>
      <c r="C36" s="179">
        <f>VLOOKUP($B36,Base_Mensuelle!$BX$68:$CD$679,C$2,0)</f>
        <v>554.19513509814374</v>
      </c>
      <c r="D36" s="99">
        <f>VLOOKUP($B36,Base_Mensuelle!$BX$68:$CD$679,D$2,0)</f>
        <v>664.95699999999999</v>
      </c>
      <c r="E36" s="99">
        <f>VLOOKUP($B36,Base_Mensuelle!$BX$68:$CD$679,E$2,0)</f>
        <v>561.15684592069556</v>
      </c>
      <c r="F36" s="99">
        <f>VLOOKUP($B36,Base_Mensuelle!$BX$68:$CD$679,F$2,0)</f>
        <v>42.089819531277321</v>
      </c>
      <c r="G36" s="132">
        <f>VLOOKUP($B36,Base_Mensuelle!$BX$68:$CD$679,G$2,0)</f>
        <v>122.7987258064516</v>
      </c>
      <c r="H36" s="99">
        <f>VLOOKUP($B36,Base_Mensuelle!$CF$68:$CJ$679,H$2,0)</f>
        <v>1.8831864039999999</v>
      </c>
      <c r="I36" s="132">
        <f>VLOOKUP($B36,Base_Mensuelle!$CF$68:$CJ$679,I$2,0)</f>
        <v>1264.45</v>
      </c>
      <c r="J36" s="19">
        <f>VLOOKUP($B36,Base_Mensuelle!$CY$67:$DE$679,5,0)</f>
        <v>628111</v>
      </c>
      <c r="K36" s="99">
        <f>VLOOKUP($B36,Base_Mensuelle!$CY$67:$DE$679,2,0)</f>
        <v>117.67603528112758</v>
      </c>
      <c r="L36" s="93"/>
      <c r="M36" s="182">
        <f>VLOOKUP($B36,Base_Mensuelle!$DG$67:$DN$679,2,0)</f>
        <v>404312.81278529955</v>
      </c>
      <c r="N36" s="182">
        <f>VLOOKUP($B36,Base_Mensuelle!$DG$68:$DO$679,9,0)</f>
        <v>0</v>
      </c>
      <c r="O36" s="93"/>
      <c r="P36" s="20"/>
      <c r="Q36" s="14">
        <f>INDEX(Base_Mensuelle!$BX$68:$CD$679,MAX(Base_Mensuelle!$PD$68:$PD$679)-A37,1)</f>
        <v>43070</v>
      </c>
      <c r="R36" s="733">
        <f>VLOOKUP($Q36,Base_Mensuelle!$OF$67:$RN$679,12,0)</f>
        <v>1330.1164299021225</v>
      </c>
      <c r="S36" s="570">
        <f>VLOOKUP($Q36,Base_Mensuelle!$OF$67:$RN$679,15,0)</f>
        <v>2436.3076982104953</v>
      </c>
      <c r="T36" s="570">
        <f>VLOOKUP($Q36,Base_Mensuelle!$OF$67:$RN$679,22,0)</f>
        <v>571.34283875799997</v>
      </c>
      <c r="U36" s="734">
        <f>VLOOKUP($Q36,Base_Mensuelle!$OF$67:$RN$679,16,0)</f>
        <v>66.063862190000023</v>
      </c>
      <c r="V36" s="733">
        <f>VLOOKUP($Q36,Base_Mensuelle!$OF$67:$RN$679,27,0)</f>
        <v>-0.97584279913587579</v>
      </c>
      <c r="W36" s="570">
        <f>VLOOKUP($Q36,Base_Mensuelle!$OF$67:$RN$679,31,0)</f>
        <v>-48.107843924999997</v>
      </c>
      <c r="X36" s="570">
        <f>VLOOKUP($Q36,Base_Mensuelle!$OF$67:$RN$679,33,0)</f>
        <v>168.960296559</v>
      </c>
      <c r="Y36" s="570">
        <f>VLOOKUP($Q36,Base_Mensuelle!$OF$67:$RN$679,65,0)</f>
        <v>2365.0571564694951</v>
      </c>
      <c r="Z36" s="570">
        <f>VLOOKUP($Q36,Base_Mensuelle!$OF$67:$RN$679,39,0)</f>
        <v>684.11210546686402</v>
      </c>
      <c r="AA36" s="734">
        <f>VLOOKUP($Q36,Base_Mensuelle!$OF$67:$RN$679,51,0)</f>
        <v>22.699932895</v>
      </c>
      <c r="AB36" s="14">
        <f>INDEX(Base_Mensuelle!$BX$68:$CD$679,MAX(Base_Mensuelle!$FZ$68:$FZ$679)-A36,1)</f>
        <v>43040</v>
      </c>
      <c r="AC36" s="179">
        <f>VLOOKUP($AB36,Base_Mensuelle!$FL$67:$FY$679,2,0)</f>
        <v>104.29</v>
      </c>
      <c r="AD36" s="93"/>
      <c r="AE36" s="20">
        <f t="shared" si="1"/>
        <v>0.03</v>
      </c>
      <c r="AF36" s="219">
        <f>VLOOKUP($AB36,Base_Mensuelle!$GP$67:$HR$679,2,0)</f>
        <v>338.50681893026098</v>
      </c>
      <c r="AG36" s="93">
        <f>VLOOKUP($AB36,Base_Mensuelle!$GP$67:$HR$679,3,0)</f>
        <v>256.60371733840998</v>
      </c>
      <c r="AH36" s="93">
        <f>VLOOKUP($AB36,Base_Mensuelle!$GP$67:$HR$679,14,0)</f>
        <v>1792.0896333174401</v>
      </c>
      <c r="AI36" s="99">
        <f>VLOOKUP($AB36,Base_Mensuelle!$GA$67:$GO$679,5,0)</f>
        <v>91.09</v>
      </c>
      <c r="AJ36" s="99">
        <f>VLOOKUP($AB36,Base_Mensuelle!$GA$67:$GO$679,6,0)</f>
        <v>114.33</v>
      </c>
      <c r="AK36" s="99">
        <f>VLOOKUP($AB36,Base_Mensuelle!$GA$67:$GO$679,7,0)</f>
        <v>101.52</v>
      </c>
      <c r="AL36" s="99">
        <f>VLOOKUP($AB36,Base_Mensuelle!$GA$67:$GO$679,3,0)</f>
        <v>101.37</v>
      </c>
      <c r="AM36" s="132">
        <f>VLOOKUP($AB36,Base_Mensuelle!$GA$67:$GO$679,4,0)</f>
        <v>105.94</v>
      </c>
      <c r="AN36" s="179">
        <f>VLOOKUP($AB36,Base_Mensuelle!$HS$67:$JV$679,9,0)</f>
        <v>214.51613616943359</v>
      </c>
      <c r="AO36" s="99">
        <f>VLOOKUP($AB36,Base_Mensuelle!$HS$67:$JV$679,23,0)</f>
        <v>148.80952453613281</v>
      </c>
      <c r="AP36" s="99">
        <f>VLOOKUP($AB36,Base_Mensuelle!$HS$67:$JV$679,39,0)</f>
        <v>400</v>
      </c>
      <c r="AQ36" s="99">
        <f>VLOOKUP($AB36,Base_Mensuelle!$HS$67:$JV$679,10,0)</f>
        <v>213.31057739257813</v>
      </c>
      <c r="AR36" s="132">
        <f>VLOOKUP($AB36,Base_Mensuelle!$HS$67:$JV$679,11,0)</f>
        <v>197.14095687866211</v>
      </c>
      <c r="AS36" s="733">
        <f>VLOOKUP($B36,Base_Mensuelle!$JW$67:$KZ$679,3,0)</f>
        <v>287.26190476190476</v>
      </c>
      <c r="AT36" s="734">
        <f>VLOOKUP($B36,Base_Mensuelle!$JW$67:$KZ$679,8,0)</f>
        <v>255.76923076923077</v>
      </c>
      <c r="AU36" s="733">
        <f>VLOOKUP($B36,Base_Mensuelle!$JW$67:$KZ$679,11,0)</f>
        <v>40.678571428571431</v>
      </c>
      <c r="AV36" s="734">
        <f>VLOOKUP($B36,Base_Mensuelle!$JW$67:$KZ$679,15,0)</f>
        <v>54.892261904761909</v>
      </c>
      <c r="AW36" s="733">
        <f>VLOOKUP($B36,Base_Mensuelle!$JW$67:$KZ$679,25,0)</f>
        <v>22.804761904761904</v>
      </c>
      <c r="AX36" s="734">
        <f>VLOOKUP($B36,Base_Mensuelle!$JW$67:$KZ$679,29,0)</f>
        <v>24.630952380952383</v>
      </c>
    </row>
    <row r="37" spans="1:50">
      <c r="A37" s="175">
        <f t="shared" si="0"/>
        <v>72</v>
      </c>
      <c r="B37" s="14">
        <f>INDEX(Base_Mensuelle!$BX$68:$CD$679,MAX(Base_Mensuelle!$CD$68:$CD$679)-A38,1)</f>
        <v>43101</v>
      </c>
      <c r="C37" s="179">
        <f>VLOOKUP($B37,Base_Mensuelle!$BX$68:$CD$679,C$2,0)</f>
        <v>537.66999999999996</v>
      </c>
      <c r="D37" s="99">
        <f>VLOOKUP($B37,Base_Mensuelle!$BX$68:$CD$679,D$2,0)</f>
        <v>664.95699999999999</v>
      </c>
      <c r="E37" s="99">
        <f>VLOOKUP($B37,Base_Mensuelle!$BX$68:$CD$679,E$2,0)</f>
        <v>559.54700000000003</v>
      </c>
      <c r="F37" s="99">
        <f>VLOOKUP($B37,Base_Mensuelle!$BX$68:$CD$679,F$2,0)</f>
        <v>44.050540833062414</v>
      </c>
      <c r="G37" s="132">
        <f>VLOOKUP($B37,Base_Mensuelle!$BX$68:$CD$679,G$2,0)</f>
        <v>122.13500000000001</v>
      </c>
      <c r="H37" s="99">
        <f>VLOOKUP($B37,Base_Mensuelle!$CF$68:$CJ$679,H$2,0)</f>
        <v>2.007526972</v>
      </c>
      <c r="I37" s="132">
        <f>VLOOKUP($B37,Base_Mensuelle!$CF$68:$CJ$679,I$2,0)</f>
        <v>1331.3</v>
      </c>
      <c r="J37" s="19">
        <f>VLOOKUP($B37,Base_Mensuelle!$CY$67:$DE$679,5,0)</f>
        <v>669448</v>
      </c>
      <c r="K37" s="99">
        <f>VLOOKUP($B37,Base_Mensuelle!$CY$67:$DE$679,2,0)</f>
        <v>123.94790312416112</v>
      </c>
      <c r="L37" s="93"/>
      <c r="M37" s="182">
        <f>VLOOKUP($B37,Base_Mensuelle!$DG$67:$DN$679,2,0)</f>
        <v>384408.5</v>
      </c>
      <c r="N37" s="182">
        <f>VLOOKUP($B37,Base_Mensuelle!$DG$68:$DO$679,9,0)</f>
        <v>6662633</v>
      </c>
      <c r="O37" s="93"/>
      <c r="P37" s="20"/>
      <c r="Q37" s="14">
        <f>INDEX(Base_Mensuelle!$BX$68:$CD$679,MAX(Base_Mensuelle!$PD$68:$PD$679)-A38,1)</f>
        <v>43101</v>
      </c>
      <c r="R37" s="733">
        <f>VLOOKUP($Q37,Base_Mensuelle!$OF$67:$RN$679,12,0)</f>
        <v>931.30647472300052</v>
      </c>
      <c r="S37" s="570">
        <f>VLOOKUP($Q37,Base_Mensuelle!$OF$67:$RN$679,15,0)</f>
        <v>2920.9207507430001</v>
      </c>
      <c r="T37" s="570">
        <f>VLOOKUP($Q37,Base_Mensuelle!$OF$67:$RN$679,22,0)</f>
        <v>680.92315385300003</v>
      </c>
      <c r="U37" s="734">
        <f>VLOOKUP($Q37,Base_Mensuelle!$OF$67:$RN$679,16,0)</f>
        <v>370.23923052999999</v>
      </c>
      <c r="V37" s="733">
        <f>VLOOKUP($Q37,Base_Mensuelle!$OF$67:$RN$679,27,0)</f>
        <v>60.279474723000135</v>
      </c>
      <c r="W37" s="570">
        <f>VLOOKUP($Q37,Base_Mensuelle!$OF$67:$RN$679,31,0)</f>
        <v>-31.87988510000001</v>
      </c>
      <c r="X37" s="570">
        <f>VLOOKUP($Q37,Base_Mensuelle!$OF$67:$RN$679,33,0)</f>
        <v>151.74856600000001</v>
      </c>
      <c r="Y37" s="570">
        <f>VLOOKUP($Q37,Base_Mensuelle!$OF$67:$RN$679,65,0)</f>
        <v>2545.4189999999999</v>
      </c>
      <c r="Z37" s="570">
        <f>VLOOKUP($Q37,Base_Mensuelle!$OF$67:$RN$679,39,0)</f>
        <v>764.95577294999998</v>
      </c>
      <c r="AA37" s="734">
        <f>VLOOKUP($Q37,Base_Mensuelle!$OF$67:$RN$679,51,0)</f>
        <v>2.7099771260000001</v>
      </c>
      <c r="AB37" s="14">
        <f>INDEX(Base_Mensuelle!$BX$68:$CD$679,MAX(Base_Mensuelle!$FZ$68:$FZ$679)-A37,1)</f>
        <v>43070</v>
      </c>
      <c r="AC37" s="179">
        <f>VLOOKUP($AB37,Base_Mensuelle!$FL$67:$FY$679,2,0)</f>
        <v>104.11</v>
      </c>
      <c r="AD37" s="93"/>
      <c r="AE37" s="20">
        <f t="shared" si="1"/>
        <v>0.03</v>
      </c>
      <c r="AF37" s="219">
        <f>VLOOKUP($AB37,Base_Mensuelle!$GP$67:$HR$679,2,0)</f>
        <v>317.75832000096301</v>
      </c>
      <c r="AG37" s="93">
        <f>VLOOKUP($AB37,Base_Mensuelle!$GP$67:$HR$679,3,0)</f>
        <v>242.884139941629</v>
      </c>
      <c r="AH37" s="93">
        <f>VLOOKUP($AB37,Base_Mensuelle!$GP$67:$HR$679,14,0)</f>
        <v>1834.34018347603</v>
      </c>
      <c r="AI37" s="99">
        <f>VLOOKUP($AB37,Base_Mensuelle!$GA$67:$GO$679,5,0)</f>
        <v>93.29</v>
      </c>
      <c r="AJ37" s="99">
        <f>VLOOKUP($AB37,Base_Mensuelle!$GA$67:$GO$679,6,0)</f>
        <v>111.47</v>
      </c>
      <c r="AK37" s="99">
        <f>VLOOKUP($AB37,Base_Mensuelle!$GA$67:$GO$679,7,0)</f>
        <v>102.22</v>
      </c>
      <c r="AL37" s="99">
        <f>VLOOKUP($AB37,Base_Mensuelle!$GA$67:$GO$679,3,0)</f>
        <v>101.47</v>
      </c>
      <c r="AM37" s="132">
        <f>VLOOKUP($AB37,Base_Mensuelle!$GA$67:$GO$679,4,0)</f>
        <v>105.61</v>
      </c>
      <c r="AN37" s="179">
        <f>VLOOKUP($AB37,Base_Mensuelle!$HS$67:$JV$679,9,0)</f>
        <v>222.58065414428711</v>
      </c>
      <c r="AO37" s="99">
        <f>VLOOKUP($AB37,Base_Mensuelle!$HS$67:$JV$679,23,0)</f>
        <v>149.55357208251954</v>
      </c>
      <c r="AP37" s="99">
        <f>VLOOKUP($AB37,Base_Mensuelle!$HS$67:$JV$679,39,0)</f>
        <v>404</v>
      </c>
      <c r="AQ37" s="99">
        <f>VLOOKUP($AB37,Base_Mensuelle!$HS$67:$JV$679,10,0)</f>
        <v>222.98065185546875</v>
      </c>
      <c r="AR37" s="132">
        <f>VLOOKUP($AB37,Base_Mensuelle!$HS$67:$JV$679,11,0)</f>
        <v>159.574462890625</v>
      </c>
      <c r="AS37" s="733">
        <f>VLOOKUP($B37,Base_Mensuelle!$JW$67:$KZ$679,3,0)</f>
        <v>273.71794871794867</v>
      </c>
      <c r="AT37" s="734">
        <f>VLOOKUP($B37,Base_Mensuelle!$JW$67:$KZ$679,8,0)</f>
        <v>263.81944444444446</v>
      </c>
      <c r="AU37" s="733">
        <f>VLOOKUP($B37,Base_Mensuelle!$JW$67:$KZ$679,11,0)</f>
        <v>39.37944996524034</v>
      </c>
      <c r="AV37" s="734">
        <f>VLOOKUP($B37,Base_Mensuelle!$JW$67:$KZ$679,15,0)</f>
        <v>52.378312401689683</v>
      </c>
      <c r="AW37" s="733">
        <f>VLOOKUP($B37,Base_Mensuelle!$JW$67:$KZ$679,25,0)</f>
        <v>22.666666666666668</v>
      </c>
      <c r="AX37" s="734">
        <f>VLOOKUP($B37,Base_Mensuelle!$JW$67:$KZ$679,29,0)</f>
        <v>23.474358974358974</v>
      </c>
    </row>
    <row r="38" spans="1:50">
      <c r="A38" s="175">
        <f t="shared" si="0"/>
        <v>71</v>
      </c>
      <c r="B38" s="14">
        <f>INDEX(Base_Mensuelle!$BX$68:$CD$679,MAX(Base_Mensuelle!$CD$68:$CD$679)-A39,1)</f>
        <v>43132</v>
      </c>
      <c r="C38" s="179">
        <f>VLOOKUP($B38,Base_Mensuelle!$BX$68:$CD$679,C$2,0)</f>
        <v>531.22500000000002</v>
      </c>
      <c r="D38" s="99">
        <f>VLOOKUP($B38,Base_Mensuelle!$BX$68:$CD$679,D$2,0)</f>
        <v>664.95699999999999</v>
      </c>
      <c r="E38" s="99">
        <f>VLOOKUP($B38,Base_Mensuelle!$BX$68:$CD$679,E$2,0)</f>
        <v>568.322</v>
      </c>
      <c r="F38" s="99">
        <f>VLOOKUP($B38,Base_Mensuelle!$BX$68:$CD$679,F$2,0)</f>
        <v>44.9158867497665</v>
      </c>
      <c r="G38" s="132">
        <f>VLOOKUP($B38,Base_Mensuelle!$BX$68:$CD$679,G$2,0)</f>
        <v>120.056</v>
      </c>
      <c r="H38" s="99">
        <f>VLOOKUP($B38,Base_Mensuelle!$CF$68:$CJ$679,H$2,0)</f>
        <v>1.9460180739999999</v>
      </c>
      <c r="I38" s="132">
        <f>VLOOKUP($B38,Base_Mensuelle!$CF$68:$CJ$679,I$2,0)</f>
        <v>1330.73</v>
      </c>
      <c r="J38" s="19">
        <f>VLOOKUP($B38,Base_Mensuelle!$CY$67:$DE$679,5,0)</f>
        <v>669448</v>
      </c>
      <c r="K38" s="99">
        <f>VLOOKUP($B38,Base_Mensuelle!$CY$67:$DE$679,2,0)</f>
        <v>117.71232282401616</v>
      </c>
      <c r="L38" s="93"/>
      <c r="M38" s="182">
        <f>VLOOKUP($B38,Base_Mensuelle!$DG$67:$DN$679,2,0)</f>
        <v>387462</v>
      </c>
      <c r="N38" s="182">
        <f>VLOOKUP($B38,Base_Mensuelle!$DG$68:$DO$679,9,0)</f>
        <v>6658326</v>
      </c>
      <c r="O38" s="93"/>
      <c r="P38" s="20"/>
      <c r="Q38" s="14">
        <f>INDEX(Base_Mensuelle!$BX$68:$CD$679,MAX(Base_Mensuelle!$PD$68:$PD$679)-A39,1)</f>
        <v>43132</v>
      </c>
      <c r="R38" s="733">
        <f>VLOOKUP($Q38,Base_Mensuelle!$OF$67:$RN$679,12,0)</f>
        <v>1210.7814527210001</v>
      </c>
      <c r="S38" s="570">
        <f>VLOOKUP($Q38,Base_Mensuelle!$OF$67:$RN$679,15,0)</f>
        <v>2666.7208088909997</v>
      </c>
      <c r="T38" s="570">
        <f>VLOOKUP($Q38,Base_Mensuelle!$OF$67:$RN$679,22,0)</f>
        <v>675.80799599700003</v>
      </c>
      <c r="U38" s="734">
        <f>VLOOKUP($Q38,Base_Mensuelle!$OF$67:$RN$679,16,0)</f>
        <v>139.15318674500006</v>
      </c>
      <c r="V38" s="733">
        <f>VLOOKUP($Q38,Base_Mensuelle!$OF$67:$RN$679,27,0)</f>
        <v>78.442452720999995</v>
      </c>
      <c r="W38" s="570">
        <f>VLOOKUP($Q38,Base_Mensuelle!$OF$67:$RN$679,31,0)</f>
        <v>-28.953928884999982</v>
      </c>
      <c r="X38" s="570">
        <f>VLOOKUP($Q38,Base_Mensuelle!$OF$67:$RN$679,33,0)</f>
        <v>148.84373852799999</v>
      </c>
      <c r="Y38" s="570">
        <f>VLOOKUP($Q38,Base_Mensuelle!$OF$67:$RN$679,65,0)</f>
        <v>2510.0359999999996</v>
      </c>
      <c r="Z38" s="570">
        <f>VLOOKUP($Q38,Base_Mensuelle!$OF$67:$RN$679,39,0)</f>
        <v>687.91546385499998</v>
      </c>
      <c r="AA38" s="734">
        <f>VLOOKUP($Q38,Base_Mensuelle!$OF$67:$RN$679,51,0)</f>
        <v>4.6465459200000003</v>
      </c>
      <c r="AB38" s="14">
        <f>INDEX(Base_Mensuelle!$BX$68:$CD$679,MAX(Base_Mensuelle!$FZ$68:$FZ$679)-A38,1)</f>
        <v>43101</v>
      </c>
      <c r="AC38" s="179">
        <f>VLOOKUP($AB38,Base_Mensuelle!$FL$67:$FY$679,2,0)</f>
        <v>103.68</v>
      </c>
      <c r="AD38" s="93"/>
      <c r="AE38" s="20">
        <f t="shared" si="1"/>
        <v>0.03</v>
      </c>
      <c r="AF38" s="219">
        <f>VLOOKUP($AB38,Base_Mensuelle!$GP$67:$HR$679,2,0)</f>
        <v>314.54306704185598</v>
      </c>
      <c r="AG38" s="93">
        <f>VLOOKUP($AB38,Base_Mensuelle!$GP$67:$HR$679,3,0)</f>
        <v>244.08385616166899</v>
      </c>
      <c r="AH38" s="93">
        <f>VLOOKUP($AB38,Base_Mensuelle!$GP$67:$HR$679,14,0)</f>
        <v>2063.70446219309</v>
      </c>
      <c r="AI38" s="99">
        <f>VLOOKUP($AB38,Base_Mensuelle!$GA$67:$GO$679,5,0)</f>
        <v>92.67</v>
      </c>
      <c r="AJ38" s="99">
        <f>VLOOKUP($AB38,Base_Mensuelle!$GA$67:$GO$679,6,0)</f>
        <v>110.16</v>
      </c>
      <c r="AK38" s="99">
        <f>VLOOKUP($AB38,Base_Mensuelle!$GA$67:$GO$679,7,0)</f>
        <v>102.52</v>
      </c>
      <c r="AL38" s="99">
        <f>VLOOKUP($AB38,Base_Mensuelle!$GA$67:$GO$679,3,0)</f>
        <v>101.71</v>
      </c>
      <c r="AM38" s="132">
        <f>VLOOKUP($AB38,Base_Mensuelle!$GA$67:$GO$679,4,0)</f>
        <v>105.04</v>
      </c>
      <c r="AN38" s="179">
        <f>VLOOKUP($AB38,Base_Mensuelle!$HS$67:$JV$679,9,0)</f>
        <v>210.32258300781251</v>
      </c>
      <c r="AO38" s="99">
        <f>VLOOKUP($AB38,Base_Mensuelle!$HS$67:$JV$679,23,0)</f>
        <v>147.49649810791016</v>
      </c>
      <c r="AP38" s="99">
        <f>VLOOKUP($AB38,Base_Mensuelle!$HS$67:$JV$679,39,0)</f>
        <v>400</v>
      </c>
      <c r="AQ38" s="99">
        <f>VLOOKUP($AB38,Base_Mensuelle!$HS$67:$JV$679,10,0)</f>
        <v>153.09446716308594</v>
      </c>
      <c r="AR38" s="132">
        <f>VLOOKUP($AB38,Base_Mensuelle!$HS$67:$JV$679,11,0)</f>
        <v>112.99435424804688</v>
      </c>
      <c r="AS38" s="733">
        <f>VLOOKUP($B38,Base_Mensuelle!$JW$67:$KZ$679,3,0)</f>
        <v>266.9390243902439</v>
      </c>
      <c r="AT38" s="734">
        <f>VLOOKUP($B38,Base_Mensuelle!$JW$67:$KZ$679,8,0)</f>
        <v>267.46212121212119</v>
      </c>
      <c r="AU38" s="733">
        <f>VLOOKUP($B38,Base_Mensuelle!$JW$67:$KZ$679,11,0)</f>
        <v>36.970347194401043</v>
      </c>
      <c r="AV38" s="734">
        <f>VLOOKUP($B38,Base_Mensuelle!$JW$67:$KZ$679,15,0)</f>
        <v>50.530995743335225</v>
      </c>
      <c r="AW38" s="733">
        <f>VLOOKUP($B38,Base_Mensuelle!$JW$67:$KZ$679,25,0)</f>
        <v>23.238095238095237</v>
      </c>
      <c r="AX38" s="734">
        <f>VLOOKUP($B38,Base_Mensuelle!$JW$67:$KZ$679,29,0)</f>
        <v>23.385416666666668</v>
      </c>
    </row>
    <row r="39" spans="1:50">
      <c r="A39" s="175">
        <f t="shared" si="0"/>
        <v>70</v>
      </c>
      <c r="B39" s="14">
        <f>INDEX(Base_Mensuelle!$BX$68:$CD$679,MAX(Base_Mensuelle!$CD$68:$CD$679)-A40,1)</f>
        <v>43160</v>
      </c>
      <c r="C39" s="179">
        <f>VLOOKUP($B39,Base_Mensuelle!$BX$68:$CD$679,C$2,0)</f>
        <v>531.74199999999996</v>
      </c>
      <c r="D39" s="99">
        <f>VLOOKUP($B39,Base_Mensuelle!$BX$68:$CD$679,D$2,0)</f>
        <v>664.95699999999999</v>
      </c>
      <c r="E39" s="99">
        <f>VLOOKUP($B39,Base_Mensuelle!$BX$68:$CD$679,E$2,0)</f>
        <v>561.36699999999996</v>
      </c>
      <c r="F39" s="99">
        <f>VLOOKUP($B39,Base_Mensuelle!$BX$68:$CD$679,F$2,0)</f>
        <v>44.861561209440282</v>
      </c>
      <c r="G39" s="132">
        <f>VLOOKUP($B39,Base_Mensuelle!$BX$68:$CD$679,G$2,0)</f>
        <v>120.51900000000001</v>
      </c>
      <c r="H39" s="99">
        <f>VLOOKUP($B39,Base_Mensuelle!$CF$68:$CJ$679,H$2,0)</f>
        <v>2.0313368679999999</v>
      </c>
      <c r="I39" s="132">
        <f>VLOOKUP($B39,Base_Mensuelle!$CF$68:$CJ$679,I$2,0)</f>
        <v>1324.66</v>
      </c>
      <c r="J39" s="19">
        <f>VLOOKUP($B39,Base_Mensuelle!$CY$67:$DE$679,5,0)</f>
        <v>669448</v>
      </c>
      <c r="K39" s="99">
        <f>VLOOKUP($B39,Base_Mensuelle!$CY$67:$DE$679,2,0)</f>
        <v>124.84660676272165</v>
      </c>
      <c r="L39" s="93"/>
      <c r="M39" s="182">
        <f>VLOOKUP($B39,Base_Mensuelle!$DG$67:$DN$679,2,0)</f>
        <v>391361</v>
      </c>
      <c r="N39" s="182">
        <f>VLOOKUP($B39,Base_Mensuelle!$DG$68:$DO$679,9,0)</f>
        <v>7227275</v>
      </c>
      <c r="O39" s="93"/>
      <c r="P39" s="20"/>
      <c r="Q39" s="14">
        <f>INDEX(Base_Mensuelle!$BX$68:$CD$679,MAX(Base_Mensuelle!$PD$68:$PD$679)-A40,1)</f>
        <v>43160</v>
      </c>
      <c r="R39" s="733">
        <f>VLOOKUP($Q39,Base_Mensuelle!$OF$67:$RN$679,12,0)</f>
        <v>1374.9749899349999</v>
      </c>
      <c r="S39" s="570">
        <f>VLOOKUP($Q39,Base_Mensuelle!$OF$67:$RN$679,15,0)</f>
        <v>2594.6044734740008</v>
      </c>
      <c r="T39" s="570">
        <f>VLOOKUP($Q39,Base_Mensuelle!$OF$67:$RN$679,22,0)</f>
        <v>652.16133164500002</v>
      </c>
      <c r="U39" s="734">
        <f>VLOOKUP($Q39,Base_Mensuelle!$OF$67:$RN$679,16,0)</f>
        <v>123.27655343700005</v>
      </c>
      <c r="V39" s="733">
        <f>VLOOKUP($Q39,Base_Mensuelle!$OF$67:$RN$679,27,0)</f>
        <v>175.4779899350001</v>
      </c>
      <c r="W39" s="570">
        <f>VLOOKUP($Q39,Base_Mensuelle!$OF$67:$RN$679,31,0)</f>
        <v>-5.8269116750000194</v>
      </c>
      <c r="X39" s="570">
        <f>VLOOKUP($Q39,Base_Mensuelle!$OF$67:$RN$679,33,0)</f>
        <v>138.446497722</v>
      </c>
      <c r="Y39" s="570">
        <f>VLOOKUP($Q39,Base_Mensuelle!$OF$67:$RN$679,65,0)</f>
        <v>2465.7370000000005</v>
      </c>
      <c r="Z39" s="570">
        <f>VLOOKUP($Q39,Base_Mensuelle!$OF$67:$RN$679,39,0)</f>
        <v>757.761260171</v>
      </c>
      <c r="AA39" s="734">
        <f>VLOOKUP($Q39,Base_Mensuelle!$OF$67:$RN$679,51,0)</f>
        <v>6.422697747</v>
      </c>
      <c r="AB39" s="14">
        <f>INDEX(Base_Mensuelle!$BX$68:$CD$679,MAX(Base_Mensuelle!$FZ$68:$FZ$679)-A39,1)</f>
        <v>43132</v>
      </c>
      <c r="AC39" s="179">
        <f>VLOOKUP($AB39,Base_Mensuelle!$FL$67:$FY$679,2,0)</f>
        <v>104</v>
      </c>
      <c r="AD39" s="93"/>
      <c r="AE39" s="20">
        <f t="shared" si="1"/>
        <v>0.03</v>
      </c>
      <c r="AF39" s="219">
        <f>VLOOKUP($AB39,Base_Mensuelle!$GP$67:$HR$679,2,0)</f>
        <v>316.75354088442901</v>
      </c>
      <c r="AG39" s="93">
        <f>VLOOKUP($AB39,Base_Mensuelle!$GP$67:$HR$679,3,0)</f>
        <v>254.02925607699399</v>
      </c>
      <c r="AH39" s="93">
        <f>VLOOKUP($AB39,Base_Mensuelle!$GP$67:$HR$679,14,0)</f>
        <v>2018.3937087172401</v>
      </c>
      <c r="AI39" s="99">
        <f>VLOOKUP($AB39,Base_Mensuelle!$GA$67:$GO$679,5,0)</f>
        <v>96.6</v>
      </c>
      <c r="AJ39" s="99">
        <f>VLOOKUP($AB39,Base_Mensuelle!$GA$67:$GO$679,6,0)</f>
        <v>110.63</v>
      </c>
      <c r="AK39" s="99">
        <f>VLOOKUP($AB39,Base_Mensuelle!$GA$67:$GO$679,7,0)</f>
        <v>102.39</v>
      </c>
      <c r="AL39" s="99">
        <f>VLOOKUP($AB39,Base_Mensuelle!$GA$67:$GO$679,3,0)</f>
        <v>101.43</v>
      </c>
      <c r="AM39" s="132">
        <f>VLOOKUP($AB39,Base_Mensuelle!$GA$67:$GO$679,4,0)</f>
        <v>105.7</v>
      </c>
      <c r="AN39" s="179">
        <f>VLOOKUP($AB39,Base_Mensuelle!$HS$67:$JV$679,9,0)</f>
        <v>222.22222900390625</v>
      </c>
      <c r="AO39" s="99">
        <f>VLOOKUP($AB39,Base_Mensuelle!$HS$67:$JV$679,23,0)</f>
        <v>177.94116973876953</v>
      </c>
      <c r="AP39" s="99">
        <f>VLOOKUP($AB39,Base_Mensuelle!$HS$67:$JV$679,39,0)</f>
        <v>400</v>
      </c>
      <c r="AQ39" s="99">
        <f>VLOOKUP($AB39,Base_Mensuelle!$HS$67:$JV$679,10,0)</f>
        <v>169.49151611328125</v>
      </c>
      <c r="AR39" s="132">
        <f>VLOOKUP($AB39,Base_Mensuelle!$HS$67:$JV$679,11,0)</f>
        <v>111.12151718139648</v>
      </c>
      <c r="AS39" s="733">
        <f>VLOOKUP($B39,Base_Mensuelle!$JW$67:$KZ$679,3,0)</f>
        <v>296.3095238095238</v>
      </c>
      <c r="AT39" s="734">
        <f>VLOOKUP($B39,Base_Mensuelle!$JW$67:$KZ$679,8,0)</f>
        <v>295.5128205128205</v>
      </c>
      <c r="AU39" s="733">
        <f>VLOOKUP($B39,Base_Mensuelle!$JW$67:$KZ$679,11,0)</f>
        <v>35.249138902085733</v>
      </c>
      <c r="AV39" s="734">
        <f>VLOOKUP($B39,Base_Mensuelle!$JW$67:$KZ$679,15,0)</f>
        <v>48.48280730387151</v>
      </c>
      <c r="AW39" s="733">
        <f>VLOOKUP($B39,Base_Mensuelle!$JW$67:$KZ$679,25,0)</f>
        <v>23.904761904761905</v>
      </c>
      <c r="AX39" s="734">
        <f>VLOOKUP($B39,Base_Mensuelle!$JW$67:$KZ$679,29,0)</f>
        <v>23.352564102564102</v>
      </c>
    </row>
    <row r="40" spans="1:50">
      <c r="A40" s="175">
        <f t="shared" si="0"/>
        <v>69</v>
      </c>
      <c r="B40" s="14">
        <f>INDEX(Base_Mensuelle!$BX$68:$CD$679,MAX(Base_Mensuelle!$CD$68:$CD$679)-A41,1)</f>
        <v>43191</v>
      </c>
      <c r="C40" s="179">
        <f>VLOOKUP($B40,Base_Mensuelle!$BX$68:$CD$679,C$2,0)</f>
        <v>534.34100000000001</v>
      </c>
      <c r="D40" s="99">
        <f>VLOOKUP($B40,Base_Mensuelle!$BX$68:$CD$679,D$2,0)</f>
        <v>664.95699999999999</v>
      </c>
      <c r="E40" s="99">
        <f>VLOOKUP($B40,Base_Mensuelle!$BX$68:$CD$679,E$2,0)</f>
        <v>551.68799999999999</v>
      </c>
      <c r="F40" s="99">
        <f>VLOOKUP($B40,Base_Mensuelle!$BX$68:$CD$679,F$2,0)</f>
        <v>44.163513844184685</v>
      </c>
      <c r="G40" s="132">
        <f>VLOOKUP($B40,Base_Mensuelle!$BX$68:$CD$679,G$2,0)</f>
        <v>121.163</v>
      </c>
      <c r="H40" s="99">
        <f>VLOOKUP($B40,Base_Mensuelle!$CF$68:$CJ$679,H$2,0)</f>
        <v>2.033541488</v>
      </c>
      <c r="I40" s="132">
        <f>VLOOKUP($B40,Base_Mensuelle!$CF$68:$CJ$679,I$2,0)</f>
        <v>1334.76</v>
      </c>
      <c r="J40" s="19">
        <f>VLOOKUP($B40,Base_Mensuelle!$CY$67:$DE$679,5,0)</f>
        <v>669448</v>
      </c>
      <c r="K40" s="99">
        <f>VLOOKUP($B40,Base_Mensuelle!$CY$67:$DE$679,2,0)</f>
        <v>153.17839197740895</v>
      </c>
      <c r="L40" s="93"/>
      <c r="M40" s="182">
        <f>VLOOKUP($B40,Base_Mensuelle!$DG$67:$DN$679,2,0)</f>
        <v>393025.5</v>
      </c>
      <c r="N40" s="182">
        <f>VLOOKUP($B40,Base_Mensuelle!$DG$68:$DO$679,9,0)</f>
        <v>7140088</v>
      </c>
      <c r="O40" s="93"/>
      <c r="P40" s="20"/>
      <c r="Q40" s="14">
        <f>INDEX(Base_Mensuelle!$BX$68:$CD$679,MAX(Base_Mensuelle!$PD$68:$PD$679)-A41,1)</f>
        <v>43191</v>
      </c>
      <c r="R40" s="733">
        <f>VLOOKUP($Q40,Base_Mensuelle!$OF$67:$RN$679,12,0)</f>
        <v>1377.32001126</v>
      </c>
      <c r="S40" s="570">
        <f>VLOOKUP($Q40,Base_Mensuelle!$OF$67:$RN$679,15,0)</f>
        <v>2589.6169811579998</v>
      </c>
      <c r="T40" s="570">
        <f>VLOOKUP($Q40,Base_Mensuelle!$OF$67:$RN$679,22,0)</f>
        <v>616.28834292500005</v>
      </c>
      <c r="U40" s="734">
        <f>VLOOKUP($Q40,Base_Mensuelle!$OF$67:$RN$679,16,0)</f>
        <v>99.704777217000014</v>
      </c>
      <c r="V40" s="733">
        <f>VLOOKUP($Q40,Base_Mensuelle!$OF$67:$RN$679,27,0)</f>
        <v>255.08201126000006</v>
      </c>
      <c r="W40" s="570">
        <f>VLOOKUP($Q40,Base_Mensuelle!$OF$67:$RN$679,31,0)</f>
        <v>7.9725369779999795</v>
      </c>
      <c r="X40" s="570">
        <f>VLOOKUP($Q40,Base_Mensuelle!$OF$67:$RN$679,33,0)</f>
        <v>124.67466977100001</v>
      </c>
      <c r="Y40" s="570">
        <f>VLOOKUP($Q40,Base_Mensuelle!$OF$67:$RN$679,65,0)</f>
        <v>2477.4849999999997</v>
      </c>
      <c r="Z40" s="570">
        <f>VLOOKUP($Q40,Base_Mensuelle!$OF$67:$RN$679,39,0)</f>
        <v>808.44709631699993</v>
      </c>
      <c r="AA40" s="734">
        <f>VLOOKUP($Q40,Base_Mensuelle!$OF$67:$RN$679,51,0)</f>
        <v>7.8803900890000005</v>
      </c>
      <c r="AB40" s="14">
        <f>INDEX(Base_Mensuelle!$BX$68:$CD$679,MAX(Base_Mensuelle!$FZ$68:$FZ$679)-A40,1)</f>
        <v>43160</v>
      </c>
      <c r="AC40" s="179">
        <f>VLOOKUP($AB40,Base_Mensuelle!$FL$67:$FY$679,2,0)</f>
        <v>103.65</v>
      </c>
      <c r="AD40" s="93"/>
      <c r="AE40" s="20">
        <f t="shared" si="1"/>
        <v>0.03</v>
      </c>
      <c r="AF40" s="219">
        <f>VLOOKUP($AB40,Base_Mensuelle!$GP$67:$HR$679,2,0)</f>
        <v>314.69639604798999</v>
      </c>
      <c r="AG40" s="93">
        <f>VLOOKUP($AB40,Base_Mensuelle!$GP$67:$HR$679,3,0)</f>
        <v>253.62391824274101</v>
      </c>
      <c r="AH40" s="93">
        <f>VLOOKUP($AB40,Base_Mensuelle!$GP$67:$HR$679,14,0)</f>
        <v>1789.45153444988</v>
      </c>
      <c r="AI40" s="99">
        <f>VLOOKUP($AB40,Base_Mensuelle!$GA$67:$GO$679,5,0)</f>
        <v>97.42</v>
      </c>
      <c r="AJ40" s="99">
        <f>VLOOKUP($AB40,Base_Mensuelle!$GA$67:$GO$679,6,0)</f>
        <v>109.89</v>
      </c>
      <c r="AK40" s="99">
        <f>VLOOKUP($AB40,Base_Mensuelle!$GA$67:$GO$679,7,0)</f>
        <v>103.21</v>
      </c>
      <c r="AL40" s="99">
        <f>VLOOKUP($AB40,Base_Mensuelle!$GA$67:$GO$679,3,0)</f>
        <v>101.08</v>
      </c>
      <c r="AM40" s="132">
        <f>VLOOKUP($AB40,Base_Mensuelle!$GA$67:$GO$679,4,0)</f>
        <v>106.25</v>
      </c>
      <c r="AN40" s="179">
        <f>VLOOKUP($AB40,Base_Mensuelle!$HS$67:$JV$679,9,0)</f>
        <v>227.12419128417969</v>
      </c>
      <c r="AO40" s="99">
        <f>VLOOKUP($AB40,Base_Mensuelle!$HS$67:$JV$679,23,0)</f>
        <v>176.78570556640625</v>
      </c>
      <c r="AP40" s="99">
        <f>VLOOKUP($AB40,Base_Mensuelle!$HS$67:$JV$679,39,0)</f>
        <v>400</v>
      </c>
      <c r="AQ40" s="99">
        <f>VLOOKUP($AB40,Base_Mensuelle!$HS$67:$JV$679,10,0)</f>
        <v>190.11405944824219</v>
      </c>
      <c r="AR40" s="132">
        <f>VLOOKUP($AB40,Base_Mensuelle!$HS$67:$JV$679,11,0)</f>
        <v>120.34408950805664</v>
      </c>
      <c r="AS40" s="733">
        <f>VLOOKUP($B40,Base_Mensuelle!$JW$67:$KZ$679,3,0)</f>
        <v>308.94133275993181</v>
      </c>
      <c r="AT40" s="734">
        <f>VLOOKUP($B40,Base_Mensuelle!$JW$67:$KZ$679,8,0)</f>
        <v>313.04925157613917</v>
      </c>
      <c r="AU40" s="733">
        <f>VLOOKUP($B40,Base_Mensuelle!$JW$67:$KZ$679,11,0)</f>
        <v>33.350389342573251</v>
      </c>
      <c r="AV40" s="734">
        <f>VLOOKUP($B40,Base_Mensuelle!$JW$67:$KZ$679,15,0)</f>
        <v>46.645259444395585</v>
      </c>
      <c r="AW40" s="733">
        <f>VLOOKUP($B40,Base_Mensuelle!$JW$67:$KZ$679,25,0)</f>
        <v>24.548978607836577</v>
      </c>
      <c r="AX40" s="734">
        <f>VLOOKUP($B40,Base_Mensuelle!$JW$67:$KZ$679,29,0)</f>
        <v>23.291920477917412</v>
      </c>
    </row>
    <row r="41" spans="1:50">
      <c r="A41" s="175">
        <f t="shared" si="0"/>
        <v>68</v>
      </c>
      <c r="B41" s="14">
        <f>INDEX(Base_Mensuelle!$BX$68:$CD$679,MAX(Base_Mensuelle!$CD$68:$CD$679)-A42,1)</f>
        <v>43221</v>
      </c>
      <c r="C41" s="179">
        <f>VLOOKUP($B41,Base_Mensuelle!$BX$68:$CD$679,C$2,0)</f>
        <v>555.33100000000002</v>
      </c>
      <c r="D41" s="99">
        <f>VLOOKUP($B41,Base_Mensuelle!$BX$68:$CD$679,D$2,0)</f>
        <v>664.95699999999999</v>
      </c>
      <c r="E41" s="99">
        <f>VLOOKUP($B41,Base_Mensuelle!$BX$68:$CD$679,E$2,0)</f>
        <v>556.84</v>
      </c>
      <c r="F41" s="99">
        <f>VLOOKUP($B41,Base_Mensuelle!$BX$68:$CD$679,F$2,0)</f>
        <v>44.385591090784445</v>
      </c>
      <c r="G41" s="132">
        <f>VLOOKUP($B41,Base_Mensuelle!$BX$68:$CD$679,G$2,0)</f>
        <v>125.643</v>
      </c>
      <c r="H41" s="99">
        <f>VLOOKUP($B41,Base_Mensuelle!$CF$68:$CJ$679,H$2,0)</f>
        <v>2.0829249760000002</v>
      </c>
      <c r="I41" s="132">
        <f>VLOOKUP($B41,Base_Mensuelle!$CF$68:$CJ$679,I$2,0)</f>
        <v>1303.45</v>
      </c>
      <c r="J41" s="19">
        <f>VLOOKUP($B41,Base_Mensuelle!$CY$67:$DE$679,5,0)</f>
        <v>669448</v>
      </c>
      <c r="K41" s="99">
        <f>VLOOKUP($B41,Base_Mensuelle!$CY$67:$DE$679,2,0)</f>
        <v>140.87549452904682</v>
      </c>
      <c r="L41" s="93"/>
      <c r="M41" s="182">
        <f>VLOOKUP($B41,Base_Mensuelle!$DG$67:$DN$679,2,0)</f>
        <v>392896.5</v>
      </c>
      <c r="N41" s="182">
        <f>VLOOKUP($B41,Base_Mensuelle!$DG$68:$DO$679,9,0)</f>
        <v>7151063</v>
      </c>
      <c r="O41" s="93"/>
      <c r="P41" s="20"/>
      <c r="Q41" s="14">
        <f>INDEX(Base_Mensuelle!$BX$68:$CD$679,MAX(Base_Mensuelle!$PD$68:$PD$679)-A42,1)</f>
        <v>43221</v>
      </c>
      <c r="R41" s="733">
        <f>VLOOKUP($Q41,Base_Mensuelle!$OF$67:$RN$679,12,0)</f>
        <v>1415.869067569</v>
      </c>
      <c r="S41" s="570">
        <f>VLOOKUP($Q41,Base_Mensuelle!$OF$67:$RN$679,15,0)</f>
        <v>2618.7031532740002</v>
      </c>
      <c r="T41" s="570">
        <f>VLOOKUP($Q41,Base_Mensuelle!$OF$67:$RN$679,22,0)</f>
        <v>615.81612464</v>
      </c>
      <c r="U41" s="734">
        <f>VLOOKUP($Q41,Base_Mensuelle!$OF$67:$RN$679,16,0)</f>
        <v>135.27649425700002</v>
      </c>
      <c r="V41" s="733">
        <f>VLOOKUP($Q41,Base_Mensuelle!$OF$67:$RN$679,27,0)</f>
        <v>301.94006756899989</v>
      </c>
      <c r="W41" s="570">
        <f>VLOOKUP($Q41,Base_Mensuelle!$OF$67:$RN$679,31,0)</f>
        <v>15.764273642999996</v>
      </c>
      <c r="X41" s="570">
        <f>VLOOKUP($Q41,Base_Mensuelle!$OF$67:$RN$679,33,0)</f>
        <v>116.906078345</v>
      </c>
      <c r="Y41" s="570">
        <f>VLOOKUP($Q41,Base_Mensuelle!$OF$67:$RN$679,65,0)</f>
        <v>2477.0709999999999</v>
      </c>
      <c r="Z41" s="570">
        <f>VLOOKUP($Q41,Base_Mensuelle!$OF$67:$RN$679,39,0)</f>
        <v>794.97065396099993</v>
      </c>
      <c r="AA41" s="734">
        <f>VLOOKUP($Q41,Base_Mensuelle!$OF$67:$RN$679,51,0)</f>
        <v>9.6094446530000006</v>
      </c>
      <c r="AB41" s="14">
        <f>INDEX(Base_Mensuelle!$BX$68:$CD$679,MAX(Base_Mensuelle!$FZ$68:$FZ$679)-A41,1)</f>
        <v>43191</v>
      </c>
      <c r="AC41" s="179">
        <f>VLOOKUP($AB41,Base_Mensuelle!$FL$67:$FY$679,2,0)</f>
        <v>105.41</v>
      </c>
      <c r="AD41" s="93"/>
      <c r="AE41" s="20">
        <f t="shared" si="1"/>
        <v>0.03</v>
      </c>
      <c r="AF41" s="219">
        <f>VLOOKUP($AB41,Base_Mensuelle!$GP$67:$HR$679,2,0)</f>
        <v>322.46268096026301</v>
      </c>
      <c r="AG41" s="93">
        <f>VLOOKUP($AB41,Base_Mensuelle!$GP$67:$HR$679,3,0)</f>
        <v>250.92764078731599</v>
      </c>
      <c r="AH41" s="93">
        <f>VLOOKUP($AB41,Base_Mensuelle!$GP$67:$HR$679,14,0)</f>
        <v>1967.6667164374301</v>
      </c>
      <c r="AI41" s="99">
        <f>VLOOKUP($AB41,Base_Mensuelle!$GA$67:$GO$679,5,0)</f>
        <v>93.98</v>
      </c>
      <c r="AJ41" s="99">
        <f>VLOOKUP($AB41,Base_Mensuelle!$GA$67:$GO$679,6,0)</f>
        <v>114.08</v>
      </c>
      <c r="AK41" s="99">
        <f>VLOOKUP($AB41,Base_Mensuelle!$GA$67:$GO$679,7,0)</f>
        <v>102.93</v>
      </c>
      <c r="AL41" s="99">
        <f>VLOOKUP($AB41,Base_Mensuelle!$GA$67:$GO$679,3,0)</f>
        <v>101.54</v>
      </c>
      <c r="AM41" s="132">
        <f>VLOOKUP($AB41,Base_Mensuelle!$GA$67:$GO$679,4,0)</f>
        <v>107.48</v>
      </c>
      <c r="AN41" s="179">
        <f>VLOOKUP($AB41,Base_Mensuelle!$HS$67:$JV$679,9,0)</f>
        <v>230.71896362304688</v>
      </c>
      <c r="AO41" s="99">
        <f>VLOOKUP($AB41,Base_Mensuelle!$HS$67:$JV$679,23,0)</f>
        <v>172.42063293457031</v>
      </c>
      <c r="AP41" s="99">
        <f>VLOOKUP($AB41,Base_Mensuelle!$HS$67:$JV$679,39,0)</f>
        <v>400</v>
      </c>
      <c r="AQ41" s="99">
        <f>VLOOKUP($AB41,Base_Mensuelle!$HS$67:$JV$679,10,0)</f>
        <v>180.037353515625</v>
      </c>
      <c r="AR41" s="132">
        <f>VLOOKUP($AB41,Base_Mensuelle!$HS$67:$JV$679,11,0)</f>
        <v>131.67714233398436</v>
      </c>
      <c r="AS41" s="733">
        <f>VLOOKUP($B41,Base_Mensuelle!$JW$67:$KZ$679,3,0)</f>
        <v>332.5224307506669</v>
      </c>
      <c r="AT41" s="734">
        <f>VLOOKUP($B41,Base_Mensuelle!$JW$67:$KZ$679,8,0)</f>
        <v>338.75367052365874</v>
      </c>
      <c r="AU41" s="733">
        <f>VLOOKUP($B41,Base_Mensuelle!$JW$67:$KZ$679,11,0)</f>
        <v>31.675816163990735</v>
      </c>
      <c r="AV41" s="734">
        <f>VLOOKUP($B41,Base_Mensuelle!$JW$67:$KZ$679,15,0)</f>
        <v>44.815964638289927</v>
      </c>
      <c r="AW41" s="733">
        <f>VLOOKUP($B41,Base_Mensuelle!$JW$67:$KZ$679,25,0)</f>
        <v>25.231904543588058</v>
      </c>
      <c r="AX41" s="734">
        <f>VLOOKUP($B41,Base_Mensuelle!$JW$67:$KZ$679,29,0)</f>
        <v>23.245316798598235</v>
      </c>
    </row>
    <row r="42" spans="1:50">
      <c r="A42" s="175">
        <f t="shared" si="0"/>
        <v>67</v>
      </c>
      <c r="B42" s="14">
        <f>INDEX(Base_Mensuelle!$BX$68:$CD$679,MAX(Base_Mensuelle!$CD$68:$CD$679)-A43,1)</f>
        <v>43252</v>
      </c>
      <c r="C42" s="179">
        <f>VLOOKUP($B42,Base_Mensuelle!$BX$68:$CD$679,C$2,0)</f>
        <v>561.70299999999997</v>
      </c>
      <c r="D42" s="99">
        <f>VLOOKUP($B42,Base_Mensuelle!$BX$68:$CD$679,D$2,0)</f>
        <v>664.95699999999999</v>
      </c>
      <c r="E42" s="99">
        <f>VLOOKUP($B42,Base_Mensuelle!$BX$68:$CD$679,E$2,0)</f>
        <v>567.33900000000006</v>
      </c>
      <c r="F42" s="99">
        <f>VLOOKUP($B42,Base_Mensuelle!$BX$68:$CD$679,F$2,0)</f>
        <v>42.441510944248051</v>
      </c>
      <c r="G42" s="132">
        <f>VLOOKUP($B42,Base_Mensuelle!$BX$68:$CD$679,G$2,0)</f>
        <v>126</v>
      </c>
      <c r="H42" s="99">
        <f>VLOOKUP($B42,Base_Mensuelle!$CF$68:$CJ$679,H$2,0)</f>
        <v>2.1541342019999998</v>
      </c>
      <c r="I42" s="132">
        <f>VLOOKUP($B42,Base_Mensuelle!$CF$68:$CJ$679,I$2,0)</f>
        <v>1281.57</v>
      </c>
      <c r="J42" s="19">
        <f>VLOOKUP($B42,Base_Mensuelle!$CY$67:$DE$679,5,0)</f>
        <v>669448</v>
      </c>
      <c r="K42" s="99">
        <f>VLOOKUP($B42,Base_Mensuelle!$CY$67:$DE$679,2,0)</f>
        <v>139.82304604993146</v>
      </c>
      <c r="L42" s="93"/>
      <c r="M42" s="182">
        <f>VLOOKUP($B42,Base_Mensuelle!$DG$67:$DN$679,2,0)</f>
        <v>393213</v>
      </c>
      <c r="N42" s="182">
        <f>VLOOKUP($B42,Base_Mensuelle!$DG$68:$DO$679,9,0)</f>
        <v>6343079</v>
      </c>
      <c r="O42" s="93"/>
      <c r="P42" s="20"/>
      <c r="Q42" s="14">
        <f>INDEX(Base_Mensuelle!$BX$68:$CD$679,MAX(Base_Mensuelle!$PD$68:$PD$679)-A43,1)</f>
        <v>43252</v>
      </c>
      <c r="R42" s="733">
        <f>VLOOKUP($Q42,Base_Mensuelle!$OF$67:$RN$679,12,0)</f>
        <v>1482.1249953999998</v>
      </c>
      <c r="S42" s="570">
        <f>VLOOKUP($Q42,Base_Mensuelle!$OF$67:$RN$679,15,0)</f>
        <v>2540.1024509100002</v>
      </c>
      <c r="T42" s="570">
        <f>VLOOKUP($Q42,Base_Mensuelle!$OF$67:$RN$679,22,0)</f>
        <v>582.11624254200001</v>
      </c>
      <c r="U42" s="734">
        <f>VLOOKUP($Q42,Base_Mensuelle!$OF$67:$RN$679,16,0)</f>
        <v>-9.0647325489999986</v>
      </c>
      <c r="V42" s="733">
        <f>VLOOKUP($Q42,Base_Mensuelle!$OF$67:$RN$679,27,0)</f>
        <v>415.36299539999982</v>
      </c>
      <c r="W42" s="570">
        <f>VLOOKUP($Q42,Base_Mensuelle!$OF$67:$RN$679,31,0)</f>
        <v>-99.645105565999998</v>
      </c>
      <c r="X42" s="570">
        <f>VLOOKUP($Q42,Base_Mensuelle!$OF$67:$RN$679,33,0)</f>
        <v>222.825949256</v>
      </c>
      <c r="Y42" s="570">
        <f>VLOOKUP($Q42,Base_Mensuelle!$OF$67:$RN$679,65,0)</f>
        <v>2542.8380000000002</v>
      </c>
      <c r="Z42" s="570">
        <f>VLOOKUP($Q42,Base_Mensuelle!$OF$67:$RN$679,39,0)</f>
        <v>807.59245625799997</v>
      </c>
      <c r="AA42" s="734">
        <f>VLOOKUP($Q42,Base_Mensuelle!$OF$67:$RN$679,51,0)</f>
        <v>10.568511027</v>
      </c>
      <c r="AB42" s="14">
        <f>INDEX(Base_Mensuelle!$BX$68:$CD$679,MAX(Base_Mensuelle!$FZ$68:$FZ$679)-A42,1)</f>
        <v>43221</v>
      </c>
      <c r="AC42" s="179">
        <f>VLOOKUP($AB42,Base_Mensuelle!$FL$67:$FY$679,2,0)</f>
        <v>105.8</v>
      </c>
      <c r="AD42" s="93"/>
      <c r="AE42" s="20">
        <f t="shared" si="1"/>
        <v>0.03</v>
      </c>
      <c r="AF42" s="219">
        <f>VLOOKUP($AB42,Base_Mensuelle!$GP$67:$HR$679,2,0)</f>
        <v>309.25246518356403</v>
      </c>
      <c r="AG42" s="93">
        <f>VLOOKUP($AB42,Base_Mensuelle!$GP$67:$HR$679,3,0)</f>
        <v>240.66228956863799</v>
      </c>
      <c r="AH42" s="93">
        <f>VLOOKUP($AB42,Base_Mensuelle!$GP$67:$HR$679,14,0)</f>
        <v>2076.1342668184402</v>
      </c>
      <c r="AI42" s="99">
        <f>VLOOKUP($AB42,Base_Mensuelle!$GA$67:$GO$679,5,0)</f>
        <v>91.52</v>
      </c>
      <c r="AJ42" s="99">
        <f>VLOOKUP($AB42,Base_Mensuelle!$GA$67:$GO$679,6,0)</f>
        <v>117.1</v>
      </c>
      <c r="AK42" s="99">
        <f>VLOOKUP($AB42,Base_Mensuelle!$GA$67:$GO$679,7,0)</f>
        <v>102.93</v>
      </c>
      <c r="AL42" s="99">
        <f>VLOOKUP($AB42,Base_Mensuelle!$GA$67:$GO$679,3,0)</f>
        <v>102.56</v>
      </c>
      <c r="AM42" s="132">
        <f>VLOOKUP($AB42,Base_Mensuelle!$GA$67:$GO$679,4,0)</f>
        <v>107.97</v>
      </c>
      <c r="AN42" s="179">
        <f>VLOOKUP($AB42,Base_Mensuelle!$HS$67:$JV$679,9,0)</f>
        <v>239.37909317016602</v>
      </c>
      <c r="AO42" s="99">
        <f>VLOOKUP($AB42,Base_Mensuelle!$HS$67:$JV$679,23,0)</f>
        <v>170.67773056030273</v>
      </c>
      <c r="AP42" s="99">
        <f>VLOOKUP($AB42,Base_Mensuelle!$HS$67:$JV$679,39,0)</f>
        <v>400</v>
      </c>
      <c r="AQ42" s="99">
        <f>VLOOKUP($AB42,Base_Mensuelle!$HS$67:$JV$679,10,0)</f>
        <v>176.67845153808594</v>
      </c>
      <c r="AR42" s="132">
        <f>VLOOKUP($AB42,Base_Mensuelle!$HS$67:$JV$679,11,0)</f>
        <v>134.22890853881836</v>
      </c>
      <c r="AS42" s="733">
        <f>VLOOKUP($B42,Base_Mensuelle!$JW$67:$KZ$679,3,0)</f>
        <v>352.3007280883287</v>
      </c>
      <c r="AT42" s="734">
        <f>VLOOKUP($B42,Base_Mensuelle!$JW$67:$KZ$679,8,0)</f>
        <v>362.71239544187995</v>
      </c>
      <c r="AU42" s="733">
        <f>VLOOKUP($B42,Base_Mensuelle!$JW$67:$KZ$679,11,0)</f>
        <v>30.027437499962044</v>
      </c>
      <c r="AV42" s="734">
        <f>VLOOKUP($B42,Base_Mensuelle!$JW$67:$KZ$679,15,0)</f>
        <v>43.087901722021449</v>
      </c>
      <c r="AW42" s="733">
        <f>VLOOKUP($B42,Base_Mensuelle!$JW$67:$KZ$679,25,0)</f>
        <v>25.922857777512167</v>
      </c>
      <c r="AX42" s="734">
        <f>VLOOKUP($B42,Base_Mensuelle!$JW$67:$KZ$679,29,0)</f>
        <v>23.191879023912829</v>
      </c>
    </row>
    <row r="43" spans="1:50">
      <c r="A43" s="175">
        <f t="shared" si="0"/>
        <v>66</v>
      </c>
      <c r="B43" s="14">
        <f>INDEX(Base_Mensuelle!$BX$68:$CD$679,MAX(Base_Mensuelle!$CD$68:$CD$679)-A44,1)</f>
        <v>43282</v>
      </c>
      <c r="C43" s="179">
        <f>VLOOKUP($B43,Base_Mensuelle!$BX$68:$CD$679,C$2,0)</f>
        <v>558.92700000000002</v>
      </c>
      <c r="D43" s="99">
        <f>VLOOKUP($B43,Base_Mensuelle!$BX$68:$CD$679,D$2,0)</f>
        <v>664.95699999999999</v>
      </c>
      <c r="E43" s="99">
        <f>VLOOKUP($B43,Base_Mensuelle!$BX$68:$CD$679,E$2,0)</f>
        <v>565.87</v>
      </c>
      <c r="F43" s="99">
        <f>VLOOKUP($B43,Base_Mensuelle!$BX$68:$CD$679,F$2,0)</f>
        <v>42.143117133570456</v>
      </c>
      <c r="G43" s="132">
        <f>VLOOKUP($B43,Base_Mensuelle!$BX$68:$CD$679,G$2,0)</f>
        <v>126</v>
      </c>
      <c r="H43" s="99">
        <f>VLOOKUP($B43,Base_Mensuelle!$CF$68:$CJ$679,H$2,0)</f>
        <v>2.1204035160000001</v>
      </c>
      <c r="I43" s="132">
        <f>VLOOKUP($B43,Base_Mensuelle!$CF$68:$CJ$679,I$2,0)</f>
        <v>1237.71</v>
      </c>
      <c r="J43" s="19">
        <f>VLOOKUP($B43,Base_Mensuelle!$CY$67:$DE$679,5,0)</f>
        <v>669448</v>
      </c>
      <c r="K43" s="99">
        <f>VLOOKUP($B43,Base_Mensuelle!$CY$67:$DE$679,2,0)</f>
        <v>126.84582745059191</v>
      </c>
      <c r="L43" s="93"/>
      <c r="M43" s="182">
        <f>VLOOKUP($B43,Base_Mensuelle!$DG$67:$DN$679,2,0)</f>
        <v>394294</v>
      </c>
      <c r="N43" s="182">
        <f>VLOOKUP($B43,Base_Mensuelle!$DG$68:$DO$679,9,0)</f>
        <v>5826591</v>
      </c>
      <c r="O43" s="93"/>
      <c r="P43" s="20"/>
      <c r="Q43" s="14">
        <f>INDEX(Base_Mensuelle!$BX$68:$CD$679,MAX(Base_Mensuelle!$PD$68:$PD$679)-A44,1)</f>
        <v>43282</v>
      </c>
      <c r="R43" s="733">
        <f>VLOOKUP($Q43,Base_Mensuelle!$OF$67:$RN$679,12,0)</f>
        <v>1398.6189073770001</v>
      </c>
      <c r="S43" s="570">
        <f>VLOOKUP($Q43,Base_Mensuelle!$OF$67:$RN$679,15,0)</f>
        <v>2535.1702227170003</v>
      </c>
      <c r="T43" s="570">
        <f>VLOOKUP($Q43,Base_Mensuelle!$OF$67:$RN$679,22,0)</f>
        <v>564.01481529000012</v>
      </c>
      <c r="U43" s="734">
        <f>VLOOKUP($Q43,Base_Mensuelle!$OF$67:$RN$679,16,0)</f>
        <v>14.336826566999989</v>
      </c>
      <c r="V43" s="733">
        <f>VLOOKUP($Q43,Base_Mensuelle!$OF$67:$RN$679,27,0)</f>
        <v>355.51790737700003</v>
      </c>
      <c r="W43" s="570">
        <f>VLOOKUP($Q43,Base_Mensuelle!$OF$67:$RN$679,31,0)</f>
        <v>-94.994678968000031</v>
      </c>
      <c r="X43" s="570">
        <f>VLOOKUP($Q43,Base_Mensuelle!$OF$67:$RN$679,33,0)</f>
        <v>217.45728645000003</v>
      </c>
      <c r="Y43" s="570">
        <f>VLOOKUP($Q43,Base_Mensuelle!$OF$67:$RN$679,65,0)</f>
        <v>2499.875</v>
      </c>
      <c r="Z43" s="570">
        <f>VLOOKUP($Q43,Base_Mensuelle!$OF$67:$RN$679,39,0)</f>
        <v>753.87792733299989</v>
      </c>
      <c r="AA43" s="734">
        <f>VLOOKUP($Q43,Base_Mensuelle!$OF$67:$RN$679,51,0)</f>
        <v>11.220388752</v>
      </c>
      <c r="AB43" s="14">
        <f>INDEX(Base_Mensuelle!$BX$68:$CD$679,MAX(Base_Mensuelle!$FZ$68:$FZ$679)-A43,1)</f>
        <v>43252</v>
      </c>
      <c r="AC43" s="179">
        <f>VLOOKUP($AB43,Base_Mensuelle!$FL$67:$FY$679,2,0)</f>
        <v>107.2</v>
      </c>
      <c r="AD43" s="93"/>
      <c r="AE43" s="20">
        <f t="shared" si="1"/>
        <v>0.03</v>
      </c>
      <c r="AF43" s="219">
        <f>VLOOKUP($AB43,Base_Mensuelle!$GP$67:$HR$679,2,0)</f>
        <v>322.47324664231502</v>
      </c>
      <c r="AG43" s="93">
        <f>VLOOKUP($AB43,Base_Mensuelle!$GP$67:$HR$679,3,0)</f>
        <v>254.77453958794399</v>
      </c>
      <c r="AH43" s="93">
        <f>VLOOKUP($AB43,Base_Mensuelle!$GP$67:$HR$679,14,0)</f>
        <v>1906.15908843016</v>
      </c>
      <c r="AI43" s="99">
        <f>VLOOKUP($AB43,Base_Mensuelle!$GA$67:$GO$679,5,0)</f>
        <v>91.8</v>
      </c>
      <c r="AJ43" s="99">
        <f>VLOOKUP($AB43,Base_Mensuelle!$GA$67:$GO$679,6,0)</f>
        <v>120.65</v>
      </c>
      <c r="AK43" s="99">
        <f>VLOOKUP($AB43,Base_Mensuelle!$GA$67:$GO$679,7,0)</f>
        <v>103.35</v>
      </c>
      <c r="AL43" s="99">
        <f>VLOOKUP($AB43,Base_Mensuelle!$GA$67:$GO$679,3,0)</f>
        <v>102.14</v>
      </c>
      <c r="AM43" s="132">
        <f>VLOOKUP($AB43,Base_Mensuelle!$GA$67:$GO$679,4,0)</f>
        <v>109.97</v>
      </c>
      <c r="AN43" s="179">
        <f>VLOOKUP($AB43,Base_Mensuelle!$HS$67:$JV$679,9,0)</f>
        <v>237.74510955810547</v>
      </c>
      <c r="AO43" s="99">
        <f>VLOOKUP($AB43,Base_Mensuelle!$HS$67:$JV$679,23,0)</f>
        <v>171.47591018676758</v>
      </c>
      <c r="AP43" s="99">
        <f>VLOOKUP($AB43,Base_Mensuelle!$HS$67:$JV$679,39,0)</f>
        <v>370.68963623046875</v>
      </c>
      <c r="AQ43" s="99">
        <f>VLOOKUP($AB43,Base_Mensuelle!$HS$67:$JV$679,10,0)</f>
        <v>173.04807027180991</v>
      </c>
      <c r="AR43" s="132">
        <f>VLOOKUP($AB43,Base_Mensuelle!$HS$67:$JV$679,11,0)</f>
        <v>136.62413024902344</v>
      </c>
      <c r="AS43" s="733">
        <f>VLOOKUP($B43,Base_Mensuelle!$JW$67:$KZ$679,3,0)</f>
        <v>309.33333333333331</v>
      </c>
      <c r="AT43" s="734">
        <f>VLOOKUP($B43,Base_Mensuelle!$JW$67:$KZ$679,8,0)</f>
        <v>283.21428571428572</v>
      </c>
      <c r="AU43" s="733">
        <f>VLOOKUP($B43,Base_Mensuelle!$JW$67:$KZ$679,11,0)</f>
        <v>47.45</v>
      </c>
      <c r="AV43" s="734">
        <f>VLOOKUP($B43,Base_Mensuelle!$JW$67:$KZ$679,15,0)</f>
        <v>69.714285714286007</v>
      </c>
      <c r="AW43" s="733">
        <f>VLOOKUP($B43,Base_Mensuelle!$JW$67:$KZ$679,25,0)</f>
        <v>23.433333333333334</v>
      </c>
      <c r="AX43" s="734">
        <f>VLOOKUP($B43,Base_Mensuelle!$JW$67:$KZ$679,29,0)</f>
        <v>23.705882352941199</v>
      </c>
    </row>
    <row r="44" spans="1:50">
      <c r="A44" s="175">
        <f t="shared" si="0"/>
        <v>65</v>
      </c>
      <c r="B44" s="14">
        <f>INDEX(Base_Mensuelle!$BX$68:$CD$679,MAX(Base_Mensuelle!$CD$68:$CD$679)-A45,1)</f>
        <v>43313</v>
      </c>
      <c r="C44" s="179">
        <f>VLOOKUP($B44,Base_Mensuelle!$BX$68:$CD$679,C$2,0)</f>
        <v>563.005</v>
      </c>
      <c r="D44" s="99">
        <f>VLOOKUP($B44,Base_Mensuelle!$BX$68:$CD$679,D$2,0)</f>
        <v>664.95699999999999</v>
      </c>
      <c r="E44" s="99">
        <f>VLOOKUP($B44,Base_Mensuelle!$BX$68:$CD$679,E$2,0)</f>
        <v>581.471</v>
      </c>
      <c r="F44" s="99">
        <f>VLOOKUP($B44,Base_Mensuelle!$BX$68:$CD$679,F$2,0)</f>
        <v>40.59732936956415</v>
      </c>
      <c r="G44" s="132">
        <f>VLOOKUP($B44,Base_Mensuelle!$BX$68:$CD$679,G$2,0)</f>
        <v>126</v>
      </c>
      <c r="H44" s="99">
        <f>VLOOKUP($B44,Base_Mensuelle!$CF$68:$CJ$679,H$2,0)</f>
        <v>2.0844682099999998</v>
      </c>
      <c r="I44" s="132">
        <f>VLOOKUP($B44,Base_Mensuelle!$CF$68:$CJ$679,I$2,0)</f>
        <v>1201.71</v>
      </c>
      <c r="J44" s="19">
        <f>VLOOKUP($B44,Base_Mensuelle!$CY$67:$DE$679,5,0)</f>
        <v>669448</v>
      </c>
      <c r="K44" s="99">
        <f>VLOOKUP($B44,Base_Mensuelle!$CY$67:$DE$679,2,0)</f>
        <v>123.06363720660914</v>
      </c>
      <c r="L44" s="93"/>
      <c r="M44" s="182">
        <f>VLOOKUP($B44,Base_Mensuelle!$DG$67:$DN$679,2,0)</f>
        <v>396000.5</v>
      </c>
      <c r="N44" s="182">
        <f>VLOOKUP($B44,Base_Mensuelle!$DG$68:$DO$679,9,0)</f>
        <v>5755175</v>
      </c>
      <c r="O44" s="93"/>
      <c r="P44" s="20"/>
      <c r="Q44" s="14">
        <f>INDEX(Base_Mensuelle!$BX$68:$CD$679,MAX(Base_Mensuelle!$PD$68:$PD$679)-A45,1)</f>
        <v>43313</v>
      </c>
      <c r="R44" s="733">
        <f>VLOOKUP($Q44,Base_Mensuelle!$OF$67:$RN$679,12,0)</f>
        <v>1370.4860119099999</v>
      </c>
      <c r="S44" s="570">
        <f>VLOOKUP($Q44,Base_Mensuelle!$OF$67:$RN$679,15,0)</f>
        <v>2597.4150319750001</v>
      </c>
      <c r="T44" s="570">
        <f>VLOOKUP($Q44,Base_Mensuelle!$OF$67:$RN$679,22,0)</f>
        <v>568.26638656199998</v>
      </c>
      <c r="U44" s="734">
        <f>VLOOKUP($Q44,Base_Mensuelle!$OF$67:$RN$679,16,0)</f>
        <v>54.369214928000048</v>
      </c>
      <c r="V44" s="733">
        <f>VLOOKUP($Q44,Base_Mensuelle!$OF$67:$RN$679,27,0)</f>
        <v>300.71201191000011</v>
      </c>
      <c r="W44" s="570">
        <f>VLOOKUP($Q44,Base_Mensuelle!$OF$67:$RN$679,31,0)</f>
        <v>-55.748847846999993</v>
      </c>
      <c r="X44" s="570">
        <f>VLOOKUP($Q44,Base_Mensuelle!$OF$67:$RN$679,33,0)</f>
        <v>178.234133977</v>
      </c>
      <c r="Y44" s="570">
        <f>VLOOKUP($Q44,Base_Mensuelle!$OF$67:$RN$679,65,0)</f>
        <v>2536.442</v>
      </c>
      <c r="Z44" s="570">
        <f>VLOOKUP($Q44,Base_Mensuelle!$OF$67:$RN$679,39,0)</f>
        <v>784.85506779899993</v>
      </c>
      <c r="AA44" s="734">
        <f>VLOOKUP($Q44,Base_Mensuelle!$OF$67:$RN$679,51,0)</f>
        <v>11.9973885</v>
      </c>
      <c r="AB44" s="14">
        <f>INDEX(Base_Mensuelle!$BX$68:$CD$679,MAX(Base_Mensuelle!$FZ$68:$FZ$679)-A44,1)</f>
        <v>43282</v>
      </c>
      <c r="AC44" s="179">
        <f>VLOOKUP($AB44,Base_Mensuelle!$FL$67:$FY$679,2,0)</f>
        <v>108.03</v>
      </c>
      <c r="AD44" s="93"/>
      <c r="AE44" s="20">
        <f t="shared" si="1"/>
        <v>0.03</v>
      </c>
      <c r="AF44" s="219">
        <f>VLOOKUP($AB44,Base_Mensuelle!$GP$67:$HR$679,2,0)</f>
        <v>322.76091236629452</v>
      </c>
      <c r="AG44" s="93">
        <f>VLOOKUP($AB44,Base_Mensuelle!$GP$67:$HR$679,3,0)</f>
        <v>257.03306712715835</v>
      </c>
      <c r="AH44" s="93">
        <f>VLOOKUP($AB44,Base_Mensuelle!$GP$67:$HR$679,14,0)</f>
        <v>1880.6679901373022</v>
      </c>
      <c r="AI44" s="99">
        <f>VLOOKUP($AB44,Base_Mensuelle!$GA$67:$GO$679,5,0)</f>
        <v>90.31</v>
      </c>
      <c r="AJ44" s="99">
        <f>VLOOKUP($AB44,Base_Mensuelle!$GA$67:$GO$679,6,0)</f>
        <v>122.87</v>
      </c>
      <c r="AK44" s="99">
        <f>VLOOKUP($AB44,Base_Mensuelle!$GA$67:$GO$679,7,0)</f>
        <v>103.86</v>
      </c>
      <c r="AL44" s="99">
        <f>VLOOKUP($AB44,Base_Mensuelle!$GA$67:$GO$679,3,0)</f>
        <v>102.24</v>
      </c>
      <c r="AM44" s="132">
        <f>VLOOKUP($AB44,Base_Mensuelle!$GA$67:$GO$679,4,0)</f>
        <v>111.05</v>
      </c>
      <c r="AN44" s="179">
        <f>VLOOKUP($AB44,Base_Mensuelle!$HS$67:$JV$679,9,0)</f>
        <v>243.46405029296875</v>
      </c>
      <c r="AO44" s="99">
        <f>VLOOKUP($AB44,Base_Mensuelle!$HS$67:$JV$679,23,0)</f>
        <v>191.57583770751953</v>
      </c>
      <c r="AP44" s="99">
        <f>VLOOKUP($AB44,Base_Mensuelle!$HS$67:$JV$679,39,0)</f>
        <v>357.10832612608095</v>
      </c>
      <c r="AQ44" s="99">
        <f>VLOOKUP($AB44,Base_Mensuelle!$HS$67:$JV$679,10,0)</f>
        <v>172.47387313842773</v>
      </c>
      <c r="AR44" s="132">
        <f>VLOOKUP($AB44,Base_Mensuelle!$HS$67:$JV$679,11,0)</f>
        <v>136.51508483886718</v>
      </c>
      <c r="AS44" s="733">
        <f>VLOOKUP($B44,Base_Mensuelle!$JW$67:$KZ$679,3,0)</f>
        <v>311.25</v>
      </c>
      <c r="AT44" s="734">
        <f>VLOOKUP($B44,Base_Mensuelle!$JW$67:$KZ$679,8,0)</f>
        <v>286.38888888888886</v>
      </c>
      <c r="AU44" s="733">
        <f>VLOOKUP($B44,Base_Mensuelle!$JW$67:$KZ$679,11,0)</f>
        <v>50.541666666666664</v>
      </c>
      <c r="AV44" s="734">
        <f>VLOOKUP($B44,Base_Mensuelle!$JW$67:$KZ$679,15,0)</f>
        <v>74.194805194805198</v>
      </c>
      <c r="AW44" s="733">
        <f>VLOOKUP($B44,Base_Mensuelle!$JW$67:$KZ$679,25,0)</f>
        <v>21.7</v>
      </c>
      <c r="AX44" s="734">
        <f>VLOOKUP($B44,Base_Mensuelle!$JW$67:$KZ$679,29,0)</f>
        <v>23.184615384615402</v>
      </c>
    </row>
    <row r="45" spans="1:50">
      <c r="A45" s="175">
        <f t="shared" si="0"/>
        <v>64</v>
      </c>
      <c r="B45" s="14">
        <f>INDEX(Base_Mensuelle!$BX$68:$CD$679,MAX(Base_Mensuelle!$CD$68:$CD$679)-A46,1)</f>
        <v>43344</v>
      </c>
      <c r="C45" s="179">
        <f>VLOOKUP($B45,Base_Mensuelle!$BX$68:$CD$679,C$2,0)</f>
        <v>562.61900000000003</v>
      </c>
      <c r="D45" s="99">
        <f>VLOOKUP($B45,Base_Mensuelle!$BX$68:$CD$679,D$2,0)</f>
        <v>664.95699999999999</v>
      </c>
      <c r="E45" s="99">
        <f>VLOOKUP($B45,Base_Mensuelle!$BX$68:$CD$679,E$2,0)</f>
        <v>581.21299999999997</v>
      </c>
      <c r="F45" s="99">
        <f>VLOOKUP($B45,Base_Mensuelle!$BX$68:$CD$679,F$2,0)</f>
        <v>38.419977364404069</v>
      </c>
      <c r="G45" s="132">
        <f>VLOOKUP($B45,Base_Mensuelle!$BX$68:$CD$679,G$2,0)</f>
        <v>116.56837736842104</v>
      </c>
      <c r="H45" s="99">
        <f>VLOOKUP($B45,Base_Mensuelle!$CF$68:$CJ$679,H$2,0)</f>
        <v>1.9920946319999999</v>
      </c>
      <c r="I45" s="132">
        <f>VLOOKUP($B45,Base_Mensuelle!$CF$68:$CJ$679,I$2,0)</f>
        <v>1198.3900000000001</v>
      </c>
      <c r="J45" s="19">
        <f>VLOOKUP($B45,Base_Mensuelle!$CY$67:$DE$679,5,0)</f>
        <v>669448</v>
      </c>
      <c r="K45" s="99">
        <f>VLOOKUP($B45,Base_Mensuelle!$CY$67:$DE$679,2,0)</f>
        <v>121.96905879458902</v>
      </c>
      <c r="L45" s="93"/>
      <c r="M45" s="182">
        <f>VLOOKUP($B45,Base_Mensuelle!$DG$67:$DN$679,2,0)</f>
        <v>396475</v>
      </c>
      <c r="N45" s="182">
        <f>VLOOKUP($B45,Base_Mensuelle!$DG$68:$DO$679,9,0)</f>
        <v>5709356</v>
      </c>
      <c r="O45" s="93"/>
      <c r="P45" s="20"/>
      <c r="Q45" s="14">
        <f>INDEX(Base_Mensuelle!$BX$68:$CD$679,MAX(Base_Mensuelle!$PD$68:$PD$679)-A46,1)</f>
        <v>43344</v>
      </c>
      <c r="R45" s="733">
        <f>VLOOKUP($Q45,Base_Mensuelle!$OF$67:$RN$679,12,0)</f>
        <v>1246.5533834439998</v>
      </c>
      <c r="S45" s="570">
        <f>VLOOKUP($Q45,Base_Mensuelle!$OF$67:$RN$679,15,0)</f>
        <v>2683.7665308769997</v>
      </c>
      <c r="T45" s="570">
        <f>VLOOKUP($Q45,Base_Mensuelle!$OF$67:$RN$679,22,0)</f>
        <v>578.66076109499932</v>
      </c>
      <c r="U45" s="734">
        <f>VLOOKUP($Q45,Base_Mensuelle!$OF$67:$RN$679,16,0)</f>
        <v>78.548184442000021</v>
      </c>
      <c r="V45" s="733">
        <f>VLOOKUP($Q45,Base_Mensuelle!$OF$67:$RN$679,27,0)</f>
        <v>216.10138344399991</v>
      </c>
      <c r="W45" s="570">
        <f>VLOOKUP($Q45,Base_Mensuelle!$OF$67:$RN$679,31,0)</f>
        <v>-27.99813380099998</v>
      </c>
      <c r="X45" s="570">
        <f>VLOOKUP($Q45,Base_Mensuelle!$OF$67:$RN$679,33,0)</f>
        <v>149.18865834899998</v>
      </c>
      <c r="Y45" s="570">
        <f>VLOOKUP($Q45,Base_Mensuelle!$OF$67:$RN$679,65,0)</f>
        <v>2598.77</v>
      </c>
      <c r="Z45" s="570">
        <f>VLOOKUP($Q45,Base_Mensuelle!$OF$67:$RN$679,39,0)</f>
        <v>751.65964767199989</v>
      </c>
      <c r="AA45" s="734">
        <f>VLOOKUP($Q45,Base_Mensuelle!$OF$67:$RN$679,51,0)</f>
        <v>12.738534559</v>
      </c>
      <c r="AB45" s="14">
        <f>INDEX(Base_Mensuelle!$BX$68:$CD$679,MAX(Base_Mensuelle!$FZ$68:$FZ$679)-A45,1)</f>
        <v>43313</v>
      </c>
      <c r="AC45" s="179">
        <f>VLOOKUP($AB45,Base_Mensuelle!$FL$67:$FY$679,2,0)</f>
        <v>106.93</v>
      </c>
      <c r="AD45" s="93"/>
      <c r="AE45" s="20">
        <f t="shared" si="1"/>
        <v>0.03</v>
      </c>
      <c r="AF45" s="219">
        <f>VLOOKUP($AB45,Base_Mensuelle!$GP$67:$HR$679,2,0)</f>
        <v>329.80401253437168</v>
      </c>
      <c r="AG45" s="93">
        <f>VLOOKUP($AB45,Base_Mensuelle!$GP$67:$HR$679,3,0)</f>
        <v>265.70845146363291</v>
      </c>
      <c r="AH45" s="93">
        <f>VLOOKUP($AB45,Base_Mensuelle!$GP$67:$HR$679,14,0)</f>
        <v>1791.1068075351207</v>
      </c>
      <c r="AI45" s="99">
        <f>VLOOKUP($AB45,Base_Mensuelle!$GA$67:$GO$679,5,0)</f>
        <v>90.99</v>
      </c>
      <c r="AJ45" s="99">
        <f>VLOOKUP($AB45,Base_Mensuelle!$GA$67:$GO$679,6,0)</f>
        <v>119.18</v>
      </c>
      <c r="AK45" s="99">
        <f>VLOOKUP($AB45,Base_Mensuelle!$GA$67:$GO$679,7,0)</f>
        <v>103.41</v>
      </c>
      <c r="AL45" s="99">
        <f>VLOOKUP($AB45,Base_Mensuelle!$GA$67:$GO$679,3,0)</f>
        <v>102.36</v>
      </c>
      <c r="AM45" s="132">
        <f>VLOOKUP($AB45,Base_Mensuelle!$GA$67:$GO$679,4,0)</f>
        <v>109.3</v>
      </c>
      <c r="AN45" s="179">
        <f>VLOOKUP($AB45,Base_Mensuelle!$HS$67:$JV$679,9,0)</f>
        <v>230.39216613769531</v>
      </c>
      <c r="AO45" s="99">
        <f>VLOOKUP($AB45,Base_Mensuelle!$HS$67:$JV$679,23,0)</f>
        <v>193.54838562011719</v>
      </c>
      <c r="AP45" s="99">
        <f>VLOOKUP($AB45,Base_Mensuelle!$HS$67:$JV$679,39,0)</f>
        <v>337.48274810629874</v>
      </c>
      <c r="AQ45" s="99">
        <f>VLOOKUP($AB45,Base_Mensuelle!$HS$67:$JV$679,10,0)</f>
        <v>172.00228118896484</v>
      </c>
      <c r="AR45" s="132">
        <f>VLOOKUP($AB45,Base_Mensuelle!$HS$67:$JV$679,11,0)</f>
        <v>144.5488166809082</v>
      </c>
      <c r="AS45" s="733">
        <f>VLOOKUP($B45,Base_Mensuelle!$JW$67:$KZ$679,3,0)</f>
        <v>320.38461538461536</v>
      </c>
      <c r="AT45" s="734">
        <f>VLOOKUP($B45,Base_Mensuelle!$JW$67:$KZ$679,8,0)</f>
        <v>277.33870967741933</v>
      </c>
      <c r="AU45" s="733">
        <f>VLOOKUP($B45,Base_Mensuelle!$JW$67:$KZ$679,11,0)</f>
        <v>42.791666666666664</v>
      </c>
      <c r="AV45" s="734">
        <f>VLOOKUP($B45,Base_Mensuelle!$JW$67:$KZ$679,15,0)</f>
        <v>66.953575342465797</v>
      </c>
      <c r="AW45" s="733">
        <f>VLOOKUP($B45,Base_Mensuelle!$JW$67:$KZ$679,25,0)</f>
        <v>23.75</v>
      </c>
      <c r="AX45" s="734">
        <f>VLOOKUP($B45,Base_Mensuelle!$JW$67:$KZ$679,29,0)</f>
        <v>22.3055555555556</v>
      </c>
    </row>
    <row r="46" spans="1:50">
      <c r="A46" s="175">
        <f t="shared" si="0"/>
        <v>63</v>
      </c>
      <c r="B46" s="14">
        <f>INDEX(Base_Mensuelle!$BX$68:$CD$679,MAX(Base_Mensuelle!$CD$68:$CD$679)-A47,1)</f>
        <v>43374</v>
      </c>
      <c r="C46" s="179">
        <f>VLOOKUP($B46,Base_Mensuelle!$BX$68:$CD$679,C$2,0)</f>
        <v>571.19200000000001</v>
      </c>
      <c r="D46" s="99">
        <f>VLOOKUP($B46,Base_Mensuelle!$BX$68:$CD$679,D$2,0)</f>
        <v>664.95699999999999</v>
      </c>
      <c r="E46" s="99">
        <f>VLOOKUP($B46,Base_Mensuelle!$BX$68:$CD$679,E$2,0)</f>
        <v>574.745</v>
      </c>
      <c r="F46" s="99">
        <f>VLOOKUP($B46,Base_Mensuelle!$BX$68:$CD$679,F$2,0)</f>
        <v>39.805761702332056</v>
      </c>
      <c r="G46" s="132">
        <f>VLOOKUP($B46,Base_Mensuelle!$BX$68:$CD$679,G$2,0)</f>
        <v>119.021</v>
      </c>
      <c r="H46" s="99">
        <f>VLOOKUP($B46,Base_Mensuelle!$CF$68:$CJ$679,H$2,0)</f>
        <v>1.9136101599999999</v>
      </c>
      <c r="I46" s="132">
        <f>VLOOKUP($B46,Base_Mensuelle!$CF$68:$CJ$679,I$2,0)</f>
        <v>1215.3900000000001</v>
      </c>
      <c r="J46" s="19">
        <f>VLOOKUP($B46,Base_Mensuelle!$CY$67:$DE$679,5,0)</f>
        <v>669448</v>
      </c>
      <c r="K46" s="99">
        <f>VLOOKUP($B46,Base_Mensuelle!$CY$67:$DE$679,2,0)</f>
        <v>116.4267430532249</v>
      </c>
      <c r="L46" s="93"/>
      <c r="M46" s="182">
        <f>VLOOKUP($B46,Base_Mensuelle!$DG$67:$DN$679,2,0)</f>
        <v>398299</v>
      </c>
      <c r="N46" s="182">
        <f>VLOOKUP($B46,Base_Mensuelle!$DG$68:$DO$679,9,0)</f>
        <v>6334218</v>
      </c>
      <c r="O46" s="93"/>
      <c r="P46" s="20"/>
      <c r="Q46" s="14">
        <f>INDEX(Base_Mensuelle!$BX$68:$CD$679,MAX(Base_Mensuelle!$PD$68:$PD$679)-A47,1)</f>
        <v>43374</v>
      </c>
      <c r="R46" s="733">
        <f>VLOOKUP($Q46,Base_Mensuelle!$OF$67:$RN$679,12,0)</f>
        <v>1257.2255482980001</v>
      </c>
      <c r="S46" s="570">
        <f>VLOOKUP($Q46,Base_Mensuelle!$OF$67:$RN$679,15,0)</f>
        <v>2672.1659929669995</v>
      </c>
      <c r="T46" s="570">
        <f>VLOOKUP($Q46,Base_Mensuelle!$OF$67:$RN$679,22,0)</f>
        <v>583.78364952799939</v>
      </c>
      <c r="U46" s="734">
        <f>VLOOKUP($Q46,Base_Mensuelle!$OF$67:$RN$679,16,0)</f>
        <v>73.850666772000039</v>
      </c>
      <c r="V46" s="733">
        <f>VLOOKUP($Q46,Base_Mensuelle!$OF$67:$RN$679,27,0)</f>
        <v>228.09454829800006</v>
      </c>
      <c r="W46" s="570">
        <f>VLOOKUP($Q46,Base_Mensuelle!$OF$67:$RN$679,31,0)</f>
        <v>-43.444251175999995</v>
      </c>
      <c r="X46" s="570">
        <f>VLOOKUP($Q46,Base_Mensuelle!$OF$67:$RN$679,33,0)</f>
        <v>164.65781423199999</v>
      </c>
      <c r="Y46" s="570">
        <f>VLOOKUP($Q46,Base_Mensuelle!$OF$67:$RN$679,65,0)</f>
        <v>2591.806</v>
      </c>
      <c r="Z46" s="570">
        <f>VLOOKUP($Q46,Base_Mensuelle!$OF$67:$RN$679,39,0)</f>
        <v>778.41706823499999</v>
      </c>
      <c r="AA46" s="734">
        <f>VLOOKUP($Q46,Base_Mensuelle!$OF$67:$RN$679,51,0)</f>
        <v>13.95092676</v>
      </c>
      <c r="AB46" s="14">
        <f>INDEX(Base_Mensuelle!$BX$68:$CD$679,MAX(Base_Mensuelle!$FZ$68:$FZ$679)-A46,1)</f>
        <v>43344</v>
      </c>
      <c r="AC46" s="179">
        <f>VLOOKUP($AB46,Base_Mensuelle!$FL$67:$FY$679,2,0)</f>
        <v>107.29</v>
      </c>
      <c r="AD46" s="93"/>
      <c r="AE46" s="20">
        <f t="shared" si="1"/>
        <v>0.03</v>
      </c>
      <c r="AF46" s="219">
        <f>VLOOKUP($AB46,Base_Mensuelle!$GP$67:$HR$679,2,0)</f>
        <v>325</v>
      </c>
      <c r="AG46" s="93">
        <f>VLOOKUP($AB46,Base_Mensuelle!$GP$67:$HR$679,3,0)</f>
        <v>246</v>
      </c>
      <c r="AH46" s="93">
        <f>VLOOKUP($AB46,Base_Mensuelle!$GP$67:$HR$679,14,0)</f>
        <v>1933</v>
      </c>
      <c r="AI46" s="99">
        <f>VLOOKUP($AB46,Base_Mensuelle!$GA$67:$GO$679,5,0)</f>
        <v>92.53</v>
      </c>
      <c r="AJ46" s="99">
        <f>VLOOKUP($AB46,Base_Mensuelle!$GA$67:$GO$679,6,0)</f>
        <v>118.69</v>
      </c>
      <c r="AK46" s="99">
        <f>VLOOKUP($AB46,Base_Mensuelle!$GA$67:$GO$679,7,0)</f>
        <v>103.87</v>
      </c>
      <c r="AL46" s="99">
        <f>VLOOKUP($AB46,Base_Mensuelle!$GA$67:$GO$679,3,0)</f>
        <v>103</v>
      </c>
      <c r="AM46" s="132">
        <f>VLOOKUP($AB46,Base_Mensuelle!$GA$67:$GO$679,4,0)</f>
        <v>109.58</v>
      </c>
      <c r="AN46" s="179">
        <f>VLOOKUP($AB46,Base_Mensuelle!$HS$67:$JV$679,9,0)</f>
        <v>226.30719757080078</v>
      </c>
      <c r="AO46" s="99">
        <f>VLOOKUP($AB46,Base_Mensuelle!$HS$67:$JV$679,23,0)</f>
        <v>193.54838562011719</v>
      </c>
      <c r="AP46" s="99">
        <f>VLOOKUP($AB46,Base_Mensuelle!$HS$67:$JV$679,39,0)</f>
        <v>400</v>
      </c>
      <c r="AQ46" s="99">
        <f>VLOOKUP($AB46,Base_Mensuelle!$HS$67:$JV$679,10,0)</f>
        <v>181.25</v>
      </c>
      <c r="AR46" s="132">
        <f>VLOOKUP($AB46,Base_Mensuelle!$HS$67:$JV$679,11,0)</f>
        <v>139.22371673583984</v>
      </c>
      <c r="AS46" s="733">
        <f>VLOOKUP($B46,Base_Mensuelle!$JW$67:$KZ$679,3,0)</f>
        <v>327.94871794871796</v>
      </c>
      <c r="AT46" s="734">
        <f>VLOOKUP($B46,Base_Mensuelle!$JW$67:$KZ$679,8,0)</f>
        <v>288.39743589743586</v>
      </c>
      <c r="AU46" s="733">
        <f>VLOOKUP($B46,Base_Mensuelle!$JW$67:$KZ$679,11,0)</f>
        <v>43</v>
      </c>
      <c r="AV46" s="734">
        <f>VLOOKUP($B46,Base_Mensuelle!$JW$67:$KZ$679,15,0)</f>
        <v>69.554487179487168</v>
      </c>
      <c r="AW46" s="733">
        <f>VLOOKUP($B46,Base_Mensuelle!$JW$67:$KZ$679,25,0)</f>
        <v>24.5</v>
      </c>
      <c r="AX46" s="734">
        <f>VLOOKUP($B46,Base_Mensuelle!$JW$67:$KZ$679,29,0)</f>
        <v>23.743589743589741</v>
      </c>
    </row>
    <row r="47" spans="1:50">
      <c r="A47" s="175">
        <f t="shared" si="0"/>
        <v>62</v>
      </c>
      <c r="B47" s="14">
        <f>INDEX(Base_Mensuelle!$BX$68:$CD$679,MAX(Base_Mensuelle!$CD$68:$CD$679)-A48,1)</f>
        <v>43405</v>
      </c>
      <c r="C47" s="179">
        <f>VLOOKUP($B47,Base_Mensuelle!$BX$68:$CD$679,C$2,0)</f>
        <v>577.07100000000003</v>
      </c>
      <c r="D47" s="99">
        <f>VLOOKUP($B47,Base_Mensuelle!$BX$68:$CD$679,D$2,0)</f>
        <v>664.95699999999999</v>
      </c>
      <c r="E47" s="99">
        <f>VLOOKUP($B47,Base_Mensuelle!$BX$68:$CD$679,E$2,0)</f>
        <v>576.56399999999996</v>
      </c>
      <c r="F47" s="99">
        <f>VLOOKUP($B47,Base_Mensuelle!$BX$68:$CD$679,F$2,0)</f>
        <v>41.467766716214705</v>
      </c>
      <c r="G47" s="132">
        <f>VLOOKUP($B47,Base_Mensuelle!$BX$68:$CD$679,G$2,0)</f>
        <v>120.46899999999999</v>
      </c>
      <c r="H47" s="99">
        <f>VLOOKUP($B47,Base_Mensuelle!$CF$68:$CJ$679,H$2,0)</f>
        <v>1.912948774</v>
      </c>
      <c r="I47" s="132">
        <f>VLOOKUP($B47,Base_Mensuelle!$CF$68:$CJ$679,I$2,0)</f>
        <v>1220.6500000000001</v>
      </c>
      <c r="J47" s="19">
        <f>VLOOKUP($B47,Base_Mensuelle!$CY$67:$DE$679,5,0)</f>
        <v>669448</v>
      </c>
      <c r="K47" s="99">
        <f>VLOOKUP($B47,Base_Mensuelle!$CY$67:$DE$679,2,0)</f>
        <v>134.79972555388383</v>
      </c>
      <c r="L47" s="93"/>
      <c r="M47" s="182">
        <f>VLOOKUP($B47,Base_Mensuelle!$DG$67:$DN$679,2,0)</f>
        <v>399455</v>
      </c>
      <c r="N47" s="182">
        <f>VLOOKUP($B47,Base_Mensuelle!$DG$68:$DO$679,9,0)</f>
        <v>6701765</v>
      </c>
      <c r="O47" s="93"/>
      <c r="P47" s="20"/>
      <c r="Q47" s="14">
        <f>INDEX(Base_Mensuelle!$BX$68:$CD$679,MAX(Base_Mensuelle!$PD$68:$PD$679)-A48,1)</f>
        <v>43405</v>
      </c>
      <c r="R47" s="733">
        <f>VLOOKUP($Q47,Base_Mensuelle!$OF$67:$RN$679,12,0)</f>
        <v>1354.7896108790001</v>
      </c>
      <c r="S47" s="570">
        <f>VLOOKUP($Q47,Base_Mensuelle!$OF$67:$RN$679,15,0)</f>
        <v>2701.3786013340005</v>
      </c>
      <c r="T47" s="570">
        <f>VLOOKUP($Q47,Base_Mensuelle!$OF$67:$RN$679,22,0)</f>
        <v>611.73154596400002</v>
      </c>
      <c r="U47" s="734">
        <f>VLOOKUP($Q47,Base_Mensuelle!$OF$67:$RN$679,16,0)</f>
        <v>98.108576945999957</v>
      </c>
      <c r="V47" s="733">
        <f>VLOOKUP($Q47,Base_Mensuelle!$OF$67:$RN$679,27,0)</f>
        <v>230.78061087900016</v>
      </c>
      <c r="W47" s="570">
        <f>VLOOKUP($Q47,Base_Mensuelle!$OF$67:$RN$679,31,0)</f>
        <v>-31.33232177299999</v>
      </c>
      <c r="X47" s="570">
        <f>VLOOKUP($Q47,Base_Mensuelle!$OF$67:$RN$679,33,0)</f>
        <v>152.570528626</v>
      </c>
      <c r="Y47" s="570">
        <f>VLOOKUP($Q47,Base_Mensuelle!$OF$67:$RN$679,65,0)</f>
        <v>2597.0320000000002</v>
      </c>
      <c r="Z47" s="570">
        <f>VLOOKUP($Q47,Base_Mensuelle!$OF$67:$RN$679,39,0)</f>
        <v>802.20925264699997</v>
      </c>
      <c r="AA47" s="734">
        <f>VLOOKUP($Q47,Base_Mensuelle!$OF$67:$RN$679,51,0)</f>
        <v>14.837343036</v>
      </c>
      <c r="AB47" s="14">
        <f>INDEX(Base_Mensuelle!$BX$68:$CD$679,MAX(Base_Mensuelle!$FZ$68:$FZ$679)-A47,1)</f>
        <v>43374</v>
      </c>
      <c r="AC47" s="179">
        <f>VLOOKUP($AB47,Base_Mensuelle!$FL$67:$FY$679,2,0)</f>
        <v>106.05</v>
      </c>
      <c r="AD47" s="93"/>
      <c r="AE47" s="20">
        <f t="shared" si="1"/>
        <v>0.03</v>
      </c>
      <c r="AF47" s="219">
        <f>VLOOKUP($AB47,Base_Mensuelle!$GP$67:$HR$679,2,0)</f>
        <v>309</v>
      </c>
      <c r="AG47" s="93">
        <f>VLOOKUP($AB47,Base_Mensuelle!$GP$67:$HR$679,3,0)</f>
        <v>251</v>
      </c>
      <c r="AH47" s="93">
        <f>VLOOKUP($AB47,Base_Mensuelle!$GP$67:$HR$679,14,0)</f>
        <v>1848</v>
      </c>
      <c r="AI47" s="99">
        <f>VLOOKUP($AB47,Base_Mensuelle!$GA$67:$GO$679,5,0)</f>
        <v>92.46</v>
      </c>
      <c r="AJ47" s="99">
        <f>VLOOKUP($AB47,Base_Mensuelle!$GA$67:$GO$679,6,0)</f>
        <v>116.42</v>
      </c>
      <c r="AK47" s="99">
        <f>VLOOKUP($AB47,Base_Mensuelle!$GA$67:$GO$679,7,0)</f>
        <v>103.33</v>
      </c>
      <c r="AL47" s="99">
        <f>VLOOKUP($AB47,Base_Mensuelle!$GA$67:$GO$679,3,0)</f>
        <v>102.49</v>
      </c>
      <c r="AM47" s="132">
        <f>VLOOKUP($AB47,Base_Mensuelle!$GA$67:$GO$679,4,0)</f>
        <v>107.99</v>
      </c>
      <c r="AN47" s="179">
        <f>VLOOKUP($AB47,Base_Mensuelle!$HS$67:$JV$679,9,0)</f>
        <v>218.3006591796875</v>
      </c>
      <c r="AO47" s="99">
        <f>VLOOKUP($AB47,Base_Mensuelle!$HS$67:$JV$679,23,0)</f>
        <v>177.83693695068359</v>
      </c>
      <c r="AP47" s="99">
        <f>VLOOKUP($AB47,Base_Mensuelle!$HS$67:$JV$679,39,0)</f>
        <v>400</v>
      </c>
      <c r="AQ47" s="99">
        <f>VLOOKUP($AB47,Base_Mensuelle!$HS$67:$JV$679,10,0)</f>
        <v>173.5419952392578</v>
      </c>
      <c r="AR47" s="132">
        <f>VLOOKUP($AB47,Base_Mensuelle!$HS$67:$JV$679,11,0)</f>
        <v>86.4071044921875</v>
      </c>
      <c r="AS47" s="733">
        <f>VLOOKUP($B47,Base_Mensuelle!$JW$67:$KZ$679,3,0)</f>
        <v>325.35714285714283</v>
      </c>
      <c r="AT47" s="734">
        <f>VLOOKUP($B47,Base_Mensuelle!$JW$67:$KZ$679,8,0)</f>
        <v>306.81818181818181</v>
      </c>
      <c r="AU47" s="733">
        <f>VLOOKUP($B47,Base_Mensuelle!$JW$67:$KZ$679,11,0)</f>
        <v>43.769230769230766</v>
      </c>
      <c r="AV47" s="734">
        <f>VLOOKUP($B47,Base_Mensuelle!$JW$67:$KZ$679,15,0)</f>
        <v>69.383333333333326</v>
      </c>
      <c r="AW47" s="733">
        <f>VLOOKUP($B47,Base_Mensuelle!$JW$67:$KZ$679,25,0)</f>
        <v>23.048780487804876</v>
      </c>
      <c r="AX47" s="734">
        <f>VLOOKUP($B47,Base_Mensuelle!$JW$67:$KZ$679,29,0)</f>
        <v>25.440972222222221</v>
      </c>
    </row>
    <row r="48" spans="1:50">
      <c r="A48" s="175">
        <f t="shared" si="0"/>
        <v>61</v>
      </c>
      <c r="B48" s="14">
        <f>INDEX(Base_Mensuelle!$BX$68:$CD$679,MAX(Base_Mensuelle!$CD$68:$CD$679)-A49,1)</f>
        <v>43435</v>
      </c>
      <c r="C48" s="179">
        <f>VLOOKUP($B48,Base_Mensuelle!$BX$68:$CD$679,C$2,0)</f>
        <v>576.21</v>
      </c>
      <c r="D48" s="99">
        <f>VLOOKUP($B48,Base_Mensuelle!$BX$68:$CD$679,D$2,0)</f>
        <v>664.95699999999999</v>
      </c>
      <c r="E48" s="99">
        <f>VLOOKUP($B48,Base_Mensuelle!$BX$68:$CD$679,E$2,0)</f>
        <v>580.85299999999995</v>
      </c>
      <c r="F48" s="99">
        <f>VLOOKUP($B48,Base_Mensuelle!$BX$68:$CD$679,F$2,0)</f>
        <v>40.684087516213502</v>
      </c>
      <c r="G48" s="132">
        <f>VLOOKUP($B48,Base_Mensuelle!$BX$68:$CD$679,G$2,0)</f>
        <v>119.643</v>
      </c>
      <c r="H48" s="99">
        <f>VLOOKUP($B48,Base_Mensuelle!$CF$68:$CJ$679,H$2,0)</f>
        <v>1.8959732</v>
      </c>
      <c r="I48" s="132">
        <f>VLOOKUP($B48,Base_Mensuelle!$CF$68:$CJ$679,I$2,0)</f>
        <v>1250.4000000000001</v>
      </c>
      <c r="J48" s="19">
        <f>VLOOKUP($B48,Base_Mensuelle!$CY$67:$DE$679,5,0)</f>
        <v>669448</v>
      </c>
      <c r="K48" s="99">
        <f>VLOOKUP($B48,Base_Mensuelle!$CY$67:$DE$679,2,0)</f>
        <v>144.65919638104236</v>
      </c>
      <c r="L48" s="93"/>
      <c r="M48" s="182">
        <f>VLOOKUP($B48,Base_Mensuelle!$DG$67:$DN$679,2,0)</f>
        <v>400036.5</v>
      </c>
      <c r="N48" s="182">
        <f>VLOOKUP($B48,Base_Mensuelle!$DG$68:$DO$679,9,0)</f>
        <v>6984411</v>
      </c>
      <c r="O48" s="93"/>
      <c r="P48" s="20"/>
      <c r="Q48" s="14">
        <f>INDEX(Base_Mensuelle!$BX$68:$CD$679,MAX(Base_Mensuelle!$PD$68:$PD$679)-A49,1)</f>
        <v>43435</v>
      </c>
      <c r="R48" s="733">
        <f>VLOOKUP($Q48,Base_Mensuelle!$OF$67:$RN$679,12,0)</f>
        <v>1443.5011101120001</v>
      </c>
      <c r="S48" s="570">
        <f>VLOOKUP($Q48,Base_Mensuelle!$OF$67:$RN$679,15,0)</f>
        <v>2721.8996238999998</v>
      </c>
      <c r="T48" s="570">
        <f>VLOOKUP($Q48,Base_Mensuelle!$OF$67:$RN$679,22,0)</f>
        <v>630.06899696300002</v>
      </c>
      <c r="U48" s="734">
        <f>VLOOKUP($Q48,Base_Mensuelle!$OF$67:$RN$679,16,0)</f>
        <v>57.226900240000049</v>
      </c>
      <c r="V48" s="733">
        <f>VLOOKUP($Q48,Base_Mensuelle!$OF$67:$RN$679,27,0)</f>
        <v>310.50211011199997</v>
      </c>
      <c r="W48" s="570">
        <f>VLOOKUP($Q48,Base_Mensuelle!$OF$67:$RN$679,31,0)</f>
        <v>-57.326450235999999</v>
      </c>
      <c r="X48" s="570">
        <f>VLOOKUP($Q48,Base_Mensuelle!$OF$67:$RN$679,33,0)</f>
        <v>168.793985139</v>
      </c>
      <c r="Y48" s="570">
        <f>VLOOKUP($Q48,Base_Mensuelle!$OF$67:$RN$679,65,0)</f>
        <v>2658.9750000000004</v>
      </c>
      <c r="Z48" s="570">
        <f>VLOOKUP($Q48,Base_Mensuelle!$OF$67:$RN$679,39,0)</f>
        <v>869.05638110799998</v>
      </c>
      <c r="AA48" s="734">
        <f>VLOOKUP($Q48,Base_Mensuelle!$OF$67:$RN$679,51,0)</f>
        <v>16.510390504</v>
      </c>
      <c r="AB48" s="14">
        <f>INDEX(Base_Mensuelle!$BX$68:$CD$679,MAX(Base_Mensuelle!$FZ$68:$FZ$679)-A48,1)</f>
        <v>43405</v>
      </c>
      <c r="AC48" s="179">
        <f>VLOOKUP($AB48,Base_Mensuelle!$FL$67:$FY$679,2,0)</f>
        <v>104.52</v>
      </c>
      <c r="AD48" s="93"/>
      <c r="AE48" s="20">
        <f t="shared" si="1"/>
        <v>0.03</v>
      </c>
      <c r="AF48" s="219">
        <f>VLOOKUP($AB48,Base_Mensuelle!$GP$67:$HR$679,2,0)</f>
        <v>298</v>
      </c>
      <c r="AG48" s="93">
        <f>VLOOKUP($AB48,Base_Mensuelle!$GP$67:$HR$679,3,0)</f>
        <v>239</v>
      </c>
      <c r="AH48" s="93">
        <f>VLOOKUP($AB48,Base_Mensuelle!$GP$67:$HR$679,14,0)</f>
        <v>1919</v>
      </c>
      <c r="AI48" s="99">
        <f>VLOOKUP($AB48,Base_Mensuelle!$GA$67:$GO$679,5,0)</f>
        <v>93.88</v>
      </c>
      <c r="AJ48" s="99">
        <f>VLOOKUP($AB48,Base_Mensuelle!$GA$67:$GO$679,6,0)</f>
        <v>111.15</v>
      </c>
      <c r="AK48" s="99">
        <f>VLOOKUP($AB48,Base_Mensuelle!$GA$67:$GO$679,7,0)</f>
        <v>103.24</v>
      </c>
      <c r="AL48" s="99">
        <f>VLOOKUP($AB48,Base_Mensuelle!$GA$67:$GO$679,3,0)</f>
        <v>102.34</v>
      </c>
      <c r="AM48" s="132">
        <f>VLOOKUP($AB48,Base_Mensuelle!$GA$67:$GO$679,4,0)</f>
        <v>105.91</v>
      </c>
      <c r="AN48" s="179">
        <f>VLOOKUP($AB48,Base_Mensuelle!$HS$67:$JV$679,9,0)</f>
        <v>213.97850036621094</v>
      </c>
      <c r="AO48" s="99">
        <f>VLOOKUP($AB48,Base_Mensuelle!$HS$67:$JV$679,23,0)</f>
        <v>159.78964614868164</v>
      </c>
      <c r="AP48" s="99">
        <f>VLOOKUP($AB48,Base_Mensuelle!$HS$67:$JV$679,39,0)</f>
        <v>437.04915421277173</v>
      </c>
      <c r="AQ48" s="99">
        <f>VLOOKUP($AB48,Base_Mensuelle!$HS$67:$JV$679,10,0)</f>
        <v>162.65726216634116</v>
      </c>
      <c r="AR48" s="132">
        <f>VLOOKUP($AB48,Base_Mensuelle!$HS$67:$JV$679,11,0)</f>
        <v>81.974636077880859</v>
      </c>
      <c r="AS48" s="733">
        <f>VLOOKUP($B48,Base_Mensuelle!$JW$67:$KZ$679,3,0)</f>
        <v>300.48611111111114</v>
      </c>
      <c r="AT48" s="734">
        <f>VLOOKUP($B48,Base_Mensuelle!$JW$67:$KZ$679,8,0)</f>
        <v>294.86111111111114</v>
      </c>
      <c r="AU48" s="733">
        <f>VLOOKUP($B48,Base_Mensuelle!$JW$67:$KZ$679,11,0)</f>
        <v>44.714285714285715</v>
      </c>
      <c r="AV48" s="734">
        <f>VLOOKUP($B48,Base_Mensuelle!$JW$67:$KZ$679,15,0)</f>
        <v>71.993055555555557</v>
      </c>
      <c r="AW48" s="733">
        <f>VLOOKUP($B48,Base_Mensuelle!$JW$67:$KZ$679,25,0)</f>
        <v>23.541666666666668</v>
      </c>
      <c r="AX48" s="734">
        <f>VLOOKUP($B48,Base_Mensuelle!$JW$67:$KZ$679,29,0)</f>
        <v>24.549668874172184</v>
      </c>
    </row>
    <row r="49" spans="1:50">
      <c r="A49" s="175">
        <f t="shared" si="0"/>
        <v>60</v>
      </c>
      <c r="B49" s="14">
        <f>INDEX(Base_Mensuelle!$BX$68:$CD$679,MAX(Base_Mensuelle!$CD$68:$CD$679)-A50,1)</f>
        <v>43466</v>
      </c>
      <c r="C49" s="179">
        <f>VLOOKUP($B49,Base_Mensuelle!$BX$68:$CD$679,C$2,0)</f>
        <v>574.58682807326272</v>
      </c>
      <c r="D49" s="99">
        <f>VLOOKUP($B49,Base_Mensuelle!$BX$68:$CD$679,D$2,0)</f>
        <v>664.95699999999999</v>
      </c>
      <c r="E49" s="99">
        <f>VLOOKUP($B49,Base_Mensuelle!$BX$68:$CD$679,E$2,0)</f>
        <v>574.947</v>
      </c>
      <c r="F49" s="99">
        <f>VLOOKUP($B49,Base_Mensuelle!$BX$68:$CD$679,F$2,0)</f>
        <v>40.315328697275959</v>
      </c>
      <c r="G49" s="132">
        <f>VLOOKUP($B49,Base_Mensuelle!$BX$68:$CD$679,G$2,0)</f>
        <v>117.611</v>
      </c>
      <c r="H49" s="99">
        <f>VLOOKUP($B49,Base_Mensuelle!$CF$68:$CJ$679,H$2,0)</f>
        <v>1.8155045700000001</v>
      </c>
      <c r="I49" s="132">
        <f>VLOOKUP($B49,Base_Mensuelle!$CF$68:$CJ$679,I$2,0)</f>
        <v>1291.75</v>
      </c>
      <c r="J49" s="19">
        <f>VLOOKUP($B49,Base_Mensuelle!$CY$67:$DE$679,5,0)</f>
        <v>0</v>
      </c>
      <c r="K49" s="99">
        <f>VLOOKUP($B49,Base_Mensuelle!$CY$67:$DE$679,2,0)</f>
        <v>123.9745728</v>
      </c>
      <c r="L49" s="93"/>
      <c r="M49" s="182">
        <f>VLOOKUP($B49,Base_Mensuelle!$DG$67:$DN$679,2,0)</f>
        <v>400779</v>
      </c>
      <c r="N49" s="182">
        <f>VLOOKUP($B49,Base_Mensuelle!$DG$68:$DO$679,9,0)</f>
        <v>6909908</v>
      </c>
      <c r="O49" s="93"/>
      <c r="P49" s="20"/>
      <c r="Q49" s="14">
        <f>INDEX(Base_Mensuelle!$BX$68:$CD$679,MAX(Base_Mensuelle!$PD$68:$PD$679)-A50,1)</f>
        <v>43466</v>
      </c>
      <c r="R49" s="733">
        <f>VLOOKUP($Q49,Base_Mensuelle!$OF$67:$RN$679,12,0)</f>
        <v>1340.6134312300801</v>
      </c>
      <c r="S49" s="570">
        <f>VLOOKUP($Q49,Base_Mensuelle!$OF$67:$RN$679,15,0)</f>
        <v>2643.9009946840001</v>
      </c>
      <c r="T49" s="570">
        <f>VLOOKUP($Q49,Base_Mensuelle!$OF$67:$RN$679,22,0)</f>
        <v>639.38607832999992</v>
      </c>
      <c r="U49" s="734">
        <f>VLOOKUP($Q49,Base_Mensuelle!$OF$67:$RN$679,16,0)</f>
        <v>0.59524108500006889</v>
      </c>
      <c r="V49" s="733">
        <f>VLOOKUP($Q49,Base_Mensuelle!$OF$67:$RN$679,27,0)</f>
        <v>253.2284312300801</v>
      </c>
      <c r="W49" s="570">
        <f>VLOOKUP($Q49,Base_Mensuelle!$OF$67:$RN$679,31,0)</f>
        <v>-117.14150852999998</v>
      </c>
      <c r="X49" s="570">
        <f>VLOOKUP($Q49,Base_Mensuelle!$OF$67:$RN$679,33,0)</f>
        <v>242.36286540199998</v>
      </c>
      <c r="Y49" s="570">
        <f>VLOOKUP($Q49,Base_Mensuelle!$OF$67:$RN$679,65,0)</f>
        <v>2637.56</v>
      </c>
      <c r="Z49" s="570">
        <f>VLOOKUP($Q49,Base_Mensuelle!$OF$67:$RN$679,39,0)</f>
        <v>814.23450570608031</v>
      </c>
      <c r="AA49" s="734">
        <f>VLOOKUP($Q49,Base_Mensuelle!$OF$67:$RN$679,51,0)</f>
        <v>2.5268523729999997</v>
      </c>
      <c r="AB49" s="14">
        <f>INDEX(Base_Mensuelle!$BX$68:$CD$679,MAX(Base_Mensuelle!$FZ$68:$FZ$679)-A49,1)</f>
        <v>43435</v>
      </c>
      <c r="AC49" s="179">
        <f>VLOOKUP($AB49,Base_Mensuelle!$FL$67:$FY$679,2,0)</f>
        <v>104.46</v>
      </c>
      <c r="AD49" s="93"/>
      <c r="AE49" s="20">
        <f t="shared" si="1"/>
        <v>0.03</v>
      </c>
      <c r="AF49" s="219">
        <f>VLOOKUP($AB49,Base_Mensuelle!$GP$67:$HR$679,2,0)</f>
        <v>289</v>
      </c>
      <c r="AG49" s="93">
        <f>VLOOKUP($AB49,Base_Mensuelle!$GP$67:$HR$679,3,0)</f>
        <v>234</v>
      </c>
      <c r="AH49" s="93">
        <f>VLOOKUP($AB49,Base_Mensuelle!$GP$67:$HR$679,14,0)</f>
        <v>2127</v>
      </c>
      <c r="AI49" s="99">
        <f>VLOOKUP($AB49,Base_Mensuelle!$GA$67:$GO$679,5,0)</f>
        <v>93.49</v>
      </c>
      <c r="AJ49" s="99">
        <f>VLOOKUP($AB49,Base_Mensuelle!$GA$67:$GO$679,6,0)</f>
        <v>109.92</v>
      </c>
      <c r="AK49" s="99">
        <f>VLOOKUP($AB49,Base_Mensuelle!$GA$67:$GO$679,7,0)</f>
        <v>103.48</v>
      </c>
      <c r="AL49" s="99">
        <f>VLOOKUP($AB49,Base_Mensuelle!$GA$67:$GO$679,3,0)</f>
        <v>102.45</v>
      </c>
      <c r="AM49" s="132">
        <f>VLOOKUP($AB49,Base_Mensuelle!$GA$67:$GO$679,4,0)</f>
        <v>105.77</v>
      </c>
      <c r="AN49" s="179">
        <f>VLOOKUP($AB49,Base_Mensuelle!$HS$67:$JV$679,9,0)</f>
        <v>196.77420043945313</v>
      </c>
      <c r="AO49" s="99">
        <f>VLOOKUP($AB49,Base_Mensuelle!$HS$67:$JV$679,23,0)</f>
        <v>154.09325256347657</v>
      </c>
      <c r="AP49" s="99">
        <f>VLOOKUP($AB49,Base_Mensuelle!$HS$67:$JV$679,39,0)</f>
        <v>392</v>
      </c>
      <c r="AQ49" s="99">
        <f>VLOOKUP($AB49,Base_Mensuelle!$HS$67:$JV$679,10,0)</f>
        <v>151.49572372436523</v>
      </c>
      <c r="AR49" s="132">
        <f>VLOOKUP($AB49,Base_Mensuelle!$HS$67:$JV$679,11,0)</f>
        <v>84.239128112792969</v>
      </c>
      <c r="AS49" s="733">
        <f>VLOOKUP($B49,Base_Mensuelle!$JW$67:$KZ$679,3,0)</f>
        <v>295.41666666666669</v>
      </c>
      <c r="AT49" s="734">
        <f>VLOOKUP($B49,Base_Mensuelle!$JW$67:$KZ$679,8,0)</f>
        <v>287.35930263157894</v>
      </c>
      <c r="AU49" s="733">
        <f>VLOOKUP($B49,Base_Mensuelle!$JW$67:$KZ$679,11,0)</f>
        <v>42.6</v>
      </c>
      <c r="AV49" s="734">
        <f>VLOOKUP($B49,Base_Mensuelle!$JW$67:$KZ$679,15,0)</f>
        <v>75.073529411764696</v>
      </c>
      <c r="AW49" s="733">
        <f>VLOOKUP($B49,Base_Mensuelle!$JW$67:$KZ$679,25,0)</f>
        <v>24.166666666666668</v>
      </c>
      <c r="AX49" s="734">
        <f>VLOOKUP($B49,Base_Mensuelle!$JW$67:$KZ$679,29,0)</f>
        <v>28.2</v>
      </c>
    </row>
    <row r="50" spans="1:50">
      <c r="A50" s="175">
        <f t="shared" si="0"/>
        <v>59</v>
      </c>
      <c r="B50" s="14">
        <f>INDEX(Base_Mensuelle!$BX$68:$CD$679,MAX(Base_Mensuelle!$CD$68:$CD$679)-A51,1)</f>
        <v>43497</v>
      </c>
      <c r="C50" s="179">
        <f>VLOOKUP($B50,Base_Mensuelle!$BX$68:$CD$679,C$2,0)</f>
        <v>577.89112278883579</v>
      </c>
      <c r="D50" s="99">
        <f>VLOOKUP($B50,Base_Mensuelle!$BX$68:$CD$679,D$2,0)</f>
        <v>664.95699999999999</v>
      </c>
      <c r="E50" s="99">
        <f>VLOOKUP($B50,Base_Mensuelle!$BX$68:$CD$679,E$2,0)</f>
        <v>577.02099999999996</v>
      </c>
      <c r="F50" s="99">
        <f>VLOOKUP($B50,Base_Mensuelle!$BX$68:$CD$679,F$2,0)</f>
        <v>40.743166653391093</v>
      </c>
      <c r="G50" s="132">
        <f>VLOOKUP($B50,Base_Mensuelle!$BX$68:$CD$679,G$2,0)</f>
        <v>115.471</v>
      </c>
      <c r="H50" s="99">
        <f>VLOOKUP($B50,Base_Mensuelle!$CF$68:$CJ$679,H$2,0)</f>
        <v>1.78904913</v>
      </c>
      <c r="I50" s="132">
        <f>VLOOKUP($B50,Base_Mensuelle!$CF$68:$CJ$679,I$2,0)</f>
        <v>1320.07</v>
      </c>
      <c r="J50" s="19">
        <f>VLOOKUP($B50,Base_Mensuelle!$CY$67:$DE$679,5,0)</f>
        <v>0</v>
      </c>
      <c r="K50" s="99">
        <f>VLOOKUP($B50,Base_Mensuelle!$CY$67:$DE$679,2,0)</f>
        <v>125.1785368</v>
      </c>
      <c r="L50" s="93"/>
      <c r="M50" s="182">
        <f>VLOOKUP($B50,Base_Mensuelle!$DG$67:$DN$679,2,0)</f>
        <v>404595</v>
      </c>
      <c r="N50" s="182">
        <f>VLOOKUP($B50,Base_Mensuelle!$DG$68:$DO$679,9,0)</f>
        <v>6731100</v>
      </c>
      <c r="O50" s="93"/>
      <c r="P50" s="20"/>
      <c r="Q50" s="14">
        <f>INDEX(Base_Mensuelle!$BX$68:$CD$679,MAX(Base_Mensuelle!$PD$68:$PD$679)-A51,1)</f>
        <v>43497</v>
      </c>
      <c r="R50" s="733">
        <f>VLOOKUP($Q50,Base_Mensuelle!$OF$67:$RN$679,12,0)</f>
        <v>1400.5917088142116</v>
      </c>
      <c r="S50" s="570">
        <f>VLOOKUP($Q50,Base_Mensuelle!$OF$67:$RN$679,15,0)</f>
        <v>2650.608200997</v>
      </c>
      <c r="T50" s="570">
        <f>VLOOKUP($Q50,Base_Mensuelle!$OF$67:$RN$679,22,0)</f>
        <v>639.42941777700003</v>
      </c>
      <c r="U50" s="734">
        <f>VLOOKUP($Q50,Base_Mensuelle!$OF$67:$RN$679,16,0)</f>
        <v>12.492446313000016</v>
      </c>
      <c r="V50" s="733">
        <f>VLOOKUP($Q50,Base_Mensuelle!$OF$67:$RN$679,27,0)</f>
        <v>260.07070881421123</v>
      </c>
      <c r="W50" s="570">
        <f>VLOOKUP($Q50,Base_Mensuelle!$OF$67:$RN$679,31,0)</f>
        <v>-96.614199224000018</v>
      </c>
      <c r="X50" s="570">
        <f>VLOOKUP($Q50,Base_Mensuelle!$OF$67:$RN$679,33,0)</f>
        <v>221.85312061300002</v>
      </c>
      <c r="Y50" s="570">
        <f>VLOOKUP($Q50,Base_Mensuelle!$OF$67:$RN$679,65,0)</f>
        <v>2632.076</v>
      </c>
      <c r="Z50" s="570">
        <f>VLOOKUP($Q50,Base_Mensuelle!$OF$67:$RN$679,39,0)</f>
        <v>789.75853308421119</v>
      </c>
      <c r="AA50" s="734">
        <f>VLOOKUP($Q50,Base_Mensuelle!$OF$67:$RN$679,51,0)</f>
        <v>4.3836419729999996</v>
      </c>
      <c r="AB50" s="14">
        <f>INDEX(Base_Mensuelle!$BX$68:$CD$679,MAX(Base_Mensuelle!$FZ$68:$FZ$679)-A50,1)</f>
        <v>43466</v>
      </c>
      <c r="AC50" s="179">
        <f>VLOOKUP($AB50,Base_Mensuelle!$FL$67:$FY$679,2,0)</f>
        <v>102.19</v>
      </c>
      <c r="AD50" s="93"/>
      <c r="AE50" s="20">
        <f t="shared" si="1"/>
        <v>0.03</v>
      </c>
      <c r="AF50" s="219">
        <f>VLOOKUP($AB50,Base_Mensuelle!$GP$67:$HR$679,2,0)</f>
        <v>265</v>
      </c>
      <c r="AG50" s="93">
        <f>VLOOKUP($AB50,Base_Mensuelle!$GP$67:$HR$679,3,0)</f>
        <v>237</v>
      </c>
      <c r="AH50" s="93">
        <f>VLOOKUP($AB50,Base_Mensuelle!$GP$67:$HR$679,14,0)</f>
        <v>1987</v>
      </c>
      <c r="AI50" s="99">
        <f>VLOOKUP($AB50,Base_Mensuelle!$GA$67:$GO$679,5,0)</f>
        <v>96.38</v>
      </c>
      <c r="AJ50" s="99">
        <f>VLOOKUP($AB50,Base_Mensuelle!$GA$67:$GO$679,6,0)</f>
        <v>102.84</v>
      </c>
      <c r="AK50" s="99">
        <f>VLOOKUP($AB50,Base_Mensuelle!$GA$67:$GO$679,7,0)</f>
        <v>103.22</v>
      </c>
      <c r="AL50" s="99">
        <f>VLOOKUP($AB50,Base_Mensuelle!$GA$67:$GO$679,3,0)</f>
        <v>102.07</v>
      </c>
      <c r="AM50" s="132">
        <f>VLOOKUP($AB50,Base_Mensuelle!$GA$67:$GO$679,4,0)</f>
        <v>102.75</v>
      </c>
      <c r="AN50" s="179">
        <f>VLOOKUP($AB50,Base_Mensuelle!$HS$67:$JV$679,9,0)</f>
        <v>188.70968246459961</v>
      </c>
      <c r="AO50" s="99">
        <f>VLOOKUP($AB50,Base_Mensuelle!$HS$67:$JV$679,23,0)</f>
        <v>152.43902587890625</v>
      </c>
      <c r="AP50" s="99">
        <f>VLOOKUP($AB50,Base_Mensuelle!$HS$67:$JV$679,39,0)</f>
        <v>400</v>
      </c>
      <c r="AQ50" s="99">
        <f>VLOOKUP($AB50,Base_Mensuelle!$HS$67:$JV$679,10,0)</f>
        <v>138.84244155883789</v>
      </c>
      <c r="AR50" s="132">
        <f>VLOOKUP($AB50,Base_Mensuelle!$HS$67:$JV$679,11,0)</f>
        <v>94.091489156087235</v>
      </c>
      <c r="AS50" s="733">
        <f>VLOOKUP($B50,Base_Mensuelle!$JW$67:$KZ$679,3,0)</f>
        <v>293.75</v>
      </c>
      <c r="AT50" s="734">
        <f>VLOOKUP($B50,Base_Mensuelle!$JW$67:$KZ$679,8,0)</f>
        <v>272.22222222222223</v>
      </c>
      <c r="AU50" s="733">
        <f>VLOOKUP($B50,Base_Mensuelle!$JW$67:$KZ$679,11,0)</f>
        <v>41.363636363636367</v>
      </c>
      <c r="AV50" s="734">
        <f>VLOOKUP($B50,Base_Mensuelle!$JW$67:$KZ$679,15,0)</f>
        <v>75.0277777777778</v>
      </c>
      <c r="AW50" s="733">
        <f>VLOOKUP($B50,Base_Mensuelle!$JW$67:$KZ$679,25,0)</f>
        <v>23.541666666666668</v>
      </c>
      <c r="AX50" s="734">
        <f>VLOOKUP($B50,Base_Mensuelle!$JW$67:$KZ$679,29,0)</f>
        <v>30.275862068965516</v>
      </c>
    </row>
    <row r="51" spans="1:50">
      <c r="A51" s="175">
        <f t="shared" si="0"/>
        <v>58</v>
      </c>
      <c r="B51" s="14">
        <f>INDEX(Base_Mensuelle!$BX$68:$CD$679,MAX(Base_Mensuelle!$CD$68:$CD$679)-A52,1)</f>
        <v>43525</v>
      </c>
      <c r="C51" s="179">
        <f>VLOOKUP($B51,Base_Mensuelle!$BX$68:$CD$679,C$2,0)</f>
        <v>580.37639288956439</v>
      </c>
      <c r="D51" s="99">
        <f>VLOOKUP($B51,Base_Mensuelle!$BX$68:$CD$679,D$2,0)</f>
        <v>664.95699999999999</v>
      </c>
      <c r="E51" s="99">
        <f>VLOOKUP($B51,Base_Mensuelle!$BX$68:$CD$679,E$2,0)</f>
        <v>579.928</v>
      </c>
      <c r="F51" s="99">
        <f>VLOOKUP($B51,Base_Mensuelle!$BX$68:$CD$679,F$2,0)</f>
        <v>39.432432752976901</v>
      </c>
      <c r="G51" s="132">
        <f>VLOOKUP($B51,Base_Mensuelle!$BX$68:$CD$679,G$2,0)</f>
        <v>111.854</v>
      </c>
      <c r="H51" s="99">
        <f>VLOOKUP($B51,Base_Mensuelle!$CF$68:$CJ$679,H$2,0)</f>
        <v>1.8476920219999999</v>
      </c>
      <c r="I51" s="132">
        <f>VLOOKUP($B51,Base_Mensuelle!$CF$68:$CJ$679,I$2,0)</f>
        <v>1300.9000000000001</v>
      </c>
      <c r="J51" s="19">
        <f>VLOOKUP($B51,Base_Mensuelle!$CY$67:$DE$679,5,0)</f>
        <v>0</v>
      </c>
      <c r="K51" s="99">
        <f>VLOOKUP($B51,Base_Mensuelle!$CY$67:$DE$679,2,0)</f>
        <v>130.4919161</v>
      </c>
      <c r="L51" s="93"/>
      <c r="M51" s="182">
        <f>VLOOKUP($B51,Base_Mensuelle!$DG$67:$DN$679,2,0)</f>
        <v>407709</v>
      </c>
      <c r="N51" s="182">
        <f>VLOOKUP($B51,Base_Mensuelle!$DG$68:$DO$679,9,0)</f>
        <v>7452339</v>
      </c>
      <c r="O51" s="93"/>
      <c r="P51" s="20"/>
      <c r="Q51" s="14">
        <f>INDEX(Base_Mensuelle!$BX$68:$CD$679,MAX(Base_Mensuelle!$PD$68:$PD$679)-A52,1)</f>
        <v>43525</v>
      </c>
      <c r="R51" s="733">
        <f>VLOOKUP($Q51,Base_Mensuelle!$OF$67:$RN$679,12,0)</f>
        <v>1512.5554275150002</v>
      </c>
      <c r="S51" s="570">
        <f>VLOOKUP($Q51,Base_Mensuelle!$OF$67:$RN$679,15,0)</f>
        <v>2805.8215981940002</v>
      </c>
      <c r="T51" s="570">
        <f>VLOOKUP($Q51,Base_Mensuelle!$OF$67:$RN$679,22,0)</f>
        <v>649.07341690999999</v>
      </c>
      <c r="U51" s="734">
        <f>VLOOKUP($Q51,Base_Mensuelle!$OF$67:$RN$679,16,0)</f>
        <v>90.646441041999964</v>
      </c>
      <c r="V51" s="733">
        <f>VLOOKUP($Q51,Base_Mensuelle!$OF$67:$RN$679,27,0)</f>
        <v>259.85342751500013</v>
      </c>
      <c r="W51" s="570">
        <f>VLOOKUP($Q51,Base_Mensuelle!$OF$67:$RN$679,31,0)</f>
        <v>-21.479845690000005</v>
      </c>
      <c r="X51" s="570">
        <f>VLOOKUP($Q51,Base_Mensuelle!$OF$67:$RN$679,33,0)</f>
        <v>145.412932974</v>
      </c>
      <c r="Y51" s="570">
        <f>VLOOKUP($Q51,Base_Mensuelle!$OF$67:$RN$679,65,0)</f>
        <v>2708.6520000000005</v>
      </c>
      <c r="Z51" s="570">
        <f>VLOOKUP($Q51,Base_Mensuelle!$OF$67:$RN$679,39,0)</f>
        <v>921.12590065399991</v>
      </c>
      <c r="AA51" s="734">
        <f>VLOOKUP($Q51,Base_Mensuelle!$OF$67:$RN$679,51,0)</f>
        <v>6.174830203</v>
      </c>
      <c r="AB51" s="14">
        <f>INDEX(Base_Mensuelle!$BX$68:$CD$679,MAX(Base_Mensuelle!$FZ$68:$FZ$679)-A51,1)</f>
        <v>43497</v>
      </c>
      <c r="AC51" s="179">
        <f>VLOOKUP($AB51,Base_Mensuelle!$FL$67:$FY$679,2,0)</f>
        <v>101.77</v>
      </c>
      <c r="AD51" s="93"/>
      <c r="AE51" s="20">
        <f t="shared" si="1"/>
        <v>0.03</v>
      </c>
      <c r="AF51" s="219">
        <f>VLOOKUP($AB51,Base_Mensuelle!$GP$67:$HR$679,2,0)</f>
        <v>263</v>
      </c>
      <c r="AG51" s="93">
        <f>VLOOKUP($AB51,Base_Mensuelle!$GP$67:$HR$679,3,0)</f>
        <v>225</v>
      </c>
      <c r="AH51" s="93">
        <f>VLOOKUP($AB51,Base_Mensuelle!$GP$67:$HR$679,14,0)</f>
        <v>1945</v>
      </c>
      <c r="AI51" s="99">
        <f>VLOOKUP($AB51,Base_Mensuelle!$GA$67:$GO$679,5,0)</f>
        <v>93.77</v>
      </c>
      <c r="AJ51" s="99">
        <f>VLOOKUP($AB51,Base_Mensuelle!$GA$67:$GO$679,6,0)</f>
        <v>101.61</v>
      </c>
      <c r="AK51" s="99">
        <f>VLOOKUP($AB51,Base_Mensuelle!$GA$67:$GO$679,7,0)</f>
        <v>103.07</v>
      </c>
      <c r="AL51" s="99">
        <f>VLOOKUP($AB51,Base_Mensuelle!$GA$67:$GO$679,3,0)</f>
        <v>102.2</v>
      </c>
      <c r="AM51" s="132">
        <f>VLOOKUP($AB51,Base_Mensuelle!$GA$67:$GO$679,4,0)</f>
        <v>102.02</v>
      </c>
      <c r="AN51" s="179">
        <f>VLOOKUP($AB51,Base_Mensuelle!$HS$67:$JV$679,9,0)</f>
        <v>163.30645751953125</v>
      </c>
      <c r="AO51" s="99">
        <f>VLOOKUP($AB51,Base_Mensuelle!$HS$67:$JV$679,23,0)</f>
        <v>151.61241912841797</v>
      </c>
      <c r="AP51" s="99">
        <f>VLOOKUP($AB51,Base_Mensuelle!$HS$67:$JV$679,39,0)</f>
        <v>400</v>
      </c>
      <c r="AQ51" s="99">
        <f>VLOOKUP($AB51,Base_Mensuelle!$HS$67:$JV$679,10,0)</f>
        <v>144.2952995300293</v>
      </c>
      <c r="AR51" s="132">
        <f>VLOOKUP($AB51,Base_Mensuelle!$HS$67:$JV$679,11,0)</f>
        <v>90.240640640258789</v>
      </c>
      <c r="AS51" s="733">
        <f>VLOOKUP($B51,Base_Mensuelle!$JW$67:$KZ$679,3,0)</f>
        <v>295</v>
      </c>
      <c r="AT51" s="734">
        <f>VLOOKUP($B51,Base_Mensuelle!$JW$67:$KZ$679,8,0)</f>
        <v>259.16666666666669</v>
      </c>
      <c r="AU51" s="733">
        <f>VLOOKUP($B51,Base_Mensuelle!$JW$67:$KZ$679,11,0)</f>
        <v>42.81818181818182</v>
      </c>
      <c r="AV51" s="734">
        <f>VLOOKUP($B51,Base_Mensuelle!$JW$67:$KZ$679,15,0)</f>
        <v>69.662162162162204</v>
      </c>
      <c r="AW51" s="733">
        <f>VLOOKUP($B51,Base_Mensuelle!$JW$67:$KZ$679,25,0)</f>
        <v>25.25</v>
      </c>
      <c r="AX51" s="734">
        <f>VLOOKUP($B51,Base_Mensuelle!$JW$67:$KZ$679,29,0)</f>
        <v>29.421052631578949</v>
      </c>
    </row>
    <row r="52" spans="1:50">
      <c r="A52" s="175">
        <f t="shared" si="0"/>
        <v>57</v>
      </c>
      <c r="B52" s="14">
        <f>INDEX(Base_Mensuelle!$BX$68:$CD$679,MAX(Base_Mensuelle!$CD$68:$CD$679)-A53,1)</f>
        <v>43556</v>
      </c>
      <c r="C52" s="179">
        <f>VLOOKUP($B52,Base_Mensuelle!$BX$68:$CD$679,C$2,0)</f>
        <v>583.6964614151309</v>
      </c>
      <c r="D52" s="99">
        <f>VLOOKUP($B52,Base_Mensuelle!$BX$68:$CD$679,D$2,0)</f>
        <v>664.95699999999999</v>
      </c>
      <c r="E52" s="99">
        <f>VLOOKUP($B52,Base_Mensuelle!$BX$68:$CD$679,E$2,0)</f>
        <v>579.51900000000001</v>
      </c>
      <c r="F52" s="99">
        <f>VLOOKUP($B52,Base_Mensuelle!$BX$68:$CD$679,F$2,0)</f>
        <v>42.243094554417709</v>
      </c>
      <c r="G52" s="132">
        <f>VLOOKUP($B52,Base_Mensuelle!$BX$68:$CD$679,G$2,0)</f>
        <v>114.742</v>
      </c>
      <c r="H52" s="99">
        <f>VLOOKUP($B52,Base_Mensuelle!$CF$68:$CJ$679,H$2,0)</f>
        <v>1.92353095</v>
      </c>
      <c r="I52" s="132">
        <f>VLOOKUP($B52,Base_Mensuelle!$CF$68:$CJ$679,I$2,0)</f>
        <v>1285.9100000000001</v>
      </c>
      <c r="J52" s="19">
        <f>VLOOKUP($B52,Base_Mensuelle!$CY$67:$DE$679,5,0)</f>
        <v>0</v>
      </c>
      <c r="K52" s="99">
        <f>VLOOKUP($B52,Base_Mensuelle!$CY$67:$DE$679,2,0)</f>
        <v>151.5512349</v>
      </c>
      <c r="L52" s="93"/>
      <c r="M52" s="182">
        <f>VLOOKUP($B52,Base_Mensuelle!$DG$67:$DN$679,2,0)</f>
        <v>409989</v>
      </c>
      <c r="N52" s="182">
        <f>VLOOKUP($B52,Base_Mensuelle!$DG$68:$DO$679,9,0)</f>
        <v>7634992</v>
      </c>
      <c r="O52" s="93"/>
      <c r="P52" s="20"/>
      <c r="Q52" s="14">
        <f>INDEX(Base_Mensuelle!$BX$68:$CD$679,MAX(Base_Mensuelle!$PD$68:$PD$679)-A53,1)</f>
        <v>43556</v>
      </c>
      <c r="R52" s="733">
        <f>VLOOKUP($Q52,Base_Mensuelle!$OF$67:$RN$679,12,0)</f>
        <v>1526.3659831088935</v>
      </c>
      <c r="S52" s="570">
        <f>VLOOKUP($Q52,Base_Mensuelle!$OF$67:$RN$679,15,0)</f>
        <v>2671.202181959</v>
      </c>
      <c r="T52" s="570">
        <f>VLOOKUP($Q52,Base_Mensuelle!$OF$67:$RN$679,22,0)</f>
        <v>629.90006438699993</v>
      </c>
      <c r="U52" s="734">
        <f>VLOOKUP($Q52,Base_Mensuelle!$OF$67:$RN$679,16,0)</f>
        <v>-38.758282999000016</v>
      </c>
      <c r="V52" s="733">
        <f>VLOOKUP($Q52,Base_Mensuelle!$OF$67:$RN$679,27,0)</f>
        <v>384.95398310889334</v>
      </c>
      <c r="W52" s="570">
        <f>VLOOKUP($Q52,Base_Mensuelle!$OF$67:$RN$679,31,0)</f>
        <v>-134.40506190600001</v>
      </c>
      <c r="X52" s="570">
        <f>VLOOKUP($Q52,Base_Mensuelle!$OF$67:$RN$679,33,0)</f>
        <v>258.362753403</v>
      </c>
      <c r="Y52" s="570">
        <f>VLOOKUP($Q52,Base_Mensuelle!$OF$67:$RN$679,65,0)</f>
        <v>2702.989</v>
      </c>
      <c r="Z52" s="570">
        <f>VLOOKUP($Q52,Base_Mensuelle!$OF$67:$RN$679,39,0)</f>
        <v>858.14583255189325</v>
      </c>
      <c r="AA52" s="734">
        <f>VLOOKUP($Q52,Base_Mensuelle!$OF$67:$RN$679,51,0)</f>
        <v>8.0577764789999993</v>
      </c>
      <c r="AB52" s="14">
        <f>INDEX(Base_Mensuelle!$BX$68:$CD$679,MAX(Base_Mensuelle!$FZ$68:$FZ$679)-A52,1)</f>
        <v>43525</v>
      </c>
      <c r="AC52" s="179">
        <f>VLOOKUP($AB52,Base_Mensuelle!$FL$67:$FY$679,2,0)</f>
        <v>102.28</v>
      </c>
      <c r="AD52" s="93"/>
      <c r="AE52" s="20">
        <f t="shared" si="1"/>
        <v>0.03</v>
      </c>
      <c r="AF52" s="219">
        <f>VLOOKUP($AB52,Base_Mensuelle!$GP$67:$HR$679,2,0)</f>
        <v>270</v>
      </c>
      <c r="AG52" s="93">
        <f>VLOOKUP($AB52,Base_Mensuelle!$GP$67:$HR$679,3,0)</f>
        <v>236</v>
      </c>
      <c r="AH52" s="93">
        <f>VLOOKUP($AB52,Base_Mensuelle!$GP$67:$HR$679,14,0)</f>
        <v>1844</v>
      </c>
      <c r="AI52" s="99">
        <f>VLOOKUP($AB52,Base_Mensuelle!$GA$67:$GO$679,5,0)</f>
        <v>95.67</v>
      </c>
      <c r="AJ52" s="99">
        <f>VLOOKUP($AB52,Base_Mensuelle!$GA$67:$GO$679,6,0)</f>
        <v>102.57</v>
      </c>
      <c r="AK52" s="99">
        <f>VLOOKUP($AB52,Base_Mensuelle!$GA$67:$GO$679,7,0)</f>
        <v>103.34</v>
      </c>
      <c r="AL52" s="99">
        <f>VLOOKUP($AB52,Base_Mensuelle!$GA$67:$GO$679,3,0)</f>
        <v>101.94</v>
      </c>
      <c r="AM52" s="132">
        <f>VLOOKUP($AB52,Base_Mensuelle!$GA$67:$GO$679,4,0)</f>
        <v>102.88</v>
      </c>
      <c r="AN52" s="179">
        <f>VLOOKUP($AB52,Base_Mensuelle!$HS$67:$JV$679,9,0)</f>
        <v>165.03268432617188</v>
      </c>
      <c r="AO52" s="99">
        <f>VLOOKUP($AB52,Base_Mensuelle!$HS$67:$JV$679,23,0)</f>
        <v>152.21859741210938</v>
      </c>
      <c r="AP52" s="99">
        <f>VLOOKUP($AB52,Base_Mensuelle!$HS$67:$JV$679,39,0)</f>
        <v>400</v>
      </c>
      <c r="AQ52" s="99">
        <f>VLOOKUP($AB52,Base_Mensuelle!$HS$67:$JV$679,10,0)</f>
        <v>164.6035270690918</v>
      </c>
      <c r="AR52" s="132">
        <f>VLOOKUP($AB52,Base_Mensuelle!$HS$67:$JV$679,11,0)</f>
        <v>87.86551208496094</v>
      </c>
      <c r="AS52" s="733">
        <f>VLOOKUP($B52,Base_Mensuelle!$JW$67:$KZ$679,3,0)</f>
        <v>300.33333333333331</v>
      </c>
      <c r="AT52" s="734">
        <f>VLOOKUP($B52,Base_Mensuelle!$JW$67:$KZ$679,8,0)</f>
        <v>290</v>
      </c>
      <c r="AU52" s="733">
        <f>VLOOKUP($B52,Base_Mensuelle!$JW$67:$KZ$679,11,0)</f>
        <v>43.8</v>
      </c>
      <c r="AV52" s="734">
        <f>VLOOKUP($B52,Base_Mensuelle!$JW$67:$KZ$679,15,0)</f>
        <v>72.683333333333294</v>
      </c>
      <c r="AW52" s="733">
        <f>VLOOKUP($B52,Base_Mensuelle!$JW$67:$KZ$679,25,0)</f>
        <v>22.533333333333335</v>
      </c>
      <c r="AX52" s="734">
        <f>VLOOKUP($B52,Base_Mensuelle!$JW$67:$KZ$679,29,0)</f>
        <v>31.212121212121211</v>
      </c>
    </row>
    <row r="53" spans="1:50">
      <c r="A53" s="175">
        <f t="shared" si="0"/>
        <v>56</v>
      </c>
      <c r="B53" s="14">
        <f>INDEX(Base_Mensuelle!$BX$68:$CD$679,MAX(Base_Mensuelle!$CD$68:$CD$679)-A54,1)</f>
        <v>43586</v>
      </c>
      <c r="C53" s="179">
        <f>VLOOKUP($B53,Base_Mensuelle!$BX$68:$CD$679,C$2,0)</f>
        <v>586.48661895186103</v>
      </c>
      <c r="D53" s="99">
        <f>VLOOKUP($B53,Base_Mensuelle!$BX$68:$CD$679,D$2,0)</f>
        <v>664.95699999999999</v>
      </c>
      <c r="E53" s="99">
        <f>VLOOKUP($B53,Base_Mensuelle!$BX$68:$CD$679,E$2,0)</f>
        <v>580.28800000000001</v>
      </c>
      <c r="F53" s="99">
        <f>VLOOKUP($B53,Base_Mensuelle!$BX$68:$CD$679,F$2,0)</f>
        <v>40.361823137014483</v>
      </c>
      <c r="G53" s="132">
        <f>VLOOKUP($B53,Base_Mensuelle!$BX$68:$CD$679,G$2,0)</f>
        <v>114.899</v>
      </c>
      <c r="H53" s="99">
        <f>VLOOKUP($B53,Base_Mensuelle!$CF$68:$CJ$679,H$2,0)</f>
        <v>1.7667824679999999</v>
      </c>
      <c r="I53" s="132">
        <f>VLOOKUP($B53,Base_Mensuelle!$CF$68:$CJ$679,I$2,0)</f>
        <v>1283.7</v>
      </c>
      <c r="J53" s="19">
        <f>VLOOKUP($B53,Base_Mensuelle!$CY$67:$DE$679,5,0)</f>
        <v>0</v>
      </c>
      <c r="K53" s="99">
        <f>VLOOKUP($B53,Base_Mensuelle!$CY$67:$DE$679,2,0)</f>
        <v>165.4502229</v>
      </c>
      <c r="L53" s="93"/>
      <c r="M53" s="182">
        <f>VLOOKUP($B53,Base_Mensuelle!$DG$67:$DN$679,2,0)</f>
        <v>411070</v>
      </c>
      <c r="N53" s="182">
        <f>VLOOKUP($B53,Base_Mensuelle!$DG$68:$DO$679,9,0)</f>
        <v>7217307</v>
      </c>
      <c r="O53" s="93"/>
      <c r="P53" s="20"/>
      <c r="Q53" s="14">
        <f>INDEX(Base_Mensuelle!$BX$68:$CD$679,MAX(Base_Mensuelle!$PD$68:$PD$679)-A54,1)</f>
        <v>43586</v>
      </c>
      <c r="R53" s="733">
        <f>VLOOKUP($Q53,Base_Mensuelle!$OF$67:$RN$679,12,0)</f>
        <v>1476.6784665473454</v>
      </c>
      <c r="S53" s="570">
        <f>VLOOKUP($Q53,Base_Mensuelle!$OF$67:$RN$679,15,0)</f>
        <v>2772.2320858679996</v>
      </c>
      <c r="T53" s="570">
        <f>VLOOKUP($Q53,Base_Mensuelle!$OF$67:$RN$679,22,0)</f>
        <v>644.86927013000002</v>
      </c>
      <c r="U53" s="734">
        <f>VLOOKUP($Q53,Base_Mensuelle!$OF$67:$RN$679,16,0)</f>
        <v>-52.780746751000095</v>
      </c>
      <c r="V53" s="733">
        <f>VLOOKUP($Q53,Base_Mensuelle!$OF$67:$RN$679,27,0)</f>
        <v>349.62746654734542</v>
      </c>
      <c r="W53" s="570">
        <f>VLOOKUP($Q53,Base_Mensuelle!$OF$67:$RN$679,31,0)</f>
        <v>-192.51152565800004</v>
      </c>
      <c r="X53" s="570">
        <f>VLOOKUP($Q53,Base_Mensuelle!$OF$67:$RN$679,33,0)</f>
        <v>316.49237234100002</v>
      </c>
      <c r="Y53" s="570">
        <f>VLOOKUP($Q53,Base_Mensuelle!$OF$67:$RN$679,65,0)</f>
        <v>2817.9569999999999</v>
      </c>
      <c r="Z53" s="570">
        <f>VLOOKUP($Q53,Base_Mensuelle!$OF$67:$RN$679,39,0)</f>
        <v>794.38525953734541</v>
      </c>
      <c r="AA53" s="734">
        <f>VLOOKUP($Q53,Base_Mensuelle!$OF$67:$RN$679,51,0)</f>
        <v>9.1259523970000007</v>
      </c>
      <c r="AB53" s="14">
        <f>INDEX(Base_Mensuelle!$BX$68:$CD$679,MAX(Base_Mensuelle!$FZ$68:$FZ$679)-A53,1)</f>
        <v>43556</v>
      </c>
      <c r="AC53" s="179">
        <f>VLOOKUP($AB53,Base_Mensuelle!$FL$67:$FY$679,2,0)</f>
        <v>102.76</v>
      </c>
      <c r="AD53" s="93"/>
      <c r="AE53" s="20">
        <f t="shared" si="1"/>
        <v>0.03</v>
      </c>
      <c r="AF53" s="219">
        <f>VLOOKUP($AB53,Base_Mensuelle!$GP$67:$HR$679,2,0)</f>
        <v>262</v>
      </c>
      <c r="AG53" s="93">
        <f>VLOOKUP($AB53,Base_Mensuelle!$GP$67:$HR$679,3,0)</f>
        <v>240</v>
      </c>
      <c r="AH53" s="93">
        <f>VLOOKUP($AB53,Base_Mensuelle!$GP$67:$HR$679,14,0)</f>
        <v>1970</v>
      </c>
      <c r="AI53" s="99">
        <f>VLOOKUP($AB53,Base_Mensuelle!$GA$67:$GO$679,5,0)</f>
        <v>95.46</v>
      </c>
      <c r="AJ53" s="99">
        <f>VLOOKUP($AB53,Base_Mensuelle!$GA$67:$GO$679,6,0)</f>
        <v>104.58</v>
      </c>
      <c r="AK53" s="99">
        <f>VLOOKUP($AB53,Base_Mensuelle!$GA$67:$GO$679,7,0)</f>
        <v>103.22</v>
      </c>
      <c r="AL53" s="99">
        <f>VLOOKUP($AB53,Base_Mensuelle!$GA$67:$GO$679,3,0)</f>
        <v>102</v>
      </c>
      <c r="AM53" s="132">
        <f>VLOOKUP($AB53,Base_Mensuelle!$GA$67:$GO$679,4,0)</f>
        <v>103.57</v>
      </c>
      <c r="AN53" s="179">
        <f>VLOOKUP($AB53,Base_Mensuelle!$HS$67:$JV$679,9,0)</f>
        <v>162.99020004272501</v>
      </c>
      <c r="AO53" s="99">
        <f>VLOOKUP($AB53,Base_Mensuelle!$HS$67:$JV$679,23,0)</f>
        <v>156.03807067871099</v>
      </c>
      <c r="AP53" s="99">
        <f>VLOOKUP($AB53,Base_Mensuelle!$HS$67:$JV$679,39,0)</f>
        <v>400</v>
      </c>
      <c r="AQ53" s="99">
        <f>VLOOKUP($AB53,Base_Mensuelle!$HS$67:$JV$679,10,0)</f>
        <v>159.70418548583999</v>
      </c>
      <c r="AR53" s="132">
        <f>VLOOKUP($AB53,Base_Mensuelle!$HS$67:$JV$679,11,0)</f>
        <v>86.436168670654297</v>
      </c>
      <c r="AS53" s="733">
        <f>VLOOKUP($B53,Base_Mensuelle!$JW$67:$KZ$679,3,0)</f>
        <v>318.33333333333331</v>
      </c>
      <c r="AT53" s="734">
        <f>VLOOKUP($B53,Base_Mensuelle!$JW$67:$KZ$679,8,0)</f>
        <v>306.25</v>
      </c>
      <c r="AU53" s="733">
        <f>VLOOKUP($B53,Base_Mensuelle!$JW$67:$KZ$679,11,0)</f>
        <v>43.2</v>
      </c>
      <c r="AV53" s="734">
        <f>VLOOKUP($B53,Base_Mensuelle!$JW$67:$KZ$679,15,0)</f>
        <v>69.6142857142857</v>
      </c>
      <c r="AW53" s="733">
        <f>VLOOKUP($B53,Base_Mensuelle!$JW$67:$KZ$679,25,0)</f>
        <v>22.833333333333332</v>
      </c>
      <c r="AX53" s="734">
        <f>VLOOKUP($B53,Base_Mensuelle!$JW$67:$KZ$679,29,0)</f>
        <v>27.074999999999999</v>
      </c>
    </row>
    <row r="54" spans="1:50">
      <c r="A54" s="175">
        <f t="shared" si="0"/>
        <v>55</v>
      </c>
      <c r="B54" s="14">
        <f>INDEX(Base_Mensuelle!$BX$68:$CD$679,MAX(Base_Mensuelle!$CD$68:$CD$679)-A55,1)</f>
        <v>43617</v>
      </c>
      <c r="C54" s="179">
        <f>VLOOKUP($B54,Base_Mensuelle!$BX$68:$CD$679,C$2,0)</f>
        <v>580.85023038822339</v>
      </c>
      <c r="D54" s="99">
        <f>VLOOKUP($B54,Base_Mensuelle!$BX$68:$CD$679,D$2,0)</f>
        <v>664.95699999999999</v>
      </c>
      <c r="E54" s="99">
        <f>VLOOKUP($B54,Base_Mensuelle!$BX$68:$CD$679,E$2,0)</f>
        <v>587.40700000000004</v>
      </c>
      <c r="F54" s="99">
        <f>VLOOKUP($B54,Base_Mensuelle!$BX$68:$CD$679,F$2,0)</f>
        <v>41.206722397456794</v>
      </c>
      <c r="G54" s="132">
        <f>VLOOKUP($B54,Base_Mensuelle!$BX$68:$CD$679,G$2,0)</f>
        <v>111.04</v>
      </c>
      <c r="H54" s="99">
        <f>VLOOKUP($B54,Base_Mensuelle!$CF$68:$CJ$679,H$2,0)</f>
        <v>1.71188743</v>
      </c>
      <c r="I54" s="132">
        <f>VLOOKUP($B54,Base_Mensuelle!$CF$68:$CJ$679,I$2,0)</f>
        <v>1359.04</v>
      </c>
      <c r="J54" s="19">
        <f>VLOOKUP($B54,Base_Mensuelle!$CY$67:$DE$679,5,0)</f>
        <v>0</v>
      </c>
      <c r="K54" s="99">
        <f>VLOOKUP($B54,Base_Mensuelle!$CY$67:$DE$679,2,0)</f>
        <v>165.36286959999998</v>
      </c>
      <c r="L54" s="93"/>
      <c r="M54" s="182">
        <f>VLOOKUP($B54,Base_Mensuelle!$DG$67:$DN$679,2,0)</f>
        <v>412782</v>
      </c>
      <c r="N54" s="182">
        <f>VLOOKUP($B54,Base_Mensuelle!$DG$68:$DO$679,9,0)</f>
        <v>6935838</v>
      </c>
      <c r="O54" s="93"/>
      <c r="P54" s="20"/>
      <c r="Q54" s="14">
        <f>INDEX(Base_Mensuelle!$BX$68:$CD$679,MAX(Base_Mensuelle!$PD$68:$PD$679)-A55,1)</f>
        <v>43617</v>
      </c>
      <c r="R54" s="733">
        <f>VLOOKUP($Q54,Base_Mensuelle!$OF$67:$RN$679,12,0)</f>
        <v>1466.6964526651784</v>
      </c>
      <c r="S54" s="570">
        <f>VLOOKUP($Q54,Base_Mensuelle!$OF$67:$RN$679,15,0)</f>
        <v>2911.9150151310005</v>
      </c>
      <c r="T54" s="570">
        <f>VLOOKUP($Q54,Base_Mensuelle!$OF$67:$RN$679,22,0)</f>
        <v>686.61569364699994</v>
      </c>
      <c r="U54" s="734">
        <f>VLOOKUP($Q54,Base_Mensuelle!$OF$67:$RN$679,16,0)</f>
        <v>27.193173197000078</v>
      </c>
      <c r="V54" s="733">
        <f>VLOOKUP($Q54,Base_Mensuelle!$OF$67:$RN$679,27,0)</f>
        <v>320.36845266517844</v>
      </c>
      <c r="W54" s="570">
        <f>VLOOKUP($Q54,Base_Mensuelle!$OF$67:$RN$679,31,0)</f>
        <v>-145.88860571000001</v>
      </c>
      <c r="X54" s="570">
        <f>VLOOKUP($Q54,Base_Mensuelle!$OF$67:$RN$679,33,0)</f>
        <v>260.396126616</v>
      </c>
      <c r="Y54" s="570">
        <f>VLOOKUP($Q54,Base_Mensuelle!$OF$67:$RN$679,65,0)</f>
        <v>2877.5329999999999</v>
      </c>
      <c r="Z54" s="570">
        <f>VLOOKUP($Q54,Base_Mensuelle!$OF$67:$RN$679,39,0)</f>
        <v>837.97206144917845</v>
      </c>
      <c r="AA54" s="734">
        <f>VLOOKUP($Q54,Base_Mensuelle!$OF$67:$RN$679,51,0)</f>
        <v>10.381791571000001</v>
      </c>
      <c r="AB54" s="14">
        <f>INDEX(Base_Mensuelle!$BX$68:$CD$679,MAX(Base_Mensuelle!$FZ$68:$FZ$679)-A54,1)</f>
        <v>43586</v>
      </c>
      <c r="AC54" s="179">
        <f>VLOOKUP($AB54,Base_Mensuelle!$FL$67:$FY$679,2,0)</f>
        <v>103.29</v>
      </c>
      <c r="AD54" s="93"/>
      <c r="AE54" s="20">
        <f t="shared" si="1"/>
        <v>0.03</v>
      </c>
      <c r="AF54" s="219">
        <f>VLOOKUP($AB54,Base_Mensuelle!$GP$67:$HR$679,2,0)</f>
        <v>307</v>
      </c>
      <c r="AG54" s="93">
        <f>VLOOKUP($AB54,Base_Mensuelle!$GP$67:$HR$679,3,0)</f>
        <v>238</v>
      </c>
      <c r="AH54" s="93">
        <f>VLOOKUP($AB54,Base_Mensuelle!$GP$67:$HR$679,14,0)</f>
        <v>1998</v>
      </c>
      <c r="AI54" s="99">
        <f>VLOOKUP($AB54,Base_Mensuelle!$GA$67:$GO$679,5,0)</f>
        <v>95.14</v>
      </c>
      <c r="AJ54" s="99">
        <f>VLOOKUP($AB54,Base_Mensuelle!$GA$67:$GO$679,6,0)</f>
        <v>105.93</v>
      </c>
      <c r="AK54" s="99">
        <f>VLOOKUP($AB54,Base_Mensuelle!$GA$67:$GO$679,7,0)</f>
        <v>103.63</v>
      </c>
      <c r="AL54" s="99">
        <f>VLOOKUP($AB54,Base_Mensuelle!$GA$67:$GO$679,3,0)</f>
        <v>102.35</v>
      </c>
      <c r="AM54" s="132">
        <f>VLOOKUP($AB54,Base_Mensuelle!$GA$67:$GO$679,4,0)</f>
        <v>104.13</v>
      </c>
      <c r="AN54" s="179">
        <f>VLOOKUP($AB54,Base_Mensuelle!$HS$67:$JV$679,9,0)</f>
        <v>181.04575805664064</v>
      </c>
      <c r="AO54" s="99">
        <f>VLOOKUP($AB54,Base_Mensuelle!$HS$67:$JV$679,23,0)</f>
        <v>161.29032897949219</v>
      </c>
      <c r="AP54" s="99">
        <f>VLOOKUP($AB54,Base_Mensuelle!$HS$67:$JV$679,39,0)</f>
        <v>400</v>
      </c>
      <c r="AQ54" s="99">
        <f>VLOOKUP($AB54,Base_Mensuelle!$HS$67:$JV$679,10,0)</f>
        <v>166.04154357910156</v>
      </c>
      <c r="AR54" s="132">
        <f>VLOOKUP($AB54,Base_Mensuelle!$HS$67:$JV$679,11,0)</f>
        <v>88.518527984619141</v>
      </c>
      <c r="AS54" s="733">
        <f>VLOOKUP($B54,Base_Mensuelle!$JW$67:$KZ$679,3,0)</f>
        <v>300</v>
      </c>
      <c r="AT54" s="734">
        <f>VLOOKUP($B54,Base_Mensuelle!$JW$67:$KZ$679,8,0)</f>
        <v>282.5</v>
      </c>
      <c r="AU54" s="733">
        <f>VLOOKUP($B54,Base_Mensuelle!$JW$67:$KZ$679,11,0)</f>
        <v>48.722222222222221</v>
      </c>
      <c r="AV54" s="734">
        <f>VLOOKUP($B54,Base_Mensuelle!$JW$67:$KZ$679,15,0)</f>
        <v>70.255409836065596</v>
      </c>
      <c r="AW54" s="733">
        <f>VLOOKUP($B54,Base_Mensuelle!$JW$67:$KZ$679,25,0)</f>
        <v>24.166666666666668</v>
      </c>
      <c r="AX54" s="734">
        <f>VLOOKUP($B54,Base_Mensuelle!$JW$67:$KZ$679,29,0)</f>
        <v>31.077272727272728</v>
      </c>
    </row>
    <row r="55" spans="1:50">
      <c r="A55" s="175">
        <f t="shared" si="0"/>
        <v>54</v>
      </c>
      <c r="B55" s="14">
        <f>INDEX(Base_Mensuelle!$BX$68:$CD$679,MAX(Base_Mensuelle!$CD$68:$CD$679)-A56,1)</f>
        <v>43647</v>
      </c>
      <c r="C55" s="179">
        <f>VLOOKUP($B55,Base_Mensuelle!$BX$68:$CD$679,C$2,0)</f>
        <v>584.73360430766661</v>
      </c>
      <c r="D55" s="99">
        <f>VLOOKUP($B55,Base_Mensuelle!$BX$68:$CD$679,D$2,0)</f>
        <v>664.95699999999999</v>
      </c>
      <c r="E55" s="99">
        <f>VLOOKUP($B55,Base_Mensuelle!$BX$68:$CD$679,E$2,0)</f>
        <v>592.23299999999995</v>
      </c>
      <c r="F55" s="99">
        <f>VLOOKUP($B55,Base_Mensuelle!$BX$68:$CD$679,F$2,0)</f>
        <v>41.831981831793108</v>
      </c>
      <c r="G55" s="132">
        <f>VLOOKUP($B55,Base_Mensuelle!$BX$68:$CD$679,G$2,0)</f>
        <v>108.5883</v>
      </c>
      <c r="H55" s="99">
        <f>VLOOKUP($B55,Base_Mensuelle!$CF$68:$CJ$679,H$2,0)</f>
        <v>1.6653699479999999</v>
      </c>
      <c r="I55" s="132">
        <f>VLOOKUP($B55,Base_Mensuelle!$CF$68:$CJ$679,I$2,0)</f>
        <v>1412.89</v>
      </c>
      <c r="J55" s="19">
        <f>VLOOKUP($B55,Base_Mensuelle!$CY$67:$DE$679,5,0)</f>
        <v>0</v>
      </c>
      <c r="K55" s="99">
        <f>VLOOKUP($B55,Base_Mensuelle!$CY$67:$DE$679,2,0)</f>
        <v>144.2567382</v>
      </c>
      <c r="L55" s="93"/>
      <c r="M55" s="182">
        <f>VLOOKUP($B55,Base_Mensuelle!$DG$67:$DN$679,2,0)</f>
        <v>413928</v>
      </c>
      <c r="N55" s="182">
        <f>VLOOKUP($B55,Base_Mensuelle!$DG$68:$DO$679,9,0)</f>
        <v>6287656</v>
      </c>
      <c r="O55" s="93"/>
      <c r="P55" s="20"/>
      <c r="Q55" s="14">
        <f>INDEX(Base_Mensuelle!$BX$68:$CD$679,MAX(Base_Mensuelle!$PD$68:$PD$679)-A56,1)</f>
        <v>43647</v>
      </c>
      <c r="R55" s="733">
        <f>VLOOKUP($Q55,Base_Mensuelle!$OF$67:$RN$679,12,0)</f>
        <v>1406.3030107050001</v>
      </c>
      <c r="S55" s="570">
        <f>VLOOKUP($Q55,Base_Mensuelle!$OF$67:$RN$679,15,0)</f>
        <v>2876.5411164379998</v>
      </c>
      <c r="T55" s="570">
        <f>VLOOKUP($Q55,Base_Mensuelle!$OF$67:$RN$679,22,0)</f>
        <v>693.33712146900007</v>
      </c>
      <c r="U55" s="734">
        <f>VLOOKUP($Q55,Base_Mensuelle!$OF$67:$RN$679,16,0)</f>
        <v>-27.181611855000028</v>
      </c>
      <c r="V55" s="733">
        <f>VLOOKUP($Q55,Base_Mensuelle!$OF$67:$RN$679,27,0)</f>
        <v>334.98501070500004</v>
      </c>
      <c r="W55" s="570">
        <f>VLOOKUP($Q55,Base_Mensuelle!$OF$67:$RN$679,31,0)</f>
        <v>-166.37339076200001</v>
      </c>
      <c r="X55" s="570">
        <f>VLOOKUP($Q55,Base_Mensuelle!$OF$67:$RN$679,33,0)</f>
        <v>279.97627908800001</v>
      </c>
      <c r="Y55" s="570">
        <f>VLOOKUP($Q55,Base_Mensuelle!$OF$67:$RN$679,65,0)</f>
        <v>2896.4969999999998</v>
      </c>
      <c r="Z55" s="570">
        <f>VLOOKUP($Q55,Base_Mensuelle!$OF$67:$RN$679,39,0)</f>
        <v>849.1370651609999</v>
      </c>
      <c r="AA55" s="734">
        <f>VLOOKUP($Q55,Base_Mensuelle!$OF$67:$RN$679,51,0)</f>
        <v>12.721943741999999</v>
      </c>
      <c r="AB55" s="14">
        <f>INDEX(Base_Mensuelle!$BX$68:$CD$679,MAX(Base_Mensuelle!$FZ$68:$FZ$679)-A55,1)</f>
        <v>43617</v>
      </c>
      <c r="AC55" s="179">
        <f>VLOOKUP($AB55,Base_Mensuelle!$FL$67:$FY$679,2,0)</f>
        <v>102.99</v>
      </c>
      <c r="AD55" s="93"/>
      <c r="AE55" s="20">
        <f t="shared" si="1"/>
        <v>0.03</v>
      </c>
      <c r="AF55" s="220">
        <f>VLOOKUP($AB55,Base_Mensuelle!$GP$67:$HR$679,2,0)</f>
        <v>307</v>
      </c>
      <c r="AG55" s="99">
        <f>VLOOKUP($AB55,Base_Mensuelle!$GP$67:$HR$679,3,0)</f>
        <v>247</v>
      </c>
      <c r="AH55" s="99">
        <f>VLOOKUP($AB55,Base_Mensuelle!$GP$67:$HR$679,14,0)</f>
        <v>1828</v>
      </c>
      <c r="AI55" s="99">
        <f>VLOOKUP($AB55,Base_Mensuelle!$GA$67:$GO$679,5,0)</f>
        <v>96.9</v>
      </c>
      <c r="AJ55" s="99">
        <f>VLOOKUP($AB55,Base_Mensuelle!$GA$67:$GO$679,6,0)</f>
        <v>106.2</v>
      </c>
      <c r="AK55" s="99">
        <f>VLOOKUP($AB55,Base_Mensuelle!$GA$67:$GO$679,7,0)</f>
        <v>103.06</v>
      </c>
      <c r="AL55" s="99">
        <f>VLOOKUP($AB55,Base_Mensuelle!$GA$67:$GO$679,3,0)</f>
        <v>102.3</v>
      </c>
      <c r="AM55" s="132">
        <f>VLOOKUP($AB55,Base_Mensuelle!$GA$67:$GO$679,4,0)</f>
        <v>103.8</v>
      </c>
      <c r="AN55" s="179">
        <f>VLOOKUP($AB55,Base_Mensuelle!$HS$67:$JV$679,9,0)</f>
        <v>154.82026290893555</v>
      </c>
      <c r="AO55" s="99">
        <f>VLOOKUP($AB55,Base_Mensuelle!$HS$67:$JV$679,23,0)</f>
        <v>160.87543640136718</v>
      </c>
      <c r="AP55" s="99">
        <f>VLOOKUP($AB55,Base_Mensuelle!$HS$67:$JV$679,39,0)</f>
        <v>400</v>
      </c>
      <c r="AQ55" s="99">
        <f>VLOOKUP($AB55,Base_Mensuelle!$HS$67:$JV$679,10,0)</f>
        <v>146.5231819152832</v>
      </c>
      <c r="AR55" s="132">
        <f>VLOOKUP($AB55,Base_Mensuelle!$HS$67:$JV$679,11,0)</f>
        <v>79.975581359863284</v>
      </c>
      <c r="AS55" s="733">
        <f>VLOOKUP($B55,Base_Mensuelle!$JW$67:$KZ$679,3,0)</f>
        <v>322.43589743589746</v>
      </c>
      <c r="AT55" s="734">
        <f>VLOOKUP($B55,Base_Mensuelle!$JW$67:$KZ$679,8,0)</f>
        <v>295.76388888888886</v>
      </c>
      <c r="AU55" s="733">
        <f>VLOOKUP($B55,Base_Mensuelle!$JW$67:$KZ$679,11,0)</f>
        <v>45.116438356164387</v>
      </c>
      <c r="AV55" s="734">
        <f>VLOOKUP($B55,Base_Mensuelle!$JW$67:$KZ$679,15,0)</f>
        <v>75.879251700680271</v>
      </c>
      <c r="AW55" s="733">
        <f>VLOOKUP($B55,Base_Mensuelle!$JW$67:$KZ$679,25,0)</f>
        <v>23.935897435897438</v>
      </c>
      <c r="AX55" s="734">
        <f>VLOOKUP($B55,Base_Mensuelle!$JW$67:$KZ$679,29,0)</f>
        <v>24.706484641638223</v>
      </c>
    </row>
    <row r="56" spans="1:50">
      <c r="A56" s="175">
        <f t="shared" si="0"/>
        <v>53</v>
      </c>
      <c r="B56" s="14">
        <f>INDEX(Base_Mensuelle!$BX$68:$CD$679,MAX(Base_Mensuelle!$CD$68:$CD$679)-A57,1)</f>
        <v>43678</v>
      </c>
      <c r="C56" s="179">
        <f>VLOOKUP($B56,Base_Mensuelle!$BX$68:$CD$679,C$2,0)</f>
        <v>589.57522098698348</v>
      </c>
      <c r="D56" s="99">
        <f>VLOOKUP($B56,Base_Mensuelle!$BX$68:$CD$679,D$2,0)</f>
        <v>664.95699999999999</v>
      </c>
      <c r="E56" s="99">
        <f>VLOOKUP($B56,Base_Mensuelle!$BX$68:$CD$679,E$2,0)</f>
        <v>602.23699999999997</v>
      </c>
      <c r="F56" s="99">
        <f>VLOOKUP($B56,Base_Mensuelle!$BX$68:$CD$679,F$2,0)</f>
        <v>40.918668118911803</v>
      </c>
      <c r="G56" s="132">
        <f>VLOOKUP($B56,Base_Mensuelle!$BX$68:$CD$679,G$2,0)</f>
        <v>108.57389999999999</v>
      </c>
      <c r="H56" s="99">
        <f>VLOOKUP($B56,Base_Mensuelle!$CF$68:$CJ$679,H$2,0)</f>
        <v>1.5604300360000001</v>
      </c>
      <c r="I56" s="132">
        <f>VLOOKUP($B56,Base_Mensuelle!$CF$68:$CJ$679,I$2,0)</f>
        <v>1500.41</v>
      </c>
      <c r="J56" s="19">
        <f>VLOOKUP($B56,Base_Mensuelle!$CY$67:$DE$679,5,0)</f>
        <v>0</v>
      </c>
      <c r="K56" s="99">
        <f>VLOOKUP($B56,Base_Mensuelle!$CY$67:$DE$679,2,0)</f>
        <v>139.0083205</v>
      </c>
      <c r="L56" s="93"/>
      <c r="M56" s="182">
        <f>VLOOKUP($B56,Base_Mensuelle!$DG$67:$DN$679,2,0)</f>
        <v>415656</v>
      </c>
      <c r="N56" s="182">
        <f>VLOOKUP($B56,Base_Mensuelle!$DG$68:$DO$679,9,0)</f>
        <v>6135649</v>
      </c>
      <c r="O56" s="93"/>
      <c r="P56" s="20"/>
      <c r="Q56" s="14">
        <f>INDEX(Base_Mensuelle!$BX$68:$CD$679,MAX(Base_Mensuelle!$PD$68:$PD$679)-A57,1)</f>
        <v>43678</v>
      </c>
      <c r="R56" s="733">
        <f>VLOOKUP($Q56,Base_Mensuelle!$OF$67:$RN$679,12,0)</f>
        <v>1431.2982665800005</v>
      </c>
      <c r="S56" s="570">
        <f>VLOOKUP($Q56,Base_Mensuelle!$OF$67:$RN$679,15,0)</f>
        <v>2869.6861413609995</v>
      </c>
      <c r="T56" s="570">
        <f>VLOOKUP($Q56,Base_Mensuelle!$OF$67:$RN$679,22,0)</f>
        <v>688.68248827800016</v>
      </c>
      <c r="U56" s="734">
        <f>VLOOKUP($Q56,Base_Mensuelle!$OF$67:$RN$679,16,0)</f>
        <v>-37.893976761000033</v>
      </c>
      <c r="V56" s="733">
        <f>VLOOKUP($Q56,Base_Mensuelle!$OF$67:$RN$679,27,0)</f>
        <v>326.48226657999999</v>
      </c>
      <c r="W56" s="570">
        <f>VLOOKUP($Q56,Base_Mensuelle!$OF$67:$RN$679,31,0)</f>
        <v>-177.04475566799999</v>
      </c>
      <c r="X56" s="570">
        <f>VLOOKUP($Q56,Base_Mensuelle!$OF$67:$RN$679,33,0)</f>
        <v>290.67306356099999</v>
      </c>
      <c r="Y56" s="570">
        <f>VLOOKUP($Q56,Base_Mensuelle!$OF$67:$RN$679,65,0)</f>
        <v>2900.3359999999993</v>
      </c>
      <c r="Z56" s="570">
        <f>VLOOKUP($Q56,Base_Mensuelle!$OF$67:$RN$679,39,0)</f>
        <v>799.16696435400002</v>
      </c>
      <c r="AA56" s="734">
        <f>VLOOKUP($Q56,Base_Mensuelle!$OF$67:$RN$679,51,0)</f>
        <v>14.441545173000002</v>
      </c>
      <c r="AB56" s="14">
        <f>INDEX(Base_Mensuelle!$BX$68:$CD$679,MAX(Base_Mensuelle!$FZ$68:$FZ$679)-A56,1)</f>
        <v>43647</v>
      </c>
      <c r="AC56" s="179">
        <f>VLOOKUP($AB56,Base_Mensuelle!$FL$67:$FY$679,2,0)</f>
        <v>103.22</v>
      </c>
      <c r="AD56" s="93"/>
      <c r="AE56" s="20">
        <f t="shared" si="1"/>
        <v>0.03</v>
      </c>
      <c r="AF56" s="220">
        <f>VLOOKUP($AB56,Base_Mensuelle!$GP$67:$HR$679,2,0)</f>
        <v>365</v>
      </c>
      <c r="AG56" s="99">
        <f>VLOOKUP($AB56,Base_Mensuelle!$GP$67:$HR$679,3,0)</f>
        <v>300</v>
      </c>
      <c r="AH56" s="99">
        <f>VLOOKUP($AB56,Base_Mensuelle!$GP$67:$HR$679,14,0)</f>
        <v>2279</v>
      </c>
      <c r="AI56" s="99">
        <f>VLOOKUP($AB56,Base_Mensuelle!$GA$67:$GO$679,5,0)</f>
        <v>93.98</v>
      </c>
      <c r="AJ56" s="99">
        <f>VLOOKUP($AB56,Base_Mensuelle!$GA$67:$GO$679,6,0)</f>
        <v>106.71</v>
      </c>
      <c r="AK56" s="99">
        <f>VLOOKUP($AB56,Base_Mensuelle!$GA$67:$GO$679,7,0)</f>
        <v>103.66</v>
      </c>
      <c r="AL56" s="99">
        <f>VLOOKUP($AB56,Base_Mensuelle!$GA$67:$GO$679,3,0)</f>
        <v>102.33</v>
      </c>
      <c r="AM56" s="132">
        <f>VLOOKUP($AB56,Base_Mensuelle!$GA$67:$GO$679,4,0)</f>
        <v>104.12</v>
      </c>
      <c r="AN56" s="179">
        <f>VLOOKUP($AB56,Base_Mensuelle!$HS$67:$JV$679,9,0)</f>
        <v>149.01960754394531</v>
      </c>
      <c r="AO56" s="99">
        <f>VLOOKUP($AB56,Base_Mensuelle!$HS$67:$JV$679,23,0)</f>
        <v>155.67855834960938</v>
      </c>
      <c r="AP56" s="99">
        <f>VLOOKUP($AB56,Base_Mensuelle!$HS$67:$JV$679,39,0)</f>
        <v>375</v>
      </c>
      <c r="AQ56" s="99">
        <f>VLOOKUP($AB56,Base_Mensuelle!$HS$67:$JV$679,10,0)</f>
        <v>160.25002746582032</v>
      </c>
      <c r="AR56" s="132">
        <f>VLOOKUP($AB56,Base_Mensuelle!$HS$67:$JV$679,11,0)</f>
        <v>78.162579854329422</v>
      </c>
      <c r="AS56" s="733">
        <f>VLOOKUP($B56,Base_Mensuelle!$JW$67:$KZ$679,3,0)</f>
        <v>325.32738095238096</v>
      </c>
      <c r="AT56" s="734">
        <f>VLOOKUP($B56,Base_Mensuelle!$JW$67:$KZ$679,8,0)</f>
        <v>295.83333333333331</v>
      </c>
      <c r="AU56" s="733">
        <f>VLOOKUP($B56,Base_Mensuelle!$JW$67:$KZ$679,11,0)</f>
        <v>46.024096385542165</v>
      </c>
      <c r="AV56" s="734">
        <f>VLOOKUP($B56,Base_Mensuelle!$JW$67:$KZ$679,15,0)</f>
        <v>80.918772563176901</v>
      </c>
      <c r="AW56" s="733">
        <f>VLOOKUP($B56,Base_Mensuelle!$JW$67:$KZ$679,25,0)</f>
        <v>23</v>
      </c>
      <c r="AX56" s="734">
        <f>VLOOKUP($B56,Base_Mensuelle!$JW$67:$KZ$679,29,0)</f>
        <v>26.837638376383762</v>
      </c>
    </row>
    <row r="57" spans="1:50">
      <c r="A57" s="175">
        <f t="shared" si="0"/>
        <v>52</v>
      </c>
      <c r="B57" s="14">
        <f>INDEX(Base_Mensuelle!$BX$68:$CD$679,MAX(Base_Mensuelle!$CD$68:$CD$679)-A58,1)</f>
        <v>43709</v>
      </c>
      <c r="C57" s="179">
        <f>VLOOKUP($B57,Base_Mensuelle!$BX$68:$CD$679,C$2,0)</f>
        <v>596.12542413900474</v>
      </c>
      <c r="D57" s="99">
        <f>VLOOKUP($B57,Base_Mensuelle!$BX$68:$CD$679,D$2,0)</f>
        <v>664.95699999999999</v>
      </c>
      <c r="E57" s="99">
        <f>VLOOKUP($B57,Base_Mensuelle!$BX$68:$CD$679,E$2,0)</f>
        <v>604.735871669586</v>
      </c>
      <c r="F57" s="99">
        <f>VLOOKUP($B57,Base_Mensuelle!$BX$68:$CD$679,F$2,0)</f>
        <v>39.616671498284774</v>
      </c>
      <c r="G57" s="132">
        <f>VLOOKUP($B57,Base_Mensuelle!$BX$68:$CD$679,G$2,0)</f>
        <v>108.81950000000001</v>
      </c>
      <c r="H57" s="99">
        <f>VLOOKUP($B57,Base_Mensuelle!$CF$68:$CJ$679,H$2,0)</f>
        <v>1.5721145219999999</v>
      </c>
      <c r="I57" s="132">
        <f>VLOOKUP($B57,Base_Mensuelle!$CF$68:$CJ$679,I$2,0)</f>
        <v>1510.58</v>
      </c>
      <c r="J57" s="19">
        <f>VLOOKUP($B57,Base_Mensuelle!$CY$67:$DE$679,5,0)</f>
        <v>0</v>
      </c>
      <c r="K57" s="99">
        <f>VLOOKUP($B57,Base_Mensuelle!$CY$67:$DE$679,2,0)</f>
        <v>129.22752320000001</v>
      </c>
      <c r="L57" s="93"/>
      <c r="M57" s="182">
        <f>VLOOKUP($B57,Base_Mensuelle!$DG$67:$DN$679,2,0)</f>
        <v>416138</v>
      </c>
      <c r="N57" s="182">
        <f>VLOOKUP($B57,Base_Mensuelle!$DG$68:$DO$679,9,0)</f>
        <v>6163634</v>
      </c>
      <c r="O57" s="93"/>
      <c r="P57" s="20"/>
      <c r="Q57" s="14">
        <f>INDEX(Base_Mensuelle!$BX$68:$CD$679,MAX(Base_Mensuelle!$PD$68:$PD$679)-A58,1)</f>
        <v>43709</v>
      </c>
      <c r="R57" s="733">
        <f>VLOOKUP($Q57,Base_Mensuelle!$OF$67:$RN$679,12,0)</f>
        <v>1306.5900266479998</v>
      </c>
      <c r="S57" s="570">
        <f>VLOOKUP($Q57,Base_Mensuelle!$OF$67:$RN$679,15,0)</f>
        <v>2988.6796773680003</v>
      </c>
      <c r="T57" s="570">
        <f>VLOOKUP($Q57,Base_Mensuelle!$OF$67:$RN$679,22,0)</f>
        <v>717.61284506899995</v>
      </c>
      <c r="U57" s="734">
        <f>VLOOKUP($Q57,Base_Mensuelle!$OF$67:$RN$679,16,0)</f>
        <v>64.570710509000023</v>
      </c>
      <c r="V57" s="733">
        <f>VLOOKUP($Q57,Base_Mensuelle!$OF$67:$RN$679,27,0)</f>
        <v>161.52302664799981</v>
      </c>
      <c r="W57" s="570">
        <f>VLOOKUP($Q57,Base_Mensuelle!$OF$67:$RN$679,31,0)</f>
        <v>-64.032068398000007</v>
      </c>
      <c r="X57" s="570">
        <f>VLOOKUP($Q57,Base_Mensuelle!$OF$67:$RN$679,33,0)</f>
        <v>190.98396457600001</v>
      </c>
      <c r="Y57" s="570">
        <f>VLOOKUP($Q57,Base_Mensuelle!$OF$67:$RN$679,65,0)</f>
        <v>2916.7570000000001</v>
      </c>
      <c r="Z57" s="570">
        <f>VLOOKUP($Q57,Base_Mensuelle!$OF$67:$RN$679,39,0)</f>
        <v>825.72287555000003</v>
      </c>
      <c r="AA57" s="734">
        <f>VLOOKUP($Q57,Base_Mensuelle!$OF$67:$RN$679,51,0)</f>
        <v>16.360112107999999</v>
      </c>
      <c r="AB57" s="14">
        <f>INDEX(Base_Mensuelle!$BX$68:$CD$679,MAX(Base_Mensuelle!$FZ$68:$FZ$679)-A57,1)</f>
        <v>43678</v>
      </c>
      <c r="AC57" s="179">
        <f>VLOOKUP($AB57,Base_Mensuelle!$FL$67:$FY$679,2,0)</f>
        <v>101.68</v>
      </c>
      <c r="AD57" s="93"/>
      <c r="AE57" s="20">
        <f t="shared" si="1"/>
        <v>0.03</v>
      </c>
      <c r="AF57" s="220">
        <f>VLOOKUP($AB57,Base_Mensuelle!$GP$67:$HR$679,2,0)</f>
        <v>228</v>
      </c>
      <c r="AG57" s="99">
        <f>VLOOKUP($AB57,Base_Mensuelle!$GP$67:$HR$679,3,0)</f>
        <v>201</v>
      </c>
      <c r="AH57" s="99">
        <f>VLOOKUP($AB57,Base_Mensuelle!$GP$67:$HR$679,14,0)</f>
        <v>1889</v>
      </c>
      <c r="AI57" s="99">
        <f>VLOOKUP($AB57,Base_Mensuelle!$GA$67:$GO$679,5,0)</f>
        <v>95.05</v>
      </c>
      <c r="AJ57" s="99">
        <f>VLOOKUP($AB57,Base_Mensuelle!$GA$67:$GO$679,6,0)</f>
        <v>102.24</v>
      </c>
      <c r="AK57" s="99">
        <f>VLOOKUP($AB57,Base_Mensuelle!$GA$67:$GO$679,7,0)</f>
        <v>102.77</v>
      </c>
      <c r="AL57" s="99">
        <f>VLOOKUP($AB57,Base_Mensuelle!$GA$67:$GO$679,3,0)</f>
        <v>102.09</v>
      </c>
      <c r="AM57" s="132">
        <f>VLOOKUP($AB57,Base_Mensuelle!$GA$67:$GO$679,4,0)</f>
        <v>101.89</v>
      </c>
      <c r="AN57" s="179">
        <f>VLOOKUP($AB57,Base_Mensuelle!$HS$67:$JV$679,9,0)</f>
        <v>148.38710530598959</v>
      </c>
      <c r="AO57" s="99">
        <f>VLOOKUP($AB57,Base_Mensuelle!$HS$67:$JV$679,23,0)</f>
        <v>148.66250419616699</v>
      </c>
      <c r="AP57" s="99">
        <f>VLOOKUP($AB57,Base_Mensuelle!$HS$67:$JV$679,39,0)</f>
        <v>374</v>
      </c>
      <c r="AQ57" s="99">
        <f>VLOOKUP($AB57,Base_Mensuelle!$HS$67:$JV$679,10,0)</f>
        <v>141.95583343505859</v>
      </c>
      <c r="AR57" s="132">
        <f>VLOOKUP($AB57,Base_Mensuelle!$HS$67:$JV$679,11,0)</f>
        <v>79.099822998046875</v>
      </c>
      <c r="AS57" s="733">
        <f>VLOOKUP($B57,Base_Mensuelle!$JW$67:$KZ$679,3,0)</f>
        <v>300.10416666666669</v>
      </c>
      <c r="AT57" s="734">
        <f>VLOOKUP($B57,Base_Mensuelle!$JW$67:$KZ$679,8,0)</f>
        <v>287.41007194244605</v>
      </c>
      <c r="AU57" s="733">
        <f>VLOOKUP($B57,Base_Mensuelle!$JW$67:$KZ$679,11,0)</f>
        <v>42.676056338028168</v>
      </c>
      <c r="AV57" s="734">
        <f>VLOOKUP($B57,Base_Mensuelle!$JW$67:$KZ$679,15,0)</f>
        <v>75.962897526501763</v>
      </c>
      <c r="AW57" s="733">
        <f>VLOOKUP($B57,Base_Mensuelle!$JW$67:$KZ$679,25,0)</f>
        <v>23.424242424242426</v>
      </c>
      <c r="AX57" s="734">
        <f>VLOOKUP($B57,Base_Mensuelle!$JW$67:$KZ$679,29,0)</f>
        <v>25.447653429602887</v>
      </c>
    </row>
    <row r="58" spans="1:50">
      <c r="A58" s="175">
        <f t="shared" si="0"/>
        <v>51</v>
      </c>
      <c r="B58" s="14">
        <f>INDEX(Base_Mensuelle!$BX$68:$CD$679,MAX(Base_Mensuelle!$CD$68:$CD$679)-A59,1)</f>
        <v>43739</v>
      </c>
      <c r="C58" s="179">
        <f>VLOOKUP($B58,Base_Mensuelle!$BX$68:$CD$679,C$2,0)</f>
        <v>593.51707214207897</v>
      </c>
      <c r="D58" s="99">
        <f>VLOOKUP($B58,Base_Mensuelle!$BX$68:$CD$679,D$2,0)</f>
        <v>655.95699999999999</v>
      </c>
      <c r="E58" s="99">
        <f>VLOOKUP($B58,Base_Mensuelle!$BX$68:$CD$679,E$2,0)</f>
        <v>595.94530753157085</v>
      </c>
      <c r="F58" s="99">
        <f>VLOOKUP($B58,Base_Mensuelle!$BX$68:$CD$679,F$2,0)</f>
        <v>38.786482970671713</v>
      </c>
      <c r="G58" s="132">
        <f>VLOOKUP($B58,Base_Mensuelle!$BX$68:$CD$679,G$2,0)</f>
        <v>108.91630000000001</v>
      </c>
      <c r="H58" s="99">
        <f>VLOOKUP($B58,Base_Mensuelle!$CF$68:$CJ$679,H$2,0)</f>
        <v>1.6287732559999999</v>
      </c>
      <c r="I58" s="132">
        <f>VLOOKUP($B58,Base_Mensuelle!$CF$68:$CJ$679,I$2,0)</f>
        <v>1494.81</v>
      </c>
      <c r="J58" s="19">
        <f>VLOOKUP($B58,Base_Mensuelle!$CY$67:$DE$679,5,0)</f>
        <v>0</v>
      </c>
      <c r="K58" s="99">
        <f>VLOOKUP($B58,Base_Mensuelle!$CY$67:$DE$679,2,0)</f>
        <v>134.555115</v>
      </c>
      <c r="L58" s="93"/>
      <c r="M58" s="182">
        <f>VLOOKUP($B58,Base_Mensuelle!$DG$67:$DN$679,2,0)</f>
        <v>419793</v>
      </c>
      <c r="N58" s="182">
        <f>VLOOKUP($B58,Base_Mensuelle!$DG$68:$DO$679,9,0)</f>
        <v>6534467</v>
      </c>
      <c r="O58" s="93"/>
      <c r="P58" s="20"/>
      <c r="Q58" s="14">
        <f>INDEX(Base_Mensuelle!$BX$68:$CD$679,MAX(Base_Mensuelle!$PD$68:$PD$679)-A59,1)</f>
        <v>43739</v>
      </c>
      <c r="R58" s="733">
        <f>VLOOKUP($Q58,Base_Mensuelle!$OF$67:$RN$679,12,0)</f>
        <v>1401.4207834620004</v>
      </c>
      <c r="S58" s="570">
        <f>VLOOKUP($Q58,Base_Mensuelle!$OF$67:$RN$679,15,0)</f>
        <v>2925.9578873259998</v>
      </c>
      <c r="T58" s="570">
        <f>VLOOKUP($Q58,Base_Mensuelle!$OF$67:$RN$679,22,0)</f>
        <v>729.03457225900002</v>
      </c>
      <c r="U58" s="734">
        <f>VLOOKUP($Q58,Base_Mensuelle!$OF$67:$RN$679,16,0)</f>
        <v>42.963796608999985</v>
      </c>
      <c r="V58" s="733">
        <f>VLOOKUP($Q58,Base_Mensuelle!$OF$67:$RN$679,27,0)</f>
        <v>222.50478346199998</v>
      </c>
      <c r="W58" s="570">
        <f>VLOOKUP($Q58,Base_Mensuelle!$OF$67:$RN$679,31,0)</f>
        <v>-149.95598229800004</v>
      </c>
      <c r="X58" s="570">
        <f>VLOOKUP($Q58,Base_Mensuelle!$OF$67:$RN$679,33,0)</f>
        <v>276.93451547400002</v>
      </c>
      <c r="Y58" s="570">
        <f>VLOOKUP($Q58,Base_Mensuelle!$OF$67:$RN$679,65,0)</f>
        <v>2875.5699999999997</v>
      </c>
      <c r="Z58" s="570">
        <f>VLOOKUP($Q58,Base_Mensuelle!$OF$67:$RN$679,39,0)</f>
        <v>805.49127344399994</v>
      </c>
      <c r="AA58" s="734">
        <f>VLOOKUP($Q58,Base_Mensuelle!$OF$67:$RN$679,51,0)</f>
        <v>17.661845277000001</v>
      </c>
      <c r="AB58" s="14">
        <f>INDEX(Base_Mensuelle!$BX$68:$CD$679,MAX(Base_Mensuelle!$FZ$68:$FZ$679)-A58,1)</f>
        <v>43709</v>
      </c>
      <c r="AC58" s="179">
        <f>VLOOKUP($AB58,Base_Mensuelle!$FL$67:$FY$679,2,0)</f>
        <v>101.47</v>
      </c>
      <c r="AD58" s="93"/>
      <c r="AE58" s="20">
        <f t="shared" si="1"/>
        <v>0.03</v>
      </c>
      <c r="AF58" s="220">
        <f>VLOOKUP($AB58,Base_Mensuelle!$GP$67:$HR$679,2,0)</f>
        <v>246</v>
      </c>
      <c r="AG58" s="99">
        <f>VLOOKUP($AB58,Base_Mensuelle!$GP$67:$HR$679,3,0)</f>
        <v>215</v>
      </c>
      <c r="AH58" s="99">
        <f>VLOOKUP($AB58,Base_Mensuelle!$GP$67:$HR$679,14,0)</f>
        <v>2057</v>
      </c>
      <c r="AI58" s="99">
        <f>VLOOKUP($AB58,Base_Mensuelle!$GA$67:$GO$679,5,0)</f>
        <v>96.11</v>
      </c>
      <c r="AJ58" s="99">
        <f>VLOOKUP($AB58,Base_Mensuelle!$GA$67:$GO$679,6,0)</f>
        <v>99.74</v>
      </c>
      <c r="AK58" s="99">
        <f>VLOOKUP($AB58,Base_Mensuelle!$GA$67:$GO$679,7,0)</f>
        <v>103.21</v>
      </c>
      <c r="AL58" s="99">
        <f>VLOOKUP($AB58,Base_Mensuelle!$GA$67:$GO$679,3,0)</f>
        <v>102.18</v>
      </c>
      <c r="AM58" s="132">
        <f>VLOOKUP($AB58,Base_Mensuelle!$GA$67:$GO$679,4,0)</f>
        <v>101.47</v>
      </c>
      <c r="AN58" s="179">
        <f>VLOOKUP($AB58,Base_Mensuelle!$HS$67:$JV$679,9,0)</f>
        <v>139.25258255004883</v>
      </c>
      <c r="AO58" s="99">
        <f>VLOOKUP($AB58,Base_Mensuelle!$HS$67:$JV$679,23,0)</f>
        <v>147.99976959228516</v>
      </c>
      <c r="AP58" s="99">
        <f>VLOOKUP($AB58,Base_Mensuelle!$HS$67:$JV$679,39,0)</f>
        <v>370</v>
      </c>
      <c r="AQ58" s="99">
        <f>VLOOKUP($AB58,Base_Mensuelle!$HS$67:$JV$679,10,0)</f>
        <v>127.04265785217285</v>
      </c>
      <c r="AR58" s="132">
        <f>VLOOKUP($AB58,Base_Mensuelle!$HS$67:$JV$679,11,0)</f>
        <v>82.085563659667969</v>
      </c>
      <c r="AS58" s="733">
        <f>VLOOKUP($B58,Base_Mensuelle!$JW$67:$KZ$679,3,0)</f>
        <v>286.88311688311688</v>
      </c>
      <c r="AT58" s="734">
        <f>VLOOKUP($B58,Base_Mensuelle!$JW$67:$KZ$679,8,0)</f>
        <v>278.10897435897436</v>
      </c>
      <c r="AU58" s="733">
        <f>VLOOKUP($B58,Base_Mensuelle!$JW$67:$KZ$679,11,0)</f>
        <v>40.743421052631582</v>
      </c>
      <c r="AV58" s="734">
        <f>VLOOKUP($B58,Base_Mensuelle!$JW$67:$KZ$679,15,0)</f>
        <v>76.13942307692308</v>
      </c>
      <c r="AW58" s="733">
        <f>VLOOKUP($B58,Base_Mensuelle!$JW$67:$KZ$679,25,0)</f>
        <v>23.168918918918919</v>
      </c>
      <c r="AX58" s="734">
        <f>VLOOKUP($B58,Base_Mensuelle!$JW$67:$KZ$679,29,0)</f>
        <v>24.823529411764707</v>
      </c>
    </row>
    <row r="59" spans="1:50">
      <c r="A59" s="175">
        <f t="shared" si="0"/>
        <v>50</v>
      </c>
      <c r="B59" s="14">
        <f>INDEX(Base_Mensuelle!$BX$68:$CD$679,MAX(Base_Mensuelle!$CD$68:$CD$679)-A60,1)</f>
        <v>43770</v>
      </c>
      <c r="C59" s="179">
        <f>VLOOKUP($B59,Base_Mensuelle!$BX$68:$CD$679,C$2,0)</f>
        <v>592.93026011314191</v>
      </c>
      <c r="D59" s="99">
        <f>VLOOKUP($B59,Base_Mensuelle!$BX$68:$CD$679,D$2,0)</f>
        <v>655.95699999999999</v>
      </c>
      <c r="E59" s="99">
        <f>VLOOKUP($B59,Base_Mensuelle!$BX$68:$CD$679,E$2,0)</f>
        <v>596.4329878159665</v>
      </c>
      <c r="F59" s="99">
        <f>VLOOKUP($B59,Base_Mensuelle!$BX$68:$CD$679,F$2,0)</f>
        <v>40.692878899731383</v>
      </c>
      <c r="G59" s="132">
        <f>VLOOKUP($B59,Base_Mensuelle!$BX$68:$CD$679,G$2,0)</f>
        <v>107.20950000000001</v>
      </c>
      <c r="H59" s="99">
        <f>VLOOKUP($B59,Base_Mensuelle!$CF$68:$CJ$679,H$2,0)</f>
        <v>1.650378532</v>
      </c>
      <c r="I59" s="132">
        <f>VLOOKUP($B59,Base_Mensuelle!$CF$68:$CJ$679,I$2,0)</f>
        <v>1470.79</v>
      </c>
      <c r="J59" s="19">
        <f>VLOOKUP($B59,Base_Mensuelle!$CY$67:$DE$679,5,0)</f>
        <v>0</v>
      </c>
      <c r="K59" s="99">
        <f>VLOOKUP($B59,Base_Mensuelle!$CY$67:$DE$679,2,0)</f>
        <v>144.4152666</v>
      </c>
      <c r="L59" s="93"/>
      <c r="M59" s="182">
        <f>VLOOKUP($B59,Base_Mensuelle!$DG$67:$DN$679,2,0)</f>
        <v>422500</v>
      </c>
      <c r="N59" s="182">
        <f>VLOOKUP($B59,Base_Mensuelle!$DG$68:$DO$679,9,0)</f>
        <v>6955853</v>
      </c>
      <c r="O59" s="93"/>
      <c r="P59" s="20"/>
      <c r="Q59" s="14">
        <f>INDEX(Base_Mensuelle!$BX$68:$CD$679,MAX(Base_Mensuelle!$PD$68:$PD$679)-A60,1)</f>
        <v>43770</v>
      </c>
      <c r="R59" s="733">
        <f>VLOOKUP($Q59,Base_Mensuelle!$OF$67:$RN$679,12,0)</f>
        <v>1374.6962406989994</v>
      </c>
      <c r="S59" s="570">
        <f>VLOOKUP($Q59,Base_Mensuelle!$OF$67:$RN$679,15,0)</f>
        <v>2967.7325393079996</v>
      </c>
      <c r="T59" s="570">
        <f>VLOOKUP($Q59,Base_Mensuelle!$OF$67:$RN$679,22,0)</f>
        <v>735.527627059</v>
      </c>
      <c r="U59" s="734">
        <f>VLOOKUP($Q59,Base_Mensuelle!$OF$67:$RN$679,16,0)</f>
        <v>107.48071974399993</v>
      </c>
      <c r="V59" s="733">
        <f>VLOOKUP($Q59,Base_Mensuelle!$OF$67:$RN$679,27,0)</f>
        <v>216.57624069899987</v>
      </c>
      <c r="W59" s="570">
        <f>VLOOKUP($Q59,Base_Mensuelle!$OF$67:$RN$679,31,0)</f>
        <v>-62.486059163000021</v>
      </c>
      <c r="X59" s="570">
        <f>VLOOKUP($Q59,Base_Mensuelle!$OF$67:$RN$679,33,0)</f>
        <v>189.49531088500001</v>
      </c>
      <c r="Y59" s="570">
        <f>VLOOKUP($Q59,Base_Mensuelle!$OF$67:$RN$679,65,0)</f>
        <v>2853.0519999999997</v>
      </c>
      <c r="Z59" s="570">
        <f>VLOOKUP($Q59,Base_Mensuelle!$OF$67:$RN$679,39,0)</f>
        <v>878.64581718099998</v>
      </c>
      <c r="AA59" s="734">
        <f>VLOOKUP($Q59,Base_Mensuelle!$OF$67:$RN$679,51,0)</f>
        <v>18.899776616</v>
      </c>
      <c r="AB59" s="14">
        <f>INDEX(Base_Mensuelle!$BX$68:$CD$679,MAX(Base_Mensuelle!$FZ$68:$FZ$679)-A59,1)</f>
        <v>43739</v>
      </c>
      <c r="AC59" s="179">
        <f>VLOOKUP($AB59,Base_Mensuelle!$FL$67:$FY$679,2,0)</f>
        <v>102.02</v>
      </c>
      <c r="AD59" s="93"/>
      <c r="AE59" s="20">
        <f t="shared" si="1"/>
        <v>0.03</v>
      </c>
      <c r="AF59" s="220">
        <f>VLOOKUP($AB59,Base_Mensuelle!$GP$67:$HR$679,2,0)</f>
        <v>240</v>
      </c>
      <c r="AG59" s="99">
        <f>VLOOKUP($AB59,Base_Mensuelle!$GP$67:$HR$679,3,0)</f>
        <v>210</v>
      </c>
      <c r="AH59" s="99">
        <f>VLOOKUP($AB59,Base_Mensuelle!$GP$67:$HR$679,14,0)</f>
        <v>2024</v>
      </c>
      <c r="AI59" s="99">
        <f>VLOOKUP($AB59,Base_Mensuelle!$GA$67:$GO$679,5,0)</f>
        <v>101.25</v>
      </c>
      <c r="AJ59" s="99">
        <f>VLOOKUP($AB59,Base_Mensuelle!$GA$67:$GO$679,6,0)</f>
        <v>100.2</v>
      </c>
      <c r="AK59" s="99">
        <f>VLOOKUP($AB59,Base_Mensuelle!$GA$67:$GO$679,7,0)</f>
        <v>103.23</v>
      </c>
      <c r="AL59" s="99">
        <f>VLOOKUP($AB59,Base_Mensuelle!$GA$67:$GO$679,3,0)</f>
        <v>102.1</v>
      </c>
      <c r="AM59" s="132">
        <f>VLOOKUP($AB59,Base_Mensuelle!$GA$67:$GO$679,4,0)</f>
        <v>102.26</v>
      </c>
      <c r="AN59" s="179">
        <f>VLOOKUP($AB59,Base_Mensuelle!$HS$67:$JV$679,9,0)</f>
        <v>145.42483520507813</v>
      </c>
      <c r="AO59" s="99">
        <f>VLOOKUP($AB59,Base_Mensuelle!$HS$67:$JV$679,23,0)</f>
        <v>141.71511077880859</v>
      </c>
      <c r="AP59" s="99">
        <f>VLOOKUP($AB59,Base_Mensuelle!$HS$67:$JV$679,39,0)</f>
        <v>370</v>
      </c>
      <c r="AQ59" s="99">
        <f>VLOOKUP($AB59,Base_Mensuelle!$HS$67:$JV$679,10,0)</f>
        <v>132.24319915771486</v>
      </c>
      <c r="AR59" s="132">
        <f>VLOOKUP($AB59,Base_Mensuelle!$HS$67:$JV$679,11,0)</f>
        <v>87.009801864624023</v>
      </c>
      <c r="AS59" s="733">
        <f>VLOOKUP($B59,Base_Mensuelle!$JW$67:$KZ$679,3,0)</f>
        <v>297.62820512820514</v>
      </c>
      <c r="AT59" s="734">
        <f>VLOOKUP($B59,Base_Mensuelle!$JW$67:$KZ$679,8,0)</f>
        <v>265.6292517006803</v>
      </c>
      <c r="AU59" s="733">
        <f>VLOOKUP($B59,Base_Mensuelle!$JW$67:$KZ$679,11,0)</f>
        <v>44.702531645569621</v>
      </c>
      <c r="AV59" s="734">
        <f>VLOOKUP($B59,Base_Mensuelle!$JW$67:$KZ$679,15,0)</f>
        <v>76.624213836477978</v>
      </c>
      <c r="AW59" s="733">
        <f>VLOOKUP($B59,Base_Mensuelle!$JW$67:$KZ$679,25,0)</f>
        <v>23.351851851851851</v>
      </c>
      <c r="AX59" s="734">
        <f>VLOOKUP($B59,Base_Mensuelle!$JW$67:$KZ$679,29,0)</f>
        <v>24.996913580246915</v>
      </c>
    </row>
    <row r="60" spans="1:50">
      <c r="A60" s="175">
        <f t="shared" si="0"/>
        <v>49</v>
      </c>
      <c r="B60" s="14">
        <f>INDEX(Base_Mensuelle!$BX$68:$CD$679,MAX(Base_Mensuelle!$CD$68:$CD$679)-A61,1)</f>
        <v>43800</v>
      </c>
      <c r="C60" s="179">
        <f>VLOOKUP($B60,Base_Mensuelle!$BX$68:$CD$679,C$2,0)</f>
        <v>590.55523858727179</v>
      </c>
      <c r="D60" s="99">
        <f>VLOOKUP($B60,Base_Mensuelle!$BX$68:$CD$679,D$2,0)</f>
        <v>655.95699999999999</v>
      </c>
      <c r="E60" s="99">
        <f>VLOOKUP($B60,Base_Mensuelle!$BX$68:$CD$679,E$2,0)</f>
        <v>604.34586327621162</v>
      </c>
      <c r="F60" s="99">
        <f>VLOOKUP($B60,Base_Mensuelle!$BX$68:$CD$679,F$2,0)</f>
        <v>41.575998428121416</v>
      </c>
      <c r="G60" s="132">
        <f>VLOOKUP($B60,Base_Mensuelle!$BX$68:$CD$679,G$2,0)</f>
        <v>103.7959</v>
      </c>
      <c r="H60" s="99">
        <f>VLOOKUP($B60,Base_Mensuelle!$CF$68:$CJ$679,H$2,0)</f>
        <v>1.6717633460000001</v>
      </c>
      <c r="I60" s="132">
        <f>VLOOKUP($B60,Base_Mensuelle!$CF$68:$CJ$679,I$2,0)</f>
        <v>1479.13</v>
      </c>
      <c r="J60" s="19">
        <f>VLOOKUP($B60,Base_Mensuelle!$CY$67:$DE$679,5,0)</f>
        <v>0</v>
      </c>
      <c r="K60" s="99">
        <f>VLOOKUP($B60,Base_Mensuelle!$CY$67:$DE$679,2,0)</f>
        <v>133.40707810000001</v>
      </c>
      <c r="L60" s="93"/>
      <c r="M60" s="182">
        <f>VLOOKUP($B60,Base_Mensuelle!$DG$67:$DN$679,2,0)</f>
        <v>424876</v>
      </c>
      <c r="N60" s="182">
        <f>VLOOKUP($B60,Base_Mensuelle!$DG$68:$DO$679,9,0)</f>
        <v>7430838</v>
      </c>
      <c r="O60" s="93"/>
      <c r="P60" s="20"/>
      <c r="Q60" s="14">
        <f>INDEX(Base_Mensuelle!$BX$68:$CD$679,MAX(Base_Mensuelle!$PD$68:$PD$679)-A61,1)</f>
        <v>43800</v>
      </c>
      <c r="R60" s="733">
        <f>VLOOKUP($Q60,Base_Mensuelle!$OF$67:$RN$679,12,0)</f>
        <v>1508.5330278715433</v>
      </c>
      <c r="S60" s="570">
        <f>VLOOKUP($Q60,Base_Mensuelle!$OF$67:$RN$679,15,0)</f>
        <v>3068.0108933849997</v>
      </c>
      <c r="T60" s="570">
        <f>VLOOKUP($Q60,Base_Mensuelle!$OF$67:$RN$679,22,0)</f>
        <v>719.81468277199997</v>
      </c>
      <c r="U60" s="734">
        <f>VLOOKUP($Q60,Base_Mensuelle!$OF$67:$RN$679,16,0)</f>
        <v>151.84025188999999</v>
      </c>
      <c r="V60" s="733">
        <f>VLOOKUP($Q60,Base_Mensuelle!$OF$67:$RN$679,27,0)</f>
        <v>76.720027871543039</v>
      </c>
      <c r="W60" s="570">
        <f>VLOOKUP($Q60,Base_Mensuelle!$OF$67:$RN$679,31,0)</f>
        <v>-35.447673709</v>
      </c>
      <c r="X60" s="570">
        <f>VLOOKUP($Q60,Base_Mensuelle!$OF$67:$RN$679,33,0)</f>
        <v>154.033738852</v>
      </c>
      <c r="Y60" s="570">
        <f>VLOOKUP($Q60,Base_Mensuelle!$OF$67:$RN$679,65,0)</f>
        <v>2909.8429999999998</v>
      </c>
      <c r="Z60" s="570">
        <f>VLOOKUP($Q60,Base_Mensuelle!$OF$67:$RN$679,39,0)</f>
        <v>902.21040746954304</v>
      </c>
      <c r="AA60" s="734">
        <f>VLOOKUP($Q60,Base_Mensuelle!$OF$67:$RN$679,51,0)</f>
        <v>1.5537082310000001</v>
      </c>
      <c r="AB60" s="14">
        <f>INDEX(Base_Mensuelle!$BX$68:$CD$679,MAX(Base_Mensuelle!$FZ$68:$FZ$679)-A60,1)</f>
        <v>43770</v>
      </c>
      <c r="AC60" s="179">
        <f>VLOOKUP($AB60,Base_Mensuelle!$FL$67:$FY$679,2,0)</f>
        <v>101.26</v>
      </c>
      <c r="AD60" s="93"/>
      <c r="AE60" s="20">
        <f t="shared" si="1"/>
        <v>0.03</v>
      </c>
      <c r="AF60" s="220">
        <f>VLOOKUP($AB60,Base_Mensuelle!$GP$67:$HR$679,2,0)</f>
        <v>251</v>
      </c>
      <c r="AG60" s="99">
        <f>VLOOKUP($AB60,Base_Mensuelle!$GP$67:$HR$679,3,0)</f>
        <v>218</v>
      </c>
      <c r="AH60" s="99">
        <f>VLOOKUP($AB60,Base_Mensuelle!$GP$67:$HR$679,14,0)</f>
        <v>1996</v>
      </c>
      <c r="AI60" s="99">
        <f>VLOOKUP($AB60,Base_Mensuelle!$GA$67:$GO$679,5,0)</f>
        <v>97.79</v>
      </c>
      <c r="AJ60" s="99">
        <f>VLOOKUP($AB60,Base_Mensuelle!$GA$67:$GO$679,6,0)</f>
        <v>98.86</v>
      </c>
      <c r="AK60" s="99">
        <f>VLOOKUP($AB60,Base_Mensuelle!$GA$67:$GO$679,7,0)</f>
        <v>103.21</v>
      </c>
      <c r="AL60" s="99">
        <f>VLOOKUP($AB60,Base_Mensuelle!$GA$67:$GO$679,3,0)</f>
        <v>101.71</v>
      </c>
      <c r="AM60" s="132">
        <f>VLOOKUP($AB60,Base_Mensuelle!$GA$67:$GO$679,4,0)</f>
        <v>101.35</v>
      </c>
      <c r="AN60" s="179">
        <f>VLOOKUP($AB60,Base_Mensuelle!$HS$67:$JV$679,9,0)</f>
        <v>137.96384048461914</v>
      </c>
      <c r="AO60" s="99">
        <f>VLOOKUP($AB60,Base_Mensuelle!$HS$67:$JV$679,23,0)</f>
        <v>130.81394958496094</v>
      </c>
      <c r="AP60" s="99">
        <f>VLOOKUP($AB60,Base_Mensuelle!$HS$67:$JV$679,39,0)</f>
        <v>370</v>
      </c>
      <c r="AQ60" s="99">
        <f>VLOOKUP($AB60,Base_Mensuelle!$HS$67:$JV$679,10,0)</f>
        <v>136.24081802368164</v>
      </c>
      <c r="AR60" s="132">
        <f>VLOOKUP($AB60,Base_Mensuelle!$HS$67:$JV$679,11,0)</f>
        <v>74.142154693603516</v>
      </c>
      <c r="AS60" s="733">
        <f>VLOOKUP($B60,Base_Mensuelle!$JW$67:$KZ$679,3,0)</f>
        <v>278.69333333333333</v>
      </c>
      <c r="AT60" s="734">
        <f>VLOOKUP($B60,Base_Mensuelle!$JW$67:$KZ$679,8,0)</f>
        <v>275.625</v>
      </c>
      <c r="AU60" s="733">
        <f>VLOOKUP($B60,Base_Mensuelle!$JW$67:$KZ$679,11,0)</f>
        <v>43.621621621621621</v>
      </c>
      <c r="AV60" s="734">
        <f>VLOOKUP($B60,Base_Mensuelle!$JW$67:$KZ$679,15,0)</f>
        <v>77.556122448979579</v>
      </c>
      <c r="AW60" s="733">
        <f>VLOOKUP($B60,Base_Mensuelle!$JW$67:$KZ$679,25,0)</f>
        <v>23.333333333333332</v>
      </c>
      <c r="AX60" s="734">
        <f>VLOOKUP($B60,Base_Mensuelle!$JW$67:$KZ$679,29,0)</f>
        <v>25.917543859649122</v>
      </c>
    </row>
    <row r="61" spans="1:50">
      <c r="A61" s="175">
        <f t="shared" si="0"/>
        <v>48</v>
      </c>
      <c r="B61" s="14">
        <f>INDEX(Base_Mensuelle!$BX$68:$CD$679,MAX(Base_Mensuelle!$CD$68:$CD$679)-A62,1)</f>
        <v>43831</v>
      </c>
      <c r="C61" s="179">
        <f>VLOOKUP($B61,Base_Mensuelle!$BX$68:$CD$679,C$2,0)</f>
        <v>590.94804782289521</v>
      </c>
      <c r="D61" s="99">
        <f>VLOOKUP($B61,Base_Mensuelle!$BX$68:$CD$679,D$2,0)</f>
        <v>655.95699999999999</v>
      </c>
      <c r="E61" s="99">
        <f>VLOOKUP($B61,Base_Mensuelle!$BX$68:$CD$679,E$2,0)</f>
        <v>613.38788105479716</v>
      </c>
      <c r="F61" s="99">
        <f>VLOOKUP($B61,Base_Mensuelle!$BX$68:$CD$679,F$2,0)</f>
        <v>39.779078229229839</v>
      </c>
      <c r="G61" s="132">
        <f>VLOOKUP($B61,Base_Mensuelle!$BX$68:$CD$679,G$2,0)</f>
        <v>104.8122</v>
      </c>
      <c r="H61" s="99">
        <f>VLOOKUP($B61,Base_Mensuelle!$CF$68:$CJ$679,H$2,0)</f>
        <v>1.7431930339999999</v>
      </c>
      <c r="I61" s="132">
        <f>VLOOKUP($B61,Base_Mensuelle!$CF$68:$CJ$679,I$2,0)</f>
        <v>1560.67</v>
      </c>
      <c r="J61" s="19">
        <f>VLOOKUP($B61,Base_Mensuelle!$CY$67:$DE$679,5,0)</f>
        <v>0</v>
      </c>
      <c r="K61" s="99">
        <f>VLOOKUP($B61,Base_Mensuelle!$CY$67:$DE$679,2,0)</f>
        <v>138.5465136</v>
      </c>
      <c r="L61" s="93"/>
      <c r="M61" s="182">
        <f>VLOOKUP($B61,Base_Mensuelle!$DG$67:$DN$679,2,0)</f>
        <v>427768</v>
      </c>
      <c r="N61" s="182">
        <f>VLOOKUP($B61,Base_Mensuelle!$DG$68:$DO$679,9,0)</f>
        <v>7291288</v>
      </c>
      <c r="O61" s="93"/>
      <c r="P61" s="20"/>
      <c r="Q61" s="14">
        <f>INDEX(Base_Mensuelle!$BX$68:$CD$679,MAX(Base_Mensuelle!$PD$68:$PD$679)-A62,1)</f>
        <v>43831</v>
      </c>
      <c r="R61" s="733">
        <f>VLOOKUP($Q61,Base_Mensuelle!$OF$67:$RN$679,12,0)</f>
        <v>1444.5897033276383</v>
      </c>
      <c r="S61" s="570">
        <f>VLOOKUP($Q61,Base_Mensuelle!$OF$67:$RN$679,15,0)</f>
        <v>3226.1496238720001</v>
      </c>
      <c r="T61" s="570">
        <f>VLOOKUP($Q61,Base_Mensuelle!$OF$67:$RN$679,22,0)</f>
        <v>704.0784050819999</v>
      </c>
      <c r="U61" s="734">
        <f>VLOOKUP($Q61,Base_Mensuelle!$OF$67:$RN$679,16,0)</f>
        <v>332.32602114200006</v>
      </c>
      <c r="V61" s="733">
        <f>VLOOKUP($Q61,Base_Mensuelle!$OF$67:$RN$679,27,0)</f>
        <v>216.68270332763814</v>
      </c>
      <c r="W61" s="570">
        <f>VLOOKUP($Q61,Base_Mensuelle!$OF$67:$RN$679,31,0)</f>
        <v>-47.692563258999968</v>
      </c>
      <c r="X61" s="570">
        <f>VLOOKUP($Q61,Base_Mensuelle!$OF$67:$RN$679,33,0)</f>
        <v>179.84684703599999</v>
      </c>
      <c r="Y61" s="570">
        <f>VLOOKUP($Q61,Base_Mensuelle!$OF$67:$RN$679,65,0)</f>
        <v>2887.4759999999997</v>
      </c>
      <c r="Z61" s="570">
        <f>VLOOKUP($Q61,Base_Mensuelle!$OF$67:$RN$679,39,0)</f>
        <v>935.6470976006384</v>
      </c>
      <c r="AA61" s="734">
        <f>VLOOKUP($Q61,Base_Mensuelle!$OF$67:$RN$679,51,0)</f>
        <v>3.9113197660000001</v>
      </c>
      <c r="AB61" s="14">
        <f>INDEX(Base_Mensuelle!$BX$68:$CD$679,MAX(Base_Mensuelle!$FZ$68:$FZ$679)-A61,1)</f>
        <v>43800</v>
      </c>
      <c r="AC61" s="179">
        <f>VLOOKUP($AB61,Base_Mensuelle!$FL$67:$FY$679,2,0)</f>
        <v>101.79</v>
      </c>
      <c r="AD61" s="93"/>
      <c r="AE61" s="20">
        <f t="shared" si="1"/>
        <v>0.03</v>
      </c>
      <c r="AF61" s="220">
        <f>VLOOKUP($AB61,Base_Mensuelle!$GP$67:$HR$679,2,0)</f>
        <v>244</v>
      </c>
      <c r="AG61" s="99">
        <f>VLOOKUP($AB61,Base_Mensuelle!$GP$67:$HR$679,3,0)</f>
        <v>210</v>
      </c>
      <c r="AH61" s="99">
        <f>VLOOKUP($AB61,Base_Mensuelle!$GP$67:$HR$679,14,0)</f>
        <v>2006</v>
      </c>
      <c r="AI61" s="99">
        <f>VLOOKUP($AB61,Base_Mensuelle!$GA$67:$GO$679,5,0)</f>
        <v>97.53</v>
      </c>
      <c r="AJ61" s="99">
        <f>VLOOKUP($AB61,Base_Mensuelle!$GA$67:$GO$679,6,0)</f>
        <v>100.42</v>
      </c>
      <c r="AK61" s="99">
        <f>VLOOKUP($AB61,Base_Mensuelle!$GA$67:$GO$679,7,0)</f>
        <v>103.22</v>
      </c>
      <c r="AL61" s="99">
        <f>VLOOKUP($AB61,Base_Mensuelle!$GA$67:$GO$679,3,0)</f>
        <v>102.75</v>
      </c>
      <c r="AM61" s="132">
        <f>VLOOKUP($AB61,Base_Mensuelle!$GA$67:$GO$679,4,0)</f>
        <v>101.7</v>
      </c>
      <c r="AN61" s="179">
        <f>VLOOKUP($AB61,Base_Mensuelle!$HS$67:$JV$679,9,0)</f>
        <v>145.83333206176758</v>
      </c>
      <c r="AO61" s="99">
        <f>VLOOKUP($AB61,Base_Mensuelle!$HS$67:$JV$679,23,0)</f>
        <v>137.12029113769532</v>
      </c>
      <c r="AP61" s="99">
        <f>VLOOKUP($AB61,Base_Mensuelle!$HS$67:$JV$679,39,0)</f>
        <v>370</v>
      </c>
      <c r="AQ61" s="99">
        <f>VLOOKUP($AB61,Base_Mensuelle!$HS$67:$JV$679,10,0)</f>
        <v>126.73918914794922</v>
      </c>
      <c r="AR61" s="132">
        <f>VLOOKUP($AB61,Base_Mensuelle!$HS$67:$JV$679,11,0)</f>
        <v>77.777778625488281</v>
      </c>
      <c r="AS61" s="733">
        <f>VLOOKUP($B61,Base_Mensuelle!$JW$67:$KZ$679,3,0)</f>
        <v>287.08333333333331</v>
      </c>
      <c r="AT61" s="734">
        <f>VLOOKUP($B61,Base_Mensuelle!$JW$67:$KZ$679,8,0)</f>
        <v>247.89473684210526</v>
      </c>
      <c r="AU61" s="733">
        <f>VLOOKUP($B61,Base_Mensuelle!$JW$67:$KZ$679,11,0)</f>
        <v>42.227272727272727</v>
      </c>
      <c r="AV61" s="734">
        <f>VLOOKUP($B61,Base_Mensuelle!$JW$67:$KZ$679,15,0)</f>
        <v>89.681818181818173</v>
      </c>
      <c r="AW61" s="733">
        <f>VLOOKUP($B61,Base_Mensuelle!$JW$67:$KZ$679,25,0)</f>
        <v>23.25</v>
      </c>
      <c r="AX61" s="734">
        <f>VLOOKUP($B61,Base_Mensuelle!$JW$67:$KZ$679,29,0)</f>
        <v>35.545454545454547</v>
      </c>
    </row>
    <row r="62" spans="1:50">
      <c r="A62" s="175">
        <f t="shared" si="0"/>
        <v>47</v>
      </c>
      <c r="B62" s="14">
        <f>INDEX(Base_Mensuelle!$BX$68:$CD$679,MAX(Base_Mensuelle!$CD$68:$CD$679)-A63,1)</f>
        <v>43862</v>
      </c>
      <c r="C62" s="179">
        <f>VLOOKUP($B62,Base_Mensuelle!$BX$68:$CD$679,C$2,0)</f>
        <v>601.55754203225399</v>
      </c>
      <c r="D62" s="99">
        <f>VLOOKUP($B62,Base_Mensuelle!$BX$68:$CD$679,D$2,0)</f>
        <v>655.95699999999999</v>
      </c>
      <c r="E62" s="99">
        <f>VLOOKUP($B62,Base_Mensuelle!$BX$68:$CD$679,E$2,0)</f>
        <v>618.01111739212365</v>
      </c>
      <c r="F62" s="99">
        <f>VLOOKUP($B62,Base_Mensuelle!$BX$68:$CD$679,F$2,0)</f>
        <v>38.368809260591597</v>
      </c>
      <c r="G62" s="132">
        <f>VLOOKUP($B62,Base_Mensuelle!$BX$68:$CD$679,G$2,0)</f>
        <v>112.07859999999999</v>
      </c>
      <c r="H62" s="99">
        <f>VLOOKUP($B62,Base_Mensuelle!$CF$68:$CJ$679,H$2,0)</f>
        <v>1.688077534</v>
      </c>
      <c r="I62" s="132">
        <f>VLOOKUP($B62,Base_Mensuelle!$CF$68:$CJ$679,I$2,0)</f>
        <v>1597.1</v>
      </c>
      <c r="J62" s="19">
        <f>VLOOKUP($B62,Base_Mensuelle!$CY$67:$DE$679,5,0)</f>
        <v>0</v>
      </c>
      <c r="K62" s="99">
        <f>VLOOKUP($B62,Base_Mensuelle!$CY$67:$DE$679,2,0)</f>
        <v>133.78312000000003</v>
      </c>
      <c r="L62" s="93"/>
      <c r="M62" s="182">
        <f>VLOOKUP($B62,Base_Mensuelle!$DG$67:$DN$679,2,0)</f>
        <v>429554</v>
      </c>
      <c r="N62" s="182">
        <f>VLOOKUP($B62,Base_Mensuelle!$DG$68:$DO$679,9,0)</f>
        <v>7390902</v>
      </c>
      <c r="O62" s="93"/>
      <c r="P62" s="20"/>
      <c r="Q62" s="14">
        <f>INDEX(Base_Mensuelle!$BX$68:$CD$679,MAX(Base_Mensuelle!$PD$68:$PD$679)-A63,1)</f>
        <v>43862</v>
      </c>
      <c r="R62" s="733">
        <f>VLOOKUP($Q62,Base_Mensuelle!$OF$67:$RN$679,12,0)</f>
        <v>1488.2895143010301</v>
      </c>
      <c r="S62" s="570">
        <f>VLOOKUP($Q62,Base_Mensuelle!$OF$67:$RN$679,15,0)</f>
        <v>3329.557328205</v>
      </c>
      <c r="T62" s="570">
        <f>VLOOKUP($Q62,Base_Mensuelle!$OF$67:$RN$679,22,0)</f>
        <v>703.30410308300065</v>
      </c>
      <c r="U62" s="734">
        <f>VLOOKUP($Q62,Base_Mensuelle!$OF$67:$RN$679,16,0)</f>
        <v>374.38322531500012</v>
      </c>
      <c r="V62" s="733">
        <f>VLOOKUP($Q62,Base_Mensuelle!$OF$67:$RN$679,27,0)</f>
        <v>263.07151430103022</v>
      </c>
      <c r="W62" s="570">
        <f>VLOOKUP($Q62,Base_Mensuelle!$OF$67:$RN$679,31,0)</f>
        <v>-1.3953590859999849</v>
      </c>
      <c r="X62" s="570">
        <f>VLOOKUP($Q62,Base_Mensuelle!$OF$67:$RN$679,33,0)</f>
        <v>133.56336683999999</v>
      </c>
      <c r="Y62" s="570">
        <f>VLOOKUP($Q62,Base_Mensuelle!$OF$67:$RN$679,65,0)</f>
        <v>2948.201</v>
      </c>
      <c r="Z62" s="570">
        <f>VLOOKUP($Q62,Base_Mensuelle!$OF$67:$RN$679,39,0)</f>
        <v>946.11966046102998</v>
      </c>
      <c r="AA62" s="734">
        <f>VLOOKUP($Q62,Base_Mensuelle!$OF$67:$RN$679,51,0)</f>
        <v>5.7150183459999999</v>
      </c>
      <c r="AB62" s="14">
        <f>INDEX(Base_Mensuelle!$BX$68:$CD$679,MAX(Base_Mensuelle!$FZ$68:$FZ$679)-A62,1)</f>
        <v>43831</v>
      </c>
      <c r="AC62" s="179">
        <f>VLOOKUP($AB62,Base_Mensuelle!$FL$67:$FY$679,2,0)</f>
        <v>101.26</v>
      </c>
      <c r="AD62" s="93"/>
      <c r="AE62" s="20">
        <f t="shared" si="1"/>
        <v>0.03</v>
      </c>
      <c r="AF62" s="220">
        <f>VLOOKUP($AB62,Base_Mensuelle!$GP$67:$HR$679,2,0)</f>
        <v>243</v>
      </c>
      <c r="AG62" s="99">
        <f>VLOOKUP($AB62,Base_Mensuelle!$GP$67:$HR$679,3,0)</f>
        <v>206</v>
      </c>
      <c r="AH62" s="99">
        <f>VLOOKUP($AB62,Base_Mensuelle!$GP$67:$HR$679,14,0)</f>
        <v>1986</v>
      </c>
      <c r="AI62" s="99">
        <f>VLOOKUP($AB62,Base_Mensuelle!$GA$67:$GO$679,5,0)</f>
        <v>98.17</v>
      </c>
      <c r="AJ62" s="99">
        <f>VLOOKUP($AB62,Base_Mensuelle!$GA$67:$GO$679,6,0)</f>
        <v>98.34</v>
      </c>
      <c r="AK62" s="99">
        <f>VLOOKUP($AB62,Base_Mensuelle!$GA$67:$GO$679,7,0)</f>
        <v>103.43</v>
      </c>
      <c r="AL62" s="99">
        <f>VLOOKUP($AB62,Base_Mensuelle!$GA$67:$GO$679,3,0)</f>
        <v>102.15</v>
      </c>
      <c r="AM62" s="132">
        <f>VLOOKUP($AB62,Base_Mensuelle!$GA$67:$GO$679,4,0)</f>
        <v>101.25</v>
      </c>
      <c r="AN62" s="179">
        <f>VLOOKUP($AB62,Base_Mensuelle!$HS$67:$JV$679,9,0)</f>
        <v>147.05882263183594</v>
      </c>
      <c r="AO62" s="99">
        <f>VLOOKUP($AB62,Base_Mensuelle!$HS$67:$JV$679,23,0)</f>
        <v>154.72312927246094</v>
      </c>
      <c r="AP62" s="99">
        <f>VLOOKUP($AB62,Base_Mensuelle!$HS$67:$JV$679,39,0)</f>
        <v>370</v>
      </c>
      <c r="AQ62" s="99">
        <f>VLOOKUP($AB62,Base_Mensuelle!$HS$67:$JV$679,10,0)</f>
        <v>127.77123641967773</v>
      </c>
      <c r="AR62" s="132">
        <f>VLOOKUP($AB62,Base_Mensuelle!$HS$67:$JV$679,11,0)</f>
        <v>83.333335876464844</v>
      </c>
      <c r="AS62" s="733">
        <f>VLOOKUP($B62,Base_Mensuelle!$JW$67:$KZ$679,3,0)</f>
        <v>302.5</v>
      </c>
      <c r="AT62" s="734">
        <f>VLOOKUP($B62,Base_Mensuelle!$JW$67:$KZ$679,8,0)</f>
        <v>281.14848484848488</v>
      </c>
      <c r="AU62" s="733">
        <f>VLOOKUP($B62,Base_Mensuelle!$JW$67:$KZ$679,11,0)</f>
        <v>43.45</v>
      </c>
      <c r="AV62" s="734">
        <f>VLOOKUP($B62,Base_Mensuelle!$JW$67:$KZ$679,15,0)</f>
        <v>90.561403508771917</v>
      </c>
      <c r="AW62" s="733">
        <f>VLOOKUP($B62,Base_Mensuelle!$JW$67:$KZ$679,25,0)</f>
        <v>23.166666666666668</v>
      </c>
      <c r="AX62" s="734">
        <f>VLOOKUP($B62,Base_Mensuelle!$JW$67:$KZ$679,29,0)</f>
        <v>34.425925925925924</v>
      </c>
    </row>
    <row r="63" spans="1:50">
      <c r="A63" s="175">
        <f t="shared" si="0"/>
        <v>46</v>
      </c>
      <c r="B63" s="14">
        <f>INDEX(Base_Mensuelle!$BX$68:$CD$679,MAX(Base_Mensuelle!$CD$68:$CD$679)-A64,1)</f>
        <v>43891</v>
      </c>
      <c r="C63" s="179">
        <f>VLOOKUP($B63,Base_Mensuelle!$BX$68:$CD$679,C$2,0)</f>
        <v>593.1056497772405</v>
      </c>
      <c r="D63" s="99">
        <f>VLOOKUP($B63,Base_Mensuelle!$BX$68:$CD$679,D$2,0)</f>
        <v>655.95699999999999</v>
      </c>
      <c r="E63" s="99">
        <f>VLOOKUP($B63,Base_Mensuelle!$BX$68:$CD$679,E$2,0)</f>
        <v>619.70429853566372</v>
      </c>
      <c r="F63" s="99">
        <f>VLOOKUP($B63,Base_Mensuelle!$BX$68:$CD$679,F$2,0)</f>
        <v>33.450980392156865</v>
      </c>
      <c r="G63" s="132">
        <f>VLOOKUP($B63,Base_Mensuelle!$BX$68:$CD$679,G$2,0)</f>
        <v>106.09650000000001</v>
      </c>
      <c r="H63" s="99">
        <f>VLOOKUP($B63,Base_Mensuelle!$CF$68:$CJ$679,H$2,0)</f>
        <v>1.492307278</v>
      </c>
      <c r="I63" s="132">
        <f>VLOOKUP($B63,Base_Mensuelle!$CF$68:$CJ$679,I$2,0)</f>
        <v>1591.93</v>
      </c>
      <c r="J63" s="19">
        <f>VLOOKUP($B63,Base_Mensuelle!$CY$67:$DE$679,5,0)</f>
        <v>0</v>
      </c>
      <c r="K63" s="99">
        <f>VLOOKUP($B63,Base_Mensuelle!$CY$67:$DE$679,2,0)</f>
        <v>149.05891700000001</v>
      </c>
      <c r="L63" s="93"/>
      <c r="M63" s="182">
        <f>VLOOKUP($B63,Base_Mensuelle!$DG$67:$DN$679,2,0)</f>
        <v>435656</v>
      </c>
      <c r="N63" s="182">
        <f>VLOOKUP($B63,Base_Mensuelle!$DG$68:$DO$679,9,0)</f>
        <v>7518450</v>
      </c>
      <c r="O63" s="93"/>
      <c r="P63" s="20"/>
      <c r="Q63" s="14">
        <f>INDEX(Base_Mensuelle!$BX$68:$CD$679,MAX(Base_Mensuelle!$PD$68:$PD$679)-A64,1)</f>
        <v>43891</v>
      </c>
      <c r="R63" s="733">
        <f>VLOOKUP($Q63,Base_Mensuelle!$OF$67:$RN$679,12,0)</f>
        <v>1570.9718822869881</v>
      </c>
      <c r="S63" s="570">
        <f>VLOOKUP($Q63,Base_Mensuelle!$OF$67:$RN$679,15,0)</f>
        <v>3176.0553000539999</v>
      </c>
      <c r="T63" s="570">
        <f>VLOOKUP($Q63,Base_Mensuelle!$OF$67:$RN$679,22,0)</f>
        <v>709.31704002000151</v>
      </c>
      <c r="U63" s="734">
        <f>VLOOKUP($Q63,Base_Mensuelle!$OF$67:$RN$679,16,0)</f>
        <v>198.15003639800003</v>
      </c>
      <c r="V63" s="733">
        <f>VLOOKUP($Q63,Base_Mensuelle!$OF$67:$RN$679,27,0)</f>
        <v>324.47388228698867</v>
      </c>
      <c r="W63" s="570">
        <f>VLOOKUP($Q63,Base_Mensuelle!$OF$67:$RN$679,31,0)</f>
        <v>-211.546548003</v>
      </c>
      <c r="X63" s="570">
        <f>VLOOKUP($Q63,Base_Mensuelle!$OF$67:$RN$679,33,0)</f>
        <v>343.643750426</v>
      </c>
      <c r="Y63" s="570">
        <f>VLOOKUP($Q63,Base_Mensuelle!$OF$67:$RN$679,65,0)</f>
        <v>2970.9789999999998</v>
      </c>
      <c r="Z63" s="570">
        <f>VLOOKUP($Q63,Base_Mensuelle!$OF$67:$RN$679,39,0)</f>
        <v>949.93498222398875</v>
      </c>
      <c r="AA63" s="734">
        <f>VLOOKUP($Q63,Base_Mensuelle!$OF$67:$RN$679,51,0)</f>
        <v>6.9327861510000002</v>
      </c>
      <c r="AB63" s="14">
        <f>INDEX(Base_Mensuelle!$BX$68:$CD$679,MAX(Base_Mensuelle!$FZ$68:$FZ$679)-A63,1)</f>
        <v>43862</v>
      </c>
      <c r="AC63" s="179">
        <f>VLOOKUP($AB63,Base_Mensuelle!$FL$67:$FY$679,2,0)</f>
        <v>102.23</v>
      </c>
      <c r="AD63" s="93"/>
      <c r="AE63" s="20">
        <f t="shared" si="1"/>
        <v>0.03</v>
      </c>
      <c r="AF63" s="220">
        <f>VLOOKUP($AB63,Base_Mensuelle!$GP$67:$HR$679,2,0)</f>
        <v>239</v>
      </c>
      <c r="AG63" s="99">
        <f>VLOOKUP($AB63,Base_Mensuelle!$GP$67:$HR$679,3,0)</f>
        <v>206</v>
      </c>
      <c r="AH63" s="99">
        <f>VLOOKUP($AB63,Base_Mensuelle!$GP$67:$HR$679,14,0)</f>
        <v>2088</v>
      </c>
      <c r="AI63" s="99">
        <f>VLOOKUP($AB63,Base_Mensuelle!$GA$67:$GO$679,5,0)</f>
        <v>104.87</v>
      </c>
      <c r="AJ63" s="99">
        <f>VLOOKUP($AB63,Base_Mensuelle!$GA$67:$GO$679,6,0)</f>
        <v>100.27</v>
      </c>
      <c r="AK63" s="99">
        <f>VLOOKUP($AB63,Base_Mensuelle!$GA$67:$GO$679,7,0)</f>
        <v>103.4</v>
      </c>
      <c r="AL63" s="99">
        <f>VLOOKUP($AB63,Base_Mensuelle!$GA$67:$GO$679,3,0)</f>
        <v>102.16</v>
      </c>
      <c r="AM63" s="132">
        <f>VLOOKUP($AB63,Base_Mensuelle!$GA$67:$GO$679,4,0)</f>
        <v>102.68</v>
      </c>
      <c r="AN63" s="179">
        <f>VLOOKUP($AB63,Base_Mensuelle!$HS$67:$JV$679,9,0)</f>
        <v>153.59477233886719</v>
      </c>
      <c r="AO63" s="99">
        <f>VLOOKUP($AB63,Base_Mensuelle!$HS$67:$JV$679,23,0)</f>
        <v>146.41865158081055</v>
      </c>
      <c r="AP63" s="99">
        <f>VLOOKUP($AB63,Base_Mensuelle!$HS$67:$JV$679,39,0)</f>
        <v>400</v>
      </c>
      <c r="AQ63" s="99">
        <f>VLOOKUP($AB63,Base_Mensuelle!$HS$67:$JV$679,10,0)</f>
        <v>141.34275817871094</v>
      </c>
      <c r="AR63" s="132">
        <f>VLOOKUP($AB63,Base_Mensuelle!$HS$67:$JV$679,11,0)</f>
        <v>83.333335876464844</v>
      </c>
      <c r="AS63" s="733">
        <f>VLOOKUP($B63,Base_Mensuelle!$JW$67:$KZ$679,3,0)</f>
        <v>297.22222222222223</v>
      </c>
      <c r="AT63" s="734">
        <f>VLOOKUP($B63,Base_Mensuelle!$JW$67:$KZ$679,8,0)</f>
        <v>302.60416666666669</v>
      </c>
      <c r="AU63" s="733">
        <f>VLOOKUP($B63,Base_Mensuelle!$JW$67:$KZ$679,11,0)</f>
        <v>44.9375</v>
      </c>
      <c r="AV63" s="734">
        <f>VLOOKUP($B63,Base_Mensuelle!$JW$67:$KZ$679,15,0)</f>
        <v>87.833333333333329</v>
      </c>
      <c r="AW63" s="733">
        <f>VLOOKUP($B63,Base_Mensuelle!$JW$67:$KZ$679,25,0)</f>
        <v>22.611111111111111</v>
      </c>
      <c r="AX63" s="734">
        <f>VLOOKUP($B63,Base_Mensuelle!$JW$67:$KZ$679,29,0)</f>
        <v>33.120370370370374</v>
      </c>
    </row>
    <row r="64" spans="1:50">
      <c r="A64" s="175">
        <f t="shared" si="0"/>
        <v>45</v>
      </c>
      <c r="B64" s="14">
        <f>INDEX(Base_Mensuelle!$BX$68:$CD$679,MAX(Base_Mensuelle!$CD$68:$CD$679)-A65,1)</f>
        <v>43922</v>
      </c>
      <c r="C64" s="179">
        <f>VLOOKUP($B64,Base_Mensuelle!$BX$68:$CD$679,C$2,0)</f>
        <v>603.44190000000003</v>
      </c>
      <c r="D64" s="99">
        <f>VLOOKUP($B64,Base_Mensuelle!$BX$68:$CD$679,D$2,0)</f>
        <v>655.95699999999999</v>
      </c>
      <c r="E64" s="99">
        <f>VLOOKUP($B64,Base_Mensuelle!$BX$68:$CD$679,E$2,0)</f>
        <v>621.8777</v>
      </c>
      <c r="F64" s="99">
        <f>VLOOKUP($B64,Base_Mensuelle!$BX$68:$CD$679,F$2,0)</f>
        <v>32.447220999999999</v>
      </c>
      <c r="G64" s="132">
        <f>VLOOKUP($B64,Base_Mensuelle!$BX$68:$CD$679,G$2,0)</f>
        <v>104.4709</v>
      </c>
      <c r="H64" s="99">
        <f>VLOOKUP($B64,Base_Mensuelle!$CF$68:$CJ$679,H$2,0)</f>
        <v>1.400595086</v>
      </c>
      <c r="I64" s="132">
        <f>VLOOKUP($B64,Base_Mensuelle!$CF$68:$CJ$679,I$2,0)</f>
        <v>1683.17</v>
      </c>
      <c r="J64" s="19">
        <f>VLOOKUP($B64,Base_Mensuelle!$CY$67:$DE$679,5,0)</f>
        <v>0</v>
      </c>
      <c r="K64" s="99">
        <f>VLOOKUP($B64,Base_Mensuelle!$CY$67:$DE$679,2,0)</f>
        <v>168.459497</v>
      </c>
      <c r="L64" s="93"/>
      <c r="M64" s="182">
        <f>VLOOKUP($B64,Base_Mensuelle!$DG$67:$DN$679,2,0)</f>
        <v>434738</v>
      </c>
      <c r="N64" s="182">
        <f>VLOOKUP($B64,Base_Mensuelle!$DG$68:$DO$679,9,0)</f>
        <v>7946380</v>
      </c>
      <c r="O64" s="93"/>
      <c r="P64" s="20"/>
      <c r="Q64" s="14">
        <f>INDEX(Base_Mensuelle!$BX$68:$CD$679,MAX(Base_Mensuelle!$PD$68:$PD$679)-A65,1)</f>
        <v>43922</v>
      </c>
      <c r="R64" s="733">
        <f>VLOOKUP($Q64,Base_Mensuelle!$OF$67:$RN$679,12,0)</f>
        <v>1618.1707436360928</v>
      </c>
      <c r="S64" s="570">
        <f>VLOOKUP($Q64,Base_Mensuelle!$OF$67:$RN$679,15,0)</f>
        <v>3114.2853720630001</v>
      </c>
      <c r="T64" s="570">
        <f>VLOOKUP($Q64,Base_Mensuelle!$OF$67:$RN$679,22,0)</f>
        <v>736.46538613799999</v>
      </c>
      <c r="U64" s="734">
        <f>VLOOKUP($Q64,Base_Mensuelle!$OF$67:$RN$679,16,0)</f>
        <v>26.391159313999964</v>
      </c>
      <c r="V64" s="733">
        <f>VLOOKUP($Q64,Base_Mensuelle!$OF$67:$RN$679,27,0)</f>
        <v>246.05674363609285</v>
      </c>
      <c r="W64" s="570">
        <f>VLOOKUP($Q64,Base_Mensuelle!$OF$67:$RN$679,31,0)</f>
        <v>-123.32242508700006</v>
      </c>
      <c r="X64" s="570">
        <f>VLOOKUP($Q64,Base_Mensuelle!$OF$67:$RN$679,33,0)</f>
        <v>324.74148284200004</v>
      </c>
      <c r="Y64" s="570">
        <f>VLOOKUP($Q64,Base_Mensuelle!$OF$67:$RN$679,65,0)</f>
        <v>3080.9920000000002</v>
      </c>
      <c r="Z64" s="570">
        <f>VLOOKUP($Q64,Base_Mensuelle!$OF$67:$RN$679,39,0)</f>
        <v>1032.0713956660929</v>
      </c>
      <c r="AA64" s="734">
        <f>VLOOKUP($Q64,Base_Mensuelle!$OF$67:$RN$679,51,0)</f>
        <v>6.4231411940000003</v>
      </c>
      <c r="AB64" s="14">
        <f>INDEX(Base_Mensuelle!$BX$68:$CD$679,MAX(Base_Mensuelle!$FZ$68:$FZ$679)-A64,1)</f>
        <v>43891</v>
      </c>
      <c r="AC64" s="179">
        <f>VLOOKUP($AB64,Base_Mensuelle!$FL$67:$FY$679,2,0)</f>
        <v>101.97</v>
      </c>
      <c r="AD64" s="93"/>
      <c r="AE64" s="20">
        <f t="shared" si="1"/>
        <v>0.03</v>
      </c>
      <c r="AF64" s="220">
        <f>VLOOKUP($AB64,Base_Mensuelle!$GP$67:$HR$679,2,0)</f>
        <v>233</v>
      </c>
      <c r="AG64" s="99">
        <f>VLOOKUP($AB64,Base_Mensuelle!$GP$67:$HR$679,3,0)</f>
        <v>209</v>
      </c>
      <c r="AH64" s="99">
        <f>VLOOKUP($AB64,Base_Mensuelle!$GP$67:$HR$679,14,0)</f>
        <v>1983</v>
      </c>
      <c r="AI64" s="99">
        <f>VLOOKUP($AB64,Base_Mensuelle!$GA$67:$GO$679,5,0)</f>
        <v>95.83</v>
      </c>
      <c r="AJ64" s="99">
        <f>VLOOKUP($AB64,Base_Mensuelle!$GA$67:$GO$679,6,0)</f>
        <v>101.09</v>
      </c>
      <c r="AK64" s="99">
        <f>VLOOKUP($AB64,Base_Mensuelle!$GA$67:$GO$679,7,0)</f>
        <v>103.52</v>
      </c>
      <c r="AL64" s="99">
        <f>VLOOKUP($AB64,Base_Mensuelle!$GA$67:$GO$679,3,0)</f>
        <v>102.23</v>
      </c>
      <c r="AM64" s="132">
        <f>VLOOKUP($AB64,Base_Mensuelle!$GA$67:$GO$679,4,0)</f>
        <v>102.31</v>
      </c>
      <c r="AN64" s="179">
        <f>VLOOKUP($AB64,Base_Mensuelle!$HS$67:$JV$679,9,0)</f>
        <v>155.63725662231445</v>
      </c>
      <c r="AO64" s="99">
        <f>VLOOKUP($AB64,Base_Mensuelle!$HS$67:$JV$679,23,0)</f>
        <v>146.19303894042969</v>
      </c>
      <c r="AP64" s="99">
        <f>VLOOKUP($AB64,Base_Mensuelle!$HS$67:$JV$679,39,0)</f>
        <v>400</v>
      </c>
      <c r="AQ64" s="99">
        <f>VLOOKUP($AB64,Base_Mensuelle!$HS$67:$JV$679,10,0)</f>
        <v>141.34275817871094</v>
      </c>
      <c r="AR64" s="132">
        <f>VLOOKUP($AB64,Base_Mensuelle!$HS$67:$JV$679,11,0)</f>
        <v>88.888890075683591</v>
      </c>
      <c r="AS64" s="733">
        <f>VLOOKUP($B64,Base_Mensuelle!$JW$67:$KZ$679,3,0)</f>
        <v>312.5</v>
      </c>
      <c r="AT64" s="734">
        <f>VLOOKUP($B64,Base_Mensuelle!$JW$67:$KZ$679,8,0)</f>
        <v>302.60416666666669</v>
      </c>
      <c r="AU64" s="733">
        <f>VLOOKUP($B64,Base_Mensuelle!$JW$67:$KZ$679,11,0)</f>
        <v>45.683333333333337</v>
      </c>
      <c r="AV64" s="734">
        <f>VLOOKUP($B64,Base_Mensuelle!$JW$67:$KZ$679,15,0)</f>
        <v>87.833333333333329</v>
      </c>
      <c r="AW64" s="733">
        <f>VLOOKUP($B64,Base_Mensuelle!$JW$67:$KZ$679,25,0)</f>
        <v>23.556756756756755</v>
      </c>
      <c r="AX64" s="734">
        <f>VLOOKUP($B64,Base_Mensuelle!$JW$67:$KZ$679,29,0)</f>
        <v>30.588709677419356</v>
      </c>
    </row>
    <row r="65" spans="1:50">
      <c r="A65" s="175">
        <f t="shared" si="0"/>
        <v>44</v>
      </c>
      <c r="B65" s="14">
        <f>INDEX(Base_Mensuelle!$BX$68:$CD$679,MAX(Base_Mensuelle!$CD$68:$CD$679)-A66,1)</f>
        <v>43952</v>
      </c>
      <c r="C65" s="179">
        <f>VLOOKUP($B65,Base_Mensuelle!$BX$68:$CD$679,C$2,0)</f>
        <v>601.72820000000002</v>
      </c>
      <c r="D65" s="99">
        <f>VLOOKUP($B65,Base_Mensuelle!$BX$68:$CD$679,D$2,0)</f>
        <v>655.95699999999999</v>
      </c>
      <c r="E65" s="99">
        <f>VLOOKUP($B65,Base_Mensuelle!$BX$68:$CD$679,E$2,0)</f>
        <v>620.8338</v>
      </c>
      <c r="F65" s="99">
        <f>VLOOKUP($B65,Base_Mensuelle!$BX$68:$CD$679,F$2,0)</f>
        <v>33.145766999999999</v>
      </c>
      <c r="G65" s="132">
        <f>VLOOKUP($B65,Base_Mensuelle!$BX$68:$CD$679,G$2,0)</f>
        <v>104.3111</v>
      </c>
      <c r="H65" s="99">
        <f>VLOOKUP($B65,Base_Mensuelle!$CF$68:$CJ$679,H$2,0)</f>
        <v>1.4484353400000001</v>
      </c>
      <c r="I65" s="132">
        <f>VLOOKUP($B65,Base_Mensuelle!$CF$68:$CJ$679,I$2,0)</f>
        <v>1715.91</v>
      </c>
      <c r="J65" s="19">
        <f>VLOOKUP($B65,Base_Mensuelle!$CY$67:$DE$679,5,0)</f>
        <v>0</v>
      </c>
      <c r="K65" s="99">
        <f>VLOOKUP($B65,Base_Mensuelle!$CY$67:$DE$679,2,0)</f>
        <v>169.93623400000001</v>
      </c>
      <c r="L65" s="93"/>
      <c r="M65" s="182">
        <f>VLOOKUP($B65,Base_Mensuelle!$DG$67:$DN$679,2,0)</f>
        <v>436771</v>
      </c>
      <c r="N65" s="182">
        <f>VLOOKUP($B65,Base_Mensuelle!$DG$68:$DO$679,9,0)</f>
        <v>7701282</v>
      </c>
      <c r="O65" s="93"/>
      <c r="P65" s="20"/>
      <c r="Q65" s="14">
        <f>INDEX(Base_Mensuelle!$BX$68:$CD$679,MAX(Base_Mensuelle!$PD$68:$PD$679)-A66,1)</f>
        <v>43952</v>
      </c>
      <c r="R65" s="733">
        <f>VLOOKUP($Q65,Base_Mensuelle!$OF$67:$RN$679,12,0)</f>
        <v>1747.3274137899994</v>
      </c>
      <c r="S65" s="570">
        <f>VLOOKUP($Q65,Base_Mensuelle!$OF$67:$RN$679,15,0)</f>
        <v>3153.7617437589997</v>
      </c>
      <c r="T65" s="570">
        <f>VLOOKUP($Q65,Base_Mensuelle!$OF$67:$RN$679,22,0)</f>
        <v>753.47806763699998</v>
      </c>
      <c r="U65" s="734">
        <f>VLOOKUP($Q65,Base_Mensuelle!$OF$67:$RN$679,16,0)</f>
        <v>78.52592805200004</v>
      </c>
      <c r="V65" s="733">
        <f>VLOOKUP($Q65,Base_Mensuelle!$OF$67:$RN$679,27,0)</f>
        <v>154.17341378999981</v>
      </c>
      <c r="W65" s="570">
        <f>VLOOKUP($Q65,Base_Mensuelle!$OF$67:$RN$679,31,0)</f>
        <v>-119.05365634899997</v>
      </c>
      <c r="X65" s="570">
        <f>VLOOKUP($Q65,Base_Mensuelle!$OF$67:$RN$679,33,0)</f>
        <v>320.51066655399995</v>
      </c>
      <c r="Y65" s="570">
        <f>VLOOKUP($Q65,Base_Mensuelle!$OF$67:$RN$679,65,0)</f>
        <v>3068.3440000000001</v>
      </c>
      <c r="Z65" s="570">
        <f>VLOOKUP($Q65,Base_Mensuelle!$OF$67:$RN$679,39,0)</f>
        <v>1064.5007282250001</v>
      </c>
      <c r="AA65" s="734">
        <f>VLOOKUP($Q65,Base_Mensuelle!$OF$67:$RN$679,51,0)</f>
        <v>7.4284675529999999</v>
      </c>
      <c r="AB65" s="14">
        <f>INDEX(Base_Mensuelle!$BX$68:$CD$679,MAX(Base_Mensuelle!$FZ$68:$FZ$679)-A65,1)</f>
        <v>43922</v>
      </c>
      <c r="AC65" s="179">
        <f>VLOOKUP($AB65,Base_Mensuelle!$FL$67:$FY$679,2,0)</f>
        <v>101.53</v>
      </c>
      <c r="AD65" s="93"/>
      <c r="AE65" s="20">
        <f t="shared" si="1"/>
        <v>0.03</v>
      </c>
      <c r="AF65" s="220">
        <f>VLOOKUP($AB65,Base_Mensuelle!$GP$67:$HR$679,2,0)</f>
        <v>242</v>
      </c>
      <c r="AG65" s="99">
        <f>VLOOKUP($AB65,Base_Mensuelle!$GP$67:$HR$679,3,0)</f>
        <v>214</v>
      </c>
      <c r="AH65" s="99">
        <f>VLOOKUP($AB65,Base_Mensuelle!$GP$67:$HR$679,14,0)</f>
        <v>2084</v>
      </c>
      <c r="AI65" s="99">
        <f>VLOOKUP($AB65,Base_Mensuelle!$GA$67:$GO$679,5,0)</f>
        <v>91.83</v>
      </c>
      <c r="AJ65" s="99">
        <f>VLOOKUP($AB65,Base_Mensuelle!$GA$67:$GO$679,6,0)</f>
        <v>100.07</v>
      </c>
      <c r="AK65" s="99">
        <f>VLOOKUP($AB65,Base_Mensuelle!$GA$67:$GO$679,7,0)</f>
        <v>103.55</v>
      </c>
      <c r="AL65" s="99">
        <f>VLOOKUP($AB65,Base_Mensuelle!$GA$67:$GO$679,3,0)</f>
        <v>100.61</v>
      </c>
      <c r="AM65" s="132">
        <f>VLOOKUP($AB65,Base_Mensuelle!$GA$67:$GO$679,4,0)</f>
        <v>102.34</v>
      </c>
      <c r="AN65" s="179">
        <f>VLOOKUP($AB65,Base_Mensuelle!$HS$67:$JV$679,9,0)</f>
        <v>161.29032897949219</v>
      </c>
      <c r="AO65" s="99">
        <f>VLOOKUP($AB65,Base_Mensuelle!$HS$67:$JV$679,23,0)</f>
        <v>146.57980346679688</v>
      </c>
      <c r="AP65" s="99">
        <f>VLOOKUP($AB65,Base_Mensuelle!$HS$67:$JV$679,39,0)</f>
        <v>400</v>
      </c>
      <c r="AQ65" s="99">
        <f>VLOOKUP($AB65,Base_Mensuelle!$HS$67:$JV$679,10,0)</f>
        <v>153.6363639831543</v>
      </c>
      <c r="AR65" s="132">
        <f>VLOOKUP($AB65,Base_Mensuelle!$HS$67:$JV$679,11,0)</f>
        <v>97.222221374511719</v>
      </c>
      <c r="AS65" s="733">
        <f>VLOOKUP($B65,Base_Mensuelle!$JW$67:$KZ$679,3,0)</f>
        <v>315.68049999999999</v>
      </c>
      <c r="AT65" s="734">
        <f>VLOOKUP($B65,Base_Mensuelle!$JW$67:$KZ$679,8,0)</f>
        <v>338.07299999999998</v>
      </c>
      <c r="AU65" s="733">
        <f>VLOOKUP($B65,Base_Mensuelle!$JW$67:$KZ$679,11,0)</f>
        <v>44.8095</v>
      </c>
      <c r="AV65" s="734">
        <f>VLOOKUP($B65,Base_Mensuelle!$JW$67:$KZ$679,15,0)</f>
        <v>91.319249999999997</v>
      </c>
      <c r="AW65" s="733">
        <f>VLOOKUP($B65,Base_Mensuelle!$JW$67:$KZ$679,25,0)</f>
        <v>24.236486486486488</v>
      </c>
      <c r="AX65" s="734">
        <f>VLOOKUP($B65,Base_Mensuelle!$JW$67:$KZ$679,29,0)</f>
        <v>31.794871794871792</v>
      </c>
    </row>
    <row r="66" spans="1:50">
      <c r="A66" s="175">
        <f t="shared" si="0"/>
        <v>43</v>
      </c>
      <c r="B66" s="14">
        <f>INDEX(Base_Mensuelle!$BX$68:$CD$679,MAX(Base_Mensuelle!$CD$68:$CD$679)-A67,1)</f>
        <v>43983</v>
      </c>
      <c r="C66" s="179">
        <f>VLOOKUP($B66,Base_Mensuelle!$BX$68:$CD$679,C$2,0)</f>
        <v>582.85950000000003</v>
      </c>
      <c r="D66" s="99">
        <f>VLOOKUP($B66,Base_Mensuelle!$BX$68:$CD$679,D$2,0)</f>
        <v>655.95699999999999</v>
      </c>
      <c r="E66" s="99">
        <f>VLOOKUP($B66,Base_Mensuelle!$BX$68:$CD$679,E$2,0)</f>
        <v>612.18439999999998</v>
      </c>
      <c r="F66" s="99">
        <f>VLOOKUP($B66,Base_Mensuelle!$BX$68:$CD$679,F$2,0)</f>
        <v>34.035347999999999</v>
      </c>
      <c r="G66" s="132">
        <f>VLOOKUP($B66,Base_Mensuelle!$BX$68:$CD$679,G$2,0)</f>
        <v>100.76609999999999</v>
      </c>
      <c r="H66" s="99">
        <f>VLOOKUP($B66,Base_Mensuelle!$CF$68:$CJ$679,H$2,0)</f>
        <v>1.49473236</v>
      </c>
      <c r="I66" s="132">
        <f>VLOOKUP($B66,Base_Mensuelle!$CF$68:$CJ$679,I$2,0)</f>
        <v>1732.22</v>
      </c>
      <c r="J66" s="19">
        <f>VLOOKUP($B66,Base_Mensuelle!$CY$67:$DE$679,5,0)</f>
        <v>0</v>
      </c>
      <c r="K66" s="99">
        <f>VLOOKUP($B66,Base_Mensuelle!$CY$67:$DE$679,2,0)</f>
        <v>168.00785849000002</v>
      </c>
      <c r="L66" s="93"/>
      <c r="M66" s="182">
        <f>VLOOKUP($B66,Base_Mensuelle!$DG$67:$DN$679,2,0)</f>
        <v>441347</v>
      </c>
      <c r="N66" s="182">
        <f>VLOOKUP($B66,Base_Mensuelle!$DG$68:$DO$679,9,0)</f>
        <v>7859837</v>
      </c>
      <c r="O66" s="93"/>
      <c r="P66" s="20"/>
      <c r="Q66" s="14">
        <f>INDEX(Base_Mensuelle!$BX$68:$CD$679,MAX(Base_Mensuelle!$PD$68:$PD$679)-A67,1)</f>
        <v>43983</v>
      </c>
      <c r="R66" s="733">
        <f>VLOOKUP($Q66,Base_Mensuelle!$OF$67:$RN$679,12,0)</f>
        <v>1962.799560616</v>
      </c>
      <c r="S66" s="570">
        <f>VLOOKUP($Q66,Base_Mensuelle!$OF$67:$RN$679,15,0)</f>
        <v>3107.3741030189999</v>
      </c>
      <c r="T66" s="570">
        <f>VLOOKUP($Q66,Base_Mensuelle!$OF$67:$RN$679,22,0)</f>
        <v>790.32951198399996</v>
      </c>
      <c r="U66" s="734">
        <f>VLOOKUP($Q66,Base_Mensuelle!$OF$67:$RN$679,16,0)</f>
        <v>16.743145256000048</v>
      </c>
      <c r="V66" s="733">
        <f>VLOOKUP($Q66,Base_Mensuelle!$OF$67:$RN$679,27,0)</f>
        <v>301.81956061599999</v>
      </c>
      <c r="W66" s="570">
        <f>VLOOKUP($Q66,Base_Mensuelle!$OF$67:$RN$679,31,0)</f>
        <v>-253.47443914500002</v>
      </c>
      <c r="X66" s="570">
        <f>VLOOKUP($Q66,Base_Mensuelle!$OF$67:$RN$679,33,0)</f>
        <v>454.85412327200004</v>
      </c>
      <c r="Y66" s="570">
        <f>VLOOKUP($Q66,Base_Mensuelle!$OF$67:$RN$679,65,0)</f>
        <v>3083.5699999999997</v>
      </c>
      <c r="Z66" s="570">
        <f>VLOOKUP($Q66,Base_Mensuelle!$OF$67:$RN$679,39,0)</f>
        <v>983.03702592799993</v>
      </c>
      <c r="AA66" s="734">
        <f>VLOOKUP($Q66,Base_Mensuelle!$OF$67:$RN$679,51,0)</f>
        <v>8.8093315580000002</v>
      </c>
      <c r="AB66" s="14">
        <f>INDEX(Base_Mensuelle!$BX$68:$CD$679,MAX(Base_Mensuelle!$FZ$68:$FZ$679)-A66,1)</f>
        <v>43952</v>
      </c>
      <c r="AC66" s="179">
        <f>VLOOKUP($AB66,Base_Mensuelle!$FL$67:$FY$679,2,0)</f>
        <v>105.51</v>
      </c>
      <c r="AD66" s="93"/>
      <c r="AE66" s="20">
        <f t="shared" si="1"/>
        <v>0.03</v>
      </c>
      <c r="AF66" s="220">
        <f>VLOOKUP($AB66,Base_Mensuelle!$GP$67:$HR$679,2,0)</f>
        <v>272</v>
      </c>
      <c r="AG66" s="99">
        <f>VLOOKUP($AB66,Base_Mensuelle!$GP$67:$HR$679,3,0)</f>
        <v>228</v>
      </c>
      <c r="AH66" s="99">
        <f>VLOOKUP($AB66,Base_Mensuelle!$GP$67:$HR$679,14,0)</f>
        <v>2092</v>
      </c>
      <c r="AI66" s="99">
        <f>VLOOKUP($AB66,Base_Mensuelle!$GA$67:$GO$679,5,0)</f>
        <v>85.72</v>
      </c>
      <c r="AJ66" s="99">
        <f>VLOOKUP($AB66,Base_Mensuelle!$GA$67:$GO$679,6,0)</f>
        <v>112.85</v>
      </c>
      <c r="AK66" s="99">
        <f>VLOOKUP($AB66,Base_Mensuelle!$GA$67:$GO$679,7,0)</f>
        <v>103.6</v>
      </c>
      <c r="AL66" s="99">
        <f>VLOOKUP($AB66,Base_Mensuelle!$GA$67:$GO$679,3,0)</f>
        <v>102.28</v>
      </c>
      <c r="AM66" s="132">
        <f>VLOOKUP($AB66,Base_Mensuelle!$GA$67:$GO$679,4,0)</f>
        <v>107.21</v>
      </c>
      <c r="AN66" s="179">
        <f>VLOOKUP($AB66,Base_Mensuelle!$HS$67:$JV$679,9,0)</f>
        <v>181.78105545043945</v>
      </c>
      <c r="AO66" s="99">
        <f>VLOOKUP($AB66,Base_Mensuelle!$HS$67:$JV$679,23,0)</f>
        <v>161.76629028320312</v>
      </c>
      <c r="AP66" s="99">
        <f>VLOOKUP($AB66,Base_Mensuelle!$HS$67:$JV$679,39,0)</f>
        <v>400</v>
      </c>
      <c r="AQ66" s="99">
        <f>VLOOKUP($AB66,Base_Mensuelle!$HS$67:$JV$679,10,0)</f>
        <v>157.27272796630859</v>
      </c>
      <c r="AR66" s="132">
        <f>VLOOKUP($AB66,Base_Mensuelle!$HS$67:$JV$679,11,0)</f>
        <v>97.222221374511719</v>
      </c>
      <c r="AS66" s="733">
        <f>VLOOKUP($B66,Base_Mensuelle!$JW$67:$KZ$679,3,0)</f>
        <v>315.07650000000001</v>
      </c>
      <c r="AT66" s="734">
        <f>VLOOKUP($B66,Base_Mensuelle!$JW$67:$KZ$679,8,0)</f>
        <v>366.66686111111113</v>
      </c>
      <c r="AU66" s="733">
        <f>VLOOKUP($B66,Base_Mensuelle!$JW$67:$KZ$679,11,0)</f>
        <v>46.352555555555554</v>
      </c>
      <c r="AV66" s="734">
        <f>VLOOKUP($B66,Base_Mensuelle!$JW$67:$KZ$679,15,0)</f>
        <v>90.31594444444444</v>
      </c>
      <c r="AW66" s="733">
        <f>VLOOKUP($B66,Base_Mensuelle!$JW$67:$KZ$679,25,0)</f>
        <v>24.631578947368421</v>
      </c>
      <c r="AX66" s="734">
        <f>VLOOKUP($B66,Base_Mensuelle!$JW$67:$KZ$679,29,0)</f>
        <v>33.691588785046726</v>
      </c>
    </row>
    <row r="67" spans="1:50">
      <c r="A67" s="175">
        <f t="shared" si="0"/>
        <v>42</v>
      </c>
      <c r="B67" s="14">
        <f>INDEX(Base_Mensuelle!$BX$68:$CD$679,MAX(Base_Mensuelle!$CD$68:$CD$679)-A68,1)</f>
        <v>44013</v>
      </c>
      <c r="C67" s="179">
        <f>VLOOKUP($B67,Base_Mensuelle!$BX$68:$CD$679,C$2,0)</f>
        <v>572.30690000000004</v>
      </c>
      <c r="D67" s="99">
        <f>VLOOKUP($B67,Base_Mensuelle!$BX$68:$CD$679,D$2,0)</f>
        <v>655.95699999999999</v>
      </c>
      <c r="E67" s="99">
        <f>VLOOKUP($B67,Base_Mensuelle!$BX$68:$CD$679,E$2,0)</f>
        <v>612.84439999999995</v>
      </c>
      <c r="F67" s="99">
        <f>VLOOKUP($B67,Base_Mensuelle!$BX$68:$CD$679,F$2,0)</f>
        <v>34.122866999999999</v>
      </c>
      <c r="G67" s="132">
        <f>VLOOKUP($B67,Base_Mensuelle!$BX$68:$CD$679,G$2,0)</f>
        <v>99.147818999999998</v>
      </c>
      <c r="H67" s="99">
        <f>VLOOKUP($B67,Base_Mensuelle!$CF$68:$CJ$679,H$2,0)</f>
        <v>1.5106056240000001</v>
      </c>
      <c r="I67" s="132">
        <f>VLOOKUP($B67,Base_Mensuelle!$CF$68:$CJ$679,I$2,0)</f>
        <v>1846.51</v>
      </c>
      <c r="J67" s="19">
        <f>VLOOKUP($B67,Base_Mensuelle!$CY$67:$DE$679,5,0)</f>
        <v>0</v>
      </c>
      <c r="K67" s="99">
        <f>VLOOKUP($B67,Base_Mensuelle!$CY$67:$DE$679,2,0)</f>
        <v>155.87472400000001</v>
      </c>
      <c r="L67" s="93"/>
      <c r="M67" s="182">
        <f>VLOOKUP($B67,Base_Mensuelle!$DG$67:$DN$679,2,0)</f>
        <v>445635</v>
      </c>
      <c r="N67" s="182">
        <f>VLOOKUP($B67,Base_Mensuelle!$DG$68:$DO$679,9,0)</f>
        <v>6960989</v>
      </c>
      <c r="O67" s="93"/>
      <c r="P67" s="20"/>
      <c r="Q67" s="14">
        <f>INDEX(Base_Mensuelle!$BX$68:$CD$679,MAX(Base_Mensuelle!$PD$68:$PD$679)-A68,1)</f>
        <v>44013</v>
      </c>
      <c r="R67" s="733">
        <f>VLOOKUP($Q67,Base_Mensuelle!$OF$67:$RN$679,12,0)</f>
        <v>1885.1179442890002</v>
      </c>
      <c r="S67" s="570">
        <f>VLOOKUP($Q67,Base_Mensuelle!$OF$67:$RN$679,15,0)</f>
        <v>2971.4452319419997</v>
      </c>
      <c r="T67" s="570">
        <f>VLOOKUP($Q67,Base_Mensuelle!$OF$67:$RN$679,22,0)</f>
        <v>801.73173338999993</v>
      </c>
      <c r="U67" s="734">
        <f>VLOOKUP($Q67,Base_Mensuelle!$OF$67:$RN$679,16,0)</f>
        <v>-67.239152201000081</v>
      </c>
      <c r="V67" s="733">
        <f>VLOOKUP($Q67,Base_Mensuelle!$OF$67:$RN$679,27,0)</f>
        <v>400.05294428900004</v>
      </c>
      <c r="W67" s="570">
        <f>VLOOKUP($Q67,Base_Mensuelle!$OF$67:$RN$679,31,0)</f>
        <v>-324.74073660199997</v>
      </c>
      <c r="X67" s="570">
        <f>VLOOKUP($Q67,Base_Mensuelle!$OF$67:$RN$679,33,0)</f>
        <v>526.14395804399999</v>
      </c>
      <c r="Y67" s="570">
        <f>VLOOKUP($Q67,Base_Mensuelle!$OF$67:$RN$679,65,0)</f>
        <v>3031.6240000000003</v>
      </c>
      <c r="Z67" s="570">
        <f>VLOOKUP($Q67,Base_Mensuelle!$OF$67:$RN$679,39,0)</f>
        <v>1011.757428596</v>
      </c>
      <c r="AA67" s="734">
        <f>VLOOKUP($Q67,Base_Mensuelle!$OF$67:$RN$679,51,0)</f>
        <v>9.4274306810000006</v>
      </c>
      <c r="AB67" s="14">
        <f>INDEX(Base_Mensuelle!$BX$68:$CD$679,MAX(Base_Mensuelle!$FZ$68:$FZ$679)-A67,1)</f>
        <v>43983</v>
      </c>
      <c r="AC67" s="179">
        <f>VLOOKUP($AB67,Base_Mensuelle!$FL$67:$FY$679,2,0)</f>
        <v>104.15</v>
      </c>
      <c r="AD67" s="93"/>
      <c r="AE67" s="20">
        <f t="shared" si="1"/>
        <v>0.03</v>
      </c>
      <c r="AF67" s="220">
        <f>VLOOKUP($AB67,Base_Mensuelle!$GP$67:$HR$679,2,0)</f>
        <v>270</v>
      </c>
      <c r="AG67" s="99">
        <f>VLOOKUP($AB67,Base_Mensuelle!$GP$67:$HR$679,3,0)</f>
        <v>209</v>
      </c>
      <c r="AH67" s="99">
        <f>VLOOKUP($AB67,Base_Mensuelle!$GP$67:$HR$679,14,0)</f>
        <v>2609</v>
      </c>
      <c r="AI67" s="99">
        <f>VLOOKUP($AB67,Base_Mensuelle!$GA$67:$GO$679,5,0)</f>
        <v>85.78</v>
      </c>
      <c r="AJ67" s="99">
        <f>VLOOKUP($AB67,Base_Mensuelle!$GA$67:$GO$679,6,0)</f>
        <v>109.56</v>
      </c>
      <c r="AK67" s="99">
        <f>VLOOKUP($AB67,Base_Mensuelle!$GA$67:$GO$679,7,0)</f>
        <v>103.89</v>
      </c>
      <c r="AL67" s="99">
        <f>VLOOKUP($AB67,Base_Mensuelle!$GA$67:$GO$679,3,0)</f>
        <v>102.22</v>
      </c>
      <c r="AM67" s="132">
        <f>VLOOKUP($AB67,Base_Mensuelle!$GA$67:$GO$679,4,0)</f>
        <v>105.45</v>
      </c>
      <c r="AN67" s="179">
        <f>VLOOKUP($AB67,Base_Mensuelle!$HS$67:$JV$679,9,0)</f>
        <v>183.33333740234374</v>
      </c>
      <c r="AO67" s="99">
        <f>VLOOKUP($AB67,Base_Mensuelle!$HS$67:$JV$679,23,0)</f>
        <v>164.50811767578125</v>
      </c>
      <c r="AP67" s="99">
        <f>VLOOKUP($AB67,Base_Mensuelle!$HS$67:$JV$679,39,0)</f>
        <v>400</v>
      </c>
      <c r="AQ67" s="99">
        <f>VLOOKUP($AB67,Base_Mensuelle!$HS$67:$JV$679,10,0)</f>
        <v>144.03971099853516</v>
      </c>
      <c r="AR67" s="132">
        <f>VLOOKUP($AB67,Base_Mensuelle!$HS$67:$JV$679,11,0)</f>
        <v>97.222221374511719</v>
      </c>
      <c r="AS67" s="733">
        <f>VLOOKUP($B67,Base_Mensuelle!$JW$67:$KZ$679,3,0)</f>
        <v>315.13900000000001</v>
      </c>
      <c r="AT67" s="734">
        <f>VLOOKUP($B67,Base_Mensuelle!$JW$67:$KZ$679,8,0)</f>
        <v>402.5</v>
      </c>
      <c r="AU67" s="733">
        <f>VLOOKUP($B67,Base_Mensuelle!$JW$67:$KZ$679,11,0)</f>
        <v>53.798749999999998</v>
      </c>
      <c r="AV67" s="734">
        <f>VLOOKUP($B67,Base_Mensuelle!$JW$67:$KZ$679,15,0)</f>
        <v>72.319500000000005</v>
      </c>
      <c r="AW67" s="733">
        <f>VLOOKUP($B67,Base_Mensuelle!$JW$67:$KZ$679,25,0)</f>
        <v>24.57236842105263</v>
      </c>
      <c r="AX67" s="734">
        <f>VLOOKUP($B67,Base_Mensuelle!$JW$67:$KZ$679,29,0)</f>
        <v>31.454999999999998</v>
      </c>
    </row>
    <row r="68" spans="1:50">
      <c r="A68" s="175">
        <f t="shared" si="0"/>
        <v>41</v>
      </c>
      <c r="B68" s="14">
        <f>INDEX(Base_Mensuelle!$BX$68:$CD$679,MAX(Base_Mensuelle!$CD$68:$CD$679)-A69,1)</f>
        <v>44044</v>
      </c>
      <c r="C68" s="179">
        <f>VLOOKUP($B68,Base_Mensuelle!$BX$68:$CD$679,C$2,0)</f>
        <v>554.55909999999994</v>
      </c>
      <c r="D68" s="99">
        <f>VLOOKUP($B68,Base_Mensuelle!$BX$68:$CD$679,D$2,0)</f>
        <v>655.95699999999999</v>
      </c>
      <c r="E68" s="99">
        <f>VLOOKUP($B68,Base_Mensuelle!$BX$68:$CD$679,E$2,0)</f>
        <v>609.29740000000004</v>
      </c>
      <c r="F68" s="99">
        <f>VLOOKUP($B68,Base_Mensuelle!$BX$68:$CD$679,F$2,0)</f>
        <v>32.205499000000003</v>
      </c>
      <c r="G68" s="132">
        <f>VLOOKUP($B68,Base_Mensuelle!$BX$68:$CD$679,G$2,0)</f>
        <v>96.113944000000004</v>
      </c>
      <c r="H68" s="99">
        <f>VLOOKUP($B68,Base_Mensuelle!$CF$68:$CJ$679,H$2,0)</f>
        <v>1.541911228</v>
      </c>
      <c r="I68" s="132">
        <f>VLOOKUP($B68,Base_Mensuelle!$CF$68:$CJ$679,I$2,0)</f>
        <v>1968.63</v>
      </c>
      <c r="J68" s="19">
        <f>VLOOKUP($B68,Base_Mensuelle!$CY$67:$DE$679,5,0)</f>
        <v>0</v>
      </c>
      <c r="K68" s="99">
        <f>VLOOKUP($B68,Base_Mensuelle!$CY$67:$DE$679,2,0)</f>
        <v>151.014937</v>
      </c>
      <c r="L68" s="93"/>
      <c r="M68" s="182">
        <f>VLOOKUP($B68,Base_Mensuelle!$DG$67:$DN$679,2,0)</f>
        <v>446668</v>
      </c>
      <c r="N68" s="182">
        <f>VLOOKUP($B68,Base_Mensuelle!$DG$68:$DO$679,9,0)</f>
        <v>6946984</v>
      </c>
      <c r="O68" s="93"/>
      <c r="P68" s="20"/>
      <c r="Q68" s="14">
        <f>INDEX(Base_Mensuelle!$BX$68:$CD$679,MAX(Base_Mensuelle!$PD$68:$PD$679)-A69,1)</f>
        <v>44044</v>
      </c>
      <c r="R68" s="733">
        <f>VLOOKUP($Q68,Base_Mensuelle!$OF$67:$RN$679,12,0)</f>
        <v>1939.1467026269997</v>
      </c>
      <c r="S68" s="570">
        <f>VLOOKUP($Q68,Base_Mensuelle!$OF$67:$RN$679,15,0)</f>
        <v>2935.7350444039998</v>
      </c>
      <c r="T68" s="570">
        <f>VLOOKUP($Q68,Base_Mensuelle!$OF$67:$RN$679,22,0)</f>
        <v>815.48881685299989</v>
      </c>
      <c r="U68" s="734">
        <f>VLOOKUP($Q68,Base_Mensuelle!$OF$67:$RN$679,16,0)</f>
        <v>-52.391508605999945</v>
      </c>
      <c r="V68" s="733">
        <f>VLOOKUP($Q68,Base_Mensuelle!$OF$67:$RN$679,27,0)</f>
        <v>295.40270262699983</v>
      </c>
      <c r="W68" s="570">
        <f>VLOOKUP($Q68,Base_Mensuelle!$OF$67:$RN$679,31,0)</f>
        <v>-256.36309300699997</v>
      </c>
      <c r="X68" s="570">
        <f>VLOOKUP($Q68,Base_Mensuelle!$OF$67:$RN$679,33,0)</f>
        <v>457.78664563000001</v>
      </c>
      <c r="Y68" s="570">
        <f>VLOOKUP($Q68,Base_Mensuelle!$OF$67:$RN$679,65,0)</f>
        <v>2980.0920000000001</v>
      </c>
      <c r="Z68" s="570">
        <f>VLOOKUP($Q68,Base_Mensuelle!$OF$67:$RN$679,39,0)</f>
        <v>977.06830343500008</v>
      </c>
      <c r="AA68" s="734">
        <f>VLOOKUP($Q68,Base_Mensuelle!$OF$67:$RN$679,51,0)</f>
        <v>11.006864095000001</v>
      </c>
      <c r="AB68" s="14">
        <f>INDEX(Base_Mensuelle!$BX$68:$CD$679,MAX(Base_Mensuelle!$FZ$68:$FZ$679)-A68,1)</f>
        <v>44013</v>
      </c>
      <c r="AC68" s="179">
        <f>VLOOKUP($AB68,Base_Mensuelle!$FL$67:$FY$679,2,0)</f>
        <v>104.66</v>
      </c>
      <c r="AD68" s="93"/>
      <c r="AE68" s="20">
        <f t="shared" ref="AE68:AE109" si="2">3/100</f>
        <v>0.03</v>
      </c>
      <c r="AF68" s="220">
        <f>VLOOKUP($AB68,Base_Mensuelle!$GP$67:$HR$679,2,0)</f>
        <v>247</v>
      </c>
      <c r="AG68" s="99">
        <f>VLOOKUP($AB68,Base_Mensuelle!$GP$67:$HR$679,3,0)</f>
        <v>206</v>
      </c>
      <c r="AH68" s="99">
        <f>VLOOKUP($AB68,Base_Mensuelle!$GP$67:$HR$679,14,0)</f>
        <v>1977</v>
      </c>
      <c r="AI68" s="99">
        <f>VLOOKUP($AB68,Base_Mensuelle!$GA$67:$GO$679,5,0)</f>
        <v>89.18</v>
      </c>
      <c r="AJ68" s="99">
        <f>VLOOKUP($AB68,Base_Mensuelle!$GA$67:$GO$679,6,0)</f>
        <v>111.48</v>
      </c>
      <c r="AK68" s="99">
        <f>VLOOKUP($AB68,Base_Mensuelle!$GA$67:$GO$679,7,0)</f>
        <v>103.87</v>
      </c>
      <c r="AL68" s="99">
        <f>VLOOKUP($AB68,Base_Mensuelle!$GA$67:$GO$679,3,0)</f>
        <v>102.18</v>
      </c>
      <c r="AM68" s="132">
        <f>VLOOKUP($AB68,Base_Mensuelle!$GA$67:$GO$679,4,0)</f>
        <v>106.22</v>
      </c>
      <c r="AN68" s="179">
        <f>VLOOKUP($AB68,Base_Mensuelle!$HS$67:$JV$679,9,0)</f>
        <v>186.29032897949219</v>
      </c>
      <c r="AO68" s="99">
        <f>VLOOKUP($AB68,Base_Mensuelle!$HS$67:$JV$679,23,0)</f>
        <v>166.44789123535156</v>
      </c>
      <c r="AP68" s="99">
        <f>VLOOKUP($AB68,Base_Mensuelle!$HS$67:$JV$679,39,0)</f>
        <v>400</v>
      </c>
      <c r="AQ68" s="99">
        <f>VLOOKUP($AB68,Base_Mensuelle!$HS$67:$JV$679,10,0)</f>
        <v>132.22088012695312</v>
      </c>
      <c r="AR68" s="132">
        <f>VLOOKUP($AB68,Base_Mensuelle!$HS$67:$JV$679,11,0)</f>
        <v>106.48148345947266</v>
      </c>
      <c r="AS68" s="733">
        <f>VLOOKUP($B68,Base_Mensuelle!$JW$67:$KZ$679,3,0)</f>
        <v>326.66666666666669</v>
      </c>
      <c r="AT68" s="734">
        <f>VLOOKUP($B68,Base_Mensuelle!$JW$67:$KZ$679,8,0)</f>
        <v>368.8888888888888</v>
      </c>
      <c r="AU68" s="733">
        <f>VLOOKUP($B68,Base_Mensuelle!$JW$67:$KZ$679,11,0)</f>
        <v>47.363592592592589</v>
      </c>
      <c r="AV68" s="734">
        <f>VLOOKUP($B68,Base_Mensuelle!$JW$67:$KZ$679,15,0)</f>
        <v>74.222388888888887</v>
      </c>
      <c r="AW68" s="733">
        <f>VLOOKUP($B68,Base_Mensuelle!$JW$67:$KZ$679,25,0)</f>
        <v>23.737804878048781</v>
      </c>
      <c r="AX68" s="734">
        <f>VLOOKUP($B68,Base_Mensuelle!$JW$67:$KZ$679,29,0)</f>
        <v>35.15789473684211</v>
      </c>
    </row>
    <row r="69" spans="1:50">
      <c r="A69" s="175">
        <f t="shared" si="0"/>
        <v>40</v>
      </c>
      <c r="B69" s="14">
        <f>INDEX(Base_Mensuelle!$BX$68:$CD$679,MAX(Base_Mensuelle!$CD$68:$CD$679)-A70,1)</f>
        <v>44075</v>
      </c>
      <c r="C69" s="179">
        <f>VLOOKUP($B69,Base_Mensuelle!$BX$68:$CD$679,C$2,0)</f>
        <v>556.53909999999996</v>
      </c>
      <c r="D69" s="99">
        <f>VLOOKUP($B69,Base_Mensuelle!$BX$68:$CD$679,D$2,0)</f>
        <v>655.95699999999999</v>
      </c>
      <c r="E69" s="99">
        <f>VLOOKUP($B69,Base_Mensuelle!$BX$68:$CD$679,E$2,0)</f>
        <v>608.11429999999996</v>
      </c>
      <c r="F69" s="99">
        <f>VLOOKUP($B69,Base_Mensuelle!$BX$68:$CD$679,F$2,0)</f>
        <v>33.285831000000002</v>
      </c>
      <c r="G69" s="132">
        <f>VLOOKUP($B69,Base_Mensuelle!$BX$68:$CD$679,G$2,0)</f>
        <v>96.185803000000007</v>
      </c>
      <c r="H69" s="99">
        <f>VLOOKUP($B69,Base_Mensuelle!$CF$68:$CJ$679,H$2,0)</f>
        <v>1.5610914220000001</v>
      </c>
      <c r="I69" s="132">
        <f>VLOOKUP($B69,Base_Mensuelle!$CF$68:$CJ$679,I$2,0)</f>
        <v>1921.92</v>
      </c>
      <c r="J69" s="19">
        <f>VLOOKUP($B69,Base_Mensuelle!$CY$67:$DE$679,5,0)</f>
        <v>0</v>
      </c>
      <c r="K69" s="99">
        <f>VLOOKUP($B69,Base_Mensuelle!$CY$67:$DE$679,2,0)</f>
        <v>135.88035199999999</v>
      </c>
      <c r="L69" s="93"/>
      <c r="M69" s="182">
        <f>VLOOKUP($B69,Base_Mensuelle!$DG$67:$DN$679,2,0)</f>
        <v>449300</v>
      </c>
      <c r="N69" s="182">
        <f>VLOOKUP($B69,Base_Mensuelle!$DG$68:$DO$679,9,0)</f>
        <v>6604191</v>
      </c>
      <c r="O69" s="93"/>
      <c r="P69" s="20"/>
      <c r="Q69" s="14">
        <f>INDEX(Base_Mensuelle!$BX$68:$CD$679,MAX(Base_Mensuelle!$PD$68:$PD$679)-A70,1)</f>
        <v>44075</v>
      </c>
      <c r="R69" s="733">
        <f>VLOOKUP($Q69,Base_Mensuelle!$OF$67:$RN$679,12,0)</f>
        <v>1859.1540356920004</v>
      </c>
      <c r="S69" s="570">
        <f>VLOOKUP($Q69,Base_Mensuelle!$OF$67:$RN$679,15,0)</f>
        <v>3105.3006282079996</v>
      </c>
      <c r="T69" s="570">
        <f>VLOOKUP($Q69,Base_Mensuelle!$OF$67:$RN$679,22,0)</f>
        <v>837.18193674899999</v>
      </c>
      <c r="U69" s="734">
        <f>VLOOKUP($Q69,Base_Mensuelle!$OF$67:$RN$679,16,0)</f>
        <v>77.154046679999865</v>
      </c>
      <c r="V69" s="733">
        <f>VLOOKUP($Q69,Base_Mensuelle!$OF$67:$RN$679,27,0)</f>
        <v>190.60465125116366</v>
      </c>
      <c r="W69" s="570">
        <f>VLOOKUP($Q69,Base_Mensuelle!$OF$67:$RN$679,31,0)</f>
        <v>-106.63653772100002</v>
      </c>
      <c r="X69" s="570">
        <f>VLOOKUP($Q69,Base_Mensuelle!$OF$67:$RN$679,33,0)</f>
        <v>307.97984643900003</v>
      </c>
      <c r="Y69" s="570">
        <f>VLOOKUP($Q69,Base_Mensuelle!$OF$67:$RN$679,65,0)</f>
        <v>3020.1969999999997</v>
      </c>
      <c r="Z69" s="570">
        <f>VLOOKUP($Q69,Base_Mensuelle!$OF$67:$RN$679,39,0)</f>
        <v>1017.4569520471633</v>
      </c>
      <c r="AA69" s="734">
        <f>VLOOKUP($Q69,Base_Mensuelle!$OF$67:$RN$679,51,0)</f>
        <v>11.785490080000001</v>
      </c>
      <c r="AB69" s="14">
        <f>INDEX(Base_Mensuelle!$BX$68:$CD$679,MAX(Base_Mensuelle!$FZ$68:$FZ$679)-A69,1)</f>
        <v>44044</v>
      </c>
      <c r="AC69" s="179">
        <f>VLOOKUP($AB69,Base_Mensuelle!$FL$67:$FY$679,2,0)</f>
        <v>105.85</v>
      </c>
      <c r="AD69" s="93"/>
      <c r="AE69" s="20">
        <f t="shared" si="2"/>
        <v>0.03</v>
      </c>
      <c r="AF69" s="220">
        <f>VLOOKUP($AB69,Base_Mensuelle!$GP$67:$HR$679,2,0)</f>
        <v>277</v>
      </c>
      <c r="AG69" s="99">
        <f>VLOOKUP($AB69,Base_Mensuelle!$GP$67:$HR$679,3,0)</f>
        <v>232</v>
      </c>
      <c r="AH69" s="99">
        <f>VLOOKUP($AB69,Base_Mensuelle!$GP$67:$HR$679,14,0)</f>
        <v>2230</v>
      </c>
      <c r="AI69" s="99">
        <f>VLOOKUP($AB69,Base_Mensuelle!$GA$67:$GO$679,5,0)</f>
        <v>94.01</v>
      </c>
      <c r="AJ69" s="99">
        <f>VLOOKUP($AB69,Base_Mensuelle!$GA$67:$GO$679,6,0)</f>
        <v>112.6</v>
      </c>
      <c r="AK69" s="99">
        <f>VLOOKUP($AB69,Base_Mensuelle!$GA$67:$GO$679,7,0)</f>
        <v>104.04</v>
      </c>
      <c r="AL69" s="99">
        <f>VLOOKUP($AB69,Base_Mensuelle!$GA$67:$GO$679,3,0)</f>
        <v>103.29</v>
      </c>
      <c r="AM69" s="132">
        <f>VLOOKUP($AB69,Base_Mensuelle!$GA$67:$GO$679,4,0)</f>
        <v>107.34</v>
      </c>
      <c r="AN69" s="179">
        <f>VLOOKUP($AB69,Base_Mensuelle!$HS$67:$JV$679,9,0)</f>
        <v>202.41936492919922</v>
      </c>
      <c r="AO69" s="99">
        <f>VLOOKUP($AB69,Base_Mensuelle!$HS$67:$JV$679,23,0)</f>
        <v>183.78935852050782</v>
      </c>
      <c r="AP69" s="99">
        <f>VLOOKUP($AB69,Base_Mensuelle!$HS$67:$JV$679,39,0)</f>
        <v>0</v>
      </c>
      <c r="AQ69" s="99">
        <f>VLOOKUP($AB69,Base_Mensuelle!$HS$67:$JV$679,10,0)</f>
        <v>123.77850341796875</v>
      </c>
      <c r="AR69" s="132">
        <f>VLOOKUP($AB69,Base_Mensuelle!$HS$67:$JV$679,11,0)</f>
        <v>116.66666870117187</v>
      </c>
      <c r="AS69" s="733">
        <f>VLOOKUP($B69,Base_Mensuelle!$JW$67:$KZ$679,3,0)</f>
        <v>314.45833333333337</v>
      </c>
      <c r="AT69" s="734">
        <f>VLOOKUP($B69,Base_Mensuelle!$JW$67:$KZ$679,8,0)</f>
        <v>377.51388888888886</v>
      </c>
      <c r="AU69" s="733">
        <f>VLOOKUP($B69,Base_Mensuelle!$JW$67:$KZ$679,11,0)</f>
        <v>47.086458333333333</v>
      </c>
      <c r="AV69" s="734">
        <f>VLOOKUP($B69,Base_Mensuelle!$JW$67:$KZ$679,15,0)</f>
        <v>93.265278687169314</v>
      </c>
      <c r="AW69" s="733">
        <f>VLOOKUP($B69,Base_Mensuelle!$JW$67:$KZ$679,25,0)</f>
        <v>23.592857142857142</v>
      </c>
      <c r="AX69" s="734">
        <f>VLOOKUP($B69,Base_Mensuelle!$JW$67:$KZ$679,29,0)</f>
        <v>32.612244897959179</v>
      </c>
    </row>
    <row r="70" spans="1:50">
      <c r="A70" s="175">
        <f t="shared" si="0"/>
        <v>39</v>
      </c>
      <c r="B70" s="14">
        <f>INDEX(Base_Mensuelle!$BX$68:$CD$679,MAX(Base_Mensuelle!$CD$68:$CD$679)-A71,1)</f>
        <v>44105</v>
      </c>
      <c r="C70" s="179">
        <f>VLOOKUP($B70,Base_Mensuelle!$BX$68:$CD$679,C$2,0)</f>
        <v>557.48490000000004</v>
      </c>
      <c r="D70" s="99">
        <f>VLOOKUP($B70,Base_Mensuelle!$BX$68:$CD$679,D$2,0)</f>
        <v>655.95699999999999</v>
      </c>
      <c r="E70" s="99">
        <f>VLOOKUP($B70,Base_Mensuelle!$BX$68:$CD$679,E$2,0)</f>
        <v>610.88630000000001</v>
      </c>
      <c r="F70" s="99">
        <f>VLOOKUP($B70,Base_Mensuelle!$BX$68:$CD$679,F$2,0)</f>
        <v>33.880243999999998</v>
      </c>
      <c r="G70" s="132">
        <f>VLOOKUP($B70,Base_Mensuelle!$BX$68:$CD$679,G$2,0)</f>
        <v>95.945536000000004</v>
      </c>
      <c r="H70" s="99">
        <f>VLOOKUP($B70,Base_Mensuelle!$CF$68:$CJ$679,H$2,0)</f>
        <v>1.649496684</v>
      </c>
      <c r="I70" s="132">
        <f>VLOOKUP($B70,Base_Mensuelle!$CF$68:$CJ$679,I$2,0)</f>
        <v>1900.27</v>
      </c>
      <c r="J70" s="19">
        <f>VLOOKUP($B70,Base_Mensuelle!$CY$67:$DE$679,5,0)</f>
        <v>0</v>
      </c>
      <c r="K70" s="99">
        <f>VLOOKUP($B70,Base_Mensuelle!$CY$67:$DE$679,2,0)</f>
        <v>148.63557900000001</v>
      </c>
      <c r="L70" s="93"/>
      <c r="M70" s="182">
        <f>VLOOKUP($B70,Base_Mensuelle!$DG$67:$DN$679,2,0)</f>
        <v>451957</v>
      </c>
      <c r="N70" s="182">
        <f>VLOOKUP($B70,Base_Mensuelle!$DG$68:$DO$679,9,0)</f>
        <v>6938220</v>
      </c>
      <c r="O70" s="93"/>
      <c r="P70" s="20"/>
      <c r="Q70" s="14">
        <f>INDEX(Base_Mensuelle!$BX$68:$CD$679,MAX(Base_Mensuelle!$PD$68:$PD$679)-A71,1)</f>
        <v>44105</v>
      </c>
      <c r="R70" s="733">
        <f>VLOOKUP($Q70,Base_Mensuelle!$OF$67:$RN$679,12,0)</f>
        <v>1822.7177777840002</v>
      </c>
      <c r="S70" s="570">
        <f>VLOOKUP($Q70,Base_Mensuelle!$OF$67:$RN$679,15,0)</f>
        <v>3067.3807163839997</v>
      </c>
      <c r="T70" s="570">
        <f>VLOOKUP($Q70,Base_Mensuelle!$OF$67:$RN$679,22,0)</f>
        <v>850.774014502</v>
      </c>
      <c r="U70" s="734">
        <f>VLOOKUP($Q70,Base_Mensuelle!$OF$67:$RN$679,16,0)</f>
        <v>51.991892055000065</v>
      </c>
      <c r="V70" s="733">
        <f>VLOOKUP($Q70,Base_Mensuelle!$OF$67:$RN$679,27,0)</f>
        <v>117.09777778399985</v>
      </c>
      <c r="W70" s="570">
        <f>VLOOKUP($Q70,Base_Mensuelle!$OF$67:$RN$679,31,0)</f>
        <v>-112.478692346</v>
      </c>
      <c r="X70" s="570">
        <f>VLOOKUP($Q70,Base_Mensuelle!$OF$67:$RN$679,33,0)</f>
        <v>313.844054078</v>
      </c>
      <c r="Y70" s="570">
        <f>VLOOKUP($Q70,Base_Mensuelle!$OF$67:$RN$679,65,0)</f>
        <v>3007.297</v>
      </c>
      <c r="Z70" s="570">
        <f>VLOOKUP($Q70,Base_Mensuelle!$OF$67:$RN$679,39,0)</f>
        <v>1029.4954732390001</v>
      </c>
      <c r="AA70" s="734">
        <f>VLOOKUP($Q70,Base_Mensuelle!$OF$67:$RN$679,51,0)</f>
        <v>13.556936030999999</v>
      </c>
      <c r="AB70" s="14">
        <f>INDEX(Base_Mensuelle!$BX$68:$CD$679,MAX(Base_Mensuelle!$FZ$68:$FZ$679)-A70,1)</f>
        <v>44075</v>
      </c>
      <c r="AC70" s="179">
        <f>VLOOKUP($AB70,Base_Mensuelle!$FL$67:$FY$679,2,0)</f>
        <v>106.02</v>
      </c>
      <c r="AD70" s="93"/>
      <c r="AE70" s="20">
        <f t="shared" si="2"/>
        <v>0.03</v>
      </c>
      <c r="AF70" s="220">
        <f>VLOOKUP($AB70,Base_Mensuelle!$GP$67:$HR$679,2,0)</f>
        <v>313</v>
      </c>
      <c r="AG70" s="99">
        <f>VLOOKUP($AB70,Base_Mensuelle!$GP$67:$HR$679,3,0)</f>
        <v>239</v>
      </c>
      <c r="AH70" s="99">
        <f>VLOOKUP($AB70,Base_Mensuelle!$GP$67:$HR$679,14,0)</f>
        <v>1896</v>
      </c>
      <c r="AI70" s="99">
        <f>VLOOKUP($AB70,Base_Mensuelle!$GA$67:$GO$679,5,0)</f>
        <v>93.47</v>
      </c>
      <c r="AJ70" s="99">
        <f>VLOOKUP($AB70,Base_Mensuelle!$GA$67:$GO$679,6,0)</f>
        <v>113.59</v>
      </c>
      <c r="AK70" s="99">
        <f>VLOOKUP($AB70,Base_Mensuelle!$GA$67:$GO$679,7,0)</f>
        <v>103.86</v>
      </c>
      <c r="AL70" s="99">
        <f>VLOOKUP($AB70,Base_Mensuelle!$GA$67:$GO$679,3,0)</f>
        <v>102.96</v>
      </c>
      <c r="AM70" s="132">
        <f>VLOOKUP($AB70,Base_Mensuelle!$GA$67:$GO$679,4,0)</f>
        <v>107.74</v>
      </c>
      <c r="AN70" s="179">
        <f>VLOOKUP($AB70,Base_Mensuelle!$HS$67:$JV$679,9,0)</f>
        <v>223.8709716796875</v>
      </c>
      <c r="AO70" s="99">
        <f>VLOOKUP($AB70,Base_Mensuelle!$HS$67:$JV$679,23,0)</f>
        <v>183.59576034545898</v>
      </c>
      <c r="AP70" s="99">
        <f>VLOOKUP($AB70,Base_Mensuelle!$HS$67:$JV$679,39,0)</f>
        <v>0</v>
      </c>
      <c r="AQ70" s="99">
        <f>VLOOKUP($AB70,Base_Mensuelle!$HS$67:$JV$679,10,0)</f>
        <v>143.98647460937499</v>
      </c>
      <c r="AR70" s="132">
        <f>VLOOKUP($AB70,Base_Mensuelle!$HS$67:$JV$679,11,0)</f>
        <v>131.94444274902344</v>
      </c>
      <c r="AS70" s="733">
        <f>VLOOKUP($B70,Base_Mensuelle!$JW$67:$KZ$679,3,0)</f>
        <v>0</v>
      </c>
      <c r="AT70" s="734">
        <f>VLOOKUP($B70,Base_Mensuelle!$JW$67:$KZ$679,8,0)</f>
        <v>0</v>
      </c>
      <c r="AU70" s="733">
        <f>VLOOKUP($B70,Base_Mensuelle!$JW$67:$KZ$679,11,0)</f>
        <v>0</v>
      </c>
      <c r="AV70" s="734">
        <f>VLOOKUP($B70,Base_Mensuelle!$JW$67:$KZ$679,15,0)</f>
        <v>0</v>
      </c>
      <c r="AW70" s="733">
        <f>VLOOKUP($B70,Base_Mensuelle!$JW$67:$KZ$679,25,0)</f>
        <v>0</v>
      </c>
      <c r="AX70" s="734">
        <f>VLOOKUP($B70,Base_Mensuelle!$JW$67:$KZ$679,29,0)</f>
        <v>0</v>
      </c>
    </row>
    <row r="71" spans="1:50">
      <c r="A71" s="175">
        <f t="shared" si="0"/>
        <v>38</v>
      </c>
      <c r="B71" s="14">
        <f>INDEX(Base_Mensuelle!$BX$68:$CD$679,MAX(Base_Mensuelle!$CD$68:$CD$679)-A72,1)</f>
        <v>44136</v>
      </c>
      <c r="C71" s="179">
        <f>VLOOKUP($B71,Base_Mensuelle!$BX$68:$CD$679,C$2,0)</f>
        <v>554.13679999999999</v>
      </c>
      <c r="D71" s="99">
        <f>VLOOKUP($B71,Base_Mensuelle!$BX$68:$CD$679,D$2,0)</f>
        <v>655.95699999999999</v>
      </c>
      <c r="E71" s="99">
        <f>VLOOKUP($B71,Base_Mensuelle!$BX$68:$CD$679,E$2,0)</f>
        <v>608.27779999999996</v>
      </c>
      <c r="F71" s="99">
        <f>VLOOKUP($B71,Base_Mensuelle!$BX$68:$CD$679,F$2,0)</f>
        <v>35.715004</v>
      </c>
      <c r="G71" s="132">
        <f>VLOOKUP($B71,Base_Mensuelle!$BX$68:$CD$679,G$2,0)</f>
        <v>95.002768000000003</v>
      </c>
      <c r="H71" s="99">
        <f>VLOOKUP($B71,Base_Mensuelle!$CF$68:$CJ$679,H$2,0)</f>
        <v>1.7134306640000001</v>
      </c>
      <c r="I71" s="132">
        <f>VLOOKUP($B71,Base_Mensuelle!$CF$68:$CJ$679,I$2,0)</f>
        <v>1866.3</v>
      </c>
      <c r="J71" s="19">
        <f>VLOOKUP($B71,Base_Mensuelle!$CY$67:$DE$679,5,0)</f>
        <v>0</v>
      </c>
      <c r="K71" s="99">
        <f>VLOOKUP($B71,Base_Mensuelle!$CY$67:$DE$679,2,0)</f>
        <v>158.72157299999998</v>
      </c>
      <c r="L71" s="93"/>
      <c r="M71" s="182">
        <f>VLOOKUP($B71,Base_Mensuelle!$DG$67:$DN$679,2,0)</f>
        <v>455694</v>
      </c>
      <c r="N71" s="182">
        <f>VLOOKUP($B71,Base_Mensuelle!$DG$68:$DO$679,9,0)</f>
        <v>7174247</v>
      </c>
      <c r="O71" s="93"/>
      <c r="P71" s="20"/>
      <c r="Q71" s="14">
        <f>INDEX(Base_Mensuelle!$BX$68:$CD$679,MAX(Base_Mensuelle!$PD$68:$PD$679)-A72,1)</f>
        <v>44136</v>
      </c>
      <c r="R71" s="733">
        <f>VLOOKUP($Q71,Base_Mensuelle!$OF$67:$RN$679,12,0)</f>
        <v>1842.8528253551633</v>
      </c>
      <c r="S71" s="570">
        <f>VLOOKUP($Q71,Base_Mensuelle!$OF$67:$RN$679,15,0)</f>
        <v>3130.037295957</v>
      </c>
      <c r="T71" s="570">
        <f>VLOOKUP($Q71,Base_Mensuelle!$OF$67:$RN$679,22,0)</f>
        <v>846.13002063900001</v>
      </c>
      <c r="U71" s="734">
        <f>VLOOKUP($Q71,Base_Mensuelle!$OF$67:$RN$679,16,0)</f>
        <v>112.53908638899993</v>
      </c>
      <c r="V71" s="733">
        <f>VLOOKUP($Q71,Base_Mensuelle!$OF$67:$RN$679,27,0)</f>
        <v>16.865825355163452</v>
      </c>
      <c r="W71" s="570">
        <f>VLOOKUP($Q71,Base_Mensuelle!$OF$67:$RN$679,31,0)</f>
        <v>-88.691498012000011</v>
      </c>
      <c r="X71" s="570">
        <f>VLOOKUP($Q71,Base_Mensuelle!$OF$67:$RN$679,33,0)</f>
        <v>303.72543491900001</v>
      </c>
      <c r="Y71" s="570">
        <f>VLOOKUP($Q71,Base_Mensuelle!$OF$67:$RN$679,65,0)</f>
        <v>3009.4740000000002</v>
      </c>
      <c r="Z71" s="570">
        <f>VLOOKUP($Q71,Base_Mensuelle!$OF$67:$RN$679,39,0)</f>
        <v>1017.3196803941634</v>
      </c>
      <c r="AA71" s="734">
        <f>VLOOKUP($Q71,Base_Mensuelle!$OF$67:$RN$679,51,0)</f>
        <v>13.933262469000001</v>
      </c>
      <c r="AB71" s="14">
        <f>INDEX(Base_Mensuelle!$BX$68:$CD$679,MAX(Base_Mensuelle!$FZ$68:$FZ$679)-A71,1)</f>
        <v>44105</v>
      </c>
      <c r="AC71" s="179">
        <f>VLOOKUP($AB71,Base_Mensuelle!$FL$67:$FY$679,2,0)</f>
        <v>106.69</v>
      </c>
      <c r="AD71" s="93"/>
      <c r="AE71" s="20">
        <f t="shared" si="2"/>
        <v>0.03</v>
      </c>
      <c r="AF71" s="220">
        <f>VLOOKUP($AB71,Base_Mensuelle!$GP$67:$HR$679,2,0)</f>
        <v>296</v>
      </c>
      <c r="AG71" s="99">
        <f>VLOOKUP($AB71,Base_Mensuelle!$GP$67:$HR$679,3,0)</f>
        <v>228</v>
      </c>
      <c r="AH71" s="99">
        <f>VLOOKUP($AB71,Base_Mensuelle!$GP$67:$HR$679,14,0)</f>
        <v>2133</v>
      </c>
      <c r="AI71" s="99">
        <f>VLOOKUP($AB71,Base_Mensuelle!$GA$67:$GO$679,5,0)</f>
        <v>102.37</v>
      </c>
      <c r="AJ71" s="99">
        <f>VLOOKUP($AB71,Base_Mensuelle!$GA$67:$GO$679,6,0)</f>
        <v>113.87</v>
      </c>
      <c r="AK71" s="99">
        <f>VLOOKUP($AB71,Base_Mensuelle!$GA$67:$GO$679,7,0)</f>
        <v>104.04</v>
      </c>
      <c r="AL71" s="99">
        <f>VLOOKUP($AB71,Base_Mensuelle!$GA$67:$GO$679,3,0)</f>
        <v>102.65</v>
      </c>
      <c r="AM71" s="132">
        <f>VLOOKUP($AB71,Base_Mensuelle!$GA$67:$GO$679,4,0)</f>
        <v>108.79</v>
      </c>
      <c r="AN71" s="179">
        <f>VLOOKUP($AB71,Base_Mensuelle!$HS$67:$JV$679,9,0)</f>
        <v>197.89690399169922</v>
      </c>
      <c r="AO71" s="99">
        <f>VLOOKUP($AB71,Base_Mensuelle!$HS$67:$JV$679,23,0)</f>
        <v>181.76760864257813</v>
      </c>
      <c r="AP71" s="99">
        <f>VLOOKUP($AB71,Base_Mensuelle!$HS$67:$JV$679,39,0)</f>
        <v>0</v>
      </c>
      <c r="AQ71" s="99">
        <f>VLOOKUP($AB71,Base_Mensuelle!$HS$67:$JV$679,10,0)</f>
        <v>147.31585184733072</v>
      </c>
      <c r="AR71" s="132">
        <f>VLOOKUP($AB71,Base_Mensuelle!$HS$67:$JV$679,11,0)</f>
        <v>114.58333587646484</v>
      </c>
      <c r="AS71" s="733">
        <f>VLOOKUP($B71,Base_Mensuelle!$JW$67:$KZ$679,3,0)</f>
        <v>0</v>
      </c>
      <c r="AT71" s="734">
        <f>VLOOKUP($B71,Base_Mensuelle!$JW$67:$KZ$679,8,0)</f>
        <v>0</v>
      </c>
      <c r="AU71" s="733">
        <f>VLOOKUP($B71,Base_Mensuelle!$JW$67:$KZ$679,11,0)</f>
        <v>0</v>
      </c>
      <c r="AV71" s="734">
        <f>VLOOKUP($B71,Base_Mensuelle!$JW$67:$KZ$679,15,0)</f>
        <v>0</v>
      </c>
      <c r="AW71" s="733">
        <f>VLOOKUP($B71,Base_Mensuelle!$JW$67:$KZ$679,25,0)</f>
        <v>0</v>
      </c>
      <c r="AX71" s="734">
        <f>VLOOKUP($B71,Base_Mensuelle!$JW$67:$KZ$679,29,0)</f>
        <v>0</v>
      </c>
    </row>
    <row r="72" spans="1:50">
      <c r="A72" s="175">
        <f t="shared" si="0"/>
        <v>37</v>
      </c>
      <c r="B72" s="14">
        <f>INDEX(Base_Mensuelle!$BX$68:$CD$679,MAX(Base_Mensuelle!$CD$68:$CD$679)-A73,1)</f>
        <v>44166</v>
      </c>
      <c r="C72" s="179">
        <f>VLOOKUP($B72,Base_Mensuelle!$BX$68:$CD$679,C$2,0)</f>
        <v>538.90219999999999</v>
      </c>
      <c r="D72" s="99">
        <f>VLOOKUP($B72,Base_Mensuelle!$BX$68:$CD$679,D$2,0)</f>
        <v>655.95699999999999</v>
      </c>
      <c r="E72" s="99">
        <f>VLOOKUP($B72,Base_Mensuelle!$BX$68:$CD$679,E$2,0)</f>
        <v>606.61959999999999</v>
      </c>
      <c r="F72" s="99">
        <f>VLOOKUP($B72,Base_Mensuelle!$BX$68:$CD$679,F$2,0)</f>
        <v>36.270435999999997</v>
      </c>
      <c r="G72" s="132">
        <f>VLOOKUP($B72,Base_Mensuelle!$BX$68:$CD$679,G$2,0)</f>
        <v>91.859295000000003</v>
      </c>
      <c r="H72" s="99">
        <f>VLOOKUP($B72,Base_Mensuelle!$CF$68:$CJ$679,H$2,0)</f>
        <v>1.7861831239999999</v>
      </c>
      <c r="I72" s="132">
        <f>VLOOKUP($B72,Base_Mensuelle!$CF$68:$CJ$679,I$2,0)</f>
        <v>1858.42</v>
      </c>
      <c r="J72" s="19">
        <f>VLOOKUP($B72,Base_Mensuelle!$CY$67:$DE$679,5,0)</f>
        <v>0</v>
      </c>
      <c r="K72" s="99">
        <f>VLOOKUP($B72,Base_Mensuelle!$CY$67:$DE$679,2,0)</f>
        <v>145.17673400000001</v>
      </c>
      <c r="L72" s="93"/>
      <c r="M72" s="182">
        <f>VLOOKUP($B72,Base_Mensuelle!$DG$67:$DN$679,2,0)</f>
        <v>460473</v>
      </c>
      <c r="N72" s="182">
        <f>VLOOKUP($B72,Base_Mensuelle!$DG$68:$DO$679,9,0)</f>
        <v>7575177</v>
      </c>
      <c r="O72" s="93"/>
      <c r="P72" s="20"/>
      <c r="Q72" s="14">
        <f>INDEX(Base_Mensuelle!$BX$68:$CD$679,MAX(Base_Mensuelle!$PD$68:$PD$679)-A73,1)</f>
        <v>44166</v>
      </c>
      <c r="R72" s="733">
        <f>VLOOKUP($Q72,Base_Mensuelle!$OF$67:$RN$679,12,0)</f>
        <v>1983.664176386488</v>
      </c>
      <c r="S72" s="570">
        <f>VLOOKUP($Q72,Base_Mensuelle!$OF$67:$RN$679,15,0)</f>
        <v>3380.8458239050969</v>
      </c>
      <c r="T72" s="570">
        <f>VLOOKUP($Q72,Base_Mensuelle!$OF$67:$RN$679,22,0)</f>
        <v>842.29544964599984</v>
      </c>
      <c r="U72" s="734">
        <f>VLOOKUP($Q72,Base_Mensuelle!$OF$67:$RN$679,16,0)</f>
        <v>192.37966617509667</v>
      </c>
      <c r="V72" s="733">
        <f>VLOOKUP($Q72,Base_Mensuelle!$OF$67:$RN$679,27,0)</f>
        <v>205.46217638648807</v>
      </c>
      <c r="W72" s="570">
        <f>VLOOKUP($Q72,Base_Mensuelle!$OF$67:$RN$679,31,0)</f>
        <v>30.196911073000024</v>
      </c>
      <c r="X72" s="570">
        <f>VLOOKUP($Q72,Base_Mensuelle!$OF$67:$RN$679,33,0)</f>
        <v>184.51379449999999</v>
      </c>
      <c r="Y72" s="570">
        <f>VLOOKUP($Q72,Base_Mensuelle!$OF$67:$RN$679,65,0)</f>
        <v>3180.578</v>
      </c>
      <c r="Z72" s="570">
        <f>VLOOKUP($Q72,Base_Mensuelle!$OF$67:$RN$679,39,0)</f>
        <v>1120.9013633744883</v>
      </c>
      <c r="AA72" s="734">
        <f>VLOOKUP($Q72,Base_Mensuelle!$OF$67:$RN$679,51,0)</f>
        <v>0.47495395800000001</v>
      </c>
      <c r="AB72" s="14">
        <f>INDEX(Base_Mensuelle!$BX$68:$CD$679,MAX(Base_Mensuelle!$FZ$68:$FZ$679)-A72,1)</f>
        <v>44136</v>
      </c>
      <c r="AC72" s="179">
        <f>VLOOKUP($AB72,Base_Mensuelle!$FL$67:$FY$679,2,0)</f>
        <v>105.82</v>
      </c>
      <c r="AD72" s="93"/>
      <c r="AE72" s="20">
        <f t="shared" si="2"/>
        <v>0.03</v>
      </c>
      <c r="AF72" s="220">
        <f>VLOOKUP($AB72,Base_Mensuelle!$GP$67:$HR$679,2,0)</f>
        <v>303</v>
      </c>
      <c r="AG72" s="99">
        <f>VLOOKUP($AB72,Base_Mensuelle!$GP$67:$HR$679,3,0)</f>
        <v>220</v>
      </c>
      <c r="AH72" s="99">
        <f>VLOOKUP($AB72,Base_Mensuelle!$GP$67:$HR$679,14,0)</f>
        <v>1964</v>
      </c>
      <c r="AI72" s="99">
        <f>VLOOKUP($AB72,Base_Mensuelle!$GA$67:$GO$679,5,0)</f>
        <v>94.47</v>
      </c>
      <c r="AJ72" s="99">
        <f>VLOOKUP($AB72,Base_Mensuelle!$GA$67:$GO$679,6,0)</f>
        <v>113.19</v>
      </c>
      <c r="AK72" s="99">
        <f>VLOOKUP($AB72,Base_Mensuelle!$GA$67:$GO$679,7,0)</f>
        <v>103.88</v>
      </c>
      <c r="AL72" s="99">
        <f>VLOOKUP($AB72,Base_Mensuelle!$GA$67:$GO$679,3,0)</f>
        <v>102.3</v>
      </c>
      <c r="AM72" s="132">
        <f>VLOOKUP($AB72,Base_Mensuelle!$GA$67:$GO$679,4,0)</f>
        <v>107.75</v>
      </c>
      <c r="AN72" s="179">
        <f>VLOOKUP($AB72,Base_Mensuelle!$HS$67:$JV$679,9,0)</f>
        <v>214.05229187011719</v>
      </c>
      <c r="AO72" s="99">
        <f>VLOOKUP($AB72,Base_Mensuelle!$HS$67:$JV$679,23,0)</f>
        <v>163.67886962890626</v>
      </c>
      <c r="AP72" s="99">
        <f>VLOOKUP($AB72,Base_Mensuelle!$HS$67:$JV$679,39,0)</f>
        <v>0</v>
      </c>
      <c r="AQ72" s="99">
        <f>VLOOKUP($AB72,Base_Mensuelle!$HS$67:$JV$679,10,0)</f>
        <v>147.16312789916992</v>
      </c>
      <c r="AR72" s="132">
        <f>VLOOKUP($AB72,Base_Mensuelle!$HS$67:$JV$679,11,0)</f>
        <v>93.128654479980469</v>
      </c>
      <c r="AS72" s="733">
        <f>VLOOKUP($B72,Base_Mensuelle!$JW$67:$KZ$679,3,0)</f>
        <v>0</v>
      </c>
      <c r="AT72" s="734">
        <f>VLOOKUP($B72,Base_Mensuelle!$JW$67:$KZ$679,8,0)</f>
        <v>0</v>
      </c>
      <c r="AU72" s="733">
        <f>VLOOKUP($B72,Base_Mensuelle!$JW$67:$KZ$679,11,0)</f>
        <v>0</v>
      </c>
      <c r="AV72" s="734">
        <f>VLOOKUP($B72,Base_Mensuelle!$JW$67:$KZ$679,15,0)</f>
        <v>0</v>
      </c>
      <c r="AW72" s="733">
        <f>VLOOKUP($B72,Base_Mensuelle!$JW$67:$KZ$679,25,0)</f>
        <v>0</v>
      </c>
      <c r="AX72" s="734">
        <f>VLOOKUP($B72,Base_Mensuelle!$JW$67:$KZ$679,29,0)</f>
        <v>0</v>
      </c>
    </row>
    <row r="73" spans="1:50">
      <c r="A73" s="175">
        <f t="shared" si="0"/>
        <v>36</v>
      </c>
      <c r="B73" s="14">
        <f>INDEX(Base_Mensuelle!$BX$68:$CD$679,MAX(Base_Mensuelle!$CD$68:$CD$679)-A74,1)</f>
        <v>44197</v>
      </c>
      <c r="C73" s="179">
        <f>VLOOKUP($B73,Base_Mensuelle!$BX$68:$CD$679,C$2,0)</f>
        <v>539.01620000000003</v>
      </c>
      <c r="D73" s="99">
        <f>VLOOKUP($B73,Base_Mensuelle!$BX$68:$CD$679,D$2,0)</f>
        <v>655.95699999999999</v>
      </c>
      <c r="E73" s="99">
        <f>VLOOKUP($B73,Base_Mensuelle!$BX$68:$CD$679,E$2,0)</f>
        <v>607.73820000000001</v>
      </c>
      <c r="F73" s="99">
        <f>VLOOKUP($B73,Base_Mensuelle!$BX$68:$CD$679,F$2,0)</f>
        <v>35.628092000000002</v>
      </c>
      <c r="G73" s="132">
        <f>VLOOKUP($B73,Base_Mensuelle!$BX$68:$CD$679,G$2,0)</f>
        <v>92.242249999999999</v>
      </c>
      <c r="H73" s="99">
        <f>VLOOKUP($B73,Base_Mensuelle!$CF$68:$CJ$679,H$2,0)</f>
        <v>1.9230900259999999</v>
      </c>
      <c r="I73" s="132">
        <f>VLOOKUP($B73,Base_Mensuelle!$CF$68:$CJ$679,I$2,0)</f>
        <v>1866.98</v>
      </c>
      <c r="J73" s="19">
        <f>VLOOKUP($B73,Base_Mensuelle!$CY$67:$DE$679,5,0)</f>
        <v>0</v>
      </c>
      <c r="K73" s="99">
        <f>VLOOKUP($B73,Base_Mensuelle!$CY$67:$DE$679,2,0)</f>
        <v>158.93327300000001</v>
      </c>
      <c r="L73" s="93"/>
      <c r="M73" s="182">
        <f>VLOOKUP($B73,Base_Mensuelle!$DG$67:$DN$679,2,0)</f>
        <v>463999</v>
      </c>
      <c r="N73" s="182">
        <f>VLOOKUP($B73,Base_Mensuelle!$DG$68:$DO$679,9,0)</f>
        <v>7960035</v>
      </c>
      <c r="O73" s="93"/>
      <c r="P73" s="20"/>
      <c r="Q73" s="14">
        <f>INDEX(Base_Mensuelle!$BX$68:$CD$679,MAX(Base_Mensuelle!$PD$68:$PD$679)-A74,1)</f>
        <v>44197</v>
      </c>
      <c r="R73" s="733">
        <f>VLOOKUP($Q73,Base_Mensuelle!$OF$67:$RN$679,12,0)</f>
        <v>1910.9046273580775</v>
      </c>
      <c r="S73" s="570">
        <f>VLOOKUP($Q73,Base_Mensuelle!$OF$67:$RN$679,15,0)</f>
        <v>3290.8440766990002</v>
      </c>
      <c r="T73" s="570">
        <f>VLOOKUP($Q73,Base_Mensuelle!$OF$67:$RN$679,22,0)</f>
        <v>849.43867976299953</v>
      </c>
      <c r="U73" s="734">
        <f>VLOOKUP($Q73,Base_Mensuelle!$OF$67:$RN$679,16,0)</f>
        <v>172.55246757500015</v>
      </c>
      <c r="V73" s="733">
        <f>VLOOKUP($Q73,Base_Mensuelle!$OF$67:$RN$679,27,0)</f>
        <v>289.67362735807762</v>
      </c>
      <c r="W73" s="570">
        <f>VLOOKUP($Q73,Base_Mensuelle!$OF$67:$RN$679,31,0)</f>
        <v>2.3572497910000152</v>
      </c>
      <c r="X73" s="570">
        <f>VLOOKUP($Q73,Base_Mensuelle!$OF$67:$RN$679,33,0)</f>
        <v>212.361505599</v>
      </c>
      <c r="Y73" s="570">
        <f>VLOOKUP($Q73,Base_Mensuelle!$OF$67:$RN$679,65,0)</f>
        <v>3110.998</v>
      </c>
      <c r="Z73" s="570">
        <f>VLOOKUP($Q73,Base_Mensuelle!$OF$67:$RN$679,39,0)</f>
        <v>1058.7911736260776</v>
      </c>
      <c r="AA73" s="734">
        <f>VLOOKUP($Q73,Base_Mensuelle!$OF$67:$RN$679,51,0)</f>
        <v>0.98361612899999995</v>
      </c>
      <c r="AB73" s="14">
        <f>INDEX(Base_Mensuelle!$BX$68:$CD$679,MAX(Base_Mensuelle!$FZ$68:$FZ$679)-A73,1)</f>
        <v>44166</v>
      </c>
      <c r="AC73" s="179">
        <f>VLOOKUP($AB73,Base_Mensuelle!$FL$67:$FY$679,2,0)</f>
        <v>104.15</v>
      </c>
      <c r="AD73" s="93"/>
      <c r="AE73" s="20">
        <f t="shared" si="2"/>
        <v>0.03</v>
      </c>
      <c r="AF73" s="220">
        <f>VLOOKUP($AB73,Base_Mensuelle!$GP$67:$HR$679,2,0)</f>
        <v>279</v>
      </c>
      <c r="AG73" s="99">
        <f>VLOOKUP($AB73,Base_Mensuelle!$GP$67:$HR$679,3,0)</f>
        <v>220</v>
      </c>
      <c r="AH73" s="99">
        <f>VLOOKUP($AB73,Base_Mensuelle!$GP$67:$HR$679,14,0)</f>
        <v>2070</v>
      </c>
      <c r="AI73" s="99">
        <f>VLOOKUP($AB73,Base_Mensuelle!$GA$67:$GO$679,5,0)</f>
        <v>94.02</v>
      </c>
      <c r="AJ73" s="99">
        <f>VLOOKUP($AB73,Base_Mensuelle!$GA$67:$GO$679,6,0)</f>
        <v>107.65</v>
      </c>
      <c r="AK73" s="99">
        <f>VLOOKUP($AB73,Base_Mensuelle!$GA$67:$GO$679,7,0)</f>
        <v>103.68</v>
      </c>
      <c r="AL73" s="99">
        <f>VLOOKUP($AB73,Base_Mensuelle!$GA$67:$GO$679,3,0)</f>
        <v>101.86</v>
      </c>
      <c r="AM73" s="132">
        <f>VLOOKUP($AB73,Base_Mensuelle!$GA$67:$GO$679,4,0)</f>
        <v>105.49</v>
      </c>
      <c r="AN73" s="179">
        <f>VLOOKUP($AB73,Base_Mensuelle!$HS$67:$JV$679,9,0)</f>
        <v>235.48387908935547</v>
      </c>
      <c r="AO73" s="99">
        <f>VLOOKUP($AB73,Base_Mensuelle!$HS$67:$JV$679,23,0)</f>
        <v>161.72069549560547</v>
      </c>
      <c r="AP73" s="99">
        <f>VLOOKUP($AB73,Base_Mensuelle!$HS$67:$JV$679,39,0)</f>
        <v>0</v>
      </c>
      <c r="AQ73" s="99">
        <f>VLOOKUP($AB73,Base_Mensuelle!$HS$67:$JV$679,10,0)</f>
        <v>140.64949645996094</v>
      </c>
      <c r="AR73" s="132">
        <f>VLOOKUP($AB73,Base_Mensuelle!$HS$67:$JV$679,11,0)</f>
        <v>99.415205001831055</v>
      </c>
      <c r="AS73" s="733">
        <f>VLOOKUP($B73,Base_Mensuelle!$JW$67:$KZ$679,3,0)</f>
        <v>349545</v>
      </c>
      <c r="AT73" s="734">
        <f>VLOOKUP($B73,Base_Mensuelle!$JW$67:$KZ$679,8,0)</f>
        <v>376250</v>
      </c>
      <c r="AU73" s="733">
        <f>VLOOKUP($B73,Base_Mensuelle!$JW$67:$KZ$679,11,0)</f>
        <v>48042</v>
      </c>
      <c r="AV73" s="734">
        <f>VLOOKUP($B73,Base_Mensuelle!$JW$67:$KZ$679,15,0)</f>
        <v>0</v>
      </c>
      <c r="AW73" s="733">
        <f>VLOOKUP($B73,Base_Mensuelle!$JW$67:$KZ$679,25,0)</f>
        <v>26750</v>
      </c>
      <c r="AX73" s="734">
        <f>VLOOKUP($B73,Base_Mensuelle!$JW$67:$KZ$679,29,0)</f>
        <v>0</v>
      </c>
    </row>
    <row r="74" spans="1:50">
      <c r="A74" s="175">
        <f t="shared" si="0"/>
        <v>35</v>
      </c>
      <c r="B74" s="14">
        <f>INDEX(Base_Mensuelle!$BX$68:$CD$679,MAX(Base_Mensuelle!$CD$68:$CD$679)-A75,1)</f>
        <v>44228</v>
      </c>
      <c r="C74" s="179">
        <f>VLOOKUP($B74,Base_Mensuelle!$BX$68:$CD$679,C$2,0)</f>
        <v>542.25729999999999</v>
      </c>
      <c r="D74" s="99">
        <f>VLOOKUP($B74,Base_Mensuelle!$BX$68:$CD$679,D$2,0)</f>
        <v>655.95699999999999</v>
      </c>
      <c r="E74" s="99">
        <f>VLOOKUP($B74,Base_Mensuelle!$BX$68:$CD$679,E$2,0)</f>
        <v>604.0213</v>
      </c>
      <c r="F74" s="99">
        <f>VLOOKUP($B74,Base_Mensuelle!$BX$68:$CD$679,F$2,0)</f>
        <v>36.741123999999999</v>
      </c>
      <c r="G74" s="132">
        <f>VLOOKUP($B74,Base_Mensuelle!$BX$68:$CD$679,G$2,0)</f>
        <v>93.606089999999995</v>
      </c>
      <c r="H74" s="99">
        <f>VLOOKUP($B74,Base_Mensuelle!$CF$68:$CJ$679,H$2,0)</f>
        <v>2.0450055119999999</v>
      </c>
      <c r="I74" s="132">
        <f>VLOOKUP($B74,Base_Mensuelle!$CF$68:$CJ$679,I$2,0)</f>
        <v>1808.17</v>
      </c>
      <c r="J74" s="19">
        <f>VLOOKUP($B74,Base_Mensuelle!$CY$67:$DE$679,5,0)</f>
        <v>0</v>
      </c>
      <c r="K74" s="99">
        <f>VLOOKUP($B74,Base_Mensuelle!$CY$67:$DE$679,2,0)</f>
        <v>149.86329499999999</v>
      </c>
      <c r="L74" s="93"/>
      <c r="M74" s="182">
        <f>VLOOKUP($B74,Base_Mensuelle!$DG$67:$DN$679,2,0)</f>
        <v>466211</v>
      </c>
      <c r="N74" s="182">
        <f>VLOOKUP($B74,Base_Mensuelle!$DG$68:$DO$679,9,0)</f>
        <v>8014900</v>
      </c>
      <c r="O74" s="93"/>
      <c r="P74" s="20"/>
      <c r="Q74" s="14">
        <f>INDEX(Base_Mensuelle!$BX$68:$CD$679,MAX(Base_Mensuelle!$PD$68:$PD$679)-A75,1)</f>
        <v>44228</v>
      </c>
      <c r="R74" s="733">
        <f>VLOOKUP($Q74,Base_Mensuelle!$OF$67:$RN$679,12,0)</f>
        <v>2041.9268066490004</v>
      </c>
      <c r="S74" s="570">
        <f>VLOOKUP($Q74,Base_Mensuelle!$OF$67:$RN$679,15,0)</f>
        <v>3252.0626526297851</v>
      </c>
      <c r="T74" s="570">
        <f>VLOOKUP($Q74,Base_Mensuelle!$OF$67:$RN$679,22,0)</f>
        <v>866.0751277060001</v>
      </c>
      <c r="U74" s="734">
        <f>VLOOKUP($Q74,Base_Mensuelle!$OF$67:$RN$679,16,0)</f>
        <v>161.99685409878546</v>
      </c>
      <c r="V74" s="733">
        <f>VLOOKUP($Q74,Base_Mensuelle!$OF$67:$RN$679,27,0)</f>
        <v>308.21380664899993</v>
      </c>
      <c r="W74" s="570">
        <f>VLOOKUP($Q74,Base_Mensuelle!$OF$67:$RN$679,31,0)</f>
        <v>4.677016037000044</v>
      </c>
      <c r="X74" s="570">
        <f>VLOOKUP($Q74,Base_Mensuelle!$OF$67:$RN$679,33,0)</f>
        <v>210.06323779899998</v>
      </c>
      <c r="Y74" s="570">
        <f>VLOOKUP($Q74,Base_Mensuelle!$OF$67:$RN$679,65,0)</f>
        <v>3082.9539999999997</v>
      </c>
      <c r="Z74" s="570">
        <f>VLOOKUP($Q74,Base_Mensuelle!$OF$67:$RN$679,39,0)</f>
        <v>1034.550898771</v>
      </c>
      <c r="AA74" s="734">
        <f>VLOOKUP($Q74,Base_Mensuelle!$OF$67:$RN$679,51,0)</f>
        <v>1.6917857700000001</v>
      </c>
      <c r="AB74" s="14">
        <f>INDEX(Base_Mensuelle!$BX$68:$CD$679,MAX(Base_Mensuelle!$FZ$68:$FZ$679)-A74,1)</f>
        <v>44197</v>
      </c>
      <c r="AC74" s="179">
        <f>VLOOKUP($AB74,Base_Mensuelle!$FL$67:$FY$679,2,0)</f>
        <v>104.33</v>
      </c>
      <c r="AD74" s="93"/>
      <c r="AE74" s="20">
        <f t="shared" si="2"/>
        <v>0.03</v>
      </c>
      <c r="AF74" s="220">
        <f>VLOOKUP($AB74,Base_Mensuelle!$GP$67:$HR$679,2,0)</f>
        <v>270</v>
      </c>
      <c r="AG74" s="99">
        <f>VLOOKUP($AB74,Base_Mensuelle!$GP$67:$HR$679,3,0)</f>
        <v>217</v>
      </c>
      <c r="AH74" s="99">
        <f>VLOOKUP($AB74,Base_Mensuelle!$GP$67:$HR$679,14,0)</f>
        <v>2068</v>
      </c>
      <c r="AI74" s="99">
        <f>VLOOKUP($AB74,Base_Mensuelle!$GA$67:$GO$679,5,0)</f>
        <v>94.02</v>
      </c>
      <c r="AJ74" s="99">
        <f>VLOOKUP($AB74,Base_Mensuelle!$GA$67:$GO$679,6,0)</f>
        <v>107.64</v>
      </c>
      <c r="AK74" s="99">
        <f>VLOOKUP($AB74,Base_Mensuelle!$GA$67:$GO$679,7,0)</f>
        <v>103.95</v>
      </c>
      <c r="AL74" s="99">
        <f>VLOOKUP($AB74,Base_Mensuelle!$GA$67:$GO$679,3,0)</f>
        <v>102.4</v>
      </c>
      <c r="AM74" s="132">
        <f>VLOOKUP($AB74,Base_Mensuelle!$GA$67:$GO$679,4,0)</f>
        <v>105.59</v>
      </c>
      <c r="AN74" s="179">
        <f>VLOOKUP($AB74,Base_Mensuelle!$HS$67:$JV$679,9,0)</f>
        <v>248.87484741210938</v>
      </c>
      <c r="AO74" s="99">
        <f>VLOOKUP($AB74,Base_Mensuelle!$HS$67:$JV$679,23,0)</f>
        <v>163.16754913330078</v>
      </c>
      <c r="AP74" s="99">
        <f>VLOOKUP($AB74,Base_Mensuelle!$HS$67:$JV$679,39,0)</f>
        <v>400</v>
      </c>
      <c r="AQ74" s="99">
        <f>VLOOKUP($AB74,Base_Mensuelle!$HS$67:$JV$679,10,0)</f>
        <v>220.66496276855469</v>
      </c>
      <c r="AR74" s="132">
        <f>VLOOKUP($AB74,Base_Mensuelle!$HS$67:$JV$679,11,0)</f>
        <v>131.57894897460938</v>
      </c>
      <c r="AS74" s="733">
        <f>VLOOKUP($B74,Base_Mensuelle!$JW$67:$KZ$679,3,0)</f>
        <v>337917</v>
      </c>
      <c r="AT74" s="734">
        <f>VLOOKUP($B74,Base_Mensuelle!$JW$67:$KZ$679,8,0)</f>
        <v>406250</v>
      </c>
      <c r="AU74" s="733">
        <f>VLOOKUP($B74,Base_Mensuelle!$JW$67:$KZ$679,11,0)</f>
        <v>51950</v>
      </c>
      <c r="AV74" s="734">
        <f>VLOOKUP($B74,Base_Mensuelle!$JW$67:$KZ$679,15,0)</f>
        <v>0</v>
      </c>
      <c r="AW74" s="733">
        <f>VLOOKUP($B74,Base_Mensuelle!$JW$67:$KZ$679,25,0)</f>
        <v>27792</v>
      </c>
      <c r="AX74" s="734">
        <f>VLOOKUP($B74,Base_Mensuelle!$JW$67:$KZ$679,29,0)</f>
        <v>0</v>
      </c>
    </row>
    <row r="75" spans="1:50">
      <c r="A75" s="175">
        <f t="shared" si="0"/>
        <v>34</v>
      </c>
      <c r="B75" s="14">
        <f>INDEX(Base_Mensuelle!$BX$68:$CD$679,MAX(Base_Mensuelle!$CD$68:$CD$679)-A76,1)</f>
        <v>44256</v>
      </c>
      <c r="C75" s="179">
        <f>VLOOKUP($B75,Base_Mensuelle!$BX$68:$CD$679,C$2,0)</f>
        <v>551.19949999999994</v>
      </c>
      <c r="D75" s="99">
        <f>VLOOKUP($B75,Base_Mensuelle!$BX$68:$CD$679,D$2,0)</f>
        <v>655.95699999999999</v>
      </c>
      <c r="E75" s="99">
        <f>VLOOKUP($B75,Base_Mensuelle!$BX$68:$CD$679,E$2,0)</f>
        <v>592.91600000000005</v>
      </c>
      <c r="F75" s="99">
        <f>VLOOKUP($B75,Base_Mensuelle!$BX$68:$CD$679,F$2,0)</f>
        <v>36.823103000000003</v>
      </c>
      <c r="G75" s="132">
        <f>VLOOKUP($B75,Base_Mensuelle!$BX$68:$CD$679,G$2,0)</f>
        <v>95.960318999999998</v>
      </c>
      <c r="H75" s="99">
        <f>VLOOKUP($B75,Base_Mensuelle!$CF$68:$CJ$679,H$2,0)</f>
        <v>2.0161249899999998</v>
      </c>
      <c r="I75" s="132">
        <f>VLOOKUP($B75,Base_Mensuelle!$CF$68:$CJ$679,I$2,0)</f>
        <v>1718.23</v>
      </c>
      <c r="J75" s="19">
        <f>VLOOKUP($B75,Base_Mensuelle!$CY$67:$DE$679,5,0)</f>
        <v>0</v>
      </c>
      <c r="K75" s="99">
        <f>VLOOKUP($B75,Base_Mensuelle!$CY$67:$DE$679,2,0)</f>
        <v>160.32455299999998</v>
      </c>
      <c r="L75" s="93"/>
      <c r="M75" s="182">
        <f>VLOOKUP($B75,Base_Mensuelle!$DG$67:$DN$679,2,0)</f>
        <v>469464</v>
      </c>
      <c r="N75" s="182">
        <f>VLOOKUP($B75,Base_Mensuelle!$DG$68:$DO$679,9,0)</f>
        <v>7930231</v>
      </c>
      <c r="O75" s="93"/>
      <c r="P75" s="20"/>
      <c r="Q75" s="14">
        <f>INDEX(Base_Mensuelle!$BX$68:$CD$679,MAX(Base_Mensuelle!$PD$68:$PD$679)-A76,1)</f>
        <v>44256</v>
      </c>
      <c r="R75" s="733">
        <f>VLOOKUP($Q75,Base_Mensuelle!$OF$67:$RN$679,12,0)</f>
        <v>2326.5949514840004</v>
      </c>
      <c r="S75" s="570">
        <f>VLOOKUP($Q75,Base_Mensuelle!$OF$67:$RN$679,15,0)</f>
        <v>3216.7188229919998</v>
      </c>
      <c r="T75" s="570">
        <f>VLOOKUP($Q75,Base_Mensuelle!$OF$67:$RN$679,22,0)</f>
        <v>863.43405237999991</v>
      </c>
      <c r="U75" s="734">
        <f>VLOOKUP($Q75,Base_Mensuelle!$OF$67:$RN$679,16,0)</f>
        <v>136.16543067900002</v>
      </c>
      <c r="V75" s="733">
        <f>VLOOKUP($Q75,Base_Mensuelle!$OF$67:$RN$679,27,0)</f>
        <v>539.54095148400006</v>
      </c>
      <c r="W75" s="570">
        <f>VLOOKUP($Q75,Base_Mensuelle!$OF$67:$RN$679,31,0)</f>
        <v>-169.31836698299995</v>
      </c>
      <c r="X75" s="570">
        <f>VLOOKUP($Q75,Base_Mensuelle!$OF$67:$RN$679,33,0)</f>
        <v>383.97527580499997</v>
      </c>
      <c r="Y75" s="570">
        <f>VLOOKUP($Q75,Base_Mensuelle!$OF$67:$RN$679,65,0)</f>
        <v>3073.4369999999999</v>
      </c>
      <c r="Z75" s="570">
        <f>VLOOKUP($Q75,Base_Mensuelle!$OF$67:$RN$679,39,0)</f>
        <v>1070.7016604299999</v>
      </c>
      <c r="AA75" s="734">
        <f>VLOOKUP($Q75,Base_Mensuelle!$OF$67:$RN$679,51,0)</f>
        <v>2.4274730849999999</v>
      </c>
      <c r="AB75" s="14">
        <f>INDEX(Base_Mensuelle!$BX$68:$CD$679,MAX(Base_Mensuelle!$FZ$68:$FZ$679)-A75,1)</f>
        <v>44228</v>
      </c>
      <c r="AC75" s="179">
        <f>VLOOKUP($AB75,Base_Mensuelle!$FL$67:$FY$679,2,0)</f>
        <v>103.89</v>
      </c>
      <c r="AD75" s="93"/>
      <c r="AE75" s="20">
        <f t="shared" si="2"/>
        <v>0.03</v>
      </c>
      <c r="AF75" s="220">
        <f>VLOOKUP($AB75,Base_Mensuelle!$GP$67:$HR$679,2,0)</f>
        <v>283</v>
      </c>
      <c r="AG75" s="99">
        <f>VLOOKUP($AB75,Base_Mensuelle!$GP$67:$HR$679,3,0)</f>
        <v>221</v>
      </c>
      <c r="AH75" s="99">
        <f>VLOOKUP($AB75,Base_Mensuelle!$GP$67:$HR$679,14,0)</f>
        <v>2755</v>
      </c>
      <c r="AI75" s="99">
        <f>VLOOKUP($AB75,Base_Mensuelle!$GA$67:$GO$679,5,0)</f>
        <v>94.86</v>
      </c>
      <c r="AJ75" s="99">
        <f>VLOOKUP($AB75,Base_Mensuelle!$GA$67:$GO$679,6,0)</f>
        <v>106.4</v>
      </c>
      <c r="AK75" s="99">
        <f>VLOOKUP($AB75,Base_Mensuelle!$GA$67:$GO$679,7,0)</f>
        <v>104.47</v>
      </c>
      <c r="AL75" s="99">
        <f>VLOOKUP($AB75,Base_Mensuelle!$GA$67:$GO$679,3,0)</f>
        <v>101.68</v>
      </c>
      <c r="AM75" s="132">
        <f>VLOOKUP($AB75,Base_Mensuelle!$GA$67:$GO$679,4,0)</f>
        <v>105.42</v>
      </c>
      <c r="AN75" s="179">
        <f>VLOOKUP($AB75,Base_Mensuelle!$HS$67:$JV$679,9,0)</f>
        <v>248.87484741210938</v>
      </c>
      <c r="AO75" s="99">
        <f>VLOOKUP($AB75,Base_Mensuelle!$HS$67:$JV$679,23,0)</f>
        <v>178.97847747802734</v>
      </c>
      <c r="AP75" s="99">
        <f>VLOOKUP($AB75,Base_Mensuelle!$HS$67:$JV$679,39,0)</f>
        <v>400</v>
      </c>
      <c r="AQ75" s="99">
        <f>VLOOKUP($AB75,Base_Mensuelle!$HS$67:$JV$679,10,0)</f>
        <v>225.80646133422852</v>
      </c>
      <c r="AR75" s="132">
        <f>VLOOKUP($AB75,Base_Mensuelle!$HS$67:$JV$679,11,0)</f>
        <v>144.73684692382813</v>
      </c>
      <c r="AS75" s="733">
        <f>VLOOKUP($B75,Base_Mensuelle!$JW$67:$KZ$679,3,0)</f>
        <v>360385</v>
      </c>
      <c r="AT75" s="734">
        <f>VLOOKUP($B75,Base_Mensuelle!$JW$67:$KZ$679,8,0)</f>
        <v>412692</v>
      </c>
      <c r="AU75" s="733">
        <f>VLOOKUP($B75,Base_Mensuelle!$JW$67:$KZ$679,11,0)</f>
        <v>52038</v>
      </c>
      <c r="AV75" s="734">
        <f>VLOOKUP($B75,Base_Mensuelle!$JW$67:$KZ$679,15,0)</f>
        <v>0</v>
      </c>
      <c r="AW75" s="733">
        <f>VLOOKUP($B75,Base_Mensuelle!$JW$67:$KZ$679,25,0)</f>
        <v>32769</v>
      </c>
      <c r="AX75" s="734">
        <f>VLOOKUP($B75,Base_Mensuelle!$JW$67:$KZ$679,29,0)</f>
        <v>0</v>
      </c>
    </row>
    <row r="76" spans="1:50">
      <c r="A76" s="175">
        <f t="shared" si="0"/>
        <v>33</v>
      </c>
      <c r="B76" s="14">
        <f>INDEX(Base_Mensuelle!$BX$68:$CD$679,MAX(Base_Mensuelle!$CD$68:$CD$679)-A77,1)</f>
        <v>44287</v>
      </c>
      <c r="C76" s="179">
        <f>VLOOKUP($B76,Base_Mensuelle!$BX$68:$CD$679,C$2,0)</f>
        <v>548.00160000000005</v>
      </c>
      <c r="D76" s="99">
        <f>VLOOKUP($B76,Base_Mensuelle!$BX$68:$CD$679,D$2,0)</f>
        <v>655.95699999999999</v>
      </c>
      <c r="E76" s="99">
        <f>VLOOKUP($B76,Base_Mensuelle!$BX$68:$CD$679,E$2,0)</f>
        <v>594.58929999999998</v>
      </c>
      <c r="F76" s="99">
        <f>VLOOKUP($B76,Base_Mensuelle!$BX$68:$CD$679,F$2,0)</f>
        <v>38.014927999999998</v>
      </c>
      <c r="G76" s="132">
        <f>VLOOKUP($B76,Base_Mensuelle!$BX$68:$CD$679,G$2,0)</f>
        <v>94.988721999999996</v>
      </c>
      <c r="H76" s="99">
        <f>VLOOKUP($B76,Base_Mensuelle!$CF$68:$CJ$679,H$2,0)</f>
        <v>2.0002517260000001</v>
      </c>
      <c r="I76" s="132">
        <f>VLOOKUP($B76,Base_Mensuelle!$CF$68:$CJ$679,I$2,0)</f>
        <v>1760.04</v>
      </c>
      <c r="J76" s="19">
        <f>VLOOKUP($B76,Base_Mensuelle!$CY$67:$DE$679,5,0)</f>
        <v>0</v>
      </c>
      <c r="K76" s="99">
        <f>VLOOKUP($B76,Base_Mensuelle!$CY$67:$DE$679,2,0)</f>
        <v>192.780136</v>
      </c>
      <c r="L76" s="93"/>
      <c r="M76" s="182">
        <f>VLOOKUP($B76,Base_Mensuelle!$DG$67:$DN$679,2,0)</f>
        <v>470866</v>
      </c>
      <c r="N76" s="182">
        <f>VLOOKUP($B76,Base_Mensuelle!$DG$68:$DO$679,9,0)</f>
        <v>8509401</v>
      </c>
      <c r="O76" s="93"/>
      <c r="P76" s="20"/>
      <c r="Q76" s="14">
        <f>INDEX(Base_Mensuelle!$BX$68:$CD$679,MAX(Base_Mensuelle!$PD$68:$PD$679)-A77,1)</f>
        <v>44287</v>
      </c>
      <c r="R76" s="733">
        <f>VLOOKUP($Q76,Base_Mensuelle!$OF$67:$RN$679,12,0)</f>
        <v>2391.8779095509999</v>
      </c>
      <c r="S76" s="570">
        <f>VLOOKUP($Q76,Base_Mensuelle!$OF$67:$RN$679,15,0)</f>
        <v>3174.552579141</v>
      </c>
      <c r="T76" s="570">
        <f>VLOOKUP($Q76,Base_Mensuelle!$OF$67:$RN$679,22,0)</f>
        <v>850.31781818199988</v>
      </c>
      <c r="U76" s="734">
        <f>VLOOKUP($Q76,Base_Mensuelle!$OF$67:$RN$679,16,0)</f>
        <v>101.73259242299986</v>
      </c>
      <c r="V76" s="733">
        <f>VLOOKUP($Q76,Base_Mensuelle!$OF$67:$RN$679,27,0)</f>
        <v>616.07190955100009</v>
      </c>
      <c r="W76" s="570">
        <f>VLOOKUP($Q76,Base_Mensuelle!$OF$67:$RN$679,31,0)</f>
        <v>-234.57520523900007</v>
      </c>
      <c r="X76" s="570">
        <f>VLOOKUP($Q76,Base_Mensuelle!$OF$67:$RN$679,33,0)</f>
        <v>441.69807183600005</v>
      </c>
      <c r="Y76" s="570">
        <f>VLOOKUP($Q76,Base_Mensuelle!$OF$67:$RN$679,65,0)</f>
        <v>3064.6550000000002</v>
      </c>
      <c r="Z76" s="570">
        <f>VLOOKUP($Q76,Base_Mensuelle!$OF$67:$RN$679,39,0)</f>
        <v>1017.1189289050001</v>
      </c>
      <c r="AA76" s="734">
        <f>VLOOKUP($Q76,Base_Mensuelle!$OF$67:$RN$679,51,0)</f>
        <v>3.0511894230000003</v>
      </c>
      <c r="AB76" s="14">
        <f>INDEX(Base_Mensuelle!$BX$68:$CD$679,MAX(Base_Mensuelle!$FZ$68:$FZ$679)-A76,1)</f>
        <v>44256</v>
      </c>
      <c r="AC76" s="179">
        <f>VLOOKUP($AB76,Base_Mensuelle!$FL$67:$FY$679,2,0)</f>
        <v>104.54</v>
      </c>
      <c r="AD76" s="93"/>
      <c r="AE76" s="20">
        <f t="shared" si="2"/>
        <v>0.03</v>
      </c>
      <c r="AF76" s="220">
        <f>VLOOKUP($AB76,Base_Mensuelle!$GP$67:$HR$679,2,0)</f>
        <v>292</v>
      </c>
      <c r="AG76" s="99">
        <f>VLOOKUP($AB76,Base_Mensuelle!$GP$67:$HR$679,3,0)</f>
        <v>238</v>
      </c>
      <c r="AH76" s="99">
        <f>VLOOKUP($AB76,Base_Mensuelle!$GP$67:$HR$679,14,0)</f>
        <v>2464</v>
      </c>
      <c r="AI76" s="99">
        <f>VLOOKUP($AB76,Base_Mensuelle!$GA$67:$GO$679,5,0)</f>
        <v>95.96</v>
      </c>
      <c r="AJ76" s="99">
        <f>VLOOKUP($AB76,Base_Mensuelle!$GA$67:$GO$679,6,0)</f>
        <v>108.32</v>
      </c>
      <c r="AK76" s="99">
        <f>VLOOKUP($AB76,Base_Mensuelle!$GA$67:$GO$679,7,0)</f>
        <v>104.49</v>
      </c>
      <c r="AL76" s="99">
        <f>VLOOKUP($AB76,Base_Mensuelle!$GA$67:$GO$679,3,0)</f>
        <v>101.69</v>
      </c>
      <c r="AM76" s="132">
        <f>VLOOKUP($AB76,Base_Mensuelle!$GA$67:$GO$679,4,0)</f>
        <v>106.26</v>
      </c>
      <c r="AN76" s="179">
        <f>VLOOKUP($AB76,Base_Mensuelle!$HS$67:$JV$679,9,0)</f>
        <v>242.83494758605957</v>
      </c>
      <c r="AO76" s="99">
        <f>VLOOKUP($AB76,Base_Mensuelle!$HS$67:$JV$679,23,0)</f>
        <v>165.33381462097168</v>
      </c>
      <c r="AP76" s="99">
        <f>VLOOKUP($AB76,Base_Mensuelle!$HS$67:$JV$679,39,0)</f>
        <v>400</v>
      </c>
      <c r="AQ76" s="99">
        <f>VLOOKUP($AB76,Base_Mensuelle!$HS$67:$JV$679,10,0)</f>
        <v>250.43637084960938</v>
      </c>
      <c r="AR76" s="132">
        <f>VLOOKUP($AB76,Base_Mensuelle!$HS$67:$JV$679,11,0)</f>
        <v>154.85829544067383</v>
      </c>
      <c r="AS76" s="733">
        <f>VLOOKUP($B76,Base_Mensuelle!$JW$67:$KZ$679,3,0)</f>
        <v>333929</v>
      </c>
      <c r="AT76" s="734">
        <f>VLOOKUP($B76,Base_Mensuelle!$JW$67:$KZ$679,8,0)</f>
        <v>418636</v>
      </c>
      <c r="AU76" s="733">
        <f>VLOOKUP($B76,Base_Mensuelle!$JW$67:$KZ$679,11,0)</f>
        <v>54192</v>
      </c>
      <c r="AV76" s="734">
        <f>VLOOKUP($B76,Base_Mensuelle!$JW$67:$KZ$679,15,0)</f>
        <v>0</v>
      </c>
      <c r="AW76" s="733">
        <f>VLOOKUP($B76,Base_Mensuelle!$JW$67:$KZ$679,25,0)</f>
        <v>31000</v>
      </c>
      <c r="AX76" s="734">
        <f>VLOOKUP($B76,Base_Mensuelle!$JW$67:$KZ$679,29,0)</f>
        <v>0</v>
      </c>
    </row>
    <row r="77" spans="1:50">
      <c r="A77" s="175">
        <f t="shared" si="0"/>
        <v>32</v>
      </c>
      <c r="B77" s="14">
        <f>INDEX(Base_Mensuelle!$BX$68:$CD$679,MAX(Base_Mensuelle!$CD$68:$CD$679)-A78,1)</f>
        <v>44317</v>
      </c>
      <c r="C77" s="179">
        <f>VLOOKUP($B77,Base_Mensuelle!$BX$68:$CD$679,C$2,0)</f>
        <v>539.96630000000005</v>
      </c>
      <c r="D77" s="99">
        <f>VLOOKUP($B77,Base_Mensuelle!$BX$68:$CD$679,D$2,0)</f>
        <v>655.95699999999999</v>
      </c>
      <c r="E77" s="99">
        <f>VLOOKUP($B77,Base_Mensuelle!$BX$68:$CD$679,E$2,0)</f>
        <v>598.31619999999998</v>
      </c>
      <c r="F77" s="99">
        <f>VLOOKUP($B77,Base_Mensuelle!$BX$68:$CD$679,F$2,0)</f>
        <v>38.453301000000003</v>
      </c>
      <c r="G77" s="132">
        <f>VLOOKUP($B77,Base_Mensuelle!$BX$68:$CD$679,G$2,0)</f>
        <v>93.514653999999993</v>
      </c>
      <c r="H77" s="99">
        <f>VLOOKUP($B77,Base_Mensuelle!$CF$68:$CJ$679,H$2,0)</f>
        <v>2.0037791180000002</v>
      </c>
      <c r="I77" s="132">
        <f>VLOOKUP($B77,Base_Mensuelle!$CF$68:$CJ$679,I$2,0)</f>
        <v>1850.26</v>
      </c>
      <c r="J77" s="19">
        <f>VLOOKUP($B77,Base_Mensuelle!$CY$67:$DE$679,5,0)</f>
        <v>0</v>
      </c>
      <c r="K77" s="99">
        <f>VLOOKUP($B77,Base_Mensuelle!$CY$67:$DE$679,2,0)</f>
        <v>189.72285200000002</v>
      </c>
      <c r="L77" s="93"/>
      <c r="M77" s="182">
        <f>VLOOKUP($B77,Base_Mensuelle!$DG$67:$DN$679,2,0)</f>
        <v>472633</v>
      </c>
      <c r="N77" s="182">
        <f>VLOOKUP($B77,Base_Mensuelle!$DG$68:$DO$679,9,0)</f>
        <v>7802016</v>
      </c>
      <c r="O77" s="93"/>
      <c r="P77" s="20"/>
      <c r="Q77" s="14">
        <f>INDEX(Base_Mensuelle!$BX$68:$CD$679,MAX(Base_Mensuelle!$PD$68:$PD$679)-A78,1)</f>
        <v>44317</v>
      </c>
      <c r="R77" s="733">
        <f>VLOOKUP($Q77,Base_Mensuelle!$OF$67:$RN$679,12,0)</f>
        <v>2418.3513485249996</v>
      </c>
      <c r="S77" s="570">
        <f>VLOOKUP($Q77,Base_Mensuelle!$OF$67:$RN$679,15,0)</f>
        <v>3083.1565170270001</v>
      </c>
      <c r="T77" s="570">
        <f>VLOOKUP($Q77,Base_Mensuelle!$OF$67:$RN$679,22,0)</f>
        <v>850.54875293099917</v>
      </c>
      <c r="U77" s="734">
        <f>VLOOKUP($Q77,Base_Mensuelle!$OF$67:$RN$679,16,0)</f>
        <v>-19.434005538000008</v>
      </c>
      <c r="V77" s="733">
        <f>VLOOKUP($Q77,Base_Mensuelle!$OF$67:$RN$679,27,0)</f>
        <v>655.1473485250001</v>
      </c>
      <c r="W77" s="570">
        <f>VLOOKUP($Q77,Base_Mensuelle!$OF$67:$RN$679,31,0)</f>
        <v>-370.52980319999995</v>
      </c>
      <c r="X77" s="570">
        <f>VLOOKUP($Q77,Base_Mensuelle!$OF$67:$RN$679,33,0)</f>
        <v>577.67048343299996</v>
      </c>
      <c r="Y77" s="570">
        <f>VLOOKUP($Q77,Base_Mensuelle!$OF$67:$RN$679,65,0)</f>
        <v>3094.4629999999997</v>
      </c>
      <c r="Z77" s="570">
        <f>VLOOKUP($Q77,Base_Mensuelle!$OF$67:$RN$679,39,0)</f>
        <v>1028.5216442579999</v>
      </c>
      <c r="AA77" s="734">
        <f>VLOOKUP($Q77,Base_Mensuelle!$OF$67:$RN$679,51,0)</f>
        <v>3.3491906220000001</v>
      </c>
      <c r="AB77" s="14">
        <f>INDEX(Base_Mensuelle!$BX$68:$CD$679,MAX(Base_Mensuelle!$FZ$68:$FZ$679)-A77,1)</f>
        <v>44287</v>
      </c>
      <c r="AC77" s="179">
        <f>VLOOKUP($AB77,Base_Mensuelle!$FL$67:$FY$679,2,0)</f>
        <v>106.17</v>
      </c>
      <c r="AD77" s="93"/>
      <c r="AE77" s="20">
        <f t="shared" si="2"/>
        <v>0.03</v>
      </c>
      <c r="AF77" s="220">
        <f>VLOOKUP($AB77,Base_Mensuelle!$GP$67:$HR$679,2,0)</f>
        <v>282</v>
      </c>
      <c r="AG77" s="99">
        <f>VLOOKUP($AB77,Base_Mensuelle!$GP$67:$HR$679,3,0)</f>
        <v>230</v>
      </c>
      <c r="AH77" s="99">
        <f>VLOOKUP($AB77,Base_Mensuelle!$GP$67:$HR$679,14,0)</f>
        <v>2435</v>
      </c>
      <c r="AI77" s="99">
        <f>VLOOKUP($AB77,Base_Mensuelle!$GA$67:$GO$679,5,0)</f>
        <v>95.96</v>
      </c>
      <c r="AJ77" s="99">
        <f>VLOOKUP($AB77,Base_Mensuelle!$GA$67:$GO$679,6,0)</f>
        <v>113.86</v>
      </c>
      <c r="AK77" s="99">
        <f>VLOOKUP($AB77,Base_Mensuelle!$GA$67:$GO$679,7,0)</f>
        <v>104.65</v>
      </c>
      <c r="AL77" s="99">
        <f>VLOOKUP($AB77,Base_Mensuelle!$GA$67:$GO$679,3,0)</f>
        <v>102.37</v>
      </c>
      <c r="AM77" s="132">
        <f>VLOOKUP($AB77,Base_Mensuelle!$GA$67:$GO$679,4,0)</f>
        <v>108.35</v>
      </c>
      <c r="AN77" s="179">
        <f>VLOOKUP($AB77,Base_Mensuelle!$HS$67:$JV$679,9,0)</f>
        <v>242.22159767150879</v>
      </c>
      <c r="AO77" s="99">
        <f>VLOOKUP($AB77,Base_Mensuelle!$HS$67:$JV$679,23,0)</f>
        <v>192.0901985168457</v>
      </c>
      <c r="AP77" s="99">
        <f>VLOOKUP($AB77,Base_Mensuelle!$HS$67:$JV$679,39,0)</f>
        <v>0</v>
      </c>
      <c r="AQ77" s="99">
        <f>VLOOKUP($AB77,Base_Mensuelle!$HS$67:$JV$679,10,0)</f>
        <v>267.85714721679688</v>
      </c>
      <c r="AR77" s="132">
        <f>VLOOKUP($AB77,Base_Mensuelle!$HS$67:$JV$679,11,0)</f>
        <v>166.66666030883789</v>
      </c>
      <c r="AS77" s="733">
        <f>VLOOKUP($B77,Base_Mensuelle!$JW$67:$KZ$679,3,0)</f>
        <v>366250</v>
      </c>
      <c r="AT77" s="734">
        <f>VLOOKUP($B77,Base_Mensuelle!$JW$67:$KZ$679,8,0)</f>
        <v>421818</v>
      </c>
      <c r="AU77" s="733">
        <f>VLOOKUP($B77,Base_Mensuelle!$JW$67:$KZ$679,11,0)</f>
        <v>55667</v>
      </c>
      <c r="AV77" s="734">
        <f>VLOOKUP($B77,Base_Mensuelle!$JW$67:$KZ$679,15,0)</f>
        <v>0</v>
      </c>
      <c r="AW77" s="733">
        <f>VLOOKUP($B77,Base_Mensuelle!$JW$67:$KZ$679,25,0)</f>
        <v>29417</v>
      </c>
      <c r="AX77" s="734">
        <f>VLOOKUP($B77,Base_Mensuelle!$JW$67:$KZ$679,29,0)</f>
        <v>0</v>
      </c>
    </row>
    <row r="78" spans="1:50">
      <c r="A78" s="175">
        <f t="shared" si="0"/>
        <v>31</v>
      </c>
      <c r="B78" s="14">
        <f>INDEX(Base_Mensuelle!$BX$68:$CD$679,MAX(Base_Mensuelle!$CD$68:$CD$679)-A79,1)</f>
        <v>44348</v>
      </c>
      <c r="C78" s="179">
        <f>VLOOKUP($B78,Base_Mensuelle!$BX$68:$CD$679,C$2,0)</f>
        <v>544.90890000000002</v>
      </c>
      <c r="D78" s="99">
        <f>VLOOKUP($B78,Base_Mensuelle!$BX$68:$CD$679,D$2,0)</f>
        <v>655.95699999999999</v>
      </c>
      <c r="E78" s="99">
        <f>VLOOKUP($B78,Base_Mensuelle!$BX$68:$CD$679,E$2,0)</f>
        <v>599.93340000000001</v>
      </c>
      <c r="F78" s="99">
        <f>VLOOKUP($B78,Base_Mensuelle!$BX$68:$CD$679,F$2,0)</f>
        <v>39.116720000000001</v>
      </c>
      <c r="G78" s="132">
        <f>VLOOKUP($B78,Base_Mensuelle!$BX$68:$CD$679,G$2,0)</f>
        <v>93.541899000000001</v>
      </c>
      <c r="H78" s="99">
        <f>VLOOKUP($B78,Base_Mensuelle!$CF$68:$CJ$679,H$2,0)</f>
        <v>2.0833659</v>
      </c>
      <c r="I78" s="132">
        <f>VLOOKUP($B78,Base_Mensuelle!$CF$68:$CJ$679,I$2,0)</f>
        <v>1834.57</v>
      </c>
      <c r="J78" s="19">
        <f>VLOOKUP($B78,Base_Mensuelle!$CY$67:$DE$679,5,0)</f>
        <v>0</v>
      </c>
      <c r="K78" s="99">
        <f>VLOOKUP($B78,Base_Mensuelle!$CY$67:$DE$679,2,0)</f>
        <v>180.06336799999997</v>
      </c>
      <c r="L78" s="93"/>
      <c r="M78" s="182">
        <f>VLOOKUP($B78,Base_Mensuelle!$DG$67:$DN$679,2,0)</f>
        <v>477559</v>
      </c>
      <c r="N78" s="182">
        <f>VLOOKUP($B78,Base_Mensuelle!$DG$68:$DO$679,9,0)</f>
        <v>7480628</v>
      </c>
      <c r="O78" s="93"/>
      <c r="P78" s="20"/>
      <c r="Q78" s="14">
        <f>INDEX(Base_Mensuelle!$BX$68:$CD$679,MAX(Base_Mensuelle!$PD$68:$PD$679)-A79,1)</f>
        <v>44348</v>
      </c>
      <c r="R78" s="733">
        <f>VLOOKUP($Q78,Base_Mensuelle!$OF$67:$RN$679,12,0)</f>
        <v>2512.4441445041293</v>
      </c>
      <c r="S78" s="570">
        <f>VLOOKUP($Q78,Base_Mensuelle!$OF$67:$RN$679,15,0)</f>
        <v>3200.42611493</v>
      </c>
      <c r="T78" s="570">
        <f>VLOOKUP($Q78,Base_Mensuelle!$OF$67:$RN$679,22,0)</f>
        <v>875.24170235899987</v>
      </c>
      <c r="U78" s="734">
        <f>VLOOKUP($Q78,Base_Mensuelle!$OF$67:$RN$679,16,0)</f>
        <v>-23.426340929999981</v>
      </c>
      <c r="V78" s="733">
        <f>VLOOKUP($Q78,Base_Mensuelle!$OF$67:$RN$679,27,0)</f>
        <v>600.90114450412875</v>
      </c>
      <c r="W78" s="570">
        <f>VLOOKUP($Q78,Base_Mensuelle!$OF$67:$RN$679,31,0)</f>
        <v>-315.44013859200004</v>
      </c>
      <c r="X78" s="570">
        <f>VLOOKUP($Q78,Base_Mensuelle!$OF$67:$RN$679,33,0)</f>
        <v>522.51433905800002</v>
      </c>
      <c r="Y78" s="570">
        <f>VLOOKUP($Q78,Base_Mensuelle!$OF$67:$RN$679,65,0)</f>
        <v>3215.9340000000002</v>
      </c>
      <c r="Z78" s="570">
        <f>VLOOKUP($Q78,Base_Mensuelle!$OF$67:$RN$679,39,0)</f>
        <v>1012.5797583531289</v>
      </c>
      <c r="AA78" s="734">
        <f>VLOOKUP($Q78,Base_Mensuelle!$OF$67:$RN$679,51,0)</f>
        <v>4.0387417150000005</v>
      </c>
      <c r="AB78" s="14">
        <f>INDEX(Base_Mensuelle!$BX$68:$CD$679,MAX(Base_Mensuelle!$FZ$68:$FZ$679)-A78,1)</f>
        <v>44317</v>
      </c>
      <c r="AC78" s="179">
        <f>VLOOKUP($AB78,Base_Mensuelle!$FL$67:$FY$679,2,0)</f>
        <v>107.95</v>
      </c>
      <c r="AD78" s="93"/>
      <c r="AE78" s="20">
        <f t="shared" si="2"/>
        <v>0.03</v>
      </c>
      <c r="AF78" s="220">
        <f>VLOOKUP($AB78,Base_Mensuelle!$GP$67:$HR$679,2,0)</f>
        <v>289</v>
      </c>
      <c r="AG78" s="99">
        <f>VLOOKUP($AB78,Base_Mensuelle!$GP$67:$HR$679,3,0)</f>
        <v>245</v>
      </c>
      <c r="AH78" s="99">
        <f>VLOOKUP($AB78,Base_Mensuelle!$GP$67:$HR$679,14,0)</f>
        <v>2320</v>
      </c>
      <c r="AI78" s="99">
        <f>VLOOKUP($AB78,Base_Mensuelle!$GA$67:$GO$679,5,0)</f>
        <v>96.31</v>
      </c>
      <c r="AJ78" s="99">
        <f>VLOOKUP($AB78,Base_Mensuelle!$GA$67:$GO$679,6,0)</f>
        <v>118.18</v>
      </c>
      <c r="AK78" s="99">
        <f>VLOOKUP($AB78,Base_Mensuelle!$GA$67:$GO$679,7,0)</f>
        <v>105.55</v>
      </c>
      <c r="AL78" s="99">
        <f>VLOOKUP($AB78,Base_Mensuelle!$GA$67:$GO$679,3,0)</f>
        <v>102.19</v>
      </c>
      <c r="AM78" s="132">
        <f>VLOOKUP($AB78,Base_Mensuelle!$GA$67:$GO$679,4,0)</f>
        <v>111.08</v>
      </c>
      <c r="AN78" s="179">
        <f>VLOOKUP($AB78,Base_Mensuelle!$HS$67:$JV$679,9,0)</f>
        <v>242.49131774902344</v>
      </c>
      <c r="AO78" s="99">
        <f>VLOOKUP($AB78,Base_Mensuelle!$HS$67:$JV$679,23,0)</f>
        <v>225.64763946533202</v>
      </c>
      <c r="AP78" s="99">
        <f>VLOOKUP($AB78,Base_Mensuelle!$HS$67:$JV$679,39,0)</f>
        <v>400</v>
      </c>
      <c r="AQ78" s="99">
        <f>VLOOKUP($AB78,Base_Mensuelle!$HS$67:$JV$679,10,0)</f>
        <v>292.4342041015625</v>
      </c>
      <c r="AR78" s="132">
        <f>VLOOKUP($AB78,Base_Mensuelle!$HS$67:$JV$679,11,0)</f>
        <v>159.16666259765626</v>
      </c>
      <c r="AS78" s="733">
        <f>VLOOKUP($B78,Base_Mensuelle!$JW$67:$KZ$679,3,0)</f>
        <v>370833</v>
      </c>
      <c r="AT78" s="734">
        <f>VLOOKUP($B78,Base_Mensuelle!$JW$67:$KZ$679,8,0)</f>
        <v>437857</v>
      </c>
      <c r="AU78" s="733">
        <f>VLOOKUP($B78,Base_Mensuelle!$JW$67:$KZ$679,11,0)</f>
        <v>51500</v>
      </c>
      <c r="AV78" s="734">
        <f>VLOOKUP($B78,Base_Mensuelle!$JW$67:$KZ$679,15,0)</f>
        <v>0</v>
      </c>
      <c r="AW78" s="733">
        <f>VLOOKUP($B78,Base_Mensuelle!$JW$67:$KZ$679,25,0)</f>
        <v>29500</v>
      </c>
      <c r="AX78" s="734">
        <f>VLOOKUP($B78,Base_Mensuelle!$JW$67:$KZ$679,29,0)</f>
        <v>0</v>
      </c>
    </row>
    <row r="79" spans="1:50">
      <c r="A79" s="175">
        <f t="shared" si="0"/>
        <v>30</v>
      </c>
      <c r="B79" s="14">
        <f>INDEX(Base_Mensuelle!$BX$68:$CD$679,MAX(Base_Mensuelle!$CD$68:$CD$679)-A80,1)</f>
        <v>44378</v>
      </c>
      <c r="C79" s="179">
        <f>VLOOKUP($B79,Base_Mensuelle!$BX$68:$CD$679,C$2,0)</f>
        <v>554.9171</v>
      </c>
      <c r="D79" s="99">
        <f>VLOOKUP($B79,Base_Mensuelle!$BX$68:$CD$679,D$2,0)</f>
        <v>655.95699999999999</v>
      </c>
      <c r="E79" s="99">
        <f>VLOOKUP($B79,Base_Mensuelle!$BX$68:$CD$679,E$2,0)</f>
        <v>604.92409999999995</v>
      </c>
      <c r="F79" s="99">
        <f>VLOOKUP($B79,Base_Mensuelle!$BX$68:$CD$679,F$2,0)</f>
        <v>38.200197000000003</v>
      </c>
      <c r="G79" s="132">
        <f>VLOOKUP($B79,Base_Mensuelle!$BX$68:$CD$679,G$2,0)</f>
        <v>93.462480999999997</v>
      </c>
      <c r="H79" s="99">
        <f>VLOOKUP($B79,Base_Mensuelle!$CF$68:$CJ$679,H$2,0)</f>
        <v>2.1539137400000001</v>
      </c>
      <c r="I79" s="132">
        <f>VLOOKUP($B79,Base_Mensuelle!$CF$68:$CJ$679,I$2,0)</f>
        <v>1807.84</v>
      </c>
      <c r="J79" s="19">
        <f>VLOOKUP($B79,Base_Mensuelle!$CY$67:$DE$679,5,0)</f>
        <v>0</v>
      </c>
      <c r="K79" s="99">
        <f>VLOOKUP($B79,Base_Mensuelle!$CY$67:$DE$679,2,0)</f>
        <v>174.309078</v>
      </c>
      <c r="L79" s="93"/>
      <c r="M79" s="182">
        <f>VLOOKUP($B79,Base_Mensuelle!$DG$67:$DN$679,2,0)</f>
        <v>480943.72880326788</v>
      </c>
      <c r="N79" s="182">
        <f>VLOOKUP($B79,Base_Mensuelle!$DG$68:$DO$679,9,0)</f>
        <v>7029196.2363371337</v>
      </c>
      <c r="O79" s="93"/>
      <c r="P79" s="20"/>
      <c r="Q79" s="14">
        <f>INDEX(Base_Mensuelle!$BX$68:$CD$679,MAX(Base_Mensuelle!$PD$68:$PD$679)-A80,1)</f>
        <v>44378</v>
      </c>
      <c r="R79" s="733">
        <f>VLOOKUP($Q79,Base_Mensuelle!$OF$67:$RN$679,12,0)</f>
        <v>2553.5460892639999</v>
      </c>
      <c r="S79" s="570">
        <f>VLOOKUP($Q79,Base_Mensuelle!$OF$67:$RN$679,15,0)</f>
        <v>3172.24010567</v>
      </c>
      <c r="T79" s="570">
        <f>VLOOKUP($Q79,Base_Mensuelle!$OF$67:$RN$679,22,0)</f>
        <v>950.14307247199986</v>
      </c>
      <c r="U79" s="734">
        <f>VLOOKUP($Q79,Base_Mensuelle!$OF$67:$RN$679,16,0)</f>
        <v>-154.40305045099996</v>
      </c>
      <c r="V79" s="733">
        <f>VLOOKUP($Q79,Base_Mensuelle!$OF$67:$RN$679,27,0)</f>
        <v>726.65408926399982</v>
      </c>
      <c r="W79" s="570">
        <f>VLOOKUP($Q79,Base_Mensuelle!$OF$67:$RN$679,31,0)</f>
        <v>-411.28884811299997</v>
      </c>
      <c r="X79" s="570">
        <f>VLOOKUP($Q79,Base_Mensuelle!$OF$67:$RN$679,33,0)</f>
        <v>618.37577584600001</v>
      </c>
      <c r="Y79" s="570">
        <f>VLOOKUP($Q79,Base_Mensuelle!$OF$67:$RN$679,65,0)</f>
        <v>3319.0340000000001</v>
      </c>
      <c r="Z79" s="570">
        <f>VLOOKUP($Q79,Base_Mensuelle!$OF$67:$RN$679,39,0)</f>
        <v>1058.7497779329999</v>
      </c>
      <c r="AA79" s="734">
        <f>VLOOKUP($Q79,Base_Mensuelle!$OF$67:$RN$679,51,0)</f>
        <v>4.1835597739999999</v>
      </c>
      <c r="AB79" s="14">
        <f>INDEX(Base_Mensuelle!$BX$68:$CD$679,MAX(Base_Mensuelle!$FZ$68:$FZ$679)-A79,1)</f>
        <v>44348</v>
      </c>
      <c r="AC79" s="179">
        <f>VLOOKUP($AB79,Base_Mensuelle!$FL$67:$FY$679,2,0)</f>
        <v>107.81</v>
      </c>
      <c r="AD79" s="568"/>
      <c r="AE79" s="20">
        <f t="shared" si="2"/>
        <v>0.03</v>
      </c>
      <c r="AF79" s="220">
        <f>VLOOKUP($AB79,Base_Mensuelle!$GP$67:$HR$679,2,0)</f>
        <v>296</v>
      </c>
      <c r="AG79" s="99">
        <f>VLOOKUP($AB79,Base_Mensuelle!$GP$67:$HR$679,3,0)</f>
        <v>238</v>
      </c>
      <c r="AH79" s="99">
        <f>VLOOKUP($AB79,Base_Mensuelle!$GP$67:$HR$679,14,0)</f>
        <v>2410</v>
      </c>
      <c r="AI79" s="99">
        <f>VLOOKUP($AB79,Base_Mensuelle!$GA$67:$GO$679,5,0)</f>
        <v>96.22</v>
      </c>
      <c r="AJ79" s="99">
        <f>VLOOKUP($AB79,Base_Mensuelle!$GA$67:$GO$679,6,0)</f>
        <v>118.53</v>
      </c>
      <c r="AK79" s="99">
        <f>VLOOKUP($AB79,Base_Mensuelle!$GA$67:$GO$679,7,0)</f>
        <v>105.55</v>
      </c>
      <c r="AL79" s="99">
        <f>VLOOKUP($AB79,Base_Mensuelle!$GA$67:$GO$679,3,0)</f>
        <v>102.02</v>
      </c>
      <c r="AM79" s="132">
        <f>VLOOKUP($AB79,Base_Mensuelle!$GA$67:$GO$679,4,0)</f>
        <v>111.11</v>
      </c>
      <c r="AN79" s="179">
        <f>VLOOKUP($AB79,Base_Mensuelle!$HS$67:$JV$679,9,0)</f>
        <v>247.27234268188477</v>
      </c>
      <c r="AO79" s="99">
        <f>VLOOKUP($AB79,Base_Mensuelle!$HS$67:$JV$679,23,0)</f>
        <v>231.13358306884766</v>
      </c>
      <c r="AP79" s="99">
        <f>VLOOKUP($AB79,Base_Mensuelle!$HS$67:$JV$679,39,0)</f>
        <v>400</v>
      </c>
      <c r="AQ79" s="99">
        <f>VLOOKUP($AB79,Base_Mensuelle!$HS$67:$JV$679,10,0)</f>
        <v>314.97974853515626</v>
      </c>
      <c r="AR79" s="132">
        <f>VLOOKUP($AB79,Base_Mensuelle!$HS$67:$JV$679,11,0)</f>
        <v>156.25</v>
      </c>
      <c r="AS79" s="733">
        <f>VLOOKUP($B79,Base_Mensuelle!$JW$67:$KZ$679,3,0)</f>
        <v>376786</v>
      </c>
      <c r="AT79" s="734">
        <f>VLOOKUP($B79,Base_Mensuelle!$JW$67:$KZ$679,8,0)</f>
        <v>548846</v>
      </c>
      <c r="AU79" s="733">
        <f>VLOOKUP($B79,Base_Mensuelle!$JW$67:$KZ$679,11,0)</f>
        <v>54321</v>
      </c>
      <c r="AV79" s="734">
        <f>VLOOKUP($B79,Base_Mensuelle!$JW$67:$KZ$679,15,0)</f>
        <v>0</v>
      </c>
      <c r="AW79" s="733">
        <f>VLOOKUP($B79,Base_Mensuelle!$JW$67:$KZ$679,25,0)</f>
        <v>28607</v>
      </c>
      <c r="AX79" s="734">
        <f>VLOOKUP($B79,Base_Mensuelle!$JW$67:$KZ$679,29,0)</f>
        <v>0</v>
      </c>
    </row>
    <row r="80" spans="1:50">
      <c r="A80" s="175">
        <f t="shared" si="0"/>
        <v>29</v>
      </c>
      <c r="B80" s="14">
        <f>INDEX(Base_Mensuelle!$BX$68:$CD$679,MAX(Base_Mensuelle!$CD$68:$CD$679)-A81,1)</f>
        <v>44409</v>
      </c>
      <c r="C80" s="179">
        <f>VLOOKUP($B80,Base_Mensuelle!$BX$68:$CD$679,C$2,0)</f>
        <v>557.40319999999997</v>
      </c>
      <c r="D80" s="99">
        <f>VLOOKUP($B80,Base_Mensuelle!$BX$68:$CD$679,D$2,0)</f>
        <v>655.95699999999999</v>
      </c>
      <c r="E80" s="99">
        <f>VLOOKUP($B80,Base_Mensuelle!$BX$68:$CD$679,E$2,0)</f>
        <v>609.52919999999995</v>
      </c>
      <c r="F80" s="99">
        <f>VLOOKUP($B80,Base_Mensuelle!$BX$68:$CD$679,F$2,0)</f>
        <v>37.72484</v>
      </c>
      <c r="G80" s="132">
        <f>VLOOKUP($B80,Base_Mensuelle!$BX$68:$CD$679,G$2,0)</f>
        <v>92.628103999999993</v>
      </c>
      <c r="H80" s="99">
        <f>VLOOKUP($B80,Base_Mensuelle!$CF$68:$CJ$679,H$2,0)</f>
        <v>2.2332800599999998</v>
      </c>
      <c r="I80" s="132">
        <f>VLOOKUP($B80,Base_Mensuelle!$CF$68:$CJ$679,I$2,0)</f>
        <v>1785.28</v>
      </c>
      <c r="J80" s="19">
        <f>VLOOKUP($B80,Base_Mensuelle!$CY$67:$DE$679,5,0)</f>
        <v>0</v>
      </c>
      <c r="K80" s="99">
        <f>VLOOKUP($B80,Base_Mensuelle!$CY$67:$DE$679,2,0)</f>
        <v>162.20991100000003</v>
      </c>
      <c r="L80" s="93"/>
      <c r="M80" s="182">
        <f>VLOOKUP($B80,Base_Mensuelle!$DG$67:$DN$679,2,0)</f>
        <v>485154.39707387536</v>
      </c>
      <c r="N80" s="182">
        <f>VLOOKUP($B80,Base_Mensuelle!$DG$68:$DO$679,9,0)</f>
        <v>6693798.6147743994</v>
      </c>
      <c r="O80" s="93"/>
      <c r="P80" s="20"/>
      <c r="Q80" s="14">
        <f>INDEX(Base_Mensuelle!$BX$68:$CD$679,MAX(Base_Mensuelle!$PD$68:$PD$679)-A81,1)</f>
        <v>44409</v>
      </c>
      <c r="R80" s="733">
        <f>VLOOKUP($Q80,Base_Mensuelle!$OF$67:$RN$679,12,0)</f>
        <v>2433.4643404187309</v>
      </c>
      <c r="S80" s="570">
        <f>VLOOKUP($Q80,Base_Mensuelle!$OF$67:$RN$679,15,0)</f>
        <v>3122.7952985309998</v>
      </c>
      <c r="T80" s="570">
        <f>VLOOKUP($Q80,Base_Mensuelle!$OF$67:$RN$679,22,0)</f>
        <v>897.23728851800001</v>
      </c>
      <c r="U80" s="734">
        <f>VLOOKUP($Q80,Base_Mensuelle!$OF$67:$RN$679,16,0)</f>
        <v>-35.38508922900013</v>
      </c>
      <c r="V80" s="733">
        <f>VLOOKUP($Q80,Base_Mensuelle!$OF$67:$RN$679,27,0)</f>
        <v>583.41934041873048</v>
      </c>
      <c r="W80" s="570">
        <f>VLOOKUP($Q80,Base_Mensuelle!$OF$67:$RN$679,31,0)</f>
        <v>-294.853886891</v>
      </c>
      <c r="X80" s="570">
        <f>VLOOKUP($Q80,Base_Mensuelle!$OF$67:$RN$679,33,0)</f>
        <v>501.95557551400003</v>
      </c>
      <c r="Y80" s="570">
        <f>VLOOKUP($Q80,Base_Mensuelle!$OF$67:$RN$679,65,0)</f>
        <v>3150.2839999999997</v>
      </c>
      <c r="Z80" s="570">
        <f>VLOOKUP($Q80,Base_Mensuelle!$OF$67:$RN$679,39,0)</f>
        <v>1054.7933421307305</v>
      </c>
      <c r="AA80" s="734">
        <f>VLOOKUP($Q80,Base_Mensuelle!$OF$67:$RN$679,51,0)</f>
        <v>5.4628954940000005</v>
      </c>
      <c r="AB80" s="14">
        <f>INDEX(Base_Mensuelle!$BX$68:$CD$679,MAX(Base_Mensuelle!$FZ$68:$FZ$679)-A80,1)</f>
        <v>44378</v>
      </c>
      <c r="AC80" s="179">
        <f>VLOOKUP($AB80,Base_Mensuelle!$FL$67:$FY$679,2,0)</f>
        <v>108.37</v>
      </c>
      <c r="AD80" s="568"/>
      <c r="AE80" s="20">
        <f t="shared" si="2"/>
        <v>0.03</v>
      </c>
      <c r="AF80" s="220">
        <f>VLOOKUP($AB80,Base_Mensuelle!$GP$67:$HR$679,2,0)</f>
        <v>289</v>
      </c>
      <c r="AG80" s="99">
        <f>VLOOKUP($AB80,Base_Mensuelle!$GP$67:$HR$679,3,0)</f>
        <v>242</v>
      </c>
      <c r="AH80" s="99">
        <f>VLOOKUP($AB80,Base_Mensuelle!$GP$67:$HR$679,14,0)</f>
        <v>2578</v>
      </c>
      <c r="AI80" s="99">
        <f>VLOOKUP($AB80,Base_Mensuelle!$GA$67:$GO$679,5,0)</f>
        <v>93.94</v>
      </c>
      <c r="AJ80" s="99">
        <f>VLOOKUP($AB80,Base_Mensuelle!$GA$67:$GO$679,6,0)</f>
        <v>120.69</v>
      </c>
      <c r="AK80" s="99">
        <f>VLOOKUP($AB80,Base_Mensuelle!$GA$67:$GO$679,7,0)</f>
        <v>105.37</v>
      </c>
      <c r="AL80" s="99">
        <f>VLOOKUP($AB80,Base_Mensuelle!$GA$67:$GO$679,3,0)</f>
        <v>103.36</v>
      </c>
      <c r="AM80" s="132">
        <f>VLOOKUP($AB80,Base_Mensuelle!$GA$67:$GO$679,4,0)</f>
        <v>111.26</v>
      </c>
      <c r="AN80" s="179">
        <f>VLOOKUP($AB80,Base_Mensuelle!$HS$67:$JV$679,9,0)</f>
        <v>248.08685493469238</v>
      </c>
      <c r="AO80" s="99">
        <f>VLOOKUP($AB80,Base_Mensuelle!$HS$67:$JV$679,23,0)</f>
        <v>230.07695579528809</v>
      </c>
      <c r="AP80" s="99">
        <f>VLOOKUP($AB80,Base_Mensuelle!$HS$67:$JV$679,39,0)</f>
        <v>400</v>
      </c>
      <c r="AQ80" s="99">
        <f>VLOOKUP($AB80,Base_Mensuelle!$HS$67:$JV$679,10,0)</f>
        <v>316.00881958007813</v>
      </c>
      <c r="AR80" s="132">
        <f>VLOOKUP($AB80,Base_Mensuelle!$HS$67:$JV$679,11,0)</f>
        <v>157.14285659790039</v>
      </c>
      <c r="AS80" s="733">
        <f>VLOOKUP($B80,Base_Mensuelle!$JW$67:$KZ$679,3,0)</f>
        <v>386154</v>
      </c>
      <c r="AT80" s="734">
        <f>VLOOKUP($B80,Base_Mensuelle!$JW$67:$KZ$679,8,0)</f>
        <v>468333</v>
      </c>
      <c r="AU80" s="733">
        <f>VLOOKUP($B80,Base_Mensuelle!$JW$67:$KZ$679,11,0)</f>
        <v>53500</v>
      </c>
      <c r="AV80" s="734">
        <f>VLOOKUP($B80,Base_Mensuelle!$JW$67:$KZ$679,15,0)</f>
        <v>0</v>
      </c>
      <c r="AW80" s="733">
        <f>VLOOKUP($B80,Base_Mensuelle!$JW$67:$KZ$679,25,0)</f>
        <v>30500</v>
      </c>
      <c r="AX80" s="734">
        <f>VLOOKUP($B80,Base_Mensuelle!$JW$67:$KZ$679,29,0)</f>
        <v>0</v>
      </c>
    </row>
    <row r="81" spans="1:50">
      <c r="A81" s="175">
        <f t="shared" si="0"/>
        <v>28</v>
      </c>
      <c r="B81" s="14">
        <f>INDEX(Base_Mensuelle!$BX$68:$CD$679,MAX(Base_Mensuelle!$CD$68:$CD$679)-A82,1)</f>
        <v>44440</v>
      </c>
      <c r="C81" s="179">
        <f>VLOOKUP($B81,Base_Mensuelle!$BX$68:$CD$679,C$2,0)</f>
        <v>557.553</v>
      </c>
      <c r="D81" s="99">
        <f>VLOOKUP($B81,Base_Mensuelle!$BX$68:$CD$679,D$2,0)</f>
        <v>655.95699999999999</v>
      </c>
      <c r="E81" s="99">
        <f>VLOOKUP($B81,Base_Mensuelle!$BX$68:$CD$679,E$2,0)</f>
        <v>604.18610000000001</v>
      </c>
      <c r="F81" s="99">
        <f>VLOOKUP($B81,Base_Mensuelle!$BX$68:$CD$679,F$2,0)</f>
        <v>38.226526999999997</v>
      </c>
      <c r="G81" s="132">
        <f>VLOOKUP($B81,Base_Mensuelle!$BX$68:$CD$679,G$2,0)</f>
        <v>92.361744999999999</v>
      </c>
      <c r="H81" s="99">
        <f>VLOOKUP($B81,Base_Mensuelle!$CF$68:$CJ$679,H$2,0)</f>
        <v>2.2857500160000002</v>
      </c>
      <c r="I81" s="132">
        <f>VLOOKUP($B81,Base_Mensuelle!$CF$68:$CJ$679,I$2,0)</f>
        <v>1775.14</v>
      </c>
      <c r="J81" s="19">
        <f>VLOOKUP($B81,Base_Mensuelle!$CY$67:$DE$679,5,0)</f>
        <v>0</v>
      </c>
      <c r="K81" s="99">
        <f>VLOOKUP($B81,Base_Mensuelle!$CY$67:$DE$679,2,0)</f>
        <v>0</v>
      </c>
      <c r="L81" s="93"/>
      <c r="M81" s="182">
        <f>VLOOKUP($B81,Base_Mensuelle!$DG$67:$DN$679,2,0)</f>
        <v>488997.44425920915</v>
      </c>
      <c r="N81" s="182">
        <f>VLOOKUP($B81,Base_Mensuelle!$DG$68:$DO$679,9,0)</f>
        <v>6342255.9304838814</v>
      </c>
      <c r="O81" s="93"/>
      <c r="P81" s="20"/>
      <c r="Q81" s="14">
        <f>INDEX(Base_Mensuelle!$BX$68:$CD$679,MAX(Base_Mensuelle!$PD$68:$PD$679)-A82,1)</f>
        <v>44440</v>
      </c>
      <c r="R81" s="733">
        <f>VLOOKUP($Q81,Base_Mensuelle!$OF$67:$RN$679,12,0)</f>
        <v>2431.22254079</v>
      </c>
      <c r="S81" s="570">
        <f>VLOOKUP($Q81,Base_Mensuelle!$OF$67:$RN$679,15,0)</f>
        <v>3296.6871737959996</v>
      </c>
      <c r="T81" s="570">
        <f>VLOOKUP($Q81,Base_Mensuelle!$OF$67:$RN$679,22,0)</f>
        <v>932.78660454099997</v>
      </c>
      <c r="U81" s="734">
        <f>VLOOKUP($Q81,Base_Mensuelle!$OF$67:$RN$679,16,0)</f>
        <v>10.2352020350001</v>
      </c>
      <c r="V81" s="733">
        <f>VLOOKUP($Q81,Base_Mensuelle!$OF$67:$RN$679,27,0)</f>
        <v>595.84754078999981</v>
      </c>
      <c r="W81" s="570">
        <f>VLOOKUP($Q81,Base_Mensuelle!$OF$67:$RN$679,31,0)</f>
        <v>-234.57459562700001</v>
      </c>
      <c r="X81" s="570">
        <f>VLOOKUP($Q81,Base_Mensuelle!$OF$67:$RN$679,33,0)</f>
        <v>533.324946114</v>
      </c>
      <c r="Y81" s="570">
        <f>VLOOKUP($Q81,Base_Mensuelle!$OF$67:$RN$679,65,0)</f>
        <v>3278.636</v>
      </c>
      <c r="Z81" s="570">
        <f>VLOOKUP($Q81,Base_Mensuelle!$OF$67:$RN$679,39,0)</f>
        <v>1184.2242966189999</v>
      </c>
      <c r="AA81" s="734">
        <f>VLOOKUP($Q81,Base_Mensuelle!$OF$67:$RN$679,51,0)</f>
        <v>6.221216225</v>
      </c>
      <c r="AB81" s="14">
        <f>INDEX(Base_Mensuelle!$BX$68:$CD$679,MAX(Base_Mensuelle!$FZ$68:$FZ$679)-A81,1)</f>
        <v>44409</v>
      </c>
      <c r="AC81" s="179">
        <f>VLOOKUP($AB81,Base_Mensuelle!$FL$67:$FY$679,2,0)</f>
        <v>108.82</v>
      </c>
      <c r="AD81" s="568"/>
      <c r="AE81" s="20">
        <f t="shared" si="2"/>
        <v>0.03</v>
      </c>
      <c r="AF81" s="220">
        <f>VLOOKUP($AB81,Base_Mensuelle!$GP$67:$HR$679,2,0)</f>
        <v>284</v>
      </c>
      <c r="AG81" s="99">
        <f>VLOOKUP($AB81,Base_Mensuelle!$GP$67:$HR$679,3,0)</f>
        <v>234</v>
      </c>
      <c r="AH81" s="99">
        <f>VLOOKUP($AB81,Base_Mensuelle!$GP$67:$HR$679,14,0)</f>
        <v>2457</v>
      </c>
      <c r="AI81" s="99">
        <f>VLOOKUP($AB81,Base_Mensuelle!$GA$67:$GO$679,5,0)</f>
        <v>94.07</v>
      </c>
      <c r="AJ81" s="99">
        <f>VLOOKUP($AB81,Base_Mensuelle!$GA$67:$GO$679,6,0)</f>
        <v>119.79</v>
      </c>
      <c r="AK81" s="99">
        <f>VLOOKUP($AB81,Base_Mensuelle!$GA$67:$GO$679,7,0)</f>
        <v>106.24</v>
      </c>
      <c r="AL81" s="99">
        <f>VLOOKUP($AB81,Base_Mensuelle!$GA$67:$GO$679,3,0)</f>
        <v>103.62</v>
      </c>
      <c r="AM81" s="132">
        <f>VLOOKUP($AB81,Base_Mensuelle!$GA$67:$GO$679,4,0)</f>
        <v>111.72</v>
      </c>
      <c r="AN81" s="179">
        <f>VLOOKUP($AB81,Base_Mensuelle!$HS$67:$JV$679,9,0)</f>
        <v>248.69004058837891</v>
      </c>
      <c r="AO81" s="99">
        <f>VLOOKUP($AB81,Base_Mensuelle!$HS$67:$JV$679,23,0)</f>
        <v>231.53865661621094</v>
      </c>
      <c r="AP81" s="99">
        <f>VLOOKUP($AB81,Base_Mensuelle!$HS$67:$JV$679,39,0)</f>
        <v>400</v>
      </c>
      <c r="AQ81" s="99">
        <f>VLOOKUP($AB81,Base_Mensuelle!$HS$67:$JV$679,10,0)</f>
        <v>296.16045761108398</v>
      </c>
      <c r="AR81" s="132">
        <f>VLOOKUP($AB81,Base_Mensuelle!$HS$67:$JV$679,11,0)</f>
        <v>153.06121826171875</v>
      </c>
      <c r="AS81" s="733">
        <f>VLOOKUP($B81,Base_Mensuelle!$JW$67:$KZ$679,3,0)</f>
        <v>338846</v>
      </c>
      <c r="AT81" s="734">
        <f>VLOOKUP($B81,Base_Mensuelle!$JW$67:$KZ$679,8,0)</f>
        <v>407308</v>
      </c>
      <c r="AU81" s="733">
        <f>VLOOKUP($B81,Base_Mensuelle!$JW$67:$KZ$679,11,0)</f>
        <v>42385</v>
      </c>
      <c r="AV81" s="734">
        <f>VLOOKUP($B81,Base_Mensuelle!$JW$67:$KZ$679,15,0)</f>
        <v>0</v>
      </c>
      <c r="AW81" s="733">
        <f>VLOOKUP($B81,Base_Mensuelle!$JW$67:$KZ$679,25,0)</f>
        <v>29654</v>
      </c>
      <c r="AX81" s="734">
        <f>VLOOKUP($B81,Base_Mensuelle!$JW$67:$KZ$679,29,0)</f>
        <v>0</v>
      </c>
    </row>
    <row r="82" spans="1:50">
      <c r="A82" s="175">
        <f t="shared" si="0"/>
        <v>27</v>
      </c>
      <c r="B82" s="14">
        <f>INDEX(Base_Mensuelle!$BX$68:$CD$679,MAX(Base_Mensuelle!$CD$68:$CD$679)-A83,1)</f>
        <v>44470</v>
      </c>
      <c r="C82" s="179">
        <f>VLOOKUP($B82,Base_Mensuelle!$BX$68:$CD$679,C$2,0)</f>
        <v>565.56439999999998</v>
      </c>
      <c r="D82" s="99">
        <f>VLOOKUP($B82,Base_Mensuelle!$BX$68:$CD$679,D$2,0)</f>
        <v>655.95699999999999</v>
      </c>
      <c r="E82" s="99">
        <f>VLOOKUP($B82,Base_Mensuelle!$BX$68:$CD$679,E$2,0)</f>
        <v>612.82039999999995</v>
      </c>
      <c r="F82" s="99">
        <f>VLOOKUP($B82,Base_Mensuelle!$BX$68:$CD$679,F$2,0)</f>
        <v>38.056077000000002</v>
      </c>
      <c r="G82" s="132">
        <f>VLOOKUP($B82,Base_Mensuelle!$BX$68:$CD$679,G$2,0)</f>
        <v>93.112174999999993</v>
      </c>
      <c r="H82" s="99">
        <f>VLOOKUP($B82,Base_Mensuelle!$CF$68:$CJ$679,H$2,0)</f>
        <v>2.5877829559999999</v>
      </c>
      <c r="I82" s="132">
        <f>VLOOKUP($B82,Base_Mensuelle!$CF$68:$CJ$679,I$2,0)</f>
        <v>1776.85</v>
      </c>
      <c r="J82" s="19">
        <f>VLOOKUP($B82,Base_Mensuelle!$CY$67:$DE$679,5,0)</f>
        <v>0</v>
      </c>
      <c r="K82" s="99">
        <f>VLOOKUP($B82,Base_Mensuelle!$CY$67:$DE$679,2,0)</f>
        <v>0</v>
      </c>
      <c r="L82" s="93"/>
      <c r="M82" s="182">
        <f>VLOOKUP($B82,Base_Mensuelle!$DG$67:$DN$679,2,0)</f>
        <v>493074.77811591985</v>
      </c>
      <c r="N82" s="182">
        <f>VLOOKUP($B82,Base_Mensuelle!$DG$68:$DO$679,9,0)</f>
        <v>6037103.5438711047</v>
      </c>
      <c r="O82" s="93"/>
      <c r="P82" s="20"/>
      <c r="Q82" s="14">
        <f>INDEX(Base_Mensuelle!$BX$68:$CD$679,MAX(Base_Mensuelle!$PD$68:$PD$679)-A83,1)</f>
        <v>44470</v>
      </c>
      <c r="R82" s="733">
        <f>VLOOKUP($Q82,Base_Mensuelle!$OF$67:$RN$679,12,0)</f>
        <v>2397.0895796999994</v>
      </c>
      <c r="S82" s="570">
        <f>VLOOKUP($Q82,Base_Mensuelle!$OF$67:$RN$679,15,0)</f>
        <v>3333.7935720150003</v>
      </c>
      <c r="T82" s="570">
        <f>VLOOKUP($Q82,Base_Mensuelle!$OF$67:$RN$679,22,0)</f>
        <v>936.84175696700004</v>
      </c>
      <c r="U82" s="734">
        <f>VLOOKUP($Q82,Base_Mensuelle!$OF$67:$RN$679,16,0)</f>
        <v>31.414943262000122</v>
      </c>
      <c r="V82" s="733">
        <f>VLOOKUP($Q82,Base_Mensuelle!$OF$67:$RN$679,27,0)</f>
        <v>540.46957969999994</v>
      </c>
      <c r="W82" s="570">
        <f>VLOOKUP($Q82,Base_Mensuelle!$OF$67:$RN$679,31,0)</f>
        <v>-235.0338544</v>
      </c>
      <c r="X82" s="570">
        <f>VLOOKUP($Q82,Base_Mensuelle!$OF$67:$RN$679,33,0)</f>
        <v>525.40105888400001</v>
      </c>
      <c r="Y82" s="570">
        <f>VLOOKUP($Q82,Base_Mensuelle!$OF$67:$RN$679,65,0)</f>
        <v>3294.2039999999997</v>
      </c>
      <c r="Z82" s="570">
        <f>VLOOKUP($Q82,Base_Mensuelle!$OF$67:$RN$679,39,0)</f>
        <v>1089.4909033419999</v>
      </c>
      <c r="AA82" s="734">
        <f>VLOOKUP($Q82,Base_Mensuelle!$OF$67:$RN$679,51,0)</f>
        <v>7.1510504849999998</v>
      </c>
      <c r="AB82" s="14">
        <f>INDEX(Base_Mensuelle!$BX$68:$CD$679,MAX(Base_Mensuelle!$FZ$68:$FZ$679)-A82,1)</f>
        <v>44440</v>
      </c>
      <c r="AC82" s="179">
        <f>VLOOKUP($AB82,Base_Mensuelle!$FL$67:$FY$679,2,0)</f>
        <v>110.69</v>
      </c>
      <c r="AD82" s="568"/>
      <c r="AE82" s="20">
        <f t="shared" si="2"/>
        <v>0.03</v>
      </c>
      <c r="AF82" s="220">
        <f>VLOOKUP($AB82,Base_Mensuelle!$GP$67:$HR$679,2,0)</f>
        <v>303</v>
      </c>
      <c r="AG82" s="99">
        <f>VLOOKUP($AB82,Base_Mensuelle!$GP$67:$HR$679,3,0)</f>
        <v>266</v>
      </c>
      <c r="AH82" s="99">
        <f>VLOOKUP($AB82,Base_Mensuelle!$GP$67:$HR$679,14,0)</f>
        <v>2709</v>
      </c>
      <c r="AI82" s="99">
        <f>VLOOKUP($AB82,Base_Mensuelle!$GA$67:$GO$679,5,0)</f>
        <v>95.82</v>
      </c>
      <c r="AJ82" s="99">
        <f>VLOOKUP($AB82,Base_Mensuelle!$GA$67:$GO$679,6,0)</f>
        <v>123.38</v>
      </c>
      <c r="AK82" s="99">
        <f>VLOOKUP($AB82,Base_Mensuelle!$GA$67:$GO$679,7,0)</f>
        <v>107.1</v>
      </c>
      <c r="AL82" s="99">
        <f>VLOOKUP($AB82,Base_Mensuelle!$GA$67:$GO$679,3,0)</f>
        <v>103.98</v>
      </c>
      <c r="AM82" s="132">
        <f>VLOOKUP($AB82,Base_Mensuelle!$GA$67:$GO$679,4,0)</f>
        <v>114.23</v>
      </c>
      <c r="AN82" s="179">
        <f>VLOOKUP($AB82,Base_Mensuelle!$HS$67:$JV$679,9,0)</f>
        <v>248.44434356689453</v>
      </c>
      <c r="AO82" s="99">
        <f>VLOOKUP($AB82,Base_Mensuelle!$HS$67:$JV$679,23,0)</f>
        <v>239.91075325012207</v>
      </c>
      <c r="AP82" s="99">
        <f>VLOOKUP($AB82,Base_Mensuelle!$HS$67:$JV$679,39,0)</f>
        <v>400</v>
      </c>
      <c r="AQ82" s="99">
        <f>VLOOKUP($AB82,Base_Mensuelle!$HS$67:$JV$679,10,0)</f>
        <v>355.37848510742185</v>
      </c>
      <c r="AR82" s="132">
        <f>VLOOKUP($AB82,Base_Mensuelle!$HS$67:$JV$679,11,0)</f>
        <v>168.43447875976563</v>
      </c>
      <c r="AS82" s="733">
        <f>VLOOKUP($B82,Base_Mensuelle!$JW$67:$KZ$679,3,0)</f>
        <v>339583</v>
      </c>
      <c r="AT82" s="734">
        <f>VLOOKUP($B82,Base_Mensuelle!$JW$67:$KZ$679,8,0)</f>
        <v>375000</v>
      </c>
      <c r="AU82" s="733">
        <f>VLOOKUP($B82,Base_Mensuelle!$JW$67:$KZ$679,11,0)</f>
        <v>56625</v>
      </c>
      <c r="AV82" s="734">
        <f>VLOOKUP($B82,Base_Mensuelle!$JW$67:$KZ$679,15,0)</f>
        <v>0</v>
      </c>
      <c r="AW82" s="733">
        <f>VLOOKUP($B82,Base_Mensuelle!$JW$67:$KZ$679,25,0)</f>
        <v>30542</v>
      </c>
      <c r="AX82" s="734">
        <f>VLOOKUP($B82,Base_Mensuelle!$JW$67:$KZ$679,29,0)</f>
        <v>0</v>
      </c>
    </row>
    <row r="83" spans="1:50">
      <c r="A83" s="175">
        <f t="shared" si="0"/>
        <v>26</v>
      </c>
      <c r="B83" s="14">
        <f>INDEX(Base_Mensuelle!$BX$68:$CD$679,MAX(Base_Mensuelle!$CD$68:$CD$679)-A84,1)</f>
        <v>44501</v>
      </c>
      <c r="C83" s="179">
        <f>VLOOKUP($B83,Base_Mensuelle!$BX$68:$CD$679,C$2,0)</f>
        <v>575.23609999999996</v>
      </c>
      <c r="D83" s="99">
        <f>VLOOKUP($B83,Base_Mensuelle!$BX$68:$CD$679,D$2,0)</f>
        <v>655.95699999999999</v>
      </c>
      <c r="E83" s="99">
        <f>VLOOKUP($B83,Base_Mensuelle!$BX$68:$CD$679,E$2,0)</f>
        <v>623.86009999999999</v>
      </c>
      <c r="F83" s="99">
        <f>VLOOKUP($B83,Base_Mensuelle!$BX$68:$CD$679,F$2,0)</f>
        <v>37.003694000000003</v>
      </c>
      <c r="G83" s="132">
        <f>VLOOKUP($B83,Base_Mensuelle!$BX$68:$CD$679,G$2,0)</f>
        <v>93.901216000000005</v>
      </c>
      <c r="H83" s="99">
        <f>VLOOKUP($B83,Base_Mensuelle!$CF$68:$CJ$679,H$2,0)</f>
        <v>2.7897261480000002</v>
      </c>
      <c r="I83" s="132">
        <f>VLOOKUP($B83,Base_Mensuelle!$CF$68:$CJ$679,I$2,0)</f>
        <v>1821.76</v>
      </c>
      <c r="J83" s="19">
        <f>VLOOKUP($B83,Base_Mensuelle!$CY$67:$DE$679,5,0)</f>
        <v>0</v>
      </c>
      <c r="K83" s="99">
        <f>VLOOKUP($B83,Base_Mensuelle!$CY$67:$DE$679,2,0)</f>
        <v>0</v>
      </c>
      <c r="L83" s="93"/>
      <c r="M83" s="182">
        <f>VLOOKUP($B83,Base_Mensuelle!$DG$67:$DN$679,2,0)</f>
        <v>497083.3371522479</v>
      </c>
      <c r="N83" s="182">
        <f>VLOOKUP($B83,Base_Mensuelle!$DG$68:$DO$679,9,0)</f>
        <v>5743487.5630919347</v>
      </c>
      <c r="O83" s="93"/>
      <c r="P83" s="20"/>
      <c r="Q83" s="14">
        <f>INDEX(Base_Mensuelle!$BX$68:$CD$679,MAX(Base_Mensuelle!$PD$68:$PD$679)-A84,1)</f>
        <v>44501</v>
      </c>
      <c r="R83" s="733">
        <f>VLOOKUP($Q83,Base_Mensuelle!$OF$67:$RN$679,12,0)</f>
        <v>1851.5926633659999</v>
      </c>
      <c r="S83" s="570">
        <f>VLOOKUP($Q83,Base_Mensuelle!$OF$67:$RN$679,15,0)</f>
        <v>3693.784038407</v>
      </c>
      <c r="T83" s="570">
        <f>VLOOKUP($Q83,Base_Mensuelle!$OF$67:$RN$679,22,0)</f>
        <v>948.27349606899998</v>
      </c>
      <c r="U83" s="734">
        <f>VLOOKUP($Q83,Base_Mensuelle!$OF$67:$RN$679,16,0)</f>
        <v>412.56356510300003</v>
      </c>
      <c r="V83" s="733">
        <f>VLOOKUP($Q83,Base_Mensuelle!$OF$67:$RN$679,27,0)</f>
        <v>452.33866336599999</v>
      </c>
      <c r="W83" s="570">
        <f>VLOOKUP($Q83,Base_Mensuelle!$OF$67:$RN$679,31,0)</f>
        <v>-120.62523255899998</v>
      </c>
      <c r="X83" s="570">
        <f>VLOOKUP($Q83,Base_Mensuelle!$OF$67:$RN$679,33,0)</f>
        <v>411.03546259299998</v>
      </c>
      <c r="Y83" s="570">
        <f>VLOOKUP($Q83,Base_Mensuelle!$OF$67:$RN$679,65,0)</f>
        <v>3272.759</v>
      </c>
      <c r="Z83" s="570">
        <f>VLOOKUP($Q83,Base_Mensuelle!$OF$67:$RN$679,39,0)</f>
        <v>1222.5253572940001</v>
      </c>
      <c r="AA83" s="734">
        <f>VLOOKUP($Q83,Base_Mensuelle!$OF$67:$RN$679,51,0)</f>
        <v>7.5291988849999996</v>
      </c>
      <c r="AB83" s="14">
        <f>INDEX(Base_Mensuelle!$BX$68:$CD$679,MAX(Base_Mensuelle!$FZ$68:$FZ$679)-A83,1)</f>
        <v>44470</v>
      </c>
      <c r="AC83" s="179">
        <f>VLOOKUP($AB83,Base_Mensuelle!$FL$67:$FY$679,2,0)</f>
        <v>110.86</v>
      </c>
      <c r="AD83" s="772">
        <f t="shared" ref="AD83:AD109" si="3">(AVERAGE(AC72:AC83)/AVERAGE(AC60:AC71)-1)</f>
        <v>3.2568467801628476E-2</v>
      </c>
      <c r="AE83" s="20">
        <f t="shared" si="2"/>
        <v>0.03</v>
      </c>
      <c r="AF83" s="220">
        <f>VLOOKUP($AB83,Base_Mensuelle!$GP$67:$HR$679,2,0)</f>
        <v>304</v>
      </c>
      <c r="AG83" s="99">
        <f>VLOOKUP($AB83,Base_Mensuelle!$GP$67:$HR$679,3,0)</f>
        <v>272</v>
      </c>
      <c r="AH83" s="99">
        <f>VLOOKUP($AB83,Base_Mensuelle!$GP$67:$HR$679,14,0)</f>
        <v>2437</v>
      </c>
      <c r="AI83" s="99">
        <f>VLOOKUP($AB83,Base_Mensuelle!$GA$67:$GO$679,5,0)</f>
        <v>96.33</v>
      </c>
      <c r="AJ83" s="99">
        <f>VLOOKUP($AB83,Base_Mensuelle!$GA$67:$GO$679,6,0)</f>
        <v>123.55</v>
      </c>
      <c r="AK83" s="99">
        <f>VLOOKUP($AB83,Base_Mensuelle!$GA$67:$GO$679,7,0)</f>
        <v>107.38</v>
      </c>
      <c r="AL83" s="99">
        <f>VLOOKUP($AB83,Base_Mensuelle!$GA$67:$GO$679,3,0)</f>
        <v>103.55</v>
      </c>
      <c r="AM83" s="132">
        <f>VLOOKUP($AB83,Base_Mensuelle!$GA$67:$GO$679,4,0)</f>
        <v>114.62</v>
      </c>
      <c r="AN83" s="179">
        <f>VLOOKUP($AB83,Base_Mensuelle!$HS$67:$JV$679,9,0)</f>
        <v>248.01383972167969</v>
      </c>
      <c r="AO83" s="99">
        <f>VLOOKUP($AB83,Base_Mensuelle!$HS$67:$JV$679,23,0)</f>
        <v>244.06416625976561</v>
      </c>
      <c r="AP83" s="99">
        <f>VLOOKUP($AB83,Base_Mensuelle!$HS$67:$JV$679,39,0)</f>
        <v>400</v>
      </c>
      <c r="AQ83" s="99">
        <f>VLOOKUP($AB83,Base_Mensuelle!$HS$67:$JV$679,10,0)</f>
        <v>320.10581970214844</v>
      </c>
      <c r="AR83" s="132">
        <f>VLOOKUP($AB83,Base_Mensuelle!$HS$67:$JV$679,11,0)</f>
        <v>176.31578674316407</v>
      </c>
      <c r="AS83" s="733">
        <f>VLOOKUP($B83,Base_Mensuelle!$JW$67:$KZ$679,3,0)</f>
        <v>338182</v>
      </c>
      <c r="AT83" s="734">
        <f>VLOOKUP($B83,Base_Mensuelle!$JW$67:$KZ$679,8,0)</f>
        <v>372083</v>
      </c>
      <c r="AU83" s="733">
        <f>VLOOKUP($B83,Base_Mensuelle!$JW$67:$KZ$679,11,0)</f>
        <v>56042</v>
      </c>
      <c r="AV83" s="734">
        <f>VLOOKUP($B83,Base_Mensuelle!$JW$67:$KZ$679,15,0)</f>
        <v>0</v>
      </c>
      <c r="AW83" s="733">
        <f>VLOOKUP($B83,Base_Mensuelle!$JW$67:$KZ$679,25,0)</f>
        <v>31125</v>
      </c>
      <c r="AX83" s="734">
        <f>VLOOKUP($B83,Base_Mensuelle!$JW$67:$KZ$679,29,0)</f>
        <v>0</v>
      </c>
    </row>
    <row r="84" spans="1:50">
      <c r="A84" s="175">
        <f t="shared" si="0"/>
        <v>25</v>
      </c>
      <c r="B84" s="14">
        <f>INDEX(Base_Mensuelle!$BX$68:$CD$679,MAX(Base_Mensuelle!$CD$68:$CD$679)-A85,1)</f>
        <v>44531</v>
      </c>
      <c r="C84" s="179">
        <f>VLOOKUP($B84,Base_Mensuelle!$BX$68:$CD$679,C$2,0)</f>
        <v>579.99710000000005</v>
      </c>
      <c r="D84" s="99">
        <f>VLOOKUP($B84,Base_Mensuelle!$BX$68:$CD$679,D$2,0)</f>
        <v>655.95699999999999</v>
      </c>
      <c r="E84" s="99">
        <f>VLOOKUP($B84,Base_Mensuelle!$BX$68:$CD$679,E$2,0)</f>
        <v>630.20270000000005</v>
      </c>
      <c r="F84" s="99">
        <f>VLOOKUP($B84,Base_Mensuelle!$BX$68:$CD$679,F$2,0)</f>
        <v>36.540489999999998</v>
      </c>
      <c r="G84" s="132">
        <f>VLOOKUP($B84,Base_Mensuelle!$BX$68:$CD$679,G$2,0)</f>
        <v>94.357647</v>
      </c>
      <c r="H84" s="99">
        <f>VLOOKUP($B84,Base_Mensuelle!$CF$68:$CJ$679,H$2,0)</f>
        <v>2.6464258479999998</v>
      </c>
      <c r="I84" s="132">
        <f>VLOOKUP($B84,Base_Mensuelle!$CF$68:$CJ$679,I$2,0)</f>
        <v>1790.43</v>
      </c>
      <c r="J84" s="19">
        <f>VLOOKUP($B84,Base_Mensuelle!$CY$67:$DE$679,5,0)</f>
        <v>0</v>
      </c>
      <c r="K84" s="99">
        <f>VLOOKUP($B84,Base_Mensuelle!$CY$67:$DE$679,2,0)</f>
        <v>0</v>
      </c>
      <c r="L84" s="93"/>
      <c r="M84" s="182">
        <f>VLOOKUP($B84,Base_Mensuelle!$DG$67:$DN$679,2,0)</f>
        <v>501176.28851900029</v>
      </c>
      <c r="N84" s="182">
        <f>VLOOKUP($B84,Base_Mensuelle!$DG$68:$DO$679,9,0)</f>
        <v>5475965.0901094936</v>
      </c>
      <c r="O84" s="93"/>
      <c r="P84" s="20"/>
      <c r="Q84" s="14">
        <f>INDEX(Base_Mensuelle!$BX$68:$CD$679,MAX(Base_Mensuelle!$PD$68:$PD$679)-A85,1)</f>
        <v>44531</v>
      </c>
      <c r="R84" s="733">
        <f>VLOOKUP($Q84,Base_Mensuelle!$OF$67:$RN$679,12,0)</f>
        <v>2704.9815301039998</v>
      </c>
      <c r="S84" s="570">
        <f>VLOOKUP($Q84,Base_Mensuelle!$OF$67:$RN$679,15,0)</f>
        <v>3487.3946488610004</v>
      </c>
      <c r="T84" s="570">
        <f>VLOOKUP($Q84,Base_Mensuelle!$OF$67:$RN$679,22,0)</f>
        <v>1020.1041598080001</v>
      </c>
      <c r="U84" s="734">
        <f>VLOOKUP($Q84,Base_Mensuelle!$OF$67:$RN$679,16,0)</f>
        <v>-66.50763390100002</v>
      </c>
      <c r="V84" s="733">
        <f>VLOOKUP($Q84,Base_Mensuelle!$OF$67:$RN$679,27,0)</f>
        <v>535.64553010400004</v>
      </c>
      <c r="W84" s="570">
        <f>VLOOKUP($Q84,Base_Mensuelle!$OF$67:$RN$679,31,0)</f>
        <v>-88.836431563000019</v>
      </c>
      <c r="X84" s="570">
        <f>VLOOKUP($Q84,Base_Mensuelle!$OF$67:$RN$679,33,0)</f>
        <v>378.81848341800003</v>
      </c>
      <c r="Y84" s="570">
        <f>VLOOKUP($Q84,Base_Mensuelle!$OF$67:$RN$679,65,0)</f>
        <v>3546.2490000000003</v>
      </c>
      <c r="Z84" s="570">
        <f>VLOOKUP($Q84,Base_Mensuelle!$OF$67:$RN$679,39,0)</f>
        <v>1541.7251113119999</v>
      </c>
      <c r="AA84" s="734">
        <f>VLOOKUP($Q84,Base_Mensuelle!$OF$67:$RN$679,51,0)</f>
        <v>0.496473161</v>
      </c>
      <c r="AB84" s="14">
        <f>INDEX(Base_Mensuelle!$BX$68:$CD$679,MAX(Base_Mensuelle!$FZ$68:$FZ$679)-A84,1)</f>
        <v>44501</v>
      </c>
      <c r="AC84" s="179">
        <f>VLOOKUP($AB84,Base_Mensuelle!$FL$67:$FY$679,2,0)</f>
        <v>112.12</v>
      </c>
      <c r="AD84" s="772">
        <f t="shared" si="3"/>
        <v>3.3844229967614936E-2</v>
      </c>
      <c r="AE84" s="20">
        <f t="shared" si="2"/>
        <v>0.03</v>
      </c>
      <c r="AF84" s="220">
        <f>VLOOKUP($AB84,Base_Mensuelle!$GP$67:$HR$679,2,0)</f>
        <v>359</v>
      </c>
      <c r="AG84" s="99">
        <f>VLOOKUP($AB84,Base_Mensuelle!$GP$67:$HR$679,3,0)</f>
        <v>281</v>
      </c>
      <c r="AH84" s="99">
        <f>VLOOKUP($AB84,Base_Mensuelle!$GP$67:$HR$679,14,0)</f>
        <v>2759</v>
      </c>
      <c r="AI84" s="99">
        <f>VLOOKUP($AB84,Base_Mensuelle!$GA$67:$GO$679,5,0)</f>
        <v>97.65</v>
      </c>
      <c r="AJ84" s="99">
        <f>VLOOKUP($AB84,Base_Mensuelle!$GA$67:$GO$679,6,0)</f>
        <v>126.77</v>
      </c>
      <c r="AK84" s="99">
        <f>VLOOKUP($AB84,Base_Mensuelle!$GA$67:$GO$679,7,0)</f>
        <v>107.7</v>
      </c>
      <c r="AL84" s="99">
        <f>VLOOKUP($AB84,Base_Mensuelle!$GA$67:$GO$679,3,0)</f>
        <v>103.47</v>
      </c>
      <c r="AM84" s="132">
        <f>VLOOKUP($AB84,Base_Mensuelle!$GA$67:$GO$679,4,0)</f>
        <v>116.47</v>
      </c>
      <c r="AN84" s="179">
        <f>VLOOKUP($AB84,Base_Mensuelle!$HS$67:$JV$679,9,0)</f>
        <v>307.29327011108398</v>
      </c>
      <c r="AO84" s="99">
        <f>VLOOKUP($AB84,Base_Mensuelle!$HS$67:$JV$679,23,0)</f>
        <v>235.30333518981934</v>
      </c>
      <c r="AP84" s="99">
        <f>VLOOKUP($AB84,Base_Mensuelle!$HS$67:$JV$679,39,0)</f>
        <v>400</v>
      </c>
      <c r="AQ84" s="99">
        <f>VLOOKUP($AB84,Base_Mensuelle!$HS$67:$JV$679,10,0)</f>
        <v>304.78087615966797</v>
      </c>
      <c r="AR84" s="132">
        <f>VLOOKUP($AB84,Base_Mensuelle!$HS$67:$JV$679,11,0)</f>
        <v>194.07894897460938</v>
      </c>
      <c r="AS84" s="733">
        <f>VLOOKUP($B84,Base_Mensuelle!$JW$67:$KZ$679,3,0)</f>
        <v>0</v>
      </c>
      <c r="AT84" s="734">
        <f>VLOOKUP($B84,Base_Mensuelle!$JW$67:$KZ$679,8,0)</f>
        <v>378889</v>
      </c>
      <c r="AU84" s="733">
        <f>VLOOKUP($B84,Base_Mensuelle!$JW$67:$KZ$679,11,0)</f>
        <v>0</v>
      </c>
      <c r="AV84" s="734">
        <f>VLOOKUP($B84,Base_Mensuelle!$JW$67:$KZ$679,15,0)</f>
        <v>0</v>
      </c>
      <c r="AW84" s="733">
        <f>VLOOKUP($B84,Base_Mensuelle!$JW$67:$KZ$679,25,0)</f>
        <v>0</v>
      </c>
      <c r="AX84" s="734">
        <f>VLOOKUP($B84,Base_Mensuelle!$JW$67:$KZ$679,29,0)</f>
        <v>0</v>
      </c>
    </row>
    <row r="85" spans="1:50">
      <c r="A85" s="175">
        <f t="shared" si="0"/>
        <v>24</v>
      </c>
      <c r="B85" s="14">
        <f>INDEX(Base_Mensuelle!$BX$68:$CD$679,MAX(Base_Mensuelle!$CD$68:$CD$679)-A86,1)</f>
        <v>44562</v>
      </c>
      <c r="C85" s="179">
        <f>VLOOKUP($B85,Base_Mensuelle!$BX$68:$CD$679,C$2,0)</f>
        <v>579.59969999999998</v>
      </c>
      <c r="D85" s="99">
        <f>VLOOKUP($B85,Base_Mensuelle!$BX$68:$CD$679,D$2,0)</f>
        <v>655.95699999999999</v>
      </c>
      <c r="E85" s="99">
        <f>VLOOKUP($B85,Base_Mensuelle!$BX$68:$CD$679,E$2,0)</f>
        <v>630.58190000000002</v>
      </c>
      <c r="F85" s="99">
        <f>VLOOKUP($B85,Base_Mensuelle!$BX$68:$CD$679,F$2,0)</f>
        <v>37.426470999999999</v>
      </c>
      <c r="G85" s="132">
        <f>VLOOKUP($B85,Base_Mensuelle!$BX$68:$CD$679,G$2,0)</f>
        <v>93.181213</v>
      </c>
      <c r="H85" s="99">
        <f>VLOOKUP($B85,Base_Mensuelle!$CF$68:$CJ$679,H$2,0)</f>
        <v>2.9112007100000001</v>
      </c>
      <c r="I85" s="132">
        <f>VLOOKUP($B85,Base_Mensuelle!$CF$68:$CJ$679,I$2,0)</f>
        <v>1816.02</v>
      </c>
      <c r="J85" s="19">
        <f>VLOOKUP($B85,Base_Mensuelle!$CY$67:$DE$679,5,0)</f>
        <v>0</v>
      </c>
      <c r="K85" s="99">
        <f>VLOOKUP($B85,Base_Mensuelle!$CY$67:$DE$679,2,0)</f>
        <v>0</v>
      </c>
      <c r="L85" s="93"/>
      <c r="M85" s="182">
        <f>VLOOKUP($B85,Base_Mensuelle!$DG$67:$DN$679,2,0)</f>
        <v>505276.82576475554</v>
      </c>
      <c r="N85" s="182">
        <f>VLOOKUP($B85,Base_Mensuelle!$DG$68:$DO$679,9,0)</f>
        <v>5224659.9704908486</v>
      </c>
      <c r="O85" s="93"/>
      <c r="P85" s="20"/>
      <c r="Q85" s="14">
        <f>INDEX(Base_Mensuelle!$BX$68:$CD$679,MAX(Base_Mensuelle!$PD$68:$PD$679)-A86,1)</f>
        <v>44562</v>
      </c>
      <c r="R85" s="733">
        <f>VLOOKUP($Q85,Base_Mensuelle!$OF$67:$RN$679,12,0)</f>
        <v>2460.6788620730003</v>
      </c>
      <c r="S85" s="570">
        <f>VLOOKUP($Q85,Base_Mensuelle!$OF$67:$RN$679,15,0)</f>
        <v>3534.092421931</v>
      </c>
      <c r="T85" s="570">
        <f>VLOOKUP($Q85,Base_Mensuelle!$OF$67:$RN$679,22,0)</f>
        <v>1023.0902241270001</v>
      </c>
      <c r="U85" s="734">
        <f>VLOOKUP($Q85,Base_Mensuelle!$OF$67:$RN$679,16,0)</f>
        <v>34.249343700999994</v>
      </c>
      <c r="V85" s="733">
        <f>VLOOKUP($Q85,Base_Mensuelle!$OF$67:$RN$679,27,0)</f>
        <v>449.11586207300002</v>
      </c>
      <c r="W85" s="570">
        <f>VLOOKUP($Q85,Base_Mensuelle!$OF$67:$RN$679,31,0)</f>
        <v>-33.339453961000004</v>
      </c>
      <c r="X85" s="570">
        <f>VLOOKUP($Q85,Base_Mensuelle!$OF$67:$RN$679,33,0)</f>
        <v>323.33489888299999</v>
      </c>
      <c r="Y85" s="570">
        <f>VLOOKUP($Q85,Base_Mensuelle!$OF$67:$RN$679,65,0)</f>
        <v>3492.4250000000002</v>
      </c>
      <c r="Z85" s="570">
        <f>VLOOKUP($Q85,Base_Mensuelle!$OF$67:$RN$679,39,0)</f>
        <v>1319.6822009169998</v>
      </c>
      <c r="AA85" s="734">
        <f>VLOOKUP($Q85,Base_Mensuelle!$OF$67:$RN$679,51,0)</f>
        <v>1.05997316</v>
      </c>
      <c r="AB85" s="14">
        <f>INDEX(Base_Mensuelle!$BX$68:$CD$679,MAX(Base_Mensuelle!$FZ$68:$FZ$679)-A85,1)</f>
        <v>44531</v>
      </c>
      <c r="AC85" s="179">
        <f>VLOOKUP($AB85,Base_Mensuelle!$FL$67:$FY$679,2,0)</f>
        <v>112.47</v>
      </c>
      <c r="AD85" s="772">
        <f t="shared" si="3"/>
        <v>3.8548934263586077E-2</v>
      </c>
      <c r="AE85" s="20">
        <f t="shared" si="2"/>
        <v>0.03</v>
      </c>
      <c r="AF85" s="220">
        <f>VLOOKUP($AB85,Base_Mensuelle!$GP$67:$HR$679,2,0)</f>
        <v>366</v>
      </c>
      <c r="AG85" s="99">
        <f>VLOOKUP($AB85,Base_Mensuelle!$GP$67:$HR$679,3,0)</f>
        <v>278</v>
      </c>
      <c r="AH85" s="99">
        <f>VLOOKUP($AB85,Base_Mensuelle!$GP$67:$HR$679,14,0)</f>
        <v>2603</v>
      </c>
      <c r="AI85" s="99">
        <f>VLOOKUP($AB85,Base_Mensuelle!$GA$67:$GO$679,5,0)</f>
        <v>98.47</v>
      </c>
      <c r="AJ85" s="99">
        <f>VLOOKUP($AB85,Base_Mensuelle!$GA$67:$GO$679,6,0)</f>
        <v>127.35</v>
      </c>
      <c r="AK85" s="99">
        <f>VLOOKUP($AB85,Base_Mensuelle!$GA$67:$GO$679,7,0)</f>
        <v>108</v>
      </c>
      <c r="AL85" s="99">
        <f>VLOOKUP($AB85,Base_Mensuelle!$GA$67:$GO$679,3,0)</f>
        <v>103.52</v>
      </c>
      <c r="AM85" s="132">
        <f>VLOOKUP($AB85,Base_Mensuelle!$GA$67:$GO$679,4,0)</f>
        <v>117.05</v>
      </c>
      <c r="AN85" s="179">
        <f>VLOOKUP($AB85,Base_Mensuelle!$HS$67:$JV$679,9,0)</f>
        <v>367.32015228271484</v>
      </c>
      <c r="AO85" s="99">
        <f>VLOOKUP($AB85,Base_Mensuelle!$HS$67:$JV$679,23,0)</f>
        <v>280.67967987060547</v>
      </c>
      <c r="AP85" s="99">
        <f>VLOOKUP($AB85,Base_Mensuelle!$HS$67:$JV$679,39,0)</f>
        <v>400</v>
      </c>
      <c r="AQ85" s="99">
        <f>VLOOKUP($AB85,Base_Mensuelle!$HS$67:$JV$679,10,0)</f>
        <v>315.97811889648438</v>
      </c>
      <c r="AR85" s="132">
        <f>VLOOKUP($AB85,Base_Mensuelle!$HS$67:$JV$679,11,0)</f>
        <v>199.11595916748047</v>
      </c>
      <c r="AS85" s="733">
        <f>VLOOKUP($B85,Base_Mensuelle!$JW$67:$KZ$679,3,0)</f>
        <v>0</v>
      </c>
      <c r="AT85" s="734">
        <f>VLOOKUP($B85,Base_Mensuelle!$JW$67:$KZ$679,8,0)</f>
        <v>0</v>
      </c>
      <c r="AU85" s="733">
        <f>VLOOKUP($B85,Base_Mensuelle!$JW$67:$KZ$679,11,0)</f>
        <v>0</v>
      </c>
      <c r="AV85" s="734">
        <f>VLOOKUP($B85,Base_Mensuelle!$JW$67:$KZ$679,15,0)</f>
        <v>0</v>
      </c>
      <c r="AW85" s="733">
        <f>VLOOKUP($B85,Base_Mensuelle!$JW$67:$KZ$679,25,0)</f>
        <v>0</v>
      </c>
      <c r="AX85" s="734">
        <f>VLOOKUP($B85,Base_Mensuelle!$JW$67:$KZ$679,29,0)</f>
        <v>0</v>
      </c>
    </row>
    <row r="86" spans="1:50">
      <c r="A86" s="175">
        <f t="shared" si="0"/>
        <v>23</v>
      </c>
      <c r="B86" s="14">
        <f>INDEX(Base_Mensuelle!$BX$68:$CD$679,MAX(Base_Mensuelle!$CD$68:$CD$679)-A87,1)</f>
        <v>44593</v>
      </c>
      <c r="C86" s="179">
        <f>VLOOKUP($B86,Base_Mensuelle!$BX$68:$CD$679,C$2,0)</f>
        <v>578.24890000000005</v>
      </c>
      <c r="D86" s="99">
        <f>VLOOKUP($B86,Base_Mensuelle!$BX$68:$CD$679,D$2,0)</f>
        <v>655.95699999999999</v>
      </c>
      <c r="E86" s="99">
        <f>VLOOKUP($B86,Base_Mensuelle!$BX$68:$CD$679,E$2,0)</f>
        <v>627.01130000000001</v>
      </c>
      <c r="F86" s="99">
        <f>VLOOKUP($B86,Base_Mensuelle!$BX$68:$CD$679,F$2,0)</f>
        <v>37.999006000000001</v>
      </c>
      <c r="G86" s="132">
        <f>VLOOKUP($B86,Base_Mensuelle!$BX$68:$CD$679,G$2,0)</f>
        <v>89.000096999999997</v>
      </c>
      <c r="H86" s="99">
        <f>VLOOKUP($B86,Base_Mensuelle!$CF$68:$CJ$679,H$2,0)</f>
        <v>3.0514145419999998</v>
      </c>
      <c r="I86" s="132">
        <f>VLOOKUP($B86,Base_Mensuelle!$CF$68:$CJ$679,I$2,0)</f>
        <v>1856.3</v>
      </c>
      <c r="J86" s="19">
        <f>VLOOKUP($B86,Base_Mensuelle!$CY$67:$DE$679,5,0)</f>
        <v>0</v>
      </c>
      <c r="K86" s="99">
        <f>VLOOKUP($B86,Base_Mensuelle!$CY$67:$DE$679,2,0)</f>
        <v>0</v>
      </c>
      <c r="L86" s="93"/>
      <c r="M86" s="182">
        <f>VLOOKUP($B86,Base_Mensuelle!$DG$67:$DN$679,2,0)</f>
        <v>509424.07733440731</v>
      </c>
      <c r="N86" s="182">
        <f>VLOOKUP($B86,Base_Mensuelle!$DG$68:$DO$679,9,0)</f>
        <v>4992163.1974957082</v>
      </c>
      <c r="O86" s="93"/>
      <c r="P86" s="20"/>
      <c r="Q86" s="14">
        <f>INDEX(Base_Mensuelle!$BX$68:$CD$679,MAX(Base_Mensuelle!$PD$68:$PD$679)-A87,1)</f>
        <v>44593</v>
      </c>
      <c r="R86" s="733">
        <f>VLOOKUP($Q86,Base_Mensuelle!$OF$67:$RN$679,12,0)</f>
        <v>2320.5318769280002</v>
      </c>
      <c r="S86" s="570">
        <f>VLOOKUP($Q86,Base_Mensuelle!$OF$67:$RN$679,15,0)</f>
        <v>3753.6763490879998</v>
      </c>
      <c r="T86" s="570">
        <f>VLOOKUP($Q86,Base_Mensuelle!$OF$67:$RN$679,22,0)</f>
        <v>1032.1833925619999</v>
      </c>
      <c r="U86" s="734">
        <f>VLOOKUP($Q86,Base_Mensuelle!$OF$67:$RN$679,16,0)</f>
        <v>199.05473839299989</v>
      </c>
      <c r="V86" s="733">
        <f>VLOOKUP($Q86,Base_Mensuelle!$OF$67:$RN$679,27,0)</f>
        <v>258.39987692800003</v>
      </c>
      <c r="W86" s="570">
        <f>VLOOKUP($Q86,Base_Mensuelle!$OF$67:$RN$679,31,0)</f>
        <v>63.067940730999993</v>
      </c>
      <c r="X86" s="570">
        <f>VLOOKUP($Q86,Base_Mensuelle!$OF$67:$RN$679,33,0)</f>
        <v>226.94321445599999</v>
      </c>
      <c r="Y86" s="570">
        <f>VLOOKUP($Q86,Base_Mensuelle!$OF$67:$RN$679,65,0)</f>
        <v>3546.4110000000001</v>
      </c>
      <c r="Z86" s="570">
        <f>VLOOKUP($Q86,Base_Mensuelle!$OF$67:$RN$679,39,0)</f>
        <v>1356.2095992540001</v>
      </c>
      <c r="AA86" s="734">
        <f>VLOOKUP($Q86,Base_Mensuelle!$OF$67:$RN$679,51,0)</f>
        <v>1.8279843790000001</v>
      </c>
      <c r="AB86" s="14">
        <f>INDEX(Base_Mensuelle!$BX$68:$CD$679,MAX(Base_Mensuelle!$FZ$68:$FZ$679)-A86,1)</f>
        <v>44562</v>
      </c>
      <c r="AC86" s="179">
        <f>VLOOKUP($AB86,Base_Mensuelle!$FL$67:$FY$679,2,0)</f>
        <v>111.81</v>
      </c>
      <c r="AD86" s="772">
        <f t="shared" si="3"/>
        <v>4.1974283867157514E-2</v>
      </c>
      <c r="AE86" s="20">
        <f t="shared" si="2"/>
        <v>0.03</v>
      </c>
      <c r="AF86" s="220">
        <f>VLOOKUP($AB86,Base_Mensuelle!$GP$67:$HR$679,2,0)</f>
        <v>349</v>
      </c>
      <c r="AG86" s="99">
        <f>VLOOKUP($AB86,Base_Mensuelle!$GP$67:$HR$679,3,0)</f>
        <v>266</v>
      </c>
      <c r="AH86" s="99">
        <f>VLOOKUP($AB86,Base_Mensuelle!$GP$67:$HR$679,14,0)</f>
        <v>2447</v>
      </c>
      <c r="AI86" s="99">
        <f>VLOOKUP($AB86,Base_Mensuelle!$GA$67:$GO$679,5,0)</f>
        <v>91.12</v>
      </c>
      <c r="AJ86" s="99">
        <f>VLOOKUP($AB86,Base_Mensuelle!$GA$67:$GO$679,6,0)</f>
        <v>128.06</v>
      </c>
      <c r="AK86" s="99">
        <f>VLOOKUP($AB86,Base_Mensuelle!$GA$67:$GO$679,7,0)</f>
        <v>107.49</v>
      </c>
      <c r="AL86" s="99">
        <f>VLOOKUP($AB86,Base_Mensuelle!$GA$67:$GO$679,3,0)</f>
        <v>102.87</v>
      </c>
      <c r="AM86" s="132">
        <f>VLOOKUP($AB86,Base_Mensuelle!$GA$67:$GO$679,4,0)</f>
        <v>116.46</v>
      </c>
      <c r="AN86" s="179">
        <f>VLOOKUP($AB86,Base_Mensuelle!$HS$67:$JV$679,9,0)</f>
        <v>303.66275024414063</v>
      </c>
      <c r="AO86" s="99">
        <f>VLOOKUP($AB86,Base_Mensuelle!$HS$67:$JV$679,23,0)</f>
        <v>249.74186706542969</v>
      </c>
      <c r="AP86" s="99">
        <f>VLOOKUP($AB86,Base_Mensuelle!$HS$67:$JV$679,39,0)</f>
        <v>400</v>
      </c>
      <c r="AQ86" s="99">
        <f>VLOOKUP($AB86,Base_Mensuelle!$HS$67:$JV$679,10,0)</f>
        <v>256.15877914428711</v>
      </c>
      <c r="AR86" s="132">
        <f>VLOOKUP($AB86,Base_Mensuelle!$HS$67:$JV$679,11,0)</f>
        <v>213.8157958984375</v>
      </c>
      <c r="AS86" s="733">
        <f>VLOOKUP($B86,Base_Mensuelle!$JW$67:$KZ$679,3,0)</f>
        <v>0</v>
      </c>
      <c r="AT86" s="734">
        <f>VLOOKUP($B86,Base_Mensuelle!$JW$67:$KZ$679,8,0)</f>
        <v>0</v>
      </c>
      <c r="AU86" s="733">
        <f>VLOOKUP($B86,Base_Mensuelle!$JW$67:$KZ$679,11,0)</f>
        <v>0</v>
      </c>
      <c r="AV86" s="734">
        <f>VLOOKUP($B86,Base_Mensuelle!$JW$67:$KZ$679,15,0)</f>
        <v>0</v>
      </c>
      <c r="AW86" s="733">
        <f>VLOOKUP($B86,Base_Mensuelle!$JW$67:$KZ$679,25,0)</f>
        <v>0</v>
      </c>
      <c r="AX86" s="734">
        <f>VLOOKUP($B86,Base_Mensuelle!$JW$67:$KZ$679,29,0)</f>
        <v>0</v>
      </c>
    </row>
    <row r="87" spans="1:50">
      <c r="A87" s="175">
        <f t="shared" si="0"/>
        <v>22</v>
      </c>
      <c r="B87" s="14">
        <f>INDEX(Base_Mensuelle!$BX$68:$CD$679,MAX(Base_Mensuelle!$CD$68:$CD$679)-A88,1)</f>
        <v>44621</v>
      </c>
      <c r="C87" s="179">
        <f>VLOOKUP($B87,Base_Mensuelle!$BX$68:$CD$679,C$2,0)</f>
        <v>595.45839999999998</v>
      </c>
      <c r="D87" s="99">
        <f>VLOOKUP($B87,Base_Mensuelle!$BX$68:$CD$679,D$2,0)</f>
        <v>655.95699999999999</v>
      </c>
      <c r="E87" s="99">
        <f>VLOOKUP($B87,Base_Mensuelle!$BX$68:$CD$679,E$2,0)</f>
        <v>640.55830000000003</v>
      </c>
      <c r="F87" s="99">
        <f>VLOOKUP($B87,Base_Mensuelle!$BX$68:$CD$679,F$2,0)</f>
        <v>39.835954000000001</v>
      </c>
      <c r="G87" s="132">
        <f>VLOOKUP($B87,Base_Mensuelle!$BX$68:$CD$679,G$2,0)</f>
        <v>82.333939000000001</v>
      </c>
      <c r="H87" s="99">
        <f>VLOOKUP($B87,Base_Mensuelle!$CF$68:$CJ$679,H$2,0)</f>
        <v>3.1113802060000002</v>
      </c>
      <c r="I87" s="132">
        <f>VLOOKUP($B87,Base_Mensuelle!$CF$68:$CJ$679,I$2,0)</f>
        <v>1947.83</v>
      </c>
      <c r="J87" s="19">
        <f>VLOOKUP($B87,Base_Mensuelle!$CY$67:$DE$679,5,0)</f>
        <v>0</v>
      </c>
      <c r="K87" s="99">
        <f>VLOOKUP($B87,Base_Mensuelle!$CY$67:$DE$679,2,0)</f>
        <v>0</v>
      </c>
      <c r="L87" s="93"/>
      <c r="M87" s="182">
        <f>VLOOKUP($B87,Base_Mensuelle!$DG$67:$DN$679,2,0)</f>
        <v>513598.73280074878</v>
      </c>
      <c r="N87" s="182">
        <f>VLOOKUP($B87,Base_Mensuelle!$DG$68:$DO$679,9,0)</f>
        <v>4775086.0340203578</v>
      </c>
      <c r="O87" s="93"/>
      <c r="P87" s="20"/>
      <c r="Q87" s="14">
        <f>INDEX(Base_Mensuelle!$BX$68:$CD$679,MAX(Base_Mensuelle!$PD$68:$PD$679)-A88,1)</f>
        <v>44621</v>
      </c>
      <c r="R87" s="733">
        <f>VLOOKUP($Q87,Base_Mensuelle!$OF$67:$RN$679,12,0)</f>
        <v>2406.6066683119998</v>
      </c>
      <c r="S87" s="570">
        <f>VLOOKUP($Q87,Base_Mensuelle!$OF$67:$RN$679,15,0)</f>
        <v>3741.5916782479999</v>
      </c>
      <c r="T87" s="570">
        <f>VLOOKUP($Q87,Base_Mensuelle!$OF$67:$RN$679,22,0)</f>
        <v>1079.9953578300001</v>
      </c>
      <c r="U87" s="734">
        <f>VLOOKUP($Q87,Base_Mensuelle!$OF$67:$RN$679,16,0)</f>
        <v>135.87469418499995</v>
      </c>
      <c r="V87" s="733">
        <f>VLOOKUP($Q87,Base_Mensuelle!$OF$67:$RN$679,27,0)</f>
        <v>214.43066831200008</v>
      </c>
      <c r="W87" s="570">
        <f>VLOOKUP($Q87,Base_Mensuelle!$OF$67:$RN$679,31,0)</f>
        <v>72.653896523000014</v>
      </c>
      <c r="X87" s="570">
        <f>VLOOKUP($Q87,Base_Mensuelle!$OF$67:$RN$679,33,0)</f>
        <v>217.383413088</v>
      </c>
      <c r="Y87" s="570">
        <f>VLOOKUP($Q87,Base_Mensuelle!$OF$67:$RN$679,65,0)</f>
        <v>3597.482</v>
      </c>
      <c r="Z87" s="570">
        <f>VLOOKUP($Q87,Base_Mensuelle!$OF$67:$RN$679,39,0)</f>
        <v>1232.928772282</v>
      </c>
      <c r="AA87" s="734">
        <f>VLOOKUP($Q87,Base_Mensuelle!$OF$67:$RN$679,51,0)</f>
        <v>2.9072056179999999</v>
      </c>
      <c r="AB87" s="14">
        <f>INDEX(Base_Mensuelle!$BX$68:$CD$679,MAX(Base_Mensuelle!$FZ$68:$FZ$679)-A87,1)</f>
        <v>44593</v>
      </c>
      <c r="AC87" s="179">
        <f>VLOOKUP($AB87,Base_Mensuelle!$FL$67:$FY$679,2,0)</f>
        <v>114.39</v>
      </c>
      <c r="AD87" s="772">
        <f t="shared" si="3"/>
        <v>4.8964984018428748E-2</v>
      </c>
      <c r="AE87" s="20">
        <f t="shared" si="2"/>
        <v>0.03</v>
      </c>
      <c r="AF87" s="220">
        <f>VLOOKUP($AB87,Base_Mensuelle!$GP$67:$HR$679,2,0)</f>
        <v>354</v>
      </c>
      <c r="AG87" s="99">
        <f>VLOOKUP($AB87,Base_Mensuelle!$GP$67:$HR$679,3,0)</f>
        <v>288</v>
      </c>
      <c r="AH87" s="99">
        <f>VLOOKUP($AB87,Base_Mensuelle!$GP$67:$HR$679,14,0)</f>
        <v>2373</v>
      </c>
      <c r="AI87" s="99">
        <f>VLOOKUP($AB87,Base_Mensuelle!$GA$67:$GO$679,5,0)</f>
        <v>94.75</v>
      </c>
      <c r="AJ87" s="99">
        <f>VLOOKUP($AB87,Base_Mensuelle!$GA$67:$GO$679,6,0)</f>
        <v>134.32</v>
      </c>
      <c r="AK87" s="99">
        <f>VLOOKUP($AB87,Base_Mensuelle!$GA$67:$GO$679,7,0)</f>
        <v>108.08</v>
      </c>
      <c r="AL87" s="99">
        <f>VLOOKUP($AB87,Base_Mensuelle!$GA$67:$GO$679,3,0)</f>
        <v>103.9</v>
      </c>
      <c r="AM87" s="132">
        <f>VLOOKUP($AB87,Base_Mensuelle!$GA$67:$GO$679,4,0)</f>
        <v>119.76</v>
      </c>
      <c r="AN87" s="179">
        <f>VLOOKUP($AB87,Base_Mensuelle!$HS$67:$JV$679,9,0)</f>
        <v>358.31101226806641</v>
      </c>
      <c r="AO87" s="99">
        <f>VLOOKUP($AB87,Base_Mensuelle!$HS$67:$JV$679,23,0)</f>
        <v>278.7816276550293</v>
      </c>
      <c r="AP87" s="99">
        <f>VLOOKUP($AB87,Base_Mensuelle!$HS$67:$JV$679,39,0)</f>
        <v>0</v>
      </c>
      <c r="AQ87" s="99">
        <f>VLOOKUP($AB87,Base_Mensuelle!$HS$67:$JV$679,10,0)</f>
        <v>262.63953018188477</v>
      </c>
      <c r="AR87" s="132">
        <f>VLOOKUP($AB87,Base_Mensuelle!$HS$67:$JV$679,11,0)</f>
        <v>233.55263137817383</v>
      </c>
      <c r="AS87" s="733">
        <f>VLOOKUP($B87,Base_Mensuelle!$JW$67:$KZ$679,3,0)</f>
        <v>0</v>
      </c>
      <c r="AT87" s="734">
        <f>VLOOKUP($B87,Base_Mensuelle!$JW$67:$KZ$679,8,0)</f>
        <v>0</v>
      </c>
      <c r="AU87" s="733">
        <f>VLOOKUP($B87,Base_Mensuelle!$JW$67:$KZ$679,11,0)</f>
        <v>0</v>
      </c>
      <c r="AV87" s="734">
        <f>VLOOKUP($B87,Base_Mensuelle!$JW$67:$KZ$679,15,0)</f>
        <v>0</v>
      </c>
      <c r="AW87" s="733">
        <f>VLOOKUP($B87,Base_Mensuelle!$JW$67:$KZ$679,25,0)</f>
        <v>0</v>
      </c>
      <c r="AX87" s="734">
        <f>VLOOKUP($B87,Base_Mensuelle!$JW$67:$KZ$679,29,0)</f>
        <v>0</v>
      </c>
    </row>
    <row r="88" spans="1:50">
      <c r="A88" s="175">
        <f t="shared" si="0"/>
        <v>21</v>
      </c>
      <c r="B88" s="14">
        <f>INDEX(Base_Mensuelle!$BX$68:$CD$679,MAX(Base_Mensuelle!$CD$68:$CD$679)-A89,1)</f>
        <v>44652</v>
      </c>
      <c r="C88" s="179">
        <f>VLOOKUP($B88,Base_Mensuelle!$BX$68:$CD$679,C$2,0)</f>
        <v>607.45389999999998</v>
      </c>
      <c r="D88" s="99">
        <f>VLOOKUP($B88,Base_Mensuelle!$BX$68:$CD$679,D$2,0)</f>
        <v>655.95699999999999</v>
      </c>
      <c r="E88" s="99">
        <f>VLOOKUP($B88,Base_Mensuelle!$BX$68:$CD$679,E$2,0)</f>
        <v>642.3433</v>
      </c>
      <c r="F88" s="99">
        <f>VLOOKUP($B88,Base_Mensuelle!$BX$68:$CD$679,F$2,0)</f>
        <v>40.417828</v>
      </c>
      <c r="G88" s="132">
        <f>VLOOKUP($B88,Base_Mensuelle!$BX$68:$CD$679,G$2,0)</f>
        <v>80.578254000000001</v>
      </c>
      <c r="H88" s="99">
        <f>VLOOKUP($B88,Base_Mensuelle!$CF$68:$CJ$679,H$2,0)</f>
        <v>3.4242157839999998</v>
      </c>
      <c r="I88" s="132">
        <f>VLOOKUP($B88,Base_Mensuelle!$CF$68:$CJ$679,I$2,0)</f>
        <v>1936.86</v>
      </c>
      <c r="J88" s="19">
        <f>VLOOKUP($B88,Base_Mensuelle!$CY$67:$DE$679,5,0)</f>
        <v>0</v>
      </c>
      <c r="K88" s="99">
        <f>VLOOKUP($B88,Base_Mensuelle!$CY$67:$DE$679,2,0)</f>
        <v>0</v>
      </c>
      <c r="L88" s="93"/>
      <c r="M88" s="182">
        <f>VLOOKUP($B88,Base_Mensuelle!$DG$67:$DN$679,2,0)</f>
        <v>502672</v>
      </c>
      <c r="N88" s="182">
        <f>VLOOKUP($B88,Base_Mensuelle!$DG$68:$DO$679,9,0)</f>
        <v>8377437</v>
      </c>
      <c r="O88" s="93"/>
      <c r="P88" s="20"/>
      <c r="Q88" s="14">
        <f>INDEX(Base_Mensuelle!$BX$68:$CD$679,MAX(Base_Mensuelle!$PD$68:$PD$679)-A89,1)</f>
        <v>44652</v>
      </c>
      <c r="R88" s="733">
        <f>VLOOKUP($Q88,Base_Mensuelle!$OF$67:$RN$679,12,0)</f>
        <v>2319.9172272100004</v>
      </c>
      <c r="S88" s="570">
        <f>VLOOKUP($Q88,Base_Mensuelle!$OF$67:$RN$679,15,0)</f>
        <v>3640.1557074620005</v>
      </c>
      <c r="T88" s="570">
        <f>VLOOKUP($Q88,Base_Mensuelle!$OF$67:$RN$679,22,0)</f>
        <v>1057.4272607299999</v>
      </c>
      <c r="U88" s="734">
        <f>VLOOKUP($Q88,Base_Mensuelle!$OF$67:$RN$679,16,0)</f>
        <v>-16.377977840999954</v>
      </c>
      <c r="V88" s="733">
        <f>VLOOKUP($Q88,Base_Mensuelle!$OF$67:$RN$679,27,0)</f>
        <v>77.1182272100001</v>
      </c>
      <c r="W88" s="570">
        <f>VLOOKUP($Q88,Base_Mensuelle!$OF$67:$RN$679,31,0)</f>
        <v>27.00122449700001</v>
      </c>
      <c r="X88" s="570">
        <f>VLOOKUP($Q88,Base_Mensuelle!$OF$67:$RN$679,33,0)</f>
        <v>263.06139532999998</v>
      </c>
      <c r="Y88" s="570">
        <f>VLOOKUP($Q88,Base_Mensuelle!$OF$67:$RN$679,65,0)</f>
        <v>3648.3450000000003</v>
      </c>
      <c r="Z88" s="570">
        <f>VLOOKUP($Q88,Base_Mensuelle!$OF$67:$RN$679,39,0)</f>
        <v>1243.8881176500001</v>
      </c>
      <c r="AA88" s="734">
        <f>VLOOKUP($Q88,Base_Mensuelle!$OF$67:$RN$679,51,0)</f>
        <v>3.4986653839999997</v>
      </c>
      <c r="AB88" s="14">
        <f>INDEX(Base_Mensuelle!$BX$68:$CD$679,MAX(Base_Mensuelle!$FZ$68:$FZ$679)-A88,1)</f>
        <v>44621</v>
      </c>
      <c r="AC88" s="179">
        <f>VLOOKUP($AB88,Base_Mensuelle!$FL$67:$FY$679,2,0)</f>
        <v>118.64</v>
      </c>
      <c r="AD88" s="772">
        <f t="shared" si="3"/>
        <v>5.8036495537489907E-2</v>
      </c>
      <c r="AE88" s="20">
        <f t="shared" si="2"/>
        <v>0.03</v>
      </c>
      <c r="AF88" s="220">
        <f>VLOOKUP($AB88,Base_Mensuelle!$GP$67:$HR$679,2,0)</f>
        <v>390</v>
      </c>
      <c r="AG88" s="99">
        <f>VLOOKUP($AB88,Base_Mensuelle!$GP$67:$HR$679,3,0)</f>
        <v>322</v>
      </c>
      <c r="AH88" s="99">
        <f>VLOOKUP($AB88,Base_Mensuelle!$GP$67:$HR$679,14,0)</f>
        <v>2604</v>
      </c>
      <c r="AI88" s="99">
        <f>VLOOKUP($AB88,Base_Mensuelle!$GA$67:$GO$679,5,0)</f>
        <v>93.92</v>
      </c>
      <c r="AJ88" s="99">
        <f>VLOOKUP($AB88,Base_Mensuelle!$GA$67:$GO$679,6,0)</f>
        <v>145.58000000000001</v>
      </c>
      <c r="AK88" s="99">
        <f>VLOOKUP($AB88,Base_Mensuelle!$GA$67:$GO$679,7,0)</f>
        <v>109.17</v>
      </c>
      <c r="AL88" s="99">
        <f>VLOOKUP($AB88,Base_Mensuelle!$GA$67:$GO$679,3,0)</f>
        <v>104.5</v>
      </c>
      <c r="AM88" s="132">
        <f>VLOOKUP($AB88,Base_Mensuelle!$GA$67:$GO$679,4,0)</f>
        <v>125.39</v>
      </c>
      <c r="AN88" s="179">
        <f>VLOOKUP($AB88,Base_Mensuelle!$HS$67:$JV$679,9,0)</f>
        <v>409.56693649291992</v>
      </c>
      <c r="AO88" s="99">
        <f>VLOOKUP($AB88,Base_Mensuelle!$HS$67:$JV$679,23,0)</f>
        <v>299.32193374633789</v>
      </c>
      <c r="AP88" s="99">
        <f>VLOOKUP($AB88,Base_Mensuelle!$HS$67:$JV$679,39,0)</f>
        <v>450</v>
      </c>
      <c r="AQ88" s="99">
        <f>VLOOKUP($AB88,Base_Mensuelle!$HS$67:$JV$679,10,0)</f>
        <v>297.39339599609377</v>
      </c>
      <c r="AR88" s="132">
        <f>VLOOKUP($AB88,Base_Mensuelle!$HS$67:$JV$679,11,0)</f>
        <v>256.57894897460938</v>
      </c>
      <c r="AS88" s="733">
        <f>VLOOKUP($B88,Base_Mensuelle!$JW$67:$KZ$679,3,0)</f>
        <v>0</v>
      </c>
      <c r="AT88" s="734">
        <f>VLOOKUP($B88,Base_Mensuelle!$JW$67:$KZ$679,8,0)</f>
        <v>0</v>
      </c>
      <c r="AU88" s="733">
        <f>VLOOKUP($B88,Base_Mensuelle!$JW$67:$KZ$679,11,0)</f>
        <v>0</v>
      </c>
      <c r="AV88" s="734">
        <f>VLOOKUP($B88,Base_Mensuelle!$JW$67:$KZ$679,15,0)</f>
        <v>0</v>
      </c>
      <c r="AW88" s="733">
        <f>VLOOKUP($B88,Base_Mensuelle!$JW$67:$KZ$679,25,0)</f>
        <v>0</v>
      </c>
      <c r="AX88" s="734">
        <f>VLOOKUP($B88,Base_Mensuelle!$JW$67:$KZ$679,29,0)</f>
        <v>0</v>
      </c>
    </row>
    <row r="89" spans="1:50">
      <c r="A89" s="175">
        <f t="shared" si="0"/>
        <v>20</v>
      </c>
      <c r="B89" s="14">
        <f>INDEX(Base_Mensuelle!$BX$68:$CD$679,MAX(Base_Mensuelle!$CD$68:$CD$679)-A90,1)</f>
        <v>44682</v>
      </c>
      <c r="C89" s="179">
        <f>VLOOKUP($B89,Base_Mensuelle!$BX$68:$CD$679,C$2,0)</f>
        <v>619.9171</v>
      </c>
      <c r="D89" s="99">
        <f>VLOOKUP($B89,Base_Mensuelle!$BX$68:$CD$679,D$2,0)</f>
        <v>655.95699999999999</v>
      </c>
      <c r="E89" s="99">
        <f>VLOOKUP($B89,Base_Mensuelle!$BX$68:$CD$679,E$2,0)</f>
        <v>633.06219999999996</v>
      </c>
      <c r="F89" s="99">
        <f>VLOOKUP($B89,Base_Mensuelle!$BX$68:$CD$679,F$2,0)</f>
        <v>39.015141999999997</v>
      </c>
      <c r="G89" s="132">
        <f>VLOOKUP($B89,Base_Mensuelle!$BX$68:$CD$679,G$2,0)</f>
        <v>81.118624999999994</v>
      </c>
      <c r="H89" s="99">
        <f>VLOOKUP($B89,Base_Mensuelle!$CF$68:$CJ$679,H$2,0)</f>
        <v>3.6100652499999999</v>
      </c>
      <c r="I89" s="132">
        <f>VLOOKUP($B89,Base_Mensuelle!$CF$68:$CJ$679,I$2,0)</f>
        <v>1848.5</v>
      </c>
      <c r="J89" s="19">
        <f>VLOOKUP($B89,Base_Mensuelle!$CY$67:$DE$679,5,0)</f>
        <v>0</v>
      </c>
      <c r="K89" s="99">
        <f>VLOOKUP($B89,Base_Mensuelle!$CY$67:$DE$679,2,0)</f>
        <v>0</v>
      </c>
      <c r="L89" s="93"/>
      <c r="M89" s="182">
        <f>VLOOKUP($B89,Base_Mensuelle!$DG$67:$DN$679,2,0)</f>
        <v>504036</v>
      </c>
      <c r="N89" s="182">
        <f>VLOOKUP($B89,Base_Mensuelle!$DG$68:$DO$679,9,0)</f>
        <v>8023995</v>
      </c>
      <c r="O89" s="93"/>
      <c r="P89" s="20"/>
      <c r="Q89" s="14">
        <f>INDEX(Base_Mensuelle!$BX$68:$CD$679,MAX(Base_Mensuelle!$PD$68:$PD$679)-A90,1)</f>
        <v>44682</v>
      </c>
      <c r="R89" s="733">
        <f>VLOOKUP($Q89,Base_Mensuelle!$OF$67:$RN$679,12,0)</f>
        <v>2225.5983469760004</v>
      </c>
      <c r="S89" s="570">
        <f>VLOOKUP($Q89,Base_Mensuelle!$OF$67:$RN$679,15,0)</f>
        <v>3784.0068229709996</v>
      </c>
      <c r="T89" s="570">
        <f>VLOOKUP($Q89,Base_Mensuelle!$OF$67:$RN$679,22,0)</f>
        <v>1051.1620466519998</v>
      </c>
      <c r="U89" s="734">
        <f>VLOOKUP($Q89,Base_Mensuelle!$OF$67:$RN$679,16,0)</f>
        <v>60.933205928000071</v>
      </c>
      <c r="V89" s="733">
        <f>VLOOKUP($Q89,Base_Mensuelle!$OF$67:$RN$679,27,0)</f>
        <v>28.015346975999933</v>
      </c>
      <c r="W89" s="570">
        <f>VLOOKUP($Q89,Base_Mensuelle!$OF$67:$RN$679,31,0)</f>
        <v>25.766408265999985</v>
      </c>
      <c r="X89" s="570">
        <f>VLOOKUP($Q89,Base_Mensuelle!$OF$67:$RN$679,33,0)</f>
        <v>264.32097923000003</v>
      </c>
      <c r="Y89" s="570">
        <f>VLOOKUP($Q89,Base_Mensuelle!$OF$67:$RN$679,65,0)</f>
        <v>3714.31</v>
      </c>
      <c r="Z89" s="570">
        <f>VLOOKUP($Q89,Base_Mensuelle!$OF$67:$RN$679,39,0)</f>
        <v>1237.7954860929999</v>
      </c>
      <c r="AA89" s="734">
        <f>VLOOKUP($Q89,Base_Mensuelle!$OF$67:$RN$679,51,0)</f>
        <v>4.6377861110000005</v>
      </c>
      <c r="AB89" s="14">
        <f>INDEX(Base_Mensuelle!$BX$68:$CD$679,MAX(Base_Mensuelle!$FZ$68:$FZ$679)-A89,1)</f>
        <v>44652</v>
      </c>
      <c r="AC89" s="179">
        <f>VLOOKUP($AB89,Base_Mensuelle!$FL$67:$FY$679,2,0)</f>
        <v>122.22</v>
      </c>
      <c r="AD89" s="772">
        <f t="shared" si="3"/>
        <v>6.6865856171440363E-2</v>
      </c>
      <c r="AE89" s="20">
        <f t="shared" si="2"/>
        <v>0.03</v>
      </c>
      <c r="AF89" s="220">
        <f>VLOOKUP($AB89,Base_Mensuelle!$GP$67:$HR$679,2,0)</f>
        <v>401</v>
      </c>
      <c r="AG89" s="99">
        <f>VLOOKUP($AB89,Base_Mensuelle!$GP$67:$HR$679,3,0)</f>
        <v>360</v>
      </c>
      <c r="AH89" s="99">
        <f>VLOOKUP($AB89,Base_Mensuelle!$GP$67:$HR$679,14,0)</f>
        <v>2559</v>
      </c>
      <c r="AI89" s="99">
        <f>VLOOKUP($AB89,Base_Mensuelle!$GA$67:$GO$679,5,0)</f>
        <v>97.37</v>
      </c>
      <c r="AJ89" s="99">
        <f>VLOOKUP($AB89,Base_Mensuelle!$GA$67:$GO$679,6,0)</f>
        <v>156.66</v>
      </c>
      <c r="AK89" s="99">
        <f>VLOOKUP($AB89,Base_Mensuelle!$GA$67:$GO$679,7,0)</f>
        <v>109.71</v>
      </c>
      <c r="AL89" s="99">
        <f>VLOOKUP($AB89,Base_Mensuelle!$GA$67:$GO$679,3,0)</f>
        <v>107.38</v>
      </c>
      <c r="AM89" s="132">
        <f>VLOOKUP($AB89,Base_Mensuelle!$GA$67:$GO$679,4,0)</f>
        <v>129.43</v>
      </c>
      <c r="AN89" s="179">
        <f>VLOOKUP($AB89,Base_Mensuelle!$HS$67:$JV$679,9,0)</f>
        <v>416.55543518066406</v>
      </c>
      <c r="AO89" s="99">
        <f>VLOOKUP($AB89,Base_Mensuelle!$HS$67:$JV$679,23,0)</f>
        <v>338.9649658203125</v>
      </c>
      <c r="AP89" s="99">
        <f>VLOOKUP($AB89,Base_Mensuelle!$HS$67:$JV$679,39,0)</f>
        <v>500</v>
      </c>
      <c r="AQ89" s="99">
        <f>VLOOKUP($AB89,Base_Mensuelle!$HS$67:$JV$679,10,0)</f>
        <v>372.65917205810547</v>
      </c>
      <c r="AR89" s="132">
        <f>VLOOKUP($AB89,Base_Mensuelle!$HS$67:$JV$679,11,0)</f>
        <v>302.631591796875</v>
      </c>
      <c r="AS89" s="733">
        <f>VLOOKUP($B89,Base_Mensuelle!$JW$67:$KZ$679,3,0)</f>
        <v>0</v>
      </c>
      <c r="AT89" s="734">
        <f>VLOOKUP($B89,Base_Mensuelle!$JW$67:$KZ$679,8,0)</f>
        <v>0</v>
      </c>
      <c r="AU89" s="733">
        <f>VLOOKUP($B89,Base_Mensuelle!$JW$67:$KZ$679,11,0)</f>
        <v>0</v>
      </c>
      <c r="AV89" s="734">
        <f>VLOOKUP($B89,Base_Mensuelle!$JW$67:$KZ$679,15,0)</f>
        <v>0</v>
      </c>
      <c r="AW89" s="733">
        <f>VLOOKUP($B89,Base_Mensuelle!$JW$67:$KZ$679,25,0)</f>
        <v>0</v>
      </c>
      <c r="AX89" s="734">
        <f>VLOOKUP($B89,Base_Mensuelle!$JW$67:$KZ$679,29,0)</f>
        <v>0</v>
      </c>
    </row>
    <row r="90" spans="1:50">
      <c r="A90" s="175">
        <f t="shared" si="0"/>
        <v>19</v>
      </c>
      <c r="B90" s="14">
        <f>INDEX(Base_Mensuelle!$BX$68:$CD$679,MAX(Base_Mensuelle!$CD$68:$CD$679)-A91,1)</f>
        <v>44713</v>
      </c>
      <c r="C90" s="179">
        <f>VLOOKUP($B90,Base_Mensuelle!$BX$68:$CD$679,C$2,0)</f>
        <v>620.94889999999998</v>
      </c>
      <c r="D90" s="99">
        <f>VLOOKUP($B90,Base_Mensuelle!$BX$68:$CD$679,D$2,0)</f>
        <v>655.95699999999999</v>
      </c>
      <c r="E90" s="99">
        <f>VLOOKUP($B90,Base_Mensuelle!$BX$68:$CD$679,E$2,0)</f>
        <v>640.17939999999999</v>
      </c>
      <c r="F90" s="99">
        <f>VLOOKUP($B90,Base_Mensuelle!$BX$68:$CD$679,F$2,0)</f>
        <v>39.235460000000003</v>
      </c>
      <c r="G90" s="132">
        <f>VLOOKUP($B90,Base_Mensuelle!$BX$68:$CD$679,G$2,0)</f>
        <v>78.363695000000007</v>
      </c>
      <c r="H90" s="99">
        <f>VLOOKUP($B90,Base_Mensuelle!$CF$68:$CJ$679,H$2,0)</f>
        <v>3.3988626540000002</v>
      </c>
      <c r="I90" s="132">
        <f>VLOOKUP($B90,Base_Mensuelle!$CF$68:$CJ$679,I$2,0)</f>
        <v>1836.57</v>
      </c>
      <c r="J90" s="19">
        <f>VLOOKUP($B90,Base_Mensuelle!$CY$67:$DE$679,5,0)</f>
        <v>0</v>
      </c>
      <c r="K90" s="99">
        <f>VLOOKUP($B90,Base_Mensuelle!$CY$67:$DE$679,2,0)</f>
        <v>0</v>
      </c>
      <c r="L90" s="93"/>
      <c r="M90" s="182">
        <f>VLOOKUP($B90,Base_Mensuelle!$DG$67:$DN$679,2,0)</f>
        <v>507957</v>
      </c>
      <c r="N90" s="182">
        <f>VLOOKUP($B90,Base_Mensuelle!$DG$68:$DO$679,9,0)</f>
        <v>7421695</v>
      </c>
      <c r="O90" s="93"/>
      <c r="P90" s="20"/>
      <c r="Q90" s="14">
        <f>INDEX(Base_Mensuelle!$BX$68:$CD$679,MAX(Base_Mensuelle!$PD$68:$PD$679)-A91,1)</f>
        <v>44713</v>
      </c>
      <c r="R90" s="733">
        <f>VLOOKUP($Q90,Base_Mensuelle!$OF$67:$RN$679,12,0)</f>
        <v>2297.0984696430005</v>
      </c>
      <c r="S90" s="570">
        <f>VLOOKUP($Q90,Base_Mensuelle!$OF$67:$RN$679,15,0)</f>
        <v>3954.5169609490003</v>
      </c>
      <c r="T90" s="570">
        <f>VLOOKUP($Q90,Base_Mensuelle!$OF$67:$RN$679,22,0)</f>
        <v>1122.2492673640002</v>
      </c>
      <c r="U90" s="734">
        <f>VLOOKUP($Q90,Base_Mensuelle!$OF$67:$RN$679,16,0)</f>
        <v>79.667420164000049</v>
      </c>
      <c r="V90" s="733">
        <f>VLOOKUP($Q90,Base_Mensuelle!$OF$67:$RN$679,27,0)</f>
        <v>-2.0185303570000315</v>
      </c>
      <c r="W90" s="570">
        <f>VLOOKUP($Q90,Base_Mensuelle!$OF$67:$RN$679,31,0)</f>
        <v>43.234622502000008</v>
      </c>
      <c r="X90" s="570">
        <f>VLOOKUP($Q90,Base_Mensuelle!$OF$67:$RN$679,33,0)</f>
        <v>239.01278034800001</v>
      </c>
      <c r="Y90" s="570">
        <f>VLOOKUP($Q90,Base_Mensuelle!$OF$67:$RN$679,65,0)</f>
        <v>3865.9490000000001</v>
      </c>
      <c r="Z90" s="570">
        <f>VLOOKUP($Q90,Base_Mensuelle!$OF$67:$RN$679,39,0)</f>
        <v>1228.7503124</v>
      </c>
      <c r="AA90" s="734">
        <f>VLOOKUP($Q90,Base_Mensuelle!$OF$67:$RN$679,51,0)</f>
        <v>6.1035875940000004</v>
      </c>
      <c r="AB90" s="14">
        <f>INDEX(Base_Mensuelle!$BX$68:$CD$679,MAX(Base_Mensuelle!$FZ$68:$FZ$679)-A90,1)</f>
        <v>44682</v>
      </c>
      <c r="AC90" s="179">
        <f>VLOOKUP($AB90,Base_Mensuelle!$FL$67:$FY$679,2,0)</f>
        <v>124.51</v>
      </c>
      <c r="AD90" s="772">
        <f t="shared" si="3"/>
        <v>7.7905744253373488E-2</v>
      </c>
      <c r="AE90" s="20">
        <f t="shared" si="2"/>
        <v>0.03</v>
      </c>
      <c r="AF90" s="220">
        <f>VLOOKUP($AB90,Base_Mensuelle!$GP$67:$HR$679,2,0)</f>
        <v>416</v>
      </c>
      <c r="AG90" s="99">
        <f>VLOOKUP($AB90,Base_Mensuelle!$GP$67:$HR$679,3,0)</f>
        <v>375</v>
      </c>
      <c r="AH90" s="99">
        <f>VLOOKUP($AB90,Base_Mensuelle!$GP$67:$HR$679,14,0)</f>
        <v>2567</v>
      </c>
      <c r="AI90" s="99">
        <f>VLOOKUP($AB90,Base_Mensuelle!$GA$67:$GO$679,5,0)</f>
        <v>102.37</v>
      </c>
      <c r="AJ90" s="99">
        <f>VLOOKUP($AB90,Base_Mensuelle!$GA$67:$GO$679,6,0)</f>
        <v>161.35</v>
      </c>
      <c r="AK90" s="99">
        <f>VLOOKUP($AB90,Base_Mensuelle!$GA$67:$GO$679,7,0)</f>
        <v>110.98</v>
      </c>
      <c r="AL90" s="99">
        <f>VLOOKUP($AB90,Base_Mensuelle!$GA$67:$GO$679,3,0)</f>
        <v>107.75</v>
      </c>
      <c r="AM90" s="132">
        <f>VLOOKUP($AB90,Base_Mensuelle!$GA$67:$GO$679,4,0)</f>
        <v>132.58000000000001</v>
      </c>
      <c r="AN90" s="179">
        <f>VLOOKUP($AB90,Base_Mensuelle!$HS$67:$JV$679,9,0)</f>
        <v>410.82721252441405</v>
      </c>
      <c r="AO90" s="99">
        <f>VLOOKUP($AB90,Base_Mensuelle!$HS$67:$JV$679,23,0)</f>
        <v>341.29609298706055</v>
      </c>
      <c r="AP90" s="99">
        <f>VLOOKUP($AB90,Base_Mensuelle!$HS$67:$JV$679,39,0)</f>
        <v>500</v>
      </c>
      <c r="AQ90" s="99">
        <f>VLOOKUP($AB90,Base_Mensuelle!$HS$67:$JV$679,10,0)</f>
        <v>363.97058868408203</v>
      </c>
      <c r="AR90" s="132">
        <f>VLOOKUP($AB90,Base_Mensuelle!$HS$67:$JV$679,11,0)</f>
        <v>306.62569580078127</v>
      </c>
      <c r="AS90" s="733">
        <f>VLOOKUP($B90,Base_Mensuelle!$JW$67:$KZ$679,3,0)</f>
        <v>0</v>
      </c>
      <c r="AT90" s="734">
        <f>VLOOKUP($B90,Base_Mensuelle!$JW$67:$KZ$679,8,0)</f>
        <v>0</v>
      </c>
      <c r="AU90" s="733">
        <f>VLOOKUP($B90,Base_Mensuelle!$JW$67:$KZ$679,11,0)</f>
        <v>0</v>
      </c>
      <c r="AV90" s="734">
        <f>VLOOKUP($B90,Base_Mensuelle!$JW$67:$KZ$679,15,0)</f>
        <v>0</v>
      </c>
      <c r="AW90" s="733">
        <f>VLOOKUP($B90,Base_Mensuelle!$JW$67:$KZ$679,25,0)</f>
        <v>0</v>
      </c>
      <c r="AX90" s="734">
        <f>VLOOKUP($B90,Base_Mensuelle!$JW$67:$KZ$679,29,0)</f>
        <v>0</v>
      </c>
    </row>
    <row r="91" spans="1:50">
      <c r="A91" s="175">
        <f t="shared" ref="A91:A109" si="4">A92+1</f>
        <v>18</v>
      </c>
      <c r="B91" s="14">
        <f>INDEX(Base_Mensuelle!$BX$68:$CD$679,MAX(Base_Mensuelle!$CD$68:$CD$679)-A92,1)</f>
        <v>44743</v>
      </c>
      <c r="C91" s="179">
        <f>VLOOKUP($B91,Base_Mensuelle!$BX$68:$CD$679,C$2,0)</f>
        <v>644.24630000000002</v>
      </c>
      <c r="D91" s="99">
        <f>VLOOKUP($B91,Base_Mensuelle!$BX$68:$CD$679,D$2,0)</f>
        <v>655.95699999999999</v>
      </c>
      <c r="E91" s="99">
        <f>VLOOKUP($B91,Base_Mensuelle!$BX$68:$CD$679,E$2,0)</f>
        <v>664.63850000000002</v>
      </c>
      <c r="F91" s="99">
        <f>VLOOKUP($B91,Base_Mensuelle!$BX$68:$CD$679,F$2,0)</f>
        <v>38.259470999999998</v>
      </c>
      <c r="G91" s="132">
        <f>VLOOKUP($B91,Base_Mensuelle!$BX$68:$CD$679,G$2,0)</f>
        <v>78.966341</v>
      </c>
      <c r="H91" s="99">
        <f>VLOOKUP($B91,Base_Mensuelle!$CF$68:$CJ$679,H$2,0)</f>
        <v>2.8887135860000002</v>
      </c>
      <c r="I91" s="132">
        <f>VLOOKUP($B91,Base_Mensuelle!$CF$68:$CJ$679,I$2,0)</f>
        <v>1732.74</v>
      </c>
      <c r="J91" s="19">
        <f>VLOOKUP($B91,Base_Mensuelle!$CY$67:$DE$679,5,0)</f>
        <v>0</v>
      </c>
      <c r="K91" s="99">
        <f>VLOOKUP($B91,Base_Mensuelle!$CY$67:$DE$679,2,0)</f>
        <v>0</v>
      </c>
      <c r="L91" s="93"/>
      <c r="M91" s="182">
        <f>VLOOKUP($B91,Base_Mensuelle!$DG$67:$DN$679,2,0)</f>
        <v>507834</v>
      </c>
      <c r="N91" s="182">
        <f>VLOOKUP($B91,Base_Mensuelle!$DG$68:$DO$679,9,0)</f>
        <v>7078121</v>
      </c>
      <c r="O91" s="93"/>
      <c r="P91" s="20"/>
      <c r="Q91" s="14">
        <f>INDEX(Base_Mensuelle!$BX$68:$CD$679,MAX(Base_Mensuelle!$PD$68:$PD$679)-A92,1)</f>
        <v>44743</v>
      </c>
      <c r="R91" s="733">
        <f>VLOOKUP($Q91,Base_Mensuelle!$OF$67:$RN$679,12,0)</f>
        <v>2254.5938493650006</v>
      </c>
      <c r="S91" s="570">
        <f>VLOOKUP($Q91,Base_Mensuelle!$OF$67:$RN$679,15,0)</f>
        <v>3920.7905950890004</v>
      </c>
      <c r="T91" s="570">
        <f>VLOOKUP($Q91,Base_Mensuelle!$OF$67:$RN$679,22,0)</f>
        <v>1122.010411798</v>
      </c>
      <c r="U91" s="734">
        <f>VLOOKUP($Q91,Base_Mensuelle!$OF$67:$RN$679,16,0)</f>
        <v>28.152355716000166</v>
      </c>
      <c r="V91" s="733">
        <f>VLOOKUP($Q91,Base_Mensuelle!$OF$67:$RN$679,27,0)</f>
        <v>-47.130150634999836</v>
      </c>
      <c r="W91" s="570">
        <f>VLOOKUP($Q91,Base_Mensuelle!$OF$67:$RN$679,31,0)</f>
        <v>9.4365580539999883</v>
      </c>
      <c r="X91" s="570">
        <f>VLOOKUP($Q91,Base_Mensuelle!$OF$67:$RN$679,33,0)</f>
        <v>272.20940082999999</v>
      </c>
      <c r="Y91" s="570">
        <f>VLOOKUP($Q91,Base_Mensuelle!$OF$67:$RN$679,65,0)</f>
        <v>3884.163</v>
      </c>
      <c r="Z91" s="570">
        <f>VLOOKUP($Q91,Base_Mensuelle!$OF$67:$RN$679,39,0)</f>
        <v>1222.721999228</v>
      </c>
      <c r="AA91" s="734">
        <f>VLOOKUP($Q91,Base_Mensuelle!$OF$67:$RN$679,51,0)</f>
        <v>4.2409898580000007</v>
      </c>
      <c r="AB91" s="14">
        <f>INDEX(Base_Mensuelle!$BX$68:$CD$679,MAX(Base_Mensuelle!$FZ$68:$FZ$679)-A91,1)</f>
        <v>44713</v>
      </c>
      <c r="AC91" s="179">
        <f>VLOOKUP($AB91,Base_Mensuelle!$FL$67:$FY$679,2,0)</f>
        <v>126.95</v>
      </c>
      <c r="AD91" s="772">
        <f t="shared" si="3"/>
        <v>8.9890210430009443E-2</v>
      </c>
      <c r="AE91" s="20">
        <f t="shared" si="2"/>
        <v>0.03</v>
      </c>
      <c r="AF91" s="220">
        <f>VLOOKUP($AB91,Base_Mensuelle!$GP$67:$HR$679,2,0)</f>
        <v>429</v>
      </c>
      <c r="AG91" s="99">
        <f>VLOOKUP($AB91,Base_Mensuelle!$GP$67:$HR$679,3,0)</f>
        <v>374</v>
      </c>
      <c r="AH91" s="99">
        <f>VLOOKUP($AB91,Base_Mensuelle!$GP$67:$HR$679,14,0)</f>
        <v>2551</v>
      </c>
      <c r="AI91" s="99">
        <f>VLOOKUP($AB91,Base_Mensuelle!$GA$67:$GO$679,5,0)</f>
        <v>103.9</v>
      </c>
      <c r="AJ91" s="99">
        <f>VLOOKUP($AB91,Base_Mensuelle!$GA$67:$GO$679,6,0)</f>
        <v>166.97</v>
      </c>
      <c r="AK91" s="99">
        <f>VLOOKUP($AB91,Base_Mensuelle!$GA$67:$GO$679,7,0)</f>
        <v>111.5</v>
      </c>
      <c r="AL91" s="99">
        <f>VLOOKUP($AB91,Base_Mensuelle!$GA$67:$GO$679,3,0)</f>
        <v>108.7</v>
      </c>
      <c r="AM91" s="132">
        <f>VLOOKUP($AB91,Base_Mensuelle!$GA$67:$GO$679,4,0)</f>
        <v>135.55000000000001</v>
      </c>
      <c r="AN91" s="179">
        <f>VLOOKUP($AB91,Base_Mensuelle!$HS$67:$JV$679,9,0)</f>
        <v>405.21469497680664</v>
      </c>
      <c r="AO91" s="99">
        <f>VLOOKUP($AB91,Base_Mensuelle!$HS$67:$JV$679,23,0)</f>
        <v>310.91213989257813</v>
      </c>
      <c r="AP91" s="99">
        <f>VLOOKUP($AB91,Base_Mensuelle!$HS$67:$JV$679,39,0)</f>
        <v>500</v>
      </c>
      <c r="AQ91" s="99">
        <f>VLOOKUP($AB91,Base_Mensuelle!$HS$67:$JV$679,10,0)</f>
        <v>353.5294128417969</v>
      </c>
      <c r="AR91" s="132">
        <f>VLOOKUP($AB91,Base_Mensuelle!$HS$67:$JV$679,11,0)</f>
        <v>290.78858947753906</v>
      </c>
      <c r="AS91" s="733">
        <f>VLOOKUP($B91,Base_Mensuelle!$JW$67:$KZ$679,3,0)</f>
        <v>0</v>
      </c>
      <c r="AT91" s="734">
        <f>VLOOKUP($B91,Base_Mensuelle!$JW$67:$KZ$679,8,0)</f>
        <v>0</v>
      </c>
      <c r="AU91" s="733">
        <f>VLOOKUP($B91,Base_Mensuelle!$JW$67:$KZ$679,11,0)</f>
        <v>0</v>
      </c>
      <c r="AV91" s="734">
        <f>VLOOKUP($B91,Base_Mensuelle!$JW$67:$KZ$679,15,0)</f>
        <v>0</v>
      </c>
      <c r="AW91" s="733">
        <f>VLOOKUP($B91,Base_Mensuelle!$JW$67:$KZ$679,25,0)</f>
        <v>0</v>
      </c>
      <c r="AX91" s="734">
        <f>VLOOKUP($B91,Base_Mensuelle!$JW$67:$KZ$679,29,0)</f>
        <v>0</v>
      </c>
    </row>
    <row r="92" spans="1:50">
      <c r="A92" s="175">
        <f t="shared" si="4"/>
        <v>17</v>
      </c>
      <c r="B92" s="14">
        <f>INDEX(Base_Mensuelle!$BX$68:$CD$679,MAX(Base_Mensuelle!$CD$68:$CD$679)-A93,1)</f>
        <v>44774</v>
      </c>
      <c r="C92" s="179">
        <f>VLOOKUP($B92,Base_Mensuelle!$BX$68:$CD$679,C$2,0)</f>
        <v>648.02859999999998</v>
      </c>
      <c r="D92" s="99">
        <f>VLOOKUP($B92,Base_Mensuelle!$BX$68:$CD$679,D$2,0)</f>
        <v>655.95699999999999</v>
      </c>
      <c r="E92" s="99">
        <f>VLOOKUP($B92,Base_Mensuelle!$BX$68:$CD$679,E$2,0)</f>
        <v>676.63099999999997</v>
      </c>
      <c r="F92" s="99">
        <f>VLOOKUP($B92,Base_Mensuelle!$BX$68:$CD$679,F$2,0)</f>
        <v>38.788525</v>
      </c>
      <c r="G92" s="132">
        <f>VLOOKUP($B92,Base_Mensuelle!$BX$68:$CD$679,G$2,0)</f>
        <v>69.816980000000001</v>
      </c>
      <c r="H92" s="99">
        <f>VLOOKUP($B92,Base_Mensuelle!$CF$68:$CJ$679,H$2,0)</f>
        <v>2.742988204</v>
      </c>
      <c r="I92" s="132">
        <f>VLOOKUP($B92,Base_Mensuelle!$CF$68:$CJ$679,I$2,0)</f>
        <v>1764.56</v>
      </c>
      <c r="J92" s="19">
        <f>VLOOKUP($B92,Base_Mensuelle!$CY$67:$DE$679,5,0)</f>
        <v>0</v>
      </c>
      <c r="K92" s="99">
        <f>VLOOKUP($B92,Base_Mensuelle!$CY$67:$DE$679,2,0)</f>
        <v>0</v>
      </c>
      <c r="L92" s="93"/>
      <c r="M92" s="182">
        <f>VLOOKUP($B92,Base_Mensuelle!$DG$67:$DN$679,2,0)</f>
        <v>509374</v>
      </c>
      <c r="N92" s="182">
        <f>VLOOKUP($B92,Base_Mensuelle!$DG$68:$DO$679,9,0)</f>
        <v>6787466</v>
      </c>
      <c r="O92" s="93"/>
      <c r="P92" s="20"/>
      <c r="Q92" s="14">
        <f>INDEX(Base_Mensuelle!$BX$68:$CD$679,MAX(Base_Mensuelle!$PD$68:$PD$679)-A93,1)</f>
        <v>44774</v>
      </c>
      <c r="R92" s="733">
        <f>VLOOKUP($Q92,Base_Mensuelle!$OF$67:$RN$679,12,0)</f>
        <v>2176.6161932940004</v>
      </c>
      <c r="S92" s="570">
        <f>VLOOKUP($Q92,Base_Mensuelle!$OF$67:$RN$679,15,0)</f>
        <v>3974.333842685</v>
      </c>
      <c r="T92" s="570">
        <f>VLOOKUP($Q92,Base_Mensuelle!$OF$67:$RN$679,22,0)</f>
        <v>1112.6084802410001</v>
      </c>
      <c r="U92" s="734">
        <f>VLOOKUP($Q92,Base_Mensuelle!$OF$67:$RN$679,16,0)</f>
        <v>-9.6585562390000064</v>
      </c>
      <c r="V92" s="733">
        <f>VLOOKUP($Q92,Base_Mensuelle!$OF$67:$RN$679,27,0)</f>
        <v>-14.384806705999836</v>
      </c>
      <c r="W92" s="570">
        <f>VLOOKUP($Q92,Base_Mensuelle!$OF$67:$RN$679,31,0)</f>
        <v>-88.103353900999991</v>
      </c>
      <c r="X92" s="570">
        <f>VLOOKUP($Q92,Base_Mensuelle!$OF$67:$RN$679,33,0)</f>
        <v>369.77192718800001</v>
      </c>
      <c r="Y92" s="570">
        <f>VLOOKUP($Q92,Base_Mensuelle!$OF$67:$RN$679,65,0)</f>
        <v>3975.2160000000003</v>
      </c>
      <c r="Z92" s="570">
        <f>VLOOKUP($Q92,Base_Mensuelle!$OF$67:$RN$679,39,0)</f>
        <v>1251.746148829</v>
      </c>
      <c r="AA92" s="734">
        <f>VLOOKUP($Q92,Base_Mensuelle!$OF$67:$RN$679,51,0)</f>
        <v>8.733839304</v>
      </c>
      <c r="AB92" s="14">
        <f>INDEX(Base_Mensuelle!$BX$68:$CD$679,MAX(Base_Mensuelle!$FZ$68:$FZ$679)-A92,1)</f>
        <v>44743</v>
      </c>
      <c r="AC92" s="179">
        <f>VLOOKUP($AB92,Base_Mensuelle!$FL$67:$FY$679,2,0)</f>
        <v>128.13</v>
      </c>
      <c r="AD92" s="772">
        <f t="shared" si="3"/>
        <v>0.10224993905268254</v>
      </c>
      <c r="AE92" s="20">
        <f t="shared" si="2"/>
        <v>0.03</v>
      </c>
      <c r="AF92" s="220">
        <f>VLOOKUP($AB92,Base_Mensuelle!$GP$67:$HR$679,2,0)</f>
        <v>427</v>
      </c>
      <c r="AG92" s="99">
        <f>VLOOKUP($AB92,Base_Mensuelle!$GP$67:$HR$679,3,0)</f>
        <v>360</v>
      </c>
      <c r="AH92" s="99">
        <f>VLOOKUP($AB92,Base_Mensuelle!$GP$67:$HR$679,14,0)</f>
        <v>2640</v>
      </c>
      <c r="AI92" s="99">
        <f>VLOOKUP($AB92,Base_Mensuelle!$GA$67:$GO$679,5,0)</f>
        <v>103.94</v>
      </c>
      <c r="AJ92" s="99">
        <f>VLOOKUP($AB92,Base_Mensuelle!$GA$67:$GO$679,6,0)</f>
        <v>169.92</v>
      </c>
      <c r="AK92" s="99">
        <f>VLOOKUP($AB92,Base_Mensuelle!$GA$67:$GO$679,7,0)</f>
        <v>111.78</v>
      </c>
      <c r="AL92" s="99">
        <f>VLOOKUP($AB92,Base_Mensuelle!$GA$67:$GO$679,3,0)</f>
        <v>108.52</v>
      </c>
      <c r="AM92" s="132">
        <f>VLOOKUP($AB92,Base_Mensuelle!$GA$67:$GO$679,4,0)</f>
        <v>137.35</v>
      </c>
      <c r="AN92" s="179">
        <f>VLOOKUP($AB92,Base_Mensuelle!$HS$67:$JV$679,9,0)</f>
        <v>435.71430053710935</v>
      </c>
      <c r="AO92" s="99">
        <f>VLOOKUP($AB92,Base_Mensuelle!$HS$67:$JV$679,23,0)</f>
        <v>333.33331298828125</v>
      </c>
      <c r="AP92" s="99">
        <f>VLOOKUP($AB92,Base_Mensuelle!$HS$67:$JV$679,39,0)</f>
        <v>500</v>
      </c>
      <c r="AQ92" s="99">
        <f>VLOOKUP($AB92,Base_Mensuelle!$HS$67:$JV$679,10,0)</f>
        <v>337.59783172607422</v>
      </c>
      <c r="AR92" s="132">
        <f>VLOOKUP($AB92,Base_Mensuelle!$HS$67:$JV$679,11,0)</f>
        <v>303.03030395507813</v>
      </c>
      <c r="AS92" s="733">
        <f>VLOOKUP($B92,Base_Mensuelle!$JW$67:$KZ$679,3,0)</f>
        <v>0</v>
      </c>
      <c r="AT92" s="734">
        <f>VLOOKUP($B92,Base_Mensuelle!$JW$67:$KZ$679,8,0)</f>
        <v>0</v>
      </c>
      <c r="AU92" s="733">
        <f>VLOOKUP($B92,Base_Mensuelle!$JW$67:$KZ$679,11,0)</f>
        <v>0</v>
      </c>
      <c r="AV92" s="734">
        <f>VLOOKUP($B92,Base_Mensuelle!$JW$67:$KZ$679,15,0)</f>
        <v>0</v>
      </c>
      <c r="AW92" s="733">
        <f>VLOOKUP($B92,Base_Mensuelle!$JW$67:$KZ$679,25,0)</f>
        <v>0</v>
      </c>
      <c r="AX92" s="734">
        <f>VLOOKUP($B92,Base_Mensuelle!$JW$67:$KZ$679,29,0)</f>
        <v>0</v>
      </c>
    </row>
    <row r="93" spans="1:50">
      <c r="A93" s="175">
        <f t="shared" si="4"/>
        <v>16</v>
      </c>
      <c r="B93" s="14">
        <f>INDEX(Base_Mensuelle!$BX$68:$CD$679,MAX(Base_Mensuelle!$CD$68:$CD$679)-A94,1)</f>
        <v>44805</v>
      </c>
      <c r="C93" s="179">
        <f>VLOOKUP($B93,Base_Mensuelle!$BX$68:$CD$679,C$2,0)</f>
        <v>662.44029999999998</v>
      </c>
      <c r="D93" s="99">
        <f>VLOOKUP($B93,Base_Mensuelle!$BX$68:$CD$679,D$2,0)</f>
        <v>655.95699999999999</v>
      </c>
      <c r="E93" s="99">
        <f>VLOOKUP($B93,Base_Mensuelle!$BX$68:$CD$679,E$2,0)</f>
        <v>680.48519999999996</v>
      </c>
      <c r="F93" s="99">
        <f>VLOOKUP($B93,Base_Mensuelle!$BX$68:$CD$679,F$2,0)</f>
        <v>37.658028000000002</v>
      </c>
      <c r="G93" s="132">
        <f>VLOOKUP($B93,Base_Mensuelle!$BX$68:$CD$679,G$2,0)</f>
        <v>65.384073000000001</v>
      </c>
      <c r="H93" s="99">
        <f>VLOOKUP($B93,Base_Mensuelle!$CF$68:$CJ$679,H$2,0)</f>
        <v>2.5926331199999999</v>
      </c>
      <c r="I93" s="132">
        <f>VLOOKUP($B93,Base_Mensuelle!$CF$68:$CJ$679,I$2,0)</f>
        <v>1680.78</v>
      </c>
      <c r="J93" s="19">
        <f>VLOOKUP($B93,Base_Mensuelle!$CY$67:$DE$679,5,0)</f>
        <v>0</v>
      </c>
      <c r="K93" s="99">
        <f>VLOOKUP($B93,Base_Mensuelle!$CY$67:$DE$679,2,0)</f>
        <v>0</v>
      </c>
      <c r="L93" s="93"/>
      <c r="M93" s="182">
        <f>VLOOKUP($B93,Base_Mensuelle!$DG$67:$DN$679,2,0)</f>
        <v>509737</v>
      </c>
      <c r="N93" s="182">
        <f>VLOOKUP($B93,Base_Mensuelle!$DG$68:$DO$679,9,0)</f>
        <v>6660346</v>
      </c>
      <c r="O93" s="93"/>
      <c r="P93" s="20"/>
      <c r="Q93" s="14">
        <f>INDEX(Base_Mensuelle!$BX$68:$CD$679,MAX(Base_Mensuelle!$PD$68:$PD$679)-A94,1)</f>
        <v>44805</v>
      </c>
      <c r="R93" s="733">
        <f>VLOOKUP($Q93,Base_Mensuelle!$OF$67:$RN$679,12,0)</f>
        <v>2259.3783468389993</v>
      </c>
      <c r="S93" s="570">
        <f>VLOOKUP($Q93,Base_Mensuelle!$OF$67:$RN$679,15,0)</f>
        <v>4014.8611862760004</v>
      </c>
      <c r="T93" s="570">
        <f>VLOOKUP($Q93,Base_Mensuelle!$OF$67:$RN$679,22,0)</f>
        <v>1237.963407407</v>
      </c>
      <c r="U93" s="734">
        <f>VLOOKUP($Q93,Base_Mensuelle!$OF$67:$RN$679,16,0)</f>
        <v>126.00002436700009</v>
      </c>
      <c r="V93" s="733">
        <f>VLOOKUP($Q93,Base_Mensuelle!$OF$67:$RN$679,27,0)</f>
        <v>-153.48265316100003</v>
      </c>
      <c r="W93" s="570">
        <f>VLOOKUP($Q93,Base_Mensuelle!$OF$67:$RN$679,31,0)</f>
        <v>-121.401773295</v>
      </c>
      <c r="X93" s="570">
        <f>VLOOKUP($Q93,Base_Mensuelle!$OF$67:$RN$679,33,0)</f>
        <v>403.08635272599997</v>
      </c>
      <c r="Y93" s="570">
        <f>VLOOKUP($Q93,Base_Mensuelle!$OF$67:$RN$679,65,0)</f>
        <v>3879.6470000000004</v>
      </c>
      <c r="Z93" s="570">
        <f>VLOOKUP($Q93,Base_Mensuelle!$OF$67:$RN$679,39,0)</f>
        <v>1224.6552565219999</v>
      </c>
      <c r="AA93" s="734">
        <f>VLOOKUP($Q93,Base_Mensuelle!$OF$67:$RN$679,51,0)</f>
        <v>10.957914743</v>
      </c>
      <c r="AB93" s="14">
        <f>INDEX(Base_Mensuelle!$BX$68:$CD$679,MAX(Base_Mensuelle!$FZ$68:$FZ$679)-A93,1)</f>
        <v>44774</v>
      </c>
      <c r="AC93" s="179">
        <f>VLOOKUP($AB93,Base_Mensuelle!$FL$67:$FY$679,2,0)</f>
        <v>128.53</v>
      </c>
      <c r="AD93" s="772">
        <f t="shared" si="3"/>
        <v>0.11514561888024133</v>
      </c>
      <c r="AE93" s="20">
        <f t="shared" si="2"/>
        <v>0.03</v>
      </c>
      <c r="AF93" s="220">
        <f>VLOOKUP($AB93,Base_Mensuelle!$GP$67:$HR$679,2,0)</f>
        <v>450</v>
      </c>
      <c r="AG93" s="99">
        <f>VLOOKUP($AB93,Base_Mensuelle!$GP$67:$HR$679,3,0)</f>
        <v>380</v>
      </c>
      <c r="AH93" s="99">
        <f>VLOOKUP($AB93,Base_Mensuelle!$GP$67:$HR$679,14,0)</f>
        <v>2613</v>
      </c>
      <c r="AI93" s="99">
        <f>VLOOKUP($AB93,Base_Mensuelle!$GA$67:$GO$679,5,0)</f>
        <v>109.47</v>
      </c>
      <c r="AJ93" s="99">
        <f>VLOOKUP($AB93,Base_Mensuelle!$GA$67:$GO$679,6,0)</f>
        <v>168.88</v>
      </c>
      <c r="AK93" s="99">
        <f>VLOOKUP($AB93,Base_Mensuelle!$GA$67:$GO$679,7,0)</f>
        <v>112.18</v>
      </c>
      <c r="AL93" s="99">
        <f>VLOOKUP($AB93,Base_Mensuelle!$GA$67:$GO$679,3,0)</f>
        <v>108.99</v>
      </c>
      <c r="AM93" s="132">
        <f>VLOOKUP($AB93,Base_Mensuelle!$GA$67:$GO$679,4,0)</f>
        <v>137.59</v>
      </c>
      <c r="AN93" s="179">
        <f>VLOOKUP($AB93,Base_Mensuelle!$HS$67:$JV$679,9,0)</f>
        <v>468.2274169921875</v>
      </c>
      <c r="AO93" s="99">
        <f>VLOOKUP($AB93,Base_Mensuelle!$HS$67:$JV$679,23,0)</f>
        <v>287.82894897460938</v>
      </c>
      <c r="AP93" s="99">
        <f>VLOOKUP($AB93,Base_Mensuelle!$HS$67:$JV$679,39,0)</f>
        <v>500</v>
      </c>
      <c r="AQ93" s="99">
        <f>VLOOKUP($AB93,Base_Mensuelle!$HS$67:$JV$679,10,0)</f>
        <v>321.85430297851565</v>
      </c>
      <c r="AR93" s="132">
        <f>VLOOKUP($AB93,Base_Mensuelle!$HS$67:$JV$679,11,0)</f>
        <v>314.484375</v>
      </c>
      <c r="AS93" s="733">
        <f>VLOOKUP($B93,Base_Mensuelle!$JW$67:$KZ$679,3,0)</f>
        <v>0</v>
      </c>
      <c r="AT93" s="734">
        <f>VLOOKUP($B93,Base_Mensuelle!$JW$67:$KZ$679,8,0)</f>
        <v>0</v>
      </c>
      <c r="AU93" s="733">
        <f>VLOOKUP($B93,Base_Mensuelle!$JW$67:$KZ$679,11,0)</f>
        <v>0</v>
      </c>
      <c r="AV93" s="734">
        <f>VLOOKUP($B93,Base_Mensuelle!$JW$67:$KZ$679,15,0)</f>
        <v>0</v>
      </c>
      <c r="AW93" s="733">
        <f>VLOOKUP($B93,Base_Mensuelle!$JW$67:$KZ$679,25,0)</f>
        <v>0</v>
      </c>
      <c r="AX93" s="734">
        <f>VLOOKUP($B93,Base_Mensuelle!$JW$67:$KZ$679,29,0)</f>
        <v>0</v>
      </c>
    </row>
    <row r="94" spans="1:50">
      <c r="A94" s="175">
        <f t="shared" si="4"/>
        <v>15</v>
      </c>
      <c r="B94" s="14">
        <f>INDEX(Base_Mensuelle!$BX$68:$CD$679,MAX(Base_Mensuelle!$CD$68:$CD$679)-A95,1)</f>
        <v>44835</v>
      </c>
      <c r="C94" s="179">
        <f>VLOOKUP($B94,Base_Mensuelle!$BX$68:$CD$679,C$2,0)</f>
        <v>666.50040000000001</v>
      </c>
      <c r="D94" s="99">
        <f>VLOOKUP($B94,Base_Mensuelle!$BX$68:$CD$679,D$2,0)</f>
        <v>655.95699999999999</v>
      </c>
      <c r="E94" s="99">
        <f>VLOOKUP($B94,Base_Mensuelle!$BX$68:$CD$679,E$2,0)</f>
        <v>669.46669999999995</v>
      </c>
      <c r="F94" s="99">
        <f>VLOOKUP($B94,Base_Mensuelle!$BX$68:$CD$679,F$2,0)</f>
        <v>36.815261</v>
      </c>
      <c r="G94" s="132">
        <f>VLOOKUP($B94,Base_Mensuelle!$BX$68:$CD$679,G$2,0)</f>
        <v>56.697560000000003</v>
      </c>
      <c r="H94" s="99">
        <f>VLOOKUP($B94,Base_Mensuelle!$CF$68:$CJ$679,H$2,0)</f>
        <v>2.1975652160000001</v>
      </c>
      <c r="I94" s="132">
        <f>VLOOKUP($B94,Base_Mensuelle!$CF$68:$CJ$679,I$2,0)</f>
        <v>1664.45</v>
      </c>
      <c r="J94" s="19">
        <f>VLOOKUP($B94,Base_Mensuelle!$CY$67:$DE$679,5,0)</f>
        <v>0</v>
      </c>
      <c r="K94" s="99">
        <f>VLOOKUP($B94,Base_Mensuelle!$CY$67:$DE$679,2,0)</f>
        <v>0</v>
      </c>
      <c r="L94" s="93"/>
      <c r="M94" s="182">
        <f>VLOOKUP($B94,Base_Mensuelle!$DG$67:$DN$679,2,0)</f>
        <v>511106</v>
      </c>
      <c r="N94" s="182">
        <f>VLOOKUP($B94,Base_Mensuelle!$DG$68:$DO$679,9,0)</f>
        <v>7305331</v>
      </c>
      <c r="O94" s="93"/>
      <c r="P94" s="20"/>
      <c r="Q94" s="14">
        <f>INDEX(Base_Mensuelle!$BX$68:$CD$679,MAX(Base_Mensuelle!$PD$68:$PD$679)-A95,1)</f>
        <v>44835</v>
      </c>
      <c r="R94" s="733">
        <f>VLOOKUP($Q94,Base_Mensuelle!$OF$67:$RN$679,12,0)</f>
        <v>1871.6956816160002</v>
      </c>
      <c r="S94" s="570">
        <f>VLOOKUP($Q94,Base_Mensuelle!$OF$67:$RN$679,15,0)</f>
        <v>4058.460324917</v>
      </c>
      <c r="T94" s="570">
        <f>VLOOKUP($Q94,Base_Mensuelle!$OF$67:$RN$679,22,0)</f>
        <v>1202.541161373</v>
      </c>
      <c r="U94" s="734">
        <f>VLOOKUP($Q94,Base_Mensuelle!$OF$67:$RN$679,16,0)</f>
        <v>19.339464270000128</v>
      </c>
      <c r="V94" s="733">
        <f>VLOOKUP($Q94,Base_Mensuelle!$OF$67:$RN$679,27,0)</f>
        <v>-459.45831838399988</v>
      </c>
      <c r="W94" s="570">
        <f>VLOOKUP($Q94,Base_Mensuelle!$OF$67:$RN$679,31,0)</f>
        <v>-30.112333392000039</v>
      </c>
      <c r="X94" s="570">
        <f>VLOOKUP($Q94,Base_Mensuelle!$OF$67:$RN$679,33,0)</f>
        <v>311.81057351800001</v>
      </c>
      <c r="Y94" s="570">
        <f>VLOOKUP($Q94,Base_Mensuelle!$OF$67:$RN$679,65,0)</f>
        <v>4029.9139999999998</v>
      </c>
      <c r="Z94" s="570">
        <f>VLOOKUP($Q94,Base_Mensuelle!$OF$67:$RN$679,39,0)</f>
        <v>1173.143190452</v>
      </c>
      <c r="AA94" s="734">
        <f>VLOOKUP($Q94,Base_Mensuelle!$OF$67:$RN$679,51,0)</f>
        <v>15.734247637999999</v>
      </c>
      <c r="AB94" s="14">
        <f>INDEX(Base_Mensuelle!$BX$68:$CD$679,MAX(Base_Mensuelle!$FZ$68:$FZ$679)-A94,1)</f>
        <v>44805</v>
      </c>
      <c r="AC94" s="179">
        <f>VLOOKUP($AB94,Base_Mensuelle!$FL$67:$FY$679,2,0)</f>
        <v>128.91</v>
      </c>
      <c r="AD94" s="772">
        <f t="shared" si="3"/>
        <v>0.12531757385302122</v>
      </c>
      <c r="AE94" s="20">
        <f t="shared" si="2"/>
        <v>0.03</v>
      </c>
      <c r="AF94" s="220">
        <f>VLOOKUP($AB94,Base_Mensuelle!$GP$67:$HR$679,2,0)</f>
        <v>474</v>
      </c>
      <c r="AG94" s="99">
        <f>VLOOKUP($AB94,Base_Mensuelle!$GP$67:$HR$679,3,0)</f>
        <v>376</v>
      </c>
      <c r="AH94" s="99">
        <f>VLOOKUP($AB94,Base_Mensuelle!$GP$67:$HR$679,14,0)</f>
        <v>2653</v>
      </c>
      <c r="AI94" s="99">
        <f>VLOOKUP($AB94,Base_Mensuelle!$GA$67:$GO$679,5,0)</f>
        <v>108.87</v>
      </c>
      <c r="AJ94" s="99">
        <f>VLOOKUP($AB94,Base_Mensuelle!$GA$67:$GO$679,6,0)</f>
        <v>170.22</v>
      </c>
      <c r="AK94" s="99">
        <f>VLOOKUP($AB94,Base_Mensuelle!$GA$67:$GO$679,7,0)</f>
        <v>111.89</v>
      </c>
      <c r="AL94" s="99">
        <f>VLOOKUP($AB94,Base_Mensuelle!$GA$67:$GO$679,3,0)</f>
        <v>109.9</v>
      </c>
      <c r="AM94" s="132">
        <f>VLOOKUP($AB94,Base_Mensuelle!$GA$67:$GO$679,4,0)</f>
        <v>137.72999999999999</v>
      </c>
      <c r="AN94" s="179">
        <f>VLOOKUP($AB94,Base_Mensuelle!$HS$67:$JV$679,9,0)</f>
        <v>445.18185424804688</v>
      </c>
      <c r="AO94" s="99">
        <f>VLOOKUP($AB94,Base_Mensuelle!$HS$67:$JV$679,23,0)</f>
        <v>282.40132141113281</v>
      </c>
      <c r="AP94" s="99">
        <f>VLOOKUP($AB94,Base_Mensuelle!$HS$67:$JV$679,39,0)</f>
        <v>500</v>
      </c>
      <c r="AQ94" s="99">
        <f>VLOOKUP($AB94,Base_Mensuelle!$HS$67:$JV$679,10,0)</f>
        <v>409.89401245117188</v>
      </c>
      <c r="AR94" s="132">
        <f>VLOOKUP($AB94,Base_Mensuelle!$HS$67:$JV$679,11,0)</f>
        <v>316.41771697998047</v>
      </c>
      <c r="AS94" s="733">
        <f>VLOOKUP($B94,Base_Mensuelle!$JW$67:$KZ$679,3,0)</f>
        <v>0</v>
      </c>
      <c r="AT94" s="734">
        <f>VLOOKUP($B94,Base_Mensuelle!$JW$67:$KZ$679,8,0)</f>
        <v>0</v>
      </c>
      <c r="AU94" s="733">
        <f>VLOOKUP($B94,Base_Mensuelle!$JW$67:$KZ$679,11,0)</f>
        <v>0</v>
      </c>
      <c r="AV94" s="734">
        <f>VLOOKUP($B94,Base_Mensuelle!$JW$67:$KZ$679,15,0)</f>
        <v>0</v>
      </c>
      <c r="AW94" s="733">
        <f>VLOOKUP($B94,Base_Mensuelle!$JW$67:$KZ$679,25,0)</f>
        <v>0</v>
      </c>
      <c r="AX94" s="734">
        <f>VLOOKUP($B94,Base_Mensuelle!$JW$67:$KZ$679,29,0)</f>
        <v>0</v>
      </c>
    </row>
    <row r="95" spans="1:50">
      <c r="A95" s="175">
        <f t="shared" si="4"/>
        <v>14</v>
      </c>
      <c r="B95" s="14">
        <f>INDEX(Base_Mensuelle!$BX$68:$CD$679,MAX(Base_Mensuelle!$CD$68:$CD$679)-A96,1)</f>
        <v>44866</v>
      </c>
      <c r="C95" s="179">
        <f>VLOOKUP($B95,Base_Mensuelle!$BX$68:$CD$679,C$2,0)</f>
        <v>642.43140000000005</v>
      </c>
      <c r="D95" s="99">
        <f>VLOOKUP($B95,Base_Mensuelle!$BX$68:$CD$679,D$2,0)</f>
        <v>655.95699999999999</v>
      </c>
      <c r="E95" s="99">
        <f>VLOOKUP($B95,Base_Mensuelle!$BX$68:$CD$679,E$2,0)</f>
        <v>666.41989999999998</v>
      </c>
      <c r="F95" s="99">
        <f>VLOOKUP($B95,Base_Mensuelle!$BX$68:$CD$679,F$2,0)</f>
        <v>36.774965000000002</v>
      </c>
      <c r="G95" s="132">
        <f>VLOOKUP($B95,Base_Mensuelle!$BX$68:$CD$679,G$2,0)</f>
        <v>44.846586000000002</v>
      </c>
      <c r="H95" s="99">
        <f>VLOOKUP($B95,Base_Mensuelle!$CF$68:$CJ$679,H$2,0)</f>
        <v>2.2255638900000001</v>
      </c>
      <c r="I95" s="132">
        <f>VLOOKUP($B95,Base_Mensuelle!$CF$68:$CJ$679,I$2,0)</f>
        <v>1725.07</v>
      </c>
      <c r="J95" s="19">
        <f>VLOOKUP($B95,Base_Mensuelle!$CY$67:$DE$679,5,0)</f>
        <v>0</v>
      </c>
      <c r="K95" s="99">
        <f>VLOOKUP($B95,Base_Mensuelle!$CY$67:$DE$679,2,0)</f>
        <v>0</v>
      </c>
      <c r="L95" s="93"/>
      <c r="M95" s="182">
        <f>VLOOKUP($B95,Base_Mensuelle!$DG$67:$DN$679,2,0)</f>
        <v>512832</v>
      </c>
      <c r="N95" s="182">
        <f>VLOOKUP($B95,Base_Mensuelle!$DG$68:$DO$679,9,0)</f>
        <v>7637631</v>
      </c>
      <c r="O95" s="93"/>
      <c r="P95" s="20"/>
      <c r="Q95" s="14">
        <f>INDEX(Base_Mensuelle!$BX$68:$CD$679,MAX(Base_Mensuelle!$PD$68:$PD$679)-A96,1)</f>
        <v>44866</v>
      </c>
      <c r="R95" s="733">
        <f>VLOOKUP($Q95,Base_Mensuelle!$OF$67:$RN$679,12,0)</f>
        <v>1951.1128035759998</v>
      </c>
      <c r="S95" s="570">
        <f>VLOOKUP($Q95,Base_Mensuelle!$OF$67:$RN$679,15,0)</f>
        <v>4141.4212905269997</v>
      </c>
      <c r="T95" s="570">
        <f>VLOOKUP($Q95,Base_Mensuelle!$OF$67:$RN$679,22,0)</f>
        <v>1236.6462403869987</v>
      </c>
      <c r="U95" s="734">
        <f>VLOOKUP($Q95,Base_Mensuelle!$OF$67:$RN$679,16,0)</f>
        <v>49.122918797000132</v>
      </c>
      <c r="V95" s="733">
        <f>VLOOKUP($Q95,Base_Mensuelle!$OF$67:$RN$679,27,0)</f>
        <v>-492.89019642399995</v>
      </c>
      <c r="W95" s="570">
        <f>VLOOKUP($Q95,Base_Mensuelle!$OF$67:$RN$679,31,0)</f>
        <v>-30.10087886499997</v>
      </c>
      <c r="X95" s="570">
        <f>VLOOKUP($Q95,Base_Mensuelle!$OF$67:$RN$679,33,0)</f>
        <v>311.81387584699996</v>
      </c>
      <c r="Y95" s="570">
        <f>VLOOKUP($Q95,Base_Mensuelle!$OF$67:$RN$679,65,0)</f>
        <v>4083.9989999999998</v>
      </c>
      <c r="Z95" s="570">
        <f>VLOOKUP($Q95,Base_Mensuelle!$OF$67:$RN$679,39,0)</f>
        <v>1173.123606095</v>
      </c>
      <c r="AA95" s="734">
        <f>VLOOKUP($Q95,Base_Mensuelle!$OF$67:$RN$679,51,0)</f>
        <v>16.909212038</v>
      </c>
      <c r="AB95" s="14">
        <f>INDEX(Base_Mensuelle!$BX$68:$CD$679,MAX(Base_Mensuelle!$FZ$68:$FZ$679)-A95,1)</f>
        <v>44835</v>
      </c>
      <c r="AC95" s="179">
        <f>VLOOKUP($AB95,Base_Mensuelle!$FL$67:$FY$679,2,0)</f>
        <v>127.54</v>
      </c>
      <c r="AD95" s="772">
        <f t="shared" si="3"/>
        <v>0.13465793984728069</v>
      </c>
      <c r="AE95" s="20">
        <f t="shared" si="2"/>
        <v>0.03</v>
      </c>
      <c r="AF95" s="220">
        <f>VLOOKUP($AB95,Base_Mensuelle!$GP$67:$HR$679,2,0)</f>
        <v>476</v>
      </c>
      <c r="AG95" s="99">
        <f>VLOOKUP($AB95,Base_Mensuelle!$GP$67:$HR$679,3,0)</f>
        <v>374</v>
      </c>
      <c r="AH95" s="99">
        <f>VLOOKUP($AB95,Base_Mensuelle!$GP$67:$HR$679,14,0)</f>
        <v>2461</v>
      </c>
      <c r="AI95" s="99">
        <f>VLOOKUP($AB95,Base_Mensuelle!$GA$67:$GO$679,5,0)</f>
        <v>108.72</v>
      </c>
      <c r="AJ95" s="99">
        <f>VLOOKUP($AB95,Base_Mensuelle!$GA$67:$GO$679,6,0)</f>
        <v>165.76</v>
      </c>
      <c r="AK95" s="99">
        <f>VLOOKUP($AB95,Base_Mensuelle!$GA$67:$GO$679,7,0)</f>
        <v>111.69</v>
      </c>
      <c r="AL95" s="99">
        <f>VLOOKUP($AB95,Base_Mensuelle!$GA$67:$GO$679,3,0)</f>
        <v>109.65</v>
      </c>
      <c r="AM95" s="132">
        <f>VLOOKUP($AB95,Base_Mensuelle!$GA$67:$GO$679,4,0)</f>
        <v>135.83000000000001</v>
      </c>
      <c r="AN95" s="179">
        <f>VLOOKUP($AB95,Base_Mensuelle!$HS$67:$JV$679,9,0)</f>
        <v>449</v>
      </c>
      <c r="AO95" s="99">
        <f>VLOOKUP($AB95,Base_Mensuelle!$HS$67:$JV$679,23,0)</f>
        <v>283</v>
      </c>
      <c r="AP95" s="99">
        <f>VLOOKUP($AB95,Base_Mensuelle!$HS$67:$JV$679,39,0)</f>
        <v>500</v>
      </c>
      <c r="AQ95" s="99">
        <f>VLOOKUP($AB95,Base_Mensuelle!$HS$67:$JV$679,10,0)</f>
        <v>403</v>
      </c>
      <c r="AR95" s="132">
        <f>VLOOKUP($AB95,Base_Mensuelle!$HS$67:$JV$679,11,0)</f>
        <v>313</v>
      </c>
      <c r="AS95" s="733">
        <f>VLOOKUP($B95,Base_Mensuelle!$JW$67:$KZ$679,3,0)</f>
        <v>0</v>
      </c>
      <c r="AT95" s="734">
        <f>VLOOKUP($B95,Base_Mensuelle!$JW$67:$KZ$679,8,0)</f>
        <v>0</v>
      </c>
      <c r="AU95" s="733">
        <f>VLOOKUP($B95,Base_Mensuelle!$JW$67:$KZ$679,11,0)</f>
        <v>0</v>
      </c>
      <c r="AV95" s="734">
        <f>VLOOKUP($B95,Base_Mensuelle!$JW$67:$KZ$679,15,0)</f>
        <v>0</v>
      </c>
      <c r="AW95" s="733">
        <f>VLOOKUP($B95,Base_Mensuelle!$JW$67:$KZ$679,25,0)</f>
        <v>0</v>
      </c>
      <c r="AX95" s="734">
        <f>VLOOKUP($B95,Base_Mensuelle!$JW$67:$KZ$679,29,0)</f>
        <v>0</v>
      </c>
    </row>
    <row r="96" spans="1:50">
      <c r="A96" s="175">
        <f t="shared" si="4"/>
        <v>13</v>
      </c>
      <c r="B96" s="14">
        <f>INDEX(Base_Mensuelle!$BX$68:$CD$679,MAX(Base_Mensuelle!$CD$68:$CD$679)-A97,1)</f>
        <v>44896</v>
      </c>
      <c r="C96" s="179">
        <f>VLOOKUP($B96,Base_Mensuelle!$BX$68:$CD$679,C$2,0)</f>
        <v>619.12440000000004</v>
      </c>
      <c r="D96" s="99">
        <f>VLOOKUP($B96,Base_Mensuelle!$BX$68:$CD$679,D$2,0)</f>
        <v>655.95699999999999</v>
      </c>
      <c r="E96" s="99">
        <f>VLOOKUP($B96,Base_Mensuelle!$BX$68:$CD$679,E$2,0)</f>
        <v>664.39549999999997</v>
      </c>
      <c r="F96" s="99">
        <f>VLOOKUP($B96,Base_Mensuelle!$BX$68:$CD$679,F$2,0)</f>
        <v>35.861359</v>
      </c>
      <c r="G96" s="132">
        <f>VLOOKUP($B96,Base_Mensuelle!$BX$68:$CD$679,G$2,0)</f>
        <v>57.774223999999997</v>
      </c>
      <c r="H96" s="99">
        <f>VLOOKUP($B96,Base_Mensuelle!$CF$68:$CJ$679,H$2,0)</f>
        <v>2.2238001939999998</v>
      </c>
      <c r="I96" s="132">
        <f>VLOOKUP($B96,Base_Mensuelle!$CF$68:$CJ$679,I$2,0)</f>
        <v>1797.55</v>
      </c>
      <c r="J96" s="19">
        <f>VLOOKUP($B96,Base_Mensuelle!$CY$67:$DE$679,5,0)</f>
        <v>0</v>
      </c>
      <c r="K96" s="99">
        <f>VLOOKUP($B96,Base_Mensuelle!$CY$67:$DE$679,2,0)</f>
        <v>0</v>
      </c>
      <c r="L96" s="93"/>
      <c r="M96" s="182">
        <f>VLOOKUP($B96,Base_Mensuelle!$DG$67:$DN$679,2,0)</f>
        <v>511170</v>
      </c>
      <c r="N96" s="182">
        <f>VLOOKUP($B96,Base_Mensuelle!$DG$68:$DO$679,9,0)</f>
        <v>7869919</v>
      </c>
      <c r="O96" s="93"/>
      <c r="P96" s="20"/>
      <c r="Q96" s="14">
        <f>INDEX(Base_Mensuelle!$BX$68:$CD$679,MAX(Base_Mensuelle!$PD$68:$PD$679)-A97,1)</f>
        <v>44896</v>
      </c>
      <c r="R96" s="733">
        <f>VLOOKUP($Q96,Base_Mensuelle!$OF$67:$RN$679,12,0)</f>
        <v>1972.0706759070001</v>
      </c>
      <c r="S96" s="570">
        <f>VLOOKUP($Q96,Base_Mensuelle!$OF$67:$RN$679,15,0)</f>
        <v>4396.1364443080001</v>
      </c>
      <c r="T96" s="570">
        <f>VLOOKUP($Q96,Base_Mensuelle!$OF$67:$RN$679,22,0)</f>
        <v>1187.8806726909993</v>
      </c>
      <c r="U96" s="734">
        <f>VLOOKUP($Q96,Base_Mensuelle!$OF$67:$RN$679,16,0)</f>
        <v>142.06168322100001</v>
      </c>
      <c r="V96" s="733">
        <f>VLOOKUP($Q96,Base_Mensuelle!$OF$67:$RN$679,27,0)</f>
        <v>-624.09032409300016</v>
      </c>
      <c r="W96" s="570">
        <f>VLOOKUP($Q96,Base_Mensuelle!$OF$67:$RN$679,31,0)</f>
        <v>67.136885559000007</v>
      </c>
      <c r="X96" s="570">
        <f>VLOOKUP($Q96,Base_Mensuelle!$OF$67:$RN$679,33,0)</f>
        <v>208.919096776</v>
      </c>
      <c r="Y96" s="570">
        <f>VLOOKUP($Q96,Base_Mensuelle!$OF$67:$RN$679,65,0)</f>
        <v>4244.9210000000003</v>
      </c>
      <c r="Z96" s="570">
        <f>VLOOKUP($Q96,Base_Mensuelle!$OF$67:$RN$679,39,0)</f>
        <v>1262.7449119200003</v>
      </c>
      <c r="AA96" s="734">
        <f>VLOOKUP($Q96,Base_Mensuelle!$OF$67:$RN$679,51,0)</f>
        <v>0.50266335600000001</v>
      </c>
      <c r="AB96" s="14">
        <f>INDEX(Base_Mensuelle!$BX$68:$CD$679,MAX(Base_Mensuelle!$FZ$68:$FZ$679)-A96,1)</f>
        <v>44866</v>
      </c>
      <c r="AC96" s="179">
        <f>VLOOKUP($AB96,Base_Mensuelle!$FL$67:$FY$679,2,0)</f>
        <v>125.75</v>
      </c>
      <c r="AD96" s="772">
        <f t="shared" si="3"/>
        <v>0.13968364735985106</v>
      </c>
      <c r="AE96" s="20">
        <f t="shared" si="2"/>
        <v>0.03</v>
      </c>
      <c r="AF96" s="220">
        <f>VLOOKUP($AB96,Base_Mensuelle!$GP$67:$HR$679,2,0)</f>
        <v>359</v>
      </c>
      <c r="AG96" s="99">
        <f>VLOOKUP($AB96,Base_Mensuelle!$GP$67:$HR$679,3,0)</f>
        <v>281</v>
      </c>
      <c r="AH96" s="99">
        <f>VLOOKUP($AB96,Base_Mensuelle!$GP$67:$HR$679,14,0)</f>
        <v>2759</v>
      </c>
      <c r="AI96" s="99">
        <f>VLOOKUP($AB96,Base_Mensuelle!$GA$67:$GO$679,5,0)</f>
        <v>108.16</v>
      </c>
      <c r="AJ96" s="99">
        <f>VLOOKUP($AB96,Base_Mensuelle!$GA$67:$GO$679,6,0)</f>
        <v>160.65</v>
      </c>
      <c r="AK96" s="99">
        <f>VLOOKUP($AB96,Base_Mensuelle!$GA$67:$GO$679,7,0)</f>
        <v>111.27</v>
      </c>
      <c r="AL96" s="99">
        <f>VLOOKUP($AB96,Base_Mensuelle!$GA$67:$GO$679,3,0)</f>
        <v>109.02</v>
      </c>
      <c r="AM96" s="132">
        <f>VLOOKUP($AB96,Base_Mensuelle!$GA$67:$GO$679,4,0)</f>
        <v>133.56</v>
      </c>
      <c r="AN96" s="179">
        <f>VLOOKUP($AB96,Base_Mensuelle!$HS$67:$JV$679,9,0)</f>
        <v>439</v>
      </c>
      <c r="AO96" s="99">
        <f>VLOOKUP($AB96,Base_Mensuelle!$HS$67:$JV$679,23,0)</f>
        <v>257</v>
      </c>
      <c r="AP96" s="99">
        <f>VLOOKUP($AB96,Base_Mensuelle!$HS$67:$JV$679,39,0)</f>
        <v>500</v>
      </c>
      <c r="AQ96" s="99">
        <f>VLOOKUP($AB96,Base_Mensuelle!$HS$67:$JV$679,10,0)</f>
        <v>401</v>
      </c>
      <c r="AR96" s="132">
        <f>VLOOKUP($AB96,Base_Mensuelle!$HS$67:$JV$679,11,0)</f>
        <v>285</v>
      </c>
      <c r="AS96" s="733">
        <f>VLOOKUP($B96,Base_Mensuelle!$JW$67:$KZ$679,3,0)</f>
        <v>0</v>
      </c>
      <c r="AT96" s="734">
        <f>VLOOKUP($B96,Base_Mensuelle!$JW$67:$KZ$679,8,0)</f>
        <v>0</v>
      </c>
      <c r="AU96" s="733">
        <f>VLOOKUP($B96,Base_Mensuelle!$JW$67:$KZ$679,11,0)</f>
        <v>0</v>
      </c>
      <c r="AV96" s="734">
        <f>VLOOKUP($B96,Base_Mensuelle!$JW$67:$KZ$679,15,0)</f>
        <v>0</v>
      </c>
      <c r="AW96" s="733">
        <f>VLOOKUP($B96,Base_Mensuelle!$JW$67:$KZ$679,25,0)</f>
        <v>0</v>
      </c>
      <c r="AX96" s="734">
        <f>VLOOKUP($B96,Base_Mensuelle!$JW$67:$KZ$679,29,0)</f>
        <v>0</v>
      </c>
    </row>
    <row r="97" spans="1:50">
      <c r="A97" s="175">
        <f t="shared" si="4"/>
        <v>12</v>
      </c>
      <c r="B97" s="14">
        <f>INDEX(Base_Mensuelle!$BX$68:$CD$679,MAX(Base_Mensuelle!$CD$68:$CD$679)-A98,1)</f>
        <v>44927</v>
      </c>
      <c r="C97" s="179">
        <f>VLOOKUP($B97,Base_Mensuelle!$BX$68:$CD$679,C$2,0)</f>
        <v>608.52</v>
      </c>
      <c r="D97" s="99">
        <f>VLOOKUP($B97,Base_Mensuelle!$BX$68:$CD$679,D$2,0)</f>
        <v>655.95699999999999</v>
      </c>
      <c r="E97" s="99">
        <f>VLOOKUP($B97,Base_Mensuelle!$BX$68:$CD$679,E$2,0)</f>
        <v>658.44</v>
      </c>
      <c r="F97" s="99">
        <f>VLOOKUP($B97,Base_Mensuelle!$BX$68:$CD$679,F$2,0)</f>
        <v>35.609000000000002</v>
      </c>
      <c r="G97" s="132">
        <f>VLOOKUP($B97,Base_Mensuelle!$BX$68:$CD$679,G$2,0)</f>
        <v>53.322000000000003</v>
      </c>
      <c r="H97" s="99">
        <f>VLOOKUP($B97,Base_Mensuelle!$CF$68:$CJ$679,H$2,0)</f>
        <v>2.211013398</v>
      </c>
      <c r="I97" s="132">
        <f>VLOOKUP($B97,Base_Mensuelle!$CF$68:$CJ$679,I$2,0)</f>
        <v>1897.71</v>
      </c>
      <c r="J97" s="19">
        <f>VLOOKUP($B97,Base_Mensuelle!$CY$67:$DE$679,5,0)</f>
        <v>0</v>
      </c>
      <c r="K97" s="99">
        <f>VLOOKUP($B97,Base_Mensuelle!$CY$67:$DE$679,2,0)</f>
        <v>0</v>
      </c>
      <c r="L97" s="93"/>
      <c r="M97" s="182">
        <f>VLOOKUP($B97,Base_Mensuelle!$DG$67:$DN$679,2,0)</f>
        <v>511204.80119126331</v>
      </c>
      <c r="N97" s="182">
        <f>VLOOKUP($B97,Base_Mensuelle!$DG$68:$DO$679,9,0)</f>
        <v>8178808.6914653881</v>
      </c>
      <c r="O97" s="93"/>
      <c r="P97" s="20"/>
      <c r="Q97" s="14">
        <f>INDEX(Base_Mensuelle!$BX$68:$CD$679,MAX(Base_Mensuelle!$PD$68:$PD$679)-A98,1)</f>
        <v>44927</v>
      </c>
      <c r="R97" s="733">
        <f>VLOOKUP($Q97,Base_Mensuelle!$OF$67:$RN$679,12,0)</f>
        <v>1871.558048375</v>
      </c>
      <c r="S97" s="570">
        <f>VLOOKUP($Q97,Base_Mensuelle!$OF$67:$RN$679,15,0)</f>
        <v>4416.1022129339999</v>
      </c>
      <c r="T97" s="570">
        <f>VLOOKUP($Q97,Base_Mensuelle!$OF$67:$RN$679,22,0)</f>
        <v>1164.405161895</v>
      </c>
      <c r="U97" s="734">
        <f>VLOOKUP($Q97,Base_Mensuelle!$OF$67:$RN$679,16,0)</f>
        <v>355.84109165100006</v>
      </c>
      <c r="V97" s="733">
        <f>VLOOKUP($Q97,Base_Mensuelle!$OF$67:$RN$679,27,0)</f>
        <v>-486.83395162500005</v>
      </c>
      <c r="W97" s="570">
        <f>VLOOKUP($Q97,Base_Mensuelle!$OF$67:$RN$679,31,0)</f>
        <v>4.3152939889999402</v>
      </c>
      <c r="X97" s="570">
        <f>VLOOKUP($Q97,Base_Mensuelle!$OF$67:$RN$679,33,0)</f>
        <v>270.77953343900003</v>
      </c>
      <c r="Y97" s="570">
        <f>VLOOKUP($Q97,Base_Mensuelle!$OF$67:$RN$679,65,0)</f>
        <v>4037.1010000000001</v>
      </c>
      <c r="Z97" s="570">
        <f>VLOOKUP($Q97,Base_Mensuelle!$OF$67:$RN$679,39,0)</f>
        <v>1252.4485564259999</v>
      </c>
      <c r="AA97" s="734">
        <f>VLOOKUP($Q97,Base_Mensuelle!$OF$67:$RN$679,51,0)</f>
        <v>3.0306452579999998</v>
      </c>
      <c r="AB97" s="14">
        <f>INDEX(Base_Mensuelle!$BX$68:$CD$679,MAX(Base_Mensuelle!$FZ$68:$FZ$679)-A97,1)</f>
        <v>44896</v>
      </c>
      <c r="AC97" s="179">
        <f>VLOOKUP($AB97,Base_Mensuelle!$FL$67:$FY$679,2,0)</f>
        <v>123.24</v>
      </c>
      <c r="AD97" s="772">
        <f t="shared" si="3"/>
        <v>0.14067579852390533</v>
      </c>
      <c r="AE97" s="20">
        <f t="shared" si="2"/>
        <v>0.03</v>
      </c>
      <c r="AF97" s="220">
        <f>VLOOKUP($AB97,Base_Mensuelle!$GP$67:$HR$679,2,0)</f>
        <v>457</v>
      </c>
      <c r="AG97" s="99">
        <f>VLOOKUP($AB97,Base_Mensuelle!$GP$67:$HR$679,3,0)</f>
        <v>341</v>
      </c>
      <c r="AH97" s="99">
        <f>VLOOKUP($AB97,Base_Mensuelle!$GP$67:$HR$679,14,0)</f>
        <v>2479</v>
      </c>
      <c r="AI97" s="99">
        <f>VLOOKUP($AB97,Base_Mensuelle!$GA$67:$GO$679,5,0)</f>
        <v>109.05</v>
      </c>
      <c r="AJ97" s="99">
        <f>VLOOKUP($AB97,Base_Mensuelle!$GA$67:$GO$679,6,0)</f>
        <v>154.32</v>
      </c>
      <c r="AK97" s="99">
        <f>VLOOKUP($AB97,Base_Mensuelle!$GA$67:$GO$679,7,0)</f>
        <v>110.78</v>
      </c>
      <c r="AL97" s="99">
        <f>VLOOKUP($AB97,Base_Mensuelle!$GA$67:$GO$679,3,0)</f>
        <v>109.63</v>
      </c>
      <c r="AM97" s="132">
        <f>VLOOKUP($AB97,Base_Mensuelle!$GA$67:$GO$679,4,0)</f>
        <v>129.72999999999999</v>
      </c>
      <c r="AN97" s="179">
        <f>VLOOKUP($AB97,Base_Mensuelle!$HS$67:$JV$679,9,0)</f>
        <v>401</v>
      </c>
      <c r="AO97" s="99">
        <f>VLOOKUP($AB97,Base_Mensuelle!$HS$67:$JV$679,23,0)</f>
        <v>241</v>
      </c>
      <c r="AP97" s="99">
        <f>VLOOKUP($AB97,Base_Mensuelle!$HS$67:$JV$679,39,0)</f>
        <v>500</v>
      </c>
      <c r="AQ97" s="99">
        <f>VLOOKUP($AB97,Base_Mensuelle!$HS$67:$JV$679,10,0)</f>
        <v>402</v>
      </c>
      <c r="AR97" s="132">
        <f>VLOOKUP($AB97,Base_Mensuelle!$HS$67:$JV$679,11,0)</f>
        <v>214</v>
      </c>
      <c r="AS97" s="733">
        <f>VLOOKUP($B97,Base_Mensuelle!$JW$67:$KZ$679,3,0)</f>
        <v>0</v>
      </c>
      <c r="AT97" s="734">
        <f>VLOOKUP($B97,Base_Mensuelle!$JW$67:$KZ$679,8,0)</f>
        <v>0</v>
      </c>
      <c r="AU97" s="733">
        <f>VLOOKUP($B97,Base_Mensuelle!$JW$67:$KZ$679,11,0)</f>
        <v>0</v>
      </c>
      <c r="AV97" s="734">
        <f>VLOOKUP($B97,Base_Mensuelle!$JW$67:$KZ$679,15,0)</f>
        <v>0</v>
      </c>
      <c r="AW97" s="733">
        <f>VLOOKUP($B97,Base_Mensuelle!$JW$67:$KZ$679,25,0)</f>
        <v>0</v>
      </c>
      <c r="AX97" s="734">
        <f>VLOOKUP($B97,Base_Mensuelle!$JW$67:$KZ$679,29,0)</f>
        <v>0</v>
      </c>
    </row>
    <row r="98" spans="1:50">
      <c r="A98" s="175">
        <f t="shared" si="4"/>
        <v>11</v>
      </c>
      <c r="B98" s="14">
        <f>INDEX(Base_Mensuelle!$BX$68:$CD$679,MAX(Base_Mensuelle!$CD$68:$CD$679)-A99,1)</f>
        <v>44958</v>
      </c>
      <c r="C98" s="179">
        <f>VLOOKUP($B98,Base_Mensuelle!$BX$68:$CD$679,C$2,0)</f>
        <v>612.79</v>
      </c>
      <c r="D98" s="99">
        <f>VLOOKUP($B98,Base_Mensuelle!$BX$68:$CD$679,D$2,0)</f>
        <v>655.95699999999999</v>
      </c>
      <c r="E98" s="99">
        <f>VLOOKUP($B98,Base_Mensuelle!$BX$68:$CD$679,E$2,0)</f>
        <v>661.88</v>
      </c>
      <c r="F98" s="99">
        <f>VLOOKUP($B98,Base_Mensuelle!$BX$68:$CD$679,F$2,0)</f>
        <v>34.222000000000001</v>
      </c>
      <c r="G98" s="132">
        <f>VLOOKUP($B98,Base_Mensuelle!$BX$68:$CD$679,G$2,0)</f>
        <v>49.152000000000001</v>
      </c>
      <c r="H98" s="99">
        <f>VLOOKUP($B98,Base_Mensuelle!$CF$68:$CJ$679,H$2,0)</f>
        <v>2.1909513559999998</v>
      </c>
      <c r="I98" s="132">
        <f>VLOOKUP($B98,Base_Mensuelle!$CF$68:$CJ$679,I$2,0)</f>
        <v>1854.54</v>
      </c>
      <c r="J98" s="19">
        <f>VLOOKUP($B98,Base_Mensuelle!$CY$67:$DE$679,5,0)</f>
        <v>0</v>
      </c>
      <c r="K98" s="99">
        <f>VLOOKUP($B98,Base_Mensuelle!$CY$67:$DE$679,2,0)</f>
        <v>0</v>
      </c>
      <c r="L98" s="93"/>
      <c r="M98" s="182">
        <f>VLOOKUP($B98,Base_Mensuelle!$DG$67:$DN$679,2,0)</f>
        <v>510393.83970679931</v>
      </c>
      <c r="N98" s="182">
        <f>VLOOKUP($B98,Base_Mensuelle!$DG$68:$DO$679,9,0)</f>
        <v>8482950.4321798272</v>
      </c>
      <c r="O98" s="93"/>
      <c r="P98" s="20"/>
      <c r="Q98" s="14">
        <f>INDEX(Base_Mensuelle!$BX$68:$CD$679,MAX(Base_Mensuelle!$PD$68:$PD$679)-A99,1)</f>
        <v>44958</v>
      </c>
      <c r="R98" s="733">
        <f>VLOOKUP($Q98,Base_Mensuelle!$OF$67:$RN$679,12,0)</f>
        <v>1494.1240691580003</v>
      </c>
      <c r="S98" s="570">
        <f>VLOOKUP($Q98,Base_Mensuelle!$OF$67:$RN$679,15,0)</f>
        <v>4359.746941509</v>
      </c>
      <c r="T98" s="570">
        <f>VLOOKUP($Q98,Base_Mensuelle!$OF$67:$RN$679,22,0)</f>
        <v>1090.068858410998</v>
      </c>
      <c r="U98" s="734">
        <f>VLOOKUP($Q98,Base_Mensuelle!$OF$67:$RN$679,16,0)</f>
        <v>350.59662003399995</v>
      </c>
      <c r="V98" s="733">
        <f>VLOOKUP($Q98,Base_Mensuelle!$OF$67:$RN$679,27,0)</f>
        <v>-495.10793084200003</v>
      </c>
      <c r="W98" s="570">
        <f>VLOOKUP($Q98,Base_Mensuelle!$OF$67:$RN$679,31,0)</f>
        <v>20.716822371999996</v>
      </c>
      <c r="X98" s="570">
        <f>VLOOKUP($Q98,Base_Mensuelle!$OF$67:$RN$679,33,0)</f>
        <v>254.39767097000001</v>
      </c>
      <c r="Y98" s="570">
        <f>VLOOKUP($Q98,Base_Mensuelle!$OF$67:$RN$679,65,0)</f>
        <v>4001.0639999999999</v>
      </c>
      <c r="Z98" s="570">
        <f>VLOOKUP($Q98,Base_Mensuelle!$OF$67:$RN$679,39,0)</f>
        <v>1085.0335829630001</v>
      </c>
      <c r="AA98" s="734">
        <f>VLOOKUP($Q98,Base_Mensuelle!$OF$67:$RN$679,51,0)</f>
        <v>5.6470300450000002</v>
      </c>
      <c r="AB98" s="14">
        <f>INDEX(Base_Mensuelle!$BX$68:$CD$679,MAX(Base_Mensuelle!$FZ$68:$FZ$679)-A98,1)</f>
        <v>44927</v>
      </c>
      <c r="AC98" s="179">
        <f>VLOOKUP($AB98,Base_Mensuelle!$FL$67:$FY$679,2,0)</f>
        <v>121</v>
      </c>
      <c r="AD98" s="772">
        <f t="shared" si="3"/>
        <v>0.14117962466487932</v>
      </c>
      <c r="AE98" s="20">
        <f t="shared" si="2"/>
        <v>0.03</v>
      </c>
      <c r="AF98" s="220">
        <f>VLOOKUP($AB98,Base_Mensuelle!$GP$67:$HR$679,2,0)</f>
        <v>415</v>
      </c>
      <c r="AG98" s="99">
        <f>VLOOKUP($AB98,Base_Mensuelle!$GP$67:$HR$679,3,0)</f>
        <v>338</v>
      </c>
      <c r="AH98" s="99">
        <f>VLOOKUP($AB98,Base_Mensuelle!$GP$67:$HR$679,14,0)</f>
        <v>2613</v>
      </c>
      <c r="AI98" s="99">
        <f>VLOOKUP($AB98,Base_Mensuelle!$GA$67:$GO$679,5,0)</f>
        <v>112.56</v>
      </c>
      <c r="AJ98" s="99">
        <f>VLOOKUP($AB98,Base_Mensuelle!$GA$67:$GO$679,6,0)</f>
        <v>146.38</v>
      </c>
      <c r="AK98" s="99">
        <f>VLOOKUP($AB98,Base_Mensuelle!$GA$67:$GO$679,7,0)</f>
        <v>111.19</v>
      </c>
      <c r="AL98" s="99">
        <f>VLOOKUP($AB98,Base_Mensuelle!$GA$67:$GO$679,3,0)</f>
        <v>109.93</v>
      </c>
      <c r="AM98" s="132">
        <f>VLOOKUP($AB98,Base_Mensuelle!$GA$67:$GO$679,4,0)</f>
        <v>126.46</v>
      </c>
      <c r="AN98" s="179">
        <f>VLOOKUP($AB98,Base_Mensuelle!$HS$67:$JV$679,9,0)</f>
        <v>0</v>
      </c>
      <c r="AO98" s="99">
        <f>VLOOKUP($AB98,Base_Mensuelle!$HS$67:$JV$679,23,0)</f>
        <v>0</v>
      </c>
      <c r="AP98" s="99">
        <f>VLOOKUP($AB98,Base_Mensuelle!$HS$67:$JV$679,39,0)</f>
        <v>0</v>
      </c>
      <c r="AQ98" s="99">
        <f>VLOOKUP($AB98,Base_Mensuelle!$HS$67:$JV$679,10,0)</f>
        <v>0</v>
      </c>
      <c r="AR98" s="132">
        <f>VLOOKUP($AB98,Base_Mensuelle!$HS$67:$JV$679,11,0)</f>
        <v>0</v>
      </c>
      <c r="AS98" s="733">
        <f>VLOOKUP($B98,Base_Mensuelle!$JW$67:$KZ$679,3,0)</f>
        <v>0</v>
      </c>
      <c r="AT98" s="734">
        <f>VLOOKUP($B98,Base_Mensuelle!$JW$67:$KZ$679,8,0)</f>
        <v>0</v>
      </c>
      <c r="AU98" s="733">
        <f>VLOOKUP($B98,Base_Mensuelle!$JW$67:$KZ$679,11,0)</f>
        <v>0</v>
      </c>
      <c r="AV98" s="734">
        <f>VLOOKUP($B98,Base_Mensuelle!$JW$67:$KZ$679,15,0)</f>
        <v>0</v>
      </c>
      <c r="AW98" s="733">
        <f>VLOOKUP($B98,Base_Mensuelle!$JW$67:$KZ$679,25,0)</f>
        <v>0</v>
      </c>
      <c r="AX98" s="734">
        <f>VLOOKUP($B98,Base_Mensuelle!$JW$67:$KZ$679,29,0)</f>
        <v>0</v>
      </c>
    </row>
    <row r="99" spans="1:50">
      <c r="A99" s="175">
        <f t="shared" si="4"/>
        <v>10</v>
      </c>
      <c r="B99" s="14">
        <f>INDEX(Base_Mensuelle!$BX$68:$CD$679,MAX(Base_Mensuelle!$CD$68:$CD$679)-A100,1)</f>
        <v>44986</v>
      </c>
      <c r="C99" s="179">
        <f>VLOOKUP($B99,Base_Mensuelle!$BX$68:$CD$679,C$2,0)</f>
        <v>612.02</v>
      </c>
      <c r="D99" s="99">
        <f>VLOOKUP($B99,Base_Mensuelle!$BX$68:$CD$679,D$2,0)</f>
        <v>655.95699999999999</v>
      </c>
      <c r="E99" s="99">
        <f>VLOOKUP($B99,Base_Mensuelle!$BX$68:$CD$679,E$2,0)</f>
        <v>661.32</v>
      </c>
      <c r="F99" s="99">
        <f>VLOOKUP($B99,Base_Mensuelle!$BX$68:$CD$679,F$2,0)</f>
        <v>33.51</v>
      </c>
      <c r="G99" s="132">
        <f>VLOOKUP($B99,Base_Mensuelle!$BX$68:$CD$679,G$2,0)</f>
        <v>49.703000000000003</v>
      </c>
      <c r="H99" s="99">
        <f>VLOOKUP($B99,Base_Mensuelle!$CF$68:$CJ$679,H$2,0)</f>
        <v>2.1029870179999999</v>
      </c>
      <c r="I99" s="132">
        <f>VLOOKUP($B99,Base_Mensuelle!$CF$68:$CJ$679,I$2,0)</f>
        <v>1912.73</v>
      </c>
      <c r="J99" s="19">
        <f>VLOOKUP($B99,Base_Mensuelle!$CY$67:$DE$679,5,0)</f>
        <v>0</v>
      </c>
      <c r="K99" s="99">
        <f>VLOOKUP($B99,Base_Mensuelle!$CY$67:$DE$679,2,0)</f>
        <v>0</v>
      </c>
      <c r="L99" s="93"/>
      <c r="M99" s="182">
        <f>VLOOKUP($B99,Base_Mensuelle!$DG$67:$DN$679,2,0)</f>
        <v>510006.37638283643</v>
      </c>
      <c r="N99" s="182">
        <f>VLOOKUP($B99,Base_Mensuelle!$DG$68:$DO$679,9,0)</f>
        <v>8818907.2576504257</v>
      </c>
      <c r="O99" s="93"/>
      <c r="P99" s="20"/>
      <c r="Q99" s="14">
        <f>INDEX(Base_Mensuelle!$BX$68:$CD$679,MAX(Base_Mensuelle!$PD$68:$PD$679)-A100,1)</f>
        <v>44986</v>
      </c>
      <c r="R99" s="733">
        <f>VLOOKUP($Q99,Base_Mensuelle!$OF$67:$RN$679,12,0)</f>
        <v>1657.7496957499998</v>
      </c>
      <c r="S99" s="570">
        <f>VLOOKUP($Q99,Base_Mensuelle!$OF$67:$RN$679,15,0)</f>
        <v>4317.6425430890004</v>
      </c>
      <c r="T99" s="570">
        <f>VLOOKUP($Q99,Base_Mensuelle!$OF$67:$RN$679,22,0)</f>
        <v>1053.428432729</v>
      </c>
      <c r="U99" s="734">
        <f>VLOOKUP($Q99,Base_Mensuelle!$OF$67:$RN$679,16,0)</f>
        <v>333.10850421300006</v>
      </c>
      <c r="V99" s="733">
        <f>VLOOKUP($Q99,Base_Mensuelle!$OF$67:$RN$679,27,0)</f>
        <v>-391.68530425</v>
      </c>
      <c r="W99" s="570">
        <f>VLOOKUP($Q99,Base_Mensuelle!$OF$67:$RN$679,31,0)</f>
        <v>28.859706550999988</v>
      </c>
      <c r="X99" s="570">
        <f>VLOOKUP($Q99,Base_Mensuelle!$OF$67:$RN$679,33,0)</f>
        <v>295.28005035199999</v>
      </c>
      <c r="Y99" s="570">
        <f>VLOOKUP($Q99,Base_Mensuelle!$OF$67:$RN$679,65,0)</f>
        <v>3975.3029999999999</v>
      </c>
      <c r="Z99" s="570">
        <f>VLOOKUP($Q99,Base_Mensuelle!$OF$67:$RN$679,39,0)</f>
        <v>1243.6039750799998</v>
      </c>
      <c r="AA99" s="734">
        <f>VLOOKUP($Q99,Base_Mensuelle!$OF$67:$RN$679,51,0)</f>
        <v>9.1908899690000005</v>
      </c>
      <c r="AB99" s="14">
        <f>INDEX(Base_Mensuelle!$BX$68:$CD$679,MAX(Base_Mensuelle!$FZ$68:$FZ$679)-A99,1)</f>
        <v>44958</v>
      </c>
      <c r="AC99" s="179">
        <f>VLOOKUP($AB99,Base_Mensuelle!$FL$67:$FY$679,2,0)</f>
        <v>121.33</v>
      </c>
      <c r="AD99" s="772">
        <f t="shared" si="3"/>
        <v>0.13734802431610893</v>
      </c>
      <c r="AE99" s="20">
        <f t="shared" si="2"/>
        <v>0.03</v>
      </c>
      <c r="AF99" s="220">
        <f>VLOOKUP($AB99,Base_Mensuelle!$GP$67:$HR$679,2,0)</f>
        <v>396</v>
      </c>
      <c r="AG99" s="99">
        <f>VLOOKUP($AB99,Base_Mensuelle!$GP$67:$HR$679,3,0)</f>
        <v>336</v>
      </c>
      <c r="AH99" s="99">
        <f>VLOOKUP($AB99,Base_Mensuelle!$GP$67:$HR$679,14,0)</f>
        <v>2286</v>
      </c>
      <c r="AI99" s="99">
        <f>VLOOKUP($AB99,Base_Mensuelle!$GA$67:$GO$679,5,0)</f>
        <v>113.77</v>
      </c>
      <c r="AJ99" s="99">
        <f>VLOOKUP($AB99,Base_Mensuelle!$GA$67:$GO$679,6,0)</f>
        <v>147.56</v>
      </c>
      <c r="AK99" s="99">
        <f>VLOOKUP($AB99,Base_Mensuelle!$GA$67:$GO$679,7,0)</f>
        <v>111.18</v>
      </c>
      <c r="AL99" s="99">
        <f>VLOOKUP($AB99,Base_Mensuelle!$GA$67:$GO$679,3,0)</f>
        <v>110.75</v>
      </c>
      <c r="AM99" s="132">
        <f>VLOOKUP($AB99,Base_Mensuelle!$GA$67:$GO$679,4,0)</f>
        <v>126.64</v>
      </c>
      <c r="AN99" s="179">
        <f>VLOOKUP($AB99,Base_Mensuelle!$HS$67:$JV$679,9,0)</f>
        <v>0</v>
      </c>
      <c r="AO99" s="99">
        <f>VLOOKUP($AB99,Base_Mensuelle!$HS$67:$JV$679,23,0)</f>
        <v>0</v>
      </c>
      <c r="AP99" s="99">
        <f>VLOOKUP($AB99,Base_Mensuelle!$HS$67:$JV$679,39,0)</f>
        <v>0</v>
      </c>
      <c r="AQ99" s="99">
        <f>VLOOKUP($AB99,Base_Mensuelle!$HS$67:$JV$679,10,0)</f>
        <v>0</v>
      </c>
      <c r="AR99" s="132">
        <f>VLOOKUP($AB99,Base_Mensuelle!$HS$67:$JV$679,11,0)</f>
        <v>0</v>
      </c>
      <c r="AS99" s="733">
        <f>VLOOKUP($B99,Base_Mensuelle!$JW$67:$KZ$679,3,0)</f>
        <v>0</v>
      </c>
      <c r="AT99" s="734">
        <f>VLOOKUP($B99,Base_Mensuelle!$JW$67:$KZ$679,8,0)</f>
        <v>0</v>
      </c>
      <c r="AU99" s="733">
        <f>VLOOKUP($B99,Base_Mensuelle!$JW$67:$KZ$679,11,0)</f>
        <v>0</v>
      </c>
      <c r="AV99" s="734">
        <f>VLOOKUP($B99,Base_Mensuelle!$JW$67:$KZ$679,15,0)</f>
        <v>0</v>
      </c>
      <c r="AW99" s="733">
        <f>VLOOKUP($B99,Base_Mensuelle!$JW$67:$KZ$679,25,0)</f>
        <v>0</v>
      </c>
      <c r="AX99" s="734">
        <f>VLOOKUP($B99,Base_Mensuelle!$JW$67:$KZ$679,29,0)</f>
        <v>0</v>
      </c>
    </row>
    <row r="100" spans="1:50">
      <c r="A100" s="175">
        <f t="shared" si="4"/>
        <v>9</v>
      </c>
      <c r="B100" s="14">
        <f>INDEX(Base_Mensuelle!$BX$68:$CD$679,MAX(Base_Mensuelle!$CD$68:$CD$679)-A101,1)</f>
        <v>45017</v>
      </c>
      <c r="C100" s="179">
        <f>VLOOKUP($B100,Base_Mensuelle!$BX$68:$CD$679,C$2,0)</f>
        <v>597.29999999999995</v>
      </c>
      <c r="D100" s="99">
        <f>VLOOKUP($B100,Base_Mensuelle!$BX$68:$CD$679,D$2,0)</f>
        <v>655.95699999999999</v>
      </c>
      <c r="E100" s="99">
        <f>VLOOKUP($B100,Base_Mensuelle!$BX$68:$CD$679,E$2,0)</f>
        <v>664.98</v>
      </c>
      <c r="F100" s="99">
        <f>VLOOKUP($B100,Base_Mensuelle!$BX$68:$CD$679,F$2,0)</f>
        <v>32.831000000000003</v>
      </c>
      <c r="G100" s="132">
        <f>VLOOKUP($B100,Base_Mensuelle!$BX$68:$CD$679,G$2,0)</f>
        <v>52.442999999999998</v>
      </c>
      <c r="H100" s="99">
        <f>VLOOKUP($B100,Base_Mensuelle!$CF$68:$CJ$679,H$2,0)</f>
        <v>2.0979163920000001</v>
      </c>
      <c r="I100" s="132">
        <f>VLOOKUP($B100,Base_Mensuelle!$CF$68:$CJ$679,I$2,0)</f>
        <v>1999.77</v>
      </c>
      <c r="J100" s="19">
        <f>VLOOKUP($B100,Base_Mensuelle!$CY$67:$DE$679,5,0)</f>
        <v>0</v>
      </c>
      <c r="K100" s="99">
        <f>VLOOKUP($B100,Base_Mensuelle!$CY$67:$DE$679,2,0)</f>
        <v>0</v>
      </c>
      <c r="L100" s="93"/>
      <c r="M100" s="182">
        <f>VLOOKUP($B100,Base_Mensuelle!$DG$67:$DN$679,2,0)</f>
        <v>512707</v>
      </c>
      <c r="N100" s="182">
        <f>VLOOKUP($B100,Base_Mensuelle!$DG$68:$DO$679,9,0)</f>
        <v>8534882</v>
      </c>
      <c r="O100" s="93"/>
      <c r="P100" s="20"/>
      <c r="Q100" s="14">
        <f>INDEX(Base_Mensuelle!$BX$68:$CD$679,MAX(Base_Mensuelle!$PD$68:$PD$679)-A101,1)</f>
        <v>45017</v>
      </c>
      <c r="R100" s="733">
        <f>VLOOKUP($Q100,Base_Mensuelle!$OF$67:$RN$679,12,0)</f>
        <v>1731.2864033989999</v>
      </c>
      <c r="S100" s="570">
        <f>VLOOKUP($Q100,Base_Mensuelle!$OF$67:$RN$679,15,0)</f>
        <v>4381.3401735160005</v>
      </c>
      <c r="T100" s="570">
        <f>VLOOKUP($Q100,Base_Mensuelle!$OF$67:$RN$679,22,0)</f>
        <v>1155.3678230309997</v>
      </c>
      <c r="U100" s="734">
        <f>VLOOKUP($Q100,Base_Mensuelle!$OF$67:$RN$679,16,0)</f>
        <v>322.1210702460001</v>
      </c>
      <c r="V100" s="733">
        <f>VLOOKUP($Q100,Base_Mensuelle!$OF$67:$RN$679,27,0)</f>
        <v>-254.81959660100006</v>
      </c>
      <c r="W100" s="570">
        <f>VLOOKUP($Q100,Base_Mensuelle!$OF$67:$RN$679,31,0)</f>
        <v>57.445272584000008</v>
      </c>
      <c r="X100" s="570">
        <f>VLOOKUP($Q100,Base_Mensuelle!$OF$67:$RN$679,33,0)</f>
        <v>266.71536582199997</v>
      </c>
      <c r="Y100" s="570">
        <f>VLOOKUP($Q100,Base_Mensuelle!$OF$67:$RN$679,65,0)</f>
        <v>4050.2220000000002</v>
      </c>
      <c r="Z100" s="570">
        <f>VLOOKUP($Q100,Base_Mensuelle!$OF$67:$RN$679,39,0)</f>
        <v>1381.830409678</v>
      </c>
      <c r="AA100" s="734">
        <f>VLOOKUP($Q100,Base_Mensuelle!$OF$67:$RN$679,51,0)</f>
        <v>14.181565062000001</v>
      </c>
      <c r="AB100" s="14">
        <f>INDEX(Base_Mensuelle!$BX$68:$CD$679,MAX(Base_Mensuelle!$FZ$68:$FZ$679)-A100,1)</f>
        <v>44986</v>
      </c>
      <c r="AC100" s="179">
        <f>VLOOKUP($AB100,Base_Mensuelle!$FL$67:$FY$679,2,0)</f>
        <v>122.1</v>
      </c>
      <c r="AD100" s="772">
        <f t="shared" si="3"/>
        <v>0.12789263965115372</v>
      </c>
      <c r="AE100" s="20">
        <f t="shared" si="2"/>
        <v>0.03</v>
      </c>
      <c r="AF100" s="220">
        <f>VLOOKUP($AB100,Base_Mensuelle!$GP$67:$HR$679,2,0)</f>
        <v>397</v>
      </c>
      <c r="AG100" s="99">
        <f>VLOOKUP($AB100,Base_Mensuelle!$GP$67:$HR$679,3,0)</f>
        <v>330</v>
      </c>
      <c r="AH100" s="99">
        <f>VLOOKUP($AB100,Base_Mensuelle!$GP$67:$HR$679,14,0)</f>
        <v>2418</v>
      </c>
      <c r="AI100" s="99">
        <f>VLOOKUP($AB100,Base_Mensuelle!$GA$67:$GO$679,5,0)</f>
        <v>114.3</v>
      </c>
      <c r="AJ100" s="99">
        <f>VLOOKUP($AB100,Base_Mensuelle!$GA$67:$GO$679,6,0)</f>
        <v>148.69999999999999</v>
      </c>
      <c r="AK100" s="99">
        <f>VLOOKUP($AB100,Base_Mensuelle!$GA$67:$GO$679,7,0)</f>
        <v>111.9</v>
      </c>
      <c r="AL100" s="99">
        <f>VLOOKUP($AB100,Base_Mensuelle!$GA$67:$GO$679,3,0)</f>
        <v>111.9</v>
      </c>
      <c r="AM100" s="132">
        <f>VLOOKUP($AB100,Base_Mensuelle!$GA$67:$GO$679,4,0)</f>
        <v>127</v>
      </c>
      <c r="AN100" s="179">
        <f>VLOOKUP($AB100,Base_Mensuelle!$HS$67:$JV$679,9,0)</f>
        <v>0</v>
      </c>
      <c r="AO100" s="99">
        <f>VLOOKUP($AB100,Base_Mensuelle!$HS$67:$JV$679,23,0)</f>
        <v>0</v>
      </c>
      <c r="AP100" s="99">
        <f>VLOOKUP($AB100,Base_Mensuelle!$HS$67:$JV$679,39,0)</f>
        <v>0</v>
      </c>
      <c r="AQ100" s="99">
        <f>VLOOKUP($AB100,Base_Mensuelle!$HS$67:$JV$679,10,0)</f>
        <v>0</v>
      </c>
      <c r="AR100" s="132">
        <f>VLOOKUP($AB100,Base_Mensuelle!$HS$67:$JV$679,11,0)</f>
        <v>0</v>
      </c>
      <c r="AS100" s="733">
        <f>VLOOKUP($B100,Base_Mensuelle!$JW$67:$KZ$679,3,0)</f>
        <v>0</v>
      </c>
      <c r="AT100" s="734">
        <f>VLOOKUP($B100,Base_Mensuelle!$JW$67:$KZ$679,8,0)</f>
        <v>0</v>
      </c>
      <c r="AU100" s="733">
        <f>VLOOKUP($B100,Base_Mensuelle!$JW$67:$KZ$679,11,0)</f>
        <v>0</v>
      </c>
      <c r="AV100" s="734">
        <f>VLOOKUP($B100,Base_Mensuelle!$JW$67:$KZ$679,15,0)</f>
        <v>0</v>
      </c>
      <c r="AW100" s="733">
        <f>VLOOKUP($B100,Base_Mensuelle!$JW$67:$KZ$679,25,0)</f>
        <v>0</v>
      </c>
      <c r="AX100" s="734">
        <f>VLOOKUP($B100,Base_Mensuelle!$JW$67:$KZ$679,29,0)</f>
        <v>0</v>
      </c>
    </row>
    <row r="101" spans="1:50">
      <c r="A101" s="175">
        <f t="shared" si="4"/>
        <v>8</v>
      </c>
      <c r="B101" s="14">
        <f>INDEX(Base_Mensuelle!$BX$68:$CD$679,MAX(Base_Mensuelle!$CD$68:$CD$679)-A102,1)</f>
        <v>45047</v>
      </c>
      <c r="C101" s="179">
        <f>VLOOKUP($B101,Base_Mensuelle!$BX$68:$CD$679,C$2,0)</f>
        <v>603.36</v>
      </c>
      <c r="D101" s="99">
        <f>VLOOKUP($B101,Base_Mensuelle!$BX$68:$CD$679,D$2,0)</f>
        <v>655.95699999999999</v>
      </c>
      <c r="E101" s="99">
        <f>VLOOKUP($B101,Base_Mensuelle!$BX$68:$CD$679,E$2,0)</f>
        <v>672.07</v>
      </c>
      <c r="F101" s="99">
        <f>VLOOKUP($B101,Base_Mensuelle!$BX$68:$CD$679,F$2,0)</f>
        <v>31.655999999999999</v>
      </c>
      <c r="G101" s="132">
        <f>VLOOKUP($B101,Base_Mensuelle!$BX$68:$CD$679,G$2,0)</f>
        <v>53.186</v>
      </c>
      <c r="H101" s="99">
        <f>VLOOKUP($B101,Base_Mensuelle!$CF$68:$CJ$679,H$2,0)</f>
        <v>2.0734451100000002</v>
      </c>
      <c r="I101" s="132">
        <f>VLOOKUP($B101,Base_Mensuelle!$CF$68:$CJ$679,I$2,0)</f>
        <v>1992.13</v>
      </c>
      <c r="J101" s="19">
        <f>VLOOKUP($B101,Base_Mensuelle!$CY$67:$DE$679,5,0)</f>
        <v>0</v>
      </c>
      <c r="K101" s="99">
        <f>VLOOKUP($B101,Base_Mensuelle!$CY$67:$DE$679,2,0)</f>
        <v>0</v>
      </c>
      <c r="L101" s="93"/>
      <c r="M101" s="182">
        <f>VLOOKUP($B101,Base_Mensuelle!$DG$67:$DN$679,2,0)</f>
        <v>513404</v>
      </c>
      <c r="N101" s="182">
        <f>VLOOKUP($B101,Base_Mensuelle!$DG$68:$DO$679,9,0)</f>
        <v>8036981</v>
      </c>
      <c r="O101" s="93"/>
      <c r="P101" s="20"/>
      <c r="Q101" s="14">
        <f>INDEX(Base_Mensuelle!$BX$68:$CD$679,MAX(Base_Mensuelle!$PD$68:$PD$679)-A102,1)</f>
        <v>45047</v>
      </c>
      <c r="R101" s="733">
        <f>VLOOKUP($Q101,Base_Mensuelle!$OF$67:$RN$679,12,0)</f>
        <v>1764.5601100910001</v>
      </c>
      <c r="S101" s="570">
        <f>VLOOKUP($Q101,Base_Mensuelle!$OF$67:$RN$679,15,0)</f>
        <v>4452.6248572139993</v>
      </c>
      <c r="T101" s="570">
        <f>VLOOKUP($Q101,Base_Mensuelle!$OF$67:$RN$679,22,0)</f>
        <v>1034.6412519969995</v>
      </c>
      <c r="U101" s="734">
        <f>VLOOKUP($Q101,Base_Mensuelle!$OF$67:$RN$679,16,0)</f>
        <v>306.5187739779999</v>
      </c>
      <c r="V101" s="733">
        <f>VLOOKUP($Q101,Base_Mensuelle!$OF$67:$RN$679,27,0)</f>
        <v>-367.71888990900004</v>
      </c>
      <c r="W101" s="570">
        <f>VLOOKUP($Q101,Base_Mensuelle!$OF$67:$RN$679,31,0)</f>
        <v>54.617976316000011</v>
      </c>
      <c r="X101" s="570">
        <f>VLOOKUP($Q101,Base_Mensuelle!$OF$67:$RN$679,33,0)</f>
        <v>269.60033784699999</v>
      </c>
      <c r="Y101" s="570">
        <f>VLOOKUP($Q101,Base_Mensuelle!$OF$67:$RN$679,65,0)</f>
        <v>4136.9219999999996</v>
      </c>
      <c r="Z101" s="570">
        <f>VLOOKUP($Q101,Base_Mensuelle!$OF$67:$RN$679,39,0)</f>
        <v>1323.8055462990001</v>
      </c>
      <c r="AA101" s="734">
        <f>VLOOKUP($Q101,Base_Mensuelle!$OF$67:$RN$679,51,0)</f>
        <v>20.448000404999998</v>
      </c>
      <c r="AB101" s="14">
        <f>INDEX(Base_Mensuelle!$BX$68:$CD$679,MAX(Base_Mensuelle!$FZ$68:$FZ$679)-A101,1)</f>
        <v>45017</v>
      </c>
      <c r="AC101" s="179">
        <f>VLOOKUP($AB101,Base_Mensuelle!$FL$67:$FY$679,2,0)</f>
        <v>122.5</v>
      </c>
      <c r="AD101" s="772">
        <f t="shared" si="3"/>
        <v>0.11465289900828246</v>
      </c>
      <c r="AE101" s="20">
        <f t="shared" si="2"/>
        <v>0.03</v>
      </c>
      <c r="AF101" s="220">
        <f>VLOOKUP($AB101,Base_Mensuelle!$GP$67:$HR$679,2,0)</f>
        <v>405</v>
      </c>
      <c r="AG101" s="99">
        <f>VLOOKUP($AB101,Base_Mensuelle!$GP$67:$HR$679,3,0)</f>
        <v>332</v>
      </c>
      <c r="AH101" s="99">
        <f>VLOOKUP($AB101,Base_Mensuelle!$GP$67:$HR$679,14,0)</f>
        <v>2277</v>
      </c>
      <c r="AI101" s="99">
        <f>VLOOKUP($AB101,Base_Mensuelle!$GA$67:$GO$679,5,0)</f>
        <v>114</v>
      </c>
      <c r="AJ101" s="99">
        <f>VLOOKUP($AB101,Base_Mensuelle!$GA$67:$GO$679,6,0)</f>
        <v>149.5</v>
      </c>
      <c r="AK101" s="99">
        <f>VLOOKUP($AB101,Base_Mensuelle!$GA$67:$GO$679,7,0)</f>
        <v>112.4</v>
      </c>
      <c r="AL101" s="99">
        <f>VLOOKUP($AB101,Base_Mensuelle!$GA$67:$GO$679,3,0)</f>
        <v>111.2</v>
      </c>
      <c r="AM101" s="132">
        <f>VLOOKUP($AB101,Base_Mensuelle!$GA$67:$GO$679,4,0)</f>
        <v>128.1</v>
      </c>
      <c r="AN101" s="179">
        <f>VLOOKUP($AB101,Base_Mensuelle!$HS$67:$JV$679,9,0)</f>
        <v>0</v>
      </c>
      <c r="AO101" s="99">
        <f>VLOOKUP($AB101,Base_Mensuelle!$HS$67:$JV$679,23,0)</f>
        <v>0</v>
      </c>
      <c r="AP101" s="99">
        <f>VLOOKUP($AB101,Base_Mensuelle!$HS$67:$JV$679,39,0)</f>
        <v>0</v>
      </c>
      <c r="AQ101" s="99">
        <f>VLOOKUP($AB101,Base_Mensuelle!$HS$67:$JV$679,10,0)</f>
        <v>0</v>
      </c>
      <c r="AR101" s="132">
        <f>VLOOKUP($AB101,Base_Mensuelle!$HS$67:$JV$679,11,0)</f>
        <v>0</v>
      </c>
      <c r="AS101" s="733">
        <f>VLOOKUP($B101,Base_Mensuelle!$JW$67:$KZ$679,3,0)</f>
        <v>0</v>
      </c>
      <c r="AT101" s="734">
        <f>VLOOKUP($B101,Base_Mensuelle!$JW$67:$KZ$679,8,0)</f>
        <v>0</v>
      </c>
      <c r="AU101" s="733">
        <f>VLOOKUP($B101,Base_Mensuelle!$JW$67:$KZ$679,11,0)</f>
        <v>0</v>
      </c>
      <c r="AV101" s="734">
        <f>VLOOKUP($B101,Base_Mensuelle!$JW$67:$KZ$679,15,0)</f>
        <v>0</v>
      </c>
      <c r="AW101" s="733">
        <f>VLOOKUP($B101,Base_Mensuelle!$JW$67:$KZ$679,25,0)</f>
        <v>0</v>
      </c>
      <c r="AX101" s="734">
        <f>VLOOKUP($B101,Base_Mensuelle!$JW$67:$KZ$679,29,0)</f>
        <v>0</v>
      </c>
    </row>
    <row r="102" spans="1:50">
      <c r="A102" s="175">
        <f t="shared" si="4"/>
        <v>7</v>
      </c>
      <c r="B102" s="14">
        <f>INDEX(Base_Mensuelle!$BX$68:$CD$679,MAX(Base_Mensuelle!$CD$68:$CD$679)-A103,1)</f>
        <v>45078</v>
      </c>
      <c r="C102" s="179">
        <f>VLOOKUP($B102,Base_Mensuelle!$BX$68:$CD$679,C$2,0)</f>
        <v>604.67999999999995</v>
      </c>
      <c r="D102" s="99">
        <f>VLOOKUP($B102,Base_Mensuelle!$BX$68:$CD$679,D$2,0)</f>
        <v>655.95699999999999</v>
      </c>
      <c r="E102" s="99">
        <f>VLOOKUP($B102,Base_Mensuelle!$BX$68:$CD$679,E$2,0)</f>
        <v>671.92</v>
      </c>
      <c r="F102" s="99">
        <f>VLOOKUP($B102,Base_Mensuelle!$BX$68:$CD$679,F$2,0)</f>
        <v>32.305999999999997</v>
      </c>
      <c r="G102" s="132">
        <f>VLOOKUP($B102,Base_Mensuelle!$BX$68:$CD$679,G$2,0)</f>
        <v>53.372999999999998</v>
      </c>
      <c r="H102" s="99">
        <f>VLOOKUP($B102,Base_Mensuelle!$CF$68:$CJ$679,H$2,0)</f>
        <v>2.0388325759999999</v>
      </c>
      <c r="I102" s="132">
        <f>VLOOKUP($B102,Base_Mensuelle!$CF$68:$CJ$679,I$2,0)</f>
        <v>1942.9</v>
      </c>
      <c r="J102" s="19">
        <f>VLOOKUP($B102,Base_Mensuelle!$CY$67:$DE$679,5,0)</f>
        <v>0</v>
      </c>
      <c r="K102" s="99">
        <f>VLOOKUP($B102,Base_Mensuelle!$CY$67:$DE$679,2,0)</f>
        <v>0</v>
      </c>
      <c r="L102" s="93"/>
      <c r="M102" s="182">
        <f>VLOOKUP($B102,Base_Mensuelle!$DG$67:$DN$679,2,0)</f>
        <v>515114</v>
      </c>
      <c r="N102" s="182">
        <f>VLOOKUP($B102,Base_Mensuelle!$DG$68:$DO$679,9,0)</f>
        <v>7691190</v>
      </c>
      <c r="O102" s="93"/>
      <c r="P102" s="20"/>
      <c r="Q102" s="14">
        <f>INDEX(Base_Mensuelle!$BX$68:$CD$679,MAX(Base_Mensuelle!$PD$68:$PD$679)-A103,1)</f>
        <v>45078</v>
      </c>
      <c r="R102" s="733">
        <f>VLOOKUP($Q102,Base_Mensuelle!$OF$67:$RN$679,12,0)</f>
        <v>1870.3018244580001</v>
      </c>
      <c r="S102" s="570">
        <f>VLOOKUP($Q102,Base_Mensuelle!$OF$67:$RN$679,15,0)</f>
        <v>4551.9022971499999</v>
      </c>
      <c r="T102" s="570">
        <f>VLOOKUP($Q102,Base_Mensuelle!$OF$67:$RN$679,22,0)</f>
        <v>1262.5841128569991</v>
      </c>
      <c r="U102" s="734">
        <f>VLOOKUP($Q102,Base_Mensuelle!$OF$67:$RN$679,16,0)</f>
        <v>399.33740789299998</v>
      </c>
      <c r="V102" s="733">
        <f>VLOOKUP($Q102,Base_Mensuelle!$OF$67:$RN$679,27,0)</f>
        <v>-404.02417554199997</v>
      </c>
      <c r="W102" s="570">
        <f>VLOOKUP($Q102,Base_Mensuelle!$OF$67:$RN$679,31,0)</f>
        <v>123.76961023099997</v>
      </c>
      <c r="X102" s="570">
        <f>VLOOKUP($Q102,Base_Mensuelle!$OF$67:$RN$679,33,0)</f>
        <v>196.480166174</v>
      </c>
      <c r="Y102" s="570">
        <f>VLOOKUP($Q102,Base_Mensuelle!$OF$67:$RN$679,65,0)</f>
        <v>4143.2060000000001</v>
      </c>
      <c r="Z102" s="570">
        <f>VLOOKUP($Q102,Base_Mensuelle!$OF$67:$RN$679,39,0)</f>
        <v>1349.5134398269997</v>
      </c>
      <c r="AA102" s="734">
        <f>VLOOKUP($Q102,Base_Mensuelle!$OF$67:$RN$679,51,0)</f>
        <v>25.694465849</v>
      </c>
      <c r="AB102" s="14">
        <f>INDEX(Base_Mensuelle!$BX$68:$CD$679,MAX(Base_Mensuelle!$FZ$68:$FZ$679)-A102,1)</f>
        <v>45047</v>
      </c>
      <c r="AC102" s="179">
        <f>VLOOKUP($AB102,Base_Mensuelle!$FL$67:$FY$679,2,0)</f>
        <v>124.1</v>
      </c>
      <c r="AD102" s="772">
        <f t="shared" si="3"/>
        <v>0.10080648120289704</v>
      </c>
      <c r="AE102" s="20">
        <f t="shared" si="2"/>
        <v>0.03</v>
      </c>
      <c r="AF102" s="220">
        <f>VLOOKUP($AB102,Base_Mensuelle!$GP$67:$HR$679,2,0)</f>
        <v>409</v>
      </c>
      <c r="AG102" s="99">
        <f>VLOOKUP($AB102,Base_Mensuelle!$GP$67:$HR$679,3,0)</f>
        <v>331</v>
      </c>
      <c r="AH102" s="99">
        <f>VLOOKUP($AB102,Base_Mensuelle!$GP$67:$HR$679,14,0)</f>
        <v>2577</v>
      </c>
      <c r="AI102" s="99">
        <f>VLOOKUP($AB102,Base_Mensuelle!$GA$67:$GO$679,5,0)</f>
        <v>114.1</v>
      </c>
      <c r="AJ102" s="99">
        <f>VLOOKUP($AB102,Base_Mensuelle!$GA$67:$GO$679,6,0)</f>
        <v>153.69999999999999</v>
      </c>
      <c r="AK102" s="99">
        <f>VLOOKUP($AB102,Base_Mensuelle!$GA$67:$GO$679,7,0)</f>
        <v>112.7</v>
      </c>
      <c r="AL102" s="99">
        <f>VLOOKUP($AB102,Base_Mensuelle!$GA$67:$GO$679,3,0)</f>
        <v>111.8</v>
      </c>
      <c r="AM102" s="132">
        <f>VLOOKUP($AB102,Base_Mensuelle!$GA$67:$GO$679,4,0)</f>
        <v>130</v>
      </c>
      <c r="AN102" s="179">
        <f>VLOOKUP($AB102,Base_Mensuelle!$HS$67:$JV$679,9,0)</f>
        <v>0</v>
      </c>
      <c r="AO102" s="99">
        <f>VLOOKUP($AB102,Base_Mensuelle!$HS$67:$JV$679,23,0)</f>
        <v>0</v>
      </c>
      <c r="AP102" s="99">
        <f>VLOOKUP($AB102,Base_Mensuelle!$HS$67:$JV$679,39,0)</f>
        <v>0</v>
      </c>
      <c r="AQ102" s="99">
        <f>VLOOKUP($AB102,Base_Mensuelle!$HS$67:$JV$679,10,0)</f>
        <v>0</v>
      </c>
      <c r="AR102" s="132">
        <f>VLOOKUP($AB102,Base_Mensuelle!$HS$67:$JV$679,11,0)</f>
        <v>0</v>
      </c>
      <c r="AS102" s="733">
        <f>VLOOKUP($B102,Base_Mensuelle!$JW$67:$KZ$679,3,0)</f>
        <v>0</v>
      </c>
      <c r="AT102" s="734">
        <f>VLOOKUP($B102,Base_Mensuelle!$JW$67:$KZ$679,8,0)</f>
        <v>0</v>
      </c>
      <c r="AU102" s="733">
        <f>VLOOKUP($B102,Base_Mensuelle!$JW$67:$KZ$679,11,0)</f>
        <v>0</v>
      </c>
      <c r="AV102" s="734">
        <f>VLOOKUP($B102,Base_Mensuelle!$JW$67:$KZ$679,15,0)</f>
        <v>0</v>
      </c>
      <c r="AW102" s="733">
        <f>VLOOKUP($B102,Base_Mensuelle!$JW$67:$KZ$679,25,0)</f>
        <v>0</v>
      </c>
      <c r="AX102" s="734">
        <f>VLOOKUP($B102,Base_Mensuelle!$JW$67:$KZ$679,29,0)</f>
        <v>0</v>
      </c>
    </row>
    <row r="103" spans="1:50">
      <c r="A103" s="175">
        <f t="shared" si="4"/>
        <v>6</v>
      </c>
      <c r="B103" s="14">
        <f>INDEX(Base_Mensuelle!$BX$68:$CD$679,MAX(Base_Mensuelle!$CD$68:$CD$679)-A104,1)</f>
        <v>45108</v>
      </c>
      <c r="C103" s="179">
        <f>VLOOKUP($B103,Base_Mensuelle!$BX$68:$CD$679,C$2,0)</f>
        <v>593.1</v>
      </c>
      <c r="D103" s="99">
        <f>VLOOKUP($B103,Base_Mensuelle!$BX$68:$CD$679,D$2,0)</f>
        <v>655.95699999999999</v>
      </c>
      <c r="E103" s="99">
        <f>VLOOKUP($B103,Base_Mensuelle!$BX$68:$CD$679,E$2,0)</f>
        <v>679.02</v>
      </c>
      <c r="F103" s="99">
        <f>VLOOKUP($B103,Base_Mensuelle!$BX$68:$CD$679,F$2,0)</f>
        <v>32.640999999999998</v>
      </c>
      <c r="G103" s="132">
        <f>VLOOKUP($B103,Base_Mensuelle!$BX$68:$CD$679,G$2,0)</f>
        <v>51.965000000000003</v>
      </c>
      <c r="H103" s="99">
        <f>VLOOKUP($B103,Base_Mensuelle!$CF$68:$CJ$679,H$2,0)</f>
        <v>2.0542649160000002</v>
      </c>
      <c r="I103" s="132">
        <f>VLOOKUP($B103,Base_Mensuelle!$CF$68:$CJ$679,I$2,0)</f>
        <v>1951.02</v>
      </c>
      <c r="J103" s="19" t="str">
        <f>IF(VLOOKUP($B103,Base_Mensuelle!$CY$67:$DE$679,5,0)&lt;&gt;"",VLOOKUP($B103,Base_Mensuelle!$CY$67:$DE$679,5,0),"")</f>
        <v/>
      </c>
      <c r="K103" s="99" t="str">
        <f>IF(VLOOKUP($B103,Base_Mensuelle!$CY$67:$DE$679,2,0)&lt;&gt;"",VLOOKUP($B103,Base_Mensuelle!$CY$67:$DE$679,2,0),"")</f>
        <v/>
      </c>
      <c r="L103" s="93"/>
      <c r="M103" s="182">
        <f>VLOOKUP($B103,Base_Mensuelle!$DG$67:$DN$679,2,0)</f>
        <v>516336</v>
      </c>
      <c r="N103" s="182">
        <f>VLOOKUP($B103,Base_Mensuelle!$DG$68:$DO$679,9,0)</f>
        <v>7345826</v>
      </c>
      <c r="O103" s="93"/>
      <c r="P103" s="20"/>
      <c r="Q103" s="14">
        <f>INDEX(Base_Mensuelle!$BX$68:$CD$679,MAX(Base_Mensuelle!$PD$68:$PD$679)-A104,1)</f>
        <v>45108</v>
      </c>
      <c r="R103" s="733">
        <f>VLOOKUP($Q103,Base_Mensuelle!$OF$67:$RN$679,12,0)</f>
        <v>1778.1311073900001</v>
      </c>
      <c r="S103" s="570">
        <f>VLOOKUP($Q103,Base_Mensuelle!$OF$67:$RN$679,15,0)</f>
        <v>4446.4742233510005</v>
      </c>
      <c r="T103" s="570">
        <f>VLOOKUP($Q103,Base_Mensuelle!$OF$67:$RN$679,22,0)</f>
        <v>1237.924517607001</v>
      </c>
      <c r="U103" s="734">
        <f>VLOOKUP($Q103,Base_Mensuelle!$OF$67:$RN$679,16,0)</f>
        <v>275.76523644500014</v>
      </c>
      <c r="V103" s="733">
        <f>VLOOKUP($Q103,Base_Mensuelle!$OF$67:$RN$679,27,0)</f>
        <v>-460.13589260999993</v>
      </c>
      <c r="W103" s="570">
        <f>VLOOKUP($Q103,Base_Mensuelle!$OF$67:$RN$679,31,0)</f>
        <v>30.671438783000042</v>
      </c>
      <c r="X103" s="570">
        <f>VLOOKUP($Q103,Base_Mensuelle!$OF$67:$RN$679,33,0)</f>
        <v>288.63138561299996</v>
      </c>
      <c r="Y103" s="570">
        <f>VLOOKUP($Q103,Base_Mensuelle!$OF$67:$RN$679,65,0)</f>
        <v>4161.942</v>
      </c>
      <c r="Z103" s="570">
        <f>VLOOKUP($Q103,Base_Mensuelle!$OF$67:$RN$679,39,0)</f>
        <v>1347.9180897639999</v>
      </c>
      <c r="AA103" s="734">
        <f>VLOOKUP($Q103,Base_Mensuelle!$OF$67:$RN$679,51,0)</f>
        <v>29.90100335</v>
      </c>
      <c r="AB103" s="14">
        <f>INDEX(Base_Mensuelle!$BX$68:$CD$679,MAX(Base_Mensuelle!$FZ$68:$FZ$679)-A103,1)</f>
        <v>45078</v>
      </c>
      <c r="AC103" s="179">
        <f>VLOOKUP($AB103,Base_Mensuelle!$FL$67:$FY$679,2,0)</f>
        <v>126</v>
      </c>
      <c r="AD103" s="772">
        <f t="shared" si="3"/>
        <v>8.4871729927271211E-2</v>
      </c>
      <c r="AE103" s="20">
        <f t="shared" si="2"/>
        <v>0.03</v>
      </c>
      <c r="AF103" s="220">
        <f>VLOOKUP($AB103,Base_Mensuelle!$GP$67:$HR$679,2,0)</f>
        <v>402</v>
      </c>
      <c r="AG103" s="99">
        <f>VLOOKUP($AB103,Base_Mensuelle!$GP$67:$HR$679,3,0)</f>
        <v>329</v>
      </c>
      <c r="AH103" s="99">
        <f>VLOOKUP($AB103,Base_Mensuelle!$GP$67:$HR$679,14,0)</f>
        <v>2437</v>
      </c>
      <c r="AI103" s="99">
        <f>VLOOKUP($AB103,Base_Mensuelle!$GA$67:$GO$679,5,0)</f>
        <v>122.2</v>
      </c>
      <c r="AJ103" s="99">
        <f>VLOOKUP($AB103,Base_Mensuelle!$GA$67:$GO$679,6,0)</f>
        <v>158.30000000000001</v>
      </c>
      <c r="AK103" s="99">
        <f>VLOOKUP($AB103,Base_Mensuelle!$GA$67:$GO$679,7,0)</f>
        <v>112.9</v>
      </c>
      <c r="AL103" s="99">
        <f>VLOOKUP($AB103,Base_Mensuelle!$GA$67:$GO$679,3,0)</f>
        <v>112.3</v>
      </c>
      <c r="AM103" s="132">
        <f>VLOOKUP($AB103,Base_Mensuelle!$GA$67:$GO$679,4,0)</f>
        <v>132.9</v>
      </c>
      <c r="AN103" s="179">
        <f>VLOOKUP($AB103,Base_Mensuelle!$HS$67:$JV$679,9,0)</f>
        <v>0</v>
      </c>
      <c r="AO103" s="99">
        <f>VLOOKUP($AB103,Base_Mensuelle!$HS$67:$JV$679,23,0)</f>
        <v>0</v>
      </c>
      <c r="AP103" s="99">
        <f>VLOOKUP($AB103,Base_Mensuelle!$HS$67:$JV$679,39,0)</f>
        <v>0</v>
      </c>
      <c r="AQ103" s="99">
        <f>VLOOKUP($AB103,Base_Mensuelle!$HS$67:$JV$679,10,0)</f>
        <v>0</v>
      </c>
      <c r="AR103" s="132">
        <f>VLOOKUP($AB103,Base_Mensuelle!$HS$67:$JV$679,11,0)</f>
        <v>0</v>
      </c>
      <c r="AS103" s="733">
        <f>VLOOKUP($B103,Base_Mensuelle!$JW$67:$KZ$679,3,0)</f>
        <v>0</v>
      </c>
      <c r="AT103" s="734">
        <f>VLOOKUP($B103,Base_Mensuelle!$JW$67:$KZ$679,8,0)</f>
        <v>0</v>
      </c>
      <c r="AU103" s="733">
        <f>VLOOKUP($B103,Base_Mensuelle!$JW$67:$KZ$679,11,0)</f>
        <v>0</v>
      </c>
      <c r="AV103" s="734">
        <f>VLOOKUP($B103,Base_Mensuelle!$JW$67:$KZ$679,15,0)</f>
        <v>0</v>
      </c>
      <c r="AW103" s="733">
        <f>VLOOKUP($B103,Base_Mensuelle!$JW$67:$KZ$679,25,0)</f>
        <v>0</v>
      </c>
      <c r="AX103" s="734">
        <f>VLOOKUP($B103,Base_Mensuelle!$JW$67:$KZ$679,29,0)</f>
        <v>0</v>
      </c>
    </row>
    <row r="104" spans="1:50">
      <c r="A104" s="175">
        <f t="shared" si="4"/>
        <v>5</v>
      </c>
      <c r="B104" s="14">
        <f>INDEX(Base_Mensuelle!$BX$68:$CD$679,MAX(Base_Mensuelle!$CD$68:$CD$679)-A105,1)</f>
        <v>45139</v>
      </c>
      <c r="C104" s="179">
        <f>VLOOKUP($B104,Base_Mensuelle!$BX$68:$CD$679,C$2,0)</f>
        <v>601.23</v>
      </c>
      <c r="D104" s="99">
        <f>VLOOKUP($B104,Base_Mensuelle!$BX$68:$CD$679,D$2,0)</f>
        <v>655.95699999999999</v>
      </c>
      <c r="E104" s="99">
        <f>VLOOKUP($B104,Base_Mensuelle!$BX$68:$CD$679,E$2,0)</f>
        <v>684.5</v>
      </c>
      <c r="F104" s="99">
        <f>VLOOKUP($B104,Base_Mensuelle!$BX$68:$CD$679,F$2,0)</f>
        <v>32.009</v>
      </c>
      <c r="G104" s="132">
        <f>VLOOKUP($B104,Base_Mensuelle!$BX$68:$CD$679,G$2,0)</f>
        <v>53.298000000000002</v>
      </c>
      <c r="H104" s="99">
        <f>VLOOKUP($B104,Base_Mensuelle!$CF$68:$CJ$679,H$2,0)</f>
        <v>2.1148919660000001</v>
      </c>
      <c r="I104" s="132">
        <f>VLOOKUP($B104,Base_Mensuelle!$CF$68:$CJ$679,I$2,0)</f>
        <v>1918.7</v>
      </c>
      <c r="J104" s="19" t="str">
        <f>IF(VLOOKUP($B104,Base_Mensuelle!$CY$67:$DE$679,5,0)&lt;&gt;"",VLOOKUP($B104,Base_Mensuelle!$CY$67:$DE$679,5,0),"")</f>
        <v/>
      </c>
      <c r="K104" s="99" t="str">
        <f>IF(VLOOKUP($B104,Base_Mensuelle!$CY$67:$DE$679,2,0)&lt;&gt;"",VLOOKUP($B104,Base_Mensuelle!$CY$67:$DE$679,2,0),"")</f>
        <v/>
      </c>
      <c r="L104" s="93"/>
      <c r="M104" s="182">
        <f>VLOOKUP($B104,Base_Mensuelle!$DG$67:$DN$679,2,0)</f>
        <v>518650</v>
      </c>
      <c r="N104" s="182">
        <f>VLOOKUP($B104,Base_Mensuelle!$DG$68:$DO$679,9,0)</f>
        <v>7014243</v>
      </c>
      <c r="O104" s="93"/>
      <c r="P104" s="20"/>
      <c r="Q104" s="14">
        <f>INDEX(Base_Mensuelle!$BX$68:$CD$679,MAX(Base_Mensuelle!$PD$68:$PD$679)-A105,1)</f>
        <v>45139</v>
      </c>
      <c r="R104" s="733">
        <f>VLOOKUP($Q104,Base_Mensuelle!$OF$67:$RN$679,12,0)</f>
        <v>1729.0343513259998</v>
      </c>
      <c r="S104" s="570">
        <f>VLOOKUP($Q104,Base_Mensuelle!$OF$67:$RN$679,15,0)</f>
        <v>4580.0022047880002</v>
      </c>
      <c r="T104" s="570">
        <f>VLOOKUP($Q104,Base_Mensuelle!$OF$67:$RN$679,22,0)</f>
        <v>1240.480783813</v>
      </c>
      <c r="U104" s="734">
        <f>VLOOKUP($Q104,Base_Mensuelle!$OF$67:$RN$679,16,0)</f>
        <v>385.370591816</v>
      </c>
      <c r="V104" s="733">
        <f>VLOOKUP($Q104,Base_Mensuelle!$OF$67:$RN$679,27,0)</f>
        <v>-408.75864867400003</v>
      </c>
      <c r="W104" s="570">
        <f>VLOOKUP($Q104,Base_Mensuelle!$OF$67:$RN$679,31,0)</f>
        <v>93.374794153999972</v>
      </c>
      <c r="X104" s="570">
        <f>VLOOKUP($Q104,Base_Mensuelle!$OF$67:$RN$679,33,0)</f>
        <v>225.98552818799999</v>
      </c>
      <c r="Y104" s="570">
        <f>VLOOKUP($Q104,Base_Mensuelle!$OF$67:$RN$679,65,0)</f>
        <v>4185.768</v>
      </c>
      <c r="Z104" s="570">
        <f>VLOOKUP($Q104,Base_Mensuelle!$OF$67:$RN$679,39,0)</f>
        <v>1313.5434206169998</v>
      </c>
      <c r="AA104" s="734">
        <f>VLOOKUP($Q104,Base_Mensuelle!$OF$67:$RN$679,51,0)</f>
        <v>33.931611488000001</v>
      </c>
      <c r="AB104" s="14">
        <f>INDEX(Base_Mensuelle!$BX$68:$CD$679,MAX(Base_Mensuelle!$FZ$68:$FZ$679)-A104,1)</f>
        <v>45108</v>
      </c>
      <c r="AC104" s="179">
        <f>VLOOKUP($AB104,Base_Mensuelle!$FL$67:$FY$679,2,0)</f>
        <v>126.7</v>
      </c>
      <c r="AD104" s="772">
        <f t="shared" si="3"/>
        <v>6.8556873880751379E-2</v>
      </c>
      <c r="AE104" s="20">
        <f t="shared" si="2"/>
        <v>0.03</v>
      </c>
      <c r="AF104" s="220">
        <f>VLOOKUP($AB104,Base_Mensuelle!$GP$67:$HR$679,2,0)</f>
        <v>391</v>
      </c>
      <c r="AG104" s="99">
        <f>VLOOKUP($AB104,Base_Mensuelle!$GP$67:$HR$679,3,0)</f>
        <v>333</v>
      </c>
      <c r="AH104" s="99">
        <f>VLOOKUP($AB104,Base_Mensuelle!$GP$67:$HR$679,14,0)</f>
        <v>2404</v>
      </c>
      <c r="AI104" s="99">
        <f>VLOOKUP($AB104,Base_Mensuelle!$GA$67:$GO$679,5,0)</f>
        <v>124.7</v>
      </c>
      <c r="AJ104" s="99">
        <f>VLOOKUP($AB104,Base_Mensuelle!$GA$67:$GO$679,6,0)</f>
        <v>158.5</v>
      </c>
      <c r="AK104" s="99">
        <f>VLOOKUP($AB104,Base_Mensuelle!$GA$67:$GO$679,7,0)</f>
        <v>113.4</v>
      </c>
      <c r="AL104" s="99">
        <f>VLOOKUP($AB104,Base_Mensuelle!$GA$67:$GO$679,3,0)</f>
        <v>113.3</v>
      </c>
      <c r="AM104" s="132">
        <f>VLOOKUP($AB104,Base_Mensuelle!$GA$67:$GO$679,4,0)</f>
        <v>133.5</v>
      </c>
      <c r="AN104" s="179">
        <f>VLOOKUP($AB104,Base_Mensuelle!$HS$67:$JV$679,9,0)</f>
        <v>0</v>
      </c>
      <c r="AO104" s="99">
        <f>VLOOKUP($AB104,Base_Mensuelle!$HS$67:$JV$679,23,0)</f>
        <v>0</v>
      </c>
      <c r="AP104" s="99">
        <f>VLOOKUP($AB104,Base_Mensuelle!$HS$67:$JV$679,39,0)</f>
        <v>0</v>
      </c>
      <c r="AQ104" s="99">
        <f>VLOOKUP($AB104,Base_Mensuelle!$HS$67:$JV$679,10,0)</f>
        <v>0</v>
      </c>
      <c r="AR104" s="132">
        <f>VLOOKUP($AB104,Base_Mensuelle!$HS$67:$JV$679,11,0)</f>
        <v>0</v>
      </c>
      <c r="AS104" s="733">
        <f>VLOOKUP($B104,Base_Mensuelle!$JW$67:$KZ$679,3,0)</f>
        <v>0</v>
      </c>
      <c r="AT104" s="734">
        <f>VLOOKUP($B104,Base_Mensuelle!$JW$67:$KZ$679,8,0)</f>
        <v>0</v>
      </c>
      <c r="AU104" s="733">
        <f>VLOOKUP($B104,Base_Mensuelle!$JW$67:$KZ$679,11,0)</f>
        <v>0</v>
      </c>
      <c r="AV104" s="734">
        <f>VLOOKUP($B104,Base_Mensuelle!$JW$67:$KZ$679,15,0)</f>
        <v>0</v>
      </c>
      <c r="AW104" s="733">
        <f>VLOOKUP($B104,Base_Mensuelle!$JW$67:$KZ$679,25,0)</f>
        <v>0</v>
      </c>
      <c r="AX104" s="734">
        <f>VLOOKUP($B104,Base_Mensuelle!$JW$67:$KZ$679,29,0)</f>
        <v>0</v>
      </c>
    </row>
    <row r="105" spans="1:50">
      <c r="A105" s="175">
        <f t="shared" si="4"/>
        <v>4</v>
      </c>
      <c r="B105" s="14">
        <f>INDEX(Base_Mensuelle!$BX$68:$CD$679,MAX(Base_Mensuelle!$CD$68:$CD$679)-A106,1)</f>
        <v>45170</v>
      </c>
      <c r="C105" s="179">
        <f>VLOOKUP($B105,Base_Mensuelle!$BX$68:$CD$679,C$2,0)</f>
        <v>614.52</v>
      </c>
      <c r="D105" s="99">
        <f>VLOOKUP($B105,Base_Mensuelle!$BX$68:$CD$679,D$2,0)</f>
        <v>655.95699999999999</v>
      </c>
      <c r="E105" s="99">
        <f>VLOOKUP($B105,Base_Mensuelle!$BX$68:$CD$679,E$2,0)</f>
        <v>683.27</v>
      </c>
      <c r="F105" s="99">
        <f>VLOOKUP($B105,Base_Mensuelle!$BX$68:$CD$679,F$2,0)</f>
        <v>32.378999999999998</v>
      </c>
      <c r="G105" s="132">
        <f>VLOOKUP($B105,Base_Mensuelle!$BX$68:$CD$679,G$2,0)</f>
        <v>53.470999999999997</v>
      </c>
      <c r="H105" s="99">
        <f>VLOOKUP($B105,Base_Mensuelle!$CF$68:$CJ$679,H$2,0)</f>
        <v>2.1594252900000002</v>
      </c>
      <c r="I105" s="132">
        <f>VLOOKUP($B105,Base_Mensuelle!$CF$68:$CJ$679,I$2,0)</f>
        <v>1915.95</v>
      </c>
      <c r="J105" s="19" t="str">
        <f>IF(VLOOKUP($B105,Base_Mensuelle!$CY$67:$DE$679,5,0)&lt;&gt;"",VLOOKUP($B105,Base_Mensuelle!$CY$67:$DE$679,5,0),"")</f>
        <v/>
      </c>
      <c r="K105" s="99" t="str">
        <f>IF(VLOOKUP($B105,Base_Mensuelle!$CY$67:$DE$679,2,0)&lt;&gt;"",VLOOKUP($B105,Base_Mensuelle!$CY$67:$DE$679,2,0),"")</f>
        <v/>
      </c>
      <c r="L105" s="93"/>
      <c r="M105" s="182">
        <f>VLOOKUP($B105,Base_Mensuelle!$DG$67:$DN$679,2,0)</f>
        <v>520794</v>
      </c>
      <c r="N105" s="182">
        <f>VLOOKUP($B105,Base_Mensuelle!$DG$68:$DO$679,9,0)</f>
        <v>7121637</v>
      </c>
      <c r="O105" s="93"/>
      <c r="P105" s="20"/>
      <c r="Q105" s="14">
        <f>INDEX(Base_Mensuelle!$BX$68:$CD$679,MAX(Base_Mensuelle!$PD$68:$PD$679)-A106,1)</f>
        <v>45170</v>
      </c>
      <c r="R105" s="733">
        <f>VLOOKUP($Q105,Base_Mensuelle!$OF$67:$RN$679,12,0)</f>
        <v>1900.7818864940004</v>
      </c>
      <c r="S105" s="570">
        <f>VLOOKUP($Q105,Base_Mensuelle!$OF$67:$RN$679,15,0)</f>
        <v>4686.3317924869998</v>
      </c>
      <c r="T105" s="570">
        <f>VLOOKUP($Q105,Base_Mensuelle!$OF$67:$RN$679,22,0)</f>
        <v>1290.1788243949986</v>
      </c>
      <c r="U105" s="734">
        <f>VLOOKUP($Q105,Base_Mensuelle!$OF$67:$RN$679,16,0)</f>
        <v>341.3764939460001</v>
      </c>
      <c r="V105" s="733">
        <f>VLOOKUP($Q105,Base_Mensuelle!$OF$67:$RN$679,27,0)</f>
        <v>-377.72911350600009</v>
      </c>
      <c r="W105" s="570">
        <f>VLOOKUP($Q105,Base_Mensuelle!$OF$67:$RN$679,31,0)</f>
        <v>91.08669628399997</v>
      </c>
      <c r="X105" s="570">
        <f>VLOOKUP($Q105,Base_Mensuelle!$OF$67:$RN$679,33,0)</f>
        <v>246.441248863</v>
      </c>
      <c r="Y105" s="570">
        <f>VLOOKUP($Q105,Base_Mensuelle!$OF$67:$RN$679,65,0)</f>
        <v>4336.0569999999998</v>
      </c>
      <c r="Z105" s="570">
        <f>VLOOKUP($Q105,Base_Mensuelle!$OF$67:$RN$679,39,0)</f>
        <v>1335.9944169970001</v>
      </c>
      <c r="AA105" s="734">
        <f>VLOOKUP($Q105,Base_Mensuelle!$OF$67:$RN$679,51,0)</f>
        <v>37.880316149999999</v>
      </c>
      <c r="AB105" s="14">
        <f>INDEX(Base_Mensuelle!$BX$68:$CD$679,MAX(Base_Mensuelle!$FZ$68:$FZ$679)-A105,1)</f>
        <v>45139</v>
      </c>
      <c r="AC105" s="179">
        <f>VLOOKUP($AB105,Base_Mensuelle!$FL$67:$FY$679,2,0)</f>
        <v>126</v>
      </c>
      <c r="AD105" s="772">
        <f t="shared" si="3"/>
        <v>5.1958742577322692E-2</v>
      </c>
      <c r="AE105" s="20">
        <f t="shared" si="2"/>
        <v>0.03</v>
      </c>
      <c r="AF105" s="220">
        <f>VLOOKUP($AB105,Base_Mensuelle!$GP$67:$HR$679,2,0)</f>
        <v>382</v>
      </c>
      <c r="AG105" s="99">
        <f>VLOOKUP($AB105,Base_Mensuelle!$GP$67:$HR$679,3,0)</f>
        <v>317</v>
      </c>
      <c r="AH105" s="99">
        <f>VLOOKUP($AB105,Base_Mensuelle!$GP$67:$HR$679,14,0)</f>
        <v>2390</v>
      </c>
      <c r="AI105" s="99">
        <f>VLOOKUP($AB105,Base_Mensuelle!$GA$67:$GO$679,5,0)</f>
        <v>126.5</v>
      </c>
      <c r="AJ105" s="99">
        <f>VLOOKUP($AB105,Base_Mensuelle!$GA$67:$GO$679,6,0)</f>
        <v>156.4</v>
      </c>
      <c r="AK105" s="99">
        <f>VLOOKUP($AB105,Base_Mensuelle!$GA$67:$GO$679,7,0)</f>
        <v>113</v>
      </c>
      <c r="AL105" s="99">
        <f>VLOOKUP($AB105,Base_Mensuelle!$GA$67:$GO$679,3,0)</f>
        <v>113.2</v>
      </c>
      <c r="AM105" s="132">
        <f>VLOOKUP($AB105,Base_Mensuelle!$GA$67:$GO$679,4,0)</f>
        <v>132.5</v>
      </c>
      <c r="AN105" s="179">
        <f>VLOOKUP($AB105,Base_Mensuelle!$HS$67:$JV$679,9,0)</f>
        <v>0</v>
      </c>
      <c r="AO105" s="99">
        <f>VLOOKUP($AB105,Base_Mensuelle!$HS$67:$JV$679,23,0)</f>
        <v>0</v>
      </c>
      <c r="AP105" s="99">
        <f>VLOOKUP($AB105,Base_Mensuelle!$HS$67:$JV$679,39,0)</f>
        <v>0</v>
      </c>
      <c r="AQ105" s="99">
        <f>VLOOKUP($AB105,Base_Mensuelle!$HS$67:$JV$679,10,0)</f>
        <v>0</v>
      </c>
      <c r="AR105" s="132">
        <f>VLOOKUP($AB105,Base_Mensuelle!$HS$67:$JV$679,11,0)</f>
        <v>0</v>
      </c>
      <c r="AS105" s="733">
        <f>VLOOKUP($B105,Base_Mensuelle!$JW$67:$KZ$679,3,0)</f>
        <v>0</v>
      </c>
      <c r="AT105" s="734">
        <f>VLOOKUP($B105,Base_Mensuelle!$JW$67:$KZ$679,8,0)</f>
        <v>0</v>
      </c>
      <c r="AU105" s="733">
        <f>VLOOKUP($B105,Base_Mensuelle!$JW$67:$KZ$679,11,0)</f>
        <v>0</v>
      </c>
      <c r="AV105" s="734">
        <f>VLOOKUP($B105,Base_Mensuelle!$JW$67:$KZ$679,15,0)</f>
        <v>0</v>
      </c>
      <c r="AW105" s="733">
        <f>VLOOKUP($B105,Base_Mensuelle!$JW$67:$KZ$679,25,0)</f>
        <v>0</v>
      </c>
      <c r="AX105" s="734">
        <f>VLOOKUP($B105,Base_Mensuelle!$JW$67:$KZ$679,29,0)</f>
        <v>0</v>
      </c>
    </row>
    <row r="106" spans="1:50">
      <c r="A106" s="175">
        <f t="shared" si="4"/>
        <v>3</v>
      </c>
      <c r="B106" s="14">
        <f>INDEX(Base_Mensuelle!$BX$68:$CD$679,MAX(Base_Mensuelle!$CD$68:$CD$679)-A107,1)</f>
        <v>45200</v>
      </c>
      <c r="C106" s="179">
        <f>VLOOKUP($B106,Base_Mensuelle!$BX$68:$CD$679,C$2,0)</f>
        <v>620.83000000000004</v>
      </c>
      <c r="D106" s="99">
        <f>VLOOKUP($B106,Base_Mensuelle!$BX$68:$CD$679,D$2,0)</f>
        <v>655.95699999999999</v>
      </c>
      <c r="E106" s="99">
        <f>VLOOKUP($B106,Base_Mensuelle!$BX$68:$CD$679,E$2,0)</f>
        <v>687.08</v>
      </c>
      <c r="F106" s="99">
        <f>VLOOKUP($B106,Base_Mensuelle!$BX$68:$CD$679,F$2,0)</f>
        <v>32.610999999999997</v>
      </c>
      <c r="G106" s="132">
        <f>VLOOKUP($B106,Base_Mensuelle!$BX$68:$CD$679,G$2,0)</f>
        <v>52.777000000000001</v>
      </c>
      <c r="H106" s="99">
        <f>VLOOKUP($B106,Base_Mensuelle!$CF$68:$CJ$679,H$2,0)</f>
        <v>2.1062939479999998</v>
      </c>
      <c r="I106" s="132">
        <f>VLOOKUP($B106,Base_Mensuelle!$CF$68:$CJ$679,I$2,0)</f>
        <v>1916.25</v>
      </c>
      <c r="J106" s="19" t="str">
        <f>IF(VLOOKUP($B106,Base_Mensuelle!$CY$67:$DE$679,5,0)&lt;&gt;"",VLOOKUP($B106,Base_Mensuelle!$CY$67:$DE$679,5,0),"")</f>
        <v/>
      </c>
      <c r="K106" s="99" t="str">
        <f>IF(VLOOKUP($B106,Base_Mensuelle!$CY$67:$DE$679,2,0)&lt;&gt;"",VLOOKUP($B106,Base_Mensuelle!$CY$67:$DE$679,2,0),"")</f>
        <v/>
      </c>
      <c r="L106" s="93"/>
      <c r="M106" s="182">
        <f>VLOOKUP($B106,Base_Mensuelle!$DG$67:$DN$679,2,0)</f>
        <v>523551</v>
      </c>
      <c r="N106" s="182">
        <f>VLOOKUP($B106,Base_Mensuelle!$DG$68:$DO$679,9,0)</f>
        <v>7541518</v>
      </c>
      <c r="O106" s="93"/>
      <c r="P106" s="20"/>
      <c r="Q106" s="14">
        <f>INDEX(Base_Mensuelle!$BX$68:$CD$679,MAX(Base_Mensuelle!$PD$68:$PD$679)-A107,1)</f>
        <v>45200</v>
      </c>
      <c r="R106" s="733">
        <f>VLOOKUP($Q106,Base_Mensuelle!$OF$67:$RN$679,12,0)</f>
        <v>1791.0793027590005</v>
      </c>
      <c r="S106" s="570">
        <f>VLOOKUP($Q106,Base_Mensuelle!$OF$67:$RN$679,15,0)</f>
        <v>4747.5566415049998</v>
      </c>
      <c r="T106" s="570">
        <f>VLOOKUP($Q106,Base_Mensuelle!$OF$67:$RN$679,22,0)</f>
        <v>1260.232426416</v>
      </c>
      <c r="U106" s="734">
        <f>VLOOKUP($Q106,Base_Mensuelle!$OF$67:$RN$679,16,0)</f>
        <v>514.32491412399986</v>
      </c>
      <c r="V106" s="733">
        <f>VLOOKUP($Q106,Base_Mensuelle!$OF$67:$RN$679,27,0)</f>
        <v>-320.50269724099996</v>
      </c>
      <c r="W106" s="570">
        <f>VLOOKUP($Q106,Base_Mensuelle!$OF$67:$RN$679,31,0)</f>
        <v>133.05611646200001</v>
      </c>
      <c r="X106" s="570">
        <f>VLOOKUP($Q106,Base_Mensuelle!$OF$67:$RN$679,33,0)</f>
        <v>204.55056627100001</v>
      </c>
      <c r="Y106" s="570">
        <f>VLOOKUP($Q106,Base_Mensuelle!$OF$67:$RN$679,65,0)</f>
        <v>4224.1550000000007</v>
      </c>
      <c r="Z106" s="570">
        <f>VLOOKUP($Q106,Base_Mensuelle!$OF$67:$RN$679,39,0)</f>
        <v>1298.314494235</v>
      </c>
      <c r="AA106" s="734">
        <f>VLOOKUP($Q106,Base_Mensuelle!$OF$67:$RN$679,51,0)</f>
        <v>43.416297648000004</v>
      </c>
      <c r="AB106" s="14">
        <f>INDEX(Base_Mensuelle!$BX$68:$CD$679,MAX(Base_Mensuelle!$FZ$68:$FZ$679)-A106,1)</f>
        <v>45170</v>
      </c>
      <c r="AC106" s="179">
        <f>VLOOKUP($AB106,Base_Mensuelle!$FL$67:$FY$679,2,0)</f>
        <v>125.6</v>
      </c>
      <c r="AD106" s="772">
        <f t="shared" si="3"/>
        <v>3.6344943523625606E-2</v>
      </c>
      <c r="AE106" s="20">
        <f t="shared" si="2"/>
        <v>0.03</v>
      </c>
      <c r="AF106" s="220">
        <f>VLOOKUP($AB106,Base_Mensuelle!$GP$67:$HR$679,2,0)</f>
        <v>391</v>
      </c>
      <c r="AG106" s="99">
        <f>VLOOKUP($AB106,Base_Mensuelle!$GP$67:$HR$679,3,0)</f>
        <v>330</v>
      </c>
      <c r="AH106" s="99">
        <f>VLOOKUP($AB106,Base_Mensuelle!$GP$67:$HR$679,14,0)</f>
        <v>2403</v>
      </c>
      <c r="AI106" s="99">
        <f>VLOOKUP($AB106,Base_Mensuelle!$GA$67:$GO$679,5,0)</f>
        <v>125.1</v>
      </c>
      <c r="AJ106" s="99">
        <f>VLOOKUP($AB106,Base_Mensuelle!$GA$67:$GO$679,6,0)</f>
        <v>154.5</v>
      </c>
      <c r="AK106" s="99">
        <f>VLOOKUP($AB106,Base_Mensuelle!$GA$67:$GO$679,7,0)</f>
        <v>113</v>
      </c>
      <c r="AL106" s="99">
        <f>VLOOKUP($AB106,Base_Mensuelle!$GA$67:$GO$679,3,0)</f>
        <v>112.3</v>
      </c>
      <c r="AM106" s="132">
        <f>VLOOKUP($AB106,Base_Mensuelle!$GA$67:$GO$679,4,0)</f>
        <v>132.19999999999999</v>
      </c>
      <c r="AN106" s="179">
        <f>VLOOKUP($AB106,Base_Mensuelle!$HS$67:$JV$679,9,0)</f>
        <v>0</v>
      </c>
      <c r="AO106" s="99">
        <f>VLOOKUP($AB106,Base_Mensuelle!$HS$67:$JV$679,23,0)</f>
        <v>0</v>
      </c>
      <c r="AP106" s="99">
        <f>VLOOKUP($AB106,Base_Mensuelle!$HS$67:$JV$679,39,0)</f>
        <v>0</v>
      </c>
      <c r="AQ106" s="99">
        <f>VLOOKUP($AB106,Base_Mensuelle!$HS$67:$JV$679,10,0)</f>
        <v>0</v>
      </c>
      <c r="AR106" s="132">
        <f>VLOOKUP($AB106,Base_Mensuelle!$HS$67:$JV$679,11,0)</f>
        <v>0</v>
      </c>
      <c r="AS106" s="733">
        <f>VLOOKUP($B106,Base_Mensuelle!$JW$67:$KZ$679,3,0)</f>
        <v>0</v>
      </c>
      <c r="AT106" s="734">
        <f>VLOOKUP($B106,Base_Mensuelle!$JW$67:$KZ$679,8,0)</f>
        <v>0</v>
      </c>
      <c r="AU106" s="733">
        <f>VLOOKUP($B106,Base_Mensuelle!$JW$67:$KZ$679,11,0)</f>
        <v>0</v>
      </c>
      <c r="AV106" s="734">
        <f>VLOOKUP($B106,Base_Mensuelle!$JW$67:$KZ$679,15,0)</f>
        <v>0</v>
      </c>
      <c r="AW106" s="733">
        <f>VLOOKUP($B106,Base_Mensuelle!$JW$67:$KZ$679,25,0)</f>
        <v>0</v>
      </c>
      <c r="AX106" s="734">
        <f>VLOOKUP($B106,Base_Mensuelle!$JW$67:$KZ$679,29,0)</f>
        <v>0</v>
      </c>
    </row>
    <row r="107" spans="1:50">
      <c r="A107" s="175">
        <f t="shared" si="4"/>
        <v>2</v>
      </c>
      <c r="B107" s="14">
        <f>INDEX(Base_Mensuelle!$BX$68:$CD$679,MAX(Base_Mensuelle!$CD$68:$CD$679)-A108,1)</f>
        <v>45231</v>
      </c>
      <c r="C107" s="179">
        <f>VLOOKUP($B107,Base_Mensuelle!$BX$68:$CD$679,C$2,0)</f>
        <v>606.28</v>
      </c>
      <c r="D107" s="99">
        <f>VLOOKUP($B107,Base_Mensuelle!$BX$68:$CD$679,D$2,0)</f>
        <v>655.95699999999999</v>
      </c>
      <c r="E107" s="99">
        <f>VLOOKUP($B107,Base_Mensuelle!$BX$68:$CD$679,E$2,0)</f>
        <v>680.71</v>
      </c>
      <c r="F107" s="99">
        <f>VLOOKUP($B107,Base_Mensuelle!$BX$68:$CD$679,F$2,0)</f>
        <v>32.679000000000002</v>
      </c>
      <c r="G107" s="132">
        <f>VLOOKUP($B107,Base_Mensuelle!$BX$68:$CD$679,G$2,0)</f>
        <v>50.716999999999999</v>
      </c>
      <c r="H107" s="99">
        <f>VLOOKUP($B107,Base_Mensuelle!$CF$68:$CJ$679,H$2,0)</f>
        <v>1.994299252</v>
      </c>
      <c r="I107" s="132">
        <f>VLOOKUP($B107,Base_Mensuelle!$CF$68:$CJ$679,I$2,0)</f>
        <v>1984.11</v>
      </c>
      <c r="J107" s="19" t="str">
        <f>IF(VLOOKUP($B107,Base_Mensuelle!$CY$67:$DE$679,5,0)&lt;&gt;"",VLOOKUP($B107,Base_Mensuelle!$CY$67:$DE$679,5,0),"")</f>
        <v/>
      </c>
      <c r="K107" s="99" t="str">
        <f>IF(VLOOKUP($B107,Base_Mensuelle!$CY$67:$DE$679,2,0)&lt;&gt;"",VLOOKUP($B107,Base_Mensuelle!$CY$67:$DE$679,2,0),"")</f>
        <v/>
      </c>
      <c r="L107" s="93"/>
      <c r="M107" s="182">
        <f>VLOOKUP($B107,Base_Mensuelle!$DG$67:$DN$679,2,0)</f>
        <v>524801</v>
      </c>
      <c r="N107" s="182">
        <f>VLOOKUP($B107,Base_Mensuelle!$DG$68:$DO$679,9,0)</f>
        <v>7779269</v>
      </c>
      <c r="O107" s="93"/>
      <c r="P107" s="20"/>
      <c r="Q107" s="14">
        <f>INDEX(Base_Mensuelle!$BX$68:$CD$679,MAX(Base_Mensuelle!$PD$68:$PD$679)-A108,1)</f>
        <v>45231</v>
      </c>
      <c r="R107" s="733">
        <f>VLOOKUP($Q107,Base_Mensuelle!$OF$67:$RN$679,12,0)</f>
        <v>1703.4346748600001</v>
      </c>
      <c r="S107" s="570">
        <f>VLOOKUP($Q107,Base_Mensuelle!$OF$67:$RN$679,15,0)</f>
        <v>4666.9326713299997</v>
      </c>
      <c r="T107" s="570">
        <f>VLOOKUP($Q107,Base_Mensuelle!$OF$67:$RN$679,22,0)</f>
        <v>1317.60696057</v>
      </c>
      <c r="U107" s="734">
        <f>VLOOKUP($Q107,Base_Mensuelle!$OF$67:$RN$679,16,0)</f>
        <v>385.791473747</v>
      </c>
      <c r="V107" s="733">
        <f>VLOOKUP($Q107,Base_Mensuelle!$OF$67:$RN$679,27,0)</f>
        <v>-334.61732514000005</v>
      </c>
      <c r="W107" s="570">
        <f>VLOOKUP($Q107,Base_Mensuelle!$OF$67:$RN$679,31,0)</f>
        <v>181.37667608499999</v>
      </c>
      <c r="X107" s="570">
        <f>VLOOKUP($Q107,Base_Mensuelle!$OF$67:$RN$679,33,0)</f>
        <v>156.27886238000002</v>
      </c>
      <c r="Y107" s="570">
        <f>VLOOKUP($Q107,Base_Mensuelle!$OF$67:$RN$679,65,0)</f>
        <v>4272.0509999999995</v>
      </c>
      <c r="Z107" s="570">
        <f>VLOOKUP($Q107,Base_Mensuelle!$OF$67:$RN$679,39,0)</f>
        <v>1264.17441975</v>
      </c>
      <c r="AA107" s="734">
        <f>VLOOKUP($Q107,Base_Mensuelle!$OF$67:$RN$679,51,0)</f>
        <v>45.646776956000004</v>
      </c>
      <c r="AB107" s="14">
        <f>INDEX(Base_Mensuelle!$BX$68:$CD$679,MAX(Base_Mensuelle!$FZ$68:$FZ$679)-A107,1)</f>
        <v>45200</v>
      </c>
      <c r="AC107" s="179">
        <f>VLOOKUP($AB107,Base_Mensuelle!$FL$67:$FY$679,2,0)</f>
        <v>125.5</v>
      </c>
      <c r="AD107" s="772">
        <f t="shared" si="3"/>
        <v>2.3073436705992156E-2</v>
      </c>
      <c r="AE107" s="20">
        <f t="shared" si="2"/>
        <v>0.03</v>
      </c>
      <c r="AF107" s="220">
        <f>VLOOKUP($AB107,Base_Mensuelle!$GP$67:$HR$679,2,0)</f>
        <v>371</v>
      </c>
      <c r="AG107" s="99">
        <f>VLOOKUP($AB107,Base_Mensuelle!$GP$67:$HR$679,3,0)</f>
        <v>320</v>
      </c>
      <c r="AH107" s="99">
        <f>VLOOKUP($AB107,Base_Mensuelle!$GP$67:$HR$679,14,0)</f>
        <v>2460</v>
      </c>
      <c r="AI107" s="99">
        <f>VLOOKUP($AB107,Base_Mensuelle!$GA$67:$GO$679,5,0)</f>
        <v>125.8</v>
      </c>
      <c r="AJ107" s="99">
        <f>VLOOKUP($AB107,Base_Mensuelle!$GA$67:$GO$679,6,0)</f>
        <v>153.4</v>
      </c>
      <c r="AK107" s="99">
        <f>VLOOKUP($AB107,Base_Mensuelle!$GA$67:$GO$679,7,0)</f>
        <v>113.2</v>
      </c>
      <c r="AL107" s="99">
        <f>VLOOKUP($AB107,Base_Mensuelle!$GA$67:$GO$679,3,0)</f>
        <v>111.9</v>
      </c>
      <c r="AM107" s="132">
        <f>VLOOKUP($AB107,Base_Mensuelle!$GA$67:$GO$679,4,0)</f>
        <v>132.30000000000001</v>
      </c>
      <c r="AN107" s="179">
        <f>VLOOKUP($AB107,Base_Mensuelle!$HS$67:$JV$679,9,0)</f>
        <v>0</v>
      </c>
      <c r="AO107" s="99">
        <f>VLOOKUP($AB107,Base_Mensuelle!$HS$67:$JV$679,23,0)</f>
        <v>0</v>
      </c>
      <c r="AP107" s="99">
        <f>VLOOKUP($AB107,Base_Mensuelle!$HS$67:$JV$679,39,0)</f>
        <v>0</v>
      </c>
      <c r="AQ107" s="99">
        <f>VLOOKUP($AB107,Base_Mensuelle!$HS$67:$JV$679,10,0)</f>
        <v>0</v>
      </c>
      <c r="AR107" s="132">
        <f>VLOOKUP($AB107,Base_Mensuelle!$HS$67:$JV$679,11,0)</f>
        <v>0</v>
      </c>
      <c r="AS107" s="733">
        <f>VLOOKUP($B107,Base_Mensuelle!$JW$67:$KZ$679,3,0)</f>
        <v>0</v>
      </c>
      <c r="AT107" s="734">
        <f>VLOOKUP($B107,Base_Mensuelle!$JW$67:$KZ$679,8,0)</f>
        <v>0</v>
      </c>
      <c r="AU107" s="733">
        <f>VLOOKUP($B107,Base_Mensuelle!$JW$67:$KZ$679,11,0)</f>
        <v>0</v>
      </c>
      <c r="AV107" s="734">
        <f>VLOOKUP($B107,Base_Mensuelle!$JW$67:$KZ$679,15,0)</f>
        <v>0</v>
      </c>
      <c r="AW107" s="733">
        <f>VLOOKUP($B107,Base_Mensuelle!$JW$67:$KZ$679,25,0)</f>
        <v>0</v>
      </c>
      <c r="AX107" s="734">
        <f>VLOOKUP($B107,Base_Mensuelle!$JW$67:$KZ$679,29,0)</f>
        <v>0</v>
      </c>
    </row>
    <row r="108" spans="1:50">
      <c r="A108" s="175">
        <f t="shared" si="4"/>
        <v>1</v>
      </c>
      <c r="B108" s="14">
        <f>INDEX(Base_Mensuelle!$BX$68:$CD$679,MAX(Base_Mensuelle!$CD$68:$CD$679)-A109,1)</f>
        <v>45261</v>
      </c>
      <c r="C108" s="179">
        <f>VLOOKUP($B108,Base_Mensuelle!$BX$68:$CD$679,C$2,0)</f>
        <v>600.58000000000004</v>
      </c>
      <c r="D108" s="99">
        <f>VLOOKUP($B108,Base_Mensuelle!$BX$68:$CD$679,D$2,0)</f>
        <v>655.95699999999999</v>
      </c>
      <c r="E108" s="99">
        <f>VLOOKUP($B108,Base_Mensuelle!$BX$68:$CD$679,E$2,0)</f>
        <v>695</v>
      </c>
      <c r="F108" s="99">
        <f>VLOOKUP($B108,Base_Mensuelle!$BX$68:$CD$679,F$2,0)</f>
        <v>32.250999999999998</v>
      </c>
      <c r="G108" s="132">
        <f>VLOOKUP($B108,Base_Mensuelle!$BX$68:$CD$679,G$2,0)</f>
        <v>49.966000000000001</v>
      </c>
      <c r="H108" s="99">
        <f>VLOOKUP($B108,Base_Mensuelle!$CF$68:$CJ$679,H$2,0)</f>
        <v>1.9954015620000001</v>
      </c>
      <c r="I108" s="132">
        <f>VLOOKUP($B108,Base_Mensuelle!$CF$68:$CJ$679,I$2,0)</f>
        <v>2026.18</v>
      </c>
      <c r="J108" s="19" t="str">
        <f>IF(VLOOKUP($B108,Base_Mensuelle!$CY$67:$DE$679,5,0)&lt;&gt;"",VLOOKUP($B108,Base_Mensuelle!$CY$67:$DE$679,5,0),"")</f>
        <v/>
      </c>
      <c r="K108" s="99" t="str">
        <f>IF(VLOOKUP($B108,Base_Mensuelle!$CY$67:$DE$679,2,0)&lt;&gt;"",VLOOKUP($B108,Base_Mensuelle!$CY$67:$DE$679,2,0),"")</f>
        <v/>
      </c>
      <c r="L108" s="93"/>
      <c r="M108" s="182">
        <f>VLOOKUP($B108,Base_Mensuelle!$DG$67:$DN$679,2,0)</f>
        <v>525880</v>
      </c>
      <c r="N108" s="182">
        <f>VLOOKUP($B108,Base_Mensuelle!$DG$68:$DO$679,9,0)</f>
        <v>8089177</v>
      </c>
      <c r="O108" s="93"/>
      <c r="P108" s="20"/>
      <c r="Q108" s="14">
        <f>INDEX(Base_Mensuelle!$BX$68:$CD$679,MAX(Base_Mensuelle!$PD$68:$PD$679)-A109,1)</f>
        <v>45261</v>
      </c>
      <c r="R108" s="733">
        <f>VLOOKUP($Q108,Base_Mensuelle!$OF$67:$RN$679,12,0)</f>
        <v>1626.2842100790003</v>
      </c>
      <c r="S108" s="570">
        <f>VLOOKUP($Q108,Base_Mensuelle!$OF$67:$RN$679,15,0)</f>
        <v>4764.6858344120001</v>
      </c>
      <c r="T108" s="570">
        <f>VLOOKUP($Q108,Base_Mensuelle!$OF$67:$RN$679,22,0)</f>
        <v>1370.4811924599999</v>
      </c>
      <c r="U108" s="734">
        <f>VLOOKUP($Q108,Base_Mensuelle!$OF$67:$RN$679,16,0)</f>
        <v>443.46075541800013</v>
      </c>
      <c r="V108" s="733">
        <f>VLOOKUP($Q108,Base_Mensuelle!$OF$67:$RN$679,27,0)</f>
        <v>-372.52078992099985</v>
      </c>
      <c r="W108" s="570">
        <f>VLOOKUP($Q108,Base_Mensuelle!$OF$67:$RN$679,31,0)</f>
        <v>206.32895775600002</v>
      </c>
      <c r="X108" s="570">
        <f>VLOOKUP($Q108,Base_Mensuelle!$OF$67:$RN$679,33,0)</f>
        <v>126.84896043400001</v>
      </c>
      <c r="Y108" s="570">
        <f>VLOOKUP($Q108,Base_Mensuelle!$OF$67:$RN$679,65,0)</f>
        <v>4312.223</v>
      </c>
      <c r="Z108" s="570">
        <f>VLOOKUP($Q108,Base_Mensuelle!$OF$67:$RN$679,39,0)</f>
        <v>1382.586212357</v>
      </c>
      <c r="AA108" s="734">
        <f>VLOOKUP($Q108,Base_Mensuelle!$OF$67:$RN$679,51,0)</f>
        <v>0.48906951300000001</v>
      </c>
      <c r="AB108" s="14">
        <f>INDEX(Base_Mensuelle!$BX$68:$CD$679,MAX(Base_Mensuelle!$FZ$68:$FZ$679)-A108,1)</f>
        <v>45231</v>
      </c>
      <c r="AC108" s="179">
        <f>VLOOKUP($AB108,Base_Mensuelle!$FL$67:$FY$679,2,0)</f>
        <v>126.32015672999999</v>
      </c>
      <c r="AD108" s="772">
        <f t="shared" si="3"/>
        <v>1.3974321685886082E-2</v>
      </c>
      <c r="AE108" s="20">
        <f t="shared" si="2"/>
        <v>0.03</v>
      </c>
      <c r="AF108" s="219">
        <f>VLOOKUP($AB108,Base_Mensuelle!$GP$67:$HR$679,2,0)</f>
        <v>380</v>
      </c>
      <c r="AG108" s="93">
        <f>VLOOKUP($AB108,Base_Mensuelle!$GP$67:$HR$679,3,0)</f>
        <v>329</v>
      </c>
      <c r="AH108" s="93">
        <f>VLOOKUP($AB108,Base_Mensuelle!$GP$67:$HR$679,14,0)</f>
        <v>2429</v>
      </c>
      <c r="AI108" s="99">
        <f>VLOOKUP($AB108,Base_Mensuelle!$GA$67:$GO$679,5,0)</f>
        <v>126.86</v>
      </c>
      <c r="AJ108" s="99">
        <f>VLOOKUP($AB108,Base_Mensuelle!$GA$67:$GO$679,6,0)</f>
        <v>155.63</v>
      </c>
      <c r="AK108" s="99">
        <f>VLOOKUP($AB108,Base_Mensuelle!$GA$67:$GO$679,7,0)</f>
        <v>113.5</v>
      </c>
      <c r="AL108" s="99">
        <f>VLOOKUP($AB108,Base_Mensuelle!$GA$67:$GO$679,3,0)</f>
        <v>112.88</v>
      </c>
      <c r="AM108" s="132">
        <f>VLOOKUP($AB108,Base_Mensuelle!$GA$67:$GO$679,4,0)</f>
        <v>133.15</v>
      </c>
      <c r="AN108" s="179">
        <f>VLOOKUP($AB108,Base_Mensuelle!$HS$67:$JV$679,9,0)</f>
        <v>0</v>
      </c>
      <c r="AO108" s="99">
        <f>VLOOKUP($AB108,Base_Mensuelle!$HS$67:$JV$679,23,0)</f>
        <v>0</v>
      </c>
      <c r="AP108" s="99">
        <f>VLOOKUP($AB108,Base_Mensuelle!$HS$67:$JV$679,39,0)</f>
        <v>0</v>
      </c>
      <c r="AQ108" s="99">
        <f>VLOOKUP($AB108,Base_Mensuelle!$HS$67:$JV$679,10,0)</f>
        <v>0</v>
      </c>
      <c r="AR108" s="132">
        <f>VLOOKUP($AB108,Base_Mensuelle!$HS$67:$JV$679,11,0)</f>
        <v>0</v>
      </c>
      <c r="AS108" s="733">
        <f>VLOOKUP($B108,Base_Mensuelle!$JW$67:$KZ$679,3,0)</f>
        <v>0</v>
      </c>
      <c r="AT108" s="734">
        <f>VLOOKUP($B108,Base_Mensuelle!$JW$67:$KZ$679,8,0)</f>
        <v>0</v>
      </c>
      <c r="AU108" s="733">
        <f>VLOOKUP($B108,Base_Mensuelle!$JW$67:$KZ$679,11,0)</f>
        <v>0</v>
      </c>
      <c r="AV108" s="734">
        <f>VLOOKUP($B108,Base_Mensuelle!$JW$67:$KZ$679,15,0)</f>
        <v>0</v>
      </c>
      <c r="AW108" s="733">
        <f>VLOOKUP($B108,Base_Mensuelle!$JW$67:$KZ$679,25,0)</f>
        <v>0</v>
      </c>
      <c r="AX108" s="734">
        <f>VLOOKUP($B108,Base_Mensuelle!$JW$67:$KZ$679,29,0)</f>
        <v>0</v>
      </c>
    </row>
    <row r="109" spans="1:50">
      <c r="A109" s="175">
        <f t="shared" si="4"/>
        <v>0</v>
      </c>
      <c r="B109" s="14"/>
      <c r="C109" s="179"/>
      <c r="D109" s="99"/>
      <c r="E109" s="99"/>
      <c r="F109" s="99"/>
      <c r="G109" s="132"/>
      <c r="H109" s="99"/>
      <c r="I109" s="132"/>
      <c r="J109" s="19"/>
      <c r="K109" s="99"/>
      <c r="L109" s="93"/>
      <c r="M109" s="182"/>
      <c r="N109" s="182"/>
      <c r="O109" s="93"/>
      <c r="P109" s="20"/>
      <c r="Q109" s="14"/>
      <c r="R109" s="733"/>
      <c r="S109" s="570"/>
      <c r="T109" s="570"/>
      <c r="U109" s="734"/>
      <c r="V109" s="733"/>
      <c r="W109" s="570"/>
      <c r="X109" s="570"/>
      <c r="Y109" s="570"/>
      <c r="Z109" s="570"/>
      <c r="AA109" s="734"/>
      <c r="AB109" s="14">
        <f>INDEX(Base_Mensuelle!$BX$68:$CD$679,MAX(Base_Mensuelle!$FZ$68:$FZ$679)-A109,1)</f>
        <v>45261</v>
      </c>
      <c r="AC109" s="179">
        <f>VLOOKUP($AB109,Base_Mensuelle!$FL$67:$FY$679,2,0)</f>
        <v>124.51924911000002</v>
      </c>
      <c r="AD109" s="772">
        <f t="shared" si="3"/>
        <v>7.4626884953601369E-3</v>
      </c>
      <c r="AE109" s="20">
        <f t="shared" si="2"/>
        <v>0.03</v>
      </c>
      <c r="AF109" s="219">
        <f>VLOOKUP($AB109,Base_Mensuelle!$GP$67:$HR$679,2,0)</f>
        <v>361</v>
      </c>
      <c r="AG109" s="93">
        <f>VLOOKUP($AB109,Base_Mensuelle!$GP$67:$HR$679,3,0)</f>
        <v>323</v>
      </c>
      <c r="AH109" s="93">
        <f>VLOOKUP($AB109,Base_Mensuelle!$GP$67:$HR$679,14,0)</f>
        <v>2364</v>
      </c>
      <c r="AI109" s="99">
        <f>VLOOKUP($AB109,Base_Mensuelle!$GA$67:$GO$679,5,0)</f>
        <v>125.87</v>
      </c>
      <c r="AJ109" s="99">
        <f>VLOOKUP($AB109,Base_Mensuelle!$GA$67:$GO$679,6,0)</f>
        <v>150.68</v>
      </c>
      <c r="AK109" s="99">
        <f>VLOOKUP($AB109,Base_Mensuelle!$GA$67:$GO$679,7,0)</f>
        <v>113.14</v>
      </c>
      <c r="AL109" s="99">
        <f>VLOOKUP($AB109,Base_Mensuelle!$GA$67:$GO$679,3,0)</f>
        <v>113.17</v>
      </c>
      <c r="AM109" s="132">
        <f>VLOOKUP($AB109,Base_Mensuelle!$GA$67:$GO$679,4,0)</f>
        <v>130.26</v>
      </c>
      <c r="AN109" s="179">
        <f>VLOOKUP($AB109,Base_Mensuelle!$HS$67:$JV$679,9,0)</f>
        <v>0</v>
      </c>
      <c r="AO109" s="99">
        <f>VLOOKUP($AB109,Base_Mensuelle!$HS$67:$JV$679,23,0)</f>
        <v>0</v>
      </c>
      <c r="AP109" s="99">
        <f>VLOOKUP($AB109,Base_Mensuelle!$HS$67:$JV$679,39,0)</f>
        <v>0</v>
      </c>
      <c r="AQ109" s="99">
        <f>VLOOKUP($AB109,Base_Mensuelle!$HS$67:$JV$679,10,0)</f>
        <v>0</v>
      </c>
      <c r="AR109" s="132">
        <f>VLOOKUP($AB109,Base_Mensuelle!$HS$67:$JV$679,11,0)</f>
        <v>0</v>
      </c>
      <c r="AS109" s="733" t="e">
        <f>VLOOKUP($B109,Base_Mensuelle!$JW$67:$KZ$679,3,0)</f>
        <v>#N/A</v>
      </c>
      <c r="AT109" s="734" t="e">
        <f>VLOOKUP($B109,Base_Mensuelle!$JW$67:$KZ$679,8,0)</f>
        <v>#N/A</v>
      </c>
      <c r="AU109" s="733" t="e">
        <f>VLOOKUP($B109,Base_Mensuelle!$JW$67:$KZ$679,11,0)</f>
        <v>#N/A</v>
      </c>
      <c r="AV109" s="734" t="e">
        <f>VLOOKUP($B109,Base_Mensuelle!$JW$67:$KZ$679,15,0)</f>
        <v>#N/A</v>
      </c>
      <c r="AW109" s="733" t="e">
        <f>VLOOKUP($B109,Base_Mensuelle!$JW$67:$KZ$679,25,0)</f>
        <v>#N/A</v>
      </c>
      <c r="AX109" s="734" t="e">
        <f>VLOOKUP($B109,Base_Mensuelle!$JW$67:$KZ$679,29,0)</f>
        <v>#N/A</v>
      </c>
    </row>
    <row r="110" spans="1:50">
      <c r="A110" s="175">
        <f>A111+1</f>
        <v>-1</v>
      </c>
      <c r="B110" s="14"/>
      <c r="C110" s="179"/>
      <c r="D110" s="99"/>
      <c r="E110" s="99"/>
      <c r="F110" s="99"/>
      <c r="G110" s="132"/>
      <c r="H110" s="99"/>
      <c r="I110" s="132"/>
      <c r="J110" s="19"/>
      <c r="K110" s="99"/>
      <c r="L110" s="93"/>
      <c r="M110" s="182"/>
      <c r="N110" s="182"/>
      <c r="O110" s="93"/>
      <c r="P110" s="20"/>
      <c r="Q110" s="14"/>
      <c r="R110" s="733"/>
      <c r="S110" s="570"/>
      <c r="T110" s="570"/>
      <c r="U110" s="734"/>
      <c r="V110" s="733"/>
      <c r="W110" s="570"/>
      <c r="X110" s="570"/>
      <c r="Y110" s="570"/>
      <c r="Z110" s="570"/>
      <c r="AA110" s="734"/>
      <c r="AC110" s="179"/>
      <c r="AD110" s="772"/>
      <c r="AE110" s="20"/>
      <c r="AF110" s="219"/>
      <c r="AG110" s="93"/>
      <c r="AH110" s="93"/>
      <c r="AI110" s="99"/>
      <c r="AJ110" s="99"/>
      <c r="AK110" s="99"/>
      <c r="AL110" s="99"/>
      <c r="AM110" s="132"/>
      <c r="AN110" s="179"/>
      <c r="AO110" s="99"/>
      <c r="AP110" s="99"/>
      <c r="AQ110" s="99"/>
      <c r="AR110" s="132"/>
      <c r="AS110" s="733"/>
      <c r="AT110" s="734"/>
      <c r="AU110" s="733"/>
      <c r="AV110" s="734"/>
      <c r="AW110" s="733"/>
      <c r="AX110" s="734"/>
    </row>
    <row r="111" spans="1:50" ht="12.6" thickBot="1">
      <c r="A111" s="175">
        <f>A112+1</f>
        <v>-2</v>
      </c>
      <c r="B111" s="15"/>
      <c r="C111" s="183"/>
      <c r="D111" s="187"/>
      <c r="E111" s="187"/>
      <c r="F111" s="187"/>
      <c r="G111" s="188"/>
      <c r="H111" s="183"/>
      <c r="I111" s="222"/>
      <c r="J111" s="21"/>
      <c r="K111" s="187"/>
      <c r="L111" s="94"/>
      <c r="M111" s="382"/>
      <c r="N111" s="382"/>
      <c r="O111" s="94"/>
      <c r="P111" s="22"/>
      <c r="Q111" s="15"/>
      <c r="R111" s="728"/>
      <c r="S111" s="729"/>
      <c r="T111" s="729"/>
      <c r="U111" s="730"/>
      <c r="V111" s="728"/>
      <c r="W111" s="729"/>
      <c r="X111" s="729"/>
      <c r="Y111" s="729"/>
      <c r="Z111" s="729"/>
      <c r="AA111" s="730"/>
      <c r="AB111" s="14"/>
      <c r="AC111" s="183"/>
      <c r="AD111" s="773"/>
      <c r="AE111" s="22"/>
      <c r="AF111" s="158"/>
      <c r="AG111" s="94"/>
      <c r="AH111" s="94"/>
      <c r="AI111" s="187"/>
      <c r="AJ111" s="187"/>
      <c r="AK111" s="187"/>
      <c r="AL111" s="187"/>
      <c r="AM111" s="188"/>
      <c r="AN111" s="183"/>
      <c r="AO111" s="187"/>
      <c r="AP111" s="187"/>
      <c r="AQ111" s="187"/>
      <c r="AR111" s="188"/>
      <c r="AS111" s="728"/>
      <c r="AT111" s="730"/>
      <c r="AU111" s="728"/>
      <c r="AV111" s="730"/>
      <c r="AW111" s="728"/>
      <c r="AX111" s="730"/>
    </row>
    <row r="112" spans="1:50" ht="12.6" thickTop="1">
      <c r="A112">
        <v>-3</v>
      </c>
    </row>
  </sheetData>
  <mergeCells count="7">
    <mergeCell ref="AV2:AW2"/>
    <mergeCell ref="Q2:S2"/>
    <mergeCell ref="U2:AB2"/>
    <mergeCell ref="AM2:AO2"/>
    <mergeCell ref="AP2:AQ2"/>
    <mergeCell ref="AR2:AS2"/>
    <mergeCell ref="AT2:AU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2"/>
  <dimension ref="A1:B10"/>
  <sheetViews>
    <sheetView showGridLines="0" view="pageBreakPreview" zoomScaleSheetLayoutView="100" workbookViewId="0">
      <selection activeCell="K50" sqref="K50"/>
    </sheetView>
  </sheetViews>
  <sheetFormatPr baseColWidth="10" defaultColWidth="11.44140625" defaultRowHeight="12.3"/>
  <cols>
    <col min="1" max="1" width="82.5546875" style="1095" customWidth="1"/>
    <col min="2" max="16384" width="11.44140625" style="1095"/>
  </cols>
  <sheetData>
    <row r="1" spans="1:2" ht="40" customHeight="1">
      <c r="B1" s="1096" t="s">
        <v>767</v>
      </c>
    </row>
    <row r="2" spans="1:2" ht="40" customHeight="1"/>
    <row r="3" spans="1:2" ht="40" customHeight="1"/>
    <row r="4" spans="1:2" ht="40" customHeight="1"/>
    <row r="5" spans="1:2" ht="40" customHeight="1"/>
    <row r="6" spans="1:2" ht="40" customHeight="1"/>
    <row r="7" spans="1:2" s="1098" customFormat="1" ht="54.75" customHeight="1">
      <c r="A7" s="1097"/>
    </row>
    <row r="8" spans="1:2" s="1098" customFormat="1" ht="52" customHeight="1">
      <c r="A8" s="1099" t="s">
        <v>768</v>
      </c>
    </row>
    <row r="9" spans="1:2" s="1098" customFormat="1" ht="52" customHeight="1">
      <c r="A9" s="1100"/>
    </row>
    <row r="10" spans="1:2" s="1098" customFormat="1" ht="52" customHeight="1">
      <c r="A10" s="1100"/>
    </row>
  </sheetData>
  <pageMargins left="0.70866141732283472" right="0.70866141732283472" top="0.74803149606299213" bottom="0.74803149606299213" header="0.31496062992125984" footer="0.31496062992125984"/>
  <pageSetup paperSize="9" scale="70" firstPageNumber="39" orientation="portrait" r:id="rId1"/>
  <headerFooter>
    <oddFooter>&amp;L&amp;8Bulletin trimestriel de conjoncture, 4e trimestre 2023</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3">
    <tabColor rgb="FF00B050"/>
  </sheetPr>
  <dimension ref="A1:O179"/>
  <sheetViews>
    <sheetView view="pageBreakPreview" topLeftCell="A145" zoomScaleSheetLayoutView="100" workbookViewId="0">
      <selection activeCell="K50" sqref="K50"/>
    </sheetView>
  </sheetViews>
  <sheetFormatPr baseColWidth="10" defaultColWidth="11.44140625" defaultRowHeight="12.75" customHeight="1"/>
  <cols>
    <col min="1" max="1" width="11.1640625" style="1066" customWidth="1"/>
    <col min="2" max="2" width="12.1640625" style="1066" customWidth="1"/>
    <col min="3" max="3" width="10.83203125" style="1066" customWidth="1"/>
    <col min="4" max="4" width="10.44140625" style="1066" customWidth="1"/>
    <col min="5" max="5" width="11.5546875" style="1066" bestFit="1" customWidth="1"/>
    <col min="6" max="6" width="10.44140625" style="1066" customWidth="1"/>
    <col min="7" max="9" width="11.5546875" style="1066" bestFit="1" customWidth="1"/>
    <col min="10" max="10" width="11.44140625" style="1066"/>
    <col min="11" max="11" width="11.44140625" style="1066" customWidth="1"/>
    <col min="12" max="16384" width="11.44140625" style="1066"/>
  </cols>
  <sheetData>
    <row r="1" spans="1:11" ht="12.75" customHeight="1">
      <c r="A1" s="1" t="s">
        <v>733</v>
      </c>
    </row>
    <row r="3" spans="1:11" ht="12.75" customHeight="1">
      <c r="A3" s="1682" t="s">
        <v>734</v>
      </c>
      <c r="B3" s="1682"/>
    </row>
    <row r="4" spans="1:11" ht="12.75" customHeight="1">
      <c r="B4" s="1627">
        <f t="shared" ref="B4:J4" si="0">DATE(C5-1,1,1)</f>
        <v>41640</v>
      </c>
      <c r="C4" s="1627">
        <f t="shared" si="0"/>
        <v>42005</v>
      </c>
      <c r="D4" s="1627">
        <f t="shared" si="0"/>
        <v>42370</v>
      </c>
      <c r="E4" s="1627">
        <f t="shared" si="0"/>
        <v>42736</v>
      </c>
      <c r="F4" s="1627">
        <f t="shared" si="0"/>
        <v>43101</v>
      </c>
      <c r="G4" s="1627">
        <f t="shared" si="0"/>
        <v>43466</v>
      </c>
      <c r="H4" s="1627">
        <f t="shared" si="0"/>
        <v>43831</v>
      </c>
      <c r="I4" s="1627">
        <f t="shared" si="0"/>
        <v>44197</v>
      </c>
      <c r="J4" s="1627">
        <f t="shared" si="0"/>
        <v>44562</v>
      </c>
      <c r="K4" s="1627">
        <f>DATE(YEAR(INDEX(Base_Mensuelle!$B$68:$CC$679,MAX(Base_Mensuelle!$CD$68:$CD$679),1)),1,1)</f>
        <v>44927</v>
      </c>
    </row>
    <row r="5" spans="1:11" ht="12.75" customHeight="1">
      <c r="A5" s="1397"/>
      <c r="B5" s="1068">
        <f t="shared" ref="B5:I5" si="1">C5-1</f>
        <v>2014</v>
      </c>
      <c r="C5" s="1068">
        <f t="shared" si="1"/>
        <v>2015</v>
      </c>
      <c r="D5" s="1068">
        <f t="shared" si="1"/>
        <v>2016</v>
      </c>
      <c r="E5" s="1068">
        <f t="shared" si="1"/>
        <v>2017</v>
      </c>
      <c r="F5" s="1068">
        <f t="shared" si="1"/>
        <v>2018</v>
      </c>
      <c r="G5" s="1068">
        <f t="shared" si="1"/>
        <v>2019</v>
      </c>
      <c r="H5" s="1068">
        <f t="shared" si="1"/>
        <v>2020</v>
      </c>
      <c r="I5" s="1068">
        <f t="shared" si="1"/>
        <v>2021</v>
      </c>
      <c r="J5" s="1068">
        <f>K5-1</f>
        <v>2022</v>
      </c>
      <c r="K5" s="1396">
        <f>YEAR(INDEX(Base_Mensuelle!$B$68:$CC$679,MAX(Base_Mensuelle!$CD$68:$CD$679),1))</f>
        <v>2023</v>
      </c>
    </row>
    <row r="6" spans="1:11" ht="12.75" customHeight="1">
      <c r="A6" s="1398" t="s">
        <v>735</v>
      </c>
      <c r="B6" s="1069">
        <f>VLOOKUP(DATE(C$5-1,1,1),Base_Mensuelle!$BX$67:$CC$679,2,0)</f>
        <v>481.95784617999999</v>
      </c>
      <c r="C6" s="1069">
        <f>VLOOKUP(DATE(D$5-1,1,1),Base_Mensuelle!$BX$67:$CC$679,2,0)</f>
        <v>563.6</v>
      </c>
      <c r="D6" s="1069">
        <f>VLOOKUP(DATE(E$5-1,1,1),Base_Mensuelle!$BX$67:$CC$679,2,0)</f>
        <v>604.01197053406997</v>
      </c>
      <c r="E6" s="1069">
        <f>VLOOKUP(DATE(F$5-1,1,1),Base_Mensuelle!$BX$67:$CC$679,2,0)</f>
        <v>618.01111739212365</v>
      </c>
      <c r="F6" s="1069">
        <f>VLOOKUP(DATE(G$5-1,1,1),Base_Mensuelle!$BX$67:$CC$679,2,0)</f>
        <v>537.66999999999996</v>
      </c>
      <c r="G6" s="1069">
        <f>VLOOKUP(DATE(H$5-1,1,1),Base_Mensuelle!$BX$67:$CC$679,2,0)</f>
        <v>574.58682807326272</v>
      </c>
      <c r="H6" s="1069">
        <f>VLOOKUP(DATE(I$5-1,1,1),Base_Mensuelle!$BX$67:$CC$679,2,0)</f>
        <v>590.94804782289521</v>
      </c>
      <c r="I6" s="1069">
        <f>VLOOKUP(DATE(J$5-1,1,1),Base_Mensuelle!$BX$67:$CC$679,2,0)</f>
        <v>539.01620000000003</v>
      </c>
      <c r="J6" s="1069">
        <f>VLOOKUP(DATE(K$5-1,1,1),Base_Mensuelle!$BX$67:$CC$679,2,0)</f>
        <v>579.59969999999998</v>
      </c>
      <c r="K6" s="1101">
        <f>IF(VLOOKUP(DATE(YEAR(INDEX(Base_Mensuelle!$B$68:$CC$679,MAX(Base_Mensuelle!$CD$68:$CD$679),1)),1,1),Base_Mensuelle!$BX$67:$CC$679,2,0)&lt;&gt;"",VLOOKUP(DATE(YEAR(INDEX(Base_Mensuelle!$B$68:$CC$679,MAX(Base_Mensuelle!$CD$68:$CD$679),1)),1,1),Base_Mensuelle!$BX$67:$CC$679,2,0),"")</f>
        <v>608.52</v>
      </c>
    </row>
    <row r="7" spans="1:11" ht="12.75" customHeight="1">
      <c r="A7" s="1399" t="s">
        <v>736</v>
      </c>
      <c r="B7" s="1070">
        <f>VLOOKUP(DATE(C$5-1,2,1),Base_Mensuelle!$BX$67:$CC$679,2,0)</f>
        <v>480.25235798</v>
      </c>
      <c r="C7" s="1070">
        <f>VLOOKUP(DATE(D$5-1,2,1),Base_Mensuelle!$BX$67:$CC$679,2,0)</f>
        <v>578</v>
      </c>
      <c r="D7" s="1070">
        <f>VLOOKUP(DATE(E$5-1,2,1),Base_Mensuelle!$BX$67:$CC$679,2,0)</f>
        <v>591.32516001081763</v>
      </c>
      <c r="E7" s="1070">
        <f>VLOOKUP(DATE(F$5-1,2,1),Base_Mensuelle!$BX$67:$CC$679,2,0)</f>
        <v>616.32716339377987</v>
      </c>
      <c r="F7" s="1070">
        <f>VLOOKUP(DATE(G$5-1,2,1),Base_Mensuelle!$BX$67:$CC$679,2,0)</f>
        <v>531.22500000000002</v>
      </c>
      <c r="G7" s="1070">
        <f>VLOOKUP(DATE(H$5-1,2,1),Base_Mensuelle!$BX$67:$CC$679,2,0)</f>
        <v>577.89112278883579</v>
      </c>
      <c r="H7" s="1070">
        <f>VLOOKUP(DATE(I$5-1,2,1),Base_Mensuelle!$BX$67:$CC$679,2,0)</f>
        <v>601.55754203225399</v>
      </c>
      <c r="I7" s="1070">
        <f>VLOOKUP(DATE(J$5-1,2,1),Base_Mensuelle!$BX$67:$CC$679,2,0)</f>
        <v>542.25729999999999</v>
      </c>
      <c r="J7" s="1070">
        <f>VLOOKUP(DATE(K$5-1,2,1),Base_Mensuelle!$BX$67:$CC$679,2,0)</f>
        <v>578.24890000000005</v>
      </c>
      <c r="K7" s="1102">
        <f>IF(VLOOKUP(DATE(YEAR(INDEX(Base_Mensuelle!$B$68:$CC$679,MAX(Base_Mensuelle!$CD$68:$CD$679),1)),2,1),Base_Mensuelle!$BX$67:$CC$679,2,0)&lt;&gt;"",VLOOKUP(DATE(YEAR(INDEX(Base_Mensuelle!$B$68:$CC$679,MAX(Base_Mensuelle!$CD$68:$CD$679),1)),2,1),Base_Mensuelle!$BX$67:$CC$679,2,0),"")</f>
        <v>612.79</v>
      </c>
    </row>
    <row r="8" spans="1:11" ht="12.75" customHeight="1">
      <c r="A8" s="1400" t="s">
        <v>737</v>
      </c>
      <c r="B8" s="1071">
        <f>VLOOKUP(DATE(C$5-1,3,1),Base_Mensuelle!$BX$67:$CC$679,2,0)</f>
        <v>474.56302426666656</v>
      </c>
      <c r="C8" s="1071">
        <f>VLOOKUP(DATE(D$5-1,3,1),Base_Mensuelle!$BX$67:$CC$679,2,0)</f>
        <v>605.46023749090909</v>
      </c>
      <c r="D8" s="1071">
        <f>VLOOKUP(DATE(E$5-1,3,1),Base_Mensuelle!$BX$67:$CC$679,2,0)</f>
        <v>590.95225225225215</v>
      </c>
      <c r="E8" s="1071">
        <f>VLOOKUP(DATE(F$5-1,3,1),Base_Mensuelle!$BX$67:$CC$679,2,0)</f>
        <v>613.9045390734675</v>
      </c>
      <c r="F8" s="1071">
        <f>VLOOKUP(DATE(G$5-1,3,1),Base_Mensuelle!$BX$67:$CC$679,2,0)</f>
        <v>531.74199999999996</v>
      </c>
      <c r="G8" s="1071">
        <f>VLOOKUP(DATE(H$5-1,3,1),Base_Mensuelle!$BX$67:$CC$679,2,0)</f>
        <v>580.37639288956439</v>
      </c>
      <c r="H8" s="1071">
        <f>VLOOKUP(DATE(I$5-1,3,1),Base_Mensuelle!$BX$67:$CC$679,2,0)</f>
        <v>593.1056497772405</v>
      </c>
      <c r="I8" s="1071">
        <f>VLOOKUP(DATE(J$5-1,3,1),Base_Mensuelle!$BX$67:$CC$679,2,0)</f>
        <v>551.19949999999994</v>
      </c>
      <c r="J8" s="1071">
        <f>VLOOKUP(DATE(K$5-1,3,1),Base_Mensuelle!$BX$67:$CC$679,2,0)</f>
        <v>595.45839999999998</v>
      </c>
      <c r="K8" s="1103">
        <f>IF(VLOOKUP(DATE(YEAR(INDEX(Base_Mensuelle!$B$68:$CC$679,MAX(Base_Mensuelle!$CD$68:$CD$679),1)),3,1),Base_Mensuelle!$BX$67:$CC$679,2,0)&lt;&gt;"",VLOOKUP(DATE(YEAR(INDEX(Base_Mensuelle!$B$68:$CC$679,MAX(Base_Mensuelle!$CD$68:$CD$679),1)),3,1),Base_Mensuelle!$BX$67:$CC$679,2,0),"")</f>
        <v>612.02</v>
      </c>
    </row>
    <row r="9" spans="1:11" ht="12.75" customHeight="1">
      <c r="A9" s="1399" t="s">
        <v>738</v>
      </c>
      <c r="B9" s="1070">
        <f>VLOOKUP(DATE(C$5-1,4,1),Base_Mensuelle!$BX$67:$CC$679,2,0)</f>
        <v>474.78</v>
      </c>
      <c r="C9" s="1070">
        <f>VLOOKUP(DATE(D$5-1,4,1),Base_Mensuelle!$BX$67:$CC$679,2,0)</f>
        <v>608.39117263181811</v>
      </c>
      <c r="D9" s="1070">
        <f>VLOOKUP(DATE(E$5-1,4,1),Base_Mensuelle!$BX$67:$CC$679,2,0)</f>
        <v>578.49634006526151</v>
      </c>
      <c r="E9" s="1070">
        <f>VLOOKUP(DATE(F$5-1,4,1),Base_Mensuelle!$BX$67:$CC$679,2,0)</f>
        <v>611.72899375174859</v>
      </c>
      <c r="F9" s="1070">
        <f>VLOOKUP(DATE(G$5-1,4,1),Base_Mensuelle!$BX$67:$CC$679,2,0)</f>
        <v>534.34100000000001</v>
      </c>
      <c r="G9" s="1070">
        <f>VLOOKUP(DATE(H$5-1,4,1),Base_Mensuelle!$BX$67:$CC$679,2,0)</f>
        <v>583.6964614151309</v>
      </c>
      <c r="H9" s="1070">
        <f>VLOOKUP(DATE(I$5-1,4,1),Base_Mensuelle!$BX$67:$CC$679,2,0)</f>
        <v>603.44190000000003</v>
      </c>
      <c r="I9" s="1070">
        <f>VLOOKUP(DATE(J$5-1,4,1),Base_Mensuelle!$BX$67:$CC$679,2,0)</f>
        <v>548.00160000000005</v>
      </c>
      <c r="J9" s="1070">
        <f>VLOOKUP(DATE(K$5-1,4,1),Base_Mensuelle!$BX$67:$CC$679,2,0)</f>
        <v>607.45389999999998</v>
      </c>
      <c r="K9" s="1102">
        <f>IF(VLOOKUP(DATE(YEAR(INDEX(Base_Mensuelle!$B$68:$CC$679,MAX(Base_Mensuelle!$CD$68:$CD$679),1)),4,1),Base_Mensuelle!$BX$67:$CC$679,2,0)&lt;&gt;"",VLOOKUP(DATE(YEAR(INDEX(Base_Mensuelle!$B$68:$CC$679,MAX(Base_Mensuelle!$CD$68:$CD$679),1)),4,1),Base_Mensuelle!$BX$67:$CC$679,2,0),"")</f>
        <v>597.29999999999995</v>
      </c>
    </row>
    <row r="10" spans="1:11" ht="12.75" customHeight="1">
      <c r="A10" s="1400" t="s">
        <v>739</v>
      </c>
      <c r="B10" s="1071">
        <f>VLOOKUP(DATE(C$5-1,5,1),Base_Mensuelle!$BX$67:$CC$679,2,0)</f>
        <v>477.5</v>
      </c>
      <c r="C10" s="1071">
        <f>VLOOKUP(DATE(D$5-1,5,1),Base_Mensuelle!$BX$67:$CC$679,2,0)</f>
        <v>588.27160841428565</v>
      </c>
      <c r="D10" s="1071">
        <f>VLOOKUP(DATE(E$5-1,5,1),Base_Mensuelle!$BX$67:$CC$679,2,0)</f>
        <v>579.92838829458049</v>
      </c>
      <c r="E10" s="1071">
        <f>VLOOKUP(DATE(F$5-1,5,1),Base_Mensuelle!$BX$67:$CC$679,2,0)</f>
        <v>593.1967806113222</v>
      </c>
      <c r="F10" s="1071">
        <f>VLOOKUP(DATE(G$5-1,5,1),Base_Mensuelle!$BX$67:$CC$679,2,0)</f>
        <v>555.33100000000002</v>
      </c>
      <c r="G10" s="1071">
        <f>VLOOKUP(DATE(H$5-1,5,1),Base_Mensuelle!$BX$67:$CC$679,2,0)</f>
        <v>586.48661895186103</v>
      </c>
      <c r="H10" s="1071">
        <f>VLOOKUP(DATE(I$5-1,5,1),Base_Mensuelle!$BX$67:$CC$679,2,0)</f>
        <v>601.72820000000002</v>
      </c>
      <c r="I10" s="1071">
        <f>VLOOKUP(DATE(J$5-1,5,1),Base_Mensuelle!$BX$67:$CC$679,2,0)</f>
        <v>539.96630000000005</v>
      </c>
      <c r="J10" s="1071">
        <f>VLOOKUP(DATE(K$5-1,5,1),Base_Mensuelle!$BX$67:$CC$679,2,0)</f>
        <v>619.9171</v>
      </c>
      <c r="K10" s="1103">
        <f>IF(VLOOKUP(DATE(YEAR(INDEX(Base_Mensuelle!$B$68:$CC$679,MAX(Base_Mensuelle!$CD$68:$CD$679),1)),5,1),Base_Mensuelle!$BX$67:$CC$679,2,0)&lt;&gt;"",VLOOKUP(DATE(YEAR(INDEX(Base_Mensuelle!$B$68:$CC$679,MAX(Base_Mensuelle!$CD$68:$CD$679),1)),5,1),Base_Mensuelle!$BX$67:$CC$679,2,0),"")</f>
        <v>603.36</v>
      </c>
    </row>
    <row r="11" spans="1:11" ht="12.75" customHeight="1">
      <c r="A11" s="1399" t="s">
        <v>740</v>
      </c>
      <c r="B11" s="1070">
        <f>VLOOKUP(DATE(C$5-1,6,1),Base_Mensuelle!$BX$67:$CC$679,2,0)</f>
        <v>482.6</v>
      </c>
      <c r="C11" s="1070">
        <f>VLOOKUP(DATE(D$5-1,6,1),Base_Mensuelle!$BX$67:$CC$679,2,0)</f>
        <v>585</v>
      </c>
      <c r="D11" s="1070">
        <f>VLOOKUP(DATE(E$5-1,6,1),Base_Mensuelle!$BX$67:$CC$679,2,0)</f>
        <v>584.1633270994746</v>
      </c>
      <c r="E11" s="1070">
        <f>VLOOKUP(DATE(F$5-1,6,1),Base_Mensuelle!$BX$67:$CC$679,2,0)</f>
        <v>584.1633270994746</v>
      </c>
      <c r="F11" s="1070">
        <f>VLOOKUP(DATE(G$5-1,6,1),Base_Mensuelle!$BX$67:$CC$679,2,0)</f>
        <v>561.70299999999997</v>
      </c>
      <c r="G11" s="1070">
        <f>VLOOKUP(DATE(H$5-1,6,1),Base_Mensuelle!$BX$67:$CC$679,2,0)</f>
        <v>580.85023038822339</v>
      </c>
      <c r="H11" s="1070">
        <f>VLOOKUP(DATE(I$5-1,6,1),Base_Mensuelle!$BX$67:$CC$679,2,0)</f>
        <v>582.85950000000003</v>
      </c>
      <c r="I11" s="1070">
        <f>VLOOKUP(DATE(J$5-1,6,1),Base_Mensuelle!$BX$67:$CC$679,2,0)</f>
        <v>544.90890000000002</v>
      </c>
      <c r="J11" s="1070">
        <f>VLOOKUP(DATE(K$5-1,6,1),Base_Mensuelle!$BX$67:$CC$679,2,0)</f>
        <v>620.94889999999998</v>
      </c>
      <c r="K11" s="1102">
        <f>IF(VLOOKUP(DATE(YEAR(INDEX(Base_Mensuelle!$B$68:$CC$679,MAX(Base_Mensuelle!$CD$68:$CD$679),1)),6,1),Base_Mensuelle!$BX$67:$CC$679,2,0)&lt;&gt;"",VLOOKUP(DATE(YEAR(INDEX(Base_Mensuelle!$B$68:$CC$679,MAX(Base_Mensuelle!$CD$68:$CD$679),1)),6,1),Base_Mensuelle!$BX$67:$CC$679,2,0),"")</f>
        <v>604.67999999999995</v>
      </c>
    </row>
    <row r="12" spans="1:11" ht="12.75" customHeight="1">
      <c r="A12" s="1400" t="s">
        <v>741</v>
      </c>
      <c r="B12" s="1071">
        <f>VLOOKUP(DATE(C$5-1,7,1),Base_Mensuelle!$BX$67:$CC$679,2,0)</f>
        <v>484.5</v>
      </c>
      <c r="C12" s="1071">
        <f>VLOOKUP(DATE(D$5-1,7,1),Base_Mensuelle!$BX$67:$CC$679,2,0)</f>
        <v>596.6</v>
      </c>
      <c r="D12" s="1071">
        <f>VLOOKUP(DATE(E$5-1,7,1),Base_Mensuelle!$BX$67:$CC$679,2,0)</f>
        <v>592.60728159725363</v>
      </c>
      <c r="E12" s="1071">
        <f>VLOOKUP(DATE(F$5-1,7,1),Base_Mensuelle!$BX$67:$CC$679,2,0)</f>
        <v>569.85231517678744</v>
      </c>
      <c r="F12" s="1071">
        <f>VLOOKUP(DATE(G$5-1,7,1),Base_Mensuelle!$BX$67:$CC$679,2,0)</f>
        <v>558.92700000000002</v>
      </c>
      <c r="G12" s="1071">
        <f>VLOOKUP(DATE(H$5-1,7,1),Base_Mensuelle!$BX$67:$CC$679,2,0)</f>
        <v>584.73360430766661</v>
      </c>
      <c r="H12" s="1071">
        <f>VLOOKUP(DATE(I$5-1,7,1),Base_Mensuelle!$BX$67:$CC$679,2,0)</f>
        <v>572.30690000000004</v>
      </c>
      <c r="I12" s="1071">
        <f>VLOOKUP(DATE(J$5-1,7,1),Base_Mensuelle!$BX$67:$CC$679,2,0)</f>
        <v>554.9171</v>
      </c>
      <c r="J12" s="1071">
        <f>VLOOKUP(DATE(K$5-1,7,1),Base_Mensuelle!$BX$67:$CC$679,2,0)</f>
        <v>644.24630000000002</v>
      </c>
      <c r="K12" s="1103">
        <f>IF(VLOOKUP(DATE(YEAR(INDEX(Base_Mensuelle!$B$68:$CC$679,MAX(Base_Mensuelle!$CD$68:$CD$679),1)),7,1),Base_Mensuelle!$BX$67:$CC$679,2,0)&lt;&gt;"",VLOOKUP(DATE(YEAR(INDEX(Base_Mensuelle!$B$68:$CC$679,MAX(Base_Mensuelle!$CD$68:$CD$679),1)),7,1),Base_Mensuelle!$BX$67:$CC$679,2,0),"")</f>
        <v>593.1</v>
      </c>
    </row>
    <row r="13" spans="1:11" ht="12.75" customHeight="1">
      <c r="A13" s="1399" t="s">
        <v>742</v>
      </c>
      <c r="B13" s="1070">
        <f>VLOOKUP(DATE(C$5-1,8,1),Base_Mensuelle!$BX$67:$CC$679,2,0)</f>
        <v>492.6</v>
      </c>
      <c r="C13" s="1070">
        <f>VLOOKUP(DATE(D$5-1,8,1),Base_Mensuelle!$BX$67:$CC$679,2,0)</f>
        <v>589</v>
      </c>
      <c r="D13" s="1070">
        <f>VLOOKUP(DATE(E$5-1,8,1),Base_Mensuelle!$BX$67:$CC$679,2,0)</f>
        <v>585.04905458437395</v>
      </c>
      <c r="E13" s="1070">
        <f>VLOOKUP(DATE(F$5-1,8,1),Base_Mensuelle!$BX$67:$CC$679,2,0)</f>
        <v>555.56618954857288</v>
      </c>
      <c r="F13" s="1070">
        <f>VLOOKUP(DATE(G$5-1,8,1),Base_Mensuelle!$BX$67:$CC$679,2,0)</f>
        <v>563.005</v>
      </c>
      <c r="G13" s="1070">
        <f>VLOOKUP(DATE(H$5-1,8,1),Base_Mensuelle!$BX$67:$CC$679,2,0)</f>
        <v>589.57522098698348</v>
      </c>
      <c r="H13" s="1070">
        <f>VLOOKUP(DATE(I$5-1,8,1),Base_Mensuelle!$BX$67:$CC$679,2,0)</f>
        <v>554.55909999999994</v>
      </c>
      <c r="I13" s="1070">
        <f>VLOOKUP(DATE(J$5-1,8,1),Base_Mensuelle!$BX$67:$CC$679,2,0)</f>
        <v>557.40319999999997</v>
      </c>
      <c r="J13" s="1070">
        <f>VLOOKUP(DATE(K$5-1,8,1),Base_Mensuelle!$BX$67:$CC$679,2,0)</f>
        <v>648.02859999999998</v>
      </c>
      <c r="K13" s="1102">
        <f>IF(VLOOKUP(DATE(YEAR(INDEX(Base_Mensuelle!$B$68:$CC$679,MAX(Base_Mensuelle!$CD$68:$CD$679),1)),8,1),Base_Mensuelle!$BX$67:$CC$679,2,0)&lt;&gt;"",VLOOKUP(DATE(YEAR(INDEX(Base_Mensuelle!$B$68:$CC$679,MAX(Base_Mensuelle!$CD$68:$CD$679),1)),8,1),Base_Mensuelle!$BX$67:$CC$679,2,0),"")</f>
        <v>601.23</v>
      </c>
    </row>
    <row r="14" spans="1:11" ht="12.75" customHeight="1">
      <c r="A14" s="1400" t="s">
        <v>743</v>
      </c>
      <c r="B14" s="1071">
        <f>VLOOKUP(DATE(C$5-1,9,1),Base_Mensuelle!$BX$67:$CC$679,2,0)</f>
        <v>508.5</v>
      </c>
      <c r="C14" s="1071">
        <f>VLOOKUP(DATE(D$5-1,9,1),Base_Mensuelle!$BX$67:$CC$679,2,0)</f>
        <v>584.58000000000004</v>
      </c>
      <c r="D14" s="1071">
        <f>VLOOKUP(DATE(E$5-1,9,1),Base_Mensuelle!$BX$67:$CC$679,2,0)</f>
        <v>585.04905458437395</v>
      </c>
      <c r="E14" s="1071">
        <f>VLOOKUP(DATE(F$5-1,9,1),Base_Mensuelle!$BX$67:$CC$679,2,0)</f>
        <v>550.53042383550144</v>
      </c>
      <c r="F14" s="1071">
        <f>VLOOKUP(DATE(G$5-1,9,1),Base_Mensuelle!$BX$67:$CC$679,2,0)</f>
        <v>562.61900000000003</v>
      </c>
      <c r="G14" s="1071">
        <f>VLOOKUP(DATE(H$5-1,9,1),Base_Mensuelle!$BX$67:$CC$679,2,0)</f>
        <v>596.12542413900474</v>
      </c>
      <c r="H14" s="1071">
        <f>VLOOKUP(DATE(I$5-1,9,1),Base_Mensuelle!$BX$67:$CC$679,2,0)</f>
        <v>556.53909999999996</v>
      </c>
      <c r="I14" s="1071">
        <f>VLOOKUP(DATE(J$5-1,9,1),Base_Mensuelle!$BX$67:$CC$679,2,0)</f>
        <v>557.553</v>
      </c>
      <c r="J14" s="1071">
        <f>VLOOKUP(DATE(K$5-1,9,1),Base_Mensuelle!$BX$67:$CC$679,2,0)</f>
        <v>662.44029999999998</v>
      </c>
      <c r="K14" s="1103">
        <f>IF(VLOOKUP(DATE(YEAR(INDEX(Base_Mensuelle!$B$68:$CC$679,MAX(Base_Mensuelle!$CD$68:$CD$679),1)),9,1),Base_Mensuelle!$BX$67:$CC$679,2,0)&lt;&gt;"",VLOOKUP(DATE(YEAR(INDEX(Base_Mensuelle!$B$68:$CC$679,MAX(Base_Mensuelle!$CD$68:$CD$679),1)),9,1),Base_Mensuelle!$BX$67:$CC$679,2,0),"")</f>
        <v>614.52</v>
      </c>
    </row>
    <row r="15" spans="1:11" ht="12.75" customHeight="1">
      <c r="A15" s="1399" t="s">
        <v>744</v>
      </c>
      <c r="B15" s="1070">
        <f>VLOOKUP(DATE(C$5-1,10,1),Base_Mensuelle!$BX$67:$CC$679,2,0)</f>
        <v>517.61566870000001</v>
      </c>
      <c r="C15" s="1070">
        <f>VLOOKUP(DATE(D$5-1,10,1),Base_Mensuelle!$BX$67:$CC$679,2,0)</f>
        <v>583.85</v>
      </c>
      <c r="D15" s="1070">
        <f>VLOOKUP(DATE(E$5-1,10,1),Base_Mensuelle!$BX$67:$CC$679,2,0)</f>
        <v>594.91837475058946</v>
      </c>
      <c r="E15" s="1070">
        <f>VLOOKUP(DATE(F$5-1,10,1),Base_Mensuelle!$BX$67:$CC$679,2,0)</f>
        <v>557.98299741575693</v>
      </c>
      <c r="F15" s="1070">
        <f>VLOOKUP(DATE(G$5-1,10,1),Base_Mensuelle!$BX$67:$CC$679,2,0)</f>
        <v>571.19200000000001</v>
      </c>
      <c r="G15" s="1070">
        <f>VLOOKUP(DATE(H$5-1,10,1),Base_Mensuelle!$BX$67:$CC$679,2,0)</f>
        <v>593.51707214207897</v>
      </c>
      <c r="H15" s="1070">
        <f>VLOOKUP(DATE(I$5-1,10,1),Base_Mensuelle!$BX$67:$CC$679,2,0)</f>
        <v>557.48490000000004</v>
      </c>
      <c r="I15" s="1070">
        <f>VLOOKUP(DATE(J$5-1,10,1),Base_Mensuelle!$BX$67:$CC$679,2,0)</f>
        <v>565.56439999999998</v>
      </c>
      <c r="J15" s="1070">
        <f>VLOOKUP(DATE(K$5-1,10,1),Base_Mensuelle!$BX$67:$CC$679,2,0)</f>
        <v>666.50040000000001</v>
      </c>
      <c r="K15" s="1102">
        <f>IF(VLOOKUP(DATE(YEAR(INDEX(Base_Mensuelle!$B$68:$CC$679,MAX(Base_Mensuelle!$CD$68:$CD$679),1)),10,1),Base_Mensuelle!$BX$67:$CC$679,2,0)&lt;&gt;"",VLOOKUP(DATE(YEAR(INDEX(Base_Mensuelle!$B$68:$CC$679,MAX(Base_Mensuelle!$CD$68:$CD$679),1)),10,1),Base_Mensuelle!$BX$67:$CC$679,2,0),"")</f>
        <v>620.83000000000004</v>
      </c>
    </row>
    <row r="16" spans="1:11" ht="12.75" customHeight="1">
      <c r="A16" s="1400" t="s">
        <v>745</v>
      </c>
      <c r="B16" s="1071">
        <f>VLOOKUP(DATE(C$5-1,11,1),Base_Mensuelle!$BX$67:$CC$679,2,0)</f>
        <v>525.93320346000007</v>
      </c>
      <c r="C16" s="1071">
        <f>VLOOKUP(DATE(D$5-1,11,1),Base_Mensuelle!$BX$67:$CC$679,2,0)</f>
        <v>610.99</v>
      </c>
      <c r="D16" s="1071">
        <f>VLOOKUP(DATE(E$5-1,11,1),Base_Mensuelle!$BX$67:$CC$679,2,0)</f>
        <v>607.42383554032767</v>
      </c>
      <c r="E16" s="1071">
        <f>VLOOKUP(DATE(F$5-1,11,1),Base_Mensuelle!$BX$67:$CC$679,2,0)</f>
        <v>558.83199863690572</v>
      </c>
      <c r="F16" s="1071">
        <f>VLOOKUP(DATE(G$5-1,11,1),Base_Mensuelle!$BX$67:$CC$679,2,0)</f>
        <v>577.07100000000003</v>
      </c>
      <c r="G16" s="1071">
        <f>VLOOKUP(DATE(H$5-1,11,1),Base_Mensuelle!$BX$67:$CC$679,2,0)</f>
        <v>592.93026011314191</v>
      </c>
      <c r="H16" s="1071">
        <f>VLOOKUP(DATE(I$5-1,11,1),Base_Mensuelle!$BX$67:$CC$679,2,0)</f>
        <v>554.13679999999999</v>
      </c>
      <c r="I16" s="1071">
        <f>VLOOKUP(DATE(J$5-1,11,1),Base_Mensuelle!$BX$67:$CC$679,2,0)</f>
        <v>575.23609999999996</v>
      </c>
      <c r="J16" s="1071">
        <f>VLOOKUP(DATE(K$5-1,11,1),Base_Mensuelle!$BX$67:$CC$679,2,0)</f>
        <v>642.43140000000005</v>
      </c>
      <c r="K16" s="1103">
        <f>IF(VLOOKUP(DATE(YEAR(INDEX(Base_Mensuelle!$B$68:$CC$679,MAX(Base_Mensuelle!$CD$68:$CD$679),1)),11,1),Base_Mensuelle!$BX$67:$CC$679,2,0)&lt;&gt;"",VLOOKUP(DATE(YEAR(INDEX(Base_Mensuelle!$B$68:$CC$679,MAX(Base_Mensuelle!$CD$68:$CD$679),1)),11,1),Base_Mensuelle!$BX$67:$CC$679,2,0),"")</f>
        <v>606.28</v>
      </c>
    </row>
    <row r="17" spans="1:11" ht="12.75" customHeight="1">
      <c r="A17" s="1401" t="s">
        <v>746</v>
      </c>
      <c r="B17" s="1072">
        <f>VLOOKUP(DATE(C$5-1,12,1),Base_Mensuelle!$BX$67:$CC$679,2,0)</f>
        <v>531.94176958000003</v>
      </c>
      <c r="C17" s="1072">
        <f>VLOOKUP(DATE(D$5-1,12,1),Base_Mensuelle!$BX$67:$CC$679,2,0)</f>
        <v>603.06794152799489</v>
      </c>
      <c r="D17" s="1072">
        <f>VLOOKUP(DATE(E$5-1,12,1),Base_Mensuelle!$BX$67:$CC$679,2,0)</f>
        <v>622.17300578582945</v>
      </c>
      <c r="E17" s="1072">
        <f>VLOOKUP(DATE(F$5-1,12,1),Base_Mensuelle!$BX$67:$CC$679,2,0)</f>
        <v>554.19513509814374</v>
      </c>
      <c r="F17" s="1072">
        <f>VLOOKUP(DATE(G$5-1,12,1),Base_Mensuelle!$BX$67:$CC$679,2,0)</f>
        <v>576.21</v>
      </c>
      <c r="G17" s="1072">
        <f>VLOOKUP(DATE(H$5-1,12,1),Base_Mensuelle!$BX$67:$CC$679,2,0)</f>
        <v>590.55523858727179</v>
      </c>
      <c r="H17" s="1072">
        <f>VLOOKUP(DATE(I$5-1,12,1),Base_Mensuelle!$BX$67:$CC$679,2,0)</f>
        <v>538.90219999999999</v>
      </c>
      <c r="I17" s="1072">
        <f>VLOOKUP(DATE(J$5-1,12,1),Base_Mensuelle!$BX$67:$CC$679,2,0)</f>
        <v>579.99710000000005</v>
      </c>
      <c r="J17" s="1072">
        <f>VLOOKUP(DATE(K$5-1,12,1),Base_Mensuelle!$BX$67:$CC$679,2,0)</f>
        <v>619.12440000000004</v>
      </c>
      <c r="K17" s="1104">
        <f>IF(VLOOKUP(DATE(YEAR(INDEX(Base_Mensuelle!$B$68:$CC$679,MAX(Base_Mensuelle!$CD$68:$CD$679),1)),12,1),Base_Mensuelle!$BX$67:$CC$679,2,0)&lt;&gt;"",VLOOKUP(DATE(YEAR(INDEX(Base_Mensuelle!$B$68:$CC$679,MAX(Base_Mensuelle!$CD$68:$CD$679),1)),12,1),Base_Mensuelle!$BX$67:$CC$679,2,0),"")</f>
        <v>600.58000000000004</v>
      </c>
    </row>
    <row r="18" spans="1:11" ht="12.75" customHeight="1">
      <c r="A18" s="1073" t="s">
        <v>747</v>
      </c>
      <c r="B18" s="1074"/>
      <c r="C18" s="1074"/>
      <c r="D18" s="1074"/>
      <c r="E18" s="1074"/>
      <c r="F18" s="1074"/>
    </row>
    <row r="19" spans="1:11" ht="12.75" customHeight="1">
      <c r="A19" s="1073"/>
      <c r="B19" s="1074"/>
      <c r="C19" s="1074"/>
      <c r="D19" s="1074"/>
      <c r="E19" s="1074"/>
      <c r="F19" s="1074"/>
    </row>
    <row r="20" spans="1:11" ht="12.75" customHeight="1">
      <c r="A20" s="1682" t="s">
        <v>748</v>
      </c>
      <c r="B20" s="1682"/>
      <c r="C20" s="1074"/>
      <c r="D20" s="1074"/>
      <c r="E20" s="1074"/>
      <c r="F20" s="1074"/>
    </row>
    <row r="21" spans="1:11" ht="12.75" customHeight="1">
      <c r="A21" s="1"/>
      <c r="B21" s="1627">
        <f t="shared" ref="B21:J21" si="2">DATE(C22-1,1,1)</f>
        <v>41640</v>
      </c>
      <c r="C21" s="1627">
        <f t="shared" si="2"/>
        <v>42005</v>
      </c>
      <c r="D21" s="1627">
        <f t="shared" si="2"/>
        <v>42370</v>
      </c>
      <c r="E21" s="1627">
        <f t="shared" si="2"/>
        <v>42736</v>
      </c>
      <c r="F21" s="1627">
        <f t="shared" si="2"/>
        <v>43101</v>
      </c>
      <c r="G21" s="1627">
        <f t="shared" si="2"/>
        <v>43466</v>
      </c>
      <c r="H21" s="1627">
        <f t="shared" si="2"/>
        <v>43831</v>
      </c>
      <c r="I21" s="1627">
        <f t="shared" si="2"/>
        <v>44197</v>
      </c>
      <c r="J21" s="1627">
        <f t="shared" si="2"/>
        <v>44562</v>
      </c>
      <c r="K21" s="1627">
        <f>DATE(YEAR(INDEX(Base_Mensuelle!$B$68:$CC$679,MAX(Base_Mensuelle!$CD$68:$CD$679),1)),1,1)</f>
        <v>44927</v>
      </c>
    </row>
    <row r="22" spans="1:11" ht="12.75" customHeight="1">
      <c r="A22" s="1397"/>
      <c r="B22" s="1068">
        <f t="shared" ref="B22:I22" si="3">C22-1</f>
        <v>2014</v>
      </c>
      <c r="C22" s="1068">
        <f t="shared" si="3"/>
        <v>2015</v>
      </c>
      <c r="D22" s="1068">
        <f t="shared" si="3"/>
        <v>2016</v>
      </c>
      <c r="E22" s="1068">
        <f t="shared" si="3"/>
        <v>2017</v>
      </c>
      <c r="F22" s="1068">
        <f t="shared" si="3"/>
        <v>2018</v>
      </c>
      <c r="G22" s="1068">
        <f t="shared" si="3"/>
        <v>2019</v>
      </c>
      <c r="H22" s="1068">
        <f t="shared" si="3"/>
        <v>2020</v>
      </c>
      <c r="I22" s="1068">
        <f t="shared" si="3"/>
        <v>2021</v>
      </c>
      <c r="J22" s="1068">
        <f>K22-1</f>
        <v>2022</v>
      </c>
      <c r="K22" s="1396">
        <f>YEAR(INDEX(Base_Mensuelle!$B$68:$CC$679,MAX(Base_Mensuelle!$CD$68:$CD$679),1))</f>
        <v>2023</v>
      </c>
    </row>
    <row r="23" spans="1:11" ht="12.75" customHeight="1">
      <c r="A23" s="1398" t="s">
        <v>735</v>
      </c>
      <c r="B23" s="1069">
        <f>VLOOKUP(DATE(C$22-1,1,1),Base_Mensuelle!$BX$67:$CC$679,6,0)</f>
        <v>210.95</v>
      </c>
      <c r="C23" s="1069">
        <f>VLOOKUP(DATE(D$22-1,1,1),Base_Mensuelle!$BX$67:$CC$679,6,0)</f>
        <v>175.15</v>
      </c>
      <c r="D23" s="1069">
        <f>VLOOKUP(DATE(E$22-1,1,1),Base_Mensuelle!$BX$67:$CC$679,6,0)</f>
        <v>155.5823870967742</v>
      </c>
      <c r="E23" s="1069">
        <f>VLOOKUP(DATE(F$22-1,1,1),Base_Mensuelle!$BX$67:$CC$679,6,0)</f>
        <v>144.42887096774191</v>
      </c>
      <c r="F23" s="1069">
        <f>VLOOKUP(DATE(G$22-1,1,1),Base_Mensuelle!$BX$67:$CC$679,6,0)</f>
        <v>122.13500000000001</v>
      </c>
      <c r="G23" s="1069">
        <f>VLOOKUP(DATE(H$22-1,1,1),Base_Mensuelle!$BX$67:$CC$679,6,0)</f>
        <v>117.611</v>
      </c>
      <c r="H23" s="1069">
        <f>VLOOKUP(DATE(I$22-1,1,1),Base_Mensuelle!$BX$67:$CC$679,6,0)</f>
        <v>104.8122</v>
      </c>
      <c r="I23" s="1069">
        <f>VLOOKUP(DATE(J$22-1,1,1),Base_Mensuelle!$BX$67:$CC$679,6,0)</f>
        <v>92.242249999999999</v>
      </c>
      <c r="J23" s="1558">
        <f>VLOOKUP(DATE(K$22-1,1,1),Base_Mensuelle!$BX$67:$CC$679,6,0)</f>
        <v>93.181213</v>
      </c>
      <c r="K23" s="1559">
        <f>IF(VLOOKUP(DATE(YEAR(INDEX(Base_Mensuelle!$B$68:$CC$679,MAX(Base_Mensuelle!$CD$68:$CD$679),1)),1,1),Base_Mensuelle!$BX$67:$CC$679,6,0)&lt;&gt;"",VLOOKUP(DATE(YEAR(INDEX(Base_Mensuelle!$B$68:$CC$679,MAX(Base_Mensuelle!$CD$68:$CD$679),1)),1,1),Base_Mensuelle!$BX$67:$CC$679,6,0),"")</f>
        <v>53.322000000000003</v>
      </c>
    </row>
    <row r="24" spans="1:11" ht="12.75" customHeight="1">
      <c r="A24" s="1399" t="s">
        <v>736</v>
      </c>
      <c r="B24" s="1070">
        <f>VLOOKUP(DATE(C$22-1,2,1),Base_Mensuelle!$BX$67:$CC$679,6,0)</f>
        <v>196.42</v>
      </c>
      <c r="C24" s="1070">
        <f>VLOOKUP(DATE(D$22-1,2,1),Base_Mensuelle!$BX$67:$CC$679,6,0)</f>
        <v>171.9</v>
      </c>
      <c r="D24" s="1070">
        <f>VLOOKUP(DATE(E$22-1,2,1),Base_Mensuelle!$BX$67:$CC$679,6,0)</f>
        <v>149.47606206896552</v>
      </c>
      <c r="E24" s="1070">
        <f>VLOOKUP(DATE(F$22-1,2,1),Base_Mensuelle!$BX$67:$CC$679,6,0)</f>
        <v>137.95894285714286</v>
      </c>
      <c r="F24" s="1070">
        <f>VLOOKUP(DATE(G$22-1,2,1),Base_Mensuelle!$BX$67:$CC$679,6,0)</f>
        <v>120.056</v>
      </c>
      <c r="G24" s="1070">
        <f>VLOOKUP(DATE(H$22-1,2,1),Base_Mensuelle!$BX$67:$CC$679,6,0)</f>
        <v>115.471</v>
      </c>
      <c r="H24" s="1070">
        <f>VLOOKUP(DATE(I$22-1,2,1),Base_Mensuelle!$BX$67:$CC$679,6,0)</f>
        <v>112.07859999999999</v>
      </c>
      <c r="I24" s="1070">
        <f>VLOOKUP(DATE(J$22-1,2,1),Base_Mensuelle!$BX$67:$CC$679,6,0)</f>
        <v>93.606089999999995</v>
      </c>
      <c r="J24" s="1070">
        <f>VLOOKUP(DATE(K$22-1,2,1),Base_Mensuelle!$BX$67:$CC$679,6,0)</f>
        <v>89.000096999999997</v>
      </c>
      <c r="K24" s="1102">
        <f>IF(VLOOKUP(DATE(YEAR(INDEX(Base_Mensuelle!$B$68:$CC$679,MAX(Base_Mensuelle!$CD$68:$CD$679),1)),2,1),Base_Mensuelle!$BX$67:$CC$679,6,0)&lt;&gt;"",VLOOKUP(DATE(YEAR(INDEX(Base_Mensuelle!$B$68:$CC$679,MAX(Base_Mensuelle!$CD$68:$CD$679),1)),2,1),Base_Mensuelle!$BX$67:$CC$679,6,0),"")</f>
        <v>49.152000000000001</v>
      </c>
    </row>
    <row r="25" spans="1:11" ht="12.75" customHeight="1">
      <c r="A25" s="1400" t="s">
        <v>737</v>
      </c>
      <c r="B25" s="1071">
        <f>VLOOKUP(DATE(C$22-1,3,1),Base_Mensuelle!$BX$67:$CC$679,6,0)</f>
        <v>183.92455950524408</v>
      </c>
      <c r="C25" s="1071">
        <f>VLOOKUP(DATE(D$22-1,3,1),Base_Mensuelle!$BX$67:$CC$679,6,0)</f>
        <v>168.82394976900994</v>
      </c>
      <c r="D25" s="1071">
        <f>VLOOKUP(DATE(E$22-1,3,1),Base_Mensuelle!$BX$67:$CC$679,6,0)</f>
        <v>157.87902580645158</v>
      </c>
      <c r="E25" s="1071">
        <f>VLOOKUP(DATE(F$22-1,3,1),Base_Mensuelle!$BX$67:$CC$679,6,0)</f>
        <v>136.02179677419358</v>
      </c>
      <c r="F25" s="1071">
        <f>VLOOKUP(DATE(G$22-1,3,1),Base_Mensuelle!$BX$67:$CC$679,6,0)</f>
        <v>120.51900000000001</v>
      </c>
      <c r="G25" s="1071">
        <f>VLOOKUP(DATE(H$22-1,3,1),Base_Mensuelle!$BX$67:$CC$679,6,0)</f>
        <v>111.854</v>
      </c>
      <c r="H25" s="1071">
        <f>VLOOKUP(DATE(I$22-1,3,1),Base_Mensuelle!$BX$67:$CC$679,6,0)</f>
        <v>106.09650000000001</v>
      </c>
      <c r="I25" s="1071">
        <f>VLOOKUP(DATE(J$22-1,3,1),Base_Mensuelle!$BX$67:$CC$679,6,0)</f>
        <v>95.960318999999998</v>
      </c>
      <c r="J25" s="1071">
        <f>VLOOKUP(DATE(K$22-1,3,1),Base_Mensuelle!$BX$67:$CC$679,6,0)</f>
        <v>82.333939000000001</v>
      </c>
      <c r="K25" s="1103">
        <f>IF(VLOOKUP(DATE(YEAR(INDEX(Base_Mensuelle!$B$68:$CC$679,MAX(Base_Mensuelle!$CD$68:$CD$679),1)),3,1),Base_Mensuelle!$BX$67:$CC$679,6,0)&lt;&gt;"",VLOOKUP(DATE(YEAR(INDEX(Base_Mensuelle!$B$68:$CC$679,MAX(Base_Mensuelle!$CD$68:$CD$679),1)),3,1),Base_Mensuelle!$BX$67:$CC$679,6,0),"")</f>
        <v>49.703000000000003</v>
      </c>
    </row>
    <row r="26" spans="1:11" ht="12.75" customHeight="1">
      <c r="A26" s="1399" t="s">
        <v>738</v>
      </c>
      <c r="B26" s="1070">
        <f>VLOOKUP(DATE(C$22-1,4,1),Base_Mensuelle!$BX$67:$CC$679,6,0)</f>
        <v>173.19</v>
      </c>
      <c r="C26" s="1070">
        <f>VLOOKUP(DATE(D$22-1,4,1),Base_Mensuelle!$BX$67:$CC$679,6,0)</f>
        <v>159.75057168040826</v>
      </c>
      <c r="D26" s="1070">
        <f>VLOOKUP(DATE(E$22-1,4,1),Base_Mensuelle!$BX$67:$CC$679,6,0)</f>
        <v>155.5823870967742</v>
      </c>
      <c r="E26" s="1070">
        <f>VLOOKUP(DATE(F$22-1,4,1),Base_Mensuelle!$BX$67:$CC$679,6,0)</f>
        <v>146.19839999999996</v>
      </c>
      <c r="F26" s="1070">
        <f>VLOOKUP(DATE(G$22-1,4,1),Base_Mensuelle!$BX$67:$CC$679,6,0)</f>
        <v>121.163</v>
      </c>
      <c r="G26" s="1070">
        <f>VLOOKUP(DATE(H$22-1,4,1),Base_Mensuelle!$BX$67:$CC$679,6,0)</f>
        <v>114.742</v>
      </c>
      <c r="H26" s="1070">
        <f>VLOOKUP(DATE(I$22-1,4,1),Base_Mensuelle!$BX$67:$CC$679,6,0)</f>
        <v>104.4709</v>
      </c>
      <c r="I26" s="1070">
        <f>VLOOKUP(DATE(J$22-1,4,1),Base_Mensuelle!$BX$67:$CC$679,6,0)</f>
        <v>94.988721999999996</v>
      </c>
      <c r="J26" s="1070">
        <f>VLOOKUP(DATE(K$22-1,4,1),Base_Mensuelle!$BX$67:$CC$679,6,0)</f>
        <v>80.578254000000001</v>
      </c>
      <c r="K26" s="1102">
        <f>IF(VLOOKUP(DATE(YEAR(INDEX(Base_Mensuelle!$B$68:$CC$679,MAX(Base_Mensuelle!$CD$68:$CD$679),1)),4,1),Base_Mensuelle!$BX$67:$CC$679,6,0)&lt;&gt;"",VLOOKUP(DATE(YEAR(INDEX(Base_Mensuelle!$B$68:$CC$679,MAX(Base_Mensuelle!$CD$68:$CD$679),1)),4,1),Base_Mensuelle!$BX$67:$CC$679,6,0),"")</f>
        <v>52.442999999999998</v>
      </c>
    </row>
    <row r="27" spans="1:11" ht="12.75" customHeight="1">
      <c r="A27" s="1400" t="s">
        <v>739</v>
      </c>
      <c r="B27" s="1071">
        <f>VLOOKUP(DATE(C$22-1,5,1),Base_Mensuelle!$BX$67:$CC$679,6,0)</f>
        <v>167.09</v>
      </c>
      <c r="C27" s="1071">
        <f>VLOOKUP(DATE(D$22-1,5,1),Base_Mensuelle!$BX$67:$CC$679,6,0)</f>
        <v>151.09679008490676</v>
      </c>
      <c r="D27" s="1071">
        <f>VLOOKUP(DATE(E$22-1,5,1),Base_Mensuelle!$BX$67:$CC$679,6,0)</f>
        <v>149.47606206896552</v>
      </c>
      <c r="E27" s="1071">
        <f>VLOOKUP(DATE(F$22-1,5,1),Base_Mensuelle!$BX$67:$CC$679,6,0)</f>
        <v>139.53950967741935</v>
      </c>
      <c r="F27" s="1071">
        <f>VLOOKUP(DATE(G$22-1,5,1),Base_Mensuelle!$BX$67:$CC$679,6,0)</f>
        <v>125.643</v>
      </c>
      <c r="G27" s="1071">
        <f>VLOOKUP(DATE(H$22-1,5,1),Base_Mensuelle!$BX$67:$CC$679,6,0)</f>
        <v>114.899</v>
      </c>
      <c r="H27" s="1071">
        <f>VLOOKUP(DATE(I$22-1,5,1),Base_Mensuelle!$BX$67:$CC$679,6,0)</f>
        <v>104.3111</v>
      </c>
      <c r="I27" s="1071">
        <f>VLOOKUP(DATE(J$22-1,5,1),Base_Mensuelle!$BX$67:$CC$679,6,0)</f>
        <v>93.514653999999993</v>
      </c>
      <c r="J27" s="1071">
        <f>VLOOKUP(DATE(K$22-1,5,1),Base_Mensuelle!$BX$67:$CC$679,6,0)</f>
        <v>81.118624999999994</v>
      </c>
      <c r="K27" s="1103">
        <f>IF(VLOOKUP(DATE(YEAR(INDEX(Base_Mensuelle!$B$68:$CC$679,MAX(Base_Mensuelle!$CD$68:$CD$679),1)),5,1),Base_Mensuelle!$BX$67:$CC$679,6,0)&lt;&gt;"",VLOOKUP(DATE(YEAR(INDEX(Base_Mensuelle!$B$68:$CC$679,MAX(Base_Mensuelle!$CD$68:$CD$679),1)),5,1),Base_Mensuelle!$BX$67:$CC$679,6,0),"")</f>
        <v>53.186</v>
      </c>
    </row>
    <row r="28" spans="1:11" ht="12.75" customHeight="1">
      <c r="A28" s="1399" t="s">
        <v>740</v>
      </c>
      <c r="B28" s="1070">
        <f>VLOOKUP(DATE(C$22-1,6,1),Base_Mensuelle!$BX$67:$CC$679,6,0)</f>
        <v>161.84</v>
      </c>
      <c r="C28" s="1070">
        <f>VLOOKUP(DATE(D$22-1,6,1),Base_Mensuelle!$BX$67:$CC$679,6,0)</f>
        <v>139.55000000000001</v>
      </c>
      <c r="D28" s="1070">
        <f>VLOOKUP(DATE(E$22-1,6,1),Base_Mensuelle!$BX$67:$CC$679,6,0)</f>
        <v>153.08563666666666</v>
      </c>
      <c r="E28" s="1070">
        <f>VLOOKUP(DATE(F$22-1,6,1),Base_Mensuelle!$BX$67:$CC$679,6,0)</f>
        <v>133.71889333333334</v>
      </c>
      <c r="F28" s="1070">
        <f>VLOOKUP(DATE(G$22-1,6,1),Base_Mensuelle!$BX$67:$CC$679,6,0)</f>
        <v>126</v>
      </c>
      <c r="G28" s="1070">
        <f>VLOOKUP(DATE(H$22-1,6,1),Base_Mensuelle!$BX$67:$CC$679,6,0)</f>
        <v>111.04</v>
      </c>
      <c r="H28" s="1070">
        <f>VLOOKUP(DATE(I$22-1,6,1),Base_Mensuelle!$BX$67:$CC$679,6,0)</f>
        <v>100.76609999999999</v>
      </c>
      <c r="I28" s="1070">
        <f>VLOOKUP(DATE(J$22-1,6,1),Base_Mensuelle!$BX$67:$CC$679,6,0)</f>
        <v>93.541899000000001</v>
      </c>
      <c r="J28" s="1070">
        <f>VLOOKUP(DATE(K$22-1,6,1),Base_Mensuelle!$BX$67:$CC$679,6,0)</f>
        <v>78.363695000000007</v>
      </c>
      <c r="K28" s="1102">
        <f>IF(VLOOKUP(DATE(YEAR(INDEX(Base_Mensuelle!$B$68:$CC$679,MAX(Base_Mensuelle!$CD$68:$CD$679),1)),6,1),Base_Mensuelle!$BX$67:$CC$679,6,0)&lt;&gt;"",VLOOKUP(DATE(YEAR(INDEX(Base_Mensuelle!$B$68:$CC$679,MAX(Base_Mensuelle!$CD$68:$CD$679),1)),6,1),Base_Mensuelle!$BX$67:$CC$679,6,0),"")</f>
        <v>53.372999999999998</v>
      </c>
    </row>
    <row r="29" spans="1:11" ht="12.75" customHeight="1">
      <c r="A29" s="1400" t="s">
        <v>741</v>
      </c>
      <c r="B29" s="1071">
        <f>VLOOKUP(DATE(C$22-1,7,1),Base_Mensuelle!$BX$67:$CC$679,6,0)</f>
        <v>160.19999999999999</v>
      </c>
      <c r="C29" s="1071">
        <f>VLOOKUP(DATE(D$22-1,7,1),Base_Mensuelle!$BX$67:$CC$679,6,0)</f>
        <v>169.66</v>
      </c>
      <c r="D29" s="1071">
        <f>VLOOKUP(DATE(E$22-1,7,1),Base_Mensuelle!$BX$67:$CC$679,6,0)</f>
        <v>152.71469527746879</v>
      </c>
      <c r="E29" s="1071">
        <f>VLOOKUP(DATE(F$22-1,7,1),Base_Mensuelle!$BX$67:$CC$679,6,0)</f>
        <v>129.87125483870963</v>
      </c>
      <c r="F29" s="1071">
        <f>VLOOKUP(DATE(G$22-1,7,1),Base_Mensuelle!$BX$67:$CC$679,6,0)</f>
        <v>126</v>
      </c>
      <c r="G29" s="1071">
        <f>VLOOKUP(DATE(H$22-1,7,1),Base_Mensuelle!$BX$67:$CC$679,6,0)</f>
        <v>108.5883</v>
      </c>
      <c r="H29" s="1071">
        <f>VLOOKUP(DATE(I$22-1,7,1),Base_Mensuelle!$BX$67:$CC$679,6,0)</f>
        <v>99.147818999999998</v>
      </c>
      <c r="I29" s="1071">
        <f>VLOOKUP(DATE(J$22-1,7,1),Base_Mensuelle!$BX$67:$CC$679,6,0)</f>
        <v>93.462480999999997</v>
      </c>
      <c r="J29" s="1071">
        <f>VLOOKUP(DATE(K$22-1,7,1),Base_Mensuelle!$BX$67:$CC$679,6,0)</f>
        <v>78.966341</v>
      </c>
      <c r="K29" s="1103">
        <f>IF(VLOOKUP(DATE(YEAR(INDEX(Base_Mensuelle!$B$68:$CC$679,MAX(Base_Mensuelle!$CD$68:$CD$679),1)),7,1),Base_Mensuelle!$BX$67:$CC$679,6,0)&lt;&gt;"",VLOOKUP(DATE(YEAR(INDEX(Base_Mensuelle!$B$68:$CC$679,MAX(Base_Mensuelle!$CD$68:$CD$679),1)),7,1),Base_Mensuelle!$BX$67:$CC$679,6,0),"")</f>
        <v>51.965000000000003</v>
      </c>
    </row>
    <row r="30" spans="1:11" ht="12.75" customHeight="1">
      <c r="A30" s="1399" t="s">
        <v>742</v>
      </c>
      <c r="B30" s="1070">
        <f>VLOOKUP(DATE(C$22-1,8,1),Base_Mensuelle!$BX$67:$CC$679,6,0)</f>
        <v>160.99</v>
      </c>
      <c r="C30" s="1070">
        <f>VLOOKUP(DATE(D$22-1,8,1),Base_Mensuelle!$BX$67:$CC$679,6,0)</f>
        <v>151.79</v>
      </c>
      <c r="D30" s="1070">
        <f>VLOOKUP(DATE(E$22-1,8,1),Base_Mensuelle!$BX$67:$CC$679,6,0)</f>
        <v>151.75879800436698</v>
      </c>
      <c r="E30" s="1070">
        <f>VLOOKUP(DATE(F$22-1,8,1),Base_Mensuelle!$BX$67:$CC$679,6,0)</f>
        <v>125.63139677419355</v>
      </c>
      <c r="F30" s="1070">
        <f>VLOOKUP(DATE(G$22-1,8,1),Base_Mensuelle!$BX$67:$CC$679,6,0)</f>
        <v>126</v>
      </c>
      <c r="G30" s="1070">
        <f>VLOOKUP(DATE(H$22-1,8,1),Base_Mensuelle!$BX$67:$CC$679,6,0)</f>
        <v>108.57389999999999</v>
      </c>
      <c r="H30" s="1070">
        <f>VLOOKUP(DATE(I$22-1,8,1),Base_Mensuelle!$BX$67:$CC$679,6,0)</f>
        <v>96.113944000000004</v>
      </c>
      <c r="I30" s="1070">
        <f>VLOOKUP(DATE(J$22-1,8,1),Base_Mensuelle!$BX$67:$CC$679,6,0)</f>
        <v>92.628103999999993</v>
      </c>
      <c r="J30" s="1070">
        <f>VLOOKUP(DATE(K$22-1,8,1),Base_Mensuelle!$BX$67:$CC$679,6,0)</f>
        <v>69.816980000000001</v>
      </c>
      <c r="K30" s="1102">
        <f>IF(VLOOKUP(DATE(YEAR(INDEX(Base_Mensuelle!$B$68:$CC$679,MAX(Base_Mensuelle!$CD$68:$CD$679),1)),8,1),Base_Mensuelle!$BX$67:$CC$679,6,0)&lt;&gt;"",VLOOKUP(DATE(YEAR(INDEX(Base_Mensuelle!$B$68:$CC$679,MAX(Base_Mensuelle!$CD$68:$CD$679),1)),8,1),Base_Mensuelle!$BX$67:$CC$679,6,0),"")</f>
        <v>53.298000000000002</v>
      </c>
    </row>
    <row r="31" spans="1:11" ht="12.75" customHeight="1">
      <c r="A31" s="1400" t="s">
        <v>743</v>
      </c>
      <c r="B31" s="1071">
        <f>VLOOKUP(DATE(C$22-1,9,1),Base_Mensuelle!$BX$67:$CC$679,6,0)</f>
        <v>159.46</v>
      </c>
      <c r="C31" s="1071">
        <f>VLOOKUP(DATE(D$22-1,9,1),Base_Mensuelle!$BX$67:$CC$679,6,0)</f>
        <v>150.76795666666666</v>
      </c>
      <c r="D31" s="1071">
        <f>VLOOKUP(DATE(E$22-1,9,1),Base_Mensuelle!$BX$67:$CC$679,6,0)</f>
        <v>146.58810666666668</v>
      </c>
      <c r="E31" s="1071">
        <f>VLOOKUP(DATE(F$22-1,9,1),Base_Mensuelle!$BX$67:$CC$679,6,0)</f>
        <v>124.31055333333335</v>
      </c>
      <c r="F31" s="1071">
        <f>VLOOKUP(DATE(G$22-1,9,1),Base_Mensuelle!$BX$67:$CC$679,6,0)</f>
        <v>116.56837736842104</v>
      </c>
      <c r="G31" s="1071">
        <f>VLOOKUP(DATE(H$22-1,9,1),Base_Mensuelle!$BX$67:$CC$679,6,0)</f>
        <v>108.81950000000001</v>
      </c>
      <c r="H31" s="1071">
        <f>VLOOKUP(DATE(I$22-1,9,1),Base_Mensuelle!$BX$67:$CC$679,6,0)</f>
        <v>96.185803000000007</v>
      </c>
      <c r="I31" s="1071">
        <f>VLOOKUP(DATE(J$22-1,9,1),Base_Mensuelle!$BX$67:$CC$679,6,0)</f>
        <v>92.361744999999999</v>
      </c>
      <c r="J31" s="1071">
        <f>VLOOKUP(DATE(K$22-1,9,1),Base_Mensuelle!$BX$67:$CC$679,6,0)</f>
        <v>65.384073000000001</v>
      </c>
      <c r="K31" s="1103">
        <f>IF(VLOOKUP(DATE(YEAR(INDEX(Base_Mensuelle!$B$68:$CC$679,MAX(Base_Mensuelle!$CD$68:$CD$679),1)),9,1),Base_Mensuelle!$BX$67:$CC$679,6,0)&lt;&gt;"",VLOOKUP(DATE(YEAR(INDEX(Base_Mensuelle!$B$68:$CC$679,MAX(Base_Mensuelle!$CD$68:$CD$679),1)),9,1),Base_Mensuelle!$BX$67:$CC$679,6,0),"")</f>
        <v>53.470999999999997</v>
      </c>
    </row>
    <row r="32" spans="1:11" ht="12.75" customHeight="1">
      <c r="A32" s="1399" t="s">
        <v>744</v>
      </c>
      <c r="B32" s="1070">
        <f>VLOOKUP(DATE(C$22-1,10,1),Base_Mensuelle!$BX$67:$CC$679,6,0)</f>
        <v>162.61880000000005</v>
      </c>
      <c r="C32" s="1070">
        <f>VLOOKUP(DATE(D$22-1,10,1),Base_Mensuelle!$BX$67:$CC$679,6,0)</f>
        <v>154.2555419354839</v>
      </c>
      <c r="D32" s="1070">
        <f>VLOOKUP(DATE(E$22-1,10,1),Base_Mensuelle!$BX$67:$CC$679,6,0)</f>
        <v>151.11458709677419</v>
      </c>
      <c r="E32" s="1070">
        <f>VLOOKUP(DATE(F$22-1,10,1),Base_Mensuelle!$BX$67:$CC$679,6,0)</f>
        <v>126.91940967741934</v>
      </c>
      <c r="F32" s="1070">
        <f>VLOOKUP(DATE(G$22-1,10,1),Base_Mensuelle!$BX$67:$CC$679,6,0)</f>
        <v>119.021</v>
      </c>
      <c r="G32" s="1070">
        <f>VLOOKUP(DATE(H$22-1,10,1),Base_Mensuelle!$BX$67:$CC$679,6,0)</f>
        <v>108.91630000000001</v>
      </c>
      <c r="H32" s="1070">
        <f>VLOOKUP(DATE(I$22-1,10,1),Base_Mensuelle!$BX$67:$CC$679,6,0)</f>
        <v>95.945536000000004</v>
      </c>
      <c r="I32" s="1070">
        <f>VLOOKUP(DATE(J$22-1,10,1),Base_Mensuelle!$BX$67:$CC$679,6,0)</f>
        <v>93.112174999999993</v>
      </c>
      <c r="J32" s="1070">
        <f>VLOOKUP(DATE(K$22-1,10,1),Base_Mensuelle!$BX$67:$CC$679,6,0)</f>
        <v>56.697560000000003</v>
      </c>
      <c r="K32" s="1102">
        <f>IF(VLOOKUP(DATE(YEAR(INDEX(Base_Mensuelle!$B$68:$CC$679,MAX(Base_Mensuelle!$CD$68:$CD$679),1)),10,1),Base_Mensuelle!$BX$67:$CC$679,6,0)&lt;&gt;"",VLOOKUP(DATE(YEAR(INDEX(Base_Mensuelle!$B$68:$CC$679,MAX(Base_Mensuelle!$CD$68:$CD$679),1)),10,1),Base_Mensuelle!$BX$67:$CC$679,6,0),"")</f>
        <v>52.777000000000001</v>
      </c>
    </row>
    <row r="33" spans="1:11" ht="12.75" customHeight="1">
      <c r="A33" s="1400" t="s">
        <v>745</v>
      </c>
      <c r="B33" s="1071">
        <f>VLOOKUP(DATE(C$22-1,11,1),Base_Mensuelle!$BX$67:$CC$679,6,0)</f>
        <v>164.15999999999997</v>
      </c>
      <c r="C33" s="1071">
        <f>VLOOKUP(DATE(D$22-1,11,1),Base_Mensuelle!$BX$67:$CC$679,6,0)</f>
        <v>160.14535666666669</v>
      </c>
      <c r="D33" s="1071">
        <f>VLOOKUP(DATE(E$22-1,11,1),Base_Mensuelle!$BX$67:$CC$679,6,0)</f>
        <v>150.64180666666667</v>
      </c>
      <c r="E33" s="1071">
        <f>VLOOKUP(DATE(F$22-1,11,1),Base_Mensuelle!$BX$67:$CC$679,6,0)</f>
        <v>124.06734666666668</v>
      </c>
      <c r="F33" s="1071">
        <f>VLOOKUP(DATE(G$22-1,11,1),Base_Mensuelle!$BX$67:$CC$679,6,0)</f>
        <v>120.46899999999999</v>
      </c>
      <c r="G33" s="1071">
        <f>VLOOKUP(DATE(H$22-1,11,1),Base_Mensuelle!$BX$67:$CC$679,6,0)</f>
        <v>107.20950000000001</v>
      </c>
      <c r="H33" s="1071">
        <f>VLOOKUP(DATE(I$22-1,11,1),Base_Mensuelle!$BX$67:$CC$679,6,0)</f>
        <v>95.002768000000003</v>
      </c>
      <c r="I33" s="1071">
        <f>VLOOKUP(DATE(J$22-1,11,1),Base_Mensuelle!$BX$67:$CC$679,6,0)</f>
        <v>93.901216000000005</v>
      </c>
      <c r="J33" s="1071">
        <f>VLOOKUP(DATE(K$22-1,11,1),Base_Mensuelle!$BX$67:$CC$679,6,0)</f>
        <v>44.846586000000002</v>
      </c>
      <c r="K33" s="1103">
        <f>IF(VLOOKUP(DATE(YEAR(INDEX(Base_Mensuelle!$B$68:$CC$679,MAX(Base_Mensuelle!$CD$68:$CD$679),1)),11,1),Base_Mensuelle!$BX$67:$CC$679,6,0)&lt;&gt;"",VLOOKUP(DATE(YEAR(INDEX(Base_Mensuelle!$B$68:$CC$679,MAX(Base_Mensuelle!$CD$68:$CD$679),1)),11,1),Base_Mensuelle!$BX$67:$CC$679,6,0),"")</f>
        <v>50.716999999999999</v>
      </c>
    </row>
    <row r="34" spans="1:11" ht="12.75" customHeight="1">
      <c r="A34" s="1401" t="s">
        <v>746</v>
      </c>
      <c r="B34" s="1072">
        <f>VLOOKUP(DATE(C$22-1,12,1),Base_Mensuelle!$BX$67:$CC$679,6,0)</f>
        <v>166.36451612903224</v>
      </c>
      <c r="C34" s="1072">
        <f>VLOOKUP(DATE(D$22-1,12,1),Base_Mensuelle!$BX$67:$CC$679,6,0)</f>
        <v>157.87902580645158</v>
      </c>
      <c r="D34" s="1072">
        <f>VLOOKUP(DATE(E$22-1,12,1),Base_Mensuelle!$BX$67:$CC$679,6,0)</f>
        <v>146.80591612903223</v>
      </c>
      <c r="E34" s="1072">
        <f>VLOOKUP(DATE(F$22-1,12,1),Base_Mensuelle!$BX$67:$CC$679,6,0)</f>
        <v>122.7987258064516</v>
      </c>
      <c r="F34" s="1072">
        <f>VLOOKUP(DATE(G$22-1,12,1),Base_Mensuelle!$BX$67:$CC$679,6,0)</f>
        <v>119.643</v>
      </c>
      <c r="G34" s="1072">
        <f>VLOOKUP(DATE(H$22-1,12,1),Base_Mensuelle!$BX$67:$CC$679,6,0)</f>
        <v>103.7959</v>
      </c>
      <c r="H34" s="1072">
        <f>VLOOKUP(DATE(I$22-1,12,1),Base_Mensuelle!$BX$67:$CC$679,6,0)</f>
        <v>91.859295000000003</v>
      </c>
      <c r="I34" s="1072">
        <f>VLOOKUP(DATE(J$22-1,12,1),Base_Mensuelle!$BX$67:$CC$679,6,0)</f>
        <v>94.357647</v>
      </c>
      <c r="J34" s="1072">
        <f>VLOOKUP(DATE(K$22-1,12,1),Base_Mensuelle!$BX$67:$CC$679,6,0)</f>
        <v>57.774223999999997</v>
      </c>
      <c r="K34" s="1104">
        <f>IF(VLOOKUP(DATE(YEAR(INDEX(Base_Mensuelle!$B$68:$CC$679,MAX(Base_Mensuelle!$CD$68:$CD$679),1)),12,1),Base_Mensuelle!$BX$67:$CC$679,6,0)&lt;&gt;"",VLOOKUP(DATE(YEAR(INDEX(Base_Mensuelle!$B$68:$CC$679,MAX(Base_Mensuelle!$CD$68:$CD$679),1)),12,1),Base_Mensuelle!$BX$67:$CC$679,6,0),"")</f>
        <v>49.966000000000001</v>
      </c>
    </row>
    <row r="35" spans="1:11" ht="12.75" customHeight="1">
      <c r="A35" s="1073" t="s">
        <v>747</v>
      </c>
      <c r="B35" s="1074"/>
      <c r="C35" s="1074"/>
      <c r="D35" s="1074"/>
      <c r="E35" s="1074"/>
      <c r="F35" s="1074"/>
    </row>
    <row r="37" spans="1:11" ht="12.75" customHeight="1">
      <c r="A37" s="1075" t="s">
        <v>749</v>
      </c>
    </row>
    <row r="39" spans="1:11" ht="12.75" customHeight="1">
      <c r="A39" s="1" t="s">
        <v>750</v>
      </c>
    </row>
    <row r="41" spans="1:11" ht="12.75" customHeight="1">
      <c r="A41" s="1682" t="s">
        <v>1195</v>
      </c>
      <c r="B41" s="1682"/>
    </row>
    <row r="42" spans="1:11" ht="12.75" customHeight="1">
      <c r="B42" s="1627">
        <f t="shared" ref="B42:I42" si="4">DATE(C43-1,1,1)</f>
        <v>41640</v>
      </c>
      <c r="C42" s="1627">
        <f t="shared" si="4"/>
        <v>42005</v>
      </c>
      <c r="D42" s="1627">
        <f t="shared" si="4"/>
        <v>42370</v>
      </c>
      <c r="E42" s="1627">
        <f t="shared" si="4"/>
        <v>42736</v>
      </c>
      <c r="F42" s="1627">
        <f t="shared" si="4"/>
        <v>43101</v>
      </c>
      <c r="G42" s="1627">
        <f t="shared" si="4"/>
        <v>43466</v>
      </c>
      <c r="H42" s="1627">
        <f t="shared" si="4"/>
        <v>43831</v>
      </c>
      <c r="I42" s="1627">
        <f t="shared" si="4"/>
        <v>44197</v>
      </c>
      <c r="J42" s="1627">
        <f>DATE(K43-1,1,1)</f>
        <v>44562</v>
      </c>
      <c r="K42" s="1627">
        <f>DATE(YEAR(INDEX(Base_Mensuelle!$B$68:$CC$679,MAX(Base_Mensuelle!$CD$68:$CD$679),1)),1,1)</f>
        <v>44927</v>
      </c>
    </row>
    <row r="43" spans="1:11" ht="12.75" customHeight="1">
      <c r="A43" s="1397"/>
      <c r="B43" s="1068">
        <f t="shared" ref="B43:I43" si="5">C43-1</f>
        <v>2014</v>
      </c>
      <c r="C43" s="1068">
        <f t="shared" si="5"/>
        <v>2015</v>
      </c>
      <c r="D43" s="1068">
        <f t="shared" si="5"/>
        <v>2016</v>
      </c>
      <c r="E43" s="1068">
        <f t="shared" si="5"/>
        <v>2017</v>
      </c>
      <c r="F43" s="1068">
        <f t="shared" si="5"/>
        <v>2018</v>
      </c>
      <c r="G43" s="1068">
        <f t="shared" si="5"/>
        <v>2019</v>
      </c>
      <c r="H43" s="1068">
        <f t="shared" si="5"/>
        <v>2020</v>
      </c>
      <c r="I43" s="1068">
        <f t="shared" si="5"/>
        <v>2021</v>
      </c>
      <c r="J43" s="1068">
        <f>K43-1</f>
        <v>2022</v>
      </c>
      <c r="K43" s="1565">
        <f>YEAR(INDEX(Base_Mensuelle!$CF$68:$CW$679,MAX(Base_Mensuelle!$CW$68:$CW$679),1))</f>
        <v>2023</v>
      </c>
    </row>
    <row r="44" spans="1:11" ht="12.75" customHeight="1">
      <c r="A44" s="1398" t="s">
        <v>735</v>
      </c>
      <c r="B44" s="1761">
        <f>VLOOKUP(DATE(C$43-1,1,1),Base_Mensuelle!$CF$67:$CV$679,2,0)</f>
        <v>2.0053223519999999</v>
      </c>
      <c r="C44" s="1761">
        <f>VLOOKUP(DATE(D$43-1,1,1),Base_Mensuelle!$CF$67:$CV$679,2,0)</f>
        <v>1.48481157</v>
      </c>
      <c r="D44" s="1761">
        <f>VLOOKUP(DATE(E$43-1,1,1),Base_Mensuelle!$CF$67:$CV$679,2,0)</f>
        <v>1.5156762500000001</v>
      </c>
      <c r="E44" s="1761">
        <f>VLOOKUP(DATE(F$43-1,1,1),Base_Mensuelle!$CF$67:$CV$679,2,0)</f>
        <v>1.815063646</v>
      </c>
      <c r="F44" s="1761">
        <f>VLOOKUP(DATE(G$43-1,1,1),Base_Mensuelle!$CF$67:$CV$679,2,0)</f>
        <v>2.007526972</v>
      </c>
      <c r="G44" s="1761">
        <f>VLOOKUP(DATE(H$43-1,1,1),Base_Mensuelle!$CF$67:$CV$679,2,0)</f>
        <v>1.8155045700000001</v>
      </c>
      <c r="H44" s="1761">
        <f>VLOOKUP(DATE(I$43-1,1,1),Base_Mensuelle!$CF$67:$CV$679,2,0)</f>
        <v>1.7431930339999999</v>
      </c>
      <c r="I44" s="1761">
        <f>VLOOKUP(DATE(J$43-1,1,1),Base_Mensuelle!$CF$67:$CV$679,2,0)</f>
        <v>1.9230900259999999</v>
      </c>
      <c r="J44" s="1761">
        <f>VLOOKUP(DATE(K$43-1,1,1),Base_Mensuelle!$CF$67:$CV$679,2,0)</f>
        <v>2.9112007100000001</v>
      </c>
      <c r="K44" s="1762">
        <f>IF(VLOOKUP(DATE(YEAR(INDEX(Base_Mensuelle!$CF$68:$CW$679,MAX(Base_Mensuelle!$CW$68:$CW$679),1)),1,1),Base_Mensuelle!$CF$68:$CW$679,2,0)&lt;&gt;"",VLOOKUP(DATE(YEAR(INDEX(Base_Mensuelle!$CF$68:$CW$679,MAX(Base_Mensuelle!$CW$68:$CW$679),1)),1,1),Base_Mensuelle!$CF$68:$CW$679,2,0),"")</f>
        <v>2.211013398</v>
      </c>
    </row>
    <row r="45" spans="1:11" ht="12.75" customHeight="1">
      <c r="A45" s="1399" t="s">
        <v>736</v>
      </c>
      <c r="B45" s="1078">
        <f>VLOOKUP(DATE(C$43-1,2,1),Base_Mensuelle!$CF$67:$CV$679,2,0)</f>
        <v>2.0734451100000002</v>
      </c>
      <c r="C45" s="1078">
        <f>VLOOKUP(DATE(D$43-1,2,1),Base_Mensuelle!$CF$67:$CV$679,2,0)</f>
        <v>1.5397066079999999</v>
      </c>
      <c r="D45" s="1078">
        <f>VLOOKUP(DATE(E$43-1,2,1),Base_Mensuelle!$CF$67:$CV$679,2,0)</f>
        <v>1.4676155340000001</v>
      </c>
      <c r="E45" s="1078">
        <f>VLOOKUP(DATE(F$43-1,2,1),Base_Mensuelle!$CF$67:$CV$679,2,0)</f>
        <v>1.8772339300000001</v>
      </c>
      <c r="F45" s="1078">
        <f>VLOOKUP(DATE(G$43-1,2,1),Base_Mensuelle!$CF$67:$CV$679,2,0)</f>
        <v>1.9460180739999999</v>
      </c>
      <c r="G45" s="1078">
        <f>VLOOKUP(DATE(H$43-1,2,1),Base_Mensuelle!$CF$67:$CV$679,2,0)</f>
        <v>1.78904913</v>
      </c>
      <c r="H45" s="1078">
        <f>VLOOKUP(DATE(I$43-1,2,1),Base_Mensuelle!$CF$67:$CV$679,2,0)</f>
        <v>1.688077534</v>
      </c>
      <c r="I45" s="1078">
        <f>VLOOKUP(DATE(J$43-1,2,1),Base_Mensuelle!$CF$67:$CV$679,2,0)</f>
        <v>2.0450055119999999</v>
      </c>
      <c r="J45" s="1078">
        <f>VLOOKUP(DATE(K$43-1,2,1),Base_Mensuelle!$CF$67:$CV$679,2,0)</f>
        <v>3.0514145419999998</v>
      </c>
      <c r="K45" s="1763">
        <f>IF(VLOOKUP(DATE(YEAR(INDEX(Base_Mensuelle!$CF$68:$CW$679,MAX(Base_Mensuelle!$CW$68:$CW$679),1)),2,1),Base_Mensuelle!$CF$68:$CW$679,2,0)&lt;&gt;"",VLOOKUP(DATE(YEAR(INDEX(Base_Mensuelle!$CF$68:$CW$679,MAX(Base_Mensuelle!$CW$68:$CW$679),1)),2,1),Base_Mensuelle!$CF$68:$CW$679,2,0),"")</f>
        <v>2.1909513559999998</v>
      </c>
    </row>
    <row r="46" spans="1:11" ht="12.75" customHeight="1">
      <c r="A46" s="1400" t="s">
        <v>737</v>
      </c>
      <c r="B46" s="1764">
        <f>VLOOKUP(DATE(C$43-1,3,1),Base_Mensuelle!$CF$67:$CV$679,2,0)</f>
        <v>2.13737909</v>
      </c>
      <c r="C46" s="1764">
        <f>VLOOKUP(DATE(D$43-1,3,1),Base_Mensuelle!$CF$67:$CV$679,2,0)</f>
        <v>1.52890397</v>
      </c>
      <c r="D46" s="1764">
        <f>VLOOKUP(DATE(E$43-1,3,1),Base_Mensuelle!$CF$67:$CV$679,2,0)</f>
        <v>1.443144252</v>
      </c>
      <c r="E46" s="1764">
        <f>VLOOKUP(DATE(F$43-1,3,1),Base_Mensuelle!$CF$67:$CV$679,2,0)</f>
        <v>1.9131692360000001</v>
      </c>
      <c r="F46" s="1764">
        <f>VLOOKUP(DATE(G$43-1,3,1),Base_Mensuelle!$CF$67:$CV$679,2,0)</f>
        <v>2.0313368679999999</v>
      </c>
      <c r="G46" s="1764">
        <f>VLOOKUP(DATE(H$43-1,3,1),Base_Mensuelle!$CF$67:$CV$679,2,0)</f>
        <v>1.8476920219999999</v>
      </c>
      <c r="H46" s="1764">
        <f>VLOOKUP(DATE(I$43-1,3,1),Base_Mensuelle!$CF$67:$CV$679,2,0)</f>
        <v>1.492307278</v>
      </c>
      <c r="I46" s="1764">
        <f>VLOOKUP(DATE(J$43-1,3,1),Base_Mensuelle!$CF$67:$CV$679,2,0)</f>
        <v>2.0161249899999998</v>
      </c>
      <c r="J46" s="1764">
        <f>VLOOKUP(DATE(K$43-1,3,1),Base_Mensuelle!$CF$67:$CV$679,2,0)</f>
        <v>3.1113802060000002</v>
      </c>
      <c r="K46" s="1765">
        <f>IF(VLOOKUP(DATE(YEAR(INDEX(Base_Mensuelle!$CF$68:$CW$679,MAX(Base_Mensuelle!$CW$68:$CW$679),1)),3,1),Base_Mensuelle!$CF$68:$CW$679,2,0)&lt;&gt;"",VLOOKUP(DATE(YEAR(INDEX(Base_Mensuelle!$CF$68:$CW$679,MAX(Base_Mensuelle!$CW$68:$CW$679),1)),3,1),Base_Mensuelle!$CF$68:$CW$679,2,0),"")</f>
        <v>2.1029870179999999</v>
      </c>
    </row>
    <row r="47" spans="1:11" ht="12.75" customHeight="1">
      <c r="A47" s="1399" t="s">
        <v>738</v>
      </c>
      <c r="B47" s="1078">
        <f>VLOOKUP(DATE(C$43-1,4,1),Base_Mensuelle!$CF$67:$CV$679,2,0)</f>
        <v>2.0767520400000001</v>
      </c>
      <c r="C47" s="1078">
        <f>VLOOKUP(DATE(D$43-1,4,1),Base_Mensuelle!$CF$67:$CV$679,2,0)</f>
        <v>1.5807125399999999</v>
      </c>
      <c r="D47" s="1078">
        <f>VLOOKUP(DATE(E$43-1,4,1),Base_Mensuelle!$CF$67:$CV$679,2,0)</f>
        <v>1.5273607360000001</v>
      </c>
      <c r="E47" s="1078">
        <f>VLOOKUP(DATE(F$43-1,4,1),Base_Mensuelle!$CF$67:$CV$679,2,0)</f>
        <v>1.9189012480000001</v>
      </c>
      <c r="F47" s="1078">
        <f>VLOOKUP(DATE(G$43-1,4,1),Base_Mensuelle!$CF$67:$CV$679,2,0)</f>
        <v>2.033541488</v>
      </c>
      <c r="G47" s="1078">
        <f>VLOOKUP(DATE(H$43-1,4,1),Base_Mensuelle!$CF$67:$CV$679,2,0)</f>
        <v>1.92353095</v>
      </c>
      <c r="H47" s="1078">
        <f>VLOOKUP(DATE(I$43-1,4,1),Base_Mensuelle!$CF$67:$CV$679,2,0)</f>
        <v>1.400595086</v>
      </c>
      <c r="I47" s="1078">
        <f>VLOOKUP(DATE(J$43-1,4,1),Base_Mensuelle!$CF$67:$CV$679,2,0)</f>
        <v>2.0002517260000001</v>
      </c>
      <c r="J47" s="1078">
        <f>VLOOKUP(DATE(K$43-1,4,1),Base_Mensuelle!$CF$67:$CV$679,2,0)</f>
        <v>3.4242157839999998</v>
      </c>
      <c r="K47" s="1763">
        <f>IF(VLOOKUP(DATE(YEAR(INDEX(Base_Mensuelle!$CF$68:$CW$679,MAX(Base_Mensuelle!$CW$68:$CW$679),1)),4,1),Base_Mensuelle!$CF$68:$CW$679,2,0)&lt;&gt;"",VLOOKUP(DATE(YEAR(INDEX(Base_Mensuelle!$CF$68:$CW$679,MAX(Base_Mensuelle!$CW$68:$CW$679),1)),4,1),Base_Mensuelle!$CF$68:$CW$679,2,0),"")</f>
        <v>2.0979163920000001</v>
      </c>
    </row>
    <row r="48" spans="1:11" ht="12.75" customHeight="1">
      <c r="A48" s="1400" t="s">
        <v>739</v>
      </c>
      <c r="B48" s="1764">
        <f>VLOOKUP(DATE(C$43-1,5,1),Base_Mensuelle!$CF$67:$CV$679,2,0)</f>
        <v>2.0439032020000001</v>
      </c>
      <c r="C48" s="1764">
        <f>VLOOKUP(DATE(D$43-1,5,1),Base_Mensuelle!$CF$67:$CV$679,2,0)</f>
        <v>1.6062861319999999</v>
      </c>
      <c r="D48" s="1764">
        <f>VLOOKUP(DATE(E$43-1,5,1),Base_Mensuelle!$CF$67:$CV$679,2,0)</f>
        <v>1.549406936</v>
      </c>
      <c r="E48" s="1764">
        <f>VLOOKUP(DATE(F$43-1,5,1),Base_Mensuelle!$CF$67:$CV$679,2,0)</f>
        <v>1.9541751679999999</v>
      </c>
      <c r="F48" s="1764">
        <f>VLOOKUP(DATE(G$43-1,5,1),Base_Mensuelle!$CF$67:$CV$679,2,0)</f>
        <v>2.0829249760000002</v>
      </c>
      <c r="G48" s="1764">
        <f>VLOOKUP(DATE(H$43-1,5,1),Base_Mensuelle!$CF$67:$CV$679,2,0)</f>
        <v>1.7667824679999999</v>
      </c>
      <c r="H48" s="1764">
        <f>VLOOKUP(DATE(I$43-1,5,1),Base_Mensuelle!$CF$67:$CV$679,2,0)</f>
        <v>1.4484353400000001</v>
      </c>
      <c r="I48" s="1764">
        <f>VLOOKUP(DATE(J$43-1,5,1),Base_Mensuelle!$CF$67:$CV$679,2,0)</f>
        <v>2.0037791180000002</v>
      </c>
      <c r="J48" s="1764">
        <f>VLOOKUP(DATE(K$43-1,5,1),Base_Mensuelle!$CF$67:$CV$679,2,0)</f>
        <v>3.6100652499999999</v>
      </c>
      <c r="K48" s="1765">
        <f>IF(VLOOKUP(DATE(YEAR(INDEX(Base_Mensuelle!$CF$68:$CW$679,MAX(Base_Mensuelle!$CW$68:$CW$679),1)),5,1),Base_Mensuelle!$CF$68:$CW$679,2,0)&lt;&gt;"",VLOOKUP(DATE(YEAR(INDEX(Base_Mensuelle!$CF$68:$CW$679,MAX(Base_Mensuelle!$CW$68:$CW$679),1)),5,1),Base_Mensuelle!$CF$68:$CW$679,2,0),"")</f>
        <v>2.0734451100000002</v>
      </c>
    </row>
    <row r="49" spans="1:15" ht="12.75" customHeight="1">
      <c r="A49" s="1399" t="s">
        <v>740</v>
      </c>
      <c r="B49" s="1078">
        <f>VLOOKUP(DATE(C$43-1,6,1),Base_Mensuelle!$CF$67:$CV$679,2,0)</f>
        <v>2.0039995799999999</v>
      </c>
      <c r="C49" s="1078">
        <f>VLOOKUP(DATE(D$43-1,6,1),Base_Mensuelle!$CF$67:$CV$679,2,0)</f>
        <v>1.5950425699999999</v>
      </c>
      <c r="D49" s="1078">
        <f>VLOOKUP(DATE(E$43-1,6,1),Base_Mensuelle!$CF$67:$CV$679,2,0)</f>
        <v>1.6336234199999999</v>
      </c>
      <c r="E49" s="1078">
        <f>VLOOKUP(DATE(F$43-1,6,1),Base_Mensuelle!$CF$67:$CV$679,2,0)</f>
        <v>1.868635912</v>
      </c>
      <c r="F49" s="1078">
        <f>VLOOKUP(DATE(G$43-1,6,1),Base_Mensuelle!$CF$67:$CV$679,2,0)</f>
        <v>2.1541342019999998</v>
      </c>
      <c r="G49" s="1078">
        <f>VLOOKUP(DATE(H$43-1,6,1),Base_Mensuelle!$CF$67:$CV$679,2,0)</f>
        <v>1.71188743</v>
      </c>
      <c r="H49" s="1078">
        <f>VLOOKUP(DATE(I$43-1,6,1),Base_Mensuelle!$CF$67:$CV$679,2,0)</f>
        <v>1.49473236</v>
      </c>
      <c r="I49" s="1078">
        <f>VLOOKUP(DATE(J$43-1,6,1),Base_Mensuelle!$CF$67:$CV$679,2,0)</f>
        <v>2.0833659</v>
      </c>
      <c r="J49" s="1078">
        <f>VLOOKUP(DATE(K$43-1,6,1),Base_Mensuelle!$CF$67:$CV$679,2,0)</f>
        <v>3.3988626540000002</v>
      </c>
      <c r="K49" s="1763">
        <f>IF(VLOOKUP(DATE(YEAR(INDEX(Base_Mensuelle!$CF$68:$CW$679,MAX(Base_Mensuelle!$CW$68:$CW$679),1)),6,1),Base_Mensuelle!$CF$68:$CW$679,2,0)&lt;&gt;"",VLOOKUP(DATE(YEAR(INDEX(Base_Mensuelle!$CF$68:$CW$679,MAX(Base_Mensuelle!$CW$68:$CW$679),1)),6,1),Base_Mensuelle!$CF$68:$CW$679,2,0),"")</f>
        <v>2.0388325759999999</v>
      </c>
    </row>
    <row r="50" spans="1:15" ht="12.75" customHeight="1">
      <c r="A50" s="1400" t="s">
        <v>741</v>
      </c>
      <c r="B50" s="1764">
        <f>VLOOKUP(DATE(C$43-1,7,1),Base_Mensuelle!$CF$67:$CV$679,2,0)</f>
        <v>1.8483534079999999</v>
      </c>
      <c r="C50" s="1764">
        <f>VLOOKUP(DATE(D$43-1,7,1),Base_Mensuelle!$CF$67:$CV$679,2,0)</f>
        <v>1.5950425699999999</v>
      </c>
      <c r="D50" s="1764">
        <f>VLOOKUP(DATE(E$43-1,7,1),Base_Mensuelle!$CF$67:$CV$679,2,0)</f>
        <v>1.787064972</v>
      </c>
      <c r="E50" s="1764">
        <f>VLOOKUP(DATE(F$43-1,7,1),Base_Mensuelle!$CF$67:$CV$679,2,0)</f>
        <v>1.853864958</v>
      </c>
      <c r="F50" s="1764">
        <f>VLOOKUP(DATE(G$43-1,7,1),Base_Mensuelle!$CF$67:$CV$679,2,0)</f>
        <v>2.1204035160000001</v>
      </c>
      <c r="G50" s="1764">
        <f>VLOOKUP(DATE(H$43-1,7,1),Base_Mensuelle!$CF$67:$CV$679,2,0)</f>
        <v>1.6653699479999999</v>
      </c>
      <c r="H50" s="1764">
        <f>VLOOKUP(DATE(I$43-1,7,1),Base_Mensuelle!$CF$67:$CV$679,2,0)</f>
        <v>1.5106056240000001</v>
      </c>
      <c r="I50" s="1764">
        <f>VLOOKUP(DATE(J$43-1,7,1),Base_Mensuelle!$CF$67:$CV$679,2,0)</f>
        <v>2.1539137400000001</v>
      </c>
      <c r="J50" s="1764">
        <f>VLOOKUP(DATE(K$43-1,7,1),Base_Mensuelle!$CF$67:$CV$679,2,0)</f>
        <v>2.8887135860000002</v>
      </c>
      <c r="K50" s="1765">
        <f>IF(VLOOKUP(DATE(YEAR(INDEX(Base_Mensuelle!$CF$68:$CW$679,MAX(Base_Mensuelle!$CW$68:$CW$679),1)),7,1),Base_Mensuelle!$CF$68:$CW$679,2,0)&lt;&gt;"",VLOOKUP(DATE(YEAR(INDEX(Base_Mensuelle!$CF$68:$CW$679,MAX(Base_Mensuelle!$CW$68:$CW$679),1)),7,1),Base_Mensuelle!$CF$68:$CW$679,2,0),"")</f>
        <v>2.0542649160000002</v>
      </c>
    </row>
    <row r="51" spans="1:15" ht="12.75" customHeight="1">
      <c r="A51" s="1399" t="s">
        <v>742</v>
      </c>
      <c r="B51" s="1078">
        <f>VLOOKUP(DATE(C$43-1,8,1),Base_Mensuelle!$CF$67:$CV$679,2,0)</f>
        <v>1.6314188000000001</v>
      </c>
      <c r="C51" s="1078">
        <f>VLOOKUP(DATE(D$43-1,8,1),Base_Mensuelle!$CF$67:$CV$679,2,0)</f>
        <v>1.5833580840000001</v>
      </c>
      <c r="D51" s="1078">
        <f>VLOOKUP(DATE(E$43-1,8,1),Base_Mensuelle!$CF$67:$CV$679,2,0)</f>
        <v>1.7694280120000001</v>
      </c>
      <c r="E51" s="1078">
        <f>VLOOKUP(DATE(F$43-1,8,1),Base_Mensuelle!$CF$67:$CV$679,2,0)</f>
        <v>1.749145508</v>
      </c>
      <c r="F51" s="1078">
        <f>VLOOKUP(DATE(G$43-1,8,1),Base_Mensuelle!$CF$67:$CV$679,2,0)</f>
        <v>2.0844682099999998</v>
      </c>
      <c r="G51" s="1078">
        <f>VLOOKUP(DATE(H$43-1,8,1),Base_Mensuelle!$CF$67:$CV$679,2,0)</f>
        <v>1.5604300360000001</v>
      </c>
      <c r="H51" s="1078">
        <f>VLOOKUP(DATE(I$43-1,8,1),Base_Mensuelle!$CF$67:$CV$679,2,0)</f>
        <v>1.541911228</v>
      </c>
      <c r="I51" s="1078">
        <f>VLOOKUP(DATE(J$43-1,8,1),Base_Mensuelle!$CF$67:$CV$679,2,0)</f>
        <v>2.2332800599999998</v>
      </c>
      <c r="J51" s="1078">
        <f>VLOOKUP(DATE(K$43-1,8,1),Base_Mensuelle!$CF$67:$CV$679,2,0)</f>
        <v>2.742988204</v>
      </c>
      <c r="K51" s="1763">
        <f>IF(VLOOKUP(DATE(YEAR(INDEX(Base_Mensuelle!$CF$68:$CW$679,MAX(Base_Mensuelle!$CW$68:$CW$679),1)),8,1),Base_Mensuelle!$CF$68:$CW$679,2,0)&lt;&gt;"",VLOOKUP(DATE(YEAR(INDEX(Base_Mensuelle!$CF$68:$CW$679,MAX(Base_Mensuelle!$CW$68:$CW$679),1)),8,1),Base_Mensuelle!$CF$68:$CW$679,2,0),"")</f>
        <v>2.1148919660000001</v>
      </c>
    </row>
    <row r="52" spans="1:15" ht="12.75" customHeight="1">
      <c r="A52" s="1400" t="s">
        <v>743</v>
      </c>
      <c r="B52" s="1764">
        <f>VLOOKUP(DATE(C$43-1,9,1),Base_Mensuelle!$CF$67:$CV$679,2,0)</f>
        <v>1.6177501560000001</v>
      </c>
      <c r="C52" s="1764">
        <f>VLOOKUP(DATE(D$43-1,9,1),Base_Mensuelle!$CF$67:$CV$679,2,0)</f>
        <v>1.5154557879999999</v>
      </c>
      <c r="D52" s="1764">
        <f>VLOOKUP(DATE(E$43-1,9,1),Base_Mensuelle!$CF$67:$CV$679,2,0)</f>
        <v>1.7165171319999999</v>
      </c>
      <c r="E52" s="1764">
        <f>VLOOKUP(DATE(F$43-1,9,1),Base_Mensuelle!$CF$67:$CV$679,2,0)</f>
        <v>1.7769237200000001</v>
      </c>
      <c r="F52" s="1764">
        <f>VLOOKUP(DATE(G$43-1,9,1),Base_Mensuelle!$CF$67:$CV$679,2,0)</f>
        <v>1.9920946319999999</v>
      </c>
      <c r="G52" s="1764">
        <f>VLOOKUP(DATE(H$43-1,9,1),Base_Mensuelle!$CF$67:$CV$679,2,0)</f>
        <v>1.5721145219999999</v>
      </c>
      <c r="H52" s="1764">
        <f>VLOOKUP(DATE(I$43-1,9,1),Base_Mensuelle!$CF$67:$CV$679,2,0)</f>
        <v>1.5610914220000001</v>
      </c>
      <c r="I52" s="1764">
        <f>VLOOKUP(DATE(J$43-1,9,1),Base_Mensuelle!$CF$67:$CV$679,2,0)</f>
        <v>2.2857500160000002</v>
      </c>
      <c r="J52" s="1764">
        <f>VLOOKUP(DATE(K$43-1,9,1),Base_Mensuelle!$CF$67:$CV$679,2,0)</f>
        <v>2.5926331199999999</v>
      </c>
      <c r="K52" s="1765">
        <f>IF(VLOOKUP(DATE(YEAR(INDEX(Base_Mensuelle!$CF$68:$CW$679,MAX(Base_Mensuelle!$CW$68:$CW$679),1)),9,1),Base_Mensuelle!$CF$68:$CW$679,2,0)&lt;&gt;"",VLOOKUP(DATE(YEAR(INDEX(Base_Mensuelle!$CF$68:$CW$679,MAX(Base_Mensuelle!$CW$68:$CW$679),1)),9,1),Base_Mensuelle!$CF$68:$CW$679,2,0),"")</f>
        <v>2.1594252900000002</v>
      </c>
    </row>
    <row r="53" spans="1:15" ht="12.75" customHeight="1">
      <c r="A53" s="1399" t="s">
        <v>744</v>
      </c>
      <c r="B53" s="1078">
        <f>VLOOKUP(DATE(C$43-1,10,1),Base_Mensuelle!$CF$67:$CV$679,2,0)</f>
        <v>1.550729708</v>
      </c>
      <c r="C53" s="1078">
        <f>VLOOKUP(DATE(D$43-1,10,1),Base_Mensuelle!$CF$67:$CV$679,2,0)</f>
        <v>1.5218491860000001</v>
      </c>
      <c r="D53" s="1078">
        <f>VLOOKUP(DATE(E$43-1,10,1),Base_Mensuelle!$CF$67:$CV$679,2,0)</f>
        <v>1.731067624</v>
      </c>
      <c r="E53" s="1078">
        <f>VLOOKUP(DATE(F$43-1,10,1),Base_Mensuelle!$CF$67:$CV$679,2,0)</f>
        <v>1.7328313200000001</v>
      </c>
      <c r="F53" s="1078">
        <f>VLOOKUP(DATE(G$43-1,10,1),Base_Mensuelle!$CF$67:$CV$679,2,0)</f>
        <v>1.9136101599999999</v>
      </c>
      <c r="G53" s="1078">
        <f>VLOOKUP(DATE(H$43-1,10,1),Base_Mensuelle!$CF$67:$CV$679,2,0)</f>
        <v>1.6287732559999999</v>
      </c>
      <c r="H53" s="1078">
        <f>VLOOKUP(DATE(I$43-1,10,1),Base_Mensuelle!$CF$67:$CV$679,2,0)</f>
        <v>1.649496684</v>
      </c>
      <c r="I53" s="1078">
        <f>VLOOKUP(DATE(J$43-1,10,1),Base_Mensuelle!$CF$67:$CV$679,2,0)</f>
        <v>2.5877829559999999</v>
      </c>
      <c r="J53" s="1078">
        <f>VLOOKUP(DATE(K$43-1,10,1),Base_Mensuelle!$CF$67:$CV$679,2,0)</f>
        <v>2.1975652160000001</v>
      </c>
      <c r="K53" s="1763">
        <f>IF(VLOOKUP(DATE(YEAR(INDEX(Base_Mensuelle!$CF$68:$CW$679,MAX(Base_Mensuelle!$CW$68:$CW$679),1)),10,1),Base_Mensuelle!$CF$68:$CW$679,2,0)&lt;&gt;"",VLOOKUP(DATE(YEAR(INDEX(Base_Mensuelle!$CF$68:$CW$679,MAX(Base_Mensuelle!$CW$68:$CW$679),1)),10,1),Base_Mensuelle!$CF$68:$CW$679,2,0),"")</f>
        <v>2.1062939479999998</v>
      </c>
    </row>
    <row r="54" spans="1:15" ht="12.75" customHeight="1">
      <c r="A54" s="1400" t="s">
        <v>745</v>
      </c>
      <c r="B54" s="1764">
        <f>VLOOKUP(DATE(C$43-1,11,1),Base_Mensuelle!$CF$67:$CV$679,2,0)</f>
        <v>1.488559424</v>
      </c>
      <c r="C54" s="1764">
        <f>VLOOKUP(DATE(D$43-1,11,1),Base_Mensuelle!$CF$67:$CV$679,2,0)</f>
        <v>1.5260379639999999</v>
      </c>
      <c r="D54" s="1764">
        <f>VLOOKUP(DATE(E$43-1,11,1),Base_Mensuelle!$CF$67:$CV$679,2,0)</f>
        <v>1.739886104</v>
      </c>
      <c r="E54" s="1764">
        <f>VLOOKUP(DATE(F$43-1,11,1),Base_Mensuelle!$CF$67:$CV$679,2,0)</f>
        <v>1.772734942</v>
      </c>
      <c r="F54" s="1764">
        <f>VLOOKUP(DATE(G$43-1,11,1),Base_Mensuelle!$CF$67:$CV$679,2,0)</f>
        <v>1.912948774</v>
      </c>
      <c r="G54" s="1764">
        <f>VLOOKUP(DATE(H$43-1,11,1),Base_Mensuelle!$CF$67:$CV$679,2,0)</f>
        <v>1.650378532</v>
      </c>
      <c r="H54" s="1764">
        <f>VLOOKUP(DATE(I$43-1,11,1),Base_Mensuelle!$CF$67:$CV$679,2,0)</f>
        <v>1.7134306640000001</v>
      </c>
      <c r="I54" s="1764">
        <f>VLOOKUP(DATE(J$43-1,11,1),Base_Mensuelle!$CF$67:$CV$679,2,0)</f>
        <v>2.7897261480000002</v>
      </c>
      <c r="J54" s="1764">
        <f>VLOOKUP(DATE(K$43-1,11,1),Base_Mensuelle!$CF$67:$CV$679,2,0)</f>
        <v>2.2255638900000001</v>
      </c>
      <c r="K54" s="1765">
        <f>IF(VLOOKUP(DATE(YEAR(INDEX(Base_Mensuelle!$CF$68:$CW$679,MAX(Base_Mensuelle!$CW$68:$CW$679),1)),11,1),Base_Mensuelle!$CF$68:$CW$679,2,0)&lt;&gt;"",VLOOKUP(DATE(YEAR(INDEX(Base_Mensuelle!$CF$68:$CW$679,MAX(Base_Mensuelle!$CW$68:$CW$679),1)),11,1),Base_Mensuelle!$CF$68:$CW$679,2,0),"")</f>
        <v>1.994299252</v>
      </c>
    </row>
    <row r="55" spans="1:15" ht="12.75" customHeight="1">
      <c r="A55" s="1401" t="s">
        <v>746</v>
      </c>
      <c r="B55" s="1081">
        <f>VLOOKUP(DATE(C$43-1,12,1),Base_Mensuelle!$CF$67:$CV$679,2,0)</f>
        <v>1.50575546</v>
      </c>
      <c r="C55" s="1081">
        <f>VLOOKUP(DATE(D$43-1,12,1),Base_Mensuelle!$CF$67:$CV$679,2,0)</f>
        <v>1.551832018</v>
      </c>
      <c r="D55" s="1081">
        <f>VLOOKUP(DATE(E$43-1,12,1),Base_Mensuelle!$CF$67:$CV$679,2,0)</f>
        <v>1.7526729000000001</v>
      </c>
      <c r="E55" s="1081">
        <f>VLOOKUP(DATE(F$43-1,12,1),Base_Mensuelle!$CF$67:$CV$679,2,0)</f>
        <v>1.8831864039999999</v>
      </c>
      <c r="F55" s="1081">
        <f>VLOOKUP(DATE(G$43-1,12,1),Base_Mensuelle!$CF$67:$CV$679,2,0)</f>
        <v>1.8959732</v>
      </c>
      <c r="G55" s="1081">
        <f>VLOOKUP(DATE(H$43-1,12,1),Base_Mensuelle!$CF$67:$CV$679,2,0)</f>
        <v>1.6717633460000001</v>
      </c>
      <c r="H55" s="1081">
        <f>VLOOKUP(DATE(I$43-1,12,1),Base_Mensuelle!$CF$67:$CV$679,2,0)</f>
        <v>1.7861831239999999</v>
      </c>
      <c r="I55" s="1081">
        <f>VLOOKUP(DATE(J$43-1,12,1),Base_Mensuelle!$CF$67:$CV$679,2,0)</f>
        <v>2.6464258479999998</v>
      </c>
      <c r="J55" s="1081">
        <f>VLOOKUP(DATE(K$43-1,12,1),Base_Mensuelle!$CF$67:$CV$679,2,0)</f>
        <v>2.2238001939999998</v>
      </c>
      <c r="K55" s="1766">
        <f>IF(VLOOKUP(DATE(YEAR(INDEX(Base_Mensuelle!$CF$68:$CW$679,MAX(Base_Mensuelle!$CW$68:$CW$679),1)),12,1),Base_Mensuelle!$CF$68:$CW$679,2,0)&lt;&gt;"",VLOOKUP(DATE(YEAR(INDEX(Base_Mensuelle!$CF$68:$CW$679,MAX(Base_Mensuelle!$CW$68:$CW$679),1)),12,1),Base_Mensuelle!$CF$68:$CW$679,2,0),"")</f>
        <v>1.9954015620000001</v>
      </c>
    </row>
    <row r="56" spans="1:15" ht="12.75" customHeight="1">
      <c r="A56" s="1073" t="s">
        <v>751</v>
      </c>
    </row>
    <row r="58" spans="1:15" ht="12.75" customHeight="1">
      <c r="A58" s="1682" t="s">
        <v>1021</v>
      </c>
      <c r="B58" s="1683"/>
    </row>
    <row r="59" spans="1:15" ht="12.75" customHeight="1">
      <c r="B59" s="1627">
        <f t="shared" ref="B59:J59" si="6">DATE(C60-1,1,1)</f>
        <v>41640</v>
      </c>
      <c r="C59" s="1627">
        <f t="shared" si="6"/>
        <v>42005</v>
      </c>
      <c r="D59" s="1627">
        <f t="shared" si="6"/>
        <v>42370</v>
      </c>
      <c r="E59" s="1627">
        <f t="shared" si="6"/>
        <v>42736</v>
      </c>
      <c r="F59" s="1627">
        <f t="shared" si="6"/>
        <v>43101</v>
      </c>
      <c r="G59" s="1627">
        <f t="shared" si="6"/>
        <v>43466</v>
      </c>
      <c r="H59" s="1627">
        <f t="shared" si="6"/>
        <v>43831</v>
      </c>
      <c r="I59" s="1627">
        <f t="shared" si="6"/>
        <v>44197</v>
      </c>
      <c r="J59" s="1627">
        <f t="shared" si="6"/>
        <v>44562</v>
      </c>
      <c r="K59" s="1627">
        <f>DATE(YEAR(INDEX(Base_Mensuelle!$B$68:$CC$679,MAX(Base_Mensuelle!$CD$68:$CD$679),1)),1,1)</f>
        <v>44927</v>
      </c>
    </row>
    <row r="60" spans="1:15" ht="12.75" customHeight="1">
      <c r="A60" s="1397"/>
      <c r="B60" s="1068">
        <f t="shared" ref="B60:I60" si="7">C60-1</f>
        <v>2014</v>
      </c>
      <c r="C60" s="1068">
        <f t="shared" si="7"/>
        <v>2015</v>
      </c>
      <c r="D60" s="1068">
        <f t="shared" si="7"/>
        <v>2016</v>
      </c>
      <c r="E60" s="1068">
        <f t="shared" si="7"/>
        <v>2017</v>
      </c>
      <c r="F60" s="1068">
        <f t="shared" si="7"/>
        <v>2018</v>
      </c>
      <c r="G60" s="1068">
        <f t="shared" si="7"/>
        <v>2019</v>
      </c>
      <c r="H60" s="1068">
        <f t="shared" si="7"/>
        <v>2020</v>
      </c>
      <c r="I60" s="1068">
        <f t="shared" si="7"/>
        <v>2021</v>
      </c>
      <c r="J60" s="1068">
        <f>K60-1</f>
        <v>2022</v>
      </c>
      <c r="K60" s="1396">
        <f>YEAR(INDEX(Base_Mensuelle!$B$68:$CC$679,MAX(Base_Mensuelle!$CD$68:$CD$679),1))</f>
        <v>2023</v>
      </c>
    </row>
    <row r="61" spans="1:15" ht="12.75" customHeight="1">
      <c r="A61" s="1398" t="s">
        <v>735</v>
      </c>
      <c r="B61" s="1552">
        <f>VLOOKUP(DATE(C$60-1,1,1),Base_Mensuelle!$CF$67:$CV$679,3,0)</f>
        <v>1244.27</v>
      </c>
      <c r="C61" s="1552">
        <f>VLOOKUP(DATE(D$60-1,1,1),Base_Mensuelle!$CF$67:$CV$679,3,0)</f>
        <v>1250.75</v>
      </c>
      <c r="D61" s="1552">
        <f>VLOOKUP(DATE(E$60-1,1,1),Base_Mensuelle!$CF$67:$CV$679,3,0)</f>
        <v>1097.9100000000001</v>
      </c>
      <c r="E61" s="1552">
        <f>VLOOKUP(DATE(F$60-1,1,1),Base_Mensuelle!$CF$67:$CV$679,3,0)</f>
        <v>1192.0999999999999</v>
      </c>
      <c r="F61" s="1552">
        <f>VLOOKUP(DATE(G$60-1,1,1),Base_Mensuelle!$CF$67:$CV$679,3,0)</f>
        <v>1331.3</v>
      </c>
      <c r="G61" s="1552">
        <f>VLOOKUP(DATE(H$60-1,1,1),Base_Mensuelle!$CF$67:$CV$679,3,0)</f>
        <v>1291.75</v>
      </c>
      <c r="H61" s="1552">
        <f>VLOOKUP(DATE(I$60-1,1,1),Base_Mensuelle!$CF$67:$CV$679,3,0)</f>
        <v>1560.67</v>
      </c>
      <c r="I61" s="1552">
        <f>VLOOKUP(DATE(J$60-1,1,1),Base_Mensuelle!$CF$67:$CV$679,3,0)</f>
        <v>1866.98</v>
      </c>
      <c r="J61" s="1552">
        <f>VLOOKUP(DATE(K$60-1,1,1),Base_Mensuelle!$CF$67:$CV$679,3,0)</f>
        <v>1816.02</v>
      </c>
      <c r="K61" s="1553">
        <f>IF(VLOOKUP(DATE(YEAR(INDEX(Base_Mensuelle!$B$68:$CC$679,MAX(Base_Mensuelle!$CD$68:$CD$679),1)),1,1),Base_Mensuelle!$CF$67:$CV$679,3,0)&lt;&gt;"",VLOOKUP(DATE(YEAR(INDEX(Base_Mensuelle!$B$68:$CC$679,MAX(Base_Mensuelle!$CD$68:$CD$679),1)),1,1),Base_Mensuelle!$CF$67:$CV$679,3,0),"")</f>
        <v>1897.71</v>
      </c>
      <c r="O61" s="1564"/>
    </row>
    <row r="62" spans="1:15" ht="12.75" customHeight="1">
      <c r="A62" s="1399" t="s">
        <v>736</v>
      </c>
      <c r="B62" s="1082">
        <f>VLOOKUP(DATE(C$60-1,2,1),Base_Mensuelle!$CF$67:$CV$679,3,0)</f>
        <v>1299.58</v>
      </c>
      <c r="C62" s="1082">
        <f>VLOOKUP(DATE(D$60-1,2,1),Base_Mensuelle!$CF$67:$CV$679,3,0)</f>
        <v>1227.08</v>
      </c>
      <c r="D62" s="1082">
        <f>VLOOKUP(DATE(E$60-1,2,1),Base_Mensuelle!$CF$67:$CV$679,3,0)</f>
        <v>1199.5</v>
      </c>
      <c r="E62" s="1082">
        <f>VLOOKUP(DATE(F$60-1,2,1),Base_Mensuelle!$CF$67:$CV$679,3,0)</f>
        <v>1234.2</v>
      </c>
      <c r="F62" s="1082">
        <f>VLOOKUP(DATE(G$60-1,2,1),Base_Mensuelle!$CF$67:$CV$679,3,0)</f>
        <v>1330.73</v>
      </c>
      <c r="G62" s="1082">
        <f>VLOOKUP(DATE(H$60-1,2,1),Base_Mensuelle!$CF$67:$CV$679,3,0)</f>
        <v>1320.07</v>
      </c>
      <c r="H62" s="1082">
        <f>VLOOKUP(DATE(I$60-1,2,1),Base_Mensuelle!$CF$67:$CV$679,3,0)</f>
        <v>1597.1</v>
      </c>
      <c r="I62" s="1082">
        <f>VLOOKUP(DATE(J$60-1,2,1),Base_Mensuelle!$CF$67:$CV$679,3,0)</f>
        <v>1808.17</v>
      </c>
      <c r="J62" s="1082">
        <f>VLOOKUP(DATE(K$60-1,2,1),Base_Mensuelle!$CF$67:$CV$679,3,0)</f>
        <v>1856.3</v>
      </c>
      <c r="K62" s="1554">
        <f>IF(VLOOKUP(DATE(YEAR(INDEX(Base_Mensuelle!$B$68:$CC$679,MAX(Base_Mensuelle!$CD$68:$CD$679),1)),2,1),Base_Mensuelle!$CF$67:$CV$679,3,0)&lt;&gt;"",VLOOKUP(DATE(YEAR(INDEX(Base_Mensuelle!$B$68:$CC$679,MAX(Base_Mensuelle!$CD$68:$CD$679),1)),2,1),Base_Mensuelle!$CF$67:$CV$679,3,0),"")</f>
        <v>1854.54</v>
      </c>
      <c r="O62" s="1564"/>
    </row>
    <row r="63" spans="1:15" ht="12.75" customHeight="1">
      <c r="A63" s="1400" t="s">
        <v>737</v>
      </c>
      <c r="B63" s="1551">
        <f>VLOOKUP(DATE(C$60-1,3,1),Base_Mensuelle!$CF$67:$CV$679,3,0)</f>
        <v>1336.08</v>
      </c>
      <c r="C63" s="1551">
        <f>VLOOKUP(DATE(D$60-1,3,1),Base_Mensuelle!$CF$67:$CV$679,3,0)</f>
        <v>1178.6300000000001</v>
      </c>
      <c r="D63" s="1551">
        <f>VLOOKUP(DATE(E$60-1,3,1),Base_Mensuelle!$CF$67:$CV$679,3,0)</f>
        <v>1245.1400000000001</v>
      </c>
      <c r="E63" s="1551">
        <f>VLOOKUP(DATE(F$60-1,3,1),Base_Mensuelle!$CF$67:$CV$679,3,0)</f>
        <v>1231.42</v>
      </c>
      <c r="F63" s="1551">
        <f>VLOOKUP(DATE(G$60-1,3,1),Base_Mensuelle!$CF$67:$CV$679,3,0)</f>
        <v>1324.66</v>
      </c>
      <c r="G63" s="1551">
        <f>VLOOKUP(DATE(H$60-1,3,1),Base_Mensuelle!$CF$67:$CV$679,3,0)</f>
        <v>1300.9000000000001</v>
      </c>
      <c r="H63" s="1551">
        <f>VLOOKUP(DATE(I$60-1,3,1),Base_Mensuelle!$CF$67:$CV$679,3,0)</f>
        <v>1591.93</v>
      </c>
      <c r="I63" s="1551">
        <f>VLOOKUP(DATE(J$60-1,3,1),Base_Mensuelle!$CF$67:$CV$679,3,0)</f>
        <v>1718.23</v>
      </c>
      <c r="J63" s="1551">
        <f>VLOOKUP(DATE(K$60-1,3,1),Base_Mensuelle!$CF$67:$CV$679,3,0)</f>
        <v>1947.83</v>
      </c>
      <c r="K63" s="1555">
        <f>IF(VLOOKUP(DATE(YEAR(INDEX(Base_Mensuelle!$B$68:$CC$679,MAX(Base_Mensuelle!$CD$68:$CD$679),1)),3,1),Base_Mensuelle!$CF$67:$CV$679,3,0)&lt;&gt;"",VLOOKUP(DATE(YEAR(INDEX(Base_Mensuelle!$B$68:$CC$679,MAX(Base_Mensuelle!$CD$68:$CD$679),1)),3,1),Base_Mensuelle!$CF$67:$CV$679,3,0),"")</f>
        <v>1912.73</v>
      </c>
      <c r="O63" s="1564"/>
    </row>
    <row r="64" spans="1:15" ht="12.75" customHeight="1">
      <c r="A64" s="1399" t="s">
        <v>738</v>
      </c>
      <c r="B64" s="1082">
        <f>VLOOKUP(DATE(C$60-1,4,1),Base_Mensuelle!$CF$67:$CV$679,3,0)</f>
        <v>1298.45</v>
      </c>
      <c r="C64" s="1082">
        <f>VLOOKUP(DATE(D$60-1,4,1),Base_Mensuelle!$CF$67:$CV$679,3,0)</f>
        <v>1198.93</v>
      </c>
      <c r="D64" s="1082">
        <f>VLOOKUP(DATE(E$60-1,4,1),Base_Mensuelle!$CF$67:$CV$679,3,0)</f>
        <v>1242.26</v>
      </c>
      <c r="E64" s="1082">
        <f>VLOOKUP(DATE(F$60-1,4,1),Base_Mensuelle!$CF$67:$CV$679,3,0)</f>
        <v>1266.8800000000001</v>
      </c>
      <c r="F64" s="1082">
        <f>VLOOKUP(DATE(G$60-1,4,1),Base_Mensuelle!$CF$67:$CV$679,3,0)</f>
        <v>1334.76</v>
      </c>
      <c r="G64" s="1082">
        <f>VLOOKUP(DATE(H$60-1,4,1),Base_Mensuelle!$CF$67:$CV$679,3,0)</f>
        <v>1285.9100000000001</v>
      </c>
      <c r="H64" s="1082">
        <f>VLOOKUP(DATE(I$60-1,4,1),Base_Mensuelle!$CF$67:$CV$679,3,0)</f>
        <v>1683.17</v>
      </c>
      <c r="I64" s="1082">
        <f>VLOOKUP(DATE(J$60-1,4,1),Base_Mensuelle!$CF$67:$CV$679,3,0)</f>
        <v>1760.04</v>
      </c>
      <c r="J64" s="1082">
        <f>VLOOKUP(DATE(K$60-1,4,1),Base_Mensuelle!$CF$67:$CV$679,3,0)</f>
        <v>1936.86</v>
      </c>
      <c r="K64" s="1554">
        <f>IF(VLOOKUP(DATE(YEAR(INDEX(Base_Mensuelle!$B$68:$CC$679,MAX(Base_Mensuelle!$CD$68:$CD$679),1)),4,1),Base_Mensuelle!$CF$67:$CV$679,3,0)&lt;&gt;"",VLOOKUP(DATE(YEAR(INDEX(Base_Mensuelle!$B$68:$CC$679,MAX(Base_Mensuelle!$CD$68:$CD$679),1)),4,1),Base_Mensuelle!$CF$67:$CV$679,3,0),"")</f>
        <v>1999.77</v>
      </c>
      <c r="O64" s="1564"/>
    </row>
    <row r="65" spans="1:11" ht="12.75" customHeight="1">
      <c r="A65" s="1400" t="s">
        <v>739</v>
      </c>
      <c r="B65" s="1551">
        <f>VLOOKUP(DATE(C$60-1,5,1),Base_Mensuelle!$CF$67:$CV$679,3,0)</f>
        <v>1288.74</v>
      </c>
      <c r="C65" s="1551">
        <f>VLOOKUP(DATE(D$60-1,5,1),Base_Mensuelle!$CF$67:$CV$679,3,0)</f>
        <v>1198.6300000000001</v>
      </c>
      <c r="D65" s="1551">
        <f>VLOOKUP(DATE(E$60-1,5,1),Base_Mensuelle!$CF$67:$CV$679,3,0)</f>
        <v>1260.95</v>
      </c>
      <c r="E65" s="1551">
        <f>VLOOKUP(DATE(F$60-1,5,1),Base_Mensuelle!$CF$67:$CV$679,3,0)</f>
        <v>1246.04</v>
      </c>
      <c r="F65" s="1551">
        <f>VLOOKUP(DATE(G$60-1,5,1),Base_Mensuelle!$CF$67:$CV$679,3,0)</f>
        <v>1303.45</v>
      </c>
      <c r="G65" s="1551">
        <f>VLOOKUP(DATE(H$60-1,5,1),Base_Mensuelle!$CF$67:$CV$679,3,0)</f>
        <v>1283.7</v>
      </c>
      <c r="H65" s="1551">
        <f>VLOOKUP(DATE(I$60-1,5,1),Base_Mensuelle!$CF$67:$CV$679,3,0)</f>
        <v>1715.91</v>
      </c>
      <c r="I65" s="1551">
        <f>VLOOKUP(DATE(J$60-1,5,1),Base_Mensuelle!$CF$67:$CV$679,3,0)</f>
        <v>1850.26</v>
      </c>
      <c r="J65" s="1551">
        <f>VLOOKUP(DATE(K$60-1,5,1),Base_Mensuelle!$CF$67:$CV$679,3,0)</f>
        <v>1848.5</v>
      </c>
      <c r="K65" s="1555">
        <f>IF(VLOOKUP(DATE(YEAR(INDEX(Base_Mensuelle!$B$68:$CC$679,MAX(Base_Mensuelle!$CD$68:$CD$679),1)),5,1),Base_Mensuelle!$CF$67:$CV$679,3,0)&lt;&gt;"",VLOOKUP(DATE(YEAR(INDEX(Base_Mensuelle!$B$68:$CC$679,MAX(Base_Mensuelle!$CD$68:$CD$679),1)),5,1),Base_Mensuelle!$CF$67:$CV$679,3,0),"")</f>
        <v>1992.13</v>
      </c>
    </row>
    <row r="66" spans="1:11" ht="12.75" customHeight="1">
      <c r="A66" s="1399" t="s">
        <v>740</v>
      </c>
      <c r="B66" s="1082">
        <f>VLOOKUP(DATE(C$60-1,6,1),Base_Mensuelle!$CF$67:$CV$679,3,0)</f>
        <v>1279.0999999999999</v>
      </c>
      <c r="C66" s="1082">
        <f>VLOOKUP(DATE(D$60-1,6,1),Base_Mensuelle!$CF$67:$CV$679,3,0)</f>
        <v>1181.5</v>
      </c>
      <c r="D66" s="1082">
        <f>VLOOKUP(DATE(E$60-1,6,1),Base_Mensuelle!$CF$67:$CV$679,3,0)</f>
        <v>1276.4000000000001</v>
      </c>
      <c r="E66" s="1082">
        <f>VLOOKUP(DATE(F$60-1,6,1),Base_Mensuelle!$CF$67:$CV$679,3,0)</f>
        <v>1260.26</v>
      </c>
      <c r="F66" s="1082">
        <f>VLOOKUP(DATE(G$60-1,6,1),Base_Mensuelle!$CF$67:$CV$679,3,0)</f>
        <v>1281.57</v>
      </c>
      <c r="G66" s="1082">
        <f>VLOOKUP(DATE(H$60-1,6,1),Base_Mensuelle!$CF$67:$CV$679,3,0)</f>
        <v>1359.04</v>
      </c>
      <c r="H66" s="1082">
        <f>VLOOKUP(DATE(I$60-1,6,1),Base_Mensuelle!$CF$67:$CV$679,3,0)</f>
        <v>1732.22</v>
      </c>
      <c r="I66" s="1082">
        <f>VLOOKUP(DATE(J$60-1,6,1),Base_Mensuelle!$CF$67:$CV$679,3,0)</f>
        <v>1834.57</v>
      </c>
      <c r="J66" s="1082">
        <f>VLOOKUP(DATE(K$60-1,6,1),Base_Mensuelle!$CF$67:$CV$679,3,0)</f>
        <v>1836.57</v>
      </c>
      <c r="K66" s="1554">
        <f>IF(VLOOKUP(DATE(YEAR(INDEX(Base_Mensuelle!$B$68:$CC$679,MAX(Base_Mensuelle!$CD$68:$CD$679),1)),6,1),Base_Mensuelle!$CF$67:$CV$679,3,0)&lt;&gt;"",VLOOKUP(DATE(YEAR(INDEX(Base_Mensuelle!$B$68:$CC$679,MAX(Base_Mensuelle!$CD$68:$CD$679),1)),6,1),Base_Mensuelle!$CF$67:$CV$679,3,0),"")</f>
        <v>1942.9</v>
      </c>
    </row>
    <row r="67" spans="1:11" ht="12.75" customHeight="1">
      <c r="A67" s="1400" t="s">
        <v>741</v>
      </c>
      <c r="B67" s="1551">
        <f>VLOOKUP(DATE(C$60-1,7,1),Base_Mensuelle!$CF$67:$CV$679,3,0)</f>
        <v>1310.5899999999999</v>
      </c>
      <c r="C67" s="1551">
        <f>VLOOKUP(DATE(D$60-1,7,1),Base_Mensuelle!$CF$67:$CV$679,3,0)</f>
        <v>1128.31</v>
      </c>
      <c r="D67" s="1551">
        <f>VLOOKUP(DATE(E$60-1,7,1),Base_Mensuelle!$CF$67:$CV$679,3,0)</f>
        <v>1336.66</v>
      </c>
      <c r="E67" s="1551">
        <f>VLOOKUP(DATE(F$60-1,7,1),Base_Mensuelle!$CF$67:$CV$679,3,0)</f>
        <v>1236.8399999999999</v>
      </c>
      <c r="F67" s="1551">
        <f>VLOOKUP(DATE(G$60-1,7,1),Base_Mensuelle!$CF$67:$CV$679,3,0)</f>
        <v>1237.71</v>
      </c>
      <c r="G67" s="1551">
        <f>VLOOKUP(DATE(H$60-1,7,1),Base_Mensuelle!$CF$67:$CV$679,3,0)</f>
        <v>1412.89</v>
      </c>
      <c r="H67" s="1551">
        <f>VLOOKUP(DATE(I$60-1,7,1),Base_Mensuelle!$CF$67:$CV$679,3,0)</f>
        <v>1846.51</v>
      </c>
      <c r="I67" s="1551">
        <f>VLOOKUP(DATE(J$60-1,7,1),Base_Mensuelle!$CF$67:$CV$679,3,0)</f>
        <v>1807.84</v>
      </c>
      <c r="J67" s="1551">
        <f>VLOOKUP(DATE(K$60-1,7,1),Base_Mensuelle!$CF$67:$CV$679,3,0)</f>
        <v>1732.74</v>
      </c>
      <c r="K67" s="1555">
        <f>IF(VLOOKUP(DATE(YEAR(INDEX(Base_Mensuelle!$B$68:$CC$679,MAX(Base_Mensuelle!$CD$68:$CD$679),1)),7,1),Base_Mensuelle!$CF$67:$CV$679,3,0)&lt;&gt;"",VLOOKUP(DATE(YEAR(INDEX(Base_Mensuelle!$B$68:$CC$679,MAX(Base_Mensuelle!$CD$68:$CD$679),1)),7,1),Base_Mensuelle!$CF$67:$CV$679,3,0),"")</f>
        <v>1951.02</v>
      </c>
    </row>
    <row r="68" spans="1:11" ht="12.75" customHeight="1">
      <c r="A68" s="1399" t="s">
        <v>742</v>
      </c>
      <c r="B68" s="1082">
        <f>VLOOKUP(DATE(C$60-1,8,1),Base_Mensuelle!$CF$67:$CV$679,3,0)</f>
        <v>1295.1300000000001</v>
      </c>
      <c r="C68" s="1082">
        <f>VLOOKUP(DATE(D$60-1,8,1),Base_Mensuelle!$CF$67:$CV$679,3,0)</f>
        <v>1117.93</v>
      </c>
      <c r="D68" s="1082">
        <f>VLOOKUP(DATE(E$60-1,8,1),Base_Mensuelle!$CF$67:$CV$679,3,0)</f>
        <v>1340.17</v>
      </c>
      <c r="E68" s="1082">
        <f>VLOOKUP(DATE(F$60-1,8,1),Base_Mensuelle!$CF$67:$CV$679,3,0)</f>
        <v>1283.04</v>
      </c>
      <c r="F68" s="1082">
        <f>VLOOKUP(DATE(G$60-1,8,1),Base_Mensuelle!$CF$67:$CV$679,3,0)</f>
        <v>1201.71</v>
      </c>
      <c r="G68" s="1082">
        <f>VLOOKUP(DATE(H$60-1,8,1),Base_Mensuelle!$CF$67:$CV$679,3,0)</f>
        <v>1500.41</v>
      </c>
      <c r="H68" s="1082">
        <f>VLOOKUP(DATE(I$60-1,8,1),Base_Mensuelle!$CF$67:$CV$679,3,0)</f>
        <v>1968.63</v>
      </c>
      <c r="I68" s="1082">
        <f>VLOOKUP(DATE(J$60-1,8,1),Base_Mensuelle!$CF$67:$CV$679,3,0)</f>
        <v>1785.28</v>
      </c>
      <c r="J68" s="1082">
        <f>VLOOKUP(DATE(K$60-1,8,1),Base_Mensuelle!$CF$67:$CV$679,3,0)</f>
        <v>1764.56</v>
      </c>
      <c r="K68" s="1554">
        <f>IF(VLOOKUP(DATE(YEAR(INDEX(Base_Mensuelle!$B$68:$CC$679,MAX(Base_Mensuelle!$CD$68:$CD$679),1)),8,1),Base_Mensuelle!$CF$67:$CV$679,3,0)&lt;&gt;"",VLOOKUP(DATE(YEAR(INDEX(Base_Mensuelle!$B$68:$CC$679,MAX(Base_Mensuelle!$CD$68:$CD$679),1)),8,1),Base_Mensuelle!$CF$67:$CV$679,3,0),"")</f>
        <v>1918.7</v>
      </c>
    </row>
    <row r="69" spans="1:11" ht="12.75" customHeight="1">
      <c r="A69" s="1400" t="s">
        <v>743</v>
      </c>
      <c r="B69" s="1551">
        <f>VLOOKUP(DATE(C$60-1,9,1),Base_Mensuelle!$CF$67:$CV$679,3,0)</f>
        <v>1236.55</v>
      </c>
      <c r="C69" s="1551">
        <f>VLOOKUP(DATE(D$60-1,9,1),Base_Mensuelle!$CF$67:$CV$679,3,0)</f>
        <v>1124.77</v>
      </c>
      <c r="D69" s="1551">
        <f>VLOOKUP(DATE(E$60-1,9,1),Base_Mensuelle!$CF$67:$CV$679,3,0)</f>
        <v>1326.61</v>
      </c>
      <c r="E69" s="1551">
        <f>VLOOKUP(DATE(F$60-1,9,1),Base_Mensuelle!$CF$67:$CV$679,3,0)</f>
        <v>1314.07</v>
      </c>
      <c r="F69" s="1551">
        <f>VLOOKUP(DATE(G$60-1,9,1),Base_Mensuelle!$CF$67:$CV$679,3,0)</f>
        <v>1198.3900000000001</v>
      </c>
      <c r="G69" s="1551">
        <f>VLOOKUP(DATE(H$60-1,9,1),Base_Mensuelle!$CF$67:$CV$679,3,0)</f>
        <v>1510.58</v>
      </c>
      <c r="H69" s="1551">
        <f>VLOOKUP(DATE(I$60-1,9,1),Base_Mensuelle!$CF$67:$CV$679,3,0)</f>
        <v>1921.92</v>
      </c>
      <c r="I69" s="1551">
        <f>VLOOKUP(DATE(J$60-1,9,1),Base_Mensuelle!$CF$67:$CV$679,3,0)</f>
        <v>1775.14</v>
      </c>
      <c r="J69" s="1551">
        <f>VLOOKUP(DATE(K$60-1,9,1),Base_Mensuelle!$CF$67:$CV$679,3,0)</f>
        <v>1680.78</v>
      </c>
      <c r="K69" s="1555">
        <f>IF(VLOOKUP(DATE(YEAR(INDEX(Base_Mensuelle!$B$68:$CC$679,MAX(Base_Mensuelle!$CD$68:$CD$679),1)),9,1),Base_Mensuelle!$CF$67:$CV$679,3,0)&lt;&gt;"",VLOOKUP(DATE(YEAR(INDEX(Base_Mensuelle!$B$68:$CC$679,MAX(Base_Mensuelle!$CD$68:$CD$679),1)),9,1),Base_Mensuelle!$CF$67:$CV$679,3,0),"")</f>
        <v>1915.95</v>
      </c>
    </row>
    <row r="70" spans="1:11" ht="12.75" customHeight="1">
      <c r="A70" s="1399" t="s">
        <v>744</v>
      </c>
      <c r="B70" s="1082">
        <f>VLOOKUP(DATE(C$60-1,10,1),Base_Mensuelle!$CF$67:$CV$679,3,0)</f>
        <v>1222.49</v>
      </c>
      <c r="C70" s="1082">
        <f>VLOOKUP(DATE(D$60-1,10,1),Base_Mensuelle!$CF$67:$CV$679,3,0)</f>
        <v>1159.25</v>
      </c>
      <c r="D70" s="1082">
        <f>VLOOKUP(DATE(E$60-1,10,1),Base_Mensuelle!$CF$67:$CV$679,3,0)</f>
        <v>1266.55</v>
      </c>
      <c r="E70" s="1082">
        <f>VLOOKUP(DATE(F$60-1,10,1),Base_Mensuelle!$CF$67:$CV$679,3,0)</f>
        <v>1279.51</v>
      </c>
      <c r="F70" s="1082">
        <f>VLOOKUP(DATE(G$60-1,10,1),Base_Mensuelle!$CF$67:$CV$679,3,0)</f>
        <v>1215.3900000000001</v>
      </c>
      <c r="G70" s="1082">
        <f>VLOOKUP(DATE(H$60-1,10,1),Base_Mensuelle!$CF$67:$CV$679,3,0)</f>
        <v>1494.81</v>
      </c>
      <c r="H70" s="1082">
        <f>VLOOKUP(DATE(I$60-1,10,1),Base_Mensuelle!$CF$67:$CV$679,3,0)</f>
        <v>1900.27</v>
      </c>
      <c r="I70" s="1082">
        <f>VLOOKUP(DATE(J$60-1,10,1),Base_Mensuelle!$CF$67:$CV$679,3,0)</f>
        <v>1776.85</v>
      </c>
      <c r="J70" s="1082">
        <f>VLOOKUP(DATE(K$60-1,10,1),Base_Mensuelle!$CF$67:$CV$679,3,0)</f>
        <v>1664.45</v>
      </c>
      <c r="K70" s="1554">
        <f>IF(VLOOKUP(DATE(YEAR(INDEX(Base_Mensuelle!$B$68:$CC$679,MAX(Base_Mensuelle!$CD$68:$CD$679),1)),10,1),Base_Mensuelle!$CF$67:$CV$679,3,0)&lt;&gt;"",VLOOKUP(DATE(YEAR(INDEX(Base_Mensuelle!$B$68:$CC$679,MAX(Base_Mensuelle!$CD$68:$CD$679),1)),10,1),Base_Mensuelle!$CF$67:$CV$679,3,0),"")</f>
        <v>1916.25</v>
      </c>
    </row>
    <row r="71" spans="1:11" ht="12.75" customHeight="1">
      <c r="A71" s="1400" t="s">
        <v>745</v>
      </c>
      <c r="B71" s="1551">
        <f>VLOOKUP(DATE(C$60-1,11,1),Base_Mensuelle!$CF$67:$CV$679,3,0)</f>
        <v>1175.33</v>
      </c>
      <c r="C71" s="1551">
        <f>VLOOKUP(DATE(D$60-1,11,1),Base_Mensuelle!$CF$67:$CV$679,3,0)</f>
        <v>1086.44</v>
      </c>
      <c r="D71" s="1551">
        <f>VLOOKUP(DATE(E$60-1,11,1),Base_Mensuelle!$CF$67:$CV$679,3,0)</f>
        <v>1238.3499999999999</v>
      </c>
      <c r="E71" s="1551">
        <f>VLOOKUP(DATE(F$60-1,11,1),Base_Mensuelle!$CF$67:$CV$679,3,0)</f>
        <v>1281.9000000000001</v>
      </c>
      <c r="F71" s="1551">
        <f>VLOOKUP(DATE(G$60-1,11,1),Base_Mensuelle!$CF$67:$CV$679,3,0)</f>
        <v>1220.6500000000001</v>
      </c>
      <c r="G71" s="1551">
        <f>VLOOKUP(DATE(H$60-1,11,1),Base_Mensuelle!$CF$67:$CV$679,3,0)</f>
        <v>1470.79</v>
      </c>
      <c r="H71" s="1551">
        <f>VLOOKUP(DATE(I$60-1,11,1),Base_Mensuelle!$CF$67:$CV$679,3,0)</f>
        <v>1866.3</v>
      </c>
      <c r="I71" s="1551">
        <f>VLOOKUP(DATE(J$60-1,11,1),Base_Mensuelle!$CF$67:$CV$679,3,0)</f>
        <v>1821.76</v>
      </c>
      <c r="J71" s="1551">
        <f>VLOOKUP(DATE(K$60-1,11,1),Base_Mensuelle!$CF$67:$CV$679,3,0)</f>
        <v>1725.07</v>
      </c>
      <c r="K71" s="1555">
        <f>IF(VLOOKUP(DATE(YEAR(INDEX(Base_Mensuelle!$B$68:$CC$679,MAX(Base_Mensuelle!$CD$68:$CD$679),1)),11,1),Base_Mensuelle!$CF$67:$CV$679,3,0)&lt;&gt;"",VLOOKUP(DATE(YEAR(INDEX(Base_Mensuelle!$B$68:$CC$679,MAX(Base_Mensuelle!$CD$68:$CD$679),1)),11,1),Base_Mensuelle!$CF$67:$CV$679,3,0),"")</f>
        <v>1984.11</v>
      </c>
    </row>
    <row r="72" spans="1:11" ht="12.75" customHeight="1">
      <c r="A72" s="1401" t="s">
        <v>746</v>
      </c>
      <c r="B72" s="1556">
        <f>VLOOKUP(DATE(C$60-1,12,1),Base_Mensuelle!$CF$67:$CV$679,3,0)</f>
        <v>1200.6199999999999</v>
      </c>
      <c r="C72" s="1556">
        <f>VLOOKUP(DATE(D$60-1,12,1),Base_Mensuelle!$CF$67:$CV$679,3,0)</f>
        <v>1075.74</v>
      </c>
      <c r="D72" s="1556">
        <f>VLOOKUP(DATE(E$60-1,12,1),Base_Mensuelle!$CF$67:$CV$679,3,0)</f>
        <v>1157.3599999999999</v>
      </c>
      <c r="E72" s="1556">
        <f>VLOOKUP(DATE(F$60-1,12,1),Base_Mensuelle!$CF$67:$CV$679,3,0)</f>
        <v>1264.45</v>
      </c>
      <c r="F72" s="1556">
        <f>VLOOKUP(DATE(G$60-1,12,1),Base_Mensuelle!$CF$67:$CV$679,3,0)</f>
        <v>1250.4000000000001</v>
      </c>
      <c r="G72" s="1556">
        <f>VLOOKUP(DATE(H$60-1,12,1),Base_Mensuelle!$CF$67:$CV$679,3,0)</f>
        <v>1479.13</v>
      </c>
      <c r="H72" s="1556">
        <f>VLOOKUP(DATE(I$60-1,12,1),Base_Mensuelle!$CF$67:$CV$679,3,0)</f>
        <v>1858.42</v>
      </c>
      <c r="I72" s="1556">
        <f>VLOOKUP(DATE(J$60-1,12,1),Base_Mensuelle!$CF$67:$CV$679,3,0)</f>
        <v>1790.43</v>
      </c>
      <c r="J72" s="1556">
        <f>VLOOKUP(DATE(K$60-1,12,1),Base_Mensuelle!$CF$67:$CV$679,3,0)</f>
        <v>1797.55</v>
      </c>
      <c r="K72" s="1557">
        <f>IF(VLOOKUP(DATE(YEAR(INDEX(Base_Mensuelle!$B$68:$CC$679,MAX(Base_Mensuelle!$CD$68:$CD$679),1)),12,1),Base_Mensuelle!$CF$67:$CV$679,3,0)&lt;&gt;"",VLOOKUP(DATE(YEAR(INDEX(Base_Mensuelle!$B$68:$CC$679,MAX(Base_Mensuelle!$CD$68:$CD$679),1)),12,1),Base_Mensuelle!$CF$67:$CV$679,3,0),"")</f>
        <v>2026.18</v>
      </c>
    </row>
    <row r="73" spans="1:11" ht="12.75" customHeight="1">
      <c r="A73" s="1073" t="s">
        <v>751</v>
      </c>
    </row>
    <row r="75" spans="1:11" ht="12.75" customHeight="1">
      <c r="A75" s="1" t="s">
        <v>752</v>
      </c>
    </row>
    <row r="76" spans="1:11" ht="12.75" customHeight="1">
      <c r="B76" s="1630">
        <f t="shared" ref="B76:J76" si="8">YEAR(DATE(LEFT(B$77,4),1,1))</f>
        <v>2014</v>
      </c>
      <c r="C76" s="1630">
        <f t="shared" si="8"/>
        <v>2015</v>
      </c>
      <c r="D76" s="1630">
        <f t="shared" si="8"/>
        <v>2016</v>
      </c>
      <c r="E76" s="1630">
        <f t="shared" si="8"/>
        <v>2017</v>
      </c>
      <c r="F76" s="1630">
        <f t="shared" si="8"/>
        <v>2018</v>
      </c>
      <c r="G76" s="1630">
        <f t="shared" si="8"/>
        <v>2019</v>
      </c>
      <c r="H76" s="1630">
        <f t="shared" si="8"/>
        <v>2020</v>
      </c>
      <c r="I76" s="1630">
        <f t="shared" si="8"/>
        <v>2021</v>
      </c>
      <c r="J76" s="1630">
        <f t="shared" si="8"/>
        <v>2022</v>
      </c>
      <c r="K76" s="1630">
        <f>YEAR(DATE(LEFT(K$77,4),1,1))</f>
        <v>2023</v>
      </c>
    </row>
    <row r="77" spans="1:11" ht="12.75" customHeight="1">
      <c r="A77" s="1397"/>
      <c r="B77" s="1068" t="str">
        <f>CONCATENATE(INDEX(Base_Annuelle!$A$35:$AZ$185,MAX(Base_Annuelle!$AZ$35:$AZ$185),1)-9,"/",INDEX(Base_Annuelle!$A$35:$AZ$185,MAX(Base_Annuelle!$AZ$35:$AZ$185)-8,1))</f>
        <v>2014/2015</v>
      </c>
      <c r="C77" s="1068" t="str">
        <f>CONCATENATE(INDEX(Base_Annuelle!$A$35:$AZ$185,MAX(Base_Annuelle!$AZ$35:$AZ$185),1)-8,"/",INDEX(Base_Annuelle!$A$35:$AZ$185,MAX(Base_Annuelle!$AZ$35:$AZ$185)-7,1))</f>
        <v>2015/2016</v>
      </c>
      <c r="D77" s="1068" t="str">
        <f>CONCATENATE(INDEX(Base_Annuelle!$A$35:$AZ$185,MAX(Base_Annuelle!$AZ$35:$AZ$185),1)-7,"/",INDEX(Base_Annuelle!$A$35:$AZ$185,MAX(Base_Annuelle!$AZ$35:$AZ$185)-6,1))</f>
        <v>2016/2017</v>
      </c>
      <c r="E77" s="1068" t="str">
        <f>CONCATENATE(INDEX(Base_Annuelle!$A$35:$AZ$185,MAX(Base_Annuelle!$AZ$35:$AZ$185),1)-6,"/",INDEX(Base_Annuelle!$A$35:$AZ$185,MAX(Base_Annuelle!$AZ$35:$AZ$185)-5,1))</f>
        <v>2017/2018</v>
      </c>
      <c r="F77" s="1068" t="str">
        <f>CONCATENATE(INDEX(Base_Annuelle!$A$35:$AZ$185,MAX(Base_Annuelle!$AZ$35:$AZ$185),1)-5,"/",INDEX(Base_Annuelle!$A$35:$AZ$185,MAX(Base_Annuelle!$AZ$35:$AZ$185)-4,1))</f>
        <v>2018/2019</v>
      </c>
      <c r="G77" s="1068" t="str">
        <f>CONCATENATE(INDEX(Base_Annuelle!$A$35:$AZ$185,MAX(Base_Annuelle!$AZ$35:$AZ$185),1)-4,"/",INDEX(Base_Annuelle!$A$35:$AZ$185,MAX(Base_Annuelle!$AZ$35:$AZ$185)-3,1))</f>
        <v>2019/2020</v>
      </c>
      <c r="H77" s="1068" t="str">
        <f>CONCATENATE(INDEX(Base_Annuelle!$A$35:$AZ$185,MAX(Base_Annuelle!$AZ$35:$AZ$185),1)-3,"/",INDEX(Base_Annuelle!$A$35:$AZ$185,MAX(Base_Annuelle!$AZ$35:$AZ$185)-2,1))</f>
        <v>2020/2021</v>
      </c>
      <c r="I77" s="1068" t="str">
        <f>CONCATENATE(INDEX(Base_Annuelle!$A$35:$AZ$185,MAX(Base_Annuelle!$AZ$35:$AZ$185),1)-2,"/",INDEX(Base_Annuelle!$A$35:$AZ$185,MAX(Base_Annuelle!$AZ$35:$AZ$185)-1,1))</f>
        <v>2021/2022</v>
      </c>
      <c r="J77" s="1068" t="str">
        <f>CONCATENATE(INDEX(Base_Annuelle!$A$35:$AZ$185,MAX(Base_Annuelle!$AZ$35:$AZ$185),1)-1,"/",INDEX(Base_Annuelle!$A$35:$AZ$185,MAX(Base_Annuelle!$AZ$35:$AZ$185),1))</f>
        <v>2022/2023</v>
      </c>
      <c r="K77" s="1565" t="str">
        <f>CONCATENATE(INDEX(Base_Annuelle!$A$35:$AZ$185,MAX(Base_Annuelle!$AZ$35:$AZ$185),1),"/",INDEX(Base_Annuelle!$A$35:$AZ$185,MAX(Base_Annuelle!$AZ$35:$AZ$185),1)+1)</f>
        <v>2023/2024</v>
      </c>
    </row>
    <row r="78" spans="1:11" ht="12.75" customHeight="1">
      <c r="A78" s="1398" t="s">
        <v>124</v>
      </c>
      <c r="B78" s="1552">
        <f>VLOOKUP(B$76,Base_Annuelle!$A$35:$AY$185,2,0)</f>
        <v>972538.51489137858</v>
      </c>
      <c r="C78" s="1552">
        <f>VLOOKUP(C$76,Base_Annuelle!$A$35:$AY$185,2,0)</f>
        <v>946184.13903598441</v>
      </c>
      <c r="D78" s="1552">
        <f>VLOOKUP(D$76,Base_Annuelle!$A$35:$AY$185,2,0)</f>
        <v>905071.1884869365</v>
      </c>
      <c r="E78" s="1552">
        <f>VLOOKUP(E$76,Base_Annuelle!$A$35:$AY$185,2,0)</f>
        <v>828234.30594400514</v>
      </c>
      <c r="F78" s="1552">
        <f>VLOOKUP(F$76,Base_Annuelle!$A$35:$AY$185,2,0)</f>
        <v>1189078.5635154962</v>
      </c>
      <c r="G78" s="1552">
        <f>VLOOKUP(G$76,Base_Annuelle!$A$35:$AY$185,2,0)</f>
        <v>970175.88475286064</v>
      </c>
      <c r="H78" s="1552">
        <f>VLOOKUP(H$76,Base_Annuelle!$A$35:$AY$185,2,0)</f>
        <v>957252.67585186812</v>
      </c>
      <c r="I78" s="1552">
        <f>VLOOKUP(I$76,Base_Annuelle!$A$35:$AY$185,2,0)</f>
        <v>717777</v>
      </c>
      <c r="J78" s="1552">
        <f>VLOOKUP(J$76,Base_Annuelle!$A$35:$AY$185,2,0)</f>
        <v>907744.76964221837</v>
      </c>
      <c r="K78" s="1552">
        <f>VLOOKUP(K$76,Base_Annuelle!$A$35:$AY$185,2,0)</f>
        <v>871314.30805841333</v>
      </c>
    </row>
    <row r="79" spans="1:11" ht="12.75" customHeight="1">
      <c r="A79" s="1399" t="s">
        <v>91</v>
      </c>
      <c r="B79" s="1082">
        <f>VLOOKUP(B$76,Base_Annuelle!$A$35:$AY$185,3,0)</f>
        <v>1433085.4452344179</v>
      </c>
      <c r="C79" s="1082">
        <f>VLOOKUP(C$76,Base_Annuelle!$A$35:$AY$185,3,0)</f>
        <v>1469611.7498937806</v>
      </c>
      <c r="D79" s="1082">
        <f>VLOOKUP(D$76,Base_Annuelle!$A$35:$AY$185,3,0)</f>
        <v>1602524.5979340866</v>
      </c>
      <c r="E79" s="1082">
        <f>VLOOKUP(E$76,Base_Annuelle!$A$35:$AY$185,3,0)</f>
        <v>1533430.7674806667</v>
      </c>
      <c r="F79" s="1082">
        <f>VLOOKUP(F$76,Base_Annuelle!$A$35:$AY$185,3,0)</f>
        <v>1700127.0413762112</v>
      </c>
      <c r="G79" s="1082">
        <f>VLOOKUP(G$76,Base_Annuelle!$A$35:$AY$185,3,0)</f>
        <v>1710897.56078783</v>
      </c>
      <c r="H79" s="1082">
        <f>VLOOKUP(H$76,Base_Annuelle!$A$35:$AY$185,3,0)</f>
        <v>1920101.1649852863</v>
      </c>
      <c r="I79" s="1082">
        <f>VLOOKUP(I$76,Base_Annuelle!$A$35:$AY$185,3,0)</f>
        <v>1912703</v>
      </c>
      <c r="J79" s="1082">
        <f>VLOOKUP(J$76,Base_Annuelle!$A$35:$AY$185,3,0)</f>
        <v>1810276.2817576844</v>
      </c>
      <c r="K79" s="1082">
        <f>VLOOKUP(K$76,Base_Annuelle!$A$35:$AY$185,3,0)</f>
        <v>2053927.2357634851</v>
      </c>
    </row>
    <row r="80" spans="1:11" ht="12.75" customHeight="1">
      <c r="A80" s="1400" t="s">
        <v>90</v>
      </c>
      <c r="B80" s="1551">
        <f>VLOOKUP(B$76,Base_Annuelle!$A$35:$AY$185,4,0)</f>
        <v>347501.33274856466</v>
      </c>
      <c r="C80" s="1551">
        <f>VLOOKUP(C$76,Base_Annuelle!$A$35:$AY$185,4,0)</f>
        <v>325138.43577441742</v>
      </c>
      <c r="D80" s="1551">
        <f>VLOOKUP(D$76,Base_Annuelle!$A$35:$AY$185,4,0)</f>
        <v>384689.83649391448</v>
      </c>
      <c r="E80" s="1551">
        <f>VLOOKUP(E$76,Base_Annuelle!$A$35:$AY$185,4,0)</f>
        <v>325566.28680404776</v>
      </c>
      <c r="F80" s="1551">
        <f>VLOOKUP(F$76,Base_Annuelle!$A$35:$AY$185,4,0)</f>
        <v>350392.18522840046</v>
      </c>
      <c r="G80" s="1551">
        <f>VLOOKUP(G$76,Base_Annuelle!$A$35:$AY$185,4,0)</f>
        <v>376527.24811876798</v>
      </c>
      <c r="H80" s="1551">
        <f>VLOOKUP(H$76,Base_Annuelle!$A$35:$AY$185,4,0)</f>
        <v>451421.10450174758</v>
      </c>
      <c r="I80" s="1551">
        <f>VLOOKUP(I$76,Base_Annuelle!$A$35:$AY$185,4,0)</f>
        <v>454379</v>
      </c>
      <c r="J80" s="1551">
        <f>VLOOKUP(J$76,Base_Annuelle!$A$35:$AY$185,4,0)</f>
        <v>438982.38046859921</v>
      </c>
      <c r="K80" s="1551">
        <f>VLOOKUP(K$76,Base_Annuelle!$A$35:$AY$185,4,0)</f>
        <v>444785.00271067</v>
      </c>
    </row>
    <row r="81" spans="1:11" ht="12.75" customHeight="1">
      <c r="A81" s="1399" t="s">
        <v>125</v>
      </c>
      <c r="B81" s="1082">
        <f>VLOOKUP(B$76,Base_Annuelle!$A$35:$AY$185,5,0)</f>
        <v>8561.9067253138128</v>
      </c>
      <c r="C81" s="1082">
        <f>VLOOKUP(C$76,Base_Annuelle!$A$35:$AY$185,5,0)</f>
        <v>13090.54760436879</v>
      </c>
      <c r="D81" s="1082">
        <f>VLOOKUP(D$76,Base_Annuelle!$A$35:$AY$185,5,0)</f>
        <v>10936.141970135981</v>
      </c>
      <c r="E81" s="1082">
        <f>VLOOKUP(E$76,Base_Annuelle!$A$35:$AY$185,5,0)</f>
        <v>10068.421467871642</v>
      </c>
      <c r="F81" s="1082">
        <f>VLOOKUP(F$76,Base_Annuelle!$A$35:$AY$185,5,0)</f>
        <v>11269.95112057726</v>
      </c>
      <c r="G81" s="1082">
        <f>VLOOKUP(G$76,Base_Annuelle!$A$35:$AY$185,5,0)</f>
        <v>10238.043964416855</v>
      </c>
      <c r="H81" s="1082">
        <f>VLOOKUP(H$76,Base_Annuelle!$A$35:$AY$185,5,0)</f>
        <v>10758.451417435064</v>
      </c>
      <c r="I81" s="1082">
        <f>VLOOKUP(I$76,Base_Annuelle!$A$35:$AY$185,5,0)</f>
        <v>7978</v>
      </c>
      <c r="J81" s="1082">
        <f>VLOOKUP(J$76,Base_Annuelle!$A$35:$AY$185,5,0)</f>
        <v>8186.6233224617954</v>
      </c>
      <c r="K81" s="1082">
        <f>VLOOKUP(K$76,Base_Annuelle!$A$35:$AY$185,5,0)</f>
        <v>17054.339910195788</v>
      </c>
    </row>
    <row r="82" spans="1:11" ht="12.75" customHeight="1">
      <c r="A82" s="1400" t="s">
        <v>753</v>
      </c>
      <c r="B82" s="1551">
        <f>VLOOKUP(B$76,Base_Annuelle!$A$35:$AY$185,6,0)+VLOOKUP(B$76,Base_Annuelle!$A$35:$AY$185,7,0)</f>
        <v>1707613</v>
      </c>
      <c r="C82" s="1551">
        <f>VLOOKUP(C$76,Base_Annuelle!$A$35:$AY$185,6,0)+VLOOKUP(C$76,Base_Annuelle!$A$35:$AY$185,7,0)</f>
        <v>1435640.2810693879</v>
      </c>
      <c r="D82" s="1551">
        <f>VLOOKUP(D$76,Base_Annuelle!$A$35:$AY$185,6,0)+VLOOKUP(D$76,Base_Annuelle!$A$35:$AY$185,7,0)</f>
        <v>1663843.7517833132</v>
      </c>
      <c r="E82" s="1551">
        <f>VLOOKUP(E$76,Base_Annuelle!$A$35:$AY$185,6,0)+VLOOKUP(E$76,Base_Annuelle!$A$35:$AY$185,7,0)</f>
        <v>1365898.3559427373</v>
      </c>
      <c r="F82" s="1551">
        <f>VLOOKUP(F$76,Base_Annuelle!$A$35:$AY$185,6,0)+VLOOKUP(F$76,Base_Annuelle!$A$35:$AY$185,7,0)</f>
        <v>1929834.2538305181</v>
      </c>
      <c r="G82" s="1551">
        <f>VLOOKUP(G$76,Base_Annuelle!$A$35:$AY$185,6,0)+VLOOKUP(G$76,Base_Annuelle!$A$35:$AY$185,7,0)</f>
        <v>1871791.1702237045</v>
      </c>
      <c r="H82" s="1551">
        <f>VLOOKUP(H$76,Base_Annuelle!$A$35:$AY$185,6,0)+VLOOKUP(H$76,Base_Annuelle!$A$35:$AY$185,7,0)</f>
        <v>1839570.7343781637</v>
      </c>
      <c r="I82" s="1551">
        <f>VLOOKUP(I$76,Base_Annuelle!$A$35:$AY$185,6,0)+VLOOKUP(I$76,Base_Annuelle!$A$35:$AY$185,7,0)</f>
        <v>1616652</v>
      </c>
      <c r="J82" s="1551">
        <f>VLOOKUP(J$76,Base_Annuelle!$A$35:$AY$185,6,0)+VLOOKUP(J$76,Base_Annuelle!$A$35:$AY$185,7,0)</f>
        <v>2013868.9627566985</v>
      </c>
      <c r="K82" s="1551">
        <f>VLOOKUP(K$76,Base_Annuelle!$A$35:$AY$185,6,0)+VLOOKUP(K$76,Base_Annuelle!$A$35:$AY$185,7,0)</f>
        <v>1859323.6785102109</v>
      </c>
    </row>
    <row r="83" spans="1:11" ht="12.75" customHeight="1">
      <c r="A83" s="1633" t="s">
        <v>723</v>
      </c>
      <c r="B83" s="1632">
        <f t="shared" ref="B83:J83" si="9">SUM(B78:B82)</f>
        <v>4469300.1995996758</v>
      </c>
      <c r="C83" s="1632">
        <f t="shared" si="9"/>
        <v>4189665.153377939</v>
      </c>
      <c r="D83" s="1632">
        <f t="shared" si="9"/>
        <v>4567065.5166683868</v>
      </c>
      <c r="E83" s="1632">
        <f t="shared" si="9"/>
        <v>4063198.1376393288</v>
      </c>
      <c r="F83" s="1632">
        <f t="shared" si="9"/>
        <v>5180701.9950712025</v>
      </c>
      <c r="G83" s="1632">
        <f t="shared" si="9"/>
        <v>4939629.9078475796</v>
      </c>
      <c r="H83" s="1632">
        <f t="shared" si="9"/>
        <v>5179104.1311345007</v>
      </c>
      <c r="I83" s="1632">
        <f t="shared" si="9"/>
        <v>4709489</v>
      </c>
      <c r="J83" s="1632">
        <f t="shared" si="9"/>
        <v>5179059.0179476626</v>
      </c>
      <c r="K83" s="1632">
        <f>SUM(K78:K82)</f>
        <v>5246404.5649529751</v>
      </c>
    </row>
    <row r="84" spans="1:11" ht="12.75" customHeight="1">
      <c r="A84" s="1073" t="s">
        <v>754</v>
      </c>
    </row>
    <row r="86" spans="1:11" ht="12.75" customHeight="1">
      <c r="A86" s="1" t="s">
        <v>755</v>
      </c>
    </row>
    <row r="87" spans="1:11" ht="12.75" customHeight="1">
      <c r="B87" s="1630">
        <f t="shared" ref="B87:J87" si="10">YEAR(DATE(LEFT(B$77,4),1,1))</f>
        <v>2014</v>
      </c>
      <c r="C87" s="1630">
        <f t="shared" si="10"/>
        <v>2015</v>
      </c>
      <c r="D87" s="1630">
        <f t="shared" si="10"/>
        <v>2016</v>
      </c>
      <c r="E87" s="1630">
        <f t="shared" si="10"/>
        <v>2017</v>
      </c>
      <c r="F87" s="1630">
        <f t="shared" si="10"/>
        <v>2018</v>
      </c>
      <c r="G87" s="1631">
        <f t="shared" si="10"/>
        <v>2019</v>
      </c>
      <c r="H87" s="1631">
        <f t="shared" si="10"/>
        <v>2020</v>
      </c>
      <c r="I87" s="1630">
        <f t="shared" si="10"/>
        <v>2021</v>
      </c>
      <c r="J87" s="1630">
        <f t="shared" si="10"/>
        <v>2022</v>
      </c>
      <c r="K87" s="1630">
        <f>YEAR(DATE(LEFT(K$77,4),1,1))</f>
        <v>2023</v>
      </c>
    </row>
    <row r="88" spans="1:11" ht="12.75" customHeight="1">
      <c r="A88" s="1397"/>
      <c r="B88" s="1068" t="str">
        <f>CONCATENATE(INDEX(Base_Annuelle!$A$35:$AZ$185,MAX(Base_Annuelle!$AZ$35:$AZ$185),1)-9,"/",INDEX(Base_Annuelle!$A$35:$AZ$185,MAX(Base_Annuelle!$AZ$35:$AZ$185)-8,1))</f>
        <v>2014/2015</v>
      </c>
      <c r="C88" s="1068" t="str">
        <f>CONCATENATE(INDEX(Base_Annuelle!$A$35:$AZ$185,MAX(Base_Annuelle!$AZ$35:$AZ$185),1)-8,"/",INDEX(Base_Annuelle!$A$35:$AZ$185,MAX(Base_Annuelle!$AZ$35:$AZ$185)-7,1))</f>
        <v>2015/2016</v>
      </c>
      <c r="D88" s="1068" t="str">
        <f>CONCATENATE(INDEX(Base_Annuelle!$A$35:$AZ$185,MAX(Base_Annuelle!$AZ$35:$AZ$185),1)-7,"/",INDEX(Base_Annuelle!$A$35:$AZ$185,MAX(Base_Annuelle!$AZ$35:$AZ$185)-6,1))</f>
        <v>2016/2017</v>
      </c>
      <c r="E88" s="1068" t="str">
        <f>CONCATENATE(INDEX(Base_Annuelle!$A$35:$AZ$185,MAX(Base_Annuelle!$AZ$35:$AZ$185),1)-6,"/",INDEX(Base_Annuelle!$A$35:$AZ$185,MAX(Base_Annuelle!$AZ$35:$AZ$185)-5,1))</f>
        <v>2017/2018</v>
      </c>
      <c r="F88" s="1068" t="str">
        <f>CONCATENATE(INDEX(Base_Annuelle!$A$35:$AZ$185,MAX(Base_Annuelle!$AZ$35:$AZ$185),1)-5,"/",INDEX(Base_Annuelle!$A$35:$AZ$185,MAX(Base_Annuelle!$AZ$35:$AZ$185)-4,1))</f>
        <v>2018/2019</v>
      </c>
      <c r="G88" s="1068" t="str">
        <f>CONCATENATE(INDEX(Base_Annuelle!$A$35:$AZ$185,MAX(Base_Annuelle!$AZ$35:$AZ$185),1)-4,"/",INDEX(Base_Annuelle!$A$35:$AZ$185,MAX(Base_Annuelle!$AZ$35:$AZ$185)-3,1))</f>
        <v>2019/2020</v>
      </c>
      <c r="H88" s="1068" t="str">
        <f>CONCATENATE(INDEX(Base_Annuelle!$A$35:$AZ$185,MAX(Base_Annuelle!$AZ$35:$AZ$185),1)-3,"/",INDEX(Base_Annuelle!$A$35:$AZ$185,MAX(Base_Annuelle!$AZ$35:$AZ$185)-2,1))</f>
        <v>2020/2021</v>
      </c>
      <c r="I88" s="1068" t="str">
        <f>CONCATENATE(INDEX(Base_Annuelle!$A$35:$AZ$185,MAX(Base_Annuelle!$AZ$35:$AZ$185),1)-2,"/",INDEX(Base_Annuelle!$A$35:$AZ$185,MAX(Base_Annuelle!$AZ$35:$AZ$185)-1,1))</f>
        <v>2021/2022</v>
      </c>
      <c r="J88" s="1068" t="str">
        <f>CONCATENATE(INDEX(Base_Annuelle!$A$35:$AZ$185,MAX(Base_Annuelle!$AZ$35:$AZ$185),1)-1,"/",INDEX(Base_Annuelle!$A$35:$AZ$185,MAX(Base_Annuelle!$AZ$35:$AZ$185),1))</f>
        <v>2022/2023</v>
      </c>
      <c r="K88" s="1565" t="str">
        <f>CONCATENATE(INDEX(Base_Annuelle!$A$35:$AZ$185,MAX(Base_Annuelle!$AZ$35:$AZ$185),1),"/",INDEX(Base_Annuelle!$A$35:$AZ$185,MAX(Base_Annuelle!$AZ$35:$AZ$185),1)+1)</f>
        <v>2023/2024</v>
      </c>
    </row>
    <row r="89" spans="1:11" ht="12.75" customHeight="1">
      <c r="A89" s="1398" t="s">
        <v>133</v>
      </c>
      <c r="B89" s="1552">
        <f>VLOOKUP(B$76,Base_Annuelle!$A$35:$AY$185,8,0)</f>
        <v>335222.75195916084</v>
      </c>
      <c r="C89" s="1552">
        <f>VLOOKUP(C$76,Base_Annuelle!$A$35:$AY$185,8,0)</f>
        <v>365887.07009204442</v>
      </c>
      <c r="D89" s="1552">
        <f>VLOOKUP(D$76,Base_Annuelle!$A$35:$AY$185,8,0)</f>
        <v>519345.28784296091</v>
      </c>
      <c r="E89" s="1552">
        <f>VLOOKUP(E$76,Base_Annuelle!$A$35:$AY$185,8,0)</f>
        <v>334327.83543372271</v>
      </c>
      <c r="F89" s="1552">
        <f>VLOOKUP(F$76,Base_Annuelle!$A$35:$AY$185,8,0)</f>
        <v>329783.40731657366</v>
      </c>
      <c r="G89" s="1552">
        <f>VLOOKUP(G$76,Base_Annuelle!$A$35:$AY$185,8,0)</f>
        <v>396128.73759972042</v>
      </c>
      <c r="H89" s="1552">
        <f>VLOOKUP(H$76,Base_Annuelle!$A$35:$AY$185,8,0)</f>
        <v>630525.75122875546</v>
      </c>
      <c r="I89" s="1552">
        <f>VLOOKUP(I$76,Base_Annuelle!$A$35:$AY$185,8,0)</f>
        <v>535284.92384218785</v>
      </c>
      <c r="J89" s="1552">
        <f>VLOOKUP(J$76,Base_Annuelle!$A$35:$AY$185,8,0)</f>
        <v>559064.38548850967</v>
      </c>
      <c r="K89" s="1553">
        <f>VLOOKUP(K$76,Base_Annuelle!$A$35:$AY$185,8,0)</f>
        <v>667055.68733472005</v>
      </c>
    </row>
    <row r="90" spans="1:11" ht="12.75" customHeight="1">
      <c r="A90" s="1399" t="s">
        <v>86</v>
      </c>
      <c r="B90" s="1082">
        <f>VLOOKUP(B$76,Base_Annuelle!$A$35:$AY$185,9,0)</f>
        <v>894982.29494452279</v>
      </c>
      <c r="C90" s="1082">
        <f>VLOOKUP(C$76,Base_Annuelle!$A$35:$AY$185,9,0)</f>
        <v>768930.17224691447</v>
      </c>
      <c r="D90" s="1082">
        <f>VLOOKUP(D$76,Base_Annuelle!$A$35:$AY$185,9,0)</f>
        <v>784784.15308621898</v>
      </c>
      <c r="E90" s="1082">
        <f>VLOOKUP(E$76,Base_Annuelle!$A$35:$AY$185,9,0)</f>
        <v>844337.13100948383</v>
      </c>
      <c r="F90" s="1082">
        <f>VLOOKUP(F$76,Base_Annuelle!$A$35:$AY$185,9,0)</f>
        <v>482173.02154259849</v>
      </c>
      <c r="G90" s="1082">
        <f>VLOOKUP(G$76,Base_Annuelle!$A$35:$AY$185,9,0)</f>
        <v>724231.80209709122</v>
      </c>
      <c r="H90" s="1082">
        <f>VLOOKUP(H$76,Base_Annuelle!$A$35:$AY$185,9,0)</f>
        <v>696635.62056103267</v>
      </c>
      <c r="I90" s="1082">
        <f>VLOOKUP(I$76,Base_Annuelle!$A$35:$AY$185,9,0)</f>
        <v>795413.50837110472</v>
      </c>
      <c r="J90" s="1082">
        <f>VLOOKUP(J$76,Base_Annuelle!$A$35:$AY$185,9,0)</f>
        <v>668633.09761909652</v>
      </c>
      <c r="K90" s="1554">
        <f>VLOOKUP(K$76,Base_Annuelle!$A$35:$AY$185,9,0)</f>
        <v>605012.10210556793</v>
      </c>
    </row>
    <row r="91" spans="1:11" ht="12.75" customHeight="1">
      <c r="A91" s="1400" t="s">
        <v>134</v>
      </c>
      <c r="B91" s="1551">
        <f>VLOOKUP(B$76,Base_Annuelle!$A$35:$AY$185,10,0)</f>
        <v>15055.204546542784</v>
      </c>
      <c r="C91" s="1551">
        <f>VLOOKUP(C$76,Base_Annuelle!$A$35:$AY$185,10,0)</f>
        <v>20020.883722221221</v>
      </c>
      <c r="D91" s="1551">
        <f>VLOOKUP(D$76,Base_Annuelle!$A$35:$AY$185,10,0)</f>
        <v>25850.691826515609</v>
      </c>
      <c r="E91" s="1551">
        <f>VLOOKUP(E$76,Base_Annuelle!$A$35:$AY$185,10,0)</f>
        <v>18500.108941278588</v>
      </c>
      <c r="F91" s="1551">
        <f>VLOOKUP(F$76,Base_Annuelle!$A$35:$AY$185,10,0)</f>
        <v>31313.812112517204</v>
      </c>
      <c r="G91" s="1551">
        <f>VLOOKUP(G$76,Base_Annuelle!$A$35:$AY$185,10,0)</f>
        <v>51707.69239658703</v>
      </c>
      <c r="H91" s="1551">
        <f>VLOOKUP(H$76,Base_Annuelle!$A$35:$AY$185,10,0)</f>
        <v>98512.808518667705</v>
      </c>
      <c r="I91" s="1551">
        <f>VLOOKUP(I$76,Base_Annuelle!$A$35:$AY$185,10,0)</f>
        <v>94427.943010046452</v>
      </c>
      <c r="J91" s="1551">
        <f>VLOOKUP(J$76,Base_Annuelle!$A$35:$AY$185,10,0)</f>
        <v>152540.46631617605</v>
      </c>
      <c r="K91" s="1555">
        <f>VLOOKUP(K$76,Base_Annuelle!$A$35:$AY$185,10,0)</f>
        <v>147350.82186666047</v>
      </c>
    </row>
    <row r="92" spans="1:11" ht="12.75" customHeight="1">
      <c r="A92" s="1401" t="s">
        <v>135</v>
      </c>
      <c r="B92" s="1556">
        <f>VLOOKUP(B$76,Base_Annuelle!$A$35:$AY$185,11,0)</f>
        <v>321837.07794285746</v>
      </c>
      <c r="C92" s="1556">
        <f>VLOOKUP(C$76,Base_Annuelle!$A$35:$AY$185,11,0)</f>
        <v>235079.04098587137</v>
      </c>
      <c r="D92" s="1556">
        <f>VLOOKUP(D$76,Base_Annuelle!$A$35:$AY$185,11,0)</f>
        <v>163919.96558522526</v>
      </c>
      <c r="E92" s="1556">
        <f>VLOOKUP(E$76,Base_Annuelle!$A$35:$AY$185,11,0)</f>
        <v>163787.35042053758</v>
      </c>
      <c r="F92" s="1556">
        <f>VLOOKUP(F$76,Base_Annuelle!$A$35:$AY$185,11,0)</f>
        <v>253935.65540537066</v>
      </c>
      <c r="G92" s="1556">
        <f>VLOOKUP(G$76,Base_Annuelle!$A$35:$AY$185,11,0)</f>
        <v>374702.75122970896</v>
      </c>
      <c r="H92" s="1556">
        <f>VLOOKUP(H$76,Base_Annuelle!$A$35:$AY$185,11,0)</f>
        <v>384614.42156258627</v>
      </c>
      <c r="I92" s="1556">
        <f>VLOOKUP(I$76,Base_Annuelle!$A$35:$AY$185,11,0)</f>
        <v>234637.32148515349</v>
      </c>
      <c r="J92" s="1556">
        <f>VLOOKUP(J$76,Base_Annuelle!$A$35:$AY$185,11,0)</f>
        <v>208795.64487097581</v>
      </c>
      <c r="K92" s="1557">
        <f>VLOOKUP(K$76,Base_Annuelle!$A$35:$AY$185,11,0)</f>
        <v>203318.5075041547</v>
      </c>
    </row>
    <row r="93" spans="1:11" ht="12.75" customHeight="1">
      <c r="A93" s="1073" t="s">
        <v>754</v>
      </c>
    </row>
    <row r="94" spans="1:11" ht="12.75" customHeight="1">
      <c r="A94" s="1073"/>
    </row>
    <row r="95" spans="1:11" ht="12.75" customHeight="1">
      <c r="A95" s="1073"/>
    </row>
    <row r="96" spans="1:11" ht="12.75" customHeight="1">
      <c r="A96" s="1073"/>
    </row>
    <row r="97" spans="1:11" s="1212" customFormat="1" ht="12.75" customHeight="1">
      <c r="A97" s="1211" t="s">
        <v>756</v>
      </c>
    </row>
    <row r="98" spans="1:11" ht="12.75" customHeight="1">
      <c r="B98" s="1630">
        <f t="shared" ref="B98:J98" si="11">YEAR(DATE(LEFT(B$77,4),1,1))</f>
        <v>2014</v>
      </c>
      <c r="C98" s="1630">
        <f t="shared" si="11"/>
        <v>2015</v>
      </c>
      <c r="D98" s="1630">
        <f t="shared" si="11"/>
        <v>2016</v>
      </c>
      <c r="E98" s="1630">
        <f t="shared" si="11"/>
        <v>2017</v>
      </c>
      <c r="F98" s="1630">
        <f t="shared" si="11"/>
        <v>2018</v>
      </c>
      <c r="G98" s="1630">
        <f t="shared" si="11"/>
        <v>2019</v>
      </c>
      <c r="H98" s="1630">
        <f t="shared" si="11"/>
        <v>2020</v>
      </c>
      <c r="I98" s="1630">
        <f t="shared" si="11"/>
        <v>2021</v>
      </c>
      <c r="J98" s="1630">
        <f t="shared" si="11"/>
        <v>2022</v>
      </c>
      <c r="K98" s="1630">
        <f>YEAR(DATE(LEFT(K$77,4),1,1))</f>
        <v>2023</v>
      </c>
    </row>
    <row r="99" spans="1:11" ht="12.75" customHeight="1">
      <c r="A99" s="1397"/>
      <c r="B99" s="1068" t="str">
        <f>CONCATENATE(INDEX(Base_Annuelle!$A$35:$AZ$185,MAX(Base_Annuelle!$AZ$35:$AZ$185),1)-9,"/",INDEX(Base_Annuelle!$A$35:$AZ$185,MAX(Base_Annuelle!$AZ$35:$AZ$185)-8,1))</f>
        <v>2014/2015</v>
      </c>
      <c r="C99" s="1068" t="str">
        <f>CONCATENATE(INDEX(Base_Annuelle!$A$35:$AZ$185,MAX(Base_Annuelle!$AZ$35:$AZ$185),1)-8,"/",INDEX(Base_Annuelle!$A$35:$AZ$185,MAX(Base_Annuelle!$AZ$35:$AZ$185)-7,1))</f>
        <v>2015/2016</v>
      </c>
      <c r="D99" s="1068" t="str">
        <f>CONCATENATE(INDEX(Base_Annuelle!$A$35:$AZ$185,MAX(Base_Annuelle!$AZ$35:$AZ$185),1)-7,"/",INDEX(Base_Annuelle!$A$35:$AZ$185,MAX(Base_Annuelle!$AZ$35:$AZ$185)-6,1))</f>
        <v>2016/2017</v>
      </c>
      <c r="E99" s="1068" t="str">
        <f>CONCATENATE(INDEX(Base_Annuelle!$A$35:$AZ$185,MAX(Base_Annuelle!$AZ$35:$AZ$185),1)-6,"/",INDEX(Base_Annuelle!$A$35:$AZ$185,MAX(Base_Annuelle!$AZ$35:$AZ$185)-5,1))</f>
        <v>2017/2018</v>
      </c>
      <c r="F99" s="1068" t="str">
        <f>CONCATENATE(INDEX(Base_Annuelle!$A$35:$AZ$185,MAX(Base_Annuelle!$AZ$35:$AZ$185),1)-5,"/",INDEX(Base_Annuelle!$A$35:$AZ$185,MAX(Base_Annuelle!$AZ$35:$AZ$185)-4,1))</f>
        <v>2018/2019</v>
      </c>
      <c r="G99" s="1068" t="str">
        <f>CONCATENATE(INDEX(Base_Annuelle!$A$35:$AZ$185,MAX(Base_Annuelle!$AZ$35:$AZ$185),1)-4,"/",INDEX(Base_Annuelle!$A$35:$AZ$185,MAX(Base_Annuelle!$AZ$35:$AZ$185)-3,1))</f>
        <v>2019/2020</v>
      </c>
      <c r="H99" s="1068" t="str">
        <f>CONCATENATE(INDEX(Base_Annuelle!$A$35:$AZ$185,MAX(Base_Annuelle!$AZ$35:$AZ$185),1)-3,"/",INDEX(Base_Annuelle!$A$35:$AZ$185,MAX(Base_Annuelle!$AZ$35:$AZ$185)-2,1))</f>
        <v>2020/2021</v>
      </c>
      <c r="I99" s="1068" t="str">
        <f>CONCATENATE(INDEX(Base_Annuelle!$A$35:$AZ$185,MAX(Base_Annuelle!$AZ$35:$AZ$185),1)-2,"/",INDEX(Base_Annuelle!$A$35:$AZ$185,MAX(Base_Annuelle!$AZ$35:$AZ$185)-1,1))</f>
        <v>2021/2022</v>
      </c>
      <c r="J99" s="1068" t="str">
        <f>CONCATENATE(INDEX(Base_Annuelle!$A$35:$AZ$185,MAX(Base_Annuelle!$AZ$35:$AZ$185),1)-1,"/",INDEX(Base_Annuelle!$A$35:$AZ$185,MAX(Base_Annuelle!$AZ$35:$AZ$185),1))</f>
        <v>2022/2023</v>
      </c>
      <c r="K99" s="1565" t="str">
        <f>CONCATENATE(INDEX(Base_Annuelle!$A$35:$AZ$185,MAX(Base_Annuelle!$AZ$35:$AZ$185),1),"/",INDEX(Base_Annuelle!$A$35:$AZ$185,MAX(Base_Annuelle!$AZ$35:$AZ$185),1)+1)</f>
        <v>2023/2024</v>
      </c>
    </row>
    <row r="100" spans="1:11" ht="12.75" customHeight="1">
      <c r="A100" s="1398" t="s">
        <v>124</v>
      </c>
      <c r="B100" s="1552">
        <f>VLOOKUP(B$76,Base_Annuelle!$A$35:$BF$185,53,0)</f>
        <v>1192006</v>
      </c>
      <c r="C100" s="1552">
        <f>VLOOKUP(C$76,Base_Annuelle!$A$35:$BF$185,53,0)</f>
        <v>1160718</v>
      </c>
      <c r="D100" s="1552">
        <f>VLOOKUP(D$76,Base_Annuelle!$A$35:$BF$185,53,0)</f>
        <v>1187397</v>
      </c>
      <c r="E100" s="1552">
        <f>VLOOKUP(E$76,Base_Annuelle!$A$35:$BF$185,53,0)</f>
        <v>1222575.3811203712</v>
      </c>
      <c r="F100" s="1552">
        <f>VLOOKUP(F$76,Base_Annuelle!$A$35:$BF$185,53,0)</f>
        <v>1393878.1769486901</v>
      </c>
      <c r="G100" s="1552">
        <f>VLOOKUP(G$76,Base_Annuelle!$A$35:$BF$185,53,0)</f>
        <v>1176512</v>
      </c>
      <c r="H100" s="1552">
        <f>VLOOKUP(H$76,Base_Annuelle!$A$35:$BF$185,53,0)</f>
        <v>0</v>
      </c>
      <c r="I100" s="1552">
        <f>VLOOKUP(I$76,Base_Annuelle!$A$35:$BF$185,53,0)</f>
        <v>0</v>
      </c>
      <c r="J100" s="1552"/>
      <c r="K100" s="1552">
        <v>1065734.7431993862</v>
      </c>
    </row>
    <row r="101" spans="1:11" ht="12.75" customHeight="1">
      <c r="A101" s="1399" t="s">
        <v>91</v>
      </c>
      <c r="B101" s="1082">
        <f>VLOOKUP(B$76,Base_Annuelle!$A$35:$BF$185,54,0)</f>
        <v>749935</v>
      </c>
      <c r="C101" s="1082">
        <f>VLOOKUP(C$76,Base_Annuelle!$A$35:$BF$185,54,0)</f>
        <v>820117</v>
      </c>
      <c r="D101" s="1082">
        <f>VLOOKUP(D$76,Base_Annuelle!$A$35:$BF$185,54,0)</f>
        <v>911728</v>
      </c>
      <c r="E101" s="1082">
        <f>VLOOKUP(E$76,Base_Annuelle!$A$35:$BF$185,54,0)</f>
        <v>956386.33341590595</v>
      </c>
      <c r="F101" s="1082">
        <f>VLOOKUP(F$76,Base_Annuelle!$A$35:$BF$185,54,0)</f>
        <v>1019181.3683634998</v>
      </c>
      <c r="G101" s="1082">
        <f>VLOOKUP(G$76,Base_Annuelle!$A$35:$BF$185,54,0)</f>
        <v>1014253</v>
      </c>
      <c r="H101" s="1082">
        <f>VLOOKUP(H$76,Base_Annuelle!$A$35:$BF$185,54,0)</f>
        <v>0</v>
      </c>
      <c r="I101" s="1082">
        <f>VLOOKUP(I$76,Base_Annuelle!$A$35:$BF$185,54,0)</f>
        <v>0</v>
      </c>
      <c r="J101" s="1082"/>
      <c r="K101" s="1554">
        <v>1089389.3211061845</v>
      </c>
    </row>
    <row r="102" spans="1:11" ht="12.75" customHeight="1">
      <c r="A102" s="1400" t="s">
        <v>90</v>
      </c>
      <c r="B102" s="1551">
        <f>VLOOKUP(B$76,Base_Annuelle!$A$35:$BF$185,55,0)</f>
        <v>144261</v>
      </c>
      <c r="C102" s="1551">
        <f>VLOOKUP(C$76,Base_Annuelle!$A$35:$BF$185,55,0)</f>
        <v>142715</v>
      </c>
      <c r="D102" s="1551">
        <f>VLOOKUP(D$76,Base_Annuelle!$A$35:$BF$185,55,0)</f>
        <v>170158</v>
      </c>
      <c r="E102" s="1551">
        <f>VLOOKUP(E$76,Base_Annuelle!$A$35:$BF$185,55,0)</f>
        <v>165085.82142114325</v>
      </c>
      <c r="F102" s="1551">
        <f>VLOOKUP(F$76,Base_Annuelle!$A$35:$BF$185,55,0)</f>
        <v>160949.05705241355</v>
      </c>
      <c r="G102" s="1551">
        <f>VLOOKUP(G$76,Base_Annuelle!$A$35:$BF$185,55,0)</f>
        <v>172814</v>
      </c>
      <c r="H102" s="1551">
        <f>VLOOKUP(H$76,Base_Annuelle!$A$35:$BF$185,55,0)</f>
        <v>0</v>
      </c>
      <c r="I102" s="1551">
        <f>VLOOKUP(I$76,Base_Annuelle!$A$35:$BF$185,55,0)</f>
        <v>0</v>
      </c>
      <c r="J102" s="1551"/>
      <c r="K102" s="1555">
        <v>201734.45794719883</v>
      </c>
    </row>
    <row r="103" spans="1:11" ht="12.75" customHeight="1">
      <c r="A103" s="1399" t="s">
        <v>125</v>
      </c>
      <c r="B103" s="1082">
        <f>VLOOKUP(B$76,Base_Annuelle!$A$35:$BF$185,56,0)</f>
        <v>11400</v>
      </c>
      <c r="C103" s="1082">
        <f>VLOOKUP(C$76,Base_Annuelle!$A$35:$BF$185,56,0)</f>
        <v>15743</v>
      </c>
      <c r="D103" s="1082">
        <f>VLOOKUP(D$76,Base_Annuelle!$A$35:$BF$185,56,0)</f>
        <v>14133</v>
      </c>
      <c r="E103" s="1082">
        <f>VLOOKUP(E$76,Base_Annuelle!$A$35:$BF$185,56,0)</f>
        <v>15678.638402584587</v>
      </c>
      <c r="F103" s="1082">
        <f>VLOOKUP(F$76,Base_Annuelle!$A$35:$BF$185,56,0)</f>
        <v>14132.986295719558</v>
      </c>
      <c r="G103" s="1082">
        <f>VLOOKUP(G$76,Base_Annuelle!$A$35:$BF$185,56,0)</f>
        <v>13938</v>
      </c>
      <c r="H103" s="1082">
        <f>VLOOKUP(H$76,Base_Annuelle!$A$35:$BF$185,56,0)</f>
        <v>0</v>
      </c>
      <c r="I103" s="1082">
        <f>VLOOKUP(I$76,Base_Annuelle!$A$35:$BF$185,56,0)</f>
        <v>0</v>
      </c>
      <c r="J103" s="1082"/>
      <c r="K103" s="1554">
        <v>13354.12313994157</v>
      </c>
    </row>
    <row r="104" spans="1:11" ht="12.75" customHeight="1">
      <c r="A104" s="1400" t="s">
        <v>753</v>
      </c>
      <c r="B104" s="1551">
        <f>VLOOKUP(B$76,Base_Annuelle!$A$35:$BF$185,57,0)</f>
        <v>1548404</v>
      </c>
      <c r="C104" s="1551">
        <f>VLOOKUP(C$76,Base_Annuelle!$A$35:$BF$185,57,0)</f>
        <v>1444937</v>
      </c>
      <c r="D104" s="1551">
        <f>VLOOKUP(D$76,Base_Annuelle!$A$35:$BF$185,57,0)</f>
        <v>1734170</v>
      </c>
      <c r="E104" s="1551">
        <f>VLOOKUP(E$76,Base_Annuelle!$A$35:$BF$185,57,0)</f>
        <v>1667192.8553676207</v>
      </c>
      <c r="F104" s="1551">
        <f>VLOOKUP(F$76,Base_Annuelle!$A$35:$BF$185,57,0)</f>
        <v>1907650.400168858</v>
      </c>
      <c r="G104" s="1551">
        <f>VLOOKUP(G$76,Base_Annuelle!$A$35:$BF$185,57,0)</f>
        <v>1888933</v>
      </c>
      <c r="H104" s="1551">
        <f>VLOOKUP(H$76,Base_Annuelle!$A$35:$BF$185,57,0)</f>
        <v>0</v>
      </c>
      <c r="I104" s="1551">
        <f>VLOOKUP(I$76,Base_Annuelle!$A$35:$BF$185,57,0)</f>
        <v>0</v>
      </c>
      <c r="J104" s="1551"/>
      <c r="K104" s="1555">
        <v>1734614.0752846017</v>
      </c>
    </row>
    <row r="105" spans="1:11" ht="12.75" customHeight="1">
      <c r="A105" s="1633" t="s">
        <v>723</v>
      </c>
      <c r="B105" s="1632">
        <f t="shared" ref="B105:K105" si="12">SUM(B100:B104)</f>
        <v>3646006</v>
      </c>
      <c r="C105" s="1632">
        <f t="shared" si="12"/>
        <v>3584230</v>
      </c>
      <c r="D105" s="1632">
        <f t="shared" si="12"/>
        <v>4017586</v>
      </c>
      <c r="E105" s="1632">
        <f t="shared" si="12"/>
        <v>4026919.0297276257</v>
      </c>
      <c r="F105" s="1632">
        <f t="shared" si="12"/>
        <v>4495791.9888291806</v>
      </c>
      <c r="G105" s="1632">
        <f t="shared" si="12"/>
        <v>4266450</v>
      </c>
      <c r="H105" s="1632">
        <f t="shared" si="12"/>
        <v>0</v>
      </c>
      <c r="I105" s="1632">
        <f t="shared" si="12"/>
        <v>0</v>
      </c>
      <c r="J105" s="1632"/>
      <c r="K105" s="1632">
        <f t="shared" si="12"/>
        <v>4104826.7206773129</v>
      </c>
    </row>
    <row r="106" spans="1:11" ht="12.75" customHeight="1">
      <c r="A106" s="1073" t="s">
        <v>754</v>
      </c>
    </row>
    <row r="108" spans="1:11" ht="12.75" customHeight="1">
      <c r="A108" s="1" t="s">
        <v>757</v>
      </c>
      <c r="B108" s="1083"/>
      <c r="C108" s="1083"/>
      <c r="D108" s="1083"/>
      <c r="E108" s="1083"/>
      <c r="F108" s="1083"/>
      <c r="G108" s="1083"/>
      <c r="H108" s="1083"/>
      <c r="I108" s="1083"/>
    </row>
    <row r="109" spans="1:11" ht="12.75" customHeight="1">
      <c r="A109" s="1083"/>
      <c r="B109" s="1627">
        <f t="shared" ref="B109:J109" si="13">DATE(B110,12,1)</f>
        <v>41974</v>
      </c>
      <c r="C109" s="1627">
        <f t="shared" si="13"/>
        <v>42339</v>
      </c>
      <c r="D109" s="1627">
        <f t="shared" si="13"/>
        <v>42705</v>
      </c>
      <c r="E109" s="1627">
        <f t="shared" si="13"/>
        <v>43070</v>
      </c>
      <c r="F109" s="1627">
        <f t="shared" si="13"/>
        <v>43435</v>
      </c>
      <c r="G109" s="1627">
        <f t="shared" si="13"/>
        <v>43800</v>
      </c>
      <c r="H109" s="1627">
        <f t="shared" si="13"/>
        <v>44166</v>
      </c>
      <c r="I109" s="1627">
        <f t="shared" si="13"/>
        <v>44531</v>
      </c>
      <c r="J109" s="1627">
        <f t="shared" si="13"/>
        <v>44896</v>
      </c>
      <c r="K109" s="1627">
        <f>DATE(YEAR(INDEX(Base_Mensuelle!$B$68:$L$679,MAX(Base_Mensuelle!$L$68:$L$679),1)),12,1)</f>
        <v>45261</v>
      </c>
    </row>
    <row r="110" spans="1:11" ht="12.75" customHeight="1">
      <c r="A110" s="1397"/>
      <c r="B110" s="1068">
        <f>$K$110-9</f>
        <v>2014</v>
      </c>
      <c r="C110" s="1068">
        <f>$K$110-8</f>
        <v>2015</v>
      </c>
      <c r="D110" s="1068">
        <f>$K$110-7</f>
        <v>2016</v>
      </c>
      <c r="E110" s="1068">
        <f>$K$110-6</f>
        <v>2017</v>
      </c>
      <c r="F110" s="1068">
        <f>$K$110-5</f>
        <v>2018</v>
      </c>
      <c r="G110" s="1068">
        <f>$K$110-4</f>
        <v>2019</v>
      </c>
      <c r="H110" s="1068">
        <f>$K$110-3</f>
        <v>2020</v>
      </c>
      <c r="I110" s="1068">
        <f>$K$110-2</f>
        <v>2021</v>
      </c>
      <c r="J110" s="1068">
        <f>$K$110-1</f>
        <v>2022</v>
      </c>
      <c r="K110" s="1396">
        <f>YEAR(INDEX(Base_Mensuelle!$B$68:$L$679,MAX(Base_Mensuelle!$L$68:$L$679),1))</f>
        <v>2023</v>
      </c>
    </row>
    <row r="111" spans="1:11" ht="12.75" customHeight="1">
      <c r="A111" s="1398" t="s">
        <v>3</v>
      </c>
      <c r="B111" s="1558">
        <v>217168</v>
      </c>
      <c r="C111" s="1558">
        <v>225381</v>
      </c>
      <c r="D111" s="1558">
        <v>226111</v>
      </c>
      <c r="E111" s="1558">
        <f>IF(VLOOKUP(E$109,Base_Mensuelle!$B$68:$L$679,3,0)&lt;&gt;"",SUMIF(Base_Mensuelle!$A$68:$A$679,E$110,Base_Mensuelle!$D$68:$D$679),"")</f>
        <v>431931</v>
      </c>
      <c r="F111" s="1558">
        <f>IF(VLOOKUP(F$109,Base_Mensuelle!$B$68:$L$679,3,0)&lt;&gt;"",SUMIF(Base_Mensuelle!$A$68:$A$679,F$110,Base_Mensuelle!$D$68:$D$679),"")</f>
        <v>331101</v>
      </c>
      <c r="G111" s="1558">
        <f>IF(VLOOKUP(G$109,Base_Mensuelle!$B$68:$L$679,3,0)&lt;&gt;"",SUMIF(Base_Mensuelle!$A$68:$A$679,G$110,Base_Mensuelle!$D$68:$D$679),"")</f>
        <v>260731</v>
      </c>
      <c r="H111" s="1558">
        <f>IF(VLOOKUP(H$109,Base_Mensuelle!$B$68:$L$679,3,0)&lt;&gt;"",SUMIF(Base_Mensuelle!$A$68:$A$679,H$110,Base_Mensuelle!$D$68:$D$679),"")</f>
        <v>338996</v>
      </c>
      <c r="I111" s="1558">
        <f>IF(VLOOKUP(I$109,Base_Mensuelle!$B$68:$L$679,3,0)&lt;&gt;"",SUMIF(Base_Mensuelle!$A$68:$A$679,I$110,Base_Mensuelle!$D$68:$D$679),"")</f>
        <v>390101</v>
      </c>
      <c r="J111" s="1558">
        <f>IF(VLOOKUP(J$109,Base_Mensuelle!$B$68:$L$679,3,0)&lt;&gt;"",SUMIF(Base_Mensuelle!$A$68:$A$679,J$110,Base_Mensuelle!$D$68:$D$679),"")</f>
        <v>371448.8573928207</v>
      </c>
      <c r="K111" s="1558">
        <v>351448.85739999998</v>
      </c>
    </row>
    <row r="112" spans="1:11" ht="12.75" customHeight="1">
      <c r="A112" s="1399" t="s">
        <v>8</v>
      </c>
      <c r="B112" s="1634">
        <v>295592</v>
      </c>
      <c r="C112" s="1634">
        <v>299328</v>
      </c>
      <c r="D112" s="1634">
        <v>319520</v>
      </c>
      <c r="E112" s="1634">
        <f>IF(VLOOKUP(E$109,Base_Mensuelle!$B$69:$L$679,8,0)&lt;&gt;"",SUMIF(Base_Mensuelle!$A$68:$A$679,E$110,Base_Mensuelle!$I$68:$I$679),"")</f>
        <v>521670</v>
      </c>
      <c r="F112" s="1634">
        <f>IF(VLOOKUP(F$109,Base_Mensuelle!$B$69:$L$679,8,0)&lt;&gt;"",SUMIF(Base_Mensuelle!$A$68:$A$679,F$110,Base_Mensuelle!$I$68:$I$679),"")</f>
        <v>373996</v>
      </c>
      <c r="G112" s="1634">
        <f>IF(VLOOKUP(G$109,Base_Mensuelle!$B$69:$L$679,8,0)&lt;&gt;"",SUMIF(Base_Mensuelle!$A$68:$A$679,G$110,Base_Mensuelle!$I$68:$I$679),"")</f>
        <v>343504</v>
      </c>
      <c r="H112" s="1634">
        <f>IF(VLOOKUP(H$109,Base_Mensuelle!$B$69:$L$679,8,0)&lt;&gt;"",SUMIF(Base_Mensuelle!$A$68:$A$679,H$110,Base_Mensuelle!$I$68:$I$679),"")</f>
        <v>375736</v>
      </c>
      <c r="I112" s="1634">
        <f>IF(VLOOKUP(I$109,Base_Mensuelle!$B$69:$L$679,8,0)&lt;&gt;"",SUMIF(Base_Mensuelle!$A$68:$A$679,I$110,Base_Mensuelle!$I$68:$I$679),"")</f>
        <v>392078</v>
      </c>
      <c r="J112" s="1634">
        <f>IF(VLOOKUP(J$109,Base_Mensuelle!$B$69:$L$679,8,0)&lt;&gt;"",SUMIF(Base_Mensuelle!$A$68:$A$679,J$110,Base_Mensuelle!$I$68:$I$679),"")</f>
        <v>377296.46425679768</v>
      </c>
      <c r="K112" s="1634">
        <v>385094</v>
      </c>
    </row>
    <row r="113" spans="1:11" ht="12.75" customHeight="1">
      <c r="A113" s="1400" t="s">
        <v>6</v>
      </c>
      <c r="B113" s="1684">
        <v>865291</v>
      </c>
      <c r="C113" s="1684">
        <v>925406</v>
      </c>
      <c r="D113" s="1684">
        <v>971093</v>
      </c>
      <c r="E113" s="1684">
        <f>IF(VLOOKUP(E$109,Base_Mensuelle!$B$70:$L$679,6,0)&lt;&gt;"",SUMIF(Base_Mensuelle!$A$68:$A$679,E$110,Base_Mensuelle!$G$68:$G$679),"")</f>
        <v>1189938</v>
      </c>
      <c r="F113" s="1684">
        <f>IF(VLOOKUP(F$109,Base_Mensuelle!$B$70:$L$679,6,0)&lt;&gt;"",SUMIF(Base_Mensuelle!$A$68:$A$679,F$110,Base_Mensuelle!$G$68:$G$679),"")</f>
        <v>1266181</v>
      </c>
      <c r="G113" s="1684">
        <f>IF(VLOOKUP(G$109,Base_Mensuelle!$B$70:$L$679,6,0)&lt;&gt;"",SUMIF(Base_Mensuelle!$A$68:$A$679,G$110,Base_Mensuelle!$G$68:$G$679),"")</f>
        <v>1062756</v>
      </c>
      <c r="H113" s="1684">
        <f>IF(VLOOKUP(H$109,Base_Mensuelle!$B$70:$L$679,6,0)&lt;&gt;"",SUMIF(Base_Mensuelle!$A$68:$A$679,H$110,Base_Mensuelle!$G$68:$G$679),"")</f>
        <v>1273588</v>
      </c>
      <c r="I113" s="1684">
        <f>IF(VLOOKUP(I$109,Base_Mensuelle!$B$70:$L$679,6,0)&lt;&gt;"",SUMIF(Base_Mensuelle!$A$68:$A$679,I$110,Base_Mensuelle!$G$68:$G$679),"")</f>
        <v>1190992</v>
      </c>
      <c r="J113" s="1684">
        <f>IF(VLOOKUP(J$109,Base_Mensuelle!$B$70:$L$679,6,0)&lt;&gt;"",SUMIF(Base_Mensuelle!$A$68:$A$679,J$110,Base_Mensuelle!$G$68:$G$679),"")</f>
        <v>2674827.5272509684</v>
      </c>
      <c r="K113" s="1684">
        <f>IF(VLOOKUP(K$109,Base_Mensuelle!$B$70:$L$679,6,0)&lt;&gt;"",SUMIF(Base_Mensuelle!$A$68:$A$679,K$110,Base_Mensuelle!$G$68:$G$679),"")</f>
        <v>951687</v>
      </c>
    </row>
    <row r="114" spans="1:11" ht="12.75" customHeight="1">
      <c r="A114" s="1399" t="s">
        <v>9</v>
      </c>
      <c r="B114" s="1634">
        <v>200668</v>
      </c>
      <c r="C114" s="1634">
        <v>200268</v>
      </c>
      <c r="D114" s="1634">
        <v>201415</v>
      </c>
      <c r="E114" s="1634">
        <f>IF(VLOOKUP(E$109,Base_Mensuelle!$B$71:$L$679,9,0)&lt;&gt;"",SUMIF(Base_Mensuelle!$A$68:$A$679,E$110,Base_Mensuelle!$J$68:$J$679),"")</f>
        <v>239864</v>
      </c>
      <c r="F114" s="1634">
        <f>IF(VLOOKUP(F$109,Base_Mensuelle!$B$71:$L$679,9,0)&lt;&gt;"",SUMIF(Base_Mensuelle!$A$68:$A$679,F$110,Base_Mensuelle!$J$68:$J$679),"")</f>
        <v>216076</v>
      </c>
      <c r="G114" s="1634">
        <f>IF(VLOOKUP(G$109,Base_Mensuelle!$B$71:$L$679,9,0)&lt;&gt;"",SUMIF(Base_Mensuelle!$A$68:$A$679,G$110,Base_Mensuelle!$J$68:$J$679),"")</f>
        <v>190061</v>
      </c>
      <c r="H114" s="1634">
        <f>IF(VLOOKUP(H$109,Base_Mensuelle!$B$71:$L$679,9,0)&lt;&gt;"",SUMIF(Base_Mensuelle!$A$68:$A$679,H$110,Base_Mensuelle!$J$68:$J$679),"")</f>
        <v>233130</v>
      </c>
      <c r="I114" s="1634">
        <f>IF(VLOOKUP(I$109,Base_Mensuelle!$B$71:$L$679,9,0)&lt;&gt;"",SUMIF(Base_Mensuelle!$A$68:$A$679,I$110,Base_Mensuelle!$J$68:$J$679),"")</f>
        <v>206553</v>
      </c>
      <c r="J114" s="1634">
        <f>IF(VLOOKUP(J$109,Base_Mensuelle!$B$71:$L$679,9,0)&lt;&gt;"",SUMIF(Base_Mensuelle!$A$68:$A$679,J$110,Base_Mensuelle!$J$68:$J$679),"")</f>
        <v>210988.74950456151</v>
      </c>
      <c r="K114" s="1634">
        <f>IF(VLOOKUP(K$109,Base_Mensuelle!$B$71:$L$679,9,0)&lt;&gt;"",SUMIF(Base_Mensuelle!$A$68:$A$679,K$110,Base_Mensuelle!$J$68:$J$679),"")</f>
        <v>165630</v>
      </c>
    </row>
    <row r="115" spans="1:11" ht="12.75" customHeight="1">
      <c r="A115" s="1400" t="s">
        <v>4</v>
      </c>
      <c r="B115" s="1684">
        <v>253</v>
      </c>
      <c r="C115" s="1684">
        <v>371</v>
      </c>
      <c r="D115" s="1684">
        <v>381</v>
      </c>
      <c r="E115" s="1684">
        <f>IF(VLOOKUP(E$109,Base_Mensuelle!$B$72:$L$679,4,0)&lt;&gt;"",SUMIF(Base_Mensuelle!$A$68:$A$679,E$110,Base_Mensuelle!$E$68:$E$679),"")</f>
        <v>1899</v>
      </c>
      <c r="F115" s="1684">
        <f>IF(VLOOKUP(F$109,Base_Mensuelle!$B$72:$L$679,4,0)&lt;&gt;"",SUMIF(Base_Mensuelle!$A$68:$A$679,F$110,Base_Mensuelle!$E$68:$E$679),"")</f>
        <v>2949</v>
      </c>
      <c r="G115" s="1684">
        <f>IF(VLOOKUP(G$109,Base_Mensuelle!$B$72:$L$679,4,0)&lt;&gt;"",SUMIF(Base_Mensuelle!$A$68:$A$679,G$110,Base_Mensuelle!$E$68:$E$679),"")</f>
        <v>686</v>
      </c>
      <c r="H115" s="1684">
        <f>IF(VLOOKUP(H$109,Base_Mensuelle!$B$72:$L$679,4,0)&lt;&gt;"",SUMIF(Base_Mensuelle!$A$68:$A$679,H$110,Base_Mensuelle!$E$68:$E$679),"")</f>
        <v>1583</v>
      </c>
      <c r="I115" s="1684">
        <f>IF(VLOOKUP(I$109,Base_Mensuelle!$B$72:$L$679,4,0)&lt;&gt;"",SUMIF(Base_Mensuelle!$A$68:$A$679,I$110,Base_Mensuelle!$E$68:$E$679),"")</f>
        <v>1646</v>
      </c>
      <c r="J115" s="1684">
        <f>IF(VLOOKUP(J$109,Base_Mensuelle!$B$72:$L$679,4,0)&lt;&gt;"",SUMIF(Base_Mensuelle!$A$68:$A$679,J$110,Base_Mensuelle!$E$68:$E$679),"")</f>
        <v>894.41950642869506</v>
      </c>
      <c r="K115" s="1684">
        <f>IF(VLOOKUP(K$109,Base_Mensuelle!$B$72:$L$679,4,0)&lt;&gt;"",SUMIF(Base_Mensuelle!$A$68:$A$679,K$110,Base_Mensuelle!$E$68:$E$679),"")</f>
        <v>619</v>
      </c>
    </row>
    <row r="116" spans="1:11" ht="12.75" customHeight="1">
      <c r="A116" s="1399" t="s">
        <v>7</v>
      </c>
      <c r="B116" s="1634">
        <v>185</v>
      </c>
      <c r="C116" s="1634">
        <v>169</v>
      </c>
      <c r="D116" s="1634">
        <v>196</v>
      </c>
      <c r="E116" s="1634">
        <f>IF(VLOOKUP(E$109,Base_Mensuelle!$B$73:$L$679,7,0)&lt;&gt;"",SUMIF(Base_Mensuelle!$A$68:$A$679,E$110,Base_Mensuelle!$H$68:$H$679),"")</f>
        <v>518</v>
      </c>
      <c r="F116" s="1634">
        <f>IF(VLOOKUP(F$109,Base_Mensuelle!$B$73:$L$679,7,0)&lt;&gt;"",SUMIF(Base_Mensuelle!$A$68:$A$679,F$110,Base_Mensuelle!$H$68:$H$679),"")</f>
        <v>484</v>
      </c>
      <c r="G116" s="1634">
        <f>IF(VLOOKUP(G$109,Base_Mensuelle!$B$73:$L$679,7,0)&lt;&gt;"",SUMIF(Base_Mensuelle!$A$68:$A$679,G$110,Base_Mensuelle!$H$68:$H$679),"")</f>
        <v>196</v>
      </c>
      <c r="H116" s="1634">
        <f>IF(VLOOKUP(H$109,Base_Mensuelle!$B$73:$L$679,7,0)&lt;&gt;"",SUMIF(Base_Mensuelle!$A$68:$A$679,H$110,Base_Mensuelle!$H$68:$H$679),"")</f>
        <v>871</v>
      </c>
      <c r="I116" s="1634">
        <f>IF(VLOOKUP(I$109,Base_Mensuelle!$B$73:$L$679,7,0)&lt;&gt;"",SUMIF(Base_Mensuelle!$A$68:$A$679,I$110,Base_Mensuelle!$H$68:$H$679),"")</f>
        <v>633</v>
      </c>
      <c r="J116" s="1634">
        <f>IF(VLOOKUP(J$109,Base_Mensuelle!$B$73:$L$679,7,0)&lt;&gt;"",SUMIF(Base_Mensuelle!$A$68:$A$679,J$110,Base_Mensuelle!$H$68:$H$679),"")</f>
        <v>440.16159749712131</v>
      </c>
      <c r="K116" s="1634">
        <f>IF(VLOOKUP(K$109,Base_Mensuelle!$B$73:$L$679,7,0)&lt;&gt;"",SUMIF(Base_Mensuelle!$A$68:$A$679,K$110,Base_Mensuelle!$H$68:$H$679),"")</f>
        <v>436</v>
      </c>
    </row>
    <row r="117" spans="1:11" ht="12.75" customHeight="1">
      <c r="A117" s="1635" t="s">
        <v>2</v>
      </c>
      <c r="B117" s="1636">
        <v>13804</v>
      </c>
      <c r="C117" s="1636">
        <v>15600</v>
      </c>
      <c r="D117" s="1636">
        <v>15321</v>
      </c>
      <c r="E117" s="1636">
        <f>IF(VLOOKUP(E$109,Base_Mensuelle!$B$74:$L$679,2,0)&lt;&gt;"",SUMIF(Base_Mensuelle!$A$68:$A$679,E$110,Base_Mensuelle!$C$68:$C$679),"")</f>
        <v>24022</v>
      </c>
      <c r="F117" s="1636">
        <f>IF(VLOOKUP(F$109,Base_Mensuelle!$B$74:$L$679,2,0)&lt;&gt;"",SUMIF(Base_Mensuelle!$A$68:$A$679,F$110,Base_Mensuelle!$C$68:$C$679),"")</f>
        <v>19509</v>
      </c>
      <c r="G117" s="1636">
        <f>IF(VLOOKUP(G$109,Base_Mensuelle!$B$74:$L$679,2,0)&lt;&gt;"",SUMIF(Base_Mensuelle!$A$68:$A$679,G$110,Base_Mensuelle!$C$68:$C$679),"")</f>
        <v>17737</v>
      </c>
      <c r="H117" s="1636">
        <f>IF(VLOOKUP(H$109,Base_Mensuelle!$B$74:$L$679,2,0)&lt;&gt;"",SUMIF(Base_Mensuelle!$A$68:$A$679,H$110,Base_Mensuelle!$C$68:$C$679),"")</f>
        <v>20127</v>
      </c>
      <c r="I117" s="1636">
        <f>IF(VLOOKUP(I$109,Base_Mensuelle!$B$74:$L$679,2,0)&lt;&gt;"",SUMIF(Base_Mensuelle!$A$68:$A$679,I$110,Base_Mensuelle!$C$68:$C$679),"")</f>
        <v>24042</v>
      </c>
      <c r="J117" s="1636">
        <f>IF(VLOOKUP(J$109,Base_Mensuelle!$B$74:$L$679,2,0)&lt;&gt;"",SUMIF(Base_Mensuelle!$A$68:$A$679,J$110,Base_Mensuelle!$C$68:$C$679),"")</f>
        <v>21956.418939352363</v>
      </c>
      <c r="K117" s="1636">
        <f>IF(VLOOKUP(K$109,Base_Mensuelle!$B$74:$L$679,2,0)&lt;&gt;"",SUMIF(Base_Mensuelle!$A$68:$A$679,K$110,Base_Mensuelle!$C$68:$C$679),"")</f>
        <v>15462</v>
      </c>
    </row>
    <row r="118" spans="1:11" ht="12.75" customHeight="1">
      <c r="A118" s="1638"/>
    </row>
    <row r="119" spans="1:11" ht="12.75" customHeight="1">
      <c r="A119" s="1637" t="s">
        <v>758</v>
      </c>
    </row>
    <row r="121" spans="1:11" ht="12.75" customHeight="1">
      <c r="A121" s="1084" t="s">
        <v>1196</v>
      </c>
      <c r="B121" s="1085"/>
      <c r="C121" s="1085"/>
      <c r="D121" s="1085"/>
      <c r="E121" s="1085"/>
    </row>
    <row r="122" spans="1:11" ht="12.75" customHeight="1">
      <c r="A122" s="1085"/>
      <c r="B122" s="1983">
        <v>9</v>
      </c>
      <c r="C122" s="1983">
        <v>8</v>
      </c>
      <c r="D122" s="1983">
        <v>7</v>
      </c>
      <c r="E122" s="1983">
        <v>6</v>
      </c>
      <c r="F122" s="1983">
        <v>5</v>
      </c>
      <c r="G122" s="1983">
        <v>4</v>
      </c>
      <c r="H122" s="1983">
        <v>3</v>
      </c>
      <c r="I122" s="1983">
        <v>2</v>
      </c>
      <c r="J122" s="1983">
        <v>1</v>
      </c>
      <c r="K122" s="1983">
        <v>0</v>
      </c>
    </row>
    <row r="123" spans="1:11" ht="12.75" customHeight="1">
      <c r="A123" s="1397"/>
      <c r="B123" s="1068">
        <f>YEAR(INDEX(Base_Trimestrielle!$MK$73:$NL$276,MAX(Base_Trimestrielle!$NL$74:$NL$276)-B122,1))</f>
        <v>2021</v>
      </c>
      <c r="C123" s="1068">
        <f>YEAR(INDEX(Base_Trimestrielle!$MK$73:$NL$276,MAX(Base_Trimestrielle!$NL$74:$NL$276)-C122,1))</f>
        <v>2021</v>
      </c>
      <c r="D123" s="1068">
        <f>YEAR(INDEX(Base_Trimestrielle!$MK$73:$NL$276,MAX(Base_Trimestrielle!$NL$74:$NL$276)-D122,1))</f>
        <v>2021</v>
      </c>
      <c r="E123" s="1068">
        <f>YEAR(INDEX(Base_Trimestrielle!$MK$73:$NL$276,MAX(Base_Trimestrielle!$NL$74:$NL$276)-E122,1))</f>
        <v>2021</v>
      </c>
      <c r="F123" s="1068">
        <f>YEAR(INDEX(Base_Trimestrielle!$MK$73:$NL$276,MAX(Base_Trimestrielle!$NL$74:$NL$276)-F122,1))</f>
        <v>2022</v>
      </c>
      <c r="G123" s="1068">
        <f>YEAR(INDEX(Base_Trimestrielle!$MK$73:$NL$276,MAX(Base_Trimestrielle!$NL$74:$NL$276)-G122,1))</f>
        <v>2022</v>
      </c>
      <c r="H123" s="1068">
        <f>YEAR(INDEX(Base_Trimestrielle!$MK$73:$NL$276,MAX(Base_Trimestrielle!$NL$74:$NL$276)-H122,1))</f>
        <v>2022</v>
      </c>
      <c r="I123" s="1068">
        <f>YEAR(INDEX(Base_Trimestrielle!$MK$73:$NL$276,MAX(Base_Trimestrielle!$NL$74:$NL$276)-I122,1))</f>
        <v>2022</v>
      </c>
      <c r="J123" s="1068">
        <f>YEAR(INDEX(Base_Trimestrielle!$MK$73:$NL$276,MAX(Base_Trimestrielle!$NL$74:$NL$276)-J122,1))</f>
        <v>2023</v>
      </c>
      <c r="K123" s="1396">
        <f>YEAR(INDEX(Base_Trimestrielle!$MK$73:$NL$276,MAX(Base_Trimestrielle!$NL$74:$NL$276)-K122,1))</f>
        <v>2023</v>
      </c>
    </row>
    <row r="124" spans="1:11" ht="12.75" customHeight="1">
      <c r="A124" s="1398" t="s">
        <v>759</v>
      </c>
      <c r="B124" s="1560">
        <f>IF(VLOOKUP(CONCATENATE($A124,B$123),Base_Trimestrielle!$MJ$73:$NL$276,29,0) = 0,"",VLOOKUP(CONCATENATE($A124,B$123),Base_Trimestrielle!$MJ$73:$NL$276,29,0))</f>
        <v>85</v>
      </c>
      <c r="C124" s="1984">
        <f>IF(VLOOKUP(CONCATENATE($A124,C$123),Base_Trimestrielle!$MJ$73:$NL$276,29,0) = 0,"",VLOOKUP(CONCATENATE($A124,C$123),Base_Trimestrielle!$MJ$73:$NL$276,29,0))</f>
        <v>85</v>
      </c>
      <c r="D124" s="1984">
        <f>IF(VLOOKUP(CONCATENATE($A124,D$123),Base_Trimestrielle!$MJ$73:$NL$276,29,0) = 0,"",VLOOKUP(CONCATENATE($A124,D$123),Base_Trimestrielle!$MJ$73:$NL$276,29,0))</f>
        <v>85</v>
      </c>
      <c r="E124" s="1984">
        <f>IF(VLOOKUP(CONCATENATE($A124,E$123),Base_Trimestrielle!$MJ$73:$NL$276,29,0) = 0,"",VLOOKUP(CONCATENATE($A124,E$123),Base_Trimestrielle!$MJ$73:$NL$276,29,0))</f>
        <v>85</v>
      </c>
      <c r="F124" s="1984">
        <f>IF(VLOOKUP(CONCATENATE($A124,F$123),Base_Trimestrielle!$MJ$73:$NL$276,29,0) = 0,"",VLOOKUP(CONCATENATE($A124,F$123),Base_Trimestrielle!$MJ$73:$NL$276,29,0))</f>
        <v>89</v>
      </c>
      <c r="G124" s="1984">
        <f>IF(VLOOKUP(CONCATENATE($A124,G$123),Base_Trimestrielle!$MJ$73:$NL$276,29,0) = 0,"",VLOOKUP(CONCATENATE($A124,G$123),Base_Trimestrielle!$MJ$73:$NL$276,29,0))</f>
        <v>89</v>
      </c>
      <c r="H124" s="1984">
        <f>IF(VLOOKUP(CONCATENATE($A124,H$123),Base_Trimestrielle!$MJ$73:$NL$276,29,0) = 0,"",VLOOKUP(CONCATENATE($A124,H$123),Base_Trimestrielle!$MJ$73:$NL$276,29,0))</f>
        <v>89</v>
      </c>
      <c r="I124" s="1984">
        <f>IF(VLOOKUP(CONCATENATE($A124,I$123),Base_Trimestrielle!$MJ$73:$NL$276,29,0) = 0,"",VLOOKUP(CONCATENATE($A124,I$123),Base_Trimestrielle!$MJ$73:$NL$276,29,0))</f>
        <v>89</v>
      </c>
      <c r="J124" s="1984">
        <f>IF(VLOOKUP(CONCATENATE($A124,J$123),Base_Trimestrielle!$MJ$73:$NL$276,29,0) = 0,"",VLOOKUP(CONCATENATE($A124,J$123),Base_Trimestrielle!$MJ$73:$NL$276,29,0))</f>
        <v>93</v>
      </c>
      <c r="K124" s="1984">
        <f>IF(VLOOKUP(CONCATENATE($A124,K$123),Base_Trimestrielle!$MJ$73:$NL$276,29,0) = 0,"",VLOOKUP(CONCATENATE($A124,K$123),Base_Trimestrielle!$MJ$73:$NL$276,29,0))</f>
        <v>93</v>
      </c>
    </row>
    <row r="125" spans="1:11" ht="12.75" customHeight="1">
      <c r="A125" s="1399" t="s">
        <v>760</v>
      </c>
      <c r="B125" s="1561">
        <f>IF(VLOOKUP(CONCATENATE($A125,B$123),Base_Trimestrielle!$MJ$73:$NL$276,29,0) = 0,"",VLOOKUP(CONCATENATE($A125,B$123),Base_Trimestrielle!$MJ$73:$NL$276,29,0))</f>
        <v>86</v>
      </c>
      <c r="C125" s="1985">
        <f>IF(VLOOKUP(CONCATENATE($A125,C$123),Base_Trimestrielle!$MJ$73:$NL$276,29,0) = 0,"",VLOOKUP(CONCATENATE($A125,C$123),Base_Trimestrielle!$MJ$73:$NL$276,29,0))</f>
        <v>86</v>
      </c>
      <c r="D125" s="1985">
        <f>IF(VLOOKUP(CONCATENATE($A125,D$123),Base_Trimestrielle!$MJ$73:$NL$276,29,0) = 0,"",VLOOKUP(CONCATENATE($A125,D$123),Base_Trimestrielle!$MJ$73:$NL$276,29,0))</f>
        <v>86</v>
      </c>
      <c r="E125" s="1985">
        <f>IF(VLOOKUP(CONCATENATE($A125,E$123),Base_Trimestrielle!$MJ$73:$NL$276,29,0) = 0,"",VLOOKUP(CONCATENATE($A125,E$123),Base_Trimestrielle!$MJ$73:$NL$276,29,0))</f>
        <v>86</v>
      </c>
      <c r="F125" s="1985">
        <f>IF(VLOOKUP(CONCATENATE($A125,F$123),Base_Trimestrielle!$MJ$73:$NL$276,29,0) = 0,"",VLOOKUP(CONCATENATE($A125,F$123),Base_Trimestrielle!$MJ$73:$NL$276,29,0))</f>
        <v>90</v>
      </c>
      <c r="G125" s="1985">
        <f>IF(VLOOKUP(CONCATENATE($A125,G$123),Base_Trimestrielle!$MJ$73:$NL$276,29,0) = 0,"",VLOOKUP(CONCATENATE($A125,G$123),Base_Trimestrielle!$MJ$73:$NL$276,29,0))</f>
        <v>90</v>
      </c>
      <c r="H125" s="1985">
        <f>IF(VLOOKUP(CONCATENATE($A125,H$123),Base_Trimestrielle!$MJ$73:$NL$276,29,0) = 0,"",VLOOKUP(CONCATENATE($A125,H$123),Base_Trimestrielle!$MJ$73:$NL$276,29,0))</f>
        <v>90</v>
      </c>
      <c r="I125" s="1985">
        <f>IF(VLOOKUP(CONCATENATE($A125,I$123),Base_Trimestrielle!$MJ$73:$NL$276,29,0) = 0,"",VLOOKUP(CONCATENATE($A125,I$123),Base_Trimestrielle!$MJ$73:$NL$276,29,0))</f>
        <v>90</v>
      </c>
      <c r="J125" s="1985">
        <f>IF(VLOOKUP(CONCATENATE($A125,J$123),Base_Trimestrielle!$MJ$73:$NL$276,29,0) = 0,"",VLOOKUP(CONCATENATE($A125,J$123),Base_Trimestrielle!$MJ$73:$NL$276,29,0))</f>
        <v>94</v>
      </c>
      <c r="K125" s="1985">
        <f>IF(VLOOKUP(CONCATENATE($A125,K$123),Base_Trimestrielle!$MJ$73:$NL$276,29,0) = 0,"",VLOOKUP(CONCATENATE($A125,K$123),Base_Trimestrielle!$MJ$73:$NL$276,29,0))</f>
        <v>94</v>
      </c>
    </row>
    <row r="126" spans="1:11" ht="12.75" customHeight="1">
      <c r="A126" s="1400" t="s">
        <v>761</v>
      </c>
      <c r="B126" s="1562">
        <f>IF(VLOOKUP(CONCATENATE($A126,B$123),Base_Trimestrielle!$MJ$73:$NL$276,29,0) = 0,"",VLOOKUP(CONCATENATE($A126,B$123),Base_Trimestrielle!$MJ$73:$NL$276,29,0))</f>
        <v>87</v>
      </c>
      <c r="C126" s="1986">
        <f>IF(VLOOKUP(CONCATENATE($A126,C$123),Base_Trimestrielle!$MJ$73:$NL$276,29,0) = 0,"",VLOOKUP(CONCATENATE($A126,C$123),Base_Trimestrielle!$MJ$73:$NL$276,29,0))</f>
        <v>87</v>
      </c>
      <c r="D126" s="1986">
        <f>IF(VLOOKUP(CONCATENATE($A126,D$123),Base_Trimestrielle!$MJ$73:$NL$276,29,0) = 0,"",VLOOKUP(CONCATENATE($A126,D$123),Base_Trimestrielle!$MJ$73:$NL$276,29,0))</f>
        <v>87</v>
      </c>
      <c r="E126" s="1986">
        <f>IF(VLOOKUP(CONCATENATE($A126,E$123),Base_Trimestrielle!$MJ$73:$NL$276,29,0) = 0,"",VLOOKUP(CONCATENATE($A126,E$123),Base_Trimestrielle!$MJ$73:$NL$276,29,0))</f>
        <v>87</v>
      </c>
      <c r="F126" s="1986">
        <f>IF(VLOOKUP(CONCATENATE($A126,F$123),Base_Trimestrielle!$MJ$73:$NL$276,29,0) = 0,"",VLOOKUP(CONCATENATE($A126,F$123),Base_Trimestrielle!$MJ$73:$NL$276,29,0))</f>
        <v>91</v>
      </c>
      <c r="G126" s="1986">
        <f>IF(VLOOKUP(CONCATENATE($A126,G$123),Base_Trimestrielle!$MJ$73:$NL$276,29,0) = 0,"",VLOOKUP(CONCATENATE($A126,G$123),Base_Trimestrielle!$MJ$73:$NL$276,29,0))</f>
        <v>91</v>
      </c>
      <c r="H126" s="1986">
        <f>IF(VLOOKUP(CONCATENATE($A126,H$123),Base_Trimestrielle!$MJ$73:$NL$276,29,0) = 0,"",VLOOKUP(CONCATENATE($A126,H$123),Base_Trimestrielle!$MJ$73:$NL$276,29,0))</f>
        <v>91</v>
      </c>
      <c r="I126" s="1986">
        <f>IF(VLOOKUP(CONCATENATE($A126,I$123),Base_Trimestrielle!$MJ$73:$NL$276,29,0) = 0,"",VLOOKUP(CONCATENATE($A126,I$123),Base_Trimestrielle!$MJ$73:$NL$276,29,0))</f>
        <v>91</v>
      </c>
      <c r="J126" s="1986">
        <f>IF(VLOOKUP(CONCATENATE($A126,J$123),Base_Trimestrielle!$MJ$73:$NL$276,29,0) = 0,"",VLOOKUP(CONCATENATE($A126,J$123),Base_Trimestrielle!$MJ$73:$NL$276,29,0))</f>
        <v>95</v>
      </c>
      <c r="K126" s="1986">
        <f>IF(VLOOKUP(CONCATENATE($A126,K$123),Base_Trimestrielle!$MJ$73:$NL$276,29,0) = 0,"",VLOOKUP(CONCATENATE($A126,K$123),Base_Trimestrielle!$MJ$73:$NL$276,29,0))</f>
        <v>95</v>
      </c>
    </row>
    <row r="127" spans="1:11" ht="12.75" customHeight="1">
      <c r="A127" s="1401" t="s">
        <v>762</v>
      </c>
      <c r="B127" s="1563">
        <f>IF(VLOOKUP(CONCATENATE($A127,B$123),Base_Trimestrielle!$MJ$73:$NL$276,29,0) = 0,"",VLOOKUP(CONCATENATE($A127,B$123),Base_Trimestrielle!$MJ$73:$NL$276,29,0))</f>
        <v>88</v>
      </c>
      <c r="C127" s="1987">
        <f>IF(VLOOKUP(CONCATENATE($A127,C$123),Base_Trimestrielle!$MJ$73:$NL$276,29,0) = 0,"",VLOOKUP(CONCATENATE($A127,C$123),Base_Trimestrielle!$MJ$73:$NL$276,29,0))</f>
        <v>88</v>
      </c>
      <c r="D127" s="1987">
        <f>IF(VLOOKUP(CONCATENATE($A127,D$123),Base_Trimestrielle!$MJ$73:$NL$276,29,0) = 0,"",VLOOKUP(CONCATENATE($A127,D$123),Base_Trimestrielle!$MJ$73:$NL$276,29,0))</f>
        <v>88</v>
      </c>
      <c r="E127" s="1987">
        <f>IF(VLOOKUP(CONCATENATE($A127,E$123),Base_Trimestrielle!$MJ$73:$NL$276,29,0) = 0,"",VLOOKUP(CONCATENATE($A127,E$123),Base_Trimestrielle!$MJ$73:$NL$276,29,0))</f>
        <v>88</v>
      </c>
      <c r="F127" s="1987">
        <f>IF(VLOOKUP(CONCATENATE($A127,F$123),Base_Trimestrielle!$MJ$73:$NL$276,29,0) = 0,"",VLOOKUP(CONCATENATE($A127,F$123),Base_Trimestrielle!$MJ$73:$NL$276,29,0))</f>
        <v>92</v>
      </c>
      <c r="G127" s="1987">
        <f>IF(VLOOKUP(CONCATENATE($A127,G$123),Base_Trimestrielle!$MJ$73:$NL$276,29,0) = 0,"",VLOOKUP(CONCATENATE($A127,G$123),Base_Trimestrielle!$MJ$73:$NL$276,29,0))</f>
        <v>92</v>
      </c>
      <c r="H127" s="1987">
        <f>IF(VLOOKUP(CONCATENATE($A127,H$123),Base_Trimestrielle!$MJ$73:$NL$276,29,0) = 0,"",VLOOKUP(CONCATENATE($A127,H$123),Base_Trimestrielle!$MJ$73:$NL$276,29,0))</f>
        <v>92</v>
      </c>
      <c r="I127" s="1987">
        <f>IF(VLOOKUP(CONCATENATE($A127,I$123),Base_Trimestrielle!$MJ$73:$NL$276,29,0) = 0,"",VLOOKUP(CONCATENATE($A127,I$123),Base_Trimestrielle!$MJ$73:$NL$276,29,0))</f>
        <v>92</v>
      </c>
      <c r="J127" s="1987" t="str">
        <f>IF(VLOOKUP(CONCATENATE($A127,J$123),Base_Trimestrielle!$MJ$73:$NL$276,29,0) = 0,"",VLOOKUP(CONCATENATE($A127,J$123),Base_Trimestrielle!$MJ$73:$NL$276,29,0))</f>
        <v/>
      </c>
      <c r="K127" s="1987" t="str">
        <f>IF(VLOOKUP(CONCATENATE($A127,K$123),Base_Trimestrielle!$MJ$73:$NL$276,29,0) = 0,"",VLOOKUP(CONCATENATE($A127,K$123),Base_Trimestrielle!$MJ$73:$NL$276,29,0))</f>
        <v/>
      </c>
    </row>
    <row r="128" spans="1:11" ht="12.75" customHeight="1">
      <c r="A128" s="1088" t="s">
        <v>763</v>
      </c>
      <c r="B128" s="1086"/>
      <c r="C128" s="1086"/>
      <c r="D128" s="1086"/>
      <c r="E128" s="1087"/>
      <c r="F128" s="1087"/>
    </row>
    <row r="130" spans="1:12" ht="12.75" customHeight="1">
      <c r="A130" s="1084" t="s">
        <v>1106</v>
      </c>
    </row>
    <row r="131" spans="1:12" ht="9" customHeight="1">
      <c r="B131" s="1983">
        <v>9</v>
      </c>
      <c r="C131" s="1983">
        <v>8</v>
      </c>
      <c r="D131" s="1983">
        <v>7</v>
      </c>
      <c r="E131" s="1983">
        <v>6</v>
      </c>
      <c r="F131" s="1983">
        <v>5</v>
      </c>
      <c r="G131" s="1983">
        <v>4</v>
      </c>
      <c r="H131" s="1983">
        <v>3</v>
      </c>
      <c r="I131" s="1983">
        <v>2</v>
      </c>
      <c r="J131" s="1983">
        <v>1</v>
      </c>
      <c r="K131" s="1983">
        <v>0</v>
      </c>
    </row>
    <row r="132" spans="1:12" ht="9" customHeight="1">
      <c r="A132" s="1397"/>
      <c r="B132" s="1396">
        <f>YEAR(INDEX(Base_Trimestrielle!$MK$73:$NL$276,MAX(Base_Trimestrielle!$NL$74:$NL$276)-B131,1))</f>
        <v>2021</v>
      </c>
      <c r="C132" s="1396">
        <f>YEAR(INDEX(Base_Trimestrielle!$MK$73:$NL$276,MAX(Base_Trimestrielle!$NL$74:$NL$276)-C131,1))</f>
        <v>2021</v>
      </c>
      <c r="D132" s="1396">
        <f>YEAR(INDEX(Base_Trimestrielle!$MK$73:$NL$276,MAX(Base_Trimestrielle!$NL$74:$NL$276)-D131,1))</f>
        <v>2021</v>
      </c>
      <c r="E132" s="1396">
        <f>YEAR(INDEX(Base_Trimestrielle!$MK$73:$NL$276,MAX(Base_Trimestrielle!$NL$74:$NL$276)-E131,1))</f>
        <v>2021</v>
      </c>
      <c r="F132" s="1396">
        <f>YEAR(INDEX(Base_Trimestrielle!$MK$73:$NL$276,MAX(Base_Trimestrielle!$NL$74:$NL$276)-F131,1))</f>
        <v>2022</v>
      </c>
      <c r="G132" s="1396">
        <f>YEAR(INDEX(Base_Trimestrielle!$MK$73:$NL$276,MAX(Base_Trimestrielle!$NL$74:$NL$276)-G131,1))</f>
        <v>2022</v>
      </c>
      <c r="H132" s="1396">
        <f>YEAR(INDEX(Base_Trimestrielle!$MK$73:$NL$276,MAX(Base_Trimestrielle!$NL$74:$NL$276)-H131,1))</f>
        <v>2022</v>
      </c>
      <c r="I132" s="1396">
        <f>YEAR(INDEX(Base_Trimestrielle!$MK$73:$NL$276,MAX(Base_Trimestrielle!$NL$74:$NL$276)-I131,1))</f>
        <v>2022</v>
      </c>
      <c r="J132" s="1396">
        <f>YEAR(INDEX(Base_Trimestrielle!$MK$73:$NL$276,MAX(Base_Trimestrielle!$NL$74:$NL$276)-J131,1))</f>
        <v>2023</v>
      </c>
      <c r="K132" s="1396">
        <f>YEAR(INDEX(Base_Trimestrielle!$MK$73:$NL$276,MAX(Base_Trimestrielle!$NL$74:$NL$276)-K131,1))</f>
        <v>2023</v>
      </c>
    </row>
    <row r="133" spans="1:12" ht="12.75" customHeight="1">
      <c r="A133" s="1398" t="s">
        <v>759</v>
      </c>
      <c r="B133" s="1560">
        <f>IF(VLOOKUP(CONCATENATE($A133,B$132),Base_Trimestrielle!$P$73:$U$276,4,0) = 0,"",VLOOKUP(CONCATENATE($A133,B$132),Base_Trimestrielle!$P$73:$U$276,4,0))</f>
        <v>112.96202704299999</v>
      </c>
      <c r="C133" s="1076">
        <f>IF(VLOOKUP(CONCATENATE($A133,C$132),Base_Trimestrielle!$P$73:$U$276,4,0) = 0,"",VLOOKUP(CONCATENATE($A133,C$132),Base_Trimestrielle!$P$73:$U$276,4,0))</f>
        <v>112.96202704299999</v>
      </c>
      <c r="D133" s="1076">
        <f>IF(VLOOKUP(CONCATENATE($A133,D$132),Base_Trimestrielle!$P$73:$U$276,4,0) = 0,"",VLOOKUP(CONCATENATE($A133,D$132),Base_Trimestrielle!$P$73:$U$276,4,0))</f>
        <v>112.96202704299999</v>
      </c>
      <c r="E133" s="1076">
        <f>IF(VLOOKUP(CONCATENATE($A133,E$132),Base_Trimestrielle!$P$73:$U$276,4,0) = 0,"",VLOOKUP(CONCATENATE($A133,E$132),Base_Trimestrielle!$P$73:$U$276,4,0))</f>
        <v>112.96202704299999</v>
      </c>
      <c r="F133" s="1076">
        <f>IF(VLOOKUP(CONCATENATE($A133,F$132),Base_Trimestrielle!$P$73:$U$276,4,0) = 0,"",VLOOKUP(CONCATENATE($A133,F$132),Base_Trimestrielle!$P$73:$U$276,4,0))</f>
        <v>35.594705486000002</v>
      </c>
      <c r="G133" s="1076">
        <f>IF(VLOOKUP(CONCATENATE($A133,G$132),Base_Trimestrielle!$P$73:$U$276,4,0) = 0,"",VLOOKUP(CONCATENATE($A133,G$132),Base_Trimestrielle!$P$73:$U$276,4,0))</f>
        <v>35.594705486000002</v>
      </c>
      <c r="H133" s="1076">
        <f>IF(VLOOKUP(CONCATENATE($A133,H$132),Base_Trimestrielle!$P$73:$U$276,4,0) = 0,"",VLOOKUP(CONCATENATE($A133,H$132),Base_Trimestrielle!$P$73:$U$276,4,0))</f>
        <v>35.594705486000002</v>
      </c>
      <c r="I133" s="1076">
        <f>IF(VLOOKUP(CONCATENATE($A133,I$132),Base_Trimestrielle!$P$73:$U$276,4,0) = 0,"",VLOOKUP(CONCATENATE($A133,I$132),Base_Trimestrielle!$P$73:$U$276,4,0))</f>
        <v>35.594705486000002</v>
      </c>
      <c r="J133" s="1076">
        <f>IF(VLOOKUP(CONCATENATE($A133,J$132),Base_Trimestrielle!$P$73:$U$276,4,0) = 0,"",VLOOKUP(CONCATENATE($A133,J$132),Base_Trimestrielle!$P$73:$U$276,4,0))</f>
        <v>21.169567752216768</v>
      </c>
      <c r="K133" s="1984">
        <f>IF(VLOOKUP(CONCATENATE($A133,K$132),Base_Trimestrielle!$P$73:$U$276,4,0) = 0,"",VLOOKUP(CONCATENATE($A133,K$132),Base_Trimestrielle!$P$73:$U$276,4,0))</f>
        <v>21.169567752216768</v>
      </c>
    </row>
    <row r="134" spans="1:12" ht="12.75" customHeight="1">
      <c r="A134" s="1399" t="s">
        <v>760</v>
      </c>
      <c r="B134" s="1561">
        <f>IF(VLOOKUP(CONCATENATE($A134,B$132),Base_Trimestrielle!$P$73:$U$276,4,0) = 0,"",VLOOKUP(CONCATENATE($A134,B$132),Base_Trimestrielle!$P$73:$U$276,4,0))</f>
        <v>99.071045419000001</v>
      </c>
      <c r="C134" s="1077">
        <f>IF(VLOOKUP(CONCATENATE($A134,C$132),Base_Trimestrielle!$P$73:$U$276,4,0) = 0,"",VLOOKUP(CONCATENATE($A134,C$132),Base_Trimestrielle!$P$73:$U$276,4,0))</f>
        <v>99.071045419000001</v>
      </c>
      <c r="D134" s="1077">
        <f>IF(VLOOKUP(CONCATENATE($A134,D$132),Base_Trimestrielle!$P$73:$U$276,4,0) = 0,"",VLOOKUP(CONCATENATE($A134,D$132),Base_Trimestrielle!$P$73:$U$276,4,0))</f>
        <v>99.071045419000001</v>
      </c>
      <c r="E134" s="1077">
        <f>IF(VLOOKUP(CONCATENATE($A134,E$132),Base_Trimestrielle!$P$73:$U$276,4,0) = 0,"",VLOOKUP(CONCATENATE($A134,E$132),Base_Trimestrielle!$P$73:$U$276,4,0))</f>
        <v>99.071045419000001</v>
      </c>
      <c r="F134" s="1077">
        <f>IF(VLOOKUP(CONCATENATE($A134,F$132),Base_Trimestrielle!$P$73:$U$276,4,0) = 0,"",VLOOKUP(CONCATENATE($A134,F$132),Base_Trimestrielle!$P$73:$U$276,4,0))</f>
        <v>23.486660526000001</v>
      </c>
      <c r="G134" s="1077">
        <f>IF(VLOOKUP(CONCATENATE($A134,G$132),Base_Trimestrielle!$P$73:$U$276,4,0) = 0,"",VLOOKUP(CONCATENATE($A134,G$132),Base_Trimestrielle!$P$73:$U$276,4,0))</f>
        <v>23.486660526000001</v>
      </c>
      <c r="H134" s="1077">
        <f>IF(VLOOKUP(CONCATENATE($A134,H$132),Base_Trimestrielle!$P$73:$U$276,4,0) = 0,"",VLOOKUP(CONCATENATE($A134,H$132),Base_Trimestrielle!$P$73:$U$276,4,0))</f>
        <v>23.486660526000001</v>
      </c>
      <c r="I134" s="1077">
        <f>IF(VLOOKUP(CONCATENATE($A134,I$132),Base_Trimestrielle!$P$73:$U$276,4,0) = 0,"",VLOOKUP(CONCATENATE($A134,I$132),Base_Trimestrielle!$P$73:$U$276,4,0))</f>
        <v>23.486660526000001</v>
      </c>
      <c r="J134" s="1077">
        <f>IF(VLOOKUP(CONCATENATE($A134,J$132),Base_Trimestrielle!$P$73:$U$276,4,0) = 0,"",VLOOKUP(CONCATENATE($A134,J$132),Base_Trimestrielle!$P$73:$U$276,4,0))</f>
        <v>2.2853293800575729</v>
      </c>
      <c r="K134" s="1402">
        <f>IF(VLOOKUP(CONCATENATE($A134,K$132),Base_Trimestrielle!$P$73:$U$276,4,0) = 0,"",VLOOKUP(CONCATENATE($A134,K$132),Base_Trimestrielle!$P$73:$U$276,4,0))</f>
        <v>2.2853293800575729</v>
      </c>
    </row>
    <row r="135" spans="1:12" ht="12.75" customHeight="1">
      <c r="A135" s="1400" t="s">
        <v>761</v>
      </c>
      <c r="B135" s="1562" t="str">
        <f>IF(VLOOKUP(CONCATENATE($A135,B$132),Base_Trimestrielle!$P$73:$U$276,4,0) = 0,"",VLOOKUP(CONCATENATE($A135,B$132),Base_Trimestrielle!$P$73:$U$276,4,0))</f>
        <v/>
      </c>
      <c r="C135" s="1079" t="str">
        <f>IF(VLOOKUP(CONCATENATE($A135,C$132),Base_Trimestrielle!$P$73:$U$276,4,0) = 0,"",VLOOKUP(CONCATENATE($A135,C$132),Base_Trimestrielle!$P$73:$U$276,4,0))</f>
        <v/>
      </c>
      <c r="D135" s="1079" t="str">
        <f>IF(VLOOKUP(CONCATENATE($A135,D$132),Base_Trimestrielle!$P$73:$U$276,4,0) = 0,"",VLOOKUP(CONCATENATE($A135,D$132),Base_Trimestrielle!$P$73:$U$276,4,0))</f>
        <v/>
      </c>
      <c r="E135" s="1079" t="str">
        <f>IF(VLOOKUP(CONCATENATE($A135,E$132),Base_Trimestrielle!$P$73:$U$276,4,0) = 0,"",VLOOKUP(CONCATENATE($A135,E$132),Base_Trimestrielle!$P$73:$U$276,4,0))</f>
        <v/>
      </c>
      <c r="F135" s="1079" t="str">
        <f>IF(VLOOKUP(CONCATENATE($A135,F$132),Base_Trimestrielle!$P$73:$U$276,4,0) = 0,"",VLOOKUP(CONCATENATE($A135,F$132),Base_Trimestrielle!$P$73:$U$276,4,0))</f>
        <v/>
      </c>
      <c r="G135" s="1079" t="str">
        <f>IF(VLOOKUP(CONCATENATE($A135,G$132),Base_Trimestrielle!$P$73:$U$276,4,0) = 0,"",VLOOKUP(CONCATENATE($A135,G$132),Base_Trimestrielle!$P$73:$U$276,4,0))</f>
        <v/>
      </c>
      <c r="H135" s="1079" t="str">
        <f>IF(VLOOKUP(CONCATENATE($A135,H$132),Base_Trimestrielle!$P$73:$U$276,4,0) = 0,"",VLOOKUP(CONCATENATE($A135,H$132),Base_Trimestrielle!$P$73:$U$276,4,0))</f>
        <v/>
      </c>
      <c r="I135" s="1079" t="str">
        <f>IF(VLOOKUP(CONCATENATE($A135,I$132),Base_Trimestrielle!$P$73:$U$276,4,0) = 0,"",VLOOKUP(CONCATENATE($A135,I$132),Base_Trimestrielle!$P$73:$U$276,4,0))</f>
        <v/>
      </c>
      <c r="J135" s="1079" t="str">
        <f>IF(VLOOKUP(CONCATENATE($A135,J$132),Base_Trimestrielle!$P$73:$U$276,4,0) = 0,"",VLOOKUP(CONCATENATE($A135,J$132),Base_Trimestrielle!$P$73:$U$276,4,0))</f>
        <v/>
      </c>
      <c r="K135" s="1079" t="str">
        <f>IF(VLOOKUP(CONCATENATE($A135,K$132),Base_Trimestrielle!$P$73:$U$276,4,0) = 0,"",VLOOKUP(CONCATENATE($A135,K$132),Base_Trimestrielle!$P$73:$U$276,4,0))</f>
        <v/>
      </c>
    </row>
    <row r="136" spans="1:12" ht="12.75" customHeight="1">
      <c r="A136" s="1401" t="s">
        <v>762</v>
      </c>
      <c r="B136" s="1563">
        <f>IF(VLOOKUP(CONCATENATE($A136,B$132),Base_Trimestrielle!$P$73:$U$276,4,0) = 0,"",VLOOKUP(CONCATENATE($A136,B$132),Base_Trimestrielle!$P$73:$U$276,4,0))</f>
        <v>53.220118014000001</v>
      </c>
      <c r="C136" s="1080">
        <f>IF(VLOOKUP(CONCATENATE($A136,C$132),Base_Trimestrielle!$P$73:$U$276,4,0) = 0,"",VLOOKUP(CONCATENATE($A136,C$132),Base_Trimestrielle!$P$73:$U$276,4,0))</f>
        <v>53.220118014000001</v>
      </c>
      <c r="D136" s="1080">
        <f>IF(VLOOKUP(CONCATENATE($A136,D$132),Base_Trimestrielle!$P$73:$U$276,4,0) = 0,"",VLOOKUP(CONCATENATE($A136,D$132),Base_Trimestrielle!$P$73:$U$276,4,0))</f>
        <v>53.220118014000001</v>
      </c>
      <c r="E136" s="1080">
        <f>IF(VLOOKUP(CONCATENATE($A136,E$132),Base_Trimestrielle!$P$73:$U$276,4,0) = 0,"",VLOOKUP(CONCATENATE($A136,E$132),Base_Trimestrielle!$P$73:$U$276,4,0))</f>
        <v>53.220118014000001</v>
      </c>
      <c r="F136" s="1080">
        <f>IF(VLOOKUP(CONCATENATE($A136,F$132),Base_Trimestrielle!$P$73:$U$276,4,0) = 0,"",VLOOKUP(CONCATENATE($A136,F$132),Base_Trimestrielle!$P$73:$U$276,4,0))</f>
        <v>53.220118014000001</v>
      </c>
      <c r="G136" s="1080">
        <f>IF(VLOOKUP(CONCATENATE($A136,G$132),Base_Trimestrielle!$P$73:$U$276,4,0) = 0,"",VLOOKUP(CONCATENATE($A136,G$132),Base_Trimestrielle!$P$73:$U$276,4,0))</f>
        <v>53.220118014000001</v>
      </c>
      <c r="H136" s="1080">
        <f>IF(VLOOKUP(CONCATENATE($A136,H$132),Base_Trimestrielle!$P$73:$U$276,4,0) = 0,"",VLOOKUP(CONCATENATE($A136,H$132),Base_Trimestrielle!$P$73:$U$276,4,0))</f>
        <v>53.220118014000001</v>
      </c>
      <c r="I136" s="1080">
        <f>IF(VLOOKUP(CONCATENATE($A136,I$132),Base_Trimestrielle!$P$73:$U$276,4,0) = 0,"",VLOOKUP(CONCATENATE($A136,I$132),Base_Trimestrielle!$P$73:$U$276,4,0))</f>
        <v>53.220118014000001</v>
      </c>
      <c r="J136" s="1080">
        <f>IF(VLOOKUP(CONCATENATE($A136,J$132),Base_Trimestrielle!$P$73:$U$276,4,0) = 0,"",VLOOKUP(CONCATENATE($A136,J$132),Base_Trimestrielle!$P$73:$U$276,4,0))</f>
        <v>53.220118014000001</v>
      </c>
      <c r="K136" s="1403">
        <f>IF(VLOOKUP(CONCATENATE($A136,K$132),Base_Trimestrielle!$P$73:$U$276,4,0) = 0,"",VLOOKUP(CONCATENATE($A136,K$132),Base_Trimestrielle!$P$73:$U$276,4,0))</f>
        <v>53.220118014000001</v>
      </c>
    </row>
    <row r="137" spans="1:12" ht="12.75" customHeight="1">
      <c r="A137" s="1073" t="s">
        <v>344</v>
      </c>
      <c r="B137" s="1089"/>
      <c r="C137" s="1090"/>
      <c r="D137" s="1090"/>
      <c r="E137" s="1090"/>
      <c r="F137" s="1091"/>
    </row>
    <row r="139" spans="1:12" ht="12.75" customHeight="1">
      <c r="A139" s="1084" t="s">
        <v>1107</v>
      </c>
    </row>
    <row r="140" spans="1:12" ht="9" customHeight="1">
      <c r="A140" s="1073"/>
    </row>
    <row r="141" spans="1:12" ht="12.75" customHeight="1">
      <c r="A141" s="1397"/>
      <c r="B141" s="1068">
        <v>2014</v>
      </c>
      <c r="C141" s="1068">
        <v>2015</v>
      </c>
      <c r="D141" s="1068">
        <v>2016</v>
      </c>
      <c r="E141" s="1068">
        <v>2017</v>
      </c>
      <c r="F141" s="1068">
        <v>2018</v>
      </c>
      <c r="G141" s="1068">
        <v>2019</v>
      </c>
      <c r="H141" s="1068">
        <v>2020</v>
      </c>
      <c r="I141" s="1068">
        <v>2021</v>
      </c>
      <c r="J141" s="1068">
        <v>2022</v>
      </c>
      <c r="K141" s="1396">
        <v>2023</v>
      </c>
    </row>
    <row r="142" spans="1:12" ht="12.75" customHeight="1">
      <c r="A142" s="1398" t="s">
        <v>735</v>
      </c>
      <c r="B142" s="1560">
        <v>2.7234220000000002</v>
      </c>
      <c r="C142" s="1741">
        <v>2.8539306500000001</v>
      </c>
      <c r="D142" s="1741">
        <v>2.5832514</v>
      </c>
      <c r="E142" s="1741">
        <v>3.3532337699999997</v>
      </c>
      <c r="F142" s="1741">
        <v>4.8546779899999999</v>
      </c>
      <c r="G142" s="1741">
        <v>4.3768694300000002</v>
      </c>
      <c r="H142" s="1741">
        <v>4.4317695400000003</v>
      </c>
      <c r="I142" s="1741">
        <v>5.8526045999999994</v>
      </c>
      <c r="J142" s="1741">
        <v>5.6962200000000003</v>
      </c>
      <c r="K142" s="1742">
        <v>3.6472280000000001</v>
      </c>
    </row>
    <row r="143" spans="1:12" ht="12.75" customHeight="1">
      <c r="A143" s="1399" t="s">
        <v>736</v>
      </c>
      <c r="B143" s="1561">
        <v>2.5249859299999997</v>
      </c>
      <c r="C143" s="1743">
        <v>3.0463207000000003</v>
      </c>
      <c r="D143" s="1743">
        <v>2.5214145800000001</v>
      </c>
      <c r="E143" s="1743">
        <v>3.39557764</v>
      </c>
      <c r="F143" s="1743">
        <v>4.5785624000000009</v>
      </c>
      <c r="G143" s="1743">
        <v>4.1484059599999998</v>
      </c>
      <c r="H143" s="1743">
        <v>4.31190286</v>
      </c>
      <c r="I143" s="1743">
        <v>4.790716999999999</v>
      </c>
      <c r="J143" s="1743">
        <v>4.0790999999999995</v>
      </c>
      <c r="K143" s="1744">
        <v>5.407991</v>
      </c>
    </row>
    <row r="144" spans="1:12" ht="12.75" customHeight="1">
      <c r="A144" s="1400" t="s">
        <v>737</v>
      </c>
      <c r="B144" s="1562">
        <v>2.9512057000000005</v>
      </c>
      <c r="C144" s="1745">
        <v>3.2973423199999998</v>
      </c>
      <c r="D144" s="1745">
        <v>2.9454752100000006</v>
      </c>
      <c r="E144" s="1745">
        <v>4.6608873800000001</v>
      </c>
      <c r="F144" s="1745">
        <v>4.6883025900000002</v>
      </c>
      <c r="G144" s="1745">
        <v>4.5619985100000005</v>
      </c>
      <c r="H144" s="1745">
        <v>4.6207410899999992</v>
      </c>
      <c r="I144" s="1745">
        <v>6.530805</v>
      </c>
      <c r="J144" s="1745">
        <v>5.2267000000000001</v>
      </c>
      <c r="K144" s="1746">
        <v>4.8790979999999999</v>
      </c>
      <c r="L144" s="1561"/>
    </row>
    <row r="145" spans="1:12" ht="12.3">
      <c r="A145" s="1399" t="s">
        <v>738</v>
      </c>
      <c r="B145" s="1561">
        <v>2.6505298000000002</v>
      </c>
      <c r="C145" s="1743">
        <v>2.9338249999999997</v>
      </c>
      <c r="D145" s="1743">
        <v>2.5812670500000006</v>
      </c>
      <c r="E145" s="1743">
        <v>3.4157253800000005</v>
      </c>
      <c r="F145" s="1743">
        <v>3.9783373600000003</v>
      </c>
      <c r="G145" s="1743">
        <v>3.85093408</v>
      </c>
      <c r="H145" s="1743">
        <v>4.3334164199999998</v>
      </c>
      <c r="I145" s="1743">
        <v>4.7839756999999992</v>
      </c>
      <c r="J145" s="1743">
        <v>5.0702600000000002</v>
      </c>
      <c r="K145" s="1744">
        <v>4.2127819999999998</v>
      </c>
      <c r="L145" s="1561"/>
    </row>
    <row r="146" spans="1:12" ht="12.3">
      <c r="A146" s="1400" t="s">
        <v>739</v>
      </c>
      <c r="B146" s="1562">
        <v>3.5258746999999997</v>
      </c>
      <c r="C146" s="1745">
        <v>2.8197730999999999</v>
      </c>
      <c r="D146" s="1745">
        <v>2.7246580000000002</v>
      </c>
      <c r="E146" s="1745">
        <v>3.8232180399999995</v>
      </c>
      <c r="F146" s="1745">
        <v>4.4239591000000003</v>
      </c>
      <c r="G146" s="1745">
        <v>4.0154853900000003</v>
      </c>
      <c r="H146" s="1745">
        <v>4.9179536300000004</v>
      </c>
      <c r="I146" s="1745">
        <v>5.1335819999999996</v>
      </c>
      <c r="J146" s="1745">
        <v>5.5975000000000001</v>
      </c>
      <c r="K146" s="1746">
        <v>4.8090169999999999</v>
      </c>
      <c r="L146" s="1561"/>
    </row>
    <row r="147" spans="1:12" ht="12.75" customHeight="1">
      <c r="A147" s="1399" t="s">
        <v>740</v>
      </c>
      <c r="B147" s="1561">
        <v>3.6076638900000009</v>
      </c>
      <c r="C147" s="1743">
        <v>3.101226</v>
      </c>
      <c r="D147" s="1743">
        <v>3.2151105399999991</v>
      </c>
      <c r="E147" s="1743">
        <v>4.2085421299999997</v>
      </c>
      <c r="F147" s="1743">
        <v>4.1026728500000003</v>
      </c>
      <c r="G147" s="1743">
        <v>4.6641176999999985</v>
      </c>
      <c r="H147" s="1743">
        <v>5.2340651200000003</v>
      </c>
      <c r="I147" s="1743">
        <v>6.2679430000000007</v>
      </c>
      <c r="J147" s="1743">
        <v>4.7711199999999998</v>
      </c>
      <c r="K147" s="1744">
        <v>4.5710869999999995</v>
      </c>
      <c r="L147" s="1561"/>
    </row>
    <row r="148" spans="1:12" ht="12.75" customHeight="1">
      <c r="A148" s="1400" t="s">
        <v>741</v>
      </c>
      <c r="B148" s="1562">
        <v>3.4627593000000001</v>
      </c>
      <c r="C148" s="1745">
        <v>3.1936943600000003</v>
      </c>
      <c r="D148" s="1745">
        <v>3.1585079299999999</v>
      </c>
      <c r="E148" s="1745">
        <v>3.0278828799999995</v>
      </c>
      <c r="F148" s="1745">
        <v>3.4495806900000003</v>
      </c>
      <c r="G148" s="1745">
        <v>3.9523907200000004</v>
      </c>
      <c r="H148" s="1745">
        <v>5.0238304300000021</v>
      </c>
      <c r="I148" s="1745">
        <v>5.6021510000000001</v>
      </c>
      <c r="J148" s="1745">
        <v>4.0045099999999998</v>
      </c>
      <c r="K148" s="1745">
        <v>4.258401000000001</v>
      </c>
      <c r="L148" s="1561"/>
    </row>
    <row r="149" spans="1:12" ht="12.75" customHeight="1">
      <c r="A149" s="1399" t="s">
        <v>742</v>
      </c>
      <c r="B149" s="1561">
        <v>2.9584176000000002</v>
      </c>
      <c r="C149" s="1743">
        <v>2.4855827700000002</v>
      </c>
      <c r="D149" s="1743">
        <v>3.8573771399999996</v>
      </c>
      <c r="E149" s="1743">
        <v>3.8564358099999998</v>
      </c>
      <c r="F149" s="1743">
        <v>4.5856326299999992</v>
      </c>
      <c r="G149" s="1743">
        <v>3.2239057700000004</v>
      </c>
      <c r="H149" s="1743">
        <v>5.3065086300000006</v>
      </c>
      <c r="I149" s="1743">
        <v>5.756829999999999</v>
      </c>
      <c r="J149" s="1747">
        <v>4.2920800000000003</v>
      </c>
      <c r="K149" s="1743">
        <v>5.1342589999999992</v>
      </c>
      <c r="L149" s="1561"/>
    </row>
    <row r="150" spans="1:12" ht="12.75" customHeight="1">
      <c r="A150" s="1400" t="s">
        <v>743</v>
      </c>
      <c r="B150" s="1562">
        <v>3.1095832900000002</v>
      </c>
      <c r="C150" s="1745">
        <v>2.6257434900000005</v>
      </c>
      <c r="D150" s="1745">
        <v>3.5223144299999998</v>
      </c>
      <c r="E150" s="1745">
        <v>3.52650781</v>
      </c>
      <c r="F150" s="1745">
        <v>4.0375375299999998</v>
      </c>
      <c r="G150" s="1745">
        <v>4.3205639199999997</v>
      </c>
      <c r="H150" s="1745">
        <v>5.1668376600000006</v>
      </c>
      <c r="I150" s="1745">
        <v>5.4069589999999996</v>
      </c>
      <c r="J150" s="1745">
        <v>4.9131099999999996</v>
      </c>
      <c r="K150" s="1745">
        <v>5.0275410000000003</v>
      </c>
      <c r="L150" s="1561"/>
    </row>
    <row r="151" spans="1:12" ht="12.75" customHeight="1">
      <c r="A151" s="1399" t="s">
        <v>744</v>
      </c>
      <c r="B151" s="1561">
        <v>2.9197861999999999</v>
      </c>
      <c r="C151" s="1743">
        <v>3.7341034000000004</v>
      </c>
      <c r="D151" s="1743">
        <v>3.2658701000000003</v>
      </c>
      <c r="E151" s="1743">
        <v>3.4550644099999999</v>
      </c>
      <c r="F151" s="1743">
        <v>4.5317070900000003</v>
      </c>
      <c r="G151" s="1748">
        <v>4.1195581600000004</v>
      </c>
      <c r="H151" s="1748">
        <v>5.0539269099999995</v>
      </c>
      <c r="I151" s="1748">
        <v>5.3003240000000007</v>
      </c>
      <c r="J151" s="1748">
        <v>3.2709999999999999</v>
      </c>
      <c r="K151" s="1749">
        <v>4.2918459999999996</v>
      </c>
      <c r="L151" s="1561"/>
    </row>
    <row r="152" spans="1:12" ht="12.75" customHeight="1">
      <c r="A152" s="1400" t="s">
        <v>745</v>
      </c>
      <c r="B152" s="1562">
        <v>3.1182094</v>
      </c>
      <c r="C152" s="1745">
        <v>2.9386401399999995</v>
      </c>
      <c r="D152" s="1745">
        <v>3.7009851299999998</v>
      </c>
      <c r="E152" s="1745">
        <v>4.3601552900000007</v>
      </c>
      <c r="F152" s="1745">
        <v>3.78858373</v>
      </c>
      <c r="G152" s="1750">
        <v>4.4057938500000002</v>
      </c>
      <c r="H152" s="1750">
        <v>5.9259615899999991</v>
      </c>
      <c r="I152" s="1750">
        <v>5.6147069999999992</v>
      </c>
      <c r="J152" s="1750">
        <v>5.35764</v>
      </c>
      <c r="K152" s="1751">
        <v>4.7034939999999992</v>
      </c>
      <c r="L152" s="1561"/>
    </row>
    <row r="153" spans="1:12" ht="12.75" customHeight="1">
      <c r="A153" s="1401" t="s">
        <v>746</v>
      </c>
      <c r="B153" s="1563">
        <v>2.7389322000000003</v>
      </c>
      <c r="C153" s="1752">
        <v>3.1429991899999994</v>
      </c>
      <c r="D153" s="1752">
        <v>4.2498288400000002</v>
      </c>
      <c r="E153" s="1752">
        <v>5.2090438800000003</v>
      </c>
      <c r="F153" s="1752">
        <v>4.9520526400000007</v>
      </c>
      <c r="G153" s="1753">
        <v>4.6615850700000001</v>
      </c>
      <c r="H153" s="1753">
        <v>7.8111478500000002</v>
      </c>
      <c r="I153" s="1753">
        <v>5.8178530000000004</v>
      </c>
      <c r="J153" s="1753">
        <v>5.3957299999999995</v>
      </c>
      <c r="K153" s="1754">
        <v>5.9144279999999991</v>
      </c>
      <c r="L153" s="1561"/>
    </row>
    <row r="154" spans="1:12" ht="12.75" customHeight="1">
      <c r="A154" s="1073" t="s">
        <v>765</v>
      </c>
    </row>
    <row r="155" spans="1:12" ht="12.75" customHeight="1">
      <c r="B155" s="1561"/>
      <c r="C155" s="1561"/>
      <c r="D155" s="1561"/>
      <c r="E155" s="1561"/>
      <c r="F155" s="1561"/>
      <c r="G155" s="1561"/>
      <c r="H155" s="1561"/>
      <c r="I155" s="1561"/>
      <c r="J155" s="1561"/>
    </row>
    <row r="156" spans="1:12" ht="12.75" hidden="1" customHeight="1">
      <c r="A156" s="1092"/>
      <c r="B156" s="1068">
        <v>2005</v>
      </c>
      <c r="C156" s="1068">
        <v>2006</v>
      </c>
      <c r="D156" s="1068">
        <v>2007</v>
      </c>
      <c r="E156" s="1068">
        <v>2008</v>
      </c>
      <c r="F156" s="1068">
        <v>2009</v>
      </c>
    </row>
    <row r="157" spans="1:12" ht="12.75" hidden="1" customHeight="1">
      <c r="A157" s="1067" t="s">
        <v>766</v>
      </c>
      <c r="B157" s="1093">
        <v>269.56146000000001</v>
      </c>
      <c r="C157" s="1093">
        <v>315.40194000000002</v>
      </c>
      <c r="D157" s="1093">
        <v>272.73246</v>
      </c>
      <c r="E157" s="1093">
        <v>149.39400000000001</v>
      </c>
      <c r="F157" s="1093">
        <v>191.63950892857099</v>
      </c>
    </row>
    <row r="158" spans="1:12" ht="12.75" hidden="1" customHeight="1">
      <c r="A158" s="1094" t="s">
        <v>764</v>
      </c>
      <c r="B158" s="1081">
        <v>1.25678</v>
      </c>
      <c r="C158" s="1081">
        <v>1.01</v>
      </c>
      <c r="D158" s="1081">
        <v>1.579</v>
      </c>
      <c r="E158" s="1081">
        <v>5.6</v>
      </c>
      <c r="F158" s="1081">
        <v>12.5</v>
      </c>
    </row>
    <row r="159" spans="1:12" ht="12.75" hidden="1" customHeight="1"/>
    <row r="160" spans="1:12" ht="12.75" hidden="1" customHeight="1">
      <c r="A160" s="1092"/>
      <c r="B160" s="1068">
        <v>2010</v>
      </c>
      <c r="C160" s="1068">
        <v>2011</v>
      </c>
      <c r="D160" s="1068">
        <v>2012</v>
      </c>
    </row>
    <row r="161" spans="1:11" ht="12.75" hidden="1" customHeight="1">
      <c r="A161" s="1067" t="s">
        <v>766</v>
      </c>
      <c r="B161" s="1093">
        <v>170.02684285714301</v>
      </c>
      <c r="C161" s="1093">
        <v>165</v>
      </c>
      <c r="D161" s="1093">
        <v>208</v>
      </c>
    </row>
    <row r="162" spans="1:11" ht="12.75" hidden="1" customHeight="1">
      <c r="A162" s="1094" t="s">
        <v>764</v>
      </c>
      <c r="B162" s="1081">
        <v>26.244</v>
      </c>
      <c r="C162" s="1081">
        <v>38.749000000000002</v>
      </c>
      <c r="D162" s="1081">
        <v>42.418999999999997</v>
      </c>
    </row>
    <row r="163" spans="1:11" ht="12.75" hidden="1" customHeight="1">
      <c r="A163" s="1073" t="s">
        <v>344</v>
      </c>
    </row>
    <row r="164" spans="1:11" ht="12.75" customHeight="1">
      <c r="A164" s="1084" t="s">
        <v>1108</v>
      </c>
    </row>
    <row r="165" spans="1:11" ht="12.75" customHeight="1">
      <c r="D165" s="1078"/>
      <c r="E165" s="1078"/>
      <c r="F165" s="1078"/>
      <c r="G165" s="1078"/>
      <c r="H165" s="1078"/>
    </row>
    <row r="166" spans="1:11" ht="12.75" customHeight="1">
      <c r="A166" s="1397"/>
      <c r="B166" s="1068">
        <v>2013</v>
      </c>
      <c r="C166" s="1068">
        <v>2014</v>
      </c>
      <c r="D166" s="1068">
        <v>2015</v>
      </c>
      <c r="E166" s="1068">
        <v>2016</v>
      </c>
      <c r="F166" s="1068">
        <v>2017</v>
      </c>
      <c r="G166" s="1068">
        <v>2018</v>
      </c>
      <c r="H166" s="1068">
        <v>2019</v>
      </c>
      <c r="I166" s="1068">
        <v>2020</v>
      </c>
      <c r="J166" s="1068">
        <v>2021</v>
      </c>
      <c r="K166" s="1396">
        <v>2022</v>
      </c>
    </row>
    <row r="167" spans="1:11" ht="12.75" customHeight="1">
      <c r="A167" s="1398" t="s">
        <v>735</v>
      </c>
      <c r="B167" s="1560"/>
      <c r="C167" s="1741"/>
      <c r="D167" s="1741"/>
      <c r="E167" s="1741"/>
      <c r="F167" s="1741"/>
      <c r="G167" s="1741"/>
      <c r="H167" s="1741"/>
      <c r="I167" s="1741"/>
      <c r="J167" s="1741"/>
      <c r="K167" s="1742">
        <v>10.718299999999999</v>
      </c>
    </row>
    <row r="168" spans="1:11" ht="12.75" customHeight="1">
      <c r="A168" s="1399" t="s">
        <v>736</v>
      </c>
      <c r="B168" s="1561"/>
      <c r="C168" s="1743"/>
      <c r="D168" s="1743"/>
      <c r="E168" s="1743"/>
      <c r="F168" s="1743"/>
      <c r="G168" s="1743"/>
      <c r="H168" s="1743"/>
      <c r="I168" s="1743"/>
      <c r="J168" s="1743"/>
      <c r="K168" s="1744">
        <v>18.45645</v>
      </c>
    </row>
    <row r="169" spans="1:11" ht="12.75" customHeight="1">
      <c r="A169" s="1400" t="s">
        <v>737</v>
      </c>
      <c r="B169" s="1562"/>
      <c r="C169" s="1745"/>
      <c r="D169" s="1745"/>
      <c r="E169" s="1745"/>
      <c r="F169" s="1745"/>
      <c r="G169" s="1745"/>
      <c r="H169" s="1745"/>
      <c r="I169" s="1745"/>
      <c r="J169" s="1745"/>
      <c r="K169" s="1746">
        <v>13.99835</v>
      </c>
    </row>
    <row r="170" spans="1:11" ht="12.75" customHeight="1">
      <c r="A170" s="1399" t="s">
        <v>738</v>
      </c>
      <c r="B170" s="1561"/>
      <c r="C170" s="1743"/>
      <c r="D170" s="1743"/>
      <c r="E170" s="1743"/>
      <c r="F170" s="1743"/>
      <c r="G170" s="1743"/>
      <c r="H170" s="1743"/>
      <c r="I170" s="1743"/>
      <c r="J170" s="1743"/>
      <c r="K170" s="1744">
        <v>7.94095</v>
      </c>
    </row>
    <row r="171" spans="1:11" ht="12.75" customHeight="1">
      <c r="A171" s="1400" t="s">
        <v>739</v>
      </c>
      <c r="B171" s="1562"/>
      <c r="C171" s="1745"/>
      <c r="D171" s="1745"/>
      <c r="E171" s="1745"/>
      <c r="F171" s="1745"/>
      <c r="G171" s="1745"/>
      <c r="H171" s="1745"/>
      <c r="I171" s="1745"/>
      <c r="J171" s="1745"/>
      <c r="K171" s="1746"/>
    </row>
    <row r="172" spans="1:11" ht="12.75" customHeight="1">
      <c r="A172" s="1399" t="s">
        <v>740</v>
      </c>
      <c r="B172" s="1561"/>
      <c r="C172" s="1743"/>
      <c r="D172" s="1743"/>
      <c r="E172" s="1743"/>
      <c r="F172" s="1743"/>
      <c r="G172" s="1743"/>
      <c r="H172" s="1743"/>
      <c r="I172" s="1743"/>
      <c r="J172" s="1743"/>
      <c r="K172" s="1744"/>
    </row>
    <row r="173" spans="1:11" ht="12.75" customHeight="1">
      <c r="A173" s="1400" t="s">
        <v>741</v>
      </c>
      <c r="B173" s="1562"/>
      <c r="C173" s="1745"/>
      <c r="D173" s="1745"/>
      <c r="E173" s="1745"/>
      <c r="F173" s="1745"/>
      <c r="G173" s="1745"/>
      <c r="H173" s="1745"/>
      <c r="I173" s="1745"/>
      <c r="J173" s="1745"/>
      <c r="K173" s="1745"/>
    </row>
    <row r="174" spans="1:11" ht="12.75" customHeight="1">
      <c r="A174" s="1399" t="s">
        <v>742</v>
      </c>
      <c r="B174" s="1561"/>
      <c r="C174" s="1743"/>
      <c r="D174" s="1743"/>
      <c r="E174" s="1743"/>
      <c r="F174" s="1743"/>
      <c r="G174" s="1743"/>
      <c r="H174" s="1743"/>
      <c r="I174" s="1743"/>
      <c r="J174" s="1747"/>
      <c r="K174" s="1743"/>
    </row>
    <row r="175" spans="1:11" ht="12.75" customHeight="1">
      <c r="A175" s="1400" t="s">
        <v>743</v>
      </c>
      <c r="B175" s="1562"/>
      <c r="C175" s="1745"/>
      <c r="D175" s="1745"/>
      <c r="E175" s="1745"/>
      <c r="F175" s="1745"/>
      <c r="G175" s="1745"/>
      <c r="H175" s="1745"/>
      <c r="I175" s="1745"/>
      <c r="J175" s="1745"/>
      <c r="K175" s="1745"/>
    </row>
    <row r="176" spans="1:11" ht="12.75" customHeight="1">
      <c r="A176" s="1399" t="s">
        <v>744</v>
      </c>
      <c r="B176" s="1561"/>
      <c r="C176" s="1743"/>
      <c r="D176" s="1743"/>
      <c r="E176" s="1743"/>
      <c r="F176" s="1743"/>
      <c r="G176" s="1748"/>
      <c r="H176" s="1748"/>
      <c r="I176" s="1748"/>
      <c r="J176" s="1748"/>
      <c r="K176" s="1749"/>
    </row>
    <row r="177" spans="1:11" ht="12.75" customHeight="1">
      <c r="A177" s="1400" t="s">
        <v>745</v>
      </c>
      <c r="B177" s="1562"/>
      <c r="C177" s="1745"/>
      <c r="D177" s="1745"/>
      <c r="E177" s="1745"/>
      <c r="F177" s="1745"/>
      <c r="G177" s="1750"/>
      <c r="H177" s="1750"/>
      <c r="I177" s="1750"/>
      <c r="J177" s="1750"/>
      <c r="K177" s="1751"/>
    </row>
    <row r="178" spans="1:11" ht="12.75" customHeight="1">
      <c r="A178" s="1401" t="s">
        <v>746</v>
      </c>
      <c r="B178" s="1563"/>
      <c r="C178" s="1752"/>
      <c r="D178" s="1752"/>
      <c r="E178" s="1752"/>
      <c r="F178" s="1752"/>
      <c r="G178" s="1753"/>
      <c r="H178" s="1753"/>
      <c r="I178" s="1753"/>
      <c r="J178" s="1753"/>
      <c r="K178" s="1754"/>
    </row>
    <row r="179" spans="1:11" ht="12.75" customHeight="1">
      <c r="A179" s="1073" t="s">
        <v>765</v>
      </c>
    </row>
  </sheetData>
  <pageMargins left="0.70866141732283472" right="0.70866141732283472" top="0.74803149606299213" bottom="0.74803149606299213" header="0.31496062992125984" footer="0.31496062992125984"/>
  <pageSetup paperSize="9" scale="67" firstPageNumber="40" orientation="portrait" r:id="rId1"/>
  <headerFooter>
    <oddFooter>&amp;L&amp;8Bulletin trimestriel de conjoncture, 4e trimestre 2023</oddFooter>
  </headerFooter>
  <rowBreaks count="1" manualBreakCount="1">
    <brk id="85"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4">
    <tabColor rgb="FF00B050"/>
  </sheetPr>
  <dimension ref="A1:J125"/>
  <sheetViews>
    <sheetView view="pageBreakPreview" topLeftCell="A100" zoomScale="150" zoomScaleSheetLayoutView="150" workbookViewId="0">
      <selection activeCell="K50" sqref="K50"/>
    </sheetView>
  </sheetViews>
  <sheetFormatPr baseColWidth="10" defaultColWidth="11.44140625" defaultRowHeight="14.4"/>
  <cols>
    <col min="1" max="1" width="21.83203125" style="1166" customWidth="1"/>
    <col min="2" max="2" width="7.44140625" style="1169" customWidth="1"/>
    <col min="3" max="10" width="10.83203125" style="1166" bestFit="1" customWidth="1"/>
    <col min="11" max="11" width="17.83203125" style="1166" customWidth="1"/>
    <col min="12" max="16384" width="11.44140625" style="1166"/>
  </cols>
  <sheetData>
    <row r="1" spans="1:10">
      <c r="A1" s="1164" t="s">
        <v>1109</v>
      </c>
      <c r="B1" s="1165"/>
      <c r="C1" s="1125"/>
      <c r="D1" s="1125"/>
      <c r="E1" s="1125"/>
      <c r="F1" s="1125"/>
    </row>
    <row r="2" spans="1:10">
      <c r="A2" s="1125"/>
      <c r="B2" s="2012"/>
      <c r="C2" s="1227">
        <f t="shared" ref="C2:H2" si="0">D2+1</f>
        <v>39</v>
      </c>
      <c r="D2" s="1227">
        <f t="shared" si="0"/>
        <v>38</v>
      </c>
      <c r="E2" s="1227">
        <f t="shared" si="0"/>
        <v>37</v>
      </c>
      <c r="F2" s="1227">
        <f t="shared" si="0"/>
        <v>36</v>
      </c>
      <c r="G2" s="1227">
        <f t="shared" si="0"/>
        <v>35</v>
      </c>
      <c r="H2" s="1227">
        <f t="shared" si="0"/>
        <v>34</v>
      </c>
      <c r="I2" s="1227">
        <f>J2+1</f>
        <v>33</v>
      </c>
      <c r="J2" s="1227">
        <v>32</v>
      </c>
    </row>
    <row r="3" spans="1:10">
      <c r="A3" s="1543"/>
      <c r="B3" s="1467" t="s">
        <v>221</v>
      </c>
      <c r="C3" s="2010" cm="1">
        <f t="array" ref="C3">INDEX(Base_Trimestrielle!$B$73:$M$276,MAX(Base_Trimestrielle!$N$74:$N$276)-C$2,1)</f>
        <v>40513</v>
      </c>
      <c r="D3" s="2010" cm="1">
        <f t="array" ref="D3">INDEX(Base_Trimestrielle!$B$73:$M$276,MAX(Base_Trimestrielle!$N$74:$N$276)-D$2,1)</f>
        <v>40603</v>
      </c>
      <c r="E3" s="2010" cm="1">
        <f t="array" ref="E3">INDEX(Base_Trimestrielle!$B$73:$M$276,MAX(Base_Trimestrielle!$N$74:$N$276)-E$2,1)</f>
        <v>40695</v>
      </c>
      <c r="F3" s="2010" cm="1">
        <f t="array" ref="F3">INDEX(Base_Trimestrielle!$B$73:$M$276,MAX(Base_Trimestrielle!$N$74:$N$276)-F$2,1)</f>
        <v>40787</v>
      </c>
      <c r="G3" s="2010" cm="1">
        <f t="array" ref="G3">INDEX(Base_Trimestrielle!$B$73:$M$276,MAX(Base_Trimestrielle!$N$74:$N$276)-G$2,1)</f>
        <v>40878</v>
      </c>
      <c r="H3" s="2010" cm="1">
        <f t="array" ref="H3">INDEX(Base_Trimestrielle!$B$73:$M$276,MAX(Base_Trimestrielle!$N$74:$N$276)-H$2,1)</f>
        <v>40969</v>
      </c>
      <c r="I3" s="2010" cm="1">
        <f t="array" ref="I3">INDEX(Base_Trimestrielle!$B$73:$M$276,MAX(Base_Trimestrielle!$N$74:$N$276)-I$2,1)</f>
        <v>41061</v>
      </c>
      <c r="J3" s="2010" cm="1">
        <f t="array" ref="J3">INDEX(Base_Trimestrielle!$B$73:$M$276,MAX(Base_Trimestrielle!$N$74:$N$276)-J$2,1)</f>
        <v>41153</v>
      </c>
    </row>
    <row r="4" spans="1:10">
      <c r="A4" s="2011" t="s">
        <v>222</v>
      </c>
      <c r="B4" s="2011"/>
      <c r="C4" s="2015" cm="1">
        <f t="array" ref="C4">INDEX(Base_Trimestrielle!$B$73:$M$276,MAX(Base_Trimestrielle!$N$74:$N$276)-C$2,MATCH($A4,Base_Trimestrielle!$B$73:$M$73,0))</f>
        <v>141.47713797091268</v>
      </c>
      <c r="D4" s="2015" cm="1">
        <f t="array" ref="D4">INDEX(Base_Trimestrielle!$B$73:$M$276,MAX(Base_Trimestrielle!$N$74:$N$276)-D$2,MATCH($A4,Base_Trimestrielle!$B$73:$M$73,0))</f>
        <v>131.03450877912783</v>
      </c>
      <c r="E4" s="2015" cm="1">
        <f t="array" ref="E4">INDEX(Base_Trimestrielle!$B$73:$M$276,MAX(Base_Trimestrielle!$N$74:$N$276)-E$2,MATCH($A4,Base_Trimestrielle!$B$73:$M$73,0))</f>
        <v>126.38621201073276</v>
      </c>
      <c r="F4" s="2015" cm="1">
        <f t="array" ref="F4">INDEX(Base_Trimestrielle!$B$73:$M$276,MAX(Base_Trimestrielle!$N$74:$N$276)-F$2,MATCH($A4,Base_Trimestrielle!$B$73:$M$73,0))</f>
        <v>109.94745040911573</v>
      </c>
      <c r="G4" s="2015" cm="1">
        <f t="array" ref="G4">INDEX(Base_Trimestrielle!$B$73:$M$276,MAX(Base_Trimestrielle!$N$74:$N$276)-G$2,MATCH($A4,Base_Trimestrielle!$B$73:$M$73,0))</f>
        <v>129.09442309345209</v>
      </c>
      <c r="H4" s="2015" cm="1">
        <f t="array" ref="H4">INDEX(Base_Trimestrielle!$B$73:$M$276,MAX(Base_Trimestrielle!$N$74:$N$276)-H$2,MATCH($A4,Base_Trimestrielle!$B$73:$M$73,0))</f>
        <v>148.63119564659459</v>
      </c>
      <c r="I4" s="2015" cm="1">
        <f t="array" ref="I4">INDEX(Base_Trimestrielle!$B$73:$M$276,MAX(Base_Trimestrielle!$N$74:$N$276)-I$2,MATCH($A4,Base_Trimestrielle!$B$73:$M$73,0))</f>
        <v>140.03857894752207</v>
      </c>
      <c r="J4" s="2015" cm="1">
        <f t="array" ref="J4">INDEX(Base_Trimestrielle!$B$73:$M$276,MAX(Base_Trimestrielle!$N$74:$N$276)-J$2,MATCH($A4,Base_Trimestrielle!$B$73:$M$73,0))</f>
        <v>105.68148689800438</v>
      </c>
    </row>
    <row r="5" spans="1:10" ht="20.399999999999999">
      <c r="A5" s="2016" t="s">
        <v>529</v>
      </c>
      <c r="B5" s="2016"/>
      <c r="C5" s="2017" cm="1">
        <f t="array" ref="C5">INDEX(Base_Trimestrielle!$B$73:$M$276,MAX(Base_Trimestrielle!$N$74:$N$276)-C$2,MATCH($A5,Base_Trimestrielle!$B$73:$M$73,0))</f>
        <v>1394.3047075828042</v>
      </c>
      <c r="D5" s="2017" cm="1">
        <f t="array" ref="D5">INDEX(Base_Trimestrielle!$B$73:$M$276,MAX(Base_Trimestrielle!$N$74:$N$276)-D$2,MATCH($A5,Base_Trimestrielle!$B$73:$M$73,0))</f>
        <v>1350.3694888968264</v>
      </c>
      <c r="E5" s="2017" cm="1">
        <f t="array" ref="E5">INDEX(Base_Trimestrielle!$B$73:$M$276,MAX(Base_Trimestrielle!$N$74:$N$276)-E$2,MATCH($A5,Base_Trimestrielle!$B$73:$M$73,0))</f>
        <v>1249.5442692670001</v>
      </c>
      <c r="F5" s="2017" cm="1">
        <f t="array" ref="F5">INDEX(Base_Trimestrielle!$B$73:$M$276,MAX(Base_Trimestrielle!$N$74:$N$276)-F$2,MATCH($A5,Base_Trimestrielle!$B$73:$M$73,0))</f>
        <v>1162.0069548673894</v>
      </c>
      <c r="G5" s="2017" cm="1">
        <f t="array" ref="G5">INDEX(Base_Trimestrielle!$B$73:$M$276,MAX(Base_Trimestrielle!$N$74:$N$276)-G$2,MATCH($A5,Base_Trimestrielle!$B$73:$M$73,0))</f>
        <v>1031.9039273347757</v>
      </c>
      <c r="H5" s="2017" cm="1">
        <f t="array" ref="H5">INDEX(Base_Trimestrielle!$B$73:$M$276,MAX(Base_Trimestrielle!$N$74:$N$276)-H$2,MATCH($A5,Base_Trimestrielle!$B$73:$M$73,0))</f>
        <v>1248.6929550043399</v>
      </c>
      <c r="I5" s="2017" cm="1">
        <f t="array" ref="I5">INDEX(Base_Trimestrielle!$B$73:$M$276,MAX(Base_Trimestrielle!$N$74:$N$276)-I$2,MATCH($A5,Base_Trimestrielle!$B$73:$M$73,0))</f>
        <v>1066.1785798227415</v>
      </c>
      <c r="J5" s="2017" cm="1">
        <f t="array" ref="J5">INDEX(Base_Trimestrielle!$B$73:$M$276,MAX(Base_Trimestrielle!$N$74:$N$276)-J$2,MATCH($A5,Base_Trimestrielle!$B$73:$M$73,0))</f>
        <v>1102.0448198452459</v>
      </c>
    </row>
    <row r="6" spans="1:10" ht="20.399999999999999">
      <c r="A6" s="2018" t="s">
        <v>530</v>
      </c>
      <c r="B6" s="2018"/>
      <c r="C6" s="2015" cm="1">
        <f t="array" ref="C6">INDEX(Base_Trimestrielle!$B$73:$M$276,MAX(Base_Trimestrielle!$N$74:$N$276)-C$2,MATCH($A6,Base_Trimestrielle!$B$73:$M$73,0))</f>
        <v>134.7492433224011</v>
      </c>
      <c r="D6" s="2015" cm="1">
        <f t="array" ref="D6">INDEX(Base_Trimestrielle!$B$73:$M$276,MAX(Base_Trimestrielle!$N$74:$N$276)-D$2,MATCH($A6,Base_Trimestrielle!$B$73:$M$73,0))</f>
        <v>180.31821943924442</v>
      </c>
      <c r="E6" s="2015" cm="1">
        <f t="array" ref="E6">INDEX(Base_Trimestrielle!$B$73:$M$276,MAX(Base_Trimestrielle!$N$74:$N$276)-E$2,MATCH($A6,Base_Trimestrielle!$B$73:$M$73,0))</f>
        <v>123.07310629353493</v>
      </c>
      <c r="F6" s="2015" cm="1">
        <f t="array" ref="F6">INDEX(Base_Trimestrielle!$B$73:$M$276,MAX(Base_Trimestrielle!$N$74:$N$276)-F$2,MATCH($A6,Base_Trimestrielle!$B$73:$M$73,0))</f>
        <v>106.46251522602117</v>
      </c>
      <c r="G6" s="2015" cm="1">
        <f t="array" ref="G6">INDEX(Base_Trimestrielle!$B$73:$M$276,MAX(Base_Trimestrielle!$N$74:$N$276)-G$2,MATCH($A6,Base_Trimestrielle!$B$73:$M$73,0))</f>
        <v>132.64276903062961</v>
      </c>
      <c r="H6" s="2015" cm="1">
        <f t="array" ref="H6">INDEX(Base_Trimestrielle!$B$73:$M$276,MAX(Base_Trimestrielle!$N$74:$N$276)-H$2,MATCH($A6,Base_Trimestrielle!$B$73:$M$73,0))</f>
        <v>165.4530522102535</v>
      </c>
      <c r="I6" s="2015" cm="1">
        <f t="array" ref="I6">INDEX(Base_Trimestrielle!$B$73:$M$276,MAX(Base_Trimestrielle!$N$74:$N$276)-I$2,MATCH($A6,Base_Trimestrielle!$B$73:$M$73,0))</f>
        <v>142.89073052555534</v>
      </c>
      <c r="J6" s="2015" cm="1">
        <f t="array" ref="J6">INDEX(Base_Trimestrielle!$B$73:$M$276,MAX(Base_Trimestrielle!$N$74:$N$276)-J$2,MATCH($A6,Base_Trimestrielle!$B$73:$M$73,0))</f>
        <v>94.825434336929675</v>
      </c>
    </row>
    <row r="7" spans="1:10" ht="20.399999999999999">
      <c r="A7" s="2016" t="s">
        <v>531</v>
      </c>
      <c r="B7" s="2016"/>
      <c r="C7" s="2017" cm="1">
        <f t="array" ref="C7">INDEX(Base_Trimestrielle!$B$73:$M$276,MAX(Base_Trimestrielle!$N$74:$N$276)-C$2,MATCH($A7,Base_Trimestrielle!$B$73:$M$73,0))</f>
        <v>115.39410988001607</v>
      </c>
      <c r="D7" s="2017" cm="1">
        <f t="array" ref="D7">INDEX(Base_Trimestrielle!$B$73:$M$276,MAX(Base_Trimestrielle!$N$74:$N$276)-D$2,MATCH($A7,Base_Trimestrielle!$B$73:$M$73,0))</f>
        <v>128.06131236006658</v>
      </c>
      <c r="E7" s="2017" cm="1">
        <f t="array" ref="E7">INDEX(Base_Trimestrielle!$B$73:$M$276,MAX(Base_Trimestrielle!$N$74:$N$276)-E$2,MATCH($A7,Base_Trimestrielle!$B$73:$M$73,0))</f>
        <v>119.69114185659338</v>
      </c>
      <c r="F7" s="2017" cm="1">
        <f t="array" ref="F7">INDEX(Base_Trimestrielle!$B$73:$M$276,MAX(Base_Trimestrielle!$N$74:$N$276)-F$2,MATCH($A7,Base_Trimestrielle!$B$73:$M$73,0))</f>
        <v>123.07059341332261</v>
      </c>
      <c r="G7" s="2017" cm="1">
        <f t="array" ref="G7">INDEX(Base_Trimestrielle!$B$73:$M$276,MAX(Base_Trimestrielle!$N$74:$N$276)-G$2,MATCH($A7,Base_Trimestrielle!$B$73:$M$73,0))</f>
        <v>122.92994240006122</v>
      </c>
      <c r="H7" s="2017" cm="1">
        <f t="array" ref="H7">INDEX(Base_Trimestrielle!$B$73:$M$276,MAX(Base_Trimestrielle!$N$74:$N$276)-H$2,MATCH($A7,Base_Trimestrielle!$B$73:$M$73,0))</f>
        <v>144.88872304188914</v>
      </c>
      <c r="I7" s="2017" cm="1">
        <f t="array" ref="I7">INDEX(Base_Trimestrielle!$B$73:$M$276,MAX(Base_Trimestrielle!$N$74:$N$276)-I$2,MATCH($A7,Base_Trimestrielle!$B$73:$M$73,0))</f>
        <v>143.48795376695946</v>
      </c>
      <c r="J7" s="2017" cm="1">
        <f t="array" ref="J7">INDEX(Base_Trimestrielle!$B$73:$M$276,MAX(Base_Trimestrielle!$N$74:$N$276)-J$2,MATCH($A7,Base_Trimestrielle!$B$73:$M$73,0))</f>
        <v>149.11973515509885</v>
      </c>
    </row>
    <row r="8" spans="1:10">
      <c r="A8" s="2018" t="s">
        <v>532</v>
      </c>
      <c r="B8" s="2018"/>
      <c r="C8" s="2015" cm="1">
        <f t="array" ref="C8">INDEX(Base_Trimestrielle!$B$73:$M$276,MAX(Base_Trimestrielle!$N$74:$N$276)-C$2,MATCH($A8,Base_Trimestrielle!$B$73:$M$73,0))</f>
        <v>36.770408595079978</v>
      </c>
      <c r="D8" s="2015" cm="1">
        <f t="array" ref="D8">INDEX(Base_Trimestrielle!$B$73:$M$276,MAX(Base_Trimestrielle!$N$74:$N$276)-D$2,MATCH($A8,Base_Trimestrielle!$B$73:$M$73,0))</f>
        <v>95.875027814834411</v>
      </c>
      <c r="E8" s="2015" cm="1">
        <f t="array" ref="E8">INDEX(Base_Trimestrielle!$B$73:$M$276,MAX(Base_Trimestrielle!$N$74:$N$276)-E$2,MATCH($A8,Base_Trimestrielle!$B$73:$M$73,0))</f>
        <v>12.592192505094232</v>
      </c>
      <c r="F8" s="2015" cm="1">
        <f t="array" ref="F8">INDEX(Base_Trimestrielle!$B$73:$M$276,MAX(Base_Trimestrielle!$N$74:$N$276)-F$2,MATCH($A8,Base_Trimestrielle!$B$73:$M$73,0))</f>
        <v>13.906336221115341</v>
      </c>
      <c r="G8" s="2015" cm="1">
        <f t="array" ref="G8">INDEX(Base_Trimestrielle!$B$73:$M$276,MAX(Base_Trimestrielle!$N$74:$N$276)-G$2,MATCH($A8,Base_Trimestrielle!$B$73:$M$73,0))</f>
        <v>32.785569884883778</v>
      </c>
      <c r="H8" s="2015" cm="1">
        <f t="array" ref="H8">INDEX(Base_Trimestrielle!$B$73:$M$276,MAX(Base_Trimestrielle!$N$74:$N$276)-H$2,MATCH($A8,Base_Trimestrielle!$B$73:$M$73,0))</f>
        <v>84.408572469069512</v>
      </c>
      <c r="I8" s="2015" cm="1">
        <f t="array" ref="I8">INDEX(Base_Trimestrielle!$B$73:$M$276,MAX(Base_Trimestrielle!$N$74:$N$276)-I$2,MATCH($A8,Base_Trimestrielle!$B$73:$M$73,0))</f>
        <v>11.589491580028188</v>
      </c>
      <c r="J8" s="2015" cm="1">
        <f t="array" ref="J8">INDEX(Base_Trimestrielle!$B$73:$M$276,MAX(Base_Trimestrielle!$N$74:$N$276)-J$2,MATCH($A8,Base_Trimestrielle!$B$73:$M$73,0))</f>
        <v>8.7330928292748879</v>
      </c>
    </row>
    <row r="9" spans="1:10" ht="30.6">
      <c r="A9" s="2016" t="s">
        <v>533</v>
      </c>
      <c r="B9" s="2016"/>
      <c r="C9" s="2017" cm="1">
        <f t="array" ref="C9">INDEX(Base_Trimestrielle!$B$73:$M$276,MAX(Base_Trimestrielle!$N$74:$N$276)-C$2,MATCH($A9,Base_Trimestrielle!$B$73:$M$73,0))</f>
        <v>21.558597709283347</v>
      </c>
      <c r="D9" s="2017" cm="1">
        <f t="array" ref="D9">INDEX(Base_Trimestrielle!$B$73:$M$276,MAX(Base_Trimestrielle!$N$74:$N$276)-D$2,MATCH($A9,Base_Trimestrielle!$B$73:$M$73,0))</f>
        <v>14.507834665782692</v>
      </c>
      <c r="E9" s="2017" cm="1">
        <f t="array" ref="E9">INDEX(Base_Trimestrielle!$B$73:$M$276,MAX(Base_Trimestrielle!$N$74:$N$276)-E$2,MATCH($A9,Base_Trimestrielle!$B$73:$M$73,0))</f>
        <v>26.357805259435917</v>
      </c>
      <c r="F9" s="2017" cm="1">
        <f t="array" ref="F9">INDEX(Base_Trimestrielle!$B$73:$M$276,MAX(Base_Trimestrielle!$N$74:$N$276)-F$2,MATCH($A9,Base_Trimestrielle!$B$73:$M$73,0))</f>
        <v>29.584971807592616</v>
      </c>
      <c r="G9" s="2017" cm="1">
        <f t="array" ref="G9">INDEX(Base_Trimestrielle!$B$73:$M$276,MAX(Base_Trimestrielle!$N$74:$N$276)-G$2,MATCH($A9,Base_Trimestrielle!$B$73:$M$73,0))</f>
        <v>28.485584412233312</v>
      </c>
      <c r="H9" s="2017" cm="1">
        <f t="array" ref="H9">INDEX(Base_Trimestrielle!$B$73:$M$276,MAX(Base_Trimestrielle!$N$74:$N$276)-H$2,MATCH($A9,Base_Trimestrielle!$B$73:$M$73,0))</f>
        <v>16.847991962270441</v>
      </c>
      <c r="I9" s="2017" cm="1">
        <f t="array" ref="I9">INDEX(Base_Trimestrielle!$B$73:$M$276,MAX(Base_Trimestrielle!$N$74:$N$276)-I$2,MATCH($A9,Base_Trimestrielle!$B$73:$M$73,0))</f>
        <v>17.719330038164522</v>
      </c>
      <c r="J9" s="2017" cm="1">
        <f t="array" ref="J9">INDEX(Base_Trimestrielle!$B$73:$M$276,MAX(Base_Trimestrielle!$N$74:$N$276)-J$2,MATCH($A9,Base_Trimestrielle!$B$73:$M$73,0))</f>
        <v>29.04508745706649</v>
      </c>
    </row>
    <row r="10" spans="1:10" ht="20.399999999999999">
      <c r="A10" s="2018" t="s">
        <v>534</v>
      </c>
      <c r="B10" s="2018"/>
      <c r="C10" s="2015" cm="1">
        <f t="array" ref="C10">INDEX(Base_Trimestrielle!$B$73:$M$276,MAX(Base_Trimestrielle!$N$74:$N$276)-C$2,MATCH($A10,Base_Trimestrielle!$B$73:$M$73,0))</f>
        <v>51.505363847904107</v>
      </c>
      <c r="D10" s="2015" cm="1">
        <f t="array" ref="D10">INDEX(Base_Trimestrielle!$B$73:$M$276,MAX(Base_Trimestrielle!$N$74:$N$276)-D$2,MATCH($A10,Base_Trimestrielle!$B$73:$M$73,0))</f>
        <v>62.82326273562699</v>
      </c>
      <c r="E10" s="2015" cm="1">
        <f t="array" ref="E10">INDEX(Base_Trimestrielle!$B$73:$M$276,MAX(Base_Trimestrielle!$N$74:$N$276)-E$2,MATCH($A10,Base_Trimestrielle!$B$73:$M$73,0))</f>
        <v>67.749935944769831</v>
      </c>
      <c r="F10" s="2015" cm="1">
        <f t="array" ref="F10">INDEX(Base_Trimestrielle!$B$73:$M$276,MAX(Base_Trimestrielle!$N$74:$N$276)-F$2,MATCH($A10,Base_Trimestrielle!$B$73:$M$73,0))</f>
        <v>61.434617947251695</v>
      </c>
      <c r="G10" s="2015" cm="1">
        <f t="array" ref="G10">INDEX(Base_Trimestrielle!$B$73:$M$276,MAX(Base_Trimestrielle!$N$74:$N$276)-G$2,MATCH($A10,Base_Trimestrielle!$B$73:$M$73,0))</f>
        <v>66.315029946944009</v>
      </c>
      <c r="H10" s="2015" cm="1">
        <f t="array" ref="H10">INDEX(Base_Trimestrielle!$B$73:$M$276,MAX(Base_Trimestrielle!$N$74:$N$276)-H$2,MATCH($A10,Base_Trimestrielle!$B$73:$M$73,0))</f>
        <v>66.557052422103013</v>
      </c>
      <c r="I10" s="2015" cm="1">
        <f t="array" ref="I10">INDEX(Base_Trimestrielle!$B$73:$M$276,MAX(Base_Trimestrielle!$N$74:$N$276)-I$2,MATCH($A10,Base_Trimestrielle!$B$73:$M$73,0))</f>
        <v>73.880537376265863</v>
      </c>
      <c r="J10" s="2015" cm="1">
        <f t="array" ref="J10">INDEX(Base_Trimestrielle!$B$73:$M$276,MAX(Base_Trimestrielle!$N$74:$N$276)-J$2,MATCH($A10,Base_Trimestrielle!$B$73:$M$73,0))</f>
        <v>64.277492413771526</v>
      </c>
    </row>
    <row r="11" spans="1:10" ht="30.6">
      <c r="A11" s="2016" t="s">
        <v>535</v>
      </c>
      <c r="B11" s="2016"/>
      <c r="C11" s="2017" cm="1">
        <f t="array" ref="C11">INDEX(Base_Trimestrielle!$B$73:$M$276,MAX(Base_Trimestrielle!$N$74:$N$276)-C$2,MATCH($A11,Base_Trimestrielle!$B$73:$M$73,0))</f>
        <v>153.58631796728409</v>
      </c>
      <c r="D11" s="2017" cm="1">
        <f t="array" ref="D11">INDEX(Base_Trimestrielle!$B$73:$M$276,MAX(Base_Trimestrielle!$N$74:$N$276)-D$2,MATCH($A11,Base_Trimestrielle!$B$73:$M$73,0))</f>
        <v>147.79511229851929</v>
      </c>
      <c r="E11" s="2017" cm="1">
        <f t="array" ref="E11">INDEX(Base_Trimestrielle!$B$73:$M$276,MAX(Base_Trimestrielle!$N$74:$N$276)-E$2,MATCH($A11,Base_Trimestrielle!$B$73:$M$73,0))</f>
        <v>119.60287290401175</v>
      </c>
      <c r="F11" s="2017" cm="1">
        <f t="array" ref="F11">INDEX(Base_Trimestrielle!$B$73:$M$276,MAX(Base_Trimestrielle!$N$74:$N$276)-F$2,MATCH($A11,Base_Trimestrielle!$B$73:$M$73,0))</f>
        <v>143.48477107313334</v>
      </c>
      <c r="G11" s="2017" cm="1">
        <f t="array" ref="G11">INDEX(Base_Trimestrielle!$B$73:$M$276,MAX(Base_Trimestrielle!$N$74:$N$276)-G$2,MATCH($A11,Base_Trimestrielle!$B$73:$M$73,0))</f>
        <v>174.55792008437277</v>
      </c>
      <c r="H11" s="2017" cm="1">
        <f t="array" ref="H11">INDEX(Base_Trimestrielle!$B$73:$M$276,MAX(Base_Trimestrielle!$N$74:$N$276)-H$2,MATCH($A11,Base_Trimestrielle!$B$73:$M$73,0))</f>
        <v>178.68826222281029</v>
      </c>
      <c r="I11" s="2017" cm="1">
        <f t="array" ref="I11">INDEX(Base_Trimestrielle!$B$73:$M$276,MAX(Base_Trimestrielle!$N$74:$N$276)-I$2,MATCH($A11,Base_Trimestrielle!$B$73:$M$73,0))</f>
        <v>167.30477797664079</v>
      </c>
      <c r="J11" s="2017" cm="1">
        <f t="array" ref="J11">INDEX(Base_Trimestrielle!$B$73:$M$276,MAX(Base_Trimestrielle!$N$74:$N$276)-J$2,MATCH($A11,Base_Trimestrielle!$B$73:$M$73,0))</f>
        <v>126.07035823190932</v>
      </c>
    </row>
    <row r="12" spans="1:10">
      <c r="A12" s="2018" t="s">
        <v>536</v>
      </c>
      <c r="B12" s="2018"/>
      <c r="C12" s="2015" cm="1">
        <f t="array" ref="C12">INDEX(Base_Trimestrielle!$B$73:$M$276,MAX(Base_Trimestrielle!$N$74:$N$276)-C$2,MATCH($A12,Base_Trimestrielle!$B$73:$M$73,0))</f>
        <v>354.72273708735588</v>
      </c>
      <c r="D12" s="2015" cm="1">
        <f t="array" ref="D12">INDEX(Base_Trimestrielle!$B$73:$M$276,MAX(Base_Trimestrielle!$N$74:$N$276)-D$2,MATCH($A12,Base_Trimestrielle!$B$73:$M$73,0))</f>
        <v>95.333935174401532</v>
      </c>
      <c r="E12" s="2015" cm="1">
        <f t="array" ref="E12">INDEX(Base_Trimestrielle!$B$73:$M$276,MAX(Base_Trimestrielle!$N$74:$N$276)-E$2,MATCH($A12,Base_Trimestrielle!$B$73:$M$73,0))</f>
        <v>105.21084869929537</v>
      </c>
      <c r="F12" s="2015" cm="1">
        <f t="array" ref="F12">INDEX(Base_Trimestrielle!$B$73:$M$276,MAX(Base_Trimestrielle!$N$74:$N$276)-F$2,MATCH($A12,Base_Trimestrielle!$B$73:$M$73,0))</f>
        <v>130.70658286024204</v>
      </c>
      <c r="G12" s="2015" cm="1">
        <f t="array" ref="G12">INDEX(Base_Trimestrielle!$B$73:$M$276,MAX(Base_Trimestrielle!$N$74:$N$276)-G$2,MATCH($A12,Base_Trimestrielle!$B$73:$M$73,0))</f>
        <v>139.962146254207</v>
      </c>
      <c r="H12" s="2015" cm="1">
        <f t="array" ref="H12">INDEX(Base_Trimestrielle!$B$73:$M$276,MAX(Base_Trimestrielle!$N$74:$N$276)-H$2,MATCH($A12,Base_Trimestrielle!$B$73:$M$73,0))</f>
        <v>134.87287100482803</v>
      </c>
      <c r="I12" s="2015" cm="1">
        <f t="array" ref="I12">INDEX(Base_Trimestrielle!$B$73:$M$276,MAX(Base_Trimestrielle!$N$74:$N$276)-I$2,MATCH($A12,Base_Trimestrielle!$B$73:$M$73,0))</f>
        <v>175.5418427888971</v>
      </c>
      <c r="J12" s="2015" cm="1">
        <f t="array" ref="J12">INDEX(Base_Trimestrielle!$B$73:$M$276,MAX(Base_Trimestrielle!$N$74:$N$276)-J$2,MATCH($A12,Base_Trimestrielle!$B$73:$M$73,0))</f>
        <v>140.37469406443105</v>
      </c>
    </row>
    <row r="13" spans="1:10" ht="20.399999999999999">
      <c r="A13" s="2016" t="s">
        <v>537</v>
      </c>
      <c r="B13" s="2016"/>
      <c r="C13" s="2017" cm="1">
        <f t="array" ref="C13">INDEX(Base_Trimestrielle!$B$73:$M$276,MAX(Base_Trimestrielle!$N$74:$N$276)-C$2,MATCH($A13,Base_Trimestrielle!$B$73:$M$73,0))</f>
        <v>55.688503115573432</v>
      </c>
      <c r="D13" s="2017" cm="1">
        <f t="array" ref="D13">INDEX(Base_Trimestrielle!$B$73:$M$276,MAX(Base_Trimestrielle!$N$74:$N$276)-D$2,MATCH($A13,Base_Trimestrielle!$B$73:$M$73,0))</f>
        <v>51.792740709683983</v>
      </c>
      <c r="E13" s="2017" cm="1">
        <f t="array" ref="E13">INDEX(Base_Trimestrielle!$B$73:$M$276,MAX(Base_Trimestrielle!$N$74:$N$276)-E$2,MATCH($A13,Base_Trimestrielle!$B$73:$M$73,0))</f>
        <v>160.16190290377995</v>
      </c>
      <c r="F13" s="2017" cm="1">
        <f t="array" ref="F13">INDEX(Base_Trimestrielle!$B$73:$M$276,MAX(Base_Trimestrielle!$N$74:$N$276)-F$2,MATCH($A13,Base_Trimestrielle!$B$73:$M$73,0))</f>
        <v>56.666035908039433</v>
      </c>
      <c r="G13" s="2017" cm="1">
        <f t="array" ref="G13">INDEX(Base_Trimestrielle!$B$73:$M$276,MAX(Base_Trimestrielle!$N$74:$N$276)-G$2,MATCH($A13,Base_Trimestrielle!$B$73:$M$73,0))</f>
        <v>88.639299637200125</v>
      </c>
      <c r="H13" s="2017" cm="1">
        <f t="array" ref="H13">INDEX(Base_Trimestrielle!$B$73:$M$276,MAX(Base_Trimestrielle!$N$74:$N$276)-H$2,MATCH($A13,Base_Trimestrielle!$B$73:$M$73,0))</f>
        <v>113.07233344108272</v>
      </c>
      <c r="I13" s="2017" cm="1">
        <f t="array" ref="I13">INDEX(Base_Trimestrielle!$B$73:$M$276,MAX(Base_Trimestrielle!$N$74:$N$276)-I$2,MATCH($A13,Base_Trimestrielle!$B$73:$M$73,0))</f>
        <v>132.93560863380355</v>
      </c>
      <c r="J13" s="2017" cm="1">
        <f t="array" ref="J13">INDEX(Base_Trimestrielle!$B$73:$M$276,MAX(Base_Trimestrielle!$N$74:$N$276)-J$2,MATCH($A13,Base_Trimestrielle!$B$73:$M$73,0))</f>
        <v>56.690431059114069</v>
      </c>
    </row>
    <row r="14" spans="1:10" ht="20.399999999999999">
      <c r="A14" s="2019" t="s">
        <v>538</v>
      </c>
      <c r="B14" s="2019"/>
      <c r="C14" s="2020" cm="1">
        <f t="array" ref="C14">INDEX(Base_Trimestrielle!$B$73:$M$276,MAX(Base_Trimestrielle!$N$74:$N$276)-C$2,MATCH($A14,Base_Trimestrielle!$B$73:$M$73,0))</f>
        <v>114.97120445917567</v>
      </c>
      <c r="D14" s="2020" cm="1">
        <f t="array" ref="D14">INDEX(Base_Trimestrielle!$B$73:$M$276,MAX(Base_Trimestrielle!$N$74:$N$276)-D$2,MATCH($A14,Base_Trimestrielle!$B$73:$M$73,0))</f>
        <v>114.97120445917567</v>
      </c>
      <c r="E14" s="2020" cm="1">
        <f t="array" ref="E14">INDEX(Base_Trimestrielle!$B$73:$M$276,MAX(Base_Trimestrielle!$N$74:$N$276)-E$2,MATCH($A14,Base_Trimestrielle!$B$73:$M$73,0))</f>
        <v>166.26436125883995</v>
      </c>
      <c r="F14" s="2020" cm="1">
        <f t="array" ref="F14">INDEX(Base_Trimestrielle!$B$73:$M$276,MAX(Base_Trimestrielle!$N$74:$N$276)-F$2,MATCH($A14,Base_Trimestrielle!$B$73:$M$73,0))</f>
        <v>130.71887193793054</v>
      </c>
      <c r="G14" s="2020" cm="1">
        <f t="array" ref="G14">INDEX(Base_Trimestrielle!$B$73:$M$276,MAX(Base_Trimestrielle!$N$74:$N$276)-G$2,MATCH($A14,Base_Trimestrielle!$B$73:$M$73,0))</f>
        <v>161.73538174981493</v>
      </c>
      <c r="H14" s="2020" cm="1">
        <f t="array" ref="H14">INDEX(Base_Trimestrielle!$B$73:$M$276,MAX(Base_Trimestrielle!$N$74:$N$276)-H$2,MATCH($A14,Base_Trimestrielle!$B$73:$M$73,0))</f>
        <v>181.37106512777774</v>
      </c>
      <c r="I14" s="2020" cm="1">
        <f t="array" ref="I14">INDEX(Base_Trimestrielle!$B$73:$M$276,MAX(Base_Trimestrielle!$N$74:$N$276)-I$2,MATCH($A14,Base_Trimestrielle!$B$73:$M$73,0))</f>
        <v>183.96370145576358</v>
      </c>
      <c r="J14" s="2020" cm="1">
        <f t="array" ref="J14">INDEX(Base_Trimestrielle!$B$73:$M$276,MAX(Base_Trimestrielle!$N$74:$N$276)-J$2,MATCH($A14,Base_Trimestrielle!$B$73:$M$73,0))</f>
        <v>144.88956933102628</v>
      </c>
    </row>
    <row r="15" spans="1:10">
      <c r="A15" s="2013"/>
      <c r="B15" s="2013"/>
      <c r="C15" s="2014"/>
      <c r="D15" s="2014"/>
      <c r="E15" s="2014"/>
      <c r="F15" s="2014"/>
      <c r="G15" s="2014"/>
      <c r="H15" s="2014"/>
      <c r="I15" s="2014"/>
      <c r="J15" s="2014"/>
    </row>
    <row r="16" spans="1:10">
      <c r="A16" s="1125"/>
      <c r="B16" s="2012"/>
      <c r="C16" s="1227">
        <f t="shared" ref="C16:H16" si="1">D16+1</f>
        <v>31</v>
      </c>
      <c r="D16" s="1227">
        <f t="shared" si="1"/>
        <v>30</v>
      </c>
      <c r="E16" s="1227">
        <f t="shared" si="1"/>
        <v>29</v>
      </c>
      <c r="F16" s="1227">
        <f t="shared" si="1"/>
        <v>28</v>
      </c>
      <c r="G16" s="1227">
        <f t="shared" si="1"/>
        <v>27</v>
      </c>
      <c r="H16" s="1227">
        <f t="shared" si="1"/>
        <v>26</v>
      </c>
      <c r="I16" s="1227">
        <f>J16+1</f>
        <v>25</v>
      </c>
      <c r="J16" s="1227">
        <v>24</v>
      </c>
    </row>
    <row r="17" spans="1:10">
      <c r="A17" s="1543"/>
      <c r="B17" s="1467" t="s">
        <v>221</v>
      </c>
      <c r="C17" s="2010" cm="1">
        <f t="array" ref="C17">INDEX(Base_Trimestrielle!$B$73:$M$276,MAX(Base_Trimestrielle!$N$74:$N$276)-C$16,1)</f>
        <v>41244</v>
      </c>
      <c r="D17" s="2010" cm="1">
        <f t="array" ref="D17">INDEX(Base_Trimestrielle!$B$73:$M$276,MAX(Base_Trimestrielle!$N$74:$N$276)-D$16,1)</f>
        <v>41334</v>
      </c>
      <c r="E17" s="2010" cm="1">
        <f t="array" ref="E17">INDEX(Base_Trimestrielle!$B$73:$M$276,MAX(Base_Trimestrielle!$N$74:$N$276)-E$16,1)</f>
        <v>41426</v>
      </c>
      <c r="F17" s="2010" cm="1">
        <f t="array" ref="F17">INDEX(Base_Trimestrielle!$B$73:$M$276,MAX(Base_Trimestrielle!$N$74:$N$276)-F$16,1)</f>
        <v>41518</v>
      </c>
      <c r="G17" s="2010" cm="1">
        <f t="array" ref="G17">INDEX(Base_Trimestrielle!$B$73:$M$276,MAX(Base_Trimestrielle!$N$74:$N$276)-G$16,1)</f>
        <v>41609</v>
      </c>
      <c r="H17" s="2010" cm="1">
        <f t="array" ref="H17">INDEX(Base_Trimestrielle!$B$73:$M$276,MAX(Base_Trimestrielle!$N$74:$N$276)-H$16,1)</f>
        <v>41699</v>
      </c>
      <c r="I17" s="2010" cm="1">
        <f t="array" ref="I17">INDEX(Base_Trimestrielle!$B$73:$M$276,MAX(Base_Trimestrielle!$N$74:$N$276)-I$16,1)</f>
        <v>41791</v>
      </c>
      <c r="J17" s="2010" cm="1">
        <f t="array" ref="J17">INDEX(Base_Trimestrielle!$B$73:$M$276,MAX(Base_Trimestrielle!$N$74:$N$276)-J$16,1)</f>
        <v>41883</v>
      </c>
    </row>
    <row r="18" spans="1:10">
      <c r="A18" s="2011" t="s">
        <v>222</v>
      </c>
      <c r="B18" s="2011"/>
      <c r="C18" s="2015" cm="1">
        <f t="array" ref="C18">INDEX(Base_Trimestrielle!$B$73:$M$276,MAX(Base_Trimestrielle!$N$74:$N$276)-C$16,MATCH($A18,Base_Trimestrielle!$B$73:$M$73,0))</f>
        <v>123.52763592970418</v>
      </c>
      <c r="D18" s="2015" cm="1">
        <f t="array" ref="D18">INDEX(Base_Trimestrielle!$B$73:$M$276,MAX(Base_Trimestrielle!$N$74:$N$276)-D$16,MATCH($A18,Base_Trimestrielle!$B$73:$M$73,0))</f>
        <v>159.66587780759903</v>
      </c>
      <c r="E18" s="2015" cm="1">
        <f t="array" ref="E18">INDEX(Base_Trimestrielle!$B$73:$M$276,MAX(Base_Trimestrielle!$N$74:$N$276)-E$16,MATCH($A18,Base_Trimestrielle!$B$73:$M$73,0))</f>
        <v>145.44656141084286</v>
      </c>
      <c r="F18" s="2015" cm="1">
        <f t="array" ref="F18">INDEX(Base_Trimestrielle!$B$73:$M$276,MAX(Base_Trimestrielle!$N$74:$N$276)-F$16,MATCH($A18,Base_Trimestrielle!$B$73:$M$73,0))</f>
        <v>117.59339955249327</v>
      </c>
      <c r="G18" s="2015" cm="1">
        <f t="array" ref="G18">INDEX(Base_Trimestrielle!$B$73:$M$276,MAX(Base_Trimestrielle!$N$74:$N$276)-G$16,MATCH($A18,Base_Trimestrielle!$B$73:$M$73,0))</f>
        <v>121.91861245666929</v>
      </c>
      <c r="H18" s="2015" cm="1">
        <f t="array" ref="H18">INDEX(Base_Trimestrielle!$B$73:$M$276,MAX(Base_Trimestrielle!$N$74:$N$276)-H$16,MATCH($A18,Base_Trimestrielle!$B$73:$M$73,0))</f>
        <v>140.74783108105981</v>
      </c>
      <c r="I18" s="2015" cm="1">
        <f t="array" ref="I18">INDEX(Base_Trimestrielle!$B$73:$M$276,MAX(Base_Trimestrielle!$N$74:$N$276)-I$16,MATCH($A18,Base_Trimestrielle!$B$73:$M$73,0))</f>
        <v>149.77982712103767</v>
      </c>
      <c r="J18" s="2015" cm="1">
        <f t="array" ref="J18">INDEX(Base_Trimestrielle!$B$73:$M$276,MAX(Base_Trimestrielle!$N$74:$N$276)-J$16,MATCH($A18,Base_Trimestrielle!$B$73:$M$73,0))</f>
        <v>118.05221287279905</v>
      </c>
    </row>
    <row r="19" spans="1:10" ht="20.399999999999999">
      <c r="A19" s="2016" t="s">
        <v>529</v>
      </c>
      <c r="B19" s="2016"/>
      <c r="C19" s="2017" cm="1">
        <f t="array" ref="C19">INDEX(Base_Trimestrielle!$B$73:$M$276,MAX(Base_Trimestrielle!$N$74:$N$276)-C$16,MATCH($A19,Base_Trimestrielle!$B$73:$M$73,0))</f>
        <v>1288.2975750498297</v>
      </c>
      <c r="D19" s="2017" cm="1">
        <f t="array" ref="D19">INDEX(Base_Trimestrielle!$B$73:$M$276,MAX(Base_Trimestrielle!$N$74:$N$276)-D$16,MATCH($A19,Base_Trimestrielle!$B$73:$M$73,0))</f>
        <v>1051.3361007215815</v>
      </c>
      <c r="E19" s="2017" cm="1">
        <f t="array" ref="E19">INDEX(Base_Trimestrielle!$B$73:$M$276,MAX(Base_Trimestrielle!$N$74:$N$276)-E$16,MATCH($A19,Base_Trimestrielle!$B$73:$M$73,0))</f>
        <v>935.15021070028001</v>
      </c>
      <c r="F19" s="2017" cm="1">
        <f t="array" ref="F19">INDEX(Base_Trimestrielle!$B$73:$M$276,MAX(Base_Trimestrielle!$N$74:$N$276)-F$16,MATCH($A19,Base_Trimestrielle!$B$73:$M$73,0))</f>
        <v>822.14749574805546</v>
      </c>
      <c r="G19" s="2017" cm="1">
        <f t="array" ref="G19">INDEX(Base_Trimestrielle!$B$73:$M$276,MAX(Base_Trimestrielle!$N$74:$N$276)-G$16,MATCH($A19,Base_Trimestrielle!$B$73:$M$73,0))</f>
        <v>1130.8414501213124</v>
      </c>
      <c r="H19" s="2017" cm="1">
        <f t="array" ref="H19">INDEX(Base_Trimestrielle!$B$73:$M$276,MAX(Base_Trimestrielle!$N$74:$N$276)-H$16,MATCH($A19,Base_Trimestrielle!$B$73:$M$73,0))</f>
        <v>1157.750383554089</v>
      </c>
      <c r="I19" s="2017" cm="1">
        <f t="array" ref="I19">INDEX(Base_Trimestrielle!$B$73:$M$276,MAX(Base_Trimestrielle!$N$74:$N$276)-I$16,MATCH($A19,Base_Trimestrielle!$B$73:$M$73,0))</f>
        <v>1029.8043740492205</v>
      </c>
      <c r="J19" s="2017" cm="1">
        <f t="array" ref="J19">INDEX(Base_Trimestrielle!$B$73:$M$276,MAX(Base_Trimestrielle!$N$74:$N$276)-J$16,MATCH($A19,Base_Trimestrielle!$B$73:$M$73,0))</f>
        <v>905.36373466777309</v>
      </c>
    </row>
    <row r="20" spans="1:10" ht="20.399999999999999">
      <c r="A20" s="2018" t="s">
        <v>530</v>
      </c>
      <c r="B20" s="2018"/>
      <c r="C20" s="2015" cm="1">
        <f t="array" ref="C20">INDEX(Base_Trimestrielle!$B$73:$M$276,MAX(Base_Trimestrielle!$N$74:$N$276)-C$16,MATCH($A20,Base_Trimestrielle!$B$73:$M$73,0))</f>
        <v>121.38951060190217</v>
      </c>
      <c r="D20" s="2015" cm="1">
        <f t="array" ref="D20">INDEX(Base_Trimestrielle!$B$73:$M$276,MAX(Base_Trimestrielle!$N$74:$N$276)-D$16,MATCH($A20,Base_Trimestrielle!$B$73:$M$73,0))</f>
        <v>171.95563699132225</v>
      </c>
      <c r="E20" s="2015" cm="1">
        <f t="array" ref="E20">INDEX(Base_Trimestrielle!$B$73:$M$276,MAX(Base_Trimestrielle!$N$74:$N$276)-E$16,MATCH($A20,Base_Trimestrielle!$B$73:$M$73,0))</f>
        <v>171.33714450486039</v>
      </c>
      <c r="F20" s="2015" cm="1">
        <f t="array" ref="F20">INDEX(Base_Trimestrielle!$B$73:$M$276,MAX(Base_Trimestrielle!$N$74:$N$276)-F$16,MATCH($A20,Base_Trimestrielle!$B$73:$M$73,0))</f>
        <v>144.81836393899582</v>
      </c>
      <c r="G20" s="2015" cm="1">
        <f t="array" ref="G20">INDEX(Base_Trimestrielle!$B$73:$M$276,MAX(Base_Trimestrielle!$N$74:$N$276)-G$16,MATCH($A20,Base_Trimestrielle!$B$73:$M$73,0))</f>
        <v>164.97532311245291</v>
      </c>
      <c r="H20" s="2015" cm="1">
        <f t="array" ref="H20">INDEX(Base_Trimestrielle!$B$73:$M$276,MAX(Base_Trimestrielle!$N$74:$N$276)-H$16,MATCH($A20,Base_Trimestrielle!$B$73:$M$73,0))</f>
        <v>163.26499354426403</v>
      </c>
      <c r="I20" s="2015" cm="1">
        <f t="array" ref="I20">INDEX(Base_Trimestrielle!$B$73:$M$276,MAX(Base_Trimestrielle!$N$74:$N$276)-I$16,MATCH($A20,Base_Trimestrielle!$B$73:$M$73,0))</f>
        <v>170.21886395038803</v>
      </c>
      <c r="J20" s="2015" cm="1">
        <f t="array" ref="J20">INDEX(Base_Trimestrielle!$B$73:$M$276,MAX(Base_Trimestrielle!$N$74:$N$276)-J$16,MATCH($A20,Base_Trimestrielle!$B$73:$M$73,0))</f>
        <v>148.13336957898929</v>
      </c>
    </row>
    <row r="21" spans="1:10" ht="20.399999999999999">
      <c r="A21" s="2016" t="s">
        <v>531</v>
      </c>
      <c r="B21" s="2016"/>
      <c r="C21" s="2017" cm="1">
        <f t="array" ref="C21">INDEX(Base_Trimestrielle!$B$73:$M$276,MAX(Base_Trimestrielle!$N$74:$N$276)-C$16,MATCH($A21,Base_Trimestrielle!$B$73:$M$73,0))</f>
        <v>149.36563522590274</v>
      </c>
      <c r="D21" s="2017" cm="1">
        <f t="array" ref="D21">INDEX(Base_Trimestrielle!$B$73:$M$276,MAX(Base_Trimestrielle!$N$74:$N$276)-D$16,MATCH($A21,Base_Trimestrielle!$B$73:$M$73,0))</f>
        <v>161.41665231452245</v>
      </c>
      <c r="E21" s="2017" cm="1">
        <f t="array" ref="E21">INDEX(Base_Trimestrielle!$B$73:$M$276,MAX(Base_Trimestrielle!$N$74:$N$276)-E$16,MATCH($A21,Base_Trimestrielle!$B$73:$M$73,0))</f>
        <v>169.37635149357982</v>
      </c>
      <c r="F21" s="2017" cm="1">
        <f t="array" ref="F21">INDEX(Base_Trimestrielle!$B$73:$M$276,MAX(Base_Trimestrielle!$N$74:$N$276)-F$16,MATCH($A21,Base_Trimestrielle!$B$73:$M$73,0))</f>
        <v>149.24124997607976</v>
      </c>
      <c r="G21" s="2017" cm="1">
        <f t="array" ref="G21">INDEX(Base_Trimestrielle!$B$73:$M$276,MAX(Base_Trimestrielle!$N$74:$N$276)-G$16,MATCH($A21,Base_Trimestrielle!$B$73:$M$73,0))</f>
        <v>146.62533249134088</v>
      </c>
      <c r="H21" s="2017" cm="1">
        <f t="array" ref="H21">INDEX(Base_Trimestrielle!$B$73:$M$276,MAX(Base_Trimestrielle!$N$74:$N$276)-H$16,MATCH($A21,Base_Trimestrielle!$B$73:$M$73,0))</f>
        <v>168.78121591365749</v>
      </c>
      <c r="I21" s="2017" cm="1">
        <f t="array" ref="I21">INDEX(Base_Trimestrielle!$B$73:$M$276,MAX(Base_Trimestrielle!$N$74:$N$276)-I$16,MATCH($A21,Base_Trimestrielle!$B$73:$M$73,0))</f>
        <v>164.4009415006602</v>
      </c>
      <c r="J21" s="2017" cm="1">
        <f t="array" ref="J21">INDEX(Base_Trimestrielle!$B$73:$M$276,MAX(Base_Trimestrielle!$N$74:$N$276)-J$16,MATCH($A21,Base_Trimestrielle!$B$73:$M$73,0))</f>
        <v>167.44168245402531</v>
      </c>
    </row>
    <row r="22" spans="1:10">
      <c r="A22" s="2018" t="s">
        <v>532</v>
      </c>
      <c r="B22" s="2018"/>
      <c r="C22" s="2015" cm="1">
        <f t="array" ref="C22">INDEX(Base_Trimestrielle!$B$73:$M$276,MAX(Base_Trimestrielle!$N$74:$N$276)-C$16,MATCH($A22,Base_Trimestrielle!$B$73:$M$73,0))</f>
        <v>34.833593617201714</v>
      </c>
      <c r="D22" s="2015" cm="1">
        <f t="array" ref="D22">INDEX(Base_Trimestrielle!$B$73:$M$276,MAX(Base_Trimestrielle!$N$74:$N$276)-D$16,MATCH($A22,Base_Trimestrielle!$B$73:$M$73,0))</f>
        <v>101.98907152721834</v>
      </c>
      <c r="E22" s="2015" cm="1">
        <f t="array" ref="E22">INDEX(Base_Trimestrielle!$B$73:$M$276,MAX(Base_Trimestrielle!$N$74:$N$276)-E$16,MATCH($A22,Base_Trimestrielle!$B$73:$M$73,0))</f>
        <v>27.114425235805335</v>
      </c>
      <c r="F22" s="2015" cm="1">
        <f t="array" ref="F22">INDEX(Base_Trimestrielle!$B$73:$M$276,MAX(Base_Trimestrielle!$N$74:$N$276)-F$16,MATCH($A22,Base_Trimestrielle!$B$73:$M$73,0))</f>
        <v>6.5235435235200292</v>
      </c>
      <c r="G22" s="2015" cm="1">
        <f t="array" ref="G22">INDEX(Base_Trimestrielle!$B$73:$M$276,MAX(Base_Trimestrielle!$N$74:$N$276)-G$16,MATCH($A22,Base_Trimestrielle!$B$73:$M$73,0))</f>
        <v>18.128558154865754</v>
      </c>
      <c r="H22" s="2015" cm="1">
        <f t="array" ref="H22">INDEX(Base_Trimestrielle!$B$73:$M$276,MAX(Base_Trimestrielle!$N$74:$N$276)-H$16,MATCH($A22,Base_Trimestrielle!$B$73:$M$73,0))</f>
        <v>107.06028595111272</v>
      </c>
      <c r="I22" s="2015" cm="1">
        <f t="array" ref="I22">INDEX(Base_Trimestrielle!$B$73:$M$276,MAX(Base_Trimestrielle!$N$74:$N$276)-I$16,MATCH($A22,Base_Trimestrielle!$B$73:$M$73,0))</f>
        <v>36.73192068033125</v>
      </c>
      <c r="J22" s="2015" cm="1">
        <f t="array" ref="J22">INDEX(Base_Trimestrielle!$B$73:$M$276,MAX(Base_Trimestrielle!$N$74:$N$276)-J$16,MATCH($A22,Base_Trimestrielle!$B$73:$M$73,0))</f>
        <v>11.595747687224055</v>
      </c>
    </row>
    <row r="23" spans="1:10" ht="30.6">
      <c r="A23" s="2016" t="s">
        <v>533</v>
      </c>
      <c r="B23" s="2016"/>
      <c r="C23" s="2017" cm="1">
        <f t="array" ref="C23">INDEX(Base_Trimestrielle!$B$73:$M$276,MAX(Base_Trimestrielle!$N$74:$N$276)-C$16,MATCH($A23,Base_Trimestrielle!$B$73:$M$73,0))</f>
        <v>19.351836294453495</v>
      </c>
      <c r="D23" s="2017" cm="1">
        <f t="array" ref="D23">INDEX(Base_Trimestrielle!$B$73:$M$276,MAX(Base_Trimestrielle!$N$74:$N$276)-D$16,MATCH($A23,Base_Trimestrielle!$B$73:$M$73,0))</f>
        <v>19.351836294453495</v>
      </c>
      <c r="E23" s="2017" cm="1">
        <f t="array" ref="E23">INDEX(Base_Trimestrielle!$B$73:$M$276,MAX(Base_Trimestrielle!$N$74:$N$276)-E$16,MATCH($A23,Base_Trimestrielle!$B$73:$M$73,0))</f>
        <v>10.891532286463569</v>
      </c>
      <c r="F23" s="2017" cm="1">
        <f t="array" ref="F23">INDEX(Base_Trimestrielle!$B$73:$M$276,MAX(Base_Trimestrielle!$N$74:$N$276)-F$16,MATCH($A23,Base_Trimestrielle!$B$73:$M$73,0))</f>
        <v>14.575355406019703</v>
      </c>
      <c r="G23" s="2017" cm="1">
        <f t="array" ref="G23">INDEX(Base_Trimestrielle!$B$73:$M$276,MAX(Base_Trimestrielle!$N$74:$N$276)-G$16,MATCH($A23,Base_Trimestrielle!$B$73:$M$73,0))</f>
        <v>31.674430238588279</v>
      </c>
      <c r="H23" s="2017" cm="1">
        <f t="array" ref="H23">INDEX(Base_Trimestrielle!$B$73:$M$276,MAX(Base_Trimestrielle!$N$74:$N$276)-H$16,MATCH($A23,Base_Trimestrielle!$B$73:$M$73,0))</f>
        <v>9.7555600659116468</v>
      </c>
      <c r="I23" s="2017" cm="1">
        <f t="array" ref="I23">INDEX(Base_Trimestrielle!$B$73:$M$276,MAX(Base_Trimestrielle!$N$74:$N$276)-I$16,MATCH($A23,Base_Trimestrielle!$B$73:$M$73,0))</f>
        <v>22.274384772633113</v>
      </c>
      <c r="J23" s="2017" cm="1">
        <f t="array" ref="J23">INDEX(Base_Trimestrielle!$B$73:$M$276,MAX(Base_Trimestrielle!$N$74:$N$276)-J$16,MATCH($A23,Base_Trimestrielle!$B$73:$M$73,0))</f>
        <v>22.274384772633113</v>
      </c>
    </row>
    <row r="24" spans="1:10" ht="20.399999999999999">
      <c r="A24" s="2018" t="s">
        <v>534</v>
      </c>
      <c r="B24" s="2018"/>
      <c r="C24" s="2015" cm="1">
        <f t="array" ref="C24">INDEX(Base_Trimestrielle!$B$73:$M$276,MAX(Base_Trimestrielle!$N$74:$N$276)-C$16,MATCH($A24,Base_Trimestrielle!$B$73:$M$73,0))</f>
        <v>74.215218709631301</v>
      </c>
      <c r="D24" s="2015" cm="1">
        <f t="array" ref="D24">INDEX(Base_Trimestrielle!$B$73:$M$276,MAX(Base_Trimestrielle!$N$74:$N$276)-D$16,MATCH($A24,Base_Trimestrielle!$B$73:$M$73,0))</f>
        <v>81.003366422335901</v>
      </c>
      <c r="E24" s="2015" cm="1">
        <f t="array" ref="E24">INDEX(Base_Trimestrielle!$B$73:$M$276,MAX(Base_Trimestrielle!$N$74:$N$276)-E$16,MATCH($A24,Base_Trimestrielle!$B$73:$M$73,0))</f>
        <v>75.001147335888021</v>
      </c>
      <c r="F24" s="2015" cm="1">
        <f t="array" ref="F24">INDEX(Base_Trimestrielle!$B$73:$M$276,MAX(Base_Trimestrielle!$N$74:$N$276)-F$16,MATCH($A24,Base_Trimestrielle!$B$73:$M$73,0))</f>
        <v>79.400295763297308</v>
      </c>
      <c r="G24" s="2015" cm="1">
        <f t="array" ref="G24">INDEX(Base_Trimestrielle!$B$73:$M$276,MAX(Base_Trimestrielle!$N$74:$N$276)-G$16,MATCH($A24,Base_Trimestrielle!$B$73:$M$73,0))</f>
        <v>56.132510707481906</v>
      </c>
      <c r="H24" s="2015" cm="1">
        <f t="array" ref="H24">INDEX(Base_Trimestrielle!$B$73:$M$276,MAX(Base_Trimestrielle!$N$74:$N$276)-H$16,MATCH($A24,Base_Trimestrielle!$B$73:$M$73,0))</f>
        <v>83.312122532925684</v>
      </c>
      <c r="I24" s="2015" cm="1">
        <f t="array" ref="I24">INDEX(Base_Trimestrielle!$B$73:$M$276,MAX(Base_Trimestrielle!$N$74:$N$276)-I$16,MATCH($A24,Base_Trimestrielle!$B$73:$M$73,0))</f>
        <v>84.700338902397888</v>
      </c>
      <c r="J24" s="2015" cm="1">
        <f t="array" ref="J24">INDEX(Base_Trimestrielle!$B$73:$M$276,MAX(Base_Trimestrielle!$N$74:$N$276)-J$16,MATCH($A24,Base_Trimestrielle!$B$73:$M$73,0))</f>
        <v>85.390284992434502</v>
      </c>
    </row>
    <row r="25" spans="1:10" ht="30.6">
      <c r="A25" s="2016" t="s">
        <v>535</v>
      </c>
      <c r="B25" s="2016"/>
      <c r="C25" s="2017" cm="1">
        <f t="array" ref="C25">INDEX(Base_Trimestrielle!$B$73:$M$276,MAX(Base_Trimestrielle!$N$74:$N$276)-C$16,MATCH($A25,Base_Trimestrielle!$B$73:$M$73,0))</f>
        <v>154.97710958966621</v>
      </c>
      <c r="D25" s="2017" cm="1">
        <f t="array" ref="D25">INDEX(Base_Trimestrielle!$B$73:$M$276,MAX(Base_Trimestrielle!$N$74:$N$276)-D$16,MATCH($A25,Base_Trimestrielle!$B$73:$M$73,0))</f>
        <v>150.69642403936749</v>
      </c>
      <c r="E25" s="2017" cm="1">
        <f t="array" ref="E25">INDEX(Base_Trimestrielle!$B$73:$M$276,MAX(Base_Trimestrielle!$N$74:$N$276)-E$16,MATCH($A25,Base_Trimestrielle!$B$73:$M$73,0))</f>
        <v>154.53704911023087</v>
      </c>
      <c r="F25" s="2017" cm="1">
        <f t="array" ref="F25">INDEX(Base_Trimestrielle!$B$73:$M$276,MAX(Base_Trimestrielle!$N$74:$N$276)-F$16,MATCH($A25,Base_Trimestrielle!$B$73:$M$73,0))</f>
        <v>131.74629201032894</v>
      </c>
      <c r="G25" s="2017" cm="1">
        <f t="array" ref="G25">INDEX(Base_Trimestrielle!$B$73:$M$276,MAX(Base_Trimestrielle!$N$74:$N$276)-G$16,MATCH($A25,Base_Trimestrielle!$B$73:$M$73,0))</f>
        <v>111.21998135525129</v>
      </c>
      <c r="H25" s="2017" cm="1">
        <f t="array" ref="H25">INDEX(Base_Trimestrielle!$B$73:$M$276,MAX(Base_Trimestrielle!$N$74:$N$276)-H$16,MATCH($A25,Base_Trimestrielle!$B$73:$M$73,0))</f>
        <v>106.51477683014117</v>
      </c>
      <c r="I25" s="2017" cm="1">
        <f t="array" ref="I25">INDEX(Base_Trimestrielle!$B$73:$M$276,MAX(Base_Trimestrielle!$N$74:$N$276)-I$16,MATCH($A25,Base_Trimestrielle!$B$73:$M$73,0))</f>
        <v>122.2104400851882</v>
      </c>
      <c r="J25" s="2017" cm="1">
        <f t="array" ref="J25">INDEX(Base_Trimestrielle!$B$73:$M$276,MAX(Base_Trimestrielle!$N$74:$N$276)-J$16,MATCH($A25,Base_Trimestrielle!$B$73:$M$73,0))</f>
        <v>74.381635030491452</v>
      </c>
    </row>
    <row r="26" spans="1:10">
      <c r="A26" s="2018" t="s">
        <v>536</v>
      </c>
      <c r="B26" s="2018"/>
      <c r="C26" s="2015" cm="1">
        <f t="array" ref="C26">INDEX(Base_Trimestrielle!$B$73:$M$276,MAX(Base_Trimestrielle!$N$74:$N$276)-C$16,MATCH($A26,Base_Trimestrielle!$B$73:$M$73,0))</f>
        <v>103.16528052731043</v>
      </c>
      <c r="D26" s="2015" cm="1">
        <f t="array" ref="D26">INDEX(Base_Trimestrielle!$B$73:$M$276,MAX(Base_Trimestrielle!$N$74:$N$276)-D$16,MATCH($A26,Base_Trimestrielle!$B$73:$M$73,0))</f>
        <v>249.16287083618184</v>
      </c>
      <c r="E26" s="2015" cm="1">
        <f t="array" ref="E26">INDEX(Base_Trimestrielle!$B$73:$M$276,MAX(Base_Trimestrielle!$N$74:$N$276)-E$16,MATCH($A26,Base_Trimestrielle!$B$73:$M$73,0))</f>
        <v>101.81875961249254</v>
      </c>
      <c r="F26" s="2015" cm="1">
        <f t="array" ref="F26">INDEX(Base_Trimestrielle!$B$73:$M$276,MAX(Base_Trimestrielle!$N$74:$N$276)-F$16,MATCH($A26,Base_Trimestrielle!$B$73:$M$73,0))</f>
        <v>67.829764927117168</v>
      </c>
      <c r="G26" s="2015" cm="1">
        <f t="array" ref="G26">INDEX(Base_Trimestrielle!$B$73:$M$276,MAX(Base_Trimestrielle!$N$74:$N$276)-G$16,MATCH($A26,Base_Trimestrielle!$B$73:$M$73,0))</f>
        <v>66.390766437955079</v>
      </c>
      <c r="H26" s="2015" cm="1">
        <f t="array" ref="H26">INDEX(Base_Trimestrielle!$B$73:$M$276,MAX(Base_Trimestrielle!$N$74:$N$276)-H$16,MATCH($A26,Base_Trimestrielle!$B$73:$M$73,0))</f>
        <v>139.53115054901662</v>
      </c>
      <c r="I26" s="2015" cm="1">
        <f t="array" ref="I26">INDEX(Base_Trimestrielle!$B$73:$M$276,MAX(Base_Trimestrielle!$N$74:$N$276)-I$16,MATCH($A26,Base_Trimestrielle!$B$73:$M$73,0))</f>
        <v>167.70597169296735</v>
      </c>
      <c r="J26" s="2015" cm="1">
        <f t="array" ref="J26">INDEX(Base_Trimestrielle!$B$73:$M$276,MAX(Base_Trimestrielle!$N$74:$N$276)-J$16,MATCH($A26,Base_Trimestrielle!$B$73:$M$73,0))</f>
        <v>83.778948416941262</v>
      </c>
    </row>
    <row r="27" spans="1:10" ht="20.399999999999999">
      <c r="A27" s="2016" t="s">
        <v>537</v>
      </c>
      <c r="B27" s="2016"/>
      <c r="C27" s="2017" cm="1">
        <f t="array" ref="C27">INDEX(Base_Trimestrielle!$B$73:$M$276,MAX(Base_Trimestrielle!$N$74:$N$276)-C$16,MATCH($A27,Base_Trimestrielle!$B$73:$M$73,0))</f>
        <v>85.864866942381013</v>
      </c>
      <c r="D27" s="2017" cm="1">
        <f t="array" ref="D27">INDEX(Base_Trimestrielle!$B$73:$M$276,MAX(Base_Trimestrielle!$N$74:$N$276)-D$16,MATCH($A27,Base_Trimestrielle!$B$73:$M$73,0))</f>
        <v>96.470126660548189</v>
      </c>
      <c r="E27" s="2017" cm="1">
        <f t="array" ref="E27">INDEX(Base_Trimestrielle!$B$73:$M$276,MAX(Base_Trimestrielle!$N$74:$N$276)-E$16,MATCH($A27,Base_Trimestrielle!$B$73:$M$73,0))</f>
        <v>160.43320233985457</v>
      </c>
      <c r="F27" s="2017" cm="1">
        <f t="array" ref="F27">INDEX(Base_Trimestrielle!$B$73:$M$276,MAX(Base_Trimestrielle!$N$74:$N$276)-F$16,MATCH($A27,Base_Trimestrielle!$B$73:$M$73,0))</f>
        <v>108.65633256826797</v>
      </c>
      <c r="G27" s="2017" cm="1">
        <f t="array" ref="G27">INDEX(Base_Trimestrielle!$B$73:$M$276,MAX(Base_Trimestrielle!$N$74:$N$276)-G$16,MATCH($A27,Base_Trimestrielle!$B$73:$M$73,0))</f>
        <v>112.44262348502092</v>
      </c>
      <c r="H27" s="2017" cm="1">
        <f t="array" ref="H27">INDEX(Base_Trimestrielle!$B$73:$M$276,MAX(Base_Trimestrielle!$N$74:$N$276)-H$16,MATCH($A27,Base_Trimestrielle!$B$73:$M$73,0))</f>
        <v>94.258105235575243</v>
      </c>
      <c r="I27" s="2017" cm="1">
        <f t="array" ref="I27">INDEX(Base_Trimestrielle!$B$73:$M$276,MAX(Base_Trimestrielle!$N$74:$N$276)-I$16,MATCH($A27,Base_Trimestrielle!$B$73:$M$73,0))</f>
        <v>159.3926108759959</v>
      </c>
      <c r="J27" s="2017" cm="1">
        <f t="array" ref="J27">INDEX(Base_Trimestrielle!$B$73:$M$276,MAX(Base_Trimestrielle!$N$74:$N$276)-J$16,MATCH($A27,Base_Trimestrielle!$B$73:$M$73,0))</f>
        <v>129.65766493012575</v>
      </c>
    </row>
    <row r="28" spans="1:10" ht="20.399999999999999">
      <c r="A28" s="2019" t="s">
        <v>538</v>
      </c>
      <c r="B28" s="2019"/>
      <c r="C28" s="2020" cm="1">
        <f t="array" ref="C28">INDEX(Base_Trimestrielle!$B$73:$M$276,MAX(Base_Trimestrielle!$N$74:$N$276)-C$16,MATCH($A28,Base_Trimestrielle!$B$73:$M$73,0))</f>
        <v>179.26845190682883</v>
      </c>
      <c r="D28" s="2020" cm="1">
        <f t="array" ref="D28">INDEX(Base_Trimestrielle!$B$73:$M$276,MAX(Base_Trimestrielle!$N$74:$N$276)-D$16,MATCH($A28,Base_Trimestrielle!$B$73:$M$73,0))</f>
        <v>201.03275927863908</v>
      </c>
      <c r="E28" s="2020" cm="1">
        <f t="array" ref="E28">INDEX(Base_Trimestrielle!$B$73:$M$276,MAX(Base_Trimestrielle!$N$74:$N$276)-E$16,MATCH($A28,Base_Trimestrielle!$B$73:$M$73,0))</f>
        <v>225.43938921382386</v>
      </c>
      <c r="F28" s="2020" cm="1">
        <f t="array" ref="F28">INDEX(Base_Trimestrielle!$B$73:$M$276,MAX(Base_Trimestrielle!$N$74:$N$276)-F$16,MATCH($A28,Base_Trimestrielle!$B$73:$M$73,0))</f>
        <v>228.66196691563607</v>
      </c>
      <c r="G28" s="2020" cm="1">
        <f t="array" ref="G28">INDEX(Base_Trimestrielle!$B$73:$M$276,MAX(Base_Trimestrielle!$N$74:$N$276)-G$16,MATCH($A28,Base_Trimestrielle!$B$73:$M$73,0))</f>
        <v>159.07458120516688</v>
      </c>
      <c r="H28" s="2020" cm="1">
        <f t="array" ref="H28">INDEX(Base_Trimestrielle!$B$73:$M$276,MAX(Base_Trimestrielle!$N$74:$N$276)-H$16,MATCH($A28,Base_Trimestrielle!$B$73:$M$73,0))</f>
        <v>188.05392002176603</v>
      </c>
      <c r="I28" s="2020" cm="1">
        <f t="array" ref="I28">INDEX(Base_Trimestrielle!$B$73:$M$276,MAX(Base_Trimestrielle!$N$74:$N$276)-I$16,MATCH($A28,Base_Trimestrielle!$B$73:$M$73,0))</f>
        <v>202.31979285558415</v>
      </c>
      <c r="J28" s="2020" cm="1">
        <f t="array" ref="J28">INDEX(Base_Trimestrielle!$B$73:$M$276,MAX(Base_Trimestrielle!$N$74:$N$276)-J$16,MATCH($A28,Base_Trimestrielle!$B$73:$M$73,0))</f>
        <v>152.47739319739398</v>
      </c>
    </row>
    <row r="29" spans="1:10">
      <c r="A29" s="2013"/>
      <c r="B29" s="2013"/>
      <c r="C29" s="2014"/>
      <c r="D29" s="2014"/>
      <c r="E29" s="2014"/>
      <c r="F29" s="2014"/>
      <c r="G29" s="2014"/>
      <c r="H29" s="2014"/>
      <c r="I29" s="2014"/>
      <c r="J29" s="2014"/>
    </row>
    <row r="30" spans="1:10">
      <c r="A30" s="1125"/>
      <c r="B30" s="2012"/>
      <c r="C30" s="1227">
        <f t="shared" ref="C30:H30" si="2">D30+1</f>
        <v>23</v>
      </c>
      <c r="D30" s="1227">
        <f t="shared" si="2"/>
        <v>22</v>
      </c>
      <c r="E30" s="1227">
        <f t="shared" si="2"/>
        <v>21</v>
      </c>
      <c r="F30" s="1227">
        <f t="shared" si="2"/>
        <v>20</v>
      </c>
      <c r="G30" s="1227">
        <f t="shared" si="2"/>
        <v>19</v>
      </c>
      <c r="H30" s="1227">
        <f t="shared" si="2"/>
        <v>18</v>
      </c>
      <c r="I30" s="1227">
        <f>J30+1</f>
        <v>17</v>
      </c>
      <c r="J30" s="1227">
        <v>16</v>
      </c>
    </row>
    <row r="31" spans="1:10">
      <c r="A31" s="1543"/>
      <c r="B31" s="1467" t="s">
        <v>221</v>
      </c>
      <c r="C31" s="2010" cm="1">
        <f t="array" ref="C31">INDEX(Base_Trimestrielle!$B$73:$M$276,MAX(Base_Trimestrielle!$N$74:$N$276)-C$30,1)</f>
        <v>41974</v>
      </c>
      <c r="D31" s="2010" cm="1">
        <f t="array" ref="D31">INDEX(Base_Trimestrielle!$B$73:$M$276,MAX(Base_Trimestrielle!$N$74:$N$276)-D$30,1)</f>
        <v>42064</v>
      </c>
      <c r="E31" s="2010" cm="1">
        <f t="array" ref="E31">INDEX(Base_Trimestrielle!$B$73:$M$276,MAX(Base_Trimestrielle!$N$74:$N$276)-E$30,1)</f>
        <v>42156</v>
      </c>
      <c r="F31" s="2010" cm="1">
        <f t="array" ref="F31">INDEX(Base_Trimestrielle!$B$73:$M$276,MAX(Base_Trimestrielle!$N$74:$N$276)-F$30,1)</f>
        <v>42248</v>
      </c>
      <c r="G31" s="2010" cm="1">
        <f t="array" ref="G31">INDEX(Base_Trimestrielle!$B$73:$M$276,MAX(Base_Trimestrielle!$N$74:$N$276)-G$30,1)</f>
        <v>42339</v>
      </c>
      <c r="H31" s="2010" cm="1">
        <f t="array" ref="H31">INDEX(Base_Trimestrielle!$B$73:$M$276,MAX(Base_Trimestrielle!$N$74:$N$276)-H$30,1)</f>
        <v>42430</v>
      </c>
      <c r="I31" s="2010" cm="1">
        <f t="array" ref="I31">INDEX(Base_Trimestrielle!$B$73:$M$276,MAX(Base_Trimestrielle!$N$74:$N$276)-I$30,1)</f>
        <v>42522</v>
      </c>
      <c r="J31" s="2010" cm="1">
        <f t="array" ref="J31">INDEX(Base_Trimestrielle!$B$73:$M$276,MAX(Base_Trimestrielle!$N$74:$N$276)-J$30,1)</f>
        <v>42614</v>
      </c>
    </row>
    <row r="32" spans="1:10">
      <c r="A32" s="2011" t="s">
        <v>222</v>
      </c>
      <c r="B32" s="2011"/>
      <c r="C32" s="2015" cm="1">
        <f t="array" ref="C32">INDEX(Base_Trimestrielle!$B$73:$M$276,MAX(Base_Trimestrielle!$N$74:$N$276)-C$30,MATCH($A32,Base_Trimestrielle!$B$73:$M$73,0))</f>
        <v>133.70797355395828</v>
      </c>
      <c r="D32" s="2015" cm="1">
        <f t="array" ref="D32">INDEX(Base_Trimestrielle!$B$73:$M$276,MAX(Base_Trimestrielle!$N$74:$N$276)-D$30,MATCH($A32,Base_Trimestrielle!$B$73:$M$73,0))</f>
        <v>101.07653274003215</v>
      </c>
      <c r="E32" s="2015" cm="1">
        <f t="array" ref="E32">INDEX(Base_Trimestrielle!$B$73:$M$276,MAX(Base_Trimestrielle!$N$74:$N$276)-E$30,MATCH($A32,Base_Trimestrielle!$B$73:$M$73,0))</f>
        <v>102.35814045117277</v>
      </c>
      <c r="F32" s="2015" cm="1">
        <f t="array" ref="F32">INDEX(Base_Trimestrielle!$B$73:$M$276,MAX(Base_Trimestrielle!$N$74:$N$276)-F$30,MATCH($A32,Base_Trimestrielle!$B$73:$M$73,0))</f>
        <v>96.86038171943602</v>
      </c>
      <c r="G32" s="2015" cm="1">
        <f t="array" ref="G32">INDEX(Base_Trimestrielle!$B$73:$M$276,MAX(Base_Trimestrielle!$N$74:$N$276)-G$30,MATCH($A32,Base_Trimestrielle!$B$73:$M$73,0))</f>
        <v>99.704945089359242</v>
      </c>
      <c r="H32" s="2015" cm="1">
        <f t="array" ref="H32">INDEX(Base_Trimestrielle!$B$73:$M$276,MAX(Base_Trimestrielle!$N$74:$N$276)-H$30,MATCH($A32,Base_Trimestrielle!$B$73:$M$73,0))</f>
        <v>103.88624739693536</v>
      </c>
      <c r="I32" s="2015" cm="1">
        <f t="array" ref="I32">INDEX(Base_Trimestrielle!$B$73:$M$276,MAX(Base_Trimestrielle!$N$74:$N$276)-I$30,MATCH($A32,Base_Trimestrielle!$B$73:$M$73,0))</f>
        <v>103.89454776945522</v>
      </c>
      <c r="J32" s="2015" cm="1">
        <f t="array" ref="J32">INDEX(Base_Trimestrielle!$B$73:$M$276,MAX(Base_Trimestrielle!$N$74:$N$276)-J$30,MATCH($A32,Base_Trimestrielle!$B$73:$M$73,0))</f>
        <v>101.8104581165062</v>
      </c>
    </row>
    <row r="33" spans="1:10" ht="20.399999999999999">
      <c r="A33" s="2016" t="s">
        <v>529</v>
      </c>
      <c r="B33" s="2016"/>
      <c r="C33" s="2017" cm="1">
        <f t="array" ref="C33">INDEX(Base_Trimestrielle!$B$73:$M$276,MAX(Base_Trimestrielle!$N$74:$N$276)-C$30,MATCH($A33,Base_Trimestrielle!$B$73:$M$73,0))</f>
        <v>994.63116809570261</v>
      </c>
      <c r="D33" s="2017" cm="1">
        <f t="array" ref="D33">INDEX(Base_Trimestrielle!$B$73:$M$276,MAX(Base_Trimestrielle!$N$74:$N$276)-D$30,MATCH($A33,Base_Trimestrielle!$B$73:$M$73,0))</f>
        <v>92.967988232180858</v>
      </c>
      <c r="E33" s="2017" cm="1">
        <f t="array" ref="E33">INDEX(Base_Trimestrielle!$B$73:$M$276,MAX(Base_Trimestrielle!$N$74:$N$276)-E$30,MATCH($A33,Base_Trimestrielle!$B$73:$M$73,0))</f>
        <v>110.80002538864512</v>
      </c>
      <c r="F33" s="2017" cm="1">
        <f t="array" ref="F33">INDEX(Base_Trimestrielle!$B$73:$M$276,MAX(Base_Trimestrielle!$N$74:$N$276)-F$30,MATCH($A33,Base_Trimestrielle!$B$73:$M$73,0))</f>
        <v>100.13293245555687</v>
      </c>
      <c r="G33" s="2017" cm="1">
        <f t="array" ref="G33">INDEX(Base_Trimestrielle!$B$73:$M$276,MAX(Base_Trimestrielle!$N$74:$N$276)-G$30,MATCH($A33,Base_Trimestrielle!$B$73:$M$73,0))</f>
        <v>96.099053923617319</v>
      </c>
      <c r="H33" s="2017" cm="1">
        <f t="array" ref="H33">INDEX(Base_Trimestrielle!$B$73:$M$276,MAX(Base_Trimestrielle!$N$74:$N$276)-H$30,MATCH($A33,Base_Trimestrielle!$B$73:$M$73,0))</f>
        <v>93.05660880533793</v>
      </c>
      <c r="I33" s="2017" cm="1">
        <f t="array" ref="I33">INDEX(Base_Trimestrielle!$B$73:$M$276,MAX(Base_Trimestrielle!$N$74:$N$276)-I$30,MATCH($A33,Base_Trimestrielle!$B$73:$M$73,0))</f>
        <v>105.77127332967264</v>
      </c>
      <c r="J33" s="2017" cm="1">
        <f t="array" ref="J33">INDEX(Base_Trimestrielle!$B$73:$M$276,MAX(Base_Trimestrielle!$N$74:$N$276)-J$30,MATCH($A33,Base_Trimestrielle!$B$73:$M$73,0))</f>
        <v>109.04601957121926</v>
      </c>
    </row>
    <row r="34" spans="1:10" ht="20.399999999999999">
      <c r="A34" s="2018" t="s">
        <v>530</v>
      </c>
      <c r="B34" s="2018"/>
      <c r="C34" s="2015" cm="1">
        <f t="array" ref="C34">INDEX(Base_Trimestrielle!$B$73:$M$276,MAX(Base_Trimestrielle!$N$74:$N$276)-C$30,MATCH($A34,Base_Trimestrielle!$B$73:$M$73,0))</f>
        <v>199.98252522071789</v>
      </c>
      <c r="D34" s="2015" cm="1">
        <f t="array" ref="D34">INDEX(Base_Trimestrielle!$B$73:$M$276,MAX(Base_Trimestrielle!$N$74:$N$276)-D$30,MATCH($A34,Base_Trimestrielle!$B$73:$M$73,0))</f>
        <v>196.54765483143305</v>
      </c>
      <c r="E34" s="2015" cm="1">
        <f t="array" ref="E34">INDEX(Base_Trimestrielle!$B$73:$M$276,MAX(Base_Trimestrielle!$N$74:$N$276)-E$30,MATCH($A34,Base_Trimestrielle!$B$73:$M$73,0))</f>
        <v>212.46276939926366</v>
      </c>
      <c r="F34" s="2015" cm="1">
        <f t="array" ref="F34">INDEX(Base_Trimestrielle!$B$73:$M$276,MAX(Base_Trimestrielle!$N$74:$N$276)-F$30,MATCH($A34,Base_Trimestrielle!$B$73:$M$73,0))</f>
        <v>167.68426454375947</v>
      </c>
      <c r="G34" s="2015" cm="1">
        <f t="array" ref="G34">INDEX(Base_Trimestrielle!$B$73:$M$276,MAX(Base_Trimestrielle!$N$74:$N$276)-G$30,MATCH($A34,Base_Trimestrielle!$B$73:$M$73,0))</f>
        <v>208.52546502521841</v>
      </c>
      <c r="H34" s="2015" cm="1">
        <f t="array" ref="H34">INDEX(Base_Trimestrielle!$B$73:$M$276,MAX(Base_Trimestrielle!$N$74:$N$276)-H$30,MATCH($A34,Base_Trimestrielle!$B$73:$M$73,0))</f>
        <v>208.20594151779994</v>
      </c>
      <c r="I34" s="2015" cm="1">
        <f t="array" ref="I34">INDEX(Base_Trimestrielle!$B$73:$M$276,MAX(Base_Trimestrielle!$N$74:$N$276)-I$30,MATCH($A34,Base_Trimestrielle!$B$73:$M$73,0))</f>
        <v>246.71188194288419</v>
      </c>
      <c r="J34" s="2015" cm="1">
        <f t="array" ref="J34">INDEX(Base_Trimestrielle!$B$73:$M$276,MAX(Base_Trimestrielle!$N$74:$N$276)-J$30,MATCH($A34,Base_Trimestrielle!$B$73:$M$73,0))</f>
        <v>196.5451807562234</v>
      </c>
    </row>
    <row r="35" spans="1:10" ht="20.399999999999999">
      <c r="A35" s="2016" t="s">
        <v>531</v>
      </c>
      <c r="B35" s="2016"/>
      <c r="C35" s="2017" cm="1">
        <f t="array" ref="C35">INDEX(Base_Trimestrielle!$B$73:$M$276,MAX(Base_Trimestrielle!$N$74:$N$276)-C$30,MATCH($A35,Base_Trimestrielle!$B$73:$M$73,0))</f>
        <v>178.07279407543487</v>
      </c>
      <c r="D35" s="2017" cm="1">
        <f t="array" ref="D35">INDEX(Base_Trimestrielle!$B$73:$M$276,MAX(Base_Trimestrielle!$N$74:$N$276)-D$30,MATCH($A35,Base_Trimestrielle!$B$73:$M$73,0))</f>
        <v>168.30089748741796</v>
      </c>
      <c r="E35" s="2017" cm="1">
        <f t="array" ref="E35">INDEX(Base_Trimestrielle!$B$73:$M$276,MAX(Base_Trimestrielle!$N$74:$N$276)-E$30,MATCH($A35,Base_Trimestrielle!$B$73:$M$73,0))</f>
        <v>171.7722027670934</v>
      </c>
      <c r="F35" s="2017" cm="1">
        <f t="array" ref="F35">INDEX(Base_Trimestrielle!$B$73:$M$276,MAX(Base_Trimestrielle!$N$74:$N$276)-F$30,MATCH($A35,Base_Trimestrielle!$B$73:$M$73,0))</f>
        <v>144.84183937080201</v>
      </c>
      <c r="G35" s="2017" cm="1">
        <f t="array" ref="G35">INDEX(Base_Trimestrielle!$B$73:$M$276,MAX(Base_Trimestrielle!$N$74:$N$276)-G$30,MATCH($A35,Base_Trimestrielle!$B$73:$M$73,0))</f>
        <v>166.74321143578851</v>
      </c>
      <c r="H35" s="2017" cm="1">
        <f t="array" ref="H35">INDEX(Base_Trimestrielle!$B$73:$M$276,MAX(Base_Trimestrielle!$N$74:$N$276)-H$30,MATCH($A35,Base_Trimestrielle!$B$73:$M$73,0))</f>
        <v>172.44771035459365</v>
      </c>
      <c r="I35" s="2017" cm="1">
        <f t="array" ref="I35">INDEX(Base_Trimestrielle!$B$73:$M$276,MAX(Base_Trimestrielle!$N$74:$N$276)-I$30,MATCH($A35,Base_Trimestrielle!$B$73:$M$73,0))</f>
        <v>156.530225615707</v>
      </c>
      <c r="J35" s="2017" cm="1">
        <f t="array" ref="J35">INDEX(Base_Trimestrielle!$B$73:$M$276,MAX(Base_Trimestrielle!$N$74:$N$276)-J$30,MATCH($A35,Base_Trimestrielle!$B$73:$M$73,0))</f>
        <v>174.89140210880839</v>
      </c>
    </row>
    <row r="36" spans="1:10">
      <c r="A36" s="2018" t="s">
        <v>532</v>
      </c>
      <c r="B36" s="2018"/>
      <c r="C36" s="2015" cm="1">
        <f t="array" ref="C36">INDEX(Base_Trimestrielle!$B$73:$M$276,MAX(Base_Trimestrielle!$N$74:$N$276)-C$30,MATCH($A36,Base_Trimestrielle!$B$73:$M$73,0))</f>
        <v>43.793221918159944</v>
      </c>
      <c r="D36" s="2015" cm="1">
        <f t="array" ref="D36">INDEX(Base_Trimestrielle!$B$73:$M$276,MAX(Base_Trimestrielle!$N$74:$N$276)-D$30,MATCH($A36,Base_Trimestrielle!$B$73:$M$73,0))</f>
        <v>116.68059290450736</v>
      </c>
      <c r="E36" s="2015" cm="1">
        <f t="array" ref="E36">INDEX(Base_Trimestrielle!$B$73:$M$276,MAX(Base_Trimestrielle!$N$74:$N$276)-E$30,MATCH($A36,Base_Trimestrielle!$B$73:$M$73,0))</f>
        <v>61.362607698694717</v>
      </c>
      <c r="F36" s="2015" cm="1">
        <f t="array" ref="F36">INDEX(Base_Trimestrielle!$B$73:$M$276,MAX(Base_Trimestrielle!$N$74:$N$276)-F$30,MATCH($A36,Base_Trimestrielle!$B$73:$M$73,0))</f>
        <v>9.190935434603162</v>
      </c>
      <c r="G36" s="2015" cm="1">
        <f t="array" ref="G36">INDEX(Base_Trimestrielle!$B$73:$M$276,MAX(Base_Trimestrielle!$N$74:$N$276)-G$30,MATCH($A36,Base_Trimestrielle!$B$73:$M$73,0))</f>
        <v>53.137888970178487</v>
      </c>
      <c r="H36" s="2015" cm="1">
        <f t="array" ref="H36">INDEX(Base_Trimestrielle!$B$73:$M$276,MAX(Base_Trimestrielle!$N$74:$N$276)-H$30,MATCH($A36,Base_Trimestrielle!$B$73:$M$73,0))</f>
        <v>122.99015643025884</v>
      </c>
      <c r="I36" s="2015" cm="1">
        <f t="array" ref="I36">INDEX(Base_Trimestrielle!$B$73:$M$276,MAX(Base_Trimestrielle!$N$74:$N$276)-I$30,MATCH($A36,Base_Trimestrielle!$B$73:$M$73,0))</f>
        <v>33.126823968441798</v>
      </c>
      <c r="J36" s="2015" cm="1">
        <f t="array" ref="J36">INDEX(Base_Trimestrielle!$B$73:$M$276,MAX(Base_Trimestrielle!$N$74:$N$276)-J$30,MATCH($A36,Base_Trimestrielle!$B$73:$M$73,0))</f>
        <v>13.368614144878272</v>
      </c>
    </row>
    <row r="37" spans="1:10" ht="30.6">
      <c r="A37" s="2016" t="s">
        <v>533</v>
      </c>
      <c r="B37" s="2016"/>
      <c r="C37" s="2017" cm="1">
        <f t="array" ref="C37">INDEX(Base_Trimestrielle!$B$73:$M$276,MAX(Base_Trimestrielle!$N$74:$N$276)-C$30,MATCH($A37,Base_Trimestrielle!$B$73:$M$73,0))</f>
        <v>7.4247949242110378</v>
      </c>
      <c r="D37" s="2017" cm="1">
        <f t="array" ref="D37">INDEX(Base_Trimestrielle!$B$73:$M$276,MAX(Base_Trimestrielle!$N$74:$N$276)-D$30,MATCH($A37,Base_Trimestrielle!$B$73:$M$73,0))</f>
        <v>0</v>
      </c>
      <c r="E37" s="2017" cm="1">
        <f t="array" ref="E37">INDEX(Base_Trimestrielle!$B$73:$M$276,MAX(Base_Trimestrielle!$N$74:$N$276)-E$30,MATCH($A37,Base_Trimestrielle!$B$73:$M$73,0))</f>
        <v>0</v>
      </c>
      <c r="F37" s="2017" cm="1">
        <f t="array" ref="F37">INDEX(Base_Trimestrielle!$B$73:$M$276,MAX(Base_Trimestrielle!$N$74:$N$276)-F$30,MATCH($A37,Base_Trimestrielle!$B$73:$M$73,0))</f>
        <v>0</v>
      </c>
      <c r="G37" s="2017" cm="1">
        <f t="array" ref="G37">INDEX(Base_Trimestrielle!$B$73:$M$276,MAX(Base_Trimestrielle!$N$74:$N$276)-G$30,MATCH($A37,Base_Trimestrielle!$B$73:$M$73,0))</f>
        <v>0</v>
      </c>
      <c r="H37" s="2017" cm="1">
        <f t="array" ref="H37">INDEX(Base_Trimestrielle!$B$73:$M$276,MAX(Base_Trimestrielle!$N$74:$N$276)-H$30,MATCH($A37,Base_Trimestrielle!$B$73:$M$73,0))</f>
        <v>0</v>
      </c>
      <c r="I37" s="2017" cm="1">
        <f t="array" ref="I37">INDEX(Base_Trimestrielle!$B$73:$M$276,MAX(Base_Trimestrielle!$N$74:$N$276)-I$30,MATCH($A37,Base_Trimestrielle!$B$73:$M$73,0))</f>
        <v>0</v>
      </c>
      <c r="J37" s="2017" cm="1">
        <f t="array" ref="J37">INDEX(Base_Trimestrielle!$B$73:$M$276,MAX(Base_Trimestrielle!$N$74:$N$276)-J$30,MATCH($A37,Base_Trimestrielle!$B$73:$M$73,0))</f>
        <v>0</v>
      </c>
    </row>
    <row r="38" spans="1:10" ht="20.399999999999999">
      <c r="A38" s="2018" t="s">
        <v>534</v>
      </c>
      <c r="B38" s="2018"/>
      <c r="C38" s="2015" cm="1">
        <f t="array" ref="C38">INDEX(Base_Trimestrielle!$B$73:$M$276,MAX(Base_Trimestrielle!$N$74:$N$276)-C$30,MATCH($A38,Base_Trimestrielle!$B$73:$M$73,0))</f>
        <v>65.092582328916194</v>
      </c>
      <c r="D38" s="2015" cm="1">
        <f t="array" ref="D38">INDEX(Base_Trimestrielle!$B$73:$M$276,MAX(Base_Trimestrielle!$N$74:$N$276)-D$30,MATCH($A38,Base_Trimestrielle!$B$73:$M$73,0))</f>
        <v>83.565064858510112</v>
      </c>
      <c r="E38" s="2015" cm="1">
        <f t="array" ref="E38">INDEX(Base_Trimestrielle!$B$73:$M$276,MAX(Base_Trimestrielle!$N$74:$N$276)-E$30,MATCH($A38,Base_Trimestrielle!$B$73:$M$73,0))</f>
        <v>90.461215030656788</v>
      </c>
      <c r="F38" s="2015" cm="1">
        <f t="array" ref="F38">INDEX(Base_Trimestrielle!$B$73:$M$276,MAX(Base_Trimestrielle!$N$74:$N$276)-F$30,MATCH($A38,Base_Trimestrielle!$B$73:$M$73,0))</f>
        <v>91.083351386674536</v>
      </c>
      <c r="G38" s="2015" cm="1">
        <f t="array" ref="G38">INDEX(Base_Trimestrielle!$B$73:$M$276,MAX(Base_Trimestrielle!$N$74:$N$276)-G$30,MATCH($A38,Base_Trimestrielle!$B$73:$M$73,0))</f>
        <v>63.825231755987872</v>
      </c>
      <c r="H38" s="2015" cm="1">
        <f t="array" ref="H38">INDEX(Base_Trimestrielle!$B$73:$M$276,MAX(Base_Trimestrielle!$N$74:$N$276)-H$30,MATCH($A38,Base_Trimestrielle!$B$73:$M$73,0))</f>
        <v>69.10530808360528</v>
      </c>
      <c r="I38" s="2015" cm="1">
        <f t="array" ref="I38">INDEX(Base_Trimestrielle!$B$73:$M$276,MAX(Base_Trimestrielle!$N$74:$N$276)-I$30,MATCH($A38,Base_Trimestrielle!$B$73:$M$73,0))</f>
        <v>87.841440241306287</v>
      </c>
      <c r="J38" s="2015" cm="1">
        <f t="array" ref="J38">INDEX(Base_Trimestrielle!$B$73:$M$276,MAX(Base_Trimestrielle!$N$74:$N$276)-J$30,MATCH($A38,Base_Trimestrielle!$B$73:$M$73,0))</f>
        <v>86.835881362349056</v>
      </c>
    </row>
    <row r="39" spans="1:10" ht="30.6">
      <c r="A39" s="2016" t="s">
        <v>535</v>
      </c>
      <c r="B39" s="2016"/>
      <c r="C39" s="2017" cm="1">
        <f t="array" ref="C39">INDEX(Base_Trimestrielle!$B$73:$M$276,MAX(Base_Trimestrielle!$N$74:$N$276)-C$30,MATCH($A39,Base_Trimestrielle!$B$73:$M$73,0))</f>
        <v>78.390695355691633</v>
      </c>
      <c r="D39" s="2017" cm="1">
        <f t="array" ref="D39">INDEX(Base_Trimestrielle!$B$73:$M$276,MAX(Base_Trimestrielle!$N$74:$N$276)-D$30,MATCH($A39,Base_Trimestrielle!$B$73:$M$73,0))</f>
        <v>95.230256937157648</v>
      </c>
      <c r="E39" s="2017" cm="1">
        <f t="array" ref="E39">INDEX(Base_Trimestrielle!$B$73:$M$276,MAX(Base_Trimestrielle!$N$74:$N$276)-E$30,MATCH($A39,Base_Trimestrielle!$B$73:$M$73,0))</f>
        <v>66.289614954790196</v>
      </c>
      <c r="F39" s="2017" cm="1">
        <f t="array" ref="F39">INDEX(Base_Trimestrielle!$B$73:$M$276,MAX(Base_Trimestrielle!$N$74:$N$276)-F$30,MATCH($A39,Base_Trimestrielle!$B$73:$M$73,0))</f>
        <v>46.775816984831316</v>
      </c>
      <c r="G39" s="2017" cm="1">
        <f t="array" ref="G39">INDEX(Base_Trimestrielle!$B$73:$M$276,MAX(Base_Trimestrielle!$N$74:$N$276)-G$30,MATCH($A39,Base_Trimestrielle!$B$73:$M$73,0))</f>
        <v>45.351383382302494</v>
      </c>
      <c r="H39" s="2017" cm="1">
        <f t="array" ref="H39">INDEX(Base_Trimestrielle!$B$73:$M$276,MAX(Base_Trimestrielle!$N$74:$N$276)-H$30,MATCH($A39,Base_Trimestrielle!$B$73:$M$73,0))</f>
        <v>38.658892412620233</v>
      </c>
      <c r="I39" s="2017" cm="1">
        <f t="array" ref="I39">INDEX(Base_Trimestrielle!$B$73:$M$276,MAX(Base_Trimestrielle!$N$74:$N$276)-I$30,MATCH($A39,Base_Trimestrielle!$B$73:$M$73,0))</f>
        <v>31.631231786938653</v>
      </c>
      <c r="J39" s="2017" cm="1">
        <f t="array" ref="J39">INDEX(Base_Trimestrielle!$B$73:$M$276,MAX(Base_Trimestrielle!$N$74:$N$276)-J$30,MATCH($A39,Base_Trimestrielle!$B$73:$M$73,0))</f>
        <v>31.175377806659036</v>
      </c>
    </row>
    <row r="40" spans="1:10">
      <c r="A40" s="2018" t="s">
        <v>536</v>
      </c>
      <c r="B40" s="2018"/>
      <c r="C40" s="2015" cm="1">
        <f t="array" ref="C40">INDEX(Base_Trimestrielle!$B$73:$M$276,MAX(Base_Trimestrielle!$N$74:$N$276)-C$30,MATCH($A40,Base_Trimestrielle!$B$73:$M$73,0))</f>
        <v>89.424900713810914</v>
      </c>
      <c r="D40" s="2015" cm="1">
        <f t="array" ref="D40">INDEX(Base_Trimestrielle!$B$73:$M$276,MAX(Base_Trimestrielle!$N$74:$N$276)-D$30,MATCH($A40,Base_Trimestrielle!$B$73:$M$73,0))</f>
        <v>89.164834943957274</v>
      </c>
      <c r="E40" s="2015" cm="1">
        <f t="array" ref="E40">INDEX(Base_Trimestrielle!$B$73:$M$276,MAX(Base_Trimestrielle!$N$74:$N$276)-E$30,MATCH($A40,Base_Trimestrielle!$B$73:$M$73,0))</f>
        <v>108.95803140248582</v>
      </c>
      <c r="F40" s="2015" cm="1">
        <f t="array" ref="F40">INDEX(Base_Trimestrielle!$B$73:$M$276,MAX(Base_Trimestrielle!$N$74:$N$276)-F$30,MATCH($A40,Base_Trimestrielle!$B$73:$M$73,0))</f>
        <v>100.43077399627418</v>
      </c>
      <c r="G40" s="2015" cm="1">
        <f t="array" ref="G40">INDEX(Base_Trimestrielle!$B$73:$M$276,MAX(Base_Trimestrielle!$N$74:$N$276)-G$30,MATCH($A40,Base_Trimestrielle!$B$73:$M$73,0))</f>
        <v>98.553140076476069</v>
      </c>
      <c r="H40" s="2015" cm="1">
        <f t="array" ref="H40">INDEX(Base_Trimestrielle!$B$73:$M$276,MAX(Base_Trimestrielle!$N$74:$N$276)-H$30,MATCH($A40,Base_Trimestrielle!$B$73:$M$73,0))</f>
        <v>169.37994796253227</v>
      </c>
      <c r="I40" s="2015" cm="1">
        <f t="array" ref="I40">INDEX(Base_Trimestrielle!$B$73:$M$276,MAX(Base_Trimestrielle!$N$74:$N$276)-I$30,MATCH($A40,Base_Trimestrielle!$B$73:$M$73,0))</f>
        <v>113.4538504172009</v>
      </c>
      <c r="J40" s="2015" cm="1">
        <f t="array" ref="J40">INDEX(Base_Trimestrielle!$B$73:$M$276,MAX(Base_Trimestrielle!$N$74:$N$276)-J$30,MATCH($A40,Base_Trimestrielle!$B$73:$M$73,0))</f>
        <v>169.40398812102353</v>
      </c>
    </row>
    <row r="41" spans="1:10" ht="20.399999999999999">
      <c r="A41" s="2016" t="s">
        <v>537</v>
      </c>
      <c r="B41" s="2016"/>
      <c r="C41" s="2017" cm="1">
        <f t="array" ref="C41">INDEX(Base_Trimestrielle!$B$73:$M$276,MAX(Base_Trimestrielle!$N$74:$N$276)-C$30,MATCH($A41,Base_Trimestrielle!$B$73:$M$73,0))</f>
        <v>120.59972078950524</v>
      </c>
      <c r="D41" s="2017" cm="1">
        <f t="array" ref="D41">INDEX(Base_Trimestrielle!$B$73:$M$276,MAX(Base_Trimestrielle!$N$74:$N$276)-D$30,MATCH($A41,Base_Trimestrielle!$B$73:$M$73,0))</f>
        <v>153.47144720013171</v>
      </c>
      <c r="E41" s="2017" cm="1">
        <f t="array" ref="E41">INDEX(Base_Trimestrielle!$B$73:$M$276,MAX(Base_Trimestrielle!$N$74:$N$276)-E$30,MATCH($A41,Base_Trimestrielle!$B$73:$M$73,0))</f>
        <v>199.84224690935753</v>
      </c>
      <c r="F41" s="2017" cm="1">
        <f t="array" ref="F41">INDEX(Base_Trimestrielle!$B$73:$M$276,MAX(Base_Trimestrielle!$N$74:$N$276)-F$30,MATCH($A41,Base_Trimestrielle!$B$73:$M$73,0))</f>
        <v>158.88049549732446</v>
      </c>
      <c r="G41" s="2017" cm="1">
        <f t="array" ref="G41">INDEX(Base_Trimestrielle!$B$73:$M$276,MAX(Base_Trimestrielle!$N$74:$N$276)-G$30,MATCH($A41,Base_Trimestrielle!$B$73:$M$73,0))</f>
        <v>138.43373435496014</v>
      </c>
      <c r="H41" s="2017" cm="1">
        <f t="array" ref="H41">INDEX(Base_Trimestrielle!$B$73:$M$276,MAX(Base_Trimestrielle!$N$74:$N$276)-H$30,MATCH($A41,Base_Trimestrielle!$B$73:$M$73,0))</f>
        <v>154.90995877889929</v>
      </c>
      <c r="I41" s="2017" cm="1">
        <f t="array" ref="I41">INDEX(Base_Trimestrielle!$B$73:$M$276,MAX(Base_Trimestrielle!$N$74:$N$276)-I$30,MATCH($A41,Base_Trimestrielle!$B$73:$M$73,0))</f>
        <v>188.53427703641597</v>
      </c>
      <c r="J41" s="2017" cm="1">
        <f t="array" ref="J41">INDEX(Base_Trimestrielle!$B$73:$M$276,MAX(Base_Trimestrielle!$N$74:$N$276)-J$30,MATCH($A41,Base_Trimestrielle!$B$73:$M$73,0))</f>
        <v>132.27986621562837</v>
      </c>
    </row>
    <row r="42" spans="1:10" ht="20.399999999999999">
      <c r="A42" s="2019" t="s">
        <v>538</v>
      </c>
      <c r="B42" s="2019"/>
      <c r="C42" s="2020" cm="1">
        <f t="array" ref="C42">INDEX(Base_Trimestrielle!$B$73:$M$276,MAX(Base_Trimestrielle!$N$74:$N$276)-C$30,MATCH($A42,Base_Trimestrielle!$B$73:$M$73,0))</f>
        <v>165.22831005598292</v>
      </c>
      <c r="D42" s="2020" cm="1">
        <f t="array" ref="D42">INDEX(Base_Trimestrielle!$B$73:$M$276,MAX(Base_Trimestrielle!$N$74:$N$276)-D$30,MATCH($A42,Base_Trimestrielle!$B$73:$M$73,0))</f>
        <v>219.51921423633149</v>
      </c>
      <c r="E42" s="2020" cm="1">
        <f t="array" ref="E42">INDEX(Base_Trimestrielle!$B$73:$M$276,MAX(Base_Trimestrielle!$N$74:$N$276)-E$30,MATCH($A42,Base_Trimestrielle!$B$73:$M$73,0))</f>
        <v>219.51921423633149</v>
      </c>
      <c r="F42" s="2020" cm="1">
        <f t="array" ref="F42">INDEX(Base_Trimestrielle!$B$73:$M$276,MAX(Base_Trimestrielle!$N$74:$N$276)-F$30,MATCH($A42,Base_Trimestrielle!$B$73:$M$73,0))</f>
        <v>194.63932440696911</v>
      </c>
      <c r="G42" s="2020" cm="1">
        <f t="array" ref="G42">INDEX(Base_Trimestrielle!$B$73:$M$276,MAX(Base_Trimestrielle!$N$74:$N$276)-G$30,MATCH($A42,Base_Trimestrielle!$B$73:$M$73,0))</f>
        <v>213.07357767736073</v>
      </c>
      <c r="H42" s="2020" cm="1">
        <f t="array" ref="H42">INDEX(Base_Trimestrielle!$B$73:$M$276,MAX(Base_Trimestrielle!$N$74:$N$276)-H$30,MATCH($A42,Base_Trimestrielle!$B$73:$M$73,0))</f>
        <v>222.2549196000889</v>
      </c>
      <c r="I42" s="2020" cm="1">
        <f t="array" ref="I42">INDEX(Base_Trimestrielle!$B$73:$M$276,MAX(Base_Trimestrielle!$N$74:$N$276)-I$30,MATCH($A42,Base_Trimestrielle!$B$73:$M$73,0))</f>
        <v>221.02722869542981</v>
      </c>
      <c r="J42" s="2020" cm="1">
        <f t="array" ref="J42">INDEX(Base_Trimestrielle!$B$73:$M$276,MAX(Base_Trimestrielle!$N$74:$N$276)-J$30,MATCH($A42,Base_Trimestrielle!$B$73:$M$73,0))</f>
        <v>202.79301276560773</v>
      </c>
    </row>
    <row r="43" spans="1:10">
      <c r="A43" s="2013"/>
      <c r="B43" s="2013"/>
      <c r="C43" s="2014"/>
      <c r="D43" s="2014"/>
      <c r="E43" s="2014"/>
      <c r="F43" s="2014"/>
      <c r="G43" s="2014"/>
      <c r="H43" s="2014"/>
      <c r="I43" s="2014"/>
      <c r="J43" s="2014"/>
    </row>
    <row r="44" spans="1:10">
      <c r="A44" s="1125"/>
      <c r="B44" s="2012"/>
      <c r="C44" s="1227">
        <f t="shared" ref="C44:H44" si="3">D44+1</f>
        <v>15</v>
      </c>
      <c r="D44" s="1227">
        <f t="shared" si="3"/>
        <v>14</v>
      </c>
      <c r="E44" s="1227">
        <f t="shared" si="3"/>
        <v>13</v>
      </c>
      <c r="F44" s="1227">
        <f t="shared" si="3"/>
        <v>12</v>
      </c>
      <c r="G44" s="1227">
        <f t="shared" si="3"/>
        <v>11</v>
      </c>
      <c r="H44" s="1227">
        <f t="shared" si="3"/>
        <v>10</v>
      </c>
      <c r="I44" s="1227">
        <f>J44+1</f>
        <v>9</v>
      </c>
      <c r="J44" s="1227">
        <v>8</v>
      </c>
    </row>
    <row r="45" spans="1:10">
      <c r="A45" s="1543"/>
      <c r="B45" s="1467" t="s">
        <v>221</v>
      </c>
      <c r="C45" s="2010" cm="1">
        <f t="array" ref="C45">INDEX(Base_Trimestrielle!$B$73:$M$276,MAX(Base_Trimestrielle!$N$74:$N$276)-C$44,1)</f>
        <v>42705</v>
      </c>
      <c r="D45" s="2010" cm="1">
        <f t="array" ref="D45">INDEX(Base_Trimestrielle!$B$73:$M$276,MAX(Base_Trimestrielle!$N$74:$N$276)-D$44,1)</f>
        <v>42795</v>
      </c>
      <c r="E45" s="2010" cm="1">
        <f t="array" ref="E45">INDEX(Base_Trimestrielle!$B$73:$M$276,MAX(Base_Trimestrielle!$N$74:$N$276)-E$44,1)</f>
        <v>42887</v>
      </c>
      <c r="F45" s="2010" cm="1">
        <f t="array" ref="F45">INDEX(Base_Trimestrielle!$B$73:$M$276,MAX(Base_Trimestrielle!$N$74:$N$276)-F$44,1)</f>
        <v>42979</v>
      </c>
      <c r="G45" s="2010" cm="1">
        <f t="array" ref="G45">INDEX(Base_Trimestrielle!$B$73:$M$276,MAX(Base_Trimestrielle!$N$74:$N$276)-G$44,1)</f>
        <v>43070</v>
      </c>
      <c r="H45" s="2010" cm="1">
        <f t="array" ref="H45">INDEX(Base_Trimestrielle!$B$73:$M$276,MAX(Base_Trimestrielle!$N$74:$N$276)-H$44,1)</f>
        <v>43160</v>
      </c>
      <c r="I45" s="2010" cm="1">
        <f t="array" ref="I45">INDEX(Base_Trimestrielle!$B$73:$M$276,MAX(Base_Trimestrielle!$N$74:$N$276)-I$44,1)</f>
        <v>43252</v>
      </c>
      <c r="J45" s="2010" cm="1">
        <f t="array" ref="J45">INDEX(Base_Trimestrielle!$B$73:$M$276,MAX(Base_Trimestrielle!$N$74:$N$276)-J$44,1)</f>
        <v>43344</v>
      </c>
    </row>
    <row r="46" spans="1:10">
      <c r="A46" s="2011" t="s">
        <v>222</v>
      </c>
      <c r="B46" s="2011"/>
      <c r="C46" s="2015" cm="1">
        <f t="array" ref="C46">INDEX(Base_Trimestrielle!$B$73:$M$276,MAX(Base_Trimestrielle!$N$74:$N$276)-C$44,MATCH($A46,Base_Trimestrielle!$B$73:$M$73,0))</f>
        <v>108.23695103128776</v>
      </c>
      <c r="D46" s="2015" cm="1">
        <f t="array" ref="D46">INDEX(Base_Trimestrielle!$B$73:$M$276,MAX(Base_Trimestrielle!$N$74:$N$276)-D$44,MATCH($A46,Base_Trimestrielle!$B$73:$M$73,0))</f>
        <v>94.360219509190586</v>
      </c>
      <c r="E46" s="2015" cm="1">
        <f t="array" ref="E46">INDEX(Base_Trimestrielle!$B$73:$M$276,MAX(Base_Trimestrielle!$N$74:$N$276)-E$44,MATCH($A46,Base_Trimestrielle!$B$73:$M$73,0))</f>
        <v>88.812262490000251</v>
      </c>
      <c r="F46" s="2015" cm="1">
        <f t="array" ref="F46">INDEX(Base_Trimestrielle!$B$73:$M$276,MAX(Base_Trimestrielle!$N$74:$N$276)-F$44,MATCH($A46,Base_Trimestrielle!$B$73:$M$73,0))</f>
        <v>87.116719456645328</v>
      </c>
      <c r="G46" s="2015" cm="1">
        <f t="array" ref="G46">INDEX(Base_Trimestrielle!$B$73:$M$276,MAX(Base_Trimestrielle!$N$74:$N$276)-G$44,MATCH($A46,Base_Trimestrielle!$B$73:$M$73,0))</f>
        <v>161.52582786496797</v>
      </c>
      <c r="H46" s="2015" cm="1">
        <f t="array" ref="H46">INDEX(Base_Trimestrielle!$B$73:$M$276,MAX(Base_Trimestrielle!$N$74:$N$276)-H$44,MATCH($A46,Base_Trimestrielle!$B$73:$M$73,0))</f>
        <v>176.77375459825723</v>
      </c>
      <c r="I46" s="2015" cm="1">
        <f t="array" ref="I46">INDEX(Base_Trimestrielle!$B$73:$M$276,MAX(Base_Trimestrielle!$N$74:$N$276)-I$44,MATCH($A46,Base_Trimestrielle!$B$73:$M$73,0))</f>
        <v>204.61931708942245</v>
      </c>
      <c r="J46" s="2015" cm="1">
        <f t="array" ref="J46">INDEX(Base_Trimestrielle!$B$73:$M$276,MAX(Base_Trimestrielle!$N$74:$N$276)-J$44,MATCH($A46,Base_Trimestrielle!$B$73:$M$73,0))</f>
        <v>169.6970901379074</v>
      </c>
    </row>
    <row r="47" spans="1:10" ht="20.399999999999999">
      <c r="A47" s="2016" t="s">
        <v>529</v>
      </c>
      <c r="B47" s="2016"/>
      <c r="C47" s="2017" cm="1">
        <f t="array" ref="C47">INDEX(Base_Trimestrielle!$B$73:$M$276,MAX(Base_Trimestrielle!$N$74:$N$276)-C$44,MATCH($A47,Base_Trimestrielle!$B$73:$M$73,0))</f>
        <v>113.92118604782087</v>
      </c>
      <c r="D47" s="2017" cm="1">
        <f t="array" ref="D47">INDEX(Base_Trimestrielle!$B$73:$M$276,MAX(Base_Trimestrielle!$N$74:$N$276)-D$44,MATCH($A47,Base_Trimestrielle!$B$73:$M$73,0))</f>
        <v>70.718344678610165</v>
      </c>
      <c r="E47" s="2017" cm="1">
        <f t="array" ref="E47">INDEX(Base_Trimestrielle!$B$73:$M$276,MAX(Base_Trimestrielle!$N$74:$N$276)-E$44,MATCH($A47,Base_Trimestrielle!$B$73:$M$73,0))</f>
        <v>68.764916712366258</v>
      </c>
      <c r="F47" s="2017" cm="1">
        <f t="array" ref="F47">INDEX(Base_Trimestrielle!$B$73:$M$276,MAX(Base_Trimestrielle!$N$74:$N$276)-F$44,MATCH($A47,Base_Trimestrielle!$B$73:$M$73,0))</f>
        <v>68.165349094000788</v>
      </c>
      <c r="G47" s="2017" cm="1">
        <f t="array" ref="G47">INDEX(Base_Trimestrielle!$B$73:$M$276,MAX(Base_Trimestrielle!$N$74:$N$276)-G$44,MATCH($A47,Base_Trimestrielle!$B$73:$M$73,0))</f>
        <v>234.14258909259866</v>
      </c>
      <c r="H47" s="2017" cm="1">
        <f t="array" ref="H47">INDEX(Base_Trimestrielle!$B$73:$M$276,MAX(Base_Trimestrielle!$N$74:$N$276)-H$44,MATCH($A47,Base_Trimestrielle!$B$73:$M$73,0))</f>
        <v>233.72620540923802</v>
      </c>
      <c r="I47" s="2017" cm="1">
        <f t="array" ref="I47">INDEX(Base_Trimestrielle!$B$73:$M$276,MAX(Base_Trimestrielle!$N$74:$N$276)-I$44,MATCH($A47,Base_Trimestrielle!$B$73:$M$73,0))</f>
        <v>303.67239627480302</v>
      </c>
      <c r="J47" s="2017" cm="1">
        <f t="array" ref="J47">INDEX(Base_Trimestrielle!$B$73:$M$276,MAX(Base_Trimestrielle!$N$74:$N$276)-J$44,MATCH($A47,Base_Trimestrielle!$B$73:$M$73,0))</f>
        <v>241.45667262006293</v>
      </c>
    </row>
    <row r="48" spans="1:10" ht="20.399999999999999">
      <c r="A48" s="2018" t="s">
        <v>530</v>
      </c>
      <c r="B48" s="2018"/>
      <c r="C48" s="2015" cm="1">
        <f t="array" ref="C48">INDEX(Base_Trimestrielle!$B$73:$M$276,MAX(Base_Trimestrielle!$N$74:$N$276)-C$44,MATCH($A48,Base_Trimestrielle!$B$73:$M$73,0))</f>
        <v>230.9766723508173</v>
      </c>
      <c r="D48" s="2015" cm="1">
        <f t="array" ref="D48">INDEX(Base_Trimestrielle!$B$73:$M$276,MAX(Base_Trimestrielle!$N$74:$N$276)-D$44,MATCH($A48,Base_Trimestrielle!$B$73:$M$73,0))</f>
        <v>229.36979980976946</v>
      </c>
      <c r="E48" s="2015" cm="1">
        <f t="array" ref="E48">INDEX(Base_Trimestrielle!$B$73:$M$276,MAX(Base_Trimestrielle!$N$74:$N$276)-E$44,MATCH($A48,Base_Trimestrielle!$B$73:$M$73,0))</f>
        <v>260.78188820623785</v>
      </c>
      <c r="F48" s="2015" cm="1">
        <f t="array" ref="F48">INDEX(Base_Trimestrielle!$B$73:$M$276,MAX(Base_Trimestrielle!$N$74:$N$276)-F$44,MATCH($A48,Base_Trimestrielle!$B$73:$M$73,0))</f>
        <v>188.24862378818227</v>
      </c>
      <c r="G48" s="2015" cm="1">
        <f t="array" ref="G48">INDEX(Base_Trimestrielle!$B$73:$M$276,MAX(Base_Trimestrielle!$N$74:$N$276)-G$44,MATCH($A48,Base_Trimestrielle!$B$73:$M$73,0))</f>
        <v>236.29370704780763</v>
      </c>
      <c r="H48" s="2015" cm="1">
        <f t="array" ref="H48">INDEX(Base_Trimestrielle!$B$73:$M$276,MAX(Base_Trimestrielle!$N$74:$N$276)-H$44,MATCH($A48,Base_Trimestrielle!$B$73:$M$73,0))</f>
        <v>248.22580122952709</v>
      </c>
      <c r="I48" s="2015" cm="1">
        <f t="array" ref="I48">INDEX(Base_Trimestrielle!$B$73:$M$276,MAX(Base_Trimestrielle!$N$74:$N$276)-I$44,MATCH($A48,Base_Trimestrielle!$B$73:$M$73,0))</f>
        <v>281.16384229835921</v>
      </c>
      <c r="J48" s="2015" cm="1">
        <f t="array" ref="J48">INDEX(Base_Trimestrielle!$B$73:$M$276,MAX(Base_Trimestrielle!$N$74:$N$276)-J$44,MATCH($A48,Base_Trimestrielle!$B$73:$M$73,0))</f>
        <v>206.05695374197032</v>
      </c>
    </row>
    <row r="49" spans="1:10" ht="20.399999999999999">
      <c r="A49" s="2016" t="s">
        <v>531</v>
      </c>
      <c r="B49" s="2016"/>
      <c r="C49" s="2017" cm="1">
        <f t="array" ref="C49">INDEX(Base_Trimestrielle!$B$73:$M$276,MAX(Base_Trimestrielle!$N$74:$N$276)-C$44,MATCH($A49,Base_Trimestrielle!$B$73:$M$73,0))</f>
        <v>153.0321296668389</v>
      </c>
      <c r="D49" s="2017" cm="1">
        <f t="array" ref="D49">INDEX(Base_Trimestrielle!$B$73:$M$276,MAX(Base_Trimestrielle!$N$74:$N$276)-D$44,MATCH($A49,Base_Trimestrielle!$B$73:$M$73,0))</f>
        <v>170.85519643301376</v>
      </c>
      <c r="E49" s="2017" cm="1">
        <f t="array" ref="E49">INDEX(Base_Trimestrielle!$B$73:$M$276,MAX(Base_Trimestrielle!$N$74:$N$276)-E$44,MATCH($A49,Base_Trimestrielle!$B$73:$M$73,0))</f>
        <v>170.72449623973822</v>
      </c>
      <c r="F49" s="2017" cm="1">
        <f t="array" ref="F49">INDEX(Base_Trimestrielle!$B$73:$M$276,MAX(Base_Trimestrielle!$N$74:$N$276)-F$44,MATCH($A49,Base_Trimestrielle!$B$73:$M$73,0))</f>
        <v>170.72449623973822</v>
      </c>
      <c r="G49" s="2017" cm="1">
        <f t="array" ref="G49">INDEX(Base_Trimestrielle!$B$73:$M$276,MAX(Base_Trimestrielle!$N$74:$N$276)-G$44,MATCH($A49,Base_Trimestrielle!$B$73:$M$73,0))</f>
        <v>174.82346862621276</v>
      </c>
      <c r="H49" s="2017" cm="1">
        <f t="array" ref="H49">INDEX(Base_Trimestrielle!$B$73:$M$276,MAX(Base_Trimestrielle!$N$74:$N$276)-H$44,MATCH($A49,Base_Trimestrielle!$B$73:$M$73,0))</f>
        <v>174.82346862621276</v>
      </c>
      <c r="I49" s="2017" cm="1">
        <f t="array" ref="I49">INDEX(Base_Trimestrielle!$B$73:$M$276,MAX(Base_Trimestrielle!$N$74:$N$276)-I$44,MATCH($A49,Base_Trimestrielle!$B$73:$M$73,0))</f>
        <v>142.83349599096772</v>
      </c>
      <c r="J49" s="2017" cm="1">
        <f t="array" ref="J49">INDEX(Base_Trimestrielle!$B$73:$M$276,MAX(Base_Trimestrielle!$N$74:$N$276)-J$44,MATCH($A49,Base_Trimestrielle!$B$73:$M$73,0))</f>
        <v>148.24234073903975</v>
      </c>
    </row>
    <row r="50" spans="1:10">
      <c r="A50" s="2018" t="s">
        <v>532</v>
      </c>
      <c r="B50" s="2018"/>
      <c r="C50" s="2015" cm="1">
        <f t="array" ref="C50">INDEX(Base_Trimestrielle!$B$73:$M$276,MAX(Base_Trimestrielle!$N$74:$N$276)-C$44,MATCH($A50,Base_Trimestrielle!$B$73:$M$73,0))</f>
        <v>74.70667811291284</v>
      </c>
      <c r="D50" s="2015" cm="1">
        <f t="array" ref="D50">INDEX(Base_Trimestrielle!$B$73:$M$276,MAX(Base_Trimestrielle!$N$74:$N$276)-D$44,MATCH($A50,Base_Trimestrielle!$B$73:$M$73,0))</f>
        <v>120.5223006894475</v>
      </c>
      <c r="E50" s="2015" cm="1">
        <f t="array" ref="E50">INDEX(Base_Trimestrielle!$B$73:$M$276,MAX(Base_Trimestrielle!$N$74:$N$276)-E$44,MATCH($A50,Base_Trimestrielle!$B$73:$M$73,0))</f>
        <v>32.323676566255045</v>
      </c>
      <c r="F50" s="2015" cm="1">
        <f t="array" ref="F50">INDEX(Base_Trimestrielle!$B$73:$M$276,MAX(Base_Trimestrielle!$N$74:$N$276)-F$44,MATCH($A50,Base_Trimestrielle!$B$73:$M$73,0))</f>
        <v>15.259858969780895</v>
      </c>
      <c r="G50" s="2015" cm="1">
        <f t="array" ref="G50">INDEX(Base_Trimestrielle!$B$73:$M$276,MAX(Base_Trimestrielle!$N$74:$N$276)-G$44,MATCH($A50,Base_Trimestrielle!$B$73:$M$73,0))</f>
        <v>61.474433638224596</v>
      </c>
      <c r="H50" s="2015" cm="1">
        <f t="array" ref="H50">INDEX(Base_Trimestrielle!$B$73:$M$276,MAX(Base_Trimestrielle!$N$74:$N$276)-H$44,MATCH($A50,Base_Trimestrielle!$B$73:$M$73,0))</f>
        <v>99.512475192887933</v>
      </c>
      <c r="I50" s="2015" cm="1">
        <f t="array" ref="I50">INDEX(Base_Trimestrielle!$B$73:$M$276,MAX(Base_Trimestrielle!$N$74:$N$276)-I$44,MATCH($A50,Base_Trimestrielle!$B$73:$M$73,0))</f>
        <v>22.804410186173239</v>
      </c>
      <c r="J50" s="2015" cm="1">
        <f t="array" ref="J50">INDEX(Base_Trimestrielle!$B$73:$M$276,MAX(Base_Trimestrielle!$N$74:$N$276)-J$44,MATCH($A50,Base_Trimestrielle!$B$73:$M$73,0))</f>
        <v>13.399398909023768</v>
      </c>
    </row>
    <row r="51" spans="1:10" ht="30.6">
      <c r="A51" s="2016" t="s">
        <v>533</v>
      </c>
      <c r="B51" s="2016"/>
      <c r="C51" s="2017" cm="1">
        <f t="array" ref="C51">INDEX(Base_Trimestrielle!$B$73:$M$276,MAX(Base_Trimestrielle!$N$74:$N$276)-C$44,MATCH($A51,Base_Trimestrielle!$B$73:$M$73,0))</f>
        <v>0</v>
      </c>
      <c r="D51" s="2017" cm="1">
        <f t="array" ref="D51">INDEX(Base_Trimestrielle!$B$73:$M$276,MAX(Base_Trimestrielle!$N$74:$N$276)-D$44,MATCH($A51,Base_Trimestrielle!$B$73:$M$73,0))</f>
        <v>0</v>
      </c>
      <c r="E51" s="2017" cm="1">
        <f t="array" ref="E51">INDEX(Base_Trimestrielle!$B$73:$M$276,MAX(Base_Trimestrielle!$N$74:$N$276)-E$44,MATCH($A51,Base_Trimestrielle!$B$73:$M$73,0))</f>
        <v>0</v>
      </c>
      <c r="F51" s="2017" cm="1">
        <f t="array" ref="F51">INDEX(Base_Trimestrielle!$B$73:$M$276,MAX(Base_Trimestrielle!$N$74:$N$276)-F$44,MATCH($A51,Base_Trimestrielle!$B$73:$M$73,0))</f>
        <v>0</v>
      </c>
      <c r="G51" s="2017" cm="1">
        <f t="array" ref="G51">INDEX(Base_Trimestrielle!$B$73:$M$276,MAX(Base_Trimestrielle!$N$74:$N$276)-G$44,MATCH($A51,Base_Trimestrielle!$B$73:$M$73,0))</f>
        <v>0</v>
      </c>
      <c r="H51" s="2017" cm="1">
        <f t="array" ref="H51">INDEX(Base_Trimestrielle!$B$73:$M$276,MAX(Base_Trimestrielle!$N$74:$N$276)-H$44,MATCH($A51,Base_Trimestrielle!$B$73:$M$73,0))</f>
        <v>0</v>
      </c>
      <c r="I51" s="2017" cm="1">
        <f t="array" ref="I51">INDEX(Base_Trimestrielle!$B$73:$M$276,MAX(Base_Trimestrielle!$N$74:$N$276)-I$44,MATCH($A51,Base_Trimestrielle!$B$73:$M$73,0))</f>
        <v>0</v>
      </c>
      <c r="J51" s="2017" cm="1">
        <f t="array" ref="J51">INDEX(Base_Trimestrielle!$B$73:$M$276,MAX(Base_Trimestrielle!$N$74:$N$276)-J$44,MATCH($A51,Base_Trimestrielle!$B$73:$M$73,0))</f>
        <v>0</v>
      </c>
    </row>
    <row r="52" spans="1:10" ht="20.399999999999999">
      <c r="A52" s="2018" t="s">
        <v>534</v>
      </c>
      <c r="B52" s="2018"/>
      <c r="C52" s="2015" cm="1">
        <f t="array" ref="C52">INDEX(Base_Trimestrielle!$B$73:$M$276,MAX(Base_Trimestrielle!$N$74:$N$276)-C$44,MATCH($A52,Base_Trimestrielle!$B$73:$M$73,0))</f>
        <v>80.759954951706959</v>
      </c>
      <c r="D52" s="2015" cm="1">
        <f t="array" ref="D52">INDEX(Base_Trimestrielle!$B$73:$M$276,MAX(Base_Trimestrielle!$N$74:$N$276)-D$44,MATCH($A52,Base_Trimestrielle!$B$73:$M$73,0))</f>
        <v>89.982178003836097</v>
      </c>
      <c r="E52" s="2015" cm="1">
        <f t="array" ref="E52">INDEX(Base_Trimestrielle!$B$73:$M$276,MAX(Base_Trimestrielle!$N$74:$N$276)-E$44,MATCH($A52,Base_Trimestrielle!$B$73:$M$73,0))</f>
        <v>73.553802757691386</v>
      </c>
      <c r="F52" s="2015" cm="1">
        <f t="array" ref="F52">INDEX(Base_Trimestrielle!$B$73:$M$276,MAX(Base_Trimestrielle!$N$74:$N$276)-F$44,MATCH($A52,Base_Trimestrielle!$B$73:$M$73,0))</f>
        <v>129.16521009728223</v>
      </c>
      <c r="G52" s="2015" cm="1">
        <f t="array" ref="G52">INDEX(Base_Trimestrielle!$B$73:$M$276,MAX(Base_Trimestrielle!$N$74:$N$276)-G$44,MATCH($A52,Base_Trimestrielle!$B$73:$M$73,0))</f>
        <v>86.789707072785149</v>
      </c>
      <c r="H52" s="2015" cm="1">
        <f t="array" ref="H52">INDEX(Base_Trimestrielle!$B$73:$M$276,MAX(Base_Trimestrielle!$N$74:$N$276)-H$44,MATCH($A52,Base_Trimestrielle!$B$73:$M$73,0))</f>
        <v>84.817585582218854</v>
      </c>
      <c r="I52" s="2015" cm="1">
        <f t="array" ref="I52">INDEX(Base_Trimestrielle!$B$73:$M$276,MAX(Base_Trimestrielle!$N$74:$N$276)-I$44,MATCH($A52,Base_Trimestrielle!$B$73:$M$73,0))</f>
        <v>89.102763380361139</v>
      </c>
      <c r="J52" s="2015" cm="1">
        <f t="array" ref="J52">INDEX(Base_Trimestrielle!$B$73:$M$276,MAX(Base_Trimestrielle!$N$74:$N$276)-J$44,MATCH($A52,Base_Trimestrielle!$B$73:$M$73,0))</f>
        <v>39.760780785167256</v>
      </c>
    </row>
    <row r="53" spans="1:10" ht="30.6">
      <c r="A53" s="2016" t="s">
        <v>535</v>
      </c>
      <c r="B53" s="2016"/>
      <c r="C53" s="2017" cm="1">
        <f t="array" ref="C53">INDEX(Base_Trimestrielle!$B$73:$M$276,MAX(Base_Trimestrielle!$N$74:$N$276)-C$44,MATCH($A53,Base_Trimestrielle!$B$73:$M$73,0))</f>
        <v>35.719672172571499</v>
      </c>
      <c r="D53" s="2017" cm="1">
        <f t="array" ref="D53">INDEX(Base_Trimestrielle!$B$73:$M$276,MAX(Base_Trimestrielle!$N$74:$N$276)-D$44,MATCH($A53,Base_Trimestrielle!$B$73:$M$73,0))</f>
        <v>24.910520630696741</v>
      </c>
      <c r="E53" s="2017" cm="1">
        <f t="array" ref="E53">INDEX(Base_Trimestrielle!$B$73:$M$276,MAX(Base_Trimestrielle!$N$74:$N$276)-E$44,MATCH($A53,Base_Trimestrielle!$B$73:$M$73,0))</f>
        <v>29.014819879292087</v>
      </c>
      <c r="F53" s="2017" cm="1">
        <f t="array" ref="F53">INDEX(Base_Trimestrielle!$B$73:$M$276,MAX(Base_Trimestrielle!$N$74:$N$276)-F$44,MATCH($A53,Base_Trimestrielle!$B$73:$M$73,0))</f>
        <v>33.017787643622505</v>
      </c>
      <c r="G53" s="2017" cm="1">
        <f t="array" ref="G53">INDEX(Base_Trimestrielle!$B$73:$M$276,MAX(Base_Trimestrielle!$N$74:$N$276)-G$44,MATCH($A53,Base_Trimestrielle!$B$73:$M$73,0))</f>
        <v>24.997606678077936</v>
      </c>
      <c r="H53" s="2017" cm="1">
        <f t="array" ref="H53">INDEX(Base_Trimestrielle!$B$73:$M$276,MAX(Base_Trimestrielle!$N$74:$N$276)-H$44,MATCH($A53,Base_Trimestrielle!$B$73:$M$73,0))</f>
        <v>27.64345915528423</v>
      </c>
      <c r="I53" s="2017" cm="1">
        <f t="array" ref="I53">INDEX(Base_Trimestrielle!$B$73:$M$276,MAX(Base_Trimestrielle!$N$74:$N$276)-I$44,MATCH($A53,Base_Trimestrielle!$B$73:$M$73,0))</f>
        <v>28.639690041353649</v>
      </c>
      <c r="J53" s="2017" cm="1">
        <f t="array" ref="J53">INDEX(Base_Trimestrielle!$B$73:$M$276,MAX(Base_Trimestrielle!$N$74:$N$276)-J$44,MATCH($A53,Base_Trimestrielle!$B$73:$M$73,0))</f>
        <v>26.186625809973947</v>
      </c>
    </row>
    <row r="54" spans="1:10">
      <c r="A54" s="2018" t="s">
        <v>536</v>
      </c>
      <c r="B54" s="2018"/>
      <c r="C54" s="2015" cm="1">
        <f t="array" ref="C54">INDEX(Base_Trimestrielle!$B$73:$M$276,MAX(Base_Trimestrielle!$N$74:$N$276)-C$44,MATCH($A54,Base_Trimestrielle!$B$73:$M$73,0))</f>
        <v>159.79569473910121</v>
      </c>
      <c r="D54" s="2015" cm="1">
        <f t="array" ref="D54">INDEX(Base_Trimestrielle!$B$73:$M$276,MAX(Base_Trimestrielle!$N$74:$N$276)-D$44,MATCH($A54,Base_Trimestrielle!$B$73:$M$73,0))</f>
        <v>148.14656664474359</v>
      </c>
      <c r="E54" s="2015" cm="1">
        <f t="array" ref="E54">INDEX(Base_Trimestrielle!$B$73:$M$276,MAX(Base_Trimestrielle!$N$74:$N$276)-E$44,MATCH($A54,Base_Trimestrielle!$B$73:$M$73,0))</f>
        <v>159.78785482075739</v>
      </c>
      <c r="F54" s="2015" cm="1">
        <f t="array" ref="F54">INDEX(Base_Trimestrielle!$B$73:$M$276,MAX(Base_Trimestrielle!$N$74:$N$276)-F$44,MATCH($A54,Base_Trimestrielle!$B$73:$M$73,0))</f>
        <v>145.91621302596874</v>
      </c>
      <c r="G54" s="2015" cm="1">
        <f t="array" ref="G54">INDEX(Base_Trimestrielle!$B$73:$M$276,MAX(Base_Trimestrielle!$N$74:$N$276)-G$44,MATCH($A54,Base_Trimestrielle!$B$73:$M$73,0))</f>
        <v>100.58462146073551</v>
      </c>
      <c r="H54" s="2015" cm="1">
        <f t="array" ref="H54">INDEX(Base_Trimestrielle!$B$73:$M$276,MAX(Base_Trimestrielle!$N$74:$N$276)-H$44,MATCH($A54,Base_Trimestrielle!$B$73:$M$73,0))</f>
        <v>100.31784805737425</v>
      </c>
      <c r="I54" s="2015" cm="1">
        <f t="array" ref="I54">INDEX(Base_Trimestrielle!$B$73:$M$276,MAX(Base_Trimestrielle!$N$74:$N$276)-I$44,MATCH($A54,Base_Trimestrielle!$B$73:$M$73,0))</f>
        <v>115.65658698207146</v>
      </c>
      <c r="J54" s="2015" cm="1">
        <f t="array" ref="J54">INDEX(Base_Trimestrielle!$B$73:$M$276,MAX(Base_Trimestrielle!$N$74:$N$276)-J$44,MATCH($A54,Base_Trimestrielle!$B$73:$M$73,0))</f>
        <v>141.78744772142517</v>
      </c>
    </row>
    <row r="55" spans="1:10" ht="20.399999999999999">
      <c r="A55" s="2016" t="s">
        <v>537</v>
      </c>
      <c r="B55" s="2016"/>
      <c r="C55" s="2017" cm="1">
        <f t="array" ref="C55">INDEX(Base_Trimestrielle!$B$73:$M$276,MAX(Base_Trimestrielle!$N$74:$N$276)-C$44,MATCH($A55,Base_Trimestrielle!$B$73:$M$73,0))</f>
        <v>153.83803709412373</v>
      </c>
      <c r="D55" s="2017" cm="1">
        <f t="array" ref="D55">INDEX(Base_Trimestrielle!$B$73:$M$276,MAX(Base_Trimestrielle!$N$74:$N$276)-D$44,MATCH($A55,Base_Trimestrielle!$B$73:$M$73,0))</f>
        <v>175.00622307129697</v>
      </c>
      <c r="E55" s="2017" cm="1">
        <f t="array" ref="E55">INDEX(Base_Trimestrielle!$B$73:$M$276,MAX(Base_Trimestrielle!$N$74:$N$276)-E$44,MATCH($A55,Base_Trimestrielle!$B$73:$M$73,0))</f>
        <v>214.0781140923965</v>
      </c>
      <c r="F55" s="2017" cm="1">
        <f t="array" ref="F55">INDEX(Base_Trimestrielle!$B$73:$M$276,MAX(Base_Trimestrielle!$N$74:$N$276)-F$44,MATCH($A55,Base_Trimestrielle!$B$73:$M$73,0))</f>
        <v>149.01097257245161</v>
      </c>
      <c r="G55" s="2017" cm="1">
        <f t="array" ref="G55">INDEX(Base_Trimestrielle!$B$73:$M$276,MAX(Base_Trimestrielle!$N$74:$N$276)-G$44,MATCH($A55,Base_Trimestrielle!$B$73:$M$73,0))</f>
        <v>176.65006246344876</v>
      </c>
      <c r="H55" s="2017" cm="1">
        <f t="array" ref="H55">INDEX(Base_Trimestrielle!$B$73:$M$276,MAX(Base_Trimestrielle!$N$74:$N$276)-H$44,MATCH($A55,Base_Trimestrielle!$B$73:$M$73,0))</f>
        <v>186.77394374726109</v>
      </c>
      <c r="I55" s="2017" cm="1">
        <f t="array" ref="I55">INDEX(Base_Trimestrielle!$B$73:$M$276,MAX(Base_Trimestrielle!$N$74:$N$276)-I$44,MATCH($A55,Base_Trimestrielle!$B$73:$M$73,0))</f>
        <v>211.18861329296209</v>
      </c>
      <c r="J55" s="2017" cm="1">
        <f t="array" ref="J55">INDEX(Base_Trimestrielle!$B$73:$M$276,MAX(Base_Trimestrielle!$N$74:$N$276)-J$44,MATCH($A55,Base_Trimestrielle!$B$73:$M$73,0))</f>
        <v>111.67131876587628</v>
      </c>
    </row>
    <row r="56" spans="1:10" ht="20.399999999999999">
      <c r="A56" s="2019" t="s">
        <v>538</v>
      </c>
      <c r="B56" s="2019"/>
      <c r="C56" s="2020" cm="1">
        <f t="array" ref="C56">INDEX(Base_Trimestrielle!$B$73:$M$276,MAX(Base_Trimestrielle!$N$74:$N$276)-C$44,MATCH($A56,Base_Trimestrielle!$B$73:$M$73,0))</f>
        <v>227.47404212064114</v>
      </c>
      <c r="D56" s="2020" cm="1">
        <f t="array" ref="D56">INDEX(Base_Trimestrielle!$B$73:$M$276,MAX(Base_Trimestrielle!$N$74:$N$276)-D$44,MATCH($A56,Base_Trimestrielle!$B$73:$M$73,0))</f>
        <v>227.58010968393359</v>
      </c>
      <c r="E56" s="2020" cm="1">
        <f t="array" ref="E56">INDEX(Base_Trimestrielle!$B$73:$M$276,MAX(Base_Trimestrielle!$N$74:$N$276)-E$44,MATCH($A56,Base_Trimestrielle!$B$73:$M$73,0))</f>
        <v>248.19814797158128</v>
      </c>
      <c r="F56" s="2020" cm="1">
        <f t="array" ref="F56">INDEX(Base_Trimestrielle!$B$73:$M$276,MAX(Base_Trimestrielle!$N$74:$N$276)-F$44,MATCH($A56,Base_Trimestrielle!$B$73:$M$73,0))</f>
        <v>225.62123577338264</v>
      </c>
      <c r="G56" s="2020" cm="1">
        <f t="array" ref="G56">INDEX(Base_Trimestrielle!$B$73:$M$276,MAX(Base_Trimestrielle!$N$74:$N$276)-G$44,MATCH($A56,Base_Trimestrielle!$B$73:$M$73,0))</f>
        <v>253.08058591222607</v>
      </c>
      <c r="H56" s="2020" cm="1">
        <f t="array" ref="H56">INDEX(Base_Trimestrielle!$B$73:$M$276,MAX(Base_Trimestrielle!$N$74:$N$276)-H$44,MATCH($A56,Base_Trimestrielle!$B$73:$M$73,0))</f>
        <v>253.81697615589212</v>
      </c>
      <c r="I56" s="2020" cm="1">
        <f t="array" ref="I56">INDEX(Base_Trimestrielle!$B$73:$M$276,MAX(Base_Trimestrielle!$N$74:$N$276)-I$44,MATCH($A56,Base_Trimestrielle!$B$73:$M$73,0))</f>
        <v>245.05088849411783</v>
      </c>
      <c r="J56" s="2020" cm="1">
        <f t="array" ref="J56">INDEX(Base_Trimestrielle!$B$73:$M$276,MAX(Base_Trimestrielle!$N$74:$N$276)-J$44,MATCH($A56,Base_Trimestrielle!$B$73:$M$73,0))</f>
        <v>242.83216650702511</v>
      </c>
    </row>
    <row r="57" spans="1:10">
      <c r="A57" s="2013"/>
      <c r="B57" s="2013"/>
      <c r="C57" s="2014"/>
      <c r="D57" s="2014"/>
      <c r="E57" s="2014"/>
      <c r="F57" s="2014"/>
      <c r="G57" s="2014"/>
      <c r="H57" s="2014"/>
      <c r="I57" s="2014"/>
      <c r="J57" s="2014"/>
    </row>
    <row r="58" spans="1:10">
      <c r="A58" s="2013"/>
      <c r="B58" s="2013"/>
      <c r="C58" s="2014"/>
      <c r="D58" s="2014"/>
      <c r="E58" s="2014"/>
      <c r="F58" s="2014"/>
      <c r="G58" s="2014"/>
      <c r="H58" s="2014"/>
      <c r="I58" s="2014"/>
      <c r="J58" s="2014"/>
    </row>
    <row r="59" spans="1:10" ht="9.75" customHeight="1">
      <c r="A59" s="1125"/>
      <c r="B59" s="2012"/>
      <c r="C59" s="1227">
        <f t="shared" ref="C59:H59" si="4">D59+1</f>
        <v>7</v>
      </c>
      <c r="D59" s="1227">
        <f t="shared" si="4"/>
        <v>6</v>
      </c>
      <c r="E59" s="1227">
        <f t="shared" si="4"/>
        <v>5</v>
      </c>
      <c r="F59" s="1227">
        <f t="shared" si="4"/>
        <v>4</v>
      </c>
      <c r="G59" s="1227">
        <f t="shared" si="4"/>
        <v>3</v>
      </c>
      <c r="H59" s="1227">
        <f t="shared" si="4"/>
        <v>2</v>
      </c>
      <c r="I59" s="1227">
        <f>J59+1</f>
        <v>1</v>
      </c>
      <c r="J59" s="1227">
        <v>0</v>
      </c>
    </row>
    <row r="60" spans="1:10">
      <c r="A60" s="1543"/>
      <c r="B60" s="1467" t="s">
        <v>221</v>
      </c>
      <c r="C60" s="2010" cm="1">
        <f t="array" ref="C60">INDEX(Base_Trimestrielle!$B$73:$M$276,MAX(Base_Trimestrielle!$N$74:$N$276)-C$59,1)</f>
        <v>43435</v>
      </c>
      <c r="D60" s="2010" cm="1">
        <f t="array" ref="D60">INDEX(Base_Trimestrielle!$B$73:$M$276,MAX(Base_Trimestrielle!$N$74:$N$276)-D$59,1)</f>
        <v>43525</v>
      </c>
      <c r="E60" s="2010" cm="1">
        <f t="array" ref="E60">INDEX(Base_Trimestrielle!$B$73:$M$276,MAX(Base_Trimestrielle!$N$74:$N$276)-E$59,1)</f>
        <v>43617</v>
      </c>
      <c r="F60" s="2010" cm="1">
        <f t="array" ref="F60">INDEX(Base_Trimestrielle!$B$73:$M$276,MAX(Base_Trimestrielle!$N$74:$N$276)-F$59,1)</f>
        <v>43709</v>
      </c>
      <c r="G60" s="2010" cm="1">
        <f t="array" ref="G60">INDEX(Base_Trimestrielle!$B$73:$M$276,MAX(Base_Trimestrielle!$N$74:$N$276)-G$59,1)</f>
        <v>43800</v>
      </c>
      <c r="H60" s="2010" cm="1">
        <f t="array" ref="H60">INDEX(Base_Trimestrielle!$B$73:$M$276,MAX(Base_Trimestrielle!$N$74:$N$276)-H$59,1)</f>
        <v>43891</v>
      </c>
      <c r="I60" s="2010" cm="1">
        <f t="array" ref="I60">INDEX(Base_Trimestrielle!$B$73:$M$276,MAX(Base_Trimestrielle!$N$74:$N$276)-I$59,1)</f>
        <v>43983</v>
      </c>
      <c r="J60" s="2010" cm="1">
        <f t="array" ref="J60">INDEX(Base_Trimestrielle!$B$73:$M$276,MAX(Base_Trimestrielle!$N$74:$N$276)-J$59,1)</f>
        <v>44075</v>
      </c>
    </row>
    <row r="61" spans="1:10">
      <c r="A61" s="2011" t="s">
        <v>222</v>
      </c>
      <c r="B61" s="2011"/>
      <c r="C61" s="2015" cm="1">
        <f t="array" ref="C61">INDEX(Base_Trimestrielle!$B$73:$M$276,MAX(Base_Trimestrielle!$N$74:$N$276)-C$59,MATCH($A61,Base_Trimestrielle!$B$73:$M$73,0))</f>
        <v>175.41586970470971</v>
      </c>
      <c r="D61" s="2015" cm="1">
        <f t="array" ref="D61">INDEX(Base_Trimestrielle!$B$73:$M$276,MAX(Base_Trimestrielle!$N$74:$N$276)-D$59,MATCH($A61,Base_Trimestrielle!$B$73:$M$73,0))</f>
        <v>177.01595803269882</v>
      </c>
      <c r="E61" s="2015" cm="1">
        <f t="array" ref="E61">INDEX(Base_Trimestrielle!$B$73:$M$276,MAX(Base_Trimestrielle!$N$74:$N$276)-E$59,MATCH($A61,Base_Trimestrielle!$B$73:$M$73,0))</f>
        <v>150.94223407591491</v>
      </c>
      <c r="F61" s="2015" cm="1">
        <f t="array" ref="F61">INDEX(Base_Trimestrielle!$B$73:$M$276,MAX(Base_Trimestrielle!$N$74:$N$276)-F$59,MATCH($A61,Base_Trimestrielle!$B$73:$M$73,0))</f>
        <v>149.34889777876936</v>
      </c>
      <c r="G61" s="2015" cm="1">
        <f t="array" ref="G61">INDEX(Base_Trimestrielle!$B$73:$M$276,MAX(Base_Trimestrielle!$N$74:$N$276)-G$59,MATCH($A61,Base_Trimestrielle!$B$73:$M$73,0))</f>
        <v>167.45553957970557</v>
      </c>
      <c r="H61" s="2015" cm="1">
        <f t="array" ref="H61">INDEX(Base_Trimestrielle!$B$73:$M$276,MAX(Base_Trimestrielle!$N$74:$N$276)-H$59,MATCH($A61,Base_Trimestrielle!$B$73:$M$73,0))</f>
        <v>146.12013294691096</v>
      </c>
      <c r="I61" s="2015" cm="1">
        <f t="array" ref="I61">INDEX(Base_Trimestrielle!$B$73:$M$276,MAX(Base_Trimestrielle!$N$74:$N$276)-I$59,MATCH($A61,Base_Trimestrielle!$B$73:$M$73,0))</f>
        <v>149.9042128372781</v>
      </c>
      <c r="J61" s="2015" cm="1">
        <f t="array" ref="J61">INDEX(Base_Trimestrielle!$B$73:$M$276,MAX(Base_Trimestrielle!$N$74:$N$276)-J$59,MATCH($A61,Base_Trimestrielle!$B$73:$M$73,0))</f>
        <v>152.10210142328859</v>
      </c>
    </row>
    <row r="62" spans="1:10" ht="20.399999999999999">
      <c r="A62" s="2016" t="s">
        <v>529</v>
      </c>
      <c r="B62" s="2016"/>
      <c r="C62" s="2017" cm="1">
        <f t="array" ref="C62">INDEX(Base_Trimestrielle!$B$73:$M$276,MAX(Base_Trimestrielle!$N$74:$N$276)-C$59,MATCH($A62,Base_Trimestrielle!$B$73:$M$73,0))</f>
        <v>248.04394908135083</v>
      </c>
      <c r="D62" s="2017" cm="1">
        <f t="array" ref="D62">INDEX(Base_Trimestrielle!$B$73:$M$276,MAX(Base_Trimestrielle!$N$74:$N$276)-D$59,MATCH($A62,Base_Trimestrielle!$B$73:$M$73,0))</f>
        <v>222.48166308903774</v>
      </c>
      <c r="E62" s="2017" cm="1">
        <f t="array" ref="E62">INDEX(Base_Trimestrielle!$B$73:$M$276,MAX(Base_Trimestrielle!$N$74:$N$276)-E$59,MATCH($A62,Base_Trimestrielle!$B$73:$M$73,0))</f>
        <v>156.90379242936058</v>
      </c>
      <c r="F62" s="2017" cm="1">
        <f t="array" ref="F62">INDEX(Base_Trimestrielle!$B$73:$M$276,MAX(Base_Trimestrielle!$N$74:$N$276)-F$59,MATCH($A62,Base_Trimestrielle!$B$73:$M$73,0))</f>
        <v>168.41108523312209</v>
      </c>
      <c r="G62" s="2017" cm="1">
        <f t="array" ref="G62">INDEX(Base_Trimestrielle!$B$73:$M$276,MAX(Base_Trimestrielle!$N$74:$N$276)-G$59,MATCH($A62,Base_Trimestrielle!$B$73:$M$73,0))</f>
        <v>203.06449665204465</v>
      </c>
      <c r="H62" s="2017" cm="1">
        <f t="array" ref="H62">INDEX(Base_Trimestrielle!$B$73:$M$276,MAX(Base_Trimestrielle!$N$74:$N$276)-H$59,MATCH($A62,Base_Trimestrielle!$B$73:$M$73,0))</f>
        <v>145.7489933082754</v>
      </c>
      <c r="I62" s="2017" cm="1">
        <f t="array" ref="I62">INDEX(Base_Trimestrielle!$B$73:$M$276,MAX(Base_Trimestrielle!$N$74:$N$276)-I$59,MATCH($A62,Base_Trimestrielle!$B$73:$M$73,0))</f>
        <v>164.04819269777664</v>
      </c>
      <c r="J62" s="2017" cm="1">
        <f t="array" ref="J62">INDEX(Base_Trimestrielle!$B$73:$M$276,MAX(Base_Trimestrielle!$N$74:$N$276)-J$59,MATCH($A62,Base_Trimestrielle!$B$73:$M$73,0))</f>
        <v>148.26152448577926</v>
      </c>
    </row>
    <row r="63" spans="1:10" ht="20.399999999999999">
      <c r="A63" s="2018" t="s">
        <v>530</v>
      </c>
      <c r="B63" s="2018"/>
      <c r="C63" s="2015" cm="1">
        <f t="array" ref="C63">INDEX(Base_Trimestrielle!$B$73:$M$276,MAX(Base_Trimestrielle!$N$74:$N$276)-C$59,MATCH($A63,Base_Trimestrielle!$B$73:$M$73,0))</f>
        <v>296.663130990387</v>
      </c>
      <c r="D63" s="2015" cm="1">
        <f t="array" ref="D63">INDEX(Base_Trimestrielle!$B$73:$M$276,MAX(Base_Trimestrielle!$N$74:$N$276)-D$59,MATCH($A63,Base_Trimestrielle!$B$73:$M$73,0))</f>
        <v>293.04868230999614</v>
      </c>
      <c r="E63" s="2015" cm="1">
        <f t="array" ref="E63">INDEX(Base_Trimestrielle!$B$73:$M$276,MAX(Base_Trimestrielle!$N$74:$N$276)-E$59,MATCH($A63,Base_Trimestrielle!$B$73:$M$73,0))</f>
        <v>333.44343969843209</v>
      </c>
      <c r="F63" s="2015" cm="1">
        <f t="array" ref="F63">INDEX(Base_Trimestrielle!$B$73:$M$276,MAX(Base_Trimestrielle!$N$74:$N$276)-F$59,MATCH($A63,Base_Trimestrielle!$B$73:$M$73,0))</f>
        <v>272.08805187762709</v>
      </c>
      <c r="G63" s="2015" cm="1">
        <f t="array" ref="G63">INDEX(Base_Trimestrielle!$B$73:$M$276,MAX(Base_Trimestrielle!$N$74:$N$276)-G$59,MATCH($A63,Base_Trimestrielle!$B$73:$M$73,0))</f>
        <v>392.40192226683422</v>
      </c>
      <c r="H63" s="2015" cm="1">
        <f t="array" ref="H63">INDEX(Base_Trimestrielle!$B$73:$M$276,MAX(Base_Trimestrielle!$N$74:$N$276)-H$59,MATCH($A63,Base_Trimestrielle!$B$73:$M$73,0))</f>
        <v>392.53019972078198</v>
      </c>
      <c r="I63" s="2015" cm="1">
        <f t="array" ref="I63">INDEX(Base_Trimestrielle!$B$73:$M$276,MAX(Base_Trimestrielle!$N$74:$N$276)-I$59,MATCH($A63,Base_Trimestrielle!$B$73:$M$73,0))</f>
        <v>371.43926541931273</v>
      </c>
      <c r="J63" s="2015" cm="1">
        <f t="array" ref="J63">INDEX(Base_Trimestrielle!$B$73:$M$276,MAX(Base_Trimestrielle!$N$74:$N$276)-J$59,MATCH($A63,Base_Trimestrielle!$B$73:$M$73,0))</f>
        <v>307.58650834964709</v>
      </c>
    </row>
    <row r="64" spans="1:10" ht="20.399999999999999">
      <c r="A64" s="2016" t="s">
        <v>531</v>
      </c>
      <c r="B64" s="2016"/>
      <c r="C64" s="2017" cm="1">
        <f t="array" ref="C64">INDEX(Base_Trimestrielle!$B$73:$M$276,MAX(Base_Trimestrielle!$N$74:$N$276)-C$59,MATCH($A64,Base_Trimestrielle!$B$73:$M$73,0))</f>
        <v>138.60057025852996</v>
      </c>
      <c r="D64" s="2017" cm="1">
        <f t="array" ref="D64">INDEX(Base_Trimestrielle!$B$73:$M$276,MAX(Base_Trimestrielle!$N$74:$N$276)-D$59,MATCH($A64,Base_Trimestrielle!$B$73:$M$73,0))</f>
        <v>145.34703484700614</v>
      </c>
      <c r="E64" s="2017" cm="1">
        <f t="array" ref="E64">INDEX(Base_Trimestrielle!$B$73:$M$276,MAX(Base_Trimestrielle!$N$74:$N$276)-E$59,MATCH($A64,Base_Trimestrielle!$B$73:$M$73,0))</f>
        <v>124.56034598235641</v>
      </c>
      <c r="F64" s="2017" cm="1">
        <f t="array" ref="F64">INDEX(Base_Trimestrielle!$B$73:$M$276,MAX(Base_Trimestrielle!$N$74:$N$276)-F$59,MATCH($A64,Base_Trimestrielle!$B$73:$M$73,0))</f>
        <v>163.84981916298295</v>
      </c>
      <c r="G64" s="2017" cm="1">
        <f t="array" ref="G64">INDEX(Base_Trimestrielle!$B$73:$M$276,MAX(Base_Trimestrielle!$N$74:$N$276)-G$59,MATCH($A64,Base_Trimestrielle!$B$73:$M$73,0))</f>
        <v>98.499722525211936</v>
      </c>
      <c r="H64" s="2017" cm="1">
        <f t="array" ref="H64">INDEX(Base_Trimestrielle!$B$73:$M$276,MAX(Base_Trimestrielle!$N$74:$N$276)-H$59,MATCH($A64,Base_Trimestrielle!$B$73:$M$73,0))</f>
        <v>145.52787186405649</v>
      </c>
      <c r="I64" s="2017" cm="1">
        <f t="array" ref="I64">INDEX(Base_Trimestrielle!$B$73:$M$276,MAX(Base_Trimestrielle!$N$74:$N$276)-I$59,MATCH($A64,Base_Trimestrielle!$B$73:$M$73,0))</f>
        <v>142.21156974185277</v>
      </c>
      <c r="J64" s="2017" cm="1">
        <f t="array" ref="J64">INDEX(Base_Trimestrielle!$B$73:$M$276,MAX(Base_Trimestrielle!$N$74:$N$276)-J$59,MATCH($A64,Base_Trimestrielle!$B$73:$M$73,0))</f>
        <v>115.91939835811471</v>
      </c>
    </row>
    <row r="65" spans="1:10">
      <c r="A65" s="2018" t="s">
        <v>532</v>
      </c>
      <c r="B65" s="2018"/>
      <c r="C65" s="2015" cm="1">
        <f t="array" ref="C65">INDEX(Base_Trimestrielle!$B$73:$M$276,MAX(Base_Trimestrielle!$N$74:$N$276)-C$59,MATCH($A65,Base_Trimestrielle!$B$73:$M$73,0))</f>
        <v>42.576161327565877</v>
      </c>
      <c r="D65" s="2015" cm="1">
        <f t="array" ref="D65">INDEX(Base_Trimestrielle!$B$73:$M$276,MAX(Base_Trimestrielle!$N$74:$N$276)-D$59,MATCH($A65,Base_Trimestrielle!$B$73:$M$73,0))</f>
        <v>92.740598480400848</v>
      </c>
      <c r="E65" s="2015" cm="1">
        <f t="array" ref="E65">INDEX(Base_Trimestrielle!$B$73:$M$276,MAX(Base_Trimestrielle!$N$74:$N$276)-E$59,MATCH($A65,Base_Trimestrielle!$B$73:$M$73,0))</f>
        <v>22.804410186173239</v>
      </c>
      <c r="F65" s="2015" cm="1">
        <f t="array" ref="F65">INDEX(Base_Trimestrielle!$B$73:$M$276,MAX(Base_Trimestrielle!$N$74:$N$276)-F$59,MATCH($A65,Base_Trimestrielle!$B$73:$M$73,0))</f>
        <v>13.399398909023768</v>
      </c>
      <c r="G65" s="2015" cm="1">
        <f t="array" ref="G65">INDEX(Base_Trimestrielle!$B$73:$M$276,MAX(Base_Trimestrielle!$N$74:$N$276)-G$59,MATCH($A65,Base_Trimestrielle!$B$73:$M$73,0))</f>
        <v>45.198248114156861</v>
      </c>
      <c r="H65" s="2015" cm="1">
        <f t="array" ref="H65">INDEX(Base_Trimestrielle!$B$73:$M$276,MAX(Base_Trimestrielle!$N$74:$N$276)-H$59,MATCH($A65,Base_Trimestrielle!$B$73:$M$73,0))</f>
        <v>39.179789967447753</v>
      </c>
      <c r="I65" s="2015" cm="1">
        <f t="array" ref="I65">INDEX(Base_Trimestrielle!$B$73:$M$276,MAX(Base_Trimestrielle!$N$74:$N$276)-I$59,MATCH($A65,Base_Trimestrielle!$B$73:$M$73,0))</f>
        <v>22.804410186173239</v>
      </c>
      <c r="J65" s="2015" cm="1">
        <f t="array" ref="J65">INDEX(Base_Trimestrielle!$B$73:$M$276,MAX(Base_Trimestrielle!$N$74:$N$276)-J$59,MATCH($A65,Base_Trimestrielle!$B$73:$M$73,0))</f>
        <v>13.399398909023768</v>
      </c>
    </row>
    <row r="66" spans="1:10" ht="30.6">
      <c r="A66" s="2016" t="s">
        <v>533</v>
      </c>
      <c r="B66" s="2016"/>
      <c r="C66" s="2017" cm="1">
        <f t="array" ref="C66">INDEX(Base_Trimestrielle!$B$73:$M$276,MAX(Base_Trimestrielle!$N$74:$N$276)-C$59,MATCH($A66,Base_Trimestrielle!$B$73:$M$73,0))</f>
        <v>0</v>
      </c>
      <c r="D66" s="2017" cm="1">
        <f t="array" ref="D66">INDEX(Base_Trimestrielle!$B$73:$M$276,MAX(Base_Trimestrielle!$N$74:$N$276)-D$59,MATCH($A66,Base_Trimestrielle!$B$73:$M$73,0))</f>
        <v>0</v>
      </c>
      <c r="E66" s="2017" cm="1">
        <f t="array" ref="E66">INDEX(Base_Trimestrielle!$B$73:$M$276,MAX(Base_Trimestrielle!$N$74:$N$276)-E$59,MATCH($A66,Base_Trimestrielle!$B$73:$M$73,0))</f>
        <v>0</v>
      </c>
      <c r="F66" s="2017" cm="1">
        <f t="array" ref="F66">INDEX(Base_Trimestrielle!$B$73:$M$276,MAX(Base_Trimestrielle!$N$74:$N$276)-F$59,MATCH($A66,Base_Trimestrielle!$B$73:$M$73,0))</f>
        <v>0</v>
      </c>
      <c r="G66" s="2017" cm="1">
        <f t="array" ref="G66">INDEX(Base_Trimestrielle!$B$73:$M$276,MAX(Base_Trimestrielle!$N$74:$N$276)-G$59,MATCH($A66,Base_Trimestrielle!$B$73:$M$73,0))</f>
        <v>0</v>
      </c>
      <c r="H66" s="2017" cm="1">
        <f t="array" ref="H66">INDEX(Base_Trimestrielle!$B$73:$M$276,MAX(Base_Trimestrielle!$N$74:$N$276)-H$59,MATCH($A66,Base_Trimestrielle!$B$73:$M$73,0))</f>
        <v>0</v>
      </c>
      <c r="I66" s="2017" cm="1">
        <f t="array" ref="I66">INDEX(Base_Trimestrielle!$B$73:$M$276,MAX(Base_Trimestrielle!$N$74:$N$276)-I$59,MATCH($A66,Base_Trimestrielle!$B$73:$M$73,0))</f>
        <v>0</v>
      </c>
      <c r="J66" s="2017" cm="1">
        <f t="array" ref="J66">INDEX(Base_Trimestrielle!$B$73:$M$276,MAX(Base_Trimestrielle!$N$74:$N$276)-J$59,MATCH($A66,Base_Trimestrielle!$B$73:$M$73,0))</f>
        <v>0</v>
      </c>
    </row>
    <row r="67" spans="1:10" ht="20.399999999999999">
      <c r="A67" s="2018" t="s">
        <v>534</v>
      </c>
      <c r="B67" s="2018"/>
      <c r="C67" s="2015" cm="1">
        <f t="array" ref="C67">INDEX(Base_Trimestrielle!$B$73:$M$276,MAX(Base_Trimestrielle!$N$74:$N$276)-C$59,MATCH($A67,Base_Trimestrielle!$B$73:$M$73,0))</f>
        <v>59.675757249883809</v>
      </c>
      <c r="D67" s="2015" cm="1">
        <f t="array" ref="D67">INDEX(Base_Trimestrielle!$B$73:$M$276,MAX(Base_Trimestrielle!$N$74:$N$276)-D$59,MATCH($A67,Base_Trimestrielle!$B$73:$M$73,0))</f>
        <v>85.805638872929336</v>
      </c>
      <c r="E67" s="2015" cm="1">
        <f t="array" ref="E67">INDEX(Base_Trimestrielle!$B$73:$M$276,MAX(Base_Trimestrielle!$N$74:$N$276)-E$59,MATCH($A67,Base_Trimestrielle!$B$73:$M$73,0))</f>
        <v>83.687156501808275</v>
      </c>
      <c r="F67" s="2015" cm="1">
        <f t="array" ref="F67">INDEX(Base_Trimestrielle!$B$73:$M$276,MAX(Base_Trimestrielle!$N$74:$N$276)-F$59,MATCH($A67,Base_Trimestrielle!$B$73:$M$73,0))</f>
        <v>84.455682431897856</v>
      </c>
      <c r="G67" s="2015" cm="1">
        <f t="array" ref="G67">INDEX(Base_Trimestrielle!$B$73:$M$276,MAX(Base_Trimestrielle!$N$74:$N$276)-G$59,MATCH($A67,Base_Trimestrielle!$B$73:$M$73,0))</f>
        <v>79.712022380655313</v>
      </c>
      <c r="H67" s="2015" cm="1">
        <f t="array" ref="H67">INDEX(Base_Trimestrielle!$B$73:$M$276,MAX(Base_Trimestrielle!$N$74:$N$276)-H$59,MATCH($A67,Base_Trimestrielle!$B$73:$M$73,0))</f>
        <v>99.057675103599777</v>
      </c>
      <c r="I67" s="2015" cm="1">
        <f t="array" ref="I67">INDEX(Base_Trimestrielle!$B$73:$M$276,MAX(Base_Trimestrielle!$N$74:$N$276)-I$59,MATCH($A67,Base_Trimestrielle!$B$73:$M$73,0))</f>
        <v>104.62286287321395</v>
      </c>
      <c r="J67" s="2015" cm="1">
        <f t="array" ref="J67">INDEX(Base_Trimestrielle!$B$73:$M$276,MAX(Base_Trimestrielle!$N$74:$N$276)-J$59,MATCH($A67,Base_Trimestrielle!$B$73:$M$73,0))</f>
        <v>113.44766062217353</v>
      </c>
    </row>
    <row r="68" spans="1:10" ht="30.6">
      <c r="A68" s="2016" t="s">
        <v>535</v>
      </c>
      <c r="B68" s="2016"/>
      <c r="C68" s="2017" cm="1">
        <f t="array" ref="C68">INDEX(Base_Trimestrielle!$B$73:$M$276,MAX(Base_Trimestrielle!$N$74:$N$276)-C$59,MATCH($A68,Base_Trimestrielle!$B$73:$M$73,0))</f>
        <v>24.454380684911388</v>
      </c>
      <c r="D68" s="2017" cm="1">
        <f t="array" ref="D68">INDEX(Base_Trimestrielle!$B$73:$M$276,MAX(Base_Trimestrielle!$N$74:$N$276)-D$59,MATCH($A68,Base_Trimestrielle!$B$73:$M$73,0))</f>
        <v>20.584370331495865</v>
      </c>
      <c r="E68" s="2017" cm="1">
        <f t="array" ref="E68">INDEX(Base_Trimestrielle!$B$73:$M$276,MAX(Base_Trimestrielle!$N$74:$N$276)-E$59,MATCH($A68,Base_Trimestrielle!$B$73:$M$73,0))</f>
        <v>23.404017138683766</v>
      </c>
      <c r="F68" s="2017" cm="1">
        <f t="array" ref="F68">INDEX(Base_Trimestrielle!$B$73:$M$276,MAX(Base_Trimestrielle!$N$74:$N$276)-F$59,MATCH($A68,Base_Trimestrielle!$B$73:$M$73,0))</f>
        <v>25.717476088602837</v>
      </c>
      <c r="G68" s="2017" cm="1">
        <f t="array" ref="G68">INDEX(Base_Trimestrielle!$B$73:$M$276,MAX(Base_Trimestrielle!$N$74:$N$276)-G$59,MATCH($A68,Base_Trimestrielle!$B$73:$M$73,0))</f>
        <v>28.639690041353649</v>
      </c>
      <c r="H68" s="2017" cm="1">
        <f t="array" ref="H68">INDEX(Base_Trimestrielle!$B$73:$M$276,MAX(Base_Trimestrielle!$N$74:$N$276)-H$59,MATCH($A68,Base_Trimestrielle!$B$73:$M$73,0))</f>
        <v>20.584370331495865</v>
      </c>
      <c r="I68" s="2017" cm="1">
        <f t="array" ref="I68">INDEX(Base_Trimestrielle!$B$73:$M$276,MAX(Base_Trimestrielle!$N$74:$N$276)-I$59,MATCH($A68,Base_Trimestrielle!$B$73:$M$73,0))</f>
        <v>20.584370331495865</v>
      </c>
      <c r="J68" s="2017" cm="1">
        <f t="array" ref="J68">INDEX(Base_Trimestrielle!$B$73:$M$276,MAX(Base_Trimestrielle!$N$74:$N$276)-J$59,MATCH($A68,Base_Trimestrielle!$B$73:$M$73,0))</f>
        <v>22.529576031237493</v>
      </c>
    </row>
    <row r="69" spans="1:10">
      <c r="A69" s="2018" t="s">
        <v>536</v>
      </c>
      <c r="B69" s="2018"/>
      <c r="C69" s="2015" cm="1">
        <f t="array" ref="C69">INDEX(Base_Trimestrielle!$B$73:$M$276,MAX(Base_Trimestrielle!$N$74:$N$276)-C$59,MATCH($A69,Base_Trimestrielle!$B$73:$M$73,0))</f>
        <v>145.52401217956526</v>
      </c>
      <c r="D69" s="2015" cm="1">
        <f t="array" ref="D69">INDEX(Base_Trimestrielle!$B$73:$M$276,MAX(Base_Trimestrielle!$N$74:$N$276)-D$59,MATCH($A69,Base_Trimestrielle!$B$73:$M$73,0))</f>
        <v>173.48389403548688</v>
      </c>
      <c r="E69" s="2015" cm="1">
        <f t="array" ref="E69">INDEX(Base_Trimestrielle!$B$73:$M$276,MAX(Base_Trimestrielle!$N$74:$N$276)-E$59,MATCH($A69,Base_Trimestrielle!$B$73:$M$73,0))</f>
        <v>115.65658698207146</v>
      </c>
      <c r="F69" s="2015" cm="1">
        <f t="array" ref="F69">INDEX(Base_Trimestrielle!$B$73:$M$276,MAX(Base_Trimestrielle!$N$74:$N$276)-F$59,MATCH($A69,Base_Trimestrielle!$B$73:$M$73,0))</f>
        <v>141.78731768854024</v>
      </c>
      <c r="G69" s="2015" cm="1">
        <f t="array" ref="G69">INDEX(Base_Trimestrielle!$B$73:$M$276,MAX(Base_Trimestrielle!$N$74:$N$276)-G$59,MATCH($A69,Base_Trimestrielle!$B$73:$M$73,0))</f>
        <v>136.90087104643058</v>
      </c>
      <c r="H69" s="2015" cm="1">
        <f t="array" ref="H69">INDEX(Base_Trimestrielle!$B$73:$M$276,MAX(Base_Trimestrielle!$N$74:$N$276)-H$59,MATCH($A69,Base_Trimestrielle!$B$73:$M$73,0))</f>
        <v>100.31784805737425</v>
      </c>
      <c r="I69" s="2015" cm="1">
        <f t="array" ref="I69">INDEX(Base_Trimestrielle!$B$73:$M$276,MAX(Base_Trimestrielle!$N$74:$N$276)-I$59,MATCH($A69,Base_Trimestrielle!$B$73:$M$73,0))</f>
        <v>106.44551297226384</v>
      </c>
      <c r="J69" s="2015" cm="1">
        <f t="array" ref="J69">INDEX(Base_Trimestrielle!$B$73:$M$276,MAX(Base_Trimestrielle!$N$74:$N$276)-J$59,MATCH($A69,Base_Trimestrielle!$B$73:$M$73,0))</f>
        <v>97.299757224999766</v>
      </c>
    </row>
    <row r="70" spans="1:10" ht="20.399999999999999">
      <c r="A70" s="2016" t="s">
        <v>537</v>
      </c>
      <c r="B70" s="2016"/>
      <c r="C70" s="2017" cm="1">
        <f t="array" ref="C70">INDEX(Base_Trimestrielle!$B$73:$M$276,MAX(Base_Trimestrielle!$N$74:$N$276)-C$59,MATCH($A70,Base_Trimestrielle!$B$73:$M$73,0))</f>
        <v>150.38779316986887</v>
      </c>
      <c r="D70" s="2017" cm="1">
        <f t="array" ref="D70">INDEX(Base_Trimestrielle!$B$73:$M$276,MAX(Base_Trimestrielle!$N$74:$N$276)-D$59,MATCH($A70,Base_Trimestrielle!$B$73:$M$73,0))</f>
        <v>129.27230928421653</v>
      </c>
      <c r="E70" s="2017" cm="1">
        <f t="array" ref="E70">INDEX(Base_Trimestrielle!$B$73:$M$276,MAX(Base_Trimestrielle!$N$74:$N$276)-E$59,MATCH($A70,Base_Trimestrielle!$B$73:$M$73,0))</f>
        <v>149.6815134621682</v>
      </c>
      <c r="F70" s="2017" cm="1">
        <f t="array" ref="F70">INDEX(Base_Trimestrielle!$B$73:$M$276,MAX(Base_Trimestrielle!$N$74:$N$276)-F$59,MATCH($A70,Base_Trimestrielle!$B$73:$M$73,0))</f>
        <v>95.750998651199765</v>
      </c>
      <c r="G70" s="2017" cm="1">
        <f t="array" ref="G70">INDEX(Base_Trimestrielle!$B$73:$M$276,MAX(Base_Trimestrielle!$N$74:$N$276)-G$59,MATCH($A70,Base_Trimestrielle!$B$73:$M$73,0))</f>
        <v>80.685625172570909</v>
      </c>
      <c r="H70" s="2017" cm="1">
        <f t="array" ref="H70">INDEX(Base_Trimestrielle!$B$73:$M$276,MAX(Base_Trimestrielle!$N$74:$N$276)-H$59,MATCH($A70,Base_Trimestrielle!$B$73:$M$73,0))</f>
        <v>66.831037984398563</v>
      </c>
      <c r="I70" s="2017" cm="1">
        <f t="array" ref="I70">INDEX(Base_Trimestrielle!$B$73:$M$276,MAX(Base_Trimestrielle!$N$74:$N$276)-I$59,MATCH($A70,Base_Trimestrielle!$B$73:$M$73,0))</f>
        <v>132.88063402245578</v>
      </c>
      <c r="J70" s="2017" cm="1">
        <f t="array" ref="J70">INDEX(Base_Trimestrielle!$B$73:$M$276,MAX(Base_Trimestrielle!$N$74:$N$276)-J$59,MATCH($A70,Base_Trimestrielle!$B$73:$M$73,0))</f>
        <v>84.907096781400014</v>
      </c>
    </row>
    <row r="71" spans="1:10" ht="20.399999999999999">
      <c r="A71" s="2019" t="s">
        <v>538</v>
      </c>
      <c r="B71" s="2019"/>
      <c r="C71" s="2020" cm="1">
        <f t="array" ref="C71">INDEX(Base_Trimestrielle!$B$73:$M$276,MAX(Base_Trimestrielle!$N$74:$N$276)-C$59,MATCH($A71,Base_Trimestrielle!$B$73:$M$73,0))</f>
        <v>262.6400919631206</v>
      </c>
      <c r="D71" s="2020" cm="1">
        <f t="array" ref="D71">INDEX(Base_Trimestrielle!$B$73:$M$276,MAX(Base_Trimestrielle!$N$74:$N$276)-D$59,MATCH($A71,Base_Trimestrielle!$B$73:$M$73,0))</f>
        <v>268.61635836095644</v>
      </c>
      <c r="E71" s="2020" cm="1">
        <f t="array" ref="E71">INDEX(Base_Trimestrielle!$B$73:$M$276,MAX(Base_Trimestrielle!$N$74:$N$276)-E$59,MATCH($A71,Base_Trimestrielle!$B$73:$M$73,0))</f>
        <v>278.11701002570356</v>
      </c>
      <c r="F71" s="2020" cm="1">
        <f t="array" ref="F71">INDEX(Base_Trimestrielle!$B$73:$M$276,MAX(Base_Trimestrielle!$N$74:$N$276)-F$59,MATCH($A71,Base_Trimestrielle!$B$73:$M$73,0))</f>
        <v>260.84184034752263</v>
      </c>
      <c r="G71" s="2020" cm="1">
        <f t="array" ref="G71">INDEX(Base_Trimestrielle!$B$73:$M$276,MAX(Base_Trimestrielle!$N$74:$N$276)-G$59,MATCH($A71,Base_Trimestrielle!$B$73:$M$73,0))</f>
        <v>282.11882273315325</v>
      </c>
      <c r="H71" s="2020" cm="1">
        <f t="array" ref="H71">INDEX(Base_Trimestrielle!$B$73:$M$276,MAX(Base_Trimestrielle!$N$74:$N$276)-H$59,MATCH($A71,Base_Trimestrielle!$B$73:$M$73,0))</f>
        <v>288.53831957346767</v>
      </c>
      <c r="I71" s="2020" cm="1">
        <f t="array" ref="I71">INDEX(Base_Trimestrielle!$B$73:$M$276,MAX(Base_Trimestrielle!$N$74:$N$276)-I$59,MATCH($A71,Base_Trimestrielle!$B$73:$M$73,0))</f>
        <v>278.11701002570356</v>
      </c>
      <c r="J71" s="2020" cm="1">
        <f t="array" ref="J71">INDEX(Base_Trimestrielle!$B$73:$M$276,MAX(Base_Trimestrielle!$N$74:$N$276)-J$59,MATCH($A71,Base_Trimestrielle!$B$73:$M$73,0))</f>
        <v>275.59890315851163</v>
      </c>
    </row>
    <row r="72" spans="1:10">
      <c r="A72" s="2013"/>
      <c r="B72" s="2013"/>
      <c r="C72" s="2014"/>
      <c r="D72" s="2014"/>
      <c r="E72" s="2014"/>
      <c r="F72" s="2014"/>
      <c r="G72" s="2014"/>
      <c r="H72" s="2014"/>
      <c r="I72" s="2014"/>
      <c r="J72" s="2014"/>
    </row>
    <row r="73" spans="1:10">
      <c r="A73" s="1168"/>
    </row>
    <row r="74" spans="1:10">
      <c r="A74" s="1168"/>
    </row>
    <row r="75" spans="1:10">
      <c r="A75" s="1164" t="s">
        <v>1110</v>
      </c>
    </row>
    <row r="76" spans="1:10" ht="17.25" customHeight="1">
      <c r="C76" s="1698">
        <v>16</v>
      </c>
      <c r="D76" s="1698">
        <v>15</v>
      </c>
      <c r="E76" s="1698">
        <v>14</v>
      </c>
      <c r="F76" s="1698">
        <v>13</v>
      </c>
      <c r="G76" s="1698">
        <v>12</v>
      </c>
      <c r="H76" s="1698">
        <v>11</v>
      </c>
      <c r="I76" s="1698">
        <v>10</v>
      </c>
      <c r="J76" s="1698">
        <v>9</v>
      </c>
    </row>
    <row r="77" spans="1:10" ht="8.25" customHeight="1">
      <c r="B77" s="1167"/>
      <c r="C77" s="1227">
        <v>15</v>
      </c>
      <c r="D77" s="1227">
        <v>14</v>
      </c>
      <c r="E77" s="1227">
        <v>13</v>
      </c>
      <c r="F77" s="1227">
        <v>12</v>
      </c>
      <c r="G77" s="1227">
        <v>11</v>
      </c>
      <c r="H77" s="1227">
        <v>10</v>
      </c>
      <c r="I77" s="1227">
        <v>9</v>
      </c>
      <c r="J77" s="1227">
        <v>8</v>
      </c>
    </row>
    <row r="78" spans="1:10" ht="24.6">
      <c r="A78" s="1543" t="s">
        <v>528</v>
      </c>
      <c r="B78" s="1467" t="s">
        <v>221</v>
      </c>
      <c r="C78" s="2010" cm="1">
        <f t="array" ref="C78">INDEX(Base_Trimestrielle!$MK$74:$NK$276,MAX(Base_Trimestrielle!$NL$74:$NL$276)-C76,1)</f>
        <v>43709</v>
      </c>
      <c r="D78" s="2010" cm="1">
        <f t="array" ref="D78">INDEX(Base_Trimestrielle!$MK$74:$NK$276,MAX(Base_Trimestrielle!$NL$74:$NL$276)-D76,1)</f>
        <v>43800</v>
      </c>
      <c r="E78" s="2010" cm="1">
        <f t="array" ref="E78">INDEX(Base_Trimestrielle!$MK$74:$NK$276,MAX(Base_Trimestrielle!$NL$74:$NL$276)-E76,1)</f>
        <v>43891</v>
      </c>
      <c r="F78" s="2010" cm="1">
        <f t="array" ref="F78">INDEX(Base_Trimestrielle!$MK$74:$NK$276,MAX(Base_Trimestrielle!$NL$74:$NL$276)-F76,1)</f>
        <v>43983</v>
      </c>
      <c r="G78" s="2010" cm="1">
        <f t="array" ref="G78">INDEX(Base_Trimestrielle!$MK$74:$NK$276,MAX(Base_Trimestrielle!$NL$74:$NL$276)-G76,1)</f>
        <v>44075</v>
      </c>
      <c r="H78" s="2010" cm="1">
        <f t="array" ref="H78">INDEX(Base_Trimestrielle!$MK$74:$NK$276,MAX(Base_Trimestrielle!$NL$74:$NL$276)-H76,1)</f>
        <v>44166</v>
      </c>
      <c r="I78" s="2010" cm="1">
        <f t="array" ref="I78">INDEX(Base_Trimestrielle!$MK$74:$NK$276,MAX(Base_Trimestrielle!$NL$74:$NL$276)-I76,1)</f>
        <v>44256</v>
      </c>
      <c r="J78" s="2010" cm="1">
        <f t="array" ref="J78">INDEX(Base_Trimestrielle!$MK$74:$NK$276,MAX(Base_Trimestrielle!$NL$74:$NL$276)-J76,1)</f>
        <v>44348</v>
      </c>
    </row>
    <row r="79" spans="1:10">
      <c r="A79" s="1990" t="s">
        <v>1067</v>
      </c>
      <c r="B79" s="1990"/>
      <c r="C79" s="2005" cm="1">
        <f t="array" ref="C79">INDEX(Base_Trimestrielle!$MK$74:$NK$276,MAX(Base_Trimestrielle!$NL$74:$NL$276)-C$77,MATCH($A79,Base_Trimestrielle!$MK$73:$NK$73,0))</f>
        <v>145.66300885197396</v>
      </c>
      <c r="D79" s="2005" cm="1">
        <f t="array" ref="D79">INDEX(Base_Trimestrielle!$MK$74:$NK$276,MAX(Base_Trimestrielle!$NL$74:$NL$276)-D$77,MATCH($A79,Base_Trimestrielle!$MK$73:$NK$73,0))</f>
        <v>145.66300885197401</v>
      </c>
      <c r="E79" s="2005" cm="1">
        <f t="array" ref="E79">INDEX(Base_Trimestrielle!$MK$74:$NK$276,MAX(Base_Trimestrielle!$NL$74:$NL$276)-E$77,MATCH($A79,Base_Trimestrielle!$MK$73:$NK$73,0))</f>
        <v>145.66300885197401</v>
      </c>
      <c r="F79" s="2005" cm="1">
        <f t="array" ref="F79">INDEX(Base_Trimestrielle!$MK$74:$NK$276,MAX(Base_Trimestrielle!$NL$74:$NL$276)-F$77,MATCH($A79,Base_Trimestrielle!$MK$73:$NK$73,0))</f>
        <v>145.66300885197401</v>
      </c>
      <c r="G79" s="2005" cm="1">
        <f t="array" ref="G79">INDEX(Base_Trimestrielle!$MK$74:$NK$276,MAX(Base_Trimestrielle!$NL$74:$NL$276)-G$77,MATCH($A79,Base_Trimestrielle!$MK$73:$NK$73,0))</f>
        <v>145.66300885197401</v>
      </c>
      <c r="H79" s="2005" cm="1">
        <f t="array" ref="H79">INDEX(Base_Trimestrielle!$MK$74:$NK$276,MAX(Base_Trimestrielle!$NL$74:$NL$276)-H$77,MATCH($A79,Base_Trimestrielle!$MK$73:$NK$73,0))</f>
        <v>145.6630088519741</v>
      </c>
      <c r="I79" s="2005" cm="1">
        <f t="array" ref="I79">INDEX(Base_Trimestrielle!$MK$74:$NK$276,MAX(Base_Trimestrielle!$NL$74:$NL$276)-I$77,MATCH($A79,Base_Trimestrielle!$MK$73:$NK$73,0))</f>
        <v>145.6630088519741</v>
      </c>
      <c r="J79" s="2005" cm="1">
        <f t="array" ref="J79">INDEX(Base_Trimestrielle!$MK$74:$NK$276,MAX(Base_Trimestrielle!$NL$74:$NL$276)-J$77,MATCH($A79,Base_Trimestrielle!$MK$73:$NK$73,0))</f>
        <v>151.92782641516931</v>
      </c>
    </row>
    <row r="80" spans="1:10" ht="20.399999999999999">
      <c r="A80" s="2004" t="s">
        <v>1071</v>
      </c>
      <c r="B80" s="2004"/>
      <c r="C80" s="2006" cm="1">
        <f t="array" ref="C80">INDEX(Base_Trimestrielle!$MK$74:$NK$276,MAX(Base_Trimestrielle!$NL$74:$NL$276)-C$77,MATCH($A80,Base_Trimestrielle!$MK$73:$NK$73,0))</f>
        <v>128.40149037072575</v>
      </c>
      <c r="D80" s="2006" cm="1">
        <f t="array" ref="D80">INDEX(Base_Trimestrielle!$MK$74:$NK$276,MAX(Base_Trimestrielle!$NL$74:$NL$276)-D$77,MATCH($A80,Base_Trimestrielle!$MK$73:$NK$73,0))</f>
        <v>127.80379972364152</v>
      </c>
      <c r="E80" s="2006" cm="1">
        <f t="array" ref="E80">INDEX(Base_Trimestrielle!$MK$74:$NK$276,MAX(Base_Trimestrielle!$NL$74:$NL$276)-E$77,MATCH($A80,Base_Trimestrielle!$MK$73:$NK$73,0))</f>
        <v>127.80379972364152</v>
      </c>
      <c r="F80" s="2006" cm="1">
        <f t="array" ref="F80">INDEX(Base_Trimestrielle!$MK$74:$NK$276,MAX(Base_Trimestrielle!$NL$74:$NL$276)-F$77,MATCH($A80,Base_Trimestrielle!$MK$73:$NK$73,0))</f>
        <v>127.80379972364152</v>
      </c>
      <c r="G80" s="2006" cm="1">
        <f t="array" ref="G80">INDEX(Base_Trimestrielle!$MK$74:$NK$276,MAX(Base_Trimestrielle!$NL$74:$NL$276)-G$77,MATCH($A80,Base_Trimestrielle!$MK$73:$NK$73,0))</f>
        <v>127.80379972364152</v>
      </c>
      <c r="H80" s="2006" cm="1">
        <f t="array" ref="H80">INDEX(Base_Trimestrielle!$MK$74:$NK$276,MAX(Base_Trimestrielle!$NL$74:$NL$276)-H$77,MATCH($A80,Base_Trimestrielle!$MK$73:$NK$73,0))</f>
        <v>127.8037997236416</v>
      </c>
      <c r="I80" s="2006" cm="1">
        <f t="array" ref="I80">INDEX(Base_Trimestrielle!$MK$74:$NK$276,MAX(Base_Trimestrielle!$NL$74:$NL$276)-I$77,MATCH($A80,Base_Trimestrielle!$MK$73:$NK$73,0))</f>
        <v>127.8037997236416</v>
      </c>
      <c r="J80" s="2006" cm="1">
        <f t="array" ref="J80">INDEX(Base_Trimestrielle!$MK$74:$NK$276,MAX(Base_Trimestrielle!$NL$74:$NL$276)-J$77,MATCH($A80,Base_Trimestrielle!$MK$73:$NK$73,0))</f>
        <v>134.19428166157184</v>
      </c>
    </row>
    <row r="81" spans="1:10" ht="20.399999999999999">
      <c r="A81" s="1990" t="s">
        <v>1072</v>
      </c>
      <c r="B81" s="1990"/>
      <c r="C81" s="2005" cm="1">
        <f t="array" ref="C81">INDEX(Base_Trimestrielle!$MK$74:$NK$276,MAX(Base_Trimestrielle!$NL$74:$NL$276)-C$77,MATCH($A81,Base_Trimestrielle!$MK$73:$NK$73,0))</f>
        <v>121.90933333333325</v>
      </c>
      <c r="D81" s="2005" cm="1">
        <f t="array" ref="D81">INDEX(Base_Trimestrielle!$MK$74:$NK$276,MAX(Base_Trimestrielle!$NL$74:$NL$276)-D$77,MATCH($A81,Base_Trimestrielle!$MK$73:$NK$73,0))</f>
        <v>131.99999999999991</v>
      </c>
      <c r="E81" s="2005" cm="1">
        <f t="array" ref="E81">INDEX(Base_Trimestrielle!$MK$74:$NK$276,MAX(Base_Trimestrielle!$NL$74:$NL$276)-E$77,MATCH($A81,Base_Trimestrielle!$MK$73:$NK$73,0))</f>
        <v>131.99999999999991</v>
      </c>
      <c r="F81" s="2005" cm="1">
        <f t="array" ref="F81">INDEX(Base_Trimestrielle!$MK$74:$NK$276,MAX(Base_Trimestrielle!$NL$74:$NL$276)-F$77,MATCH($A81,Base_Trimestrielle!$MK$73:$NK$73,0))</f>
        <v>131.99999999999991</v>
      </c>
      <c r="G81" s="2005" cm="1">
        <f t="array" ref="G81">INDEX(Base_Trimestrielle!$MK$74:$NK$276,MAX(Base_Trimestrielle!$NL$74:$NL$276)-G$77,MATCH($A81,Base_Trimestrielle!$MK$73:$NK$73,0))</f>
        <v>131.99999999999991</v>
      </c>
      <c r="H81" s="2005" cm="1">
        <f t="array" ref="H81">INDEX(Base_Trimestrielle!$MK$74:$NK$276,MAX(Base_Trimestrielle!$NL$74:$NL$276)-H$77,MATCH($A81,Base_Trimestrielle!$MK$73:$NK$73,0))</f>
        <v>131.99999999999997</v>
      </c>
      <c r="I81" s="2005" cm="1">
        <f t="array" ref="I81">INDEX(Base_Trimestrielle!$MK$74:$NK$276,MAX(Base_Trimestrielle!$NL$74:$NL$276)-I$77,MATCH($A81,Base_Trimestrielle!$MK$73:$NK$73,0))</f>
        <v>131.99999999999997</v>
      </c>
      <c r="J81" s="2005" cm="1">
        <f t="array" ref="J81">INDEX(Base_Trimestrielle!$MK$74:$NK$276,MAX(Base_Trimestrielle!$NL$74:$NL$276)-J$77,MATCH($A81,Base_Trimestrielle!$MK$73:$NK$73,0))</f>
        <v>143.19999999999987</v>
      </c>
    </row>
    <row r="82" spans="1:10" ht="20.399999999999999">
      <c r="A82" s="2004" t="s">
        <v>1073</v>
      </c>
      <c r="B82" s="2004"/>
      <c r="C82" s="2006" cm="1">
        <f t="array" ref="C82">INDEX(Base_Trimestrielle!$MK$74:$NK$276,MAX(Base_Trimestrielle!$NL$74:$NL$276)-C$77,MATCH($A82,Base_Trimestrielle!$MK$73:$NK$73,0))</f>
        <v>99.152772817773922</v>
      </c>
      <c r="D82" s="2006" cm="1">
        <f t="array" ref="D82">INDEX(Base_Trimestrielle!$MK$74:$NK$276,MAX(Base_Trimestrielle!$NL$74:$NL$276)-D$77,MATCH($A82,Base_Trimestrielle!$MK$73:$NK$73,0))</f>
        <v>101.34134590821901</v>
      </c>
      <c r="E82" s="2006" cm="1">
        <f t="array" ref="E82">INDEX(Base_Trimestrielle!$MK$74:$NK$276,MAX(Base_Trimestrielle!$NL$74:$NL$276)-E$77,MATCH($A82,Base_Trimestrielle!$MK$73:$NK$73,0))</f>
        <v>101.35519711262042</v>
      </c>
      <c r="F82" s="2006" cm="1">
        <f t="array" ref="F82">INDEX(Base_Trimestrielle!$MK$74:$NK$276,MAX(Base_Trimestrielle!$NL$74:$NL$276)-F$77,MATCH($A82,Base_Trimestrielle!$MK$73:$NK$73,0))</f>
        <v>101.35519711262042</v>
      </c>
      <c r="G82" s="2006" cm="1">
        <f t="array" ref="G82">INDEX(Base_Trimestrielle!$MK$74:$NK$276,MAX(Base_Trimestrielle!$NL$74:$NL$276)-G$77,MATCH($A82,Base_Trimestrielle!$MK$73:$NK$73,0))</f>
        <v>101.3688401586146</v>
      </c>
      <c r="H82" s="2006" cm="1">
        <f t="array" ref="H82">INDEX(Base_Trimestrielle!$MK$74:$NK$276,MAX(Base_Trimestrielle!$NL$74:$NL$276)-H$77,MATCH($A82,Base_Trimestrielle!$MK$73:$NK$73,0))</f>
        <v>107.36925149114543</v>
      </c>
      <c r="I82" s="2006" cm="1">
        <f t="array" ref="I82">INDEX(Base_Trimestrielle!$MK$74:$NK$276,MAX(Base_Trimestrielle!$NL$74:$NL$276)-I$77,MATCH($A82,Base_Trimestrielle!$MK$73:$NK$73,0))</f>
        <v>110.03665035532106</v>
      </c>
      <c r="J82" s="2006" cm="1">
        <f t="array" ref="J82">INDEX(Base_Trimestrielle!$MK$74:$NK$276,MAX(Base_Trimestrielle!$NL$74:$NL$276)-J$77,MATCH($A82,Base_Trimestrielle!$MK$73:$NK$73,0))</f>
        <v>118.37893665677572</v>
      </c>
    </row>
    <row r="83" spans="1:10">
      <c r="A83" s="1990" t="s">
        <v>1074</v>
      </c>
      <c r="B83" s="1990"/>
      <c r="C83" s="2005" cm="1">
        <f t="array" ref="C83">INDEX(Base_Trimestrielle!$MK$74:$NK$276,MAX(Base_Trimestrielle!$NL$74:$NL$276)-C$77,MATCH($A83,Base_Trimestrielle!$MK$73:$NK$73,0))</f>
        <v>100.00000000000006</v>
      </c>
      <c r="D83" s="2005" cm="1">
        <f t="array" ref="D83">INDEX(Base_Trimestrielle!$MK$74:$NK$276,MAX(Base_Trimestrielle!$NL$74:$NL$276)-D$77,MATCH($A83,Base_Trimestrielle!$MK$73:$NK$73,0))</f>
        <v>100.00000000000009</v>
      </c>
      <c r="E83" s="2005" cm="1">
        <f t="array" ref="E83">INDEX(Base_Trimestrielle!$MK$74:$NK$276,MAX(Base_Trimestrielle!$NL$74:$NL$276)-E$77,MATCH($A83,Base_Trimestrielle!$MK$73:$NK$73,0))</f>
        <v>100.00000000000009</v>
      </c>
      <c r="F83" s="2005" cm="1">
        <f t="array" ref="F83">INDEX(Base_Trimestrielle!$MK$74:$NK$276,MAX(Base_Trimestrielle!$NL$74:$NL$276)-F$77,MATCH($A83,Base_Trimestrielle!$MK$73:$NK$73,0))</f>
        <v>100.00000000000009</v>
      </c>
      <c r="G83" s="2005" cm="1">
        <f t="array" ref="G83">INDEX(Base_Trimestrielle!$MK$74:$NK$276,MAX(Base_Trimestrielle!$NL$74:$NL$276)-G$77,MATCH($A83,Base_Trimestrielle!$MK$73:$NK$73,0))</f>
        <v>100.00000000000009</v>
      </c>
      <c r="H83" s="2005" cm="1">
        <f t="array" ref="H83">INDEX(Base_Trimestrielle!$MK$74:$NK$276,MAX(Base_Trimestrielle!$NL$74:$NL$276)-H$77,MATCH($A83,Base_Trimestrielle!$MK$73:$NK$73,0))</f>
        <v>100.00000000000011</v>
      </c>
      <c r="I83" s="2005" cm="1">
        <f t="array" ref="I83">INDEX(Base_Trimestrielle!$MK$74:$NK$276,MAX(Base_Trimestrielle!$NL$74:$NL$276)-I$77,MATCH($A83,Base_Trimestrielle!$MK$73:$NK$73,0))</f>
        <v>100.00000000000011</v>
      </c>
      <c r="J83" s="2005" cm="1">
        <f t="array" ref="J83">INDEX(Base_Trimestrielle!$MK$74:$NK$276,MAX(Base_Trimestrielle!$NL$74:$NL$276)-J$77,MATCH($A83,Base_Trimestrielle!$MK$73:$NK$73,0))</f>
        <v>100.00000000000011</v>
      </c>
    </row>
    <row r="84" spans="1:10" ht="20.399999999999999">
      <c r="A84" s="2004" t="s">
        <v>1075</v>
      </c>
      <c r="B84" s="2004"/>
      <c r="C84" s="2006" cm="1">
        <f t="array" ref="C84">INDEX(Base_Trimestrielle!$MK$74:$NK$276,MAX(Base_Trimestrielle!$NL$74:$NL$276)-C$77,MATCH($A84,Base_Trimestrielle!$MK$73:$NK$73,0))</f>
        <v>100</v>
      </c>
      <c r="D84" s="2006" cm="1">
        <f t="array" ref="D84">INDEX(Base_Trimestrielle!$MK$74:$NK$276,MAX(Base_Trimestrielle!$NL$74:$NL$276)-D$77,MATCH($A84,Base_Trimestrielle!$MK$73:$NK$73,0))</f>
        <v>100</v>
      </c>
      <c r="E84" s="2006" cm="1">
        <f t="array" ref="E84">INDEX(Base_Trimestrielle!$MK$74:$NK$276,MAX(Base_Trimestrielle!$NL$74:$NL$276)-E$77,MATCH($A84,Base_Trimestrielle!$MK$73:$NK$73,0))</f>
        <v>100</v>
      </c>
      <c r="F84" s="2006" cm="1">
        <f t="array" ref="F84">INDEX(Base_Trimestrielle!$MK$74:$NK$276,MAX(Base_Trimestrielle!$NL$74:$NL$276)-F$77,MATCH($A84,Base_Trimestrielle!$MK$73:$NK$73,0))</f>
        <v>100</v>
      </c>
      <c r="G84" s="2006" cm="1">
        <f t="array" ref="G84">INDEX(Base_Trimestrielle!$MK$74:$NK$276,MAX(Base_Trimestrielle!$NL$74:$NL$276)-G$77,MATCH($A84,Base_Trimestrielle!$MK$73:$NK$73,0))</f>
        <v>100</v>
      </c>
      <c r="H84" s="2006" cm="1">
        <f t="array" ref="H84">INDEX(Base_Trimestrielle!$MK$74:$NK$276,MAX(Base_Trimestrielle!$NL$74:$NL$276)-H$77,MATCH($A84,Base_Trimestrielle!$MK$73:$NK$73,0))</f>
        <v>134.56975965235952</v>
      </c>
      <c r="I84" s="2006" cm="1">
        <f t="array" ref="I84">INDEX(Base_Trimestrielle!$MK$74:$NK$276,MAX(Base_Trimestrielle!$NL$74:$NL$276)-I$77,MATCH($A84,Base_Trimestrielle!$MK$73:$NK$73,0))</f>
        <v>134.56975965235952</v>
      </c>
      <c r="J84" s="2006" cm="1">
        <f t="array" ref="J84">INDEX(Base_Trimestrielle!$MK$74:$NK$276,MAX(Base_Trimestrielle!$NL$74:$NL$276)-J$77,MATCH($A84,Base_Trimestrielle!$MK$73:$NK$73,0))</f>
        <v>134.56975965235952</v>
      </c>
    </row>
    <row r="85" spans="1:10" ht="20.399999999999999">
      <c r="A85" s="1990" t="s">
        <v>1076</v>
      </c>
      <c r="B85" s="1990"/>
      <c r="C85" s="2005" cm="1">
        <f t="array" ref="C85">INDEX(Base_Trimestrielle!$MK$74:$NK$276,MAX(Base_Trimestrielle!$NL$74:$NL$276)-C$77,MATCH($A85,Base_Trimestrielle!$MK$73:$NK$73,0))</f>
        <v>100.29950046728163</v>
      </c>
      <c r="D85" s="2005" cm="1">
        <f t="array" ref="D85">INDEX(Base_Trimestrielle!$MK$74:$NK$276,MAX(Base_Trimestrielle!$NL$74:$NL$276)-D$77,MATCH($A85,Base_Trimestrielle!$MK$73:$NK$73,0))</f>
        <v>100.29950046728163</v>
      </c>
      <c r="E85" s="2005" cm="1">
        <f t="array" ref="E85">INDEX(Base_Trimestrielle!$MK$74:$NK$276,MAX(Base_Trimestrielle!$NL$74:$NL$276)-E$77,MATCH($A85,Base_Trimestrielle!$MK$73:$NK$73,0))</f>
        <v>100.29950046728163</v>
      </c>
      <c r="F85" s="2005" cm="1">
        <f t="array" ref="F85">INDEX(Base_Trimestrielle!$MK$74:$NK$276,MAX(Base_Trimestrielle!$NL$74:$NL$276)-F$77,MATCH($A85,Base_Trimestrielle!$MK$73:$NK$73,0))</f>
        <v>100.29950046728163</v>
      </c>
      <c r="G85" s="2005" cm="1">
        <f t="array" ref="G85">INDEX(Base_Trimestrielle!$MK$74:$NK$276,MAX(Base_Trimestrielle!$NL$74:$NL$276)-G$77,MATCH($A85,Base_Trimestrielle!$MK$73:$NK$73,0))</f>
        <v>100.29950046728163</v>
      </c>
      <c r="H85" s="2005" cm="1">
        <f t="array" ref="H85">INDEX(Base_Trimestrielle!$MK$74:$NK$276,MAX(Base_Trimestrielle!$NL$74:$NL$276)-H$77,MATCH($A85,Base_Trimestrielle!$MK$73:$NK$73,0))</f>
        <v>100.29950046728163</v>
      </c>
      <c r="I85" s="2005" cm="1">
        <f t="array" ref="I85">INDEX(Base_Trimestrielle!$MK$74:$NK$276,MAX(Base_Trimestrielle!$NL$74:$NL$276)-I$77,MATCH($A85,Base_Trimestrielle!$MK$73:$NK$73,0))</f>
        <v>100.29950046728163</v>
      </c>
      <c r="J85" s="2005" cm="1">
        <f t="array" ref="J85">INDEX(Base_Trimestrielle!$MK$74:$NK$276,MAX(Base_Trimestrielle!$NL$74:$NL$276)-J$77,MATCH($A85,Base_Trimestrielle!$MK$73:$NK$73,0))</f>
        <v>100.29950046728163</v>
      </c>
    </row>
    <row r="86" spans="1:10" ht="20.399999999999999">
      <c r="A86" s="2004" t="s">
        <v>1077</v>
      </c>
      <c r="B86" s="2004"/>
      <c r="C86" s="2006" cm="1">
        <f t="array" ref="C86">INDEX(Base_Trimestrielle!$MK$74:$NK$276,MAX(Base_Trimestrielle!$NL$74:$NL$276)-C$77,MATCH($A86,Base_Trimestrielle!$MK$73:$NK$73,0))</f>
        <v>100.00000000000003</v>
      </c>
      <c r="D86" s="2006" cm="1">
        <f t="array" ref="D86">INDEX(Base_Trimestrielle!$MK$74:$NK$276,MAX(Base_Trimestrielle!$NL$74:$NL$276)-D$77,MATCH($A86,Base_Trimestrielle!$MK$73:$NK$73,0))</f>
        <v>100.00000000000004</v>
      </c>
      <c r="E86" s="2006" cm="1">
        <f t="array" ref="E86">INDEX(Base_Trimestrielle!$MK$74:$NK$276,MAX(Base_Trimestrielle!$NL$74:$NL$276)-E$77,MATCH($A86,Base_Trimestrielle!$MK$73:$NK$73,0))</f>
        <v>100.00000000000004</v>
      </c>
      <c r="F86" s="2006" cm="1">
        <f t="array" ref="F86">INDEX(Base_Trimestrielle!$MK$74:$NK$276,MAX(Base_Trimestrielle!$NL$74:$NL$276)-F$77,MATCH($A86,Base_Trimestrielle!$MK$73:$NK$73,0))</f>
        <v>100.00000000000004</v>
      </c>
      <c r="G86" s="2006" cm="1">
        <f t="array" ref="G86">INDEX(Base_Trimestrielle!$MK$74:$NK$276,MAX(Base_Trimestrielle!$NL$74:$NL$276)-G$77,MATCH($A86,Base_Trimestrielle!$MK$73:$NK$73,0))</f>
        <v>100.00000000000004</v>
      </c>
      <c r="H86" s="2006" cm="1">
        <f t="array" ref="H86">INDEX(Base_Trimestrielle!$MK$74:$NK$276,MAX(Base_Trimestrielle!$NL$74:$NL$276)-H$77,MATCH($A86,Base_Trimestrielle!$MK$73:$NK$73,0))</f>
        <v>100.0000000000001</v>
      </c>
      <c r="I86" s="2006" cm="1">
        <f t="array" ref="I86">INDEX(Base_Trimestrielle!$MK$74:$NK$276,MAX(Base_Trimestrielle!$NL$74:$NL$276)-I$77,MATCH($A86,Base_Trimestrielle!$MK$73:$NK$73,0))</f>
        <v>100.0000000000001</v>
      </c>
      <c r="J86" s="2006" cm="1">
        <f t="array" ref="J86">INDEX(Base_Trimestrielle!$MK$74:$NK$276,MAX(Base_Trimestrielle!$NL$74:$NL$276)-J$77,MATCH($A86,Base_Trimestrielle!$MK$73:$NK$73,0))</f>
        <v>101.66666666221394</v>
      </c>
    </row>
    <row r="87" spans="1:10" ht="40.799999999999997">
      <c r="A87" s="1990" t="s">
        <v>1078</v>
      </c>
      <c r="B87" s="1990"/>
      <c r="C87" s="2005" cm="1">
        <f t="array" ref="C87">INDEX(Base_Trimestrielle!$MK$74:$NK$276,MAX(Base_Trimestrielle!$NL$74:$NL$276)-C$77,MATCH($A87,Base_Trimestrielle!$MK$73:$NK$73,0))</f>
        <v>98.412698412698447</v>
      </c>
      <c r="D87" s="2005" cm="1">
        <f t="array" ref="D87">INDEX(Base_Trimestrielle!$MK$74:$NK$276,MAX(Base_Trimestrielle!$NL$74:$NL$276)-D$77,MATCH($A87,Base_Trimestrielle!$MK$73:$NK$73,0))</f>
        <v>89.339144173347577</v>
      </c>
      <c r="E87" s="2005" cm="1">
        <f t="array" ref="E87">INDEX(Base_Trimestrielle!$MK$74:$NK$276,MAX(Base_Trimestrielle!$NL$74:$NL$276)-E$77,MATCH($A87,Base_Trimestrielle!$MK$73:$NK$73,0))</f>
        <v>89.339144173347577</v>
      </c>
      <c r="F87" s="2005" cm="1">
        <f t="array" ref="F87">INDEX(Base_Trimestrielle!$MK$74:$NK$276,MAX(Base_Trimestrielle!$NL$74:$NL$276)-F$77,MATCH($A87,Base_Trimestrielle!$MK$73:$NK$73,0))</f>
        <v>89.339144173347577</v>
      </c>
      <c r="G87" s="2005" cm="1">
        <f t="array" ref="G87">INDEX(Base_Trimestrielle!$MK$74:$NK$276,MAX(Base_Trimestrielle!$NL$74:$NL$276)-G$77,MATCH($A87,Base_Trimestrielle!$MK$73:$NK$73,0))</f>
        <v>89.999039027118542</v>
      </c>
      <c r="H87" s="2005" cm="1">
        <f t="array" ref="H87">INDEX(Base_Trimestrielle!$MK$74:$NK$276,MAX(Base_Trimestrielle!$NL$74:$NL$276)-H$77,MATCH($A87,Base_Trimestrielle!$MK$73:$NK$73,0))</f>
        <v>91.318828734660471</v>
      </c>
      <c r="I87" s="2005" cm="1">
        <f t="array" ref="I87">INDEX(Base_Trimestrielle!$MK$74:$NK$276,MAX(Base_Trimestrielle!$NL$74:$NL$276)-I$77,MATCH($A87,Base_Trimestrielle!$MK$73:$NK$73,0))</f>
        <v>91.318828734660471</v>
      </c>
      <c r="J87" s="2005" cm="1">
        <f t="array" ref="J87">INDEX(Base_Trimestrielle!$MK$74:$NK$276,MAX(Base_Trimestrielle!$NL$74:$NL$276)-J$77,MATCH($A87,Base_Trimestrielle!$MK$73:$NK$73,0))</f>
        <v>105.17662066385091</v>
      </c>
    </row>
    <row r="88" spans="1:10" ht="30.6">
      <c r="A88" s="2004" t="s">
        <v>1079</v>
      </c>
      <c r="B88" s="2004"/>
      <c r="C88" s="2006" cm="1">
        <f t="array" ref="C88">INDEX(Base_Trimestrielle!$MK$74:$NK$276,MAX(Base_Trimestrielle!$NL$74:$NL$276)-C$77,MATCH($A88,Base_Trimestrielle!$MK$73:$NK$73,0))</f>
        <v>100.00000000000013</v>
      </c>
      <c r="D88" s="2006" cm="1">
        <f t="array" ref="D88">INDEX(Base_Trimestrielle!$MK$74:$NK$276,MAX(Base_Trimestrielle!$NL$74:$NL$276)-D$77,MATCH($A88,Base_Trimestrielle!$MK$73:$NK$73,0))</f>
        <v>100.00000000000016</v>
      </c>
      <c r="E88" s="2006" cm="1">
        <f t="array" ref="E88">INDEX(Base_Trimestrielle!$MK$74:$NK$276,MAX(Base_Trimestrielle!$NL$74:$NL$276)-E$77,MATCH($A88,Base_Trimestrielle!$MK$73:$NK$73,0))</f>
        <v>100.00000000000016</v>
      </c>
      <c r="F88" s="2006" cm="1">
        <f t="array" ref="F88">INDEX(Base_Trimestrielle!$MK$74:$NK$276,MAX(Base_Trimestrielle!$NL$74:$NL$276)-F$77,MATCH($A88,Base_Trimestrielle!$MK$73:$NK$73,0))</f>
        <v>100.00000000000016</v>
      </c>
      <c r="G88" s="2006" cm="1">
        <f t="array" ref="G88">INDEX(Base_Trimestrielle!$MK$74:$NK$276,MAX(Base_Trimestrielle!$NL$74:$NL$276)-G$77,MATCH($A88,Base_Trimestrielle!$MK$73:$NK$73,0))</f>
        <v>100.00000000000016</v>
      </c>
      <c r="H88" s="2006" cm="1">
        <f t="array" ref="H88">INDEX(Base_Trimestrielle!$MK$74:$NK$276,MAX(Base_Trimestrielle!$NL$74:$NL$276)-H$77,MATCH($A88,Base_Trimestrielle!$MK$73:$NK$73,0))</f>
        <v>100.00000000000017</v>
      </c>
      <c r="I88" s="2006" cm="1">
        <f t="array" ref="I88">INDEX(Base_Trimestrielle!$MK$74:$NK$276,MAX(Base_Trimestrielle!$NL$74:$NL$276)-I$77,MATCH($A88,Base_Trimestrielle!$MK$73:$NK$73,0))</f>
        <v>100.00000000000017</v>
      </c>
      <c r="J88" s="2006" cm="1">
        <f t="array" ref="J88">INDEX(Base_Trimestrielle!$MK$74:$NK$276,MAX(Base_Trimestrielle!$NL$74:$NL$276)-J$77,MATCH($A88,Base_Trimestrielle!$MK$73:$NK$73,0))</f>
        <v>100.00000000000017</v>
      </c>
    </row>
    <row r="89" spans="1:10" ht="20.399999999999999">
      <c r="A89" s="1990" t="s">
        <v>1080</v>
      </c>
      <c r="B89" s="1990">
        <v>110.12248856004284</v>
      </c>
      <c r="C89" s="2005" cm="1">
        <f t="array" ref="C89">INDEX(Base_Trimestrielle!$MK$74:$NK$276,MAX(Base_Trimestrielle!$NL$74:$NL$276)-C$77,MATCH($A89,Base_Trimestrielle!$MK$73:$NK$73,0))</f>
        <v>92.058648168295008</v>
      </c>
      <c r="D89" s="2005" cm="1">
        <f t="array" ref="D89">INDEX(Base_Trimestrielle!$MK$74:$NK$276,MAX(Base_Trimestrielle!$NL$74:$NL$276)-D$77,MATCH($A89,Base_Trimestrielle!$MK$73:$NK$73,0))</f>
        <v>99.527938786623963</v>
      </c>
      <c r="E89" s="2005" cm="1">
        <f t="array" ref="E89">INDEX(Base_Trimestrielle!$MK$74:$NK$276,MAX(Base_Trimestrielle!$NL$74:$NL$276)-E$77,MATCH($A89,Base_Trimestrielle!$MK$73:$NK$73,0))</f>
        <v>99.527938786623963</v>
      </c>
      <c r="F89" s="2005" cm="1">
        <f t="array" ref="F89">INDEX(Base_Trimestrielle!$MK$74:$NK$276,MAX(Base_Trimestrielle!$NL$74:$NL$276)-F$77,MATCH($A89,Base_Trimestrielle!$MK$73:$NK$73,0))</f>
        <v>99.527938786623963</v>
      </c>
      <c r="G89" s="2005" cm="1">
        <f t="array" ref="G89">INDEX(Base_Trimestrielle!$MK$74:$NK$276,MAX(Base_Trimestrielle!$NL$74:$NL$276)-G$77,MATCH($A89,Base_Trimestrielle!$MK$73:$NK$73,0))</f>
        <v>99.624644815162753</v>
      </c>
      <c r="H89" s="2005" cm="1">
        <f t="array" ref="H89">INDEX(Base_Trimestrielle!$MK$74:$NK$276,MAX(Base_Trimestrielle!$NL$74:$NL$276)-H$77,MATCH($A89,Base_Trimestrielle!$MK$73:$NK$73,0))</f>
        <v>114.46209234184185</v>
      </c>
      <c r="I89" s="2005" cm="1">
        <f t="array" ref="I89">INDEX(Base_Trimestrielle!$MK$74:$NK$276,MAX(Base_Trimestrielle!$NL$74:$NL$276)-I$77,MATCH($A89,Base_Trimestrielle!$MK$73:$NK$73,0))</f>
        <v>114.46209234184185</v>
      </c>
      <c r="J89" s="2005" cm="1">
        <f t="array" ref="J89">INDEX(Base_Trimestrielle!$MK$74:$NK$276,MAX(Base_Trimestrielle!$NL$74:$NL$276)-J$77,MATCH($A89,Base_Trimestrielle!$MK$73:$NK$73,0))</f>
        <v>115.49877460662391</v>
      </c>
    </row>
    <row r="90" spans="1:10" ht="30.6">
      <c r="A90" s="2004" t="s">
        <v>1081</v>
      </c>
      <c r="B90" s="2004">
        <v>2110.1797746712869</v>
      </c>
      <c r="C90" s="2006" cm="1">
        <f t="array" ref="C90">INDEX(Base_Trimestrielle!$MK$74:$NK$276,MAX(Base_Trimestrielle!$NL$74:$NL$276)-C$77,MATCH($A90,Base_Trimestrielle!$MK$73:$NK$73,0))</f>
        <v>100.0000000000001</v>
      </c>
      <c r="D90" s="2006" cm="1">
        <f t="array" ref="D90">INDEX(Base_Trimestrielle!$MK$74:$NK$276,MAX(Base_Trimestrielle!$NL$74:$NL$276)-D$77,MATCH($A90,Base_Trimestrielle!$MK$73:$NK$73,0))</f>
        <v>100.00000000000011</v>
      </c>
      <c r="E90" s="2006" cm="1">
        <f t="array" ref="E90">INDEX(Base_Trimestrielle!$MK$74:$NK$276,MAX(Base_Trimestrielle!$NL$74:$NL$276)-E$77,MATCH($A90,Base_Trimestrielle!$MK$73:$NK$73,0))</f>
        <v>100.00000000000011</v>
      </c>
      <c r="F90" s="2006" cm="1">
        <f t="array" ref="F90">INDEX(Base_Trimestrielle!$MK$74:$NK$276,MAX(Base_Trimestrielle!$NL$74:$NL$276)-F$77,MATCH($A90,Base_Trimestrielle!$MK$73:$NK$73,0))</f>
        <v>100.00000000000011</v>
      </c>
      <c r="G90" s="2006" cm="1">
        <f t="array" ref="G90">INDEX(Base_Trimestrielle!$MK$74:$NK$276,MAX(Base_Trimestrielle!$NL$74:$NL$276)-G$77,MATCH($A90,Base_Trimestrielle!$MK$73:$NK$73,0))</f>
        <v>100.00000000000011</v>
      </c>
      <c r="H90" s="2006" cm="1">
        <f t="array" ref="H90">INDEX(Base_Trimestrielle!$MK$74:$NK$276,MAX(Base_Trimestrielle!$NL$74:$NL$276)-H$77,MATCH($A90,Base_Trimestrielle!$MK$73:$NK$73,0))</f>
        <v>101.37165638468015</v>
      </c>
      <c r="I90" s="2006" cm="1">
        <f t="array" ref="I90">INDEX(Base_Trimestrielle!$MK$74:$NK$276,MAX(Base_Trimestrielle!$NL$74:$NL$276)-I$77,MATCH($A90,Base_Trimestrielle!$MK$73:$NK$73,0))</f>
        <v>101.37165638468015</v>
      </c>
      <c r="J90" s="2006" cm="1">
        <f t="array" ref="J90">INDEX(Base_Trimestrielle!$MK$74:$NK$276,MAX(Base_Trimestrielle!$NL$74:$NL$276)-J$77,MATCH($A90,Base_Trimestrielle!$MK$73:$NK$73,0))</f>
        <v>108.8259123443099</v>
      </c>
    </row>
    <row r="91" spans="1:10" ht="20.399999999999999">
      <c r="A91" s="1990" t="s">
        <v>1082</v>
      </c>
      <c r="B91" s="1990">
        <v>1070.4821390819809</v>
      </c>
      <c r="C91" s="2005" cm="1">
        <f t="array" ref="C91">INDEX(Base_Trimestrielle!$MK$74:$NK$276,MAX(Base_Trimestrielle!$NL$74:$NL$276)-C$77,MATCH($A91,Base_Trimestrielle!$MK$73:$NK$73,0))</f>
        <v>99.444174386237023</v>
      </c>
      <c r="D91" s="2005" cm="1">
        <f t="array" ref="D91">INDEX(Base_Trimestrielle!$MK$74:$NK$276,MAX(Base_Trimestrielle!$NL$74:$NL$276)-D$77,MATCH($A91,Base_Trimestrielle!$MK$73:$NK$73,0))</f>
        <v>100.55207499114596</v>
      </c>
      <c r="E91" s="2005" cm="1">
        <f t="array" ref="E91">INDEX(Base_Trimestrielle!$MK$74:$NK$276,MAX(Base_Trimestrielle!$NL$74:$NL$276)-E$77,MATCH($A91,Base_Trimestrielle!$MK$73:$NK$73,0))</f>
        <v>100.55207499114596</v>
      </c>
      <c r="F91" s="2005" cm="1">
        <f t="array" ref="F91">INDEX(Base_Trimestrielle!$MK$74:$NK$276,MAX(Base_Trimestrielle!$NL$74:$NL$276)-F$77,MATCH($A91,Base_Trimestrielle!$MK$73:$NK$73,0))</f>
        <v>100.55207499114596</v>
      </c>
      <c r="G91" s="2005" cm="1">
        <f t="array" ref="G91">INDEX(Base_Trimestrielle!$MK$74:$NK$276,MAX(Base_Trimestrielle!$NL$74:$NL$276)-G$77,MATCH($A91,Base_Trimestrielle!$MK$73:$NK$73,0))</f>
        <v>100.55207499114596</v>
      </c>
      <c r="H91" s="2005" cm="1">
        <f t="array" ref="H91">INDEX(Base_Trimestrielle!$MK$74:$NK$276,MAX(Base_Trimestrielle!$NL$74:$NL$276)-H$77,MATCH($A91,Base_Trimestrielle!$MK$73:$NK$73,0))</f>
        <v>108.56735196986415</v>
      </c>
      <c r="I91" s="2005" cm="1">
        <f t="array" ref="I91">INDEX(Base_Trimestrielle!$MK$74:$NK$276,MAX(Base_Trimestrielle!$NL$74:$NL$276)-I$77,MATCH($A91,Base_Trimestrielle!$MK$73:$NK$73,0))</f>
        <v>108.56735196986415</v>
      </c>
      <c r="J91" s="2005" cm="1">
        <f t="array" ref="J91">INDEX(Base_Trimestrielle!$MK$74:$NK$276,MAX(Base_Trimestrielle!$NL$74:$NL$276)-J$77,MATCH($A91,Base_Trimestrielle!$MK$73:$NK$73,0))</f>
        <v>108.57954443860937</v>
      </c>
    </row>
    <row r="92" spans="1:10" ht="20.399999999999999">
      <c r="A92" s="2004" t="s">
        <v>1083</v>
      </c>
      <c r="B92" s="2004">
        <v>1176.1584635580311</v>
      </c>
      <c r="C92" s="2006" cm="1">
        <f t="array" ref="C92">INDEX(Base_Trimestrielle!$MK$74:$NK$276,MAX(Base_Trimestrielle!$NL$74:$NL$276)-C$77,MATCH($A92,Base_Trimestrielle!$MK$73:$NK$73,0))</f>
        <v>126.70878635248681</v>
      </c>
      <c r="D92" s="2006" cm="1">
        <f t="array" ref="D92">INDEX(Base_Trimestrielle!$MK$74:$NK$276,MAX(Base_Trimestrielle!$NL$74:$NL$276)-D$77,MATCH($A92,Base_Trimestrielle!$MK$73:$NK$73,0))</f>
        <v>124.23048429877998</v>
      </c>
      <c r="E92" s="2006" cm="1">
        <f t="array" ref="E92">INDEX(Base_Trimestrielle!$MK$74:$NK$276,MAX(Base_Trimestrielle!$NL$74:$NL$276)-E$77,MATCH($A92,Base_Trimestrielle!$MK$73:$NK$73,0))</f>
        <v>124.19163735970476</v>
      </c>
      <c r="F92" s="2006" cm="1">
        <f t="array" ref="F92">INDEX(Base_Trimestrielle!$MK$74:$NK$276,MAX(Base_Trimestrielle!$NL$74:$NL$276)-F$77,MATCH($A92,Base_Trimestrielle!$MK$73:$NK$73,0))</f>
        <v>124.17221389016716</v>
      </c>
      <c r="G92" s="2006" cm="1">
        <f t="array" ref="G92">INDEX(Base_Trimestrielle!$MK$74:$NK$276,MAX(Base_Trimestrielle!$NL$74:$NL$276)-G$77,MATCH($A92,Base_Trimestrielle!$MK$73:$NK$73,0))</f>
        <v>124.68958987290431</v>
      </c>
      <c r="H92" s="2006" cm="1">
        <f t="array" ref="H92">INDEX(Base_Trimestrielle!$MK$74:$NK$276,MAX(Base_Trimestrielle!$NL$74:$NL$276)-H$77,MATCH($A92,Base_Trimestrielle!$MK$73:$NK$73,0))</f>
        <v>123.54718829486238</v>
      </c>
      <c r="I92" s="2006" cm="1">
        <f t="array" ref="I92">INDEX(Base_Trimestrielle!$MK$74:$NK$276,MAX(Base_Trimestrielle!$NL$74:$NL$276)-I$77,MATCH($A92,Base_Trimestrielle!$MK$73:$NK$73,0))</f>
        <v>123.54718829486238</v>
      </c>
      <c r="J92" s="2006" cm="1">
        <f t="array" ref="J92">INDEX(Base_Trimestrielle!$MK$74:$NK$276,MAX(Base_Trimestrielle!$NL$74:$NL$276)-J$77,MATCH($A92,Base_Trimestrielle!$MK$73:$NK$73,0))</f>
        <v>112.09228706408749</v>
      </c>
    </row>
    <row r="93" spans="1:10" ht="20.399999999999999">
      <c r="A93" s="1990" t="s">
        <v>1084</v>
      </c>
      <c r="B93" s="1990">
        <v>124.53441584955884</v>
      </c>
      <c r="C93" s="2005" cm="1">
        <f t="array" ref="C93">INDEX(Base_Trimestrielle!$MK$74:$NK$276,MAX(Base_Trimestrielle!$NL$74:$NL$276)-C$77,MATCH($A93,Base_Trimestrielle!$MK$73:$NK$73,0))</f>
        <v>90.553930235903337</v>
      </c>
      <c r="D93" s="2005" cm="1">
        <f t="array" ref="D93">INDEX(Base_Trimestrielle!$MK$74:$NK$276,MAX(Base_Trimestrielle!$NL$74:$NL$276)-D$77,MATCH($A93,Base_Trimestrielle!$MK$73:$NK$73,0))</f>
        <v>90.265645975458199</v>
      </c>
      <c r="E93" s="2005" cm="1">
        <f t="array" ref="E93">INDEX(Base_Trimestrielle!$MK$74:$NK$276,MAX(Base_Trimestrielle!$NL$74:$NL$276)-E$77,MATCH($A93,Base_Trimestrielle!$MK$73:$NK$73,0))</f>
        <v>90.197003246239817</v>
      </c>
      <c r="F93" s="2005" cm="1">
        <f t="array" ref="F93">INDEX(Base_Trimestrielle!$MK$74:$NK$276,MAX(Base_Trimestrielle!$NL$74:$NL$276)-F$77,MATCH($A93,Base_Trimestrielle!$MK$73:$NK$73,0))</f>
        <v>90.28109863779396</v>
      </c>
      <c r="G93" s="2005" cm="1">
        <f t="array" ref="G93">INDEX(Base_Trimestrielle!$MK$74:$NK$276,MAX(Base_Trimestrielle!$NL$74:$NL$276)-G$77,MATCH($A93,Base_Trimestrielle!$MK$73:$NK$73,0))</f>
        <v>90.231467691055826</v>
      </c>
      <c r="H93" s="2005" cm="1">
        <f t="array" ref="H93">INDEX(Base_Trimestrielle!$MK$74:$NK$276,MAX(Base_Trimestrielle!$NL$74:$NL$276)-H$77,MATCH($A93,Base_Trimestrielle!$MK$73:$NK$73,0))</f>
        <v>90.268429380786927</v>
      </c>
      <c r="I93" s="2005" cm="1">
        <f t="array" ref="I93">INDEX(Base_Trimestrielle!$MK$74:$NK$276,MAX(Base_Trimestrielle!$NL$74:$NL$276)-I$77,MATCH($A93,Base_Trimestrielle!$MK$73:$NK$73,0))</f>
        <v>90.181736908989251</v>
      </c>
      <c r="J93" s="2005" cm="1">
        <f t="array" ref="J93">INDEX(Base_Trimestrielle!$MK$74:$NK$276,MAX(Base_Trimestrielle!$NL$74:$NL$276)-J$77,MATCH($A93,Base_Trimestrielle!$MK$73:$NK$73,0))</f>
        <v>90.181736908989251</v>
      </c>
    </row>
    <row r="94" spans="1:10">
      <c r="A94" s="2004" t="s">
        <v>1085</v>
      </c>
      <c r="B94" s="2004">
        <v>276.96528114450325</v>
      </c>
      <c r="C94" s="2006" cm="1">
        <f t="array" ref="C94">INDEX(Base_Trimestrielle!$MK$74:$NK$276,MAX(Base_Trimestrielle!$NL$74:$NL$276)-C$77,MATCH($A94,Base_Trimestrielle!$MK$73:$NK$73,0))</f>
        <v>100.11250961352654</v>
      </c>
      <c r="D94" s="2006" cm="1">
        <f t="array" ref="D94">INDEX(Base_Trimestrielle!$MK$74:$NK$276,MAX(Base_Trimestrielle!$NL$74:$NL$276)-D$77,MATCH($A94,Base_Trimestrielle!$MK$73:$NK$73,0))</f>
        <v>101.30317898445293</v>
      </c>
      <c r="E94" s="2006" cm="1">
        <f t="array" ref="E94">INDEX(Base_Trimestrielle!$MK$74:$NK$276,MAX(Base_Trimestrielle!$NL$74:$NL$276)-E$77,MATCH($A94,Base_Trimestrielle!$MK$73:$NK$73,0))</f>
        <v>101.30317898445293</v>
      </c>
      <c r="F94" s="2006" cm="1">
        <f t="array" ref="F94">INDEX(Base_Trimestrielle!$MK$74:$NK$276,MAX(Base_Trimestrielle!$NL$74:$NL$276)-F$77,MATCH($A94,Base_Trimestrielle!$MK$73:$NK$73,0))</f>
        <v>101.30317898445293</v>
      </c>
      <c r="G94" s="2006" cm="1">
        <f t="array" ref="G94">INDEX(Base_Trimestrielle!$MK$74:$NK$276,MAX(Base_Trimestrielle!$NL$74:$NL$276)-G$77,MATCH($A94,Base_Trimestrielle!$MK$73:$NK$73,0))</f>
        <v>101.30317898445293</v>
      </c>
      <c r="H94" s="2006" cm="1">
        <f t="array" ref="H94">INDEX(Base_Trimestrielle!$MK$74:$NK$276,MAX(Base_Trimestrielle!$NL$74:$NL$276)-H$77,MATCH($A94,Base_Trimestrielle!$MK$73:$NK$73,0))</f>
        <v>100.85903640531889</v>
      </c>
      <c r="I94" s="2006" cm="1">
        <f t="array" ref="I94">INDEX(Base_Trimestrielle!$MK$74:$NK$276,MAX(Base_Trimestrielle!$NL$74:$NL$276)-I$77,MATCH($A94,Base_Trimestrielle!$MK$73:$NK$73,0))</f>
        <v>100.85903640531889</v>
      </c>
      <c r="J94" s="2006" cm="1">
        <f t="array" ref="J94">INDEX(Base_Trimestrielle!$MK$74:$NK$276,MAX(Base_Trimestrielle!$NL$74:$NL$276)-J$77,MATCH($A94,Base_Trimestrielle!$MK$73:$NK$73,0))</f>
        <v>100.86877474400202</v>
      </c>
    </row>
    <row r="95" spans="1:10" ht="20.399999999999999">
      <c r="A95" s="1990" t="s">
        <v>1086</v>
      </c>
      <c r="B95" s="1990">
        <v>1324.7793415129042</v>
      </c>
      <c r="C95" s="2005" cm="1">
        <f t="array" ref="C95">INDEX(Base_Trimestrielle!$MK$74:$NK$276,MAX(Base_Trimestrielle!$NL$74:$NL$276)-C$77,MATCH($A95,Base_Trimestrielle!$MK$73:$NK$73,0))</f>
        <v>100.132769453073</v>
      </c>
      <c r="D95" s="2005" cm="1">
        <f t="array" ref="D95">INDEX(Base_Trimestrielle!$MK$74:$NK$276,MAX(Base_Trimestrielle!$NL$74:$NL$276)-D$77,MATCH($A95,Base_Trimestrielle!$MK$73:$NK$73,0))</f>
        <v>100.13276945307304</v>
      </c>
      <c r="E95" s="2005" cm="1">
        <f t="array" ref="E95">INDEX(Base_Trimestrielle!$MK$74:$NK$276,MAX(Base_Trimestrielle!$NL$74:$NL$276)-E$77,MATCH($A95,Base_Trimestrielle!$MK$73:$NK$73,0))</f>
        <v>100.13276945307304</v>
      </c>
      <c r="F95" s="2005" cm="1">
        <f t="array" ref="F95">INDEX(Base_Trimestrielle!$MK$74:$NK$276,MAX(Base_Trimestrielle!$NL$74:$NL$276)-F$77,MATCH($A95,Base_Trimestrielle!$MK$73:$NK$73,0))</f>
        <v>100.13276945307304</v>
      </c>
      <c r="G95" s="2005" cm="1">
        <f t="array" ref="G95">INDEX(Base_Trimestrielle!$MK$74:$NK$276,MAX(Base_Trimestrielle!$NL$74:$NL$276)-G$77,MATCH($A95,Base_Trimestrielle!$MK$73:$NK$73,0))</f>
        <v>100.13276945307304</v>
      </c>
      <c r="H95" s="2005" cm="1">
        <f t="array" ref="H95">INDEX(Base_Trimestrielle!$MK$74:$NK$276,MAX(Base_Trimestrielle!$NL$74:$NL$276)-H$77,MATCH($A95,Base_Trimestrielle!$MK$73:$NK$73,0))</f>
        <v>100.13276945307307</v>
      </c>
      <c r="I95" s="2005" cm="1">
        <f t="array" ref="I95">INDEX(Base_Trimestrielle!$MK$74:$NK$276,MAX(Base_Trimestrielle!$NL$74:$NL$276)-I$77,MATCH($A95,Base_Trimestrielle!$MK$73:$NK$73,0))</f>
        <v>100.13276945307307</v>
      </c>
      <c r="J95" s="2005" cm="1">
        <f t="array" ref="J95">INDEX(Base_Trimestrielle!$MK$74:$NK$276,MAX(Base_Trimestrielle!$NL$74:$NL$276)-J$77,MATCH($A95,Base_Trimestrielle!$MK$73:$NK$73,0))</f>
        <v>100.13276945307307</v>
      </c>
    </row>
    <row r="96" spans="1:10" ht="20.399999999999999">
      <c r="A96" s="2004" t="s">
        <v>1088</v>
      </c>
      <c r="B96" s="2004">
        <v>1142.0238651179175</v>
      </c>
      <c r="C96" s="2006" cm="1">
        <f t="array" ref="C96">INDEX(Base_Trimestrielle!$MK$74:$NK$276,MAX(Base_Trimestrielle!$NL$74:$NL$276)-C$77,MATCH($A96,Base_Trimestrielle!$MK$73:$NK$73,0))</f>
        <v>100.00000000000016</v>
      </c>
      <c r="D96" s="2006" cm="1">
        <f t="array" ref="D96">INDEX(Base_Trimestrielle!$MK$74:$NK$276,MAX(Base_Trimestrielle!$NL$74:$NL$276)-D$77,MATCH($A96,Base_Trimestrielle!$MK$73:$NK$73,0))</f>
        <v>100.00000000000014</v>
      </c>
      <c r="E96" s="2006" cm="1">
        <f t="array" ref="E96">INDEX(Base_Trimestrielle!$MK$74:$NK$276,MAX(Base_Trimestrielle!$NL$74:$NL$276)-E$77,MATCH($A96,Base_Trimestrielle!$MK$73:$NK$73,0))</f>
        <v>100.00000000000014</v>
      </c>
      <c r="F96" s="2006" cm="1">
        <f t="array" ref="F96">INDEX(Base_Trimestrielle!$MK$74:$NK$276,MAX(Base_Trimestrielle!$NL$74:$NL$276)-F$77,MATCH($A96,Base_Trimestrielle!$MK$73:$NK$73,0))</f>
        <v>100.00000000000014</v>
      </c>
      <c r="G96" s="2006" cm="1">
        <f t="array" ref="G96">INDEX(Base_Trimestrielle!$MK$74:$NK$276,MAX(Base_Trimestrielle!$NL$74:$NL$276)-G$77,MATCH($A96,Base_Trimestrielle!$MK$73:$NK$73,0))</f>
        <v>100.00000000000014</v>
      </c>
      <c r="H96" s="2006" cm="1">
        <f t="array" ref="H96">INDEX(Base_Trimestrielle!$MK$74:$NK$276,MAX(Base_Trimestrielle!$NL$74:$NL$276)-H$77,MATCH($A96,Base_Trimestrielle!$MK$73:$NK$73,0))</f>
        <v>99.964548028355907</v>
      </c>
      <c r="I96" s="2006" cm="1">
        <f t="array" ref="I96">INDEX(Base_Trimestrielle!$MK$74:$NK$276,MAX(Base_Trimestrielle!$NL$74:$NL$276)-I$77,MATCH($A96,Base_Trimestrielle!$MK$73:$NK$73,0))</f>
        <v>99.964548028355907</v>
      </c>
      <c r="J96" s="2006" cm="1">
        <f t="array" ref="J96">INDEX(Base_Trimestrielle!$MK$74:$NK$276,MAX(Base_Trimestrielle!$NL$74:$NL$276)-J$77,MATCH($A96,Base_Trimestrielle!$MK$73:$NK$73,0))</f>
        <v>99.377292683249181</v>
      </c>
    </row>
    <row r="97" spans="1:10" ht="20.399999999999999">
      <c r="A97" s="1990" t="s">
        <v>1089</v>
      </c>
      <c r="B97" s="1990">
        <v>1819.7624844761926</v>
      </c>
      <c r="C97" s="2005" cm="1">
        <f t="array" ref="C97">INDEX(Base_Trimestrielle!$MK$74:$NK$276,MAX(Base_Trimestrielle!$NL$74:$NL$276)-C$77,MATCH($A97,Base_Trimestrielle!$MK$73:$NK$73,0))</f>
        <v>100.00000000000011</v>
      </c>
      <c r="D97" s="2005" cm="1">
        <f t="array" ref="D97">INDEX(Base_Trimestrielle!$MK$74:$NK$276,MAX(Base_Trimestrielle!$NL$74:$NL$276)-D$77,MATCH($A97,Base_Trimestrielle!$MK$73:$NK$73,0))</f>
        <v>100.00000000000013</v>
      </c>
      <c r="E97" s="2005" cm="1">
        <f t="array" ref="E97">INDEX(Base_Trimestrielle!$MK$74:$NK$276,MAX(Base_Trimestrielle!$NL$74:$NL$276)-E$77,MATCH($A97,Base_Trimestrielle!$MK$73:$NK$73,0))</f>
        <v>100.00000000000013</v>
      </c>
      <c r="F97" s="2005" cm="1">
        <f t="array" ref="F97">INDEX(Base_Trimestrielle!$MK$74:$NK$276,MAX(Base_Trimestrielle!$NL$74:$NL$276)-F$77,MATCH($A97,Base_Trimestrielle!$MK$73:$NK$73,0))</f>
        <v>100.00000000000013</v>
      </c>
      <c r="G97" s="2005" cm="1">
        <f t="array" ref="G97">INDEX(Base_Trimestrielle!$MK$74:$NK$276,MAX(Base_Trimestrielle!$NL$74:$NL$276)-G$77,MATCH($A97,Base_Trimestrielle!$MK$73:$NK$73,0))</f>
        <v>100.00000000000013</v>
      </c>
      <c r="H97" s="2005" cm="1">
        <f t="array" ref="H97">INDEX(Base_Trimestrielle!$MK$74:$NK$276,MAX(Base_Trimestrielle!$NL$74:$NL$276)-H$77,MATCH($A97,Base_Trimestrielle!$MK$73:$NK$73,0))</f>
        <v>129.51162015428059</v>
      </c>
      <c r="I97" s="2005" cm="1">
        <f t="array" ref="I97">INDEX(Base_Trimestrielle!$MK$74:$NK$276,MAX(Base_Trimestrielle!$NL$74:$NL$276)-I$77,MATCH($A97,Base_Trimestrielle!$MK$73:$NK$73,0))</f>
        <v>129.51162015428059</v>
      </c>
      <c r="J97" s="2005" cm="1">
        <f t="array" ref="J97">INDEX(Base_Trimestrielle!$MK$74:$NK$276,MAX(Base_Trimestrielle!$NL$74:$NL$276)-J$77,MATCH($A97,Base_Trimestrielle!$MK$73:$NK$73,0))</f>
        <v>129.51162015428059</v>
      </c>
    </row>
    <row r="98" spans="1:10" ht="30.6">
      <c r="A98" s="2004" t="s">
        <v>1090</v>
      </c>
      <c r="B98" s="2004">
        <v>297.79239352749192</v>
      </c>
      <c r="C98" s="2006" cm="1">
        <f t="array" ref="C98">INDEX(Base_Trimestrielle!$MK$74:$NK$276,MAX(Base_Trimestrielle!$NL$74:$NL$276)-C$77,MATCH($A98,Base_Trimestrielle!$MK$73:$NK$73,0))</f>
        <v>99.999999999999986</v>
      </c>
      <c r="D98" s="2006" cm="1">
        <f t="array" ref="D98">INDEX(Base_Trimestrielle!$MK$74:$NK$276,MAX(Base_Trimestrielle!$NL$74:$NL$276)-D$77,MATCH($A98,Base_Trimestrielle!$MK$73:$NK$73,0))</f>
        <v>99.999999999999986</v>
      </c>
      <c r="E98" s="2006" cm="1">
        <f t="array" ref="E98">INDEX(Base_Trimestrielle!$MK$74:$NK$276,MAX(Base_Trimestrielle!$NL$74:$NL$276)-E$77,MATCH($A98,Base_Trimestrielle!$MK$73:$NK$73,0))</f>
        <v>99.999999999999986</v>
      </c>
      <c r="F98" s="2006" cm="1">
        <f t="array" ref="F98">INDEX(Base_Trimestrielle!$MK$74:$NK$276,MAX(Base_Trimestrielle!$NL$74:$NL$276)-F$77,MATCH($A98,Base_Trimestrielle!$MK$73:$NK$73,0))</f>
        <v>99.999999999999986</v>
      </c>
      <c r="G98" s="2006" cm="1">
        <f t="array" ref="G98">INDEX(Base_Trimestrielle!$MK$74:$NK$276,MAX(Base_Trimestrielle!$NL$74:$NL$276)-G$77,MATCH($A98,Base_Trimestrielle!$MK$73:$NK$73,0))</f>
        <v>99.999999999999986</v>
      </c>
      <c r="H98" s="2006" cm="1">
        <f t="array" ref="H98">INDEX(Base_Trimestrielle!$MK$74:$NK$276,MAX(Base_Trimestrielle!$NL$74:$NL$276)-H$77,MATCH($A98,Base_Trimestrielle!$MK$73:$NK$73,0))</f>
        <v>100</v>
      </c>
      <c r="I98" s="2006" cm="1">
        <f t="array" ref="I98">INDEX(Base_Trimestrielle!$MK$74:$NK$276,MAX(Base_Trimestrielle!$NL$74:$NL$276)-I$77,MATCH($A98,Base_Trimestrielle!$MK$73:$NK$73,0))</f>
        <v>100</v>
      </c>
      <c r="J98" s="2006" cm="1">
        <f t="array" ref="J98">INDEX(Base_Trimestrielle!$MK$74:$NK$276,MAX(Base_Trimestrielle!$NL$74:$NL$276)-J$77,MATCH($A98,Base_Trimestrielle!$MK$73:$NK$73,0))</f>
        <v>100</v>
      </c>
    </row>
    <row r="99" spans="1:10" ht="20.399999999999999">
      <c r="A99" s="1990" t="s">
        <v>1091</v>
      </c>
      <c r="B99" s="1990"/>
      <c r="C99" s="2005" cm="1">
        <f t="array" ref="C99">INDEX(Base_Trimestrielle!$MK$74:$NK$276,MAX(Base_Trimestrielle!$NL$74:$NL$276)-C$77,MATCH($A99,Base_Trimestrielle!$MK$73:$NK$73,0))</f>
        <v>100</v>
      </c>
      <c r="D99" s="2005" cm="1">
        <f t="array" ref="D99">INDEX(Base_Trimestrielle!$MK$74:$NK$276,MAX(Base_Trimestrielle!$NL$74:$NL$276)-D$77,MATCH($A99,Base_Trimestrielle!$MK$73:$NK$73,0))</f>
        <v>100.00000000000001</v>
      </c>
      <c r="E99" s="2005" cm="1">
        <f t="array" ref="E99">INDEX(Base_Trimestrielle!$MK$74:$NK$276,MAX(Base_Trimestrielle!$NL$74:$NL$276)-E$77,MATCH($A99,Base_Trimestrielle!$MK$73:$NK$73,0))</f>
        <v>100.00000000000001</v>
      </c>
      <c r="F99" s="2005" cm="1">
        <f t="array" ref="F99">INDEX(Base_Trimestrielle!$MK$74:$NK$276,MAX(Base_Trimestrielle!$NL$74:$NL$276)-F$77,MATCH($A99,Base_Trimestrielle!$MK$73:$NK$73,0))</f>
        <v>100.00000000000001</v>
      </c>
      <c r="G99" s="2005" cm="1">
        <f t="array" ref="G99">INDEX(Base_Trimestrielle!$MK$74:$NK$276,MAX(Base_Trimestrielle!$NL$74:$NL$276)-G$77,MATCH($A99,Base_Trimestrielle!$MK$73:$NK$73,0))</f>
        <v>100.00000000000001</v>
      </c>
      <c r="H99" s="2005" cm="1">
        <f t="array" ref="H99">INDEX(Base_Trimestrielle!$MK$74:$NK$276,MAX(Base_Trimestrielle!$NL$74:$NL$276)-H$77,MATCH($A99,Base_Trimestrielle!$MK$73:$NK$73,0))</f>
        <v>100.00000000000001</v>
      </c>
      <c r="I99" s="2005" cm="1">
        <f t="array" ref="I99">INDEX(Base_Trimestrielle!$MK$74:$NK$276,MAX(Base_Trimestrielle!$NL$74:$NL$276)-I$77,MATCH($A99,Base_Trimestrielle!$MK$73:$NK$73,0))</f>
        <v>100.00000000000001</v>
      </c>
      <c r="J99" s="2005" cm="1">
        <f t="array" ref="J99">INDEX(Base_Trimestrielle!$MK$74:$NK$276,MAX(Base_Trimestrielle!$NL$74:$NL$276)-J$77,MATCH($A99,Base_Trimestrielle!$MK$73:$NK$73,0))</f>
        <v>100.00000000000001</v>
      </c>
    </row>
    <row r="100" spans="1:10">
      <c r="A100" s="2007" t="s">
        <v>723</v>
      </c>
      <c r="B100" s="2008">
        <v>10000</v>
      </c>
      <c r="C100" s="2009" cm="1">
        <f t="array" ref="C100">INDEX(Base_Trimestrielle!$MK$74:$NK$276,MAX(Base_Trimestrielle!$NL$74:$NL$276)-C$77,MATCH($A100,Base_Trimestrielle!$MK$73:$NK$73,0))</f>
        <v>113.83994352352801</v>
      </c>
      <c r="D100" s="2009" cm="1">
        <f t="array" ref="D100">INDEX(Base_Trimestrielle!$MK$74:$NK$276,MAX(Base_Trimestrielle!$NL$74:$NL$276)-D$77,MATCH($A100,Base_Trimestrielle!$MK$73:$NK$73,0))</f>
        <v>114.44001048255852</v>
      </c>
      <c r="E100" s="2009" cm="1">
        <f t="array" ref="E100">INDEX(Base_Trimestrielle!$MK$74:$NK$276,MAX(Base_Trimestrielle!$NL$74:$NL$276)-E$77,MATCH($A100,Base_Trimestrielle!$MK$73:$NK$73,0))</f>
        <v>114.44139127642272</v>
      </c>
      <c r="F100" s="2009" cm="1">
        <f t="array" ref="F100">INDEX(Base_Trimestrielle!$MK$74:$NK$276,MAX(Base_Trimestrielle!$NL$74:$NL$276)-F$77,MATCH($A100,Base_Trimestrielle!$MK$73:$NK$73,0))</f>
        <v>114.44334811205503</v>
      </c>
      <c r="G100" s="2009" cm="1">
        <f t="array" ref="G100">INDEX(Base_Trimestrielle!$MK$74:$NK$276,MAX(Base_Trimestrielle!$NL$74:$NL$276)-G$77,MATCH($A100,Base_Trimestrielle!$MK$73:$NK$73,0))</f>
        <v>114.44524326076019</v>
      </c>
      <c r="H100" s="2009" cm="1">
        <f t="array" ref="H100">INDEX(Base_Trimestrielle!$MK$74:$NK$276,MAX(Base_Trimestrielle!$NL$74:$NL$276)-H$77,MATCH($A100,Base_Trimestrielle!$MK$73:$NK$73,0))</f>
        <v>115.96144991186266</v>
      </c>
      <c r="I100" s="2009" cm="1">
        <f t="array" ref="I100">INDEX(Base_Trimestrielle!$MK$74:$NK$276,MAX(Base_Trimestrielle!$NL$74:$NL$276)-I$77,MATCH($A100,Base_Trimestrielle!$MK$73:$NK$73,0))</f>
        <v>116.5462657488124</v>
      </c>
      <c r="J100" s="2009" cm="1">
        <f t="array" ref="J100">INDEX(Base_Trimestrielle!$MK$74:$NK$276,MAX(Base_Trimestrielle!$NL$74:$NL$276)-J$77,MATCH($A100,Base_Trimestrielle!$MK$73:$NK$73,0))</f>
        <v>121.76332517178642</v>
      </c>
    </row>
    <row r="101" spans="1:10">
      <c r="B101" s="1166"/>
    </row>
    <row r="102" spans="1:10">
      <c r="B102" s="1166"/>
      <c r="C102" s="1227">
        <v>7</v>
      </c>
      <c r="D102" s="1227">
        <v>6</v>
      </c>
      <c r="E102" s="1227">
        <v>5</v>
      </c>
      <c r="F102" s="1227">
        <v>4</v>
      </c>
      <c r="G102" s="1227">
        <v>3</v>
      </c>
      <c r="H102" s="1227">
        <v>2</v>
      </c>
      <c r="I102" s="1227">
        <v>1</v>
      </c>
      <c r="J102" s="1227">
        <v>0</v>
      </c>
    </row>
    <row r="103" spans="1:10" ht="21.75" customHeight="1">
      <c r="A103" s="1543" t="s">
        <v>528</v>
      </c>
      <c r="B103" s="1467"/>
      <c r="C103" s="1989" cm="1">
        <f t="array" ref="C103">INDEX(Base_Trimestrielle!$MK$74:$NK$276,MAX(Base_Trimestrielle!$NL$74:$NL$276)-C$102,1)</f>
        <v>44531</v>
      </c>
      <c r="D103" s="1989" cm="1">
        <f t="array" ref="D103">INDEX(Base_Trimestrielle!$MK$74:$NK$276,MAX(Base_Trimestrielle!$NL$74:$NL$276)-D$102,1)</f>
        <v>44621</v>
      </c>
      <c r="E103" s="1989" cm="1">
        <f t="array" ref="E103">INDEX(Base_Trimestrielle!$MK$74:$NK$276,MAX(Base_Trimestrielle!$NL$74:$NL$276)-E$102,1)</f>
        <v>44713</v>
      </c>
      <c r="F103" s="1989" cm="1">
        <f t="array" ref="F103">INDEX(Base_Trimestrielle!$MK$74:$NK$276,MAX(Base_Trimestrielle!$NL$74:$NL$276)-F$102,1)</f>
        <v>44805</v>
      </c>
      <c r="G103" s="1989" cm="1">
        <f t="array" ref="G103">INDEX(Base_Trimestrielle!$MK$74:$NK$276,MAX(Base_Trimestrielle!$NL$74:$NL$276)-G$102,1)</f>
        <v>44896</v>
      </c>
      <c r="H103" s="1989" cm="1">
        <f t="array" ref="H103">INDEX(Base_Trimestrielle!$MK$74:$NK$276,MAX(Base_Trimestrielle!$NL$74:$NL$276)-H$102,1)</f>
        <v>44986</v>
      </c>
      <c r="I103" s="1989" cm="1">
        <f t="array" ref="I103">INDEX(Base_Trimestrielle!$MK$74:$NK$276,MAX(Base_Trimestrielle!$NL$74:$NL$276)-I$102,1)</f>
        <v>45078</v>
      </c>
      <c r="J103" s="1989" cm="1">
        <f t="array" ref="J103">INDEX(Base_Trimestrielle!$MK$74:$NK$276,MAX(Base_Trimestrielle!$NL$74:$NL$276)-J$102,1)</f>
        <v>45170</v>
      </c>
    </row>
    <row r="104" spans="1:10">
      <c r="A104" s="1990" t="s">
        <v>1067</v>
      </c>
      <c r="B104" s="1990"/>
      <c r="C104" s="2005" cm="1">
        <f t="array" ref="C104">INDEX(Base_Trimestrielle!$MK$74:$NK$276,MAX(Base_Trimestrielle!$NL$74:$NL$276)-C$102,MATCH($A104,Base_Trimestrielle!$MK$73:$NK$73,0))</f>
        <v>148.99060539962747</v>
      </c>
      <c r="D104" s="2005" cm="1">
        <f t="array" ref="D104">INDEX(Base_Trimestrielle!$MK$74:$NK$276,MAX(Base_Trimestrielle!$NL$74:$NL$276)-D$102,MATCH($A104,Base_Trimestrielle!$MK$73:$NK$73,0))</f>
        <v>163.08061693459916</v>
      </c>
      <c r="E104" s="2005" cm="1">
        <f t="array" ref="E104">INDEX(Base_Trimestrielle!$MK$74:$NK$276,MAX(Base_Trimestrielle!$NL$74:$NL$276)-E$102,MATCH($A104,Base_Trimestrielle!$MK$73:$NK$73,0))</f>
        <v>184.91792373796059</v>
      </c>
      <c r="F104" s="2005" cm="1">
        <f t="array" ref="F104">INDEX(Base_Trimestrielle!$MK$74:$NK$276,MAX(Base_Trimestrielle!$NL$74:$NL$276)-F$102,MATCH($A104,Base_Trimestrielle!$MK$73:$NK$73,0))</f>
        <v>191.20125615508783</v>
      </c>
      <c r="G104" s="2005" cm="1">
        <f t="array" ref="G104">INDEX(Base_Trimestrielle!$MK$74:$NK$276,MAX(Base_Trimestrielle!$NL$74:$NL$276)-G$102,MATCH($A104,Base_Trimestrielle!$MK$73:$NK$73,0))</f>
        <v>184.83397273105629</v>
      </c>
      <c r="H104" s="2005" cm="1">
        <f t="array" ref="H104">INDEX(Base_Trimestrielle!$MK$74:$NK$276,MAX(Base_Trimestrielle!$NL$74:$NL$276)-H$102,MATCH($A104,Base_Trimestrielle!$MK$73:$NK$73,0))</f>
        <v>185.44910196267048</v>
      </c>
      <c r="I104" s="2005" cm="1">
        <f t="array" ref="I104">INDEX(Base_Trimestrielle!$MK$74:$NK$276,MAX(Base_Trimestrielle!$NL$74:$NL$276)-I$102,MATCH($A104,Base_Trimestrielle!$MK$73:$NK$73,0))</f>
        <v>192.92951298081073</v>
      </c>
      <c r="J104" s="2005" cm="1">
        <f t="array" ref="J104">INDEX(Base_Trimestrielle!$MK$74:$NK$276,MAX(Base_Trimestrielle!$NL$74:$NL$276)-J$102,MATCH($A104,Base_Trimestrielle!$MK$73:$NK$73,0))</f>
        <v>181.15952713730914</v>
      </c>
    </row>
    <row r="105" spans="1:10" ht="20.399999999999999">
      <c r="A105" s="2004" t="s">
        <v>1071</v>
      </c>
      <c r="B105" s="2004"/>
      <c r="C105" s="2006" cm="1">
        <f t="array" ref="C105">INDEX(Base_Trimestrielle!$MK$74:$NK$276,MAX(Base_Trimestrielle!$NL$74:$NL$276)-C$102,MATCH($A105,Base_Trimestrielle!$MK$73:$NK$73,0))</f>
        <v>139.01732832451941</v>
      </c>
      <c r="D105" s="2006" cm="1">
        <f t="array" ref="D105">INDEX(Base_Trimestrielle!$MK$74:$NK$276,MAX(Base_Trimestrielle!$NL$74:$NL$276)-D$102,MATCH($A105,Base_Trimestrielle!$MK$73:$NK$73,0))</f>
        <v>144.07301397063281</v>
      </c>
      <c r="E105" s="2006" cm="1">
        <f t="array" ref="E105">INDEX(Base_Trimestrielle!$MK$74:$NK$276,MAX(Base_Trimestrielle!$NL$74:$NL$276)-E$102,MATCH($A105,Base_Trimestrielle!$MK$73:$NK$73,0))</f>
        <v>148.4409782102511</v>
      </c>
      <c r="F105" s="2006" cm="1">
        <f t="array" ref="F105">INDEX(Base_Trimestrielle!$MK$74:$NK$276,MAX(Base_Trimestrielle!$NL$74:$NL$276)-F$102,MATCH($A105,Base_Trimestrielle!$MK$73:$NK$73,0))</f>
        <v>165.37471658011734</v>
      </c>
      <c r="G105" s="2006" cm="1">
        <f t="array" ref="G105">INDEX(Base_Trimestrielle!$MK$74:$NK$276,MAX(Base_Trimestrielle!$NL$74:$NL$276)-G$102,MATCH($A105,Base_Trimestrielle!$MK$73:$NK$73,0))</f>
        <v>164.05640703732243</v>
      </c>
      <c r="H105" s="2006" cm="1">
        <f t="array" ref="H105">INDEX(Base_Trimestrielle!$MK$74:$NK$276,MAX(Base_Trimestrielle!$NL$74:$NL$276)-H$102,MATCH($A105,Base_Trimestrielle!$MK$73:$NK$73,0))</f>
        <v>172.33449359840873</v>
      </c>
      <c r="I105" s="2006" cm="1">
        <f t="array" ref="I105">INDEX(Base_Trimestrielle!$MK$74:$NK$276,MAX(Base_Trimestrielle!$NL$74:$NL$276)-I$102,MATCH($A105,Base_Trimestrielle!$MK$73:$NK$73,0))</f>
        <v>180.88913239674687</v>
      </c>
      <c r="J105" s="2006" cm="1">
        <f t="array" ref="J105">INDEX(Base_Trimestrielle!$MK$74:$NK$276,MAX(Base_Trimestrielle!$NL$74:$NL$276)-J$102,MATCH($A105,Base_Trimestrielle!$MK$73:$NK$73,0))</f>
        <v>181.28448020674099</v>
      </c>
    </row>
    <row r="106" spans="1:10" ht="20.399999999999999">
      <c r="A106" s="1990" t="s">
        <v>1072</v>
      </c>
      <c r="B106" s="1990"/>
      <c r="C106" s="2005" cm="1">
        <f t="array" ref="C106">INDEX(Base_Trimestrielle!$MK$74:$NK$276,MAX(Base_Trimestrielle!$NL$74:$NL$276)-C$102,MATCH($A106,Base_Trimestrielle!$MK$73:$NK$73,0))</f>
        <v>155.99999999999991</v>
      </c>
      <c r="D106" s="2005" cm="1">
        <f t="array" ref="D106">INDEX(Base_Trimestrielle!$MK$74:$NK$276,MAX(Base_Trimestrielle!$NL$74:$NL$276)-D$102,MATCH($A106,Base_Trimestrielle!$MK$73:$NK$73,0))</f>
        <v>157.33333333333326</v>
      </c>
      <c r="E106" s="2005" cm="1">
        <f t="array" ref="E106">INDEX(Base_Trimestrielle!$MK$74:$NK$276,MAX(Base_Trimestrielle!$NL$74:$NL$276)-E$102,MATCH($A106,Base_Trimestrielle!$MK$73:$NK$73,0))</f>
        <v>159.99999999999986</v>
      </c>
      <c r="F106" s="2005" cm="1">
        <f t="array" ref="F106">INDEX(Base_Trimestrielle!$MK$74:$NK$276,MAX(Base_Trimestrielle!$NL$74:$NL$276)-F$102,MATCH($A106,Base_Trimestrielle!$MK$73:$NK$73,0))</f>
        <v>159.99999999999986</v>
      </c>
      <c r="G106" s="2005" cm="1">
        <f t="array" ref="G106">INDEX(Base_Trimestrielle!$MK$74:$NK$276,MAX(Base_Trimestrielle!$NL$74:$NL$276)-G$102,MATCH($A106,Base_Trimestrielle!$MK$73:$NK$73,0))</f>
        <v>159.99999999999986</v>
      </c>
      <c r="H106" s="2005" cm="1">
        <f t="array" ref="H106">INDEX(Base_Trimestrielle!$MK$74:$NK$276,MAX(Base_Trimestrielle!$NL$74:$NL$276)-H$102,MATCH($A106,Base_Trimestrielle!$MK$73:$NK$73,0))</f>
        <v>159.99999999999986</v>
      </c>
      <c r="I106" s="2005" cm="1">
        <f t="array" ref="I106">INDEX(Base_Trimestrielle!$MK$74:$NK$276,MAX(Base_Trimestrielle!$NL$74:$NL$276)-I$102,MATCH($A106,Base_Trimestrielle!$MK$73:$NK$73,0))</f>
        <v>159.99999999999986</v>
      </c>
      <c r="J106" s="2005" cm="1">
        <f t="array" ref="J106">INDEX(Base_Trimestrielle!$MK$74:$NK$276,MAX(Base_Trimestrielle!$NL$74:$NL$276)-J$102,MATCH($A106,Base_Trimestrielle!$MK$73:$NK$73,0))</f>
        <v>159.99999999999986</v>
      </c>
    </row>
    <row r="107" spans="1:10" ht="20.399999999999999">
      <c r="A107" s="2004" t="s">
        <v>1073</v>
      </c>
      <c r="B107" s="2004"/>
      <c r="C107" s="2006" cm="1">
        <f t="array" ref="C107">INDEX(Base_Trimestrielle!$MK$74:$NK$276,MAX(Base_Trimestrielle!$NL$74:$NL$276)-C$102,MATCH($A107,Base_Trimestrielle!$MK$73:$NK$73,0))</f>
        <v>122.19817479588319</v>
      </c>
      <c r="D107" s="2006" cm="1">
        <f t="array" ref="D107">INDEX(Base_Trimestrielle!$MK$74:$NK$276,MAX(Base_Trimestrielle!$NL$74:$NL$276)-D$102,MATCH($A107,Base_Trimestrielle!$MK$73:$NK$73,0))</f>
        <v>132.05907206539132</v>
      </c>
      <c r="E107" s="2006" cm="1">
        <f t="array" ref="E107">INDEX(Base_Trimestrielle!$MK$74:$NK$276,MAX(Base_Trimestrielle!$NL$74:$NL$276)-E$102,MATCH($A107,Base_Trimestrielle!$MK$73:$NK$73,0))</f>
        <v>134.94224473003592</v>
      </c>
      <c r="F107" s="2006" cm="1">
        <f t="array" ref="F107">INDEX(Base_Trimestrielle!$MK$74:$NK$276,MAX(Base_Trimestrielle!$NL$74:$NL$276)-F$102,MATCH($A107,Base_Trimestrielle!$MK$73:$NK$73,0))</f>
        <v>138.62806110200322</v>
      </c>
      <c r="G107" s="2006" cm="1">
        <f t="array" ref="G107">INDEX(Base_Trimestrielle!$MK$74:$NK$276,MAX(Base_Trimestrielle!$NL$74:$NL$276)-G$102,MATCH($A107,Base_Trimestrielle!$MK$73:$NK$73,0))</f>
        <v>132.65018373644946</v>
      </c>
      <c r="H107" s="2006" cm="1">
        <f t="array" ref="H107">INDEX(Base_Trimestrielle!$MK$74:$NK$276,MAX(Base_Trimestrielle!$NL$74:$NL$276)-H$102,MATCH($A107,Base_Trimestrielle!$MK$73:$NK$73,0))</f>
        <v>136.47146675096886</v>
      </c>
      <c r="I107" s="2006" cm="1">
        <f t="array" ref="I107">INDEX(Base_Trimestrielle!$MK$74:$NK$276,MAX(Base_Trimestrielle!$NL$74:$NL$276)-I$102,MATCH($A107,Base_Trimestrielle!$MK$73:$NK$73,0))</f>
        <v>135.17309667885354</v>
      </c>
      <c r="J107" s="2006" cm="1">
        <f t="array" ref="J107">INDEX(Base_Trimestrielle!$MK$74:$NK$276,MAX(Base_Trimestrielle!$NL$74:$NL$276)-J$102,MATCH($A107,Base_Trimestrielle!$MK$73:$NK$73,0))</f>
        <v>239.55148475970464</v>
      </c>
    </row>
    <row r="108" spans="1:10">
      <c r="A108" s="1990" t="s">
        <v>1074</v>
      </c>
      <c r="B108" s="1990"/>
      <c r="C108" s="2005" cm="1">
        <f t="array" ref="C108">INDEX(Base_Trimestrielle!$MK$74:$NK$276,MAX(Base_Trimestrielle!$NL$74:$NL$276)-C$102,MATCH($A108,Base_Trimestrielle!$MK$73:$NK$73,0))</f>
        <v>100.00000000000011</v>
      </c>
      <c r="D108" s="2005" cm="1">
        <f t="array" ref="D108">INDEX(Base_Trimestrielle!$MK$74:$NK$276,MAX(Base_Trimestrielle!$NL$74:$NL$276)-D$102,MATCH($A108,Base_Trimestrielle!$MK$73:$NK$73,0))</f>
        <v>100.00065465091683</v>
      </c>
      <c r="E108" s="2005" cm="1">
        <f t="array" ref="E108">INDEX(Base_Trimestrielle!$MK$74:$NK$276,MAX(Base_Trimestrielle!$NL$74:$NL$276)-E$102,MATCH($A108,Base_Trimestrielle!$MK$73:$NK$73,0))</f>
        <v>100.00065465091683</v>
      </c>
      <c r="F108" s="2005" cm="1">
        <f t="array" ref="F108">INDEX(Base_Trimestrielle!$MK$74:$NK$276,MAX(Base_Trimestrielle!$NL$74:$NL$276)-F$102,MATCH($A108,Base_Trimestrielle!$MK$73:$NK$73,0))</f>
        <v>100.00065465091683</v>
      </c>
      <c r="G108" s="2005" cm="1">
        <f t="array" ref="G108">INDEX(Base_Trimestrielle!$MK$74:$NK$276,MAX(Base_Trimestrielle!$NL$74:$NL$276)-G$102,MATCH($A108,Base_Trimestrielle!$MK$73:$NK$73,0))</f>
        <v>100.00065465091683</v>
      </c>
      <c r="H108" s="2005" cm="1">
        <f t="array" ref="H108">INDEX(Base_Trimestrielle!$MK$74:$NK$276,MAX(Base_Trimestrielle!$NL$74:$NL$276)-H$102,MATCH($A108,Base_Trimestrielle!$MK$73:$NK$73,0))</f>
        <v>100.00065465091681</v>
      </c>
      <c r="I108" s="2005" cm="1">
        <f t="array" ref="I108">INDEX(Base_Trimestrielle!$MK$74:$NK$276,MAX(Base_Trimestrielle!$NL$74:$NL$276)-I$102,MATCH($A108,Base_Trimestrielle!$MK$73:$NK$73,0))</f>
        <v>100.00065465091681</v>
      </c>
      <c r="J108" s="2005" cm="1">
        <f t="array" ref="J108">INDEX(Base_Trimestrielle!$MK$74:$NK$276,MAX(Base_Trimestrielle!$NL$74:$NL$276)-J$102,MATCH($A108,Base_Trimestrielle!$MK$73:$NK$73,0))</f>
        <v>99.989210142220131</v>
      </c>
    </row>
    <row r="109" spans="1:10" ht="20.399999999999999">
      <c r="A109" s="2004" t="s">
        <v>1075</v>
      </c>
      <c r="B109" s="2004"/>
      <c r="C109" s="2006" cm="1">
        <f t="array" ref="C109">INDEX(Base_Trimestrielle!$MK$74:$NK$276,MAX(Base_Trimestrielle!$NL$74:$NL$276)-C$102,MATCH($A109,Base_Trimestrielle!$MK$73:$NK$73,0))</f>
        <v>134.56975965235952</v>
      </c>
      <c r="D109" s="2006" cm="1">
        <f t="array" ref="D109">INDEX(Base_Trimestrielle!$MK$74:$NK$276,MAX(Base_Trimestrielle!$NL$74:$NL$276)-D$102,MATCH($A109,Base_Trimestrielle!$MK$73:$NK$73,0))</f>
        <v>134.56975965235958</v>
      </c>
      <c r="E109" s="2006" cm="1">
        <f t="array" ref="E109">INDEX(Base_Trimestrielle!$MK$74:$NK$276,MAX(Base_Trimestrielle!$NL$74:$NL$276)-E$102,MATCH($A109,Base_Trimestrielle!$MK$73:$NK$73,0))</f>
        <v>134.56975965235958</v>
      </c>
      <c r="F109" s="2006" cm="1">
        <f t="array" ref="F109">INDEX(Base_Trimestrielle!$MK$74:$NK$276,MAX(Base_Trimestrielle!$NL$74:$NL$276)-F$102,MATCH($A109,Base_Trimestrielle!$MK$73:$NK$73,0))</f>
        <v>181.34312248667365</v>
      </c>
      <c r="G109" s="2006" cm="1">
        <f t="array" ref="G109">INDEX(Base_Trimestrielle!$MK$74:$NK$276,MAX(Base_Trimestrielle!$NL$74:$NL$276)-G$102,MATCH($A109,Base_Trimestrielle!$MK$73:$NK$73,0))</f>
        <v>101.26140661236944</v>
      </c>
      <c r="H109" s="2006" cm="1">
        <f t="array" ref="H109">INDEX(Base_Trimestrielle!$MK$74:$NK$276,MAX(Base_Trimestrielle!$NL$74:$NL$276)-H$102,MATCH($A109,Base_Trimestrielle!$MK$73:$NK$73,0))</f>
        <v>101.2614066124502</v>
      </c>
      <c r="I109" s="2006" cm="1">
        <f t="array" ref="I109">INDEX(Base_Trimestrielle!$MK$74:$NK$276,MAX(Base_Trimestrielle!$NL$74:$NL$276)-I$102,MATCH($A109,Base_Trimestrielle!$MK$73:$NK$73,0))</f>
        <v>101.2614066124502</v>
      </c>
      <c r="J109" s="2006" cm="1">
        <f t="array" ref="J109">INDEX(Base_Trimestrielle!$MK$74:$NK$276,MAX(Base_Trimestrielle!$NL$74:$NL$276)-J$102,MATCH($A109,Base_Trimestrielle!$MK$73:$NK$73,0))</f>
        <v>101.2614066124502</v>
      </c>
    </row>
    <row r="110" spans="1:10" ht="20.399999999999999">
      <c r="A110" s="1990" t="s">
        <v>1076</v>
      </c>
      <c r="B110" s="1990"/>
      <c r="C110" s="2005" cm="1">
        <f t="array" ref="C110">INDEX(Base_Trimestrielle!$MK$74:$NK$276,MAX(Base_Trimestrielle!$NL$74:$NL$276)-C$102,MATCH($A110,Base_Trimestrielle!$MK$73:$NK$73,0))</f>
        <v>100.29950046728163</v>
      </c>
      <c r="D110" s="2005" cm="1">
        <f t="array" ref="D110">INDEX(Base_Trimestrielle!$MK$74:$NK$276,MAX(Base_Trimestrielle!$NL$74:$NL$276)-D$102,MATCH($A110,Base_Trimestrielle!$MK$73:$NK$73,0))</f>
        <v>100.3627705304438</v>
      </c>
      <c r="E110" s="2005" cm="1">
        <f t="array" ref="E110">INDEX(Base_Trimestrielle!$MK$74:$NK$276,MAX(Base_Trimestrielle!$NL$74:$NL$276)-E$102,MATCH($A110,Base_Trimestrielle!$MK$73:$NK$73,0))</f>
        <v>100.48931065676811</v>
      </c>
      <c r="F110" s="2005" cm="1">
        <f t="array" ref="F110">INDEX(Base_Trimestrielle!$MK$74:$NK$276,MAX(Base_Trimestrielle!$NL$74:$NL$276)-F$102,MATCH($A110,Base_Trimestrielle!$MK$73:$NK$73,0))</f>
        <v>100.08999602021392</v>
      </c>
      <c r="G110" s="2005" cm="1">
        <f t="array" ref="G110">INDEX(Base_Trimestrielle!$MK$74:$NK$276,MAX(Base_Trimestrielle!$NL$74:$NL$276)-G$102,MATCH($A110,Base_Trimestrielle!$MK$73:$NK$73,0))</f>
        <v>100.08999602021392</v>
      </c>
      <c r="H110" s="2005" cm="1">
        <f t="array" ref="H110">INDEX(Base_Trimestrielle!$MK$74:$NK$276,MAX(Base_Trimestrielle!$NL$74:$NL$276)-H$102,MATCH($A110,Base_Trimestrielle!$MK$73:$NK$73,0))</f>
        <v>99.94720577109365</v>
      </c>
      <c r="I110" s="2005" cm="1">
        <f t="array" ref="I110">INDEX(Base_Trimestrielle!$MK$74:$NK$276,MAX(Base_Trimestrielle!$NL$74:$NL$276)-I$102,MATCH($A110,Base_Trimestrielle!$MK$73:$NK$73,0))</f>
        <v>99.94720577109365</v>
      </c>
      <c r="J110" s="2005" cm="1">
        <f t="array" ref="J110">INDEX(Base_Trimestrielle!$MK$74:$NK$276,MAX(Base_Trimestrielle!$NL$74:$NL$276)-J$102,MATCH($A110,Base_Trimestrielle!$MK$73:$NK$73,0))</f>
        <v>99.94720577109365</v>
      </c>
    </row>
    <row r="111" spans="1:10" ht="20.399999999999999">
      <c r="A111" s="2004" t="s">
        <v>1077</v>
      </c>
      <c r="B111" s="2004"/>
      <c r="C111" s="2006" cm="1">
        <f t="array" ref="C111">INDEX(Base_Trimestrielle!$MK$74:$NK$276,MAX(Base_Trimestrielle!$NL$74:$NL$276)-C$102,MATCH($A111,Base_Trimestrielle!$MK$73:$NK$73,0))</f>
        <v>104.37005097956207</v>
      </c>
      <c r="D111" s="2006" cm="1">
        <f t="array" ref="D111">INDEX(Base_Trimestrielle!$MK$74:$NK$276,MAX(Base_Trimestrielle!$NL$74:$NL$276)-D$102,MATCH($A111,Base_Trimestrielle!$MK$73:$NK$73,0))</f>
        <v>104.35461790372415</v>
      </c>
      <c r="E111" s="2006" cm="1">
        <f t="array" ref="E111">INDEX(Base_Trimestrielle!$MK$74:$NK$276,MAX(Base_Trimestrielle!$NL$74:$NL$276)-E$102,MATCH($A111,Base_Trimestrielle!$MK$73:$NK$73,0))</f>
        <v>104.35461790372415</v>
      </c>
      <c r="F111" s="2006" cm="1">
        <f t="array" ref="F111">INDEX(Base_Trimestrielle!$MK$74:$NK$276,MAX(Base_Trimestrielle!$NL$74:$NL$276)-F$102,MATCH($A111,Base_Trimestrielle!$MK$73:$NK$73,0))</f>
        <v>104.35461790372415</v>
      </c>
      <c r="G111" s="2006" cm="1">
        <f t="array" ref="G111">INDEX(Base_Trimestrielle!$MK$74:$NK$276,MAX(Base_Trimestrielle!$NL$74:$NL$276)-G$102,MATCH($A111,Base_Trimestrielle!$MK$73:$NK$73,0))</f>
        <v>100.01070944793751</v>
      </c>
      <c r="H111" s="2006" cm="1">
        <f t="array" ref="H111">INDEX(Base_Trimestrielle!$MK$74:$NK$276,MAX(Base_Trimestrielle!$NL$74:$NL$276)-H$102,MATCH($A111,Base_Trimestrielle!$MK$73:$NK$73,0))</f>
        <v>99.624105419119161</v>
      </c>
      <c r="I111" s="2006" cm="1">
        <f t="array" ref="I111">INDEX(Base_Trimestrielle!$MK$74:$NK$276,MAX(Base_Trimestrielle!$NL$74:$NL$276)-I$102,MATCH($A111,Base_Trimestrielle!$MK$73:$NK$73,0))</f>
        <v>99.850548769862584</v>
      </c>
      <c r="J111" s="2006" cm="1">
        <f t="array" ref="J111">INDEX(Base_Trimestrielle!$MK$74:$NK$276,MAX(Base_Trimestrielle!$NL$74:$NL$276)-J$102,MATCH($A111,Base_Trimestrielle!$MK$73:$NK$73,0))</f>
        <v>99.860768180618436</v>
      </c>
    </row>
    <row r="112" spans="1:10" ht="40.799999999999997">
      <c r="A112" s="1990" t="s">
        <v>1078</v>
      </c>
      <c r="B112" s="1990"/>
      <c r="C112" s="2005" cm="1">
        <f t="array" ref="C112">INDEX(Base_Trimestrielle!$MK$74:$NK$276,MAX(Base_Trimestrielle!$NL$74:$NL$276)-C$102,MATCH($A112,Base_Trimestrielle!$MK$73:$NK$73,0))</f>
        <v>105.17662066385091</v>
      </c>
      <c r="D112" s="2005" cm="1">
        <f t="array" ref="D112">INDEX(Base_Trimestrielle!$MK$74:$NK$276,MAX(Base_Trimestrielle!$NL$74:$NL$276)-D$102,MATCH($A112,Base_Trimestrielle!$MK$73:$NK$73,0))</f>
        <v>115.09799658584342</v>
      </c>
      <c r="E112" s="2005" cm="1">
        <f t="array" ref="E112">INDEX(Base_Trimestrielle!$MK$74:$NK$276,MAX(Base_Trimestrielle!$NL$74:$NL$276)-E$102,MATCH($A112,Base_Trimestrielle!$MK$73:$NK$73,0))</f>
        <v>115.09799658584342</v>
      </c>
      <c r="F112" s="2005" cm="1">
        <f t="array" ref="F112">INDEX(Base_Trimestrielle!$MK$74:$NK$276,MAX(Base_Trimestrielle!$NL$74:$NL$276)-F$102,MATCH($A112,Base_Trimestrielle!$MK$73:$NK$73,0))</f>
        <v>115.09799658584342</v>
      </c>
      <c r="G112" s="2005" cm="1">
        <f t="array" ref="G112">INDEX(Base_Trimestrielle!$MK$74:$NK$276,MAX(Base_Trimestrielle!$NL$74:$NL$276)-G$102,MATCH($A112,Base_Trimestrielle!$MK$73:$NK$73,0))</f>
        <v>115.09799658584342</v>
      </c>
      <c r="H112" s="2005" cm="1">
        <f t="array" ref="H112">INDEX(Base_Trimestrielle!$MK$74:$NK$276,MAX(Base_Trimestrielle!$NL$74:$NL$276)-H$102,MATCH($A112,Base_Trimestrielle!$MK$73:$NK$73,0))</f>
        <v>115.09799658584345</v>
      </c>
      <c r="I112" s="2005" cm="1">
        <f t="array" ref="I112">INDEX(Base_Trimestrielle!$MK$74:$NK$276,MAX(Base_Trimestrielle!$NL$74:$NL$276)-I$102,MATCH($A112,Base_Trimestrielle!$MK$73:$NK$73,0))</f>
        <v>115.09799658584345</v>
      </c>
      <c r="J112" s="2005" cm="1">
        <f t="array" ref="J112">INDEX(Base_Trimestrielle!$MK$74:$NK$276,MAX(Base_Trimestrielle!$NL$74:$NL$276)-J$102,MATCH($A112,Base_Trimestrielle!$MK$73:$NK$73,0))</f>
        <v>115.09799658584345</v>
      </c>
    </row>
    <row r="113" spans="1:10" ht="30.6">
      <c r="A113" s="2004" t="s">
        <v>1079</v>
      </c>
      <c r="B113" s="2004"/>
      <c r="C113" s="2006" cm="1">
        <f t="array" ref="C113">INDEX(Base_Trimestrielle!$MK$74:$NK$276,MAX(Base_Trimestrielle!$NL$74:$NL$276)-C$102,MATCH($A113,Base_Trimestrielle!$MK$73:$NK$73,0))</f>
        <v>100.00000000000017</v>
      </c>
      <c r="D113" s="2006" cm="1">
        <f t="array" ref="D113">INDEX(Base_Trimestrielle!$MK$74:$NK$276,MAX(Base_Trimestrielle!$NL$74:$NL$276)-D$102,MATCH($A113,Base_Trimestrielle!$MK$73:$NK$73,0))</f>
        <v>101.21804768649631</v>
      </c>
      <c r="E113" s="2006" cm="1">
        <f t="array" ref="E113">INDEX(Base_Trimestrielle!$MK$74:$NK$276,MAX(Base_Trimestrielle!$NL$74:$NL$276)-E$102,MATCH($A113,Base_Trimestrielle!$MK$73:$NK$73,0))</f>
        <v>103.65414305948853</v>
      </c>
      <c r="F113" s="2006" cm="1">
        <f t="array" ref="F113">INDEX(Base_Trimestrielle!$MK$74:$NK$276,MAX(Base_Trimestrielle!$NL$74:$NL$276)-F$102,MATCH($A113,Base_Trimestrielle!$MK$73:$NK$73,0))</f>
        <v>103.65414305948853</v>
      </c>
      <c r="G113" s="2006" cm="1">
        <f t="array" ref="G113">INDEX(Base_Trimestrielle!$MK$74:$NK$276,MAX(Base_Trimestrielle!$NL$74:$NL$276)-G$102,MATCH($A113,Base_Trimestrielle!$MK$73:$NK$73,0))</f>
        <v>103.65414305948853</v>
      </c>
      <c r="H113" s="2006" cm="1">
        <f t="array" ref="H113">INDEX(Base_Trimestrielle!$MK$74:$NK$276,MAX(Base_Trimestrielle!$NL$74:$NL$276)-H$102,MATCH($A113,Base_Trimestrielle!$MK$73:$NK$73,0))</f>
        <v>103.65414305957231</v>
      </c>
      <c r="I113" s="2006" cm="1">
        <f t="array" ref="I113">INDEX(Base_Trimestrielle!$MK$74:$NK$276,MAX(Base_Trimestrielle!$NL$74:$NL$276)-I$102,MATCH($A113,Base_Trimestrielle!$MK$73:$NK$73,0))</f>
        <v>103.65414305957231</v>
      </c>
      <c r="J113" s="2006" cm="1">
        <f t="array" ref="J113">INDEX(Base_Trimestrielle!$MK$74:$NK$276,MAX(Base_Trimestrielle!$NL$74:$NL$276)-J$102,MATCH($A113,Base_Trimestrielle!$MK$73:$NK$73,0))</f>
        <v>103.65414305957231</v>
      </c>
    </row>
    <row r="114" spans="1:10" ht="20.399999999999999">
      <c r="A114" s="1990" t="s">
        <v>1080</v>
      </c>
      <c r="B114" s="1990"/>
      <c r="C114" s="2005" cm="1">
        <f t="array" ref="C114">INDEX(Base_Trimestrielle!$MK$74:$NK$276,MAX(Base_Trimestrielle!$NL$74:$NL$276)-C$102,MATCH($A114,Base_Trimestrielle!$MK$73:$NK$73,0))</f>
        <v>115.49877460662391</v>
      </c>
      <c r="D114" s="2005" cm="1">
        <f t="array" ref="D114">INDEX(Base_Trimestrielle!$MK$74:$NK$276,MAX(Base_Trimestrielle!$NL$74:$NL$276)-D$102,MATCH($A114,Base_Trimestrielle!$MK$73:$NK$73,0))</f>
        <v>115.87724161659708</v>
      </c>
      <c r="E114" s="2005" cm="1">
        <f t="array" ref="E114">INDEX(Base_Trimestrielle!$MK$74:$NK$276,MAX(Base_Trimestrielle!$NL$74:$NL$276)-E$102,MATCH($A114,Base_Trimestrielle!$MK$73:$NK$73,0))</f>
        <v>116.28619644734303</v>
      </c>
      <c r="F114" s="2005" cm="1">
        <f t="array" ref="F114">INDEX(Base_Trimestrielle!$MK$74:$NK$276,MAX(Base_Trimestrielle!$NL$74:$NL$276)-F$102,MATCH($A114,Base_Trimestrielle!$MK$73:$NK$73,0))</f>
        <v>113.34630183820379</v>
      </c>
      <c r="G114" s="2005" cm="1">
        <f t="array" ref="G114">INDEX(Base_Trimestrielle!$MK$74:$NK$276,MAX(Base_Trimestrielle!$NL$74:$NL$276)-G$102,MATCH($A114,Base_Trimestrielle!$MK$73:$NK$73,0))</f>
        <v>113.34630183820379</v>
      </c>
      <c r="H114" s="2005" cm="1">
        <f t="array" ref="H114">INDEX(Base_Trimestrielle!$MK$74:$NK$276,MAX(Base_Trimestrielle!$NL$74:$NL$276)-H$102,MATCH($A114,Base_Trimestrielle!$MK$73:$NK$73,0))</f>
        <v>113.25646998473957</v>
      </c>
      <c r="I114" s="2005" cm="1">
        <f t="array" ref="I114">INDEX(Base_Trimestrielle!$MK$74:$NK$276,MAX(Base_Trimestrielle!$NL$74:$NL$276)-I$102,MATCH($A114,Base_Trimestrielle!$MK$73:$NK$73,0))</f>
        <v>175.5956960708983</v>
      </c>
      <c r="J114" s="2005" cm="1">
        <f t="array" ref="J114">INDEX(Base_Trimestrielle!$MK$74:$NK$276,MAX(Base_Trimestrielle!$NL$74:$NL$276)-J$102,MATCH($A114,Base_Trimestrielle!$MK$73:$NK$73,0))</f>
        <v>200.13788742603765</v>
      </c>
    </row>
    <row r="115" spans="1:10" ht="30.6">
      <c r="A115" s="2004" t="s">
        <v>1081</v>
      </c>
      <c r="B115" s="2004"/>
      <c r="C115" s="2006" cm="1">
        <f t="array" ref="C115">INDEX(Base_Trimestrielle!$MK$74:$NK$276,MAX(Base_Trimestrielle!$NL$74:$NL$276)-C$102,MATCH($A115,Base_Trimestrielle!$MK$73:$NK$73,0))</f>
        <v>109.07011196196162</v>
      </c>
      <c r="D115" s="2006" cm="1">
        <f t="array" ref="D115">INDEX(Base_Trimestrielle!$MK$74:$NK$276,MAX(Base_Trimestrielle!$NL$74:$NL$276)-D$102,MATCH($A115,Base_Trimestrielle!$MK$73:$NK$73,0))</f>
        <v>108.82991243413933</v>
      </c>
      <c r="E115" s="2006" cm="1">
        <f t="array" ref="E115">INDEX(Base_Trimestrielle!$MK$74:$NK$276,MAX(Base_Trimestrielle!$NL$74:$NL$276)-E$102,MATCH($A115,Base_Trimestrielle!$MK$73:$NK$73,0))</f>
        <v>111.72982942654124</v>
      </c>
      <c r="F115" s="2006" cm="1">
        <f t="array" ref="F115">INDEX(Base_Trimestrielle!$MK$74:$NK$276,MAX(Base_Trimestrielle!$NL$74:$NL$276)-F$102,MATCH($A115,Base_Trimestrielle!$MK$73:$NK$73,0))</f>
        <v>111.72982942654124</v>
      </c>
      <c r="G115" s="2006" cm="1">
        <f t="array" ref="G115">INDEX(Base_Trimestrielle!$MK$74:$NK$276,MAX(Base_Trimestrielle!$NL$74:$NL$276)-G$102,MATCH($A115,Base_Trimestrielle!$MK$73:$NK$73,0))</f>
        <v>91.344419906738977</v>
      </c>
      <c r="H115" s="2006" cm="1">
        <f t="array" ref="H115">INDEX(Base_Trimestrielle!$MK$74:$NK$276,MAX(Base_Trimestrielle!$NL$74:$NL$276)-H$102,MATCH($A115,Base_Trimestrielle!$MK$73:$NK$73,0))</f>
        <v>109.42678018724067</v>
      </c>
      <c r="I115" s="2006" cm="1">
        <f t="array" ref="I115">INDEX(Base_Trimestrielle!$MK$74:$NK$276,MAX(Base_Trimestrielle!$NL$74:$NL$276)-I$102,MATCH($A115,Base_Trimestrielle!$MK$73:$NK$73,0))</f>
        <v>111.08781966653486</v>
      </c>
      <c r="J115" s="2006" cm="1">
        <f t="array" ref="J115">INDEX(Base_Trimestrielle!$MK$74:$NK$276,MAX(Base_Trimestrielle!$NL$74:$NL$276)-J$102,MATCH($A115,Base_Trimestrielle!$MK$73:$NK$73,0))</f>
        <v>269.81702108253143</v>
      </c>
    </row>
    <row r="116" spans="1:10" ht="20.399999999999999">
      <c r="A116" s="1990" t="s">
        <v>1082</v>
      </c>
      <c r="B116" s="1990"/>
      <c r="C116" s="2005" cm="1">
        <f t="array" ref="C116">INDEX(Base_Trimestrielle!$MK$74:$NK$276,MAX(Base_Trimestrielle!$NL$74:$NL$276)-C$102,MATCH($A116,Base_Trimestrielle!$MK$73:$NK$73,0))</f>
        <v>108.57954443860937</v>
      </c>
      <c r="D116" s="2005" cm="1">
        <f t="array" ref="D116">INDEX(Base_Trimestrielle!$MK$74:$NK$276,MAX(Base_Trimestrielle!$NL$74:$NL$276)-D$102,MATCH($A116,Base_Trimestrielle!$MK$73:$NK$73,0))</f>
        <v>130.17690541158541</v>
      </c>
      <c r="E116" s="2005" cm="1">
        <f t="array" ref="E116">INDEX(Base_Trimestrielle!$MK$74:$NK$276,MAX(Base_Trimestrielle!$NL$74:$NL$276)-E$102,MATCH($A116,Base_Trimestrielle!$MK$73:$NK$73,0))</f>
        <v>140.74446660044615</v>
      </c>
      <c r="F116" s="2005" cm="1">
        <f t="array" ref="F116">INDEX(Base_Trimestrielle!$MK$74:$NK$276,MAX(Base_Trimestrielle!$NL$74:$NL$276)-F$102,MATCH($A116,Base_Trimestrielle!$MK$73:$NK$73,0))</f>
        <v>135.92143888739156</v>
      </c>
      <c r="G116" s="2005" cm="1">
        <f t="array" ref="G116">INDEX(Base_Trimestrielle!$MK$74:$NK$276,MAX(Base_Trimestrielle!$NL$74:$NL$276)-G$102,MATCH($A116,Base_Trimestrielle!$MK$73:$NK$73,0))</f>
        <v>135.71122341959449</v>
      </c>
      <c r="H116" s="2005" cm="1">
        <f t="array" ref="H116">INDEX(Base_Trimestrielle!$MK$74:$NK$276,MAX(Base_Trimestrielle!$NL$74:$NL$276)-H$102,MATCH($A116,Base_Trimestrielle!$MK$73:$NK$73,0))</f>
        <v>126.56908947932352</v>
      </c>
      <c r="I116" s="2005" cm="1">
        <f t="array" ref="I116">INDEX(Base_Trimestrielle!$MK$74:$NK$276,MAX(Base_Trimestrielle!$NL$74:$NL$276)-I$102,MATCH($A116,Base_Trimestrielle!$MK$73:$NK$73,0))</f>
        <v>129.17693302246218</v>
      </c>
      <c r="J116" s="2005" cm="1">
        <f t="array" ref="J116">INDEX(Base_Trimestrielle!$MK$74:$NK$276,MAX(Base_Trimestrielle!$NL$74:$NL$276)-J$102,MATCH($A116,Base_Trimestrielle!$MK$73:$NK$73,0))</f>
        <v>129.2720630717989</v>
      </c>
    </row>
    <row r="117" spans="1:10" ht="20.399999999999999">
      <c r="A117" s="2004" t="s">
        <v>1083</v>
      </c>
      <c r="B117" s="2004"/>
      <c r="C117" s="2006" cm="1">
        <f t="array" ref="C117">INDEX(Base_Trimestrielle!$MK$74:$NK$276,MAX(Base_Trimestrielle!$NL$74:$NL$276)-C$102,MATCH($A117,Base_Trimestrielle!$MK$73:$NK$73,0))</f>
        <v>113.72389189396689</v>
      </c>
      <c r="D117" s="2006" cm="1">
        <f t="array" ref="D117">INDEX(Base_Trimestrielle!$MK$74:$NK$276,MAX(Base_Trimestrielle!$NL$74:$NL$276)-D$102,MATCH($A117,Base_Trimestrielle!$MK$73:$NK$73,0))</f>
        <v>114.51417790939297</v>
      </c>
      <c r="E117" s="2006" cm="1">
        <f t="array" ref="E117">INDEX(Base_Trimestrielle!$MK$74:$NK$276,MAX(Base_Trimestrielle!$NL$74:$NL$276)-E$102,MATCH($A117,Base_Trimestrielle!$MK$73:$NK$73,0))</f>
        <v>112.28991705295492</v>
      </c>
      <c r="F117" s="2006" cm="1">
        <f t="array" ref="F117">INDEX(Base_Trimestrielle!$MK$74:$NK$276,MAX(Base_Trimestrielle!$NL$74:$NL$276)-F$102,MATCH($A117,Base_Trimestrielle!$MK$73:$NK$73,0))</f>
        <v>127.95425996125658</v>
      </c>
      <c r="G117" s="2006" cm="1">
        <f t="array" ref="G117">INDEX(Base_Trimestrielle!$MK$74:$NK$276,MAX(Base_Trimestrielle!$NL$74:$NL$276)-G$102,MATCH($A117,Base_Trimestrielle!$MK$73:$NK$73,0))</f>
        <v>280.94503707816625</v>
      </c>
      <c r="H117" s="2006" cm="1">
        <f t="array" ref="H117">INDEX(Base_Trimestrielle!$MK$74:$NK$276,MAX(Base_Trimestrielle!$NL$74:$NL$276)-H$102,MATCH($A117,Base_Trimestrielle!$MK$73:$NK$73,0))</f>
        <v>233.13534657913254</v>
      </c>
      <c r="I117" s="2006" cm="1">
        <f t="array" ref="I117">INDEX(Base_Trimestrielle!$MK$74:$NK$276,MAX(Base_Trimestrielle!$NL$74:$NL$276)-I$102,MATCH($A117,Base_Trimestrielle!$MK$73:$NK$73,0))</f>
        <v>249.92951759185877</v>
      </c>
      <c r="J117" s="2006" cm="1">
        <f t="array" ref="J117">INDEX(Base_Trimestrielle!$MK$74:$NK$276,MAX(Base_Trimestrielle!$NL$74:$NL$276)-J$102,MATCH($A117,Base_Trimestrielle!$MK$73:$NK$73,0))</f>
        <v>274.3734727451041</v>
      </c>
    </row>
    <row r="118" spans="1:10" ht="20.399999999999999">
      <c r="A118" s="1990" t="s">
        <v>1084</v>
      </c>
      <c r="B118" s="1990"/>
      <c r="C118" s="2005" cm="1">
        <f t="array" ref="C118">INDEX(Base_Trimestrielle!$MK$74:$NK$276,MAX(Base_Trimestrielle!$NL$74:$NL$276)-C$102,MATCH($A118,Base_Trimestrielle!$MK$73:$NK$73,0))</f>
        <v>90.181736908989251</v>
      </c>
      <c r="D118" s="2005" cm="1">
        <f t="array" ref="D118">INDEX(Base_Trimestrielle!$MK$74:$NK$276,MAX(Base_Trimestrielle!$NL$74:$NL$276)-D$102,MATCH($A118,Base_Trimestrielle!$MK$73:$NK$73,0))</f>
        <v>93.731961884589097</v>
      </c>
      <c r="E118" s="2005" cm="1">
        <f t="array" ref="E118">INDEX(Base_Trimestrielle!$MK$74:$NK$276,MAX(Base_Trimestrielle!$NL$74:$NL$276)-E$102,MATCH($A118,Base_Trimestrielle!$MK$73:$NK$73,0))</f>
        <v>94.717997189985084</v>
      </c>
      <c r="F118" s="2005" cm="1">
        <f t="array" ref="F118">INDEX(Base_Trimestrielle!$MK$74:$NK$276,MAX(Base_Trimestrielle!$NL$74:$NL$276)-F$102,MATCH($A118,Base_Trimestrielle!$MK$73:$NK$73,0))</f>
        <v>94.717997189985084</v>
      </c>
      <c r="G118" s="2005" cm="1">
        <f t="array" ref="G118">INDEX(Base_Trimestrielle!$MK$74:$NK$276,MAX(Base_Trimestrielle!$NL$74:$NL$276)-G$102,MATCH($A118,Base_Trimestrielle!$MK$73:$NK$73,0))</f>
        <v>94.717997189985084</v>
      </c>
      <c r="H118" s="2005" cm="1">
        <f t="array" ref="H118">INDEX(Base_Trimestrielle!$MK$74:$NK$276,MAX(Base_Trimestrielle!$NL$74:$NL$276)-H$102,MATCH($A118,Base_Trimestrielle!$MK$73:$NK$73,0))</f>
        <v>94.677754704105354</v>
      </c>
      <c r="I118" s="2005" cm="1">
        <f t="array" ref="I118">INDEX(Base_Trimestrielle!$MK$74:$NK$276,MAX(Base_Trimestrielle!$NL$74:$NL$276)-I$102,MATCH($A118,Base_Trimestrielle!$MK$73:$NK$73,0))</f>
        <v>96.545261157095354</v>
      </c>
      <c r="J118" s="2005" cm="1">
        <f t="array" ref="J118">INDEX(Base_Trimestrielle!$MK$74:$NK$276,MAX(Base_Trimestrielle!$NL$74:$NL$276)-J$102,MATCH($A118,Base_Trimestrielle!$MK$73:$NK$73,0))</f>
        <v>96.569475537039551</v>
      </c>
    </row>
    <row r="119" spans="1:10">
      <c r="A119" s="2004" t="s">
        <v>1085</v>
      </c>
      <c r="B119" s="2004"/>
      <c r="C119" s="2006" cm="1">
        <f t="array" ref="C119">INDEX(Base_Trimestrielle!$MK$74:$NK$276,MAX(Base_Trimestrielle!$NL$74:$NL$276)-C$102,MATCH($A119,Base_Trimestrielle!$MK$73:$NK$73,0))</f>
        <v>107.81453380146387</v>
      </c>
      <c r="D119" s="2006" cm="1">
        <f t="array" ref="D119">INDEX(Base_Trimestrielle!$MK$74:$NK$276,MAX(Base_Trimestrielle!$NL$74:$NL$276)-D$102,MATCH($A119,Base_Trimestrielle!$MK$73:$NK$73,0))</f>
        <v>115.98754326110765</v>
      </c>
      <c r="E119" s="2006" cm="1">
        <f t="array" ref="E119">INDEX(Base_Trimestrielle!$MK$74:$NK$276,MAX(Base_Trimestrielle!$NL$74:$NL$276)-E$102,MATCH($A119,Base_Trimestrielle!$MK$73:$NK$73,0))</f>
        <v>116.72472967568002</v>
      </c>
      <c r="F119" s="2006" cm="1">
        <f t="array" ref="F119">INDEX(Base_Trimestrielle!$MK$74:$NK$276,MAX(Base_Trimestrielle!$NL$74:$NL$276)-F$102,MATCH($A119,Base_Trimestrielle!$MK$73:$NK$73,0))</f>
        <v>113.86646305321543</v>
      </c>
      <c r="G119" s="2006" cm="1">
        <f t="array" ref="G119">INDEX(Base_Trimestrielle!$MK$74:$NK$276,MAX(Base_Trimestrielle!$NL$74:$NL$276)-G$102,MATCH($A119,Base_Trimestrielle!$MK$73:$NK$73,0))</f>
        <v>113.41871097281577</v>
      </c>
      <c r="H119" s="2006" cm="1">
        <f t="array" ref="H119">INDEX(Base_Trimestrielle!$MK$74:$NK$276,MAX(Base_Trimestrielle!$NL$74:$NL$276)-H$102,MATCH($A119,Base_Trimestrielle!$MK$73:$NK$73,0))</f>
        <v>114.48096940358101</v>
      </c>
      <c r="I119" s="2006" cm="1">
        <f t="array" ref="I119">INDEX(Base_Trimestrielle!$MK$74:$NK$276,MAX(Base_Trimestrielle!$NL$74:$NL$276)-I$102,MATCH($A119,Base_Trimestrielle!$MK$73:$NK$73,0))</f>
        <v>114.459054908764</v>
      </c>
      <c r="J119" s="2006" cm="1">
        <f t="array" ref="J119">INDEX(Base_Trimestrielle!$MK$74:$NK$276,MAX(Base_Trimestrielle!$NL$74:$NL$276)-J$102,MATCH($A119,Base_Trimestrielle!$MK$73:$NK$73,0))</f>
        <v>114.43568564900062</v>
      </c>
    </row>
    <row r="120" spans="1:10" ht="20.399999999999999">
      <c r="A120" s="1990" t="s">
        <v>1086</v>
      </c>
      <c r="B120" s="1990"/>
      <c r="C120" s="2005" cm="1">
        <f t="array" ref="C120">INDEX(Base_Trimestrielle!$MK$74:$NK$276,MAX(Base_Trimestrielle!$NL$74:$NL$276)-C$102,MATCH($A120,Base_Trimestrielle!$MK$73:$NK$73,0))</f>
        <v>101.62750815011087</v>
      </c>
      <c r="D120" s="2005" cm="1">
        <f t="array" ref="D120">INDEX(Base_Trimestrielle!$MK$74:$NK$276,MAX(Base_Trimestrielle!$NL$74:$NL$276)-D$102,MATCH($A120,Base_Trimestrielle!$MK$73:$NK$73,0))</f>
        <v>102.60092434024683</v>
      </c>
      <c r="E120" s="2005" cm="1">
        <f t="array" ref="E120">INDEX(Base_Trimestrielle!$MK$74:$NK$276,MAX(Base_Trimestrielle!$NL$74:$NL$276)-E$102,MATCH($A120,Base_Trimestrielle!$MK$73:$NK$73,0))</f>
        <v>102.68790412504296</v>
      </c>
      <c r="F120" s="2005" cm="1">
        <f t="array" ref="F120">INDEX(Base_Trimestrielle!$MK$74:$NK$276,MAX(Base_Trimestrielle!$NL$74:$NL$276)-F$102,MATCH($A120,Base_Trimestrielle!$MK$73:$NK$73,0))</f>
        <v>103.27612425977642</v>
      </c>
      <c r="G120" s="2005" cm="1">
        <f t="array" ref="G120">INDEX(Base_Trimestrielle!$MK$74:$NK$276,MAX(Base_Trimestrielle!$NL$74:$NL$276)-G$102,MATCH($A120,Base_Trimestrielle!$MK$73:$NK$73,0))</f>
        <v>103.27612425977642</v>
      </c>
      <c r="H120" s="2005" cm="1">
        <f t="array" ref="H120">INDEX(Base_Trimestrielle!$MK$74:$NK$276,MAX(Base_Trimestrielle!$NL$74:$NL$276)-H$102,MATCH($A120,Base_Trimestrielle!$MK$73:$NK$73,0))</f>
        <v>104.35960355406276</v>
      </c>
      <c r="I120" s="2005" cm="1">
        <f t="array" ref="I120">INDEX(Base_Trimestrielle!$MK$74:$NK$276,MAX(Base_Trimestrielle!$NL$74:$NL$276)-I$102,MATCH($A120,Base_Trimestrielle!$MK$73:$NK$73,0))</f>
        <v>104.35960355406276</v>
      </c>
      <c r="J120" s="2005" cm="1">
        <f t="array" ref="J120">INDEX(Base_Trimestrielle!$MK$74:$NK$276,MAX(Base_Trimestrielle!$NL$74:$NL$276)-J$102,MATCH($A120,Base_Trimestrielle!$MK$73:$NK$73,0))</f>
        <v>104.35960355406276</v>
      </c>
    </row>
    <row r="121" spans="1:10" ht="20.399999999999999">
      <c r="A121" s="2004" t="s">
        <v>1088</v>
      </c>
      <c r="B121" s="2004"/>
      <c r="C121" s="2006" cm="1">
        <f t="array" ref="C121">INDEX(Base_Trimestrielle!$MK$74:$NK$276,MAX(Base_Trimestrielle!$NL$74:$NL$276)-C$102,MATCH($A121,Base_Trimestrielle!$MK$73:$NK$73,0))</f>
        <v>103.88942465484942</v>
      </c>
      <c r="D121" s="2006" cm="1">
        <f t="array" ref="D121">INDEX(Base_Trimestrielle!$MK$74:$NK$276,MAX(Base_Trimestrielle!$NL$74:$NL$276)-D$102,MATCH($A121,Base_Trimestrielle!$MK$73:$NK$73,0))</f>
        <v>104.21933450980033</v>
      </c>
      <c r="E121" s="2006" cm="1">
        <f t="array" ref="E121">INDEX(Base_Trimestrielle!$MK$74:$NK$276,MAX(Base_Trimestrielle!$NL$74:$NL$276)-E$102,MATCH($A121,Base_Trimestrielle!$MK$73:$NK$73,0))</f>
        <v>104.33110278992874</v>
      </c>
      <c r="F121" s="2006" cm="1">
        <f t="array" ref="F121">INDEX(Base_Trimestrielle!$MK$74:$NK$276,MAX(Base_Trimestrielle!$NL$74:$NL$276)-F$102,MATCH($A121,Base_Trimestrielle!$MK$73:$NK$73,0))</f>
        <v>102.98512035867947</v>
      </c>
      <c r="G121" s="2006" cm="1">
        <f t="array" ref="G121">INDEX(Base_Trimestrielle!$MK$74:$NK$276,MAX(Base_Trimestrielle!$NL$74:$NL$276)-G$102,MATCH($A121,Base_Trimestrielle!$MK$73:$NK$73,0))</f>
        <v>100.73355721093445</v>
      </c>
      <c r="H121" s="2006" cm="1">
        <f t="array" ref="H121">INDEX(Base_Trimestrielle!$MK$74:$NK$276,MAX(Base_Trimestrielle!$NL$74:$NL$276)-H$102,MATCH($A121,Base_Trimestrielle!$MK$73:$NK$73,0))</f>
        <v>103.89082840607622</v>
      </c>
      <c r="I121" s="2006" cm="1">
        <f t="array" ref="I121">INDEX(Base_Trimestrielle!$MK$74:$NK$276,MAX(Base_Trimestrielle!$NL$74:$NL$276)-I$102,MATCH($A121,Base_Trimestrielle!$MK$73:$NK$73,0))</f>
        <v>91.619567653981576</v>
      </c>
      <c r="J121" s="2006" cm="1">
        <f t="array" ref="J121">INDEX(Base_Trimestrielle!$MK$74:$NK$276,MAX(Base_Trimestrielle!$NL$74:$NL$276)-J$102,MATCH($A121,Base_Trimestrielle!$MK$73:$NK$73,0))</f>
        <v>91.548679272845447</v>
      </c>
    </row>
    <row r="122" spans="1:10" ht="20.399999999999999">
      <c r="A122" s="1990" t="s">
        <v>1089</v>
      </c>
      <c r="B122" s="1990"/>
      <c r="C122" s="2005" cm="1">
        <f t="array" ref="C122">INDEX(Base_Trimestrielle!$MK$74:$NK$276,MAX(Base_Trimestrielle!$NL$74:$NL$276)-C$102,MATCH($A122,Base_Trimestrielle!$MK$73:$NK$73,0))</f>
        <v>129.51162015428059</v>
      </c>
      <c r="D122" s="2005" cm="1">
        <f t="array" ref="D122">INDEX(Base_Trimestrielle!$MK$74:$NK$276,MAX(Base_Trimestrielle!$NL$74:$NL$276)-D$102,MATCH($A122,Base_Trimestrielle!$MK$73:$NK$73,0))</f>
        <v>148.33551693595305</v>
      </c>
      <c r="E122" s="2005" cm="1">
        <f t="array" ref="E122">INDEX(Base_Trimestrielle!$MK$74:$NK$276,MAX(Base_Trimestrielle!$NL$74:$NL$276)-E$102,MATCH($A122,Base_Trimestrielle!$MK$73:$NK$73,0))</f>
        <v>148.33551693595305</v>
      </c>
      <c r="F122" s="2005" cm="1">
        <f t="array" ref="F122">INDEX(Base_Trimestrielle!$MK$74:$NK$276,MAX(Base_Trimestrielle!$NL$74:$NL$276)-F$102,MATCH($A122,Base_Trimestrielle!$MK$73:$NK$73,0))</f>
        <v>148.33551693595305</v>
      </c>
      <c r="G122" s="2005" cm="1">
        <f t="array" ref="G122">INDEX(Base_Trimestrielle!$MK$74:$NK$276,MAX(Base_Trimestrielle!$NL$74:$NL$276)-G$102,MATCH($A122,Base_Trimestrielle!$MK$73:$NK$73,0))</f>
        <v>148.33551693595305</v>
      </c>
      <c r="H122" s="2005" cm="1">
        <f t="array" ref="H122">INDEX(Base_Trimestrielle!$MK$74:$NK$276,MAX(Base_Trimestrielle!$NL$74:$NL$276)-H$102,MATCH($A122,Base_Trimestrielle!$MK$73:$NK$73,0))</f>
        <v>148.33551693595314</v>
      </c>
      <c r="I122" s="2005" cm="1">
        <f t="array" ref="I122">INDEX(Base_Trimestrielle!$MK$74:$NK$276,MAX(Base_Trimestrielle!$NL$74:$NL$276)-I$102,MATCH($A122,Base_Trimestrielle!$MK$73:$NK$73,0))</f>
        <v>141.7931376608401</v>
      </c>
      <c r="J122" s="2005" cm="1">
        <f t="array" ref="J122">INDEX(Base_Trimestrielle!$MK$74:$NK$276,MAX(Base_Trimestrielle!$NL$74:$NL$276)-J$102,MATCH($A122,Base_Trimestrielle!$MK$73:$NK$73,0))</f>
        <v>131.01745414888916</v>
      </c>
    </row>
    <row r="123" spans="1:10" ht="30.6">
      <c r="A123" s="2004" t="s">
        <v>1090</v>
      </c>
      <c r="B123" s="2004"/>
      <c r="C123" s="2006" cm="1">
        <f t="array" ref="C123">INDEX(Base_Trimestrielle!$MK$74:$NK$276,MAX(Base_Trimestrielle!$NL$74:$NL$276)-C$102,MATCH($A123,Base_Trimestrielle!$MK$73:$NK$73,0))</f>
        <v>100</v>
      </c>
      <c r="D123" s="2006" cm="1">
        <f t="array" ref="D123">INDEX(Base_Trimestrielle!$MK$74:$NK$276,MAX(Base_Trimestrielle!$NL$74:$NL$276)-D$102,MATCH($A123,Base_Trimestrielle!$MK$73:$NK$73,0))</f>
        <v>100.00000000000001</v>
      </c>
      <c r="E123" s="2006" cm="1">
        <f t="array" ref="E123">INDEX(Base_Trimestrielle!$MK$74:$NK$276,MAX(Base_Trimestrielle!$NL$74:$NL$276)-E$102,MATCH($A123,Base_Trimestrielle!$MK$73:$NK$73,0))</f>
        <v>100.00000000000001</v>
      </c>
      <c r="F123" s="2006" cm="1">
        <f t="array" ref="F123">INDEX(Base_Trimestrielle!$MK$74:$NK$276,MAX(Base_Trimestrielle!$NL$74:$NL$276)-F$102,MATCH($A123,Base_Trimestrielle!$MK$73:$NK$73,0))</f>
        <v>100.00000000000001</v>
      </c>
      <c r="G123" s="2006" cm="1">
        <f t="array" ref="G123">INDEX(Base_Trimestrielle!$MK$74:$NK$276,MAX(Base_Trimestrielle!$NL$74:$NL$276)-G$102,MATCH($A123,Base_Trimestrielle!$MK$73:$NK$73,0))</f>
        <v>100.00000000000001</v>
      </c>
      <c r="H123" s="2006" cm="1">
        <f t="array" ref="H123">INDEX(Base_Trimestrielle!$MK$74:$NK$276,MAX(Base_Trimestrielle!$NL$74:$NL$276)-H$102,MATCH($A123,Base_Trimestrielle!$MK$73:$NK$73,0))</f>
        <v>100.00000000000007</v>
      </c>
      <c r="I123" s="2006" cm="1">
        <f t="array" ref="I123">INDEX(Base_Trimestrielle!$MK$74:$NK$276,MAX(Base_Trimestrielle!$NL$74:$NL$276)-I$102,MATCH($A123,Base_Trimestrielle!$MK$73:$NK$73,0))</f>
        <v>100.00000000000007</v>
      </c>
      <c r="J123" s="2006" cm="1">
        <f t="array" ref="J123">INDEX(Base_Trimestrielle!$MK$74:$NK$276,MAX(Base_Trimestrielle!$NL$74:$NL$276)-J$102,MATCH($A123,Base_Trimestrielle!$MK$73:$NK$73,0))</f>
        <v>100.00000000000007</v>
      </c>
    </row>
    <row r="124" spans="1:10" ht="20.399999999999999">
      <c r="A124" s="1990" t="s">
        <v>1091</v>
      </c>
      <c r="B124" s="1990"/>
      <c r="C124" s="2005" cm="1">
        <f t="array" ref="C124">INDEX(Base_Trimestrielle!$MK$74:$NK$276,MAX(Base_Trimestrielle!$NL$74:$NL$276)-C$102,MATCH($A124,Base_Trimestrielle!$MK$73:$NK$73,0))</f>
        <v>100.00000000000001</v>
      </c>
      <c r="D124" s="2005" cm="1">
        <f t="array" ref="D124">INDEX(Base_Trimestrielle!$MK$74:$NK$276,MAX(Base_Trimestrielle!$NL$74:$NL$276)-D$102,MATCH($A124,Base_Trimestrielle!$MK$73:$NK$73,0))</f>
        <v>100.00000000000004</v>
      </c>
      <c r="E124" s="2005" cm="1">
        <f t="array" ref="E124">INDEX(Base_Trimestrielle!$MK$74:$NK$276,MAX(Base_Trimestrielle!$NL$74:$NL$276)-E$102,MATCH($A124,Base_Trimestrielle!$MK$73:$NK$73,0))</f>
        <v>100.00000000000004</v>
      </c>
      <c r="F124" s="2005" cm="1">
        <f t="array" ref="F124">INDEX(Base_Trimestrielle!$MK$74:$NK$276,MAX(Base_Trimestrielle!$NL$74:$NL$276)-F$102,MATCH($A124,Base_Trimestrielle!$MK$73:$NK$73,0))</f>
        <v>100.00000000000004</v>
      </c>
      <c r="G124" s="2005" cm="1">
        <f t="array" ref="G124">INDEX(Base_Trimestrielle!$MK$74:$NK$276,MAX(Base_Trimestrielle!$NL$74:$NL$276)-G$102,MATCH($A124,Base_Trimestrielle!$MK$73:$NK$73,0))</f>
        <v>100.00000000000004</v>
      </c>
      <c r="H124" s="2005" cm="1">
        <f t="array" ref="H124">INDEX(Base_Trimestrielle!$MK$74:$NK$276,MAX(Base_Trimestrielle!$NL$74:$NL$276)-H$102,MATCH($A124,Base_Trimestrielle!$MK$73:$NK$73,0))</f>
        <v>100.00000000000006</v>
      </c>
      <c r="I124" s="2005" cm="1">
        <f t="array" ref="I124">INDEX(Base_Trimestrielle!$MK$74:$NK$276,MAX(Base_Trimestrielle!$NL$74:$NL$276)-I$102,MATCH($A124,Base_Trimestrielle!$MK$73:$NK$73,0))</f>
        <v>100.00000000000006</v>
      </c>
      <c r="J124" s="2005" cm="1">
        <f t="array" ref="J124">INDEX(Base_Trimestrielle!$MK$74:$NK$276,MAX(Base_Trimestrielle!$NL$74:$NL$276)-J$102,MATCH($A124,Base_Trimestrielle!$MK$73:$NK$73,0))</f>
        <v>100.00000000000006</v>
      </c>
    </row>
    <row r="125" spans="1:10">
      <c r="A125" s="2007" t="s">
        <v>723</v>
      </c>
      <c r="B125" s="2008"/>
      <c r="C125" s="2009" cm="1">
        <f t="array" ref="C125">INDEX(Base_Trimestrielle!$MK$74:$NK$276,MAX(Base_Trimestrielle!$NL$74:$NL$276)-C$102,MATCH($A125,Base_Trimestrielle!$MK$73:$NK$73,0))</f>
        <v>125.19138774583635</v>
      </c>
      <c r="D125" s="2009" cm="1">
        <f t="array" ref="D125">INDEX(Base_Trimestrielle!$MK$74:$NK$276,MAX(Base_Trimestrielle!$NL$74:$NL$276)-D$102,MATCH($A125,Base_Trimestrielle!$MK$73:$NK$73,0))</f>
        <v>130.30599520079269</v>
      </c>
      <c r="E125" s="2009" cm="1">
        <f t="array" ref="E125">INDEX(Base_Trimestrielle!$MK$74:$NK$276,MAX(Base_Trimestrielle!$NL$74:$NL$276)-E$102,MATCH($A125,Base_Trimestrielle!$MK$73:$NK$73,0))</f>
        <v>133.71976441007652</v>
      </c>
      <c r="F125" s="2009" cm="1">
        <f t="array" ref="F125">INDEX(Base_Trimestrielle!$MK$74:$NK$276,MAX(Base_Trimestrielle!$NL$74:$NL$276)-F$102,MATCH($A125,Base_Trimestrielle!$MK$73:$NK$73,0))</f>
        <v>142.41359103794704</v>
      </c>
      <c r="G125" s="2009" cm="1">
        <f t="array" ref="G125">INDEX(Base_Trimestrielle!$MK$74:$NK$276,MAX(Base_Trimestrielle!$NL$74:$NL$276)-G$102,MATCH($A125,Base_Trimestrielle!$MK$73:$NK$73,0))</f>
        <v>140.06324054375355</v>
      </c>
      <c r="H125" s="2009" cm="1">
        <f t="array" ref="H125">INDEX(Base_Trimestrielle!$MK$74:$NK$276,MAX(Base_Trimestrielle!$NL$74:$NL$276)-H$102,MATCH($A125,Base_Trimestrielle!$MK$73:$NK$73,0))</f>
        <v>145.21060880695899</v>
      </c>
      <c r="I125" s="2009" cm="1">
        <f t="array" ref="I125">INDEX(Base_Trimestrielle!$MK$74:$NK$276,MAX(Base_Trimestrielle!$NL$74:$NL$276)-I$102,MATCH($A125,Base_Trimestrielle!$MK$73:$NK$73,0))</f>
        <v>149.83441534500247</v>
      </c>
      <c r="J125" s="2009" cm="1">
        <f t="array" ref="J125">INDEX(Base_Trimestrielle!$MK$74:$NK$276,MAX(Base_Trimestrielle!$NL$74:$NL$276)-J$102,MATCH($A125,Base_Trimestrielle!$MK$73:$NK$73,0))</f>
        <v>160.21520815883616</v>
      </c>
    </row>
  </sheetData>
  <pageMargins left="0.70866141732283472" right="0.70866141732283472" top="0.74803149606299213" bottom="0.74803149606299213" header="0.31496062992125984" footer="0.31496062992125984"/>
  <pageSetup paperSize="9" scale="63" firstPageNumber="42" orientation="portrait" r:id="rId1"/>
  <headerFooter>
    <oddFooter>&amp;L&amp;8Bulletin trimestriel de conjoncture, 4e trimestre 2023</oddFooter>
  </headerFooter>
  <rowBreaks count="2" manualBreakCount="2">
    <brk id="43" max="9" man="1"/>
    <brk id="73"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8">
    <tabColor rgb="FF00B050"/>
  </sheetPr>
  <dimension ref="A1:Q270"/>
  <sheetViews>
    <sheetView view="pageBreakPreview" topLeftCell="A239" zoomScaleSheetLayoutView="100" workbookViewId="0">
      <selection activeCell="K50" sqref="K50"/>
    </sheetView>
  </sheetViews>
  <sheetFormatPr baseColWidth="10" defaultColWidth="11.44140625" defaultRowHeight="12.3"/>
  <cols>
    <col min="1" max="1" width="35.27734375" style="415" customWidth="1"/>
    <col min="2" max="2" width="8.1640625" style="415" bestFit="1" customWidth="1"/>
    <col min="3" max="3" width="7.83203125" style="415" bestFit="1" customWidth="1"/>
    <col min="4" max="4" width="13.1640625" style="415" bestFit="1" customWidth="1"/>
    <col min="5" max="5" width="10.71875" style="415" bestFit="1" customWidth="1"/>
    <col min="6" max="7" width="12.71875" style="415" bestFit="1" customWidth="1"/>
    <col min="8" max="9" width="9.83203125" style="415" bestFit="1" customWidth="1"/>
    <col min="10" max="10" width="8.44140625" style="415" bestFit="1" customWidth="1"/>
    <col min="11" max="11" width="8.27734375" style="415" customWidth="1"/>
    <col min="12" max="12" width="7.83203125" style="415" customWidth="1"/>
    <col min="13" max="13" width="8.44140625" style="415" customWidth="1"/>
    <col min="14" max="14" width="6.83203125" style="415" customWidth="1"/>
    <col min="15" max="15" width="6.44140625" style="415" customWidth="1"/>
    <col min="16" max="16" width="7.83203125" style="415" customWidth="1"/>
    <col min="17" max="17" width="10.83203125" style="415" customWidth="1"/>
    <col min="18" max="18" width="6.5546875" style="415" customWidth="1"/>
    <col min="19" max="19" width="6" style="415" customWidth="1"/>
    <col min="20" max="20" width="7.1640625" style="415" customWidth="1"/>
    <col min="21" max="21" width="6.1640625" style="415" customWidth="1"/>
    <col min="22" max="22" width="6.44140625" style="415" customWidth="1"/>
    <col min="23" max="23" width="6.5546875" style="415" customWidth="1"/>
    <col min="24" max="24" width="6.83203125" style="415" customWidth="1"/>
    <col min="25" max="25" width="6.44140625" style="415" customWidth="1"/>
    <col min="26" max="26" width="7.83203125" style="415" customWidth="1"/>
    <col min="27" max="27" width="6" style="415" customWidth="1"/>
    <col min="28" max="28" width="6.71875" style="415" customWidth="1"/>
    <col min="29" max="29" width="6.5546875" style="415" customWidth="1"/>
    <col min="30" max="30" width="6" style="415" customWidth="1"/>
    <col min="31" max="32" width="7.1640625" style="415" customWidth="1"/>
    <col min="33" max="33" width="6.1640625" style="415" customWidth="1"/>
    <col min="34" max="34" width="6.44140625" style="415" customWidth="1"/>
    <col min="35" max="35" width="6.5546875" style="415" customWidth="1"/>
    <col min="36" max="36" width="6.83203125" style="415" customWidth="1"/>
    <col min="37" max="37" width="6.44140625" style="415" customWidth="1"/>
    <col min="38" max="38" width="7.83203125" style="415" customWidth="1"/>
    <col min="39" max="39" width="6" style="415" customWidth="1"/>
    <col min="40" max="40" width="6.71875" style="415" customWidth="1"/>
    <col min="41" max="41" width="6.5546875" style="415" customWidth="1"/>
    <col min="42" max="42" width="6" style="415" customWidth="1"/>
    <col min="43" max="44" width="7.1640625" style="415" customWidth="1"/>
    <col min="45" max="45" width="6.1640625" style="415" customWidth="1"/>
    <col min="46" max="46" width="6.44140625" style="415" customWidth="1"/>
    <col min="47" max="47" width="6.5546875" style="415" customWidth="1"/>
    <col min="48" max="48" width="6.83203125" style="415" customWidth="1"/>
    <col min="49" max="49" width="6.44140625" style="415" customWidth="1"/>
    <col min="50" max="50" width="7.83203125" style="415" customWidth="1"/>
    <col min="51" max="51" width="6" style="415" customWidth="1"/>
    <col min="52" max="52" width="6.71875" style="415" customWidth="1"/>
    <col min="53" max="53" width="6.5546875" style="415" customWidth="1"/>
    <col min="54" max="54" width="6" style="415" customWidth="1"/>
    <col min="55" max="56" width="7.1640625" style="415" customWidth="1"/>
    <col min="57" max="57" width="6.1640625" style="415" customWidth="1"/>
    <col min="58" max="58" width="6.44140625" style="415" customWidth="1"/>
    <col min="59" max="59" width="6.5546875" style="415" customWidth="1"/>
    <col min="60" max="60" width="6.83203125" style="415" customWidth="1"/>
    <col min="61" max="61" width="6.44140625" style="415" customWidth="1"/>
    <col min="62" max="62" width="7.83203125" style="415" customWidth="1"/>
    <col min="63" max="63" width="6" style="415" customWidth="1"/>
    <col min="64" max="64" width="6.71875" style="415" customWidth="1"/>
    <col min="65" max="65" width="6.5546875" style="415" customWidth="1"/>
    <col min="66" max="66" width="6" style="415" customWidth="1"/>
    <col min="67" max="68" width="7.1640625" style="415" customWidth="1"/>
    <col min="69" max="69" width="6.1640625" style="415" customWidth="1"/>
    <col min="70" max="70" width="6.44140625" style="415" customWidth="1"/>
    <col min="71" max="71" width="6.5546875" style="415" customWidth="1"/>
    <col min="72" max="72" width="6.83203125" style="415" customWidth="1"/>
    <col min="73" max="73" width="6.44140625" style="415" customWidth="1"/>
    <col min="74" max="74" width="7.83203125" style="415" customWidth="1"/>
    <col min="75" max="75" width="6" style="415" customWidth="1"/>
    <col min="76" max="76" width="6.71875" style="415" customWidth="1"/>
    <col min="77" max="77" width="6.5546875" style="415" customWidth="1"/>
    <col min="78" max="78" width="6" style="415" customWidth="1"/>
    <col min="79" max="80" width="7.1640625" style="415" customWidth="1"/>
    <col min="81" max="81" width="6.1640625" style="415" customWidth="1"/>
    <col min="82" max="82" width="6.44140625" style="415" customWidth="1"/>
    <col min="83" max="83" width="6.5546875" style="415" customWidth="1"/>
    <col min="84" max="84" width="6.83203125" style="415" customWidth="1"/>
    <col min="85" max="85" width="6.44140625" style="415" customWidth="1"/>
    <col min="86" max="86" width="7.83203125" style="415" customWidth="1"/>
    <col min="87" max="87" width="6" style="415" customWidth="1"/>
    <col min="88" max="88" width="6.71875" style="415" customWidth="1"/>
    <col min="89" max="89" width="6.5546875" style="415" customWidth="1"/>
    <col min="90" max="90" width="6" style="415" customWidth="1"/>
    <col min="91" max="92" width="7.1640625" style="415" customWidth="1"/>
    <col min="93" max="93" width="6.1640625" style="415" customWidth="1"/>
    <col min="94" max="94" width="6.44140625" style="415" customWidth="1"/>
    <col min="95" max="95" width="6.5546875" style="415" customWidth="1"/>
    <col min="96" max="96" width="6.83203125" style="415" customWidth="1"/>
    <col min="97" max="97" width="6.44140625" style="415" customWidth="1"/>
    <col min="98" max="98" width="7.83203125" style="415" customWidth="1"/>
    <col min="99" max="99" width="6" style="415" customWidth="1"/>
    <col min="100" max="100" width="6.71875" style="415" customWidth="1"/>
    <col min="101" max="101" width="6.5546875" style="415" customWidth="1"/>
    <col min="102" max="102" width="6" style="415" customWidth="1"/>
    <col min="103" max="104" width="7.1640625" style="415" customWidth="1"/>
    <col min="105" max="105" width="6.1640625" style="415" customWidth="1"/>
    <col min="106" max="106" width="6.44140625" style="415" customWidth="1"/>
    <col min="107" max="107" width="6.5546875" style="415" customWidth="1"/>
    <col min="108" max="16384" width="11.44140625" style="415"/>
  </cols>
  <sheetData>
    <row r="1" spans="1:14">
      <c r="A1" s="1136" t="s">
        <v>1111</v>
      </c>
      <c r="N1" s="1149"/>
    </row>
    <row r="2" spans="1:14">
      <c r="A2" s="1136" t="s">
        <v>819</v>
      </c>
    </row>
    <row r="3" spans="1:14">
      <c r="A3" s="1136"/>
    </row>
    <row r="4" spans="1:14" ht="18" customHeight="1">
      <c r="A4" s="1446"/>
      <c r="B4" s="1522">
        <f>DATE(YEAR(INDEX(Base_Mensuelle!$FL$68:$FZ$679,MAX(Base_Mensuelle!$FZ$68:$FZ$679),1))-10,1,1)</f>
        <v>41275</v>
      </c>
      <c r="C4" s="1522">
        <f>DATE(YEAR(INDEX(Base_Mensuelle!$FL$68:$FZ$679,MAX(Base_Mensuelle!$FZ$68:$FZ$679),1))-10,2,1)</f>
        <v>41306</v>
      </c>
      <c r="D4" s="1522">
        <f>DATE(YEAR(INDEX(Base_Mensuelle!$FL$68:$FZ$679,MAX(Base_Mensuelle!$FZ$68:$FZ$679),1))-10,3,1)</f>
        <v>41334</v>
      </c>
      <c r="E4" s="1522">
        <f>DATE(YEAR(INDEX(Base_Mensuelle!$FL$68:$FZ$679,MAX(Base_Mensuelle!$FZ$68:$FZ$679),1))-10,4,1)</f>
        <v>41365</v>
      </c>
      <c r="F4" s="1522">
        <f>DATE(YEAR(INDEX(Base_Mensuelle!$FL$68:$FZ$679,MAX(Base_Mensuelle!$FZ$68:$FZ$679),1))-10,5,1)</f>
        <v>41395</v>
      </c>
      <c r="G4" s="1522">
        <f>DATE(YEAR(INDEX(Base_Mensuelle!$FL$68:$FZ$679,MAX(Base_Mensuelle!$FZ$68:$FZ$679),1))-10,6,1)</f>
        <v>41426</v>
      </c>
      <c r="H4" s="1522">
        <f>DATE(YEAR(INDEX(Base_Mensuelle!$FL$68:$FZ$679,MAX(Base_Mensuelle!$FZ$68:$FZ$679),1))-10,7,1)</f>
        <v>41456</v>
      </c>
      <c r="I4" s="1522">
        <f>DATE(YEAR(INDEX(Base_Mensuelle!$FL$68:$FZ$679,MAX(Base_Mensuelle!$FZ$68:$FZ$679),1))-10,8,1)</f>
        <v>41487</v>
      </c>
      <c r="J4" s="1522">
        <f>DATE(YEAR(INDEX(Base_Mensuelle!$FL$68:$FZ$679,MAX(Base_Mensuelle!$FZ$68:$FZ$679),1))-10,9,1)</f>
        <v>41518</v>
      </c>
      <c r="K4" s="1522">
        <f>DATE(YEAR(INDEX(Base_Mensuelle!$FL$68:$FZ$679,MAX(Base_Mensuelle!$FZ$68:$FZ$679),1))-10,10,1)</f>
        <v>41548</v>
      </c>
      <c r="L4" s="1522">
        <f>DATE(YEAR(INDEX(Base_Mensuelle!$FL$68:$FZ$679,MAX(Base_Mensuelle!$FZ$68:$FZ$679),1))-10,11,1)</f>
        <v>41579</v>
      </c>
      <c r="M4" s="1522">
        <f>DATE(YEAR(INDEX(Base_Mensuelle!$FL$68:$FZ$679,MAX(Base_Mensuelle!$FZ$68:$FZ$679),1))-10,12,1)</f>
        <v>41609</v>
      </c>
    </row>
    <row r="5" spans="1:14">
      <c r="A5" s="1447" t="s">
        <v>222</v>
      </c>
      <c r="B5" s="406">
        <f>VLOOKUP(B4,Base_Mensuelle!$FL$67:$FY$679,2,0)</f>
        <v>106.32376685740691</v>
      </c>
      <c r="C5" s="406">
        <f>VLOOKUP(C4,Base_Mensuelle!$FL$67:$FY$679,2,0)</f>
        <v>106.69688731205443</v>
      </c>
      <c r="D5" s="406">
        <f>VLOOKUP(D4,Base_Mensuelle!$FL$67:$FY$679,2,0)</f>
        <v>106.71223649355241</v>
      </c>
      <c r="E5" s="406">
        <f>VLOOKUP(E4,Base_Mensuelle!$FL$67:$FY$679,2,0)</f>
        <v>107.41591352096738</v>
      </c>
      <c r="F5" s="406">
        <f>VLOOKUP(F4,Base_Mensuelle!$FL$67:$FY$679,2,0)</f>
        <v>107.52257382596146</v>
      </c>
      <c r="G5" s="406">
        <f>VLOOKUP(G4,Base_Mensuelle!$FL$67:$FY$679,2,0)</f>
        <v>109.05827129077791</v>
      </c>
      <c r="H5" s="406">
        <f>VLOOKUP(H4,Base_Mensuelle!$FL$67:$FY$679,2,0)</f>
        <v>109.59721934249458</v>
      </c>
      <c r="I5" s="406">
        <f>VLOOKUP(I4,Base_Mensuelle!$FL$67:$FY$679,2,0)</f>
        <v>107.82927594169408</v>
      </c>
      <c r="J5" s="406">
        <f>VLOOKUP(J4,Base_Mensuelle!$FL$67:$FY$679,2,0)</f>
        <v>107.09304692939172</v>
      </c>
      <c r="K5" s="406">
        <f>VLOOKUP(K4,Base_Mensuelle!$FL$67:$FY$679,2,0)</f>
        <v>106.88356273301554</v>
      </c>
      <c r="L5" s="406">
        <f>VLOOKUP(L4,Base_Mensuelle!$FL$67:$FY$679,2,0)</f>
        <v>107.85338720402744</v>
      </c>
      <c r="M5" s="406">
        <f>VLOOKUP(M4,Base_Mensuelle!$FL$67:$FY$679,2,0)</f>
        <v>107.26996061475766</v>
      </c>
    </row>
    <row r="6" spans="1:14" ht="24.6">
      <c r="A6" s="1448" t="s">
        <v>818</v>
      </c>
      <c r="B6" s="403">
        <f>VLOOKUP(B4,Base_Mensuelle!$FL$67:$FY$679,3,0)</f>
        <v>114.96719276577272</v>
      </c>
      <c r="C6" s="403">
        <f>VLOOKUP(C4,Base_Mensuelle!$FL$67:$FY$679,3,0)</f>
        <v>115.52892970365401</v>
      </c>
      <c r="D6" s="403">
        <f>VLOOKUP(D4,Base_Mensuelle!$FL$67:$FY$679,3,0)</f>
        <v>115.62157540087112</v>
      </c>
      <c r="E6" s="403">
        <f>VLOOKUP(E4,Base_Mensuelle!$FL$67:$FY$679,3,0)</f>
        <v>116.75121117971585</v>
      </c>
      <c r="F6" s="403">
        <f>VLOOKUP(F4,Base_Mensuelle!$FL$67:$FY$679,3,0)</f>
        <v>118.49770060132518</v>
      </c>
      <c r="G6" s="403">
        <f>VLOOKUP(G4,Base_Mensuelle!$FL$67:$FY$679,3,0)</f>
        <v>121.28597061209052</v>
      </c>
      <c r="H6" s="403">
        <f>VLOOKUP(H4,Base_Mensuelle!$FL$67:$FY$679,3,0)</f>
        <v>119.70278417255435</v>
      </c>
      <c r="I6" s="403">
        <f>VLOOKUP(I4,Base_Mensuelle!$FL$67:$FY$679,3,0)</f>
        <v>117.03492528642414</v>
      </c>
      <c r="J6" s="403">
        <f>VLOOKUP(J4,Base_Mensuelle!$FL$67:$FY$679,3,0)</f>
        <v>117.5207279975281</v>
      </c>
      <c r="K6" s="403">
        <f>VLOOKUP(K4,Base_Mensuelle!$FL$67:$FY$679,3,0)</f>
        <v>115.9947083046591</v>
      </c>
      <c r="L6" s="403">
        <f>VLOOKUP(L4,Base_Mensuelle!$FL$67:$FY$679,3,0)</f>
        <v>116.61104176356132</v>
      </c>
      <c r="M6" s="403">
        <f>VLOOKUP(M4,Base_Mensuelle!$FL$67:$FY$679,3,0)</f>
        <v>114.74214654888983</v>
      </c>
    </row>
    <row r="7" spans="1:14" ht="24.6">
      <c r="A7" s="1436" t="s">
        <v>817</v>
      </c>
      <c r="B7" s="1147">
        <f>VLOOKUP(B4,Base_Mensuelle!$FL$67:$FY$679,4,0)</f>
        <v>102.04024111494304</v>
      </c>
      <c r="C7" s="1147">
        <f>VLOOKUP(C4,Base_Mensuelle!$FL$67:$FY$679,4,0)</f>
        <v>103.05782353252546</v>
      </c>
      <c r="D7" s="1147">
        <f>VLOOKUP(D4,Base_Mensuelle!$FL$67:$FY$679,4,0)</f>
        <v>101.24698425015333</v>
      </c>
      <c r="E7" s="1147">
        <f>VLOOKUP(E4,Base_Mensuelle!$FL$67:$FY$679,4,0)</f>
        <v>102.50204534677844</v>
      </c>
      <c r="F7" s="1147">
        <f>VLOOKUP(F4,Base_Mensuelle!$FL$67:$FY$679,4,0)</f>
        <v>104.36302927568742</v>
      </c>
      <c r="G7" s="1147">
        <f>VLOOKUP(G4,Base_Mensuelle!$FL$67:$FY$679,4,0)</f>
        <v>102.72049565359175</v>
      </c>
      <c r="H7" s="1147">
        <f>VLOOKUP(H4,Base_Mensuelle!$FL$67:$FY$679,4,0)</f>
        <v>102.73177342691331</v>
      </c>
      <c r="I7" s="1147">
        <f>VLOOKUP(I4,Base_Mensuelle!$FL$67:$FY$679,4,0)</f>
        <v>100.95890104382195</v>
      </c>
      <c r="J7" s="1147">
        <f>VLOOKUP(J4,Base_Mensuelle!$FL$67:$FY$679,4,0)</f>
        <v>99.778135823640682</v>
      </c>
      <c r="K7" s="1147">
        <f>VLOOKUP(K4,Base_Mensuelle!$FL$67:$FY$679,4,0)</f>
        <v>100.6343054447738</v>
      </c>
      <c r="L7" s="1453">
        <f>VLOOKUP(L4,Base_Mensuelle!$FL$67:$FY$679,4,0)</f>
        <v>108.18401801930389</v>
      </c>
      <c r="M7" s="1453">
        <f>VLOOKUP(M4,Base_Mensuelle!$FL$67:$FY$679,4,0)</f>
        <v>111.68673719793547</v>
      </c>
    </row>
    <row r="8" spans="1:14">
      <c r="A8" s="1449" t="s">
        <v>816</v>
      </c>
      <c r="B8" s="1145">
        <f>VLOOKUP(B4,Base_Mensuelle!$FL$67:$FY$679,5,0)</f>
        <v>101.93574218775622</v>
      </c>
      <c r="C8" s="1145">
        <f>VLOOKUP(C4,Base_Mensuelle!$FL$67:$FY$679,5,0)</f>
        <v>101.95196668338397</v>
      </c>
      <c r="D8" s="1145">
        <f>VLOOKUP(D4,Base_Mensuelle!$FL$67:$FY$679,5,0)</f>
        <v>101.9359742707879</v>
      </c>
      <c r="E8" s="1145">
        <f>VLOOKUP(E4,Base_Mensuelle!$FL$67:$FY$679,5,0)</f>
        <v>101.85111851177248</v>
      </c>
      <c r="F8" s="1145">
        <f>VLOOKUP(F4,Base_Mensuelle!$FL$67:$FY$679,5,0)</f>
        <v>101.85111851177248</v>
      </c>
      <c r="G8" s="1145">
        <f>VLOOKUP(G4,Base_Mensuelle!$FL$67:$FY$679,5,0)</f>
        <v>101.86786049313677</v>
      </c>
      <c r="H8" s="1145">
        <f>VLOOKUP(H4,Base_Mensuelle!$FL$67:$FY$679,5,0)</f>
        <v>101.86786049313677</v>
      </c>
      <c r="I8" s="1145">
        <f>VLOOKUP(I4,Base_Mensuelle!$FL$67:$FY$679,5,0)</f>
        <v>101.86786049313677</v>
      </c>
      <c r="J8" s="1145">
        <f>VLOOKUP(J4,Base_Mensuelle!$FL$67:$FY$679,5,0)</f>
        <v>101.84266866836458</v>
      </c>
      <c r="K8" s="1145">
        <f>VLOOKUP(K4,Base_Mensuelle!$FL$67:$FY$679,5,0)</f>
        <v>101.84266866836458</v>
      </c>
      <c r="L8" s="1454">
        <f>VLOOKUP(L4,Base_Mensuelle!$FL$67:$FY$679,5,0)</f>
        <v>101.84266866836458</v>
      </c>
      <c r="M8" s="1454">
        <f>VLOOKUP(M4,Base_Mensuelle!$FL$67:$FY$679,5,0)</f>
        <v>101.84266866836458</v>
      </c>
    </row>
    <row r="9" spans="1:14" ht="24.6">
      <c r="A9" s="1436" t="s">
        <v>815</v>
      </c>
      <c r="B9" s="1147">
        <f>VLOOKUP(B4,Base_Mensuelle!$FL$67:$FY$679,6,0)</f>
        <v>108.2619818694877</v>
      </c>
      <c r="C9" s="1147">
        <f>VLOOKUP(C4,Base_Mensuelle!$FL$67:$FY$679,6,0)</f>
        <v>110.60282721307014</v>
      </c>
      <c r="D9" s="1147">
        <f>VLOOKUP(D4,Base_Mensuelle!$FL$67:$FY$679,6,0)</f>
        <v>110.57647695937949</v>
      </c>
      <c r="E9" s="1147">
        <f>VLOOKUP(E4,Base_Mensuelle!$FL$67:$FY$679,6,0)</f>
        <v>113.57396121676287</v>
      </c>
      <c r="F9" s="1147">
        <f>VLOOKUP(F4,Base_Mensuelle!$FL$67:$FY$679,6,0)</f>
        <v>107.97977956136455</v>
      </c>
      <c r="G9" s="1147">
        <f>VLOOKUP(G4,Base_Mensuelle!$FL$67:$FY$679,6,0)</f>
        <v>112.90807244122891</v>
      </c>
      <c r="H9" s="1147">
        <f>VLOOKUP(H4,Base_Mensuelle!$FL$67:$FY$679,6,0)</f>
        <v>124.63127786855833</v>
      </c>
      <c r="I9" s="1147">
        <f>VLOOKUP(I4,Base_Mensuelle!$FL$67:$FY$679,6,0)</f>
        <v>116.9129735607178</v>
      </c>
      <c r="J9" s="1147">
        <f>VLOOKUP(J4,Base_Mensuelle!$FL$67:$FY$679,6,0)</f>
        <v>107.13411090402498</v>
      </c>
      <c r="K9" s="1147">
        <f>VLOOKUP(K4,Base_Mensuelle!$FL$67:$FY$679,6,0)</f>
        <v>111.98646564969825</v>
      </c>
      <c r="L9" s="1453">
        <f>VLOOKUP(L4,Base_Mensuelle!$FL$67:$FY$679,6,0)</f>
        <v>118.48890141372109</v>
      </c>
      <c r="M9" s="1453">
        <f>VLOOKUP(M4,Base_Mensuelle!$FL$67:$FY$679,6,0)</f>
        <v>119.39239260597337</v>
      </c>
    </row>
    <row r="10" spans="1:14">
      <c r="A10" s="1448" t="s">
        <v>814</v>
      </c>
      <c r="B10" s="1145">
        <f>VLOOKUP(B4,Base_Mensuelle!$FL$67:$FY$679,7,0)</f>
        <v>98.531910584666747</v>
      </c>
      <c r="C10" s="1145">
        <f>VLOOKUP(C4,Base_Mensuelle!$FL$67:$FY$679,7,0)</f>
        <v>98.515421808208629</v>
      </c>
      <c r="D10" s="1145">
        <f>VLOOKUP(D4,Base_Mensuelle!$FL$67:$FY$679,7,0)</f>
        <v>98.515421808208629</v>
      </c>
      <c r="E10" s="1145">
        <f>VLOOKUP(E4,Base_Mensuelle!$FL$67:$FY$679,7,0)</f>
        <v>98.515421808208629</v>
      </c>
      <c r="F10" s="1145">
        <f>VLOOKUP(F4,Base_Mensuelle!$FL$67:$FY$679,7,0)</f>
        <v>98.515421808208629</v>
      </c>
      <c r="G10" s="1145">
        <f>VLOOKUP(G4,Base_Mensuelle!$FL$67:$FY$679,7,0)</f>
        <v>98.579202267436159</v>
      </c>
      <c r="H10" s="1145">
        <f>VLOOKUP(H4,Base_Mensuelle!$FL$67:$FY$679,7,0)</f>
        <v>98.579202267436159</v>
      </c>
      <c r="I10" s="1145">
        <f>VLOOKUP(I4,Base_Mensuelle!$FL$67:$FY$679,7,0)</f>
        <v>98.579202267436159</v>
      </c>
      <c r="J10" s="1145">
        <f>VLOOKUP(J4,Base_Mensuelle!$FL$67:$FY$679,7,0)</f>
        <v>98.579202267436159</v>
      </c>
      <c r="K10" s="1145">
        <f>VLOOKUP(K4,Base_Mensuelle!$FL$67:$FY$679,7,0)</f>
        <v>98.579202267436159</v>
      </c>
      <c r="L10" s="1454">
        <f>VLOOKUP(L4,Base_Mensuelle!$FL$67:$FY$679,7,0)</f>
        <v>98.579202267436159</v>
      </c>
      <c r="M10" s="1454">
        <f>VLOOKUP(M4,Base_Mensuelle!$FL$67:$FY$679,7,0)</f>
        <v>98.579202267436159</v>
      </c>
    </row>
    <row r="11" spans="1:14">
      <c r="A11" s="1450" t="s">
        <v>813</v>
      </c>
      <c r="B11" s="1147">
        <f>VLOOKUP(B4,Base_Mensuelle!$FL$67:$FY$679,8,0)</f>
        <v>100.86008751144475</v>
      </c>
      <c r="C11" s="1147">
        <f>VLOOKUP(C4,Base_Mensuelle!$FL$67:$FY$679,8,0)</f>
        <v>100.86008751144475</v>
      </c>
      <c r="D11" s="1147">
        <f>VLOOKUP(D4,Base_Mensuelle!$FL$67:$FY$679,8,0)</f>
        <v>100.86008751144475</v>
      </c>
      <c r="E11" s="1147">
        <f>VLOOKUP(E4,Base_Mensuelle!$FL$67:$FY$679,8,0)</f>
        <v>100.86284936216892</v>
      </c>
      <c r="F11" s="1147">
        <f>VLOOKUP(F4,Base_Mensuelle!$FL$67:$FY$679,8,0)</f>
        <v>100.86284936216892</v>
      </c>
      <c r="G11" s="1147">
        <f>VLOOKUP(G4,Base_Mensuelle!$FL$67:$FY$679,8,0)</f>
        <v>100.86405773508461</v>
      </c>
      <c r="H11" s="1147">
        <f>VLOOKUP(H4,Base_Mensuelle!$FL$67:$FY$679,8,0)</f>
        <v>100.86405773508461</v>
      </c>
      <c r="I11" s="1147">
        <f>VLOOKUP(I4,Base_Mensuelle!$FL$67:$FY$679,8,0)</f>
        <v>100.86405773508461</v>
      </c>
      <c r="J11" s="1147">
        <f>VLOOKUP(J4,Base_Mensuelle!$FL$67:$FY$679,8,0)</f>
        <v>100.86526743671104</v>
      </c>
      <c r="K11" s="1147">
        <f>VLOOKUP(K4,Base_Mensuelle!$FL$67:$FY$679,8,0)</f>
        <v>100.86961129769</v>
      </c>
      <c r="L11" s="1453">
        <f>VLOOKUP(L4,Base_Mensuelle!$FL$67:$FY$679,8,0)</f>
        <v>100.86961129769</v>
      </c>
      <c r="M11" s="1453">
        <f>VLOOKUP(M4,Base_Mensuelle!$FL$67:$FY$679,8,0)</f>
        <v>100.86961129769</v>
      </c>
    </row>
    <row r="12" spans="1:14">
      <c r="A12" s="1448" t="s">
        <v>812</v>
      </c>
      <c r="B12" s="1145">
        <f>VLOOKUP(B4,Base_Mensuelle!$FL$67:$FY$679,9,0)</f>
        <v>105.34616389297101</v>
      </c>
      <c r="C12" s="1145">
        <f>VLOOKUP(C4,Base_Mensuelle!$FL$67:$FY$679,9,0)</f>
        <v>105.50917278505356</v>
      </c>
      <c r="D12" s="1145">
        <f>VLOOKUP(D4,Base_Mensuelle!$FL$67:$FY$679,9,0)</f>
        <v>105.93616749233729</v>
      </c>
      <c r="E12" s="1145">
        <f>VLOOKUP(E4,Base_Mensuelle!$FL$67:$FY$679,9,0)</f>
        <v>105.93921771935004</v>
      </c>
      <c r="F12" s="1145">
        <f>VLOOKUP(F4,Base_Mensuelle!$FL$67:$FY$679,9,0)</f>
        <v>105.93921771935004</v>
      </c>
      <c r="G12" s="1145">
        <f>VLOOKUP(G4,Base_Mensuelle!$FL$67:$FY$679,9,0)</f>
        <v>105.94965760682322</v>
      </c>
      <c r="H12" s="1145">
        <f>VLOOKUP(H4,Base_Mensuelle!$FL$67:$FY$679,9,0)</f>
        <v>105.94965760682322</v>
      </c>
      <c r="I12" s="1145">
        <f>VLOOKUP(I4,Base_Mensuelle!$FL$67:$FY$679,9,0)</f>
        <v>105.96113652523017</v>
      </c>
      <c r="J12" s="1145">
        <f>VLOOKUP(J4,Base_Mensuelle!$FL$67:$FY$679,9,0)</f>
        <v>105.96113652523017</v>
      </c>
      <c r="K12" s="1145">
        <f>VLOOKUP(K4,Base_Mensuelle!$FL$67:$FY$679,9,0)</f>
        <v>105.96113652523017</v>
      </c>
      <c r="L12" s="1454">
        <f>VLOOKUP(L4,Base_Mensuelle!$FL$67:$FY$679,9,0)</f>
        <v>105.96113652523017</v>
      </c>
      <c r="M12" s="1454">
        <f>VLOOKUP(M4,Base_Mensuelle!$FL$67:$FY$679,9,0)</f>
        <v>105.96113652523017</v>
      </c>
    </row>
    <row r="13" spans="1:14">
      <c r="A13" s="1450" t="s">
        <v>811</v>
      </c>
      <c r="B13" s="1147">
        <f>VLOOKUP(B4,Base_Mensuelle!$FL$67:$FY$679,10,0)</f>
        <v>64.237148742748786</v>
      </c>
      <c r="C13" s="1147">
        <f>VLOOKUP(C4,Base_Mensuelle!$FL$67:$FY$679,10,0)</f>
        <v>63.287630644046835</v>
      </c>
      <c r="D13" s="1147">
        <f>VLOOKUP(D4,Base_Mensuelle!$FL$67:$FY$679,10,0)</f>
        <v>63.113596427312793</v>
      </c>
      <c r="E13" s="1147">
        <f>VLOOKUP(E4,Base_Mensuelle!$FL$67:$FY$679,10,0)</f>
        <v>62.497250291150166</v>
      </c>
      <c r="F13" s="1147">
        <f>VLOOKUP(F4,Base_Mensuelle!$FL$67:$FY$679,10,0)</f>
        <v>63.094306624067258</v>
      </c>
      <c r="G13" s="1147">
        <f>VLOOKUP(G4,Base_Mensuelle!$FL$67:$FY$679,10,0)</f>
        <v>63.925199719620707</v>
      </c>
      <c r="H13" s="1147">
        <f>VLOOKUP(H4,Base_Mensuelle!$FL$67:$FY$679,10,0)</f>
        <v>63.419867564078949</v>
      </c>
      <c r="I13" s="1147">
        <f>VLOOKUP(I4,Base_Mensuelle!$FL$67:$FY$679,10,0)</f>
        <v>63.619608962306451</v>
      </c>
      <c r="J13" s="1147">
        <f>VLOOKUP(J4,Base_Mensuelle!$FL$67:$FY$679,10,0)</f>
        <v>63.619608962306451</v>
      </c>
      <c r="K13" s="1147">
        <f>VLOOKUP(K4,Base_Mensuelle!$FL$67:$FY$679,10,0)</f>
        <v>65.287848301361933</v>
      </c>
      <c r="L13" s="1453">
        <f>VLOOKUP(L4,Base_Mensuelle!$FL$67:$FY$679,10,0)</f>
        <v>64.614974662081366</v>
      </c>
      <c r="M13" s="1453">
        <f>VLOOKUP(M4,Base_Mensuelle!$FL$67:$FY$679,10,0)</f>
        <v>64.041707225726569</v>
      </c>
    </row>
    <row r="14" spans="1:14">
      <c r="A14" s="1448" t="s">
        <v>810</v>
      </c>
      <c r="B14" s="1145">
        <f>VLOOKUP(B4,Base_Mensuelle!$FL$67:$FY$679,11,0)</f>
        <v>97.483667333484959</v>
      </c>
      <c r="C14" s="1145">
        <f>VLOOKUP(C4,Base_Mensuelle!$FL$67:$FY$679,11,0)</f>
        <v>97.463977183870398</v>
      </c>
      <c r="D14" s="1145">
        <f>VLOOKUP(D4,Base_Mensuelle!$FL$67:$FY$679,11,0)</f>
        <v>97.461408814507109</v>
      </c>
      <c r="E14" s="1145">
        <f>VLOOKUP(E4,Base_Mensuelle!$FL$67:$FY$679,11,0)</f>
        <v>97.461408814507109</v>
      </c>
      <c r="F14" s="1145">
        <f>VLOOKUP(F4,Base_Mensuelle!$FL$67:$FY$679,11,0)</f>
        <v>97.461408814507109</v>
      </c>
      <c r="G14" s="1145">
        <f>VLOOKUP(G4,Base_Mensuelle!$FL$67:$FY$679,11,0)</f>
        <v>97.461408814507109</v>
      </c>
      <c r="H14" s="1145">
        <f>VLOOKUP(H4,Base_Mensuelle!$FL$67:$FY$679,11,0)</f>
        <v>97.461408814507109</v>
      </c>
      <c r="I14" s="1145">
        <f>VLOOKUP(I4,Base_Mensuelle!$FL$67:$FY$679,11,0)</f>
        <v>97.461408814507109</v>
      </c>
      <c r="J14" s="1145">
        <f>VLOOKUP(J4,Base_Mensuelle!$FL$67:$FY$679,11,0)</f>
        <v>96.199719475480833</v>
      </c>
      <c r="K14" s="1145">
        <f>VLOOKUP(K4,Base_Mensuelle!$FL$67:$FY$679,11,0)</f>
        <v>96.199719475480833</v>
      </c>
      <c r="L14" s="1454">
        <f>VLOOKUP(L4,Base_Mensuelle!$FL$67:$FY$679,11,0)</f>
        <v>96.199719475480833</v>
      </c>
      <c r="M14" s="1454">
        <f>VLOOKUP(M4,Base_Mensuelle!$FL$67:$FY$679,11,0)</f>
        <v>96.199719475480833</v>
      </c>
    </row>
    <row r="15" spans="1:14">
      <c r="A15" s="1450" t="s">
        <v>809</v>
      </c>
      <c r="B15" s="1147">
        <f>VLOOKUP(B4,Base_Mensuelle!$FL$67:$FY$679,12,0)</f>
        <v>104.37383572273448</v>
      </c>
      <c r="C15" s="1147">
        <f>VLOOKUP(C4,Base_Mensuelle!$FL$67:$FY$679,12,0)</f>
        <v>104.37383572273448</v>
      </c>
      <c r="D15" s="1147">
        <f>VLOOKUP(D4,Base_Mensuelle!$FL$67:$FY$679,12,0)</f>
        <v>104.37383572273448</v>
      </c>
      <c r="E15" s="1147">
        <f>VLOOKUP(E4,Base_Mensuelle!$FL$67:$FY$679,12,0)</f>
        <v>104.37383572273448</v>
      </c>
      <c r="F15" s="1147">
        <f>VLOOKUP(F4,Base_Mensuelle!$FL$67:$FY$679,12,0)</f>
        <v>104.37383572273448</v>
      </c>
      <c r="G15" s="1147">
        <f>VLOOKUP(G4,Base_Mensuelle!$FL$67:$FY$679,12,0)</f>
        <v>104.37383572273448</v>
      </c>
      <c r="H15" s="1147">
        <f>VLOOKUP(H4,Base_Mensuelle!$FL$67:$FY$679,12,0)</f>
        <v>104.37383572273448</v>
      </c>
      <c r="I15" s="1147">
        <f>VLOOKUP(I4,Base_Mensuelle!$FL$67:$FY$679,12,0)</f>
        <v>104.37383572273448</v>
      </c>
      <c r="J15" s="1147">
        <f>VLOOKUP(J4,Base_Mensuelle!$FL$67:$FY$679,12,0)</f>
        <v>104.37383572273448</v>
      </c>
      <c r="K15" s="1147">
        <f>VLOOKUP(K4,Base_Mensuelle!$FL$67:$FY$679,12,0)</f>
        <v>104.37383572273448</v>
      </c>
      <c r="L15" s="1453">
        <f>VLOOKUP(L4,Base_Mensuelle!$FL$67:$FY$679,12,0)</f>
        <v>104.37383572273448</v>
      </c>
      <c r="M15" s="1453">
        <f>VLOOKUP(M4,Base_Mensuelle!$FL$67:$FY$679,12,0)</f>
        <v>104.37383572273448</v>
      </c>
    </row>
    <row r="16" spans="1:14">
      <c r="A16" s="1448" t="s">
        <v>808</v>
      </c>
      <c r="B16" s="1145">
        <f>VLOOKUP(B4,Base_Mensuelle!$FL$67:$FY$679,13,0)</f>
        <v>116.80054138678149</v>
      </c>
      <c r="C16" s="1145">
        <f>VLOOKUP(C4,Base_Mensuelle!$FL$67:$FY$679,13,0)</f>
        <v>116.15526997668348</v>
      </c>
      <c r="D16" s="1145">
        <f>VLOOKUP(D4,Base_Mensuelle!$FL$67:$FY$679,13,0)</f>
        <v>116.1550409946359</v>
      </c>
      <c r="E16" s="1145">
        <f>VLOOKUP(E4,Base_Mensuelle!$FL$67:$FY$679,13,0)</f>
        <v>116.43081170727892</v>
      </c>
      <c r="F16" s="1145">
        <f>VLOOKUP(F4,Base_Mensuelle!$FL$67:$FY$679,13,0)</f>
        <v>115.57266332027493</v>
      </c>
      <c r="G16" s="1145">
        <f>VLOOKUP(G4,Base_Mensuelle!$FL$67:$FY$679,13,0)</f>
        <v>115.57212902883056</v>
      </c>
      <c r="H16" s="1145">
        <f>VLOOKUP(H4,Base_Mensuelle!$FL$67:$FY$679,13,0)</f>
        <v>115.93071491535059</v>
      </c>
      <c r="I16" s="1145">
        <f>VLOOKUP(I4,Base_Mensuelle!$FL$67:$FY$679,13,0)</f>
        <v>115.65608911294551</v>
      </c>
      <c r="J16" s="1145">
        <f>VLOOKUP(J4,Base_Mensuelle!$FL$67:$FY$679,13,0)</f>
        <v>116.52103063402789</v>
      </c>
      <c r="K16" s="1145">
        <f>VLOOKUP(K4,Base_Mensuelle!$FL$67:$FY$679,13,0)</f>
        <v>113.77309340829473</v>
      </c>
      <c r="L16" s="1454">
        <f>VLOOKUP(L4,Base_Mensuelle!$FL$67:$FY$679,13,0)</f>
        <v>114.04397917058924</v>
      </c>
      <c r="M16" s="1454">
        <f>VLOOKUP(M4,Base_Mensuelle!$FL$67:$FY$679,13,0)</f>
        <v>113.98482547496279</v>
      </c>
    </row>
    <row r="17" spans="1:13">
      <c r="A17" s="1451" t="s">
        <v>807</v>
      </c>
      <c r="B17" s="454">
        <f>VLOOKUP(B4,Base_Mensuelle!$FL$67:$FY$679,14,0)</f>
        <v>103.90787505571663</v>
      </c>
      <c r="C17" s="454">
        <f>VLOOKUP(C4,Base_Mensuelle!$FL$67:$FY$679,14,0)</f>
        <v>103.92854526459888</v>
      </c>
      <c r="D17" s="454">
        <f>VLOOKUP(D4,Base_Mensuelle!$FL$67:$FY$679,14,0)</f>
        <v>103.93958799429646</v>
      </c>
      <c r="E17" s="454">
        <f>VLOOKUP(E4,Base_Mensuelle!$FL$67:$FY$679,14,0)</f>
        <v>103.9456018828116</v>
      </c>
      <c r="F17" s="454">
        <f>VLOOKUP(F4,Base_Mensuelle!$FL$67:$FY$679,14,0)</f>
        <v>103.9456018828116</v>
      </c>
      <c r="G17" s="454">
        <f>VLOOKUP(G4,Base_Mensuelle!$FL$67:$FY$679,14,0)</f>
        <v>103.9456018828116</v>
      </c>
      <c r="H17" s="454">
        <f>VLOOKUP(H4,Base_Mensuelle!$FL$67:$FY$679,14,0)</f>
        <v>103.9456018828116</v>
      </c>
      <c r="I17" s="454">
        <f>VLOOKUP(I4,Base_Mensuelle!$FL$67:$FY$679,14,0)</f>
        <v>103.9456018828116</v>
      </c>
      <c r="J17" s="454">
        <f>VLOOKUP(J4,Base_Mensuelle!$FL$67:$FY$679,14,0)</f>
        <v>103.9456018828116</v>
      </c>
      <c r="K17" s="454">
        <f>VLOOKUP(K4,Base_Mensuelle!$FL$67:$FY$679,14,0)</f>
        <v>103.9456018828116</v>
      </c>
      <c r="L17" s="454">
        <f>VLOOKUP(L4,Base_Mensuelle!$FL$67:$FY$679,14,0)</f>
        <v>103.9456018828116</v>
      </c>
      <c r="M17" s="454">
        <f>VLOOKUP(M4,Base_Mensuelle!$FL$67:$FY$679,14,0)</f>
        <v>103.9456018828116</v>
      </c>
    </row>
    <row r="18" spans="1:13">
      <c r="A18" s="1452"/>
      <c r="M18" s="1455"/>
    </row>
    <row r="19" spans="1:13" ht="18" customHeight="1">
      <c r="A19" s="1446"/>
      <c r="B19" s="1522">
        <f>DATE(YEAR(INDEX(Base_Mensuelle!$FL$68:$FZ$679,MAX(Base_Mensuelle!$FZ$68:$FZ$679),1))-9,1,1)</f>
        <v>41640</v>
      </c>
      <c r="C19" s="1522">
        <f>DATE(YEAR(INDEX(Base_Mensuelle!$FL$68:$FZ$679,MAX(Base_Mensuelle!$FZ$68:$FZ$679),1))-9,2,1)</f>
        <v>41671</v>
      </c>
      <c r="D19" s="1522">
        <f>DATE(YEAR(INDEX(Base_Mensuelle!$FL$68:$FZ$679,MAX(Base_Mensuelle!$FZ$68:$FZ$679),1))-9,3,1)</f>
        <v>41699</v>
      </c>
      <c r="E19" s="1522">
        <f>DATE(YEAR(INDEX(Base_Mensuelle!$FL$68:$FZ$679,MAX(Base_Mensuelle!$FZ$68:$FZ$679),1))-9,4,1)</f>
        <v>41730</v>
      </c>
      <c r="F19" s="1522">
        <f>DATE(YEAR(INDEX(Base_Mensuelle!$FL$68:$FZ$679,MAX(Base_Mensuelle!$FZ$68:$FZ$679),1))-9,5,1)</f>
        <v>41760</v>
      </c>
      <c r="G19" s="1522">
        <f>DATE(YEAR(INDEX(Base_Mensuelle!$FL$68:$FZ$679,MAX(Base_Mensuelle!$FZ$68:$FZ$679),1))-9,6,1)</f>
        <v>41791</v>
      </c>
      <c r="H19" s="1522">
        <f>DATE(YEAR(INDEX(Base_Mensuelle!$FL$68:$FZ$679,MAX(Base_Mensuelle!$FZ$68:$FZ$679),1))-9,7,1)</f>
        <v>41821</v>
      </c>
      <c r="I19" s="1522">
        <f>DATE(YEAR(INDEX(Base_Mensuelle!$FL$68:$FZ$679,MAX(Base_Mensuelle!$FZ$68:$FZ$679),1))-9,8,1)</f>
        <v>41852</v>
      </c>
      <c r="J19" s="1522">
        <f>DATE(YEAR(INDEX(Base_Mensuelle!$FL$68:$FZ$679,MAX(Base_Mensuelle!$FZ$68:$FZ$679),1))-9,9,1)</f>
        <v>41883</v>
      </c>
      <c r="K19" s="1522">
        <f>DATE(YEAR(INDEX(Base_Mensuelle!$FL$68:$FZ$679,MAX(Base_Mensuelle!$FZ$68:$FZ$679),1))-9,10,1)</f>
        <v>41913</v>
      </c>
      <c r="L19" s="1522">
        <f>DATE(YEAR(INDEX(Base_Mensuelle!$FL$68:$FZ$679,MAX(Base_Mensuelle!$FZ$68:$FZ$679),1))-9,11,1)</f>
        <v>41944</v>
      </c>
      <c r="M19" s="1522">
        <f>DATE(YEAR(INDEX(Base_Mensuelle!$FL$68:$FZ$679,MAX(Base_Mensuelle!$FZ$68:$FZ$679),1))-9,12,1)</f>
        <v>41974</v>
      </c>
    </row>
    <row r="20" spans="1:13" ht="18" customHeight="1">
      <c r="A20" s="1447" t="s">
        <v>222</v>
      </c>
      <c r="B20" s="406">
        <f>VLOOKUP(B19,Base_Mensuelle!$FL$67:$FY$679,2,0)</f>
        <v>106.35148023791686</v>
      </c>
      <c r="C20" s="406">
        <f>VLOOKUP(C19,Base_Mensuelle!$FL$67:$FY$679,2,0)</f>
        <v>105.896016804917</v>
      </c>
      <c r="D20" s="406">
        <f>VLOOKUP(D19,Base_Mensuelle!$FL$67:$FY$679,2,0)</f>
        <v>106.63</v>
      </c>
      <c r="E20" s="406">
        <f>VLOOKUP(E19,Base_Mensuelle!$FL$67:$FY$679,2,0)</f>
        <v>105.26</v>
      </c>
      <c r="F20" s="406">
        <f>VLOOKUP(F19,Base_Mensuelle!$FL$67:$FY$679,2,0)</f>
        <v>107.35</v>
      </c>
      <c r="G20" s="406">
        <f>VLOOKUP(G19,Base_Mensuelle!$FL$67:$FY$679,2,0)</f>
        <v>108.6</v>
      </c>
      <c r="H20" s="406">
        <f>VLOOKUP(H19,Base_Mensuelle!$FL$67:$FY$679,2,0)</f>
        <v>108.4</v>
      </c>
      <c r="I20" s="406">
        <f>VLOOKUP(I19,Base_Mensuelle!$FL$67:$FY$679,2,0)</f>
        <v>108.06</v>
      </c>
      <c r="J20" s="406">
        <f>VLOOKUP(J19,Base_Mensuelle!$FL$67:$FY$679,2,0)</f>
        <v>108.11</v>
      </c>
      <c r="K20" s="406">
        <f>VLOOKUP(K19,Base_Mensuelle!$FL$67:$FY$679,2,0)</f>
        <v>107.7</v>
      </c>
      <c r="L20" s="406">
        <f>VLOOKUP(L19,Base_Mensuelle!$FL$67:$FY$679,2,0)</f>
        <v>107.47</v>
      </c>
      <c r="M20" s="406">
        <f>VLOOKUP(M19,Base_Mensuelle!$FL$67:$FY$679,2,0)</f>
        <v>107.11</v>
      </c>
    </row>
    <row r="21" spans="1:13" ht="24.6">
      <c r="A21" s="1448" t="s">
        <v>818</v>
      </c>
      <c r="B21" s="403">
        <f>VLOOKUP(B19,Base_Mensuelle!$FL$67:$FY$679,3,0)</f>
        <v>113.5364896627806</v>
      </c>
      <c r="C21" s="403">
        <f>VLOOKUP(C19,Base_Mensuelle!$FL$67:$FY$679,3,0)</f>
        <v>112.28867110139947</v>
      </c>
      <c r="D21" s="403">
        <f>VLOOKUP(D19,Base_Mensuelle!$FL$67:$FY$679,3,0)</f>
        <v>112.04</v>
      </c>
      <c r="E21" s="403">
        <f>VLOOKUP(E19,Base_Mensuelle!$FL$67:$FY$679,3,0)</f>
        <v>108.33</v>
      </c>
      <c r="F21" s="403">
        <f>VLOOKUP(F19,Base_Mensuelle!$FL$67:$FY$679,3,0)</f>
        <v>112.81</v>
      </c>
      <c r="G21" s="403">
        <f>VLOOKUP(G19,Base_Mensuelle!$FL$67:$FY$679,3,0)</f>
        <v>115.26</v>
      </c>
      <c r="H21" s="403">
        <f>VLOOKUP(H19,Base_Mensuelle!$FL$67:$FY$679,3,0)</f>
        <v>116.29</v>
      </c>
      <c r="I21" s="403">
        <f>VLOOKUP(I19,Base_Mensuelle!$FL$67:$FY$679,3,0)</f>
        <v>115.1</v>
      </c>
      <c r="J21" s="403">
        <f>VLOOKUP(J19,Base_Mensuelle!$FL$67:$FY$679,3,0)</f>
        <v>114.79</v>
      </c>
      <c r="K21" s="403">
        <f>VLOOKUP(K19,Base_Mensuelle!$FL$67:$FY$679,3,0)</f>
        <v>113.13</v>
      </c>
      <c r="L21" s="403">
        <f>VLOOKUP(L19,Base_Mensuelle!$FL$67:$FY$679,3,0)</f>
        <v>113.74</v>
      </c>
      <c r="M21" s="403">
        <f>VLOOKUP(M19,Base_Mensuelle!$FL$67:$FY$679,3,0)</f>
        <v>112.4</v>
      </c>
    </row>
    <row r="22" spans="1:13" ht="24.6">
      <c r="A22" s="1436" t="s">
        <v>817</v>
      </c>
      <c r="B22" s="1147">
        <f>VLOOKUP(B19,Base_Mensuelle!$FL$67:$FY$679,4,0)</f>
        <v>105.53776257158859</v>
      </c>
      <c r="C22" s="1147">
        <f>VLOOKUP(C19,Base_Mensuelle!$FL$67:$FY$679,4,0)</f>
        <v>100.24769011363293</v>
      </c>
      <c r="D22" s="1147">
        <f>VLOOKUP(D19,Base_Mensuelle!$FL$67:$FY$679,4,0)</f>
        <v>101.82</v>
      </c>
      <c r="E22" s="1147">
        <f>VLOOKUP(E19,Base_Mensuelle!$FL$67:$FY$679,4,0)</f>
        <v>98.72</v>
      </c>
      <c r="F22" s="1147">
        <f>VLOOKUP(F19,Base_Mensuelle!$FL$67:$FY$679,4,0)</f>
        <v>98.77</v>
      </c>
      <c r="G22" s="1147">
        <f>VLOOKUP(G19,Base_Mensuelle!$FL$67:$FY$679,4,0)</f>
        <v>101.24</v>
      </c>
      <c r="H22" s="1147">
        <f>VLOOKUP(H19,Base_Mensuelle!$FL$67:$FY$679,4,0)</f>
        <v>101.25</v>
      </c>
      <c r="I22" s="1147">
        <f>VLOOKUP(I19,Base_Mensuelle!$FL$67:$FY$679,4,0)</f>
        <v>99.65</v>
      </c>
      <c r="J22" s="1147">
        <f>VLOOKUP(J19,Base_Mensuelle!$FL$67:$FY$679,4,0)</f>
        <v>99.78</v>
      </c>
      <c r="K22" s="1147">
        <f>VLOOKUP(K19,Base_Mensuelle!$FL$67:$FY$679,4,0)</f>
        <v>99.62</v>
      </c>
      <c r="L22" s="1453">
        <f>VLOOKUP(L19,Base_Mensuelle!$FL$67:$FY$679,4,0)</f>
        <v>99.76</v>
      </c>
      <c r="M22" s="1453">
        <f>VLOOKUP(M19,Base_Mensuelle!$FL$67:$FY$679,4,0)</f>
        <v>97.93</v>
      </c>
    </row>
    <row r="23" spans="1:13">
      <c r="A23" s="1449" t="s">
        <v>816</v>
      </c>
      <c r="B23" s="1145">
        <f>VLOOKUP(B19,Base_Mensuelle!$FL$67:$FY$679,5,0)</f>
        <v>101.84396866784725</v>
      </c>
      <c r="C23" s="1145">
        <f>VLOOKUP(C19,Base_Mensuelle!$FL$67:$FY$679,5,0)</f>
        <v>101.84396866784725</v>
      </c>
      <c r="D23" s="1145">
        <f>VLOOKUP(D19,Base_Mensuelle!$FL$67:$FY$679,5,0)</f>
        <v>101.84</v>
      </c>
      <c r="E23" s="1145">
        <f>VLOOKUP(E19,Base_Mensuelle!$FL$67:$FY$679,5,0)</f>
        <v>101.84</v>
      </c>
      <c r="F23" s="1145">
        <f>VLOOKUP(F19,Base_Mensuelle!$FL$67:$FY$679,5,0)</f>
        <v>101.84</v>
      </c>
      <c r="G23" s="1145">
        <f>VLOOKUP(G19,Base_Mensuelle!$FL$67:$FY$679,5,0)</f>
        <v>101.84</v>
      </c>
      <c r="H23" s="1145">
        <f>VLOOKUP(H19,Base_Mensuelle!$FL$67:$FY$679,5,0)</f>
        <v>101.83</v>
      </c>
      <c r="I23" s="1145">
        <f>VLOOKUP(I19,Base_Mensuelle!$FL$67:$FY$679,5,0)</f>
        <v>101.84</v>
      </c>
      <c r="J23" s="1145">
        <f>VLOOKUP(J19,Base_Mensuelle!$FL$67:$FY$679,5,0)</f>
        <v>101.84</v>
      </c>
      <c r="K23" s="1145">
        <f>VLOOKUP(K19,Base_Mensuelle!$FL$67:$FY$679,5,0)</f>
        <v>101.84</v>
      </c>
      <c r="L23" s="1454">
        <f>VLOOKUP(L19,Base_Mensuelle!$FL$67:$FY$679,5,0)</f>
        <v>101.84</v>
      </c>
      <c r="M23" s="1454">
        <f>VLOOKUP(M19,Base_Mensuelle!$FL$67:$FY$679,5,0)</f>
        <v>101.84</v>
      </c>
    </row>
    <row r="24" spans="1:13" ht="24.6">
      <c r="A24" s="1436" t="s">
        <v>815</v>
      </c>
      <c r="B24" s="1147">
        <f>VLOOKUP(B19,Base_Mensuelle!$FL$67:$FY$679,6,0)</f>
        <v>114.81666931955201</v>
      </c>
      <c r="C24" s="1147">
        <f>VLOOKUP(C19,Base_Mensuelle!$FL$67:$FY$679,6,0)</f>
        <v>117.0375407725228</v>
      </c>
      <c r="D24" s="1147">
        <f>VLOOKUP(D19,Base_Mensuelle!$FL$67:$FY$679,6,0)</f>
        <v>113.89</v>
      </c>
      <c r="E24" s="1147">
        <f>VLOOKUP(E19,Base_Mensuelle!$FL$67:$FY$679,6,0)</f>
        <v>113.8</v>
      </c>
      <c r="F24" s="1147">
        <f>VLOOKUP(F19,Base_Mensuelle!$FL$67:$FY$679,6,0)</f>
        <v>118.4</v>
      </c>
      <c r="G24" s="1147">
        <f>VLOOKUP(G19,Base_Mensuelle!$FL$67:$FY$679,6,0)</f>
        <v>121.14</v>
      </c>
      <c r="H24" s="1147">
        <f>VLOOKUP(H19,Base_Mensuelle!$FL$67:$FY$679,6,0)</f>
        <v>115.21</v>
      </c>
      <c r="I24" s="1147">
        <f>VLOOKUP(I19,Base_Mensuelle!$FL$67:$FY$679,6,0)</f>
        <v>116.4</v>
      </c>
      <c r="J24" s="1147">
        <f>VLOOKUP(J19,Base_Mensuelle!$FL$67:$FY$679,6,0)</f>
        <v>118.16</v>
      </c>
      <c r="K24" s="1147">
        <f>VLOOKUP(K19,Base_Mensuelle!$FL$67:$FY$679,6,0)</f>
        <v>118.39</v>
      </c>
      <c r="L24" s="1453">
        <f>VLOOKUP(L19,Base_Mensuelle!$FL$67:$FY$679,6,0)</f>
        <v>116.28</v>
      </c>
      <c r="M24" s="1453">
        <f>VLOOKUP(M19,Base_Mensuelle!$FL$67:$FY$679,6,0)</f>
        <v>117.69</v>
      </c>
    </row>
    <row r="25" spans="1:13">
      <c r="A25" s="1448" t="s">
        <v>814</v>
      </c>
      <c r="B25" s="1145">
        <f>VLOOKUP(B19,Base_Mensuelle!$FL$67:$FY$679,7,0)</f>
        <v>98.67672042276908</v>
      </c>
      <c r="C25" s="1145">
        <f>VLOOKUP(C19,Base_Mensuelle!$FL$67:$FY$679,7,0)</f>
        <v>98.67672042276908</v>
      </c>
      <c r="D25" s="1145">
        <f>VLOOKUP(D19,Base_Mensuelle!$FL$67:$FY$679,7,0)</f>
        <v>98.79</v>
      </c>
      <c r="E25" s="1145">
        <f>VLOOKUP(E19,Base_Mensuelle!$FL$67:$FY$679,7,0)</f>
        <v>98.79</v>
      </c>
      <c r="F25" s="1145">
        <f>VLOOKUP(F19,Base_Mensuelle!$FL$67:$FY$679,7,0)</f>
        <v>98.79</v>
      </c>
      <c r="G25" s="1145">
        <f>VLOOKUP(G19,Base_Mensuelle!$FL$67:$FY$679,7,0)</f>
        <v>98.79</v>
      </c>
      <c r="H25" s="1145">
        <f>VLOOKUP(H19,Base_Mensuelle!$FL$67:$FY$679,7,0)</f>
        <v>98.79</v>
      </c>
      <c r="I25" s="1145">
        <f>VLOOKUP(I19,Base_Mensuelle!$FL$67:$FY$679,7,0)</f>
        <v>98.78</v>
      </c>
      <c r="J25" s="1145">
        <f>VLOOKUP(J19,Base_Mensuelle!$FL$67:$FY$679,7,0)</f>
        <v>98.78</v>
      </c>
      <c r="K25" s="1145">
        <f>VLOOKUP(K19,Base_Mensuelle!$FL$67:$FY$679,7,0)</f>
        <v>98.58</v>
      </c>
      <c r="L25" s="1454">
        <f>VLOOKUP(L19,Base_Mensuelle!$FL$67:$FY$679,7,0)</f>
        <v>98.58</v>
      </c>
      <c r="M25" s="1454">
        <f>VLOOKUP(M19,Base_Mensuelle!$FL$67:$FY$679,7,0)</f>
        <v>98.61</v>
      </c>
    </row>
    <row r="26" spans="1:13">
      <c r="A26" s="1450" t="s">
        <v>813</v>
      </c>
      <c r="B26" s="1147">
        <f>VLOOKUP(B19,Base_Mensuelle!$FL$67:$FY$679,8,0)</f>
        <v>100.86961129769</v>
      </c>
      <c r="C26" s="1147">
        <f>VLOOKUP(C19,Base_Mensuelle!$FL$67:$FY$679,8,0)</f>
        <v>100.90568781872146</v>
      </c>
      <c r="D26" s="1147">
        <f>VLOOKUP(D19,Base_Mensuelle!$FL$67:$FY$679,8,0)</f>
        <v>100.9</v>
      </c>
      <c r="E26" s="1147">
        <f>VLOOKUP(E19,Base_Mensuelle!$FL$67:$FY$679,8,0)</f>
        <v>100.9</v>
      </c>
      <c r="F26" s="1147">
        <f>VLOOKUP(F19,Base_Mensuelle!$FL$67:$FY$679,8,0)</f>
        <v>100.9</v>
      </c>
      <c r="G26" s="1147">
        <f>VLOOKUP(G19,Base_Mensuelle!$FL$67:$FY$679,8,0)</f>
        <v>100.9</v>
      </c>
      <c r="H26" s="1147">
        <f>VLOOKUP(H19,Base_Mensuelle!$FL$67:$FY$679,8,0)</f>
        <v>100.9</v>
      </c>
      <c r="I26" s="1147">
        <f>VLOOKUP(I19,Base_Mensuelle!$FL$67:$FY$679,8,0)</f>
        <v>100.9</v>
      </c>
      <c r="J26" s="1147">
        <f>VLOOKUP(J19,Base_Mensuelle!$FL$67:$FY$679,8,0)</f>
        <v>100.9</v>
      </c>
      <c r="K26" s="1147">
        <f>VLOOKUP(K19,Base_Mensuelle!$FL$67:$FY$679,8,0)</f>
        <v>100.9</v>
      </c>
      <c r="L26" s="1453">
        <f>VLOOKUP(L19,Base_Mensuelle!$FL$67:$FY$679,8,0)</f>
        <v>100.9</v>
      </c>
      <c r="M26" s="1453">
        <f>VLOOKUP(M19,Base_Mensuelle!$FL$67:$FY$679,8,0)</f>
        <v>100.9</v>
      </c>
    </row>
    <row r="27" spans="1:13">
      <c r="A27" s="1448" t="s">
        <v>812</v>
      </c>
      <c r="B27" s="1145">
        <f>VLOOKUP(B19,Base_Mensuelle!$FL$67:$FY$679,9,0)</f>
        <v>106.06666240405443</v>
      </c>
      <c r="C27" s="1145">
        <f>VLOOKUP(C19,Base_Mensuelle!$FL$67:$FY$679,9,0)</f>
        <v>106.15902848536787</v>
      </c>
      <c r="D27" s="1145">
        <f>VLOOKUP(D19,Base_Mensuelle!$FL$67:$FY$679,9,0)</f>
        <v>114.16</v>
      </c>
      <c r="E27" s="1145">
        <f>VLOOKUP(E19,Base_Mensuelle!$FL$67:$FY$679,9,0)</f>
        <v>114.59</v>
      </c>
      <c r="F27" s="1145">
        <f>VLOOKUP(F19,Base_Mensuelle!$FL$67:$FY$679,9,0)</f>
        <v>114.59</v>
      </c>
      <c r="G27" s="1145">
        <f>VLOOKUP(G19,Base_Mensuelle!$FL$67:$FY$679,9,0)</f>
        <v>114.59</v>
      </c>
      <c r="H27" s="1145">
        <f>VLOOKUP(H19,Base_Mensuelle!$FL$67:$FY$679,9,0)</f>
        <v>114.57</v>
      </c>
      <c r="I27" s="1145">
        <f>VLOOKUP(I19,Base_Mensuelle!$FL$67:$FY$679,9,0)</f>
        <v>114.62</v>
      </c>
      <c r="J27" s="1145">
        <f>VLOOKUP(J19,Base_Mensuelle!$FL$67:$FY$679,9,0)</f>
        <v>114.62</v>
      </c>
      <c r="K27" s="1145">
        <f>VLOOKUP(K19,Base_Mensuelle!$FL$67:$FY$679,9,0)</f>
        <v>114.62</v>
      </c>
      <c r="L27" s="1454">
        <f>VLOOKUP(L19,Base_Mensuelle!$FL$67:$FY$679,9,0)</f>
        <v>114.68</v>
      </c>
      <c r="M27" s="1454">
        <f>VLOOKUP(M19,Base_Mensuelle!$FL$67:$FY$679,9,0)</f>
        <v>114.68</v>
      </c>
    </row>
    <row r="28" spans="1:13">
      <c r="A28" s="1450" t="s">
        <v>811</v>
      </c>
      <c r="B28" s="1147">
        <f>VLOOKUP(B19,Base_Mensuelle!$FL$67:$FY$679,10,0)</f>
        <v>65.287848301361933</v>
      </c>
      <c r="C28" s="1147">
        <f>VLOOKUP(C19,Base_Mensuelle!$FL$67:$FY$679,10,0)</f>
        <v>64.18015722389913</v>
      </c>
      <c r="D28" s="1147">
        <f>VLOOKUP(D19,Base_Mensuelle!$FL$67:$FY$679,10,0)</f>
        <v>64.16</v>
      </c>
      <c r="E28" s="1147">
        <f>VLOOKUP(E19,Base_Mensuelle!$FL$67:$FY$679,10,0)</f>
        <v>64.16</v>
      </c>
      <c r="F28" s="1147">
        <f>VLOOKUP(F19,Base_Mensuelle!$FL$67:$FY$679,10,0)</f>
        <v>64.16</v>
      </c>
      <c r="G28" s="1147">
        <f>VLOOKUP(G19,Base_Mensuelle!$FL$67:$FY$679,10,0)</f>
        <v>64.16</v>
      </c>
      <c r="H28" s="1147">
        <f>VLOOKUP(H19,Base_Mensuelle!$FL$67:$FY$679,10,0)</f>
        <v>64.16</v>
      </c>
      <c r="I28" s="1147">
        <f>VLOOKUP(I19,Base_Mensuelle!$FL$67:$FY$679,10,0)</f>
        <v>64.16</v>
      </c>
      <c r="J28" s="1147">
        <f>VLOOKUP(J19,Base_Mensuelle!$FL$67:$FY$679,10,0)</f>
        <v>64.16</v>
      </c>
      <c r="K28" s="1147">
        <f>VLOOKUP(K19,Base_Mensuelle!$FL$67:$FY$679,10,0)</f>
        <v>64.16</v>
      </c>
      <c r="L28" s="1453">
        <f>VLOOKUP(L19,Base_Mensuelle!$FL$67:$FY$679,10,0)</f>
        <v>64.16</v>
      </c>
      <c r="M28" s="1453">
        <f>VLOOKUP(M19,Base_Mensuelle!$FL$67:$FY$679,10,0)</f>
        <v>64.16</v>
      </c>
    </row>
    <row r="29" spans="1:13">
      <c r="A29" s="1448" t="s">
        <v>810</v>
      </c>
      <c r="B29" s="1145">
        <f>VLOOKUP(B19,Base_Mensuelle!$FL$67:$FY$679,11,0)</f>
        <v>96.196255425336787</v>
      </c>
      <c r="C29" s="1145">
        <f>VLOOKUP(C19,Base_Mensuelle!$FL$67:$FY$679,11,0)</f>
        <v>96.196255425336787</v>
      </c>
      <c r="D29" s="1145">
        <f>VLOOKUP(D19,Base_Mensuelle!$FL$67:$FY$679,11,0)</f>
        <v>96.27</v>
      </c>
      <c r="E29" s="1145">
        <f>VLOOKUP(E19,Base_Mensuelle!$FL$67:$FY$679,11,0)</f>
        <v>96.27</v>
      </c>
      <c r="F29" s="1145">
        <f>VLOOKUP(F19,Base_Mensuelle!$FL$67:$FY$679,11,0)</f>
        <v>96.27</v>
      </c>
      <c r="G29" s="1145">
        <f>VLOOKUP(G19,Base_Mensuelle!$FL$67:$FY$679,11,0)</f>
        <v>96.27</v>
      </c>
      <c r="H29" s="1145">
        <f>VLOOKUP(H19,Base_Mensuelle!$FL$67:$FY$679,11,0)</f>
        <v>96.24</v>
      </c>
      <c r="I29" s="1145">
        <f>VLOOKUP(I19,Base_Mensuelle!$FL$67:$FY$679,11,0)</f>
        <v>96.28</v>
      </c>
      <c r="J29" s="1145">
        <f>VLOOKUP(J19,Base_Mensuelle!$FL$67:$FY$679,11,0)</f>
        <v>96.28</v>
      </c>
      <c r="K29" s="1145">
        <f>VLOOKUP(K19,Base_Mensuelle!$FL$67:$FY$679,11,0)</f>
        <v>96.31</v>
      </c>
      <c r="L29" s="1454">
        <f>VLOOKUP(L19,Base_Mensuelle!$FL$67:$FY$679,11,0)</f>
        <v>96.37</v>
      </c>
      <c r="M29" s="1454">
        <f>VLOOKUP(M19,Base_Mensuelle!$FL$67:$FY$679,11,0)</f>
        <v>96.37</v>
      </c>
    </row>
    <row r="30" spans="1:13">
      <c r="A30" s="1450" t="s">
        <v>809</v>
      </c>
      <c r="B30" s="1147">
        <f>VLOOKUP(B19,Base_Mensuelle!$FL$67:$FY$679,12,0)</f>
        <v>104.37383572273448</v>
      </c>
      <c r="C30" s="1147">
        <f>VLOOKUP(C19,Base_Mensuelle!$FL$67:$FY$679,12,0)</f>
        <v>104.37383572273448</v>
      </c>
      <c r="D30" s="1147">
        <f>VLOOKUP(D19,Base_Mensuelle!$FL$67:$FY$679,12,0)</f>
        <v>104.38</v>
      </c>
      <c r="E30" s="1147">
        <f>VLOOKUP(E19,Base_Mensuelle!$FL$67:$FY$679,12,0)</f>
        <v>104.38</v>
      </c>
      <c r="F30" s="1147">
        <f>VLOOKUP(F19,Base_Mensuelle!$FL$67:$FY$679,12,0)</f>
        <v>104.38</v>
      </c>
      <c r="G30" s="1147">
        <f>VLOOKUP(G19,Base_Mensuelle!$FL$67:$FY$679,12,0)</f>
        <v>104.38</v>
      </c>
      <c r="H30" s="1147">
        <f>VLOOKUP(H19,Base_Mensuelle!$FL$67:$FY$679,12,0)</f>
        <v>104.38</v>
      </c>
      <c r="I30" s="1147">
        <f>VLOOKUP(I19,Base_Mensuelle!$FL$67:$FY$679,12,0)</f>
        <v>104.38</v>
      </c>
      <c r="J30" s="1147">
        <f>VLOOKUP(J19,Base_Mensuelle!$FL$67:$FY$679,12,0)</f>
        <v>104.38</v>
      </c>
      <c r="K30" s="1147">
        <f>VLOOKUP(K19,Base_Mensuelle!$FL$67:$FY$679,12,0)</f>
        <v>108.12</v>
      </c>
      <c r="L30" s="1453">
        <f>VLOOKUP(L19,Base_Mensuelle!$FL$67:$FY$679,12,0)</f>
        <v>108.12</v>
      </c>
      <c r="M30" s="1453">
        <f>VLOOKUP(M19,Base_Mensuelle!$FL$67:$FY$679,12,0)</f>
        <v>108.12</v>
      </c>
    </row>
    <row r="31" spans="1:13">
      <c r="A31" s="1448" t="s">
        <v>808</v>
      </c>
      <c r="B31" s="1145">
        <f>VLOOKUP(B19,Base_Mensuelle!$FL$67:$FY$679,13,0)</f>
        <v>113.68775943189426</v>
      </c>
      <c r="C31" s="1145">
        <f>VLOOKUP(C19,Base_Mensuelle!$FL$67:$FY$679,13,0)</f>
        <v>113.21323230194639</v>
      </c>
      <c r="D31" s="1145">
        <f>VLOOKUP(D19,Base_Mensuelle!$FL$67:$FY$679,13,0)</f>
        <v>113.21</v>
      </c>
      <c r="E31" s="1145">
        <f>VLOOKUP(E19,Base_Mensuelle!$FL$67:$FY$679,13,0)</f>
        <v>113.21</v>
      </c>
      <c r="F31" s="1145">
        <f>VLOOKUP(F19,Base_Mensuelle!$FL$67:$FY$679,13,0)</f>
        <v>113.21</v>
      </c>
      <c r="G31" s="1145">
        <f>VLOOKUP(G19,Base_Mensuelle!$FL$67:$FY$679,13,0)</f>
        <v>113.21</v>
      </c>
      <c r="H31" s="1145">
        <f>VLOOKUP(H19,Base_Mensuelle!$FL$67:$FY$679,13,0)</f>
        <v>113.61</v>
      </c>
      <c r="I31" s="1145">
        <f>VLOOKUP(I19,Base_Mensuelle!$FL$67:$FY$679,13,0)</f>
        <v>113.61</v>
      </c>
      <c r="J31" s="1145">
        <f>VLOOKUP(J19,Base_Mensuelle!$FL$67:$FY$679,13,0)</f>
        <v>113.61</v>
      </c>
      <c r="K31" s="1145">
        <f>VLOOKUP(K19,Base_Mensuelle!$FL$67:$FY$679,13,0)</f>
        <v>114.77</v>
      </c>
      <c r="L31" s="1454">
        <f>VLOOKUP(L19,Base_Mensuelle!$FL$67:$FY$679,13,0)</f>
        <v>111.59</v>
      </c>
      <c r="M31" s="1454">
        <f>VLOOKUP(M19,Base_Mensuelle!$FL$67:$FY$679,13,0)</f>
        <v>111.9</v>
      </c>
    </row>
    <row r="32" spans="1:13">
      <c r="A32" s="1451" t="s">
        <v>807</v>
      </c>
      <c r="B32" s="454">
        <f>VLOOKUP(B19,Base_Mensuelle!$FL$67:$FY$679,14,0)</f>
        <v>103.98017542629509</v>
      </c>
      <c r="C32" s="454"/>
      <c r="D32" s="454">
        <f>VLOOKUP(D19,Base_Mensuelle!$FL$67:$FY$679,14,0)</f>
        <v>105.01</v>
      </c>
      <c r="E32" s="454">
        <f>VLOOKUP(E19,Base_Mensuelle!$FL$67:$FY$679,14,0)</f>
        <v>105.01</v>
      </c>
      <c r="F32" s="454">
        <f>VLOOKUP(F19,Base_Mensuelle!$FL$67:$FY$679,14,0)</f>
        <v>105.01</v>
      </c>
      <c r="G32" s="454">
        <f>VLOOKUP(G19,Base_Mensuelle!$FL$67:$FY$679,14,0)</f>
        <v>105.01</v>
      </c>
      <c r="H32" s="454">
        <f>VLOOKUP(H19,Base_Mensuelle!$FL$67:$FY$679,14,0)</f>
        <v>104.94</v>
      </c>
      <c r="I32" s="454">
        <f>VLOOKUP(I19,Base_Mensuelle!$FL$67:$FY$679,14,0)</f>
        <v>104.94</v>
      </c>
      <c r="J32" s="454">
        <f>VLOOKUP(J19,Base_Mensuelle!$FL$67:$FY$679,14,0)</f>
        <v>104.94</v>
      </c>
      <c r="K32" s="454">
        <f>VLOOKUP(K19,Base_Mensuelle!$FL$67:$FY$679,14,0)</f>
        <v>104.94</v>
      </c>
      <c r="L32" s="454">
        <f>VLOOKUP(L19,Base_Mensuelle!$FL$67:$FY$679,14,0)</f>
        <v>104.95</v>
      </c>
      <c r="M32" s="454">
        <f>VLOOKUP(M19,Base_Mensuelle!$FL$67:$FY$679,14,0)</f>
        <v>104.95</v>
      </c>
    </row>
    <row r="34" spans="1:13" ht="18" customHeight="1">
      <c r="A34" s="1457"/>
      <c r="B34" s="1522">
        <f>DATE(YEAR(INDEX(Base_Mensuelle!$FL$68:$FZ$679,MAX(Base_Mensuelle!$FZ$68:$FZ$679),1))-8,1,1)</f>
        <v>42005</v>
      </c>
      <c r="C34" s="1522">
        <f>DATE(YEAR(INDEX(Base_Mensuelle!$FL$68:$FZ$679,MAX(Base_Mensuelle!$FZ$68:$FZ$679),1))-8,2,1)</f>
        <v>42036</v>
      </c>
      <c r="D34" s="1522">
        <f>DATE(YEAR(INDEX(Base_Mensuelle!$FL$68:$FZ$679,MAX(Base_Mensuelle!$FZ$68:$FZ$679),1))-8,3,1)</f>
        <v>42064</v>
      </c>
      <c r="E34" s="1522">
        <f>DATE(YEAR(INDEX(Base_Mensuelle!$FL$68:$FZ$679,MAX(Base_Mensuelle!$FZ$68:$FZ$679),1))-8,4,1)</f>
        <v>42095</v>
      </c>
      <c r="F34" s="1522">
        <f>DATE(YEAR(INDEX(Base_Mensuelle!$FL$68:$FZ$679,MAX(Base_Mensuelle!$FZ$68:$FZ$679),1))-8,5,1)</f>
        <v>42125</v>
      </c>
      <c r="G34" s="1522">
        <f>DATE(YEAR(INDEX(Base_Mensuelle!$FL$68:$FZ$679,MAX(Base_Mensuelle!$FZ$68:$FZ$679),1))-8,6,1)</f>
        <v>42156</v>
      </c>
      <c r="H34" s="1522">
        <f>DATE(YEAR(INDEX(Base_Mensuelle!$FL$68:$FZ$679,MAX(Base_Mensuelle!$FZ$68:$FZ$679),1))-8,7,1)</f>
        <v>42186</v>
      </c>
      <c r="I34" s="1522">
        <f>DATE(YEAR(INDEX(Base_Mensuelle!$FL$68:$FZ$679,MAX(Base_Mensuelle!$FZ$68:$FZ$679),1))-8,8,1)</f>
        <v>42217</v>
      </c>
      <c r="J34" s="1522">
        <f>DATE(YEAR(INDEX(Base_Mensuelle!$FL$68:$FZ$679,MAX(Base_Mensuelle!$FZ$68:$FZ$679),1))-8,9,1)</f>
        <v>42248</v>
      </c>
      <c r="K34" s="1522">
        <f>DATE(YEAR(INDEX(Base_Mensuelle!$FL$68:$FZ$679,MAX(Base_Mensuelle!$FZ$68:$FZ$679),1))-8,10,1)</f>
        <v>42278</v>
      </c>
      <c r="L34" s="1522">
        <f>DATE(YEAR(INDEX(Base_Mensuelle!$FL$68:$FZ$679,MAX(Base_Mensuelle!$FZ$68:$FZ$679),1))-8,11,1)</f>
        <v>42309</v>
      </c>
      <c r="M34" s="1522">
        <f>DATE(YEAR(INDEX(Base_Mensuelle!$FL$68:$FZ$679,MAX(Base_Mensuelle!$FZ$68:$FZ$679),1))-8,12,1)</f>
        <v>42339</v>
      </c>
    </row>
    <row r="35" spans="1:13" ht="18" customHeight="1">
      <c r="A35" s="1292" t="s">
        <v>222</v>
      </c>
      <c r="B35" s="406">
        <f>VLOOKUP(B34,Base_Mensuelle!$FL$67:$FY$679,2,0)</f>
        <v>99.78</v>
      </c>
      <c r="C35" s="406">
        <f>VLOOKUP(C34,Base_Mensuelle!$FL$67:$FY$679,2,0)</f>
        <v>99.86</v>
      </c>
      <c r="D35" s="406">
        <f>VLOOKUP(D34,Base_Mensuelle!$FL$67:$FY$679,2,0)</f>
        <v>99.85</v>
      </c>
      <c r="E35" s="406">
        <f>VLOOKUP(E34,Base_Mensuelle!$FL$67:$FY$679,2,0)</f>
        <v>99.81</v>
      </c>
      <c r="F35" s="406">
        <f>VLOOKUP(F34,Base_Mensuelle!$FL$67:$FY$679,2,0)</f>
        <v>100.79</v>
      </c>
      <c r="G35" s="406">
        <f>VLOOKUP(G34,Base_Mensuelle!$FL$67:$FY$679,2,0)</f>
        <v>103.07</v>
      </c>
      <c r="H35" s="406">
        <f>VLOOKUP(H34,Base_Mensuelle!$FL$67:$FY$679,2,0)</f>
        <v>103.14</v>
      </c>
      <c r="I35" s="406">
        <f>VLOOKUP(I34,Base_Mensuelle!$FL$67:$FY$679,2,0)</f>
        <v>103.41</v>
      </c>
      <c r="J35" s="406">
        <f>VLOOKUP(J34,Base_Mensuelle!$FL$67:$FY$679,2,0)</f>
        <v>101.83</v>
      </c>
      <c r="K35" s="406">
        <f>VLOOKUP(K34,Base_Mensuelle!$FL$67:$FY$679,2,0)</f>
        <v>103.14</v>
      </c>
      <c r="L35" s="406">
        <f>VLOOKUP(L34,Base_Mensuelle!$FL$67:$FY$679,2,0)</f>
        <v>102.42</v>
      </c>
      <c r="M35" s="406">
        <f>VLOOKUP(M34,Base_Mensuelle!$FL$67:$FY$679,2,0)</f>
        <v>102.74</v>
      </c>
    </row>
    <row r="36" spans="1:13" ht="24.6">
      <c r="A36" s="1286" t="s">
        <v>818</v>
      </c>
      <c r="B36" s="403">
        <f>VLOOKUP(B34,Base_Mensuelle!$FL$67:$FY$679,3,0)</f>
        <v>99.07</v>
      </c>
      <c r="C36" s="403">
        <f>VLOOKUP(C34,Base_Mensuelle!$FL$67:$FY$679,3,0)</f>
        <v>99.92</v>
      </c>
      <c r="D36" s="403">
        <f>VLOOKUP(D34,Base_Mensuelle!$FL$67:$FY$679,3,0)</f>
        <v>99.73</v>
      </c>
      <c r="E36" s="403">
        <f>VLOOKUP(E34,Base_Mensuelle!$FL$67:$FY$679,3,0)</f>
        <v>100.41</v>
      </c>
      <c r="F36" s="403">
        <f>VLOOKUP(F34,Base_Mensuelle!$FL$67:$FY$679,3,0)</f>
        <v>101.81</v>
      </c>
      <c r="G36" s="403">
        <f>VLOOKUP(G34,Base_Mensuelle!$FL$67:$FY$679,3,0)</f>
        <v>105.65</v>
      </c>
      <c r="H36" s="403">
        <f>VLOOKUP(H34,Base_Mensuelle!$FL$67:$FY$679,3,0)</f>
        <v>105.98</v>
      </c>
      <c r="I36" s="403">
        <f>VLOOKUP(I34,Base_Mensuelle!$FL$67:$FY$679,3,0)</f>
        <v>106.54</v>
      </c>
      <c r="J36" s="403">
        <f>VLOOKUP(J34,Base_Mensuelle!$FL$67:$FY$679,3,0)</f>
        <v>104.49</v>
      </c>
      <c r="K36" s="403">
        <f>VLOOKUP(K34,Base_Mensuelle!$FL$67:$FY$679,3,0)</f>
        <v>105.8</v>
      </c>
      <c r="L36" s="403">
        <f>VLOOKUP(L34,Base_Mensuelle!$FL$67:$FY$679,3,0)</f>
        <v>104.72</v>
      </c>
      <c r="M36" s="403">
        <f>VLOOKUP(M34,Base_Mensuelle!$FL$67:$FY$679,3,0)</f>
        <v>103.73</v>
      </c>
    </row>
    <row r="37" spans="1:13" ht="24.6">
      <c r="A37" s="1289" t="s">
        <v>817</v>
      </c>
      <c r="B37" s="1147">
        <f>VLOOKUP(B34,Base_Mensuelle!$FL$67:$FY$679,4,0)</f>
        <v>101.27</v>
      </c>
      <c r="C37" s="1147">
        <f>VLOOKUP(C34,Base_Mensuelle!$FL$67:$FY$679,4,0)</f>
        <v>95.59</v>
      </c>
      <c r="D37" s="1147">
        <f>VLOOKUP(D34,Base_Mensuelle!$FL$67:$FY$679,4,0)</f>
        <v>97.56</v>
      </c>
      <c r="E37" s="1147">
        <f>VLOOKUP(E34,Base_Mensuelle!$FL$67:$FY$679,4,0)</f>
        <v>98.4</v>
      </c>
      <c r="F37" s="1147">
        <f>VLOOKUP(F34,Base_Mensuelle!$FL$67:$FY$679,4,0)</f>
        <v>98.3</v>
      </c>
      <c r="G37" s="1147">
        <f>VLOOKUP(G34,Base_Mensuelle!$FL$67:$FY$679,4,0)</f>
        <v>103.57</v>
      </c>
      <c r="H37" s="1147">
        <f>VLOOKUP(H34,Base_Mensuelle!$FL$67:$FY$679,4,0)</f>
        <v>102.21</v>
      </c>
      <c r="I37" s="1147">
        <f>VLOOKUP(I34,Base_Mensuelle!$FL$67:$FY$679,4,0)</f>
        <v>102.99</v>
      </c>
      <c r="J37" s="1147">
        <f>VLOOKUP(J34,Base_Mensuelle!$FL$67:$FY$679,4,0)</f>
        <v>94.52</v>
      </c>
      <c r="K37" s="1147">
        <f>VLOOKUP(K34,Base_Mensuelle!$FL$67:$FY$679,4,0)</f>
        <v>99.11</v>
      </c>
      <c r="L37" s="1147">
        <f>VLOOKUP(L34,Base_Mensuelle!$FL$67:$FY$679,4,0)</f>
        <v>97.9</v>
      </c>
      <c r="M37" s="1147">
        <f>VLOOKUP(M34,Base_Mensuelle!$FL$67:$FY$679,4,0)</f>
        <v>95.08</v>
      </c>
    </row>
    <row r="38" spans="1:13">
      <c r="A38" s="1288" t="s">
        <v>816</v>
      </c>
      <c r="B38" s="1145">
        <f>VLOOKUP(B34,Base_Mensuelle!$FL$67:$FY$679,5,0)</f>
        <v>101.37</v>
      </c>
      <c r="C38" s="1145">
        <f>VLOOKUP(C34,Base_Mensuelle!$FL$67:$FY$679,5,0)</f>
        <v>100.11</v>
      </c>
      <c r="D38" s="1145">
        <f>VLOOKUP(D34,Base_Mensuelle!$FL$67:$FY$679,5,0)</f>
        <v>99.61</v>
      </c>
      <c r="E38" s="1145">
        <f>VLOOKUP(E34,Base_Mensuelle!$FL$67:$FY$679,5,0)</f>
        <v>99.84</v>
      </c>
      <c r="F38" s="1145">
        <f>VLOOKUP(F34,Base_Mensuelle!$FL$67:$FY$679,5,0)</f>
        <v>99.44</v>
      </c>
      <c r="G38" s="1145">
        <f>VLOOKUP(G34,Base_Mensuelle!$FL$67:$FY$679,5,0)</f>
        <v>99.44</v>
      </c>
      <c r="H38" s="1145">
        <f>VLOOKUP(H34,Base_Mensuelle!$FL$67:$FY$679,5,0)</f>
        <v>98.67</v>
      </c>
      <c r="I38" s="1145">
        <f>VLOOKUP(I34,Base_Mensuelle!$FL$67:$FY$679,5,0)</f>
        <v>98.59</v>
      </c>
      <c r="J38" s="1145">
        <f>VLOOKUP(J34,Base_Mensuelle!$FL$67:$FY$679,5,0)</f>
        <v>98.24</v>
      </c>
      <c r="K38" s="1145">
        <f>VLOOKUP(K34,Base_Mensuelle!$FL$67:$FY$679,5,0)</f>
        <v>98.99</v>
      </c>
      <c r="L38" s="1145">
        <f>VLOOKUP(L34,Base_Mensuelle!$FL$67:$FY$679,5,0)</f>
        <v>99.37</v>
      </c>
      <c r="M38" s="1145">
        <f>VLOOKUP(M34,Base_Mensuelle!$FL$67:$FY$679,5,0)</f>
        <v>99.62</v>
      </c>
    </row>
    <row r="39" spans="1:13" ht="24.6">
      <c r="A39" s="1289" t="s">
        <v>815</v>
      </c>
      <c r="B39" s="1147">
        <f>VLOOKUP(B34,Base_Mensuelle!$FL$67:$FY$679,6,0)</f>
        <v>99.3</v>
      </c>
      <c r="C39" s="1147">
        <f>VLOOKUP(C34,Base_Mensuelle!$FL$67:$FY$679,6,0)</f>
        <v>99.45</v>
      </c>
      <c r="D39" s="1147">
        <f>VLOOKUP(D34,Base_Mensuelle!$FL$67:$FY$679,6,0)</f>
        <v>99.5</v>
      </c>
      <c r="E39" s="1147">
        <f>VLOOKUP(E34,Base_Mensuelle!$FL$67:$FY$679,6,0)</f>
        <v>95.96</v>
      </c>
      <c r="F39" s="1147">
        <f>VLOOKUP(F34,Base_Mensuelle!$FL$67:$FY$679,6,0)</f>
        <v>98.96</v>
      </c>
      <c r="G39" s="1147">
        <f>VLOOKUP(G34,Base_Mensuelle!$FL$67:$FY$679,6,0)</f>
        <v>101.27</v>
      </c>
      <c r="H39" s="1147">
        <f>VLOOKUP(H34,Base_Mensuelle!$FL$67:$FY$679,6,0)</f>
        <v>102.73</v>
      </c>
      <c r="I39" s="1147">
        <f>VLOOKUP(I34,Base_Mensuelle!$FL$67:$FY$679,6,0)</f>
        <v>101.75</v>
      </c>
      <c r="J39" s="1147">
        <f>VLOOKUP(J34,Base_Mensuelle!$FL$67:$FY$679,6,0)</f>
        <v>98.99</v>
      </c>
      <c r="K39" s="1147">
        <f>VLOOKUP(K34,Base_Mensuelle!$FL$67:$FY$679,6,0)</f>
        <v>103.46</v>
      </c>
      <c r="L39" s="1147">
        <f>VLOOKUP(L34,Base_Mensuelle!$FL$67:$FY$679,6,0)</f>
        <v>102.68</v>
      </c>
      <c r="M39" s="1147">
        <f>VLOOKUP(M34,Base_Mensuelle!$FL$67:$FY$679,6,0)</f>
        <v>112.68</v>
      </c>
    </row>
    <row r="40" spans="1:13">
      <c r="A40" s="1286" t="s">
        <v>814</v>
      </c>
      <c r="B40" s="1145">
        <f>VLOOKUP(B34,Base_Mensuelle!$FL$67:$FY$679,7,0)</f>
        <v>100.1</v>
      </c>
      <c r="C40" s="1145">
        <f>VLOOKUP(C34,Base_Mensuelle!$FL$67:$FY$679,7,0)</f>
        <v>100.12</v>
      </c>
      <c r="D40" s="1145">
        <f>VLOOKUP(D34,Base_Mensuelle!$FL$67:$FY$679,7,0)</f>
        <v>100.08</v>
      </c>
      <c r="E40" s="1145">
        <f>VLOOKUP(E34,Base_Mensuelle!$FL$67:$FY$679,7,0)</f>
        <v>100.1</v>
      </c>
      <c r="F40" s="1145">
        <f>VLOOKUP(F34,Base_Mensuelle!$FL$67:$FY$679,7,0)</f>
        <v>100.08</v>
      </c>
      <c r="G40" s="1145">
        <f>VLOOKUP(G34,Base_Mensuelle!$FL$67:$FY$679,7,0)</f>
        <v>100.09</v>
      </c>
      <c r="H40" s="1145">
        <f>VLOOKUP(H34,Base_Mensuelle!$FL$67:$FY$679,7,0)</f>
        <v>100.2</v>
      </c>
      <c r="I40" s="1145">
        <f>VLOOKUP(I34,Base_Mensuelle!$FL$67:$FY$679,7,0)</f>
        <v>100.14</v>
      </c>
      <c r="J40" s="1145">
        <f>VLOOKUP(J34,Base_Mensuelle!$FL$67:$FY$679,7,0)</f>
        <v>100.14</v>
      </c>
      <c r="K40" s="1145">
        <f>VLOOKUP(K34,Base_Mensuelle!$FL$67:$FY$679,7,0)</f>
        <v>100.38</v>
      </c>
      <c r="L40" s="1145">
        <f>VLOOKUP(L34,Base_Mensuelle!$FL$67:$FY$679,7,0)</f>
        <v>100.5</v>
      </c>
      <c r="M40" s="1145">
        <f>VLOOKUP(M34,Base_Mensuelle!$FL$67:$FY$679,7,0)</f>
        <v>100.33</v>
      </c>
    </row>
    <row r="41" spans="1:13">
      <c r="A41" s="1290" t="s">
        <v>813</v>
      </c>
      <c r="B41" s="1147">
        <f>VLOOKUP(B34,Base_Mensuelle!$FL$67:$FY$679,8,0)</f>
        <v>100.05</v>
      </c>
      <c r="C41" s="1147">
        <f>VLOOKUP(C34,Base_Mensuelle!$FL$67:$FY$679,8,0)</f>
        <v>100.05</v>
      </c>
      <c r="D41" s="1147">
        <f>VLOOKUP(D34,Base_Mensuelle!$FL$67:$FY$679,8,0)</f>
        <v>100.05</v>
      </c>
      <c r="E41" s="1147">
        <f>VLOOKUP(E34,Base_Mensuelle!$FL$67:$FY$679,8,0)</f>
        <v>100.05</v>
      </c>
      <c r="F41" s="1147">
        <f>VLOOKUP(F34,Base_Mensuelle!$FL$67:$FY$679,8,0)</f>
        <v>100.05</v>
      </c>
      <c r="G41" s="1147">
        <f>VLOOKUP(G34,Base_Mensuelle!$FL$67:$FY$679,8,0)</f>
        <v>100.05</v>
      </c>
      <c r="H41" s="1147">
        <f>VLOOKUP(H34,Base_Mensuelle!$FL$67:$FY$679,8,0)</f>
        <v>100.16</v>
      </c>
      <c r="I41" s="1147">
        <f>VLOOKUP(I34,Base_Mensuelle!$FL$67:$FY$679,8,0)</f>
        <v>100.17</v>
      </c>
      <c r="J41" s="1147">
        <f>VLOOKUP(J34,Base_Mensuelle!$FL$67:$FY$679,8,0)</f>
        <v>100.17</v>
      </c>
      <c r="K41" s="1147">
        <f>VLOOKUP(K34,Base_Mensuelle!$FL$67:$FY$679,8,0)</f>
        <v>100.07</v>
      </c>
      <c r="L41" s="1147">
        <f>VLOOKUP(L34,Base_Mensuelle!$FL$67:$FY$679,8,0)</f>
        <v>100.07</v>
      </c>
      <c r="M41" s="1147">
        <f>VLOOKUP(M34,Base_Mensuelle!$FL$67:$FY$679,8,0)</f>
        <v>100.07</v>
      </c>
    </row>
    <row r="42" spans="1:13">
      <c r="A42" s="1286" t="s">
        <v>812</v>
      </c>
      <c r="B42" s="1145">
        <f>VLOOKUP(B34,Base_Mensuelle!$FL$67:$FY$679,9,0)</f>
        <v>99.87</v>
      </c>
      <c r="C42" s="1145">
        <f>VLOOKUP(C34,Base_Mensuelle!$FL$67:$FY$679,9,0)</f>
        <v>99.44</v>
      </c>
      <c r="D42" s="1145">
        <f>VLOOKUP(D34,Base_Mensuelle!$FL$67:$FY$679,9,0)</f>
        <v>98.86</v>
      </c>
      <c r="E42" s="1145">
        <f>VLOOKUP(E34,Base_Mensuelle!$FL$67:$FY$679,9,0)</f>
        <v>98.56</v>
      </c>
      <c r="F42" s="1145">
        <f>VLOOKUP(F34,Base_Mensuelle!$FL$67:$FY$679,9,0)</f>
        <v>98.5</v>
      </c>
      <c r="G42" s="1145">
        <f>VLOOKUP(G34,Base_Mensuelle!$FL$67:$FY$679,9,0)</f>
        <v>98.44</v>
      </c>
      <c r="H42" s="1145">
        <f>VLOOKUP(H34,Base_Mensuelle!$FL$67:$FY$679,9,0)</f>
        <v>98.45</v>
      </c>
      <c r="I42" s="1145">
        <f>VLOOKUP(I34,Base_Mensuelle!$FL$67:$FY$679,9,0)</f>
        <v>98.17</v>
      </c>
      <c r="J42" s="1145">
        <f>VLOOKUP(J34,Base_Mensuelle!$FL$67:$FY$679,9,0)</f>
        <v>98.46</v>
      </c>
      <c r="K42" s="1145">
        <f>VLOOKUP(K34,Base_Mensuelle!$FL$67:$FY$679,9,0)</f>
        <v>98.76</v>
      </c>
      <c r="L42" s="1145">
        <f>VLOOKUP(L34,Base_Mensuelle!$FL$67:$FY$679,9,0)</f>
        <v>97.92</v>
      </c>
      <c r="M42" s="1145">
        <f>VLOOKUP(M34,Base_Mensuelle!$FL$67:$FY$679,9,0)</f>
        <v>98.01</v>
      </c>
    </row>
    <row r="43" spans="1:13">
      <c r="A43" s="1290" t="s">
        <v>811</v>
      </c>
      <c r="B43" s="1147">
        <f>VLOOKUP(B34,Base_Mensuelle!$FL$67:$FY$679,10,0)</f>
        <v>99.91</v>
      </c>
      <c r="C43" s="1147">
        <f>VLOOKUP(C34,Base_Mensuelle!$FL$67:$FY$679,10,0)</f>
        <v>99.91</v>
      </c>
      <c r="D43" s="1147">
        <f>VLOOKUP(D34,Base_Mensuelle!$FL$67:$FY$679,10,0)</f>
        <v>99.91</v>
      </c>
      <c r="E43" s="1147">
        <f>VLOOKUP(E34,Base_Mensuelle!$FL$67:$FY$679,10,0)</f>
        <v>99.91</v>
      </c>
      <c r="F43" s="1147">
        <f>VLOOKUP(F34,Base_Mensuelle!$FL$67:$FY$679,10,0)</f>
        <v>99.91</v>
      </c>
      <c r="G43" s="1147">
        <f>VLOOKUP(G34,Base_Mensuelle!$FL$67:$FY$679,10,0)</f>
        <v>99.91</v>
      </c>
      <c r="H43" s="1147">
        <f>VLOOKUP(H34,Base_Mensuelle!$FL$67:$FY$679,10,0)</f>
        <v>99.96</v>
      </c>
      <c r="I43" s="1147">
        <f>VLOOKUP(I34,Base_Mensuelle!$FL$67:$FY$679,10,0)</f>
        <v>99.96</v>
      </c>
      <c r="J43" s="1147">
        <f>VLOOKUP(J34,Base_Mensuelle!$FL$67:$FY$679,10,0)</f>
        <v>99.96</v>
      </c>
      <c r="K43" s="1147">
        <f>VLOOKUP(K34,Base_Mensuelle!$FL$67:$FY$679,10,0)</f>
        <v>99.96</v>
      </c>
      <c r="L43" s="1147">
        <f>VLOOKUP(L34,Base_Mensuelle!$FL$67:$FY$679,10,0)</f>
        <v>99.96</v>
      </c>
      <c r="M43" s="1147">
        <f>VLOOKUP(M34,Base_Mensuelle!$FL$67:$FY$679,10,0)</f>
        <v>100.55</v>
      </c>
    </row>
    <row r="44" spans="1:13">
      <c r="A44" s="1286" t="s">
        <v>810</v>
      </c>
      <c r="B44" s="1145">
        <f>VLOOKUP(B34,Base_Mensuelle!$FL$67:$FY$679,11,0)</f>
        <v>99.84</v>
      </c>
      <c r="C44" s="1145">
        <f>VLOOKUP(C34,Base_Mensuelle!$FL$67:$FY$679,11,0)</f>
        <v>99.83</v>
      </c>
      <c r="D44" s="1145">
        <f>VLOOKUP(D34,Base_Mensuelle!$FL$67:$FY$679,11,0)</f>
        <v>99.61</v>
      </c>
      <c r="E44" s="1145">
        <f>VLOOKUP(E34,Base_Mensuelle!$FL$67:$FY$679,11,0)</f>
        <v>99.82</v>
      </c>
      <c r="F44" s="1145">
        <f>VLOOKUP(F34,Base_Mensuelle!$FL$67:$FY$679,11,0)</f>
        <v>99.6</v>
      </c>
      <c r="G44" s="1145">
        <f>VLOOKUP(G34,Base_Mensuelle!$FL$67:$FY$679,11,0)</f>
        <v>99.71</v>
      </c>
      <c r="H44" s="1145">
        <f>VLOOKUP(H34,Base_Mensuelle!$FL$67:$FY$679,11,0)</f>
        <v>103.98</v>
      </c>
      <c r="I44" s="1145">
        <f>VLOOKUP(I34,Base_Mensuelle!$FL$67:$FY$679,11,0)</f>
        <v>103.84</v>
      </c>
      <c r="J44" s="1145">
        <f>VLOOKUP(J34,Base_Mensuelle!$FL$67:$FY$679,11,0)</f>
        <v>103.84</v>
      </c>
      <c r="K44" s="1145">
        <f>VLOOKUP(K34,Base_Mensuelle!$FL$67:$FY$679,11,0)</f>
        <v>103.84</v>
      </c>
      <c r="L44" s="1145">
        <f>VLOOKUP(L34,Base_Mensuelle!$FL$67:$FY$679,11,0)</f>
        <v>104.02</v>
      </c>
      <c r="M44" s="1145">
        <f>VLOOKUP(M34,Base_Mensuelle!$FL$67:$FY$679,11,0)</f>
        <v>104.45</v>
      </c>
    </row>
    <row r="45" spans="1:13">
      <c r="A45" s="1290" t="s">
        <v>809</v>
      </c>
      <c r="B45" s="1147">
        <f>VLOOKUP(B34,Base_Mensuelle!$FL$67:$FY$679,12,0)</f>
        <v>101.34</v>
      </c>
      <c r="C45" s="1147">
        <f>VLOOKUP(C34,Base_Mensuelle!$FL$67:$FY$679,12,0)</f>
        <v>101.34</v>
      </c>
      <c r="D45" s="1147">
        <f>VLOOKUP(D34,Base_Mensuelle!$FL$67:$FY$679,12,0)</f>
        <v>101.34</v>
      </c>
      <c r="E45" s="1147">
        <f>VLOOKUP(E34,Base_Mensuelle!$FL$67:$FY$679,12,0)</f>
        <v>101.34</v>
      </c>
      <c r="F45" s="1147">
        <f>VLOOKUP(F34,Base_Mensuelle!$FL$67:$FY$679,12,0)</f>
        <v>101.34</v>
      </c>
      <c r="G45" s="1147">
        <f>VLOOKUP(G34,Base_Mensuelle!$FL$67:$FY$679,12,0)</f>
        <v>101.34</v>
      </c>
      <c r="H45" s="1147">
        <f>VLOOKUP(H34,Base_Mensuelle!$FL$67:$FY$679,12,0)</f>
        <v>101.3</v>
      </c>
      <c r="I45" s="1147">
        <f>VLOOKUP(I34,Base_Mensuelle!$FL$67:$FY$679,12,0)</f>
        <v>101.3</v>
      </c>
      <c r="J45" s="1147">
        <f>VLOOKUP(J34,Base_Mensuelle!$FL$67:$FY$679,12,0)</f>
        <v>101.3</v>
      </c>
      <c r="K45" s="1147">
        <f>VLOOKUP(K34,Base_Mensuelle!$FL$67:$FY$679,12,0)</f>
        <v>101.4</v>
      </c>
      <c r="L45" s="1147">
        <f>VLOOKUP(L34,Base_Mensuelle!$FL$67:$FY$679,12,0)</f>
        <v>101.4</v>
      </c>
      <c r="M45" s="1147">
        <f>VLOOKUP(M34,Base_Mensuelle!$FL$67:$FY$679,12,0)</f>
        <v>101.4</v>
      </c>
    </row>
    <row r="46" spans="1:13">
      <c r="A46" s="1286" t="s">
        <v>808</v>
      </c>
      <c r="B46" s="1145">
        <f>VLOOKUP(B34,Base_Mensuelle!$FL$67:$FY$679,13,0)</f>
        <v>98.57</v>
      </c>
      <c r="C46" s="1145">
        <f>VLOOKUP(C34,Base_Mensuelle!$FL$67:$FY$679,13,0)</f>
        <v>98.56</v>
      </c>
      <c r="D46" s="1145">
        <f>VLOOKUP(D34,Base_Mensuelle!$FL$67:$FY$679,13,0)</f>
        <v>98.58</v>
      </c>
      <c r="E46" s="1145">
        <f>VLOOKUP(E34,Base_Mensuelle!$FL$67:$FY$679,13,0)</f>
        <v>100.03</v>
      </c>
      <c r="F46" s="1145">
        <f>VLOOKUP(F34,Base_Mensuelle!$FL$67:$FY$679,13,0)</f>
        <v>100.04</v>
      </c>
      <c r="G46" s="1145">
        <f>VLOOKUP(G34,Base_Mensuelle!$FL$67:$FY$679,13,0)</f>
        <v>98.95</v>
      </c>
      <c r="H46" s="1145">
        <f>VLOOKUP(H34,Base_Mensuelle!$FL$67:$FY$679,13,0)</f>
        <v>99.8</v>
      </c>
      <c r="I46" s="1145">
        <f>VLOOKUP(I34,Base_Mensuelle!$FL$67:$FY$679,13,0)</f>
        <v>99.77</v>
      </c>
      <c r="J46" s="1145">
        <f>VLOOKUP(J34,Base_Mensuelle!$FL$67:$FY$679,13,0)</f>
        <v>100.3</v>
      </c>
      <c r="K46" s="1145">
        <f>VLOOKUP(K34,Base_Mensuelle!$FL$67:$FY$679,13,0)</f>
        <v>100.29</v>
      </c>
      <c r="L46" s="1145">
        <f>VLOOKUP(L34,Base_Mensuelle!$FL$67:$FY$679,13,0)</f>
        <v>100.64</v>
      </c>
      <c r="M46" s="1145">
        <f>VLOOKUP(M34,Base_Mensuelle!$FL$67:$FY$679,13,0)</f>
        <v>100.15</v>
      </c>
    </row>
    <row r="47" spans="1:13">
      <c r="A47" s="1291" t="s">
        <v>807</v>
      </c>
      <c r="B47" s="454">
        <f>VLOOKUP(B34,Base_Mensuelle!$FL$67:$FY$679,14,0)</f>
        <v>100.59</v>
      </c>
      <c r="C47" s="454">
        <f>VLOOKUP(C34,Base_Mensuelle!$FL$67:$FY$679,14,0)</f>
        <v>100.1</v>
      </c>
      <c r="D47" s="454">
        <f>VLOOKUP(D34,Base_Mensuelle!$FL$67:$FY$679,14,0)</f>
        <v>100</v>
      </c>
      <c r="E47" s="454">
        <f>VLOOKUP(E34,Base_Mensuelle!$FL$67:$FY$679,14,0)</f>
        <v>100.01</v>
      </c>
      <c r="F47" s="454">
        <f>VLOOKUP(F34,Base_Mensuelle!$FL$67:$FY$679,14,0)</f>
        <v>99.99</v>
      </c>
      <c r="G47" s="454">
        <f>VLOOKUP(G34,Base_Mensuelle!$FL$67:$FY$679,14,0)</f>
        <v>99.99</v>
      </c>
      <c r="H47" s="454">
        <f>VLOOKUP(H34,Base_Mensuelle!$FL$67:$FY$679,14,0)</f>
        <v>98.51</v>
      </c>
      <c r="I47" s="454">
        <f>VLOOKUP(I34,Base_Mensuelle!$FL$67:$FY$679,14,0)</f>
        <v>98.51</v>
      </c>
      <c r="J47" s="454">
        <f>VLOOKUP(J34,Base_Mensuelle!$FL$67:$FY$679,14,0)</f>
        <v>98.5</v>
      </c>
      <c r="K47" s="454">
        <f>VLOOKUP(K34,Base_Mensuelle!$FL$67:$FY$679,14,0)</f>
        <v>101.1</v>
      </c>
      <c r="L47" s="454">
        <f>VLOOKUP(L34,Base_Mensuelle!$FL$67:$FY$679,14,0)</f>
        <v>101.11</v>
      </c>
      <c r="M47" s="454">
        <f>VLOOKUP(M34,Base_Mensuelle!$FL$67:$FY$679,14,0)</f>
        <v>101.15</v>
      </c>
    </row>
    <row r="48" spans="1:13">
      <c r="A48" s="1456"/>
      <c r="B48" s="1148"/>
      <c r="C48" s="1148"/>
      <c r="D48" s="1148"/>
      <c r="E48" s="1148"/>
      <c r="F48" s="1148"/>
      <c r="G48" s="1148"/>
      <c r="H48" s="1148"/>
      <c r="I48" s="1148"/>
      <c r="J48" s="1148"/>
      <c r="K48" s="1148"/>
      <c r="L48" s="1148"/>
      <c r="M48" s="1148"/>
    </row>
    <row r="49" spans="1:13" ht="18" customHeight="1">
      <c r="A49" s="1446"/>
      <c r="B49" s="1522">
        <f>DATE(YEAR(INDEX(Base_Mensuelle!$FL$68:$FZ$679,MAX(Base_Mensuelle!$FZ$68:$FZ$679),1))-7,1,1)</f>
        <v>42370</v>
      </c>
      <c r="C49" s="1522">
        <f>DATE(YEAR(INDEX(Base_Mensuelle!$FL$68:$FZ$679,MAX(Base_Mensuelle!$FZ$68:$FZ$679),1))-7,2,1)</f>
        <v>42401</v>
      </c>
      <c r="D49" s="1522">
        <f>DATE(YEAR(INDEX(Base_Mensuelle!$FL$68:$FZ$679,MAX(Base_Mensuelle!$FZ$68:$FZ$679),1))-7,3,1)</f>
        <v>42430</v>
      </c>
      <c r="E49" s="1522">
        <f>DATE(YEAR(INDEX(Base_Mensuelle!$FL$68:$FZ$679,MAX(Base_Mensuelle!$FZ$68:$FZ$679),1))-7,4,1)</f>
        <v>42461</v>
      </c>
      <c r="F49" s="1522">
        <f>DATE(YEAR(INDEX(Base_Mensuelle!$FL$68:$FZ$679,MAX(Base_Mensuelle!$FZ$68:$FZ$679),1))-7,5,1)</f>
        <v>42491</v>
      </c>
      <c r="G49" s="1522">
        <f>DATE(YEAR(INDEX(Base_Mensuelle!$FL$68:$FZ$679,MAX(Base_Mensuelle!$FZ$68:$FZ$679),1))-7,6,1)</f>
        <v>42522</v>
      </c>
      <c r="H49" s="1522">
        <f>DATE(YEAR(INDEX(Base_Mensuelle!$FL$68:$FZ$679,MAX(Base_Mensuelle!$FZ$68:$FZ$679),1))-7,7,1)</f>
        <v>42552</v>
      </c>
      <c r="I49" s="1522">
        <f>DATE(YEAR(INDEX(Base_Mensuelle!$FL$68:$FZ$679,MAX(Base_Mensuelle!$FZ$68:$FZ$679),1))-7,8,1)</f>
        <v>42583</v>
      </c>
      <c r="J49" s="1522">
        <f>DATE(YEAR(INDEX(Base_Mensuelle!$FL$68:$FZ$679,MAX(Base_Mensuelle!$FZ$68:$FZ$679),1))-7,9,1)</f>
        <v>42614</v>
      </c>
      <c r="K49" s="1522">
        <f>DATE(YEAR(INDEX(Base_Mensuelle!$FL$68:$FZ$679,MAX(Base_Mensuelle!$FZ$68:$FZ$679),1))-7,10,1)</f>
        <v>42644</v>
      </c>
      <c r="L49" s="1522">
        <f>DATE(YEAR(INDEX(Base_Mensuelle!$FL$68:$FZ$679,MAX(Base_Mensuelle!$FZ$68:$FZ$679),1))-7,11,1)</f>
        <v>42675</v>
      </c>
      <c r="M49" s="1522">
        <f>DATE(YEAR(INDEX(Base_Mensuelle!$FL$68:$FZ$679,MAX(Base_Mensuelle!$FZ$68:$FZ$679),1))-7,12,1)</f>
        <v>42705</v>
      </c>
    </row>
    <row r="50" spans="1:13" ht="18" customHeight="1">
      <c r="A50" s="1447" t="s">
        <v>222</v>
      </c>
      <c r="B50" s="406">
        <f>VLOOKUP(B49,Base_Mensuelle!$FL$67:$FY$679,2,0)</f>
        <v>99.99</v>
      </c>
      <c r="C50" s="406">
        <f>VLOOKUP(C49,Base_Mensuelle!$FL$67:$FY$679,2,0)</f>
        <v>100.55</v>
      </c>
      <c r="D50" s="406">
        <f>VLOOKUP(D49,Base_Mensuelle!$FL$67:$FY$679,2,0)</f>
        <v>100.89</v>
      </c>
      <c r="E50" s="406">
        <f>VLOOKUP(E49,Base_Mensuelle!$FL$67:$FY$679,2,0)</f>
        <v>101.25</v>
      </c>
      <c r="F50" s="406">
        <f>VLOOKUP(F49,Base_Mensuelle!$FL$67:$FY$679,2,0)</f>
        <v>101.92</v>
      </c>
      <c r="G50" s="406">
        <f>VLOOKUP(G49,Base_Mensuelle!$FL$67:$FY$679,2,0)</f>
        <v>102.05</v>
      </c>
      <c r="H50" s="406">
        <f>VLOOKUP(H49,Base_Mensuelle!$FL$67:$FY$679,2,0)</f>
        <v>101.96</v>
      </c>
      <c r="I50" s="406">
        <f>VLOOKUP(I49,Base_Mensuelle!$FL$67:$FY$679,2,0)</f>
        <v>102.6</v>
      </c>
      <c r="J50" s="406">
        <f>VLOOKUP(J49,Base_Mensuelle!$FL$67:$FY$679,2,0)</f>
        <v>104.8</v>
      </c>
      <c r="K50" s="406">
        <f>VLOOKUP(K49,Base_Mensuelle!$FL$67:$FY$679,2,0)</f>
        <v>103.65</v>
      </c>
      <c r="L50" s="406">
        <f>VLOOKUP(L49,Base_Mensuelle!$FL$67:$FY$679,2,0)</f>
        <v>103.13</v>
      </c>
      <c r="M50" s="406">
        <f>VLOOKUP(M49,Base_Mensuelle!$FL$67:$FY$679,2,0)</f>
        <v>102.43</v>
      </c>
    </row>
    <row r="51" spans="1:13" ht="24.6">
      <c r="A51" s="1448" t="s">
        <v>818</v>
      </c>
      <c r="B51" s="403">
        <f>VLOOKUP(B49,Base_Mensuelle!$FL$67:$FY$679,3,0)</f>
        <v>99.81</v>
      </c>
      <c r="C51" s="403">
        <f>VLOOKUP(C49,Base_Mensuelle!$FL$67:$FY$679,3,0)</f>
        <v>101.28</v>
      </c>
      <c r="D51" s="403">
        <f>VLOOKUP(D49,Base_Mensuelle!$FL$67:$FY$679,3,0)</f>
        <v>101.67</v>
      </c>
      <c r="E51" s="403">
        <f>VLOOKUP(E49,Base_Mensuelle!$FL$67:$FY$679,3,0)</f>
        <v>104.45</v>
      </c>
      <c r="F51" s="403">
        <f>VLOOKUP(F49,Base_Mensuelle!$FL$67:$FY$679,3,0)</f>
        <v>105.68</v>
      </c>
      <c r="G51" s="403">
        <f>VLOOKUP(G49,Base_Mensuelle!$FL$67:$FY$679,3,0)</f>
        <v>106.97</v>
      </c>
      <c r="H51" s="403">
        <f>VLOOKUP(H49,Base_Mensuelle!$FL$67:$FY$679,3,0)</f>
        <v>105.65</v>
      </c>
      <c r="I51" s="403">
        <f>VLOOKUP(I49,Base_Mensuelle!$FL$67:$FY$679,3,0)</f>
        <v>105.73</v>
      </c>
      <c r="J51" s="403">
        <f>VLOOKUP(J49,Base_Mensuelle!$FL$67:$FY$679,3,0)</f>
        <v>108.91</v>
      </c>
      <c r="K51" s="403">
        <f>VLOOKUP(K49,Base_Mensuelle!$FL$67:$FY$679,3,0)</f>
        <v>104.48</v>
      </c>
      <c r="L51" s="403">
        <f>VLOOKUP(L49,Base_Mensuelle!$FL$67:$FY$679,3,0)</f>
        <v>104.72</v>
      </c>
      <c r="M51" s="403">
        <f>VLOOKUP(M49,Base_Mensuelle!$FL$67:$FY$679,3,0)</f>
        <v>100.55</v>
      </c>
    </row>
    <row r="52" spans="1:13" ht="24.6">
      <c r="A52" s="1436" t="s">
        <v>817</v>
      </c>
      <c r="B52" s="1147">
        <f>VLOOKUP(B49,Base_Mensuelle!$FL$67:$FY$679,4,0)</f>
        <v>104.5</v>
      </c>
      <c r="C52" s="1147">
        <f>VLOOKUP(C49,Base_Mensuelle!$FL$67:$FY$679,4,0)</f>
        <v>98.48</v>
      </c>
      <c r="D52" s="1147">
        <f>VLOOKUP(D49,Base_Mensuelle!$FL$67:$FY$679,4,0)</f>
        <v>97.63</v>
      </c>
      <c r="E52" s="1147">
        <f>VLOOKUP(E49,Base_Mensuelle!$FL$67:$FY$679,4,0)</f>
        <v>98.28</v>
      </c>
      <c r="F52" s="1147">
        <f>VLOOKUP(F49,Base_Mensuelle!$FL$67:$FY$679,4,0)</f>
        <v>106.35</v>
      </c>
      <c r="G52" s="1147">
        <f>VLOOKUP(G49,Base_Mensuelle!$FL$67:$FY$679,4,0)</f>
        <v>97.73</v>
      </c>
      <c r="H52" s="1147">
        <f>VLOOKUP(H49,Base_Mensuelle!$FL$67:$FY$679,4,0)</f>
        <v>101.17</v>
      </c>
      <c r="I52" s="1147">
        <f>VLOOKUP(I49,Base_Mensuelle!$FL$67:$FY$679,4,0)</f>
        <v>104.65</v>
      </c>
      <c r="J52" s="1147">
        <f>VLOOKUP(J49,Base_Mensuelle!$FL$67:$FY$679,4,0)</f>
        <v>112.65</v>
      </c>
      <c r="K52" s="1147">
        <f>VLOOKUP(K49,Base_Mensuelle!$FL$67:$FY$679,4,0)</f>
        <v>110.11</v>
      </c>
      <c r="L52" s="1147">
        <f>VLOOKUP(L49,Base_Mensuelle!$FL$67:$FY$679,4,0)</f>
        <v>114.84</v>
      </c>
      <c r="M52" s="1147">
        <f>VLOOKUP(M49,Base_Mensuelle!$FL$67:$FY$679,4,0)</f>
        <v>111.43</v>
      </c>
    </row>
    <row r="53" spans="1:13">
      <c r="A53" s="1449" t="s">
        <v>816</v>
      </c>
      <c r="B53" s="1145">
        <f>VLOOKUP(B49,Base_Mensuelle!$FL$67:$FY$679,5,0)</f>
        <v>99.3</v>
      </c>
      <c r="C53" s="1145">
        <f>VLOOKUP(C49,Base_Mensuelle!$FL$67:$FY$679,5,0)</f>
        <v>99.3</v>
      </c>
      <c r="D53" s="1145">
        <f>VLOOKUP(D49,Base_Mensuelle!$FL$67:$FY$679,5,0)</f>
        <v>99.33</v>
      </c>
      <c r="E53" s="1145">
        <f>VLOOKUP(E49,Base_Mensuelle!$FL$67:$FY$679,5,0)</f>
        <v>94.21</v>
      </c>
      <c r="F53" s="1145">
        <f>VLOOKUP(F49,Base_Mensuelle!$FL$67:$FY$679,5,0)</f>
        <v>94.21</v>
      </c>
      <c r="G53" s="1145">
        <f>VLOOKUP(G49,Base_Mensuelle!$FL$67:$FY$679,5,0)</f>
        <v>94.02</v>
      </c>
      <c r="H53" s="1145">
        <f>VLOOKUP(H49,Base_Mensuelle!$FL$67:$FY$679,5,0)</f>
        <v>94.01</v>
      </c>
      <c r="I53" s="1145">
        <f>VLOOKUP(I49,Base_Mensuelle!$FL$67:$FY$679,5,0)</f>
        <v>98.83</v>
      </c>
      <c r="J53" s="1145">
        <f>VLOOKUP(J49,Base_Mensuelle!$FL$67:$FY$679,5,0)</f>
        <v>98.86</v>
      </c>
      <c r="K53" s="1145">
        <f>VLOOKUP(K49,Base_Mensuelle!$FL$67:$FY$679,5,0)</f>
        <v>98.86</v>
      </c>
      <c r="L53" s="1145">
        <f>VLOOKUP(L49,Base_Mensuelle!$FL$67:$FY$679,5,0)</f>
        <v>99.52</v>
      </c>
      <c r="M53" s="1145">
        <f>VLOOKUP(M49,Base_Mensuelle!$FL$67:$FY$679,5,0)</f>
        <v>98.92</v>
      </c>
    </row>
    <row r="54" spans="1:13" ht="24.6">
      <c r="A54" s="1436" t="s">
        <v>815</v>
      </c>
      <c r="B54" s="1147">
        <f>VLOOKUP(B49,Base_Mensuelle!$FL$67:$FY$679,6,0)</f>
        <v>100.08</v>
      </c>
      <c r="C54" s="1147">
        <f>VLOOKUP(C49,Base_Mensuelle!$FL$67:$FY$679,6,0)</f>
        <v>99.84</v>
      </c>
      <c r="D54" s="1147">
        <f>VLOOKUP(D49,Base_Mensuelle!$FL$67:$FY$679,6,0)</f>
        <v>104.13</v>
      </c>
      <c r="E54" s="1147">
        <f>VLOOKUP(E49,Base_Mensuelle!$FL$67:$FY$679,6,0)</f>
        <v>93.31</v>
      </c>
      <c r="F54" s="1147">
        <f>VLOOKUP(F49,Base_Mensuelle!$FL$67:$FY$679,6,0)</f>
        <v>92.24</v>
      </c>
      <c r="G54" s="1147">
        <f>VLOOKUP(G49,Base_Mensuelle!$FL$67:$FY$679,6,0)</f>
        <v>90.49</v>
      </c>
      <c r="H54" s="1147">
        <f>VLOOKUP(H49,Base_Mensuelle!$FL$67:$FY$679,6,0)</f>
        <v>94.97</v>
      </c>
      <c r="I54" s="1147">
        <f>VLOOKUP(I49,Base_Mensuelle!$FL$67:$FY$679,6,0)</f>
        <v>96.23</v>
      </c>
      <c r="J54" s="1147">
        <f>VLOOKUP(J49,Base_Mensuelle!$FL$67:$FY$679,6,0)</f>
        <v>96.66</v>
      </c>
      <c r="K54" s="1147">
        <f>VLOOKUP(K49,Base_Mensuelle!$FL$67:$FY$679,6,0)</f>
        <v>113.77</v>
      </c>
      <c r="L54" s="1147">
        <f>VLOOKUP(L49,Base_Mensuelle!$FL$67:$FY$679,6,0)</f>
        <v>100.47</v>
      </c>
      <c r="M54" s="1147">
        <f>VLOOKUP(M49,Base_Mensuelle!$FL$67:$FY$679,6,0)</f>
        <v>121.95</v>
      </c>
    </row>
    <row r="55" spans="1:13">
      <c r="A55" s="1448" t="s">
        <v>814</v>
      </c>
      <c r="B55" s="1145">
        <f>VLOOKUP(B49,Base_Mensuelle!$FL$67:$FY$679,7,0)</f>
        <v>100.54</v>
      </c>
      <c r="C55" s="1145">
        <f>VLOOKUP(C49,Base_Mensuelle!$FL$67:$FY$679,7,0)</f>
        <v>100.5</v>
      </c>
      <c r="D55" s="1145">
        <f>VLOOKUP(D49,Base_Mensuelle!$FL$67:$FY$679,7,0)</f>
        <v>100.51</v>
      </c>
      <c r="E55" s="1145">
        <f>VLOOKUP(E49,Base_Mensuelle!$FL$67:$FY$679,7,0)</f>
        <v>100.64</v>
      </c>
      <c r="F55" s="1145">
        <f>VLOOKUP(F49,Base_Mensuelle!$FL$67:$FY$679,7,0)</f>
        <v>100.68</v>
      </c>
      <c r="G55" s="1145">
        <f>VLOOKUP(G49,Base_Mensuelle!$FL$67:$FY$679,7,0)</f>
        <v>100.65</v>
      </c>
      <c r="H55" s="1145">
        <f>VLOOKUP(H49,Base_Mensuelle!$FL$67:$FY$679,7,0)</f>
        <v>100.64</v>
      </c>
      <c r="I55" s="1145">
        <f>VLOOKUP(I49,Base_Mensuelle!$FL$67:$FY$679,7,0)</f>
        <v>100.62</v>
      </c>
      <c r="J55" s="1145">
        <f>VLOOKUP(J49,Base_Mensuelle!$FL$67:$FY$679,7,0)</f>
        <v>100.62</v>
      </c>
      <c r="K55" s="1145">
        <f>VLOOKUP(K49,Base_Mensuelle!$FL$67:$FY$679,7,0)</f>
        <v>100.34</v>
      </c>
      <c r="L55" s="1145">
        <f>VLOOKUP(L49,Base_Mensuelle!$FL$67:$FY$679,7,0)</f>
        <v>100.62</v>
      </c>
      <c r="M55" s="1145">
        <f>VLOOKUP(M49,Base_Mensuelle!$FL$67:$FY$679,7,0)</f>
        <v>100.72</v>
      </c>
    </row>
    <row r="56" spans="1:13" ht="18" customHeight="1">
      <c r="A56" s="1450" t="s">
        <v>813</v>
      </c>
      <c r="B56" s="1147">
        <f>VLOOKUP(B49,Base_Mensuelle!$FL$67:$FY$679,8,0)</f>
        <v>100.1</v>
      </c>
      <c r="C56" s="1147">
        <f>VLOOKUP(C49,Base_Mensuelle!$FL$67:$FY$679,8,0)</f>
        <v>100.1</v>
      </c>
      <c r="D56" s="1147">
        <f>VLOOKUP(D49,Base_Mensuelle!$FL$67:$FY$679,8,0)</f>
        <v>100.07</v>
      </c>
      <c r="E56" s="1147">
        <f>VLOOKUP(E49,Base_Mensuelle!$FL$67:$FY$679,8,0)</f>
        <v>99.4</v>
      </c>
      <c r="F56" s="1147">
        <f>VLOOKUP(F49,Base_Mensuelle!$FL$67:$FY$679,8,0)</f>
        <v>99.23</v>
      </c>
      <c r="G56" s="1147">
        <f>VLOOKUP(G49,Base_Mensuelle!$FL$67:$FY$679,8,0)</f>
        <v>99.22</v>
      </c>
      <c r="H56" s="1147">
        <f>VLOOKUP(H49,Base_Mensuelle!$FL$67:$FY$679,8,0)</f>
        <v>99.06</v>
      </c>
      <c r="I56" s="1147">
        <f>VLOOKUP(I49,Base_Mensuelle!$FL$67:$FY$679,8,0)</f>
        <v>99.23</v>
      </c>
      <c r="J56" s="1147">
        <f>VLOOKUP(J49,Base_Mensuelle!$FL$67:$FY$679,8,0)</f>
        <v>99.23</v>
      </c>
      <c r="K56" s="1147">
        <f>VLOOKUP(K49,Base_Mensuelle!$FL$67:$FY$679,8,0)</f>
        <v>99.38</v>
      </c>
      <c r="L56" s="1147">
        <f>VLOOKUP(L49,Base_Mensuelle!$FL$67:$FY$679,8,0)</f>
        <v>98.61</v>
      </c>
      <c r="M56" s="1147">
        <f>VLOOKUP(M49,Base_Mensuelle!$FL$67:$FY$679,8,0)</f>
        <v>99.23</v>
      </c>
    </row>
    <row r="57" spans="1:13" ht="18" customHeight="1">
      <c r="A57" s="1448" t="s">
        <v>812</v>
      </c>
      <c r="B57" s="1145">
        <f>VLOOKUP(B49,Base_Mensuelle!$FL$67:$FY$679,9,0)</f>
        <v>98.01</v>
      </c>
      <c r="C57" s="1145">
        <f>VLOOKUP(C49,Base_Mensuelle!$FL$67:$FY$679,9,0)</f>
        <v>98.01</v>
      </c>
      <c r="D57" s="1145">
        <f>VLOOKUP(D49,Base_Mensuelle!$FL$67:$FY$679,9,0)</f>
        <v>98.03</v>
      </c>
      <c r="E57" s="1145">
        <f>VLOOKUP(E49,Base_Mensuelle!$FL$67:$FY$679,9,0)</f>
        <v>97.48</v>
      </c>
      <c r="F57" s="1145">
        <f>VLOOKUP(F49,Base_Mensuelle!$FL$67:$FY$679,9,0)</f>
        <v>96.59</v>
      </c>
      <c r="G57" s="1145">
        <f>VLOOKUP(G49,Base_Mensuelle!$FL$67:$FY$679,9,0)</f>
        <v>95.12</v>
      </c>
      <c r="H57" s="1145">
        <f>VLOOKUP(H49,Base_Mensuelle!$FL$67:$FY$679,9,0)</f>
        <v>95.06</v>
      </c>
      <c r="I57" s="1145">
        <f>VLOOKUP(I49,Base_Mensuelle!$FL$67:$FY$679,9,0)</f>
        <v>94.59</v>
      </c>
      <c r="J57" s="1145">
        <f>VLOOKUP(J49,Base_Mensuelle!$FL$67:$FY$679,9,0)</f>
        <v>96.34</v>
      </c>
      <c r="K57" s="1145">
        <f>VLOOKUP(K49,Base_Mensuelle!$FL$67:$FY$679,9,0)</f>
        <v>96.34</v>
      </c>
      <c r="L57" s="1145">
        <f>VLOOKUP(L49,Base_Mensuelle!$FL$67:$FY$679,9,0)</f>
        <v>95.17</v>
      </c>
      <c r="M57" s="1145">
        <f>VLOOKUP(M49,Base_Mensuelle!$FL$67:$FY$679,9,0)</f>
        <v>96.32</v>
      </c>
    </row>
    <row r="58" spans="1:13" ht="18" customHeight="1">
      <c r="A58" s="1450" t="s">
        <v>811</v>
      </c>
      <c r="B58" s="1147">
        <f>VLOOKUP(B49,Base_Mensuelle!$FL$67:$FY$679,10,0)</f>
        <v>100.55</v>
      </c>
      <c r="C58" s="1147">
        <f>VLOOKUP(C49,Base_Mensuelle!$FL$67:$FY$679,10,0)</f>
        <v>100.55</v>
      </c>
      <c r="D58" s="1147">
        <f>VLOOKUP(D49,Base_Mensuelle!$FL$67:$FY$679,10,0)</f>
        <v>99.43</v>
      </c>
      <c r="E58" s="1147">
        <f>VLOOKUP(E49,Base_Mensuelle!$FL$67:$FY$679,10,0)</f>
        <v>111.57</v>
      </c>
      <c r="F58" s="1147">
        <f>VLOOKUP(F49,Base_Mensuelle!$FL$67:$FY$679,10,0)</f>
        <v>111.57</v>
      </c>
      <c r="G58" s="1147">
        <f>VLOOKUP(G49,Base_Mensuelle!$FL$67:$FY$679,10,0)</f>
        <v>111.57</v>
      </c>
      <c r="H58" s="1147">
        <f>VLOOKUP(H49,Base_Mensuelle!$FL$67:$FY$679,10,0)</f>
        <v>111.57</v>
      </c>
      <c r="I58" s="1147">
        <f>VLOOKUP(I49,Base_Mensuelle!$FL$67:$FY$679,10,0)</f>
        <v>110.74</v>
      </c>
      <c r="J58" s="1147">
        <f>VLOOKUP(J49,Base_Mensuelle!$FL$67:$FY$679,10,0)</f>
        <v>110.74</v>
      </c>
      <c r="K58" s="1147">
        <f>VLOOKUP(K49,Base_Mensuelle!$FL$67:$FY$679,10,0)</f>
        <v>110.81</v>
      </c>
      <c r="L58" s="1147">
        <f>VLOOKUP(L49,Base_Mensuelle!$FL$67:$FY$679,10,0)</f>
        <v>118.6</v>
      </c>
      <c r="M58" s="1147">
        <f>VLOOKUP(M49,Base_Mensuelle!$FL$67:$FY$679,10,0)</f>
        <v>110.74</v>
      </c>
    </row>
    <row r="59" spans="1:13" ht="18" customHeight="1">
      <c r="A59" s="1448" t="s">
        <v>810</v>
      </c>
      <c r="B59" s="1145">
        <f>VLOOKUP(B49,Base_Mensuelle!$FL$67:$FY$679,11,0)</f>
        <v>104.48</v>
      </c>
      <c r="C59" s="1145">
        <f>VLOOKUP(C49,Base_Mensuelle!$FL$67:$FY$679,11,0)</f>
        <v>104.48</v>
      </c>
      <c r="D59" s="1145">
        <f>VLOOKUP(D49,Base_Mensuelle!$FL$67:$FY$679,11,0)</f>
        <v>104.51</v>
      </c>
      <c r="E59" s="1145">
        <f>VLOOKUP(E49,Base_Mensuelle!$FL$67:$FY$679,11,0)</f>
        <v>104.85</v>
      </c>
      <c r="F59" s="1145">
        <f>VLOOKUP(F49,Base_Mensuelle!$FL$67:$FY$679,11,0)</f>
        <v>104.85</v>
      </c>
      <c r="G59" s="1145">
        <f>VLOOKUP(G49,Base_Mensuelle!$FL$67:$FY$679,11,0)</f>
        <v>104.85</v>
      </c>
      <c r="H59" s="1145">
        <f>VLOOKUP(H49,Base_Mensuelle!$FL$67:$FY$679,11,0)</f>
        <v>104.85</v>
      </c>
      <c r="I59" s="1145">
        <f>VLOOKUP(I49,Base_Mensuelle!$FL$67:$FY$679,11,0)</f>
        <v>104.72</v>
      </c>
      <c r="J59" s="1145">
        <f>VLOOKUP(J49,Base_Mensuelle!$FL$67:$FY$679,11,0)</f>
        <v>104.61</v>
      </c>
      <c r="K59" s="1145">
        <f>VLOOKUP(K49,Base_Mensuelle!$FL$67:$FY$679,11,0)</f>
        <v>104.48</v>
      </c>
      <c r="L59" s="1145">
        <f>VLOOKUP(L49,Base_Mensuelle!$FL$67:$FY$679,11,0)</f>
        <v>109.94</v>
      </c>
      <c r="M59" s="1145">
        <f>VLOOKUP(M49,Base_Mensuelle!$FL$67:$FY$679,11,0)</f>
        <v>104.6</v>
      </c>
    </row>
    <row r="60" spans="1:13" ht="18" customHeight="1">
      <c r="A60" s="1450" t="s">
        <v>809</v>
      </c>
      <c r="B60" s="1147">
        <f>VLOOKUP(B49,Base_Mensuelle!$FL$67:$FY$679,12,0)</f>
        <v>101.4</v>
      </c>
      <c r="C60" s="1147">
        <f>VLOOKUP(C49,Base_Mensuelle!$FL$67:$FY$679,12,0)</f>
        <v>101.4</v>
      </c>
      <c r="D60" s="1147">
        <f>VLOOKUP(D49,Base_Mensuelle!$FL$67:$FY$679,12,0)</f>
        <v>101.4</v>
      </c>
      <c r="E60" s="1147">
        <f>VLOOKUP(E49,Base_Mensuelle!$FL$67:$FY$679,12,0)</f>
        <v>101.4</v>
      </c>
      <c r="F60" s="1147">
        <f>VLOOKUP(F49,Base_Mensuelle!$FL$67:$FY$679,12,0)</f>
        <v>101.4</v>
      </c>
      <c r="G60" s="1147">
        <f>VLOOKUP(G49,Base_Mensuelle!$FL$67:$FY$679,12,0)</f>
        <v>101.4</v>
      </c>
      <c r="H60" s="1147">
        <f>VLOOKUP(H49,Base_Mensuelle!$FL$67:$FY$679,12,0)</f>
        <v>100.5</v>
      </c>
      <c r="I60" s="1147">
        <f>VLOOKUP(I49,Base_Mensuelle!$FL$67:$FY$679,12,0)</f>
        <v>101.76</v>
      </c>
      <c r="J60" s="1147">
        <f>VLOOKUP(J49,Base_Mensuelle!$FL$67:$FY$679,12,0)</f>
        <v>101.76</v>
      </c>
      <c r="K60" s="1147">
        <f>VLOOKUP(K49,Base_Mensuelle!$FL$67:$FY$679,12,0)</f>
        <v>101.76</v>
      </c>
      <c r="L60" s="1147">
        <f>VLOOKUP(L49,Base_Mensuelle!$FL$67:$FY$679,12,0)</f>
        <v>101.76</v>
      </c>
      <c r="M60" s="1147">
        <f>VLOOKUP(M49,Base_Mensuelle!$FL$67:$FY$679,12,0)</f>
        <v>101.76</v>
      </c>
    </row>
    <row r="61" spans="1:13" ht="18" customHeight="1">
      <c r="A61" s="1448" t="s">
        <v>808</v>
      </c>
      <c r="B61" s="1145">
        <f>VLOOKUP(B49,Base_Mensuelle!$FL$67:$FY$679,13,0)</f>
        <v>100.91</v>
      </c>
      <c r="C61" s="1145">
        <f>VLOOKUP(C49,Base_Mensuelle!$FL$67:$FY$679,13,0)</f>
        <v>100.51</v>
      </c>
      <c r="D61" s="1145">
        <f>VLOOKUP(D49,Base_Mensuelle!$FL$67:$FY$679,13,0)</f>
        <v>99.76</v>
      </c>
      <c r="E61" s="1145">
        <f>VLOOKUP(E49,Base_Mensuelle!$FL$67:$FY$679,13,0)</f>
        <v>98.27</v>
      </c>
      <c r="F61" s="1145">
        <f>VLOOKUP(F49,Base_Mensuelle!$FL$67:$FY$679,13,0)</f>
        <v>99.26</v>
      </c>
      <c r="G61" s="1145">
        <f>VLOOKUP(G49,Base_Mensuelle!$FL$67:$FY$679,13,0)</f>
        <v>99.45</v>
      </c>
      <c r="H61" s="1145">
        <f>VLOOKUP(H49,Base_Mensuelle!$FL$67:$FY$679,13,0)</f>
        <v>99.2</v>
      </c>
      <c r="I61" s="1145">
        <f>VLOOKUP(I49,Base_Mensuelle!$FL$67:$FY$679,13,0)</f>
        <v>100.37</v>
      </c>
      <c r="J61" s="1145">
        <f>VLOOKUP(J49,Base_Mensuelle!$FL$67:$FY$679,13,0)</f>
        <v>100.5</v>
      </c>
      <c r="K61" s="1145">
        <f>VLOOKUP(K49,Base_Mensuelle!$FL$67:$FY$679,13,0)</f>
        <v>100.08</v>
      </c>
      <c r="L61" s="1145">
        <f>VLOOKUP(L49,Base_Mensuelle!$FL$67:$FY$679,13,0)</f>
        <v>100.46</v>
      </c>
      <c r="M61" s="1145">
        <f>VLOOKUP(M49,Base_Mensuelle!$FL$67:$FY$679,13,0)</f>
        <v>100.41</v>
      </c>
    </row>
    <row r="62" spans="1:13" ht="18" customHeight="1">
      <c r="A62" s="1451" t="s">
        <v>807</v>
      </c>
      <c r="B62" s="454">
        <f>VLOOKUP(B49,Base_Mensuelle!$FL$67:$FY$679,14,0)</f>
        <v>101.15</v>
      </c>
      <c r="C62" s="454">
        <f>VLOOKUP(C49,Base_Mensuelle!$FL$67:$FY$679,14,0)</f>
        <v>101.09</v>
      </c>
      <c r="D62" s="454">
        <f>VLOOKUP(D49,Base_Mensuelle!$FL$67:$FY$679,14,0)</f>
        <v>101.16</v>
      </c>
      <c r="E62" s="454">
        <f>VLOOKUP(E49,Base_Mensuelle!$FL$67:$FY$679,14,0)</f>
        <v>100.63</v>
      </c>
      <c r="F62" s="454">
        <f>VLOOKUP(F49,Base_Mensuelle!$FL$67:$FY$679,14,0)</f>
        <v>100.63</v>
      </c>
      <c r="G62" s="454">
        <f>VLOOKUP(G49,Base_Mensuelle!$FL$67:$FY$679,14,0)</f>
        <v>100.73</v>
      </c>
      <c r="H62" s="454">
        <f>VLOOKUP(H49,Base_Mensuelle!$FL$67:$FY$679,14,0)</f>
        <v>100.74</v>
      </c>
      <c r="I62" s="454">
        <f>VLOOKUP(I49,Base_Mensuelle!$FL$67:$FY$679,14,0)</f>
        <v>99.44</v>
      </c>
      <c r="J62" s="454">
        <f>VLOOKUP(J49,Base_Mensuelle!$FL$67:$FY$679,14,0)</f>
        <v>99.44</v>
      </c>
      <c r="K62" s="454">
        <f>VLOOKUP(K49,Base_Mensuelle!$FL$67:$FY$679,14,0)</f>
        <v>99.8</v>
      </c>
      <c r="L62" s="454">
        <f>VLOOKUP(L49,Base_Mensuelle!$FL$67:$FY$679,14,0)</f>
        <v>101.5</v>
      </c>
      <c r="M62" s="454">
        <f>VLOOKUP(M49,Base_Mensuelle!$FL$67:$FY$679,14,0)</f>
        <v>99.51</v>
      </c>
    </row>
    <row r="64" spans="1:13">
      <c r="A64" s="1143"/>
      <c r="B64" s="1522">
        <f>DATE(YEAR(INDEX(Base_Mensuelle!$FL$68:$FZ$679,MAX(Base_Mensuelle!$FZ$68:$FZ$679),1))-6,1,1)</f>
        <v>42736</v>
      </c>
      <c r="C64" s="1522">
        <f>DATE(YEAR(INDEX(Base_Mensuelle!$FL$68:$FZ$679,MAX(Base_Mensuelle!$FZ$68:$FZ$679),1))-6,2,1)</f>
        <v>42767</v>
      </c>
      <c r="D64" s="1522">
        <f>DATE(YEAR(INDEX(Base_Mensuelle!$FL$68:$FZ$679,MAX(Base_Mensuelle!$FZ$68:$FZ$679),1))-6,3,1)</f>
        <v>42795</v>
      </c>
      <c r="E64" s="1522">
        <f>DATE(YEAR(INDEX(Base_Mensuelle!$FL$68:$FZ$679,MAX(Base_Mensuelle!$FZ$68:$FZ$679),1))-6,4,1)</f>
        <v>42826</v>
      </c>
      <c r="F64" s="1522">
        <f>DATE(YEAR(INDEX(Base_Mensuelle!$FL$68:$FZ$679,MAX(Base_Mensuelle!$FZ$68:$FZ$679),1))-6,5,1)</f>
        <v>42856</v>
      </c>
      <c r="G64" s="1522">
        <f>DATE(YEAR(INDEX(Base_Mensuelle!$FL$68:$FZ$679,MAX(Base_Mensuelle!$FZ$68:$FZ$679),1))-6,6,1)</f>
        <v>42887</v>
      </c>
      <c r="H64" s="1522">
        <f>DATE(YEAR(INDEX(Base_Mensuelle!$FL$68:$FZ$679,MAX(Base_Mensuelle!$FZ$68:$FZ$679),1))-6,7,1)</f>
        <v>42917</v>
      </c>
      <c r="I64" s="1522">
        <f>DATE(YEAR(INDEX(Base_Mensuelle!$FL$68:$FZ$679,MAX(Base_Mensuelle!$FZ$68:$FZ$679),1))-6,8,1)</f>
        <v>42948</v>
      </c>
      <c r="J64" s="1522">
        <f>DATE(YEAR(INDEX(Base_Mensuelle!$FL$68:$FZ$679,MAX(Base_Mensuelle!$FZ$68:$FZ$679),1))-6,9,1)</f>
        <v>42979</v>
      </c>
      <c r="K64" s="1522">
        <f>DATE(YEAR(INDEX(Base_Mensuelle!$FL$68:$FZ$679,MAX(Base_Mensuelle!$FZ$68:$FZ$679),1))-6,10,1)</f>
        <v>43009</v>
      </c>
      <c r="L64" s="1522">
        <f>DATE(YEAR(INDEX(Base_Mensuelle!$FL$68:$FZ$679,MAX(Base_Mensuelle!$FZ$68:$FZ$679),1))-6,11,1)</f>
        <v>43040</v>
      </c>
      <c r="M64" s="1522">
        <f>DATE(YEAR(INDEX(Base_Mensuelle!$FL$68:$FZ$679,MAX(Base_Mensuelle!$FZ$68:$FZ$679),1))-6,12,1)</f>
        <v>43070</v>
      </c>
    </row>
    <row r="65" spans="1:13">
      <c r="A65" s="1447" t="s">
        <v>222</v>
      </c>
      <c r="B65" s="406">
        <f>VLOOKUP(B64,Base_Mensuelle!$FL$67:$FY$679,2,0)</f>
        <v>101.66</v>
      </c>
      <c r="C65" s="406">
        <f>VLOOKUP(C64,Base_Mensuelle!$FL$67:$FY$679,2,0)</f>
        <v>101.19</v>
      </c>
      <c r="D65" s="406">
        <f>VLOOKUP(D64,Base_Mensuelle!$FL$67:$FY$679,2,0)</f>
        <v>102.76</v>
      </c>
      <c r="E65" s="406">
        <f>VLOOKUP(E64,Base_Mensuelle!$FL$67:$FY$679,2,0)</f>
        <v>102.96</v>
      </c>
      <c r="F65" s="406">
        <f>VLOOKUP(F64,Base_Mensuelle!$FL$67:$FY$679,2,0)</f>
        <v>104.12</v>
      </c>
      <c r="G65" s="406">
        <f>VLOOKUP(G64,Base_Mensuelle!$FL$67:$FY$679,2,0)</f>
        <v>103.44</v>
      </c>
      <c r="H65" s="406">
        <f>VLOOKUP(H64,Base_Mensuelle!$FL$67:$FY$679,2,0)</f>
        <v>105.11</v>
      </c>
      <c r="I65" s="406">
        <f>VLOOKUP(I64,Base_Mensuelle!$FL$67:$FY$679,2,0)</f>
        <v>104.7</v>
      </c>
      <c r="J65" s="406">
        <f>VLOOKUP(J64,Base_Mensuelle!$FL$67:$FY$679,2,0)</f>
        <v>105.22</v>
      </c>
      <c r="K65" s="406">
        <f>VLOOKUP(K64,Base_Mensuelle!$FL$67:$FY$679,2,0)</f>
        <v>103.83</v>
      </c>
      <c r="L65" s="406">
        <f>VLOOKUP(L64,Base_Mensuelle!$FL$67:$FY$679,2,0)</f>
        <v>104.29</v>
      </c>
      <c r="M65" s="406">
        <f>VLOOKUP(M64,Base_Mensuelle!$FL$67:$FY$679,2,0)</f>
        <v>104.11</v>
      </c>
    </row>
    <row r="66" spans="1:13" ht="24.6">
      <c r="A66" s="1448" t="s">
        <v>818</v>
      </c>
      <c r="B66" s="403">
        <f>VLOOKUP(B64,Base_Mensuelle!$FL$67:$FY$679,3,0)</f>
        <v>100.33</v>
      </c>
      <c r="C66" s="403">
        <f>VLOOKUP(C64,Base_Mensuelle!$FL$67:$FY$679,3,0)</f>
        <v>100.33</v>
      </c>
      <c r="D66" s="403">
        <f>VLOOKUP(D64,Base_Mensuelle!$FL$67:$FY$679,3,0)</f>
        <v>102.62</v>
      </c>
      <c r="E66" s="403">
        <f>VLOOKUP(E64,Base_Mensuelle!$FL$67:$FY$679,3,0)</f>
        <v>103.4</v>
      </c>
      <c r="F66" s="403">
        <f>VLOOKUP(F64,Base_Mensuelle!$FL$67:$FY$679,3,0)</f>
        <v>105.09</v>
      </c>
      <c r="G66" s="403">
        <f>VLOOKUP(G64,Base_Mensuelle!$FL$67:$FY$679,3,0)</f>
        <v>106.54</v>
      </c>
      <c r="H66" s="403">
        <f>VLOOKUP(H64,Base_Mensuelle!$FL$67:$FY$679,3,0)</f>
        <v>109.08</v>
      </c>
      <c r="I66" s="403">
        <f>VLOOKUP(I64,Base_Mensuelle!$FL$67:$FY$679,3,0)</f>
        <v>108.06</v>
      </c>
      <c r="J66" s="403">
        <f>VLOOKUP(J64,Base_Mensuelle!$FL$67:$FY$679,3,0)</f>
        <v>109.39</v>
      </c>
      <c r="K66" s="403">
        <f>VLOOKUP(K64,Base_Mensuelle!$FL$67:$FY$679,3,0)</f>
        <v>106.97</v>
      </c>
      <c r="L66" s="403">
        <f>VLOOKUP(L64,Base_Mensuelle!$FL$67:$FY$679,3,0)</f>
        <v>107.83</v>
      </c>
      <c r="M66" s="403">
        <f>VLOOKUP(M64,Base_Mensuelle!$FL$67:$FY$679,3,0)</f>
        <v>106.76</v>
      </c>
    </row>
    <row r="67" spans="1:13" ht="24.6">
      <c r="A67" s="1436" t="s">
        <v>817</v>
      </c>
      <c r="B67" s="1147">
        <f>VLOOKUP(B64,Base_Mensuelle!$FL$67:$FY$679,4,0)</f>
        <v>111.72</v>
      </c>
      <c r="C67" s="1147">
        <f>VLOOKUP(C64,Base_Mensuelle!$FL$67:$FY$679,4,0)</f>
        <v>107.14</v>
      </c>
      <c r="D67" s="1147">
        <f>VLOOKUP(D64,Base_Mensuelle!$FL$67:$FY$679,4,0)</f>
        <v>116.6</v>
      </c>
      <c r="E67" s="1147">
        <f>VLOOKUP(E64,Base_Mensuelle!$FL$67:$FY$679,4,0)</f>
        <v>118.56</v>
      </c>
      <c r="F67" s="1147">
        <f>VLOOKUP(F64,Base_Mensuelle!$FL$67:$FY$679,4,0)</f>
        <v>118.4</v>
      </c>
      <c r="G67" s="1147">
        <f>VLOOKUP(G64,Base_Mensuelle!$FL$67:$FY$679,4,0)</f>
        <v>110.23</v>
      </c>
      <c r="H67" s="1147">
        <f>VLOOKUP(H64,Base_Mensuelle!$FL$67:$FY$679,4,0)</f>
        <v>111.4</v>
      </c>
      <c r="I67" s="1147">
        <f>VLOOKUP(I64,Base_Mensuelle!$FL$67:$FY$679,4,0)</f>
        <v>111.28</v>
      </c>
      <c r="J67" s="1147">
        <f>VLOOKUP(J64,Base_Mensuelle!$FL$67:$FY$679,4,0)</f>
        <v>113.73</v>
      </c>
      <c r="K67" s="1147">
        <f>VLOOKUP(K64,Base_Mensuelle!$FL$67:$FY$679,4,0)</f>
        <v>115.04</v>
      </c>
      <c r="L67" s="1147">
        <f>VLOOKUP(L64,Base_Mensuelle!$FL$67:$FY$679,4,0)</f>
        <v>113.78</v>
      </c>
      <c r="M67" s="1147">
        <f>VLOOKUP(M64,Base_Mensuelle!$FL$67:$FY$679,4,0)</f>
        <v>116</v>
      </c>
    </row>
    <row r="68" spans="1:13">
      <c r="A68" s="1449" t="s">
        <v>816</v>
      </c>
      <c r="B68" s="1145">
        <f>VLOOKUP(B64,Base_Mensuelle!$FL$67:$FY$679,5,0)</f>
        <v>99.52</v>
      </c>
      <c r="C68" s="1145">
        <f>VLOOKUP(C64,Base_Mensuelle!$FL$67:$FY$679,5,0)</f>
        <v>99.52</v>
      </c>
      <c r="D68" s="1145">
        <f>VLOOKUP(D64,Base_Mensuelle!$FL$67:$FY$679,5,0)</f>
        <v>99.52</v>
      </c>
      <c r="E68" s="1145">
        <f>VLOOKUP(E64,Base_Mensuelle!$FL$67:$FY$679,5,0)</f>
        <v>99.52</v>
      </c>
      <c r="F68" s="1145">
        <f>VLOOKUP(F64,Base_Mensuelle!$FL$67:$FY$679,5,0)</f>
        <v>99.5</v>
      </c>
      <c r="G68" s="1145">
        <f>VLOOKUP(G64,Base_Mensuelle!$FL$67:$FY$679,5,0)</f>
        <v>100.73</v>
      </c>
      <c r="H68" s="1145">
        <f>VLOOKUP(H64,Base_Mensuelle!$FL$67:$FY$679,5,0)</f>
        <v>100.51</v>
      </c>
      <c r="I68" s="1145">
        <f>VLOOKUP(I64,Base_Mensuelle!$FL$67:$FY$679,5,0)</f>
        <v>100.65</v>
      </c>
      <c r="J68" s="1145">
        <f>VLOOKUP(J64,Base_Mensuelle!$FL$67:$FY$679,5,0)</f>
        <v>100.74</v>
      </c>
      <c r="K68" s="1145">
        <f>VLOOKUP(K64,Base_Mensuelle!$FL$67:$FY$679,5,0)</f>
        <v>100.65</v>
      </c>
      <c r="L68" s="1145">
        <f>VLOOKUP(L64,Base_Mensuelle!$FL$67:$FY$679,5,0)</f>
        <v>100.69</v>
      </c>
      <c r="M68" s="1145">
        <f>VLOOKUP(M64,Base_Mensuelle!$FL$67:$FY$679,5,0)</f>
        <v>100.35</v>
      </c>
    </row>
    <row r="69" spans="1:13" ht="24.6">
      <c r="A69" s="1436" t="s">
        <v>815</v>
      </c>
      <c r="B69" s="1147">
        <f>VLOOKUP(B64,Base_Mensuelle!$FL$67:$FY$679,6,0)</f>
        <v>112.83</v>
      </c>
      <c r="C69" s="1147">
        <f>VLOOKUP(C64,Base_Mensuelle!$FL$67:$FY$679,6,0)</f>
        <v>111.49</v>
      </c>
      <c r="D69" s="1147">
        <f>VLOOKUP(D64,Base_Mensuelle!$FL$67:$FY$679,6,0)</f>
        <v>111.24</v>
      </c>
      <c r="E69" s="1147">
        <f>VLOOKUP(E64,Base_Mensuelle!$FL$67:$FY$679,6,0)</f>
        <v>110.29</v>
      </c>
      <c r="F69" s="1147">
        <f>VLOOKUP(F64,Base_Mensuelle!$FL$67:$FY$679,6,0)</f>
        <v>112.22</v>
      </c>
      <c r="G69" s="1147">
        <f>VLOOKUP(G64,Base_Mensuelle!$FL$67:$FY$679,6,0)</f>
        <v>96.16</v>
      </c>
      <c r="H69" s="1147">
        <f>VLOOKUP(H64,Base_Mensuelle!$FL$67:$FY$679,6,0)</f>
        <v>98.57</v>
      </c>
      <c r="I69" s="1147">
        <f>VLOOKUP(I64,Base_Mensuelle!$FL$67:$FY$679,6,0)</f>
        <v>98.76</v>
      </c>
      <c r="J69" s="1147">
        <f>VLOOKUP(J64,Base_Mensuelle!$FL$67:$FY$679,6,0)</f>
        <v>95.39</v>
      </c>
      <c r="K69" s="1147">
        <f>VLOOKUP(K64,Base_Mensuelle!$FL$67:$FY$679,6,0)</f>
        <v>96.48</v>
      </c>
      <c r="L69" s="1147">
        <f>VLOOKUP(L64,Base_Mensuelle!$FL$67:$FY$679,6,0)</f>
        <v>95.72</v>
      </c>
      <c r="M69" s="1147">
        <f>VLOOKUP(M64,Base_Mensuelle!$FL$67:$FY$679,6,0)</f>
        <v>100.39</v>
      </c>
    </row>
    <row r="70" spans="1:13">
      <c r="A70" s="1448" t="s">
        <v>814</v>
      </c>
      <c r="B70" s="1145">
        <f>VLOOKUP(B64,Base_Mensuelle!$FL$67:$FY$679,7,0)</f>
        <v>99.66</v>
      </c>
      <c r="C70" s="1145">
        <f>VLOOKUP(C64,Base_Mensuelle!$FL$67:$FY$679,7,0)</f>
        <v>99.66</v>
      </c>
      <c r="D70" s="1145">
        <f>VLOOKUP(D64,Base_Mensuelle!$FL$67:$FY$679,7,0)</f>
        <v>99.63</v>
      </c>
      <c r="E70" s="1145">
        <f>VLOOKUP(E64,Base_Mensuelle!$FL$67:$FY$679,7,0)</f>
        <v>99.63</v>
      </c>
      <c r="F70" s="1145">
        <f>VLOOKUP(F64,Base_Mensuelle!$FL$67:$FY$679,7,0)</f>
        <v>99.6</v>
      </c>
      <c r="G70" s="1145">
        <f>VLOOKUP(G64,Base_Mensuelle!$FL$67:$FY$679,7,0)</f>
        <v>100.01</v>
      </c>
      <c r="H70" s="1145">
        <f>VLOOKUP(H64,Base_Mensuelle!$FL$67:$FY$679,7,0)</f>
        <v>99.73</v>
      </c>
      <c r="I70" s="1145">
        <f>VLOOKUP(I64,Base_Mensuelle!$FL$67:$FY$679,7,0)</f>
        <v>99.82</v>
      </c>
      <c r="J70" s="1145">
        <f>VLOOKUP(J64,Base_Mensuelle!$FL$67:$FY$679,7,0)</f>
        <v>99.84</v>
      </c>
      <c r="K70" s="1145">
        <f>VLOOKUP(K64,Base_Mensuelle!$FL$67:$FY$679,7,0)</f>
        <v>100.06</v>
      </c>
      <c r="L70" s="1145">
        <f>VLOOKUP(L64,Base_Mensuelle!$FL$67:$FY$679,7,0)</f>
        <v>99.92</v>
      </c>
      <c r="M70" s="1145">
        <f>VLOOKUP(M64,Base_Mensuelle!$FL$67:$FY$679,7,0)</f>
        <v>100.63</v>
      </c>
    </row>
    <row r="71" spans="1:13">
      <c r="A71" s="1450" t="s">
        <v>813</v>
      </c>
      <c r="B71" s="1147">
        <f>VLOOKUP(B64,Base_Mensuelle!$FL$67:$FY$679,8,0)</f>
        <v>100.26</v>
      </c>
      <c r="C71" s="1147">
        <f>VLOOKUP(C64,Base_Mensuelle!$FL$67:$FY$679,8,0)</f>
        <v>100.26</v>
      </c>
      <c r="D71" s="1147">
        <f>VLOOKUP(D64,Base_Mensuelle!$FL$67:$FY$679,8,0)</f>
        <v>100.26</v>
      </c>
      <c r="E71" s="1147">
        <f>VLOOKUP(E64,Base_Mensuelle!$FL$67:$FY$679,8,0)</f>
        <v>100.26</v>
      </c>
      <c r="F71" s="1147">
        <f>VLOOKUP(F64,Base_Mensuelle!$FL$67:$FY$679,8,0)</f>
        <v>100.26</v>
      </c>
      <c r="G71" s="1147">
        <f>VLOOKUP(G64,Base_Mensuelle!$FL$67:$FY$679,8,0)</f>
        <v>100.26</v>
      </c>
      <c r="H71" s="1147">
        <f>VLOOKUP(H64,Base_Mensuelle!$FL$67:$FY$679,8,0)</f>
        <v>100.26</v>
      </c>
      <c r="I71" s="1147">
        <f>VLOOKUP(I64,Base_Mensuelle!$FL$67:$FY$679,8,0)</f>
        <v>100.26</v>
      </c>
      <c r="J71" s="1147">
        <f>VLOOKUP(J64,Base_Mensuelle!$FL$67:$FY$679,8,0)</f>
        <v>100.26</v>
      </c>
      <c r="K71" s="1147">
        <f>VLOOKUP(K64,Base_Mensuelle!$FL$67:$FY$679,8,0)</f>
        <v>100.26</v>
      </c>
      <c r="L71" s="1147">
        <f>VLOOKUP(L64,Base_Mensuelle!$FL$67:$FY$679,8,0)</f>
        <v>100.26</v>
      </c>
      <c r="M71" s="1147">
        <f>VLOOKUP(M64,Base_Mensuelle!$FL$67:$FY$679,8,0)</f>
        <v>100.26</v>
      </c>
    </row>
    <row r="72" spans="1:13">
      <c r="A72" s="1448" t="s">
        <v>812</v>
      </c>
      <c r="B72" s="1145">
        <f>VLOOKUP(B64,Base_Mensuelle!$FL$67:$FY$679,9,0)</f>
        <v>96.31</v>
      </c>
      <c r="C72" s="1145">
        <f>VLOOKUP(C64,Base_Mensuelle!$FL$67:$FY$679,9,0)</f>
        <v>96.3</v>
      </c>
      <c r="D72" s="1145">
        <f>VLOOKUP(D64,Base_Mensuelle!$FL$67:$FY$679,9,0)</f>
        <v>96.29</v>
      </c>
      <c r="E72" s="1145">
        <f>VLOOKUP(E64,Base_Mensuelle!$FL$67:$FY$679,9,0)</f>
        <v>96.29</v>
      </c>
      <c r="F72" s="1145">
        <f>VLOOKUP(F64,Base_Mensuelle!$FL$67:$FY$679,9,0)</f>
        <v>96.3</v>
      </c>
      <c r="G72" s="1145">
        <f>VLOOKUP(G64,Base_Mensuelle!$FL$67:$FY$679,9,0)</f>
        <v>96.32</v>
      </c>
      <c r="H72" s="1145">
        <f>VLOOKUP(H64,Base_Mensuelle!$FL$67:$FY$679,9,0)</f>
        <v>96.32</v>
      </c>
      <c r="I72" s="1145">
        <f>VLOOKUP(I64,Base_Mensuelle!$FL$67:$FY$679,9,0)</f>
        <v>96.34</v>
      </c>
      <c r="J72" s="1145">
        <f>VLOOKUP(J64,Base_Mensuelle!$FL$67:$FY$679,9,0)</f>
        <v>96.03</v>
      </c>
      <c r="K72" s="1145">
        <f>VLOOKUP(K64,Base_Mensuelle!$FL$67:$FY$679,9,0)</f>
        <v>96.04</v>
      </c>
      <c r="L72" s="1145">
        <f>VLOOKUP(L64,Base_Mensuelle!$FL$67:$FY$679,9,0)</f>
        <v>96.06</v>
      </c>
      <c r="M72" s="1145">
        <f>VLOOKUP(M64,Base_Mensuelle!$FL$67:$FY$679,9,0)</f>
        <v>96.08</v>
      </c>
    </row>
    <row r="73" spans="1:13">
      <c r="A73" s="1450" t="s">
        <v>811</v>
      </c>
      <c r="B73" s="1147">
        <f>VLOOKUP(B64,Base_Mensuelle!$FL$67:$FY$679,10,0)</f>
        <v>110.74</v>
      </c>
      <c r="C73" s="1147">
        <f>VLOOKUP(C64,Base_Mensuelle!$FL$67:$FY$679,10,0)</f>
        <v>110.74</v>
      </c>
      <c r="D73" s="1147">
        <f>VLOOKUP(D64,Base_Mensuelle!$FL$67:$FY$679,10,0)</f>
        <v>110.74</v>
      </c>
      <c r="E73" s="1147">
        <f>VLOOKUP(E64,Base_Mensuelle!$FL$67:$FY$679,10,0)</f>
        <v>110.79</v>
      </c>
      <c r="F73" s="1147">
        <f>VLOOKUP(F64,Base_Mensuelle!$FL$67:$FY$679,10,0)</f>
        <v>110.79</v>
      </c>
      <c r="G73" s="1147">
        <f>VLOOKUP(G64,Base_Mensuelle!$FL$67:$FY$679,10,0)</f>
        <v>110.79</v>
      </c>
      <c r="H73" s="1147">
        <f>VLOOKUP(H64,Base_Mensuelle!$FL$67:$FY$679,10,0)</f>
        <v>110.79</v>
      </c>
      <c r="I73" s="1147">
        <f>VLOOKUP(I64,Base_Mensuelle!$FL$67:$FY$679,10,0)</f>
        <v>110.79</v>
      </c>
      <c r="J73" s="1147">
        <f>VLOOKUP(J64,Base_Mensuelle!$FL$67:$FY$679,10,0)</f>
        <v>110.8</v>
      </c>
      <c r="K73" s="1147">
        <f>VLOOKUP(K64,Base_Mensuelle!$FL$67:$FY$679,10,0)</f>
        <v>110.75</v>
      </c>
      <c r="L73" s="1147">
        <f>VLOOKUP(L64,Base_Mensuelle!$FL$67:$FY$679,10,0)</f>
        <v>110.68</v>
      </c>
      <c r="M73" s="1147">
        <f>VLOOKUP(M64,Base_Mensuelle!$FL$67:$FY$679,10,0)</f>
        <v>111.56</v>
      </c>
    </row>
    <row r="74" spans="1:13">
      <c r="A74" s="1448" t="s">
        <v>810</v>
      </c>
      <c r="B74" s="1145">
        <f>VLOOKUP(B64,Base_Mensuelle!$FL$67:$FY$679,11,0)</f>
        <v>104.2</v>
      </c>
      <c r="C74" s="1145">
        <f>VLOOKUP(C64,Base_Mensuelle!$FL$67:$FY$679,11,0)</f>
        <v>104.2</v>
      </c>
      <c r="D74" s="1145">
        <f>VLOOKUP(D64,Base_Mensuelle!$FL$67:$FY$679,11,0)</f>
        <v>104.23</v>
      </c>
      <c r="E74" s="1145">
        <f>VLOOKUP(E64,Base_Mensuelle!$FL$67:$FY$679,11,0)</f>
        <v>104.23</v>
      </c>
      <c r="F74" s="1145">
        <f>VLOOKUP(F64,Base_Mensuelle!$FL$67:$FY$679,11,0)</f>
        <v>104.23</v>
      </c>
      <c r="G74" s="1145">
        <f>VLOOKUP(G64,Base_Mensuelle!$FL$67:$FY$679,11,0)</f>
        <v>104.01</v>
      </c>
      <c r="H74" s="1145">
        <f>VLOOKUP(H64,Base_Mensuelle!$FL$67:$FY$679,11,0)</f>
        <v>104.01</v>
      </c>
      <c r="I74" s="1145">
        <f>VLOOKUP(I64,Base_Mensuelle!$FL$67:$FY$679,11,0)</f>
        <v>104.07</v>
      </c>
      <c r="J74" s="1145">
        <f>VLOOKUP(J64,Base_Mensuelle!$FL$67:$FY$679,11,0)</f>
        <v>104.08</v>
      </c>
      <c r="K74" s="1145">
        <f>VLOOKUP(K64,Base_Mensuelle!$FL$67:$FY$679,11,0)</f>
        <v>104.07</v>
      </c>
      <c r="L74" s="1145">
        <f>VLOOKUP(L64,Base_Mensuelle!$FL$67:$FY$679,11,0)</f>
        <v>104.08</v>
      </c>
      <c r="M74" s="1145">
        <f>VLOOKUP(M64,Base_Mensuelle!$FL$67:$FY$679,11,0)</f>
        <v>106.92</v>
      </c>
    </row>
    <row r="75" spans="1:13">
      <c r="A75" s="1450" t="s">
        <v>809</v>
      </c>
      <c r="B75" s="1147">
        <f>VLOOKUP(B64,Base_Mensuelle!$FL$67:$FY$679,12,0)</f>
        <v>101.76</v>
      </c>
      <c r="C75" s="1147">
        <f>VLOOKUP(C64,Base_Mensuelle!$FL$67:$FY$679,12,0)</f>
        <v>101.76</v>
      </c>
      <c r="D75" s="1147">
        <f>VLOOKUP(D64,Base_Mensuelle!$FL$67:$FY$679,12,0)</f>
        <v>101.76</v>
      </c>
      <c r="E75" s="1147">
        <f>VLOOKUP(E64,Base_Mensuelle!$FL$67:$FY$679,12,0)</f>
        <v>101.76</v>
      </c>
      <c r="F75" s="1147">
        <f>VLOOKUP(F64,Base_Mensuelle!$FL$67:$FY$679,12,0)</f>
        <v>101.76</v>
      </c>
      <c r="G75" s="1147">
        <f>VLOOKUP(G64,Base_Mensuelle!$FL$67:$FY$679,12,0)</f>
        <v>101.76</v>
      </c>
      <c r="H75" s="1147">
        <f>VLOOKUP(H64,Base_Mensuelle!$FL$67:$FY$679,12,0)</f>
        <v>101.76</v>
      </c>
      <c r="I75" s="1147">
        <f>VLOOKUP(I64,Base_Mensuelle!$FL$67:$FY$679,12,0)</f>
        <v>101.76</v>
      </c>
      <c r="J75" s="1147">
        <f>VLOOKUP(J64,Base_Mensuelle!$FL$67:$FY$679,12,0)</f>
        <v>101.98</v>
      </c>
      <c r="K75" s="1147">
        <f>VLOOKUP(K64,Base_Mensuelle!$FL$67:$FY$679,12,0)</f>
        <v>102.73</v>
      </c>
      <c r="L75" s="1147">
        <f>VLOOKUP(L64,Base_Mensuelle!$FL$67:$FY$679,12,0)</f>
        <v>102.73</v>
      </c>
      <c r="M75" s="1147">
        <f>VLOOKUP(M64,Base_Mensuelle!$FL$67:$FY$679,12,0)</f>
        <v>102.73</v>
      </c>
    </row>
    <row r="76" spans="1:13">
      <c r="A76" s="1448" t="s">
        <v>808</v>
      </c>
      <c r="B76" s="1145">
        <f>VLOOKUP(B64,Base_Mensuelle!$FL$67:$FY$679,13,0)</f>
        <v>101.06</v>
      </c>
      <c r="C76" s="1145">
        <f>VLOOKUP(C64,Base_Mensuelle!$FL$67:$FY$679,13,0)</f>
        <v>99.89</v>
      </c>
      <c r="D76" s="1145">
        <f>VLOOKUP(D64,Base_Mensuelle!$FL$67:$FY$679,13,0)</f>
        <v>100.09</v>
      </c>
      <c r="E76" s="1145">
        <f>VLOOKUP(E64,Base_Mensuelle!$FL$67:$FY$679,13,0)</f>
        <v>100.8</v>
      </c>
      <c r="F76" s="1145">
        <f>VLOOKUP(F64,Base_Mensuelle!$FL$67:$FY$679,13,0)</f>
        <v>100.81</v>
      </c>
      <c r="G76" s="1145">
        <f>VLOOKUP(G64,Base_Mensuelle!$FL$67:$FY$679,13,0)</f>
        <v>102.72</v>
      </c>
      <c r="H76" s="1145">
        <f>VLOOKUP(H64,Base_Mensuelle!$FL$67:$FY$679,13,0)</f>
        <v>102.71</v>
      </c>
      <c r="I76" s="1145">
        <f>VLOOKUP(I64,Base_Mensuelle!$FL$67:$FY$679,13,0)</f>
        <v>102.82</v>
      </c>
      <c r="J76" s="1145">
        <f>VLOOKUP(J64,Base_Mensuelle!$FL$67:$FY$679,13,0)</f>
        <v>102.86</v>
      </c>
      <c r="K76" s="1145">
        <f>VLOOKUP(K64,Base_Mensuelle!$FL$67:$FY$679,13,0)</f>
        <v>102.29</v>
      </c>
      <c r="L76" s="1145">
        <f>VLOOKUP(L64,Base_Mensuelle!$FL$67:$FY$679,13,0)</f>
        <v>101.81</v>
      </c>
      <c r="M76" s="1145">
        <f>VLOOKUP(M64,Base_Mensuelle!$FL$67:$FY$679,13,0)</f>
        <v>101.05</v>
      </c>
    </row>
    <row r="77" spans="1:13">
      <c r="A77" s="1451" t="s">
        <v>807</v>
      </c>
      <c r="B77" s="454">
        <f>VLOOKUP(B64,Base_Mensuelle!$FL$67:$FY$679,14,0)</f>
        <v>99.83</v>
      </c>
      <c r="C77" s="454">
        <f>VLOOKUP(C64,Base_Mensuelle!$FL$67:$FY$679,14,0)</f>
        <v>99.83</v>
      </c>
      <c r="D77" s="454">
        <f>VLOOKUP(D64,Base_Mensuelle!$FL$67:$FY$679,14,0)</f>
        <v>99.52</v>
      </c>
      <c r="E77" s="454">
        <f>VLOOKUP(E64,Base_Mensuelle!$FL$67:$FY$679,14,0)</f>
        <v>99.52</v>
      </c>
      <c r="F77" s="454">
        <f>VLOOKUP(F64,Base_Mensuelle!$FL$67:$FY$679,14,0)</f>
        <v>99.52</v>
      </c>
      <c r="G77" s="454">
        <f>VLOOKUP(G64,Base_Mensuelle!$FL$67:$FY$679,14,0)</f>
        <v>99.51</v>
      </c>
      <c r="H77" s="454">
        <f>VLOOKUP(H64,Base_Mensuelle!$FL$67:$FY$679,14,0)</f>
        <v>99.51</v>
      </c>
      <c r="I77" s="454">
        <f>VLOOKUP(I64,Base_Mensuelle!$FL$67:$FY$679,14,0)</f>
        <v>99.53</v>
      </c>
      <c r="J77" s="454">
        <f>VLOOKUP(J64,Base_Mensuelle!$FL$67:$FY$679,14,0)</f>
        <v>99.55</v>
      </c>
      <c r="K77" s="454">
        <f>VLOOKUP(K64,Base_Mensuelle!$FL$67:$FY$679,14,0)</f>
        <v>100.06</v>
      </c>
      <c r="L77" s="454">
        <f>VLOOKUP(L64,Base_Mensuelle!$FL$67:$FY$679,14,0)</f>
        <v>99.55</v>
      </c>
      <c r="M77" s="454">
        <f>VLOOKUP(M64,Base_Mensuelle!$FL$67:$FY$679,14,0)</f>
        <v>100.04</v>
      </c>
    </row>
    <row r="78" spans="1:13">
      <c r="A78" s="1452"/>
    </row>
    <row r="79" spans="1:13" ht="18" customHeight="1">
      <c r="A79" s="1446"/>
      <c r="B79" s="1522">
        <f>DATE(YEAR(INDEX(Base_Mensuelle!$FL$68:$FZ$679,MAX(Base_Mensuelle!$FZ$68:$FZ$679),1))-5,1,1)</f>
        <v>43101</v>
      </c>
      <c r="C79" s="1522">
        <f>DATE(YEAR(INDEX(Base_Mensuelle!$FL$68:$FZ$679,MAX(Base_Mensuelle!$FZ$68:$FZ$679),1))-5,2,1)</f>
        <v>43132</v>
      </c>
      <c r="D79" s="1522">
        <f>DATE(YEAR(INDEX(Base_Mensuelle!$FL$68:$FZ$679,MAX(Base_Mensuelle!$FZ$68:$FZ$679),1))-5,3,1)</f>
        <v>43160</v>
      </c>
      <c r="E79" s="1522">
        <f>DATE(YEAR(INDEX(Base_Mensuelle!$FL$68:$FZ$679,MAX(Base_Mensuelle!$FZ$68:$FZ$679),1))-5,4,1)</f>
        <v>43191</v>
      </c>
      <c r="F79" s="1522">
        <f>DATE(YEAR(INDEX(Base_Mensuelle!$FL$68:$FZ$679,MAX(Base_Mensuelle!$FZ$68:$FZ$679),1))-5,5,1)</f>
        <v>43221</v>
      </c>
      <c r="G79" s="1522">
        <f>DATE(YEAR(INDEX(Base_Mensuelle!$FL$68:$FZ$679,MAX(Base_Mensuelle!$FZ$68:$FZ$679),1))-5,6,1)</f>
        <v>43252</v>
      </c>
      <c r="H79" s="1522">
        <f>DATE(YEAR(INDEX(Base_Mensuelle!$FL$68:$FZ$679,MAX(Base_Mensuelle!$FZ$68:$FZ$679),1))-5,7,1)</f>
        <v>43282</v>
      </c>
      <c r="I79" s="1522">
        <f>DATE(YEAR(INDEX(Base_Mensuelle!$FL$68:$FZ$679,MAX(Base_Mensuelle!$FZ$68:$FZ$679),1))-5,8,1)</f>
        <v>43313</v>
      </c>
      <c r="J79" s="1522">
        <f>DATE(YEAR(INDEX(Base_Mensuelle!$FL$68:$FZ$679,MAX(Base_Mensuelle!$FZ$68:$FZ$679),1))-5,9,1)</f>
        <v>43344</v>
      </c>
      <c r="K79" s="1522">
        <f>DATE(YEAR(INDEX(Base_Mensuelle!$FL$68:$FZ$679,MAX(Base_Mensuelle!$FZ$68:$FZ$679),1))-5,10,1)</f>
        <v>43374</v>
      </c>
      <c r="L79" s="1522">
        <f>DATE(YEAR(INDEX(Base_Mensuelle!$FL$68:$FZ$679,MAX(Base_Mensuelle!$FZ$68:$FZ$679),1))-5,11,1)</f>
        <v>43405</v>
      </c>
      <c r="M79" s="1522">
        <f>DATE(YEAR(INDEX(Base_Mensuelle!$FL$68:$FZ$679,MAX(Base_Mensuelle!$FZ$68:$FZ$679),1))-5,12,1)</f>
        <v>43435</v>
      </c>
    </row>
    <row r="80" spans="1:13">
      <c r="A80" s="1447" t="s">
        <v>222</v>
      </c>
      <c r="B80" s="406">
        <f>VLOOKUP(B79,Base_Mensuelle!$FL$67:$FY$679,2,0)</f>
        <v>103.68</v>
      </c>
      <c r="C80" s="406">
        <f>VLOOKUP(C79,Base_Mensuelle!$FL$67:$FY$679,2,0)</f>
        <v>104</v>
      </c>
      <c r="D80" s="406">
        <f>VLOOKUP(D79,Base_Mensuelle!$FL$67:$FY$679,2,0)</f>
        <v>103.65</v>
      </c>
      <c r="E80" s="406">
        <f>VLOOKUP(E79,Base_Mensuelle!$FL$67:$FY$679,2,0)</f>
        <v>105.41</v>
      </c>
      <c r="F80" s="406">
        <f>VLOOKUP(F79,Base_Mensuelle!$FL$67:$FY$679,2,0)</f>
        <v>105.8</v>
      </c>
      <c r="G80" s="406">
        <f>VLOOKUP(G79,Base_Mensuelle!$FL$67:$FY$679,2,0)</f>
        <v>107.2</v>
      </c>
      <c r="H80" s="406">
        <f>VLOOKUP(H79,Base_Mensuelle!$FL$67:$FY$679,2,0)</f>
        <v>108.03</v>
      </c>
      <c r="I80" s="406">
        <f>VLOOKUP(I79,Base_Mensuelle!$FL$67:$FY$679,2,0)</f>
        <v>106.93</v>
      </c>
      <c r="J80" s="406">
        <f>VLOOKUP(J79,Base_Mensuelle!$FL$67:$FY$679,2,0)</f>
        <v>107.29</v>
      </c>
      <c r="K80" s="406">
        <f>VLOOKUP(K79,Base_Mensuelle!$FL$67:$FY$679,2,0)</f>
        <v>106.05</v>
      </c>
      <c r="L80" s="406">
        <f>VLOOKUP(L79,Base_Mensuelle!$FL$67:$FY$679,2,0)</f>
        <v>104.52</v>
      </c>
      <c r="M80" s="406">
        <f>VLOOKUP(M79,Base_Mensuelle!$FL$67:$FY$679,2,0)</f>
        <v>104.46</v>
      </c>
    </row>
    <row r="81" spans="1:13" ht="24.6">
      <c r="A81" s="1448" t="s">
        <v>818</v>
      </c>
      <c r="B81" s="403">
        <f>VLOOKUP(B79,Base_Mensuelle!$FL$67:$FY$679,3,0)</f>
        <v>105.54</v>
      </c>
      <c r="C81" s="403">
        <f>VLOOKUP(C79,Base_Mensuelle!$FL$67:$FY$679,3,0)</f>
        <v>105.94</v>
      </c>
      <c r="D81" s="403">
        <f>VLOOKUP(D79,Base_Mensuelle!$FL$67:$FY$679,3,0)</f>
        <v>106.15</v>
      </c>
      <c r="E81" s="403">
        <f>VLOOKUP(E79,Base_Mensuelle!$FL$67:$FY$679,3,0)</f>
        <v>108.7</v>
      </c>
      <c r="F81" s="403">
        <f>VLOOKUP(F79,Base_Mensuelle!$FL$67:$FY$679,3,0)</f>
        <v>109.75</v>
      </c>
      <c r="G81" s="403">
        <f>VLOOKUP(G79,Base_Mensuelle!$FL$67:$FY$679,3,0)</f>
        <v>112.12</v>
      </c>
      <c r="H81" s="403">
        <f>VLOOKUP(H79,Base_Mensuelle!$FL$67:$FY$679,3,0)</f>
        <v>114.21</v>
      </c>
      <c r="I81" s="403">
        <f>VLOOKUP(I79,Base_Mensuelle!$FL$67:$FY$679,3,0)</f>
        <v>111.81</v>
      </c>
      <c r="J81" s="403">
        <f>VLOOKUP(J79,Base_Mensuelle!$FL$67:$FY$679,3,0)</f>
        <v>111.68</v>
      </c>
      <c r="K81" s="403">
        <f>VLOOKUP(K79,Base_Mensuelle!$FL$67:$FY$679,3,0)</f>
        <v>109.9</v>
      </c>
      <c r="L81" s="403">
        <f>VLOOKUP(L79,Base_Mensuelle!$FL$67:$FY$679,3,0)</f>
        <v>106.65</v>
      </c>
      <c r="M81" s="403">
        <f>VLOOKUP(M79,Base_Mensuelle!$FL$67:$FY$679,3,0)</f>
        <v>106.27</v>
      </c>
    </row>
    <row r="82" spans="1:13" ht="24.6">
      <c r="A82" s="1436" t="s">
        <v>817</v>
      </c>
      <c r="B82" s="1147">
        <f>VLOOKUP(B79,Base_Mensuelle!$FL$67:$FY$679,4,0)</f>
        <v>124.16</v>
      </c>
      <c r="C82" s="1147">
        <f>VLOOKUP(C79,Base_Mensuelle!$FL$67:$FY$679,4,0)</f>
        <v>120.98</v>
      </c>
      <c r="D82" s="1147">
        <f>VLOOKUP(D79,Base_Mensuelle!$FL$67:$FY$679,4,0)</f>
        <v>118.73</v>
      </c>
      <c r="E82" s="1147">
        <f>VLOOKUP(E79,Base_Mensuelle!$FL$67:$FY$679,4,0)</f>
        <v>122.82</v>
      </c>
      <c r="F82" s="1147">
        <f>VLOOKUP(F79,Base_Mensuelle!$FL$67:$FY$679,4,0)</f>
        <v>122.42</v>
      </c>
      <c r="G82" s="1147">
        <f>VLOOKUP(G79,Base_Mensuelle!$FL$67:$FY$679,4,0)</f>
        <v>128.72999999999999</v>
      </c>
      <c r="H82" s="1147">
        <f>VLOOKUP(H79,Base_Mensuelle!$FL$67:$FY$679,4,0)</f>
        <v>128.08000000000001</v>
      </c>
      <c r="I82" s="1147">
        <f>VLOOKUP(I79,Base_Mensuelle!$FL$67:$FY$679,4,0)</f>
        <v>129.4</v>
      </c>
      <c r="J82" s="1147">
        <f>VLOOKUP(J79,Base_Mensuelle!$FL$67:$FY$679,4,0)</f>
        <v>135.76</v>
      </c>
      <c r="K82" s="1147">
        <f>VLOOKUP(K79,Base_Mensuelle!$FL$67:$FY$679,4,0)</f>
        <v>130.15</v>
      </c>
      <c r="L82" s="1147">
        <f>VLOOKUP(L79,Base_Mensuelle!$FL$67:$FY$679,4,0)</f>
        <v>131.21</v>
      </c>
      <c r="M82" s="1147">
        <f>VLOOKUP(M79,Base_Mensuelle!$FL$67:$FY$679,4,0)</f>
        <v>129.59</v>
      </c>
    </row>
    <row r="83" spans="1:13">
      <c r="A83" s="1449" t="s">
        <v>816</v>
      </c>
      <c r="B83" s="1145">
        <f>VLOOKUP(B79,Base_Mensuelle!$FL$67:$FY$679,5,0)</f>
        <v>100.04</v>
      </c>
      <c r="C83" s="1145">
        <f>VLOOKUP(C79,Base_Mensuelle!$FL$67:$FY$679,5,0)</f>
        <v>100.24</v>
      </c>
      <c r="D83" s="1145">
        <f>VLOOKUP(D79,Base_Mensuelle!$FL$67:$FY$679,5,0)</f>
        <v>100.47</v>
      </c>
      <c r="E83" s="1145">
        <f>VLOOKUP(E79,Base_Mensuelle!$FL$67:$FY$679,5,0)</f>
        <v>100.26</v>
      </c>
      <c r="F83" s="1145">
        <f>VLOOKUP(F79,Base_Mensuelle!$FL$67:$FY$679,5,0)</f>
        <v>100.72</v>
      </c>
      <c r="G83" s="1145">
        <f>VLOOKUP(G79,Base_Mensuelle!$FL$67:$FY$679,5,0)</f>
        <v>100.72</v>
      </c>
      <c r="H83" s="1145">
        <f>VLOOKUP(H79,Base_Mensuelle!$FL$67:$FY$679,5,0)</f>
        <v>100.72</v>
      </c>
      <c r="I83" s="1145">
        <f>VLOOKUP(I79,Base_Mensuelle!$FL$67:$FY$679,5,0)</f>
        <v>100.39</v>
      </c>
      <c r="J83" s="1145">
        <f>VLOOKUP(J79,Base_Mensuelle!$FL$67:$FY$679,5,0)</f>
        <v>100.42</v>
      </c>
      <c r="K83" s="1145">
        <f>VLOOKUP(K79,Base_Mensuelle!$FL$67:$FY$679,5,0)</f>
        <v>100.6</v>
      </c>
      <c r="L83" s="1145">
        <f>VLOOKUP(L79,Base_Mensuelle!$FL$67:$FY$679,5,0)</f>
        <v>100.78</v>
      </c>
      <c r="M83" s="1145">
        <f>VLOOKUP(M79,Base_Mensuelle!$FL$67:$FY$679,5,0)</f>
        <v>101.15</v>
      </c>
    </row>
    <row r="84" spans="1:13" ht="24.6">
      <c r="A84" s="1436" t="s">
        <v>815</v>
      </c>
      <c r="B84" s="1147">
        <f>VLOOKUP(B79,Base_Mensuelle!$FL$67:$FY$679,6,0)</f>
        <v>99.6</v>
      </c>
      <c r="C84" s="1147">
        <f>VLOOKUP(C79,Base_Mensuelle!$FL$67:$FY$679,6,0)</f>
        <v>100.42</v>
      </c>
      <c r="D84" s="1147">
        <f>VLOOKUP(D79,Base_Mensuelle!$FL$67:$FY$679,6,0)</f>
        <v>97.21</v>
      </c>
      <c r="E84" s="1147">
        <f>VLOOKUP(E79,Base_Mensuelle!$FL$67:$FY$679,6,0)</f>
        <v>98.71</v>
      </c>
      <c r="F84" s="1147">
        <f>VLOOKUP(F79,Base_Mensuelle!$FL$67:$FY$679,6,0)</f>
        <v>96.77</v>
      </c>
      <c r="G84" s="1147">
        <f>VLOOKUP(G79,Base_Mensuelle!$FL$67:$FY$679,6,0)</f>
        <v>96.88</v>
      </c>
      <c r="H84" s="1147">
        <f>VLOOKUP(H79,Base_Mensuelle!$FL$67:$FY$679,6,0)</f>
        <v>96.01</v>
      </c>
      <c r="I84" s="1147">
        <f>VLOOKUP(I79,Base_Mensuelle!$FL$67:$FY$679,6,0)</f>
        <v>96.09</v>
      </c>
      <c r="J84" s="1147">
        <f>VLOOKUP(J79,Base_Mensuelle!$FL$67:$FY$679,6,0)</f>
        <v>97.2</v>
      </c>
      <c r="K84" s="1147">
        <f>VLOOKUP(K79,Base_Mensuelle!$FL$67:$FY$679,6,0)</f>
        <v>97.36</v>
      </c>
      <c r="L84" s="1147">
        <f>VLOOKUP(L79,Base_Mensuelle!$FL$67:$FY$679,6,0)</f>
        <v>97.36</v>
      </c>
      <c r="M84" s="1147">
        <f>VLOOKUP(M79,Base_Mensuelle!$FL$67:$FY$679,6,0)</f>
        <v>96.67</v>
      </c>
    </row>
    <row r="85" spans="1:13">
      <c r="A85" s="1448" t="s">
        <v>814</v>
      </c>
      <c r="B85" s="1145">
        <f>VLOOKUP(B79,Base_Mensuelle!$FL$67:$FY$679,7,0)</f>
        <v>100.65</v>
      </c>
      <c r="C85" s="1145">
        <f>VLOOKUP(C79,Base_Mensuelle!$FL$67:$FY$679,7,0)</f>
        <v>100.91</v>
      </c>
      <c r="D85" s="1145">
        <f>VLOOKUP(D79,Base_Mensuelle!$FL$67:$FY$679,7,0)</f>
        <v>101.03</v>
      </c>
      <c r="E85" s="1145">
        <f>VLOOKUP(E79,Base_Mensuelle!$FL$67:$FY$679,7,0)</f>
        <v>101.05</v>
      </c>
      <c r="F85" s="1145">
        <f>VLOOKUP(F79,Base_Mensuelle!$FL$67:$FY$679,7,0)</f>
        <v>101.11</v>
      </c>
      <c r="G85" s="1145">
        <f>VLOOKUP(G79,Base_Mensuelle!$FL$67:$FY$679,7,0)</f>
        <v>101.16</v>
      </c>
      <c r="H85" s="1145">
        <f>VLOOKUP(H79,Base_Mensuelle!$FL$67:$FY$679,7,0)</f>
        <v>101.16</v>
      </c>
      <c r="I85" s="1145">
        <f>VLOOKUP(I79,Base_Mensuelle!$FL$67:$FY$679,7,0)</f>
        <v>101.15</v>
      </c>
      <c r="J85" s="1145">
        <f>VLOOKUP(J79,Base_Mensuelle!$FL$67:$FY$679,7,0)</f>
        <v>101.15</v>
      </c>
      <c r="K85" s="1145">
        <f>VLOOKUP(K79,Base_Mensuelle!$FL$67:$FY$679,7,0)</f>
        <v>100.98</v>
      </c>
      <c r="L85" s="1145">
        <f>VLOOKUP(L79,Base_Mensuelle!$FL$67:$FY$679,7,0)</f>
        <v>101.02</v>
      </c>
      <c r="M85" s="1145">
        <f>VLOOKUP(M79,Base_Mensuelle!$FL$67:$FY$679,7,0)</f>
        <v>101</v>
      </c>
    </row>
    <row r="86" spans="1:13">
      <c r="A86" s="1450" t="s">
        <v>813</v>
      </c>
      <c r="B86" s="1147">
        <f>VLOOKUP(B79,Base_Mensuelle!$FL$67:$FY$679,8,0)</f>
        <v>100.28</v>
      </c>
      <c r="C86" s="1147">
        <f>VLOOKUP(C79,Base_Mensuelle!$FL$67:$FY$679,8,0)</f>
        <v>100.28</v>
      </c>
      <c r="D86" s="1147">
        <f>VLOOKUP(D79,Base_Mensuelle!$FL$67:$FY$679,8,0)</f>
        <v>100.28</v>
      </c>
      <c r="E86" s="1147">
        <f>VLOOKUP(E79,Base_Mensuelle!$FL$67:$FY$679,8,0)</f>
        <v>100.28</v>
      </c>
      <c r="F86" s="1147">
        <f>VLOOKUP(F79,Base_Mensuelle!$FL$67:$FY$679,8,0)</f>
        <v>100.28</v>
      </c>
      <c r="G86" s="1147">
        <f>VLOOKUP(G79,Base_Mensuelle!$FL$67:$FY$679,8,0)</f>
        <v>100.28</v>
      </c>
      <c r="H86" s="1147">
        <f>VLOOKUP(H79,Base_Mensuelle!$FL$67:$FY$679,8,0)</f>
        <v>100.28</v>
      </c>
      <c r="I86" s="1147">
        <f>VLOOKUP(I79,Base_Mensuelle!$FL$67:$FY$679,8,0)</f>
        <v>100.28</v>
      </c>
      <c r="J86" s="1147">
        <f>VLOOKUP(J79,Base_Mensuelle!$FL$67:$FY$679,8,0)</f>
        <v>100.29</v>
      </c>
      <c r="K86" s="1147">
        <f>VLOOKUP(K79,Base_Mensuelle!$FL$67:$FY$679,8,0)</f>
        <v>100.29</v>
      </c>
      <c r="L86" s="1147">
        <f>VLOOKUP(L79,Base_Mensuelle!$FL$67:$FY$679,8,0)</f>
        <v>100.29</v>
      </c>
      <c r="M86" s="1147">
        <f>VLOOKUP(M79,Base_Mensuelle!$FL$67:$FY$679,8,0)</f>
        <v>100.29</v>
      </c>
    </row>
    <row r="87" spans="1:13">
      <c r="A87" s="1448" t="s">
        <v>812</v>
      </c>
      <c r="B87" s="1145">
        <f>VLOOKUP(B79,Base_Mensuelle!$FL$67:$FY$679,9,0)</f>
        <v>96.53</v>
      </c>
      <c r="C87" s="1145">
        <f>VLOOKUP(C79,Base_Mensuelle!$FL$67:$FY$679,9,0)</f>
        <v>97.43</v>
      </c>
      <c r="D87" s="1145">
        <f>VLOOKUP(D79,Base_Mensuelle!$FL$67:$FY$679,9,0)</f>
        <v>97.45</v>
      </c>
      <c r="E87" s="1145">
        <f>VLOOKUP(E79,Base_Mensuelle!$FL$67:$FY$679,9,0)</f>
        <v>97.46</v>
      </c>
      <c r="F87" s="1145">
        <f>VLOOKUP(F79,Base_Mensuelle!$FL$67:$FY$679,9,0)</f>
        <v>97.14</v>
      </c>
      <c r="G87" s="1145">
        <f>VLOOKUP(G79,Base_Mensuelle!$FL$67:$FY$679,9,0)</f>
        <v>97.14</v>
      </c>
      <c r="H87" s="1145">
        <f>VLOOKUP(H79,Base_Mensuelle!$FL$67:$FY$679,9,0)</f>
        <v>97.19</v>
      </c>
      <c r="I87" s="1145">
        <f>VLOOKUP(I79,Base_Mensuelle!$FL$67:$FY$679,9,0)</f>
        <v>97.49</v>
      </c>
      <c r="J87" s="1145">
        <f>VLOOKUP(J79,Base_Mensuelle!$FL$67:$FY$679,9,0)</f>
        <v>97.49</v>
      </c>
      <c r="K87" s="1145">
        <f>VLOOKUP(K79,Base_Mensuelle!$FL$67:$FY$679,9,0)</f>
        <v>97.76</v>
      </c>
      <c r="L87" s="1145">
        <f>VLOOKUP(L79,Base_Mensuelle!$FL$67:$FY$679,9,0)</f>
        <v>99.07</v>
      </c>
      <c r="M87" s="1145">
        <f>VLOOKUP(M79,Base_Mensuelle!$FL$67:$FY$679,9,0)</f>
        <v>99.62</v>
      </c>
    </row>
    <row r="88" spans="1:13">
      <c r="A88" s="1450" t="s">
        <v>811</v>
      </c>
      <c r="B88" s="1147">
        <f>VLOOKUP(B79,Base_Mensuelle!$FL$67:$FY$679,10,0)</f>
        <v>111.56</v>
      </c>
      <c r="C88" s="1147">
        <f>VLOOKUP(C79,Base_Mensuelle!$FL$67:$FY$679,10,0)</f>
        <v>111.56</v>
      </c>
      <c r="D88" s="1147">
        <f>VLOOKUP(D79,Base_Mensuelle!$FL$67:$FY$679,10,0)</f>
        <v>111.56</v>
      </c>
      <c r="E88" s="1147">
        <f>VLOOKUP(E79,Base_Mensuelle!$FL$67:$FY$679,10,0)</f>
        <v>111.62</v>
      </c>
      <c r="F88" s="1147">
        <f>VLOOKUP(F79,Base_Mensuelle!$FL$67:$FY$679,10,0)</f>
        <v>111.56</v>
      </c>
      <c r="G88" s="1147">
        <f>VLOOKUP(G79,Base_Mensuelle!$FL$67:$FY$679,10,0)</f>
        <v>111.56</v>
      </c>
      <c r="H88" s="1147">
        <f>VLOOKUP(H79,Base_Mensuelle!$FL$67:$FY$679,10,0)</f>
        <v>110.27</v>
      </c>
      <c r="I88" s="1147">
        <f>VLOOKUP(I79,Base_Mensuelle!$FL$67:$FY$679,10,0)</f>
        <v>109.26</v>
      </c>
      <c r="J88" s="1147">
        <f>VLOOKUP(J79,Base_Mensuelle!$FL$67:$FY$679,10,0)</f>
        <v>110.43</v>
      </c>
      <c r="K88" s="1147">
        <f>VLOOKUP(K79,Base_Mensuelle!$FL$67:$FY$679,10,0)</f>
        <v>110.43</v>
      </c>
      <c r="L88" s="1147">
        <f>VLOOKUP(L79,Base_Mensuelle!$FL$67:$FY$679,10,0)</f>
        <v>110.43</v>
      </c>
      <c r="M88" s="1147">
        <f>VLOOKUP(M79,Base_Mensuelle!$FL$67:$FY$679,10,0)</f>
        <v>110.63</v>
      </c>
    </row>
    <row r="89" spans="1:13">
      <c r="A89" s="1448" t="s">
        <v>810</v>
      </c>
      <c r="B89" s="1145">
        <f>VLOOKUP(B79,Base_Mensuelle!$FL$67:$FY$679,11,0)</f>
        <v>106.89</v>
      </c>
      <c r="C89" s="1145">
        <f>VLOOKUP(C79,Base_Mensuelle!$FL$67:$FY$679,11,0)</f>
        <v>104.21</v>
      </c>
      <c r="D89" s="1145">
        <f>VLOOKUP(D79,Base_Mensuelle!$FL$67:$FY$679,11,0)</f>
        <v>100.4</v>
      </c>
      <c r="E89" s="1145">
        <f>VLOOKUP(E79,Base_Mensuelle!$FL$67:$FY$679,11,0)</f>
        <v>104.24</v>
      </c>
      <c r="F89" s="1145">
        <f>VLOOKUP(F79,Base_Mensuelle!$FL$67:$FY$679,11,0)</f>
        <v>104.44</v>
      </c>
      <c r="G89" s="1145">
        <f>VLOOKUP(G79,Base_Mensuelle!$FL$67:$FY$679,11,0)</f>
        <v>104.44</v>
      </c>
      <c r="H89" s="1145">
        <f>VLOOKUP(H79,Base_Mensuelle!$FL$67:$FY$679,11,0)</f>
        <v>104.53</v>
      </c>
      <c r="I89" s="1145">
        <f>VLOOKUP(I79,Base_Mensuelle!$FL$67:$FY$679,11,0)</f>
        <v>101.16</v>
      </c>
      <c r="J89" s="1145">
        <f>VLOOKUP(J79,Base_Mensuelle!$FL$67:$FY$679,11,0)</f>
        <v>101.26</v>
      </c>
      <c r="K89" s="1145">
        <f>VLOOKUP(K79,Base_Mensuelle!$FL$67:$FY$679,11,0)</f>
        <v>102.4</v>
      </c>
      <c r="L89" s="1145">
        <f>VLOOKUP(L79,Base_Mensuelle!$FL$67:$FY$679,11,0)</f>
        <v>102.4</v>
      </c>
      <c r="M89" s="1145">
        <f>VLOOKUP(M79,Base_Mensuelle!$FL$67:$FY$679,11,0)</f>
        <v>101.97</v>
      </c>
    </row>
    <row r="90" spans="1:13">
      <c r="A90" s="1450" t="s">
        <v>809</v>
      </c>
      <c r="B90" s="1147">
        <f>VLOOKUP(B79,Base_Mensuelle!$FL$67:$FY$679,12,0)</f>
        <v>102.73</v>
      </c>
      <c r="C90" s="1147">
        <f>VLOOKUP(C79,Base_Mensuelle!$FL$67:$FY$679,12,0)</f>
        <v>103.15</v>
      </c>
      <c r="D90" s="1147">
        <f>VLOOKUP(D79,Base_Mensuelle!$FL$67:$FY$679,12,0)</f>
        <v>103.15</v>
      </c>
      <c r="E90" s="1147">
        <f>VLOOKUP(E79,Base_Mensuelle!$FL$67:$FY$679,12,0)</f>
        <v>103.15</v>
      </c>
      <c r="F90" s="1147">
        <f>VLOOKUP(F79,Base_Mensuelle!$FL$67:$FY$679,12,0)</f>
        <v>103.15</v>
      </c>
      <c r="G90" s="1147">
        <f>VLOOKUP(G79,Base_Mensuelle!$FL$67:$FY$679,12,0)</f>
        <v>103.15</v>
      </c>
      <c r="H90" s="1147">
        <f>VLOOKUP(H79,Base_Mensuelle!$FL$67:$FY$679,12,0)</f>
        <v>103.15</v>
      </c>
      <c r="I90" s="1147">
        <f>VLOOKUP(I79,Base_Mensuelle!$FL$67:$FY$679,12,0)</f>
        <v>103.15</v>
      </c>
      <c r="J90" s="1147">
        <f>VLOOKUP(J79,Base_Mensuelle!$FL$67:$FY$679,12,0)</f>
        <v>103.15</v>
      </c>
      <c r="K90" s="1147">
        <f>VLOOKUP(K79,Base_Mensuelle!$FL$67:$FY$679,12,0)</f>
        <v>104.59</v>
      </c>
      <c r="L90" s="1147">
        <f>VLOOKUP(L79,Base_Mensuelle!$FL$67:$FY$679,12,0)</f>
        <v>104.59</v>
      </c>
      <c r="M90" s="1147">
        <f>VLOOKUP(M79,Base_Mensuelle!$FL$67:$FY$679,12,0)</f>
        <v>104.6</v>
      </c>
    </row>
    <row r="91" spans="1:13">
      <c r="A91" s="1448" t="s">
        <v>808</v>
      </c>
      <c r="B91" s="1145">
        <f>VLOOKUP(B79,Base_Mensuelle!$FL$67:$FY$679,13,0)</f>
        <v>101.11</v>
      </c>
      <c r="C91" s="1145">
        <f>VLOOKUP(C79,Base_Mensuelle!$FL$67:$FY$679,13,0)</f>
        <v>102.12</v>
      </c>
      <c r="D91" s="1145">
        <f>VLOOKUP(D79,Base_Mensuelle!$FL$67:$FY$679,13,0)</f>
        <v>102.3</v>
      </c>
      <c r="E91" s="1145">
        <f>VLOOKUP(E79,Base_Mensuelle!$FL$67:$FY$679,13,0)</f>
        <v>102.21</v>
      </c>
      <c r="F91" s="1145">
        <f>VLOOKUP(F79,Base_Mensuelle!$FL$67:$FY$679,13,0)</f>
        <v>102.56</v>
      </c>
      <c r="G91" s="1145">
        <f>VLOOKUP(G79,Base_Mensuelle!$FL$67:$FY$679,13,0)</f>
        <v>102.91</v>
      </c>
      <c r="H91" s="1145">
        <f>VLOOKUP(H79,Base_Mensuelle!$FL$67:$FY$679,13,0)</f>
        <v>103.41</v>
      </c>
      <c r="I91" s="1145">
        <f>VLOOKUP(I79,Base_Mensuelle!$FL$67:$FY$679,13,0)</f>
        <v>103.25</v>
      </c>
      <c r="J91" s="1145">
        <f>VLOOKUP(J79,Base_Mensuelle!$FL$67:$FY$679,13,0)</f>
        <v>103.81</v>
      </c>
      <c r="K91" s="1145">
        <f>VLOOKUP(K79,Base_Mensuelle!$FL$67:$FY$679,13,0)</f>
        <v>103.18</v>
      </c>
      <c r="L91" s="1145">
        <f>VLOOKUP(L79,Base_Mensuelle!$FL$67:$FY$679,13,0)</f>
        <v>104.48</v>
      </c>
      <c r="M91" s="1145">
        <f>VLOOKUP(M79,Base_Mensuelle!$FL$67:$FY$679,13,0)</f>
        <v>104.2</v>
      </c>
    </row>
    <row r="92" spans="1:13">
      <c r="A92" s="1451" t="s">
        <v>807</v>
      </c>
      <c r="B92" s="454">
        <f>VLOOKUP(B79,Base_Mensuelle!$FL$67:$FY$679,14,0)</f>
        <v>100.04</v>
      </c>
      <c r="C92" s="454">
        <f>VLOOKUP(C79,Base_Mensuelle!$FL$67:$FY$679,14,0)</f>
        <v>100.04</v>
      </c>
      <c r="D92" s="454">
        <f>VLOOKUP(D79,Base_Mensuelle!$FL$67:$FY$679,14,0)</f>
        <v>100.06</v>
      </c>
      <c r="E92" s="454">
        <f>VLOOKUP(E79,Base_Mensuelle!$FL$67:$FY$679,14,0)</f>
        <v>100.06</v>
      </c>
      <c r="F92" s="454">
        <f>VLOOKUP(F79,Base_Mensuelle!$FL$67:$FY$679,14,0)</f>
        <v>100.06</v>
      </c>
      <c r="G92" s="454">
        <f>VLOOKUP(G79,Base_Mensuelle!$FL$67:$FY$679,14,0)</f>
        <v>100.06</v>
      </c>
      <c r="H92" s="454">
        <f>VLOOKUP(H79,Base_Mensuelle!$FL$67:$FY$679,14,0)</f>
        <v>100.06</v>
      </c>
      <c r="I92" s="454">
        <f>VLOOKUP(I79,Base_Mensuelle!$FL$67:$FY$679,14,0)</f>
        <v>100.31</v>
      </c>
      <c r="J92" s="454">
        <f>VLOOKUP(J79,Base_Mensuelle!$FL$67:$FY$679,14,0)</f>
        <v>100.31</v>
      </c>
      <c r="K92" s="454">
        <f>VLOOKUP(K79,Base_Mensuelle!$FL$67:$FY$679,14,0)</f>
        <v>100.31</v>
      </c>
      <c r="L92" s="454">
        <f>VLOOKUP(L79,Base_Mensuelle!$FL$67:$FY$679,14,0)</f>
        <v>100.43</v>
      </c>
      <c r="M92" s="454">
        <f>VLOOKUP(M79,Base_Mensuelle!$FL$67:$FY$679,14,0)</f>
        <v>100.21</v>
      </c>
    </row>
    <row r="93" spans="1:13">
      <c r="A93" s="1137"/>
    </row>
    <row r="94" spans="1:13" ht="18" customHeight="1">
      <c r="A94" s="1446"/>
      <c r="B94" s="1522">
        <f>DATE(YEAR(INDEX(Base_Mensuelle!$FL$68:$FZ$679,MAX(Base_Mensuelle!$FZ$68:$FZ$679),1))-4,1,1)</f>
        <v>43466</v>
      </c>
      <c r="C94" s="1522">
        <f>DATE(YEAR(INDEX(Base_Mensuelle!$FL$68:$FZ$679,MAX(Base_Mensuelle!$FZ$68:$FZ$679),1))-4,2,1)</f>
        <v>43497</v>
      </c>
      <c r="D94" s="1522">
        <f>DATE(YEAR(INDEX(Base_Mensuelle!$FL$68:$FZ$679,MAX(Base_Mensuelle!$FZ$68:$FZ$679),1))-4,3,1)</f>
        <v>43525</v>
      </c>
      <c r="E94" s="1522">
        <f>DATE(YEAR(INDEX(Base_Mensuelle!$FL$68:$FZ$679,MAX(Base_Mensuelle!$FZ$68:$FZ$679),1))-4,4,1)</f>
        <v>43556</v>
      </c>
      <c r="F94" s="1522">
        <f>DATE(YEAR(INDEX(Base_Mensuelle!$FL$68:$FZ$679,MAX(Base_Mensuelle!$FZ$68:$FZ$679),1))-4,5,1)</f>
        <v>43586</v>
      </c>
      <c r="G94" s="1522">
        <f>DATE(YEAR(INDEX(Base_Mensuelle!$FL$68:$FZ$679,MAX(Base_Mensuelle!$FZ$68:$FZ$679),1))-4,6,1)</f>
        <v>43617</v>
      </c>
      <c r="H94" s="1522">
        <f>DATE(YEAR(INDEX(Base_Mensuelle!$FL$68:$FZ$679,MAX(Base_Mensuelle!$FZ$68:$FZ$679),1))-4,7,1)</f>
        <v>43647</v>
      </c>
      <c r="I94" s="1522">
        <f>DATE(YEAR(INDEX(Base_Mensuelle!$FL$68:$FZ$679,MAX(Base_Mensuelle!$FZ$68:$FZ$679),1))-4,8,1)</f>
        <v>43678</v>
      </c>
      <c r="J94" s="1522">
        <f>DATE(YEAR(INDEX(Base_Mensuelle!$FL$68:$FZ$679,MAX(Base_Mensuelle!$FZ$68:$FZ$679),1))-4,9,1)</f>
        <v>43709</v>
      </c>
      <c r="K94" s="1522">
        <f>DATE(YEAR(INDEX(Base_Mensuelle!$FL$68:$FZ$679,MAX(Base_Mensuelle!$FZ$68:$FZ$679),1))-4,10,1)</f>
        <v>43739</v>
      </c>
      <c r="L94" s="1522">
        <f>DATE(YEAR(INDEX(Base_Mensuelle!$FL$68:$FZ$679,MAX(Base_Mensuelle!$FZ$68:$FZ$679),1))-4,11,1)</f>
        <v>43770</v>
      </c>
      <c r="M94" s="1522">
        <f>DATE(YEAR(INDEX(Base_Mensuelle!$FL$68:$FZ$679,MAX(Base_Mensuelle!$FZ$68:$FZ$679),1))-4,12,1)</f>
        <v>43800</v>
      </c>
    </row>
    <row r="95" spans="1:13">
      <c r="A95" s="1292" t="s">
        <v>222</v>
      </c>
      <c r="B95" s="406">
        <f>VLOOKUP(B94,Base_Mensuelle!$FL$67:$FY$679,2,0)</f>
        <v>102.19</v>
      </c>
      <c r="C95" s="406">
        <f>VLOOKUP(C94,Base_Mensuelle!$FL$67:$FY$679,2,0)</f>
        <v>101.77</v>
      </c>
      <c r="D95" s="406">
        <f>VLOOKUP(D94,Base_Mensuelle!$FL$67:$FY$679,2,0)</f>
        <v>102.28</v>
      </c>
      <c r="E95" s="406">
        <f>VLOOKUP(E94,Base_Mensuelle!$FL$67:$FY$679,2,0)</f>
        <v>102.76</v>
      </c>
      <c r="F95" s="406">
        <f>VLOOKUP(F94,Base_Mensuelle!$FL$67:$FY$679,2,0)</f>
        <v>103.29</v>
      </c>
      <c r="G95" s="406">
        <f>VLOOKUP(G94,Base_Mensuelle!$FL$67:$FY$679,2,0)</f>
        <v>102.99</v>
      </c>
      <c r="H95" s="406">
        <f>VLOOKUP(H94,Base_Mensuelle!$FL$67:$FY$679,2,0)</f>
        <v>103.22</v>
      </c>
      <c r="I95" s="406">
        <f>VLOOKUP(I94,Base_Mensuelle!$FL$67:$FY$679,2,0)</f>
        <v>101.68</v>
      </c>
      <c r="J95" s="406">
        <f>VLOOKUP(J94,Base_Mensuelle!$FL$67:$FY$679,2,0)</f>
        <v>101.47</v>
      </c>
      <c r="K95" s="406">
        <f>VLOOKUP(K94,Base_Mensuelle!$FL$67:$FY$679,2,0)</f>
        <v>102.02</v>
      </c>
      <c r="L95" s="406">
        <f>VLOOKUP(L94,Base_Mensuelle!$FL$67:$FY$679,2,0)</f>
        <v>101.26</v>
      </c>
      <c r="M95" s="406">
        <f>VLOOKUP(M94,Base_Mensuelle!$FL$67:$FY$679,2,0)</f>
        <v>101.79</v>
      </c>
    </row>
    <row r="96" spans="1:13" ht="24.6">
      <c r="A96" s="1286" t="s">
        <v>818</v>
      </c>
      <c r="B96" s="403">
        <f>VLOOKUP(B94,Base_Mensuelle!$FL$67:$FY$679,3,0)</f>
        <v>102.31</v>
      </c>
      <c r="C96" s="403">
        <f>VLOOKUP(C94,Base_Mensuelle!$FL$67:$FY$679,3,0)</f>
        <v>101.3</v>
      </c>
      <c r="D96" s="403">
        <f>VLOOKUP(D94,Base_Mensuelle!$FL$67:$FY$679,3,0)</f>
        <v>102.17</v>
      </c>
      <c r="E96" s="403">
        <f>VLOOKUP(E94,Base_Mensuelle!$FL$67:$FY$679,3,0)</f>
        <v>102.93</v>
      </c>
      <c r="F96" s="403">
        <f>VLOOKUP(F94,Base_Mensuelle!$FL$67:$FY$679,3,0)</f>
        <v>104.3</v>
      </c>
      <c r="G96" s="403">
        <f>VLOOKUP(G94,Base_Mensuelle!$FL$67:$FY$679,3,0)</f>
        <v>103.58</v>
      </c>
      <c r="H96" s="403">
        <f>VLOOKUP(H94,Base_Mensuelle!$FL$67:$FY$679,3,0)</f>
        <v>104.7</v>
      </c>
      <c r="I96" s="403">
        <f>VLOOKUP(I94,Base_Mensuelle!$FL$67:$FY$679,3,0)</f>
        <v>101.47</v>
      </c>
      <c r="J96" s="403">
        <f>VLOOKUP(J94,Base_Mensuelle!$FL$67:$FY$679,3,0)</f>
        <v>100.71</v>
      </c>
      <c r="K96" s="403">
        <f>VLOOKUP(K94,Base_Mensuelle!$FL$67:$FY$679,3,0)</f>
        <v>100.78</v>
      </c>
      <c r="L96" s="403">
        <f>VLOOKUP(L94,Base_Mensuelle!$FL$67:$FY$679,3,0)</f>
        <v>100.2</v>
      </c>
      <c r="M96" s="403">
        <f>VLOOKUP(M94,Base_Mensuelle!$FL$67:$FY$679,3,0)</f>
        <v>100.62</v>
      </c>
    </row>
    <row r="97" spans="1:13" ht="24.6">
      <c r="A97" s="1289" t="s">
        <v>817</v>
      </c>
      <c r="B97" s="1147">
        <f>VLOOKUP(B94,Base_Mensuelle!$FL$67:$FY$679,4,0)</f>
        <v>125.19</v>
      </c>
      <c r="C97" s="1147">
        <f>VLOOKUP(C94,Base_Mensuelle!$FL$67:$FY$679,4,0)</f>
        <v>129</v>
      </c>
      <c r="D97" s="1147">
        <f>VLOOKUP(D94,Base_Mensuelle!$FL$67:$FY$679,4,0)</f>
        <v>130.26</v>
      </c>
      <c r="E97" s="1147">
        <f>VLOOKUP(E94,Base_Mensuelle!$FL$67:$FY$679,4,0)</f>
        <v>134.85</v>
      </c>
      <c r="F97" s="1147">
        <f>VLOOKUP(F94,Base_Mensuelle!$FL$67:$FY$679,4,0)</f>
        <v>133.26</v>
      </c>
      <c r="G97" s="1147">
        <f>VLOOKUP(G94,Base_Mensuelle!$FL$67:$FY$679,4,0)</f>
        <v>131.72999999999999</v>
      </c>
      <c r="H97" s="1147">
        <f>VLOOKUP(H94,Base_Mensuelle!$FL$67:$FY$679,4,0)</f>
        <v>132.01</v>
      </c>
      <c r="I97" s="1147">
        <f>VLOOKUP(I94,Base_Mensuelle!$FL$67:$FY$679,4,0)</f>
        <v>127.3</v>
      </c>
      <c r="J97" s="1147">
        <f>VLOOKUP(J94,Base_Mensuelle!$FL$67:$FY$679,4,0)</f>
        <v>129.77000000000001</v>
      </c>
      <c r="K97" s="1147">
        <f>VLOOKUP(K94,Base_Mensuelle!$FL$67:$FY$679,4,0)</f>
        <v>128.93</v>
      </c>
      <c r="L97" s="1147">
        <f>VLOOKUP(L94,Base_Mensuelle!$FL$67:$FY$679,4,0)</f>
        <v>125.18</v>
      </c>
      <c r="M97" s="1147">
        <f>VLOOKUP(M94,Base_Mensuelle!$FL$67:$FY$679,4,0)</f>
        <v>134.08000000000001</v>
      </c>
    </row>
    <row r="98" spans="1:13">
      <c r="A98" s="1288" t="s">
        <v>816</v>
      </c>
      <c r="B98" s="1145">
        <f>VLOOKUP(B94,Base_Mensuelle!$FL$67:$FY$679,5,0)</f>
        <v>101.27</v>
      </c>
      <c r="C98" s="1145">
        <f>VLOOKUP(C94,Base_Mensuelle!$FL$67:$FY$679,5,0)</f>
        <v>101.29</v>
      </c>
      <c r="D98" s="1145">
        <f>VLOOKUP(D94,Base_Mensuelle!$FL$67:$FY$679,5,0)</f>
        <v>101.19</v>
      </c>
      <c r="E98" s="1145">
        <f>VLOOKUP(E94,Base_Mensuelle!$FL$67:$FY$679,5,0)</f>
        <v>101.18</v>
      </c>
      <c r="F98" s="1145">
        <f>VLOOKUP(F94,Base_Mensuelle!$FL$67:$FY$679,5,0)</f>
        <v>101.19</v>
      </c>
      <c r="G98" s="1145">
        <f>VLOOKUP(G94,Base_Mensuelle!$FL$67:$FY$679,5,0)</f>
        <v>101.29</v>
      </c>
      <c r="H98" s="1145">
        <f>VLOOKUP(H94,Base_Mensuelle!$FL$67:$FY$679,5,0)</f>
        <v>101.29</v>
      </c>
      <c r="I98" s="1145">
        <f>VLOOKUP(I94,Base_Mensuelle!$FL$67:$FY$679,5,0)</f>
        <v>101.29</v>
      </c>
      <c r="J98" s="1145">
        <f>VLOOKUP(J94,Base_Mensuelle!$FL$67:$FY$679,5,0)</f>
        <v>101.3</v>
      </c>
      <c r="K98" s="1145">
        <f>VLOOKUP(K94,Base_Mensuelle!$FL$67:$FY$679,5,0)</f>
        <v>101.29</v>
      </c>
      <c r="L98" s="1145">
        <f>VLOOKUP(L94,Base_Mensuelle!$FL$67:$FY$679,5,0)</f>
        <v>101.29</v>
      </c>
      <c r="M98" s="1145">
        <f>VLOOKUP(M94,Base_Mensuelle!$FL$67:$FY$679,5,0)</f>
        <v>101.29</v>
      </c>
    </row>
    <row r="99" spans="1:13" ht="24.6">
      <c r="A99" s="1289" t="s">
        <v>815</v>
      </c>
      <c r="B99" s="1147">
        <f>VLOOKUP(B94,Base_Mensuelle!$FL$67:$FY$679,6,0)</f>
        <v>99.07</v>
      </c>
      <c r="C99" s="1147">
        <f>VLOOKUP(C94,Base_Mensuelle!$FL$67:$FY$679,6,0)</f>
        <v>96.83</v>
      </c>
      <c r="D99" s="1147">
        <f>VLOOKUP(D94,Base_Mensuelle!$FL$67:$FY$679,6,0)</f>
        <v>98.42</v>
      </c>
      <c r="E99" s="1147">
        <f>VLOOKUP(E94,Base_Mensuelle!$FL$67:$FY$679,6,0)</f>
        <v>98.37</v>
      </c>
      <c r="F99" s="1147">
        <f>VLOOKUP(F94,Base_Mensuelle!$FL$67:$FY$679,6,0)</f>
        <v>98.15</v>
      </c>
      <c r="G99" s="1147">
        <f>VLOOKUP(G94,Base_Mensuelle!$FL$67:$FY$679,6,0)</f>
        <v>99.68</v>
      </c>
      <c r="H99" s="1147">
        <f>VLOOKUP(H94,Base_Mensuelle!$FL$67:$FY$679,6,0)</f>
        <v>97.22</v>
      </c>
      <c r="I99" s="1147">
        <f>VLOOKUP(I94,Base_Mensuelle!$FL$67:$FY$679,6,0)</f>
        <v>98.15</v>
      </c>
      <c r="J99" s="1147">
        <f>VLOOKUP(J94,Base_Mensuelle!$FL$67:$FY$679,6,0)</f>
        <v>98.97</v>
      </c>
      <c r="K99" s="1147">
        <f>VLOOKUP(K94,Base_Mensuelle!$FL$67:$FY$679,6,0)</f>
        <v>102.36</v>
      </c>
      <c r="L99" s="1147">
        <f>VLOOKUP(L94,Base_Mensuelle!$FL$67:$FY$679,6,0)</f>
        <v>99.91</v>
      </c>
      <c r="M99" s="1147">
        <f>VLOOKUP(M94,Base_Mensuelle!$FL$67:$FY$679,6,0)</f>
        <v>99.52</v>
      </c>
    </row>
    <row r="100" spans="1:13">
      <c r="A100" s="1286" t="s">
        <v>814</v>
      </c>
      <c r="B100" s="1145">
        <f>VLOOKUP(B94,Base_Mensuelle!$FL$67:$FY$679,7,0)</f>
        <v>101.21</v>
      </c>
      <c r="C100" s="1145">
        <f>VLOOKUP(C94,Base_Mensuelle!$FL$67:$FY$679,7,0)</f>
        <v>101.17</v>
      </c>
      <c r="D100" s="1145">
        <f>VLOOKUP(D94,Base_Mensuelle!$FL$67:$FY$679,7,0)</f>
        <v>101.16</v>
      </c>
      <c r="E100" s="1145">
        <f>VLOOKUP(E94,Base_Mensuelle!$FL$67:$FY$679,7,0)</f>
        <v>101.16</v>
      </c>
      <c r="F100" s="1145">
        <f>VLOOKUP(F94,Base_Mensuelle!$FL$67:$FY$679,7,0)</f>
        <v>101.17</v>
      </c>
      <c r="G100" s="1145">
        <f>VLOOKUP(G94,Base_Mensuelle!$FL$67:$FY$679,7,0)</f>
        <v>101.16</v>
      </c>
      <c r="H100" s="1145">
        <f>VLOOKUP(H94,Base_Mensuelle!$FL$67:$FY$679,7,0)</f>
        <v>101.18</v>
      </c>
      <c r="I100" s="1145">
        <f>VLOOKUP(I94,Base_Mensuelle!$FL$67:$FY$679,7,0)</f>
        <v>101.18</v>
      </c>
      <c r="J100" s="1145">
        <f>VLOOKUP(J94,Base_Mensuelle!$FL$67:$FY$679,7,0)</f>
        <v>101.24</v>
      </c>
      <c r="K100" s="1145">
        <f>VLOOKUP(K94,Base_Mensuelle!$FL$67:$FY$679,7,0)</f>
        <v>101.28</v>
      </c>
      <c r="L100" s="1145">
        <f>VLOOKUP(L94,Base_Mensuelle!$FL$67:$FY$679,7,0)</f>
        <v>101.28</v>
      </c>
      <c r="M100" s="1145">
        <f>VLOOKUP(M94,Base_Mensuelle!$FL$67:$FY$679,7,0)</f>
        <v>101.28</v>
      </c>
    </row>
    <row r="101" spans="1:13">
      <c r="A101" s="1290" t="s">
        <v>813</v>
      </c>
      <c r="B101" s="1147">
        <f>VLOOKUP(B94,Base_Mensuelle!$FL$67:$FY$679,8,0)</f>
        <v>100.29</v>
      </c>
      <c r="C101" s="1147">
        <f>VLOOKUP(C94,Base_Mensuelle!$FL$67:$FY$679,8,0)</f>
        <v>100.36</v>
      </c>
      <c r="D101" s="1147">
        <f>VLOOKUP(D94,Base_Mensuelle!$FL$67:$FY$679,8,0)</f>
        <v>100.43</v>
      </c>
      <c r="E101" s="1147">
        <f>VLOOKUP(E94,Base_Mensuelle!$FL$67:$FY$679,8,0)</f>
        <v>100.44</v>
      </c>
      <c r="F101" s="1147">
        <f>VLOOKUP(F94,Base_Mensuelle!$FL$67:$FY$679,8,0)</f>
        <v>100.41</v>
      </c>
      <c r="G101" s="1147">
        <f>VLOOKUP(G94,Base_Mensuelle!$FL$67:$FY$679,8,0)</f>
        <v>100.41</v>
      </c>
      <c r="H101" s="1147">
        <f>VLOOKUP(H94,Base_Mensuelle!$FL$67:$FY$679,8,0)</f>
        <v>100.41</v>
      </c>
      <c r="I101" s="1147">
        <f>VLOOKUP(I94,Base_Mensuelle!$FL$67:$FY$679,8,0)</f>
        <v>100.41</v>
      </c>
      <c r="J101" s="1147">
        <f>VLOOKUP(J94,Base_Mensuelle!$FL$67:$FY$679,8,0)</f>
        <v>100.41</v>
      </c>
      <c r="K101" s="1147">
        <f>VLOOKUP(K94,Base_Mensuelle!$FL$67:$FY$679,8,0)</f>
        <v>100.41</v>
      </c>
      <c r="L101" s="1147">
        <f>VLOOKUP(L94,Base_Mensuelle!$FL$67:$FY$679,8,0)</f>
        <v>100.41</v>
      </c>
      <c r="M101" s="1147">
        <f>VLOOKUP(M94,Base_Mensuelle!$FL$67:$FY$679,8,0)</f>
        <v>100.41</v>
      </c>
    </row>
    <row r="102" spans="1:13">
      <c r="A102" s="1286" t="s">
        <v>812</v>
      </c>
      <c r="B102" s="1145">
        <f>VLOOKUP(B94,Base_Mensuelle!$FL$67:$FY$679,9,0)</f>
        <v>99.65</v>
      </c>
      <c r="C102" s="1145">
        <f>VLOOKUP(C94,Base_Mensuelle!$FL$67:$FY$679,9,0)</f>
        <v>99.34</v>
      </c>
      <c r="D102" s="1145">
        <f>VLOOKUP(D94,Base_Mensuelle!$FL$67:$FY$679,9,0)</f>
        <v>99.36</v>
      </c>
      <c r="E102" s="1145">
        <f>VLOOKUP(E94,Base_Mensuelle!$FL$67:$FY$679,9,0)</f>
        <v>99.35</v>
      </c>
      <c r="F102" s="1145">
        <f>VLOOKUP(F94,Base_Mensuelle!$FL$67:$FY$679,9,0)</f>
        <v>99.38</v>
      </c>
      <c r="G102" s="1145">
        <f>VLOOKUP(G94,Base_Mensuelle!$FL$67:$FY$679,9,0)</f>
        <v>99.36</v>
      </c>
      <c r="H102" s="1145">
        <f>VLOOKUP(H94,Base_Mensuelle!$FL$67:$FY$679,9,0)</f>
        <v>99.33</v>
      </c>
      <c r="I102" s="1145">
        <f>VLOOKUP(I94,Base_Mensuelle!$FL$67:$FY$679,9,0)</f>
        <v>99.25</v>
      </c>
      <c r="J102" s="1145">
        <f>VLOOKUP(J94,Base_Mensuelle!$FL$67:$FY$679,9,0)</f>
        <v>99.27</v>
      </c>
      <c r="K102" s="1145">
        <f>VLOOKUP(K94,Base_Mensuelle!$FL$67:$FY$679,9,0)</f>
        <v>99.62</v>
      </c>
      <c r="L102" s="1145">
        <f>VLOOKUP(L94,Base_Mensuelle!$FL$67:$FY$679,9,0)</f>
        <v>100.07</v>
      </c>
      <c r="M102" s="1145">
        <f>VLOOKUP(M94,Base_Mensuelle!$FL$67:$FY$679,9,0)</f>
        <v>100.08</v>
      </c>
    </row>
    <row r="103" spans="1:13">
      <c r="A103" s="1290" t="s">
        <v>811</v>
      </c>
      <c r="B103" s="1147">
        <f>VLOOKUP(B94,Base_Mensuelle!$FL$67:$FY$679,10,0)</f>
        <v>99.53</v>
      </c>
      <c r="C103" s="1147">
        <f>VLOOKUP(C94,Base_Mensuelle!$FL$67:$FY$679,10,0)</f>
        <v>98.44</v>
      </c>
      <c r="D103" s="1147">
        <f>VLOOKUP(D94,Base_Mensuelle!$FL$67:$FY$679,10,0)</f>
        <v>98.44</v>
      </c>
      <c r="E103" s="1147">
        <f>VLOOKUP(E94,Base_Mensuelle!$FL$67:$FY$679,10,0)</f>
        <v>98.44</v>
      </c>
      <c r="F103" s="1147">
        <f>VLOOKUP(F94,Base_Mensuelle!$FL$67:$FY$679,10,0)</f>
        <v>98.44</v>
      </c>
      <c r="G103" s="1147">
        <f>VLOOKUP(G94,Base_Mensuelle!$FL$67:$FY$679,10,0)</f>
        <v>98.44</v>
      </c>
      <c r="H103" s="1147">
        <f>VLOOKUP(H94,Base_Mensuelle!$FL$67:$FY$679,10,0)</f>
        <v>98.44</v>
      </c>
      <c r="I103" s="1147">
        <f>VLOOKUP(I94,Base_Mensuelle!$FL$67:$FY$679,10,0)</f>
        <v>98.59</v>
      </c>
      <c r="J103" s="1147">
        <f>VLOOKUP(J94,Base_Mensuelle!$FL$67:$FY$679,10,0)</f>
        <v>98.59</v>
      </c>
      <c r="K103" s="1147">
        <f>VLOOKUP(K94,Base_Mensuelle!$FL$67:$FY$679,10,0)</f>
        <v>98.57</v>
      </c>
      <c r="L103" s="1147">
        <f>VLOOKUP(L94,Base_Mensuelle!$FL$67:$FY$679,10,0)</f>
        <v>98.51</v>
      </c>
      <c r="M103" s="1147">
        <f>VLOOKUP(M94,Base_Mensuelle!$FL$67:$FY$679,10,0)</f>
        <v>98.78</v>
      </c>
    </row>
    <row r="104" spans="1:13">
      <c r="A104" s="1286" t="s">
        <v>810</v>
      </c>
      <c r="B104" s="1145">
        <f>VLOOKUP(B94,Base_Mensuelle!$FL$67:$FY$679,11,0)</f>
        <v>101.92</v>
      </c>
      <c r="C104" s="1145">
        <f>VLOOKUP(C94,Base_Mensuelle!$FL$67:$FY$679,11,0)</f>
        <v>101.4</v>
      </c>
      <c r="D104" s="1145">
        <f>VLOOKUP(D94,Base_Mensuelle!$FL$67:$FY$679,11,0)</f>
        <v>101.19</v>
      </c>
      <c r="E104" s="1145">
        <f>VLOOKUP(E94,Base_Mensuelle!$FL$67:$FY$679,11,0)</f>
        <v>101.19</v>
      </c>
      <c r="F104" s="1145">
        <f>VLOOKUP(F94,Base_Mensuelle!$FL$67:$FY$679,11,0)</f>
        <v>101.19</v>
      </c>
      <c r="G104" s="1145">
        <f>VLOOKUP(G94,Base_Mensuelle!$FL$67:$FY$679,11,0)</f>
        <v>101.19</v>
      </c>
      <c r="H104" s="1145">
        <f>VLOOKUP(H94,Base_Mensuelle!$FL$67:$FY$679,11,0)</f>
        <v>101.04</v>
      </c>
      <c r="I104" s="1145">
        <f>VLOOKUP(I94,Base_Mensuelle!$FL$67:$FY$679,11,0)</f>
        <v>101.07</v>
      </c>
      <c r="J104" s="1145">
        <f>VLOOKUP(J94,Base_Mensuelle!$FL$67:$FY$679,11,0)</f>
        <v>101.07</v>
      </c>
      <c r="K104" s="1145">
        <f>VLOOKUP(K94,Base_Mensuelle!$FL$67:$FY$679,11,0)</f>
        <v>101.07</v>
      </c>
      <c r="L104" s="1145">
        <f>VLOOKUP(L94,Base_Mensuelle!$FL$67:$FY$679,11,0)</f>
        <v>101.08</v>
      </c>
      <c r="M104" s="1145">
        <f>VLOOKUP(M94,Base_Mensuelle!$FL$67:$FY$679,11,0)</f>
        <v>101.09</v>
      </c>
    </row>
    <row r="105" spans="1:13">
      <c r="A105" s="1290" t="s">
        <v>809</v>
      </c>
      <c r="B105" s="1147">
        <f>VLOOKUP(B94,Base_Mensuelle!$FL$67:$FY$679,12,0)</f>
        <v>104.6</v>
      </c>
      <c r="C105" s="1147">
        <f>VLOOKUP(C94,Base_Mensuelle!$FL$67:$FY$679,12,0)</f>
        <v>104.6</v>
      </c>
      <c r="D105" s="1147">
        <f>VLOOKUP(D94,Base_Mensuelle!$FL$67:$FY$679,12,0)</f>
        <v>104.6</v>
      </c>
      <c r="E105" s="1147">
        <f>VLOOKUP(E94,Base_Mensuelle!$FL$67:$FY$679,12,0)</f>
        <v>104.6</v>
      </c>
      <c r="F105" s="1147">
        <f>VLOOKUP(F94,Base_Mensuelle!$FL$67:$FY$679,12,0)</f>
        <v>104.6</v>
      </c>
      <c r="G105" s="1147">
        <f>VLOOKUP(G94,Base_Mensuelle!$FL$67:$FY$679,12,0)</f>
        <v>104.6</v>
      </c>
      <c r="H105" s="1147">
        <f>VLOOKUP(H94,Base_Mensuelle!$FL$67:$FY$679,12,0)</f>
        <v>104.6</v>
      </c>
      <c r="I105" s="1147">
        <f>VLOOKUP(I94,Base_Mensuelle!$FL$67:$FY$679,12,0)</f>
        <v>104.6</v>
      </c>
      <c r="J105" s="1147">
        <f>VLOOKUP(J94,Base_Mensuelle!$FL$67:$FY$679,12,0)</f>
        <v>104.68</v>
      </c>
      <c r="K105" s="1147">
        <f>VLOOKUP(K94,Base_Mensuelle!$FL$67:$FY$679,12,0)</f>
        <v>107.43</v>
      </c>
      <c r="L105" s="1147">
        <f>VLOOKUP(L94,Base_Mensuelle!$FL$67:$FY$679,12,0)</f>
        <v>107.43</v>
      </c>
      <c r="M105" s="1147">
        <f>VLOOKUP(M94,Base_Mensuelle!$FL$67:$FY$679,12,0)</f>
        <v>107.43</v>
      </c>
    </row>
    <row r="106" spans="1:13">
      <c r="A106" s="1286" t="s">
        <v>808</v>
      </c>
      <c r="B106" s="1145">
        <f>VLOOKUP(B94,Base_Mensuelle!$FL$67:$FY$679,13,0)</f>
        <v>104.7</v>
      </c>
      <c r="C106" s="1145">
        <f>VLOOKUP(C94,Base_Mensuelle!$FL$67:$FY$679,13,0)</f>
        <v>105.47</v>
      </c>
      <c r="D106" s="1145">
        <f>VLOOKUP(D94,Base_Mensuelle!$FL$67:$FY$679,13,0)</f>
        <v>105.73</v>
      </c>
      <c r="E106" s="1145">
        <f>VLOOKUP(E94,Base_Mensuelle!$FL$67:$FY$679,13,0)</f>
        <v>105.34</v>
      </c>
      <c r="F106" s="1145">
        <f>VLOOKUP(F94,Base_Mensuelle!$FL$67:$FY$679,13,0)</f>
        <v>104.97</v>
      </c>
      <c r="G106" s="1145">
        <f>VLOOKUP(G94,Base_Mensuelle!$FL$67:$FY$679,13,0)</f>
        <v>104.54</v>
      </c>
      <c r="H106" s="1145">
        <f>VLOOKUP(H94,Base_Mensuelle!$FL$67:$FY$679,13,0)</f>
        <v>104.74</v>
      </c>
      <c r="I106" s="1145">
        <f>VLOOKUP(I94,Base_Mensuelle!$FL$67:$FY$679,13,0)</f>
        <v>104.67</v>
      </c>
      <c r="J106" s="1145">
        <f>VLOOKUP(J94,Base_Mensuelle!$FL$67:$FY$679,13,0)</f>
        <v>105</v>
      </c>
      <c r="K106" s="1145">
        <f>VLOOKUP(K94,Base_Mensuelle!$FL$67:$FY$679,13,0)</f>
        <v>105.02</v>
      </c>
      <c r="L106" s="1145">
        <f>VLOOKUP(L94,Base_Mensuelle!$FL$67:$FY$679,13,0)</f>
        <v>105.11</v>
      </c>
      <c r="M106" s="1145">
        <f>VLOOKUP(M94,Base_Mensuelle!$FL$67:$FY$679,13,0)</f>
        <v>104.6</v>
      </c>
    </row>
    <row r="107" spans="1:13">
      <c r="A107" s="1291" t="s">
        <v>807</v>
      </c>
      <c r="B107" s="454">
        <f>VLOOKUP(B94,Base_Mensuelle!$FL$67:$FY$679,14,0)</f>
        <v>100.6</v>
      </c>
      <c r="C107" s="454">
        <f>VLOOKUP(C94,Base_Mensuelle!$FL$67:$FY$679,14,0)</f>
        <v>100.6</v>
      </c>
      <c r="D107" s="454">
        <f>VLOOKUP(D94,Base_Mensuelle!$FL$67:$FY$679,14,0)</f>
        <v>100.58</v>
      </c>
      <c r="E107" s="454">
        <f>VLOOKUP(E94,Base_Mensuelle!$FL$67:$FY$679,14,0)</f>
        <v>100.58</v>
      </c>
      <c r="F107" s="454">
        <f>VLOOKUP(F94,Base_Mensuelle!$FL$67:$FY$679,14,0)</f>
        <v>100.6</v>
      </c>
      <c r="G107" s="454">
        <f>VLOOKUP(G94,Base_Mensuelle!$FL$67:$FY$679,14,0)</f>
        <v>100.6</v>
      </c>
      <c r="H107" s="454">
        <f>VLOOKUP(H94,Base_Mensuelle!$FL$67:$FY$679,14,0)</f>
        <v>100.71</v>
      </c>
      <c r="I107" s="454">
        <f>VLOOKUP(I94,Base_Mensuelle!$FL$67:$FY$679,14,0)</f>
        <v>100.83</v>
      </c>
      <c r="J107" s="454">
        <f>VLOOKUP(J94,Base_Mensuelle!$FL$67:$FY$679,14,0)</f>
        <v>100.84</v>
      </c>
      <c r="K107" s="454">
        <f>VLOOKUP(K94,Base_Mensuelle!$FL$67:$FY$679,14,0)</f>
        <v>100.88</v>
      </c>
      <c r="L107" s="454">
        <f>VLOOKUP(L94,Base_Mensuelle!$FL$67:$FY$679,14,0)</f>
        <v>100.75</v>
      </c>
      <c r="M107" s="454">
        <f>VLOOKUP(M94,Base_Mensuelle!$FL$67:$FY$679,14,0)</f>
        <v>100.75</v>
      </c>
    </row>
    <row r="108" spans="1:13" ht="18" customHeight="1">
      <c r="A108" s="1448"/>
      <c r="B108" s="399"/>
      <c r="C108" s="399"/>
      <c r="D108" s="399"/>
      <c r="E108" s="399"/>
      <c r="F108" s="399"/>
      <c r="G108" s="399"/>
      <c r="H108" s="399"/>
      <c r="I108" s="399"/>
      <c r="J108" s="399"/>
      <c r="K108" s="399"/>
      <c r="L108" s="399"/>
      <c r="M108" s="399"/>
    </row>
    <row r="109" spans="1:13" ht="18" customHeight="1">
      <c r="A109" s="1457"/>
      <c r="B109" s="1522">
        <f>DATE(YEAR(INDEX(Base_Mensuelle!$FL$68:$FZ$679,MAX(Base_Mensuelle!$FZ$68:$FZ$679),1))-3,1,1)</f>
        <v>43831</v>
      </c>
      <c r="C109" s="1522">
        <f>DATE(YEAR(INDEX(Base_Mensuelle!$FL$68:$FZ$679,MAX(Base_Mensuelle!$FZ$68:$FZ$679),1))-3,2,1)</f>
        <v>43862</v>
      </c>
      <c r="D109" s="1522">
        <f>DATE(YEAR(INDEX(Base_Mensuelle!$FL$68:$FZ$679,MAX(Base_Mensuelle!$FZ$68:$FZ$679),1))-3,3,1)</f>
        <v>43891</v>
      </c>
      <c r="E109" s="1522">
        <f>DATE(YEAR(INDEX(Base_Mensuelle!$FL$68:$FZ$679,MAX(Base_Mensuelle!$FZ$68:$FZ$679),1))-3,4,1)</f>
        <v>43922</v>
      </c>
      <c r="F109" s="1522">
        <f>DATE(YEAR(INDEX(Base_Mensuelle!$FL$68:$FZ$679,MAX(Base_Mensuelle!$FZ$68:$FZ$679),1))-3,5,1)</f>
        <v>43952</v>
      </c>
      <c r="G109" s="1522">
        <f>DATE(YEAR(INDEX(Base_Mensuelle!$FL$68:$FZ$679,MAX(Base_Mensuelle!$FZ$68:$FZ$679),1))-3,6,1)</f>
        <v>43983</v>
      </c>
      <c r="H109" s="1522">
        <f>DATE(YEAR(INDEX(Base_Mensuelle!$FL$68:$FZ$679,MAX(Base_Mensuelle!$FZ$68:$FZ$679),1))-3,7,1)</f>
        <v>44013</v>
      </c>
      <c r="I109" s="1522">
        <f>DATE(YEAR(INDEX(Base_Mensuelle!$FL$68:$FZ$679,MAX(Base_Mensuelle!$FZ$68:$FZ$679),1))-3,8,1)</f>
        <v>44044</v>
      </c>
      <c r="J109" s="1522">
        <f>DATE(YEAR(INDEX(Base_Mensuelle!$FL$68:$FZ$679,MAX(Base_Mensuelle!$FZ$68:$FZ$679),1))-3,9,1)</f>
        <v>44075</v>
      </c>
      <c r="K109" s="1522">
        <f>DATE(YEAR(INDEX(Base_Mensuelle!$FL$68:$FZ$679,MAX(Base_Mensuelle!$FZ$68:$FZ$679),1))-3,10,1)</f>
        <v>44105</v>
      </c>
      <c r="L109" s="1522">
        <f>DATE(YEAR(INDEX(Base_Mensuelle!$FL$68:$FZ$679,MAX(Base_Mensuelle!$FZ$68:$FZ$679),1))-3,11,1)</f>
        <v>44136</v>
      </c>
      <c r="M109" s="1522">
        <f>DATE(YEAR(INDEX(Base_Mensuelle!$FL$68:$FZ$679,MAX(Base_Mensuelle!$FZ$68:$FZ$679),1))-3,12,1)</f>
        <v>44166</v>
      </c>
    </row>
    <row r="110" spans="1:13">
      <c r="A110" s="1292" t="s">
        <v>222</v>
      </c>
      <c r="B110" s="406">
        <f>VLOOKUP(B109,Base_Mensuelle!$FL$67:$FY$679,2,0)</f>
        <v>101.26</v>
      </c>
      <c r="C110" s="406">
        <f>VLOOKUP(C109,Base_Mensuelle!$FL$67:$FY$679,2,0)</f>
        <v>102.23</v>
      </c>
      <c r="D110" s="406">
        <f>VLOOKUP(D109,Base_Mensuelle!$FL$67:$FY$679,2,0)</f>
        <v>101.97</v>
      </c>
      <c r="E110" s="408">
        <f>VLOOKUP(E109,Base_Mensuelle!$FL$67:$FY$679,2,0)</f>
        <v>101.53</v>
      </c>
      <c r="F110" s="408">
        <f>VLOOKUP(F109,Base_Mensuelle!$FL$67:$FY$679,2,0)</f>
        <v>105.51</v>
      </c>
      <c r="G110" s="408">
        <f>VLOOKUP(G109,Base_Mensuelle!$FL$67:$FY$679,2,0)</f>
        <v>104.15</v>
      </c>
      <c r="H110" s="408">
        <f>VLOOKUP(H109,Base_Mensuelle!$FL$67:$FY$679,2,0)</f>
        <v>104.66</v>
      </c>
      <c r="I110" s="408">
        <f>VLOOKUP(I109,Base_Mensuelle!$FL$67:$FY$679,2,0)</f>
        <v>105.85</v>
      </c>
      <c r="J110" s="408">
        <f>VLOOKUP(J109,Base_Mensuelle!$FL$67:$FY$679,2,0)</f>
        <v>106.02</v>
      </c>
      <c r="K110" s="408">
        <f>VLOOKUP(K109,Base_Mensuelle!$FL$67:$FY$679,2,0)</f>
        <v>106.69</v>
      </c>
      <c r="L110" s="408">
        <f>VLOOKUP(L109,Base_Mensuelle!$FL$67:$FY$679,2,0)</f>
        <v>105.82</v>
      </c>
      <c r="M110" s="1458">
        <f>VLOOKUP(M109,Base_Mensuelle!$FL$67:$FY$679,2,0)</f>
        <v>104.15</v>
      </c>
    </row>
    <row r="111" spans="1:13" ht="24.6">
      <c r="A111" s="1286" t="s">
        <v>818</v>
      </c>
      <c r="B111" s="1145">
        <f>VLOOKUP(B109,Base_Mensuelle!$FL$67:$FY$679,3,0)</f>
        <v>100.15</v>
      </c>
      <c r="C111" s="1145">
        <f>VLOOKUP(C109,Base_Mensuelle!$FL$67:$FY$679,3,0)</f>
        <v>100.92</v>
      </c>
      <c r="D111" s="1145">
        <f>VLOOKUP(D109,Base_Mensuelle!$FL$67:$FY$679,3,0)</f>
        <v>101.53</v>
      </c>
      <c r="E111" s="399">
        <f>VLOOKUP(E109,Base_Mensuelle!$FL$67:$FY$679,3,0)</f>
        <v>102.4</v>
      </c>
      <c r="F111" s="399">
        <f>VLOOKUP(F109,Base_Mensuelle!$FL$67:$FY$679,3,0)</f>
        <v>108.99</v>
      </c>
      <c r="G111" s="399">
        <f>VLOOKUP(G109,Base_Mensuelle!$FL$67:$FY$679,3,0)</f>
        <v>107.25</v>
      </c>
      <c r="H111" s="399">
        <f>VLOOKUP(H109,Base_Mensuelle!$FL$67:$FY$679,3,0)</f>
        <v>107.85</v>
      </c>
      <c r="I111" s="399">
        <f>VLOOKUP(I109,Base_Mensuelle!$FL$67:$FY$679,3,0)</f>
        <v>108.19</v>
      </c>
      <c r="J111" s="399">
        <f>VLOOKUP(J109,Base_Mensuelle!$FL$67:$FY$679,3,0)</f>
        <v>108.87</v>
      </c>
      <c r="K111" s="399">
        <f>VLOOKUP(K109,Base_Mensuelle!$FL$67:$FY$679,3,0)</f>
        <v>109.39</v>
      </c>
      <c r="L111" s="399">
        <f>VLOOKUP(L109,Base_Mensuelle!$FL$67:$FY$679,3,0)</f>
        <v>108.91</v>
      </c>
      <c r="M111" s="1459">
        <f>VLOOKUP(M109,Base_Mensuelle!$FL$67:$FY$679,3,0)</f>
        <v>106.05</v>
      </c>
    </row>
    <row r="112" spans="1:13" ht="24.6">
      <c r="A112" s="1289" t="s">
        <v>817</v>
      </c>
      <c r="B112" s="1147">
        <f>VLOOKUP(B109,Base_Mensuelle!$FL$67:$FY$679,4,0)</f>
        <v>126.8</v>
      </c>
      <c r="C112" s="1147">
        <f>VLOOKUP(C109,Base_Mensuelle!$FL$67:$FY$679,4,0)</f>
        <v>126.34</v>
      </c>
      <c r="D112" s="1147">
        <f>VLOOKUP(D109,Base_Mensuelle!$FL$67:$FY$679,4,0)</f>
        <v>124.99</v>
      </c>
      <c r="E112" s="1146">
        <f>VLOOKUP(E109,Base_Mensuelle!$FL$67:$FY$679,4,0)</f>
        <v>112.26</v>
      </c>
      <c r="F112" s="1146">
        <f>VLOOKUP(F109,Base_Mensuelle!$FL$67:$FY$679,4,0)</f>
        <v>130.5</v>
      </c>
      <c r="G112" s="1146">
        <f>VLOOKUP(G109,Base_Mensuelle!$FL$67:$FY$679,4,0)</f>
        <v>130.06</v>
      </c>
      <c r="H112" s="1146">
        <f>VLOOKUP(H109,Base_Mensuelle!$FL$67:$FY$679,4,0)</f>
        <v>130.33000000000001</v>
      </c>
      <c r="I112" s="1146">
        <f>VLOOKUP(I109,Base_Mensuelle!$FL$67:$FY$679,4,0)</f>
        <v>145.96</v>
      </c>
      <c r="J112" s="1146">
        <f>VLOOKUP(J109,Base_Mensuelle!$FL$67:$FY$679,4,0)</f>
        <v>138.38999999999999</v>
      </c>
      <c r="K112" s="1146">
        <f>VLOOKUP(K109,Base_Mensuelle!$FL$67:$FY$679,4,0)</f>
        <v>135.97</v>
      </c>
      <c r="L112" s="1146">
        <f>VLOOKUP(L109,Base_Mensuelle!$FL$67:$FY$679,4,0)</f>
        <v>133.44</v>
      </c>
      <c r="M112" s="1460">
        <f>VLOOKUP(M109,Base_Mensuelle!$FL$67:$FY$679,4,0)</f>
        <v>128.76</v>
      </c>
    </row>
    <row r="113" spans="1:13">
      <c r="A113" s="1288" t="s">
        <v>816</v>
      </c>
      <c r="B113" s="1145">
        <f>VLOOKUP(B109,Base_Mensuelle!$FL$67:$FY$679,5,0)</f>
        <v>101.3</v>
      </c>
      <c r="C113" s="1145">
        <f>VLOOKUP(C109,Base_Mensuelle!$FL$67:$FY$679,5,0)</f>
        <v>101.3</v>
      </c>
      <c r="D113" s="1145">
        <f>VLOOKUP(D109,Base_Mensuelle!$FL$67:$FY$679,5,0)</f>
        <v>101.3</v>
      </c>
      <c r="E113" s="399">
        <f>VLOOKUP(E109,Base_Mensuelle!$FL$67:$FY$679,5,0)</f>
        <v>101.3</v>
      </c>
      <c r="F113" s="399">
        <f>VLOOKUP(F109,Base_Mensuelle!$FL$67:$FY$679,5,0)</f>
        <v>101.31</v>
      </c>
      <c r="G113" s="399">
        <f>VLOOKUP(G109,Base_Mensuelle!$FL$67:$FY$679,5,0)</f>
        <v>101.31</v>
      </c>
      <c r="H113" s="399">
        <f>VLOOKUP(H109,Base_Mensuelle!$FL$67:$FY$679,5,0)</f>
        <v>101.31</v>
      </c>
      <c r="I113" s="399">
        <f>VLOOKUP(I109,Base_Mensuelle!$FL$67:$FY$679,5,0)</f>
        <v>101.31</v>
      </c>
      <c r="J113" s="399">
        <f>VLOOKUP(J109,Base_Mensuelle!$FL$67:$FY$679,5,0)</f>
        <v>101.31</v>
      </c>
      <c r="K113" s="399">
        <f>VLOOKUP(K109,Base_Mensuelle!$FL$67:$FY$679,5,0)</f>
        <v>101.31</v>
      </c>
      <c r="L113" s="399">
        <f>VLOOKUP(L109,Base_Mensuelle!$FL$67:$FY$679,5,0)</f>
        <v>101.31</v>
      </c>
      <c r="M113" s="1459">
        <f>VLOOKUP(M109,Base_Mensuelle!$FL$67:$FY$679,5,0)</f>
        <v>101.31</v>
      </c>
    </row>
    <row r="114" spans="1:13" ht="24.6">
      <c r="A114" s="1289" t="s">
        <v>815</v>
      </c>
      <c r="B114" s="1147">
        <f>VLOOKUP(B109,Base_Mensuelle!$FL$67:$FY$679,6,0)</f>
        <v>100.13</v>
      </c>
      <c r="C114" s="1147">
        <f>VLOOKUP(C109,Base_Mensuelle!$FL$67:$FY$679,6,0)</f>
        <v>105.77</v>
      </c>
      <c r="D114" s="1147">
        <f>VLOOKUP(D109,Base_Mensuelle!$FL$67:$FY$679,6,0)</f>
        <v>98.26</v>
      </c>
      <c r="E114" s="1146">
        <f>VLOOKUP(E109,Base_Mensuelle!$FL$67:$FY$679,6,0)</f>
        <v>95.16</v>
      </c>
      <c r="F114" s="1146">
        <f>VLOOKUP(F109,Base_Mensuelle!$FL$67:$FY$679,6,0)</f>
        <v>90.02</v>
      </c>
      <c r="G114" s="1146">
        <f>VLOOKUP(G109,Base_Mensuelle!$FL$67:$FY$679,6,0)</f>
        <v>90.59</v>
      </c>
      <c r="H114" s="1146">
        <f>VLOOKUP(H109,Base_Mensuelle!$FL$67:$FY$679,6,0)</f>
        <v>94.48</v>
      </c>
      <c r="I114" s="1146">
        <f>VLOOKUP(I109,Base_Mensuelle!$FL$67:$FY$679,6,0)</f>
        <v>97.44</v>
      </c>
      <c r="J114" s="1146">
        <f>VLOOKUP(J109,Base_Mensuelle!$FL$67:$FY$679,6,0)</f>
        <v>96.89</v>
      </c>
      <c r="K114" s="1146">
        <f>VLOOKUP(K109,Base_Mensuelle!$FL$67:$FY$679,6,0)</f>
        <v>104.44</v>
      </c>
      <c r="L114" s="1146">
        <f>VLOOKUP(L109,Base_Mensuelle!$FL$67:$FY$679,6,0)</f>
        <v>97.98</v>
      </c>
      <c r="M114" s="1460">
        <f>VLOOKUP(M109,Base_Mensuelle!$FL$67:$FY$679,6,0)</f>
        <v>97.9</v>
      </c>
    </row>
    <row r="115" spans="1:13">
      <c r="A115" s="1286" t="s">
        <v>814</v>
      </c>
      <c r="B115" s="1145">
        <f>VLOOKUP(B109,Base_Mensuelle!$FL$67:$FY$679,7,0)</f>
        <v>101.28</v>
      </c>
      <c r="C115" s="1145">
        <f>VLOOKUP(C109,Base_Mensuelle!$FL$67:$FY$679,7,0)</f>
        <v>101.28</v>
      </c>
      <c r="D115" s="1145">
        <f>VLOOKUP(D109,Base_Mensuelle!$FL$67:$FY$679,7,0)</f>
        <v>101.05</v>
      </c>
      <c r="E115" s="399">
        <f>VLOOKUP(E109,Base_Mensuelle!$FL$67:$FY$679,7,0)</f>
        <v>101.06</v>
      </c>
      <c r="F115" s="399">
        <f>VLOOKUP(F109,Base_Mensuelle!$FL$67:$FY$679,7,0)</f>
        <v>101.29</v>
      </c>
      <c r="G115" s="399">
        <f>VLOOKUP(G109,Base_Mensuelle!$FL$67:$FY$679,7,0)</f>
        <v>101.29</v>
      </c>
      <c r="H115" s="399">
        <f>VLOOKUP(H109,Base_Mensuelle!$FL$67:$FY$679,7,0)</f>
        <v>101.29</v>
      </c>
      <c r="I115" s="399">
        <f>VLOOKUP(I109,Base_Mensuelle!$FL$67:$FY$679,7,0)</f>
        <v>101.29</v>
      </c>
      <c r="J115" s="399">
        <f>VLOOKUP(J109,Base_Mensuelle!$FL$67:$FY$679,7,0)</f>
        <v>101.29</v>
      </c>
      <c r="K115" s="399">
        <f>VLOOKUP(K109,Base_Mensuelle!$FL$67:$FY$679,7,0)</f>
        <v>101.29</v>
      </c>
      <c r="L115" s="399">
        <f>VLOOKUP(L109,Base_Mensuelle!$FL$67:$FY$679,7,0)</f>
        <v>101.29</v>
      </c>
      <c r="M115" s="1459">
        <f>VLOOKUP(M109,Base_Mensuelle!$FL$67:$FY$679,7,0)</f>
        <v>101.29</v>
      </c>
    </row>
    <row r="116" spans="1:13">
      <c r="A116" s="1290" t="s">
        <v>813</v>
      </c>
      <c r="B116" s="1147">
        <f>VLOOKUP(B109,Base_Mensuelle!$FL$67:$FY$679,8,0)</f>
        <v>100.41</v>
      </c>
      <c r="C116" s="1147">
        <f>VLOOKUP(C109,Base_Mensuelle!$FL$67:$FY$679,8,0)</f>
        <v>100.41</v>
      </c>
      <c r="D116" s="1147">
        <f>VLOOKUP(D109,Base_Mensuelle!$FL$67:$FY$679,8,0)</f>
        <v>100.41</v>
      </c>
      <c r="E116" s="1146">
        <f>VLOOKUP(E109,Base_Mensuelle!$FL$67:$FY$679,8,0)</f>
        <v>100.41</v>
      </c>
      <c r="F116" s="1146">
        <f>VLOOKUP(F109,Base_Mensuelle!$FL$67:$FY$679,8,0)</f>
        <v>100.41</v>
      </c>
      <c r="G116" s="1146">
        <f>VLOOKUP(G109,Base_Mensuelle!$FL$67:$FY$679,8,0)</f>
        <v>100.41</v>
      </c>
      <c r="H116" s="1146">
        <f>VLOOKUP(H109,Base_Mensuelle!$FL$67:$FY$679,8,0)</f>
        <v>100.41</v>
      </c>
      <c r="I116" s="1146">
        <f>VLOOKUP(I109,Base_Mensuelle!$FL$67:$FY$679,8,0)</f>
        <v>100.41</v>
      </c>
      <c r="J116" s="1146">
        <f>VLOOKUP(J109,Base_Mensuelle!$FL$67:$FY$679,8,0)</f>
        <v>100.41</v>
      </c>
      <c r="K116" s="1146">
        <f>VLOOKUP(K109,Base_Mensuelle!$FL$67:$FY$679,8,0)</f>
        <v>100.41</v>
      </c>
      <c r="L116" s="1146">
        <f>VLOOKUP(L109,Base_Mensuelle!$FL$67:$FY$679,8,0)</f>
        <v>100.41</v>
      </c>
      <c r="M116" s="1460">
        <f>VLOOKUP(M109,Base_Mensuelle!$FL$67:$FY$679,8,0)</f>
        <v>100.41</v>
      </c>
    </row>
    <row r="117" spans="1:13">
      <c r="A117" s="1286" t="s">
        <v>812</v>
      </c>
      <c r="B117" s="1145">
        <f>VLOOKUP(B109,Base_Mensuelle!$FL$67:$FY$679,9,0)</f>
        <v>100.07</v>
      </c>
      <c r="C117" s="1145">
        <f>VLOOKUP(C109,Base_Mensuelle!$FL$67:$FY$679,9,0)</f>
        <v>100.07</v>
      </c>
      <c r="D117" s="1145">
        <f>VLOOKUP(D109,Base_Mensuelle!$FL$67:$FY$679,9,0)</f>
        <v>100.08</v>
      </c>
      <c r="E117" s="399">
        <f>VLOOKUP(E109,Base_Mensuelle!$FL$67:$FY$679,9,0)</f>
        <v>99.38</v>
      </c>
      <c r="F117" s="399">
        <f>VLOOKUP(F109,Base_Mensuelle!$FL$67:$FY$679,9,0)</f>
        <v>98.98</v>
      </c>
      <c r="G117" s="399">
        <f>VLOOKUP(G109,Base_Mensuelle!$FL$67:$FY$679,9,0)</f>
        <v>98.61</v>
      </c>
      <c r="H117" s="399">
        <f>VLOOKUP(H109,Base_Mensuelle!$FL$67:$FY$679,9,0)</f>
        <v>98.61</v>
      </c>
      <c r="I117" s="399">
        <f>VLOOKUP(I109,Base_Mensuelle!$FL$67:$FY$679,9,0)</f>
        <v>98.61</v>
      </c>
      <c r="J117" s="399">
        <f>VLOOKUP(J109,Base_Mensuelle!$FL$67:$FY$679,9,0)</f>
        <v>98.61</v>
      </c>
      <c r="K117" s="399">
        <f>VLOOKUP(K109,Base_Mensuelle!$FL$67:$FY$679,9,0)</f>
        <v>98.61</v>
      </c>
      <c r="L117" s="399">
        <f>VLOOKUP(L109,Base_Mensuelle!$FL$67:$FY$679,9,0)</f>
        <v>98.44</v>
      </c>
      <c r="M117" s="1459">
        <f>VLOOKUP(M109,Base_Mensuelle!$FL$67:$FY$679,9,0)</f>
        <v>98.2</v>
      </c>
    </row>
    <row r="118" spans="1:13">
      <c r="A118" s="1290" t="s">
        <v>811</v>
      </c>
      <c r="B118" s="1147">
        <f>VLOOKUP(B109,Base_Mensuelle!$FL$67:$FY$679,10,0)</f>
        <v>98.78</v>
      </c>
      <c r="C118" s="1147">
        <f>VLOOKUP(C109,Base_Mensuelle!$FL$67:$FY$679,10,0)</f>
        <v>98.78</v>
      </c>
      <c r="D118" s="1147">
        <f>VLOOKUP(D109,Base_Mensuelle!$FL$67:$FY$679,10,0)</f>
        <v>98.78</v>
      </c>
      <c r="E118" s="1146">
        <f>VLOOKUP(E109,Base_Mensuelle!$FL$67:$FY$679,10,0)</f>
        <v>98.78</v>
      </c>
      <c r="F118" s="1146">
        <f>VLOOKUP(F109,Base_Mensuelle!$FL$67:$FY$679,10,0)</f>
        <v>98.78</v>
      </c>
      <c r="G118" s="1146">
        <f>VLOOKUP(G109,Base_Mensuelle!$FL$67:$FY$679,10,0)</f>
        <v>98.78</v>
      </c>
      <c r="H118" s="1146">
        <f>VLOOKUP(H109,Base_Mensuelle!$FL$67:$FY$679,10,0)</f>
        <v>98.78</v>
      </c>
      <c r="I118" s="1146">
        <f>VLOOKUP(I109,Base_Mensuelle!$FL$67:$FY$679,10,0)</f>
        <v>98.78</v>
      </c>
      <c r="J118" s="1146">
        <f>VLOOKUP(J109,Base_Mensuelle!$FL$67:$FY$679,10,0)</f>
        <v>98.78</v>
      </c>
      <c r="K118" s="1146">
        <f>VLOOKUP(K109,Base_Mensuelle!$FL$67:$FY$679,10,0)</f>
        <v>98.78</v>
      </c>
      <c r="L118" s="1146">
        <f>VLOOKUP(L109,Base_Mensuelle!$FL$67:$FY$679,10,0)</f>
        <v>98.78</v>
      </c>
      <c r="M118" s="1460">
        <f>VLOOKUP(M109,Base_Mensuelle!$FL$67:$FY$679,10,0)</f>
        <v>98.78</v>
      </c>
    </row>
    <row r="119" spans="1:13">
      <c r="A119" s="1286" t="s">
        <v>810</v>
      </c>
      <c r="B119" s="1145">
        <f>VLOOKUP(B109,Base_Mensuelle!$FL$67:$FY$679,11,0)</f>
        <v>101.12</v>
      </c>
      <c r="C119" s="1145">
        <f>VLOOKUP(C109,Base_Mensuelle!$FL$67:$FY$679,11,0)</f>
        <v>101.12</v>
      </c>
      <c r="D119" s="1145">
        <f>VLOOKUP(D109,Base_Mensuelle!$FL$67:$FY$679,11,0)</f>
        <v>101.12</v>
      </c>
      <c r="E119" s="399">
        <f>VLOOKUP(E109,Base_Mensuelle!$FL$67:$FY$679,11,0)</f>
        <v>101.12</v>
      </c>
      <c r="F119" s="399">
        <f>VLOOKUP(F109,Base_Mensuelle!$FL$67:$FY$679,11,0)</f>
        <v>101.12</v>
      </c>
      <c r="G119" s="399">
        <f>VLOOKUP(G109,Base_Mensuelle!$FL$67:$FY$679,11,0)</f>
        <v>101.12</v>
      </c>
      <c r="H119" s="399">
        <f>VLOOKUP(H109,Base_Mensuelle!$FL$67:$FY$679,11,0)</f>
        <v>101.12</v>
      </c>
      <c r="I119" s="399">
        <f>VLOOKUP(I109,Base_Mensuelle!$FL$67:$FY$679,11,0)</f>
        <v>101.12</v>
      </c>
      <c r="J119" s="399">
        <f>VLOOKUP(J109,Base_Mensuelle!$FL$67:$FY$679,11,0)</f>
        <v>101.12</v>
      </c>
      <c r="K119" s="399">
        <f>VLOOKUP(K109,Base_Mensuelle!$FL$67:$FY$679,11,0)</f>
        <v>101.12</v>
      </c>
      <c r="L119" s="399">
        <f>VLOOKUP(L109,Base_Mensuelle!$FL$67:$FY$679,11,0)</f>
        <v>101.12</v>
      </c>
      <c r="M119" s="1459">
        <f>VLOOKUP(M109,Base_Mensuelle!$FL$67:$FY$679,11,0)</f>
        <v>101.1</v>
      </c>
    </row>
    <row r="120" spans="1:13">
      <c r="A120" s="1290" t="s">
        <v>809</v>
      </c>
      <c r="B120" s="1147">
        <f>VLOOKUP(B109,Base_Mensuelle!$FL$67:$FY$679,12,0)</f>
        <v>107.43</v>
      </c>
      <c r="C120" s="1147">
        <f>VLOOKUP(C109,Base_Mensuelle!$FL$67:$FY$679,12,0)</f>
        <v>107.43</v>
      </c>
      <c r="D120" s="1147">
        <f>VLOOKUP(D109,Base_Mensuelle!$FL$67:$FY$679,12,0)</f>
        <v>107.43</v>
      </c>
      <c r="E120" s="1146">
        <f>VLOOKUP(E109,Base_Mensuelle!$FL$67:$FY$679,12,0)</f>
        <v>107.43</v>
      </c>
      <c r="F120" s="1146">
        <f>VLOOKUP(F109,Base_Mensuelle!$FL$67:$FY$679,12,0)</f>
        <v>107.43</v>
      </c>
      <c r="G120" s="1146">
        <f>VLOOKUP(G109,Base_Mensuelle!$FL$67:$FY$679,12,0)</f>
        <v>107.43</v>
      </c>
      <c r="H120" s="1146">
        <f>VLOOKUP(H109,Base_Mensuelle!$FL$67:$FY$679,12,0)</f>
        <v>107.43</v>
      </c>
      <c r="I120" s="1146">
        <f>VLOOKUP(I109,Base_Mensuelle!$FL$67:$FY$679,12,0)</f>
        <v>107.43</v>
      </c>
      <c r="J120" s="1146">
        <f>VLOOKUP(J109,Base_Mensuelle!$FL$67:$FY$679,12,0)</f>
        <v>107.43</v>
      </c>
      <c r="K120" s="1146">
        <f>VLOOKUP(K109,Base_Mensuelle!$FL$67:$FY$679,12,0)</f>
        <v>107.83</v>
      </c>
      <c r="L120" s="1146">
        <f>VLOOKUP(L109,Base_Mensuelle!$FL$67:$FY$679,12,0)</f>
        <v>107.83</v>
      </c>
      <c r="M120" s="1460">
        <f>VLOOKUP(M109,Base_Mensuelle!$FL$67:$FY$679,12,0)</f>
        <v>107.83</v>
      </c>
    </row>
    <row r="121" spans="1:13">
      <c r="A121" s="1286" t="s">
        <v>808</v>
      </c>
      <c r="B121" s="1145">
        <f>VLOOKUP(B109,Base_Mensuelle!$FL$67:$FY$679,13,0)</f>
        <v>104.88</v>
      </c>
      <c r="C121" s="1145">
        <f>VLOOKUP(C109,Base_Mensuelle!$FL$67:$FY$679,13,0)</f>
        <v>105.53</v>
      </c>
      <c r="D121" s="1145">
        <f>VLOOKUP(D109,Base_Mensuelle!$FL$67:$FY$679,13,0)</f>
        <v>105.98</v>
      </c>
      <c r="E121" s="399">
        <f>VLOOKUP(E109,Base_Mensuelle!$FL$67:$FY$679,13,0)</f>
        <v>106.41</v>
      </c>
      <c r="F121" s="399">
        <f>VLOOKUP(F109,Base_Mensuelle!$FL$67:$FY$679,13,0)</f>
        <v>105.85</v>
      </c>
      <c r="G121" s="399">
        <f>VLOOKUP(G109,Base_Mensuelle!$FL$67:$FY$679,13,0)</f>
        <v>104.91</v>
      </c>
      <c r="H121" s="399">
        <f>VLOOKUP(H109,Base_Mensuelle!$FL$67:$FY$679,13,0)</f>
        <v>104.51</v>
      </c>
      <c r="I121" s="399">
        <f>VLOOKUP(I109,Base_Mensuelle!$FL$67:$FY$679,13,0)</f>
        <v>104.9</v>
      </c>
      <c r="J121" s="399">
        <f>VLOOKUP(J109,Base_Mensuelle!$FL$67:$FY$679,13,0)</f>
        <v>105.04</v>
      </c>
      <c r="K121" s="399">
        <f>VLOOKUP(K109,Base_Mensuelle!$FL$67:$FY$679,13,0)</f>
        <v>104.88</v>
      </c>
      <c r="L121" s="399">
        <f>VLOOKUP(L109,Base_Mensuelle!$FL$67:$FY$679,13,0)</f>
        <v>105.59</v>
      </c>
      <c r="M121" s="1459">
        <f>VLOOKUP(M109,Base_Mensuelle!$FL$67:$FY$679,13,0)</f>
        <v>104.82</v>
      </c>
    </row>
    <row r="122" spans="1:13">
      <c r="A122" s="1291" t="s">
        <v>807</v>
      </c>
      <c r="B122" s="454">
        <f>VLOOKUP(B109,Base_Mensuelle!$FL$67:$FY$679,14,0)</f>
        <v>100.75</v>
      </c>
      <c r="C122" s="454">
        <f>VLOOKUP(C109,Base_Mensuelle!$FL$67:$FY$679,14,0)</f>
        <v>100.75</v>
      </c>
      <c r="D122" s="454">
        <f>VLOOKUP(D109,Base_Mensuelle!$FL$67:$FY$679,14,0)</f>
        <v>100.75</v>
      </c>
      <c r="E122" s="1144">
        <f>VLOOKUP(E109,Base_Mensuelle!$FL$67:$FY$679,14,0)</f>
        <v>100.75</v>
      </c>
      <c r="F122" s="1144">
        <f>VLOOKUP(F109,Base_Mensuelle!$FL$67:$FY$679,14,0)</f>
        <v>100.75</v>
      </c>
      <c r="G122" s="1144">
        <f>VLOOKUP(G109,Base_Mensuelle!$FL$67:$FY$679,14,0)</f>
        <v>100.75</v>
      </c>
      <c r="H122" s="1144">
        <f>VLOOKUP(H109,Base_Mensuelle!$FL$67:$FY$679,14,0)</f>
        <v>100.75</v>
      </c>
      <c r="I122" s="1144">
        <f>VLOOKUP(I109,Base_Mensuelle!$FL$67:$FY$679,14,0)</f>
        <v>100.75</v>
      </c>
      <c r="J122" s="1144">
        <f>VLOOKUP(J109,Base_Mensuelle!$FL$67:$FY$679,14,0)</f>
        <v>100.75</v>
      </c>
      <c r="K122" s="1144">
        <f>VLOOKUP(K109,Base_Mensuelle!$FL$67:$FY$679,14,0)</f>
        <v>100.86</v>
      </c>
      <c r="L122" s="1144">
        <f>VLOOKUP(L109,Base_Mensuelle!$FL$67:$FY$679,14,0)</f>
        <v>100.86</v>
      </c>
      <c r="M122" s="1461">
        <f>VLOOKUP(M109,Base_Mensuelle!$FL$67:$FY$679,14,0)</f>
        <v>100.86</v>
      </c>
    </row>
    <row r="123" spans="1:13" ht="18" customHeight="1">
      <c r="A123" s="437"/>
      <c r="B123" s="399"/>
      <c r="C123" s="399"/>
      <c r="D123" s="399"/>
      <c r="E123" s="399"/>
      <c r="F123" s="399"/>
      <c r="G123" s="399"/>
      <c r="H123" s="399"/>
      <c r="I123" s="399"/>
      <c r="J123" s="399"/>
      <c r="K123" s="399"/>
      <c r="L123" s="399"/>
      <c r="M123" s="399"/>
    </row>
    <row r="124" spans="1:13" ht="18" customHeight="1">
      <c r="A124" s="437"/>
      <c r="B124" s="399"/>
      <c r="C124" s="399"/>
      <c r="D124" s="399"/>
      <c r="E124" s="399"/>
      <c r="F124" s="399"/>
      <c r="G124" s="399"/>
      <c r="H124" s="399"/>
      <c r="I124" s="399"/>
      <c r="J124" s="399"/>
      <c r="K124" s="399"/>
      <c r="L124" s="399"/>
      <c r="M124" s="399"/>
    </row>
    <row r="125" spans="1:13" ht="18" customHeight="1">
      <c r="A125" s="1457"/>
      <c r="B125" s="1522">
        <f>DATE(YEAR(INDEX(Base_Mensuelle!$FL$68:$FZ$679,MAX(Base_Mensuelle!$FZ$68:$FZ$679),1))-2,1,1)</f>
        <v>44197</v>
      </c>
      <c r="C125" s="1522">
        <f>DATE(YEAR(INDEX(Base_Mensuelle!$FL$68:$FZ$679,MAX(Base_Mensuelle!$FZ$68:$FZ$679),1))-2,2,1)</f>
        <v>44228</v>
      </c>
      <c r="D125" s="1522">
        <f>DATE(YEAR(INDEX(Base_Mensuelle!$FL$68:$FZ$679,MAX(Base_Mensuelle!$FZ$68:$FZ$679),1))-2,3,1)</f>
        <v>44256</v>
      </c>
      <c r="E125" s="1522">
        <f>DATE(YEAR(INDEX(Base_Mensuelle!$FL$68:$FZ$679,MAX(Base_Mensuelle!$FZ$68:$FZ$679),1))-2,4,1)</f>
        <v>44287</v>
      </c>
      <c r="F125" s="1522">
        <f>DATE(YEAR(INDEX(Base_Mensuelle!$FL$68:$FZ$679,MAX(Base_Mensuelle!$FZ$68:$FZ$679),1))-2,5,1)</f>
        <v>44317</v>
      </c>
      <c r="G125" s="1522">
        <f>DATE(YEAR(INDEX(Base_Mensuelle!$FL$68:$FZ$679,MAX(Base_Mensuelle!$FZ$68:$FZ$679),1))-2,6,1)</f>
        <v>44348</v>
      </c>
      <c r="H125" s="1522">
        <f>DATE(YEAR(INDEX(Base_Mensuelle!$FL$68:$FZ$679,MAX(Base_Mensuelle!$FZ$68:$FZ$679),1))-2,7,1)</f>
        <v>44378</v>
      </c>
      <c r="I125" s="1522">
        <f>DATE(YEAR(INDEX(Base_Mensuelle!$FL$68:$FZ$679,MAX(Base_Mensuelle!$FZ$68:$FZ$679),1))-2,8,1)</f>
        <v>44409</v>
      </c>
      <c r="J125" s="1522">
        <f>DATE(YEAR(INDEX(Base_Mensuelle!$FL$68:$FZ$679,MAX(Base_Mensuelle!$FZ$68:$FZ$679),1))-2,9,1)</f>
        <v>44440</v>
      </c>
      <c r="K125" s="1522">
        <f>DATE(YEAR(INDEX(Base_Mensuelle!$FL$68:$FZ$679,MAX(Base_Mensuelle!$FZ$68:$FZ$679),1))-2,10,1)</f>
        <v>44470</v>
      </c>
      <c r="L125" s="1522">
        <f>DATE(YEAR(INDEX(Base_Mensuelle!$FL$68:$FZ$679,MAX(Base_Mensuelle!$FZ$68:$FZ$679),1))-2,11,1)</f>
        <v>44501</v>
      </c>
      <c r="M125" s="1522">
        <f>DATE(YEAR(INDEX(Base_Mensuelle!$FL$68:$FZ$679,MAX(Base_Mensuelle!$FZ$68:$FZ$679),1))-2,12,1)</f>
        <v>44531</v>
      </c>
    </row>
    <row r="126" spans="1:13">
      <c r="A126" s="1292" t="s">
        <v>222</v>
      </c>
      <c r="B126" s="406">
        <f>VLOOKUP(B125,Base_Mensuelle!$FL$67:$FY$679,2,0)</f>
        <v>104.33</v>
      </c>
      <c r="C126" s="406">
        <f>VLOOKUP(C125,Base_Mensuelle!$FL$67:$FY$679,2,0)</f>
        <v>103.89</v>
      </c>
      <c r="D126" s="406">
        <f>VLOOKUP(D125,Base_Mensuelle!$FL$67:$FY$679,2,0)</f>
        <v>104.54</v>
      </c>
      <c r="E126" s="408">
        <f>VLOOKUP(E125,Base_Mensuelle!$FL$67:$FY$679,2,0)</f>
        <v>106.17</v>
      </c>
      <c r="F126" s="408">
        <f>VLOOKUP(F125,Base_Mensuelle!$FL$67:$FY$679,2,0)</f>
        <v>107.95</v>
      </c>
      <c r="G126" s="408">
        <f>VLOOKUP(G125,Base_Mensuelle!$FL$67:$FY$679,2,0)</f>
        <v>107.81</v>
      </c>
      <c r="H126" s="408">
        <f>VLOOKUP(H125,Base_Mensuelle!$FL$67:$FY$679,2,0)</f>
        <v>108.37</v>
      </c>
      <c r="I126" s="408">
        <f>VLOOKUP(I125,Base_Mensuelle!$FL$67:$FY$679,2,0)</f>
        <v>108.82</v>
      </c>
      <c r="J126" s="408">
        <f>VLOOKUP(J125,Base_Mensuelle!$FL$67:$FY$679,2,0)</f>
        <v>110.69</v>
      </c>
      <c r="K126" s="408">
        <f>VLOOKUP(K125,Base_Mensuelle!$FL$67:$FY$679,2,0)</f>
        <v>110.86</v>
      </c>
      <c r="L126" s="408">
        <f>VLOOKUP(L125,Base_Mensuelle!$FL$67:$FY$679,2,0)</f>
        <v>112.12</v>
      </c>
      <c r="M126" s="1458">
        <f>VLOOKUP(M125,Base_Mensuelle!$FL$67:$FY$679,2,0)</f>
        <v>112.47</v>
      </c>
    </row>
    <row r="127" spans="1:13" ht="24.6">
      <c r="A127" s="1286" t="s">
        <v>818</v>
      </c>
      <c r="B127" s="1145">
        <f>VLOOKUP(B125,Base_Mensuelle!$FL$67:$FY$679,3,0)</f>
        <v>105.93</v>
      </c>
      <c r="C127" s="1145">
        <f>VLOOKUP(C125,Base_Mensuelle!$FL$67:$FY$679,3,0)</f>
        <v>105.98</v>
      </c>
      <c r="D127" s="1145">
        <f>VLOOKUP(D125,Base_Mensuelle!$FL$67:$FY$679,3,0)</f>
        <v>107.19</v>
      </c>
      <c r="E127" s="399">
        <f>VLOOKUP(E125,Base_Mensuelle!$FL$67:$FY$679,3,0)</f>
        <v>109.95</v>
      </c>
      <c r="F127" s="399">
        <f>VLOOKUP(F125,Base_Mensuelle!$FL$67:$FY$679,3,0)</f>
        <v>113.58</v>
      </c>
      <c r="G127" s="399">
        <f>VLOOKUP(G125,Base_Mensuelle!$FL$67:$FY$679,3,0)</f>
        <v>113.59</v>
      </c>
      <c r="H127" s="399">
        <f>VLOOKUP(H125,Base_Mensuelle!$FL$67:$FY$679,3,0)</f>
        <v>113.93</v>
      </c>
      <c r="I127" s="399">
        <f>VLOOKUP(I125,Base_Mensuelle!$FL$67:$FY$679,3,0)</f>
        <v>114.78</v>
      </c>
      <c r="J127" s="399">
        <f>VLOOKUP(J125,Base_Mensuelle!$FL$67:$FY$679,3,0)</f>
        <v>118.19</v>
      </c>
      <c r="K127" s="399">
        <f>VLOOKUP(K125,Base_Mensuelle!$FL$67:$FY$679,3,0)</f>
        <v>118.53</v>
      </c>
      <c r="L127" s="399">
        <f>VLOOKUP(L125,Base_Mensuelle!$FL$67:$FY$679,3,0)</f>
        <v>120.07</v>
      </c>
      <c r="M127" s="1459">
        <f>VLOOKUP(M125,Base_Mensuelle!$FL$67:$FY$679,3,0)</f>
        <v>121.19</v>
      </c>
    </row>
    <row r="128" spans="1:13" ht="24.6">
      <c r="A128" s="1289" t="s">
        <v>817</v>
      </c>
      <c r="B128" s="1147">
        <f>VLOOKUP(B125,Base_Mensuelle!$FL$67:$FY$679,4,0)</f>
        <v>133.72999999999999</v>
      </c>
      <c r="C128" s="1147">
        <f>VLOOKUP(C125,Base_Mensuelle!$FL$67:$FY$679,4,0)</f>
        <v>126.15</v>
      </c>
      <c r="D128" s="1147">
        <f>VLOOKUP(D125,Base_Mensuelle!$FL$67:$FY$679,4,0)</f>
        <v>125.66</v>
      </c>
      <c r="E128" s="1146">
        <f>VLOOKUP(E125,Base_Mensuelle!$FL$67:$FY$679,4,0)</f>
        <v>132.72999999999999</v>
      </c>
      <c r="F128" s="1146">
        <f>VLOOKUP(F125,Base_Mensuelle!$FL$67:$FY$679,4,0)</f>
        <v>132.41999999999999</v>
      </c>
      <c r="G128" s="1146">
        <f>VLOOKUP(G125,Base_Mensuelle!$FL$67:$FY$679,4,0)</f>
        <v>131.36000000000001</v>
      </c>
      <c r="H128" s="1146">
        <f>VLOOKUP(H125,Base_Mensuelle!$FL$67:$FY$679,4,0)</f>
        <v>141.97999999999999</v>
      </c>
      <c r="I128" s="1146">
        <f>VLOOKUP(I125,Base_Mensuelle!$FL$67:$FY$679,4,0)</f>
        <v>143.36000000000001</v>
      </c>
      <c r="J128" s="1146">
        <f>VLOOKUP(J125,Base_Mensuelle!$FL$67:$FY$679,4,0)</f>
        <v>140.94999999999999</v>
      </c>
      <c r="K128" s="1146">
        <f>VLOOKUP(K125,Base_Mensuelle!$FL$67:$FY$679,4,0)</f>
        <v>140.41</v>
      </c>
      <c r="L128" s="1146">
        <f>VLOOKUP(L125,Base_Mensuelle!$FL$67:$FY$679,4,0)</f>
        <v>148.21</v>
      </c>
      <c r="M128" s="1460">
        <f>VLOOKUP(M125,Base_Mensuelle!$FL$67:$FY$679,4,0)</f>
        <v>139.80000000000001</v>
      </c>
    </row>
    <row r="129" spans="1:13">
      <c r="A129" s="1288" t="s">
        <v>816</v>
      </c>
      <c r="B129" s="1145">
        <f>VLOOKUP(B125,Base_Mensuelle!$FL$67:$FY$679,5,0)</f>
        <v>101.31</v>
      </c>
      <c r="C129" s="1145">
        <f>VLOOKUP(C125,Base_Mensuelle!$FL$67:$FY$679,5,0)</f>
        <v>101.31</v>
      </c>
      <c r="D129" s="1145">
        <f>VLOOKUP(D125,Base_Mensuelle!$FL$67:$FY$679,5,0)</f>
        <v>101.31</v>
      </c>
      <c r="E129" s="399">
        <f>VLOOKUP(E125,Base_Mensuelle!$FL$67:$FY$679,5,0)</f>
        <v>101.31</v>
      </c>
      <c r="F129" s="399">
        <f>VLOOKUP(F125,Base_Mensuelle!$FL$67:$FY$679,5,0)</f>
        <v>101.31</v>
      </c>
      <c r="G129" s="399">
        <f>VLOOKUP(G125,Base_Mensuelle!$FL$67:$FY$679,5,0)</f>
        <v>101.31</v>
      </c>
      <c r="H129" s="399">
        <f>VLOOKUP(H125,Base_Mensuelle!$FL$67:$FY$679,5,0)</f>
        <v>101.31</v>
      </c>
      <c r="I129" s="399">
        <f>VLOOKUP(I125,Base_Mensuelle!$FL$67:$FY$679,5,0)</f>
        <v>101.32</v>
      </c>
      <c r="J129" s="399">
        <f>VLOOKUP(J125,Base_Mensuelle!$FL$67:$FY$679,5,0)</f>
        <v>101.34</v>
      </c>
      <c r="K129" s="399">
        <f>VLOOKUP(K125,Base_Mensuelle!$FL$67:$FY$679,5,0)</f>
        <v>101.56</v>
      </c>
      <c r="L129" s="399">
        <f>VLOOKUP(L125,Base_Mensuelle!$FL$67:$FY$679,5,0)</f>
        <v>101.56</v>
      </c>
      <c r="M129" s="1459">
        <f>VLOOKUP(M125,Base_Mensuelle!$FL$67:$FY$679,5,0)</f>
        <v>101.56</v>
      </c>
    </row>
    <row r="130" spans="1:13" ht="24.6">
      <c r="A130" s="1289" t="s">
        <v>815</v>
      </c>
      <c r="B130" s="1147">
        <f>VLOOKUP(B125,Base_Mensuelle!$FL$67:$FY$679,6,0)</f>
        <v>97.9</v>
      </c>
      <c r="C130" s="1147">
        <f>VLOOKUP(C125,Base_Mensuelle!$FL$67:$FY$679,6,0)</f>
        <v>98.96</v>
      </c>
      <c r="D130" s="1147">
        <f>VLOOKUP(D125,Base_Mensuelle!$FL$67:$FY$679,6,0)</f>
        <v>99.86</v>
      </c>
      <c r="E130" s="1146">
        <f>VLOOKUP(E125,Base_Mensuelle!$FL$67:$FY$679,6,0)</f>
        <v>99.67</v>
      </c>
      <c r="F130" s="1146">
        <f>VLOOKUP(F125,Base_Mensuelle!$FL$67:$FY$679,6,0)</f>
        <v>99.93</v>
      </c>
      <c r="G130" s="1146">
        <f>VLOOKUP(G125,Base_Mensuelle!$FL$67:$FY$679,6,0)</f>
        <v>99.89</v>
      </c>
      <c r="H130" s="1146">
        <f>VLOOKUP(H125,Base_Mensuelle!$FL$67:$FY$679,6,0)</f>
        <v>97.76</v>
      </c>
      <c r="I130" s="1146">
        <f>VLOOKUP(I125,Base_Mensuelle!$FL$67:$FY$679,6,0)</f>
        <v>97.83</v>
      </c>
      <c r="J130" s="1146">
        <f>VLOOKUP(J125,Base_Mensuelle!$FL$67:$FY$679,6,0)</f>
        <v>99.4</v>
      </c>
      <c r="K130" s="1146">
        <f>VLOOKUP(K125,Base_Mensuelle!$FL$67:$FY$679,6,0)</f>
        <v>99.47</v>
      </c>
      <c r="L130" s="1146">
        <f>VLOOKUP(L125,Base_Mensuelle!$FL$67:$FY$679,6,0)</f>
        <v>100.51</v>
      </c>
      <c r="M130" s="1460">
        <f>VLOOKUP(M125,Base_Mensuelle!$FL$67:$FY$679,6,0)</f>
        <v>101.41</v>
      </c>
    </row>
    <row r="131" spans="1:13">
      <c r="A131" s="1286" t="s">
        <v>814</v>
      </c>
      <c r="B131" s="1145">
        <f>VLOOKUP(B125,Base_Mensuelle!$FL$67:$FY$679,7,0)</f>
        <v>101.29</v>
      </c>
      <c r="C131" s="1145">
        <f>VLOOKUP(C125,Base_Mensuelle!$FL$67:$FY$679,7,0)</f>
        <v>101.29</v>
      </c>
      <c r="D131" s="1145">
        <f>VLOOKUP(D125,Base_Mensuelle!$FL$67:$FY$679,7,0)</f>
        <v>101.29</v>
      </c>
      <c r="E131" s="399">
        <f>VLOOKUP(E125,Base_Mensuelle!$FL$67:$FY$679,7,0)</f>
        <v>101.29</v>
      </c>
      <c r="F131" s="399">
        <f>VLOOKUP(F125,Base_Mensuelle!$FL$67:$FY$679,7,0)</f>
        <v>101.29</v>
      </c>
      <c r="G131" s="399">
        <f>VLOOKUP(G125,Base_Mensuelle!$FL$67:$FY$679,7,0)</f>
        <v>101.29</v>
      </c>
      <c r="H131" s="399">
        <f>VLOOKUP(H125,Base_Mensuelle!$FL$67:$FY$679,7,0)</f>
        <v>101.3</v>
      </c>
      <c r="I131" s="399">
        <f>VLOOKUP(I125,Base_Mensuelle!$FL$67:$FY$679,7,0)</f>
        <v>101.3</v>
      </c>
      <c r="J131" s="399">
        <f>VLOOKUP(J125,Base_Mensuelle!$FL$67:$FY$679,7,0)</f>
        <v>101.3</v>
      </c>
      <c r="K131" s="399">
        <f>VLOOKUP(K125,Base_Mensuelle!$FL$67:$FY$679,7,0)</f>
        <v>101.03</v>
      </c>
      <c r="L131" s="399">
        <f>VLOOKUP(L125,Base_Mensuelle!$FL$67:$FY$679,7,0)</f>
        <v>101.03</v>
      </c>
      <c r="M131" s="1459">
        <f>VLOOKUP(M125,Base_Mensuelle!$FL$67:$FY$679,7,0)</f>
        <v>101.03</v>
      </c>
    </row>
    <row r="132" spans="1:13">
      <c r="A132" s="1290" t="s">
        <v>813</v>
      </c>
      <c r="B132" s="1147">
        <f>VLOOKUP(B125,Base_Mensuelle!$FL$67:$FY$679,8,0)</f>
        <v>100.51</v>
      </c>
      <c r="C132" s="1147">
        <f>VLOOKUP(C125,Base_Mensuelle!$FL$67:$FY$679,8,0)</f>
        <v>100.51</v>
      </c>
      <c r="D132" s="1147">
        <f>VLOOKUP(D125,Base_Mensuelle!$FL$67:$FY$679,8,0)</f>
        <v>100.51</v>
      </c>
      <c r="E132" s="1146">
        <f>VLOOKUP(E125,Base_Mensuelle!$FL$67:$FY$679,8,0)</f>
        <v>100.51</v>
      </c>
      <c r="F132" s="1146">
        <f>VLOOKUP(F125,Base_Mensuelle!$FL$67:$FY$679,8,0)</f>
        <v>100.51</v>
      </c>
      <c r="G132" s="1146">
        <f>VLOOKUP(G125,Base_Mensuelle!$FL$67:$FY$679,8,0)</f>
        <v>100.56</v>
      </c>
      <c r="H132" s="1146">
        <f>VLOOKUP(H125,Base_Mensuelle!$FL$67:$FY$679,8,0)</f>
        <v>100.56</v>
      </c>
      <c r="I132" s="1146">
        <f>VLOOKUP(I125,Base_Mensuelle!$FL$67:$FY$679,8,0)</f>
        <v>100.56</v>
      </c>
      <c r="J132" s="1146">
        <f>VLOOKUP(J125,Base_Mensuelle!$FL$67:$FY$679,8,0)</f>
        <v>100.56</v>
      </c>
      <c r="K132" s="1146">
        <f>VLOOKUP(K125,Base_Mensuelle!$FL$67:$FY$679,8,0)</f>
        <v>100.6</v>
      </c>
      <c r="L132" s="1146">
        <f>VLOOKUP(L125,Base_Mensuelle!$FL$67:$FY$679,8,0)</f>
        <v>100.6</v>
      </c>
      <c r="M132" s="1460">
        <f>VLOOKUP(M125,Base_Mensuelle!$FL$67:$FY$679,8,0)</f>
        <v>100.6</v>
      </c>
    </row>
    <row r="133" spans="1:13">
      <c r="A133" s="1286" t="s">
        <v>812</v>
      </c>
      <c r="B133" s="1145">
        <f>VLOOKUP(B125,Base_Mensuelle!$FL$67:$FY$679,9,0)</f>
        <v>98.2</v>
      </c>
      <c r="C133" s="1145">
        <f>VLOOKUP(C125,Base_Mensuelle!$FL$67:$FY$679,9,0)</f>
        <v>98.2</v>
      </c>
      <c r="D133" s="1145">
        <f>VLOOKUP(D125,Base_Mensuelle!$FL$67:$FY$679,9,0)</f>
        <v>98.31</v>
      </c>
      <c r="E133" s="399">
        <f>VLOOKUP(E125,Base_Mensuelle!$FL$67:$FY$679,9,0)</f>
        <v>98.46</v>
      </c>
      <c r="F133" s="399">
        <f>VLOOKUP(F125,Base_Mensuelle!$FL$67:$FY$679,9,0)</f>
        <v>98.46</v>
      </c>
      <c r="G133" s="399">
        <f>VLOOKUP(G125,Base_Mensuelle!$FL$67:$FY$679,9,0)</f>
        <v>98.47</v>
      </c>
      <c r="H133" s="399">
        <f>VLOOKUP(H125,Base_Mensuelle!$FL$67:$FY$679,9,0)</f>
        <v>98.47</v>
      </c>
      <c r="I133" s="399">
        <f>VLOOKUP(I125,Base_Mensuelle!$FL$67:$FY$679,9,0)</f>
        <v>98.47</v>
      </c>
      <c r="J133" s="399">
        <f>VLOOKUP(J125,Base_Mensuelle!$FL$67:$FY$679,9,0)</f>
        <v>98.47</v>
      </c>
      <c r="K133" s="399">
        <f>VLOOKUP(K125,Base_Mensuelle!$FL$67:$FY$679,9,0)</f>
        <v>99.14</v>
      </c>
      <c r="L133" s="399">
        <f>VLOOKUP(L125,Base_Mensuelle!$FL$67:$FY$679,9,0)</f>
        <v>99.16</v>
      </c>
      <c r="M133" s="1459">
        <f>VLOOKUP(M125,Base_Mensuelle!$FL$67:$FY$679,9,0)</f>
        <v>99.15</v>
      </c>
    </row>
    <row r="134" spans="1:13">
      <c r="A134" s="1290" t="s">
        <v>811</v>
      </c>
      <c r="B134" s="1147">
        <f>VLOOKUP(B125,Base_Mensuelle!$FL$67:$FY$679,10,0)</f>
        <v>98.78</v>
      </c>
      <c r="C134" s="1147">
        <f>VLOOKUP(C125,Base_Mensuelle!$FL$67:$FY$679,10,0)</f>
        <v>98.78</v>
      </c>
      <c r="D134" s="1147">
        <f>VLOOKUP(D125,Base_Mensuelle!$FL$67:$FY$679,10,0)</f>
        <v>98.78</v>
      </c>
      <c r="E134" s="1146">
        <f>VLOOKUP(E125,Base_Mensuelle!$FL$67:$FY$679,10,0)</f>
        <v>98.78</v>
      </c>
      <c r="F134" s="1146">
        <f>VLOOKUP(F125,Base_Mensuelle!$FL$67:$FY$679,10,0)</f>
        <v>98.78</v>
      </c>
      <c r="G134" s="1146">
        <f>VLOOKUP(G125,Base_Mensuelle!$FL$67:$FY$679,10,0)</f>
        <v>98.78</v>
      </c>
      <c r="H134" s="1146">
        <f>VLOOKUP(H125,Base_Mensuelle!$FL$67:$FY$679,10,0)</f>
        <v>98.78</v>
      </c>
      <c r="I134" s="1146">
        <f>VLOOKUP(I125,Base_Mensuelle!$FL$67:$FY$679,10,0)</f>
        <v>98.74</v>
      </c>
      <c r="J134" s="1146">
        <f>VLOOKUP(J125,Base_Mensuelle!$FL$67:$FY$679,10,0)</f>
        <v>98.74</v>
      </c>
      <c r="K134" s="1146">
        <f>VLOOKUP(K125,Base_Mensuelle!$FL$67:$FY$679,10,0)</f>
        <v>98.74</v>
      </c>
      <c r="L134" s="1146">
        <f>VLOOKUP(L125,Base_Mensuelle!$FL$67:$FY$679,10,0)</f>
        <v>98.74</v>
      </c>
      <c r="M134" s="1460">
        <f>VLOOKUP(M125,Base_Mensuelle!$FL$67:$FY$679,10,0)</f>
        <v>98.74</v>
      </c>
    </row>
    <row r="135" spans="1:13">
      <c r="A135" s="1286" t="s">
        <v>810</v>
      </c>
      <c r="B135" s="1145">
        <f>VLOOKUP(B125,Base_Mensuelle!$FL$67:$FY$679,11,0)</f>
        <v>101.15</v>
      </c>
      <c r="C135" s="1145">
        <f>VLOOKUP(C125,Base_Mensuelle!$FL$67:$FY$679,11,0)</f>
        <v>101.15</v>
      </c>
      <c r="D135" s="1145">
        <f>VLOOKUP(D125,Base_Mensuelle!$FL$67:$FY$679,11,0)</f>
        <v>101.15</v>
      </c>
      <c r="E135" s="399">
        <f>VLOOKUP(E125,Base_Mensuelle!$FL$67:$FY$679,11,0)</f>
        <v>101.15</v>
      </c>
      <c r="F135" s="399">
        <f>VLOOKUP(F125,Base_Mensuelle!$FL$67:$FY$679,11,0)</f>
        <v>101.15</v>
      </c>
      <c r="G135" s="399">
        <f>VLOOKUP(G125,Base_Mensuelle!$FL$67:$FY$679,11,0)</f>
        <v>101.15</v>
      </c>
      <c r="H135" s="399">
        <f>VLOOKUP(H125,Base_Mensuelle!$FL$67:$FY$679,11,0)</f>
        <v>101.15</v>
      </c>
      <c r="I135" s="399">
        <f>VLOOKUP(I125,Base_Mensuelle!$FL$67:$FY$679,11,0)</f>
        <v>101.15</v>
      </c>
      <c r="J135" s="399">
        <f>VLOOKUP(J125,Base_Mensuelle!$FL$67:$FY$679,11,0)</f>
        <v>101.21</v>
      </c>
      <c r="K135" s="399">
        <f>VLOOKUP(K125,Base_Mensuelle!$FL$67:$FY$679,11,0)</f>
        <v>101.11</v>
      </c>
      <c r="L135" s="399">
        <f>VLOOKUP(L125,Base_Mensuelle!$FL$67:$FY$679,11,0)</f>
        <v>101.12</v>
      </c>
      <c r="M135" s="1459">
        <f>VLOOKUP(M125,Base_Mensuelle!$FL$67:$FY$679,11,0)</f>
        <v>101.12</v>
      </c>
    </row>
    <row r="136" spans="1:13">
      <c r="A136" s="1290" t="s">
        <v>809</v>
      </c>
      <c r="B136" s="1147">
        <f>VLOOKUP(B125,Base_Mensuelle!$FL$67:$FY$679,12,0)</f>
        <v>107.83</v>
      </c>
      <c r="C136" s="1147">
        <f>VLOOKUP(C125,Base_Mensuelle!$FL$67:$FY$679,12,0)</f>
        <v>107.83</v>
      </c>
      <c r="D136" s="1147">
        <f>VLOOKUP(D125,Base_Mensuelle!$FL$67:$FY$679,12,0)</f>
        <v>107.83</v>
      </c>
      <c r="E136" s="1146">
        <f>VLOOKUP(E125,Base_Mensuelle!$FL$67:$FY$679,12,0)</f>
        <v>107.83</v>
      </c>
      <c r="F136" s="1146">
        <f>VLOOKUP(F125,Base_Mensuelle!$FL$67:$FY$679,12,0)</f>
        <v>107.83</v>
      </c>
      <c r="G136" s="1146">
        <f>VLOOKUP(G125,Base_Mensuelle!$FL$67:$FY$679,12,0)</f>
        <v>107.83</v>
      </c>
      <c r="H136" s="1146">
        <f>VLOOKUP(H125,Base_Mensuelle!$FL$67:$FY$679,12,0)</f>
        <v>107.83</v>
      </c>
      <c r="I136" s="1146">
        <f>VLOOKUP(I125,Base_Mensuelle!$FL$67:$FY$679,12,0)</f>
        <v>107.83</v>
      </c>
      <c r="J136" s="1146">
        <f>VLOOKUP(J125,Base_Mensuelle!$FL$67:$FY$679,12,0)</f>
        <v>110.39</v>
      </c>
      <c r="K136" s="1146">
        <f>VLOOKUP(K125,Base_Mensuelle!$FL$67:$FY$679,12,0)</f>
        <v>112.07</v>
      </c>
      <c r="L136" s="1146">
        <f>VLOOKUP(L125,Base_Mensuelle!$FL$67:$FY$679,12,0)</f>
        <v>112.14</v>
      </c>
      <c r="M136" s="1460">
        <f>VLOOKUP(M125,Base_Mensuelle!$FL$67:$FY$679,12,0)</f>
        <v>112.14</v>
      </c>
    </row>
    <row r="137" spans="1:13">
      <c r="A137" s="1286" t="s">
        <v>808</v>
      </c>
      <c r="B137" s="1145">
        <f>VLOOKUP(B125,Base_Mensuelle!$FL$67:$FY$679,13,0)</f>
        <v>105.5</v>
      </c>
      <c r="C137" s="1145">
        <f>VLOOKUP(C125,Base_Mensuelle!$FL$67:$FY$679,13,0)</f>
        <v>105.61</v>
      </c>
      <c r="D137" s="1145">
        <f>VLOOKUP(D125,Base_Mensuelle!$FL$67:$FY$679,13,0)</f>
        <v>105.38</v>
      </c>
      <c r="E137" s="399">
        <f>VLOOKUP(E125,Base_Mensuelle!$FL$67:$FY$679,13,0)</f>
        <v>105.42</v>
      </c>
      <c r="F137" s="399">
        <f>VLOOKUP(F125,Base_Mensuelle!$FL$67:$FY$679,13,0)</f>
        <v>105.63</v>
      </c>
      <c r="G137" s="399">
        <f>VLOOKUP(G125,Base_Mensuelle!$FL$67:$FY$679,13,0)</f>
        <v>105.7</v>
      </c>
      <c r="H137" s="399">
        <f>VLOOKUP(H125,Base_Mensuelle!$FL$67:$FY$679,13,0)</f>
        <v>105.87</v>
      </c>
      <c r="I137" s="399">
        <f>VLOOKUP(I125,Base_Mensuelle!$FL$67:$FY$679,13,0)</f>
        <v>106.16</v>
      </c>
      <c r="J137" s="399">
        <f>VLOOKUP(J125,Base_Mensuelle!$FL$67:$FY$679,13,0)</f>
        <v>105.95</v>
      </c>
      <c r="K137" s="399">
        <f>VLOOKUP(K125,Base_Mensuelle!$FL$67:$FY$679,13,0)</f>
        <v>107.01</v>
      </c>
      <c r="L137" s="399">
        <f>VLOOKUP(L125,Base_Mensuelle!$FL$67:$FY$679,13,0)</f>
        <v>107.03</v>
      </c>
      <c r="M137" s="1459">
        <f>VLOOKUP(M125,Base_Mensuelle!$FL$67:$FY$679,13,0)</f>
        <v>107.4</v>
      </c>
    </row>
    <row r="138" spans="1:13">
      <c r="A138" s="1291" t="s">
        <v>807</v>
      </c>
      <c r="B138" s="454">
        <f>VLOOKUP(B125,Base_Mensuelle!$FL$67:$FY$679,14,0)</f>
        <v>100.86</v>
      </c>
      <c r="C138" s="454">
        <f>VLOOKUP(C125,Base_Mensuelle!$FL$67:$FY$679,14,0)</f>
        <v>100.86</v>
      </c>
      <c r="D138" s="454">
        <f>VLOOKUP(D125,Base_Mensuelle!$FL$67:$FY$679,14,0)</f>
        <v>100.86</v>
      </c>
      <c r="E138" s="1144">
        <f>VLOOKUP(E125,Base_Mensuelle!$FL$67:$FY$679,14,0)</f>
        <v>100.86</v>
      </c>
      <c r="F138" s="1144">
        <f>VLOOKUP(F125,Base_Mensuelle!$FL$67:$FY$679,14,0)</f>
        <v>100.86</v>
      </c>
      <c r="G138" s="1144">
        <f>VLOOKUP(G125,Base_Mensuelle!$FL$67:$FY$679,14,0)</f>
        <v>100.86</v>
      </c>
      <c r="H138" s="1144">
        <f>VLOOKUP(H125,Base_Mensuelle!$FL$67:$FY$679,14,0)</f>
        <v>100.86</v>
      </c>
      <c r="I138" s="1144">
        <f>VLOOKUP(I125,Base_Mensuelle!$FL$67:$FY$679,14,0)</f>
        <v>100.86</v>
      </c>
      <c r="J138" s="1144">
        <f>VLOOKUP(J125,Base_Mensuelle!$FL$67:$FY$679,14,0)</f>
        <v>101.04</v>
      </c>
      <c r="K138" s="1144">
        <f>VLOOKUP(K125,Base_Mensuelle!$FL$67:$FY$679,14,0)</f>
        <v>101.31</v>
      </c>
      <c r="L138" s="1144">
        <f>VLOOKUP(L125,Base_Mensuelle!$FL$67:$FY$679,14,0)</f>
        <v>101.31</v>
      </c>
      <c r="M138" s="1461">
        <f>VLOOKUP(M125,Base_Mensuelle!$FL$67:$FY$679,14,0)</f>
        <v>101.31</v>
      </c>
    </row>
    <row r="139" spans="1:13">
      <c r="A139" s="437"/>
      <c r="B139" s="399"/>
      <c r="C139" s="399"/>
      <c r="D139" s="399"/>
      <c r="E139" s="399"/>
      <c r="F139" s="399"/>
      <c r="G139" s="399"/>
      <c r="H139" s="399"/>
      <c r="I139" s="399"/>
      <c r="J139" s="399"/>
      <c r="K139" s="399"/>
      <c r="L139" s="399"/>
      <c r="M139" s="399"/>
    </row>
    <row r="140" spans="1:13">
      <c r="A140" s="437"/>
      <c r="B140" s="399"/>
      <c r="C140" s="399"/>
      <c r="D140" s="399"/>
      <c r="E140" s="399"/>
      <c r="F140" s="399"/>
      <c r="G140" s="399"/>
      <c r="H140" s="399"/>
      <c r="I140" s="399"/>
      <c r="J140" s="399"/>
      <c r="K140" s="399"/>
      <c r="L140" s="399"/>
      <c r="M140" s="399"/>
    </row>
    <row r="141" spans="1:13">
      <c r="A141" s="1457"/>
      <c r="B141" s="1522">
        <f>DATE(YEAR(INDEX(Base_Mensuelle!$FL$68:$FZ$679,MAX(Base_Mensuelle!$FZ$68:$FZ$679),1))-1,1,1)</f>
        <v>44562</v>
      </c>
      <c r="C141" s="1519">
        <f>DATE(YEAR(INDEX(Base_Mensuelle!$FL$68:$FZ$679,MAX(Base_Mensuelle!$FZ$68:$FZ$679),1))-1,2,1)</f>
        <v>44593</v>
      </c>
      <c r="D141" s="1519">
        <f>DATE(YEAR(INDEX(Base_Mensuelle!$FL$68:$FZ$679,MAX(Base_Mensuelle!$FZ$68:$FZ$679),1))-1,3,1)</f>
        <v>44621</v>
      </c>
      <c r="E141" s="1519">
        <f>DATE(YEAR(INDEX(Base_Mensuelle!$FL$68:$FZ$679,MAX(Base_Mensuelle!$FZ$68:$FZ$679),1))-1,4,1)</f>
        <v>44652</v>
      </c>
      <c r="F141" s="1519">
        <f>DATE(YEAR(INDEX(Base_Mensuelle!$FL$68:$FZ$679,MAX(Base_Mensuelle!$FZ$68:$FZ$679),1))-1,5,1)</f>
        <v>44682</v>
      </c>
      <c r="G141" s="1519">
        <f>DATE(YEAR(INDEX(Base_Mensuelle!$FL$68:$FZ$679,MAX(Base_Mensuelle!$FZ$68:$FZ$679),1))-1,6,1)</f>
        <v>44713</v>
      </c>
      <c r="H141" s="1519">
        <f>DATE(YEAR(INDEX(Base_Mensuelle!$FL$68:$FZ$679,MAX(Base_Mensuelle!$FZ$68:$FZ$679),1))-1,7,1)</f>
        <v>44743</v>
      </c>
      <c r="I141" s="1519">
        <f>DATE(YEAR(INDEX(Base_Mensuelle!$FL$68:$FZ$679,MAX(Base_Mensuelle!$FZ$68:$FZ$679),1))-1,8,1)</f>
        <v>44774</v>
      </c>
      <c r="J141" s="1519">
        <f>DATE(YEAR(INDEX(Base_Mensuelle!$FL$68:$FZ$679,MAX(Base_Mensuelle!$FZ$68:$FZ$679),1))-1,9,1)</f>
        <v>44805</v>
      </c>
      <c r="K141" s="1519">
        <f>DATE(YEAR(INDEX(Base_Mensuelle!$FL$68:$FZ$679,MAX(Base_Mensuelle!$FZ$68:$FZ$679),1))-1,10,1)</f>
        <v>44835</v>
      </c>
      <c r="L141" s="1519">
        <f>DATE(YEAR(INDEX(Base_Mensuelle!$FL$68:$FZ$679,MAX(Base_Mensuelle!$FZ$68:$FZ$679),1))-1,11,1)</f>
        <v>44866</v>
      </c>
      <c r="M141" s="1519">
        <f>DATE(YEAR(INDEX(Base_Mensuelle!$FL$68:$FZ$679,MAX(Base_Mensuelle!$FZ$68:$FZ$679),1))-1,12,1)</f>
        <v>44896</v>
      </c>
    </row>
    <row r="142" spans="1:13">
      <c r="A142" s="1292" t="s">
        <v>222</v>
      </c>
      <c r="B142" s="406">
        <f>VLOOKUP(B141,Base_Mensuelle!$FL$67:$FY$679,2,0)</f>
        <v>111.81</v>
      </c>
      <c r="C142" s="406">
        <f>VLOOKUP(C141,Base_Mensuelle!$FL$67:$FY$679,2,0)</f>
        <v>114.39</v>
      </c>
      <c r="D142" s="406">
        <f>VLOOKUP(D141,Base_Mensuelle!$FL$67:$FY$679,2,0)</f>
        <v>118.64</v>
      </c>
      <c r="E142" s="408">
        <f>VLOOKUP(E141,Base_Mensuelle!$FL$67:$FY$679,2,0)</f>
        <v>122.22</v>
      </c>
      <c r="F142" s="408">
        <f>VLOOKUP(F141,Base_Mensuelle!$FL$67:$FY$679,2,0)</f>
        <v>124.51</v>
      </c>
      <c r="G142" s="408">
        <f>VLOOKUP(G141,Base_Mensuelle!$FL$67:$FY$679,2,0)</f>
        <v>126.95</v>
      </c>
      <c r="H142" s="408">
        <f>VLOOKUP(H141,Base_Mensuelle!$FL$67:$FY$679,2,0)</f>
        <v>128.13</v>
      </c>
      <c r="I142" s="408">
        <f>VLOOKUP(I141,Base_Mensuelle!$FL$67:$FY$679,2,0)</f>
        <v>128.53</v>
      </c>
      <c r="J142" s="408">
        <f>VLOOKUP(J141,Base_Mensuelle!$FL$67:$FY$679,2,0)</f>
        <v>128.91</v>
      </c>
      <c r="K142" s="408">
        <f>VLOOKUP(K141,Base_Mensuelle!$FL$67:$FY$679,2,0)</f>
        <v>127.54</v>
      </c>
      <c r="L142" s="408">
        <f>VLOOKUP(L141,Base_Mensuelle!$FL$67:$FY$679,2,0)</f>
        <v>125.75</v>
      </c>
      <c r="M142" s="1458">
        <f>VLOOKUP(M141,Base_Mensuelle!$FL$67:$FY$679,2,0)</f>
        <v>123.24</v>
      </c>
    </row>
    <row r="143" spans="1:13" ht="24.6">
      <c r="A143" s="1286" t="s">
        <v>818</v>
      </c>
      <c r="B143" s="1145">
        <f>VLOOKUP(B141,Base_Mensuelle!$FL$67:$FY$679,3,0)</f>
        <v>120.89</v>
      </c>
      <c r="C143" s="1145">
        <f>VLOOKUP(C141,Base_Mensuelle!$FL$67:$FY$679,3,0)</f>
        <v>124.88</v>
      </c>
      <c r="D143" s="1145">
        <f>VLOOKUP(D141,Base_Mensuelle!$FL$67:$FY$679,3,0)</f>
        <v>133.18</v>
      </c>
      <c r="E143" s="399">
        <f>VLOOKUP(E141,Base_Mensuelle!$FL$67:$FY$679,3,0)</f>
        <v>138.16</v>
      </c>
      <c r="F143" s="399">
        <f>VLOOKUP(F141,Base_Mensuelle!$FL$67:$FY$679,3,0)</f>
        <v>142.22</v>
      </c>
      <c r="G143" s="399">
        <f>VLOOKUP(G141,Base_Mensuelle!$FL$67:$FY$679,3,0)</f>
        <v>146.41999999999999</v>
      </c>
      <c r="H143" s="399">
        <f>VLOOKUP(H141,Base_Mensuelle!$FL$67:$FY$679,3,0)</f>
        <v>148.96</v>
      </c>
      <c r="I143" s="399">
        <f>VLOOKUP(I141,Base_Mensuelle!$FL$67:$FY$679,3,0)</f>
        <v>148.96</v>
      </c>
      <c r="J143" s="399">
        <f>VLOOKUP(J141,Base_Mensuelle!$FL$67:$FY$679,3,0)</f>
        <v>149.37</v>
      </c>
      <c r="K143" s="399">
        <f>VLOOKUP(K141,Base_Mensuelle!$FL$67:$FY$679,3,0)</f>
        <v>146.62</v>
      </c>
      <c r="L143" s="399">
        <f>VLOOKUP(L141,Base_Mensuelle!$FL$67:$FY$679,3,0)</f>
        <v>143.59</v>
      </c>
      <c r="M143" s="1459">
        <f>VLOOKUP(M141,Base_Mensuelle!$FL$67:$FY$679,3,0)</f>
        <v>138.97999999999999</v>
      </c>
    </row>
    <row r="144" spans="1:13" ht="24.6">
      <c r="A144" s="1289" t="s">
        <v>817</v>
      </c>
      <c r="B144" s="1147">
        <f>VLOOKUP(B141,Base_Mensuelle!$FL$67:$FY$679,4,0)</f>
        <v>137.07</v>
      </c>
      <c r="C144" s="1147">
        <f>VLOOKUP(C141,Base_Mensuelle!$FL$67:$FY$679,4,0)</f>
        <v>138.9</v>
      </c>
      <c r="D144" s="1147">
        <f>VLOOKUP(D141,Base_Mensuelle!$FL$67:$FY$679,4,0)</f>
        <v>135.80000000000001</v>
      </c>
      <c r="E144" s="1146">
        <f>VLOOKUP(E141,Base_Mensuelle!$FL$67:$FY$679,4,0)</f>
        <v>163.76</v>
      </c>
      <c r="F144" s="1146">
        <f>VLOOKUP(F141,Base_Mensuelle!$FL$67:$FY$679,4,0)</f>
        <v>158.28</v>
      </c>
      <c r="G144" s="1146">
        <f>VLOOKUP(G141,Base_Mensuelle!$FL$67:$FY$679,4,0)</f>
        <v>157.66</v>
      </c>
      <c r="H144" s="1146">
        <f>VLOOKUP(H141,Base_Mensuelle!$FL$67:$FY$679,4,0)</f>
        <v>152.11000000000001</v>
      </c>
      <c r="I144" s="1146">
        <f>VLOOKUP(I141,Base_Mensuelle!$FL$67:$FY$679,4,0)</f>
        <v>152.79</v>
      </c>
      <c r="J144" s="1146">
        <f>VLOOKUP(J141,Base_Mensuelle!$FL$67:$FY$679,4,0)</f>
        <v>156.69999999999999</v>
      </c>
      <c r="K144" s="1146">
        <f>VLOOKUP(K141,Base_Mensuelle!$FL$67:$FY$679,4,0)</f>
        <v>154.24</v>
      </c>
      <c r="L144" s="1146">
        <f>VLOOKUP(L141,Base_Mensuelle!$FL$67:$FY$679,4,0)</f>
        <v>147.91999999999999</v>
      </c>
      <c r="M144" s="1460">
        <f>VLOOKUP(M141,Base_Mensuelle!$FL$67:$FY$679,4,0)</f>
        <v>148.84</v>
      </c>
    </row>
    <row r="145" spans="1:17">
      <c r="A145" s="1288" t="s">
        <v>816</v>
      </c>
      <c r="B145" s="1145">
        <f>VLOOKUP(B141,Base_Mensuelle!$FL$67:$FY$679,5,0)</f>
        <v>101.56</v>
      </c>
      <c r="C145" s="1145">
        <f>VLOOKUP(C141,Base_Mensuelle!$FL$67:$FY$679,5,0)</f>
        <v>101.57</v>
      </c>
      <c r="D145" s="1145">
        <f>VLOOKUP(D141,Base_Mensuelle!$FL$67:$FY$679,5,0)</f>
        <v>101.57</v>
      </c>
      <c r="E145" s="399">
        <f>VLOOKUP(E141,Base_Mensuelle!$FL$67:$FY$679,5,0)</f>
        <v>101.58</v>
      </c>
      <c r="F145" s="399">
        <f>VLOOKUP(F141,Base_Mensuelle!$FL$67:$FY$679,5,0)</f>
        <v>101.61</v>
      </c>
      <c r="G145" s="399">
        <f>VLOOKUP(G141,Base_Mensuelle!$FL$67:$FY$679,5,0)</f>
        <v>101.7</v>
      </c>
      <c r="H145" s="399">
        <f>VLOOKUP(H141,Base_Mensuelle!$FL$67:$FY$679,5,0)</f>
        <v>101.7</v>
      </c>
      <c r="I145" s="399">
        <f>VLOOKUP(I141,Base_Mensuelle!$FL$67:$FY$679,5,0)</f>
        <v>101.7</v>
      </c>
      <c r="J145" s="399">
        <f>VLOOKUP(J141,Base_Mensuelle!$FL$67:$FY$679,5,0)</f>
        <v>101.7</v>
      </c>
      <c r="K145" s="399">
        <f>VLOOKUP(K141,Base_Mensuelle!$FL$67:$FY$679,5,0)</f>
        <v>101.71</v>
      </c>
      <c r="L145" s="399">
        <f>VLOOKUP(L141,Base_Mensuelle!$FL$67:$FY$679,5,0)</f>
        <v>101.71</v>
      </c>
      <c r="M145" s="1459">
        <f>VLOOKUP(M141,Base_Mensuelle!$FL$67:$FY$679,5,0)</f>
        <v>101.71</v>
      </c>
    </row>
    <row r="146" spans="1:17" ht="24.6">
      <c r="A146" s="1289" t="s">
        <v>815</v>
      </c>
      <c r="B146" s="1147">
        <f>VLOOKUP(B141,Base_Mensuelle!$FL$67:$FY$679,6,0)</f>
        <v>96.02</v>
      </c>
      <c r="C146" s="1147">
        <f>VLOOKUP(C141,Base_Mensuelle!$FL$67:$FY$679,6,0)</f>
        <v>99.27</v>
      </c>
      <c r="D146" s="1147">
        <f>VLOOKUP(D141,Base_Mensuelle!$FL$67:$FY$679,6,0)</f>
        <v>98.42</v>
      </c>
      <c r="E146" s="1146">
        <f>VLOOKUP(E141,Base_Mensuelle!$FL$67:$FY$679,6,0)</f>
        <v>101.26</v>
      </c>
      <c r="F146" s="1146">
        <f>VLOOKUP(F141,Base_Mensuelle!$FL$67:$FY$679,6,0)</f>
        <v>102.7</v>
      </c>
      <c r="G146" s="1146">
        <f>VLOOKUP(G141,Base_Mensuelle!$FL$67:$FY$679,6,0)</f>
        <v>102.73</v>
      </c>
      <c r="H146" s="1146">
        <f>VLOOKUP(H141,Base_Mensuelle!$FL$67:$FY$679,6,0)</f>
        <v>103.02</v>
      </c>
      <c r="I146" s="1146">
        <f>VLOOKUP(I141,Base_Mensuelle!$FL$67:$FY$679,6,0)</f>
        <v>107.27</v>
      </c>
      <c r="J146" s="1146">
        <f>VLOOKUP(J141,Base_Mensuelle!$FL$67:$FY$679,6,0)</f>
        <v>105.66</v>
      </c>
      <c r="K146" s="1146">
        <f>VLOOKUP(K141,Base_Mensuelle!$FL$67:$FY$679,6,0)</f>
        <v>105.4</v>
      </c>
      <c r="L146" s="1146">
        <f>VLOOKUP(L141,Base_Mensuelle!$FL$67:$FY$679,6,0)</f>
        <v>105.1</v>
      </c>
      <c r="M146" s="1460">
        <f>VLOOKUP(M141,Base_Mensuelle!$FL$67:$FY$679,6,0)</f>
        <v>105.63</v>
      </c>
    </row>
    <row r="147" spans="1:17">
      <c r="A147" s="1286" t="s">
        <v>814</v>
      </c>
      <c r="B147" s="1145">
        <f>VLOOKUP(B141,Base_Mensuelle!$FL$67:$FY$679,7,0)</f>
        <v>101.03</v>
      </c>
      <c r="C147" s="1145">
        <f>VLOOKUP(C141,Base_Mensuelle!$FL$67:$FY$679,7,0)</f>
        <v>101.6</v>
      </c>
      <c r="D147" s="1145">
        <f>VLOOKUP(D141,Base_Mensuelle!$FL$67:$FY$679,7,0)</f>
        <v>101.6</v>
      </c>
      <c r="E147" s="399">
        <f>VLOOKUP(E141,Base_Mensuelle!$FL$67:$FY$679,7,0)</f>
        <v>101.6</v>
      </c>
      <c r="F147" s="399">
        <f>VLOOKUP(F141,Base_Mensuelle!$FL$67:$FY$679,7,0)</f>
        <v>101.6</v>
      </c>
      <c r="G147" s="399">
        <f>VLOOKUP(G141,Base_Mensuelle!$FL$67:$FY$679,7,0)</f>
        <v>101.61</v>
      </c>
      <c r="H147" s="399">
        <f>VLOOKUP(H141,Base_Mensuelle!$FL$67:$FY$679,7,0)</f>
        <v>101.61</v>
      </c>
      <c r="I147" s="399">
        <f>VLOOKUP(I141,Base_Mensuelle!$FL$67:$FY$679,7,0)</f>
        <v>101.61</v>
      </c>
      <c r="J147" s="399">
        <f>VLOOKUP(J141,Base_Mensuelle!$FL$67:$FY$679,7,0)</f>
        <v>101.61</v>
      </c>
      <c r="K147" s="399">
        <f>VLOOKUP(K141,Base_Mensuelle!$FL$67:$FY$679,7,0)</f>
        <v>102.08</v>
      </c>
      <c r="L147" s="399">
        <f>VLOOKUP(L141,Base_Mensuelle!$FL$67:$FY$679,7,0)</f>
        <v>102.08</v>
      </c>
      <c r="M147" s="1459">
        <f>VLOOKUP(M141,Base_Mensuelle!$FL$67:$FY$679,7,0)</f>
        <v>102.08</v>
      </c>
    </row>
    <row r="148" spans="1:17">
      <c r="A148" s="1290" t="s">
        <v>813</v>
      </c>
      <c r="B148" s="1147">
        <f>VLOOKUP(B141,Base_Mensuelle!$FL$67:$FY$679,8,0)</f>
        <v>100.61</v>
      </c>
      <c r="C148" s="1147">
        <f>VLOOKUP(C141,Base_Mensuelle!$FL$67:$FY$679,8,0)</f>
        <v>100.61</v>
      </c>
      <c r="D148" s="1147">
        <f>VLOOKUP(D141,Base_Mensuelle!$FL$67:$FY$679,8,0)</f>
        <v>100.61</v>
      </c>
      <c r="E148" s="1146">
        <f>VLOOKUP(E141,Base_Mensuelle!$FL$67:$FY$679,8,0)</f>
        <v>100.61</v>
      </c>
      <c r="F148" s="1146">
        <f>VLOOKUP(F141,Base_Mensuelle!$FL$67:$FY$679,8,0)</f>
        <v>100.61</v>
      </c>
      <c r="G148" s="1146">
        <f>VLOOKUP(G141,Base_Mensuelle!$FL$67:$FY$679,8,0)</f>
        <v>100.61</v>
      </c>
      <c r="H148" s="1146">
        <f>VLOOKUP(H141,Base_Mensuelle!$FL$67:$FY$679,8,0)</f>
        <v>100.61</v>
      </c>
      <c r="I148" s="1146">
        <f>VLOOKUP(I141,Base_Mensuelle!$FL$67:$FY$679,8,0)</f>
        <v>100.61</v>
      </c>
      <c r="J148" s="1146">
        <f>VLOOKUP(J141,Base_Mensuelle!$FL$67:$FY$679,8,0)</f>
        <v>100.61</v>
      </c>
      <c r="K148" s="1146">
        <f>VLOOKUP(K141,Base_Mensuelle!$FL$67:$FY$679,8,0)</f>
        <v>100.66</v>
      </c>
      <c r="L148" s="1146">
        <f>VLOOKUP(L141,Base_Mensuelle!$FL$67:$FY$679,8,0)</f>
        <v>100.66</v>
      </c>
      <c r="M148" s="1460">
        <f>VLOOKUP(M141,Base_Mensuelle!$FL$67:$FY$679,8,0)</f>
        <v>100.66</v>
      </c>
    </row>
    <row r="149" spans="1:17">
      <c r="A149" s="1286" t="s">
        <v>812</v>
      </c>
      <c r="B149" s="1145">
        <f>VLOOKUP(B141,Base_Mensuelle!$FL$67:$FY$679,9,0)</f>
        <v>99.15</v>
      </c>
      <c r="C149" s="1145">
        <f>VLOOKUP(C141,Base_Mensuelle!$FL$67:$FY$679,9,0)</f>
        <v>99.19</v>
      </c>
      <c r="D149" s="1145">
        <f>VLOOKUP(D141,Base_Mensuelle!$FL$67:$FY$679,9,0)</f>
        <v>99.19</v>
      </c>
      <c r="E149" s="399">
        <f>VLOOKUP(E141,Base_Mensuelle!$FL$67:$FY$679,9,0)</f>
        <v>99.19</v>
      </c>
      <c r="F149" s="399">
        <f>VLOOKUP(F141,Base_Mensuelle!$FL$67:$FY$679,9,0)</f>
        <v>103.79</v>
      </c>
      <c r="G149" s="399">
        <f>VLOOKUP(G141,Base_Mensuelle!$FL$67:$FY$679,9,0)</f>
        <v>104.96</v>
      </c>
      <c r="H149" s="399">
        <f>VLOOKUP(H141,Base_Mensuelle!$FL$67:$FY$679,9,0)</f>
        <v>104.77</v>
      </c>
      <c r="I149" s="399">
        <f>VLOOKUP(I141,Base_Mensuelle!$FL$67:$FY$679,9,0)</f>
        <v>105.22</v>
      </c>
      <c r="J149" s="399">
        <f>VLOOKUP(J141,Base_Mensuelle!$FL$67:$FY$679,9,0)</f>
        <v>106.04</v>
      </c>
      <c r="K149" s="399">
        <f>VLOOKUP(K141,Base_Mensuelle!$FL$67:$FY$679,9,0)</f>
        <v>106.25</v>
      </c>
      <c r="L149" s="399">
        <f>VLOOKUP(L141,Base_Mensuelle!$FL$67:$FY$679,9,0)</f>
        <v>106.33</v>
      </c>
      <c r="M149" s="1459">
        <f>VLOOKUP(M141,Base_Mensuelle!$FL$67:$FY$679,9,0)</f>
        <v>106.33</v>
      </c>
    </row>
    <row r="150" spans="1:17">
      <c r="A150" s="1290" t="s">
        <v>811</v>
      </c>
      <c r="B150" s="1147">
        <f>VLOOKUP(B141,Base_Mensuelle!$FL$67:$FY$679,10,0)</f>
        <v>98.74</v>
      </c>
      <c r="C150" s="1147">
        <f>VLOOKUP(C141,Base_Mensuelle!$FL$67:$FY$679,10,0)</f>
        <v>98.74</v>
      </c>
      <c r="D150" s="1147">
        <f>VLOOKUP(D141,Base_Mensuelle!$FL$67:$FY$679,10,0)</f>
        <v>98.74</v>
      </c>
      <c r="E150" s="1146">
        <f>VLOOKUP(E141,Base_Mensuelle!$FL$67:$FY$679,10,0)</f>
        <v>98.74</v>
      </c>
      <c r="F150" s="1146">
        <f>VLOOKUP(F141,Base_Mensuelle!$FL$67:$FY$679,10,0)</f>
        <v>98.74</v>
      </c>
      <c r="G150" s="1146">
        <f>VLOOKUP(G141,Base_Mensuelle!$FL$67:$FY$679,10,0)</f>
        <v>98.74</v>
      </c>
      <c r="H150" s="1146">
        <f>VLOOKUP(H141,Base_Mensuelle!$FL$67:$FY$679,10,0)</f>
        <v>98.74</v>
      </c>
      <c r="I150" s="1146">
        <f>VLOOKUP(I141,Base_Mensuelle!$FL$67:$FY$679,10,0)</f>
        <v>98.74</v>
      </c>
      <c r="J150" s="1146">
        <f>VLOOKUP(J141,Base_Mensuelle!$FL$67:$FY$679,10,0)</f>
        <v>98.73</v>
      </c>
      <c r="K150" s="1146">
        <f>VLOOKUP(K141,Base_Mensuelle!$FL$67:$FY$679,10,0)</f>
        <v>98.74</v>
      </c>
      <c r="L150" s="1146">
        <f>VLOOKUP(L141,Base_Mensuelle!$FL$67:$FY$679,10,0)</f>
        <v>98.74</v>
      </c>
      <c r="M150" s="1460">
        <f>VLOOKUP(M141,Base_Mensuelle!$FL$67:$FY$679,10,0)</f>
        <v>98.74</v>
      </c>
    </row>
    <row r="151" spans="1:17">
      <c r="A151" s="1286" t="s">
        <v>810</v>
      </c>
      <c r="B151" s="1145">
        <f>VLOOKUP(B141,Base_Mensuelle!$FL$67:$FY$679,11,0)</f>
        <v>101.12</v>
      </c>
      <c r="C151" s="1145">
        <f>VLOOKUP(C141,Base_Mensuelle!$FL$67:$FY$679,11,0)</f>
        <v>101.14</v>
      </c>
      <c r="D151" s="1145">
        <f>VLOOKUP(D141,Base_Mensuelle!$FL$67:$FY$679,11,0)</f>
        <v>101.14</v>
      </c>
      <c r="E151" s="399">
        <f>VLOOKUP(E141,Base_Mensuelle!$FL$67:$FY$679,11,0)</f>
        <v>101.14</v>
      </c>
      <c r="F151" s="399">
        <f>VLOOKUP(F141,Base_Mensuelle!$FL$67:$FY$679,11,0)</f>
        <v>101.27</v>
      </c>
      <c r="G151" s="399">
        <f>VLOOKUP(G141,Base_Mensuelle!$FL$67:$FY$679,11,0)</f>
        <v>101.3</v>
      </c>
      <c r="H151" s="399">
        <f>VLOOKUP(H141,Base_Mensuelle!$FL$67:$FY$679,11,0)</f>
        <v>101.3</v>
      </c>
      <c r="I151" s="399">
        <f>VLOOKUP(I141,Base_Mensuelle!$FL$67:$FY$679,11,0)</f>
        <v>101.3</v>
      </c>
      <c r="J151" s="399">
        <f>VLOOKUP(J141,Base_Mensuelle!$FL$67:$FY$679,11,0)</f>
        <v>101.52</v>
      </c>
      <c r="K151" s="399">
        <f>VLOOKUP(K141,Base_Mensuelle!$FL$67:$FY$679,11,0)</f>
        <v>101.91</v>
      </c>
      <c r="L151" s="399">
        <f>VLOOKUP(L141,Base_Mensuelle!$FL$67:$FY$679,11,0)</f>
        <v>102.04</v>
      </c>
      <c r="M151" s="1459">
        <f>VLOOKUP(M141,Base_Mensuelle!$FL$67:$FY$679,11,0)</f>
        <v>102.04</v>
      </c>
    </row>
    <row r="152" spans="1:17">
      <c r="A152" s="1290" t="s">
        <v>809</v>
      </c>
      <c r="B152" s="1147">
        <f>VLOOKUP(B141,Base_Mensuelle!$FL$67:$FY$679,12,0)</f>
        <v>112.14</v>
      </c>
      <c r="C152" s="1147">
        <f>VLOOKUP(C141,Base_Mensuelle!$FL$67:$FY$679,12,0)</f>
        <v>112.14</v>
      </c>
      <c r="D152" s="1147">
        <f>VLOOKUP(D141,Base_Mensuelle!$FL$67:$FY$679,12,0)</f>
        <v>112.14</v>
      </c>
      <c r="E152" s="1146">
        <f>VLOOKUP(E141,Base_Mensuelle!$FL$67:$FY$679,12,0)</f>
        <v>112.14</v>
      </c>
      <c r="F152" s="1146">
        <f>VLOOKUP(F141,Base_Mensuelle!$FL$67:$FY$679,12,0)</f>
        <v>112.14</v>
      </c>
      <c r="G152" s="1146">
        <f>VLOOKUP(G141,Base_Mensuelle!$FL$67:$FY$679,12,0)</f>
        <v>112.14</v>
      </c>
      <c r="H152" s="1146">
        <f>VLOOKUP(H141,Base_Mensuelle!$FL$67:$FY$679,12,0)</f>
        <v>112.14</v>
      </c>
      <c r="I152" s="1146">
        <f>VLOOKUP(I141,Base_Mensuelle!$FL$67:$FY$679,12,0)</f>
        <v>112.14</v>
      </c>
      <c r="J152" s="1146">
        <f>VLOOKUP(J141,Base_Mensuelle!$FL$67:$FY$679,12,0)</f>
        <v>112.14</v>
      </c>
      <c r="K152" s="1146">
        <f>VLOOKUP(K141,Base_Mensuelle!$FL$67:$FY$679,12,0)</f>
        <v>113.79</v>
      </c>
      <c r="L152" s="1146">
        <f>VLOOKUP(L141,Base_Mensuelle!$FL$67:$FY$679,12,0)</f>
        <v>114.07</v>
      </c>
      <c r="M152" s="1460">
        <f>VLOOKUP(M141,Base_Mensuelle!$FL$67:$FY$679,12,0)</f>
        <v>114.07</v>
      </c>
    </row>
    <row r="153" spans="1:17">
      <c r="A153" s="1286" t="s">
        <v>808</v>
      </c>
      <c r="B153" s="1145">
        <f>VLOOKUP(B141,Base_Mensuelle!$FL$67:$FY$679,13,0)</f>
        <v>108.13</v>
      </c>
      <c r="C153" s="1145">
        <f>VLOOKUP(C141,Base_Mensuelle!$FL$67:$FY$679,13,0)</f>
        <v>106.97</v>
      </c>
      <c r="D153" s="1145">
        <f>VLOOKUP(D141,Base_Mensuelle!$FL$67:$FY$679,13,0)</f>
        <v>106.91</v>
      </c>
      <c r="E153" s="399">
        <f>VLOOKUP(E141,Base_Mensuelle!$FL$67:$FY$679,13,0)</f>
        <v>107.07</v>
      </c>
      <c r="F153" s="399">
        <f>VLOOKUP(F141,Base_Mensuelle!$FL$67:$FY$679,13,0)</f>
        <v>107.2</v>
      </c>
      <c r="G153" s="399">
        <f>VLOOKUP(G141,Base_Mensuelle!$FL$67:$FY$679,13,0)</f>
        <v>107.73</v>
      </c>
      <c r="H153" s="399">
        <f>VLOOKUP(H141,Base_Mensuelle!$FL$67:$FY$679,13,0)</f>
        <v>107.46</v>
      </c>
      <c r="I153" s="399">
        <f>VLOOKUP(I141,Base_Mensuelle!$FL$67:$FY$679,13,0)</f>
        <v>108.08</v>
      </c>
      <c r="J153" s="399">
        <f>VLOOKUP(J141,Base_Mensuelle!$FL$67:$FY$679,13,0)</f>
        <v>108.18</v>
      </c>
      <c r="K153" s="399">
        <f>VLOOKUP(K141,Base_Mensuelle!$FL$67:$FY$679,13,0)</f>
        <v>108.69</v>
      </c>
      <c r="L153" s="399">
        <f>VLOOKUP(L141,Base_Mensuelle!$FL$67:$FY$679,13,0)</f>
        <v>108.76</v>
      </c>
      <c r="M153" s="1459">
        <f>VLOOKUP(M141,Base_Mensuelle!$FL$67:$FY$679,13,0)</f>
        <v>109</v>
      </c>
    </row>
    <row r="154" spans="1:17">
      <c r="A154" s="1291" t="s">
        <v>807</v>
      </c>
      <c r="B154" s="454">
        <f>VLOOKUP(B141,Base_Mensuelle!$FL$67:$FY$679,14,0)</f>
        <v>101.31</v>
      </c>
      <c r="C154" s="454">
        <f>VLOOKUP(C141,Base_Mensuelle!$FL$67:$FY$679,14,0)</f>
        <v>101.37</v>
      </c>
      <c r="D154" s="454">
        <f>VLOOKUP(D141,Base_Mensuelle!$FL$67:$FY$679,14,0)</f>
        <v>101.37</v>
      </c>
      <c r="E154" s="1144">
        <f>VLOOKUP(E141,Base_Mensuelle!$FL$67:$FY$679,14,0)</f>
        <v>101.38</v>
      </c>
      <c r="F154" s="1144">
        <f>VLOOKUP(F141,Base_Mensuelle!$FL$67:$FY$679,14,0)</f>
        <v>101.38</v>
      </c>
      <c r="G154" s="1144">
        <f>VLOOKUP(G141,Base_Mensuelle!$FL$67:$FY$679,14,0)</f>
        <v>101.38</v>
      </c>
      <c r="H154" s="1144">
        <f>VLOOKUP(H141,Base_Mensuelle!$FL$67:$FY$679,14,0)</f>
        <v>101.42</v>
      </c>
      <c r="I154" s="1144">
        <f>VLOOKUP(I141,Base_Mensuelle!$FL$67:$FY$679,14,0)</f>
        <v>101.38</v>
      </c>
      <c r="J154" s="1144">
        <f>VLOOKUP(J141,Base_Mensuelle!$FL$67:$FY$679,14,0)</f>
        <v>101.42</v>
      </c>
      <c r="K154" s="1144">
        <f>VLOOKUP(K141,Base_Mensuelle!$FL$67:$FY$679,14,0)</f>
        <v>101.4</v>
      </c>
      <c r="L154" s="1144">
        <f>VLOOKUP(L141,Base_Mensuelle!$FL$67:$FY$679,14,0)</f>
        <v>101.4</v>
      </c>
      <c r="M154" s="1461">
        <f>VLOOKUP(M141,Base_Mensuelle!$FL$67:$FY$679,14,0)</f>
        <v>101.4</v>
      </c>
    </row>
    <row r="155" spans="1:17">
      <c r="A155" s="437"/>
      <c r="B155" s="399"/>
      <c r="C155" s="399"/>
      <c r="D155" s="399"/>
      <c r="E155" s="399"/>
      <c r="F155" s="399"/>
      <c r="G155" s="399"/>
      <c r="H155" s="399"/>
      <c r="I155" s="399"/>
      <c r="J155" s="399"/>
      <c r="K155" s="399"/>
      <c r="L155" s="399"/>
      <c r="M155" s="399"/>
    </row>
    <row r="156" spans="1:17">
      <c r="A156" s="437"/>
      <c r="B156" s="399"/>
      <c r="C156" s="399"/>
      <c r="D156" s="399"/>
      <c r="E156" s="399"/>
      <c r="F156" s="399"/>
      <c r="G156" s="399"/>
      <c r="H156" s="399"/>
      <c r="I156" s="399"/>
      <c r="J156" s="399"/>
      <c r="K156" s="399"/>
      <c r="L156" s="399"/>
      <c r="M156" s="399"/>
    </row>
    <row r="157" spans="1:17">
      <c r="A157" s="1457"/>
      <c r="B157" s="1522">
        <f>DATE(YEAR(INDEX(Base_Mensuelle!$FL$68:$FZ$679,MAX(Base_Mensuelle!$FZ$68:$FZ$679),1)),1,1)</f>
        <v>44927</v>
      </c>
      <c r="C157" s="1519">
        <f>DATE(YEAR(INDEX(Base_Mensuelle!$FL$68:$FZ$679,MAX(Base_Mensuelle!$FZ$68:$FZ$679),1)),2,1)</f>
        <v>44958</v>
      </c>
      <c r="D157" s="1519">
        <f>DATE(YEAR(INDEX(Base_Mensuelle!$FL$68:$FZ$679,MAX(Base_Mensuelle!$FZ$68:$FZ$679),1)),3,1)</f>
        <v>44986</v>
      </c>
      <c r="E157" s="1519">
        <f>DATE(YEAR(INDEX(Base_Mensuelle!$FL$68:$FZ$679,MAX(Base_Mensuelle!$FZ$68:$FZ$679),1)),4,1)</f>
        <v>45017</v>
      </c>
      <c r="F157" s="1519">
        <f>DATE(YEAR(INDEX(Base_Mensuelle!$FL$68:$FZ$679,MAX(Base_Mensuelle!$FZ$68:$FZ$679),1)),5,1)</f>
        <v>45047</v>
      </c>
      <c r="G157" s="1519">
        <f>DATE(YEAR(INDEX(Base_Mensuelle!$FL$68:$FZ$679,MAX(Base_Mensuelle!$FZ$68:$FZ$679),1)),6,1)</f>
        <v>45078</v>
      </c>
      <c r="H157" s="1519">
        <f>DATE(YEAR(INDEX(Base_Mensuelle!$FL$68:$FZ$679,MAX(Base_Mensuelle!$FZ$68:$FZ$679),1)),7,1)</f>
        <v>45108</v>
      </c>
      <c r="I157" s="1519">
        <f>DATE(YEAR(INDEX(Base_Mensuelle!$FL$68:$FZ$679,MAX(Base_Mensuelle!$FZ$68:$FZ$679),1)),8,1)</f>
        <v>45139</v>
      </c>
      <c r="J157" s="1519">
        <f>DATE(YEAR(INDEX(Base_Mensuelle!$FL$68:$FZ$679,MAX(Base_Mensuelle!$FZ$68:$FZ$679),1)),9,1)</f>
        <v>45170</v>
      </c>
      <c r="K157" s="1519">
        <f>DATE(YEAR(INDEX(Base_Mensuelle!$FL$68:$FZ$679,MAX(Base_Mensuelle!$FZ$68:$FZ$679),1)),10,1)</f>
        <v>45200</v>
      </c>
      <c r="L157" s="1519">
        <f>DATE(YEAR(INDEX(Base_Mensuelle!$FL$68:$FZ$679,MAX(Base_Mensuelle!$FZ$68:$FZ$679),1)),11,1)</f>
        <v>45231</v>
      </c>
      <c r="M157" s="1519">
        <f>DATE(YEAR(INDEX(Base_Mensuelle!$FL$68:$FZ$679,MAX(Base_Mensuelle!$FZ$68:$FZ$679),1)),12,1)</f>
        <v>45261</v>
      </c>
      <c r="Q157" s="1518"/>
    </row>
    <row r="158" spans="1:17">
      <c r="A158" s="1292" t="s">
        <v>222</v>
      </c>
      <c r="B158" s="406">
        <f>VLOOKUP(B$157,Base_Mensuelle!$FL$67:$FY$679,2,0)</f>
        <v>121</v>
      </c>
      <c r="C158" s="406">
        <f>VLOOKUP(C$157,Base_Mensuelle!$FL$67:$FY$679,2,0)</f>
        <v>121.33</v>
      </c>
      <c r="D158" s="406">
        <f>VLOOKUP(D$157,Base_Mensuelle!$FL$67:$FY$679,2,0)</f>
        <v>122.1</v>
      </c>
      <c r="E158" s="406">
        <f>VLOOKUP(E$157,Base_Mensuelle!$FL$67:$FY$679,2,0)</f>
        <v>122.5</v>
      </c>
      <c r="F158" s="406">
        <f>VLOOKUP(F$157,Base_Mensuelle!$FL$67:$FY$679,2,0)</f>
        <v>124.1</v>
      </c>
      <c r="G158" s="406">
        <f>VLOOKUP(G$157,Base_Mensuelle!$FL$67:$FY$679,2,0)</f>
        <v>126</v>
      </c>
      <c r="H158" s="406">
        <f>VLOOKUP(H$157,Base_Mensuelle!$FL$67:$FY$679,2,0)</f>
        <v>126.7</v>
      </c>
      <c r="I158" s="406">
        <f>VLOOKUP(I$157,Base_Mensuelle!$FL$67:$FY$679,2,0)</f>
        <v>126</v>
      </c>
      <c r="J158" s="406">
        <f>VLOOKUP(J$157,Base_Mensuelle!$FL$67:$FY$679,2,0)</f>
        <v>125.6</v>
      </c>
      <c r="K158" s="406">
        <f>VLOOKUP(K$157,Base_Mensuelle!$FL$67:$FY$679,2,0)</f>
        <v>125.5</v>
      </c>
      <c r="L158" s="406">
        <f>VLOOKUP(L$157,Base_Mensuelle!$FL$67:$FY$679,2,0)</f>
        <v>126.32015672999999</v>
      </c>
      <c r="M158" s="406">
        <f>VLOOKUP(M$157,Base_Mensuelle!$FL$67:$FY$679,2,0)</f>
        <v>124.51924911000002</v>
      </c>
    </row>
    <row r="159" spans="1:17" ht="24.6">
      <c r="A159" s="1286" t="s">
        <v>818</v>
      </c>
      <c r="B159" s="1145">
        <f>VLOOKUP(B$157,Base_Mensuelle!$FL$67:$FY$679,3,0)</f>
        <v>133.97999999999999</v>
      </c>
      <c r="C159" s="1145">
        <f>VLOOKUP(C$157,Base_Mensuelle!$FL$67:$FY$679,3,0)</f>
        <v>134.5</v>
      </c>
      <c r="D159" s="1145">
        <f>VLOOKUP(D$157,Base_Mensuelle!$FL$67:$FY$679,3,0)</f>
        <v>135</v>
      </c>
      <c r="E159" s="1145">
        <f>VLOOKUP(E$157,Base_Mensuelle!$FL$67:$FY$679,3,0)</f>
        <v>136.30000000000001</v>
      </c>
      <c r="F159" s="1145">
        <f>VLOOKUP(F$157,Base_Mensuelle!$FL$67:$FY$679,3,0)</f>
        <v>138.4</v>
      </c>
      <c r="G159" s="1145">
        <f>VLOOKUP(G$157,Base_Mensuelle!$FL$67:$FY$679,3,0)</f>
        <v>141.19999999999999</v>
      </c>
      <c r="H159" s="1145">
        <f>VLOOKUP(H$157,Base_Mensuelle!$FL$67:$FY$679,3,0)</f>
        <v>141.6</v>
      </c>
      <c r="I159" s="1145">
        <f>VLOOKUP(I$157,Base_Mensuelle!$FL$67:$FY$679,3,0)</f>
        <v>140.1</v>
      </c>
      <c r="J159" s="1145">
        <f>VLOOKUP(J$157,Base_Mensuelle!$FL$67:$FY$679,3,0)</f>
        <v>140</v>
      </c>
      <c r="K159" s="1145">
        <f>VLOOKUP(K$157,Base_Mensuelle!$FL$67:$FY$679,3,0)</f>
        <v>139.9</v>
      </c>
      <c r="L159" s="1145">
        <f>VLOOKUP(L$157,Base_Mensuelle!$FL$67:$FY$679,3,0)</f>
        <v>140.69999999999999</v>
      </c>
      <c r="M159" s="1145">
        <f>VLOOKUP(M$157,Base_Mensuelle!$FL$67:$FY$679,3,0)</f>
        <v>137.51</v>
      </c>
      <c r="Q159" s="1518"/>
    </row>
    <row r="160" spans="1:17" ht="24.6">
      <c r="A160" s="1289" t="s">
        <v>817</v>
      </c>
      <c r="B160" s="1147">
        <f>VLOOKUP(B$157,Base_Mensuelle!$FL$67:$FY$679,4,0)</f>
        <v>156.78</v>
      </c>
      <c r="C160" s="1147">
        <f>VLOOKUP(C$157,Base_Mensuelle!$FL$67:$FY$679,4,0)</f>
        <v>155.79</v>
      </c>
      <c r="D160" s="1147">
        <f>VLOOKUP(D$157,Base_Mensuelle!$FL$67:$FY$679,4,0)</f>
        <v>158.69999999999999</v>
      </c>
      <c r="E160" s="1147">
        <f>VLOOKUP(E$157,Base_Mensuelle!$FL$67:$FY$679,4,0)</f>
        <v>153.80000000000001</v>
      </c>
      <c r="F160" s="1147">
        <f>VLOOKUP(F$157,Base_Mensuelle!$FL$67:$FY$679,4,0)</f>
        <v>163.5</v>
      </c>
      <c r="G160" s="1147">
        <f>VLOOKUP(G$157,Base_Mensuelle!$FL$67:$FY$679,4,0)</f>
        <v>162.30000000000001</v>
      </c>
      <c r="H160" s="1147">
        <f>VLOOKUP(H$157,Base_Mensuelle!$FL$67:$FY$679,4,0)</f>
        <v>171.2</v>
      </c>
      <c r="I160" s="1147">
        <f>VLOOKUP(I$157,Base_Mensuelle!$FL$67:$FY$679,4,0)</f>
        <v>166.5</v>
      </c>
      <c r="J160" s="1147">
        <f>VLOOKUP(J$157,Base_Mensuelle!$FL$67:$FY$679,4,0)</f>
        <v>156.5</v>
      </c>
      <c r="K160" s="1147">
        <f>VLOOKUP(K$157,Base_Mensuelle!$FL$67:$FY$679,4,0)</f>
        <v>151.30000000000001</v>
      </c>
      <c r="L160" s="1147">
        <f>VLOOKUP(L$157,Base_Mensuelle!$FL$67:$FY$679,4,0)</f>
        <v>162.38999999999999</v>
      </c>
      <c r="M160" s="1147">
        <f>VLOOKUP(M$157,Base_Mensuelle!$FL$67:$FY$679,4,0)</f>
        <v>161.11000000000001</v>
      </c>
    </row>
    <row r="161" spans="1:13">
      <c r="A161" s="1288" t="s">
        <v>816</v>
      </c>
      <c r="B161" s="1145">
        <f>VLOOKUP(B$157,Base_Mensuelle!$FL$67:$FY$679,5,0)</f>
        <v>101.71</v>
      </c>
      <c r="C161" s="1145">
        <f>VLOOKUP(C$157,Base_Mensuelle!$FL$67:$FY$679,5,0)</f>
        <v>101.77</v>
      </c>
      <c r="D161" s="1145">
        <f>VLOOKUP(D$157,Base_Mensuelle!$FL$67:$FY$679,5,0)</f>
        <v>101.7</v>
      </c>
      <c r="E161" s="1145">
        <f>VLOOKUP(E$157,Base_Mensuelle!$FL$67:$FY$679,5,0)</f>
        <v>101.7</v>
      </c>
      <c r="F161" s="1145">
        <f>VLOOKUP(F$157,Base_Mensuelle!$FL$67:$FY$679,5,0)</f>
        <v>101.7</v>
      </c>
      <c r="G161" s="1145">
        <f>VLOOKUP(G$157,Base_Mensuelle!$FL$67:$FY$679,5,0)</f>
        <v>101.7</v>
      </c>
      <c r="H161" s="1145">
        <f>VLOOKUP(H$157,Base_Mensuelle!$FL$67:$FY$679,5,0)</f>
        <v>101.7</v>
      </c>
      <c r="I161" s="1145">
        <f>VLOOKUP(I$157,Base_Mensuelle!$FL$67:$FY$679,5,0)</f>
        <v>101.7</v>
      </c>
      <c r="J161" s="1145">
        <f>VLOOKUP(J$157,Base_Mensuelle!$FL$67:$FY$679,5,0)</f>
        <v>101.7</v>
      </c>
      <c r="K161" s="1145">
        <f>VLOOKUP(K$157,Base_Mensuelle!$FL$67:$FY$679,5,0)</f>
        <v>101.8</v>
      </c>
      <c r="L161" s="1145">
        <f>VLOOKUP(L$157,Base_Mensuelle!$FL$67:$FY$679,5,0)</f>
        <v>101.76</v>
      </c>
      <c r="M161" s="1145">
        <f>VLOOKUP(M$157,Base_Mensuelle!$FL$67:$FY$679,5,0)</f>
        <v>101.76</v>
      </c>
    </row>
    <row r="162" spans="1:13" ht="24.6">
      <c r="A162" s="1289" t="s">
        <v>815</v>
      </c>
      <c r="B162" s="1147">
        <f>VLOOKUP(B$157,Base_Mensuelle!$FL$67:$FY$679,6,0)</f>
        <v>108.87</v>
      </c>
      <c r="C162" s="1147">
        <f>VLOOKUP(C$157,Base_Mensuelle!$FL$67:$FY$679,6,0)</f>
        <v>108.05</v>
      </c>
      <c r="D162" s="1147">
        <f>VLOOKUP(D$157,Base_Mensuelle!$FL$67:$FY$679,6,0)</f>
        <v>108.1</v>
      </c>
      <c r="E162" s="1147">
        <f>VLOOKUP(E$157,Base_Mensuelle!$FL$67:$FY$679,6,0)</f>
        <v>107.8</v>
      </c>
      <c r="F162" s="1147">
        <f>VLOOKUP(F$157,Base_Mensuelle!$FL$67:$FY$679,6,0)</f>
        <v>107.9</v>
      </c>
      <c r="G162" s="1147">
        <f>VLOOKUP(G$157,Base_Mensuelle!$FL$67:$FY$679,6,0)</f>
        <v>113.6</v>
      </c>
      <c r="H162" s="1147">
        <f>VLOOKUP(H$157,Base_Mensuelle!$FL$67:$FY$679,6,0)</f>
        <v>115.6</v>
      </c>
      <c r="I162" s="1147">
        <f>VLOOKUP(I$157,Base_Mensuelle!$FL$67:$FY$679,6,0)</f>
        <v>117.2</v>
      </c>
      <c r="J162" s="1147">
        <f>VLOOKUP(J$157,Base_Mensuelle!$FL$67:$FY$679,6,0)</f>
        <v>116.1</v>
      </c>
      <c r="K162" s="1147">
        <f>VLOOKUP(K$157,Base_Mensuelle!$FL$67:$FY$679,6,0)</f>
        <v>116.5</v>
      </c>
      <c r="L162" s="1147">
        <f>VLOOKUP(L$157,Base_Mensuelle!$FL$67:$FY$679,6,0)</f>
        <v>117.44</v>
      </c>
      <c r="M162" s="1147">
        <f>VLOOKUP(M$157,Base_Mensuelle!$FL$67:$FY$679,6,0)</f>
        <v>116.61</v>
      </c>
    </row>
    <row r="163" spans="1:13">
      <c r="A163" s="1286" t="s">
        <v>814</v>
      </c>
      <c r="B163" s="1145">
        <f>VLOOKUP(B$157,Base_Mensuelle!$FL$67:$FY$679,7,0)</f>
        <v>102.08</v>
      </c>
      <c r="C163" s="1145">
        <f>VLOOKUP(C$157,Base_Mensuelle!$FL$67:$FY$679,7,0)</f>
        <v>102.06</v>
      </c>
      <c r="D163" s="1145">
        <f>VLOOKUP(D$157,Base_Mensuelle!$FL$67:$FY$679,7,0)</f>
        <v>102</v>
      </c>
      <c r="E163" s="1145">
        <f>VLOOKUP(E$157,Base_Mensuelle!$FL$67:$FY$679,7,0)</f>
        <v>102</v>
      </c>
      <c r="F163" s="1145">
        <f>VLOOKUP(F$157,Base_Mensuelle!$FL$67:$FY$679,7,0)</f>
        <v>102</v>
      </c>
      <c r="G163" s="1145">
        <f>VLOOKUP(G$157,Base_Mensuelle!$FL$67:$FY$679,7,0)</f>
        <v>102</v>
      </c>
      <c r="H163" s="1145">
        <f>VLOOKUP(H$157,Base_Mensuelle!$FL$67:$FY$679,7,0)</f>
        <v>102</v>
      </c>
      <c r="I163" s="1145">
        <f>VLOOKUP(I$157,Base_Mensuelle!$FL$67:$FY$679,7,0)</f>
        <v>102</v>
      </c>
      <c r="J163" s="1145">
        <f>VLOOKUP(J$157,Base_Mensuelle!$FL$67:$FY$679,7,0)</f>
        <v>102</v>
      </c>
      <c r="K163" s="1145">
        <f>VLOOKUP(K$157,Base_Mensuelle!$FL$67:$FY$679,7,0)</f>
        <v>102</v>
      </c>
      <c r="L163" s="1145">
        <f>VLOOKUP(L$157,Base_Mensuelle!$FL$67:$FY$679,7,0)</f>
        <v>102</v>
      </c>
      <c r="M163" s="1145">
        <f>VLOOKUP(M$157,Base_Mensuelle!$FL$67:$FY$679,7,0)</f>
        <v>102</v>
      </c>
    </row>
    <row r="164" spans="1:13">
      <c r="A164" s="1290" t="s">
        <v>813</v>
      </c>
      <c r="B164" s="1147">
        <f>VLOOKUP(B$157,Base_Mensuelle!$FL$67:$FY$679,8,0)</f>
        <v>100.66</v>
      </c>
      <c r="C164" s="1147">
        <f>VLOOKUP(C$157,Base_Mensuelle!$FL$67:$FY$679,8,0)</f>
        <v>100.66</v>
      </c>
      <c r="D164" s="1147">
        <f>VLOOKUP(D$157,Base_Mensuelle!$FL$67:$FY$679,8,0)</f>
        <v>106.5</v>
      </c>
      <c r="E164" s="1147">
        <f>VLOOKUP(E$157,Base_Mensuelle!$FL$67:$FY$679,8,0)</f>
        <v>106.5</v>
      </c>
      <c r="F164" s="1147">
        <f>VLOOKUP(F$157,Base_Mensuelle!$FL$67:$FY$679,8,0)</f>
        <v>106.5</v>
      </c>
      <c r="G164" s="1147">
        <f>VLOOKUP(G$157,Base_Mensuelle!$FL$67:$FY$679,8,0)</f>
        <v>106.5</v>
      </c>
      <c r="H164" s="1147">
        <f>VLOOKUP(H$157,Base_Mensuelle!$FL$67:$FY$679,8,0)</f>
        <v>106.5</v>
      </c>
      <c r="I164" s="1147">
        <f>VLOOKUP(I$157,Base_Mensuelle!$FL$67:$FY$679,8,0)</f>
        <v>106.5</v>
      </c>
      <c r="J164" s="1147">
        <f>VLOOKUP(J$157,Base_Mensuelle!$FL$67:$FY$679,8,0)</f>
        <v>106.5</v>
      </c>
      <c r="K164" s="1147">
        <f>VLOOKUP(K$157,Base_Mensuelle!$FL$67:$FY$679,8,0)</f>
        <v>106.5</v>
      </c>
      <c r="L164" s="1147">
        <f>VLOOKUP(L$157,Base_Mensuelle!$FL$67:$FY$679,8,0)</f>
        <v>106.54</v>
      </c>
      <c r="M164" s="1147">
        <f>VLOOKUP(M$157,Base_Mensuelle!$FL$67:$FY$679,8,0)</f>
        <v>106.54</v>
      </c>
    </row>
    <row r="165" spans="1:13">
      <c r="A165" s="1286" t="s">
        <v>812</v>
      </c>
      <c r="B165" s="1145">
        <f>VLOOKUP(B$157,Base_Mensuelle!$FL$67:$FY$679,9,0)</f>
        <v>106.33</v>
      </c>
      <c r="C165" s="1145">
        <f>VLOOKUP(C$157,Base_Mensuelle!$FL$67:$FY$679,9,0)</f>
        <v>107.89</v>
      </c>
      <c r="D165" s="1145">
        <f>VLOOKUP(D$157,Base_Mensuelle!$FL$67:$FY$679,9,0)</f>
        <v>110.6</v>
      </c>
      <c r="E165" s="1145">
        <f>VLOOKUP(E$157,Base_Mensuelle!$FL$67:$FY$679,9,0)</f>
        <v>110.5</v>
      </c>
      <c r="F165" s="1145">
        <f>VLOOKUP(F$157,Base_Mensuelle!$FL$67:$FY$679,9,0)</f>
        <v>110.5</v>
      </c>
      <c r="G165" s="1145">
        <f>VLOOKUP(G$157,Base_Mensuelle!$FL$67:$FY$679,9,0)</f>
        <v>110.5</v>
      </c>
      <c r="H165" s="1145">
        <f>VLOOKUP(H$157,Base_Mensuelle!$FL$67:$FY$679,9,0)</f>
        <v>110.5</v>
      </c>
      <c r="I165" s="1145">
        <f>VLOOKUP(I$157,Base_Mensuelle!$FL$67:$FY$679,9,0)</f>
        <v>110.5</v>
      </c>
      <c r="J165" s="1145">
        <f>VLOOKUP(J$157,Base_Mensuelle!$FL$67:$FY$679,9,0)</f>
        <v>110.5</v>
      </c>
      <c r="K165" s="1145">
        <f>VLOOKUP(K$157,Base_Mensuelle!$FL$67:$FY$679,9,0)</f>
        <v>110.5</v>
      </c>
      <c r="L165" s="1145">
        <f>VLOOKUP(L$157,Base_Mensuelle!$FL$67:$FY$679,9,0)</f>
        <v>110.52</v>
      </c>
      <c r="M165" s="1145">
        <f>VLOOKUP(M$157,Base_Mensuelle!$FL$67:$FY$679,9,0)</f>
        <v>110.52</v>
      </c>
    </row>
    <row r="166" spans="1:13">
      <c r="A166" s="1290" t="s">
        <v>811</v>
      </c>
      <c r="B166" s="1147">
        <f>VLOOKUP(B$157,Base_Mensuelle!$FL$67:$FY$679,10,0)</f>
        <v>98.74</v>
      </c>
      <c r="C166" s="1147">
        <f>VLOOKUP(C$157,Base_Mensuelle!$FL$67:$FY$679,10,0)</f>
        <v>98.74</v>
      </c>
      <c r="D166" s="1147">
        <f>VLOOKUP(D$157,Base_Mensuelle!$FL$67:$FY$679,10,0)</f>
        <v>98.7</v>
      </c>
      <c r="E166" s="1147">
        <f>VLOOKUP(E$157,Base_Mensuelle!$FL$67:$FY$679,10,0)</f>
        <v>98.7</v>
      </c>
      <c r="F166" s="1147">
        <f>VLOOKUP(F$157,Base_Mensuelle!$FL$67:$FY$679,10,0)</f>
        <v>98.7</v>
      </c>
      <c r="G166" s="1147">
        <f>VLOOKUP(G$157,Base_Mensuelle!$FL$67:$FY$679,10,0)</f>
        <v>98.7</v>
      </c>
      <c r="H166" s="1147">
        <f>VLOOKUP(H$157,Base_Mensuelle!$FL$67:$FY$679,10,0)</f>
        <v>99.4</v>
      </c>
      <c r="I166" s="1147">
        <f>VLOOKUP(I$157,Base_Mensuelle!$FL$67:$FY$679,10,0)</f>
        <v>99.4</v>
      </c>
      <c r="J166" s="1147">
        <f>VLOOKUP(J$157,Base_Mensuelle!$FL$67:$FY$679,10,0)</f>
        <v>99.4</v>
      </c>
      <c r="K166" s="1147">
        <f>VLOOKUP(K$157,Base_Mensuelle!$FL$67:$FY$679,10,0)</f>
        <v>99.4</v>
      </c>
      <c r="L166" s="1147">
        <f>VLOOKUP(L$157,Base_Mensuelle!$FL$67:$FY$679,10,0)</f>
        <v>99.35</v>
      </c>
      <c r="M166" s="1147">
        <f>VLOOKUP(M$157,Base_Mensuelle!$FL$67:$FY$679,10,0)</f>
        <v>99.35</v>
      </c>
    </row>
    <row r="167" spans="1:13">
      <c r="A167" s="1286" t="s">
        <v>810</v>
      </c>
      <c r="B167" s="1145">
        <f>VLOOKUP(B$157,Base_Mensuelle!$FL$67:$FY$679,11,0)</f>
        <v>102.04</v>
      </c>
      <c r="C167" s="1145">
        <f>VLOOKUP(C$157,Base_Mensuelle!$FL$67:$FY$679,11,0)</f>
        <v>102.02</v>
      </c>
      <c r="D167" s="1145">
        <f>VLOOKUP(D$157,Base_Mensuelle!$FL$67:$FY$679,11,0)</f>
        <v>101.1</v>
      </c>
      <c r="E167" s="1145">
        <f>VLOOKUP(E$157,Base_Mensuelle!$FL$67:$FY$679,11,0)</f>
        <v>101.2</v>
      </c>
      <c r="F167" s="1145">
        <f>VLOOKUP(F$157,Base_Mensuelle!$FL$67:$FY$679,11,0)</f>
        <v>101.2</v>
      </c>
      <c r="G167" s="1145">
        <f>VLOOKUP(G$157,Base_Mensuelle!$FL$67:$FY$679,11,0)</f>
        <v>101.2</v>
      </c>
      <c r="H167" s="1145">
        <f>VLOOKUP(H$157,Base_Mensuelle!$FL$67:$FY$679,11,0)</f>
        <v>101.2</v>
      </c>
      <c r="I167" s="1145">
        <f>VLOOKUP(I$157,Base_Mensuelle!$FL$67:$FY$679,11,0)</f>
        <v>101.2</v>
      </c>
      <c r="J167" s="1145">
        <f>VLOOKUP(J$157,Base_Mensuelle!$FL$67:$FY$679,11,0)</f>
        <v>101.1</v>
      </c>
      <c r="K167" s="1145">
        <f>VLOOKUP(K$157,Base_Mensuelle!$FL$67:$FY$679,11,0)</f>
        <v>102.1</v>
      </c>
      <c r="L167" s="1145">
        <f>VLOOKUP(L$157,Base_Mensuelle!$FL$67:$FY$679,11,0)</f>
        <v>102.06</v>
      </c>
      <c r="M167" s="1145">
        <f>VLOOKUP(M$157,Base_Mensuelle!$FL$67:$FY$679,11,0)</f>
        <v>102.06</v>
      </c>
    </row>
    <row r="168" spans="1:13">
      <c r="A168" s="1290" t="s">
        <v>809</v>
      </c>
      <c r="B168" s="1147">
        <f>VLOOKUP(B$157,Base_Mensuelle!$FL$67:$FY$679,12,0)</f>
        <v>114.07</v>
      </c>
      <c r="C168" s="1147">
        <f>VLOOKUP(C$157,Base_Mensuelle!$FL$67:$FY$679,12,0)</f>
        <v>114.07</v>
      </c>
      <c r="D168" s="1147">
        <f>VLOOKUP(D$157,Base_Mensuelle!$FL$67:$FY$679,12,0)</f>
        <v>114.1</v>
      </c>
      <c r="E168" s="1147">
        <f>VLOOKUP(E$157,Base_Mensuelle!$FL$67:$FY$679,12,0)</f>
        <v>114.1</v>
      </c>
      <c r="F168" s="1147">
        <f>VLOOKUP(F$157,Base_Mensuelle!$FL$67:$FY$679,12,0)</f>
        <v>114.1</v>
      </c>
      <c r="G168" s="1147">
        <f>VLOOKUP(G$157,Base_Mensuelle!$FL$67:$FY$679,12,0)</f>
        <v>114.1</v>
      </c>
      <c r="H168" s="1147">
        <f>VLOOKUP(H$157,Base_Mensuelle!$FL$67:$FY$679,12,0)</f>
        <v>114.1</v>
      </c>
      <c r="I168" s="1147">
        <f>VLOOKUP(I$157,Base_Mensuelle!$FL$67:$FY$679,12,0)</f>
        <v>114.1</v>
      </c>
      <c r="J168" s="1147">
        <f>VLOOKUP(J$157,Base_Mensuelle!$FL$67:$FY$679,12,0)</f>
        <v>114.1</v>
      </c>
      <c r="K168" s="1147">
        <f>VLOOKUP(K$157,Base_Mensuelle!$FL$67:$FY$679,12,0)</f>
        <v>117.1</v>
      </c>
      <c r="L168" s="1147">
        <f>VLOOKUP(L$157,Base_Mensuelle!$FL$67:$FY$679,12,0)</f>
        <v>117.08</v>
      </c>
      <c r="M168" s="1147">
        <f>VLOOKUP(M$157,Base_Mensuelle!$FL$67:$FY$679,12,0)</f>
        <v>117.08</v>
      </c>
    </row>
    <row r="169" spans="1:13">
      <c r="A169" s="1286" t="s">
        <v>808</v>
      </c>
      <c r="B169" s="1145">
        <f>VLOOKUP(B$157,Base_Mensuelle!$FL$67:$FY$679,13,0)</f>
        <v>109.1</v>
      </c>
      <c r="C169" s="1145">
        <f>VLOOKUP(C$157,Base_Mensuelle!$FL$67:$FY$679,13,0)</f>
        <v>110</v>
      </c>
      <c r="D169" s="1145">
        <f>VLOOKUP(D$157,Base_Mensuelle!$FL$67:$FY$679,13,0)</f>
        <v>111.5</v>
      </c>
      <c r="E169" s="1145">
        <f>VLOOKUP(E$157,Base_Mensuelle!$FL$67:$FY$679,13,0)</f>
        <v>111.6</v>
      </c>
      <c r="F169" s="1145">
        <f>VLOOKUP(F$157,Base_Mensuelle!$FL$67:$FY$679,13,0)</f>
        <v>111.9</v>
      </c>
      <c r="G169" s="1145">
        <f>VLOOKUP(G$157,Base_Mensuelle!$FL$67:$FY$679,13,0)</f>
        <v>112.6</v>
      </c>
      <c r="H169" s="1145">
        <f>VLOOKUP(H$157,Base_Mensuelle!$FL$67:$FY$679,13,0)</f>
        <v>112.3</v>
      </c>
      <c r="I169" s="1145">
        <f>VLOOKUP(I$157,Base_Mensuelle!$FL$67:$FY$679,13,0)</f>
        <v>113.3</v>
      </c>
      <c r="J169" s="1145">
        <f>VLOOKUP(J$157,Base_Mensuelle!$FL$67:$FY$679,13,0)</f>
        <v>114</v>
      </c>
      <c r="K169" s="1145">
        <f>VLOOKUP(K$157,Base_Mensuelle!$FL$67:$FY$679,13,0)</f>
        <v>114</v>
      </c>
      <c r="L169" s="1145">
        <f>VLOOKUP(L$157,Base_Mensuelle!$FL$67:$FY$679,13,0)</f>
        <v>113.91</v>
      </c>
      <c r="M169" s="1145">
        <f>VLOOKUP(M$157,Base_Mensuelle!$FL$67:$FY$679,13,0)</f>
        <v>112.5</v>
      </c>
    </row>
    <row r="170" spans="1:13">
      <c r="A170" s="1291" t="s">
        <v>807</v>
      </c>
      <c r="B170" s="454">
        <f>VLOOKUP(B$157,Base_Mensuelle!$FL$67:$FY$679,14,0)</f>
        <v>101.4</v>
      </c>
      <c r="C170" s="454">
        <f>VLOOKUP(C$157,Base_Mensuelle!$FL$67:$FY$679,14,0)</f>
        <v>101.42</v>
      </c>
      <c r="D170" s="454">
        <f>VLOOKUP(D$157,Base_Mensuelle!$FL$67:$FY$679,14,0)</f>
        <v>102.3</v>
      </c>
      <c r="E170" s="454">
        <f>VLOOKUP(E$157,Base_Mensuelle!$FL$67:$FY$679,14,0)</f>
        <v>102.3</v>
      </c>
      <c r="F170" s="454">
        <f>VLOOKUP(F$157,Base_Mensuelle!$FL$67:$FY$679,14,0)</f>
        <v>102.4</v>
      </c>
      <c r="G170" s="454">
        <f>VLOOKUP(G$157,Base_Mensuelle!$FL$67:$FY$679,14,0)</f>
        <v>102.4</v>
      </c>
      <c r="H170" s="454">
        <f>VLOOKUP(H$157,Base_Mensuelle!$FL$67:$FY$679,14,0)</f>
        <v>102.4</v>
      </c>
      <c r="I170" s="454">
        <f>VLOOKUP(I$157,Base_Mensuelle!$FL$67:$FY$679,14,0)</f>
        <v>102.4</v>
      </c>
      <c r="J170" s="454">
        <f>VLOOKUP(J$157,Base_Mensuelle!$FL$67:$FY$679,14,0)</f>
        <v>102.4</v>
      </c>
      <c r="K170" s="454">
        <f>VLOOKUP(K$157,Base_Mensuelle!$FL$67:$FY$679,14,0)</f>
        <v>102.5</v>
      </c>
      <c r="L170" s="454">
        <f>VLOOKUP(L$157,Base_Mensuelle!$FL$67:$FY$679,14,0)</f>
        <v>102.52</v>
      </c>
      <c r="M170" s="454">
        <f>VLOOKUP(M$157,Base_Mensuelle!$FL$67:$FY$679,14,0)</f>
        <v>102.52</v>
      </c>
    </row>
    <row r="171" spans="1:13">
      <c r="A171" s="437"/>
      <c r="B171" s="399"/>
      <c r="C171" s="399"/>
      <c r="D171" s="399"/>
      <c r="E171" s="399"/>
      <c r="F171" s="399"/>
      <c r="G171" s="399"/>
      <c r="H171" s="399"/>
      <c r="I171" s="399"/>
      <c r="J171" s="399"/>
      <c r="K171" s="399"/>
      <c r="L171" s="399"/>
      <c r="M171" s="399"/>
    </row>
    <row r="172" spans="1:13">
      <c r="A172" s="437"/>
      <c r="B172" s="399"/>
      <c r="C172" s="399"/>
      <c r="D172" s="399"/>
      <c r="E172" s="399"/>
      <c r="F172" s="399"/>
      <c r="G172" s="399"/>
      <c r="H172" s="399"/>
      <c r="I172" s="399"/>
      <c r="J172" s="399"/>
      <c r="K172" s="399"/>
      <c r="L172" s="399"/>
      <c r="M172" s="399"/>
    </row>
    <row r="173" spans="1:13">
      <c r="A173" s="1136" t="s">
        <v>1112</v>
      </c>
    </row>
    <row r="175" spans="1:13" ht="12.75" customHeight="1">
      <c r="A175" s="1457"/>
      <c r="B175" s="1522">
        <f>DATE(YEAR(INDEX(Base_Mensuelle!$GA$68:$GO$679,MAX(Base_Mensuelle!$GO$68:$GO$679),1))-9,1,1)</f>
        <v>41640</v>
      </c>
      <c r="C175" s="1522">
        <f>DATE(YEAR(INDEX(Base_Mensuelle!$GA$68:$GO$679,MAX(Base_Mensuelle!$GO$68:$GO$679),1))-9,2,1)</f>
        <v>41671</v>
      </c>
      <c r="D175" s="1522">
        <f>DATE(YEAR(INDEX(Base_Mensuelle!$GA$68:$GO$679,MAX(Base_Mensuelle!$GO$68:$GO$679),1))-9,3,1)</f>
        <v>41699</v>
      </c>
      <c r="E175" s="1522">
        <f>DATE(YEAR(INDEX(Base_Mensuelle!$GA$68:$GO$679,MAX(Base_Mensuelle!$GO$68:$GO$679),1))-9,4,1)</f>
        <v>41730</v>
      </c>
      <c r="F175" s="1522">
        <f>DATE(YEAR(INDEX(Base_Mensuelle!$GA$68:$GO$679,MAX(Base_Mensuelle!$GO$68:$GO$679),1))-9,5,1)</f>
        <v>41760</v>
      </c>
      <c r="G175" s="1522">
        <f>DATE(YEAR(INDEX(Base_Mensuelle!$GA$68:$GO$679,MAX(Base_Mensuelle!$GO$68:$GO$679),1))-9,6,1)</f>
        <v>41791</v>
      </c>
      <c r="H175" s="1522">
        <f>DATE(YEAR(INDEX(Base_Mensuelle!$GA$68:$GO$679,MAX(Base_Mensuelle!$GO$68:$GO$679),1))-9,7,1)</f>
        <v>41821</v>
      </c>
      <c r="I175" s="1522">
        <f>DATE(YEAR(INDEX(Base_Mensuelle!$GA$68:$GO$679,MAX(Base_Mensuelle!$GO$68:$GO$679),1))-9,8,1)</f>
        <v>41852</v>
      </c>
      <c r="J175" s="1522">
        <f>DATE(YEAR(INDEX(Base_Mensuelle!$GA$68:$GO$679,MAX(Base_Mensuelle!$GO$68:$GO$679),1))-9,9,1)</f>
        <v>41883</v>
      </c>
      <c r="K175" s="1522">
        <f>DATE(YEAR(INDEX(Base_Mensuelle!$GA$68:$GO$679,MAX(Base_Mensuelle!$GO$68:$GO$679),1))-9,10,1)</f>
        <v>41913</v>
      </c>
      <c r="L175" s="1522">
        <f>DATE(YEAR(INDEX(Base_Mensuelle!$GA$68:$GO$679,MAX(Base_Mensuelle!$GO$68:$GO$679),1))-9,11,1)</f>
        <v>41944</v>
      </c>
      <c r="M175" s="1522">
        <f>DATE(YEAR(INDEX(Base_Mensuelle!$GA$68:$GO$679,MAX(Base_Mensuelle!$GO$68:$GO$679),1))-9,12,1)</f>
        <v>41974</v>
      </c>
    </row>
    <row r="176" spans="1:13">
      <c r="A176" s="1151" t="s">
        <v>723</v>
      </c>
      <c r="B176" s="1462">
        <f>VLOOKUP(B175,Base_Mensuelle!$GA$67:$GN$679,2,0)</f>
        <v>106.4</v>
      </c>
      <c r="C176" s="1462">
        <f>VLOOKUP(C175,Base_Mensuelle!$GA$67:$GN$679,2,0)</f>
        <v>105.9</v>
      </c>
      <c r="D176" s="1462">
        <f>VLOOKUP(D175,Base_Mensuelle!$GA$67:$GN$679,2,0)</f>
        <v>106.6</v>
      </c>
      <c r="E176" s="1462">
        <f>VLOOKUP(E175,Base_Mensuelle!$GA$67:$GN$679,2,0)</f>
        <v>105.3</v>
      </c>
      <c r="F176" s="1462">
        <f>VLOOKUP(F175,Base_Mensuelle!$GA$67:$GN$679,2,0)</f>
        <v>107.35</v>
      </c>
      <c r="G176" s="1462">
        <f>VLOOKUP(G175,Base_Mensuelle!$GA$67:$GN$679,2,0)</f>
        <v>108.6</v>
      </c>
      <c r="H176" s="1462">
        <f>VLOOKUP(H175,Base_Mensuelle!$GA$67:$GN$679,2,0)</f>
        <v>108.4</v>
      </c>
      <c r="I176" s="1462">
        <f>VLOOKUP(I175,Base_Mensuelle!$GA$67:$GN$679,2,0)</f>
        <v>108.06</v>
      </c>
      <c r="J176" s="1462">
        <f>VLOOKUP(J175,Base_Mensuelle!$GA$67:$GN$679,2,0)</f>
        <v>108.11</v>
      </c>
      <c r="K176" s="1462">
        <f>VLOOKUP(K175,Base_Mensuelle!$GA$67:$GN$679,2,0)</f>
        <v>107.7</v>
      </c>
      <c r="L176" s="1462">
        <f>VLOOKUP(L175,Base_Mensuelle!$GA$67:$GN$679,2,0)</f>
        <v>107.47</v>
      </c>
      <c r="M176" s="1462">
        <f>VLOOKUP(M175,Base_Mensuelle!$GA$67:$GN$679,2,0)</f>
        <v>107.11</v>
      </c>
    </row>
    <row r="177" spans="1:13">
      <c r="A177" s="1152" t="s">
        <v>241</v>
      </c>
      <c r="B177" s="1463">
        <f>VLOOKUP(B175,Base_Mensuelle!$GA$67:$GN$679,6,0)</f>
        <v>108.9</v>
      </c>
      <c r="C177" s="1463">
        <f>VLOOKUP(C175,Base_Mensuelle!$GA$67:$GN$679,6,0)</f>
        <v>107.1</v>
      </c>
      <c r="D177" s="1463">
        <f>VLOOKUP(D175,Base_Mensuelle!$GA$67:$GN$679,6,0)</f>
        <v>106.3</v>
      </c>
      <c r="E177" s="1463">
        <f>VLOOKUP(E175,Base_Mensuelle!$GA$67:$GN$679,6,0)</f>
        <v>102.5</v>
      </c>
      <c r="F177" s="1463">
        <f>VLOOKUP(F175,Base_Mensuelle!$GA$67:$GN$679,6,0)</f>
        <v>110.74</v>
      </c>
      <c r="G177" s="1463">
        <f>VLOOKUP(G175,Base_Mensuelle!$GA$67:$GN$679,6,0)</f>
        <v>115.52</v>
      </c>
      <c r="H177" s="1463">
        <f>VLOOKUP(H175,Base_Mensuelle!$GA$67:$GN$679,6,0)</f>
        <v>116.22</v>
      </c>
      <c r="I177" s="1463">
        <f>VLOOKUP(I175,Base_Mensuelle!$GA$67:$GN$679,6,0)</f>
        <v>113.86</v>
      </c>
      <c r="J177" s="1463">
        <f>VLOOKUP(J175,Base_Mensuelle!$GA$67:$GN$679,6,0)</f>
        <v>111.74</v>
      </c>
      <c r="K177" s="1463">
        <f>VLOOKUP(K175,Base_Mensuelle!$GA$67:$GN$679,6,0)</f>
        <v>110.29</v>
      </c>
      <c r="L177" s="1463">
        <f>VLOOKUP(L175,Base_Mensuelle!$GA$67:$GN$679,6,0)</f>
        <v>111.03</v>
      </c>
      <c r="M177" s="1463">
        <f>VLOOKUP(M175,Base_Mensuelle!$GA$67:$GN$679,6,0)</f>
        <v>108.9</v>
      </c>
    </row>
    <row r="178" spans="1:13">
      <c r="A178" s="1153" t="s">
        <v>240</v>
      </c>
      <c r="B178" s="1464">
        <f>VLOOKUP(B175,Base_Mensuelle!$GA$67:$GN$679,5,0)</f>
        <v>113.5</v>
      </c>
      <c r="C178" s="1464">
        <f>VLOOKUP(C175,Base_Mensuelle!$GA$67:$GN$679,5,0)</f>
        <v>115.3</v>
      </c>
      <c r="D178" s="1464">
        <f>VLOOKUP(D175,Base_Mensuelle!$GA$67:$GN$679,5,0)</f>
        <v>112.7</v>
      </c>
      <c r="E178" s="1464">
        <f>VLOOKUP(E175,Base_Mensuelle!$GA$67:$GN$679,5,0)</f>
        <v>112.7</v>
      </c>
      <c r="F178" s="1464">
        <f>VLOOKUP(F175,Base_Mensuelle!$GA$67:$GN$679,5,0)</f>
        <v>116.28</v>
      </c>
      <c r="G178" s="1464">
        <f>VLOOKUP(G175,Base_Mensuelle!$GA$67:$GN$679,5,0)</f>
        <v>118.43</v>
      </c>
      <c r="H178" s="1464">
        <f>VLOOKUP(H175,Base_Mensuelle!$GA$67:$GN$679,5,0)</f>
        <v>113.74</v>
      </c>
      <c r="I178" s="1464">
        <f>VLOOKUP(I175,Base_Mensuelle!$GA$67:$GN$679,5,0)</f>
        <v>114.68</v>
      </c>
      <c r="J178" s="1464">
        <f>VLOOKUP(J175,Base_Mensuelle!$GA$67:$GN$679,5,0)</f>
        <v>115.51</v>
      </c>
      <c r="K178" s="1464">
        <f>VLOOKUP(K175,Base_Mensuelle!$GA$67:$GN$679,5,0)</f>
        <v>115.69</v>
      </c>
      <c r="L178" s="1464">
        <f>VLOOKUP(L175,Base_Mensuelle!$GA$67:$GN$679,5,0)</f>
        <v>114.06</v>
      </c>
      <c r="M178" s="1464">
        <f>VLOOKUP(M175,Base_Mensuelle!$GA$67:$GN$679,5,0)</f>
        <v>115.14</v>
      </c>
    </row>
    <row r="179" spans="1:13">
      <c r="A179" s="1154" t="s">
        <v>242</v>
      </c>
      <c r="B179" s="1465">
        <f>VLOOKUP(B175,Base_Mensuelle!$GA$67:$GN$679,7,0)</f>
        <v>106.4</v>
      </c>
      <c r="C179" s="1465">
        <f>VLOOKUP(C175,Base_Mensuelle!$GA$67:$GN$679,7,0)</f>
        <v>105.9</v>
      </c>
      <c r="D179" s="1465">
        <f>VLOOKUP(D175,Base_Mensuelle!$GA$67:$GN$679,7,0)</f>
        <v>106.6</v>
      </c>
      <c r="E179" s="1465">
        <f>VLOOKUP(E175,Base_Mensuelle!$GA$67:$GN$679,7,0)</f>
        <v>105.3</v>
      </c>
      <c r="F179" s="1465">
        <f>VLOOKUP(F175,Base_Mensuelle!$GA$67:$GN$679,7,0)</f>
        <v>107.35</v>
      </c>
      <c r="G179" s="1465">
        <f>VLOOKUP(G175,Base_Mensuelle!$GA$67:$GN$679,7,0)</f>
        <v>108.6</v>
      </c>
      <c r="H179" s="1465">
        <f>VLOOKUP(H175,Base_Mensuelle!$GA$67:$GN$679,7,0)</f>
        <v>108.4</v>
      </c>
      <c r="I179" s="1465">
        <f>VLOOKUP(I175,Base_Mensuelle!$GA$67:$GN$679,7,0)</f>
        <v>108.06</v>
      </c>
      <c r="J179" s="1465">
        <f>VLOOKUP(J175,Base_Mensuelle!$GA$67:$GN$679,7,0)</f>
        <v>105.43</v>
      </c>
      <c r="K179" s="1465">
        <f>VLOOKUP(K175,Base_Mensuelle!$GA$67:$GN$679,7,0)</f>
        <v>105.53</v>
      </c>
      <c r="L179" s="1465">
        <f>VLOOKUP(L175,Base_Mensuelle!$GA$67:$GN$679,7,0)</f>
        <v>105.23</v>
      </c>
      <c r="M179" s="1465">
        <f>VLOOKUP(M175,Base_Mensuelle!$GA$67:$GN$679,7,0)</f>
        <v>105.13</v>
      </c>
    </row>
    <row r="180" spans="1:13">
      <c r="A180" s="1153" t="s">
        <v>806</v>
      </c>
      <c r="B180" s="1464">
        <f>VLOOKUP(B175,Base_Mensuelle!$GA$67:$GN$679,4,0)</f>
        <v>106.4</v>
      </c>
      <c r="C180" s="1464">
        <f>VLOOKUP(C175,Base_Mensuelle!$GA$67:$GN$679,4,0)</f>
        <v>105.7</v>
      </c>
      <c r="D180" s="1464">
        <f>VLOOKUP(D175,Base_Mensuelle!$GA$67:$GN$679,4,0)</f>
        <v>105.8</v>
      </c>
      <c r="E180" s="1464">
        <f>VLOOKUP(E175,Base_Mensuelle!$GA$67:$GN$679,4,0)</f>
        <v>103.8</v>
      </c>
      <c r="F180" s="1464">
        <f>VLOOKUP(F175,Base_Mensuelle!$GA$67:$GN$679,4,0)</f>
        <v>106.41</v>
      </c>
      <c r="G180" s="1464">
        <f>VLOOKUP(G175,Base_Mensuelle!$GA$67:$GN$679,4,0)</f>
        <v>108.7</v>
      </c>
      <c r="H180" s="1464">
        <f>VLOOKUP(H175,Base_Mensuelle!$GA$67:$GN$679,4,0)</f>
        <v>108.52</v>
      </c>
      <c r="I180" s="1464">
        <f>VLOOKUP(I175,Base_Mensuelle!$GA$67:$GN$679,4,0)</f>
        <v>106.98</v>
      </c>
      <c r="J180" s="1464">
        <f>VLOOKUP(J175,Base_Mensuelle!$GA$67:$GN$679,4,0)</f>
        <v>107.64</v>
      </c>
      <c r="K180" s="1464">
        <f>VLOOKUP(K175,Base_Mensuelle!$GA$67:$GN$679,4,0)</f>
        <v>107.08</v>
      </c>
      <c r="L180" s="1464">
        <f>VLOOKUP(L175,Base_Mensuelle!$GA$67:$GN$679,4,0)</f>
        <v>106.81</v>
      </c>
      <c r="M180" s="1464">
        <f>VLOOKUP(M175,Base_Mensuelle!$GA$67:$GN$679,4,0)</f>
        <v>106.08</v>
      </c>
    </row>
    <row r="181" spans="1:13">
      <c r="A181" s="1154" t="s">
        <v>805</v>
      </c>
      <c r="B181" s="1465">
        <f>VLOOKUP(B175,Base_Mensuelle!$GA$67:$GN$679,3,0)</f>
        <v>106.2</v>
      </c>
      <c r="C181" s="1465">
        <f>VLOOKUP(C175,Base_Mensuelle!$GA$67:$GN$679,3,0)</f>
        <v>106.2</v>
      </c>
      <c r="D181" s="1465">
        <f>VLOOKUP(D175,Base_Mensuelle!$GA$67:$GN$679,3,0)</f>
        <v>108.3</v>
      </c>
      <c r="E181" s="1465">
        <f>VLOOKUP(E175,Base_Mensuelle!$GA$67:$GN$679,3,0)</f>
        <v>107.7</v>
      </c>
      <c r="F181" s="1465">
        <f>VLOOKUP(F175,Base_Mensuelle!$GA$67:$GN$679,3,0)</f>
        <v>109.05</v>
      </c>
      <c r="G181" s="1465">
        <f>VLOOKUP(G175,Base_Mensuelle!$GA$67:$GN$679,3,0)</f>
        <v>109.11</v>
      </c>
      <c r="H181" s="1465">
        <f>VLOOKUP(H175,Base_Mensuelle!$GA$67:$GN$679,3,0)</f>
        <v>109.08</v>
      </c>
      <c r="I181" s="1465">
        <f>VLOOKUP(I175,Base_Mensuelle!$GA$67:$GN$679,3,0)</f>
        <v>109.99</v>
      </c>
      <c r="J181" s="1465">
        <f>VLOOKUP(J175,Base_Mensuelle!$GA$67:$GN$679,3,0)</f>
        <v>109.16</v>
      </c>
      <c r="K181" s="1465">
        <f>VLOOKUP(K175,Base_Mensuelle!$GA$67:$GN$679,3,0)</f>
        <v>108.98</v>
      </c>
      <c r="L181" s="1465">
        <f>VLOOKUP(L175,Base_Mensuelle!$GA$67:$GN$679,3,0)</f>
        <v>108.85</v>
      </c>
      <c r="M181" s="1465">
        <f>VLOOKUP(M175,Base_Mensuelle!$GA$67:$GN$679,3,0)</f>
        <v>108.91</v>
      </c>
    </row>
    <row r="183" spans="1:13" ht="12.75" customHeight="1">
      <c r="A183" s="1457"/>
      <c r="B183" s="1522">
        <f>DATE(YEAR(INDEX(Base_Mensuelle!$GA$68:$GO$679,MAX(Base_Mensuelle!$GO$68:$GO$679),1))-8,1,1)</f>
        <v>42005</v>
      </c>
      <c r="C183" s="1522">
        <f>DATE(YEAR(INDEX(Base_Mensuelle!$GA$68:$GO$679,MAX(Base_Mensuelle!$GO$68:$GO$679),1))-8,2,1)</f>
        <v>42036</v>
      </c>
      <c r="D183" s="1522">
        <f>DATE(YEAR(INDEX(Base_Mensuelle!$GA$68:$GO$679,MAX(Base_Mensuelle!$GO$68:$GO$679),1))-8,3,1)</f>
        <v>42064</v>
      </c>
      <c r="E183" s="1522">
        <f>DATE(YEAR(INDEX(Base_Mensuelle!$GA$68:$GO$679,MAX(Base_Mensuelle!$GO$68:$GO$679),1))-8,4,1)</f>
        <v>42095</v>
      </c>
      <c r="F183" s="1522">
        <f>DATE(YEAR(INDEX(Base_Mensuelle!$GA$68:$GO$679,MAX(Base_Mensuelle!$GO$68:$GO$679),1))-8,5,1)</f>
        <v>42125</v>
      </c>
      <c r="G183" s="1522">
        <f>DATE(YEAR(INDEX(Base_Mensuelle!$GA$68:$GO$679,MAX(Base_Mensuelle!$GO$68:$GO$679),1))-8,6,1)</f>
        <v>42156</v>
      </c>
      <c r="H183" s="1522">
        <f>DATE(YEAR(INDEX(Base_Mensuelle!$GA$68:$GO$679,MAX(Base_Mensuelle!$GO$68:$GO$679),1))-8,7,1)</f>
        <v>42186</v>
      </c>
      <c r="I183" s="1522">
        <f>DATE(YEAR(INDEX(Base_Mensuelle!$GA$68:$GO$679,MAX(Base_Mensuelle!$GO$68:$GO$679),1))-8,8,1)</f>
        <v>42217</v>
      </c>
      <c r="J183" s="1522">
        <f>DATE(YEAR(INDEX(Base_Mensuelle!$GA$68:$GO$679,MAX(Base_Mensuelle!$GO$68:$GO$679),1))-8,9,1)</f>
        <v>42248</v>
      </c>
      <c r="K183" s="1522">
        <f>DATE(YEAR(INDEX(Base_Mensuelle!$GA$68:$GO$679,MAX(Base_Mensuelle!$GO$68:$GO$679),1))-8,10,1)</f>
        <v>42278</v>
      </c>
      <c r="L183" s="1522">
        <f>DATE(YEAR(INDEX(Base_Mensuelle!$GA$68:$GO$679,MAX(Base_Mensuelle!$GO$68:$GO$679),1))-8,11,1)</f>
        <v>42309</v>
      </c>
      <c r="M183" s="1522">
        <f>DATE(YEAR(INDEX(Base_Mensuelle!$GA$68:$GO$679,MAX(Base_Mensuelle!$GO$68:$GO$679),1))-8,12,1)</f>
        <v>42339</v>
      </c>
    </row>
    <row r="184" spans="1:13">
      <c r="A184" s="1151" t="s">
        <v>723</v>
      </c>
      <c r="B184" s="1462">
        <f>VLOOKUP(B183,Base_Mensuelle!$GA$67:$GN$679,2,0)</f>
        <v>99.78</v>
      </c>
      <c r="C184" s="1462">
        <f>VLOOKUP(C183,Base_Mensuelle!$GA$67:$GN$679,2,0)</f>
        <v>99.86</v>
      </c>
      <c r="D184" s="1462">
        <f>VLOOKUP(D183,Base_Mensuelle!$GA$67:$GN$679,2,0)</f>
        <v>99.85</v>
      </c>
      <c r="E184" s="1462">
        <f>VLOOKUP(E183,Base_Mensuelle!$GA$67:$GN$679,2,0)</f>
        <v>99.81</v>
      </c>
      <c r="F184" s="1462">
        <f>VLOOKUP(F183,Base_Mensuelle!$GA$67:$GN$679,2,0)</f>
        <v>100.79</v>
      </c>
      <c r="G184" s="1462">
        <f>VLOOKUP(G183,Base_Mensuelle!$GA$67:$GN$679,2,0)</f>
        <v>103.07</v>
      </c>
      <c r="H184" s="1462">
        <f>VLOOKUP(H183,Base_Mensuelle!$GA$67:$GN$679,2,0)</f>
        <v>103.14</v>
      </c>
      <c r="I184" s="1462">
        <f>VLOOKUP(I183,Base_Mensuelle!$GA$67:$GN$679,2,0)</f>
        <v>103.41</v>
      </c>
      <c r="J184" s="1462">
        <f>VLOOKUP(J183,Base_Mensuelle!$GA$67:$GN$679,2,0)</f>
        <v>101.83</v>
      </c>
      <c r="K184" s="1462">
        <f>VLOOKUP(K183,Base_Mensuelle!$GA$67:$GN$679,2,0)</f>
        <v>103.14</v>
      </c>
      <c r="L184" s="1462">
        <f>VLOOKUP(L183,Base_Mensuelle!$GA$67:$GN$679,2,0)</f>
        <v>102.42</v>
      </c>
      <c r="M184" s="1462">
        <f>VLOOKUP(M183,Base_Mensuelle!$GA$67:$GN$679,2,0)</f>
        <v>102.74</v>
      </c>
    </row>
    <row r="185" spans="1:13">
      <c r="A185" s="1152" t="s">
        <v>241</v>
      </c>
      <c r="B185" s="1463">
        <f>VLOOKUP(B183,Base_Mensuelle!$GA$67:$GN$679,6,0)</f>
        <v>99.48</v>
      </c>
      <c r="C185" s="1463">
        <f>VLOOKUP(C183,Base_Mensuelle!$GA$67:$GN$679,6,0)</f>
        <v>99.64</v>
      </c>
      <c r="D185" s="1463">
        <f>VLOOKUP(D183,Base_Mensuelle!$GA$67:$GN$679,6,0)</f>
        <v>99.26</v>
      </c>
      <c r="E185" s="1463">
        <f>VLOOKUP(E183,Base_Mensuelle!$GA$67:$GN$679,6,0)</f>
        <v>100.11</v>
      </c>
      <c r="F185" s="1463">
        <f>VLOOKUP(F183,Base_Mensuelle!$GA$67:$GN$679,6,0)</f>
        <v>102.36</v>
      </c>
      <c r="G185" s="1463">
        <f>VLOOKUP(G183,Base_Mensuelle!$GA$67:$GN$679,6,0)</f>
        <v>108.28</v>
      </c>
      <c r="H185" s="1463">
        <f>VLOOKUP(H183,Base_Mensuelle!$GA$67:$GN$679,6,0)</f>
        <v>109.17</v>
      </c>
      <c r="I185" s="1463">
        <f>VLOOKUP(I183,Base_Mensuelle!$GA$67:$GN$679,6,0)</f>
        <v>107.3</v>
      </c>
      <c r="J185" s="1463">
        <f>VLOOKUP(J183,Base_Mensuelle!$GA$67:$GN$679,6,0)</f>
        <v>104.97</v>
      </c>
      <c r="K185" s="1463">
        <f>VLOOKUP(K183,Base_Mensuelle!$GA$67:$GN$679,6,0)</f>
        <v>107.59</v>
      </c>
      <c r="L185" s="1463">
        <f>VLOOKUP(L183,Base_Mensuelle!$GA$67:$GN$679,6,0)</f>
        <v>106.24</v>
      </c>
      <c r="M185" s="1463">
        <f>VLOOKUP(M183,Base_Mensuelle!$GA$67:$GN$679,6,0)</f>
        <v>104.61</v>
      </c>
    </row>
    <row r="186" spans="1:13">
      <c r="A186" s="1153" t="s">
        <v>240</v>
      </c>
      <c r="B186" s="1464">
        <f>VLOOKUP(B183,Base_Mensuelle!$GA$67:$GN$679,5,0)</f>
        <v>99.1</v>
      </c>
      <c r="C186" s="1464">
        <f>VLOOKUP(C183,Base_Mensuelle!$GA$67:$GN$679,5,0)</f>
        <v>98.71</v>
      </c>
      <c r="D186" s="1464">
        <f>VLOOKUP(D183,Base_Mensuelle!$GA$67:$GN$679,5,0)</f>
        <v>97.99</v>
      </c>
      <c r="E186" s="1464">
        <f>VLOOKUP(E183,Base_Mensuelle!$GA$67:$GN$679,5,0)</f>
        <v>93.55</v>
      </c>
      <c r="F186" s="1464">
        <f>VLOOKUP(F183,Base_Mensuelle!$GA$67:$GN$679,5,0)</f>
        <v>97.26</v>
      </c>
      <c r="G186" s="1464">
        <f>VLOOKUP(G183,Base_Mensuelle!$GA$67:$GN$679,5,0)</f>
        <v>100.32</v>
      </c>
      <c r="H186" s="1464">
        <f>VLOOKUP(H183,Base_Mensuelle!$GA$67:$GN$679,5,0)</f>
        <v>101.54</v>
      </c>
      <c r="I186" s="1464">
        <f>VLOOKUP(I183,Base_Mensuelle!$GA$67:$GN$679,5,0)</f>
        <v>99.98</v>
      </c>
      <c r="J186" s="1464">
        <f>VLOOKUP(J183,Base_Mensuelle!$GA$67:$GN$679,5,0)</f>
        <v>96.95</v>
      </c>
      <c r="K186" s="1464">
        <f>VLOOKUP(K183,Base_Mensuelle!$GA$67:$GN$679,5,0)</f>
        <v>103.33</v>
      </c>
      <c r="L186" s="1464">
        <f>VLOOKUP(L183,Base_Mensuelle!$GA$67:$GN$679,5,0)</f>
        <v>101.1</v>
      </c>
      <c r="M186" s="1464">
        <f>VLOOKUP(M183,Base_Mensuelle!$GA$67:$GN$679,5,0)</f>
        <v>113.11</v>
      </c>
    </row>
    <row r="187" spans="1:13">
      <c r="A187" s="1154" t="s">
        <v>242</v>
      </c>
      <c r="B187" s="1465">
        <f>VLOOKUP(B183,Base_Mensuelle!$GA$67:$GN$679,7,0)</f>
        <v>100.04</v>
      </c>
      <c r="C187" s="1465">
        <f>VLOOKUP(C183,Base_Mensuelle!$GA$67:$GN$679,7,0)</f>
        <v>100.16</v>
      </c>
      <c r="D187" s="1465">
        <f>VLOOKUP(D183,Base_Mensuelle!$GA$67:$GN$679,7,0)</f>
        <v>100.16</v>
      </c>
      <c r="E187" s="1465">
        <f>VLOOKUP(E183,Base_Mensuelle!$GA$67:$GN$679,7,0)</f>
        <v>100.61</v>
      </c>
      <c r="F187" s="1465">
        <f>VLOOKUP(F183,Base_Mensuelle!$GA$67:$GN$679,7,0)</f>
        <v>100.67</v>
      </c>
      <c r="G187" s="1465">
        <f>VLOOKUP(G183,Base_Mensuelle!$GA$67:$GN$679,7,0)</f>
        <v>101.3</v>
      </c>
      <c r="H187" s="1465">
        <f>VLOOKUP(H183,Base_Mensuelle!$GA$67:$GN$679,7,0)</f>
        <v>101.18</v>
      </c>
      <c r="I187" s="1465">
        <f>VLOOKUP(I183,Base_Mensuelle!$GA$67:$GN$679,7,0)</f>
        <v>102.03</v>
      </c>
      <c r="J187" s="1465">
        <f>VLOOKUP(J183,Base_Mensuelle!$GA$67:$GN$679,7,0)</f>
        <v>101.1</v>
      </c>
      <c r="K187" s="1465">
        <f>VLOOKUP(K183,Base_Mensuelle!$GA$67:$GN$679,7,0)</f>
        <v>101.89</v>
      </c>
      <c r="L187" s="1465">
        <f>VLOOKUP(L183,Base_Mensuelle!$GA$67:$GN$679,7,0)</f>
        <v>101.72</v>
      </c>
      <c r="M187" s="1465">
        <f>VLOOKUP(M183,Base_Mensuelle!$GA$67:$GN$679,7,0)</f>
        <v>101.63</v>
      </c>
    </row>
    <row r="188" spans="1:13">
      <c r="A188" s="1153" t="s">
        <v>806</v>
      </c>
      <c r="B188" s="1464">
        <f>VLOOKUP(B183,Base_Mensuelle!$GA$67:$GN$679,4,0)</f>
        <v>99.44</v>
      </c>
      <c r="C188" s="1464">
        <f>VLOOKUP(C183,Base_Mensuelle!$GA$67:$GN$679,4,0)</f>
        <v>100.05</v>
      </c>
      <c r="D188" s="1464">
        <f>VLOOKUP(D183,Base_Mensuelle!$GA$67:$GN$679,4,0)</f>
        <v>100.04</v>
      </c>
      <c r="E188" s="1464">
        <f>VLOOKUP(E183,Base_Mensuelle!$GA$67:$GN$679,4,0)</f>
        <v>100.23</v>
      </c>
      <c r="F188" s="1464">
        <f>VLOOKUP(F183,Base_Mensuelle!$GA$67:$GN$679,4,0)</f>
        <v>101.76</v>
      </c>
      <c r="G188" s="1464">
        <f>VLOOKUP(G183,Base_Mensuelle!$GA$67:$GN$679,4,0)</f>
        <v>104.73</v>
      </c>
      <c r="H188" s="1464">
        <f>VLOOKUP(H183,Base_Mensuelle!$GA$67:$GN$679,4,0)</f>
        <v>104.87</v>
      </c>
      <c r="I188" s="1464">
        <f>VLOOKUP(I183,Base_Mensuelle!$GA$67:$GN$679,4,0)</f>
        <v>105.37</v>
      </c>
      <c r="J188" s="1464">
        <f>VLOOKUP(J183,Base_Mensuelle!$GA$67:$GN$679,4,0)</f>
        <v>103.01</v>
      </c>
      <c r="K188" s="1464">
        <f>VLOOKUP(K183,Base_Mensuelle!$GA$67:$GN$679,4,0)</f>
        <v>104.87</v>
      </c>
      <c r="L188" s="1464">
        <f>VLOOKUP(L183,Base_Mensuelle!$GA$67:$GN$679,4,0)</f>
        <v>104.02</v>
      </c>
      <c r="M188" s="1464">
        <f>VLOOKUP(M183,Base_Mensuelle!$GA$67:$GN$679,4,0)</f>
        <v>104.69</v>
      </c>
    </row>
    <row r="189" spans="1:13">
      <c r="A189" s="1154" t="s">
        <v>805</v>
      </c>
      <c r="B189" s="1465">
        <f>VLOOKUP(B183,Base_Mensuelle!$GA$67:$GN$679,3,0)</f>
        <v>101.13</v>
      </c>
      <c r="C189" s="1465">
        <f>VLOOKUP(C183,Base_Mensuelle!$GA$67:$GN$679,3,0)</f>
        <v>100.08</v>
      </c>
      <c r="D189" s="1465">
        <f>VLOOKUP(D183,Base_Mensuelle!$GA$67:$GN$679,3,0)</f>
        <v>99.85</v>
      </c>
      <c r="E189" s="1465">
        <f>VLOOKUP(E183,Base_Mensuelle!$GA$67:$GN$679,3,0)</f>
        <v>99.57</v>
      </c>
      <c r="F189" s="1465">
        <f>VLOOKUP(F183,Base_Mensuelle!$GA$67:$GN$679,3,0)</f>
        <v>99.16</v>
      </c>
      <c r="G189" s="1465">
        <f>VLOOKUP(G183,Base_Mensuelle!$GA$67:$GN$679,3,0)</f>
        <v>100.04</v>
      </c>
      <c r="H189" s="1465">
        <f>VLOOKUP(H183,Base_Mensuelle!$GA$67:$GN$679,3,0)</f>
        <v>99.98</v>
      </c>
      <c r="I189" s="1465">
        <f>VLOOKUP(I183,Base_Mensuelle!$GA$67:$GN$679,3,0)</f>
        <v>99.68</v>
      </c>
      <c r="J189" s="1465">
        <f>VLOOKUP(J183,Base_Mensuelle!$GA$67:$GN$679,3,0)</f>
        <v>99.58</v>
      </c>
      <c r="K189" s="1465">
        <f>VLOOKUP(K183,Base_Mensuelle!$GA$67:$GN$679,3,0)</f>
        <v>99.87</v>
      </c>
      <c r="L189" s="1465">
        <f>VLOOKUP(L183,Base_Mensuelle!$GA$67:$GN$679,3,0)</f>
        <v>99.61</v>
      </c>
      <c r="M189" s="1465">
        <f>VLOOKUP(M183,Base_Mensuelle!$GA$67:$GN$679,3,0)</f>
        <v>99.47</v>
      </c>
    </row>
    <row r="191" spans="1:13" ht="12.75" customHeight="1">
      <c r="A191" s="1457"/>
      <c r="B191" s="1522">
        <f>DATE(YEAR(INDEX(Base_Mensuelle!$GA$68:$GO$679,MAX(Base_Mensuelle!$GO$68:$GO$679),1))-7,1,1)</f>
        <v>42370</v>
      </c>
      <c r="C191" s="1522">
        <f>DATE(YEAR(INDEX(Base_Mensuelle!$GA$68:$GO$679,MAX(Base_Mensuelle!$GO$68:$GO$679),1))-7,2,1)</f>
        <v>42401</v>
      </c>
      <c r="D191" s="1522">
        <f>DATE(YEAR(INDEX(Base_Mensuelle!$GA$68:$GO$679,MAX(Base_Mensuelle!$GO$68:$GO$679),1))-7,3,1)</f>
        <v>42430</v>
      </c>
      <c r="E191" s="1522">
        <f>DATE(YEAR(INDEX(Base_Mensuelle!$GA$68:$GO$679,MAX(Base_Mensuelle!$GO$68:$GO$679),1))-7,4,1)</f>
        <v>42461</v>
      </c>
      <c r="F191" s="1522">
        <f>DATE(YEAR(INDEX(Base_Mensuelle!$GA$68:$GO$679,MAX(Base_Mensuelle!$GO$68:$GO$679),1))-7,5,1)</f>
        <v>42491</v>
      </c>
      <c r="G191" s="1522">
        <f>DATE(YEAR(INDEX(Base_Mensuelle!$GA$68:$GO$679,MAX(Base_Mensuelle!$GO$68:$GO$679),1))-7,6,1)</f>
        <v>42522</v>
      </c>
      <c r="H191" s="1522">
        <f>DATE(YEAR(INDEX(Base_Mensuelle!$GA$68:$GO$679,MAX(Base_Mensuelle!$GO$68:$GO$679),1))-7,7,1)</f>
        <v>42552</v>
      </c>
      <c r="I191" s="1522">
        <f>DATE(YEAR(INDEX(Base_Mensuelle!$GA$68:$GO$679,MAX(Base_Mensuelle!$GO$68:$GO$679),1))-7,8,1)</f>
        <v>42583</v>
      </c>
      <c r="J191" s="1522">
        <f>DATE(YEAR(INDEX(Base_Mensuelle!$GA$68:$GO$679,MAX(Base_Mensuelle!$GO$68:$GO$679),1))-7,9,1)</f>
        <v>42614</v>
      </c>
      <c r="K191" s="1522">
        <f>DATE(YEAR(INDEX(Base_Mensuelle!$GA$68:$GO$679,MAX(Base_Mensuelle!$GO$68:$GO$679),1))-7,10,1)</f>
        <v>42644</v>
      </c>
      <c r="L191" s="1522">
        <f>DATE(YEAR(INDEX(Base_Mensuelle!$GA$68:$GO$679,MAX(Base_Mensuelle!$GO$68:$GO$679),1))-7,11,1)</f>
        <v>42675</v>
      </c>
      <c r="M191" s="1522">
        <f>DATE(YEAR(INDEX(Base_Mensuelle!$GA$68:$GO$679,MAX(Base_Mensuelle!$GO$68:$GO$679),1))-7,12,1)</f>
        <v>42705</v>
      </c>
    </row>
    <row r="192" spans="1:13">
      <c r="A192" s="1151" t="s">
        <v>723</v>
      </c>
      <c r="B192" s="1462">
        <f>VLOOKUP(B191,Base_Mensuelle!$GA$67:$GN$679,2,0)</f>
        <v>99.99</v>
      </c>
      <c r="C192" s="1462">
        <f>VLOOKUP(C191,Base_Mensuelle!$GA$67:$GN$679,2,0)</f>
        <v>100.55</v>
      </c>
      <c r="D192" s="1462">
        <f>VLOOKUP(D191,Base_Mensuelle!$GA$67:$GN$679,2,0)</f>
        <v>100.89</v>
      </c>
      <c r="E192" s="1462">
        <f>VLOOKUP(E191,Base_Mensuelle!$GA$67:$GN$679,2,0)</f>
        <v>101.25</v>
      </c>
      <c r="F192" s="1462">
        <f>VLOOKUP(F191,Base_Mensuelle!$GA$67:$GN$679,2,0)</f>
        <v>101.92</v>
      </c>
      <c r="G192" s="1462">
        <f>VLOOKUP(G191,Base_Mensuelle!$GA$67:$GN$679,2,0)</f>
        <v>102.05</v>
      </c>
      <c r="H192" s="1462">
        <f>VLOOKUP(H191,Base_Mensuelle!$GA$67:$GN$679,2,0)</f>
        <v>101.96</v>
      </c>
      <c r="I192" s="1462">
        <f>VLOOKUP(I191,Base_Mensuelle!$GA$67:$GN$679,2,0)</f>
        <v>102.6</v>
      </c>
      <c r="J192" s="1462">
        <f>VLOOKUP(J191,Base_Mensuelle!$GA$67:$GN$679,2,0)</f>
        <v>104.8</v>
      </c>
      <c r="K192" s="1462">
        <f>VLOOKUP(K191,Base_Mensuelle!$GA$67:$GN$679,2,0)</f>
        <v>103.65</v>
      </c>
      <c r="L192" s="1462">
        <f>VLOOKUP(L191,Base_Mensuelle!$GA$67:$GN$679,2,0)</f>
        <v>103.13</v>
      </c>
      <c r="M192" s="1462">
        <f>VLOOKUP(M191,Base_Mensuelle!$GA$67:$GN$679,2,0)</f>
        <v>102.43</v>
      </c>
    </row>
    <row r="193" spans="1:13">
      <c r="A193" s="1152" t="s">
        <v>241</v>
      </c>
      <c r="B193" s="1463">
        <f>VLOOKUP(B191,Base_Mensuelle!$GA$67:$GN$679,6,0)</f>
        <v>98.42</v>
      </c>
      <c r="C193" s="1463">
        <f>VLOOKUP(C191,Base_Mensuelle!$GA$67:$GN$679,6,0)</f>
        <v>99.99</v>
      </c>
      <c r="D193" s="1463">
        <f>VLOOKUP(D191,Base_Mensuelle!$GA$67:$GN$679,6,0)</f>
        <v>100.89</v>
      </c>
      <c r="E193" s="1463">
        <f>VLOOKUP(E191,Base_Mensuelle!$GA$67:$GN$679,6,0)</f>
        <v>105.32</v>
      </c>
      <c r="F193" s="1463">
        <f>VLOOKUP(F191,Base_Mensuelle!$GA$67:$GN$679,6,0)</f>
        <v>108.31</v>
      </c>
      <c r="G193" s="1463">
        <f>VLOOKUP(G191,Base_Mensuelle!$GA$67:$GN$679,6,0)</f>
        <v>111.15</v>
      </c>
      <c r="H193" s="1463">
        <f>VLOOKUP(H191,Base_Mensuelle!$GA$67:$GN$679,6,0)</f>
        <v>109.06</v>
      </c>
      <c r="I193" s="1463">
        <f>VLOOKUP(I191,Base_Mensuelle!$GA$67:$GN$679,6,0)</f>
        <v>107.01</v>
      </c>
      <c r="J193" s="1463">
        <f>VLOOKUP(J191,Base_Mensuelle!$GA$67:$GN$679,6,0)</f>
        <v>116.64</v>
      </c>
      <c r="K193" s="1463">
        <f>VLOOKUP(K191,Base_Mensuelle!$GA$67:$GN$679,6,0)</f>
        <v>107.97</v>
      </c>
      <c r="L193" s="1463">
        <f>VLOOKUP(L191,Base_Mensuelle!$GA$67:$GN$679,6,0)</f>
        <v>107.11</v>
      </c>
      <c r="M193" s="1463">
        <f>VLOOKUP(M191,Base_Mensuelle!$GA$67:$GN$679,6,0)</f>
        <v>100.18</v>
      </c>
    </row>
    <row r="194" spans="1:13">
      <c r="A194" s="1153" t="s">
        <v>240</v>
      </c>
      <c r="B194" s="1464">
        <f>VLOOKUP(B191,Base_Mensuelle!$GA$67:$GN$679,5,0)</f>
        <v>96.94</v>
      </c>
      <c r="C194" s="1464">
        <f>VLOOKUP(C191,Base_Mensuelle!$GA$67:$GN$679,5,0)</f>
        <v>96.96</v>
      </c>
      <c r="D194" s="1464">
        <f>VLOOKUP(D191,Base_Mensuelle!$GA$67:$GN$679,5,0)</f>
        <v>102.2</v>
      </c>
      <c r="E194" s="1464">
        <f>VLOOKUP(E191,Base_Mensuelle!$GA$67:$GN$679,5,0)</f>
        <v>91.37</v>
      </c>
      <c r="F194" s="1464">
        <f>VLOOKUP(F191,Base_Mensuelle!$GA$67:$GN$679,5,0)</f>
        <v>88.77</v>
      </c>
      <c r="G194" s="1464">
        <f>VLOOKUP(G191,Base_Mensuelle!$GA$67:$GN$679,5,0)</f>
        <v>86.03</v>
      </c>
      <c r="H194" s="1464">
        <f>VLOOKUP(H191,Base_Mensuelle!$GA$67:$GN$679,5,0)</f>
        <v>92.43</v>
      </c>
      <c r="I194" s="1464">
        <f>VLOOKUP(I191,Base_Mensuelle!$GA$67:$GN$679,5,0)</f>
        <v>92.53</v>
      </c>
      <c r="J194" s="1464">
        <f>VLOOKUP(J191,Base_Mensuelle!$GA$67:$GN$679,5,0)</f>
        <v>92.91</v>
      </c>
      <c r="K194" s="1464">
        <f>VLOOKUP(K191,Base_Mensuelle!$GA$67:$GN$679,5,0)</f>
        <v>93.47</v>
      </c>
      <c r="L194" s="1464">
        <f>VLOOKUP(L191,Base_Mensuelle!$GA$67:$GN$679,5,0)</f>
        <v>92.41</v>
      </c>
      <c r="M194" s="1464">
        <f>VLOOKUP(M191,Base_Mensuelle!$GA$67:$GN$679,5,0)</f>
        <v>127.07</v>
      </c>
    </row>
    <row r="195" spans="1:13">
      <c r="A195" s="1154" t="s">
        <v>242</v>
      </c>
      <c r="B195" s="1465">
        <f>VLOOKUP(B191,Base_Mensuelle!$GA$67:$GN$679,7,0)</f>
        <v>101.61</v>
      </c>
      <c r="C195" s="1465">
        <f>VLOOKUP(C191,Base_Mensuelle!$GA$67:$GN$679,7,0)</f>
        <v>101.47</v>
      </c>
      <c r="D195" s="1465">
        <f>VLOOKUP(D191,Base_Mensuelle!$GA$67:$GN$679,7,0)</f>
        <v>101.34</v>
      </c>
      <c r="E195" s="1465">
        <f>VLOOKUP(E191,Base_Mensuelle!$GA$67:$GN$679,7,0)</f>
        <v>100.72</v>
      </c>
      <c r="F195" s="1465">
        <f>VLOOKUP(F191,Base_Mensuelle!$GA$67:$GN$679,7,0)</f>
        <v>100.99</v>
      </c>
      <c r="G195" s="1465">
        <f>VLOOKUP(G191,Base_Mensuelle!$GA$67:$GN$679,7,0)</f>
        <v>100.61</v>
      </c>
      <c r="H195" s="1465">
        <f>VLOOKUP(H191,Base_Mensuelle!$GA$67:$GN$679,7,0)</f>
        <v>100.34</v>
      </c>
      <c r="I195" s="1465">
        <f>VLOOKUP(I191,Base_Mensuelle!$GA$67:$GN$679,7,0)</f>
        <v>102.01</v>
      </c>
      <c r="J195" s="1465">
        <f>VLOOKUP(J191,Base_Mensuelle!$GA$67:$GN$679,7,0)</f>
        <v>100.95</v>
      </c>
      <c r="K195" s="1465">
        <f>VLOOKUP(K191,Base_Mensuelle!$GA$67:$GN$679,7,0)</f>
        <v>103.14</v>
      </c>
      <c r="L195" s="1465">
        <f>VLOOKUP(L191,Base_Mensuelle!$GA$67:$GN$679,7,0)</f>
        <v>102.58</v>
      </c>
      <c r="M195" s="1465">
        <f>VLOOKUP(M191,Base_Mensuelle!$GA$67:$GN$679,7,0)</f>
        <v>101.7</v>
      </c>
    </row>
    <row r="196" spans="1:13">
      <c r="A196" s="1153" t="s">
        <v>806</v>
      </c>
      <c r="B196" s="1464">
        <f>VLOOKUP(B191,Base_Mensuelle!$GA$67:$GN$679,4,0)</f>
        <v>100.12</v>
      </c>
      <c r="C196" s="1464">
        <f>VLOOKUP(C191,Base_Mensuelle!$GA$67:$GN$679,4,0)</f>
        <v>101.34</v>
      </c>
      <c r="D196" s="1464">
        <f>VLOOKUP(D191,Base_Mensuelle!$GA$67:$GN$679,4,0)</f>
        <v>101.73</v>
      </c>
      <c r="E196" s="1464">
        <f>VLOOKUP(E191,Base_Mensuelle!$GA$67:$GN$679,4,0)</f>
        <v>103</v>
      </c>
      <c r="F196" s="1464">
        <f>VLOOKUP(F191,Base_Mensuelle!$GA$67:$GN$679,4,0)</f>
        <v>104.24</v>
      </c>
      <c r="G196" s="1464">
        <f>VLOOKUP(G191,Base_Mensuelle!$GA$67:$GN$679,4,0)</f>
        <v>104.74</v>
      </c>
      <c r="H196" s="1464">
        <f>VLOOKUP(H191,Base_Mensuelle!$GA$67:$GN$679,4,0)</f>
        <v>104.18</v>
      </c>
      <c r="I196" s="1464">
        <f>VLOOKUP(I191,Base_Mensuelle!$GA$67:$GN$679,4,0)</f>
        <v>104.46</v>
      </c>
      <c r="J196" s="1464">
        <f>VLOOKUP(J191,Base_Mensuelle!$GA$67:$GN$679,4,0)</f>
        <v>106.52</v>
      </c>
      <c r="K196" s="1464">
        <f>VLOOKUP(K191,Base_Mensuelle!$GA$67:$GN$679,4,0)</f>
        <v>103.76</v>
      </c>
      <c r="L196" s="1464">
        <f>VLOOKUP(L191,Base_Mensuelle!$GA$67:$GN$679,4,0)</f>
        <v>103.81</v>
      </c>
      <c r="M196" s="1464">
        <f>VLOOKUP(M191,Base_Mensuelle!$GA$67:$GN$679,4,0)</f>
        <v>103.68</v>
      </c>
    </row>
    <row r="197" spans="1:13">
      <c r="A197" s="1154" t="s">
        <v>805</v>
      </c>
      <c r="B197" s="1466">
        <f>VLOOKUP(B191,Base_Mensuelle!$GA$67:$GN$679,3,0)</f>
        <v>100.48</v>
      </c>
      <c r="C197" s="1466">
        <f>VLOOKUP(C191,Base_Mensuelle!$GA$67:$GN$679,3,0)</f>
        <v>99.56</v>
      </c>
      <c r="D197" s="1466">
        <f>VLOOKUP(D191,Base_Mensuelle!$GA$67:$GN$679,3,0)</f>
        <v>99.76</v>
      </c>
      <c r="E197" s="1466">
        <f>VLOOKUP(E191,Base_Mensuelle!$GA$67:$GN$679,3,0)</f>
        <v>98.18</v>
      </c>
      <c r="F197" s="1466">
        <f>VLOOKUP(F191,Base_Mensuelle!$GA$67:$GN$679,3,0)</f>
        <v>97.85</v>
      </c>
      <c r="G197" s="1466">
        <f>VLOOKUP(G191,Base_Mensuelle!$GA$67:$GN$679,3,0)</f>
        <v>97.45</v>
      </c>
      <c r="H197" s="1466">
        <f>VLOOKUP(H191,Base_Mensuelle!$GA$67:$GN$679,3,0)</f>
        <v>97.86</v>
      </c>
      <c r="I197" s="1466">
        <f>VLOOKUP(I191,Base_Mensuelle!$GA$67:$GN$679,3,0)</f>
        <v>99.29</v>
      </c>
      <c r="J197" s="1466">
        <f>VLOOKUP(J191,Base_Mensuelle!$GA$67:$GN$679,3,0)</f>
        <v>101.83</v>
      </c>
      <c r="K197" s="1466">
        <f>VLOOKUP(K191,Base_Mensuelle!$GA$67:$GN$679,3,0)</f>
        <v>104.22</v>
      </c>
      <c r="L197" s="1466">
        <f>VLOOKUP(L191,Base_Mensuelle!$GA$67:$GN$679,3,0)</f>
        <v>102.18</v>
      </c>
      <c r="M197" s="1466">
        <f>VLOOKUP(M191,Base_Mensuelle!$GA$67:$GN$679,3,0)</f>
        <v>100.63</v>
      </c>
    </row>
    <row r="199" spans="1:13">
      <c r="A199" s="1457"/>
      <c r="B199" s="1522">
        <f>DATE(YEAR(INDEX(Base_Mensuelle!$GA$68:$GO$679,MAX(Base_Mensuelle!$GO$68:$GO$679),1))-6,1,1)</f>
        <v>42736</v>
      </c>
      <c r="C199" s="1522">
        <f>DATE(YEAR(INDEX(Base_Mensuelle!$GA$68:$GO$679,MAX(Base_Mensuelle!$GO$68:$GO$679),1))-6,2,1)</f>
        <v>42767</v>
      </c>
      <c r="D199" s="1522">
        <f>DATE(YEAR(INDEX(Base_Mensuelle!$GA$68:$GO$679,MAX(Base_Mensuelle!$GO$68:$GO$679),1))-6,3,1)</f>
        <v>42795</v>
      </c>
      <c r="E199" s="1522">
        <f>DATE(YEAR(INDEX(Base_Mensuelle!$GA$68:$GO$679,MAX(Base_Mensuelle!$GO$68:$GO$679),1))-6,4,1)</f>
        <v>42826</v>
      </c>
      <c r="F199" s="1522">
        <f>DATE(YEAR(INDEX(Base_Mensuelle!$GA$68:$GO$679,MAX(Base_Mensuelle!$GO$68:$GO$679),1))-6,5,1)</f>
        <v>42856</v>
      </c>
      <c r="G199" s="1522">
        <f>DATE(YEAR(INDEX(Base_Mensuelle!$GA$68:$GO$679,MAX(Base_Mensuelle!$GO$68:$GO$679),1))-6,6,1)</f>
        <v>42887</v>
      </c>
      <c r="H199" s="1522">
        <f>DATE(YEAR(INDEX(Base_Mensuelle!$GA$68:$GO$679,MAX(Base_Mensuelle!$GO$68:$GO$679),1))-6,7,1)</f>
        <v>42917</v>
      </c>
      <c r="I199" s="1522">
        <f>DATE(YEAR(INDEX(Base_Mensuelle!$GA$68:$GO$679,MAX(Base_Mensuelle!$GO$68:$GO$679),1))-6,8,1)</f>
        <v>42948</v>
      </c>
      <c r="J199" s="1522">
        <f>DATE(YEAR(INDEX(Base_Mensuelle!$GA$68:$GO$679,MAX(Base_Mensuelle!$GO$68:$GO$679),1))-6,9,1)</f>
        <v>42979</v>
      </c>
      <c r="K199" s="1522">
        <f>DATE(YEAR(INDEX(Base_Mensuelle!$GA$68:$GO$679,MAX(Base_Mensuelle!$GO$68:$GO$679),1))-6,10,1)</f>
        <v>43009</v>
      </c>
      <c r="L199" s="1522">
        <f>DATE(YEAR(INDEX(Base_Mensuelle!$GA$68:$GO$679,MAX(Base_Mensuelle!$GO$68:$GO$679),1))-6,11,1)</f>
        <v>43040</v>
      </c>
      <c r="M199" s="1522">
        <f>DATE(YEAR(INDEX(Base_Mensuelle!$GA$68:$GO$679,MAX(Base_Mensuelle!$GO$68:$GO$679),1))-6,12,1)</f>
        <v>43070</v>
      </c>
    </row>
    <row r="200" spans="1:13">
      <c r="A200" s="1151" t="s">
        <v>723</v>
      </c>
      <c r="B200" s="1462">
        <f>VLOOKUP(B199,Base_Mensuelle!$GA$67:$GN$679,2,0)</f>
        <v>101.66</v>
      </c>
      <c r="C200" s="1462">
        <f>VLOOKUP(C199,Base_Mensuelle!$GA$67:$GN$679,2,0)</f>
        <v>101.19</v>
      </c>
      <c r="D200" s="1462">
        <f>VLOOKUP(D199,Base_Mensuelle!$GA$67:$GN$679,2,0)</f>
        <v>102.76</v>
      </c>
      <c r="E200" s="1462">
        <f>VLOOKUP(E199,Base_Mensuelle!$GA$67:$GN$679,2,0)</f>
        <v>102.96</v>
      </c>
      <c r="F200" s="1462">
        <f>VLOOKUP(F199,Base_Mensuelle!$GA$67:$GN$679,2,0)</f>
        <v>104.12</v>
      </c>
      <c r="G200" s="1462">
        <f>VLOOKUP(G199,Base_Mensuelle!$GA$67:$GN$679,2,0)</f>
        <v>103.44</v>
      </c>
      <c r="H200" s="1462">
        <f>VLOOKUP(H199,Base_Mensuelle!$GA$67:$GN$679,2,0)</f>
        <v>105.11</v>
      </c>
      <c r="I200" s="1462">
        <f>VLOOKUP(I199,Base_Mensuelle!$GA$67:$GN$679,2,0)</f>
        <v>104.7</v>
      </c>
      <c r="J200" s="1462">
        <f>VLOOKUP(J199,Base_Mensuelle!$GA$67:$GN$679,2,0)</f>
        <v>105.22</v>
      </c>
      <c r="K200" s="1462">
        <f>VLOOKUP(K199,Base_Mensuelle!$GA$67:$GN$679,2,0)</f>
        <v>103.83</v>
      </c>
      <c r="L200" s="1462">
        <f>VLOOKUP(L199,Base_Mensuelle!$GA$67:$GN$679,2,0)</f>
        <v>104.29</v>
      </c>
      <c r="M200" s="1462">
        <f>VLOOKUP(M199,Base_Mensuelle!$GA$67:$GN$679,2,0)</f>
        <v>104.11</v>
      </c>
    </row>
    <row r="201" spans="1:13">
      <c r="A201" s="1152" t="s">
        <v>241</v>
      </c>
      <c r="B201" s="1463">
        <f>VLOOKUP(B199,Base_Mensuelle!$GA$67:$GN$679,6,0)</f>
        <v>99.88</v>
      </c>
      <c r="C201" s="1463">
        <f>VLOOKUP(C199,Base_Mensuelle!$GA$67:$GN$679,6,0)</f>
        <v>100.26</v>
      </c>
      <c r="D201" s="1463">
        <f>VLOOKUP(D199,Base_Mensuelle!$GA$67:$GN$679,6,0)</f>
        <v>104.25</v>
      </c>
      <c r="E201" s="1463">
        <f>VLOOKUP(E199,Base_Mensuelle!$GA$67:$GN$679,6,0)</f>
        <v>106.08</v>
      </c>
      <c r="F201" s="1463">
        <f>VLOOKUP(F199,Base_Mensuelle!$GA$67:$GN$679,6,0)</f>
        <v>108.86</v>
      </c>
      <c r="G201" s="1463">
        <f>VLOOKUP(G199,Base_Mensuelle!$GA$67:$GN$679,6,0)</f>
        <v>111.66</v>
      </c>
      <c r="H201" s="1463">
        <f>VLOOKUP(H199,Base_Mensuelle!$GA$67:$GN$679,6,0)</f>
        <v>114.57</v>
      </c>
      <c r="I201" s="1463">
        <f>VLOOKUP(I199,Base_Mensuelle!$GA$67:$GN$679,6,0)</f>
        <v>113.74</v>
      </c>
      <c r="J201" s="1463">
        <f>VLOOKUP(J199,Base_Mensuelle!$GA$67:$GN$679,6,0)</f>
        <v>114.7</v>
      </c>
      <c r="K201" s="1463">
        <f>VLOOKUP(K199,Base_Mensuelle!$GA$67:$GN$679,6,0)</f>
        <v>112.01</v>
      </c>
      <c r="L201" s="1463">
        <f>VLOOKUP(L199,Base_Mensuelle!$GA$67:$GN$679,6,0)</f>
        <v>114.33</v>
      </c>
      <c r="M201" s="1463">
        <f>VLOOKUP(M199,Base_Mensuelle!$GA$67:$GN$679,6,0)</f>
        <v>111.47</v>
      </c>
    </row>
    <row r="202" spans="1:13">
      <c r="A202" s="1153" t="s">
        <v>240</v>
      </c>
      <c r="B202" s="1464">
        <f>VLOOKUP(B199,Base_Mensuelle!$GA$67:$GN$679,5,0)</f>
        <v>91.87</v>
      </c>
      <c r="C202" s="1464">
        <f>VLOOKUP(C199,Base_Mensuelle!$GA$67:$GN$679,5,0)</f>
        <v>90.18</v>
      </c>
      <c r="D202" s="1464">
        <f>VLOOKUP(D199,Base_Mensuelle!$GA$67:$GN$679,5,0)</f>
        <v>89.91</v>
      </c>
      <c r="E202" s="1464">
        <f>VLOOKUP(E199,Base_Mensuelle!$GA$67:$GN$679,5,0)</f>
        <v>88.79</v>
      </c>
      <c r="F202" s="1464">
        <f>VLOOKUP(F199,Base_Mensuelle!$GA$67:$GN$679,5,0)</f>
        <v>91.44</v>
      </c>
      <c r="G202" s="1464">
        <f>VLOOKUP(G199,Base_Mensuelle!$GA$67:$GN$679,5,0)</f>
        <v>91.84</v>
      </c>
      <c r="H202" s="1464">
        <f>VLOOKUP(H199,Base_Mensuelle!$GA$67:$GN$679,5,0)</f>
        <v>94.44</v>
      </c>
      <c r="I202" s="1464">
        <f>VLOOKUP(I199,Base_Mensuelle!$GA$67:$GN$679,5,0)</f>
        <v>94.97</v>
      </c>
      <c r="J202" s="1464">
        <f>VLOOKUP(J199,Base_Mensuelle!$GA$67:$GN$679,5,0)</f>
        <v>90.39</v>
      </c>
      <c r="K202" s="1464">
        <f>VLOOKUP(K199,Base_Mensuelle!$GA$67:$GN$679,5,0)</f>
        <v>91.26</v>
      </c>
      <c r="L202" s="1464">
        <f>VLOOKUP(L199,Base_Mensuelle!$GA$67:$GN$679,5,0)</f>
        <v>91.09</v>
      </c>
      <c r="M202" s="1464">
        <f>VLOOKUP(M199,Base_Mensuelle!$GA$67:$GN$679,5,0)</f>
        <v>93.29</v>
      </c>
    </row>
    <row r="203" spans="1:13">
      <c r="A203" s="1154" t="s">
        <v>242</v>
      </c>
      <c r="B203" s="1465">
        <f>VLOOKUP(B199,Base_Mensuelle!$GA$67:$GN$679,7,0)</f>
        <v>104.06</v>
      </c>
      <c r="C203" s="1465">
        <f>VLOOKUP(C199,Base_Mensuelle!$GA$67:$GN$679,7,0)</f>
        <v>103.43</v>
      </c>
      <c r="D203" s="1465">
        <f>VLOOKUP(D199,Base_Mensuelle!$GA$67:$GN$679,7,0)</f>
        <v>104</v>
      </c>
      <c r="E203" s="1465">
        <f>VLOOKUP(E199,Base_Mensuelle!$GA$67:$GN$679,7,0)</f>
        <v>103.69</v>
      </c>
      <c r="F203" s="1465">
        <f>VLOOKUP(F199,Base_Mensuelle!$GA$67:$GN$679,7,0)</f>
        <v>103.86</v>
      </c>
      <c r="G203" s="1465">
        <f>VLOOKUP(G199,Base_Mensuelle!$GA$67:$GN$679,7,0)</f>
        <v>102</v>
      </c>
      <c r="H203" s="1465">
        <f>VLOOKUP(H199,Base_Mensuelle!$GA$67:$GN$679,7,0)</f>
        <v>102.81</v>
      </c>
      <c r="I203" s="1465">
        <f>VLOOKUP(I199,Base_Mensuelle!$GA$67:$GN$679,7,0)</f>
        <v>101.82</v>
      </c>
      <c r="J203" s="1465">
        <f>VLOOKUP(J199,Base_Mensuelle!$GA$67:$GN$679,7,0)</f>
        <v>102.47</v>
      </c>
      <c r="K203" s="1465">
        <f>VLOOKUP(K199,Base_Mensuelle!$GA$67:$GN$679,7,0)</f>
        <v>101.86</v>
      </c>
      <c r="L203" s="1465">
        <f>VLOOKUP(L199,Base_Mensuelle!$GA$67:$GN$679,7,0)</f>
        <v>101.52</v>
      </c>
      <c r="M203" s="1465">
        <f>VLOOKUP(M199,Base_Mensuelle!$GA$67:$GN$679,7,0)</f>
        <v>102.22</v>
      </c>
    </row>
    <row r="204" spans="1:13">
      <c r="A204" s="1153" t="s">
        <v>806</v>
      </c>
      <c r="B204" s="1464">
        <f>VLOOKUP(B199,Base_Mensuelle!$GA$67:$GN$679,4,0)</f>
        <v>100.89</v>
      </c>
      <c r="C204" s="1464">
        <f>VLOOKUP(C199,Base_Mensuelle!$GA$67:$GN$679,4,0)</f>
        <v>100.43</v>
      </c>
      <c r="D204" s="1464">
        <f>VLOOKUP(D199,Base_Mensuelle!$GA$67:$GN$679,4,0)</f>
        <v>102.06</v>
      </c>
      <c r="E204" s="1464">
        <f>VLOOKUP(E199,Base_Mensuelle!$GA$67:$GN$679,4,0)</f>
        <v>102.27</v>
      </c>
      <c r="F204" s="1464">
        <f>VLOOKUP(F199,Base_Mensuelle!$GA$67:$GN$679,4,0)</f>
        <v>103.78</v>
      </c>
      <c r="G204" s="1464">
        <f>VLOOKUP(G199,Base_Mensuelle!$GA$67:$GN$679,4,0)</f>
        <v>105.23</v>
      </c>
      <c r="H204" s="1464">
        <f>VLOOKUP(H199,Base_Mensuelle!$GA$67:$GN$679,4,0)</f>
        <v>107.32</v>
      </c>
      <c r="I204" s="1464">
        <f>VLOOKUP(I199,Base_Mensuelle!$GA$67:$GN$679,4,0)</f>
        <v>106.63</v>
      </c>
      <c r="J204" s="1464">
        <f>VLOOKUP(J199,Base_Mensuelle!$GA$67:$GN$679,4,0)</f>
        <v>107.49</v>
      </c>
      <c r="K204" s="1464">
        <f>VLOOKUP(K199,Base_Mensuelle!$GA$67:$GN$679,4,0)</f>
        <v>105.31</v>
      </c>
      <c r="L204" s="1464">
        <f>VLOOKUP(L199,Base_Mensuelle!$GA$67:$GN$679,4,0)</f>
        <v>105.94</v>
      </c>
      <c r="M204" s="1464">
        <f>VLOOKUP(M199,Base_Mensuelle!$GA$67:$GN$679,4,0)</f>
        <v>105.61</v>
      </c>
    </row>
    <row r="205" spans="1:13">
      <c r="A205" s="1154" t="s">
        <v>805</v>
      </c>
      <c r="B205" s="1465">
        <f>VLOOKUP(B199,Base_Mensuelle!$GA$67:$GN$679,3,0)</f>
        <v>104.35</v>
      </c>
      <c r="C205" s="1465">
        <f>VLOOKUP(C199,Base_Mensuelle!$GA$67:$GN$679,3,0)</f>
        <v>103.93</v>
      </c>
      <c r="D205" s="1465">
        <f>VLOOKUP(D199,Base_Mensuelle!$GA$67:$GN$679,3,0)</f>
        <v>105.47</v>
      </c>
      <c r="E205" s="1465">
        <f>VLOOKUP(E199,Base_Mensuelle!$GA$67:$GN$679,3,0)</f>
        <v>105.62</v>
      </c>
      <c r="F205" s="1465">
        <f>VLOOKUP(F199,Base_Mensuelle!$GA$67:$GN$679,3,0)</f>
        <v>105.68</v>
      </c>
      <c r="G205" s="1465">
        <f>VLOOKUP(G199,Base_Mensuelle!$GA$67:$GN$679,3,0)</f>
        <v>100.72</v>
      </c>
      <c r="H205" s="1465">
        <f>VLOOKUP(H199,Base_Mensuelle!$GA$67:$GN$679,3,0)</f>
        <v>101.2</v>
      </c>
      <c r="I205" s="1465">
        <f>VLOOKUP(I199,Base_Mensuelle!$GA$67:$GN$679,3,0)</f>
        <v>100.98</v>
      </c>
      <c r="J205" s="1465">
        <f>VLOOKUP(J199,Base_Mensuelle!$GA$67:$GN$679,3,0)</f>
        <v>100.84</v>
      </c>
      <c r="K205" s="1465">
        <f>VLOOKUP(K199,Base_Mensuelle!$GA$67:$GN$679,3,0)</f>
        <v>101.2</v>
      </c>
      <c r="L205" s="1465">
        <f>VLOOKUP(L199,Base_Mensuelle!$GA$67:$GN$679,3,0)</f>
        <v>101.37</v>
      </c>
      <c r="M205" s="1465">
        <f>VLOOKUP(M199,Base_Mensuelle!$GA$67:$GN$679,3,0)</f>
        <v>101.47</v>
      </c>
    </row>
    <row r="207" spans="1:13">
      <c r="A207" s="1457"/>
      <c r="B207" s="1522">
        <f>DATE(YEAR(INDEX(Base_Mensuelle!$GA$68:$GO$679,MAX(Base_Mensuelle!$GO$68:$GO$679),1))-5,1,1)</f>
        <v>43101</v>
      </c>
      <c r="C207" s="1522">
        <f>DATE(YEAR(INDEX(Base_Mensuelle!$GA$68:$GO$679,MAX(Base_Mensuelle!$GO$68:$GO$679),1))-5,2,1)</f>
        <v>43132</v>
      </c>
      <c r="D207" s="1522">
        <f>DATE(YEAR(INDEX(Base_Mensuelle!$GA$68:$GO$679,MAX(Base_Mensuelle!$GO$68:$GO$679),1))-5,3,1)</f>
        <v>43160</v>
      </c>
      <c r="E207" s="1522">
        <f>DATE(YEAR(INDEX(Base_Mensuelle!$GA$68:$GO$679,MAX(Base_Mensuelle!$GO$68:$GO$679),1))-5,4,1)</f>
        <v>43191</v>
      </c>
      <c r="F207" s="1522">
        <f>DATE(YEAR(INDEX(Base_Mensuelle!$GA$68:$GO$679,MAX(Base_Mensuelle!$GO$68:$GO$679),1))-5,5,1)</f>
        <v>43221</v>
      </c>
      <c r="G207" s="1522">
        <f>DATE(YEAR(INDEX(Base_Mensuelle!$GA$68:$GO$679,MAX(Base_Mensuelle!$GO$68:$GO$679),1))-5,6,1)</f>
        <v>43252</v>
      </c>
      <c r="H207" s="1522">
        <f>DATE(YEAR(INDEX(Base_Mensuelle!$GA$68:$GO$679,MAX(Base_Mensuelle!$GO$68:$GO$679),1))-5,7,1)</f>
        <v>43282</v>
      </c>
      <c r="I207" s="1522">
        <f>DATE(YEAR(INDEX(Base_Mensuelle!$GA$68:$GO$679,MAX(Base_Mensuelle!$GO$68:$GO$679),1))-5,8,1)</f>
        <v>43313</v>
      </c>
      <c r="J207" s="1522">
        <f>DATE(YEAR(INDEX(Base_Mensuelle!$GA$68:$GO$679,MAX(Base_Mensuelle!$GO$68:$GO$679),1))-5,9,1)</f>
        <v>43344</v>
      </c>
      <c r="K207" s="1522">
        <f>DATE(YEAR(INDEX(Base_Mensuelle!$GA$68:$GO$679,MAX(Base_Mensuelle!$GO$68:$GO$679),1))-5,10,1)</f>
        <v>43374</v>
      </c>
      <c r="L207" s="1522">
        <f>DATE(YEAR(INDEX(Base_Mensuelle!$GA$68:$GO$679,MAX(Base_Mensuelle!$GO$68:$GO$679),1))-5,11,1)</f>
        <v>43405</v>
      </c>
      <c r="M207" s="1522">
        <f>DATE(YEAR(INDEX(Base_Mensuelle!$GA$68:$GO$679,MAX(Base_Mensuelle!$GO$68:$GO$679),1))-5,12,1)</f>
        <v>43435</v>
      </c>
    </row>
    <row r="208" spans="1:13">
      <c r="A208" s="1151" t="s">
        <v>723</v>
      </c>
      <c r="B208" s="1462">
        <f>VLOOKUP(B207,Base_Mensuelle!$GA$67:$GN$679,2,0)</f>
        <v>103.68</v>
      </c>
      <c r="C208" s="1462">
        <f>VLOOKUP(C207,Base_Mensuelle!$GA$67:$GN$679,2,0)</f>
        <v>104</v>
      </c>
      <c r="D208" s="1462">
        <f>VLOOKUP(D207,Base_Mensuelle!$GA$67:$GN$679,2,0)</f>
        <v>103.65</v>
      </c>
      <c r="E208" s="1462">
        <f>VLOOKUP(E207,Base_Mensuelle!$GA$67:$GN$679,2,0)</f>
        <v>105.41</v>
      </c>
      <c r="F208" s="1462">
        <f>VLOOKUP(F207,Base_Mensuelle!$GA$67:$GN$679,2,0)</f>
        <v>105.8</v>
      </c>
      <c r="G208" s="1462">
        <f>VLOOKUP(G207,Base_Mensuelle!$GA$67:$GN$679,2,0)</f>
        <v>107.2</v>
      </c>
      <c r="H208" s="1462">
        <f>VLOOKUP(H207,Base_Mensuelle!$GA$67:$GN$679,2,0)</f>
        <v>108.03</v>
      </c>
      <c r="I208" s="1462">
        <f>VLOOKUP(I207,Base_Mensuelle!$GA$67:$GN$679,2,0)</f>
        <v>106.93</v>
      </c>
      <c r="J208" s="1462">
        <f>VLOOKUP(J207,Base_Mensuelle!$GA$67:$GN$679,2,0)</f>
        <v>107.29</v>
      </c>
      <c r="K208" s="1462">
        <f>VLOOKUP(K207,Base_Mensuelle!$GA$67:$GN$679,2,0)</f>
        <v>106.05</v>
      </c>
      <c r="L208" s="1462">
        <f>VLOOKUP(L207,Base_Mensuelle!$GA$67:$GN$679,2,0)</f>
        <v>104.52</v>
      </c>
      <c r="M208" s="1462">
        <f>VLOOKUP(M207,Base_Mensuelle!$GA$67:$GN$679,2,0)</f>
        <v>104.46</v>
      </c>
    </row>
    <row r="209" spans="1:13">
      <c r="A209" s="1152" t="s">
        <v>241</v>
      </c>
      <c r="B209" s="1463">
        <f>VLOOKUP(B207,Base_Mensuelle!$GA$67:$GN$679,6,0)</f>
        <v>110.16</v>
      </c>
      <c r="C209" s="1463">
        <f>VLOOKUP(C207,Base_Mensuelle!$GA$67:$GN$679,6,0)</f>
        <v>110.63</v>
      </c>
      <c r="D209" s="1463">
        <f>VLOOKUP(D207,Base_Mensuelle!$GA$67:$GN$679,6,0)</f>
        <v>109.89</v>
      </c>
      <c r="E209" s="1463">
        <f>VLOOKUP(E207,Base_Mensuelle!$GA$67:$GN$679,6,0)</f>
        <v>114.08</v>
      </c>
      <c r="F209" s="1463">
        <f>VLOOKUP(F207,Base_Mensuelle!$GA$67:$GN$679,6,0)</f>
        <v>117.1</v>
      </c>
      <c r="G209" s="1463">
        <f>VLOOKUP(G207,Base_Mensuelle!$GA$67:$GN$679,6,0)</f>
        <v>120.65</v>
      </c>
      <c r="H209" s="1463">
        <f>VLOOKUP(H207,Base_Mensuelle!$GA$67:$GN$679,6,0)</f>
        <v>122.87</v>
      </c>
      <c r="I209" s="1463">
        <f>VLOOKUP(I207,Base_Mensuelle!$GA$67:$GN$679,6,0)</f>
        <v>119.18</v>
      </c>
      <c r="J209" s="1463">
        <f>VLOOKUP(J207,Base_Mensuelle!$GA$67:$GN$679,6,0)</f>
        <v>118.69</v>
      </c>
      <c r="K209" s="1463">
        <f>VLOOKUP(K207,Base_Mensuelle!$GA$67:$GN$679,6,0)</f>
        <v>116.42</v>
      </c>
      <c r="L209" s="1463">
        <f>VLOOKUP(L207,Base_Mensuelle!$GA$67:$GN$679,6,0)</f>
        <v>111.15</v>
      </c>
      <c r="M209" s="1463">
        <f>VLOOKUP(M207,Base_Mensuelle!$GA$67:$GN$679,6,0)</f>
        <v>109.92</v>
      </c>
    </row>
    <row r="210" spans="1:13">
      <c r="A210" s="1153" t="s">
        <v>240</v>
      </c>
      <c r="B210" s="1464">
        <f>VLOOKUP(B207,Base_Mensuelle!$GA$67:$GN$679,5,0)</f>
        <v>92.67</v>
      </c>
      <c r="C210" s="1464">
        <f>VLOOKUP(C207,Base_Mensuelle!$GA$67:$GN$679,5,0)</f>
        <v>96.6</v>
      </c>
      <c r="D210" s="1464">
        <f>VLOOKUP(D207,Base_Mensuelle!$GA$67:$GN$679,5,0)</f>
        <v>97.42</v>
      </c>
      <c r="E210" s="1464">
        <f>VLOOKUP(E207,Base_Mensuelle!$GA$67:$GN$679,5,0)</f>
        <v>93.98</v>
      </c>
      <c r="F210" s="1464">
        <f>VLOOKUP(F207,Base_Mensuelle!$GA$67:$GN$679,5,0)</f>
        <v>91.52</v>
      </c>
      <c r="G210" s="1464">
        <f>VLOOKUP(G207,Base_Mensuelle!$GA$67:$GN$679,5,0)</f>
        <v>91.8</v>
      </c>
      <c r="H210" s="1464">
        <f>VLOOKUP(H207,Base_Mensuelle!$GA$67:$GN$679,5,0)</f>
        <v>90.31</v>
      </c>
      <c r="I210" s="1464">
        <f>VLOOKUP(I207,Base_Mensuelle!$GA$67:$GN$679,5,0)</f>
        <v>90.99</v>
      </c>
      <c r="J210" s="1464">
        <f>VLOOKUP(J207,Base_Mensuelle!$GA$67:$GN$679,5,0)</f>
        <v>92.53</v>
      </c>
      <c r="K210" s="1464">
        <f>VLOOKUP(K207,Base_Mensuelle!$GA$67:$GN$679,5,0)</f>
        <v>92.46</v>
      </c>
      <c r="L210" s="1464">
        <f>VLOOKUP(L207,Base_Mensuelle!$GA$67:$GN$679,5,0)</f>
        <v>93.88</v>
      </c>
      <c r="M210" s="1464">
        <f>VLOOKUP(M207,Base_Mensuelle!$GA$67:$GN$679,5,0)</f>
        <v>93.49</v>
      </c>
    </row>
    <row r="211" spans="1:13">
      <c r="A211" s="1154" t="s">
        <v>242</v>
      </c>
      <c r="B211" s="1465">
        <f>VLOOKUP(B207,Base_Mensuelle!$GA$67:$GN$679,7,0)</f>
        <v>102.52</v>
      </c>
      <c r="C211" s="1465">
        <f>VLOOKUP(C207,Base_Mensuelle!$GA$67:$GN$679,7,0)</f>
        <v>102.39</v>
      </c>
      <c r="D211" s="1465">
        <f>VLOOKUP(D207,Base_Mensuelle!$GA$67:$GN$679,7,0)</f>
        <v>103.21</v>
      </c>
      <c r="E211" s="1465">
        <f>VLOOKUP(E207,Base_Mensuelle!$GA$67:$GN$679,7,0)</f>
        <v>102.93</v>
      </c>
      <c r="F211" s="1465">
        <f>VLOOKUP(F207,Base_Mensuelle!$GA$67:$GN$679,7,0)</f>
        <v>102.93</v>
      </c>
      <c r="G211" s="1465">
        <f>VLOOKUP(G207,Base_Mensuelle!$GA$67:$GN$679,7,0)</f>
        <v>103.35</v>
      </c>
      <c r="H211" s="1465">
        <f>VLOOKUP(H207,Base_Mensuelle!$GA$67:$GN$679,7,0)</f>
        <v>103.86</v>
      </c>
      <c r="I211" s="1465">
        <f>VLOOKUP(I207,Base_Mensuelle!$GA$67:$GN$679,7,0)</f>
        <v>103.41</v>
      </c>
      <c r="J211" s="1465">
        <f>VLOOKUP(J207,Base_Mensuelle!$GA$67:$GN$679,7,0)</f>
        <v>103.87</v>
      </c>
      <c r="K211" s="1465">
        <f>VLOOKUP(K207,Base_Mensuelle!$GA$67:$GN$679,7,0)</f>
        <v>103.33</v>
      </c>
      <c r="L211" s="1465">
        <f>VLOOKUP(L207,Base_Mensuelle!$GA$67:$GN$679,7,0)</f>
        <v>103.24</v>
      </c>
      <c r="M211" s="1465">
        <f>VLOOKUP(M207,Base_Mensuelle!$GA$67:$GN$679,7,0)</f>
        <v>103.48</v>
      </c>
    </row>
    <row r="212" spans="1:13">
      <c r="A212" s="1153" t="s">
        <v>806</v>
      </c>
      <c r="B212" s="1464">
        <f>VLOOKUP(B207,Base_Mensuelle!$GA$67:$GN$679,4,0)</f>
        <v>105.04</v>
      </c>
      <c r="C212" s="1464">
        <f>VLOOKUP(C207,Base_Mensuelle!$GA$67:$GN$679,4,0)</f>
        <v>105.7</v>
      </c>
      <c r="D212" s="1464">
        <f>VLOOKUP(D207,Base_Mensuelle!$GA$67:$GN$679,4,0)</f>
        <v>106.25</v>
      </c>
      <c r="E212" s="1464">
        <f>VLOOKUP(E207,Base_Mensuelle!$GA$67:$GN$679,4,0)</f>
        <v>107.48</v>
      </c>
      <c r="F212" s="1464">
        <f>VLOOKUP(F207,Base_Mensuelle!$GA$67:$GN$679,4,0)</f>
        <v>107.97</v>
      </c>
      <c r="G212" s="1464">
        <f>VLOOKUP(G207,Base_Mensuelle!$GA$67:$GN$679,4,0)</f>
        <v>109.97</v>
      </c>
      <c r="H212" s="1464">
        <f>VLOOKUP(H207,Base_Mensuelle!$GA$67:$GN$679,4,0)</f>
        <v>111.05</v>
      </c>
      <c r="I212" s="1464">
        <f>VLOOKUP(I207,Base_Mensuelle!$GA$67:$GN$679,4,0)</f>
        <v>109.3</v>
      </c>
      <c r="J212" s="1464">
        <f>VLOOKUP(J207,Base_Mensuelle!$GA$67:$GN$679,4,0)</f>
        <v>109.58</v>
      </c>
      <c r="K212" s="1464">
        <f>VLOOKUP(K207,Base_Mensuelle!$GA$67:$GN$679,4,0)</f>
        <v>107.99</v>
      </c>
      <c r="L212" s="1464">
        <f>VLOOKUP(L207,Base_Mensuelle!$GA$67:$GN$679,4,0)</f>
        <v>105.91</v>
      </c>
      <c r="M212" s="1464">
        <f>VLOOKUP(M207,Base_Mensuelle!$GA$67:$GN$679,4,0)</f>
        <v>105.77</v>
      </c>
    </row>
    <row r="213" spans="1:13">
      <c r="A213" s="1154" t="s">
        <v>805</v>
      </c>
      <c r="B213" s="1465">
        <f>VLOOKUP(B207,Base_Mensuelle!$GA$67:$GN$679,3,0)</f>
        <v>101.71</v>
      </c>
      <c r="C213" s="1465">
        <f>VLOOKUP(C207,Base_Mensuelle!$GA$67:$GN$679,3,0)</f>
        <v>101.43</v>
      </c>
      <c r="D213" s="1465">
        <f>VLOOKUP(D207,Base_Mensuelle!$GA$67:$GN$679,3,0)</f>
        <v>101.08</v>
      </c>
      <c r="E213" s="1465">
        <f>VLOOKUP(E207,Base_Mensuelle!$GA$67:$GN$679,3,0)</f>
        <v>101.54</v>
      </c>
      <c r="F213" s="1465">
        <f>VLOOKUP(F207,Base_Mensuelle!$GA$67:$GN$679,3,0)</f>
        <v>102.56</v>
      </c>
      <c r="G213" s="1465">
        <f>VLOOKUP(G207,Base_Mensuelle!$GA$67:$GN$679,3,0)</f>
        <v>102.14</v>
      </c>
      <c r="H213" s="1465">
        <f>VLOOKUP(H207,Base_Mensuelle!$GA$67:$GN$679,3,0)</f>
        <v>102.24</v>
      </c>
      <c r="I213" s="1465">
        <f>VLOOKUP(I207,Base_Mensuelle!$GA$67:$GN$679,3,0)</f>
        <v>102.36</v>
      </c>
      <c r="J213" s="1465">
        <f>VLOOKUP(J207,Base_Mensuelle!$GA$67:$GN$679,3,0)</f>
        <v>103</v>
      </c>
      <c r="K213" s="1465">
        <f>VLOOKUP(K207,Base_Mensuelle!$GA$67:$GN$679,3,0)</f>
        <v>102.49</v>
      </c>
      <c r="L213" s="1465">
        <f>VLOOKUP(L207,Base_Mensuelle!$GA$67:$GN$679,3,0)</f>
        <v>102.34</v>
      </c>
      <c r="M213" s="1465">
        <f>VLOOKUP(M207,Base_Mensuelle!$GA$67:$GN$679,3,0)</f>
        <v>102.45</v>
      </c>
    </row>
    <row r="215" spans="1:13">
      <c r="A215" s="1457"/>
      <c r="B215" s="1522">
        <f>DATE(YEAR(INDEX(Base_Mensuelle!$GA$68:$GO$679,MAX(Base_Mensuelle!$GO$68:$GO$679),1))-4,1,1)</f>
        <v>43466</v>
      </c>
      <c r="C215" s="1522">
        <f>DATE(YEAR(INDEX(Base_Mensuelle!$GA$68:$GO$679,MAX(Base_Mensuelle!$GO$68:$GO$679),1))-4,2,1)</f>
        <v>43497</v>
      </c>
      <c r="D215" s="1522">
        <f>DATE(YEAR(INDEX(Base_Mensuelle!$GA$68:$GO$679,MAX(Base_Mensuelle!$GO$68:$GO$679),1))-4,3,1)</f>
        <v>43525</v>
      </c>
      <c r="E215" s="1522">
        <f>DATE(YEAR(INDEX(Base_Mensuelle!$GA$68:$GO$679,MAX(Base_Mensuelle!$GO$68:$GO$679),1))-4,4,1)</f>
        <v>43556</v>
      </c>
      <c r="F215" s="1522">
        <f>DATE(YEAR(INDEX(Base_Mensuelle!$GA$68:$GO$679,MAX(Base_Mensuelle!$GO$68:$GO$679),1))-4,5,1)</f>
        <v>43586</v>
      </c>
      <c r="G215" s="1522">
        <f>DATE(YEAR(INDEX(Base_Mensuelle!$GA$68:$GO$679,MAX(Base_Mensuelle!$GO$68:$GO$679),1))-4,6,1)</f>
        <v>43617</v>
      </c>
      <c r="H215" s="1522">
        <f>DATE(YEAR(INDEX(Base_Mensuelle!$GA$68:$GO$679,MAX(Base_Mensuelle!$GO$68:$GO$679),1))-4,7,1)</f>
        <v>43647</v>
      </c>
      <c r="I215" s="1522">
        <f>DATE(YEAR(INDEX(Base_Mensuelle!$GA$68:$GO$679,MAX(Base_Mensuelle!$GO$68:$GO$679),1))-4,8,1)</f>
        <v>43678</v>
      </c>
      <c r="J215" s="1522">
        <f>DATE(YEAR(INDEX(Base_Mensuelle!$GA$68:$GO$679,MAX(Base_Mensuelle!$GO$68:$GO$679),1))-4,9,1)</f>
        <v>43709</v>
      </c>
      <c r="K215" s="1522">
        <f>DATE(YEAR(INDEX(Base_Mensuelle!$GA$68:$GO$679,MAX(Base_Mensuelle!$GO$68:$GO$679),1))-4,10,1)</f>
        <v>43739</v>
      </c>
      <c r="L215" s="1522">
        <f>DATE(YEAR(INDEX(Base_Mensuelle!$GA$68:$GO$679,MAX(Base_Mensuelle!$GO$68:$GO$679),1))-4,11,1)</f>
        <v>43770</v>
      </c>
      <c r="M215" s="1522">
        <f>DATE(YEAR(INDEX(Base_Mensuelle!$GA$68:$GO$679,MAX(Base_Mensuelle!$GO$68:$GO$679),1))-4,12,1)</f>
        <v>43800</v>
      </c>
    </row>
    <row r="216" spans="1:13">
      <c r="A216" s="1151" t="s">
        <v>723</v>
      </c>
      <c r="B216" s="1462">
        <f>VLOOKUP(B215,Base_Mensuelle!$GA$67:$GN$679,2,0)</f>
        <v>102.19</v>
      </c>
      <c r="C216" s="1462">
        <f>VLOOKUP(C215,Base_Mensuelle!$GA$67:$GN$679,2,0)</f>
        <v>101.77</v>
      </c>
      <c r="D216" s="1462">
        <f>VLOOKUP(D215,Base_Mensuelle!$GA$67:$GN$679,2,0)</f>
        <v>102.28</v>
      </c>
      <c r="E216" s="1462">
        <f>VLOOKUP(E215,Base_Mensuelle!$GA$67:$GN$679,2,0)</f>
        <v>102.76</v>
      </c>
      <c r="F216" s="1462">
        <f>VLOOKUP(F215,Base_Mensuelle!$GA$67:$GN$679,2,0)</f>
        <v>103.29</v>
      </c>
      <c r="G216" s="1462">
        <f>VLOOKUP(G215,Base_Mensuelle!$GA$67:$GN$679,2,0)</f>
        <v>102.99</v>
      </c>
      <c r="H216" s="1462">
        <f>VLOOKUP(H215,Base_Mensuelle!$GA$67:$GN$679,2,0)</f>
        <v>103.22</v>
      </c>
      <c r="I216" s="1462">
        <f>VLOOKUP(I215,Base_Mensuelle!$GA$67:$GN$679,2,0)</f>
        <v>101.68</v>
      </c>
      <c r="J216" s="1462">
        <f>VLOOKUP(J215,Base_Mensuelle!$GA$67:$GN$679,2,0)</f>
        <v>101.47</v>
      </c>
      <c r="K216" s="1462">
        <f>VLOOKUP(K215,Base_Mensuelle!$GA$67:$GN$679,2,0)</f>
        <v>102.02</v>
      </c>
      <c r="L216" s="1462">
        <f>VLOOKUP(L215,Base_Mensuelle!$GA$67:$GN$679,2,0)</f>
        <v>101.26</v>
      </c>
      <c r="M216" s="1462">
        <f>VLOOKUP(M215,Base_Mensuelle!$GA$67:$GN$679,2,0)</f>
        <v>101.79</v>
      </c>
    </row>
    <row r="217" spans="1:13">
      <c r="A217" s="1152" t="s">
        <v>241</v>
      </c>
      <c r="B217" s="1463">
        <f>VLOOKUP(B215,Base_Mensuelle!$GA$67:$GN$679,6,0)</f>
        <v>102.84</v>
      </c>
      <c r="C217" s="1463">
        <f>VLOOKUP(C215,Base_Mensuelle!$GA$67:$GN$679,6,0)</f>
        <v>101.61</v>
      </c>
      <c r="D217" s="1463">
        <f>VLOOKUP(D215,Base_Mensuelle!$GA$67:$GN$679,6,0)</f>
        <v>102.57</v>
      </c>
      <c r="E217" s="1463">
        <f>VLOOKUP(E215,Base_Mensuelle!$GA$67:$GN$679,6,0)</f>
        <v>104.58</v>
      </c>
      <c r="F217" s="1463">
        <f>VLOOKUP(F215,Base_Mensuelle!$GA$67:$GN$679,6,0)</f>
        <v>105.93</v>
      </c>
      <c r="G217" s="1463">
        <f>VLOOKUP(G215,Base_Mensuelle!$GA$67:$GN$679,6,0)</f>
        <v>106.2</v>
      </c>
      <c r="H217" s="1463">
        <f>VLOOKUP(H215,Base_Mensuelle!$GA$67:$GN$679,6,0)</f>
        <v>106.71</v>
      </c>
      <c r="I217" s="1463">
        <f>VLOOKUP(I215,Base_Mensuelle!$GA$67:$GN$679,6,0)</f>
        <v>102.24</v>
      </c>
      <c r="J217" s="1463">
        <f>VLOOKUP(J215,Base_Mensuelle!$GA$67:$GN$679,6,0)</f>
        <v>99.74</v>
      </c>
      <c r="K217" s="1463">
        <f>VLOOKUP(K215,Base_Mensuelle!$GA$67:$GN$679,6,0)</f>
        <v>100.2</v>
      </c>
      <c r="L217" s="1463">
        <f>VLOOKUP(L215,Base_Mensuelle!$GA$67:$GN$679,6,0)</f>
        <v>98.86</v>
      </c>
      <c r="M217" s="1463">
        <f>VLOOKUP(M215,Base_Mensuelle!$GA$67:$GN$679,6,0)</f>
        <v>100.42</v>
      </c>
    </row>
    <row r="218" spans="1:13">
      <c r="A218" s="1153" t="s">
        <v>240</v>
      </c>
      <c r="B218" s="1464">
        <f>VLOOKUP(B215,Base_Mensuelle!$GA$67:$GN$679,5,0)</f>
        <v>96.38</v>
      </c>
      <c r="C218" s="1464">
        <f>VLOOKUP(C215,Base_Mensuelle!$GA$67:$GN$679,5,0)</f>
        <v>93.77</v>
      </c>
      <c r="D218" s="1464">
        <f>VLOOKUP(D215,Base_Mensuelle!$GA$67:$GN$679,5,0)</f>
        <v>95.67</v>
      </c>
      <c r="E218" s="1464">
        <f>VLOOKUP(E215,Base_Mensuelle!$GA$67:$GN$679,5,0)</f>
        <v>95.46</v>
      </c>
      <c r="F218" s="1464">
        <f>VLOOKUP(F215,Base_Mensuelle!$GA$67:$GN$679,5,0)</f>
        <v>95.14</v>
      </c>
      <c r="G218" s="1464">
        <f>VLOOKUP(G215,Base_Mensuelle!$GA$67:$GN$679,5,0)</f>
        <v>96.9</v>
      </c>
      <c r="H218" s="1464">
        <f>VLOOKUP(H215,Base_Mensuelle!$GA$67:$GN$679,5,0)</f>
        <v>93.98</v>
      </c>
      <c r="I218" s="1464">
        <f>VLOOKUP(I215,Base_Mensuelle!$GA$67:$GN$679,5,0)</f>
        <v>95.05</v>
      </c>
      <c r="J218" s="1464">
        <f>VLOOKUP(J215,Base_Mensuelle!$GA$67:$GN$679,5,0)</f>
        <v>96.11</v>
      </c>
      <c r="K218" s="1464">
        <f>VLOOKUP(K215,Base_Mensuelle!$GA$67:$GN$679,5,0)</f>
        <v>101.25</v>
      </c>
      <c r="L218" s="1464">
        <f>VLOOKUP(L215,Base_Mensuelle!$GA$67:$GN$679,5,0)</f>
        <v>97.79</v>
      </c>
      <c r="M218" s="1464">
        <f>VLOOKUP(M215,Base_Mensuelle!$GA$67:$GN$679,5,0)</f>
        <v>97.53</v>
      </c>
    </row>
    <row r="219" spans="1:13">
      <c r="A219" s="1154" t="s">
        <v>242</v>
      </c>
      <c r="B219" s="1465">
        <f>VLOOKUP(B215,Base_Mensuelle!$GA$67:$GN$679,7,0)</f>
        <v>103.22</v>
      </c>
      <c r="C219" s="1465">
        <f>VLOOKUP(C215,Base_Mensuelle!$GA$67:$GN$679,7,0)</f>
        <v>103.07</v>
      </c>
      <c r="D219" s="1465">
        <f>VLOOKUP(D215,Base_Mensuelle!$GA$67:$GN$679,7,0)</f>
        <v>103.34</v>
      </c>
      <c r="E219" s="1465">
        <f>VLOOKUP(E215,Base_Mensuelle!$GA$67:$GN$679,7,0)</f>
        <v>103.22</v>
      </c>
      <c r="F219" s="1465">
        <f>VLOOKUP(F215,Base_Mensuelle!$GA$67:$GN$679,7,0)</f>
        <v>103.63</v>
      </c>
      <c r="G219" s="1465">
        <f>VLOOKUP(G215,Base_Mensuelle!$GA$67:$GN$679,7,0)</f>
        <v>103.06</v>
      </c>
      <c r="H219" s="1465">
        <f>VLOOKUP(H215,Base_Mensuelle!$GA$67:$GN$679,7,0)</f>
        <v>103.66</v>
      </c>
      <c r="I219" s="1465">
        <f>VLOOKUP(I215,Base_Mensuelle!$GA$67:$GN$679,7,0)</f>
        <v>102.77</v>
      </c>
      <c r="J219" s="1465">
        <f>VLOOKUP(J215,Base_Mensuelle!$GA$67:$GN$679,7,0)</f>
        <v>103.21</v>
      </c>
      <c r="K219" s="1465">
        <f>VLOOKUP(K215,Base_Mensuelle!$GA$67:$GN$679,7,0)</f>
        <v>103.23</v>
      </c>
      <c r="L219" s="1465">
        <f>VLOOKUP(L215,Base_Mensuelle!$GA$67:$GN$679,7,0)</f>
        <v>103.21</v>
      </c>
      <c r="M219" s="1465">
        <f>VLOOKUP(M215,Base_Mensuelle!$GA$67:$GN$679,7,0)</f>
        <v>103.22</v>
      </c>
    </row>
    <row r="220" spans="1:13">
      <c r="A220" s="1153" t="s">
        <v>806</v>
      </c>
      <c r="B220" s="1464">
        <f>VLOOKUP(B215,Base_Mensuelle!$GA$67:$GN$679,4,0)</f>
        <v>102.75</v>
      </c>
      <c r="C220" s="1464">
        <f>VLOOKUP(C215,Base_Mensuelle!$GA$67:$GN$679,4,0)</f>
        <v>102.02</v>
      </c>
      <c r="D220" s="1464">
        <f>VLOOKUP(D215,Base_Mensuelle!$GA$67:$GN$679,4,0)</f>
        <v>102.88</v>
      </c>
      <c r="E220" s="1464">
        <f>VLOOKUP(E215,Base_Mensuelle!$GA$67:$GN$679,4,0)</f>
        <v>103.57</v>
      </c>
      <c r="F220" s="1464">
        <f>VLOOKUP(F215,Base_Mensuelle!$GA$67:$GN$679,4,0)</f>
        <v>104.13</v>
      </c>
      <c r="G220" s="1464">
        <f>VLOOKUP(G215,Base_Mensuelle!$GA$67:$GN$679,4,0)</f>
        <v>103.8</v>
      </c>
      <c r="H220" s="1464">
        <f>VLOOKUP(H215,Base_Mensuelle!$GA$67:$GN$679,4,0)</f>
        <v>104.12</v>
      </c>
      <c r="I220" s="1464">
        <f>VLOOKUP(I215,Base_Mensuelle!$GA$67:$GN$679,4,0)</f>
        <v>101.89</v>
      </c>
      <c r="J220" s="1464">
        <f>VLOOKUP(J215,Base_Mensuelle!$GA$67:$GN$679,4,0)</f>
        <v>101.47</v>
      </c>
      <c r="K220" s="1464">
        <f>VLOOKUP(K215,Base_Mensuelle!$GA$67:$GN$679,4,0)</f>
        <v>102.26</v>
      </c>
      <c r="L220" s="1464">
        <f>VLOOKUP(L215,Base_Mensuelle!$GA$67:$GN$679,4,0)</f>
        <v>101.35</v>
      </c>
      <c r="M220" s="1464">
        <f>VLOOKUP(M215,Base_Mensuelle!$GA$67:$GN$679,4,0)</f>
        <v>101.7</v>
      </c>
    </row>
    <row r="221" spans="1:13">
      <c r="A221" s="1154" t="s">
        <v>805</v>
      </c>
      <c r="B221" s="1465">
        <f>VLOOKUP(B215,Base_Mensuelle!$GA$67:$GN$679,3,0)</f>
        <v>102.07</v>
      </c>
      <c r="C221" s="1465">
        <f>VLOOKUP(C215,Base_Mensuelle!$GA$67:$GN$679,3,0)</f>
        <v>102.2</v>
      </c>
      <c r="D221" s="1465">
        <f>VLOOKUP(D215,Base_Mensuelle!$GA$67:$GN$679,3,0)</f>
        <v>101.94</v>
      </c>
      <c r="E221" s="1465">
        <f>VLOOKUP(E215,Base_Mensuelle!$GA$67:$GN$679,3,0)</f>
        <v>102</v>
      </c>
      <c r="F221" s="1465">
        <f>VLOOKUP(F215,Base_Mensuelle!$GA$67:$GN$679,3,0)</f>
        <v>102.35</v>
      </c>
      <c r="G221" s="1465">
        <f>VLOOKUP(G215,Base_Mensuelle!$GA$67:$GN$679,3,0)</f>
        <v>102.3</v>
      </c>
      <c r="H221" s="1465">
        <f>VLOOKUP(H215,Base_Mensuelle!$GA$67:$GN$679,3,0)</f>
        <v>102.33</v>
      </c>
      <c r="I221" s="1465">
        <f>VLOOKUP(I215,Base_Mensuelle!$GA$67:$GN$679,3,0)</f>
        <v>102.09</v>
      </c>
      <c r="J221" s="1465">
        <f>VLOOKUP(J215,Base_Mensuelle!$GA$67:$GN$679,3,0)</f>
        <v>102.18</v>
      </c>
      <c r="K221" s="1465">
        <f>VLOOKUP(K215,Base_Mensuelle!$GA$67:$GN$679,3,0)</f>
        <v>102.1</v>
      </c>
      <c r="L221" s="1465">
        <f>VLOOKUP(L215,Base_Mensuelle!$GA$67:$GN$679,3,0)</f>
        <v>101.71</v>
      </c>
      <c r="M221" s="1465">
        <f>VLOOKUP(M215,Base_Mensuelle!$GA$67:$GN$679,3,0)</f>
        <v>102.75</v>
      </c>
    </row>
    <row r="223" spans="1:13" s="1125" customFormat="1">
      <c r="A223" s="1446"/>
      <c r="B223" s="1522">
        <f>DATE(YEAR(INDEX(Base_Mensuelle!$GA$68:$GO$679,MAX(Base_Mensuelle!$GO$68:$GO$679),1))-3,1,1)</f>
        <v>43831</v>
      </c>
      <c r="C223" s="1522">
        <f>DATE(YEAR(INDEX(Base_Mensuelle!$GA$68:$GO$679,MAX(Base_Mensuelle!$GO$68:$GO$679),1))-3,2,1)</f>
        <v>43862</v>
      </c>
      <c r="D223" s="1522">
        <f>DATE(YEAR(INDEX(Base_Mensuelle!$GA$68:$GO$679,MAX(Base_Mensuelle!$GO$68:$GO$679),1))-3,3,1)</f>
        <v>43891</v>
      </c>
      <c r="E223" s="1522">
        <f>DATE(YEAR(INDEX(Base_Mensuelle!$GA$68:$GO$679,MAX(Base_Mensuelle!$GO$68:$GO$679),1))-3,4,1)</f>
        <v>43922</v>
      </c>
      <c r="F223" s="1522">
        <f>DATE(YEAR(INDEX(Base_Mensuelle!$GA$68:$GO$679,MAX(Base_Mensuelle!$GO$68:$GO$679),1))-3,5,1)</f>
        <v>43952</v>
      </c>
      <c r="G223" s="1522">
        <f>DATE(YEAR(INDEX(Base_Mensuelle!$GA$68:$GO$679,MAX(Base_Mensuelle!$GO$68:$GO$679),1))-3,6,1)</f>
        <v>43983</v>
      </c>
      <c r="H223" s="1522">
        <f>DATE(YEAR(INDEX(Base_Mensuelle!$GA$68:$GO$679,MAX(Base_Mensuelle!$GO$68:$GO$679),1))-3,7,1)</f>
        <v>44013</v>
      </c>
      <c r="I223" s="1522">
        <f>DATE(YEAR(INDEX(Base_Mensuelle!$GA$68:$GO$679,MAX(Base_Mensuelle!$GO$68:$GO$679),1))-3,8,1)</f>
        <v>44044</v>
      </c>
      <c r="J223" s="1522">
        <f>DATE(YEAR(INDEX(Base_Mensuelle!$GA$68:$GO$679,MAX(Base_Mensuelle!$GO$68:$GO$679),1))-3,9,1)</f>
        <v>44075</v>
      </c>
      <c r="K223" s="1522">
        <f>DATE(YEAR(INDEX(Base_Mensuelle!$GA$68:$GO$679,MAX(Base_Mensuelle!$GO$68:$GO$679),1))-3,10,1)</f>
        <v>44105</v>
      </c>
      <c r="L223" s="1522">
        <f>DATE(YEAR(INDEX(Base_Mensuelle!$GA$68:$GO$679,MAX(Base_Mensuelle!$GO$68:$GO$679),1))-3,11,1)</f>
        <v>44136</v>
      </c>
      <c r="M223" s="1522">
        <f>DATE(YEAR(INDEX(Base_Mensuelle!$GA$68:$GO$679,MAX(Base_Mensuelle!$GO$68:$GO$679),1))-3,12,1)</f>
        <v>44166</v>
      </c>
    </row>
    <row r="224" spans="1:13" s="1125" customFormat="1">
      <c r="A224" s="1151" t="s">
        <v>723</v>
      </c>
      <c r="B224" s="1142">
        <f>VLOOKUP(B223,Base_Mensuelle!$GA$67:$GN$679,2,0)</f>
        <v>101.26</v>
      </c>
      <c r="C224" s="1142">
        <f>VLOOKUP(C223,Base_Mensuelle!$GA$67:$GN$679,2,0)</f>
        <v>102.23</v>
      </c>
      <c r="D224" s="1142">
        <f>VLOOKUP(D223,Base_Mensuelle!$GA$67:$GN$679,2,0)</f>
        <v>101.97</v>
      </c>
      <c r="E224" s="1142">
        <f>VLOOKUP(E223,Base_Mensuelle!$GA$67:$GN$679,2,0)</f>
        <v>101.53</v>
      </c>
      <c r="F224" s="1142">
        <f>VLOOKUP(F223,Base_Mensuelle!$GA$67:$GN$679,2,0)</f>
        <v>105.51</v>
      </c>
      <c r="G224" s="1142">
        <f>VLOOKUP(G223,Base_Mensuelle!$GA$67:$GN$679,2,0)</f>
        <v>104.15</v>
      </c>
      <c r="H224" s="1142">
        <f>VLOOKUP(H223,Base_Mensuelle!$GA$67:$GN$679,2,0)</f>
        <v>104.66</v>
      </c>
      <c r="I224" s="1142">
        <f>VLOOKUP(I223,Base_Mensuelle!$GA$67:$GN$679,2,0)</f>
        <v>105.85</v>
      </c>
      <c r="J224" s="1142">
        <f>VLOOKUP(J223,Base_Mensuelle!$GA$67:$GN$679,2,0)</f>
        <v>106.02</v>
      </c>
      <c r="K224" s="1142">
        <f>VLOOKUP(K223,Base_Mensuelle!$GA$67:$GN$679,2,0)</f>
        <v>106.69</v>
      </c>
      <c r="L224" s="1142">
        <f>VLOOKUP(L223,Base_Mensuelle!$GA$67:$GN$679,2,0)</f>
        <v>105.82</v>
      </c>
      <c r="M224" s="1462">
        <f>VLOOKUP(M223,Base_Mensuelle!$GA$67:$GN$679,2,0)</f>
        <v>104.15</v>
      </c>
    </row>
    <row r="225" spans="1:13" s="1125" customFormat="1">
      <c r="A225" s="1152" t="s">
        <v>241</v>
      </c>
      <c r="B225" s="1141">
        <f>VLOOKUP(B223,Base_Mensuelle!$GA$67:$GN$679,6,0)</f>
        <v>98.34</v>
      </c>
      <c r="C225" s="1141">
        <f>VLOOKUP(C223,Base_Mensuelle!$GA$67:$GN$679,6,0)</f>
        <v>100.27</v>
      </c>
      <c r="D225" s="1141">
        <f>VLOOKUP(D223,Base_Mensuelle!$GA$67:$GN$679,6,0)</f>
        <v>101.09</v>
      </c>
      <c r="E225" s="1141">
        <f>VLOOKUP(E223,Base_Mensuelle!$GA$67:$GN$679,6,0)</f>
        <v>100.07</v>
      </c>
      <c r="F225" s="1141">
        <f>VLOOKUP(F223,Base_Mensuelle!$GA$67:$GN$679,6,0)</f>
        <v>112.85</v>
      </c>
      <c r="G225" s="1141">
        <f>VLOOKUP(G223,Base_Mensuelle!$GA$67:$GN$679,6,0)</f>
        <v>109.56</v>
      </c>
      <c r="H225" s="1141">
        <f>VLOOKUP(H223,Base_Mensuelle!$GA$67:$GN$679,6,0)</f>
        <v>111.48</v>
      </c>
      <c r="I225" s="1141">
        <f>VLOOKUP(I223,Base_Mensuelle!$GA$67:$GN$679,6,0)</f>
        <v>112.6</v>
      </c>
      <c r="J225" s="1141">
        <f>VLOOKUP(J223,Base_Mensuelle!$GA$67:$GN$679,6,0)</f>
        <v>113.59</v>
      </c>
      <c r="K225" s="1141">
        <f>VLOOKUP(K223,Base_Mensuelle!$GA$67:$GN$679,6,0)</f>
        <v>113.87</v>
      </c>
      <c r="L225" s="1141">
        <f>VLOOKUP(L223,Base_Mensuelle!$GA$67:$GN$679,6,0)</f>
        <v>113.19</v>
      </c>
      <c r="M225" s="1463">
        <f>VLOOKUP(M223,Base_Mensuelle!$GA$67:$GN$679,6,0)</f>
        <v>107.65</v>
      </c>
    </row>
    <row r="226" spans="1:13" s="1125" customFormat="1">
      <c r="A226" s="1153" t="s">
        <v>240</v>
      </c>
      <c r="B226" s="1131">
        <f>VLOOKUP(B223,Base_Mensuelle!$GA$67:$GN$679,5,0)</f>
        <v>98.17</v>
      </c>
      <c r="C226" s="1131">
        <f>VLOOKUP(C223,Base_Mensuelle!$GA$67:$GN$679,5,0)</f>
        <v>104.87</v>
      </c>
      <c r="D226" s="1131">
        <f>VLOOKUP(D223,Base_Mensuelle!$GA$67:$GN$679,5,0)</f>
        <v>95.83</v>
      </c>
      <c r="E226" s="1131">
        <f>VLOOKUP(E223,Base_Mensuelle!$GA$67:$GN$679,5,0)</f>
        <v>91.83</v>
      </c>
      <c r="F226" s="1131">
        <f>VLOOKUP(F223,Base_Mensuelle!$GA$67:$GN$679,5,0)</f>
        <v>85.72</v>
      </c>
      <c r="G226" s="1131">
        <f>VLOOKUP(G223,Base_Mensuelle!$GA$67:$GN$679,5,0)</f>
        <v>85.78</v>
      </c>
      <c r="H226" s="1131">
        <f>VLOOKUP(H223,Base_Mensuelle!$GA$67:$GN$679,5,0)</f>
        <v>89.18</v>
      </c>
      <c r="I226" s="1131">
        <f>VLOOKUP(I223,Base_Mensuelle!$GA$67:$GN$679,5,0)</f>
        <v>94.01</v>
      </c>
      <c r="J226" s="1131">
        <f>VLOOKUP(J223,Base_Mensuelle!$GA$67:$GN$679,5,0)</f>
        <v>93.47</v>
      </c>
      <c r="K226" s="1131">
        <f>VLOOKUP(K223,Base_Mensuelle!$GA$67:$GN$679,5,0)</f>
        <v>102.37</v>
      </c>
      <c r="L226" s="1131">
        <f>VLOOKUP(L223,Base_Mensuelle!$GA$67:$GN$679,5,0)</f>
        <v>94.47</v>
      </c>
      <c r="M226" s="1464">
        <f>VLOOKUP(M223,Base_Mensuelle!$GA$67:$GN$679,5,0)</f>
        <v>94.02</v>
      </c>
    </row>
    <row r="227" spans="1:13" s="1125" customFormat="1">
      <c r="A227" s="1154" t="s">
        <v>242</v>
      </c>
      <c r="B227" s="1139">
        <f>VLOOKUP(B223,Base_Mensuelle!$GA$67:$GN$679,7,0)</f>
        <v>103.43</v>
      </c>
      <c r="C227" s="1139">
        <f>VLOOKUP(C223,Base_Mensuelle!$GA$67:$GN$679,7,0)</f>
        <v>103.4</v>
      </c>
      <c r="D227" s="1139">
        <f>VLOOKUP(D223,Base_Mensuelle!$GA$67:$GN$679,7,0)</f>
        <v>103.52</v>
      </c>
      <c r="E227" s="1139">
        <f>VLOOKUP(E223,Base_Mensuelle!$GA$67:$GN$679,7,0)</f>
        <v>103.55</v>
      </c>
      <c r="F227" s="1139">
        <f>VLOOKUP(F223,Base_Mensuelle!$GA$67:$GN$679,7,0)</f>
        <v>103.6</v>
      </c>
      <c r="G227" s="1139">
        <f>VLOOKUP(G223,Base_Mensuelle!$GA$67:$GN$679,7,0)</f>
        <v>103.89</v>
      </c>
      <c r="H227" s="1139">
        <f>VLOOKUP(H223,Base_Mensuelle!$GA$67:$GN$679,7,0)</f>
        <v>103.87</v>
      </c>
      <c r="I227" s="1139">
        <f>VLOOKUP(I223,Base_Mensuelle!$GA$67:$GN$679,7,0)</f>
        <v>104.04</v>
      </c>
      <c r="J227" s="1139">
        <f>VLOOKUP(J223,Base_Mensuelle!$GA$67:$GN$679,7,0)</f>
        <v>103.86</v>
      </c>
      <c r="K227" s="1139">
        <f>VLOOKUP(K223,Base_Mensuelle!$GA$67:$GN$679,7,0)</f>
        <v>104.04</v>
      </c>
      <c r="L227" s="1139">
        <f>VLOOKUP(L223,Base_Mensuelle!$GA$67:$GN$679,7,0)</f>
        <v>103.88</v>
      </c>
      <c r="M227" s="1465">
        <f>VLOOKUP(M223,Base_Mensuelle!$GA$67:$GN$679,7,0)</f>
        <v>103.68</v>
      </c>
    </row>
    <row r="228" spans="1:13" s="1125" customFormat="1">
      <c r="A228" s="1153" t="s">
        <v>806</v>
      </c>
      <c r="B228" s="1131">
        <f>VLOOKUP(B223,Base_Mensuelle!$GA$67:$GN$679,4,0)</f>
        <v>101.25</v>
      </c>
      <c r="C228" s="1131">
        <f>VLOOKUP(C223,Base_Mensuelle!$GA$67:$GN$679,4,0)</f>
        <v>102.68</v>
      </c>
      <c r="D228" s="1131">
        <f>VLOOKUP(D223,Base_Mensuelle!$GA$67:$GN$679,4,0)</f>
        <v>102.31</v>
      </c>
      <c r="E228" s="1131">
        <f>VLOOKUP(E223,Base_Mensuelle!$GA$67:$GN$679,4,0)</f>
        <v>102.34</v>
      </c>
      <c r="F228" s="1131">
        <f>VLOOKUP(F223,Base_Mensuelle!$GA$67:$GN$679,4,0)</f>
        <v>107.21</v>
      </c>
      <c r="G228" s="1131">
        <f>VLOOKUP(G223,Base_Mensuelle!$GA$67:$GN$679,4,0)</f>
        <v>105.45</v>
      </c>
      <c r="H228" s="1131">
        <f>VLOOKUP(H223,Base_Mensuelle!$GA$67:$GN$679,4,0)</f>
        <v>106.22</v>
      </c>
      <c r="I228" s="1131">
        <f>VLOOKUP(I223,Base_Mensuelle!$GA$67:$GN$679,4,0)</f>
        <v>107.34</v>
      </c>
      <c r="J228" s="1131">
        <f>VLOOKUP(J223,Base_Mensuelle!$GA$67:$GN$679,4,0)</f>
        <v>107.74</v>
      </c>
      <c r="K228" s="1131">
        <f>VLOOKUP(K223,Base_Mensuelle!$GA$67:$GN$679,4,0)</f>
        <v>108.79</v>
      </c>
      <c r="L228" s="1131">
        <f>VLOOKUP(L223,Base_Mensuelle!$GA$67:$GN$679,4,0)</f>
        <v>107.75</v>
      </c>
      <c r="M228" s="1464">
        <f>VLOOKUP(M223,Base_Mensuelle!$GA$67:$GN$679,4,0)</f>
        <v>105.49</v>
      </c>
    </row>
    <row r="229" spans="1:13" s="1125" customFormat="1">
      <c r="A229" s="1154" t="s">
        <v>805</v>
      </c>
      <c r="B229" s="1139">
        <f>VLOOKUP(B223,Base_Mensuelle!$GA$67:$GN$679,3,0)</f>
        <v>102.15</v>
      </c>
      <c r="C229" s="1139">
        <f>VLOOKUP(C223,Base_Mensuelle!$GA$67:$GN$679,3,0)</f>
        <v>102.16</v>
      </c>
      <c r="D229" s="1139">
        <f>VLOOKUP(D223,Base_Mensuelle!$GA$67:$GN$679,3,0)</f>
        <v>102.23</v>
      </c>
      <c r="E229" s="1139">
        <f>VLOOKUP(E223,Base_Mensuelle!$GA$67:$GN$679,3,0)</f>
        <v>100.61</v>
      </c>
      <c r="F229" s="1139">
        <f>VLOOKUP(F223,Base_Mensuelle!$GA$67:$GN$679,3,0)</f>
        <v>102.28</v>
      </c>
      <c r="G229" s="1139">
        <f>VLOOKUP(G223,Base_Mensuelle!$GA$67:$GN$679,3,0)</f>
        <v>102.22</v>
      </c>
      <c r="H229" s="1139">
        <f>VLOOKUP(H223,Base_Mensuelle!$GA$67:$GN$679,3,0)</f>
        <v>102.18</v>
      </c>
      <c r="I229" s="1139">
        <f>VLOOKUP(I223,Base_Mensuelle!$GA$67:$GN$679,3,0)</f>
        <v>103.29</v>
      </c>
      <c r="J229" s="1139">
        <f>VLOOKUP(J223,Base_Mensuelle!$GA$67:$GN$679,3,0)</f>
        <v>102.96</v>
      </c>
      <c r="K229" s="1139">
        <f>VLOOKUP(K223,Base_Mensuelle!$GA$67:$GN$679,3,0)</f>
        <v>102.65</v>
      </c>
      <c r="L229" s="1139">
        <f>VLOOKUP(L223,Base_Mensuelle!$GA$67:$GN$679,3,0)</f>
        <v>102.3</v>
      </c>
      <c r="M229" s="1465">
        <f>VLOOKUP(M223,Base_Mensuelle!$GA$67:$GN$679,3,0)</f>
        <v>101.86</v>
      </c>
    </row>
    <row r="230" spans="1:13" s="1125" customFormat="1">
      <c r="A230" s="415"/>
      <c r="B230" s="415"/>
      <c r="C230" s="415"/>
      <c r="D230" s="415"/>
      <c r="E230" s="415"/>
      <c r="F230" s="415"/>
      <c r="G230" s="415"/>
      <c r="H230" s="415"/>
      <c r="I230" s="415"/>
      <c r="J230" s="415"/>
      <c r="K230" s="415"/>
      <c r="L230" s="415"/>
      <c r="M230" s="415"/>
    </row>
    <row r="231" spans="1:13" s="1125" customFormat="1">
      <c r="A231" s="1446"/>
      <c r="B231" s="1522">
        <f>DATE(YEAR(INDEX(Base_Mensuelle!$GA$68:$GO$679,MAX(Base_Mensuelle!$GO$68:$GO$679),1))-2,1,1)</f>
        <v>44197</v>
      </c>
      <c r="C231" s="1522">
        <f>DATE(YEAR(INDEX(Base_Mensuelle!$GA$68:$GO$679,MAX(Base_Mensuelle!$GO$68:$GO$679),1))-2,2,1)</f>
        <v>44228</v>
      </c>
      <c r="D231" s="1522">
        <f>DATE(YEAR(INDEX(Base_Mensuelle!$GA$68:$GO$679,MAX(Base_Mensuelle!$GO$68:$GO$679),1))-2,3,1)</f>
        <v>44256</v>
      </c>
      <c r="E231" s="1522">
        <f>DATE(YEAR(INDEX(Base_Mensuelle!$GA$68:$GO$679,MAX(Base_Mensuelle!$GO$68:$GO$679),1))-2,4,1)</f>
        <v>44287</v>
      </c>
      <c r="F231" s="1522">
        <f>DATE(YEAR(INDEX(Base_Mensuelle!$GA$68:$GO$679,MAX(Base_Mensuelle!$GO$68:$GO$679),1))-2,5,1)</f>
        <v>44317</v>
      </c>
      <c r="G231" s="1522">
        <f>DATE(YEAR(INDEX(Base_Mensuelle!$GA$68:$GO$679,MAX(Base_Mensuelle!$GO$68:$GO$679),1))-2,6,1)</f>
        <v>44348</v>
      </c>
      <c r="H231" s="1522">
        <f>DATE(YEAR(INDEX(Base_Mensuelle!$GA$68:$GO$679,MAX(Base_Mensuelle!$GO$68:$GO$679),1))-2,7,1)</f>
        <v>44378</v>
      </c>
      <c r="I231" s="1522">
        <f>DATE(YEAR(INDEX(Base_Mensuelle!$GA$68:$GO$679,MAX(Base_Mensuelle!$GO$68:$GO$679),1))-2,8,1)</f>
        <v>44409</v>
      </c>
      <c r="J231" s="1522">
        <f>DATE(YEAR(INDEX(Base_Mensuelle!$GA$68:$GO$679,MAX(Base_Mensuelle!$GO$68:$GO$679),1))-2,9,1)</f>
        <v>44440</v>
      </c>
      <c r="K231" s="1522">
        <f>DATE(YEAR(INDEX(Base_Mensuelle!$GA$68:$GO$679,MAX(Base_Mensuelle!$GO$68:$GO$679),1))-2,10,1)</f>
        <v>44470</v>
      </c>
      <c r="L231" s="1522">
        <f>DATE(YEAR(INDEX(Base_Mensuelle!$GA$68:$GO$679,MAX(Base_Mensuelle!$GO$68:$GO$679),1))-2,11,1)</f>
        <v>44501</v>
      </c>
      <c r="M231" s="1522">
        <f>DATE(YEAR(INDEX(Base_Mensuelle!$GA$68:$GO$679,MAX(Base_Mensuelle!$GO$68:$GO$679),1))-2,12,1)</f>
        <v>44531</v>
      </c>
    </row>
    <row r="232" spans="1:13" s="1125" customFormat="1">
      <c r="A232" s="1151" t="s">
        <v>723</v>
      </c>
      <c r="B232" s="1142">
        <f>VLOOKUP(B231,Base_Mensuelle!$GA$67:$GN$679,2,0)</f>
        <v>104.33</v>
      </c>
      <c r="C232" s="1142">
        <f>VLOOKUP(C231,Base_Mensuelle!$GA$67:$GN$679,2,0)</f>
        <v>103.89</v>
      </c>
      <c r="D232" s="1142">
        <f>VLOOKUP(D231,Base_Mensuelle!$GA$67:$GN$679,2,0)</f>
        <v>104.54</v>
      </c>
      <c r="E232" s="1142">
        <f>VLOOKUP(E231,Base_Mensuelle!$GA$67:$GN$679,2,0)</f>
        <v>106.17</v>
      </c>
      <c r="F232" s="1142">
        <f>VLOOKUP(F231,Base_Mensuelle!$GA$67:$GN$679,2,0)</f>
        <v>107.95</v>
      </c>
      <c r="G232" s="1142">
        <f>VLOOKUP(G231,Base_Mensuelle!$GA$67:$GN$679,2,0)</f>
        <v>107.81</v>
      </c>
      <c r="H232" s="1142">
        <f>VLOOKUP(H231,Base_Mensuelle!$GA$67:$GN$679,2,0)</f>
        <v>108.37</v>
      </c>
      <c r="I232" s="1142">
        <f>VLOOKUP(I231,Base_Mensuelle!$GA$67:$GN$679,2,0)</f>
        <v>108.82</v>
      </c>
      <c r="J232" s="1142">
        <f>VLOOKUP(J231,Base_Mensuelle!$GA$67:$GN$679,2,0)</f>
        <v>110.69</v>
      </c>
      <c r="K232" s="1142">
        <f>VLOOKUP(K231,Base_Mensuelle!$GA$67:$GN$679,2,0)</f>
        <v>110.86</v>
      </c>
      <c r="L232" s="1142">
        <f>VLOOKUP(L231,Base_Mensuelle!$GA$67:$GN$679,2,0)</f>
        <v>112.12</v>
      </c>
      <c r="M232" s="1462" t="str">
        <f>VLOOKUP(M231,Base_Mensuelle!$GA$67:$GN$679,2,0)</f>
        <v>112,47</v>
      </c>
    </row>
    <row r="233" spans="1:13" s="1125" customFormat="1">
      <c r="A233" s="1152" t="s">
        <v>241</v>
      </c>
      <c r="B233" s="1141">
        <f>VLOOKUP(B231,Base_Mensuelle!$GA$67:$GN$679,6,0)</f>
        <v>107.64</v>
      </c>
      <c r="C233" s="1141">
        <f>VLOOKUP(C231,Base_Mensuelle!$GA$67:$GN$679,6,0)</f>
        <v>106.4</v>
      </c>
      <c r="D233" s="1141">
        <f>VLOOKUP(D231,Base_Mensuelle!$GA$67:$GN$679,6,0)</f>
        <v>108.32</v>
      </c>
      <c r="E233" s="1141">
        <f>VLOOKUP(E231,Base_Mensuelle!$GA$67:$GN$679,6,0)</f>
        <v>113.86</v>
      </c>
      <c r="F233" s="1141">
        <f>VLOOKUP(F231,Base_Mensuelle!$GA$67:$GN$679,6,0)</f>
        <v>118.18</v>
      </c>
      <c r="G233" s="1141">
        <f>VLOOKUP(G231,Base_Mensuelle!$GA$67:$GN$679,6,0)</f>
        <v>118.53</v>
      </c>
      <c r="H233" s="1141">
        <f>VLOOKUP(H231,Base_Mensuelle!$GA$67:$GN$679,6,0)</f>
        <v>120.69</v>
      </c>
      <c r="I233" s="1141">
        <f>VLOOKUP(I231,Base_Mensuelle!$GA$67:$GN$679,6,0)</f>
        <v>119.79</v>
      </c>
      <c r="J233" s="1141">
        <f>VLOOKUP(J231,Base_Mensuelle!$GA$67:$GN$679,6,0)</f>
        <v>123.38</v>
      </c>
      <c r="K233" s="1141">
        <f>VLOOKUP(K231,Base_Mensuelle!$GA$67:$GN$679,6,0)</f>
        <v>123.55</v>
      </c>
      <c r="L233" s="1141">
        <f>VLOOKUP(L231,Base_Mensuelle!$GA$67:$GN$679,6,0)</f>
        <v>126.77</v>
      </c>
      <c r="M233" s="1463">
        <f>VLOOKUP(M231,Base_Mensuelle!$GA$67:$GN$679,6,0)</f>
        <v>127.35</v>
      </c>
    </row>
    <row r="234" spans="1:13" s="1125" customFormat="1">
      <c r="A234" s="1153" t="s">
        <v>240</v>
      </c>
      <c r="B234" s="1131">
        <f>VLOOKUP(B231,Base_Mensuelle!$GA$67:$GN$679,5,0)</f>
        <v>94.02</v>
      </c>
      <c r="C234" s="1131">
        <f>VLOOKUP(C231,Base_Mensuelle!$GA$67:$GN$679,5,0)</f>
        <v>94.86</v>
      </c>
      <c r="D234" s="1131">
        <f>VLOOKUP(D231,Base_Mensuelle!$GA$67:$GN$679,5,0)</f>
        <v>95.96</v>
      </c>
      <c r="E234" s="1131">
        <f>VLOOKUP(E231,Base_Mensuelle!$GA$67:$GN$679,5,0)</f>
        <v>95.96</v>
      </c>
      <c r="F234" s="1131">
        <f>VLOOKUP(F231,Base_Mensuelle!$GA$67:$GN$679,5,0)</f>
        <v>96.31</v>
      </c>
      <c r="G234" s="1131">
        <f>VLOOKUP(G231,Base_Mensuelle!$GA$67:$GN$679,5,0)</f>
        <v>96.22</v>
      </c>
      <c r="H234" s="1131">
        <f>VLOOKUP(H231,Base_Mensuelle!$GA$67:$GN$679,5,0)</f>
        <v>93.94</v>
      </c>
      <c r="I234" s="1131">
        <f>VLOOKUP(I231,Base_Mensuelle!$GA$67:$GN$679,5,0)</f>
        <v>94.07</v>
      </c>
      <c r="J234" s="1131">
        <f>VLOOKUP(J231,Base_Mensuelle!$GA$67:$GN$679,5,0)</f>
        <v>95.82</v>
      </c>
      <c r="K234" s="1131">
        <f>VLOOKUP(K231,Base_Mensuelle!$GA$67:$GN$679,5,0)</f>
        <v>96.33</v>
      </c>
      <c r="L234" s="1131">
        <f>VLOOKUP(L231,Base_Mensuelle!$GA$67:$GN$679,5,0)</f>
        <v>97.65</v>
      </c>
      <c r="M234" s="1464">
        <f>VLOOKUP(M231,Base_Mensuelle!$GA$67:$GN$679,5,0)</f>
        <v>98.47</v>
      </c>
    </row>
    <row r="235" spans="1:13">
      <c r="A235" s="1154" t="s">
        <v>242</v>
      </c>
      <c r="B235" s="1139">
        <f>VLOOKUP(B231,Base_Mensuelle!$GA$67:$GN$679,7,0)</f>
        <v>103.95</v>
      </c>
      <c r="C235" s="1139">
        <f>VLOOKUP(C231,Base_Mensuelle!$GA$67:$GN$679,7,0)</f>
        <v>104.47</v>
      </c>
      <c r="D235" s="1139">
        <f>VLOOKUP(D231,Base_Mensuelle!$GA$67:$GN$679,7,0)</f>
        <v>104.49</v>
      </c>
      <c r="E235" s="1139">
        <f>VLOOKUP(E231,Base_Mensuelle!$GA$67:$GN$679,7,0)</f>
        <v>104.65</v>
      </c>
      <c r="F235" s="1139">
        <f>VLOOKUP(F231,Base_Mensuelle!$GA$67:$GN$679,7,0)</f>
        <v>105.55</v>
      </c>
      <c r="G235" s="1139">
        <f>VLOOKUP(G231,Base_Mensuelle!$GA$67:$GN$679,7,0)</f>
        <v>105.55</v>
      </c>
      <c r="H235" s="1139">
        <f>VLOOKUP(H231,Base_Mensuelle!$GA$67:$GN$679,7,0)</f>
        <v>105.37</v>
      </c>
      <c r="I235" s="1139">
        <f>VLOOKUP(I231,Base_Mensuelle!$GA$67:$GN$679,7,0)</f>
        <v>106.24</v>
      </c>
      <c r="J235" s="1139">
        <f>VLOOKUP(J231,Base_Mensuelle!$GA$67:$GN$679,7,0)</f>
        <v>107.1</v>
      </c>
      <c r="K235" s="1139">
        <f>VLOOKUP(K231,Base_Mensuelle!$GA$67:$GN$679,7,0)</f>
        <v>107.38</v>
      </c>
      <c r="L235" s="1139">
        <f>VLOOKUP(L231,Base_Mensuelle!$GA$67:$GN$679,7,0)</f>
        <v>107.7</v>
      </c>
      <c r="M235" s="1465">
        <f>VLOOKUP(M231,Base_Mensuelle!$GA$67:$GN$679,7,0)</f>
        <v>108</v>
      </c>
    </row>
    <row r="236" spans="1:13">
      <c r="A236" s="1153" t="s">
        <v>806</v>
      </c>
      <c r="B236" s="1131">
        <f>VLOOKUP(B231,Base_Mensuelle!$GA$67:$GN$679,4,0)</f>
        <v>105.59</v>
      </c>
      <c r="C236" s="1131">
        <f>VLOOKUP(C231,Base_Mensuelle!$GA$67:$GN$679,4,0)</f>
        <v>105.42</v>
      </c>
      <c r="D236" s="1131">
        <f>VLOOKUP(D231,Base_Mensuelle!$GA$67:$GN$679,4,0)</f>
        <v>106.26</v>
      </c>
      <c r="E236" s="1131">
        <f>VLOOKUP(E231,Base_Mensuelle!$GA$67:$GN$679,4,0)</f>
        <v>108.35</v>
      </c>
      <c r="F236" s="1131">
        <f>VLOOKUP(F231,Base_Mensuelle!$GA$67:$GN$679,4,0)</f>
        <v>111.08</v>
      </c>
      <c r="G236" s="1131">
        <f>VLOOKUP(G231,Base_Mensuelle!$GA$67:$GN$679,4,0)</f>
        <v>111.11</v>
      </c>
      <c r="H236" s="1131">
        <f>VLOOKUP(H231,Base_Mensuelle!$GA$67:$GN$679,4,0)</f>
        <v>111.26</v>
      </c>
      <c r="I236" s="1131">
        <f>VLOOKUP(I231,Base_Mensuelle!$GA$67:$GN$679,4,0)</f>
        <v>111.72</v>
      </c>
      <c r="J236" s="1131">
        <f>VLOOKUP(J231,Base_Mensuelle!$GA$67:$GN$679,4,0)</f>
        <v>114.23</v>
      </c>
      <c r="K236" s="1131">
        <f>VLOOKUP(K231,Base_Mensuelle!$GA$67:$GN$679,4,0)</f>
        <v>114.62</v>
      </c>
      <c r="L236" s="1131">
        <f>VLOOKUP(L231,Base_Mensuelle!$GA$67:$GN$679,4,0)</f>
        <v>116.47</v>
      </c>
      <c r="M236" s="1464">
        <f>VLOOKUP(M231,Base_Mensuelle!$GA$67:$GN$679,4,0)</f>
        <v>117.05</v>
      </c>
    </row>
    <row r="237" spans="1:13">
      <c r="A237" s="1154" t="s">
        <v>805</v>
      </c>
      <c r="B237" s="1139">
        <f>VLOOKUP(B231,Base_Mensuelle!$GA$67:$GN$679,3,0)</f>
        <v>102.4</v>
      </c>
      <c r="C237" s="1139">
        <f>VLOOKUP(C231,Base_Mensuelle!$GA$67:$GN$679,3,0)</f>
        <v>101.68</v>
      </c>
      <c r="D237" s="1139">
        <f>VLOOKUP(D231,Base_Mensuelle!$GA$67:$GN$679,3,0)</f>
        <v>101.69</v>
      </c>
      <c r="E237" s="1139">
        <f>VLOOKUP(E231,Base_Mensuelle!$GA$67:$GN$679,3,0)</f>
        <v>102.37</v>
      </c>
      <c r="F237" s="1139">
        <f>VLOOKUP(F231,Base_Mensuelle!$GA$67:$GN$679,3,0)</f>
        <v>102.19</v>
      </c>
      <c r="G237" s="1139">
        <f>VLOOKUP(G231,Base_Mensuelle!$GA$67:$GN$679,3,0)</f>
        <v>102.02</v>
      </c>
      <c r="H237" s="1139">
        <f>VLOOKUP(H231,Base_Mensuelle!$GA$67:$GN$679,3,0)</f>
        <v>103.36</v>
      </c>
      <c r="I237" s="1139">
        <f>VLOOKUP(I231,Base_Mensuelle!$GA$67:$GN$679,3,0)</f>
        <v>103.62</v>
      </c>
      <c r="J237" s="1139">
        <f>VLOOKUP(J231,Base_Mensuelle!$GA$67:$GN$679,3,0)</f>
        <v>103.98</v>
      </c>
      <c r="K237" s="1139">
        <f>VLOOKUP(K231,Base_Mensuelle!$GA$67:$GN$679,3,0)</f>
        <v>103.55</v>
      </c>
      <c r="L237" s="1139">
        <f>VLOOKUP(L231,Base_Mensuelle!$GA$67:$GN$679,3,0)</f>
        <v>103.47</v>
      </c>
      <c r="M237" s="1465">
        <f>VLOOKUP(M231,Base_Mensuelle!$GA$67:$GN$679,3,0)</f>
        <v>103.52</v>
      </c>
    </row>
    <row r="238" spans="1:13">
      <c r="A238" s="1140"/>
      <c r="B238" s="1139"/>
      <c r="C238" s="1139"/>
      <c r="D238" s="1139"/>
      <c r="E238" s="1139"/>
      <c r="F238" s="1139"/>
      <c r="G238" s="1139"/>
      <c r="H238" s="1139"/>
      <c r="I238" s="1139"/>
      <c r="J238" s="1139"/>
      <c r="K238" s="1139"/>
      <c r="L238" s="1139"/>
      <c r="M238" s="1139"/>
    </row>
    <row r="239" spans="1:13">
      <c r="A239" s="1457"/>
      <c r="B239" s="1521">
        <f>DATE(YEAR(INDEX(Base_Mensuelle!$GA$68:$GO$679,MAX(Base_Mensuelle!$GO$68:$GO$679),1))-1,1,1)</f>
        <v>44562</v>
      </c>
      <c r="C239" s="1521">
        <f>DATE(YEAR(INDEX(Base_Mensuelle!$GA$68:$GO$679,MAX(Base_Mensuelle!$GO$68:$GO$679),1))-1,2,1)</f>
        <v>44593</v>
      </c>
      <c r="D239" s="1521">
        <f>DATE(YEAR(INDEX(Base_Mensuelle!$GA$68:$GO$679,MAX(Base_Mensuelle!$GO$68:$GO$679),1))-1,3,1)</f>
        <v>44621</v>
      </c>
      <c r="E239" s="1521">
        <f>DATE(YEAR(INDEX(Base_Mensuelle!$GA$68:$GO$679,MAX(Base_Mensuelle!$GO$68:$GO$679),1))-1,4,1)</f>
        <v>44652</v>
      </c>
      <c r="F239" s="1521">
        <f>DATE(YEAR(INDEX(Base_Mensuelle!$GA$68:$GO$679,MAX(Base_Mensuelle!$GO$68:$GO$679),1))-1,5,1)</f>
        <v>44682</v>
      </c>
      <c r="G239" s="1521">
        <f>DATE(YEAR(INDEX(Base_Mensuelle!$GA$68:$GO$679,MAX(Base_Mensuelle!$GO$68:$GO$679),1))-1,6,1)</f>
        <v>44713</v>
      </c>
      <c r="H239" s="1521">
        <f>DATE(YEAR(INDEX(Base_Mensuelle!$GA$68:$GO$679,MAX(Base_Mensuelle!$GO$68:$GO$679),1))-1,7,1)</f>
        <v>44743</v>
      </c>
      <c r="I239" s="1521">
        <f>DATE(YEAR(INDEX(Base_Mensuelle!$GA$68:$GO$679,MAX(Base_Mensuelle!$GO$68:$GO$679),1))-1,8,1)</f>
        <v>44774</v>
      </c>
      <c r="J239" s="1521">
        <f>DATE(YEAR(INDEX(Base_Mensuelle!$GA$68:$GO$679,MAX(Base_Mensuelle!$GO$68:$GO$679),1))-1,9,1)</f>
        <v>44805</v>
      </c>
      <c r="K239" s="1521">
        <f>DATE(YEAR(INDEX(Base_Mensuelle!$GA$68:$GO$679,MAX(Base_Mensuelle!$GO$68:$GO$679),1))-1,10,1)</f>
        <v>44835</v>
      </c>
      <c r="L239" s="1521">
        <f>DATE(YEAR(INDEX(Base_Mensuelle!$GA$68:$GO$679,MAX(Base_Mensuelle!$GO$68:$GO$679),1))-1,11,1)</f>
        <v>44866</v>
      </c>
      <c r="M239" s="1521">
        <f>DATE(YEAR(INDEX(Base_Mensuelle!$GA$68:$GO$679,MAX(Base_Mensuelle!$GO$68:$GO$679),1))-1,12,1)</f>
        <v>44896</v>
      </c>
    </row>
    <row r="240" spans="1:13">
      <c r="A240" s="1151" t="s">
        <v>723</v>
      </c>
      <c r="B240" s="1142">
        <f>VLOOKUP(B239,Base_Mensuelle!$GA$67:$GN$679,2,0)</f>
        <v>111.81</v>
      </c>
      <c r="C240" s="1142">
        <f>VLOOKUP(C239,Base_Mensuelle!$GA$67:$GN$679,2,0)</f>
        <v>114.39</v>
      </c>
      <c r="D240" s="1142">
        <f>VLOOKUP(D239,Base_Mensuelle!$GA$67:$GN$679,2,0)</f>
        <v>118.64</v>
      </c>
      <c r="E240" s="1142">
        <f>VLOOKUP(E239,Base_Mensuelle!$GA$67:$GN$679,2,0)</f>
        <v>122.22</v>
      </c>
      <c r="F240" s="1142">
        <f>VLOOKUP(F239,Base_Mensuelle!$GA$67:$GN$679,2,0)</f>
        <v>124.51</v>
      </c>
      <c r="G240" s="1142">
        <f>VLOOKUP(G239,Base_Mensuelle!$GA$67:$GN$679,2,0)</f>
        <v>126.95</v>
      </c>
      <c r="H240" s="1142">
        <f>VLOOKUP(H239,Base_Mensuelle!$GA$67:$GN$679,2,0)</f>
        <v>128.13</v>
      </c>
      <c r="I240" s="1142">
        <f>VLOOKUP(I239,Base_Mensuelle!$GA$67:$GN$679,2,0)</f>
        <v>128.53</v>
      </c>
      <c r="J240" s="1142">
        <f>VLOOKUP(J239,Base_Mensuelle!$GA$67:$GN$679,2,0)</f>
        <v>128.91</v>
      </c>
      <c r="K240" s="1142">
        <f>VLOOKUP(K239,Base_Mensuelle!$GA$67:$GN$679,2,0)</f>
        <v>127.54</v>
      </c>
      <c r="L240" s="1142">
        <f>VLOOKUP(L239,Base_Mensuelle!$GA$67:$GN$679,2,0)</f>
        <v>125.75</v>
      </c>
      <c r="M240" s="1462">
        <f>VLOOKUP(M239,Base_Mensuelle!$GA$67:$GN$679,2,0)</f>
        <v>123.24</v>
      </c>
    </row>
    <row r="241" spans="1:15">
      <c r="A241" s="1152" t="s">
        <v>241</v>
      </c>
      <c r="B241" s="1141">
        <f>VLOOKUP(B239,Base_Mensuelle!$GA$67:$GN$679,6,0)</f>
        <v>128.06</v>
      </c>
      <c r="C241" s="1141">
        <f>VLOOKUP(C239,Base_Mensuelle!$GA$67:$GN$679,6,0)</f>
        <v>134.32</v>
      </c>
      <c r="D241" s="1141">
        <f>VLOOKUP(D239,Base_Mensuelle!$GA$67:$GN$679,6,0)</f>
        <v>145.58000000000001</v>
      </c>
      <c r="E241" s="1141">
        <f>VLOOKUP(E239,Base_Mensuelle!$GA$67:$GN$679,6,0)</f>
        <v>156.66</v>
      </c>
      <c r="F241" s="1141">
        <f>VLOOKUP(F239,Base_Mensuelle!$GA$67:$GN$679,6,0)</f>
        <v>161.35</v>
      </c>
      <c r="G241" s="1141">
        <f>VLOOKUP(G239,Base_Mensuelle!$GA$67:$GN$679,6,0)</f>
        <v>166.97</v>
      </c>
      <c r="H241" s="1141">
        <f>VLOOKUP(H239,Base_Mensuelle!$GA$67:$GN$679,6,0)</f>
        <v>169.92</v>
      </c>
      <c r="I241" s="1141">
        <f>VLOOKUP(I239,Base_Mensuelle!$GA$67:$GN$679,6,0)</f>
        <v>168.88</v>
      </c>
      <c r="J241" s="1141">
        <f>VLOOKUP(J239,Base_Mensuelle!$GA$67:$GN$679,6,0)</f>
        <v>170.22</v>
      </c>
      <c r="K241" s="1141">
        <f>VLOOKUP(K239,Base_Mensuelle!$GA$67:$GN$679,6,0)</f>
        <v>165.76</v>
      </c>
      <c r="L241" s="1141">
        <f>VLOOKUP(L239,Base_Mensuelle!$GA$67:$GN$679,6,0)</f>
        <v>160.65</v>
      </c>
      <c r="M241" s="1463">
        <f>VLOOKUP(M239,Base_Mensuelle!$GA$67:$GN$679,6,0)</f>
        <v>154.32</v>
      </c>
    </row>
    <row r="242" spans="1:15">
      <c r="A242" s="1153" t="s">
        <v>240</v>
      </c>
      <c r="B242" s="1131">
        <f>VLOOKUP(B239,Base_Mensuelle!$GA$67:$GN$679,5,0)</f>
        <v>91.12</v>
      </c>
      <c r="C242" s="1131">
        <f>VLOOKUP(C239,Base_Mensuelle!$GA$67:$GN$679,5,0)</f>
        <v>94.75</v>
      </c>
      <c r="D242" s="1131">
        <f>VLOOKUP(D239,Base_Mensuelle!$GA$67:$GN$679,5,0)</f>
        <v>93.92</v>
      </c>
      <c r="E242" s="1131">
        <f>VLOOKUP(E239,Base_Mensuelle!$GA$67:$GN$679,5,0)</f>
        <v>97.37</v>
      </c>
      <c r="F242" s="1131">
        <f>VLOOKUP(F239,Base_Mensuelle!$GA$67:$GN$679,5,0)</f>
        <v>102.37</v>
      </c>
      <c r="G242" s="1131">
        <f>VLOOKUP(G239,Base_Mensuelle!$GA$67:$GN$679,5,0)</f>
        <v>103.9</v>
      </c>
      <c r="H242" s="1131">
        <f>VLOOKUP(H239,Base_Mensuelle!$GA$67:$GN$679,5,0)</f>
        <v>103.94</v>
      </c>
      <c r="I242" s="1131">
        <f>VLOOKUP(I239,Base_Mensuelle!$GA$67:$GN$679,5,0)</f>
        <v>109.47</v>
      </c>
      <c r="J242" s="1131">
        <f>VLOOKUP(J239,Base_Mensuelle!$GA$67:$GN$679,5,0)</f>
        <v>108.87</v>
      </c>
      <c r="K242" s="1131">
        <f>VLOOKUP(K239,Base_Mensuelle!$GA$67:$GN$679,5,0)</f>
        <v>108.72</v>
      </c>
      <c r="L242" s="1131">
        <f>VLOOKUP(L239,Base_Mensuelle!$GA$67:$GN$679,5,0)</f>
        <v>108.16</v>
      </c>
      <c r="M242" s="1464">
        <f>VLOOKUP(M239,Base_Mensuelle!$GA$67:$GN$679,5,0)</f>
        <v>109.05</v>
      </c>
    </row>
    <row r="243" spans="1:15">
      <c r="A243" s="1154" t="s">
        <v>242</v>
      </c>
      <c r="B243" s="1139">
        <f>VLOOKUP(B239,Base_Mensuelle!$GA$67:$GN$679,7,0)</f>
        <v>107.49</v>
      </c>
      <c r="C243" s="1139">
        <f>VLOOKUP(C239,Base_Mensuelle!$GA$67:$GN$679,7,0)</f>
        <v>108.08</v>
      </c>
      <c r="D243" s="1139">
        <f>VLOOKUP(D239,Base_Mensuelle!$GA$67:$GN$679,7,0)</f>
        <v>109.17</v>
      </c>
      <c r="E243" s="1139">
        <f>VLOOKUP(E239,Base_Mensuelle!$GA$67:$GN$679,7,0)</f>
        <v>109.71</v>
      </c>
      <c r="F243" s="1139">
        <f>VLOOKUP(F239,Base_Mensuelle!$GA$67:$GN$679,7,0)</f>
        <v>110.98</v>
      </c>
      <c r="G243" s="1139">
        <f>VLOOKUP(G239,Base_Mensuelle!$GA$67:$GN$679,7,0)</f>
        <v>111.5</v>
      </c>
      <c r="H243" s="1139">
        <f>VLOOKUP(H239,Base_Mensuelle!$GA$67:$GN$679,7,0)</f>
        <v>111.78</v>
      </c>
      <c r="I243" s="1139">
        <f>VLOOKUP(I239,Base_Mensuelle!$GA$67:$GN$679,7,0)</f>
        <v>112.18</v>
      </c>
      <c r="J243" s="1139">
        <f>VLOOKUP(J239,Base_Mensuelle!$GA$67:$GN$679,7,0)</f>
        <v>111.89</v>
      </c>
      <c r="K243" s="1139">
        <f>VLOOKUP(K239,Base_Mensuelle!$GA$67:$GN$679,7,0)</f>
        <v>111.69</v>
      </c>
      <c r="L243" s="1139">
        <f>VLOOKUP(L239,Base_Mensuelle!$GA$67:$GN$679,7,0)</f>
        <v>111.27</v>
      </c>
      <c r="M243" s="1465">
        <f>VLOOKUP(M239,Base_Mensuelle!$GA$67:$GN$679,7,0)</f>
        <v>110.78</v>
      </c>
    </row>
    <row r="244" spans="1:15">
      <c r="A244" s="1153" t="s">
        <v>806</v>
      </c>
      <c r="B244" s="1131">
        <f>VLOOKUP(B239,Base_Mensuelle!$GA$67:$GN$679,4,0)</f>
        <v>116.46</v>
      </c>
      <c r="C244" s="1131">
        <f>VLOOKUP(C239,Base_Mensuelle!$GA$67:$GN$679,4,0)</f>
        <v>119.76</v>
      </c>
      <c r="D244" s="1131">
        <f>VLOOKUP(D239,Base_Mensuelle!$GA$67:$GN$679,4,0)</f>
        <v>125.39</v>
      </c>
      <c r="E244" s="1131">
        <f>VLOOKUP(E239,Base_Mensuelle!$GA$67:$GN$679,4,0)</f>
        <v>129.43</v>
      </c>
      <c r="F244" s="1131">
        <f>VLOOKUP(F239,Base_Mensuelle!$GA$67:$GN$679,4,0)</f>
        <v>132.58000000000001</v>
      </c>
      <c r="G244" s="1131">
        <f>VLOOKUP(G239,Base_Mensuelle!$GA$67:$GN$679,4,0)</f>
        <v>135.55000000000001</v>
      </c>
      <c r="H244" s="1131">
        <f>VLOOKUP(H239,Base_Mensuelle!$GA$67:$GN$679,4,0)</f>
        <v>137.35</v>
      </c>
      <c r="I244" s="1131">
        <f>VLOOKUP(I239,Base_Mensuelle!$GA$67:$GN$679,4,0)</f>
        <v>137.59</v>
      </c>
      <c r="J244" s="1131">
        <f>VLOOKUP(J239,Base_Mensuelle!$GA$67:$GN$679,4,0)</f>
        <v>137.72999999999999</v>
      </c>
      <c r="K244" s="1131">
        <f>VLOOKUP(K239,Base_Mensuelle!$GA$67:$GN$679,4,0)</f>
        <v>135.83000000000001</v>
      </c>
      <c r="L244" s="1131">
        <f>VLOOKUP(L239,Base_Mensuelle!$GA$67:$GN$679,4,0)</f>
        <v>133.56</v>
      </c>
      <c r="M244" s="1464">
        <f>VLOOKUP(M239,Base_Mensuelle!$GA$67:$GN$679,4,0)</f>
        <v>129.72999999999999</v>
      </c>
    </row>
    <row r="245" spans="1:15">
      <c r="A245" s="1154" t="s">
        <v>805</v>
      </c>
      <c r="B245" s="1139">
        <f>VLOOKUP(B239,Base_Mensuelle!$GA$67:$GN$679,3,0)</f>
        <v>102.87</v>
      </c>
      <c r="C245" s="1139">
        <f>VLOOKUP(C239,Base_Mensuelle!$GA$67:$GN$679,3,0)</f>
        <v>103.9</v>
      </c>
      <c r="D245" s="1139">
        <f>VLOOKUP(D239,Base_Mensuelle!$GA$67:$GN$679,3,0)</f>
        <v>104.5</v>
      </c>
      <c r="E245" s="1139">
        <f>VLOOKUP(E239,Base_Mensuelle!$GA$67:$GN$679,3,0)</f>
        <v>107.38</v>
      </c>
      <c r="F245" s="1139">
        <f>VLOOKUP(F239,Base_Mensuelle!$GA$67:$GN$679,3,0)</f>
        <v>107.75</v>
      </c>
      <c r="G245" s="1139">
        <f>VLOOKUP(G239,Base_Mensuelle!$GA$67:$GN$679,3,0)</f>
        <v>108.7</v>
      </c>
      <c r="H245" s="1139">
        <f>VLOOKUP(H239,Base_Mensuelle!$GA$67:$GN$679,3,0)</f>
        <v>108.52</v>
      </c>
      <c r="I245" s="1139">
        <f>VLOOKUP(I239,Base_Mensuelle!$GA$67:$GN$679,3,0)</f>
        <v>108.99</v>
      </c>
      <c r="J245" s="1139">
        <f>VLOOKUP(J239,Base_Mensuelle!$GA$67:$GN$679,3,0)</f>
        <v>109.9</v>
      </c>
      <c r="K245" s="1139">
        <f>VLOOKUP(K239,Base_Mensuelle!$GA$67:$GN$679,3,0)</f>
        <v>109.65</v>
      </c>
      <c r="L245" s="1139">
        <f>VLOOKUP(L239,Base_Mensuelle!$GA$67:$GN$679,3,0)</f>
        <v>109.02</v>
      </c>
      <c r="M245" s="1465">
        <f>VLOOKUP(M239,Base_Mensuelle!$GA$67:$GN$679,3,0)</f>
        <v>109.63</v>
      </c>
    </row>
    <row r="247" spans="1:15">
      <c r="A247" s="1457"/>
      <c r="B247" s="1521">
        <f>DATE(YEAR(INDEX(Base_Mensuelle!$GA$68:$GO$679,MAX(Base_Mensuelle!$GO$68:$GO$679),1)),1,1)</f>
        <v>44927</v>
      </c>
      <c r="C247" s="1521">
        <f>DATE(YEAR(INDEX(Base_Mensuelle!$GA$68:$GO$679,MAX(Base_Mensuelle!$GO$68:$GO$679),1)),2,1)</f>
        <v>44958</v>
      </c>
      <c r="D247" s="1521">
        <f>DATE(YEAR(INDEX(Base_Mensuelle!$GA$68:$GO$679,MAX(Base_Mensuelle!$GO$68:$GO$679),1)),3,1)</f>
        <v>44986</v>
      </c>
      <c r="E247" s="1521">
        <f>DATE(YEAR(INDEX(Base_Mensuelle!$GA$68:$GO$679,MAX(Base_Mensuelle!$GO$68:$GO$679),1)),4,1)</f>
        <v>45017</v>
      </c>
      <c r="F247" s="1521">
        <f>DATE(YEAR(INDEX(Base_Mensuelle!$GA$68:$GO$679,MAX(Base_Mensuelle!$GO$68:$GO$679),1)),5,1)</f>
        <v>45047</v>
      </c>
      <c r="G247" s="1521">
        <f>DATE(YEAR(INDEX(Base_Mensuelle!$GA$68:$GO$679,MAX(Base_Mensuelle!$GO$68:$GO$679),1)),6,1)</f>
        <v>45078</v>
      </c>
      <c r="H247" s="1521">
        <f>DATE(YEAR(INDEX(Base_Mensuelle!$GA$68:$GO$679,MAX(Base_Mensuelle!$GO$68:$GO$679),1)),7,1)</f>
        <v>45108</v>
      </c>
      <c r="I247" s="1521">
        <f>DATE(YEAR(INDEX(Base_Mensuelle!$GA$68:$GO$679,MAX(Base_Mensuelle!$GO$68:$GO$679),1)),8,1)</f>
        <v>45139</v>
      </c>
      <c r="J247" s="1521">
        <f>DATE(YEAR(INDEX(Base_Mensuelle!$GA$68:$GO$679,MAX(Base_Mensuelle!$GO$68:$GO$679),1)),9,1)</f>
        <v>45170</v>
      </c>
      <c r="K247" s="1521">
        <f>DATE(YEAR(INDEX(Base_Mensuelle!$GA$68:$GO$679,MAX(Base_Mensuelle!$GO$68:$GO$679),1)),10,1)</f>
        <v>45200</v>
      </c>
      <c r="L247" s="1521">
        <f>DATE(YEAR(INDEX(Base_Mensuelle!$GA$68:$GO$679,MAX(Base_Mensuelle!$GO$68:$GO$679),1)),11,1)</f>
        <v>45231</v>
      </c>
      <c r="M247" s="1521">
        <f>DATE(YEAR(INDEX(Base_Mensuelle!$GA$68:$GO$679,MAX(Base_Mensuelle!$GO$68:$GO$679),1)),12,1)</f>
        <v>45261</v>
      </c>
    </row>
    <row r="248" spans="1:15">
      <c r="A248" s="1151" t="s">
        <v>723</v>
      </c>
      <c r="B248" s="1142">
        <f>VLOOKUP(B247,Base_Mensuelle!$GA$67:$GN$679,2,0)</f>
        <v>121</v>
      </c>
      <c r="C248" s="1142">
        <f>VLOOKUP(C247,Base_Mensuelle!$GA$67:$GN$679,2,0)</f>
        <v>121.33</v>
      </c>
      <c r="D248" s="1142">
        <f>VLOOKUP(D247,Base_Mensuelle!$GA$67:$GN$679,2,0)</f>
        <v>122.1</v>
      </c>
      <c r="E248" s="1142">
        <f>VLOOKUP(E247,Base_Mensuelle!$GA$67:$GN$679,2,0)</f>
        <v>122.5</v>
      </c>
      <c r="F248" s="1142">
        <f>VLOOKUP(F247,Base_Mensuelle!$GA$67:$GN$679,2,0)</f>
        <v>124.1</v>
      </c>
      <c r="G248" s="1142">
        <f>VLOOKUP(G247,Base_Mensuelle!$GA$67:$GN$679,2,0)</f>
        <v>126</v>
      </c>
      <c r="H248" s="1142">
        <f>VLOOKUP(H247,Base_Mensuelle!$GA$67:$GN$679,2,0)</f>
        <v>126.7</v>
      </c>
      <c r="I248" s="1142">
        <f>VLOOKUP(I247,Base_Mensuelle!$GA$67:$GN$679,2,0)</f>
        <v>126</v>
      </c>
      <c r="J248" s="1142">
        <f>VLOOKUP(J247,Base_Mensuelle!$GA$67:$GN$679,2,0)</f>
        <v>125.6</v>
      </c>
      <c r="K248" s="1142">
        <f>VLOOKUP(K247,Base_Mensuelle!$GA$67:$GN$679,2,0)</f>
        <v>125.5</v>
      </c>
      <c r="L248" s="1142">
        <f>VLOOKUP(L247,Base_Mensuelle!$GA$67:$GN$679,2,0)</f>
        <v>126.32015672999999</v>
      </c>
      <c r="M248" s="1142">
        <f>VLOOKUP(M247,Base_Mensuelle!$GA$67:$GN$679,2,0)</f>
        <v>124.51924911000002</v>
      </c>
      <c r="O248" s="1520"/>
    </row>
    <row r="249" spans="1:15">
      <c r="A249" s="1152" t="s">
        <v>241</v>
      </c>
      <c r="B249" s="1141">
        <f>VLOOKUP(B247,Base_Mensuelle!$GA$67:$GN$679,6,0)</f>
        <v>146.38</v>
      </c>
      <c r="C249" s="1141">
        <f>VLOOKUP(C247,Base_Mensuelle!$GA$67:$GN$679,6,0)</f>
        <v>147.56</v>
      </c>
      <c r="D249" s="1141">
        <f>VLOOKUP(D247,Base_Mensuelle!$GA$67:$GN$679,6,0)</f>
        <v>148.69999999999999</v>
      </c>
      <c r="E249" s="1141">
        <f>VLOOKUP(E247,Base_Mensuelle!$GA$67:$GN$679,6,0)</f>
        <v>149.5</v>
      </c>
      <c r="F249" s="1141">
        <f>VLOOKUP(F247,Base_Mensuelle!$GA$67:$GN$679,6,0)</f>
        <v>153.69999999999999</v>
      </c>
      <c r="G249" s="1141">
        <f>VLOOKUP(G247,Base_Mensuelle!$GA$67:$GN$679,6,0)</f>
        <v>158.30000000000001</v>
      </c>
      <c r="H249" s="1141">
        <f>VLOOKUP(H247,Base_Mensuelle!$GA$67:$GN$679,6,0)</f>
        <v>158.5</v>
      </c>
      <c r="I249" s="1141">
        <f>VLOOKUP(I247,Base_Mensuelle!$GA$67:$GN$679,6,0)</f>
        <v>156.4</v>
      </c>
      <c r="J249" s="1141">
        <f>VLOOKUP(J247,Base_Mensuelle!$GA$67:$GN$679,6,0)</f>
        <v>154.5</v>
      </c>
      <c r="K249" s="1141">
        <f>VLOOKUP(K247,Base_Mensuelle!$GA$67:$GN$679,6,0)</f>
        <v>153.4</v>
      </c>
      <c r="L249" s="1141">
        <f>VLOOKUP(L247,Base_Mensuelle!$GA$67:$GN$679,6,0)</f>
        <v>155.63</v>
      </c>
      <c r="M249" s="1141">
        <f>VLOOKUP(M247,Base_Mensuelle!$GA$67:$GN$679,6,0)</f>
        <v>150.68</v>
      </c>
    </row>
    <row r="250" spans="1:15">
      <c r="A250" s="1153" t="s">
        <v>240</v>
      </c>
      <c r="B250" s="1131">
        <f>VLOOKUP(B247,Base_Mensuelle!$GA$67:$GN$679,5,0)</f>
        <v>112.56</v>
      </c>
      <c r="C250" s="1131">
        <f>VLOOKUP(C247,Base_Mensuelle!$GA$67:$GN$679,5,0)</f>
        <v>113.77</v>
      </c>
      <c r="D250" s="1131">
        <f>VLOOKUP(D247,Base_Mensuelle!$GA$67:$GN$679,5,0)</f>
        <v>114.3</v>
      </c>
      <c r="E250" s="1131">
        <f>VLOOKUP(E247,Base_Mensuelle!$GA$67:$GN$679,5,0)</f>
        <v>114</v>
      </c>
      <c r="F250" s="1131">
        <f>VLOOKUP(F247,Base_Mensuelle!$GA$67:$GN$679,5,0)</f>
        <v>114.1</v>
      </c>
      <c r="G250" s="1131">
        <f>VLOOKUP(G247,Base_Mensuelle!$GA$67:$GN$679,5,0)</f>
        <v>122.2</v>
      </c>
      <c r="H250" s="1131">
        <f>VLOOKUP(H247,Base_Mensuelle!$GA$67:$GN$679,5,0)</f>
        <v>124.7</v>
      </c>
      <c r="I250" s="1131">
        <f>VLOOKUP(I247,Base_Mensuelle!$GA$67:$GN$679,5,0)</f>
        <v>126.5</v>
      </c>
      <c r="J250" s="1131">
        <f>VLOOKUP(J247,Base_Mensuelle!$GA$67:$GN$679,5,0)</f>
        <v>125.1</v>
      </c>
      <c r="K250" s="1131">
        <f>VLOOKUP(K247,Base_Mensuelle!$GA$67:$GN$679,5,0)</f>
        <v>125.8</v>
      </c>
      <c r="L250" s="1131">
        <f>VLOOKUP(L247,Base_Mensuelle!$GA$67:$GN$679,5,0)</f>
        <v>126.86</v>
      </c>
      <c r="M250" s="1131">
        <f>VLOOKUP(M247,Base_Mensuelle!$GA$67:$GN$679,5,0)</f>
        <v>125.87</v>
      </c>
    </row>
    <row r="251" spans="1:15">
      <c r="A251" s="1154" t="s">
        <v>242</v>
      </c>
      <c r="B251" s="1139">
        <f>VLOOKUP(B247,Base_Mensuelle!$GA$67:$GN$679,7,0)</f>
        <v>111.19</v>
      </c>
      <c r="C251" s="1139">
        <f>VLOOKUP(C247,Base_Mensuelle!$GA$67:$GN$679,7,0)</f>
        <v>111.18</v>
      </c>
      <c r="D251" s="1139">
        <f>VLOOKUP(D247,Base_Mensuelle!$GA$67:$GN$679,7,0)</f>
        <v>111.9</v>
      </c>
      <c r="E251" s="1139">
        <f>VLOOKUP(E247,Base_Mensuelle!$GA$67:$GN$679,7,0)</f>
        <v>112.4</v>
      </c>
      <c r="F251" s="1139">
        <f>VLOOKUP(F247,Base_Mensuelle!$GA$67:$GN$679,7,0)</f>
        <v>112.7</v>
      </c>
      <c r="G251" s="1139">
        <f>VLOOKUP(G247,Base_Mensuelle!$GA$67:$GN$679,7,0)</f>
        <v>112.9</v>
      </c>
      <c r="H251" s="1139">
        <f>VLOOKUP(H247,Base_Mensuelle!$GA$67:$GN$679,7,0)</f>
        <v>113.4</v>
      </c>
      <c r="I251" s="1139">
        <f>VLOOKUP(I247,Base_Mensuelle!$GA$67:$GN$679,7,0)</f>
        <v>113</v>
      </c>
      <c r="J251" s="1139">
        <f>VLOOKUP(J247,Base_Mensuelle!$GA$67:$GN$679,7,0)</f>
        <v>113</v>
      </c>
      <c r="K251" s="1139">
        <f>VLOOKUP(K247,Base_Mensuelle!$GA$67:$GN$679,7,0)</f>
        <v>113.2</v>
      </c>
      <c r="L251" s="1139">
        <f>VLOOKUP(L247,Base_Mensuelle!$GA$67:$GN$679,7,0)</f>
        <v>113.5</v>
      </c>
      <c r="M251" s="1139">
        <f>VLOOKUP(M247,Base_Mensuelle!$GA$67:$GN$679,7,0)</f>
        <v>113.14</v>
      </c>
    </row>
    <row r="252" spans="1:15">
      <c r="A252" s="1153" t="s">
        <v>806</v>
      </c>
      <c r="B252" s="1131">
        <f>VLOOKUP(B247,Base_Mensuelle!$GA$67:$GN$679,4,0)</f>
        <v>126.46</v>
      </c>
      <c r="C252" s="1131">
        <f>VLOOKUP(C247,Base_Mensuelle!$GA$67:$GN$679,4,0)</f>
        <v>126.64</v>
      </c>
      <c r="D252" s="1131">
        <f>VLOOKUP(D247,Base_Mensuelle!$GA$67:$GN$679,4,0)</f>
        <v>127</v>
      </c>
      <c r="E252" s="1131">
        <f>VLOOKUP(E247,Base_Mensuelle!$GA$67:$GN$679,4,0)</f>
        <v>128.1</v>
      </c>
      <c r="F252" s="1131">
        <f>VLOOKUP(F247,Base_Mensuelle!$GA$67:$GN$679,4,0)</f>
        <v>130</v>
      </c>
      <c r="G252" s="1131">
        <f>VLOOKUP(G247,Base_Mensuelle!$GA$67:$GN$679,4,0)</f>
        <v>132.9</v>
      </c>
      <c r="H252" s="1131">
        <f>VLOOKUP(H247,Base_Mensuelle!$GA$67:$GN$679,4,0)</f>
        <v>133.5</v>
      </c>
      <c r="I252" s="1131">
        <f>VLOOKUP(I247,Base_Mensuelle!$GA$67:$GN$679,4,0)</f>
        <v>132.5</v>
      </c>
      <c r="J252" s="1131">
        <f>VLOOKUP(J247,Base_Mensuelle!$GA$67:$GN$679,4,0)</f>
        <v>132.19999999999999</v>
      </c>
      <c r="K252" s="1131">
        <f>VLOOKUP(K247,Base_Mensuelle!$GA$67:$GN$679,4,0)</f>
        <v>132.30000000000001</v>
      </c>
      <c r="L252" s="1131">
        <f>VLOOKUP(L247,Base_Mensuelle!$GA$67:$GN$679,4,0)</f>
        <v>133.15</v>
      </c>
      <c r="M252" s="1131">
        <f>VLOOKUP(M247,Base_Mensuelle!$GA$67:$GN$679,4,0)</f>
        <v>130.26</v>
      </c>
    </row>
    <row r="253" spans="1:15">
      <c r="A253" s="1154" t="s">
        <v>805</v>
      </c>
      <c r="B253" s="1139">
        <f>VLOOKUP(B247,Base_Mensuelle!$GA$67:$GN$679,3,0)</f>
        <v>109.93</v>
      </c>
      <c r="C253" s="1139">
        <f>VLOOKUP(C247,Base_Mensuelle!$GA$67:$GN$679,3,0)</f>
        <v>110.75</v>
      </c>
      <c r="D253" s="1139">
        <f>VLOOKUP(D247,Base_Mensuelle!$GA$67:$GN$679,3,0)</f>
        <v>111.9</v>
      </c>
      <c r="E253" s="1139">
        <f>VLOOKUP(E247,Base_Mensuelle!$GA$67:$GN$679,3,0)</f>
        <v>111.2</v>
      </c>
      <c r="F253" s="1139">
        <f>VLOOKUP(F247,Base_Mensuelle!$GA$67:$GN$679,3,0)</f>
        <v>111.8</v>
      </c>
      <c r="G253" s="1139">
        <f>VLOOKUP(G247,Base_Mensuelle!$GA$67:$GN$679,3,0)</f>
        <v>112.3</v>
      </c>
      <c r="H253" s="1139">
        <f>VLOOKUP(H247,Base_Mensuelle!$GA$67:$GN$679,3,0)</f>
        <v>113.3</v>
      </c>
      <c r="I253" s="1139">
        <f>VLOOKUP(I247,Base_Mensuelle!$GA$67:$GN$679,3,0)</f>
        <v>113.2</v>
      </c>
      <c r="J253" s="1139">
        <f>VLOOKUP(J247,Base_Mensuelle!$GA$67:$GN$679,3,0)</f>
        <v>112.3</v>
      </c>
      <c r="K253" s="1139">
        <f>VLOOKUP(K247,Base_Mensuelle!$GA$67:$GN$679,3,0)</f>
        <v>111.9</v>
      </c>
      <c r="L253" s="1139">
        <f>VLOOKUP(L247,Base_Mensuelle!$GA$67:$GN$679,3,0)</f>
        <v>112.88</v>
      </c>
      <c r="M253" s="1139">
        <f>VLOOKUP(M247,Base_Mensuelle!$GA$67:$GN$679,3,0)</f>
        <v>113.17</v>
      </c>
    </row>
    <row r="258" spans="1:13">
      <c r="B258" s="1125"/>
      <c r="C258" s="1125"/>
      <c r="D258" s="1125"/>
      <c r="E258" s="1125"/>
      <c r="F258" s="1125"/>
      <c r="G258" s="1125"/>
      <c r="H258" s="1125"/>
      <c r="I258" s="1125"/>
      <c r="J258" s="1125"/>
      <c r="K258" s="1125"/>
      <c r="L258" s="1125"/>
      <c r="M258" s="1125"/>
    </row>
    <row r="259" spans="1:13">
      <c r="A259" s="1125"/>
      <c r="B259" s="1125"/>
      <c r="C259" s="1125"/>
      <c r="D259" s="1125"/>
      <c r="E259" s="1125"/>
      <c r="F259" s="1125"/>
      <c r="G259" s="1125"/>
      <c r="H259" s="1125"/>
      <c r="I259" s="1125"/>
      <c r="J259" s="1125"/>
      <c r="K259" s="1125"/>
      <c r="L259" s="1125"/>
      <c r="M259" s="1125"/>
    </row>
    <row r="260" spans="1:13">
      <c r="A260" s="1125"/>
      <c r="B260" s="1125"/>
      <c r="C260" s="1125"/>
      <c r="D260" s="1125"/>
      <c r="E260" s="1125"/>
      <c r="F260" s="1125"/>
      <c r="G260" s="1125"/>
      <c r="H260" s="1125"/>
      <c r="I260" s="1125"/>
      <c r="J260" s="1125"/>
      <c r="K260" s="1125"/>
      <c r="L260" s="1125"/>
      <c r="M260" s="1125"/>
    </row>
    <row r="261" spans="1:13">
      <c r="A261" s="1125"/>
      <c r="B261" s="1125"/>
      <c r="C261" s="1125"/>
      <c r="D261" s="1125"/>
      <c r="E261" s="1125"/>
      <c r="F261" s="1125"/>
      <c r="G261" s="1125"/>
      <c r="H261" s="1125"/>
      <c r="I261" s="1125"/>
      <c r="J261" s="1125"/>
      <c r="K261" s="1125"/>
      <c r="L261" s="1125"/>
      <c r="M261" s="1125"/>
    </row>
    <row r="262" spans="1:13">
      <c r="A262" s="1125"/>
      <c r="B262" s="1125"/>
      <c r="C262" s="1125"/>
      <c r="D262" s="1125"/>
      <c r="E262" s="1125"/>
      <c r="F262" s="1125"/>
      <c r="G262" s="1125"/>
      <c r="H262" s="1125"/>
      <c r="I262" s="1125"/>
      <c r="J262" s="1125"/>
      <c r="K262" s="1125"/>
      <c r="L262" s="1125"/>
      <c r="M262" s="1125"/>
    </row>
    <row r="263" spans="1:13">
      <c r="A263" s="1125"/>
      <c r="B263" s="1125"/>
      <c r="C263" s="1125"/>
      <c r="D263" s="1125"/>
      <c r="E263" s="1125"/>
      <c r="F263" s="1125"/>
      <c r="G263" s="1125"/>
      <c r="H263" s="1125"/>
      <c r="I263" s="1125"/>
      <c r="J263" s="1125"/>
      <c r="K263" s="1125"/>
      <c r="L263" s="1125"/>
      <c r="M263" s="1125"/>
    </row>
    <row r="264" spans="1:13">
      <c r="A264" s="1125"/>
      <c r="B264" s="1125"/>
      <c r="C264" s="1125"/>
      <c r="D264" s="1125"/>
      <c r="E264" s="1125"/>
      <c r="F264" s="1125"/>
      <c r="G264" s="1125"/>
      <c r="H264" s="1125"/>
      <c r="I264" s="1125"/>
      <c r="J264" s="1125"/>
      <c r="K264" s="1125"/>
      <c r="L264" s="1125"/>
      <c r="M264" s="1125"/>
    </row>
    <row r="265" spans="1:13">
      <c r="A265" s="1125"/>
      <c r="B265" s="1125"/>
      <c r="C265" s="1125"/>
      <c r="D265" s="1125"/>
      <c r="E265" s="1125"/>
      <c r="F265" s="1125"/>
      <c r="G265" s="1125"/>
      <c r="H265" s="1125"/>
      <c r="I265" s="1125"/>
      <c r="J265" s="1125"/>
      <c r="K265" s="1125"/>
      <c r="L265" s="1125"/>
      <c r="M265" s="1125"/>
    </row>
    <row r="266" spans="1:13">
      <c r="A266" s="1125"/>
      <c r="B266" s="1125"/>
      <c r="C266" s="1125"/>
      <c r="D266" s="1125"/>
      <c r="E266" s="1125"/>
      <c r="F266" s="1125"/>
      <c r="G266" s="1125"/>
      <c r="H266" s="1125"/>
      <c r="I266" s="1125"/>
      <c r="J266" s="1125"/>
      <c r="K266" s="1125"/>
      <c r="L266" s="1125"/>
      <c r="M266" s="1125"/>
    </row>
    <row r="267" spans="1:13">
      <c r="A267" s="1125"/>
      <c r="B267" s="1125"/>
      <c r="C267" s="1125"/>
      <c r="D267" s="1125"/>
      <c r="E267" s="1125"/>
      <c r="F267" s="1125"/>
      <c r="G267" s="1125"/>
      <c r="H267" s="1125"/>
      <c r="I267" s="1125"/>
      <c r="J267" s="1125"/>
      <c r="K267" s="1125"/>
      <c r="L267" s="1125"/>
      <c r="M267" s="1125"/>
    </row>
    <row r="268" spans="1:13">
      <c r="A268" s="1125"/>
      <c r="B268" s="1125"/>
      <c r="C268" s="1125"/>
      <c r="D268" s="1125"/>
      <c r="E268" s="1125"/>
      <c r="F268" s="1125"/>
      <c r="G268" s="1125"/>
      <c r="H268" s="1125"/>
      <c r="I268" s="1125"/>
      <c r="J268" s="1125"/>
      <c r="K268" s="1125"/>
      <c r="L268" s="1125"/>
      <c r="M268" s="1125"/>
    </row>
    <row r="269" spans="1:13">
      <c r="A269" s="1125"/>
      <c r="B269" s="1125"/>
      <c r="C269" s="1125"/>
      <c r="D269" s="1125"/>
      <c r="E269" s="1125"/>
      <c r="F269" s="1125"/>
      <c r="G269" s="1125"/>
      <c r="H269" s="1125"/>
      <c r="I269" s="1125"/>
      <c r="J269" s="1125"/>
      <c r="K269" s="1125"/>
      <c r="L269" s="1125"/>
      <c r="M269" s="1125"/>
    </row>
    <row r="270" spans="1:13">
      <c r="A270" s="1125"/>
    </row>
  </sheetData>
  <pageMargins left="0.70866141732283472" right="0.70866141732283472" top="0.74803149606299213" bottom="0.74803149606299213" header="0.31496062992125984" footer="0.31496062992125984"/>
  <pageSetup paperSize="9" scale="58" firstPageNumber="51" orientation="portrait" r:id="rId1"/>
  <headerFooter>
    <oddFooter>&amp;L&amp;8Bulletin trimestriel de conjoncture, 4e trimestre 2023</oddFooter>
  </headerFooter>
  <rowBreaks count="5" manualBreakCount="5">
    <brk id="48" max="12" man="1"/>
    <brk id="93" max="12" man="1"/>
    <brk id="139" max="12" man="1"/>
    <brk id="171" max="12" man="1"/>
    <brk id="214"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00B050"/>
  </sheetPr>
  <dimension ref="B1:G46"/>
  <sheetViews>
    <sheetView showGridLines="0" view="pageBreakPreview" zoomScaleSheetLayoutView="100" workbookViewId="0">
      <selection activeCell="K50" sqref="K50"/>
    </sheetView>
  </sheetViews>
  <sheetFormatPr baseColWidth="10" defaultColWidth="11.44140625" defaultRowHeight="14.4"/>
  <cols>
    <col min="1" max="5" width="11.44140625" style="1166"/>
    <col min="6" max="6" width="27.44140625" style="1166" customWidth="1"/>
    <col min="7" max="16384" width="11.44140625" style="1166"/>
  </cols>
  <sheetData>
    <row r="1" spans="7:7">
      <c r="G1" s="1227"/>
    </row>
    <row r="32" spans="3:3">
      <c r="C32" s="1166" t="s">
        <v>1005</v>
      </c>
    </row>
    <row r="46" spans="2:2">
      <c r="B46" s="1228"/>
    </row>
  </sheetData>
  <pageMargins left="0.70866141732283472" right="0.70866141732283472" top="0.74803149606299213" bottom="0.74803149606299213" header="0.31496062992125984" footer="0.31496062992125984"/>
  <pageSetup paperSize="9" scale="70" firstPageNumber="2" orientation="portrait" r:id="rId1"/>
  <headerFooter>
    <oddFooter>&amp;L&amp;8Bulletin trimestriel de conjoncture, 4e trimestre 2023</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25">
    <tabColor rgb="FF00B050"/>
  </sheetPr>
  <dimension ref="A1:R123"/>
  <sheetViews>
    <sheetView showGridLines="0" view="pageBreakPreview" topLeftCell="A82" zoomScaleSheetLayoutView="100" workbookViewId="0">
      <selection activeCell="K50" sqref="K50"/>
    </sheetView>
  </sheetViews>
  <sheetFormatPr baseColWidth="10" defaultColWidth="11.44140625" defaultRowHeight="11.5" customHeight="1"/>
  <cols>
    <col min="1" max="1" width="20.71875" style="1171" customWidth="1"/>
    <col min="2" max="6" width="9.27734375" style="1171" bestFit="1" customWidth="1"/>
    <col min="7" max="10" width="10.27734375" style="1172" bestFit="1" customWidth="1"/>
    <col min="11" max="11" width="9.5546875" style="1172" bestFit="1" customWidth="1"/>
    <col min="12" max="12" width="9.21875" style="1172" customWidth="1"/>
    <col min="13" max="13" width="6" style="1172" customWidth="1"/>
    <col min="14" max="14" width="7.1640625" style="1172" customWidth="1"/>
    <col min="15" max="15" width="7.44140625" style="1173" customWidth="1"/>
    <col min="16" max="21" width="8.83203125" style="1173" customWidth="1"/>
    <col min="22" max="22" width="11.44140625" style="1173" customWidth="1"/>
    <col min="23" max="16384" width="11.44140625" style="1173"/>
  </cols>
  <sheetData>
    <row r="1" spans="1:14" ht="11.5" customHeight="1">
      <c r="A1" s="1170" t="s">
        <v>1113</v>
      </c>
    </row>
    <row r="2" spans="1:14" ht="11.5" customHeight="1">
      <c r="L2" s="1689"/>
      <c r="N2" s="1174"/>
    </row>
    <row r="3" spans="1:14" ht="11.5" customHeight="1">
      <c r="A3" s="1406"/>
      <c r="B3" s="1175">
        <f t="shared" ref="B3:J3" si="0">C$3-1</f>
        <v>2011</v>
      </c>
      <c r="C3" s="1175">
        <f t="shared" si="0"/>
        <v>2012</v>
      </c>
      <c r="D3" s="1175">
        <f t="shared" si="0"/>
        <v>2013</v>
      </c>
      <c r="E3" s="1175">
        <f t="shared" si="0"/>
        <v>2014</v>
      </c>
      <c r="F3" s="1175">
        <f t="shared" si="0"/>
        <v>2015</v>
      </c>
      <c r="G3" s="1175">
        <f t="shared" si="0"/>
        <v>2016</v>
      </c>
      <c r="H3" s="1175">
        <f t="shared" si="0"/>
        <v>2017</v>
      </c>
      <c r="I3" s="1175">
        <f t="shared" si="0"/>
        <v>2018</v>
      </c>
      <c r="J3" s="1175">
        <f t="shared" si="0"/>
        <v>2019</v>
      </c>
      <c r="K3" s="1175">
        <f>L$3-1</f>
        <v>2020</v>
      </c>
      <c r="L3" s="1175">
        <f>YEAR(INDEX(Base_Mensuelle!$CY$68:$DF$679,MAX(Base_Mensuelle!$DF$68:$DF$679),1))</f>
        <v>2021</v>
      </c>
      <c r="N3" s="1174"/>
    </row>
    <row r="4" spans="1:14" ht="11.5" customHeight="1">
      <c r="A4" s="1180" t="s">
        <v>735</v>
      </c>
      <c r="B4" s="1180">
        <f>IF(VLOOKUP(DATE(B$3,1,1),Base_Mensuelle!$CY$68:$DF$679,2,0)&lt;&gt;"",VLOOKUP(DATE(B$3,1,1),Base_Mensuelle!$CY$68:$DF$679,2,0),"")</f>
        <v>66.87325106865228</v>
      </c>
      <c r="C4" s="1180">
        <f>IF(VLOOKUP(DATE(C$3,1,1),Base_Mensuelle!$CY$68:$DF$679,2,0)&lt;&gt;"",VLOOKUP(DATE(C$3,1,1),Base_Mensuelle!$CY$68:$DF$679,2,0),"")</f>
        <v>73.565021999999999</v>
      </c>
      <c r="D4" s="1180">
        <f>IF(VLOOKUP(DATE(D$3,1,1),Base_Mensuelle!$CY$68:$DF$679,2,0)&lt;&gt;"",VLOOKUP(DATE(D$3,1,1),Base_Mensuelle!$CY$68:$DF$679,2,0),"")</f>
        <v>81.411712873558997</v>
      </c>
      <c r="E4" s="1180">
        <f>IF(VLOOKUP(DATE(E$3,1,1),Base_Mensuelle!$CY$68:$DF$679,2,0)&lt;&gt;"",VLOOKUP(DATE(E$3,1,1),Base_Mensuelle!$CY$68:$DF$679,2,0),"")</f>
        <v>86.743396000000004</v>
      </c>
      <c r="F4" s="1180">
        <f>IF(VLOOKUP(DATE(F$3,1,1),Base_Mensuelle!$CY$68:$DF$679,2,0)&lt;&gt;"",VLOOKUP(DATE(F$3,1,1),Base_Mensuelle!$CY$68:$DF$679,2,0),"")</f>
        <v>93.475638664108018</v>
      </c>
      <c r="G4" s="1180">
        <f>IF(VLOOKUP(DATE(G$3,1,1),Base_Mensuelle!$CY$68:$DF$679,2,0)&lt;&gt;"",VLOOKUP(DATE(G$3,1,1),Base_Mensuelle!$CY$68:$DF$679,2,0),"")</f>
        <v>93.967916938197959</v>
      </c>
      <c r="H4" s="1180">
        <f>IF(VLOOKUP(DATE(H$3,1,1),Base_Mensuelle!$CY$68:$DF$679,2,0)&lt;&gt;"",VLOOKUP(DATE(H$3,1,1),Base_Mensuelle!$CY$68:$DF$679,2,0),"")</f>
        <v>111.247811</v>
      </c>
      <c r="I4" s="1180">
        <f>IF(VLOOKUP(DATE(I$3,1,1),Base_Mensuelle!$CY$68:$DF$679,2,0)&lt;&gt;"",VLOOKUP(DATE(I$3,1,1),Base_Mensuelle!$CY$68:$DF$679,2,0),"")</f>
        <v>123.94790312416112</v>
      </c>
      <c r="J4" s="1180">
        <f>IF(VLOOKUP(DATE(J$3,1,1),Base_Mensuelle!$CY$68:$DF$679,2,0)&lt;&gt;"",VLOOKUP(DATE(J$3,1,1),Base_Mensuelle!$CY$68:$DF$679,2,0),"")</f>
        <v>123.9745728</v>
      </c>
      <c r="K4" s="1188">
        <f>IF(VLOOKUP(DATE(K$3,1,1),Base_Mensuelle!$CY$68:$DF$679,2,0)&lt;&gt;"",VLOOKUP(DATE(K$3,1,1),Base_Mensuelle!$CY$68:$DF$679,2,0),"")</f>
        <v>138.5465136</v>
      </c>
      <c r="L4" s="1180">
        <f>IF(VLOOKUP(DATE(L$3,1,1),Base_Mensuelle!$CY$68:$DF$679,2,0)&lt;&gt;"",VLOOKUP(DATE(L$3,1,1),Base_Mensuelle!$CY$68:$DF$679,2,0),"")</f>
        <v>158.93327300000001</v>
      </c>
      <c r="N4" s="1174"/>
    </row>
    <row r="5" spans="1:14" ht="11.5" customHeight="1">
      <c r="A5" s="1181" t="s">
        <v>736</v>
      </c>
      <c r="B5" s="1181">
        <f>IF(VLOOKUP(DATE(B$3,2,1),Base_Mensuelle!$CY$68:$DF$679,2,0)&lt;&gt;"",VLOOKUP(DATE(B$3,2,1),Base_Mensuelle!$CY$68:$DF$679,2,0),"")</f>
        <v>62.526860735907718</v>
      </c>
      <c r="C5" s="1181">
        <f>IF(VLOOKUP(DATE(C$3,2,1),Base_Mensuelle!$CY$68:$DF$679,2,0)&lt;&gt;"",VLOOKUP(DATE(C$3,2,1),Base_Mensuelle!$CY$68:$DF$679,2,0),"")</f>
        <v>70.574430000000007</v>
      </c>
      <c r="D5" s="1181">
        <f>IF(VLOOKUP(DATE(D$3,2,1),Base_Mensuelle!$CY$68:$DF$679,2,0)&lt;&gt;"",VLOOKUP(DATE(D$3,2,1),Base_Mensuelle!$CY$68:$DF$679,2,0),"")</f>
        <v>78.313214850577324</v>
      </c>
      <c r="E5" s="1181">
        <f>IF(VLOOKUP(DATE(E$3,2,1),Base_Mensuelle!$CY$68:$DF$679,2,0)&lt;&gt;"",VLOOKUP(DATE(E$3,2,1),Base_Mensuelle!$CY$68:$DF$679,2,0),"")</f>
        <v>85.743706000000003</v>
      </c>
      <c r="F5" s="1181">
        <f>IF(VLOOKUP(DATE(F$3,2,1),Base_Mensuelle!$CY$68:$DF$679,2,0)&lt;&gt;"",VLOOKUP(DATE(F$3,2,1),Base_Mensuelle!$CY$68:$DF$679,2,0),"")</f>
        <v>90.651885340633399</v>
      </c>
      <c r="G5" s="1181">
        <f>IF(VLOOKUP(DATE(G$3,2,1),Base_Mensuelle!$CY$68:$DF$679,2,0)&lt;&gt;"",VLOOKUP(DATE(G$3,2,1),Base_Mensuelle!$CY$68:$DF$679,2,0),"")</f>
        <v>92.847638396209348</v>
      </c>
      <c r="H5" s="1181">
        <f>IF(VLOOKUP(DATE(H$3,2,1),Base_Mensuelle!$CY$68:$DF$679,2,0)&lt;&gt;"",VLOOKUP(DATE(H$3,2,1),Base_Mensuelle!$CY$68:$DF$679,2,0),"")</f>
        <v>107.22360379858121</v>
      </c>
      <c r="I5" s="1181">
        <f>IF(VLOOKUP(DATE(I$3,2,1),Base_Mensuelle!$CY$68:$DF$679,2,0)&lt;&gt;"",VLOOKUP(DATE(I$3,2,1),Base_Mensuelle!$CY$68:$DF$679,2,0),"")</f>
        <v>117.71232282401616</v>
      </c>
      <c r="J5" s="1181">
        <f>IF(VLOOKUP(DATE(J$3,2,1),Base_Mensuelle!$CY$68:$DF$679,2,0)&lt;&gt;"",VLOOKUP(DATE(J$3,2,1),Base_Mensuelle!$CY$68:$DF$679,2,0),"")</f>
        <v>125.1785368</v>
      </c>
      <c r="K5" s="1189">
        <f>IF(VLOOKUP(DATE(K$3,2,1),Base_Mensuelle!$CY$68:$DF$679,2,0)&lt;&gt;"",VLOOKUP(DATE(K$3,2,1),Base_Mensuelle!$CY$68:$DF$679,2,0),"")</f>
        <v>133.78312000000003</v>
      </c>
      <c r="L5" s="1181">
        <f>IF(VLOOKUP(DATE(L$3,2,1),Base_Mensuelle!$CY$68:$DF$679,2,0)&lt;&gt;"",VLOOKUP(DATE(L$3,2,1),Base_Mensuelle!$CY$68:$DF$679,2,0),"")</f>
        <v>149.86329499999999</v>
      </c>
      <c r="N5" s="1174"/>
    </row>
    <row r="6" spans="1:14" ht="11.5" customHeight="1">
      <c r="A6" s="1182" t="s">
        <v>737</v>
      </c>
      <c r="B6" s="1182">
        <f>IF(VLOOKUP(DATE(B$3,3,1),Base_Mensuelle!$CY$68:$DF$679,2,0)&lt;&gt;"",VLOOKUP(DATE(B$3,3,1),Base_Mensuelle!$CY$68:$DF$679,2,0),"")</f>
        <v>63.11871143751614</v>
      </c>
      <c r="C6" s="1182">
        <f>IF(VLOOKUP(DATE(C$3,3,1),Base_Mensuelle!$CY$68:$DF$679,2,0)&lt;&gt;"",VLOOKUP(DATE(C$3,3,1),Base_Mensuelle!$CY$68:$DF$679,2,0),"")</f>
        <v>75.704846421925566</v>
      </c>
      <c r="D6" s="1182">
        <f>IF(VLOOKUP(DATE(D$3,3,1),Base_Mensuelle!$CY$68:$DF$679,2,0)&lt;&gt;"",VLOOKUP(DATE(D$3,3,1),Base_Mensuelle!$CY$68:$DF$679,2,0),"")</f>
        <v>86.009877218330203</v>
      </c>
      <c r="E6" s="1182">
        <f>IF(VLOOKUP(DATE(E$3,3,1),Base_Mensuelle!$CY$68:$DF$679,2,0)&lt;&gt;"",VLOOKUP(DATE(E$3,3,1),Base_Mensuelle!$CY$68:$DF$679,2,0),"")</f>
        <v>86.788736</v>
      </c>
      <c r="F6" s="1182">
        <f>IF(VLOOKUP(DATE(F$3,3,1),Base_Mensuelle!$CY$68:$DF$679,2,0)&lt;&gt;"",VLOOKUP(DATE(F$3,3,1),Base_Mensuelle!$CY$68:$DF$679,2,0),"")</f>
        <v>97.04651693223218</v>
      </c>
      <c r="G6" s="1182">
        <f>IF(VLOOKUP(DATE(G$3,3,1),Base_Mensuelle!$CY$68:$DF$679,2,0)&lt;&gt;"",VLOOKUP(DATE(G$3,3,1),Base_Mensuelle!$CY$68:$DF$679,2,0),"")</f>
        <v>104.16013717855886</v>
      </c>
      <c r="H6" s="1182">
        <f>IF(VLOOKUP(DATE(H$3,3,1),Base_Mensuelle!$CY$68:$DF$679,2,0)&lt;&gt;"",VLOOKUP(DATE(H$3,3,1),Base_Mensuelle!$CY$68:$DF$679,2,0),"")</f>
        <v>116.69479157628643</v>
      </c>
      <c r="I6" s="1182">
        <f>IF(VLOOKUP(DATE(I$3,3,1),Base_Mensuelle!$CY$68:$DF$679,2,0)&lt;&gt;"",VLOOKUP(DATE(I$3,3,1),Base_Mensuelle!$CY$68:$DF$679,2,0),"")</f>
        <v>124.84660676272165</v>
      </c>
      <c r="J6" s="1182">
        <f>IF(VLOOKUP(DATE(J$3,3,1),Base_Mensuelle!$CY$68:$DF$679,2,0)&lt;&gt;"",VLOOKUP(DATE(J$3,3,1),Base_Mensuelle!$CY$68:$DF$679,2,0),"")</f>
        <v>130.4919161</v>
      </c>
      <c r="K6" s="1190">
        <f>IF(VLOOKUP(DATE(K$3,3,1),Base_Mensuelle!$CY$68:$DF$679,2,0)&lt;&gt;"",VLOOKUP(DATE(K$3,3,1),Base_Mensuelle!$CY$68:$DF$679,2,0),"")</f>
        <v>149.05891700000001</v>
      </c>
      <c r="L6" s="1182">
        <f>IF(VLOOKUP(DATE(L$3,3,1),Base_Mensuelle!$CY$68:$DF$679,2,0)&lt;&gt;"",VLOOKUP(DATE(L$3,3,1),Base_Mensuelle!$CY$68:$DF$679,2,0),"")</f>
        <v>160.32455299999998</v>
      </c>
      <c r="N6" s="1174"/>
    </row>
    <row r="7" spans="1:14" ht="11.5" customHeight="1">
      <c r="A7" s="1181" t="s">
        <v>738</v>
      </c>
      <c r="B7" s="1181">
        <f>IF(VLOOKUP(DATE(B$3,4,1),Base_Mensuelle!$CY$68:$DF$679,2,0)&lt;&gt;"",VLOOKUP(DATE(B$3,4,1),Base_Mensuelle!$CY$68:$DF$679,2,0),"")</f>
        <v>74.823236000000009</v>
      </c>
      <c r="C7" s="1181">
        <f>IF(VLOOKUP(DATE(C$3,4,1),Base_Mensuelle!$CY$68:$DF$679,2,0)&lt;&gt;"",VLOOKUP(DATE(C$3,4,1),Base_Mensuelle!$CY$68:$DF$679,2,0),"")</f>
        <v>84.810978599999999</v>
      </c>
      <c r="D7" s="1181">
        <f>IF(VLOOKUP(DATE(D$3,4,1),Base_Mensuelle!$CY$68:$DF$679,2,0)&lt;&gt;"",VLOOKUP(DATE(D$3,4,1),Base_Mensuelle!$CY$68:$DF$679,2,0),"")</f>
        <v>100.48976179572641</v>
      </c>
      <c r="E7" s="1181">
        <f>IF(VLOOKUP(DATE(E$3,4,1),Base_Mensuelle!$CY$68:$DF$679,2,0)&lt;&gt;"",VLOOKUP(DATE(E$3,4,1),Base_Mensuelle!$CY$68:$DF$679,2,0),"")</f>
        <v>103.696144</v>
      </c>
      <c r="F7" s="1181">
        <f>IF(VLOOKUP(DATE(F$3,4,1),Base_Mensuelle!$CY$68:$DF$679,2,0)&lt;&gt;"",VLOOKUP(DATE(F$3,4,1),Base_Mensuelle!$CY$68:$DF$679,2,0),"")</f>
        <v>108.42133641286082</v>
      </c>
      <c r="G7" s="1181">
        <f>IF(VLOOKUP(DATE(G$3,4,1),Base_Mensuelle!$CY$68:$DF$679,2,0)&lt;&gt;"",VLOOKUP(DATE(G$3,4,1),Base_Mensuelle!$CY$68:$DF$679,2,0),"")</f>
        <v>125.03971300857812</v>
      </c>
      <c r="H7" s="1181">
        <f>IF(VLOOKUP(DATE(H$3,4,1),Base_Mensuelle!$CY$68:$DF$679,2,0)&lt;&gt;"",VLOOKUP(DATE(H$3,4,1),Base_Mensuelle!$CY$68:$DF$679,2,0),"")</f>
        <v>136.32361890333334</v>
      </c>
      <c r="I7" s="1181">
        <f>IF(VLOOKUP(DATE(I$3,4,1),Base_Mensuelle!$CY$68:$DF$679,2,0)&lt;&gt;"",VLOOKUP(DATE(I$3,4,1),Base_Mensuelle!$CY$68:$DF$679,2,0),"")</f>
        <v>153.17839197740895</v>
      </c>
      <c r="J7" s="1181">
        <f>IF(VLOOKUP(DATE(J$3,4,1),Base_Mensuelle!$CY$68:$DF$679,2,0)&lt;&gt;"",VLOOKUP(DATE(J$3,4,1),Base_Mensuelle!$CY$68:$DF$679,2,0),"")</f>
        <v>151.5512349</v>
      </c>
      <c r="K7" s="1189">
        <f>IF(VLOOKUP(DATE(K$3,4,1),Base_Mensuelle!$CY$68:$DF$679,2,0)&lt;&gt;"",VLOOKUP(DATE(K$3,4,1),Base_Mensuelle!$CY$68:$DF$679,2,0),"")</f>
        <v>168.459497</v>
      </c>
      <c r="L7" s="1181">
        <f>IF(VLOOKUP(DATE(L$3,4,1),Base_Mensuelle!$CY$68:$DF$679,2,0)&lt;&gt;"",VLOOKUP(DATE(L$3,4,1),Base_Mensuelle!$CY$68:$DF$679,2,0),"")</f>
        <v>192.780136</v>
      </c>
      <c r="N7" s="1174"/>
    </row>
    <row r="8" spans="1:14" ht="11.5" customHeight="1">
      <c r="A8" s="1182" t="s">
        <v>739</v>
      </c>
      <c r="B8" s="1182">
        <f>IF(VLOOKUP(DATE(B$3,5,1),Base_Mensuelle!$CY$68:$DF$679,2,0)&lt;&gt;"",VLOOKUP(DATE(B$3,5,1),Base_Mensuelle!$CY$68:$DF$679,2,0),"")</f>
        <v>77.850273908131811</v>
      </c>
      <c r="C8" s="1182">
        <f>IF(VLOOKUP(DATE(C$3,5,1),Base_Mensuelle!$CY$68:$DF$679,2,0)&lt;&gt;"",VLOOKUP(DATE(C$3,5,1),Base_Mensuelle!$CY$68:$DF$679,2,0),"")</f>
        <v>89.567082999999997</v>
      </c>
      <c r="D8" s="1182">
        <f>IF(VLOOKUP(DATE(D$3,5,1),Base_Mensuelle!$CY$68:$DF$679,2,0)&lt;&gt;"",VLOOKUP(DATE(D$3,5,1),Base_Mensuelle!$CY$68:$DF$679,2,0),"")</f>
        <v>101.65309283419558</v>
      </c>
      <c r="E8" s="1182">
        <f>IF(VLOOKUP(DATE(E$3,5,1),Base_Mensuelle!$CY$68:$DF$679,2,0)&lt;&gt;"",VLOOKUP(DATE(E$3,5,1),Base_Mensuelle!$CY$68:$DF$679,2,0),"")</f>
        <v>106.82654600000001</v>
      </c>
      <c r="F8" s="1182">
        <f>IF(VLOOKUP(DATE(F$3,5,1),Base_Mensuelle!$CY$68:$DF$679,2,0)&lt;&gt;"",VLOOKUP(DATE(F$3,5,1),Base_Mensuelle!$CY$68:$DF$679,2,0),"")</f>
        <v>110.00018541166381</v>
      </c>
      <c r="G8" s="1182">
        <f>IF(VLOOKUP(DATE(G$3,5,1),Base_Mensuelle!$CY$68:$DF$679,2,0)&lt;&gt;"",VLOOKUP(DATE(G$3,5,1),Base_Mensuelle!$CY$68:$DF$679,2,0),"")</f>
        <v>124.90095044206134</v>
      </c>
      <c r="H8" s="1182">
        <f>IF(VLOOKUP(DATE(H$3,5,1),Base_Mensuelle!$CY$68:$DF$679,2,0)&lt;&gt;"",VLOOKUP(DATE(H$3,5,1),Base_Mensuelle!$CY$68:$DF$679,2,0),"")</f>
        <v>131.76225005000001</v>
      </c>
      <c r="I8" s="1182">
        <f>IF(VLOOKUP(DATE(I$3,5,1),Base_Mensuelle!$CY$68:$DF$679,2,0)&lt;&gt;"",VLOOKUP(DATE(I$3,5,1),Base_Mensuelle!$CY$68:$DF$679,2,0),"")</f>
        <v>140.87549452904682</v>
      </c>
      <c r="J8" s="1182">
        <f>IF(VLOOKUP(DATE(J$3,5,1),Base_Mensuelle!$CY$68:$DF$679,2,0)&lt;&gt;"",VLOOKUP(DATE(J$3,5,1),Base_Mensuelle!$CY$68:$DF$679,2,0),"")</f>
        <v>165.4502229</v>
      </c>
      <c r="K8" s="1190">
        <f>IF(VLOOKUP(DATE(K$3,5,1),Base_Mensuelle!$CY$68:$DF$679,2,0)&lt;&gt;"",VLOOKUP(DATE(K$3,5,1),Base_Mensuelle!$CY$68:$DF$679,2,0),"")</f>
        <v>169.93623400000001</v>
      </c>
      <c r="L8" s="1182">
        <f>IF(VLOOKUP(DATE(L$3,5,1),Base_Mensuelle!$CY$68:$DF$679,2,0)&lt;&gt;"",VLOOKUP(DATE(L$3,5,1),Base_Mensuelle!$CY$68:$DF$679,2,0),"")</f>
        <v>189.72285200000002</v>
      </c>
      <c r="N8" s="1174"/>
    </row>
    <row r="9" spans="1:14" ht="11.5" customHeight="1">
      <c r="A9" s="1181" t="s">
        <v>740</v>
      </c>
      <c r="B9" s="1181">
        <f>IF(VLOOKUP(DATE(B$3,6,1),Base_Mensuelle!$CY$68:$DF$679,2,0)&lt;&gt;"",VLOOKUP(DATE(B$3,6,1),Base_Mensuelle!$CY$68:$DF$679,2,0),"")</f>
        <v>82.096999419190183</v>
      </c>
      <c r="C9" s="1181">
        <f>IF(VLOOKUP(DATE(C$3,6,1),Base_Mensuelle!$CY$68:$DF$679,2,0)&lt;&gt;"",VLOOKUP(DATE(C$3,6,1),Base_Mensuelle!$CY$68:$DF$679,2,0),"")</f>
        <v>86.843658000000005</v>
      </c>
      <c r="D9" s="1181">
        <f>IF(VLOOKUP(DATE(D$3,6,1),Base_Mensuelle!$CY$68:$DF$679,2,0)&lt;&gt;"",VLOOKUP(DATE(D$3,6,1),Base_Mensuelle!$CY$68:$DF$679,2,0),"")</f>
        <v>92.371611526290536</v>
      </c>
      <c r="E9" s="1181">
        <f>IF(VLOOKUP(DATE(E$3,6,1),Base_Mensuelle!$CY$68:$DF$679,2,0)&lt;&gt;"",VLOOKUP(DATE(E$3,6,1),Base_Mensuelle!$CY$68:$DF$679,2,0),"")</f>
        <v>98.035572000000002</v>
      </c>
      <c r="F9" s="1181">
        <f>IF(VLOOKUP(DATE(F$3,6,1),Base_Mensuelle!$CY$68:$DF$679,2,0)&lt;&gt;"",VLOOKUP(DATE(F$3,6,1),Base_Mensuelle!$CY$68:$DF$679,2,0),"")</f>
        <v>105.29117165682757</v>
      </c>
      <c r="G9" s="1181">
        <f>IF(VLOOKUP(DATE(G$3,6,1),Base_Mensuelle!$CY$68:$DF$679,2,0)&lt;&gt;"",VLOOKUP(DATE(G$3,6,1),Base_Mensuelle!$CY$68:$DF$679,2,0),"")</f>
        <v>118.3582887488395</v>
      </c>
      <c r="H9" s="1181">
        <f>IF(VLOOKUP(DATE(H$3,6,1),Base_Mensuelle!$CY$68:$DF$679,2,0)&lt;&gt;"",VLOOKUP(DATE(H$3,6,1),Base_Mensuelle!$CY$68:$DF$679,2,0),"")</f>
        <v>132.45224764</v>
      </c>
      <c r="I9" s="1181">
        <f>IF(VLOOKUP(DATE(I$3,6,1),Base_Mensuelle!$CY$68:$DF$679,2,0)&lt;&gt;"",VLOOKUP(DATE(I$3,6,1),Base_Mensuelle!$CY$68:$DF$679,2,0),"")</f>
        <v>139.82304604993146</v>
      </c>
      <c r="J9" s="1181">
        <f>IF(VLOOKUP(DATE(J$3,6,1),Base_Mensuelle!$CY$68:$DF$679,2,0)&lt;&gt;"",VLOOKUP(DATE(J$3,6,1),Base_Mensuelle!$CY$68:$DF$679,2,0),"")</f>
        <v>165.36286959999998</v>
      </c>
      <c r="K9" s="1189">
        <f>IF(VLOOKUP(DATE(K$3,6,1),Base_Mensuelle!$CY$68:$DF$679,2,0)&lt;&gt;"",VLOOKUP(DATE(K$3,6,1),Base_Mensuelle!$CY$68:$DF$679,2,0),"")</f>
        <v>168.00785849000002</v>
      </c>
      <c r="L9" s="1181">
        <f>IF(VLOOKUP(DATE(L$3,6,1),Base_Mensuelle!$CY$68:$DF$679,2,0)&lt;&gt;"",VLOOKUP(DATE(L$3,6,1),Base_Mensuelle!$CY$68:$DF$679,2,0),"")</f>
        <v>180.06336799999997</v>
      </c>
      <c r="N9" s="1174"/>
    </row>
    <row r="10" spans="1:14" ht="11.5" customHeight="1">
      <c r="A10" s="1182" t="s">
        <v>741</v>
      </c>
      <c r="B10" s="1182">
        <f>IF(VLOOKUP(DATE(B$3,7,1),Base_Mensuelle!$CY$68:$DF$679,2,0)&lt;&gt;"",VLOOKUP(DATE(B$3,7,1),Base_Mensuelle!$CY$68:$DF$679,2,0),"")</f>
        <v>72.820040395268819</v>
      </c>
      <c r="C10" s="1182">
        <f>IF(VLOOKUP(DATE(C$3,7,1),Base_Mensuelle!$CY$68:$DF$679,2,0)&lt;&gt;"",VLOOKUP(DATE(C$3,7,1),Base_Mensuelle!$CY$68:$DF$679,2,0),"")</f>
        <v>80.710714999999993</v>
      </c>
      <c r="D10" s="1182">
        <f>IF(VLOOKUP(DATE(D$3,7,1),Base_Mensuelle!$CY$68:$DF$679,2,0)&lt;&gt;"",VLOOKUP(DATE(D$3,7,1),Base_Mensuelle!$CY$68:$DF$679,2,0),"")</f>
        <v>90.022729999999996</v>
      </c>
      <c r="E10" s="1182">
        <f>IF(VLOOKUP(DATE(E$3,7,1),Base_Mensuelle!$CY$68:$DF$679,2,0)&lt;&gt;"",VLOOKUP(DATE(E$3,7,1),Base_Mensuelle!$CY$68:$DF$679,2,0),"")</f>
        <v>97.822629733255297</v>
      </c>
      <c r="F10" s="1182">
        <f>IF(VLOOKUP(DATE(F$3,7,1),Base_Mensuelle!$CY$68:$DF$679,2,0)&lt;&gt;"",VLOOKUP(DATE(F$3,7,1),Base_Mensuelle!$CY$68:$DF$679,2,0),"")</f>
        <v>107.34191413912868</v>
      </c>
      <c r="G10" s="1182">
        <f>IF(VLOOKUP(DATE(G$3,7,1),Base_Mensuelle!$CY$68:$DF$679,2,0)&lt;&gt;"",VLOOKUP(DATE(G$3,7,1),Base_Mensuelle!$CY$68:$DF$679,2,0),"")</f>
        <v>114.97994399999999</v>
      </c>
      <c r="H10" s="1182">
        <f>IF(VLOOKUP(DATE(H$3,7,1),Base_Mensuelle!$CY$68:$DF$679,2,0)&lt;&gt;"",VLOOKUP(DATE(H$3,7,1),Base_Mensuelle!$CY$68:$DF$679,2,0),"")</f>
        <v>120.45729212000001</v>
      </c>
      <c r="I10" s="1182">
        <f>IF(VLOOKUP(DATE(I$3,7,1),Base_Mensuelle!$CY$68:$DF$679,2,0)&lt;&gt;"",VLOOKUP(DATE(I$3,7,1),Base_Mensuelle!$CY$68:$DF$679,2,0),"")</f>
        <v>126.84582745059191</v>
      </c>
      <c r="J10" s="1182">
        <f>IF(VLOOKUP(DATE(J$3,7,1),Base_Mensuelle!$CY$68:$DF$679,2,0)&lt;&gt;"",VLOOKUP(DATE(J$3,7,1),Base_Mensuelle!$CY$68:$DF$679,2,0),"")</f>
        <v>144.2567382</v>
      </c>
      <c r="K10" s="1190">
        <f>IF(VLOOKUP(DATE(K$3,7,1),Base_Mensuelle!$CY$68:$DF$679,2,0)&lt;&gt;"",VLOOKUP(DATE(K$3,7,1),Base_Mensuelle!$CY$68:$DF$679,2,0),"")</f>
        <v>155.87472400000001</v>
      </c>
      <c r="L10" s="1182">
        <f>IF(VLOOKUP(DATE(L$3,7,1),Base_Mensuelle!$CY$68:$DF$679,2,0)&lt;&gt;"",VLOOKUP(DATE(L$3,7,1),Base_Mensuelle!$CY$68:$DF$679,2,0),"")</f>
        <v>174.309078</v>
      </c>
      <c r="N10" s="1174"/>
    </row>
    <row r="11" spans="1:14" ht="11.5" customHeight="1">
      <c r="A11" s="1181" t="s">
        <v>742</v>
      </c>
      <c r="B11" s="1181">
        <f>IF(VLOOKUP(DATE(B$3,8,1),Base_Mensuelle!$CY$68:$DF$679,2,0)&lt;&gt;"",VLOOKUP(DATE(B$3,8,1),Base_Mensuelle!$CY$68:$DF$679,2,0),"")</f>
        <v>71.581689543463398</v>
      </c>
      <c r="C11" s="1181">
        <f>IF(VLOOKUP(DATE(C$3,8,1),Base_Mensuelle!$CY$68:$DF$679,2,0)&lt;&gt;"",VLOOKUP(DATE(C$3,8,1),Base_Mensuelle!$CY$68:$DF$679,2,0),"")</f>
        <v>76.981938</v>
      </c>
      <c r="D11" s="1181">
        <f>IF(VLOOKUP(DATE(D$3,8,1),Base_Mensuelle!$CY$68:$DF$679,2,0)&lt;&gt;"",VLOOKUP(DATE(D$3,8,1),Base_Mensuelle!$CY$68:$DF$679,2,0),"")</f>
        <v>86.766433000000006</v>
      </c>
      <c r="E11" s="1181">
        <f>IF(VLOOKUP(DATE(E$3,8,1),Base_Mensuelle!$CY$68:$DF$679,2,0)&lt;&gt;"",VLOOKUP(DATE(E$3,8,1),Base_Mensuelle!$CY$68:$DF$679,2,0),"")</f>
        <v>91.78948299999999</v>
      </c>
      <c r="F11" s="1181">
        <f>IF(VLOOKUP(DATE(F$3,8,1),Base_Mensuelle!$CY$68:$DF$679,2,0)&lt;&gt;"",VLOOKUP(DATE(F$3,8,1),Base_Mensuelle!$CY$68:$DF$679,2,0),"")</f>
        <v>99.134534000000002</v>
      </c>
      <c r="G11" s="1181">
        <f>IF(VLOOKUP(DATE(G$3,8,1),Base_Mensuelle!$CY$68:$DF$679,2,0)&lt;&gt;"",VLOOKUP(DATE(G$3,8,1),Base_Mensuelle!$CY$68:$DF$679,2,0),"")</f>
        <v>106.68387452609505</v>
      </c>
      <c r="H11" s="1181">
        <f>IF(VLOOKUP(DATE(H$3,8,1),Base_Mensuelle!$CY$68:$DF$679,2,0)&lt;&gt;"",VLOOKUP(DATE(H$3,8,1),Base_Mensuelle!$CY$68:$DF$679,2,0),"")</f>
        <v>122.87761419</v>
      </c>
      <c r="I11" s="1181">
        <f>IF(VLOOKUP(DATE(I$3,8,1),Base_Mensuelle!$CY$68:$DF$679,2,0)&lt;&gt;"",VLOOKUP(DATE(I$3,8,1),Base_Mensuelle!$CY$68:$DF$679,2,0),"")</f>
        <v>123.06363720660914</v>
      </c>
      <c r="J11" s="1181">
        <f>IF(VLOOKUP(DATE(J$3,8,1),Base_Mensuelle!$CY$68:$DF$679,2,0)&lt;&gt;"",VLOOKUP(DATE(J$3,8,1),Base_Mensuelle!$CY$68:$DF$679,2,0),"")</f>
        <v>139.0083205</v>
      </c>
      <c r="K11" s="1189">
        <f>IF(VLOOKUP(DATE(K$3,8,1),Base_Mensuelle!$CY$68:$DF$679,2,0)&lt;&gt;"",VLOOKUP(DATE(K$3,8,1),Base_Mensuelle!$CY$68:$DF$679,2,0),"")</f>
        <v>151.014937</v>
      </c>
      <c r="L11" s="1181">
        <f>IF(VLOOKUP(DATE(L$3,8,1),Base_Mensuelle!$CY$68:$DF$679,2,0)&lt;&gt;"",VLOOKUP(DATE(L$3,8,1),Base_Mensuelle!$CY$68:$DF$679,2,0),"")</f>
        <v>162.20991100000003</v>
      </c>
      <c r="N11" s="1174"/>
    </row>
    <row r="12" spans="1:14" ht="11.5" customHeight="1">
      <c r="A12" s="1182" t="s">
        <v>743</v>
      </c>
      <c r="B12" s="1182">
        <f>IF(VLOOKUP(DATE(B$3,9,1),Base_Mensuelle!$CY$68:$DF$679,2,0)&lt;&gt;"",VLOOKUP(DATE(B$3,9,1),Base_Mensuelle!$CY$68:$DF$679,2,0),"")</f>
        <v>67.313752245128398</v>
      </c>
      <c r="C12" s="1182">
        <f>IF(VLOOKUP(DATE(C$3,9,1),Base_Mensuelle!$CY$68:$DF$679,2,0)&lt;&gt;"",VLOOKUP(DATE(C$3,9,1),Base_Mensuelle!$CY$68:$DF$679,2,0),"")</f>
        <v>71.695799000000008</v>
      </c>
      <c r="D12" s="1182">
        <f>IF(VLOOKUP(DATE(D$3,9,1),Base_Mensuelle!$CY$68:$DF$679,2,0)&lt;&gt;"",VLOOKUP(DATE(D$3,9,1),Base_Mensuelle!$CY$68:$DF$679,2,0),"")</f>
        <v>74.239772000000002</v>
      </c>
      <c r="E12" s="1182">
        <f>IF(VLOOKUP(DATE(E$3,9,1),Base_Mensuelle!$CY$68:$DF$679,2,0)&lt;&gt;"",VLOOKUP(DATE(E$3,9,1),Base_Mensuelle!$CY$68:$DF$679,2,0),"")</f>
        <v>83.532846460000002</v>
      </c>
      <c r="F12" s="1182">
        <f>IF(VLOOKUP(DATE(F$3,9,1),Base_Mensuelle!$CY$68:$DF$679,2,0)&lt;&gt;"",VLOOKUP(DATE(F$3,9,1),Base_Mensuelle!$CY$68:$DF$679,2,0),"")</f>
        <v>97.568646000000001</v>
      </c>
      <c r="G12" s="1182">
        <f>IF(VLOOKUP(DATE(G$3,9,1),Base_Mensuelle!$CY$68:$DF$679,2,0)&lt;&gt;"",VLOOKUP(DATE(G$3,9,1),Base_Mensuelle!$CY$68:$DF$679,2,0),"")</f>
        <v>103.66224026025505</v>
      </c>
      <c r="H12" s="1182">
        <f>IF(VLOOKUP(DATE(H$3,9,1),Base_Mensuelle!$CY$68:$DF$679,2,0)&lt;&gt;"",VLOOKUP(DATE(H$3,9,1),Base_Mensuelle!$CY$68:$DF$679,2,0),"")</f>
        <v>115.3603475358089</v>
      </c>
      <c r="I12" s="1182">
        <f>IF(VLOOKUP(DATE(I$3,9,1),Base_Mensuelle!$CY$68:$DF$679,2,0)&lt;&gt;"",VLOOKUP(DATE(I$3,9,1),Base_Mensuelle!$CY$68:$DF$679,2,0),"")</f>
        <v>121.96905879458902</v>
      </c>
      <c r="J12" s="1182">
        <f>IF(VLOOKUP(DATE(J$3,9,1),Base_Mensuelle!$CY$68:$DF$679,2,0)&lt;&gt;"",VLOOKUP(DATE(J$3,9,1),Base_Mensuelle!$CY$68:$DF$679,2,0),"")</f>
        <v>129.22752320000001</v>
      </c>
      <c r="K12" s="1190">
        <f>IF(VLOOKUP(DATE(K$3,9,1),Base_Mensuelle!$CY$68:$DF$679,2,0)&lt;&gt;"",VLOOKUP(DATE(K$3,9,1),Base_Mensuelle!$CY$68:$DF$679,2,0),"")</f>
        <v>135.88035199999999</v>
      </c>
      <c r="L12" s="1182" t="str">
        <f>IF(VLOOKUP(DATE(L$3,9,1),Base_Mensuelle!$CY$68:$DF$679,2,0)&lt;&gt;"",VLOOKUP(DATE(L$3,9,1),Base_Mensuelle!$CY$68:$DF$679,2,0),"")</f>
        <v/>
      </c>
      <c r="N12" s="1174"/>
    </row>
    <row r="13" spans="1:14" ht="11.5" customHeight="1">
      <c r="A13" s="1181" t="s">
        <v>744</v>
      </c>
      <c r="B13" s="1181">
        <f>IF(VLOOKUP(DATE(B$3,10,1),Base_Mensuelle!$CY$68:$DF$679,2,0)&lt;&gt;"",VLOOKUP(DATE(B$3,10,1),Base_Mensuelle!$CY$68:$DF$679,2,0),"")</f>
        <v>71.028203213241198</v>
      </c>
      <c r="C13" s="1181">
        <f>IF(VLOOKUP(DATE(C$3,10,1),Base_Mensuelle!$CY$68:$DF$679,2,0)&lt;&gt;"",VLOOKUP(DATE(C$3,10,1),Base_Mensuelle!$CY$68:$DF$679,2,0),"")</f>
        <v>78.787595999999994</v>
      </c>
      <c r="D13" s="1181">
        <f>IF(VLOOKUP(DATE(D$3,10,1),Base_Mensuelle!$CY$68:$DF$679,2,0)&lt;&gt;"",VLOOKUP(DATE(D$3,10,1),Base_Mensuelle!$CY$68:$DF$679,2,0),"")</f>
        <v>83.622018999999995</v>
      </c>
      <c r="E13" s="1181">
        <f>IF(VLOOKUP(DATE(E$3,10,1),Base_Mensuelle!$CY$68:$DF$679,2,0)&lt;&gt;"",VLOOKUP(DATE(E$3,10,1),Base_Mensuelle!$CY$68:$DF$679,2,0),"")</f>
        <v>89.072672682685578</v>
      </c>
      <c r="F13" s="1181">
        <f>IF(VLOOKUP(DATE(F$3,10,1),Base_Mensuelle!$CY$68:$DF$679,2,0)&lt;&gt;"",VLOOKUP(DATE(F$3,10,1),Base_Mensuelle!$CY$68:$DF$679,2,0),"")</f>
        <v>92.972103000000004</v>
      </c>
      <c r="G13" s="1181">
        <f>IF(VLOOKUP(DATE(G$3,10,1),Base_Mensuelle!$CY$68:$DF$679,2,0)&lt;&gt;"",VLOOKUP(DATE(G$3,10,1),Base_Mensuelle!$CY$68:$DF$679,2,0),"")</f>
        <v>105.909645</v>
      </c>
      <c r="H13" s="1181">
        <f>IF(VLOOKUP(DATE(H$3,10,1),Base_Mensuelle!$CY$68:$DF$679,2,0)&lt;&gt;"",VLOOKUP(DATE(H$3,10,1),Base_Mensuelle!$CY$68:$DF$679,2,0),"")</f>
        <v>115.99910241000001</v>
      </c>
      <c r="I13" s="1181">
        <f>IF(VLOOKUP(DATE(I$3,10,1),Base_Mensuelle!$CY$68:$DF$679,2,0)&lt;&gt;"",VLOOKUP(DATE(I$3,10,1),Base_Mensuelle!$CY$68:$DF$679,2,0),"")</f>
        <v>116.4267430532249</v>
      </c>
      <c r="J13" s="1181">
        <f>IF(VLOOKUP(DATE(J$3,10,1),Base_Mensuelle!$CY$68:$DF$679,2,0)&lt;&gt;"",VLOOKUP(DATE(J$3,10,1),Base_Mensuelle!$CY$68:$DF$679,2,0),"")</f>
        <v>134.555115</v>
      </c>
      <c r="K13" s="1189">
        <f>IF(VLOOKUP(DATE(K$3,10,1),Base_Mensuelle!$CY$68:$DF$679,2,0)&lt;&gt;"",VLOOKUP(DATE(K$3,10,1),Base_Mensuelle!$CY$68:$DF$679,2,0),"")</f>
        <v>148.63557900000001</v>
      </c>
      <c r="L13" s="1181" t="str">
        <f>IF(VLOOKUP(DATE(L$3,10,1),Base_Mensuelle!$CY$68:$DF$679,2,0)&lt;&gt;"",VLOOKUP(DATE(L$3,10,1),Base_Mensuelle!$CY$68:$DF$679,2,0),"")</f>
        <v/>
      </c>
      <c r="N13" s="1174"/>
    </row>
    <row r="14" spans="1:14" ht="11.5" customHeight="1">
      <c r="A14" s="1182" t="s">
        <v>745</v>
      </c>
      <c r="B14" s="1182">
        <f>IF(VLOOKUP(DATE(B$3,11,1),Base_Mensuelle!$CY$68:$DF$679,2,0)&lt;&gt;"",VLOOKUP(DATE(B$3,11,1),Base_Mensuelle!$CY$68:$DF$679,2,0),"")</f>
        <v>77.905418052297719</v>
      </c>
      <c r="C14" s="1182">
        <f>IF(VLOOKUP(DATE(C$3,11,1),Base_Mensuelle!$CY$68:$DF$679,2,0)&lt;&gt;"",VLOOKUP(DATE(C$3,11,1),Base_Mensuelle!$CY$68:$DF$679,2,0),"")</f>
        <v>82.690943239999996</v>
      </c>
      <c r="D14" s="1182">
        <f>IF(VLOOKUP(DATE(D$3,11,1),Base_Mensuelle!$CY$68:$DF$679,2,0)&lt;&gt;"",VLOOKUP(DATE(D$3,11,1),Base_Mensuelle!$CY$68:$DF$679,2,0),"")</f>
        <v>95.210326133217649</v>
      </c>
      <c r="E14" s="1182">
        <f>IF(VLOOKUP(DATE(E$3,11,1),Base_Mensuelle!$CY$68:$DF$679,2,0)&lt;&gt;"",VLOOKUP(DATE(E$3,11,1),Base_Mensuelle!$CY$68:$DF$679,2,0),"")</f>
        <v>99.414686000000003</v>
      </c>
      <c r="F14" s="1182">
        <f>IF(VLOOKUP(DATE(F$3,11,1),Base_Mensuelle!$CY$68:$DF$679,2,0)&lt;&gt;"",VLOOKUP(DATE(F$3,11,1),Base_Mensuelle!$CY$68:$DF$679,2,0),"")</f>
        <v>103.95114</v>
      </c>
      <c r="G14" s="1182">
        <f>IF(VLOOKUP(DATE(G$3,11,1),Base_Mensuelle!$CY$68:$DF$679,2,0)&lt;&gt;"",VLOOKUP(DATE(G$3,11,1),Base_Mensuelle!$CY$68:$DF$679,2,0),"")</f>
        <v>115.88796225033235</v>
      </c>
      <c r="H14" s="1182">
        <f>IF(VLOOKUP(DATE(H$3,11,1),Base_Mensuelle!$CY$68:$DF$679,2,0)&lt;&gt;"",VLOOKUP(DATE(H$3,11,1),Base_Mensuelle!$CY$68:$DF$679,2,0),"")</f>
        <v>123.87346552565452</v>
      </c>
      <c r="I14" s="1182">
        <f>IF(VLOOKUP(DATE(I$3,11,1),Base_Mensuelle!$CY$68:$DF$679,2,0)&lt;&gt;"",VLOOKUP(DATE(I$3,11,1),Base_Mensuelle!$CY$68:$DF$679,2,0),"")</f>
        <v>134.79972555388383</v>
      </c>
      <c r="J14" s="1182">
        <f>IF(VLOOKUP(DATE(J$3,11,1),Base_Mensuelle!$CY$68:$DF$679,2,0)&lt;&gt;"",VLOOKUP(DATE(J$3,11,1),Base_Mensuelle!$CY$68:$DF$679,2,0),"")</f>
        <v>144.4152666</v>
      </c>
      <c r="K14" s="1190">
        <f>IF(VLOOKUP(DATE(K$3,11,1),Base_Mensuelle!$CY$68:$DF$679,2,0)&lt;&gt;"",VLOOKUP(DATE(K$3,11,1),Base_Mensuelle!$CY$68:$DF$679,2,0),"")</f>
        <v>158.72157299999998</v>
      </c>
      <c r="L14" s="1182" t="str">
        <f>IF(VLOOKUP(DATE(L$3,11,1),Base_Mensuelle!$CY$68:$DF$679,2,0)&lt;&gt;"",VLOOKUP(DATE(L$3,11,1),Base_Mensuelle!$CY$68:$DF$679,2,0),"")</f>
        <v/>
      </c>
      <c r="N14" s="1174"/>
    </row>
    <row r="15" spans="1:14" ht="11.5" customHeight="1">
      <c r="A15" s="1183" t="s">
        <v>746</v>
      </c>
      <c r="B15" s="1183">
        <f>IF(VLOOKUP(DATE(B$3,12,1),Base_Mensuelle!$CY$68:$DF$679,2,0)&lt;&gt;"",VLOOKUP(DATE(B$3,12,1),Base_Mensuelle!$CY$68:$DF$679,2,0),"")</f>
        <v>68.704464440809218</v>
      </c>
      <c r="C15" s="1183">
        <f>IF(VLOOKUP(DATE(C$3,12,1),Base_Mensuelle!$CY$68:$DF$679,2,0)&lt;&gt;"",VLOOKUP(DATE(C$3,12,1),Base_Mensuelle!$CY$68:$DF$679,2,0),"")</f>
        <v>80.156857000000002</v>
      </c>
      <c r="D15" s="1183">
        <f>IF(VLOOKUP(DATE(D$3,12,1),Base_Mensuelle!$CY$68:$DF$679,2,0)&lt;&gt;"",VLOOKUP(DATE(D$3,12,1),Base_Mensuelle!$CY$68:$DF$679,2,0),"")</f>
        <v>81.502949000000001</v>
      </c>
      <c r="E15" s="1183">
        <f>IF(VLOOKUP(DATE(E$3,12,1),Base_Mensuelle!$CY$68:$DF$679,2,0)&lt;&gt;"",VLOOKUP(DATE(E$3,12,1),Base_Mensuelle!$CY$68:$DF$679,2,0),"")</f>
        <v>95.548249285893917</v>
      </c>
      <c r="F15" s="1183">
        <f>IF(VLOOKUP(DATE(F$3,12,1),Base_Mensuelle!$CY$68:$DF$679,2,0)&lt;&gt;"",VLOOKUP(DATE(F$3,12,1),Base_Mensuelle!$CY$68:$DF$679,2,0),"")</f>
        <v>94.517721000000009</v>
      </c>
      <c r="G15" s="1183">
        <f>IF(VLOOKUP(DATE(G$3,12,1),Base_Mensuelle!$CY$68:$DF$679,2,0)&lt;&gt;"",VLOOKUP(DATE(G$3,12,1),Base_Mensuelle!$CY$68:$DF$679,2,0),"")</f>
        <v>110.67661572150462</v>
      </c>
      <c r="H15" s="1183">
        <f>IF(VLOOKUP(DATE(H$3,12,1),Base_Mensuelle!$CY$68:$DF$679,2,0)&lt;&gt;"",VLOOKUP(DATE(H$3,12,1),Base_Mensuelle!$CY$68:$DF$679,2,0),"")</f>
        <v>117.67603528112758</v>
      </c>
      <c r="I15" s="1183">
        <f>IF(VLOOKUP(DATE(I$3,12,1),Base_Mensuelle!$CY$68:$DF$679,2,0)&lt;&gt;"",VLOOKUP(DATE(I$3,12,1),Base_Mensuelle!$CY$68:$DF$679,2,0),"")</f>
        <v>144.65919638104236</v>
      </c>
      <c r="J15" s="1183">
        <f>IF(VLOOKUP(DATE(J$3,12,1),Base_Mensuelle!$CY$68:$DF$679,2,0)&lt;&gt;"",VLOOKUP(DATE(J$3,12,1),Base_Mensuelle!$CY$68:$DF$679,2,0),"")</f>
        <v>133.40707810000001</v>
      </c>
      <c r="K15" s="1191">
        <f>IF(VLOOKUP(DATE(K$3,12,1),Base_Mensuelle!$CY$68:$DF$679,2,0)&lt;&gt;"",VLOOKUP(DATE(K$3,12,1),Base_Mensuelle!$CY$68:$DF$679,2,0),"")</f>
        <v>145.17673400000001</v>
      </c>
      <c r="L15" s="1183" t="str">
        <f>IF(VLOOKUP(DATE(L$3,12,1),Base_Mensuelle!$CY$68:$DF$679,2,0)&lt;&gt;"",VLOOKUP(DATE(L$3,12,1),Base_Mensuelle!$CY$68:$DF$679,2,0),"")</f>
        <v/>
      </c>
      <c r="N15" s="1174"/>
    </row>
    <row r="16" spans="1:14" ht="11.5" customHeight="1">
      <c r="A16" s="1171" t="s">
        <v>821</v>
      </c>
      <c r="N16" s="1174"/>
    </row>
    <row r="18" spans="1:18" ht="11.5" customHeight="1">
      <c r="A18" s="1170" t="s">
        <v>1114</v>
      </c>
      <c r="N18" s="1173"/>
    </row>
    <row r="19" spans="1:18" ht="11.5" customHeight="1">
      <c r="A19" s="1170"/>
      <c r="B19" s="1690">
        <f>DATE(YEAR(INDEX(Base_Mensuelle!$CY$68:$DF$679,MAX(Base_Mensuelle!$DF$68:$DF$679),1)),12,1)</f>
        <v>44531</v>
      </c>
      <c r="C19" s="1690">
        <f>DATE(YEAR(INDEX(Base_Mensuelle!$CY$68:$DF$679,MAX(Base_Mensuelle!$DF$68:$DF$679),1)),12,1)</f>
        <v>44531</v>
      </c>
      <c r="D19" s="1690">
        <f>DATE(YEAR(INDEX(Base_Mensuelle!$CY$68:$DF$679,MAX(Base_Mensuelle!$DF$68:$DF$679),1)),12,1)</f>
        <v>44531</v>
      </c>
      <c r="E19" s="1690">
        <f>DATE(YEAR(INDEX(Base_Mensuelle!$CY$68:$DF$679,MAX(Base_Mensuelle!$DF$68:$DF$679),1)),12,1)</f>
        <v>44531</v>
      </c>
      <c r="F19" s="1690">
        <f>DATE(YEAR(INDEX(Base_Mensuelle!$CY$68:$DF$679,MAX(Base_Mensuelle!$DF$68:$DF$679),1)),12,1)</f>
        <v>44531</v>
      </c>
      <c r="G19" s="1691">
        <f>DATE(YEAR(INDEX(Base_Mensuelle!$CY$68:$DF$679,MAX(Base_Mensuelle!$DF$68:$DF$679),1)),12,1)</f>
        <v>44531</v>
      </c>
      <c r="H19" s="1691">
        <f>DATE(YEAR(INDEX(Base_Mensuelle!$CY$68:$DF$679,MAX(Base_Mensuelle!$DF$68:$DF$679),1)),12,1)</f>
        <v>44531</v>
      </c>
      <c r="I19" s="1691">
        <f>DATE(YEAR(INDEX(Base_Mensuelle!$CY$68:$DF$679,MAX(Base_Mensuelle!$DF$68:$DF$679),1)),12,1)</f>
        <v>44531</v>
      </c>
      <c r="J19" s="1691">
        <f>DATE(YEAR(INDEX(Base_Mensuelle!$CY$68:$DF$679,MAX(Base_Mensuelle!$DF$68:$DF$679),1)),12,1)</f>
        <v>44531</v>
      </c>
      <c r="K19" s="1691">
        <f>DATE(YEAR(INDEX(Base_Mensuelle!$CY$68:$DF$679,MAX(Base_Mensuelle!$DF$68:$DF$679),1)),12,1)</f>
        <v>44531</v>
      </c>
      <c r="L19" s="1627">
        <f>DATE(YEAR(INDEX(Base_Mensuelle!$CY$68:$DF$679,MAX(Base_Mensuelle!$DF$68:$DF$679),1)),12,1)</f>
        <v>44531</v>
      </c>
      <c r="N19" s="1173"/>
    </row>
    <row r="20" spans="1:18" ht="11.5" customHeight="1">
      <c r="A20" s="1409"/>
      <c r="B20" s="1176">
        <f t="shared" ref="B20:J20" si="1">C$20-1</f>
        <v>2011</v>
      </c>
      <c r="C20" s="1176">
        <f t="shared" si="1"/>
        <v>2012</v>
      </c>
      <c r="D20" s="1176">
        <f t="shared" si="1"/>
        <v>2013</v>
      </c>
      <c r="E20" s="1176">
        <f t="shared" si="1"/>
        <v>2014</v>
      </c>
      <c r="F20" s="1176">
        <f t="shared" si="1"/>
        <v>2015</v>
      </c>
      <c r="G20" s="1176">
        <f t="shared" si="1"/>
        <v>2016</v>
      </c>
      <c r="H20" s="1176">
        <f t="shared" si="1"/>
        <v>2017</v>
      </c>
      <c r="I20" s="1176">
        <f t="shared" si="1"/>
        <v>2018</v>
      </c>
      <c r="J20" s="1176">
        <f t="shared" si="1"/>
        <v>2019</v>
      </c>
      <c r="K20" s="1176">
        <f>L$20-1</f>
        <v>2020</v>
      </c>
      <c r="L20" s="1396">
        <f>YEAR(INDEX(Base_Mensuelle!$CY$68:$DF$679,MAX(Base_Mensuelle!$DF$68:$DF$679),1))</f>
        <v>2021</v>
      </c>
      <c r="N20" s="1173"/>
    </row>
    <row r="21" spans="1:18" ht="11.5" customHeight="1">
      <c r="A21" s="1180" t="s">
        <v>822</v>
      </c>
      <c r="B21" s="1188">
        <f>IF(VLOOKUP(B$20,Base_Mensuelle!$CX$68:$DF$679,7,0)&lt;&gt;"",VLOOKUP(B$20,Base_Mensuelle!$CX$68:$DF$679,7,0),"")</f>
        <v>400356</v>
      </c>
      <c r="C21" s="1188">
        <f>IF(VLOOKUP(C$20,Base_Mensuelle!$CX$68:$DF$679,7,0)&lt;&gt;"",VLOOKUP(C$20,Base_Mensuelle!$CX$68:$DF$679,7,0),"")</f>
        <v>435032</v>
      </c>
      <c r="D21" s="1188">
        <f>IF(VLOOKUP(D$20,Base_Mensuelle!$CX$68:$DF$679,7,0)&lt;&gt;"",VLOOKUP(D$20,Base_Mensuelle!$CX$68:$DF$679,7,0),"")</f>
        <v>471097</v>
      </c>
      <c r="E21" s="1188">
        <f>IF(VLOOKUP(E$20,Base_Mensuelle!$CX$68:$DF$679,7,0)&lt;&gt;"",VLOOKUP(E$20,Base_Mensuelle!$CX$68:$DF$679,7,0),"")</f>
        <v>507074</v>
      </c>
      <c r="F21" s="1188">
        <f>IF(VLOOKUP(F$20,Base_Mensuelle!$CX$68:$DF$679,7,0)&lt;&gt;"",VLOOKUP(F$20,Base_Mensuelle!$CX$68:$DF$679,7,0),"")</f>
        <v>543327</v>
      </c>
      <c r="G21" s="1188">
        <f>IF(VLOOKUP(G$20,Base_Mensuelle!$CX$68:$DF$679,7,0)&lt;&gt;"",VLOOKUP(G$20,Base_Mensuelle!$CX$68:$DF$679,7,0),"")</f>
        <v>583970</v>
      </c>
      <c r="H21" s="1188">
        <f>IF(VLOOKUP(H$20,Base_Mensuelle!$CX$68:$DF$679,7,0)&lt;&gt;"",VLOOKUP(H$20,Base_Mensuelle!$CX$68:$DF$679,7,0),"")</f>
        <v>626374</v>
      </c>
      <c r="I21" s="1188">
        <f>IF(VLOOKUP(I$20,Base_Mensuelle!$CX$68:$DF$679,7,0)&lt;&gt;"",VLOOKUP(I$20,Base_Mensuelle!$CX$68:$DF$679,7,0),"")</f>
        <v>667702</v>
      </c>
      <c r="J21" s="1188" t="str">
        <f>IF(VLOOKUP(J$20,Base_Mensuelle!$CX$68:$DF$679,7,0)&lt;&gt;"",VLOOKUP(J$20,Base_Mensuelle!$CX$68:$DF$679,7,0),"")</f>
        <v/>
      </c>
      <c r="K21" s="1188" t="str">
        <f>IF(VLOOKUP(K$20,Base_Mensuelle!$CX$68:$DF$679,7,0)&lt;&gt;"",VLOOKUP(K$20,Base_Mensuelle!$CX$68:$DF$679,7,0),"")</f>
        <v/>
      </c>
      <c r="L21" s="1755" t="str">
        <f>IF(VLOOKUP(L$20,Base_Mensuelle!$CX$68:$DF$679,7,0)&lt;&gt;"",VLOOKUP(L$20,Base_Mensuelle!$CX$68:$DF$679,7,0),"")</f>
        <v/>
      </c>
      <c r="N21" s="1173"/>
    </row>
    <row r="22" spans="1:18" ht="11.5" customHeight="1">
      <c r="A22" s="1181" t="s">
        <v>823</v>
      </c>
      <c r="B22" s="1189">
        <f>IF(VLOOKUP(B$20,Base_Mensuelle!$CX$68:$DF$679,8,0)&lt;&gt;"",VLOOKUP(B$20,Base_Mensuelle!$CX$68:$DF$679,8,0),"")</f>
        <v>1120</v>
      </c>
      <c r="C22" s="1189">
        <f>IF(VLOOKUP(C$20,Base_Mensuelle!$CX$68:$DF$679,8,0)&lt;&gt;"",VLOOKUP(C$20,Base_Mensuelle!$CX$68:$DF$679,8,0),"")</f>
        <v>1218</v>
      </c>
      <c r="D22" s="1189">
        <f>IF(VLOOKUP(D$20,Base_Mensuelle!$CX$68:$DF$679,8,0)&lt;&gt;"",VLOOKUP(D$20,Base_Mensuelle!$CX$68:$DF$679,8,0),"")</f>
        <v>1344</v>
      </c>
      <c r="E22" s="1189">
        <f>IF(VLOOKUP(E$20,Base_Mensuelle!$CX$68:$DF$679,8,0)&lt;&gt;"",VLOOKUP(E$20,Base_Mensuelle!$CX$68:$DF$679,8,0),"")</f>
        <v>1425</v>
      </c>
      <c r="F22" s="1189">
        <f>IF(VLOOKUP(F$20,Base_Mensuelle!$CX$68:$DF$679,8,0)&lt;&gt;"",VLOOKUP(F$20,Base_Mensuelle!$CX$68:$DF$679,8,0),"")</f>
        <v>1498</v>
      </c>
      <c r="G22" s="1189">
        <f>IF(VLOOKUP(G$20,Base_Mensuelle!$CX$68:$DF$679,8,0)&lt;&gt;"",VLOOKUP(G$20,Base_Mensuelle!$CX$68:$DF$679,8,0),"")</f>
        <v>1664</v>
      </c>
      <c r="H22" s="1189">
        <f>IF(VLOOKUP(H$20,Base_Mensuelle!$CX$68:$DF$679,8,0)&lt;&gt;"",VLOOKUP(H$20,Base_Mensuelle!$CX$68:$DF$679,8,0),"")</f>
        <v>1737</v>
      </c>
      <c r="I22" s="1189">
        <f>IF(VLOOKUP(I$20,Base_Mensuelle!$CX$68:$DF$679,8,0)&lt;&gt;"",VLOOKUP(I$20,Base_Mensuelle!$CX$68:$DF$679,8,0),"")</f>
        <v>1746</v>
      </c>
      <c r="J22" s="1189" t="str">
        <f>IF(VLOOKUP(J$20,Base_Mensuelle!$CX$68:$DF$679,8,0)&lt;&gt;"",VLOOKUP(J$20,Base_Mensuelle!$CX$68:$DF$679,8,0),"")</f>
        <v/>
      </c>
      <c r="K22" s="1189" t="str">
        <f>IF(VLOOKUP(K$20,Base_Mensuelle!$CX$68:$DF$679,8,0)&lt;&gt;"",VLOOKUP(K$20,Base_Mensuelle!$CX$68:$DF$679,8,0),"")</f>
        <v/>
      </c>
      <c r="L22" s="1197" t="str">
        <f>IF(VLOOKUP(L$20,Base_Mensuelle!$CX$68:$DF$679,8,0)&lt;&gt;"",VLOOKUP(L$20,Base_Mensuelle!$CX$68:$DF$679,8,0),"")</f>
        <v/>
      </c>
      <c r="N22" s="1173" t="str">
        <f>IF(VLOOKUP(L20,Base_Mensuelle!CX68:DF679,6,0)&lt;&gt;"",VLOOKUP(L20,Base_Mensuelle!CX68:DF679,6,0),"")</f>
        <v/>
      </c>
    </row>
    <row r="23" spans="1:18" ht="11.5" customHeight="1">
      <c r="A23" s="1643" t="s">
        <v>723</v>
      </c>
      <c r="B23" s="1640">
        <f>IF(VLOOKUP(B$20,Base_Mensuelle!$CX$68:$DF$679,6,0)&lt;&gt;"",VLOOKUP(B$20,Base_Mensuelle!$CX$68:$DF$679,6,0),"")</f>
        <v>401476</v>
      </c>
      <c r="C23" s="1640">
        <f>IF(VLOOKUP(C$20,Base_Mensuelle!$CX$68:$DF$679,6,0)&lt;&gt;"",VLOOKUP(C$20,Base_Mensuelle!$CX$68:$DF$679,6,0),"")</f>
        <v>436250</v>
      </c>
      <c r="D23" s="1640">
        <f>IF(VLOOKUP(D$20,Base_Mensuelle!$CX$68:$DF$679,6,0)&lt;&gt;"",VLOOKUP(D$20,Base_Mensuelle!$CX$68:$DF$679,6,0),"")</f>
        <v>472441</v>
      </c>
      <c r="E23" s="1640">
        <f>IF(VLOOKUP(E$20,Base_Mensuelle!$CX$68:$DF$679,6,0)&lt;&gt;"",VLOOKUP(E$20,Base_Mensuelle!$CX$68:$DF$679,6,0),"")</f>
        <v>508499</v>
      </c>
      <c r="F23" s="1640">
        <f>IF(VLOOKUP(F$20,Base_Mensuelle!$CX$68:$DF$679,6,0)&lt;&gt;"",VLOOKUP(F$20,Base_Mensuelle!$CX$68:$DF$679,6,0),"")</f>
        <v>544825</v>
      </c>
      <c r="G23" s="1640">
        <f>IF(VLOOKUP(G$20,Base_Mensuelle!$CX$68:$DF$679,6,0)&lt;&gt;"",VLOOKUP(G$20,Base_Mensuelle!$CX$68:$DF$679,6,0),"")</f>
        <v>585634</v>
      </c>
      <c r="H23" s="1640">
        <f>IF(VLOOKUP(H$20,Base_Mensuelle!$CX$68:$DF$679,6,0)&lt;&gt;"",VLOOKUP(H$20,Base_Mensuelle!$CX$68:$DF$679,6,0),"")</f>
        <v>628111</v>
      </c>
      <c r="I23" s="1640">
        <f>IF(VLOOKUP(I$20,Base_Mensuelle!$CX$68:$DF$679,6,0)&lt;&gt;"",VLOOKUP(I$20,Base_Mensuelle!$CX$68:$DF$679,6,0),"")</f>
        <v>669448</v>
      </c>
      <c r="J23" s="1640" t="str">
        <f>IF(VLOOKUP(J$20,Base_Mensuelle!$CX$68:$DF$679,6,0)&lt;&gt;"",VLOOKUP(J$20,Base_Mensuelle!$CX$68:$DF$679,6,0),"")</f>
        <v/>
      </c>
      <c r="K23" s="1640" t="str">
        <f>IF(VLOOKUP(K$20,Base_Mensuelle!$CX$68:$DF$679,6,0)&lt;&gt;"",VLOOKUP(K$20,Base_Mensuelle!$CX$68:$DF$679,6,0),"")</f>
        <v/>
      </c>
      <c r="L23" s="1756" t="str">
        <f>IF(VLOOKUP(L$20,Base_Mensuelle!$CX$68:$DF$679,6,0)&lt;&gt;"",VLOOKUP(L$20,Base_Mensuelle!$CX$68:$DF$679,6,0),"")</f>
        <v/>
      </c>
      <c r="N23" s="1759"/>
    </row>
    <row r="24" spans="1:18" ht="11.5" customHeight="1">
      <c r="A24" s="1177" t="s">
        <v>824</v>
      </c>
      <c r="B24" s="1178"/>
      <c r="C24" s="1178"/>
      <c r="D24" s="1178"/>
      <c r="E24" s="1178"/>
      <c r="F24" s="1178"/>
      <c r="G24" s="1179"/>
      <c r="H24" s="1179"/>
      <c r="I24" s="1179"/>
      <c r="J24" s="1179"/>
      <c r="K24" s="1179"/>
      <c r="L24" s="1179"/>
      <c r="M24" s="1179"/>
      <c r="N24" s="1173"/>
    </row>
    <row r="26" spans="1:18" ht="11.5" customHeight="1">
      <c r="A26" s="1170" t="s">
        <v>1115</v>
      </c>
      <c r="N26" s="1173"/>
    </row>
    <row r="28" spans="1:18" ht="11.5" customHeight="1">
      <c r="A28" s="1410"/>
      <c r="B28" s="1176">
        <f t="shared" ref="B28:J28" si="2">C$28-1</f>
        <v>2013</v>
      </c>
      <c r="C28" s="1176">
        <f t="shared" si="2"/>
        <v>2014</v>
      </c>
      <c r="D28" s="1176">
        <f t="shared" si="2"/>
        <v>2015</v>
      </c>
      <c r="E28" s="1176">
        <f t="shared" si="2"/>
        <v>2016</v>
      </c>
      <c r="F28" s="1176">
        <f t="shared" si="2"/>
        <v>2017</v>
      </c>
      <c r="G28" s="1176">
        <f t="shared" si="2"/>
        <v>2018</v>
      </c>
      <c r="H28" s="1176">
        <f t="shared" si="2"/>
        <v>2019</v>
      </c>
      <c r="I28" s="1176">
        <f t="shared" si="2"/>
        <v>2020</v>
      </c>
      <c r="J28" s="1176">
        <f t="shared" si="2"/>
        <v>2021</v>
      </c>
      <c r="K28" s="1176">
        <f>L$28-1</f>
        <v>2022</v>
      </c>
      <c r="L28" s="1175">
        <f>YEAR(INDEX(Base_Mensuelle!$DG$68:$DP$679,MAX(Base_Mensuelle!$DP$68:$DP$679),1))</f>
        <v>2023</v>
      </c>
      <c r="O28" s="1172"/>
    </row>
    <row r="29" spans="1:18" ht="11.5" customHeight="1">
      <c r="A29" s="1411" t="s">
        <v>735</v>
      </c>
      <c r="B29" s="1180" t="str">
        <f>IF(VLOOKUP(DATE(B$28,1,1),Base_Mensuelle!$DG$68:$DP$679,9,0)&lt;&gt;"",VLOOKUP(DATE(B$28,1,1),Base_Mensuelle!$DG$68:$DP$679,9,0),"")</f>
        <v/>
      </c>
      <c r="C29" s="1180" t="str">
        <f>IF(VLOOKUP(DATE(C$28,1,1),Base_Mensuelle!$DG$68:$DP$679,9,0)&lt;&gt;"",VLOOKUP(DATE(C$28,1,1),Base_Mensuelle!$DG$68:$DP$679,9,0),"")</f>
        <v/>
      </c>
      <c r="D29" s="1180" t="str">
        <f>IF(VLOOKUP(DATE(D$28,1,1),Base_Mensuelle!$DG$68:$DP$679,9,0)&lt;&gt;"",VLOOKUP(DATE(D$28,1,1),Base_Mensuelle!$DG$68:$DP$679,9,0),"")</f>
        <v/>
      </c>
      <c r="E29" s="1180" t="str">
        <f>IF(VLOOKUP(DATE(E$28,1,1),Base_Mensuelle!$DG$68:$DP$679,9,0)&lt;&gt;"",VLOOKUP(DATE(E$28,1,1),Base_Mensuelle!$DG$68:$DP$679,9,0),"")</f>
        <v/>
      </c>
      <c r="F29" s="1180" t="str">
        <f>IF(VLOOKUP(DATE(F$28,1,1),Base_Mensuelle!$DG$68:$DP$679,9,0)&lt;&gt;"",VLOOKUP(DATE(F$28,1,1),Base_Mensuelle!$DG$68:$DP$679,9,0),"")</f>
        <v/>
      </c>
      <c r="G29" s="1188">
        <f>IF(VLOOKUP(DATE(G$28,1,1),Base_Mensuelle!$DG$68:$DP$679,9,0)&lt;&gt;"",VLOOKUP(DATE(G$28,1,1),Base_Mensuelle!$DG$68:$DP$679,9,0),"")</f>
        <v>6662633</v>
      </c>
      <c r="H29" s="1188">
        <f>IF(VLOOKUP(DATE(H$28,1,1),Base_Mensuelle!$DG$68:$DP$679,9,0)&lt;&gt;"",VLOOKUP(DATE(H$28,1,1),Base_Mensuelle!$DG$68:$DP$679,9,0),"")</f>
        <v>6909908</v>
      </c>
      <c r="I29" s="1188">
        <f>IF(VLOOKUP(DATE(I$28,1,1),Base_Mensuelle!$DG$68:$DP$679,9,0)&lt;&gt;"",VLOOKUP(DATE(I$28,1,1),Base_Mensuelle!$DG$68:$DP$679,9,0),"")</f>
        <v>7291288</v>
      </c>
      <c r="J29" s="1188">
        <f>IF(VLOOKUP(DATE(J$28,1,1),Base_Mensuelle!$DG$68:$DP$679,9,0)&lt;&gt;"",VLOOKUP(DATE(J$28,1,1),Base_Mensuelle!$DG$68:$DP$679,9,0),"")</f>
        <v>7960035</v>
      </c>
      <c r="K29" s="1188">
        <f>IF(VLOOKUP(DATE(K$28,1,1),Base_Mensuelle!$DG$68:$DP$679,9,0)&lt;&gt;"",VLOOKUP(DATE(K$28,1,1),Base_Mensuelle!$DG$68:$DP$679,9,0),"")</f>
        <v>5224659.9704908486</v>
      </c>
      <c r="L29" s="1188">
        <f>IF(VLOOKUP(DATE(L$28,1,1),Base_Mensuelle!$DG$68:$DP$679,9,0)&lt;&gt;"",VLOOKUP(DATE(L$28,1,1),Base_Mensuelle!$DG$68:$DP$679,9,0),"")</f>
        <v>8178808.6914653881</v>
      </c>
      <c r="O29" s="1172"/>
      <c r="P29" s="1172"/>
      <c r="Q29" s="1172"/>
      <c r="R29" s="1172"/>
    </row>
    <row r="30" spans="1:18" ht="11.5" customHeight="1">
      <c r="A30" s="1412" t="s">
        <v>736</v>
      </c>
      <c r="B30" s="1181" t="str">
        <f>IF(VLOOKUP(DATE(B$28,2,1),Base_Mensuelle!$DG$68:$DP$679,9,0)&lt;&gt;"",VLOOKUP(DATE(B$28,2,1),Base_Mensuelle!$DG$68:$DP$679,9,0),"")</f>
        <v/>
      </c>
      <c r="C30" s="1181" t="str">
        <f>IF(VLOOKUP(DATE(C$28,2,1),Base_Mensuelle!$DG$68:$DP$679,9,0)&lt;&gt;"",VLOOKUP(DATE(C$28,2,1),Base_Mensuelle!$DG$68:$DP$679,9,0),"")</f>
        <v/>
      </c>
      <c r="D30" s="1181" t="str">
        <f>IF(VLOOKUP(DATE(D$28,2,1),Base_Mensuelle!$DG$68:$DP$679,9,0)&lt;&gt;"",VLOOKUP(DATE(D$28,2,1),Base_Mensuelle!$DG$68:$DP$679,9,0),"")</f>
        <v/>
      </c>
      <c r="E30" s="1181" t="str">
        <f>IF(VLOOKUP(DATE(E$28,2,1),Base_Mensuelle!$DG$68:$DP$679,9,0)&lt;&gt;"",VLOOKUP(DATE(E$28,2,1),Base_Mensuelle!$DG$68:$DP$679,9,0),"")</f>
        <v/>
      </c>
      <c r="F30" s="1181" t="str">
        <f>IF(VLOOKUP(DATE(F$28,2,1),Base_Mensuelle!$DG$68:$DP$679,9,0)&lt;&gt;"",VLOOKUP(DATE(F$28,2,1),Base_Mensuelle!$DG$68:$DP$679,9,0),"")</f>
        <v/>
      </c>
      <c r="G30" s="1189">
        <f>IF(VLOOKUP(DATE(G$28,2,1),Base_Mensuelle!$DG$68:$DP$679,9,0)&lt;&gt;"",VLOOKUP(DATE(G$28,2,1),Base_Mensuelle!$DG$68:$DP$679,9,0),"")</f>
        <v>6658326</v>
      </c>
      <c r="H30" s="1189">
        <f>IF(VLOOKUP(DATE(H$28,2,1),Base_Mensuelle!$DG$68:$DP$679,9,0)&lt;&gt;"",VLOOKUP(DATE(H$28,2,1),Base_Mensuelle!$DG$68:$DP$679,9,0),"")</f>
        <v>6731100</v>
      </c>
      <c r="I30" s="1189">
        <f>IF(VLOOKUP(DATE(I$28,2,1),Base_Mensuelle!$DG$68:$DP$679,9,0)&lt;&gt;"",VLOOKUP(DATE(I$28,2,1),Base_Mensuelle!$DG$68:$DP$679,9,0),"")</f>
        <v>7390902</v>
      </c>
      <c r="J30" s="1189">
        <f>IF(VLOOKUP(DATE(J$28,2,1),Base_Mensuelle!$DG$68:$DP$679,9,0)&lt;&gt;"",VLOOKUP(DATE(J$28,2,1),Base_Mensuelle!$DG$68:$DP$679,9,0),"")</f>
        <v>8014900</v>
      </c>
      <c r="K30" s="1189">
        <f>IF(VLOOKUP(DATE(K$28,2,1),Base_Mensuelle!$DG$68:$DP$679,9,0)&lt;&gt;"",VLOOKUP(DATE(K$28,2,1),Base_Mensuelle!$DG$68:$DP$679,9,0),"")</f>
        <v>4992163.1974957082</v>
      </c>
      <c r="L30" s="1189">
        <f>IF(VLOOKUP(DATE(L$28,2,1),Base_Mensuelle!$DG$68:$DP$679,9,0)&lt;&gt;"",VLOOKUP(DATE(L$28,2,1),Base_Mensuelle!$DG$68:$DP$679,9,0),"")</f>
        <v>8482950.4321798272</v>
      </c>
      <c r="O30" s="1172"/>
    </row>
    <row r="31" spans="1:18" ht="11.5" customHeight="1">
      <c r="A31" s="1413" t="s">
        <v>737</v>
      </c>
      <c r="B31" s="1182" t="str">
        <f>IF(VLOOKUP(DATE(B$28,3,1),Base_Mensuelle!$DG$68:$DP$679,9,0)&lt;&gt;"",VLOOKUP(DATE(B$28,3,1),Base_Mensuelle!$DG$68:$DP$679,9,0),"")</f>
        <v/>
      </c>
      <c r="C31" s="1182" t="str">
        <f>IF(VLOOKUP(DATE(C$28,3,1),Base_Mensuelle!$DG$68:$DP$679,9,0)&lt;&gt;"",VLOOKUP(DATE(C$28,3,1),Base_Mensuelle!$DG$68:$DP$679,9,0),"")</f>
        <v/>
      </c>
      <c r="D31" s="1182" t="str">
        <f>IF(VLOOKUP(DATE(D$28,3,1),Base_Mensuelle!$DG$68:$DP$679,9,0)&lt;&gt;"",VLOOKUP(DATE(D$28,3,1),Base_Mensuelle!$DG$68:$DP$679,9,0),"")</f>
        <v/>
      </c>
      <c r="E31" s="1182" t="str">
        <f>IF(VLOOKUP(DATE(E$28,3,1),Base_Mensuelle!$DG$68:$DP$679,9,0)&lt;&gt;"",VLOOKUP(DATE(E$28,3,1),Base_Mensuelle!$DG$68:$DP$679,9,0),"")</f>
        <v/>
      </c>
      <c r="F31" s="1182" t="str">
        <f>IF(VLOOKUP(DATE(F$28,3,1),Base_Mensuelle!$DG$68:$DP$679,9,0)&lt;&gt;"",VLOOKUP(DATE(F$28,3,1),Base_Mensuelle!$DG$68:$DP$679,9,0),"")</f>
        <v/>
      </c>
      <c r="G31" s="1190">
        <f>IF(VLOOKUP(DATE(G$28,3,1),Base_Mensuelle!$DG$68:$DP$679,9,0)&lt;&gt;"",VLOOKUP(DATE(G$28,3,1),Base_Mensuelle!$DG$68:$DP$679,9,0),"")</f>
        <v>7227275</v>
      </c>
      <c r="H31" s="1190">
        <f>IF(VLOOKUP(DATE(H$28,3,1),Base_Mensuelle!$DG$68:$DP$679,9,0)&lt;&gt;"",VLOOKUP(DATE(H$28,3,1),Base_Mensuelle!$DG$68:$DP$679,9,0),"")</f>
        <v>7452339</v>
      </c>
      <c r="I31" s="1190">
        <f>IF(VLOOKUP(DATE(I$28,3,1),Base_Mensuelle!$DG$68:$DP$679,9,0)&lt;&gt;"",VLOOKUP(DATE(I$28,3,1),Base_Mensuelle!$DG$68:$DP$679,9,0),"")</f>
        <v>7518450</v>
      </c>
      <c r="J31" s="1190">
        <f>IF(VLOOKUP(DATE(J$28,3,1),Base_Mensuelle!$DG$68:$DP$679,9,0)&lt;&gt;"",VLOOKUP(DATE(J$28,3,1),Base_Mensuelle!$DG$68:$DP$679,9,0),"")</f>
        <v>7930231</v>
      </c>
      <c r="K31" s="1190">
        <f>IF(VLOOKUP(DATE(K$28,3,1),Base_Mensuelle!$DG$68:$DP$679,9,0)&lt;&gt;"",VLOOKUP(DATE(K$28,3,1),Base_Mensuelle!$DG$68:$DP$679,9,0),"")</f>
        <v>4775086.0340203578</v>
      </c>
      <c r="L31" s="1190">
        <f>IF(VLOOKUP(DATE(L$28,3,1),Base_Mensuelle!$DG$68:$DP$679,9,0)&lt;&gt;"",VLOOKUP(DATE(L$28,3,1),Base_Mensuelle!$DG$68:$DP$679,9,0),"")</f>
        <v>8818907.2576504257</v>
      </c>
      <c r="O31" s="1172"/>
    </row>
    <row r="32" spans="1:18" ht="11.5" customHeight="1">
      <c r="A32" s="1412" t="s">
        <v>738</v>
      </c>
      <c r="B32" s="1181" t="str">
        <f>IF(VLOOKUP(DATE(B$28,4,1),Base_Mensuelle!$DG$68:$DP$679,9,0)&lt;&gt;"",VLOOKUP(DATE(B$28,4,1),Base_Mensuelle!$DG$68:$DP$679,9,0),"")</f>
        <v/>
      </c>
      <c r="C32" s="1181" t="str">
        <f>IF(VLOOKUP(DATE(C$28,4,1),Base_Mensuelle!$DG$68:$DP$679,9,0)&lt;&gt;"",VLOOKUP(DATE(C$28,4,1),Base_Mensuelle!$DG$68:$DP$679,9,0),"")</f>
        <v/>
      </c>
      <c r="D32" s="1181" t="str">
        <f>IF(VLOOKUP(DATE(D$28,4,1),Base_Mensuelle!$DG$68:$DP$679,9,0)&lt;&gt;"",VLOOKUP(DATE(D$28,4,1),Base_Mensuelle!$DG$68:$DP$679,9,0),"")</f>
        <v/>
      </c>
      <c r="E32" s="1181" t="str">
        <f>IF(VLOOKUP(DATE(E$28,4,1),Base_Mensuelle!$DG$68:$DP$679,9,0)&lt;&gt;"",VLOOKUP(DATE(E$28,4,1),Base_Mensuelle!$DG$68:$DP$679,9,0),"")</f>
        <v/>
      </c>
      <c r="F32" s="1181" t="str">
        <f>IF(VLOOKUP(DATE(F$28,4,1),Base_Mensuelle!$DG$68:$DP$679,9,0)&lt;&gt;"",VLOOKUP(DATE(F$28,4,1),Base_Mensuelle!$DG$68:$DP$679,9,0),"")</f>
        <v/>
      </c>
      <c r="G32" s="1189">
        <f>IF(VLOOKUP(DATE(G$28,4,1),Base_Mensuelle!$DG$68:$DP$679,9,0)&lt;&gt;"",VLOOKUP(DATE(G$28,4,1),Base_Mensuelle!$DG$68:$DP$679,9,0),"")</f>
        <v>7140088</v>
      </c>
      <c r="H32" s="1189">
        <f>IF(VLOOKUP(DATE(H$28,4,1),Base_Mensuelle!$DG$68:$DP$679,9,0)&lt;&gt;"",VLOOKUP(DATE(H$28,4,1),Base_Mensuelle!$DG$68:$DP$679,9,0),"")</f>
        <v>7634992</v>
      </c>
      <c r="I32" s="1189">
        <f>IF(VLOOKUP(DATE(I$28,4,1),Base_Mensuelle!$DG$68:$DP$679,9,0)&lt;&gt;"",VLOOKUP(DATE(I$28,4,1),Base_Mensuelle!$DG$68:$DP$679,9,0),"")</f>
        <v>7946380</v>
      </c>
      <c r="J32" s="1189">
        <f>IF(VLOOKUP(DATE(J$28,4,1),Base_Mensuelle!$DG$68:$DP$679,9,0)&lt;&gt;"",VLOOKUP(DATE(J$28,4,1),Base_Mensuelle!$DG$68:$DP$679,9,0),"")</f>
        <v>8509401</v>
      </c>
      <c r="K32" s="1189">
        <f>IF(VLOOKUP(DATE(K$28,4,1),Base_Mensuelle!$DG$68:$DP$679,9,0)&lt;&gt;"",VLOOKUP(DATE(K$28,4,1),Base_Mensuelle!$DG$68:$DP$679,9,0),"")</f>
        <v>8377437</v>
      </c>
      <c r="L32" s="1189">
        <f>IF(VLOOKUP(DATE(L$28,4,1),Base_Mensuelle!$DG$68:$DP$679,9,0)&lt;&gt;"",VLOOKUP(DATE(L$28,4,1),Base_Mensuelle!$DG$68:$DP$679,9,0),"")</f>
        <v>8534882</v>
      </c>
      <c r="O32" s="1172"/>
    </row>
    <row r="33" spans="1:15" ht="11.5" customHeight="1">
      <c r="A33" s="1413" t="s">
        <v>739</v>
      </c>
      <c r="B33" s="1182" t="str">
        <f>IF(VLOOKUP(DATE(B$28,5,1),Base_Mensuelle!$DG$68:$DP$679,9,0)&lt;&gt;"",VLOOKUP(DATE(B$28,5,1),Base_Mensuelle!$DG$68:$DP$679,9,0),"")</f>
        <v/>
      </c>
      <c r="C33" s="1182" t="str">
        <f>IF(VLOOKUP(DATE(C$28,5,1),Base_Mensuelle!$DG$68:$DP$679,9,0)&lt;&gt;"",VLOOKUP(DATE(C$28,5,1),Base_Mensuelle!$DG$68:$DP$679,9,0),"")</f>
        <v/>
      </c>
      <c r="D33" s="1182" t="str">
        <f>IF(VLOOKUP(DATE(D$28,5,1),Base_Mensuelle!$DG$68:$DP$679,9,0)&lt;&gt;"",VLOOKUP(DATE(D$28,5,1),Base_Mensuelle!$DG$68:$DP$679,9,0),"")</f>
        <v/>
      </c>
      <c r="E33" s="1182" t="str">
        <f>IF(VLOOKUP(DATE(E$28,5,1),Base_Mensuelle!$DG$68:$DP$679,9,0)&lt;&gt;"",VLOOKUP(DATE(E$28,5,1),Base_Mensuelle!$DG$68:$DP$679,9,0),"")</f>
        <v/>
      </c>
      <c r="F33" s="1182" t="str">
        <f>IF(VLOOKUP(DATE(F$28,5,1),Base_Mensuelle!$DG$68:$DP$679,9,0)&lt;&gt;"",VLOOKUP(DATE(F$28,5,1),Base_Mensuelle!$DG$68:$DP$679,9,0),"")</f>
        <v/>
      </c>
      <c r="G33" s="1190">
        <f>IF(VLOOKUP(DATE(G$28,5,1),Base_Mensuelle!$DG$68:$DP$679,9,0)&lt;&gt;"",VLOOKUP(DATE(G$28,5,1),Base_Mensuelle!$DG$68:$DP$679,9,0),"")</f>
        <v>7151063</v>
      </c>
      <c r="H33" s="1190">
        <f>IF(VLOOKUP(DATE(H$28,5,1),Base_Mensuelle!$DG$68:$DP$679,9,0)&lt;&gt;"",VLOOKUP(DATE(H$28,5,1),Base_Mensuelle!$DG$68:$DP$679,9,0),"")</f>
        <v>7217307</v>
      </c>
      <c r="I33" s="1190">
        <f>IF(VLOOKUP(DATE(I$28,5,1),Base_Mensuelle!$DG$68:$DP$679,9,0)&lt;&gt;"",VLOOKUP(DATE(I$28,5,1),Base_Mensuelle!$DG$68:$DP$679,9,0),"")</f>
        <v>7701282</v>
      </c>
      <c r="J33" s="1190">
        <f>IF(VLOOKUP(DATE(J$28,5,1),Base_Mensuelle!$DG$68:$DP$679,9,0)&lt;&gt;"",VLOOKUP(DATE(J$28,5,1),Base_Mensuelle!$DG$68:$DP$679,9,0),"")</f>
        <v>7802016</v>
      </c>
      <c r="K33" s="1190">
        <f>IF(VLOOKUP(DATE(K$28,5,1),Base_Mensuelle!$DG$68:$DP$679,9,0)&lt;&gt;"",VLOOKUP(DATE(K$28,5,1),Base_Mensuelle!$DG$68:$DP$679,9,0),"")</f>
        <v>8023995</v>
      </c>
      <c r="L33" s="1190">
        <f>IF(VLOOKUP(DATE(L$28,5,1),Base_Mensuelle!$DG$68:$DP$679,9,0)&lt;&gt;"",VLOOKUP(DATE(L$28,5,1),Base_Mensuelle!$DG$68:$DP$679,9,0),"")</f>
        <v>8036981</v>
      </c>
      <c r="O33" s="1172"/>
    </row>
    <row r="34" spans="1:15" ht="11.5" customHeight="1">
      <c r="A34" s="1412" t="s">
        <v>740</v>
      </c>
      <c r="B34" s="1181" t="str">
        <f>IF(VLOOKUP(DATE(B$28,6,1),Base_Mensuelle!$DG$68:$DP$679,9,0)&lt;&gt;"",VLOOKUP(DATE(B$28,6,1),Base_Mensuelle!$DG$68:$DP$679,9,0),"")</f>
        <v/>
      </c>
      <c r="C34" s="1181" t="str">
        <f>IF(VLOOKUP(DATE(C$28,6,1),Base_Mensuelle!$DG$68:$DP$679,9,0)&lt;&gt;"",VLOOKUP(DATE(C$28,6,1),Base_Mensuelle!$DG$68:$DP$679,9,0),"")</f>
        <v/>
      </c>
      <c r="D34" s="1181" t="str">
        <f>IF(VLOOKUP(DATE(D$28,6,1),Base_Mensuelle!$DG$68:$DP$679,9,0)&lt;&gt;"",VLOOKUP(DATE(D$28,6,1),Base_Mensuelle!$DG$68:$DP$679,9,0),"")</f>
        <v/>
      </c>
      <c r="E34" s="1181" t="str">
        <f>IF(VLOOKUP(DATE(E$28,6,1),Base_Mensuelle!$DG$68:$DP$679,9,0)&lt;&gt;"",VLOOKUP(DATE(E$28,6,1),Base_Mensuelle!$DG$68:$DP$679,9,0),"")</f>
        <v/>
      </c>
      <c r="F34" s="1181" t="str">
        <f>IF(VLOOKUP(DATE(F$28,6,1),Base_Mensuelle!$DG$68:$DP$679,9,0)&lt;&gt;"",VLOOKUP(DATE(F$28,6,1),Base_Mensuelle!$DG$68:$DP$679,9,0),"")</f>
        <v/>
      </c>
      <c r="G34" s="1189">
        <f>IF(VLOOKUP(DATE(G$28,6,1),Base_Mensuelle!$DG$68:$DP$679,9,0)&lt;&gt;"",VLOOKUP(DATE(G$28,6,1),Base_Mensuelle!$DG$68:$DP$679,9,0),"")</f>
        <v>6343079</v>
      </c>
      <c r="H34" s="1189">
        <f>IF(VLOOKUP(DATE(H$28,6,1),Base_Mensuelle!$DG$68:$DP$679,9,0)&lt;&gt;"",VLOOKUP(DATE(H$28,6,1),Base_Mensuelle!$DG$68:$DP$679,9,0),"")</f>
        <v>6935838</v>
      </c>
      <c r="I34" s="1189">
        <f>IF(VLOOKUP(DATE(I$28,6,1),Base_Mensuelle!$DG$68:$DP$679,9,0)&lt;&gt;"",VLOOKUP(DATE(I$28,6,1),Base_Mensuelle!$DG$68:$DP$679,9,0),"")</f>
        <v>7859837</v>
      </c>
      <c r="J34" s="1189">
        <f>IF(VLOOKUP(DATE(J$28,6,1),Base_Mensuelle!$DG$68:$DP$679,9,0)&lt;&gt;"",VLOOKUP(DATE(J$28,6,1),Base_Mensuelle!$DG$68:$DP$679,9,0),"")</f>
        <v>7480628</v>
      </c>
      <c r="K34" s="1189">
        <f>IF(VLOOKUP(DATE(K$28,6,1),Base_Mensuelle!$DG$68:$DP$679,9,0)&lt;&gt;"",VLOOKUP(DATE(K$28,6,1),Base_Mensuelle!$DG$68:$DP$679,9,0),"")</f>
        <v>7421695</v>
      </c>
      <c r="L34" s="1189">
        <f>IF(VLOOKUP(DATE(L$28,6,1),Base_Mensuelle!$DG$68:$DP$679,9,0)&lt;&gt;"",VLOOKUP(DATE(L$28,6,1),Base_Mensuelle!$DG$68:$DP$679,9,0),"")</f>
        <v>7691190</v>
      </c>
      <c r="O34" s="1172"/>
    </row>
    <row r="35" spans="1:15" ht="11.5" customHeight="1">
      <c r="A35" s="1413" t="s">
        <v>741</v>
      </c>
      <c r="B35" s="1182" t="str">
        <f>IF(VLOOKUP(DATE(B$28,7,1),Base_Mensuelle!$DG$68:$DP$679,9,0)&lt;&gt;"",VLOOKUP(DATE(B$28,7,1),Base_Mensuelle!$DG$68:$DP$679,9,0),"")</f>
        <v/>
      </c>
      <c r="C35" s="1182" t="str">
        <f>IF(VLOOKUP(DATE(C$28,7,1),Base_Mensuelle!$DG$68:$DP$679,9,0)&lt;&gt;"",VLOOKUP(DATE(C$28,7,1),Base_Mensuelle!$DG$68:$DP$679,9,0),"")</f>
        <v/>
      </c>
      <c r="D35" s="1182" t="str">
        <f>IF(VLOOKUP(DATE(D$28,7,1),Base_Mensuelle!$DG$68:$DP$679,9,0)&lt;&gt;"",VLOOKUP(DATE(D$28,7,1),Base_Mensuelle!$DG$68:$DP$679,9,0),"")</f>
        <v/>
      </c>
      <c r="E35" s="1182" t="str">
        <f>IF(VLOOKUP(DATE(E$28,7,1),Base_Mensuelle!$DG$68:$DP$679,9,0)&lt;&gt;"",VLOOKUP(DATE(E$28,7,1),Base_Mensuelle!$DG$68:$DP$679,9,0),"")</f>
        <v/>
      </c>
      <c r="F35" s="1182" t="str">
        <f>IF(VLOOKUP(DATE(F$28,7,1),Base_Mensuelle!$DG$68:$DP$679,9,0)&lt;&gt;"",VLOOKUP(DATE(F$28,7,1),Base_Mensuelle!$DG$68:$DP$679,9,0),"")</f>
        <v/>
      </c>
      <c r="G35" s="1190">
        <f>IF(VLOOKUP(DATE(G$28,7,1),Base_Mensuelle!$DG$68:$DP$679,9,0)&lt;&gt;"",VLOOKUP(DATE(G$28,7,1),Base_Mensuelle!$DG$68:$DP$679,9,0),"")</f>
        <v>5826591</v>
      </c>
      <c r="H35" s="1190">
        <f>IF(VLOOKUP(DATE(H$28,7,1),Base_Mensuelle!$DG$68:$DP$679,9,0)&lt;&gt;"",VLOOKUP(DATE(H$28,7,1),Base_Mensuelle!$DG$68:$DP$679,9,0),"")</f>
        <v>6287656</v>
      </c>
      <c r="I35" s="1190">
        <f>IF(VLOOKUP(DATE(I$28,7,1),Base_Mensuelle!$DG$68:$DP$679,9,0)&lt;&gt;"",VLOOKUP(DATE(I$28,7,1),Base_Mensuelle!$DG$68:$DP$679,9,0),"")</f>
        <v>6960989</v>
      </c>
      <c r="J35" s="1190">
        <f>IF(VLOOKUP(DATE(J$28,7,1),Base_Mensuelle!$DG$68:$DP$679,9,0)&lt;&gt;"",VLOOKUP(DATE(J$28,7,1),Base_Mensuelle!$DG$68:$DP$679,9,0),"")</f>
        <v>7029196.2363371337</v>
      </c>
      <c r="K35" s="1190">
        <f>IF(VLOOKUP(DATE(K$28,7,1),Base_Mensuelle!$DG$68:$DP$679,9,0)&lt;&gt;"",VLOOKUP(DATE(K$28,7,1),Base_Mensuelle!$DG$68:$DP$679,9,0),"")</f>
        <v>7078121</v>
      </c>
      <c r="L35" s="1190">
        <f>IF(VLOOKUP(DATE(L$28,7,1),Base_Mensuelle!$DG$68:$DP$679,9,0)&lt;&gt;"",VLOOKUP(DATE(L$28,7,1),Base_Mensuelle!$DG$68:$DP$679,9,0),"")</f>
        <v>7345826</v>
      </c>
      <c r="O35" s="1172"/>
    </row>
    <row r="36" spans="1:15" ht="11.5" customHeight="1">
      <c r="A36" s="1412" t="s">
        <v>742</v>
      </c>
      <c r="B36" s="1181" t="str">
        <f>IF(VLOOKUP(DATE(B$28,8,1),Base_Mensuelle!$DG$68:$DP$679,9,0)&lt;&gt;"",VLOOKUP(DATE(B$28,8,1),Base_Mensuelle!$DG$68:$DP$679,9,0),"")</f>
        <v/>
      </c>
      <c r="C36" s="1181" t="str">
        <f>IF(VLOOKUP(DATE(C$28,8,1),Base_Mensuelle!$DG$68:$DP$679,9,0)&lt;&gt;"",VLOOKUP(DATE(C$28,8,1),Base_Mensuelle!$DG$68:$DP$679,9,0),"")</f>
        <v/>
      </c>
      <c r="D36" s="1181" t="str">
        <f>IF(VLOOKUP(DATE(D$28,8,1),Base_Mensuelle!$DG$68:$DP$679,9,0)&lt;&gt;"",VLOOKUP(DATE(D$28,8,1),Base_Mensuelle!$DG$68:$DP$679,9,0),"")</f>
        <v/>
      </c>
      <c r="E36" s="1181" t="str">
        <f>IF(VLOOKUP(DATE(E$28,8,1),Base_Mensuelle!$DG$68:$DP$679,9,0)&lt;&gt;"",VLOOKUP(DATE(E$28,8,1),Base_Mensuelle!$DG$68:$DP$679,9,0),"")</f>
        <v/>
      </c>
      <c r="F36" s="1181" t="str">
        <f>IF(VLOOKUP(DATE(F$28,8,1),Base_Mensuelle!$DG$68:$DP$679,9,0)&lt;&gt;"",VLOOKUP(DATE(F$28,8,1),Base_Mensuelle!$DG$68:$DP$679,9,0),"")</f>
        <v/>
      </c>
      <c r="G36" s="1189">
        <f>IF(VLOOKUP(DATE(G$28,8,1),Base_Mensuelle!$DG$68:$DP$679,9,0)&lt;&gt;"",VLOOKUP(DATE(G$28,8,1),Base_Mensuelle!$DG$68:$DP$679,9,0),"")</f>
        <v>5755175</v>
      </c>
      <c r="H36" s="1189">
        <f>IF(VLOOKUP(DATE(H$28,8,1),Base_Mensuelle!$DG$68:$DP$679,9,0)&lt;&gt;"",VLOOKUP(DATE(H$28,8,1),Base_Mensuelle!$DG$68:$DP$679,9,0),"")</f>
        <v>6135649</v>
      </c>
      <c r="I36" s="1189">
        <f>IF(VLOOKUP(DATE(I$28,8,1),Base_Mensuelle!$DG$68:$DP$679,9,0)&lt;&gt;"",VLOOKUP(DATE(I$28,8,1),Base_Mensuelle!$DG$68:$DP$679,9,0),"")</f>
        <v>6946984</v>
      </c>
      <c r="J36" s="1189">
        <f>IF(VLOOKUP(DATE(J$28,8,1),Base_Mensuelle!$DG$68:$DP$679,9,0)&lt;&gt;"",VLOOKUP(DATE(J$28,8,1),Base_Mensuelle!$DG$68:$DP$679,9,0),"")</f>
        <v>6693798.6147743994</v>
      </c>
      <c r="K36" s="1189">
        <f>IF(VLOOKUP(DATE(K$28,8,1),Base_Mensuelle!$DG$68:$DP$679,9,0)&lt;&gt;"",VLOOKUP(DATE(K$28,8,1),Base_Mensuelle!$DG$68:$DP$679,9,0),"")</f>
        <v>6787466</v>
      </c>
      <c r="L36" s="1189">
        <f>IF(VLOOKUP(DATE(L$28,8,1),Base_Mensuelle!$DG$68:$DP$679,9,0)&lt;&gt;"",VLOOKUP(DATE(L$28,8,1),Base_Mensuelle!$DG$68:$DP$679,9,0),"")</f>
        <v>7014243</v>
      </c>
      <c r="O36" s="1172"/>
    </row>
    <row r="37" spans="1:15" ht="11.5" customHeight="1">
      <c r="A37" s="1413" t="s">
        <v>743</v>
      </c>
      <c r="B37" s="1182" t="str">
        <f>IF(VLOOKUP(DATE(B$28,9,1),Base_Mensuelle!$DG$68:$DP$679,9,0)&lt;&gt;"",VLOOKUP(DATE(B$28,9,1),Base_Mensuelle!$DG$68:$DP$679,9,0),"")</f>
        <v/>
      </c>
      <c r="C37" s="1182" t="str">
        <f>IF(VLOOKUP(DATE(C$28,9,1),Base_Mensuelle!$DG$68:$DP$679,9,0)&lt;&gt;"",VLOOKUP(DATE(C$28,9,1),Base_Mensuelle!$DG$68:$DP$679,9,0),"")</f>
        <v/>
      </c>
      <c r="D37" s="1182" t="str">
        <f>IF(VLOOKUP(DATE(D$28,9,1),Base_Mensuelle!$DG$68:$DP$679,9,0)&lt;&gt;"",VLOOKUP(DATE(D$28,9,1),Base_Mensuelle!$DG$68:$DP$679,9,0),"")</f>
        <v/>
      </c>
      <c r="E37" s="1182" t="str">
        <f>IF(VLOOKUP(DATE(E$28,9,1),Base_Mensuelle!$DG$68:$DP$679,9,0)&lt;&gt;"",VLOOKUP(DATE(E$28,9,1),Base_Mensuelle!$DG$68:$DP$679,9,0),"")</f>
        <v/>
      </c>
      <c r="F37" s="1182" t="str">
        <f>IF(VLOOKUP(DATE(F$28,9,1),Base_Mensuelle!$DG$68:$DP$679,9,0)&lt;&gt;"",VLOOKUP(DATE(F$28,9,1),Base_Mensuelle!$DG$68:$DP$679,9,0),"")</f>
        <v/>
      </c>
      <c r="G37" s="1190">
        <f>IF(VLOOKUP(DATE(G$28,9,1),Base_Mensuelle!$DG$68:$DP$679,9,0)&lt;&gt;"",VLOOKUP(DATE(G$28,9,1),Base_Mensuelle!$DG$68:$DP$679,9,0),"")</f>
        <v>5709356</v>
      </c>
      <c r="H37" s="1190">
        <f>IF(VLOOKUP(DATE(H$28,9,1),Base_Mensuelle!$DG$68:$DP$679,9,0)&lt;&gt;"",VLOOKUP(DATE(H$28,9,1),Base_Mensuelle!$DG$68:$DP$679,9,0),"")</f>
        <v>6163634</v>
      </c>
      <c r="I37" s="1190">
        <f>IF(VLOOKUP(DATE(I$28,9,1),Base_Mensuelle!$DG$68:$DP$679,9,0)&lt;&gt;"",VLOOKUP(DATE(I$28,9,1),Base_Mensuelle!$DG$68:$DP$679,9,0),"")</f>
        <v>6604191</v>
      </c>
      <c r="J37" s="1190">
        <f>IF(VLOOKUP(DATE(J$28,9,1),Base_Mensuelle!$DG$68:$DP$679,9,0)&lt;&gt;"",VLOOKUP(DATE(J$28,9,1),Base_Mensuelle!$DG$68:$DP$679,9,0),"")</f>
        <v>6342255.9304838814</v>
      </c>
      <c r="K37" s="1190">
        <f>IF(VLOOKUP(DATE(K$28,9,1),Base_Mensuelle!$DG$68:$DP$679,9,0)&lt;&gt;"",VLOOKUP(DATE(K$28,9,1),Base_Mensuelle!$DG$68:$DP$679,9,0),"")</f>
        <v>6660346</v>
      </c>
      <c r="L37" s="1190">
        <f>IF(VLOOKUP(DATE(L$28,9,1),Base_Mensuelle!$DG$68:$DP$679,9,0)&lt;&gt;"",VLOOKUP(DATE(L$28,9,1),Base_Mensuelle!$DG$68:$DP$679,9,0),"")</f>
        <v>7121637</v>
      </c>
      <c r="O37" s="1172"/>
    </row>
    <row r="38" spans="1:15" ht="11.5" customHeight="1">
      <c r="A38" s="1412" t="s">
        <v>744</v>
      </c>
      <c r="B38" s="1181" t="str">
        <f>IF(VLOOKUP(DATE(B$28,10,1),Base_Mensuelle!$DG$68:$DP$679,9,0)&lt;&gt;"",VLOOKUP(DATE(B$28,10,1),Base_Mensuelle!$DG$68:$DP$679,9,0),"")</f>
        <v/>
      </c>
      <c r="C38" s="1181" t="str">
        <f>IF(VLOOKUP(DATE(C$28,10,1),Base_Mensuelle!$DG$68:$DP$679,9,0)&lt;&gt;"",VLOOKUP(DATE(C$28,10,1),Base_Mensuelle!$DG$68:$DP$679,9,0),"")</f>
        <v/>
      </c>
      <c r="D38" s="1181" t="str">
        <f>IF(VLOOKUP(DATE(D$28,10,1),Base_Mensuelle!$DG$68:$DP$679,9,0)&lt;&gt;"",VLOOKUP(DATE(D$28,10,1),Base_Mensuelle!$DG$68:$DP$679,9,0),"")</f>
        <v/>
      </c>
      <c r="E38" s="1181" t="str">
        <f>IF(VLOOKUP(DATE(E$28,10,1),Base_Mensuelle!$DG$68:$DP$679,9,0)&lt;&gt;"",VLOOKUP(DATE(E$28,10,1),Base_Mensuelle!$DG$68:$DP$679,9,0),"")</f>
        <v/>
      </c>
      <c r="F38" s="1181" t="str">
        <f>IF(VLOOKUP(DATE(F$28,10,1),Base_Mensuelle!$DG$68:$DP$679,9,0)&lt;&gt;"",VLOOKUP(DATE(F$28,10,1),Base_Mensuelle!$DG$68:$DP$679,9,0),"")</f>
        <v/>
      </c>
      <c r="G38" s="1189">
        <f>IF(VLOOKUP(DATE(G$28,10,1),Base_Mensuelle!$DG$68:$DP$679,9,0)&lt;&gt;"",VLOOKUP(DATE(G$28,10,1),Base_Mensuelle!$DG$68:$DP$679,9,0),"")</f>
        <v>6334218</v>
      </c>
      <c r="H38" s="1189">
        <f>IF(VLOOKUP(DATE(H$28,10,1),Base_Mensuelle!$DG$68:$DP$679,9,0)&lt;&gt;"",VLOOKUP(DATE(H$28,10,1),Base_Mensuelle!$DG$68:$DP$679,9,0),"")</f>
        <v>6534467</v>
      </c>
      <c r="I38" s="1189">
        <f>IF(VLOOKUP(DATE(I$28,10,1),Base_Mensuelle!$DG$68:$DP$679,9,0)&lt;&gt;"",VLOOKUP(DATE(I$28,10,1),Base_Mensuelle!$DG$68:$DP$679,9,0),"")</f>
        <v>6938220</v>
      </c>
      <c r="J38" s="1189">
        <f>IF(VLOOKUP(DATE(J$28,10,1),Base_Mensuelle!$DG$68:$DP$679,9,0)&lt;&gt;"",VLOOKUP(DATE(J$28,10,1),Base_Mensuelle!$DG$68:$DP$679,9,0),"")</f>
        <v>6037103.5438711047</v>
      </c>
      <c r="K38" s="1189">
        <f>IF(VLOOKUP(DATE(K$28,10,1),Base_Mensuelle!$DG$68:$DP$679,9,0)&lt;&gt;"",VLOOKUP(DATE(K$28,10,1),Base_Mensuelle!$DG$68:$DP$679,9,0),"")</f>
        <v>7305331</v>
      </c>
      <c r="L38" s="1189">
        <f>IF(VLOOKUP(DATE(L$28,10,1),Base_Mensuelle!$DG$68:$DP$679,9,0)&lt;&gt;"",VLOOKUP(DATE(L$28,10,1),Base_Mensuelle!$DG$68:$DP$679,9,0),"")</f>
        <v>7541518</v>
      </c>
      <c r="O38" s="1172"/>
    </row>
    <row r="39" spans="1:15" ht="11.5" customHeight="1">
      <c r="A39" s="1413" t="s">
        <v>745</v>
      </c>
      <c r="B39" s="1182" t="str">
        <f>IF(VLOOKUP(DATE(B$28,11,1),Base_Mensuelle!$DG$68:$DP$679,9,0)&lt;&gt;"",VLOOKUP(DATE(B$28,11,1),Base_Mensuelle!$DG$68:$DP$679,9,0),"")</f>
        <v/>
      </c>
      <c r="C39" s="1182" t="str">
        <f>IF(VLOOKUP(DATE(C$28,11,1),Base_Mensuelle!$DG$68:$DP$679,9,0)&lt;&gt;"",VLOOKUP(DATE(C$28,11,1),Base_Mensuelle!$DG$68:$DP$679,9,0),"")</f>
        <v/>
      </c>
      <c r="D39" s="1182" t="str">
        <f>IF(VLOOKUP(DATE(D$28,11,1),Base_Mensuelle!$DG$68:$DP$679,9,0)&lt;&gt;"",VLOOKUP(DATE(D$28,11,1),Base_Mensuelle!$DG$68:$DP$679,9,0),"")</f>
        <v/>
      </c>
      <c r="E39" s="1182" t="str">
        <f>IF(VLOOKUP(DATE(E$28,11,1),Base_Mensuelle!$DG$68:$DP$679,9,0)&lt;&gt;"",VLOOKUP(DATE(E$28,11,1),Base_Mensuelle!$DG$68:$DP$679,9,0),"")</f>
        <v/>
      </c>
      <c r="F39" s="1182" t="str">
        <f>IF(VLOOKUP(DATE(F$28,11,1),Base_Mensuelle!$DG$68:$DP$679,9,0)&lt;&gt;"",VLOOKUP(DATE(F$28,11,1),Base_Mensuelle!$DG$68:$DP$679,9,0),"")</f>
        <v/>
      </c>
      <c r="G39" s="1190">
        <f>IF(VLOOKUP(DATE(G$28,11,1),Base_Mensuelle!$DG$68:$DP$679,9,0)&lt;&gt;"",VLOOKUP(DATE(G$28,11,1),Base_Mensuelle!$DG$68:$DP$679,9,0),"")</f>
        <v>6701765</v>
      </c>
      <c r="H39" s="1190">
        <f>IF(VLOOKUP(DATE(H$28,11,1),Base_Mensuelle!$DG$68:$DP$679,9,0)&lt;&gt;"",VLOOKUP(DATE(H$28,11,1),Base_Mensuelle!$DG$68:$DP$679,9,0),"")</f>
        <v>6955853</v>
      </c>
      <c r="I39" s="1190">
        <f>IF(VLOOKUP(DATE(I$28,11,1),Base_Mensuelle!$DG$68:$DP$679,9,0)&lt;&gt;"",VLOOKUP(DATE(I$28,11,1),Base_Mensuelle!$DG$68:$DP$679,9,0),"")</f>
        <v>7174247</v>
      </c>
      <c r="J39" s="1190">
        <f>IF(VLOOKUP(DATE(J$28,11,1),Base_Mensuelle!$DG$68:$DP$679,9,0)&lt;&gt;"",VLOOKUP(DATE(J$28,11,1),Base_Mensuelle!$DG$68:$DP$679,9,0),"")</f>
        <v>5743487.5630919347</v>
      </c>
      <c r="K39" s="1190">
        <f>IF(VLOOKUP(DATE(K$28,11,1),Base_Mensuelle!$DG$68:$DP$679,9,0)&lt;&gt;"",VLOOKUP(DATE(K$28,11,1),Base_Mensuelle!$DG$68:$DP$679,9,0),"")</f>
        <v>7637631</v>
      </c>
      <c r="L39" s="1190">
        <f>IF(VLOOKUP(DATE(L$28,11,1),Base_Mensuelle!$DG$68:$DP$679,9,0)&lt;&gt;"",VLOOKUP(DATE(L$28,11,1),Base_Mensuelle!$DG$68:$DP$679,9,0),"")</f>
        <v>7779269</v>
      </c>
      <c r="O39" s="1172"/>
    </row>
    <row r="40" spans="1:15" ht="11.5" customHeight="1">
      <c r="A40" s="1414" t="s">
        <v>746</v>
      </c>
      <c r="B40" s="1183" t="str">
        <f>IF(VLOOKUP(DATE(B$28,12,1),Base_Mensuelle!$DG$68:$DP$679,9,0)&lt;&gt;"",VLOOKUP(DATE(B$28,12,1),Base_Mensuelle!$DG$68:$DP$679,9,0),"")</f>
        <v/>
      </c>
      <c r="C40" s="1183" t="str">
        <f>IF(VLOOKUP(DATE(C$28,12,1),Base_Mensuelle!$DG$68:$DP$679,9,0)&lt;&gt;"",VLOOKUP(DATE(C$28,12,1),Base_Mensuelle!$DG$68:$DP$679,9,0),"")</f>
        <v/>
      </c>
      <c r="D40" s="1183" t="str">
        <f>IF(VLOOKUP(DATE(D$28,12,1),Base_Mensuelle!$DG$68:$DP$679,9,0)&lt;&gt;"",VLOOKUP(DATE(D$28,12,1),Base_Mensuelle!$DG$68:$DP$679,9,0),"")</f>
        <v/>
      </c>
      <c r="E40" s="1183" t="str">
        <f>IF(VLOOKUP(DATE(E$28,12,1),Base_Mensuelle!$DG$68:$DP$679,9,0)&lt;&gt;"",VLOOKUP(DATE(E$28,12,1),Base_Mensuelle!$DG$68:$DP$679,9,0),"")</f>
        <v/>
      </c>
      <c r="F40" s="1183" t="str">
        <f>IF(VLOOKUP(DATE(F$28,12,1),Base_Mensuelle!$DG$68:$DP$679,9,0)&lt;&gt;"",VLOOKUP(DATE(F$28,12,1),Base_Mensuelle!$DG$68:$DP$679,9,0),"")</f>
        <v/>
      </c>
      <c r="G40" s="1191">
        <f>IF(VLOOKUP(DATE(G$28,12,1),Base_Mensuelle!$DG$68:$DP$679,9,0)&lt;&gt;"",VLOOKUP(DATE(G$28,12,1),Base_Mensuelle!$DG$68:$DP$679,9,0),"")</f>
        <v>6984411</v>
      </c>
      <c r="H40" s="1191">
        <f>IF(VLOOKUP(DATE(H$28,12,1),Base_Mensuelle!$DG$68:$DP$679,9,0)&lt;&gt;"",VLOOKUP(DATE(H$28,12,1),Base_Mensuelle!$DG$68:$DP$679,9,0),"")</f>
        <v>7430838</v>
      </c>
      <c r="I40" s="1191">
        <f>IF(VLOOKUP(DATE(I$28,12,1),Base_Mensuelle!$DG$68:$DP$679,9,0)&lt;&gt;"",VLOOKUP(DATE(I$28,12,1),Base_Mensuelle!$DG$68:$DP$679,9,0),"")</f>
        <v>7575177</v>
      </c>
      <c r="J40" s="1191">
        <f>IF(VLOOKUP(DATE(J$28,12,1),Base_Mensuelle!$DG$68:$DP$679,9,0)&lt;&gt;"",VLOOKUP(DATE(J$28,12,1),Base_Mensuelle!$DG$68:$DP$679,9,0),"")</f>
        <v>5475965.0901094936</v>
      </c>
      <c r="K40" s="1191">
        <f>IF(VLOOKUP(DATE(K$28,12,1),Base_Mensuelle!$DG$68:$DP$679,9,0)&lt;&gt;"",VLOOKUP(DATE(K$28,12,1),Base_Mensuelle!$DG$68:$DP$679,9,0),"")</f>
        <v>7869919</v>
      </c>
      <c r="L40" s="1191">
        <f>IF(VLOOKUP(DATE(L$28,12,1),Base_Mensuelle!$DG$68:$DP$679,9,0)&lt;&gt;"",VLOOKUP(DATE(L$28,12,1),Base_Mensuelle!$DG$68:$DP$679,9,0),"")</f>
        <v>8089177</v>
      </c>
      <c r="O40" s="1172"/>
    </row>
    <row r="41" spans="1:15" ht="11.5" customHeight="1">
      <c r="A41" s="1184" t="s">
        <v>825</v>
      </c>
      <c r="G41" s="1179"/>
      <c r="H41" s="1179"/>
    </row>
    <row r="43" spans="1:15" ht="11.5" customHeight="1">
      <c r="A43" s="1170" t="s">
        <v>1116</v>
      </c>
      <c r="B43" s="1185"/>
      <c r="C43" s="1185"/>
      <c r="D43" s="1185"/>
      <c r="E43" s="1185"/>
      <c r="F43" s="1185"/>
      <c r="G43" s="1186"/>
      <c r="H43" s="1186"/>
      <c r="I43" s="1186"/>
      <c r="J43" s="1186"/>
      <c r="K43" s="1186"/>
      <c r="L43" s="1186"/>
      <c r="M43" s="1186"/>
      <c r="N43" s="1186"/>
    </row>
    <row r="44" spans="1:15" ht="11.5" customHeight="1">
      <c r="A44" s="1187"/>
      <c r="B44" s="1185"/>
      <c r="C44" s="1185"/>
      <c r="D44" s="1185"/>
      <c r="E44" s="1185"/>
      <c r="F44" s="1185"/>
      <c r="G44" s="1186"/>
      <c r="H44" s="1186"/>
      <c r="I44" s="1186"/>
      <c r="J44" s="1186"/>
      <c r="K44" s="1186"/>
      <c r="L44" s="1699"/>
      <c r="M44" s="1186"/>
      <c r="N44" s="1186"/>
    </row>
    <row r="45" spans="1:15" ht="11.5" customHeight="1">
      <c r="A45" s="1406"/>
      <c r="B45" s="1176">
        <f t="shared" ref="B45:J45" si="3">C45-1</f>
        <v>2013</v>
      </c>
      <c r="C45" s="1176">
        <f t="shared" si="3"/>
        <v>2014</v>
      </c>
      <c r="D45" s="1176">
        <f t="shared" si="3"/>
        <v>2015</v>
      </c>
      <c r="E45" s="1176">
        <f t="shared" si="3"/>
        <v>2016</v>
      </c>
      <c r="F45" s="1176">
        <f t="shared" si="3"/>
        <v>2017</v>
      </c>
      <c r="G45" s="1176">
        <f t="shared" si="3"/>
        <v>2018</v>
      </c>
      <c r="H45" s="1176">
        <f t="shared" si="3"/>
        <v>2019</v>
      </c>
      <c r="I45" s="1176">
        <f t="shared" si="3"/>
        <v>2020</v>
      </c>
      <c r="J45" s="1176">
        <f t="shared" si="3"/>
        <v>2021</v>
      </c>
      <c r="K45" s="1176">
        <f>L45-1</f>
        <v>2022</v>
      </c>
      <c r="L45" s="1396">
        <f>YEAR(INDEX(Base_Mensuelle!$DG$68:$DP$679,MAX(Base_Mensuelle!$DP$68:$DP$679),1))</f>
        <v>2023</v>
      </c>
      <c r="M45" s="1186"/>
      <c r="N45" s="1186"/>
      <c r="O45" s="1186"/>
    </row>
    <row r="46" spans="1:15" ht="11.5" customHeight="1">
      <c r="A46" s="1415" t="s">
        <v>735</v>
      </c>
      <c r="B46" s="1188" t="str">
        <f>IF(VLOOKUP(DATE(YEAR(INDEX(Base_Mensuelle!$DG$68:$DP$679,MAX(Base_Mensuelle!$DP$68:$DP$679),1))-10,1,1),Base_Mensuelle!$DG$68:$DP$679,2,0)&lt;&gt;"",VLOOKUP(DATE(YEAR(INDEX(Base_Mensuelle!$DG$68:$DP$679,MAX(Base_Mensuelle!$DP$68:$DP$679),1))-10,1,1),Base_Mensuelle!$DG$68:$DP$679,2,0),"")</f>
        <v/>
      </c>
      <c r="C46" s="1188" t="str">
        <f>IF(VLOOKUP(DATE(YEAR(INDEX(Base_Mensuelle!$DG$68:$DP$679,MAX(Base_Mensuelle!$DP$68:$DP$679),1))-9,1,1),Base_Mensuelle!$DG$68:$DP$679,2,0)&lt;&gt;"",VLOOKUP(DATE(YEAR(INDEX(Base_Mensuelle!$DG$68:$DP$679,MAX(Base_Mensuelle!$DP$68:$DP$679),1))-9,1,1),Base_Mensuelle!$DG$68:$DP$679,2,0),"")</f>
        <v/>
      </c>
      <c r="D46" s="1188">
        <f>IF(VLOOKUP(DATE(YEAR(INDEX(Base_Mensuelle!$DG$68:$DP$679,MAX(Base_Mensuelle!$DP$68:$DP$679),1))-8,1,1),Base_Mensuelle!$DG$68:$DP$679,2,0)&lt;&gt;"",VLOOKUP(DATE(YEAR(INDEX(Base_Mensuelle!$DG$68:$DP$679,MAX(Base_Mensuelle!$DP$68:$DP$679),1))-8,1,1),Base_Mensuelle!$DG$68:$DP$679,2,0),"")</f>
        <v>298974</v>
      </c>
      <c r="E46" s="1188">
        <f>IF(VLOOKUP(DATE(YEAR(INDEX(Base_Mensuelle!$DG$68:$DP$679,MAX(Base_Mensuelle!$DP$68:$DP$679),1))-7,1,1),Base_Mensuelle!$DG$68:$DP$679,2,0)&lt;&gt;"",VLOOKUP(DATE(YEAR(INDEX(Base_Mensuelle!$DG$68:$DP$679,MAX(Base_Mensuelle!$DP$68:$DP$679),1))-7,1,1),Base_Mensuelle!$DG$68:$DP$679,2,0),"")</f>
        <v>334090</v>
      </c>
      <c r="F46" s="1188">
        <f>IF(VLOOKUP(DATE(YEAR(INDEX(Base_Mensuelle!$DG$68:$DP$679,MAX(Base_Mensuelle!$DP$68:$DP$679),1))-6,1,1),Base_Mensuelle!$DG$68:$DP$679,2,0)&lt;&gt;"",VLOOKUP(DATE(YEAR(INDEX(Base_Mensuelle!$DG$68:$DP$679,MAX(Base_Mensuelle!$DP$68:$DP$679),1))-6,1,1),Base_Mensuelle!$DG$68:$DP$679,2,0),"")</f>
        <v>355537</v>
      </c>
      <c r="G46" s="1188">
        <f>IF(VLOOKUP(DATE(YEAR(INDEX(Base_Mensuelle!$DG$68:$DP$679,MAX(Base_Mensuelle!$DP$68:$DP$679),1))-5,1,1),Base_Mensuelle!$DG$68:$DP$679,2,0)&lt;&gt;"",VLOOKUP(DATE(YEAR(INDEX(Base_Mensuelle!$DG$68:$DP$679,MAX(Base_Mensuelle!$DP$68:$DP$679),1))-5,1,1),Base_Mensuelle!$DG$68:$DP$679,2,0),"")</f>
        <v>384408.5</v>
      </c>
      <c r="H46" s="1188">
        <f>IF(VLOOKUP(DATE(YEAR(INDEX(Base_Mensuelle!$DG$68:$DP$679,MAX(Base_Mensuelle!$DP$68:$DP$679),1))-4,1,1),Base_Mensuelle!$DG$68:$DP$679,2,0)&lt;&gt;"",VLOOKUP(DATE(YEAR(INDEX(Base_Mensuelle!$DG$68:$DP$679,MAX(Base_Mensuelle!$DP$68:$DP$679),1))-4,1,1),Base_Mensuelle!$DG$68:$DP$679,2,0),"")</f>
        <v>400779</v>
      </c>
      <c r="I46" s="1188">
        <f>IF(VLOOKUP(DATE(YEAR(INDEX(Base_Mensuelle!$DG$68:$DP$679,MAX(Base_Mensuelle!$DP$68:$DP$679),1))-3,1,1),Base_Mensuelle!$DG$68:$DP$679,2,0)&lt;&gt;"",VLOOKUP(DATE(YEAR(INDEX(Base_Mensuelle!$DG$68:$DP$679,MAX(Base_Mensuelle!$DP$68:$DP$679),1))-3,1,1),Base_Mensuelle!$DG$68:$DP$679,2,0),"")</f>
        <v>427768</v>
      </c>
      <c r="J46" s="1188">
        <f>IF(VLOOKUP(DATE(YEAR(INDEX(Base_Mensuelle!$DG$68:$DP$679,MAX(Base_Mensuelle!$DP$68:$DP$679),1))-2,1,1),Base_Mensuelle!$DG$68:$DP$679,2,0)&lt;&gt;"",VLOOKUP(DATE(YEAR(INDEX(Base_Mensuelle!$DG$68:$DP$679,MAX(Base_Mensuelle!$DP$68:$DP$679),1))-2,1,1),Base_Mensuelle!$DG$68:$DP$679,2,0),"")</f>
        <v>463999</v>
      </c>
      <c r="K46" s="1188">
        <f>IF(VLOOKUP(DATE(YEAR(INDEX(Base_Mensuelle!$DG$68:$DP$679,MAX(Base_Mensuelle!$DP$68:$DP$679),1))-1,1,1),Base_Mensuelle!$DG$68:$DP$679,2,0)&lt;&gt;"",VLOOKUP(DATE(YEAR(INDEX(Base_Mensuelle!$DG$68:$DP$679,MAX(Base_Mensuelle!$DP$68:$DP$679),1))-1,1,1),Base_Mensuelle!$DG$68:$DP$679,2,0),"")</f>
        <v>505276.82576475554</v>
      </c>
      <c r="L46" s="1188">
        <f>IF(VLOOKUP(DATE(YEAR(INDEX(Base_Mensuelle!$DG$68:$DP$679,MAX(Base_Mensuelle!$DP$68:$DP$679),1)),1,1),Base_Mensuelle!$DG$68:$DP$679,2,0)&lt;&gt;"",VLOOKUP(DATE(YEAR(INDEX(Base_Mensuelle!$DG$68:$DP$679,MAX(Base_Mensuelle!$DP$68:$DP$679),1)),1,1),Base_Mensuelle!$DG$68:$DP$679,2,0),"")</f>
        <v>511204.80119126331</v>
      </c>
      <c r="M46" s="1186"/>
      <c r="N46" s="1186"/>
      <c r="O46" s="1186"/>
    </row>
    <row r="47" spans="1:15" ht="11.5" customHeight="1">
      <c r="A47" s="1407" t="s">
        <v>736</v>
      </c>
      <c r="B47" s="1189" t="str">
        <f>IF(VLOOKUP(DATE(YEAR(INDEX(Base_Mensuelle!$DG$68:$DP$679,MAX(Base_Mensuelle!$DP$68:$DP$679),1))-10,2,1),Base_Mensuelle!$DG$68:$DP$679,2,0)&lt;&gt;"",VLOOKUP(DATE(YEAR(INDEX(Base_Mensuelle!$DG$68:$DP$679,MAX(Base_Mensuelle!$DP$68:$DP$679),1))-10,2,1),Base_Mensuelle!$DG$68:$DP$679,2,0),"")</f>
        <v/>
      </c>
      <c r="C47" s="1189" t="str">
        <f>IF(VLOOKUP(DATE(YEAR(INDEX(Base_Mensuelle!$DG$68:$DP$679,MAX(Base_Mensuelle!$DP$68:$DP$679),1))-9,2,1),Base_Mensuelle!$DG$68:$DP$679,2,0)&lt;&gt;"",VLOOKUP(DATE(YEAR(INDEX(Base_Mensuelle!$DG$68:$DP$679,MAX(Base_Mensuelle!$DP$68:$DP$679),1))-9,2,1),Base_Mensuelle!$DG$68:$DP$679,2,0),"")</f>
        <v/>
      </c>
      <c r="D47" s="1189">
        <f>IF(VLOOKUP(DATE(YEAR(INDEX(Base_Mensuelle!$DG$68:$DP$679,MAX(Base_Mensuelle!$DP$68:$DP$679),1))-8,2,1),Base_Mensuelle!$DG$68:$DP$679,2,0)&lt;&gt;"",VLOOKUP(DATE(YEAR(INDEX(Base_Mensuelle!$DG$68:$DP$679,MAX(Base_Mensuelle!$DP$68:$DP$679),1))-8,2,1),Base_Mensuelle!$DG$68:$DP$679,2,0),"")</f>
        <v>304247</v>
      </c>
      <c r="E47" s="1189">
        <f>IF(VLOOKUP(DATE(YEAR(INDEX(Base_Mensuelle!$DG$68:$DP$679,MAX(Base_Mensuelle!$DP$68:$DP$679),1))-7,2,1),Base_Mensuelle!$DG$68:$DP$679,2,0)&lt;&gt;"",VLOOKUP(DATE(YEAR(INDEX(Base_Mensuelle!$DG$68:$DP$679,MAX(Base_Mensuelle!$DP$68:$DP$679),1))-7,2,1),Base_Mensuelle!$DG$68:$DP$679,2,0),"")</f>
        <v>336238</v>
      </c>
      <c r="F47" s="1189">
        <f>IF(VLOOKUP(DATE(YEAR(INDEX(Base_Mensuelle!$DG$68:$DP$679,MAX(Base_Mensuelle!$DP$68:$DP$679),1))-6,2,1),Base_Mensuelle!$DG$68:$DP$679,2,0)&lt;&gt;"",VLOOKUP(DATE(YEAR(INDEX(Base_Mensuelle!$DG$68:$DP$679,MAX(Base_Mensuelle!$DP$68:$DP$679),1))-6,2,1),Base_Mensuelle!$DG$68:$DP$679,2,0),"")</f>
        <v>358626</v>
      </c>
      <c r="G47" s="1189">
        <f>IF(VLOOKUP(DATE(YEAR(INDEX(Base_Mensuelle!$DG$68:$DP$679,MAX(Base_Mensuelle!$DP$68:$DP$679),1))-5,2,1),Base_Mensuelle!$DG$68:$DP$679,2,0)&lt;&gt;"",VLOOKUP(DATE(YEAR(INDEX(Base_Mensuelle!$DG$68:$DP$679,MAX(Base_Mensuelle!$DP$68:$DP$679),1))-5,2,1),Base_Mensuelle!$DG$68:$DP$679,2,0),"")</f>
        <v>387462</v>
      </c>
      <c r="H47" s="1189">
        <f>IF(VLOOKUP(DATE(YEAR(INDEX(Base_Mensuelle!$DG$68:$DP$679,MAX(Base_Mensuelle!$DP$68:$DP$679),1))-4,2,1),Base_Mensuelle!$DG$68:$DP$679,2,0)&lt;&gt;"",VLOOKUP(DATE(YEAR(INDEX(Base_Mensuelle!$DG$68:$DP$679,MAX(Base_Mensuelle!$DP$68:$DP$679),1))-4,2,1),Base_Mensuelle!$DG$68:$DP$679,2,0),"")</f>
        <v>404595</v>
      </c>
      <c r="I47" s="1189">
        <f>IF(VLOOKUP(DATE(YEAR(INDEX(Base_Mensuelle!$DG$68:$DP$679,MAX(Base_Mensuelle!$DP$68:$DP$679),1))-3,2,1),Base_Mensuelle!$DG$68:$DP$679,2,0)&lt;&gt;"",VLOOKUP(DATE(YEAR(INDEX(Base_Mensuelle!$DG$68:$DP$679,MAX(Base_Mensuelle!$DP$68:$DP$679),1))-3,2,1),Base_Mensuelle!$DG$68:$DP$679,2,0),"")</f>
        <v>429554</v>
      </c>
      <c r="J47" s="1189">
        <f>IF(VLOOKUP(DATE(YEAR(INDEX(Base_Mensuelle!$DG$68:$DP$679,MAX(Base_Mensuelle!$DP$68:$DP$679),1))-2,2,1),Base_Mensuelle!$DG$68:$DP$679,2,0)&lt;&gt;"",VLOOKUP(DATE(YEAR(INDEX(Base_Mensuelle!$DG$68:$DP$679,MAX(Base_Mensuelle!$DP$68:$DP$679),1))-2,2,1),Base_Mensuelle!$DG$68:$DP$679,2,0),"")</f>
        <v>466211</v>
      </c>
      <c r="K47" s="1189">
        <f>IF(VLOOKUP(DATE(YEAR(INDEX(Base_Mensuelle!$DG$68:$DP$679,MAX(Base_Mensuelle!$DP$68:$DP$679),1))-1,2,1),Base_Mensuelle!$DG$68:$DP$679,2,0)&lt;&gt;"",VLOOKUP(DATE(YEAR(INDEX(Base_Mensuelle!$DG$68:$DP$679,MAX(Base_Mensuelle!$DP$68:$DP$679),1))-1,2,1),Base_Mensuelle!$DG$68:$DP$679,2,0),"")</f>
        <v>509424.07733440731</v>
      </c>
      <c r="L47" s="1189">
        <f>IF(VLOOKUP(DATE(YEAR(INDEX(Base_Mensuelle!$DG$68:$DP$679,MAX(Base_Mensuelle!$DP$68:$DP$679),1)),2,1),Base_Mensuelle!$DG$68:$DP$679,2,0)&lt;&gt;"",VLOOKUP(DATE(YEAR(INDEX(Base_Mensuelle!$DG$68:$DP$679,MAX(Base_Mensuelle!$DP$68:$DP$679),1)),2,1),Base_Mensuelle!$DG$68:$DP$679,2,0),"")</f>
        <v>510393.83970679931</v>
      </c>
      <c r="M47" s="1186"/>
      <c r="N47" s="1186"/>
      <c r="O47" s="1186"/>
    </row>
    <row r="48" spans="1:15" ht="11.5" customHeight="1">
      <c r="A48" s="1416" t="s">
        <v>737</v>
      </c>
      <c r="B48" s="1190" t="str">
        <f>IF(VLOOKUP(DATE(YEAR(INDEX(Base_Mensuelle!$DG$68:$DP$679,MAX(Base_Mensuelle!$DP$68:$DP$679),1))-10,3,1),Base_Mensuelle!$DG$68:$DP$679,2,0)&lt;&gt;"",VLOOKUP(DATE(YEAR(INDEX(Base_Mensuelle!$DG$68:$DP$679,MAX(Base_Mensuelle!$DP$68:$DP$679),1))-10,3,1),Base_Mensuelle!$DG$68:$DP$679,2,0),"")</f>
        <v/>
      </c>
      <c r="C48" s="1190" t="str">
        <f>IF(VLOOKUP(DATE(YEAR(INDEX(Base_Mensuelle!$DG$68:$DP$679,MAX(Base_Mensuelle!$DP$68:$DP$679),1))-9,3,1),Base_Mensuelle!$DG$68:$DP$679,2,0)&lt;&gt;"",VLOOKUP(DATE(YEAR(INDEX(Base_Mensuelle!$DG$68:$DP$679,MAX(Base_Mensuelle!$DP$68:$DP$679),1))-9,3,1),Base_Mensuelle!$DG$68:$DP$679,2,0),"")</f>
        <v/>
      </c>
      <c r="D48" s="1190">
        <f>IF(VLOOKUP(DATE(YEAR(INDEX(Base_Mensuelle!$DG$68:$DP$679,MAX(Base_Mensuelle!$DP$68:$DP$679),1))-8,3,1),Base_Mensuelle!$DG$68:$DP$679,2,0)&lt;&gt;"",VLOOKUP(DATE(YEAR(INDEX(Base_Mensuelle!$DG$68:$DP$679,MAX(Base_Mensuelle!$DP$68:$DP$679),1))-8,3,1),Base_Mensuelle!$DG$68:$DP$679,2,0),"")</f>
        <v>305285</v>
      </c>
      <c r="E48" s="1190">
        <f>IF(VLOOKUP(DATE(YEAR(INDEX(Base_Mensuelle!$DG$68:$DP$679,MAX(Base_Mensuelle!$DP$68:$DP$679),1))-7,3,1),Base_Mensuelle!$DG$68:$DP$679,2,0)&lt;&gt;"",VLOOKUP(DATE(YEAR(INDEX(Base_Mensuelle!$DG$68:$DP$679,MAX(Base_Mensuelle!$DP$68:$DP$679),1))-7,3,1),Base_Mensuelle!$DG$68:$DP$679,2,0),"")</f>
        <v>338333</v>
      </c>
      <c r="F48" s="1190">
        <f>IF(VLOOKUP(DATE(YEAR(INDEX(Base_Mensuelle!$DG$68:$DP$679,MAX(Base_Mensuelle!$DP$68:$DP$679),1))-6,3,1),Base_Mensuelle!$DG$68:$DP$679,2,0)&lt;&gt;"",VLOOKUP(DATE(YEAR(INDEX(Base_Mensuelle!$DG$68:$DP$679,MAX(Base_Mensuelle!$DP$68:$DP$679),1))-6,3,1),Base_Mensuelle!$DG$68:$DP$679,2,0),"")</f>
        <v>360767</v>
      </c>
      <c r="G48" s="1190">
        <f>IF(VLOOKUP(DATE(YEAR(INDEX(Base_Mensuelle!$DG$68:$DP$679,MAX(Base_Mensuelle!$DP$68:$DP$679),1))-5,3,1),Base_Mensuelle!$DG$68:$DP$679,2,0)&lt;&gt;"",VLOOKUP(DATE(YEAR(INDEX(Base_Mensuelle!$DG$68:$DP$679,MAX(Base_Mensuelle!$DP$68:$DP$679),1))-5,3,1),Base_Mensuelle!$DG$68:$DP$679,2,0),"")</f>
        <v>391361</v>
      </c>
      <c r="H48" s="1190">
        <f>IF(VLOOKUP(DATE(YEAR(INDEX(Base_Mensuelle!$DG$68:$DP$679,MAX(Base_Mensuelle!$DP$68:$DP$679),1))-4,3,1),Base_Mensuelle!$DG$68:$DP$679,2,0)&lt;&gt;"",VLOOKUP(DATE(YEAR(INDEX(Base_Mensuelle!$DG$68:$DP$679,MAX(Base_Mensuelle!$DP$68:$DP$679),1))-4,3,1),Base_Mensuelle!$DG$68:$DP$679,2,0),"")</f>
        <v>407709</v>
      </c>
      <c r="I48" s="1190">
        <f>IF(VLOOKUP(DATE(YEAR(INDEX(Base_Mensuelle!$DG$68:$DP$679,MAX(Base_Mensuelle!$DP$68:$DP$679),1))-3,3,1),Base_Mensuelle!$DG$68:$DP$679,2,0)&lt;&gt;"",VLOOKUP(DATE(YEAR(INDEX(Base_Mensuelle!$DG$68:$DP$679,MAX(Base_Mensuelle!$DP$68:$DP$679),1))-3,3,1),Base_Mensuelle!$DG$68:$DP$679,2,0),"")</f>
        <v>435656</v>
      </c>
      <c r="J48" s="1190">
        <f>IF(VLOOKUP(DATE(YEAR(INDEX(Base_Mensuelle!$DG$68:$DP$679,MAX(Base_Mensuelle!$DP$68:$DP$679),1))-2,3,1),Base_Mensuelle!$DG$68:$DP$679,2,0)&lt;&gt;"",VLOOKUP(DATE(YEAR(INDEX(Base_Mensuelle!$DG$68:$DP$679,MAX(Base_Mensuelle!$DP$68:$DP$679),1))-2,3,1),Base_Mensuelle!$DG$68:$DP$679,2,0),"")</f>
        <v>469464</v>
      </c>
      <c r="K48" s="1190">
        <f>IF(VLOOKUP(DATE(YEAR(INDEX(Base_Mensuelle!$DG$68:$DP$679,MAX(Base_Mensuelle!$DP$68:$DP$679),1))-1,3,1),Base_Mensuelle!$DG$68:$DP$679,2,0)&lt;&gt;"",VLOOKUP(DATE(YEAR(INDEX(Base_Mensuelle!$DG$68:$DP$679,MAX(Base_Mensuelle!$DP$68:$DP$679),1))-1,3,1),Base_Mensuelle!$DG$68:$DP$679,2,0),"")</f>
        <v>513598.73280074878</v>
      </c>
      <c r="L48" s="1190">
        <f>IF(VLOOKUP(DATE(YEAR(INDEX(Base_Mensuelle!$DG$68:$DP$679,MAX(Base_Mensuelle!$DP$68:$DP$679),1)),3,1),Base_Mensuelle!$DG$68:$DP$679,2,0)&lt;&gt;"",VLOOKUP(DATE(YEAR(INDEX(Base_Mensuelle!$DG$68:$DP$679,MAX(Base_Mensuelle!$DP$68:$DP$679),1)),3,1),Base_Mensuelle!$DG$68:$DP$679,2,0),"")</f>
        <v>510006.37638283643</v>
      </c>
      <c r="M48" s="1186"/>
      <c r="N48" s="1186"/>
      <c r="O48" s="1186"/>
    </row>
    <row r="49" spans="1:15" ht="11.5" customHeight="1">
      <c r="A49" s="1407" t="s">
        <v>738</v>
      </c>
      <c r="B49" s="1189" t="str">
        <f>IF(VLOOKUP(DATE(YEAR(INDEX(Base_Mensuelle!$DG$68:$DP$679,MAX(Base_Mensuelle!$DP$68:$DP$679),1))-10,4,1),Base_Mensuelle!$DG$68:$DP$679,2,0)&lt;&gt;"",VLOOKUP(DATE(YEAR(INDEX(Base_Mensuelle!$DG$68:$DP$679,MAX(Base_Mensuelle!$DP$68:$DP$679),1))-10,4,1),Base_Mensuelle!$DG$68:$DP$679,2,0),"")</f>
        <v/>
      </c>
      <c r="C49" s="1189" t="str">
        <f>IF(VLOOKUP(DATE(YEAR(INDEX(Base_Mensuelle!$DG$68:$DP$679,MAX(Base_Mensuelle!$DP$68:$DP$679),1))-9,4,1),Base_Mensuelle!$DG$68:$DP$679,2,0)&lt;&gt;"",VLOOKUP(DATE(YEAR(INDEX(Base_Mensuelle!$DG$68:$DP$679,MAX(Base_Mensuelle!$DP$68:$DP$679),1))-9,4,1),Base_Mensuelle!$DG$68:$DP$679,2,0),"")</f>
        <v/>
      </c>
      <c r="D49" s="1189">
        <f>IF(VLOOKUP(DATE(YEAR(INDEX(Base_Mensuelle!$DG$68:$DP$679,MAX(Base_Mensuelle!$DP$68:$DP$679),1))-8,4,1),Base_Mensuelle!$DG$68:$DP$679,2,0)&lt;&gt;"",VLOOKUP(DATE(YEAR(INDEX(Base_Mensuelle!$DG$68:$DP$679,MAX(Base_Mensuelle!$DP$68:$DP$679),1))-8,4,1),Base_Mensuelle!$DG$68:$DP$679,2,0),"")</f>
        <v>309063</v>
      </c>
      <c r="E49" s="1189">
        <f>IF(VLOOKUP(DATE(YEAR(INDEX(Base_Mensuelle!$DG$68:$DP$679,MAX(Base_Mensuelle!$DP$68:$DP$679),1))-7,4,1),Base_Mensuelle!$DG$68:$DP$679,2,0)&lt;&gt;"",VLOOKUP(DATE(YEAR(INDEX(Base_Mensuelle!$DG$68:$DP$679,MAX(Base_Mensuelle!$DP$68:$DP$679),1))-7,4,1),Base_Mensuelle!$DG$68:$DP$679,2,0),"")</f>
        <v>340474.66664738674</v>
      </c>
      <c r="F49" s="1189">
        <f>IF(VLOOKUP(DATE(YEAR(INDEX(Base_Mensuelle!$DG$68:$DP$679,MAX(Base_Mensuelle!$DP$68:$DP$679),1))-6,4,1),Base_Mensuelle!$DG$68:$DP$679,2,0)&lt;&gt;"",VLOOKUP(DATE(YEAR(INDEX(Base_Mensuelle!$DG$68:$DP$679,MAX(Base_Mensuelle!$DP$68:$DP$679),1))-6,4,1),Base_Mensuelle!$DG$68:$DP$679,2,0),"")</f>
        <v>359919</v>
      </c>
      <c r="G49" s="1189">
        <f>IF(VLOOKUP(DATE(YEAR(INDEX(Base_Mensuelle!$DG$68:$DP$679,MAX(Base_Mensuelle!$DP$68:$DP$679),1))-5,4,1),Base_Mensuelle!$DG$68:$DP$679,2,0)&lt;&gt;"",VLOOKUP(DATE(YEAR(INDEX(Base_Mensuelle!$DG$68:$DP$679,MAX(Base_Mensuelle!$DP$68:$DP$679),1))-5,4,1),Base_Mensuelle!$DG$68:$DP$679,2,0),"")</f>
        <v>393025.5</v>
      </c>
      <c r="H49" s="1189">
        <f>IF(VLOOKUP(DATE(YEAR(INDEX(Base_Mensuelle!$DG$68:$DP$679,MAX(Base_Mensuelle!$DP$68:$DP$679),1))-4,4,1),Base_Mensuelle!$DG$68:$DP$679,2,0)&lt;&gt;"",VLOOKUP(DATE(YEAR(INDEX(Base_Mensuelle!$DG$68:$DP$679,MAX(Base_Mensuelle!$DP$68:$DP$679),1))-4,4,1),Base_Mensuelle!$DG$68:$DP$679,2,0),"")</f>
        <v>409989</v>
      </c>
      <c r="I49" s="1189">
        <f>IF(VLOOKUP(DATE(YEAR(INDEX(Base_Mensuelle!$DG$68:$DP$679,MAX(Base_Mensuelle!$DP$68:$DP$679),1))-3,4,1),Base_Mensuelle!$DG$68:$DP$679,2,0)&lt;&gt;"",VLOOKUP(DATE(YEAR(INDEX(Base_Mensuelle!$DG$68:$DP$679,MAX(Base_Mensuelle!$DP$68:$DP$679),1))-3,4,1),Base_Mensuelle!$DG$68:$DP$679,2,0),"")</f>
        <v>434738</v>
      </c>
      <c r="J49" s="1189">
        <f>IF(VLOOKUP(DATE(YEAR(INDEX(Base_Mensuelle!$DG$68:$DP$679,MAX(Base_Mensuelle!$DP$68:$DP$679),1))-2,4,1),Base_Mensuelle!$DG$68:$DP$679,2,0)&lt;&gt;"",VLOOKUP(DATE(YEAR(INDEX(Base_Mensuelle!$DG$68:$DP$679,MAX(Base_Mensuelle!$DP$68:$DP$679),1))-2,4,1),Base_Mensuelle!$DG$68:$DP$679,2,0),"")</f>
        <v>470866</v>
      </c>
      <c r="K49" s="1189">
        <f>IF(VLOOKUP(DATE(YEAR(INDEX(Base_Mensuelle!$DG$68:$DP$679,MAX(Base_Mensuelle!$DP$68:$DP$679),1))-1,4,1),Base_Mensuelle!$DG$68:$DP$679,2,0)&lt;&gt;"",VLOOKUP(DATE(YEAR(INDEX(Base_Mensuelle!$DG$68:$DP$679,MAX(Base_Mensuelle!$DP$68:$DP$679),1))-1,4,1),Base_Mensuelle!$DG$68:$DP$679,2,0),"")</f>
        <v>502672</v>
      </c>
      <c r="L49" s="1189">
        <f>IF(VLOOKUP(DATE(YEAR(INDEX(Base_Mensuelle!$DG$68:$DP$679,MAX(Base_Mensuelle!$DP$68:$DP$679),1)),4,1),Base_Mensuelle!$DG$68:$DP$679,2,0)&lt;&gt;"",VLOOKUP(DATE(YEAR(INDEX(Base_Mensuelle!$DG$68:$DP$679,MAX(Base_Mensuelle!$DP$68:$DP$679),1)),4,1),Base_Mensuelle!$DG$68:$DP$679,2,0),"")</f>
        <v>512707</v>
      </c>
      <c r="M49" s="1186"/>
      <c r="N49" s="1186"/>
      <c r="O49" s="1186"/>
    </row>
    <row r="50" spans="1:15" ht="11.5" customHeight="1">
      <c r="A50" s="1416" t="s">
        <v>739</v>
      </c>
      <c r="B50" s="1190" t="str">
        <f>IF(VLOOKUP(DATE(YEAR(INDEX(Base_Mensuelle!$DG$68:$DP$679,MAX(Base_Mensuelle!$DP$68:$DP$679),1))-10,5,1),Base_Mensuelle!$DG$68:$DP$679,2,0)&lt;&gt;"",VLOOKUP(DATE(YEAR(INDEX(Base_Mensuelle!$DG$68:$DP$679,MAX(Base_Mensuelle!$DP$68:$DP$679),1))-10,5,1),Base_Mensuelle!$DG$68:$DP$679,2,0),"")</f>
        <v/>
      </c>
      <c r="C50" s="1190" t="str">
        <f>IF(VLOOKUP(DATE(YEAR(INDEX(Base_Mensuelle!$DG$68:$DP$679,MAX(Base_Mensuelle!$DP$68:$DP$679),1))-9,5,1),Base_Mensuelle!$DG$68:$DP$679,2,0)&lt;&gt;"",VLOOKUP(DATE(YEAR(INDEX(Base_Mensuelle!$DG$68:$DP$679,MAX(Base_Mensuelle!$DP$68:$DP$679),1))-9,5,1),Base_Mensuelle!$DG$68:$DP$679,2,0),"")</f>
        <v/>
      </c>
      <c r="D50" s="1190">
        <f>IF(VLOOKUP(DATE(YEAR(INDEX(Base_Mensuelle!$DG$68:$DP$679,MAX(Base_Mensuelle!$DP$68:$DP$679),1))-8,5,1),Base_Mensuelle!$DG$68:$DP$679,2,0)&lt;&gt;"",VLOOKUP(DATE(YEAR(INDEX(Base_Mensuelle!$DG$68:$DP$679,MAX(Base_Mensuelle!$DP$68:$DP$679),1))-8,5,1),Base_Mensuelle!$DG$68:$DP$679,2,0),"")</f>
        <v>315017</v>
      </c>
      <c r="E50" s="1190">
        <f>IF(VLOOKUP(DATE(YEAR(INDEX(Base_Mensuelle!$DG$68:$DP$679,MAX(Base_Mensuelle!$DP$68:$DP$679),1))-7,5,1),Base_Mensuelle!$DG$68:$DP$679,2,0)&lt;&gt;"",VLOOKUP(DATE(YEAR(INDEX(Base_Mensuelle!$DG$68:$DP$679,MAX(Base_Mensuelle!$DP$68:$DP$679),1))-7,5,1),Base_Mensuelle!$DG$68:$DP$679,2,0),"")</f>
        <v>342612.97711675527</v>
      </c>
      <c r="F50" s="1190">
        <f>IF(VLOOKUP(DATE(YEAR(INDEX(Base_Mensuelle!$DG$68:$DP$679,MAX(Base_Mensuelle!$DP$68:$DP$679),1))-6,5,1),Base_Mensuelle!$DG$68:$DP$679,2,0)&lt;&gt;"",VLOOKUP(DATE(YEAR(INDEX(Base_Mensuelle!$DG$68:$DP$679,MAX(Base_Mensuelle!$DP$68:$DP$679),1))-6,5,1),Base_Mensuelle!$DG$68:$DP$679,2,0),"")</f>
        <v>363669</v>
      </c>
      <c r="G50" s="1190">
        <f>IF(VLOOKUP(DATE(YEAR(INDEX(Base_Mensuelle!$DG$68:$DP$679,MAX(Base_Mensuelle!$DP$68:$DP$679),1))-5,5,1),Base_Mensuelle!$DG$68:$DP$679,2,0)&lt;&gt;"",VLOOKUP(DATE(YEAR(INDEX(Base_Mensuelle!$DG$68:$DP$679,MAX(Base_Mensuelle!$DP$68:$DP$679),1))-5,5,1),Base_Mensuelle!$DG$68:$DP$679,2,0),"")</f>
        <v>392896.5</v>
      </c>
      <c r="H50" s="1190">
        <f>IF(VLOOKUP(DATE(YEAR(INDEX(Base_Mensuelle!$DG$68:$DP$679,MAX(Base_Mensuelle!$DP$68:$DP$679),1))-4,5,1),Base_Mensuelle!$DG$68:$DP$679,2,0)&lt;&gt;"",VLOOKUP(DATE(YEAR(INDEX(Base_Mensuelle!$DG$68:$DP$679,MAX(Base_Mensuelle!$DP$68:$DP$679),1))-4,5,1),Base_Mensuelle!$DG$68:$DP$679,2,0),"")</f>
        <v>411070</v>
      </c>
      <c r="I50" s="1190">
        <f>IF(VLOOKUP(DATE(YEAR(INDEX(Base_Mensuelle!$DG$68:$DP$679,MAX(Base_Mensuelle!$DP$68:$DP$679),1))-3,5,1),Base_Mensuelle!$DG$68:$DP$679,2,0)&lt;&gt;"",VLOOKUP(DATE(YEAR(INDEX(Base_Mensuelle!$DG$68:$DP$679,MAX(Base_Mensuelle!$DP$68:$DP$679),1))-3,5,1),Base_Mensuelle!$DG$68:$DP$679,2,0),"")</f>
        <v>436771</v>
      </c>
      <c r="J50" s="1190">
        <f>IF(VLOOKUP(DATE(YEAR(INDEX(Base_Mensuelle!$DG$68:$DP$679,MAX(Base_Mensuelle!$DP$68:$DP$679),1))-2,5,1),Base_Mensuelle!$DG$68:$DP$679,2,0)&lt;&gt;"",VLOOKUP(DATE(YEAR(INDEX(Base_Mensuelle!$DG$68:$DP$679,MAX(Base_Mensuelle!$DP$68:$DP$679),1))-2,5,1),Base_Mensuelle!$DG$68:$DP$679,2,0),"")</f>
        <v>472633</v>
      </c>
      <c r="K50" s="1190">
        <f>IF(VLOOKUP(DATE(YEAR(INDEX(Base_Mensuelle!$DG$68:$DP$679,MAX(Base_Mensuelle!$DP$68:$DP$679),1))-1,5,1),Base_Mensuelle!$DG$68:$DP$679,2,0)&lt;&gt;"",VLOOKUP(DATE(YEAR(INDEX(Base_Mensuelle!$DG$68:$DP$679,MAX(Base_Mensuelle!$DP$68:$DP$679),1))-1,5,1),Base_Mensuelle!$DG$68:$DP$679,2,0),"")</f>
        <v>504036</v>
      </c>
      <c r="L50" s="1190">
        <f>IF(VLOOKUP(DATE(YEAR(INDEX(Base_Mensuelle!$DG$68:$DP$679,MAX(Base_Mensuelle!$DP$68:$DP$679),1)),5,1),Base_Mensuelle!$DG$68:$DP$679,2,0)&lt;&gt;"",VLOOKUP(DATE(YEAR(INDEX(Base_Mensuelle!$DG$68:$DP$679,MAX(Base_Mensuelle!$DP$68:$DP$679),1)),5,1),Base_Mensuelle!$DG$68:$DP$679,2,0),"")</f>
        <v>513404</v>
      </c>
      <c r="M50" s="1186"/>
      <c r="N50" s="1186"/>
      <c r="O50" s="1186"/>
    </row>
    <row r="51" spans="1:15" ht="11.5" customHeight="1">
      <c r="A51" s="1407" t="s">
        <v>740</v>
      </c>
      <c r="B51" s="1189" t="str">
        <f>IF(VLOOKUP(DATE(YEAR(INDEX(Base_Mensuelle!$DG$68:$DP$679,MAX(Base_Mensuelle!$DP$68:$DP$679),1))-10,6,1),Base_Mensuelle!$DG$68:$DP$679,2,0)&lt;&gt;"",VLOOKUP(DATE(YEAR(INDEX(Base_Mensuelle!$DG$68:$DP$679,MAX(Base_Mensuelle!$DP$68:$DP$679),1))-10,6,1),Base_Mensuelle!$DG$68:$DP$679,2,0),"")</f>
        <v/>
      </c>
      <c r="C51" s="1189" t="str">
        <f>IF(VLOOKUP(DATE(YEAR(INDEX(Base_Mensuelle!$DG$68:$DP$679,MAX(Base_Mensuelle!$DP$68:$DP$679),1))-9,6,1),Base_Mensuelle!$DG$68:$DP$679,2,0)&lt;&gt;"",VLOOKUP(DATE(YEAR(INDEX(Base_Mensuelle!$DG$68:$DP$679,MAX(Base_Mensuelle!$DP$68:$DP$679),1))-9,6,1),Base_Mensuelle!$DG$68:$DP$679,2,0),"")</f>
        <v/>
      </c>
      <c r="D51" s="1189">
        <f>IF(VLOOKUP(DATE(YEAR(INDEX(Base_Mensuelle!$DG$68:$DP$679,MAX(Base_Mensuelle!$DP$68:$DP$679),1))-8,6,1),Base_Mensuelle!$DG$68:$DP$679,2,0)&lt;&gt;"",VLOOKUP(DATE(YEAR(INDEX(Base_Mensuelle!$DG$68:$DP$679,MAX(Base_Mensuelle!$DP$68:$DP$679),1))-8,6,1),Base_Mensuelle!$DG$68:$DP$679,2,0),"")</f>
        <v>317044</v>
      </c>
      <c r="E51" s="1189">
        <f>IF(VLOOKUP(DATE(YEAR(INDEX(Base_Mensuelle!$DG$68:$DP$679,MAX(Base_Mensuelle!$DP$68:$DP$679),1))-7,6,1),Base_Mensuelle!$DG$68:$DP$679,2,0)&lt;&gt;"",VLOOKUP(DATE(YEAR(INDEX(Base_Mensuelle!$DG$68:$DP$679,MAX(Base_Mensuelle!$DP$68:$DP$679),1))-7,6,1),Base_Mensuelle!$DG$68:$DP$679,2,0),"")</f>
        <v>341732</v>
      </c>
      <c r="F51" s="1189">
        <f>IF(VLOOKUP(DATE(YEAR(INDEX(Base_Mensuelle!$DG$68:$DP$679,MAX(Base_Mensuelle!$DP$68:$DP$679),1))-6,6,1),Base_Mensuelle!$DG$68:$DP$679,2,0)&lt;&gt;"",VLOOKUP(DATE(YEAR(INDEX(Base_Mensuelle!$DG$68:$DP$679,MAX(Base_Mensuelle!$DP$68:$DP$679),1))-6,6,1),Base_Mensuelle!$DG$68:$DP$679,2,0),"")</f>
        <v>369973</v>
      </c>
      <c r="G51" s="1189">
        <f>IF(VLOOKUP(DATE(YEAR(INDEX(Base_Mensuelle!$DG$68:$DP$679,MAX(Base_Mensuelle!$DP$68:$DP$679),1))-5,6,1),Base_Mensuelle!$DG$68:$DP$679,2,0)&lt;&gt;"",VLOOKUP(DATE(YEAR(INDEX(Base_Mensuelle!$DG$68:$DP$679,MAX(Base_Mensuelle!$DP$68:$DP$679),1))-5,6,1),Base_Mensuelle!$DG$68:$DP$679,2,0),"")</f>
        <v>393213</v>
      </c>
      <c r="H51" s="1189">
        <f>IF(VLOOKUP(DATE(YEAR(INDEX(Base_Mensuelle!$DG$68:$DP$679,MAX(Base_Mensuelle!$DP$68:$DP$679),1))-4,6,1),Base_Mensuelle!$DG$68:$DP$679,2,0)&lt;&gt;"",VLOOKUP(DATE(YEAR(INDEX(Base_Mensuelle!$DG$68:$DP$679,MAX(Base_Mensuelle!$DP$68:$DP$679),1))-4,6,1),Base_Mensuelle!$DG$68:$DP$679,2,0),"")</f>
        <v>412782</v>
      </c>
      <c r="I51" s="1189">
        <f>IF(VLOOKUP(DATE(YEAR(INDEX(Base_Mensuelle!$DG$68:$DP$679,MAX(Base_Mensuelle!$DP$68:$DP$679),1))-3,6,1),Base_Mensuelle!$DG$68:$DP$679,2,0)&lt;&gt;"",VLOOKUP(DATE(YEAR(INDEX(Base_Mensuelle!$DG$68:$DP$679,MAX(Base_Mensuelle!$DP$68:$DP$679),1))-3,6,1),Base_Mensuelle!$DG$68:$DP$679,2,0),"")</f>
        <v>441347</v>
      </c>
      <c r="J51" s="1189">
        <f>IF(VLOOKUP(DATE(YEAR(INDEX(Base_Mensuelle!$DG$68:$DP$679,MAX(Base_Mensuelle!$DP$68:$DP$679),1))-2,6,1),Base_Mensuelle!$DG$68:$DP$679,2,0)&lt;&gt;"",VLOOKUP(DATE(YEAR(INDEX(Base_Mensuelle!$DG$68:$DP$679,MAX(Base_Mensuelle!$DP$68:$DP$679),1))-2,6,1),Base_Mensuelle!$DG$68:$DP$679,2,0),"")</f>
        <v>477559</v>
      </c>
      <c r="K51" s="1189">
        <f>IF(VLOOKUP(DATE(YEAR(INDEX(Base_Mensuelle!$DG$68:$DP$679,MAX(Base_Mensuelle!$DP$68:$DP$679),1))-1,6,1),Base_Mensuelle!$DG$68:$DP$679,2,0)&lt;&gt;"",VLOOKUP(DATE(YEAR(INDEX(Base_Mensuelle!$DG$68:$DP$679,MAX(Base_Mensuelle!$DP$68:$DP$679),1))-1,6,1),Base_Mensuelle!$DG$68:$DP$679,2,0),"")</f>
        <v>507957</v>
      </c>
      <c r="L51" s="1189">
        <f>IF(VLOOKUP(DATE(YEAR(INDEX(Base_Mensuelle!$DG$68:$DP$679,MAX(Base_Mensuelle!$DP$68:$DP$679),1)),6,1),Base_Mensuelle!$DG$68:$DP$679,2,0)&lt;&gt;"",VLOOKUP(DATE(YEAR(INDEX(Base_Mensuelle!$DG$68:$DP$679,MAX(Base_Mensuelle!$DP$68:$DP$679),1)),6,1),Base_Mensuelle!$DG$68:$DP$679,2,0),"")</f>
        <v>515114</v>
      </c>
      <c r="M51" s="1186"/>
      <c r="N51" s="1186"/>
      <c r="O51" s="1186"/>
    </row>
    <row r="52" spans="1:15" ht="11.5" customHeight="1">
      <c r="A52" s="1416" t="s">
        <v>741</v>
      </c>
      <c r="B52" s="1190" t="str">
        <f>IF(VLOOKUP(DATE(YEAR(INDEX(Base_Mensuelle!$DG$68:$DP$679,MAX(Base_Mensuelle!$DP$68:$DP$679),1))-10,7,1),Base_Mensuelle!$DG$68:$DP$679,2,0)&lt;&gt;"",VLOOKUP(DATE(YEAR(INDEX(Base_Mensuelle!$DG$68:$DP$679,MAX(Base_Mensuelle!$DP$68:$DP$679),1))-10,7,1),Base_Mensuelle!$DG$68:$DP$679,2,0),"")</f>
        <v/>
      </c>
      <c r="C52" s="1190" t="str">
        <f>IF(VLOOKUP(DATE(YEAR(INDEX(Base_Mensuelle!$DG$68:$DP$679,MAX(Base_Mensuelle!$DP$68:$DP$679),1))-9,7,1),Base_Mensuelle!$DG$68:$DP$679,2,0)&lt;&gt;"",VLOOKUP(DATE(YEAR(INDEX(Base_Mensuelle!$DG$68:$DP$679,MAX(Base_Mensuelle!$DP$68:$DP$679),1))-9,7,1),Base_Mensuelle!$DG$68:$DP$679,2,0),"")</f>
        <v/>
      </c>
      <c r="D52" s="1190">
        <f>IF(VLOOKUP(DATE(YEAR(INDEX(Base_Mensuelle!$DG$68:$DP$679,MAX(Base_Mensuelle!$DP$68:$DP$679),1))-8,7,1),Base_Mensuelle!$DG$68:$DP$679,2,0)&lt;&gt;"",VLOOKUP(DATE(YEAR(INDEX(Base_Mensuelle!$DG$68:$DP$679,MAX(Base_Mensuelle!$DP$68:$DP$679),1))-8,7,1),Base_Mensuelle!$DG$68:$DP$679,2,0),"")</f>
        <v>321117.89714830165</v>
      </c>
      <c r="E52" s="1190">
        <f>IF(VLOOKUP(DATE(YEAR(INDEX(Base_Mensuelle!$DG$68:$DP$679,MAX(Base_Mensuelle!$DP$68:$DP$679),1))-7,7,1),Base_Mensuelle!$DG$68:$DP$679,2,0)&lt;&gt;"",VLOOKUP(DATE(YEAR(INDEX(Base_Mensuelle!$DG$68:$DP$679,MAX(Base_Mensuelle!$DP$68:$DP$679),1))-7,7,1),Base_Mensuelle!$DG$68:$DP$679,2,0),"")</f>
        <v>343084</v>
      </c>
      <c r="F52" s="1190">
        <f>IF(VLOOKUP(DATE(YEAR(INDEX(Base_Mensuelle!$DG$68:$DP$679,MAX(Base_Mensuelle!$DP$68:$DP$679),1))-6,7,1),Base_Mensuelle!$DG$68:$DP$679,2,0)&lt;&gt;"",VLOOKUP(DATE(YEAR(INDEX(Base_Mensuelle!$DG$68:$DP$679,MAX(Base_Mensuelle!$DP$68:$DP$679),1))-6,7,1),Base_Mensuelle!$DG$68:$DP$679,2,0),"")</f>
        <v>375107.01453624055</v>
      </c>
      <c r="G52" s="1190">
        <f>IF(VLOOKUP(DATE(YEAR(INDEX(Base_Mensuelle!$DG$68:$DP$679,MAX(Base_Mensuelle!$DP$68:$DP$679),1))-5,7,1),Base_Mensuelle!$DG$68:$DP$679,2,0)&lt;&gt;"",VLOOKUP(DATE(YEAR(INDEX(Base_Mensuelle!$DG$68:$DP$679,MAX(Base_Mensuelle!$DP$68:$DP$679),1))-5,7,1),Base_Mensuelle!$DG$68:$DP$679,2,0),"")</f>
        <v>394294</v>
      </c>
      <c r="H52" s="1190">
        <f>IF(VLOOKUP(DATE(YEAR(INDEX(Base_Mensuelle!$DG$68:$DP$679,MAX(Base_Mensuelle!$DP$68:$DP$679),1))-4,7,1),Base_Mensuelle!$DG$68:$DP$679,2,0)&lt;&gt;"",VLOOKUP(DATE(YEAR(INDEX(Base_Mensuelle!$DG$68:$DP$679,MAX(Base_Mensuelle!$DP$68:$DP$679),1))-4,7,1),Base_Mensuelle!$DG$68:$DP$679,2,0),"")</f>
        <v>413928</v>
      </c>
      <c r="I52" s="1190">
        <f>IF(VLOOKUP(DATE(YEAR(INDEX(Base_Mensuelle!$DG$68:$DP$679,MAX(Base_Mensuelle!$DP$68:$DP$679),1))-3,7,1),Base_Mensuelle!$DG$68:$DP$679,2,0)&lt;&gt;"",VLOOKUP(DATE(YEAR(INDEX(Base_Mensuelle!$DG$68:$DP$679,MAX(Base_Mensuelle!$DP$68:$DP$679),1))-3,7,1),Base_Mensuelle!$DG$68:$DP$679,2,0),"")</f>
        <v>445635</v>
      </c>
      <c r="J52" s="1190">
        <f>IF(VLOOKUP(DATE(YEAR(INDEX(Base_Mensuelle!$DG$68:$DP$679,MAX(Base_Mensuelle!$DP$68:$DP$679),1))-2,7,1),Base_Mensuelle!$DG$68:$DP$679,2,0)&lt;&gt;"",VLOOKUP(DATE(YEAR(INDEX(Base_Mensuelle!$DG$68:$DP$679,MAX(Base_Mensuelle!$DP$68:$DP$679),1))-2,7,1),Base_Mensuelle!$DG$68:$DP$679,2,0),"")</f>
        <v>480943.72880326788</v>
      </c>
      <c r="K52" s="1190">
        <f>IF(VLOOKUP(DATE(YEAR(INDEX(Base_Mensuelle!$DG$68:$DP$679,MAX(Base_Mensuelle!$DP$68:$DP$679),1))-1,7,1),Base_Mensuelle!$DG$68:$DP$679,2,0)&lt;&gt;"",VLOOKUP(DATE(YEAR(INDEX(Base_Mensuelle!$DG$68:$DP$679,MAX(Base_Mensuelle!$DP$68:$DP$679),1))-1,7,1),Base_Mensuelle!$DG$68:$DP$679,2,0),"")</f>
        <v>507834</v>
      </c>
      <c r="L52" s="1190">
        <f>IF(VLOOKUP(DATE(YEAR(INDEX(Base_Mensuelle!$DG$68:$DP$679,MAX(Base_Mensuelle!$DP$68:$DP$679),1)),7,1),Base_Mensuelle!$DG$68:$DP$679,2,0)&lt;&gt;"",VLOOKUP(DATE(YEAR(INDEX(Base_Mensuelle!$DG$68:$DP$679,MAX(Base_Mensuelle!$DP$68:$DP$679),1)),7,1),Base_Mensuelle!$DG$68:$DP$679,2,0),"")</f>
        <v>516336</v>
      </c>
      <c r="M52" s="1186"/>
      <c r="N52" s="1186"/>
      <c r="O52" s="1186"/>
    </row>
    <row r="53" spans="1:15" ht="11.5" customHeight="1">
      <c r="A53" s="1407" t="s">
        <v>742</v>
      </c>
      <c r="B53" s="1189" t="str">
        <f>IF(VLOOKUP(DATE(YEAR(INDEX(Base_Mensuelle!$DG$68:$DP$679,MAX(Base_Mensuelle!$DP$68:$DP$679),1))-10,8,1),Base_Mensuelle!$DG$68:$DP$679,2,0)&lt;&gt;"",VLOOKUP(DATE(YEAR(INDEX(Base_Mensuelle!$DG$68:$DP$679,MAX(Base_Mensuelle!$DP$68:$DP$679),1))-10,8,1),Base_Mensuelle!$DG$68:$DP$679,2,0),"")</f>
        <v/>
      </c>
      <c r="C53" s="1189" t="str">
        <f>IF(VLOOKUP(DATE(YEAR(INDEX(Base_Mensuelle!$DG$68:$DP$679,MAX(Base_Mensuelle!$DP$68:$DP$679),1))-9,8,1),Base_Mensuelle!$DG$68:$DP$679,2,0)&lt;&gt;"",VLOOKUP(DATE(YEAR(INDEX(Base_Mensuelle!$DG$68:$DP$679,MAX(Base_Mensuelle!$DP$68:$DP$679),1))-9,8,1),Base_Mensuelle!$DG$68:$DP$679,2,0),"")</f>
        <v/>
      </c>
      <c r="D53" s="1189">
        <f>IF(VLOOKUP(DATE(YEAR(INDEX(Base_Mensuelle!$DG$68:$DP$679,MAX(Base_Mensuelle!$DP$68:$DP$679),1))-8,8,1),Base_Mensuelle!$DG$68:$DP$679,2,0)&lt;&gt;"",VLOOKUP(DATE(YEAR(INDEX(Base_Mensuelle!$DG$68:$DP$679,MAX(Base_Mensuelle!$DP$68:$DP$679),1))-8,8,1),Base_Mensuelle!$DG$68:$DP$679,2,0),"")</f>
        <v>324214.14808705379</v>
      </c>
      <c r="E53" s="1189">
        <f>IF(VLOOKUP(DATE(YEAR(INDEX(Base_Mensuelle!$DG$68:$DP$679,MAX(Base_Mensuelle!$DP$68:$DP$679),1))-7,8,1),Base_Mensuelle!$DG$68:$DP$679,2,0)&lt;&gt;"",VLOOKUP(DATE(YEAR(INDEX(Base_Mensuelle!$DG$68:$DP$679,MAX(Base_Mensuelle!$DP$68:$DP$679),1))-7,8,1),Base_Mensuelle!$DG$68:$DP$679,2,0),"")</f>
        <v>347516</v>
      </c>
      <c r="F53" s="1189">
        <f>IF(VLOOKUP(DATE(YEAR(INDEX(Base_Mensuelle!$DG$68:$DP$679,MAX(Base_Mensuelle!$DP$68:$DP$679),1))-6,8,1),Base_Mensuelle!$DG$68:$DP$679,2,0)&lt;&gt;"",VLOOKUP(DATE(YEAR(INDEX(Base_Mensuelle!$DG$68:$DP$679,MAX(Base_Mensuelle!$DP$68:$DP$679),1))-6,8,1),Base_Mensuelle!$DG$68:$DP$679,2,0),"")</f>
        <v>380960.77927750023</v>
      </c>
      <c r="G53" s="1189">
        <f>IF(VLOOKUP(DATE(YEAR(INDEX(Base_Mensuelle!$DG$68:$DP$679,MAX(Base_Mensuelle!$DP$68:$DP$679),1))-5,8,1),Base_Mensuelle!$DG$68:$DP$679,2,0)&lt;&gt;"",VLOOKUP(DATE(YEAR(INDEX(Base_Mensuelle!$DG$68:$DP$679,MAX(Base_Mensuelle!$DP$68:$DP$679),1))-5,8,1),Base_Mensuelle!$DG$68:$DP$679,2,0),"")</f>
        <v>396000.5</v>
      </c>
      <c r="H53" s="1189">
        <f>IF(VLOOKUP(DATE(YEAR(INDEX(Base_Mensuelle!$DG$68:$DP$679,MAX(Base_Mensuelle!$DP$68:$DP$679),1))-4,8,1),Base_Mensuelle!$DG$68:$DP$679,2,0)&lt;&gt;"",VLOOKUP(DATE(YEAR(INDEX(Base_Mensuelle!$DG$68:$DP$679,MAX(Base_Mensuelle!$DP$68:$DP$679),1))-4,8,1),Base_Mensuelle!$DG$68:$DP$679,2,0),"")</f>
        <v>415656</v>
      </c>
      <c r="I53" s="1189">
        <f>IF(VLOOKUP(DATE(YEAR(INDEX(Base_Mensuelle!$DG$68:$DP$679,MAX(Base_Mensuelle!$DP$68:$DP$679),1))-3,8,1),Base_Mensuelle!$DG$68:$DP$679,2,0)&lt;&gt;"",VLOOKUP(DATE(YEAR(INDEX(Base_Mensuelle!$DG$68:$DP$679,MAX(Base_Mensuelle!$DP$68:$DP$679),1))-3,8,1),Base_Mensuelle!$DG$68:$DP$679,2,0),"")</f>
        <v>446668</v>
      </c>
      <c r="J53" s="1189">
        <f>IF(VLOOKUP(DATE(YEAR(INDEX(Base_Mensuelle!$DG$68:$DP$679,MAX(Base_Mensuelle!$DP$68:$DP$679),1))-2,8,1),Base_Mensuelle!$DG$68:$DP$679,2,0)&lt;&gt;"",VLOOKUP(DATE(YEAR(INDEX(Base_Mensuelle!$DG$68:$DP$679,MAX(Base_Mensuelle!$DP$68:$DP$679),1))-2,8,1),Base_Mensuelle!$DG$68:$DP$679,2,0),"")</f>
        <v>485154.39707387536</v>
      </c>
      <c r="K53" s="1189">
        <f>IF(VLOOKUP(DATE(YEAR(INDEX(Base_Mensuelle!$DG$68:$DP$679,MAX(Base_Mensuelle!$DP$68:$DP$679),1))-1,8,1),Base_Mensuelle!$DG$68:$DP$679,2,0)&lt;&gt;"",VLOOKUP(DATE(YEAR(INDEX(Base_Mensuelle!$DG$68:$DP$679,MAX(Base_Mensuelle!$DP$68:$DP$679),1))-1,8,1),Base_Mensuelle!$DG$68:$DP$679,2,0),"")</f>
        <v>509374</v>
      </c>
      <c r="L53" s="1189">
        <f>IF(VLOOKUP(DATE(YEAR(INDEX(Base_Mensuelle!$DG$68:$DP$679,MAX(Base_Mensuelle!$DP$68:$DP$679),1)),8,1),Base_Mensuelle!$DG$68:$DP$679,2,0)&lt;&gt;"",VLOOKUP(DATE(YEAR(INDEX(Base_Mensuelle!$DG$68:$DP$679,MAX(Base_Mensuelle!$DP$68:$DP$679),1)),8,1),Base_Mensuelle!$DG$68:$DP$679,2,0),"")</f>
        <v>518650</v>
      </c>
      <c r="M53" s="1186"/>
      <c r="N53" s="1186"/>
      <c r="O53" s="1186"/>
    </row>
    <row r="54" spans="1:15" ht="11.5" customHeight="1">
      <c r="A54" s="1416" t="s">
        <v>743</v>
      </c>
      <c r="B54" s="1190" t="str">
        <f>IF(VLOOKUP(DATE(YEAR(INDEX(Base_Mensuelle!$DG$68:$DP$679,MAX(Base_Mensuelle!$DP$68:$DP$679),1))-10,9,1),Base_Mensuelle!$DG$68:$DP$679,2,0)&lt;&gt;"",VLOOKUP(DATE(YEAR(INDEX(Base_Mensuelle!$DG$68:$DP$679,MAX(Base_Mensuelle!$DP$68:$DP$679),1))-10,9,1),Base_Mensuelle!$DG$68:$DP$679,2,0),"")</f>
        <v/>
      </c>
      <c r="C54" s="1190">
        <f>IF(VLOOKUP(DATE(YEAR(INDEX(Base_Mensuelle!$DG$68:$DP$679,MAX(Base_Mensuelle!$DP$68:$DP$679),1))-9,9,1),Base_Mensuelle!$DG$68:$DP$679,2,0)&lt;&gt;"",VLOOKUP(DATE(YEAR(INDEX(Base_Mensuelle!$DG$68:$DP$679,MAX(Base_Mensuelle!$DP$68:$DP$679),1))-9,9,1),Base_Mensuelle!$DG$68:$DP$679,2,0),"")</f>
        <v>289779</v>
      </c>
      <c r="D54" s="1190">
        <f>IF(VLOOKUP(DATE(YEAR(INDEX(Base_Mensuelle!$DG$68:$DP$679,MAX(Base_Mensuelle!$DP$68:$DP$679),1))-8,9,1),Base_Mensuelle!$DG$68:$DP$679,2,0)&lt;&gt;"",VLOOKUP(DATE(YEAR(INDEX(Base_Mensuelle!$DG$68:$DP$679,MAX(Base_Mensuelle!$DP$68:$DP$679),1))-8,9,1),Base_Mensuelle!$DG$68:$DP$679,2,0),"")</f>
        <v>321248</v>
      </c>
      <c r="E54" s="1190">
        <f>IF(VLOOKUP(DATE(YEAR(INDEX(Base_Mensuelle!$DG$68:$DP$679,MAX(Base_Mensuelle!$DP$68:$DP$679),1))-7,9,1),Base_Mensuelle!$DG$68:$DP$679,2,0)&lt;&gt;"",VLOOKUP(DATE(YEAR(INDEX(Base_Mensuelle!$DG$68:$DP$679,MAX(Base_Mensuelle!$DP$68:$DP$679),1))-7,9,1),Base_Mensuelle!$DG$68:$DP$679,2,0),"")</f>
        <v>349411</v>
      </c>
      <c r="F54" s="1190">
        <f>IF(VLOOKUP(DATE(YEAR(INDEX(Base_Mensuelle!$DG$68:$DP$679,MAX(Base_Mensuelle!$DP$68:$DP$679),1))-6,9,1),Base_Mensuelle!$DG$68:$DP$679,2,0)&lt;&gt;"",VLOOKUP(DATE(YEAR(INDEX(Base_Mensuelle!$DG$68:$DP$679,MAX(Base_Mensuelle!$DP$68:$DP$679),1))-6,9,1),Base_Mensuelle!$DG$68:$DP$679,2,0),"")</f>
        <v>386576.58184045763</v>
      </c>
      <c r="G54" s="1190">
        <f>IF(VLOOKUP(DATE(YEAR(INDEX(Base_Mensuelle!$DG$68:$DP$679,MAX(Base_Mensuelle!$DP$68:$DP$679),1))-5,9,1),Base_Mensuelle!$DG$68:$DP$679,2,0)&lt;&gt;"",VLOOKUP(DATE(YEAR(INDEX(Base_Mensuelle!$DG$68:$DP$679,MAX(Base_Mensuelle!$DP$68:$DP$679),1))-5,9,1),Base_Mensuelle!$DG$68:$DP$679,2,0),"")</f>
        <v>396475</v>
      </c>
      <c r="H54" s="1190">
        <f>IF(VLOOKUP(DATE(YEAR(INDEX(Base_Mensuelle!$DG$68:$DP$679,MAX(Base_Mensuelle!$DP$68:$DP$679),1))-4,9,1),Base_Mensuelle!$DG$68:$DP$679,2,0)&lt;&gt;"",VLOOKUP(DATE(YEAR(INDEX(Base_Mensuelle!$DG$68:$DP$679,MAX(Base_Mensuelle!$DP$68:$DP$679),1))-4,9,1),Base_Mensuelle!$DG$68:$DP$679,2,0),"")</f>
        <v>416138</v>
      </c>
      <c r="I54" s="1190">
        <f>IF(VLOOKUP(DATE(YEAR(INDEX(Base_Mensuelle!$DG$68:$DP$679,MAX(Base_Mensuelle!$DP$68:$DP$679),1))-3,9,1),Base_Mensuelle!$DG$68:$DP$679,2,0)&lt;&gt;"",VLOOKUP(DATE(YEAR(INDEX(Base_Mensuelle!$DG$68:$DP$679,MAX(Base_Mensuelle!$DP$68:$DP$679),1))-3,9,1),Base_Mensuelle!$DG$68:$DP$679,2,0),"")</f>
        <v>449300</v>
      </c>
      <c r="J54" s="1190">
        <f>IF(VLOOKUP(DATE(YEAR(INDEX(Base_Mensuelle!$DG$68:$DP$679,MAX(Base_Mensuelle!$DP$68:$DP$679),1))-2,9,1),Base_Mensuelle!$DG$68:$DP$679,2,0)&lt;&gt;"",VLOOKUP(DATE(YEAR(INDEX(Base_Mensuelle!$DG$68:$DP$679,MAX(Base_Mensuelle!$DP$68:$DP$679),1))-2,9,1),Base_Mensuelle!$DG$68:$DP$679,2,0),"")</f>
        <v>488997.44425920915</v>
      </c>
      <c r="K54" s="1190">
        <f>IF(VLOOKUP(DATE(YEAR(INDEX(Base_Mensuelle!$DG$68:$DP$679,MAX(Base_Mensuelle!$DP$68:$DP$679),1))-1,9,1),Base_Mensuelle!$DG$68:$DP$679,2,0)&lt;&gt;"",VLOOKUP(DATE(YEAR(INDEX(Base_Mensuelle!$DG$68:$DP$679,MAX(Base_Mensuelle!$DP$68:$DP$679),1))-1,9,1),Base_Mensuelle!$DG$68:$DP$679,2,0),"")</f>
        <v>509737</v>
      </c>
      <c r="L54" s="1190">
        <f>IF(VLOOKUP(DATE(YEAR(INDEX(Base_Mensuelle!$DG$68:$DP$679,MAX(Base_Mensuelle!$DP$68:$DP$679),1)),9,1),Base_Mensuelle!$DG$68:$DP$679,2,0)&lt;&gt;"",VLOOKUP(DATE(YEAR(INDEX(Base_Mensuelle!$DG$68:$DP$679,MAX(Base_Mensuelle!$DP$68:$DP$679),1)),9,1),Base_Mensuelle!$DG$68:$DP$679,2,0),"")</f>
        <v>520794</v>
      </c>
      <c r="M54" s="1186"/>
      <c r="N54" s="1186"/>
      <c r="O54" s="1186"/>
    </row>
    <row r="55" spans="1:15" ht="11.5" customHeight="1">
      <c r="A55" s="1407" t="s">
        <v>744</v>
      </c>
      <c r="B55" s="1189" t="str">
        <f>IF(VLOOKUP(DATE(YEAR(INDEX(Base_Mensuelle!$DG$68:$DP$679,MAX(Base_Mensuelle!$DP$68:$DP$679),1))-10,10,1),Base_Mensuelle!$DG$68:$DP$679,2,0)&lt;&gt;"",VLOOKUP(DATE(YEAR(INDEX(Base_Mensuelle!$DG$68:$DP$679,MAX(Base_Mensuelle!$DP$68:$DP$679),1))-10,10,1),Base_Mensuelle!$DG$68:$DP$679,2,0),"")</f>
        <v/>
      </c>
      <c r="C55" s="1189">
        <f>IF(VLOOKUP(DATE(YEAR(INDEX(Base_Mensuelle!$DG$68:$DP$679,MAX(Base_Mensuelle!$DP$68:$DP$679),1))-9,10,1),Base_Mensuelle!$DG$68:$DP$679,2,0)&lt;&gt;"",VLOOKUP(DATE(YEAR(INDEX(Base_Mensuelle!$DG$68:$DP$679,MAX(Base_Mensuelle!$DP$68:$DP$679),1))-9,10,1),Base_Mensuelle!$DG$68:$DP$679,2,0),"")</f>
        <v>291877</v>
      </c>
      <c r="D55" s="1189">
        <f>IF(VLOOKUP(DATE(YEAR(INDEX(Base_Mensuelle!$DG$68:$DP$679,MAX(Base_Mensuelle!$DP$68:$DP$679),1))-8,10,1),Base_Mensuelle!$DG$68:$DP$679,2,0)&lt;&gt;"",VLOOKUP(DATE(YEAR(INDEX(Base_Mensuelle!$DG$68:$DP$679,MAX(Base_Mensuelle!$DP$68:$DP$679),1))-8,10,1),Base_Mensuelle!$DG$68:$DP$679,2,0),"")</f>
        <v>323594</v>
      </c>
      <c r="E55" s="1189">
        <f>IF(VLOOKUP(DATE(YEAR(INDEX(Base_Mensuelle!$DG$68:$DP$679,MAX(Base_Mensuelle!$DP$68:$DP$679),1))-7,10,1),Base_Mensuelle!$DG$68:$DP$679,2,0)&lt;&gt;"",VLOOKUP(DATE(YEAR(INDEX(Base_Mensuelle!$DG$68:$DP$679,MAX(Base_Mensuelle!$DP$68:$DP$679),1))-7,10,1),Base_Mensuelle!$DG$68:$DP$679,2,0),"")</f>
        <v>346987</v>
      </c>
      <c r="F55" s="1189">
        <f>IF(VLOOKUP(DATE(YEAR(INDEX(Base_Mensuelle!$DG$68:$DP$679,MAX(Base_Mensuelle!$DP$68:$DP$679),1))-6,10,1),Base_Mensuelle!$DG$68:$DP$679,2,0)&lt;&gt;"",VLOOKUP(DATE(YEAR(INDEX(Base_Mensuelle!$DG$68:$DP$679,MAX(Base_Mensuelle!$DP$68:$DP$679),1))-6,10,1),Base_Mensuelle!$DG$68:$DP$679,2,0),"")</f>
        <v>392442.25186446065</v>
      </c>
      <c r="G55" s="1189">
        <f>IF(VLOOKUP(DATE(YEAR(INDEX(Base_Mensuelle!$DG$68:$DP$679,MAX(Base_Mensuelle!$DP$68:$DP$679),1))-5,10,1),Base_Mensuelle!$DG$68:$DP$679,2,0)&lt;&gt;"",VLOOKUP(DATE(YEAR(INDEX(Base_Mensuelle!$DG$68:$DP$679,MAX(Base_Mensuelle!$DP$68:$DP$679),1))-5,10,1),Base_Mensuelle!$DG$68:$DP$679,2,0),"")</f>
        <v>398299</v>
      </c>
      <c r="H55" s="1189">
        <f>IF(VLOOKUP(DATE(YEAR(INDEX(Base_Mensuelle!$DG$68:$DP$679,MAX(Base_Mensuelle!$DP$68:$DP$679),1))-4,10,1),Base_Mensuelle!$DG$68:$DP$679,2,0)&lt;&gt;"",VLOOKUP(DATE(YEAR(INDEX(Base_Mensuelle!$DG$68:$DP$679,MAX(Base_Mensuelle!$DP$68:$DP$679),1))-4,10,1),Base_Mensuelle!$DG$68:$DP$679,2,0),"")</f>
        <v>419793</v>
      </c>
      <c r="I55" s="1189">
        <f>IF(VLOOKUP(DATE(YEAR(INDEX(Base_Mensuelle!$DG$68:$DP$679,MAX(Base_Mensuelle!$DP$68:$DP$679),1))-3,10,1),Base_Mensuelle!$DG$68:$DP$679,2,0)&lt;&gt;"",VLOOKUP(DATE(YEAR(INDEX(Base_Mensuelle!$DG$68:$DP$679,MAX(Base_Mensuelle!$DP$68:$DP$679),1))-3,10,1),Base_Mensuelle!$DG$68:$DP$679,2,0),"")</f>
        <v>451957</v>
      </c>
      <c r="J55" s="1189">
        <f>IF(VLOOKUP(DATE(YEAR(INDEX(Base_Mensuelle!$DG$68:$DP$679,MAX(Base_Mensuelle!$DP$68:$DP$679),1))-2,10,1),Base_Mensuelle!$DG$68:$DP$679,2,0)&lt;&gt;"",VLOOKUP(DATE(YEAR(INDEX(Base_Mensuelle!$DG$68:$DP$679,MAX(Base_Mensuelle!$DP$68:$DP$679),1))-2,10,1),Base_Mensuelle!$DG$68:$DP$679,2,0),"")</f>
        <v>493074.77811591985</v>
      </c>
      <c r="K55" s="1189">
        <f>IF(VLOOKUP(DATE(YEAR(INDEX(Base_Mensuelle!$DG$68:$DP$679,MAX(Base_Mensuelle!$DP$68:$DP$679),1))-1,10,1),Base_Mensuelle!$DG$68:$DP$679,2,0)&lt;&gt;"",VLOOKUP(DATE(YEAR(INDEX(Base_Mensuelle!$DG$68:$DP$679,MAX(Base_Mensuelle!$DP$68:$DP$679),1))-1,10,1),Base_Mensuelle!$DG$68:$DP$679,2,0),"")</f>
        <v>511106</v>
      </c>
      <c r="L55" s="1189">
        <f>IF(VLOOKUP(DATE(YEAR(INDEX(Base_Mensuelle!$DG$68:$DP$679,MAX(Base_Mensuelle!$DP$68:$DP$679),1)),10,1),Base_Mensuelle!$DG$68:$DP$679,2,0)&lt;&gt;"",VLOOKUP(DATE(YEAR(INDEX(Base_Mensuelle!$DG$68:$DP$679,MAX(Base_Mensuelle!$DP$68:$DP$679),1)),10,1),Base_Mensuelle!$DG$68:$DP$679,2,0),"")</f>
        <v>523551</v>
      </c>
      <c r="M55" s="1186"/>
      <c r="N55" s="1186"/>
      <c r="O55" s="1186"/>
    </row>
    <row r="56" spans="1:15" ht="11.5" customHeight="1">
      <c r="A56" s="1416" t="s">
        <v>745</v>
      </c>
      <c r="B56" s="1190" t="str">
        <f>IF(VLOOKUP(DATE(YEAR(INDEX(Base_Mensuelle!$DG$68:$DP$679,MAX(Base_Mensuelle!$DP$68:$DP$679),1))-10,11,1),Base_Mensuelle!$DG$68:$DP$679,2,0)&lt;&gt;"",VLOOKUP(DATE(YEAR(INDEX(Base_Mensuelle!$DG$68:$DP$679,MAX(Base_Mensuelle!$DP$68:$DP$679),1))-10,11,1),Base_Mensuelle!$DG$68:$DP$679,2,0),"")</f>
        <v/>
      </c>
      <c r="C56" s="1190">
        <f>IF(VLOOKUP(DATE(YEAR(INDEX(Base_Mensuelle!$DG$68:$DP$679,MAX(Base_Mensuelle!$DP$68:$DP$679),1))-9,11,1),Base_Mensuelle!$DG$68:$DP$679,2,0)&lt;&gt;"",VLOOKUP(DATE(YEAR(INDEX(Base_Mensuelle!$DG$68:$DP$679,MAX(Base_Mensuelle!$DP$68:$DP$679),1))-9,11,1),Base_Mensuelle!$DG$68:$DP$679,2,0),"")</f>
        <v>294212</v>
      </c>
      <c r="D56" s="1190">
        <f>IF(VLOOKUP(DATE(YEAR(INDEX(Base_Mensuelle!$DG$68:$DP$679,MAX(Base_Mensuelle!$DP$68:$DP$679),1))-8,11,1),Base_Mensuelle!$DG$68:$DP$679,2,0)&lt;&gt;"",VLOOKUP(DATE(YEAR(INDEX(Base_Mensuelle!$DG$68:$DP$679,MAX(Base_Mensuelle!$DP$68:$DP$679),1))-8,11,1),Base_Mensuelle!$DG$68:$DP$679,2,0),"")</f>
        <v>326184</v>
      </c>
      <c r="E56" s="1190">
        <f>IF(VLOOKUP(DATE(YEAR(INDEX(Base_Mensuelle!$DG$68:$DP$679,MAX(Base_Mensuelle!$DP$68:$DP$679),1))-7,11,1),Base_Mensuelle!$DG$68:$DP$679,2,0)&lt;&gt;"",VLOOKUP(DATE(YEAR(INDEX(Base_Mensuelle!$DG$68:$DP$679,MAX(Base_Mensuelle!$DP$68:$DP$679),1))-7,11,1),Base_Mensuelle!$DG$68:$DP$679,2,0),"")</f>
        <v>348391</v>
      </c>
      <c r="F56" s="1190">
        <f>IF(VLOOKUP(DATE(YEAR(INDEX(Base_Mensuelle!$DG$68:$DP$679,MAX(Base_Mensuelle!$DP$68:$DP$679),1))-6,11,1),Base_Mensuelle!$DG$68:$DP$679,2,0)&lt;&gt;"",VLOOKUP(DATE(YEAR(INDEX(Base_Mensuelle!$DG$68:$DP$679,MAX(Base_Mensuelle!$DP$68:$DP$679),1))-6,11,1),Base_Mensuelle!$DG$68:$DP$679,2,0),"")</f>
        <v>398312.11424619245</v>
      </c>
      <c r="G56" s="1190">
        <f>IF(VLOOKUP(DATE(YEAR(INDEX(Base_Mensuelle!$DG$68:$DP$679,MAX(Base_Mensuelle!$DP$68:$DP$679),1))-5,11,1),Base_Mensuelle!$DG$68:$DP$679,2,0)&lt;&gt;"",VLOOKUP(DATE(YEAR(INDEX(Base_Mensuelle!$DG$68:$DP$679,MAX(Base_Mensuelle!$DP$68:$DP$679),1))-5,11,1),Base_Mensuelle!$DG$68:$DP$679,2,0),"")</f>
        <v>399455</v>
      </c>
      <c r="H56" s="1190">
        <f>IF(VLOOKUP(DATE(YEAR(INDEX(Base_Mensuelle!$DG$68:$DP$679,MAX(Base_Mensuelle!$DP$68:$DP$679),1))-4,11,1),Base_Mensuelle!$DG$68:$DP$679,2,0)&lt;&gt;"",VLOOKUP(DATE(YEAR(INDEX(Base_Mensuelle!$DG$68:$DP$679,MAX(Base_Mensuelle!$DP$68:$DP$679),1))-4,11,1),Base_Mensuelle!$DG$68:$DP$679,2,0),"")</f>
        <v>422500</v>
      </c>
      <c r="I56" s="1190">
        <f>IF(VLOOKUP(DATE(YEAR(INDEX(Base_Mensuelle!$DG$68:$DP$679,MAX(Base_Mensuelle!$DP$68:$DP$679),1))-3,11,1),Base_Mensuelle!$DG$68:$DP$679,2,0)&lt;&gt;"",VLOOKUP(DATE(YEAR(INDEX(Base_Mensuelle!$DG$68:$DP$679,MAX(Base_Mensuelle!$DP$68:$DP$679),1))-3,11,1),Base_Mensuelle!$DG$68:$DP$679,2,0),"")</f>
        <v>455694</v>
      </c>
      <c r="J56" s="1190">
        <f>IF(VLOOKUP(DATE(YEAR(INDEX(Base_Mensuelle!$DG$68:$DP$679,MAX(Base_Mensuelle!$DP$68:$DP$679),1))-2,11,1),Base_Mensuelle!$DG$68:$DP$679,2,0)&lt;&gt;"",VLOOKUP(DATE(YEAR(INDEX(Base_Mensuelle!$DG$68:$DP$679,MAX(Base_Mensuelle!$DP$68:$DP$679),1))-2,11,1),Base_Mensuelle!$DG$68:$DP$679,2,0),"")</f>
        <v>497083.3371522479</v>
      </c>
      <c r="K56" s="1190">
        <f>IF(VLOOKUP(DATE(YEAR(INDEX(Base_Mensuelle!$DG$68:$DP$679,MAX(Base_Mensuelle!$DP$68:$DP$679),1))-1,11,1),Base_Mensuelle!$DG$68:$DP$679,2,0)&lt;&gt;"",VLOOKUP(DATE(YEAR(INDEX(Base_Mensuelle!$DG$68:$DP$679,MAX(Base_Mensuelle!$DP$68:$DP$679),1))-1,11,1),Base_Mensuelle!$DG$68:$DP$679,2,0),"")</f>
        <v>512832</v>
      </c>
      <c r="L56" s="1190">
        <f>IF(VLOOKUP(DATE(YEAR(INDEX(Base_Mensuelle!$DG$68:$DP$679,MAX(Base_Mensuelle!$DP$68:$DP$679),1)),11,1),Base_Mensuelle!$DG$68:$DP$679,2,0)&lt;&gt;"",VLOOKUP(DATE(YEAR(INDEX(Base_Mensuelle!$DG$68:$DP$679,MAX(Base_Mensuelle!$DP$68:$DP$679),1)),11,1),Base_Mensuelle!$DG$68:$DP$679,2,0),"")</f>
        <v>524801</v>
      </c>
      <c r="M56" s="1186"/>
      <c r="N56" s="1186"/>
      <c r="O56" s="1186"/>
    </row>
    <row r="57" spans="1:15" ht="11.5" customHeight="1">
      <c r="A57" s="1408" t="s">
        <v>746</v>
      </c>
      <c r="B57" s="1191" t="str">
        <f>IF(VLOOKUP(DATE(YEAR(INDEX(Base_Mensuelle!$DG$68:$DP$679,MAX(Base_Mensuelle!$DP$68:$DP$679),1))-10,12,1),Base_Mensuelle!$DG$68:$DP$679,2,0)&lt;&gt;"",VLOOKUP(DATE(YEAR(INDEX(Base_Mensuelle!$DG$68:$DP$679,MAX(Base_Mensuelle!$DP$68:$DP$679),1))-10,12,1),Base_Mensuelle!$DG$68:$DP$679,2,0),"")</f>
        <v/>
      </c>
      <c r="C57" s="1191">
        <f>IF(VLOOKUP(DATE(YEAR(INDEX(Base_Mensuelle!$DG$68:$DP$679,MAX(Base_Mensuelle!$DP$68:$DP$679),1))-9,12,1),Base_Mensuelle!$DG$68:$DP$679,2,0)&lt;&gt;"",VLOOKUP(DATE(YEAR(INDEX(Base_Mensuelle!$DG$68:$DP$679,MAX(Base_Mensuelle!$DP$68:$DP$679),1))-9,12,1),Base_Mensuelle!$DG$68:$DP$679,2,0),"")</f>
        <v>296370</v>
      </c>
      <c r="D57" s="1191">
        <f>IF(VLOOKUP(DATE(YEAR(INDEX(Base_Mensuelle!$DG$68:$DP$679,MAX(Base_Mensuelle!$DP$68:$DP$679),1))-8,12,1),Base_Mensuelle!$DG$68:$DP$679,2,0)&lt;&gt;"",VLOOKUP(DATE(YEAR(INDEX(Base_Mensuelle!$DG$68:$DP$679,MAX(Base_Mensuelle!$DP$68:$DP$679),1))-8,12,1),Base_Mensuelle!$DG$68:$DP$679,2,0),"")</f>
        <v>328780</v>
      </c>
      <c r="E57" s="1191">
        <f>IF(VLOOKUP(DATE(YEAR(INDEX(Base_Mensuelle!$DG$68:$DP$679,MAX(Base_Mensuelle!$DP$68:$DP$679),1))-7,12,1),Base_Mensuelle!$DG$68:$DP$679,2,0)&lt;&gt;"",VLOOKUP(DATE(YEAR(INDEX(Base_Mensuelle!$DG$68:$DP$679,MAX(Base_Mensuelle!$DP$68:$DP$679),1))-7,12,1),Base_Mensuelle!$DG$68:$DP$679,2,0),"")</f>
        <v>353830</v>
      </c>
      <c r="F57" s="1191">
        <f>IF(VLOOKUP(DATE(YEAR(INDEX(Base_Mensuelle!$DG$68:$DP$679,MAX(Base_Mensuelle!$DP$68:$DP$679),1))-6,12,1),Base_Mensuelle!$DG$68:$DP$679,2,0)&lt;&gt;"",VLOOKUP(DATE(YEAR(INDEX(Base_Mensuelle!$DG$68:$DP$679,MAX(Base_Mensuelle!$DP$68:$DP$679),1))-6,12,1),Base_Mensuelle!$DG$68:$DP$679,2,0),"")</f>
        <v>404312.81278529955</v>
      </c>
      <c r="G57" s="1191">
        <f>IF(VLOOKUP(DATE(YEAR(INDEX(Base_Mensuelle!$DG$68:$DP$679,MAX(Base_Mensuelle!$DP$68:$DP$679),1))-5,12,1),Base_Mensuelle!$DG$68:$DP$679,2,0)&lt;&gt;"",VLOOKUP(DATE(YEAR(INDEX(Base_Mensuelle!$DG$68:$DP$679,MAX(Base_Mensuelle!$DP$68:$DP$679),1))-5,12,1),Base_Mensuelle!$DG$68:$DP$679,2,0),"")</f>
        <v>400036.5</v>
      </c>
      <c r="H57" s="1191">
        <f>IF(VLOOKUP(DATE(YEAR(INDEX(Base_Mensuelle!$DG$68:$DP$679,MAX(Base_Mensuelle!$DP$68:$DP$679),1))-4,12,1),Base_Mensuelle!$DG$68:$DP$679,2,0)&lt;&gt;"",VLOOKUP(DATE(YEAR(INDEX(Base_Mensuelle!$DG$68:$DP$679,MAX(Base_Mensuelle!$DP$68:$DP$679),1))-4,12,1),Base_Mensuelle!$DG$68:$DP$679,2,0),"")</f>
        <v>424876</v>
      </c>
      <c r="I57" s="1191">
        <f>IF(VLOOKUP(DATE(YEAR(INDEX(Base_Mensuelle!$DG$68:$DP$679,MAX(Base_Mensuelle!$DP$68:$DP$679),1))-3,12,1),Base_Mensuelle!$DG$68:$DP$679,2,0)&lt;&gt;"",VLOOKUP(DATE(YEAR(INDEX(Base_Mensuelle!$DG$68:$DP$679,MAX(Base_Mensuelle!$DP$68:$DP$679),1))-3,12,1),Base_Mensuelle!$DG$68:$DP$679,2,0),"")</f>
        <v>460473</v>
      </c>
      <c r="J57" s="1191">
        <f>IF(VLOOKUP(DATE(YEAR(INDEX(Base_Mensuelle!$DG$68:$DP$679,MAX(Base_Mensuelle!$DP$68:$DP$679),1))-2,12,1),Base_Mensuelle!$DG$68:$DP$679,2,0)&lt;&gt;"",VLOOKUP(DATE(YEAR(INDEX(Base_Mensuelle!$DG$68:$DP$679,MAX(Base_Mensuelle!$DP$68:$DP$679),1))-2,12,1),Base_Mensuelle!$DG$68:$DP$679,2,0),"")</f>
        <v>501176.28851900029</v>
      </c>
      <c r="K57" s="1191">
        <f>IF(VLOOKUP(DATE(YEAR(INDEX(Base_Mensuelle!$DG$68:$DP$679,MAX(Base_Mensuelle!$DP$68:$DP$679),1))-1,12,1),Base_Mensuelle!$DG$68:$DP$679,2,0)&lt;&gt;"",VLOOKUP(DATE(YEAR(INDEX(Base_Mensuelle!$DG$68:$DP$679,MAX(Base_Mensuelle!$DP$68:$DP$679),1))-1,12,1),Base_Mensuelle!$DG$68:$DP$679,2,0),"")</f>
        <v>511170</v>
      </c>
      <c r="L57" s="1191">
        <f>IF(VLOOKUP(DATE(YEAR(INDEX(Base_Mensuelle!$DG$68:$DP$679,MAX(Base_Mensuelle!$DP$68:$DP$679),1)),12,1),Base_Mensuelle!$DG$68:$DP$679,2,0)&lt;&gt;"",VLOOKUP(DATE(YEAR(INDEX(Base_Mensuelle!$DG$68:$DP$679,MAX(Base_Mensuelle!$DP$68:$DP$679),1)),12,1),Base_Mensuelle!$DG$68:$DP$679,2,0),"")</f>
        <v>525880</v>
      </c>
      <c r="M57" s="1186"/>
      <c r="N57" s="1186"/>
      <c r="O57" s="1186"/>
    </row>
    <row r="58" spans="1:15" ht="11.5" customHeight="1">
      <c r="A58" s="1184" t="s">
        <v>825</v>
      </c>
      <c r="B58" s="1192"/>
      <c r="C58" s="1192"/>
      <c r="D58" s="1192"/>
      <c r="E58" s="1192"/>
      <c r="F58" s="1192"/>
      <c r="G58" s="1193"/>
      <c r="H58" s="1193"/>
      <c r="I58" s="1193"/>
      <c r="J58" s="1193"/>
      <c r="K58" s="1193"/>
      <c r="L58" s="1193"/>
      <c r="M58" s="1193"/>
      <c r="N58" s="1193"/>
    </row>
    <row r="59" spans="1:15" ht="11.5" customHeight="1">
      <c r="A59" s="1184"/>
      <c r="B59" s="1192"/>
      <c r="C59" s="1192"/>
      <c r="D59" s="1192"/>
      <c r="E59" s="1192"/>
      <c r="F59" s="1192"/>
      <c r="G59" s="1193"/>
      <c r="H59" s="1193"/>
      <c r="I59" s="1193"/>
      <c r="J59" s="1193"/>
      <c r="K59" s="1193"/>
      <c r="L59" s="1193"/>
      <c r="M59" s="1193"/>
      <c r="N59" s="1193"/>
    </row>
    <row r="60" spans="1:15" ht="11.5" customHeight="1">
      <c r="M60" s="1193"/>
      <c r="N60" s="1193"/>
    </row>
    <row r="61" spans="1:15" ht="11.5" customHeight="1">
      <c r="A61" s="2152" t="s">
        <v>1117</v>
      </c>
      <c r="B61" s="2152"/>
      <c r="C61" s="2152"/>
      <c r="D61" s="2152"/>
      <c r="E61" s="2152"/>
      <c r="F61" s="2152"/>
      <c r="M61" s="1193"/>
      <c r="N61" s="1193"/>
    </row>
    <row r="62" spans="1:15" ht="9" customHeight="1">
      <c r="A62" s="1196"/>
      <c r="L62" s="1689"/>
    </row>
    <row r="63" spans="1:15" ht="24.6" customHeight="1">
      <c r="A63" s="1417"/>
      <c r="B63" s="1176">
        <f t="shared" ref="B63:J63" si="4">C$63-1</f>
        <v>2013</v>
      </c>
      <c r="C63" s="1176">
        <f t="shared" si="4"/>
        <v>2014</v>
      </c>
      <c r="D63" s="1176">
        <f t="shared" si="4"/>
        <v>2015</v>
      </c>
      <c r="E63" s="1176">
        <f t="shared" si="4"/>
        <v>2016</v>
      </c>
      <c r="F63" s="1176">
        <f t="shared" si="4"/>
        <v>2017</v>
      </c>
      <c r="G63" s="1176">
        <f t="shared" si="4"/>
        <v>2018</v>
      </c>
      <c r="H63" s="1176">
        <f t="shared" si="4"/>
        <v>2019</v>
      </c>
      <c r="I63" s="1176">
        <f t="shared" si="4"/>
        <v>2020</v>
      </c>
      <c r="J63" s="1176">
        <f t="shared" si="4"/>
        <v>2021</v>
      </c>
      <c r="K63" s="1176">
        <f>L$63-1</f>
        <v>2022</v>
      </c>
      <c r="L63" s="1176">
        <f>YEAR(INDEX(Base_Mensuelle!$EE$68:$FK$679,MAX(Base_Mensuelle!$FK$68:$FK$679),1))</f>
        <v>2023</v>
      </c>
    </row>
    <row r="64" spans="1:15" ht="17.5" customHeight="1">
      <c r="A64" s="1639" t="s">
        <v>205</v>
      </c>
      <c r="B64" s="1639"/>
      <c r="C64" s="1639">
        <f>IF(VLOOKUP(DATE(YEAR(INDEX(Base_Mensuelle!$EE$68:$FK$679,MAX(Base_Mensuelle!$FK$68:$FK$679),1)),12,1),Base_Mensuelle!$EE$68:$FK$679,1,0)&lt;&gt;"",SUMIF(Base_Mensuelle!$CX$68:$CX$679,C$63,Base_Mensuelle!$EF$68:$EF$679),"")</f>
        <v>222743.88181536971</v>
      </c>
      <c r="D64" s="1639">
        <f>IF(VLOOKUP(DATE(YEAR(INDEX(Base_Mensuelle!$EE$68:$FK$679,MAX(Base_Mensuelle!$FK$68:$FK$679),1)),12,1),Base_Mensuelle!$EE$68:$FK$679,1,0)&lt;&gt;"",SUMIF(Base_Mensuelle!$CX$68:$CX$679,D$63,Base_Mensuelle!$EF$68:$EF$679),"")</f>
        <v>219296.23428077906</v>
      </c>
      <c r="E64" s="1639">
        <f>IF(VLOOKUP(DATE(YEAR(INDEX(Base_Mensuelle!$EE$68:$FK$679,MAX(Base_Mensuelle!$FK$68:$FK$679),1)),12,1),Base_Mensuelle!$EE$68:$FK$679,1,0)&lt;&gt;"",SUMIF(Base_Mensuelle!$CX$68:$CX$679,E$63,Base_Mensuelle!$EF$68:$EF$679),"")</f>
        <v>230040.12554299497</v>
      </c>
      <c r="F64" s="1639">
        <f>IF(VLOOKUP(DATE(YEAR(INDEX(Base_Mensuelle!$EE$68:$FK$679,MAX(Base_Mensuelle!$FK$68:$FK$679),1)),12,1),Base_Mensuelle!$EE$68:$FK$679,1,0)&lt;&gt;"",SUMIF(Base_Mensuelle!$CX$68:$CX$679,F$63,Base_Mensuelle!$EF$68:$EF$679),"")</f>
        <v>252236</v>
      </c>
      <c r="G64" s="1639">
        <f>IF(VLOOKUP(DATE(YEAR(INDEX(Base_Mensuelle!$EE$68:$FK$679,MAX(Base_Mensuelle!$FK$68:$FK$679),1)),12,1),Base_Mensuelle!$EE$68:$FK$679,1,0)&lt;&gt;"",SUMIF(Base_Mensuelle!$CX$68:$CX$679,G$63,Base_Mensuelle!$EF$68:$EF$679),"")</f>
        <v>241603</v>
      </c>
      <c r="H64" s="1639">
        <f>IF(VLOOKUP(DATE(YEAR(INDEX(Base_Mensuelle!$EE$68:$FK$679,MAX(Base_Mensuelle!$FK$68:$FK$679),1)),12,1),Base_Mensuelle!$EE$68:$FK$679,1,0)&lt;&gt;"",SUMIF(Base_Mensuelle!$CX$68:$CX$679,H$63,Base_Mensuelle!$EF$68:$EF$679),"")</f>
        <v>492865</v>
      </c>
      <c r="I64" s="1639">
        <f>IF(VLOOKUP(DATE(YEAR(INDEX(Base_Mensuelle!$EE$68:$FK$679,MAX(Base_Mensuelle!$FK$68:$FK$679),1)),12,1),Base_Mensuelle!$EE$68:$FK$679,1,0)&lt;&gt;"",SUMIF(Base_Mensuelle!$CX$68:$CX$679,I$63,Base_Mensuelle!$EF$68:$EF$679),"")</f>
        <v>107105</v>
      </c>
      <c r="J64" s="1639">
        <f>IF(VLOOKUP(DATE(YEAR(INDEX(Base_Mensuelle!$EE$68:$FK$679,MAX(Base_Mensuelle!$FK$68:$FK$679),1)),12,1),Base_Mensuelle!$EE$68:$FK$679,1,0)&lt;&gt;"",SUMIF(Base_Mensuelle!$CX$68:$CX$679,J$63,Base_Mensuelle!$EF$68:$EF$679),"")</f>
        <v>182726</v>
      </c>
      <c r="K64" s="1639">
        <f>IF(VLOOKUP(DATE(YEAR(INDEX(Base_Mensuelle!$EE$68:$FK$679,MAX(Base_Mensuelle!$FK$68:$FK$679),1)),12,1),Base_Mensuelle!$EE$68:$FK$679,1,0)&lt;&gt;"",SUMIF(Base_Mensuelle!$CX$68:$CX$679,K$63,Base_Mensuelle!$EF$68:$EF$679),"")</f>
        <v>225875</v>
      </c>
      <c r="L64" s="1639">
        <f>IF(VLOOKUP(DATE(YEAR(INDEX(Base_Mensuelle!$EE$68:$FK$679,MAX(Base_Mensuelle!$FK$68:$FK$679),1)),12,1),Base_Mensuelle!$EE$68:$FK$679,1,0)&lt;&gt;"",SUMIF(Base_Mensuelle!$CX$68:$CX$679,L$63,Base_Mensuelle!$EF$68:$EF$679),"")</f>
        <v>253429</v>
      </c>
    </row>
    <row r="65" spans="1:14" ht="11.5" customHeight="1">
      <c r="A65" s="1190" t="s">
        <v>206</v>
      </c>
      <c r="B65" s="1190"/>
      <c r="C65" s="1190">
        <f>IF(VLOOKUP(DATE(YEAR(INDEX(Base_Mensuelle!$EE$68:$FK$679,MAX(Base_Mensuelle!$FK$68:$FK$679),1)),12,1),Base_Mensuelle!$EE$68:$FK$679,2,0)&lt;&gt;"",SUMIF(Base_Mensuelle!$CX$68:$CX$679,C$63,Base_Mensuelle!$EG$68:$EG$679),"")</f>
        <v>214941.84037430913</v>
      </c>
      <c r="D65" s="1190">
        <f>IF(VLOOKUP(DATE(YEAR(INDEX(Base_Mensuelle!$EE$68:$FK$679,MAX(Base_Mensuelle!$FK$68:$FK$679),1)),12,1),Base_Mensuelle!$EE$68:$FK$679,2,0)&lt;&gt;"",SUMIF(Base_Mensuelle!$CX$68:$CX$679,D$63,Base_Mensuelle!$EG$68:$EG$679),"")</f>
        <v>244127.42302692463</v>
      </c>
      <c r="E65" s="1190">
        <f>IF(VLOOKUP(DATE(YEAR(INDEX(Base_Mensuelle!$EE$68:$FK$679,MAX(Base_Mensuelle!$FK$68:$FK$679),1)),12,1),Base_Mensuelle!$EE$68:$FK$679,2,0)&lt;&gt;"",SUMIF(Base_Mensuelle!$CX$68:$CX$679,E$63,Base_Mensuelle!$EG$68:$EG$679),"")</f>
        <v>237299.73620545771</v>
      </c>
      <c r="F65" s="1190">
        <f>IF(VLOOKUP(DATE(YEAR(INDEX(Base_Mensuelle!$EE$68:$FK$679,MAX(Base_Mensuelle!$FK$68:$FK$679),1)),12,1),Base_Mensuelle!$EE$68:$FK$679,2,0)&lt;&gt;"",SUMIF(Base_Mensuelle!$CX$68:$CX$679,F$63,Base_Mensuelle!$EG$68:$EG$679),"")</f>
        <v>257948</v>
      </c>
      <c r="G65" s="1190">
        <f>IF(VLOOKUP(DATE(YEAR(INDEX(Base_Mensuelle!$EE$68:$FK$679,MAX(Base_Mensuelle!$FK$68:$FK$679),1)),12,1),Base_Mensuelle!$EE$68:$FK$679,2,0)&lt;&gt;"",SUMIF(Base_Mensuelle!$CX$68:$CX$679,G$63,Base_Mensuelle!$EG$68:$EG$679),"")</f>
        <v>252310</v>
      </c>
      <c r="H65" s="1190">
        <f>IF(VLOOKUP(DATE(YEAR(INDEX(Base_Mensuelle!$EE$68:$FK$679,MAX(Base_Mensuelle!$FK$68:$FK$679),1)),12,1),Base_Mensuelle!$EE$68:$FK$679,2,0)&lt;&gt;"",SUMIF(Base_Mensuelle!$CX$68:$CX$679,H$63,Base_Mensuelle!$EG$68:$EG$679),"")</f>
        <v>529666</v>
      </c>
      <c r="I65" s="1190">
        <f>IF(VLOOKUP(DATE(YEAR(INDEX(Base_Mensuelle!$EE$68:$FK$679,MAX(Base_Mensuelle!$FK$68:$FK$679),1)),12,1),Base_Mensuelle!$EE$68:$FK$679,2,0)&lt;&gt;"",SUMIF(Base_Mensuelle!$CX$68:$CX$679,I$63,Base_Mensuelle!$EG$68:$EG$679),"")</f>
        <v>116867</v>
      </c>
      <c r="J65" s="1190">
        <f>IF(VLOOKUP(DATE(YEAR(INDEX(Base_Mensuelle!$EE$68:$FK$679,MAX(Base_Mensuelle!$FK$68:$FK$679),1)),12,1),Base_Mensuelle!$EE$68:$FK$679,2,0)&lt;&gt;"",SUMIF(Base_Mensuelle!$CX$68:$CX$679,J$63,Base_Mensuelle!$EG$68:$EG$679),"")</f>
        <v>197146</v>
      </c>
      <c r="K65" s="1190">
        <f>IF(VLOOKUP(DATE(YEAR(INDEX(Base_Mensuelle!$EE$68:$FK$679,MAX(Base_Mensuelle!$FK$68:$FK$679),1)),12,1),Base_Mensuelle!$EE$68:$FK$679,2,0)&lt;&gt;"",SUMIF(Base_Mensuelle!$CX$68:$CX$679,K$63,Base_Mensuelle!$EG$68:$EG$679),"")</f>
        <v>237523</v>
      </c>
      <c r="L65" s="1190">
        <f>IF(VLOOKUP(DATE(YEAR(INDEX(Base_Mensuelle!$EE$68:$FK$679,MAX(Base_Mensuelle!$FK$68:$FK$679),1)),12,1),Base_Mensuelle!$EE$68:$FK$679,2,0)&lt;&gt;"",SUMIF(Base_Mensuelle!$CX$68:$CX$679,L$63,Base_Mensuelle!$EG$68:$EG$679),"")</f>
        <v>272853</v>
      </c>
      <c r="M65" s="1173"/>
      <c r="N65" s="1173"/>
    </row>
    <row r="66" spans="1:14" ht="11.5" customHeight="1">
      <c r="A66" s="1189" t="s">
        <v>207</v>
      </c>
      <c r="B66" s="1189"/>
      <c r="C66" s="1189">
        <f>IF(VLOOKUP(DATE(YEAR(INDEX(Base_Mensuelle!$EE$68:$FK$679,MAX(Base_Mensuelle!$FK$68:$FK$679),1)),12,1),Base_Mensuelle!$EE$68:$FK$679,3,0)&lt;&gt;"",SUMIF(Base_Mensuelle!$CX$68:$CX$679,C$63,Base_Mensuelle!$EH$68:$EH$679),"")</f>
        <v>429086.08807285014</v>
      </c>
      <c r="D66" s="1189">
        <f>IF(VLOOKUP(DATE(YEAR(INDEX(Base_Mensuelle!$EE$68:$FK$679,MAX(Base_Mensuelle!$FK$68:$FK$679),1)),12,1),Base_Mensuelle!$EE$68:$FK$679,3,0)&lt;&gt;"",SUMIF(Base_Mensuelle!$CX$68:$CX$679,D$63,Base_Mensuelle!$EH$68:$EH$679),"")</f>
        <v>461541.14580678678</v>
      </c>
      <c r="E66" s="1189">
        <f>IF(VLOOKUP(DATE(YEAR(INDEX(Base_Mensuelle!$EE$68:$FK$679,MAX(Base_Mensuelle!$FK$68:$FK$679),1)),12,1),Base_Mensuelle!$EE$68:$FK$679,3,0)&lt;&gt;"",SUMIF(Base_Mensuelle!$CX$68:$CX$679,E$63,Base_Mensuelle!$EH$68:$EH$679),"")</f>
        <v>467229.66605392756</v>
      </c>
      <c r="F66" s="1189">
        <f>IF(VLOOKUP(DATE(YEAR(INDEX(Base_Mensuelle!$EE$68:$FK$679,MAX(Base_Mensuelle!$FK$68:$FK$679),1)),12,1),Base_Mensuelle!$EE$68:$FK$679,3,0)&lt;&gt;"",SUMIF(Base_Mensuelle!$CX$68:$CX$679,F$63,Base_Mensuelle!$EH$68:$EH$679),"")</f>
        <v>510184</v>
      </c>
      <c r="G66" s="1189">
        <f>IF(VLOOKUP(DATE(YEAR(INDEX(Base_Mensuelle!$EE$68:$FK$679,MAX(Base_Mensuelle!$FK$68:$FK$679),1)),12,1),Base_Mensuelle!$EE$68:$FK$679,3,0)&lt;&gt;"",SUMIF(Base_Mensuelle!$CX$68:$CX$679,G$63,Base_Mensuelle!$EH$68:$EH$679),"")</f>
        <v>493913</v>
      </c>
      <c r="H66" s="1189">
        <f>IF(VLOOKUP(DATE(YEAR(INDEX(Base_Mensuelle!$EE$68:$FK$679,MAX(Base_Mensuelle!$FK$68:$FK$679),1)),12,1),Base_Mensuelle!$EE$68:$FK$679,3,0)&lt;&gt;"",SUMIF(Base_Mensuelle!$CX$68:$CX$679,H$63,Base_Mensuelle!$EH$68:$EH$679),"")</f>
        <v>578765</v>
      </c>
      <c r="I66" s="1189">
        <f>IF(VLOOKUP(DATE(YEAR(INDEX(Base_Mensuelle!$EE$68:$FK$679,MAX(Base_Mensuelle!$FK$68:$FK$679),1)),12,1),Base_Mensuelle!$EE$68:$FK$679,3,0)&lt;&gt;"",SUMIF(Base_Mensuelle!$CX$68:$CX$679,I$63,Base_Mensuelle!$EH$68:$EH$679),"")</f>
        <v>223972</v>
      </c>
      <c r="J66" s="1189">
        <f>IF(VLOOKUP(DATE(YEAR(INDEX(Base_Mensuelle!$EE$68:$FK$679,MAX(Base_Mensuelle!$FK$68:$FK$679),1)),12,1),Base_Mensuelle!$EE$68:$FK$679,3,0)&lt;&gt;"",SUMIF(Base_Mensuelle!$CX$68:$CX$679,J$63,Base_Mensuelle!$EH$68:$EH$679),"")</f>
        <v>462511</v>
      </c>
      <c r="K66" s="1189">
        <f>IF(VLOOKUP(DATE(YEAR(INDEX(Base_Mensuelle!$EE$68:$FK$679,MAX(Base_Mensuelle!$FK$68:$FK$679),1)),12,1),Base_Mensuelle!$EE$68:$FK$679,3,0)&lt;&gt;"",SUMIF(Base_Mensuelle!$CX$68:$CX$679,K$63,Base_Mensuelle!$EH$68:$EH$679),"")</f>
        <v>593688</v>
      </c>
      <c r="L66" s="1189">
        <f>IF(VLOOKUP(DATE(YEAR(INDEX(Base_Mensuelle!$EE$68:$FK$679,MAX(Base_Mensuelle!$FK$68:$FK$679),1)),12,1),Base_Mensuelle!$EE$68:$FK$679,3,0)&lt;&gt;"",SUMIF(Base_Mensuelle!$CX$68:$CX$679,L$63,Base_Mensuelle!$EH$68:$EH$679),"")</f>
        <v>660601</v>
      </c>
      <c r="M66" s="1173"/>
    </row>
    <row r="67" spans="1:14" ht="11.5" customHeight="1">
      <c r="A67" s="1640" t="s">
        <v>208</v>
      </c>
      <c r="B67" s="1640"/>
      <c r="C67" s="1640">
        <f>IF(VLOOKUP(DATE(YEAR(INDEX(Base_Mensuelle!$EE$68:$FK$679,MAX(Base_Mensuelle!$FK$68:$FK$679),1)),12,1),Base_Mensuelle!$EE$68:$FK$679,4,0)&lt;&gt;"",SUMIF(Base_Mensuelle!$CX$68:$CX$679,C$63,Base_Mensuelle!$EI$68:$EI$679),"")</f>
        <v>103353.76065518135</v>
      </c>
      <c r="D67" s="1640">
        <f>IF(VLOOKUP(DATE(YEAR(INDEX(Base_Mensuelle!$EE$68:$FK$679,MAX(Base_Mensuelle!$FK$68:$FK$679),1)),12,1),Base_Mensuelle!$EE$68:$FK$679,4,0)&lt;&gt;"",SUMIF(Base_Mensuelle!$CX$68:$CX$679,D$63,Base_Mensuelle!$EI$68:$EI$679),"")</f>
        <v>85485.657429590719</v>
      </c>
      <c r="E67" s="1640">
        <f>IF(VLOOKUP(DATE(YEAR(INDEX(Base_Mensuelle!$EE$68:$FK$679,MAX(Base_Mensuelle!$FK$68:$FK$679),1)),12,1),Base_Mensuelle!$EE$68:$FK$679,4,0)&lt;&gt;"",SUMIF(Base_Mensuelle!$CX$68:$CX$679,E$63,Base_Mensuelle!$EI$68:$EI$679),"")</f>
        <v>71517.054461980966</v>
      </c>
      <c r="F67" s="1640">
        <f>IF(VLOOKUP(DATE(YEAR(INDEX(Base_Mensuelle!$EE$68:$FK$679,MAX(Base_Mensuelle!$FK$68:$FK$679),1)),12,1),Base_Mensuelle!$EE$68:$FK$679,4,0)&lt;&gt;"",SUMIF(Base_Mensuelle!$CX$68:$CX$679,F$63,Base_Mensuelle!$EI$68:$EI$679),"")</f>
        <v>76456</v>
      </c>
      <c r="G67" s="1640">
        <f>IF(VLOOKUP(DATE(YEAR(INDEX(Base_Mensuelle!$EE$68:$FK$679,MAX(Base_Mensuelle!$FK$68:$FK$679),1)),12,1),Base_Mensuelle!$EE$68:$FK$679,4,0)&lt;&gt;"",SUMIF(Base_Mensuelle!$CX$68:$CX$679,G$63,Base_Mensuelle!$EI$68:$EI$679),"")</f>
        <v>100256</v>
      </c>
      <c r="H67" s="1640">
        <f>IF(VLOOKUP(DATE(YEAR(INDEX(Base_Mensuelle!$EE$68:$FK$679,MAX(Base_Mensuelle!$FK$68:$FK$679),1)),12,1),Base_Mensuelle!$EE$68:$FK$679,4,0)&lt;&gt;"",SUMIF(Base_Mensuelle!$CX$68:$CX$679,H$63,Base_Mensuelle!$EI$68:$EI$679),"")</f>
        <v>99863</v>
      </c>
      <c r="I67" s="1640">
        <f>IF(VLOOKUP(DATE(YEAR(INDEX(Base_Mensuelle!$EE$68:$FK$679,MAX(Base_Mensuelle!$FK$68:$FK$679),1)),12,1),Base_Mensuelle!$EE$68:$FK$679,4,0)&lt;&gt;"",SUMIF(Base_Mensuelle!$CX$68:$CX$679,I$63,Base_Mensuelle!$EI$68:$EI$679),"")</f>
        <v>39558</v>
      </c>
      <c r="J67" s="1640">
        <f>IF(VLOOKUP(DATE(YEAR(INDEX(Base_Mensuelle!$EE$68:$FK$679,MAX(Base_Mensuelle!$FK$68:$FK$679),1)),12,1),Base_Mensuelle!$EE$68:$FK$679,4,0)&lt;&gt;"",SUMIF(Base_Mensuelle!$CX$68:$CX$679,J$63,Base_Mensuelle!$EI$68:$EI$679),"")</f>
        <v>82639</v>
      </c>
      <c r="K67" s="1640">
        <f>IF(VLOOKUP(DATE(YEAR(INDEX(Base_Mensuelle!$EE$68:$FK$679,MAX(Base_Mensuelle!$FK$68:$FK$679),1)),12,1),Base_Mensuelle!$EE$68:$FK$679,4,0)&lt;&gt;"",SUMIF(Base_Mensuelle!$CX$68:$CX$679,K$63,Base_Mensuelle!$EI$68:$EI$679),"")</f>
        <v>130290</v>
      </c>
      <c r="L67" s="1640">
        <f>IF(VLOOKUP(DATE(YEAR(INDEX(Base_Mensuelle!$EE$68:$FK$679,MAX(Base_Mensuelle!$FK$68:$FK$679),1)),12,1),Base_Mensuelle!$EE$68:$FK$679,4,0)&lt;&gt;"",SUMIF(Base_Mensuelle!$CX$68:$CX$679,L$63,Base_Mensuelle!$EI$68:$EI$679),"")</f>
        <v>134319</v>
      </c>
      <c r="M67" s="1173"/>
      <c r="N67" s="1173"/>
    </row>
    <row r="68" spans="1:14" ht="11.5" customHeight="1">
      <c r="A68" s="1419"/>
      <c r="M68" s="1173"/>
      <c r="N68" s="1173"/>
    </row>
    <row r="69" spans="1:14" ht="11.5" customHeight="1">
      <c r="A69" s="1418" t="s">
        <v>826</v>
      </c>
      <c r="B69" s="1198"/>
      <c r="C69" s="1198">
        <f>IF(VLOOKUP(DATE(YEAR(INDEX(Base_Mensuelle!$EE$68:$FK$679,MAX(Base_Mensuelle!$FK$68:$FK$679),1)),12,1),Base_Mensuelle!$EE$68:$FK$679,5,0)&lt;&gt;"",SUMIF(Base_Mensuelle!$CX$68:$CX$679,C$63,Base_Mensuelle!$EJ$68:$EJ$679),"")</f>
        <v>4822.391081683767</v>
      </c>
      <c r="D69" s="1198">
        <f>IF(VLOOKUP(DATE(YEAR(INDEX(Base_Mensuelle!$EE$68:$FK$679,MAX(Base_Mensuelle!$FK$68:$FK$679),1)),12,1),Base_Mensuelle!$EE$68:$FK$679,5,0)&lt;&gt;"",SUMIF(Base_Mensuelle!$CX$68:$CX$679,D$63,Base_Mensuelle!$EJ$68:$EJ$679),"")</f>
        <v>11995.161619131892</v>
      </c>
      <c r="E69" s="1198">
        <f>IF(VLOOKUP(DATE(YEAR(INDEX(Base_Mensuelle!$EE$68:$FK$679,MAX(Base_Mensuelle!$FK$68:$FK$679),1)),12,1),Base_Mensuelle!$EE$68:$FK$679,5,0)&lt;&gt;"",SUMIF(Base_Mensuelle!$CX$68:$CX$679,E$63,Base_Mensuelle!$EJ$68:$EJ$679),"")</f>
        <v>7317.4304520481892</v>
      </c>
      <c r="F69" s="1198">
        <f>IF(VLOOKUP(DATE(YEAR(INDEX(Base_Mensuelle!$EE$68:$FK$679,MAX(Base_Mensuelle!$FK$68:$FK$679),1)),12,1),Base_Mensuelle!$EE$68:$FK$679,5,0)&lt;&gt;"",SUMIF(Base_Mensuelle!$CX$68:$CX$679,F$63,Base_Mensuelle!$EJ$68:$EJ$679),"")</f>
        <v>7502.4959999999983</v>
      </c>
      <c r="G69" s="1206">
        <f>IF(VLOOKUP(DATE(YEAR(INDEX(Base_Mensuelle!$EE$68:$FK$679,MAX(Base_Mensuelle!$FK$68:$FK$679),1)),12,1),Base_Mensuelle!$EE$68:$FK$679,5,0)&lt;&gt;"",SUMIF(Base_Mensuelle!$CX$68:$CX$679,G$63,Base_Mensuelle!$EJ$68:$EJ$679),"")</f>
        <v>7658.14</v>
      </c>
      <c r="H69" s="1206">
        <f>IF(VLOOKUP(DATE(YEAR(INDEX(Base_Mensuelle!$EE$68:$FK$679,MAX(Base_Mensuelle!$FK$68:$FK$679),1)),12,1),Base_Mensuelle!$EE$68:$FK$679,5,0)&lt;&gt;"",SUMIF(Base_Mensuelle!$CX$68:$CX$679,H$63,Base_Mensuelle!$EJ$68:$EJ$679),"")</f>
        <v>8055.0860000000011</v>
      </c>
      <c r="I69" s="1206">
        <f>IF(VLOOKUP(DATE(YEAR(INDEX(Base_Mensuelle!$EE$68:$FK$679,MAX(Base_Mensuelle!$FK$68:$FK$679),1)),12,1),Base_Mensuelle!$EE$68:$FK$679,5,0)&lt;&gt;"",SUMIF(Base_Mensuelle!$CX$68:$CX$679,I$63,Base_Mensuelle!$EJ$68:$EJ$679),"")</f>
        <v>7375.5440000000008</v>
      </c>
      <c r="J69" s="1206">
        <f>IF(VLOOKUP(DATE(YEAR(INDEX(Base_Mensuelle!$EE$68:$FK$679,MAX(Base_Mensuelle!$FK$68:$FK$679),1)),12,1),Base_Mensuelle!$EE$68:$FK$679,5,0)&lt;&gt;"",SUMIF(Base_Mensuelle!$CX$68:$CX$679,J$63,Base_Mensuelle!$EJ$68:$EJ$679),"")</f>
        <v>7245.8780000000006</v>
      </c>
      <c r="K69" s="1206">
        <f>IF(VLOOKUP(DATE(YEAR(INDEX(Base_Mensuelle!$EE$68:$FK$679,MAX(Base_Mensuelle!$FK$68:$FK$679),1)),12,1),Base_Mensuelle!$EE$68:$FK$679,5,0)&lt;&gt;"",SUMIF(Base_Mensuelle!$CX$68:$CX$679,K$63,Base_Mensuelle!$EJ$68:$EJ$679),"")</f>
        <v>5987.808</v>
      </c>
      <c r="L69" s="1206">
        <f>IF(VLOOKUP(DATE(YEAR(INDEX(Base_Mensuelle!$EE$68:$FK$679,MAX(Base_Mensuelle!$FK$68:$FK$679),1)),12,1),Base_Mensuelle!$EE$68:$FK$679,5,0)&lt;&gt;"",SUMIF(Base_Mensuelle!$CX$68:$CX$679,L$63,Base_Mensuelle!$EJ$68:$EJ$679),"")</f>
        <v>1979.7710000000002</v>
      </c>
      <c r="M69" s="1173"/>
      <c r="N69" s="1173"/>
    </row>
    <row r="70" spans="1:14" ht="11.5" customHeight="1">
      <c r="A70" s="1190" t="s">
        <v>827</v>
      </c>
      <c r="B70" s="1190"/>
      <c r="C70" s="1190">
        <f>IF(VLOOKUP(DATE(YEAR(INDEX(Base_Mensuelle!$EE$68:$FK$679,MAX(Base_Mensuelle!$FK$68:$FK$679),1)),12,1),Base_Mensuelle!$EE$68:$FK$679,6,0)&lt;&gt;"",SUMIF(Base_Mensuelle!$CX$68:$CX$679,C$63,Base_Mensuelle!$EK$68:$EK$679),"")</f>
        <v>18015.054815230735</v>
      </c>
      <c r="D70" s="1190">
        <f>IF(VLOOKUP(DATE(YEAR(INDEX(Base_Mensuelle!$EE$68:$FK$679,MAX(Base_Mensuelle!$FK$68:$FK$679),1)),12,1),Base_Mensuelle!$EE$68:$FK$679,6,0)&lt;&gt;"",SUMIF(Base_Mensuelle!$CX$68:$CX$679,D$63,Base_Mensuelle!$EK$68:$EK$679),"")</f>
        <v>3278.4198950342097</v>
      </c>
      <c r="E70" s="1190">
        <f>IF(VLOOKUP(DATE(YEAR(INDEX(Base_Mensuelle!$EE$68:$FK$679,MAX(Base_Mensuelle!$FK$68:$FK$679),1)),12,1),Base_Mensuelle!$EE$68:$FK$679,6,0)&lt;&gt;"",SUMIF(Base_Mensuelle!$CX$68:$CX$679,E$63,Base_Mensuelle!$EK$68:$EK$679),"")</f>
        <v>1939.3121953526422</v>
      </c>
      <c r="F70" s="1190">
        <f>IF(VLOOKUP(DATE(YEAR(INDEX(Base_Mensuelle!$EE$68:$FK$679,MAX(Base_Mensuelle!$FK$68:$FK$679),1)),12,1),Base_Mensuelle!$EE$68:$FK$679,6,0)&lt;&gt;"",SUMIF(Base_Mensuelle!$CX$68:$CX$679,F$63,Base_Mensuelle!$EK$68:$EK$679),"")</f>
        <v>2096.703</v>
      </c>
      <c r="G70" s="1190">
        <f>IF(VLOOKUP(DATE(YEAR(INDEX(Base_Mensuelle!$EE$68:$FK$679,MAX(Base_Mensuelle!$FK$68:$FK$679),1)),12,1),Base_Mensuelle!$EE$68:$FK$679,6,0)&lt;&gt;"",SUMIF(Base_Mensuelle!$CX$68:$CX$679,G$63,Base_Mensuelle!$EK$68:$EK$679),"")</f>
        <v>1778.5710000000001</v>
      </c>
      <c r="H70" s="1190">
        <f>IF(VLOOKUP(DATE(YEAR(INDEX(Base_Mensuelle!$EE$68:$FK$679,MAX(Base_Mensuelle!$FK$68:$FK$679),1)),12,1),Base_Mensuelle!$EE$68:$FK$679,6,0)&lt;&gt;"",SUMIF(Base_Mensuelle!$CX$68:$CX$679,H$63,Base_Mensuelle!$EK$68:$EK$679),"")</f>
        <v>1895.3879999999997</v>
      </c>
      <c r="I70" s="1190">
        <f>IF(VLOOKUP(DATE(YEAR(INDEX(Base_Mensuelle!$EE$68:$FK$679,MAX(Base_Mensuelle!$FK$68:$FK$679),1)),12,1),Base_Mensuelle!$EE$68:$FK$679,6,0)&lt;&gt;"",SUMIF(Base_Mensuelle!$CX$68:$CX$679,I$63,Base_Mensuelle!$EK$68:$EK$679),"")</f>
        <v>1827.1959999999995</v>
      </c>
      <c r="J70" s="1190">
        <f>IF(VLOOKUP(DATE(YEAR(INDEX(Base_Mensuelle!$EE$68:$FK$679,MAX(Base_Mensuelle!$FK$68:$FK$679),1)),12,1),Base_Mensuelle!$EE$68:$FK$679,6,0)&lt;&gt;"",SUMIF(Base_Mensuelle!$CX$68:$CX$679,J$63,Base_Mensuelle!$EK$68:$EK$679),"")</f>
        <v>1881.2170000000001</v>
      </c>
      <c r="K70" s="1190">
        <f>IF(VLOOKUP(DATE(YEAR(INDEX(Base_Mensuelle!$EE$68:$FK$679,MAX(Base_Mensuelle!$FK$68:$FK$679),1)),12,1),Base_Mensuelle!$EE$68:$FK$679,6,0)&lt;&gt;"",SUMIF(Base_Mensuelle!$CX$68:$CX$679,K$63,Base_Mensuelle!$EK$68:$EK$679),"")</f>
        <v>1934.21</v>
      </c>
      <c r="L70" s="1190">
        <f>IF(VLOOKUP(DATE(YEAR(INDEX(Base_Mensuelle!$EE$68:$FK$679,MAX(Base_Mensuelle!$FK$68:$FK$679),1)),12,1),Base_Mensuelle!$EE$68:$FK$679,6,0)&lt;&gt;"",SUMIF(Base_Mensuelle!$CX$68:$CX$679,L$63,Base_Mensuelle!$EK$68:$EK$679),"")</f>
        <v>1174.902</v>
      </c>
    </row>
    <row r="71" spans="1:14" ht="22.8">
      <c r="A71" s="1420" t="s">
        <v>828</v>
      </c>
      <c r="B71" s="1197"/>
      <c r="C71" s="1197">
        <f>IF(VLOOKUP(DATE(YEAR(INDEX(Base_Mensuelle!$EE$68:$FK$679,MAX(Base_Mensuelle!$FK$68:$FK$679),1)),12,1),Base_Mensuelle!$EE$68:$FK$679,7,0)&lt;&gt;"",SUMIF(Base_Mensuelle!$CX$68:$CX$679,C$63,Base_Mensuelle!$EL$68:$EL$679),"")</f>
        <v>161.13818331257164</v>
      </c>
      <c r="D71" s="1197">
        <f>IF(VLOOKUP(DATE(YEAR(INDEX(Base_Mensuelle!$EE$68:$FK$679,MAX(Base_Mensuelle!$FK$68:$FK$679),1)),12,1),Base_Mensuelle!$EE$68:$FK$679,7,0)&lt;&gt;"",SUMIF(Base_Mensuelle!$CX$68:$CX$679,D$63,Base_Mensuelle!$EL$68:$EL$679),"")</f>
        <v>647.86447725541791</v>
      </c>
      <c r="E71" s="1197">
        <f>IF(VLOOKUP(DATE(YEAR(INDEX(Base_Mensuelle!$EE$68:$FK$679,MAX(Base_Mensuelle!$FK$68:$FK$679),1)),12,1),Base_Mensuelle!$EE$68:$FK$679,7,0)&lt;&gt;"",SUMIF(Base_Mensuelle!$CX$68:$CX$679,E$63,Base_Mensuelle!$EL$68:$EL$679),"")</f>
        <v>85.397457175525886</v>
      </c>
      <c r="F71" s="1197">
        <f>IF(VLOOKUP(DATE(YEAR(INDEX(Base_Mensuelle!$EE$68:$FK$679,MAX(Base_Mensuelle!$FK$68:$FK$679),1)),12,1),Base_Mensuelle!$EE$68:$FK$679,7,0)&lt;&gt;"",SUMIF(Base_Mensuelle!$CX$68:$CX$679,F$63,Base_Mensuelle!$EL$68:$EL$679),"")</f>
        <v>102.80099999999999</v>
      </c>
      <c r="G71" s="1207">
        <f>IF(VLOOKUP(DATE(YEAR(INDEX(Base_Mensuelle!$EE$68:$FK$679,MAX(Base_Mensuelle!$FK$68:$FK$679),1)),12,1),Base_Mensuelle!$EE$68:$FK$679,7,0)&lt;&gt;"",SUMIF(Base_Mensuelle!$CX$68:$CX$679,G$63,Base_Mensuelle!$EL$68:$EL$679),"")</f>
        <v>70.824000000000012</v>
      </c>
      <c r="H71" s="1207">
        <f>IF(VLOOKUP(DATE(YEAR(INDEX(Base_Mensuelle!$EE$68:$FK$679,MAX(Base_Mensuelle!$FK$68:$FK$679),1)),12,1),Base_Mensuelle!$EE$68:$FK$679,7,0)&lt;&gt;"",SUMIF(Base_Mensuelle!$CX$68:$CX$679,H$63,Base_Mensuelle!$EL$68:$EL$679),"")</f>
        <v>81.733000000000004</v>
      </c>
      <c r="I71" s="1207">
        <f>IF(VLOOKUP(DATE(YEAR(INDEX(Base_Mensuelle!$EE$68:$FK$679,MAX(Base_Mensuelle!$FK$68:$FK$679),1)),12,1),Base_Mensuelle!$EE$68:$FK$679,7,0)&lt;&gt;"",SUMIF(Base_Mensuelle!$CX$68:$CX$679,I$63,Base_Mensuelle!$EL$68:$EL$679),"")</f>
        <v>52.245000000000005</v>
      </c>
      <c r="J71" s="1207">
        <f>IF(VLOOKUP(DATE(YEAR(INDEX(Base_Mensuelle!$EE$68:$FK$679,MAX(Base_Mensuelle!$FK$68:$FK$679),1)),12,1),Base_Mensuelle!$EE$68:$FK$679,7,0)&lt;&gt;"",SUMIF(Base_Mensuelle!$CX$68:$CX$679,J$63,Base_Mensuelle!$EL$68:$EL$679),"")</f>
        <v>161.24800000000002</v>
      </c>
      <c r="K71" s="1207">
        <f>IF(VLOOKUP(DATE(YEAR(INDEX(Base_Mensuelle!$EE$68:$FK$679,MAX(Base_Mensuelle!$FK$68:$FK$679),1)),12,1),Base_Mensuelle!$EE$68:$FK$679,7,0)&lt;&gt;"",SUMIF(Base_Mensuelle!$CX$68:$CX$679,K$63,Base_Mensuelle!$EL$68:$EL$679),"")</f>
        <v>174.97499999999999</v>
      </c>
      <c r="L71" s="1207">
        <f>IF(VLOOKUP(DATE(YEAR(INDEX(Base_Mensuelle!$EE$68:$FK$679,MAX(Base_Mensuelle!$FK$68:$FK$679),1)),12,1),Base_Mensuelle!$EE$68:$FK$679,7,0)&lt;&gt;"",SUMIF(Base_Mensuelle!$CX$68:$CX$679,L$63,Base_Mensuelle!$EL$68:$EL$679),"")</f>
        <v>54.150000000000006</v>
      </c>
    </row>
    <row r="72" spans="1:14" ht="22.8">
      <c r="A72" s="1641" t="s">
        <v>1008</v>
      </c>
      <c r="B72" s="1190"/>
      <c r="C72" s="1190">
        <f>IF(VLOOKUP(DATE(YEAR(INDEX(Base_Mensuelle!$EE$68:$FK$679,MAX(Base_Mensuelle!$FK$68:$FK$679),1)),12,1),Base_Mensuelle!$EE$68:$FK$679,8,0)&lt;&gt;"",SUMIF(Base_Mensuelle!$CX$68:$CX$679,C$63,Base_Mensuelle!$EM$68:$EM$679),"")</f>
        <v>40.870841203445337</v>
      </c>
      <c r="D72" s="1190">
        <f>IF(VLOOKUP(DATE(YEAR(INDEX(Base_Mensuelle!$EE$68:$FK$679,MAX(Base_Mensuelle!$FK$68:$FK$679),1)),12,1),Base_Mensuelle!$EE$68:$FK$679,8,0)&lt;&gt;"",SUMIF(Base_Mensuelle!$CX$68:$CX$679,D$63,Base_Mensuelle!$EM$68:$EM$679),"")</f>
        <v>173.25307088645982</v>
      </c>
      <c r="E72" s="1190">
        <f>IF(VLOOKUP(DATE(YEAR(INDEX(Base_Mensuelle!$EE$68:$FK$679,MAX(Base_Mensuelle!$FK$68:$FK$679),1)),12,1),Base_Mensuelle!$EE$68:$FK$679,8,0)&lt;&gt;"",SUMIF(Base_Mensuelle!$CX$68:$CX$679,E$63,Base_Mensuelle!$EM$68:$EM$679),"")</f>
        <v>70.654230550453875</v>
      </c>
      <c r="F72" s="1190">
        <f>IF(VLOOKUP(DATE(YEAR(INDEX(Base_Mensuelle!$EE$68:$FK$679,MAX(Base_Mensuelle!$FK$68:$FK$679),1)),12,1),Base_Mensuelle!$EE$68:$FK$679,8,0)&lt;&gt;"",SUMIF(Base_Mensuelle!$CX$68:$CX$679,F$63,Base_Mensuelle!$EM$68:$EM$679),"")</f>
        <v>73.74199999999999</v>
      </c>
      <c r="G72" s="1190">
        <f>IF(VLOOKUP(DATE(YEAR(INDEX(Base_Mensuelle!$EE$68:$FK$679,MAX(Base_Mensuelle!$FK$68:$FK$679),1)),12,1),Base_Mensuelle!$EE$68:$FK$679,8,0)&lt;&gt;"",SUMIF(Base_Mensuelle!$CX$68:$CX$679,G$63,Base_Mensuelle!$EM$68:$EM$679),"")</f>
        <v>128.13</v>
      </c>
      <c r="H72" s="1190">
        <f>IF(VLOOKUP(DATE(YEAR(INDEX(Base_Mensuelle!$EE$68:$FK$679,MAX(Base_Mensuelle!$FK$68:$FK$679),1)),12,1),Base_Mensuelle!$EE$68:$FK$679,8,0)&lt;&gt;"",SUMIF(Base_Mensuelle!$CX$68:$CX$679,H$63,Base_Mensuelle!$EM$68:$EM$679),"")</f>
        <v>88.890999999999991</v>
      </c>
      <c r="I72" s="1190">
        <f>IF(VLOOKUP(DATE(YEAR(INDEX(Base_Mensuelle!$EE$68:$FK$679,MAX(Base_Mensuelle!$FK$68:$FK$679),1)),12,1),Base_Mensuelle!$EE$68:$FK$679,8,0)&lt;&gt;"",SUMIF(Base_Mensuelle!$CX$68:$CX$679,I$63,Base_Mensuelle!$EM$68:$EM$679),"")</f>
        <v>84.706000000000003</v>
      </c>
      <c r="J72" s="1190">
        <f>IF(VLOOKUP(DATE(YEAR(INDEX(Base_Mensuelle!$EE$68:$FK$679,MAX(Base_Mensuelle!$FK$68:$FK$679),1)),12,1),Base_Mensuelle!$EE$68:$FK$679,8,0)&lt;&gt;"",SUMIF(Base_Mensuelle!$CX$68:$CX$679,J$63,Base_Mensuelle!$EM$68:$EM$679),"")</f>
        <v>139.797</v>
      </c>
      <c r="K72" s="1190">
        <f>IF(VLOOKUP(DATE(YEAR(INDEX(Base_Mensuelle!$EE$68:$FK$679,MAX(Base_Mensuelle!$FK$68:$FK$679),1)),12,1),Base_Mensuelle!$EE$68:$FK$679,8,0)&lt;&gt;"",SUMIF(Base_Mensuelle!$CX$68:$CX$679,K$63,Base_Mensuelle!$EM$68:$EM$679),"")</f>
        <v>130.26499999999999</v>
      </c>
      <c r="L72" s="1190">
        <f>IF(VLOOKUP(DATE(YEAR(INDEX(Base_Mensuelle!$EE$68:$FK$679,MAX(Base_Mensuelle!$FK$68:$FK$679),1)),12,1),Base_Mensuelle!$EE$68:$FK$679,8,0)&lt;&gt;"",SUMIF(Base_Mensuelle!$CX$68:$CX$679,L$63,Base_Mensuelle!$EM$68:$EM$679),"")</f>
        <v>120.32300000000001</v>
      </c>
    </row>
    <row r="73" spans="1:14" ht="22.8">
      <c r="A73" s="1421" t="s">
        <v>213</v>
      </c>
      <c r="B73" s="1199"/>
      <c r="C73" s="1199">
        <f>IF(VLOOKUP(DATE(YEAR(INDEX(Base_Mensuelle!$EE$68:$FK$679,MAX(Base_Mensuelle!$FK$68:$FK$679),1)),12,1),Base_Mensuelle!$EE$68:$FK$679,9,0)&lt;&gt;"",SUMIF(Base_Mensuelle!$CX$68:$CX$679,C$63,Base_Mensuelle!$EN$68:$EN$679),"")</f>
        <v>8181.4004608276973</v>
      </c>
      <c r="D73" s="1199">
        <f>IF(VLOOKUP(DATE(YEAR(INDEX(Base_Mensuelle!$EE$68:$FK$679,MAX(Base_Mensuelle!$FK$68:$FK$679),1)),12,1),Base_Mensuelle!$EE$68:$FK$679,9,0)&lt;&gt;"",SUMIF(Base_Mensuelle!$CX$68:$CX$679,D$63,Base_Mensuelle!$EN$68:$EN$679),"")</f>
        <v>14965.17741033799</v>
      </c>
      <c r="E73" s="1199">
        <f>IF(VLOOKUP(DATE(YEAR(INDEX(Base_Mensuelle!$EE$68:$FK$679,MAX(Base_Mensuelle!$FK$68:$FK$679),1)),12,1),Base_Mensuelle!$EE$68:$FK$679,9,0)&lt;&gt;"",SUMIF(Base_Mensuelle!$CX$68:$CX$679,E$63,Base_Mensuelle!$EN$68:$EN$679),"")</f>
        <v>9358.1783511121048</v>
      </c>
      <c r="F73" s="1199">
        <f>IF(VLOOKUP(DATE(YEAR(INDEX(Base_Mensuelle!$EE$68:$FK$679,MAX(Base_Mensuelle!$FK$68:$FK$679),1)),12,1),Base_Mensuelle!$EE$68:$FK$679,9,0)&lt;&gt;"",SUMIF(Base_Mensuelle!$CX$68:$CX$679,F$63,Base_Mensuelle!$EN$68:$EN$679),"")</f>
        <v>9775.4183239999984</v>
      </c>
      <c r="G73" s="1208">
        <f>IF(VLOOKUP(DATE(YEAR(INDEX(Base_Mensuelle!$EE$68:$FK$679,MAX(Base_Mensuelle!$FK$68:$FK$679),1)),12,1),Base_Mensuelle!$EE$68:$FK$679,9,0)&lt;&gt;"",SUMIF(Base_Mensuelle!$CX$68:$CX$679,G$63,Base_Mensuelle!$EN$68:$EN$679),"")</f>
        <v>9996.0120599999991</v>
      </c>
      <c r="H73" s="1208">
        <f>IF(VLOOKUP(DATE(YEAR(INDEX(Base_Mensuelle!$EE$68:$FK$679,MAX(Base_Mensuelle!$FK$68:$FK$679),1)),12,1),Base_Mensuelle!$EE$68:$FK$679,9,0)&lt;&gt;"",SUMIF(Base_Mensuelle!$CX$68:$CX$679,H$63,Base_Mensuelle!$EN$68:$EN$679),"")</f>
        <v>10121.098</v>
      </c>
      <c r="I73" s="1208">
        <f>IF(VLOOKUP(DATE(YEAR(INDEX(Base_Mensuelle!$EE$68:$FK$679,MAX(Base_Mensuelle!$FK$68:$FK$679),1)),12,1),Base_Mensuelle!$EE$68:$FK$679,9,0)&lt;&gt;"",SUMIF(Base_Mensuelle!$CX$68:$CX$679,I$63,Base_Mensuelle!$EN$68:$EN$679),"")</f>
        <v>9339.6910000000007</v>
      </c>
      <c r="J73" s="1208">
        <f>IF(VLOOKUP(DATE(YEAR(INDEX(Base_Mensuelle!$EE$68:$FK$679,MAX(Base_Mensuelle!$FK$68:$FK$679),1)),12,1),Base_Mensuelle!$EE$68:$FK$679,9,0)&lt;&gt;"",SUMIF(Base_Mensuelle!$CX$68:$CX$679,J$63,Base_Mensuelle!$EN$68:$EN$679),"")</f>
        <v>9428.14</v>
      </c>
      <c r="K73" s="1208">
        <f>IF(VLOOKUP(DATE(YEAR(INDEX(Base_Mensuelle!$EE$68:$FK$679,MAX(Base_Mensuelle!$FK$68:$FK$679),1)),12,1),Base_Mensuelle!$EE$68:$FK$679,9,0)&lt;&gt;"",SUMIF(Base_Mensuelle!$CX$68:$CX$679,K$63,Base_Mensuelle!$EN$68:$EN$679),"")</f>
        <v>8227.2580000000016</v>
      </c>
      <c r="L73" s="1208">
        <f>IF(VLOOKUP(DATE(YEAR(INDEX(Base_Mensuelle!$EE$68:$FK$679,MAX(Base_Mensuelle!$FK$68:$FK$679),1)),12,1),Base_Mensuelle!$EE$68:$FK$679,9,0)&lt;&gt;"",SUMIF(Base_Mensuelle!$CX$68:$CX$679,L$63,Base_Mensuelle!$EN$68:$EN$679),"")</f>
        <v>3329.1459999999997</v>
      </c>
    </row>
    <row r="74" spans="1:14" ht="11.4">
      <c r="A74" s="1200" t="s">
        <v>829</v>
      </c>
      <c r="B74" s="1174"/>
      <c r="C74" s="1174"/>
      <c r="D74" s="1174"/>
      <c r="E74" s="1174"/>
      <c r="F74" s="1174"/>
      <c r="G74" s="1179"/>
      <c r="H74" s="1179"/>
      <c r="I74" s="1179"/>
      <c r="J74" s="1179"/>
      <c r="K74" s="1179"/>
      <c r="L74" s="1179"/>
    </row>
    <row r="75" spans="1:14" ht="11.4">
      <c r="A75" s="1200"/>
      <c r="B75" s="1174"/>
      <c r="C75" s="1174"/>
      <c r="D75" s="1174"/>
      <c r="E75" s="1174"/>
      <c r="F75" s="1174"/>
      <c r="G75" s="1179"/>
      <c r="H75" s="1179"/>
      <c r="I75" s="1179"/>
      <c r="J75" s="1179"/>
      <c r="K75" s="1179"/>
      <c r="L75" s="1179"/>
    </row>
    <row r="76" spans="1:14" ht="11.4">
      <c r="A76" s="1200"/>
      <c r="B76" s="1174"/>
      <c r="C76" s="1174"/>
      <c r="D76" s="1174"/>
      <c r="E76" s="1174"/>
      <c r="F76" s="1174"/>
      <c r="G76" s="1179"/>
      <c r="H76" s="1179"/>
      <c r="I76" s="1179"/>
      <c r="J76" s="1179"/>
      <c r="K76" s="1179"/>
      <c r="L76" s="1179"/>
    </row>
    <row r="77" spans="1:14" ht="12.3">
      <c r="A77" s="68" t="s">
        <v>1118</v>
      </c>
      <c r="B77" s="1174"/>
      <c r="C77" s="1174"/>
      <c r="D77" s="1174"/>
      <c r="E77" s="1174"/>
      <c r="F77" s="1174"/>
      <c r="G77" s="1179"/>
      <c r="H77" s="1179"/>
      <c r="I77" s="1179"/>
      <c r="J77" s="1179"/>
      <c r="K77" s="1179"/>
      <c r="L77" s="1179"/>
    </row>
    <row r="78" spans="1:14" ht="11.5" customHeight="1">
      <c r="L78" s="1689"/>
    </row>
    <row r="79" spans="1:14" ht="11.4">
      <c r="A79" s="1417"/>
      <c r="B79" s="1176">
        <f t="shared" ref="B79:J79" si="5">C79-1</f>
        <v>2013</v>
      </c>
      <c r="C79" s="1176">
        <f t="shared" si="5"/>
        <v>2014</v>
      </c>
      <c r="D79" s="1176">
        <f t="shared" si="5"/>
        <v>2015</v>
      </c>
      <c r="E79" s="1176">
        <f t="shared" si="5"/>
        <v>2016</v>
      </c>
      <c r="F79" s="1176">
        <f t="shared" si="5"/>
        <v>2017</v>
      </c>
      <c r="G79" s="1176">
        <f t="shared" si="5"/>
        <v>2018</v>
      </c>
      <c r="H79" s="1176">
        <f t="shared" si="5"/>
        <v>2019</v>
      </c>
      <c r="I79" s="1176">
        <f t="shared" si="5"/>
        <v>2020</v>
      </c>
      <c r="J79" s="1176">
        <f t="shared" si="5"/>
        <v>2021</v>
      </c>
      <c r="K79" s="1176">
        <f>L79-1</f>
        <v>2022</v>
      </c>
      <c r="L79" s="1176">
        <f>YEAR(INDEX(Base_Mensuelle!$EP$68:$EZ$679,MAX(Base_Mensuelle!$EZ$68:$EZ$679),1))</f>
        <v>2023</v>
      </c>
    </row>
    <row r="80" spans="1:14" ht="11.4">
      <c r="A80" s="1639" t="s">
        <v>205</v>
      </c>
      <c r="B80" s="1639"/>
      <c r="C80" s="1639"/>
      <c r="D80" s="1639"/>
      <c r="E80" s="1639">
        <v>220969.02198925568</v>
      </c>
      <c r="F80" s="1639">
        <v>216756.69850957251</v>
      </c>
      <c r="G80" s="1639">
        <v>218873.30754384873</v>
      </c>
      <c r="H80" s="1639">
        <v>240573</v>
      </c>
      <c r="I80" s="1639">
        <v>224041</v>
      </c>
      <c r="J80" s="1639">
        <v>255040</v>
      </c>
      <c r="K80" s="1639">
        <v>99055</v>
      </c>
      <c r="L80" s="1639">
        <f>IF(VLOOKUP(DATE(YEAR(INDEX(Base_Mensuelle!$EP$68:$EZ$679,MAX(Base_Mensuelle!$EZ$68:$EZ$679),1)),12,1),Base_Mensuelle!$EP$68:$EZ$679,2,0)&lt;&gt;"",SUMIF(Base_Mensuelle!$CX$68:$CX$679,L$79,Base_Mensuelle!$EQ$68:$EQ$679),"")</f>
        <v>230898</v>
      </c>
    </row>
    <row r="81" spans="1:14" ht="11.4">
      <c r="A81" s="1190" t="s">
        <v>206</v>
      </c>
      <c r="B81" s="1190"/>
      <c r="C81" s="1190"/>
      <c r="D81" s="1190"/>
      <c r="E81" s="1190">
        <v>208430.70013864659</v>
      </c>
      <c r="F81" s="1190">
        <v>227821.20721294964</v>
      </c>
      <c r="G81" s="1190">
        <v>228120.27551305355</v>
      </c>
      <c r="H81" s="1190">
        <v>246018</v>
      </c>
      <c r="I81" s="1190">
        <v>246642</v>
      </c>
      <c r="J81" s="1190">
        <v>273189</v>
      </c>
      <c r="K81" s="1190">
        <v>109036</v>
      </c>
      <c r="L81" s="1190">
        <f>IF(VLOOKUP(DATE(YEAR(INDEX(Base_Mensuelle!$EP$68:$EZ$679,MAX(Base_Mensuelle!$EZ$68:$EZ$679),1)),12,1),Base_Mensuelle!$EP$68:$EZ$679,2,0)&lt;&gt;"",SUMIF(Base_Mensuelle!$CX$68:$CX$679,L$79,Base_Mensuelle!$ER$68:$ER$679),"")</f>
        <v>250252</v>
      </c>
    </row>
    <row r="82" spans="1:14" ht="11.5" customHeight="1">
      <c r="A82" s="1189" t="s">
        <v>207</v>
      </c>
      <c r="B82" s="1189"/>
      <c r="C82" s="1189"/>
      <c r="D82" s="1189"/>
      <c r="E82" s="1189">
        <v>421292.18487296079</v>
      </c>
      <c r="F82" s="1189">
        <v>444277.7735463783</v>
      </c>
      <c r="G82" s="1189">
        <v>446879.53892723756</v>
      </c>
      <c r="H82" s="1189">
        <v>486591</v>
      </c>
      <c r="I82" s="1189">
        <v>470683</v>
      </c>
      <c r="J82" s="1189">
        <v>528229</v>
      </c>
      <c r="K82" s="1189">
        <v>208091</v>
      </c>
      <c r="L82" s="1189">
        <f>IF(VLOOKUP(DATE(YEAR(INDEX(Base_Mensuelle!$EP$68:$EZ$679,MAX(Base_Mensuelle!$EZ$68:$EZ$679),1)),12,1),Base_Mensuelle!$EP$68:$EZ$679,2,0)&lt;&gt;"",SUMIF(Base_Mensuelle!$CX$68:$CX$679,L$79,Base_Mensuelle!$ES$68:$ES$679),"")</f>
        <v>481150</v>
      </c>
    </row>
    <row r="83" spans="1:14" ht="9" customHeight="1">
      <c r="A83" s="1640" t="s">
        <v>208</v>
      </c>
      <c r="B83" s="1640"/>
      <c r="C83" s="1640"/>
      <c r="D83" s="1640"/>
      <c r="E83" s="1640">
        <v>101511.2825370248</v>
      </c>
      <c r="F83" s="1640">
        <v>92995.328122767096</v>
      </c>
      <c r="G83" s="1640">
        <v>66161.995467533096</v>
      </c>
      <c r="H83" s="1640">
        <v>71018</v>
      </c>
      <c r="I83" s="1640">
        <v>93174</v>
      </c>
      <c r="J83" s="1640">
        <v>92156</v>
      </c>
      <c r="K83" s="1640">
        <v>37189</v>
      </c>
      <c r="L83" s="1640">
        <f>IF(VLOOKUP(DATE(YEAR(INDEX(Base_Mensuelle!$EP$68:$EZ$679,MAX(Base_Mensuelle!$EZ$68:$EZ$679),1)),12,1),Base_Mensuelle!$EP$68:$EZ$679,2,0)&lt;&gt;"",SUMIF(Base_Mensuelle!$CX$68:$CX$679,L$79,Base_Mensuelle!$ET$68:$ET$679),"")</f>
        <v>128981</v>
      </c>
      <c r="M83" s="1173"/>
      <c r="N83" s="1173"/>
    </row>
    <row r="84" spans="1:14" ht="11.5" customHeight="1">
      <c r="A84" s="1419"/>
      <c r="G84" s="1173"/>
      <c r="H84" s="1173"/>
      <c r="I84" s="1173"/>
      <c r="J84" s="1173"/>
      <c r="K84" s="1173"/>
      <c r="L84" s="1173"/>
      <c r="M84" s="1173"/>
      <c r="N84" s="1173"/>
    </row>
    <row r="85" spans="1:14" ht="11.5" customHeight="1">
      <c r="A85" s="1639" t="s">
        <v>826</v>
      </c>
      <c r="B85" s="1639"/>
      <c r="C85" s="1639"/>
      <c r="D85" s="1639"/>
      <c r="E85" s="1639">
        <v>4822.208081683767</v>
      </c>
      <c r="F85" s="1639">
        <v>7995.4977494792893</v>
      </c>
      <c r="G85" s="1639">
        <v>7317.3057196963</v>
      </c>
      <c r="H85" s="1639">
        <v>7502.137999999999</v>
      </c>
      <c r="I85" s="1639">
        <v>7658.14</v>
      </c>
      <c r="J85" s="1639">
        <v>8055.0170000000007</v>
      </c>
      <c r="K85" s="1639">
        <v>7358.0130000000008</v>
      </c>
      <c r="L85" s="1639">
        <f>IF(VLOOKUP(DATE(YEAR(INDEX(Base_Mensuelle!$EP$68:$EZ$679,MAX(Base_Mensuelle!$EZ$68:$EZ$679),1)),12,1),Base_Mensuelle!$EP$68:$EZ$679,2,0)&lt;&gt;"",SUMIF(Base_Mensuelle!$CX$68:$CX$679,L$79,Base_Mensuelle!$EU$68:$EU$679),"")</f>
        <v>1975.7710000000002</v>
      </c>
      <c r="M85" s="1173"/>
      <c r="N85" s="1173"/>
    </row>
    <row r="86" spans="1:14" ht="11.5" customHeight="1">
      <c r="A86" s="1190" t="s">
        <v>827</v>
      </c>
      <c r="B86" s="1190"/>
      <c r="C86" s="1190"/>
      <c r="D86" s="1190"/>
      <c r="E86" s="1190">
        <v>18018.590962656039</v>
      </c>
      <c r="F86" s="1190">
        <v>2541.9854753881887</v>
      </c>
      <c r="G86" s="1190">
        <v>1939.3121953526422</v>
      </c>
      <c r="H86" s="1190">
        <v>2096.703</v>
      </c>
      <c r="I86" s="1190">
        <v>1778.5710000000001</v>
      </c>
      <c r="J86" s="1190">
        <v>1895.3879999999997</v>
      </c>
      <c r="K86" s="1190">
        <v>1629.0959999999995</v>
      </c>
      <c r="L86" s="1190">
        <f>IF(VLOOKUP(DATE(YEAR(INDEX(Base_Mensuelle!$EP$68:$EZ$679,MAX(Base_Mensuelle!$EZ$68:$EZ$679),1)),12,1),Base_Mensuelle!$EP$68:$EZ$679,2,0)&lt;&gt;"",SUMIF(Base_Mensuelle!$CX$68:$CX$679,L$79,Base_Mensuelle!$EV$68:$EV$679),"")</f>
        <v>1170.902</v>
      </c>
      <c r="M86" s="1173"/>
      <c r="N86" s="1173"/>
    </row>
    <row r="87" spans="1:14" ht="11.5" customHeight="1">
      <c r="A87" s="1642" t="s">
        <v>1009</v>
      </c>
      <c r="B87" s="1189"/>
      <c r="C87" s="1189"/>
      <c r="D87" s="1189"/>
      <c r="E87" s="1189">
        <v>161.13818331257164</v>
      </c>
      <c r="F87" s="1189">
        <v>161.76793068007717</v>
      </c>
      <c r="G87" s="1189">
        <v>85.377324077162399</v>
      </c>
      <c r="H87" s="1189">
        <v>102.69699999999997</v>
      </c>
      <c r="I87" s="1189">
        <v>70.824000000000012</v>
      </c>
      <c r="J87" s="1189">
        <v>81.733000000000004</v>
      </c>
      <c r="K87" s="1189">
        <v>52.052000000000007</v>
      </c>
      <c r="L87" s="1189">
        <f>IF(VLOOKUP(DATE(YEAR(INDEX(Base_Mensuelle!$EP$68:$EZ$679,MAX(Base_Mensuelle!$EZ$68:$EZ$679),1)),12,1),Base_Mensuelle!$EP$68:$EZ$679,2,0)&lt;&gt;"",SUMIF(Base_Mensuelle!$CX$68:$CX$679,L$79,Base_Mensuelle!$EW$68:$EW$679),"")</f>
        <v>54.150000000000006</v>
      </c>
      <c r="M87" s="1173"/>
      <c r="N87" s="1173"/>
    </row>
    <row r="88" spans="1:14" ht="11.5" customHeight="1">
      <c r="A88" s="1641" t="s">
        <v>1008</v>
      </c>
      <c r="B88" s="1190"/>
      <c r="C88" s="1190"/>
      <c r="D88" s="1190"/>
      <c r="E88" s="1190">
        <v>40.870841203445337</v>
      </c>
      <c r="F88" s="1190">
        <v>83.502615826751182</v>
      </c>
      <c r="G88" s="1190">
        <v>70.654230550453875</v>
      </c>
      <c r="H88" s="1190">
        <v>73.74199999999999</v>
      </c>
      <c r="I88" s="1190">
        <v>128.13</v>
      </c>
      <c r="J88" s="1190">
        <v>88.890999999999991</v>
      </c>
      <c r="K88" s="1190">
        <v>84.567000000000007</v>
      </c>
      <c r="L88" s="1190">
        <f>IF(VLOOKUP(DATE(YEAR(INDEX(Base_Mensuelle!$EP$68:$EZ$679,MAX(Base_Mensuelle!$EZ$68:$EZ$679),1)),12,1),Base_Mensuelle!$EP$68:$EZ$679,2,0)&lt;&gt;"",SUMIF(Base_Mensuelle!$CX$68:$CX$679,L$79,Base_Mensuelle!$EX$68:$EX$679),"")</f>
        <v>120.32300000000001</v>
      </c>
      <c r="M88" s="1173"/>
      <c r="N88" s="1173"/>
    </row>
    <row r="89" spans="1:14" ht="22.8">
      <c r="A89" s="1421" t="s">
        <v>213</v>
      </c>
      <c r="B89" s="1199"/>
      <c r="C89" s="1199"/>
      <c r="D89" s="1199"/>
      <c r="E89" s="1199">
        <v>8181.4185383893609</v>
      </c>
      <c r="F89" s="1199">
        <v>10687.793146839014</v>
      </c>
      <c r="G89" s="1199">
        <v>9358.0403376089598</v>
      </c>
      <c r="H89" s="1199">
        <v>9775.2799999999988</v>
      </c>
      <c r="I89" s="1199">
        <v>9635.6650000000009</v>
      </c>
      <c r="J89" s="1199">
        <v>10121.029</v>
      </c>
      <c r="K89" s="1199">
        <v>9123.728000000001</v>
      </c>
      <c r="L89" s="1199">
        <f>IF(VLOOKUP(DATE(YEAR(INDEX(Base_Mensuelle!$EP$68:$EZ$679,MAX(Base_Mensuelle!$EZ$68:$EZ$679),1)),12,1),Base_Mensuelle!$EP$68:$EZ$679,2,0)&lt;&gt;"",SUMIF(Base_Mensuelle!$CX$68:$CX$679,L$79,Base_Mensuelle!$EY$68:$EY$679),"")</f>
        <v>3321.1459999999997</v>
      </c>
      <c r="M89" s="1173"/>
      <c r="N89" s="1173"/>
    </row>
    <row r="90" spans="1:14" ht="11.4">
      <c r="A90" s="1200" t="s">
        <v>829</v>
      </c>
      <c r="G90" s="1173"/>
      <c r="H90" s="1173"/>
      <c r="I90" s="1173"/>
      <c r="J90" s="1173"/>
      <c r="K90" s="1173"/>
      <c r="L90" s="1173"/>
      <c r="M90" s="1173"/>
      <c r="N90" s="1173"/>
    </row>
    <row r="91" spans="1:14" ht="11.4">
      <c r="A91" s="1200"/>
      <c r="G91" s="1173"/>
      <c r="H91" s="1173"/>
      <c r="I91" s="1173"/>
      <c r="J91" s="1173"/>
      <c r="K91" s="1173"/>
      <c r="L91" s="1173"/>
      <c r="M91" s="1173"/>
      <c r="N91" s="1173"/>
    </row>
    <row r="92" spans="1:14" ht="11.4">
      <c r="A92" s="1194" t="s">
        <v>1119</v>
      </c>
      <c r="G92" s="1173"/>
      <c r="H92" s="1173"/>
      <c r="I92" s="1173"/>
      <c r="J92" s="1173"/>
      <c r="K92" s="1173"/>
      <c r="L92" s="1173"/>
      <c r="M92" s="1173"/>
      <c r="N92" s="1173"/>
    </row>
    <row r="93" spans="1:14" ht="11.4">
      <c r="A93" s="1194"/>
      <c r="G93" s="1173"/>
      <c r="H93" s="1173"/>
      <c r="I93" s="1173"/>
      <c r="J93" s="1173"/>
      <c r="K93" s="1173"/>
      <c r="L93" s="1173"/>
      <c r="M93" s="1173"/>
      <c r="N93" s="1173"/>
    </row>
    <row r="94" spans="1:14" ht="11.4">
      <c r="A94" s="1422"/>
      <c r="B94" s="1201">
        <f t="shared" ref="B94:J94" si="6">C94-1</f>
        <v>2013</v>
      </c>
      <c r="C94" s="1201">
        <f t="shared" si="6"/>
        <v>2014</v>
      </c>
      <c r="D94" s="1201">
        <f t="shared" si="6"/>
        <v>2015</v>
      </c>
      <c r="E94" s="1201">
        <f t="shared" si="6"/>
        <v>2016</v>
      </c>
      <c r="F94" s="1201">
        <f t="shared" si="6"/>
        <v>2017</v>
      </c>
      <c r="G94" s="1201">
        <f t="shared" si="6"/>
        <v>2018</v>
      </c>
      <c r="H94" s="1201">
        <f t="shared" si="6"/>
        <v>2019</v>
      </c>
      <c r="I94" s="1201">
        <f t="shared" si="6"/>
        <v>2020</v>
      </c>
      <c r="J94" s="1201">
        <f t="shared" si="6"/>
        <v>2021</v>
      </c>
      <c r="K94" s="1201">
        <f>L94-1</f>
        <v>2022</v>
      </c>
      <c r="L94" s="1176">
        <f>YEAR(INDEX(Base_Trimestrielle!$Q$74:$DC$276,MAX(Base_Trimestrielle!$DC$74:$DC$276),1))</f>
        <v>2023</v>
      </c>
      <c r="M94" s="1173"/>
      <c r="N94" s="1173"/>
    </row>
    <row r="95" spans="1:14" ht="11.5" customHeight="1">
      <c r="A95" s="1639" t="s">
        <v>622</v>
      </c>
      <c r="B95" s="1639">
        <f>IF(VLOOKUP(DATE(B$94,12,1),Base_Trimestrielle!$Q$74:$DC$276,84,0)&lt;&gt;"",SUMIF(Base_Trimestrielle!$O$74:$O$276,B$94,Base_Trimestrielle!$CU$74:$CU$276),"")</f>
        <v>76018</v>
      </c>
      <c r="C95" s="1639">
        <f>IF(VLOOKUP(DATE(C$94,12,1),Base_Trimestrielle!$Q$74:$DC$276,84,0)&lt;&gt;"",SUMIF(Base_Trimestrielle!$O$74:$O$276,C$94,Base_Trimestrielle!$CU$74:$CU$276),"")</f>
        <v>60640.198575293842</v>
      </c>
      <c r="D95" s="1639">
        <f>IF(VLOOKUP(DATE(D$94,12,1),Base_Trimestrielle!$Q$74:$DC$276,84,0)&lt;&gt;"",SUMIF(Base_Trimestrielle!$O$74:$O$276,D$94,Base_Trimestrielle!$CU$74:$CU$276),"")</f>
        <v>83456</v>
      </c>
      <c r="E95" s="1639">
        <f>IF(VLOOKUP(DATE(E$94,12,1),Base_Trimestrielle!$Q$74:$DC$276,84,0)&lt;&gt;"",SUMIF(Base_Trimestrielle!$O$74:$O$276,E$94,Base_Trimestrielle!$CU$74:$CU$276),"")</f>
        <v>63660</v>
      </c>
      <c r="F95" s="1639">
        <f>IF(VLOOKUP(DATE(F$94,12,1),Base_Trimestrielle!$Q$74:$DC$276,84,0)&lt;&gt;"",SUMIF(Base_Trimestrielle!$O$74:$O$276,F$94,Base_Trimestrielle!$CU$74:$CU$276),"")</f>
        <v>73733.424482323564</v>
      </c>
      <c r="G95" s="1639">
        <f>IF(VLOOKUP(DATE(G$94,12,1),Base_Trimestrielle!$Q$74:$DC$276,84,0)&lt;&gt;"",SUMIF(Base_Trimestrielle!$O$74:$O$276,G$94,Base_Trimestrielle!$CU$74:$CU$276),"")</f>
        <v>82861</v>
      </c>
      <c r="H95" s="1639">
        <f>IF(VLOOKUP(DATE(H$94,12,1),Base_Trimestrielle!$Q$74:$DC$276,84,0)&lt;&gt;"",SUMIF(Base_Trimestrielle!$O$74:$O$276,H$94,Base_Trimestrielle!$CU$74:$CU$276),"")</f>
        <v>76529</v>
      </c>
      <c r="I95" s="1639">
        <f>IF(VLOOKUP(DATE(I$94,12,1),Base_Trimestrielle!$Q$74:$DC$276,84,0)&lt;&gt;"",SUMIF(Base_Trimestrielle!$O$74:$O$276,I$94,Base_Trimestrielle!$CU$74:$CU$276),"")</f>
        <v>43229</v>
      </c>
      <c r="J95" s="1639">
        <f>IF(VLOOKUP(DATE(J$94,12,1),Base_Trimestrielle!$Q$74:$DC$276,84,0)&lt;&gt;"",SUMIF(Base_Trimestrielle!$O$74:$O$276,J$94,Base_Trimestrielle!$CU$74:$CU$276),"")</f>
        <v>69849</v>
      </c>
      <c r="K95" s="1639">
        <f>IF(VLOOKUP(DATE(K$94,12,1),Base_Trimestrielle!$Q$74:$DC$276,84,0)&lt;&gt;"",SUMIF(Base_Trimestrielle!$O$74:$O$276,K$94,Base_Trimestrielle!$CU$74:$CU$276),"")</f>
        <v>54580</v>
      </c>
      <c r="L95" s="1639" t="str">
        <f>IF(VLOOKUP(DATE(L$94,12,1),Base_Trimestrielle!$Q$74:$DC$276,84,0)&lt;&gt;"",SUMIF(Base_Trimestrielle!$O$74:$O$276,L$94,Base_Trimestrielle!$CU$74:$CU$276),"")</f>
        <v/>
      </c>
      <c r="M95" s="1173"/>
      <c r="N95" s="1173"/>
    </row>
    <row r="96" spans="1:14" ht="11.5" customHeight="1">
      <c r="A96" s="1190" t="s">
        <v>623</v>
      </c>
      <c r="B96" s="1190">
        <f>IF(VLOOKUP(DATE(B$94,12,1),Base_Trimestrielle!$Q$74:$DC$276,85,0)&lt;&gt;"",SUMIF(Base_Trimestrielle!$O$74:$O$276,B$94,Base_Trimestrielle!$CV$74:$CV$276),"")</f>
        <v>319211</v>
      </c>
      <c r="C96" s="1190">
        <f>IF(VLOOKUP(DATE(C$94,12,1),Base_Trimestrielle!$Q$74:$DC$276,85,0)&lt;&gt;"",SUMIF(Base_Trimestrielle!$O$74:$O$276,C$94,Base_Trimestrielle!$CV$74:$CV$276),"")</f>
        <v>281012.75157182472</v>
      </c>
      <c r="D96" s="1190">
        <f>IF(VLOOKUP(DATE(D$94,12,1),Base_Trimestrielle!$Q$74:$DC$276,85,0)&lt;&gt;"",SUMIF(Base_Trimestrielle!$O$74:$O$276,D$94,Base_Trimestrielle!$CV$74:$CV$276),"")</f>
        <v>275232</v>
      </c>
      <c r="E96" s="1190">
        <f>IF(VLOOKUP(DATE(E$94,12,1),Base_Trimestrielle!$Q$74:$DC$276,85,0)&lt;&gt;"",SUMIF(Base_Trimestrielle!$O$74:$O$276,E$94,Base_Trimestrielle!$CV$74:$CV$276),"")</f>
        <v>306381</v>
      </c>
      <c r="F96" s="1190">
        <f>IF(VLOOKUP(DATE(F$94,12,1),Base_Trimestrielle!$Q$74:$DC$276,85,0)&lt;&gt;"",SUMIF(Base_Trimestrielle!$O$74:$O$276,F$94,Base_Trimestrielle!$CV$74:$CV$276),"")</f>
        <v>323392.22790892603</v>
      </c>
      <c r="G96" s="1190">
        <f>IF(VLOOKUP(DATE(G$94,12,1),Base_Trimestrielle!$Q$74:$DC$276,85,0)&lt;&gt;"",SUMIF(Base_Trimestrielle!$O$74:$O$276,G$94,Base_Trimestrielle!$CV$74:$CV$276),"")</f>
        <v>343511</v>
      </c>
      <c r="H96" s="1190">
        <f>IF(VLOOKUP(DATE(H$94,12,1),Base_Trimestrielle!$Q$74:$DC$276,85,0)&lt;&gt;"",SUMIF(Base_Trimestrielle!$O$74:$O$276,H$94,Base_Trimestrielle!$CV$74:$CV$276),"")</f>
        <v>372759</v>
      </c>
      <c r="I96" s="1190">
        <f>IF(VLOOKUP(DATE(I$94,12,1),Base_Trimestrielle!$Q$74:$DC$276,85,0)&lt;&gt;"",SUMIF(Base_Trimestrielle!$O$74:$O$276,I$94,Base_Trimestrielle!$CV$74:$CV$276),"")</f>
        <v>294293</v>
      </c>
      <c r="J96" s="1190">
        <f>IF(VLOOKUP(DATE(J$94,12,1),Base_Trimestrielle!$Q$74:$DC$276,85,0)&lt;&gt;"",SUMIF(Base_Trimestrielle!$O$74:$O$276,J$94,Base_Trimestrielle!$CV$74:$CV$276),"")</f>
        <v>333084</v>
      </c>
      <c r="K96" s="1190">
        <f>IF(VLOOKUP(DATE(K$94,12,1),Base_Trimestrielle!$Q$74:$DC$276,85,0)&lt;&gt;"",SUMIF(Base_Trimestrielle!$O$74:$O$276,K$94,Base_Trimestrielle!$CV$74:$CV$276),"")</f>
        <v>335371</v>
      </c>
      <c r="L96" s="1190" t="str">
        <f>IF(VLOOKUP(DATE(L$94,12,1),Base_Trimestrielle!$Q$74:$DC$276,85,0)&lt;&gt;"",SUMIF(Base_Trimestrielle!$O$74:$O$276,L$94,Base_Trimestrielle!$CV$74:$CV$276),"")</f>
        <v/>
      </c>
      <c r="M96" s="1173"/>
      <c r="N96" s="1173"/>
    </row>
    <row r="97" spans="1:14" ht="9.75" customHeight="1">
      <c r="A97" s="1189" t="s">
        <v>624</v>
      </c>
      <c r="B97" s="1189">
        <f>IF(VLOOKUP(DATE(B$94,12,1),Base_Trimestrielle!$Q$74:$DC$276,86,0)&lt;&gt;"",SUMIF(Base_Trimestrielle!$O$74:$O$276,B$94,Base_Trimestrielle!$CW$74:$CW$276),"")</f>
        <v>58959</v>
      </c>
      <c r="C97" s="1189">
        <f>IF(VLOOKUP(DATE(C$94,12,1),Base_Trimestrielle!$Q$74:$DC$276,86,0)&lt;&gt;"",SUMIF(Base_Trimestrielle!$O$74:$O$276,C$94,Base_Trimestrielle!$CW$74:$CW$276),"")</f>
        <v>65041.022492643242</v>
      </c>
      <c r="D97" s="1189">
        <f>IF(VLOOKUP(DATE(D$94,12,1),Base_Trimestrielle!$Q$74:$DC$276,86,0)&lt;&gt;"",SUMIF(Base_Trimestrielle!$O$74:$O$276,D$94,Base_Trimestrielle!$CW$74:$CW$276),"")</f>
        <v>54191</v>
      </c>
      <c r="E97" s="1189">
        <f>IF(VLOOKUP(DATE(E$94,12,1),Base_Trimestrielle!$Q$74:$DC$276,86,0)&lt;&gt;"",SUMIF(Base_Trimestrielle!$O$74:$O$276,E$94,Base_Trimestrielle!$CW$74:$CW$276),"")</f>
        <v>61842</v>
      </c>
      <c r="F97" s="1189">
        <f>IF(VLOOKUP(DATE(F$94,12,1),Base_Trimestrielle!$Q$74:$DC$276,86,0)&lt;&gt;"",SUMIF(Base_Trimestrielle!$O$74:$O$276,F$94,Base_Trimestrielle!$CW$74:$CW$276),"")</f>
        <v>64446.826620290827</v>
      </c>
      <c r="G97" s="1189">
        <f>IF(VLOOKUP(DATE(G$94,12,1),Base_Trimestrielle!$Q$74:$DC$276,86,0)&lt;&gt;"",SUMIF(Base_Trimestrielle!$O$74:$O$276,G$94,Base_Trimestrielle!$CW$74:$CW$276),"")</f>
        <v>65577</v>
      </c>
      <c r="H97" s="1189">
        <f>IF(VLOOKUP(DATE(H$94,12,1),Base_Trimestrielle!$Q$74:$DC$276,86,0)&lt;&gt;"",SUMIF(Base_Trimestrielle!$O$74:$O$276,H$94,Base_Trimestrielle!$CW$74:$CW$276),"")</f>
        <v>69350</v>
      </c>
      <c r="I97" s="1189">
        <f>IF(VLOOKUP(DATE(I$94,12,1),Base_Trimestrielle!$Q$74:$DC$276,86,0)&lt;&gt;"",SUMIF(Base_Trimestrielle!$O$74:$O$276,I$94,Base_Trimestrielle!$CW$74:$CW$276),"")</f>
        <v>48566</v>
      </c>
      <c r="J97" s="1189">
        <f>IF(VLOOKUP(DATE(J$94,12,1),Base_Trimestrielle!$Q$74:$DC$276,86,0)&lt;&gt;"",SUMIF(Base_Trimestrielle!$O$74:$O$276,J$94,Base_Trimestrielle!$CW$74:$CW$276),"")</f>
        <v>66997</v>
      </c>
      <c r="K97" s="1189">
        <f>IF(VLOOKUP(DATE(K$94,12,1),Base_Trimestrielle!$Q$74:$DC$276,86,0)&lt;&gt;"",SUMIF(Base_Trimestrielle!$O$74:$O$276,K$94,Base_Trimestrielle!$CW$74:$CW$276),"")</f>
        <v>62964</v>
      </c>
      <c r="L97" s="1189" t="str">
        <f>IF(VLOOKUP(DATE(L$94,12,1),Base_Trimestrielle!$Q$74:$DC$276,86,0)&lt;&gt;"",SUMIF(Base_Trimestrielle!$O$74:$O$276,L$94,Base_Trimestrielle!$CW$74:$CW$276),"")</f>
        <v/>
      </c>
      <c r="M97" s="1173"/>
      <c r="N97" s="1173"/>
    </row>
    <row r="98" spans="1:14" ht="11.5" customHeight="1">
      <c r="A98" s="1190" t="s">
        <v>625</v>
      </c>
      <c r="B98" s="1190">
        <f>IF(VLOOKUP(DATE(B$94,12,1),Base_Trimestrielle!$Q$74:$DC$276,87,0)&lt;&gt;"",SUMIF(Base_Trimestrielle!$O$74:$O$276,B$94,Base_Trimestrielle!$CX$74:$CX$276),"")</f>
        <v>3910</v>
      </c>
      <c r="C98" s="1190">
        <f>IF(VLOOKUP(DATE(C$94,12,1),Base_Trimestrielle!$Q$74:$DC$276,87,0)&lt;&gt;"",SUMIF(Base_Trimestrielle!$O$74:$O$276,C$94,Base_Trimestrielle!$CX$74:$CX$276),"")</f>
        <v>3025.5911321635517</v>
      </c>
      <c r="D98" s="1190">
        <f>IF(VLOOKUP(DATE(D$94,12,1),Base_Trimestrielle!$Q$74:$DC$276,87,0)&lt;&gt;"",SUMIF(Base_Trimestrielle!$O$74:$O$276,D$94,Base_Trimestrielle!$CX$74:$CX$276),"")</f>
        <v>4487</v>
      </c>
      <c r="E98" s="1190">
        <f>IF(VLOOKUP(DATE(E$94,12,1),Base_Trimestrielle!$Q$74:$DC$276,87,0)&lt;&gt;"",SUMIF(Base_Trimestrielle!$O$74:$O$276,E$94,Base_Trimestrielle!$CX$74:$CX$276),"")</f>
        <v>4209</v>
      </c>
      <c r="F98" s="1190">
        <f>IF(VLOOKUP(DATE(F$94,12,1),Base_Trimestrielle!$Q$74:$DC$276,87,0)&lt;&gt;"",SUMIF(Base_Trimestrielle!$O$74:$O$276,F$94,Base_Trimestrielle!$CX$74:$CX$276),"")</f>
        <v>4931.9762120049381</v>
      </c>
      <c r="G98" s="1190">
        <f>IF(VLOOKUP(DATE(G$94,12,1),Base_Trimestrielle!$Q$74:$DC$276,87,0)&lt;&gt;"",SUMIF(Base_Trimestrielle!$O$74:$O$276,G$94,Base_Trimestrielle!$CX$74:$CX$276),"")</f>
        <v>3149</v>
      </c>
      <c r="H98" s="1190">
        <f>IF(VLOOKUP(DATE(H$94,12,1),Base_Trimestrielle!$Q$74:$DC$276,87,0)&lt;&gt;"",SUMIF(Base_Trimestrielle!$O$74:$O$276,H$94,Base_Trimestrielle!$CX$74:$CX$276),"")</f>
        <v>6142</v>
      </c>
      <c r="I98" s="1190">
        <f>IF(VLOOKUP(DATE(I$94,12,1),Base_Trimestrielle!$Q$74:$DC$276,87,0)&lt;&gt;"",SUMIF(Base_Trimestrielle!$O$74:$O$276,I$94,Base_Trimestrielle!$CX$74:$CX$276),"")</f>
        <v>3910</v>
      </c>
      <c r="J98" s="1190">
        <f>IF(VLOOKUP(DATE(J$94,12,1),Base_Trimestrielle!$Q$74:$DC$276,87,0)&lt;&gt;"",SUMIF(Base_Trimestrielle!$O$74:$O$276,J$94,Base_Trimestrielle!$CX$74:$CX$276),"")</f>
        <v>6362</v>
      </c>
      <c r="K98" s="1190">
        <f>IF(VLOOKUP(DATE(K$94,12,1),Base_Trimestrielle!$Q$74:$DC$276,87,0)&lt;&gt;"",SUMIF(Base_Trimestrielle!$O$74:$O$276,K$94,Base_Trimestrielle!$CX$74:$CX$276),"")</f>
        <v>4796</v>
      </c>
      <c r="L98" s="1190" t="str">
        <f>IF(VLOOKUP(DATE(L$94,12,1),Base_Trimestrielle!$Q$74:$DC$276,87,0)&lt;&gt;"",SUMIF(Base_Trimestrielle!$O$74:$O$276,L$94,Base_Trimestrielle!$CX$74:$CX$276),"")</f>
        <v/>
      </c>
      <c r="M98" s="1173"/>
      <c r="N98" s="1173"/>
    </row>
    <row r="99" spans="1:14" ht="11.5" customHeight="1">
      <c r="A99" s="1189" t="s">
        <v>626</v>
      </c>
      <c r="B99" s="1189">
        <f>IF(VLOOKUP(DATE(B$94,12,1),Base_Trimestrielle!$Q$74:$DC$276,88,0)&lt;&gt;"",SUMIF(Base_Trimestrielle!$O$74:$O$276,B$94,Base_Trimestrielle!$CY$74:$CY$276),"")</f>
        <v>2636</v>
      </c>
      <c r="C99" s="1189">
        <f>IF(VLOOKUP(DATE(C$94,12,1),Base_Trimestrielle!$Q$74:$DC$276,88,0)&lt;&gt;"",SUMIF(Base_Trimestrielle!$O$74:$O$276,C$94,Base_Trimestrielle!$CY$74:$CY$276),"")</f>
        <v>1905.6966898218764</v>
      </c>
      <c r="D99" s="1189">
        <f>IF(VLOOKUP(DATE(D$94,12,1),Base_Trimestrielle!$Q$74:$DC$276,88,0)&lt;&gt;"",SUMIF(Base_Trimestrielle!$O$74:$O$276,D$94,Base_Trimestrielle!$CY$74:$CY$276),"")</f>
        <v>2339</v>
      </c>
      <c r="E99" s="1189">
        <f>IF(VLOOKUP(DATE(E$94,12,1),Base_Trimestrielle!$Q$74:$DC$276,88,0)&lt;&gt;"",SUMIF(Base_Trimestrielle!$O$74:$O$276,E$94,Base_Trimestrielle!$CY$74:$CY$276),"")</f>
        <v>2979</v>
      </c>
      <c r="F99" s="1189">
        <f>IF(VLOOKUP(DATE(F$94,12,1),Base_Trimestrielle!$Q$74:$DC$276,88,0)&lt;&gt;"",SUMIF(Base_Trimestrielle!$O$74:$O$276,F$94,Base_Trimestrielle!$CY$74:$CY$276),"")</f>
        <v>4249.8360644699642</v>
      </c>
      <c r="G99" s="1189">
        <f>IF(VLOOKUP(DATE(G$94,12,1),Base_Trimestrielle!$Q$74:$DC$276,88,0)&lt;&gt;"",SUMIF(Base_Trimestrielle!$O$74:$O$276,G$94,Base_Trimestrielle!$CY$74:$CY$276),"")</f>
        <v>4836</v>
      </c>
      <c r="H99" s="1189">
        <f>IF(VLOOKUP(DATE(H$94,12,1),Base_Trimestrielle!$Q$74:$DC$276,88,0)&lt;&gt;"",SUMIF(Base_Trimestrielle!$O$74:$O$276,H$94,Base_Trimestrielle!$CY$74:$CY$276),"")</f>
        <v>3702</v>
      </c>
      <c r="I99" s="1189">
        <f>IF(VLOOKUP(DATE(I$94,12,1),Base_Trimestrielle!$Q$74:$DC$276,88,0)&lt;&gt;"",SUMIF(Base_Trimestrielle!$O$74:$O$276,I$94,Base_Trimestrielle!$CY$74:$CY$276),"")</f>
        <v>3195</v>
      </c>
      <c r="J99" s="1189">
        <f>IF(VLOOKUP(DATE(J$94,12,1),Base_Trimestrielle!$Q$74:$DC$276,88,0)&lt;&gt;"",SUMIF(Base_Trimestrielle!$O$74:$O$276,J$94,Base_Trimestrielle!$CY$74:$CY$276),"")</f>
        <v>3688</v>
      </c>
      <c r="K99" s="1189">
        <f>IF(VLOOKUP(DATE(K$94,12,1),Base_Trimestrielle!$Q$74:$DC$276,88,0)&lt;&gt;"",SUMIF(Base_Trimestrielle!$O$74:$O$276,K$94,Base_Trimestrielle!$CY$74:$CY$276),"")</f>
        <v>2723</v>
      </c>
      <c r="L99" s="1189" t="str">
        <f>IF(VLOOKUP(DATE(L$94,12,1),Base_Trimestrielle!$Q$74:$DC$276,88,0)&lt;&gt;"",SUMIF(Base_Trimestrielle!$O$74:$O$276,L$94,Base_Trimestrielle!$CY$74:$CY$276),"")</f>
        <v/>
      </c>
      <c r="M99" s="1173"/>
      <c r="N99" s="1173"/>
    </row>
    <row r="100" spans="1:14" ht="11.5" customHeight="1">
      <c r="A100" s="1190" t="s">
        <v>627</v>
      </c>
      <c r="B100" s="1190">
        <f>IF(VLOOKUP(DATE(B$94,12,1),Base_Trimestrielle!$Q$74:$DC$276,89,0)&lt;&gt;"",SUMIF(Base_Trimestrielle!$O$74:$O$276,B$94,Base_Trimestrielle!$CZ$74:$CZ$276),"")</f>
        <v>4672</v>
      </c>
      <c r="C100" s="1190">
        <f>IF(VLOOKUP(DATE(C$94,12,1),Base_Trimestrielle!$Q$74:$DC$276,89,0)&lt;&gt;"",SUMIF(Base_Trimestrielle!$O$74:$O$276,C$94,Base_Trimestrielle!$CZ$74:$CZ$276),"")</f>
        <v>3531.4834098961628</v>
      </c>
      <c r="D100" s="1190">
        <f>IF(VLOOKUP(DATE(D$94,12,1),Base_Trimestrielle!$Q$74:$DC$276,89,0)&lt;&gt;"",SUMIF(Base_Trimestrielle!$O$74:$O$276,D$94,Base_Trimestrielle!$CZ$74:$CZ$276),"")</f>
        <v>4054</v>
      </c>
      <c r="E100" s="1190">
        <f>IF(VLOOKUP(DATE(E$94,12,1),Base_Trimestrielle!$Q$74:$DC$276,89,0)&lt;&gt;"",SUMIF(Base_Trimestrielle!$O$74:$O$276,E$94,Base_Trimestrielle!$CZ$74:$CZ$276),"")</f>
        <v>3753</v>
      </c>
      <c r="F100" s="1190">
        <f>IF(VLOOKUP(DATE(F$94,12,1),Base_Trimestrielle!$Q$74:$DC$276,89,0)&lt;&gt;"",SUMIF(Base_Trimestrielle!$O$74:$O$276,F$94,Base_Trimestrielle!$CZ$74:$CZ$276),"")</f>
        <v>3424.193663355939</v>
      </c>
      <c r="G100" s="1190">
        <f>IF(VLOOKUP(DATE(G$94,12,1),Base_Trimestrielle!$Q$74:$DC$276,89,0)&lt;&gt;"",SUMIF(Base_Trimestrielle!$O$74:$O$276,G$94,Base_Trimestrielle!$CZ$74:$CZ$276),"")</f>
        <v>1336</v>
      </c>
      <c r="H100" s="1190">
        <f>IF(VLOOKUP(DATE(H$94,12,1),Base_Trimestrielle!$Q$74:$DC$276,89,0)&lt;&gt;"",SUMIF(Base_Trimestrielle!$O$74:$O$276,H$94,Base_Trimestrielle!$CZ$74:$CZ$276),"")</f>
        <v>672</v>
      </c>
      <c r="I100" s="1190">
        <f>IF(VLOOKUP(DATE(I$94,12,1),Base_Trimestrielle!$Q$74:$DC$276,89,0)&lt;&gt;"",SUMIF(Base_Trimestrielle!$O$74:$O$276,I$94,Base_Trimestrielle!$CZ$74:$CZ$276),"")</f>
        <v>1544</v>
      </c>
      <c r="J100" s="1190">
        <f>IF(VLOOKUP(DATE(J$94,12,1),Base_Trimestrielle!$Q$74:$DC$276,89,0)&lt;&gt;"",SUMIF(Base_Trimestrielle!$O$74:$O$276,J$94,Base_Trimestrielle!$CZ$74:$CZ$276),"")</f>
        <v>1207</v>
      </c>
      <c r="K100" s="1190">
        <f>IF(VLOOKUP(DATE(K$94,12,1),Base_Trimestrielle!$Q$74:$DC$276,89,0)&lt;&gt;"",SUMIF(Base_Trimestrielle!$O$74:$O$276,K$94,Base_Trimestrielle!$CZ$74:$CZ$276),"")</f>
        <v>1946</v>
      </c>
      <c r="L100" s="1190" t="str">
        <f>IF(VLOOKUP(DATE(L$94,12,1),Base_Trimestrielle!$Q$74:$DC$276,89,0)&lt;&gt;"",SUMIF(Base_Trimestrielle!$O$74:$O$276,L$94,Base_Trimestrielle!$CZ$74:$CZ$276),"")</f>
        <v/>
      </c>
      <c r="M100" s="1173"/>
      <c r="N100" s="1173"/>
    </row>
    <row r="101" spans="1:14" ht="11.4">
      <c r="A101" s="1189" t="s">
        <v>628</v>
      </c>
      <c r="B101" s="1189">
        <f>IF(VLOOKUP(DATE(B$94,12,1),Base_Trimestrielle!$Q$74:$DC$276,90,0)&lt;&gt;"",SUMIF(Base_Trimestrielle!$O$74:$O$276,B$94,Base_Trimestrielle!$DA$74:$DA$276),"")</f>
        <v>41230</v>
      </c>
      <c r="C101" s="1189">
        <f>IF(VLOOKUP(DATE(C$94,12,1),Base_Trimestrielle!$Q$74:$DC$276,90,0)&lt;&gt;"",SUMIF(Base_Trimestrielle!$O$74:$O$276,C$94,Base_Trimestrielle!$DA$74:$DA$276),"")</f>
        <v>32269.136174021514</v>
      </c>
      <c r="D101" s="1189">
        <f>IF(VLOOKUP(DATE(D$94,12,1),Base_Trimestrielle!$Q$74:$DC$276,90,0)&lt;&gt;"",SUMIF(Base_Trimestrielle!$O$74:$O$276,D$94,Base_Trimestrielle!$DA$74:$DA$276),"")</f>
        <v>50826</v>
      </c>
      <c r="E101" s="1189">
        <f>IF(VLOOKUP(DATE(E$94,12,1),Base_Trimestrielle!$Q$74:$DC$276,90,0)&lt;&gt;"",SUMIF(Base_Trimestrielle!$O$74:$O$276,E$94,Base_Trimestrielle!$DA$74:$DA$276),"")</f>
        <v>45527</v>
      </c>
      <c r="F101" s="1189">
        <f>IF(VLOOKUP(DATE(F$94,12,1),Base_Trimestrielle!$Q$74:$DC$276,90,0)&lt;&gt;"",SUMIF(Base_Trimestrielle!$O$74:$O$276,F$94,Base_Trimestrielle!$DA$74:$DA$276),"")</f>
        <v>57428.307629617528</v>
      </c>
      <c r="G101" s="1189">
        <f>IF(VLOOKUP(DATE(G$94,12,1),Base_Trimestrielle!$Q$74:$DC$276,90,0)&lt;&gt;"",SUMIF(Base_Trimestrielle!$O$74:$O$276,G$94,Base_Trimestrielle!$DA$74:$DA$276),"")</f>
        <v>39120</v>
      </c>
      <c r="H101" s="1189">
        <f>IF(VLOOKUP(DATE(H$94,12,1),Base_Trimestrielle!$Q$74:$DC$276,90,0)&lt;&gt;"",SUMIF(Base_Trimestrielle!$O$74:$O$276,H$94,Base_Trimestrielle!$DA$74:$DA$276),"")</f>
        <v>40185</v>
      </c>
      <c r="I101" s="1189">
        <f>IF(VLOOKUP(DATE(I$94,12,1),Base_Trimestrielle!$Q$74:$DC$276,90,0)&lt;&gt;"",SUMIF(Base_Trimestrielle!$O$74:$O$276,I$94,Base_Trimestrielle!$DA$74:$DA$276),"")</f>
        <v>35179</v>
      </c>
      <c r="J101" s="1189">
        <f>IF(VLOOKUP(DATE(J$94,12,1),Base_Trimestrielle!$Q$74:$DC$276,90,0)&lt;&gt;"",SUMIF(Base_Trimestrielle!$O$74:$O$276,J$94,Base_Trimestrielle!$DA$74:$DA$276),"")</f>
        <v>42950</v>
      </c>
      <c r="K101" s="1189">
        <f>IF(VLOOKUP(DATE(K$94,12,1),Base_Trimestrielle!$Q$74:$DC$276,90,0)&lt;&gt;"",SUMIF(Base_Trimestrielle!$O$74:$O$276,K$94,Base_Trimestrielle!$DA$74:$DA$276),"")</f>
        <v>44481</v>
      </c>
      <c r="L101" s="1189" t="str">
        <f>IF(VLOOKUP(DATE(L$94,12,1),Base_Trimestrielle!$Q$74:$DC$276,90,0)&lt;&gt;"",SUMIF(Base_Trimestrielle!$O$74:$O$276,L$94,Base_Trimestrielle!$DA$74:$DA$276),"")</f>
        <v/>
      </c>
      <c r="M101" s="1173"/>
      <c r="N101" s="1173"/>
    </row>
    <row r="102" spans="1:14" ht="11.5" customHeight="1">
      <c r="A102" s="1640" t="s">
        <v>128</v>
      </c>
      <c r="B102" s="1640">
        <f>IF(VLOOKUP(DATE(B$94,12,1),Base_Trimestrielle!$Q$74:$DC$276,91,0)&lt;&gt;"",SUMIF(Base_Trimestrielle!$O$74:$O$276,B$94,Base_Trimestrielle!$DB$74:$DB$276),"")</f>
        <v>506636</v>
      </c>
      <c r="C102" s="1640">
        <f>IF(VLOOKUP(DATE(C$94,12,1),Base_Trimestrielle!$Q$74:$DC$276,91,0)&lt;&gt;"",SUMIF(Base_Trimestrielle!$O$74:$O$276,C$94,Base_Trimestrielle!$DB$74:$DB$276),"")</f>
        <v>440663.55063125439</v>
      </c>
      <c r="D102" s="1640">
        <f>IF(VLOOKUP(DATE(D$94,12,1),Base_Trimestrielle!$Q$74:$DC$276,91,0)&lt;&gt;"",SUMIF(Base_Trimestrielle!$O$74:$O$276,D$94,Base_Trimestrielle!$DB$74:$DB$276),"")</f>
        <v>474585</v>
      </c>
      <c r="E102" s="1640">
        <f>IF(VLOOKUP(DATE(E$94,12,1),Base_Trimestrielle!$Q$74:$DC$276,91,0)&lt;&gt;"",SUMIF(Base_Trimestrielle!$O$74:$O$276,E$94,Base_Trimestrielle!$DB$74:$DB$276),"")</f>
        <v>488351</v>
      </c>
      <c r="F102" s="1640">
        <f>IF(VLOOKUP(DATE(F$94,12,1),Base_Trimestrielle!$Q$74:$DC$276,91,0)&lt;&gt;"",SUMIF(Base_Trimestrielle!$O$74:$O$276,F$94,Base_Trimestrielle!$DB$74:$DB$276),"")</f>
        <v>528242.3010490404</v>
      </c>
      <c r="G102" s="1640">
        <f>IF(VLOOKUP(DATE(G$94,12,1),Base_Trimestrielle!$Q$74:$DC$276,91,0)&lt;&gt;"",SUMIF(Base_Trimestrielle!$O$74:$O$276,G$94,Base_Trimestrielle!$DB$74:$DB$276),"")</f>
        <v>540390</v>
      </c>
      <c r="H102" s="1640">
        <f>IF(VLOOKUP(DATE(H$94,12,1),Base_Trimestrielle!$Q$74:$DC$276,91,0)&lt;&gt;"",SUMIF(Base_Trimestrielle!$O$74:$O$276,H$94,Base_Trimestrielle!$DB$74:$DB$276),"")</f>
        <v>569339</v>
      </c>
      <c r="I102" s="1640">
        <f>IF(VLOOKUP(DATE(I$94,12,1),Base_Trimestrielle!$Q$74:$DC$276,91,0)&lt;&gt;"",SUMIF(Base_Trimestrielle!$O$74:$O$276,I$94,Base_Trimestrielle!$DB$74:$DB$276),"")</f>
        <v>429931</v>
      </c>
      <c r="J102" s="1640">
        <f>IF(VLOOKUP(DATE(J$94,12,1),Base_Trimestrielle!$Q$74:$DC$276,91,0)&lt;&gt;"",SUMIF(Base_Trimestrielle!$O$74:$O$276,J$94,Base_Trimestrielle!$DB$74:$DB$276),"")</f>
        <v>524136</v>
      </c>
      <c r="K102" s="1640">
        <f>IF(VLOOKUP(DATE(K$94,12,1),Base_Trimestrielle!$Q$74:$DC$276,91,0)&lt;&gt;"",SUMIF(Base_Trimestrielle!$O$74:$O$276,K$94,Base_Trimestrielle!$DB$74:$DB$276),"")</f>
        <v>506874</v>
      </c>
      <c r="L102" s="1640" t="str">
        <f>IF(VLOOKUP(DATE(L$94,12,1),Base_Trimestrielle!$Q$74:$DC$276,91,0)&lt;&gt;"",SUMIF(Base_Trimestrielle!$O$74:$O$276,L$94,Base_Trimestrielle!$DB$74:$DB$276),"")</f>
        <v/>
      </c>
      <c r="M102" s="1173"/>
      <c r="N102" s="1173"/>
    </row>
    <row r="103" spans="1:14" ht="11.5" customHeight="1">
      <c r="A103" s="1195" t="s">
        <v>830</v>
      </c>
      <c r="I103" s="1173"/>
      <c r="J103" s="1173"/>
      <c r="K103" s="1173"/>
      <c r="L103" s="1173"/>
      <c r="M103" s="1173"/>
      <c r="N103" s="1173"/>
    </row>
    <row r="104" spans="1:14" ht="11.5" customHeight="1">
      <c r="A104" s="1173"/>
      <c r="G104" s="1173"/>
      <c r="H104" s="1173"/>
      <c r="I104" s="1173"/>
      <c r="J104" s="1173"/>
      <c r="K104" s="1173"/>
      <c r="L104" s="1173"/>
      <c r="M104" s="1173"/>
      <c r="N104" s="1173"/>
    </row>
    <row r="105" spans="1:14" ht="11.5" customHeight="1">
      <c r="M105" s="1173"/>
      <c r="N105" s="1173"/>
    </row>
    <row r="106" spans="1:14" ht="11.5" customHeight="1">
      <c r="A106" s="1173"/>
      <c r="G106" s="1173"/>
      <c r="H106" s="1173"/>
      <c r="I106" s="1173"/>
      <c r="J106" s="1173"/>
      <c r="K106" s="1173"/>
      <c r="L106" s="1173"/>
      <c r="M106" s="1173"/>
      <c r="N106" s="1173"/>
    </row>
    <row r="107" spans="1:14" ht="11.5" customHeight="1">
      <c r="A107" s="1173"/>
      <c r="G107" s="1173"/>
      <c r="H107" s="1173"/>
      <c r="I107" s="1173"/>
      <c r="J107" s="1173"/>
      <c r="K107" s="1173"/>
      <c r="L107" s="1173"/>
      <c r="M107" s="1173"/>
      <c r="N107" s="1173"/>
    </row>
    <row r="108" spans="1:14" ht="11.5" customHeight="1">
      <c r="A108" s="1173"/>
      <c r="G108" s="1173"/>
      <c r="H108" s="1173"/>
      <c r="I108" s="1173"/>
      <c r="J108" s="1173"/>
      <c r="K108" s="1173"/>
      <c r="L108" s="1173"/>
      <c r="M108" s="1173"/>
      <c r="N108" s="1173"/>
    </row>
    <row r="109" spans="1:14" ht="11.5" customHeight="1">
      <c r="A109" s="1173"/>
      <c r="G109" s="1173"/>
      <c r="H109" s="1173"/>
      <c r="I109" s="1173"/>
      <c r="J109" s="1173"/>
      <c r="K109" s="1173"/>
      <c r="L109" s="1173"/>
    </row>
    <row r="110" spans="1:14" ht="11.5" customHeight="1">
      <c r="A110" s="1173"/>
      <c r="G110" s="1173"/>
      <c r="H110" s="1173"/>
      <c r="I110" s="1173"/>
      <c r="J110" s="1173"/>
      <c r="K110" s="1173"/>
      <c r="L110" s="1173"/>
      <c r="M110" s="1173"/>
      <c r="N110" s="1173"/>
    </row>
    <row r="111" spans="1:14" ht="11.5" customHeight="1">
      <c r="A111" s="1173"/>
      <c r="G111" s="1173"/>
      <c r="H111" s="1173"/>
      <c r="I111" s="1173"/>
      <c r="J111" s="1173"/>
      <c r="K111" s="1173"/>
      <c r="L111" s="1173"/>
      <c r="M111" s="1173"/>
      <c r="N111" s="1173"/>
    </row>
    <row r="112" spans="1:14" ht="11.5" customHeight="1">
      <c r="A112" s="1173"/>
      <c r="G112" s="1173"/>
      <c r="H112" s="1173"/>
      <c r="I112" s="1173"/>
      <c r="J112" s="1173"/>
      <c r="K112" s="1173"/>
      <c r="L112" s="1173"/>
      <c r="M112" s="1173"/>
      <c r="N112" s="1173"/>
    </row>
    <row r="113" spans="1:14" ht="11.5" customHeight="1">
      <c r="A113" s="1173"/>
      <c r="G113" s="1173"/>
      <c r="H113" s="1173"/>
      <c r="I113" s="1173"/>
      <c r="J113" s="1173"/>
      <c r="K113" s="1173"/>
      <c r="L113" s="1173"/>
      <c r="M113" s="1173"/>
      <c r="N113" s="1173"/>
    </row>
    <row r="114" spans="1:14" ht="11.5" customHeight="1">
      <c r="A114" s="1173"/>
      <c r="G114" s="1173"/>
      <c r="H114" s="1173"/>
      <c r="I114" s="1173"/>
      <c r="J114" s="1173"/>
      <c r="K114" s="1173"/>
      <c r="L114" s="1173"/>
      <c r="M114" s="1173"/>
      <c r="N114" s="1173"/>
    </row>
    <row r="115" spans="1:14" ht="11.5" customHeight="1">
      <c r="A115" s="1173"/>
      <c r="G115" s="1173"/>
      <c r="H115" s="1173"/>
      <c r="I115" s="1173"/>
      <c r="J115" s="1173"/>
      <c r="K115" s="1173"/>
      <c r="L115" s="1173"/>
      <c r="M115" s="1173"/>
      <c r="N115" s="1173"/>
    </row>
    <row r="116" spans="1:14" ht="11.5" customHeight="1">
      <c r="A116" s="1173"/>
      <c r="G116" s="1173"/>
      <c r="H116" s="1173"/>
      <c r="I116" s="1173"/>
      <c r="J116" s="1173"/>
      <c r="K116" s="1173"/>
      <c r="L116" s="1173"/>
      <c r="M116" s="1173"/>
      <c r="N116" s="1173"/>
    </row>
    <row r="117" spans="1:14" ht="11.5" customHeight="1">
      <c r="A117" s="1173"/>
      <c r="B117" s="1173"/>
      <c r="C117" s="1173"/>
      <c r="D117" s="1173"/>
      <c r="E117" s="1173"/>
      <c r="F117" s="1173"/>
      <c r="G117" s="1173"/>
      <c r="H117" s="1173"/>
      <c r="I117" s="1173"/>
      <c r="J117" s="1173"/>
      <c r="K117" s="1173"/>
      <c r="L117" s="1173"/>
      <c r="M117" s="1173"/>
      <c r="N117" s="1173"/>
    </row>
    <row r="118" spans="1:14" ht="11.5" customHeight="1">
      <c r="A118" s="1173"/>
      <c r="B118" s="1173"/>
      <c r="C118" s="1173"/>
      <c r="D118" s="1173"/>
      <c r="E118" s="1173"/>
      <c r="F118" s="1173"/>
      <c r="G118" s="1173"/>
      <c r="H118" s="1173"/>
      <c r="I118" s="1173"/>
      <c r="J118" s="1173"/>
      <c r="K118" s="1173"/>
      <c r="L118" s="1173"/>
      <c r="M118" s="1173"/>
      <c r="N118" s="1173"/>
    </row>
    <row r="119" spans="1:14" ht="11.5" customHeight="1">
      <c r="A119" s="1173"/>
      <c r="B119" s="1173"/>
      <c r="C119" s="1173"/>
      <c r="D119" s="1173"/>
      <c r="E119" s="1173"/>
      <c r="F119" s="1173"/>
      <c r="G119" s="1173"/>
      <c r="H119" s="1173"/>
      <c r="I119" s="1173"/>
      <c r="J119" s="1173"/>
      <c r="K119" s="1173"/>
      <c r="L119" s="1173"/>
      <c r="M119" s="1173"/>
      <c r="N119" s="1173"/>
    </row>
    <row r="120" spans="1:14" ht="11.5" customHeight="1">
      <c r="M120" s="1173"/>
      <c r="N120" s="1173"/>
    </row>
    <row r="121" spans="1:14" ht="11.5" customHeight="1">
      <c r="M121" s="1173"/>
      <c r="N121" s="1173"/>
    </row>
    <row r="122" spans="1:14" ht="11.5" customHeight="1">
      <c r="M122" s="1173"/>
      <c r="N122" s="1173"/>
    </row>
    <row r="123" spans="1:14" ht="11.5" customHeight="1">
      <c r="M123" s="1173"/>
      <c r="N123" s="1173"/>
    </row>
  </sheetData>
  <mergeCells count="1">
    <mergeCell ref="A61:F61"/>
  </mergeCells>
  <pageMargins left="0.70866141732283472" right="0.70866141732283472" top="0.74803149606299213" bottom="0.74803149606299213" header="0.31496062992125984" footer="0.31496062992125984"/>
  <pageSetup paperSize="9" scale="70" firstPageNumber="44" orientation="portrait" r:id="rId1"/>
  <headerFooter>
    <oddFooter>&amp;L&amp;8Bulletin trimestriel de conjoncture, 4e trimestre 2023</oddFooter>
  </headerFooter>
  <rowBreaks count="1" manualBreakCount="1">
    <brk id="59"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26">
    <tabColor rgb="FF00B050"/>
  </sheetPr>
  <dimension ref="A1:J126"/>
  <sheetViews>
    <sheetView view="pageBreakPreview" topLeftCell="A11" zoomScaleSheetLayoutView="100" workbookViewId="0"/>
  </sheetViews>
  <sheetFormatPr baseColWidth="10" defaultColWidth="11.44140625" defaultRowHeight="11.1" customHeight="1"/>
  <cols>
    <col min="1" max="1" width="12.1640625" style="1132" customWidth="1"/>
    <col min="2" max="2" width="9" style="1119" customWidth="1"/>
    <col min="3" max="3" width="9.44140625" style="1119" bestFit="1" customWidth="1"/>
    <col min="4" max="6" width="9.83203125" style="1119" bestFit="1" customWidth="1"/>
    <col min="7" max="7" width="9.44140625" style="1119" bestFit="1" customWidth="1"/>
    <col min="8" max="10" width="9.83203125" style="1119" bestFit="1" customWidth="1"/>
    <col min="11" max="16384" width="11.44140625" style="1119"/>
  </cols>
  <sheetData>
    <row r="1" spans="1:10" ht="12.75" customHeight="1">
      <c r="A1" s="1105" t="s">
        <v>1120</v>
      </c>
      <c r="B1" s="1118"/>
      <c r="C1" s="1118"/>
      <c r="D1" s="1118"/>
      <c r="E1" s="1118"/>
      <c r="F1" s="1118"/>
      <c r="G1" s="1118"/>
    </row>
    <row r="2" spans="1:10" ht="9" customHeight="1">
      <c r="A2" s="1120"/>
      <c r="B2" s="1118"/>
      <c r="C2" s="1118"/>
      <c r="D2" s="1118"/>
      <c r="E2" s="1118"/>
      <c r="F2" s="1118"/>
      <c r="G2" s="1121"/>
    </row>
    <row r="3" spans="1:10" ht="12.75" customHeight="1">
      <c r="A3" s="1423"/>
      <c r="B3" s="1122">
        <f t="shared" ref="B3:H3" si="0">C3-1</f>
        <v>2014</v>
      </c>
      <c r="C3" s="1122">
        <f t="shared" si="0"/>
        <v>2015</v>
      </c>
      <c r="D3" s="1122">
        <f t="shared" si="0"/>
        <v>2016</v>
      </c>
      <c r="E3" s="1122">
        <f t="shared" si="0"/>
        <v>2017</v>
      </c>
      <c r="F3" s="1122">
        <f t="shared" si="0"/>
        <v>2018</v>
      </c>
      <c r="G3" s="1122">
        <f t="shared" si="0"/>
        <v>2019</v>
      </c>
      <c r="H3" s="1122">
        <f t="shared" si="0"/>
        <v>2020</v>
      </c>
      <c r="I3" s="1122">
        <f>J3-1</f>
        <v>2021</v>
      </c>
      <c r="J3" s="1122">
        <f>YEAR(INDEX(Base_Mensuelle!$OF$68:$RQ$679,MAX(Base_Mensuelle!$RQ$68:$RQ$679),1))</f>
        <v>2022</v>
      </c>
    </row>
    <row r="4" spans="1:10" ht="12.75" customHeight="1">
      <c r="A4" s="1424" t="s">
        <v>735</v>
      </c>
      <c r="B4" s="1123">
        <f>IF(VLOOKUP(DATE(B$3,1,1),Base_Mensuelle!$OF$68:$RQ$679,88,0)&lt;&gt;"",VLOOKUP(DATE(B$3,1,1),Base_Mensuelle!$OF$68:$RQ$679,88,0),"")</f>
        <v>75</v>
      </c>
      <c r="C4" s="1123">
        <f>IF(VLOOKUP(DATE(C$3,1,1),Base_Mensuelle!$OF$68:$RQ$679,88,0)&lt;&gt;"",VLOOKUP(DATE(C$3,1,1),Base_Mensuelle!$OF$68:$RQ$679,88,0),"")</f>
        <v>45</v>
      </c>
      <c r="D4" s="1123">
        <f>IF(VLOOKUP(DATE(D$3,1,1),Base_Mensuelle!$OF$68:$RQ$679,88,0)&lt;&gt;"",VLOOKUP(DATE(D$3,1,1),Base_Mensuelle!$OF$68:$RQ$679,88,0),"")</f>
        <v>53</v>
      </c>
      <c r="E4" s="1124">
        <f>IF(VLOOKUP(DATE(E$3,1,1),Base_Mensuelle!$OF$68:$RQ$679,88,0)&lt;&gt;"",VLOOKUP(DATE(E$3,1,1),Base_Mensuelle!$OF$68:$RQ$679,88,0),"")</f>
        <v>53</v>
      </c>
      <c r="F4" s="1123">
        <f>IF(VLOOKUP(DATE(F$3,1,1),Base_Mensuelle!$OF$68:$RQ$679,88,0)&lt;&gt;"",VLOOKUP(DATE(F$3,1,1),Base_Mensuelle!$OF$68:$RQ$679,88,0),"")</f>
        <v>83</v>
      </c>
      <c r="G4" s="1123">
        <f>IF(VLOOKUP(DATE(G$3,1,1),Base_Mensuelle!$OF$68:$RQ$679,88,0)&lt;&gt;"",VLOOKUP(DATE(G$3,1,1),Base_Mensuelle!$OF$68:$RQ$679,88,0),"")</f>
        <v>66</v>
      </c>
      <c r="H4" s="1123">
        <f>IF(VLOOKUP(DATE(H$3,1,1),Base_Mensuelle!$OF$68:$RQ$679,88,0)&lt;&gt;"",VLOOKUP(DATE(H$3,1,1),Base_Mensuelle!$OF$68:$RQ$679,88,0),"")</f>
        <v>785</v>
      </c>
      <c r="I4" s="1123">
        <f>IF(VLOOKUP(DATE(I$3,1,1),Base_Mensuelle!$OF$68:$RQ$679,88,0)&lt;&gt;"",VLOOKUP(DATE(I$3,1,1),Base_Mensuelle!$OF$68:$RQ$679,88,0),"")</f>
        <v>1510</v>
      </c>
      <c r="J4" s="1123">
        <f>IF(VLOOKUP(DATE(J$3,1,1),Base_Mensuelle!$OF$68:$RQ$679,88,0)&lt;&gt;"",VLOOKUP(DATE(J$3,1,1),Base_Mensuelle!$OF$68:$RQ$679,88,0),"")</f>
        <v>367</v>
      </c>
    </row>
    <row r="5" spans="1:10" ht="12.75" customHeight="1">
      <c r="A5" s="1425" t="s">
        <v>736</v>
      </c>
      <c r="B5" s="1126">
        <f>IF(VLOOKUP(DATE(B$3,2,1),Base_Mensuelle!$OF$68:$RQ$679,88,0)&lt;&gt;"",VLOOKUP(DATE(B$3,2,1),Base_Mensuelle!$OF$68:$RQ$679,88,0),"")</f>
        <v>113</v>
      </c>
      <c r="C5" s="1126">
        <f>IF(VLOOKUP(DATE(C$3,2,1),Base_Mensuelle!$OF$68:$RQ$679,88,0)&lt;&gt;"",VLOOKUP(DATE(C$3,2,1),Base_Mensuelle!$OF$68:$RQ$679,88,0),"")</f>
        <v>67</v>
      </c>
      <c r="D5" s="1126">
        <f>IF(VLOOKUP(DATE(D$3,2,1),Base_Mensuelle!$OF$68:$RQ$679,88,0)&lt;&gt;"",VLOOKUP(DATE(D$3,2,1),Base_Mensuelle!$OF$68:$RQ$679,88,0),"")</f>
        <v>75</v>
      </c>
      <c r="E5" s="1127">
        <f>IF(VLOOKUP(DATE(E$3,2,1),Base_Mensuelle!$OF$68:$RQ$679,88,0)&lt;&gt;"",VLOOKUP(DATE(E$3,2,1),Base_Mensuelle!$OF$68:$RQ$679,88,0),"")</f>
        <v>84</v>
      </c>
      <c r="F5" s="1126">
        <f>IF(VLOOKUP(DATE(F$3,2,1),Base_Mensuelle!$OF$68:$RQ$679,88,0)&lt;&gt;"",VLOOKUP(DATE(F$3,2,1),Base_Mensuelle!$OF$68:$RQ$679,88,0),"")</f>
        <v>90</v>
      </c>
      <c r="G5" s="1126">
        <f>IF(VLOOKUP(DATE(G$3,2,1),Base_Mensuelle!$OF$68:$RQ$679,88,0)&lt;&gt;"",VLOOKUP(DATE(G$3,2,1),Base_Mensuelle!$OF$68:$RQ$679,88,0),"")</f>
        <v>102</v>
      </c>
      <c r="H5" s="1126">
        <f>IF(VLOOKUP(DATE(H$3,2,1),Base_Mensuelle!$OF$68:$RQ$679,88,0)&lt;&gt;"",VLOOKUP(DATE(H$3,2,1),Base_Mensuelle!$OF$68:$RQ$679,88,0),"")</f>
        <v>1839</v>
      </c>
      <c r="I5" s="1126">
        <f>IF(VLOOKUP(DATE(I$3,2,1),Base_Mensuelle!$OF$68:$RQ$679,88,0)&lt;&gt;"",VLOOKUP(DATE(I$3,2,1),Base_Mensuelle!$OF$68:$RQ$679,88,0),"")</f>
        <v>420</v>
      </c>
      <c r="J5" s="1126">
        <f>IF(VLOOKUP(DATE(J$3,2,1),Base_Mensuelle!$OF$68:$RQ$679,88,0)&lt;&gt;"",VLOOKUP(DATE(J$3,2,1),Base_Mensuelle!$OF$68:$RQ$679,88,0),"")</f>
        <v>186</v>
      </c>
    </row>
    <row r="6" spans="1:10" ht="12.75" customHeight="1">
      <c r="A6" s="1426" t="s">
        <v>737</v>
      </c>
      <c r="B6" s="1123">
        <f>IF(VLOOKUP(DATE(B$3,3,1),Base_Mensuelle!$OF$68:$RQ$679,88,0)&lt;&gt;"",VLOOKUP(DATE(B$3,3,1),Base_Mensuelle!$OF$68:$RQ$679,88,0),"")</f>
        <v>107</v>
      </c>
      <c r="C6" s="1123">
        <f>IF(VLOOKUP(DATE(C$3,3,1),Base_Mensuelle!$OF$68:$RQ$679,88,0)&lt;&gt;"",VLOOKUP(DATE(C$3,3,1),Base_Mensuelle!$OF$68:$RQ$679,88,0),"")</f>
        <v>17</v>
      </c>
      <c r="D6" s="1123">
        <f>IF(VLOOKUP(DATE(D$3,3,1),Base_Mensuelle!$OF$68:$RQ$679,88,0)&lt;&gt;"",VLOOKUP(DATE(D$3,3,1),Base_Mensuelle!$OF$68:$RQ$679,88,0),"")</f>
        <v>90</v>
      </c>
      <c r="E6" s="1124">
        <f>IF(VLOOKUP(DATE(E$3,3,1),Base_Mensuelle!$OF$68:$RQ$679,88,0)&lt;&gt;"",VLOOKUP(DATE(E$3,3,1),Base_Mensuelle!$OF$68:$RQ$679,88,0),"")</f>
        <v>104</v>
      </c>
      <c r="F6" s="1123">
        <f>IF(VLOOKUP(DATE(F$3,3,1),Base_Mensuelle!$OF$68:$RQ$679,88,0)&lt;&gt;"",VLOOKUP(DATE(F$3,3,1),Base_Mensuelle!$OF$68:$RQ$679,88,0),"")</f>
        <v>16</v>
      </c>
      <c r="G6" s="1123">
        <f>IF(VLOOKUP(DATE(G$3,3,1),Base_Mensuelle!$OF$68:$RQ$679,88,0)&lt;&gt;"",VLOOKUP(DATE(G$3,3,1),Base_Mensuelle!$OF$68:$RQ$679,88,0),"")</f>
        <v>75</v>
      </c>
      <c r="H6" s="1123">
        <f>IF(VLOOKUP(DATE(H$3,3,1),Base_Mensuelle!$OF$68:$RQ$679,88,0)&lt;&gt;"",VLOOKUP(DATE(H$3,3,1),Base_Mensuelle!$OF$68:$RQ$679,88,0),"")</f>
        <v>514</v>
      </c>
      <c r="I6" s="1123">
        <f>IF(VLOOKUP(DATE(I$3,3,1),Base_Mensuelle!$OF$68:$RQ$679,88,0)&lt;&gt;"",VLOOKUP(DATE(I$3,3,1),Base_Mensuelle!$OF$68:$RQ$679,88,0),"")</f>
        <v>839</v>
      </c>
      <c r="J6" s="1123">
        <f>IF(VLOOKUP(DATE(J$3,3,1),Base_Mensuelle!$OF$68:$RQ$679,88,0)&lt;&gt;"",VLOOKUP(DATE(J$3,3,1),Base_Mensuelle!$OF$68:$RQ$679,88,0),"")</f>
        <v>380</v>
      </c>
    </row>
    <row r="7" spans="1:10" ht="12.75" customHeight="1">
      <c r="A7" s="1425" t="s">
        <v>738</v>
      </c>
      <c r="B7" s="1126">
        <f>IF(VLOOKUP(DATE(B$3,4,1),Base_Mensuelle!$OF$68:$RQ$679,88,0)&lt;&gt;"",VLOOKUP(DATE(B$3,4,1),Base_Mensuelle!$OF$68:$RQ$679,88,0),"")</f>
        <v>100</v>
      </c>
      <c r="C7" s="1126">
        <f>IF(VLOOKUP(DATE(C$3,4,1),Base_Mensuelle!$OF$68:$RQ$679,88,0)&lt;&gt;"",VLOOKUP(DATE(C$3,4,1),Base_Mensuelle!$OF$68:$RQ$679,88,0),"")</f>
        <v>81</v>
      </c>
      <c r="D7" s="1126">
        <f>IF(VLOOKUP(DATE(D$3,4,1),Base_Mensuelle!$OF$68:$RQ$679,88,0)&lt;&gt;"",VLOOKUP(DATE(D$3,4,1),Base_Mensuelle!$OF$68:$RQ$679,88,0),"")</f>
        <v>97</v>
      </c>
      <c r="E7" s="1127">
        <f>IF(VLOOKUP(DATE(E$3,4,1),Base_Mensuelle!$OF$68:$RQ$679,88,0)&lt;&gt;"",VLOOKUP(DATE(E$3,4,1),Base_Mensuelle!$OF$68:$RQ$679,88,0),"")</f>
        <v>116</v>
      </c>
      <c r="F7" s="1126">
        <f>IF(VLOOKUP(DATE(F$3,4,1),Base_Mensuelle!$OF$68:$RQ$679,88,0)&lt;&gt;"",VLOOKUP(DATE(F$3,4,1),Base_Mensuelle!$OF$68:$RQ$679,88,0),"")</f>
        <v>132</v>
      </c>
      <c r="G7" s="1126">
        <f>IF(VLOOKUP(DATE(G$3,4,1),Base_Mensuelle!$OF$68:$RQ$679,88,0)&lt;&gt;"",VLOOKUP(DATE(G$3,4,1),Base_Mensuelle!$OF$68:$RQ$679,88,0),"")</f>
        <v>61</v>
      </c>
      <c r="H7" s="1126">
        <f>IF(VLOOKUP(DATE(H$3,4,1),Base_Mensuelle!$OF$68:$RQ$679,88,0)&lt;&gt;"",VLOOKUP(DATE(H$3,4,1),Base_Mensuelle!$OF$68:$RQ$679,88,0),"")</f>
        <v>326</v>
      </c>
      <c r="I7" s="1126">
        <f>IF(VLOOKUP(DATE(I$3,4,1),Base_Mensuelle!$OF$68:$RQ$679,88,0)&lt;&gt;"",VLOOKUP(DATE(I$3,4,1),Base_Mensuelle!$OF$68:$RQ$679,88,0),"")</f>
        <v>186</v>
      </c>
      <c r="J7" s="1126">
        <f>IF(VLOOKUP(DATE(J$3,4,1),Base_Mensuelle!$OF$68:$RQ$679,88,0)&lt;&gt;"",VLOOKUP(DATE(J$3,4,1),Base_Mensuelle!$OF$68:$RQ$679,88,0),"")</f>
        <v>384.54854369108716</v>
      </c>
    </row>
    <row r="8" spans="1:10" ht="12.75" customHeight="1">
      <c r="A8" s="1426" t="s">
        <v>739</v>
      </c>
      <c r="B8" s="1123">
        <f>IF(VLOOKUP(DATE(B$3,5,1),Base_Mensuelle!$OF$68:$RQ$679,88,0)&lt;&gt;"",VLOOKUP(DATE(B$3,5,1),Base_Mensuelle!$OF$68:$RQ$679,88,0),"")</f>
        <v>69</v>
      </c>
      <c r="C8" s="1123">
        <f>IF(VLOOKUP(DATE(C$3,5,1),Base_Mensuelle!$OF$68:$RQ$679,88,0)&lt;&gt;"",VLOOKUP(DATE(C$3,5,1),Base_Mensuelle!$OF$68:$RQ$679,88,0),"")</f>
        <v>59</v>
      </c>
      <c r="D8" s="1123">
        <f>IF(VLOOKUP(DATE(D$3,5,1),Base_Mensuelle!$OF$68:$RQ$679,88,0)&lt;&gt;"",VLOOKUP(DATE(D$3,5,1),Base_Mensuelle!$OF$68:$RQ$679,88,0),"")</f>
        <v>101</v>
      </c>
      <c r="E8" s="1124">
        <f>IF(VLOOKUP(DATE(E$3,5,1),Base_Mensuelle!$OF$68:$RQ$679,88,0)&lt;&gt;"",VLOOKUP(DATE(E$3,5,1),Base_Mensuelle!$OF$68:$RQ$679,88,0),"")</f>
        <v>96</v>
      </c>
      <c r="F8" s="1123">
        <f>IF(VLOOKUP(DATE(F$3,5,1),Base_Mensuelle!$OF$68:$RQ$679,88,0)&lt;&gt;"",VLOOKUP(DATE(F$3,5,1),Base_Mensuelle!$OF$68:$RQ$679,88,0),"")</f>
        <v>120</v>
      </c>
      <c r="G8" s="1123">
        <f>IF(VLOOKUP(DATE(G$3,5,1),Base_Mensuelle!$OF$68:$RQ$679,88,0)&lt;&gt;"",VLOOKUP(DATE(G$3,5,1),Base_Mensuelle!$OF$68:$RQ$679,88,0),"")</f>
        <v>133</v>
      </c>
      <c r="H8" s="1123">
        <f>IF(VLOOKUP(DATE(H$3,5,1),Base_Mensuelle!$OF$68:$RQ$679,88,0)&lt;&gt;"",VLOOKUP(DATE(H$3,5,1),Base_Mensuelle!$OF$68:$RQ$679,88,0),"")</f>
        <v>113</v>
      </c>
      <c r="I8" s="1123">
        <f>IF(VLOOKUP(DATE(I$3,5,1),Base_Mensuelle!$OF$68:$RQ$679,88,0)&lt;&gt;"",VLOOKUP(DATE(I$3,5,1),Base_Mensuelle!$OF$68:$RQ$679,88,0),"")</f>
        <v>160</v>
      </c>
      <c r="J8" s="1123">
        <f>IF(VLOOKUP(DATE(J$3,5,1),Base_Mensuelle!$OF$68:$RQ$679,88,0)&lt;&gt;"",VLOOKUP(DATE(J$3,5,1),Base_Mensuelle!$OF$68:$RQ$679,88,0),"")</f>
        <v>406.15219606391281</v>
      </c>
    </row>
    <row r="9" spans="1:10" ht="12.75" customHeight="1">
      <c r="A9" s="1425" t="s">
        <v>740</v>
      </c>
      <c r="B9" s="1126">
        <f>IF(VLOOKUP(DATE(B$3,6,1),Base_Mensuelle!$OF$68:$RQ$679,88,0)&lt;&gt;"",VLOOKUP(DATE(B$3,6,1),Base_Mensuelle!$OF$68:$RQ$679,88,0),"")</f>
        <v>70</v>
      </c>
      <c r="C9" s="1126">
        <f>IF(VLOOKUP(DATE(C$3,6,1),Base_Mensuelle!$OF$68:$RQ$679,88,0)&lt;&gt;"",VLOOKUP(DATE(C$3,6,1),Base_Mensuelle!$OF$68:$RQ$679,88,0),"")</f>
        <v>66</v>
      </c>
      <c r="D9" s="1126">
        <f>IF(VLOOKUP(DATE(D$3,6,1),Base_Mensuelle!$OF$68:$RQ$679,88,0)&lt;&gt;"",VLOOKUP(DATE(D$3,6,1),Base_Mensuelle!$OF$68:$RQ$679,88,0),"")</f>
        <v>97</v>
      </c>
      <c r="E9" s="1127">
        <f>IF(VLOOKUP(DATE(E$3,6,1),Base_Mensuelle!$OF$68:$RQ$679,88,0)&lt;&gt;"",VLOOKUP(DATE(E$3,6,1),Base_Mensuelle!$OF$68:$RQ$679,88,0),"")</f>
        <v>113</v>
      </c>
      <c r="F9" s="1126">
        <f>IF(VLOOKUP(DATE(F$3,6,1),Base_Mensuelle!$OF$68:$RQ$679,88,0)&lt;&gt;"",VLOOKUP(DATE(F$3,6,1),Base_Mensuelle!$OF$68:$RQ$679,88,0),"")</f>
        <v>8</v>
      </c>
      <c r="G9" s="1126">
        <f>IF(VLOOKUP(DATE(G$3,6,1),Base_Mensuelle!$OF$68:$RQ$679,88,0)&lt;&gt;"",VLOOKUP(DATE(G$3,6,1),Base_Mensuelle!$OF$68:$RQ$679,88,0),"")</f>
        <v>110</v>
      </c>
      <c r="H9" s="1126">
        <f>IF(VLOOKUP(DATE(H$3,6,1),Base_Mensuelle!$OF$68:$RQ$679,88,0)&lt;&gt;"",VLOOKUP(DATE(H$3,6,1),Base_Mensuelle!$OF$68:$RQ$679,88,0),"")</f>
        <v>156</v>
      </c>
      <c r="I9" s="1126">
        <f>IF(VLOOKUP(DATE(I$3,6,1),Base_Mensuelle!$OF$68:$RQ$679,88,0)&lt;&gt;"",VLOOKUP(DATE(I$3,6,1),Base_Mensuelle!$OF$68:$RQ$679,88,0),"")</f>
        <v>193</v>
      </c>
      <c r="J9" s="1126">
        <f>IF(VLOOKUP(DATE(J$3,6,1),Base_Mensuelle!$OF$68:$RQ$679,88,0)&lt;&gt;"",VLOOKUP(DATE(J$3,6,1),Base_Mensuelle!$OF$68:$RQ$679,88,0),"")</f>
        <v>451.28219795270263</v>
      </c>
    </row>
    <row r="10" spans="1:10" ht="12.75" customHeight="1">
      <c r="A10" s="1426" t="s">
        <v>741</v>
      </c>
      <c r="B10" s="1123">
        <f>IF(VLOOKUP(DATE(B$3,7,1),Base_Mensuelle!$OF$68:$RQ$679,88,0)&lt;&gt;"",VLOOKUP(DATE(B$3,7,1),Base_Mensuelle!$OF$68:$RQ$679,88,0),"")</f>
        <v>73</v>
      </c>
      <c r="C10" s="1123">
        <f>IF(VLOOKUP(DATE(C$3,7,1),Base_Mensuelle!$OF$68:$RQ$679,88,0)&lt;&gt;"",VLOOKUP(DATE(C$3,7,1),Base_Mensuelle!$OF$68:$RQ$679,88,0),"")</f>
        <v>78</v>
      </c>
      <c r="D10" s="1123">
        <f>IF(VLOOKUP(DATE(D$3,7,1),Base_Mensuelle!$OF$68:$RQ$679,88,0)&lt;&gt;"",VLOOKUP(DATE(D$3,7,1),Base_Mensuelle!$OF$68:$RQ$679,88,0),"")</f>
        <v>82</v>
      </c>
      <c r="E10" s="1124">
        <f>IF(VLOOKUP(DATE(E$3,7,1),Base_Mensuelle!$OF$68:$RQ$679,88,0)&lt;&gt;"",VLOOKUP(DATE(E$3,7,1),Base_Mensuelle!$OF$68:$RQ$679,88,0),"")</f>
        <v>129</v>
      </c>
      <c r="F10" s="1123">
        <f>IF(VLOOKUP(DATE(F$3,7,1),Base_Mensuelle!$OF$68:$RQ$679,88,0)&lt;&gt;"",VLOOKUP(DATE(F$3,7,1),Base_Mensuelle!$OF$68:$RQ$679,88,0),"")</f>
        <v>12.98060606060606</v>
      </c>
      <c r="G10" s="1123">
        <f>IF(VLOOKUP(DATE(G$3,7,1),Base_Mensuelle!$OF$68:$RQ$679,88,0)&lt;&gt;"",VLOOKUP(DATE(G$3,7,1),Base_Mensuelle!$OF$68:$RQ$679,88,0),"")</f>
        <v>106</v>
      </c>
      <c r="H10" s="1123">
        <f>IF(VLOOKUP(DATE(H$3,7,1),Base_Mensuelle!$OF$68:$RQ$679,88,0)&lt;&gt;"",VLOOKUP(DATE(H$3,7,1),Base_Mensuelle!$OF$68:$RQ$679,88,0),"")</f>
        <v>110</v>
      </c>
      <c r="I10" s="1123">
        <f>IF(VLOOKUP(DATE(I$3,7,1),Base_Mensuelle!$OF$68:$RQ$679,88,0)&lt;&gt;"",VLOOKUP(DATE(I$3,7,1),Base_Mensuelle!$OF$68:$RQ$679,88,0),"")</f>
        <v>1902</v>
      </c>
      <c r="J10" s="1123">
        <f>IF(VLOOKUP(DATE(J$3,7,1),Base_Mensuelle!$OF$68:$RQ$679,88,0)&lt;&gt;"",VLOOKUP(DATE(J$3,7,1),Base_Mensuelle!$OF$68:$RQ$679,88,0),"")</f>
        <v>68</v>
      </c>
    </row>
    <row r="11" spans="1:10" ht="12.75" customHeight="1">
      <c r="A11" s="1425" t="s">
        <v>742</v>
      </c>
      <c r="B11" s="1126">
        <f>IF(VLOOKUP(DATE(B$3,8,1),Base_Mensuelle!$OF$68:$RQ$679,88,0)&lt;&gt;"",VLOOKUP(DATE(B$3,8,1),Base_Mensuelle!$OF$68:$RQ$679,88,0),"")</f>
        <v>85</v>
      </c>
      <c r="C11" s="1126">
        <f>IF(VLOOKUP(DATE(C$3,8,1),Base_Mensuelle!$OF$68:$RQ$679,88,0)&lt;&gt;"",VLOOKUP(DATE(C$3,8,1),Base_Mensuelle!$OF$68:$RQ$679,88,0),"")</f>
        <v>34</v>
      </c>
      <c r="D11" s="1126">
        <f>IF(VLOOKUP(DATE(D$3,8,1),Base_Mensuelle!$OF$68:$RQ$679,88,0)&lt;&gt;"",VLOOKUP(DATE(D$3,8,1),Base_Mensuelle!$OF$68:$RQ$679,88,0),"")</f>
        <v>81</v>
      </c>
      <c r="E11" s="1127">
        <f>IF(VLOOKUP(DATE(E$3,8,1),Base_Mensuelle!$OF$68:$RQ$679,88,0)&lt;&gt;"",VLOOKUP(DATE(E$3,8,1),Base_Mensuelle!$OF$68:$RQ$679,88,0),"")</f>
        <v>84</v>
      </c>
      <c r="F11" s="1126">
        <f>IF(VLOOKUP(DATE(F$3,8,1),Base_Mensuelle!$OF$68:$RQ$679,88,0)&lt;&gt;"",VLOOKUP(DATE(F$3,8,1),Base_Mensuelle!$OF$68:$RQ$679,88,0),"")</f>
        <v>12.459218383838383</v>
      </c>
      <c r="G11" s="1126">
        <f>IF(VLOOKUP(DATE(G$3,8,1),Base_Mensuelle!$OF$68:$RQ$679,88,0)&lt;&gt;"",VLOOKUP(DATE(G$3,8,1),Base_Mensuelle!$OF$68:$RQ$679,88,0),"")</f>
        <v>83</v>
      </c>
      <c r="H11" s="1126">
        <f>IF(VLOOKUP(DATE(H$3,8,1),Base_Mensuelle!$OF$68:$RQ$679,88,0)&lt;&gt;"",VLOOKUP(DATE(H$3,8,1),Base_Mensuelle!$OF$68:$RQ$679,88,0),"")</f>
        <v>913</v>
      </c>
      <c r="I11" s="1126">
        <f>IF(VLOOKUP(DATE(I$3,8,1),Base_Mensuelle!$OF$68:$RQ$679,88,0)&lt;&gt;"",VLOOKUP(DATE(I$3,8,1),Base_Mensuelle!$OF$68:$RQ$679,88,0),"")</f>
        <v>519</v>
      </c>
      <c r="J11" s="1126">
        <f>IF(VLOOKUP(DATE(J$3,8,1),Base_Mensuelle!$OF$68:$RQ$679,88,0)&lt;&gt;"",VLOOKUP(DATE(J$3,8,1),Base_Mensuelle!$OF$68:$RQ$679,88,0),"")</f>
        <v>100</v>
      </c>
    </row>
    <row r="12" spans="1:10" ht="12.75" customHeight="1">
      <c r="A12" s="1426" t="s">
        <v>743</v>
      </c>
      <c r="B12" s="1123">
        <f>IF(VLOOKUP(DATE(B$3,9,1),Base_Mensuelle!$OF$68:$RQ$679,88,0)&lt;&gt;"",VLOOKUP(DATE(B$3,9,1),Base_Mensuelle!$OF$68:$RQ$679,88,0),"")</f>
        <v>70</v>
      </c>
      <c r="C12" s="1123">
        <f>IF(VLOOKUP(DATE(C$3,9,1),Base_Mensuelle!$OF$68:$RQ$679,88,0)&lt;&gt;"",VLOOKUP(DATE(C$3,9,1),Base_Mensuelle!$OF$68:$RQ$679,88,0),"")</f>
        <v>41</v>
      </c>
      <c r="D12" s="1123">
        <f>IF(VLOOKUP(DATE(D$3,9,1),Base_Mensuelle!$OF$68:$RQ$679,88,0)&lt;&gt;"",VLOOKUP(DATE(D$3,9,1),Base_Mensuelle!$OF$68:$RQ$679,88,0),"")</f>
        <v>68</v>
      </c>
      <c r="E12" s="1124">
        <f>IF(VLOOKUP(DATE(E$3,9,1),Base_Mensuelle!$OF$68:$RQ$679,88,0)&lt;&gt;"",VLOOKUP(DATE(E$3,9,1),Base_Mensuelle!$OF$68:$RQ$679,88,0),"")</f>
        <v>135</v>
      </c>
      <c r="F12" s="1123">
        <f>IF(VLOOKUP(DATE(F$3,9,1),Base_Mensuelle!$OF$68:$RQ$679,88,0)&lt;&gt;"",VLOOKUP(DATE(F$3,9,1),Base_Mensuelle!$OF$68:$RQ$679,88,0),"")</f>
        <v>109</v>
      </c>
      <c r="G12" s="1123">
        <f>IF(VLOOKUP(DATE(G$3,9,1),Base_Mensuelle!$OF$68:$RQ$679,88,0)&lt;&gt;"",VLOOKUP(DATE(G$3,9,1),Base_Mensuelle!$OF$68:$RQ$679,88,0),"")</f>
        <v>87</v>
      </c>
      <c r="H12" s="1123">
        <f>IF(VLOOKUP(DATE(H$3,9,1),Base_Mensuelle!$OF$68:$RQ$679,88,0)&lt;&gt;"",VLOOKUP(DATE(H$3,9,1),Base_Mensuelle!$OF$68:$RQ$679,88,0),"")</f>
        <v>134</v>
      </c>
      <c r="I12" s="1123">
        <f>IF(VLOOKUP(DATE(I$3,9,1),Base_Mensuelle!$OF$68:$RQ$679,88,0)&lt;&gt;"",VLOOKUP(DATE(I$3,9,1),Base_Mensuelle!$OF$68:$RQ$679,88,0),"")</f>
        <v>814</v>
      </c>
      <c r="J12" s="1123">
        <f>IF(VLOOKUP(DATE(J$3,9,1),Base_Mensuelle!$OF$68:$RQ$679,88,0)&lt;&gt;"",VLOOKUP(DATE(J$3,9,1),Base_Mensuelle!$OF$68:$RQ$679,88,0),"")</f>
        <v>328</v>
      </c>
    </row>
    <row r="13" spans="1:10" ht="12.75" customHeight="1">
      <c r="A13" s="1425" t="s">
        <v>744</v>
      </c>
      <c r="B13" s="1126">
        <f>IF(VLOOKUP(DATE(B$3,10,1),Base_Mensuelle!$OF$68:$RQ$679,88,0)&lt;&gt;"",VLOOKUP(DATE(B$3,10,1),Base_Mensuelle!$OF$68:$RQ$679,88,0),"")</f>
        <v>45</v>
      </c>
      <c r="C13" s="1126">
        <f>IF(VLOOKUP(DATE(C$3,10,1),Base_Mensuelle!$OF$68:$RQ$679,88,0)&lt;&gt;"",VLOOKUP(DATE(C$3,10,1),Base_Mensuelle!$OF$68:$RQ$679,88,0),"")</f>
        <v>60</v>
      </c>
      <c r="D13" s="1126">
        <f>IF(VLOOKUP(DATE(D$3,10,1),Base_Mensuelle!$OF$68:$RQ$679,88,0)&lt;&gt;"",VLOOKUP(DATE(D$3,10,1),Base_Mensuelle!$OF$68:$RQ$679,88,0),"")</f>
        <v>83</v>
      </c>
      <c r="E13" s="1127">
        <f>IF(VLOOKUP(DATE(E$3,10,1),Base_Mensuelle!$OF$68:$RQ$679,88,0)&lt;&gt;"",VLOOKUP(DATE(E$3,10,1),Base_Mensuelle!$OF$68:$RQ$679,88,0),"")</f>
        <v>52</v>
      </c>
      <c r="F13" s="1126">
        <f>IF(VLOOKUP(DATE(F$3,10,1),Base_Mensuelle!$OF$68:$RQ$679,88,0)&lt;&gt;"",VLOOKUP(DATE(F$3,10,1),Base_Mensuelle!$OF$68:$RQ$679,88,0),"")</f>
        <v>87</v>
      </c>
      <c r="G13" s="1126">
        <f>IF(VLOOKUP(DATE(G$3,10,1),Base_Mensuelle!$OF$68:$RQ$679,88,0)&lt;&gt;"",VLOOKUP(DATE(G$3,10,1),Base_Mensuelle!$OF$68:$RQ$679,88,0),"")</f>
        <v>105</v>
      </c>
      <c r="H13" s="1126">
        <f>IF(VLOOKUP(DATE(H$3,10,1),Base_Mensuelle!$OF$68:$RQ$679,88,0)&lt;&gt;"",VLOOKUP(DATE(H$3,10,1),Base_Mensuelle!$OF$68:$RQ$679,88,0),"")</f>
        <v>122</v>
      </c>
      <c r="I13" s="1126">
        <f>IF(VLOOKUP(DATE(I$3,10,1),Base_Mensuelle!$OF$68:$RQ$679,88,0)&lt;&gt;"",VLOOKUP(DATE(I$3,10,1),Base_Mensuelle!$OF$68:$RQ$679,88,0),"")</f>
        <v>374</v>
      </c>
      <c r="J13" s="1126" t="str">
        <f>IF(VLOOKUP(DATE(J$3,10,1),Base_Mensuelle!$OF$68:$RQ$679,88,0)&lt;&gt;"",VLOOKUP(DATE(J$3,10,1),Base_Mensuelle!$OF$68:$RQ$679,88,0),"")</f>
        <v/>
      </c>
    </row>
    <row r="14" spans="1:10" ht="12.75" customHeight="1">
      <c r="A14" s="1426" t="s">
        <v>745</v>
      </c>
      <c r="B14" s="1123">
        <f>IF(VLOOKUP(DATE(B$3,11,1),Base_Mensuelle!$OF$68:$RQ$679,88,0)&lt;&gt;"",VLOOKUP(DATE(B$3,11,1),Base_Mensuelle!$OF$68:$RQ$679,88,0),"")</f>
        <v>100</v>
      </c>
      <c r="C14" s="1123">
        <f>IF(VLOOKUP(DATE(C$3,11,1),Base_Mensuelle!$OF$68:$RQ$679,88,0)&lt;&gt;"",VLOOKUP(DATE(C$3,11,1),Base_Mensuelle!$OF$68:$RQ$679,88,0),"")</f>
        <v>32</v>
      </c>
      <c r="D14" s="1123">
        <f>IF(VLOOKUP(DATE(D$3,11,1),Base_Mensuelle!$OF$68:$RQ$679,88,0)&lt;&gt;"",VLOOKUP(DATE(D$3,11,1),Base_Mensuelle!$OF$68:$RQ$679,88,0),"")</f>
        <v>96</v>
      </c>
      <c r="E14" s="1124">
        <f>IF(VLOOKUP(DATE(E$3,11,1),Base_Mensuelle!$OF$68:$RQ$679,88,0)&lt;&gt;"",VLOOKUP(DATE(E$3,11,1),Base_Mensuelle!$OF$68:$RQ$679,88,0),"")</f>
        <v>75</v>
      </c>
      <c r="F14" s="1123">
        <f>IF(VLOOKUP(DATE(F$3,11,1),Base_Mensuelle!$OF$68:$RQ$679,88,0)&lt;&gt;"",VLOOKUP(DATE(F$3,11,1),Base_Mensuelle!$OF$68:$RQ$679,88,0),"")</f>
        <v>80</v>
      </c>
      <c r="G14" s="1123">
        <f>IF(VLOOKUP(DATE(G$3,11,1),Base_Mensuelle!$OF$68:$RQ$679,88,0)&lt;&gt;"",VLOOKUP(DATE(G$3,11,1),Base_Mensuelle!$OF$68:$RQ$679,88,0),"")</f>
        <v>85</v>
      </c>
      <c r="H14" s="1123">
        <f>IF(VLOOKUP(DATE(H$3,11,1),Base_Mensuelle!$OF$68:$RQ$679,88,0)&lt;&gt;"",VLOOKUP(DATE(H$3,11,1),Base_Mensuelle!$OF$68:$RQ$679,88,0),"")</f>
        <v>166</v>
      </c>
      <c r="I14" s="1123">
        <f>IF(VLOOKUP(DATE(I$3,11,1),Base_Mensuelle!$OF$68:$RQ$679,88,0)&lt;&gt;"",VLOOKUP(DATE(I$3,11,1),Base_Mensuelle!$OF$68:$RQ$679,88,0),"")</f>
        <v>370</v>
      </c>
      <c r="J14" s="1123" t="str">
        <f>IF(VLOOKUP(DATE(J$3,11,1),Base_Mensuelle!$OF$68:$RQ$679,88,0)&lt;&gt;"",VLOOKUP(DATE(J$3,11,1),Base_Mensuelle!$OF$68:$RQ$679,88,0),"")</f>
        <v/>
      </c>
    </row>
    <row r="15" spans="1:10" ht="12.75" customHeight="1">
      <c r="A15" s="1427" t="s">
        <v>746</v>
      </c>
      <c r="B15" s="1128">
        <f>IF(VLOOKUP(DATE(B$3,12,1),Base_Mensuelle!$OF$68:$RQ$679,88,0)&lt;&gt;"",VLOOKUP(DATE(B$3,12,1),Base_Mensuelle!$OF$68:$RQ$679,88,0),"")</f>
        <v>34</v>
      </c>
      <c r="C15" s="1128">
        <f>IF(VLOOKUP(DATE(C$3,12,1),Base_Mensuelle!$OF$68:$RQ$679,88,0)&lt;&gt;"",VLOOKUP(DATE(C$3,12,1),Base_Mensuelle!$OF$68:$RQ$679,88,0),"")</f>
        <v>30</v>
      </c>
      <c r="D15" s="1128">
        <f>IF(VLOOKUP(DATE(D$3,12,1),Base_Mensuelle!$OF$68:$RQ$679,88,0)&lt;&gt;"",VLOOKUP(DATE(D$3,12,1),Base_Mensuelle!$OF$68:$RQ$679,88,0),"")</f>
        <v>58</v>
      </c>
      <c r="E15" s="1129">
        <f>IF(VLOOKUP(DATE(E$3,12,1),Base_Mensuelle!$OF$68:$RQ$679,88,0)&lt;&gt;"",VLOOKUP(DATE(E$3,12,1),Base_Mensuelle!$OF$68:$RQ$679,88,0),"")</f>
        <v>62</v>
      </c>
      <c r="F15" s="1128">
        <f>IF(VLOOKUP(DATE(F$3,12,1),Base_Mensuelle!$OF$68:$RQ$679,88,0)&lt;&gt;"",VLOOKUP(DATE(F$3,12,1),Base_Mensuelle!$OF$68:$RQ$679,88,0),"")</f>
        <v>55</v>
      </c>
      <c r="G15" s="1128">
        <f>IF(VLOOKUP(DATE(G$3,12,1),Base_Mensuelle!$OF$68:$RQ$679,88,0)&lt;&gt;"",VLOOKUP(DATE(G$3,12,1),Base_Mensuelle!$OF$68:$RQ$679,88,0),"")</f>
        <v>75</v>
      </c>
      <c r="H15" s="1128">
        <f>IF(VLOOKUP(DATE(H$3,12,1),Base_Mensuelle!$OF$68:$RQ$679,88,0)&lt;&gt;"",VLOOKUP(DATE(H$3,12,1),Base_Mensuelle!$OF$68:$RQ$679,88,0),"")</f>
        <v>74</v>
      </c>
      <c r="I15" s="1128">
        <f>IF(VLOOKUP(DATE(I$3,12,1),Base_Mensuelle!$OF$68:$RQ$679,88,0)&lt;&gt;"",VLOOKUP(DATE(I$3,12,1),Base_Mensuelle!$OF$68:$RQ$679,88,0),"")</f>
        <v>644</v>
      </c>
      <c r="J15" s="1128" t="str">
        <f>IF(VLOOKUP(DATE(J$3,12,1),Base_Mensuelle!$OF$68:$RQ$679,88,0)&lt;&gt;"",VLOOKUP(DATE(J$3,12,1),Base_Mensuelle!$OF$68:$RQ$679,88,0),"")</f>
        <v/>
      </c>
    </row>
    <row r="16" spans="1:10" ht="12.75" customHeight="1">
      <c r="A16" s="962" t="s">
        <v>695</v>
      </c>
      <c r="B16" s="1130"/>
      <c r="C16" s="1130"/>
      <c r="D16" s="1130"/>
      <c r="E16" s="1130"/>
      <c r="F16" s="1130"/>
      <c r="G16" s="1131"/>
    </row>
    <row r="17" spans="1:10" ht="9" customHeight="1"/>
    <row r="18" spans="1:10" ht="12.75" customHeight="1">
      <c r="A18" s="1105" t="s">
        <v>1121</v>
      </c>
    </row>
    <row r="19" spans="1:10" ht="12.3">
      <c r="A19" s="1105"/>
    </row>
    <row r="20" spans="1:10" ht="12.3">
      <c r="A20" s="1428"/>
      <c r="B20" s="1430"/>
      <c r="C20" s="2171" t="str">
        <f>CONCATENATE("1T-",RIGHT(YEAR(INDEX(Base_Trimestrielle!$FI$74:$GS$276,MAX(Base_Trimestrielle!$GS$74:$GS$276),1))-7,2))</f>
        <v>1T-16</v>
      </c>
      <c r="D20" s="2171" t="str">
        <f>CONCATENATE("2T-",RIGHT(YEAR(INDEX(Base_Trimestrielle!$FI$74:$GS$276,MAX(Base_Trimestrielle!$GS$74:$GS$276),1))-7,2))</f>
        <v>2T-16</v>
      </c>
      <c r="E20" s="2171" t="str">
        <f>CONCATENATE("3T-",RIGHT(YEAR(INDEX(Base_Trimestrielle!$FI$74:$GS$276,MAX(Base_Trimestrielle!$GS$74:$GS$276),1))-7,2))</f>
        <v>3T-16</v>
      </c>
      <c r="F20" s="2171" t="str">
        <f>CONCATENATE("4T-",RIGHT(YEAR(INDEX(Base_Trimestrielle!$FI$74:$GS$276,MAX(Base_Trimestrielle!$GS$74:$GS$276),1))-7,2))</f>
        <v>4T-16</v>
      </c>
      <c r="G20" s="2171" t="str">
        <f>CONCATENATE("1T-",RIGHT(YEAR(INDEX(Base_Trimestrielle!$FI$74:$GS$276,MAX(Base_Trimestrielle!$GS$74:$GS$276),1))-6,2))</f>
        <v>1T-17</v>
      </c>
      <c r="H20" s="2171" t="str">
        <f>CONCATENATE("2T-",RIGHT(YEAR(INDEX(Base_Trimestrielle!$FI$74:$GS$276,MAX(Base_Trimestrielle!$GS$74:$GS$276),1))-6,2))</f>
        <v>2T-17</v>
      </c>
      <c r="I20" s="2171" t="str">
        <f>CONCATENATE("3T-",RIGHT(YEAR(INDEX(Base_Trimestrielle!$FI$74:$GS$276,MAX(Base_Trimestrielle!$GS$74:$GS$276),1))-6,2))</f>
        <v>3T-17</v>
      </c>
      <c r="J20" s="2171" t="str">
        <f>CONCATENATE("4T-",RIGHT(YEAR(INDEX(Base_Trimestrielle!$FI$74:$GS$276,MAX(Base_Trimestrielle!$GS$74:$GS$276),1))-6,2))</f>
        <v>4T-17</v>
      </c>
    </row>
    <row r="21" spans="1:10" ht="12.75" customHeight="1">
      <c r="A21" s="1123" t="s">
        <v>720</v>
      </c>
      <c r="B21" s="1123"/>
      <c r="C21" s="1123">
        <f>IF(VLOOKUP(DATE(YEAR(INDEX(Base_Trimestrielle!$FI$74:$GS$276,MAX(Base_Trimestrielle!$GS$74:$GS$276),1))-7,3,1),Base_Trimestrielle!$FI$74:$GP$276,32,0)&lt;&gt;"",VLOOKUP(DATE(YEAR(INDEX(Base_Trimestrielle!$FI$74:$GS$276,MAX(Base_Trimestrielle!$GS$74:$GS$276),1))-7,3,1),Base_Trimestrielle!$FI$74:$GP$276,32,0),"")</f>
        <v>4711</v>
      </c>
      <c r="D21" s="1123">
        <f>IF(VLOOKUP(DATE(YEAR(INDEX(Base_Trimestrielle!$FI$74:$GS$276,MAX(Base_Trimestrielle!$GS$74:$GS$276),1))-7,6,1),Base_Trimestrielle!$FI$74:$GP$276,32,0)&lt;&gt;"",VLOOKUP(DATE(YEAR(INDEX(Base_Trimestrielle!$FI$74:$GS$276,MAX(Base_Trimestrielle!$GS$74:$GS$276),1))-7,6,1),Base_Trimestrielle!$FI$74:$GP$276,32,0),"")</f>
        <v>4468</v>
      </c>
      <c r="E21" s="1124">
        <f>IF(VLOOKUP(DATE(YEAR(INDEX(Base_Trimestrielle!$FI$74:$GS$276,MAX(Base_Trimestrielle!$GS$74:$GS$276),1))-7,9,1),Base_Trimestrielle!$FI$74:$GP$276,32,0)&lt;&gt;"",VLOOKUP(DATE(YEAR(INDEX(Base_Trimestrielle!$FI$74:$GS$276,MAX(Base_Trimestrielle!$GS$74:$GS$276),1))-7,9,1),Base_Trimestrielle!$FI$74:$GP$276,32,0),"")</f>
        <v>3385</v>
      </c>
      <c r="F21" s="1123">
        <f>IF(VLOOKUP(DATE(YEAR(INDEX(Base_Trimestrielle!$FI$74:$GS$276,MAX(Base_Trimestrielle!$GS$74:$GS$276),1))-7,12,1),Base_Trimestrielle!$FI$74:$GP$276,32,0)&lt;&gt;"",VLOOKUP(DATE(YEAR(INDEX(Base_Trimestrielle!$FI$74:$GS$276,MAX(Base_Trimestrielle!$GS$74:$GS$276),1))-7,12,1),Base_Trimestrielle!$FI$74:$GP$276,32,0),"")</f>
        <v>4605</v>
      </c>
      <c r="G21" s="1123">
        <f>IF(VLOOKUP(DATE(YEAR(INDEX(Base_Trimestrielle!$FI$74:$GS$276,MAX(Base_Trimestrielle!$GS$74:$GS$276),1))-6,3,1),Base_Trimestrielle!$FI$74:$GP$276,32,0)&lt;&gt;"",VLOOKUP(DATE(YEAR(INDEX(Base_Trimestrielle!$FI$74:$GS$276,MAX(Base_Trimestrielle!$GS$74:$GS$276),1))-6,3,1),Base_Trimestrielle!$FI$74:$GP$276,32,0),"")</f>
        <v>5347</v>
      </c>
      <c r="H21" s="1123">
        <f>IF(VLOOKUP(DATE(YEAR(INDEX(Base_Trimestrielle!$FI$74:$GS$276,MAX(Base_Trimestrielle!$GS$74:$GS$276),1))-6,6,1),Base_Trimestrielle!$FI$74:$GP$276,32,0)&lt;&gt;"",VLOOKUP(DATE(YEAR(INDEX(Base_Trimestrielle!$FI$74:$GS$276,MAX(Base_Trimestrielle!$GS$74:$GS$276),1))-6,6,1),Base_Trimestrielle!$FI$74:$GP$276,32,0),"")</f>
        <v>5159</v>
      </c>
      <c r="I21" s="1123">
        <f>IF(VLOOKUP(DATE(YEAR(INDEX(Base_Trimestrielle!$FI$74:$GS$276,MAX(Base_Trimestrielle!$GS$74:$GS$276),1))-6,9,1),Base_Trimestrielle!$FI$74:$GP$276,32,0)&lt;&gt;"",VLOOKUP(DATE(YEAR(INDEX(Base_Trimestrielle!$FI$74:$GS$276,MAX(Base_Trimestrielle!$GS$74:$GS$276),1))-6,9,1),Base_Trimestrielle!$FI$74:$GP$276,32,0),"")</f>
        <v>5191</v>
      </c>
      <c r="J21" s="1123">
        <f>IF(VLOOKUP(DATE(YEAR(INDEX(Base_Trimestrielle!$FI$74:$GS$276,MAX(Base_Trimestrielle!$GS$74:$GS$276),1))-6,12,1),Base_Trimestrielle!$FI$74:$GP$276,32,0)&lt;&gt;"",VLOOKUP(DATE(YEAR(INDEX(Base_Trimestrielle!$FI$74:$GS$276,MAX(Base_Trimestrielle!$GS$74:$GS$276),1))-6,12,1),Base_Trimestrielle!$FI$74:$GP$276,32,0),"")</f>
        <v>4733</v>
      </c>
    </row>
    <row r="22" spans="1:10" ht="12.75" customHeight="1">
      <c r="A22" s="1126" t="s">
        <v>721</v>
      </c>
      <c r="B22" s="1126"/>
      <c r="C22" s="1126">
        <f>IF(VLOOKUP(DATE(YEAR(INDEX(Base_Trimestrielle!$FI$74:$GS$276,MAX(Base_Trimestrielle!$GS$74:$GS$276),1))-7,12,1),Base_Trimestrielle!$FI$74:$GP$276,33,0)&lt;&gt;"",VLOOKUP(DATE(YEAR(INDEX(Base_Trimestrielle!$FI$74:$GS$276,MAX(Base_Trimestrielle!$GS$74:$GS$276),1))-7,12,1),Base_Trimestrielle!$FI$74:$GP$276,33,0),"")</f>
        <v>2061</v>
      </c>
      <c r="D22" s="1126">
        <f>IF(VLOOKUP(DATE(YEAR(INDEX(Base_Trimestrielle!$FI$74:$GS$276,MAX(Base_Trimestrielle!$GS$74:$GS$276),1))-7,6,1),Base_Trimestrielle!$FI$74:$GP$276,33,0)&lt;&gt;"",VLOOKUP(DATE(YEAR(INDEX(Base_Trimestrielle!$FI$74:$GS$276,MAX(Base_Trimestrielle!$GS$74:$GS$276),1))-7,6,1),Base_Trimestrielle!$FI$74:$GP$276,33,0),"")</f>
        <v>1851</v>
      </c>
      <c r="E22" s="1127">
        <f>IF(VLOOKUP(DATE(YEAR(INDEX(Base_Trimestrielle!$FI$74:$GS$276,MAX(Base_Trimestrielle!$GS$74:$GS$276),1))-7,9,1),Base_Trimestrielle!$FI$74:$GP$276,33,0)&lt;&gt;"",VLOOKUP(DATE(YEAR(INDEX(Base_Trimestrielle!$FI$74:$GS$276,MAX(Base_Trimestrielle!$GS$74:$GS$276),1))-7,9,1),Base_Trimestrielle!$FI$74:$GP$276,33,0),"")</f>
        <v>1321</v>
      </c>
      <c r="F22" s="1126">
        <f>IF(VLOOKUP(DATE(YEAR(INDEX(Base_Trimestrielle!$FI$74:$GS$276,MAX(Base_Trimestrielle!$GS$74:$GS$276),1))-7,12,1),Base_Trimestrielle!$FI$74:$GP$276,33,0)&lt;&gt;"",VLOOKUP(DATE(YEAR(INDEX(Base_Trimestrielle!$FI$74:$GS$276,MAX(Base_Trimestrielle!$GS$74:$GS$276),1))-7,12,1),Base_Trimestrielle!$FI$74:$GP$276,33,0),"")</f>
        <v>2061</v>
      </c>
      <c r="G22" s="1126">
        <f>IF(VLOOKUP(DATE(YEAR(INDEX(Base_Trimestrielle!$FI$74:$GS$276,MAX(Base_Trimestrielle!$GS$74:$GS$276),1))-6,12,1),Base_Trimestrielle!$FI$74:$GP$276,33,0)&lt;&gt;"",VLOOKUP(DATE(YEAR(INDEX(Base_Trimestrielle!$FI$74:$GS$276,MAX(Base_Trimestrielle!$GS$74:$GS$276),1))-6,12,1),Base_Trimestrielle!$FI$74:$GP$276,33,0),"")</f>
        <v>1718</v>
      </c>
      <c r="H22" s="1126">
        <f>IF(VLOOKUP(DATE(YEAR(INDEX(Base_Trimestrielle!$FI$74:$GS$276,MAX(Base_Trimestrielle!$GS$74:$GS$276),1))-6,6,1),Base_Trimestrielle!$FI$74:$GP$276,33,0)&lt;&gt;"",VLOOKUP(DATE(YEAR(INDEX(Base_Trimestrielle!$FI$74:$GS$276,MAX(Base_Trimestrielle!$GS$74:$GS$276),1))-6,6,1),Base_Trimestrielle!$FI$74:$GP$276,33,0),"")</f>
        <v>1847</v>
      </c>
      <c r="I22" s="1126">
        <f>IF(VLOOKUP(DATE(YEAR(INDEX(Base_Trimestrielle!$FI$74:$GS$276,MAX(Base_Trimestrielle!$GS$74:$GS$276),1))-6,9,1),Base_Trimestrielle!$FI$74:$GP$276,33,0)&lt;&gt;"",VLOOKUP(DATE(YEAR(INDEX(Base_Trimestrielle!$FI$74:$GS$276,MAX(Base_Trimestrielle!$GS$74:$GS$276),1))-6,9,1),Base_Trimestrielle!$FI$74:$GP$276,33,0),"")</f>
        <v>1983</v>
      </c>
      <c r="J22" s="1126">
        <f>IF(VLOOKUP(DATE(YEAR(INDEX(Base_Trimestrielle!$FI$74:$GS$276,MAX(Base_Trimestrielle!$GS$74:$GS$276),1))-6,12,1),Base_Trimestrielle!$FI$74:$GP$276,33,0)&lt;&gt;"",VLOOKUP(DATE(YEAR(INDEX(Base_Trimestrielle!$FI$74:$GS$276,MAX(Base_Trimestrielle!$GS$74:$GS$276),1))-6,12,1),Base_Trimestrielle!$FI$74:$GP$276,33,0),"")</f>
        <v>1718</v>
      </c>
    </row>
    <row r="23" spans="1:10" ht="12.75" customHeight="1">
      <c r="A23" s="1646" t="s">
        <v>128</v>
      </c>
      <c r="B23" s="1646"/>
      <c r="C23" s="1646">
        <f t="shared" ref="C23:J23" si="1">SUM(C21:C22)</f>
        <v>6772</v>
      </c>
      <c r="D23" s="1646">
        <f t="shared" si="1"/>
        <v>6319</v>
      </c>
      <c r="E23" s="1647">
        <f t="shared" si="1"/>
        <v>4706</v>
      </c>
      <c r="F23" s="1646">
        <f t="shared" si="1"/>
        <v>6666</v>
      </c>
      <c r="G23" s="1646">
        <f t="shared" si="1"/>
        <v>7065</v>
      </c>
      <c r="H23" s="1646">
        <f t="shared" si="1"/>
        <v>7006</v>
      </c>
      <c r="I23" s="1646">
        <f t="shared" si="1"/>
        <v>7174</v>
      </c>
      <c r="J23" s="1646">
        <f t="shared" si="1"/>
        <v>6451</v>
      </c>
    </row>
    <row r="24" spans="1:10" ht="9" customHeight="1">
      <c r="A24" s="1429"/>
      <c r="B24" s="1431"/>
    </row>
    <row r="25" spans="1:10" ht="12.75" customHeight="1">
      <c r="A25" s="1428"/>
      <c r="B25" s="1430"/>
      <c r="C25" s="2172" t="str">
        <f>CONCATENATE("1T-",RIGHT(YEAR(INDEX(Base_Trimestrielle!$FI$74:$GS$276,MAX(Base_Trimestrielle!$GS$74:$GS$276),1))-5,2))</f>
        <v>1T-18</v>
      </c>
      <c r="D25" s="2172" t="str">
        <f>CONCATENATE("2T-",RIGHT(YEAR(INDEX(Base_Trimestrielle!$FI$74:$GS$276,MAX(Base_Trimestrielle!$GS$74:$GS$276),1))-5,2))</f>
        <v>2T-18</v>
      </c>
      <c r="E25" s="2172" t="str">
        <f>CONCATENATE("3T-",RIGHT(YEAR(INDEX(Base_Trimestrielle!$FI$74:$GS$276,MAX(Base_Trimestrielle!$GS$74:$GS$276),1))-5,2))</f>
        <v>3T-18</v>
      </c>
      <c r="F25" s="2172" t="str">
        <f>CONCATENATE("4T-",RIGHT(YEAR(INDEX(Base_Trimestrielle!$FI$74:$GS$276,MAX(Base_Trimestrielle!$GS$74:$GS$276),1))-5,2))</f>
        <v>4T-18</v>
      </c>
      <c r="G25" s="2172" t="str">
        <f>CONCATENATE("1T-",RIGHT(YEAR(INDEX(Base_Trimestrielle!$FI$74:$GS$276,MAX(Base_Trimestrielle!$GS$74:$GS$276),1))-4,2))</f>
        <v>1T-19</v>
      </c>
      <c r="H25" s="2172" t="str">
        <f>CONCATENATE("2T-",RIGHT(YEAR(INDEX(Base_Trimestrielle!$FI$74:$GS$276,MAX(Base_Trimestrielle!$GS$74:$GS$276),1))-4,2))</f>
        <v>2T-19</v>
      </c>
      <c r="I25" s="2172" t="str">
        <f>CONCATENATE("3T-",RIGHT(YEAR(INDEX(Base_Trimestrielle!$FI$74:$GS$276,MAX(Base_Trimestrielle!$GS$74:$GS$276),1))-4,2))</f>
        <v>3T-19</v>
      </c>
      <c r="J25" s="2172" t="str">
        <f>CONCATENATE("4T-",RIGHT(YEAR(INDEX(Base_Trimestrielle!$FI$74:$GS$276,MAX(Base_Trimestrielle!$GS$74:$GS$276),1))-4,2))</f>
        <v>4T-19</v>
      </c>
    </row>
    <row r="26" spans="1:10" ht="12.75" customHeight="1">
      <c r="A26" s="1123" t="s">
        <v>720</v>
      </c>
      <c r="B26" s="1123"/>
      <c r="C26" s="1123">
        <f>IF(VLOOKUP(DATE(YEAR(INDEX(Base_Trimestrielle!$FI$74:$GS$276,MAX(Base_Trimestrielle!$GS$74:$GS$276),1))-5,3,1),Base_Trimestrielle!$FI$74:$GP$276,32,0)&lt;&gt;"",VLOOKUP(DATE(YEAR(INDEX(Base_Trimestrielle!$FI$74:$GS$276,MAX(Base_Trimestrielle!$GS$74:$GS$276),1))-5,3,1),Base_Trimestrielle!$FI$74:$GP$276,32,0),"")</f>
        <v>5252</v>
      </c>
      <c r="D26" s="1123">
        <f>IF(VLOOKUP(DATE(YEAR(INDEX(Base_Trimestrielle!$FI$74:$GS$276,MAX(Base_Trimestrielle!$GS$74:$GS$276),1))-5,6,1),Base_Trimestrielle!$FI$74:$GP$276,32,0)&lt;&gt;"",VLOOKUP(DATE(YEAR(INDEX(Base_Trimestrielle!$FI$74:$GS$276,MAX(Base_Trimestrielle!$GS$74:$GS$276),1))-5,6,1),Base_Trimestrielle!$FI$74:$GP$276,32,0),"")</f>
        <v>4274</v>
      </c>
      <c r="E26" s="1124">
        <f>IF(VLOOKUP(DATE(YEAR(INDEX(Base_Trimestrielle!$FI$74:$GS$276,MAX(Base_Trimestrielle!$GS$74:$GS$276),1))-5,9,1),Base_Trimestrielle!$FI$74:$GP$276,32,0)&lt;&gt;"",VLOOKUP(DATE(YEAR(INDEX(Base_Trimestrielle!$FI$74:$GS$276,MAX(Base_Trimestrielle!$GS$74:$GS$276),1))-5,9,1),Base_Trimestrielle!$FI$74:$GP$276,32,0),"")</f>
        <v>4791</v>
      </c>
      <c r="F26" s="1123">
        <f>IF(VLOOKUP(DATE(YEAR(INDEX(Base_Trimestrielle!$FI$74:$GS$276,MAX(Base_Trimestrielle!$GS$74:$GS$276),1))-5,12,1),Base_Trimestrielle!$FI$74:$GP$276,32,0)&lt;&gt;"",VLOOKUP(DATE(YEAR(INDEX(Base_Trimestrielle!$FI$74:$GS$276,MAX(Base_Trimestrielle!$GS$74:$GS$276),1))-5,12,1),Base_Trimestrielle!$FI$74:$GP$276,32,0),"")</f>
        <v>5429</v>
      </c>
      <c r="G26" s="1123">
        <f>IF(VLOOKUP(DATE(YEAR(INDEX(Base_Trimestrielle!$FI$74:$GS$276,MAX(Base_Trimestrielle!$GS$74:$GS$276),1))-4,3,1),Base_Trimestrielle!$FI$74:$GP$276,32,0)&lt;&gt;"",VLOOKUP(DATE(YEAR(INDEX(Base_Trimestrielle!$FI$74:$GS$276,MAX(Base_Trimestrielle!$GS$74:$GS$276),1))-4,3,1),Base_Trimestrielle!$FI$74:$GP$276,32,0),"")</f>
        <v>5385</v>
      </c>
      <c r="H26" s="1123">
        <f>IF(VLOOKUP(DATE(YEAR(INDEX(Base_Trimestrielle!$FI$74:$GS$276,MAX(Base_Trimestrielle!$GS$74:$GS$276),1))-4,6,1),Base_Trimestrielle!$FI$74:$GP$276,32,0)&lt;&gt;"",VLOOKUP(DATE(YEAR(INDEX(Base_Trimestrielle!$FI$74:$GS$276,MAX(Base_Trimestrielle!$GS$74:$GS$276),1))-4,6,1),Base_Trimestrielle!$FI$74:$GP$276,32,0),"")</f>
        <v>5053</v>
      </c>
      <c r="I26" s="1123">
        <f>IF(VLOOKUP(DATE(YEAR(INDEX(Base_Trimestrielle!$FI$74:$GS$276,MAX(Base_Trimestrielle!$GS$74:$GS$276),1))-4,9,1),Base_Trimestrielle!$FI$74:$GP$276,32,0)&lt;&gt;"",VLOOKUP(DATE(YEAR(INDEX(Base_Trimestrielle!$FI$74:$GS$276,MAX(Base_Trimestrielle!$GS$74:$GS$276),1))-4,9,1),Base_Trimestrielle!$FI$74:$GP$276,32,0),"")</f>
        <v>4752</v>
      </c>
      <c r="J26" s="1123">
        <f>IF(VLOOKUP(DATE(YEAR(INDEX(Base_Trimestrielle!$FI$74:$GS$276,MAX(Base_Trimestrielle!$GS$74:$GS$276),1))-4,12,1),Base_Trimestrielle!$FI$74:$GP$276,32,0)&lt;&gt;"",VLOOKUP(DATE(YEAR(INDEX(Base_Trimestrielle!$FI$74:$GS$276,MAX(Base_Trimestrielle!$GS$74:$GS$276),1))-4,12,1),Base_Trimestrielle!$FI$74:$GP$276,32,0),"")</f>
        <v>4678</v>
      </c>
    </row>
    <row r="27" spans="1:10" ht="12.75" customHeight="1">
      <c r="A27" s="1126" t="s">
        <v>721</v>
      </c>
      <c r="B27" s="1126"/>
      <c r="C27" s="1126">
        <f>IF(VLOOKUP(DATE(YEAR(INDEX(Base_Trimestrielle!$FI$74:$GS$276,MAX(Base_Trimestrielle!$GS$74:$GS$276),1))-5,12,1),Base_Trimestrielle!$FI$74:$GP$276,33,0)&lt;&gt;"",VLOOKUP(DATE(YEAR(INDEX(Base_Trimestrielle!$FI$74:$GS$276,MAX(Base_Trimestrielle!$GS$74:$GS$276),1))-5,12,1),Base_Trimestrielle!$FI$74:$GP$276,33,0),"")</f>
        <v>1930</v>
      </c>
      <c r="D27" s="1126">
        <f>IF(VLOOKUP(DATE(YEAR(INDEX(Base_Trimestrielle!$FI$74:$GS$276,MAX(Base_Trimestrielle!$GS$74:$GS$276),1))-5,6,1),Base_Trimestrielle!$FI$74:$GP$276,33,0)&lt;&gt;"",VLOOKUP(DATE(YEAR(INDEX(Base_Trimestrielle!$FI$74:$GS$276,MAX(Base_Trimestrielle!$GS$74:$GS$276),1))-5,6,1),Base_Trimestrielle!$FI$74:$GP$276,33,0),"")</f>
        <v>1894</v>
      </c>
      <c r="E27" s="1127">
        <f>IF(VLOOKUP(DATE(YEAR(INDEX(Base_Trimestrielle!$FI$74:$GS$276,MAX(Base_Trimestrielle!$GS$74:$GS$276),1))-5,9,1),Base_Trimestrielle!$FI$74:$GP$276,33,0)&lt;&gt;"",VLOOKUP(DATE(YEAR(INDEX(Base_Trimestrielle!$FI$74:$GS$276,MAX(Base_Trimestrielle!$GS$74:$GS$276),1))-5,9,1),Base_Trimestrielle!$FI$74:$GP$276,33,0),"")</f>
        <v>1815</v>
      </c>
      <c r="F27" s="1126">
        <f>IF(VLOOKUP(DATE(YEAR(INDEX(Base_Trimestrielle!$FI$74:$GS$276,MAX(Base_Trimestrielle!$GS$74:$GS$276),1))-5,12,1),Base_Trimestrielle!$FI$74:$GP$276,33,0)&lt;&gt;"",VLOOKUP(DATE(YEAR(INDEX(Base_Trimestrielle!$FI$74:$GS$276,MAX(Base_Trimestrielle!$GS$74:$GS$276),1))-5,12,1),Base_Trimestrielle!$FI$74:$GP$276,33,0),"")</f>
        <v>1930</v>
      </c>
      <c r="G27" s="1126">
        <f>IF(VLOOKUP(DATE(YEAR(INDEX(Base_Trimestrielle!$FI$74:$GS$276,MAX(Base_Trimestrielle!$GS$74:$GS$276),1))-4,12,1),Base_Trimestrielle!$FI$74:$GP$276,33,0)&lt;&gt;"",VLOOKUP(DATE(YEAR(INDEX(Base_Trimestrielle!$FI$74:$GS$276,MAX(Base_Trimestrielle!$GS$74:$GS$276),1))-4,12,1),Base_Trimestrielle!$FI$74:$GP$276,33,0),"")</f>
        <v>2041</v>
      </c>
      <c r="H27" s="1126">
        <f>IF(VLOOKUP(DATE(YEAR(INDEX(Base_Trimestrielle!$FI$74:$GS$276,MAX(Base_Trimestrielle!$GS$74:$GS$276),1))-4,6,1),Base_Trimestrielle!$FI$74:$GP$276,33,0)&lt;&gt;"",VLOOKUP(DATE(YEAR(INDEX(Base_Trimestrielle!$FI$74:$GS$276,MAX(Base_Trimestrielle!$GS$74:$GS$276),1))-4,6,1),Base_Trimestrielle!$FI$74:$GP$276,33,0),"")</f>
        <v>2128</v>
      </c>
      <c r="I27" s="1126">
        <f>IF(VLOOKUP(DATE(YEAR(INDEX(Base_Trimestrielle!$FI$74:$GS$276,MAX(Base_Trimestrielle!$GS$74:$GS$276),1))-4,9,1),Base_Trimestrielle!$FI$74:$GP$276,33,0)&lt;&gt;"",VLOOKUP(DATE(YEAR(INDEX(Base_Trimestrielle!$FI$74:$GS$276,MAX(Base_Trimestrielle!$GS$74:$GS$276),1))-4,9,1),Base_Trimestrielle!$FI$74:$GP$276,33,0),"")</f>
        <v>1985</v>
      </c>
      <c r="J27" s="1126">
        <f>IF(VLOOKUP(DATE(YEAR(INDEX(Base_Trimestrielle!$FI$74:$GS$276,MAX(Base_Trimestrielle!$GS$74:$GS$276),1))-4,12,1),Base_Trimestrielle!$FI$74:$GP$276,33,0)&lt;&gt;"",VLOOKUP(DATE(YEAR(INDEX(Base_Trimestrielle!$FI$74:$GS$276,MAX(Base_Trimestrielle!$GS$74:$GS$276),1))-4,12,1),Base_Trimestrielle!$FI$74:$GP$276,33,0),"")</f>
        <v>2041</v>
      </c>
    </row>
    <row r="28" spans="1:10" ht="12.75" customHeight="1">
      <c r="A28" s="1646" t="s">
        <v>128</v>
      </c>
      <c r="B28" s="1646"/>
      <c r="C28" s="1646">
        <f t="shared" ref="C28:J28" si="2">SUM(C26:C27)</f>
        <v>7182</v>
      </c>
      <c r="D28" s="1646">
        <f t="shared" si="2"/>
        <v>6168</v>
      </c>
      <c r="E28" s="1647">
        <f t="shared" si="2"/>
        <v>6606</v>
      </c>
      <c r="F28" s="1646">
        <f t="shared" si="2"/>
        <v>7359</v>
      </c>
      <c r="G28" s="1646">
        <f t="shared" si="2"/>
        <v>7426</v>
      </c>
      <c r="H28" s="1646">
        <f t="shared" si="2"/>
        <v>7181</v>
      </c>
      <c r="I28" s="1646">
        <f t="shared" si="2"/>
        <v>6737</v>
      </c>
      <c r="J28" s="1646">
        <f t="shared" si="2"/>
        <v>6719</v>
      </c>
    </row>
    <row r="29" spans="1:10" ht="9" customHeight="1">
      <c r="A29" s="1429"/>
      <c r="B29" s="1431"/>
    </row>
    <row r="30" spans="1:10" ht="12.75" customHeight="1">
      <c r="A30" s="1428"/>
      <c r="B30" s="1430"/>
      <c r="C30" s="118" t="str">
        <f>CONCATENATE("1T-",RIGHT(YEAR(INDEX(Base_Trimestrielle!$FI$74:$GS$276,MAX(Base_Trimestrielle!$GS$74:$GS$276),1))-3,2))</f>
        <v>1T-20</v>
      </c>
      <c r="D30" s="118" t="str">
        <f>CONCATENATE("2T-",RIGHT(YEAR(INDEX(Base_Trimestrielle!$FI$74:$GS$276,MAX(Base_Trimestrielle!$GS$74:$GS$276),1))-3,2))</f>
        <v>2T-20</v>
      </c>
      <c r="E30" s="118" t="str">
        <f>CONCATENATE("3T-",RIGHT(YEAR(INDEX(Base_Trimestrielle!$FI$74:$GS$276,MAX(Base_Trimestrielle!$GS$74:$GS$276),1))-3,2))</f>
        <v>3T-20</v>
      </c>
      <c r="F30" s="118" t="str">
        <f>CONCATENATE("4T-",RIGHT(YEAR(INDEX(Base_Trimestrielle!$FI$74:$GS$276,MAX(Base_Trimestrielle!$GS$74:$GS$276),1))-3,2))</f>
        <v>4T-20</v>
      </c>
      <c r="G30" s="118" t="str">
        <f>CONCATENATE("1T-",RIGHT(YEAR(INDEX(Base_Trimestrielle!$FI$74:$GS$276,MAX(Base_Trimestrielle!$GS$74:$GS$276),1))-2,2))</f>
        <v>1T-21</v>
      </c>
      <c r="H30" s="118" t="str">
        <f>CONCATENATE("2T-",RIGHT(YEAR(INDEX(Base_Trimestrielle!$FI$74:$GS$276,MAX(Base_Trimestrielle!$GS$74:$GS$276),1))-2,2))</f>
        <v>2T-21</v>
      </c>
      <c r="I30" s="118" t="str">
        <f>CONCATENATE("3T-",RIGHT(YEAR(INDEX(Base_Trimestrielle!$FI$74:$GS$276,MAX(Base_Trimestrielle!$GS$74:$GS$276),1))-2,2))</f>
        <v>3T-21</v>
      </c>
      <c r="J30" s="118" t="str">
        <f>CONCATENATE("4T-",RIGHT(YEAR(INDEX(Base_Trimestrielle!$FI$74:$GS$276,MAX(Base_Trimestrielle!$GS$74:$GS$276),1))-2,2))</f>
        <v>4T-21</v>
      </c>
    </row>
    <row r="31" spans="1:10" ht="12.75" customHeight="1">
      <c r="A31" s="1650" t="s">
        <v>720</v>
      </c>
      <c r="B31" s="1649"/>
      <c r="C31" s="1123">
        <f>IF(VLOOKUP(DATE(YEAR(INDEX(Base_Trimestrielle!$FI$74:$GS$276,MAX(Base_Trimestrielle!$GS$74:$GS$276),1))-3,3,1),Base_Trimestrielle!$FI$74:$GP$276,32,0)&lt;&gt;"",VLOOKUP(DATE(YEAR(INDEX(Base_Trimestrielle!$FI$74:$GS$276,MAX(Base_Trimestrielle!$GS$74:$GS$276),1))-3,3,1),Base_Trimestrielle!$FI$74:$GP$276,32,0),"")</f>
        <v>6033</v>
      </c>
      <c r="D31" s="1123">
        <f>IF(VLOOKUP(DATE(YEAR(INDEX(Base_Trimestrielle!$FI$74:$GS$276,MAX(Base_Trimestrielle!$GS$74:$GS$276),1))-3,6,1),Base_Trimestrielle!$FI$74:$GP$276,32,0)&lt;&gt;"",VLOOKUP(DATE(YEAR(INDEX(Base_Trimestrielle!$FI$74:$GS$276,MAX(Base_Trimestrielle!$GS$74:$GS$276),1))-3,6,1),Base_Trimestrielle!$FI$74:$GP$276,32,0),"")</f>
        <v>4511</v>
      </c>
      <c r="E31" s="1124">
        <f>IF(VLOOKUP(DATE(YEAR(INDEX(Base_Trimestrielle!$FI$74:$GS$276,MAX(Base_Trimestrielle!$GS$74:$GS$276),1))-3,9,1),Base_Trimestrielle!$FI$74:$GP$276,32,0)&lt;&gt;"",VLOOKUP(DATE(YEAR(INDEX(Base_Trimestrielle!$FI$74:$GS$276,MAX(Base_Trimestrielle!$GS$74:$GS$276),1))-3,9,1),Base_Trimestrielle!$FI$74:$GP$276,32,0),"")</f>
        <v>4750</v>
      </c>
      <c r="F31" s="1123">
        <f>IF(VLOOKUP(DATE(YEAR(INDEX(Base_Trimestrielle!$FI$74:$GS$276,MAX(Base_Trimestrielle!$GS$74:$GS$276),1))-3,12,1),Base_Trimestrielle!$FI$74:$GP$276,32,0)&lt;&gt;"",VLOOKUP(DATE(YEAR(INDEX(Base_Trimestrielle!$FI$74:$GS$276,MAX(Base_Trimestrielle!$GS$74:$GS$276),1))-3,12,1),Base_Trimestrielle!$FI$74:$GP$276,32,0),"")</f>
        <v>5074</v>
      </c>
      <c r="G31" s="1123">
        <f>IF(VLOOKUP(DATE(YEAR(INDEX(Base_Trimestrielle!$FI$74:$GS$276,MAX(Base_Trimestrielle!$GS$74:$GS$276),1))-2,3,1),Base_Trimestrielle!$FI$74:$GP$276,32,0)&lt;&gt;"",VLOOKUP(DATE(YEAR(INDEX(Base_Trimestrielle!$FI$74:$GS$276,MAX(Base_Trimestrielle!$GS$74:$GS$276),1))-2,3,1),Base_Trimestrielle!$FI$74:$GP$276,32,0),"")</f>
        <v>4579</v>
      </c>
      <c r="H31" s="1123">
        <f>IF(VLOOKUP(DATE(YEAR(INDEX(Base_Trimestrielle!$FI$74:$GS$276,MAX(Base_Trimestrielle!$GS$74:$GS$276),1))-2,6,1),Base_Trimestrielle!$FI$74:$GP$276,32,0)&lt;&gt;"",VLOOKUP(DATE(YEAR(INDEX(Base_Trimestrielle!$FI$74:$GS$276,MAX(Base_Trimestrielle!$GS$74:$GS$276),1))-2,6,1),Base_Trimestrielle!$FI$74:$GP$276,32,0),"")</f>
        <v>6965</v>
      </c>
      <c r="I31" s="1123">
        <f>IF(VLOOKUP(DATE(YEAR(INDEX(Base_Trimestrielle!$FI$74:$GS$276,MAX(Base_Trimestrielle!$GS$74:$GS$276),1))-2,9,1),Base_Trimestrielle!$FI$74:$GP$276,32,0)&lt;&gt;"",VLOOKUP(DATE(YEAR(INDEX(Base_Trimestrielle!$FI$74:$GS$276,MAX(Base_Trimestrielle!$GS$74:$GS$276),1))-2,9,1),Base_Trimestrielle!$FI$74:$GP$276,32,0),"")</f>
        <v>5017</v>
      </c>
      <c r="J31" s="1123">
        <f>IF(VLOOKUP(DATE(YEAR(INDEX(Base_Trimestrielle!$FI$74:$GS$276,MAX(Base_Trimestrielle!$GS$74:$GS$276),1))-2,12,1),Base_Trimestrielle!$FI$74:$GP$276,32,0)&lt;&gt;"",VLOOKUP(DATE(YEAR(INDEX(Base_Trimestrielle!$FI$74:$GS$276,MAX(Base_Trimestrielle!$GS$74:$GS$276),1))-2,12,1),Base_Trimestrielle!$FI$74:$GP$276,32,0),"")</f>
        <v>5082</v>
      </c>
    </row>
    <row r="32" spans="1:10" ht="12.75" customHeight="1">
      <c r="A32" s="1654" t="s">
        <v>721</v>
      </c>
      <c r="B32" s="1656"/>
      <c r="C32" s="1126">
        <f>IF(VLOOKUP(DATE(YEAR(INDEX(Base_Trimestrielle!$FI$74:$GS$276,MAX(Base_Trimestrielle!$GS$74:$GS$276),1))-3,12,1),Base_Trimestrielle!$FI$74:$GP$276,33,0)&lt;&gt;"",VLOOKUP(DATE(YEAR(INDEX(Base_Trimestrielle!$FI$74:$GS$276,MAX(Base_Trimestrielle!$GS$74:$GS$276),1))-3,12,1),Base_Trimestrielle!$FI$74:$GP$276,33,0),"")</f>
        <v>1957</v>
      </c>
      <c r="D32" s="1126">
        <f>IF(VLOOKUP(DATE(YEAR(INDEX(Base_Trimestrielle!$FI$74:$GS$276,MAX(Base_Trimestrielle!$GS$74:$GS$276),1))-3,6,1),Base_Trimestrielle!$FI$74:$GP$276,33,0)&lt;&gt;"",VLOOKUP(DATE(YEAR(INDEX(Base_Trimestrielle!$FI$74:$GS$276,MAX(Base_Trimestrielle!$GS$74:$GS$276),1))-3,6,1),Base_Trimestrielle!$FI$74:$GP$276,33,0),"")</f>
        <v>1886</v>
      </c>
      <c r="E32" s="1127">
        <f>IF(VLOOKUP(DATE(YEAR(INDEX(Base_Trimestrielle!$FI$74:$GS$276,MAX(Base_Trimestrielle!$GS$74:$GS$276),1))-3,9,1),Base_Trimestrielle!$FI$74:$GP$276,33,0)&lt;&gt;"",VLOOKUP(DATE(YEAR(INDEX(Base_Trimestrielle!$FI$74:$GS$276,MAX(Base_Trimestrielle!$GS$74:$GS$276),1))-3,9,1),Base_Trimestrielle!$FI$74:$GP$276,33,0),"")</f>
        <v>1966</v>
      </c>
      <c r="F32" s="1126">
        <f>IF(VLOOKUP(DATE(YEAR(INDEX(Base_Trimestrielle!$FI$74:$GS$276,MAX(Base_Trimestrielle!$GS$74:$GS$276),1))-3,12,1),Base_Trimestrielle!$FI$74:$GP$276,33,0)&lt;&gt;"",VLOOKUP(DATE(YEAR(INDEX(Base_Trimestrielle!$FI$74:$GS$276,MAX(Base_Trimestrielle!$GS$74:$GS$276),1))-3,12,1),Base_Trimestrielle!$FI$74:$GP$276,33,0),"")</f>
        <v>1957</v>
      </c>
      <c r="G32" s="1126">
        <f>IF(VLOOKUP(DATE(YEAR(INDEX(Base_Trimestrielle!$FI$74:$GS$276,MAX(Base_Trimestrielle!$GS$74:$GS$276),1))-2,12,1),Base_Trimestrielle!$FI$74:$GP$276,33,0)&lt;&gt;"",VLOOKUP(DATE(YEAR(INDEX(Base_Trimestrielle!$FI$74:$GS$276,MAX(Base_Trimestrielle!$GS$74:$GS$276),1))-2,12,1),Base_Trimestrielle!$FI$74:$GP$276,33,0),"")</f>
        <v>2567</v>
      </c>
      <c r="H32" s="1126">
        <f>IF(VLOOKUP(DATE(YEAR(INDEX(Base_Trimestrielle!$FI$74:$GS$276,MAX(Base_Trimestrielle!$GS$74:$GS$276),1))-2,6,1),Base_Trimestrielle!$FI$74:$GP$276,33,0)&lt;&gt;"",VLOOKUP(DATE(YEAR(INDEX(Base_Trimestrielle!$FI$74:$GS$276,MAX(Base_Trimestrielle!$GS$74:$GS$276),1))-2,6,1),Base_Trimestrielle!$FI$74:$GP$276,33,0),"")</f>
        <v>9791</v>
      </c>
      <c r="I32" s="1126">
        <f>IF(VLOOKUP(DATE(YEAR(INDEX(Base_Trimestrielle!$FI$74:$GS$276,MAX(Base_Trimestrielle!$GS$74:$GS$276),1))-2,9,1),Base_Trimestrielle!$FI$74:$GP$276,33,0)&lt;&gt;"",VLOOKUP(DATE(YEAR(INDEX(Base_Trimestrielle!$FI$74:$GS$276,MAX(Base_Trimestrielle!$GS$74:$GS$276),1))-2,9,1),Base_Trimestrielle!$FI$74:$GP$276,33,0),"")</f>
        <v>2269</v>
      </c>
      <c r="J32" s="1126">
        <f>IF(VLOOKUP(DATE(YEAR(INDEX(Base_Trimestrielle!$FI$74:$GS$276,MAX(Base_Trimestrielle!$GS$74:$GS$276),1))-2,12,1),Base_Trimestrielle!$FI$74:$GP$276,33,0)&lt;&gt;"",VLOOKUP(DATE(YEAR(INDEX(Base_Trimestrielle!$FI$74:$GS$276,MAX(Base_Trimestrielle!$GS$74:$GS$276),1))-2,12,1),Base_Trimestrielle!$FI$74:$GP$276,33,0),"")</f>
        <v>2567</v>
      </c>
    </row>
    <row r="33" spans="1:10" ht="12.75" customHeight="1">
      <c r="A33" s="1655" t="s">
        <v>128</v>
      </c>
      <c r="B33" s="1657"/>
      <c r="C33" s="1646">
        <f t="shared" ref="C33:I33" si="3">SUM(C31:C32)</f>
        <v>7990</v>
      </c>
      <c r="D33" s="1646">
        <f t="shared" si="3"/>
        <v>6397</v>
      </c>
      <c r="E33" s="1646">
        <f t="shared" si="3"/>
        <v>6716</v>
      </c>
      <c r="F33" s="1646">
        <f t="shared" si="3"/>
        <v>7031</v>
      </c>
      <c r="G33" s="1646">
        <f t="shared" si="3"/>
        <v>7146</v>
      </c>
      <c r="H33" s="1646">
        <f t="shared" si="3"/>
        <v>16756</v>
      </c>
      <c r="I33" s="1646">
        <f t="shared" si="3"/>
        <v>7286</v>
      </c>
      <c r="J33" s="1646">
        <f>SUM(J31:J32)</f>
        <v>7649</v>
      </c>
    </row>
    <row r="34" spans="1:10" ht="9" customHeight="1">
      <c r="A34" s="1429"/>
      <c r="B34" s="1431"/>
    </row>
    <row r="35" spans="1:10" ht="11.1" customHeight="1">
      <c r="A35" s="1428"/>
      <c r="B35" s="1430"/>
      <c r="C35" s="2173" t="str">
        <f>CONCATENATE("1T-",RIGHT(YEAR(INDEX(Base_Trimestrielle!$FI$74:$GS$276,MAX(Base_Trimestrielle!$GS$74:$GS$276),1))-1,2))</f>
        <v>1T-22</v>
      </c>
      <c r="D35" s="32" t="str">
        <f>CONCATENATE("2T-",RIGHT(YEAR(INDEX(Base_Trimestrielle!$FI$74:$GS$276,MAX(Base_Trimestrielle!$GS$74:$GS$276),1))-1,2))</f>
        <v>2T-22</v>
      </c>
      <c r="E35" s="32" t="str">
        <f>CONCATENATE("3T-",RIGHT(YEAR(INDEX(Base_Trimestrielle!$FI$74:$GS$276,MAX(Base_Trimestrielle!$GS$74:$GS$276),1))-1,2))</f>
        <v>3T-22</v>
      </c>
      <c r="F35" s="32" t="str">
        <f>CONCATENATE("4T-",RIGHT(YEAR(INDEX(Base_Trimestrielle!$FI$74:$GS$276,MAX(Base_Trimestrielle!$GS$74:$GS$276),1))-1,2))</f>
        <v>4T-22</v>
      </c>
      <c r="G35" s="32" t="str">
        <f>CONCATENATE("1T-",RIGHT(YEAR(INDEX(Base_Trimestrielle!$FI$74:$GS$276,MAX(Base_Trimestrielle!$GS$74:$GS$276),1)),2))</f>
        <v>1T-23</v>
      </c>
      <c r="H35" s="32" t="str">
        <f>CONCATENATE("2T-",RIGHT(YEAR(INDEX(Base_Trimestrielle!$FI$74:$GS$276,MAX(Base_Trimestrielle!$GS$74:$GS$276),1)),2))</f>
        <v>2T-23</v>
      </c>
      <c r="I35" s="32" t="str">
        <f>CONCATENATE("3T-",RIGHT(YEAR(INDEX(Base_Trimestrielle!$FI$74:$GS$276,MAX(Base_Trimestrielle!$GS$74:$GS$276),1)),2))</f>
        <v>3T-23</v>
      </c>
      <c r="J35" s="32" t="str">
        <f>CONCATENATE("4T-",RIGHT(YEAR(INDEX(Base_Trimestrielle!$FI$74:$GS$276,MAX(Base_Trimestrielle!$GS$74:$GS$276),1)),2))</f>
        <v>4T-23</v>
      </c>
    </row>
    <row r="36" spans="1:10" ht="11.1" customHeight="1">
      <c r="A36" s="1650" t="s">
        <v>720</v>
      </c>
      <c r="B36" s="1649"/>
      <c r="C36" s="1123">
        <f>IF(VLOOKUP(DATE(YEAR(INDEX(Base_Trimestrielle!$FI$74:$GS$276,MAX(Base_Trimestrielle!$GS$74:$GS$276),1))-1,3,1),Base_Trimestrielle!$FI$74:$GP$276,32,0)&lt;&gt;"",VLOOKUP(DATE(YEAR(INDEX(Base_Trimestrielle!$FI$74:$GS$276,MAX(Base_Trimestrielle!$GS$74:$GS$276),1))-1,3,1),Base_Trimestrielle!$FI$74:$GP$276,32,0),"")</f>
        <v>5076</v>
      </c>
      <c r="D36" s="1123">
        <f>IF(VLOOKUP(DATE(YEAR(INDEX(Base_Trimestrielle!$FI$74:$GS$276,MAX(Base_Trimestrielle!$GS$74:$GS$276),1))-1,6,1),Base_Trimestrielle!$FI$74:$GP$276,32,0)&lt;&gt;"",VLOOKUP(DATE(YEAR(INDEX(Base_Trimestrielle!$FI$74:$GS$276,MAX(Base_Trimestrielle!$GS$74:$GS$276),1))-1,6,1),Base_Trimestrielle!$FI$74:$GP$276,32,0),"")</f>
        <v>2998</v>
      </c>
      <c r="E36" s="1124">
        <f>IF(VLOOKUP(DATE(YEAR(INDEX(Base_Trimestrielle!$FI$74:$GS$276,MAX(Base_Trimestrielle!$GS$74:$GS$276),1))-1,9,1),Base_Trimestrielle!$FI$74:$GP$276,32,0)&lt;&gt;"",VLOOKUP(DATE(YEAR(INDEX(Base_Trimestrielle!$FI$74:$GS$276,MAX(Base_Trimestrielle!$GS$74:$GS$276),1))-1,9,1),Base_Trimestrielle!$FI$74:$GP$276,32,0),"")</f>
        <v>3847</v>
      </c>
      <c r="F36" s="1123">
        <f>IF(VLOOKUP(DATE(YEAR(INDEX(Base_Trimestrielle!$FI$74:$GS$276,MAX(Base_Trimestrielle!$GS$74:$GS$276),1))-1,12,1),Base_Trimestrielle!$FI$74:$GP$276,32,0)&lt;&gt;"",VLOOKUP(DATE(YEAR(INDEX(Base_Trimestrielle!$FI$74:$GS$276,MAX(Base_Trimestrielle!$GS$74:$GS$276),1))-1,12,1),Base_Trimestrielle!$FI$74:$GP$276,32,0),"")</f>
        <v>4598</v>
      </c>
      <c r="G36" s="1123">
        <f>IF(VLOOKUP(DATE(YEAR(INDEX(Base_Trimestrielle!$FI$74:$GS$276,MAX(Base_Trimestrielle!$GS$74:$GS$276),1)),3,1),Base_Trimestrielle!$FI$74:$GP$276,32,0)&lt;&gt;"",VLOOKUP(DATE(YEAR(INDEX(Base_Trimestrielle!$FI$74:$GS$276,MAX(Base_Trimestrielle!$GS$74:$GS$276),1)),3,1),Base_Trimestrielle!$FI$74:$GP$276,32,0),"")</f>
        <v>3945</v>
      </c>
      <c r="H36" s="1123">
        <f>IF(VLOOKUP(DATE(YEAR(INDEX(Base_Trimestrielle!$FI$74:$GS$276,MAX(Base_Trimestrielle!$GS$74:$GS$276),1)),6,1),Base_Trimestrielle!$FI$74:$GP$276,32,0)&lt;&gt;"",VLOOKUP(DATE(YEAR(INDEX(Base_Trimestrielle!$FI$74:$GS$276,MAX(Base_Trimestrielle!$GS$74:$GS$276),1)),6,1),Base_Trimestrielle!$FI$74:$GP$276,32,0),"")</f>
        <v>4810</v>
      </c>
      <c r="I36" s="1123">
        <f>IF(VLOOKUP(DATE(YEAR(INDEX(Base_Trimestrielle!$FI$74:$GS$276,MAX(Base_Trimestrielle!$GS$74:$GS$276),1)),9,1),Base_Trimestrielle!$FI$74:$GP$276,32,0)&lt;&gt;"",VLOOKUP(DATE(YEAR(INDEX(Base_Trimestrielle!$FI$74:$GS$276,MAX(Base_Trimestrielle!$GS$74:$GS$276),1)),9,1),Base_Trimestrielle!$FI$74:$GP$276,32,0),"")</f>
        <v>5572</v>
      </c>
      <c r="J36" s="1123">
        <f>IF(VLOOKUP(DATE(YEAR(INDEX(Base_Trimestrielle!$FI$74:$GS$276,MAX(Base_Trimestrielle!$GS$74:$GS$276),1)),12,1),Base_Trimestrielle!$FI$74:$GP$276,32,0)&lt;&gt;"",VLOOKUP(DATE(YEAR(INDEX(Base_Trimestrielle!$FI$74:$GS$276,MAX(Base_Trimestrielle!$GS$74:$GS$276),1)),12,1),Base_Trimestrielle!$FI$74:$GP$276,32,0),"")</f>
        <v>5847</v>
      </c>
    </row>
    <row r="37" spans="1:10" ht="11.1" customHeight="1">
      <c r="A37" s="1654" t="s">
        <v>721</v>
      </c>
      <c r="B37" s="1656"/>
      <c r="C37" s="1126">
        <f>IF(VLOOKUP(DATE(YEAR(INDEX(Base_Trimestrielle!$FI$74:$GS$276,MAX(Base_Trimestrielle!$GS$74:$GS$276),1))-1,3,1),Base_Trimestrielle!$FI$74:$GP$276,33,0)&lt;&gt;"",VLOOKUP(DATE(YEAR(INDEX(Base_Trimestrielle!$FI$74:$GS$276,MAX(Base_Trimestrielle!$GS$74:$GS$276),1))-1,3,1),Base_Trimestrielle!$FI$74:$GP$276,33,0),"")</f>
        <v>2570</v>
      </c>
      <c r="D37" s="1126">
        <f>IF(VLOOKUP(DATE(YEAR(INDEX(Base_Trimestrielle!$FI$74:$GS$276,MAX(Base_Trimestrielle!$GS$74:$GS$276),1))-1,6,1),Base_Trimestrielle!$FI$74:$GP$276,33,0)&lt;&gt;"",VLOOKUP(DATE(YEAR(INDEX(Base_Trimestrielle!$FI$74:$GS$276,MAX(Base_Trimestrielle!$GS$74:$GS$276),1))-1,6,1),Base_Trimestrielle!$FI$74:$GP$276,33,0),"")</f>
        <v>1623</v>
      </c>
      <c r="E37" s="1127">
        <f>IF(VLOOKUP(DATE(YEAR(INDEX(Base_Trimestrielle!$FI$74:$GS$276,MAX(Base_Trimestrielle!$GS$74:$GS$276),1))-1,9,1),Base_Trimestrielle!$FI$74:$GP$276,33,0)&lt;&gt;"",VLOOKUP(DATE(YEAR(INDEX(Base_Trimestrielle!$FI$74:$GS$276,MAX(Base_Trimestrielle!$GS$74:$GS$276),1))-1,9,1),Base_Trimestrielle!$FI$74:$GP$276,33,0),"")</f>
        <v>1955</v>
      </c>
      <c r="F37" s="1126">
        <f>IF(VLOOKUP(DATE(YEAR(INDEX(Base_Trimestrielle!$FI$74:$GS$276,MAX(Base_Trimestrielle!$GS$74:$GS$276),1))-1,12,1),Base_Trimestrielle!$FI$74:$GP$276,33,0)&lt;&gt;"",VLOOKUP(DATE(YEAR(INDEX(Base_Trimestrielle!$FI$74:$GS$276,MAX(Base_Trimestrielle!$GS$74:$GS$276),1))-1,12,1),Base_Trimestrielle!$FI$74:$GP$276,33,0),"")</f>
        <v>2406</v>
      </c>
      <c r="G37" s="1126">
        <f>IF(VLOOKUP(DATE(YEAR(INDEX(Base_Trimestrielle!$FI$74:$GS$276,MAX(Base_Trimestrielle!$GS$74:$GS$276),1)),12,1),Base_Trimestrielle!$FI$74:$GP$276,33,0)&lt;&gt;"",VLOOKUP(DATE(YEAR(INDEX(Base_Trimestrielle!$FI$74:$GS$276,MAX(Base_Trimestrielle!$GS$74:$GS$276),1)),12,1),Base_Trimestrielle!$FI$74:$GP$276,33,0),"")</f>
        <v>2711</v>
      </c>
      <c r="H37" s="1126">
        <f>IF(VLOOKUP(DATE(YEAR(INDEX(Base_Trimestrielle!$FI$74:$GS$276,MAX(Base_Trimestrielle!$GS$74:$GS$276),1)),6,1),Base_Trimestrielle!$FI$74:$GP$276,33,0)&lt;&gt;"",VLOOKUP(DATE(YEAR(INDEX(Base_Trimestrielle!$FI$74:$GS$276,MAX(Base_Trimestrielle!$GS$74:$GS$276),1)),6,1),Base_Trimestrielle!$FI$74:$GP$276,33,0),"")</f>
        <v>2400</v>
      </c>
      <c r="I37" s="1126">
        <f>IF(VLOOKUP(DATE(YEAR(INDEX(Base_Trimestrielle!$FI$74:$GS$276,MAX(Base_Trimestrielle!$GS$74:$GS$276),1)),9,1),Base_Trimestrielle!$FI$74:$GP$276,33,0)&lt;&gt;"",VLOOKUP(DATE(YEAR(INDEX(Base_Trimestrielle!$FI$74:$GS$276,MAX(Base_Trimestrielle!$GS$74:$GS$276),1)),9,1),Base_Trimestrielle!$FI$74:$GP$276,33,0),"")</f>
        <v>2803</v>
      </c>
      <c r="J37" s="1126">
        <f>IF(VLOOKUP(DATE(YEAR(INDEX(Base_Trimestrielle!$FI$74:$GS$276,MAX(Base_Trimestrielle!$GS$74:$GS$276),1)),12,1),Base_Trimestrielle!$FI$74:$GP$276,33,0)&lt;&gt;"",VLOOKUP(DATE(YEAR(INDEX(Base_Trimestrielle!$FI$74:$GS$276,MAX(Base_Trimestrielle!$GS$74:$GS$276),1)),12,1),Base_Trimestrielle!$FI$74:$GP$276,33,0),"")</f>
        <v>2711</v>
      </c>
    </row>
    <row r="38" spans="1:10" ht="11.1" customHeight="1">
      <c r="A38" s="1655" t="s">
        <v>128</v>
      </c>
      <c r="B38" s="1657"/>
      <c r="C38" s="1646">
        <f t="shared" ref="C38:I38" si="4">SUM(C36:C37)</f>
        <v>7646</v>
      </c>
      <c r="D38" s="1646">
        <f t="shared" si="4"/>
        <v>4621</v>
      </c>
      <c r="E38" s="1647">
        <f t="shared" si="4"/>
        <v>5802</v>
      </c>
      <c r="F38" s="1646">
        <f t="shared" si="4"/>
        <v>7004</v>
      </c>
      <c r="G38" s="1646">
        <f t="shared" si="4"/>
        <v>6656</v>
      </c>
      <c r="H38" s="1646">
        <f t="shared" si="4"/>
        <v>7210</v>
      </c>
      <c r="I38" s="1646">
        <f t="shared" si="4"/>
        <v>8375</v>
      </c>
      <c r="J38" s="1646">
        <f>SUM(J36:J37)</f>
        <v>8558</v>
      </c>
    </row>
    <row r="39" spans="1:10" ht="12.3">
      <c r="A39" s="1134" t="s">
        <v>722</v>
      </c>
    </row>
    <row r="40" spans="1:10" ht="9" customHeight="1"/>
    <row r="41" spans="1:10" ht="11.1" customHeight="1">
      <c r="A41" s="1105" t="s">
        <v>1122</v>
      </c>
    </row>
    <row r="43" spans="1:10" ht="11.1" customHeight="1">
      <c r="A43" s="1428"/>
      <c r="B43" s="1430"/>
      <c r="C43" s="118" t="str">
        <f>CONCATENATE("1T-",RIGHT(YEAR(INDEX(Base_Trimestrielle!$FI$74:$FM$276,MAX(Base_Trimestrielle!$FM$74:$FM$276),1))-7,2))</f>
        <v>1T-15</v>
      </c>
      <c r="D43" s="118" t="str">
        <f>CONCATENATE("2T-",RIGHT(YEAR(INDEX(Base_Trimestrielle!$FI$74:$FM$276,MAX(Base_Trimestrielle!$FM$74:$FM$276),1))-7,2))</f>
        <v>2T-15</v>
      </c>
      <c r="E43" s="118" t="str">
        <f>CONCATENATE("3T-",RIGHT(YEAR(INDEX(Base_Trimestrielle!$FI$74:$FM$276,MAX(Base_Trimestrielle!$FM$74:$FM$276),1))-7,2))</f>
        <v>3T-15</v>
      </c>
      <c r="F43" s="118" t="str">
        <f>CONCATENATE("4T-",RIGHT(YEAR(INDEX(Base_Trimestrielle!$FI$74:$FM$276,MAX(Base_Trimestrielle!$FM$74:$FM$276),1))-7,2))</f>
        <v>4T-15</v>
      </c>
      <c r="G43" s="118" t="str">
        <f>CONCATENATE("1T-",RIGHT(YEAR(INDEX(Base_Trimestrielle!$FI$74:$FM$276,MAX(Base_Trimestrielle!$FM$74:$FM$276),1))-6,2))</f>
        <v>1T-16</v>
      </c>
      <c r="H43" s="118" t="str">
        <f>CONCATENATE("2T-",RIGHT(YEAR(INDEX(Base_Trimestrielle!$FI$74:$FM$276,MAX(Base_Trimestrielle!$FM$74:$FM$276),1))-6,2))</f>
        <v>2T-16</v>
      </c>
      <c r="I43" s="118" t="str">
        <f>CONCATENATE("3T-",RIGHT(YEAR(INDEX(Base_Trimestrielle!$FI$74:$FM$276,MAX(Base_Trimestrielle!$FM$74:$FM$276),1))-6,2))</f>
        <v>3T-16</v>
      </c>
      <c r="J43" s="118" t="str">
        <f>CONCATENATE("4T-",RIGHT(YEAR(INDEX(Base_Trimestrielle!$FI$74:$FM$276,MAX(Base_Trimestrielle!$FM$74:$FM$276),1))-6,2))</f>
        <v>4T-16</v>
      </c>
    </row>
    <row r="44" spans="1:10" ht="11.1" customHeight="1">
      <c r="A44" s="1650" t="s">
        <v>692</v>
      </c>
      <c r="B44" s="1649"/>
      <c r="C44" s="1123">
        <f>IF(VLOOKUP(DATE(YEAR(INDEX(Base_Trimestrielle!$FI$74:$FM$276,MAX(Base_Trimestrielle!$FM$74:$FM$276),1))-7,3,1),Base_Trimestrielle!$FI$74:$FM$276,2,0)&lt;&gt;"",VLOOKUP(DATE(YEAR(INDEX(Base_Trimestrielle!$FI$74:$FM$276,MAX(Base_Trimestrielle!$FM$74:$FM$276),1))-7,3,1),Base_Trimestrielle!$FI$74:$FM$276,2,0),"")</f>
        <v>1433</v>
      </c>
      <c r="D44" s="1123">
        <f>IF(VLOOKUP(DATE(YEAR(INDEX(Base_Trimestrielle!$FI$74:$FM$276,MAX(Base_Trimestrielle!$FM$74:$FM$276),1))-7,6,1),Base_Trimestrielle!$FI$74:$FM$276,2,0)&lt;&gt;"",VLOOKUP(DATE(YEAR(INDEX(Base_Trimestrielle!$FI$74:$FM$276,MAX(Base_Trimestrielle!$FM$74:$FM$276),1))-7,6,1),Base_Trimestrielle!$FI$74:$FM$276,2,0),"")</f>
        <v>1913</v>
      </c>
      <c r="E44" s="1124">
        <f>IF(VLOOKUP(DATE(YEAR(INDEX(Base_Trimestrielle!$FI$74:$FM$276,MAX(Base_Trimestrielle!$FM$74:$FM$276),1))-7,9,1),Base_Trimestrielle!$FI$74:$FM$276,2,0)&lt;&gt;"",VLOOKUP(DATE(YEAR(INDEX(Base_Trimestrielle!$FI$74:$FM$276,MAX(Base_Trimestrielle!$FM$74:$FM$276),1))-7,9,1),Base_Trimestrielle!$FI$74:$FM$276,2,0),"")</f>
        <v>2248</v>
      </c>
      <c r="F44" s="1123">
        <f>IF(VLOOKUP(DATE(YEAR(INDEX(Base_Trimestrielle!$FI$74:$FM$276,MAX(Base_Trimestrielle!$FM$74:$FM$276),1))-7,12,1),Base_Trimestrielle!$FI$74:$FM$276,2,0)&lt;&gt;"",VLOOKUP(DATE(YEAR(INDEX(Base_Trimestrielle!$FI$74:$FM$276,MAX(Base_Trimestrielle!$FM$74:$FM$276),1))-7,12,1),Base_Trimestrielle!$FI$74:$FM$276,2,0),"")</f>
        <v>1982</v>
      </c>
      <c r="G44" s="1123">
        <f>IF(VLOOKUP(DATE(YEAR(INDEX(Base_Trimestrielle!$FI$74:$FM$276,MAX(Base_Trimestrielle!$FM$74:$FM$276),1))-6,3,1),Base_Trimestrielle!$FI$74:$FM$276,2,0)&lt;&gt;"",VLOOKUP(DATE(YEAR(INDEX(Base_Trimestrielle!$FI$74:$FM$276,MAX(Base_Trimestrielle!$FM$74:$FM$276),1))-6,3,1),Base_Trimestrielle!$FI$74:$FM$276,2,0),"")</f>
        <v>2409</v>
      </c>
      <c r="H44" s="1123">
        <f>IF(VLOOKUP(DATE(YEAR(INDEX(Base_Trimestrielle!$FI$74:$FM$276,MAX(Base_Trimestrielle!$FM$74:$FM$276),1))-6,6,1),Base_Trimestrielle!$FI$74:$FM$276,2,0)&lt;&gt;"",VLOOKUP(DATE(YEAR(INDEX(Base_Trimestrielle!$FI$74:$FM$276,MAX(Base_Trimestrielle!$FM$74:$FM$276),1))-6,6,1),Base_Trimestrielle!$FI$74:$FM$276,2,0),"")</f>
        <v>2285</v>
      </c>
      <c r="I44" s="1123">
        <f>IF(VLOOKUP(DATE(YEAR(INDEX(Base_Trimestrielle!$FI$74:$FM$276,MAX(Base_Trimestrielle!$FM$74:$FM$276),1))-6,9,1),Base_Trimestrielle!$FI$74:$FM$276,2,0)&lt;&gt;"",VLOOKUP(DATE(YEAR(INDEX(Base_Trimestrielle!$FI$74:$FM$276,MAX(Base_Trimestrielle!$FM$74:$FM$276),1))-6,9,1),Base_Trimestrielle!$FI$74:$FM$276,2,0),"")</f>
        <v>4047</v>
      </c>
      <c r="J44" s="1123">
        <f>IF(VLOOKUP(DATE(YEAR(INDEX(Base_Trimestrielle!$FI$74:$FM$276,MAX(Base_Trimestrielle!$FM$74:$FM$276),1))-6,12,1),Base_Trimestrielle!$FI$74:$FM$276,2,0)&lt;&gt;"",VLOOKUP(DATE(YEAR(INDEX(Base_Trimestrielle!$FI$74:$FM$276,MAX(Base_Trimestrielle!$FM$74:$FM$276),1))-6,12,1),Base_Trimestrielle!$FI$74:$FM$276,2,0),"")</f>
        <v>6052</v>
      </c>
    </row>
    <row r="45" spans="1:10" ht="11.1" customHeight="1">
      <c r="A45" s="1654" t="s">
        <v>693</v>
      </c>
      <c r="B45" s="1656"/>
      <c r="C45" s="1126">
        <f>IF(VLOOKUP(DATE(YEAR(INDEX(Base_Trimestrielle!$FI$74:$FM$276,MAX(Base_Trimestrielle!$FM$74:$FM$276),1))-7,3,1),Base_Trimestrielle!$FI$74:$FM$276,3,0)&lt;&gt;"",VLOOKUP(DATE(YEAR(INDEX(Base_Trimestrielle!$FI$74:$FM$276,MAX(Base_Trimestrielle!$FM$74:$FM$276),1))-7,3,1),Base_Trimestrielle!$FI$74:$FM$276,3,0),"")</f>
        <v>658</v>
      </c>
      <c r="D45" s="1126">
        <f>IF(VLOOKUP(DATE(YEAR(INDEX(Base_Trimestrielle!$FI$74:$FM$276,MAX(Base_Trimestrielle!$FM$74:$FM$276),1))-7,6,1),Base_Trimestrielle!$FI$74:$FM$276,3,0)&lt;&gt;"",VLOOKUP(DATE(YEAR(INDEX(Base_Trimestrielle!$FI$74:$FM$276,MAX(Base_Trimestrielle!$FM$74:$FM$276),1))-7,6,1),Base_Trimestrielle!$FI$74:$FM$276,3,0),"")</f>
        <v>1279</v>
      </c>
      <c r="E45" s="1127">
        <f>IF(VLOOKUP(DATE(YEAR(INDEX(Base_Trimestrielle!$FI$74:$FM$276,MAX(Base_Trimestrielle!$FM$74:$FM$276),1))-7,9,1),Base_Trimestrielle!$FI$74:$FM$276,3,0)&lt;&gt;"",VLOOKUP(DATE(YEAR(INDEX(Base_Trimestrielle!$FI$74:$FM$276,MAX(Base_Trimestrielle!$FM$74:$FM$276),1))-7,9,1),Base_Trimestrielle!$FI$74:$FM$276,3,0),"")</f>
        <v>1138</v>
      </c>
      <c r="F45" s="1126">
        <f>IF(VLOOKUP(DATE(YEAR(INDEX(Base_Trimestrielle!$FI$74:$FM$276,MAX(Base_Trimestrielle!$FM$74:$FM$276),1))-7,12,1),Base_Trimestrielle!$FI$74:$FM$276,3,0)&lt;&gt;"",VLOOKUP(DATE(YEAR(INDEX(Base_Trimestrielle!$FI$74:$FM$276,MAX(Base_Trimestrielle!$FM$74:$FM$276),1))-7,12,1),Base_Trimestrielle!$FI$74:$FM$276,3,0),"")</f>
        <v>956</v>
      </c>
      <c r="G45" s="1126">
        <f>IF(VLOOKUP(DATE(YEAR(INDEX(Base_Trimestrielle!$FI$74:$FM$276,MAX(Base_Trimestrielle!$FM$74:$FM$276),1))-6,3,1),Base_Trimestrielle!$FI$74:$FM$276,3,0)&lt;&gt;"",VLOOKUP(DATE(YEAR(INDEX(Base_Trimestrielle!$FI$74:$FM$276,MAX(Base_Trimestrielle!$FM$74:$FM$276),1))-6,3,1),Base_Trimestrielle!$FI$74:$FM$276,3,0),"")</f>
        <v>1435</v>
      </c>
      <c r="H45" s="1126">
        <f>IF(VLOOKUP(DATE(YEAR(INDEX(Base_Trimestrielle!$FI$74:$FM$276,MAX(Base_Trimestrielle!$FM$74:$FM$276),1))-6,6,1),Base_Trimestrielle!$FI$74:$FM$276,3,0)&lt;&gt;"",VLOOKUP(DATE(YEAR(INDEX(Base_Trimestrielle!$FI$74:$FM$276,MAX(Base_Trimestrielle!$FM$74:$FM$276),1))-6,6,1),Base_Trimestrielle!$FI$74:$FM$276,3,0),"")</f>
        <v>1620</v>
      </c>
      <c r="I45" s="1126">
        <f>IF(VLOOKUP(DATE(YEAR(INDEX(Base_Trimestrielle!$FI$74:$FM$276,MAX(Base_Trimestrielle!$FM$74:$FM$276),1))-6,9,1),Base_Trimestrielle!$FI$74:$FM$276,3,0)&lt;&gt;"",VLOOKUP(DATE(YEAR(INDEX(Base_Trimestrielle!$FI$74:$FM$276,MAX(Base_Trimestrielle!$FM$74:$FM$276),1))-6,9,1),Base_Trimestrielle!$FI$74:$FM$276,3,0),"")</f>
        <v>1483</v>
      </c>
      <c r="J45" s="1126">
        <f>IF(VLOOKUP(DATE(YEAR(INDEX(Base_Trimestrielle!$FI$74:$FM$276,MAX(Base_Trimestrielle!$FM$74:$FM$276),1))-6,12,1),Base_Trimestrielle!$FI$74:$FM$276,3,0)&lt;&gt;"",VLOOKUP(DATE(YEAR(INDEX(Base_Trimestrielle!$FI$74:$FM$276,MAX(Base_Trimestrielle!$FM$74:$FM$276),1))-6,12,1),Base_Trimestrielle!$FI$74:$FM$276,3,0),"")</f>
        <v>2108</v>
      </c>
    </row>
    <row r="46" spans="1:10" ht="11.1" customHeight="1">
      <c r="A46" s="1652" t="s">
        <v>694</v>
      </c>
      <c r="B46" s="1653"/>
      <c r="C46" s="1644">
        <f>IF(VLOOKUP(DATE(YEAR(INDEX(Base_Trimestrielle!$FI$74:$FM$276,MAX(Base_Trimestrielle!$FM$74:$FM$276),1))-7,3,1),Base_Trimestrielle!$FI$74:$FM$276,4,0)&lt;&gt;"",VLOOKUP(DATE(YEAR(INDEX(Base_Trimestrielle!$FI$74:$FM$276,MAX(Base_Trimestrielle!$FM$74:$FM$276),1))-7,3,1),Base_Trimestrielle!$FI$74:$FM$276,4,0),"")</f>
        <v>0</v>
      </c>
      <c r="D46" s="1644">
        <f>IF(VLOOKUP(DATE(YEAR(INDEX(Base_Trimestrielle!$FI$74:$FM$276,MAX(Base_Trimestrielle!$FM$74:$FM$276),1))-7,6,1),Base_Trimestrielle!$FI$74:$FM$276,4,0)&lt;&gt;"",VLOOKUP(DATE(YEAR(INDEX(Base_Trimestrielle!$FI$74:$FM$276,MAX(Base_Trimestrielle!$FM$74:$FM$276),1))-7,6,1),Base_Trimestrielle!$FI$74:$FM$276,4,0),"")</f>
        <v>0</v>
      </c>
      <c r="E46" s="1645">
        <f>IF(VLOOKUP(DATE(YEAR(INDEX(Base_Trimestrielle!$FI$74:$FM$276,MAX(Base_Trimestrielle!$FM$74:$FM$276),1))-7,9,1),Base_Trimestrielle!$FI$74:$FM$276,4,0)&lt;&gt;"",VLOOKUP(DATE(YEAR(INDEX(Base_Trimestrielle!$FI$74:$FM$276,MAX(Base_Trimestrielle!$FM$74:$FM$276),1))-7,9,1),Base_Trimestrielle!$FI$74:$FM$276,4,0),"")</f>
        <v>0</v>
      </c>
      <c r="F46" s="1644">
        <f>IF(VLOOKUP(DATE(YEAR(INDEX(Base_Trimestrielle!$FI$74:$FM$276,MAX(Base_Trimestrielle!$FM$74:$FM$276),1))-7,12,1),Base_Trimestrielle!$FI$74:$FM$276,4,0)&lt;&gt;"",VLOOKUP(DATE(YEAR(INDEX(Base_Trimestrielle!$FI$74:$FM$276,MAX(Base_Trimestrielle!$FM$74:$FM$276),1))-7,12,1),Base_Trimestrielle!$FI$74:$FM$276,4,0),"")</f>
        <v>0</v>
      </c>
      <c r="G46" s="1644">
        <f>IF(VLOOKUP(DATE(YEAR(INDEX(Base_Trimestrielle!$FI$74:$FM$276,MAX(Base_Trimestrielle!$FM$74:$FM$276),1))-6,3,1),Base_Trimestrielle!$FI$74:$FM$276,4,0)&lt;&gt;"",VLOOKUP(DATE(YEAR(INDEX(Base_Trimestrielle!$FI$74:$FM$276,MAX(Base_Trimestrielle!$FM$74:$FM$276),1))-6,3,1),Base_Trimestrielle!$FI$74:$FM$276,4,0),"")</f>
        <v>0</v>
      </c>
      <c r="H46" s="1644">
        <f>IF(VLOOKUP(DATE(YEAR(INDEX(Base_Trimestrielle!$FI$74:$FM$276,MAX(Base_Trimestrielle!$FM$74:$FM$276),1))-6,6,1),Base_Trimestrielle!$FI$74:$FM$276,4,0)&lt;&gt;"",VLOOKUP(DATE(YEAR(INDEX(Base_Trimestrielle!$FI$74:$FM$276,MAX(Base_Trimestrielle!$FM$74:$FM$276),1))-6,6,1),Base_Trimestrielle!$FI$74:$FM$276,4,0),"")</f>
        <v>0</v>
      </c>
      <c r="I46" s="1644">
        <f>IF(VLOOKUP(DATE(YEAR(INDEX(Base_Trimestrielle!$FI$74:$FM$276,MAX(Base_Trimestrielle!$FM$74:$FM$276),1))-6,9,1),Base_Trimestrielle!$FI$74:$FM$276,4,0)&lt;&gt;"",VLOOKUP(DATE(YEAR(INDEX(Base_Trimestrielle!$FI$74:$FM$276,MAX(Base_Trimestrielle!$FM$74:$FM$276),1))-6,9,1),Base_Trimestrielle!$FI$74:$FM$276,4,0),"")</f>
        <v>0</v>
      </c>
      <c r="J46" s="1644">
        <f>IF(VLOOKUP(DATE(YEAR(INDEX(Base_Trimestrielle!$FI$74:$FM$276,MAX(Base_Trimestrielle!$FM$74:$FM$276),1))-6,12,1),Base_Trimestrielle!$FI$74:$FM$276,4,0)&lt;&gt;"",VLOOKUP(DATE(YEAR(INDEX(Base_Trimestrielle!$FI$74:$FM$276,MAX(Base_Trimestrielle!$FM$74:$FM$276),1))-6,12,1),Base_Trimestrielle!$FI$74:$FM$276,4,0),"")</f>
        <v>0</v>
      </c>
    </row>
    <row r="47" spans="1:10" ht="11.1" customHeight="1">
      <c r="A47" s="1658" t="s">
        <v>128</v>
      </c>
      <c r="B47" s="1659"/>
      <c r="C47" s="1660">
        <f t="shared" ref="C47:J47" si="5">SUM(C44:C46)</f>
        <v>2091</v>
      </c>
      <c r="D47" s="1660">
        <f t="shared" si="5"/>
        <v>3192</v>
      </c>
      <c r="E47" s="1660">
        <f t="shared" si="5"/>
        <v>3386</v>
      </c>
      <c r="F47" s="1660">
        <f t="shared" si="5"/>
        <v>2938</v>
      </c>
      <c r="G47" s="1660">
        <f t="shared" si="5"/>
        <v>3844</v>
      </c>
      <c r="H47" s="1660">
        <f t="shared" si="5"/>
        <v>3905</v>
      </c>
      <c r="I47" s="1660">
        <f t="shared" si="5"/>
        <v>5530</v>
      </c>
      <c r="J47" s="1660">
        <f t="shared" si="5"/>
        <v>8160</v>
      </c>
    </row>
    <row r="48" spans="1:10" ht="9" customHeight="1">
      <c r="A48" s="1433"/>
      <c r="B48" s="1434"/>
      <c r="J48" s="1435"/>
    </row>
    <row r="49" spans="1:10" ht="11.1" customHeight="1">
      <c r="A49" s="1428"/>
      <c r="B49" s="1430"/>
      <c r="C49" s="2172" t="str">
        <f>CONCATENATE("1T-",RIGHT(YEAR(INDEX(Base_Trimestrielle!$FI$74:$FM$276,MAX(Base_Trimestrielle!$FM$74:$FM$276),1))-5,2))</f>
        <v>1T-17</v>
      </c>
      <c r="D49" s="2172" t="str">
        <f>CONCATENATE("2T-",RIGHT(YEAR(INDEX(Base_Trimestrielle!$FI$74:$FM$276,MAX(Base_Trimestrielle!$FM$74:$FM$276),1))-5,2))</f>
        <v>2T-17</v>
      </c>
      <c r="E49" s="2172" t="str">
        <f>CONCATENATE("3T-",RIGHT(YEAR(INDEX(Base_Trimestrielle!$FI$74:$FM$276,MAX(Base_Trimestrielle!$FM$74:$FM$276),1))-5,2))</f>
        <v>3T-17</v>
      </c>
      <c r="F49" s="2172" t="str">
        <f>CONCATENATE("4T-",RIGHT(YEAR(INDEX(Base_Trimestrielle!$FI$74:$FM$276,MAX(Base_Trimestrielle!$FM$74:$FM$276),1))-5,2))</f>
        <v>4T-17</v>
      </c>
      <c r="G49" s="2172" t="str">
        <f>CONCATENATE("1T-",RIGHT(YEAR(INDEX(Base_Trimestrielle!$FI$74:$FM$276,MAX(Base_Trimestrielle!$FM$74:$FM$276),1))-4,2))</f>
        <v>1T-18</v>
      </c>
      <c r="H49" s="2172" t="str">
        <f>CONCATENATE("2T-",RIGHT(YEAR(INDEX(Base_Trimestrielle!$FI$74:$FM$276,MAX(Base_Trimestrielle!$FM$74:$FM$276),1))-4,2))</f>
        <v>2T-18</v>
      </c>
      <c r="I49" s="2172" t="str">
        <f>CONCATENATE("3T-",RIGHT(YEAR(INDEX(Base_Trimestrielle!$FI$74:$FM$276,MAX(Base_Trimestrielle!$FM$74:$FM$276),1))-4,2))</f>
        <v>3T-18</v>
      </c>
      <c r="J49" s="2172" t="str">
        <f>CONCATENATE("4T-",RIGHT(YEAR(INDEX(Base_Trimestrielle!$FI$74:$FM$276,MAX(Base_Trimestrielle!$FM$74:$FM$276),1))-4,2))</f>
        <v>4T-18</v>
      </c>
    </row>
    <row r="50" spans="1:10" ht="11.1" customHeight="1">
      <c r="A50" s="1650" t="s">
        <v>692</v>
      </c>
      <c r="B50" s="1649"/>
      <c r="C50" s="1123">
        <f>IF(VLOOKUP(DATE(YEAR(INDEX(Base_Trimestrielle!$FI$74:$FM$276,MAX(Base_Trimestrielle!$FM$74:$FM$276),1))-5,3,1),Base_Trimestrielle!$FI$74:$FM$276,2,0)&lt;&gt;"",VLOOKUP(DATE(YEAR(INDEX(Base_Trimestrielle!$FI$74:$FM$276,MAX(Base_Trimestrielle!$FM$74:$FM$276),1))-5,3,1),Base_Trimestrielle!$FI$74:$FM$276,2,0),"")</f>
        <v>3112</v>
      </c>
      <c r="D50" s="1123">
        <f>IF(VLOOKUP(DATE(YEAR(INDEX(Base_Trimestrielle!$FI$74:$FM$276,MAX(Base_Trimestrielle!$FM$74:$FM$276),1))-5,6,1),Base_Trimestrielle!$FI$74:$FM$276,2,0)&lt;&gt;"",VLOOKUP(DATE(YEAR(INDEX(Base_Trimestrielle!$FI$74:$FM$276,MAX(Base_Trimestrielle!$FM$74:$FM$276),1))-5,6,1),Base_Trimestrielle!$FI$74:$FM$276,2,0),"")</f>
        <v>3086</v>
      </c>
      <c r="E50" s="1124">
        <f>IF(VLOOKUP(DATE(YEAR(INDEX(Base_Trimestrielle!$FI$74:$FM$276,MAX(Base_Trimestrielle!$FM$74:$FM$276),1))-5,9,1),Base_Trimestrielle!$FI$74:$FM$276,2,0)&lt;&gt;"",VLOOKUP(DATE(YEAR(INDEX(Base_Trimestrielle!$FI$74:$FM$276,MAX(Base_Trimestrielle!$FM$74:$FM$276),1))-5,9,1),Base_Trimestrielle!$FI$74:$FM$276,2,0),"")</f>
        <v>2443</v>
      </c>
      <c r="F50" s="1123">
        <f>IF(VLOOKUP(DATE(YEAR(INDEX(Base_Trimestrielle!$FI$74:$FM$276,MAX(Base_Trimestrielle!$FM$74:$FM$276),1))-5,12,1),Base_Trimestrielle!$FI$74:$FM$276,2,0)&lt;&gt;"",VLOOKUP(DATE(YEAR(INDEX(Base_Trimestrielle!$FI$74:$FM$276,MAX(Base_Trimestrielle!$FM$74:$FM$276),1))-5,12,1),Base_Trimestrielle!$FI$74:$FM$276,2,0),"")</f>
        <v>2496</v>
      </c>
      <c r="G50" s="1123">
        <f>IF(VLOOKUP(DATE(YEAR(INDEX(Base_Trimestrielle!$FI$74:$FM$276,MAX(Base_Trimestrielle!$FM$74:$FM$276),1))-4,3,1),Base_Trimestrielle!$FI$74:$FM$276,2,0)&lt;&gt;"",VLOOKUP(DATE(YEAR(INDEX(Base_Trimestrielle!$FI$74:$FM$276,MAX(Base_Trimestrielle!$FM$74:$FM$276),1))-4,3,1),Base_Trimestrielle!$FI$74:$FM$276,2,0),"")</f>
        <v>4069</v>
      </c>
      <c r="H50" s="1123">
        <f>IF(VLOOKUP(DATE(YEAR(INDEX(Base_Trimestrielle!$FI$74:$FM$276,MAX(Base_Trimestrielle!$FM$74:$FM$276),1))-4,6,1),Base_Trimestrielle!$FI$74:$FM$276,2,0)&lt;&gt;"",VLOOKUP(DATE(YEAR(INDEX(Base_Trimestrielle!$FI$74:$FM$276,MAX(Base_Trimestrielle!$FM$74:$FM$276),1))-4,6,1),Base_Trimestrielle!$FI$74:$FM$276,2,0),"")</f>
        <v>1352</v>
      </c>
      <c r="I50" s="1123">
        <f>IF(VLOOKUP(DATE(YEAR(INDEX(Base_Trimestrielle!$FI$74:$FM$276,MAX(Base_Trimestrielle!$FM$74:$FM$276),1))-4,9,1),Base_Trimestrielle!$FI$74:$FM$276,2,0)&lt;&gt;"",VLOOKUP(DATE(YEAR(INDEX(Base_Trimestrielle!$FI$74:$FM$276,MAX(Base_Trimestrielle!$FM$74:$FM$276),1))-4,9,1),Base_Trimestrielle!$FI$74:$FM$276,2,0),"")</f>
        <v>1792</v>
      </c>
      <c r="J50" s="1123">
        <f>IF(VLOOKUP(DATE(YEAR(INDEX(Base_Trimestrielle!$FI$74:$FM$276,MAX(Base_Trimestrielle!$FM$74:$FM$276),1))-4,12,1),Base_Trimestrielle!$FI$74:$FM$276,2,0)&lt;&gt;"",VLOOKUP(DATE(YEAR(INDEX(Base_Trimestrielle!$FI$74:$FM$276,MAX(Base_Trimestrielle!$FM$74:$FM$276),1))-4,12,1),Base_Trimestrielle!$FI$74:$FM$276,2,0),"")</f>
        <v>2017</v>
      </c>
    </row>
    <row r="51" spans="1:10" ht="11.1" customHeight="1">
      <c r="A51" s="1654" t="s">
        <v>693</v>
      </c>
      <c r="B51" s="1656"/>
      <c r="C51" s="1126">
        <f>IF(VLOOKUP(DATE(YEAR(INDEX(Base_Trimestrielle!$FI$74:$FM$276,MAX(Base_Trimestrielle!$FM$74:$FM$276),1))-5,3,1),Base_Trimestrielle!$FI$74:$FM$276,3,0)&lt;&gt;"",VLOOKUP(DATE(YEAR(INDEX(Base_Trimestrielle!$FI$74:$FM$276,MAX(Base_Trimestrielle!$FM$74:$FM$276),1))-5,3,1),Base_Trimestrielle!$FI$74:$FM$276,3,0),"")</f>
        <v>1892</v>
      </c>
      <c r="D51" s="1126">
        <f>IF(VLOOKUP(DATE(YEAR(INDEX(Base_Trimestrielle!$FI$74:$FM$276,MAX(Base_Trimestrielle!$FM$74:$FM$276),1))-5,6,1),Base_Trimestrielle!$FI$74:$FM$276,3,0)&lt;&gt;"",VLOOKUP(DATE(YEAR(INDEX(Base_Trimestrielle!$FI$74:$FM$276,MAX(Base_Trimestrielle!$FM$74:$FM$276),1))-5,6,1),Base_Trimestrielle!$FI$74:$FM$276,3,0),"")</f>
        <v>2159</v>
      </c>
      <c r="E51" s="1127">
        <f>IF(VLOOKUP(DATE(YEAR(INDEX(Base_Trimestrielle!$FI$74:$FM$276,MAX(Base_Trimestrielle!$FM$74:$FM$276),1))-5,9,1),Base_Trimestrielle!$FI$74:$FM$276,3,0)&lt;&gt;"",VLOOKUP(DATE(YEAR(INDEX(Base_Trimestrielle!$FI$74:$FM$276,MAX(Base_Trimestrielle!$FM$74:$FM$276),1))-5,9,1),Base_Trimestrielle!$FI$74:$FM$276,3,0),"")</f>
        <v>1220</v>
      </c>
      <c r="F51" s="1126">
        <f>IF(VLOOKUP(DATE(YEAR(INDEX(Base_Trimestrielle!$FI$74:$FM$276,MAX(Base_Trimestrielle!$FM$74:$FM$276),1))-5,12,1),Base_Trimestrielle!$FI$74:$FM$276,3,0)&lt;&gt;"",VLOOKUP(DATE(YEAR(INDEX(Base_Trimestrielle!$FI$74:$FM$276,MAX(Base_Trimestrielle!$FM$74:$FM$276),1))-5,12,1),Base_Trimestrielle!$FI$74:$FM$276,3,0),"")</f>
        <v>1084</v>
      </c>
      <c r="G51" s="1126">
        <f>IF(VLOOKUP(DATE(YEAR(INDEX(Base_Trimestrielle!$FI$74:$FM$276,MAX(Base_Trimestrielle!$FM$74:$FM$276),1))-4,3,1),Base_Trimestrielle!$FI$74:$FM$276,3,0)&lt;&gt;"",VLOOKUP(DATE(YEAR(INDEX(Base_Trimestrielle!$FI$74:$FM$276,MAX(Base_Trimestrielle!$FM$74:$FM$276),1))-4,3,1),Base_Trimestrielle!$FI$74:$FM$276,3,0),"")</f>
        <v>4205</v>
      </c>
      <c r="H51" s="1126">
        <f>IF(VLOOKUP(DATE(YEAR(INDEX(Base_Trimestrielle!$FI$74:$FM$276,MAX(Base_Trimestrielle!$FM$74:$FM$276),1))-4,6,1),Base_Trimestrielle!$FI$74:$FM$276,3,0)&lt;&gt;"",VLOOKUP(DATE(YEAR(INDEX(Base_Trimestrielle!$FI$74:$FM$276,MAX(Base_Trimestrielle!$FM$74:$FM$276),1))-4,6,1),Base_Trimestrielle!$FI$74:$FM$276,3,0),"")</f>
        <v>1353</v>
      </c>
      <c r="I51" s="1126">
        <f>IF(VLOOKUP(DATE(YEAR(INDEX(Base_Trimestrielle!$FI$74:$FM$276,MAX(Base_Trimestrielle!$FM$74:$FM$276),1))-4,9,1),Base_Trimestrielle!$FI$74:$FM$276,3,0)&lt;&gt;"",VLOOKUP(DATE(YEAR(INDEX(Base_Trimestrielle!$FI$74:$FM$276,MAX(Base_Trimestrielle!$FM$74:$FM$276),1))-4,9,1),Base_Trimestrielle!$FI$74:$FM$276,3,0),"")</f>
        <v>1268</v>
      </c>
      <c r="J51" s="1126">
        <f>IF(VLOOKUP(DATE(YEAR(INDEX(Base_Trimestrielle!$FI$74:$FM$276,MAX(Base_Trimestrielle!$FM$74:$FM$276),1))-4,12,1),Base_Trimestrielle!$FI$74:$FM$276,3,0)&lt;&gt;"",VLOOKUP(DATE(YEAR(INDEX(Base_Trimestrielle!$FI$74:$FM$276,MAX(Base_Trimestrielle!$FM$74:$FM$276),1))-4,12,1),Base_Trimestrielle!$FI$74:$FM$276,3,0),"")</f>
        <v>1306</v>
      </c>
    </row>
    <row r="52" spans="1:10" ht="11.1" customHeight="1">
      <c r="A52" s="1652" t="s">
        <v>694</v>
      </c>
      <c r="B52" s="1653"/>
      <c r="C52" s="1644">
        <f>IF(VLOOKUP(DATE(YEAR(INDEX(Base_Trimestrielle!$FI$74:$FM$276,MAX(Base_Trimestrielle!$FM$74:$FM$276),1))-5,3,1),Base_Trimestrielle!$FI$74:$FM$276,4,0)&lt;&gt;"",VLOOKUP(DATE(YEAR(INDEX(Base_Trimestrielle!$FI$74:$FM$276,MAX(Base_Trimestrielle!$FM$74:$FM$276),1))-5,3,1),Base_Trimestrielle!$FI$74:$FM$276,4,0),"")</f>
        <v>0</v>
      </c>
      <c r="D52" s="1644">
        <f>IF(VLOOKUP(DATE(YEAR(INDEX(Base_Trimestrielle!$FI$74:$FM$276,MAX(Base_Trimestrielle!$FM$74:$FM$276),1))-5,6,1),Base_Trimestrielle!$FI$74:$FM$276,4,0)&lt;&gt;"",VLOOKUP(DATE(YEAR(INDEX(Base_Trimestrielle!$FI$74:$FM$276,MAX(Base_Trimestrielle!$FM$74:$FM$276),1))-5,6,1),Base_Trimestrielle!$FI$74:$FM$276,4,0),"")</f>
        <v>0</v>
      </c>
      <c r="E52" s="1645">
        <f>IF(VLOOKUP(DATE(YEAR(INDEX(Base_Trimestrielle!$FI$74:$FM$276,MAX(Base_Trimestrielle!$FM$74:$FM$276),1))-5,9,1),Base_Trimestrielle!$FI$74:$FM$276,4,0)&lt;&gt;"",VLOOKUP(DATE(YEAR(INDEX(Base_Trimestrielle!$FI$74:$FM$276,MAX(Base_Trimestrielle!$FM$74:$FM$276),1))-5,9,1),Base_Trimestrielle!$FI$74:$FM$276,4,0),"")</f>
        <v>0</v>
      </c>
      <c r="F52" s="1644">
        <f>IF(VLOOKUP(DATE(YEAR(INDEX(Base_Trimestrielle!$FI$74:$FM$276,MAX(Base_Trimestrielle!$FM$74:$FM$276),1))-5,12,1),Base_Trimestrielle!$FI$74:$FM$276,4,0)&lt;&gt;"",VLOOKUP(DATE(YEAR(INDEX(Base_Trimestrielle!$FI$74:$FM$276,MAX(Base_Trimestrielle!$FM$74:$FM$276),1))-5,12,1),Base_Trimestrielle!$FI$74:$FM$276,4,0),"")</f>
        <v>0</v>
      </c>
      <c r="G52" s="1644">
        <f>IF(VLOOKUP(DATE(YEAR(INDEX(Base_Trimestrielle!$FI$74:$FM$276,MAX(Base_Trimestrielle!$FM$74:$FM$276),1))-4,3,1),Base_Trimestrielle!$FI$74:$FM$276,4,0)&lt;&gt;"",VLOOKUP(DATE(YEAR(INDEX(Base_Trimestrielle!$FI$74:$FM$276,MAX(Base_Trimestrielle!$FM$74:$FM$276),1))-4,3,1),Base_Trimestrielle!$FI$74:$FM$276,4,0),"")</f>
        <v>0</v>
      </c>
      <c r="H52" s="1644">
        <f>IF(VLOOKUP(DATE(YEAR(INDEX(Base_Trimestrielle!$FI$74:$FM$276,MAX(Base_Trimestrielle!$FM$74:$FM$276),1))-4,6,1),Base_Trimestrielle!$FI$74:$FM$276,4,0)&lt;&gt;"",VLOOKUP(DATE(YEAR(INDEX(Base_Trimestrielle!$FI$74:$FM$276,MAX(Base_Trimestrielle!$FM$74:$FM$276),1))-4,6,1),Base_Trimestrielle!$FI$74:$FM$276,4,0),"")</f>
        <v>6</v>
      </c>
      <c r="I52" s="1644">
        <f>IF(VLOOKUP(DATE(YEAR(INDEX(Base_Trimestrielle!$FI$74:$FM$276,MAX(Base_Trimestrielle!$FM$74:$FM$276),1))-4,9,1),Base_Trimestrielle!$FI$74:$FM$276,4,0)&lt;&gt;"",VLOOKUP(DATE(YEAR(INDEX(Base_Trimestrielle!$FI$74:$FM$276,MAX(Base_Trimestrielle!$FM$74:$FM$276),1))-4,9,1),Base_Trimestrielle!$FI$74:$FM$276,4,0),"")</f>
        <v>0</v>
      </c>
      <c r="J52" s="1644">
        <f>IF(VLOOKUP(DATE(YEAR(INDEX(Base_Trimestrielle!$FI$74:$FM$276,MAX(Base_Trimestrielle!$FM$74:$FM$276),1))-4,12,1),Base_Trimestrielle!$FI$74:$FM$276,4,0)&lt;&gt;"",VLOOKUP(DATE(YEAR(INDEX(Base_Trimestrielle!$FI$74:$FM$276,MAX(Base_Trimestrielle!$FM$74:$FM$276),1))-4,12,1),Base_Trimestrielle!$FI$74:$FM$276,4,0),"")</f>
        <v>0</v>
      </c>
    </row>
    <row r="53" spans="1:10" ht="11.1" customHeight="1">
      <c r="A53" s="1658" t="s">
        <v>128</v>
      </c>
      <c r="B53" s="1659"/>
      <c r="C53" s="1660">
        <f t="shared" ref="C53:J53" si="6">SUM(C50:C52)</f>
        <v>5004</v>
      </c>
      <c r="D53" s="1660">
        <f t="shared" si="6"/>
        <v>5245</v>
      </c>
      <c r="E53" s="1660">
        <f t="shared" si="6"/>
        <v>3663</v>
      </c>
      <c r="F53" s="1660">
        <f t="shared" si="6"/>
        <v>3580</v>
      </c>
      <c r="G53" s="1660">
        <f t="shared" si="6"/>
        <v>8274</v>
      </c>
      <c r="H53" s="1660">
        <f t="shared" si="6"/>
        <v>2711</v>
      </c>
      <c r="I53" s="1660">
        <f t="shared" si="6"/>
        <v>3060</v>
      </c>
      <c r="J53" s="1660">
        <f t="shared" si="6"/>
        <v>3323</v>
      </c>
    </row>
    <row r="54" spans="1:10" ht="9" customHeight="1">
      <c r="A54" s="1433"/>
      <c r="B54" s="1434"/>
      <c r="J54" s="1435"/>
    </row>
    <row r="55" spans="1:10" ht="11.1" customHeight="1">
      <c r="A55" s="1428"/>
      <c r="B55" s="1430"/>
      <c r="C55" s="118" t="str">
        <f>CONCATENATE("1T-",RIGHT(YEAR(INDEX(Base_Trimestrielle!$FI$74:$FM$276,MAX(Base_Trimestrielle!$FM$74:$FM$276),1))-3,2))</f>
        <v>1T-19</v>
      </c>
      <c r="D55" s="118" t="str">
        <f>CONCATENATE("2T-",RIGHT(YEAR(INDEX(Base_Trimestrielle!$FI$74:$FM$276,MAX(Base_Trimestrielle!$FM$74:$FM$276),1))-3,2))</f>
        <v>2T-19</v>
      </c>
      <c r="E55" s="118" t="str">
        <f>CONCATENATE("3T-",RIGHT(YEAR(INDEX(Base_Trimestrielle!$FI$74:$FM$276,MAX(Base_Trimestrielle!$FM$74:$FM$276),1))-3,2))</f>
        <v>3T-19</v>
      </c>
      <c r="F55" s="118" t="str">
        <f>CONCATENATE("4T-",RIGHT(YEAR(INDEX(Base_Trimestrielle!$FI$74:$FM$276,MAX(Base_Trimestrielle!$FM$74:$FM$276),1))-3,2))</f>
        <v>4T-19</v>
      </c>
      <c r="G55" s="118" t="str">
        <f>CONCATENATE("1T-",RIGHT(YEAR(INDEX(Base_Trimestrielle!$FI$74:$FM$276,MAX(Base_Trimestrielle!$FM$74:$FM$276),1))-2,2))</f>
        <v>1T-20</v>
      </c>
      <c r="H55" s="118" t="str">
        <f>CONCATENATE("2T-",RIGHT(YEAR(INDEX(Base_Trimestrielle!$FI$74:$FM$276,MAX(Base_Trimestrielle!$FM$74:$FM$276),1))-2,2))</f>
        <v>2T-20</v>
      </c>
      <c r="I55" s="118" t="str">
        <f>CONCATENATE("3T-",RIGHT(YEAR(INDEX(Base_Trimestrielle!$FI$74:$FM$276,MAX(Base_Trimestrielle!$FM$74:$FM$276),1))-2,2))</f>
        <v>3T-20</v>
      </c>
      <c r="J55" s="118" t="str">
        <f>CONCATENATE("4T-",RIGHT(YEAR(INDEX(Base_Trimestrielle!$FI$74:$FM$276,MAX(Base_Trimestrielle!$FM$74:$FM$276),1))-2,2))</f>
        <v>4T-20</v>
      </c>
    </row>
    <row r="56" spans="1:10" ht="11.1" customHeight="1">
      <c r="A56" s="1650" t="s">
        <v>692</v>
      </c>
      <c r="B56" s="1649"/>
      <c r="C56" s="1123">
        <f>IF(VLOOKUP(DATE(YEAR(INDEX(Base_Trimestrielle!$FI$74:$FM$276,MAX(Base_Trimestrielle!$FM$74:$FM$276),1))-3,3,1),Base_Trimestrielle!$FI$74:$FM$276,2,0)&lt;&gt;"",VLOOKUP(DATE(YEAR(INDEX(Base_Trimestrielle!$FI$74:$FM$276,MAX(Base_Trimestrielle!$FM$74:$FM$276),1))-3,3,1),Base_Trimestrielle!$FI$74:$FM$276,2,0),"")</f>
        <v>1652</v>
      </c>
      <c r="D56" s="1123">
        <f>IF(VLOOKUP(DATE(YEAR(INDEX(Base_Trimestrielle!$FI$74:$FM$276,MAX(Base_Trimestrielle!$FM$74:$FM$276),1))-3,6,1),Base_Trimestrielle!$FI$74:$FM$276,2,0)&lt;&gt;"",VLOOKUP(DATE(YEAR(INDEX(Base_Trimestrielle!$FI$74:$FM$276,MAX(Base_Trimestrielle!$FM$74:$FM$276),1))-3,6,1),Base_Trimestrielle!$FI$74:$FM$276,2,0),"")</f>
        <v>1452</v>
      </c>
      <c r="E56" s="1124">
        <f>IF(VLOOKUP(DATE(YEAR(INDEX(Base_Trimestrielle!$FI$74:$FM$276,MAX(Base_Trimestrielle!$FM$74:$FM$276),1))-3,9,1),Base_Trimestrielle!$FI$74:$FM$276,2,0)&lt;&gt;"",VLOOKUP(DATE(YEAR(INDEX(Base_Trimestrielle!$FI$74:$FM$276,MAX(Base_Trimestrielle!$FM$74:$FM$276),1))-3,9,1),Base_Trimestrielle!$FI$74:$FM$276,2,0),"")</f>
        <v>2564</v>
      </c>
      <c r="F56" s="1123">
        <f>IF(VLOOKUP(DATE(YEAR(INDEX(Base_Trimestrielle!$FI$74:$FM$276,MAX(Base_Trimestrielle!$FM$74:$FM$276),1))-3,12,1),Base_Trimestrielle!$FI$74:$FM$276,2,0)&lt;&gt;"",VLOOKUP(DATE(YEAR(INDEX(Base_Trimestrielle!$FI$74:$FM$276,MAX(Base_Trimestrielle!$FM$74:$FM$276),1))-3,12,1),Base_Trimestrielle!$FI$74:$FM$276,2,0),"")</f>
        <v>2230</v>
      </c>
      <c r="G56" s="1123">
        <f>IF(VLOOKUP(DATE(YEAR(INDEX(Base_Trimestrielle!$FI$74:$FM$276,MAX(Base_Trimestrielle!$FM$74:$FM$276),1))-2,3,1),Base_Trimestrielle!$FI$74:$FM$276,2,0)&lt;&gt;"",VLOOKUP(DATE(YEAR(INDEX(Base_Trimestrielle!$FI$74:$FM$276,MAX(Base_Trimestrielle!$FM$74:$FM$276),1))-2,3,1),Base_Trimestrielle!$FI$74:$FM$276,2,0),"")</f>
        <v>1238</v>
      </c>
      <c r="H56" s="1123">
        <f>IF(VLOOKUP(DATE(YEAR(INDEX(Base_Trimestrielle!$FI$74:$FM$276,MAX(Base_Trimestrielle!$FM$74:$FM$276),1))-2,6,1),Base_Trimestrielle!$FI$74:$FM$276,2,0)&lt;&gt;"",VLOOKUP(DATE(YEAR(INDEX(Base_Trimestrielle!$FI$74:$FM$276,MAX(Base_Trimestrielle!$FM$74:$FM$276),1))-2,6,1),Base_Trimestrielle!$FI$74:$FM$276,2,0),"")</f>
        <v>961</v>
      </c>
      <c r="I56" s="1123">
        <f>IF(VLOOKUP(DATE(YEAR(INDEX(Base_Trimestrielle!$FI$74:$FM$276,MAX(Base_Trimestrielle!$FM$74:$FM$276),1))-2,9,1),Base_Trimestrielle!$FI$74:$FM$276,2,0)&lt;&gt;"",VLOOKUP(DATE(YEAR(INDEX(Base_Trimestrielle!$FI$74:$FM$276,MAX(Base_Trimestrielle!$FM$74:$FM$276),1))-2,9,1),Base_Trimestrielle!$FI$74:$FM$276,2,0),"")</f>
        <v>1191</v>
      </c>
      <c r="J56" s="1123">
        <f>IF(VLOOKUP(DATE(YEAR(INDEX(Base_Trimestrielle!$FI$74:$FM$276,MAX(Base_Trimestrielle!$FM$74:$FM$276),1))-2,12,1),Base_Trimestrielle!$FI$74:$FM$276,2,0)&lt;&gt;"",VLOOKUP(DATE(YEAR(INDEX(Base_Trimestrielle!$FI$74:$FM$276,MAX(Base_Trimestrielle!$FM$74:$FM$276),1))-2,12,1),Base_Trimestrielle!$FI$74:$FM$276,2,0),"")</f>
        <v>1068</v>
      </c>
    </row>
    <row r="57" spans="1:10" ht="11.1" customHeight="1">
      <c r="A57" s="1654" t="s">
        <v>693</v>
      </c>
      <c r="B57" s="1656"/>
      <c r="C57" s="1126">
        <f>IF(VLOOKUP(DATE(YEAR(INDEX(Base_Trimestrielle!$FI$74:$FM$276,MAX(Base_Trimestrielle!$FM$74:$FM$276),1))-3,3,1),Base_Trimestrielle!$FI$74:$FM$276,3,0)&lt;&gt;"",VLOOKUP(DATE(YEAR(INDEX(Base_Trimestrielle!$FI$74:$FM$276,MAX(Base_Trimestrielle!$FM$74:$FM$276),1))-3,3,1),Base_Trimestrielle!$FI$74:$FM$276,3,0),"")</f>
        <v>1119</v>
      </c>
      <c r="D57" s="1126">
        <f>IF(VLOOKUP(DATE(YEAR(INDEX(Base_Trimestrielle!$FI$74:$FM$276,MAX(Base_Trimestrielle!$FM$74:$FM$276),1))-3,6,1),Base_Trimestrielle!$FI$74:$FM$276,3,0)&lt;&gt;"",VLOOKUP(DATE(YEAR(INDEX(Base_Trimestrielle!$FI$74:$FM$276,MAX(Base_Trimestrielle!$FM$74:$FM$276),1))-3,6,1),Base_Trimestrielle!$FI$74:$FM$276,3,0),"")</f>
        <v>1204</v>
      </c>
      <c r="E57" s="1127">
        <f>IF(VLOOKUP(DATE(YEAR(INDEX(Base_Trimestrielle!$FI$74:$FM$276,MAX(Base_Trimestrielle!$FM$74:$FM$276),1))-3,9,1),Base_Trimestrielle!$FI$74:$FM$276,3,0)&lt;&gt;"",VLOOKUP(DATE(YEAR(INDEX(Base_Trimestrielle!$FI$74:$FM$276,MAX(Base_Trimestrielle!$FM$74:$FM$276),1))-3,9,1),Base_Trimestrielle!$FI$74:$FM$276,3,0),"")</f>
        <v>2002</v>
      </c>
      <c r="F57" s="1126">
        <f>IF(VLOOKUP(DATE(YEAR(INDEX(Base_Trimestrielle!$FI$74:$FM$276,MAX(Base_Trimestrielle!$FM$74:$FM$276),1))-3,12,1),Base_Trimestrielle!$FI$74:$FM$276,3,0)&lt;&gt;"",VLOOKUP(DATE(YEAR(INDEX(Base_Trimestrielle!$FI$74:$FM$276,MAX(Base_Trimestrielle!$FM$74:$FM$276),1))-3,12,1),Base_Trimestrielle!$FI$74:$FM$276,3,0),"")</f>
        <v>1455</v>
      </c>
      <c r="G57" s="1126">
        <f>IF(VLOOKUP(DATE(YEAR(INDEX(Base_Trimestrielle!$FI$74:$FM$276,MAX(Base_Trimestrielle!$FM$74:$FM$276),1))-2,3,1),Base_Trimestrielle!$FI$74:$FM$276,3,0)&lt;&gt;"",VLOOKUP(DATE(YEAR(INDEX(Base_Trimestrielle!$FI$74:$FM$276,MAX(Base_Trimestrielle!$FM$74:$FM$276),1))-2,3,1),Base_Trimestrielle!$FI$74:$FM$276,3,0),"")</f>
        <v>1012</v>
      </c>
      <c r="H57" s="1126">
        <f>IF(VLOOKUP(DATE(YEAR(INDEX(Base_Trimestrielle!$FI$74:$FM$276,MAX(Base_Trimestrielle!$FM$74:$FM$276),1))-2,6,1),Base_Trimestrielle!$FI$74:$FM$276,3,0)&lt;&gt;"",VLOOKUP(DATE(YEAR(INDEX(Base_Trimestrielle!$FI$74:$FM$276,MAX(Base_Trimestrielle!$FM$74:$FM$276),1))-2,6,1),Base_Trimestrielle!$FI$74:$FM$276,3,0),"")</f>
        <v>893</v>
      </c>
      <c r="I57" s="1126">
        <f>IF(VLOOKUP(DATE(YEAR(INDEX(Base_Trimestrielle!$FI$74:$FM$276,MAX(Base_Trimestrielle!$FM$74:$FM$276),1))-2,9,1),Base_Trimestrielle!$FI$74:$FM$276,3,0)&lt;&gt;"",VLOOKUP(DATE(YEAR(INDEX(Base_Trimestrielle!$FI$74:$FM$276,MAX(Base_Trimestrielle!$FM$74:$FM$276),1))-2,9,1),Base_Trimestrielle!$FI$74:$FM$276,3,0),"")</f>
        <v>874</v>
      </c>
      <c r="J57" s="1126">
        <f>IF(VLOOKUP(DATE(YEAR(INDEX(Base_Trimestrielle!$FI$74:$FM$276,MAX(Base_Trimestrielle!$FM$74:$FM$276),1))-2,12,1),Base_Trimestrielle!$FI$74:$FM$276,3,0)&lt;&gt;"",VLOOKUP(DATE(YEAR(INDEX(Base_Trimestrielle!$FI$74:$FM$276,MAX(Base_Trimestrielle!$FM$74:$FM$276),1))-2,12,1),Base_Trimestrielle!$FI$74:$FM$276,3,0),"")</f>
        <v>828</v>
      </c>
    </row>
    <row r="58" spans="1:10" ht="11.1" customHeight="1">
      <c r="A58" s="1652" t="s">
        <v>694</v>
      </c>
      <c r="B58" s="1653"/>
      <c r="C58" s="1644">
        <f>IF(VLOOKUP(DATE(YEAR(INDEX(Base_Trimestrielle!$FI$74:$FM$276,MAX(Base_Trimestrielle!$FM$74:$FM$276),1))-3,3,1),Base_Trimestrielle!$FI$74:$FM$276,4,0)&lt;&gt;"",VLOOKUP(DATE(YEAR(INDEX(Base_Trimestrielle!$FI$74:$FM$276,MAX(Base_Trimestrielle!$FM$74:$FM$276),1))-3,3,1),Base_Trimestrielle!$FI$74:$FM$276,4,0),"")</f>
        <v>0</v>
      </c>
      <c r="D58" s="1644">
        <f>IF(VLOOKUP(DATE(YEAR(INDEX(Base_Trimestrielle!$FI$74:$FM$276,MAX(Base_Trimestrielle!$FM$74:$FM$276),1))-3,6,1),Base_Trimestrielle!$FI$74:$FM$276,4,0)&lt;&gt;"",VLOOKUP(DATE(YEAR(INDEX(Base_Trimestrielle!$FI$74:$FM$276,MAX(Base_Trimestrielle!$FM$74:$FM$276),1))-3,6,1),Base_Trimestrielle!$FI$74:$FM$276,4,0),"")</f>
        <v>0</v>
      </c>
      <c r="E58" s="1645">
        <f>IF(VLOOKUP(DATE(YEAR(INDEX(Base_Trimestrielle!$FI$74:$FM$276,MAX(Base_Trimestrielle!$FM$74:$FM$276),1))-3,9,1),Base_Trimestrielle!$FI$74:$FM$276,4,0)&lt;&gt;"",VLOOKUP(DATE(YEAR(INDEX(Base_Trimestrielle!$FI$74:$FM$276,MAX(Base_Trimestrielle!$FM$74:$FM$276),1))-3,9,1),Base_Trimestrielle!$FI$74:$FM$276,4,0),"")</f>
        <v>0</v>
      </c>
      <c r="F58" s="1644">
        <f>IF(VLOOKUP(DATE(YEAR(INDEX(Base_Trimestrielle!$FI$74:$FM$276,MAX(Base_Trimestrielle!$FM$74:$FM$276),1))-3,12,1),Base_Trimestrielle!$FI$74:$FM$276,4,0)&lt;&gt;"",VLOOKUP(DATE(YEAR(INDEX(Base_Trimestrielle!$FI$74:$FM$276,MAX(Base_Trimestrielle!$FM$74:$FM$276),1))-3,12,1),Base_Trimestrielle!$FI$74:$FM$276,4,0),"")</f>
        <v>0</v>
      </c>
      <c r="G58" s="1644">
        <f>IF(VLOOKUP(DATE(YEAR(INDEX(Base_Trimestrielle!$FI$74:$FM$276,MAX(Base_Trimestrielle!$FM$74:$FM$276),1))-2,3,1),Base_Trimestrielle!$FI$74:$FM$276,4,0)&lt;&gt;"",VLOOKUP(DATE(YEAR(INDEX(Base_Trimestrielle!$FI$74:$FM$276,MAX(Base_Trimestrielle!$FM$74:$FM$276),1))-2,3,1),Base_Trimestrielle!$FI$74:$FM$276,4,0),"")</f>
        <v>0</v>
      </c>
      <c r="H58" s="1644">
        <f>IF(VLOOKUP(DATE(YEAR(INDEX(Base_Trimestrielle!$FI$74:$FM$276,MAX(Base_Trimestrielle!$FM$74:$FM$276),1))-2,6,1),Base_Trimestrielle!$FI$74:$FM$276,4,0)&lt;&gt;"",VLOOKUP(DATE(YEAR(INDEX(Base_Trimestrielle!$FI$74:$FM$276,MAX(Base_Trimestrielle!$FM$74:$FM$276),1))-2,6,1),Base_Trimestrielle!$FI$74:$FM$276,4,0),"")</f>
        <v>0</v>
      </c>
      <c r="I58" s="1644">
        <f>IF(VLOOKUP(DATE(YEAR(INDEX(Base_Trimestrielle!$FI$74:$FM$276,MAX(Base_Trimestrielle!$FM$74:$FM$276),1))-2,9,1),Base_Trimestrielle!$FI$74:$FM$276,4,0)&lt;&gt;"",VLOOKUP(DATE(YEAR(INDEX(Base_Trimestrielle!$FI$74:$FM$276,MAX(Base_Trimestrielle!$FM$74:$FM$276),1))-2,9,1),Base_Trimestrielle!$FI$74:$FM$276,4,0),"")</f>
        <v>0</v>
      </c>
      <c r="J58" s="1644">
        <f>IF(VLOOKUP(DATE(YEAR(INDEX(Base_Trimestrielle!$FI$74:$FM$276,MAX(Base_Trimestrielle!$FM$74:$FM$276),1))-2,12,1),Base_Trimestrielle!$FI$74:$FM$276,4,0)&lt;&gt;"",VLOOKUP(DATE(YEAR(INDEX(Base_Trimestrielle!$FI$74:$FM$276,MAX(Base_Trimestrielle!$FM$74:$FM$276),1))-2,12,1),Base_Trimestrielle!$FI$74:$FM$276,4,0),"")</f>
        <v>0</v>
      </c>
    </row>
    <row r="59" spans="1:10" ht="11.25" customHeight="1">
      <c r="A59" s="1658" t="s">
        <v>128</v>
      </c>
      <c r="B59" s="1659"/>
      <c r="C59" s="1660">
        <f t="shared" ref="C59:J59" si="7">SUM(C56:C58)</f>
        <v>2771</v>
      </c>
      <c r="D59" s="1660">
        <f t="shared" si="7"/>
        <v>2656</v>
      </c>
      <c r="E59" s="1660">
        <f t="shared" si="7"/>
        <v>4566</v>
      </c>
      <c r="F59" s="1660">
        <f t="shared" si="7"/>
        <v>3685</v>
      </c>
      <c r="G59" s="1660">
        <f t="shared" si="7"/>
        <v>2250</v>
      </c>
      <c r="H59" s="1660">
        <f t="shared" si="7"/>
        <v>1854</v>
      </c>
      <c r="I59" s="1660">
        <f t="shared" si="7"/>
        <v>2065</v>
      </c>
      <c r="J59" s="1660">
        <f t="shared" si="7"/>
        <v>1896</v>
      </c>
    </row>
    <row r="60" spans="1:10" ht="11.1" customHeight="1">
      <c r="A60" s="1433" t="s">
        <v>695</v>
      </c>
      <c r="B60" s="1434"/>
      <c r="C60" s="2174"/>
      <c r="D60" s="2174"/>
      <c r="E60" s="2174"/>
      <c r="F60" s="2174"/>
      <c r="G60" s="2174"/>
      <c r="H60" s="2174"/>
      <c r="I60" s="2174"/>
      <c r="J60" s="2175"/>
    </row>
    <row r="61" spans="1:10" ht="11.1" customHeight="1">
      <c r="A61" s="1428"/>
      <c r="B61" s="1430"/>
      <c r="C61" s="2173" t="str">
        <f>CONCATENATE("1T-",RIGHT(YEAR(INDEX(Base_Trimestrielle!$FI$74:$FM$276,MAX(Base_Trimestrielle!$FM$74:$FM$276),1))-1,2))</f>
        <v>1T-21</v>
      </c>
      <c r="D61" s="32" t="str">
        <f>CONCATENATE("2T-",RIGHT(YEAR(INDEX(Base_Trimestrielle!$FI$74:$FM$276,MAX(Base_Trimestrielle!$FM$74:$FM$276),1))-1,2))</f>
        <v>2T-21</v>
      </c>
      <c r="E61" s="32" t="str">
        <f>CONCATENATE("3T-",RIGHT(YEAR(INDEX(Base_Trimestrielle!$FI$74:$FM$276,MAX(Base_Trimestrielle!$FM$74:$FM$276),1))-1,2))</f>
        <v>3T-21</v>
      </c>
      <c r="F61" s="32" t="str">
        <f>CONCATENATE("4T-",RIGHT(YEAR(INDEX(Base_Trimestrielle!$FI$74:$FM$276,MAX(Base_Trimestrielle!$FM$74:$FM$276),1))-1,2))</f>
        <v>4T-21</v>
      </c>
      <c r="G61" s="32" t="str">
        <f>CONCATENATE("1T-",RIGHT(YEAR(INDEX(Base_Trimestrielle!$FI$74:$FM$276,MAX(Base_Trimestrielle!$FM$74:$FM$276),1)),2))</f>
        <v>1T-22</v>
      </c>
      <c r="H61" s="32" t="str">
        <f>CONCATENATE("2T-",RIGHT(YEAR(INDEX(Base_Trimestrielle!$FI$74:$FM$276,MAX(Base_Trimestrielle!$FM$74:$FM$276),1)),2))</f>
        <v>2T-22</v>
      </c>
      <c r="I61" s="32" t="str">
        <f>CONCATENATE("3T-",RIGHT(YEAR(INDEX(Base_Trimestrielle!$FI$74:$FM$276,MAX(Base_Trimestrielle!$FM$74:$FM$276),1)),2))</f>
        <v>3T-22</v>
      </c>
      <c r="J61" s="32" t="str">
        <f>CONCATENATE("4T-",RIGHT(YEAR(INDEX(Base_Trimestrielle!$FI$74:$FM$276,MAX(Base_Trimestrielle!$FM$74:$FM$276),1)),2))</f>
        <v>4T-22</v>
      </c>
    </row>
    <row r="62" spans="1:10" ht="11.1" customHeight="1">
      <c r="A62" s="1650" t="s">
        <v>692</v>
      </c>
      <c r="B62" s="1649"/>
      <c r="C62" s="1123">
        <f>IF(VLOOKUP(DATE(YEAR(INDEX(Base_Trimestrielle!$FI$74:$FM$276,MAX(Base_Trimestrielle!$FM$74:$FM$276),1))-1,3,1),Base_Trimestrielle!$FI$74:$FM$276,2,0)&lt;&gt;"",VLOOKUP(DATE(YEAR(INDEX(Base_Trimestrielle!$FI$74:$FM$276,MAX(Base_Trimestrielle!$FM$74:$FM$276),1))-1,3,1),Base_Trimestrielle!$FI$74:$FM$276,2,0),"")</f>
        <v>1978</v>
      </c>
      <c r="D62" s="1123">
        <f>IF(VLOOKUP(DATE(YEAR(INDEX(Base_Trimestrielle!$FI$74:$FM$276,MAX(Base_Trimestrielle!$FM$74:$FM$276),1))-1,6,1),Base_Trimestrielle!$FI$74:$FM$276,2,0)&lt;&gt;"",VLOOKUP(DATE(YEAR(INDEX(Base_Trimestrielle!$FI$74:$FM$276,MAX(Base_Trimestrielle!$FM$74:$FM$276),1))-1,6,1),Base_Trimestrielle!$FI$74:$FM$276,2,0),"")</f>
        <v>1151</v>
      </c>
      <c r="E62" s="1124">
        <f>IF(VLOOKUP(DATE(YEAR(INDEX(Base_Trimestrielle!$FI$74:$FM$276,MAX(Base_Trimestrielle!$FM$74:$FM$276),1))-1,9,1),Base_Trimestrielle!$FI$74:$FM$276,2,0)&lt;&gt;"",VLOOKUP(DATE(YEAR(INDEX(Base_Trimestrielle!$FI$74:$FM$276,MAX(Base_Trimestrielle!$FM$74:$FM$276),1))-1,9,1),Base_Trimestrielle!$FI$74:$FM$276,2,0),"")</f>
        <v>971</v>
      </c>
      <c r="F62" s="1123">
        <f>IF(VLOOKUP(DATE(YEAR(INDEX(Base_Trimestrielle!$FI$74:$FM$276,MAX(Base_Trimestrielle!$FM$74:$FM$276),1))-1,12,1),Base_Trimestrielle!$FI$74:$FM$276,2,0)&lt;&gt;"",VLOOKUP(DATE(YEAR(INDEX(Base_Trimestrielle!$FI$74:$FM$276,MAX(Base_Trimestrielle!$FM$74:$FM$276),1))-1,12,1),Base_Trimestrielle!$FI$74:$FM$276,2,0),"")</f>
        <v>1328</v>
      </c>
      <c r="G62" s="1123">
        <f>IF(VLOOKUP(DATE(YEAR(INDEX(Base_Trimestrielle!$FI$74:$FM$276,MAX(Base_Trimestrielle!$FM$74:$FM$276),1)),3,1),Base_Trimestrielle!$FI$74:$FM$276,2,0)&lt;&gt;"",VLOOKUP(DATE(YEAR(INDEX(Base_Trimestrielle!$FI$74:$FM$276,MAX(Base_Trimestrielle!$FM$74:$FM$276),1)),3,1),Base_Trimestrielle!$FI$74:$FM$276,2,0),"")</f>
        <v>2144</v>
      </c>
      <c r="H62" s="1123">
        <f>IF(VLOOKUP(DATE(YEAR(INDEX(Base_Trimestrielle!$FI$74:$FM$276,MAX(Base_Trimestrielle!$FM$74:$FM$276),1)),6,1),Base_Trimestrielle!$FI$74:$FM$276,2,0)&lt;&gt;"",VLOOKUP(DATE(YEAR(INDEX(Base_Trimestrielle!$FI$74:$FM$276,MAX(Base_Trimestrielle!$FM$74:$FM$276),1)),6,1),Base_Trimestrielle!$FI$74:$FM$276,2,0),"")</f>
        <v>3196.8326777759853</v>
      </c>
      <c r="I62" s="1123">
        <f>IF(VLOOKUP(DATE(YEAR(INDEX(Base_Trimestrielle!$FI$74:$FM$276,MAX(Base_Trimestrielle!$FM$74:$FM$276),1)),9,1),Base_Trimestrielle!$FI$74:$FM$276,2,0)&lt;&gt;"",VLOOKUP(DATE(YEAR(INDEX(Base_Trimestrielle!$FI$74:$FM$276,MAX(Base_Trimestrielle!$FM$74:$FM$276),1)),9,1),Base_Trimestrielle!$FI$74:$FM$276,2,0),"")</f>
        <v>1434</v>
      </c>
      <c r="J62" s="1123" t="str">
        <f>IF(VLOOKUP(DATE(YEAR(INDEX(Base_Trimestrielle!$FI$74:$FM$276,MAX(Base_Trimestrielle!$FM$74:$FM$276),1)),12,1),Base_Trimestrielle!$FI$74:$FM$276,2,0)&lt;&gt;"",VLOOKUP(DATE(YEAR(INDEX(Base_Trimestrielle!$FI$74:$FM$276,MAX(Base_Trimestrielle!$FM$74:$FM$276),1)),12,1),Base_Trimestrielle!$FI$74:$FM$276,2,0),"")</f>
        <v/>
      </c>
    </row>
    <row r="63" spans="1:10" ht="11.1" customHeight="1">
      <c r="A63" s="1654" t="s">
        <v>693</v>
      </c>
      <c r="B63" s="1656"/>
      <c r="C63" s="1126">
        <f>IF(VLOOKUP(DATE(YEAR(INDEX(Base_Trimestrielle!$FI$74:$FM$276,MAX(Base_Trimestrielle!$FM$74:$FM$276),1))-1,3,1),Base_Trimestrielle!$FI$74:$FM$276,3,0)&lt;&gt;"",VLOOKUP(DATE(YEAR(INDEX(Base_Trimestrielle!$FI$74:$FM$276,MAX(Base_Trimestrielle!$FM$74:$FM$276),1))-1,3,1),Base_Trimestrielle!$FI$74:$FM$276,3,0),"")</f>
        <v>2067</v>
      </c>
      <c r="D63" s="1126">
        <f>IF(VLOOKUP(DATE(YEAR(INDEX(Base_Trimestrielle!$FI$74:$FM$276,MAX(Base_Trimestrielle!$FM$74:$FM$276),1))-1,6,1),Base_Trimestrielle!$FI$74:$FM$276,3,0)&lt;&gt;"",VLOOKUP(DATE(YEAR(INDEX(Base_Trimestrielle!$FI$74:$FM$276,MAX(Base_Trimestrielle!$FM$74:$FM$276),1))-1,6,1),Base_Trimestrielle!$FI$74:$FM$276,3,0),"")</f>
        <v>1254</v>
      </c>
      <c r="E63" s="1127">
        <f>IF(VLOOKUP(DATE(YEAR(INDEX(Base_Trimestrielle!$FI$74:$FM$276,MAX(Base_Trimestrielle!$FM$74:$FM$276),1))-1,9,1),Base_Trimestrielle!$FI$74:$FM$276,3,0)&lt;&gt;"",VLOOKUP(DATE(YEAR(INDEX(Base_Trimestrielle!$FI$74:$FM$276,MAX(Base_Trimestrielle!$FM$74:$FM$276),1))-1,9,1),Base_Trimestrielle!$FI$74:$FM$276,3,0),"")</f>
        <v>1470</v>
      </c>
      <c r="F63" s="1126">
        <f>IF(VLOOKUP(DATE(YEAR(INDEX(Base_Trimestrielle!$FI$74:$FM$276,MAX(Base_Trimestrielle!$FM$74:$FM$276),1))-1,12,1),Base_Trimestrielle!$FI$74:$FM$276,3,0)&lt;&gt;"",VLOOKUP(DATE(YEAR(INDEX(Base_Trimestrielle!$FI$74:$FM$276,MAX(Base_Trimestrielle!$FM$74:$FM$276),1))-1,12,1),Base_Trimestrielle!$FI$74:$FM$276,3,0),"")</f>
        <v>1566</v>
      </c>
      <c r="G63" s="1126">
        <f>IF(VLOOKUP(DATE(YEAR(INDEX(Base_Trimestrielle!$FI$74:$FM$276,MAX(Base_Trimestrielle!$FM$74:$FM$276),1)),3,1),Base_Trimestrielle!$FI$74:$FM$276,3,0)&lt;&gt;"",VLOOKUP(DATE(YEAR(INDEX(Base_Trimestrielle!$FI$74:$FM$276,MAX(Base_Trimestrielle!$FM$74:$FM$276),1)),3,1),Base_Trimestrielle!$FI$74:$FM$276,3,0),"")</f>
        <v>1702</v>
      </c>
      <c r="H63" s="1126">
        <f>IF(VLOOKUP(DATE(YEAR(INDEX(Base_Trimestrielle!$FI$74:$FM$276,MAX(Base_Trimestrielle!$FM$74:$FM$276),1)),6,1),Base_Trimestrielle!$FI$74:$FM$276,3,0)&lt;&gt;"",VLOOKUP(DATE(YEAR(INDEX(Base_Trimestrielle!$FI$74:$FM$276,MAX(Base_Trimestrielle!$FM$74:$FM$276),1)),6,1),Base_Trimestrielle!$FI$74:$FM$276,3,0),"")</f>
        <v>1831.4810019026768</v>
      </c>
      <c r="I63" s="1126">
        <f>IF(VLOOKUP(DATE(YEAR(INDEX(Base_Trimestrielle!$FI$74:$FM$276,MAX(Base_Trimestrielle!$FM$74:$FM$276),1)),9,1),Base_Trimestrielle!$FI$74:$FM$276,3,0)&lt;&gt;"",VLOOKUP(DATE(YEAR(INDEX(Base_Trimestrielle!$FI$74:$FM$276,MAX(Base_Trimestrielle!$FM$74:$FM$276),1)),9,1),Base_Trimestrielle!$FI$74:$FM$276,3,0),"")</f>
        <v>1224</v>
      </c>
      <c r="J63" s="1126" t="str">
        <f>IF(VLOOKUP(DATE(YEAR(INDEX(Base_Trimestrielle!$FI$74:$FM$276,MAX(Base_Trimestrielle!$FM$74:$FM$276),1)),12,1),Base_Trimestrielle!$FI$74:$FM$276,3,0)&lt;&gt;"",VLOOKUP(DATE(YEAR(INDEX(Base_Trimestrielle!$FI$74:$FM$276,MAX(Base_Trimestrielle!$FM$74:$FM$276),1)),12,1),Base_Trimestrielle!$FI$74:$FM$276,3,0),"")</f>
        <v/>
      </c>
    </row>
    <row r="64" spans="1:10" ht="11.1" customHeight="1">
      <c r="A64" s="1652" t="s">
        <v>694</v>
      </c>
      <c r="B64" s="1653"/>
      <c r="C64" s="1644">
        <f>IF(VLOOKUP(DATE(YEAR(INDEX(Base_Trimestrielle!$FI$74:$FM$276,MAX(Base_Trimestrielle!$FM$74:$FM$276),1))-1,3,1),Base_Trimestrielle!$FI$74:$FM$276,4,0)&lt;&gt;"",VLOOKUP(DATE(YEAR(INDEX(Base_Trimestrielle!$FI$74:$FM$276,MAX(Base_Trimestrielle!$FM$74:$FM$276),1))-1,3,1),Base_Trimestrielle!$FI$74:$FM$276,4,0),"")</f>
        <v>0</v>
      </c>
      <c r="D64" s="1644">
        <f>IF(VLOOKUP(DATE(YEAR(INDEX(Base_Trimestrielle!$FI$74:$FM$276,MAX(Base_Trimestrielle!$FM$74:$FM$276),1))-1,6,1),Base_Trimestrielle!$FI$74:$FM$276,4,0)&lt;&gt;"",VLOOKUP(DATE(YEAR(INDEX(Base_Trimestrielle!$FI$74:$FM$276,MAX(Base_Trimestrielle!$FM$74:$FM$276),1))-1,6,1),Base_Trimestrielle!$FI$74:$FM$276,4,0),"")</f>
        <v>0</v>
      </c>
      <c r="E64" s="1645">
        <f>IF(VLOOKUP(DATE(YEAR(INDEX(Base_Trimestrielle!$FI$74:$FM$276,MAX(Base_Trimestrielle!$FM$74:$FM$276),1))-1,9,1),Base_Trimestrielle!$FI$74:$FM$276,4,0)&lt;&gt;"",VLOOKUP(DATE(YEAR(INDEX(Base_Trimestrielle!$FI$74:$FM$276,MAX(Base_Trimestrielle!$FM$74:$FM$276),1))-1,9,1),Base_Trimestrielle!$FI$74:$FM$276,4,0),"")</f>
        <v>0</v>
      </c>
      <c r="F64" s="1644">
        <f>IF(VLOOKUP(DATE(YEAR(INDEX(Base_Trimestrielle!$FI$74:$FM$276,MAX(Base_Trimestrielle!$FM$74:$FM$276),1))-1,12,1),Base_Trimestrielle!$FI$74:$FM$276,4,0)&lt;&gt;"",VLOOKUP(DATE(YEAR(INDEX(Base_Trimestrielle!$FI$74:$FM$276,MAX(Base_Trimestrielle!$FM$74:$FM$276),1))-1,12,1),Base_Trimestrielle!$FI$74:$FM$276,4,0),"")</f>
        <v>0</v>
      </c>
      <c r="G64" s="1644">
        <f>IF(VLOOKUP(DATE(YEAR(INDEX(Base_Trimestrielle!$FI$74:$FM$276,MAX(Base_Trimestrielle!$FM$74:$FM$276),1)),3,1),Base_Trimestrielle!$FI$74:$FM$276,4,0)&lt;&gt;"",VLOOKUP(DATE(YEAR(INDEX(Base_Trimestrielle!$FI$74:$FM$276,MAX(Base_Trimestrielle!$FM$74:$FM$276),1)),3,1),Base_Trimestrielle!$FI$74:$FM$276,4,0),"")</f>
        <v>0</v>
      </c>
      <c r="H64" s="1644">
        <f>IF(VLOOKUP(DATE(YEAR(INDEX(Base_Trimestrielle!$FI$74:$FM$276,MAX(Base_Trimestrielle!$FM$74:$FM$276),1)),6,1),Base_Trimestrielle!$FI$74:$FM$276,4,0)&lt;&gt;"",VLOOKUP(DATE(YEAR(INDEX(Base_Trimestrielle!$FI$74:$FM$276,MAX(Base_Trimestrielle!$FM$74:$FM$276),1)),6,1),Base_Trimestrielle!$FI$74:$FM$276,4,0),"")</f>
        <v>0</v>
      </c>
      <c r="I64" s="1644">
        <f>IF(VLOOKUP(DATE(YEAR(INDEX(Base_Trimestrielle!$FI$74:$FM$276,MAX(Base_Trimestrielle!$FM$74:$FM$276),1)),9,1),Base_Trimestrielle!$FI$74:$FM$276,4,0)&lt;&gt;"",VLOOKUP(DATE(YEAR(INDEX(Base_Trimestrielle!$FI$74:$FM$276,MAX(Base_Trimestrielle!$FM$74:$FM$276),1)),9,1),Base_Trimestrielle!$FI$74:$FM$276,4,0),"")</f>
        <v>0</v>
      </c>
      <c r="J64" s="1644" t="str">
        <f>IF(VLOOKUP(DATE(YEAR(INDEX(Base_Trimestrielle!$FI$74:$FM$276,MAX(Base_Trimestrielle!$FM$74:$FM$276),1)),12,1),Base_Trimestrielle!$FI$74:$FM$276,4,0)&lt;&gt;"",VLOOKUP(DATE(YEAR(INDEX(Base_Trimestrielle!$FI$74:$FM$276,MAX(Base_Trimestrielle!$FM$74:$FM$276),1)),12,1),Base_Trimestrielle!$FI$74:$FM$276,4,0),"")</f>
        <v/>
      </c>
    </row>
    <row r="65" spans="1:10" ht="11.1" customHeight="1">
      <c r="A65" s="1658" t="s">
        <v>128</v>
      </c>
      <c r="B65" s="1659"/>
      <c r="C65" s="1660">
        <f t="shared" ref="C65:I65" si="8">SUM(C62:C64)</f>
        <v>4045</v>
      </c>
      <c r="D65" s="1660">
        <f t="shared" si="8"/>
        <v>2405</v>
      </c>
      <c r="E65" s="1660">
        <f t="shared" si="8"/>
        <v>2441</v>
      </c>
      <c r="F65" s="1660">
        <f t="shared" si="8"/>
        <v>2894</v>
      </c>
      <c r="G65" s="1660">
        <f t="shared" si="8"/>
        <v>3846</v>
      </c>
      <c r="H65" s="1660">
        <f t="shared" si="8"/>
        <v>5028.3136796786621</v>
      </c>
      <c r="I65" s="1660">
        <f t="shared" si="8"/>
        <v>2658</v>
      </c>
      <c r="J65" s="1660">
        <f>SUM(J62:J64)</f>
        <v>0</v>
      </c>
    </row>
    <row r="66" spans="1:10" ht="11.1" customHeight="1">
      <c r="A66" s="962" t="s">
        <v>695</v>
      </c>
    </row>
    <row r="67" spans="1:10" ht="11.1" customHeight="1">
      <c r="A67" s="962"/>
    </row>
    <row r="68" spans="1:10" ht="11.1" customHeight="1">
      <c r="A68" s="1105" t="s">
        <v>1123</v>
      </c>
    </row>
    <row r="69" spans="1:10" ht="11.1" customHeight="1">
      <c r="A69" s="962"/>
    </row>
    <row r="70" spans="1:10" ht="11.1" customHeight="1">
      <c r="A70" s="1428"/>
      <c r="B70" s="1430"/>
      <c r="C70" s="32" t="str">
        <f>CONCATENATE("1T-",RIGHT(YEAR(INDEX(Base_Trimestrielle!$FI$74:$GJ$276,MAX(Base_Trimestrielle!$GJ$74:$GJ$276),1))-7,2))</f>
        <v>1T-15</v>
      </c>
      <c r="D70" s="32" t="str">
        <f>CONCATENATE("2T-",RIGHT(YEAR(INDEX(Base_Trimestrielle!$FI$74:$GJ$276,MAX(Base_Trimestrielle!$GJ$74:$GJ$276),1))-7,2))</f>
        <v>2T-15</v>
      </c>
      <c r="E70" s="32" t="str">
        <f>CONCATENATE("3T-",RIGHT(YEAR(INDEX(Base_Trimestrielle!$FI$74:$GJ$276,MAX(Base_Trimestrielle!$GJ$74:$GJ$276),1))-7,2))</f>
        <v>3T-15</v>
      </c>
      <c r="F70" s="32" t="str">
        <f>CONCATENATE("4T-",RIGHT(YEAR(INDEX(Base_Trimestrielle!$FI$74:$GJ$276,MAX(Base_Trimestrielle!$GJ$74:$GJ$276),1))-7,2))</f>
        <v>4T-15</v>
      </c>
      <c r="G70" s="32" t="str">
        <f>CONCATENATE("1T-",RIGHT(YEAR(INDEX(Base_Trimestrielle!$FI$74:$GJ$276,MAX(Base_Trimestrielle!$GJ$74:$GJ$276),1))-6,2))</f>
        <v>1T-16</v>
      </c>
      <c r="H70" s="32" t="str">
        <f>CONCATENATE("2T-",RIGHT(YEAR(INDEX(Base_Trimestrielle!$FI$74:$GJ$276,MAX(Base_Trimestrielle!$GJ$74:$GJ$276),1))-6,2))</f>
        <v>2T-16</v>
      </c>
      <c r="I70" s="32" t="str">
        <f>CONCATENATE("3T-",RIGHT(YEAR(INDEX(Base_Trimestrielle!$FI$74:$GJ$276,MAX(Base_Trimestrielle!$GJ$74:$GJ$276),1))-6,2))</f>
        <v>3T-16</v>
      </c>
      <c r="J70" s="32" t="str">
        <f>CONCATENATE("4T-",RIGHT(YEAR(INDEX(Base_Trimestrielle!$FI$74:$GJ$276,MAX(Base_Trimestrielle!$GJ$74:$GJ$276),1))-6,2))</f>
        <v>4T-16</v>
      </c>
    </row>
    <row r="71" spans="1:10" ht="11.1" customHeight="1">
      <c r="A71" s="1648" t="s">
        <v>707</v>
      </c>
      <c r="B71" s="1651"/>
      <c r="C71" s="1123">
        <f>IF(VLOOKUP(DATE(YEAR(INDEX(Base_Trimestrielle!$FI$74:$GJ$276,MAX(Base_Trimestrielle!$GJ$74:$GJ$276),1))-7,3,1),Base_Trimestrielle!$FI$74:$GJ$276,17,0)&lt;&gt;"",VLOOKUP(DATE(YEAR(INDEX(Base_Trimestrielle!$FI$74:$GJ$276,MAX(Base_Trimestrielle!$GJ$74:$GJ$276),1))-7,3,1),Base_Trimestrielle!$FI$74:$GJ$276,17,0),"")</f>
        <v>141</v>
      </c>
      <c r="D71" s="1123">
        <f>IF(VLOOKUP(DATE(YEAR(INDEX(Base_Trimestrielle!$FI$74:$GJ$276,MAX(Base_Trimestrielle!$GJ$74:$GJ$276),1))-7,6,1),Base_Trimestrielle!$FI$74:$GJ$276,17,0)&lt;&gt;"",VLOOKUP(DATE(YEAR(INDEX(Base_Trimestrielle!$FI$74:$GJ$276,MAX(Base_Trimestrielle!$GJ$74:$GJ$276),1))-7,6,1),Base_Trimestrielle!$FI$74:$GJ$276,17,0),"")</f>
        <v>39</v>
      </c>
      <c r="E71" s="1124">
        <f>IF(VLOOKUP(DATE(YEAR(INDEX(Base_Trimestrielle!$FI$74:$GJ$276,MAX(Base_Trimestrielle!$GJ$74:$GJ$276),1))-7,9,1),Base_Trimestrielle!$FI$74:$GJ$276,17,0)&lt;&gt;"",VLOOKUP(DATE(YEAR(INDEX(Base_Trimestrielle!$FI$74:$GJ$276,MAX(Base_Trimestrielle!$GJ$74:$GJ$276),1))-7,9,1),Base_Trimestrielle!$FI$74:$GJ$276,17,0),"")</f>
        <v>26</v>
      </c>
      <c r="F71" s="1123">
        <f>IF(VLOOKUP(DATE(YEAR(INDEX(Base_Trimestrielle!$FI$74:$GJ$276,MAX(Base_Trimestrielle!$GJ$74:$GJ$276),1))-7,12,1),Base_Trimestrielle!$FI$74:$GJ$276,17,0)&lt;&gt;"",VLOOKUP(DATE(YEAR(INDEX(Base_Trimestrielle!$FI$74:$GJ$276,MAX(Base_Trimestrielle!$GJ$74:$GJ$276),1))-7,12,1),Base_Trimestrielle!$FI$74:$GJ$276,17,0),"")</f>
        <v>28</v>
      </c>
      <c r="G71" s="1123">
        <f>IF(VLOOKUP(DATE(YEAR(INDEX(Base_Trimestrielle!$FI$74:$GJ$276,MAX(Base_Trimestrielle!$GJ$74:$GJ$276),1))-6,3,1),Base_Trimestrielle!$FI$74:$GJ$276,17,0)&lt;&gt;"",VLOOKUP(DATE(YEAR(INDEX(Base_Trimestrielle!$FI$74:$GJ$276,MAX(Base_Trimestrielle!$GJ$74:$GJ$276),1))-6,3,1),Base_Trimestrielle!$FI$74:$GJ$276,17,0),"")</f>
        <v>50</v>
      </c>
      <c r="H71" s="1123">
        <f>IF(VLOOKUP(DATE(YEAR(INDEX(Base_Trimestrielle!$FI$74:$GJ$276,MAX(Base_Trimestrielle!$GJ$74:$GJ$276),1))-6,6,1),Base_Trimestrielle!$FI$74:$GJ$276,17,0)&lt;&gt;"",VLOOKUP(DATE(YEAR(INDEX(Base_Trimestrielle!$FI$74:$GJ$276,MAX(Base_Trimestrielle!$GJ$74:$GJ$276),1))-6,6,1),Base_Trimestrielle!$FI$74:$GJ$276,17,0),"")</f>
        <v>25</v>
      </c>
      <c r="I71" s="1123">
        <f>IF(VLOOKUP(DATE(YEAR(INDEX(Base_Trimestrielle!$FI$74:$GJ$276,MAX(Base_Trimestrielle!$GJ$74:$GJ$276),1))-6,9,1),Base_Trimestrielle!$FI$74:$GJ$276,17,0)&lt;&gt;"",VLOOKUP(DATE(YEAR(INDEX(Base_Trimestrielle!$FI$74:$GJ$276,MAX(Base_Trimestrielle!$GJ$74:$GJ$276),1))-6,9,1),Base_Trimestrielle!$FI$74:$GJ$276,17,0),"")</f>
        <v>121</v>
      </c>
      <c r="J71" s="1123">
        <f>IF(VLOOKUP(DATE(YEAR(INDEX(Base_Trimestrielle!$FI$74:$GJ$276,MAX(Base_Trimestrielle!$GJ$74:$GJ$276),1))-6,12,1),Base_Trimestrielle!$FI$74:$GJ$276,17,0)&lt;&gt;"",VLOOKUP(DATE(YEAR(INDEX(Base_Trimestrielle!$FI$74:$GJ$276,MAX(Base_Trimestrielle!$GJ$74:$GJ$276),1))-6,12,1),Base_Trimestrielle!$FI$74:$GJ$276,17,0),"")</f>
        <v>82</v>
      </c>
    </row>
    <row r="72" spans="1:10" ht="11.1" customHeight="1">
      <c r="A72" s="1654" t="s">
        <v>801</v>
      </c>
      <c r="B72" s="1656"/>
      <c r="C72" s="1126">
        <f>IF(VLOOKUP(DATE(YEAR(INDEX(Base_Trimestrielle!$FI$74:$GJ$276,MAX(Base_Trimestrielle!$GJ$74:$GJ$276),1))-7,3,1),Base_Trimestrielle!$FI$74:$GJ$276,18,0)&lt;&gt;"",VLOOKUP(DATE(YEAR(INDEX(Base_Trimestrielle!$FI$74:$GJ$276,MAX(Base_Trimestrielle!$GJ$74:$GJ$276),1))-7,3,1),Base_Trimestrielle!$FI$74:$GJ$276,18,0),"")</f>
        <v>271</v>
      </c>
      <c r="D72" s="1126">
        <f>IF(VLOOKUP(DATE(YEAR(INDEX(Base_Trimestrielle!$FI$74:$GJ$276,MAX(Base_Trimestrielle!$GJ$74:$GJ$276),1))-7,6,1),Base_Trimestrielle!$FI$74:$GJ$276,18,0)&lt;&gt;"",VLOOKUP(DATE(YEAR(INDEX(Base_Trimestrielle!$FI$74:$GJ$276,MAX(Base_Trimestrielle!$GJ$74:$GJ$276),1))-7,6,1),Base_Trimestrielle!$FI$74:$GJ$276,18,0),"")</f>
        <v>359</v>
      </c>
      <c r="E72" s="1127">
        <f>IF(VLOOKUP(DATE(YEAR(INDEX(Base_Trimestrielle!$FI$74:$GJ$276,MAX(Base_Trimestrielle!$GJ$74:$GJ$276),1))-7,9,1),Base_Trimestrielle!$FI$74:$GJ$276,18,0)&lt;&gt;"",VLOOKUP(DATE(YEAR(INDEX(Base_Trimestrielle!$FI$74:$GJ$276,MAX(Base_Trimestrielle!$GJ$74:$GJ$276),1))-7,9,1),Base_Trimestrielle!$FI$74:$GJ$276,18,0),"")</f>
        <v>314</v>
      </c>
      <c r="F72" s="1126">
        <f>IF(VLOOKUP(DATE(YEAR(INDEX(Base_Trimestrielle!$FI$74:$GJ$276,MAX(Base_Trimestrielle!$GJ$74:$GJ$276),1))-7,12,1),Base_Trimestrielle!$FI$74:$GJ$276,18,0)&lt;&gt;"",VLOOKUP(DATE(YEAR(INDEX(Base_Trimestrielle!$FI$74:$GJ$276,MAX(Base_Trimestrielle!$GJ$74:$GJ$276),1))-7,12,1),Base_Trimestrielle!$FI$74:$GJ$276,18,0),"")</f>
        <v>223</v>
      </c>
      <c r="G72" s="1126">
        <f>IF(VLOOKUP(DATE(YEAR(INDEX(Base_Trimestrielle!$FI$74:$GJ$276,MAX(Base_Trimestrielle!$GJ$74:$GJ$276),1))-6,3,1),Base_Trimestrielle!$FI$74:$GJ$276,18,0)&lt;&gt;"",VLOOKUP(DATE(YEAR(INDEX(Base_Trimestrielle!$FI$74:$GJ$276,MAX(Base_Trimestrielle!$GJ$74:$GJ$276),1))-6,3,1),Base_Trimestrielle!$FI$74:$GJ$276,18,0),"")</f>
        <v>811</v>
      </c>
      <c r="H72" s="1126">
        <f>IF(VLOOKUP(DATE(YEAR(INDEX(Base_Trimestrielle!$FI$74:$GJ$276,MAX(Base_Trimestrielle!$GJ$74:$GJ$276),1))-6,6,1),Base_Trimestrielle!$FI$74:$GJ$276,18,0)&lt;&gt;"",VLOOKUP(DATE(YEAR(INDEX(Base_Trimestrielle!$FI$74:$GJ$276,MAX(Base_Trimestrielle!$GJ$74:$GJ$276),1))-6,6,1),Base_Trimestrielle!$FI$74:$GJ$276,18,0),"")</f>
        <v>574</v>
      </c>
      <c r="I72" s="1126">
        <f>IF(VLOOKUP(DATE(YEAR(INDEX(Base_Trimestrielle!$FI$74:$GJ$276,MAX(Base_Trimestrielle!$GJ$74:$GJ$276),1))-6,9,1),Base_Trimestrielle!$FI$74:$GJ$276,18,0)&lt;&gt;"",VLOOKUP(DATE(YEAR(INDEX(Base_Trimestrielle!$FI$74:$GJ$276,MAX(Base_Trimestrielle!$GJ$74:$GJ$276),1))-6,9,1),Base_Trimestrielle!$FI$74:$GJ$276,18,0),"")</f>
        <v>1206.0566036999999</v>
      </c>
      <c r="J72" s="1126">
        <f>IF(VLOOKUP(DATE(YEAR(INDEX(Base_Trimestrielle!$FI$74:$GJ$276,MAX(Base_Trimestrielle!$GJ$74:$GJ$276),1))-6,12,1),Base_Trimestrielle!$FI$74:$GJ$276,18,0)&lt;&gt;"",VLOOKUP(DATE(YEAR(INDEX(Base_Trimestrielle!$FI$74:$GJ$276,MAX(Base_Trimestrielle!$GJ$74:$GJ$276),1))-6,12,1),Base_Trimestrielle!$FI$74:$GJ$276,18,0),"")</f>
        <v>1822</v>
      </c>
    </row>
    <row r="73" spans="1:10" ht="11.1" customHeight="1">
      <c r="A73" s="1650" t="s">
        <v>709</v>
      </c>
      <c r="B73" s="1651"/>
      <c r="C73" s="1123">
        <f>IF(VLOOKUP(DATE(YEAR(INDEX(Base_Trimestrielle!$FI$74:$GJ$276,MAX(Base_Trimestrielle!$GJ$74:$GJ$276),1))-7,3,1),Base_Trimestrielle!$FI$74:$GJ$276,19,0)&lt;&gt;"",VLOOKUP(DATE(YEAR(INDEX(Base_Trimestrielle!$FI$74:$GJ$276,MAX(Base_Trimestrielle!$GJ$74:$GJ$276),1))-7,3,1),Base_Trimestrielle!$FI$74:$GJ$276,19,0),"")</f>
        <v>360</v>
      </c>
      <c r="D73" s="1123">
        <f>IF(VLOOKUP(DATE(YEAR(INDEX(Base_Trimestrielle!$FI$74:$GJ$276,MAX(Base_Trimestrielle!$GJ$74:$GJ$276),1))-7,6,1),Base_Trimestrielle!$FI$74:$GJ$276,19,0)&lt;&gt;"",VLOOKUP(DATE(YEAR(INDEX(Base_Trimestrielle!$FI$74:$GJ$276,MAX(Base_Trimestrielle!$GJ$74:$GJ$276),1))-7,6,1),Base_Trimestrielle!$FI$74:$GJ$276,19,0),"")</f>
        <v>384</v>
      </c>
      <c r="E73" s="1124">
        <f>IF(VLOOKUP(DATE(YEAR(INDEX(Base_Trimestrielle!$FI$74:$GJ$276,MAX(Base_Trimestrielle!$GJ$74:$GJ$276),1))-7,9,1),Base_Trimestrielle!$FI$74:$GJ$276,19,0)&lt;&gt;"",VLOOKUP(DATE(YEAR(INDEX(Base_Trimestrielle!$FI$74:$GJ$276,MAX(Base_Trimestrielle!$GJ$74:$GJ$276),1))-7,9,1),Base_Trimestrielle!$FI$74:$GJ$276,19,0),"")</f>
        <v>351</v>
      </c>
      <c r="F73" s="1123">
        <f>IF(VLOOKUP(DATE(YEAR(INDEX(Base_Trimestrielle!$FI$74:$GJ$276,MAX(Base_Trimestrielle!$GJ$74:$GJ$276),1))-7,12,1),Base_Trimestrielle!$FI$74:$GJ$276,19,0)&lt;&gt;"",VLOOKUP(DATE(YEAR(INDEX(Base_Trimestrielle!$FI$74:$GJ$276,MAX(Base_Trimestrielle!$GJ$74:$GJ$276),1))-7,12,1),Base_Trimestrielle!$FI$74:$GJ$276,19,0),"")</f>
        <v>460</v>
      </c>
      <c r="G73" s="1123">
        <f>IF(VLOOKUP(DATE(YEAR(INDEX(Base_Trimestrielle!$FI$74:$GJ$276,MAX(Base_Trimestrielle!$GJ$74:$GJ$276),1))-6,3,1),Base_Trimestrielle!$FI$74:$GJ$276,19,0)&lt;&gt;"",VLOOKUP(DATE(YEAR(INDEX(Base_Trimestrielle!$FI$74:$GJ$276,MAX(Base_Trimestrielle!$GJ$74:$GJ$276),1))-6,3,1),Base_Trimestrielle!$FI$74:$GJ$276,19,0),"")</f>
        <v>581</v>
      </c>
      <c r="H73" s="1123">
        <f>IF(VLOOKUP(DATE(YEAR(INDEX(Base_Trimestrielle!$FI$74:$GJ$276,MAX(Base_Trimestrielle!$GJ$74:$GJ$276),1))-6,6,1),Base_Trimestrielle!$FI$74:$GJ$276,19,0)&lt;&gt;"",VLOOKUP(DATE(YEAR(INDEX(Base_Trimestrielle!$FI$74:$GJ$276,MAX(Base_Trimestrielle!$GJ$74:$GJ$276),1))-6,6,1),Base_Trimestrielle!$FI$74:$GJ$276,19,0),"")</f>
        <v>661</v>
      </c>
      <c r="I73" s="1123">
        <f>IF(VLOOKUP(DATE(YEAR(INDEX(Base_Trimestrielle!$FI$74:$GJ$276,MAX(Base_Trimestrielle!$GJ$74:$GJ$276),1))-6,9,1),Base_Trimestrielle!$FI$74:$GJ$276,19,0)&lt;&gt;"",VLOOKUP(DATE(YEAR(INDEX(Base_Trimestrielle!$FI$74:$GJ$276,MAX(Base_Trimestrielle!$GJ$74:$GJ$276),1))-6,9,1),Base_Trimestrielle!$FI$74:$GJ$276,19,0),"")</f>
        <v>642</v>
      </c>
      <c r="J73" s="1123">
        <f>IF(VLOOKUP(DATE(YEAR(INDEX(Base_Trimestrielle!$FI$74:$GJ$276,MAX(Base_Trimestrielle!$GJ$74:$GJ$276),1))-6,12,1),Base_Trimestrielle!$FI$74:$GJ$276,19,0)&lt;&gt;"",VLOOKUP(DATE(YEAR(INDEX(Base_Trimestrielle!$FI$74:$GJ$276,MAX(Base_Trimestrielle!$GJ$74:$GJ$276),1))-6,12,1),Base_Trimestrielle!$FI$74:$GJ$276,19,0),"")</f>
        <v>1124</v>
      </c>
    </row>
    <row r="74" spans="1:10" ht="11.1" customHeight="1">
      <c r="A74" s="1654" t="s">
        <v>710</v>
      </c>
      <c r="B74" s="1656"/>
      <c r="C74" s="1126">
        <f>IF(VLOOKUP(DATE(YEAR(INDEX(Base_Trimestrielle!$FI$74:$GJ$276,MAX(Base_Trimestrielle!$GJ$74:$GJ$276),1))-7,3,1),Base_Trimestrielle!$FI$74:$GJ$276,20,0)&lt;&gt;"",VLOOKUP(DATE(YEAR(INDEX(Base_Trimestrielle!$FI$74:$GJ$276,MAX(Base_Trimestrielle!$GJ$74:$GJ$276),1))-7,3,1),Base_Trimestrielle!$FI$74:$GJ$276,20,0),"")</f>
        <v>78</v>
      </c>
      <c r="D74" s="1126">
        <f>IF(VLOOKUP(DATE(YEAR(INDEX(Base_Trimestrielle!$FI$74:$GJ$276,MAX(Base_Trimestrielle!$GJ$74:$GJ$276),1))-7,6,1),Base_Trimestrielle!$FI$74:$GJ$276,20,0)&lt;&gt;"",VLOOKUP(DATE(YEAR(INDEX(Base_Trimestrielle!$FI$74:$GJ$276,MAX(Base_Trimestrielle!$GJ$74:$GJ$276),1))-7,6,1),Base_Trimestrielle!$FI$74:$GJ$276,20,0),"")</f>
        <v>108</v>
      </c>
      <c r="E74" s="1127">
        <f>IF(VLOOKUP(DATE(YEAR(INDEX(Base_Trimestrielle!$FI$74:$GJ$276,MAX(Base_Trimestrielle!$GJ$74:$GJ$276),1))-7,9,1),Base_Trimestrielle!$FI$74:$GJ$276,20,0)&lt;&gt;"",VLOOKUP(DATE(YEAR(INDEX(Base_Trimestrielle!$FI$74:$GJ$276,MAX(Base_Trimestrielle!$GJ$74:$GJ$276),1))-7,9,1),Base_Trimestrielle!$FI$74:$GJ$276,20,0),"")</f>
        <v>150</v>
      </c>
      <c r="F74" s="1126">
        <f>IF(VLOOKUP(DATE(YEAR(INDEX(Base_Trimestrielle!$FI$74:$GJ$276,MAX(Base_Trimestrielle!$GJ$74:$GJ$276),1))-7,12,1),Base_Trimestrielle!$FI$74:$GJ$276,20,0)&lt;&gt;"",VLOOKUP(DATE(YEAR(INDEX(Base_Trimestrielle!$FI$74:$GJ$276,MAX(Base_Trimestrielle!$GJ$74:$GJ$276),1))-7,12,1),Base_Trimestrielle!$FI$74:$GJ$276,20,0),"")</f>
        <v>120</v>
      </c>
      <c r="G74" s="1126">
        <f>IF(VLOOKUP(DATE(YEAR(INDEX(Base_Trimestrielle!$FI$74:$GJ$276,MAX(Base_Trimestrielle!$GJ$74:$GJ$276),1))-6,3,1),Base_Trimestrielle!$FI$74:$GJ$276,20,0)&lt;&gt;"",VLOOKUP(DATE(YEAR(INDEX(Base_Trimestrielle!$FI$74:$GJ$276,MAX(Base_Trimestrielle!$GJ$74:$GJ$276),1))-6,3,1),Base_Trimestrielle!$FI$74:$GJ$276,20,0),"")</f>
        <v>157</v>
      </c>
      <c r="H74" s="1126">
        <f>IF(VLOOKUP(DATE(YEAR(INDEX(Base_Trimestrielle!$FI$74:$GJ$276,MAX(Base_Trimestrielle!$GJ$74:$GJ$276),1))-6,6,1),Base_Trimestrielle!$FI$74:$GJ$276,20,0)&lt;&gt;"",VLOOKUP(DATE(YEAR(INDEX(Base_Trimestrielle!$FI$74:$GJ$276,MAX(Base_Trimestrielle!$GJ$74:$GJ$276),1))-6,6,1),Base_Trimestrielle!$FI$74:$GJ$276,20,0),"")</f>
        <v>111</v>
      </c>
      <c r="I74" s="1126">
        <f>IF(VLOOKUP(DATE(YEAR(INDEX(Base_Trimestrielle!$FI$74:$GJ$276,MAX(Base_Trimestrielle!$GJ$74:$GJ$276),1))-6,9,1),Base_Trimestrielle!$FI$74:$GJ$276,20,0)&lt;&gt;"",VLOOKUP(DATE(YEAR(INDEX(Base_Trimestrielle!$FI$74:$GJ$276,MAX(Base_Trimestrielle!$GJ$74:$GJ$276),1))-6,9,1),Base_Trimestrielle!$FI$74:$GJ$276,20,0),"")</f>
        <v>211</v>
      </c>
      <c r="J74" s="1126">
        <f>IF(VLOOKUP(DATE(YEAR(INDEX(Base_Trimestrielle!$FI$74:$GJ$276,MAX(Base_Trimestrielle!$GJ$74:$GJ$276),1))-6,12,1),Base_Trimestrielle!$FI$74:$GJ$276,20,0)&lt;&gt;"",VLOOKUP(DATE(YEAR(INDEX(Base_Trimestrielle!$FI$74:$GJ$276,MAX(Base_Trimestrielle!$GJ$74:$GJ$276),1))-6,12,1),Base_Trimestrielle!$FI$74:$GJ$276,20,0),"")</f>
        <v>261</v>
      </c>
    </row>
    <row r="75" spans="1:10" ht="11.1" customHeight="1">
      <c r="A75" s="1650" t="s">
        <v>711</v>
      </c>
      <c r="B75" s="1651"/>
      <c r="C75" s="1123">
        <f>IF(VLOOKUP(DATE(YEAR(INDEX(Base_Trimestrielle!$FI$74:$GJ$276,MAX(Base_Trimestrielle!$GJ$74:$GJ$276),1))-7,3,1),Base_Trimestrielle!$FI$74:$GJ$276,21,0)&lt;&gt;"",VLOOKUP(DATE(YEAR(INDEX(Base_Trimestrielle!$FI$74:$GJ$276,MAX(Base_Trimestrielle!$GJ$74:$GJ$276),1))-7,3,1),Base_Trimestrielle!$FI$74:$GJ$276,21,0),"")</f>
        <v>288</v>
      </c>
      <c r="D75" s="1123">
        <f>IF(VLOOKUP(DATE(YEAR(INDEX(Base_Trimestrielle!$FI$74:$GJ$276,MAX(Base_Trimestrielle!$GJ$74:$GJ$276),1))-7,6,1),Base_Trimestrielle!$FI$74:$GJ$276,21,0)&lt;&gt;"",VLOOKUP(DATE(YEAR(INDEX(Base_Trimestrielle!$FI$74:$GJ$276,MAX(Base_Trimestrielle!$GJ$74:$GJ$276),1))-7,6,1),Base_Trimestrielle!$FI$74:$GJ$276,21,0),"")</f>
        <v>307</v>
      </c>
      <c r="E75" s="1124">
        <f>IF(VLOOKUP(DATE(YEAR(INDEX(Base_Trimestrielle!$FI$74:$GJ$276,MAX(Base_Trimestrielle!$GJ$74:$GJ$276),1))-7,9,1),Base_Trimestrielle!$FI$74:$GJ$276,21,0)&lt;&gt;"",VLOOKUP(DATE(YEAR(INDEX(Base_Trimestrielle!$FI$74:$GJ$276,MAX(Base_Trimestrielle!$GJ$74:$GJ$276),1))-7,9,1),Base_Trimestrielle!$FI$74:$GJ$276,21,0),"")</f>
        <v>446</v>
      </c>
      <c r="F75" s="1123">
        <f>IF(VLOOKUP(DATE(YEAR(INDEX(Base_Trimestrielle!$FI$74:$GJ$276,MAX(Base_Trimestrielle!$GJ$74:$GJ$276),1))-7,12,1),Base_Trimestrielle!$FI$74:$GJ$276,21,0)&lt;&gt;"",VLOOKUP(DATE(YEAR(INDEX(Base_Trimestrielle!$FI$74:$GJ$276,MAX(Base_Trimestrielle!$GJ$74:$GJ$276),1))-7,12,1),Base_Trimestrielle!$FI$74:$GJ$276,21,0),"")</f>
        <v>359</v>
      </c>
      <c r="G75" s="1123">
        <f>IF(VLOOKUP(DATE(YEAR(INDEX(Base_Trimestrielle!$FI$74:$GJ$276,MAX(Base_Trimestrielle!$GJ$74:$GJ$276),1))-6,3,1),Base_Trimestrielle!$FI$74:$GJ$276,21,0)&lt;&gt;"",VLOOKUP(DATE(YEAR(INDEX(Base_Trimestrielle!$FI$74:$GJ$276,MAX(Base_Trimestrielle!$GJ$74:$GJ$276),1))-6,3,1),Base_Trimestrielle!$FI$74:$GJ$276,21,0),"")</f>
        <v>517</v>
      </c>
      <c r="H75" s="1123">
        <f>IF(VLOOKUP(DATE(YEAR(INDEX(Base_Trimestrielle!$FI$74:$GJ$276,MAX(Base_Trimestrielle!$GJ$74:$GJ$276),1))-6,6,1),Base_Trimestrielle!$FI$74:$GJ$276,21,0)&lt;&gt;"",VLOOKUP(DATE(YEAR(INDEX(Base_Trimestrielle!$FI$74:$GJ$276,MAX(Base_Trimestrielle!$GJ$74:$GJ$276),1))-6,6,1),Base_Trimestrielle!$FI$74:$GJ$276,21,0),"")</f>
        <v>662</v>
      </c>
      <c r="I75" s="1123">
        <f>IF(VLOOKUP(DATE(YEAR(INDEX(Base_Trimestrielle!$FI$74:$GJ$276,MAX(Base_Trimestrielle!$GJ$74:$GJ$276),1))-6,9,1),Base_Trimestrielle!$FI$74:$GJ$276,21,0)&lt;&gt;"",VLOOKUP(DATE(YEAR(INDEX(Base_Trimestrielle!$FI$74:$GJ$276,MAX(Base_Trimestrielle!$GJ$74:$GJ$276),1))-6,9,1),Base_Trimestrielle!$FI$74:$GJ$276,21,0),"")</f>
        <v>663.6981131</v>
      </c>
      <c r="J75" s="1123">
        <f>IF(VLOOKUP(DATE(YEAR(INDEX(Base_Trimestrielle!$FI$74:$GJ$276,MAX(Base_Trimestrielle!$GJ$74:$GJ$276),1))-6,12,1),Base_Trimestrielle!$FI$74:$GJ$276,21,0)&lt;&gt;"",VLOOKUP(DATE(YEAR(INDEX(Base_Trimestrielle!$FI$74:$GJ$276,MAX(Base_Trimestrielle!$GJ$74:$GJ$276),1))-6,12,1),Base_Trimestrielle!$FI$74:$GJ$276,21,0),"")</f>
        <v>999</v>
      </c>
    </row>
    <row r="76" spans="1:10" ht="11.1" customHeight="1">
      <c r="A76" s="1654" t="s">
        <v>712</v>
      </c>
      <c r="B76" s="1656"/>
      <c r="C76" s="1126">
        <f>IF(VLOOKUP(DATE(YEAR(INDEX(Base_Trimestrielle!$FI$74:$GJ$276,MAX(Base_Trimestrielle!$GJ$74:$GJ$276),1))-7,3,1),Base_Trimestrielle!$FI$74:$GJ$276,22,0)&lt;&gt;"",VLOOKUP(DATE(YEAR(INDEX(Base_Trimestrielle!$FI$74:$GJ$276,MAX(Base_Trimestrielle!$GJ$74:$GJ$276),1))-7,3,1),Base_Trimestrielle!$FI$74:$GJ$276,22,0),"")</f>
        <v>104</v>
      </c>
      <c r="D76" s="1126">
        <f>IF(VLOOKUP(DATE(YEAR(INDEX(Base_Trimestrielle!$FI$74:$GJ$276,MAX(Base_Trimestrielle!$GJ$74:$GJ$276),1))-7,6,1),Base_Trimestrielle!$FI$74:$GJ$276,22,0)&lt;&gt;"",VLOOKUP(DATE(YEAR(INDEX(Base_Trimestrielle!$FI$74:$GJ$276,MAX(Base_Trimestrielle!$GJ$74:$GJ$276),1))-7,6,1),Base_Trimestrielle!$FI$74:$GJ$276,22,0),"")</f>
        <v>162</v>
      </c>
      <c r="E76" s="1127">
        <f>IF(VLOOKUP(DATE(YEAR(INDEX(Base_Trimestrielle!$FI$74:$GJ$276,MAX(Base_Trimestrielle!$GJ$74:$GJ$276),1))-7,9,1),Base_Trimestrielle!$FI$74:$GJ$276,22,0)&lt;&gt;"",VLOOKUP(DATE(YEAR(INDEX(Base_Trimestrielle!$FI$74:$GJ$276,MAX(Base_Trimestrielle!$GJ$74:$GJ$276),1))-7,9,1),Base_Trimestrielle!$FI$74:$GJ$276,22,0),"")</f>
        <v>236</v>
      </c>
      <c r="F76" s="1126">
        <f>IF(VLOOKUP(DATE(YEAR(INDEX(Base_Trimestrielle!$FI$74:$GJ$276,MAX(Base_Trimestrielle!$GJ$74:$GJ$276),1))-7,12,1),Base_Trimestrielle!$FI$74:$GJ$276,22,0)&lt;&gt;"",VLOOKUP(DATE(YEAR(INDEX(Base_Trimestrielle!$FI$74:$GJ$276,MAX(Base_Trimestrielle!$GJ$74:$GJ$276),1))-7,12,1),Base_Trimestrielle!$FI$74:$GJ$276,22,0),"")</f>
        <v>187</v>
      </c>
      <c r="G76" s="1126">
        <f>IF(VLOOKUP(DATE(YEAR(INDEX(Base_Trimestrielle!$FI$74:$GJ$276,MAX(Base_Trimestrielle!$GJ$74:$GJ$276),1))-6,3,1),Base_Trimestrielle!$FI$74:$GJ$276,22,0)&lt;&gt;"",VLOOKUP(DATE(YEAR(INDEX(Base_Trimestrielle!$FI$74:$GJ$276,MAX(Base_Trimestrielle!$GJ$74:$GJ$276),1))-6,3,1),Base_Trimestrielle!$FI$74:$GJ$276,22,0),"")</f>
        <v>177</v>
      </c>
      <c r="H76" s="1126">
        <f>IF(VLOOKUP(DATE(YEAR(INDEX(Base_Trimestrielle!$FI$74:$GJ$276,MAX(Base_Trimestrielle!$GJ$74:$GJ$276),1))-6,6,1),Base_Trimestrielle!$FI$74:$GJ$276,22,0)&lt;&gt;"",VLOOKUP(DATE(YEAR(INDEX(Base_Trimestrielle!$FI$74:$GJ$276,MAX(Base_Trimestrielle!$GJ$74:$GJ$276),1))-6,6,1),Base_Trimestrielle!$FI$74:$GJ$276,22,0),"")</f>
        <v>122</v>
      </c>
      <c r="I76" s="1126">
        <f>IF(VLOOKUP(DATE(YEAR(INDEX(Base_Trimestrielle!$FI$74:$GJ$276,MAX(Base_Trimestrielle!$GJ$74:$GJ$276),1))-6,9,1),Base_Trimestrielle!$FI$74:$GJ$276,22,0)&lt;&gt;"",VLOOKUP(DATE(YEAR(INDEX(Base_Trimestrielle!$FI$74:$GJ$276,MAX(Base_Trimestrielle!$GJ$74:$GJ$276),1))-6,9,1),Base_Trimestrielle!$FI$74:$GJ$276,22,0),"")</f>
        <v>190</v>
      </c>
      <c r="J76" s="1126">
        <f>IF(VLOOKUP(DATE(YEAR(INDEX(Base_Trimestrielle!$FI$74:$GJ$276,MAX(Base_Trimestrielle!$GJ$74:$GJ$276),1))-6,12,1),Base_Trimestrielle!$FI$74:$GJ$276,22,0)&lt;&gt;"",VLOOKUP(DATE(YEAR(INDEX(Base_Trimestrielle!$FI$74:$GJ$276,MAX(Base_Trimestrielle!$GJ$74:$GJ$276),1))-6,12,1),Base_Trimestrielle!$FI$74:$GJ$276,22,0),"")</f>
        <v>144</v>
      </c>
    </row>
    <row r="77" spans="1:10" ht="11.1" customHeight="1">
      <c r="A77" s="1650" t="s">
        <v>713</v>
      </c>
      <c r="B77" s="1651"/>
      <c r="C77" s="1123">
        <f>IF(VLOOKUP(DATE(YEAR(INDEX(Base_Trimestrielle!$FI$74:$GJ$276,MAX(Base_Trimestrielle!$GJ$74:$GJ$276),1))-7,3,1),Base_Trimestrielle!$FI$74:$GJ$276,23,0)&lt;&gt;"",VLOOKUP(DATE(YEAR(INDEX(Base_Trimestrielle!$FI$74:$GJ$276,MAX(Base_Trimestrielle!$GJ$74:$GJ$276),1))-7,3,1),Base_Trimestrielle!$FI$74:$GJ$276,23,0),"")</f>
        <v>483</v>
      </c>
      <c r="D77" s="1123">
        <f>IF(VLOOKUP(DATE(YEAR(INDEX(Base_Trimestrielle!$FI$74:$GJ$276,MAX(Base_Trimestrielle!$GJ$74:$GJ$276),1))-7,6,1),Base_Trimestrielle!$FI$74:$GJ$276,23,0)&lt;&gt;"",VLOOKUP(DATE(YEAR(INDEX(Base_Trimestrielle!$FI$74:$GJ$276,MAX(Base_Trimestrielle!$GJ$74:$GJ$276),1))-7,6,1),Base_Trimestrielle!$FI$74:$GJ$276,23,0),"")</f>
        <v>695</v>
      </c>
      <c r="E77" s="1124">
        <f>IF(VLOOKUP(DATE(YEAR(INDEX(Base_Trimestrielle!$FI$74:$GJ$276,MAX(Base_Trimestrielle!$GJ$74:$GJ$276),1))-7,9,1),Base_Trimestrielle!$FI$74:$GJ$276,23,0)&lt;&gt;"",VLOOKUP(DATE(YEAR(INDEX(Base_Trimestrielle!$FI$74:$GJ$276,MAX(Base_Trimestrielle!$GJ$74:$GJ$276),1))-7,9,1),Base_Trimestrielle!$FI$74:$GJ$276,23,0),"")</f>
        <v>907</v>
      </c>
      <c r="F77" s="1123">
        <f>IF(VLOOKUP(DATE(YEAR(INDEX(Base_Trimestrielle!$FI$74:$GJ$276,MAX(Base_Trimestrielle!$GJ$74:$GJ$276),1))-7,12,1),Base_Trimestrielle!$FI$74:$GJ$276,23,0)&lt;&gt;"",VLOOKUP(DATE(YEAR(INDEX(Base_Trimestrielle!$FI$74:$GJ$276,MAX(Base_Trimestrielle!$GJ$74:$GJ$276),1))-7,12,1),Base_Trimestrielle!$FI$74:$GJ$276,23,0),"")</f>
        <v>866</v>
      </c>
      <c r="G77" s="1123">
        <f>IF(VLOOKUP(DATE(YEAR(INDEX(Base_Trimestrielle!$FI$74:$GJ$276,MAX(Base_Trimestrielle!$GJ$74:$GJ$276),1))-6,3,1),Base_Trimestrielle!$FI$74:$GJ$276,23,0)&lt;&gt;"",VLOOKUP(DATE(YEAR(INDEX(Base_Trimestrielle!$FI$74:$GJ$276,MAX(Base_Trimestrielle!$GJ$74:$GJ$276),1))-6,3,1),Base_Trimestrielle!$FI$74:$GJ$276,23,0),"")</f>
        <v>875</v>
      </c>
      <c r="H77" s="1123">
        <f>IF(VLOOKUP(DATE(YEAR(INDEX(Base_Trimestrielle!$FI$74:$GJ$276,MAX(Base_Trimestrielle!$GJ$74:$GJ$276),1))-6,6,1),Base_Trimestrielle!$FI$74:$GJ$276,23,0)&lt;&gt;"",VLOOKUP(DATE(YEAR(INDEX(Base_Trimestrielle!$FI$74:$GJ$276,MAX(Base_Trimestrielle!$GJ$74:$GJ$276),1))-6,6,1),Base_Trimestrielle!$FI$74:$GJ$276,23,0),"")</f>
        <v>1002</v>
      </c>
      <c r="I77" s="1123">
        <f>IF(VLOOKUP(DATE(YEAR(INDEX(Base_Trimestrielle!$FI$74:$GJ$276,MAX(Base_Trimestrielle!$GJ$74:$GJ$276),1))-6,9,1),Base_Trimestrielle!$FI$74:$GJ$276,23,0)&lt;&gt;"",VLOOKUP(DATE(YEAR(INDEX(Base_Trimestrielle!$FI$74:$GJ$276,MAX(Base_Trimestrielle!$GJ$74:$GJ$276),1))-6,9,1),Base_Trimestrielle!$FI$74:$GJ$276,23,0),"")</f>
        <v>1293.1320754999999</v>
      </c>
      <c r="J77" s="1123">
        <f>IF(VLOOKUP(DATE(YEAR(INDEX(Base_Trimestrielle!$FI$74:$GJ$276,MAX(Base_Trimestrielle!$GJ$74:$GJ$276),1))-6,12,1),Base_Trimestrielle!$FI$74:$GJ$276,23,0)&lt;&gt;"",VLOOKUP(DATE(YEAR(INDEX(Base_Trimestrielle!$FI$74:$GJ$276,MAX(Base_Trimestrielle!$GJ$74:$GJ$276),1))-6,12,1),Base_Trimestrielle!$FI$74:$GJ$276,23,0),"")</f>
        <v>2571</v>
      </c>
    </row>
    <row r="78" spans="1:10" ht="11.1" customHeight="1">
      <c r="A78" s="1654" t="s">
        <v>714</v>
      </c>
      <c r="B78" s="1656"/>
      <c r="C78" s="1126">
        <f>IF(VLOOKUP(DATE(YEAR(INDEX(Base_Trimestrielle!$FI$74:$GJ$276,MAX(Base_Trimestrielle!$GJ$74:$GJ$276),1))-7,3,1),Base_Trimestrielle!$FI$74:$GJ$276,24,0)&lt;&gt;"",VLOOKUP(DATE(YEAR(INDEX(Base_Trimestrielle!$FI$74:$GJ$276,MAX(Base_Trimestrielle!$GJ$74:$GJ$276),1))-7,3,1),Base_Trimestrielle!$FI$74:$GJ$276,24,0),"")</f>
        <v>108</v>
      </c>
      <c r="D78" s="1126">
        <f>IF(VLOOKUP(DATE(YEAR(INDEX(Base_Trimestrielle!$FI$74:$GJ$276,MAX(Base_Trimestrielle!$GJ$74:$GJ$276),1))-7,6,1),Base_Trimestrielle!$FI$74:$GJ$276,24,0)&lt;&gt;"",VLOOKUP(DATE(YEAR(INDEX(Base_Trimestrielle!$FI$74:$GJ$276,MAX(Base_Trimestrielle!$GJ$74:$GJ$276),1))-7,6,1),Base_Trimestrielle!$FI$74:$GJ$276,24,0),"")</f>
        <v>259</v>
      </c>
      <c r="E78" s="1127">
        <f>IF(VLOOKUP(DATE(YEAR(INDEX(Base_Trimestrielle!$FI$74:$GJ$276,MAX(Base_Trimestrielle!$GJ$74:$GJ$276),1))-7,9,1),Base_Trimestrielle!$FI$74:$GJ$276,24,0)&lt;&gt;"",VLOOKUP(DATE(YEAR(INDEX(Base_Trimestrielle!$FI$74:$GJ$276,MAX(Base_Trimestrielle!$GJ$74:$GJ$276),1))-7,9,1),Base_Trimestrielle!$FI$74:$GJ$276,24,0),"")</f>
        <v>226</v>
      </c>
      <c r="F78" s="1126">
        <f>IF(VLOOKUP(DATE(YEAR(INDEX(Base_Trimestrielle!$FI$74:$GJ$276,MAX(Base_Trimestrielle!$GJ$74:$GJ$276),1))-7,12,1),Base_Trimestrielle!$FI$74:$GJ$276,24,0)&lt;&gt;"",VLOOKUP(DATE(YEAR(INDEX(Base_Trimestrielle!$FI$74:$GJ$276,MAX(Base_Trimestrielle!$GJ$74:$GJ$276),1))-7,12,1),Base_Trimestrielle!$FI$74:$GJ$276,24,0),"")</f>
        <v>189</v>
      </c>
      <c r="G78" s="1126">
        <f>IF(VLOOKUP(DATE(YEAR(INDEX(Base_Trimestrielle!$FI$74:$GJ$276,MAX(Base_Trimestrielle!$GJ$74:$GJ$276),1))-6,3,1),Base_Trimestrielle!$FI$74:$GJ$276,24,0)&lt;&gt;"",VLOOKUP(DATE(YEAR(INDEX(Base_Trimestrielle!$FI$74:$GJ$276,MAX(Base_Trimestrielle!$GJ$74:$GJ$276),1))-6,3,1),Base_Trimestrielle!$FI$74:$GJ$276,24,0),"")</f>
        <v>166</v>
      </c>
      <c r="H78" s="1126">
        <f>IF(VLOOKUP(DATE(YEAR(INDEX(Base_Trimestrielle!$FI$74:$GJ$276,MAX(Base_Trimestrielle!$GJ$74:$GJ$276),1))-6,6,1),Base_Trimestrielle!$FI$74:$GJ$276,24,0)&lt;&gt;"",VLOOKUP(DATE(YEAR(INDEX(Base_Trimestrielle!$FI$74:$GJ$276,MAX(Base_Trimestrielle!$GJ$74:$GJ$276),1))-6,6,1),Base_Trimestrielle!$FI$74:$GJ$276,24,0),"")</f>
        <v>199</v>
      </c>
      <c r="I78" s="1126">
        <f>IF(VLOOKUP(DATE(YEAR(INDEX(Base_Trimestrielle!$FI$74:$GJ$276,MAX(Base_Trimestrielle!$GJ$74:$GJ$276),1))-6,9,1),Base_Trimestrielle!$FI$74:$GJ$276,24,0)&lt;&gt;"",VLOOKUP(DATE(YEAR(INDEX(Base_Trimestrielle!$FI$74:$GJ$276,MAX(Base_Trimestrielle!$GJ$74:$GJ$276),1))-6,9,1),Base_Trimestrielle!$FI$74:$GJ$276,24,0),"")</f>
        <v>220</v>
      </c>
      <c r="J78" s="1126">
        <f>IF(VLOOKUP(DATE(YEAR(INDEX(Base_Trimestrielle!$FI$74:$GJ$276,MAX(Base_Trimestrielle!$GJ$74:$GJ$276),1))-6,12,1),Base_Trimestrielle!$FI$74:$GJ$276,24,0)&lt;&gt;"",VLOOKUP(DATE(YEAR(INDEX(Base_Trimestrielle!$FI$74:$GJ$276,MAX(Base_Trimestrielle!$GJ$74:$GJ$276),1))-6,12,1),Base_Trimestrielle!$FI$74:$GJ$276,24,0),"")</f>
        <v>139</v>
      </c>
    </row>
    <row r="79" spans="1:10" ht="11.1" customHeight="1">
      <c r="A79" s="1650" t="s">
        <v>715</v>
      </c>
      <c r="B79" s="1651"/>
      <c r="C79" s="1123">
        <f>IF(VLOOKUP(DATE(YEAR(INDEX(Base_Trimestrielle!$FI$74:$GJ$276,MAX(Base_Trimestrielle!$GJ$74:$GJ$276),1))-7,3,1),Base_Trimestrielle!$FI$74:$GJ$276,25,0)&lt;&gt;"",VLOOKUP(DATE(YEAR(INDEX(Base_Trimestrielle!$FI$74:$GJ$276,MAX(Base_Trimestrielle!$GJ$74:$GJ$276),1))-7,3,1),Base_Trimestrielle!$FI$74:$GJ$276,25,0),"")</f>
        <v>20</v>
      </c>
      <c r="D79" s="1123">
        <f>IF(VLOOKUP(DATE(YEAR(INDEX(Base_Trimestrielle!$FI$74:$GJ$276,MAX(Base_Trimestrielle!$GJ$74:$GJ$276),1))-7,6,1),Base_Trimestrielle!$FI$74:$GJ$276,25,0)&lt;&gt;"",VLOOKUP(DATE(YEAR(INDEX(Base_Trimestrielle!$FI$74:$GJ$276,MAX(Base_Trimestrielle!$GJ$74:$GJ$276),1))-7,6,1),Base_Trimestrielle!$FI$74:$GJ$276,25,0),"")</f>
        <v>66</v>
      </c>
      <c r="E79" s="1124">
        <f>IF(VLOOKUP(DATE(YEAR(INDEX(Base_Trimestrielle!$FI$74:$GJ$276,MAX(Base_Trimestrielle!$GJ$74:$GJ$276),1))-7,9,1),Base_Trimestrielle!$FI$74:$GJ$276,25,0)&lt;&gt;"",VLOOKUP(DATE(YEAR(INDEX(Base_Trimestrielle!$FI$74:$GJ$276,MAX(Base_Trimestrielle!$GJ$74:$GJ$276),1))-7,9,1),Base_Trimestrielle!$FI$74:$GJ$276,25,0),"")</f>
        <v>53</v>
      </c>
      <c r="F79" s="1123">
        <f>IF(VLOOKUP(DATE(YEAR(INDEX(Base_Trimestrielle!$FI$74:$GJ$276,MAX(Base_Trimestrielle!$GJ$74:$GJ$276),1))-7,12,1),Base_Trimestrielle!$FI$74:$GJ$276,25,0)&lt;&gt;"",VLOOKUP(DATE(YEAR(INDEX(Base_Trimestrielle!$FI$74:$GJ$276,MAX(Base_Trimestrielle!$GJ$74:$GJ$276),1))-7,12,1),Base_Trimestrielle!$FI$74:$GJ$276,25,0),"")</f>
        <v>37</v>
      </c>
      <c r="G79" s="1123">
        <f>IF(VLOOKUP(DATE(YEAR(INDEX(Base_Trimestrielle!$FI$74:$GJ$276,MAX(Base_Trimestrielle!$GJ$74:$GJ$276),1))-6,3,1),Base_Trimestrielle!$FI$74:$GJ$276,25,0)&lt;&gt;"",VLOOKUP(DATE(YEAR(INDEX(Base_Trimestrielle!$FI$74:$GJ$276,MAX(Base_Trimestrielle!$GJ$74:$GJ$276),1))-6,3,1),Base_Trimestrielle!$FI$74:$GJ$276,25,0),"")</f>
        <v>54</v>
      </c>
      <c r="H79" s="1123">
        <f>IF(VLOOKUP(DATE(YEAR(INDEX(Base_Trimestrielle!$FI$74:$GJ$276,MAX(Base_Trimestrielle!$GJ$74:$GJ$276),1))-6,6,1),Base_Trimestrielle!$FI$74:$GJ$276,25,0)&lt;&gt;"",VLOOKUP(DATE(YEAR(INDEX(Base_Trimestrielle!$FI$74:$GJ$276,MAX(Base_Trimestrielle!$GJ$74:$GJ$276),1))-6,6,1),Base_Trimestrielle!$FI$74:$GJ$276,25,0),"")</f>
        <v>64</v>
      </c>
      <c r="I79" s="1123">
        <f>IF(VLOOKUP(DATE(YEAR(INDEX(Base_Trimestrielle!$FI$74:$GJ$276,MAX(Base_Trimestrielle!$GJ$74:$GJ$276),1))-6,9,1),Base_Trimestrielle!$FI$74:$GJ$276,25,0)&lt;&gt;"",VLOOKUP(DATE(YEAR(INDEX(Base_Trimestrielle!$FI$74:$GJ$276,MAX(Base_Trimestrielle!$GJ$74:$GJ$276),1))-6,9,1),Base_Trimestrielle!$FI$74:$GJ$276,25,0),"")</f>
        <v>98.226415099999997</v>
      </c>
      <c r="J79" s="1123">
        <f>IF(VLOOKUP(DATE(YEAR(INDEX(Base_Trimestrielle!$FI$74:$GJ$276,MAX(Base_Trimestrielle!$GJ$74:$GJ$276),1))-6,12,1),Base_Trimestrielle!$FI$74:$GJ$276,25,0)&lt;&gt;"",VLOOKUP(DATE(YEAR(INDEX(Base_Trimestrielle!$FI$74:$GJ$276,MAX(Base_Trimestrielle!$GJ$74:$GJ$276),1))-6,12,1),Base_Trimestrielle!$FI$74:$GJ$276,25,0),"")</f>
        <v>99</v>
      </c>
    </row>
    <row r="80" spans="1:10" ht="11.1" customHeight="1">
      <c r="A80" s="1654" t="s">
        <v>716</v>
      </c>
      <c r="B80" s="1656"/>
      <c r="C80" s="1126">
        <f>IF(VLOOKUP(DATE(YEAR(INDEX(Base_Trimestrielle!$FI$74:$GJ$276,MAX(Base_Trimestrielle!$GJ$74:$GJ$276),1))-7,3,1),Base_Trimestrielle!$FI$74:$GJ$276,26,0)&lt;&gt;"",VLOOKUP(DATE(YEAR(INDEX(Base_Trimestrielle!$FI$74:$GJ$276,MAX(Base_Trimestrielle!$GJ$74:$GJ$276),1))-7,3,1),Base_Trimestrielle!$FI$74:$GJ$276,26,0),"")</f>
        <v>198</v>
      </c>
      <c r="D80" s="1126">
        <f>IF(VLOOKUP(DATE(YEAR(INDEX(Base_Trimestrielle!$FI$74:$GJ$276,MAX(Base_Trimestrielle!$GJ$74:$GJ$276),1))-7,6,1),Base_Trimestrielle!$FI$74:$GJ$276,26,0)&lt;&gt;"",VLOOKUP(DATE(YEAR(INDEX(Base_Trimestrielle!$FI$74:$GJ$276,MAX(Base_Trimestrielle!$GJ$74:$GJ$276),1))-7,6,1),Base_Trimestrielle!$FI$74:$GJ$276,26,0),"")</f>
        <v>742</v>
      </c>
      <c r="E80" s="1127">
        <f>IF(VLOOKUP(DATE(YEAR(INDEX(Base_Trimestrielle!$FI$74:$GJ$276,MAX(Base_Trimestrielle!$GJ$74:$GJ$276),1))-7,9,1),Base_Trimestrielle!$FI$74:$GJ$276,26,0)&lt;&gt;"",VLOOKUP(DATE(YEAR(INDEX(Base_Trimestrielle!$FI$74:$GJ$276,MAX(Base_Trimestrielle!$GJ$74:$GJ$276),1))-7,9,1),Base_Trimestrielle!$FI$74:$GJ$276,26,0),"")</f>
        <v>564</v>
      </c>
      <c r="F80" s="1126">
        <f>IF(VLOOKUP(DATE(YEAR(INDEX(Base_Trimestrielle!$FI$74:$GJ$276,MAX(Base_Trimestrielle!$GJ$74:$GJ$276),1))-7,12,1),Base_Trimestrielle!$FI$74:$GJ$276,26,0)&lt;&gt;"",VLOOKUP(DATE(YEAR(INDEX(Base_Trimestrielle!$FI$74:$GJ$276,MAX(Base_Trimestrielle!$GJ$74:$GJ$276),1))-7,12,1),Base_Trimestrielle!$FI$74:$GJ$276,26,0),"")</f>
        <v>398</v>
      </c>
      <c r="G80" s="1126">
        <f>IF(VLOOKUP(DATE(YEAR(INDEX(Base_Trimestrielle!$FI$74:$GJ$276,MAX(Base_Trimestrielle!$GJ$74:$GJ$276),1))-6,3,1),Base_Trimestrielle!$FI$74:$GJ$276,26,0)&lt;&gt;"",VLOOKUP(DATE(YEAR(INDEX(Base_Trimestrielle!$FI$74:$GJ$276,MAX(Base_Trimestrielle!$GJ$74:$GJ$276),1))-6,3,1),Base_Trimestrielle!$FI$74:$GJ$276,26,0),"")</f>
        <v>391</v>
      </c>
      <c r="H80" s="1126">
        <f>IF(VLOOKUP(DATE(YEAR(INDEX(Base_Trimestrielle!$FI$74:$GJ$276,MAX(Base_Trimestrielle!$GJ$74:$GJ$276),1))-6,6,1),Base_Trimestrielle!$FI$74:$GJ$276,26,0)&lt;&gt;"",VLOOKUP(DATE(YEAR(INDEX(Base_Trimestrielle!$FI$74:$GJ$276,MAX(Base_Trimestrielle!$GJ$74:$GJ$276),1))-6,6,1),Base_Trimestrielle!$FI$74:$GJ$276,26,0),"")</f>
        <v>423</v>
      </c>
      <c r="I80" s="1126">
        <f>IF(VLOOKUP(DATE(YEAR(INDEX(Base_Trimestrielle!$FI$74:$GJ$276,MAX(Base_Trimestrielle!$GJ$74:$GJ$276),1))-6,9,1),Base_Trimestrielle!$FI$74:$GJ$276,26,0)&lt;&gt;"",VLOOKUP(DATE(YEAR(INDEX(Base_Trimestrielle!$FI$74:$GJ$276,MAX(Base_Trimestrielle!$GJ$74:$GJ$276),1))-6,9,1),Base_Trimestrielle!$FI$74:$GJ$276,26,0),"")</f>
        <v>807.88679260000004</v>
      </c>
      <c r="J80" s="1126">
        <f>IF(VLOOKUP(DATE(YEAR(INDEX(Base_Trimestrielle!$FI$74:$GJ$276,MAX(Base_Trimestrielle!$GJ$74:$GJ$276),1))-6,12,1),Base_Trimestrielle!$FI$74:$GJ$276,26,0)&lt;&gt;"",VLOOKUP(DATE(YEAR(INDEX(Base_Trimestrielle!$FI$74:$GJ$276,MAX(Base_Trimestrielle!$GJ$74:$GJ$276),1))-6,12,1),Base_Trimestrielle!$FI$74:$GJ$276,26,0),"")</f>
        <v>816</v>
      </c>
    </row>
    <row r="81" spans="1:10" ht="11.1" customHeight="1">
      <c r="A81" s="1650" t="s">
        <v>802</v>
      </c>
      <c r="B81" s="1651"/>
      <c r="C81" s="1123">
        <f>IF(VLOOKUP(DATE(YEAR(INDEX(Base_Trimestrielle!$FI$74:$GJ$276,MAX(Base_Trimestrielle!$GJ$74:$GJ$276),1))-7,3,1),Base_Trimestrielle!$FI$74:$GJ$276,27,0)&lt;&gt;"",VLOOKUP(DATE(YEAR(INDEX(Base_Trimestrielle!$FI$74:$GJ$276,MAX(Base_Trimestrielle!$GJ$74:$GJ$276),1))-7,3,1),Base_Trimestrielle!$FI$74:$GJ$276,27,0),"")</f>
        <v>40</v>
      </c>
      <c r="D81" s="1123">
        <f>IF(VLOOKUP(DATE(YEAR(INDEX(Base_Trimestrielle!$FI$74:$GJ$276,MAX(Base_Trimestrielle!$GJ$74:$GJ$276),1))-7,6,1),Base_Trimestrielle!$FI$74:$GJ$276,27,0)&lt;&gt;"",VLOOKUP(DATE(YEAR(INDEX(Base_Trimestrielle!$FI$74:$GJ$276,MAX(Base_Trimestrielle!$GJ$74:$GJ$276),1))-7,6,1),Base_Trimestrielle!$FI$74:$GJ$276,27,0),"")</f>
        <v>71</v>
      </c>
      <c r="E81" s="1124">
        <f>IF(VLOOKUP(DATE(YEAR(INDEX(Base_Trimestrielle!$FI$74:$GJ$276,MAX(Base_Trimestrielle!$GJ$74:$GJ$276),1))-7,9,1),Base_Trimestrielle!$FI$74:$GJ$276,27,0)&lt;&gt;"",VLOOKUP(DATE(YEAR(INDEX(Base_Trimestrielle!$FI$74:$GJ$276,MAX(Base_Trimestrielle!$GJ$74:$GJ$276),1))-7,9,1),Base_Trimestrielle!$FI$74:$GJ$276,27,0),"")</f>
        <v>113</v>
      </c>
      <c r="F81" s="1123">
        <f>IF(VLOOKUP(DATE(YEAR(INDEX(Base_Trimestrielle!$FI$74:$GJ$276,MAX(Base_Trimestrielle!$GJ$74:$GJ$276),1))-7,12,1),Base_Trimestrielle!$FI$74:$GJ$276,27,0)&lt;&gt;"",VLOOKUP(DATE(YEAR(INDEX(Base_Trimestrielle!$FI$74:$GJ$276,MAX(Base_Trimestrielle!$GJ$74:$GJ$276),1))-7,12,1),Base_Trimestrielle!$FI$74:$GJ$276,27,0),"")</f>
        <v>71</v>
      </c>
      <c r="G81" s="1123">
        <f>IF(VLOOKUP(DATE(YEAR(INDEX(Base_Trimestrielle!$FI$74:$GJ$276,MAX(Base_Trimestrielle!$GJ$74:$GJ$276),1))-6,3,1),Base_Trimestrielle!$FI$74:$GJ$276,27,0)&lt;&gt;"",VLOOKUP(DATE(YEAR(INDEX(Base_Trimestrielle!$FI$74:$GJ$276,MAX(Base_Trimestrielle!$GJ$74:$GJ$276),1))-6,3,1),Base_Trimestrielle!$FI$74:$GJ$276,27,0),"")</f>
        <v>65</v>
      </c>
      <c r="H81" s="1123">
        <f>IF(VLOOKUP(DATE(YEAR(INDEX(Base_Trimestrielle!$FI$74:$GJ$276,MAX(Base_Trimestrielle!$GJ$74:$GJ$276),1))-6,6,1),Base_Trimestrielle!$FI$74:$GJ$276,27,0)&lt;&gt;"",VLOOKUP(DATE(YEAR(INDEX(Base_Trimestrielle!$FI$74:$GJ$276,MAX(Base_Trimestrielle!$GJ$74:$GJ$276),1))-6,6,1),Base_Trimestrielle!$FI$74:$GJ$276,27,0),"")</f>
        <v>62</v>
      </c>
      <c r="I81" s="1123">
        <f>IF(VLOOKUP(DATE(YEAR(INDEX(Base_Trimestrielle!$FI$74:$GJ$276,MAX(Base_Trimestrielle!$GJ$74:$GJ$276),1))-6,9,1),Base_Trimestrielle!$FI$74:$GJ$276,27,0)&lt;&gt;"",VLOOKUP(DATE(YEAR(INDEX(Base_Trimestrielle!$FI$74:$GJ$276,MAX(Base_Trimestrielle!$GJ$74:$GJ$276),1))-6,9,1),Base_Trimestrielle!$FI$74:$GJ$276,27,0),"")</f>
        <v>77</v>
      </c>
      <c r="J81" s="1123">
        <f>IF(VLOOKUP(DATE(YEAR(INDEX(Base_Trimestrielle!$FI$74:$GJ$276,MAX(Base_Trimestrielle!$GJ$74:$GJ$276),1))-6,12,1),Base_Trimestrielle!$FI$74:$GJ$276,27,0)&lt;&gt;"",VLOOKUP(DATE(YEAR(INDEX(Base_Trimestrielle!$FI$74:$GJ$276,MAX(Base_Trimestrielle!$GJ$74:$GJ$276),1))-6,12,1),Base_Trimestrielle!$FI$74:$GJ$276,27,0),"")</f>
        <v>103</v>
      </c>
    </row>
    <row r="82" spans="1:10" ht="11.1" customHeight="1">
      <c r="A82" s="1658" t="s">
        <v>128</v>
      </c>
      <c r="B82" s="1659"/>
      <c r="C82" s="1660"/>
      <c r="D82" s="1660"/>
      <c r="E82" s="1661"/>
      <c r="F82" s="1660">
        <f>SUM(F71:F81)</f>
        <v>2938</v>
      </c>
      <c r="G82" s="1660">
        <f>SUM(G71:G81)</f>
        <v>3844</v>
      </c>
      <c r="H82" s="1660">
        <f>SUM(H71:H81)</f>
        <v>3905</v>
      </c>
      <c r="I82" s="1660">
        <f>SUM(I71:I81)</f>
        <v>5530</v>
      </c>
      <c r="J82" s="1660">
        <f>SUM(J71:J81)</f>
        <v>8160</v>
      </c>
    </row>
    <row r="83" spans="1:10" ht="11.1" customHeight="1">
      <c r="A83" s="1437"/>
      <c r="B83" s="1438"/>
      <c r="J83" s="1435"/>
    </row>
    <row r="84" spans="1:10" ht="11.1" customHeight="1">
      <c r="A84" s="1428"/>
      <c r="B84" s="1430"/>
      <c r="C84" s="32" t="str">
        <f>CONCATENATE("1T-",RIGHT(YEAR(INDEX(Base_Trimestrielle!$FI$74:$GJ$276,MAX(Base_Trimestrielle!$GJ$74:$GJ$276),1))-5,2))</f>
        <v>1T-17</v>
      </c>
      <c r="D84" s="32" t="str">
        <f>CONCATENATE("2T-",RIGHT(YEAR(INDEX(Base_Trimestrielle!$FI$74:$GJ$276,MAX(Base_Trimestrielle!$GJ$74:$GJ$276),1))-5,2))</f>
        <v>2T-17</v>
      </c>
      <c r="E84" s="32" t="str">
        <f>CONCATENATE("3T-",RIGHT(YEAR(INDEX(Base_Trimestrielle!$FI$74:$GJ$276,MAX(Base_Trimestrielle!$GJ$74:$GJ$276),1))-5,2))</f>
        <v>3T-17</v>
      </c>
      <c r="F84" s="32" t="str">
        <f>CONCATENATE("4T-",RIGHT(YEAR(INDEX(Base_Trimestrielle!$FI$74:$GJ$276,MAX(Base_Trimestrielle!$GJ$74:$GJ$276),1))-5,2))</f>
        <v>4T-17</v>
      </c>
      <c r="G84" s="32" t="str">
        <f>CONCATENATE("1T-",RIGHT(YEAR(INDEX(Base_Trimestrielle!$FI$74:$GJ$276,MAX(Base_Trimestrielle!$GJ$74:$GJ$276),1))-4,2))</f>
        <v>1T-18</v>
      </c>
      <c r="H84" s="32" t="str">
        <f>CONCATENATE("2T-",RIGHT(YEAR(INDEX(Base_Trimestrielle!$FI$74:$GJ$276,MAX(Base_Trimestrielle!$GJ$74:$GJ$276),1))-4,2))</f>
        <v>2T-18</v>
      </c>
      <c r="I84" s="32" t="str">
        <f>CONCATENATE("3T-",RIGHT(YEAR(INDEX(Base_Trimestrielle!$FI$74:$GJ$276,MAX(Base_Trimestrielle!$GJ$74:$GJ$276),1))-4,2))</f>
        <v>3T-18</v>
      </c>
      <c r="J84" s="32" t="str">
        <f>CONCATENATE("4T-",RIGHT(YEAR(INDEX(Base_Trimestrielle!$FI$74:$GJ$276,MAX(Base_Trimestrielle!$GJ$74:$GJ$276),1))-4,2))</f>
        <v>4T-18</v>
      </c>
    </row>
    <row r="85" spans="1:10" ht="11.1" customHeight="1">
      <c r="A85" s="1648" t="s">
        <v>707</v>
      </c>
      <c r="B85" s="1651"/>
      <c r="C85" s="1123">
        <f>IF(VLOOKUP(DATE(YEAR(INDEX(Base_Trimestrielle!$FI$74:$GJ$276,MAX(Base_Trimestrielle!$GJ$74:$GJ$276),1))-5,3,1),Base_Trimestrielle!$FI$74:$GJ$276,17,0)&lt;&gt;"",VLOOKUP(DATE(YEAR(INDEX(Base_Trimestrielle!$FI$74:$GJ$276,MAX(Base_Trimestrielle!$GJ$74:$GJ$276),1))-5,3,1),Base_Trimestrielle!$FI$74:$GJ$276,17,0),"")</f>
        <v>56</v>
      </c>
      <c r="D85" s="1123">
        <f>IF(VLOOKUP(DATE(YEAR(INDEX(Base_Trimestrielle!$FI$74:$GJ$276,MAX(Base_Trimestrielle!$GJ$74:$GJ$276),1))-5,6,1),Base_Trimestrielle!$FI$74:$GJ$276,17,0)&lt;&gt;"",VLOOKUP(DATE(YEAR(INDEX(Base_Trimestrielle!$FI$74:$GJ$276,MAX(Base_Trimestrielle!$GJ$74:$GJ$276),1))-5,6,1),Base_Trimestrielle!$FI$74:$GJ$276,17,0),"")</f>
        <v>11</v>
      </c>
      <c r="E85" s="1124">
        <f>IF(VLOOKUP(DATE(YEAR(INDEX(Base_Trimestrielle!$FI$74:$GJ$276,MAX(Base_Trimestrielle!$GJ$74:$GJ$276),1))-5,9,1),Base_Trimestrielle!$FI$74:$GJ$276,17,0)&lt;&gt;"",VLOOKUP(DATE(YEAR(INDEX(Base_Trimestrielle!$FI$74:$GJ$276,MAX(Base_Trimestrielle!$GJ$74:$GJ$276),1))-5,9,1),Base_Trimestrielle!$FI$74:$GJ$276,17,0),"")</f>
        <v>19</v>
      </c>
      <c r="F85" s="1123">
        <f>IF(VLOOKUP(DATE(YEAR(INDEX(Base_Trimestrielle!$FI$74:$GJ$276,MAX(Base_Trimestrielle!$GJ$74:$GJ$276),1))-5,12,1),Base_Trimestrielle!$FI$74:$GJ$276,17,0)&lt;&gt;"",VLOOKUP(DATE(YEAR(INDEX(Base_Trimestrielle!$FI$74:$GJ$276,MAX(Base_Trimestrielle!$GJ$74:$GJ$276),1))-5,12,1),Base_Trimestrielle!$FI$74:$GJ$276,17,0),"")</f>
        <v>72</v>
      </c>
      <c r="G85" s="1123">
        <f>IF(VLOOKUP(DATE(YEAR(INDEX(Base_Trimestrielle!$FI$74:$GJ$276,MAX(Base_Trimestrielle!$GJ$74:$GJ$276),1))-4,3,1),Base_Trimestrielle!$FI$74:$GJ$276,17,0)&lt;&gt;"",VLOOKUP(DATE(YEAR(INDEX(Base_Trimestrielle!$FI$74:$GJ$276,MAX(Base_Trimestrielle!$GJ$74:$GJ$276),1))-4,3,1),Base_Trimestrielle!$FI$74:$GJ$276,17,0),"")</f>
        <v>15</v>
      </c>
      <c r="H85" s="1123">
        <f>IF(VLOOKUP(DATE(YEAR(INDEX(Base_Trimestrielle!$FI$74:$GJ$276,MAX(Base_Trimestrielle!$GJ$74:$GJ$276),1))-4,6,1),Base_Trimestrielle!$FI$74:$GJ$276,17,0)&lt;&gt;"",VLOOKUP(DATE(YEAR(INDEX(Base_Trimestrielle!$FI$74:$GJ$276,MAX(Base_Trimestrielle!$GJ$74:$GJ$276),1))-4,6,1),Base_Trimestrielle!$FI$74:$GJ$276,17,0),"")</f>
        <v>8</v>
      </c>
      <c r="I85" s="1123">
        <f>IF(VLOOKUP(DATE(YEAR(INDEX(Base_Trimestrielle!$FI$74:$GJ$276,MAX(Base_Trimestrielle!$GJ$74:$GJ$276),1))-4,9,1),Base_Trimestrielle!$FI$74:$GJ$276,17,0)&lt;&gt;"",VLOOKUP(DATE(YEAR(INDEX(Base_Trimestrielle!$FI$74:$GJ$276,MAX(Base_Trimestrielle!$GJ$74:$GJ$276),1))-4,9,1),Base_Trimestrielle!$FI$74:$GJ$276,17,0),"")</f>
        <v>36</v>
      </c>
      <c r="J85" s="1123">
        <f>IF(VLOOKUP(DATE(YEAR(INDEX(Base_Trimestrielle!$FI$74:$GJ$276,MAX(Base_Trimestrielle!$GJ$74:$GJ$276),1))-4,12,1),Base_Trimestrielle!$FI$74:$GJ$276,17,0)&lt;&gt;"",VLOOKUP(DATE(YEAR(INDEX(Base_Trimestrielle!$FI$74:$GJ$276,MAX(Base_Trimestrielle!$GJ$74:$GJ$276),1))-4,12,1),Base_Trimestrielle!$FI$74:$GJ$276,17,0),"")</f>
        <v>6</v>
      </c>
    </row>
    <row r="86" spans="1:10" ht="11.1" customHeight="1">
      <c r="A86" s="1654" t="s">
        <v>801</v>
      </c>
      <c r="B86" s="1656"/>
      <c r="C86" s="1126">
        <f>IF(VLOOKUP(DATE(YEAR(INDEX(Base_Trimestrielle!$FI$74:$GJ$276,MAX(Base_Trimestrielle!$GJ$74:$GJ$276),1))-5,3,1),Base_Trimestrielle!$FI$74:$GJ$276,18,0)&lt;&gt;"",VLOOKUP(DATE(YEAR(INDEX(Base_Trimestrielle!$FI$74:$GJ$276,MAX(Base_Trimestrielle!$GJ$74:$GJ$276),1))-5,3,1),Base_Trimestrielle!$FI$74:$GJ$276,18,0),"")</f>
        <v>533</v>
      </c>
      <c r="D86" s="1126">
        <f>IF(VLOOKUP(DATE(YEAR(INDEX(Base_Trimestrielle!$FI$74:$GJ$276,MAX(Base_Trimestrielle!$GJ$74:$GJ$276),1))-5,6,1),Base_Trimestrielle!$FI$74:$GJ$276,18,0)&lt;&gt;"",VLOOKUP(DATE(YEAR(INDEX(Base_Trimestrielle!$FI$74:$GJ$276,MAX(Base_Trimestrielle!$GJ$74:$GJ$276),1))-5,6,1),Base_Trimestrielle!$FI$74:$GJ$276,18,0),"")</f>
        <v>270</v>
      </c>
      <c r="E86" s="1127">
        <f>IF(VLOOKUP(DATE(YEAR(INDEX(Base_Trimestrielle!$FI$74:$GJ$276,MAX(Base_Trimestrielle!$GJ$74:$GJ$276),1))-5,9,1),Base_Trimestrielle!$FI$74:$GJ$276,18,0)&lt;&gt;"",VLOOKUP(DATE(YEAR(INDEX(Base_Trimestrielle!$FI$74:$GJ$276,MAX(Base_Trimestrielle!$GJ$74:$GJ$276),1))-5,9,1),Base_Trimestrielle!$FI$74:$GJ$276,18,0),"")</f>
        <v>447</v>
      </c>
      <c r="F86" s="1126">
        <f>IF(VLOOKUP(DATE(YEAR(INDEX(Base_Trimestrielle!$FI$74:$GJ$276,MAX(Base_Trimestrielle!$GJ$74:$GJ$276),1))-5,12,1),Base_Trimestrielle!$FI$74:$GJ$276,18,0)&lt;&gt;"",VLOOKUP(DATE(YEAR(INDEX(Base_Trimestrielle!$FI$74:$GJ$276,MAX(Base_Trimestrielle!$GJ$74:$GJ$276),1))-5,12,1),Base_Trimestrielle!$FI$74:$GJ$276,18,0),"")</f>
        <v>533</v>
      </c>
      <c r="G86" s="1126">
        <f>IF(VLOOKUP(DATE(YEAR(INDEX(Base_Trimestrielle!$FI$74:$GJ$276,MAX(Base_Trimestrielle!$GJ$74:$GJ$276),1))-4,3,1),Base_Trimestrielle!$FI$74:$GJ$276,18,0)&lt;&gt;"",VLOOKUP(DATE(YEAR(INDEX(Base_Trimestrielle!$FI$74:$GJ$276,MAX(Base_Trimestrielle!$GJ$74:$GJ$276),1))-4,3,1),Base_Trimestrielle!$FI$74:$GJ$276,18,0),"")</f>
        <v>352</v>
      </c>
      <c r="H86" s="1126">
        <f>IF(VLOOKUP(DATE(YEAR(INDEX(Base_Trimestrielle!$FI$74:$GJ$276,MAX(Base_Trimestrielle!$GJ$74:$GJ$276),1))-4,6,1),Base_Trimestrielle!$FI$74:$GJ$276,18,0)&lt;&gt;"",VLOOKUP(DATE(YEAR(INDEX(Base_Trimestrielle!$FI$74:$GJ$276,MAX(Base_Trimestrielle!$GJ$74:$GJ$276),1))-4,6,1),Base_Trimestrielle!$FI$74:$GJ$276,18,0),"")</f>
        <v>172</v>
      </c>
      <c r="I86" s="1126">
        <f>IF(VLOOKUP(DATE(YEAR(INDEX(Base_Trimestrielle!$FI$74:$GJ$276,MAX(Base_Trimestrielle!$GJ$74:$GJ$276),1))-4,9,1),Base_Trimestrielle!$FI$74:$GJ$276,18,0)&lt;&gt;"",VLOOKUP(DATE(YEAR(INDEX(Base_Trimestrielle!$FI$74:$GJ$276,MAX(Base_Trimestrielle!$GJ$74:$GJ$276),1))-4,9,1),Base_Trimestrielle!$FI$74:$GJ$276,18,0),"")</f>
        <v>257</v>
      </c>
      <c r="J86" s="1126">
        <f>IF(VLOOKUP(DATE(YEAR(INDEX(Base_Trimestrielle!$FI$74:$GJ$276,MAX(Base_Trimestrielle!$GJ$74:$GJ$276),1))-4,12,1),Base_Trimestrielle!$FI$74:$GJ$276,18,0)&lt;&gt;"",VLOOKUP(DATE(YEAR(INDEX(Base_Trimestrielle!$FI$74:$GJ$276,MAX(Base_Trimestrielle!$GJ$74:$GJ$276),1))-4,12,1),Base_Trimestrielle!$FI$74:$GJ$276,18,0),"")</f>
        <v>153</v>
      </c>
    </row>
    <row r="87" spans="1:10" ht="11.1" customHeight="1">
      <c r="A87" s="1650" t="s">
        <v>709</v>
      </c>
      <c r="B87" s="1651"/>
      <c r="C87" s="1123">
        <f>IF(VLOOKUP(DATE(YEAR(INDEX(Base_Trimestrielle!$FI$74:$GJ$276,MAX(Base_Trimestrielle!$GJ$74:$GJ$276),1))-5,3,1),Base_Trimestrielle!$FI$74:$GJ$276,19,0)&lt;&gt;"",VLOOKUP(DATE(YEAR(INDEX(Base_Trimestrielle!$FI$74:$GJ$276,MAX(Base_Trimestrielle!$GJ$74:$GJ$276),1))-5,3,1),Base_Trimestrielle!$FI$74:$GJ$276,19,0),"")</f>
        <v>845</v>
      </c>
      <c r="D87" s="1123">
        <f>IF(VLOOKUP(DATE(YEAR(INDEX(Base_Trimestrielle!$FI$74:$GJ$276,MAX(Base_Trimestrielle!$GJ$74:$GJ$276),1))-5,6,1),Base_Trimestrielle!$FI$74:$GJ$276,19,0)&lt;&gt;"",VLOOKUP(DATE(YEAR(INDEX(Base_Trimestrielle!$FI$74:$GJ$276,MAX(Base_Trimestrielle!$GJ$74:$GJ$276),1))-5,6,1),Base_Trimestrielle!$FI$74:$GJ$276,19,0),"")</f>
        <v>834</v>
      </c>
      <c r="E87" s="1124">
        <f>IF(VLOOKUP(DATE(YEAR(INDEX(Base_Trimestrielle!$FI$74:$GJ$276,MAX(Base_Trimestrielle!$GJ$74:$GJ$276),1))-5,9,1),Base_Trimestrielle!$FI$74:$GJ$276,19,0)&lt;&gt;"",VLOOKUP(DATE(YEAR(INDEX(Base_Trimestrielle!$FI$74:$GJ$276,MAX(Base_Trimestrielle!$GJ$74:$GJ$276),1))-5,9,1),Base_Trimestrielle!$FI$74:$GJ$276,19,0),"")</f>
        <v>452</v>
      </c>
      <c r="F87" s="1123">
        <f>IF(VLOOKUP(DATE(YEAR(INDEX(Base_Trimestrielle!$FI$74:$GJ$276,MAX(Base_Trimestrielle!$GJ$74:$GJ$276),1))-5,12,1),Base_Trimestrielle!$FI$74:$GJ$276,19,0)&lt;&gt;"",VLOOKUP(DATE(YEAR(INDEX(Base_Trimestrielle!$FI$74:$GJ$276,MAX(Base_Trimestrielle!$GJ$74:$GJ$276),1))-5,12,1),Base_Trimestrielle!$FI$74:$GJ$276,19,0),"")</f>
        <v>530</v>
      </c>
      <c r="G87" s="1123">
        <f>IF(VLOOKUP(DATE(YEAR(INDEX(Base_Trimestrielle!$FI$74:$GJ$276,MAX(Base_Trimestrielle!$GJ$74:$GJ$276),1))-4,3,1),Base_Trimestrielle!$FI$74:$GJ$276,19,0)&lt;&gt;"",VLOOKUP(DATE(YEAR(INDEX(Base_Trimestrielle!$FI$74:$GJ$276,MAX(Base_Trimestrielle!$GJ$74:$GJ$276),1))-4,3,1),Base_Trimestrielle!$FI$74:$GJ$276,19,0),"")</f>
        <v>1379</v>
      </c>
      <c r="H87" s="1123">
        <f>IF(VLOOKUP(DATE(YEAR(INDEX(Base_Trimestrielle!$FI$74:$GJ$276,MAX(Base_Trimestrielle!$GJ$74:$GJ$276),1))-4,6,1),Base_Trimestrielle!$FI$74:$GJ$276,19,0)&lt;&gt;"",VLOOKUP(DATE(YEAR(INDEX(Base_Trimestrielle!$FI$74:$GJ$276,MAX(Base_Trimestrielle!$GJ$74:$GJ$276),1))-4,6,1),Base_Trimestrielle!$FI$74:$GJ$276,19,0),"")</f>
        <v>497</v>
      </c>
      <c r="I87" s="1123">
        <f>IF(VLOOKUP(DATE(YEAR(INDEX(Base_Trimestrielle!$FI$74:$GJ$276,MAX(Base_Trimestrielle!$GJ$74:$GJ$276),1))-4,9,1),Base_Trimestrielle!$FI$74:$GJ$276,19,0)&lt;&gt;"",VLOOKUP(DATE(YEAR(INDEX(Base_Trimestrielle!$FI$74:$GJ$276,MAX(Base_Trimestrielle!$GJ$74:$GJ$276),1))-4,9,1),Base_Trimestrielle!$FI$74:$GJ$276,19,0),"")</f>
        <v>325</v>
      </c>
      <c r="J87" s="1123">
        <f>IF(VLOOKUP(DATE(YEAR(INDEX(Base_Trimestrielle!$FI$74:$GJ$276,MAX(Base_Trimestrielle!$GJ$74:$GJ$276),1))-4,12,1),Base_Trimestrielle!$FI$74:$GJ$276,19,0)&lt;&gt;"",VLOOKUP(DATE(YEAR(INDEX(Base_Trimestrielle!$FI$74:$GJ$276,MAX(Base_Trimestrielle!$GJ$74:$GJ$276),1))-4,12,1),Base_Trimestrielle!$FI$74:$GJ$276,19,0),"")</f>
        <v>357</v>
      </c>
    </row>
    <row r="88" spans="1:10" ht="11.1" customHeight="1">
      <c r="A88" s="1654" t="s">
        <v>710</v>
      </c>
      <c r="B88" s="1656"/>
      <c r="C88" s="1126">
        <f>IF(VLOOKUP(DATE(YEAR(INDEX(Base_Trimestrielle!$FI$74:$GJ$276,MAX(Base_Trimestrielle!$GJ$74:$GJ$276),1))-5,3,1),Base_Trimestrielle!$FI$74:$GJ$276,20,0)&lt;&gt;"",VLOOKUP(DATE(YEAR(INDEX(Base_Trimestrielle!$FI$74:$GJ$276,MAX(Base_Trimestrielle!$GJ$74:$GJ$276),1))-5,3,1),Base_Trimestrielle!$FI$74:$GJ$276,20,0),"")</f>
        <v>161</v>
      </c>
      <c r="D88" s="1126">
        <f>IF(VLOOKUP(DATE(YEAR(INDEX(Base_Trimestrielle!$FI$74:$GJ$276,MAX(Base_Trimestrielle!$GJ$74:$GJ$276),1))-5,6,1),Base_Trimestrielle!$FI$74:$GJ$276,20,0)&lt;&gt;"",VLOOKUP(DATE(YEAR(INDEX(Base_Trimestrielle!$FI$74:$GJ$276,MAX(Base_Trimestrielle!$GJ$74:$GJ$276),1))-5,6,1),Base_Trimestrielle!$FI$74:$GJ$276,20,0),"")</f>
        <v>114</v>
      </c>
      <c r="E88" s="1127">
        <f>IF(VLOOKUP(DATE(YEAR(INDEX(Base_Trimestrielle!$FI$74:$GJ$276,MAX(Base_Trimestrielle!$GJ$74:$GJ$276),1))-5,9,1),Base_Trimestrielle!$FI$74:$GJ$276,20,0)&lt;&gt;"",VLOOKUP(DATE(YEAR(INDEX(Base_Trimestrielle!$FI$74:$GJ$276,MAX(Base_Trimestrielle!$GJ$74:$GJ$276),1))-5,9,1),Base_Trimestrielle!$FI$74:$GJ$276,20,0),"")</f>
        <v>71</v>
      </c>
      <c r="F88" s="1126">
        <f>IF(VLOOKUP(DATE(YEAR(INDEX(Base_Trimestrielle!$FI$74:$GJ$276,MAX(Base_Trimestrielle!$GJ$74:$GJ$276),1))-5,12,1),Base_Trimestrielle!$FI$74:$GJ$276,20,0)&lt;&gt;"",VLOOKUP(DATE(YEAR(INDEX(Base_Trimestrielle!$FI$74:$GJ$276,MAX(Base_Trimestrielle!$GJ$74:$GJ$276),1))-5,12,1),Base_Trimestrielle!$FI$74:$GJ$276,20,0),"")</f>
        <v>62</v>
      </c>
      <c r="G88" s="1126">
        <f>IF(VLOOKUP(DATE(YEAR(INDEX(Base_Trimestrielle!$FI$74:$GJ$276,MAX(Base_Trimestrielle!$GJ$74:$GJ$276),1))-4,3,1),Base_Trimestrielle!$FI$74:$GJ$276,20,0)&lt;&gt;"",VLOOKUP(DATE(YEAR(INDEX(Base_Trimestrielle!$FI$74:$GJ$276,MAX(Base_Trimestrielle!$GJ$74:$GJ$276),1))-4,3,1),Base_Trimestrielle!$FI$74:$GJ$276,20,0),"")</f>
        <v>194</v>
      </c>
      <c r="H88" s="1126">
        <f>IF(VLOOKUP(DATE(YEAR(INDEX(Base_Trimestrielle!$FI$74:$GJ$276,MAX(Base_Trimestrielle!$GJ$74:$GJ$276),1))-4,6,1),Base_Trimestrielle!$FI$74:$GJ$276,20,0)&lt;&gt;"",VLOOKUP(DATE(YEAR(INDEX(Base_Trimestrielle!$FI$74:$GJ$276,MAX(Base_Trimestrielle!$GJ$74:$GJ$276),1))-4,6,1),Base_Trimestrielle!$FI$74:$GJ$276,20,0),"")</f>
        <v>92</v>
      </c>
      <c r="I88" s="1126">
        <f>IF(VLOOKUP(DATE(YEAR(INDEX(Base_Trimestrielle!$FI$74:$GJ$276,MAX(Base_Trimestrielle!$GJ$74:$GJ$276),1))-4,9,1),Base_Trimestrielle!$FI$74:$GJ$276,20,0)&lt;&gt;"",VLOOKUP(DATE(YEAR(INDEX(Base_Trimestrielle!$FI$74:$GJ$276,MAX(Base_Trimestrielle!$GJ$74:$GJ$276),1))-4,9,1),Base_Trimestrielle!$FI$74:$GJ$276,20,0),"")</f>
        <v>80</v>
      </c>
      <c r="J88" s="1126">
        <f>IF(VLOOKUP(DATE(YEAR(INDEX(Base_Trimestrielle!$FI$74:$GJ$276,MAX(Base_Trimestrielle!$GJ$74:$GJ$276),1))-4,12,1),Base_Trimestrielle!$FI$74:$GJ$276,20,0)&lt;&gt;"",VLOOKUP(DATE(YEAR(INDEX(Base_Trimestrielle!$FI$74:$GJ$276,MAX(Base_Trimestrielle!$GJ$74:$GJ$276),1))-4,12,1),Base_Trimestrielle!$FI$74:$GJ$276,20,0),"")</f>
        <v>78</v>
      </c>
    </row>
    <row r="89" spans="1:10" ht="11.1" customHeight="1">
      <c r="A89" s="1650" t="s">
        <v>711</v>
      </c>
      <c r="B89" s="1651"/>
      <c r="C89" s="1123">
        <f>IF(VLOOKUP(DATE(YEAR(INDEX(Base_Trimestrielle!$FI$74:$GJ$276,MAX(Base_Trimestrielle!$GJ$74:$GJ$276),1))-5,3,1),Base_Trimestrielle!$FI$74:$GJ$276,21,0)&lt;&gt;"",VLOOKUP(DATE(YEAR(INDEX(Base_Trimestrielle!$FI$74:$GJ$276,MAX(Base_Trimestrielle!$GJ$74:$GJ$276),1))-5,3,1),Base_Trimestrielle!$FI$74:$GJ$276,21,0),"")</f>
        <v>718</v>
      </c>
      <c r="D89" s="1123">
        <f>IF(VLOOKUP(DATE(YEAR(INDEX(Base_Trimestrielle!$FI$74:$GJ$276,MAX(Base_Trimestrielle!$GJ$74:$GJ$276),1))-5,6,1),Base_Trimestrielle!$FI$74:$GJ$276,21,0)&lt;&gt;"",VLOOKUP(DATE(YEAR(INDEX(Base_Trimestrielle!$FI$74:$GJ$276,MAX(Base_Trimestrielle!$GJ$74:$GJ$276),1))-5,6,1),Base_Trimestrielle!$FI$74:$GJ$276,21,0),"")</f>
        <v>1566</v>
      </c>
      <c r="E89" s="1124">
        <f>IF(VLOOKUP(DATE(YEAR(INDEX(Base_Trimestrielle!$FI$74:$GJ$276,MAX(Base_Trimestrielle!$GJ$74:$GJ$276),1))-5,9,1),Base_Trimestrielle!$FI$74:$GJ$276,21,0)&lt;&gt;"",VLOOKUP(DATE(YEAR(INDEX(Base_Trimestrielle!$FI$74:$GJ$276,MAX(Base_Trimestrielle!$GJ$74:$GJ$276),1))-5,9,1),Base_Trimestrielle!$FI$74:$GJ$276,21,0),"")</f>
        <v>639</v>
      </c>
      <c r="F89" s="1123">
        <f>IF(VLOOKUP(DATE(YEAR(INDEX(Base_Trimestrielle!$FI$74:$GJ$276,MAX(Base_Trimestrielle!$GJ$74:$GJ$276),1))-5,12,1),Base_Trimestrielle!$FI$74:$GJ$276,21,0)&lt;&gt;"",VLOOKUP(DATE(YEAR(INDEX(Base_Trimestrielle!$FI$74:$GJ$276,MAX(Base_Trimestrielle!$GJ$74:$GJ$276),1))-5,12,1),Base_Trimestrielle!$FI$74:$GJ$276,21,0),"")</f>
        <v>589</v>
      </c>
      <c r="G89" s="1123">
        <f>IF(VLOOKUP(DATE(YEAR(INDEX(Base_Trimestrielle!$FI$74:$GJ$276,MAX(Base_Trimestrielle!$GJ$74:$GJ$276),1))-4,3,1),Base_Trimestrielle!$FI$74:$GJ$276,21,0)&lt;&gt;"",VLOOKUP(DATE(YEAR(INDEX(Base_Trimestrielle!$FI$74:$GJ$276,MAX(Base_Trimestrielle!$GJ$74:$GJ$276),1))-4,3,1),Base_Trimestrielle!$FI$74:$GJ$276,21,0),"")</f>
        <v>1861</v>
      </c>
      <c r="H89" s="1123">
        <f>IF(VLOOKUP(DATE(YEAR(INDEX(Base_Trimestrielle!$FI$74:$GJ$276,MAX(Base_Trimestrielle!$GJ$74:$GJ$276),1))-4,6,1),Base_Trimestrielle!$FI$74:$GJ$276,21,0)&lt;&gt;"",VLOOKUP(DATE(YEAR(INDEX(Base_Trimestrielle!$FI$74:$GJ$276,MAX(Base_Trimestrielle!$GJ$74:$GJ$276),1))-4,6,1),Base_Trimestrielle!$FI$74:$GJ$276,21,0),"")</f>
        <v>507</v>
      </c>
      <c r="I89" s="1123">
        <f>IF(VLOOKUP(DATE(YEAR(INDEX(Base_Trimestrielle!$FI$74:$GJ$276,MAX(Base_Trimestrielle!$GJ$74:$GJ$276),1))-4,9,1),Base_Trimestrielle!$FI$74:$GJ$276,21,0)&lt;&gt;"",VLOOKUP(DATE(YEAR(INDEX(Base_Trimestrielle!$FI$74:$GJ$276,MAX(Base_Trimestrielle!$GJ$74:$GJ$276),1))-4,9,1),Base_Trimestrielle!$FI$74:$GJ$276,21,0),"")</f>
        <v>553</v>
      </c>
      <c r="J89" s="1123">
        <f>IF(VLOOKUP(DATE(YEAR(INDEX(Base_Trimestrielle!$FI$74:$GJ$276,MAX(Base_Trimestrielle!$GJ$74:$GJ$276),1))-4,12,1),Base_Trimestrielle!$FI$74:$GJ$276,21,0)&lt;&gt;"",VLOOKUP(DATE(YEAR(INDEX(Base_Trimestrielle!$FI$74:$GJ$276,MAX(Base_Trimestrielle!$GJ$74:$GJ$276),1))-4,12,1),Base_Trimestrielle!$FI$74:$GJ$276,21,0),"")</f>
        <v>552</v>
      </c>
    </row>
    <row r="90" spans="1:10" ht="11.1" customHeight="1">
      <c r="A90" s="1654" t="s">
        <v>712</v>
      </c>
      <c r="B90" s="1656"/>
      <c r="C90" s="1126">
        <f>IF(VLOOKUP(DATE(YEAR(INDEX(Base_Trimestrielle!$FI$74:$GJ$276,MAX(Base_Trimestrielle!$GJ$74:$GJ$276),1))-5,3,1),Base_Trimestrielle!$FI$74:$GJ$276,22,0)&lt;&gt;"",VLOOKUP(DATE(YEAR(INDEX(Base_Trimestrielle!$FI$74:$GJ$276,MAX(Base_Trimestrielle!$GJ$74:$GJ$276),1))-5,3,1),Base_Trimestrielle!$FI$74:$GJ$276,22,0),"")</f>
        <v>244</v>
      </c>
      <c r="D90" s="1126">
        <f>IF(VLOOKUP(DATE(YEAR(INDEX(Base_Trimestrielle!$FI$74:$GJ$276,MAX(Base_Trimestrielle!$GJ$74:$GJ$276),1))-5,6,1),Base_Trimestrielle!$FI$74:$GJ$276,22,0)&lt;&gt;"",VLOOKUP(DATE(YEAR(INDEX(Base_Trimestrielle!$FI$74:$GJ$276,MAX(Base_Trimestrielle!$GJ$74:$GJ$276),1))-5,6,1),Base_Trimestrielle!$FI$74:$GJ$276,22,0),"")</f>
        <v>159</v>
      </c>
      <c r="E90" s="1127">
        <f>IF(VLOOKUP(DATE(YEAR(INDEX(Base_Trimestrielle!$FI$74:$GJ$276,MAX(Base_Trimestrielle!$GJ$74:$GJ$276),1))-5,9,1),Base_Trimestrielle!$FI$74:$GJ$276,22,0)&lt;&gt;"",VLOOKUP(DATE(YEAR(INDEX(Base_Trimestrielle!$FI$74:$GJ$276,MAX(Base_Trimestrielle!$GJ$74:$GJ$276),1))-5,9,1),Base_Trimestrielle!$FI$74:$GJ$276,22,0),"")</f>
        <v>94</v>
      </c>
      <c r="F90" s="1126">
        <f>IF(VLOOKUP(DATE(YEAR(INDEX(Base_Trimestrielle!$FI$74:$GJ$276,MAX(Base_Trimestrielle!$GJ$74:$GJ$276),1))-5,12,1),Base_Trimestrielle!$FI$74:$GJ$276,22,0)&lt;&gt;"",VLOOKUP(DATE(YEAR(INDEX(Base_Trimestrielle!$FI$74:$GJ$276,MAX(Base_Trimestrielle!$GJ$74:$GJ$276),1))-5,12,1),Base_Trimestrielle!$FI$74:$GJ$276,22,0),"")</f>
        <v>98</v>
      </c>
      <c r="G90" s="1126">
        <f>IF(VLOOKUP(DATE(YEAR(INDEX(Base_Trimestrielle!$FI$74:$GJ$276,MAX(Base_Trimestrielle!$GJ$74:$GJ$276),1))-4,3,1),Base_Trimestrielle!$FI$74:$GJ$276,22,0)&lt;&gt;"",VLOOKUP(DATE(YEAR(INDEX(Base_Trimestrielle!$FI$74:$GJ$276,MAX(Base_Trimestrielle!$GJ$74:$GJ$276),1))-4,3,1),Base_Trimestrielle!$FI$74:$GJ$276,22,0),"")</f>
        <v>216</v>
      </c>
      <c r="H90" s="1126">
        <f>IF(VLOOKUP(DATE(YEAR(INDEX(Base_Trimestrielle!$FI$74:$GJ$276,MAX(Base_Trimestrielle!$GJ$74:$GJ$276),1))-4,6,1),Base_Trimestrielle!$FI$74:$GJ$276,22,0)&lt;&gt;"",VLOOKUP(DATE(YEAR(INDEX(Base_Trimestrielle!$FI$74:$GJ$276,MAX(Base_Trimestrielle!$GJ$74:$GJ$276),1))-4,6,1),Base_Trimestrielle!$FI$74:$GJ$276,22,0),"")</f>
        <v>77</v>
      </c>
      <c r="I90" s="1126">
        <f>IF(VLOOKUP(DATE(YEAR(INDEX(Base_Trimestrielle!$FI$74:$GJ$276,MAX(Base_Trimestrielle!$GJ$74:$GJ$276),1))-4,9,1),Base_Trimestrielle!$FI$74:$GJ$276,22,0)&lt;&gt;"",VLOOKUP(DATE(YEAR(INDEX(Base_Trimestrielle!$FI$74:$GJ$276,MAX(Base_Trimestrielle!$GJ$74:$GJ$276),1))-4,9,1),Base_Trimestrielle!$FI$74:$GJ$276,22,0),"")</f>
        <v>195</v>
      </c>
      <c r="J90" s="1126">
        <f>IF(VLOOKUP(DATE(YEAR(INDEX(Base_Trimestrielle!$FI$74:$GJ$276,MAX(Base_Trimestrielle!$GJ$74:$GJ$276),1))-4,12,1),Base_Trimestrielle!$FI$74:$GJ$276,22,0)&lt;&gt;"",VLOOKUP(DATE(YEAR(INDEX(Base_Trimestrielle!$FI$74:$GJ$276,MAX(Base_Trimestrielle!$GJ$74:$GJ$276),1))-4,12,1),Base_Trimestrielle!$FI$74:$GJ$276,22,0),"")</f>
        <v>301</v>
      </c>
    </row>
    <row r="91" spans="1:10" ht="11.1" customHeight="1">
      <c r="A91" s="1650" t="s">
        <v>713</v>
      </c>
      <c r="B91" s="1651"/>
      <c r="C91" s="1123">
        <f>IF(VLOOKUP(DATE(YEAR(INDEX(Base_Trimestrielle!$FI$74:$GJ$276,MAX(Base_Trimestrielle!$GJ$74:$GJ$276),1))-5,3,1),Base_Trimestrielle!$FI$74:$GJ$276,23,0)&lt;&gt;"",VLOOKUP(DATE(YEAR(INDEX(Base_Trimestrielle!$FI$74:$GJ$276,MAX(Base_Trimestrielle!$GJ$74:$GJ$276),1))-5,3,1),Base_Trimestrielle!$FI$74:$GJ$276,23,0),"")</f>
        <v>1449</v>
      </c>
      <c r="D91" s="1123">
        <f>IF(VLOOKUP(DATE(YEAR(INDEX(Base_Trimestrielle!$FI$74:$GJ$276,MAX(Base_Trimestrielle!$GJ$74:$GJ$276),1))-5,6,1),Base_Trimestrielle!$FI$74:$GJ$276,23,0)&lt;&gt;"",VLOOKUP(DATE(YEAR(INDEX(Base_Trimestrielle!$FI$74:$GJ$276,MAX(Base_Trimestrielle!$GJ$74:$GJ$276),1))-5,6,1),Base_Trimestrielle!$FI$74:$GJ$276,23,0),"")</f>
        <v>1494</v>
      </c>
      <c r="E91" s="1124">
        <f>IF(VLOOKUP(DATE(YEAR(INDEX(Base_Trimestrielle!$FI$74:$GJ$276,MAX(Base_Trimestrielle!$GJ$74:$GJ$276),1))-5,9,1),Base_Trimestrielle!$FI$74:$GJ$276,23,0)&lt;&gt;"",VLOOKUP(DATE(YEAR(INDEX(Base_Trimestrielle!$FI$74:$GJ$276,MAX(Base_Trimestrielle!$GJ$74:$GJ$276),1))-5,9,1),Base_Trimestrielle!$FI$74:$GJ$276,23,0),"")</f>
        <v>1087</v>
      </c>
      <c r="F91" s="1123">
        <f>IF(VLOOKUP(DATE(YEAR(INDEX(Base_Trimestrielle!$FI$74:$GJ$276,MAX(Base_Trimestrielle!$GJ$74:$GJ$276),1))-5,12,1),Base_Trimestrielle!$FI$74:$GJ$276,23,0)&lt;&gt;"",VLOOKUP(DATE(YEAR(INDEX(Base_Trimestrielle!$FI$74:$GJ$276,MAX(Base_Trimestrielle!$GJ$74:$GJ$276),1))-5,12,1),Base_Trimestrielle!$FI$74:$GJ$276,23,0),"")</f>
        <v>1043</v>
      </c>
      <c r="G91" s="1123">
        <f>IF(VLOOKUP(DATE(YEAR(INDEX(Base_Trimestrielle!$FI$74:$GJ$276,MAX(Base_Trimestrielle!$GJ$74:$GJ$276),1))-4,3,1),Base_Trimestrielle!$FI$74:$GJ$276,23,0)&lt;&gt;"",VLOOKUP(DATE(YEAR(INDEX(Base_Trimestrielle!$FI$74:$GJ$276,MAX(Base_Trimestrielle!$GJ$74:$GJ$276),1))-4,3,1),Base_Trimestrielle!$FI$74:$GJ$276,23,0),"")</f>
        <v>2579</v>
      </c>
      <c r="H91" s="1123">
        <f>IF(VLOOKUP(DATE(YEAR(INDEX(Base_Trimestrielle!$FI$74:$GJ$276,MAX(Base_Trimestrielle!$GJ$74:$GJ$276),1))-4,6,1),Base_Trimestrielle!$FI$74:$GJ$276,23,0)&lt;&gt;"",VLOOKUP(DATE(YEAR(INDEX(Base_Trimestrielle!$FI$74:$GJ$276,MAX(Base_Trimestrielle!$GJ$74:$GJ$276),1))-4,6,1),Base_Trimestrielle!$FI$74:$GJ$276,23,0),"")</f>
        <v>826</v>
      </c>
      <c r="I91" s="1123">
        <f>IF(VLOOKUP(DATE(YEAR(INDEX(Base_Trimestrielle!$FI$74:$GJ$276,MAX(Base_Trimestrielle!$GJ$74:$GJ$276),1))-4,9,1),Base_Trimestrielle!$FI$74:$GJ$276,23,0)&lt;&gt;"",VLOOKUP(DATE(YEAR(INDEX(Base_Trimestrielle!$FI$74:$GJ$276,MAX(Base_Trimestrielle!$GJ$74:$GJ$276),1))-4,9,1),Base_Trimestrielle!$FI$74:$GJ$276,23,0),"")</f>
        <v>668</v>
      </c>
      <c r="J91" s="1123">
        <f>IF(VLOOKUP(DATE(YEAR(INDEX(Base_Trimestrielle!$FI$74:$GJ$276,MAX(Base_Trimestrielle!$GJ$74:$GJ$276),1))-4,12,1),Base_Trimestrielle!$FI$74:$GJ$276,23,0)&lt;&gt;"",VLOOKUP(DATE(YEAR(INDEX(Base_Trimestrielle!$FI$74:$GJ$276,MAX(Base_Trimestrielle!$GJ$74:$GJ$276),1))-4,12,1),Base_Trimestrielle!$FI$74:$GJ$276,23,0),"")</f>
        <v>1091</v>
      </c>
    </row>
    <row r="92" spans="1:10" ht="11.1" customHeight="1">
      <c r="A92" s="1654" t="s">
        <v>714</v>
      </c>
      <c r="B92" s="1656"/>
      <c r="C92" s="1126">
        <f>IF(VLOOKUP(DATE(YEAR(INDEX(Base_Trimestrielle!$FI$74:$GJ$276,MAX(Base_Trimestrielle!$GJ$74:$GJ$276),1))-5,3,1),Base_Trimestrielle!$FI$74:$GJ$276,24,0)&lt;&gt;"",VLOOKUP(DATE(YEAR(INDEX(Base_Trimestrielle!$FI$74:$GJ$276,MAX(Base_Trimestrielle!$GJ$74:$GJ$276),1))-5,3,1),Base_Trimestrielle!$FI$74:$GJ$276,24,0),"")</f>
        <v>238</v>
      </c>
      <c r="D92" s="1126">
        <f>IF(VLOOKUP(DATE(YEAR(INDEX(Base_Trimestrielle!$FI$74:$GJ$276,MAX(Base_Trimestrielle!$GJ$74:$GJ$276),1))-5,6,1),Base_Trimestrielle!$FI$74:$GJ$276,24,0)&lt;&gt;"",VLOOKUP(DATE(YEAR(INDEX(Base_Trimestrielle!$FI$74:$GJ$276,MAX(Base_Trimestrielle!$GJ$74:$GJ$276),1))-5,6,1),Base_Trimestrielle!$FI$74:$GJ$276,24,0),"")</f>
        <v>155</v>
      </c>
      <c r="E92" s="1127">
        <f>IF(VLOOKUP(DATE(YEAR(INDEX(Base_Trimestrielle!$FI$74:$GJ$276,MAX(Base_Trimestrielle!$GJ$74:$GJ$276),1))-5,9,1),Base_Trimestrielle!$FI$74:$GJ$276,24,0)&lt;&gt;"",VLOOKUP(DATE(YEAR(INDEX(Base_Trimestrielle!$FI$74:$GJ$276,MAX(Base_Trimestrielle!$GJ$74:$GJ$276),1))-5,9,1),Base_Trimestrielle!$FI$74:$GJ$276,24,0),"")</f>
        <v>101</v>
      </c>
      <c r="F92" s="1126">
        <f>IF(VLOOKUP(DATE(YEAR(INDEX(Base_Trimestrielle!$FI$74:$GJ$276,MAX(Base_Trimestrielle!$GJ$74:$GJ$276),1))-5,12,1),Base_Trimestrielle!$FI$74:$GJ$276,24,0)&lt;&gt;"",VLOOKUP(DATE(YEAR(INDEX(Base_Trimestrielle!$FI$74:$GJ$276,MAX(Base_Trimestrielle!$GJ$74:$GJ$276),1))-5,12,1),Base_Trimestrielle!$FI$74:$GJ$276,24,0),"")</f>
        <v>95</v>
      </c>
      <c r="G92" s="1126">
        <f>IF(VLOOKUP(DATE(YEAR(INDEX(Base_Trimestrielle!$FI$74:$GJ$276,MAX(Base_Trimestrielle!$GJ$74:$GJ$276),1))-4,3,1),Base_Trimestrielle!$FI$74:$GJ$276,24,0)&lt;&gt;"",VLOOKUP(DATE(YEAR(INDEX(Base_Trimestrielle!$FI$74:$GJ$276,MAX(Base_Trimestrielle!$GJ$74:$GJ$276),1))-4,3,1),Base_Trimestrielle!$FI$74:$GJ$276,24,0),"")</f>
        <v>337</v>
      </c>
      <c r="H92" s="1126">
        <f>IF(VLOOKUP(DATE(YEAR(INDEX(Base_Trimestrielle!$FI$74:$GJ$276,MAX(Base_Trimestrielle!$GJ$74:$GJ$276),1))-4,6,1),Base_Trimestrielle!$FI$74:$GJ$276,24,0)&lt;&gt;"",VLOOKUP(DATE(YEAR(INDEX(Base_Trimestrielle!$FI$74:$GJ$276,MAX(Base_Trimestrielle!$GJ$74:$GJ$276),1))-4,6,1),Base_Trimestrielle!$FI$74:$GJ$276,24,0),"")</f>
        <v>103</v>
      </c>
      <c r="I92" s="1126">
        <f>IF(VLOOKUP(DATE(YEAR(INDEX(Base_Trimestrielle!$FI$74:$GJ$276,MAX(Base_Trimestrielle!$GJ$74:$GJ$276),1))-4,9,1),Base_Trimestrielle!$FI$74:$GJ$276,24,0)&lt;&gt;"",VLOOKUP(DATE(YEAR(INDEX(Base_Trimestrielle!$FI$74:$GJ$276,MAX(Base_Trimestrielle!$GJ$74:$GJ$276),1))-4,9,1),Base_Trimestrielle!$FI$74:$GJ$276,24,0),"")</f>
        <v>120</v>
      </c>
      <c r="J92" s="1126">
        <f>IF(VLOOKUP(DATE(YEAR(INDEX(Base_Trimestrielle!$FI$74:$GJ$276,MAX(Base_Trimestrielle!$GJ$74:$GJ$276),1))-4,12,1),Base_Trimestrielle!$FI$74:$GJ$276,24,0)&lt;&gt;"",VLOOKUP(DATE(YEAR(INDEX(Base_Trimestrielle!$FI$74:$GJ$276,MAX(Base_Trimestrielle!$GJ$74:$GJ$276),1))-4,12,1),Base_Trimestrielle!$FI$74:$GJ$276,24,0),"")</f>
        <v>144</v>
      </c>
    </row>
    <row r="93" spans="1:10" ht="11.1" customHeight="1">
      <c r="A93" s="1650" t="s">
        <v>715</v>
      </c>
      <c r="B93" s="1651"/>
      <c r="C93" s="1123">
        <f>IF(VLOOKUP(DATE(YEAR(INDEX(Base_Trimestrielle!$FI$74:$GJ$276,MAX(Base_Trimestrielle!$GJ$74:$GJ$276),1))-5,3,1),Base_Trimestrielle!$FI$74:$GJ$276,25,0)&lt;&gt;"",VLOOKUP(DATE(YEAR(INDEX(Base_Trimestrielle!$FI$74:$GJ$276,MAX(Base_Trimestrielle!$GJ$74:$GJ$276),1))-5,3,1),Base_Trimestrielle!$FI$74:$GJ$276,25,0),"")</f>
        <v>29</v>
      </c>
      <c r="D93" s="1123">
        <f>IF(VLOOKUP(DATE(YEAR(INDEX(Base_Trimestrielle!$FI$74:$GJ$276,MAX(Base_Trimestrielle!$GJ$74:$GJ$276),1))-5,6,1),Base_Trimestrielle!$FI$74:$GJ$276,25,0)&lt;&gt;"",VLOOKUP(DATE(YEAR(INDEX(Base_Trimestrielle!$FI$74:$GJ$276,MAX(Base_Trimestrielle!$GJ$74:$GJ$276),1))-5,6,1),Base_Trimestrielle!$FI$74:$GJ$276,25,0),"")</f>
        <v>20</v>
      </c>
      <c r="E93" s="1124">
        <f>IF(VLOOKUP(DATE(YEAR(INDEX(Base_Trimestrielle!$FI$74:$GJ$276,MAX(Base_Trimestrielle!$GJ$74:$GJ$276),1))-5,9,1),Base_Trimestrielle!$FI$74:$GJ$276,25,0)&lt;&gt;"",VLOOKUP(DATE(YEAR(INDEX(Base_Trimestrielle!$FI$74:$GJ$276,MAX(Base_Trimestrielle!$GJ$74:$GJ$276),1))-5,9,1),Base_Trimestrielle!$FI$74:$GJ$276,25,0),"")</f>
        <v>76</v>
      </c>
      <c r="F93" s="1123">
        <f>IF(VLOOKUP(DATE(YEAR(INDEX(Base_Trimestrielle!$FI$74:$GJ$276,MAX(Base_Trimestrielle!$GJ$74:$GJ$276),1))-5,12,1),Base_Trimestrielle!$FI$74:$GJ$276,25,0)&lt;&gt;"",VLOOKUP(DATE(YEAR(INDEX(Base_Trimestrielle!$FI$74:$GJ$276,MAX(Base_Trimestrielle!$GJ$74:$GJ$276),1))-5,12,1),Base_Trimestrielle!$FI$74:$GJ$276,25,0),"")</f>
        <v>18</v>
      </c>
      <c r="G93" s="1123">
        <f>IF(VLOOKUP(DATE(YEAR(INDEX(Base_Trimestrielle!$FI$74:$GJ$276,MAX(Base_Trimestrielle!$GJ$74:$GJ$276),1))-4,3,1),Base_Trimestrielle!$FI$74:$GJ$276,25,0)&lt;&gt;"",VLOOKUP(DATE(YEAR(INDEX(Base_Trimestrielle!$FI$74:$GJ$276,MAX(Base_Trimestrielle!$GJ$74:$GJ$276),1))-4,3,1),Base_Trimestrielle!$FI$74:$GJ$276,25,0),"")</f>
        <v>53</v>
      </c>
      <c r="H93" s="1123">
        <f>IF(VLOOKUP(DATE(YEAR(INDEX(Base_Trimestrielle!$FI$74:$GJ$276,MAX(Base_Trimestrielle!$GJ$74:$GJ$276),1))-4,6,1),Base_Trimestrielle!$FI$74:$GJ$276,25,0)&lt;&gt;"",VLOOKUP(DATE(YEAR(INDEX(Base_Trimestrielle!$FI$74:$GJ$276,MAX(Base_Trimestrielle!$GJ$74:$GJ$276),1))-4,6,1),Base_Trimestrielle!$FI$74:$GJ$276,25,0),"")</f>
        <v>11</v>
      </c>
      <c r="I93" s="1123">
        <f>IF(VLOOKUP(DATE(YEAR(INDEX(Base_Trimestrielle!$FI$74:$GJ$276,MAX(Base_Trimestrielle!$GJ$74:$GJ$276),1))-4,9,1),Base_Trimestrielle!$FI$74:$GJ$276,25,0)&lt;&gt;"",VLOOKUP(DATE(YEAR(INDEX(Base_Trimestrielle!$FI$74:$GJ$276,MAX(Base_Trimestrielle!$GJ$74:$GJ$276),1))-4,9,1),Base_Trimestrielle!$FI$74:$GJ$276,25,0),"")</f>
        <v>25</v>
      </c>
      <c r="J93" s="1123">
        <f>IF(VLOOKUP(DATE(YEAR(INDEX(Base_Trimestrielle!$FI$74:$GJ$276,MAX(Base_Trimestrielle!$GJ$74:$GJ$276),1))-4,12,1),Base_Trimestrielle!$FI$74:$GJ$276,25,0)&lt;&gt;"",VLOOKUP(DATE(YEAR(INDEX(Base_Trimestrielle!$FI$74:$GJ$276,MAX(Base_Trimestrielle!$GJ$74:$GJ$276),1))-4,12,1),Base_Trimestrielle!$FI$74:$GJ$276,25,0),"")</f>
        <v>13</v>
      </c>
    </row>
    <row r="94" spans="1:10" ht="11.1" customHeight="1">
      <c r="A94" s="1654" t="s">
        <v>716</v>
      </c>
      <c r="B94" s="1656"/>
      <c r="C94" s="1126">
        <f>IF(VLOOKUP(DATE(YEAR(INDEX(Base_Trimestrielle!$FI$74:$GJ$276,MAX(Base_Trimestrielle!$GJ$74:$GJ$276),1))-5,3,1),Base_Trimestrielle!$FI$74:$GJ$276,26,0)&lt;&gt;"",VLOOKUP(DATE(YEAR(INDEX(Base_Trimestrielle!$FI$74:$GJ$276,MAX(Base_Trimestrielle!$GJ$74:$GJ$276),1))-5,3,1),Base_Trimestrielle!$FI$74:$GJ$276,26,0),"")</f>
        <v>611</v>
      </c>
      <c r="D94" s="1126">
        <f>IF(VLOOKUP(DATE(YEAR(INDEX(Base_Trimestrielle!$FI$74:$GJ$276,MAX(Base_Trimestrielle!$GJ$74:$GJ$276),1))-5,6,1),Base_Trimestrielle!$FI$74:$GJ$276,26,0)&lt;&gt;"",VLOOKUP(DATE(YEAR(INDEX(Base_Trimestrielle!$FI$74:$GJ$276,MAX(Base_Trimestrielle!$GJ$74:$GJ$276),1))-5,6,1),Base_Trimestrielle!$FI$74:$GJ$276,26,0),"")</f>
        <v>529</v>
      </c>
      <c r="E94" s="1127">
        <f>IF(VLOOKUP(DATE(YEAR(INDEX(Base_Trimestrielle!$FI$74:$GJ$276,MAX(Base_Trimestrielle!$GJ$74:$GJ$276),1))-5,9,1),Base_Trimestrielle!$FI$74:$GJ$276,26,0)&lt;&gt;"",VLOOKUP(DATE(YEAR(INDEX(Base_Trimestrielle!$FI$74:$GJ$276,MAX(Base_Trimestrielle!$GJ$74:$GJ$276),1))-5,9,1),Base_Trimestrielle!$FI$74:$GJ$276,26,0),"")</f>
        <v>561</v>
      </c>
      <c r="F94" s="1126">
        <f>IF(VLOOKUP(DATE(YEAR(INDEX(Base_Trimestrielle!$FI$74:$GJ$276,MAX(Base_Trimestrielle!$GJ$74:$GJ$276),1))-5,12,1),Base_Trimestrielle!$FI$74:$GJ$276,26,0)&lt;&gt;"",VLOOKUP(DATE(YEAR(INDEX(Base_Trimestrielle!$FI$74:$GJ$276,MAX(Base_Trimestrielle!$GJ$74:$GJ$276),1))-5,12,1),Base_Trimestrielle!$FI$74:$GJ$276,26,0),"")</f>
        <v>414</v>
      </c>
      <c r="G94" s="1126">
        <f>IF(VLOOKUP(DATE(YEAR(INDEX(Base_Trimestrielle!$FI$74:$GJ$276,MAX(Base_Trimestrielle!$GJ$74:$GJ$276),1))-4,3,1),Base_Trimestrielle!$FI$74:$GJ$276,26,0)&lt;&gt;"",VLOOKUP(DATE(YEAR(INDEX(Base_Trimestrielle!$FI$74:$GJ$276,MAX(Base_Trimestrielle!$GJ$74:$GJ$276),1))-4,3,1),Base_Trimestrielle!$FI$74:$GJ$276,26,0),"")</f>
        <v>1159</v>
      </c>
      <c r="H94" s="1126">
        <f>IF(VLOOKUP(DATE(YEAR(INDEX(Base_Trimestrielle!$FI$74:$GJ$276,MAX(Base_Trimestrielle!$GJ$74:$GJ$276),1))-4,6,1),Base_Trimestrielle!$FI$74:$GJ$276,26,0)&lt;&gt;"",VLOOKUP(DATE(YEAR(INDEX(Base_Trimestrielle!$FI$74:$GJ$276,MAX(Base_Trimestrielle!$GJ$74:$GJ$276),1))-4,6,1),Base_Trimestrielle!$FI$74:$GJ$276,26,0),"")</f>
        <v>352</v>
      </c>
      <c r="I94" s="1126">
        <f>IF(VLOOKUP(DATE(YEAR(INDEX(Base_Trimestrielle!$FI$74:$GJ$276,MAX(Base_Trimestrielle!$GJ$74:$GJ$276),1))-4,9,1),Base_Trimestrielle!$FI$74:$GJ$276,26,0)&lt;&gt;"",VLOOKUP(DATE(YEAR(INDEX(Base_Trimestrielle!$FI$74:$GJ$276,MAX(Base_Trimestrielle!$GJ$74:$GJ$276),1))-4,9,1),Base_Trimestrielle!$FI$74:$GJ$276,26,0),"")</f>
        <v>692</v>
      </c>
      <c r="J94" s="1126">
        <f>IF(VLOOKUP(DATE(YEAR(INDEX(Base_Trimestrielle!$FI$74:$GJ$276,MAX(Base_Trimestrielle!$GJ$74:$GJ$276),1))-4,12,1),Base_Trimestrielle!$FI$74:$GJ$276,26,0)&lt;&gt;"",VLOOKUP(DATE(YEAR(INDEX(Base_Trimestrielle!$FI$74:$GJ$276,MAX(Base_Trimestrielle!$GJ$74:$GJ$276),1))-4,12,1),Base_Trimestrielle!$FI$74:$GJ$276,26,0),"")</f>
        <v>568</v>
      </c>
    </row>
    <row r="95" spans="1:10" ht="11.1" customHeight="1">
      <c r="A95" s="1650" t="s">
        <v>802</v>
      </c>
      <c r="B95" s="1651"/>
      <c r="C95" s="1123">
        <f>IF(VLOOKUP(DATE(YEAR(INDEX(Base_Trimestrielle!$FI$74:$GJ$276,MAX(Base_Trimestrielle!$GJ$74:$GJ$276),1))-5,3,1),Base_Trimestrielle!$FI$74:$GJ$276,27,0)&lt;&gt;"",VLOOKUP(DATE(YEAR(INDEX(Base_Trimestrielle!$FI$74:$GJ$276,MAX(Base_Trimestrielle!$GJ$74:$GJ$276),1))-5,3,1),Base_Trimestrielle!$FI$74:$GJ$276,27,0),"")</f>
        <v>120</v>
      </c>
      <c r="D95" s="1123">
        <f>IF(VLOOKUP(DATE(YEAR(INDEX(Base_Trimestrielle!$FI$74:$GJ$276,MAX(Base_Trimestrielle!$GJ$74:$GJ$276),1))-5,6,1),Base_Trimestrielle!$FI$74:$GJ$276,27,0)&lt;&gt;"",VLOOKUP(DATE(YEAR(INDEX(Base_Trimestrielle!$FI$74:$GJ$276,MAX(Base_Trimestrielle!$GJ$74:$GJ$276),1))-5,6,1),Base_Trimestrielle!$FI$74:$GJ$276,27,0),"")</f>
        <v>93</v>
      </c>
      <c r="E95" s="1124">
        <f>IF(VLOOKUP(DATE(YEAR(INDEX(Base_Trimestrielle!$FI$74:$GJ$276,MAX(Base_Trimestrielle!$GJ$74:$GJ$276),1))-5,9,1),Base_Trimestrielle!$FI$74:$GJ$276,27,0)&lt;&gt;"",VLOOKUP(DATE(YEAR(INDEX(Base_Trimestrielle!$FI$74:$GJ$276,MAX(Base_Trimestrielle!$GJ$74:$GJ$276),1))-5,9,1),Base_Trimestrielle!$FI$74:$GJ$276,27,0),"")</f>
        <v>116</v>
      </c>
      <c r="F95" s="1123">
        <f>IF(VLOOKUP(DATE(YEAR(INDEX(Base_Trimestrielle!$FI$74:$GJ$276,MAX(Base_Trimestrielle!$GJ$74:$GJ$276),1))-5,12,1),Base_Trimestrielle!$FI$74:$GJ$276,27,0)&lt;&gt;"",VLOOKUP(DATE(YEAR(INDEX(Base_Trimestrielle!$FI$74:$GJ$276,MAX(Base_Trimestrielle!$GJ$74:$GJ$276),1))-5,12,1),Base_Trimestrielle!$FI$74:$GJ$276,27,0),"")</f>
        <v>126</v>
      </c>
      <c r="G95" s="1123">
        <f>IF(VLOOKUP(DATE(YEAR(INDEX(Base_Trimestrielle!$FI$74:$GJ$276,MAX(Base_Trimestrielle!$GJ$74:$GJ$276),1))-4,3,1),Base_Trimestrielle!$FI$74:$GJ$276,27,0)&lt;&gt;"",VLOOKUP(DATE(YEAR(INDEX(Base_Trimestrielle!$FI$74:$GJ$276,MAX(Base_Trimestrielle!$GJ$74:$GJ$276),1))-4,3,1),Base_Trimestrielle!$FI$74:$GJ$276,27,0),"")</f>
        <v>129</v>
      </c>
      <c r="H95" s="1123">
        <f>IF(VLOOKUP(DATE(YEAR(INDEX(Base_Trimestrielle!$FI$74:$GJ$276,MAX(Base_Trimestrielle!$GJ$74:$GJ$276),1))-4,6,1),Base_Trimestrielle!$FI$74:$GJ$276,27,0)&lt;&gt;"",VLOOKUP(DATE(YEAR(INDEX(Base_Trimestrielle!$FI$74:$GJ$276,MAX(Base_Trimestrielle!$GJ$74:$GJ$276),1))-4,6,1),Base_Trimestrielle!$FI$74:$GJ$276,27,0),"")</f>
        <v>66</v>
      </c>
      <c r="I95" s="1123">
        <f>IF(VLOOKUP(DATE(YEAR(INDEX(Base_Trimestrielle!$FI$74:$GJ$276,MAX(Base_Trimestrielle!$GJ$74:$GJ$276),1))-4,9,1),Base_Trimestrielle!$FI$74:$GJ$276,27,0)&lt;&gt;"",VLOOKUP(DATE(YEAR(INDEX(Base_Trimestrielle!$FI$74:$GJ$276,MAX(Base_Trimestrielle!$GJ$74:$GJ$276),1))-4,9,1),Base_Trimestrielle!$FI$74:$GJ$276,27,0),"")</f>
        <v>109</v>
      </c>
      <c r="J95" s="1123">
        <f>IF(VLOOKUP(DATE(YEAR(INDEX(Base_Trimestrielle!$FI$74:$GJ$276,MAX(Base_Trimestrielle!$GJ$74:$GJ$276),1))-4,12,1),Base_Trimestrielle!$FI$74:$GJ$276,27,0)&lt;&gt;"",VLOOKUP(DATE(YEAR(INDEX(Base_Trimestrielle!$FI$74:$GJ$276,MAX(Base_Trimestrielle!$GJ$74:$GJ$276),1))-4,12,1),Base_Trimestrielle!$FI$74:$GJ$276,27,0),"")</f>
        <v>60</v>
      </c>
    </row>
    <row r="96" spans="1:10" ht="11.1" customHeight="1">
      <c r="A96" s="1658" t="s">
        <v>128</v>
      </c>
      <c r="B96" s="1659"/>
      <c r="C96" s="1660">
        <f t="shared" ref="C96:J96" si="9">SUM(C85:C95)</f>
        <v>5004</v>
      </c>
      <c r="D96" s="1660">
        <f t="shared" si="9"/>
        <v>5245</v>
      </c>
      <c r="E96" s="1661">
        <f t="shared" si="9"/>
        <v>3663</v>
      </c>
      <c r="F96" s="1660">
        <f t="shared" si="9"/>
        <v>3580</v>
      </c>
      <c r="G96" s="1660">
        <f t="shared" si="9"/>
        <v>8274</v>
      </c>
      <c r="H96" s="1660">
        <f t="shared" si="9"/>
        <v>2711</v>
      </c>
      <c r="I96" s="1660">
        <f t="shared" si="9"/>
        <v>3060</v>
      </c>
      <c r="J96" s="1660">
        <f t="shared" si="9"/>
        <v>3323</v>
      </c>
    </row>
    <row r="97" spans="1:10" ht="11.1" customHeight="1">
      <c r="A97" s="962"/>
      <c r="B97" s="962"/>
    </row>
    <row r="98" spans="1:10" ht="11.1" customHeight="1">
      <c r="A98" s="1133"/>
      <c r="B98" s="1133"/>
      <c r="C98" s="32" t="str">
        <f>CONCATENATE("1T-",RIGHT(YEAR(INDEX(Base_Trimestrielle!$FI$74:$GJ$276,MAX(Base_Trimestrielle!$GJ$74:$GJ$276),1))-3,2))</f>
        <v>1T-19</v>
      </c>
      <c r="D98" s="32" t="str">
        <f>CONCATENATE("2T-",RIGHT(YEAR(INDEX(Base_Trimestrielle!$FI$74:$GJ$276,MAX(Base_Trimestrielle!$GJ$74:$GJ$276),1))-3,2))</f>
        <v>2T-19</v>
      </c>
      <c r="E98" s="32" t="str">
        <f>CONCATENATE("3T-",RIGHT(YEAR(INDEX(Base_Trimestrielle!$FI$74:$GJ$276,MAX(Base_Trimestrielle!$GJ$74:$GJ$276),1))-3,2))</f>
        <v>3T-19</v>
      </c>
      <c r="F98" s="32" t="str">
        <f>CONCATENATE("4T-",RIGHT(YEAR(INDEX(Base_Trimestrielle!$FI$74:$GJ$276,MAX(Base_Trimestrielle!$GJ$74:$GJ$276),1))-3,2))</f>
        <v>4T-19</v>
      </c>
      <c r="G98" s="32" t="str">
        <f>CONCATENATE("1T-",RIGHT(YEAR(INDEX(Base_Trimestrielle!$FI$74:$GJ$276,MAX(Base_Trimestrielle!$GJ$74:$GJ$276),1))-2,2))</f>
        <v>1T-20</v>
      </c>
      <c r="H98" s="32" t="str">
        <f>CONCATENATE("2T-",RIGHT(YEAR(INDEX(Base_Trimestrielle!$FI$74:$GJ$276,MAX(Base_Trimestrielle!$GJ$74:$GJ$276),1))-2,2))</f>
        <v>2T-20</v>
      </c>
      <c r="I98" s="32" t="str">
        <f>CONCATENATE("3T-",RIGHT(YEAR(INDEX(Base_Trimestrielle!$FI$74:$GJ$276,MAX(Base_Trimestrielle!$GJ$74:$GJ$276),1))-2,2))</f>
        <v>3T-20</v>
      </c>
      <c r="J98" s="32" t="str">
        <f>CONCATENATE("4T-",RIGHT(YEAR(INDEX(Base_Trimestrielle!$FI$74:$GJ$276,MAX(Base_Trimestrielle!$GJ$74:$GJ$276),1))-2,2))</f>
        <v>4T-20</v>
      </c>
    </row>
    <row r="99" spans="1:10" ht="11.1" customHeight="1">
      <c r="A99" s="1648" t="s">
        <v>707</v>
      </c>
      <c r="B99" s="1651"/>
      <c r="C99" s="1123">
        <f>IF(VLOOKUP(DATE(YEAR(INDEX(Base_Trimestrielle!$FI$74:$GJ$276,MAX(Base_Trimestrielle!$GJ$74:$GJ$276),1))-3,3,1),Base_Trimestrielle!$FI$74:$GJ$276,17,0)&lt;&gt;"",VLOOKUP(DATE(YEAR(INDEX(Base_Trimestrielle!$FI$74:$GJ$276,MAX(Base_Trimestrielle!$GJ$74:$GJ$276),1))-3,3,1),Base_Trimestrielle!$FI$74:$GJ$276,17,0),"")</f>
        <v>25</v>
      </c>
      <c r="D99" s="1123">
        <f>IF(VLOOKUP(DATE(YEAR(INDEX(Base_Trimestrielle!$FI$74:$GJ$276,MAX(Base_Trimestrielle!$GJ$74:$GJ$276),1))-3,6,1),Base_Trimestrielle!$FI$74:$GJ$276,17,0)&lt;&gt;"",VLOOKUP(DATE(YEAR(INDEX(Base_Trimestrielle!$FI$74:$GJ$276,MAX(Base_Trimestrielle!$GJ$74:$GJ$276),1))-3,6,1),Base_Trimestrielle!$FI$74:$GJ$276,17,0),"")</f>
        <v>31</v>
      </c>
      <c r="E99" s="1124">
        <f>IF(VLOOKUP(DATE(YEAR(INDEX(Base_Trimestrielle!$FI$74:$GJ$276,MAX(Base_Trimestrielle!$GJ$74:$GJ$276),1))-3,9,1),Base_Trimestrielle!$FI$74:$GJ$276,17,0)&lt;&gt;"",VLOOKUP(DATE(YEAR(INDEX(Base_Trimestrielle!$FI$74:$GJ$276,MAX(Base_Trimestrielle!$GJ$74:$GJ$276),1))-3,9,1),Base_Trimestrielle!$FI$74:$GJ$276,17,0),"")</f>
        <v>26</v>
      </c>
      <c r="F99" s="1123">
        <f>IF(VLOOKUP(DATE(YEAR(INDEX(Base_Trimestrielle!$FI$74:$GJ$276,MAX(Base_Trimestrielle!$GJ$74:$GJ$276),1))-3,12,1),Base_Trimestrielle!$FI$74:$GJ$276,17,0)&lt;&gt;"",VLOOKUP(DATE(YEAR(INDEX(Base_Trimestrielle!$FI$74:$GJ$276,MAX(Base_Trimestrielle!$GJ$74:$GJ$276),1))-3,12,1),Base_Trimestrielle!$FI$74:$GJ$276,17,0),"")</f>
        <v>4</v>
      </c>
      <c r="G99" s="1123">
        <f>IF(VLOOKUP(DATE(YEAR(INDEX(Base_Trimestrielle!$FI$74:$GJ$276,MAX(Base_Trimestrielle!$GJ$74:$GJ$276),1))-2,3,1),Base_Trimestrielle!$FI$74:$GJ$276,17,0)&lt;&gt;"",VLOOKUP(DATE(YEAR(INDEX(Base_Trimestrielle!$FI$74:$GJ$276,MAX(Base_Trimestrielle!$GJ$74:$GJ$276),1))-2,3,1),Base_Trimestrielle!$FI$74:$GJ$276,17,0),"")</f>
        <v>5</v>
      </c>
      <c r="H99" s="1123">
        <f>IF(VLOOKUP(DATE(YEAR(INDEX(Base_Trimestrielle!$FI$74:$GJ$276,MAX(Base_Trimestrielle!$GJ$74:$GJ$276),1))-2,6,1),Base_Trimestrielle!$FI$74:$GJ$276,17,0)&lt;&gt;"",VLOOKUP(DATE(YEAR(INDEX(Base_Trimestrielle!$FI$74:$GJ$276,MAX(Base_Trimestrielle!$GJ$74:$GJ$276),1))-2,6,1),Base_Trimestrielle!$FI$74:$GJ$276,17,0),"")</f>
        <v>0</v>
      </c>
      <c r="I99" s="1123">
        <f>IF(VLOOKUP(DATE(YEAR(INDEX(Base_Trimestrielle!$FI$74:$GJ$276,MAX(Base_Trimestrielle!$GJ$74:$GJ$276),1))-2,9,1),Base_Trimestrielle!$FI$74:$GJ$276,17,0)&lt;&gt;"",VLOOKUP(DATE(YEAR(INDEX(Base_Trimestrielle!$FI$74:$GJ$276,MAX(Base_Trimestrielle!$GJ$74:$GJ$276),1))-2,9,1),Base_Trimestrielle!$FI$74:$GJ$276,17,0),"")</f>
        <v>4</v>
      </c>
      <c r="J99" s="1123">
        <f>IF(VLOOKUP(DATE(YEAR(INDEX(Base_Trimestrielle!$FI$74:$GJ$276,MAX(Base_Trimestrielle!$GJ$74:$GJ$276),1))-2,12,1),Base_Trimestrielle!$FI$74:$GJ$276,17,0)&lt;&gt;"",VLOOKUP(DATE(YEAR(INDEX(Base_Trimestrielle!$FI$74:$GJ$276,MAX(Base_Trimestrielle!$GJ$74:$GJ$276),1))-2,12,1),Base_Trimestrielle!$FI$74:$GJ$276,17,0),"")</f>
        <v>13</v>
      </c>
    </row>
    <row r="100" spans="1:10" ht="11.1" customHeight="1">
      <c r="A100" s="1654" t="s">
        <v>801</v>
      </c>
      <c r="B100" s="1656"/>
      <c r="C100" s="1126">
        <f>IF(VLOOKUP(DATE(YEAR(INDEX(Base_Trimestrielle!$FI$74:$GJ$276,MAX(Base_Trimestrielle!$GJ$74:$GJ$276),1))-3,3,1),Base_Trimestrielle!$FI$74:$GJ$276,18,0)&lt;&gt;"",VLOOKUP(DATE(YEAR(INDEX(Base_Trimestrielle!$FI$74:$GJ$276,MAX(Base_Trimestrielle!$GJ$74:$GJ$276),1))-3,3,1),Base_Trimestrielle!$FI$74:$GJ$276,18,0),"")</f>
        <v>159</v>
      </c>
      <c r="D100" s="1126">
        <f>IF(VLOOKUP(DATE(YEAR(INDEX(Base_Trimestrielle!$FI$74:$GJ$276,MAX(Base_Trimestrielle!$GJ$74:$GJ$276),1))-3,6,1),Base_Trimestrielle!$FI$74:$GJ$276,18,0)&lt;&gt;"",VLOOKUP(DATE(YEAR(INDEX(Base_Trimestrielle!$FI$74:$GJ$276,MAX(Base_Trimestrielle!$GJ$74:$GJ$276),1))-3,6,1),Base_Trimestrielle!$FI$74:$GJ$276,18,0),"")</f>
        <v>153</v>
      </c>
      <c r="E100" s="1127">
        <f>IF(VLOOKUP(DATE(YEAR(INDEX(Base_Trimestrielle!$FI$74:$GJ$276,MAX(Base_Trimestrielle!$GJ$74:$GJ$276),1))-3,9,1),Base_Trimestrielle!$FI$74:$GJ$276,18,0)&lt;&gt;"",VLOOKUP(DATE(YEAR(INDEX(Base_Trimestrielle!$FI$74:$GJ$276,MAX(Base_Trimestrielle!$GJ$74:$GJ$276),1))-3,9,1),Base_Trimestrielle!$FI$74:$GJ$276,18,0),"")</f>
        <v>110</v>
      </c>
      <c r="F100" s="1126">
        <f>IF(VLOOKUP(DATE(YEAR(INDEX(Base_Trimestrielle!$FI$74:$GJ$276,MAX(Base_Trimestrielle!$GJ$74:$GJ$276),1))-3,12,1),Base_Trimestrielle!$FI$74:$GJ$276,18,0)&lt;&gt;"",VLOOKUP(DATE(YEAR(INDEX(Base_Trimestrielle!$FI$74:$GJ$276,MAX(Base_Trimestrielle!$GJ$74:$GJ$276),1))-3,12,1),Base_Trimestrielle!$FI$74:$GJ$276,18,0),"")</f>
        <v>190</v>
      </c>
      <c r="G100" s="1126">
        <f>IF(VLOOKUP(DATE(YEAR(INDEX(Base_Trimestrielle!$FI$74:$GJ$276,MAX(Base_Trimestrielle!$GJ$74:$GJ$276),1))-2,3,1),Base_Trimestrielle!$FI$74:$GJ$276,18,0)&lt;&gt;"",VLOOKUP(DATE(YEAR(INDEX(Base_Trimestrielle!$FI$74:$GJ$276,MAX(Base_Trimestrielle!$GJ$74:$GJ$276),1))-2,3,1),Base_Trimestrielle!$FI$74:$GJ$276,18,0),"")</f>
        <v>115</v>
      </c>
      <c r="H100" s="1126">
        <f>IF(VLOOKUP(DATE(YEAR(INDEX(Base_Trimestrielle!$FI$74:$GJ$276,MAX(Base_Trimestrielle!$GJ$74:$GJ$276),1))-2,6,1),Base_Trimestrielle!$FI$74:$GJ$276,18,0)&lt;&gt;"",VLOOKUP(DATE(YEAR(INDEX(Base_Trimestrielle!$FI$74:$GJ$276,MAX(Base_Trimestrielle!$GJ$74:$GJ$276),1))-2,6,1),Base_Trimestrielle!$FI$74:$GJ$276,18,0),"")</f>
        <v>68</v>
      </c>
      <c r="I100" s="1126">
        <f>IF(VLOOKUP(DATE(YEAR(INDEX(Base_Trimestrielle!$FI$74:$GJ$276,MAX(Base_Trimestrielle!$GJ$74:$GJ$276),1))-2,9,1),Base_Trimestrielle!$FI$74:$GJ$276,18,0)&lt;&gt;"",VLOOKUP(DATE(YEAR(INDEX(Base_Trimestrielle!$FI$74:$GJ$276,MAX(Base_Trimestrielle!$GJ$74:$GJ$276),1))-2,9,1),Base_Trimestrielle!$FI$74:$GJ$276,18,0),"")</f>
        <v>85</v>
      </c>
      <c r="J100" s="1688">
        <f>IF(VLOOKUP(DATE(YEAR(INDEX(Base_Trimestrielle!$FI$74:$GJ$276,MAX(Base_Trimestrielle!$GJ$74:$GJ$276),1))-2,12,1),Base_Trimestrielle!$FI$74:$GJ$276,18,0)&lt;&gt;"",VLOOKUP(DATE(YEAR(INDEX(Base_Trimestrielle!$FI$74:$GJ$276,MAX(Base_Trimestrielle!$GJ$74:$GJ$276),1))-2,12,1),Base_Trimestrielle!$FI$74:$GJ$276,18,0),"")</f>
        <v>89</v>
      </c>
    </row>
    <row r="101" spans="1:10" ht="11.1" customHeight="1">
      <c r="A101" s="1650" t="s">
        <v>709</v>
      </c>
      <c r="B101" s="1651"/>
      <c r="C101" s="1123">
        <f>IF(VLOOKUP(DATE(YEAR(INDEX(Base_Trimestrielle!$FI$74:$GJ$276,MAX(Base_Trimestrielle!$GJ$74:$GJ$276),1))-3,3,1),Base_Trimestrielle!$FI$74:$GJ$276,19,0)&lt;&gt;"",VLOOKUP(DATE(YEAR(INDEX(Base_Trimestrielle!$FI$74:$GJ$276,MAX(Base_Trimestrielle!$GJ$74:$GJ$276),1))-3,3,1),Base_Trimestrielle!$FI$74:$GJ$276,19,0),"")</f>
        <v>416</v>
      </c>
      <c r="D101" s="1123">
        <f>IF(VLOOKUP(DATE(YEAR(INDEX(Base_Trimestrielle!$FI$74:$GJ$276,MAX(Base_Trimestrielle!$GJ$74:$GJ$276),1))-3,6,1),Base_Trimestrielle!$FI$74:$GJ$276,19,0)&lt;&gt;"",VLOOKUP(DATE(YEAR(INDEX(Base_Trimestrielle!$FI$74:$GJ$276,MAX(Base_Trimestrielle!$GJ$74:$GJ$276),1))-3,6,1),Base_Trimestrielle!$FI$74:$GJ$276,19,0),"")</f>
        <v>308</v>
      </c>
      <c r="E101" s="1124">
        <f>IF(VLOOKUP(DATE(YEAR(INDEX(Base_Trimestrielle!$FI$74:$GJ$276,MAX(Base_Trimestrielle!$GJ$74:$GJ$276),1))-3,9,1),Base_Trimestrielle!$FI$74:$GJ$276,19,0)&lt;&gt;"",VLOOKUP(DATE(YEAR(INDEX(Base_Trimestrielle!$FI$74:$GJ$276,MAX(Base_Trimestrielle!$GJ$74:$GJ$276),1))-3,9,1),Base_Trimestrielle!$FI$74:$GJ$276,19,0),"")</f>
        <v>400</v>
      </c>
      <c r="F101" s="1123">
        <f>IF(VLOOKUP(DATE(YEAR(INDEX(Base_Trimestrielle!$FI$74:$GJ$276,MAX(Base_Trimestrielle!$GJ$74:$GJ$276),1))-3,12,1),Base_Trimestrielle!$FI$74:$GJ$276,19,0)&lt;&gt;"",VLOOKUP(DATE(YEAR(INDEX(Base_Trimestrielle!$FI$74:$GJ$276,MAX(Base_Trimestrielle!$GJ$74:$GJ$276),1))-3,12,1),Base_Trimestrielle!$FI$74:$GJ$276,19,0),"")</f>
        <v>411</v>
      </c>
      <c r="G101" s="1123">
        <f>IF(VLOOKUP(DATE(YEAR(INDEX(Base_Trimestrielle!$FI$74:$GJ$276,MAX(Base_Trimestrielle!$GJ$74:$GJ$276),1))-2,3,1),Base_Trimestrielle!$FI$74:$GJ$276,19,0)&lt;&gt;"",VLOOKUP(DATE(YEAR(INDEX(Base_Trimestrielle!$FI$74:$GJ$276,MAX(Base_Trimestrielle!$GJ$74:$GJ$276),1))-2,3,1),Base_Trimestrielle!$FI$74:$GJ$276,19,0),"")</f>
        <v>179</v>
      </c>
      <c r="H101" s="1123">
        <f>IF(VLOOKUP(DATE(YEAR(INDEX(Base_Trimestrielle!$FI$74:$GJ$276,MAX(Base_Trimestrielle!$GJ$74:$GJ$276),1))-2,6,1),Base_Trimestrielle!$FI$74:$GJ$276,19,0)&lt;&gt;"",VLOOKUP(DATE(YEAR(INDEX(Base_Trimestrielle!$FI$74:$GJ$276,MAX(Base_Trimestrielle!$GJ$74:$GJ$276),1))-2,6,1),Base_Trimestrielle!$FI$74:$GJ$276,19,0),"")</f>
        <v>242</v>
      </c>
      <c r="I101" s="1123">
        <f>IF(VLOOKUP(DATE(YEAR(INDEX(Base_Trimestrielle!$FI$74:$GJ$276,MAX(Base_Trimestrielle!$GJ$74:$GJ$276),1))-2,9,1),Base_Trimestrielle!$FI$74:$GJ$276,19,0)&lt;&gt;"",VLOOKUP(DATE(YEAR(INDEX(Base_Trimestrielle!$FI$74:$GJ$276,MAX(Base_Trimestrielle!$GJ$74:$GJ$276),1))-2,9,1),Base_Trimestrielle!$FI$74:$GJ$276,19,0),"")</f>
        <v>263</v>
      </c>
      <c r="J101" s="1123">
        <f>IF(VLOOKUP(DATE(YEAR(INDEX(Base_Trimestrielle!$FI$74:$GJ$276,MAX(Base_Trimestrielle!$GJ$74:$GJ$276),1))-2,12,1),Base_Trimestrielle!$FI$74:$GJ$276,19,0)&lt;&gt;"",VLOOKUP(DATE(YEAR(INDEX(Base_Trimestrielle!$FI$74:$GJ$276,MAX(Base_Trimestrielle!$GJ$74:$GJ$276),1))-2,12,1),Base_Trimestrielle!$FI$74:$GJ$276,19,0),"")</f>
        <v>310</v>
      </c>
    </row>
    <row r="102" spans="1:10" ht="11.1" customHeight="1">
      <c r="A102" s="1654" t="s">
        <v>710</v>
      </c>
      <c r="B102" s="1656"/>
      <c r="C102" s="1126">
        <f>IF(VLOOKUP(DATE(YEAR(INDEX(Base_Trimestrielle!$FI$74:$GJ$276,MAX(Base_Trimestrielle!$GJ$74:$GJ$276),1))-3,3,1),Base_Trimestrielle!$FI$74:$GJ$276,20,0)&lt;&gt;"",VLOOKUP(DATE(YEAR(INDEX(Base_Trimestrielle!$FI$74:$GJ$276,MAX(Base_Trimestrielle!$GJ$74:$GJ$276),1))-3,3,1),Base_Trimestrielle!$FI$74:$GJ$276,20,0),"")</f>
        <v>71</v>
      </c>
      <c r="D102" s="1126">
        <f>IF(VLOOKUP(DATE(YEAR(INDEX(Base_Trimestrielle!$FI$74:$GJ$276,MAX(Base_Trimestrielle!$GJ$74:$GJ$276),1))-3,6,1),Base_Trimestrielle!$FI$74:$GJ$276,20,0)&lt;&gt;"",VLOOKUP(DATE(YEAR(INDEX(Base_Trimestrielle!$FI$74:$GJ$276,MAX(Base_Trimestrielle!$GJ$74:$GJ$276),1))-3,6,1),Base_Trimestrielle!$FI$74:$GJ$276,20,0),"")</f>
        <v>63</v>
      </c>
      <c r="E102" s="1127">
        <f>IF(VLOOKUP(DATE(YEAR(INDEX(Base_Trimestrielle!$FI$74:$GJ$276,MAX(Base_Trimestrielle!$GJ$74:$GJ$276),1))-3,9,1),Base_Trimestrielle!$FI$74:$GJ$276,20,0)&lt;&gt;"",VLOOKUP(DATE(YEAR(INDEX(Base_Trimestrielle!$FI$74:$GJ$276,MAX(Base_Trimestrielle!$GJ$74:$GJ$276),1))-3,9,1),Base_Trimestrielle!$FI$74:$GJ$276,20,0),"")</f>
        <v>161</v>
      </c>
      <c r="F102" s="1126">
        <f>IF(VLOOKUP(DATE(YEAR(INDEX(Base_Trimestrielle!$FI$74:$GJ$276,MAX(Base_Trimestrielle!$GJ$74:$GJ$276),1))-3,12,1),Base_Trimestrielle!$FI$74:$GJ$276,20,0)&lt;&gt;"",VLOOKUP(DATE(YEAR(INDEX(Base_Trimestrielle!$FI$74:$GJ$276,MAX(Base_Trimestrielle!$GJ$74:$GJ$276),1))-3,12,1),Base_Trimestrielle!$FI$74:$GJ$276,20,0),"")</f>
        <v>97</v>
      </c>
      <c r="G102" s="1126">
        <f>IF(VLOOKUP(DATE(YEAR(INDEX(Base_Trimestrielle!$FI$74:$GJ$276,MAX(Base_Trimestrielle!$GJ$74:$GJ$276),1))-2,3,1),Base_Trimestrielle!$FI$74:$GJ$276,20,0)&lt;&gt;"",VLOOKUP(DATE(YEAR(INDEX(Base_Trimestrielle!$FI$74:$GJ$276,MAX(Base_Trimestrielle!$GJ$74:$GJ$276),1))-2,3,1),Base_Trimestrielle!$FI$74:$GJ$276,20,0),"")</f>
        <v>43</v>
      </c>
      <c r="H102" s="1126">
        <f>IF(VLOOKUP(DATE(YEAR(INDEX(Base_Trimestrielle!$FI$74:$GJ$276,MAX(Base_Trimestrielle!$GJ$74:$GJ$276),1))-2,6,1),Base_Trimestrielle!$FI$74:$GJ$276,20,0)&lt;&gt;"",VLOOKUP(DATE(YEAR(INDEX(Base_Trimestrielle!$FI$74:$GJ$276,MAX(Base_Trimestrielle!$GJ$74:$GJ$276),1))-2,6,1),Base_Trimestrielle!$FI$74:$GJ$276,20,0),"")</f>
        <v>21</v>
      </c>
      <c r="I102" s="1126">
        <f>IF(VLOOKUP(DATE(YEAR(INDEX(Base_Trimestrielle!$FI$74:$GJ$276,MAX(Base_Trimestrielle!$GJ$74:$GJ$276),1))-2,9,1),Base_Trimestrielle!$FI$74:$GJ$276,20,0)&lt;&gt;"",VLOOKUP(DATE(YEAR(INDEX(Base_Trimestrielle!$FI$74:$GJ$276,MAX(Base_Trimestrielle!$GJ$74:$GJ$276),1))-2,9,1),Base_Trimestrielle!$FI$74:$GJ$276,20,0),"")</f>
        <v>90</v>
      </c>
      <c r="J102" s="1126">
        <f>IF(VLOOKUP(DATE(YEAR(INDEX(Base_Trimestrielle!$FI$74:$GJ$276,MAX(Base_Trimestrielle!$GJ$74:$GJ$276),1))-2,12,1),Base_Trimestrielle!$FI$74:$GJ$276,20,0)&lt;&gt;"",VLOOKUP(DATE(YEAR(INDEX(Base_Trimestrielle!$FI$74:$GJ$276,MAX(Base_Trimestrielle!$GJ$74:$GJ$276),1))-2,12,1),Base_Trimestrielle!$FI$74:$GJ$276,20,0),"")</f>
        <v>35</v>
      </c>
    </row>
    <row r="103" spans="1:10" ht="11.1" customHeight="1">
      <c r="A103" s="1650" t="s">
        <v>711</v>
      </c>
      <c r="B103" s="1651"/>
      <c r="C103" s="1123">
        <f>IF(VLOOKUP(DATE(YEAR(INDEX(Base_Trimestrielle!$FI$74:$GJ$276,MAX(Base_Trimestrielle!$GJ$74:$GJ$276),1))-3,3,1),Base_Trimestrielle!$FI$74:$GJ$276,21,0)&lt;&gt;"",VLOOKUP(DATE(YEAR(INDEX(Base_Trimestrielle!$FI$74:$GJ$276,MAX(Base_Trimestrielle!$GJ$74:$GJ$276),1))-3,3,1),Base_Trimestrielle!$FI$74:$GJ$276,21,0),"")</f>
        <v>553</v>
      </c>
      <c r="D103" s="1123">
        <f>IF(VLOOKUP(DATE(YEAR(INDEX(Base_Trimestrielle!$FI$74:$GJ$276,MAX(Base_Trimestrielle!$GJ$74:$GJ$276),1))-3,6,1),Base_Trimestrielle!$FI$74:$GJ$276,21,0)&lt;&gt;"",VLOOKUP(DATE(YEAR(INDEX(Base_Trimestrielle!$FI$74:$GJ$276,MAX(Base_Trimestrielle!$GJ$74:$GJ$276),1))-3,6,1),Base_Trimestrielle!$FI$74:$GJ$276,21,0),"")</f>
        <v>519</v>
      </c>
      <c r="E103" s="1124">
        <f>IF(VLOOKUP(DATE(YEAR(INDEX(Base_Trimestrielle!$FI$74:$GJ$276,MAX(Base_Trimestrielle!$GJ$74:$GJ$276),1))-3,9,1),Base_Trimestrielle!$FI$74:$GJ$276,21,0)&lt;&gt;"",VLOOKUP(DATE(YEAR(INDEX(Base_Trimestrielle!$FI$74:$GJ$276,MAX(Base_Trimestrielle!$GJ$74:$GJ$276),1))-3,9,1),Base_Trimestrielle!$FI$74:$GJ$276,21,0),"")</f>
        <v>1097</v>
      </c>
      <c r="F103" s="1123">
        <f>IF(VLOOKUP(DATE(YEAR(INDEX(Base_Trimestrielle!$FI$74:$GJ$276,MAX(Base_Trimestrielle!$GJ$74:$GJ$276),1))-3,12,1),Base_Trimestrielle!$FI$74:$GJ$276,21,0)&lt;&gt;"",VLOOKUP(DATE(YEAR(INDEX(Base_Trimestrielle!$FI$74:$GJ$276,MAX(Base_Trimestrielle!$GJ$74:$GJ$276),1))-3,12,1),Base_Trimestrielle!$FI$74:$GJ$276,21,0),"")</f>
        <v>792</v>
      </c>
      <c r="G103" s="1123">
        <f>IF(VLOOKUP(DATE(YEAR(INDEX(Base_Trimestrielle!$FI$74:$GJ$276,MAX(Base_Trimestrielle!$GJ$74:$GJ$276),1))-2,3,1),Base_Trimestrielle!$FI$74:$GJ$276,21,0)&lt;&gt;"",VLOOKUP(DATE(YEAR(INDEX(Base_Trimestrielle!$FI$74:$GJ$276,MAX(Base_Trimestrielle!$GJ$74:$GJ$276),1))-2,3,1),Base_Trimestrielle!$FI$74:$GJ$276,21,0),"")</f>
        <v>403</v>
      </c>
      <c r="H103" s="1123">
        <f>IF(VLOOKUP(DATE(YEAR(INDEX(Base_Trimestrielle!$FI$74:$GJ$276,MAX(Base_Trimestrielle!$GJ$74:$GJ$276),1))-2,6,1),Base_Trimestrielle!$FI$74:$GJ$276,21,0)&lt;&gt;"",VLOOKUP(DATE(YEAR(INDEX(Base_Trimestrielle!$FI$74:$GJ$276,MAX(Base_Trimestrielle!$GJ$74:$GJ$276),1))-2,6,1),Base_Trimestrielle!$FI$74:$GJ$276,21,0),"")</f>
        <v>371</v>
      </c>
      <c r="I103" s="1123">
        <f>IF(VLOOKUP(DATE(YEAR(INDEX(Base_Trimestrielle!$FI$74:$GJ$276,MAX(Base_Trimestrielle!$GJ$74:$GJ$276),1))-2,9,1),Base_Trimestrielle!$FI$74:$GJ$276,21,0)&lt;&gt;"",VLOOKUP(DATE(YEAR(INDEX(Base_Trimestrielle!$FI$74:$GJ$276,MAX(Base_Trimestrielle!$GJ$74:$GJ$276),1))-2,9,1),Base_Trimestrielle!$FI$74:$GJ$276,21,0),"")</f>
        <v>451</v>
      </c>
      <c r="J103" s="1123">
        <f>IF(VLOOKUP(DATE(YEAR(INDEX(Base_Trimestrielle!$FI$74:$GJ$276,MAX(Base_Trimestrielle!$GJ$74:$GJ$276),1))-2,12,1),Base_Trimestrielle!$FI$74:$GJ$276,21,0)&lt;&gt;"",VLOOKUP(DATE(YEAR(INDEX(Base_Trimestrielle!$FI$74:$GJ$276,MAX(Base_Trimestrielle!$GJ$74:$GJ$276),1))-2,12,1),Base_Trimestrielle!$FI$74:$GJ$276,21,0),"")</f>
        <v>366</v>
      </c>
    </row>
    <row r="104" spans="1:10" ht="11.1" customHeight="1">
      <c r="A104" s="1654" t="s">
        <v>712</v>
      </c>
      <c r="B104" s="1656"/>
      <c r="C104" s="1126">
        <f>IF(VLOOKUP(DATE(YEAR(INDEX(Base_Trimestrielle!$FI$74:$GJ$276,MAX(Base_Trimestrielle!$GJ$74:$GJ$276),1))-3,3,1),Base_Trimestrielle!$FI$74:$GJ$276,22,0)&lt;&gt;"",VLOOKUP(DATE(YEAR(INDEX(Base_Trimestrielle!$FI$74:$GJ$276,MAX(Base_Trimestrielle!$GJ$74:$GJ$276),1))-3,3,1),Base_Trimestrielle!$FI$74:$GJ$276,22,0),"")</f>
        <v>180</v>
      </c>
      <c r="D104" s="1126">
        <f>IF(VLOOKUP(DATE(YEAR(INDEX(Base_Trimestrielle!$FI$74:$GJ$276,MAX(Base_Trimestrielle!$GJ$74:$GJ$276),1))-3,6,1),Base_Trimestrielle!$FI$74:$GJ$276,22,0)&lt;&gt;"",VLOOKUP(DATE(YEAR(INDEX(Base_Trimestrielle!$FI$74:$GJ$276,MAX(Base_Trimestrielle!$GJ$74:$GJ$276),1))-3,6,1),Base_Trimestrielle!$FI$74:$GJ$276,22,0),"")</f>
        <v>198</v>
      </c>
      <c r="E104" s="1127">
        <f>IF(VLOOKUP(DATE(YEAR(INDEX(Base_Trimestrielle!$FI$74:$GJ$276,MAX(Base_Trimestrielle!$GJ$74:$GJ$276),1))-3,9,1),Base_Trimestrielle!$FI$74:$GJ$276,22,0)&lt;&gt;"",VLOOKUP(DATE(YEAR(INDEX(Base_Trimestrielle!$FI$74:$GJ$276,MAX(Base_Trimestrielle!$GJ$74:$GJ$276),1))-3,9,1),Base_Trimestrielle!$FI$74:$GJ$276,22,0),"")</f>
        <v>569</v>
      </c>
      <c r="F104" s="1126">
        <f>IF(VLOOKUP(DATE(YEAR(INDEX(Base_Trimestrielle!$FI$74:$GJ$276,MAX(Base_Trimestrielle!$GJ$74:$GJ$276),1))-3,12,1),Base_Trimestrielle!$FI$74:$GJ$276,22,0)&lt;&gt;"",VLOOKUP(DATE(YEAR(INDEX(Base_Trimestrielle!$FI$74:$GJ$276,MAX(Base_Trimestrielle!$GJ$74:$GJ$276),1))-3,12,1),Base_Trimestrielle!$FI$74:$GJ$276,22,0),"")</f>
        <v>214</v>
      </c>
      <c r="G104" s="1126">
        <f>IF(VLOOKUP(DATE(YEAR(INDEX(Base_Trimestrielle!$FI$74:$GJ$276,MAX(Base_Trimestrielle!$GJ$74:$GJ$276),1))-2,3,1),Base_Trimestrielle!$FI$74:$GJ$276,22,0)&lt;&gt;"",VLOOKUP(DATE(YEAR(INDEX(Base_Trimestrielle!$FI$74:$GJ$276,MAX(Base_Trimestrielle!$GJ$74:$GJ$276),1))-2,3,1),Base_Trimestrielle!$FI$74:$GJ$276,22,0),"")</f>
        <v>283</v>
      </c>
      <c r="H104" s="1126">
        <f>IF(VLOOKUP(DATE(YEAR(INDEX(Base_Trimestrielle!$FI$74:$GJ$276,MAX(Base_Trimestrielle!$GJ$74:$GJ$276),1))-2,6,1),Base_Trimestrielle!$FI$74:$GJ$276,22,0)&lt;&gt;"",VLOOKUP(DATE(YEAR(INDEX(Base_Trimestrielle!$FI$74:$GJ$276,MAX(Base_Trimestrielle!$GJ$74:$GJ$276),1))-2,6,1),Base_Trimestrielle!$FI$74:$GJ$276,22,0),"")</f>
        <v>86</v>
      </c>
      <c r="I104" s="1126">
        <f>IF(VLOOKUP(DATE(YEAR(INDEX(Base_Trimestrielle!$FI$74:$GJ$276,MAX(Base_Trimestrielle!$GJ$74:$GJ$276),1))-2,9,1),Base_Trimestrielle!$FI$74:$GJ$276,22,0)&lt;&gt;"",VLOOKUP(DATE(YEAR(INDEX(Base_Trimestrielle!$FI$74:$GJ$276,MAX(Base_Trimestrielle!$GJ$74:$GJ$276),1))-2,9,1),Base_Trimestrielle!$FI$74:$GJ$276,22,0),"")</f>
        <v>209</v>
      </c>
      <c r="J104" s="1126">
        <f>IF(VLOOKUP(DATE(YEAR(INDEX(Base_Trimestrielle!$FI$74:$GJ$276,MAX(Base_Trimestrielle!$GJ$74:$GJ$276),1))-2,12,1),Base_Trimestrielle!$FI$74:$GJ$276,22,0)&lt;&gt;"",VLOOKUP(DATE(YEAR(INDEX(Base_Trimestrielle!$FI$74:$GJ$276,MAX(Base_Trimestrielle!$GJ$74:$GJ$276),1))-2,12,1),Base_Trimestrielle!$FI$74:$GJ$276,22,0),"")</f>
        <v>140</v>
      </c>
    </row>
    <row r="105" spans="1:10" ht="11.1" customHeight="1">
      <c r="A105" s="1650" t="s">
        <v>713</v>
      </c>
      <c r="B105" s="1651"/>
      <c r="C105" s="1123">
        <f>IF(VLOOKUP(DATE(YEAR(INDEX(Base_Trimestrielle!$FI$74:$GJ$276,MAX(Base_Trimestrielle!$GJ$74:$GJ$276),1))-3,3,1),Base_Trimestrielle!$FI$74:$GJ$276,23,0)&lt;&gt;"",VLOOKUP(DATE(YEAR(INDEX(Base_Trimestrielle!$FI$74:$GJ$276,MAX(Base_Trimestrielle!$GJ$74:$GJ$276),1))-3,3,1),Base_Trimestrielle!$FI$74:$GJ$276,23,0),"")</f>
        <v>790</v>
      </c>
      <c r="D105" s="1123">
        <f>IF(VLOOKUP(DATE(YEAR(INDEX(Base_Trimestrielle!$FI$74:$GJ$276,MAX(Base_Trimestrielle!$GJ$74:$GJ$276),1))-3,6,1),Base_Trimestrielle!$FI$74:$GJ$276,23,0)&lt;&gt;"",VLOOKUP(DATE(YEAR(INDEX(Base_Trimestrielle!$FI$74:$GJ$276,MAX(Base_Trimestrielle!$GJ$74:$GJ$276),1))-3,6,1),Base_Trimestrielle!$FI$74:$GJ$276,23,0),"")</f>
        <v>775</v>
      </c>
      <c r="E105" s="1124">
        <f>IF(VLOOKUP(DATE(YEAR(INDEX(Base_Trimestrielle!$FI$74:$GJ$276,MAX(Base_Trimestrielle!$GJ$74:$GJ$276),1))-3,9,1),Base_Trimestrielle!$FI$74:$GJ$276,23,0)&lt;&gt;"",VLOOKUP(DATE(YEAR(INDEX(Base_Trimestrielle!$FI$74:$GJ$276,MAX(Base_Trimestrielle!$GJ$74:$GJ$276),1))-3,9,1),Base_Trimestrielle!$FI$74:$GJ$276,23,0),"")</f>
        <v>1097</v>
      </c>
      <c r="F105" s="1123">
        <f>IF(VLOOKUP(DATE(YEAR(INDEX(Base_Trimestrielle!$FI$74:$GJ$276,MAX(Base_Trimestrielle!$GJ$74:$GJ$276),1))-3,12,1),Base_Trimestrielle!$FI$74:$GJ$276,23,0)&lt;&gt;"",VLOOKUP(DATE(YEAR(INDEX(Base_Trimestrielle!$FI$74:$GJ$276,MAX(Base_Trimestrielle!$GJ$74:$GJ$276),1))-3,12,1),Base_Trimestrielle!$FI$74:$GJ$276,23,0),"")</f>
        <v>1011</v>
      </c>
      <c r="G105" s="1123">
        <f>IF(VLOOKUP(DATE(YEAR(INDEX(Base_Trimestrielle!$FI$74:$GJ$276,MAX(Base_Trimestrielle!$GJ$74:$GJ$276),1))-2,3,1),Base_Trimestrielle!$FI$74:$GJ$276,23,0)&lt;&gt;"",VLOOKUP(DATE(YEAR(INDEX(Base_Trimestrielle!$FI$74:$GJ$276,MAX(Base_Trimestrielle!$GJ$74:$GJ$276),1))-2,3,1),Base_Trimestrielle!$FI$74:$GJ$276,23,0),"")</f>
        <v>630</v>
      </c>
      <c r="H105" s="1123">
        <f>IF(VLOOKUP(DATE(YEAR(INDEX(Base_Trimestrielle!$FI$74:$GJ$276,MAX(Base_Trimestrielle!$GJ$74:$GJ$276),1))-2,6,1),Base_Trimestrielle!$FI$74:$GJ$276,23,0)&lt;&gt;"",VLOOKUP(DATE(YEAR(INDEX(Base_Trimestrielle!$FI$74:$GJ$276,MAX(Base_Trimestrielle!$GJ$74:$GJ$276),1))-2,6,1),Base_Trimestrielle!$FI$74:$GJ$276,23,0),"")</f>
        <v>624</v>
      </c>
      <c r="I105" s="1123">
        <f>IF(VLOOKUP(DATE(YEAR(INDEX(Base_Trimestrielle!$FI$74:$GJ$276,MAX(Base_Trimestrielle!$GJ$74:$GJ$276),1))-2,9,1),Base_Trimestrielle!$FI$74:$GJ$276,23,0)&lt;&gt;"",VLOOKUP(DATE(YEAR(INDEX(Base_Trimestrielle!$FI$74:$GJ$276,MAX(Base_Trimestrielle!$GJ$74:$GJ$276),1))-2,9,1),Base_Trimestrielle!$FI$74:$GJ$276,23,0),"")</f>
        <v>557</v>
      </c>
      <c r="J105" s="1123">
        <f>IF(VLOOKUP(DATE(YEAR(INDEX(Base_Trimestrielle!$FI$74:$GJ$276,MAX(Base_Trimestrielle!$GJ$74:$GJ$276),1))-2,12,1),Base_Trimestrielle!$FI$74:$GJ$276,23,0)&lt;&gt;"",VLOOKUP(DATE(YEAR(INDEX(Base_Trimestrielle!$FI$74:$GJ$276,MAX(Base_Trimestrielle!$GJ$74:$GJ$276),1))-2,12,1),Base_Trimestrielle!$FI$74:$GJ$276,23,0),"")</f>
        <v>495</v>
      </c>
    </row>
    <row r="106" spans="1:10" ht="11.1" customHeight="1">
      <c r="A106" s="1654" t="s">
        <v>714</v>
      </c>
      <c r="B106" s="1656"/>
      <c r="C106" s="1126">
        <f>IF(VLOOKUP(DATE(YEAR(INDEX(Base_Trimestrielle!$FI$74:$GJ$276,MAX(Base_Trimestrielle!$GJ$74:$GJ$276),1))-3,3,1),Base_Trimestrielle!$FI$74:$GJ$276,24,0)&lt;&gt;"",VLOOKUP(DATE(YEAR(INDEX(Base_Trimestrielle!$FI$74:$GJ$276,MAX(Base_Trimestrielle!$GJ$74:$GJ$276),1))-3,3,1),Base_Trimestrielle!$FI$74:$GJ$276,24,0),"")</f>
        <v>102</v>
      </c>
      <c r="D106" s="1126">
        <f>IF(VLOOKUP(DATE(YEAR(INDEX(Base_Trimestrielle!$FI$74:$GJ$276,MAX(Base_Trimestrielle!$GJ$74:$GJ$276),1))-3,6,1),Base_Trimestrielle!$FI$74:$GJ$276,24,0)&lt;&gt;"",VLOOKUP(DATE(YEAR(INDEX(Base_Trimestrielle!$FI$74:$GJ$276,MAX(Base_Trimestrielle!$GJ$74:$GJ$276),1))-3,6,1),Base_Trimestrielle!$FI$74:$GJ$276,24,0),"")</f>
        <v>88</v>
      </c>
      <c r="E106" s="1127">
        <f>IF(VLOOKUP(DATE(YEAR(INDEX(Base_Trimestrielle!$FI$74:$GJ$276,MAX(Base_Trimestrielle!$GJ$74:$GJ$276),1))-3,9,1),Base_Trimestrielle!$FI$74:$GJ$276,24,0)&lt;&gt;"",VLOOKUP(DATE(YEAR(INDEX(Base_Trimestrielle!$FI$74:$GJ$276,MAX(Base_Trimestrielle!$GJ$74:$GJ$276),1))-3,9,1),Base_Trimestrielle!$FI$74:$GJ$276,24,0),"")</f>
        <v>250</v>
      </c>
      <c r="F106" s="1126">
        <f>IF(VLOOKUP(DATE(YEAR(INDEX(Base_Trimestrielle!$FI$74:$GJ$276,MAX(Base_Trimestrielle!$GJ$74:$GJ$276),1))-3,12,1),Base_Trimestrielle!$FI$74:$GJ$276,24,0)&lt;&gt;"",VLOOKUP(DATE(YEAR(INDEX(Base_Trimestrielle!$FI$74:$GJ$276,MAX(Base_Trimestrielle!$GJ$74:$GJ$276),1))-3,12,1),Base_Trimestrielle!$FI$74:$GJ$276,24,0),"")</f>
        <v>166</v>
      </c>
      <c r="G106" s="1126">
        <f>IF(VLOOKUP(DATE(YEAR(INDEX(Base_Trimestrielle!$FI$74:$GJ$276,MAX(Base_Trimestrielle!$GJ$74:$GJ$276),1))-2,3,1),Base_Trimestrielle!$FI$74:$GJ$276,24,0)&lt;&gt;"",VLOOKUP(DATE(YEAR(INDEX(Base_Trimestrielle!$FI$74:$GJ$276,MAX(Base_Trimestrielle!$GJ$74:$GJ$276),1))-2,3,1),Base_Trimestrielle!$FI$74:$GJ$276,24,0),"")</f>
        <v>121</v>
      </c>
      <c r="H106" s="1126">
        <f>IF(VLOOKUP(DATE(YEAR(INDEX(Base_Trimestrielle!$FI$74:$GJ$276,MAX(Base_Trimestrielle!$GJ$74:$GJ$276),1))-2,6,1),Base_Trimestrielle!$FI$74:$GJ$276,24,0)&lt;&gt;"",VLOOKUP(DATE(YEAR(INDEX(Base_Trimestrielle!$FI$74:$GJ$276,MAX(Base_Trimestrielle!$GJ$74:$GJ$276),1))-2,6,1),Base_Trimestrielle!$FI$74:$GJ$276,24,0),"")</f>
        <v>72</v>
      </c>
      <c r="I106" s="1126">
        <f>IF(VLOOKUP(DATE(YEAR(INDEX(Base_Trimestrielle!$FI$74:$GJ$276,MAX(Base_Trimestrielle!$GJ$74:$GJ$276),1))-2,9,1),Base_Trimestrielle!$FI$74:$GJ$276,24,0)&lt;&gt;"",VLOOKUP(DATE(YEAR(INDEX(Base_Trimestrielle!$FI$74:$GJ$276,MAX(Base_Trimestrielle!$GJ$74:$GJ$276),1))-2,9,1),Base_Trimestrielle!$FI$74:$GJ$276,24,0),"")</f>
        <v>48</v>
      </c>
      <c r="J106" s="1126">
        <f>IF(VLOOKUP(DATE(YEAR(INDEX(Base_Trimestrielle!$FI$74:$GJ$276,MAX(Base_Trimestrielle!$GJ$74:$GJ$276),1))-2,12,1),Base_Trimestrielle!$FI$74:$GJ$276,24,0)&lt;&gt;"",VLOOKUP(DATE(YEAR(INDEX(Base_Trimestrielle!$FI$74:$GJ$276,MAX(Base_Trimestrielle!$GJ$74:$GJ$276),1))-2,12,1),Base_Trimestrielle!$FI$74:$GJ$276,24,0),"")</f>
        <v>75</v>
      </c>
    </row>
    <row r="107" spans="1:10" ht="11.1" customHeight="1">
      <c r="A107" s="1650" t="s">
        <v>715</v>
      </c>
      <c r="B107" s="1651"/>
      <c r="C107" s="1123">
        <f>IF(VLOOKUP(DATE(YEAR(INDEX(Base_Trimestrielle!$FI$74:$GJ$276,MAX(Base_Trimestrielle!$GJ$74:$GJ$276),1))-3,3,1),Base_Trimestrielle!$FI$74:$GJ$276,25,0)&lt;&gt;"",VLOOKUP(DATE(YEAR(INDEX(Base_Trimestrielle!$FI$74:$GJ$276,MAX(Base_Trimestrielle!$GJ$74:$GJ$276),1))-3,3,1),Base_Trimestrielle!$FI$74:$GJ$276,25,0),"")</f>
        <v>19</v>
      </c>
      <c r="D107" s="1123">
        <f>IF(VLOOKUP(DATE(YEAR(INDEX(Base_Trimestrielle!$FI$74:$GJ$276,MAX(Base_Trimestrielle!$GJ$74:$GJ$276),1))-3,6,1),Base_Trimestrielle!$FI$74:$GJ$276,25,0)&lt;&gt;"",VLOOKUP(DATE(YEAR(INDEX(Base_Trimestrielle!$FI$74:$GJ$276,MAX(Base_Trimestrielle!$GJ$74:$GJ$276),1))-3,6,1),Base_Trimestrielle!$FI$74:$GJ$276,25,0),"")</f>
        <v>8</v>
      </c>
      <c r="E107" s="1124">
        <f>IF(VLOOKUP(DATE(YEAR(INDEX(Base_Trimestrielle!$FI$74:$GJ$276,MAX(Base_Trimestrielle!$GJ$74:$GJ$276),1))-3,9,1),Base_Trimestrielle!$FI$74:$GJ$276,25,0)&lt;&gt;"",VLOOKUP(DATE(YEAR(INDEX(Base_Trimestrielle!$FI$74:$GJ$276,MAX(Base_Trimestrielle!$GJ$74:$GJ$276),1))-3,9,1),Base_Trimestrielle!$FI$74:$GJ$276,25,0),"")</f>
        <v>9</v>
      </c>
      <c r="F107" s="1123">
        <f>IF(VLOOKUP(DATE(YEAR(INDEX(Base_Trimestrielle!$FI$74:$GJ$276,MAX(Base_Trimestrielle!$GJ$74:$GJ$276),1))-3,12,1),Base_Trimestrielle!$FI$74:$GJ$276,25,0)&lt;&gt;"",VLOOKUP(DATE(YEAR(INDEX(Base_Trimestrielle!$FI$74:$GJ$276,MAX(Base_Trimestrielle!$GJ$74:$GJ$276),1))-3,12,1),Base_Trimestrielle!$FI$74:$GJ$276,25,0),"")</f>
        <v>18</v>
      </c>
      <c r="G107" s="1123">
        <f>IF(VLOOKUP(DATE(YEAR(INDEX(Base_Trimestrielle!$FI$74:$GJ$276,MAX(Base_Trimestrielle!$GJ$74:$GJ$276),1))-2,3,1),Base_Trimestrielle!$FI$74:$GJ$276,25,0)&lt;&gt;"",VLOOKUP(DATE(YEAR(INDEX(Base_Trimestrielle!$FI$74:$GJ$276,MAX(Base_Trimestrielle!$GJ$74:$GJ$276),1))-2,3,1),Base_Trimestrielle!$FI$74:$GJ$276,25,0),"")</f>
        <v>10</v>
      </c>
      <c r="H107" s="1123">
        <f>IF(VLOOKUP(DATE(YEAR(INDEX(Base_Trimestrielle!$FI$74:$GJ$276,MAX(Base_Trimestrielle!$GJ$74:$GJ$276),1))-2,6,1),Base_Trimestrielle!$FI$74:$GJ$276,25,0)&lt;&gt;"",VLOOKUP(DATE(YEAR(INDEX(Base_Trimestrielle!$FI$74:$GJ$276,MAX(Base_Trimestrielle!$GJ$74:$GJ$276),1))-2,6,1),Base_Trimestrielle!$FI$74:$GJ$276,25,0),"")</f>
        <v>1</v>
      </c>
      <c r="I107" s="1123">
        <f>IF(VLOOKUP(DATE(YEAR(INDEX(Base_Trimestrielle!$FI$74:$GJ$276,MAX(Base_Trimestrielle!$GJ$74:$GJ$276),1))-2,9,1),Base_Trimestrielle!$FI$74:$GJ$276,25,0)&lt;&gt;"",VLOOKUP(DATE(YEAR(INDEX(Base_Trimestrielle!$FI$74:$GJ$276,MAX(Base_Trimestrielle!$GJ$74:$GJ$276),1))-2,9,1),Base_Trimestrielle!$FI$74:$GJ$276,25,0),"")</f>
        <v>8</v>
      </c>
      <c r="J107" s="1123">
        <f>IF(VLOOKUP(DATE(YEAR(INDEX(Base_Trimestrielle!$FI$74:$GJ$276,MAX(Base_Trimestrielle!$GJ$74:$GJ$276),1))-2,12,1),Base_Trimestrielle!$FI$74:$GJ$276,25,0)&lt;&gt;"",VLOOKUP(DATE(YEAR(INDEX(Base_Trimestrielle!$FI$74:$GJ$276,MAX(Base_Trimestrielle!$GJ$74:$GJ$276),1))-2,12,1),Base_Trimestrielle!$FI$74:$GJ$276,25,0),"")</f>
        <v>12</v>
      </c>
    </row>
    <row r="108" spans="1:10" ht="11.1" customHeight="1">
      <c r="A108" s="1654" t="s">
        <v>716</v>
      </c>
      <c r="B108" s="1656"/>
      <c r="C108" s="1126">
        <f>IF(VLOOKUP(DATE(YEAR(INDEX(Base_Trimestrielle!$FI$74:$GJ$276,MAX(Base_Trimestrielle!$GJ$74:$GJ$276),1))-3,3,1),Base_Trimestrielle!$FI$74:$GJ$276,26,0)&lt;&gt;"",VLOOKUP(DATE(YEAR(INDEX(Base_Trimestrielle!$FI$74:$GJ$276,MAX(Base_Trimestrielle!$GJ$74:$GJ$276),1))-3,3,1),Base_Trimestrielle!$FI$74:$GJ$276,26,0),"")</f>
        <v>401</v>
      </c>
      <c r="D108" s="1126">
        <f>IF(VLOOKUP(DATE(YEAR(INDEX(Base_Trimestrielle!$FI$74:$GJ$276,MAX(Base_Trimestrielle!$GJ$74:$GJ$276),1))-3,6,1),Base_Trimestrielle!$FI$74:$GJ$276,26,0)&lt;&gt;"",VLOOKUP(DATE(YEAR(INDEX(Base_Trimestrielle!$FI$74:$GJ$276,MAX(Base_Trimestrielle!$GJ$74:$GJ$276),1))-3,6,1),Base_Trimestrielle!$FI$74:$GJ$276,26,0),"")</f>
        <v>409</v>
      </c>
      <c r="E108" s="1127">
        <f>IF(VLOOKUP(DATE(YEAR(INDEX(Base_Trimestrielle!$FI$74:$GJ$276,MAX(Base_Trimestrielle!$GJ$74:$GJ$276),1))-3,9,1),Base_Trimestrielle!$FI$74:$GJ$276,26,0)&lt;&gt;"",VLOOKUP(DATE(YEAR(INDEX(Base_Trimestrielle!$FI$74:$GJ$276,MAX(Base_Trimestrielle!$GJ$74:$GJ$276),1))-3,9,1),Base_Trimestrielle!$FI$74:$GJ$276,26,0),"")</f>
        <v>748</v>
      </c>
      <c r="F108" s="1126">
        <f>IF(VLOOKUP(DATE(YEAR(INDEX(Base_Trimestrielle!$FI$74:$GJ$276,MAX(Base_Trimestrielle!$GJ$74:$GJ$276),1))-3,12,1),Base_Trimestrielle!$FI$74:$GJ$276,26,0)&lt;&gt;"",VLOOKUP(DATE(YEAR(INDEX(Base_Trimestrielle!$FI$74:$GJ$276,MAX(Base_Trimestrielle!$GJ$74:$GJ$276),1))-3,12,1),Base_Trimestrielle!$FI$74:$GJ$276,26,0),"")</f>
        <v>630</v>
      </c>
      <c r="G108" s="1126">
        <f>IF(VLOOKUP(DATE(YEAR(INDEX(Base_Trimestrielle!$FI$74:$GJ$276,MAX(Base_Trimestrielle!$GJ$74:$GJ$276),1))-2,3,1),Base_Trimestrielle!$FI$74:$GJ$276,26,0)&lt;&gt;"",VLOOKUP(DATE(YEAR(INDEX(Base_Trimestrielle!$FI$74:$GJ$276,MAX(Base_Trimestrielle!$GJ$74:$GJ$276),1))-2,3,1),Base_Trimestrielle!$FI$74:$GJ$276,26,0),"")</f>
        <v>416</v>
      </c>
      <c r="H108" s="1126">
        <f>IF(VLOOKUP(DATE(YEAR(INDEX(Base_Trimestrielle!$FI$74:$GJ$276,MAX(Base_Trimestrielle!$GJ$74:$GJ$276),1))-2,6,1),Base_Trimestrielle!$FI$74:$GJ$276,26,0)&lt;&gt;"",VLOOKUP(DATE(YEAR(INDEX(Base_Trimestrielle!$FI$74:$GJ$276,MAX(Base_Trimestrielle!$GJ$74:$GJ$276),1))-2,6,1),Base_Trimestrielle!$FI$74:$GJ$276,26,0),"")</f>
        <v>290</v>
      </c>
      <c r="I108" s="1126">
        <f>IF(VLOOKUP(DATE(YEAR(INDEX(Base_Trimestrielle!$FI$74:$GJ$276,MAX(Base_Trimestrielle!$GJ$74:$GJ$276),1))-2,9,1),Base_Trimestrielle!$FI$74:$GJ$276,26,0)&lt;&gt;"",VLOOKUP(DATE(YEAR(INDEX(Base_Trimestrielle!$FI$74:$GJ$276,MAX(Base_Trimestrielle!$GJ$74:$GJ$276),1))-2,9,1),Base_Trimestrielle!$FI$74:$GJ$276,26,0),"")</f>
        <v>260</v>
      </c>
      <c r="J108" s="1126">
        <f>IF(VLOOKUP(DATE(YEAR(INDEX(Base_Trimestrielle!$FI$74:$GJ$276,MAX(Base_Trimestrielle!$GJ$74:$GJ$276),1))-2,12,1),Base_Trimestrielle!$FI$74:$GJ$276,26,0)&lt;&gt;"",VLOOKUP(DATE(YEAR(INDEX(Base_Trimestrielle!$FI$74:$GJ$276,MAX(Base_Trimestrielle!$GJ$74:$GJ$276),1))-2,12,1),Base_Trimestrielle!$FI$74:$GJ$276,26,0),"")</f>
        <v>299</v>
      </c>
    </row>
    <row r="109" spans="1:10" ht="11.1" customHeight="1">
      <c r="A109" s="1650" t="s">
        <v>802</v>
      </c>
      <c r="B109" s="1651"/>
      <c r="C109" s="1123">
        <f>IF(VLOOKUP(DATE(YEAR(INDEX(Base_Trimestrielle!$FI$74:$GJ$276,MAX(Base_Trimestrielle!$GJ$74:$GJ$276),1))-3,3,1),Base_Trimestrielle!$FI$74:$GJ$276,27,0)&lt;&gt;"",VLOOKUP(DATE(YEAR(INDEX(Base_Trimestrielle!$FI$74:$GJ$276,MAX(Base_Trimestrielle!$GJ$74:$GJ$276),1))-3,3,1),Base_Trimestrielle!$FI$74:$GJ$276,27,0),"")</f>
        <v>55</v>
      </c>
      <c r="D109" s="1123">
        <f>IF(VLOOKUP(DATE(YEAR(INDEX(Base_Trimestrielle!$FI$74:$GJ$276,MAX(Base_Trimestrielle!$GJ$74:$GJ$276),1))-3,6,1),Base_Trimestrielle!$FI$74:$GJ$276,27,0)&lt;&gt;"",VLOOKUP(DATE(YEAR(INDEX(Base_Trimestrielle!$FI$74:$GJ$276,MAX(Base_Trimestrielle!$GJ$74:$GJ$276),1))-3,6,1),Base_Trimestrielle!$FI$74:$GJ$276,27,0),"")</f>
        <v>104</v>
      </c>
      <c r="E109" s="1124">
        <f>IF(VLOOKUP(DATE(YEAR(INDEX(Base_Trimestrielle!$FI$74:$GJ$276,MAX(Base_Trimestrielle!$GJ$74:$GJ$276),1))-3,9,1),Base_Trimestrielle!$FI$74:$GJ$276,27,0)&lt;&gt;"",VLOOKUP(DATE(YEAR(INDEX(Base_Trimestrielle!$FI$74:$GJ$276,MAX(Base_Trimestrielle!$GJ$74:$GJ$276),1))-3,9,1),Base_Trimestrielle!$FI$74:$GJ$276,27,0),"")</f>
        <v>99</v>
      </c>
      <c r="F109" s="1123">
        <f>IF(VLOOKUP(DATE(YEAR(INDEX(Base_Trimestrielle!$FI$74:$GJ$276,MAX(Base_Trimestrielle!$GJ$74:$GJ$276),1))-3,12,1),Base_Trimestrielle!$FI$74:$GJ$276,27,0)&lt;&gt;"",VLOOKUP(DATE(YEAR(INDEX(Base_Trimestrielle!$FI$74:$GJ$276,MAX(Base_Trimestrielle!$GJ$74:$GJ$276),1))-3,12,1),Base_Trimestrielle!$FI$74:$GJ$276,27,0),"")</f>
        <v>152</v>
      </c>
      <c r="G109" s="1123">
        <f>IF(VLOOKUP(DATE(YEAR(INDEX(Base_Trimestrielle!$FI$74:$GJ$276,MAX(Base_Trimestrielle!$GJ$74:$GJ$276),1))-2,3,1),Base_Trimestrielle!$FI$74:$GJ$276,27,0)&lt;&gt;"",VLOOKUP(DATE(YEAR(INDEX(Base_Trimestrielle!$FI$74:$GJ$276,MAX(Base_Trimestrielle!$GJ$74:$GJ$276),1))-2,3,1),Base_Trimestrielle!$FI$74:$GJ$276,27,0),"")</f>
        <v>45</v>
      </c>
      <c r="H109" s="1123">
        <f>IF(VLOOKUP(DATE(YEAR(INDEX(Base_Trimestrielle!$FI$74:$GJ$276,MAX(Base_Trimestrielle!$GJ$74:$GJ$276),1))-2,6,1),Base_Trimestrielle!$FI$74:$GJ$276,27,0)&lt;&gt;"",VLOOKUP(DATE(YEAR(INDEX(Base_Trimestrielle!$FI$74:$GJ$276,MAX(Base_Trimestrielle!$GJ$74:$GJ$276),1))-2,6,1),Base_Trimestrielle!$FI$74:$GJ$276,27,0),"")</f>
        <v>79</v>
      </c>
      <c r="I109" s="1123">
        <f>IF(VLOOKUP(DATE(YEAR(INDEX(Base_Trimestrielle!$FI$74:$GJ$276,MAX(Base_Trimestrielle!$GJ$74:$GJ$276),1))-2,9,1),Base_Trimestrielle!$FI$74:$GJ$276,27,0)&lt;&gt;"",VLOOKUP(DATE(YEAR(INDEX(Base_Trimestrielle!$FI$74:$GJ$276,MAX(Base_Trimestrielle!$GJ$74:$GJ$276),1))-2,9,1),Base_Trimestrielle!$FI$74:$GJ$276,27,0),"")</f>
        <v>90</v>
      </c>
      <c r="J109" s="1123">
        <f>IF(VLOOKUP(DATE(YEAR(INDEX(Base_Trimestrielle!$FI$74:$GJ$276,MAX(Base_Trimestrielle!$GJ$74:$GJ$276),1))-2,12,1),Base_Trimestrielle!$FI$74:$GJ$276,27,0)&lt;&gt;"",VLOOKUP(DATE(YEAR(INDEX(Base_Trimestrielle!$FI$74:$GJ$276,MAX(Base_Trimestrielle!$GJ$74:$GJ$276),1))-2,12,1),Base_Trimestrielle!$FI$74:$GJ$276,27,0),"")</f>
        <v>62</v>
      </c>
    </row>
    <row r="110" spans="1:10" ht="11.1" customHeight="1">
      <c r="A110" s="1658" t="s">
        <v>128</v>
      </c>
      <c r="B110" s="1659"/>
      <c r="C110" s="1660">
        <f t="shared" ref="C110:J110" si="10">SUM(C99:C109)</f>
        <v>2771</v>
      </c>
      <c r="D110" s="1660">
        <f t="shared" si="10"/>
        <v>2656</v>
      </c>
      <c r="E110" s="1661">
        <f t="shared" si="10"/>
        <v>4566</v>
      </c>
      <c r="F110" s="1660">
        <f t="shared" si="10"/>
        <v>3685</v>
      </c>
      <c r="G110" s="1660">
        <f t="shared" si="10"/>
        <v>2250</v>
      </c>
      <c r="H110" s="1660">
        <f t="shared" si="10"/>
        <v>1854</v>
      </c>
      <c r="I110" s="1660">
        <f t="shared" si="10"/>
        <v>2065</v>
      </c>
      <c r="J110" s="1660">
        <f t="shared" si="10"/>
        <v>1896</v>
      </c>
    </row>
    <row r="111" spans="1:10" ht="11.1" customHeight="1">
      <c r="A111" s="962" t="s">
        <v>695</v>
      </c>
      <c r="B111" s="962"/>
    </row>
    <row r="112" spans="1:10" ht="11.1" customHeight="1">
      <c r="B112" s="1132"/>
    </row>
    <row r="113" spans="1:10" ht="11.1" customHeight="1">
      <c r="A113" s="1133"/>
      <c r="B113" s="1133"/>
      <c r="C113" s="2173" t="str">
        <f>CONCATENATE("1T-",RIGHT(YEAR(INDEX(Base_Trimestrielle!$FI$74:$GJ$276,MAX(Base_Trimestrielle!$GJ$74:$GJ$276),1))-1,2))</f>
        <v>1T-21</v>
      </c>
      <c r="D113" s="32" t="str">
        <f>CONCATENATE("2T-",RIGHT(YEAR(INDEX(Base_Trimestrielle!$FI$74:$GJ$276,MAX(Base_Trimestrielle!$GJ$74:$GJ$276),1))-1,2))</f>
        <v>2T-21</v>
      </c>
      <c r="E113" s="32" t="str">
        <f>CONCATENATE("3T-",RIGHT(YEAR(INDEX(Base_Trimestrielle!$FI$74:$GJ$276,MAX(Base_Trimestrielle!$GJ$74:$GJ$276),1))-1,2))</f>
        <v>3T-21</v>
      </c>
      <c r="F113" s="32" t="str">
        <f>CONCATENATE("4T-",RIGHT(YEAR(INDEX(Base_Trimestrielle!$FI$74:$GJ$276,MAX(Base_Trimestrielle!$GJ$74:$GJ$276),1))-1,2))</f>
        <v>4T-21</v>
      </c>
      <c r="G113" s="32" t="str">
        <f>CONCATENATE("1T-",RIGHT(YEAR(INDEX(Base_Trimestrielle!$FI$74:$GJ$276,MAX(Base_Trimestrielle!$GJ$74:$GJ$276),1)),2))</f>
        <v>1T-22</v>
      </c>
      <c r="H113" s="32" t="str">
        <f>CONCATENATE("2T-",RIGHT(YEAR(INDEX(Base_Trimestrielle!$FI$74:$GJ$276,MAX(Base_Trimestrielle!$GJ$74:$GJ$276),1)),2))</f>
        <v>2T-22</v>
      </c>
      <c r="I113" s="32" t="str">
        <f>CONCATENATE("3T-",RIGHT(YEAR(INDEX(Base_Trimestrielle!$FI$74:$GJ$276,MAX(Base_Trimestrielle!$GJ$74:$GJ$276),1)),2))</f>
        <v>3T-22</v>
      </c>
      <c r="J113" s="32" t="str">
        <f>CONCATENATE("4T-",RIGHT(YEAR(INDEX(Base_Trimestrielle!$FI$74:$GJ$276,MAX(Base_Trimestrielle!$GJ$74:$GJ$276),1)),2))</f>
        <v>4T-22</v>
      </c>
    </row>
    <row r="114" spans="1:10" ht="11.1" customHeight="1">
      <c r="A114" s="1648" t="s">
        <v>707</v>
      </c>
      <c r="B114" s="1651"/>
      <c r="C114" s="1123">
        <f>IF(VLOOKUP(DATE(YEAR(INDEX(Base_Trimestrielle!$FI$74:$GJ$276,MAX(Base_Trimestrielle!$GJ$74:$GJ$276),1))-1,3,1),Base_Trimestrielle!$FI$74:$GJ$276,17,0)&lt;&gt;"",VLOOKUP(DATE(YEAR(INDEX(Base_Trimestrielle!$FI$74:$GJ$276,MAX(Base_Trimestrielle!$GJ$74:$GJ$276),1))-1,3,1),Base_Trimestrielle!$FI$74:$GJ$276,17,0),"")</f>
        <v>20</v>
      </c>
      <c r="D114" s="1123">
        <f>IF(VLOOKUP(DATE(YEAR(INDEX(Base_Trimestrielle!$FI$74:$GJ$276,MAX(Base_Trimestrielle!$GJ$74:$GJ$276),1))-1,6,1),Base_Trimestrielle!$FI$74:$GJ$276,17,0)&lt;&gt;"",VLOOKUP(DATE(YEAR(INDEX(Base_Trimestrielle!$FI$74:$GJ$276,MAX(Base_Trimestrielle!$GJ$74:$GJ$276),1))-1,6,1),Base_Trimestrielle!$FI$74:$GJ$276,17,0),"")</f>
        <v>1</v>
      </c>
      <c r="E114" s="1124">
        <f>IF(VLOOKUP(DATE(YEAR(INDEX(Base_Trimestrielle!$FI$74:$GJ$276,MAX(Base_Trimestrielle!$GJ$74:$GJ$276),1))-1,9,1),Base_Trimestrielle!$FI$74:$GJ$276,17,0)&lt;&gt;"",VLOOKUP(DATE(YEAR(INDEX(Base_Trimestrielle!$FI$74:$GJ$276,MAX(Base_Trimestrielle!$GJ$74:$GJ$276),1))-1,9,1),Base_Trimestrielle!$FI$74:$GJ$276,17,0),"")</f>
        <v>0</v>
      </c>
      <c r="F114" s="1123">
        <f>IF(VLOOKUP(DATE(YEAR(INDEX(Base_Trimestrielle!$FI$74:$GJ$276,MAX(Base_Trimestrielle!$GJ$74:$GJ$276),1))-1,12,1),Base_Trimestrielle!$FI$74:$GJ$276,17,0)&lt;&gt;"",VLOOKUP(DATE(YEAR(INDEX(Base_Trimestrielle!$FI$74:$GJ$276,MAX(Base_Trimestrielle!$GJ$74:$GJ$276),1))-1,12,1),Base_Trimestrielle!$FI$74:$GJ$276,17,0),"")</f>
        <v>4</v>
      </c>
      <c r="G114" s="1123">
        <f>IF(VLOOKUP(DATE(YEAR(INDEX(Base_Trimestrielle!$FI$74:$GJ$276,MAX(Base_Trimestrielle!$GJ$74:$GJ$276),1)),3,1),Base_Trimestrielle!$FI$74:$GJ$276,17,0)&lt;&gt;"",VLOOKUP(DATE(YEAR(INDEX(Base_Trimestrielle!$FI$74:$GJ$276,MAX(Base_Trimestrielle!$GJ$74:$GJ$276),1)),3,1),Base_Trimestrielle!$FI$74:$GJ$276,17,0),"")</f>
        <v>6</v>
      </c>
      <c r="H114" s="1123">
        <f>IF(VLOOKUP(DATE(YEAR(INDEX(Base_Trimestrielle!$FI$74:$GJ$276,MAX(Base_Trimestrielle!$GJ$74:$GJ$276),1)),6,1),Base_Trimestrielle!$FI$74:$GJ$276,17,0)&lt;&gt;"",VLOOKUP(DATE(YEAR(INDEX(Base_Trimestrielle!$FI$74:$GJ$276,MAX(Base_Trimestrielle!$GJ$74:$GJ$276),1)),6,1),Base_Trimestrielle!$FI$74:$GJ$276,17,0),"")</f>
        <v>0</v>
      </c>
      <c r="I114" s="1123">
        <f>IF(VLOOKUP(DATE(YEAR(INDEX(Base_Trimestrielle!$FI$74:$GJ$276,MAX(Base_Trimestrielle!$GJ$74:$GJ$276),1)),9,1),Base_Trimestrielle!$FI$74:$GJ$276,17,0)&lt;&gt;"",VLOOKUP(DATE(YEAR(INDEX(Base_Trimestrielle!$FI$74:$GJ$276,MAX(Base_Trimestrielle!$GJ$74:$GJ$276),1)),9,1),Base_Trimestrielle!$FI$74:$GJ$276,17,0),"")</f>
        <v>4</v>
      </c>
      <c r="J114" s="1123" t="str">
        <f>IF(VLOOKUP(DATE(YEAR(INDEX(Base_Trimestrielle!$FI$74:$GJ$276,MAX(Base_Trimestrielle!$GJ$74:$GJ$276),1)),12,1),Base_Trimestrielle!$FI$74:$GJ$276,17,0)&lt;&gt;"",VLOOKUP(DATE(YEAR(INDEX(Base_Trimestrielle!$FI$74:$GJ$276,MAX(Base_Trimestrielle!$GJ$74:$GJ$276),1)),12,1),Base_Trimestrielle!$FI$74:$GJ$276,17,0),"")</f>
        <v/>
      </c>
    </row>
    <row r="115" spans="1:10" ht="11.1" customHeight="1">
      <c r="A115" s="1654" t="s">
        <v>801</v>
      </c>
      <c r="B115" s="1656"/>
      <c r="C115" s="1126">
        <f>IF(VLOOKUP(DATE(YEAR(INDEX(Base_Trimestrielle!$FI$74:$GJ$276,MAX(Base_Trimestrielle!$GJ$74:$GJ$276),1))-1,3,1),Base_Trimestrielle!$FI$74:$GJ$276,18,0)&lt;&gt;"",VLOOKUP(DATE(YEAR(INDEX(Base_Trimestrielle!$FI$74:$GJ$276,MAX(Base_Trimestrielle!$GJ$74:$GJ$276),1))-1,3,1),Base_Trimestrielle!$FI$74:$GJ$276,18,0),"")</f>
        <v>110</v>
      </c>
      <c r="D115" s="1126">
        <f>IF(VLOOKUP(DATE(YEAR(INDEX(Base_Trimestrielle!$FI$74:$GJ$276,MAX(Base_Trimestrielle!$GJ$74:$GJ$276),1))-1,6,1),Base_Trimestrielle!$FI$74:$GJ$276,18,0)&lt;&gt;"",VLOOKUP(DATE(YEAR(INDEX(Base_Trimestrielle!$FI$74:$GJ$276,MAX(Base_Trimestrielle!$GJ$74:$GJ$276),1))-1,6,1),Base_Trimestrielle!$FI$74:$GJ$276,18,0),"")</f>
        <v>55</v>
      </c>
      <c r="E115" s="1127">
        <f>IF(VLOOKUP(DATE(YEAR(INDEX(Base_Trimestrielle!$FI$74:$GJ$276,MAX(Base_Trimestrielle!$GJ$74:$GJ$276),1))-1,9,1),Base_Trimestrielle!$FI$74:$GJ$276,18,0)&lt;&gt;"",VLOOKUP(DATE(YEAR(INDEX(Base_Trimestrielle!$FI$74:$GJ$276,MAX(Base_Trimestrielle!$GJ$74:$GJ$276),1))-1,9,1),Base_Trimestrielle!$FI$74:$GJ$276,18,0),"")</f>
        <v>77</v>
      </c>
      <c r="F115" s="1126">
        <f>IF(VLOOKUP(DATE(YEAR(INDEX(Base_Trimestrielle!$FI$74:$GJ$276,MAX(Base_Trimestrielle!$GJ$74:$GJ$276),1))-1,12,1),Base_Trimestrielle!$FI$74:$GJ$276,18,0)&lt;&gt;"",VLOOKUP(DATE(YEAR(INDEX(Base_Trimestrielle!$FI$74:$GJ$276,MAX(Base_Trimestrielle!$GJ$74:$GJ$276),1))-1,12,1),Base_Trimestrielle!$FI$74:$GJ$276,18,0),"")</f>
        <v>110</v>
      </c>
      <c r="G115" s="1126">
        <f>IF(VLOOKUP(DATE(YEAR(INDEX(Base_Trimestrielle!$FI$74:$GJ$276,MAX(Base_Trimestrielle!$GJ$74:$GJ$276),1)),3,1),Base_Trimestrielle!$FI$74:$GJ$276,18,0)&lt;&gt;"",VLOOKUP(DATE(YEAR(INDEX(Base_Trimestrielle!$FI$74:$GJ$276,MAX(Base_Trimestrielle!$GJ$74:$GJ$276),1)),3,1),Base_Trimestrielle!$FI$74:$GJ$276,18,0),"")</f>
        <v>121</v>
      </c>
      <c r="H115" s="1126">
        <f>IF(VLOOKUP(DATE(YEAR(INDEX(Base_Trimestrielle!$FI$74:$GJ$276,MAX(Base_Trimestrielle!$GJ$74:$GJ$276),1)),6,1),Base_Trimestrielle!$FI$74:$GJ$276,18,0)&lt;&gt;"",VLOOKUP(DATE(YEAR(INDEX(Base_Trimestrielle!$FI$74:$GJ$276,MAX(Base_Trimestrielle!$GJ$74:$GJ$276),1)),6,1),Base_Trimestrielle!$FI$74:$GJ$276,18,0),"")</f>
        <v>152.97857142857143</v>
      </c>
      <c r="I115" s="1126">
        <f>IF(VLOOKUP(DATE(YEAR(INDEX(Base_Trimestrielle!$FI$74:$GJ$276,MAX(Base_Trimestrielle!$GJ$74:$GJ$276),1)),9,1),Base_Trimestrielle!$FI$74:$GJ$276,18,0)&lt;&gt;"",VLOOKUP(DATE(YEAR(INDEX(Base_Trimestrielle!$FI$74:$GJ$276,MAX(Base_Trimestrielle!$GJ$74:$GJ$276),1)),9,1),Base_Trimestrielle!$FI$74:$GJ$276,18,0),"")</f>
        <v>128</v>
      </c>
      <c r="J115" s="1126" t="str">
        <f>IF(VLOOKUP(DATE(YEAR(INDEX(Base_Trimestrielle!$FI$74:$GJ$276,MAX(Base_Trimestrielle!$GJ$74:$GJ$276),1)),12,1),Base_Trimestrielle!$FI$74:$GJ$276,18,0)&lt;&gt;"",VLOOKUP(DATE(YEAR(INDEX(Base_Trimestrielle!$FI$74:$GJ$276,MAX(Base_Trimestrielle!$GJ$74:$GJ$276),1)),12,1),Base_Trimestrielle!$FI$74:$GJ$276,18,0),"")</f>
        <v/>
      </c>
    </row>
    <row r="116" spans="1:10" ht="11.1" customHeight="1">
      <c r="A116" s="1650" t="s">
        <v>709</v>
      </c>
      <c r="B116" s="1651"/>
      <c r="C116" s="1123">
        <f>IF(VLOOKUP(DATE(YEAR(INDEX(Base_Trimestrielle!$FI$74:$GJ$276,MAX(Base_Trimestrielle!$GJ$74:$GJ$276),1))-1,3,1),Base_Trimestrielle!$FI$74:$GJ$276,19,0)&lt;&gt;"",VLOOKUP(DATE(YEAR(INDEX(Base_Trimestrielle!$FI$74:$GJ$276,MAX(Base_Trimestrielle!$GJ$74:$GJ$276),1))-1,3,1),Base_Trimestrielle!$FI$74:$GJ$276,19,0),"")</f>
        <v>239</v>
      </c>
      <c r="D116" s="1123">
        <f>IF(VLOOKUP(DATE(YEAR(INDEX(Base_Trimestrielle!$FI$74:$GJ$276,MAX(Base_Trimestrielle!$GJ$74:$GJ$276),1))-1,6,1),Base_Trimestrielle!$FI$74:$GJ$276,19,0)&lt;&gt;"",VLOOKUP(DATE(YEAR(INDEX(Base_Trimestrielle!$FI$74:$GJ$276,MAX(Base_Trimestrielle!$GJ$74:$GJ$276),1))-1,6,1),Base_Trimestrielle!$FI$74:$GJ$276,19,0),"")</f>
        <v>198</v>
      </c>
      <c r="E116" s="1124">
        <f>IF(VLOOKUP(DATE(YEAR(INDEX(Base_Trimestrielle!$FI$74:$GJ$276,MAX(Base_Trimestrielle!$GJ$74:$GJ$276),1))-1,9,1),Base_Trimestrielle!$FI$74:$GJ$276,19,0)&lt;&gt;"",VLOOKUP(DATE(YEAR(INDEX(Base_Trimestrielle!$FI$74:$GJ$276,MAX(Base_Trimestrielle!$GJ$74:$GJ$276),1))-1,9,1),Base_Trimestrielle!$FI$74:$GJ$276,19,0),"")</f>
        <v>200</v>
      </c>
      <c r="F116" s="1123">
        <f>IF(VLOOKUP(DATE(YEAR(INDEX(Base_Trimestrielle!$FI$74:$GJ$276,MAX(Base_Trimestrielle!$GJ$74:$GJ$276),1))-1,12,1),Base_Trimestrielle!$FI$74:$GJ$276,19,0)&lt;&gt;"",VLOOKUP(DATE(YEAR(INDEX(Base_Trimestrielle!$FI$74:$GJ$276,MAX(Base_Trimestrielle!$GJ$74:$GJ$276),1))-1,12,1),Base_Trimestrielle!$FI$74:$GJ$276,19,0),"")</f>
        <v>277</v>
      </c>
      <c r="G116" s="1123">
        <f>IF(VLOOKUP(DATE(YEAR(INDEX(Base_Trimestrielle!$FI$74:$GJ$276,MAX(Base_Trimestrielle!$GJ$74:$GJ$276),1)),3,1),Base_Trimestrielle!$FI$74:$GJ$276,19,0)&lt;&gt;"",VLOOKUP(DATE(YEAR(INDEX(Base_Trimestrielle!$FI$74:$GJ$276,MAX(Base_Trimestrielle!$GJ$74:$GJ$276),1)),3,1),Base_Trimestrielle!$FI$74:$GJ$276,19,0),"")</f>
        <v>268</v>
      </c>
      <c r="H116" s="1123">
        <f>IF(VLOOKUP(DATE(YEAR(INDEX(Base_Trimestrielle!$FI$74:$GJ$276,MAX(Base_Trimestrielle!$GJ$74:$GJ$276),1)),6,1),Base_Trimestrielle!$FI$74:$GJ$276,19,0)&lt;&gt;"",VLOOKUP(DATE(YEAR(INDEX(Base_Trimestrielle!$FI$74:$GJ$276,MAX(Base_Trimestrielle!$GJ$74:$GJ$276),1)),6,1),Base_Trimestrielle!$FI$74:$GJ$276,19,0),"")</f>
        <v>315.23620938628164</v>
      </c>
      <c r="I116" s="1123">
        <f>IF(VLOOKUP(DATE(YEAR(INDEX(Base_Trimestrielle!$FI$74:$GJ$276,MAX(Base_Trimestrielle!$GJ$74:$GJ$276),1)),9,1),Base_Trimestrielle!$FI$74:$GJ$276,19,0)&lt;&gt;"",VLOOKUP(DATE(YEAR(INDEX(Base_Trimestrielle!$FI$74:$GJ$276,MAX(Base_Trimestrielle!$GJ$74:$GJ$276),1)),9,1),Base_Trimestrielle!$FI$74:$GJ$276,19,0),"")</f>
        <v>285</v>
      </c>
      <c r="J116" s="1123" t="str">
        <f>IF(VLOOKUP(DATE(YEAR(INDEX(Base_Trimestrielle!$FI$74:$GJ$276,MAX(Base_Trimestrielle!$GJ$74:$GJ$276),1)),12,1),Base_Trimestrielle!$FI$74:$GJ$276,19,0)&lt;&gt;"",VLOOKUP(DATE(YEAR(INDEX(Base_Trimestrielle!$FI$74:$GJ$276,MAX(Base_Trimestrielle!$GJ$74:$GJ$276),1)),12,1),Base_Trimestrielle!$FI$74:$GJ$276,19,0),"")</f>
        <v/>
      </c>
    </row>
    <row r="117" spans="1:10" ht="11.1" customHeight="1">
      <c r="A117" s="1654" t="s">
        <v>710</v>
      </c>
      <c r="B117" s="1656"/>
      <c r="C117" s="1126">
        <f>IF(VLOOKUP(DATE(YEAR(INDEX(Base_Trimestrielle!$FI$74:$GJ$276,MAX(Base_Trimestrielle!$GJ$74:$GJ$276),1))-1,3,1),Base_Trimestrielle!$FI$74:$GJ$276,20,0)&lt;&gt;"",VLOOKUP(DATE(YEAR(INDEX(Base_Trimestrielle!$FI$74:$GJ$276,MAX(Base_Trimestrielle!$GJ$74:$GJ$276),1))-1,3,1),Base_Trimestrielle!$FI$74:$GJ$276,20,0),"")</f>
        <v>114</v>
      </c>
      <c r="D117" s="1126">
        <f>IF(VLOOKUP(DATE(YEAR(INDEX(Base_Trimestrielle!$FI$74:$GJ$276,MAX(Base_Trimestrielle!$GJ$74:$GJ$276),1))-1,6,1),Base_Trimestrielle!$FI$74:$GJ$276,20,0)&lt;&gt;"",VLOOKUP(DATE(YEAR(INDEX(Base_Trimestrielle!$FI$74:$GJ$276,MAX(Base_Trimestrielle!$GJ$74:$GJ$276),1))-1,6,1),Base_Trimestrielle!$FI$74:$GJ$276,20,0),"")</f>
        <v>60</v>
      </c>
      <c r="E117" s="1127">
        <f>IF(VLOOKUP(DATE(YEAR(INDEX(Base_Trimestrielle!$FI$74:$GJ$276,MAX(Base_Trimestrielle!$GJ$74:$GJ$276),1))-1,9,1),Base_Trimestrielle!$FI$74:$GJ$276,20,0)&lt;&gt;"",VLOOKUP(DATE(YEAR(INDEX(Base_Trimestrielle!$FI$74:$GJ$276,MAX(Base_Trimestrielle!$GJ$74:$GJ$276),1))-1,9,1),Base_Trimestrielle!$FI$74:$GJ$276,20,0),"")</f>
        <v>76</v>
      </c>
      <c r="F117" s="1126">
        <f>IF(VLOOKUP(DATE(YEAR(INDEX(Base_Trimestrielle!$FI$74:$GJ$276,MAX(Base_Trimestrielle!$GJ$74:$GJ$276),1))-1,12,1),Base_Trimestrielle!$FI$74:$GJ$276,20,0)&lt;&gt;"",VLOOKUP(DATE(YEAR(INDEX(Base_Trimestrielle!$FI$74:$GJ$276,MAX(Base_Trimestrielle!$GJ$74:$GJ$276),1))-1,12,1),Base_Trimestrielle!$FI$74:$GJ$276,20,0),"")</f>
        <v>81</v>
      </c>
      <c r="G117" s="1126">
        <f>IF(VLOOKUP(DATE(YEAR(INDEX(Base_Trimestrielle!$FI$74:$GJ$276,MAX(Base_Trimestrielle!$GJ$74:$GJ$276),1)),3,1),Base_Trimestrielle!$FI$74:$GJ$276,20,0)&lt;&gt;"",VLOOKUP(DATE(YEAR(INDEX(Base_Trimestrielle!$FI$74:$GJ$276,MAX(Base_Trimestrielle!$GJ$74:$GJ$276),1)),3,1),Base_Trimestrielle!$FI$74:$GJ$276,20,0),"")</f>
        <v>162</v>
      </c>
      <c r="H117" s="1126">
        <f>IF(VLOOKUP(DATE(YEAR(INDEX(Base_Trimestrielle!$FI$74:$GJ$276,MAX(Base_Trimestrielle!$GJ$74:$GJ$276),1)),6,1),Base_Trimestrielle!$FI$74:$GJ$276,20,0)&lt;&gt;"",VLOOKUP(DATE(YEAR(INDEX(Base_Trimestrielle!$FI$74:$GJ$276,MAX(Base_Trimestrielle!$GJ$74:$GJ$276),1)),6,1),Base_Trimestrielle!$FI$74:$GJ$276,20,0),"")</f>
        <v>248.32894736842107</v>
      </c>
      <c r="I117" s="1126">
        <f>IF(VLOOKUP(DATE(YEAR(INDEX(Base_Trimestrielle!$FI$74:$GJ$276,MAX(Base_Trimestrielle!$GJ$74:$GJ$276),1)),9,1),Base_Trimestrielle!$FI$74:$GJ$276,20,0)&lt;&gt;"",VLOOKUP(DATE(YEAR(INDEX(Base_Trimestrielle!$FI$74:$GJ$276,MAX(Base_Trimestrielle!$GJ$74:$GJ$276),1)),9,1),Base_Trimestrielle!$FI$74:$GJ$276,20,0),"")</f>
        <v>80</v>
      </c>
      <c r="J117" s="1126" t="str">
        <f>IF(VLOOKUP(DATE(YEAR(INDEX(Base_Trimestrielle!$FI$74:$GJ$276,MAX(Base_Trimestrielle!$GJ$74:$GJ$276),1)),12,1),Base_Trimestrielle!$FI$74:$GJ$276,20,0)&lt;&gt;"",VLOOKUP(DATE(YEAR(INDEX(Base_Trimestrielle!$FI$74:$GJ$276,MAX(Base_Trimestrielle!$GJ$74:$GJ$276),1)),12,1),Base_Trimestrielle!$FI$74:$GJ$276,20,0),"")</f>
        <v/>
      </c>
    </row>
    <row r="118" spans="1:10" ht="11.1" customHeight="1">
      <c r="A118" s="1650" t="s">
        <v>711</v>
      </c>
      <c r="B118" s="1651"/>
      <c r="C118" s="1123">
        <f>IF(VLOOKUP(DATE(YEAR(INDEX(Base_Trimestrielle!$FI$74:$GJ$276,MAX(Base_Trimestrielle!$GJ$74:$GJ$276),1))-1,3,1),Base_Trimestrielle!$FI$74:$GJ$276,21,0)&lt;&gt;"",VLOOKUP(DATE(YEAR(INDEX(Base_Trimestrielle!$FI$74:$GJ$276,MAX(Base_Trimestrielle!$GJ$74:$GJ$276),1))-1,3,1),Base_Trimestrielle!$FI$74:$GJ$276,21,0),"")</f>
        <v>1018</v>
      </c>
      <c r="D118" s="1123">
        <f>IF(VLOOKUP(DATE(YEAR(INDEX(Base_Trimestrielle!$FI$74:$GJ$276,MAX(Base_Trimestrielle!$GJ$74:$GJ$276),1))-1,6,1),Base_Trimestrielle!$FI$74:$GJ$276,21,0)&lt;&gt;"",VLOOKUP(DATE(YEAR(INDEX(Base_Trimestrielle!$FI$74:$GJ$276,MAX(Base_Trimestrielle!$GJ$74:$GJ$276),1))-1,6,1),Base_Trimestrielle!$FI$74:$GJ$276,21,0),"")</f>
        <v>450</v>
      </c>
      <c r="E118" s="1124">
        <f>IF(VLOOKUP(DATE(YEAR(INDEX(Base_Trimestrielle!$FI$74:$GJ$276,MAX(Base_Trimestrielle!$GJ$74:$GJ$276),1))-1,9,1),Base_Trimestrielle!$FI$74:$GJ$276,21,0)&lt;&gt;"",VLOOKUP(DATE(YEAR(INDEX(Base_Trimestrielle!$FI$74:$GJ$276,MAX(Base_Trimestrielle!$GJ$74:$GJ$276),1))-1,9,1),Base_Trimestrielle!$FI$74:$GJ$276,21,0),"")</f>
        <v>515</v>
      </c>
      <c r="F118" s="1123">
        <f>IF(VLOOKUP(DATE(YEAR(INDEX(Base_Trimestrielle!$FI$74:$GJ$276,MAX(Base_Trimestrielle!$GJ$74:$GJ$276),1))-1,12,1),Base_Trimestrielle!$FI$74:$GJ$276,21,0)&lt;&gt;"",VLOOKUP(DATE(YEAR(INDEX(Base_Trimestrielle!$FI$74:$GJ$276,MAX(Base_Trimestrielle!$GJ$74:$GJ$276),1))-1,12,1),Base_Trimestrielle!$FI$74:$GJ$276,21,0),"")</f>
        <v>573</v>
      </c>
      <c r="G118" s="1123">
        <f>IF(VLOOKUP(DATE(YEAR(INDEX(Base_Trimestrielle!$FI$74:$GJ$276,MAX(Base_Trimestrielle!$GJ$74:$GJ$276),1)),3,1),Base_Trimestrielle!$FI$74:$GJ$276,21,0)&lt;&gt;"",VLOOKUP(DATE(YEAR(INDEX(Base_Trimestrielle!$FI$74:$GJ$276,MAX(Base_Trimestrielle!$GJ$74:$GJ$276),1)),3,1),Base_Trimestrielle!$FI$74:$GJ$276,21,0),"")</f>
        <v>817</v>
      </c>
      <c r="H118" s="1123">
        <f>IF(VLOOKUP(DATE(YEAR(INDEX(Base_Trimestrielle!$FI$74:$GJ$276,MAX(Base_Trimestrielle!$GJ$74:$GJ$276),1)),6,1),Base_Trimestrielle!$FI$74:$GJ$276,21,0)&lt;&gt;"",VLOOKUP(DATE(YEAR(INDEX(Base_Trimestrielle!$FI$74:$GJ$276,MAX(Base_Trimestrielle!$GJ$74:$GJ$276),1)),6,1),Base_Trimestrielle!$FI$74:$GJ$276,21,0),"")</f>
        <v>1036.9569596231722</v>
      </c>
      <c r="I118" s="1123">
        <f>IF(VLOOKUP(DATE(YEAR(INDEX(Base_Trimestrielle!$FI$74:$GJ$276,MAX(Base_Trimestrielle!$GJ$74:$GJ$276),1)),9,1),Base_Trimestrielle!$FI$74:$GJ$276,21,0)&lt;&gt;"",VLOOKUP(DATE(YEAR(INDEX(Base_Trimestrielle!$FI$74:$GJ$276,MAX(Base_Trimestrielle!$GJ$74:$GJ$276),1)),9,1),Base_Trimestrielle!$FI$74:$GJ$276,21,0),"")</f>
        <v>629</v>
      </c>
      <c r="J118" s="1123" t="str">
        <f>IF(VLOOKUP(DATE(YEAR(INDEX(Base_Trimestrielle!$FI$74:$GJ$276,MAX(Base_Trimestrielle!$GJ$74:$GJ$276),1)),12,1),Base_Trimestrielle!$FI$74:$GJ$276,21,0)&lt;&gt;"",VLOOKUP(DATE(YEAR(INDEX(Base_Trimestrielle!$FI$74:$GJ$276,MAX(Base_Trimestrielle!$GJ$74:$GJ$276),1)),12,1),Base_Trimestrielle!$FI$74:$GJ$276,21,0),"")</f>
        <v/>
      </c>
    </row>
    <row r="119" spans="1:10" ht="11.1" customHeight="1">
      <c r="A119" s="1654" t="s">
        <v>712</v>
      </c>
      <c r="B119" s="1656"/>
      <c r="C119" s="1126">
        <f>IF(VLOOKUP(DATE(YEAR(INDEX(Base_Trimestrielle!$FI$74:$GJ$276,MAX(Base_Trimestrielle!$GJ$74:$GJ$276),1))-1,3,1),Base_Trimestrielle!$FI$74:$GJ$276,22,0)&lt;&gt;"",VLOOKUP(DATE(YEAR(INDEX(Base_Trimestrielle!$FI$74:$GJ$276,MAX(Base_Trimestrielle!$GJ$74:$GJ$276),1))-1,3,1),Base_Trimestrielle!$FI$74:$GJ$276,22,0),"")</f>
        <v>334</v>
      </c>
      <c r="D119" s="1126">
        <f>IF(VLOOKUP(DATE(YEAR(INDEX(Base_Trimestrielle!$FI$74:$GJ$276,MAX(Base_Trimestrielle!$GJ$74:$GJ$276),1))-1,6,1),Base_Trimestrielle!$FI$74:$GJ$276,22,0)&lt;&gt;"",VLOOKUP(DATE(YEAR(INDEX(Base_Trimestrielle!$FI$74:$GJ$276,MAX(Base_Trimestrielle!$GJ$74:$GJ$276),1))-1,6,1),Base_Trimestrielle!$FI$74:$GJ$276,22,0),"")</f>
        <v>179</v>
      </c>
      <c r="E119" s="1127">
        <f>IF(VLOOKUP(DATE(YEAR(INDEX(Base_Trimestrielle!$FI$74:$GJ$276,MAX(Base_Trimestrielle!$GJ$74:$GJ$276),1))-1,9,1),Base_Trimestrielle!$FI$74:$GJ$276,22,0)&lt;&gt;"",VLOOKUP(DATE(YEAR(INDEX(Base_Trimestrielle!$FI$74:$GJ$276,MAX(Base_Trimestrielle!$GJ$74:$GJ$276),1))-1,9,1),Base_Trimestrielle!$FI$74:$GJ$276,22,0),"")</f>
        <v>92</v>
      </c>
      <c r="F119" s="1126">
        <f>IF(VLOOKUP(DATE(YEAR(INDEX(Base_Trimestrielle!$FI$74:$GJ$276,MAX(Base_Trimestrielle!$GJ$74:$GJ$276),1))-1,12,1),Base_Trimestrielle!$FI$74:$GJ$276,22,0)&lt;&gt;"",VLOOKUP(DATE(YEAR(INDEX(Base_Trimestrielle!$FI$74:$GJ$276,MAX(Base_Trimestrielle!$GJ$74:$GJ$276),1))-1,12,1),Base_Trimestrielle!$FI$74:$GJ$276,22,0),"")</f>
        <v>123</v>
      </c>
      <c r="G119" s="1126">
        <f>IF(VLOOKUP(DATE(YEAR(INDEX(Base_Trimestrielle!$FI$74:$GJ$276,MAX(Base_Trimestrielle!$GJ$74:$GJ$276),1)),3,1),Base_Trimestrielle!$FI$74:$GJ$276,22,0)&lt;&gt;"",VLOOKUP(DATE(YEAR(INDEX(Base_Trimestrielle!$FI$74:$GJ$276,MAX(Base_Trimestrielle!$GJ$74:$GJ$276),1)),3,1),Base_Trimestrielle!$FI$74:$GJ$276,22,0),"")</f>
        <v>174</v>
      </c>
      <c r="H119" s="1126">
        <f>IF(VLOOKUP(DATE(YEAR(INDEX(Base_Trimestrielle!$FI$74:$GJ$276,MAX(Base_Trimestrielle!$GJ$74:$GJ$276),1)),6,1),Base_Trimestrielle!$FI$74:$GJ$276,22,0)&lt;&gt;"",VLOOKUP(DATE(YEAR(INDEX(Base_Trimestrielle!$FI$74:$GJ$276,MAX(Base_Trimestrielle!$GJ$74:$GJ$276),1)),6,1),Base_Trimestrielle!$FI$74:$GJ$276,22,0),"")</f>
        <v>239.38838812301165</v>
      </c>
      <c r="I119" s="1126">
        <f>IF(VLOOKUP(DATE(YEAR(INDEX(Base_Trimestrielle!$FI$74:$GJ$276,MAX(Base_Trimestrielle!$GJ$74:$GJ$276),1)),9,1),Base_Trimestrielle!$FI$74:$GJ$276,22,0)&lt;&gt;"",VLOOKUP(DATE(YEAR(INDEX(Base_Trimestrielle!$FI$74:$GJ$276,MAX(Base_Trimestrielle!$GJ$74:$GJ$276),1)),9,1),Base_Trimestrielle!$FI$74:$GJ$276,22,0),"")</f>
        <v>246</v>
      </c>
      <c r="J119" s="1126" t="str">
        <f>IF(VLOOKUP(DATE(YEAR(INDEX(Base_Trimestrielle!$FI$74:$GJ$276,MAX(Base_Trimestrielle!$GJ$74:$GJ$276),1)),12,1),Base_Trimestrielle!$FI$74:$GJ$276,22,0)&lt;&gt;"",VLOOKUP(DATE(YEAR(INDEX(Base_Trimestrielle!$FI$74:$GJ$276,MAX(Base_Trimestrielle!$GJ$74:$GJ$276),1)),12,1),Base_Trimestrielle!$FI$74:$GJ$276,22,0),"")</f>
        <v/>
      </c>
    </row>
    <row r="120" spans="1:10" ht="11.1" customHeight="1">
      <c r="A120" s="1650" t="s">
        <v>713</v>
      </c>
      <c r="B120" s="1651"/>
      <c r="C120" s="1123">
        <f>IF(VLOOKUP(DATE(YEAR(INDEX(Base_Trimestrielle!$FI$74:$GJ$276,MAX(Base_Trimestrielle!$GJ$74:$GJ$276),1))-1,3,1),Base_Trimestrielle!$FI$74:$GJ$276,23,0)&lt;&gt;"",VLOOKUP(DATE(YEAR(INDEX(Base_Trimestrielle!$FI$74:$GJ$276,MAX(Base_Trimestrielle!$GJ$74:$GJ$276),1))-1,3,1),Base_Trimestrielle!$FI$74:$GJ$276,23,0),"")</f>
        <v>1473</v>
      </c>
      <c r="D120" s="1123">
        <f>IF(VLOOKUP(DATE(YEAR(INDEX(Base_Trimestrielle!$FI$74:$GJ$276,MAX(Base_Trimestrielle!$GJ$74:$GJ$276),1))-1,6,1),Base_Trimestrielle!$FI$74:$GJ$276,23,0)&lt;&gt;"",VLOOKUP(DATE(YEAR(INDEX(Base_Trimestrielle!$FI$74:$GJ$276,MAX(Base_Trimestrielle!$GJ$74:$GJ$276),1))-1,6,1),Base_Trimestrielle!$FI$74:$GJ$276,23,0),"")</f>
        <v>791</v>
      </c>
      <c r="E120" s="1124">
        <f>IF(VLOOKUP(DATE(YEAR(INDEX(Base_Trimestrielle!$FI$74:$GJ$276,MAX(Base_Trimestrielle!$GJ$74:$GJ$276),1))-1,9,1),Base_Trimestrielle!$FI$74:$GJ$276,23,0)&lt;&gt;"",VLOOKUP(DATE(YEAR(INDEX(Base_Trimestrielle!$FI$74:$GJ$276,MAX(Base_Trimestrielle!$GJ$74:$GJ$276),1))-1,9,1),Base_Trimestrielle!$FI$74:$GJ$276,23,0),"")</f>
        <v>858</v>
      </c>
      <c r="F120" s="1123">
        <f>IF(VLOOKUP(DATE(YEAR(INDEX(Base_Trimestrielle!$FI$74:$GJ$276,MAX(Base_Trimestrielle!$GJ$74:$GJ$276),1))-1,12,1),Base_Trimestrielle!$FI$74:$GJ$276,23,0)&lt;&gt;"",VLOOKUP(DATE(YEAR(INDEX(Base_Trimestrielle!$FI$74:$GJ$276,MAX(Base_Trimestrielle!$GJ$74:$GJ$276),1))-1,12,1),Base_Trimestrielle!$FI$74:$GJ$276,23,0),"")</f>
        <v>1062</v>
      </c>
      <c r="G120" s="1123">
        <f>IF(VLOOKUP(DATE(YEAR(INDEX(Base_Trimestrielle!$FI$74:$GJ$276,MAX(Base_Trimestrielle!$GJ$74:$GJ$276),1)),3,1),Base_Trimestrielle!$FI$74:$GJ$276,23,0)&lt;&gt;"",VLOOKUP(DATE(YEAR(INDEX(Base_Trimestrielle!$FI$74:$GJ$276,MAX(Base_Trimestrielle!$GJ$74:$GJ$276),1)),3,1),Base_Trimestrielle!$FI$74:$GJ$276,23,0),"")</f>
        <v>1187</v>
      </c>
      <c r="H120" s="1123">
        <f>IF(VLOOKUP(DATE(YEAR(INDEX(Base_Trimestrielle!$FI$74:$GJ$276,MAX(Base_Trimestrielle!$GJ$74:$GJ$276),1)),6,1),Base_Trimestrielle!$FI$74:$GJ$276,23,0)&lt;&gt;"",VLOOKUP(DATE(YEAR(INDEX(Base_Trimestrielle!$FI$74:$GJ$276,MAX(Base_Trimestrielle!$GJ$74:$GJ$276),1)),6,1),Base_Trimestrielle!$FI$74:$GJ$276,23,0),"")</f>
        <v>1397.9682911250707</v>
      </c>
      <c r="I120" s="1123">
        <f>IF(VLOOKUP(DATE(YEAR(INDEX(Base_Trimestrielle!$FI$74:$GJ$276,MAX(Base_Trimestrielle!$GJ$74:$GJ$276),1)),9,1),Base_Trimestrielle!$FI$74:$GJ$276,23,0)&lt;&gt;"",VLOOKUP(DATE(YEAR(INDEX(Base_Trimestrielle!$FI$74:$GJ$276,MAX(Base_Trimestrielle!$GJ$74:$GJ$276),1)),9,1),Base_Trimestrielle!$FI$74:$GJ$276,23,0),"")</f>
        <v>727</v>
      </c>
      <c r="J120" s="1123" t="str">
        <f>IF(VLOOKUP(DATE(YEAR(INDEX(Base_Trimestrielle!$FI$74:$GJ$276,MAX(Base_Trimestrielle!$GJ$74:$GJ$276),1)),12,1),Base_Trimestrielle!$FI$74:$GJ$276,23,0)&lt;&gt;"",VLOOKUP(DATE(YEAR(INDEX(Base_Trimestrielle!$FI$74:$GJ$276,MAX(Base_Trimestrielle!$GJ$74:$GJ$276),1)),12,1),Base_Trimestrielle!$FI$74:$GJ$276,23,0),"")</f>
        <v/>
      </c>
    </row>
    <row r="121" spans="1:10" ht="11.1" customHeight="1">
      <c r="A121" s="1654" t="s">
        <v>714</v>
      </c>
      <c r="B121" s="1656"/>
      <c r="C121" s="1126">
        <f>IF(VLOOKUP(DATE(YEAR(INDEX(Base_Trimestrielle!$FI$74:$GJ$276,MAX(Base_Trimestrielle!$GJ$74:$GJ$276),1))-1,3,1),Base_Trimestrielle!$FI$74:$GJ$276,24,0)&lt;&gt;"",VLOOKUP(DATE(YEAR(INDEX(Base_Trimestrielle!$FI$74:$GJ$276,MAX(Base_Trimestrielle!$GJ$74:$GJ$276),1))-1,3,1),Base_Trimestrielle!$FI$74:$GJ$276,24,0),"")</f>
        <v>166</v>
      </c>
      <c r="D121" s="1126">
        <f>IF(VLOOKUP(DATE(YEAR(INDEX(Base_Trimestrielle!$FI$74:$GJ$276,MAX(Base_Trimestrielle!$GJ$74:$GJ$276),1))-1,6,1),Base_Trimestrielle!$FI$74:$GJ$276,24,0)&lt;&gt;"",VLOOKUP(DATE(YEAR(INDEX(Base_Trimestrielle!$FI$74:$GJ$276,MAX(Base_Trimestrielle!$GJ$74:$GJ$276),1))-1,6,1),Base_Trimestrielle!$FI$74:$GJ$276,24,0),"")</f>
        <v>102</v>
      </c>
      <c r="E121" s="1127">
        <f>IF(VLOOKUP(DATE(YEAR(INDEX(Base_Trimestrielle!$FI$74:$GJ$276,MAX(Base_Trimestrielle!$GJ$74:$GJ$276),1))-1,9,1),Base_Trimestrielle!$FI$74:$GJ$276,24,0)&lt;&gt;"",VLOOKUP(DATE(YEAR(INDEX(Base_Trimestrielle!$FI$74:$GJ$276,MAX(Base_Trimestrielle!$GJ$74:$GJ$276),1))-1,9,1),Base_Trimestrielle!$FI$74:$GJ$276,24,0),"")</f>
        <v>100</v>
      </c>
      <c r="F121" s="1126">
        <f>IF(VLOOKUP(DATE(YEAR(INDEX(Base_Trimestrielle!$FI$74:$GJ$276,MAX(Base_Trimestrielle!$GJ$74:$GJ$276),1))-1,12,1),Base_Trimestrielle!$FI$74:$GJ$276,24,0)&lt;&gt;"",VLOOKUP(DATE(YEAR(INDEX(Base_Trimestrielle!$FI$74:$GJ$276,MAX(Base_Trimestrielle!$GJ$74:$GJ$276),1))-1,12,1),Base_Trimestrielle!$FI$74:$GJ$276,24,0),"")</f>
        <v>109</v>
      </c>
      <c r="G121" s="1126">
        <f>IF(VLOOKUP(DATE(YEAR(INDEX(Base_Trimestrielle!$FI$74:$GJ$276,MAX(Base_Trimestrielle!$GJ$74:$GJ$276),1)),3,1),Base_Trimestrielle!$FI$74:$GJ$276,24,0)&lt;&gt;"",VLOOKUP(DATE(YEAR(INDEX(Base_Trimestrielle!$FI$74:$GJ$276,MAX(Base_Trimestrielle!$GJ$74:$GJ$276),1)),3,1),Base_Trimestrielle!$FI$74:$GJ$276,24,0),"")</f>
        <v>161</v>
      </c>
      <c r="H121" s="1126">
        <f>IF(VLOOKUP(DATE(YEAR(INDEX(Base_Trimestrielle!$FI$74:$GJ$276,MAX(Base_Trimestrielle!$GJ$74:$GJ$276),1)),6,1),Base_Trimestrielle!$FI$74:$GJ$276,24,0)&lt;&gt;"",VLOOKUP(DATE(YEAR(INDEX(Base_Trimestrielle!$FI$74:$GJ$276,MAX(Base_Trimestrielle!$GJ$74:$GJ$276),1)),6,1),Base_Trimestrielle!$FI$74:$GJ$276,24,0),"")</f>
        <v>206.64866972477066</v>
      </c>
      <c r="I121" s="1126">
        <f>IF(VLOOKUP(DATE(YEAR(INDEX(Base_Trimestrielle!$FI$74:$GJ$276,MAX(Base_Trimestrielle!$GJ$74:$GJ$276),1)),9,1),Base_Trimestrielle!$FI$74:$GJ$276,24,0)&lt;&gt;"",VLOOKUP(DATE(YEAR(INDEX(Base_Trimestrielle!$FI$74:$GJ$276,MAX(Base_Trimestrielle!$GJ$74:$GJ$276),1)),9,1),Base_Trimestrielle!$FI$74:$GJ$276,24,0),"")</f>
        <v>99</v>
      </c>
      <c r="J121" s="1126" t="str">
        <f>IF(VLOOKUP(DATE(YEAR(INDEX(Base_Trimestrielle!$FI$74:$GJ$276,MAX(Base_Trimestrielle!$GJ$74:$GJ$276),1)),12,1),Base_Trimestrielle!$FI$74:$GJ$276,24,0)&lt;&gt;"",VLOOKUP(DATE(YEAR(INDEX(Base_Trimestrielle!$FI$74:$GJ$276,MAX(Base_Trimestrielle!$GJ$74:$GJ$276),1)),12,1),Base_Trimestrielle!$FI$74:$GJ$276,24,0),"")</f>
        <v/>
      </c>
    </row>
    <row r="122" spans="1:10" ht="11.1" customHeight="1">
      <c r="A122" s="1650" t="s">
        <v>715</v>
      </c>
      <c r="B122" s="1651"/>
      <c r="C122" s="1123">
        <f>IF(VLOOKUP(DATE(YEAR(INDEX(Base_Trimestrielle!$FI$74:$GJ$276,MAX(Base_Trimestrielle!$GJ$74:$GJ$276),1))-1,3,1),Base_Trimestrielle!$FI$74:$GJ$276,25,0)&lt;&gt;"",VLOOKUP(DATE(YEAR(INDEX(Base_Trimestrielle!$FI$74:$GJ$276,MAX(Base_Trimestrielle!$GJ$74:$GJ$276),1))-1,3,1),Base_Trimestrielle!$FI$74:$GJ$276,25,0),"")</f>
        <v>7</v>
      </c>
      <c r="D122" s="1123">
        <f>IF(VLOOKUP(DATE(YEAR(INDEX(Base_Trimestrielle!$FI$74:$GJ$276,MAX(Base_Trimestrielle!$GJ$74:$GJ$276),1))-1,6,1),Base_Trimestrielle!$FI$74:$GJ$276,25,0)&lt;&gt;"",VLOOKUP(DATE(YEAR(INDEX(Base_Trimestrielle!$FI$74:$GJ$276,MAX(Base_Trimestrielle!$GJ$74:$GJ$276),1))-1,6,1),Base_Trimestrielle!$FI$74:$GJ$276,25,0),"")</f>
        <v>5</v>
      </c>
      <c r="E122" s="1124">
        <f>IF(VLOOKUP(DATE(YEAR(INDEX(Base_Trimestrielle!$FI$74:$GJ$276,MAX(Base_Trimestrielle!$GJ$74:$GJ$276),1))-1,9,1),Base_Trimestrielle!$FI$74:$GJ$276,25,0)&lt;&gt;"",VLOOKUP(DATE(YEAR(INDEX(Base_Trimestrielle!$FI$74:$GJ$276,MAX(Base_Trimestrielle!$GJ$74:$GJ$276),1))-1,9,1),Base_Trimestrielle!$FI$74:$GJ$276,25,0),"")</f>
        <v>23</v>
      </c>
      <c r="F122" s="1123">
        <f>IF(VLOOKUP(DATE(YEAR(INDEX(Base_Trimestrielle!$FI$74:$GJ$276,MAX(Base_Trimestrielle!$GJ$74:$GJ$276),1))-1,12,1),Base_Trimestrielle!$FI$74:$GJ$276,25,0)&lt;&gt;"",VLOOKUP(DATE(YEAR(INDEX(Base_Trimestrielle!$FI$74:$GJ$276,MAX(Base_Trimestrielle!$GJ$74:$GJ$276),1))-1,12,1),Base_Trimestrielle!$FI$74:$GJ$276,25,0),"")</f>
        <v>20</v>
      </c>
      <c r="G122" s="1123">
        <f>IF(VLOOKUP(DATE(YEAR(INDEX(Base_Trimestrielle!$FI$74:$GJ$276,MAX(Base_Trimestrielle!$GJ$74:$GJ$276),1)),3,1),Base_Trimestrielle!$FI$74:$GJ$276,25,0)&lt;&gt;"",VLOOKUP(DATE(YEAR(INDEX(Base_Trimestrielle!$FI$74:$GJ$276,MAX(Base_Trimestrielle!$GJ$74:$GJ$276),1)),3,1),Base_Trimestrielle!$FI$74:$GJ$276,25,0),"")</f>
        <v>16</v>
      </c>
      <c r="H122" s="1123">
        <f>IF(VLOOKUP(DATE(YEAR(INDEX(Base_Trimestrielle!$FI$74:$GJ$276,MAX(Base_Trimestrielle!$GJ$74:$GJ$276),1)),6,1),Base_Trimestrielle!$FI$74:$GJ$276,25,0)&lt;&gt;"",VLOOKUP(DATE(YEAR(INDEX(Base_Trimestrielle!$FI$74:$GJ$276,MAX(Base_Trimestrielle!$GJ$74:$GJ$276),1)),6,1),Base_Trimestrielle!$FI$74:$GJ$276,25,0),"")</f>
        <v>13.356521739130436</v>
      </c>
      <c r="I122" s="1123">
        <f>IF(VLOOKUP(DATE(YEAR(INDEX(Base_Trimestrielle!$FI$74:$GJ$276,MAX(Base_Trimestrielle!$GJ$74:$GJ$276),1)),9,1),Base_Trimestrielle!$FI$74:$GJ$276,25,0)&lt;&gt;"",VLOOKUP(DATE(YEAR(INDEX(Base_Trimestrielle!$FI$74:$GJ$276,MAX(Base_Trimestrielle!$GJ$74:$GJ$276),1)),9,1),Base_Trimestrielle!$FI$74:$GJ$276,25,0),"")</f>
        <v>10</v>
      </c>
      <c r="J122" s="1123" t="str">
        <f>IF(VLOOKUP(DATE(YEAR(INDEX(Base_Trimestrielle!$FI$74:$GJ$276,MAX(Base_Trimestrielle!$GJ$74:$GJ$276),1)),12,1),Base_Trimestrielle!$FI$74:$GJ$276,25,0)&lt;&gt;"",VLOOKUP(DATE(YEAR(INDEX(Base_Trimestrielle!$FI$74:$GJ$276,MAX(Base_Trimestrielle!$GJ$74:$GJ$276),1)),12,1),Base_Trimestrielle!$FI$74:$GJ$276,25,0),"")</f>
        <v/>
      </c>
    </row>
    <row r="123" spans="1:10" ht="11.1" customHeight="1">
      <c r="A123" s="1654" t="s">
        <v>716</v>
      </c>
      <c r="B123" s="1656"/>
      <c r="C123" s="1126">
        <f>IF(VLOOKUP(DATE(YEAR(INDEX(Base_Trimestrielle!$FI$74:$GJ$276,MAX(Base_Trimestrielle!$GJ$74:$GJ$276),1))-1,3,1),Base_Trimestrielle!$FI$74:$GJ$276,26,0)&lt;&gt;"",VLOOKUP(DATE(YEAR(INDEX(Base_Trimestrielle!$FI$74:$GJ$276,MAX(Base_Trimestrielle!$GJ$74:$GJ$276),1))-1,3,1),Base_Trimestrielle!$FI$74:$GJ$276,26,0),"")</f>
        <v>435</v>
      </c>
      <c r="D123" s="1126">
        <f>IF(VLOOKUP(DATE(YEAR(INDEX(Base_Trimestrielle!$FI$74:$GJ$276,MAX(Base_Trimestrielle!$GJ$74:$GJ$276),1))-1,6,1),Base_Trimestrielle!$FI$74:$GJ$276,26,0)&lt;&gt;"",VLOOKUP(DATE(YEAR(INDEX(Base_Trimestrielle!$FI$74:$GJ$276,MAX(Base_Trimestrielle!$GJ$74:$GJ$276),1))-1,6,1),Base_Trimestrielle!$FI$74:$GJ$276,26,0),"")</f>
        <v>462</v>
      </c>
      <c r="E123" s="1127">
        <f>IF(VLOOKUP(DATE(YEAR(INDEX(Base_Trimestrielle!$FI$74:$GJ$276,MAX(Base_Trimestrielle!$GJ$74:$GJ$276),1))-1,9,1),Base_Trimestrielle!$FI$74:$GJ$276,26,0)&lt;&gt;"",VLOOKUP(DATE(YEAR(INDEX(Base_Trimestrielle!$FI$74:$GJ$276,MAX(Base_Trimestrielle!$GJ$74:$GJ$276),1))-1,9,1),Base_Trimestrielle!$FI$74:$GJ$276,26,0),"")</f>
        <v>414</v>
      </c>
      <c r="F123" s="1126">
        <f>IF(VLOOKUP(DATE(YEAR(INDEX(Base_Trimestrielle!$FI$74:$GJ$276,MAX(Base_Trimestrielle!$GJ$74:$GJ$276),1))-1,12,1),Base_Trimestrielle!$FI$74:$GJ$276,26,0)&lt;&gt;"",VLOOKUP(DATE(YEAR(INDEX(Base_Trimestrielle!$FI$74:$GJ$276,MAX(Base_Trimestrielle!$GJ$74:$GJ$276),1))-1,12,1),Base_Trimestrielle!$FI$74:$GJ$276,26,0),"")</f>
        <v>439</v>
      </c>
      <c r="G123" s="1126">
        <f>IF(VLOOKUP(DATE(YEAR(INDEX(Base_Trimestrielle!$FI$74:$GJ$276,MAX(Base_Trimestrielle!$GJ$74:$GJ$276),1)),3,1),Base_Trimestrielle!$FI$74:$GJ$276,26,0)&lt;&gt;"",VLOOKUP(DATE(YEAR(INDEX(Base_Trimestrielle!$FI$74:$GJ$276,MAX(Base_Trimestrielle!$GJ$74:$GJ$276),1)),3,1),Base_Trimestrielle!$FI$74:$GJ$276,26,0),"")</f>
        <v>731</v>
      </c>
      <c r="H123" s="1126">
        <f>IF(VLOOKUP(DATE(YEAR(INDEX(Base_Trimestrielle!$FI$74:$GJ$276,MAX(Base_Trimestrielle!$GJ$74:$GJ$276),1)),6,1),Base_Trimestrielle!$FI$74:$GJ$276,26,0)&lt;&gt;"",VLOOKUP(DATE(YEAR(INDEX(Base_Trimestrielle!$FI$74:$GJ$276,MAX(Base_Trimestrielle!$GJ$74:$GJ$276),1)),6,1),Base_Trimestrielle!$FI$74:$GJ$276,26,0),"")</f>
        <v>996.18287335072023</v>
      </c>
      <c r="I123" s="1126">
        <f>IF(VLOOKUP(DATE(YEAR(INDEX(Base_Trimestrielle!$FI$74:$GJ$276,MAX(Base_Trimestrielle!$GJ$74:$GJ$276),1)),9,1),Base_Trimestrielle!$FI$74:$GJ$276,26,0)&lt;&gt;"",VLOOKUP(DATE(YEAR(INDEX(Base_Trimestrielle!$FI$74:$GJ$276,MAX(Base_Trimestrielle!$GJ$74:$GJ$276),1)),9,1),Base_Trimestrielle!$FI$74:$GJ$276,26,0),"")</f>
        <v>360</v>
      </c>
      <c r="J123" s="1126" t="str">
        <f>IF(VLOOKUP(DATE(YEAR(INDEX(Base_Trimestrielle!$FI$74:$GJ$276,MAX(Base_Trimestrielle!$GJ$74:$GJ$276),1)),12,1),Base_Trimestrielle!$FI$74:$GJ$276,26,0)&lt;&gt;"",VLOOKUP(DATE(YEAR(INDEX(Base_Trimestrielle!$FI$74:$GJ$276,MAX(Base_Trimestrielle!$GJ$74:$GJ$276),1)),12,1),Base_Trimestrielle!$FI$74:$GJ$276,26,0),"")</f>
        <v/>
      </c>
    </row>
    <row r="124" spans="1:10" ht="11.1" customHeight="1">
      <c r="A124" s="1650" t="s">
        <v>802</v>
      </c>
      <c r="B124" s="1651"/>
      <c r="C124" s="1123">
        <f>IF(VLOOKUP(DATE(YEAR(INDEX(Base_Trimestrielle!$FI$74:$GJ$276,MAX(Base_Trimestrielle!$GJ$74:$GJ$276),1))-1,3,1),Base_Trimestrielle!$FI$74:$GJ$276,27,0)&lt;&gt;"",VLOOKUP(DATE(YEAR(INDEX(Base_Trimestrielle!$FI$74:$GJ$276,MAX(Base_Trimestrielle!$GJ$74:$GJ$276),1))-1,3,1),Base_Trimestrielle!$FI$74:$GJ$276,27,0),"")</f>
        <v>150</v>
      </c>
      <c r="D124" s="1123">
        <f>IF(VLOOKUP(DATE(YEAR(INDEX(Base_Trimestrielle!$FI$74:$GJ$276,MAX(Base_Trimestrielle!$GJ$74:$GJ$276),1))-1,6,1),Base_Trimestrielle!$FI$74:$GJ$276,27,0)&lt;&gt;"",VLOOKUP(DATE(YEAR(INDEX(Base_Trimestrielle!$FI$74:$GJ$276,MAX(Base_Trimestrielle!$GJ$74:$GJ$276),1))-1,6,1),Base_Trimestrielle!$FI$74:$GJ$276,27,0),"")</f>
        <v>102</v>
      </c>
      <c r="E124" s="1124">
        <f>IF(VLOOKUP(DATE(YEAR(INDEX(Base_Trimestrielle!$FI$74:$GJ$276,MAX(Base_Trimestrielle!$GJ$74:$GJ$276),1))-1,9,1),Base_Trimestrielle!$FI$74:$GJ$276,27,0)&lt;&gt;"",VLOOKUP(DATE(YEAR(INDEX(Base_Trimestrielle!$FI$74:$GJ$276,MAX(Base_Trimestrielle!$GJ$74:$GJ$276),1))-1,9,1),Base_Trimestrielle!$FI$74:$GJ$276,27,0),"")</f>
        <v>86</v>
      </c>
      <c r="F124" s="1123">
        <f>IF(VLOOKUP(DATE(YEAR(INDEX(Base_Trimestrielle!$FI$74:$GJ$276,MAX(Base_Trimestrielle!$GJ$74:$GJ$276),1))-1,12,1),Base_Trimestrielle!$FI$74:$GJ$276,27,0)&lt;&gt;"",VLOOKUP(DATE(YEAR(INDEX(Base_Trimestrielle!$FI$74:$GJ$276,MAX(Base_Trimestrielle!$GJ$74:$GJ$276),1))-1,12,1),Base_Trimestrielle!$FI$74:$GJ$276,27,0),"")</f>
        <v>96</v>
      </c>
      <c r="G124" s="1123">
        <f>IF(VLOOKUP(DATE(YEAR(INDEX(Base_Trimestrielle!$FI$74:$GJ$276,MAX(Base_Trimestrielle!$GJ$74:$GJ$276),1)),3,1),Base_Trimestrielle!$FI$74:$GJ$276,27,0)&lt;&gt;"",VLOOKUP(DATE(YEAR(INDEX(Base_Trimestrielle!$FI$74:$GJ$276,MAX(Base_Trimestrielle!$GJ$74:$GJ$276),1)),3,1),Base_Trimestrielle!$FI$74:$GJ$276,27,0),"")</f>
        <v>203</v>
      </c>
      <c r="H124" s="1123">
        <f>IF(VLOOKUP(DATE(YEAR(INDEX(Base_Trimestrielle!$FI$74:$GJ$276,MAX(Base_Trimestrielle!$GJ$74:$GJ$276),1)),6,1),Base_Trimestrielle!$FI$74:$GJ$276,27,0)&lt;&gt;"",VLOOKUP(DATE(YEAR(INDEX(Base_Trimestrielle!$FI$74:$GJ$276,MAX(Base_Trimestrielle!$GJ$74:$GJ$276),1)),6,1),Base_Trimestrielle!$FI$74:$GJ$276,27,0),"")</f>
        <v>327.93253391472865</v>
      </c>
      <c r="I124" s="1123">
        <f>IF(VLOOKUP(DATE(YEAR(INDEX(Base_Trimestrielle!$FI$74:$GJ$276,MAX(Base_Trimestrielle!$GJ$74:$GJ$276),1)),9,1),Base_Trimestrielle!$FI$74:$GJ$276,27,0)&lt;&gt;"",VLOOKUP(DATE(YEAR(INDEX(Base_Trimestrielle!$FI$74:$GJ$276,MAX(Base_Trimestrielle!$GJ$74:$GJ$276),1)),9,1),Base_Trimestrielle!$FI$74:$GJ$276,27,0),"")</f>
        <v>90</v>
      </c>
      <c r="J124" s="1123" t="str">
        <f>IF(VLOOKUP(DATE(YEAR(INDEX(Base_Trimestrielle!$FI$74:$GJ$276,MAX(Base_Trimestrielle!$GJ$74:$GJ$276),1)),12,1),Base_Trimestrielle!$FI$74:$GJ$276,27,0)&lt;&gt;"",VLOOKUP(DATE(YEAR(INDEX(Base_Trimestrielle!$FI$74:$GJ$276,MAX(Base_Trimestrielle!$GJ$74:$GJ$276),1)),12,1),Base_Trimestrielle!$FI$74:$GJ$276,27,0),"")</f>
        <v/>
      </c>
    </row>
    <row r="125" spans="1:10" ht="11.1" customHeight="1">
      <c r="A125" s="1658" t="s">
        <v>128</v>
      </c>
      <c r="B125" s="1659"/>
      <c r="C125" s="1660">
        <f t="shared" ref="C125:H125" si="11">SUM(C114:C124)</f>
        <v>4066</v>
      </c>
      <c r="D125" s="1660">
        <f t="shared" si="11"/>
        <v>2405</v>
      </c>
      <c r="E125" s="1660">
        <f t="shared" si="11"/>
        <v>2441</v>
      </c>
      <c r="F125" s="1660">
        <f t="shared" si="11"/>
        <v>2894</v>
      </c>
      <c r="G125" s="1660">
        <f t="shared" si="11"/>
        <v>3846</v>
      </c>
      <c r="H125" s="1660">
        <f t="shared" si="11"/>
        <v>4934.977965783879</v>
      </c>
      <c r="I125" s="1660">
        <f>SUM(I114:I124)</f>
        <v>2658</v>
      </c>
      <c r="J125" s="1660"/>
    </row>
    <row r="126" spans="1:10" ht="11.1" customHeight="1">
      <c r="A126" s="962" t="s">
        <v>695</v>
      </c>
    </row>
  </sheetData>
  <pageMargins left="0.70866141732283472" right="0.70866141732283472" top="0.74803149606299213" bottom="0.74803149606299213" header="0.31496062992125984" footer="0.31496062992125984"/>
  <pageSetup paperSize="9" scale="70" firstPageNumber="46" orientation="portrait" r:id="rId1"/>
  <headerFooter>
    <oddFooter>&amp;L&amp;8Bulletin trimestriel de conjoncture, 4e trimestre 2023</oddFooter>
  </headerFooter>
  <rowBreaks count="1" manualBreakCount="1">
    <brk id="6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27">
    <tabColor rgb="FF00B050"/>
  </sheetPr>
  <dimension ref="A1:M151"/>
  <sheetViews>
    <sheetView view="pageBreakPreview" zoomScaleNormal="100" zoomScaleSheetLayoutView="100" workbookViewId="0">
      <selection activeCell="A2" sqref="A2"/>
    </sheetView>
  </sheetViews>
  <sheetFormatPr baseColWidth="10" defaultColWidth="11.44140625" defaultRowHeight="12.75" customHeight="1"/>
  <cols>
    <col min="1" max="1" width="26.5546875" style="1117" customWidth="1"/>
    <col min="2" max="13" width="8.21875" style="1107" customWidth="1"/>
    <col min="14" max="16384" width="11.44140625" style="1107"/>
  </cols>
  <sheetData>
    <row r="1" spans="1:13" ht="12.75" customHeight="1">
      <c r="A1" s="1105" t="s">
        <v>1124</v>
      </c>
      <c r="B1" s="1106"/>
      <c r="C1" s="1106"/>
      <c r="D1" s="1106"/>
      <c r="E1" s="1106"/>
      <c r="F1" s="1106"/>
      <c r="G1" s="1106"/>
      <c r="H1" s="1106"/>
      <c r="I1" s="1106"/>
      <c r="J1" s="1106"/>
      <c r="K1" s="1106"/>
    </row>
    <row r="2" spans="1:13" ht="12.75" customHeight="1">
      <c r="A2" s="1105" t="s">
        <v>769</v>
      </c>
      <c r="B2" s="1106"/>
      <c r="C2" s="1106"/>
      <c r="D2" s="1106"/>
      <c r="E2" s="1106"/>
      <c r="F2" s="1106"/>
      <c r="G2" s="1106"/>
      <c r="H2" s="1106"/>
      <c r="I2" s="1106"/>
      <c r="J2" s="1106"/>
      <c r="K2" s="1106"/>
    </row>
    <row r="3" spans="1:13" ht="12.75" customHeight="1">
      <c r="A3" s="1108"/>
      <c r="B3" s="1106"/>
      <c r="C3" s="1106"/>
      <c r="D3" s="1106"/>
      <c r="E3" s="1106"/>
      <c r="F3" s="1106"/>
      <c r="G3" s="1106"/>
      <c r="H3" s="1106"/>
      <c r="I3" s="1106"/>
      <c r="J3" s="1106"/>
      <c r="K3" s="1106"/>
    </row>
    <row r="4" spans="1:13" ht="12.75" customHeight="1">
      <c r="A4" s="1440"/>
      <c r="B4" s="1519">
        <f>DATE(YEAR(INDEX(Base_Mensuelle!$MC$68:$OE$679,MAX(Base_Mensuelle!$OE$68:$OE$679),1))-2,1,1)</f>
        <v>44197</v>
      </c>
      <c r="C4" s="1519">
        <f>DATE(YEAR(INDEX(Base_Mensuelle!$MC$68:$OE$679,MAX(Base_Mensuelle!$OE$68:$OE$679),1))-2,2,1)</f>
        <v>44228</v>
      </c>
      <c r="D4" s="1519">
        <f>DATE(YEAR(INDEX(Base_Mensuelle!$MC$68:$OE$679,MAX(Base_Mensuelle!$OE$68:$OE$679),1))-2,3,1)</f>
        <v>44256</v>
      </c>
      <c r="E4" s="1519">
        <f>DATE(YEAR(INDEX(Base_Mensuelle!$MC$68:$OE$679,MAX(Base_Mensuelle!$OE$68:$OE$679),1))-2,4,1)</f>
        <v>44287</v>
      </c>
      <c r="F4" s="1519">
        <f>DATE(YEAR(INDEX(Base_Mensuelle!$MC$68:$OE$679,MAX(Base_Mensuelle!$OE$68:$OE$679),1))-2,5,1)</f>
        <v>44317</v>
      </c>
      <c r="G4" s="1519">
        <f>DATE(YEAR(INDEX(Base_Mensuelle!$MC$68:$OE$679,MAX(Base_Mensuelle!$OE$68:$OE$679),1))-2,6,1)</f>
        <v>44348</v>
      </c>
      <c r="H4" s="1519">
        <f>DATE(YEAR(INDEX(Base_Mensuelle!$MC$68:$OE$679,MAX(Base_Mensuelle!$OE$68:$OE$679),1))-2,7,1)</f>
        <v>44378</v>
      </c>
      <c r="I4" s="1519">
        <f>DATE(YEAR(INDEX(Base_Mensuelle!$MC$68:$OE$679,MAX(Base_Mensuelle!$OE$68:$OE$679),1))-2,8,1)</f>
        <v>44409</v>
      </c>
      <c r="J4" s="1519">
        <f>DATE(YEAR(INDEX(Base_Mensuelle!$MC$68:$OE$679,MAX(Base_Mensuelle!$OE$68:$OE$679),1))-2,9,1)</f>
        <v>44440</v>
      </c>
      <c r="K4" s="1519">
        <f>DATE(YEAR(INDEX(Base_Mensuelle!$MC$68:$OE$679,MAX(Base_Mensuelle!$OE$68:$OE$679),1))-2,10,1)</f>
        <v>44470</v>
      </c>
      <c r="L4" s="1519">
        <f>DATE(YEAR(INDEX(Base_Mensuelle!$MC$68:$OE$679,MAX(Base_Mensuelle!$OE$68:$OE$679),1))-2,11,1)</f>
        <v>44501</v>
      </c>
      <c r="M4" s="1519">
        <f>DATE(YEAR(INDEX(Base_Mensuelle!$MC$68:$OE$679,MAX(Base_Mensuelle!$OE$68:$OE$679),1))-2,12,1)</f>
        <v>44531</v>
      </c>
    </row>
    <row r="5" spans="1:13" ht="12.9">
      <c r="A5" s="1441" t="s">
        <v>770</v>
      </c>
      <c r="B5" s="1109">
        <f>VLOOKUP(B4,Base_Mensuelle!$MC$68:$OD$679,2,0)</f>
        <v>173.07244385436928</v>
      </c>
      <c r="C5" s="1109">
        <f>VLOOKUP(C4,Base_Mensuelle!$MC$68:$OD$679,2,0)</f>
        <v>323.68001784792943</v>
      </c>
      <c r="D5" s="1109">
        <f>VLOOKUP(D4,Base_Mensuelle!$MC$68:$OD$679,2,0)</f>
        <v>480.68446300822188</v>
      </c>
      <c r="E5" s="1109">
        <f>VLOOKUP(E4,Base_Mensuelle!$MC$68:$OD$679,2,0)</f>
        <v>648.44262144621825</v>
      </c>
      <c r="F5" s="1109">
        <f>VLOOKUP(F4,Base_Mensuelle!$MC$68:$OD$679,2,0)</f>
        <v>857.25868973999422</v>
      </c>
      <c r="G5" s="1109">
        <f>VLOOKUP(G4,Base_Mensuelle!$MC$68:$OD$679,2,0)</f>
        <v>1036.7895348745537</v>
      </c>
      <c r="H5" s="1109">
        <f>VLOOKUP(H4,Base_Mensuelle!$MC$68:$OD$679,2,0)</f>
        <v>1234.5077867578177</v>
      </c>
      <c r="I5" s="1109">
        <f>VLOOKUP(I4,Base_Mensuelle!$MC$68:$OD$679,2,0)</f>
        <v>1391.1076233745869</v>
      </c>
      <c r="J5" s="1109">
        <f>VLOOKUP(J4,Base_Mensuelle!$MC$68:$OD$679,2,0)</f>
        <v>1541.0171290729058</v>
      </c>
      <c r="K5" s="1109">
        <f>VLOOKUP(K4,Base_Mensuelle!$MC$68:$OD$679,2,0)</f>
        <v>1742.3164483488201</v>
      </c>
      <c r="L5" s="1109">
        <f>VLOOKUP(L4,Base_Mensuelle!$MC$68:$OD$679,2,0)</f>
        <v>1924.6533874553315</v>
      </c>
      <c r="M5" s="1109">
        <f>VLOOKUP(M4,Base_Mensuelle!$MC$68:$OD$679,2,0)</f>
        <v>2223.849405646507</v>
      </c>
    </row>
    <row r="6" spans="1:13" ht="12.75" customHeight="1">
      <c r="A6" s="1328" t="s">
        <v>771</v>
      </c>
      <c r="B6" s="1110">
        <f>VLOOKUP(B4,Base_Mensuelle!$MC$68:$OD$679,3,0)</f>
        <v>171.80370035536927</v>
      </c>
      <c r="C6" s="1110">
        <f>VLOOKUP(C4,Base_Mensuelle!$MC$68:$OD$679,3,0)</f>
        <v>292.7101748913193</v>
      </c>
      <c r="D6" s="1110">
        <f>VLOOKUP(D4,Base_Mensuelle!$MC$68:$OD$679,3,0)</f>
        <v>417.60603207491926</v>
      </c>
      <c r="E6" s="1110">
        <f>VLOOKUP(E4,Base_Mensuelle!$MC$68:$OD$679,3,0)</f>
        <v>583.40104912204072</v>
      </c>
      <c r="F6" s="1110">
        <f>VLOOKUP(F4,Base_Mensuelle!$MC$68:$OD$679,3,0)</f>
        <v>747.29258847220501</v>
      </c>
      <c r="G6" s="1110">
        <f>VLOOKUP(G4,Base_Mensuelle!$MC$68:$OD$679,3,0)</f>
        <v>908.55988314570493</v>
      </c>
      <c r="H6" s="1110">
        <f>VLOOKUP(H4,Base_Mensuelle!$MC$68:$OD$679,3,0)</f>
        <v>1097.5145569188956</v>
      </c>
      <c r="I6" s="1110">
        <f>VLOOKUP(I4,Base_Mensuelle!$MC$68:$OD$679,3,0)</f>
        <v>1247.2414512921073</v>
      </c>
      <c r="J6" s="1110">
        <f>VLOOKUP(J4,Base_Mensuelle!$MC$68:$OD$679,3,0)</f>
        <v>1390.5785480014265</v>
      </c>
      <c r="K6" s="1110">
        <f>VLOOKUP(K4,Base_Mensuelle!$MC$68:$OD$679,3,0)</f>
        <v>1589.1292960452265</v>
      </c>
      <c r="L6" s="1110">
        <f>VLOOKUP(L4,Base_Mensuelle!$MC$68:$OD$679,3,0)</f>
        <v>1732.8346333594266</v>
      </c>
      <c r="M6" s="1110">
        <f>VLOOKUP(M4,Base_Mensuelle!$MC$68:$OD$679,3,0)</f>
        <v>1946.6076844018621</v>
      </c>
    </row>
    <row r="7" spans="1:13" ht="12.75" customHeight="1">
      <c r="A7" s="1442" t="s">
        <v>772</v>
      </c>
      <c r="B7" s="1111">
        <f>VLOOKUP(B4,Base_Mensuelle!$MC$68:$OD$679,4,0)</f>
        <v>171.80370035536927</v>
      </c>
      <c r="C7" s="1111">
        <f>VLOOKUP(C4,Base_Mensuelle!$MC$68:$OD$679,4,0)</f>
        <v>292.7101748913193</v>
      </c>
      <c r="D7" s="1111">
        <f>VLOOKUP(D4,Base_Mensuelle!$MC$68:$OD$679,4,0)</f>
        <v>417.60603207491926</v>
      </c>
      <c r="E7" s="1111">
        <f>VLOOKUP(E4,Base_Mensuelle!$MC$68:$OD$679,4,0)</f>
        <v>583.40104912204072</v>
      </c>
      <c r="F7" s="1111">
        <f>VLOOKUP(F4,Base_Mensuelle!$MC$68:$OD$679,4,0)</f>
        <v>747.29258847220501</v>
      </c>
      <c r="G7" s="1111">
        <f>VLOOKUP(G4,Base_Mensuelle!$MC$68:$OD$679,4,0)</f>
        <v>908.55988314570493</v>
      </c>
      <c r="H7" s="1111">
        <f>VLOOKUP(H4,Base_Mensuelle!$MC$68:$OD$679,4,0)</f>
        <v>1097.5145569188956</v>
      </c>
      <c r="I7" s="1111">
        <f>VLOOKUP(I4,Base_Mensuelle!$MC$68:$OD$679,4,0)</f>
        <v>1247.2414512921073</v>
      </c>
      <c r="J7" s="1111">
        <f>VLOOKUP(J4,Base_Mensuelle!$MC$68:$OD$679,4,0)</f>
        <v>1390.5785480014265</v>
      </c>
      <c r="K7" s="1111">
        <f>VLOOKUP(K4,Base_Mensuelle!$MC$68:$OD$679,4,0)</f>
        <v>1589.1292960452265</v>
      </c>
      <c r="L7" s="1111">
        <f>VLOOKUP(L4,Base_Mensuelle!$MC$68:$OD$679,4,0)</f>
        <v>1732.8346333594266</v>
      </c>
      <c r="M7" s="1111">
        <f>VLOOKUP(M4,Base_Mensuelle!$MC$68:$OD$679,4,0)</f>
        <v>1946.6076844018621</v>
      </c>
    </row>
    <row r="8" spans="1:13" ht="12.75" customHeight="1">
      <c r="A8" s="1328" t="s">
        <v>773</v>
      </c>
      <c r="B8" s="1110">
        <f>VLOOKUP(B4,Base_Mensuelle!$MC$68:$OD$679,5,0)</f>
        <v>144.42171878336927</v>
      </c>
      <c r="C8" s="1110">
        <f>VLOOKUP(C4,Base_Mensuelle!$MC$68:$OD$679,5,0)</f>
        <v>258.57517546331928</v>
      </c>
      <c r="D8" s="1110">
        <f>VLOOKUP(D4,Base_Mensuelle!$MC$68:$OD$679,5,0)</f>
        <v>369.60097639491926</v>
      </c>
      <c r="E8" s="1110">
        <f>VLOOKUP(E4,Base_Mensuelle!$MC$68:$OD$679,5,0)</f>
        <v>521.59269493264071</v>
      </c>
      <c r="F8" s="1110">
        <f>VLOOKUP(F4,Base_Mensuelle!$MC$68:$OD$679,5,0)</f>
        <v>674.53176577980491</v>
      </c>
      <c r="G8" s="1110">
        <f>VLOOKUP(G4,Base_Mensuelle!$MC$68:$OD$679,5,0)</f>
        <v>802.05830453030489</v>
      </c>
      <c r="H8" s="1110">
        <f>VLOOKUP(H4,Base_Mensuelle!$MC$68:$OD$679,5,0)</f>
        <v>966.21843872469549</v>
      </c>
      <c r="I8" s="1110">
        <f>VLOOKUP(I4,Base_Mensuelle!$MC$68:$OD$679,5,0)</f>
        <v>1097.1423955819073</v>
      </c>
      <c r="J8" s="1110">
        <f>VLOOKUP(J4,Base_Mensuelle!$MC$68:$OD$679,5,0)</f>
        <v>1218.2670782232262</v>
      </c>
      <c r="K8" s="1110">
        <f>VLOOKUP(K4,Base_Mensuelle!$MC$68:$OD$679,5,0)</f>
        <v>1393.8949518804263</v>
      </c>
      <c r="L8" s="1110">
        <f>VLOOKUP(L4,Base_Mensuelle!$MC$68:$OD$679,5,0)</f>
        <v>1524.7862019376264</v>
      </c>
      <c r="M8" s="1110">
        <f>VLOOKUP(M4,Base_Mensuelle!$MC$68:$OD$679,5,0)</f>
        <v>1687.513336610062</v>
      </c>
    </row>
    <row r="9" spans="1:13" ht="12.75" customHeight="1">
      <c r="A9" s="1442" t="s">
        <v>774</v>
      </c>
      <c r="B9" s="1111">
        <f>VLOOKUP(B4,Base_Mensuelle!$MC$68:$OD$679,6,0)</f>
        <v>62.813241933</v>
      </c>
      <c r="C9" s="1111">
        <f>VLOOKUP(C4,Base_Mensuelle!$MC$68:$OD$679,6,0)</f>
        <v>83.785277774000008</v>
      </c>
      <c r="D9" s="1111">
        <f>VLOOKUP(D4,Base_Mensuelle!$MC$68:$OD$679,6,0)</f>
        <v>109.512588472</v>
      </c>
      <c r="E9" s="1111">
        <f>VLOOKUP(E4,Base_Mensuelle!$MC$68:$OD$679,6,0)</f>
        <v>172.80213647000002</v>
      </c>
      <c r="F9" s="1111">
        <f>VLOOKUP(F4,Base_Mensuelle!$MC$68:$OD$679,6,0)</f>
        <v>241.43343395400004</v>
      </c>
      <c r="G9" s="1111">
        <f>VLOOKUP(G4,Base_Mensuelle!$MC$68:$OD$679,6,0)</f>
        <v>281.137998401</v>
      </c>
      <c r="H9" s="1111">
        <f>VLOOKUP(H4,Base_Mensuelle!$MC$68:$OD$679,6,0)</f>
        <v>354.493267</v>
      </c>
      <c r="I9" s="1111">
        <f>VLOOKUP(I4,Base_Mensuelle!$MC$68:$OD$679,6,0)</f>
        <v>396.60690569499997</v>
      </c>
      <c r="J9" s="1111">
        <f>VLOOKUP(J4,Base_Mensuelle!$MC$68:$OD$679,6,0)</f>
        <v>426.87873267999998</v>
      </c>
      <c r="K9" s="1111">
        <f>VLOOKUP(K4,Base_Mensuelle!$MC$68:$OD$679,6,0)</f>
        <v>504.07197348900002</v>
      </c>
      <c r="L9" s="1111">
        <f>VLOOKUP(L4,Base_Mensuelle!$MC$68:$OD$679,6,0)</f>
        <v>530.509114017</v>
      </c>
      <c r="M9" s="1111">
        <f>VLOOKUP(M4,Base_Mensuelle!$MC$68:$OD$679,6,0)</f>
        <v>572.62986391300001</v>
      </c>
    </row>
    <row r="10" spans="1:13" ht="12.75" customHeight="1">
      <c r="A10" s="1328" t="s">
        <v>775</v>
      </c>
      <c r="B10" s="1110">
        <f>VLOOKUP(B4,Base_Mensuelle!$MC$68:$OD$679,7,0)</f>
        <v>1.5512086389999999</v>
      </c>
      <c r="C10" s="1110">
        <f>VLOOKUP(C4,Base_Mensuelle!$MC$68:$OD$679,7,0)</f>
        <v>2.8123531449999999</v>
      </c>
      <c r="D10" s="1110">
        <f>VLOOKUP(D4,Base_Mensuelle!$MC$68:$OD$679,7,0)</f>
        <v>4.0643226519999995</v>
      </c>
      <c r="E10" s="1110">
        <f>VLOOKUP(E4,Base_Mensuelle!$MC$68:$OD$679,7,0)</f>
        <v>5.4481364339999994</v>
      </c>
      <c r="F10" s="1110">
        <f>VLOOKUP(F4,Base_Mensuelle!$MC$68:$OD$679,7,0)</f>
        <v>6.7606612469999998</v>
      </c>
      <c r="G10" s="1110">
        <f>VLOOKUP(G4,Base_Mensuelle!$MC$68:$OD$679,7,0)</f>
        <v>8.0411553060000003</v>
      </c>
      <c r="H10" s="1110">
        <f>VLOOKUP(H4,Base_Mensuelle!$MC$68:$OD$679,7,0)</f>
        <v>9.3812909729999987</v>
      </c>
      <c r="I10" s="1110">
        <f>VLOOKUP(I4,Base_Mensuelle!$MC$68:$OD$679,7,0)</f>
        <v>10.685982888999998</v>
      </c>
      <c r="J10" s="1110">
        <f>VLOOKUP(J4,Base_Mensuelle!$MC$68:$OD$679,7,0)</f>
        <v>12.075598068999998</v>
      </c>
      <c r="K10" s="1110">
        <f>VLOOKUP(K4,Base_Mensuelle!$MC$68:$OD$679,7,0)</f>
        <v>13.371255603999998</v>
      </c>
      <c r="L10" s="1110">
        <f>VLOOKUP(L4,Base_Mensuelle!$MC$68:$OD$679,7,0)</f>
        <v>14.725702823999999</v>
      </c>
      <c r="M10" s="1110">
        <f>VLOOKUP(M4,Base_Mensuelle!$MC$68:$OD$679,7,0)</f>
        <v>16.236044069999998</v>
      </c>
    </row>
    <row r="11" spans="1:13" ht="12.75" customHeight="1">
      <c r="A11" s="1442" t="s">
        <v>776</v>
      </c>
      <c r="B11" s="1111">
        <f>VLOOKUP(B4,Base_Mensuelle!$MC$68:$OD$679,8,0)</f>
        <v>4.7722099720692999</v>
      </c>
      <c r="C11" s="1111">
        <f>VLOOKUP(C4,Base_Mensuelle!$MC$68:$OD$679,8,0)</f>
        <v>8.1678419480693005</v>
      </c>
      <c r="D11" s="1111">
        <f>VLOOKUP(D4,Base_Mensuelle!$MC$68:$OD$679,8,0)</f>
        <v>11.946294202069302</v>
      </c>
      <c r="E11" s="1111">
        <f>VLOOKUP(E4,Base_Mensuelle!$MC$68:$OD$679,8,0)</f>
        <v>16.120016599640731</v>
      </c>
      <c r="F11" s="1111">
        <f>VLOOKUP(F4,Base_Mensuelle!$MC$68:$OD$679,8,0)</f>
        <v>19.877543967355017</v>
      </c>
      <c r="G11" s="1111">
        <f>VLOOKUP(G4,Base_Mensuelle!$MC$68:$OD$679,8,0)</f>
        <v>25.466792923355015</v>
      </c>
      <c r="H11" s="1111">
        <f>VLOOKUP(H4,Base_Mensuelle!$MC$68:$OD$679,8,0)</f>
        <v>30.14493941654549</v>
      </c>
      <c r="I11" s="1111">
        <f>VLOOKUP(I4,Base_Mensuelle!$MC$68:$OD$679,8,0)</f>
        <v>36.082700164307404</v>
      </c>
      <c r="J11" s="1111">
        <f>VLOOKUP(J4,Base_Mensuelle!$MC$68:$OD$679,8,0)</f>
        <v>40.589893413926447</v>
      </c>
      <c r="K11" s="1111">
        <f>VLOOKUP(K4,Base_Mensuelle!$MC$68:$OD$679,8,0)</f>
        <v>46.479011044926445</v>
      </c>
      <c r="L11" s="1111">
        <f>VLOOKUP(L4,Base_Mensuelle!$MC$68:$OD$679,8,0)</f>
        <v>52.59981631992644</v>
      </c>
      <c r="M11" s="1111">
        <f>VLOOKUP(M4,Base_Mensuelle!$MC$68:$OD$679,8,0)</f>
        <v>58.901450016062043</v>
      </c>
    </row>
    <row r="12" spans="1:13" ht="12.75" customHeight="1">
      <c r="A12" s="1328" t="s">
        <v>777</v>
      </c>
      <c r="B12" s="1110">
        <f>VLOOKUP(B4,Base_Mensuelle!$MC$68:$OD$679,9,0)</f>
        <v>62.327374029299996</v>
      </c>
      <c r="C12" s="1110">
        <f>VLOOKUP(C4,Base_Mensuelle!$MC$68:$OD$679,9,0)</f>
        <v>134.20587957465003</v>
      </c>
      <c r="D12" s="1110">
        <f>VLOOKUP(D4,Base_Mensuelle!$MC$68:$OD$679,9,0)</f>
        <v>196.60051780625002</v>
      </c>
      <c r="E12" s="1110">
        <f>VLOOKUP(E4,Base_Mensuelle!$MC$68:$OD$679,9,0)</f>
        <v>263.08332496240001</v>
      </c>
      <c r="F12" s="1110">
        <f>VLOOKUP(F4,Base_Mensuelle!$MC$68:$OD$679,9,0)</f>
        <v>326.10167937185003</v>
      </c>
      <c r="G12" s="1110">
        <f>VLOOKUP(G4,Base_Mensuelle!$MC$68:$OD$679,9,0)</f>
        <v>389.63059718735002</v>
      </c>
      <c r="H12" s="1110">
        <f>VLOOKUP(H4,Base_Mensuelle!$MC$68:$OD$679,9,0)</f>
        <v>456.36614650055003</v>
      </c>
      <c r="I12" s="1110">
        <f>VLOOKUP(I4,Base_Mensuelle!$MC$68:$OD$679,9,0)</f>
        <v>521.37145758500003</v>
      </c>
      <c r="J12" s="1110">
        <f>VLOOKUP(J4,Base_Mensuelle!$MC$68:$OD$679,9,0)</f>
        <v>587.60274620070004</v>
      </c>
      <c r="K12" s="1110">
        <f>VLOOKUP(K4,Base_Mensuelle!$MC$68:$OD$679,9,0)</f>
        <v>659.5980009709001</v>
      </c>
      <c r="L12" s="1110">
        <f>VLOOKUP(L4,Base_Mensuelle!$MC$68:$OD$679,9,0)</f>
        <v>735.83011606310015</v>
      </c>
      <c r="M12" s="1110">
        <f>VLOOKUP(M4,Base_Mensuelle!$MC$68:$OD$679,9,0)</f>
        <v>822.53508860940008</v>
      </c>
    </row>
    <row r="13" spans="1:13" ht="12.75" customHeight="1">
      <c r="A13" s="1442" t="s">
        <v>778</v>
      </c>
      <c r="B13" s="1111">
        <f>VLOOKUP(B4,Base_Mensuelle!$MC$68:$OD$679,10,0)</f>
        <v>12.852418362000002</v>
      </c>
      <c r="C13" s="1111">
        <f>VLOOKUP(C4,Base_Mensuelle!$MC$68:$OD$679,10,0)</f>
        <v>29.399310240000002</v>
      </c>
      <c r="D13" s="1111">
        <f>VLOOKUP(D4,Base_Mensuelle!$MC$68:$OD$679,10,0)</f>
        <v>47.177456575999997</v>
      </c>
      <c r="E13" s="1111">
        <f>VLOOKUP(E4,Base_Mensuelle!$MC$68:$OD$679,10,0)</f>
        <v>63.707955011999992</v>
      </c>
      <c r="F13" s="1111">
        <f>VLOOKUP(F4,Base_Mensuelle!$MC$68:$OD$679,10,0)</f>
        <v>79.801991631999996</v>
      </c>
      <c r="G13" s="1111">
        <f>VLOOKUP(G4,Base_Mensuelle!$MC$68:$OD$679,10,0)</f>
        <v>97.114128102999999</v>
      </c>
      <c r="H13" s="1111">
        <f>VLOOKUP(H4,Base_Mensuelle!$MC$68:$OD$679,10,0)</f>
        <v>115.03591182299999</v>
      </c>
      <c r="I13" s="1111">
        <f>VLOOKUP(I4,Base_Mensuelle!$MC$68:$OD$679,10,0)</f>
        <v>131.46928964700001</v>
      </c>
      <c r="J13" s="1111">
        <f>VLOOKUP(J4,Base_Mensuelle!$MC$68:$OD$679,10,0)</f>
        <v>150.05055210299997</v>
      </c>
      <c r="K13" s="1111">
        <f>VLOOKUP(K4,Base_Mensuelle!$MC$68:$OD$679,10,0)</f>
        <v>169.18853402799999</v>
      </c>
      <c r="L13" s="1111">
        <f>VLOOKUP(L4,Base_Mensuelle!$MC$68:$OD$679,10,0)</f>
        <v>189.81810578</v>
      </c>
      <c r="M13" s="1111">
        <f>VLOOKUP(M4,Base_Mensuelle!$MC$68:$OD$679,10,0)</f>
        <v>215.78064911700002</v>
      </c>
    </row>
    <row r="14" spans="1:13" ht="12.9">
      <c r="A14" s="1330" t="s">
        <v>779</v>
      </c>
      <c r="B14" s="1112">
        <f>VLOOKUP(B4,Base_Mensuelle!$MC$68:$OD$679,11,0)</f>
        <v>0.105265848</v>
      </c>
      <c r="C14" s="1112">
        <f>VLOOKUP(C4,Base_Mensuelle!$MC$68:$OD$679,11,0)</f>
        <v>0.2045127816</v>
      </c>
      <c r="D14" s="1112">
        <f>VLOOKUP(D4,Base_Mensuelle!$MC$68:$OD$679,11,0)</f>
        <v>0.29979668660000003</v>
      </c>
      <c r="E14" s="1112">
        <f>VLOOKUP(E4,Base_Mensuelle!$MC$68:$OD$679,11,0)</f>
        <v>0.43112545460000007</v>
      </c>
      <c r="F14" s="1112">
        <f>VLOOKUP(F4,Base_Mensuelle!$MC$68:$OD$679,11,0)</f>
        <v>0.55645560760000001</v>
      </c>
      <c r="G14" s="1112">
        <f>VLOOKUP(G4,Base_Mensuelle!$MC$68:$OD$679,11,0)</f>
        <v>0.66763260959999993</v>
      </c>
      <c r="H14" s="1112">
        <f>VLOOKUP(H4,Base_Mensuelle!$MC$68:$OD$679,11,0)</f>
        <v>0.79688301159999997</v>
      </c>
      <c r="I14" s="1112">
        <f>VLOOKUP(I4,Base_Mensuelle!$MC$68:$OD$679,11,0)</f>
        <v>0.92605960159999989</v>
      </c>
      <c r="J14" s="1112">
        <f>VLOOKUP(J4,Base_Mensuelle!$MC$68:$OD$679,11,0)</f>
        <v>1.0695557566</v>
      </c>
      <c r="K14" s="1112">
        <f>VLOOKUP(K4,Base_Mensuelle!$MC$68:$OD$679,11,0)</f>
        <v>1.1861767435999999</v>
      </c>
      <c r="L14" s="1112">
        <f>VLOOKUP(L4,Base_Mensuelle!$MC$68:$OD$679,11,0)</f>
        <v>1.3033469335999999</v>
      </c>
      <c r="M14" s="1112">
        <f>VLOOKUP(M4,Base_Mensuelle!$MC$68:$OD$679,11,0)</f>
        <v>1.4302408846000001</v>
      </c>
    </row>
    <row r="15" spans="1:13" ht="12.75" customHeight="1">
      <c r="A15" s="1443" t="s">
        <v>780</v>
      </c>
      <c r="B15" s="1113">
        <f>VLOOKUP(B4,Base_Mensuelle!$MC$68:$OD$679,12,0)</f>
        <v>27.381981571999997</v>
      </c>
      <c r="C15" s="1113">
        <f>VLOOKUP(C4,Base_Mensuelle!$MC$68:$OD$679,12,0)</f>
        <v>34.134999427999993</v>
      </c>
      <c r="D15" s="1113">
        <f>VLOOKUP(D4,Base_Mensuelle!$MC$68:$OD$679,12,0)</f>
        <v>48.005055679999991</v>
      </c>
      <c r="E15" s="1113">
        <f>VLOOKUP(E4,Base_Mensuelle!$MC$68:$OD$679,12,0)</f>
        <v>61.808354189399992</v>
      </c>
      <c r="F15" s="1113">
        <f>VLOOKUP(F4,Base_Mensuelle!$MC$68:$OD$679,12,0)</f>
        <v>72.760822692399998</v>
      </c>
      <c r="G15" s="1113">
        <f>VLOOKUP(G4,Base_Mensuelle!$MC$68:$OD$679,12,0)</f>
        <v>106.50157861540001</v>
      </c>
      <c r="H15" s="1113">
        <f>VLOOKUP(H4,Base_Mensuelle!$MC$68:$OD$679,12,0)</f>
        <v>131.29611819420001</v>
      </c>
      <c r="I15" s="1113">
        <f>VLOOKUP(I4,Base_Mensuelle!$MC$68:$OD$679,12,0)</f>
        <v>150.09905571020002</v>
      </c>
      <c r="J15" s="1113">
        <f>VLOOKUP(J4,Base_Mensuelle!$MC$68:$OD$679,12,0)</f>
        <v>172.31146977820001</v>
      </c>
      <c r="K15" s="1113">
        <f>VLOOKUP(K4,Base_Mensuelle!$MC$68:$OD$679,12,0)</f>
        <v>195.23434416479998</v>
      </c>
      <c r="L15" s="1113">
        <f>VLOOKUP(L4,Base_Mensuelle!$MC$68:$OD$679,12,0)</f>
        <v>208.04843142179999</v>
      </c>
      <c r="M15" s="1113">
        <f>VLOOKUP(M4,Base_Mensuelle!$MC$68:$OD$679,12,0)</f>
        <v>259.09434779179998</v>
      </c>
    </row>
    <row r="16" spans="1:13" ht="12.75" customHeight="1">
      <c r="A16" s="1328" t="s">
        <v>781</v>
      </c>
      <c r="B16" s="1110">
        <f>VLOOKUP(B4,Base_Mensuelle!$MC$68:$OD$679,13,0)</f>
        <v>0.327304384</v>
      </c>
      <c r="C16" s="1110">
        <f>VLOOKUP(C4,Base_Mensuelle!$MC$68:$OD$679,13,0)</f>
        <v>0.73194828700000003</v>
      </c>
      <c r="D16" s="1110">
        <f>VLOOKUP(D4,Base_Mensuelle!$MC$68:$OD$679,13,0)</f>
        <v>1.1211989580000001</v>
      </c>
      <c r="E16" s="1110">
        <f>VLOOKUP(E4,Base_Mensuelle!$MC$68:$OD$679,13,0)</f>
        <v>1.6125591780000001</v>
      </c>
      <c r="F16" s="1110">
        <f>VLOOKUP(F4,Base_Mensuelle!$MC$68:$OD$679,13,0)</f>
        <v>1.9537898150000002</v>
      </c>
      <c r="G16" s="1110">
        <f>VLOOKUP(G4,Base_Mensuelle!$MC$68:$OD$679,13,0)</f>
        <v>2.5818871840000024</v>
      </c>
      <c r="H16" s="1110">
        <f>VLOOKUP(H4,Base_Mensuelle!$MC$68:$OD$679,13,0)</f>
        <v>3.0712976680000024</v>
      </c>
      <c r="I16" s="1110">
        <f>VLOOKUP(I4,Base_Mensuelle!$MC$68:$OD$679,13,0)</f>
        <v>3.2180035290000024</v>
      </c>
      <c r="J16" s="1110">
        <f>VLOOKUP(J4,Base_Mensuelle!$MC$68:$OD$679,13,0)</f>
        <v>3.7281992660000025</v>
      </c>
      <c r="K16" s="1110">
        <f>VLOOKUP(K4,Base_Mensuelle!$MC$68:$OD$679,13,0)</f>
        <v>4.4052653350000028</v>
      </c>
      <c r="L16" s="1110">
        <f>VLOOKUP(L4,Base_Mensuelle!$MC$68:$OD$679,13,0)</f>
        <v>4.8808474870000023</v>
      </c>
      <c r="M16" s="1110">
        <f>VLOOKUP(M4,Base_Mensuelle!$MC$68:$OD$679,13,0)</f>
        <v>5.7787376820000027</v>
      </c>
    </row>
    <row r="17" spans="1:13" ht="12.9">
      <c r="A17" s="1442" t="s">
        <v>574</v>
      </c>
      <c r="B17" s="1111">
        <f>VLOOKUP(B4,Base_Mensuelle!$MC$68:$OD$679,14,0)</f>
        <v>18.260440249999995</v>
      </c>
      <c r="C17" s="1111">
        <f>VLOOKUP(C4,Base_Mensuelle!$MC$68:$OD$679,14,0)</f>
        <v>20.892486059999996</v>
      </c>
      <c r="D17" s="1111">
        <f>VLOOKUP(D4,Base_Mensuelle!$MC$68:$OD$679,14,0)</f>
        <v>23.877582101999995</v>
      </c>
      <c r="E17" s="1111">
        <f>VLOOKUP(E4,Base_Mensuelle!$MC$68:$OD$679,14,0)</f>
        <v>26.398420517999995</v>
      </c>
      <c r="F17" s="1111">
        <f>VLOOKUP(F4,Base_Mensuelle!$MC$68:$OD$679,14,0)</f>
        <v>29.449824029999998</v>
      </c>
      <c r="G17" s="1111">
        <f>VLOOKUP(G4,Base_Mensuelle!$MC$68:$OD$679,14,0)</f>
        <v>33.627118132</v>
      </c>
      <c r="H17" s="1111">
        <f>VLOOKUP(H4,Base_Mensuelle!$MC$68:$OD$679,14,0)</f>
        <v>37.963597179600001</v>
      </c>
      <c r="I17" s="1111">
        <f>VLOOKUP(I4,Base_Mensuelle!$MC$68:$OD$679,14,0)</f>
        <v>40.906818984600001</v>
      </c>
      <c r="J17" s="1111">
        <f>VLOOKUP(J4,Base_Mensuelle!$MC$68:$OD$679,14,0)</f>
        <v>44.404546128600003</v>
      </c>
      <c r="K17" s="1111">
        <f>VLOOKUP(K4,Base_Mensuelle!$MC$68:$OD$679,14,0)</f>
        <v>48.736922371200002</v>
      </c>
      <c r="L17" s="1111">
        <f>VLOOKUP(L4,Base_Mensuelle!$MC$68:$OD$679,14,0)</f>
        <v>54.122283156200005</v>
      </c>
      <c r="M17" s="1111">
        <f>VLOOKUP(M4,Base_Mensuelle!$MC$68:$OD$679,14,0)</f>
        <v>97.231560475199998</v>
      </c>
    </row>
    <row r="18" spans="1:13" ht="12.9">
      <c r="A18" s="1328" t="s">
        <v>782</v>
      </c>
      <c r="B18" s="1110">
        <f>VLOOKUP(B4,Base_Mensuelle!$MC$68:$OD$679,15,0)</f>
        <v>0.13150600399999998</v>
      </c>
      <c r="C18" s="1110">
        <f>VLOOKUP(C4,Base_Mensuelle!$MC$68:$OD$679,15,0)</f>
        <v>0.22744208399999996</v>
      </c>
      <c r="D18" s="1110">
        <f>VLOOKUP(D4,Base_Mensuelle!$MC$68:$OD$679,15,0)</f>
        <v>0.34293978399999997</v>
      </c>
      <c r="E18" s="1110">
        <f>VLOOKUP(E4,Base_Mensuelle!$MC$68:$OD$679,15,0)</f>
        <v>0.53258899699999995</v>
      </c>
      <c r="F18" s="1110">
        <f>VLOOKUP(F4,Base_Mensuelle!$MC$68:$OD$679,15,0)</f>
        <v>1.0505049229999999</v>
      </c>
      <c r="G18" s="1110">
        <f>VLOOKUP(G4,Base_Mensuelle!$MC$68:$OD$679,15,0)</f>
        <v>1.222693963</v>
      </c>
      <c r="H18" s="1110">
        <f>VLOOKUP(H4,Base_Mensuelle!$MC$68:$OD$679,15,0)</f>
        <v>1.3795543019999998</v>
      </c>
      <c r="I18" s="1110">
        <f>VLOOKUP(I4,Base_Mensuelle!$MC$68:$OD$679,15,0)</f>
        <v>1.4759142219999999</v>
      </c>
      <c r="J18" s="1110">
        <f>VLOOKUP(J4,Base_Mensuelle!$MC$68:$OD$679,15,0)</f>
        <v>1.7322447599999997</v>
      </c>
      <c r="K18" s="1110">
        <f>VLOOKUP(K4,Base_Mensuelle!$MC$68:$OD$679,15,0)</f>
        <v>1.9933518439999998</v>
      </c>
      <c r="L18" s="1110">
        <f>VLOOKUP(L4,Base_Mensuelle!$MC$68:$OD$679,15,0)</f>
        <v>2.1327767839999998</v>
      </c>
      <c r="M18" s="1110">
        <f>VLOOKUP(M4,Base_Mensuelle!$MC$68:$OD$679,15,0)</f>
        <v>2.160719909</v>
      </c>
    </row>
    <row r="19" spans="1:13" ht="12.75" customHeight="1">
      <c r="A19" s="1442" t="s">
        <v>783</v>
      </c>
      <c r="B19" s="1111">
        <f>VLOOKUP(B4,Base_Mensuelle!$MC$68:$OD$679,16,0)</f>
        <v>7.1839394000000001E-2</v>
      </c>
      <c r="C19" s="1111">
        <f>VLOOKUP(C4,Base_Mensuelle!$MC$68:$OD$679,16,0)</f>
        <v>7.1839394000000001E-2</v>
      </c>
      <c r="D19" s="1111">
        <f>VLOOKUP(D4,Base_Mensuelle!$MC$68:$OD$679,16,0)</f>
        <v>8.4885983000000012E-2</v>
      </c>
      <c r="E19" s="1111">
        <f>VLOOKUP(E4,Base_Mensuelle!$MC$68:$OD$679,16,0)</f>
        <v>0.22358743900000003</v>
      </c>
      <c r="F19" s="1111">
        <f>VLOOKUP(F4,Base_Mensuelle!$MC$68:$OD$679,16,0)</f>
        <v>0.228751549</v>
      </c>
      <c r="G19" s="1111">
        <f>VLOOKUP(G4,Base_Mensuelle!$MC$68:$OD$679,16,0)</f>
        <v>15.305073302</v>
      </c>
      <c r="H19" s="1111">
        <f>VLOOKUP(H4,Base_Mensuelle!$MC$68:$OD$679,16,0)</f>
        <v>24.383106824000002</v>
      </c>
      <c r="I19" s="1111">
        <f>VLOOKUP(I4,Base_Mensuelle!$MC$68:$OD$679,16,0)</f>
        <v>32.964505361000001</v>
      </c>
      <c r="J19" s="1111">
        <f>VLOOKUP(J4,Base_Mensuelle!$MC$68:$OD$679,16,0)</f>
        <v>44.357648793999999</v>
      </c>
      <c r="K19" s="1111">
        <f>VLOOKUP(K4,Base_Mensuelle!$MC$68:$OD$679,16,0)</f>
        <v>53.187862371999998</v>
      </c>
      <c r="L19" s="1111">
        <f>VLOOKUP(L4,Base_Mensuelle!$MC$68:$OD$679,16,0)</f>
        <v>53.207457244000004</v>
      </c>
      <c r="M19" s="1111">
        <f>VLOOKUP(M4,Base_Mensuelle!$MC$68:$OD$679,16,0)</f>
        <v>53.268356314000002</v>
      </c>
    </row>
    <row r="20" spans="1:13" ht="12.75" customHeight="1">
      <c r="A20" s="1328" t="s">
        <v>784</v>
      </c>
      <c r="B20" s="1110">
        <f>VLOOKUP(B4,Base_Mensuelle!$MC$68:$OD$679,17,0)</f>
        <v>8.5908915400000012</v>
      </c>
      <c r="C20" s="1110">
        <f>VLOOKUP(C4,Base_Mensuelle!$MC$68:$OD$679,17,0)</f>
        <v>12.211283603</v>
      </c>
      <c r="D20" s="1110">
        <f>VLOOKUP(D4,Base_Mensuelle!$MC$68:$OD$679,17,0)</f>
        <v>22.578448853000001</v>
      </c>
      <c r="E20" s="1110">
        <f>VLOOKUP(E4,Base_Mensuelle!$MC$68:$OD$679,17,0)</f>
        <v>33.041198057400003</v>
      </c>
      <c r="F20" s="1110">
        <f>VLOOKUP(F4,Base_Mensuelle!$MC$68:$OD$679,17,0)</f>
        <v>40.077952375400002</v>
      </c>
      <c r="G20" s="1110">
        <f>VLOOKUP(G4,Base_Mensuelle!$MC$68:$OD$679,17,0)</f>
        <v>53.764806034400003</v>
      </c>
      <c r="H20" s="1110">
        <f>VLOOKUP(H4,Base_Mensuelle!$MC$68:$OD$679,17,0)</f>
        <v>64.498562220600007</v>
      </c>
      <c r="I20" s="1110">
        <f>VLOOKUP(I4,Base_Mensuelle!$MC$68:$OD$679,17,0)</f>
        <v>71.533813613600003</v>
      </c>
      <c r="J20" s="1110">
        <f>VLOOKUP(J4,Base_Mensuelle!$MC$68:$OD$679,17,0)</f>
        <v>78.088830829600013</v>
      </c>
      <c r="K20" s="1110">
        <f>VLOOKUP(K4,Base_Mensuelle!$MC$68:$OD$679,17,0)</f>
        <v>86.910942242600015</v>
      </c>
      <c r="L20" s="1110">
        <f>VLOOKUP(L4,Base_Mensuelle!$MC$68:$OD$679,17,0)</f>
        <v>93.705066750600011</v>
      </c>
      <c r="M20" s="1110">
        <f>VLOOKUP(M4,Base_Mensuelle!$MC$68:$OD$679,17,0)</f>
        <v>100.65497341160001</v>
      </c>
    </row>
    <row r="21" spans="1:13" ht="12.75" customHeight="1">
      <c r="A21" s="1442" t="s">
        <v>785</v>
      </c>
      <c r="B21" s="1111">
        <f>VLOOKUP(B4,Base_Mensuelle!$MC$68:$OD$679,18,0)</f>
        <v>0</v>
      </c>
      <c r="C21" s="1111">
        <f>VLOOKUP(C4,Base_Mensuelle!$MC$68:$OD$679,18,0)</f>
        <v>0</v>
      </c>
      <c r="D21" s="1111">
        <f>VLOOKUP(D4,Base_Mensuelle!$MC$68:$OD$679,18,0)</f>
        <v>0</v>
      </c>
      <c r="E21" s="1111">
        <f>VLOOKUP(E4,Base_Mensuelle!$MC$68:$OD$679,18,0)</f>
        <v>0</v>
      </c>
      <c r="F21" s="1111">
        <f>VLOOKUP(F4,Base_Mensuelle!$MC$68:$OD$679,18,0)</f>
        <v>0</v>
      </c>
      <c r="G21" s="1111">
        <f>VLOOKUP(G4,Base_Mensuelle!$MC$68:$OD$679,18,0)</f>
        <v>0</v>
      </c>
      <c r="H21" s="1111">
        <f>VLOOKUP(H4,Base_Mensuelle!$MC$68:$OD$679,18,0)</f>
        <v>0</v>
      </c>
      <c r="I21" s="1111">
        <f>VLOOKUP(I4,Base_Mensuelle!$MC$68:$OD$679,18,0)</f>
        <v>0</v>
      </c>
      <c r="J21" s="1111">
        <f>VLOOKUP(J4,Base_Mensuelle!$MC$68:$OD$679,18,0)</f>
        <v>0</v>
      </c>
      <c r="K21" s="1111">
        <f>VLOOKUP(K4,Base_Mensuelle!$MC$68:$OD$679,18,0)</f>
        <v>0</v>
      </c>
      <c r="L21" s="1111">
        <f>VLOOKUP(L4,Base_Mensuelle!$MC$68:$OD$679,18,0)</f>
        <v>0</v>
      </c>
      <c r="M21" s="1111">
        <f>VLOOKUP(M4,Base_Mensuelle!$MC$68:$OD$679,18,0)</f>
        <v>0</v>
      </c>
    </row>
    <row r="22" spans="1:13" ht="12.75" customHeight="1">
      <c r="A22" s="1328" t="s">
        <v>786</v>
      </c>
      <c r="B22" s="1110">
        <f>VLOOKUP(B4,Base_Mensuelle!$MC$68:$OD$679,19,0)</f>
        <v>1.2687434989999999</v>
      </c>
      <c r="C22" s="1110">
        <f>VLOOKUP(C4,Base_Mensuelle!$MC$68:$OD$679,19,0)</f>
        <v>30.969842956610144</v>
      </c>
      <c r="D22" s="1110">
        <f>VLOOKUP(D4,Base_Mensuelle!$MC$68:$OD$679,19,0)</f>
        <v>63.078430933302585</v>
      </c>
      <c r="E22" s="1110">
        <f>VLOOKUP(E4,Base_Mensuelle!$MC$68:$OD$679,19,0)</f>
        <v>65.041572324177579</v>
      </c>
      <c r="F22" s="1110">
        <f>VLOOKUP(F4,Base_Mensuelle!$MC$68:$OD$679,19,0)</f>
        <v>109.9661012677892</v>
      </c>
      <c r="G22" s="1110">
        <f>VLOOKUP(G4,Base_Mensuelle!$MC$68:$OD$679,19,0)</f>
        <v>128.22965172884872</v>
      </c>
      <c r="H22" s="1110">
        <f>VLOOKUP(H4,Base_Mensuelle!$MC$68:$OD$679,19,0)</f>
        <v>136.99322983892219</v>
      </c>
      <c r="I22" s="1110">
        <f>VLOOKUP(I4,Base_Mensuelle!$MC$68:$OD$679,19,0)</f>
        <v>143.8661720824793</v>
      </c>
      <c r="J22" s="1110">
        <f>VLOOKUP(J4,Base_Mensuelle!$MC$68:$OD$679,19,0)</f>
        <v>150.43858107147929</v>
      </c>
      <c r="K22" s="1110">
        <f>VLOOKUP(K4,Base_Mensuelle!$MC$68:$OD$679,19,0)</f>
        <v>153.18715230359379</v>
      </c>
      <c r="L22" s="1110">
        <f>VLOOKUP(L4,Base_Mensuelle!$MC$68:$OD$679,19,0)</f>
        <v>191.81875409590515</v>
      </c>
      <c r="M22" s="1110">
        <f>VLOOKUP(M4,Base_Mensuelle!$MC$68:$OD$679,19,0)</f>
        <v>277.24172124464474</v>
      </c>
    </row>
    <row r="23" spans="1:13" ht="12.9">
      <c r="A23" s="1442" t="s">
        <v>787</v>
      </c>
      <c r="B23" s="1111">
        <f>VLOOKUP(B4,Base_Mensuelle!$MC$68:$OD$679,20,0)</f>
        <v>1.2687434989999999</v>
      </c>
      <c r="C23" s="1111">
        <f>VLOOKUP(C4,Base_Mensuelle!$MC$68:$OD$679,20,0)</f>
        <v>30.969842956610144</v>
      </c>
      <c r="D23" s="1111">
        <f>VLOOKUP(D4,Base_Mensuelle!$MC$68:$OD$679,20,0)</f>
        <v>45.876479366302583</v>
      </c>
      <c r="E23" s="1111">
        <f>VLOOKUP(E4,Base_Mensuelle!$MC$68:$OD$679,20,0)</f>
        <v>47.839620757177578</v>
      </c>
      <c r="F23" s="1111">
        <f>VLOOKUP(F4,Base_Mensuelle!$MC$68:$OD$679,20,0)</f>
        <v>65.069516284789202</v>
      </c>
      <c r="G23" s="1111">
        <f>VLOOKUP(G4,Base_Mensuelle!$MC$68:$OD$679,20,0)</f>
        <v>82.715782795848725</v>
      </c>
      <c r="H23" s="1111">
        <f>VLOOKUP(H4,Base_Mensuelle!$MC$68:$OD$679,20,0)</f>
        <v>91.479360905922206</v>
      </c>
      <c r="I23" s="1111">
        <f>VLOOKUP(I4,Base_Mensuelle!$MC$68:$OD$679,20,0)</f>
        <v>98.352303149479283</v>
      </c>
      <c r="J23" s="1111">
        <f>VLOOKUP(J4,Base_Mensuelle!$MC$68:$OD$679,20,0)</f>
        <v>104.92471213847929</v>
      </c>
      <c r="K23" s="1111">
        <f>VLOOKUP(K4,Base_Mensuelle!$MC$68:$OD$679,20,0)</f>
        <v>107.67328337059378</v>
      </c>
      <c r="L23" s="1111">
        <f>VLOOKUP(L4,Base_Mensuelle!$MC$68:$OD$679,20,0)</f>
        <v>132.29366725690517</v>
      </c>
      <c r="M23" s="1111">
        <f>VLOOKUP(M4,Base_Mensuelle!$MC$68:$OD$679,20,0)</f>
        <v>196.34704006664475</v>
      </c>
    </row>
    <row r="24" spans="1:13" ht="24.6">
      <c r="A24" s="1328" t="s">
        <v>788</v>
      </c>
      <c r="B24" s="1110">
        <f>VLOOKUP(B4,Base_Mensuelle!$MC$68:$OD$679,21,0)</f>
        <v>0</v>
      </c>
      <c r="C24" s="1110">
        <f>VLOOKUP(C4,Base_Mensuelle!$MC$68:$OD$679,21,0)</f>
        <v>0</v>
      </c>
      <c r="D24" s="1110">
        <f>VLOOKUP(D4,Base_Mensuelle!$MC$68:$OD$679,21,0)</f>
        <v>17.201951567000002</v>
      </c>
      <c r="E24" s="1110">
        <f>VLOOKUP(E4,Base_Mensuelle!$MC$68:$OD$679,21,0)</f>
        <v>17.201951567000002</v>
      </c>
      <c r="F24" s="1110">
        <f>VLOOKUP(F4,Base_Mensuelle!$MC$68:$OD$679,21,0)</f>
        <v>44.896584983000004</v>
      </c>
      <c r="G24" s="1110">
        <f>VLOOKUP(G4,Base_Mensuelle!$MC$68:$OD$679,21,0)</f>
        <v>45.513868933000005</v>
      </c>
      <c r="H24" s="1110">
        <f>VLOOKUP(H4,Base_Mensuelle!$MC$68:$OD$679,21,0)</f>
        <v>45.513868933000005</v>
      </c>
      <c r="I24" s="1110">
        <f>VLOOKUP(I4,Base_Mensuelle!$MC$68:$OD$679,21,0)</f>
        <v>45.513868933000005</v>
      </c>
      <c r="J24" s="1110">
        <f>VLOOKUP(J4,Base_Mensuelle!$MC$68:$OD$679,21,0)</f>
        <v>45.513868933000005</v>
      </c>
      <c r="K24" s="1110">
        <f>VLOOKUP(K4,Base_Mensuelle!$MC$68:$OD$679,21,0)</f>
        <v>45.513868933000005</v>
      </c>
      <c r="L24" s="1110">
        <f>VLOOKUP(L4,Base_Mensuelle!$MC$68:$OD$679,21,0)</f>
        <v>59.525086839000004</v>
      </c>
      <c r="M24" s="1110">
        <f>VLOOKUP(M4,Base_Mensuelle!$MC$68:$OD$679,21,0)</f>
        <v>80.894681177999999</v>
      </c>
    </row>
    <row r="25" spans="1:13" ht="24.6">
      <c r="A25" s="1442" t="s">
        <v>789</v>
      </c>
      <c r="B25" s="1111">
        <f>VLOOKUP(B4,Base_Mensuelle!$MC$68:$OD$679,22,0)</f>
        <v>108.58146995531962</v>
      </c>
      <c r="C25" s="1111">
        <f>VLOOKUP(C4,Base_Mensuelle!$MC$68:$OD$679,22,0)</f>
        <v>328.46298376997782</v>
      </c>
      <c r="D25" s="1111">
        <f>VLOOKUP(D4,Base_Mensuelle!$MC$68:$OD$679,22,0)</f>
        <v>676.74344637898457</v>
      </c>
      <c r="E25" s="1111">
        <f>VLOOKUP(E4,Base_Mensuelle!$MC$68:$OD$679,22,0)</f>
        <v>845.21912791630871</v>
      </c>
      <c r="F25" s="1111">
        <f>VLOOKUP(F4,Base_Mensuelle!$MC$68:$OD$679,22,0)</f>
        <v>1096.6951306838223</v>
      </c>
      <c r="G25" s="1111">
        <f>VLOOKUP(G4,Base_Mensuelle!$MC$68:$OD$679,22,0)</f>
        <v>1317.3568172053167</v>
      </c>
      <c r="H25" s="1111">
        <f>VLOOKUP(H4,Base_Mensuelle!$MC$68:$OD$679,22,0)</f>
        <v>1608.8631729599224</v>
      </c>
      <c r="I25" s="1111">
        <f>VLOOKUP(I4,Base_Mensuelle!$MC$68:$OD$679,22,0)</f>
        <v>1889.3552642982095</v>
      </c>
      <c r="J25" s="1111">
        <f>VLOOKUP(J4,Base_Mensuelle!$MC$68:$OD$679,22,0)</f>
        <v>2093.9730619590505</v>
      </c>
      <c r="K25" s="1111">
        <f>VLOOKUP(K4,Base_Mensuelle!$MC$68:$OD$679,22,0)</f>
        <v>2299.2464824373837</v>
      </c>
      <c r="L25" s="1111">
        <f>VLOOKUP(L4,Base_Mensuelle!$MC$68:$OD$679,22,0)</f>
        <v>2496.1254524103606</v>
      </c>
      <c r="M25" s="1111">
        <f>VLOOKUP(M4,Base_Mensuelle!$MC$68:$OD$679,22,0)</f>
        <v>2824.4186726876947</v>
      </c>
    </row>
    <row r="26" spans="1:13" ht="25.5" customHeight="1">
      <c r="A26" s="1328" t="s">
        <v>790</v>
      </c>
      <c r="B26" s="1114">
        <f>VLOOKUP(B4,Base_Mensuelle!$MC$68:$OD$679,23,0)</f>
        <v>108.60821889031962</v>
      </c>
      <c r="C26" s="1114">
        <f>VLOOKUP(C4,Base_Mensuelle!$MC$68:$OD$679,23,0)</f>
        <v>328.48973270497783</v>
      </c>
      <c r="D26" s="1114">
        <f>VLOOKUP(D4,Base_Mensuelle!$MC$68:$OD$679,23,0)</f>
        <v>677.66987842898459</v>
      </c>
      <c r="E26" s="1114">
        <f>VLOOKUP(E4,Base_Mensuelle!$MC$68:$OD$679,23,0)</f>
        <v>848.12024941930883</v>
      </c>
      <c r="F26" s="1114">
        <f>VLOOKUP(F4,Base_Mensuelle!$MC$68:$OD$679,23,0)</f>
        <v>1100.7325501998225</v>
      </c>
      <c r="G26" s="1114">
        <f>VLOOKUP(G4,Base_Mensuelle!$MC$68:$OD$679,23,0)</f>
        <v>1321.997046292317</v>
      </c>
      <c r="H26" s="1114">
        <f>VLOOKUP(H4,Base_Mensuelle!$MC$68:$OD$679,23,0)</f>
        <v>1613.9383710669222</v>
      </c>
      <c r="I26" s="1114">
        <f>VLOOKUP(I4,Base_Mensuelle!$MC$68:$OD$679,23,0)</f>
        <v>1894.4304624052093</v>
      </c>
      <c r="J26" s="1114">
        <f>VLOOKUP(J4,Base_Mensuelle!$MC$68:$OD$679,23,0)</f>
        <v>2099.0487556740504</v>
      </c>
      <c r="K26" s="1114">
        <f>VLOOKUP(K4,Base_Mensuelle!$MC$68:$OD$679,23,0)</f>
        <v>2304.3464381663839</v>
      </c>
      <c r="L26" s="1114">
        <f>VLOOKUP(L4,Base_Mensuelle!$MC$68:$OD$679,23,0)</f>
        <v>2511.0613534523609</v>
      </c>
      <c r="M26" s="1114">
        <f>VLOOKUP(M4,Base_Mensuelle!$MC$68:$OD$679,23,0)</f>
        <v>2814.176606889695</v>
      </c>
    </row>
    <row r="27" spans="1:13" ht="12.75" customHeight="1">
      <c r="A27" s="1443" t="s">
        <v>791</v>
      </c>
      <c r="B27" s="1113">
        <f>VLOOKUP(B4,Base_Mensuelle!$MC$68:$OD$679,24,0)</f>
        <v>101.29720097050942</v>
      </c>
      <c r="C27" s="1113">
        <f>VLOOKUP(C4,Base_Mensuelle!$MC$68:$OD$679,24,0)</f>
        <v>236.92015291268248</v>
      </c>
      <c r="D27" s="1113">
        <f>VLOOKUP(D4,Base_Mensuelle!$MC$68:$OD$679,24,0)</f>
        <v>483.88584800018202</v>
      </c>
      <c r="E27" s="1113">
        <f>VLOOKUP(E4,Base_Mensuelle!$MC$68:$OD$679,24,0)</f>
        <v>614.81530718525619</v>
      </c>
      <c r="F27" s="1113">
        <f>VLOOKUP(F4,Base_Mensuelle!$MC$68:$OD$679,24,0)</f>
        <v>809.79537221256646</v>
      </c>
      <c r="G27" s="1113">
        <f>VLOOKUP(G4,Base_Mensuelle!$MC$68:$OD$679,24,0)</f>
        <v>979.60216556091621</v>
      </c>
      <c r="H27" s="1113">
        <f>VLOOKUP(H4,Base_Mensuelle!$MC$68:$OD$679,24,0)</f>
        <v>1156.1705580924922</v>
      </c>
      <c r="I27" s="1113">
        <f>VLOOKUP(I4,Base_Mensuelle!$MC$68:$OD$679,24,0)</f>
        <v>1344.6587316508162</v>
      </c>
      <c r="J27" s="1113">
        <f>VLOOKUP(J4,Base_Mensuelle!$MC$68:$OD$679,24,0)</f>
        <v>1488.3006785709051</v>
      </c>
      <c r="K27" s="1113">
        <f>VLOOKUP(K4,Base_Mensuelle!$MC$68:$OD$679,24,0)</f>
        <v>1623.3017627536458</v>
      </c>
      <c r="L27" s="1113">
        <f>VLOOKUP(L4,Base_Mensuelle!$MC$68:$OD$679,24,0)</f>
        <v>1761.6735233412248</v>
      </c>
      <c r="M27" s="1113">
        <f>VLOOKUP(M4,Base_Mensuelle!$MC$68:$OD$679,24,0)</f>
        <v>1893.279732898475</v>
      </c>
    </row>
    <row r="28" spans="1:13" ht="24.6">
      <c r="A28" s="1330" t="s">
        <v>792</v>
      </c>
      <c r="B28" s="1112">
        <f>VLOOKUP(B4,Base_Mensuelle!$MC$68:$OD$679,25,0)</f>
        <v>72.746281530000005</v>
      </c>
      <c r="C28" s="1112">
        <f>VLOOKUP(C4,Base_Mensuelle!$MC$68:$OD$679,25,0)</f>
        <v>150.20188960800002</v>
      </c>
      <c r="D28" s="1112">
        <f>VLOOKUP(D4,Base_Mensuelle!$MC$68:$OD$679,25,0)</f>
        <v>223.17168586899999</v>
      </c>
      <c r="E28" s="1112">
        <f>VLOOKUP(E4,Base_Mensuelle!$MC$68:$OD$679,25,0)</f>
        <v>304.28658486433335</v>
      </c>
      <c r="F28" s="1112">
        <f>VLOOKUP(F4,Base_Mensuelle!$MC$68:$OD$679,25,0)</f>
        <v>403.60306688133335</v>
      </c>
      <c r="G28" s="1112">
        <f>VLOOKUP(G4,Base_Mensuelle!$MC$68:$OD$679,25,0)</f>
        <v>497.88601828899999</v>
      </c>
      <c r="H28" s="1112">
        <f>VLOOKUP(H4,Base_Mensuelle!$MC$68:$OD$679,25,0)</f>
        <v>579.71599790499999</v>
      </c>
      <c r="I28" s="1112">
        <f>VLOOKUP(I4,Base_Mensuelle!$MC$68:$OD$679,25,0)</f>
        <v>660.24458851100007</v>
      </c>
      <c r="J28" s="1112">
        <f>VLOOKUP(J4,Base_Mensuelle!$MC$68:$OD$679,25,0)</f>
        <v>738.81901204299993</v>
      </c>
      <c r="K28" s="1112">
        <f>VLOOKUP(K4,Base_Mensuelle!$MC$68:$OD$679,25,0)</f>
        <v>814.68874833566667</v>
      </c>
      <c r="L28" s="1112">
        <f>VLOOKUP(L4,Base_Mensuelle!$MC$68:$OD$679,25,0)</f>
        <v>894.38473221200002</v>
      </c>
      <c r="M28" s="1112">
        <f>VLOOKUP(M4,Base_Mensuelle!$MC$68:$OD$679,25,0)</f>
        <v>964.98842690499998</v>
      </c>
    </row>
    <row r="29" spans="1:13" ht="24.6">
      <c r="A29" s="1442" t="s">
        <v>793</v>
      </c>
      <c r="B29" s="1111">
        <f>VLOOKUP(B4,Base_Mensuelle!$MC$68:$OD$679,26,0)</f>
        <v>1.285568531</v>
      </c>
      <c r="C29" s="1111">
        <f>VLOOKUP(C4,Base_Mensuelle!$MC$68:$OD$679,26,0)</f>
        <v>9.0225840040000005</v>
      </c>
      <c r="D29" s="1111">
        <f>VLOOKUP(D4,Base_Mensuelle!$MC$68:$OD$679,26,0)</f>
        <v>21.290615824</v>
      </c>
      <c r="E29" s="1111">
        <f>VLOOKUP(E4,Base_Mensuelle!$MC$68:$OD$679,26,0)</f>
        <v>31.168053215</v>
      </c>
      <c r="F29" s="1111">
        <f>VLOOKUP(F4,Base_Mensuelle!$MC$68:$OD$679,26,0)</f>
        <v>66.035470608000011</v>
      </c>
      <c r="G29" s="1111">
        <f>VLOOKUP(G4,Base_Mensuelle!$MC$68:$OD$679,26,0)</f>
        <v>78.07810798300001</v>
      </c>
      <c r="H29" s="1111">
        <f>VLOOKUP(H4,Base_Mensuelle!$MC$68:$OD$679,26,0)</f>
        <v>114.92088835300001</v>
      </c>
      <c r="I29" s="1111">
        <f>VLOOKUP(I4,Base_Mensuelle!$MC$68:$OD$679,26,0)</f>
        <v>129.67156947400002</v>
      </c>
      <c r="J29" s="1111">
        <f>VLOOKUP(J4,Base_Mensuelle!$MC$68:$OD$679,26,0)</f>
        <v>145.18071010599999</v>
      </c>
      <c r="K29" s="1111">
        <f>VLOOKUP(K4,Base_Mensuelle!$MC$68:$OD$679,26,0)</f>
        <v>157.26171097999998</v>
      </c>
      <c r="L29" s="1111">
        <f>VLOOKUP(L4,Base_Mensuelle!$MC$68:$OD$679,26,0)</f>
        <v>168.185311111</v>
      </c>
      <c r="M29" s="1111">
        <f>VLOOKUP(M4,Base_Mensuelle!$MC$68:$OD$679,26,0)</f>
        <v>192.06936471500001</v>
      </c>
    </row>
    <row r="30" spans="1:13" ht="12.75" customHeight="1">
      <c r="A30" s="1328" t="s">
        <v>425</v>
      </c>
      <c r="B30" s="1110">
        <f>VLOOKUP(B4,Base_Mensuelle!$MC$68:$OD$679,27,0)</f>
        <v>12.354261187509419</v>
      </c>
      <c r="C30" s="1110">
        <f>VLOOKUP(C4,Base_Mensuelle!$MC$68:$OD$679,27,0)</f>
        <v>22.160521803682439</v>
      </c>
      <c r="D30" s="1110">
        <f>VLOOKUP(D4,Base_Mensuelle!$MC$68:$OD$679,27,0)</f>
        <v>28.525344576182025</v>
      </c>
      <c r="E30" s="1110">
        <f>VLOOKUP(E4,Base_Mensuelle!$MC$68:$OD$679,27,0)</f>
        <v>48.608553379922853</v>
      </c>
      <c r="F30" s="1110">
        <f>VLOOKUP(F4,Base_Mensuelle!$MC$68:$OD$679,27,0)</f>
        <v>65.459192884233076</v>
      </c>
      <c r="G30" s="1110">
        <f>VLOOKUP(G4,Base_Mensuelle!$MC$68:$OD$679,27,0)</f>
        <v>79.699856486916204</v>
      </c>
      <c r="H30" s="1110">
        <f>VLOOKUP(H4,Base_Mensuelle!$MC$68:$OD$679,27,0)</f>
        <v>99.755395099492375</v>
      </c>
      <c r="I30" s="1110">
        <f>VLOOKUP(I4,Base_Mensuelle!$MC$68:$OD$679,27,0)</f>
        <v>114.5086865368162</v>
      </c>
      <c r="J30" s="1110">
        <f>VLOOKUP(J4,Base_Mensuelle!$MC$68:$OD$679,27,0)</f>
        <v>137.05288393490534</v>
      </c>
      <c r="K30" s="1110">
        <f>VLOOKUP(K4,Base_Mensuelle!$MC$68:$OD$679,27,0)</f>
        <v>153.80261748497932</v>
      </c>
      <c r="L30" s="1110">
        <f>VLOOKUP(L4,Base_Mensuelle!$MC$68:$OD$679,27,0)</f>
        <v>175.33558640622491</v>
      </c>
      <c r="M30" s="1110">
        <f>VLOOKUP(M4,Base_Mensuelle!$MC$68:$OD$679,27,0)</f>
        <v>192.54875514547484</v>
      </c>
    </row>
    <row r="31" spans="1:13" ht="12.75" customHeight="1">
      <c r="A31" s="1442" t="s">
        <v>426</v>
      </c>
      <c r="B31" s="1111">
        <f>VLOOKUP(B4,Base_Mensuelle!$MC$68:$OD$679,28,0)</f>
        <v>11.194865554</v>
      </c>
      <c r="C31" s="1111">
        <f>VLOOKUP(C4,Base_Mensuelle!$MC$68:$OD$679,28,0)</f>
        <v>20.021561638000001</v>
      </c>
      <c r="D31" s="1111">
        <f>VLOOKUP(D4,Base_Mensuelle!$MC$68:$OD$679,28,0)</f>
        <v>24.770651538000003</v>
      </c>
      <c r="E31" s="1111">
        <f>VLOOKUP(E4,Base_Mensuelle!$MC$68:$OD$679,28,0)</f>
        <v>40.085173017999992</v>
      </c>
      <c r="F31" s="1111">
        <f>VLOOKUP(F4,Base_Mensuelle!$MC$68:$OD$679,28,0)</f>
        <v>54.030620019999994</v>
      </c>
      <c r="G31" s="1111">
        <f>VLOOKUP(G4,Base_Mensuelle!$MC$68:$OD$679,28,0)</f>
        <v>66.448293405357916</v>
      </c>
      <c r="H31" s="1111">
        <f>VLOOKUP(H4,Base_Mensuelle!$MC$68:$OD$679,28,0)</f>
        <v>85.128831660357918</v>
      </c>
      <c r="I31" s="1111">
        <f>VLOOKUP(I4,Base_Mensuelle!$MC$68:$OD$679,28,0)</f>
        <v>98.237221609357917</v>
      </c>
      <c r="J31" s="1111">
        <f>VLOOKUP(J4,Base_Mensuelle!$MC$68:$OD$679,28,0)</f>
        <v>118.66353891035791</v>
      </c>
      <c r="K31" s="1111">
        <f>VLOOKUP(K4,Base_Mensuelle!$MC$68:$OD$679,28,0)</f>
        <v>130.0354956193579</v>
      </c>
      <c r="L31" s="1111">
        <f>VLOOKUP(L4,Base_Mensuelle!$MC$68:$OD$679,28,0)</f>
        <v>148.82843635535789</v>
      </c>
      <c r="M31" s="1111">
        <f>VLOOKUP(M4,Base_Mensuelle!$MC$68:$OD$679,28,0)</f>
        <v>163.93197805809467</v>
      </c>
    </row>
    <row r="32" spans="1:13" ht="12.9">
      <c r="A32" s="1330" t="s">
        <v>794</v>
      </c>
      <c r="B32" s="1112">
        <f>VLOOKUP(B4,Base_Mensuelle!$MC$68:$OD$679,29,0)</f>
        <v>1.1593956335094198</v>
      </c>
      <c r="C32" s="1112"/>
      <c r="D32" s="1112">
        <f>VLOOKUP(D4,Base_Mensuelle!$MC$68:$OD$679,29,0)</f>
        <v>3.7546930381820256</v>
      </c>
      <c r="E32" s="1112">
        <f>VLOOKUP(E4,Base_Mensuelle!$MC$68:$OD$679,29,0)</f>
        <v>8.5233803619228663</v>
      </c>
      <c r="F32" s="1112">
        <f>VLOOKUP(F4,Base_Mensuelle!$MC$68:$OD$679,29,0)</f>
        <v>11.428572864233086</v>
      </c>
      <c r="G32" s="1112">
        <f>VLOOKUP(G4,Base_Mensuelle!$MC$68:$OD$679,29,0)</f>
        <v>13.251563081558295</v>
      </c>
      <c r="H32" s="1112">
        <f>VLOOKUP(H4,Base_Mensuelle!$MC$68:$OD$679,29,0)</f>
        <v>14.626563439134449</v>
      </c>
      <c r="I32" s="1112">
        <f>VLOOKUP(I4,Base_Mensuelle!$MC$68:$OD$679,29,0)</f>
        <v>16.271464927458268</v>
      </c>
      <c r="J32" s="1112">
        <f>VLOOKUP(J4,Base_Mensuelle!$MC$68:$OD$679,29,0)</f>
        <v>18.389345024547449</v>
      </c>
      <c r="K32" s="1112">
        <f>VLOOKUP(K4,Base_Mensuelle!$MC$68:$OD$679,29,0)</f>
        <v>23.767121865621437</v>
      </c>
      <c r="L32" s="1112">
        <f>VLOOKUP(L4,Base_Mensuelle!$MC$68:$OD$679,29,0)</f>
        <v>26.507150050867047</v>
      </c>
      <c r="M32" s="1112">
        <f>VLOOKUP(M4,Base_Mensuelle!$MC$68:$OD$679,29,0)</f>
        <v>28.616777087380193</v>
      </c>
    </row>
    <row r="33" spans="1:13" ht="24.6">
      <c r="A33" s="1444" t="s">
        <v>795</v>
      </c>
      <c r="B33" s="1111">
        <f>VLOOKUP(B4,Base_Mensuelle!$MC$68:$OD$679,30,0)</f>
        <v>14.911089722000002</v>
      </c>
      <c r="C33" s="1111">
        <f>VLOOKUP(C4,Base_Mensuelle!$MC$68:$OD$679,30,0)</f>
        <v>55.535157497</v>
      </c>
      <c r="D33" s="1111">
        <f>VLOOKUP(D4,Base_Mensuelle!$MC$68:$OD$679,30,0)</f>
        <v>210.898201731</v>
      </c>
      <c r="E33" s="1111">
        <f>VLOOKUP(E4,Base_Mensuelle!$MC$68:$OD$679,30,0)</f>
        <v>230.752115726</v>
      </c>
      <c r="F33" s="1111">
        <f>VLOOKUP(F4,Base_Mensuelle!$MC$68:$OD$679,30,0)</f>
        <v>274.69764183900003</v>
      </c>
      <c r="G33" s="1111">
        <f>VLOOKUP(G4,Base_Mensuelle!$MC$68:$OD$679,30,0)</f>
        <v>323.93818280200003</v>
      </c>
      <c r="H33" s="1111">
        <f>VLOOKUP(H4,Base_Mensuelle!$MC$68:$OD$679,30,0)</f>
        <v>361.77827673500002</v>
      </c>
      <c r="I33" s="1111">
        <f>VLOOKUP(I4,Base_Mensuelle!$MC$68:$OD$679,30,0)</f>
        <v>440.2338871290001</v>
      </c>
      <c r="J33" s="1111">
        <f>VLOOKUP(J4,Base_Mensuelle!$MC$68:$OD$679,30,0)</f>
        <v>467.24807248700006</v>
      </c>
      <c r="K33" s="1111">
        <f>VLOOKUP(K4,Base_Mensuelle!$MC$68:$OD$679,30,0)</f>
        <v>497.54868595300002</v>
      </c>
      <c r="L33" s="1111">
        <f>VLOOKUP(L4,Base_Mensuelle!$MC$68:$OD$679,30,0)</f>
        <v>523.76789361199997</v>
      </c>
      <c r="M33" s="1111">
        <f>VLOOKUP(M4,Base_Mensuelle!$MC$68:$OD$679,30,0)</f>
        <v>543.67318613300006</v>
      </c>
    </row>
    <row r="34" spans="1:13" ht="12.75" customHeight="1">
      <c r="A34" s="1330" t="s">
        <v>796</v>
      </c>
      <c r="B34" s="1112">
        <f>VLOOKUP(B4,Base_Mensuelle!$MC$68:$OD$679,31,0)</f>
        <v>0.59748268000000004</v>
      </c>
      <c r="C34" s="1112">
        <f>VLOOKUP(C4,Base_Mensuelle!$MC$68:$OD$679,31,0)</f>
        <v>1.7063891474999999</v>
      </c>
      <c r="D34" s="1112">
        <f>VLOOKUP(D4,Base_Mensuelle!$MC$68:$OD$679,31,0)</f>
        <v>2.6566437650000005</v>
      </c>
      <c r="E34" s="1112">
        <f>VLOOKUP(E4,Base_Mensuelle!$MC$68:$OD$679,31,0)</f>
        <v>3.5395678699999999</v>
      </c>
      <c r="F34" s="1112">
        <f>VLOOKUP(F4,Base_Mensuelle!$MC$68:$OD$679,31,0)</f>
        <v>4.4859048675000004</v>
      </c>
      <c r="G34" s="1112">
        <f>VLOOKUP(G4,Base_Mensuelle!$MC$68:$OD$679,31,0)</f>
        <v>5.5386032975000017</v>
      </c>
      <c r="H34" s="1112">
        <f>VLOOKUP(H4,Base_Mensuelle!$MC$68:$OD$679,31,0)</f>
        <v>6.5837947600000009</v>
      </c>
      <c r="I34" s="1112">
        <f>VLOOKUP(I4,Base_Mensuelle!$MC$68:$OD$679,31,0)</f>
        <v>8.1056783299999999</v>
      </c>
      <c r="J34" s="1112">
        <f>VLOOKUP(J4,Base_Mensuelle!$MC$68:$OD$679,31,0)</f>
        <v>9.1913411019999991</v>
      </c>
      <c r="K34" s="1112">
        <f>VLOOKUP(K4,Base_Mensuelle!$MC$68:$OD$679,31,0)</f>
        <v>10.353303244499999</v>
      </c>
      <c r="L34" s="1112">
        <f>VLOOKUP(L4,Base_Mensuelle!$MC$68:$OD$679,31,0)</f>
        <v>11.583714451999999</v>
      </c>
      <c r="M34" s="1112">
        <f>VLOOKUP(M4,Base_Mensuelle!$MC$68:$OD$679,31,0)</f>
        <v>13.085359546999999</v>
      </c>
    </row>
    <row r="35" spans="1:13" ht="12.75" customHeight="1">
      <c r="A35" s="1442" t="s">
        <v>797</v>
      </c>
      <c r="B35" s="1111">
        <f>VLOOKUP(B4,Base_Mensuelle!$MC$68:$OD$679,32,0)</f>
        <v>8.5716591660000008E-3</v>
      </c>
      <c r="C35" s="1111">
        <f>VLOOKUP(C4,Base_Mensuelle!$MC$68:$OD$679,32,0)</f>
        <v>26.258705666000001</v>
      </c>
      <c r="D35" s="1111">
        <f>VLOOKUP(D4,Base_Mensuelle!$MC$68:$OD$679,32,0)</f>
        <v>45.725219248999998</v>
      </c>
      <c r="E35" s="1111">
        <f>VLOOKUP(E4,Base_Mensuelle!$MC$68:$OD$679,32,0)</f>
        <v>47.623958748999996</v>
      </c>
      <c r="F35" s="1111">
        <f>VLOOKUP(F4,Base_Mensuelle!$MC$68:$OD$679,32,0)</f>
        <v>52.558525559000003</v>
      </c>
      <c r="G35" s="1111">
        <f>VLOOKUP(G4,Base_Mensuelle!$MC$68:$OD$679,32,0)</f>
        <v>63.921309721</v>
      </c>
      <c r="H35" s="1111">
        <f>VLOOKUP(H4,Base_Mensuelle!$MC$68:$OD$679,32,0)</f>
        <v>74.986589209999991</v>
      </c>
      <c r="I35" s="1111">
        <f>VLOOKUP(I4,Base_Mensuelle!$MC$68:$OD$679,32,0)</f>
        <v>94.273443033000007</v>
      </c>
      <c r="J35" s="1111">
        <f>VLOOKUP(J4,Base_Mensuelle!$MC$68:$OD$679,32,0)</f>
        <v>100.11517103300001</v>
      </c>
      <c r="K35" s="1111">
        <f>VLOOKUP(K4,Base_Mensuelle!$MC$68:$OD$679,32,0)</f>
        <v>108.74907072400001</v>
      </c>
      <c r="L35" s="1111">
        <f>VLOOKUP(L4,Base_Mensuelle!$MC$68:$OD$679,32,0)</f>
        <v>113.533426471</v>
      </c>
      <c r="M35" s="1111">
        <f>VLOOKUP(M4,Base_Mensuelle!$MC$68:$OD$679,32,0)</f>
        <v>114.779673715</v>
      </c>
    </row>
    <row r="36" spans="1:13" ht="12.9">
      <c r="A36" s="1328" t="s">
        <v>431</v>
      </c>
      <c r="B36" s="1110">
        <f>VLOOKUP(B4,Base_Mensuelle!$MC$68:$OD$679,33,0)</f>
        <v>0</v>
      </c>
      <c r="C36" s="1110">
        <f>VLOOKUP(C4,Base_Mensuelle!$MC$68:$OD$679,33,0)</f>
        <v>0</v>
      </c>
      <c r="D36" s="1110">
        <f>VLOOKUP(D4,Base_Mensuelle!$MC$68:$OD$679,33,0)</f>
        <v>0</v>
      </c>
      <c r="E36" s="1110">
        <f>VLOOKUP(E4,Base_Mensuelle!$MC$68:$OD$679,33,0)</f>
        <v>0</v>
      </c>
      <c r="F36" s="1110">
        <f>VLOOKUP(F4,Base_Mensuelle!$MC$68:$OD$679,33,0)</f>
        <v>0</v>
      </c>
      <c r="G36" s="1110">
        <f>VLOOKUP(G4,Base_Mensuelle!$MC$68:$OD$679,33,0)</f>
        <v>0</v>
      </c>
      <c r="H36" s="1110">
        <f>VLOOKUP(H4,Base_Mensuelle!$MC$68:$OD$679,33,0)</f>
        <v>0</v>
      </c>
      <c r="I36" s="1110">
        <f>VLOOKUP(I4,Base_Mensuelle!$MC$68:$OD$679,33,0)</f>
        <v>0</v>
      </c>
      <c r="J36" s="1110">
        <f>VLOOKUP(J4,Base_Mensuelle!$MC$68:$OD$679,33,0)</f>
        <v>0</v>
      </c>
      <c r="K36" s="1110">
        <f>VLOOKUP(K4,Base_Mensuelle!$MC$68:$OD$679,33,0)</f>
        <v>0</v>
      </c>
      <c r="L36" s="1110">
        <f>VLOOKUP(L4,Base_Mensuelle!$MC$68:$OD$679,33,0)</f>
        <v>0</v>
      </c>
      <c r="M36" s="1110">
        <f>VLOOKUP(M4,Base_Mensuelle!$MC$68:$OD$679,33,0)</f>
        <v>0</v>
      </c>
    </row>
    <row r="37" spans="1:13" ht="24.6">
      <c r="A37" s="1442" t="s">
        <v>432</v>
      </c>
      <c r="B37" s="1111">
        <f>VLOOKUP(B4,Base_Mensuelle!$MC$68:$OD$679,34,0)</f>
        <v>0</v>
      </c>
      <c r="C37" s="1111">
        <f>VLOOKUP(C4,Base_Mensuelle!$MC$68:$OD$679,34,0)</f>
        <v>0</v>
      </c>
      <c r="D37" s="1111">
        <f>VLOOKUP(D4,Base_Mensuelle!$MC$68:$OD$679,34,0)</f>
        <v>1.207614341</v>
      </c>
      <c r="E37" s="1111">
        <f>VLOOKUP(E4,Base_Mensuelle!$MC$68:$OD$679,34,0)</f>
        <v>4.1783134280000001</v>
      </c>
      <c r="F37" s="1111">
        <f>VLOOKUP(F4,Base_Mensuelle!$MC$68:$OD$679,34,0)</f>
        <v>4.2010119450000003</v>
      </c>
      <c r="G37" s="1111">
        <f>VLOOKUP(G4,Base_Mensuelle!$MC$68:$OD$679,34,0)</f>
        <v>10.201821857999999</v>
      </c>
      <c r="H37" s="1111">
        <f>VLOOKUP(H4,Base_Mensuelle!$MC$68:$OD$679,34,0)</f>
        <v>10.201821857999999</v>
      </c>
      <c r="I37" s="1111">
        <f>VLOOKUP(I4,Base_Mensuelle!$MC$68:$OD$679,34,0)</f>
        <v>21.881064706</v>
      </c>
      <c r="J37" s="1111">
        <f>VLOOKUP(J4,Base_Mensuelle!$MC$68:$OD$679,34,0)</f>
        <v>25.308656460000002</v>
      </c>
      <c r="K37" s="1111">
        <f>VLOOKUP(K4,Base_Mensuelle!$MC$68:$OD$679,34,0)</f>
        <v>25.308656460000002</v>
      </c>
      <c r="L37" s="1111">
        <f>VLOOKUP(L4,Base_Mensuelle!$MC$68:$OD$679,34,0)</f>
        <v>30.235725915</v>
      </c>
      <c r="M37" s="1111">
        <f>VLOOKUP(M4,Base_Mensuelle!$MC$68:$OD$679,34,0)</f>
        <v>31.346602943000001</v>
      </c>
    </row>
    <row r="38" spans="1:13" ht="12.9">
      <c r="A38" s="1328" t="s">
        <v>798</v>
      </c>
      <c r="B38" s="1110">
        <f>VLOOKUP(B4,Base_Mensuelle!$MC$68:$OD$679,35,0)</f>
        <v>7.3110179198101974</v>
      </c>
      <c r="C38" s="1110">
        <f>VLOOKUP(C4,Base_Mensuelle!$MC$68:$OD$679,35,0)</f>
        <v>91.569579792295357</v>
      </c>
      <c r="D38" s="1110">
        <f>VLOOKUP(D4,Base_Mensuelle!$MC$68:$OD$679,35,0)</f>
        <v>193.78403042880262</v>
      </c>
      <c r="E38" s="1110">
        <f>VLOOKUP(E4,Base_Mensuelle!$MC$68:$OD$679,35,0)</f>
        <v>233.30494223405259</v>
      </c>
      <c r="F38" s="1110">
        <f>VLOOKUP(F4,Base_Mensuelle!$MC$68:$OD$679,35,0)</f>
        <v>290.93717798725601</v>
      </c>
      <c r="G38" s="1110">
        <f>VLOOKUP(G4,Base_Mensuelle!$MC$68:$OD$679,35,0)</f>
        <v>342.39488073140063</v>
      </c>
      <c r="H38" s="1110">
        <f>VLOOKUP(H4,Base_Mensuelle!$MC$68:$OD$679,35,0)</f>
        <v>457.76781297442983</v>
      </c>
      <c r="I38" s="1110">
        <f>VLOOKUP(I4,Base_Mensuelle!$MC$68:$OD$679,35,0)</f>
        <v>549.77173075439305</v>
      </c>
      <c r="J38" s="1110">
        <f>VLOOKUP(J4,Base_Mensuelle!$MC$68:$OD$679,35,0)</f>
        <v>610.74807710314496</v>
      </c>
      <c r="K38" s="1110">
        <f>VLOOKUP(K4,Base_Mensuelle!$MC$68:$OD$679,35,0)</f>
        <v>681.04467541273777</v>
      </c>
      <c r="L38" s="1110">
        <f>VLOOKUP(L4,Base_Mensuelle!$MC$68:$OD$679,35,0)</f>
        <v>749.38783011113594</v>
      </c>
      <c r="M38" s="1110">
        <f>VLOOKUP(M4,Base_Mensuelle!$MC$68:$OD$679,35,0)</f>
        <v>920.89687399121988</v>
      </c>
    </row>
    <row r="39" spans="1:13" ht="12.9">
      <c r="A39" s="1442" t="s">
        <v>799</v>
      </c>
      <c r="B39" s="1111">
        <f>VLOOKUP(B4,Base_Mensuelle!$MC$68:$OD$679,36,0)</f>
        <v>1.7889710000000001</v>
      </c>
      <c r="C39" s="1111">
        <f>VLOOKUP(C4,Base_Mensuelle!$MC$68:$OD$679,36,0)</f>
        <v>33.600062747000003</v>
      </c>
      <c r="D39" s="1111">
        <f>VLOOKUP(D4,Base_Mensuelle!$MC$68:$OD$679,36,0)</f>
        <v>82.553110325000006</v>
      </c>
      <c r="E39" s="1111">
        <f>VLOOKUP(E4,Base_Mensuelle!$MC$68:$OD$679,36,0)</f>
        <v>98.402429939000001</v>
      </c>
      <c r="F39" s="1111">
        <f>VLOOKUP(F4,Base_Mensuelle!$MC$68:$OD$679,36,0)</f>
        <v>136.88888689700002</v>
      </c>
      <c r="G39" s="1111">
        <f>VLOOKUP(G4,Base_Mensuelle!$MC$68:$OD$679,36,0)</f>
        <v>161.17306792300002</v>
      </c>
      <c r="H39" s="1111">
        <f>VLOOKUP(H4,Base_Mensuelle!$MC$68:$OD$679,36,0)</f>
        <v>242.73201988899999</v>
      </c>
      <c r="I39" s="1111">
        <f>VLOOKUP(I4,Base_Mensuelle!$MC$68:$OD$679,36,0)</f>
        <v>294.73442895300002</v>
      </c>
      <c r="J39" s="1111">
        <f>VLOOKUP(J4,Base_Mensuelle!$MC$68:$OD$679,36,0)</f>
        <v>318.576956473</v>
      </c>
      <c r="K39" s="1111">
        <f>VLOOKUP(K4,Base_Mensuelle!$MC$68:$OD$679,36,0)</f>
        <v>376.416355705</v>
      </c>
      <c r="L39" s="1111">
        <f>VLOOKUP(L4,Base_Mensuelle!$MC$68:$OD$679,36,0)</f>
        <v>409.732438199</v>
      </c>
      <c r="M39" s="1111">
        <f>VLOOKUP(M4,Base_Mensuelle!$MC$68:$OD$679,36,0)</f>
        <v>470.65939135100001</v>
      </c>
    </row>
    <row r="40" spans="1:13" ht="12.75" customHeight="1">
      <c r="A40" s="1328" t="s">
        <v>435</v>
      </c>
      <c r="B40" s="1110">
        <f>VLOOKUP(B4,Base_Mensuelle!$MC$68:$OD$679,37,0)</f>
        <v>0</v>
      </c>
      <c r="C40" s="1110">
        <f>VLOOKUP(C4,Base_Mensuelle!$MC$68:$OD$679,37,0)</f>
        <v>0.70746944899999997</v>
      </c>
      <c r="D40" s="1110">
        <f>VLOOKUP(D4,Base_Mensuelle!$MC$68:$OD$679,37,0)</f>
        <v>0.70746944899999997</v>
      </c>
      <c r="E40" s="1110">
        <f>VLOOKUP(E4,Base_Mensuelle!$MC$68:$OD$679,37,0)</f>
        <v>1.228661548</v>
      </c>
      <c r="F40" s="1110">
        <f>VLOOKUP(F4,Base_Mensuelle!$MC$68:$OD$679,37,0)</f>
        <v>1.228661548</v>
      </c>
      <c r="G40" s="1110">
        <f>VLOOKUP(G4,Base_Mensuelle!$MC$68:$OD$679,37,0)</f>
        <v>1.228661548</v>
      </c>
      <c r="H40" s="1110">
        <f>VLOOKUP(H4,Base_Mensuelle!$MC$68:$OD$679,37,0)</f>
        <v>4.446540551</v>
      </c>
      <c r="I40" s="1110">
        <f>VLOOKUP(I4,Base_Mensuelle!$MC$68:$OD$679,37,0)</f>
        <v>4.446540551</v>
      </c>
      <c r="J40" s="1110">
        <f>VLOOKUP(J4,Base_Mensuelle!$MC$68:$OD$679,37,0)</f>
        <v>6.9378396809999998</v>
      </c>
      <c r="K40" s="1110">
        <f>VLOOKUP(K4,Base_Mensuelle!$MC$68:$OD$679,37,0)</f>
        <v>7.5269605730000002</v>
      </c>
      <c r="L40" s="1110">
        <f>VLOOKUP(L4,Base_Mensuelle!$MC$68:$OD$679,37,0)</f>
        <v>8.7572103069999994</v>
      </c>
      <c r="M40" s="1110">
        <f>VLOOKUP(M4,Base_Mensuelle!$MC$68:$OD$679,37,0)</f>
        <v>8.9694104509999999</v>
      </c>
    </row>
    <row r="41" spans="1:13" ht="12.75" customHeight="1">
      <c r="A41" s="1442" t="s">
        <v>436</v>
      </c>
      <c r="B41" s="1111">
        <f>VLOOKUP(B4,Base_Mensuelle!$MC$68:$OD$679,38,0)</f>
        <v>5.5220469198101974</v>
      </c>
      <c r="C41" s="1111">
        <f>VLOOKUP(C4,Base_Mensuelle!$MC$68:$OD$679,38,0)</f>
        <v>57.262047596295346</v>
      </c>
      <c r="D41" s="1111">
        <f>VLOOKUP(D4,Base_Mensuelle!$MC$68:$OD$679,38,0)</f>
        <v>110.52345065480259</v>
      </c>
      <c r="E41" s="1111">
        <f>VLOOKUP(E4,Base_Mensuelle!$MC$68:$OD$679,38,0)</f>
        <v>133.6738507470526</v>
      </c>
      <c r="F41" s="1111">
        <f>VLOOKUP(F4,Base_Mensuelle!$MC$68:$OD$679,38,0)</f>
        <v>152.81962954225597</v>
      </c>
      <c r="G41" s="1111">
        <f>VLOOKUP(G4,Base_Mensuelle!$MC$68:$OD$679,38,0)</f>
        <v>179.99315126040062</v>
      </c>
      <c r="H41" s="1111">
        <f>VLOOKUP(H4,Base_Mensuelle!$MC$68:$OD$679,38,0)</f>
        <v>210.58925253442987</v>
      </c>
      <c r="I41" s="1111">
        <f>VLOOKUP(I4,Base_Mensuelle!$MC$68:$OD$679,38,0)</f>
        <v>250.59076125039309</v>
      </c>
      <c r="J41" s="1111">
        <f>VLOOKUP(J4,Base_Mensuelle!$MC$68:$OD$679,38,0)</f>
        <v>285.23328094914507</v>
      </c>
      <c r="K41" s="1111">
        <f>VLOOKUP(K4,Base_Mensuelle!$MC$68:$OD$679,38,0)</f>
        <v>297.10135913473783</v>
      </c>
      <c r="L41" s="1111">
        <f>VLOOKUP(L4,Base_Mensuelle!$MC$68:$OD$679,38,0)</f>
        <v>330.89818160513607</v>
      </c>
      <c r="M41" s="1111">
        <f>VLOOKUP(M4,Base_Mensuelle!$MC$68:$OD$679,38,0)</f>
        <v>441.26807218922005</v>
      </c>
    </row>
    <row r="42" spans="1:13" ht="12.9">
      <c r="A42" s="1445" t="s">
        <v>437</v>
      </c>
      <c r="B42" s="1115">
        <f>VLOOKUP(B4,Base_Mensuelle!$MC$68:$OD$679,39,0)</f>
        <v>-2.6748935000002385E-2</v>
      </c>
      <c r="C42" s="1115">
        <f>VLOOKUP(C4,Base_Mensuelle!$MC$68:$OD$679,39,0)</f>
        <v>-2.6748935000002385E-2</v>
      </c>
      <c r="D42" s="1115">
        <f>VLOOKUP(D4,Base_Mensuelle!$MC$68:$OD$679,39,0)</f>
        <v>-0.92643205000000228</v>
      </c>
      <c r="E42" s="1115">
        <f>VLOOKUP(E4,Base_Mensuelle!$MC$68:$OD$679,39,0)</f>
        <v>-2.9011215029999895</v>
      </c>
      <c r="F42" s="1115">
        <f>VLOOKUP(F4,Base_Mensuelle!$MC$68:$OD$679,39,0)</f>
        <v>-4.037419515999991</v>
      </c>
      <c r="G42" s="1115">
        <f>VLOOKUP(G4,Base_Mensuelle!$MC$68:$OD$679,39,0)</f>
        <v>-4.6402290869999936</v>
      </c>
      <c r="H42" s="1115">
        <f>VLOOKUP(H4,Base_Mensuelle!$MC$68:$OD$679,39,0)</f>
        <v>-5.0751981069999932</v>
      </c>
      <c r="I42" s="1115">
        <f>VLOOKUP(I4,Base_Mensuelle!$MC$68:$OD$679,39,0)</f>
        <v>-5.0751981069999932</v>
      </c>
      <c r="J42" s="1115">
        <f>VLOOKUP(J4,Base_Mensuelle!$MC$68:$OD$679,39,0)</f>
        <v>-5.0756937149999883</v>
      </c>
      <c r="K42" s="1115">
        <f>VLOOKUP(K4,Base_Mensuelle!$MC$68:$OD$679,39,0)</f>
        <v>-5.0999557290000022</v>
      </c>
      <c r="L42" s="1115">
        <f>VLOOKUP(L4,Base_Mensuelle!$MC$68:$OD$679,39,0)</f>
        <v>-14.93590104199999</v>
      </c>
      <c r="M42" s="1115">
        <f>VLOOKUP(M4,Base_Mensuelle!$MC$68:$OD$679,39,0)</f>
        <v>10.242065797999999</v>
      </c>
    </row>
    <row r="43" spans="1:13" ht="12.75" customHeight="1">
      <c r="A43" s="1116" t="s">
        <v>800</v>
      </c>
      <c r="B43" s="1106"/>
      <c r="C43" s="1106"/>
      <c r="D43" s="1106"/>
      <c r="E43" s="1106"/>
      <c r="F43" s="1106"/>
      <c r="G43" s="1106"/>
      <c r="H43" s="1106"/>
      <c r="I43" s="1106"/>
      <c r="J43" s="1106"/>
      <c r="K43" s="1106"/>
      <c r="L43" s="1106"/>
      <c r="M43" s="1106"/>
    </row>
    <row r="44" spans="1:13" ht="12.75" customHeight="1">
      <c r="A44" s="1108"/>
      <c r="B44" s="1106"/>
      <c r="C44" s="1106"/>
      <c r="D44" s="1106"/>
      <c r="E44" s="1106"/>
      <c r="F44" s="1106"/>
      <c r="G44" s="1106"/>
      <c r="H44" s="1106"/>
      <c r="I44" s="1106"/>
      <c r="J44" s="1106"/>
      <c r="K44" s="1106"/>
      <c r="L44" s="1106"/>
      <c r="M44" s="1106"/>
    </row>
    <row r="45" spans="1:13" ht="12.75" customHeight="1">
      <c r="A45" s="1108"/>
      <c r="B45" s="1106"/>
      <c r="C45" s="1106"/>
      <c r="D45" s="1106"/>
      <c r="E45" s="1106"/>
      <c r="F45" s="1106"/>
      <c r="G45" s="1106"/>
      <c r="H45" s="1106"/>
      <c r="I45" s="1106"/>
      <c r="J45" s="1106"/>
      <c r="K45" s="1106"/>
      <c r="L45" s="1106"/>
      <c r="M45" s="1106"/>
    </row>
    <row r="46" spans="1:13" ht="12.75" customHeight="1">
      <c r="A46" s="1440"/>
      <c r="B46" s="1519">
        <f>DATE(YEAR(INDEX(Base_Mensuelle!$MC$68:$OE$679,MAX(Base_Mensuelle!$OE$68:$OE$679),1))-1,1,1)</f>
        <v>44562</v>
      </c>
      <c r="C46" s="1519">
        <f>DATE(YEAR(INDEX(Base_Mensuelle!$MC$68:$OE$679,MAX(Base_Mensuelle!$OE$68:$OE$679),1))-1,2,1)</f>
        <v>44593</v>
      </c>
      <c r="D46" s="1519">
        <f>DATE(YEAR(INDEX(Base_Mensuelle!$MC$68:$OE$679,MAX(Base_Mensuelle!$OE$68:$OE$679),1))-1,3,1)</f>
        <v>44621</v>
      </c>
      <c r="E46" s="1519">
        <f>DATE(YEAR(INDEX(Base_Mensuelle!$MC$68:$OE$679,MAX(Base_Mensuelle!$OE$68:$OE$679),1))-1,4,1)</f>
        <v>44652</v>
      </c>
      <c r="F46" s="1519">
        <f>DATE(YEAR(INDEX(Base_Mensuelle!$MC$68:$OE$679,MAX(Base_Mensuelle!$OE$68:$OE$679),1))-1,5,1)</f>
        <v>44682</v>
      </c>
      <c r="G46" s="1519">
        <f>DATE(YEAR(INDEX(Base_Mensuelle!$MC$68:$OE$679,MAX(Base_Mensuelle!$OE$68:$OE$679),1))-1,6,1)</f>
        <v>44713</v>
      </c>
      <c r="H46" s="1519">
        <f>DATE(YEAR(INDEX(Base_Mensuelle!$MC$68:$OE$679,MAX(Base_Mensuelle!$OE$68:$OE$679),1))-1,7,1)</f>
        <v>44743</v>
      </c>
      <c r="I46" s="1519">
        <f>DATE(YEAR(INDEX(Base_Mensuelle!$MC$68:$OE$679,MAX(Base_Mensuelle!$OE$68:$OE$679),1))-1,8,1)</f>
        <v>44774</v>
      </c>
      <c r="J46" s="1519">
        <f>DATE(YEAR(INDEX(Base_Mensuelle!$MC$68:$OE$679,MAX(Base_Mensuelle!$OE$68:$OE$679),1))-1,9,1)</f>
        <v>44805</v>
      </c>
      <c r="K46" s="1519">
        <f>DATE(YEAR(INDEX(Base_Mensuelle!$MC$68:$OE$679,MAX(Base_Mensuelle!$OE$68:$OE$679),1))-1,10,1)</f>
        <v>44835</v>
      </c>
      <c r="L46" s="1519">
        <f>DATE(YEAR(INDEX(Base_Mensuelle!$MC$68:$OE$679,MAX(Base_Mensuelle!$OE$68:$OE$679),1))-1,11,1)</f>
        <v>44866</v>
      </c>
      <c r="M46" s="1519">
        <f>DATE(YEAR(INDEX(Base_Mensuelle!$MC$68:$OE$679,MAX(Base_Mensuelle!$OE$68:$OE$679),1))-1,12,1)</f>
        <v>44896</v>
      </c>
    </row>
    <row r="47" spans="1:13" ht="12.9">
      <c r="A47" s="1441" t="s">
        <v>770</v>
      </c>
      <c r="B47" s="1109">
        <f>VLOOKUP(B46,Base_Mensuelle!$MC$68:$OD$679,2,0)</f>
        <v>186.18066465748146</v>
      </c>
      <c r="C47" s="1109">
        <f>VLOOKUP(C46,Base_Mensuelle!$MC$68:$OD$679,2,0)</f>
        <v>327.02041807868994</v>
      </c>
      <c r="D47" s="1109">
        <f>VLOOKUP(D46,Base_Mensuelle!$MC$68:$OD$679,2,0)</f>
        <v>473.60407987995586</v>
      </c>
      <c r="E47" s="1109">
        <f>VLOOKUP(E46,Base_Mensuelle!$MC$68:$OD$679,2,0)</f>
        <v>677.22825684954648</v>
      </c>
      <c r="F47" s="1109">
        <f>VLOOKUP(F46,Base_Mensuelle!$MC$68:$OD$679,2,0)</f>
        <v>877.89105681402805</v>
      </c>
      <c r="G47" s="1109">
        <f>VLOOKUP(G46,Base_Mensuelle!$MC$68:$OD$679,2,0)</f>
        <v>1160.9373787149129</v>
      </c>
      <c r="H47" s="1109">
        <f>VLOOKUP(H46,Base_Mensuelle!$MC$68:$OD$679,2,0)</f>
        <v>1423.6275889019792</v>
      </c>
      <c r="I47" s="1109">
        <f>VLOOKUP(I46,Base_Mensuelle!$MC$68:$OD$679,2,0)</f>
        <v>1688.2355081371832</v>
      </c>
      <c r="J47" s="1109">
        <f>VLOOKUP(J46,Base_Mensuelle!$MC$68:$OD$679,2,0)</f>
        <v>1861.9256397673832</v>
      </c>
      <c r="K47" s="1109">
        <f>VLOOKUP(K46,Base_Mensuelle!$MC$68:$OD$679,2,0)</f>
        <v>2102.4625764979596</v>
      </c>
      <c r="L47" s="1109">
        <f>VLOOKUP(L46,Base_Mensuelle!$MC$68:$OD$679,2,0)</f>
        <v>2279.546811505149</v>
      </c>
      <c r="M47" s="1109">
        <f>VLOOKUP(M46,Base_Mensuelle!$MC$68:$OD$679,2,0)</f>
        <v>2551.9444802460298</v>
      </c>
    </row>
    <row r="48" spans="1:13" ht="12.9">
      <c r="A48" s="1328" t="s">
        <v>771</v>
      </c>
      <c r="B48" s="1110">
        <f>VLOOKUP(B46,Base_Mensuelle!$MC$68:$OD$679,3,0)</f>
        <v>185.07941216192148</v>
      </c>
      <c r="C48" s="1110">
        <f>VLOOKUP(C46,Base_Mensuelle!$MC$68:$OD$679,3,0)</f>
        <v>322.81526859406677</v>
      </c>
      <c r="D48" s="1110">
        <f>VLOOKUP(D46,Base_Mensuelle!$MC$68:$OD$679,3,0)</f>
        <v>466.77552761222148</v>
      </c>
      <c r="E48" s="1110">
        <f>VLOOKUP(E46,Base_Mensuelle!$MC$68:$OD$679,3,0)</f>
        <v>667.16279418781198</v>
      </c>
      <c r="F48" s="1110">
        <f>VLOOKUP(F46,Base_Mensuelle!$MC$68:$OD$679,3,0)</f>
        <v>864.93458053936195</v>
      </c>
      <c r="G48" s="1110">
        <f>VLOOKUP(G46,Base_Mensuelle!$MC$68:$OD$679,3,0)</f>
        <v>1056.0487491406095</v>
      </c>
      <c r="H48" s="1110">
        <f>VLOOKUP(H46,Base_Mensuelle!$MC$68:$OD$679,3,0)</f>
        <v>1310.4696598677833</v>
      </c>
      <c r="I48" s="1110">
        <f>VLOOKUP(I46,Base_Mensuelle!$MC$68:$OD$679,3,0)</f>
        <v>1490.6249957243333</v>
      </c>
      <c r="J48" s="1110">
        <f>VLOOKUP(J46,Base_Mensuelle!$MC$68:$OD$679,3,0)</f>
        <v>1655.0667900222952</v>
      </c>
      <c r="K48" s="1110">
        <f>VLOOKUP(K46,Base_Mensuelle!$MC$68:$OD$679,3,0)</f>
        <v>1889.4372770427451</v>
      </c>
      <c r="L48" s="1110">
        <f>VLOOKUP(L46,Base_Mensuelle!$MC$68:$OD$679,3,0)</f>
        <v>2061.5777394946954</v>
      </c>
      <c r="M48" s="1110">
        <f>VLOOKUP(M46,Base_Mensuelle!$MC$68:$OD$679,3,0)</f>
        <v>2288.2530338894558</v>
      </c>
    </row>
    <row r="49" spans="1:13" ht="12.9">
      <c r="A49" s="1442" t="s">
        <v>772</v>
      </c>
      <c r="B49" s="1111">
        <f>VLOOKUP(B46,Base_Mensuelle!$MC$68:$OD$679,4,0)</f>
        <v>185.07941216192148</v>
      </c>
      <c r="C49" s="1111">
        <f>VLOOKUP(C46,Base_Mensuelle!$MC$68:$OD$679,4,0)</f>
        <v>322.81526859406677</v>
      </c>
      <c r="D49" s="1111">
        <f>VLOOKUP(D46,Base_Mensuelle!$MC$68:$OD$679,4,0)</f>
        <v>466.77552761222148</v>
      </c>
      <c r="E49" s="1111">
        <f>VLOOKUP(E46,Base_Mensuelle!$MC$68:$OD$679,4,0)</f>
        <v>667.16279418781198</v>
      </c>
      <c r="F49" s="1111">
        <f>VLOOKUP(F46,Base_Mensuelle!$MC$68:$OD$679,4,0)</f>
        <v>864.93458053936195</v>
      </c>
      <c r="G49" s="1111">
        <f>VLOOKUP(G46,Base_Mensuelle!$MC$68:$OD$679,4,0)</f>
        <v>1056.0487491406095</v>
      </c>
      <c r="H49" s="1111">
        <f>VLOOKUP(H46,Base_Mensuelle!$MC$68:$OD$679,4,0)</f>
        <v>1310.4696598677833</v>
      </c>
      <c r="I49" s="1111">
        <f>VLOOKUP(I46,Base_Mensuelle!$MC$68:$OD$679,4,0)</f>
        <v>1490.6249957243333</v>
      </c>
      <c r="J49" s="1111">
        <f>VLOOKUP(J46,Base_Mensuelle!$MC$68:$OD$679,4,0)</f>
        <v>1655.0667900222952</v>
      </c>
      <c r="K49" s="1111">
        <f>VLOOKUP(K46,Base_Mensuelle!$MC$68:$OD$679,4,0)</f>
        <v>1889.4372770427451</v>
      </c>
      <c r="L49" s="1111">
        <f>VLOOKUP(L46,Base_Mensuelle!$MC$68:$OD$679,4,0)</f>
        <v>2061.5777394946954</v>
      </c>
      <c r="M49" s="1111">
        <f>VLOOKUP(M46,Base_Mensuelle!$MC$68:$OD$679,4,0)</f>
        <v>2288.2530338894558</v>
      </c>
    </row>
    <row r="50" spans="1:13" ht="12.9">
      <c r="A50" s="1328" t="s">
        <v>773</v>
      </c>
      <c r="B50" s="1110">
        <f>VLOOKUP(B46,Base_Mensuelle!$MC$68:$OD$679,5,0)</f>
        <v>173.61367815092146</v>
      </c>
      <c r="C50" s="1110">
        <f>VLOOKUP(C46,Base_Mensuelle!$MC$68:$OD$679,5,0)</f>
        <v>299.31890552406668</v>
      </c>
      <c r="D50" s="1110">
        <f>VLOOKUP(D46,Base_Mensuelle!$MC$68:$OD$679,5,0)</f>
        <v>430.27842099822146</v>
      </c>
      <c r="E50" s="1110">
        <f>VLOOKUP(E46,Base_Mensuelle!$MC$68:$OD$679,5,0)</f>
        <v>609.42346903581188</v>
      </c>
      <c r="F50" s="1110">
        <f>VLOOKUP(F46,Base_Mensuelle!$MC$68:$OD$679,5,0)</f>
        <v>791.03318256936188</v>
      </c>
      <c r="G50" s="1110">
        <f>VLOOKUP(G46,Base_Mensuelle!$MC$68:$OD$679,5,0)</f>
        <v>952.40141852560953</v>
      </c>
      <c r="H50" s="1110">
        <f>VLOOKUP(H46,Base_Mensuelle!$MC$68:$OD$679,5,0)</f>
        <v>1168.5049985057833</v>
      </c>
      <c r="I50" s="1110">
        <f>VLOOKUP(I46,Base_Mensuelle!$MC$68:$OD$679,5,0)</f>
        <v>1327.0460311453332</v>
      </c>
      <c r="J50" s="1110">
        <f>VLOOKUP(J46,Base_Mensuelle!$MC$68:$OD$679,5,0)</f>
        <v>1477.5514069638953</v>
      </c>
      <c r="K50" s="1110">
        <f>VLOOKUP(K46,Base_Mensuelle!$MC$68:$OD$679,5,0)</f>
        <v>1693.3066937593453</v>
      </c>
      <c r="L50" s="1110">
        <f>VLOOKUP(L46,Base_Mensuelle!$MC$68:$OD$679,5,0)</f>
        <v>1852.0533662490952</v>
      </c>
      <c r="M50" s="1110">
        <f>VLOOKUP(M46,Base_Mensuelle!$MC$68:$OD$679,5,0)</f>
        <v>2052.4457756864558</v>
      </c>
    </row>
    <row r="51" spans="1:13" ht="12.9">
      <c r="A51" s="1442" t="s">
        <v>774</v>
      </c>
      <c r="B51" s="1111">
        <f>VLOOKUP(B46,Base_Mensuelle!$MC$68:$OD$679,6,0)</f>
        <v>87.443117803000007</v>
      </c>
      <c r="C51" s="1111">
        <f>VLOOKUP(C46,Base_Mensuelle!$MC$68:$OD$679,6,0)</f>
        <v>119.158553106</v>
      </c>
      <c r="D51" s="1111">
        <f>VLOOKUP(D46,Base_Mensuelle!$MC$68:$OD$679,6,0)</f>
        <v>149.15271525100002</v>
      </c>
      <c r="E51" s="1111">
        <f>VLOOKUP(E46,Base_Mensuelle!$MC$68:$OD$679,6,0)</f>
        <v>225.681004333</v>
      </c>
      <c r="F51" s="1111">
        <f>VLOOKUP(F46,Base_Mensuelle!$MC$68:$OD$679,6,0)</f>
        <v>302.05749986800004</v>
      </c>
      <c r="G51" s="1111">
        <f>VLOOKUP(G46,Base_Mensuelle!$MC$68:$OD$679,6,0)</f>
        <v>350.73280556100008</v>
      </c>
      <c r="H51" s="1111">
        <f>VLOOKUP(H46,Base_Mensuelle!$MC$68:$OD$679,6,0)</f>
        <v>452.52774402500006</v>
      </c>
      <c r="I51" s="1111">
        <f>VLOOKUP(I46,Base_Mensuelle!$MC$68:$OD$679,6,0)</f>
        <v>486.798749036</v>
      </c>
      <c r="J51" s="1111">
        <f>VLOOKUP(J46,Base_Mensuelle!$MC$68:$OD$679,6,0)</f>
        <v>520.19511511899998</v>
      </c>
      <c r="K51" s="1111">
        <f>VLOOKUP(K46,Base_Mensuelle!$MC$68:$OD$679,6,0)</f>
        <v>625.16357772899994</v>
      </c>
      <c r="L51" s="1111">
        <f>VLOOKUP(L46,Base_Mensuelle!$MC$68:$OD$679,6,0)</f>
        <v>671.30179247399997</v>
      </c>
      <c r="M51" s="1111">
        <f>VLOOKUP(M46,Base_Mensuelle!$MC$68:$OD$679,6,0)</f>
        <v>723.20708317100002</v>
      </c>
    </row>
    <row r="52" spans="1:13" ht="12.9">
      <c r="A52" s="1328" t="s">
        <v>775</v>
      </c>
      <c r="B52" s="1110">
        <f>VLOOKUP(B46,Base_Mensuelle!$MC$68:$OD$679,7,0)</f>
        <v>1.8505387850000001</v>
      </c>
      <c r="C52" s="1110">
        <f>VLOOKUP(C46,Base_Mensuelle!$MC$68:$OD$679,7,0)</f>
        <v>3.2459901749999998</v>
      </c>
      <c r="D52" s="1110">
        <f>VLOOKUP(D46,Base_Mensuelle!$MC$68:$OD$679,7,0)</f>
        <v>5.0987527249999998</v>
      </c>
      <c r="E52" s="1110">
        <f>VLOOKUP(E46,Base_Mensuelle!$MC$68:$OD$679,7,0)</f>
        <v>6.6487634249999994</v>
      </c>
      <c r="F52" s="1110">
        <f>VLOOKUP(F46,Base_Mensuelle!$MC$68:$OD$679,7,0)</f>
        <v>8.2839836120000001</v>
      </c>
      <c r="G52" s="1110">
        <f>VLOOKUP(G46,Base_Mensuelle!$MC$68:$OD$679,7,0)</f>
        <v>9.7616180969999995</v>
      </c>
      <c r="H52" s="1110">
        <f>VLOOKUP(H46,Base_Mensuelle!$MC$68:$OD$679,7,0)</f>
        <v>11.237570428</v>
      </c>
      <c r="I52" s="1110">
        <f>VLOOKUP(I46,Base_Mensuelle!$MC$68:$OD$679,7,0)</f>
        <v>12.708671316</v>
      </c>
      <c r="J52" s="1110">
        <f>VLOOKUP(J46,Base_Mensuelle!$MC$68:$OD$679,7,0)</f>
        <v>14.026325335999999</v>
      </c>
      <c r="K52" s="1110">
        <f>VLOOKUP(K46,Base_Mensuelle!$MC$68:$OD$679,7,0)</f>
        <v>15.452449149999998</v>
      </c>
      <c r="L52" s="1110">
        <f>VLOOKUP(L46,Base_Mensuelle!$MC$68:$OD$679,7,0)</f>
        <v>16.813638405999999</v>
      </c>
      <c r="M52" s="1110">
        <f>VLOOKUP(M46,Base_Mensuelle!$MC$68:$OD$679,7,0)</f>
        <v>18.236443629</v>
      </c>
    </row>
    <row r="53" spans="1:13" ht="12.9">
      <c r="A53" s="1442" t="s">
        <v>776</v>
      </c>
      <c r="B53" s="1111">
        <f>VLOOKUP(B46,Base_Mensuelle!$MC$68:$OD$679,8,0)</f>
        <v>4.0152824235714286</v>
      </c>
      <c r="C53" s="1111">
        <f>VLOOKUP(C46,Base_Mensuelle!$MC$68:$OD$679,8,0)</f>
        <v>7.8254398576666668</v>
      </c>
      <c r="D53" s="1111">
        <f>VLOOKUP(D46,Base_Mensuelle!$MC$68:$OD$679,8,0)</f>
        <v>11.44455739957143</v>
      </c>
      <c r="E53" s="1111">
        <f>VLOOKUP(E46,Base_Mensuelle!$MC$68:$OD$679,8,0)</f>
        <v>14.791829067761906</v>
      </c>
      <c r="F53" s="1111">
        <f>VLOOKUP(F46,Base_Mensuelle!$MC$68:$OD$679,8,0)</f>
        <v>19.060878567161907</v>
      </c>
      <c r="G53" s="1111">
        <f>VLOOKUP(G46,Base_Mensuelle!$MC$68:$OD$679,8,0)</f>
        <v>28.615695929809526</v>
      </c>
      <c r="H53" s="1111">
        <f>VLOOKUP(H46,Base_Mensuelle!$MC$68:$OD$679,8,0)</f>
        <v>35.092290639333335</v>
      </c>
      <c r="I53" s="1111">
        <f>VLOOKUP(I46,Base_Mensuelle!$MC$68:$OD$679,8,0)</f>
        <v>39.281907140333338</v>
      </c>
      <c r="J53" s="1111">
        <f>VLOOKUP(J46,Base_Mensuelle!$MC$68:$OD$679,8,0)</f>
        <v>43.817720673095238</v>
      </c>
      <c r="K53" s="1111">
        <f>VLOOKUP(K46,Base_Mensuelle!$MC$68:$OD$679,8,0)</f>
        <v>48.579659821095241</v>
      </c>
      <c r="L53" s="1111">
        <f>VLOOKUP(L46,Base_Mensuelle!$MC$68:$OD$679,8,0)</f>
        <v>55.558138305095241</v>
      </c>
      <c r="M53" s="1111">
        <f>VLOOKUP(M46,Base_Mensuelle!$MC$68:$OD$679,8,0)</f>
        <v>62.020125433155641</v>
      </c>
    </row>
    <row r="54" spans="1:13" ht="12.9">
      <c r="A54" s="1328" t="s">
        <v>777</v>
      </c>
      <c r="B54" s="1110">
        <f>VLOOKUP(B46,Base_Mensuelle!$MC$68:$OD$679,9,0)</f>
        <v>62.83917994235</v>
      </c>
      <c r="C54" s="1110">
        <f>VLOOKUP(C46,Base_Mensuelle!$MC$68:$OD$679,9,0)</f>
        <v>132.31122144239998</v>
      </c>
      <c r="D54" s="1110">
        <f>VLOOKUP(D46,Base_Mensuelle!$MC$68:$OD$679,9,0)</f>
        <v>204.79446572465</v>
      </c>
      <c r="E54" s="1110">
        <f>VLOOKUP(E46,Base_Mensuelle!$MC$68:$OD$679,9,0)</f>
        <v>280.67989944204999</v>
      </c>
      <c r="F54" s="1110">
        <f>VLOOKUP(F46,Base_Mensuelle!$MC$68:$OD$679,9,0)</f>
        <v>354.40771599819999</v>
      </c>
      <c r="G54" s="1110">
        <f>VLOOKUP(G46,Base_Mensuelle!$MC$68:$OD$679,9,0)</f>
        <v>429.7457104508</v>
      </c>
      <c r="H54" s="1110">
        <f>VLOOKUP(H46,Base_Mensuelle!$MC$68:$OD$679,9,0)</f>
        <v>512.42350308644995</v>
      </c>
      <c r="I54" s="1110">
        <f>VLOOKUP(I46,Base_Mensuelle!$MC$68:$OD$679,9,0)</f>
        <v>600.64667445999999</v>
      </c>
      <c r="J54" s="1110">
        <f>VLOOKUP(J46,Base_Mensuelle!$MC$68:$OD$679,9,0)</f>
        <v>684.14131869779999</v>
      </c>
      <c r="K54" s="1110">
        <f>VLOOKUP(K46,Base_Mensuelle!$MC$68:$OD$679,9,0)</f>
        <v>761.76634526925</v>
      </c>
      <c r="L54" s="1110">
        <f>VLOOKUP(L46,Base_Mensuelle!$MC$68:$OD$679,9,0)</f>
        <v>841.98549389100003</v>
      </c>
      <c r="M54" s="1110">
        <f>VLOOKUP(M46,Base_Mensuelle!$MC$68:$OD$679,9,0)</f>
        <v>950.66698914430003</v>
      </c>
    </row>
    <row r="55" spans="1:13" ht="12.9">
      <c r="A55" s="1442" t="s">
        <v>778</v>
      </c>
      <c r="B55" s="1111">
        <f>VLOOKUP(B46,Base_Mensuelle!$MC$68:$OD$679,10,0)</f>
        <v>17.356479323000002</v>
      </c>
      <c r="C55" s="1111">
        <f>VLOOKUP(C46,Base_Mensuelle!$MC$68:$OD$679,10,0)</f>
        <v>36.597658167000006</v>
      </c>
      <c r="D55" s="1111">
        <f>VLOOKUP(D46,Base_Mensuelle!$MC$68:$OD$679,10,0)</f>
        <v>59.538085851000005</v>
      </c>
      <c r="E55" s="1111">
        <f>VLOOKUP(E46,Base_Mensuelle!$MC$68:$OD$679,10,0)</f>
        <v>81.255250327000013</v>
      </c>
      <c r="F55" s="1111">
        <f>VLOOKUP(F46,Base_Mensuelle!$MC$68:$OD$679,10,0)</f>
        <v>106.72976273100001</v>
      </c>
      <c r="G55" s="1111">
        <f>VLOOKUP(G46,Base_Mensuelle!$MC$68:$OD$679,10,0)</f>
        <v>132.93694699899999</v>
      </c>
      <c r="H55" s="1111">
        <f>VLOOKUP(H46,Base_Mensuelle!$MC$68:$OD$679,10,0)</f>
        <v>156.48229548399999</v>
      </c>
      <c r="I55" s="1111">
        <f>VLOOKUP(I46,Base_Mensuelle!$MC$68:$OD$679,10,0)</f>
        <v>186.67177862400001</v>
      </c>
      <c r="J55" s="1111">
        <f>VLOOKUP(J46,Base_Mensuelle!$MC$68:$OD$679,10,0)</f>
        <v>214.30122523100002</v>
      </c>
      <c r="K55" s="1111">
        <f>VLOOKUP(K46,Base_Mensuelle!$MC$68:$OD$679,10,0)</f>
        <v>241.15055259900001</v>
      </c>
      <c r="L55" s="1111">
        <f>VLOOKUP(L46,Base_Mensuelle!$MC$68:$OD$679,10,0)</f>
        <v>265.112204496</v>
      </c>
      <c r="M55" s="1111">
        <f>VLOOKUP(M46,Base_Mensuelle!$MC$68:$OD$679,10,0)</f>
        <v>296.24677123899994</v>
      </c>
    </row>
    <row r="56" spans="1:13" ht="12.9">
      <c r="A56" s="1330" t="s">
        <v>779</v>
      </c>
      <c r="B56" s="1112">
        <f>VLOOKUP(B46,Base_Mensuelle!$MC$68:$OD$679,11,0)</f>
        <v>0.10907987399999999</v>
      </c>
      <c r="C56" s="1112">
        <f>VLOOKUP(C46,Base_Mensuelle!$MC$68:$OD$679,11,0)</f>
        <v>0.18004277599999999</v>
      </c>
      <c r="D56" s="1112">
        <f>VLOOKUP(D46,Base_Mensuelle!$MC$68:$OD$679,11,0)</f>
        <v>0.24984404699999999</v>
      </c>
      <c r="E56" s="1112">
        <f>VLOOKUP(E46,Base_Mensuelle!$MC$68:$OD$679,11,0)</f>
        <v>0.36672244100000001</v>
      </c>
      <c r="F56" s="1112">
        <f>VLOOKUP(F46,Base_Mensuelle!$MC$68:$OD$679,11,0)</f>
        <v>0.49334179300000003</v>
      </c>
      <c r="G56" s="1112">
        <f>VLOOKUP(G46,Base_Mensuelle!$MC$68:$OD$679,11,0)</f>
        <v>0.60864148800000006</v>
      </c>
      <c r="H56" s="1112">
        <f>VLOOKUP(H46,Base_Mensuelle!$MC$68:$OD$679,11,0)</f>
        <v>0.741594843</v>
      </c>
      <c r="I56" s="1112">
        <f>VLOOKUP(I46,Base_Mensuelle!$MC$68:$OD$679,11,0)</f>
        <v>0.93825056900000003</v>
      </c>
      <c r="J56" s="1112">
        <f>VLOOKUP(J46,Base_Mensuelle!$MC$68:$OD$679,11,0)</f>
        <v>1.0697019070000002</v>
      </c>
      <c r="K56" s="1112">
        <f>VLOOKUP(K46,Base_Mensuelle!$MC$68:$OD$679,11,0)</f>
        <v>1.1941091910000001</v>
      </c>
      <c r="L56" s="1112">
        <f>VLOOKUP(L46,Base_Mensuelle!$MC$68:$OD$679,11,0)</f>
        <v>1.2820986770000002</v>
      </c>
      <c r="M56" s="1112">
        <f>VLOOKUP(M46,Base_Mensuelle!$MC$68:$OD$679,11,0)</f>
        <v>2.0683630700000002</v>
      </c>
    </row>
    <row r="57" spans="1:13" ht="12.9">
      <c r="A57" s="1443" t="s">
        <v>780</v>
      </c>
      <c r="B57" s="1113">
        <f>VLOOKUP(B46,Base_Mensuelle!$MC$68:$OD$679,12,0)</f>
        <v>11.465734011</v>
      </c>
      <c r="C57" s="1113">
        <f>VLOOKUP(C46,Base_Mensuelle!$MC$68:$OD$679,12,0)</f>
        <v>23.496363070000001</v>
      </c>
      <c r="D57" s="1113">
        <f>VLOOKUP(D46,Base_Mensuelle!$MC$68:$OD$679,12,0)</f>
        <v>36.497106614000003</v>
      </c>
      <c r="E57" s="1113">
        <f>VLOOKUP(E46,Base_Mensuelle!$MC$68:$OD$679,12,0)</f>
        <v>57.739325151999992</v>
      </c>
      <c r="F57" s="1113">
        <f>VLOOKUP(F46,Base_Mensuelle!$MC$68:$OD$679,12,0)</f>
        <v>73.901397970000005</v>
      </c>
      <c r="G57" s="1113">
        <f>VLOOKUP(G46,Base_Mensuelle!$MC$68:$OD$679,12,0)</f>
        <v>103.64733061500002</v>
      </c>
      <c r="H57" s="1113">
        <f>VLOOKUP(H46,Base_Mensuelle!$MC$68:$OD$679,12,0)</f>
        <v>141.96466136200002</v>
      </c>
      <c r="I57" s="1113">
        <f>VLOOKUP(I46,Base_Mensuelle!$MC$68:$OD$679,12,0)</f>
        <v>163.57896457900003</v>
      </c>
      <c r="J57" s="1113">
        <f>VLOOKUP(J46,Base_Mensuelle!$MC$68:$OD$679,12,0)</f>
        <v>177.51538305840003</v>
      </c>
      <c r="K57" s="1113">
        <f>VLOOKUP(K46,Base_Mensuelle!$MC$68:$OD$679,12,0)</f>
        <v>196.13058328340003</v>
      </c>
      <c r="L57" s="1113">
        <f>VLOOKUP(L46,Base_Mensuelle!$MC$68:$OD$679,12,0)</f>
        <v>209.52437324560003</v>
      </c>
      <c r="M57" s="1113">
        <f>VLOOKUP(M46,Base_Mensuelle!$MC$68:$OD$679,12,0)</f>
        <v>235.80725820300006</v>
      </c>
    </row>
    <row r="58" spans="1:13" ht="12.9">
      <c r="A58" s="1328" t="s">
        <v>781</v>
      </c>
      <c r="B58" s="1110">
        <f>VLOOKUP(B46,Base_Mensuelle!$MC$68:$OD$679,13,0)</f>
        <v>0.42882470299999992</v>
      </c>
      <c r="C58" s="1110">
        <f>VLOOKUP(C46,Base_Mensuelle!$MC$68:$OD$679,13,0)</f>
        <v>0.83980767999999995</v>
      </c>
      <c r="D58" s="1110">
        <f>VLOOKUP(D46,Base_Mensuelle!$MC$68:$OD$679,13,0)</f>
        <v>1.2791533089999998</v>
      </c>
      <c r="E58" s="1110">
        <f>VLOOKUP(E46,Base_Mensuelle!$MC$68:$OD$679,13,0)</f>
        <v>1.7068326609999998</v>
      </c>
      <c r="F58" s="1110">
        <f>VLOOKUP(F46,Base_Mensuelle!$MC$68:$OD$679,13,0)</f>
        <v>2.1840159409999997</v>
      </c>
      <c r="G58" s="1110">
        <f>VLOOKUP(G46,Base_Mensuelle!$MC$68:$OD$679,13,0)</f>
        <v>2.6624536049999996</v>
      </c>
      <c r="H58" s="1110">
        <f>VLOOKUP(H46,Base_Mensuelle!$MC$68:$OD$679,13,0)</f>
        <v>3.2430755989999995</v>
      </c>
      <c r="I58" s="1110">
        <f>VLOOKUP(I46,Base_Mensuelle!$MC$68:$OD$679,13,0)</f>
        <v>3.7053390919999991</v>
      </c>
      <c r="J58" s="1110">
        <f>VLOOKUP(J46,Base_Mensuelle!$MC$68:$OD$679,13,0)</f>
        <v>4.1119561419999995</v>
      </c>
      <c r="K58" s="1110">
        <f>VLOOKUP(K46,Base_Mensuelle!$MC$68:$OD$679,13,0)</f>
        <v>4.2923585939999986</v>
      </c>
      <c r="L58" s="1110">
        <f>VLOOKUP(L46,Base_Mensuelle!$MC$68:$OD$679,13,0)</f>
        <v>4.7725746319999987</v>
      </c>
      <c r="M58" s="1110">
        <f>VLOOKUP(M46,Base_Mensuelle!$MC$68:$OD$679,13,0)</f>
        <v>5.1058066079999982</v>
      </c>
    </row>
    <row r="59" spans="1:13" ht="12.9">
      <c r="A59" s="1442" t="s">
        <v>574</v>
      </c>
      <c r="B59" s="1111">
        <f>VLOOKUP(B46,Base_Mensuelle!$MC$68:$OD$679,14,0)</f>
        <v>2.8363611340000006</v>
      </c>
      <c r="C59" s="1111">
        <f>VLOOKUP(C46,Base_Mensuelle!$MC$68:$OD$679,14,0)</f>
        <v>7.5873369460000015</v>
      </c>
      <c r="D59" s="1111">
        <f>VLOOKUP(D46,Base_Mensuelle!$MC$68:$OD$679,14,0)</f>
        <v>10.976592677999999</v>
      </c>
      <c r="E59" s="1111">
        <f>VLOOKUP(E46,Base_Mensuelle!$MC$68:$OD$679,14,0)</f>
        <v>13.890825629999998</v>
      </c>
      <c r="F59" s="1111">
        <f>VLOOKUP(F46,Base_Mensuelle!$MC$68:$OD$679,14,0)</f>
        <v>16.539591947000002</v>
      </c>
      <c r="G59" s="1111">
        <f>VLOOKUP(G46,Base_Mensuelle!$MC$68:$OD$679,14,0)</f>
        <v>19.857855693000001</v>
      </c>
      <c r="H59" s="1111">
        <f>VLOOKUP(H46,Base_Mensuelle!$MC$68:$OD$679,14,0)</f>
        <v>22.972602834999996</v>
      </c>
      <c r="I59" s="1111">
        <f>VLOOKUP(I46,Base_Mensuelle!$MC$68:$OD$679,14,0)</f>
        <v>26.394777284999996</v>
      </c>
      <c r="J59" s="1111">
        <f>VLOOKUP(J46,Base_Mensuelle!$MC$68:$OD$679,14,0)</f>
        <v>30.334468815399998</v>
      </c>
      <c r="K59" s="1111">
        <f>VLOOKUP(K46,Base_Mensuelle!$MC$68:$OD$679,14,0)</f>
        <v>33.771458061399997</v>
      </c>
      <c r="L59" s="1111">
        <f>VLOOKUP(L46,Base_Mensuelle!$MC$68:$OD$679,14,0)</f>
        <v>36.409470237599997</v>
      </c>
      <c r="M59" s="1111">
        <f>VLOOKUP(M46,Base_Mensuelle!$MC$68:$OD$679,14,0)</f>
        <v>47.288769762999998</v>
      </c>
    </row>
    <row r="60" spans="1:13" ht="12.9">
      <c r="A60" s="1328" t="s">
        <v>782</v>
      </c>
      <c r="B60" s="1110">
        <f>VLOOKUP(B46,Base_Mensuelle!$MC$68:$OD$679,15,0)</f>
        <v>0.153204488</v>
      </c>
      <c r="C60" s="1110">
        <f>VLOOKUP(C46,Base_Mensuelle!$MC$68:$OD$679,15,0)</f>
        <v>0.28728463800000004</v>
      </c>
      <c r="D60" s="1110">
        <f>VLOOKUP(D46,Base_Mensuelle!$MC$68:$OD$679,15,0)</f>
        <v>0.74726440900000002</v>
      </c>
      <c r="E60" s="1110">
        <f>VLOOKUP(E46,Base_Mensuelle!$MC$68:$OD$679,15,0)</f>
        <v>1.0372713179999999</v>
      </c>
      <c r="F60" s="1110">
        <f>VLOOKUP(F46,Base_Mensuelle!$MC$68:$OD$679,15,0)</f>
        <v>1.1678265779999999</v>
      </c>
      <c r="G60" s="1110">
        <f>VLOOKUP(G46,Base_Mensuelle!$MC$68:$OD$679,15,0)</f>
        <v>1.621128154</v>
      </c>
      <c r="H60" s="1110">
        <f>VLOOKUP(H46,Base_Mensuelle!$MC$68:$OD$679,15,0)</f>
        <v>1.773478992</v>
      </c>
      <c r="I60" s="1110">
        <f>VLOOKUP(I46,Base_Mensuelle!$MC$68:$OD$679,15,0)</f>
        <v>2.0272234020000002</v>
      </c>
      <c r="J60" s="1110">
        <f>VLOOKUP(J46,Base_Mensuelle!$MC$68:$OD$679,15,0)</f>
        <v>2.2148388739999998</v>
      </c>
      <c r="K60" s="1110">
        <f>VLOOKUP(K46,Base_Mensuelle!$MC$68:$OD$679,15,0)</f>
        <v>2.5123476169999996</v>
      </c>
      <c r="L60" s="1110">
        <f>VLOOKUP(L46,Base_Mensuelle!$MC$68:$OD$679,15,0)</f>
        <v>2.7031394149999994</v>
      </c>
      <c r="M60" s="1110">
        <f>VLOOKUP(M46,Base_Mensuelle!$MC$68:$OD$679,15,0)</f>
        <v>4.4635998640000238</v>
      </c>
    </row>
    <row r="61" spans="1:13" ht="12.9">
      <c r="A61" s="1442" t="s">
        <v>783</v>
      </c>
      <c r="B61" s="1111">
        <f>VLOOKUP(B46,Base_Mensuelle!$MC$68:$OD$679,16,0)</f>
        <v>7.8811800000000009E-4</v>
      </c>
      <c r="C61" s="1111">
        <f>VLOOKUP(C46,Base_Mensuelle!$MC$68:$OD$679,16,0)</f>
        <v>0.5850557930000001</v>
      </c>
      <c r="D61" s="1111">
        <f>VLOOKUP(D46,Base_Mensuelle!$MC$68:$OD$679,16,0)</f>
        <v>0.87395111300000017</v>
      </c>
      <c r="E61" s="1111">
        <f>VLOOKUP(E46,Base_Mensuelle!$MC$68:$OD$679,16,0)</f>
        <v>6.4145761129999999</v>
      </c>
      <c r="F61" s="1111">
        <f>VLOOKUP(F46,Base_Mensuelle!$MC$68:$OD$679,16,0)</f>
        <v>10.200907693</v>
      </c>
      <c r="G61" s="1111">
        <f>VLOOKUP(G46,Base_Mensuelle!$MC$68:$OD$679,16,0)</f>
        <v>25.037738743999999</v>
      </c>
      <c r="H61" s="1111">
        <f>VLOOKUP(H46,Base_Mensuelle!$MC$68:$OD$679,16,0)</f>
        <v>51.731141215000001</v>
      </c>
      <c r="I61" s="1111">
        <f>VLOOKUP(I46,Base_Mensuelle!$MC$68:$OD$679,16,0)</f>
        <v>60.607583407000007</v>
      </c>
      <c r="J61" s="1111">
        <f>VLOOKUP(J46,Base_Mensuelle!$MC$68:$OD$679,16,0)</f>
        <v>64.217991437000009</v>
      </c>
      <c r="K61" s="1111">
        <f>VLOOKUP(K46,Base_Mensuelle!$MC$68:$OD$679,16,0)</f>
        <v>71.900489338</v>
      </c>
      <c r="L61" s="1111">
        <f>VLOOKUP(L46,Base_Mensuelle!$MC$68:$OD$679,16,0)</f>
        <v>72.156269753999993</v>
      </c>
      <c r="M61" s="1111">
        <f>VLOOKUP(M46,Base_Mensuelle!$MC$68:$OD$679,16,0)</f>
        <v>72.286867036000004</v>
      </c>
    </row>
    <row r="62" spans="1:13" ht="12.9">
      <c r="A62" s="1328" t="s">
        <v>784</v>
      </c>
      <c r="B62" s="1110">
        <f>VLOOKUP(B46,Base_Mensuelle!$MC$68:$OD$679,17,0)</f>
        <v>8.0465555680000005</v>
      </c>
      <c r="C62" s="1110">
        <f>VLOOKUP(C46,Base_Mensuelle!$MC$68:$OD$679,17,0)</f>
        <v>14.196878013000001</v>
      </c>
      <c r="D62" s="1110">
        <f>VLOOKUP(D46,Base_Mensuelle!$MC$68:$OD$679,17,0)</f>
        <v>22.620145104999999</v>
      </c>
      <c r="E62" s="1110">
        <f>VLOOKUP(E46,Base_Mensuelle!$MC$68:$OD$679,17,0)</f>
        <v>34.68981943</v>
      </c>
      <c r="F62" s="1110">
        <f>VLOOKUP(F46,Base_Mensuelle!$MC$68:$OD$679,17,0)</f>
        <v>43.809055811000007</v>
      </c>
      <c r="G62" s="1110">
        <f>VLOOKUP(G46,Base_Mensuelle!$MC$68:$OD$679,17,0)</f>
        <v>54.468154419000008</v>
      </c>
      <c r="H62" s="1110">
        <f>VLOOKUP(H46,Base_Mensuelle!$MC$68:$OD$679,17,0)</f>
        <v>62.244362721000009</v>
      </c>
      <c r="I62" s="1110">
        <f>VLOOKUP(I46,Base_Mensuelle!$MC$68:$OD$679,17,0)</f>
        <v>70.844041393000012</v>
      </c>
      <c r="J62" s="1110">
        <f>VLOOKUP(J46,Base_Mensuelle!$MC$68:$OD$679,17,0)</f>
        <v>76.636127790000003</v>
      </c>
      <c r="K62" s="1110">
        <f>VLOOKUP(K46,Base_Mensuelle!$MC$68:$OD$679,17,0)</f>
        <v>83.653929673000007</v>
      </c>
      <c r="L62" s="1110">
        <f>VLOOKUP(L46,Base_Mensuelle!$MC$68:$OD$679,17,0)</f>
        <v>93.482919207000009</v>
      </c>
      <c r="M62" s="1110">
        <f>VLOOKUP(M46,Base_Mensuelle!$MC$68:$OD$679,17,0)</f>
        <v>106.662214932</v>
      </c>
    </row>
    <row r="63" spans="1:13" ht="12.9">
      <c r="A63" s="1442" t="s">
        <v>785</v>
      </c>
      <c r="B63" s="1111">
        <f>VLOOKUP(B46,Base_Mensuelle!$MC$68:$OD$679,18,0)</f>
        <v>0</v>
      </c>
      <c r="C63" s="1111">
        <f>VLOOKUP(C46,Base_Mensuelle!$MC$68:$OD$679,18,0)</f>
        <v>0</v>
      </c>
      <c r="D63" s="1111">
        <f>VLOOKUP(D46,Base_Mensuelle!$MC$68:$OD$679,18,0)</f>
        <v>0</v>
      </c>
      <c r="E63" s="1111">
        <f>VLOOKUP(E46,Base_Mensuelle!$MC$68:$OD$679,18,0)</f>
        <v>0</v>
      </c>
      <c r="F63" s="1111">
        <f>VLOOKUP(F46,Base_Mensuelle!$MC$68:$OD$679,18,0)</f>
        <v>0</v>
      </c>
      <c r="G63" s="1111">
        <f>VLOOKUP(G46,Base_Mensuelle!$MC$68:$OD$679,18,0)</f>
        <v>0</v>
      </c>
      <c r="H63" s="1111">
        <f>VLOOKUP(H46,Base_Mensuelle!$MC$68:$OD$679,18,0)</f>
        <v>0</v>
      </c>
      <c r="I63" s="1111">
        <f>VLOOKUP(I46,Base_Mensuelle!$MC$68:$OD$679,18,0)</f>
        <v>0</v>
      </c>
      <c r="J63" s="1111">
        <f>VLOOKUP(J46,Base_Mensuelle!$MC$68:$OD$679,18,0)</f>
        <v>0</v>
      </c>
      <c r="K63" s="1111">
        <f>VLOOKUP(K46,Base_Mensuelle!$MC$68:$OD$679,18,0)</f>
        <v>0</v>
      </c>
      <c r="L63" s="1111">
        <f>VLOOKUP(L46,Base_Mensuelle!$MC$68:$OD$679,18,0)</f>
        <v>0</v>
      </c>
      <c r="M63" s="1111">
        <f>VLOOKUP(M46,Base_Mensuelle!$MC$68:$OD$679,18,0)</f>
        <v>0</v>
      </c>
    </row>
    <row r="64" spans="1:13" ht="12.9">
      <c r="A64" s="1328" t="s">
        <v>786</v>
      </c>
      <c r="B64" s="1110">
        <f>VLOOKUP(B46,Base_Mensuelle!$MC$68:$OD$679,19,0)</f>
        <v>1.1012524955600003</v>
      </c>
      <c r="C64" s="1110">
        <f>VLOOKUP(C46,Base_Mensuelle!$MC$68:$OD$679,19,0)</f>
        <v>4.2051494846231998</v>
      </c>
      <c r="D64" s="1110">
        <f>VLOOKUP(D46,Base_Mensuelle!$MC$68:$OD$679,19,0)</f>
        <v>6.8285522677344401</v>
      </c>
      <c r="E64" s="1110">
        <f>VLOOKUP(E46,Base_Mensuelle!$MC$68:$OD$679,19,0)</f>
        <v>10.06546266173444</v>
      </c>
      <c r="F64" s="1110">
        <f>VLOOKUP(F46,Base_Mensuelle!$MC$68:$OD$679,19,0)</f>
        <v>12.956476274666022</v>
      </c>
      <c r="G64" s="1110">
        <f>VLOOKUP(G46,Base_Mensuelle!$MC$68:$OD$679,19,0)</f>
        <v>104.88862957430328</v>
      </c>
      <c r="H64" s="1110">
        <f>VLOOKUP(H46,Base_Mensuelle!$MC$68:$OD$679,19,0)</f>
        <v>113.15792903419585</v>
      </c>
      <c r="I64" s="1110">
        <f>VLOOKUP(I46,Base_Mensuelle!$MC$68:$OD$679,19,0)</f>
        <v>197.61051241284991</v>
      </c>
      <c r="J64" s="1110">
        <f>VLOOKUP(J46,Base_Mensuelle!$MC$68:$OD$679,19,0)</f>
        <v>206.85884974508807</v>
      </c>
      <c r="K64" s="1110">
        <f>VLOOKUP(K46,Base_Mensuelle!$MC$68:$OD$679,19,0)</f>
        <v>213.02529945521445</v>
      </c>
      <c r="L64" s="1110">
        <f>VLOOKUP(L46,Base_Mensuelle!$MC$68:$OD$679,19,0)</f>
        <v>217.96907201045386</v>
      </c>
      <c r="M64" s="1110">
        <f>VLOOKUP(M46,Base_Mensuelle!$MC$68:$OD$679,19,0)</f>
        <v>263.69144635657256</v>
      </c>
    </row>
    <row r="65" spans="1:13" ht="12.9">
      <c r="A65" s="1442" t="s">
        <v>787</v>
      </c>
      <c r="B65" s="1111">
        <f>VLOOKUP(B46,Base_Mensuelle!$MC$68:$OD$679,20,0)</f>
        <v>1.1012524955600003</v>
      </c>
      <c r="C65" s="1111">
        <f>VLOOKUP(C46,Base_Mensuelle!$MC$68:$OD$679,20,0)</f>
        <v>4.2051494846231998</v>
      </c>
      <c r="D65" s="1111">
        <f>VLOOKUP(D46,Base_Mensuelle!$MC$68:$OD$679,20,0)</f>
        <v>6.8285522677344401</v>
      </c>
      <c r="E65" s="1111">
        <f>VLOOKUP(E46,Base_Mensuelle!$MC$68:$OD$679,20,0)</f>
        <v>10.06546266173444</v>
      </c>
      <c r="F65" s="1111">
        <f>VLOOKUP(F46,Base_Mensuelle!$MC$68:$OD$679,20,0)</f>
        <v>12.956476274666022</v>
      </c>
      <c r="G65" s="1111">
        <f>VLOOKUP(G46,Base_Mensuelle!$MC$68:$OD$679,20,0)</f>
        <v>104.88862957430328</v>
      </c>
      <c r="H65" s="1111">
        <f>VLOOKUP(H46,Base_Mensuelle!$MC$68:$OD$679,20,0)</f>
        <v>113.15792903419585</v>
      </c>
      <c r="I65" s="1111">
        <f>VLOOKUP(I46,Base_Mensuelle!$MC$68:$OD$679,20,0)</f>
        <v>137.34546625184993</v>
      </c>
      <c r="J65" s="1111">
        <f>VLOOKUP(J46,Base_Mensuelle!$MC$68:$OD$679,20,0)</f>
        <v>146.59380358408808</v>
      </c>
      <c r="K65" s="1111">
        <f>VLOOKUP(K46,Base_Mensuelle!$MC$68:$OD$679,20,0)</f>
        <v>152.76025329421446</v>
      </c>
      <c r="L65" s="1111">
        <f>VLOOKUP(L46,Base_Mensuelle!$MC$68:$OD$679,20,0)</f>
        <v>157.70402584945387</v>
      </c>
      <c r="M65" s="1111">
        <f>VLOOKUP(M46,Base_Mensuelle!$MC$68:$OD$679,20,0)</f>
        <v>203.42640019557257</v>
      </c>
    </row>
    <row r="66" spans="1:13" ht="24.6">
      <c r="A66" s="1328" t="s">
        <v>788</v>
      </c>
      <c r="B66" s="1110">
        <f>VLOOKUP(B46,Base_Mensuelle!$MC$68:$OD$679,21,0)</f>
        <v>0</v>
      </c>
      <c r="C66" s="1110">
        <f>VLOOKUP(C46,Base_Mensuelle!$MC$68:$OD$679,21,0)</f>
        <v>0</v>
      </c>
      <c r="D66" s="1110">
        <f>VLOOKUP(D46,Base_Mensuelle!$MC$68:$OD$679,21,0)</f>
        <v>0</v>
      </c>
      <c r="E66" s="1110">
        <f>VLOOKUP(E46,Base_Mensuelle!$MC$68:$OD$679,21,0)</f>
        <v>0</v>
      </c>
      <c r="F66" s="1110">
        <f>VLOOKUP(F46,Base_Mensuelle!$MC$68:$OD$679,21,0)</f>
        <v>0</v>
      </c>
      <c r="G66" s="1110">
        <f>VLOOKUP(G46,Base_Mensuelle!$MC$68:$OD$679,21,0)</f>
        <v>0</v>
      </c>
      <c r="H66" s="1110">
        <f>VLOOKUP(H46,Base_Mensuelle!$MC$68:$OD$679,21,0)</f>
        <v>0</v>
      </c>
      <c r="I66" s="1110">
        <f>VLOOKUP(I46,Base_Mensuelle!$MC$68:$OD$679,21,0)</f>
        <v>60.265046161000001</v>
      </c>
      <c r="J66" s="1110">
        <f>VLOOKUP(J46,Base_Mensuelle!$MC$68:$OD$679,21,0)</f>
        <v>60.265046161000001</v>
      </c>
      <c r="K66" s="1110">
        <f>VLOOKUP(K46,Base_Mensuelle!$MC$68:$OD$679,21,0)</f>
        <v>60.265046161000001</v>
      </c>
      <c r="L66" s="1110">
        <f>VLOOKUP(L46,Base_Mensuelle!$MC$68:$OD$679,21,0)</f>
        <v>60.265046161000001</v>
      </c>
      <c r="M66" s="1110">
        <f>VLOOKUP(M46,Base_Mensuelle!$MC$68:$OD$679,21,0)</f>
        <v>60.265046161000001</v>
      </c>
    </row>
    <row r="67" spans="1:13" ht="25.5" customHeight="1">
      <c r="A67" s="1442" t="s">
        <v>789</v>
      </c>
      <c r="B67" s="1111">
        <f>VLOOKUP(B46,Base_Mensuelle!$MC$68:$OD$679,22,0)</f>
        <v>147.78077036347187</v>
      </c>
      <c r="C67" s="1111">
        <f>VLOOKUP(C46,Base_Mensuelle!$MC$68:$OD$679,22,0)</f>
        <v>287.48361460949542</v>
      </c>
      <c r="D67" s="1111">
        <f>VLOOKUP(D46,Base_Mensuelle!$MC$68:$OD$679,22,0)</f>
        <v>555.31048900341023</v>
      </c>
      <c r="E67" s="1111">
        <f>VLOOKUP(E46,Base_Mensuelle!$MC$68:$OD$679,22,0)</f>
        <v>883.52300531901983</v>
      </c>
      <c r="F67" s="1111">
        <f>VLOOKUP(F46,Base_Mensuelle!$MC$68:$OD$679,22,0)</f>
        <v>1060.5926446814601</v>
      </c>
      <c r="G67" s="1111">
        <f>VLOOKUP(G46,Base_Mensuelle!$MC$68:$OD$679,22,0)</f>
        <v>1406.1582611702481</v>
      </c>
      <c r="H67" s="1111">
        <f>VLOOKUP(H46,Base_Mensuelle!$MC$68:$OD$679,22,0)</f>
        <v>1621.9962292858302</v>
      </c>
      <c r="I67" s="1111">
        <f>VLOOKUP(I46,Base_Mensuelle!$MC$68:$OD$679,22,0)</f>
        <v>1915.9678869549512</v>
      </c>
      <c r="J67" s="1111">
        <f>VLOOKUP(J46,Base_Mensuelle!$MC$68:$OD$679,22,0)</f>
        <v>2254.1884073779811</v>
      </c>
      <c r="K67" s="1111">
        <f>VLOOKUP(K46,Base_Mensuelle!$MC$68:$OD$679,22,0)</f>
        <v>2723.042598822226</v>
      </c>
      <c r="L67" s="1111">
        <f>VLOOKUP(L46,Base_Mensuelle!$MC$68:$OD$679,22,0)</f>
        <v>3180.4912390621494</v>
      </c>
      <c r="M67" s="1111">
        <f>VLOOKUP(M46,Base_Mensuelle!$MC$68:$OD$679,22,0)</f>
        <v>3617.0085714882512</v>
      </c>
    </row>
    <row r="68" spans="1:13" ht="25.5" customHeight="1">
      <c r="A68" s="1328" t="s">
        <v>790</v>
      </c>
      <c r="B68" s="1114">
        <f>VLOOKUP(B46,Base_Mensuelle!$MC$68:$OD$679,23,0)</f>
        <v>147.78083705947188</v>
      </c>
      <c r="C68" s="1114">
        <f>VLOOKUP(C46,Base_Mensuelle!$MC$68:$OD$679,23,0)</f>
        <v>292.87587444349538</v>
      </c>
      <c r="D68" s="1114">
        <f>VLOOKUP(D46,Base_Mensuelle!$MC$68:$OD$679,23,0)</f>
        <v>561.02483230241023</v>
      </c>
      <c r="E68" s="1114">
        <f>VLOOKUP(E46,Base_Mensuelle!$MC$68:$OD$679,23,0)</f>
        <v>889.5151632930199</v>
      </c>
      <c r="F68" s="1114">
        <f>VLOOKUP(F46,Base_Mensuelle!$MC$68:$OD$679,23,0)</f>
        <v>1067.2299029784601</v>
      </c>
      <c r="G68" s="1114">
        <f>VLOOKUP(G46,Base_Mensuelle!$MC$68:$OD$679,23,0)</f>
        <v>1414.5155486242481</v>
      </c>
      <c r="H68" s="1114">
        <f>VLOOKUP(H46,Base_Mensuelle!$MC$68:$OD$679,23,0)</f>
        <v>1630.93090508983</v>
      </c>
      <c r="I68" s="1114">
        <f>VLOOKUP(I46,Base_Mensuelle!$MC$68:$OD$679,23,0)</f>
        <v>1923.513896930951</v>
      </c>
      <c r="J68" s="1114">
        <f>VLOOKUP(J46,Base_Mensuelle!$MC$68:$OD$679,23,0)</f>
        <v>2262.440061137981</v>
      </c>
      <c r="K68" s="1114">
        <f>VLOOKUP(K46,Base_Mensuelle!$MC$68:$OD$679,23,0)</f>
        <v>2733.1756789682258</v>
      </c>
      <c r="L68" s="1114">
        <f>VLOOKUP(L46,Base_Mensuelle!$MC$68:$OD$679,23,0)</f>
        <v>3192.1370941681494</v>
      </c>
      <c r="M68" s="1114">
        <f>VLOOKUP(M46,Base_Mensuelle!$MC$68:$OD$679,23,0)</f>
        <v>3626.5257596342517</v>
      </c>
    </row>
    <row r="69" spans="1:13" ht="12.9">
      <c r="A69" s="1443" t="s">
        <v>791</v>
      </c>
      <c r="B69" s="1113">
        <f>VLOOKUP(B46,Base_Mensuelle!$MC$68:$OD$679,24,0)</f>
        <v>124.15253005833442</v>
      </c>
      <c r="C69" s="1113">
        <f>VLOOKUP(C46,Base_Mensuelle!$MC$68:$OD$679,24,0)</f>
        <v>260.44800710501215</v>
      </c>
      <c r="D69" s="1113">
        <f>VLOOKUP(D46,Base_Mensuelle!$MC$68:$OD$679,24,0)</f>
        <v>467.75624863175835</v>
      </c>
      <c r="E69" s="1113">
        <f>VLOOKUP(E46,Base_Mensuelle!$MC$68:$OD$679,24,0)</f>
        <v>737.49602734036807</v>
      </c>
      <c r="F69" s="1113">
        <f>VLOOKUP(F46,Base_Mensuelle!$MC$68:$OD$679,24,0)</f>
        <v>889.09088430240536</v>
      </c>
      <c r="G69" s="1113">
        <f>VLOOKUP(G46,Base_Mensuelle!$MC$68:$OD$679,24,0)</f>
        <v>1044.3756284228298</v>
      </c>
      <c r="H69" s="1113">
        <f>VLOOKUP(H46,Base_Mensuelle!$MC$68:$OD$679,24,0)</f>
        <v>1218.9076451207438</v>
      </c>
      <c r="I69" s="1113">
        <f>VLOOKUP(I46,Base_Mensuelle!$MC$68:$OD$679,24,0)</f>
        <v>1415.7119680481808</v>
      </c>
      <c r="J69" s="1113">
        <f>VLOOKUP(J46,Base_Mensuelle!$MC$68:$OD$679,24,0)</f>
        <v>1604.508052661243</v>
      </c>
      <c r="K69" s="1113">
        <f>VLOOKUP(K46,Base_Mensuelle!$MC$68:$OD$679,24,0)</f>
        <v>2017.9014214495878</v>
      </c>
      <c r="L69" s="1113">
        <f>VLOOKUP(L46,Base_Mensuelle!$MC$68:$OD$679,24,0)</f>
        <v>2186.3344704012534</v>
      </c>
      <c r="M69" s="1113">
        <f>VLOOKUP(M46,Base_Mensuelle!$MC$68:$OD$679,24,0)</f>
        <v>2352.850690755</v>
      </c>
    </row>
    <row r="70" spans="1:13" ht="24.6">
      <c r="A70" s="1330" t="s">
        <v>792</v>
      </c>
      <c r="B70" s="1112">
        <f>VLOOKUP(B46,Base_Mensuelle!$MC$68:$OD$679,25,0)</f>
        <v>75.90910513933332</v>
      </c>
      <c r="C70" s="1112">
        <f>VLOOKUP(C46,Base_Mensuelle!$MC$68:$OD$679,25,0)</f>
        <v>160.71212303166666</v>
      </c>
      <c r="D70" s="1112">
        <f>VLOOKUP(D46,Base_Mensuelle!$MC$68:$OD$679,25,0)</f>
        <v>241.690515081</v>
      </c>
      <c r="E70" s="1112">
        <f>VLOOKUP(E46,Base_Mensuelle!$MC$68:$OD$679,25,0)</f>
        <v>325.84474361333326</v>
      </c>
      <c r="F70" s="1112">
        <f>VLOOKUP(F46,Base_Mensuelle!$MC$68:$OD$679,25,0)</f>
        <v>401.97876777566671</v>
      </c>
      <c r="G70" s="1112">
        <f>VLOOKUP(G46,Base_Mensuelle!$MC$68:$OD$679,25,0)</f>
        <v>487.22679355700001</v>
      </c>
      <c r="H70" s="1112">
        <f>VLOOKUP(H46,Base_Mensuelle!$MC$68:$OD$679,25,0)</f>
        <v>581.94281708800008</v>
      </c>
      <c r="I70" s="1112">
        <f>VLOOKUP(I46,Base_Mensuelle!$MC$68:$OD$679,25,0)</f>
        <v>672.34976767066655</v>
      </c>
      <c r="J70" s="1112">
        <f>VLOOKUP(J46,Base_Mensuelle!$MC$68:$OD$679,25,0)</f>
        <v>771.63629202699997</v>
      </c>
      <c r="K70" s="1112">
        <f>VLOOKUP(K46,Base_Mensuelle!$MC$68:$OD$679,25,0)</f>
        <v>853.85277286533335</v>
      </c>
      <c r="L70" s="1112">
        <f>VLOOKUP(L46,Base_Mensuelle!$MC$68:$OD$679,25,0)</f>
        <v>935.02911824899991</v>
      </c>
      <c r="M70" s="1112">
        <f>VLOOKUP(M46,Base_Mensuelle!$MC$68:$OD$679,25,0)</f>
        <v>1009.122074191</v>
      </c>
    </row>
    <row r="71" spans="1:13" ht="24.6">
      <c r="A71" s="1442" t="s">
        <v>793</v>
      </c>
      <c r="B71" s="1111">
        <f>VLOOKUP(B46,Base_Mensuelle!$MC$68:$OD$679,26,0)</f>
        <v>4.1302876710000005</v>
      </c>
      <c r="C71" s="1111">
        <f>VLOOKUP(C46,Base_Mensuelle!$MC$68:$OD$679,26,0)</f>
        <v>6.6709211990000004</v>
      </c>
      <c r="D71" s="1111">
        <f>VLOOKUP(D46,Base_Mensuelle!$MC$68:$OD$679,26,0)</f>
        <v>24.345559695999999</v>
      </c>
      <c r="E71" s="1111">
        <f>VLOOKUP(E46,Base_Mensuelle!$MC$68:$OD$679,26,0)</f>
        <v>71.04463894300001</v>
      </c>
      <c r="F71" s="1111">
        <f>VLOOKUP(F46,Base_Mensuelle!$MC$68:$OD$679,26,0)</f>
        <v>87.756286786999993</v>
      </c>
      <c r="G71" s="1111">
        <f>VLOOKUP(G46,Base_Mensuelle!$MC$68:$OD$679,26,0)</f>
        <v>105.69687482799999</v>
      </c>
      <c r="H71" s="1111">
        <f>VLOOKUP(H46,Base_Mensuelle!$MC$68:$OD$679,26,0)</f>
        <v>113.429234271</v>
      </c>
      <c r="I71" s="1111">
        <f>VLOOKUP(I46,Base_Mensuelle!$MC$68:$OD$679,26,0)</f>
        <v>132.71407964900001</v>
      </c>
      <c r="J71" s="1111">
        <f>VLOOKUP(J46,Base_Mensuelle!$MC$68:$OD$679,26,0)</f>
        <v>152.04129272999998</v>
      </c>
      <c r="K71" s="1111">
        <f>VLOOKUP(K46,Base_Mensuelle!$MC$68:$OD$679,26,0)</f>
        <v>160.122105033</v>
      </c>
      <c r="L71" s="1111">
        <f>VLOOKUP(L46,Base_Mensuelle!$MC$68:$OD$679,26,0)</f>
        <v>178.15791370899998</v>
      </c>
      <c r="M71" s="1111">
        <f>VLOOKUP(M46,Base_Mensuelle!$MC$68:$OD$679,26,0)</f>
        <v>209.66884892100001</v>
      </c>
    </row>
    <row r="72" spans="1:13" ht="12.9">
      <c r="A72" s="1328" t="s">
        <v>425</v>
      </c>
      <c r="B72" s="1110">
        <f>VLOOKUP(B46,Base_Mensuelle!$MC$68:$OD$679,27,0)</f>
        <v>19.672160886001102</v>
      </c>
      <c r="C72" s="1110">
        <f>VLOOKUP(C46,Base_Mensuelle!$MC$68:$OD$679,27,0)</f>
        <v>27.250188772345521</v>
      </c>
      <c r="D72" s="1110">
        <f>VLOOKUP(D46,Base_Mensuelle!$MC$68:$OD$679,27,0)</f>
        <v>47.619612714758361</v>
      </c>
      <c r="E72" s="1110">
        <f>VLOOKUP(E46,Base_Mensuelle!$MC$68:$OD$679,27,0)</f>
        <v>72.831247247034725</v>
      </c>
      <c r="F72" s="1110">
        <f>VLOOKUP(F46,Base_Mensuelle!$MC$68:$OD$679,27,0)</f>
        <v>93.162834233738565</v>
      </c>
      <c r="G72" s="1110">
        <f>VLOOKUP(G46,Base_Mensuelle!$MC$68:$OD$679,27,0)</f>
        <v>105.5430581298299</v>
      </c>
      <c r="H72" s="1110">
        <f>VLOOKUP(H46,Base_Mensuelle!$MC$68:$OD$679,27,0)</f>
        <v>126.19671119574356</v>
      </c>
      <c r="I72" s="1110">
        <f>VLOOKUP(I46,Base_Mensuelle!$MC$68:$OD$679,27,0)</f>
        <v>132.66934223551414</v>
      </c>
      <c r="J72" s="1110">
        <f>VLOOKUP(J46,Base_Mensuelle!$MC$68:$OD$679,27,0)</f>
        <v>160.80344768424288</v>
      </c>
      <c r="K72" s="1110">
        <f>VLOOKUP(K46,Base_Mensuelle!$MC$68:$OD$679,27,0)</f>
        <v>185.22898099825454</v>
      </c>
      <c r="L72" s="1110">
        <f>VLOOKUP(L46,Base_Mensuelle!$MC$68:$OD$679,27,0)</f>
        <v>201.04340147625319</v>
      </c>
      <c r="M72" s="1110">
        <f>VLOOKUP(M46,Base_Mensuelle!$MC$68:$OD$679,27,0)</f>
        <v>229.58681870500001</v>
      </c>
    </row>
    <row r="73" spans="1:13" ht="12.9">
      <c r="A73" s="1442" t="s">
        <v>426</v>
      </c>
      <c r="B73" s="1111">
        <f>VLOOKUP(B46,Base_Mensuelle!$MC$68:$OD$679,28,0)</f>
        <v>18.093973164000001</v>
      </c>
      <c r="C73" s="1111">
        <f>VLOOKUP(C46,Base_Mensuelle!$MC$68:$OD$679,28,0)</f>
        <v>24.591753939</v>
      </c>
      <c r="D73" s="1111">
        <f>VLOOKUP(D46,Base_Mensuelle!$MC$68:$OD$679,28,0)</f>
        <v>41.900321081889004</v>
      </c>
      <c r="E73" s="1111">
        <f>VLOOKUP(E46,Base_Mensuelle!$MC$68:$OD$679,28,0)</f>
        <v>61.541833394889004</v>
      </c>
      <c r="F73" s="1111">
        <f>VLOOKUP(F46,Base_Mensuelle!$MC$68:$OD$679,28,0)</f>
        <v>79.047202350888995</v>
      </c>
      <c r="G73" s="1111">
        <f>VLOOKUP(G46,Base_Mensuelle!$MC$68:$OD$679,28,0)</f>
        <v>89.176745189839551</v>
      </c>
      <c r="H73" s="1111">
        <f>VLOOKUP(H46,Base_Mensuelle!$MC$68:$OD$679,28,0)</f>
        <v>108.84331708283956</v>
      </c>
      <c r="I73" s="1111">
        <f>VLOOKUP(I46,Base_Mensuelle!$MC$68:$OD$679,28,0)</f>
        <v>114.12521655483957</v>
      </c>
      <c r="J73" s="1111">
        <f>VLOOKUP(J46,Base_Mensuelle!$MC$68:$OD$679,28,0)</f>
        <v>138.30113855783958</v>
      </c>
      <c r="K73" s="1111">
        <f>VLOOKUP(K46,Base_Mensuelle!$MC$68:$OD$679,28,0)</f>
        <v>157.13429910983956</v>
      </c>
      <c r="L73" s="1111">
        <f>VLOOKUP(L46,Base_Mensuelle!$MC$68:$OD$679,28,0)</f>
        <v>169.22040323641392</v>
      </c>
      <c r="M73" s="1111">
        <f>VLOOKUP(M46,Base_Mensuelle!$MC$68:$OD$679,28,0)</f>
        <v>196.28035046005124</v>
      </c>
    </row>
    <row r="74" spans="1:13" ht="12.9">
      <c r="A74" s="1330" t="s">
        <v>794</v>
      </c>
      <c r="B74" s="1112">
        <f>VLOOKUP(B46,Base_Mensuelle!$MC$68:$OD$679,29,0)</f>
        <v>1.5781877220011002</v>
      </c>
      <c r="C74" s="1112">
        <f>VLOOKUP(C46,Base_Mensuelle!$MC$68:$OD$679,29,0)</f>
        <v>2.6584348333455203</v>
      </c>
      <c r="D74" s="1112">
        <f>VLOOKUP(D46,Base_Mensuelle!$MC$68:$OD$679,29,0)</f>
        <v>5.7192916328693553</v>
      </c>
      <c r="E74" s="1112">
        <f>VLOOKUP(E46,Base_Mensuelle!$MC$68:$OD$679,29,0)</f>
        <v>11.289413852145728</v>
      </c>
      <c r="F74" s="1112">
        <f>VLOOKUP(F46,Base_Mensuelle!$MC$68:$OD$679,29,0)</f>
        <v>14.115631882849579</v>
      </c>
      <c r="G74" s="1112">
        <f>VLOOKUP(G46,Base_Mensuelle!$MC$68:$OD$679,29,0)</f>
        <v>16.366312939990351</v>
      </c>
      <c r="H74" s="1112">
        <f>VLOOKUP(H46,Base_Mensuelle!$MC$68:$OD$679,29,0)</f>
        <v>17.353394112904006</v>
      </c>
      <c r="I74" s="1112">
        <f>VLOOKUP(I46,Base_Mensuelle!$MC$68:$OD$679,29,0)</f>
        <v>18.544125680674572</v>
      </c>
      <c r="J74" s="1112">
        <f>VLOOKUP(J46,Base_Mensuelle!$MC$68:$OD$679,29,0)</f>
        <v>22.502309126403294</v>
      </c>
      <c r="K74" s="1112">
        <f>VLOOKUP(K46,Base_Mensuelle!$MC$68:$OD$679,29,0)</f>
        <v>28.094681888414975</v>
      </c>
      <c r="L74" s="1112">
        <f>VLOOKUP(L46,Base_Mensuelle!$MC$68:$OD$679,29,0)</f>
        <v>31.822998239839258</v>
      </c>
      <c r="M74" s="1112">
        <f>VLOOKUP(M46,Base_Mensuelle!$MC$68:$OD$679,29,0)</f>
        <v>33.306468244948768</v>
      </c>
    </row>
    <row r="75" spans="1:13" ht="24.6">
      <c r="A75" s="1444" t="s">
        <v>795</v>
      </c>
      <c r="B75" s="1111">
        <f>VLOOKUP(B46,Base_Mensuelle!$MC$68:$OD$679,30,0)</f>
        <v>24.440976362000001</v>
      </c>
      <c r="C75" s="1111">
        <f>VLOOKUP(C46,Base_Mensuelle!$MC$68:$OD$679,30,0)</f>
        <v>65.814774102000001</v>
      </c>
      <c r="D75" s="1111">
        <f>VLOOKUP(D46,Base_Mensuelle!$MC$68:$OD$679,30,0)</f>
        <v>154.10056114</v>
      </c>
      <c r="E75" s="1111">
        <f>VLOOKUP(E46,Base_Mensuelle!$MC$68:$OD$679,30,0)</f>
        <v>267.775397537</v>
      </c>
      <c r="F75" s="1111">
        <f>VLOOKUP(F46,Base_Mensuelle!$MC$68:$OD$679,30,0)</f>
        <v>306.19299550600005</v>
      </c>
      <c r="G75" s="1111">
        <f>VLOOKUP(G46,Base_Mensuelle!$MC$68:$OD$679,30,0)</f>
        <v>345.90890190800002</v>
      </c>
      <c r="H75" s="1111">
        <f>VLOOKUP(H46,Base_Mensuelle!$MC$68:$OD$679,30,0)</f>
        <v>397.338882566</v>
      </c>
      <c r="I75" s="1111">
        <f>VLOOKUP(I46,Base_Mensuelle!$MC$68:$OD$679,30,0)</f>
        <v>477.97877849299999</v>
      </c>
      <c r="J75" s="1111">
        <f>VLOOKUP(J46,Base_Mensuelle!$MC$68:$OD$679,30,0)</f>
        <v>520.02702021999994</v>
      </c>
      <c r="K75" s="1111">
        <f>VLOOKUP(K46,Base_Mensuelle!$MC$68:$OD$679,30,0)</f>
        <v>818.69756255300001</v>
      </c>
      <c r="L75" s="1111">
        <f>VLOOKUP(L46,Base_Mensuelle!$MC$68:$OD$679,30,0)</f>
        <v>872.10403696699996</v>
      </c>
      <c r="M75" s="1111">
        <f>VLOOKUP(M46,Base_Mensuelle!$MC$68:$OD$679,30,0)</f>
        <v>904.47294893799994</v>
      </c>
    </row>
    <row r="76" spans="1:13" ht="12.75" customHeight="1">
      <c r="A76" s="1330" t="s">
        <v>796</v>
      </c>
      <c r="B76" s="1112">
        <f>VLOOKUP(B46,Base_Mensuelle!$MC$68:$OD$679,31,0)</f>
        <v>0</v>
      </c>
      <c r="C76" s="1112">
        <f>VLOOKUP(C46,Base_Mensuelle!$MC$68:$OD$679,31,0)</f>
        <v>0</v>
      </c>
      <c r="D76" s="1112">
        <f>VLOOKUP(D46,Base_Mensuelle!$MC$68:$OD$679,31,0)</f>
        <v>0</v>
      </c>
      <c r="E76" s="1112">
        <f>VLOOKUP(E46,Base_Mensuelle!$MC$68:$OD$679,31,0)</f>
        <v>0</v>
      </c>
      <c r="F76" s="1112">
        <f>VLOOKUP(F46,Base_Mensuelle!$MC$68:$OD$679,31,0)</f>
        <v>0</v>
      </c>
      <c r="G76" s="1112">
        <f>VLOOKUP(G46,Base_Mensuelle!$MC$68:$OD$679,31,0)</f>
        <v>0</v>
      </c>
      <c r="H76" s="1112">
        <f>VLOOKUP(H46,Base_Mensuelle!$MC$68:$OD$679,31,0)</f>
        <v>0</v>
      </c>
      <c r="I76" s="1112">
        <f>VLOOKUP(I46,Base_Mensuelle!$MC$68:$OD$679,31,0)</f>
        <v>0.56999999999999995</v>
      </c>
      <c r="J76" s="1112">
        <f>VLOOKUP(J46,Base_Mensuelle!$MC$68:$OD$679,31,0)</f>
        <v>1.1399999999999999</v>
      </c>
      <c r="K76" s="1112">
        <f>VLOOKUP(K46,Base_Mensuelle!$MC$68:$OD$679,31,0)</f>
        <v>1.71</v>
      </c>
      <c r="L76" s="1112">
        <f>VLOOKUP(L46,Base_Mensuelle!$MC$68:$OD$679,31,0)</f>
        <v>2.54296875</v>
      </c>
      <c r="M76" s="1112">
        <f>VLOOKUP(M46,Base_Mensuelle!$MC$68:$OD$679,31,0)</f>
        <v>3.3759375</v>
      </c>
    </row>
    <row r="77" spans="1:13" ht="12.75" customHeight="1">
      <c r="A77" s="1442" t="s">
        <v>797</v>
      </c>
      <c r="B77" s="1111">
        <f>VLOOKUP(B46,Base_Mensuelle!$MC$68:$OD$679,32,0)</f>
        <v>0.26250000000000001</v>
      </c>
      <c r="C77" s="1111">
        <f>VLOOKUP(C46,Base_Mensuelle!$MC$68:$OD$679,32,0)</f>
        <v>16.532733749999998</v>
      </c>
      <c r="D77" s="1111">
        <f>VLOOKUP(D46,Base_Mensuelle!$MC$68:$OD$679,32,0)</f>
        <v>34.779941915999999</v>
      </c>
      <c r="E77" s="1111">
        <f>VLOOKUP(E46,Base_Mensuelle!$MC$68:$OD$679,32,0)</f>
        <v>42.780151590000003</v>
      </c>
      <c r="F77" s="1111">
        <f>VLOOKUP(F46,Base_Mensuelle!$MC$68:$OD$679,32,0)</f>
        <v>46.648021331000002</v>
      </c>
      <c r="G77" s="1111">
        <f>VLOOKUP(G46,Base_Mensuelle!$MC$68:$OD$679,32,0)</f>
        <v>54.152957331000003</v>
      </c>
      <c r="H77" s="1111">
        <f>VLOOKUP(H46,Base_Mensuelle!$MC$68:$OD$679,32,0)</f>
        <v>72.657144579999994</v>
      </c>
      <c r="I77" s="1111">
        <f>VLOOKUP(I46,Base_Mensuelle!$MC$68:$OD$679,32,0)</f>
        <v>92.689386746000011</v>
      </c>
      <c r="J77" s="1111">
        <f>VLOOKUP(J46,Base_Mensuelle!$MC$68:$OD$679,32,0)</f>
        <v>98.598242577999997</v>
      </c>
      <c r="K77" s="1111">
        <f>VLOOKUP(K46,Base_Mensuelle!$MC$68:$OD$679,32,0)</f>
        <v>104.80553516099999</v>
      </c>
      <c r="L77" s="1111">
        <f>VLOOKUP(L46,Base_Mensuelle!$MC$68:$OD$679,32,0)</f>
        <v>106.90223999299999</v>
      </c>
      <c r="M77" s="1111">
        <f>VLOOKUP(M46,Base_Mensuelle!$MC$68:$OD$679,32,0)</f>
        <v>113.89058710799999</v>
      </c>
    </row>
    <row r="78" spans="1:13" ht="12.9">
      <c r="A78" s="1328" t="s">
        <v>431</v>
      </c>
      <c r="B78" s="1110">
        <f>VLOOKUP(B46,Base_Mensuelle!$MC$68:$OD$679,33,0)</f>
        <v>0</v>
      </c>
      <c r="C78" s="1110">
        <f>VLOOKUP(C46,Base_Mensuelle!$MC$68:$OD$679,33,0)</f>
        <v>0</v>
      </c>
      <c r="D78" s="1110">
        <f>VLOOKUP(D46,Base_Mensuelle!$MC$68:$OD$679,33,0)</f>
        <v>0</v>
      </c>
      <c r="E78" s="1110">
        <f>VLOOKUP(E46,Base_Mensuelle!$MC$68:$OD$679,33,0)</f>
        <v>0</v>
      </c>
      <c r="F78" s="1110">
        <f>VLOOKUP(F46,Base_Mensuelle!$MC$68:$OD$679,33,0)</f>
        <v>0</v>
      </c>
      <c r="G78" s="1110">
        <f>VLOOKUP(G46,Base_Mensuelle!$MC$68:$OD$679,33,0)</f>
        <v>0</v>
      </c>
      <c r="H78" s="1110">
        <f>VLOOKUP(H46,Base_Mensuelle!$MC$68:$OD$679,33,0)</f>
        <v>0</v>
      </c>
      <c r="I78" s="1110">
        <f>VLOOKUP(I46,Base_Mensuelle!$MC$68:$OD$679,33,0)</f>
        <v>0</v>
      </c>
      <c r="J78" s="1110">
        <f>VLOOKUP(J46,Base_Mensuelle!$MC$68:$OD$679,33,0)</f>
        <v>0</v>
      </c>
      <c r="K78" s="1110">
        <f>VLOOKUP(K46,Base_Mensuelle!$MC$68:$OD$679,33,0)</f>
        <v>0</v>
      </c>
      <c r="L78" s="1110">
        <f>VLOOKUP(L46,Base_Mensuelle!$MC$68:$OD$679,33,0)</f>
        <v>0</v>
      </c>
      <c r="M78" s="1110">
        <f>VLOOKUP(M46,Base_Mensuelle!$MC$68:$OD$679,33,0)</f>
        <v>0</v>
      </c>
    </row>
    <row r="79" spans="1:13" ht="24.6">
      <c r="A79" s="1442" t="s">
        <v>432</v>
      </c>
      <c r="B79" s="1111">
        <f>VLOOKUP(B46,Base_Mensuelle!$MC$68:$OD$679,34,0)</f>
        <v>0</v>
      </c>
      <c r="C79" s="1111">
        <f>VLOOKUP(C46,Base_Mensuelle!$MC$68:$OD$679,34,0)</f>
        <v>0</v>
      </c>
      <c r="D79" s="1111">
        <f>VLOOKUP(D46,Base_Mensuelle!$MC$68:$OD$679,34,0)</f>
        <v>36.752773644999998</v>
      </c>
      <c r="E79" s="1111">
        <f>VLOOKUP(E46,Base_Mensuelle!$MC$68:$OD$679,34,0)</f>
        <v>119.19250764</v>
      </c>
      <c r="F79" s="1111">
        <f>VLOOKUP(F46,Base_Mensuelle!$MC$68:$OD$679,34,0)</f>
        <v>124.908198125</v>
      </c>
      <c r="G79" s="1111">
        <f>VLOOKUP(G46,Base_Mensuelle!$MC$68:$OD$679,34,0)</f>
        <v>136.68911324600001</v>
      </c>
      <c r="H79" s="1111">
        <f>VLOOKUP(H46,Base_Mensuelle!$MC$68:$OD$679,34,0)</f>
        <v>139.86394951899999</v>
      </c>
      <c r="I79" s="1111">
        <f>VLOOKUP(I46,Base_Mensuelle!$MC$68:$OD$679,34,0)</f>
        <v>146.337544603</v>
      </c>
      <c r="J79" s="1111">
        <f>VLOOKUP(J46,Base_Mensuelle!$MC$68:$OD$679,34,0)</f>
        <v>150.946676438</v>
      </c>
      <c r="K79" s="1111">
        <f>VLOOKUP(K46,Base_Mensuelle!$MC$68:$OD$679,34,0)</f>
        <v>355.490023705</v>
      </c>
      <c r="L79" s="1111">
        <f>VLOOKUP(L46,Base_Mensuelle!$MC$68:$OD$679,34,0)</f>
        <v>385.028456801</v>
      </c>
      <c r="M79" s="1111">
        <f>VLOOKUP(M46,Base_Mensuelle!$MC$68:$OD$679,34,0)</f>
        <v>390.49002059999998</v>
      </c>
    </row>
    <row r="80" spans="1:13" ht="12.9">
      <c r="A80" s="1328" t="s">
        <v>798</v>
      </c>
      <c r="B80" s="1110">
        <f>VLOOKUP(B46,Base_Mensuelle!$MC$68:$OD$679,35,0)</f>
        <v>23.628307001137461</v>
      </c>
      <c r="C80" s="1110">
        <f>VLOOKUP(C46,Base_Mensuelle!$MC$68:$OD$679,35,0)</f>
        <v>32.427867338483196</v>
      </c>
      <c r="D80" s="1110">
        <f>VLOOKUP(D46,Base_Mensuelle!$MC$68:$OD$679,35,0)</f>
        <v>93.268583670651893</v>
      </c>
      <c r="E80" s="1110">
        <f>VLOOKUP(E46,Base_Mensuelle!$MC$68:$OD$679,35,0)</f>
        <v>152.01913595265191</v>
      </c>
      <c r="F80" s="1110">
        <f>VLOOKUP(F46,Base_Mensuelle!$MC$68:$OD$679,35,0)</f>
        <v>178.13901867605486</v>
      </c>
      <c r="G80" s="1110">
        <f>VLOOKUP(G46,Base_Mensuelle!$MC$68:$OD$679,35,0)</f>
        <v>370.13992020141842</v>
      </c>
      <c r="H80" s="1110">
        <f>VLOOKUP(H46,Base_Mensuelle!$MC$68:$OD$679,35,0)</f>
        <v>412.02325996908684</v>
      </c>
      <c r="I80" s="1110">
        <f>VLOOKUP(I46,Base_Mensuelle!$MC$68:$OD$679,35,0)</f>
        <v>507.80192888277048</v>
      </c>
      <c r="J80" s="1110">
        <f>VLOOKUP(J46,Base_Mensuelle!$MC$68:$OD$679,35,0)</f>
        <v>657.9320084767387</v>
      </c>
      <c r="K80" s="1110">
        <f>VLOOKUP(K46,Base_Mensuelle!$MC$68:$OD$679,35,0)</f>
        <v>715.27425751863848</v>
      </c>
      <c r="L80" s="1110">
        <f>VLOOKUP(L46,Base_Mensuelle!$MC$68:$OD$679,35,0)</f>
        <v>1005.8026237668964</v>
      </c>
      <c r="M80" s="1110">
        <f>VLOOKUP(M46,Base_Mensuelle!$MC$68:$OD$679,35,0)</f>
        <v>1273.6750688792515</v>
      </c>
    </row>
    <row r="81" spans="1:13" ht="12.9">
      <c r="A81" s="1442" t="s">
        <v>799</v>
      </c>
      <c r="B81" s="1111">
        <f>VLOOKUP(B46,Base_Mensuelle!$MC$68:$OD$679,36,0)</f>
        <v>7.0529682350000007</v>
      </c>
      <c r="C81" s="1111">
        <f>VLOOKUP(C46,Base_Mensuelle!$MC$68:$OD$679,36,0)</f>
        <v>8.1815747349999999</v>
      </c>
      <c r="D81" s="1111">
        <f>VLOOKUP(D46,Base_Mensuelle!$MC$68:$OD$679,36,0)</f>
        <v>60.045020331000003</v>
      </c>
      <c r="E81" s="1111">
        <f>VLOOKUP(E46,Base_Mensuelle!$MC$68:$OD$679,36,0)</f>
        <v>111.78845783200001</v>
      </c>
      <c r="F81" s="1111">
        <f>VLOOKUP(F46,Base_Mensuelle!$MC$68:$OD$679,36,0)</f>
        <v>130.25445656700001</v>
      </c>
      <c r="G81" s="1111">
        <f>VLOOKUP(G46,Base_Mensuelle!$MC$68:$OD$679,36,0)</f>
        <v>195.481003391</v>
      </c>
      <c r="H81" s="1111">
        <f>VLOOKUP(H46,Base_Mensuelle!$MC$68:$OD$679,36,0)</f>
        <v>227.93519939700002</v>
      </c>
      <c r="I81" s="1111">
        <f>VLOOKUP(I46,Base_Mensuelle!$MC$68:$OD$679,36,0)</f>
        <v>268.08839681799998</v>
      </c>
      <c r="J81" s="1111">
        <f>VLOOKUP(J46,Base_Mensuelle!$MC$68:$OD$679,36,0)</f>
        <v>397.07170120599994</v>
      </c>
      <c r="K81" s="1111">
        <f>VLOOKUP(K46,Base_Mensuelle!$MC$68:$OD$679,36,0)</f>
        <v>425.269099321</v>
      </c>
      <c r="L81" s="1111">
        <f>VLOOKUP(L46,Base_Mensuelle!$MC$68:$OD$679,36,0)</f>
        <v>704.63936601600005</v>
      </c>
      <c r="M81" s="1111">
        <f>VLOOKUP(M46,Base_Mensuelle!$MC$68:$OD$679,36,0)</f>
        <v>871.3767186770001</v>
      </c>
    </row>
    <row r="82" spans="1:13" ht="12.75" customHeight="1">
      <c r="A82" s="1328" t="s">
        <v>435</v>
      </c>
      <c r="B82" s="1110">
        <f>VLOOKUP(B46,Base_Mensuelle!$MC$68:$OD$679,37,0)</f>
        <v>0</v>
      </c>
      <c r="C82" s="1110">
        <f>VLOOKUP(C46,Base_Mensuelle!$MC$68:$OD$679,37,0)</f>
        <v>0</v>
      </c>
      <c r="D82" s="1110">
        <f>VLOOKUP(D46,Base_Mensuelle!$MC$68:$OD$679,37,0)</f>
        <v>0.70746297300000005</v>
      </c>
      <c r="E82" s="1110">
        <f>VLOOKUP(E46,Base_Mensuelle!$MC$68:$OD$679,37,0)</f>
        <v>0.70746297300000005</v>
      </c>
      <c r="F82" s="1110">
        <f>VLOOKUP(F46,Base_Mensuelle!$MC$68:$OD$679,37,0)</f>
        <v>0.91370688499999997</v>
      </c>
      <c r="G82" s="1110">
        <f>VLOOKUP(G46,Base_Mensuelle!$MC$68:$OD$679,37,0)</f>
        <v>2.503559219</v>
      </c>
      <c r="H82" s="1110">
        <f>VLOOKUP(H46,Base_Mensuelle!$MC$68:$OD$679,37,0)</f>
        <v>2.503559219</v>
      </c>
      <c r="I82" s="1110">
        <f>VLOOKUP(I46,Base_Mensuelle!$MC$68:$OD$679,37,0)</f>
        <v>3.713559219</v>
      </c>
      <c r="J82" s="1110">
        <f>VLOOKUP(J46,Base_Mensuelle!$MC$68:$OD$679,37,0)</f>
        <v>3.713559219</v>
      </c>
      <c r="K82" s="1110">
        <f>VLOOKUP(K46,Base_Mensuelle!$MC$68:$OD$679,37,0)</f>
        <v>3.713559219</v>
      </c>
      <c r="L82" s="1110">
        <f>VLOOKUP(L46,Base_Mensuelle!$MC$68:$OD$679,37,0)</f>
        <v>4.8274209910000003</v>
      </c>
      <c r="M82" s="1110">
        <f>VLOOKUP(M46,Base_Mensuelle!$MC$68:$OD$679,37,0)</f>
        <v>4.8274209910000003</v>
      </c>
    </row>
    <row r="83" spans="1:13" ht="12.9">
      <c r="A83" s="1442" t="s">
        <v>436</v>
      </c>
      <c r="B83" s="1111">
        <f>VLOOKUP(B46,Base_Mensuelle!$MC$68:$OD$679,38,0)</f>
        <v>16.57533876613746</v>
      </c>
      <c r="C83" s="1111">
        <f>VLOOKUP(C46,Base_Mensuelle!$MC$68:$OD$679,38,0)</f>
        <v>24.246292603483202</v>
      </c>
      <c r="D83" s="1111">
        <f>VLOOKUP(D46,Base_Mensuelle!$MC$68:$OD$679,38,0)</f>
        <v>32.516100366651898</v>
      </c>
      <c r="E83" s="1111">
        <f>VLOOKUP(E46,Base_Mensuelle!$MC$68:$OD$679,38,0)</f>
        <v>39.523215147651904</v>
      </c>
      <c r="F83" s="1111">
        <f>VLOOKUP(F46,Base_Mensuelle!$MC$68:$OD$679,38,0)</f>
        <v>46.970855224054851</v>
      </c>
      <c r="G83" s="1111">
        <f>VLOOKUP(G46,Base_Mensuelle!$MC$68:$OD$679,38,0)</f>
        <v>172.15535759141838</v>
      </c>
      <c r="H83" s="1111">
        <f>VLOOKUP(H46,Base_Mensuelle!$MC$68:$OD$679,38,0)</f>
        <v>181.58450135308681</v>
      </c>
      <c r="I83" s="1111">
        <f>VLOOKUP(I46,Base_Mensuelle!$MC$68:$OD$679,38,0)</f>
        <v>235.99997284577049</v>
      </c>
      <c r="J83" s="1111">
        <f>VLOOKUP(J46,Base_Mensuelle!$MC$68:$OD$679,38,0)</f>
        <v>257.14674805173865</v>
      </c>
      <c r="K83" s="1111">
        <f>VLOOKUP(K46,Base_Mensuelle!$MC$68:$OD$679,38,0)</f>
        <v>286.29159897863849</v>
      </c>
      <c r="L83" s="1111">
        <f>VLOOKUP(L46,Base_Mensuelle!$MC$68:$OD$679,38,0)</f>
        <v>296.33583675989644</v>
      </c>
      <c r="M83" s="1111">
        <f>VLOOKUP(M46,Base_Mensuelle!$MC$68:$OD$679,38,0)</f>
        <v>397.47092921125142</v>
      </c>
    </row>
    <row r="84" spans="1:13" ht="12.9">
      <c r="A84" s="1445" t="s">
        <v>437</v>
      </c>
      <c r="B84" s="1115">
        <f>VLOOKUP(B46,Base_Mensuelle!$MC$68:$OD$679,39,0)</f>
        <v>-6.6696000009775167E-5</v>
      </c>
      <c r="C84" s="1115">
        <f>VLOOKUP(C46,Base_Mensuelle!$MC$68:$OD$679,39,0)</f>
        <v>-5.3922598340000052</v>
      </c>
      <c r="D84" s="1115">
        <f>VLOOKUP(D46,Base_Mensuelle!$MC$68:$OD$679,39,0)</f>
        <v>-5.7143432990000012</v>
      </c>
      <c r="E84" s="1115">
        <f>VLOOKUP(E46,Base_Mensuelle!$MC$68:$OD$679,39,0)</f>
        <v>-5.9921579740000031</v>
      </c>
      <c r="F84" s="1115">
        <f>VLOOKUP(F46,Base_Mensuelle!$MC$68:$OD$679,39,0)</f>
        <v>-6.6372582970000078</v>
      </c>
      <c r="G84" s="1115">
        <f>VLOOKUP(G46,Base_Mensuelle!$MC$68:$OD$679,39,0)</f>
        <v>-8.3572874540000051</v>
      </c>
      <c r="H84" s="1115">
        <f>VLOOKUP(H46,Base_Mensuelle!$MC$68:$OD$679,39,0)</f>
        <v>-8.93467580400001</v>
      </c>
      <c r="I84" s="1115">
        <f>VLOOKUP(I46,Base_Mensuelle!$MC$68:$OD$679,39,0)</f>
        <v>-7.5460099760000077</v>
      </c>
      <c r="J84" s="1115">
        <f>VLOOKUP(J46,Base_Mensuelle!$MC$68:$OD$679,39,0)</f>
        <v>-8.2516537600000071</v>
      </c>
      <c r="K84" s="1115">
        <f>VLOOKUP(K46,Base_Mensuelle!$MC$68:$OD$679,39,0)</f>
        <v>-10.133080146000008</v>
      </c>
      <c r="L84" s="1115">
        <f>VLOOKUP(L46,Base_Mensuelle!$MC$68:$OD$679,39,0)</f>
        <v>-11.645855106000008</v>
      </c>
      <c r="M84" s="1115">
        <f>VLOOKUP(M46,Base_Mensuelle!$MC$68:$OD$679,39,0)</f>
        <v>-9.5171881460000023</v>
      </c>
    </row>
    <row r="85" spans="1:13" ht="12.75" customHeight="1">
      <c r="A85" s="1116" t="s">
        <v>800</v>
      </c>
      <c r="B85" s="1106"/>
      <c r="C85" s="1106"/>
      <c r="D85" s="1106"/>
      <c r="E85" s="1106"/>
      <c r="F85" s="1106"/>
      <c r="G85" s="1106"/>
      <c r="H85" s="1106"/>
      <c r="I85" s="1106"/>
      <c r="J85" s="1106"/>
      <c r="K85" s="1106"/>
      <c r="L85" s="1106"/>
      <c r="M85" s="1106"/>
    </row>
    <row r="86" spans="1:13" ht="12.75" customHeight="1">
      <c r="A86" s="1108"/>
      <c r="B86" s="1106"/>
      <c r="C86" s="1106"/>
      <c r="D86" s="1106"/>
      <c r="E86" s="1106"/>
      <c r="F86" s="1106"/>
      <c r="G86" s="1106"/>
      <c r="H86" s="1106"/>
      <c r="I86" s="1106"/>
      <c r="J86" s="1106"/>
      <c r="K86" s="1106"/>
      <c r="L86" s="1106"/>
      <c r="M86" s="1106"/>
    </row>
    <row r="87" spans="1:13" ht="12.75" customHeight="1">
      <c r="A87" s="1440"/>
      <c r="B87" s="1519">
        <f>DATE(YEAR(INDEX(Base_Mensuelle!$MC$68:$OE$679,MAX(Base_Mensuelle!$OE$68:$OE$679),1)),1,1)</f>
        <v>44927</v>
      </c>
      <c r="C87" s="1519">
        <f>DATE(YEAR(INDEX(Base_Mensuelle!$MC$68:$OE$679,MAX(Base_Mensuelle!$OE$68:$OE$679),1)),2,1)</f>
        <v>44958</v>
      </c>
      <c r="D87" s="1519">
        <f>DATE(YEAR(INDEX(Base_Mensuelle!$MC$68:$OE$679,MAX(Base_Mensuelle!$OE$68:$OE$679),1)),3,1)</f>
        <v>44986</v>
      </c>
      <c r="E87" s="1519">
        <f>DATE(YEAR(INDEX(Base_Mensuelle!$MC$68:$OE$679,MAX(Base_Mensuelle!$OE$68:$OE$679),1)),4,1)</f>
        <v>45017</v>
      </c>
      <c r="F87" s="1519">
        <f>DATE(YEAR(INDEX(Base_Mensuelle!$MC$68:$OE$679,MAX(Base_Mensuelle!$OE$68:$OE$679),1)),5,1)</f>
        <v>45047</v>
      </c>
      <c r="G87" s="1519">
        <f>DATE(YEAR(INDEX(Base_Mensuelle!$MC$68:$OE$679,MAX(Base_Mensuelle!$OE$68:$OE$679),1)),6,1)</f>
        <v>45078</v>
      </c>
      <c r="H87" s="1519">
        <f>DATE(YEAR(INDEX(Base_Mensuelle!$MC$68:$OE$679,MAX(Base_Mensuelle!$OE$68:$OE$679),1)),7,1)</f>
        <v>45108</v>
      </c>
      <c r="I87" s="1519">
        <f>DATE(YEAR(INDEX(Base_Mensuelle!$MC$68:$OE$679,MAX(Base_Mensuelle!$OE$68:$OE$679),1)),8,1)</f>
        <v>45139</v>
      </c>
      <c r="J87" s="1519">
        <f>DATE(YEAR(INDEX(Base_Mensuelle!$MC$68:$OE$679,MAX(Base_Mensuelle!$OE$68:$OE$679),1)),9,1)</f>
        <v>45170</v>
      </c>
      <c r="K87" s="1519">
        <f>DATE(YEAR(INDEX(Base_Mensuelle!$MC$68:$OE$679,MAX(Base_Mensuelle!$OE$68:$OE$679),1)),10,1)</f>
        <v>45200</v>
      </c>
      <c r="L87" s="1519">
        <f>DATE(YEAR(INDEX(Base_Mensuelle!$MC$68:$OE$679,MAX(Base_Mensuelle!$OE$68:$OE$679),1)),11,1)</f>
        <v>45231</v>
      </c>
      <c r="M87" s="1519">
        <f>DATE(YEAR(INDEX(Base_Mensuelle!$MC$68:$OE$679,MAX(Base_Mensuelle!$OE$68:$OE$679),1)),12,1)</f>
        <v>45261</v>
      </c>
    </row>
    <row r="88" spans="1:13" ht="12.9">
      <c r="A88" s="1441" t="s">
        <v>770</v>
      </c>
      <c r="B88" s="1882">
        <f>VLOOKUP(B87,Base_Mensuelle!$MC$68:$OD$679,2,0)</f>
        <v>200.32545156399996</v>
      </c>
      <c r="C88" s="1882">
        <f>VLOOKUP(C$87,Base_Mensuelle!$MC$68:$OD$679,2,0)</f>
        <v>449.48413610440707</v>
      </c>
      <c r="D88" s="1882">
        <f>VLOOKUP(D$87,Base_Mensuelle!$MC$68:$OD$679,2,0)</f>
        <v>663.88077248978288</v>
      </c>
      <c r="E88" s="1882">
        <f>VLOOKUP(E$87,Base_Mensuelle!$MC$68:$OD$679,2,0)</f>
        <v>921.46864260057225</v>
      </c>
      <c r="F88" s="1882">
        <f>VLOOKUP(F$87,Base_Mensuelle!$MC$68:$OD$679,2,0)</f>
        <v>1179.0465581303395</v>
      </c>
      <c r="G88" s="1882">
        <f>VLOOKUP(G$87,Base_Mensuelle!$MC$68:$OD$679,2,0)</f>
        <v>1361.4752260045207</v>
      </c>
      <c r="H88" s="1882">
        <f>VLOOKUP(H$87,Base_Mensuelle!$MC$68:$OD$679,2,0)</f>
        <v>1653.4371627285861</v>
      </c>
      <c r="I88" s="1882">
        <f>VLOOKUP(I$87,Base_Mensuelle!$MC$68:$OD$679,2,0)</f>
        <v>1831.120000305586</v>
      </c>
      <c r="J88" s="1882">
        <f>VLOOKUP(J$87,Base_Mensuelle!$MC$68:$OD$679,2,0)</f>
        <v>2057.5893136305863</v>
      </c>
      <c r="K88" s="1882">
        <f>VLOOKUP(K$87,Base_Mensuelle!$MC$68:$OD$679,2,0)</f>
        <v>2320.7005888735862</v>
      </c>
      <c r="L88" s="1882">
        <f>VLOOKUP(L$87,Base_Mensuelle!$MC$68:$OD$679,2,0)</f>
        <v>2514.9203162335862</v>
      </c>
      <c r="M88" s="1882">
        <f>VLOOKUP(M$87,Base_Mensuelle!$MC$68:$OD$679,2,0)</f>
        <v>2746.8865690087646</v>
      </c>
    </row>
    <row r="89" spans="1:13" ht="12.9">
      <c r="A89" s="1328" t="s">
        <v>771</v>
      </c>
      <c r="B89" s="1114">
        <f>VLOOKUP(B87,Base_Mensuelle!$MC$68:$OD$679,3,0)</f>
        <v>199.50013513699997</v>
      </c>
      <c r="C89" s="1114">
        <f>VLOOKUP(C$87,Base_Mensuelle!$MC$68:$OD$679,3,0)</f>
        <v>370.24963241359995</v>
      </c>
      <c r="D89" s="1114">
        <f>VLOOKUP(D$87,Base_Mensuelle!$MC$68:$OD$679,3,0)</f>
        <v>563.2581678265999</v>
      </c>
      <c r="E89" s="1114">
        <f>VLOOKUP(E$87,Base_Mensuelle!$MC$68:$OD$679,3,0)</f>
        <v>773.94080052059996</v>
      </c>
      <c r="F89" s="1114">
        <f>VLOOKUP(F$87,Base_Mensuelle!$MC$68:$OD$679,3,0)</f>
        <v>1014.9123931044001</v>
      </c>
      <c r="G89" s="1114">
        <f>VLOOKUP(G$87,Base_Mensuelle!$MC$68:$OD$679,3,0)</f>
        <v>1193.6504675481615</v>
      </c>
      <c r="H89" s="1114">
        <f>VLOOKUP(H$87,Base_Mensuelle!$MC$68:$OD$679,3,0)</f>
        <v>1466.3726249275614</v>
      </c>
      <c r="I89" s="1114">
        <f>VLOOKUP(I$87,Base_Mensuelle!$MC$68:$OD$679,3,0)</f>
        <v>1639.7793852745615</v>
      </c>
      <c r="J89" s="1114">
        <f>VLOOKUP(J$87,Base_Mensuelle!$MC$68:$OD$679,3,0)</f>
        <v>1863.2286064845614</v>
      </c>
      <c r="K89" s="1114">
        <f>VLOOKUP(K$87,Base_Mensuelle!$MC$68:$OD$679,3,0)</f>
        <v>2124.2092202315616</v>
      </c>
      <c r="L89" s="1114">
        <f>VLOOKUP(L$87,Base_Mensuelle!$MC$68:$OD$679,3,0)</f>
        <v>2316.0459779625617</v>
      </c>
      <c r="M89" s="1114">
        <f>VLOOKUP(M$87,Base_Mensuelle!$MC$68:$OD$679,3,0)</f>
        <v>2543.3855251855616</v>
      </c>
    </row>
    <row r="90" spans="1:13" ht="12.9">
      <c r="A90" s="1442" t="s">
        <v>772</v>
      </c>
      <c r="B90" s="1883">
        <f>VLOOKUP(B87,Base_Mensuelle!$MC$68:$OD$679,4,0)</f>
        <v>199.50013513699997</v>
      </c>
      <c r="C90" s="1883">
        <f>VLOOKUP(C$87,Base_Mensuelle!$MC$68:$OD$679,4,0)</f>
        <v>370.24963241359995</v>
      </c>
      <c r="D90" s="1883">
        <f>VLOOKUP(D$87,Base_Mensuelle!$MC$68:$OD$679,4,0)</f>
        <v>563.2581678265999</v>
      </c>
      <c r="E90" s="1883">
        <f>VLOOKUP(E$87,Base_Mensuelle!$MC$68:$OD$679,4,0)</f>
        <v>773.94080052059996</v>
      </c>
      <c r="F90" s="1883">
        <f>VLOOKUP(F$87,Base_Mensuelle!$MC$68:$OD$679,4,0)</f>
        <v>1014.9123931044001</v>
      </c>
      <c r="G90" s="1883">
        <f>VLOOKUP(G$87,Base_Mensuelle!$MC$68:$OD$679,4,0)</f>
        <v>1193.6504675481615</v>
      </c>
      <c r="H90" s="1883">
        <f>VLOOKUP(H$87,Base_Mensuelle!$MC$68:$OD$679,4,0)</f>
        <v>1466.3726249275614</v>
      </c>
      <c r="I90" s="1883">
        <f>VLOOKUP(I$87,Base_Mensuelle!$MC$68:$OD$679,4,0)</f>
        <v>1639.7793852745615</v>
      </c>
      <c r="J90" s="1883">
        <f>VLOOKUP(J$87,Base_Mensuelle!$MC$68:$OD$679,4,0)</f>
        <v>1863.2286064845614</v>
      </c>
      <c r="K90" s="1883">
        <f>VLOOKUP(K$87,Base_Mensuelle!$MC$68:$OD$679,4,0)</f>
        <v>2124.2092202315616</v>
      </c>
      <c r="L90" s="1883">
        <f>VLOOKUP(L$87,Base_Mensuelle!$MC$68:$OD$679,4,0)</f>
        <v>2316.0459779625617</v>
      </c>
      <c r="M90" s="1883">
        <f>VLOOKUP(M$87,Base_Mensuelle!$MC$68:$OD$679,4,0)</f>
        <v>2543.3855251855616</v>
      </c>
    </row>
    <row r="91" spans="1:13" ht="12.9">
      <c r="A91" s="1328" t="s">
        <v>773</v>
      </c>
      <c r="B91" s="1114">
        <f>VLOOKUP(B87,Base_Mensuelle!$MC$68:$OD$679,5,0)</f>
        <v>185.43934727199996</v>
      </c>
      <c r="C91" s="1114">
        <f>VLOOKUP(C$87,Base_Mensuelle!$MC$68:$OD$679,5,0)</f>
        <v>340.67197957559989</v>
      </c>
      <c r="D91" s="1114">
        <f>VLOOKUP(D$87,Base_Mensuelle!$MC$68:$OD$679,5,0)</f>
        <v>520.87808253259982</v>
      </c>
      <c r="E91" s="1114">
        <f>VLOOKUP(E$87,Base_Mensuelle!$MC$68:$OD$679,5,0)</f>
        <v>714.88168076059981</v>
      </c>
      <c r="F91" s="1114">
        <f>VLOOKUP(F$87,Base_Mensuelle!$MC$68:$OD$679,5,0)</f>
        <v>912.20431621339992</v>
      </c>
      <c r="G91" s="1114">
        <f>VLOOKUP(G$87,Base_Mensuelle!$MC$68:$OD$679,5,0)</f>
        <v>1073.8090026215998</v>
      </c>
      <c r="H91" s="1114">
        <f>VLOOKUP(H$87,Base_Mensuelle!$MC$68:$OD$679,5,0)</f>
        <v>1327.4324546699997</v>
      </c>
      <c r="I91" s="1114">
        <f>VLOOKUP(I$87,Base_Mensuelle!$MC$68:$OD$679,5,0)</f>
        <v>1473.5953150159999</v>
      </c>
      <c r="J91" s="1114">
        <f>VLOOKUP(J$87,Base_Mensuelle!$MC$68:$OD$679,5,0)</f>
        <v>1638.9743887819998</v>
      </c>
      <c r="K91" s="1114">
        <f>VLOOKUP(K$87,Base_Mensuelle!$MC$68:$OD$679,5,0)</f>
        <v>1880.0318887579999</v>
      </c>
      <c r="L91" s="1114">
        <f>VLOOKUP(L$87,Base_Mensuelle!$MC$68:$OD$679,5,0)</f>
        <v>2059.7678674129997</v>
      </c>
      <c r="M91" s="1114">
        <f>VLOOKUP(M$87,Base_Mensuelle!$MC$68:$OD$679,5,0)</f>
        <v>2245.9507107459999</v>
      </c>
    </row>
    <row r="92" spans="1:13" ht="12.9">
      <c r="A92" s="1442" t="s">
        <v>774</v>
      </c>
      <c r="B92" s="1883">
        <f>VLOOKUP(B87,Base_Mensuelle!$MC$68:$OD$679,6,0)</f>
        <v>98.722097810999983</v>
      </c>
      <c r="C92" s="1883">
        <f>VLOOKUP(C$87,Base_Mensuelle!$MC$68:$OD$679,6,0)</f>
        <v>135.55516427699999</v>
      </c>
      <c r="D92" s="1883">
        <f>VLOOKUP(D$87,Base_Mensuelle!$MC$68:$OD$679,6,0)</f>
        <v>175.09988992299998</v>
      </c>
      <c r="E92" s="1883">
        <f>VLOOKUP(E$87,Base_Mensuelle!$MC$68:$OD$679,6,0)</f>
        <v>268.96775084699999</v>
      </c>
      <c r="F92" s="1883">
        <f>VLOOKUP(F$87,Base_Mensuelle!$MC$68:$OD$679,6,0)</f>
        <v>336.96223028200001</v>
      </c>
      <c r="G92" s="1883">
        <f>VLOOKUP(G$87,Base_Mensuelle!$MC$68:$OD$679,6,0)</f>
        <v>371.77533831200003</v>
      </c>
      <c r="H92" s="1883">
        <f>VLOOKUP(H$87,Base_Mensuelle!$MC$68:$OD$679,6,0)</f>
        <v>498.67859752400005</v>
      </c>
      <c r="I92" s="1883">
        <f>VLOOKUP(I$87,Base_Mensuelle!$MC$68:$OD$679,6,0)</f>
        <v>530.42759249800008</v>
      </c>
      <c r="J92" s="1883">
        <f>VLOOKUP(J$87,Base_Mensuelle!$MC$68:$OD$679,6,0)</f>
        <v>556.18376578599998</v>
      </c>
      <c r="K92" s="1883">
        <f>VLOOKUP(K$87,Base_Mensuelle!$MC$68:$OD$679,6,0)</f>
        <v>653.35256040100001</v>
      </c>
      <c r="L92" s="1883">
        <f>VLOOKUP(L$87,Base_Mensuelle!$MC$68:$OD$679,6,0)</f>
        <v>685.16845392700009</v>
      </c>
      <c r="M92" s="1883">
        <f>VLOOKUP(M$87,Base_Mensuelle!$MC$68:$OD$679,6,0)</f>
        <v>724.52241631599998</v>
      </c>
    </row>
    <row r="93" spans="1:13" ht="12.9">
      <c r="A93" s="1328" t="s">
        <v>775</v>
      </c>
      <c r="B93" s="1114">
        <f>VLOOKUP(B87,Base_Mensuelle!$MC$68:$OD$679,7,0)</f>
        <v>1.8095917699999999</v>
      </c>
      <c r="C93" s="1114">
        <f>VLOOKUP(C$87,Base_Mensuelle!$MC$68:$OD$679,7,0)</f>
        <v>3.1777110090000003</v>
      </c>
      <c r="D93" s="1114">
        <f>VLOOKUP(D$87,Base_Mensuelle!$MC$68:$OD$679,7,0)</f>
        <v>4.9049985339999997</v>
      </c>
      <c r="E93" s="1114">
        <f>VLOOKUP(E$87,Base_Mensuelle!$MC$68:$OD$679,7,0)</f>
        <v>6.3569637530000005</v>
      </c>
      <c r="F93" s="1114">
        <f>VLOOKUP(F$87,Base_Mensuelle!$MC$68:$OD$679,7,0)</f>
        <v>7.8269027580000001</v>
      </c>
      <c r="G93" s="1114">
        <f>VLOOKUP(G$87,Base_Mensuelle!$MC$68:$OD$679,7,0)</f>
        <v>9.4894750000000005</v>
      </c>
      <c r="H93" s="1114">
        <f>VLOOKUP(H$87,Base_Mensuelle!$MC$68:$OD$679,7,0)</f>
        <v>11.030976763</v>
      </c>
      <c r="I93" s="1114">
        <f>VLOOKUP(I$87,Base_Mensuelle!$MC$68:$OD$679,7,0)</f>
        <v>12.495680701000001</v>
      </c>
      <c r="J93" s="1114">
        <f>VLOOKUP(J$87,Base_Mensuelle!$MC$68:$OD$679,7,0)</f>
        <v>13.966450811000001</v>
      </c>
      <c r="K93" s="1114">
        <f>VLOOKUP(K$87,Base_Mensuelle!$MC$68:$OD$679,7,0)</f>
        <v>15.460823969</v>
      </c>
      <c r="L93" s="1114">
        <f>VLOOKUP(L$87,Base_Mensuelle!$MC$68:$OD$679,7,0)</f>
        <v>16.974790444000003</v>
      </c>
      <c r="M93" s="1114">
        <f>VLOOKUP(M$87,Base_Mensuelle!$MC$68:$OD$679,7,0)</f>
        <v>18.464338783000002</v>
      </c>
    </row>
    <row r="94" spans="1:13" ht="12.9">
      <c r="A94" s="1442" t="s">
        <v>776</v>
      </c>
      <c r="B94" s="1883">
        <f>VLOOKUP(B87,Base_Mensuelle!$MC$68:$OD$679,8,0)</f>
        <v>4.4918048719999994</v>
      </c>
      <c r="C94" s="1883">
        <f>VLOOKUP(C$87,Base_Mensuelle!$MC$68:$OD$679,8,0)</f>
        <v>9.3584005430000019</v>
      </c>
      <c r="D94" s="1883">
        <f>VLOOKUP(D$87,Base_Mensuelle!$MC$68:$OD$679,8,0)</f>
        <v>16.735987929</v>
      </c>
      <c r="E94" s="1883">
        <f>VLOOKUP(E$87,Base_Mensuelle!$MC$68:$OD$679,8,0)</f>
        <v>21.609051077</v>
      </c>
      <c r="F94" s="1883">
        <f>VLOOKUP(F$87,Base_Mensuelle!$MC$68:$OD$679,8,0)</f>
        <v>26.665795552000002</v>
      </c>
      <c r="G94" s="1883">
        <f>VLOOKUP(G$87,Base_Mensuelle!$MC$68:$OD$679,8,0)</f>
        <v>32.958207508000001</v>
      </c>
      <c r="H94" s="1883">
        <f>VLOOKUP(H$87,Base_Mensuelle!$MC$68:$OD$679,8,0)</f>
        <v>38.309049590000001</v>
      </c>
      <c r="I94" s="1883">
        <f>VLOOKUP(I$87,Base_Mensuelle!$MC$68:$OD$679,8,0)</f>
        <v>46.586639646999998</v>
      </c>
      <c r="J94" s="1883">
        <f>VLOOKUP(J$87,Base_Mensuelle!$MC$68:$OD$679,8,0)</f>
        <v>52.649604813999993</v>
      </c>
      <c r="K94" s="1883">
        <f>VLOOKUP(K$87,Base_Mensuelle!$MC$68:$OD$679,8,0)</f>
        <v>59.519124567999995</v>
      </c>
      <c r="L94" s="1883">
        <f>VLOOKUP(L$87,Base_Mensuelle!$MC$68:$OD$679,8,0)</f>
        <v>65.585726166000001</v>
      </c>
      <c r="M94" s="1883">
        <f>VLOOKUP(M$87,Base_Mensuelle!$MC$68:$OD$679,8,0)</f>
        <v>73.01861349699999</v>
      </c>
    </row>
    <row r="95" spans="1:13" ht="12.9">
      <c r="A95" s="1328" t="s">
        <v>777</v>
      </c>
      <c r="B95" s="1114">
        <f>VLOOKUP(B87,Base_Mensuelle!$MC$68:$OD$679,9,0)</f>
        <v>63.266443207000002</v>
      </c>
      <c r="C95" s="1114">
        <f>VLOOKUP(C$87,Base_Mensuelle!$MC$68:$OD$679,9,0)</f>
        <v>148.7866449796</v>
      </c>
      <c r="D95" s="1114">
        <f>VLOOKUP(D$87,Base_Mensuelle!$MC$68:$OD$679,9,0)</f>
        <v>248.07508019260001</v>
      </c>
      <c r="E95" s="1114">
        <f>VLOOKUP(E$87,Base_Mensuelle!$MC$68:$OD$679,9,0)</f>
        <v>319.6804715586</v>
      </c>
      <c r="F95" s="1114">
        <f>VLOOKUP(F$87,Base_Mensuelle!$MC$68:$OD$679,9,0)</f>
        <v>416.05838961040001</v>
      </c>
      <c r="G95" s="1114">
        <f>VLOOKUP(G$87,Base_Mensuelle!$MC$68:$OD$679,9,0)</f>
        <v>507.48314553260002</v>
      </c>
      <c r="H95" s="1114">
        <f>VLOOKUP(H$87,Base_Mensuelle!$MC$68:$OD$679,9,0)</f>
        <v>599.37921897000001</v>
      </c>
      <c r="I95" s="1114">
        <f>VLOOKUP(I$87,Base_Mensuelle!$MC$68:$OD$679,9,0)</f>
        <v>679.27755821400001</v>
      </c>
      <c r="J95" s="1114">
        <f>VLOOKUP(J$87,Base_Mensuelle!$MC$68:$OD$679,9,0)</f>
        <v>784.50084895499992</v>
      </c>
      <c r="K95" s="1114">
        <f>VLOOKUP(K$87,Base_Mensuelle!$MC$68:$OD$679,9,0)</f>
        <v>891.83996401499996</v>
      </c>
      <c r="L95" s="1114">
        <f>VLOOKUP(L$87,Base_Mensuelle!$MC$68:$OD$679,9,0)</f>
        <v>1002.3909790519999</v>
      </c>
      <c r="M95" s="1114">
        <f>VLOOKUP(M$87,Base_Mensuelle!$MC$68:$OD$679,9,0)</f>
        <v>1110.2652626419999</v>
      </c>
    </row>
    <row r="96" spans="1:13" ht="12.9">
      <c r="A96" s="1442" t="s">
        <v>778</v>
      </c>
      <c r="B96" s="1883">
        <f>VLOOKUP(B87,Base_Mensuelle!$MC$68:$OD$679,10,0)</f>
        <v>17.064989401000002</v>
      </c>
      <c r="C96" s="1883">
        <f>VLOOKUP(C$87,Base_Mensuelle!$MC$68:$OD$679,10,0)</f>
        <v>43.625855342000001</v>
      </c>
      <c r="D96" s="1883">
        <f>VLOOKUP(D$87,Base_Mensuelle!$MC$68:$OD$679,10,0)</f>
        <v>75.779797451999997</v>
      </c>
      <c r="E96" s="1883">
        <f>VLOOKUP(E$87,Base_Mensuelle!$MC$68:$OD$679,10,0)</f>
        <v>97.898466860999989</v>
      </c>
      <c r="F96" s="1883">
        <f>VLOOKUP(F$87,Base_Mensuelle!$MC$68:$OD$679,10,0)</f>
        <v>124.24680583399999</v>
      </c>
      <c r="G96" s="1883">
        <f>VLOOKUP(G$87,Base_Mensuelle!$MC$68:$OD$679,10,0)</f>
        <v>151.54170515599998</v>
      </c>
      <c r="H96" s="1883">
        <f>VLOOKUP(H$87,Base_Mensuelle!$MC$68:$OD$679,10,0)</f>
        <v>179.346789538</v>
      </c>
      <c r="I96" s="1883">
        <f>VLOOKUP(I$87,Base_Mensuelle!$MC$68:$OD$679,10,0)</f>
        <v>204.02794338099997</v>
      </c>
      <c r="J96" s="1883">
        <f>VLOOKUP(J$87,Base_Mensuelle!$MC$68:$OD$679,10,0)</f>
        <v>230.77980442199998</v>
      </c>
      <c r="K96" s="1883">
        <f>VLOOKUP(K$87,Base_Mensuelle!$MC$68:$OD$679,10,0)</f>
        <v>258.86760969900001</v>
      </c>
      <c r="L96" s="1883">
        <f>VLOOKUP(L$87,Base_Mensuelle!$MC$68:$OD$679,10,0)</f>
        <v>288.51590841000001</v>
      </c>
      <c r="M96" s="1883">
        <f>VLOOKUP(M$87,Base_Mensuelle!$MC$68:$OD$679,10,0)</f>
        <v>318.46810214100003</v>
      </c>
    </row>
    <row r="97" spans="1:13" ht="12.9">
      <c r="A97" s="1330" t="s">
        <v>779</v>
      </c>
      <c r="B97" s="1884">
        <f>VLOOKUP(B87,Base_Mensuelle!$MC$68:$OD$679,11,0)</f>
        <v>8.4420211000000009E-2</v>
      </c>
      <c r="C97" s="1884">
        <f>VLOOKUP(C$87,Base_Mensuelle!$MC$68:$OD$679,11,0)</f>
        <v>0.16820342499999999</v>
      </c>
      <c r="D97" s="1884">
        <f>VLOOKUP(D$87,Base_Mensuelle!$MC$68:$OD$679,11,0)</f>
        <v>0.28232850199999998</v>
      </c>
      <c r="E97" s="1884">
        <f>VLOOKUP(E$87,Base_Mensuelle!$MC$68:$OD$679,11,0)</f>
        <v>0.36897666400000001</v>
      </c>
      <c r="F97" s="1884">
        <f>VLOOKUP(F$87,Base_Mensuelle!$MC$68:$OD$679,11,0)</f>
        <v>0.44419217700000002</v>
      </c>
      <c r="G97" s="1884">
        <f>VLOOKUP(G$87,Base_Mensuelle!$MC$68:$OD$679,11,0)</f>
        <v>0.56113111299999996</v>
      </c>
      <c r="H97" s="1884">
        <f>VLOOKUP(H$87,Base_Mensuelle!$MC$68:$OD$679,11,0)</f>
        <v>0.68782228499999998</v>
      </c>
      <c r="I97" s="1884">
        <f>VLOOKUP(I$87,Base_Mensuelle!$MC$68:$OD$679,11,0)</f>
        <v>0.7799005750000001</v>
      </c>
      <c r="J97" s="1884">
        <f>VLOOKUP(J$87,Base_Mensuelle!$MC$68:$OD$679,11,0)</f>
        <v>0.89391399400000005</v>
      </c>
      <c r="K97" s="1884">
        <f>VLOOKUP(K$87,Base_Mensuelle!$MC$68:$OD$679,11,0)</f>
        <v>0.99180610600000008</v>
      </c>
      <c r="L97" s="1884">
        <f>VLOOKUP(L$87,Base_Mensuelle!$MC$68:$OD$679,11,0)</f>
        <v>1.1320094140000001</v>
      </c>
      <c r="M97" s="1884">
        <f>VLOOKUP(M$87,Base_Mensuelle!$MC$68:$OD$679,11,0)</f>
        <v>1.211977367</v>
      </c>
    </row>
    <row r="98" spans="1:13" ht="12.9">
      <c r="A98" s="1443" t="s">
        <v>780</v>
      </c>
      <c r="B98" s="1885">
        <f>VLOOKUP(B87,Base_Mensuelle!$MC$68:$OD$679,12,0)</f>
        <v>14.060787864999998</v>
      </c>
      <c r="C98" s="1885">
        <f>VLOOKUP(C$87,Base_Mensuelle!$MC$68:$OD$679,12,0)</f>
        <v>29.577652837999999</v>
      </c>
      <c r="D98" s="1885">
        <f>VLOOKUP(D$87,Base_Mensuelle!$MC$68:$OD$679,12,0)</f>
        <v>42.380085293999997</v>
      </c>
      <c r="E98" s="1885">
        <f>VLOOKUP(E$87,Base_Mensuelle!$MC$68:$OD$679,12,0)</f>
        <v>59.059119759999994</v>
      </c>
      <c r="F98" s="1885">
        <f>VLOOKUP(F$87,Base_Mensuelle!$MC$68:$OD$679,12,0)</f>
        <v>102.708076891</v>
      </c>
      <c r="G98" s="1885">
        <f>VLOOKUP(G$87,Base_Mensuelle!$MC$68:$OD$679,12,0)</f>
        <v>119.84146492656144</v>
      </c>
      <c r="H98" s="1885">
        <f>VLOOKUP(H$87,Base_Mensuelle!$MC$68:$OD$679,12,0)</f>
        <v>138.94017025756145</v>
      </c>
      <c r="I98" s="1885">
        <f>VLOOKUP(I$87,Base_Mensuelle!$MC$68:$OD$679,12,0)</f>
        <v>166.18407025856143</v>
      </c>
      <c r="J98" s="1885">
        <f>VLOOKUP(J$87,Base_Mensuelle!$MC$68:$OD$679,12,0)</f>
        <v>224.25421770256145</v>
      </c>
      <c r="K98" s="1885">
        <f>VLOOKUP(K$87,Base_Mensuelle!$MC$68:$OD$679,12,0)</f>
        <v>244.17733147356142</v>
      </c>
      <c r="L98" s="1885">
        <f>VLOOKUP(L$87,Base_Mensuelle!$MC$68:$OD$679,12,0)</f>
        <v>256.27811054956146</v>
      </c>
      <c r="M98" s="1885">
        <f>VLOOKUP(M$87,Base_Mensuelle!$MC$68:$OD$679,12,0)</f>
        <v>297.43481443956142</v>
      </c>
    </row>
    <row r="99" spans="1:13" ht="12.9">
      <c r="A99" s="1328" t="s">
        <v>781</v>
      </c>
      <c r="B99" s="1114">
        <f>VLOOKUP(B87,Base_Mensuelle!$MC$68:$OD$679,13,0)</f>
        <v>0.38147619600000005</v>
      </c>
      <c r="C99" s="1114">
        <f>VLOOKUP(C$87,Base_Mensuelle!$MC$68:$OD$679,13,0)</f>
        <v>0.87339639000000002</v>
      </c>
      <c r="D99" s="1114">
        <f>VLOOKUP(D$87,Base_Mensuelle!$MC$68:$OD$679,13,0)</f>
        <v>1.3672028500000002</v>
      </c>
      <c r="E99" s="1114">
        <f>VLOOKUP(E$87,Base_Mensuelle!$MC$68:$OD$679,13,0)</f>
        <v>2.0482852570000003</v>
      </c>
      <c r="F99" s="1114">
        <f>VLOOKUP(F$87,Base_Mensuelle!$MC$68:$OD$679,13,0)</f>
        <v>2.9798500410000002</v>
      </c>
      <c r="G99" s="1114">
        <f>VLOOKUP(G$87,Base_Mensuelle!$MC$68:$OD$679,13,0)</f>
        <v>3.4241353460000004</v>
      </c>
      <c r="H99" s="1114">
        <f>VLOOKUP(H$87,Base_Mensuelle!$MC$68:$OD$679,13,0)</f>
        <v>3.9082389470000005</v>
      </c>
      <c r="I99" s="1114">
        <f>VLOOKUP(I$87,Base_Mensuelle!$MC$68:$OD$679,13,0)</f>
        <v>4.3209026510000008</v>
      </c>
      <c r="J99" s="1114">
        <f>VLOOKUP(J$87,Base_Mensuelle!$MC$68:$OD$679,13,0)</f>
        <v>4.8644625550000002</v>
      </c>
      <c r="K99" s="1114">
        <f>VLOOKUP(K$87,Base_Mensuelle!$MC$68:$OD$679,13,0)</f>
        <v>5.4793614440000011</v>
      </c>
      <c r="L99" s="1114">
        <f>VLOOKUP(L$87,Base_Mensuelle!$MC$68:$OD$679,13,0)</f>
        <v>6.4958517040000006</v>
      </c>
      <c r="M99" s="1114">
        <f>VLOOKUP(M$87,Base_Mensuelle!$MC$68:$OD$679,13,0)</f>
        <v>7.5043773630000006</v>
      </c>
    </row>
    <row r="100" spans="1:13" ht="12.9">
      <c r="A100" s="1442" t="s">
        <v>574</v>
      </c>
      <c r="B100" s="1883">
        <f>VLOOKUP(B87,Base_Mensuelle!$MC$68:$OD$679,14,0)</f>
        <v>4.5680236510000007</v>
      </c>
      <c r="C100" s="1883">
        <f>VLOOKUP(C$87,Base_Mensuelle!$MC$68:$OD$679,14,0)</f>
        <v>10.787133812</v>
      </c>
      <c r="D100" s="1883">
        <f>VLOOKUP(D$87,Base_Mensuelle!$MC$68:$OD$679,14,0)</f>
        <v>14.360117844000001</v>
      </c>
      <c r="E100" s="1883">
        <f>VLOOKUP(E$87,Base_Mensuelle!$MC$68:$OD$679,14,0)</f>
        <v>17.006187424000004</v>
      </c>
      <c r="F100" s="1883">
        <f>VLOOKUP(F$87,Base_Mensuelle!$MC$68:$OD$679,14,0)</f>
        <v>20.167246369000004</v>
      </c>
      <c r="G100" s="1883">
        <f>VLOOKUP(G$87,Base_Mensuelle!$MC$68:$OD$679,14,0)</f>
        <v>23.047356184000002</v>
      </c>
      <c r="H100" s="1883">
        <f>VLOOKUP(H$87,Base_Mensuelle!$MC$68:$OD$679,14,0)</f>
        <v>26.032718399000004</v>
      </c>
      <c r="I100" s="1883">
        <f>VLOOKUP(I$87,Base_Mensuelle!$MC$68:$OD$679,14,0)</f>
        <v>29.042722558000005</v>
      </c>
      <c r="J100" s="1883">
        <f>VLOOKUP(J$87,Base_Mensuelle!$MC$68:$OD$679,14,0)</f>
        <v>32.691060529000005</v>
      </c>
      <c r="K100" s="1883">
        <f>VLOOKUP(K$87,Base_Mensuelle!$MC$68:$OD$679,14,0)</f>
        <v>35.546940876000008</v>
      </c>
      <c r="L100" s="1883">
        <f>VLOOKUP(L$87,Base_Mensuelle!$MC$68:$OD$679,14,0)</f>
        <v>38.63602808800001</v>
      </c>
      <c r="M100" s="1883">
        <f>VLOOKUP(M$87,Base_Mensuelle!$MC$68:$OD$679,14,0)</f>
        <v>42.910191037000011</v>
      </c>
    </row>
    <row r="101" spans="1:13" ht="12.9">
      <c r="A101" s="1328" t="s">
        <v>782</v>
      </c>
      <c r="B101" s="1114">
        <f>VLOOKUP(B87,Base_Mensuelle!$MC$68:$OD$679,15,0)</f>
        <v>7.8744345000000007E-2</v>
      </c>
      <c r="C101" s="1114">
        <f>VLOOKUP(C$87,Base_Mensuelle!$MC$68:$OD$679,15,0)</f>
        <v>0.243401433</v>
      </c>
      <c r="D101" s="1114">
        <f>VLOOKUP(D$87,Base_Mensuelle!$MC$68:$OD$679,15,0)</f>
        <v>0.36344971499999995</v>
      </c>
      <c r="E101" s="1114">
        <f>VLOOKUP(E$87,Base_Mensuelle!$MC$68:$OD$679,15,0)</f>
        <v>0.47937253499999999</v>
      </c>
      <c r="F101" s="1114">
        <f>VLOOKUP(F$87,Base_Mensuelle!$MC$68:$OD$679,15,0)</f>
        <v>0.83882423699999997</v>
      </c>
      <c r="G101" s="1114">
        <f>VLOOKUP(G$87,Base_Mensuelle!$MC$68:$OD$679,15,0)</f>
        <v>1.060466817</v>
      </c>
      <c r="H101" s="1114">
        <f>VLOOKUP(H$87,Base_Mensuelle!$MC$68:$OD$679,15,0)</f>
        <v>1.168471882</v>
      </c>
      <c r="I101" s="1114">
        <f>VLOOKUP(I$87,Base_Mensuelle!$MC$68:$OD$679,15,0)</f>
        <v>1.361269837</v>
      </c>
      <c r="J101" s="1114">
        <f>VLOOKUP(J$87,Base_Mensuelle!$MC$68:$OD$679,15,0)</f>
        <v>1.5717227280000001</v>
      </c>
      <c r="K101" s="1114">
        <f>VLOOKUP(K$87,Base_Mensuelle!$MC$68:$OD$679,15,0)</f>
        <v>1.8235117380000001</v>
      </c>
      <c r="L101" s="1114">
        <f>VLOOKUP(L$87,Base_Mensuelle!$MC$68:$OD$679,15,0)</f>
        <v>2.0194393129999999</v>
      </c>
      <c r="M101" s="1114">
        <f>VLOOKUP(M$87,Base_Mensuelle!$MC$68:$OD$679,15,0)</f>
        <v>2.4730740940000002</v>
      </c>
    </row>
    <row r="102" spans="1:13" ht="12.9">
      <c r="A102" s="1442" t="s">
        <v>783</v>
      </c>
      <c r="B102" s="1883">
        <f>VLOOKUP(B87,Base_Mensuelle!$MC$68:$OD$679,16,0)</f>
        <v>6.1545969999999998E-2</v>
      </c>
      <c r="C102" s="1883">
        <f>VLOOKUP(C$87,Base_Mensuelle!$MC$68:$OD$679,16,0)</f>
        <v>0.400884674</v>
      </c>
      <c r="D102" s="1883">
        <f>VLOOKUP(D$87,Base_Mensuelle!$MC$68:$OD$679,16,0)</f>
        <v>0.505263185</v>
      </c>
      <c r="E102" s="1883">
        <f>VLOOKUP(E$87,Base_Mensuelle!$MC$68:$OD$679,16,0)</f>
        <v>4.9577389319999989</v>
      </c>
      <c r="F102" s="1883">
        <f>VLOOKUP(F$87,Base_Mensuelle!$MC$68:$OD$679,16,0)</f>
        <v>31.855138067999999</v>
      </c>
      <c r="G102" s="1883">
        <f>VLOOKUP(G$87,Base_Mensuelle!$MC$68:$OD$679,16,0)</f>
        <v>33.618648704999998</v>
      </c>
      <c r="H102" s="1883">
        <f>VLOOKUP(H$87,Base_Mensuelle!$MC$68:$OD$679,16,0)</f>
        <v>34.445056464999993</v>
      </c>
      <c r="I102" s="1883">
        <f>VLOOKUP(I$87,Base_Mensuelle!$MC$68:$OD$679,16,0)</f>
        <v>50.695623134999998</v>
      </c>
      <c r="J102" s="1883">
        <f>VLOOKUP(J$87,Base_Mensuelle!$MC$68:$OD$679,16,0)</f>
        <v>95.398116923999993</v>
      </c>
      <c r="K102" s="1883">
        <f>VLOOKUP(K$87,Base_Mensuelle!$MC$68:$OD$679,16,0)</f>
        <v>101.43793068599999</v>
      </c>
      <c r="L102" s="1883">
        <f>VLOOKUP(L$87,Base_Mensuelle!$MC$68:$OD$679,16,0)</f>
        <v>102.214828489</v>
      </c>
      <c r="M102" s="1883">
        <f>VLOOKUP(M$87,Base_Mensuelle!$MC$68:$OD$679,16,0)</f>
        <v>102.30698891399999</v>
      </c>
    </row>
    <row r="103" spans="1:13" ht="12.9">
      <c r="A103" s="1328" t="s">
        <v>784</v>
      </c>
      <c r="B103" s="1114">
        <f>VLOOKUP(B87,Base_Mensuelle!$MC$68:$OD$679,17,0)</f>
        <v>8.9709977029999983</v>
      </c>
      <c r="C103" s="1114">
        <f>VLOOKUP(C$87,Base_Mensuelle!$MC$68:$OD$679,17,0)</f>
        <v>17.272836528999999</v>
      </c>
      <c r="D103" s="1114">
        <f>VLOOKUP(D$87,Base_Mensuelle!$MC$68:$OD$679,17,0)</f>
        <v>25.784051699999999</v>
      </c>
      <c r="E103" s="1114">
        <f>VLOOKUP(E$87,Base_Mensuelle!$MC$68:$OD$679,17,0)</f>
        <v>34.567535612</v>
      </c>
      <c r="F103" s="1114">
        <f>VLOOKUP(F$87,Base_Mensuelle!$MC$68:$OD$679,17,0)</f>
        <v>46.867018176000009</v>
      </c>
      <c r="G103" s="1114">
        <f>VLOOKUP(G$87,Base_Mensuelle!$MC$68:$OD$679,17,0)</f>
        <v>58.690857874561459</v>
      </c>
      <c r="H103" s="1114">
        <f>VLOOKUP(H$87,Base_Mensuelle!$MC$68:$OD$679,17,0)</f>
        <v>73.385684564561458</v>
      </c>
      <c r="I103" s="1114">
        <f>VLOOKUP(I$87,Base_Mensuelle!$MC$68:$OD$679,17,0)</f>
        <v>80.763552077561457</v>
      </c>
      <c r="J103" s="1114">
        <f>VLOOKUP(J$87,Base_Mensuelle!$MC$68:$OD$679,17,0)</f>
        <v>89.728854966561457</v>
      </c>
      <c r="K103" s="1114">
        <f>VLOOKUP(K$87,Base_Mensuelle!$MC$68:$OD$679,17,0)</f>
        <v>99.889586729561444</v>
      </c>
      <c r="L103" s="1114">
        <f>VLOOKUP(L$87,Base_Mensuelle!$MC$68:$OD$679,17,0)</f>
        <v>106.91196295556145</v>
      </c>
      <c r="M103" s="1114">
        <f>VLOOKUP(M$87,Base_Mensuelle!$MC$68:$OD$679,17,0)</f>
        <v>142.24018303156143</v>
      </c>
    </row>
    <row r="104" spans="1:13" ht="12.9">
      <c r="A104" s="1442" t="s">
        <v>785</v>
      </c>
      <c r="B104" s="1883">
        <f>VLOOKUP(B87,Base_Mensuelle!$MC$68:$OD$679,18,0)</f>
        <v>0</v>
      </c>
      <c r="C104" s="1883">
        <f>VLOOKUP(C$87,Base_Mensuelle!$MC$68:$OD$679,18,0)</f>
        <v>0</v>
      </c>
      <c r="D104" s="1883">
        <f>VLOOKUP(D$87,Base_Mensuelle!$MC$68:$OD$679,18,0)</f>
        <v>0</v>
      </c>
      <c r="E104" s="1883">
        <f>VLOOKUP(E$87,Base_Mensuelle!$MC$68:$OD$679,18,0)</f>
        <v>0</v>
      </c>
      <c r="F104" s="1883">
        <f>VLOOKUP(F$87,Base_Mensuelle!$MC$68:$OD$679,18,0)</f>
        <v>0</v>
      </c>
      <c r="G104" s="1883">
        <f>VLOOKUP(G$87,Base_Mensuelle!$MC$68:$OD$679,18,0)</f>
        <v>0</v>
      </c>
      <c r="H104" s="1883">
        <f>VLOOKUP(H$87,Base_Mensuelle!$MC$68:$OD$679,18,0)</f>
        <v>0</v>
      </c>
      <c r="I104" s="1883">
        <f>VLOOKUP(I$87,Base_Mensuelle!$MC$68:$OD$679,18,0)</f>
        <v>0</v>
      </c>
      <c r="J104" s="1883">
        <f>VLOOKUP(J$87,Base_Mensuelle!$MC$68:$OD$679,18,0)</f>
        <v>0</v>
      </c>
      <c r="K104" s="1883">
        <f>VLOOKUP(K$87,Base_Mensuelle!$MC$68:$OD$679,18,0)</f>
        <v>0</v>
      </c>
      <c r="L104" s="1883">
        <f>VLOOKUP(L$87,Base_Mensuelle!$MC$68:$OD$679,18,0)</f>
        <v>0</v>
      </c>
      <c r="M104" s="1883">
        <f>VLOOKUP(M$87,Base_Mensuelle!$MC$68:$OD$679,18,0)</f>
        <v>0</v>
      </c>
    </row>
    <row r="105" spans="1:13" ht="12.9">
      <c r="A105" s="1328" t="s">
        <v>786</v>
      </c>
      <c r="B105" s="1114">
        <f>VLOOKUP(B87,Base_Mensuelle!$MC$68:$OD$679,19,0)</f>
        <v>0.82531642700000007</v>
      </c>
      <c r="C105" s="1114">
        <f>VLOOKUP(C$87,Base_Mensuelle!$MC$68:$OD$679,19,0)</f>
        <v>79.234503690807131</v>
      </c>
      <c r="D105" s="1114">
        <f>VLOOKUP(D$87,Base_Mensuelle!$MC$68:$OD$679,19,0)</f>
        <v>100.62260466318305</v>
      </c>
      <c r="E105" s="1114">
        <f>VLOOKUP(E$87,Base_Mensuelle!$MC$68:$OD$679,19,0)</f>
        <v>147.52784207997232</v>
      </c>
      <c r="F105" s="1114">
        <f>VLOOKUP(F$87,Base_Mensuelle!$MC$68:$OD$679,19,0)</f>
        <v>164.13416502593952</v>
      </c>
      <c r="G105" s="1114">
        <f>VLOOKUP(G$87,Base_Mensuelle!$MC$68:$OD$679,19,0)</f>
        <v>167.8247584563594</v>
      </c>
      <c r="H105" s="1114">
        <f>VLOOKUP(H$87,Base_Mensuelle!$MC$68:$OD$679,19,0)</f>
        <v>187.06453780102501</v>
      </c>
      <c r="I105" s="1114">
        <f>VLOOKUP(I$87,Base_Mensuelle!$MC$68:$OD$679,19,0)</f>
        <v>191.34061503102498</v>
      </c>
      <c r="J105" s="1114">
        <f>VLOOKUP(J$87,Base_Mensuelle!$MC$68:$OD$679,19,0)</f>
        <v>194.36070714602499</v>
      </c>
      <c r="K105" s="1114">
        <f>VLOOKUP(K$87,Base_Mensuelle!$MC$68:$OD$679,19,0)</f>
        <v>196.49136864202498</v>
      </c>
      <c r="L105" s="1114">
        <f>VLOOKUP(L$87,Base_Mensuelle!$MC$68:$OD$679,19,0)</f>
        <v>198.87433827102501</v>
      </c>
      <c r="M105" s="1114">
        <f>VLOOKUP(M$87,Base_Mensuelle!$MC$68:$OD$679,19,0)</f>
        <v>203.50104382320364</v>
      </c>
    </row>
    <row r="106" spans="1:13" ht="12.9">
      <c r="A106" s="1442" t="s">
        <v>787</v>
      </c>
      <c r="B106" s="1883">
        <f>VLOOKUP(B87,Base_Mensuelle!$MC$68:$OD$679,20,0)</f>
        <v>0.82531642700000007</v>
      </c>
      <c r="C106" s="1883">
        <f>VLOOKUP(C$87,Base_Mensuelle!$MC$68:$OD$679,20,0)</f>
        <v>79.234503690807131</v>
      </c>
      <c r="D106" s="1883">
        <f>VLOOKUP(D$87,Base_Mensuelle!$MC$68:$OD$679,20,0)</f>
        <v>100.62260466318305</v>
      </c>
      <c r="E106" s="1883">
        <f>VLOOKUP(E$87,Base_Mensuelle!$MC$68:$OD$679,20,0)</f>
        <v>147.52784207997232</v>
      </c>
      <c r="F106" s="1883">
        <f>VLOOKUP(F$87,Base_Mensuelle!$MC$68:$OD$679,20,0)</f>
        <v>164.13416502593952</v>
      </c>
      <c r="G106" s="1883">
        <f>VLOOKUP(G$87,Base_Mensuelle!$MC$68:$OD$679,20,0)</f>
        <v>167.8247584563594</v>
      </c>
      <c r="H106" s="1883">
        <f>VLOOKUP(H$87,Base_Mensuelle!$MC$68:$OD$679,20,0)</f>
        <v>187.06453780102501</v>
      </c>
      <c r="I106" s="1883">
        <f>VLOOKUP(I$87,Base_Mensuelle!$MC$68:$OD$679,20,0)</f>
        <v>191.34061503102498</v>
      </c>
      <c r="J106" s="1883">
        <f>VLOOKUP(J$87,Base_Mensuelle!$MC$68:$OD$679,20,0)</f>
        <v>194.36070714602499</v>
      </c>
      <c r="K106" s="1883">
        <f>VLOOKUP(K$87,Base_Mensuelle!$MC$68:$OD$679,20,0)</f>
        <v>196.49136864202498</v>
      </c>
      <c r="L106" s="1883">
        <f>VLOOKUP(L$87,Base_Mensuelle!$MC$68:$OD$679,20,0)</f>
        <v>198.87433827102501</v>
      </c>
      <c r="M106" s="1883">
        <f>VLOOKUP(M$87,Base_Mensuelle!$MC$68:$OD$679,20,0)</f>
        <v>203.50104382320364</v>
      </c>
    </row>
    <row r="107" spans="1:13" ht="24.6">
      <c r="A107" s="1328" t="s">
        <v>788</v>
      </c>
      <c r="B107" s="1114">
        <f>VLOOKUP(B87,Base_Mensuelle!$MC$68:$OD$679,21,0)</f>
        <v>0</v>
      </c>
      <c r="C107" s="1114">
        <f>VLOOKUP(C$87,Base_Mensuelle!$MC$68:$OD$679,21,0)</f>
        <v>0</v>
      </c>
      <c r="D107" s="1114">
        <f>VLOOKUP(D$87,Base_Mensuelle!$MC$68:$OD$679,21,0)</f>
        <v>0</v>
      </c>
      <c r="E107" s="1114">
        <f>VLOOKUP(E$87,Base_Mensuelle!$MC$68:$OD$679,21,0)</f>
        <v>0</v>
      </c>
      <c r="F107" s="1114">
        <f>VLOOKUP(F$87,Base_Mensuelle!$MC$68:$OD$679,21,0)</f>
        <v>0</v>
      </c>
      <c r="G107" s="1114">
        <f>VLOOKUP(G$87,Base_Mensuelle!$MC$68:$OD$679,21,0)</f>
        <v>0</v>
      </c>
      <c r="H107" s="1114">
        <f>VLOOKUP(H$87,Base_Mensuelle!$MC$68:$OD$679,21,0)</f>
        <v>0</v>
      </c>
      <c r="I107" s="1114">
        <f>VLOOKUP(I$87,Base_Mensuelle!$MC$68:$OD$679,21,0)</f>
        <v>0</v>
      </c>
      <c r="J107" s="1114">
        <f>VLOOKUP(J$87,Base_Mensuelle!$MC$68:$OD$679,21,0)</f>
        <v>0</v>
      </c>
      <c r="K107" s="1114">
        <f>VLOOKUP(K$87,Base_Mensuelle!$MC$68:$OD$679,21,0)</f>
        <v>0</v>
      </c>
      <c r="L107" s="1114">
        <f>VLOOKUP(L$87,Base_Mensuelle!$MC$68:$OD$679,21,0)</f>
        <v>0</v>
      </c>
      <c r="M107" s="1114">
        <f>VLOOKUP(M$87,Base_Mensuelle!$MC$68:$OD$679,21,0)</f>
        <v>0</v>
      </c>
    </row>
    <row r="108" spans="1:13" ht="24.6">
      <c r="A108" s="1442" t="s">
        <v>789</v>
      </c>
      <c r="B108" s="1883">
        <f>VLOOKUP(B87,Base_Mensuelle!$MC$68:$OD$679,22,0)</f>
        <v>110.53838567135107</v>
      </c>
      <c r="C108" s="1883">
        <f>VLOOKUP(C$87,Base_Mensuelle!$MC$68:$OD$679,22,0)</f>
        <v>452.11651942302291</v>
      </c>
      <c r="D108" s="1883">
        <f>VLOOKUP(D$87,Base_Mensuelle!$MC$68:$OD$679,22,0)</f>
        <v>882.39525470336787</v>
      </c>
      <c r="E108" s="1883">
        <f>VLOOKUP(E$87,Base_Mensuelle!$MC$68:$OD$679,22,0)</f>
        <v>1217.8100566912813</v>
      </c>
      <c r="F108" s="1883">
        <f>VLOOKUP(F$87,Base_Mensuelle!$MC$68:$OD$679,22,0)</f>
        <v>1537.3777343986787</v>
      </c>
      <c r="G108" s="1883">
        <f>VLOOKUP(G$87,Base_Mensuelle!$MC$68:$OD$679,22,0)</f>
        <v>1768.1020703747226</v>
      </c>
      <c r="H108" s="1883">
        <f>VLOOKUP(H$87,Base_Mensuelle!$MC$68:$OD$679,22,0)</f>
        <v>1946.2094989482448</v>
      </c>
      <c r="I108" s="1883">
        <f>VLOOKUP(I$87,Base_Mensuelle!$MC$68:$OD$679,22,0)</f>
        <v>2189.4974129193488</v>
      </c>
      <c r="J108" s="1883">
        <f>VLOOKUP(J$87,Base_Mensuelle!$MC$68:$OD$679,22,0)</f>
        <v>2486.2814577181193</v>
      </c>
      <c r="K108" s="1883">
        <f>VLOOKUP(K$87,Base_Mensuelle!$MC$68:$OD$679,22,0)</f>
        <v>2654.4046542527753</v>
      </c>
      <c r="L108" s="1883">
        <f>VLOOKUP(L$87,Base_Mensuelle!$MC$68:$OD$679,22,0)</f>
        <v>3011.75629216569</v>
      </c>
      <c r="M108" s="1883">
        <f>VLOOKUP(M$87,Base_Mensuelle!$MC$68:$OD$679,22,0)</f>
        <v>3550.3288240730408</v>
      </c>
    </row>
    <row r="109" spans="1:13" ht="25.5" customHeight="1">
      <c r="A109" s="1328" t="s">
        <v>790</v>
      </c>
      <c r="B109" s="1114">
        <f>VLOOKUP(B87,Base_Mensuelle!$MC$68:$OD$679,23,0)</f>
        <v>115.09376325535106</v>
      </c>
      <c r="C109" s="1114">
        <f>VLOOKUP(C$87,Base_Mensuelle!$MC$68:$OD$679,23,0)</f>
        <v>456.69342663302291</v>
      </c>
      <c r="D109" s="1114">
        <f>VLOOKUP(D$87,Base_Mensuelle!$MC$68:$OD$679,23,0)</f>
        <v>889.10435643336768</v>
      </c>
      <c r="E109" s="1114">
        <f>VLOOKUP(E$87,Base_Mensuelle!$MC$68:$OD$679,23,0)</f>
        <v>1225.4166109992814</v>
      </c>
      <c r="F109" s="1114">
        <f>VLOOKUP(F$87,Base_Mensuelle!$MC$68:$OD$679,23,0)</f>
        <v>1545.008159378679</v>
      </c>
      <c r="G109" s="1114">
        <f>VLOOKUP(G$87,Base_Mensuelle!$MC$68:$OD$679,23,0)</f>
        <v>1777.9298678987229</v>
      </c>
      <c r="H109" s="1114">
        <f>VLOOKUP(H$87,Base_Mensuelle!$MC$68:$OD$679,23,0)</f>
        <v>1956.053697554245</v>
      </c>
      <c r="I109" s="1114">
        <f>VLOOKUP(I$87,Base_Mensuelle!$MC$68:$OD$679,23,0)</f>
        <v>2196.1478785763493</v>
      </c>
      <c r="J109" s="1114">
        <f>VLOOKUP(J$87,Base_Mensuelle!$MC$68:$OD$679,23,0)</f>
        <v>2492.9605723671198</v>
      </c>
      <c r="K109" s="1114">
        <f>VLOOKUP(K$87,Base_Mensuelle!$MC$68:$OD$679,23,0)</f>
        <v>2662.029417302776</v>
      </c>
      <c r="L109" s="1114">
        <f>VLOOKUP(L$87,Base_Mensuelle!$MC$68:$OD$679,23,0)</f>
        <v>3021.0880979786907</v>
      </c>
      <c r="M109" s="1114">
        <f>VLOOKUP(M$87,Base_Mensuelle!$MC$68:$OD$679,23,0)</f>
        <v>3561.8047678300413</v>
      </c>
    </row>
    <row r="110" spans="1:13" ht="12.9">
      <c r="A110" s="1443" t="s">
        <v>791</v>
      </c>
      <c r="B110" s="1885">
        <f>VLOOKUP(B87,Base_Mensuelle!$MC$68:$OD$679,24,0)</f>
        <v>111.44180285785107</v>
      </c>
      <c r="C110" s="1885">
        <f>VLOOKUP(C$87,Base_Mensuelle!$MC$68:$OD$679,24,0)</f>
        <v>277.01989325202294</v>
      </c>
      <c r="D110" s="1885">
        <f>VLOOKUP(D$87,Base_Mensuelle!$MC$68:$OD$679,24,0)</f>
        <v>547.37633577802717</v>
      </c>
      <c r="E110" s="1885">
        <f>VLOOKUP(E$87,Base_Mensuelle!$MC$68:$OD$679,24,0)</f>
        <v>747.40088811911517</v>
      </c>
      <c r="F110" s="1885">
        <f>VLOOKUP(F$87,Base_Mensuelle!$MC$68:$OD$679,24,0)</f>
        <v>941.1964596364561</v>
      </c>
      <c r="G110" s="1885">
        <f>VLOOKUP(G$87,Base_Mensuelle!$MC$68:$OD$679,24,0)</f>
        <v>1080.3706352441311</v>
      </c>
      <c r="H110" s="1885">
        <f>VLOOKUP(H$87,Base_Mensuelle!$MC$68:$OD$679,24,0)</f>
        <v>1223.7917036208053</v>
      </c>
      <c r="I110" s="1885">
        <f>VLOOKUP(I$87,Base_Mensuelle!$MC$68:$OD$679,24,0)</f>
        <v>1424.5790780084383</v>
      </c>
      <c r="J110" s="1885">
        <f>VLOOKUP(J$87,Base_Mensuelle!$MC$68:$OD$679,24,0)</f>
        <v>1629.5743112833156</v>
      </c>
      <c r="K110" s="1885">
        <f>VLOOKUP(K$87,Base_Mensuelle!$MC$68:$OD$679,24,0)</f>
        <v>1773.660991549551</v>
      </c>
      <c r="L110" s="1885">
        <f>VLOOKUP(L$87,Base_Mensuelle!$MC$68:$OD$679,24,0)</f>
        <v>1952.7539674065072</v>
      </c>
      <c r="M110" s="1885">
        <f>VLOOKUP(M$87,Base_Mensuelle!$MC$68:$OD$679,24,0)</f>
        <v>2183.2575295468996</v>
      </c>
    </row>
    <row r="111" spans="1:13" ht="24.6">
      <c r="A111" s="1330" t="s">
        <v>792</v>
      </c>
      <c r="B111" s="1884">
        <f>VLOOKUP(B87,Base_Mensuelle!$MC$68:$OD$679,25,0)</f>
        <v>87.224404824666649</v>
      </c>
      <c r="C111" s="1884">
        <f>VLOOKUP(C$87,Base_Mensuelle!$MC$68:$OD$679,25,0)</f>
        <v>179.40375455733331</v>
      </c>
      <c r="D111" s="1884">
        <f>VLOOKUP(D$87,Base_Mensuelle!$MC$68:$OD$679,25,0)</f>
        <v>273.491970552</v>
      </c>
      <c r="E111" s="1884">
        <f>VLOOKUP(E$87,Base_Mensuelle!$MC$68:$OD$679,25,0)</f>
        <v>365.88901297066667</v>
      </c>
      <c r="F111" s="1884">
        <f>VLOOKUP(F$87,Base_Mensuelle!$MC$68:$OD$679,25,0)</f>
        <v>455.66509733933327</v>
      </c>
      <c r="G111" s="1884">
        <f>VLOOKUP(G$87,Base_Mensuelle!$MC$68:$OD$679,25,0)</f>
        <v>536.68141047100005</v>
      </c>
      <c r="H111" s="1884">
        <f>VLOOKUP(H$87,Base_Mensuelle!$MC$68:$OD$679,25,0)</f>
        <v>617.81374277600003</v>
      </c>
      <c r="I111" s="1884">
        <f>VLOOKUP(I$87,Base_Mensuelle!$MC$68:$OD$679,25,0)</f>
        <v>704.01855127600004</v>
      </c>
      <c r="J111" s="1884">
        <f>VLOOKUP(J$87,Base_Mensuelle!$MC$68:$OD$679,25,0)</f>
        <v>836.06197448599994</v>
      </c>
      <c r="K111" s="1884">
        <f>VLOOKUP(K$87,Base_Mensuelle!$MC$68:$OD$679,25,0)</f>
        <v>928.27105553499996</v>
      </c>
      <c r="L111" s="1884">
        <f>VLOOKUP(L$87,Base_Mensuelle!$MC$68:$OD$679,25,0)</f>
        <v>1026.1601341000001</v>
      </c>
      <c r="M111" s="1884">
        <f>VLOOKUP(M$87,Base_Mensuelle!$MC$68:$OD$679,25,0)</f>
        <v>1096.9451239749999</v>
      </c>
    </row>
    <row r="112" spans="1:13" ht="24.6">
      <c r="A112" s="1442" t="s">
        <v>793</v>
      </c>
      <c r="B112" s="1883">
        <f>VLOOKUP(B87,Base_Mensuelle!$MC$68:$OD$679,26,0)</f>
        <v>0.60313203500000001</v>
      </c>
      <c r="C112" s="1883">
        <f>VLOOKUP(C$87,Base_Mensuelle!$MC$68:$OD$679,26,0)</f>
        <v>5.1564989740000007</v>
      </c>
      <c r="D112" s="1883">
        <f>VLOOKUP(D$87,Base_Mensuelle!$MC$68:$OD$679,26,0)</f>
        <v>46.627193812999998</v>
      </c>
      <c r="E112" s="1883">
        <f>VLOOKUP(E$87,Base_Mensuelle!$MC$68:$OD$679,26,0)</f>
        <v>70.617270349000009</v>
      </c>
      <c r="F112" s="1883">
        <f>VLOOKUP(F$87,Base_Mensuelle!$MC$68:$OD$679,26,0)</f>
        <v>93.048950462999997</v>
      </c>
      <c r="G112" s="1883">
        <f>VLOOKUP(G$87,Base_Mensuelle!$MC$68:$OD$679,26,0)</f>
        <v>110.964000188</v>
      </c>
      <c r="H112" s="1883">
        <f>VLOOKUP(H$87,Base_Mensuelle!$MC$68:$OD$679,26,0)</f>
        <v>128.65071617800001</v>
      </c>
      <c r="I112" s="1883">
        <f>VLOOKUP(I$87,Base_Mensuelle!$MC$68:$OD$679,26,0)</f>
        <v>145.20237501</v>
      </c>
      <c r="J112" s="1883">
        <f>VLOOKUP(J$87,Base_Mensuelle!$MC$68:$OD$679,26,0)</f>
        <v>158.71833323800001</v>
      </c>
      <c r="K112" s="1883">
        <f>VLOOKUP(K$87,Base_Mensuelle!$MC$68:$OD$679,26,0)</f>
        <v>176.37877322099999</v>
      </c>
      <c r="L112" s="1883">
        <f>VLOOKUP(L$87,Base_Mensuelle!$MC$68:$OD$679,26,0)</f>
        <v>203.82519230599999</v>
      </c>
      <c r="M112" s="1883">
        <f>VLOOKUP(M$87,Base_Mensuelle!$MC$68:$OD$679,26,0)</f>
        <v>221.334330201</v>
      </c>
    </row>
    <row r="113" spans="1:13" ht="12.9">
      <c r="A113" s="1328" t="s">
        <v>425</v>
      </c>
      <c r="B113" s="1114">
        <f>VLOOKUP(B87,Base_Mensuelle!$MC$68:$OD$679,27,0)</f>
        <v>19.669456800684426</v>
      </c>
      <c r="C113" s="1114">
        <f>VLOOKUP(C$87,Base_Mensuelle!$MC$68:$OD$679,27,0)</f>
        <v>27.604485280689605</v>
      </c>
      <c r="D113" s="1114">
        <f>VLOOKUP(D$87,Base_Mensuelle!$MC$68:$OD$679,27,0)</f>
        <v>52.589308918027179</v>
      </c>
      <c r="E113" s="1114">
        <f>VLOOKUP(E$87,Base_Mensuelle!$MC$68:$OD$679,27,0)</f>
        <v>90.711765977948446</v>
      </c>
      <c r="F113" s="1114">
        <f>VLOOKUP(F$87,Base_Mensuelle!$MC$68:$OD$679,27,0)</f>
        <v>122.11332333012278</v>
      </c>
      <c r="G113" s="1114">
        <f>VLOOKUP(G$87,Base_Mensuelle!$MC$68:$OD$679,27,0)</f>
        <v>146.49409452054894</v>
      </c>
      <c r="H113" s="1114">
        <f>VLOOKUP(H$87,Base_Mensuelle!$MC$68:$OD$679,27,0)</f>
        <v>177.3982009002232</v>
      </c>
      <c r="I113" s="1114">
        <f>VLOOKUP(I$87,Base_Mensuelle!$MC$68:$OD$679,27,0)</f>
        <v>200.35046942285629</v>
      </c>
      <c r="J113" s="1114">
        <f>VLOOKUP(J$87,Base_Mensuelle!$MC$68:$OD$679,27,0)</f>
        <v>228.68119476523819</v>
      </c>
      <c r="K113" s="1114">
        <f>VLOOKUP(K$87,Base_Mensuelle!$MC$68:$OD$679,27,0)</f>
        <v>244.56594561751106</v>
      </c>
      <c r="L113" s="1114">
        <f>VLOOKUP(L$87,Base_Mensuelle!$MC$68:$OD$679,27,0)</f>
        <v>268.89814773575227</v>
      </c>
      <c r="M113" s="1114">
        <f>VLOOKUP(M$87,Base_Mensuelle!$MC$68:$OD$679,27,0)</f>
        <v>290.40875866200003</v>
      </c>
    </row>
    <row r="114" spans="1:13" ht="12.9">
      <c r="A114" s="1442" t="s">
        <v>426</v>
      </c>
      <c r="B114" s="1883">
        <f>VLOOKUP(B87,Base_Mensuelle!$MC$68:$OD$679,28,0)</f>
        <v>18.124935081</v>
      </c>
      <c r="C114" s="1883">
        <f>VLOOKUP(C$87,Base_Mensuelle!$MC$68:$OD$679,28,0)</f>
        <v>24.798480617999999</v>
      </c>
      <c r="D114" s="1883">
        <f>VLOOKUP(D$87,Base_Mensuelle!$MC$68:$OD$679,28,0)</f>
        <v>47.450750711000005</v>
      </c>
      <c r="E114" s="1883">
        <f>VLOOKUP(E$87,Base_Mensuelle!$MC$68:$OD$679,28,0)</f>
        <v>77.751260595000005</v>
      </c>
      <c r="F114" s="1883">
        <f>VLOOKUP(F$87,Base_Mensuelle!$MC$68:$OD$679,28,0)</f>
        <v>104.7568555</v>
      </c>
      <c r="G114" s="1883">
        <f>VLOOKUP(G$87,Base_Mensuelle!$MC$68:$OD$679,28,0)</f>
        <v>125.717341992</v>
      </c>
      <c r="H114" s="1883">
        <f>VLOOKUP(H$87,Base_Mensuelle!$MC$68:$OD$679,28,0)</f>
        <v>154.762318502</v>
      </c>
      <c r="I114" s="1883">
        <f>VLOOKUP(I$87,Base_Mensuelle!$MC$68:$OD$679,28,0)</f>
        <v>176.64857430800001</v>
      </c>
      <c r="J114" s="1883">
        <f>VLOOKUP(J$87,Base_Mensuelle!$MC$68:$OD$679,28,0)</f>
        <v>201.089038719</v>
      </c>
      <c r="K114" s="1883">
        <f>VLOOKUP(K$87,Base_Mensuelle!$MC$68:$OD$679,28,0)</f>
        <v>212.47107559900002</v>
      </c>
      <c r="L114" s="1883">
        <f>VLOOKUP(L$87,Base_Mensuelle!$MC$68:$OD$679,28,0)</f>
        <v>228.88100906900002</v>
      </c>
      <c r="M114" s="1883">
        <f>VLOOKUP(M$87,Base_Mensuelle!$MC$68:$OD$679,28,0)</f>
        <v>246.95744401623216</v>
      </c>
    </row>
    <row r="115" spans="1:13" ht="12.9">
      <c r="A115" s="1330" t="s">
        <v>794</v>
      </c>
      <c r="B115" s="1884">
        <f>VLOOKUP(B87,Base_Mensuelle!$MC$68:$OD$679,29,0)</f>
        <v>1.5445217196844254</v>
      </c>
      <c r="C115" s="1884">
        <f>VLOOKUP(C$87,Base_Mensuelle!$MC$68:$OD$679,29,0)</f>
        <v>2.8060046626896029</v>
      </c>
      <c r="D115" s="1884">
        <f>VLOOKUP(D$87,Base_Mensuelle!$MC$68:$OD$679,29,0)</f>
        <v>5.1385582070271694</v>
      </c>
      <c r="E115" s="1884">
        <f>VLOOKUP(E$87,Base_Mensuelle!$MC$68:$OD$679,29,0)</f>
        <v>12.960505382948432</v>
      </c>
      <c r="F115" s="1884">
        <f>VLOOKUP(F$87,Base_Mensuelle!$MC$68:$OD$679,29,0)</f>
        <v>17.356467830122771</v>
      </c>
      <c r="G115" s="1884">
        <f>VLOOKUP(G$87,Base_Mensuelle!$MC$68:$OD$679,29,0)</f>
        <v>20.776752528548915</v>
      </c>
      <c r="H115" s="1884">
        <f>VLOOKUP(H$87,Base_Mensuelle!$MC$68:$OD$679,29,0)</f>
        <v>22.63588239822317</v>
      </c>
      <c r="I115" s="1884">
        <f>VLOOKUP(I$87,Base_Mensuelle!$MC$68:$OD$679,29,0)</f>
        <v>23.701895114856288</v>
      </c>
      <c r="J115" s="1884">
        <f>VLOOKUP(J$87,Base_Mensuelle!$MC$68:$OD$679,29,0)</f>
        <v>27.592156046238188</v>
      </c>
      <c r="K115" s="1884">
        <f>VLOOKUP(K$87,Base_Mensuelle!$MC$68:$OD$679,29,0)</f>
        <v>32.094870018511052</v>
      </c>
      <c r="L115" s="1884">
        <f>VLOOKUP(L$87,Base_Mensuelle!$MC$68:$OD$679,29,0)</f>
        <v>40.017138666752274</v>
      </c>
      <c r="M115" s="1884">
        <f>VLOOKUP(M$87,Base_Mensuelle!$MC$68:$OD$679,29,0)</f>
        <v>43.451314645767852</v>
      </c>
    </row>
    <row r="116" spans="1:13" ht="24.6">
      <c r="A116" s="1444" t="s">
        <v>795</v>
      </c>
      <c r="B116" s="1883">
        <f>VLOOKUP(B87,Base_Mensuelle!$MC$68:$OD$679,30,0)</f>
        <v>3.9448091974999997</v>
      </c>
      <c r="C116" s="1883">
        <f>VLOOKUP(C$87,Base_Mensuelle!$MC$68:$OD$679,30,0)</f>
        <v>64.855154439999993</v>
      </c>
      <c r="D116" s="1883">
        <f>VLOOKUP(D$87,Base_Mensuelle!$MC$68:$OD$679,30,0)</f>
        <v>174.66786249500001</v>
      </c>
      <c r="E116" s="1883">
        <f>VLOOKUP(E$87,Base_Mensuelle!$MC$68:$OD$679,30,0)</f>
        <v>220.18283882150001</v>
      </c>
      <c r="F116" s="1883">
        <f>VLOOKUP(F$87,Base_Mensuelle!$MC$68:$OD$679,30,0)</f>
        <v>270.36908850399999</v>
      </c>
      <c r="G116" s="1883">
        <f>VLOOKUP(G$87,Base_Mensuelle!$MC$68:$OD$679,30,0)</f>
        <v>286.23113006458209</v>
      </c>
      <c r="H116" s="1883">
        <f>VLOOKUP(H$87,Base_Mensuelle!$MC$68:$OD$679,30,0)</f>
        <v>299.92904376658214</v>
      </c>
      <c r="I116" s="1883">
        <f>VLOOKUP(I$87,Base_Mensuelle!$MC$68:$OD$679,30,0)</f>
        <v>375.00768229958214</v>
      </c>
      <c r="J116" s="1883">
        <f>VLOOKUP(J$87,Base_Mensuelle!$MC$68:$OD$679,30,0)</f>
        <v>406.11280879407758</v>
      </c>
      <c r="K116" s="1883">
        <f>VLOOKUP(K$87,Base_Mensuelle!$MC$68:$OD$679,30,0)</f>
        <v>424.44521717604005</v>
      </c>
      <c r="L116" s="1883">
        <f>VLOOKUP(L$87,Base_Mensuelle!$MC$68:$OD$679,30,0)</f>
        <v>453.87049326475505</v>
      </c>
      <c r="M116" s="1883">
        <f>VLOOKUP(M$87,Base_Mensuelle!$MC$68:$OD$679,30,0)</f>
        <v>574.56931670890015</v>
      </c>
    </row>
    <row r="117" spans="1:13" ht="12.9">
      <c r="A117" s="1330" t="s">
        <v>796</v>
      </c>
      <c r="B117" s="1884">
        <f>VLOOKUP(B87,Base_Mensuelle!$MC$68:$OD$679,31,0)</f>
        <v>0</v>
      </c>
      <c r="C117" s="1884">
        <f>VLOOKUP(C$87,Base_Mensuelle!$MC$68:$OD$679,31,0)</f>
        <v>1.2</v>
      </c>
      <c r="D117" s="1884">
        <f>VLOOKUP(D$87,Base_Mensuelle!$MC$68:$OD$679,31,0)</f>
        <v>35.778786603</v>
      </c>
      <c r="E117" s="1884">
        <f>VLOOKUP(E$87,Base_Mensuelle!$MC$68:$OD$679,31,0)</f>
        <v>42.562389103000001</v>
      </c>
      <c r="F117" s="1884">
        <f>VLOOKUP(F$87,Base_Mensuelle!$MC$68:$OD$679,31,0)</f>
        <v>42.612389102999998</v>
      </c>
      <c r="G117" s="1884">
        <f>VLOOKUP(G$87,Base_Mensuelle!$MC$68:$OD$679,31,0)</f>
        <v>42.613346102999998</v>
      </c>
      <c r="H117" s="1884">
        <f>VLOOKUP(H$87,Base_Mensuelle!$MC$68:$OD$679,31,0)</f>
        <v>42.613346102999998</v>
      </c>
      <c r="I117" s="1884">
        <f>VLOOKUP(I$87,Base_Mensuelle!$MC$68:$OD$679,31,0)</f>
        <v>42.686087702999998</v>
      </c>
      <c r="J117" s="1884">
        <f>VLOOKUP(J$87,Base_Mensuelle!$MC$68:$OD$679,31,0)</f>
        <v>42.686954502999995</v>
      </c>
      <c r="K117" s="1884">
        <f>VLOOKUP(K$87,Base_Mensuelle!$MC$68:$OD$679,31,0)</f>
        <v>44.896008002999999</v>
      </c>
      <c r="L117" s="1884">
        <f>VLOOKUP(L$87,Base_Mensuelle!$MC$68:$OD$679,31,0)</f>
        <v>45.021002003</v>
      </c>
      <c r="M117" s="1884">
        <f>VLOOKUP(M$87,Base_Mensuelle!$MC$68:$OD$679,31,0)</f>
        <v>45.508690399999999</v>
      </c>
    </row>
    <row r="118" spans="1:13" ht="12.75" customHeight="1">
      <c r="A118" s="1442" t="s">
        <v>797</v>
      </c>
      <c r="B118" s="1883">
        <f>VLOOKUP(B87,Base_Mensuelle!$MC$68:$OD$679,32,0)</f>
        <v>1.7776749999999999</v>
      </c>
      <c r="C118" s="1883">
        <f>VLOOKUP(C$87,Base_Mensuelle!$MC$68:$OD$679,32,0)</f>
        <v>36.278966166000004</v>
      </c>
      <c r="D118" s="1883">
        <f>VLOOKUP(D$87,Base_Mensuelle!$MC$68:$OD$679,32,0)</f>
        <v>53.475777464000004</v>
      </c>
      <c r="E118" s="1883">
        <f>VLOOKUP(E$87,Base_Mensuelle!$MC$68:$OD$679,32,0)</f>
        <v>57.707402964000003</v>
      </c>
      <c r="F118" s="1883">
        <f>VLOOKUP(F$87,Base_Mensuelle!$MC$68:$OD$679,32,0)</f>
        <v>65.105297214000004</v>
      </c>
      <c r="G118" s="1883">
        <f>VLOOKUP(G$87,Base_Mensuelle!$MC$68:$OD$679,32,0)</f>
        <v>70.88412937999999</v>
      </c>
      <c r="H118" s="1883">
        <f>VLOOKUP(H$87,Base_Mensuelle!$MC$68:$OD$679,32,0)</f>
        <v>73.67240587900001</v>
      </c>
      <c r="I118" s="1883">
        <f>VLOOKUP(I$87,Base_Mensuelle!$MC$68:$OD$679,32,0)</f>
        <v>108.079224045</v>
      </c>
      <c r="J118" s="1883">
        <f>VLOOKUP(J$87,Base_Mensuelle!$MC$68:$OD$679,32,0)</f>
        <v>123.09731329500001</v>
      </c>
      <c r="K118" s="1883">
        <f>VLOOKUP(K$87,Base_Mensuelle!$MC$68:$OD$679,32,0)</f>
        <v>131.175131171</v>
      </c>
      <c r="L118" s="1883">
        <f>VLOOKUP(L$87,Base_Mensuelle!$MC$68:$OD$679,32,0)</f>
        <v>137.71027008799999</v>
      </c>
      <c r="M118" s="1883">
        <f>VLOOKUP(M$87,Base_Mensuelle!$MC$68:$OD$679,32,0)</f>
        <v>148.626847543</v>
      </c>
    </row>
    <row r="119" spans="1:13" ht="12.9">
      <c r="A119" s="1328" t="s">
        <v>431</v>
      </c>
      <c r="B119" s="1114">
        <f>VLOOKUP(B87,Base_Mensuelle!$MC$68:$OD$679,33,0)</f>
        <v>0</v>
      </c>
      <c r="C119" s="1114">
        <f>VLOOKUP(C$87,Base_Mensuelle!$MC$68:$OD$679,33,0)</f>
        <v>0</v>
      </c>
      <c r="D119" s="1114">
        <f>VLOOKUP(D$87,Base_Mensuelle!$MC$68:$OD$679,33,0)</f>
        <v>0</v>
      </c>
      <c r="E119" s="1114">
        <f>VLOOKUP(E$87,Base_Mensuelle!$MC$68:$OD$679,33,0)</f>
        <v>0</v>
      </c>
      <c r="F119" s="1114">
        <f>VLOOKUP(F$87,Base_Mensuelle!$MC$68:$OD$679,33,0)</f>
        <v>0</v>
      </c>
      <c r="G119" s="1114">
        <f>VLOOKUP(G$87,Base_Mensuelle!$MC$68:$OD$679,33,0)</f>
        <v>0</v>
      </c>
      <c r="H119" s="1114">
        <f>VLOOKUP(H$87,Base_Mensuelle!$MC$68:$OD$679,33,0)</f>
        <v>0</v>
      </c>
      <c r="I119" s="1114">
        <f>VLOOKUP(I$87,Base_Mensuelle!$MC$68:$OD$679,33,0)</f>
        <v>0</v>
      </c>
      <c r="J119" s="1114">
        <f>VLOOKUP(J$87,Base_Mensuelle!$MC$68:$OD$679,33,0)</f>
        <v>0</v>
      </c>
      <c r="K119" s="1114">
        <f>VLOOKUP(K$87,Base_Mensuelle!$MC$68:$OD$679,33,0)</f>
        <v>0</v>
      </c>
      <c r="L119" s="1114">
        <f>VLOOKUP(L$87,Base_Mensuelle!$MC$68:$OD$679,33,0)</f>
        <v>0</v>
      </c>
      <c r="M119" s="1114">
        <f>VLOOKUP(M$87,Base_Mensuelle!$MC$68:$OD$679,33,0)</f>
        <v>0</v>
      </c>
    </row>
    <row r="120" spans="1:13" ht="24.6">
      <c r="A120" s="1442" t="s">
        <v>432</v>
      </c>
      <c r="B120" s="1883">
        <f>VLOOKUP(B87,Base_Mensuelle!$MC$68:$OD$679,34,0)</f>
        <v>0</v>
      </c>
      <c r="C120" s="1883">
        <f>VLOOKUP(C$87,Base_Mensuelle!$MC$68:$OD$679,34,0)</f>
        <v>0</v>
      </c>
      <c r="D120" s="1883">
        <f>VLOOKUP(D$87,Base_Mensuelle!$MC$68:$OD$679,34,0)</f>
        <v>35.647044272999999</v>
      </c>
      <c r="E120" s="1883">
        <f>VLOOKUP(E$87,Base_Mensuelle!$MC$68:$OD$679,34,0)</f>
        <v>47.466436823000002</v>
      </c>
      <c r="F120" s="1883">
        <f>VLOOKUP(F$87,Base_Mensuelle!$MC$68:$OD$679,34,0)</f>
        <v>47.630321806000005</v>
      </c>
      <c r="G120" s="1883">
        <f>VLOOKUP(G$87,Base_Mensuelle!$MC$68:$OD$679,34,0)</f>
        <v>55.577473298000001</v>
      </c>
      <c r="H120" s="1883">
        <f>VLOOKUP(H$87,Base_Mensuelle!$MC$68:$OD$679,34,0)</f>
        <v>57.270500821999995</v>
      </c>
      <c r="I120" s="1883">
        <f>VLOOKUP(I$87,Base_Mensuelle!$MC$68:$OD$679,34,0)</f>
        <v>64.584747702000001</v>
      </c>
      <c r="J120" s="1883">
        <f>VLOOKUP(J$87,Base_Mensuelle!$MC$68:$OD$679,34,0)</f>
        <v>69.687769889999998</v>
      </c>
      <c r="K120" s="1883">
        <f>VLOOKUP(K$87,Base_Mensuelle!$MC$68:$OD$679,34,0)</f>
        <v>75.197299881999996</v>
      </c>
      <c r="L120" s="1883">
        <f>VLOOKUP(L$87,Base_Mensuelle!$MC$68:$OD$679,34,0)</f>
        <v>84.999986766000006</v>
      </c>
      <c r="M120" s="1883">
        <f>VLOOKUP(M$87,Base_Mensuelle!$MC$68:$OD$679,34,0)</f>
        <v>114.999984359</v>
      </c>
    </row>
    <row r="121" spans="1:13" ht="12.9">
      <c r="A121" s="1328" t="s">
        <v>798</v>
      </c>
      <c r="B121" s="1114">
        <f>VLOOKUP(B87,Base_Mensuelle!$MC$68:$OD$679,35,0)</f>
        <v>3.6519603974999999</v>
      </c>
      <c r="C121" s="1114">
        <f>VLOOKUP(C$87,Base_Mensuelle!$MC$68:$OD$679,35,0)</f>
        <v>179.67353338100006</v>
      </c>
      <c r="D121" s="1114">
        <f>VLOOKUP(D$87,Base_Mensuelle!$MC$68:$OD$679,35,0)</f>
        <v>341.72802065534069</v>
      </c>
      <c r="E121" s="1114">
        <f>VLOOKUP(E$87,Base_Mensuelle!$MC$68:$OD$679,35,0)</f>
        <v>478.01572288016627</v>
      </c>
      <c r="F121" s="1114">
        <f>VLOOKUP(F$87,Base_Mensuelle!$MC$68:$OD$679,35,0)</f>
        <v>603.81169974222291</v>
      </c>
      <c r="G121" s="1114">
        <f>VLOOKUP(G$87,Base_Mensuelle!$MC$68:$OD$679,35,0)</f>
        <v>697.55923265459194</v>
      </c>
      <c r="H121" s="1114">
        <f>VLOOKUP(H$87,Base_Mensuelle!$MC$68:$OD$679,35,0)</f>
        <v>732.26199393343973</v>
      </c>
      <c r="I121" s="1114">
        <f>VLOOKUP(I$87,Base_Mensuelle!$MC$68:$OD$679,35,0)</f>
        <v>771.56880056791067</v>
      </c>
      <c r="J121" s="1114">
        <f>VLOOKUP(J$87,Base_Mensuelle!$MC$68:$OD$679,35,0)</f>
        <v>863.38626108380367</v>
      </c>
      <c r="K121" s="1114">
        <f>VLOOKUP(K$87,Base_Mensuelle!$MC$68:$OD$679,35,0)</f>
        <v>888.36842575322453</v>
      </c>
      <c r="L121" s="1114">
        <f>VLOOKUP(L$87,Base_Mensuelle!$MC$68:$OD$679,35,0)</f>
        <v>1068.3341305721831</v>
      </c>
      <c r="M121" s="1114">
        <f>VLOOKUP(M$87,Base_Mensuelle!$MC$68:$OD$679,35,0)</f>
        <v>1378.547238283141</v>
      </c>
    </row>
    <row r="122" spans="1:13" ht="12.75" customHeight="1">
      <c r="A122" s="1442" t="s">
        <v>799</v>
      </c>
      <c r="B122" s="1883">
        <f>VLOOKUP(B87,Base_Mensuelle!$MC$68:$OD$679,36,0)</f>
        <v>2.5514283125000001</v>
      </c>
      <c r="C122" s="1883">
        <f>VLOOKUP(C$87,Base_Mensuelle!$MC$68:$OD$679,36,0)</f>
        <v>30.078977300000002</v>
      </c>
      <c r="D122" s="1883">
        <f>VLOOKUP(D$87,Base_Mensuelle!$MC$68:$OD$679,36,0)</f>
        <v>137.241987636</v>
      </c>
      <c r="E122" s="1883">
        <f>VLOOKUP(E$87,Base_Mensuelle!$MC$68:$OD$679,36,0)</f>
        <v>189.46522348899998</v>
      </c>
      <c r="F122" s="1883">
        <f>VLOOKUP(F$87,Base_Mensuelle!$MC$68:$OD$679,36,0)</f>
        <v>241.96431550999998</v>
      </c>
      <c r="G122" s="1883">
        <f>VLOOKUP(G$87,Base_Mensuelle!$MC$68:$OD$679,36,0)</f>
        <v>300.366508657</v>
      </c>
      <c r="H122" s="1883">
        <f>VLOOKUP(H$87,Base_Mensuelle!$MC$68:$OD$679,36,0)</f>
        <v>303.68200015291052</v>
      </c>
      <c r="I122" s="1883">
        <f>VLOOKUP(I$87,Base_Mensuelle!$MC$68:$OD$679,36,0)</f>
        <v>329.29753592391052</v>
      </c>
      <c r="J122" s="1883">
        <f>VLOOKUP(J$87,Base_Mensuelle!$MC$68:$OD$679,36,0)</f>
        <v>400.51939548838754</v>
      </c>
      <c r="K122" s="1883">
        <f>VLOOKUP(K$87,Base_Mensuelle!$MC$68:$OD$679,36,0)</f>
        <v>419.31108863219998</v>
      </c>
      <c r="L122" s="1883">
        <f>VLOOKUP(L$87,Base_Mensuelle!$MC$68:$OD$679,36,0)</f>
        <v>587.87050990750004</v>
      </c>
      <c r="M122" s="1883">
        <f>VLOOKUP(M$87,Base_Mensuelle!$MC$68:$OD$679,36,0)</f>
        <v>873.14459142750002</v>
      </c>
    </row>
    <row r="123" spans="1:13" ht="12.75" customHeight="1">
      <c r="A123" s="1328" t="s">
        <v>435</v>
      </c>
      <c r="B123" s="1114">
        <f>VLOOKUP(B87,Base_Mensuelle!$MC$68:$OD$679,37,0)</f>
        <v>0</v>
      </c>
      <c r="C123" s="1114">
        <f>VLOOKUP(C$87,Base_Mensuelle!$MC$68:$OD$679,37,0)</f>
        <v>0</v>
      </c>
      <c r="D123" s="1114">
        <f>VLOOKUP(D$87,Base_Mensuelle!$MC$68:$OD$679,37,0)</f>
        <v>0</v>
      </c>
      <c r="E123" s="1114">
        <f>VLOOKUP(E$87,Base_Mensuelle!$MC$68:$OD$679,37,0)</f>
        <v>0.70746621399999998</v>
      </c>
      <c r="F123" s="1114">
        <f>VLOOKUP(F$87,Base_Mensuelle!$MC$68:$OD$679,37,0)</f>
        <v>3.2859289339999997</v>
      </c>
      <c r="G123" s="1114">
        <f>VLOOKUP(G$87,Base_Mensuelle!$MC$68:$OD$679,37,0)</f>
        <v>3.7903904370000001</v>
      </c>
      <c r="H123" s="1114">
        <f>VLOOKUP(H$87,Base_Mensuelle!$MC$68:$OD$679,37,0)</f>
        <v>3.7903904370000001</v>
      </c>
      <c r="I123" s="1114">
        <f>VLOOKUP(I$87,Base_Mensuelle!$MC$68:$OD$679,37,0)</f>
        <v>4.0896904349999996</v>
      </c>
      <c r="J123" s="1114">
        <f>VLOOKUP(J$87,Base_Mensuelle!$MC$68:$OD$679,37,0)</f>
        <v>6.7144057290000001</v>
      </c>
      <c r="K123" s="1114">
        <f>VLOOKUP(K$87,Base_Mensuelle!$MC$68:$OD$679,37,0)</f>
        <v>6.8241656069999994</v>
      </c>
      <c r="L123" s="1114">
        <f>VLOOKUP(L$87,Base_Mensuelle!$MC$68:$OD$679,37,0)</f>
        <v>6.8241656069999994</v>
      </c>
      <c r="M123" s="1114">
        <f>VLOOKUP(M$87,Base_Mensuelle!$MC$68:$OD$679,37,0)</f>
        <v>6.8241656069999994</v>
      </c>
    </row>
    <row r="124" spans="1:13" ht="12.9">
      <c r="A124" s="1442" t="s">
        <v>436</v>
      </c>
      <c r="B124" s="1883">
        <f>VLOOKUP(B87,Base_Mensuelle!$MC$68:$OD$679,38,0)</f>
        <v>1.100532085</v>
      </c>
      <c r="C124" s="1883">
        <f>VLOOKUP(C$87,Base_Mensuelle!$MC$68:$OD$679,38,0)</f>
        <v>149.59455608100004</v>
      </c>
      <c r="D124" s="1883">
        <f>VLOOKUP(D$87,Base_Mensuelle!$MC$68:$OD$679,38,0)</f>
        <v>204.48603301934062</v>
      </c>
      <c r="E124" s="1883">
        <f>VLOOKUP(E$87,Base_Mensuelle!$MC$68:$OD$679,38,0)</f>
        <v>287.84303317716621</v>
      </c>
      <c r="F124" s="1883">
        <f>VLOOKUP(F$87,Base_Mensuelle!$MC$68:$OD$679,38,0)</f>
        <v>358.56145529822282</v>
      </c>
      <c r="G124" s="1883">
        <f>VLOOKUP(G$87,Base_Mensuelle!$MC$68:$OD$679,38,0)</f>
        <v>393.40233356059184</v>
      </c>
      <c r="H124" s="1883">
        <f>VLOOKUP(H$87,Base_Mensuelle!$MC$68:$OD$679,38,0)</f>
        <v>424.78960334352905</v>
      </c>
      <c r="I124" s="1883">
        <f>VLOOKUP(I$87,Base_Mensuelle!$MC$68:$OD$679,38,0)</f>
        <v>438.18157420900008</v>
      </c>
      <c r="J124" s="1883">
        <f>VLOOKUP(J$87,Base_Mensuelle!$MC$68:$OD$679,38,0)</f>
        <v>456.15245986641605</v>
      </c>
      <c r="K124" s="1883">
        <f>VLOOKUP(K$87,Base_Mensuelle!$MC$68:$OD$679,38,0)</f>
        <v>462.23317151402438</v>
      </c>
      <c r="L124" s="1883">
        <f>VLOOKUP(L$87,Base_Mensuelle!$MC$68:$OD$679,38,0)</f>
        <v>473.63945505768288</v>
      </c>
      <c r="M124" s="1883">
        <f>VLOOKUP(M$87,Base_Mensuelle!$MC$68:$OD$679,38,0)</f>
        <v>498.57848124864108</v>
      </c>
    </row>
    <row r="125" spans="1:13" ht="12.9">
      <c r="A125" s="1445" t="s">
        <v>437</v>
      </c>
      <c r="B125" s="1886">
        <f>VLOOKUP(B87,Base_Mensuelle!$MC$68:$OD$679,39,0)</f>
        <v>-4.5553775840000066</v>
      </c>
      <c r="C125" s="1886">
        <f>VLOOKUP(C$87,Base_Mensuelle!$MC$68:$OD$679,39,0)</f>
        <v>-4.5769072100000088</v>
      </c>
      <c r="D125" s="1886">
        <f>VLOOKUP(D$87,Base_Mensuelle!$MC$68:$OD$679,39,0)</f>
        <v>-6.709101730000004</v>
      </c>
      <c r="E125" s="1886">
        <f>VLOOKUP(E$87,Base_Mensuelle!$MC$68:$OD$679,39,0)</f>
        <v>-7.6065543080000042</v>
      </c>
      <c r="F125" s="1886">
        <f>VLOOKUP(F$87,Base_Mensuelle!$MC$68:$OD$679,39,0)</f>
        <v>-7.6304249800000044</v>
      </c>
      <c r="G125" s="1886">
        <f>VLOOKUP(G$87,Base_Mensuelle!$MC$68:$OD$679,39,0)</f>
        <v>-9.8277975240000028</v>
      </c>
      <c r="H125" s="1886">
        <f>VLOOKUP(H$87,Base_Mensuelle!$MC$68:$OD$679,39,0)</f>
        <v>-9.8441986060000097</v>
      </c>
      <c r="I125" s="1886">
        <f>VLOOKUP(I$87,Base_Mensuelle!$MC$68:$OD$679,39,0)</f>
        <v>-6.6504656570000051</v>
      </c>
      <c r="J125" s="1886">
        <f>VLOOKUP(J$87,Base_Mensuelle!$MC$68:$OD$679,39,0)</f>
        <v>-6.6791146490000042</v>
      </c>
      <c r="K125" s="1886">
        <f>VLOOKUP(K$87,Base_Mensuelle!$MC$68:$OD$679,39,0)</f>
        <v>-7.624763050000003</v>
      </c>
      <c r="L125" s="1886">
        <f>VLOOKUP(L$87,Base_Mensuelle!$MC$68:$OD$679,39,0)</f>
        <v>-9.3318058130000043</v>
      </c>
      <c r="M125" s="1886">
        <f>VLOOKUP(M$87,Base_Mensuelle!$MC$68:$OD$679,39,0)</f>
        <v>-11.475943757000007</v>
      </c>
    </row>
    <row r="126" spans="1:13" ht="12.75" customHeight="1">
      <c r="A126" s="1116" t="s">
        <v>800</v>
      </c>
      <c r="B126" s="1106"/>
      <c r="C126" s="1106"/>
      <c r="D126" s="1106"/>
      <c r="E126" s="1106"/>
      <c r="F126" s="1106"/>
      <c r="G126" s="1106"/>
      <c r="H126" s="1106"/>
      <c r="I126" s="1106"/>
      <c r="J126" s="1106"/>
      <c r="K126" s="1106"/>
      <c r="L126" s="1106"/>
      <c r="M126" s="1106"/>
    </row>
    <row r="151" ht="25.5" customHeight="1"/>
  </sheetData>
  <pageMargins left="0.70866141732283472" right="0.70866141732283472" top="0.74803149606299213" bottom="0.74803149606299213" header="0.31496062992125984" footer="0.31496062992125984"/>
  <pageSetup paperSize="9" scale="70" firstPageNumber="48" orientation="portrait" r:id="rId1"/>
  <headerFooter>
    <oddFooter>&amp;L&amp;8Bulletin trimestriel de conjoncture, 4e trimestre 2023</oddFooter>
  </headerFooter>
  <rowBreaks count="4" manualBreakCount="4">
    <brk id="44" max="12" man="1"/>
    <brk id="85" max="12" man="1"/>
    <brk id="127" max="12" man="1"/>
    <brk id="129" max="12"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29">
    <tabColor rgb="FF00B050"/>
  </sheetPr>
  <dimension ref="A1:M234"/>
  <sheetViews>
    <sheetView view="pageBreakPreview" zoomScaleSheetLayoutView="100" workbookViewId="0">
      <selection activeCell="K50" sqref="K50"/>
    </sheetView>
  </sheetViews>
  <sheetFormatPr baseColWidth="10" defaultColWidth="11.44140625" defaultRowHeight="12.3"/>
  <cols>
    <col min="1" max="1" width="26" style="1119" customWidth="1"/>
    <col min="2" max="13" width="8.44140625" style="1119" customWidth="1"/>
    <col min="14" max="16384" width="11.44140625" style="1119"/>
  </cols>
  <sheetData>
    <row r="1" spans="1:13">
      <c r="A1" s="1135" t="s">
        <v>1125</v>
      </c>
    </row>
    <row r="2" spans="1:13">
      <c r="A2" s="1135"/>
    </row>
    <row r="3" spans="1:13">
      <c r="A3" s="1136" t="s">
        <v>803</v>
      </c>
    </row>
    <row r="4" spans="1:13">
      <c r="A4" s="1136"/>
    </row>
    <row r="5" spans="1:13">
      <c r="A5" s="1137"/>
      <c r="B5" s="1523">
        <f>DATE(YEAR(INDEX(Base_Mensuelle!$OF$68:$RQ$679,MAX(Base_Mensuelle!$RN$68:$RN$679),1))-5,1,1)</f>
        <v>43101</v>
      </c>
      <c r="C5" s="1523">
        <f>DATE(YEAR(INDEX(Base_Mensuelle!$OF$68:$RQ$679,MAX(Base_Mensuelle!$RN$68:$RN$679),1))-5,2,1)</f>
        <v>43132</v>
      </c>
      <c r="D5" s="1523">
        <f>DATE(YEAR(INDEX(Base_Mensuelle!$OF$68:$RQ$679,MAX(Base_Mensuelle!$RN$68:$RN$679),1))-5,3,1)</f>
        <v>43160</v>
      </c>
      <c r="E5" s="1523">
        <f>DATE(YEAR(INDEX(Base_Mensuelle!$OF$68:$RQ$679,MAX(Base_Mensuelle!$RN$68:$RN$679),1))-5,4,1)</f>
        <v>43191</v>
      </c>
      <c r="F5" s="1523">
        <f>DATE(YEAR(INDEX(Base_Mensuelle!$OF$68:$RQ$679,MAX(Base_Mensuelle!$RN$68:$RN$679),1))-5,5,1)</f>
        <v>43221</v>
      </c>
      <c r="G5" s="1523">
        <f>DATE(YEAR(INDEX(Base_Mensuelle!$OF$68:$RQ$679,MAX(Base_Mensuelle!$RN$68:$RN$679),1))-5,6,1)</f>
        <v>43252</v>
      </c>
      <c r="H5" s="1523">
        <f>DATE(YEAR(INDEX(Base_Mensuelle!$OF$68:$RQ$679,MAX(Base_Mensuelle!$RN$68:$RN$679),1))-5,7,1)</f>
        <v>43282</v>
      </c>
      <c r="I5" s="1523">
        <f>DATE(YEAR(INDEX(Base_Mensuelle!$OF$68:$RQ$679,MAX(Base_Mensuelle!$RN$68:$RN$679),1))-5,8,1)</f>
        <v>43313</v>
      </c>
      <c r="J5" s="1523">
        <f>DATE(YEAR(INDEX(Base_Mensuelle!$OF$68:$RQ$679,MAX(Base_Mensuelle!$RN$68:$RN$679),1))-5,9,1)</f>
        <v>43344</v>
      </c>
      <c r="K5" s="1523">
        <f>DATE(YEAR(INDEX(Base_Mensuelle!$OF$68:$RQ$679,MAX(Base_Mensuelle!$RN$68:$RN$679),1))-5,10,1)</f>
        <v>43374</v>
      </c>
      <c r="L5" s="1523">
        <f>DATE(YEAR(INDEX(Base_Mensuelle!$OF$68:$RQ$679,MAX(Base_Mensuelle!$RN$68:$RN$679),1))-5,11,1)</f>
        <v>43405</v>
      </c>
      <c r="M5" s="1523">
        <f>DATE(YEAR(INDEX(Base_Mensuelle!$OF$68:$RQ$679,MAX(Base_Mensuelle!$RN$68:$RN$679),1))-5,12,1)</f>
        <v>43435</v>
      </c>
    </row>
    <row r="6" spans="1:13">
      <c r="A6" s="659" t="s">
        <v>490</v>
      </c>
      <c r="B6" s="660"/>
      <c r="C6" s="660"/>
      <c r="D6" s="660"/>
      <c r="E6" s="660"/>
      <c r="F6" s="660"/>
      <c r="G6" s="660"/>
      <c r="H6" s="660"/>
      <c r="I6" s="660"/>
      <c r="J6" s="660"/>
      <c r="K6" s="660"/>
      <c r="L6" s="660"/>
      <c r="M6" s="660"/>
    </row>
    <row r="7" spans="1:13">
      <c r="A7" s="1155" t="s">
        <v>454</v>
      </c>
      <c r="B7" s="634">
        <f>VLOOKUP(B5,Base_Mensuelle!$OF$68:$RP$679,55,0)</f>
        <v>871.02700000000004</v>
      </c>
      <c r="C7" s="634">
        <f>VLOOKUP(C5,Base_Mensuelle!$OF$68:$RP$679,55,0)</f>
        <v>1132.3389999999999</v>
      </c>
      <c r="D7" s="634">
        <f>VLOOKUP(D5,Base_Mensuelle!$OF$68:$RP$679,55,0)</f>
        <v>1199.4969999999998</v>
      </c>
      <c r="E7" s="634">
        <f>VLOOKUP(E5,Base_Mensuelle!$OF$68:$RP$679,55,0)</f>
        <v>1122.2379999999998</v>
      </c>
      <c r="F7" s="634">
        <f>VLOOKUP(F5,Base_Mensuelle!$OF$68:$RP$679,55,0)</f>
        <v>1113.9290000000001</v>
      </c>
      <c r="G7" s="634">
        <f>VLOOKUP(G5,Base_Mensuelle!$OF$68:$RP$679,55,0)</f>
        <v>1066.7619999999999</v>
      </c>
      <c r="H7" s="634">
        <f>VLOOKUP(H5,Base_Mensuelle!$OF$68:$RP$679,55,0)</f>
        <v>1043.1010000000001</v>
      </c>
      <c r="I7" s="634">
        <f>VLOOKUP(I5,Base_Mensuelle!$OF$68:$RP$679,55,0)</f>
        <v>1069.7739999999999</v>
      </c>
      <c r="J7" s="634">
        <f>VLOOKUP(J5,Base_Mensuelle!$OF$68:$RP$679,55,0)</f>
        <v>1030.4520000000002</v>
      </c>
      <c r="K7" s="634">
        <f>VLOOKUP(K5,Base_Mensuelle!$OF$68:$RP$679,55,0)</f>
        <v>1029.1310000000001</v>
      </c>
      <c r="L7" s="634">
        <f>VLOOKUP(L5,Base_Mensuelle!$OF$68:$RP$679,55,0)</f>
        <v>1124.0089999999998</v>
      </c>
      <c r="M7" s="634">
        <f>VLOOKUP(M5,Base_Mensuelle!$OF$68:$RP$679,55,0)</f>
        <v>1132.999</v>
      </c>
    </row>
    <row r="8" spans="1:13">
      <c r="A8" s="1156" t="s">
        <v>470</v>
      </c>
      <c r="B8" s="664">
        <f>VLOOKUP(B5,Base_Mensuelle!$OF$68:$RP$679,56,0)</f>
        <v>1292.8030000000001</v>
      </c>
      <c r="C8" s="664">
        <f>VLOOKUP(C5,Base_Mensuelle!$OF$68:$RP$679,56,0)</f>
        <v>1554.018</v>
      </c>
      <c r="D8" s="664">
        <f>VLOOKUP(D5,Base_Mensuelle!$OF$68:$RP$679,56,0)</f>
        <v>1615.586</v>
      </c>
      <c r="E8" s="664">
        <f>VLOOKUP(E5,Base_Mensuelle!$OF$68:$RP$679,56,0)</f>
        <v>1559.1959999999999</v>
      </c>
      <c r="F8" s="664">
        <f>VLOOKUP(F5,Base_Mensuelle!$OF$68:$RP$679,56,0)</f>
        <v>1559.973</v>
      </c>
      <c r="G8" s="664">
        <f>VLOOKUP(G5,Base_Mensuelle!$OF$68:$RP$679,56,0)</f>
        <v>1547.3209999999999</v>
      </c>
      <c r="H8" s="664">
        <f>VLOOKUP(H5,Base_Mensuelle!$OF$68:$RP$679,56,0)</f>
        <v>1504.867</v>
      </c>
      <c r="I8" s="664">
        <f>VLOOKUP(I5,Base_Mensuelle!$OF$68:$RP$679,56,0)</f>
        <v>1513.394</v>
      </c>
      <c r="J8" s="664">
        <f>VLOOKUP(J5,Base_Mensuelle!$OF$68:$RP$679,56,0)</f>
        <v>1457.9160000000002</v>
      </c>
      <c r="K8" s="664">
        <f>VLOOKUP(K5,Base_Mensuelle!$OF$68:$RP$679,56,0)</f>
        <v>1459.4780000000001</v>
      </c>
      <c r="L8" s="664">
        <f>VLOOKUP(L5,Base_Mensuelle!$OF$68:$RP$679,56,0)</f>
        <v>1507.1989999999998</v>
      </c>
      <c r="M8" s="664">
        <f>VLOOKUP(M5,Base_Mensuelle!$OF$68:$RP$679,56,0)</f>
        <v>1604.192</v>
      </c>
    </row>
    <row r="9" spans="1:13" ht="22.8">
      <c r="A9" s="1157" t="s">
        <v>471</v>
      </c>
      <c r="B9" s="668">
        <f>VLOOKUP(B5,Base_Mensuelle!$OF$68:$RP$679,57,0)</f>
        <v>-421.77600000000001</v>
      </c>
      <c r="C9" s="668">
        <f>VLOOKUP(C5,Base_Mensuelle!$OF$68:$RP$679,57,0)</f>
        <v>-421.67900000000003</v>
      </c>
      <c r="D9" s="668">
        <f>VLOOKUP(D5,Base_Mensuelle!$OF$68:$RP$679,57,0)</f>
        <v>-416.08900000000006</v>
      </c>
      <c r="E9" s="668">
        <f>VLOOKUP(E5,Base_Mensuelle!$OF$68:$RP$679,57,0)</f>
        <v>-436.95800000000003</v>
      </c>
      <c r="F9" s="668">
        <f>VLOOKUP(F5,Base_Mensuelle!$OF$68:$RP$679,57,0)</f>
        <v>-446.04399999999998</v>
      </c>
      <c r="G9" s="668">
        <f>VLOOKUP(G5,Base_Mensuelle!$OF$68:$RP$679,57,0)</f>
        <v>-480.55899999999997</v>
      </c>
      <c r="H9" s="668">
        <f>VLOOKUP(H5,Base_Mensuelle!$OF$68:$RP$679,57,0)</f>
        <v>-461.76599999999996</v>
      </c>
      <c r="I9" s="668">
        <f>VLOOKUP(I5,Base_Mensuelle!$OF$68:$RP$679,57,0)</f>
        <v>-443.62</v>
      </c>
      <c r="J9" s="668">
        <f>VLOOKUP(J5,Base_Mensuelle!$OF$68:$RP$679,57,0)</f>
        <v>-427.464</v>
      </c>
      <c r="K9" s="668">
        <f>VLOOKUP(K5,Base_Mensuelle!$OF$68:$RP$679,57,0)</f>
        <v>-430.34700000000004</v>
      </c>
      <c r="L9" s="668">
        <f>VLOOKUP(L5,Base_Mensuelle!$OF$68:$RP$679,57,0)</f>
        <v>-383.19</v>
      </c>
      <c r="M9" s="668">
        <f>VLOOKUP(M5,Base_Mensuelle!$OF$68:$RP$679,57,0)</f>
        <v>-471.19300000000004</v>
      </c>
    </row>
    <row r="10" spans="1:13">
      <c r="A10" s="1156" t="s">
        <v>472</v>
      </c>
      <c r="B10" s="664"/>
      <c r="C10" s="664"/>
      <c r="D10" s="664"/>
      <c r="E10" s="664"/>
      <c r="F10" s="664"/>
      <c r="G10" s="664"/>
      <c r="H10" s="664"/>
      <c r="I10" s="664"/>
      <c r="J10" s="664"/>
      <c r="K10" s="664"/>
      <c r="L10" s="664"/>
      <c r="M10" s="664"/>
    </row>
    <row r="11" spans="1:13" ht="22.8">
      <c r="A11" s="1158" t="s">
        <v>491</v>
      </c>
      <c r="B11" s="671">
        <f>VLOOKUP(B5,Base_Mensuelle!$OF$68:$RP$679,59,0)</f>
        <v>62.512</v>
      </c>
      <c r="C11" s="671">
        <f>VLOOKUP(C5,Base_Mensuelle!$OF$68:$RP$679,59,0)</f>
        <v>66.569000000000003</v>
      </c>
      <c r="D11" s="671">
        <f>VLOOKUP(D5,Base_Mensuelle!$OF$68:$RP$679,59,0)</f>
        <v>63.865000000000002</v>
      </c>
      <c r="E11" s="671">
        <f>VLOOKUP(E5,Base_Mensuelle!$OF$68:$RP$679,59,0)</f>
        <v>61.935000000000002</v>
      </c>
      <c r="F11" s="671">
        <f>VLOOKUP(F5,Base_Mensuelle!$OF$68:$RP$679,59,0)</f>
        <v>65.748999999999995</v>
      </c>
      <c r="G11" s="671">
        <f>VLOOKUP(G5,Base_Mensuelle!$OF$68:$RP$679,59,0)</f>
        <v>66.709000000000003</v>
      </c>
      <c r="H11" s="671">
        <f>VLOOKUP(H5,Base_Mensuelle!$OF$68:$RP$679,59,0)</f>
        <v>63.601999999999997</v>
      </c>
      <c r="I11" s="671">
        <f>VLOOKUP(I5,Base_Mensuelle!$OF$68:$RP$679,59,0)</f>
        <v>66.704999999999998</v>
      </c>
      <c r="J11" s="671">
        <f>VLOOKUP(J5,Base_Mensuelle!$OF$68:$RP$679,59,0)</f>
        <v>59.292999999999999</v>
      </c>
      <c r="K11" s="671">
        <f>VLOOKUP(K5,Base_Mensuelle!$OF$68:$RP$679,59,0)</f>
        <v>62.682000000000002</v>
      </c>
      <c r="L11" s="671">
        <f>VLOOKUP(L5,Base_Mensuelle!$OF$68:$RP$679,59,0)</f>
        <v>61.631999999999998</v>
      </c>
      <c r="M11" s="671">
        <f>VLOOKUP(M5,Base_Mensuelle!$OF$68:$RP$679,59,0)</f>
        <v>78.641999999999996</v>
      </c>
    </row>
    <row r="12" spans="1:13">
      <c r="A12" s="1156" t="s">
        <v>492</v>
      </c>
      <c r="B12" s="664">
        <f>VLOOKUP(B5,Base_Mensuelle!$OF$68:$RP$679,60,0)</f>
        <v>210.21300000000002</v>
      </c>
      <c r="C12" s="664">
        <f>VLOOKUP(C5,Base_Mensuelle!$OF$68:$RP$679,60,0)</f>
        <v>150.63500000000002</v>
      </c>
      <c r="D12" s="664">
        <f>VLOOKUP(D5,Base_Mensuelle!$OF$68:$RP$679,60,0)</f>
        <v>196.26400000000001</v>
      </c>
      <c r="E12" s="664">
        <f>VLOOKUP(E5,Base_Mensuelle!$OF$68:$RP$679,60,0)</f>
        <v>237.55600000000001</v>
      </c>
      <c r="F12" s="664">
        <f>VLOOKUP(F5,Base_Mensuelle!$OF$68:$RP$679,60,0)</f>
        <v>192.27100000000002</v>
      </c>
      <c r="G12" s="664">
        <f>VLOOKUP(G5,Base_Mensuelle!$OF$68:$RP$679,60,0)</f>
        <v>210.35000000000002</v>
      </c>
      <c r="H12" s="664">
        <f>VLOOKUP(H5,Base_Mensuelle!$OF$68:$RP$679,60,0)</f>
        <v>158.06</v>
      </c>
      <c r="I12" s="664">
        <f>VLOOKUP(I5,Base_Mensuelle!$OF$68:$RP$679,60,0)</f>
        <v>197.93600000000001</v>
      </c>
      <c r="J12" s="664">
        <f>VLOOKUP(J5,Base_Mensuelle!$OF$68:$RP$679,60,0)</f>
        <v>182.93099999999998</v>
      </c>
      <c r="K12" s="664">
        <f>VLOOKUP(K5,Base_Mensuelle!$OF$68:$RP$679,60,0)</f>
        <v>225.73999999999998</v>
      </c>
      <c r="L12" s="664">
        <f>VLOOKUP(L5,Base_Mensuelle!$OF$68:$RP$679,60,0)</f>
        <v>144.75799999999998</v>
      </c>
      <c r="M12" s="664">
        <f>VLOOKUP(M5,Base_Mensuelle!$OF$68:$RP$679,60,0)</f>
        <v>166.54599999999999</v>
      </c>
    </row>
    <row r="13" spans="1:13">
      <c r="A13" s="1157" t="s">
        <v>493</v>
      </c>
      <c r="B13" s="668">
        <f>VLOOKUP(B5,Base_Mensuelle!$OF$68:$RP$679,61,0)</f>
        <v>0</v>
      </c>
      <c r="C13" s="668">
        <f>VLOOKUP(C5,Base_Mensuelle!$OF$68:$RP$679,61,0)</f>
        <v>0</v>
      </c>
      <c r="D13" s="668">
        <f>VLOOKUP(D5,Base_Mensuelle!$OF$68:$RP$679,61,0)</f>
        <v>0</v>
      </c>
      <c r="E13" s="668">
        <f>VLOOKUP(E5,Base_Mensuelle!$OF$68:$RP$679,61,0)</f>
        <v>0</v>
      </c>
      <c r="F13" s="668">
        <f>VLOOKUP(F5,Base_Mensuelle!$OF$68:$RP$679,61,0)</f>
        <v>0</v>
      </c>
      <c r="G13" s="668">
        <f>VLOOKUP(G5,Base_Mensuelle!$OF$68:$RP$679,61,0)</f>
        <v>0</v>
      </c>
      <c r="H13" s="668">
        <f>VLOOKUP(H5,Base_Mensuelle!$OF$68:$RP$679,61,0)</f>
        <v>0</v>
      </c>
      <c r="I13" s="668">
        <f>VLOOKUP(I5,Base_Mensuelle!$OF$68:$RP$679,61,0)</f>
        <v>0</v>
      </c>
      <c r="J13" s="668">
        <f>VLOOKUP(J5,Base_Mensuelle!$OF$68:$RP$679,61,0)</f>
        <v>0</v>
      </c>
      <c r="K13" s="668">
        <f>VLOOKUP(K5,Base_Mensuelle!$OF$68:$RP$679,61,0)</f>
        <v>0</v>
      </c>
      <c r="L13" s="668">
        <f>VLOOKUP(L5,Base_Mensuelle!$OF$68:$RP$679,61,0)</f>
        <v>0</v>
      </c>
      <c r="M13" s="668">
        <f>VLOOKUP(M5,Base_Mensuelle!$OF$68:$RP$679,61,0)</f>
        <v>0</v>
      </c>
    </row>
    <row r="14" spans="1:13">
      <c r="A14" s="1159" t="s">
        <v>472</v>
      </c>
      <c r="B14" s="674"/>
      <c r="C14" s="674"/>
      <c r="D14" s="674"/>
      <c r="E14" s="674"/>
      <c r="F14" s="674"/>
      <c r="G14" s="674"/>
      <c r="H14" s="674"/>
      <c r="I14" s="674"/>
      <c r="J14" s="674"/>
      <c r="K14" s="674"/>
      <c r="L14" s="674"/>
      <c r="M14" s="674"/>
    </row>
    <row r="15" spans="1:13" ht="22.8">
      <c r="A15" s="1160" t="s">
        <v>474</v>
      </c>
      <c r="B15" s="674">
        <f>VLOOKUP(B5,Base_Mensuelle!$OF$68:$RP$679,63,0)</f>
        <v>714.88499999999999</v>
      </c>
      <c r="C15" s="674">
        <f>VLOOKUP(C5,Base_Mensuelle!$OF$68:$RP$679,63,0)</f>
        <v>468.58600000000001</v>
      </c>
      <c r="D15" s="674">
        <f>VLOOKUP(D5,Base_Mensuelle!$OF$68:$RP$679,63,0)</f>
        <v>505.12100000000004</v>
      </c>
      <c r="E15" s="674">
        <f>VLOOKUP(E5,Base_Mensuelle!$OF$68:$RP$679,63,0)</f>
        <v>464.23900000000003</v>
      </c>
      <c r="F15" s="674">
        <f>VLOOKUP(F5,Base_Mensuelle!$OF$68:$RP$679,63,0)</f>
        <v>463.96300000000002</v>
      </c>
      <c r="G15" s="674">
        <f>VLOOKUP(G5,Base_Mensuelle!$OF$68:$RP$679,63,0)</f>
        <v>433.15699999999998</v>
      </c>
      <c r="H15" s="674">
        <f>VLOOKUP(H5,Base_Mensuelle!$OF$68:$RP$679,63,0)</f>
        <v>479.77300000000002</v>
      </c>
      <c r="I15" s="674">
        <f>VLOOKUP(I5,Base_Mensuelle!$OF$68:$RP$679,63,0)</f>
        <v>470.33000000000004</v>
      </c>
      <c r="J15" s="674">
        <f>VLOOKUP(J5,Base_Mensuelle!$OF$68:$RP$679,63,0)</f>
        <v>459.27199999999999</v>
      </c>
      <c r="K15" s="674">
        <f>VLOOKUP(K5,Base_Mensuelle!$OF$68:$RP$679,63,0)</f>
        <v>449.14800000000002</v>
      </c>
      <c r="L15" s="674">
        <f>VLOOKUP(L5,Base_Mensuelle!$OF$68:$RP$679,63,0)</f>
        <v>477.125</v>
      </c>
      <c r="M15" s="674">
        <f>VLOOKUP(M5,Base_Mensuelle!$OF$68:$RP$679,63,0)</f>
        <v>464.274</v>
      </c>
    </row>
    <row r="16" spans="1:13" ht="22.8">
      <c r="A16" s="1157" t="s">
        <v>475</v>
      </c>
      <c r="B16" s="668">
        <f>VLOOKUP(B5,Base_Mensuelle!$OF$68:$RP$679,64,0)</f>
        <v>-303.596</v>
      </c>
      <c r="C16" s="668">
        <f>VLOOKUP(C5,Base_Mensuelle!$OF$68:$RP$679,64,0)</f>
        <v>-291.30899999999997</v>
      </c>
      <c r="D16" s="668">
        <f>VLOOKUP(D5,Base_Mensuelle!$OF$68:$RP$679,64,0)</f>
        <v>-368.92899999999997</v>
      </c>
      <c r="E16" s="668">
        <f>VLOOKUP(E5,Base_Mensuelle!$OF$68:$RP$679,64,0)</f>
        <v>-365.65600000000001</v>
      </c>
      <c r="F16" s="668">
        <f>VLOOKUP(F5,Base_Mensuelle!$OF$68:$RP$679,64,0)</f>
        <v>-340.13200000000001</v>
      </c>
      <c r="G16" s="668">
        <f>VLOOKUP(G5,Base_Mensuelle!$OF$68:$RP$679,64,0)</f>
        <v>-334.43799999999999</v>
      </c>
      <c r="H16" s="668">
        <f>VLOOKUP(H5,Base_Mensuelle!$OF$68:$RP$679,64,0)</f>
        <v>-363.12700000000001</v>
      </c>
      <c r="I16" s="668">
        <f>VLOOKUP(I5,Base_Mensuelle!$OF$68:$RP$679,64,0)</f>
        <v>-353.416</v>
      </c>
      <c r="J16" s="668">
        <f>VLOOKUP(J5,Base_Mensuelle!$OF$68:$RP$679,64,0)</f>
        <v>-345.90199999999999</v>
      </c>
      <c r="K16" s="668">
        <f>VLOOKUP(K5,Base_Mensuelle!$OF$68:$RP$679,64,0)</f>
        <v>-325.02699999999999</v>
      </c>
      <c r="L16" s="668">
        <f>VLOOKUP(L5,Base_Mensuelle!$OF$68:$RP$679,64,0)</f>
        <v>-339.57000000000005</v>
      </c>
      <c r="M16" s="668">
        <f>VLOOKUP(M5,Base_Mensuelle!$OF$68:$RP$679,64,0)</f>
        <v>-340.30999999999995</v>
      </c>
    </row>
    <row r="17" spans="1:13" ht="22.8">
      <c r="A17" s="1156" t="s">
        <v>476</v>
      </c>
      <c r="B17" s="664">
        <f>VLOOKUP(B5,Base_Mensuelle!$OF$68:$RP$679,65,0)</f>
        <v>2545.4189999999999</v>
      </c>
      <c r="C17" s="664">
        <f>VLOOKUP(C5,Base_Mensuelle!$OF$68:$RP$679,65,0)</f>
        <v>2510.0359999999996</v>
      </c>
      <c r="D17" s="664">
        <f>VLOOKUP(D5,Base_Mensuelle!$OF$68:$RP$679,65,0)</f>
        <v>2465.7370000000005</v>
      </c>
      <c r="E17" s="664">
        <f>VLOOKUP(E5,Base_Mensuelle!$OF$68:$RP$679,65,0)</f>
        <v>2477.4849999999997</v>
      </c>
      <c r="F17" s="664">
        <f>VLOOKUP(F5,Base_Mensuelle!$OF$68:$RP$679,65,0)</f>
        <v>2477.0709999999999</v>
      </c>
      <c r="G17" s="664">
        <f>VLOOKUP(G5,Base_Mensuelle!$OF$68:$RP$679,65,0)</f>
        <v>2542.8380000000002</v>
      </c>
      <c r="H17" s="664">
        <f>VLOOKUP(H5,Base_Mensuelle!$OF$68:$RP$679,65,0)</f>
        <v>2499.875</v>
      </c>
      <c r="I17" s="664">
        <f>VLOOKUP(I5,Base_Mensuelle!$OF$68:$RP$679,65,0)</f>
        <v>2536.442</v>
      </c>
      <c r="J17" s="664">
        <f>VLOOKUP(J5,Base_Mensuelle!$OF$68:$RP$679,65,0)</f>
        <v>2598.77</v>
      </c>
      <c r="K17" s="664">
        <f>VLOOKUP(K5,Base_Mensuelle!$OF$68:$RP$679,65,0)</f>
        <v>2591.806</v>
      </c>
      <c r="L17" s="664">
        <f>VLOOKUP(L5,Base_Mensuelle!$OF$68:$RP$679,65,0)</f>
        <v>2597.0320000000002</v>
      </c>
      <c r="M17" s="664">
        <f>VLOOKUP(M5,Base_Mensuelle!$OF$68:$RP$679,65,0)</f>
        <v>2658.9750000000004</v>
      </c>
    </row>
    <row r="18" spans="1:13">
      <c r="A18" s="1161" t="s">
        <v>472</v>
      </c>
      <c r="B18" s="668"/>
      <c r="C18" s="668"/>
      <c r="D18" s="668"/>
      <c r="E18" s="668"/>
      <c r="F18" s="668"/>
      <c r="G18" s="668"/>
      <c r="H18" s="668"/>
      <c r="I18" s="668"/>
      <c r="J18" s="668"/>
      <c r="K18" s="668"/>
      <c r="L18" s="668"/>
      <c r="M18" s="668"/>
    </row>
    <row r="19" spans="1:13">
      <c r="A19" s="1160" t="s">
        <v>477</v>
      </c>
      <c r="B19" s="674">
        <f>VLOOKUP(B5,Base_Mensuelle!$OF$68:$RP$679,67,0)</f>
        <v>8.1319999999999997</v>
      </c>
      <c r="C19" s="674">
        <f>VLOOKUP(C5,Base_Mensuelle!$OF$68:$RP$679,67,0)</f>
        <v>18.071999999999999</v>
      </c>
      <c r="D19" s="674">
        <f>VLOOKUP(D5,Base_Mensuelle!$OF$68:$RP$679,67,0)</f>
        <v>1.732</v>
      </c>
      <c r="E19" s="674">
        <f>VLOOKUP(E5,Base_Mensuelle!$OF$68:$RP$679,67,0)</f>
        <v>2.1459999999999999</v>
      </c>
      <c r="F19" s="674">
        <f>VLOOKUP(F5,Base_Mensuelle!$OF$68:$RP$679,67,0)</f>
        <v>0.14000000000000001</v>
      </c>
      <c r="G19" s="674">
        <f>VLOOKUP(G5,Base_Mensuelle!$OF$68:$RP$679,67,0)</f>
        <v>9.8000000000000004E-2</v>
      </c>
      <c r="H19" s="674">
        <f>VLOOKUP(H5,Base_Mensuelle!$OF$68:$RP$679,67,0)</f>
        <v>3.2000000000000001E-2</v>
      </c>
      <c r="I19" s="674">
        <f>VLOOKUP(I5,Base_Mensuelle!$OF$68:$RP$679,67,0)</f>
        <v>0.23100000000000001</v>
      </c>
      <c r="J19" s="674">
        <f>VLOOKUP(J5,Base_Mensuelle!$OF$68:$RP$679,67,0)</f>
        <v>0.31900000000000001</v>
      </c>
      <c r="K19" s="674">
        <f>VLOOKUP(K5,Base_Mensuelle!$OF$68:$RP$679,67,0)</f>
        <v>0.39799999999999996</v>
      </c>
      <c r="L19" s="674">
        <f>VLOOKUP(L5,Base_Mensuelle!$OF$68:$RP$679,67,0)</f>
        <v>0.51</v>
      </c>
      <c r="M19" s="674">
        <f>VLOOKUP(M5,Base_Mensuelle!$OF$68:$RP$679,67,0)</f>
        <v>1.0409999999999999</v>
      </c>
    </row>
    <row r="20" spans="1:13" ht="22.8">
      <c r="A20" s="1157" t="s">
        <v>478</v>
      </c>
      <c r="B20" s="668">
        <f>VLOOKUP(B5,Base_Mensuelle!$OF$68:$RP$679,68,0)</f>
        <v>168.40299999999999</v>
      </c>
      <c r="C20" s="668">
        <f>VLOOKUP(C5,Base_Mensuelle!$OF$68:$RP$679,68,0)</f>
        <v>143.86599999999999</v>
      </c>
      <c r="D20" s="668">
        <f>VLOOKUP(D5,Base_Mensuelle!$OF$68:$RP$679,68,0)</f>
        <v>130.11199999999999</v>
      </c>
      <c r="E20" s="668">
        <f>VLOOKUP(E5,Base_Mensuelle!$OF$68:$RP$679,68,0)</f>
        <v>154.12299999999999</v>
      </c>
      <c r="F20" s="668">
        <f>VLOOKUP(F5,Base_Mensuelle!$OF$68:$RP$679,68,0)</f>
        <v>144.589</v>
      </c>
      <c r="G20" s="668">
        <f>VLOOKUP(G5,Base_Mensuelle!$OF$68:$RP$679,68,0)</f>
        <v>155.43799999999999</v>
      </c>
      <c r="H20" s="668">
        <f>VLOOKUP(H5,Base_Mensuelle!$OF$68:$RP$679,68,0)</f>
        <v>144.93899999999999</v>
      </c>
      <c r="I20" s="668">
        <f>VLOOKUP(I5,Base_Mensuelle!$OF$68:$RP$679,68,0)</f>
        <v>133.80199999999999</v>
      </c>
      <c r="J20" s="668">
        <f>VLOOKUP(J5,Base_Mensuelle!$OF$68:$RP$679,68,0)</f>
        <v>165.93700000000001</v>
      </c>
      <c r="K20" s="668">
        <f>VLOOKUP(K5,Base_Mensuelle!$OF$68:$RP$679,68,0)</f>
        <v>197.887</v>
      </c>
      <c r="L20" s="668">
        <f>VLOOKUP(L5,Base_Mensuelle!$OF$68:$RP$679,68,0)</f>
        <v>206.928</v>
      </c>
      <c r="M20" s="668">
        <f>VLOOKUP(M5,Base_Mensuelle!$OF$68:$RP$679,68,0)</f>
        <v>252.37700000000001</v>
      </c>
    </row>
    <row r="21" spans="1:13" ht="22.8">
      <c r="A21" s="1156" t="s">
        <v>494</v>
      </c>
      <c r="B21" s="664">
        <f>VLOOKUP(B5,Base_Mensuelle!$OF$68:$RP$679,69,0)</f>
        <v>2287.152</v>
      </c>
      <c r="C21" s="664">
        <f>VLOOKUP(C5,Base_Mensuelle!$OF$68:$RP$679,69,0)</f>
        <v>2332.3249999999998</v>
      </c>
      <c r="D21" s="664">
        <f>VLOOKUP(D5,Base_Mensuelle!$OF$68:$RP$679,69,0)</f>
        <v>2317.7070000000003</v>
      </c>
      <c r="E21" s="664">
        <f>VLOOKUP(E5,Base_Mensuelle!$OF$68:$RP$679,69,0)</f>
        <v>2306.4479999999999</v>
      </c>
      <c r="F21" s="664">
        <f>VLOOKUP(F5,Base_Mensuelle!$OF$68:$RP$679,69,0)</f>
        <v>2316.7930000000001</v>
      </c>
      <c r="G21" s="664">
        <f>VLOOKUP(G5,Base_Mensuelle!$OF$68:$RP$679,69,0)</f>
        <v>2372.6000000000004</v>
      </c>
      <c r="H21" s="664">
        <f>VLOOKUP(H5,Base_Mensuelle!$OF$68:$RP$679,69,0)</f>
        <v>2340.357</v>
      </c>
      <c r="I21" s="664">
        <f>VLOOKUP(I5,Base_Mensuelle!$OF$68:$RP$679,69,0)</f>
        <v>2386.44</v>
      </c>
      <c r="J21" s="664">
        <f>VLOOKUP(J5,Base_Mensuelle!$OF$68:$RP$679,69,0)</f>
        <v>2414.1109999999999</v>
      </c>
      <c r="K21" s="664">
        <f>VLOOKUP(K5,Base_Mensuelle!$OF$68:$RP$679,69,0)</f>
        <v>2373.7449999999999</v>
      </c>
      <c r="L21" s="664">
        <f>VLOOKUP(L5,Base_Mensuelle!$OF$68:$RP$679,69,0)</f>
        <v>2375.3540000000003</v>
      </c>
      <c r="M21" s="664">
        <f>VLOOKUP(M5,Base_Mensuelle!$OF$68:$RP$679,69,0)</f>
        <v>2392.2290000000003</v>
      </c>
    </row>
    <row r="22" spans="1:13" ht="22.8">
      <c r="A22" s="1157" t="s">
        <v>495</v>
      </c>
      <c r="B22" s="668">
        <f>VLOOKUP(B5,Base_Mensuelle!$OF$68:$RP$679,70,0)</f>
        <v>0</v>
      </c>
      <c r="C22" s="668">
        <f>VLOOKUP(C5,Base_Mensuelle!$OF$68:$RP$679,70,0)</f>
        <v>0</v>
      </c>
      <c r="D22" s="668">
        <f>VLOOKUP(D5,Base_Mensuelle!$OF$68:$RP$679,70,0)</f>
        <v>0</v>
      </c>
      <c r="E22" s="668">
        <f>VLOOKUP(E5,Base_Mensuelle!$OF$68:$RP$679,70,0)</f>
        <v>0</v>
      </c>
      <c r="F22" s="668">
        <f>VLOOKUP(F5,Base_Mensuelle!$OF$68:$RP$679,70,0)</f>
        <v>0</v>
      </c>
      <c r="G22" s="668">
        <f>VLOOKUP(G5,Base_Mensuelle!$OF$68:$RP$679,70,0)</f>
        <v>0</v>
      </c>
      <c r="H22" s="668">
        <f>VLOOKUP(H5,Base_Mensuelle!$OF$68:$RP$679,70,0)</f>
        <v>0</v>
      </c>
      <c r="I22" s="668">
        <f>VLOOKUP(I5,Base_Mensuelle!$OF$68:$RP$679,70,0)</f>
        <v>0</v>
      </c>
      <c r="J22" s="668">
        <f>VLOOKUP(J5,Base_Mensuelle!$OF$68:$RP$679,70,0)</f>
        <v>0</v>
      </c>
      <c r="K22" s="668">
        <f>VLOOKUP(K5,Base_Mensuelle!$OF$68:$RP$679,70,0)</f>
        <v>0</v>
      </c>
      <c r="L22" s="668">
        <f>VLOOKUP(L5,Base_Mensuelle!$OF$68:$RP$679,70,0)</f>
        <v>0</v>
      </c>
      <c r="M22" s="668">
        <f>VLOOKUP(M5,Base_Mensuelle!$OF$68:$RP$679,70,0)</f>
        <v>0</v>
      </c>
    </row>
    <row r="23" spans="1:13">
      <c r="A23" s="1156" t="s">
        <v>479</v>
      </c>
      <c r="B23" s="664">
        <f>VLOOKUP(B5,Base_Mensuelle!$OF$68:$RP$679,71,0)</f>
        <v>682.16699999999992</v>
      </c>
      <c r="C23" s="664">
        <f>VLOOKUP(C5,Base_Mensuelle!$OF$68:$RP$679,71,0)</f>
        <v>568.56700000000001</v>
      </c>
      <c r="D23" s="664">
        <f>VLOOKUP(D5,Base_Mensuelle!$OF$68:$RP$679,71,0)</f>
        <v>538.63799999999992</v>
      </c>
      <c r="E23" s="664">
        <f>VLOOKUP(E5,Base_Mensuelle!$OF$68:$RP$679,71,0)</f>
        <v>473.45799999999997</v>
      </c>
      <c r="F23" s="664">
        <f>VLOOKUP(F5,Base_Mensuelle!$OF$68:$RP$679,71,0)</f>
        <v>392.52000000000004</v>
      </c>
      <c r="G23" s="664">
        <f>VLOOKUP(G5,Base_Mensuelle!$OF$68:$RP$679,71,0)</f>
        <v>420.91399999999999</v>
      </c>
      <c r="H23" s="664">
        <f>VLOOKUP(H5,Base_Mensuelle!$OF$68:$RP$679,71,0)</f>
        <v>469.125</v>
      </c>
      <c r="I23" s="664">
        <f>VLOOKUP(I5,Base_Mensuelle!$OF$68:$RP$679,71,0)</f>
        <v>472.73899999999998</v>
      </c>
      <c r="J23" s="664">
        <f>VLOOKUP(J5,Base_Mensuelle!$OF$68:$RP$679,71,0)</f>
        <v>521.601</v>
      </c>
      <c r="K23" s="664">
        <f>VLOOKUP(K5,Base_Mensuelle!$OF$68:$RP$679,71,0)</f>
        <v>541.31799999999998</v>
      </c>
      <c r="L23" s="664">
        <f>VLOOKUP(L5,Base_Mensuelle!$OF$68:$RP$679,71,0)</f>
        <v>481.20100000000002</v>
      </c>
      <c r="M23" s="664">
        <f>VLOOKUP(M5,Base_Mensuelle!$OF$68:$RP$679,71,0)</f>
        <v>548.62599999999998</v>
      </c>
    </row>
    <row r="24" spans="1:13">
      <c r="A24" s="1161" t="s">
        <v>472</v>
      </c>
      <c r="B24" s="668"/>
      <c r="C24" s="668"/>
      <c r="D24" s="668"/>
      <c r="E24" s="668"/>
      <c r="F24" s="668"/>
      <c r="G24" s="668"/>
      <c r="H24" s="668"/>
      <c r="I24" s="668"/>
      <c r="J24" s="668"/>
      <c r="K24" s="668"/>
      <c r="L24" s="668"/>
      <c r="M24" s="668"/>
    </row>
    <row r="25" spans="1:13">
      <c r="A25" s="1162" t="s">
        <v>496</v>
      </c>
      <c r="B25" s="675"/>
      <c r="C25" s="675"/>
      <c r="D25" s="675"/>
      <c r="E25" s="675"/>
      <c r="F25" s="675"/>
      <c r="G25" s="675"/>
      <c r="H25" s="675"/>
      <c r="I25" s="675"/>
      <c r="J25" s="675"/>
      <c r="K25" s="675"/>
      <c r="L25" s="675"/>
      <c r="M25" s="675"/>
    </row>
    <row r="26" spans="1:13" ht="22.8">
      <c r="A26" s="1158" t="s">
        <v>497</v>
      </c>
      <c r="B26" s="671">
        <f>VLOOKUP(B5,Base_Mensuelle!$OF$68:$RP$679,74,0)</f>
        <v>0</v>
      </c>
      <c r="C26" s="671">
        <f>VLOOKUP(C5,Base_Mensuelle!$OF$68:$RP$679,74,0)</f>
        <v>0</v>
      </c>
      <c r="D26" s="671">
        <f>VLOOKUP(D5,Base_Mensuelle!$OF$68:$RP$679,74,0)</f>
        <v>0</v>
      </c>
      <c r="E26" s="671">
        <f>VLOOKUP(E5,Base_Mensuelle!$OF$68:$RP$679,74,0)</f>
        <v>0</v>
      </c>
      <c r="F26" s="671">
        <f>VLOOKUP(F5,Base_Mensuelle!$OF$68:$RP$679,74,0)</f>
        <v>0</v>
      </c>
      <c r="G26" s="671">
        <f>VLOOKUP(G5,Base_Mensuelle!$OF$68:$RP$679,74,0)</f>
        <v>0</v>
      </c>
      <c r="H26" s="671">
        <f>VLOOKUP(H5,Base_Mensuelle!$OF$68:$RP$679,74,0)</f>
        <v>0</v>
      </c>
      <c r="I26" s="671">
        <f>VLOOKUP(I5,Base_Mensuelle!$OF$68:$RP$679,74,0)</f>
        <v>0</v>
      </c>
      <c r="J26" s="671">
        <f>VLOOKUP(J5,Base_Mensuelle!$OF$68:$RP$679,74,0)</f>
        <v>0</v>
      </c>
      <c r="K26" s="671">
        <f>VLOOKUP(K5,Base_Mensuelle!$OF$68:$RP$679,74,0)</f>
        <v>0</v>
      </c>
      <c r="L26" s="671">
        <f>VLOOKUP(L5,Base_Mensuelle!$OF$68:$RP$679,74,0)</f>
        <v>0</v>
      </c>
      <c r="M26" s="671">
        <f>VLOOKUP(M5,Base_Mensuelle!$OF$68:$RP$679,74,0)</f>
        <v>0</v>
      </c>
    </row>
    <row r="27" spans="1:13">
      <c r="A27" s="1160" t="s">
        <v>472</v>
      </c>
      <c r="B27" s="674"/>
      <c r="C27" s="674"/>
      <c r="D27" s="674"/>
      <c r="E27" s="674"/>
      <c r="F27" s="674"/>
      <c r="G27" s="674"/>
      <c r="H27" s="674"/>
      <c r="I27" s="674"/>
      <c r="J27" s="674"/>
      <c r="K27" s="674"/>
      <c r="L27" s="674"/>
      <c r="M27" s="674"/>
    </row>
    <row r="28" spans="1:13" ht="34.200000000000003">
      <c r="A28" s="1158" t="s">
        <v>498</v>
      </c>
      <c r="B28" s="671">
        <f>VLOOKUP(B5,Base_Mensuelle!$OF$68:$RP$679,76,0)</f>
        <v>8.9999999999999993E-3</v>
      </c>
      <c r="C28" s="671">
        <f>VLOOKUP(C5,Base_Mensuelle!$OF$68:$RP$679,76,0)</f>
        <v>0</v>
      </c>
      <c r="D28" s="671">
        <f>VLOOKUP(D5,Base_Mensuelle!$OF$68:$RP$679,76,0)</f>
        <v>0</v>
      </c>
      <c r="E28" s="671">
        <f>VLOOKUP(E5,Base_Mensuelle!$OF$68:$RP$679,76,0)</f>
        <v>0</v>
      </c>
      <c r="F28" s="671">
        <f>VLOOKUP(F5,Base_Mensuelle!$OF$68:$RP$679,76,0)</f>
        <v>0</v>
      </c>
      <c r="G28" s="671">
        <f>VLOOKUP(G5,Base_Mensuelle!$OF$68:$RP$679,76,0)</f>
        <v>0</v>
      </c>
      <c r="H28" s="671">
        <f>VLOOKUP(H5,Base_Mensuelle!$OF$68:$RP$679,76,0)</f>
        <v>0</v>
      </c>
      <c r="I28" s="671">
        <f>VLOOKUP(I5,Base_Mensuelle!$OF$68:$RP$679,76,0)</f>
        <v>0</v>
      </c>
      <c r="J28" s="671">
        <f>VLOOKUP(J5,Base_Mensuelle!$OF$68:$RP$679,76,0)</f>
        <v>0</v>
      </c>
      <c r="K28" s="671">
        <f>VLOOKUP(K5,Base_Mensuelle!$OF$68:$RP$679,76,0)</f>
        <v>0</v>
      </c>
      <c r="L28" s="671">
        <f>VLOOKUP(L5,Base_Mensuelle!$OF$68:$RP$679,76,0)</f>
        <v>0</v>
      </c>
      <c r="M28" s="671">
        <f>VLOOKUP(M5,Base_Mensuelle!$OF$68:$RP$679,76,0)</f>
        <v>0</v>
      </c>
    </row>
    <row r="29" spans="1:13">
      <c r="A29" s="1160" t="s">
        <v>472</v>
      </c>
      <c r="B29" s="674"/>
      <c r="C29" s="674"/>
      <c r="D29" s="674"/>
      <c r="E29" s="674"/>
      <c r="F29" s="674"/>
      <c r="G29" s="674"/>
      <c r="H29" s="674"/>
      <c r="I29" s="674"/>
      <c r="J29" s="674"/>
      <c r="K29" s="674"/>
      <c r="L29" s="674"/>
      <c r="M29" s="674"/>
    </row>
    <row r="30" spans="1:13" ht="22.8">
      <c r="A30" s="1158" t="s">
        <v>499</v>
      </c>
      <c r="B30" s="671">
        <f>VLOOKUP(B5,Base_Mensuelle!$OF$68:$RP$679,78,0)</f>
        <v>0</v>
      </c>
      <c r="C30" s="671">
        <f>VLOOKUP(C5,Base_Mensuelle!$OF$68:$RP$679,78,0)</f>
        <v>0</v>
      </c>
      <c r="D30" s="671">
        <f>VLOOKUP(D5,Base_Mensuelle!$OF$68:$RP$679,78,0)</f>
        <v>0</v>
      </c>
      <c r="E30" s="671">
        <f>VLOOKUP(E5,Base_Mensuelle!$OF$68:$RP$679,78,0)</f>
        <v>0</v>
      </c>
      <c r="F30" s="671">
        <f>VLOOKUP(F5,Base_Mensuelle!$OF$68:$RP$679,78,0)</f>
        <v>0</v>
      </c>
      <c r="G30" s="671">
        <f>VLOOKUP(G5,Base_Mensuelle!$OF$68:$RP$679,78,0)</f>
        <v>0</v>
      </c>
      <c r="H30" s="671">
        <f>VLOOKUP(H5,Base_Mensuelle!$OF$68:$RP$679,78,0)</f>
        <v>0</v>
      </c>
      <c r="I30" s="671">
        <f>VLOOKUP(I5,Base_Mensuelle!$OF$68:$RP$679,78,0)</f>
        <v>0</v>
      </c>
      <c r="J30" s="671">
        <f>VLOOKUP(J5,Base_Mensuelle!$OF$68:$RP$679,78,0)</f>
        <v>0</v>
      </c>
      <c r="K30" s="671">
        <f>VLOOKUP(K5,Base_Mensuelle!$OF$68:$RP$679,78,0)</f>
        <v>0</v>
      </c>
      <c r="L30" s="671">
        <f>VLOOKUP(L5,Base_Mensuelle!$OF$68:$RP$679,78,0)</f>
        <v>0</v>
      </c>
      <c r="M30" s="671">
        <f>VLOOKUP(M5,Base_Mensuelle!$OF$68:$RP$679,78,0)</f>
        <v>0</v>
      </c>
    </row>
    <row r="31" spans="1:13">
      <c r="A31" s="1160" t="s">
        <v>472</v>
      </c>
      <c r="B31" s="674"/>
      <c r="C31" s="674"/>
      <c r="D31" s="674"/>
      <c r="E31" s="674"/>
      <c r="F31" s="674"/>
      <c r="G31" s="674"/>
      <c r="H31" s="674"/>
      <c r="I31" s="674"/>
      <c r="J31" s="674"/>
      <c r="K31" s="674"/>
      <c r="L31" s="674"/>
      <c r="M31" s="674"/>
    </row>
    <row r="32" spans="1:13" ht="22.8">
      <c r="A32" s="1158" t="s">
        <v>485</v>
      </c>
      <c r="B32" s="671">
        <f>VLOOKUP(B5,Base_Mensuelle!$OF$68:$RP$679,80,0)</f>
        <v>430.73700000000002</v>
      </c>
      <c r="C32" s="671"/>
      <c r="D32" s="671">
        <f>VLOOKUP(D5,Base_Mensuelle!$OF$68:$RP$679,80,0)</f>
        <v>427.86799999999999</v>
      </c>
      <c r="E32" s="671">
        <f>VLOOKUP(E5,Base_Mensuelle!$OF$68:$RP$679,80,0)</f>
        <v>404.178</v>
      </c>
      <c r="F32" s="671">
        <f>VLOOKUP(F5,Base_Mensuelle!$OF$68:$RP$679,80,0)</f>
        <v>410.19499999999999</v>
      </c>
      <c r="G32" s="671">
        <f>VLOOKUP(G5,Base_Mensuelle!$OF$68:$RP$679,80,0)</f>
        <v>413.03300000000002</v>
      </c>
      <c r="H32" s="671">
        <f>VLOOKUP(H5,Base_Mensuelle!$OF$68:$RP$679,80,0)</f>
        <v>423.36300000000006</v>
      </c>
      <c r="I32" s="671">
        <f>VLOOKUP(I5,Base_Mensuelle!$OF$68:$RP$679,80,0)</f>
        <v>427.42200000000003</v>
      </c>
      <c r="J32" s="671">
        <f>VLOOKUP(J5,Base_Mensuelle!$OF$68:$RP$679,80,0)</f>
        <v>431.6039999999993</v>
      </c>
      <c r="K32" s="671">
        <f>VLOOKUP(K5,Base_Mensuelle!$OF$68:$RP$679,80,0)</f>
        <v>432.07899999999933</v>
      </c>
      <c r="L32" s="671">
        <f>VLOOKUP(L5,Base_Mensuelle!$OF$68:$RP$679,80,0)</f>
        <v>442.07499999999999</v>
      </c>
      <c r="M32" s="671">
        <f>VLOOKUP(M5,Base_Mensuelle!$OF$68:$RP$679,80,0)</f>
        <v>454.43300000000005</v>
      </c>
    </row>
    <row r="33" spans="1:13">
      <c r="A33" s="1160" t="s">
        <v>472</v>
      </c>
      <c r="B33" s="674"/>
      <c r="C33" s="674"/>
      <c r="D33" s="674"/>
      <c r="E33" s="674"/>
      <c r="F33" s="674"/>
      <c r="G33" s="674"/>
      <c r="H33" s="674"/>
      <c r="I33" s="674"/>
      <c r="J33" s="674"/>
      <c r="K33" s="674"/>
      <c r="L33" s="674"/>
      <c r="M33" s="674"/>
    </row>
    <row r="34" spans="1:13">
      <c r="A34" s="1158" t="s">
        <v>500</v>
      </c>
      <c r="B34" s="671">
        <f>VLOOKUP(B5,Base_Mensuelle!$OF$68:$RP$679,82,0)</f>
        <v>0</v>
      </c>
      <c r="C34" s="671">
        <f>VLOOKUP(C5,Base_Mensuelle!$OF$68:$RP$679,82,0)</f>
        <v>0</v>
      </c>
      <c r="D34" s="671">
        <f>VLOOKUP(D5,Base_Mensuelle!$OF$68:$RP$679,82,0)</f>
        <v>0</v>
      </c>
      <c r="E34" s="671">
        <f>VLOOKUP(E5,Base_Mensuelle!$OF$68:$RP$679,82,0)</f>
        <v>0</v>
      </c>
      <c r="F34" s="671">
        <f>VLOOKUP(F5,Base_Mensuelle!$OF$68:$RP$679,82,0)</f>
        <v>0</v>
      </c>
      <c r="G34" s="671">
        <f>VLOOKUP(G5,Base_Mensuelle!$OF$68:$RP$679,82,0)</f>
        <v>0</v>
      </c>
      <c r="H34" s="671">
        <f>VLOOKUP(H5,Base_Mensuelle!$OF$68:$RP$679,82,0)</f>
        <v>0</v>
      </c>
      <c r="I34" s="671">
        <f>VLOOKUP(I5,Base_Mensuelle!$OF$68:$RP$679,82,0)</f>
        <v>0</v>
      </c>
      <c r="J34" s="671">
        <f>VLOOKUP(J5,Base_Mensuelle!$OF$68:$RP$679,82,0)</f>
        <v>0</v>
      </c>
      <c r="K34" s="671">
        <f>VLOOKUP(K5,Base_Mensuelle!$OF$68:$RP$679,82,0)</f>
        <v>0</v>
      </c>
      <c r="L34" s="671">
        <f>VLOOKUP(L5,Base_Mensuelle!$OF$68:$RP$679,82,0)</f>
        <v>0</v>
      </c>
      <c r="M34" s="671">
        <f>VLOOKUP(M5,Base_Mensuelle!$OF$68:$RP$679,82,0)</f>
        <v>0</v>
      </c>
    </row>
    <row r="35" spans="1:13">
      <c r="A35" s="1160" t="s">
        <v>472</v>
      </c>
      <c r="B35" s="674"/>
      <c r="C35" s="674"/>
      <c r="D35" s="674"/>
      <c r="E35" s="674"/>
      <c r="F35" s="674"/>
      <c r="G35" s="674"/>
      <c r="H35" s="674"/>
      <c r="I35" s="674"/>
      <c r="J35" s="674"/>
      <c r="K35" s="674"/>
      <c r="L35" s="674"/>
      <c r="M35" s="674"/>
    </row>
    <row r="36" spans="1:13" ht="22.8">
      <c r="A36" s="1158" t="s">
        <v>486</v>
      </c>
      <c r="B36" s="671">
        <f>VLOOKUP(B5,Base_Mensuelle!$OF$68:$RP$679,84,0)</f>
        <v>0</v>
      </c>
      <c r="C36" s="671">
        <f>VLOOKUP(C5,Base_Mensuelle!$OF$68:$RP$679,84,0)</f>
        <v>0</v>
      </c>
      <c r="D36" s="671">
        <f>VLOOKUP(D5,Base_Mensuelle!$OF$68:$RP$679,84,0)</f>
        <v>0</v>
      </c>
      <c r="E36" s="671">
        <f>VLOOKUP(E5,Base_Mensuelle!$OF$68:$RP$679,84,0)</f>
        <v>0</v>
      </c>
      <c r="F36" s="671">
        <f>VLOOKUP(F5,Base_Mensuelle!$OF$68:$RP$679,84,0)</f>
        <v>0</v>
      </c>
      <c r="G36" s="671">
        <f>VLOOKUP(G5,Base_Mensuelle!$OF$68:$RP$679,84,0)</f>
        <v>0</v>
      </c>
      <c r="H36" s="671">
        <f>VLOOKUP(H5,Base_Mensuelle!$OF$68:$RP$679,84,0)</f>
        <v>0</v>
      </c>
      <c r="I36" s="671">
        <f>VLOOKUP(I5,Base_Mensuelle!$OF$68:$RP$679,84,0)</f>
        <v>0</v>
      </c>
      <c r="J36" s="671">
        <f>VLOOKUP(J5,Base_Mensuelle!$OF$68:$RP$679,84,0)</f>
        <v>0</v>
      </c>
      <c r="K36" s="671">
        <f>VLOOKUP(K5,Base_Mensuelle!$OF$68:$RP$679,84,0)</f>
        <v>0</v>
      </c>
      <c r="L36" s="671">
        <f>VLOOKUP(L5,Base_Mensuelle!$OF$68:$RP$679,84,0)</f>
        <v>0</v>
      </c>
      <c r="M36" s="671">
        <f>VLOOKUP(M5,Base_Mensuelle!$OF$68:$RP$679,84,0)</f>
        <v>0</v>
      </c>
    </row>
    <row r="37" spans="1:13">
      <c r="A37" s="1160" t="s">
        <v>472</v>
      </c>
      <c r="B37" s="674"/>
      <c r="C37" s="674"/>
      <c r="D37" s="674"/>
      <c r="E37" s="674"/>
      <c r="F37" s="674"/>
      <c r="G37" s="674"/>
      <c r="H37" s="674"/>
      <c r="I37" s="674"/>
      <c r="J37" s="674"/>
      <c r="K37" s="674"/>
      <c r="L37" s="674"/>
      <c r="M37" s="674"/>
    </row>
    <row r="38" spans="1:13" ht="12.6" thickBot="1">
      <c r="A38" s="1163" t="s">
        <v>487</v>
      </c>
      <c r="B38" s="678">
        <f>VLOOKUP(B5,Base_Mensuelle!$OF$68:$RP$679,86,0)</f>
        <v>0</v>
      </c>
      <c r="C38" s="678">
        <f>VLOOKUP(C5,Base_Mensuelle!$OF$68:$RP$679,86,0)</f>
        <v>0</v>
      </c>
      <c r="D38" s="678">
        <f>VLOOKUP(D5,Base_Mensuelle!$OF$68:$RP$679,86,0)</f>
        <v>0</v>
      </c>
      <c r="E38" s="678">
        <f>VLOOKUP(E5,Base_Mensuelle!$OF$68:$RP$679,86,0)</f>
        <v>0</v>
      </c>
      <c r="F38" s="678">
        <f>VLOOKUP(F5,Base_Mensuelle!$OF$68:$RP$679,86,0)</f>
        <v>0</v>
      </c>
      <c r="G38" s="678">
        <f>VLOOKUP(G5,Base_Mensuelle!$OF$68:$RP$679,86,0)</f>
        <v>0</v>
      </c>
      <c r="H38" s="678">
        <f>VLOOKUP(H5,Base_Mensuelle!$OF$68:$RP$679,86,0)</f>
        <v>0</v>
      </c>
      <c r="I38" s="678">
        <f>VLOOKUP(I5,Base_Mensuelle!$OF$68:$RP$679,86,0)</f>
        <v>0</v>
      </c>
      <c r="J38" s="678">
        <f>VLOOKUP(J5,Base_Mensuelle!$OF$68:$RP$679,86,0)</f>
        <v>0</v>
      </c>
      <c r="K38" s="678">
        <f>VLOOKUP(K5,Base_Mensuelle!$OF$68:$RP$679,86,0)</f>
        <v>0</v>
      </c>
      <c r="L38" s="678">
        <f>VLOOKUP(L5,Base_Mensuelle!$OF$68:$RP$679,86,0)</f>
        <v>0</v>
      </c>
      <c r="M38" s="678">
        <f>VLOOKUP(M5,Base_Mensuelle!$OF$68:$RP$679,86,0)</f>
        <v>0</v>
      </c>
    </row>
    <row r="39" spans="1:13">
      <c r="A39" s="1138" t="s">
        <v>463</v>
      </c>
    </row>
    <row r="40" spans="1:13">
      <c r="A40" s="1138"/>
    </row>
    <row r="41" spans="1:13">
      <c r="A41" s="1138"/>
    </row>
    <row r="42" spans="1:13">
      <c r="A42" s="1136" t="s">
        <v>804</v>
      </c>
    </row>
    <row r="43" spans="1:13">
      <c r="A43" s="1136"/>
    </row>
    <row r="44" spans="1:13">
      <c r="A44" s="1137"/>
      <c r="B44" s="1523">
        <f>DATE(YEAR(INDEX(Base_Mensuelle!$OF$68:$RQ$679,MAX(Base_Mensuelle!$RN$68:$RN$679),1))-4,1,1)</f>
        <v>43466</v>
      </c>
      <c r="C44" s="1523">
        <f>DATE(YEAR(INDEX(Base_Mensuelle!$OF$68:$RQ$679,MAX(Base_Mensuelle!$RN$68:$RN$679),1))-4,2,1)</f>
        <v>43497</v>
      </c>
      <c r="D44" s="1523">
        <f>DATE(YEAR(INDEX(Base_Mensuelle!$OF$68:$RQ$679,MAX(Base_Mensuelle!$RN$68:$RN$679),1))-4,3,1)</f>
        <v>43525</v>
      </c>
      <c r="E44" s="1523">
        <f>DATE(YEAR(INDEX(Base_Mensuelle!$OF$68:$RQ$679,MAX(Base_Mensuelle!$RN$68:$RN$679),1))-4,4,1)</f>
        <v>43556</v>
      </c>
      <c r="F44" s="1523">
        <f>DATE(YEAR(INDEX(Base_Mensuelle!$OF$68:$RQ$679,MAX(Base_Mensuelle!$RN$68:$RN$679),1))-4,5,1)</f>
        <v>43586</v>
      </c>
      <c r="G44" s="1523">
        <f>DATE(YEAR(INDEX(Base_Mensuelle!$OF$68:$RQ$679,MAX(Base_Mensuelle!$RN$68:$RN$679),1))-4,6,1)</f>
        <v>43617</v>
      </c>
      <c r="H44" s="1523">
        <f>DATE(YEAR(INDEX(Base_Mensuelle!$OF$68:$RQ$679,MAX(Base_Mensuelle!$RN$68:$RN$679),1))-4,7,1)</f>
        <v>43647</v>
      </c>
      <c r="I44" s="1523">
        <f>DATE(YEAR(INDEX(Base_Mensuelle!$OF$68:$RQ$679,MAX(Base_Mensuelle!$RN$68:$RN$679),1))-4,8,1)</f>
        <v>43678</v>
      </c>
      <c r="J44" s="1523">
        <f>DATE(YEAR(INDEX(Base_Mensuelle!$OF$68:$RQ$679,MAX(Base_Mensuelle!$RN$68:$RN$679),1))-4,9,1)</f>
        <v>43709</v>
      </c>
      <c r="K44" s="1523">
        <f>DATE(YEAR(INDEX(Base_Mensuelle!$OF$68:$RQ$679,MAX(Base_Mensuelle!$RN$68:$RN$679),1))-4,10,1)</f>
        <v>43739</v>
      </c>
      <c r="L44" s="1523">
        <f>DATE(YEAR(INDEX(Base_Mensuelle!$OF$68:$RQ$679,MAX(Base_Mensuelle!$RN$68:$RN$679),1))-4,11,1)</f>
        <v>43770</v>
      </c>
      <c r="M44" s="1523">
        <f>DATE(YEAR(INDEX(Base_Mensuelle!$OF$68:$RQ$679,MAX(Base_Mensuelle!$RN$68:$RN$679),1))-4,12,1)</f>
        <v>43800</v>
      </c>
    </row>
    <row r="45" spans="1:13">
      <c r="A45" s="659" t="s">
        <v>490</v>
      </c>
      <c r="B45" s="660"/>
      <c r="C45" s="660"/>
      <c r="D45" s="660"/>
      <c r="E45" s="660"/>
      <c r="F45" s="660"/>
      <c r="G45" s="660"/>
      <c r="H45" s="660"/>
      <c r="I45" s="660"/>
      <c r="J45" s="660"/>
      <c r="K45" s="660"/>
      <c r="L45" s="660"/>
      <c r="M45" s="660"/>
    </row>
    <row r="46" spans="1:13">
      <c r="A46" s="1155" t="s">
        <v>454</v>
      </c>
      <c r="B46" s="634">
        <f>VLOOKUP(B44,Base_Mensuelle!$OF$68:$RP$679,55,0)</f>
        <v>1087.385</v>
      </c>
      <c r="C46" s="634">
        <f>VLOOKUP(C44,Base_Mensuelle!$OF$68:$RP$679,55,0)</f>
        <v>1140.5210000000002</v>
      </c>
      <c r="D46" s="634">
        <f>VLOOKUP(D44,Base_Mensuelle!$OF$68:$RP$679,55,0)</f>
        <v>1252.702</v>
      </c>
      <c r="E46" s="634">
        <f>VLOOKUP(E44,Base_Mensuelle!$OF$68:$RP$679,55,0)</f>
        <v>1141.4120000000003</v>
      </c>
      <c r="F46" s="634">
        <f>VLOOKUP(F44,Base_Mensuelle!$OF$68:$RP$679,55,0)</f>
        <v>1127.0509999999999</v>
      </c>
      <c r="G46" s="634">
        <f>VLOOKUP(G44,Base_Mensuelle!$OF$68:$RP$679,55,0)</f>
        <v>1146.3279999999997</v>
      </c>
      <c r="H46" s="634">
        <f>VLOOKUP(H44,Base_Mensuelle!$OF$68:$RP$679,55,0)</f>
        <v>1071.318</v>
      </c>
      <c r="I46" s="634">
        <f>VLOOKUP(I44,Base_Mensuelle!$OF$68:$RP$679,55,0)</f>
        <v>1104.8160000000003</v>
      </c>
      <c r="J46" s="634">
        <f>VLOOKUP(J44,Base_Mensuelle!$OF$68:$RP$679,55,0)</f>
        <v>1145.0670000000002</v>
      </c>
      <c r="K46" s="634">
        <f>VLOOKUP(K44,Base_Mensuelle!$OF$68:$RP$679,55,0)</f>
        <v>1178.9160000000002</v>
      </c>
      <c r="L46" s="634">
        <f>VLOOKUP(L44,Base_Mensuelle!$OF$68:$RP$679,55,0)</f>
        <v>1158.1199999999999</v>
      </c>
      <c r="M46" s="634">
        <f>VLOOKUP(M44,Base_Mensuelle!$OF$68:$RP$679,55,0)</f>
        <v>1431.8130000000001</v>
      </c>
    </row>
    <row r="47" spans="1:13">
      <c r="A47" s="1156" t="s">
        <v>470</v>
      </c>
      <c r="B47" s="664">
        <f>VLOOKUP(B44,Base_Mensuelle!$OF$68:$RP$679,56,0)</f>
        <v>1466.308</v>
      </c>
      <c r="C47" s="664">
        <f>VLOOKUP(C44,Base_Mensuelle!$OF$68:$RP$679,56,0)</f>
        <v>1449.4180000000001</v>
      </c>
      <c r="D47" s="664">
        <f>VLOOKUP(D44,Base_Mensuelle!$OF$68:$RP$679,56,0)</f>
        <v>1569.55</v>
      </c>
      <c r="E47" s="664">
        <f>VLOOKUP(E44,Base_Mensuelle!$OF$68:$RP$679,56,0)</f>
        <v>1524.2790000000002</v>
      </c>
      <c r="F47" s="664">
        <f>VLOOKUP(F44,Base_Mensuelle!$OF$68:$RP$679,56,0)</f>
        <v>1529.1569999999999</v>
      </c>
      <c r="G47" s="664">
        <f>VLOOKUP(G44,Base_Mensuelle!$OF$68:$RP$679,56,0)</f>
        <v>1539.4499999999998</v>
      </c>
      <c r="H47" s="664">
        <f>VLOOKUP(H44,Base_Mensuelle!$OF$68:$RP$679,56,0)</f>
        <v>1464.807</v>
      </c>
      <c r="I47" s="664">
        <f>VLOOKUP(I44,Base_Mensuelle!$OF$68:$RP$679,56,0)</f>
        <v>1491.4750000000001</v>
      </c>
      <c r="J47" s="664">
        <f>VLOOKUP(J44,Base_Mensuelle!$OF$68:$RP$679,56,0)</f>
        <v>1498.0400000000002</v>
      </c>
      <c r="K47" s="664">
        <f>VLOOKUP(K44,Base_Mensuelle!$OF$68:$RP$679,56,0)</f>
        <v>1533.8750000000002</v>
      </c>
      <c r="L47" s="664">
        <f>VLOOKUP(L44,Base_Mensuelle!$OF$68:$RP$679,56,0)</f>
        <v>1579.3839999999998</v>
      </c>
      <c r="M47" s="664">
        <f>VLOOKUP(M44,Base_Mensuelle!$OF$68:$RP$679,56,0)</f>
        <v>1775.4560000000001</v>
      </c>
    </row>
    <row r="48" spans="1:13" ht="22.8">
      <c r="A48" s="1157" t="s">
        <v>471</v>
      </c>
      <c r="B48" s="668">
        <f>VLOOKUP(B44,Base_Mensuelle!$OF$68:$RP$679,57,0)</f>
        <v>-378.923</v>
      </c>
      <c r="C48" s="668">
        <f>VLOOKUP(C44,Base_Mensuelle!$OF$68:$RP$679,57,0)</f>
        <v>-308.89699999999993</v>
      </c>
      <c r="D48" s="668">
        <f>VLOOKUP(D44,Base_Mensuelle!$OF$68:$RP$679,57,0)</f>
        <v>-316.84799999999996</v>
      </c>
      <c r="E48" s="668">
        <f>VLOOKUP(E44,Base_Mensuelle!$OF$68:$RP$679,57,0)</f>
        <v>-382.86700000000002</v>
      </c>
      <c r="F48" s="668">
        <f>VLOOKUP(F44,Base_Mensuelle!$OF$68:$RP$679,57,0)</f>
        <v>-402.10599999999999</v>
      </c>
      <c r="G48" s="668">
        <f>VLOOKUP(G44,Base_Mensuelle!$OF$68:$RP$679,57,0)</f>
        <v>-393.12200000000007</v>
      </c>
      <c r="H48" s="668">
        <f>VLOOKUP(H44,Base_Mensuelle!$OF$68:$RP$679,57,0)</f>
        <v>-393.48899999999998</v>
      </c>
      <c r="I48" s="668">
        <f>VLOOKUP(I44,Base_Mensuelle!$OF$68:$RP$679,57,0)</f>
        <v>-386.65899999999999</v>
      </c>
      <c r="J48" s="668">
        <f>VLOOKUP(J44,Base_Mensuelle!$OF$68:$RP$679,57,0)</f>
        <v>-352.97300000000001</v>
      </c>
      <c r="K48" s="668">
        <f>VLOOKUP(K44,Base_Mensuelle!$OF$68:$RP$679,57,0)</f>
        <v>-354.959</v>
      </c>
      <c r="L48" s="668">
        <f>VLOOKUP(L44,Base_Mensuelle!$OF$68:$RP$679,57,0)</f>
        <v>-421.26399999999995</v>
      </c>
      <c r="M48" s="668">
        <f>VLOOKUP(M44,Base_Mensuelle!$OF$68:$RP$679,57,0)</f>
        <v>-343.64300000000003</v>
      </c>
    </row>
    <row r="49" spans="1:13">
      <c r="A49" s="1156" t="s">
        <v>472</v>
      </c>
      <c r="B49" s="664"/>
      <c r="C49" s="664"/>
      <c r="D49" s="664"/>
      <c r="E49" s="664"/>
      <c r="F49" s="664"/>
      <c r="G49" s="664"/>
      <c r="H49" s="664"/>
      <c r="I49" s="664"/>
      <c r="J49" s="664"/>
      <c r="K49" s="664"/>
      <c r="L49" s="664"/>
      <c r="M49" s="664"/>
    </row>
    <row r="50" spans="1:13" ht="22.8">
      <c r="A50" s="1158" t="s">
        <v>491</v>
      </c>
      <c r="B50" s="671">
        <f>VLOOKUP(B44,Base_Mensuelle!$OF$68:$RP$679,59,0)</f>
        <v>72.948999999999998</v>
      </c>
      <c r="C50" s="671">
        <f>VLOOKUP(C44,Base_Mensuelle!$OF$68:$RP$679,59,0)</f>
        <v>67.128</v>
      </c>
      <c r="D50" s="671">
        <f>VLOOKUP(D44,Base_Mensuelle!$OF$68:$RP$679,59,0)</f>
        <v>69.61</v>
      </c>
      <c r="E50" s="671">
        <f>VLOOKUP(E44,Base_Mensuelle!$OF$68:$RP$679,59,0)</f>
        <v>68.712000000000003</v>
      </c>
      <c r="F50" s="671">
        <f>VLOOKUP(F44,Base_Mensuelle!$OF$68:$RP$679,59,0)</f>
        <v>65.311999999999998</v>
      </c>
      <c r="G50" s="671">
        <f>VLOOKUP(G44,Base_Mensuelle!$OF$68:$RP$679,59,0)</f>
        <v>69.373999999999995</v>
      </c>
      <c r="H50" s="671">
        <f>VLOOKUP(H44,Base_Mensuelle!$OF$68:$RP$679,59,0)</f>
        <v>68.281000000000006</v>
      </c>
      <c r="I50" s="671">
        <f>VLOOKUP(I44,Base_Mensuelle!$OF$68:$RP$679,59,0)</f>
        <v>69.033000000000001</v>
      </c>
      <c r="J50" s="671">
        <f>VLOOKUP(J44,Base_Mensuelle!$OF$68:$RP$679,59,0)</f>
        <v>71.5</v>
      </c>
      <c r="K50" s="671">
        <f>VLOOKUP(K44,Base_Mensuelle!$OF$68:$RP$679,59,0)</f>
        <v>74.180000000000007</v>
      </c>
      <c r="L50" s="671">
        <f>VLOOKUP(L44,Base_Mensuelle!$OF$68:$RP$679,59,0)</f>
        <v>71.260999999999996</v>
      </c>
      <c r="M50" s="671">
        <f>VLOOKUP(M44,Base_Mensuelle!$OF$68:$RP$679,59,0)</f>
        <v>90.59</v>
      </c>
    </row>
    <row r="51" spans="1:13">
      <c r="A51" s="1156" t="s">
        <v>492</v>
      </c>
      <c r="B51" s="664">
        <f>VLOOKUP(B44,Base_Mensuelle!$OF$68:$RP$679,60,0)</f>
        <v>153.089</v>
      </c>
      <c r="C51" s="664">
        <f>VLOOKUP(C44,Base_Mensuelle!$OF$68:$RP$679,60,0)</f>
        <v>152.81299999999999</v>
      </c>
      <c r="D51" s="664">
        <f>VLOOKUP(D44,Base_Mensuelle!$OF$68:$RP$679,60,0)</f>
        <v>273.58300000000003</v>
      </c>
      <c r="E51" s="664">
        <f>VLOOKUP(E44,Base_Mensuelle!$OF$68:$RP$679,60,0)</f>
        <v>174.99599999999998</v>
      </c>
      <c r="F51" s="664">
        <f>VLOOKUP(F44,Base_Mensuelle!$OF$68:$RP$679,60,0)</f>
        <v>137.65</v>
      </c>
      <c r="G51" s="664">
        <f>VLOOKUP(G44,Base_Mensuelle!$OF$68:$RP$679,60,0)</f>
        <v>176.15199999999999</v>
      </c>
      <c r="H51" s="664">
        <f>VLOOKUP(H44,Base_Mensuelle!$OF$68:$RP$679,60,0)</f>
        <v>200.04</v>
      </c>
      <c r="I51" s="664">
        <f>VLOOKUP(I44,Base_Mensuelle!$OF$68:$RP$679,60,0)</f>
        <v>198.79199999999997</v>
      </c>
      <c r="J51" s="664">
        <f>VLOOKUP(J44,Base_Mensuelle!$OF$68:$RP$679,60,0)</f>
        <v>229.21199999999999</v>
      </c>
      <c r="K51" s="664">
        <f>VLOOKUP(K44,Base_Mensuelle!$OF$68:$RP$679,60,0)</f>
        <v>143.12799999999999</v>
      </c>
      <c r="L51" s="664">
        <f>VLOOKUP(L44,Base_Mensuelle!$OF$68:$RP$679,60,0)</f>
        <v>249.11500000000001</v>
      </c>
      <c r="M51" s="664">
        <f>VLOOKUP(M44,Base_Mensuelle!$OF$68:$RP$679,60,0)</f>
        <v>162.73400000000001</v>
      </c>
    </row>
    <row r="52" spans="1:13">
      <c r="A52" s="1157" t="s">
        <v>493</v>
      </c>
      <c r="B52" s="668">
        <f>VLOOKUP(B44,Base_Mensuelle!$OF$68:$RP$679,61,0)</f>
        <v>0</v>
      </c>
      <c r="C52" s="668">
        <f>VLOOKUP(C44,Base_Mensuelle!$OF$68:$RP$679,61,0)</f>
        <v>0</v>
      </c>
      <c r="D52" s="668">
        <f>VLOOKUP(D44,Base_Mensuelle!$OF$68:$RP$679,61,0)</f>
        <v>0</v>
      </c>
      <c r="E52" s="668">
        <f>VLOOKUP(E44,Base_Mensuelle!$OF$68:$RP$679,61,0)</f>
        <v>0</v>
      </c>
      <c r="F52" s="668">
        <f>VLOOKUP(F44,Base_Mensuelle!$OF$68:$RP$679,61,0)</f>
        <v>1.7000000000000001E-2</v>
      </c>
      <c r="G52" s="668">
        <f>VLOOKUP(G44,Base_Mensuelle!$OF$68:$RP$679,61,0)</f>
        <v>2.8000000000000001E-2</v>
      </c>
      <c r="H52" s="668">
        <f>VLOOKUP(H44,Base_Mensuelle!$OF$68:$RP$679,61,0)</f>
        <v>0</v>
      </c>
      <c r="I52" s="668">
        <f>VLOOKUP(I44,Base_Mensuelle!$OF$68:$RP$679,61,0)</f>
        <v>0</v>
      </c>
      <c r="J52" s="668">
        <f>VLOOKUP(J44,Base_Mensuelle!$OF$68:$RP$679,61,0)</f>
        <v>0</v>
      </c>
      <c r="K52" s="668">
        <f>VLOOKUP(K44,Base_Mensuelle!$OF$68:$RP$679,61,0)</f>
        <v>0</v>
      </c>
      <c r="L52" s="668">
        <f>VLOOKUP(L44,Base_Mensuelle!$OF$68:$RP$679,61,0)</f>
        <v>0</v>
      </c>
      <c r="M52" s="668">
        <f>VLOOKUP(M44,Base_Mensuelle!$OF$68:$RP$679,61,0)</f>
        <v>0</v>
      </c>
    </row>
    <row r="53" spans="1:13">
      <c r="A53" s="1159" t="s">
        <v>472</v>
      </c>
      <c r="B53" s="674"/>
      <c r="C53" s="674"/>
      <c r="D53" s="674"/>
      <c r="E53" s="674"/>
      <c r="F53" s="674"/>
      <c r="G53" s="674"/>
      <c r="H53" s="674"/>
      <c r="I53" s="674"/>
      <c r="J53" s="674"/>
      <c r="K53" s="674"/>
      <c r="L53" s="674"/>
      <c r="M53" s="674"/>
    </row>
    <row r="54" spans="1:13" ht="22.8">
      <c r="A54" s="1160" t="s">
        <v>474</v>
      </c>
      <c r="B54" s="674">
        <f>VLOOKUP(B44,Base_Mensuelle!$OF$68:$RP$679,63,0)</f>
        <v>491.39700000000005</v>
      </c>
      <c r="C54" s="674">
        <f>VLOOKUP(C44,Base_Mensuelle!$OF$68:$RP$679,63,0)</f>
        <v>487.09800000000001</v>
      </c>
      <c r="D54" s="674">
        <f>VLOOKUP(D44,Base_Mensuelle!$OF$68:$RP$679,63,0)</f>
        <v>472.54499999999996</v>
      </c>
      <c r="E54" s="674">
        <f>VLOOKUP(E44,Base_Mensuelle!$OF$68:$RP$679,63,0)</f>
        <v>463.86399999999998</v>
      </c>
      <c r="F54" s="674">
        <f>VLOOKUP(F44,Base_Mensuelle!$OF$68:$RP$679,63,0)</f>
        <v>500.94499999999999</v>
      </c>
      <c r="G54" s="674">
        <f>VLOOKUP(G44,Base_Mensuelle!$OF$68:$RP$679,63,0)</f>
        <v>533.01100000000008</v>
      </c>
      <c r="H54" s="674">
        <f>VLOOKUP(H44,Base_Mensuelle!$OF$68:$RP$679,63,0)</f>
        <v>494.27699999999999</v>
      </c>
      <c r="I54" s="674">
        <f>VLOOKUP(I44,Base_Mensuelle!$OF$68:$RP$679,63,0)</f>
        <v>495.77499999999998</v>
      </c>
      <c r="J54" s="674">
        <f>VLOOKUP(J44,Base_Mensuelle!$OF$68:$RP$679,63,0)</f>
        <v>501.15500000000003</v>
      </c>
      <c r="K54" s="674">
        <f>VLOOKUP(K44,Base_Mensuelle!$OF$68:$RP$679,63,0)</f>
        <v>547.48900000000003</v>
      </c>
      <c r="L54" s="674">
        <f>VLOOKUP(L44,Base_Mensuelle!$OF$68:$RP$679,63,0)</f>
        <v>551.52099999999996</v>
      </c>
      <c r="M54" s="674">
        <f>VLOOKUP(M44,Base_Mensuelle!$OF$68:$RP$679,63,0)</f>
        <v>556.59299999999996</v>
      </c>
    </row>
    <row r="55" spans="1:13" ht="22.8">
      <c r="A55" s="1157" t="s">
        <v>475</v>
      </c>
      <c r="B55" s="668">
        <f>VLOOKUP(B44,Base_Mensuelle!$OF$68:$RP$679,64,0)</f>
        <v>-367.221</v>
      </c>
      <c r="C55" s="668">
        <f>VLOOKUP(C44,Base_Mensuelle!$OF$68:$RP$679,64,0)</f>
        <v>-370.52</v>
      </c>
      <c r="D55" s="668">
        <f>VLOOKUP(D44,Base_Mensuelle!$OF$68:$RP$679,64,0)</f>
        <v>-354.815</v>
      </c>
      <c r="E55" s="668">
        <f>VLOOKUP(E44,Base_Mensuelle!$OF$68:$RP$679,64,0)</f>
        <v>-358.65299999999996</v>
      </c>
      <c r="F55" s="668">
        <f>VLOOKUP(F44,Base_Mensuelle!$OF$68:$RP$679,64,0)</f>
        <v>-351.65000000000003</v>
      </c>
      <c r="G55" s="668">
        <f>VLOOKUP(G44,Base_Mensuelle!$OF$68:$RP$679,64,0)</f>
        <v>-350.36500000000001</v>
      </c>
      <c r="H55" s="668">
        <f>VLOOKUP(H44,Base_Mensuelle!$OF$68:$RP$679,64,0)</f>
        <v>-345.52100000000002</v>
      </c>
      <c r="I55" s="668">
        <f>VLOOKUP(I44,Base_Mensuelle!$OF$68:$RP$679,64,0)</f>
        <v>-347.06</v>
      </c>
      <c r="J55" s="668">
        <f>VLOOKUP(J44,Base_Mensuelle!$OF$68:$RP$679,64,0)</f>
        <v>-362.988</v>
      </c>
      <c r="K55" s="668">
        <f>VLOOKUP(K44,Base_Mensuelle!$OF$68:$RP$679,64,0)</f>
        <v>-345.005</v>
      </c>
      <c r="L55" s="668">
        <f>VLOOKUP(L44,Base_Mensuelle!$OF$68:$RP$679,64,0)</f>
        <v>-371.99</v>
      </c>
      <c r="M55" s="668">
        <f>VLOOKUP(M44,Base_Mensuelle!$OF$68:$RP$679,64,0)</f>
        <v>-363.02099999999996</v>
      </c>
    </row>
    <row r="56" spans="1:13" ht="22.8">
      <c r="A56" s="1156" t="s">
        <v>476</v>
      </c>
      <c r="B56" s="664">
        <f>VLOOKUP(B44,Base_Mensuelle!$OF$68:$RP$679,65,0)</f>
        <v>2637.56</v>
      </c>
      <c r="C56" s="664">
        <f>VLOOKUP(C44,Base_Mensuelle!$OF$68:$RP$679,65,0)</f>
        <v>2632.076</v>
      </c>
      <c r="D56" s="664">
        <f>VLOOKUP(D44,Base_Mensuelle!$OF$68:$RP$679,65,0)</f>
        <v>2708.6520000000005</v>
      </c>
      <c r="E56" s="664">
        <f>VLOOKUP(E44,Base_Mensuelle!$OF$68:$RP$679,65,0)</f>
        <v>2702.989</v>
      </c>
      <c r="F56" s="664">
        <f>VLOOKUP(F44,Base_Mensuelle!$OF$68:$RP$679,65,0)</f>
        <v>2817.9569999999999</v>
      </c>
      <c r="G56" s="664">
        <f>VLOOKUP(G44,Base_Mensuelle!$OF$68:$RP$679,65,0)</f>
        <v>2877.5329999999999</v>
      </c>
      <c r="H56" s="664">
        <f>VLOOKUP(H44,Base_Mensuelle!$OF$68:$RP$679,65,0)</f>
        <v>2896.4969999999998</v>
      </c>
      <c r="I56" s="664">
        <f>VLOOKUP(I44,Base_Mensuelle!$OF$68:$RP$679,65,0)</f>
        <v>2900.3359999999993</v>
      </c>
      <c r="J56" s="664">
        <f>VLOOKUP(J44,Base_Mensuelle!$OF$68:$RP$679,65,0)</f>
        <v>2916.7570000000001</v>
      </c>
      <c r="K56" s="664">
        <f>VLOOKUP(K44,Base_Mensuelle!$OF$68:$RP$679,65,0)</f>
        <v>2875.5699999999997</v>
      </c>
      <c r="L56" s="664">
        <f>VLOOKUP(L44,Base_Mensuelle!$OF$68:$RP$679,65,0)</f>
        <v>2853.0519999999997</v>
      </c>
      <c r="M56" s="664">
        <f>VLOOKUP(M44,Base_Mensuelle!$OF$68:$RP$679,65,0)</f>
        <v>2909.8429999999998</v>
      </c>
    </row>
    <row r="57" spans="1:13">
      <c r="A57" s="1161" t="s">
        <v>472</v>
      </c>
      <c r="B57" s="668"/>
      <c r="C57" s="668"/>
      <c r="D57" s="668"/>
      <c r="E57" s="668"/>
      <c r="F57" s="668"/>
      <c r="G57" s="668"/>
      <c r="H57" s="668"/>
      <c r="I57" s="668"/>
      <c r="J57" s="668"/>
      <c r="K57" s="668"/>
      <c r="L57" s="668"/>
      <c r="M57" s="668"/>
    </row>
    <row r="58" spans="1:13">
      <c r="A58" s="1160" t="s">
        <v>477</v>
      </c>
      <c r="B58" s="674">
        <f>VLOOKUP(B44,Base_Mensuelle!$OF$68:$RP$679,67,0)</f>
        <v>1.171</v>
      </c>
      <c r="C58" s="674">
        <f>VLOOKUP(C44,Base_Mensuelle!$OF$68:$RP$679,67,0)</f>
        <v>10.843</v>
      </c>
      <c r="D58" s="674">
        <f>VLOOKUP(D44,Base_Mensuelle!$OF$68:$RP$679,67,0)</f>
        <v>15.166</v>
      </c>
      <c r="E58" s="674">
        <f>VLOOKUP(E44,Base_Mensuelle!$OF$68:$RP$679,67,0)</f>
        <v>22.473999999999997</v>
      </c>
      <c r="F58" s="674">
        <f>VLOOKUP(F44,Base_Mensuelle!$OF$68:$RP$679,67,0)</f>
        <v>20.41</v>
      </c>
      <c r="G58" s="674">
        <f>VLOOKUP(G44,Base_Mensuelle!$OF$68:$RP$679,67,0)</f>
        <v>38.774000000000001</v>
      </c>
      <c r="H58" s="674">
        <f>VLOOKUP(H44,Base_Mensuelle!$OF$68:$RP$679,67,0)</f>
        <v>37.398000000000003</v>
      </c>
      <c r="I58" s="674">
        <f>VLOOKUP(I44,Base_Mensuelle!$OF$68:$RP$679,67,0)</f>
        <v>39.074000000000005</v>
      </c>
      <c r="J58" s="674">
        <f>VLOOKUP(J44,Base_Mensuelle!$OF$68:$RP$679,67,0)</f>
        <v>37.873000000000005</v>
      </c>
      <c r="K58" s="674">
        <f>VLOOKUP(K44,Base_Mensuelle!$OF$68:$RP$679,67,0)</f>
        <v>53.870000000000005</v>
      </c>
      <c r="L58" s="674">
        <f>VLOOKUP(L44,Base_Mensuelle!$OF$68:$RP$679,67,0)</f>
        <v>30.866</v>
      </c>
      <c r="M58" s="674">
        <f>VLOOKUP(M44,Base_Mensuelle!$OF$68:$RP$679,67,0)</f>
        <v>21.832000000000001</v>
      </c>
    </row>
    <row r="59" spans="1:13" ht="22.8">
      <c r="A59" s="1157" t="s">
        <v>478</v>
      </c>
      <c r="B59" s="668">
        <f>VLOOKUP(B44,Base_Mensuelle!$OF$68:$RP$679,68,0)</f>
        <v>243.29</v>
      </c>
      <c r="C59" s="668">
        <f>VLOOKUP(C44,Base_Mensuelle!$OF$68:$RP$679,68,0)</f>
        <v>213.084</v>
      </c>
      <c r="D59" s="668">
        <f>VLOOKUP(D44,Base_Mensuelle!$OF$68:$RP$679,68,0)</f>
        <v>255.70899999999997</v>
      </c>
      <c r="E59" s="668">
        <f>VLOOKUP(E44,Base_Mensuelle!$OF$68:$RP$679,68,0)</f>
        <v>239.29300000000001</v>
      </c>
      <c r="F59" s="668">
        <f>VLOOKUP(F44,Base_Mensuelle!$OF$68:$RP$679,68,0)</f>
        <v>241.739</v>
      </c>
      <c r="G59" s="668">
        <f>VLOOKUP(G44,Base_Mensuelle!$OF$68:$RP$679,68,0)</f>
        <v>280.65500000000003</v>
      </c>
      <c r="H59" s="668">
        <f>VLOOKUP(H44,Base_Mensuelle!$OF$68:$RP$679,68,0)</f>
        <v>284.23099999999999</v>
      </c>
      <c r="I59" s="668">
        <f>VLOOKUP(I44,Base_Mensuelle!$OF$68:$RP$679,68,0)</f>
        <v>260.798</v>
      </c>
      <c r="J59" s="668">
        <f>VLOOKUP(J44,Base_Mensuelle!$OF$68:$RP$679,68,0)</f>
        <v>266.71199999999999</v>
      </c>
      <c r="K59" s="668">
        <f>VLOOKUP(K44,Base_Mensuelle!$OF$68:$RP$679,68,0)</f>
        <v>234.65100000000001</v>
      </c>
      <c r="L59" s="668">
        <f>VLOOKUP(L44,Base_Mensuelle!$OF$68:$RP$679,68,0)</f>
        <v>254.51499999999999</v>
      </c>
      <c r="M59" s="668">
        <f>VLOOKUP(M44,Base_Mensuelle!$OF$68:$RP$679,68,0)</f>
        <v>210.97299999999998</v>
      </c>
    </row>
    <row r="60" spans="1:13" ht="22.8">
      <c r="A60" s="1156" t="s">
        <v>494</v>
      </c>
      <c r="B60" s="664">
        <f>VLOOKUP(B44,Base_Mensuelle!$OF$68:$RP$679,69,0)</f>
        <v>2379.261</v>
      </c>
      <c r="C60" s="664">
        <f>VLOOKUP(C44,Base_Mensuelle!$OF$68:$RP$679,69,0)</f>
        <v>2380.2829999999999</v>
      </c>
      <c r="D60" s="664">
        <f>VLOOKUP(D44,Base_Mensuelle!$OF$68:$RP$679,69,0)</f>
        <v>2425.3900000000003</v>
      </c>
      <c r="E60" s="664">
        <f>VLOOKUP(E44,Base_Mensuelle!$OF$68:$RP$679,69,0)</f>
        <v>2420.6770000000001</v>
      </c>
      <c r="F60" s="664">
        <f>VLOOKUP(F44,Base_Mensuelle!$OF$68:$RP$679,69,0)</f>
        <v>2540.1999999999998</v>
      </c>
      <c r="G60" s="664">
        <f>VLOOKUP(G44,Base_Mensuelle!$OF$68:$RP$679,69,0)</f>
        <v>2537.768</v>
      </c>
      <c r="H60" s="664">
        <f>VLOOKUP(H44,Base_Mensuelle!$OF$68:$RP$679,69,0)</f>
        <v>2558.6859999999997</v>
      </c>
      <c r="I60" s="664">
        <f>VLOOKUP(I44,Base_Mensuelle!$OF$68:$RP$679,69,0)</f>
        <v>2585.7829999999994</v>
      </c>
      <c r="J60" s="664">
        <f>VLOOKUP(J44,Base_Mensuelle!$OF$68:$RP$679,69,0)</f>
        <v>2598.1260000000002</v>
      </c>
      <c r="K60" s="664">
        <f>VLOOKUP(K44,Base_Mensuelle!$OF$68:$RP$679,69,0)</f>
        <v>2569.2709999999997</v>
      </c>
      <c r="L60" s="664">
        <f>VLOOKUP(L44,Base_Mensuelle!$OF$68:$RP$679,69,0)</f>
        <v>2550.4759999999997</v>
      </c>
      <c r="M60" s="664">
        <f>VLOOKUP(M44,Base_Mensuelle!$OF$68:$RP$679,69,0)</f>
        <v>2658.5789999999997</v>
      </c>
    </row>
    <row r="61" spans="1:13" ht="22.8">
      <c r="A61" s="1157" t="s">
        <v>495</v>
      </c>
      <c r="B61" s="668">
        <f>VLOOKUP(B44,Base_Mensuelle!$OF$68:$RP$679,70,0)</f>
        <v>0</v>
      </c>
      <c r="C61" s="668">
        <f>VLOOKUP(C44,Base_Mensuelle!$OF$68:$RP$679,70,0)</f>
        <v>0</v>
      </c>
      <c r="D61" s="668">
        <f>VLOOKUP(D44,Base_Mensuelle!$OF$68:$RP$679,70,0)</f>
        <v>0</v>
      </c>
      <c r="E61" s="668">
        <f>VLOOKUP(E44,Base_Mensuelle!$OF$68:$RP$679,70,0)</f>
        <v>0</v>
      </c>
      <c r="F61" s="668">
        <f>VLOOKUP(F44,Base_Mensuelle!$OF$68:$RP$679,70,0)</f>
        <v>0</v>
      </c>
      <c r="G61" s="668">
        <f>VLOOKUP(G44,Base_Mensuelle!$OF$68:$RP$679,70,0)</f>
        <v>0</v>
      </c>
      <c r="H61" s="668">
        <f>VLOOKUP(H44,Base_Mensuelle!$OF$68:$RP$679,70,0)</f>
        <v>0</v>
      </c>
      <c r="I61" s="668">
        <f>VLOOKUP(I44,Base_Mensuelle!$OF$68:$RP$679,70,0)</f>
        <v>0</v>
      </c>
      <c r="J61" s="668">
        <f>VLOOKUP(J44,Base_Mensuelle!$OF$68:$RP$679,70,0)</f>
        <v>0</v>
      </c>
      <c r="K61" s="668">
        <f>VLOOKUP(K44,Base_Mensuelle!$OF$68:$RP$679,70,0)</f>
        <v>0</v>
      </c>
      <c r="L61" s="668">
        <f>VLOOKUP(L44,Base_Mensuelle!$OF$68:$RP$679,70,0)</f>
        <v>0</v>
      </c>
      <c r="M61" s="668">
        <f>VLOOKUP(M44,Base_Mensuelle!$OF$68:$RP$679,70,0)</f>
        <v>0</v>
      </c>
    </row>
    <row r="62" spans="1:13">
      <c r="A62" s="1156" t="s">
        <v>479</v>
      </c>
      <c r="B62" s="664">
        <f>VLOOKUP(B44,Base_Mensuelle!$OF$68:$RP$679,71,0)</f>
        <v>549.21800000000007</v>
      </c>
      <c r="C62" s="664">
        <f>VLOOKUP(C44,Base_Mensuelle!$OF$68:$RP$679,71,0)</f>
        <v>511.48300000000006</v>
      </c>
      <c r="D62" s="664">
        <f>VLOOKUP(D44,Base_Mensuelle!$OF$68:$RP$679,71,0)</f>
        <v>599.11699999999996</v>
      </c>
      <c r="E62" s="664">
        <f>VLOOKUP(E44,Base_Mensuelle!$OF$68:$RP$679,71,0)</f>
        <v>529.95799999999997</v>
      </c>
      <c r="F62" s="664">
        <f>VLOOKUP(F44,Base_Mensuelle!$OF$68:$RP$679,71,0)</f>
        <v>626.18299999999999</v>
      </c>
      <c r="G62" s="664">
        <f>VLOOKUP(G44,Base_Mensuelle!$OF$68:$RP$679,71,0)</f>
        <v>626.75500000000011</v>
      </c>
      <c r="H62" s="664">
        <f>VLOOKUP(H44,Base_Mensuelle!$OF$68:$RP$679,71,0)</f>
        <v>657.27700000000004</v>
      </c>
      <c r="I62" s="664">
        <f>VLOOKUP(I44,Base_Mensuelle!$OF$68:$RP$679,71,0)</f>
        <v>666.61800000000005</v>
      </c>
      <c r="J62" s="664">
        <f>VLOOKUP(J44,Base_Mensuelle!$OF$68:$RP$679,71,0)</f>
        <v>742.51900000000001</v>
      </c>
      <c r="K62" s="664">
        <f>VLOOKUP(K44,Base_Mensuelle!$OF$68:$RP$679,71,0)</f>
        <v>723.75199999999995</v>
      </c>
      <c r="L62" s="664">
        <f>VLOOKUP(L44,Base_Mensuelle!$OF$68:$RP$679,71,0)</f>
        <v>740.00199999999995</v>
      </c>
      <c r="M62" s="664">
        <f>VLOOKUP(M44,Base_Mensuelle!$OF$68:$RP$679,71,0)</f>
        <v>814.98</v>
      </c>
    </row>
    <row r="63" spans="1:13">
      <c r="A63" s="1161" t="s">
        <v>472</v>
      </c>
      <c r="B63" s="668"/>
      <c r="C63" s="668"/>
      <c r="D63" s="668"/>
      <c r="E63" s="668"/>
      <c r="F63" s="668"/>
      <c r="G63" s="668"/>
      <c r="H63" s="668"/>
      <c r="I63" s="668"/>
      <c r="J63" s="668"/>
      <c r="K63" s="668"/>
      <c r="L63" s="668"/>
      <c r="M63" s="668"/>
    </row>
    <row r="64" spans="1:13">
      <c r="A64" s="1162" t="s">
        <v>496</v>
      </c>
      <c r="B64" s="675"/>
      <c r="C64" s="675"/>
      <c r="D64" s="675"/>
      <c r="E64" s="675"/>
      <c r="F64" s="675"/>
      <c r="G64" s="675"/>
      <c r="H64" s="675"/>
      <c r="I64" s="675"/>
      <c r="J64" s="675"/>
      <c r="K64" s="675"/>
      <c r="L64" s="675"/>
      <c r="M64" s="675"/>
    </row>
    <row r="65" spans="1:13" ht="22.8">
      <c r="A65" s="1158" t="s">
        <v>497</v>
      </c>
      <c r="B65" s="671">
        <f>VLOOKUP(B44,Base_Mensuelle!$OF$68:$RP$679,74,0)</f>
        <v>0</v>
      </c>
      <c r="C65" s="671">
        <f>VLOOKUP(C44,Base_Mensuelle!$OF$68:$RP$679,74,0)</f>
        <v>0</v>
      </c>
      <c r="D65" s="671">
        <f>VLOOKUP(D44,Base_Mensuelle!$OF$68:$RP$679,74,0)</f>
        <v>0</v>
      </c>
      <c r="E65" s="671">
        <f>VLOOKUP(E44,Base_Mensuelle!$OF$68:$RP$679,74,0)</f>
        <v>0</v>
      </c>
      <c r="F65" s="671">
        <f>VLOOKUP(F44,Base_Mensuelle!$OF$68:$RP$679,74,0)</f>
        <v>0</v>
      </c>
      <c r="G65" s="671">
        <f>VLOOKUP(G44,Base_Mensuelle!$OF$68:$RP$679,74,0)</f>
        <v>0</v>
      </c>
      <c r="H65" s="671">
        <f>VLOOKUP(H44,Base_Mensuelle!$OF$68:$RP$679,74,0)</f>
        <v>0</v>
      </c>
      <c r="I65" s="671">
        <f>VLOOKUP(I44,Base_Mensuelle!$OF$68:$RP$679,74,0)</f>
        <v>0</v>
      </c>
      <c r="J65" s="671">
        <f>VLOOKUP(J44,Base_Mensuelle!$OF$68:$RP$679,74,0)</f>
        <v>0</v>
      </c>
      <c r="K65" s="671">
        <f>VLOOKUP(K44,Base_Mensuelle!$OF$68:$RP$679,74,0)</f>
        <v>0</v>
      </c>
      <c r="L65" s="671">
        <f>VLOOKUP(L44,Base_Mensuelle!$OF$68:$RP$679,74,0)</f>
        <v>0</v>
      </c>
      <c r="M65" s="671">
        <f>VLOOKUP(M44,Base_Mensuelle!$OF$68:$RP$679,74,0)</f>
        <v>0</v>
      </c>
    </row>
    <row r="66" spans="1:13">
      <c r="A66" s="1160" t="s">
        <v>472</v>
      </c>
      <c r="B66" s="674"/>
      <c r="C66" s="674"/>
      <c r="D66" s="674"/>
      <c r="E66" s="674"/>
      <c r="F66" s="674"/>
      <c r="G66" s="674"/>
      <c r="H66" s="674"/>
      <c r="I66" s="674"/>
      <c r="J66" s="674"/>
      <c r="K66" s="674"/>
      <c r="L66" s="674"/>
      <c r="M66" s="674"/>
    </row>
    <row r="67" spans="1:13" ht="34.200000000000003">
      <c r="A67" s="1158" t="s">
        <v>498</v>
      </c>
      <c r="B67" s="671">
        <f>VLOOKUP(B44,Base_Mensuelle!$OF$68:$RP$679,76,0)</f>
        <v>0</v>
      </c>
      <c r="C67" s="671">
        <f>VLOOKUP(C44,Base_Mensuelle!$OF$68:$RP$679,76,0)</f>
        <v>0</v>
      </c>
      <c r="D67" s="671">
        <f>VLOOKUP(D44,Base_Mensuelle!$OF$68:$RP$679,76,0)</f>
        <v>0</v>
      </c>
      <c r="E67" s="671">
        <f>VLOOKUP(E44,Base_Mensuelle!$OF$68:$RP$679,76,0)</f>
        <v>0</v>
      </c>
      <c r="F67" s="671">
        <f>VLOOKUP(F44,Base_Mensuelle!$OF$68:$RP$679,76,0)</f>
        <v>0</v>
      </c>
      <c r="G67" s="671">
        <f>VLOOKUP(G44,Base_Mensuelle!$OF$68:$RP$679,76,0)</f>
        <v>0</v>
      </c>
      <c r="H67" s="671">
        <f>VLOOKUP(H44,Base_Mensuelle!$OF$68:$RP$679,76,0)</f>
        <v>0</v>
      </c>
      <c r="I67" s="671">
        <f>VLOOKUP(I44,Base_Mensuelle!$OF$68:$RP$679,76,0)</f>
        <v>0</v>
      </c>
      <c r="J67" s="671">
        <f>VLOOKUP(J44,Base_Mensuelle!$OF$68:$RP$679,76,0)</f>
        <v>0</v>
      </c>
      <c r="K67" s="671">
        <f>VLOOKUP(K44,Base_Mensuelle!$OF$68:$RP$679,76,0)</f>
        <v>0</v>
      </c>
      <c r="L67" s="671">
        <f>VLOOKUP(L44,Base_Mensuelle!$OF$68:$RP$679,76,0)</f>
        <v>0</v>
      </c>
      <c r="M67" s="671">
        <f>VLOOKUP(M44,Base_Mensuelle!$OF$68:$RP$679,76,0)</f>
        <v>0</v>
      </c>
    </row>
    <row r="68" spans="1:13">
      <c r="A68" s="1160" t="s">
        <v>472</v>
      </c>
      <c r="B68" s="674"/>
      <c r="C68" s="674"/>
      <c r="D68" s="674"/>
      <c r="E68" s="674"/>
      <c r="F68" s="674"/>
      <c r="G68" s="674"/>
      <c r="H68" s="674"/>
      <c r="I68" s="674"/>
      <c r="J68" s="674"/>
      <c r="K68" s="674"/>
      <c r="L68" s="674"/>
      <c r="M68" s="674"/>
    </row>
    <row r="69" spans="1:13" ht="22.8">
      <c r="A69" s="1158" t="s">
        <v>499</v>
      </c>
      <c r="B69" s="671">
        <f>VLOOKUP(B44,Base_Mensuelle!$OF$68:$RP$679,78,0)</f>
        <v>0</v>
      </c>
      <c r="C69" s="671">
        <f>VLOOKUP(C44,Base_Mensuelle!$OF$68:$RP$679,78,0)</f>
        <v>0</v>
      </c>
      <c r="D69" s="671">
        <f>VLOOKUP(D44,Base_Mensuelle!$OF$68:$RP$679,78,0)</f>
        <v>0</v>
      </c>
      <c r="E69" s="671">
        <f>VLOOKUP(E44,Base_Mensuelle!$OF$68:$RP$679,78,0)</f>
        <v>0</v>
      </c>
      <c r="F69" s="671">
        <f>VLOOKUP(F44,Base_Mensuelle!$OF$68:$RP$679,78,0)</f>
        <v>0</v>
      </c>
      <c r="G69" s="671">
        <f>VLOOKUP(G44,Base_Mensuelle!$OF$68:$RP$679,78,0)</f>
        <v>0</v>
      </c>
      <c r="H69" s="671">
        <f>VLOOKUP(H44,Base_Mensuelle!$OF$68:$RP$679,78,0)</f>
        <v>0</v>
      </c>
      <c r="I69" s="671">
        <f>VLOOKUP(I44,Base_Mensuelle!$OF$68:$RP$679,78,0)</f>
        <v>0</v>
      </c>
      <c r="J69" s="671">
        <f>VLOOKUP(J44,Base_Mensuelle!$OF$68:$RP$679,78,0)</f>
        <v>0</v>
      </c>
      <c r="K69" s="671">
        <f>VLOOKUP(K44,Base_Mensuelle!$OF$68:$RP$679,78,0)</f>
        <v>0</v>
      </c>
      <c r="L69" s="671">
        <f>VLOOKUP(L44,Base_Mensuelle!$OF$68:$RP$679,78,0)</f>
        <v>0</v>
      </c>
      <c r="M69" s="671">
        <f>VLOOKUP(M44,Base_Mensuelle!$OF$68:$RP$679,78,0)</f>
        <v>0</v>
      </c>
    </row>
    <row r="70" spans="1:13">
      <c r="A70" s="1160" t="s">
        <v>472</v>
      </c>
      <c r="B70" s="674"/>
      <c r="C70" s="674"/>
      <c r="D70" s="674"/>
      <c r="E70" s="674"/>
      <c r="F70" s="674"/>
      <c r="G70" s="674"/>
      <c r="H70" s="674"/>
      <c r="I70" s="674"/>
      <c r="J70" s="674"/>
      <c r="K70" s="674"/>
      <c r="L70" s="674"/>
      <c r="M70" s="674"/>
    </row>
    <row r="71" spans="1:13" ht="22.8">
      <c r="A71" s="1158" t="s">
        <v>485</v>
      </c>
      <c r="B71" s="671">
        <f>VLOOKUP(B44,Base_Mensuelle!$OF$68:$RP$679,80,0)</f>
        <v>463.16499999999996</v>
      </c>
      <c r="C71" s="671">
        <f>VLOOKUP(C44,Base_Mensuelle!$OF$68:$RP$679,80,0)</f>
        <v>470.291</v>
      </c>
      <c r="D71" s="671">
        <f>VLOOKUP(D44,Base_Mensuelle!$OF$68:$RP$679,80,0)</f>
        <v>469.911</v>
      </c>
      <c r="E71" s="671">
        <f>VLOOKUP(E44,Base_Mensuelle!$OF$68:$RP$679,80,0)</f>
        <v>447.363</v>
      </c>
      <c r="F71" s="671">
        <f>VLOOKUP(F44,Base_Mensuelle!$OF$68:$RP$679,80,0)</f>
        <v>451.23300000000006</v>
      </c>
      <c r="G71" s="671">
        <f>VLOOKUP(G44,Base_Mensuelle!$OF$68:$RP$679,80,0)</f>
        <v>480.24299999999999</v>
      </c>
      <c r="H71" s="671">
        <f>VLOOKUP(H44,Base_Mensuelle!$OF$68:$RP$679,80,0)</f>
        <v>487.31600000000009</v>
      </c>
      <c r="I71" s="671">
        <f>VLOOKUP(I44,Base_Mensuelle!$OF$68:$RP$679,80,0)</f>
        <v>492.32000000000011</v>
      </c>
      <c r="J71" s="671">
        <f>VLOOKUP(J44,Base_Mensuelle!$OF$68:$RP$679,80,0)</f>
        <v>521.54300000000001</v>
      </c>
      <c r="K71" s="671">
        <f>VLOOKUP(K44,Base_Mensuelle!$OF$68:$RP$679,80,0)</f>
        <v>529.28499999999997</v>
      </c>
      <c r="L71" s="671">
        <f>VLOOKUP(L44,Base_Mensuelle!$OF$68:$RP$679,80,0)</f>
        <v>534.08199999999999</v>
      </c>
      <c r="M71" s="671">
        <f>VLOOKUP(M44,Base_Mensuelle!$OF$68:$RP$679,80,0)</f>
        <v>534.29499999999996</v>
      </c>
    </row>
    <row r="72" spans="1:13">
      <c r="A72" s="1160" t="s">
        <v>472</v>
      </c>
      <c r="B72" s="674"/>
      <c r="C72" s="674"/>
      <c r="D72" s="674"/>
      <c r="E72" s="674"/>
      <c r="F72" s="674"/>
      <c r="G72" s="674"/>
      <c r="H72" s="674"/>
      <c r="I72" s="674"/>
      <c r="J72" s="674"/>
      <c r="K72" s="674"/>
      <c r="L72" s="674"/>
      <c r="M72" s="674"/>
    </row>
    <row r="73" spans="1:13">
      <c r="A73" s="1158" t="s">
        <v>500</v>
      </c>
      <c r="B73" s="671">
        <f>VLOOKUP(B44,Base_Mensuelle!$OF$68:$RP$679,82,0)</f>
        <v>0</v>
      </c>
      <c r="C73" s="671">
        <f>VLOOKUP(C44,Base_Mensuelle!$OF$68:$RP$679,82,0)</f>
        <v>0</v>
      </c>
      <c r="D73" s="671">
        <f>VLOOKUP(D44,Base_Mensuelle!$OF$68:$RP$679,82,0)</f>
        <v>0</v>
      </c>
      <c r="E73" s="671">
        <f>VLOOKUP(E44,Base_Mensuelle!$OF$68:$RP$679,82,0)</f>
        <v>0</v>
      </c>
      <c r="F73" s="671">
        <f>VLOOKUP(F44,Base_Mensuelle!$OF$68:$RP$679,82,0)</f>
        <v>0</v>
      </c>
      <c r="G73" s="671">
        <f>VLOOKUP(G44,Base_Mensuelle!$OF$68:$RP$679,82,0)</f>
        <v>0</v>
      </c>
      <c r="H73" s="671">
        <f>VLOOKUP(H44,Base_Mensuelle!$OF$68:$RP$679,82,0)</f>
        <v>0</v>
      </c>
      <c r="I73" s="671">
        <f>VLOOKUP(I44,Base_Mensuelle!$OF$68:$RP$679,82,0)</f>
        <v>0</v>
      </c>
      <c r="J73" s="671">
        <f>VLOOKUP(J44,Base_Mensuelle!$OF$68:$RP$679,82,0)</f>
        <v>0</v>
      </c>
      <c r="K73" s="671">
        <f>VLOOKUP(K44,Base_Mensuelle!$OF$68:$RP$679,82,0)</f>
        <v>0</v>
      </c>
      <c r="L73" s="671">
        <f>VLOOKUP(L44,Base_Mensuelle!$OF$68:$RP$679,82,0)</f>
        <v>0</v>
      </c>
      <c r="M73" s="671">
        <f>VLOOKUP(M44,Base_Mensuelle!$OF$68:$RP$679,82,0)</f>
        <v>0</v>
      </c>
    </row>
    <row r="74" spans="1:13">
      <c r="A74" s="1160" t="s">
        <v>472</v>
      </c>
      <c r="B74" s="674"/>
      <c r="C74" s="674"/>
      <c r="D74" s="674"/>
      <c r="E74" s="674"/>
      <c r="F74" s="674"/>
      <c r="G74" s="674"/>
      <c r="H74" s="674"/>
      <c r="I74" s="674"/>
      <c r="J74" s="674"/>
      <c r="K74" s="674"/>
      <c r="L74" s="674"/>
      <c r="M74" s="674"/>
    </row>
    <row r="75" spans="1:13" ht="22.8">
      <c r="A75" s="1158" t="s">
        <v>486</v>
      </c>
      <c r="B75" s="671">
        <f>VLOOKUP(B44,Base_Mensuelle!$OF$68:$RP$679,84,0)</f>
        <v>0</v>
      </c>
      <c r="C75" s="671">
        <f>VLOOKUP(C44,Base_Mensuelle!$OF$68:$RP$679,84,0)</f>
        <v>0</v>
      </c>
      <c r="D75" s="671">
        <f>VLOOKUP(D44,Base_Mensuelle!$OF$68:$RP$679,84,0)</f>
        <v>0</v>
      </c>
      <c r="E75" s="671">
        <f>VLOOKUP(E44,Base_Mensuelle!$OF$68:$RP$679,84,0)</f>
        <v>0</v>
      </c>
      <c r="F75" s="671">
        <f>VLOOKUP(F44,Base_Mensuelle!$OF$68:$RP$679,84,0)</f>
        <v>0</v>
      </c>
      <c r="G75" s="671">
        <f>VLOOKUP(G44,Base_Mensuelle!$OF$68:$RP$679,84,0)</f>
        <v>0</v>
      </c>
      <c r="H75" s="671">
        <f>VLOOKUP(H44,Base_Mensuelle!$OF$68:$RP$679,84,0)</f>
        <v>0</v>
      </c>
      <c r="I75" s="671">
        <f>VLOOKUP(I44,Base_Mensuelle!$OF$68:$RP$679,84,0)</f>
        <v>0</v>
      </c>
      <c r="J75" s="671">
        <f>VLOOKUP(J44,Base_Mensuelle!$OF$68:$RP$679,84,0)</f>
        <v>0</v>
      </c>
      <c r="K75" s="671">
        <f>VLOOKUP(K44,Base_Mensuelle!$OF$68:$RP$679,84,0)</f>
        <v>0</v>
      </c>
      <c r="L75" s="671">
        <f>VLOOKUP(L44,Base_Mensuelle!$OF$68:$RP$679,84,0)</f>
        <v>0</v>
      </c>
      <c r="M75" s="671">
        <f>VLOOKUP(M44,Base_Mensuelle!$OF$68:$RP$679,84,0)</f>
        <v>0</v>
      </c>
    </row>
    <row r="76" spans="1:13">
      <c r="A76" s="1160" t="s">
        <v>472</v>
      </c>
      <c r="B76" s="674"/>
      <c r="C76" s="674"/>
      <c r="D76" s="674"/>
      <c r="E76" s="674"/>
      <c r="F76" s="674"/>
      <c r="G76" s="674"/>
      <c r="H76" s="674"/>
      <c r="I76" s="674"/>
      <c r="J76" s="674"/>
      <c r="K76" s="674"/>
      <c r="L76" s="674"/>
      <c r="M76" s="674"/>
    </row>
    <row r="77" spans="1:13" ht="12.6" thickBot="1">
      <c r="A77" s="1163" t="s">
        <v>487</v>
      </c>
      <c r="B77" s="678">
        <f>VLOOKUP(B44,Base_Mensuelle!$OF$68:$RP$679,86,0)</f>
        <v>0</v>
      </c>
      <c r="C77" s="678">
        <f>VLOOKUP(C44,Base_Mensuelle!$OF$68:$RP$679,86,0)</f>
        <v>0</v>
      </c>
      <c r="D77" s="678">
        <f>VLOOKUP(D44,Base_Mensuelle!$OF$68:$RP$679,86,0)</f>
        <v>0</v>
      </c>
      <c r="E77" s="678">
        <f>VLOOKUP(E44,Base_Mensuelle!$OF$68:$RP$679,86,0)</f>
        <v>0</v>
      </c>
      <c r="F77" s="678">
        <f>VLOOKUP(F44,Base_Mensuelle!$OF$68:$RP$679,86,0)</f>
        <v>0</v>
      </c>
      <c r="G77" s="678">
        <f>VLOOKUP(G44,Base_Mensuelle!$OF$68:$RP$679,86,0)</f>
        <v>0</v>
      </c>
      <c r="H77" s="678">
        <f>VLOOKUP(H44,Base_Mensuelle!$OF$68:$RP$679,86,0)</f>
        <v>0</v>
      </c>
      <c r="I77" s="678">
        <f>VLOOKUP(I44,Base_Mensuelle!$OF$68:$RP$679,86,0)</f>
        <v>0</v>
      </c>
      <c r="J77" s="678">
        <f>VLOOKUP(J44,Base_Mensuelle!$OF$68:$RP$679,86,0)</f>
        <v>0</v>
      </c>
      <c r="K77" s="678">
        <f>VLOOKUP(K44,Base_Mensuelle!$OF$68:$RP$679,86,0)</f>
        <v>0</v>
      </c>
      <c r="L77" s="678">
        <f>VLOOKUP(L44,Base_Mensuelle!$OF$68:$RP$679,86,0)</f>
        <v>0</v>
      </c>
      <c r="M77" s="678">
        <f>VLOOKUP(M44,Base_Mensuelle!$OF$68:$RP$679,86,0)</f>
        <v>0</v>
      </c>
    </row>
    <row r="78" spans="1:13">
      <c r="A78" s="1138" t="s">
        <v>463</v>
      </c>
    </row>
    <row r="79" spans="1:13">
      <c r="A79" s="1138"/>
    </row>
    <row r="80" spans="1:13">
      <c r="A80" s="1138"/>
    </row>
    <row r="81" spans="1:13">
      <c r="A81" s="1136" t="s">
        <v>804</v>
      </c>
    </row>
    <row r="82" spans="1:13">
      <c r="A82" s="1136"/>
    </row>
    <row r="83" spans="1:13">
      <c r="A83" s="1137"/>
      <c r="B83" s="1523">
        <f>DATE(YEAR(INDEX(Base_Mensuelle!$OF$68:$RQ$679,MAX(Base_Mensuelle!$RN$68:$RN$679),1))-3,1,1)</f>
        <v>43831</v>
      </c>
      <c r="C83" s="1523">
        <f>DATE(YEAR(INDEX(Base_Mensuelle!$OF$68:$RQ$679,MAX(Base_Mensuelle!$RN$68:$RN$679),1))-3,2,1)</f>
        <v>43862</v>
      </c>
      <c r="D83" s="1523">
        <f>DATE(YEAR(INDEX(Base_Mensuelle!$OF$68:$RQ$679,MAX(Base_Mensuelle!$RN$68:$RN$679),1))-3,3,1)</f>
        <v>43891</v>
      </c>
      <c r="E83" s="1523">
        <f>DATE(YEAR(INDEX(Base_Mensuelle!$OF$68:$RQ$679,MAX(Base_Mensuelle!$RN$68:$RN$679),1))-3,4,1)</f>
        <v>43922</v>
      </c>
      <c r="F83" s="1523">
        <f>DATE(YEAR(INDEX(Base_Mensuelle!$OF$68:$RQ$679,MAX(Base_Mensuelle!$RN$68:$RN$679),1))-3,5,1)</f>
        <v>43952</v>
      </c>
      <c r="G83" s="1523">
        <f>DATE(YEAR(INDEX(Base_Mensuelle!$OF$68:$RQ$679,MAX(Base_Mensuelle!$RN$68:$RN$679),1))-3,6,1)</f>
        <v>43983</v>
      </c>
      <c r="H83" s="1523">
        <f>DATE(YEAR(INDEX(Base_Mensuelle!$OF$68:$RQ$679,MAX(Base_Mensuelle!$RN$68:$RN$679),1))-3,7,1)</f>
        <v>44013</v>
      </c>
      <c r="I83" s="1523">
        <f>DATE(YEAR(INDEX(Base_Mensuelle!$OF$68:$RQ$679,MAX(Base_Mensuelle!$RN$68:$RN$679),1))-3,8,1)</f>
        <v>44044</v>
      </c>
      <c r="J83" s="1523">
        <f>DATE(YEAR(INDEX(Base_Mensuelle!$OF$68:$RQ$679,MAX(Base_Mensuelle!$RN$68:$RN$679),1))-3,9,1)</f>
        <v>44075</v>
      </c>
      <c r="K83" s="1523">
        <f>DATE(YEAR(INDEX(Base_Mensuelle!$OF$68:$RQ$679,MAX(Base_Mensuelle!$RN$68:$RN$679),1))-3,10,1)</f>
        <v>44105</v>
      </c>
      <c r="L83" s="1523">
        <f>DATE(YEAR(INDEX(Base_Mensuelle!$OF$68:$RQ$679,MAX(Base_Mensuelle!$RN$68:$RN$679),1))-3,11,1)</f>
        <v>44136</v>
      </c>
      <c r="M83" s="1523">
        <f>DATE(YEAR(INDEX(Base_Mensuelle!$OF$68:$RQ$679,MAX(Base_Mensuelle!$RN$68:$RN$679),1))-3,12,1)</f>
        <v>44166</v>
      </c>
    </row>
    <row r="84" spans="1:13">
      <c r="A84" s="659" t="s">
        <v>490</v>
      </c>
      <c r="B84" s="660"/>
      <c r="C84" s="660"/>
      <c r="D84" s="660"/>
      <c r="E84" s="660"/>
      <c r="F84" s="660"/>
      <c r="G84" s="660"/>
      <c r="H84" s="660"/>
      <c r="I84" s="660"/>
      <c r="J84" s="660"/>
      <c r="K84" s="660"/>
      <c r="L84" s="660"/>
      <c r="M84" s="660"/>
    </row>
    <row r="85" spans="1:13">
      <c r="A85" s="1155" t="s">
        <v>454</v>
      </c>
      <c r="B85" s="634">
        <f>VLOOKUP(B83,Base_Mensuelle!$OF$68:$RP$679,55,0)</f>
        <v>1227.9070000000002</v>
      </c>
      <c r="C85" s="634">
        <f>VLOOKUP(C83,Base_Mensuelle!$OF$68:$RP$679,55,0)</f>
        <v>1225.2179999999998</v>
      </c>
      <c r="D85" s="634">
        <f>VLOOKUP(D83,Base_Mensuelle!$OF$68:$RP$679,55,0)</f>
        <v>1246.4979999999996</v>
      </c>
      <c r="E85" s="634">
        <f>VLOOKUP(E83,Base_Mensuelle!$OF$68:$RP$679,55,0)</f>
        <v>1372.114</v>
      </c>
      <c r="F85" s="634">
        <f>VLOOKUP(F83,Base_Mensuelle!$OF$68:$RP$679,55,0)</f>
        <v>1593.154</v>
      </c>
      <c r="G85" s="634">
        <f>VLOOKUP(G83,Base_Mensuelle!$OF$68:$RP$679,55,0)</f>
        <v>1660.98</v>
      </c>
      <c r="H85" s="634">
        <f>VLOOKUP(H83,Base_Mensuelle!$OF$68:$RP$679,55,0)</f>
        <v>1485.0649999999998</v>
      </c>
      <c r="I85" s="634">
        <f>VLOOKUP(I83,Base_Mensuelle!$OF$68:$RP$679,55,0)</f>
        <v>1643.7439999999999</v>
      </c>
      <c r="J85" s="634">
        <f>VLOOKUP(J83,Base_Mensuelle!$OF$68:$RP$679,55,0)</f>
        <v>1678.175</v>
      </c>
      <c r="K85" s="634">
        <f>VLOOKUP(K83,Base_Mensuelle!$OF$68:$RP$679,55,0)</f>
        <v>1705.6200000000001</v>
      </c>
      <c r="L85" s="634">
        <f>VLOOKUP(L83,Base_Mensuelle!$OF$68:$RP$679,55,0)</f>
        <v>1825.9870000000001</v>
      </c>
      <c r="M85" s="634">
        <f>VLOOKUP(M83,Base_Mensuelle!$OF$68:$RP$679,55,0)</f>
        <v>1778.202</v>
      </c>
    </row>
    <row r="86" spans="1:13">
      <c r="A86" s="1156" t="s">
        <v>470</v>
      </c>
      <c r="B86" s="664">
        <f>VLOOKUP(B83,Base_Mensuelle!$OF$68:$RP$679,56,0)</f>
        <v>1549.1860000000001</v>
      </c>
      <c r="C86" s="664">
        <f>VLOOKUP(C83,Base_Mensuelle!$OF$68:$RP$679,56,0)</f>
        <v>1552.329</v>
      </c>
      <c r="D86" s="664">
        <f>VLOOKUP(D83,Base_Mensuelle!$OF$68:$RP$679,56,0)</f>
        <v>1604.3409999999997</v>
      </c>
      <c r="E86" s="664">
        <f>VLOOKUP(E83,Base_Mensuelle!$OF$68:$RP$679,56,0)</f>
        <v>1768.1659999999999</v>
      </c>
      <c r="F86" s="664">
        <f>VLOOKUP(F83,Base_Mensuelle!$OF$68:$RP$679,56,0)</f>
        <v>1950.5119999999999</v>
      </c>
      <c r="G86" s="664">
        <f>VLOOKUP(G83,Base_Mensuelle!$OF$68:$RP$679,56,0)</f>
        <v>1975.704</v>
      </c>
      <c r="H86" s="664">
        <f>VLOOKUP(H83,Base_Mensuelle!$OF$68:$RP$679,56,0)</f>
        <v>1901.3819999999998</v>
      </c>
      <c r="I86" s="664">
        <f>VLOOKUP(I83,Base_Mensuelle!$OF$68:$RP$679,56,0)</f>
        <v>2013.1079999999999</v>
      </c>
      <c r="J86" s="664">
        <f>VLOOKUP(J83,Base_Mensuelle!$OF$68:$RP$679,56,0)</f>
        <v>2023.74</v>
      </c>
      <c r="K86" s="664">
        <f>VLOOKUP(K83,Base_Mensuelle!$OF$68:$RP$679,56,0)</f>
        <v>2077.4560000000001</v>
      </c>
      <c r="L86" s="664">
        <f>VLOOKUP(L83,Base_Mensuelle!$OF$68:$RP$679,56,0)</f>
        <v>2150.69</v>
      </c>
      <c r="M86" s="664">
        <f>VLOOKUP(M83,Base_Mensuelle!$OF$68:$RP$679,56,0)</f>
        <v>2089.88</v>
      </c>
    </row>
    <row r="87" spans="1:13" ht="22.8">
      <c r="A87" s="1157" t="s">
        <v>471</v>
      </c>
      <c r="B87" s="668">
        <f>VLOOKUP(B83,Base_Mensuelle!$OF$68:$RP$679,57,0)</f>
        <v>-321.27900000000005</v>
      </c>
      <c r="C87" s="668">
        <f>VLOOKUP(C83,Base_Mensuelle!$OF$68:$RP$679,57,0)</f>
        <v>-327.11099999999999</v>
      </c>
      <c r="D87" s="668">
        <f>VLOOKUP(D83,Base_Mensuelle!$OF$68:$RP$679,57,0)</f>
        <v>-357.84300000000007</v>
      </c>
      <c r="E87" s="668">
        <f>VLOOKUP(E83,Base_Mensuelle!$OF$68:$RP$679,57,0)</f>
        <v>-396.05199999999996</v>
      </c>
      <c r="F87" s="668">
        <f>VLOOKUP(F83,Base_Mensuelle!$OF$68:$RP$679,57,0)</f>
        <v>-357.35800000000006</v>
      </c>
      <c r="G87" s="668">
        <f>VLOOKUP(G83,Base_Mensuelle!$OF$68:$RP$679,57,0)</f>
        <v>-314.72399999999999</v>
      </c>
      <c r="H87" s="668">
        <f>VLOOKUP(H83,Base_Mensuelle!$OF$68:$RP$679,57,0)</f>
        <v>-416.31700000000001</v>
      </c>
      <c r="I87" s="668">
        <f>VLOOKUP(I83,Base_Mensuelle!$OF$68:$RP$679,57,0)</f>
        <v>-369.36399999999998</v>
      </c>
      <c r="J87" s="668">
        <f>VLOOKUP(J83,Base_Mensuelle!$OF$68:$RP$679,57,0)</f>
        <v>-345.565</v>
      </c>
      <c r="K87" s="668">
        <f>VLOOKUP(K83,Base_Mensuelle!$OF$68:$RP$679,57,0)</f>
        <v>-371.83599999999996</v>
      </c>
      <c r="L87" s="668">
        <f>VLOOKUP(L83,Base_Mensuelle!$OF$68:$RP$679,57,0)</f>
        <v>-324.70300000000003</v>
      </c>
      <c r="M87" s="668">
        <f>VLOOKUP(M83,Base_Mensuelle!$OF$68:$RP$679,57,0)</f>
        <v>-311.67800000000005</v>
      </c>
    </row>
    <row r="88" spans="1:13">
      <c r="A88" s="1156" t="s">
        <v>472</v>
      </c>
      <c r="B88" s="664"/>
      <c r="C88" s="664"/>
      <c r="D88" s="664"/>
      <c r="E88" s="664"/>
      <c r="F88" s="664"/>
      <c r="G88" s="664"/>
      <c r="H88" s="664"/>
      <c r="I88" s="664"/>
      <c r="J88" s="664"/>
      <c r="K88" s="664"/>
      <c r="L88" s="664"/>
      <c r="M88" s="664"/>
    </row>
    <row r="89" spans="1:13" ht="22.8">
      <c r="A89" s="1158" t="s">
        <v>491</v>
      </c>
      <c r="B89" s="671">
        <f>VLOOKUP(B83,Base_Mensuelle!$OF$68:$RP$679,59,0)</f>
        <v>75.933000000000007</v>
      </c>
      <c r="C89" s="671">
        <f>VLOOKUP(C83,Base_Mensuelle!$OF$68:$RP$679,59,0)</f>
        <v>77.281000000000006</v>
      </c>
      <c r="D89" s="671">
        <f>VLOOKUP(D83,Base_Mensuelle!$OF$68:$RP$679,59,0)</f>
        <v>84.18</v>
      </c>
      <c r="E89" s="671">
        <f>VLOOKUP(E83,Base_Mensuelle!$OF$68:$RP$679,59,0)</f>
        <v>82.554000000000002</v>
      </c>
      <c r="F89" s="671">
        <f>VLOOKUP(F83,Base_Mensuelle!$OF$68:$RP$679,59,0)</f>
        <v>79.796000000000006</v>
      </c>
      <c r="G89" s="671">
        <f>VLOOKUP(G83,Base_Mensuelle!$OF$68:$RP$679,59,0)</f>
        <v>82.445999999999998</v>
      </c>
      <c r="H89" s="671">
        <f>VLOOKUP(H83,Base_Mensuelle!$OF$68:$RP$679,59,0)</f>
        <v>76.040999999999997</v>
      </c>
      <c r="I89" s="671">
        <f>VLOOKUP(I83,Base_Mensuelle!$OF$68:$RP$679,59,0)</f>
        <v>82.242000000000004</v>
      </c>
      <c r="J89" s="671">
        <f>VLOOKUP(J83,Base_Mensuelle!$OF$68:$RP$679,59,0)</f>
        <v>82.576999999999998</v>
      </c>
      <c r="K89" s="671">
        <f>VLOOKUP(K83,Base_Mensuelle!$OF$68:$RP$679,59,0)</f>
        <v>75.566999999999993</v>
      </c>
      <c r="L89" s="671">
        <f>VLOOKUP(L83,Base_Mensuelle!$OF$68:$RP$679,59,0)</f>
        <v>82.525000000000006</v>
      </c>
      <c r="M89" s="671">
        <f>VLOOKUP(M83,Base_Mensuelle!$OF$68:$RP$679,59,0)</f>
        <v>103.374</v>
      </c>
    </row>
    <row r="90" spans="1:13">
      <c r="A90" s="1156" t="s">
        <v>492</v>
      </c>
      <c r="B90" s="664">
        <f>VLOOKUP(B83,Base_Mensuelle!$OF$68:$RP$679,60,0)</f>
        <v>200.11599999999999</v>
      </c>
      <c r="C90" s="664">
        <f>VLOOKUP(C83,Base_Mensuelle!$OF$68:$RP$679,60,0)</f>
        <v>198.56299999999999</v>
      </c>
      <c r="D90" s="664">
        <f>VLOOKUP(D83,Base_Mensuelle!$OF$68:$RP$679,60,0)</f>
        <v>214.97299999999998</v>
      </c>
      <c r="E90" s="664">
        <f>VLOOKUP(E83,Base_Mensuelle!$OF$68:$RP$679,60,0)</f>
        <v>273.32400000000001</v>
      </c>
      <c r="F90" s="664">
        <f>VLOOKUP(F83,Base_Mensuelle!$OF$68:$RP$679,60,0)</f>
        <v>301.625</v>
      </c>
      <c r="G90" s="664">
        <f>VLOOKUP(G83,Base_Mensuelle!$OF$68:$RP$679,60,0)</f>
        <v>241.35100000000003</v>
      </c>
      <c r="H90" s="664">
        <f>VLOOKUP(H83,Base_Mensuelle!$OF$68:$RP$679,60,0)</f>
        <v>214.91899999999998</v>
      </c>
      <c r="I90" s="664">
        <f>VLOOKUP(I83,Base_Mensuelle!$OF$68:$RP$679,60,0)</f>
        <v>242.32499999999999</v>
      </c>
      <c r="J90" s="664">
        <f>VLOOKUP(J83,Base_Mensuelle!$OF$68:$RP$679,60,0)</f>
        <v>319.375</v>
      </c>
      <c r="K90" s="664">
        <f>VLOOKUP(K83,Base_Mensuelle!$OF$68:$RP$679,60,0)</f>
        <v>341.786</v>
      </c>
      <c r="L90" s="664">
        <f>VLOOKUP(L83,Base_Mensuelle!$OF$68:$RP$679,60,0)</f>
        <v>329.38299999999998</v>
      </c>
      <c r="M90" s="664">
        <f>VLOOKUP(M83,Base_Mensuelle!$OF$68:$RP$679,60,0)</f>
        <v>348.45800000000003</v>
      </c>
    </row>
    <row r="91" spans="1:13">
      <c r="A91" s="1157" t="s">
        <v>493</v>
      </c>
      <c r="B91" s="668">
        <f>VLOOKUP(B83,Base_Mensuelle!$OF$68:$RP$679,61,0)</f>
        <v>0</v>
      </c>
      <c r="C91" s="668">
        <f>VLOOKUP(C83,Base_Mensuelle!$OF$68:$RP$679,61,0)</f>
        <v>0</v>
      </c>
      <c r="D91" s="668">
        <f>VLOOKUP(D83,Base_Mensuelle!$OF$68:$RP$679,61,0)</f>
        <v>0</v>
      </c>
      <c r="E91" s="668">
        <f>VLOOKUP(E83,Base_Mensuelle!$OF$68:$RP$679,61,0)</f>
        <v>0</v>
      </c>
      <c r="F91" s="668">
        <f>VLOOKUP(F83,Base_Mensuelle!$OF$68:$RP$679,61,0)</f>
        <v>0</v>
      </c>
      <c r="G91" s="668">
        <f>VLOOKUP(G83,Base_Mensuelle!$OF$68:$RP$679,61,0)</f>
        <v>0</v>
      </c>
      <c r="H91" s="668">
        <f>VLOOKUP(H83,Base_Mensuelle!$OF$68:$RP$679,61,0)</f>
        <v>1.0999999999999999E-2</v>
      </c>
      <c r="I91" s="668">
        <f>VLOOKUP(I83,Base_Mensuelle!$OF$68:$RP$679,61,0)</f>
        <v>0</v>
      </c>
      <c r="J91" s="668">
        <f>VLOOKUP(J83,Base_Mensuelle!$OF$68:$RP$679,61,0)</f>
        <v>0</v>
      </c>
      <c r="K91" s="668">
        <f>VLOOKUP(K83,Base_Mensuelle!$OF$68:$RP$679,61,0)</f>
        <v>2E-3</v>
      </c>
      <c r="L91" s="668">
        <f>VLOOKUP(L83,Base_Mensuelle!$OF$68:$RP$679,61,0)</f>
        <v>6.0000000000000001E-3</v>
      </c>
      <c r="M91" s="668">
        <f>VLOOKUP(M83,Base_Mensuelle!$OF$68:$RP$679,61,0)</f>
        <v>0</v>
      </c>
    </row>
    <row r="92" spans="1:13">
      <c r="A92" s="1159" t="s">
        <v>472</v>
      </c>
      <c r="B92" s="674"/>
      <c r="C92" s="674"/>
      <c r="D92" s="674"/>
      <c r="E92" s="674"/>
      <c r="F92" s="674"/>
      <c r="G92" s="674"/>
      <c r="H92" s="674"/>
      <c r="I92" s="674"/>
      <c r="J92" s="674"/>
      <c r="K92" s="674"/>
      <c r="L92" s="674"/>
      <c r="M92" s="674"/>
    </row>
    <row r="93" spans="1:13" ht="22.8">
      <c r="A93" s="1160" t="s">
        <v>474</v>
      </c>
      <c r="B93" s="674">
        <f>VLOOKUP(B83,Base_Mensuelle!$OF$68:$RP$679,63,0)</f>
        <v>688.60599999999999</v>
      </c>
      <c r="C93" s="674">
        <f>VLOOKUP(C83,Base_Mensuelle!$OF$68:$RP$679,63,0)</f>
        <v>695.73700000000008</v>
      </c>
      <c r="D93" s="674">
        <f>VLOOKUP(D83,Base_Mensuelle!$OF$68:$RP$679,63,0)</f>
        <v>730.30200000000002</v>
      </c>
      <c r="E93" s="674">
        <f>VLOOKUP(E83,Base_Mensuelle!$OF$68:$RP$679,63,0)</f>
        <v>682.76400000000001</v>
      </c>
      <c r="F93" s="674">
        <f>VLOOKUP(F83,Base_Mensuelle!$OF$68:$RP$679,63,0)</f>
        <v>739.46299999999997</v>
      </c>
      <c r="G93" s="674">
        <f>VLOOKUP(G83,Base_Mensuelle!$OF$68:$RP$679,63,0)</f>
        <v>765.89100000000008</v>
      </c>
      <c r="H93" s="674">
        <f>VLOOKUP(H83,Base_Mensuelle!$OF$68:$RP$679,63,0)</f>
        <v>848.38599999999997</v>
      </c>
      <c r="I93" s="674">
        <f>VLOOKUP(I83,Base_Mensuelle!$OF$68:$RP$679,63,0)</f>
        <v>819.06000000000006</v>
      </c>
      <c r="J93" s="674">
        <f>VLOOKUP(J83,Base_Mensuelle!$OF$68:$RP$679,63,0)</f>
        <v>800.88199999999995</v>
      </c>
      <c r="K93" s="674">
        <f>VLOOKUP(K83,Base_Mensuelle!$OF$68:$RP$679,63,0)</f>
        <v>806.56500000000005</v>
      </c>
      <c r="L93" s="674">
        <f>VLOOKUP(L83,Base_Mensuelle!$OF$68:$RP$679,63,0)</f>
        <v>884.06600000000003</v>
      </c>
      <c r="M93" s="674">
        <f>VLOOKUP(M83,Base_Mensuelle!$OF$68:$RP$679,63,0)</f>
        <v>744.93999999999994</v>
      </c>
    </row>
    <row r="94" spans="1:13" ht="22.8">
      <c r="A94" s="1157" t="s">
        <v>475</v>
      </c>
      <c r="B94" s="668">
        <f>VLOOKUP(B83,Base_Mensuelle!$OF$68:$RP$679,64,0)</f>
        <v>-298.60899999999998</v>
      </c>
      <c r="C94" s="668">
        <f>VLOOKUP(C83,Base_Mensuelle!$OF$68:$RP$679,64,0)</f>
        <v>-309.97999999999996</v>
      </c>
      <c r="D94" s="668">
        <f>VLOOKUP(D83,Base_Mensuelle!$OF$68:$RP$679,64,0)</f>
        <v>-310.62700000000001</v>
      </c>
      <c r="E94" s="668">
        <f>VLOOKUP(E83,Base_Mensuelle!$OF$68:$RP$679,64,0)</f>
        <v>-523.072</v>
      </c>
      <c r="F94" s="668">
        <f>VLOOKUP(F83,Base_Mensuelle!$OF$68:$RP$679,64,0)</f>
        <v>-531.90499999999997</v>
      </c>
      <c r="G94" s="668">
        <f>VLOOKUP(G83,Base_Mensuelle!$OF$68:$RP$679,64,0)</f>
        <v>-485.69499999999999</v>
      </c>
      <c r="H94" s="668">
        <f>VLOOKUP(H83,Base_Mensuelle!$OF$68:$RP$679,64,0)</f>
        <v>-580.90600000000006</v>
      </c>
      <c r="I94" s="668">
        <f>VLOOKUP(I83,Base_Mensuelle!$OF$68:$RP$679,64,0)</f>
        <v>-605.11</v>
      </c>
      <c r="J94" s="668">
        <f>VLOOKUP(J83,Base_Mensuelle!$OF$68:$RP$679,64,0)</f>
        <v>-607.11300000000006</v>
      </c>
      <c r="K94" s="668">
        <f>VLOOKUP(K83,Base_Mensuelle!$OF$68:$RP$679,64,0)</f>
        <v>-632.11599999999999</v>
      </c>
      <c r="L94" s="668">
        <f>VLOOKUP(L83,Base_Mensuelle!$OF$68:$RP$679,64,0)</f>
        <v>-672.85700000000008</v>
      </c>
      <c r="M94" s="668">
        <f>VLOOKUP(M83,Base_Mensuelle!$OF$68:$RP$679,64,0)</f>
        <v>-574.00800000000004</v>
      </c>
    </row>
    <row r="95" spans="1:13" ht="22.8">
      <c r="A95" s="1156" t="s">
        <v>476</v>
      </c>
      <c r="B95" s="664">
        <f>VLOOKUP(B83,Base_Mensuelle!$OF$68:$RP$679,65,0)</f>
        <v>2887.4759999999997</v>
      </c>
      <c r="C95" s="664">
        <f>VLOOKUP(C83,Base_Mensuelle!$OF$68:$RP$679,65,0)</f>
        <v>2948.201</v>
      </c>
      <c r="D95" s="664">
        <f>VLOOKUP(D83,Base_Mensuelle!$OF$68:$RP$679,65,0)</f>
        <v>2970.9789999999998</v>
      </c>
      <c r="E95" s="664">
        <f>VLOOKUP(E83,Base_Mensuelle!$OF$68:$RP$679,65,0)</f>
        <v>3080.9920000000002</v>
      </c>
      <c r="F95" s="664">
        <f>VLOOKUP(F83,Base_Mensuelle!$OF$68:$RP$679,65,0)</f>
        <v>3068.3440000000001</v>
      </c>
      <c r="G95" s="664">
        <f>VLOOKUP(G83,Base_Mensuelle!$OF$68:$RP$679,65,0)</f>
        <v>3083.5699999999997</v>
      </c>
      <c r="H95" s="664">
        <f>VLOOKUP(H83,Base_Mensuelle!$OF$68:$RP$679,65,0)</f>
        <v>3031.6240000000003</v>
      </c>
      <c r="I95" s="664">
        <f>VLOOKUP(I83,Base_Mensuelle!$OF$68:$RP$679,65,0)</f>
        <v>2980.0920000000001</v>
      </c>
      <c r="J95" s="664">
        <f>VLOOKUP(J83,Base_Mensuelle!$OF$68:$RP$679,65,0)</f>
        <v>3020.1969999999997</v>
      </c>
      <c r="K95" s="664">
        <f>VLOOKUP(K83,Base_Mensuelle!$OF$68:$RP$679,65,0)</f>
        <v>3007.297</v>
      </c>
      <c r="L95" s="664">
        <f>VLOOKUP(L83,Base_Mensuelle!$OF$68:$RP$679,65,0)</f>
        <v>3009.4740000000002</v>
      </c>
      <c r="M95" s="664">
        <f>VLOOKUP(M83,Base_Mensuelle!$OF$68:$RP$679,65,0)</f>
        <v>3180.578</v>
      </c>
    </row>
    <row r="96" spans="1:13">
      <c r="A96" s="1161" t="s">
        <v>472</v>
      </c>
      <c r="B96" s="668"/>
      <c r="C96" s="668"/>
      <c r="D96" s="668"/>
      <c r="E96" s="668"/>
      <c r="F96" s="668"/>
      <c r="G96" s="668"/>
      <c r="H96" s="668"/>
      <c r="I96" s="668"/>
      <c r="J96" s="668"/>
      <c r="K96" s="668"/>
      <c r="L96" s="668"/>
      <c r="M96" s="668"/>
    </row>
    <row r="97" spans="1:13">
      <c r="A97" s="1160" t="s">
        <v>477</v>
      </c>
      <c r="B97" s="674">
        <f>VLOOKUP(B83,Base_Mensuelle!$OF$68:$RP$679,67,0)</f>
        <v>0.93900000000000006</v>
      </c>
      <c r="C97" s="674">
        <f>VLOOKUP(C83,Base_Mensuelle!$OF$68:$RP$679,67,0)</f>
        <v>0.98899999999999999</v>
      </c>
      <c r="D97" s="674">
        <f>VLOOKUP(D83,Base_Mensuelle!$OF$68:$RP$679,67,0)</f>
        <v>1.175</v>
      </c>
      <c r="E97" s="674">
        <f>VLOOKUP(E83,Base_Mensuelle!$OF$68:$RP$679,67,0)</f>
        <v>1.409</v>
      </c>
      <c r="F97" s="674">
        <f>VLOOKUP(F83,Base_Mensuelle!$OF$68:$RP$679,67,0)</f>
        <v>1.625</v>
      </c>
      <c r="G97" s="674">
        <f>VLOOKUP(G83,Base_Mensuelle!$OF$68:$RP$679,67,0)</f>
        <v>1.284</v>
      </c>
      <c r="H97" s="674">
        <f>VLOOKUP(H83,Base_Mensuelle!$OF$68:$RP$679,67,0)</f>
        <v>1.171</v>
      </c>
      <c r="I97" s="674">
        <f>VLOOKUP(I83,Base_Mensuelle!$OF$68:$RP$679,67,0)</f>
        <v>0.95800000000000007</v>
      </c>
      <c r="J97" s="674">
        <f>VLOOKUP(J83,Base_Mensuelle!$OF$68:$RP$679,67,0)</f>
        <v>1.103</v>
      </c>
      <c r="K97" s="674">
        <f>VLOOKUP(K83,Base_Mensuelle!$OF$68:$RP$679,67,0)</f>
        <v>1.4810000000000001</v>
      </c>
      <c r="L97" s="674">
        <f>VLOOKUP(L83,Base_Mensuelle!$OF$68:$RP$679,67,0)</f>
        <v>1.7610000000000001</v>
      </c>
      <c r="M97" s="674">
        <f>VLOOKUP(M83,Base_Mensuelle!$OF$68:$RP$679,67,0)</f>
        <v>4.88</v>
      </c>
    </row>
    <row r="98" spans="1:13" ht="22.8">
      <c r="A98" s="1157" t="s">
        <v>478</v>
      </c>
      <c r="B98" s="668">
        <f>VLOOKUP(B83,Base_Mensuelle!$OF$68:$RP$679,68,0)</f>
        <v>251.684</v>
      </c>
      <c r="C98" s="668">
        <f>VLOOKUP(C83,Base_Mensuelle!$OF$68:$RP$679,68,0)</f>
        <v>246.31700000000001</v>
      </c>
      <c r="D98" s="668">
        <f>VLOOKUP(D83,Base_Mensuelle!$OF$68:$RP$679,68,0)</f>
        <v>259.40800000000002</v>
      </c>
      <c r="E98" s="668">
        <f>VLOOKUP(E83,Base_Mensuelle!$OF$68:$RP$679,68,0)</f>
        <v>264.18700000000001</v>
      </c>
      <c r="F98" s="668">
        <f>VLOOKUP(F83,Base_Mensuelle!$OF$68:$RP$679,68,0)</f>
        <v>257.53200000000004</v>
      </c>
      <c r="G98" s="668">
        <f>VLOOKUP(G83,Base_Mensuelle!$OF$68:$RP$679,68,0)</f>
        <v>253.54299999999998</v>
      </c>
      <c r="H98" s="668">
        <f>VLOOKUP(H83,Base_Mensuelle!$OF$68:$RP$679,68,0)</f>
        <v>230.11600000000001</v>
      </c>
      <c r="I98" s="668">
        <f>VLOOKUP(I83,Base_Mensuelle!$OF$68:$RP$679,68,0)</f>
        <v>206.42599999999999</v>
      </c>
      <c r="J98" s="668">
        <f>VLOOKUP(J83,Base_Mensuelle!$OF$68:$RP$679,68,0)</f>
        <v>185.71899999999999</v>
      </c>
      <c r="K98" s="668">
        <f>VLOOKUP(K83,Base_Mensuelle!$OF$68:$RP$679,68,0)</f>
        <v>184.03700000000001</v>
      </c>
      <c r="L98" s="668">
        <f>VLOOKUP(L83,Base_Mensuelle!$OF$68:$RP$679,68,0)</f>
        <v>198.53100000000001</v>
      </c>
      <c r="M98" s="668">
        <f>VLOOKUP(M83,Base_Mensuelle!$OF$68:$RP$679,68,0)</f>
        <v>237.14900000000003</v>
      </c>
    </row>
    <row r="99" spans="1:13" ht="22.8">
      <c r="A99" s="1156" t="s">
        <v>494</v>
      </c>
      <c r="B99" s="664">
        <f>VLOOKUP(B83,Base_Mensuelle!$OF$68:$RP$679,69,0)</f>
        <v>2615.4009999999998</v>
      </c>
      <c r="C99" s="664">
        <f>VLOOKUP(C83,Base_Mensuelle!$OF$68:$RP$679,69,0)</f>
        <v>2679.5479999999998</v>
      </c>
      <c r="D99" s="664">
        <f>VLOOKUP(D83,Base_Mensuelle!$OF$68:$RP$679,69,0)</f>
        <v>2689.473</v>
      </c>
      <c r="E99" s="664">
        <f>VLOOKUP(E83,Base_Mensuelle!$OF$68:$RP$679,69,0)</f>
        <v>2789.3850000000002</v>
      </c>
      <c r="F99" s="664">
        <f>VLOOKUP(F83,Base_Mensuelle!$OF$68:$RP$679,69,0)</f>
        <v>2786.375</v>
      </c>
      <c r="G99" s="664">
        <f>VLOOKUP(G83,Base_Mensuelle!$OF$68:$RP$679,69,0)</f>
        <v>2807.68</v>
      </c>
      <c r="H99" s="664">
        <f>VLOOKUP(H83,Base_Mensuelle!$OF$68:$RP$679,69,0)</f>
        <v>2778.4870000000001</v>
      </c>
      <c r="I99" s="664">
        <f>VLOOKUP(I83,Base_Mensuelle!$OF$68:$RP$679,69,0)</f>
        <v>2747.46</v>
      </c>
      <c r="J99" s="664">
        <f>VLOOKUP(J83,Base_Mensuelle!$OF$68:$RP$679,69,0)</f>
        <v>2809.89</v>
      </c>
      <c r="K99" s="664">
        <f>VLOOKUP(K83,Base_Mensuelle!$OF$68:$RP$679,69,0)</f>
        <v>2799.7280000000001</v>
      </c>
      <c r="L99" s="664">
        <f>VLOOKUP(L83,Base_Mensuelle!$OF$68:$RP$679,69,0)</f>
        <v>2773.7730000000001</v>
      </c>
      <c r="M99" s="664">
        <f>VLOOKUP(M83,Base_Mensuelle!$OF$68:$RP$679,69,0)</f>
        <v>2920.893</v>
      </c>
    </row>
    <row r="100" spans="1:13" ht="22.8">
      <c r="A100" s="1157" t="s">
        <v>495</v>
      </c>
      <c r="B100" s="668">
        <f>VLOOKUP(B83,Base_Mensuelle!$OF$68:$RP$679,70,0)</f>
        <v>0</v>
      </c>
      <c r="C100" s="668">
        <f>VLOOKUP(C83,Base_Mensuelle!$OF$68:$RP$679,70,0)</f>
        <v>0</v>
      </c>
      <c r="D100" s="668">
        <f>VLOOKUP(D83,Base_Mensuelle!$OF$68:$RP$679,70,0)</f>
        <v>0</v>
      </c>
      <c r="E100" s="668">
        <f>VLOOKUP(E83,Base_Mensuelle!$OF$68:$RP$679,70,0)</f>
        <v>0</v>
      </c>
      <c r="F100" s="668">
        <f>VLOOKUP(F83,Base_Mensuelle!$OF$68:$RP$679,70,0)</f>
        <v>0</v>
      </c>
      <c r="G100" s="668">
        <f>VLOOKUP(G83,Base_Mensuelle!$OF$68:$RP$679,70,0)</f>
        <v>0</v>
      </c>
      <c r="H100" s="668">
        <f>VLOOKUP(H83,Base_Mensuelle!$OF$68:$RP$679,70,0)</f>
        <v>0</v>
      </c>
      <c r="I100" s="668">
        <f>VLOOKUP(I83,Base_Mensuelle!$OF$68:$RP$679,70,0)</f>
        <v>0</v>
      </c>
      <c r="J100" s="668">
        <f>VLOOKUP(J83,Base_Mensuelle!$OF$68:$RP$679,70,0)</f>
        <v>0</v>
      </c>
      <c r="K100" s="668">
        <f>VLOOKUP(K83,Base_Mensuelle!$OF$68:$RP$679,70,0)</f>
        <v>0</v>
      </c>
      <c r="L100" s="668">
        <f>VLOOKUP(L83,Base_Mensuelle!$OF$68:$RP$679,70,0)</f>
        <v>0</v>
      </c>
      <c r="M100" s="668">
        <f>VLOOKUP(M83,Base_Mensuelle!$OF$68:$RP$679,70,0)</f>
        <v>0</v>
      </c>
    </row>
    <row r="101" spans="1:13">
      <c r="A101" s="1156" t="s">
        <v>479</v>
      </c>
      <c r="B101" s="664">
        <f>VLOOKUP(B83,Base_Mensuelle!$OF$68:$RP$679,71,0)</f>
        <v>744.23299999999995</v>
      </c>
      <c r="C101" s="664">
        <f>VLOOKUP(C83,Base_Mensuelle!$OF$68:$RP$679,71,0)</f>
        <v>689.32999999999993</v>
      </c>
      <c r="D101" s="664">
        <f>VLOOKUP(D83,Base_Mensuelle!$OF$68:$RP$679,71,0)</f>
        <v>784.44399999999996</v>
      </c>
      <c r="E101" s="664">
        <f>VLOOKUP(E83,Base_Mensuelle!$OF$68:$RP$679,71,0)</f>
        <v>883.98099999999999</v>
      </c>
      <c r="F101" s="664">
        <f>VLOOKUP(F83,Base_Mensuelle!$OF$68:$RP$679,71,0)</f>
        <v>1018.99</v>
      </c>
      <c r="G101" s="664">
        <f>VLOOKUP(G83,Base_Mensuelle!$OF$68:$RP$679,71,0)</f>
        <v>893.91000000000008</v>
      </c>
      <c r="H101" s="664">
        <f>VLOOKUP(H83,Base_Mensuelle!$OF$68:$RP$679,71,0)</f>
        <v>862.2059999999999</v>
      </c>
      <c r="I101" s="664">
        <f>VLOOKUP(I83,Base_Mensuelle!$OF$68:$RP$679,71,0)</f>
        <v>899.62400000000002</v>
      </c>
      <c r="J101" s="664">
        <f>VLOOKUP(J83,Base_Mensuelle!$OF$68:$RP$679,71,0)</f>
        <v>903.08699999999999</v>
      </c>
      <c r="K101" s="664">
        <f>VLOOKUP(K83,Base_Mensuelle!$OF$68:$RP$679,71,0)</f>
        <v>904.91399999999999</v>
      </c>
      <c r="L101" s="664">
        <f>VLOOKUP(L83,Base_Mensuelle!$OF$68:$RP$679,71,0)</f>
        <v>1032.8240000000001</v>
      </c>
      <c r="M101" s="664">
        <f>VLOOKUP(M83,Base_Mensuelle!$OF$68:$RP$679,71,0)</f>
        <v>903.97900000000004</v>
      </c>
    </row>
    <row r="102" spans="1:13">
      <c r="A102" s="1161" t="s">
        <v>472</v>
      </c>
      <c r="B102" s="668"/>
      <c r="C102" s="668"/>
      <c r="D102" s="668"/>
      <c r="E102" s="668"/>
      <c r="F102" s="668"/>
      <c r="G102" s="668"/>
      <c r="H102" s="668"/>
      <c r="I102" s="668"/>
      <c r="J102" s="668"/>
      <c r="K102" s="668"/>
      <c r="L102" s="668"/>
      <c r="M102" s="668"/>
    </row>
    <row r="103" spans="1:13">
      <c r="A103" s="1162" t="s">
        <v>496</v>
      </c>
      <c r="B103" s="675"/>
      <c r="C103" s="675"/>
      <c r="D103" s="675"/>
      <c r="E103" s="675"/>
      <c r="F103" s="675"/>
      <c r="G103" s="675"/>
      <c r="H103" s="675"/>
      <c r="I103" s="675"/>
      <c r="J103" s="675"/>
      <c r="K103" s="675"/>
      <c r="L103" s="675"/>
      <c r="M103" s="675"/>
    </row>
    <row r="104" spans="1:13" ht="22.8">
      <c r="A104" s="1158" t="s">
        <v>497</v>
      </c>
      <c r="B104" s="671">
        <f>VLOOKUP(B83,Base_Mensuelle!$OF$68:$RP$679,74,0)</f>
        <v>0</v>
      </c>
      <c r="C104" s="671">
        <f>VLOOKUP(C83,Base_Mensuelle!$OF$68:$RP$679,74,0)</f>
        <v>0</v>
      </c>
      <c r="D104" s="671">
        <f>VLOOKUP(D83,Base_Mensuelle!$OF$68:$RP$679,74,0)</f>
        <v>0</v>
      </c>
      <c r="E104" s="671">
        <f>VLOOKUP(E83,Base_Mensuelle!$OF$68:$RP$679,74,0)</f>
        <v>0</v>
      </c>
      <c r="F104" s="671">
        <f>VLOOKUP(F83,Base_Mensuelle!$OF$68:$RP$679,74,0)</f>
        <v>0</v>
      </c>
      <c r="G104" s="671">
        <f>VLOOKUP(G83,Base_Mensuelle!$OF$68:$RP$679,74,0)</f>
        <v>0</v>
      </c>
      <c r="H104" s="671">
        <f>VLOOKUP(H83,Base_Mensuelle!$OF$68:$RP$679,74,0)</f>
        <v>0</v>
      </c>
      <c r="I104" s="671">
        <f>VLOOKUP(I83,Base_Mensuelle!$OF$68:$RP$679,74,0)</f>
        <v>0</v>
      </c>
      <c r="J104" s="671">
        <f>VLOOKUP(J83,Base_Mensuelle!$OF$68:$RP$679,74,0)</f>
        <v>0</v>
      </c>
      <c r="K104" s="671">
        <f>VLOOKUP(K83,Base_Mensuelle!$OF$68:$RP$679,74,0)</f>
        <v>0</v>
      </c>
      <c r="L104" s="671">
        <f>VLOOKUP(L83,Base_Mensuelle!$OF$68:$RP$679,74,0)</f>
        <v>0</v>
      </c>
      <c r="M104" s="671">
        <f>VLOOKUP(M83,Base_Mensuelle!$OF$68:$RP$679,74,0)</f>
        <v>0</v>
      </c>
    </row>
    <row r="105" spans="1:13">
      <c r="A105" s="1160" t="s">
        <v>472</v>
      </c>
      <c r="B105" s="674"/>
      <c r="C105" s="674"/>
      <c r="D105" s="674"/>
      <c r="E105" s="674"/>
      <c r="F105" s="674"/>
      <c r="G105" s="674"/>
      <c r="H105" s="674"/>
      <c r="I105" s="674"/>
      <c r="J105" s="674"/>
      <c r="K105" s="674"/>
      <c r="L105" s="674"/>
      <c r="M105" s="674"/>
    </row>
    <row r="106" spans="1:13" ht="34.200000000000003">
      <c r="A106" s="1158" t="s">
        <v>498</v>
      </c>
      <c r="B106" s="671">
        <f>VLOOKUP(B83,Base_Mensuelle!$OF$68:$RP$679,76,0)</f>
        <v>0</v>
      </c>
      <c r="C106" s="671">
        <f>VLOOKUP(C83,Base_Mensuelle!$OF$68:$RP$679,76,0)</f>
        <v>0</v>
      </c>
      <c r="D106" s="671">
        <f>VLOOKUP(D83,Base_Mensuelle!$OF$68:$RP$679,76,0)</f>
        <v>0</v>
      </c>
      <c r="E106" s="671">
        <f>VLOOKUP(E83,Base_Mensuelle!$OF$68:$RP$679,76,0)</f>
        <v>0</v>
      </c>
      <c r="F106" s="671">
        <f>VLOOKUP(F83,Base_Mensuelle!$OF$68:$RP$679,76,0)</f>
        <v>0</v>
      </c>
      <c r="G106" s="671">
        <f>VLOOKUP(G83,Base_Mensuelle!$OF$68:$RP$679,76,0)</f>
        <v>0</v>
      </c>
      <c r="H106" s="671">
        <f>VLOOKUP(H83,Base_Mensuelle!$OF$68:$RP$679,76,0)</f>
        <v>0</v>
      </c>
      <c r="I106" s="671">
        <f>VLOOKUP(I83,Base_Mensuelle!$OF$68:$RP$679,76,0)</f>
        <v>0</v>
      </c>
      <c r="J106" s="671">
        <f>VLOOKUP(J83,Base_Mensuelle!$OF$68:$RP$679,76,0)</f>
        <v>0</v>
      </c>
      <c r="K106" s="671">
        <f>VLOOKUP(K83,Base_Mensuelle!$OF$68:$RP$679,76,0)</f>
        <v>0</v>
      </c>
      <c r="L106" s="671">
        <f>VLOOKUP(L83,Base_Mensuelle!$OF$68:$RP$679,76,0)</f>
        <v>0</v>
      </c>
      <c r="M106" s="671">
        <f>VLOOKUP(M83,Base_Mensuelle!$OF$68:$RP$679,76,0)</f>
        <v>0</v>
      </c>
    </row>
    <row r="107" spans="1:13">
      <c r="A107" s="1160" t="s">
        <v>472</v>
      </c>
      <c r="B107" s="674"/>
      <c r="C107" s="674"/>
      <c r="D107" s="674"/>
      <c r="E107" s="674"/>
      <c r="F107" s="674"/>
      <c r="G107" s="674"/>
      <c r="H107" s="674"/>
      <c r="I107" s="674"/>
      <c r="J107" s="674"/>
      <c r="K107" s="674"/>
      <c r="L107" s="674"/>
      <c r="M107" s="674"/>
    </row>
    <row r="108" spans="1:13" ht="22.8">
      <c r="A108" s="1158" t="s">
        <v>499</v>
      </c>
      <c r="B108" s="671">
        <f>VLOOKUP(B83,Base_Mensuelle!$OF$68:$RP$679,78,0)</f>
        <v>0</v>
      </c>
      <c r="C108" s="671">
        <f>VLOOKUP(C83,Base_Mensuelle!$OF$68:$RP$679,78,0)</f>
        <v>0</v>
      </c>
      <c r="D108" s="671">
        <f>VLOOKUP(D83,Base_Mensuelle!$OF$68:$RP$679,78,0)</f>
        <v>0</v>
      </c>
      <c r="E108" s="671">
        <f>VLOOKUP(E83,Base_Mensuelle!$OF$68:$RP$679,78,0)</f>
        <v>0</v>
      </c>
      <c r="F108" s="671">
        <f>VLOOKUP(F83,Base_Mensuelle!$OF$68:$RP$679,78,0)</f>
        <v>0</v>
      </c>
      <c r="G108" s="671">
        <f>VLOOKUP(G83,Base_Mensuelle!$OF$68:$RP$679,78,0)</f>
        <v>0</v>
      </c>
      <c r="H108" s="671">
        <f>VLOOKUP(H83,Base_Mensuelle!$OF$68:$RP$679,78,0)</f>
        <v>0</v>
      </c>
      <c r="I108" s="671">
        <f>VLOOKUP(I83,Base_Mensuelle!$OF$68:$RP$679,78,0)</f>
        <v>0</v>
      </c>
      <c r="J108" s="671">
        <f>VLOOKUP(J83,Base_Mensuelle!$OF$68:$RP$679,78,0)</f>
        <v>0</v>
      </c>
      <c r="K108" s="671">
        <f>VLOOKUP(K83,Base_Mensuelle!$OF$68:$RP$679,78,0)</f>
        <v>0</v>
      </c>
      <c r="L108" s="671">
        <f>VLOOKUP(L83,Base_Mensuelle!$OF$68:$RP$679,78,0)</f>
        <v>0</v>
      </c>
      <c r="M108" s="671">
        <f>VLOOKUP(M83,Base_Mensuelle!$OF$68:$RP$679,78,0)</f>
        <v>0</v>
      </c>
    </row>
    <row r="109" spans="1:13">
      <c r="A109" s="1160" t="s">
        <v>472</v>
      </c>
      <c r="B109" s="674"/>
      <c r="C109" s="674"/>
      <c r="D109" s="674"/>
      <c r="E109" s="674"/>
      <c r="F109" s="674"/>
      <c r="G109" s="674"/>
      <c r="H109" s="674"/>
      <c r="I109" s="674"/>
      <c r="J109" s="674"/>
      <c r="K109" s="674"/>
      <c r="L109" s="674"/>
      <c r="M109" s="674"/>
    </row>
    <row r="110" spans="1:13" ht="22.8">
      <c r="A110" s="1158" t="s">
        <v>485</v>
      </c>
      <c r="B110" s="671">
        <f>VLOOKUP(B83,Base_Mensuelle!$OF$68:$RP$679,80,0)</f>
        <v>542.41799999999989</v>
      </c>
      <c r="C110" s="671">
        <f>VLOOKUP(C83,Base_Mensuelle!$OF$68:$RP$679,80,0)</f>
        <v>548.9750000000007</v>
      </c>
      <c r="D110" s="671">
        <f>VLOOKUP(D83,Base_Mensuelle!$OF$68:$RP$679,80,0)</f>
        <v>553.2210000000016</v>
      </c>
      <c r="E110" s="671">
        <f>VLOOKUP(E83,Base_Mensuelle!$OF$68:$RP$679,80,0)</f>
        <v>565.04399999999998</v>
      </c>
      <c r="F110" s="671">
        <f>VLOOKUP(F83,Base_Mensuelle!$OF$68:$RP$679,80,0)</f>
        <v>570.30599999999993</v>
      </c>
      <c r="G110" s="671">
        <f>VLOOKUP(G83,Base_Mensuelle!$OF$68:$RP$679,80,0)</f>
        <v>579.10299999999995</v>
      </c>
      <c r="H110" s="671">
        <f>VLOOKUP(H83,Base_Mensuelle!$OF$68:$RP$679,80,0)</f>
        <v>588.34499999999991</v>
      </c>
      <c r="I110" s="671">
        <f>VLOOKUP(I83,Base_Mensuelle!$OF$68:$RP$679,80,0)</f>
        <v>595.18700000000001</v>
      </c>
      <c r="J110" s="671">
        <f>VLOOKUP(J83,Base_Mensuelle!$OF$68:$RP$679,80,0)</f>
        <v>612.79199999999992</v>
      </c>
      <c r="K110" s="671">
        <f>VLOOKUP(K83,Base_Mensuelle!$OF$68:$RP$679,80,0)</f>
        <v>617.49900000000002</v>
      </c>
      <c r="L110" s="671">
        <f>VLOOKUP(L83,Base_Mensuelle!$OF$68:$RP$679,80,0)</f>
        <v>622.31299999999999</v>
      </c>
      <c r="M110" s="671">
        <f>VLOOKUP(M83,Base_Mensuelle!$OF$68:$RP$679,80,0)</f>
        <v>632.70699999999988</v>
      </c>
    </row>
    <row r="111" spans="1:13">
      <c r="A111" s="1160" t="s">
        <v>472</v>
      </c>
      <c r="B111" s="674"/>
      <c r="C111" s="674"/>
      <c r="D111" s="674"/>
      <c r="E111" s="674"/>
      <c r="F111" s="674"/>
      <c r="G111" s="674"/>
      <c r="H111" s="674"/>
      <c r="I111" s="674"/>
      <c r="J111" s="674"/>
      <c r="K111" s="674"/>
      <c r="L111" s="674"/>
      <c r="M111" s="674"/>
    </row>
    <row r="112" spans="1:13">
      <c r="A112" s="1158" t="s">
        <v>500</v>
      </c>
      <c r="B112" s="671">
        <f>VLOOKUP(B83,Base_Mensuelle!$OF$68:$RP$679,82,0)</f>
        <v>0</v>
      </c>
      <c r="C112" s="671">
        <f>VLOOKUP(C83,Base_Mensuelle!$OF$68:$RP$679,82,0)</f>
        <v>0</v>
      </c>
      <c r="D112" s="671">
        <f>VLOOKUP(D83,Base_Mensuelle!$OF$68:$RP$679,82,0)</f>
        <v>0</v>
      </c>
      <c r="E112" s="671">
        <f>VLOOKUP(E83,Base_Mensuelle!$OF$68:$RP$679,82,0)</f>
        <v>0</v>
      </c>
      <c r="F112" s="671">
        <f>VLOOKUP(F83,Base_Mensuelle!$OF$68:$RP$679,82,0)</f>
        <v>0</v>
      </c>
      <c r="G112" s="671">
        <f>VLOOKUP(G83,Base_Mensuelle!$OF$68:$RP$679,82,0)</f>
        <v>0</v>
      </c>
      <c r="H112" s="671">
        <f>VLOOKUP(H83,Base_Mensuelle!$OF$68:$RP$679,82,0)</f>
        <v>0</v>
      </c>
      <c r="I112" s="671">
        <f>VLOOKUP(I83,Base_Mensuelle!$OF$68:$RP$679,82,0)</f>
        <v>0</v>
      </c>
      <c r="J112" s="671">
        <f>VLOOKUP(J83,Base_Mensuelle!$OF$68:$RP$679,82,0)</f>
        <v>0</v>
      </c>
      <c r="K112" s="671">
        <f>VLOOKUP(K83,Base_Mensuelle!$OF$68:$RP$679,82,0)</f>
        <v>0</v>
      </c>
      <c r="L112" s="671">
        <f>VLOOKUP(L83,Base_Mensuelle!$OF$68:$RP$679,82,0)</f>
        <v>0</v>
      </c>
      <c r="M112" s="671">
        <f>VLOOKUP(M83,Base_Mensuelle!$OF$68:$RP$679,82,0)</f>
        <v>0</v>
      </c>
    </row>
    <row r="113" spans="1:13">
      <c r="A113" s="1160" t="s">
        <v>472</v>
      </c>
      <c r="B113" s="674"/>
      <c r="C113" s="674"/>
      <c r="D113" s="674"/>
      <c r="E113" s="674"/>
      <c r="F113" s="674"/>
      <c r="G113" s="674"/>
      <c r="H113" s="674"/>
      <c r="I113" s="674"/>
      <c r="J113" s="674"/>
      <c r="K113" s="674"/>
      <c r="L113" s="674"/>
      <c r="M113" s="674"/>
    </row>
    <row r="114" spans="1:13" ht="22.8">
      <c r="A114" s="1158" t="s">
        <v>486</v>
      </c>
      <c r="B114" s="671">
        <f>VLOOKUP(B83,Base_Mensuelle!$OF$68:$RP$679,84,0)</f>
        <v>0</v>
      </c>
      <c r="C114" s="671">
        <f>VLOOKUP(C83,Base_Mensuelle!$OF$68:$RP$679,84,0)</f>
        <v>0</v>
      </c>
      <c r="D114" s="671">
        <f>VLOOKUP(D83,Base_Mensuelle!$OF$68:$RP$679,84,0)</f>
        <v>0</v>
      </c>
      <c r="E114" s="671">
        <f>VLOOKUP(E83,Base_Mensuelle!$OF$68:$RP$679,84,0)</f>
        <v>0</v>
      </c>
      <c r="F114" s="671">
        <f>VLOOKUP(F83,Base_Mensuelle!$OF$68:$RP$679,84,0)</f>
        <v>0</v>
      </c>
      <c r="G114" s="671">
        <f>VLOOKUP(G83,Base_Mensuelle!$OF$68:$RP$679,84,0)</f>
        <v>0</v>
      </c>
      <c r="H114" s="671">
        <f>VLOOKUP(H83,Base_Mensuelle!$OF$68:$RP$679,84,0)</f>
        <v>0</v>
      </c>
      <c r="I114" s="671">
        <f>VLOOKUP(I83,Base_Mensuelle!$OF$68:$RP$679,84,0)</f>
        <v>0</v>
      </c>
      <c r="J114" s="671">
        <f>VLOOKUP(J83,Base_Mensuelle!$OF$68:$RP$679,84,0)</f>
        <v>0</v>
      </c>
      <c r="K114" s="671">
        <f>VLOOKUP(K83,Base_Mensuelle!$OF$68:$RP$679,84,0)</f>
        <v>0</v>
      </c>
      <c r="L114" s="671">
        <f>VLOOKUP(L83,Base_Mensuelle!$OF$68:$RP$679,84,0)</f>
        <v>0</v>
      </c>
      <c r="M114" s="671">
        <f>VLOOKUP(M83,Base_Mensuelle!$OF$68:$RP$679,84,0)</f>
        <v>0</v>
      </c>
    </row>
    <row r="115" spans="1:13">
      <c r="A115" s="1160" t="s">
        <v>472</v>
      </c>
      <c r="B115" s="674"/>
      <c r="C115" s="674"/>
      <c r="D115" s="674"/>
      <c r="E115" s="674"/>
      <c r="F115" s="674"/>
      <c r="G115" s="674"/>
      <c r="H115" s="674"/>
      <c r="I115" s="674"/>
      <c r="J115" s="674"/>
      <c r="K115" s="674"/>
      <c r="L115" s="674"/>
      <c r="M115" s="674"/>
    </row>
    <row r="116" spans="1:13" ht="12.6" thickBot="1">
      <c r="A116" s="1163" t="s">
        <v>487</v>
      </c>
      <c r="B116" s="678">
        <f>VLOOKUP(B83,Base_Mensuelle!$OF$68:$RP$679,86,0)</f>
        <v>0</v>
      </c>
      <c r="C116" s="678">
        <f>VLOOKUP(C83,Base_Mensuelle!$OF$68:$RP$679,86,0)</f>
        <v>0</v>
      </c>
      <c r="D116" s="678">
        <f>VLOOKUP(D83,Base_Mensuelle!$OF$68:$RP$679,86,0)</f>
        <v>0</v>
      </c>
      <c r="E116" s="678">
        <f>VLOOKUP(E83,Base_Mensuelle!$OF$68:$RP$679,86,0)</f>
        <v>0</v>
      </c>
      <c r="F116" s="678">
        <f>VLOOKUP(F83,Base_Mensuelle!$OF$68:$RP$679,86,0)</f>
        <v>0</v>
      </c>
      <c r="G116" s="678">
        <f>VLOOKUP(G83,Base_Mensuelle!$OF$68:$RP$679,86,0)</f>
        <v>0</v>
      </c>
      <c r="H116" s="678">
        <f>VLOOKUP(H83,Base_Mensuelle!$OF$68:$RP$679,86,0)</f>
        <v>0</v>
      </c>
      <c r="I116" s="678">
        <f>VLOOKUP(I83,Base_Mensuelle!$OF$68:$RP$679,86,0)</f>
        <v>0</v>
      </c>
      <c r="J116" s="678">
        <f>VLOOKUP(J83,Base_Mensuelle!$OF$68:$RP$679,86,0)</f>
        <v>0</v>
      </c>
      <c r="K116" s="678">
        <f>VLOOKUP(K83,Base_Mensuelle!$OF$68:$RP$679,86,0)</f>
        <v>0</v>
      </c>
      <c r="L116" s="678">
        <f>VLOOKUP(L83,Base_Mensuelle!$OF$68:$RP$679,86,0)</f>
        <v>0</v>
      </c>
      <c r="M116" s="678">
        <f>VLOOKUP(M83,Base_Mensuelle!$OF$68:$RP$679,86,0)</f>
        <v>0</v>
      </c>
    </row>
    <row r="117" spans="1:13">
      <c r="A117" s="1138" t="s">
        <v>463</v>
      </c>
    </row>
    <row r="118" spans="1:13">
      <c r="A118" s="1138"/>
    </row>
    <row r="119" spans="1:13">
      <c r="A119" s="1138"/>
    </row>
    <row r="120" spans="1:13">
      <c r="A120" s="1136" t="s">
        <v>804</v>
      </c>
    </row>
    <row r="121" spans="1:13">
      <c r="A121" s="1136"/>
    </row>
    <row r="122" spans="1:13">
      <c r="A122" s="1137"/>
      <c r="B122" s="1523">
        <f>DATE(YEAR(INDEX(Base_Mensuelle!$OF$68:$RQ$679,MAX(Base_Mensuelle!$RN$68:$RN$679),1))-2,1,1)</f>
        <v>44197</v>
      </c>
      <c r="C122" s="1523">
        <f>DATE(YEAR(INDEX(Base_Mensuelle!$OF$68:$RQ$679,MAX(Base_Mensuelle!$RN$68:$RN$679),1))-2,2,1)</f>
        <v>44228</v>
      </c>
      <c r="D122" s="1523">
        <f>DATE(YEAR(INDEX(Base_Mensuelle!$OF$68:$RQ$679,MAX(Base_Mensuelle!$RN$68:$RN$679),1))-2,3,1)</f>
        <v>44256</v>
      </c>
      <c r="E122" s="1523">
        <f>DATE(YEAR(INDEX(Base_Mensuelle!$OF$68:$RQ$679,MAX(Base_Mensuelle!$RN$68:$RN$679),1))-2,4,1)</f>
        <v>44287</v>
      </c>
      <c r="F122" s="1523">
        <f>DATE(YEAR(INDEX(Base_Mensuelle!$OF$68:$RQ$679,MAX(Base_Mensuelle!$RN$68:$RN$679),1))-2,5,1)</f>
        <v>44317</v>
      </c>
      <c r="G122" s="1523">
        <f>DATE(YEAR(INDEX(Base_Mensuelle!$OF$68:$RQ$679,MAX(Base_Mensuelle!$RN$68:$RN$679),1))-2,6,1)</f>
        <v>44348</v>
      </c>
      <c r="H122" s="1523">
        <f>DATE(YEAR(INDEX(Base_Mensuelle!$OF$68:$RQ$679,MAX(Base_Mensuelle!$RN$68:$RN$679),1))-2,7,1)</f>
        <v>44378</v>
      </c>
      <c r="I122" s="1523">
        <f>DATE(YEAR(INDEX(Base_Mensuelle!$OF$68:$RQ$679,MAX(Base_Mensuelle!$RN$68:$RN$679),1))-2,8,1)</f>
        <v>44409</v>
      </c>
      <c r="J122" s="1523">
        <f>DATE(YEAR(INDEX(Base_Mensuelle!$OF$68:$RQ$679,MAX(Base_Mensuelle!$RN$68:$RN$679),1))-2,9,1)</f>
        <v>44440</v>
      </c>
      <c r="K122" s="1523">
        <f>DATE(YEAR(INDEX(Base_Mensuelle!$OF$68:$RQ$679,MAX(Base_Mensuelle!$RN$68:$RN$679),1))-2,10,1)</f>
        <v>44470</v>
      </c>
      <c r="L122" s="1523">
        <f>DATE(YEAR(INDEX(Base_Mensuelle!$OF$68:$RQ$679,MAX(Base_Mensuelle!$RN$68:$RN$679),1))-2,11,1)</f>
        <v>44501</v>
      </c>
      <c r="M122" s="1523">
        <f>DATE(YEAR(INDEX(Base_Mensuelle!$OF$68:$RQ$679,MAX(Base_Mensuelle!$RN$68:$RN$679),1))-2,12,1)</f>
        <v>44531</v>
      </c>
    </row>
    <row r="123" spans="1:13">
      <c r="A123" s="659" t="s">
        <v>490</v>
      </c>
      <c r="B123" s="660"/>
      <c r="C123" s="660"/>
      <c r="D123" s="660"/>
      <c r="E123" s="660"/>
      <c r="F123" s="660"/>
      <c r="G123" s="660"/>
      <c r="H123" s="660"/>
      <c r="I123" s="660"/>
      <c r="J123" s="660"/>
      <c r="K123" s="660"/>
      <c r="L123" s="660"/>
      <c r="M123" s="660"/>
    </row>
    <row r="124" spans="1:13">
      <c r="A124" s="1155" t="s">
        <v>454</v>
      </c>
      <c r="B124" s="634">
        <f>VLOOKUP(B122,Base_Mensuelle!$OF$68:$RP$679,55,0)</f>
        <v>1621.2309999999998</v>
      </c>
      <c r="C124" s="634">
        <f>VLOOKUP(C122,Base_Mensuelle!$OF$68:$RP$679,55,0)</f>
        <v>1733.7130000000002</v>
      </c>
      <c r="D124" s="634">
        <f>VLOOKUP(D122,Base_Mensuelle!$OF$68:$RP$679,55,0)</f>
        <v>1787.0540000000003</v>
      </c>
      <c r="E124" s="634">
        <f>VLOOKUP(E122,Base_Mensuelle!$OF$68:$RP$679,55,0)</f>
        <v>1775.8059999999996</v>
      </c>
      <c r="F124" s="634">
        <f>VLOOKUP(F122,Base_Mensuelle!$OF$68:$RP$679,55,0)</f>
        <v>1763.2039999999997</v>
      </c>
      <c r="G124" s="634">
        <f>VLOOKUP(G122,Base_Mensuelle!$OF$68:$RP$679,55,0)</f>
        <v>1911.5430000000003</v>
      </c>
      <c r="H124" s="634">
        <f>VLOOKUP(H122,Base_Mensuelle!$OF$68:$RP$679,55,0)</f>
        <v>1826.8920000000001</v>
      </c>
      <c r="I124" s="634">
        <f>VLOOKUP(I122,Base_Mensuelle!$OF$68:$RP$679,55,0)</f>
        <v>1850.0450000000005</v>
      </c>
      <c r="J124" s="634">
        <f>VLOOKUP(J122,Base_Mensuelle!$OF$68:$RP$679,55,0)</f>
        <v>1835.375</v>
      </c>
      <c r="K124" s="634">
        <f>VLOOKUP(K122,Base_Mensuelle!$OF$68:$RP$679,55,0)</f>
        <v>1856.62</v>
      </c>
      <c r="L124" s="634">
        <f>VLOOKUP(L122,Base_Mensuelle!$OF$68:$RP$679,55,0)</f>
        <v>1399.2539999999997</v>
      </c>
      <c r="M124" s="634">
        <f>VLOOKUP(M122,Base_Mensuelle!$OF$68:$RP$679,55,0)</f>
        <v>2169.3359999999998</v>
      </c>
    </row>
    <row r="125" spans="1:13">
      <c r="A125" s="1156" t="s">
        <v>470</v>
      </c>
      <c r="B125" s="664">
        <f>VLOOKUP(B122,Base_Mensuelle!$OF$68:$RP$679,56,0)</f>
        <v>2007.84</v>
      </c>
      <c r="C125" s="664">
        <f>VLOOKUP(C122,Base_Mensuelle!$OF$68:$RP$679,56,0)</f>
        <v>2074.6550000000002</v>
      </c>
      <c r="D125" s="664">
        <f>VLOOKUP(D122,Base_Mensuelle!$OF$68:$RP$679,56,0)</f>
        <v>2105.7050000000004</v>
      </c>
      <c r="E125" s="664">
        <f>VLOOKUP(E122,Base_Mensuelle!$OF$68:$RP$679,56,0)</f>
        <v>2115.7389999999996</v>
      </c>
      <c r="F125" s="664">
        <f>VLOOKUP(F122,Base_Mensuelle!$OF$68:$RP$679,56,0)</f>
        <v>2181.7929999999997</v>
      </c>
      <c r="G125" s="664">
        <f>VLOOKUP(G122,Base_Mensuelle!$OF$68:$RP$679,56,0)</f>
        <v>2230.3210000000004</v>
      </c>
      <c r="H125" s="664">
        <f>VLOOKUP(H122,Base_Mensuelle!$OF$68:$RP$679,56,0)</f>
        <v>2128.2350000000001</v>
      </c>
      <c r="I125" s="664">
        <f>VLOOKUP(I122,Base_Mensuelle!$OF$68:$RP$679,56,0)</f>
        <v>2155.8330000000005</v>
      </c>
      <c r="J125" s="664">
        <f>VLOOKUP(J122,Base_Mensuelle!$OF$68:$RP$679,56,0)</f>
        <v>2179.9090000000001</v>
      </c>
      <c r="K125" s="664">
        <f>VLOOKUP(K122,Base_Mensuelle!$OF$68:$RP$679,56,0)</f>
        <v>2186.7469999999998</v>
      </c>
      <c r="L125" s="664">
        <f>VLOOKUP(L122,Base_Mensuelle!$OF$68:$RP$679,56,0)</f>
        <v>1722.4069999999997</v>
      </c>
      <c r="M125" s="664">
        <f>VLOOKUP(M122,Base_Mensuelle!$OF$68:$RP$679,56,0)</f>
        <v>2455.9319999999998</v>
      </c>
    </row>
    <row r="126" spans="1:13" ht="22.8">
      <c r="A126" s="1157" t="s">
        <v>471</v>
      </c>
      <c r="B126" s="668">
        <f>VLOOKUP(B122,Base_Mensuelle!$OF$68:$RP$679,57,0)</f>
        <v>-386.60900000000004</v>
      </c>
      <c r="C126" s="668">
        <f>VLOOKUP(C122,Base_Mensuelle!$OF$68:$RP$679,57,0)</f>
        <v>-340.94200000000006</v>
      </c>
      <c r="D126" s="668">
        <f>VLOOKUP(D122,Base_Mensuelle!$OF$68:$RP$679,57,0)</f>
        <v>-318.65100000000001</v>
      </c>
      <c r="E126" s="668">
        <f>VLOOKUP(E122,Base_Mensuelle!$OF$68:$RP$679,57,0)</f>
        <v>-339.93299999999999</v>
      </c>
      <c r="F126" s="668">
        <f>VLOOKUP(F122,Base_Mensuelle!$OF$68:$RP$679,57,0)</f>
        <v>-418.58900000000006</v>
      </c>
      <c r="G126" s="668">
        <f>VLOOKUP(G122,Base_Mensuelle!$OF$68:$RP$679,57,0)</f>
        <v>-318.77799999999996</v>
      </c>
      <c r="H126" s="668">
        <f>VLOOKUP(H122,Base_Mensuelle!$OF$68:$RP$679,57,0)</f>
        <v>-301.34300000000002</v>
      </c>
      <c r="I126" s="668">
        <f>VLOOKUP(I122,Base_Mensuelle!$OF$68:$RP$679,57,0)</f>
        <v>-305.78800000000001</v>
      </c>
      <c r="J126" s="668">
        <f>VLOOKUP(J122,Base_Mensuelle!$OF$68:$RP$679,57,0)</f>
        <v>-344.53399999999999</v>
      </c>
      <c r="K126" s="668">
        <f>VLOOKUP(K122,Base_Mensuelle!$OF$68:$RP$679,57,0)</f>
        <v>-330.12700000000001</v>
      </c>
      <c r="L126" s="668">
        <f>VLOOKUP(L122,Base_Mensuelle!$OF$68:$RP$679,57,0)</f>
        <v>-323.15299999999996</v>
      </c>
      <c r="M126" s="668">
        <f>VLOOKUP(M122,Base_Mensuelle!$OF$68:$RP$679,57,0)</f>
        <v>-286.596</v>
      </c>
    </row>
    <row r="127" spans="1:13">
      <c r="A127" s="1156" t="s">
        <v>472</v>
      </c>
      <c r="B127" s="664"/>
      <c r="C127" s="664"/>
      <c r="D127" s="664"/>
      <c r="E127" s="664"/>
      <c r="F127" s="664"/>
      <c r="G127" s="664"/>
      <c r="H127" s="664"/>
      <c r="I127" s="664"/>
      <c r="J127" s="664"/>
      <c r="K127" s="664"/>
      <c r="L127" s="664"/>
      <c r="M127" s="664"/>
    </row>
    <row r="128" spans="1:13" ht="22.8">
      <c r="A128" s="1158" t="s">
        <v>491</v>
      </c>
      <c r="B128" s="671">
        <f>VLOOKUP(B122,Base_Mensuelle!$OF$68:$RP$679,59,0)</f>
        <v>88.022999999999996</v>
      </c>
      <c r="C128" s="671">
        <f>VLOOKUP(C122,Base_Mensuelle!$OF$68:$RP$679,59,0)</f>
        <v>95.090999999999994</v>
      </c>
      <c r="D128" s="671">
        <f>VLOOKUP(D122,Base_Mensuelle!$OF$68:$RP$679,59,0)</f>
        <v>89.531999999999996</v>
      </c>
      <c r="E128" s="671">
        <f>VLOOKUP(E122,Base_Mensuelle!$OF$68:$RP$679,59,0)</f>
        <v>84.988</v>
      </c>
      <c r="F128" s="671">
        <f>VLOOKUP(F122,Base_Mensuelle!$OF$68:$RP$679,59,0)</f>
        <v>93.899000000000001</v>
      </c>
      <c r="G128" s="671">
        <f>VLOOKUP(G122,Base_Mensuelle!$OF$68:$RP$679,59,0)</f>
        <v>88.381</v>
      </c>
      <c r="H128" s="671">
        <f>VLOOKUP(H122,Base_Mensuelle!$OF$68:$RP$679,59,0)</f>
        <v>97.795000000000002</v>
      </c>
      <c r="I128" s="671">
        <f>VLOOKUP(I122,Base_Mensuelle!$OF$68:$RP$679,59,0)</f>
        <v>88.057000000000002</v>
      </c>
      <c r="J128" s="671">
        <f>VLOOKUP(J122,Base_Mensuelle!$OF$68:$RP$679,59,0)</f>
        <v>86.676000000000002</v>
      </c>
      <c r="K128" s="671">
        <f>VLOOKUP(K122,Base_Mensuelle!$OF$68:$RP$679,59,0)</f>
        <v>90.831999999999994</v>
      </c>
      <c r="L128" s="671">
        <f>VLOOKUP(L122,Base_Mensuelle!$OF$68:$RP$679,59,0)</f>
        <v>95.388999999999996</v>
      </c>
      <c r="M128" s="671">
        <f>VLOOKUP(M122,Base_Mensuelle!$OF$68:$RP$679,59,0)</f>
        <v>113.282</v>
      </c>
    </row>
    <row r="129" spans="1:13">
      <c r="A129" s="1156" t="s">
        <v>492</v>
      </c>
      <c r="B129" s="664">
        <f>VLOOKUP(B122,Base_Mensuelle!$OF$68:$RP$679,60,0)</f>
        <v>344.58300000000003</v>
      </c>
      <c r="C129" s="664">
        <f>VLOOKUP(C122,Base_Mensuelle!$OF$68:$RP$679,60,0)</f>
        <v>283.65699999999998</v>
      </c>
      <c r="D129" s="664">
        <f>VLOOKUP(D122,Base_Mensuelle!$OF$68:$RP$679,60,0)</f>
        <v>295.41800000000001</v>
      </c>
      <c r="E129" s="664">
        <f>VLOOKUP(E122,Base_Mensuelle!$OF$68:$RP$679,60,0)</f>
        <v>228.529</v>
      </c>
      <c r="F129" s="664">
        <f>VLOOKUP(F122,Base_Mensuelle!$OF$68:$RP$679,60,0)</f>
        <v>328.93299999999999</v>
      </c>
      <c r="G129" s="664">
        <f>VLOOKUP(G122,Base_Mensuelle!$OF$68:$RP$679,60,0)</f>
        <v>249.12700000000001</v>
      </c>
      <c r="H129" s="664">
        <f>VLOOKUP(H122,Base_Mensuelle!$OF$68:$RP$679,60,0)</f>
        <v>341.988</v>
      </c>
      <c r="I129" s="664">
        <f>VLOOKUP(I122,Base_Mensuelle!$OF$68:$RP$679,60,0)</f>
        <v>338.762</v>
      </c>
      <c r="J129" s="664">
        <f>VLOOKUP(J122,Base_Mensuelle!$OF$68:$RP$679,60,0)</f>
        <v>464.04599999999999</v>
      </c>
      <c r="K129" s="664">
        <f>VLOOKUP(K122,Base_Mensuelle!$OF$68:$RP$679,60,0)</f>
        <v>319.72699999999998</v>
      </c>
      <c r="L129" s="664">
        <f>VLOOKUP(L122,Base_Mensuelle!$OF$68:$RP$679,60,0)</f>
        <v>383.39299999999997</v>
      </c>
      <c r="M129" s="664">
        <f>VLOOKUP(M122,Base_Mensuelle!$OF$68:$RP$679,60,0)</f>
        <v>536.61700000000008</v>
      </c>
    </row>
    <row r="130" spans="1:13">
      <c r="A130" s="1157" t="s">
        <v>493</v>
      </c>
      <c r="B130" s="668">
        <f>VLOOKUP(B122,Base_Mensuelle!$OF$68:$RP$679,61,0)</f>
        <v>0</v>
      </c>
      <c r="C130" s="668">
        <f>VLOOKUP(C122,Base_Mensuelle!$OF$68:$RP$679,61,0)</f>
        <v>0</v>
      </c>
      <c r="D130" s="668">
        <f>VLOOKUP(D122,Base_Mensuelle!$OF$68:$RP$679,61,0)</f>
        <v>0</v>
      </c>
      <c r="E130" s="668">
        <f>VLOOKUP(E122,Base_Mensuelle!$OF$68:$RP$679,61,0)</f>
        <v>0</v>
      </c>
      <c r="F130" s="668">
        <f>VLOOKUP(F122,Base_Mensuelle!$OF$68:$RP$679,61,0)</f>
        <v>0</v>
      </c>
      <c r="G130" s="668">
        <f>VLOOKUP(G122,Base_Mensuelle!$OF$68:$RP$679,61,0)</f>
        <v>0</v>
      </c>
      <c r="H130" s="668">
        <f>VLOOKUP(H122,Base_Mensuelle!$OF$68:$RP$679,61,0)</f>
        <v>0</v>
      </c>
      <c r="I130" s="668">
        <f>VLOOKUP(I122,Base_Mensuelle!$OF$68:$RP$679,61,0)</f>
        <v>0</v>
      </c>
      <c r="J130" s="668">
        <f>VLOOKUP(J122,Base_Mensuelle!$OF$68:$RP$679,61,0)</f>
        <v>0</v>
      </c>
      <c r="K130" s="668">
        <f>VLOOKUP(K122,Base_Mensuelle!$OF$68:$RP$679,61,0)</f>
        <v>0</v>
      </c>
      <c r="L130" s="668">
        <f>VLOOKUP(L122,Base_Mensuelle!$OF$68:$RP$679,61,0)</f>
        <v>0</v>
      </c>
      <c r="M130" s="668">
        <f>VLOOKUP(M122,Base_Mensuelle!$OF$68:$RP$679,61,0)</f>
        <v>0</v>
      </c>
    </row>
    <row r="131" spans="1:13">
      <c r="A131" s="1159" t="s">
        <v>472</v>
      </c>
      <c r="B131" s="674"/>
      <c r="C131" s="674"/>
      <c r="D131" s="674"/>
      <c r="E131" s="674"/>
      <c r="F131" s="674"/>
      <c r="G131" s="674"/>
      <c r="H131" s="674"/>
      <c r="I131" s="674"/>
      <c r="J131" s="674"/>
      <c r="K131" s="674"/>
      <c r="L131" s="674"/>
      <c r="M131" s="674"/>
    </row>
    <row r="132" spans="1:13" ht="22.8">
      <c r="A132" s="1160" t="s">
        <v>474</v>
      </c>
      <c r="B132" s="674">
        <f>VLOOKUP(B122,Base_Mensuelle!$OF$68:$RP$679,63,0)</f>
        <v>863.59500000000003</v>
      </c>
      <c r="C132" s="674">
        <f>VLOOKUP(C122,Base_Mensuelle!$OF$68:$RP$679,63,0)</f>
        <v>859.77700000000004</v>
      </c>
      <c r="D132" s="674">
        <f>VLOOKUP(D122,Base_Mensuelle!$OF$68:$RP$679,63,0)</f>
        <v>1008.967</v>
      </c>
      <c r="E132" s="674">
        <f>VLOOKUP(E122,Base_Mensuelle!$OF$68:$RP$679,63,0)</f>
        <v>1054.193</v>
      </c>
      <c r="F132" s="674">
        <f>VLOOKUP(F122,Base_Mensuelle!$OF$68:$RP$679,63,0)</f>
        <v>1084.106</v>
      </c>
      <c r="G132" s="674">
        <f>VLOOKUP(G122,Base_Mensuelle!$OF$68:$RP$679,63,0)</f>
        <v>1078.2270000000001</v>
      </c>
      <c r="H132" s="674">
        <f>VLOOKUP(H122,Base_Mensuelle!$OF$68:$RP$679,63,0)</f>
        <v>1029.73</v>
      </c>
      <c r="I132" s="674">
        <f>VLOOKUP(I122,Base_Mensuelle!$OF$68:$RP$679,63,0)</f>
        <v>1031.646</v>
      </c>
      <c r="J132" s="674">
        <f>VLOOKUP(J122,Base_Mensuelle!$OF$68:$RP$679,63,0)</f>
        <v>1026.8610000000001</v>
      </c>
      <c r="K132" s="674">
        <f>VLOOKUP(K122,Base_Mensuelle!$OF$68:$RP$679,63,0)</f>
        <v>1083.3150000000001</v>
      </c>
      <c r="L132" s="674">
        <f>VLOOKUP(L122,Base_Mensuelle!$OF$68:$RP$679,63,0)</f>
        <v>1370.546</v>
      </c>
      <c r="M132" s="674">
        <f>VLOOKUP(M122,Base_Mensuelle!$OF$68:$RP$679,63,0)</f>
        <v>874.07600000000002</v>
      </c>
    </row>
    <row r="133" spans="1:13" ht="22.8">
      <c r="A133" s="1157" t="s">
        <v>475</v>
      </c>
      <c r="B133" s="668">
        <f>VLOOKUP(B122,Base_Mensuelle!$OF$68:$RP$679,64,0)</f>
        <v>-685.9369999999999</v>
      </c>
      <c r="C133" s="668">
        <f>VLOOKUP(C122,Base_Mensuelle!$OF$68:$RP$679,64,0)</f>
        <v>-692.85100000000011</v>
      </c>
      <c r="D133" s="668">
        <f>VLOOKUP(D122,Base_Mensuelle!$OF$68:$RP$679,64,0)</f>
        <v>-696.91800000000001</v>
      </c>
      <c r="E133" s="668">
        <f>VLOOKUP(E122,Base_Mensuelle!$OF$68:$RP$679,64,0)</f>
        <v>-711.32</v>
      </c>
      <c r="F133" s="668">
        <f>VLOOKUP(F122,Base_Mensuelle!$OF$68:$RP$679,64,0)</f>
        <v>-726.44500000000005</v>
      </c>
      <c r="G133" s="668">
        <f>VLOOKUP(G122,Base_Mensuelle!$OF$68:$RP$679,64,0)</f>
        <v>-779.64800000000002</v>
      </c>
      <c r="H133" s="668">
        <f>VLOOKUP(H122,Base_Mensuelle!$OF$68:$RP$679,64,0)</f>
        <v>-766.279</v>
      </c>
      <c r="I133" s="668">
        <f>VLOOKUP(I122,Base_Mensuelle!$OF$68:$RP$679,64,0)</f>
        <v>-765.61200000000008</v>
      </c>
      <c r="J133" s="668">
        <f>VLOOKUP(J122,Base_Mensuelle!$OF$68:$RP$679,64,0)</f>
        <v>-775.48599999999999</v>
      </c>
      <c r="K133" s="668">
        <f>VLOOKUP(K122,Base_Mensuelle!$OF$68:$RP$679,64,0)</f>
        <v>-810.30099999999993</v>
      </c>
      <c r="L133" s="668">
        <f>VLOOKUP(L122,Base_Mensuelle!$OF$68:$RP$679,64,0)</f>
        <v>-830.79200000000003</v>
      </c>
      <c r="M133" s="668">
        <f>VLOOKUP(M122,Base_Mensuelle!$OF$68:$RP$679,64,0)</f>
        <v>-845.18200000000002</v>
      </c>
    </row>
    <row r="134" spans="1:13" ht="22.8">
      <c r="A134" s="1156" t="s">
        <v>476</v>
      </c>
      <c r="B134" s="664">
        <f>VLOOKUP(B122,Base_Mensuelle!$OF$68:$RP$679,65,0)</f>
        <v>3110.998</v>
      </c>
      <c r="C134" s="664">
        <f>VLOOKUP(C122,Base_Mensuelle!$OF$68:$RP$679,65,0)</f>
        <v>3082.9539999999997</v>
      </c>
      <c r="D134" s="664">
        <f>VLOOKUP(D122,Base_Mensuelle!$OF$68:$RP$679,65,0)</f>
        <v>3073.4369999999999</v>
      </c>
      <c r="E134" s="664">
        <f>VLOOKUP(E122,Base_Mensuelle!$OF$68:$RP$679,65,0)</f>
        <v>3064.6550000000002</v>
      </c>
      <c r="F134" s="664">
        <f>VLOOKUP(F122,Base_Mensuelle!$OF$68:$RP$679,65,0)</f>
        <v>3094.4629999999997</v>
      </c>
      <c r="G134" s="664">
        <f>VLOOKUP(G122,Base_Mensuelle!$OF$68:$RP$679,65,0)</f>
        <v>3215.9340000000002</v>
      </c>
      <c r="H134" s="664">
        <f>VLOOKUP(H122,Base_Mensuelle!$OF$68:$RP$679,65,0)</f>
        <v>3319.0340000000001</v>
      </c>
      <c r="I134" s="664">
        <f>VLOOKUP(I122,Base_Mensuelle!$OF$68:$RP$679,65,0)</f>
        <v>3150.2839999999997</v>
      </c>
      <c r="J134" s="664">
        <f>VLOOKUP(J122,Base_Mensuelle!$OF$68:$RP$679,65,0)</f>
        <v>3278.636</v>
      </c>
      <c r="K134" s="664">
        <f>VLOOKUP(K122,Base_Mensuelle!$OF$68:$RP$679,65,0)</f>
        <v>3294.2039999999997</v>
      </c>
      <c r="L134" s="664">
        <f>VLOOKUP(L122,Base_Mensuelle!$OF$68:$RP$679,65,0)</f>
        <v>3272.759</v>
      </c>
      <c r="M134" s="664">
        <f>VLOOKUP(M122,Base_Mensuelle!$OF$68:$RP$679,65,0)</f>
        <v>3546.2490000000003</v>
      </c>
    </row>
    <row r="135" spans="1:13">
      <c r="A135" s="1161" t="s">
        <v>472</v>
      </c>
      <c r="B135" s="668"/>
      <c r="C135" s="668"/>
      <c r="D135" s="668"/>
      <c r="E135" s="668"/>
      <c r="F135" s="668"/>
      <c r="G135" s="668"/>
      <c r="H135" s="668"/>
      <c r="I135" s="668"/>
      <c r="J135" s="668"/>
      <c r="K135" s="668"/>
      <c r="L135" s="668"/>
      <c r="M135" s="668"/>
    </row>
    <row r="136" spans="1:13">
      <c r="A136" s="1160" t="s">
        <v>477</v>
      </c>
      <c r="B136" s="674">
        <f>VLOOKUP(B122,Base_Mensuelle!$OF$68:$RP$679,67,0)</f>
        <v>2.1159999999999997</v>
      </c>
      <c r="C136" s="674">
        <f>VLOOKUP(C122,Base_Mensuelle!$OF$68:$RP$679,67,0)</f>
        <v>2.3310000000000004</v>
      </c>
      <c r="D136" s="674">
        <f>VLOOKUP(D122,Base_Mensuelle!$OF$68:$RP$679,67,0)</f>
        <v>5.484</v>
      </c>
      <c r="E136" s="674">
        <f>VLOOKUP(E122,Base_Mensuelle!$OF$68:$RP$679,67,0)</f>
        <v>5.8469999999999995</v>
      </c>
      <c r="F136" s="674">
        <f>VLOOKUP(F122,Base_Mensuelle!$OF$68:$RP$679,67,0)</f>
        <v>0.111</v>
      </c>
      <c r="G136" s="674">
        <f>VLOOKUP(G122,Base_Mensuelle!$OF$68:$RP$679,67,0)</f>
        <v>0.11</v>
      </c>
      <c r="H136" s="674">
        <f>VLOOKUP(H122,Base_Mensuelle!$OF$68:$RP$679,67,0)</f>
        <v>0.107</v>
      </c>
      <c r="I136" s="674">
        <f>VLOOKUP(I122,Base_Mensuelle!$OF$68:$RP$679,67,0)</f>
        <v>0.10100000000000001</v>
      </c>
      <c r="J136" s="674">
        <f>VLOOKUP(J122,Base_Mensuelle!$OF$68:$RP$679,67,0)</f>
        <v>1.4999999999999999E-2</v>
      </c>
      <c r="K136" s="674">
        <f>VLOOKUP(K122,Base_Mensuelle!$OF$68:$RP$679,67,0)</f>
        <v>1.7000000000000001E-2</v>
      </c>
      <c r="L136" s="674">
        <f>VLOOKUP(L122,Base_Mensuelle!$OF$68:$RP$679,67,0)</f>
        <v>1.7000000000000001E-2</v>
      </c>
      <c r="M136" s="674">
        <f>VLOOKUP(M122,Base_Mensuelle!$OF$68:$RP$679,67,0)</f>
        <v>1.6E-2</v>
      </c>
    </row>
    <row r="137" spans="1:13" ht="22.8">
      <c r="A137" s="1157" t="s">
        <v>478</v>
      </c>
      <c r="B137" s="668">
        <f>VLOOKUP(B122,Base_Mensuelle!$OF$68:$RP$679,68,0)</f>
        <v>229.96300000000002</v>
      </c>
      <c r="C137" s="668">
        <f>VLOOKUP(C122,Base_Mensuelle!$OF$68:$RP$679,68,0)</f>
        <v>230.959</v>
      </c>
      <c r="D137" s="668">
        <f>VLOOKUP(D122,Base_Mensuelle!$OF$68:$RP$679,68,0)</f>
        <v>241.50500000000002</v>
      </c>
      <c r="E137" s="668">
        <f>VLOOKUP(E122,Base_Mensuelle!$OF$68:$RP$679,68,0)</f>
        <v>252.02600000000001</v>
      </c>
      <c r="F137" s="668">
        <f>VLOOKUP(F122,Base_Mensuelle!$OF$68:$RP$679,68,0)</f>
        <v>255.53</v>
      </c>
      <c r="G137" s="668">
        <f>VLOOKUP(G122,Base_Mensuelle!$OF$68:$RP$679,68,0)</f>
        <v>255.95500000000001</v>
      </c>
      <c r="H137" s="668">
        <f>VLOOKUP(H122,Base_Mensuelle!$OF$68:$RP$679,68,0)</f>
        <v>265.97800000000001</v>
      </c>
      <c r="I137" s="668">
        <f>VLOOKUP(I122,Base_Mensuelle!$OF$68:$RP$679,68,0)</f>
        <v>249.30100000000002</v>
      </c>
      <c r="J137" s="668">
        <f>VLOOKUP(J122,Base_Mensuelle!$OF$68:$RP$679,68,0)</f>
        <v>245.72800000000001</v>
      </c>
      <c r="K137" s="668">
        <f>VLOOKUP(K122,Base_Mensuelle!$OF$68:$RP$679,68,0)</f>
        <v>247.22400000000002</v>
      </c>
      <c r="L137" s="668">
        <f>VLOOKUP(L122,Base_Mensuelle!$OF$68:$RP$679,68,0)</f>
        <v>222.42100000000002</v>
      </c>
      <c r="M137" s="668">
        <f>VLOOKUP(M122,Base_Mensuelle!$OF$68:$RP$679,68,0)</f>
        <v>289.41499999999996</v>
      </c>
    </row>
    <row r="138" spans="1:13" ht="22.8">
      <c r="A138" s="1156" t="s">
        <v>494</v>
      </c>
      <c r="B138" s="664">
        <f>VLOOKUP(B122,Base_Mensuelle!$OF$68:$RP$679,69,0)</f>
        <v>2810.4949999999999</v>
      </c>
      <c r="C138" s="664">
        <f>VLOOKUP(C122,Base_Mensuelle!$OF$68:$RP$679,69,0)</f>
        <v>2827.1189999999997</v>
      </c>
      <c r="D138" s="664">
        <f>VLOOKUP(D122,Base_Mensuelle!$OF$68:$RP$679,69,0)</f>
        <v>2801.7129999999997</v>
      </c>
      <c r="E138" s="664">
        <f>VLOOKUP(E122,Base_Mensuelle!$OF$68:$RP$679,69,0)</f>
        <v>2782.6930000000002</v>
      </c>
      <c r="F138" s="664">
        <f>VLOOKUP(F122,Base_Mensuelle!$OF$68:$RP$679,69,0)</f>
        <v>2812.8689999999997</v>
      </c>
      <c r="G138" s="664">
        <f>VLOOKUP(G122,Base_Mensuelle!$OF$68:$RP$679,69,0)</f>
        <v>2930.2620000000002</v>
      </c>
      <c r="H138" s="664">
        <f>VLOOKUP(H122,Base_Mensuelle!$OF$68:$RP$679,69,0)</f>
        <v>3008.1120000000001</v>
      </c>
      <c r="I138" s="664">
        <f>VLOOKUP(I122,Base_Mensuelle!$OF$68:$RP$679,69,0)</f>
        <v>2866.9679999999998</v>
      </c>
      <c r="J138" s="664">
        <f>VLOOKUP(J122,Base_Mensuelle!$OF$68:$RP$679,69,0)</f>
        <v>2995.165</v>
      </c>
      <c r="K138" s="664">
        <f>VLOOKUP(K122,Base_Mensuelle!$OF$68:$RP$679,69,0)</f>
        <v>3012.5219999999999</v>
      </c>
      <c r="L138" s="664">
        <f>VLOOKUP(L122,Base_Mensuelle!$OF$68:$RP$679,69,0)</f>
        <v>3015.8649999999998</v>
      </c>
      <c r="M138" s="664">
        <f>VLOOKUP(M122,Base_Mensuelle!$OF$68:$RP$679,69,0)</f>
        <v>3215.3860000000004</v>
      </c>
    </row>
    <row r="139" spans="1:13" ht="22.8">
      <c r="A139" s="1157" t="s">
        <v>495</v>
      </c>
      <c r="B139" s="668">
        <f>VLOOKUP(B122,Base_Mensuelle!$OF$68:$RP$679,70,0)</f>
        <v>0</v>
      </c>
      <c r="C139" s="668">
        <f>VLOOKUP(C122,Base_Mensuelle!$OF$68:$RP$679,70,0)</f>
        <v>0</v>
      </c>
      <c r="D139" s="668">
        <f>VLOOKUP(D122,Base_Mensuelle!$OF$68:$RP$679,70,0)</f>
        <v>0</v>
      </c>
      <c r="E139" s="668">
        <f>VLOOKUP(E122,Base_Mensuelle!$OF$68:$RP$679,70,0)</f>
        <v>0</v>
      </c>
      <c r="F139" s="668">
        <f>VLOOKUP(F122,Base_Mensuelle!$OF$68:$RP$679,70,0)</f>
        <v>0</v>
      </c>
      <c r="G139" s="668">
        <f>VLOOKUP(G122,Base_Mensuelle!$OF$68:$RP$679,70,0)</f>
        <v>0</v>
      </c>
      <c r="H139" s="668">
        <f>VLOOKUP(H122,Base_Mensuelle!$OF$68:$RP$679,70,0)</f>
        <v>0</v>
      </c>
      <c r="I139" s="668">
        <f>VLOOKUP(I122,Base_Mensuelle!$OF$68:$RP$679,70,0)</f>
        <v>0</v>
      </c>
      <c r="J139" s="668">
        <f>VLOOKUP(J122,Base_Mensuelle!$OF$68:$RP$679,70,0)</f>
        <v>0</v>
      </c>
      <c r="K139" s="668">
        <f>VLOOKUP(K122,Base_Mensuelle!$OF$68:$RP$679,70,0)</f>
        <v>0</v>
      </c>
      <c r="L139" s="668">
        <f>VLOOKUP(L122,Base_Mensuelle!$OF$68:$RP$679,70,0)</f>
        <v>0</v>
      </c>
      <c r="M139" s="668">
        <f>VLOOKUP(M122,Base_Mensuelle!$OF$68:$RP$679,70,0)</f>
        <v>0</v>
      </c>
    </row>
    <row r="140" spans="1:13">
      <c r="A140" s="1156" t="s">
        <v>479</v>
      </c>
      <c r="B140" s="664">
        <f>VLOOKUP(B122,Base_Mensuelle!$OF$68:$RP$679,71,0)</f>
        <v>728.01400000000001</v>
      </c>
      <c r="C140" s="664">
        <f>VLOOKUP(C122,Base_Mensuelle!$OF$68:$RP$679,71,0)</f>
        <v>689.90100000000007</v>
      </c>
      <c r="D140" s="664">
        <f>VLOOKUP(D122,Base_Mensuelle!$OF$68:$RP$679,71,0)</f>
        <v>696.255</v>
      </c>
      <c r="E140" s="664">
        <f>VLOOKUP(E122,Base_Mensuelle!$OF$68:$RP$679,71,0)</f>
        <v>617.71499999999833</v>
      </c>
      <c r="F140" s="664">
        <f>VLOOKUP(F122,Base_Mensuelle!$OF$68:$RP$679,71,0)</f>
        <v>733.77500000000009</v>
      </c>
      <c r="G140" s="664">
        <f>VLOOKUP(G122,Base_Mensuelle!$OF$68:$RP$679,71,0)</f>
        <v>709.49</v>
      </c>
      <c r="H140" s="664">
        <f>VLOOKUP(H122,Base_Mensuelle!$OF$68:$RP$679,71,0)</f>
        <v>726.80300000000011</v>
      </c>
      <c r="I140" s="664">
        <f>VLOOKUP(I122,Base_Mensuelle!$OF$68:$RP$679,71,0)</f>
        <v>717.32399999999996</v>
      </c>
      <c r="J140" s="664">
        <f>VLOOKUP(J122,Base_Mensuelle!$OF$68:$RP$679,71,0)</f>
        <v>795.99900000000002</v>
      </c>
      <c r="K140" s="664">
        <f>VLOOKUP(K122,Base_Mensuelle!$OF$68:$RP$679,71,0)</f>
        <v>781.721</v>
      </c>
      <c r="L140" s="664">
        <f>VLOOKUP(L122,Base_Mensuelle!$OF$68:$RP$679,71,0)</f>
        <v>788.47</v>
      </c>
      <c r="M140" s="664">
        <f>VLOOKUP(M122,Base_Mensuelle!$OF$68:$RP$679,71,0)</f>
        <v>1088.1970000000001</v>
      </c>
    </row>
    <row r="141" spans="1:13">
      <c r="A141" s="1161" t="s">
        <v>472</v>
      </c>
      <c r="B141" s="668"/>
      <c r="C141" s="668"/>
      <c r="D141" s="668"/>
      <c r="E141" s="668"/>
      <c r="F141" s="668"/>
      <c r="G141" s="668"/>
      <c r="H141" s="668"/>
      <c r="I141" s="668"/>
      <c r="J141" s="668"/>
      <c r="K141" s="668"/>
      <c r="L141" s="668"/>
      <c r="M141" s="668"/>
    </row>
    <row r="142" spans="1:13">
      <c r="A142" s="1162" t="s">
        <v>496</v>
      </c>
      <c r="B142" s="675"/>
      <c r="C142" s="675"/>
      <c r="D142" s="675"/>
      <c r="E142" s="675"/>
      <c r="F142" s="675"/>
      <c r="G142" s="675"/>
      <c r="H142" s="675"/>
      <c r="I142" s="675"/>
      <c r="J142" s="675"/>
      <c r="K142" s="675"/>
      <c r="L142" s="675"/>
      <c r="M142" s="675"/>
    </row>
    <row r="143" spans="1:13" ht="22.8">
      <c r="A143" s="1158" t="s">
        <v>497</v>
      </c>
      <c r="B143" s="671">
        <f>VLOOKUP(B122,Base_Mensuelle!$OF$68:$RP$679,74,0)</f>
        <v>0</v>
      </c>
      <c r="C143" s="671">
        <f>VLOOKUP(C122,Base_Mensuelle!$OF$68:$RP$679,74,0)</f>
        <v>0</v>
      </c>
      <c r="D143" s="671">
        <f>VLOOKUP(D122,Base_Mensuelle!$OF$68:$RP$679,74,0)</f>
        <v>0</v>
      </c>
      <c r="E143" s="671">
        <f>VLOOKUP(E122,Base_Mensuelle!$OF$68:$RP$679,74,0)</f>
        <v>0</v>
      </c>
      <c r="F143" s="671">
        <f>VLOOKUP(F122,Base_Mensuelle!$OF$68:$RP$679,74,0)</f>
        <v>0</v>
      </c>
      <c r="G143" s="671">
        <f>VLOOKUP(G122,Base_Mensuelle!$OF$68:$RP$679,74,0)</f>
        <v>0</v>
      </c>
      <c r="H143" s="671">
        <f>VLOOKUP(H122,Base_Mensuelle!$OF$68:$RP$679,74,0)</f>
        <v>0</v>
      </c>
      <c r="I143" s="671">
        <f>VLOOKUP(I122,Base_Mensuelle!$OF$68:$RP$679,74,0)</f>
        <v>0</v>
      </c>
      <c r="J143" s="671">
        <f>VLOOKUP(J122,Base_Mensuelle!$OF$68:$RP$679,74,0)</f>
        <v>0</v>
      </c>
      <c r="K143" s="671">
        <f>VLOOKUP(K122,Base_Mensuelle!$OF$68:$RP$679,74,0)</f>
        <v>0</v>
      </c>
      <c r="L143" s="671">
        <f>VLOOKUP(L122,Base_Mensuelle!$OF$68:$RP$679,74,0)</f>
        <v>0</v>
      </c>
      <c r="M143" s="671">
        <f>VLOOKUP(M122,Base_Mensuelle!$OF$68:$RP$679,74,0)</f>
        <v>0</v>
      </c>
    </row>
    <row r="144" spans="1:13">
      <c r="A144" s="1160" t="s">
        <v>472</v>
      </c>
      <c r="B144" s="674"/>
      <c r="C144" s="674"/>
      <c r="D144" s="674"/>
      <c r="E144" s="674"/>
      <c r="F144" s="674"/>
      <c r="G144" s="674"/>
      <c r="H144" s="674"/>
      <c r="I144" s="674"/>
      <c r="J144" s="674"/>
      <c r="K144" s="674"/>
      <c r="L144" s="674"/>
      <c r="M144" s="674"/>
    </row>
    <row r="145" spans="1:13" ht="34.200000000000003">
      <c r="A145" s="1158" t="s">
        <v>498</v>
      </c>
      <c r="B145" s="671">
        <f>VLOOKUP(B122,Base_Mensuelle!$OF$68:$RP$679,76,0)</f>
        <v>0</v>
      </c>
      <c r="C145" s="671">
        <f>VLOOKUP(C122,Base_Mensuelle!$OF$68:$RP$679,76,0)</f>
        <v>0</v>
      </c>
      <c r="D145" s="671">
        <f>VLOOKUP(D122,Base_Mensuelle!$OF$68:$RP$679,76,0)</f>
        <v>0</v>
      </c>
      <c r="E145" s="671">
        <f>VLOOKUP(E122,Base_Mensuelle!$OF$68:$RP$679,76,0)</f>
        <v>0</v>
      </c>
      <c r="F145" s="671">
        <f>VLOOKUP(F122,Base_Mensuelle!$OF$68:$RP$679,76,0)</f>
        <v>0</v>
      </c>
      <c r="G145" s="671">
        <f>VLOOKUP(G122,Base_Mensuelle!$OF$68:$RP$679,76,0)</f>
        <v>0</v>
      </c>
      <c r="H145" s="671">
        <f>VLOOKUP(H122,Base_Mensuelle!$OF$68:$RP$679,76,0)</f>
        <v>0</v>
      </c>
      <c r="I145" s="671">
        <f>VLOOKUP(I122,Base_Mensuelle!$OF$68:$RP$679,76,0)</f>
        <v>0</v>
      </c>
      <c r="J145" s="671">
        <f>VLOOKUP(J122,Base_Mensuelle!$OF$68:$RP$679,76,0)</f>
        <v>0</v>
      </c>
      <c r="K145" s="671">
        <f>VLOOKUP(K122,Base_Mensuelle!$OF$68:$RP$679,76,0)</f>
        <v>0</v>
      </c>
      <c r="L145" s="671">
        <f>VLOOKUP(L122,Base_Mensuelle!$OF$68:$RP$679,76,0)</f>
        <v>0</v>
      </c>
      <c r="M145" s="671">
        <f>VLOOKUP(M122,Base_Mensuelle!$OF$68:$RP$679,76,0)</f>
        <v>0</v>
      </c>
    </row>
    <row r="146" spans="1:13">
      <c r="A146" s="1160" t="s">
        <v>472</v>
      </c>
      <c r="B146" s="674"/>
      <c r="C146" s="674"/>
      <c r="D146" s="674"/>
      <c r="E146" s="674"/>
      <c r="F146" s="674"/>
      <c r="G146" s="674"/>
      <c r="H146" s="674"/>
      <c r="I146" s="674"/>
      <c r="J146" s="674"/>
      <c r="K146" s="674"/>
      <c r="L146" s="674"/>
      <c r="M146" s="674"/>
    </row>
    <row r="147" spans="1:13" ht="22.8">
      <c r="A147" s="1158" t="s">
        <v>499</v>
      </c>
      <c r="B147" s="671">
        <f>VLOOKUP(B122,Base_Mensuelle!$OF$68:$RP$679,78,0)</f>
        <v>0</v>
      </c>
      <c r="C147" s="671">
        <f>VLOOKUP(C122,Base_Mensuelle!$OF$68:$RP$679,78,0)</f>
        <v>0</v>
      </c>
      <c r="D147" s="671">
        <f>VLOOKUP(D122,Base_Mensuelle!$OF$68:$RP$679,78,0)</f>
        <v>0</v>
      </c>
      <c r="E147" s="671">
        <f>VLOOKUP(E122,Base_Mensuelle!$OF$68:$RP$679,78,0)</f>
        <v>0</v>
      </c>
      <c r="F147" s="671">
        <f>VLOOKUP(F122,Base_Mensuelle!$OF$68:$RP$679,78,0)</f>
        <v>0</v>
      </c>
      <c r="G147" s="671">
        <f>VLOOKUP(G122,Base_Mensuelle!$OF$68:$RP$679,78,0)</f>
        <v>0</v>
      </c>
      <c r="H147" s="671">
        <f>VLOOKUP(H122,Base_Mensuelle!$OF$68:$RP$679,78,0)</f>
        <v>0</v>
      </c>
      <c r="I147" s="671">
        <f>VLOOKUP(I122,Base_Mensuelle!$OF$68:$RP$679,78,0)</f>
        <v>0</v>
      </c>
      <c r="J147" s="671">
        <f>VLOOKUP(J122,Base_Mensuelle!$OF$68:$RP$679,78,0)</f>
        <v>0</v>
      </c>
      <c r="K147" s="671">
        <f>VLOOKUP(K122,Base_Mensuelle!$OF$68:$RP$679,78,0)</f>
        <v>0</v>
      </c>
      <c r="L147" s="671">
        <f>VLOOKUP(L122,Base_Mensuelle!$OF$68:$RP$679,78,0)</f>
        <v>0</v>
      </c>
      <c r="M147" s="671">
        <f>VLOOKUP(M122,Base_Mensuelle!$OF$68:$RP$679,78,0)</f>
        <v>0</v>
      </c>
    </row>
    <row r="148" spans="1:13">
      <c r="A148" s="1160" t="s">
        <v>472</v>
      </c>
      <c r="B148" s="674"/>
      <c r="C148" s="674"/>
      <c r="D148" s="674"/>
      <c r="E148" s="674"/>
      <c r="F148" s="674"/>
      <c r="G148" s="674"/>
      <c r="H148" s="674"/>
      <c r="I148" s="674"/>
      <c r="J148" s="674"/>
      <c r="K148" s="674"/>
      <c r="L148" s="674"/>
      <c r="M148" s="674"/>
    </row>
    <row r="149" spans="1:13" ht="22.8">
      <c r="A149" s="1158" t="s">
        <v>485</v>
      </c>
      <c r="B149" s="671">
        <f>VLOOKUP(B122,Base_Mensuelle!$OF$68:$RP$679,80,0)</f>
        <v>640.8239999999995</v>
      </c>
      <c r="C149" s="671">
        <f>VLOOKUP(C122,Base_Mensuelle!$OF$68:$RP$679,80,0)</f>
        <v>647.90200000000004</v>
      </c>
      <c r="D149" s="671">
        <f>VLOOKUP(D122,Base_Mensuelle!$OF$68:$RP$679,80,0)</f>
        <v>654.49299999999994</v>
      </c>
      <c r="E149" s="671">
        <f>VLOOKUP(E122,Base_Mensuelle!$OF$68:$RP$679,80,0)</f>
        <v>640.755</v>
      </c>
      <c r="F149" s="671">
        <f>VLOOKUP(F122,Base_Mensuelle!$OF$68:$RP$679,80,0)</f>
        <v>649.7789999999992</v>
      </c>
      <c r="G149" s="671">
        <f>VLOOKUP(G122,Base_Mensuelle!$OF$68:$RP$679,80,0)</f>
        <v>654.78199999999993</v>
      </c>
      <c r="H149" s="671">
        <f>VLOOKUP(H122,Base_Mensuelle!$OF$68:$RP$679,80,0)</f>
        <v>710.86599999999999</v>
      </c>
      <c r="I149" s="671">
        <f>VLOOKUP(I122,Base_Mensuelle!$OF$68:$RP$679,80,0)</f>
        <v>673.09100000000001</v>
      </c>
      <c r="J149" s="671">
        <f>VLOOKUP(J122,Base_Mensuelle!$OF$68:$RP$679,80,0)</f>
        <v>685.98299999999995</v>
      </c>
      <c r="K149" s="671">
        <f>VLOOKUP(K122,Base_Mensuelle!$OF$68:$RP$679,80,0)</f>
        <v>698.67100000000005</v>
      </c>
      <c r="L149" s="671">
        <f>VLOOKUP(L122,Base_Mensuelle!$OF$68:$RP$679,80,0)</f>
        <v>705.51499999999999</v>
      </c>
      <c r="M149" s="671">
        <f>VLOOKUP(M122,Base_Mensuelle!$OF$68:$RP$679,80,0)</f>
        <v>723.61599999999999</v>
      </c>
    </row>
    <row r="150" spans="1:13">
      <c r="A150" s="1160" t="s">
        <v>472</v>
      </c>
      <c r="B150" s="674"/>
      <c r="C150" s="674"/>
      <c r="D150" s="674"/>
      <c r="E150" s="674"/>
      <c r="F150" s="674"/>
      <c r="G150" s="674"/>
      <c r="H150" s="674"/>
      <c r="I150" s="674"/>
      <c r="J150" s="674"/>
      <c r="K150" s="674"/>
      <c r="L150" s="674"/>
      <c r="M150" s="674"/>
    </row>
    <row r="151" spans="1:13">
      <c r="A151" s="1158" t="s">
        <v>500</v>
      </c>
      <c r="B151" s="671">
        <f>VLOOKUP(B122,Base_Mensuelle!$OF$68:$RP$679,82,0)</f>
        <v>0</v>
      </c>
      <c r="C151" s="671">
        <f>VLOOKUP(C122,Base_Mensuelle!$OF$68:$RP$679,82,0)</f>
        <v>0</v>
      </c>
      <c r="D151" s="671">
        <f>VLOOKUP(D122,Base_Mensuelle!$OF$68:$RP$679,82,0)</f>
        <v>0</v>
      </c>
      <c r="E151" s="671">
        <f>VLOOKUP(E122,Base_Mensuelle!$OF$68:$RP$679,82,0)</f>
        <v>0</v>
      </c>
      <c r="F151" s="671">
        <f>VLOOKUP(F122,Base_Mensuelle!$OF$68:$RP$679,82,0)</f>
        <v>0</v>
      </c>
      <c r="G151" s="671">
        <f>VLOOKUP(G122,Base_Mensuelle!$OF$68:$RP$679,82,0)</f>
        <v>0</v>
      </c>
      <c r="H151" s="671">
        <f>VLOOKUP(H122,Base_Mensuelle!$OF$68:$RP$679,82,0)</f>
        <v>0</v>
      </c>
      <c r="I151" s="671">
        <f>VLOOKUP(I122,Base_Mensuelle!$OF$68:$RP$679,82,0)</f>
        <v>0</v>
      </c>
      <c r="J151" s="671">
        <f>VLOOKUP(J122,Base_Mensuelle!$OF$68:$RP$679,82,0)</f>
        <v>0</v>
      </c>
      <c r="K151" s="671">
        <f>VLOOKUP(K122,Base_Mensuelle!$OF$68:$RP$679,82,0)</f>
        <v>0</v>
      </c>
      <c r="L151" s="671">
        <f>VLOOKUP(L122,Base_Mensuelle!$OF$68:$RP$679,82,0)</f>
        <v>0</v>
      </c>
      <c r="M151" s="671">
        <f>VLOOKUP(M122,Base_Mensuelle!$OF$68:$RP$679,82,0)</f>
        <v>0</v>
      </c>
    </row>
    <row r="152" spans="1:13">
      <c r="A152" s="1160" t="s">
        <v>472</v>
      </c>
      <c r="B152" s="674"/>
      <c r="C152" s="674"/>
      <c r="D152" s="674"/>
      <c r="E152" s="674"/>
      <c r="F152" s="674"/>
      <c r="G152" s="674"/>
      <c r="H152" s="674"/>
      <c r="I152" s="674"/>
      <c r="J152" s="674"/>
      <c r="K152" s="674"/>
      <c r="L152" s="674"/>
      <c r="M152" s="674"/>
    </row>
    <row r="153" spans="1:13" ht="22.8">
      <c r="A153" s="1158" t="s">
        <v>486</v>
      </c>
      <c r="B153" s="671">
        <f>VLOOKUP(B122,Base_Mensuelle!$OF$68:$RP$679,84,0)</f>
        <v>0</v>
      </c>
      <c r="C153" s="671">
        <f>VLOOKUP(C122,Base_Mensuelle!$OF$68:$RP$679,84,0)</f>
        <v>0</v>
      </c>
      <c r="D153" s="671">
        <f>VLOOKUP(D122,Base_Mensuelle!$OF$68:$RP$679,84,0)</f>
        <v>0</v>
      </c>
      <c r="E153" s="671">
        <f>VLOOKUP(E122,Base_Mensuelle!$OF$68:$RP$679,84,0)</f>
        <v>0</v>
      </c>
      <c r="F153" s="671">
        <f>VLOOKUP(F122,Base_Mensuelle!$OF$68:$RP$679,84,0)</f>
        <v>0</v>
      </c>
      <c r="G153" s="671">
        <f>VLOOKUP(G122,Base_Mensuelle!$OF$68:$RP$679,84,0)</f>
        <v>0</v>
      </c>
      <c r="H153" s="671">
        <f>VLOOKUP(H122,Base_Mensuelle!$OF$68:$RP$679,84,0)</f>
        <v>0</v>
      </c>
      <c r="I153" s="671">
        <f>VLOOKUP(I122,Base_Mensuelle!$OF$68:$RP$679,84,0)</f>
        <v>0</v>
      </c>
      <c r="J153" s="671">
        <f>VLOOKUP(J122,Base_Mensuelle!$OF$68:$RP$679,84,0)</f>
        <v>0</v>
      </c>
      <c r="K153" s="671">
        <f>VLOOKUP(K122,Base_Mensuelle!$OF$68:$RP$679,84,0)</f>
        <v>0</v>
      </c>
      <c r="L153" s="671">
        <f>VLOOKUP(L122,Base_Mensuelle!$OF$68:$RP$679,84,0)</f>
        <v>0</v>
      </c>
      <c r="M153" s="671">
        <f>VLOOKUP(M122,Base_Mensuelle!$OF$68:$RP$679,84,0)</f>
        <v>0</v>
      </c>
    </row>
    <row r="154" spans="1:13">
      <c r="A154" s="1160" t="s">
        <v>472</v>
      </c>
      <c r="B154" s="674"/>
      <c r="C154" s="674"/>
      <c r="D154" s="674"/>
      <c r="E154" s="674"/>
      <c r="F154" s="674"/>
      <c r="G154" s="674"/>
      <c r="H154" s="674"/>
      <c r="I154" s="674"/>
      <c r="J154" s="674"/>
      <c r="K154" s="674"/>
      <c r="L154" s="674"/>
      <c r="M154" s="674"/>
    </row>
    <row r="155" spans="1:13" ht="12.6" thickBot="1">
      <c r="A155" s="1163" t="s">
        <v>487</v>
      </c>
      <c r="B155" s="678">
        <f>VLOOKUP(B122,Base_Mensuelle!$OF$68:$RP$679,86,0)</f>
        <v>0</v>
      </c>
      <c r="C155" s="678">
        <f>VLOOKUP(C122,Base_Mensuelle!$OF$68:$RP$679,86,0)</f>
        <v>0</v>
      </c>
      <c r="D155" s="678">
        <f>VLOOKUP(D122,Base_Mensuelle!$OF$68:$RP$679,86,0)</f>
        <v>0</v>
      </c>
      <c r="E155" s="678">
        <f>VLOOKUP(E122,Base_Mensuelle!$OF$68:$RP$679,86,0)</f>
        <v>0</v>
      </c>
      <c r="F155" s="678">
        <f>VLOOKUP(F122,Base_Mensuelle!$OF$68:$RP$679,86,0)</f>
        <v>0</v>
      </c>
      <c r="G155" s="678">
        <f>VLOOKUP(G122,Base_Mensuelle!$OF$68:$RP$679,86,0)</f>
        <v>0</v>
      </c>
      <c r="H155" s="678">
        <f>VLOOKUP(H122,Base_Mensuelle!$OF$68:$RP$679,86,0)</f>
        <v>0</v>
      </c>
      <c r="I155" s="678">
        <f>VLOOKUP(I122,Base_Mensuelle!$OF$68:$RP$679,86,0)</f>
        <v>0</v>
      </c>
      <c r="J155" s="678">
        <f>VLOOKUP(J122,Base_Mensuelle!$OF$68:$RP$679,86,0)</f>
        <v>0</v>
      </c>
      <c r="K155" s="678">
        <f>VLOOKUP(K122,Base_Mensuelle!$OF$68:$RP$679,86,0)</f>
        <v>0</v>
      </c>
      <c r="L155" s="678">
        <f>VLOOKUP(L122,Base_Mensuelle!$OF$68:$RP$679,86,0)</f>
        <v>0</v>
      </c>
      <c r="M155" s="678">
        <f>VLOOKUP(M122,Base_Mensuelle!$OF$68:$RP$679,86,0)</f>
        <v>0</v>
      </c>
    </row>
    <row r="156" spans="1:13">
      <c r="A156" s="1138" t="s">
        <v>463</v>
      </c>
    </row>
    <row r="157" spans="1:13">
      <c r="A157" s="1138"/>
    </row>
    <row r="158" spans="1:13">
      <c r="A158" s="1138"/>
    </row>
    <row r="159" spans="1:13">
      <c r="A159" s="1136" t="s">
        <v>804</v>
      </c>
    </row>
    <row r="160" spans="1:13">
      <c r="A160" s="1136"/>
    </row>
    <row r="161" spans="1:13">
      <c r="A161" s="1137"/>
      <c r="B161" s="1523">
        <f>DATE(YEAR(INDEX(Base_Mensuelle!$OF$68:$RQ$679,MAX(Base_Mensuelle!$RN$68:$RN$679),1))-1,1,1)</f>
        <v>44562</v>
      </c>
      <c r="C161" s="1523">
        <f>DATE(YEAR(INDEX(Base_Mensuelle!$OF$68:$RQ$679,MAX(Base_Mensuelle!$RN$68:$RN$679),1))-1,2,1)</f>
        <v>44593</v>
      </c>
      <c r="D161" s="1523">
        <f>DATE(YEAR(INDEX(Base_Mensuelle!$OF$68:$RQ$679,MAX(Base_Mensuelle!$RN$68:$RN$679),1))-1,3,1)</f>
        <v>44621</v>
      </c>
      <c r="E161" s="1523">
        <f>DATE(YEAR(INDEX(Base_Mensuelle!$OF$68:$RQ$679,MAX(Base_Mensuelle!$RN$68:$RN$679),1))-1,4,1)</f>
        <v>44652</v>
      </c>
      <c r="F161" s="1523">
        <f>DATE(YEAR(INDEX(Base_Mensuelle!$OF$68:$RQ$679,MAX(Base_Mensuelle!$RN$68:$RN$679),1))-1,5,1)</f>
        <v>44682</v>
      </c>
      <c r="G161" s="1523">
        <f>DATE(YEAR(INDEX(Base_Mensuelle!$OF$68:$RQ$679,MAX(Base_Mensuelle!$RN$68:$RN$679),1))-1,6,1)</f>
        <v>44713</v>
      </c>
      <c r="H161" s="1523">
        <f>DATE(YEAR(INDEX(Base_Mensuelle!$OF$68:$RQ$679,MAX(Base_Mensuelle!$RN$68:$RN$679),1))-1,7,1)</f>
        <v>44743</v>
      </c>
      <c r="I161" s="1523">
        <f>DATE(YEAR(INDEX(Base_Mensuelle!$OF$68:$RQ$679,MAX(Base_Mensuelle!$RN$68:$RN$679),1))-1,8,1)</f>
        <v>44774</v>
      </c>
      <c r="J161" s="1523">
        <f>DATE(YEAR(INDEX(Base_Mensuelle!$OF$68:$RQ$679,MAX(Base_Mensuelle!$RN$68:$RN$679),1))-1,9,1)</f>
        <v>44805</v>
      </c>
      <c r="K161" s="1523">
        <f>DATE(YEAR(INDEX(Base_Mensuelle!$OF$68:$RQ$679,MAX(Base_Mensuelle!$RN$68:$RN$679),1))-1,10,1)</f>
        <v>44835</v>
      </c>
      <c r="L161" s="1523">
        <f>DATE(YEAR(INDEX(Base_Mensuelle!$OF$68:$RQ$679,MAX(Base_Mensuelle!$RN$68:$RN$679),1))-1,11,1)</f>
        <v>44866</v>
      </c>
      <c r="M161" s="1523">
        <f>DATE(YEAR(INDEX(Base_Mensuelle!$OF$68:$RQ$679,MAX(Base_Mensuelle!$RN$68:$RN$679),1))-1,12,1)</f>
        <v>44896</v>
      </c>
    </row>
    <row r="162" spans="1:13">
      <c r="A162" s="659" t="s">
        <v>490</v>
      </c>
      <c r="B162" s="660"/>
      <c r="C162" s="660"/>
      <c r="D162" s="660"/>
      <c r="E162" s="660"/>
      <c r="F162" s="660"/>
      <c r="G162" s="660"/>
      <c r="H162" s="660"/>
      <c r="I162" s="660"/>
      <c r="J162" s="660"/>
      <c r="K162" s="660"/>
      <c r="L162" s="660"/>
      <c r="M162" s="660"/>
    </row>
    <row r="163" spans="1:13">
      <c r="A163" s="1155" t="s">
        <v>454</v>
      </c>
      <c r="B163" s="634">
        <f>VLOOKUP(B161,Base_Mensuelle!$OF$68:$RP$679,55,0)</f>
        <v>2011.5629999999999</v>
      </c>
      <c r="C163" s="634">
        <f>VLOOKUP(C161,Base_Mensuelle!$OF$68:$RP$679,55,0)</f>
        <v>2062.1320000000001</v>
      </c>
      <c r="D163" s="634">
        <f>VLOOKUP(D161,Base_Mensuelle!$OF$68:$RP$679,55,0)</f>
        <v>2192.1759999999999</v>
      </c>
      <c r="E163" s="634">
        <f>VLOOKUP(E161,Base_Mensuelle!$OF$68:$RP$679,55,0)</f>
        <v>2242.799</v>
      </c>
      <c r="F163" s="634">
        <f>VLOOKUP(F161,Base_Mensuelle!$OF$68:$RP$679,55,0)</f>
        <v>2197.5830000000005</v>
      </c>
      <c r="G163" s="634">
        <f>VLOOKUP(G161,Base_Mensuelle!$OF$68:$RP$679,55,0)</f>
        <v>2299.1170000000002</v>
      </c>
      <c r="H163" s="634">
        <f>VLOOKUP(H161,Base_Mensuelle!$OF$68:$RP$679,55,0)</f>
        <v>2301.7240000000002</v>
      </c>
      <c r="I163" s="634">
        <f>VLOOKUP(I161,Base_Mensuelle!$OF$68:$RP$679,55,0)</f>
        <v>2191.0010000000002</v>
      </c>
      <c r="J163" s="634">
        <f>VLOOKUP(J161,Base_Mensuelle!$OF$68:$RP$679,55,0)</f>
        <v>2412.8609999999994</v>
      </c>
      <c r="K163" s="634">
        <f>VLOOKUP(K161,Base_Mensuelle!$OF$68:$RP$679,55,0)</f>
        <v>2331.154</v>
      </c>
      <c r="L163" s="634">
        <f>VLOOKUP(L161,Base_Mensuelle!$OF$68:$RP$679,55,0)</f>
        <v>2444.0029999999997</v>
      </c>
      <c r="M163" s="634">
        <f>VLOOKUP(M161,Base_Mensuelle!$OF$68:$RP$679,55,0)</f>
        <v>2596.1610000000001</v>
      </c>
    </row>
    <row r="164" spans="1:13">
      <c r="A164" s="1156" t="s">
        <v>470</v>
      </c>
      <c r="B164" s="664">
        <f>VLOOKUP(B161,Base_Mensuelle!$OF$68:$RP$679,56,0)</f>
        <v>2388.7269999999999</v>
      </c>
      <c r="C164" s="664">
        <f>VLOOKUP(C161,Base_Mensuelle!$OF$68:$RP$679,56,0)</f>
        <v>2469.2269999999999</v>
      </c>
      <c r="D164" s="664">
        <f>VLOOKUP(D161,Base_Mensuelle!$OF$68:$RP$679,56,0)</f>
        <v>2518.87</v>
      </c>
      <c r="E164" s="664">
        <f>VLOOKUP(E161,Base_Mensuelle!$OF$68:$RP$679,56,0)</f>
        <v>2556.2550000000001</v>
      </c>
      <c r="F164" s="664">
        <f>VLOOKUP(F161,Base_Mensuelle!$OF$68:$RP$679,56,0)</f>
        <v>2538.6430000000005</v>
      </c>
      <c r="G164" s="664">
        <f>VLOOKUP(G161,Base_Mensuelle!$OF$68:$RP$679,56,0)</f>
        <v>2664.2940000000003</v>
      </c>
      <c r="H164" s="664">
        <f>VLOOKUP(H161,Base_Mensuelle!$OF$68:$RP$679,56,0)</f>
        <v>2673.6450000000004</v>
      </c>
      <c r="I164" s="664">
        <f>VLOOKUP(I161,Base_Mensuelle!$OF$68:$RP$679,56,0)</f>
        <v>2599.7060000000001</v>
      </c>
      <c r="J164" s="664">
        <f>VLOOKUP(J161,Base_Mensuelle!$OF$68:$RP$679,56,0)</f>
        <v>2720.2339999999995</v>
      </c>
      <c r="K164" s="664">
        <f>VLOOKUP(K161,Base_Mensuelle!$OF$68:$RP$679,56,0)</f>
        <v>2670.7040000000002</v>
      </c>
      <c r="L164" s="664">
        <f>VLOOKUP(L161,Base_Mensuelle!$OF$68:$RP$679,56,0)</f>
        <v>2748.8869999999997</v>
      </c>
      <c r="M164" s="664">
        <f>VLOOKUP(M161,Base_Mensuelle!$OF$68:$RP$679,56,0)</f>
        <v>2968.3040000000001</v>
      </c>
    </row>
    <row r="165" spans="1:13" ht="22.8">
      <c r="A165" s="1157" t="s">
        <v>471</v>
      </c>
      <c r="B165" s="668">
        <f>VLOOKUP(B161,Base_Mensuelle!$OF$68:$RP$679,57,0)</f>
        <v>-377.16400000000004</v>
      </c>
      <c r="C165" s="668">
        <f>VLOOKUP(C161,Base_Mensuelle!$OF$68:$RP$679,57,0)</f>
        <v>-407.09499999999997</v>
      </c>
      <c r="D165" s="668">
        <f>VLOOKUP(D161,Base_Mensuelle!$OF$68:$RP$679,57,0)</f>
        <v>-326.69400000000002</v>
      </c>
      <c r="E165" s="668">
        <f>VLOOKUP(E161,Base_Mensuelle!$OF$68:$RP$679,57,0)</f>
        <v>-313.45600000000002</v>
      </c>
      <c r="F165" s="668">
        <f>VLOOKUP(F161,Base_Mensuelle!$OF$68:$RP$679,57,0)</f>
        <v>-341.06</v>
      </c>
      <c r="G165" s="668">
        <f>VLOOKUP(G161,Base_Mensuelle!$OF$68:$RP$679,57,0)</f>
        <v>-365.17700000000002</v>
      </c>
      <c r="H165" s="668">
        <f>VLOOKUP(H161,Base_Mensuelle!$OF$68:$RP$679,57,0)</f>
        <v>-371.92100000000005</v>
      </c>
      <c r="I165" s="668">
        <f>VLOOKUP(I161,Base_Mensuelle!$OF$68:$RP$679,57,0)</f>
        <v>-408.70499999999998</v>
      </c>
      <c r="J165" s="668">
        <f>VLOOKUP(J161,Base_Mensuelle!$OF$68:$RP$679,57,0)</f>
        <v>-307.37299999999999</v>
      </c>
      <c r="K165" s="668">
        <f>VLOOKUP(K161,Base_Mensuelle!$OF$68:$RP$679,57,0)</f>
        <v>-339.55</v>
      </c>
      <c r="L165" s="668">
        <f>VLOOKUP(L161,Base_Mensuelle!$OF$68:$RP$679,57,0)</f>
        <v>-304.88400000000001</v>
      </c>
      <c r="M165" s="668">
        <f>VLOOKUP(M161,Base_Mensuelle!$OF$68:$RP$679,57,0)</f>
        <v>-372.14300000000003</v>
      </c>
    </row>
    <row r="166" spans="1:13">
      <c r="A166" s="1156" t="s">
        <v>472</v>
      </c>
      <c r="B166" s="664"/>
      <c r="C166" s="664"/>
      <c r="D166" s="664"/>
      <c r="E166" s="664"/>
      <c r="F166" s="664"/>
      <c r="G166" s="664"/>
      <c r="H166" s="664"/>
      <c r="I166" s="664"/>
      <c r="J166" s="664"/>
      <c r="K166" s="664"/>
      <c r="L166" s="664"/>
      <c r="M166" s="664"/>
    </row>
    <row r="167" spans="1:13" ht="22.8">
      <c r="A167" s="1158" t="s">
        <v>491</v>
      </c>
      <c r="B167" s="671">
        <f>VLOOKUP(B161,Base_Mensuelle!$OF$68:$RP$679,59,0)</f>
        <v>107.943</v>
      </c>
      <c r="C167" s="671">
        <f>VLOOKUP(C161,Base_Mensuelle!$OF$68:$RP$679,59,0)</f>
        <v>101.651</v>
      </c>
      <c r="D167" s="671">
        <f>VLOOKUP(D161,Base_Mensuelle!$OF$68:$RP$679,59,0)</f>
        <v>108.127</v>
      </c>
      <c r="E167" s="671">
        <f>VLOOKUP(E161,Base_Mensuelle!$OF$68:$RP$679,59,0)</f>
        <v>101.196</v>
      </c>
      <c r="F167" s="671">
        <f>VLOOKUP(F161,Base_Mensuelle!$OF$68:$RP$679,59,0)</f>
        <v>113.94</v>
      </c>
      <c r="G167" s="671">
        <f>VLOOKUP(G161,Base_Mensuelle!$OF$68:$RP$679,59,0)</f>
        <v>92.188000000000002</v>
      </c>
      <c r="H167" s="671">
        <f>VLOOKUP(H161,Base_Mensuelle!$OF$68:$RP$679,59,0)</f>
        <v>95.569000000000003</v>
      </c>
      <c r="I167" s="671">
        <f>VLOOKUP(I161,Base_Mensuelle!$OF$68:$RP$679,59,0)</f>
        <v>108.78700000000001</v>
      </c>
      <c r="J167" s="671">
        <f>VLOOKUP(J161,Base_Mensuelle!$OF$68:$RP$679,59,0)</f>
        <v>101.956</v>
      </c>
      <c r="K167" s="671">
        <f>VLOOKUP(K161,Base_Mensuelle!$OF$68:$RP$679,59,0)</f>
        <v>103.503</v>
      </c>
      <c r="L167" s="671">
        <f>VLOOKUP(L161,Base_Mensuelle!$OF$68:$RP$679,59,0)</f>
        <v>106.958</v>
      </c>
      <c r="M167" s="671">
        <f>VLOOKUP(M161,Base_Mensuelle!$OF$68:$RP$679,59,0)</f>
        <v>131.74100000000001</v>
      </c>
    </row>
    <row r="168" spans="1:13">
      <c r="A168" s="1156" t="s">
        <v>492</v>
      </c>
      <c r="B168" s="664">
        <f>VLOOKUP(B161,Base_Mensuelle!$OF$68:$RP$679,60,0)</f>
        <v>425.91199999999998</v>
      </c>
      <c r="C168" s="664">
        <f>VLOOKUP(C161,Base_Mensuelle!$OF$68:$RP$679,60,0)</f>
        <v>379.40899999999999</v>
      </c>
      <c r="D168" s="664">
        <f>VLOOKUP(D161,Base_Mensuelle!$OF$68:$RP$679,60,0)</f>
        <v>365.01900000000001</v>
      </c>
      <c r="E168" s="664">
        <f>VLOOKUP(E161,Base_Mensuelle!$OF$68:$RP$679,60,0)</f>
        <v>252.90400000000002</v>
      </c>
      <c r="F168" s="664">
        <f>VLOOKUP(F161,Base_Mensuelle!$OF$68:$RP$679,60,0)</f>
        <v>340.98600000000005</v>
      </c>
      <c r="G168" s="664">
        <f>VLOOKUP(G161,Base_Mensuelle!$OF$68:$RP$679,60,0)</f>
        <v>365.38800000000003</v>
      </c>
      <c r="H168" s="664">
        <f>VLOOKUP(H161,Base_Mensuelle!$OF$68:$RP$679,60,0)</f>
        <v>350.892</v>
      </c>
      <c r="I168" s="664">
        <f>VLOOKUP(I161,Base_Mensuelle!$OF$68:$RP$679,60,0)</f>
        <v>448.41700000000003</v>
      </c>
      <c r="J168" s="664">
        <f>VLOOKUP(J161,Base_Mensuelle!$OF$68:$RP$679,60,0)</f>
        <v>368.70300000000003</v>
      </c>
      <c r="K168" s="664">
        <f>VLOOKUP(K161,Base_Mensuelle!$OF$68:$RP$679,60,0)</f>
        <v>324.88200000000001</v>
      </c>
      <c r="L168" s="664">
        <f>VLOOKUP(L161,Base_Mensuelle!$OF$68:$RP$679,60,0)</f>
        <v>264.59300000000002</v>
      </c>
      <c r="M168" s="664">
        <f>VLOOKUP(M161,Base_Mensuelle!$OF$68:$RP$679,60,0)</f>
        <v>378.64600000000002</v>
      </c>
    </row>
    <row r="169" spans="1:13">
      <c r="A169" s="1157" t="s">
        <v>493</v>
      </c>
      <c r="B169" s="668">
        <f>VLOOKUP(B161,Base_Mensuelle!$OF$68:$RP$679,61,0)</f>
        <v>0</v>
      </c>
      <c r="C169" s="668">
        <f>VLOOKUP(C161,Base_Mensuelle!$OF$68:$RP$679,61,0)</f>
        <v>0</v>
      </c>
      <c r="D169" s="668">
        <f>VLOOKUP(D161,Base_Mensuelle!$OF$68:$RP$679,61,0)</f>
        <v>0</v>
      </c>
      <c r="E169" s="668">
        <f>VLOOKUP(E161,Base_Mensuelle!$OF$68:$RP$679,61,0)</f>
        <v>0</v>
      </c>
      <c r="F169" s="668">
        <f>VLOOKUP(F161,Base_Mensuelle!$OF$68:$RP$679,61,0)</f>
        <v>0</v>
      </c>
      <c r="G169" s="668">
        <f>VLOOKUP(G161,Base_Mensuelle!$OF$68:$RP$679,61,0)</f>
        <v>0</v>
      </c>
      <c r="H169" s="668">
        <f>VLOOKUP(H161,Base_Mensuelle!$OF$68:$RP$679,61,0)</f>
        <v>0</v>
      </c>
      <c r="I169" s="668">
        <f>VLOOKUP(I161,Base_Mensuelle!$OF$68:$RP$679,61,0)</f>
        <v>0</v>
      </c>
      <c r="J169" s="668">
        <f>VLOOKUP(J161,Base_Mensuelle!$OF$68:$RP$679,61,0)</f>
        <v>0</v>
      </c>
      <c r="K169" s="668">
        <f>VLOOKUP(K161,Base_Mensuelle!$OF$68:$RP$679,61,0)</f>
        <v>0</v>
      </c>
      <c r="L169" s="668">
        <f>VLOOKUP(L161,Base_Mensuelle!$OF$68:$RP$679,61,0)</f>
        <v>0</v>
      </c>
      <c r="M169" s="668">
        <f>VLOOKUP(M161,Base_Mensuelle!$OF$68:$RP$679,61,0)</f>
        <v>0</v>
      </c>
    </row>
    <row r="170" spans="1:13">
      <c r="A170" s="1159" t="s">
        <v>472</v>
      </c>
      <c r="B170" s="674"/>
      <c r="C170" s="674"/>
      <c r="D170" s="674"/>
      <c r="E170" s="674"/>
      <c r="F170" s="674"/>
      <c r="G170" s="674"/>
      <c r="H170" s="674"/>
      <c r="I170" s="674"/>
      <c r="J170" s="674"/>
      <c r="K170" s="674"/>
      <c r="L170" s="674"/>
      <c r="M170" s="674"/>
    </row>
    <row r="171" spans="1:13" ht="22.8">
      <c r="A171" s="1160" t="s">
        <v>474</v>
      </c>
      <c r="B171" s="674">
        <f>VLOOKUP(B161,Base_Mensuelle!$OF$68:$RP$679,63,0)</f>
        <v>884.53899999999999</v>
      </c>
      <c r="C171" s="674">
        <f>VLOOKUP(C161,Base_Mensuelle!$OF$68:$RP$679,63,0)</f>
        <v>903.03</v>
      </c>
      <c r="D171" s="674">
        <f>VLOOKUP(D161,Base_Mensuelle!$OF$68:$RP$679,63,0)</f>
        <v>963.976</v>
      </c>
      <c r="E171" s="674">
        <f>VLOOKUP(E161,Base_Mensuelle!$OF$68:$RP$679,63,0)</f>
        <v>1012.2130000000001</v>
      </c>
      <c r="F171" s="674">
        <f>VLOOKUP(F161,Base_Mensuelle!$OF$68:$RP$679,63,0)</f>
        <v>1055.191</v>
      </c>
      <c r="G171" s="674">
        <f>VLOOKUP(G161,Base_Mensuelle!$OF$68:$RP$679,63,0)</f>
        <v>1116.202</v>
      </c>
      <c r="H171" s="674">
        <f>VLOOKUP(H161,Base_Mensuelle!$OF$68:$RP$679,63,0)</f>
        <v>1080.848</v>
      </c>
      <c r="I171" s="674">
        <f>VLOOKUP(I161,Base_Mensuelle!$OF$68:$RP$679,63,0)</f>
        <v>1116.867</v>
      </c>
      <c r="J171" s="674">
        <f>VLOOKUP(J161,Base_Mensuelle!$OF$68:$RP$679,63,0)</f>
        <v>1185.951</v>
      </c>
      <c r="K171" s="674">
        <f>VLOOKUP(K161,Base_Mensuelle!$OF$68:$RP$679,63,0)</f>
        <v>1064.5540000000001</v>
      </c>
      <c r="L171" s="674">
        <f>VLOOKUP(L161,Base_Mensuelle!$OF$68:$RP$679,63,0)</f>
        <v>1059.327</v>
      </c>
      <c r="M171" s="674">
        <f>VLOOKUP(M161,Base_Mensuelle!$OF$68:$RP$679,63,0)</f>
        <v>1019.239</v>
      </c>
    </row>
    <row r="172" spans="1:13" ht="22.8">
      <c r="A172" s="1157" t="s">
        <v>475</v>
      </c>
      <c r="B172" s="668">
        <f>VLOOKUP(B161,Base_Mensuelle!$OF$68:$RP$679,64,0)</f>
        <v>-810.38499999999999</v>
      </c>
      <c r="C172" s="668">
        <f>VLOOKUP(C161,Base_Mensuelle!$OF$68:$RP$679,64,0)</f>
        <v>-760.47800000000007</v>
      </c>
      <c r="D172" s="668">
        <f>VLOOKUP(D161,Base_Mensuelle!$OF$68:$RP$679,64,0)</f>
        <v>-894.19</v>
      </c>
      <c r="E172" s="668">
        <f>VLOOKUP(E161,Base_Mensuelle!$OF$68:$RP$679,64,0)</f>
        <v>-1049.027</v>
      </c>
      <c r="F172" s="668">
        <f>VLOOKUP(F161,Base_Mensuelle!$OF$68:$RP$679,64,0)</f>
        <v>-1013.4589999999999</v>
      </c>
      <c r="G172" s="668">
        <f>VLOOKUP(G161,Base_Mensuelle!$OF$68:$RP$679,64,0)</f>
        <v>-1073.204</v>
      </c>
      <c r="H172" s="668">
        <f>VLOOKUP(H161,Base_Mensuelle!$OF$68:$RP$679,64,0)</f>
        <v>-1055.5669999999998</v>
      </c>
      <c r="I172" s="668">
        <f>VLOOKUP(I161,Base_Mensuelle!$OF$68:$RP$679,64,0)</f>
        <v>-1031.857</v>
      </c>
      <c r="J172" s="668">
        <f>VLOOKUP(J161,Base_Mensuelle!$OF$68:$RP$679,64,0)</f>
        <v>-931.98399999999992</v>
      </c>
      <c r="K172" s="668">
        <f>VLOOKUP(K161,Base_Mensuelle!$OF$68:$RP$679,64,0)</f>
        <v>-1008.5369999999999</v>
      </c>
      <c r="L172" s="668">
        <f>VLOOKUP(L161,Base_Mensuelle!$OF$68:$RP$679,64,0)</f>
        <v>-973.5379999999999</v>
      </c>
      <c r="M172" s="668">
        <f>VLOOKUP(M161,Base_Mensuelle!$OF$68:$RP$679,64,0)</f>
        <v>-937.74900000000002</v>
      </c>
    </row>
    <row r="173" spans="1:13" ht="22.8">
      <c r="A173" s="1156" t="s">
        <v>476</v>
      </c>
      <c r="B173" s="664">
        <f>VLOOKUP(B161,Base_Mensuelle!$OF$68:$RP$679,65,0)</f>
        <v>3492.4250000000002</v>
      </c>
      <c r="C173" s="664">
        <f>VLOOKUP(C161,Base_Mensuelle!$OF$68:$RP$679,65,0)</f>
        <v>3546.4110000000001</v>
      </c>
      <c r="D173" s="664">
        <f>VLOOKUP(D161,Base_Mensuelle!$OF$68:$RP$679,65,0)</f>
        <v>3597.482</v>
      </c>
      <c r="E173" s="664">
        <f>VLOOKUP(E161,Base_Mensuelle!$OF$68:$RP$679,65,0)</f>
        <v>3648.3450000000003</v>
      </c>
      <c r="F173" s="664">
        <f>VLOOKUP(F161,Base_Mensuelle!$OF$68:$RP$679,65,0)</f>
        <v>3714.31</v>
      </c>
      <c r="G173" s="664">
        <f>VLOOKUP(G161,Base_Mensuelle!$OF$68:$RP$679,65,0)</f>
        <v>3865.9490000000001</v>
      </c>
      <c r="H173" s="664">
        <f>VLOOKUP(H161,Base_Mensuelle!$OF$68:$RP$679,65,0)</f>
        <v>3884.163</v>
      </c>
      <c r="I173" s="664">
        <f>VLOOKUP(I161,Base_Mensuelle!$OF$68:$RP$679,65,0)</f>
        <v>3975.2160000000003</v>
      </c>
      <c r="J173" s="664">
        <f>VLOOKUP(J161,Base_Mensuelle!$OF$68:$RP$679,65,0)</f>
        <v>3879.6470000000004</v>
      </c>
      <c r="K173" s="664">
        <f>VLOOKUP(K161,Base_Mensuelle!$OF$68:$RP$679,65,0)</f>
        <v>4029.9139999999998</v>
      </c>
      <c r="L173" s="664">
        <f>VLOOKUP(L161,Base_Mensuelle!$OF$68:$RP$679,65,0)</f>
        <v>4083.9989999999998</v>
      </c>
      <c r="M173" s="664">
        <f>VLOOKUP(M161,Base_Mensuelle!$OF$68:$RP$679,65,0)</f>
        <v>4244.9210000000003</v>
      </c>
    </row>
    <row r="174" spans="1:13">
      <c r="A174" s="1161" t="s">
        <v>472</v>
      </c>
      <c r="B174" s="668"/>
      <c r="C174" s="668"/>
      <c r="D174" s="668"/>
      <c r="E174" s="668"/>
      <c r="F174" s="668"/>
      <c r="G174" s="668"/>
      <c r="H174" s="668"/>
      <c r="I174" s="668"/>
      <c r="J174" s="668"/>
      <c r="K174" s="668"/>
      <c r="L174" s="668"/>
      <c r="M174" s="668"/>
    </row>
    <row r="175" spans="1:13">
      <c r="A175" s="1160" t="s">
        <v>477</v>
      </c>
      <c r="B175" s="674">
        <f>VLOOKUP(B161,Base_Mensuelle!$OF$68:$RP$679,67,0)</f>
        <v>1.4E-2</v>
      </c>
      <c r="C175" s="674">
        <f>VLOOKUP(C161,Base_Mensuelle!$OF$68:$RP$679,67,0)</f>
        <v>0.02</v>
      </c>
      <c r="D175" s="674">
        <f>VLOOKUP(D161,Base_Mensuelle!$OF$68:$RP$679,67,0)</f>
        <v>2.7E-2</v>
      </c>
      <c r="E175" s="674">
        <f>VLOOKUP(E161,Base_Mensuelle!$OF$68:$RP$679,67,0)</f>
        <v>0.02</v>
      </c>
      <c r="F175" s="674">
        <f>VLOOKUP(F161,Base_Mensuelle!$OF$68:$RP$679,67,0)</f>
        <v>1.7000000000000001E-2</v>
      </c>
      <c r="G175" s="674">
        <f>VLOOKUP(G161,Base_Mensuelle!$OF$68:$RP$679,67,0)</f>
        <v>1.7999999999999999E-2</v>
      </c>
      <c r="H175" s="674">
        <f>VLOOKUP(H161,Base_Mensuelle!$OF$68:$RP$679,67,0)</f>
        <v>1.4E-2</v>
      </c>
      <c r="I175" s="674">
        <f>VLOOKUP(I161,Base_Mensuelle!$OF$68:$RP$679,67,0)</f>
        <v>2.1999999999999999E-2</v>
      </c>
      <c r="J175" s="674">
        <f>VLOOKUP(J161,Base_Mensuelle!$OF$68:$RP$679,67,0)</f>
        <v>1.4999999999999999E-2</v>
      </c>
      <c r="K175" s="674">
        <f>VLOOKUP(K161,Base_Mensuelle!$OF$68:$RP$679,67,0)</f>
        <v>132.607</v>
      </c>
      <c r="L175" s="674">
        <f>VLOOKUP(L161,Base_Mensuelle!$OF$68:$RP$679,67,0)</f>
        <v>155.02199999999999</v>
      </c>
      <c r="M175" s="674">
        <f>VLOOKUP(M161,Base_Mensuelle!$OF$68:$RP$679,67,0)</f>
        <v>154.69300000000001</v>
      </c>
    </row>
    <row r="176" spans="1:13" ht="22.8">
      <c r="A176" s="1157" t="s">
        <v>478</v>
      </c>
      <c r="B176" s="668">
        <f>VLOOKUP(B161,Base_Mensuelle!$OF$68:$RP$679,68,0)</f>
        <v>271.20699999999999</v>
      </c>
      <c r="C176" s="668">
        <f>VLOOKUP(C161,Base_Mensuelle!$OF$68:$RP$679,68,0)</f>
        <v>293.44900000000001</v>
      </c>
      <c r="D176" s="668">
        <f>VLOOKUP(D161,Base_Mensuelle!$OF$68:$RP$679,68,0)</f>
        <v>282.666</v>
      </c>
      <c r="E176" s="668">
        <f>VLOOKUP(E161,Base_Mensuelle!$OF$68:$RP$679,68,0)</f>
        <v>256.48099999999999</v>
      </c>
      <c r="F176" s="668">
        <f>VLOOKUP(F161,Base_Mensuelle!$OF$68:$RP$679,68,0)</f>
        <v>270.60899999999998</v>
      </c>
      <c r="G176" s="668">
        <f>VLOOKUP(G161,Base_Mensuelle!$OF$68:$RP$679,68,0)</f>
        <v>285.07900000000001</v>
      </c>
      <c r="H176" s="668">
        <f>VLOOKUP(H161,Base_Mensuelle!$OF$68:$RP$679,68,0)</f>
        <v>312.42599999999999</v>
      </c>
      <c r="I176" s="668">
        <f>VLOOKUP(I161,Base_Mensuelle!$OF$68:$RP$679,68,0)</f>
        <v>315.149</v>
      </c>
      <c r="J176" s="668">
        <f>VLOOKUP(J161,Base_Mensuelle!$OF$68:$RP$679,68,0)</f>
        <v>324.98200000000003</v>
      </c>
      <c r="K176" s="668">
        <f>VLOOKUP(K161,Base_Mensuelle!$OF$68:$RP$679,68,0)</f>
        <v>340.12599999999998</v>
      </c>
      <c r="L176" s="668">
        <f>VLOOKUP(L161,Base_Mensuelle!$OF$68:$RP$679,68,0)</f>
        <v>319.19499999999999</v>
      </c>
      <c r="M176" s="668">
        <f>VLOOKUP(M161,Base_Mensuelle!$OF$68:$RP$679,68,0)</f>
        <v>359.95600000000002</v>
      </c>
    </row>
    <row r="177" spans="1:13" ht="22.8">
      <c r="A177" s="1156" t="s">
        <v>494</v>
      </c>
      <c r="B177" s="664">
        <f>VLOOKUP(B161,Base_Mensuelle!$OF$68:$RP$679,69,0)</f>
        <v>3179.828</v>
      </c>
      <c r="C177" s="664">
        <f>VLOOKUP(C161,Base_Mensuelle!$OF$68:$RP$679,69,0)</f>
        <v>3215.058</v>
      </c>
      <c r="D177" s="664">
        <f>VLOOKUP(D161,Base_Mensuelle!$OF$68:$RP$679,69,0)</f>
        <v>3275.37</v>
      </c>
      <c r="E177" s="664">
        <f>VLOOKUP(E161,Base_Mensuelle!$OF$68:$RP$679,69,0)</f>
        <v>3349.152</v>
      </c>
      <c r="F177" s="664">
        <f>VLOOKUP(F161,Base_Mensuelle!$OF$68:$RP$679,69,0)</f>
        <v>3396.6729999999998</v>
      </c>
      <c r="G177" s="664">
        <f>VLOOKUP(G161,Base_Mensuelle!$OF$68:$RP$679,69,0)</f>
        <v>3536.8850000000002</v>
      </c>
      <c r="H177" s="664">
        <f>VLOOKUP(H161,Base_Mensuelle!$OF$68:$RP$679,69,0)</f>
        <v>3531.9459999999999</v>
      </c>
      <c r="I177" s="664">
        <f>VLOOKUP(I161,Base_Mensuelle!$OF$68:$RP$679,69,0)</f>
        <v>3621.7110000000002</v>
      </c>
      <c r="J177" s="664">
        <f>VLOOKUP(J161,Base_Mensuelle!$OF$68:$RP$679,69,0)</f>
        <v>3513.8900000000003</v>
      </c>
      <c r="K177" s="664">
        <f>VLOOKUP(K161,Base_Mensuelle!$OF$68:$RP$679,69,0)</f>
        <v>3513.7829999999999</v>
      </c>
      <c r="L177" s="664">
        <f>VLOOKUP(L161,Base_Mensuelle!$OF$68:$RP$679,69,0)</f>
        <v>3552.8710000000001</v>
      </c>
      <c r="M177" s="664">
        <f>VLOOKUP(M161,Base_Mensuelle!$OF$68:$RP$679,69,0)</f>
        <v>3670.8649999999998</v>
      </c>
    </row>
    <row r="178" spans="1:13" ht="22.8">
      <c r="A178" s="1157" t="s">
        <v>495</v>
      </c>
      <c r="B178" s="668">
        <f>VLOOKUP(B161,Base_Mensuelle!$OF$68:$RP$679,70,0)</f>
        <v>0</v>
      </c>
      <c r="C178" s="668">
        <f>VLOOKUP(C161,Base_Mensuelle!$OF$68:$RP$679,70,0)</f>
        <v>0</v>
      </c>
      <c r="D178" s="668">
        <f>VLOOKUP(D161,Base_Mensuelle!$OF$68:$RP$679,70,0)</f>
        <v>0</v>
      </c>
      <c r="E178" s="668">
        <f>VLOOKUP(E161,Base_Mensuelle!$OF$68:$RP$679,70,0)</f>
        <v>0</v>
      </c>
      <c r="F178" s="668">
        <f>VLOOKUP(F161,Base_Mensuelle!$OF$68:$RP$679,70,0)</f>
        <v>0</v>
      </c>
      <c r="G178" s="668">
        <f>VLOOKUP(G161,Base_Mensuelle!$OF$68:$RP$679,70,0)</f>
        <v>0</v>
      </c>
      <c r="H178" s="668">
        <f>VLOOKUP(H161,Base_Mensuelle!$OF$68:$RP$679,70,0)</f>
        <v>0</v>
      </c>
      <c r="I178" s="668">
        <f>VLOOKUP(I161,Base_Mensuelle!$OF$68:$RP$679,70,0)</f>
        <v>0</v>
      </c>
      <c r="J178" s="668">
        <f>VLOOKUP(J161,Base_Mensuelle!$OF$68:$RP$679,70,0)</f>
        <v>0</v>
      </c>
      <c r="K178" s="668">
        <f>VLOOKUP(K161,Base_Mensuelle!$OF$68:$RP$679,70,0)</f>
        <v>0</v>
      </c>
      <c r="L178" s="668">
        <f>VLOOKUP(L161,Base_Mensuelle!$OF$68:$RP$679,70,0)</f>
        <v>0</v>
      </c>
      <c r="M178" s="668">
        <f>VLOOKUP(M161,Base_Mensuelle!$OF$68:$RP$679,70,0)</f>
        <v>0</v>
      </c>
    </row>
    <row r="179" spans="1:13">
      <c r="A179" s="1156" t="s">
        <v>479</v>
      </c>
      <c r="B179" s="664">
        <f>VLOOKUP(B161,Base_Mensuelle!$OF$68:$RP$679,71,0)</f>
        <v>881.38099999999997</v>
      </c>
      <c r="C179" s="664">
        <f>VLOOKUP(C161,Base_Mensuelle!$OF$68:$RP$679,71,0)</f>
        <v>1017.9010000000001</v>
      </c>
      <c r="D179" s="664">
        <f>VLOOKUP(D161,Base_Mensuelle!$OF$68:$RP$679,71,0)</f>
        <v>944.92699999999991</v>
      </c>
      <c r="E179" s="664">
        <f>VLOOKUP(E161,Base_Mensuelle!$OF$68:$RP$679,71,0)</f>
        <v>1106.7470000000001</v>
      </c>
      <c r="F179" s="664">
        <f>VLOOKUP(F161,Base_Mensuelle!$OF$68:$RP$679,71,0)</f>
        <v>1158.636</v>
      </c>
      <c r="G179" s="664">
        <f>VLOOKUP(G161,Base_Mensuelle!$OF$68:$RP$679,71,0)</f>
        <v>1165.6089999999999</v>
      </c>
      <c r="H179" s="664">
        <f>VLOOKUP(H161,Base_Mensuelle!$OF$68:$RP$679,71,0)</f>
        <v>1225.1899999999996</v>
      </c>
      <c r="I179" s="664">
        <f>VLOOKUP(I161,Base_Mensuelle!$OF$68:$RP$679,71,0)</f>
        <v>1298.6599999999999</v>
      </c>
      <c r="J179" s="664">
        <f>VLOOKUP(J161,Base_Mensuelle!$OF$68:$RP$679,71,0)</f>
        <v>1449.6460000000002</v>
      </c>
      <c r="K179" s="664">
        <f>VLOOKUP(K161,Base_Mensuelle!$OF$68:$RP$679,71,0)</f>
        <v>1554.1260000000002</v>
      </c>
      <c r="L179" s="664">
        <f>VLOOKUP(L161,Base_Mensuelle!$OF$68:$RP$679,71,0)</f>
        <v>1642.2939999999999</v>
      </c>
      <c r="M179" s="664">
        <f>VLOOKUP(M161,Base_Mensuelle!$OF$68:$RP$679,71,0)</f>
        <v>1670.4850000000001</v>
      </c>
    </row>
    <row r="180" spans="1:13" ht="12.6" thickBot="1">
      <c r="A180" s="1161" t="s">
        <v>472</v>
      </c>
      <c r="B180" s="668"/>
      <c r="C180" s="668"/>
      <c r="D180" s="668"/>
      <c r="E180" s="668"/>
      <c r="F180" s="668"/>
      <c r="G180" s="668"/>
      <c r="H180" s="668"/>
      <c r="I180" s="668"/>
      <c r="J180" s="668"/>
      <c r="K180" s="668"/>
      <c r="L180" s="668"/>
      <c r="M180" s="668"/>
    </row>
    <row r="181" spans="1:13" ht="12.6" thickBot="1">
      <c r="A181" s="1791" t="s">
        <v>496</v>
      </c>
      <c r="B181" s="1792"/>
      <c r="C181" s="1792"/>
      <c r="D181" s="1792"/>
      <c r="E181" s="1792"/>
      <c r="F181" s="1792"/>
      <c r="G181" s="1792"/>
      <c r="H181" s="1792"/>
      <c r="I181" s="1792"/>
      <c r="J181" s="1792"/>
      <c r="K181" s="1792"/>
      <c r="L181" s="1792"/>
      <c r="M181" s="1792"/>
    </row>
    <row r="182" spans="1:13" ht="22.8">
      <c r="A182" s="1158" t="s">
        <v>497</v>
      </c>
      <c r="B182" s="671">
        <f>VLOOKUP(B161,Base_Mensuelle!$OF$68:$RP$679,74,0)</f>
        <v>0</v>
      </c>
      <c r="C182" s="671">
        <f>VLOOKUP(C161,Base_Mensuelle!$OF$68:$RP$679,74,0)</f>
        <v>0</v>
      </c>
      <c r="D182" s="671">
        <f>VLOOKUP(D161,Base_Mensuelle!$OF$68:$RP$679,74,0)</f>
        <v>0</v>
      </c>
      <c r="E182" s="671">
        <f>VLOOKUP(E161,Base_Mensuelle!$OF$68:$RP$679,74,0)</f>
        <v>0</v>
      </c>
      <c r="F182" s="671">
        <f>VLOOKUP(F161,Base_Mensuelle!$OF$68:$RP$679,74,0)</f>
        <v>0</v>
      </c>
      <c r="G182" s="671">
        <f>VLOOKUP(G161,Base_Mensuelle!$OF$68:$RP$679,74,0)</f>
        <v>0</v>
      </c>
      <c r="H182" s="671">
        <f>VLOOKUP(H161,Base_Mensuelle!$OF$68:$RP$679,74,0)</f>
        <v>0</v>
      </c>
      <c r="I182" s="671">
        <f>VLOOKUP(I161,Base_Mensuelle!$OF$68:$RP$679,74,0)</f>
        <v>0</v>
      </c>
      <c r="J182" s="671">
        <f>VLOOKUP(J161,Base_Mensuelle!$OF$68:$RP$679,74,0)</f>
        <v>0</v>
      </c>
      <c r="K182" s="671">
        <f>VLOOKUP(K161,Base_Mensuelle!$OF$68:$RP$679,74,0)</f>
        <v>0</v>
      </c>
      <c r="L182" s="671">
        <f>VLOOKUP(L161,Base_Mensuelle!$OF$68:$RP$679,74,0)</f>
        <v>0</v>
      </c>
      <c r="M182" s="671">
        <f>VLOOKUP(M161,Base_Mensuelle!$OF$68:$RP$679,74,0)</f>
        <v>0</v>
      </c>
    </row>
    <row r="183" spans="1:13">
      <c r="A183" s="1160" t="s">
        <v>472</v>
      </c>
      <c r="B183" s="674"/>
      <c r="C183" s="674"/>
      <c r="D183" s="674"/>
      <c r="E183" s="674"/>
      <c r="F183" s="674"/>
      <c r="G183" s="674"/>
      <c r="H183" s="674"/>
      <c r="I183" s="674"/>
      <c r="J183" s="674"/>
      <c r="K183" s="674"/>
      <c r="L183" s="674"/>
      <c r="M183" s="674"/>
    </row>
    <row r="184" spans="1:13" ht="34.200000000000003">
      <c r="A184" s="1158" t="s">
        <v>498</v>
      </c>
      <c r="B184" s="671">
        <f>VLOOKUP(B161,Base_Mensuelle!$OF$68:$RP$679,76,0)</f>
        <v>0</v>
      </c>
      <c r="C184" s="671">
        <f>VLOOKUP(C161,Base_Mensuelle!$OF$68:$RP$679,76,0)</f>
        <v>0</v>
      </c>
      <c r="D184" s="671">
        <f>VLOOKUP(D161,Base_Mensuelle!$OF$68:$RP$679,76,0)</f>
        <v>0</v>
      </c>
      <c r="E184" s="671">
        <f>VLOOKUP(E161,Base_Mensuelle!$OF$68:$RP$679,76,0)</f>
        <v>0</v>
      </c>
      <c r="F184" s="671">
        <f>VLOOKUP(F161,Base_Mensuelle!$OF$68:$RP$679,76,0)</f>
        <v>0</v>
      </c>
      <c r="G184" s="671">
        <f>VLOOKUP(G161,Base_Mensuelle!$OF$68:$RP$679,76,0)</f>
        <v>0</v>
      </c>
      <c r="H184" s="671">
        <f>VLOOKUP(H161,Base_Mensuelle!$OF$68:$RP$679,76,0)</f>
        <v>0</v>
      </c>
      <c r="I184" s="671">
        <f>VLOOKUP(I161,Base_Mensuelle!$OF$68:$RP$679,76,0)</f>
        <v>0</v>
      </c>
      <c r="J184" s="671">
        <f>VLOOKUP(J161,Base_Mensuelle!$OF$68:$RP$679,76,0)</f>
        <v>0</v>
      </c>
      <c r="K184" s="671">
        <f>VLOOKUP(K161,Base_Mensuelle!$OF$68:$RP$679,76,0)</f>
        <v>0</v>
      </c>
      <c r="L184" s="671">
        <f>VLOOKUP(L161,Base_Mensuelle!$OF$68:$RP$679,76,0)</f>
        <v>0</v>
      </c>
      <c r="M184" s="671">
        <f>VLOOKUP(M161,Base_Mensuelle!$OF$68:$RP$679,76,0)</f>
        <v>0</v>
      </c>
    </row>
    <row r="185" spans="1:13">
      <c r="A185" s="1160" t="s">
        <v>472</v>
      </c>
      <c r="B185" s="674"/>
      <c r="C185" s="674"/>
      <c r="D185" s="674"/>
      <c r="E185" s="674"/>
      <c r="F185" s="674"/>
      <c r="G185" s="674"/>
      <c r="H185" s="674"/>
      <c r="I185" s="674"/>
      <c r="J185" s="674"/>
      <c r="K185" s="674"/>
      <c r="L185" s="674"/>
      <c r="M185" s="674"/>
    </row>
    <row r="186" spans="1:13" ht="22.8">
      <c r="A186" s="1158" t="s">
        <v>499</v>
      </c>
      <c r="B186" s="671">
        <f>VLOOKUP(B161,Base_Mensuelle!$OF$68:$RP$679,78,0)</f>
        <v>0</v>
      </c>
      <c r="C186" s="671">
        <f>VLOOKUP(C161,Base_Mensuelle!$OF$68:$RP$679,78,0)</f>
        <v>0</v>
      </c>
      <c r="D186" s="671">
        <f>VLOOKUP(D161,Base_Mensuelle!$OF$68:$RP$679,78,0)</f>
        <v>0</v>
      </c>
      <c r="E186" s="671">
        <f>VLOOKUP(E161,Base_Mensuelle!$OF$68:$RP$679,78,0)</f>
        <v>0</v>
      </c>
      <c r="F186" s="671">
        <f>VLOOKUP(F161,Base_Mensuelle!$OF$68:$RP$679,78,0)</f>
        <v>0</v>
      </c>
      <c r="G186" s="671">
        <f>VLOOKUP(G161,Base_Mensuelle!$OF$68:$RP$679,78,0)</f>
        <v>0</v>
      </c>
      <c r="H186" s="671">
        <f>VLOOKUP(H161,Base_Mensuelle!$OF$68:$RP$679,78,0)</f>
        <v>0</v>
      </c>
      <c r="I186" s="671">
        <f>VLOOKUP(I161,Base_Mensuelle!$OF$68:$RP$679,78,0)</f>
        <v>0</v>
      </c>
      <c r="J186" s="671">
        <f>VLOOKUP(J161,Base_Mensuelle!$OF$68:$RP$679,78,0)</f>
        <v>0</v>
      </c>
      <c r="K186" s="671">
        <f>VLOOKUP(K161,Base_Mensuelle!$OF$68:$RP$679,78,0)</f>
        <v>0</v>
      </c>
      <c r="L186" s="671">
        <f>VLOOKUP(L161,Base_Mensuelle!$OF$68:$RP$679,78,0)</f>
        <v>0</v>
      </c>
      <c r="M186" s="671">
        <f>VLOOKUP(M161,Base_Mensuelle!$OF$68:$RP$679,78,0)</f>
        <v>0</v>
      </c>
    </row>
    <row r="187" spans="1:13">
      <c r="A187" s="1160" t="s">
        <v>472</v>
      </c>
      <c r="B187" s="674"/>
      <c r="C187" s="674"/>
      <c r="D187" s="674"/>
      <c r="E187" s="674"/>
      <c r="F187" s="674"/>
      <c r="G187" s="674"/>
      <c r="H187" s="674"/>
      <c r="I187" s="674"/>
      <c r="J187" s="674"/>
      <c r="K187" s="674"/>
      <c r="L187" s="674"/>
      <c r="M187" s="674"/>
    </row>
    <row r="188" spans="1:13" ht="22.8">
      <c r="A188" s="1158" t="s">
        <v>485</v>
      </c>
      <c r="B188" s="671">
        <f>VLOOKUP(B161,Base_Mensuelle!$OF$68:$RP$679,80,0)</f>
        <v>715.70399999999995</v>
      </c>
      <c r="C188" s="671">
        <f>VLOOKUP(C161,Base_Mensuelle!$OF$68:$RP$679,80,0)</f>
        <v>745.32099999999991</v>
      </c>
      <c r="D188" s="671">
        <f>VLOOKUP(D161,Base_Mensuelle!$OF$68:$RP$679,80,0)</f>
        <v>758.428</v>
      </c>
      <c r="E188" s="671">
        <f>VLOOKUP(E161,Base_Mensuelle!$OF$68:$RP$679,80,0)</f>
        <v>729.51400000000001</v>
      </c>
      <c r="F188" s="671">
        <f>VLOOKUP(F161,Base_Mensuelle!$OF$68:$RP$679,80,0)</f>
        <v>742.99399999999991</v>
      </c>
      <c r="G188" s="671">
        <f>VLOOKUP(G161,Base_Mensuelle!$OF$68:$RP$679,80,0)</f>
        <v>751.971</v>
      </c>
      <c r="H188" s="671">
        <f>VLOOKUP(H161,Base_Mensuelle!$OF$68:$RP$679,80,0)</f>
        <v>768.971</v>
      </c>
      <c r="I188" s="671">
        <f>VLOOKUP(I161,Base_Mensuelle!$OF$68:$RP$679,80,0)</f>
        <v>785.01400000000001</v>
      </c>
      <c r="J188" s="671">
        <f>VLOOKUP(J161,Base_Mensuelle!$OF$68:$RP$679,80,0)</f>
        <v>795.91399999999999</v>
      </c>
      <c r="K188" s="671">
        <f>VLOOKUP(K161,Base_Mensuelle!$OF$68:$RP$679,80,0)</f>
        <v>810.88199999999995</v>
      </c>
      <c r="L188" s="671">
        <f>VLOOKUP(L161,Base_Mensuelle!$OF$68:$RP$679,80,0)</f>
        <v>825.6659999999988</v>
      </c>
      <c r="M188" s="671">
        <f>VLOOKUP(M161,Base_Mensuelle!$OF$68:$RP$679,80,0)</f>
        <v>837.81899999999928</v>
      </c>
    </row>
    <row r="189" spans="1:13">
      <c r="A189" s="1160" t="s">
        <v>472</v>
      </c>
      <c r="B189" s="674"/>
      <c r="C189" s="674"/>
      <c r="D189" s="674"/>
      <c r="E189" s="674"/>
      <c r="F189" s="674"/>
      <c r="G189" s="674"/>
      <c r="H189" s="674"/>
      <c r="I189" s="674"/>
      <c r="J189" s="674"/>
      <c r="K189" s="674"/>
      <c r="L189" s="674"/>
      <c r="M189" s="674"/>
    </row>
    <row r="190" spans="1:13">
      <c r="A190" s="1158" t="s">
        <v>500</v>
      </c>
      <c r="B190" s="671">
        <f>VLOOKUP(B161,Base_Mensuelle!$OF$68:$RP$679,82,0)</f>
        <v>0</v>
      </c>
      <c r="C190" s="671">
        <f>VLOOKUP(C161,Base_Mensuelle!$OF$68:$RP$679,82,0)</f>
        <v>0</v>
      </c>
      <c r="D190" s="671">
        <f>VLOOKUP(D161,Base_Mensuelle!$OF$68:$RP$679,82,0)</f>
        <v>0</v>
      </c>
      <c r="E190" s="671">
        <f>VLOOKUP(E161,Base_Mensuelle!$OF$68:$RP$679,82,0)</f>
        <v>0</v>
      </c>
      <c r="F190" s="671">
        <f>VLOOKUP(F161,Base_Mensuelle!$OF$68:$RP$679,82,0)</f>
        <v>0</v>
      </c>
      <c r="G190" s="671">
        <f>VLOOKUP(G161,Base_Mensuelle!$OF$68:$RP$679,82,0)</f>
        <v>0</v>
      </c>
      <c r="H190" s="671">
        <f>VLOOKUP(H161,Base_Mensuelle!$OF$68:$RP$679,82,0)</f>
        <v>0</v>
      </c>
      <c r="I190" s="671">
        <f>VLOOKUP(I161,Base_Mensuelle!$OF$68:$RP$679,82,0)</f>
        <v>0</v>
      </c>
      <c r="J190" s="671">
        <f>VLOOKUP(J161,Base_Mensuelle!$OF$68:$RP$679,82,0)</f>
        <v>0</v>
      </c>
      <c r="K190" s="671">
        <f>VLOOKUP(K161,Base_Mensuelle!$OF$68:$RP$679,82,0)</f>
        <v>0</v>
      </c>
      <c r="L190" s="671">
        <f>VLOOKUP(L161,Base_Mensuelle!$OF$68:$RP$679,82,0)</f>
        <v>0</v>
      </c>
      <c r="M190" s="671">
        <f>VLOOKUP(M161,Base_Mensuelle!$OF$68:$RP$679,82,0)</f>
        <v>0</v>
      </c>
    </row>
    <row r="191" spans="1:13">
      <c r="A191" s="1160" t="s">
        <v>472</v>
      </c>
      <c r="B191" s="674"/>
      <c r="C191" s="674"/>
      <c r="D191" s="674"/>
      <c r="E191" s="674"/>
      <c r="F191" s="674"/>
      <c r="G191" s="674"/>
      <c r="H191" s="674"/>
      <c r="I191" s="674"/>
      <c r="J191" s="674"/>
      <c r="K191" s="674"/>
      <c r="L191" s="674"/>
      <c r="M191" s="674"/>
    </row>
    <row r="192" spans="1:13" ht="22.8">
      <c r="A192" s="1158" t="s">
        <v>486</v>
      </c>
      <c r="B192" s="671">
        <f>VLOOKUP(B161,Base_Mensuelle!$OF$68:$RP$679,84,0)</f>
        <v>0</v>
      </c>
      <c r="C192" s="671">
        <f>VLOOKUP(C161,Base_Mensuelle!$OF$68:$RP$679,84,0)</f>
        <v>0</v>
      </c>
      <c r="D192" s="671">
        <f>VLOOKUP(D161,Base_Mensuelle!$OF$68:$RP$679,84,0)</f>
        <v>0</v>
      </c>
      <c r="E192" s="671">
        <f>VLOOKUP(E161,Base_Mensuelle!$OF$68:$RP$679,84,0)</f>
        <v>0</v>
      </c>
      <c r="F192" s="671">
        <f>VLOOKUP(F161,Base_Mensuelle!$OF$68:$RP$679,84,0)</f>
        <v>0</v>
      </c>
      <c r="G192" s="671">
        <f>VLOOKUP(G161,Base_Mensuelle!$OF$68:$RP$679,84,0)</f>
        <v>0</v>
      </c>
      <c r="H192" s="671">
        <f>VLOOKUP(H161,Base_Mensuelle!$OF$68:$RP$679,84,0)</f>
        <v>0</v>
      </c>
      <c r="I192" s="671">
        <f>VLOOKUP(I161,Base_Mensuelle!$OF$68:$RP$679,84,0)</f>
        <v>0</v>
      </c>
      <c r="J192" s="671">
        <f>VLOOKUP(J161,Base_Mensuelle!$OF$68:$RP$679,84,0)</f>
        <v>0</v>
      </c>
      <c r="K192" s="671">
        <f>VLOOKUP(K161,Base_Mensuelle!$OF$68:$RP$679,84,0)</f>
        <v>0</v>
      </c>
      <c r="L192" s="671">
        <f>VLOOKUP(L161,Base_Mensuelle!$OF$68:$RP$679,84,0)</f>
        <v>0</v>
      </c>
      <c r="M192" s="671">
        <f>VLOOKUP(M161,Base_Mensuelle!$OF$68:$RP$679,84,0)</f>
        <v>0</v>
      </c>
    </row>
    <row r="193" spans="1:13">
      <c r="A193" s="1160" t="s">
        <v>472</v>
      </c>
      <c r="B193" s="674"/>
      <c r="C193" s="674"/>
      <c r="D193" s="674"/>
      <c r="E193" s="674"/>
      <c r="F193" s="674"/>
      <c r="G193" s="674"/>
      <c r="H193" s="674"/>
      <c r="I193" s="674"/>
      <c r="J193" s="674"/>
      <c r="K193" s="674"/>
      <c r="L193" s="674"/>
      <c r="M193" s="674"/>
    </row>
    <row r="194" spans="1:13" ht="12.6" thickBot="1">
      <c r="A194" s="1163" t="s">
        <v>487</v>
      </c>
      <c r="B194" s="678">
        <f>VLOOKUP(B161,Base_Mensuelle!$OF$68:$RP$679,86,0)</f>
        <v>0</v>
      </c>
      <c r="C194" s="678">
        <f>VLOOKUP(C161,Base_Mensuelle!$OF$68:$RP$679,86,0)</f>
        <v>0</v>
      </c>
      <c r="D194" s="678">
        <f>VLOOKUP(D161,Base_Mensuelle!$OF$68:$RP$679,86,0)</f>
        <v>0</v>
      </c>
      <c r="E194" s="678">
        <f>VLOOKUP(E161,Base_Mensuelle!$OF$68:$RP$679,86,0)</f>
        <v>0</v>
      </c>
      <c r="F194" s="678">
        <f>VLOOKUP(F161,Base_Mensuelle!$OF$68:$RP$679,86,0)</f>
        <v>0</v>
      </c>
      <c r="G194" s="678">
        <f>VLOOKUP(G161,Base_Mensuelle!$OF$68:$RP$679,86,0)</f>
        <v>0</v>
      </c>
      <c r="H194" s="678">
        <f>VLOOKUP(H161,Base_Mensuelle!$OF$68:$RP$679,86,0)</f>
        <v>0</v>
      </c>
      <c r="I194" s="678">
        <f>VLOOKUP(I161,Base_Mensuelle!$OF$68:$RP$679,86,0)</f>
        <v>0</v>
      </c>
      <c r="J194" s="678">
        <f>VLOOKUP(J161,Base_Mensuelle!$OF$68:$RP$679,86,0)</f>
        <v>0</v>
      </c>
      <c r="K194" s="678">
        <f>VLOOKUP(K161,Base_Mensuelle!$OF$68:$RP$679,86,0)</f>
        <v>0</v>
      </c>
      <c r="L194" s="678">
        <f>VLOOKUP(L161,Base_Mensuelle!$OF$68:$RP$679,86,0)</f>
        <v>0</v>
      </c>
      <c r="M194" s="678">
        <f>VLOOKUP(M161,Base_Mensuelle!$OF$68:$RP$679,86,0)</f>
        <v>0</v>
      </c>
    </row>
    <row r="195" spans="1:13">
      <c r="A195" s="1138" t="s">
        <v>463</v>
      </c>
    </row>
    <row r="196" spans="1:13" ht="15" customHeight="1">
      <c r="A196" s="1138"/>
    </row>
    <row r="197" spans="1:13">
      <c r="A197" s="1138"/>
    </row>
    <row r="198" spans="1:13">
      <c r="A198" s="1136" t="s">
        <v>804</v>
      </c>
    </row>
    <row r="199" spans="1:13">
      <c r="A199" s="1136"/>
    </row>
    <row r="200" spans="1:13">
      <c r="A200" s="1137"/>
      <c r="B200" s="1523">
        <f>DATE(YEAR(INDEX(Base_Mensuelle!$OF$68:$RQ$679,MAX(Base_Mensuelle!$RN$68:$RN$679),1)),1,1)</f>
        <v>44927</v>
      </c>
      <c r="C200" s="1523">
        <f>DATE(YEAR(INDEX(Base_Mensuelle!$OF$68:$RQ$679,MAX(Base_Mensuelle!$RN$68:$RN$679),1)),2,1)</f>
        <v>44958</v>
      </c>
      <c r="D200" s="1523">
        <f>DATE(YEAR(INDEX(Base_Mensuelle!$OF$68:$RQ$679,MAX(Base_Mensuelle!$RN$68:$RN$679),1)),3,1)</f>
        <v>44986</v>
      </c>
      <c r="E200" s="1523">
        <f>DATE(YEAR(INDEX(Base_Mensuelle!$OF$68:$RQ$679,MAX(Base_Mensuelle!$RN$68:$RN$679),1)),4,1)</f>
        <v>45017</v>
      </c>
      <c r="F200" s="1523">
        <f>DATE(YEAR(INDEX(Base_Mensuelle!$OF$68:$RQ$679,MAX(Base_Mensuelle!$RN$68:$RN$679),1)),5,1)</f>
        <v>45047</v>
      </c>
      <c r="G200" s="1523">
        <f>DATE(YEAR(INDEX(Base_Mensuelle!$OF$68:$RQ$679,MAX(Base_Mensuelle!$RN$68:$RN$679),1)),6,1)</f>
        <v>45078</v>
      </c>
      <c r="H200" s="1523">
        <f>DATE(YEAR(INDEX(Base_Mensuelle!$OF$68:$RQ$679,MAX(Base_Mensuelle!$RN$68:$RN$679),1)),7,1)</f>
        <v>45108</v>
      </c>
      <c r="I200" s="1523">
        <f>DATE(YEAR(INDEX(Base_Mensuelle!$OF$68:$RQ$679,MAX(Base_Mensuelle!$RN$68:$RN$679),1)),8,1)</f>
        <v>45139</v>
      </c>
      <c r="J200" s="1523">
        <f>DATE(YEAR(INDEX(Base_Mensuelle!$OF$68:$RQ$679,MAX(Base_Mensuelle!$RN$68:$RN$679),1)),9,1)</f>
        <v>45170</v>
      </c>
      <c r="K200" s="1523">
        <f>DATE(YEAR(INDEX(Base_Mensuelle!$OF$68:$RQ$679,MAX(Base_Mensuelle!$RN$68:$RN$679),1)),10,1)</f>
        <v>45200</v>
      </c>
      <c r="L200" s="1523">
        <f>DATE(YEAR(INDEX(Base_Mensuelle!$OF$68:$RQ$679,MAX(Base_Mensuelle!$RN$68:$RN$679),1)),11,1)</f>
        <v>45231</v>
      </c>
      <c r="M200" s="1523">
        <f>DATE(YEAR(INDEX(Base_Mensuelle!$OF$68:$RQ$679,MAX(Base_Mensuelle!$RN$68:$RN$679),1)),12,1)</f>
        <v>45261</v>
      </c>
    </row>
    <row r="201" spans="1:13">
      <c r="A201" s="659" t="s">
        <v>490</v>
      </c>
      <c r="B201" s="660"/>
      <c r="C201" s="660"/>
      <c r="D201" s="660"/>
      <c r="E201" s="660"/>
      <c r="F201" s="660"/>
      <c r="G201" s="660"/>
      <c r="H201" s="660"/>
      <c r="I201" s="660"/>
      <c r="J201" s="660"/>
      <c r="K201" s="660"/>
      <c r="L201" s="660"/>
      <c r="M201" s="660"/>
    </row>
    <row r="202" spans="1:13">
      <c r="A202" s="1155" t="s">
        <v>454</v>
      </c>
      <c r="B202" s="634">
        <f>VLOOKUP(B200,Base_Mensuelle!$OF$68:$RP$679,55,0)</f>
        <v>2358.3920000000003</v>
      </c>
      <c r="C202" s="634">
        <f>VLOOKUP(C200,Base_Mensuelle!$OF$68:$RP$679,55,0)</f>
        <v>1989.2320000000004</v>
      </c>
      <c r="D202" s="634">
        <f>VLOOKUP(D200,Base_Mensuelle!$OF$68:$RP$679,55,0)</f>
        <v>2049.4349999999999</v>
      </c>
      <c r="E202" s="634">
        <f>VLOOKUP(E200,Base_Mensuelle!$OF$68:$RP$679,55,0)</f>
        <v>1986.1060000000002</v>
      </c>
      <c r="F202" s="634">
        <f>VLOOKUP(F200,Base_Mensuelle!$OF$68:$RP$679,55,0)</f>
        <v>2132.279</v>
      </c>
      <c r="G202" s="634">
        <f>VLOOKUP(G200,Base_Mensuelle!$OF$68:$RP$679,55,0)</f>
        <v>2274.326</v>
      </c>
      <c r="H202" s="634">
        <f>VLOOKUP(H200,Base_Mensuelle!$OF$68:$RP$679,55,0)</f>
        <v>2238.2669999999998</v>
      </c>
      <c r="I202" s="634">
        <f>VLOOKUP(I200,Base_Mensuelle!$OF$68:$RP$679,55,0)</f>
        <v>2137.7929999999997</v>
      </c>
      <c r="J202" s="634">
        <f>VLOOKUP(J200,Base_Mensuelle!$OF$68:$RP$679,55,0)</f>
        <v>2278.5110000000004</v>
      </c>
      <c r="K202" s="634">
        <f>VLOOKUP(K200,Base_Mensuelle!$OF$68:$RP$679,55,0)</f>
        <v>2111.5820000000003</v>
      </c>
      <c r="L202" s="634">
        <f>VLOOKUP(L200,Base_Mensuelle!$OF$68:$RP$679,55,0)</f>
        <v>2038.0520000000001</v>
      </c>
      <c r="M202" s="634">
        <f>VLOOKUP(M200,Base_Mensuelle!$OF$68:$RP$679,55,0)</f>
        <v>1998.8049999999998</v>
      </c>
    </row>
    <row r="203" spans="1:13">
      <c r="A203" s="1160" t="s">
        <v>470</v>
      </c>
      <c r="B203" s="674">
        <f>VLOOKUP(B200,Base_Mensuelle!$OF$68:$RP$679,56,0)</f>
        <v>2716.9270000000001</v>
      </c>
      <c r="C203" s="674">
        <f>VLOOKUP(C200,Base_Mensuelle!$OF$68:$RP$679,56,0)</f>
        <v>2777.6000000000004</v>
      </c>
      <c r="D203" s="674">
        <f>VLOOKUP(D200,Base_Mensuelle!$OF$68:$RP$679,56,0)</f>
        <v>2795.2429999999999</v>
      </c>
      <c r="E203" s="674">
        <f>VLOOKUP(E200,Base_Mensuelle!$OF$68:$RP$679,56,0)</f>
        <v>2715.6980000000003</v>
      </c>
      <c r="F203" s="674">
        <f>VLOOKUP(F200,Base_Mensuelle!$OF$68:$RP$679,56,0)</f>
        <v>2780.489</v>
      </c>
      <c r="G203" s="674">
        <f>VLOOKUP(G200,Base_Mensuelle!$OF$68:$RP$679,56,0)</f>
        <v>2699.6080000000002</v>
      </c>
      <c r="H203" s="674">
        <f>VLOOKUP(H200,Base_Mensuelle!$OF$68:$RP$679,56,0)</f>
        <v>2695.3389999999999</v>
      </c>
      <c r="I203" s="674">
        <f>VLOOKUP(I200,Base_Mensuelle!$OF$68:$RP$679,56,0)</f>
        <v>2625.2089999999998</v>
      </c>
      <c r="J203" s="674">
        <f>VLOOKUP(J200,Base_Mensuelle!$OF$68:$RP$679,56,0)</f>
        <v>2636.6230000000005</v>
      </c>
      <c r="K203" s="674">
        <f>VLOOKUP(K200,Base_Mensuelle!$OF$68:$RP$679,56,0)</f>
        <v>2577.3720000000003</v>
      </c>
      <c r="L203" s="674">
        <f>VLOOKUP(L200,Base_Mensuelle!$OF$68:$RP$679,56,0)</f>
        <v>2593.0950000000003</v>
      </c>
      <c r="M203" s="674">
        <f>VLOOKUP(M200,Base_Mensuelle!$OF$68:$RP$679,56,0)</f>
        <v>2624.3069999999998</v>
      </c>
    </row>
    <row r="204" spans="1:13" ht="22.8">
      <c r="A204" s="1157" t="s">
        <v>471</v>
      </c>
      <c r="B204" s="634">
        <f>VLOOKUP(B200,Base_Mensuelle!$OF$68:$RP$679,57,0)</f>
        <v>-358.53500000000003</v>
      </c>
      <c r="C204" s="634">
        <f>VLOOKUP(C200,Base_Mensuelle!$OF$68:$RP$679,57,0)</f>
        <v>-788.36800000000005</v>
      </c>
      <c r="D204" s="634">
        <f>VLOOKUP(D200,Base_Mensuelle!$OF$68:$RP$679,57,0)</f>
        <v>-745.80799999999999</v>
      </c>
      <c r="E204" s="634">
        <f>VLOOKUP(E200,Base_Mensuelle!$OF$68:$RP$679,57,0)</f>
        <v>-729.5920000000001</v>
      </c>
      <c r="F204" s="634">
        <f>VLOOKUP(F200,Base_Mensuelle!$OF$68:$RP$679,57,0)</f>
        <v>-648.21</v>
      </c>
      <c r="G204" s="634">
        <f>VLOOKUP(G200,Base_Mensuelle!$OF$68:$RP$679,57,0)</f>
        <v>-425.2820000000001</v>
      </c>
      <c r="H204" s="634">
        <f>VLOOKUP(H200,Base_Mensuelle!$OF$68:$RP$679,57,0)</f>
        <v>-457.07199999999995</v>
      </c>
      <c r="I204" s="634">
        <f>VLOOKUP(I200,Base_Mensuelle!$OF$68:$RP$679,57,0)</f>
        <v>-487.416</v>
      </c>
      <c r="J204" s="634">
        <f>VLOOKUP(J200,Base_Mensuelle!$OF$68:$RP$679,57,0)</f>
        <v>-358.11200000000002</v>
      </c>
      <c r="K204" s="634">
        <f>VLOOKUP(K200,Base_Mensuelle!$OF$68:$RP$679,57,0)</f>
        <v>-465.79</v>
      </c>
      <c r="L204" s="634">
        <f>VLOOKUP(L200,Base_Mensuelle!$OF$68:$RP$679,57,0)</f>
        <v>-555.04300000000001</v>
      </c>
      <c r="M204" s="634">
        <f>VLOOKUP(M200,Base_Mensuelle!$OF$68:$RP$679,57,0)</f>
        <v>-625.50199999999995</v>
      </c>
    </row>
    <row r="205" spans="1:13">
      <c r="A205" s="1160" t="s">
        <v>472</v>
      </c>
      <c r="B205" s="674"/>
      <c r="C205" s="674"/>
      <c r="D205" s="674"/>
      <c r="E205" s="674"/>
      <c r="F205" s="674"/>
      <c r="G205" s="674"/>
      <c r="H205" s="674"/>
      <c r="I205" s="674"/>
      <c r="J205" s="674"/>
      <c r="K205" s="674"/>
      <c r="L205" s="674"/>
      <c r="M205" s="674"/>
    </row>
    <row r="206" spans="1:13" ht="22.8">
      <c r="A206" s="1158" t="s">
        <v>491</v>
      </c>
      <c r="B206" s="634">
        <f>VLOOKUP(B200,Base_Mensuelle!$OF$68:$RP$679,59,0)</f>
        <v>124.663</v>
      </c>
      <c r="C206" s="634">
        <f>VLOOKUP(C200,Base_Mensuelle!$OF$68:$RP$679,59,0)</f>
        <v>126.12</v>
      </c>
      <c r="D206" s="634">
        <f>VLOOKUP(D200,Base_Mensuelle!$OF$68:$RP$679,59,0)</f>
        <v>117.81</v>
      </c>
      <c r="E206" s="634">
        <f>VLOOKUP(E200,Base_Mensuelle!$OF$68:$RP$679,59,0)</f>
        <v>127.346</v>
      </c>
      <c r="F206" s="634">
        <f>VLOOKUP(F200,Base_Mensuelle!$OF$68:$RP$679,59,0)</f>
        <v>130.11099999999999</v>
      </c>
      <c r="G206" s="634">
        <f>VLOOKUP(G200,Base_Mensuelle!$OF$68:$RP$679,59,0)</f>
        <v>133.31899999999999</v>
      </c>
      <c r="H206" s="634">
        <f>VLOOKUP(H200,Base_Mensuelle!$OF$68:$RP$679,59,0)</f>
        <v>128.33699999999999</v>
      </c>
      <c r="I206" s="634">
        <f>VLOOKUP(I200,Base_Mensuelle!$OF$68:$RP$679,59,0)</f>
        <v>125.005</v>
      </c>
      <c r="J206" s="634">
        <f>VLOOKUP(J200,Base_Mensuelle!$OF$68:$RP$679,59,0)</f>
        <v>123.535</v>
      </c>
      <c r="K206" s="634">
        <f>VLOOKUP(K200,Base_Mensuelle!$OF$68:$RP$679,59,0)</f>
        <v>139.55199999999999</v>
      </c>
      <c r="L206" s="634">
        <f>VLOOKUP(L200,Base_Mensuelle!$OF$68:$RP$679,59,0)</f>
        <v>132.61699999999999</v>
      </c>
      <c r="M206" s="634">
        <f>VLOOKUP(M200,Base_Mensuelle!$OF$68:$RP$679,59,0)</f>
        <v>154.542</v>
      </c>
    </row>
    <row r="207" spans="1:13">
      <c r="A207" s="1789" t="s">
        <v>492</v>
      </c>
      <c r="B207" s="664">
        <f>VLOOKUP(B200,Base_Mensuelle!$OF$68:$RP$679,60,0)</f>
        <v>367.435</v>
      </c>
      <c r="C207" s="664">
        <f>VLOOKUP(C200,Base_Mensuelle!$OF$68:$RP$679,60,0)</f>
        <v>128.881</v>
      </c>
      <c r="D207" s="664">
        <f>VLOOKUP(D200,Base_Mensuelle!$OF$68:$RP$679,60,0)</f>
        <v>261.923</v>
      </c>
      <c r="E207" s="664">
        <f>VLOOKUP(E200,Base_Mensuelle!$OF$68:$RP$679,60,0)</f>
        <v>349.45400000000001</v>
      </c>
      <c r="F207" s="664">
        <f>VLOOKUP(F200,Base_Mensuelle!$OF$68:$RP$679,60,0)</f>
        <v>277.37699999999995</v>
      </c>
      <c r="G207" s="664">
        <f>VLOOKUP(G200,Base_Mensuelle!$OF$68:$RP$679,60,0)</f>
        <v>395.26400000000001</v>
      </c>
      <c r="H207" s="664">
        <f>VLOOKUP(H200,Base_Mensuelle!$OF$68:$RP$679,60,0)</f>
        <v>320.33199999999999</v>
      </c>
      <c r="I207" s="664">
        <f>VLOOKUP(I200,Base_Mensuelle!$OF$68:$RP$679,60,0)</f>
        <v>315.44400000000002</v>
      </c>
      <c r="J207" s="664">
        <f>VLOOKUP(J200,Base_Mensuelle!$OF$68:$RP$679,60,0)</f>
        <v>270.24700000000001</v>
      </c>
      <c r="K207" s="664">
        <f>VLOOKUP(K200,Base_Mensuelle!$OF$68:$RP$679,60,0)</f>
        <v>247.84899999999999</v>
      </c>
      <c r="L207" s="664">
        <f>VLOOKUP(L200,Base_Mensuelle!$OF$68:$RP$679,60,0)</f>
        <v>242.952</v>
      </c>
      <c r="M207" s="664">
        <f>VLOOKUP(M200,Base_Mensuelle!$OF$68:$RP$679,60,0)</f>
        <v>279.06800000000004</v>
      </c>
    </row>
    <row r="208" spans="1:13">
      <c r="A208" s="1157" t="s">
        <v>493</v>
      </c>
      <c r="B208" s="1790">
        <f>VLOOKUP(B200,Base_Mensuelle!$OF$68:$RP$679,61,0)</f>
        <v>0</v>
      </c>
      <c r="C208" s="1790">
        <f>VLOOKUP(C200,Base_Mensuelle!$OF$68:$RP$679,61,0)</f>
        <v>0</v>
      </c>
      <c r="D208" s="1790">
        <f>VLOOKUP(D200,Base_Mensuelle!$OF$68:$RP$679,61,0)</f>
        <v>0</v>
      </c>
      <c r="E208" s="1790">
        <f>VLOOKUP(E200,Base_Mensuelle!$OF$68:$RP$679,61,0)</f>
        <v>0</v>
      </c>
      <c r="F208" s="1790">
        <f>VLOOKUP(F200,Base_Mensuelle!$OF$68:$RP$679,61,0)</f>
        <v>0</v>
      </c>
      <c r="G208" s="1790">
        <f>VLOOKUP(G200,Base_Mensuelle!$OF$68:$RP$679,61,0)</f>
        <v>0</v>
      </c>
      <c r="H208" s="1790">
        <f>VLOOKUP(H200,Base_Mensuelle!$OF$68:$RP$679,61,0)</f>
        <v>0</v>
      </c>
      <c r="I208" s="1790">
        <f>VLOOKUP(I200,Base_Mensuelle!$OF$68:$RP$679,61,0)</f>
        <v>0</v>
      </c>
      <c r="J208" s="1790">
        <f>VLOOKUP(J200,Base_Mensuelle!$OF$68:$RP$679,61,0)</f>
        <v>0</v>
      </c>
      <c r="K208" s="1790">
        <f>VLOOKUP(K200,Base_Mensuelle!$OF$68:$RP$679,61,0)</f>
        <v>0</v>
      </c>
      <c r="L208" s="1790">
        <f>VLOOKUP(L200,Base_Mensuelle!$OF$68:$RP$679,61,0)</f>
        <v>0</v>
      </c>
      <c r="M208" s="1790">
        <f>VLOOKUP(M200,Base_Mensuelle!$OF$68:$RP$679,61,0)</f>
        <v>0</v>
      </c>
    </row>
    <row r="209" spans="1:13">
      <c r="A209" s="1160" t="s">
        <v>472</v>
      </c>
      <c r="B209" s="674"/>
      <c r="C209" s="674"/>
      <c r="D209" s="674"/>
      <c r="E209" s="674"/>
      <c r="F209" s="674"/>
      <c r="G209" s="674"/>
      <c r="H209" s="674"/>
      <c r="I209" s="674"/>
      <c r="J209" s="674"/>
      <c r="K209" s="674"/>
      <c r="L209" s="674"/>
      <c r="M209" s="674"/>
    </row>
    <row r="210" spans="1:13" ht="22.8">
      <c r="A210" s="1158" t="s">
        <v>474</v>
      </c>
      <c r="B210" s="634">
        <f>VLOOKUP(B200,Base_Mensuelle!$OF$68:$RP$679,63,0)</f>
        <v>1235.8520000000001</v>
      </c>
      <c r="C210" s="634">
        <f>VLOOKUP(C200,Base_Mensuelle!$OF$68:$RP$679,63,0)</f>
        <v>1160.155</v>
      </c>
      <c r="D210" s="634">
        <f>VLOOKUP(D200,Base_Mensuelle!$OF$68:$RP$679,63,0)</f>
        <v>1115.586</v>
      </c>
      <c r="E210" s="634">
        <f>VLOOKUP(E200,Base_Mensuelle!$OF$68:$RP$679,63,0)</f>
        <v>1142.1600000000001</v>
      </c>
      <c r="F210" s="634">
        <f>VLOOKUP(F200,Base_Mensuelle!$OF$68:$RP$679,63,0)</f>
        <v>1086.222</v>
      </c>
      <c r="G210" s="634">
        <f>VLOOKUP(G200,Base_Mensuelle!$OF$68:$RP$679,63,0)</f>
        <v>1184.596</v>
      </c>
      <c r="H210" s="634">
        <f>VLOOKUP(H200,Base_Mensuelle!$OF$68:$RP$679,63,0)</f>
        <v>1168.306</v>
      </c>
      <c r="I210" s="634">
        <f>VLOOKUP(I200,Base_Mensuelle!$OF$68:$RP$679,63,0)</f>
        <v>1190.1130000000001</v>
      </c>
      <c r="J210" s="634">
        <f>VLOOKUP(J200,Base_Mensuelle!$OF$68:$RP$679,63,0)</f>
        <v>1150.4490000000001</v>
      </c>
      <c r="K210" s="634">
        <f>VLOOKUP(K200,Base_Mensuelle!$OF$68:$RP$679,63,0)</f>
        <v>1194.33</v>
      </c>
      <c r="L210" s="634">
        <f>VLOOKUP(L200,Base_Mensuelle!$OF$68:$RP$679,63,0)</f>
        <v>1138.673</v>
      </c>
      <c r="M210" s="634">
        <f>VLOOKUP(M200,Base_Mensuelle!$OF$68:$RP$679,63,0)</f>
        <v>1154.7450000000001</v>
      </c>
    </row>
    <row r="211" spans="1:13" ht="22.8">
      <c r="A211" s="1789" t="s">
        <v>475</v>
      </c>
      <c r="B211" s="664">
        <f>VLOOKUP(B200,Base_Mensuelle!$OF$68:$RP$679,64,0)</f>
        <v>-877.76099999999997</v>
      </c>
      <c r="C211" s="664">
        <f>VLOOKUP(C200,Base_Mensuelle!$OF$68:$RP$679,64,0)</f>
        <v>-823.71</v>
      </c>
      <c r="D211" s="664">
        <f>VLOOKUP(D200,Base_Mensuelle!$OF$68:$RP$679,64,0)</f>
        <v>-804.77199999999993</v>
      </c>
      <c r="E211" s="664">
        <f>VLOOKUP(E200,Base_Mensuelle!$OF$68:$RP$679,64,0)</f>
        <v>-870.91899999999998</v>
      </c>
      <c r="F211" s="664">
        <f>VLOOKUP(F200,Base_Mensuelle!$OF$68:$RP$679,64,0)</f>
        <v>-827.75600000000009</v>
      </c>
      <c r="G211" s="664">
        <f>VLOOKUP(G200,Base_Mensuelle!$OF$68:$RP$679,64,0)</f>
        <v>-902.46299999999997</v>
      </c>
      <c r="H211" s="664">
        <f>VLOOKUP(H200,Base_Mensuelle!$OF$68:$RP$679,64,0)</f>
        <v>-916.64699999999993</v>
      </c>
      <c r="I211" s="664">
        <f>VLOOKUP(I200,Base_Mensuelle!$OF$68:$RP$679,64,0)</f>
        <v>-891.55200000000002</v>
      </c>
      <c r="J211" s="664">
        <f>VLOOKUP(J200,Base_Mensuelle!$OF$68:$RP$679,64,0)</f>
        <v>-893.59399999999994</v>
      </c>
      <c r="K211" s="664">
        <f>VLOOKUP(K200,Base_Mensuelle!$OF$68:$RP$679,64,0)</f>
        <v>-806.49600000000009</v>
      </c>
      <c r="L211" s="664">
        <f>VLOOKUP(L200,Base_Mensuelle!$OF$68:$RP$679,64,0)</f>
        <v>-927.69299999999998</v>
      </c>
      <c r="M211" s="664">
        <f>VLOOKUP(M200,Base_Mensuelle!$OF$68:$RP$679,64,0)</f>
        <v>-911.048</v>
      </c>
    </row>
    <row r="212" spans="1:13" ht="22.8">
      <c r="A212" s="1157" t="s">
        <v>476</v>
      </c>
      <c r="B212" s="634">
        <f>VLOOKUP(B200,Base_Mensuelle!$OF$68:$RP$679,65,0)</f>
        <v>4037.1010000000001</v>
      </c>
      <c r="C212" s="634">
        <f>VLOOKUP(C200,Base_Mensuelle!$OF$68:$RP$679,65,0)</f>
        <v>4001.0639999999999</v>
      </c>
      <c r="D212" s="634">
        <f>VLOOKUP(D200,Base_Mensuelle!$OF$68:$RP$679,65,0)</f>
        <v>3975.3029999999999</v>
      </c>
      <c r="E212" s="634">
        <f>VLOOKUP(E200,Base_Mensuelle!$OF$68:$RP$679,65,0)</f>
        <v>4050.2220000000002</v>
      </c>
      <c r="F212" s="634">
        <f>VLOOKUP(F200,Base_Mensuelle!$OF$68:$RP$679,65,0)</f>
        <v>4136.9219999999996</v>
      </c>
      <c r="G212" s="634">
        <f>VLOOKUP(G200,Base_Mensuelle!$OF$68:$RP$679,65,0)</f>
        <v>4143.2060000000001</v>
      </c>
      <c r="H212" s="634">
        <f>VLOOKUP(H200,Base_Mensuelle!$OF$68:$RP$679,65,0)</f>
        <v>4161.942</v>
      </c>
      <c r="I212" s="634">
        <f>VLOOKUP(I200,Base_Mensuelle!$OF$68:$RP$679,65,0)</f>
        <v>4185.768</v>
      </c>
      <c r="J212" s="634">
        <f>VLOOKUP(J200,Base_Mensuelle!$OF$68:$RP$679,65,0)</f>
        <v>4336.0569999999998</v>
      </c>
      <c r="K212" s="634">
        <f>VLOOKUP(K200,Base_Mensuelle!$OF$68:$RP$679,65,0)</f>
        <v>4224.1550000000007</v>
      </c>
      <c r="L212" s="634">
        <f>VLOOKUP(L200,Base_Mensuelle!$OF$68:$RP$679,65,0)</f>
        <v>4272.0509999999995</v>
      </c>
      <c r="M212" s="634">
        <f>VLOOKUP(M200,Base_Mensuelle!$OF$68:$RP$679,65,0)</f>
        <v>4312.223</v>
      </c>
    </row>
    <row r="213" spans="1:13">
      <c r="A213" s="1789" t="s">
        <v>472</v>
      </c>
      <c r="B213" s="664"/>
      <c r="C213" s="664"/>
      <c r="D213" s="664"/>
      <c r="E213" s="664"/>
      <c r="F213" s="664"/>
      <c r="G213" s="664"/>
      <c r="H213" s="664"/>
      <c r="I213" s="664"/>
      <c r="J213" s="664"/>
      <c r="K213" s="664"/>
      <c r="L213" s="664"/>
      <c r="M213" s="664"/>
    </row>
    <row r="214" spans="1:13">
      <c r="A214" s="1158" t="s">
        <v>477</v>
      </c>
      <c r="B214" s="634">
        <f>VLOOKUP(B200,Base_Mensuelle!$OF$68:$RP$679,67,0)</f>
        <v>15.177</v>
      </c>
      <c r="C214" s="634">
        <f>VLOOKUP(C200,Base_Mensuelle!$OF$68:$RP$679,67,0)</f>
        <v>15.231</v>
      </c>
      <c r="D214" s="634">
        <f>VLOOKUP(D200,Base_Mensuelle!$OF$68:$RP$679,67,0)</f>
        <v>15.304</v>
      </c>
      <c r="E214" s="634">
        <f>VLOOKUP(E200,Base_Mensuelle!$OF$68:$RP$679,67,0)</f>
        <v>15.366</v>
      </c>
      <c r="F214" s="634">
        <f>VLOOKUP(F200,Base_Mensuelle!$OF$68:$RP$679,67,0)</f>
        <v>15.503</v>
      </c>
      <c r="G214" s="634">
        <f>VLOOKUP(G200,Base_Mensuelle!$OF$68:$RP$679,67,0)</f>
        <v>15.122999999999999</v>
      </c>
      <c r="H214" s="634">
        <f>VLOOKUP(H200,Base_Mensuelle!$OF$68:$RP$679,67,0)</f>
        <v>15.199</v>
      </c>
      <c r="I214" s="634">
        <f>VLOOKUP(I200,Base_Mensuelle!$OF$68:$RP$679,67,0)</f>
        <v>15.263999999999999</v>
      </c>
      <c r="J214" s="634">
        <f>VLOOKUP(J200,Base_Mensuelle!$OF$68:$RP$679,67,0)</f>
        <v>5.29</v>
      </c>
      <c r="K214" s="634">
        <f>VLOOKUP(K200,Base_Mensuelle!$OF$68:$RP$679,67,0)</f>
        <v>5.3140000000000001</v>
      </c>
      <c r="L214" s="634">
        <f>VLOOKUP(L200,Base_Mensuelle!$OF$68:$RP$679,67,0)</f>
        <v>5.3369999999999997</v>
      </c>
      <c r="M214" s="634">
        <f>VLOOKUP(M200,Base_Mensuelle!$OF$68:$RP$679,67,0)</f>
        <v>5.3620000000000001</v>
      </c>
    </row>
    <row r="215" spans="1:13" ht="22.8">
      <c r="A215" s="1789" t="s">
        <v>478</v>
      </c>
      <c r="B215" s="664">
        <f>VLOOKUP(B200,Base_Mensuelle!$OF$68:$RP$679,68,0)</f>
        <v>348.87</v>
      </c>
      <c r="C215" s="664">
        <f>VLOOKUP(C200,Base_Mensuelle!$OF$68:$RP$679,68,0)</f>
        <v>358.137</v>
      </c>
      <c r="D215" s="664">
        <f>VLOOKUP(D200,Base_Mensuelle!$OF$68:$RP$679,68,0)</f>
        <v>343.779</v>
      </c>
      <c r="E215" s="664">
        <f>VLOOKUP(E200,Base_Mensuelle!$OF$68:$RP$679,68,0)</f>
        <v>342.35900000000004</v>
      </c>
      <c r="F215" s="664">
        <f>VLOOKUP(F200,Base_Mensuelle!$OF$68:$RP$679,68,0)</f>
        <v>362.714</v>
      </c>
      <c r="G215" s="664">
        <f>VLOOKUP(G200,Base_Mensuelle!$OF$68:$RP$679,68,0)</f>
        <v>403.38900000000001</v>
      </c>
      <c r="H215" s="664">
        <f>VLOOKUP(H200,Base_Mensuelle!$OF$68:$RP$679,68,0)</f>
        <v>361.63900000000001</v>
      </c>
      <c r="I215" s="664">
        <f>VLOOKUP(I200,Base_Mensuelle!$OF$68:$RP$679,68,0)</f>
        <v>351.35500000000002</v>
      </c>
      <c r="J215" s="664">
        <f>VLOOKUP(J200,Base_Mensuelle!$OF$68:$RP$679,68,0)</f>
        <v>353.37</v>
      </c>
      <c r="K215" s="664">
        <f>VLOOKUP(K200,Base_Mensuelle!$OF$68:$RP$679,68,0)</f>
        <v>351.02199999999999</v>
      </c>
      <c r="L215" s="664">
        <f>VLOOKUP(L200,Base_Mensuelle!$OF$68:$RP$679,68,0)</f>
        <v>340.95</v>
      </c>
      <c r="M215" s="664">
        <f>VLOOKUP(M200,Base_Mensuelle!$OF$68:$RP$679,68,0)</f>
        <v>347.82799999999997</v>
      </c>
    </row>
    <row r="216" spans="1:13" ht="22.8">
      <c r="A216" s="1157" t="s">
        <v>494</v>
      </c>
      <c r="B216" s="634">
        <f>VLOOKUP(B200,Base_Mensuelle!$OF$68:$RP$679,69,0)</f>
        <v>3633.6190000000001</v>
      </c>
      <c r="C216" s="634">
        <f>VLOOKUP(C200,Base_Mensuelle!$OF$68:$RP$679,69,0)</f>
        <v>3562.567</v>
      </c>
      <c r="D216" s="634">
        <f>VLOOKUP(D200,Base_Mensuelle!$OF$68:$RP$679,69,0)</f>
        <v>3572.6790000000001</v>
      </c>
      <c r="E216" s="634">
        <f>VLOOKUP(E200,Base_Mensuelle!$OF$68:$RP$679,69,0)</f>
        <v>3650.67</v>
      </c>
      <c r="F216" s="634">
        <f>VLOOKUP(F200,Base_Mensuelle!$OF$68:$RP$679,69,0)</f>
        <v>3714.8999999999996</v>
      </c>
      <c r="G216" s="634">
        <f>VLOOKUP(G200,Base_Mensuelle!$OF$68:$RP$679,69,0)</f>
        <v>3659.9290000000001</v>
      </c>
      <c r="H216" s="634">
        <f>VLOOKUP(H200,Base_Mensuelle!$OF$68:$RP$679,69,0)</f>
        <v>3728.3819999999996</v>
      </c>
      <c r="I216" s="634">
        <f>VLOOKUP(I200,Base_Mensuelle!$OF$68:$RP$679,69,0)</f>
        <v>3740.4859999999999</v>
      </c>
      <c r="J216" s="634">
        <f>VLOOKUP(J200,Base_Mensuelle!$OF$68:$RP$679,69,0)</f>
        <v>3908.6849999999999</v>
      </c>
      <c r="K216" s="634">
        <f>VLOOKUP(K200,Base_Mensuelle!$OF$68:$RP$679,69,0)</f>
        <v>3810.8280000000004</v>
      </c>
      <c r="L216" s="634">
        <f>VLOOKUP(L200,Base_Mensuelle!$OF$68:$RP$679,69,0)</f>
        <v>3858.9459999999999</v>
      </c>
      <c r="M216" s="634">
        <f>VLOOKUP(M200,Base_Mensuelle!$OF$68:$RP$679,69,0)</f>
        <v>3886.6419999999998</v>
      </c>
    </row>
    <row r="217" spans="1:13" ht="22.8">
      <c r="A217" s="1789" t="s">
        <v>495</v>
      </c>
      <c r="B217" s="664">
        <f>VLOOKUP(B200,Base_Mensuelle!$OF$68:$RP$679,70,0)</f>
        <v>0</v>
      </c>
      <c r="C217" s="664">
        <f>VLOOKUP(C200,Base_Mensuelle!$OF$68:$RP$679,70,0)</f>
        <v>0</v>
      </c>
      <c r="D217" s="664">
        <f>VLOOKUP(D200,Base_Mensuelle!$OF$68:$RP$679,70,0)</f>
        <v>0</v>
      </c>
      <c r="E217" s="664">
        <f>VLOOKUP(E200,Base_Mensuelle!$OF$68:$RP$679,70,0)</f>
        <v>0</v>
      </c>
      <c r="F217" s="664">
        <f>VLOOKUP(F200,Base_Mensuelle!$OF$68:$RP$679,70,0)</f>
        <v>0</v>
      </c>
      <c r="G217" s="664">
        <f>VLOOKUP(G200,Base_Mensuelle!$OF$68:$RP$679,70,0)</f>
        <v>0</v>
      </c>
      <c r="H217" s="664">
        <f>VLOOKUP(H200,Base_Mensuelle!$OF$68:$RP$679,70,0)</f>
        <v>0</v>
      </c>
      <c r="I217" s="664">
        <f>VLOOKUP(I200,Base_Mensuelle!$OF$68:$RP$679,70,0)</f>
        <v>0</v>
      </c>
      <c r="J217" s="664">
        <f>VLOOKUP(J200,Base_Mensuelle!$OF$68:$RP$679,70,0)</f>
        <v>0</v>
      </c>
      <c r="K217" s="664">
        <f>VLOOKUP(K200,Base_Mensuelle!$OF$68:$RP$679,70,0)</f>
        <v>0</v>
      </c>
      <c r="L217" s="664">
        <f>VLOOKUP(L200,Base_Mensuelle!$OF$68:$RP$679,70,0)</f>
        <v>0</v>
      </c>
      <c r="M217" s="664">
        <f>VLOOKUP(M200,Base_Mensuelle!$OF$68:$RP$679,70,0)</f>
        <v>0</v>
      </c>
    </row>
    <row r="218" spans="1:13">
      <c r="A218" s="634" t="s">
        <v>479</v>
      </c>
      <c r="B218" s="634">
        <f>VLOOKUP(B200,Base_Mensuelle!$OF$68:$RP$679,71,0)</f>
        <v>1697.69</v>
      </c>
      <c r="C218" s="634">
        <f>VLOOKUP(C200,Base_Mensuelle!$OF$68:$RP$679,71,0)</f>
        <v>1512.777</v>
      </c>
      <c r="D218" s="634">
        <f>VLOOKUP(D200,Base_Mensuelle!$OF$68:$RP$679,71,0)</f>
        <v>1544.69</v>
      </c>
      <c r="E218" s="634">
        <f>VLOOKUP(E200,Base_Mensuelle!$OF$68:$RP$679,71,0)</f>
        <v>1565.489</v>
      </c>
      <c r="F218" s="634">
        <f>VLOOKUP(F200,Base_Mensuelle!$OF$68:$RP$679,71,0)</f>
        <v>1625.241</v>
      </c>
      <c r="G218" s="634">
        <f>VLOOKUP(G200,Base_Mensuelle!$OF$68:$RP$679,71,0)</f>
        <v>1644.2049999999999</v>
      </c>
      <c r="H218" s="634">
        <f>VLOOKUP(H200,Base_Mensuelle!$OF$68:$RP$679,71,0)</f>
        <v>1603.5619999999999</v>
      </c>
      <c r="I218" s="634">
        <f>VLOOKUP(I200,Base_Mensuelle!$OF$68:$RP$679,71,0)</f>
        <v>1598.692</v>
      </c>
      <c r="J218" s="634">
        <f>VLOOKUP(J200,Base_Mensuelle!$OF$68:$RP$679,71,0)</f>
        <v>1647.8049999999998</v>
      </c>
      <c r="K218" s="634">
        <f>VLOOKUP(K200,Base_Mensuelle!$OF$68:$RP$679,71,0)</f>
        <v>1435.105</v>
      </c>
      <c r="L218" s="634">
        <f>VLOOKUP(L200,Base_Mensuelle!$OF$68:$RP$679,71,0)</f>
        <v>1412.3420000000001</v>
      </c>
      <c r="M218" s="634">
        <f>VLOOKUP(M200,Base_Mensuelle!$OF$68:$RP$679,71,0)</f>
        <v>1508.2710000000002</v>
      </c>
    </row>
    <row r="219" spans="1:13">
      <c r="A219" s="1789" t="s">
        <v>472</v>
      </c>
      <c r="B219" s="664"/>
      <c r="C219" s="664"/>
      <c r="D219" s="664"/>
      <c r="E219" s="664"/>
      <c r="F219" s="664"/>
      <c r="G219" s="664"/>
      <c r="H219" s="664"/>
      <c r="I219" s="664"/>
      <c r="J219" s="664"/>
      <c r="K219" s="664"/>
      <c r="L219" s="664"/>
      <c r="M219" s="664"/>
    </row>
    <row r="220" spans="1:13">
      <c r="A220" s="634" t="s">
        <v>496</v>
      </c>
      <c r="B220" s="634"/>
      <c r="C220" s="634"/>
      <c r="D220" s="634"/>
      <c r="E220" s="634"/>
      <c r="F220" s="634"/>
      <c r="G220" s="634"/>
      <c r="H220" s="634"/>
      <c r="I220" s="634"/>
      <c r="J220" s="634"/>
      <c r="K220" s="634"/>
      <c r="L220" s="634"/>
      <c r="M220" s="634"/>
    </row>
    <row r="221" spans="1:13" ht="22.8">
      <c r="A221" s="1160" t="s">
        <v>497</v>
      </c>
      <c r="B221" s="674">
        <f>VLOOKUP(B200,Base_Mensuelle!$OF$68:$RP$679,74,0)</f>
        <v>0</v>
      </c>
      <c r="C221" s="674">
        <f>VLOOKUP(C200,Base_Mensuelle!$OF$68:$RP$679,74,0)</f>
        <v>0</v>
      </c>
      <c r="D221" s="674">
        <f>VLOOKUP(D200,Base_Mensuelle!$OF$68:$RP$679,74,0)</f>
        <v>0</v>
      </c>
      <c r="E221" s="674">
        <f>VLOOKUP(E200,Base_Mensuelle!$OF$68:$RP$679,74,0)</f>
        <v>0</v>
      </c>
      <c r="F221" s="674">
        <f>VLOOKUP(F200,Base_Mensuelle!$OF$68:$RP$679,74,0)</f>
        <v>0</v>
      </c>
      <c r="G221" s="674">
        <f>VLOOKUP(G200,Base_Mensuelle!$OF$68:$RP$679,74,0)</f>
        <v>0</v>
      </c>
      <c r="H221" s="674">
        <f>VLOOKUP(H200,Base_Mensuelle!$OF$68:$RP$679,74,0)</f>
        <v>0</v>
      </c>
      <c r="I221" s="674">
        <f>VLOOKUP(I200,Base_Mensuelle!$OF$68:$RP$679,74,0)</f>
        <v>0</v>
      </c>
      <c r="J221" s="674">
        <f>VLOOKUP(J200,Base_Mensuelle!$OF$68:$RP$679,74,0)</f>
        <v>0</v>
      </c>
      <c r="K221" s="674">
        <f>VLOOKUP(K200,Base_Mensuelle!$OF$68:$RP$679,74,0)</f>
        <v>0</v>
      </c>
      <c r="L221" s="674">
        <f>VLOOKUP(L200,Base_Mensuelle!$OF$68:$RP$679,74,0)</f>
        <v>0</v>
      </c>
      <c r="M221" s="674">
        <f>VLOOKUP(M200,Base_Mensuelle!$OF$68:$RP$679,74,0)</f>
        <v>0</v>
      </c>
    </row>
    <row r="222" spans="1:13">
      <c r="A222" s="634" t="s">
        <v>472</v>
      </c>
      <c r="B222" s="634"/>
      <c r="C222" s="634"/>
      <c r="D222" s="634"/>
      <c r="E222" s="634"/>
      <c r="F222" s="634"/>
      <c r="G222" s="634"/>
      <c r="H222" s="634"/>
      <c r="I222" s="634"/>
      <c r="J222" s="634"/>
      <c r="K222" s="634"/>
      <c r="L222" s="634"/>
      <c r="M222" s="634"/>
    </row>
    <row r="223" spans="1:13" ht="34.200000000000003">
      <c r="A223" s="1160" t="s">
        <v>498</v>
      </c>
      <c r="B223" s="674">
        <f>VLOOKUP(B200,Base_Mensuelle!$OF$68:$RP$679,76,0)</f>
        <v>0</v>
      </c>
      <c r="C223" s="674">
        <f>VLOOKUP(C200,Base_Mensuelle!$OF$68:$RP$679,76,0)</f>
        <v>0</v>
      </c>
      <c r="D223" s="674">
        <f>VLOOKUP(D200,Base_Mensuelle!$OF$68:$RP$679,76,0)</f>
        <v>0</v>
      </c>
      <c r="E223" s="674">
        <f>VLOOKUP(E200,Base_Mensuelle!$OF$68:$RP$679,76,0)</f>
        <v>0</v>
      </c>
      <c r="F223" s="674">
        <f>VLOOKUP(F200,Base_Mensuelle!$OF$68:$RP$679,76,0)</f>
        <v>0</v>
      </c>
      <c r="G223" s="674">
        <f>VLOOKUP(G200,Base_Mensuelle!$OF$68:$RP$679,76,0)</f>
        <v>0</v>
      </c>
      <c r="H223" s="674">
        <f>VLOOKUP(H200,Base_Mensuelle!$OF$68:$RP$679,76,0)</f>
        <v>0</v>
      </c>
      <c r="I223" s="674">
        <f>VLOOKUP(I200,Base_Mensuelle!$OF$68:$RP$679,76,0)</f>
        <v>0</v>
      </c>
      <c r="J223" s="674">
        <f>VLOOKUP(J200,Base_Mensuelle!$OF$68:$RP$679,76,0)</f>
        <v>0</v>
      </c>
      <c r="K223" s="674">
        <f>VLOOKUP(K200,Base_Mensuelle!$OF$68:$RP$679,76,0)</f>
        <v>0</v>
      </c>
      <c r="L223" s="674">
        <f>VLOOKUP(L200,Base_Mensuelle!$OF$68:$RP$679,76,0)</f>
        <v>0</v>
      </c>
      <c r="M223" s="674">
        <f>VLOOKUP(M200,Base_Mensuelle!$OF$68:$RP$679,76,0)</f>
        <v>0</v>
      </c>
    </row>
    <row r="224" spans="1:13">
      <c r="A224" s="634" t="s">
        <v>472</v>
      </c>
      <c r="B224" s="634"/>
      <c r="C224" s="634"/>
      <c r="D224" s="634"/>
      <c r="E224" s="634"/>
      <c r="F224" s="634"/>
      <c r="G224" s="634"/>
      <c r="H224" s="634"/>
      <c r="I224" s="634"/>
      <c r="J224" s="634"/>
      <c r="K224" s="634"/>
      <c r="L224" s="634"/>
      <c r="M224" s="634"/>
    </row>
    <row r="225" spans="1:13" ht="22.8">
      <c r="A225" s="1160" t="s">
        <v>499</v>
      </c>
      <c r="B225" s="674">
        <f>VLOOKUP(B200,Base_Mensuelle!$OF$68:$RP$679,78,0)</f>
        <v>0</v>
      </c>
      <c r="C225" s="674">
        <f>VLOOKUP(C200,Base_Mensuelle!$OF$68:$RP$679,78,0)</f>
        <v>0</v>
      </c>
      <c r="D225" s="674">
        <f>VLOOKUP(D200,Base_Mensuelle!$OF$68:$RP$679,78,0)</f>
        <v>0</v>
      </c>
      <c r="E225" s="674">
        <f>VLOOKUP(E200,Base_Mensuelle!$OF$68:$RP$679,78,0)</f>
        <v>0</v>
      </c>
      <c r="F225" s="674">
        <f>VLOOKUP(F200,Base_Mensuelle!$OF$68:$RP$679,78,0)</f>
        <v>0</v>
      </c>
      <c r="G225" s="674">
        <f>VLOOKUP(G200,Base_Mensuelle!$OF$68:$RP$679,78,0)</f>
        <v>0</v>
      </c>
      <c r="H225" s="674">
        <f>VLOOKUP(H200,Base_Mensuelle!$OF$68:$RP$679,78,0)</f>
        <v>0</v>
      </c>
      <c r="I225" s="674">
        <f>VLOOKUP(I200,Base_Mensuelle!$OF$68:$RP$679,78,0)</f>
        <v>0</v>
      </c>
      <c r="J225" s="674">
        <f>VLOOKUP(J200,Base_Mensuelle!$OF$68:$RP$679,78,0)</f>
        <v>0</v>
      </c>
      <c r="K225" s="674">
        <f>VLOOKUP(K200,Base_Mensuelle!$OF$68:$RP$679,78,0)</f>
        <v>0</v>
      </c>
      <c r="L225" s="674">
        <f>VLOOKUP(L200,Base_Mensuelle!$OF$68:$RP$679,78,0)</f>
        <v>0</v>
      </c>
      <c r="M225" s="674">
        <f>VLOOKUP(M200,Base_Mensuelle!$OF$68:$RP$679,78,0)</f>
        <v>0</v>
      </c>
    </row>
    <row r="226" spans="1:13">
      <c r="A226" s="634" t="s">
        <v>472</v>
      </c>
      <c r="B226" s="634"/>
      <c r="C226" s="634"/>
      <c r="D226" s="634"/>
      <c r="E226" s="634"/>
      <c r="F226" s="634"/>
      <c r="G226" s="634"/>
      <c r="H226" s="634"/>
      <c r="I226" s="634"/>
      <c r="J226" s="634"/>
      <c r="K226" s="634"/>
      <c r="L226" s="634"/>
      <c r="M226" s="634"/>
    </row>
    <row r="227" spans="1:13" ht="22.8">
      <c r="A227" s="1160" t="s">
        <v>485</v>
      </c>
      <c r="B227" s="674">
        <f>VLOOKUP(B200,Base_Mensuelle!$OF$68:$RP$679,80,0)</f>
        <v>853.47699999999998</v>
      </c>
      <c r="C227" s="674">
        <f>VLOOKUP(C200,Base_Mensuelle!$OF$68:$RP$679,80,0)</f>
        <v>761.87199999999802</v>
      </c>
      <c r="D227" s="674">
        <f>VLOOKUP(D200,Base_Mensuelle!$OF$68:$RP$679,80,0)</f>
        <v>731.08899999999994</v>
      </c>
      <c r="E227" s="674">
        <f>VLOOKUP(E200,Base_Mensuelle!$OF$68:$RP$679,80,0)</f>
        <v>686.89799999999968</v>
      </c>
      <c r="F227" s="674">
        <f>VLOOKUP(F200,Base_Mensuelle!$OF$68:$RP$679,80,0)</f>
        <v>691.86399999999935</v>
      </c>
      <c r="G227" s="674">
        <f>VLOOKUP(G200,Base_Mensuelle!$OF$68:$RP$679,80,0)</f>
        <v>845.65099999999916</v>
      </c>
      <c r="H227" s="674">
        <f>VLOOKUP(H200,Base_Mensuelle!$OF$68:$RP$679,80,0)</f>
        <v>856.55200000000104</v>
      </c>
      <c r="I227" s="674">
        <f>VLOOKUP(I200,Base_Mensuelle!$OF$68:$RP$679,80,0)</f>
        <v>866.14499999999998</v>
      </c>
      <c r="J227" s="674">
        <f>VLOOKUP(J200,Base_Mensuelle!$OF$68:$RP$679,80,0)</f>
        <v>900.38699999999858</v>
      </c>
      <c r="K227" s="674">
        <f>VLOOKUP(K200,Base_Mensuelle!$OF$68:$RP$679,80,0)</f>
        <v>876.02099999999996</v>
      </c>
      <c r="L227" s="674">
        <f>VLOOKUP(L200,Base_Mensuelle!$OF$68:$RP$679,80,0)</f>
        <v>885.64199999999994</v>
      </c>
      <c r="M227" s="674">
        <f>VLOOKUP(M200,Base_Mensuelle!$OF$68:$RP$679,80,0)</f>
        <v>912.31500000000005</v>
      </c>
    </row>
    <row r="228" spans="1:13">
      <c r="A228" s="634" t="s">
        <v>472</v>
      </c>
      <c r="B228" s="634"/>
      <c r="C228" s="634"/>
      <c r="D228" s="634"/>
      <c r="E228" s="634"/>
      <c r="F228" s="634"/>
      <c r="G228" s="634"/>
      <c r="H228" s="634"/>
      <c r="I228" s="634"/>
      <c r="J228" s="634"/>
      <c r="K228" s="634"/>
      <c r="L228" s="634"/>
      <c r="M228" s="634"/>
    </row>
    <row r="229" spans="1:13">
      <c r="A229" s="1160" t="s">
        <v>500</v>
      </c>
      <c r="B229" s="674">
        <f>VLOOKUP(B200,Base_Mensuelle!$OF$68:$RP$679,82,0)</f>
        <v>0</v>
      </c>
      <c r="C229" s="674">
        <f>VLOOKUP(C200,Base_Mensuelle!$OF$68:$RP$679,82,0)</f>
        <v>0</v>
      </c>
      <c r="D229" s="674">
        <f>VLOOKUP(D200,Base_Mensuelle!$OF$68:$RP$679,82,0)</f>
        <v>0</v>
      </c>
      <c r="E229" s="674">
        <f>VLOOKUP(E200,Base_Mensuelle!$OF$68:$RP$679,82,0)</f>
        <v>0</v>
      </c>
      <c r="F229" s="674">
        <f>VLOOKUP(F200,Base_Mensuelle!$OF$68:$RP$679,82,0)</f>
        <v>0</v>
      </c>
      <c r="G229" s="674">
        <f>VLOOKUP(G200,Base_Mensuelle!$OF$68:$RP$679,82,0)</f>
        <v>0</v>
      </c>
      <c r="H229" s="674">
        <f>VLOOKUP(H200,Base_Mensuelle!$OF$68:$RP$679,82,0)</f>
        <v>0</v>
      </c>
      <c r="I229" s="674">
        <f>VLOOKUP(I200,Base_Mensuelle!$OF$68:$RP$679,82,0)</f>
        <v>0</v>
      </c>
      <c r="J229" s="674">
        <f>VLOOKUP(J200,Base_Mensuelle!$OF$68:$RP$679,82,0)</f>
        <v>0</v>
      </c>
      <c r="K229" s="674">
        <f>VLOOKUP(K200,Base_Mensuelle!$OF$68:$RP$679,82,0)</f>
        <v>0</v>
      </c>
      <c r="L229" s="674">
        <f>VLOOKUP(L200,Base_Mensuelle!$OF$68:$RP$679,82,0)</f>
        <v>0</v>
      </c>
      <c r="M229" s="674">
        <f>VLOOKUP(M200,Base_Mensuelle!$OF$68:$RP$679,82,0)</f>
        <v>0</v>
      </c>
    </row>
    <row r="230" spans="1:13">
      <c r="A230" s="634" t="s">
        <v>472</v>
      </c>
      <c r="B230" s="634"/>
      <c r="C230" s="634"/>
      <c r="D230" s="634"/>
      <c r="E230" s="634"/>
      <c r="F230" s="634"/>
      <c r="G230" s="634"/>
      <c r="H230" s="634"/>
      <c r="I230" s="634"/>
      <c r="J230" s="634"/>
      <c r="K230" s="634"/>
      <c r="L230" s="634"/>
      <c r="M230" s="634"/>
    </row>
    <row r="231" spans="1:13" ht="22.8">
      <c r="A231" s="1160" t="s">
        <v>486</v>
      </c>
      <c r="B231" s="674">
        <f>VLOOKUP(B200,Base_Mensuelle!$OF$68:$RP$679,84,0)</f>
        <v>0</v>
      </c>
      <c r="C231" s="674">
        <f>VLOOKUP(C200,Base_Mensuelle!$OF$68:$RP$679,84,0)</f>
        <v>0</v>
      </c>
      <c r="D231" s="674">
        <f>VLOOKUP(D200,Base_Mensuelle!$OF$68:$RP$679,84,0)</f>
        <v>0</v>
      </c>
      <c r="E231" s="674">
        <f>VLOOKUP(E200,Base_Mensuelle!$OF$68:$RP$679,84,0)</f>
        <v>0</v>
      </c>
      <c r="F231" s="674">
        <f>VLOOKUP(F200,Base_Mensuelle!$OF$68:$RP$679,84,0)</f>
        <v>0</v>
      </c>
      <c r="G231" s="674">
        <f>VLOOKUP(G200,Base_Mensuelle!$OF$68:$RP$679,84,0)</f>
        <v>0</v>
      </c>
      <c r="H231" s="674">
        <f>VLOOKUP(H200,Base_Mensuelle!$OF$68:$RP$679,84,0)</f>
        <v>0</v>
      </c>
      <c r="I231" s="674">
        <f>VLOOKUP(I200,Base_Mensuelle!$OF$68:$RP$679,84,0)</f>
        <v>0</v>
      </c>
      <c r="J231" s="674">
        <f>VLOOKUP(J200,Base_Mensuelle!$OF$68:$RP$679,84,0)</f>
        <v>0</v>
      </c>
      <c r="K231" s="674">
        <f>VLOOKUP(K200,Base_Mensuelle!$OF$68:$RP$679,84,0)</f>
        <v>0</v>
      </c>
      <c r="L231" s="674">
        <f>VLOOKUP(L200,Base_Mensuelle!$OF$68:$RP$679,84,0)</f>
        <v>0</v>
      </c>
      <c r="M231" s="674">
        <f>VLOOKUP(M200,Base_Mensuelle!$OF$68:$RP$679,84,0)</f>
        <v>0</v>
      </c>
    </row>
    <row r="232" spans="1:13">
      <c r="A232" s="634" t="s">
        <v>472</v>
      </c>
      <c r="B232" s="634"/>
      <c r="C232" s="634"/>
      <c r="D232" s="634"/>
      <c r="E232" s="634"/>
      <c r="F232" s="634"/>
      <c r="G232" s="634"/>
      <c r="H232" s="634"/>
      <c r="I232" s="634"/>
      <c r="J232" s="634"/>
      <c r="K232" s="634"/>
      <c r="L232" s="634"/>
      <c r="M232" s="634"/>
    </row>
    <row r="233" spans="1:13" ht="12.6" thickBot="1">
      <c r="A233" s="1793" t="s">
        <v>487</v>
      </c>
      <c r="B233" s="1794">
        <f>VLOOKUP(B200,Base_Mensuelle!$OF$68:$RP$679,86,0)</f>
        <v>0</v>
      </c>
      <c r="C233" s="1794">
        <f>VLOOKUP(C200,Base_Mensuelle!$OF$68:$RP$679,86,0)</f>
        <v>0</v>
      </c>
      <c r="D233" s="1794">
        <f>VLOOKUP(D200,Base_Mensuelle!$OF$68:$RP$679,86,0)</f>
        <v>0</v>
      </c>
      <c r="E233" s="1794">
        <f>VLOOKUP(E200,Base_Mensuelle!$OF$68:$RP$679,86,0)</f>
        <v>0</v>
      </c>
      <c r="F233" s="1794">
        <f>VLOOKUP(F200,Base_Mensuelle!$OF$68:$RP$679,86,0)</f>
        <v>0</v>
      </c>
      <c r="G233" s="1794">
        <f>VLOOKUP(G200,Base_Mensuelle!$OF$68:$RP$679,86,0)</f>
        <v>0</v>
      </c>
      <c r="H233" s="1794">
        <f>VLOOKUP(H200,Base_Mensuelle!$OF$68:$RP$679,86,0)</f>
        <v>0</v>
      </c>
      <c r="I233" s="1794">
        <f>VLOOKUP(I200,Base_Mensuelle!$OF$68:$RP$679,86,0)</f>
        <v>0</v>
      </c>
      <c r="J233" s="1794">
        <f>VLOOKUP(J200,Base_Mensuelle!$OF$68:$RP$679,86,0)</f>
        <v>0</v>
      </c>
      <c r="K233" s="1794">
        <f>VLOOKUP(K200,Base_Mensuelle!$OF$68:$RP$679,86,0)</f>
        <v>0</v>
      </c>
      <c r="L233" s="1794">
        <f>VLOOKUP(L200,Base_Mensuelle!$OF$68:$RP$679,86,0)</f>
        <v>0</v>
      </c>
      <c r="M233" s="1794">
        <f>VLOOKUP(M200,Base_Mensuelle!$OF$68:$RP$679,86,0)</f>
        <v>0</v>
      </c>
    </row>
    <row r="234" spans="1:13">
      <c r="A234" s="1138" t="s">
        <v>463</v>
      </c>
    </row>
  </sheetData>
  <pageMargins left="0.70866141732283472" right="0.70866141732283472" top="0.74803149606299213" bottom="0.74803149606299213" header="0.31496062992125984" footer="0.31496062992125984"/>
  <pageSetup paperSize="9" scale="70" firstPageNumber="56" orientation="portrait" r:id="rId1"/>
  <headerFooter>
    <oddFooter>&amp;L&amp;8Bulletin trimestriel de conjoncture, 4e trimestre 2023</oddFooter>
  </headerFooter>
  <rowBreaks count="5" manualBreakCount="5">
    <brk id="40" max="12" man="1"/>
    <brk id="79" max="12" man="1"/>
    <brk id="118" max="12" man="1"/>
    <brk id="157" max="12" man="1"/>
    <brk id="196" max="1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0">
    <tabColor rgb="FF00B050"/>
  </sheetPr>
  <dimension ref="A3:H20"/>
  <sheetViews>
    <sheetView view="pageBreakPreview" zoomScale="83" zoomScaleSheetLayoutView="83" workbookViewId="0">
      <selection activeCell="K50" sqref="K50"/>
    </sheetView>
  </sheetViews>
  <sheetFormatPr baseColWidth="10" defaultColWidth="11.44140625" defaultRowHeight="13.8"/>
  <cols>
    <col min="1" max="1" width="2.71875" style="1492" customWidth="1"/>
    <col min="2" max="2" width="12.44140625" style="1492" customWidth="1"/>
    <col min="3" max="3" width="10.44140625" style="1492" customWidth="1"/>
    <col min="4" max="4" width="9.44140625" style="1492" customWidth="1"/>
    <col min="5" max="5" width="13.83203125" style="1492" customWidth="1"/>
    <col min="6" max="6" width="14.1640625" style="1492" customWidth="1"/>
    <col min="7" max="7" width="19.71875" style="1492" customWidth="1"/>
    <col min="8" max="8" width="5.83203125" style="1492" customWidth="1"/>
    <col min="9" max="16384" width="11.44140625" style="1492"/>
  </cols>
  <sheetData>
    <row r="3" spans="1:8" ht="36.75" customHeight="1">
      <c r="A3" s="2154" t="s">
        <v>1105</v>
      </c>
      <c r="B3" s="2155"/>
      <c r="C3" s="2155"/>
      <c r="D3" s="2155"/>
      <c r="E3" s="2155"/>
      <c r="F3" s="2155"/>
      <c r="G3" s="2155"/>
      <c r="H3" s="2156"/>
    </row>
    <row r="4" spans="1:8" ht="30" customHeight="1">
      <c r="A4" s="2157" t="s">
        <v>971</v>
      </c>
      <c r="B4" s="2158"/>
      <c r="C4" s="2158"/>
      <c r="D4" s="2158"/>
      <c r="E4" s="2158"/>
      <c r="F4" s="2158"/>
      <c r="G4" s="2158"/>
      <c r="H4" s="2159"/>
    </row>
    <row r="5" spans="1:8" ht="30" customHeight="1">
      <c r="A5" s="2157" t="s">
        <v>972</v>
      </c>
      <c r="B5" s="2158"/>
      <c r="C5" s="2158"/>
      <c r="D5" s="2158"/>
      <c r="E5" s="2158"/>
      <c r="F5" s="2158"/>
      <c r="G5" s="2158"/>
      <c r="H5" s="2159"/>
    </row>
    <row r="6" spans="1:8" ht="30" customHeight="1">
      <c r="A6" s="2160" t="s">
        <v>971</v>
      </c>
      <c r="B6" s="2161"/>
      <c r="C6" s="2161"/>
      <c r="D6" s="2161"/>
      <c r="E6" s="2161"/>
      <c r="F6" s="2161"/>
      <c r="G6" s="2161"/>
      <c r="H6" s="2162"/>
    </row>
    <row r="7" spans="1:8" ht="30" customHeight="1">
      <c r="A7" s="2163" t="s">
        <v>1101</v>
      </c>
      <c r="B7" s="2164"/>
      <c r="C7" s="2164"/>
      <c r="D7" s="2164"/>
      <c r="E7" s="2164"/>
      <c r="F7" s="2164"/>
      <c r="G7" s="2164"/>
      <c r="H7" s="2165"/>
    </row>
    <row r="8" spans="1:8" ht="30" customHeight="1">
      <c r="A8" s="2163" t="s">
        <v>973</v>
      </c>
      <c r="B8" s="2164"/>
      <c r="C8" s="2164"/>
      <c r="D8" s="2164"/>
      <c r="E8" s="2164"/>
      <c r="F8" s="2164"/>
      <c r="G8" s="2164"/>
      <c r="H8" s="2165"/>
    </row>
    <row r="9" spans="1:8" ht="30" customHeight="1">
      <c r="A9" s="1493"/>
      <c r="B9" s="1494" t="s">
        <v>974</v>
      </c>
      <c r="G9" s="1492" t="s">
        <v>995</v>
      </c>
      <c r="H9" s="1495"/>
    </row>
    <row r="10" spans="1:8" ht="30" customHeight="1">
      <c r="A10" s="1493"/>
      <c r="B10" s="1494" t="s">
        <v>975</v>
      </c>
      <c r="G10" s="1492" t="s">
        <v>981</v>
      </c>
      <c r="H10" s="1495"/>
    </row>
    <row r="11" spans="1:8" ht="30" customHeight="1">
      <c r="A11" s="1493"/>
      <c r="B11" s="1494" t="s">
        <v>976</v>
      </c>
      <c r="G11" s="1492" t="s">
        <v>977</v>
      </c>
      <c r="H11" s="1495"/>
    </row>
    <row r="12" spans="1:8" ht="30" customHeight="1">
      <c r="A12" s="1493"/>
      <c r="B12" s="1494" t="s">
        <v>1102</v>
      </c>
      <c r="G12" s="1492" t="s">
        <v>1197</v>
      </c>
      <c r="H12" s="1495"/>
    </row>
    <row r="13" spans="1:8" ht="30" customHeight="1">
      <c r="A13" s="1493"/>
      <c r="B13" s="1494" t="s">
        <v>978</v>
      </c>
      <c r="G13" s="1492" t="s">
        <v>1058</v>
      </c>
      <c r="H13" s="1495"/>
    </row>
    <row r="14" spans="1:8" ht="30" customHeight="1">
      <c r="A14" s="1493"/>
      <c r="B14" s="1494"/>
      <c r="H14" s="1495"/>
    </row>
    <row r="15" spans="1:8" ht="30" customHeight="1">
      <c r="A15" s="1493"/>
      <c r="B15" s="2153" t="s">
        <v>1103</v>
      </c>
      <c r="C15" s="2153"/>
      <c r="D15" s="2153"/>
      <c r="E15" s="2153"/>
      <c r="F15" s="2153"/>
      <c r="G15" s="2153"/>
      <c r="H15" s="1495"/>
    </row>
    <row r="16" spans="1:8" ht="30" customHeight="1">
      <c r="A16" s="1493"/>
      <c r="B16" s="2153" t="s">
        <v>1104</v>
      </c>
      <c r="C16" s="2153"/>
      <c r="D16" s="2153"/>
      <c r="E16" s="2153"/>
      <c r="F16" s="2153"/>
      <c r="G16" s="2153"/>
      <c r="H16" s="1495"/>
    </row>
    <row r="17" spans="1:8" ht="30" customHeight="1">
      <c r="A17" s="1493"/>
      <c r="B17" s="1496" t="s">
        <v>1198</v>
      </c>
      <c r="H17" s="1495"/>
    </row>
    <row r="18" spans="1:8" ht="30" customHeight="1">
      <c r="A18" s="1493"/>
      <c r="B18" s="1497" t="s">
        <v>979</v>
      </c>
      <c r="C18" s="1498"/>
      <c r="D18" s="1498"/>
      <c r="E18" s="1498"/>
      <c r="F18" s="1498"/>
      <c r="G18" s="1498"/>
      <c r="H18" s="1495"/>
    </row>
    <row r="19" spans="1:8" ht="30" customHeight="1">
      <c r="A19" s="1493"/>
      <c r="B19" s="1499" t="s">
        <v>980</v>
      </c>
      <c r="C19" s="1498"/>
      <c r="D19" s="1498"/>
      <c r="E19" s="1498"/>
      <c r="F19" s="1498"/>
      <c r="G19" s="1498"/>
      <c r="H19" s="1495"/>
    </row>
    <row r="20" spans="1:8" ht="30" customHeight="1">
      <c r="A20" s="1500"/>
      <c r="B20" s="1501"/>
      <c r="C20" s="1502"/>
      <c r="D20" s="1502"/>
      <c r="E20" s="1502"/>
      <c r="F20" s="1502"/>
      <c r="G20" s="1502"/>
      <c r="H20" s="1503"/>
    </row>
  </sheetData>
  <mergeCells count="8">
    <mergeCell ref="B15:G15"/>
    <mergeCell ref="B16:G16"/>
    <mergeCell ref="A3:H3"/>
    <mergeCell ref="A4:H4"/>
    <mergeCell ref="A5:H5"/>
    <mergeCell ref="A6:H6"/>
    <mergeCell ref="A7:H7"/>
    <mergeCell ref="A8:H8"/>
  </mergeCells>
  <hyperlinks>
    <hyperlink ref="B18" r:id="rId1" display="mailto:insd@insd.bf" xr:uid="{00000000-0004-0000-2300-000000000000}"/>
  </hyperlinks>
  <pageMargins left="0.70866141732283472" right="0.70866141732283472" top="0.74803149606299213" bottom="0.74803149606299213" header="0.31496062992125984" footer="0.31496062992125984"/>
  <pageSetup paperSize="9" scale="70" firstPageNumber="62" orientation="portrait" r:id="rId2"/>
  <headerFooter>
    <oddFooter>&amp;L&amp;8Bulletin trimestriel de conjoncture, 4e trimestre 2023</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1"/>
  <dimension ref="A1:SB680"/>
  <sheetViews>
    <sheetView topLeftCell="A63" zoomScale="110" zoomScaleNormal="110" workbookViewId="0">
      <pane xSplit="2" ySplit="5" topLeftCell="ED348" activePane="bottomRight" state="frozen"/>
      <selection activeCell="A63" sqref="A63"/>
      <selection pane="topRight" activeCell="C63" sqref="C63"/>
      <selection pane="bottomLeft" activeCell="A68" sqref="A68"/>
      <selection pane="bottomRight" activeCell="EF355" sqref="EF355"/>
    </sheetView>
  </sheetViews>
  <sheetFormatPr baseColWidth="10" defaultRowHeight="12.3"/>
  <cols>
    <col min="1" max="1" width="2.5546875" customWidth="1"/>
    <col min="5" max="5" width="10.71875" customWidth="1"/>
    <col min="6" max="6" width="11.5546875" style="1799"/>
    <col min="12" max="12" width="4.44140625" customWidth="1"/>
    <col min="13" max="13" width="2.5546875" customWidth="1"/>
    <col min="14" max="14" width="10.5546875" customWidth="1"/>
    <col min="15" max="15" width="13.44140625" customWidth="1"/>
    <col min="29" max="29" width="5.1640625" customWidth="1"/>
    <col min="30" max="30" width="2.5546875" customWidth="1"/>
    <col min="46" max="46" width="4" customWidth="1"/>
    <col min="47" max="47" width="2.5546875" customWidth="1"/>
    <col min="48" max="48" width="10.83203125" customWidth="1"/>
    <col min="49" max="52" width="12.71875" bestFit="1" customWidth="1"/>
    <col min="53" max="55" width="13.71875" bestFit="1" customWidth="1"/>
    <col min="56" max="58" width="14.71875" bestFit="1" customWidth="1"/>
    <col min="59" max="61" width="15.71875" bestFit="1" customWidth="1"/>
    <col min="63" max="63" width="5.83203125" customWidth="1"/>
    <col min="64" max="64" width="2.5546875" customWidth="1"/>
    <col min="65" max="65" width="13" customWidth="1"/>
    <col min="74" max="74" width="4.44140625" customWidth="1"/>
    <col min="75" max="75" width="2.5546875" customWidth="1"/>
    <col min="76" max="76" width="44.83203125" bestFit="1" customWidth="1"/>
    <col min="77" max="77" width="13.71875" bestFit="1" customWidth="1"/>
    <col min="82" max="82" width="10.1640625" customWidth="1"/>
    <col min="83" max="83" width="2.5546875" customWidth="1"/>
    <col min="84" max="84" width="19" customWidth="1"/>
    <col min="85" max="85" width="11.71875" bestFit="1" customWidth="1"/>
    <col min="86" max="86" width="11.27734375" customWidth="1"/>
    <col min="87" max="88" width="12.5546875" bestFit="1" customWidth="1"/>
    <col min="101" max="101" width="19.83203125" customWidth="1"/>
    <col min="102" max="102" width="23.71875" customWidth="1"/>
    <col min="103" max="103" width="12.5546875" bestFit="1" customWidth="1"/>
    <col min="104" max="105" width="12" bestFit="1" customWidth="1"/>
    <col min="106" max="107" width="15.5546875" bestFit="1" customWidth="1"/>
    <col min="108" max="108" width="13.5546875" bestFit="1" customWidth="1"/>
    <col min="111" max="111" width="15.44140625" bestFit="1" customWidth="1"/>
    <col min="112" max="112" width="16.5546875" customWidth="1"/>
    <col min="113" max="113" width="13.71875" bestFit="1" customWidth="1"/>
    <col min="114" max="114" width="13" bestFit="1" customWidth="1"/>
    <col min="115" max="116" width="14.5546875" bestFit="1" customWidth="1"/>
    <col min="117" max="117" width="14.71875" bestFit="1" customWidth="1"/>
    <col min="118" max="118" width="14.5546875" bestFit="1" customWidth="1"/>
    <col min="119" max="119" width="15.44140625" bestFit="1" customWidth="1"/>
    <col min="122" max="125" width="11.71875" bestFit="1" customWidth="1"/>
    <col min="126" max="126" width="13.71875" bestFit="1" customWidth="1"/>
    <col min="127" max="128" width="11.71875" bestFit="1" customWidth="1"/>
    <col min="130" max="130" width="22.83203125" customWidth="1"/>
    <col min="131" max="131" width="7.27734375" customWidth="1"/>
    <col min="141" max="145" width="11.83203125" bestFit="1" customWidth="1"/>
    <col min="149" max="149" width="21.27734375" customWidth="1"/>
    <col min="169" max="169" width="27.5546875" customWidth="1"/>
    <col min="170" max="170" width="23.27734375" customWidth="1"/>
    <col min="184" max="184" width="24.71875" customWidth="1"/>
    <col min="185" max="189" width="13.5546875" bestFit="1" customWidth="1"/>
    <col min="200" max="200" width="25.71875" customWidth="1"/>
    <col min="201" max="201" width="28.44140625" customWidth="1"/>
    <col min="227" max="227" width="25.27734375" customWidth="1"/>
    <col min="234" max="234" width="13.1640625" customWidth="1"/>
    <col min="236" max="237" width="12.71875" bestFit="1" customWidth="1"/>
    <col min="238" max="238" width="12.5546875" customWidth="1"/>
    <col min="239" max="242" width="12.71875" bestFit="1" customWidth="1"/>
    <col min="243" max="243" width="29.44140625" customWidth="1"/>
    <col min="244" max="244" width="12.71875" bestFit="1" customWidth="1"/>
    <col min="253" max="253" width="12.71875" customWidth="1"/>
    <col min="259" max="259" width="25.27734375" customWidth="1"/>
    <col min="267" max="267" width="35" customWidth="1"/>
    <col min="275" max="275" width="16.44140625" customWidth="1"/>
    <col min="283" max="283" width="19.27734375" customWidth="1"/>
    <col min="291" max="291" width="17" customWidth="1"/>
    <col min="315" max="315" width="26.5546875" customWidth="1"/>
    <col min="323" max="323" width="23.27734375" customWidth="1"/>
    <col min="331" max="331" width="23.44140625" customWidth="1"/>
    <col min="332" max="332" width="17.71875" customWidth="1"/>
    <col min="342" max="342" width="29.1640625" customWidth="1"/>
    <col min="344" max="348" width="13.5546875" bestFit="1" customWidth="1"/>
    <col min="396" max="396" width="39.1640625" customWidth="1"/>
    <col min="420" max="420" width="47.1640625" customWidth="1"/>
    <col min="448" max="448" width="16.83203125" style="1726" customWidth="1"/>
    <col min="483" max="483" width="20.44140625" customWidth="1"/>
  </cols>
  <sheetData>
    <row r="1" spans="2:489" ht="17.7">
      <c r="B1" s="42" t="s">
        <v>14</v>
      </c>
      <c r="F1"/>
      <c r="LH1" s="392"/>
    </row>
    <row r="2" spans="2:489" ht="12.9">
      <c r="F2"/>
      <c r="DH2" s="337" t="s">
        <v>174</v>
      </c>
      <c r="II2" s="86" t="s">
        <v>363</v>
      </c>
    </row>
    <row r="3" spans="2:489" ht="13.2" thickBot="1">
      <c r="B3" s="1" t="s">
        <v>36</v>
      </c>
      <c r="F3"/>
      <c r="O3" s="86" t="s">
        <v>193</v>
      </c>
      <c r="AE3" s="86" t="s">
        <v>38</v>
      </c>
      <c r="AV3" s="86" t="s">
        <v>40</v>
      </c>
      <c r="BN3" s="68" t="s">
        <v>42</v>
      </c>
      <c r="BX3" s="68" t="s">
        <v>51</v>
      </c>
      <c r="DR3" s="337" t="s">
        <v>181</v>
      </c>
      <c r="DZ3" t="s">
        <v>217</v>
      </c>
      <c r="EI3" t="s">
        <v>218</v>
      </c>
      <c r="ER3" t="s">
        <v>219</v>
      </c>
      <c r="FA3" t="s">
        <v>219</v>
      </c>
      <c r="FM3" s="68" t="s">
        <v>284</v>
      </c>
      <c r="GB3" s="68" t="s">
        <v>285</v>
      </c>
      <c r="HS3" s="86" t="s">
        <v>361</v>
      </c>
      <c r="IA3" s="86" t="s">
        <v>362</v>
      </c>
      <c r="IQ3" s="86" t="s">
        <v>364</v>
      </c>
      <c r="IY3" s="86" t="s">
        <v>365</v>
      </c>
      <c r="JG3" s="86" t="s">
        <v>366</v>
      </c>
      <c r="JO3" s="86" t="s">
        <v>367</v>
      </c>
      <c r="JW3" s="526" t="s">
        <v>375</v>
      </c>
      <c r="KE3" s="526" t="s">
        <v>376</v>
      </c>
      <c r="KM3" s="526" t="s">
        <v>378</v>
      </c>
      <c r="KU3" s="526" t="s">
        <v>379</v>
      </c>
      <c r="LC3" s="86" t="s">
        <v>380</v>
      </c>
      <c r="LK3" s="392" t="s">
        <v>382</v>
      </c>
      <c r="LS3" s="86" t="s">
        <v>381</v>
      </c>
      <c r="MD3" s="68" t="s">
        <v>441</v>
      </c>
      <c r="OF3" s="86" t="s">
        <v>508</v>
      </c>
      <c r="PD3" s="86" t="s">
        <v>507</v>
      </c>
      <c r="QF3" s="1727" t="s">
        <v>509</v>
      </c>
    </row>
    <row r="4" spans="2:489" ht="12.6" thickBot="1">
      <c r="B4" s="36"/>
      <c r="C4" s="43" t="s">
        <v>15</v>
      </c>
      <c r="D4" s="2144" t="s">
        <v>12</v>
      </c>
      <c r="E4" s="2145"/>
      <c r="F4" s="2145"/>
      <c r="G4" s="2145"/>
      <c r="H4" s="2146"/>
      <c r="P4" s="43" t="s">
        <v>15</v>
      </c>
      <c r="Q4" s="101" t="s">
        <v>12</v>
      </c>
      <c r="R4" s="102"/>
      <c r="S4" s="102"/>
      <c r="T4" s="102"/>
      <c r="U4" s="103"/>
      <c r="AF4" s="43" t="s">
        <v>15</v>
      </c>
      <c r="AG4" s="101" t="s">
        <v>12</v>
      </c>
      <c r="AH4" s="102"/>
      <c r="AI4" s="102"/>
      <c r="AJ4" s="102"/>
      <c r="AK4" s="103"/>
      <c r="AW4" s="43" t="s">
        <v>15</v>
      </c>
      <c r="AX4" s="101" t="s">
        <v>12</v>
      </c>
      <c r="AY4" s="102"/>
      <c r="AZ4" s="102"/>
      <c r="BA4" s="102"/>
      <c r="BB4" s="103"/>
      <c r="BN4" s="36"/>
      <c r="BO4" s="43" t="s">
        <v>15</v>
      </c>
      <c r="BP4" s="2144" t="s">
        <v>12</v>
      </c>
      <c r="BQ4" s="2145"/>
      <c r="BR4" s="2145"/>
      <c r="BS4" s="2145"/>
      <c r="BT4" s="2146"/>
      <c r="BZ4" s="101" t="s">
        <v>12</v>
      </c>
      <c r="CA4" s="102"/>
      <c r="CB4" s="102"/>
      <c r="CC4" s="102"/>
      <c r="CD4" s="103"/>
      <c r="CF4" s="312"/>
      <c r="CG4" s="738"/>
      <c r="CH4" s="738"/>
      <c r="CI4" s="101" t="s">
        <v>12</v>
      </c>
      <c r="CJ4" s="102"/>
      <c r="CK4" s="102"/>
      <c r="CL4" s="102"/>
      <c r="CM4" s="103"/>
      <c r="CW4" s="68" t="s">
        <v>192</v>
      </c>
      <c r="RO4" s="427"/>
      <c r="RP4" s="427"/>
      <c r="RQ4" s="361" t="s">
        <v>12</v>
      </c>
      <c r="RR4" s="359"/>
      <c r="RS4" s="359"/>
      <c r="RT4" s="359"/>
      <c r="RU4" s="360"/>
    </row>
    <row r="5" spans="2:489" ht="12.9" thickTop="1" thickBot="1">
      <c r="B5" s="37"/>
      <c r="C5" s="44"/>
      <c r="D5" s="45">
        <f>D6</f>
        <v>44896</v>
      </c>
      <c r="E5" s="46">
        <f>E6</f>
        <v>45170</v>
      </c>
      <c r="F5" s="46">
        <f>F6</f>
        <v>45200</v>
      </c>
      <c r="G5" s="46">
        <f>G6</f>
        <v>45231</v>
      </c>
      <c r="H5" s="47">
        <f>H6</f>
        <v>45261</v>
      </c>
      <c r="P5" s="51">
        <v>1</v>
      </c>
      <c r="Q5" s="110">
        <f>Q6</f>
        <v>44896</v>
      </c>
      <c r="R5" s="111">
        <f>R6</f>
        <v>45170</v>
      </c>
      <c r="S5" s="111">
        <f>S6</f>
        <v>45200</v>
      </c>
      <c r="T5" s="111">
        <f>T6</f>
        <v>45231</v>
      </c>
      <c r="U5" s="112">
        <f>U6</f>
        <v>45261</v>
      </c>
      <c r="AF5" s="51"/>
      <c r="AG5" s="110">
        <f>AG6</f>
        <v>44896</v>
      </c>
      <c r="AH5" s="111">
        <f>AH6</f>
        <v>45170</v>
      </c>
      <c r="AI5" s="111">
        <f>AI6</f>
        <v>45200</v>
      </c>
      <c r="AJ5" s="111">
        <f>AJ6</f>
        <v>45231</v>
      </c>
      <c r="AK5" s="112">
        <f>AK6</f>
        <v>45261</v>
      </c>
      <c r="AW5" s="51"/>
      <c r="AX5" s="110">
        <f>AX6</f>
        <v>44896</v>
      </c>
      <c r="AY5" s="111">
        <f>AY6</f>
        <v>45170</v>
      </c>
      <c r="AZ5" s="111">
        <f>AZ6</f>
        <v>45200</v>
      </c>
      <c r="BA5" s="111">
        <f>BA6</f>
        <v>45231</v>
      </c>
      <c r="BB5" s="112">
        <f>BB6</f>
        <v>45261</v>
      </c>
      <c r="BN5" s="37"/>
      <c r="BO5" s="44"/>
      <c r="BP5" s="45">
        <f>BP6</f>
        <v>44896</v>
      </c>
      <c r="BQ5" s="46">
        <f>BQ6</f>
        <v>45170</v>
      </c>
      <c r="BR5" s="46">
        <f>BR6</f>
        <v>45200</v>
      </c>
      <c r="BS5" s="46">
        <f>BS6</f>
        <v>45231</v>
      </c>
      <c r="BT5" s="47">
        <f>BT6</f>
        <v>45261</v>
      </c>
      <c r="BZ5" s="45">
        <f>BZ6</f>
        <v>44896</v>
      </c>
      <c r="CA5" s="46">
        <f>CA6</f>
        <v>45170</v>
      </c>
      <c r="CB5" s="46">
        <f>CB6</f>
        <v>45200</v>
      </c>
      <c r="CC5" s="46">
        <f>CC6</f>
        <v>45231</v>
      </c>
      <c r="CD5" s="47">
        <f>CD6</f>
        <v>45261</v>
      </c>
      <c r="CF5" s="313"/>
      <c r="CI5" s="45">
        <f>CI6</f>
        <v>44896</v>
      </c>
      <c r="CJ5" s="46">
        <f>CJ6</f>
        <v>45170</v>
      </c>
      <c r="CK5" s="46">
        <f>CK6</f>
        <v>45200</v>
      </c>
      <c r="CL5" s="46">
        <f>CL6</f>
        <v>45231</v>
      </c>
      <c r="CM5" s="47">
        <f>CM6</f>
        <v>45261</v>
      </c>
      <c r="CX5" s="275"/>
      <c r="CY5" s="275"/>
      <c r="CZ5" s="361" t="s">
        <v>12</v>
      </c>
      <c r="DA5" s="359"/>
      <c r="DB5" s="359"/>
      <c r="DC5" s="359"/>
      <c r="DD5" s="360"/>
      <c r="DH5" s="17"/>
      <c r="DI5" s="92"/>
      <c r="DJ5" s="92"/>
      <c r="DK5" s="370" t="s">
        <v>12</v>
      </c>
      <c r="DL5" s="370"/>
      <c r="DM5" s="370"/>
      <c r="DN5" s="370"/>
      <c r="DO5" s="371"/>
      <c r="DR5" s="275"/>
      <c r="DS5" s="275"/>
      <c r="DT5" s="361" t="s">
        <v>12</v>
      </c>
      <c r="DU5" s="359"/>
      <c r="DV5" s="359"/>
      <c r="DW5" s="359"/>
      <c r="DX5" s="360"/>
      <c r="EA5" s="275"/>
      <c r="EB5" s="275"/>
      <c r="EC5" s="361" t="s">
        <v>12</v>
      </c>
      <c r="ED5" s="359"/>
      <c r="EE5" s="359"/>
      <c r="EF5" s="359"/>
      <c r="EG5" s="360"/>
      <c r="EJ5" s="427"/>
      <c r="EK5" s="427"/>
      <c r="EL5" s="361" t="s">
        <v>12</v>
      </c>
      <c r="EM5" s="359"/>
      <c r="EN5" s="359"/>
      <c r="EO5" s="359"/>
      <c r="EP5" s="360"/>
      <c r="ES5" s="427"/>
      <c r="ET5" s="427"/>
      <c r="EU5" s="361" t="s">
        <v>12</v>
      </c>
      <c r="EV5" s="359"/>
      <c r="EW5" s="359"/>
      <c r="EX5" s="359"/>
      <c r="EY5" s="360"/>
      <c r="FB5" s="427"/>
      <c r="FC5" s="427"/>
      <c r="FD5" s="361" t="s">
        <v>12</v>
      </c>
      <c r="FE5" s="359"/>
      <c r="FF5" s="359"/>
      <c r="FG5" s="359"/>
      <c r="FH5" s="360"/>
      <c r="FN5" s="427"/>
      <c r="FO5" s="427"/>
      <c r="FP5" s="361" t="s">
        <v>12</v>
      </c>
      <c r="FQ5" s="359"/>
      <c r="FR5" s="359"/>
      <c r="FS5" s="359"/>
      <c r="FT5" s="360"/>
      <c r="GC5" s="427"/>
      <c r="GD5" s="427"/>
      <c r="GE5" s="361" t="s">
        <v>12</v>
      </c>
      <c r="GF5" s="359"/>
      <c r="GG5" s="359"/>
      <c r="GH5" s="359"/>
      <c r="GI5" s="360"/>
      <c r="GS5" s="427"/>
      <c r="GT5" s="490"/>
      <c r="GU5" s="361" t="s">
        <v>12</v>
      </c>
      <c r="GV5" s="359"/>
      <c r="GW5" s="359"/>
      <c r="GX5" s="359"/>
      <c r="GY5" s="360"/>
      <c r="HT5" s="427"/>
      <c r="HU5" s="490"/>
      <c r="HV5" s="361" t="s">
        <v>12</v>
      </c>
      <c r="HW5" s="359"/>
      <c r="HX5" s="359"/>
      <c r="HY5" s="359"/>
      <c r="HZ5" s="360"/>
      <c r="IB5" s="427"/>
      <c r="IC5" s="490"/>
      <c r="ID5" s="535" t="s">
        <v>12</v>
      </c>
      <c r="IE5" s="359"/>
      <c r="IF5" s="359"/>
      <c r="IG5" s="359"/>
      <c r="IH5" s="360"/>
      <c r="IJ5" s="427"/>
      <c r="IK5" s="490"/>
      <c r="IL5" s="535" t="s">
        <v>12</v>
      </c>
      <c r="IM5" s="359"/>
      <c r="IN5" s="359"/>
      <c r="IO5" s="359"/>
      <c r="IP5" s="360"/>
      <c r="IR5" s="427"/>
      <c r="IS5" s="490"/>
      <c r="IT5" s="535" t="s">
        <v>12</v>
      </c>
      <c r="IU5" s="359"/>
      <c r="IV5" s="359"/>
      <c r="IW5" s="359"/>
      <c r="IX5" s="360"/>
      <c r="IZ5" s="427"/>
      <c r="JA5" s="490"/>
      <c r="JB5" s="535" t="s">
        <v>12</v>
      </c>
      <c r="JC5" s="359"/>
      <c r="JD5" s="359"/>
      <c r="JE5" s="359"/>
      <c r="JF5" s="360"/>
      <c r="JH5" s="427"/>
      <c r="JI5" s="427"/>
      <c r="JJ5" s="361" t="s">
        <v>12</v>
      </c>
      <c r="JK5" s="359"/>
      <c r="JL5" s="359"/>
      <c r="JM5" s="359"/>
      <c r="JN5" s="360"/>
      <c r="JP5" s="427"/>
      <c r="JQ5" s="427"/>
      <c r="JR5" s="361" t="s">
        <v>12</v>
      </c>
      <c r="JS5" s="359"/>
      <c r="JT5" s="359"/>
      <c r="JU5" s="359"/>
      <c r="JV5" s="360"/>
      <c r="JX5" s="427"/>
      <c r="JY5" s="427"/>
      <c r="JZ5" s="361" t="s">
        <v>12</v>
      </c>
      <c r="KA5" s="359"/>
      <c r="KB5" s="359"/>
      <c r="KC5" s="359"/>
      <c r="KD5" s="360"/>
      <c r="KF5" s="427"/>
      <c r="KG5" s="427"/>
      <c r="KH5" s="361" t="s">
        <v>12</v>
      </c>
      <c r="KI5" s="359"/>
      <c r="KJ5" s="359"/>
      <c r="KK5" s="359"/>
      <c r="KL5" s="360"/>
      <c r="KN5" s="427"/>
      <c r="KO5" s="427"/>
      <c r="KP5" s="361" t="s">
        <v>12</v>
      </c>
      <c r="KQ5" s="359"/>
      <c r="KR5" s="359"/>
      <c r="KS5" s="359"/>
      <c r="KT5" s="360"/>
      <c r="KV5" s="427"/>
      <c r="KW5" s="427"/>
      <c r="KX5" s="361" t="s">
        <v>12</v>
      </c>
      <c r="KY5" s="359"/>
      <c r="KZ5" s="359"/>
      <c r="LA5" s="359"/>
      <c r="LB5" s="360"/>
      <c r="LD5" s="392"/>
      <c r="LE5" s="427"/>
      <c r="LF5" s="361" t="s">
        <v>12</v>
      </c>
      <c r="LG5" s="359"/>
      <c r="LH5" s="359"/>
      <c r="LI5" s="359"/>
      <c r="LJ5" s="360"/>
      <c r="LL5" s="427"/>
      <c r="LM5" s="427"/>
      <c r="LN5" s="361" t="s">
        <v>12</v>
      </c>
      <c r="LO5" s="359"/>
      <c r="LP5" s="359"/>
      <c r="LQ5" s="359"/>
      <c r="LR5" s="360"/>
      <c r="LT5" s="427"/>
      <c r="LU5" s="427"/>
      <c r="LV5" s="361" t="s">
        <v>12</v>
      </c>
      <c r="LW5" s="359"/>
      <c r="LX5" s="359"/>
      <c r="LY5" s="359"/>
      <c r="LZ5" s="360"/>
      <c r="MD5" s="427"/>
      <c r="ME5" s="427"/>
      <c r="MF5" s="361" t="s">
        <v>12</v>
      </c>
      <c r="MG5" s="359"/>
      <c r="MH5" s="359"/>
      <c r="MI5" s="359"/>
      <c r="MJ5" s="360"/>
      <c r="OF5" s="427"/>
      <c r="OG5" s="427"/>
      <c r="OH5" s="361" t="s">
        <v>12</v>
      </c>
      <c r="OI5" s="359"/>
      <c r="OJ5" s="359"/>
      <c r="OK5" s="359"/>
      <c r="OL5" s="360"/>
      <c r="PD5" s="427"/>
      <c r="PE5" s="427"/>
      <c r="PF5" s="361" t="s">
        <v>12</v>
      </c>
      <c r="PG5" s="359"/>
      <c r="PH5" s="359"/>
      <c r="PI5" s="359"/>
      <c r="PJ5" s="360"/>
      <c r="QF5" s="1728"/>
      <c r="QG5" s="427"/>
      <c r="QH5" s="361" t="s">
        <v>12</v>
      </c>
      <c r="QI5" s="359"/>
      <c r="QJ5" s="359"/>
      <c r="QK5" s="359"/>
      <c r="QL5" s="360"/>
      <c r="RO5" s="428"/>
      <c r="RP5" s="428"/>
      <c r="RQ5" s="362">
        <f>RQ6</f>
        <v>44440</v>
      </c>
      <c r="RR5" s="46">
        <f>RR6</f>
        <v>44713</v>
      </c>
      <c r="RS5" s="46">
        <f>RS6</f>
        <v>44743</v>
      </c>
      <c r="RT5" s="46">
        <f>RT6</f>
        <v>44774</v>
      </c>
      <c r="RU5" s="47">
        <f>RU6</f>
        <v>44805</v>
      </c>
    </row>
    <row r="6" spans="2:489" ht="12.6" thickBot="1">
      <c r="B6" s="37"/>
      <c r="C6" s="63">
        <v>1</v>
      </c>
      <c r="D6" s="48">
        <f t="shared" ref="D6:D15" si="0">INDEX($B$68:$K$358,MAX($L$68:$L$358)-12,$C6)</f>
        <v>44896</v>
      </c>
      <c r="E6" s="49">
        <f t="shared" ref="E6:E15" si="1">INDEX($B$68:$K$358,MAX($L$68:$L$358)-3,$C6)</f>
        <v>45170</v>
      </c>
      <c r="F6" s="49">
        <f t="shared" ref="F6:F15" si="2">INDEX($B$68:$K$358,MAX($L$68:$L$358)-2,$C6)</f>
        <v>45200</v>
      </c>
      <c r="G6" s="49">
        <f t="shared" ref="G6:G15" si="3">INDEX($B$68:$K$358,MAX($L$68:$L$358)-1,$C6)</f>
        <v>45231</v>
      </c>
      <c r="H6" s="50">
        <f t="shared" ref="H6:H15" si="4">INDEX($B$68:$K$358,MAX($L$68:$L$358),$C6)</f>
        <v>45261</v>
      </c>
      <c r="P6" s="114">
        <v>2</v>
      </c>
      <c r="Q6" s="115">
        <f>INDEX($N$68:$AB$679,MAX($AC$68:$AC$679)-12,$P5)</f>
        <v>44896</v>
      </c>
      <c r="R6" s="116">
        <f>INDEX($N$68:$AB$679,MAX($AC$68:$AC$679)-3,$P5)</f>
        <v>45170</v>
      </c>
      <c r="S6" s="116">
        <f>INDEX($N$68:$AB$679,MAX($AC$68:$AC$679)-2,$P5)</f>
        <v>45200</v>
      </c>
      <c r="T6" s="116">
        <f>INDEX($N$68:$AB$679,MAX($AC$68:$AC$679)-1,$P5)</f>
        <v>45231</v>
      </c>
      <c r="U6" s="117">
        <f>INDEX($N$68:$AB$679,MAX($AC$68:$AC$679),$P5)</f>
        <v>45261</v>
      </c>
      <c r="AF6" s="114">
        <v>1</v>
      </c>
      <c r="AG6" s="115">
        <f t="shared" ref="AG6:AG20" si="5">INDEX($AE$68:$AS$679,MAX($AT$68:$AT$679)-12,$AF6)</f>
        <v>44896</v>
      </c>
      <c r="AH6" s="116">
        <f t="shared" ref="AH6:AH20" si="6">INDEX($AE$68:$AS$679,MAX($AT$68:$AT$679)-3,$AF6)</f>
        <v>45170</v>
      </c>
      <c r="AI6" s="116">
        <f t="shared" ref="AI6:AI20" si="7">INDEX($AE$68:$AS$679,MAX($AT$68:$AT$679)-2,$AF6)</f>
        <v>45200</v>
      </c>
      <c r="AJ6" s="116">
        <f t="shared" ref="AJ6:AJ20" si="8">INDEX($AE$68:$AS$679,MAX($AT$68:$AT$679)-1,$AF6)</f>
        <v>45231</v>
      </c>
      <c r="AK6" s="117">
        <f t="shared" ref="AK6:AK20" si="9">INDEX($AE$68:$AS$679,MAX($AT$68:$AT$679),$AF6)</f>
        <v>45261</v>
      </c>
      <c r="AW6" s="114">
        <v>1</v>
      </c>
      <c r="AX6" s="115">
        <f t="shared" ref="AX6:AX20" si="10">INDEX($AV$68:$BJ$679,MAX($BK$68:$BK$679)-12,$AW6)</f>
        <v>44896</v>
      </c>
      <c r="AY6" s="116">
        <f t="shared" ref="AY6:AY20" si="11">INDEX($AV$68:$BJ$679,MAX($BK$68:$BK$679)-3,$AW6)</f>
        <v>45170</v>
      </c>
      <c r="AZ6" s="116">
        <f t="shared" ref="AZ6:AZ20" si="12">INDEX($AV$68:$BJ$679,MAX($BK$68:$BK$679)-2,$AW6)</f>
        <v>45200</v>
      </c>
      <c r="BA6" s="116">
        <f t="shared" ref="BA6:BA20" si="13">INDEX($AV$68:$BJ$679,MAX($BK$68:$BK$679)-1,$AW6)</f>
        <v>45231</v>
      </c>
      <c r="BB6" s="117">
        <f t="shared" ref="BB6:BB20" si="14">INDEX($AV$68:$BJ$679,MAX($BK$68:$BK$679),$AW6)</f>
        <v>45261</v>
      </c>
      <c r="BN6" s="37"/>
      <c r="BO6" s="63">
        <v>1</v>
      </c>
      <c r="BP6" s="48">
        <f t="shared" ref="BP6:BP14" si="15">INDEX($BM$68:$BU$358,MAX($BV$68:$BV$358)-12,$BO6)</f>
        <v>44896</v>
      </c>
      <c r="BQ6" s="49">
        <f t="shared" ref="BQ6:BQ14" si="16">INDEX($BM$68:$BU$358,MAX($BV$68:$BV$358)-3,$BO6)</f>
        <v>45170</v>
      </c>
      <c r="BR6" s="49">
        <f t="shared" ref="BR6:BR14" si="17">INDEX($BM$68:$BU$358,MAX($BV$68:$BV$358)-2,$BO6)</f>
        <v>45200</v>
      </c>
      <c r="BS6" s="49">
        <f t="shared" ref="BS6:BS14" si="18">INDEX($BM$68:$BU$358,MAX($BV$68:$BV$358)-1,$BO6)</f>
        <v>45231</v>
      </c>
      <c r="BT6" s="50">
        <f t="shared" ref="BT6:BT14" si="19">INDEX($BM$68:$BU$358,MAX($BV$68:$BV$358),$BO6)</f>
        <v>45261</v>
      </c>
      <c r="BY6">
        <v>1</v>
      </c>
      <c r="BZ6" s="48">
        <f t="shared" ref="BZ6:BZ11" si="20">INDEX($BX$68:$CC$679,MAX($CD$68:$CD$679)-12,$BY6)</f>
        <v>44896</v>
      </c>
      <c r="CA6" s="49">
        <f t="shared" ref="CA6:CA11" si="21">INDEX($BX$68:$CC$679,MAX($CD$68:$CD$679)-3,$BY6)</f>
        <v>45170</v>
      </c>
      <c r="CB6" s="49">
        <f t="shared" ref="CB6:CB11" si="22">INDEX($BX$68:$CC$679,MAX($CD$68:$CD$679)-2,$BY6)</f>
        <v>45200</v>
      </c>
      <c r="CC6" s="49">
        <f t="shared" ref="CC6:CC11" si="23">INDEX($BX$68:$CC$679,MAX($CD$68:$CD$679)-1,$BY6)</f>
        <v>45231</v>
      </c>
      <c r="CD6" s="50">
        <f t="shared" ref="CD6:CD11" si="24">INDEX($BX$68:$CC$679,MAX($CD$68:$CD$679),$BY6)</f>
        <v>45261</v>
      </c>
      <c r="CH6">
        <v>1</v>
      </c>
      <c r="CI6">
        <f>INDEX($CF$68:$CW$679,MAX($CW$68:$CW$679)-12,$CH6)</f>
        <v>44896</v>
      </c>
      <c r="CJ6" s="49">
        <f>INDEX($CF$68:$CW$679,MAX($CW$68:$CW$679)-3,$CH6)</f>
        <v>45170</v>
      </c>
      <c r="CK6" s="49">
        <f>INDEX($CF$68:$CW$679,MAX($CW$68:$CW$679)-2,$CH6)</f>
        <v>45200</v>
      </c>
      <c r="CL6" s="49">
        <f>INDEX($CF$68:$CW$679,MAX($CW$68:$CW$679)-1,$CH6)</f>
        <v>45231</v>
      </c>
      <c r="CM6" s="50">
        <f>INDEX($CF$68:$CW$679,MAX($CW$68:$CW$679),$CH6)</f>
        <v>45261</v>
      </c>
      <c r="CX6" s="91"/>
      <c r="CY6" s="91"/>
      <c r="CZ6" s="362">
        <f>CZ7</f>
        <v>44044</v>
      </c>
      <c r="DA6" s="46">
        <f>DA7</f>
        <v>44317</v>
      </c>
      <c r="DB6" s="46">
        <f>DB7</f>
        <v>44348</v>
      </c>
      <c r="DC6" s="46">
        <f>DC7</f>
        <v>44378</v>
      </c>
      <c r="DD6" s="47">
        <f>DD7</f>
        <v>44409</v>
      </c>
      <c r="DH6" s="19"/>
      <c r="DI6" s="93"/>
      <c r="DJ6" s="93"/>
      <c r="DK6" s="46">
        <f>DK7</f>
        <v>44896</v>
      </c>
      <c r="DL6" s="46">
        <f>DL7</f>
        <v>45170</v>
      </c>
      <c r="DM6" s="46">
        <f>DM7</f>
        <v>45200</v>
      </c>
      <c r="DN6" s="46">
        <f>DN7</f>
        <v>45231</v>
      </c>
      <c r="DO6" s="372">
        <f>DO7</f>
        <v>45261</v>
      </c>
      <c r="DR6" s="91"/>
      <c r="DS6" s="91"/>
      <c r="DT6" s="362">
        <f>DT7</f>
        <v>44896</v>
      </c>
      <c r="DU6" s="46">
        <f>DU7</f>
        <v>45170</v>
      </c>
      <c r="DV6" s="46">
        <f>DV7</f>
        <v>45200</v>
      </c>
      <c r="DW6" s="46">
        <f>DW7</f>
        <v>45231</v>
      </c>
      <c r="DX6" s="47">
        <f>DX7</f>
        <v>45261</v>
      </c>
      <c r="EA6" s="91"/>
      <c r="EB6" s="91"/>
      <c r="EC6" s="362">
        <f>EC7</f>
        <v>41244</v>
      </c>
      <c r="ED6" s="46">
        <f>ED7</f>
        <v>41518</v>
      </c>
      <c r="EE6" s="46">
        <f>EE7</f>
        <v>41548</v>
      </c>
      <c r="EF6" s="46">
        <f>EF7</f>
        <v>41579</v>
      </c>
      <c r="EG6" s="47">
        <f>EG7</f>
        <v>41609</v>
      </c>
      <c r="EJ6" s="428"/>
      <c r="EK6" s="428"/>
      <c r="EL6" s="362">
        <f>EL7</f>
        <v>44896</v>
      </c>
      <c r="EM6" s="46">
        <f>EM7</f>
        <v>45170</v>
      </c>
      <c r="EN6" s="46">
        <f>EN7</f>
        <v>45200</v>
      </c>
      <c r="EO6" s="46">
        <f>EO7</f>
        <v>45231</v>
      </c>
      <c r="EP6" s="47">
        <f>EP7</f>
        <v>45261</v>
      </c>
      <c r="ES6" s="428"/>
      <c r="ET6" s="428"/>
      <c r="EU6" s="362">
        <f>EU7</f>
        <v>44896</v>
      </c>
      <c r="EV6" s="46">
        <f>EV7</f>
        <v>45170</v>
      </c>
      <c r="EW6" s="46">
        <f>EW7</f>
        <v>45200</v>
      </c>
      <c r="EX6" s="46">
        <f>EX7</f>
        <v>45231</v>
      </c>
      <c r="EY6" s="47">
        <f>EY7</f>
        <v>45261</v>
      </c>
      <c r="FB6" s="428"/>
      <c r="FC6" s="428"/>
      <c r="FD6" s="362">
        <f>FD7</f>
        <v>44896</v>
      </c>
      <c r="FE6" s="46">
        <f>FE7</f>
        <v>45170</v>
      </c>
      <c r="FF6" s="46">
        <f>FF7</f>
        <v>45200</v>
      </c>
      <c r="FG6" s="46">
        <f>FG7</f>
        <v>45231</v>
      </c>
      <c r="FH6" s="47">
        <f>FH7</f>
        <v>45261</v>
      </c>
      <c r="FN6" s="428"/>
      <c r="FO6" s="428"/>
      <c r="FP6" s="362">
        <f>FP7</f>
        <v>44896</v>
      </c>
      <c r="FQ6" s="46">
        <f>FQ7</f>
        <v>45170</v>
      </c>
      <c r="FR6" s="46">
        <f>FR7</f>
        <v>45200</v>
      </c>
      <c r="FS6" s="46">
        <f>FS7</f>
        <v>45231</v>
      </c>
      <c r="FT6" s="47">
        <f>FT7</f>
        <v>45261</v>
      </c>
      <c r="GC6" s="428"/>
      <c r="GD6" s="428"/>
      <c r="GE6" s="362">
        <f>GE7</f>
        <v>44896</v>
      </c>
      <c r="GF6" s="46">
        <f>GF7</f>
        <v>45170</v>
      </c>
      <c r="GG6" s="46">
        <f>GG7</f>
        <v>45200</v>
      </c>
      <c r="GH6" s="46">
        <f>GH7</f>
        <v>45231</v>
      </c>
      <c r="GI6" s="47">
        <f>GI7</f>
        <v>45261</v>
      </c>
      <c r="GS6" s="428"/>
      <c r="GT6" s="491"/>
      <c r="GU6" s="362">
        <f>GU7</f>
        <v>44896</v>
      </c>
      <c r="GV6" s="46">
        <f>GV7</f>
        <v>45170</v>
      </c>
      <c r="GW6" s="46">
        <f>GW7</f>
        <v>45200</v>
      </c>
      <c r="GX6" s="46">
        <f>GX7</f>
        <v>45231</v>
      </c>
      <c r="GY6" s="47">
        <f>GY7</f>
        <v>45261</v>
      </c>
      <c r="HT6" s="428"/>
      <c r="HU6" s="491"/>
      <c r="HV6" s="362">
        <f>HV7</f>
        <v>44531</v>
      </c>
      <c r="HW6" s="46">
        <f>HW7</f>
        <v>44805</v>
      </c>
      <c r="HX6" s="46">
        <f>HX7</f>
        <v>44835</v>
      </c>
      <c r="HY6" s="46">
        <f>HY7</f>
        <v>44866</v>
      </c>
      <c r="HZ6" s="47">
        <f>HZ7</f>
        <v>44896</v>
      </c>
      <c r="IB6" s="428"/>
      <c r="IC6" s="491"/>
      <c r="ID6" s="45">
        <f>ID7</f>
        <v>44531</v>
      </c>
      <c r="IE6" s="46">
        <f>IE7</f>
        <v>44805</v>
      </c>
      <c r="IF6" s="46">
        <f>IF7</f>
        <v>44835</v>
      </c>
      <c r="IG6" s="46">
        <f>IG7</f>
        <v>44866</v>
      </c>
      <c r="IH6" s="47">
        <f>IH7</f>
        <v>44896</v>
      </c>
      <c r="IJ6" s="428"/>
      <c r="IK6" s="491"/>
      <c r="IL6" s="45">
        <f>IL7</f>
        <v>44531</v>
      </c>
      <c r="IM6" s="46">
        <f>IM7</f>
        <v>44805</v>
      </c>
      <c r="IN6" s="46">
        <f>IN7</f>
        <v>44835</v>
      </c>
      <c r="IO6" s="46">
        <f>IO7</f>
        <v>44866</v>
      </c>
      <c r="IP6" s="47">
        <f>IP7</f>
        <v>44896</v>
      </c>
      <c r="IR6" s="428"/>
      <c r="IS6" s="491"/>
      <c r="IT6" s="45">
        <f>IT7</f>
        <v>44531</v>
      </c>
      <c r="IU6" s="46">
        <f>IU7</f>
        <v>44805</v>
      </c>
      <c r="IV6" s="46">
        <f>IV7</f>
        <v>44835</v>
      </c>
      <c r="IW6" s="46">
        <f>IW7</f>
        <v>44866</v>
      </c>
      <c r="IX6" s="47">
        <f>IX7</f>
        <v>44896</v>
      </c>
      <c r="IZ6" s="428"/>
      <c r="JA6" s="491"/>
      <c r="JB6" s="45">
        <f>JB7</f>
        <v>44531</v>
      </c>
      <c r="JC6" s="46">
        <f>JC7</f>
        <v>44805</v>
      </c>
      <c r="JD6" s="46">
        <f>JD7</f>
        <v>44835</v>
      </c>
      <c r="JE6" s="46">
        <f>JE7</f>
        <v>44866</v>
      </c>
      <c r="JF6" s="47">
        <f>JF7</f>
        <v>44896</v>
      </c>
      <c r="JH6" s="428"/>
      <c r="JI6" s="428"/>
      <c r="JJ6" s="362">
        <f>JJ7</f>
        <v>44531</v>
      </c>
      <c r="JK6" s="46">
        <f>JK7</f>
        <v>44805</v>
      </c>
      <c r="JL6" s="46">
        <f>JL7</f>
        <v>44835</v>
      </c>
      <c r="JM6" s="46">
        <f>JM7</f>
        <v>44866</v>
      </c>
      <c r="JN6" s="47">
        <f>JN7</f>
        <v>44896</v>
      </c>
      <c r="JP6" s="428"/>
      <c r="JQ6" s="428"/>
      <c r="JR6" s="362">
        <f>JR7</f>
        <v>44531</v>
      </c>
      <c r="JS6" s="46">
        <f>JS7</f>
        <v>44805</v>
      </c>
      <c r="JT6" s="46">
        <f>JT7</f>
        <v>44835</v>
      </c>
      <c r="JU6" s="46">
        <f>JU7</f>
        <v>44866</v>
      </c>
      <c r="JV6" s="47">
        <f>JV7</f>
        <v>44896</v>
      </c>
      <c r="JX6" s="428"/>
      <c r="JY6" s="428"/>
      <c r="JZ6" s="362">
        <f>JZ7</f>
        <v>44166</v>
      </c>
      <c r="KA6" s="46">
        <f>KA7</f>
        <v>44440</v>
      </c>
      <c r="KB6" s="46">
        <f>KB7</f>
        <v>44470</v>
      </c>
      <c r="KC6" s="46">
        <f>KC7</f>
        <v>44501</v>
      </c>
      <c r="KD6" s="47">
        <f>KD7</f>
        <v>44531</v>
      </c>
      <c r="KF6" s="428"/>
      <c r="KG6" s="428"/>
      <c r="KH6" s="362">
        <f>KH7</f>
        <v>44166</v>
      </c>
      <c r="KI6" s="46">
        <f>KI7</f>
        <v>44440</v>
      </c>
      <c r="KJ6" s="46">
        <f>KJ7</f>
        <v>44470</v>
      </c>
      <c r="KK6" s="46">
        <f>KK7</f>
        <v>44501</v>
      </c>
      <c r="KL6" s="47">
        <f>KL7</f>
        <v>44531</v>
      </c>
      <c r="KN6" s="428"/>
      <c r="KO6" s="428"/>
      <c r="KP6" s="362">
        <f>KP7</f>
        <v>44166</v>
      </c>
      <c r="KQ6" s="46">
        <f>KQ7</f>
        <v>44440</v>
      </c>
      <c r="KR6" s="46">
        <f>KR7</f>
        <v>44470</v>
      </c>
      <c r="KS6" s="46">
        <f>KS7</f>
        <v>44501</v>
      </c>
      <c r="KT6" s="47">
        <f>KT7</f>
        <v>44531</v>
      </c>
      <c r="KV6" s="428"/>
      <c r="KW6" s="428"/>
      <c r="KX6" s="362">
        <f>KX7</f>
        <v>44166</v>
      </c>
      <c r="KY6" s="46">
        <f>KY7</f>
        <v>44440</v>
      </c>
      <c r="KZ6" s="46">
        <f>KZ7</f>
        <v>44470</v>
      </c>
      <c r="LA6" s="46">
        <f>LA7</f>
        <v>44501</v>
      </c>
      <c r="LB6" s="47">
        <f>LB7</f>
        <v>44531</v>
      </c>
      <c r="LD6" s="428"/>
      <c r="LE6" s="428"/>
      <c r="LF6" s="362">
        <f>LF7</f>
        <v>43160</v>
      </c>
      <c r="LG6" s="46">
        <f>LG7</f>
        <v>43435</v>
      </c>
      <c r="LH6" s="46">
        <f>LH7</f>
        <v>43466</v>
      </c>
      <c r="LI6" s="46">
        <f>LI7</f>
        <v>43497</v>
      </c>
      <c r="LJ6" s="47">
        <f>LJ7</f>
        <v>43525</v>
      </c>
      <c r="LL6" s="428"/>
      <c r="LM6" s="428"/>
      <c r="LN6" s="362">
        <f>LN7</f>
        <v>43160</v>
      </c>
      <c r="LO6" s="46">
        <f>LO7</f>
        <v>43435</v>
      </c>
      <c r="LP6" s="46">
        <f>LP7</f>
        <v>43466</v>
      </c>
      <c r="LQ6" s="46">
        <f>LQ7</f>
        <v>43497</v>
      </c>
      <c r="LR6" s="47">
        <f>LR7</f>
        <v>43525</v>
      </c>
      <c r="LT6" s="428"/>
      <c r="LU6" s="428"/>
      <c r="LV6" s="362">
        <f>LV7</f>
        <v>44896</v>
      </c>
      <c r="LW6" s="46">
        <f>LW7</f>
        <v>45170</v>
      </c>
      <c r="LX6" s="46">
        <f>LX7</f>
        <v>45200</v>
      </c>
      <c r="LY6" s="46">
        <f>LY7</f>
        <v>45231</v>
      </c>
      <c r="LZ6" s="47">
        <f>LZ7</f>
        <v>45261</v>
      </c>
      <c r="MD6" s="428"/>
      <c r="ME6" s="428"/>
      <c r="MF6" s="362">
        <f>MF7</f>
        <v>44896</v>
      </c>
      <c r="MG6" s="46">
        <f>MG7</f>
        <v>45170</v>
      </c>
      <c r="MH6" s="46">
        <f>MH7</f>
        <v>45200</v>
      </c>
      <c r="MI6" s="46">
        <f>MI7</f>
        <v>45231</v>
      </c>
      <c r="MJ6" s="47">
        <f>MJ7</f>
        <v>45261</v>
      </c>
      <c r="OF6" s="428"/>
      <c r="OG6" s="428"/>
      <c r="OH6" s="362">
        <f>OH7</f>
        <v>44896</v>
      </c>
      <c r="OI6" s="46">
        <f>OI7</f>
        <v>45170</v>
      </c>
      <c r="OJ6" s="46">
        <f>OJ7</f>
        <v>45200</v>
      </c>
      <c r="OK6" s="46">
        <f>OK7</f>
        <v>45231</v>
      </c>
      <c r="OL6" s="47">
        <f>OL7</f>
        <v>45261</v>
      </c>
      <c r="PD6" s="428"/>
      <c r="PE6" s="428"/>
      <c r="PF6" s="362">
        <f>PF7</f>
        <v>44896</v>
      </c>
      <c r="PG6" s="46">
        <f>PG7</f>
        <v>45170</v>
      </c>
      <c r="PH6" s="46">
        <f>PH7</f>
        <v>45200</v>
      </c>
      <c r="PI6" s="46">
        <f>PI7</f>
        <v>45231</v>
      </c>
      <c r="PJ6" s="47">
        <f>PJ7</f>
        <v>45261</v>
      </c>
      <c r="QF6" s="1729"/>
      <c r="QG6" s="428"/>
      <c r="QH6" s="362">
        <f>QH7</f>
        <v>44896</v>
      </c>
      <c r="QI6" s="46">
        <f>QI7</f>
        <v>45170</v>
      </c>
      <c r="QJ6" s="46">
        <f>QJ7</f>
        <v>45200</v>
      </c>
      <c r="QK6" s="46">
        <f>QK7</f>
        <v>45231</v>
      </c>
      <c r="QL6" s="47">
        <f>QL7</f>
        <v>45261</v>
      </c>
      <c r="RO6" s="426"/>
      <c r="RP6" s="425">
        <v>1</v>
      </c>
      <c r="RQ6" s="363">
        <f>INDEX($OF$68:$RQ$679,MAX($RQ$68:$RQ$679)-12,$RP6)</f>
        <v>44440</v>
      </c>
      <c r="RR6" s="49">
        <f>INDEX($OF$68:$RQ$679,MAX($RQ$68:$RQ$679)-3,$RP6)</f>
        <v>44713</v>
      </c>
      <c r="RS6" s="49">
        <f>INDEX($OF$68:$RQ$679,MAX($RQ$68:$RQ$679)-2,$RP6)</f>
        <v>44743</v>
      </c>
      <c r="RT6" s="49">
        <f>INDEX($OF$68:$RQ$679,MAX($RQ$68:$RQ$679)-1,$RP6)</f>
        <v>44774</v>
      </c>
      <c r="RU6" s="50">
        <f>INDEX($OF$68:$RQ$679,MAX($RQ$68:$RQ$679),$RP6)</f>
        <v>44805</v>
      </c>
    </row>
    <row r="7" spans="2:489" ht="24.9" thickBot="1">
      <c r="B7" s="38" t="s">
        <v>2</v>
      </c>
      <c r="C7" s="64">
        <v>2</v>
      </c>
      <c r="D7" s="55">
        <f t="shared" si="0"/>
        <v>1898</v>
      </c>
      <c r="E7" s="56">
        <f t="shared" si="1"/>
        <v>942</v>
      </c>
      <c r="F7" s="56">
        <f t="shared" si="2"/>
        <v>965</v>
      </c>
      <c r="G7" s="56">
        <f t="shared" si="3"/>
        <v>981</v>
      </c>
      <c r="H7" s="57">
        <f t="shared" si="4"/>
        <v>843</v>
      </c>
      <c r="O7" s="113" t="s">
        <v>23</v>
      </c>
      <c r="P7" s="104">
        <v>2</v>
      </c>
      <c r="Q7" s="106">
        <f t="shared" ref="Q7:Q20" si="25">INDEX($N$68:$AB$679,MAX($AC$68:$AC$679)-12,$P7)</f>
        <v>1094</v>
      </c>
      <c r="R7" s="99">
        <f t="shared" ref="R7:R20" si="26">INDEX($N$68:$AB$679,MAX($AC$68:$AC$679)-3,$P7)</f>
        <v>1401</v>
      </c>
      <c r="S7" s="99">
        <f t="shared" ref="S7:S20" si="27">INDEX($N$68:$AB$679,MAX($AC$68:$AC$679)-2,$P7)</f>
        <v>2444</v>
      </c>
      <c r="T7" s="99">
        <f t="shared" ref="T7:T20" si="28">INDEX($N$68:$AB$679,MAX($AC$68:$AC$679)-1,$P7)</f>
        <v>204</v>
      </c>
      <c r="U7" s="107">
        <f t="shared" ref="U7:U20" si="29">INDEX($N$68:$AB$679,MAX($AC$68:$AC$679),$P7)</f>
        <v>170</v>
      </c>
      <c r="AE7" s="113" t="s">
        <v>23</v>
      </c>
      <c r="AF7" s="114">
        <v>2</v>
      </c>
      <c r="AG7" s="106">
        <f t="shared" si="5"/>
        <v>2740</v>
      </c>
      <c r="AH7" s="99">
        <f t="shared" si="6"/>
        <v>1989</v>
      </c>
      <c r="AI7" s="99">
        <f t="shared" si="7"/>
        <v>1574</v>
      </c>
      <c r="AJ7" s="99">
        <f t="shared" si="8"/>
        <v>381</v>
      </c>
      <c r="AK7" s="107">
        <f t="shared" si="9"/>
        <v>337</v>
      </c>
      <c r="AV7" s="113" t="s">
        <v>23</v>
      </c>
      <c r="AW7" s="114">
        <v>2</v>
      </c>
      <c r="AX7" s="106">
        <f t="shared" si="10"/>
        <v>112680</v>
      </c>
      <c r="AY7" s="99">
        <f t="shared" si="11"/>
        <v>11250</v>
      </c>
      <c r="AZ7" s="99">
        <f t="shared" si="12"/>
        <v>6002</v>
      </c>
      <c r="BA7" s="99">
        <f t="shared" si="13"/>
        <v>996</v>
      </c>
      <c r="BB7" s="107">
        <f t="shared" si="14"/>
        <v>933</v>
      </c>
      <c r="BN7" s="38" t="s">
        <v>2</v>
      </c>
      <c r="BO7" s="64">
        <v>2</v>
      </c>
      <c r="BP7" s="55">
        <f t="shared" si="15"/>
        <v>104.39</v>
      </c>
      <c r="BQ7" s="56">
        <f t="shared" si="16"/>
        <v>51.81</v>
      </c>
      <c r="BR7" s="56">
        <f t="shared" si="17"/>
        <v>53.075000000000003</v>
      </c>
      <c r="BS7" s="56">
        <f t="shared" si="18"/>
        <v>53.954999999999998</v>
      </c>
      <c r="BT7" s="57">
        <f t="shared" si="19"/>
        <v>46.365000000000002</v>
      </c>
      <c r="BX7" s="173" t="s">
        <v>52</v>
      </c>
      <c r="BY7" s="64">
        <v>2</v>
      </c>
      <c r="BZ7" s="165">
        <f t="shared" si="20"/>
        <v>619.12440000000004</v>
      </c>
      <c r="CA7" s="166">
        <f t="shared" si="21"/>
        <v>614.52</v>
      </c>
      <c r="CB7" s="166">
        <f t="shared" si="22"/>
        <v>620.83000000000004</v>
      </c>
      <c r="CC7" s="166">
        <f t="shared" si="23"/>
        <v>606.28</v>
      </c>
      <c r="CD7" s="167">
        <f t="shared" si="24"/>
        <v>600.58000000000004</v>
      </c>
      <c r="CF7" s="739" t="s">
        <v>62</v>
      </c>
      <c r="CG7" s="737"/>
      <c r="CH7" s="737"/>
      <c r="CI7" s="737"/>
      <c r="CJ7" s="737"/>
      <c r="CK7" s="737"/>
      <c r="CL7" s="737"/>
      <c r="CM7" s="740"/>
      <c r="CX7" s="91"/>
      <c r="CY7" s="91">
        <v>1</v>
      </c>
      <c r="CZ7" s="363">
        <f>INDEX($BX$68:$DF$679,MAX($DF$68:$DF$679)-12,$CY7)</f>
        <v>44044</v>
      </c>
      <c r="DA7" s="49">
        <f t="shared" ref="DA7:DA13" si="30">INDEX($CY$68:$DF$679,MAX($DF$68:$DF$679)-3,$CY7)</f>
        <v>44317</v>
      </c>
      <c r="DB7" s="49">
        <f>INDEX($BX$68:$DF$679,MAX($DF$68:$DF$679)-2,$CY7)</f>
        <v>44348</v>
      </c>
      <c r="DC7" s="49">
        <f>INDEX($BX$68:$DF$679,MAX($DF$68:$DF$679)-1,$CY7)</f>
        <v>44378</v>
      </c>
      <c r="DD7" s="50">
        <f>INDEX($BX$68:$DF$679,MAX($DF$68:$DF$679),$CY7)</f>
        <v>44409</v>
      </c>
      <c r="DH7" s="19"/>
      <c r="DI7" s="93"/>
      <c r="DJ7" s="93">
        <v>1</v>
      </c>
      <c r="DK7" s="49">
        <f t="shared" ref="DK7:DK14" si="31">INDEX($DG$68:$DN$679,MAX($DP$68:$DP$679)-12,$DJ7)</f>
        <v>44896</v>
      </c>
      <c r="DL7" s="49">
        <f t="shared" ref="DL7:DL14" si="32">INDEX($DG$68:$DN$679,MAX($DP$68:$DP$679)-3,$DJ7)</f>
        <v>45170</v>
      </c>
      <c r="DM7" s="49">
        <f t="shared" ref="DM7:DM14" si="33">INDEX($DG$68:$DN$679,MAX($DP$68:$DP$679)-2,$DJ7)</f>
        <v>45200</v>
      </c>
      <c r="DN7" s="49">
        <f t="shared" ref="DN7:DN14" si="34">INDEX($DG$68:$DN$679,MAX($DP$68:$DP$679)-1,$DJ7)</f>
        <v>45231</v>
      </c>
      <c r="DO7" s="373">
        <f t="shared" ref="DO7:DO14" si="35">INDEX($DG$68:$DN$679,MAX($DP$68:$DP$679),$DJ7)</f>
        <v>45261</v>
      </c>
      <c r="DR7" s="91"/>
      <c r="DS7" s="316">
        <v>1</v>
      </c>
      <c r="DT7" s="758">
        <f>INDEX($DQ$68:$DY$679,MAX($DY$68:$DY$679)-12,$DS7)</f>
        <v>44896</v>
      </c>
      <c r="DU7" s="759">
        <f>INDEX($DQ$68:$DY$679,MAX($DY$68:$DY$679)-3,$DS7)</f>
        <v>45170</v>
      </c>
      <c r="DV7" s="759">
        <f>INDEX($DQ$68:$DY$679,MAX($DY$68:$DY$679)-2,$DS7)</f>
        <v>45200</v>
      </c>
      <c r="DW7" s="759">
        <f>INDEX($DQ$68:$DY$679,MAX($DY$68:$DY$679)-1,$DS7)</f>
        <v>45231</v>
      </c>
      <c r="DX7" s="760">
        <f>INDEX($DQ$68:$DY$679,MAX($DY$68:$DY$679),$DS7)</f>
        <v>45261</v>
      </c>
      <c r="EA7" s="91"/>
      <c r="EB7" s="316">
        <v>1</v>
      </c>
      <c r="EC7" s="363">
        <f>INDEX($DZ$68:$ED$679,MAX($ED$68:$ED$679)-12,$EB7)</f>
        <v>41244</v>
      </c>
      <c r="ED7" s="49">
        <f>INDEX($DZ$68:$ED$679,MAX($ED$68:$ED$679)-3,$EB7)</f>
        <v>41518</v>
      </c>
      <c r="EE7" s="49">
        <f>INDEX($DZ$68:$ED$679,MAX($ED$68:$ED$679)-2,$EB7)</f>
        <v>41548</v>
      </c>
      <c r="EF7" s="49">
        <f>INDEX($DZ$68:$ED$679,MAX($ED$68:$ED$679)-1,$EB7)</f>
        <v>41579</v>
      </c>
      <c r="EG7" s="50">
        <f>INDEX($DZ$68:$ED$679,MAX($ED$68:$ED$679),$EB7)</f>
        <v>41609</v>
      </c>
      <c r="EJ7" s="426"/>
      <c r="EK7" s="425">
        <v>1</v>
      </c>
      <c r="EL7" s="363">
        <f t="shared" ref="EL7:EL16" si="36">INDEX($EE$68:$EO$679,MAX($EO$68:$EO$679)-12,$EK7)</f>
        <v>44896</v>
      </c>
      <c r="EM7" s="49">
        <f t="shared" ref="EM7:EM16" si="37">INDEX($EE$68:$EO$679,MAX($EO$68:$EO$679)-3,$EK7)</f>
        <v>45170</v>
      </c>
      <c r="EN7" s="49">
        <f t="shared" ref="EN7:EN16" si="38">INDEX($EE$68:$EO$679,MAX($EO$68:$EO$679)-2,$EK7)</f>
        <v>45200</v>
      </c>
      <c r="EO7" s="49">
        <f t="shared" ref="EO7:EO16" si="39">INDEX($EE$68:$EO$679,MAX($EO$68:$EO$679)-1,$EK7)</f>
        <v>45231</v>
      </c>
      <c r="EP7" s="50">
        <f t="shared" ref="EP7:EP16" si="40">INDEX($EE$68:$EO$679,MAX($EO$68:$EO$679),$EK7)</f>
        <v>45261</v>
      </c>
      <c r="ES7" s="426"/>
      <c r="ET7" s="425">
        <v>1</v>
      </c>
      <c r="EU7" s="363">
        <f t="shared" ref="EU7:EU16" si="41">INDEX($EP$68:$EZ$679,MAX($EZ$68:$EZ$679)-12,$ET7)</f>
        <v>44896</v>
      </c>
      <c r="EV7" s="49">
        <f t="shared" ref="EV7:EV16" si="42">INDEX($EP$68:$EZ$679,MAX($EZ$68:$EZ$679)-3,$ET7)</f>
        <v>45170</v>
      </c>
      <c r="EW7" s="49">
        <f t="shared" ref="EW7:EW16" si="43">INDEX($EP$68:$EZ$679,MAX($EZ$68:$EZ$679)-2,$ET7)</f>
        <v>45200</v>
      </c>
      <c r="EX7" s="49">
        <f t="shared" ref="EX7:EX16" si="44">INDEX($EP$68:$EZ$679,MAX($EZ$68:$EZ$679)-1,$ET7)</f>
        <v>45231</v>
      </c>
      <c r="EY7" s="50">
        <f t="shared" ref="EY7:EY16" si="45">INDEX($EP$68:$EZ$679,MAX($EZ$68:$EZ$679),$ET7)</f>
        <v>45261</v>
      </c>
      <c r="FB7" s="426"/>
      <c r="FC7" s="425">
        <v>1</v>
      </c>
      <c r="FD7" s="363">
        <f>INDEX($FA$68:$FK$679,MAX($FK$68:$FK$679)-12,$FC7)</f>
        <v>44896</v>
      </c>
      <c r="FE7" s="49">
        <f>INDEX($FA$68:$FK$679,MAX($FK$68:$FK$679)-3,$FC7)</f>
        <v>45170</v>
      </c>
      <c r="FF7" s="49">
        <f>INDEX($FA$68:$FK$679,MAX($FK$68:$FK$679)-2,$FC7)</f>
        <v>45200</v>
      </c>
      <c r="FG7" s="49">
        <f>INDEX($FA$68:$FK$679,MAX($FK$68:$FK$679)-1,$FC7)</f>
        <v>45231</v>
      </c>
      <c r="FH7" s="50">
        <f>INDEX($FA$68:$FK$679,MAX($FK$68:$FK$679),$FC7)</f>
        <v>45261</v>
      </c>
      <c r="FN7" s="426"/>
      <c r="FO7" s="425">
        <v>1</v>
      </c>
      <c r="FP7" s="363">
        <f t="shared" ref="FP7:FP20" si="46">INDEX($FL$68:$FY$679,MAX($FZ$68:$FZ$679)-12,$FO7)</f>
        <v>44896</v>
      </c>
      <c r="FQ7" s="49">
        <f t="shared" ref="FQ7:FQ20" si="47">INDEX($FL$68:$FY$679,MAX($FZ$68:$FZ$679)-3,$FO7)</f>
        <v>45170</v>
      </c>
      <c r="FR7" s="49">
        <f t="shared" ref="FR7:FR20" si="48">INDEX($FL$68:$FY$679,MAX($FZ$68:$FZ$679)-2,$FO7)</f>
        <v>45200</v>
      </c>
      <c r="FS7" s="49">
        <f t="shared" ref="FS7:FS20" si="49">INDEX($FL$68:$FY$679,MAX($FZ$68:$FZ$679)-1,$FO7)</f>
        <v>45231</v>
      </c>
      <c r="FT7" s="50">
        <f t="shared" ref="FT7:FT20" si="50">INDEX($FL$68:$FY$679,MAX($FZ$68:$FZ$679),$FO7)</f>
        <v>45261</v>
      </c>
      <c r="GC7" s="426"/>
      <c r="GD7" s="425">
        <v>1</v>
      </c>
      <c r="GE7" s="363">
        <f t="shared" ref="GE7:GE20" si="51">INDEX($GA$68:$GN$679,MAX($GO$68:$GO$679)-12,$GD7)</f>
        <v>44896</v>
      </c>
      <c r="GF7" s="49">
        <f t="shared" ref="GF7:GF20" si="52">INDEX($GA$68:$GN$679,MAX($GO$68:$GO$679)-3,$GD7)</f>
        <v>45170</v>
      </c>
      <c r="GG7" s="49">
        <f t="shared" ref="GG7:GG20" si="53">INDEX($GA$68:$GN$679,MAX($GO$68:$GO$679)-2,$GD7)</f>
        <v>45200</v>
      </c>
      <c r="GH7" s="49">
        <f t="shared" ref="GH7:GH20" si="54">INDEX($GA$68:$GN$679,MAX($GO$68:$GO$679)-1,$GD7)</f>
        <v>45231</v>
      </c>
      <c r="GI7" s="50">
        <f t="shared" ref="GI7:GI20" si="55">INDEX($GA$68:$GN$679,MAX($GO$68:$GO$679),$GD7)</f>
        <v>45261</v>
      </c>
      <c r="GS7" s="426"/>
      <c r="GT7" s="492">
        <v>1</v>
      </c>
      <c r="GU7" s="363">
        <f>INDEX($GP$68:$HR$679,MAX($HR$68:$HR$679)-12,$GT7)</f>
        <v>44896</v>
      </c>
      <c r="GV7" s="49">
        <f>INDEX($GP$68:$HR$679,MAX($HR$68:$HR$679)-3,$GT7)</f>
        <v>45170</v>
      </c>
      <c r="GW7" s="49">
        <f>INDEX($GP$68:$HR$679,MAX($HR$68:$HR$679)-2,$GT7)</f>
        <v>45200</v>
      </c>
      <c r="GX7" s="49">
        <f>INDEX($GP$68:$HR$679,MAX($HR$68:$HR$679)-1,$GT7)</f>
        <v>45231</v>
      </c>
      <c r="GY7" s="50">
        <f>INDEX($GP$68:$HR$679,MAX($HR$68:$HR$679),$GT7)</f>
        <v>45261</v>
      </c>
      <c r="HT7" s="426"/>
      <c r="HU7" s="492">
        <v>1</v>
      </c>
      <c r="HV7" s="363">
        <f t="shared" ref="HV7:HV15" si="56">INDEX($HS$68:$IO$679,MAX($IP$68:$IP$679)-12,$HU7)</f>
        <v>44531</v>
      </c>
      <c r="HW7" s="49">
        <f t="shared" ref="HW7:HW15" si="57">INDEX($HS$68:$IO$679,MAX($IP$68:$IP$679)-3,$HU7)</f>
        <v>44805</v>
      </c>
      <c r="HX7" s="49">
        <f t="shared" ref="HX7:HX15" si="58">INDEX($HS$68:$IO$679,MAX($IP$68:$IP$679)-2,$HU7)</f>
        <v>44835</v>
      </c>
      <c r="HY7" s="49">
        <f t="shared" ref="HY7:HY15" si="59">INDEX($HS$68:$IO$679,MAX($IP$68:$IP$679)-1,$HU7)</f>
        <v>44866</v>
      </c>
      <c r="HZ7" s="50">
        <f t="shared" ref="HZ7:HZ15" si="60">INDEX($HS$68:$IO$679,MAX($IP$68:$IP$679),$HU7)</f>
        <v>44896</v>
      </c>
      <c r="IB7" s="426"/>
      <c r="IC7" s="492">
        <v>1</v>
      </c>
      <c r="ID7" s="48">
        <f t="shared" ref="ID7:ID13" si="61">INDEX($HS$68:$IO$679,MAX($IP$68:$IP$679)-12,$IC7)</f>
        <v>44531</v>
      </c>
      <c r="IE7" s="49">
        <f t="shared" ref="IE7:IE13" si="62">INDEX($HS$68:$IO$679,MAX($IP$68:$IP$679)-3,$IC7)</f>
        <v>44805</v>
      </c>
      <c r="IF7" s="49">
        <f t="shared" ref="IF7:IF13" si="63">INDEX($HS$68:$IO$679,MAX($IP$68:$IP$679)-2,$IC7)</f>
        <v>44835</v>
      </c>
      <c r="IG7" s="49">
        <f t="shared" ref="IG7:IG13" si="64">INDEX($HS$68:$IO$679,MAX($IP$68:$IP$679)-1,$IC7)</f>
        <v>44866</v>
      </c>
      <c r="IH7" s="50">
        <f t="shared" ref="IH7:IH13" si="65">INDEX($HS$68:$IO$679,MAX($IP$68:$IP$679),$IC7)</f>
        <v>44896</v>
      </c>
      <c r="IJ7" s="426"/>
      <c r="IK7" s="492">
        <v>1</v>
      </c>
      <c r="IL7" s="48">
        <f t="shared" ref="IL7:IL15" si="66">INDEX($HS$68:$IO$679,MAX($IP$68:$IP$679)-12,$IK7)</f>
        <v>44531</v>
      </c>
      <c r="IM7" s="49">
        <f t="shared" ref="IM7:IM15" si="67">INDEX($HS$68:$IO$679,MAX($IP$68:$IP$679)-3,$IK7)</f>
        <v>44805</v>
      </c>
      <c r="IN7" s="49">
        <f t="shared" ref="IN7:IN15" si="68">INDEX($HS$68:$IO$679,MAX($IP$68:$IP$679)-2,$IK7)</f>
        <v>44835</v>
      </c>
      <c r="IO7" s="49">
        <f t="shared" ref="IO7:IO15" si="69">INDEX($HS$68:$IO$679,MAX($IP$68:$IP$679)-1,$IK7)</f>
        <v>44866</v>
      </c>
      <c r="IP7" s="50">
        <f t="shared" ref="IP7:IP15" si="70">INDEX($HS$68:$IO$679,MAX($IP$68:$IP$679),$IK7)</f>
        <v>44896</v>
      </c>
      <c r="IR7" s="426"/>
      <c r="IS7" s="492">
        <v>1</v>
      </c>
      <c r="IT7" s="48">
        <f t="shared" ref="IT7:IT13" si="71">INDEX($HS$68:$JO$679,MAX($IW$68:$IW$679)-12,$IS7)</f>
        <v>44531</v>
      </c>
      <c r="IU7" s="49">
        <f t="shared" ref="IU7:IU13" si="72">INDEX($HS$68:$JO$679,MAX($IW$68:$IW$679)-3,$IS7)</f>
        <v>44805</v>
      </c>
      <c r="IV7" s="49">
        <f t="shared" ref="IV7:IV13" si="73">INDEX($HS$68:$JO$679,MAX($IW$68:$IW$679)-2,$IS7)</f>
        <v>44835</v>
      </c>
      <c r="IW7" s="49">
        <f t="shared" ref="IW7:IW13" si="74">INDEX($HS$68:$JO$679,MAX($IW$68:$IW$679)-1,$IS7)</f>
        <v>44866</v>
      </c>
      <c r="IX7" s="50">
        <f t="shared" ref="IX7:IX13" si="75">INDEX($HS$68:$JO$679,MAX($IW$68:$IW$679),$IS7)</f>
        <v>44896</v>
      </c>
      <c r="IZ7" s="426"/>
      <c r="JA7" s="492">
        <v>1</v>
      </c>
      <c r="JB7" s="48">
        <f t="shared" ref="JB7:JB15" si="76">INDEX($HS$68:$JO$679,MAX($JF$68:$JF$679)-12,$JA7)</f>
        <v>44531</v>
      </c>
      <c r="JC7" s="49">
        <f t="shared" ref="JC7:JC15" si="77">INDEX($HS$68:$JO$679,MAX($JF$68:$JF$679)-3,$JA7)</f>
        <v>44805</v>
      </c>
      <c r="JD7" s="49">
        <f t="shared" ref="JD7:JD15" si="78">INDEX($HS$68:$JO$679,MAX($JF$68:$JF$679)-2,$JA7)</f>
        <v>44835</v>
      </c>
      <c r="JE7" s="49">
        <f t="shared" ref="JE7:JE15" si="79">INDEX($HS$68:$JO$679,MAX($JF$68:$JF$679)-1,$JA7)</f>
        <v>44866</v>
      </c>
      <c r="JF7" s="50">
        <f t="shared" ref="JF7:JF15" si="80">INDEX($HS$68:$JO$679,MAX($JF$68:$JF$679),$JA7)</f>
        <v>44896</v>
      </c>
      <c r="JH7" s="426"/>
      <c r="JI7" s="425">
        <v>1</v>
      </c>
      <c r="JJ7" s="363">
        <f t="shared" ref="JJ7:JJ15" si="81">INDEX($HS$68:$JO$679,MAX($JO$68:$JO$679)-12,$JI7)</f>
        <v>44531</v>
      </c>
      <c r="JK7" s="49">
        <f t="shared" ref="JK7:JK15" si="82">INDEX($HS$68:$JO$679,MAX($JO$68:$JO$679)-3,$JI7)</f>
        <v>44805</v>
      </c>
      <c r="JL7" s="49">
        <f t="shared" ref="JL7:JL15" si="83">INDEX($HS$68:$JO$679,MAX($JO$68:$JO$679)-2,$JI7)</f>
        <v>44835</v>
      </c>
      <c r="JM7" s="49">
        <f t="shared" ref="JM7:JM15" si="84">INDEX($HS$68:$JO$679,MAX($JO$68:$JO$679)-1,$JI7)</f>
        <v>44866</v>
      </c>
      <c r="JN7" s="50">
        <f t="shared" ref="JN7:JN15" si="85">INDEX($HS$68:$JO$679,MAX($JO$68:$JO$679),$JI7)</f>
        <v>44896</v>
      </c>
      <c r="JP7" s="426"/>
      <c r="JQ7" s="425">
        <v>1</v>
      </c>
      <c r="JR7" s="363">
        <f t="shared" ref="JR7:JR13" si="86">INDEX($HS$68:$JV$679,MAX($JV$68:$JV$679)-12,$JQ7)</f>
        <v>44531</v>
      </c>
      <c r="JS7" s="49">
        <f t="shared" ref="JS7:JS13" si="87">INDEX($HS$68:$JV$679,MAX($JV$68:$JV$679)-3,$JQ7)</f>
        <v>44805</v>
      </c>
      <c r="JT7" s="49">
        <f t="shared" ref="JT7:JT13" si="88">INDEX($HS$68:$JV$679,MAX($JV$68:$JV$679)-2,$JQ7)</f>
        <v>44835</v>
      </c>
      <c r="JU7" s="49">
        <f t="shared" ref="JU7:JU13" si="89">INDEX($HS$68:$JV$679,MAX($JV$68:$JV$679)-1,$JQ7)</f>
        <v>44866</v>
      </c>
      <c r="JV7" s="50">
        <f t="shared" ref="JV7:JV13" si="90">INDEX($HS$68:$JV$679,MAX($JV$68:$JV$679),$JQ7)</f>
        <v>44896</v>
      </c>
      <c r="JX7" s="426"/>
      <c r="JY7" s="425">
        <v>1</v>
      </c>
      <c r="JZ7" s="363">
        <f t="shared" ref="JZ7:JZ14" si="91">INDEX($JW$68:$LG$679,MAX($KE$68:$KE$679)-12,$JY7)</f>
        <v>44166</v>
      </c>
      <c r="KA7" s="49">
        <f t="shared" ref="KA7:KA14" si="92">INDEX($JW$68:$LG$679,MAX($KE$68:$KE$679)-3,$JY7)</f>
        <v>44440</v>
      </c>
      <c r="KB7" s="49">
        <f t="shared" ref="KB7:KB14" si="93">INDEX($JW$68:$LG$679,MAX($KE$68:$KE$679)-2,$JY7)</f>
        <v>44470</v>
      </c>
      <c r="KC7" s="49">
        <f t="shared" ref="KC7:KC14" si="94">INDEX($JW$68:$LG$679,MAX($KE$68:$KE$679)-1,$JY7)</f>
        <v>44501</v>
      </c>
      <c r="KD7" s="50">
        <f t="shared" ref="KD7:KD14" si="95">INDEX($JW$68:$LG$679,MAX($KE$68:$KE$679),$JY7)</f>
        <v>44531</v>
      </c>
      <c r="KF7" s="426"/>
      <c r="KG7" s="425">
        <v>1</v>
      </c>
      <c r="KH7" s="363">
        <f t="shared" ref="KH7:KH13" si="96">INDEX($JW$68:$LG$679,MAX($KL$68:$KL$679)-12,$KG7)</f>
        <v>44166</v>
      </c>
      <c r="KI7" s="49">
        <f t="shared" ref="KI7:KI13" si="97">INDEX($JW$68:$LG$679,MAX($KL$68:$KL$679)-3,$KG7)</f>
        <v>44440</v>
      </c>
      <c r="KJ7" s="49">
        <f t="shared" ref="KJ7:KJ13" si="98">INDEX($JW$68:$LG$679,MAX($KL$68:$KL$679)-2,$KG7)</f>
        <v>44470</v>
      </c>
      <c r="KK7" s="49">
        <f t="shared" ref="KK7:KK13" si="99">INDEX($JW$68:$LG$679,MAX($KL$68:$KL$679)-1,$KG7)</f>
        <v>44501</v>
      </c>
      <c r="KL7" s="50">
        <f t="shared" ref="KL7:KL13" si="100">INDEX($JW$68:$LG$679,MAX($KL$68:$KL$679),$KG7)</f>
        <v>44531</v>
      </c>
      <c r="KN7" s="426"/>
      <c r="KO7" s="425">
        <v>1</v>
      </c>
      <c r="KP7" s="363">
        <f t="shared" ref="KP7:KP13" si="101">INDEX($JW$68:$LG$679,MAX($KS$68:$KS$679)-12,$KO7)</f>
        <v>44166</v>
      </c>
      <c r="KQ7" s="49">
        <f t="shared" ref="KQ7:KQ13" si="102">INDEX($JW$68:$LG$679,MAX($KS$68:$KS$679)-3,$KO7)</f>
        <v>44440</v>
      </c>
      <c r="KR7" s="49">
        <f t="shared" ref="KR7:KR13" si="103">INDEX($JW$68:$LG$679,MAX($KS$68:$KS$679)-2,$KO7)</f>
        <v>44470</v>
      </c>
      <c r="KS7" s="49">
        <f t="shared" ref="KS7:KS13" si="104">INDEX($JW$68:$LG$679,MAX($KS$68:$KS$679)-1,$KO7)</f>
        <v>44501</v>
      </c>
      <c r="KT7" s="50">
        <f t="shared" ref="KT7:KT13" si="105">INDEX($JW$68:$LG$679,MAX($KS$68:$KS$679),$KO7)</f>
        <v>44531</v>
      </c>
      <c r="KV7" s="426"/>
      <c r="KW7" s="425">
        <v>1</v>
      </c>
      <c r="KX7" s="363">
        <f t="shared" ref="KX7:KX13" si="106">INDEX($JW$68:$LG$679,MAX($KZ$68:$KZ$679)-12,$KW7)</f>
        <v>44166</v>
      </c>
      <c r="KY7" s="49">
        <f t="shared" ref="KY7:KY13" si="107">INDEX($JW$68:$LG$679,MAX($KZ$68:$KZ$679)-3,$KW7)</f>
        <v>44440</v>
      </c>
      <c r="KZ7" s="49">
        <f t="shared" ref="KZ7:KZ13" si="108">INDEX($JW$68:$LG$679,MAX($KZ$68:$KZ$679)-2,$KW7)</f>
        <v>44470</v>
      </c>
      <c r="LA7" s="49">
        <f t="shared" ref="LA7:LA13" si="109">INDEX($JW$68:$LG$679,MAX($KZ$68:$KZ$679)-1,$KW7)</f>
        <v>44501</v>
      </c>
      <c r="LB7" s="50">
        <f t="shared" ref="LB7:LB13" si="110">INDEX($JW$68:$LG$679,MAX($KZ$68:$KZ$679),$KW7)</f>
        <v>44531</v>
      </c>
      <c r="LD7" s="426"/>
      <c r="LE7" s="425">
        <v>1</v>
      </c>
      <c r="LF7" s="363">
        <f t="shared" ref="LF7:LF14" si="111">INDEX($LA$68:$MB$679,MAX($LI$68:$LI$679)-12,$LE7)</f>
        <v>43160</v>
      </c>
      <c r="LG7" s="49">
        <f t="shared" ref="LG7:LG14" si="112">INDEX($LA$68:$MB$679,MAX($LI$68:$LI$679)-3,$LE7)</f>
        <v>43435</v>
      </c>
      <c r="LH7" s="49">
        <f t="shared" ref="LH7:LH14" si="113">INDEX($LA$68:$MB$679,MAX($LI$68:$LI$679)-2,$LE7)</f>
        <v>43466</v>
      </c>
      <c r="LI7" s="49">
        <f t="shared" ref="LI7:LI14" si="114">INDEX($LA$68:$MB$679,MAX($LI$68:$LI$679)-1,$LE7)</f>
        <v>43497</v>
      </c>
      <c r="LJ7" s="50">
        <f t="shared" ref="LJ7:LJ14" si="115">INDEX($LA$68:$MB$679,MAX($LI$68:$LI$679),$LE7)</f>
        <v>43525</v>
      </c>
      <c r="LL7" s="426"/>
      <c r="LM7" s="425">
        <v>1</v>
      </c>
      <c r="LN7" s="363">
        <f t="shared" ref="LN7:LN13" si="116">INDEX($LA$68:$MB$679,MAX($LP$68:$LP$679)-12,$LM7)</f>
        <v>43160</v>
      </c>
      <c r="LO7" s="49">
        <f t="shared" ref="LO7:LO13" si="117">INDEX($LA$68:$MB$679,MAX($LP$68:$LP$679)-3,$LM7)</f>
        <v>43435</v>
      </c>
      <c r="LP7" s="49">
        <f t="shared" ref="LP7:LP13" si="118">INDEX($LA$68:$MB$679,MAX($LP$68:$LP$679)-2,$LM7)</f>
        <v>43466</v>
      </c>
      <c r="LQ7" s="49">
        <f t="shared" ref="LQ7:LQ13" si="119">INDEX($LA$68:$MB$679,MAX($LP$68:$LP$679)-1,$LM7)</f>
        <v>43497</v>
      </c>
      <c r="LR7" s="50">
        <f t="shared" ref="LR7:LR13" si="120">INDEX($LA$68:$MB$679,MAX($LP$68:$LP$679),$LM7)</f>
        <v>43525</v>
      </c>
      <c r="LT7" s="426"/>
      <c r="LU7" s="425">
        <v>1</v>
      </c>
      <c r="LV7" s="363">
        <f>INDEX($LA$68:$MB$679,MAX($MB$68:$MB$679)-12,$LU7)</f>
        <v>44896</v>
      </c>
      <c r="LW7" s="49">
        <f>INDEX($LA$68:$MB$679,MAX($MB$68:$MB$679)-3,$LU7)</f>
        <v>45170</v>
      </c>
      <c r="LX7" s="49">
        <f>INDEX($LA$68:$MB$679,MAX($MB$68:$MB$679)-2,$LU7)</f>
        <v>45200</v>
      </c>
      <c r="LY7" s="49">
        <f>INDEX($LA$68:$MB$679,MAX($MB$68:$MB$679)-1,$LU7)</f>
        <v>45231</v>
      </c>
      <c r="LZ7" s="50">
        <f>INDEX($LA$68:$MB$679,MAX($MB$68:$MB$679),$LU7)</f>
        <v>45261</v>
      </c>
      <c r="MD7" s="426"/>
      <c r="ME7" s="425">
        <v>1</v>
      </c>
      <c r="MF7" s="363">
        <f t="shared" ref="MF7:MF38" si="121">INDEX($MC$68:$OE$679,MAX($OE$68:$OE$679)-12,$ME7)</f>
        <v>44896</v>
      </c>
      <c r="MG7" s="49">
        <f t="shared" ref="MG7:MG38" si="122">INDEX($MC$68:$OE$679,MAX($OE$68:$OE$679)-3,$ME7)</f>
        <v>45170</v>
      </c>
      <c r="MH7" s="49">
        <f t="shared" ref="MH7:MH38" si="123">INDEX($MC$68:$OE$679,MAX($OE$68:$OE$679)-2,$ME7)</f>
        <v>45200</v>
      </c>
      <c r="MI7" s="49">
        <f t="shared" ref="MI7:MI38" si="124">INDEX($MC$68:$OE$679,MAX($OE$68:$OE$679)-1,$ME7)</f>
        <v>45231</v>
      </c>
      <c r="MJ7" s="50">
        <f t="shared" ref="MJ7:MJ38" si="125">INDEX($MC$68:$OE$679,MAX($OE$68:$OE$679),$ME7)</f>
        <v>45261</v>
      </c>
      <c r="OF7" s="426"/>
      <c r="OG7" s="425">
        <v>1</v>
      </c>
      <c r="OH7" s="363">
        <f t="shared" ref="OH7:OH30" si="126">INDEX($OF$68:$RN$679,MAX($PD$68:$PD$679)-12,$OG7)</f>
        <v>44896</v>
      </c>
      <c r="OI7" s="49">
        <f t="shared" ref="OI7:OI30" si="127">INDEX($OF$68:$RN$679,MAX($PD$68:$PD$679)-3,$OG7)</f>
        <v>45170</v>
      </c>
      <c r="OJ7" s="49">
        <f t="shared" ref="OJ7:OJ30" si="128">INDEX($OF$68:$RN$679,MAX($PD$68:$PD$679)-2,$OG7)</f>
        <v>45200</v>
      </c>
      <c r="OK7" s="49">
        <f t="shared" ref="OK7:OK30" si="129">INDEX($OF$68:$RN$679,MAX($PD$68:$PD$679)-1,$OG7)</f>
        <v>45231</v>
      </c>
      <c r="OL7" s="50">
        <f t="shared" ref="OL7:OL30" si="130">INDEX($OF$68:$RN$679,MAX($PD$68:$PD$679),$OG7)</f>
        <v>45261</v>
      </c>
      <c r="PD7" s="426"/>
      <c r="PE7" s="425">
        <v>1</v>
      </c>
      <c r="PF7" s="363">
        <f t="shared" ref="PF7:PF34" si="131">INDEX($OF$68:$RN$679,MAX($QF$68:$QF$679)-12,$PE7)</f>
        <v>44896</v>
      </c>
      <c r="PG7" s="49">
        <f t="shared" ref="PG7:PG34" si="132">INDEX($OF$68:$RN$679,MAX($QF$68:$QF$679)-3,$PE7)</f>
        <v>45170</v>
      </c>
      <c r="PH7" s="49">
        <f t="shared" ref="PH7:PH34" si="133">INDEX($OF$68:$RN$679,MAX($QF$68:$QF$679)-2,$PE7)</f>
        <v>45200</v>
      </c>
      <c r="PI7" s="49">
        <f t="shared" ref="PI7:PI34" si="134">INDEX($OF$68:$RN$679,MAX($QF$68:$QF$679)-1,$PE7)</f>
        <v>45231</v>
      </c>
      <c r="PJ7" s="50">
        <f t="shared" ref="PJ7:PJ34" si="135">INDEX($OF$68:$RN$679,MAX($QF$68:$QF$679),$PE7)</f>
        <v>45261</v>
      </c>
      <c r="QF7" s="1730"/>
      <c r="QG7" s="425">
        <v>1</v>
      </c>
      <c r="QH7" s="363">
        <f t="shared" ref="QH7:QH35" si="136">INDEX($OF$68:$RN$679,MAX($RN$68:$RN$679)-12,$QG7)</f>
        <v>44896</v>
      </c>
      <c r="QI7" s="49">
        <f t="shared" ref="QI7:QI35" si="137">INDEX($OF$68:$RN$679,MAX($RN$68:$RN$679)-3,$QG7)</f>
        <v>45170</v>
      </c>
      <c r="QJ7" s="49">
        <f t="shared" ref="QJ7:QJ35" si="138">INDEX($OF$68:$RN$679,MAX($RN$68:$RN$679)-2,$QG7)</f>
        <v>45200</v>
      </c>
      <c r="QK7" s="49">
        <f t="shared" ref="QK7:QK35" si="139">INDEX($OF$68:$RN$679,MAX($RN$68:$RN$679)-1,$QG7)</f>
        <v>45231</v>
      </c>
      <c r="QL7" s="50">
        <f t="shared" ref="QL7:QL35" si="140">INDEX($OF$68:$RN$679,MAX($RN$68:$RN$679),$QG7)</f>
        <v>45261</v>
      </c>
      <c r="RO7" s="979" t="s">
        <v>718</v>
      </c>
      <c r="RP7" s="716">
        <v>88</v>
      </c>
      <c r="RQ7" s="717">
        <f>INDEX($OF$68:$RQ$679,MAX($RQ$68:$RQ$679)-12,$RP7)</f>
        <v>814</v>
      </c>
      <c r="RR7" s="718">
        <f>INDEX($OF$68:$RQ$679,MAX($RQ$68:$RQ$679)-3,$RP7)</f>
        <v>451.28219795270263</v>
      </c>
      <c r="RS7" s="718">
        <f>INDEX($OF$68:$RQ$679,MAX($RQ$68:$RQ$679)-2,$RP7)</f>
        <v>68</v>
      </c>
      <c r="RT7" s="718">
        <f>INDEX($OF$68:$RQ$679,MAX($RQ$68:$RQ$679)-1,$RP7)</f>
        <v>100</v>
      </c>
      <c r="RU7" s="719">
        <f>INDEX($OF$68:$RQ$679,MAX($RQ$68:$RQ$679),$RP7)</f>
        <v>328</v>
      </c>
    </row>
    <row r="8" spans="2:489" ht="30" customHeight="1" thickTop="1" thickBot="1">
      <c r="B8" s="39" t="s">
        <v>3</v>
      </c>
      <c r="C8" s="65">
        <v>3</v>
      </c>
      <c r="D8" s="58">
        <f t="shared" si="0"/>
        <v>34252</v>
      </c>
      <c r="E8" s="35">
        <f t="shared" si="1"/>
        <v>22500</v>
      </c>
      <c r="F8" s="35">
        <f t="shared" si="2"/>
        <v>29980</v>
      </c>
      <c r="G8" s="35">
        <f t="shared" si="3"/>
        <v>29670</v>
      </c>
      <c r="H8" s="59">
        <f t="shared" si="4"/>
        <v>30584</v>
      </c>
      <c r="J8" t="str">
        <f>CONCATENATE("01/01/",YEAR(INDEX($B$68:$K$358,MAX($L$68:$L$358),1)))</f>
        <v>01/01/2023</v>
      </c>
      <c r="O8" s="109" t="s">
        <v>24</v>
      </c>
      <c r="P8" s="105">
        <v>3</v>
      </c>
      <c r="Q8" s="106">
        <f t="shared" si="25"/>
        <v>1169</v>
      </c>
      <c r="R8" s="99">
        <f t="shared" si="26"/>
        <v>924</v>
      </c>
      <c r="S8" s="99">
        <f t="shared" si="27"/>
        <v>1890</v>
      </c>
      <c r="T8" s="99">
        <f t="shared" si="28"/>
        <v>890</v>
      </c>
      <c r="U8" s="107">
        <f t="shared" si="29"/>
        <v>971</v>
      </c>
      <c r="AE8" s="109" t="s">
        <v>24</v>
      </c>
      <c r="AF8" s="108">
        <v>3</v>
      </c>
      <c r="AG8" s="106">
        <f t="shared" si="5"/>
        <v>1267</v>
      </c>
      <c r="AH8" s="99">
        <f t="shared" si="6"/>
        <v>1073</v>
      </c>
      <c r="AI8" s="99">
        <f t="shared" si="7"/>
        <v>994</v>
      </c>
      <c r="AJ8" s="99">
        <f t="shared" si="8"/>
        <v>667</v>
      </c>
      <c r="AK8" s="107">
        <f t="shared" si="9"/>
        <v>1026</v>
      </c>
      <c r="AV8" s="109" t="s">
        <v>24</v>
      </c>
      <c r="AW8" s="108">
        <v>3</v>
      </c>
      <c r="AX8" s="106">
        <f t="shared" si="10"/>
        <v>3965</v>
      </c>
      <c r="AY8" s="99">
        <f t="shared" si="11"/>
        <v>3929</v>
      </c>
      <c r="AZ8" s="99">
        <f t="shared" si="12"/>
        <v>3946</v>
      </c>
      <c r="BA8" s="99">
        <f t="shared" si="13"/>
        <v>2928</v>
      </c>
      <c r="BB8" s="107">
        <f t="shared" si="14"/>
        <v>2513</v>
      </c>
      <c r="BN8" s="39" t="s">
        <v>3</v>
      </c>
      <c r="BO8" s="65">
        <v>3</v>
      </c>
      <c r="BP8" s="58">
        <f t="shared" si="15"/>
        <v>4726.7759999999998</v>
      </c>
      <c r="BQ8" s="35">
        <f t="shared" si="16"/>
        <v>3105</v>
      </c>
      <c r="BR8" s="35">
        <f t="shared" si="17"/>
        <v>4137.24</v>
      </c>
      <c r="BS8" s="35">
        <f t="shared" si="18"/>
        <v>4094.46</v>
      </c>
      <c r="BT8" s="59">
        <f t="shared" si="19"/>
        <v>4220.5919999999996</v>
      </c>
      <c r="BX8" s="164" t="s">
        <v>53</v>
      </c>
      <c r="BY8" s="64">
        <v>3</v>
      </c>
      <c r="BZ8" s="168">
        <f t="shared" si="20"/>
        <v>655.95699999999999</v>
      </c>
      <c r="CA8" s="93">
        <f t="shared" si="21"/>
        <v>655.95699999999999</v>
      </c>
      <c r="CB8" s="93">
        <f t="shared" si="22"/>
        <v>655.95699999999999</v>
      </c>
      <c r="CC8" s="93">
        <f t="shared" si="23"/>
        <v>655.95699999999999</v>
      </c>
      <c r="CD8" s="169">
        <f t="shared" si="24"/>
        <v>655.95699999999999</v>
      </c>
      <c r="CF8" s="741" t="s">
        <v>63</v>
      </c>
      <c r="CG8" s="193" t="s">
        <v>1013</v>
      </c>
      <c r="CH8" s="735">
        <v>2</v>
      </c>
      <c r="CI8" s="120">
        <f t="shared" ref="CI8:CI17" si="141">INDEX($CF$68:$CW$679,MAX($CW$68:$CW$679)-12,$CH8)</f>
        <v>2.2238001939999998</v>
      </c>
      <c r="CJ8" s="120">
        <f t="shared" ref="CJ8:CJ18" si="142">INDEX($CF$68:$CW$679,MAX($CW$68:$CW$679)-3,$CH8)</f>
        <v>2.1594252900000002</v>
      </c>
      <c r="CK8" s="120">
        <f t="shared" ref="CK8:CK18" si="143">INDEX($CF$68:$CW$679,MAX($CW$68:$CW$679)-2,$CH8)</f>
        <v>2.1062939479999998</v>
      </c>
      <c r="CL8" s="120">
        <f t="shared" ref="CL8:CL18" si="144">INDEX($CF$68:$CW$679,MAX($CW$68:$CW$679)-1,$CH8)</f>
        <v>1.994299252</v>
      </c>
      <c r="CM8" s="742">
        <f t="shared" ref="CM8:CM18" si="145">INDEX($CF$68:$CW$679,MAX($CW$68:$CW$679),$CH8)</f>
        <v>1.9954015620000001</v>
      </c>
      <c r="CX8" s="364" t="s">
        <v>167</v>
      </c>
      <c r="CY8" s="365">
        <v>2</v>
      </c>
      <c r="CZ8" s="323">
        <f t="shared" ref="CZ8:CZ13" si="146">INDEX($CY$68:$DF$679,MAX($DF$68:$DF$679)-12,$CY8)</f>
        <v>151.014937</v>
      </c>
      <c r="DA8" s="280">
        <f t="shared" si="30"/>
        <v>189.72285200000002</v>
      </c>
      <c r="DB8" s="280">
        <f t="shared" ref="DB8:DB13" si="147">INDEX($CY$68:$DF$679,MAX($DF$68:$DF$679)-2,$CY8)</f>
        <v>180.06336799999997</v>
      </c>
      <c r="DC8" s="280">
        <f t="shared" ref="DC8:DC13" si="148">INDEX($CY$68:$DF$679,MAX($DF$68:$DF$679)-1,$CY8)</f>
        <v>174.309078</v>
      </c>
      <c r="DD8" s="281">
        <f t="shared" ref="DD8:DD13" si="149">INDEX($CY$68:$DF$679,MAX($DF$68:$DF$679),$CY8)</f>
        <v>162.20991100000003</v>
      </c>
      <c r="DH8" s="374"/>
      <c r="DI8" s="375" t="s">
        <v>194</v>
      </c>
      <c r="DJ8" s="378">
        <v>2</v>
      </c>
      <c r="DK8" s="324">
        <f t="shared" si="31"/>
        <v>511170</v>
      </c>
      <c r="DL8" s="182">
        <f t="shared" si="32"/>
        <v>520794</v>
      </c>
      <c r="DM8" s="182">
        <f t="shared" si="33"/>
        <v>523551</v>
      </c>
      <c r="DN8" s="182">
        <f t="shared" si="34"/>
        <v>524801</v>
      </c>
      <c r="DO8" s="290">
        <f t="shared" si="35"/>
        <v>525880</v>
      </c>
      <c r="DR8" s="275" t="s">
        <v>182</v>
      </c>
      <c r="DS8" s="315">
        <v>2</v>
      </c>
      <c r="DT8" s="165">
        <f t="shared" ref="DT8:DT14" si="150">INDEX($DQ$68:$DY$679,MAX($DY$68:$DY$679)-12,$DS8)</f>
        <v>79058.3</v>
      </c>
      <c r="DU8" s="166">
        <f t="shared" ref="DU8:DU14" si="151">INDEX($DQ$68:$DY$679,MAX($DY$68:$DY$679)-3,$DS8)</f>
        <v>70580.44</v>
      </c>
      <c r="DV8" s="166">
        <f t="shared" ref="DV8:DV14" si="152">INDEX($DQ$68:$DY$679,MAX($DY$68:$DY$679)-2,$DS8)</f>
        <v>73532.09</v>
      </c>
      <c r="DW8" s="166">
        <f t="shared" ref="DW8:DW14" si="153">INDEX($DQ$68:$DY$679,MAX($DY$68:$DY$679)-1,$DS8)</f>
        <v>72073.5</v>
      </c>
      <c r="DX8" s="167">
        <f t="shared" ref="DX8:DX14" si="154">INDEX($DQ$68:$DY$679,MAX($DY$68:$DY$679),$DS8)</f>
        <v>80344.83</v>
      </c>
      <c r="EA8" s="275" t="s">
        <v>201</v>
      </c>
      <c r="EB8" s="315">
        <v>2</v>
      </c>
      <c r="EC8" s="165">
        <f>INDEX($DZ$68:$ED$679,MAX($ED$68:$ED$679)-12,$EB8)</f>
        <v>7973</v>
      </c>
      <c r="ED8" s="166">
        <f>INDEX($DZ$68:$ED$679,MAX($ED$68:$ED$679)-3,$EB8)</f>
        <v>1498.5299999999988</v>
      </c>
      <c r="EE8" s="166">
        <f>INDEX($DZ$68:$ED$679,MAX($ED$68:$ED$679)-2,$EB8)</f>
        <v>2441.5</v>
      </c>
      <c r="EF8" s="166">
        <f>INDEX($DZ$68:$ED$679,MAX($ED$68:$ED$679)-1,$EB8)</f>
        <v>2098.5</v>
      </c>
      <c r="EG8" s="167">
        <f>INDEX($DZ$68:$ED$679,MAX($ED$68:$ED$679),$EB8)</f>
        <v>4508.18</v>
      </c>
      <c r="EJ8" s="421" t="s">
        <v>205</v>
      </c>
      <c r="EK8" s="422">
        <v>2</v>
      </c>
      <c r="EL8" s="429">
        <f t="shared" si="36"/>
        <v>24817</v>
      </c>
      <c r="EM8" s="280">
        <f t="shared" si="37"/>
        <v>22334</v>
      </c>
      <c r="EN8" s="280">
        <f t="shared" si="38"/>
        <v>20285</v>
      </c>
      <c r="EO8" s="280">
        <f t="shared" si="39"/>
        <v>20056</v>
      </c>
      <c r="EP8" s="281">
        <f t="shared" si="40"/>
        <v>23267</v>
      </c>
      <c r="ES8" s="421" t="s">
        <v>205</v>
      </c>
      <c r="ET8" s="422">
        <v>2</v>
      </c>
      <c r="EU8" s="429">
        <f t="shared" si="41"/>
        <v>23664</v>
      </c>
      <c r="EV8" s="280">
        <f t="shared" si="42"/>
        <v>20636</v>
      </c>
      <c r="EW8" s="280">
        <f t="shared" si="43"/>
        <v>18612</v>
      </c>
      <c r="EX8" s="280">
        <f t="shared" si="44"/>
        <v>18303</v>
      </c>
      <c r="EY8" s="281">
        <f t="shared" si="45"/>
        <v>22254</v>
      </c>
      <c r="FB8" s="421" t="s">
        <v>205</v>
      </c>
      <c r="FC8" s="422">
        <v>2</v>
      </c>
      <c r="FD8" s="429">
        <f t="shared" ref="FD8:FD16" si="155">INDEX($FA$68:$FK$679,MAX($FK$68:$FK$679)-12,$FC8)</f>
        <v>1153</v>
      </c>
      <c r="FE8" s="280">
        <f t="shared" ref="FE8:FE16" si="156">INDEX($FA$68:$FK$679,MAX($FK$68:$FK$679)-3,$FC8)</f>
        <v>1698</v>
      </c>
      <c r="FF8" s="280">
        <f t="shared" ref="FF8:FF16" si="157">INDEX($FA$68:$FK$679,MAX($FK$68:$FK$679)-2,$FC8)</f>
        <v>1673</v>
      </c>
      <c r="FG8" s="280">
        <f t="shared" ref="FG8:FG16" si="158">INDEX($FA$68:$FK$679,MAX($FK$68:$FK$679)-1,$FC8)</f>
        <v>1753</v>
      </c>
      <c r="FH8" s="281">
        <f t="shared" ref="FH8:FH16" si="159">INDEX($FA$68:$FK$679,MAX($FK$68:$FK$679),$FC8)</f>
        <v>1013</v>
      </c>
      <c r="FN8" s="480" t="s">
        <v>222</v>
      </c>
      <c r="FO8" s="483">
        <v>2</v>
      </c>
      <c r="FP8" s="484">
        <f t="shared" si="46"/>
        <v>123.24</v>
      </c>
      <c r="FQ8" s="485">
        <f t="shared" si="47"/>
        <v>125.6</v>
      </c>
      <c r="FR8" s="485">
        <f t="shared" si="48"/>
        <v>125.5</v>
      </c>
      <c r="FS8" s="485">
        <f t="shared" si="49"/>
        <v>126.32015672999999</v>
      </c>
      <c r="FT8" s="486">
        <f t="shared" si="50"/>
        <v>124.51924911000002</v>
      </c>
      <c r="GC8" s="275" t="s">
        <v>222</v>
      </c>
      <c r="GD8" s="315">
        <v>2</v>
      </c>
      <c r="GE8" s="484">
        <f t="shared" si="51"/>
        <v>123.24</v>
      </c>
      <c r="GF8" s="485">
        <f t="shared" si="52"/>
        <v>125.6</v>
      </c>
      <c r="GG8" s="485">
        <f t="shared" si="53"/>
        <v>125.5</v>
      </c>
      <c r="GH8" s="485">
        <f t="shared" si="54"/>
        <v>126.32015672999999</v>
      </c>
      <c r="GI8" s="486">
        <f t="shared" si="55"/>
        <v>124.51924911000002</v>
      </c>
      <c r="GS8" s="501" t="s">
        <v>252</v>
      </c>
      <c r="GT8" s="275"/>
      <c r="GU8" s="507"/>
      <c r="GV8" s="268"/>
      <c r="GW8" s="268"/>
      <c r="GX8" s="268"/>
      <c r="GY8" s="508"/>
      <c r="HT8" s="313" t="s">
        <v>289</v>
      </c>
      <c r="HU8" s="1511">
        <v>2</v>
      </c>
      <c r="HV8" s="484">
        <f t="shared" si="56"/>
        <v>297.78622436523438</v>
      </c>
      <c r="HW8" s="485">
        <f t="shared" si="57"/>
        <v>457.04803466796875</v>
      </c>
      <c r="HX8" s="485">
        <f t="shared" si="58"/>
        <v>430</v>
      </c>
      <c r="HY8" s="485">
        <f t="shared" si="59"/>
        <v>468</v>
      </c>
      <c r="HZ8" s="486">
        <f t="shared" si="60"/>
        <v>426</v>
      </c>
      <c r="IB8" s="275" t="s">
        <v>299</v>
      </c>
      <c r="IC8" s="1511">
        <v>10</v>
      </c>
      <c r="ID8" s="484">
        <f t="shared" si="61"/>
        <v>315.97811889648438</v>
      </c>
      <c r="IE8" s="485">
        <f t="shared" si="62"/>
        <v>409.89401245117188</v>
      </c>
      <c r="IF8" s="485">
        <f t="shared" si="63"/>
        <v>403</v>
      </c>
      <c r="IG8" s="485">
        <f t="shared" si="64"/>
        <v>401</v>
      </c>
      <c r="IH8" s="486">
        <f t="shared" si="65"/>
        <v>402</v>
      </c>
      <c r="IJ8" s="275" t="s">
        <v>289</v>
      </c>
      <c r="IK8" s="1511">
        <v>16</v>
      </c>
      <c r="IL8" s="484">
        <f t="shared" si="66"/>
        <v>193.70039558410645</v>
      </c>
      <c r="IM8" s="485">
        <f t="shared" si="67"/>
        <v>253.57142639160156</v>
      </c>
      <c r="IN8" s="485">
        <f t="shared" si="68"/>
        <v>246</v>
      </c>
      <c r="IO8" s="485">
        <f t="shared" si="69"/>
        <v>177</v>
      </c>
      <c r="IP8" s="486">
        <f t="shared" si="70"/>
        <v>224</v>
      </c>
      <c r="IR8" s="275" t="s">
        <v>299</v>
      </c>
      <c r="IS8" s="315">
        <v>25</v>
      </c>
      <c r="IT8" s="538">
        <f t="shared" si="71"/>
        <v>227.10349426269531</v>
      </c>
      <c r="IU8" s="485">
        <f t="shared" si="72"/>
        <v>296.85533650716144</v>
      </c>
      <c r="IV8" s="485">
        <f t="shared" si="73"/>
        <v>268</v>
      </c>
      <c r="IW8" s="485">
        <f t="shared" si="74"/>
        <v>260</v>
      </c>
      <c r="IX8" s="486">
        <f t="shared" si="75"/>
        <v>285</v>
      </c>
      <c r="IZ8" s="275" t="s">
        <v>313</v>
      </c>
      <c r="JA8" s="315">
        <v>32</v>
      </c>
      <c r="JB8" s="484">
        <f t="shared" si="76"/>
        <v>405.50108032226564</v>
      </c>
      <c r="JC8" s="485">
        <f t="shared" si="77"/>
        <v>410</v>
      </c>
      <c r="JD8" s="485">
        <f t="shared" si="78"/>
        <v>415</v>
      </c>
      <c r="JE8" s="485">
        <f t="shared" si="79"/>
        <v>411</v>
      </c>
      <c r="JF8" s="486">
        <f t="shared" si="80"/>
        <v>420</v>
      </c>
      <c r="JH8" s="275" t="s">
        <v>289</v>
      </c>
      <c r="JI8" s="315">
        <v>41</v>
      </c>
      <c r="JJ8" s="538">
        <f t="shared" si="81"/>
        <v>230.13322257995605</v>
      </c>
      <c r="JK8" s="485">
        <f t="shared" si="82"/>
        <v>276.15985488891602</v>
      </c>
      <c r="JL8" s="485">
        <f t="shared" si="83"/>
        <v>321</v>
      </c>
      <c r="JM8" s="485">
        <f t="shared" si="84"/>
        <v>339</v>
      </c>
      <c r="JN8" s="486">
        <f t="shared" si="85"/>
        <v>327</v>
      </c>
      <c r="JP8" s="275" t="s">
        <v>299</v>
      </c>
      <c r="JQ8" s="315">
        <v>50</v>
      </c>
      <c r="JR8" s="538">
        <f t="shared" si="86"/>
        <v>208.52799072265626</v>
      </c>
      <c r="JS8" s="485">
        <f t="shared" si="87"/>
        <v>287.769775390625</v>
      </c>
      <c r="JT8" s="485">
        <f t="shared" si="88"/>
        <v>301</v>
      </c>
      <c r="JU8" s="485">
        <f t="shared" si="89"/>
        <v>350</v>
      </c>
      <c r="JV8" s="486">
        <f t="shared" si="90"/>
        <v>308</v>
      </c>
      <c r="JX8" s="275" t="s">
        <v>368</v>
      </c>
      <c r="JY8" s="315">
        <v>2</v>
      </c>
      <c r="JZ8" s="538">
        <f t="shared" si="91"/>
        <v>0</v>
      </c>
      <c r="KA8" s="485">
        <f t="shared" si="92"/>
        <v>375000</v>
      </c>
      <c r="KB8" s="485">
        <f t="shared" si="93"/>
        <v>385500</v>
      </c>
      <c r="KC8" s="485">
        <f t="shared" si="94"/>
        <v>412500</v>
      </c>
      <c r="KD8" s="486">
        <f t="shared" si="95"/>
        <v>0</v>
      </c>
      <c r="KF8" s="275" t="s">
        <v>368</v>
      </c>
      <c r="KG8" s="315">
        <v>10</v>
      </c>
      <c r="KH8" s="538">
        <f t="shared" si="96"/>
        <v>0</v>
      </c>
      <c r="KI8" s="485">
        <f t="shared" si="97"/>
        <v>69375</v>
      </c>
      <c r="KJ8" s="485">
        <f t="shared" si="98"/>
        <v>70000</v>
      </c>
      <c r="KK8" s="485">
        <f t="shared" si="99"/>
        <v>82500</v>
      </c>
      <c r="KL8" s="486">
        <f t="shared" si="100"/>
        <v>0</v>
      </c>
      <c r="KN8" s="275" t="s">
        <v>368</v>
      </c>
      <c r="KO8" s="315">
        <v>17</v>
      </c>
      <c r="KP8" s="538">
        <f t="shared" si="101"/>
        <v>0</v>
      </c>
      <c r="KQ8" s="485">
        <f t="shared" si="102"/>
        <v>36125</v>
      </c>
      <c r="KR8" s="485">
        <f t="shared" si="103"/>
        <v>38100</v>
      </c>
      <c r="KS8" s="485">
        <f t="shared" si="104"/>
        <v>41125</v>
      </c>
      <c r="KT8" s="486">
        <f t="shared" si="105"/>
        <v>0</v>
      </c>
      <c r="KV8" s="275" t="s">
        <v>368</v>
      </c>
      <c r="KW8" s="315">
        <v>24</v>
      </c>
      <c r="KX8" s="538">
        <f t="shared" si="106"/>
        <v>0</v>
      </c>
      <c r="KY8" s="485">
        <f t="shared" si="107"/>
        <v>33750</v>
      </c>
      <c r="KZ8" s="485">
        <f t="shared" si="108"/>
        <v>35900</v>
      </c>
      <c r="LA8" s="485">
        <f t="shared" si="109"/>
        <v>36875</v>
      </c>
      <c r="LB8" s="486">
        <f t="shared" si="110"/>
        <v>0</v>
      </c>
      <c r="LD8" s="546" t="s">
        <v>337</v>
      </c>
      <c r="LE8" s="315">
        <v>2</v>
      </c>
      <c r="LF8" s="484">
        <f t="shared" si="111"/>
        <v>380</v>
      </c>
      <c r="LG8" s="485">
        <f t="shared" si="112"/>
        <v>380</v>
      </c>
      <c r="LH8" s="485">
        <f t="shared" si="113"/>
        <v>380</v>
      </c>
      <c r="LI8" s="485">
        <f t="shared" si="114"/>
        <v>380</v>
      </c>
      <c r="LJ8" s="486">
        <f t="shared" si="115"/>
        <v>380</v>
      </c>
      <c r="LL8" s="546" t="s">
        <v>347</v>
      </c>
      <c r="LM8" s="315">
        <v>10</v>
      </c>
      <c r="LN8" s="484">
        <f t="shared" si="116"/>
        <v>0</v>
      </c>
      <c r="LO8" s="485">
        <f t="shared" si="117"/>
        <v>0</v>
      </c>
      <c r="LP8" s="485">
        <f t="shared" si="118"/>
        <v>0</v>
      </c>
      <c r="LQ8" s="485">
        <f t="shared" si="119"/>
        <v>0</v>
      </c>
      <c r="LR8" s="486">
        <f t="shared" si="120"/>
        <v>0</v>
      </c>
      <c r="LT8" s="550" t="s">
        <v>175</v>
      </c>
      <c r="LU8" s="315">
        <v>17</v>
      </c>
      <c r="LV8" s="551"/>
      <c r="LW8" s="552"/>
      <c r="LX8" s="552"/>
      <c r="LY8" s="552"/>
      <c r="LZ8" s="553"/>
      <c r="MD8" s="546" t="s">
        <v>385</v>
      </c>
      <c r="ME8" s="563">
        <v>2</v>
      </c>
      <c r="MF8" s="429">
        <f t="shared" si="121"/>
        <v>2551.9444802460298</v>
      </c>
      <c r="MG8" s="280">
        <f t="shared" si="122"/>
        <v>2057.5893136305863</v>
      </c>
      <c r="MH8" s="280">
        <f t="shared" si="123"/>
        <v>2320.7005888735862</v>
      </c>
      <c r="MI8" s="280">
        <f t="shared" si="124"/>
        <v>2514.9203162335862</v>
      </c>
      <c r="MJ8" s="281">
        <f t="shared" si="125"/>
        <v>2746.8865690087646</v>
      </c>
      <c r="OF8" s="695" t="s">
        <v>444</v>
      </c>
      <c r="OG8" s="563">
        <v>2</v>
      </c>
      <c r="OH8" s="429">
        <f t="shared" si="126"/>
        <v>0</v>
      </c>
      <c r="OI8" s="280">
        <f t="shared" si="127"/>
        <v>0</v>
      </c>
      <c r="OJ8" s="280">
        <f t="shared" si="128"/>
        <v>0</v>
      </c>
      <c r="OK8" s="280">
        <f t="shared" si="129"/>
        <v>0</v>
      </c>
      <c r="OL8" s="281">
        <f t="shared" si="130"/>
        <v>0</v>
      </c>
      <c r="PD8" s="705" t="s">
        <v>469</v>
      </c>
      <c r="PE8" s="563"/>
      <c r="PF8" s="323"/>
      <c r="PG8" s="280"/>
      <c r="PH8" s="280"/>
      <c r="PI8" s="280"/>
      <c r="PJ8" s="281"/>
      <c r="QF8" s="1731" t="s">
        <v>490</v>
      </c>
      <c r="QG8" s="716">
        <v>54</v>
      </c>
      <c r="QH8" s="717">
        <f t="shared" si="136"/>
        <v>0</v>
      </c>
      <c r="QI8" s="718">
        <f t="shared" si="137"/>
        <v>0</v>
      </c>
      <c r="QJ8" s="718">
        <f t="shared" si="138"/>
        <v>0</v>
      </c>
      <c r="QK8" s="718">
        <f t="shared" si="139"/>
        <v>0</v>
      </c>
      <c r="QL8" s="719">
        <f t="shared" si="140"/>
        <v>0</v>
      </c>
      <c r="RO8" s="980" t="s">
        <v>719</v>
      </c>
      <c r="RP8" s="317">
        <v>89</v>
      </c>
      <c r="RQ8" s="981">
        <f>INDEX($OF$68:$RQ$679,MAX($RQ$68:$RQ$679)-12,$RP8)</f>
        <v>175</v>
      </c>
      <c r="RR8" s="718">
        <f>INDEX($OF$68:$RQ$679,MAX($RQ$68:$RQ$679)-3,$RP8)</f>
        <v>116.71668263660345</v>
      </c>
      <c r="RS8" s="718">
        <f>INDEX($OF$68:$RQ$679,MAX($RQ$68:$RQ$679)-2,$RP8)</f>
        <v>95</v>
      </c>
      <c r="RT8" s="718">
        <f>INDEX($OF$68:$RQ$679,MAX($RQ$68:$RQ$679)-1,$RP8)</f>
        <v>188</v>
      </c>
      <c r="RU8" s="719">
        <f>INDEX($OF$68:$RQ$679,MAX($RQ$68:$RQ$679),$RP8)</f>
        <v>109</v>
      </c>
    </row>
    <row r="9" spans="2:489" ht="26.25" customHeight="1" thickBot="1">
      <c r="B9" s="39" t="s">
        <v>4</v>
      </c>
      <c r="C9" s="65">
        <v>4</v>
      </c>
      <c r="D9" s="58">
        <f t="shared" si="0"/>
        <v>94</v>
      </c>
      <c r="E9" s="35">
        <f t="shared" si="1"/>
        <v>98</v>
      </c>
      <c r="F9" s="35">
        <f t="shared" si="2"/>
        <v>41</v>
      </c>
      <c r="G9" s="35">
        <f t="shared" si="3"/>
        <v>32</v>
      </c>
      <c r="H9" s="59">
        <f t="shared" si="4"/>
        <v>28</v>
      </c>
      <c r="O9" s="109" t="s">
        <v>25</v>
      </c>
      <c r="P9" s="105">
        <v>4</v>
      </c>
      <c r="Q9" s="106">
        <f t="shared" si="25"/>
        <v>13719</v>
      </c>
      <c r="R9" s="99">
        <f t="shared" si="26"/>
        <v>11491</v>
      </c>
      <c r="S9" s="99">
        <f t="shared" si="27"/>
        <v>24865</v>
      </c>
      <c r="T9" s="99">
        <f t="shared" si="28"/>
        <v>12720</v>
      </c>
      <c r="U9" s="107">
        <f t="shared" si="29"/>
        <v>14629</v>
      </c>
      <c r="AE9" s="109" t="s">
        <v>25</v>
      </c>
      <c r="AF9" s="108">
        <v>4</v>
      </c>
      <c r="AG9" s="106">
        <f t="shared" si="5"/>
        <v>4688</v>
      </c>
      <c r="AH9" s="99">
        <f t="shared" si="6"/>
        <v>6211</v>
      </c>
      <c r="AI9" s="99">
        <f t="shared" si="7"/>
        <v>6021</v>
      </c>
      <c r="AJ9" s="99">
        <f t="shared" si="8"/>
        <v>6426</v>
      </c>
      <c r="AK9" s="107">
        <f t="shared" si="9"/>
        <v>8039</v>
      </c>
      <c r="AV9" s="109" t="s">
        <v>25</v>
      </c>
      <c r="AW9" s="108">
        <v>4</v>
      </c>
      <c r="AX9" s="106">
        <f t="shared" si="10"/>
        <v>4335</v>
      </c>
      <c r="AY9" s="99">
        <f t="shared" si="11"/>
        <v>13757</v>
      </c>
      <c r="AZ9" s="99">
        <f t="shared" si="12"/>
        <v>11633</v>
      </c>
      <c r="BA9" s="99">
        <f t="shared" si="13"/>
        <v>10249</v>
      </c>
      <c r="BB9" s="107">
        <f t="shared" si="14"/>
        <v>12002</v>
      </c>
      <c r="BN9" s="39" t="s">
        <v>4</v>
      </c>
      <c r="BO9" s="65">
        <v>4</v>
      </c>
      <c r="BP9" s="58">
        <f t="shared" si="15"/>
        <v>18.8</v>
      </c>
      <c r="BQ9" s="35">
        <f t="shared" si="16"/>
        <v>19.600000000000001</v>
      </c>
      <c r="BR9" s="35">
        <f t="shared" si="17"/>
        <v>8.1999999999999993</v>
      </c>
      <c r="BS9" s="35">
        <f t="shared" si="18"/>
        <v>6.4</v>
      </c>
      <c r="BT9" s="59">
        <f t="shared" si="19"/>
        <v>5.6</v>
      </c>
      <c r="BX9" s="164" t="s">
        <v>54</v>
      </c>
      <c r="BY9" s="64">
        <v>4</v>
      </c>
      <c r="BZ9" s="168">
        <f t="shared" si="20"/>
        <v>664.39549999999997</v>
      </c>
      <c r="CA9" s="93">
        <f t="shared" si="21"/>
        <v>683.27</v>
      </c>
      <c r="CB9" s="93">
        <f t="shared" si="22"/>
        <v>687.08</v>
      </c>
      <c r="CC9" s="93">
        <f t="shared" si="23"/>
        <v>680.71</v>
      </c>
      <c r="CD9" s="169">
        <f t="shared" si="24"/>
        <v>695</v>
      </c>
      <c r="CF9" s="743" t="s">
        <v>65</v>
      </c>
      <c r="CG9" s="195" t="s">
        <v>1014</v>
      </c>
      <c r="CH9" s="736">
        <v>3</v>
      </c>
      <c r="CI9" s="82">
        <f t="shared" si="141"/>
        <v>1797.55</v>
      </c>
      <c r="CJ9" s="82">
        <f t="shared" si="142"/>
        <v>1915.95</v>
      </c>
      <c r="CK9" s="82">
        <f t="shared" si="143"/>
        <v>1916.25</v>
      </c>
      <c r="CL9" s="82">
        <f t="shared" si="144"/>
        <v>1984.11</v>
      </c>
      <c r="CM9" s="744">
        <f t="shared" si="145"/>
        <v>2026.18</v>
      </c>
      <c r="CX9" s="366" t="s">
        <v>168</v>
      </c>
      <c r="CY9" s="365">
        <v>3</v>
      </c>
      <c r="CZ9" s="324">
        <f t="shared" si="146"/>
        <v>79.949066000000002</v>
      </c>
      <c r="DA9" s="182">
        <f t="shared" si="30"/>
        <v>105.404245</v>
      </c>
      <c r="DB9" s="182">
        <f t="shared" si="147"/>
        <v>94.472492000000003</v>
      </c>
      <c r="DC9" s="182">
        <f t="shared" si="148"/>
        <v>86.583000999999996</v>
      </c>
      <c r="DD9" s="282">
        <f t="shared" si="149"/>
        <v>78.165429000000003</v>
      </c>
      <c r="DH9" s="2166" t="s">
        <v>195</v>
      </c>
      <c r="DI9" s="376" t="s">
        <v>175</v>
      </c>
      <c r="DJ9" s="379">
        <v>3</v>
      </c>
      <c r="DK9" s="324">
        <f t="shared" si="31"/>
        <v>5342576</v>
      </c>
      <c r="DL9" s="182">
        <f t="shared" si="32"/>
        <v>4974079</v>
      </c>
      <c r="DM9" s="182">
        <f t="shared" si="33"/>
        <v>5188741</v>
      </c>
      <c r="DN9" s="182">
        <f t="shared" si="34"/>
        <v>5403856</v>
      </c>
      <c r="DO9" s="290">
        <f t="shared" si="35"/>
        <v>5493981</v>
      </c>
      <c r="DR9" s="91" t="s">
        <v>183</v>
      </c>
      <c r="DS9" s="316">
        <v>3</v>
      </c>
      <c r="DT9" s="168">
        <f t="shared" si="150"/>
        <v>748</v>
      </c>
      <c r="DU9" s="93">
        <f t="shared" si="151"/>
        <v>141</v>
      </c>
      <c r="DV9" s="93">
        <f t="shared" si="152"/>
        <v>109</v>
      </c>
      <c r="DW9" s="93">
        <f t="shared" si="153"/>
        <v>148.5</v>
      </c>
      <c r="DX9" s="169">
        <f t="shared" si="154"/>
        <v>550.5</v>
      </c>
      <c r="EA9" s="91" t="s">
        <v>202</v>
      </c>
      <c r="EB9" s="316">
        <v>3</v>
      </c>
      <c r="EC9" s="168">
        <f>INDEX($DZ$68:$ED$679,MAX($ED$68:$ED$679)-12,$EB9)</f>
        <v>65168</v>
      </c>
      <c r="ED9" s="93">
        <f>INDEX($DZ$68:$ED$679,MAX($ED$68:$ED$679)-3,$EB9)</f>
        <v>64326.499999999985</v>
      </c>
      <c r="EE9" s="93">
        <f>INDEX($DZ$68:$ED$679,MAX($ED$68:$ED$679)-2,$EB9)</f>
        <v>58620.200000000004</v>
      </c>
      <c r="EF9" s="93">
        <f>INDEX($DZ$68:$ED$679,MAX($ED$68:$ED$679)-1,$EB9)</f>
        <v>58938.3</v>
      </c>
      <c r="EG9" s="169">
        <f>INDEX($DZ$68:$ED$679,MAX($ED$68:$ED$679),$EB9)</f>
        <v>67167.100000000006</v>
      </c>
      <c r="EJ9" s="421" t="s">
        <v>206</v>
      </c>
      <c r="EK9" s="422">
        <v>3</v>
      </c>
      <c r="EL9" s="430">
        <f t="shared" si="36"/>
        <v>20258</v>
      </c>
      <c r="EM9" s="182">
        <f t="shared" si="37"/>
        <v>23744</v>
      </c>
      <c r="EN9" s="182">
        <f t="shared" si="38"/>
        <v>21307</v>
      </c>
      <c r="EO9" s="182">
        <f t="shared" si="39"/>
        <v>20152</v>
      </c>
      <c r="EP9" s="282">
        <f t="shared" si="40"/>
        <v>19147</v>
      </c>
      <c r="ES9" s="421" t="s">
        <v>206</v>
      </c>
      <c r="ET9" s="422">
        <v>3</v>
      </c>
      <c r="EU9" s="430">
        <f t="shared" si="41"/>
        <v>19131</v>
      </c>
      <c r="EV9" s="182">
        <f t="shared" si="42"/>
        <v>22062</v>
      </c>
      <c r="EW9" s="182">
        <f t="shared" si="43"/>
        <v>19633</v>
      </c>
      <c r="EX9" s="182">
        <f t="shared" si="44"/>
        <v>18467</v>
      </c>
      <c r="EY9" s="282">
        <f t="shared" si="45"/>
        <v>18100</v>
      </c>
      <c r="FB9" s="421" t="s">
        <v>206</v>
      </c>
      <c r="FC9" s="422">
        <v>3</v>
      </c>
      <c r="FD9" s="430">
        <f t="shared" si="155"/>
        <v>1127</v>
      </c>
      <c r="FE9" s="182">
        <f t="shared" si="156"/>
        <v>1682</v>
      </c>
      <c r="FF9" s="182">
        <f t="shared" si="157"/>
        <v>1674</v>
      </c>
      <c r="FG9" s="182">
        <f t="shared" si="158"/>
        <v>1685</v>
      </c>
      <c r="FH9" s="282">
        <f t="shared" si="159"/>
        <v>1047</v>
      </c>
      <c r="FN9" s="481" t="s">
        <v>223</v>
      </c>
      <c r="FO9" s="422">
        <v>3</v>
      </c>
      <c r="FP9" s="106">
        <f t="shared" si="46"/>
        <v>138.97999999999999</v>
      </c>
      <c r="FQ9" s="99">
        <f t="shared" si="47"/>
        <v>140</v>
      </c>
      <c r="FR9" s="99">
        <f t="shared" si="48"/>
        <v>139.9</v>
      </c>
      <c r="FS9" s="99">
        <f t="shared" si="49"/>
        <v>140.69999999999999</v>
      </c>
      <c r="FT9" s="107">
        <f t="shared" si="50"/>
        <v>137.51</v>
      </c>
      <c r="GC9" s="91" t="s">
        <v>238</v>
      </c>
      <c r="GD9" s="316">
        <v>3</v>
      </c>
      <c r="GE9" s="106">
        <f t="shared" si="51"/>
        <v>109.63</v>
      </c>
      <c r="GF9" s="99">
        <f t="shared" si="52"/>
        <v>112.3</v>
      </c>
      <c r="GG9" s="99">
        <f t="shared" si="53"/>
        <v>111.9</v>
      </c>
      <c r="GH9" s="99">
        <f t="shared" si="54"/>
        <v>112.88</v>
      </c>
      <c r="GI9" s="107">
        <f t="shared" si="55"/>
        <v>113.17</v>
      </c>
      <c r="GS9" s="502" t="s">
        <v>254</v>
      </c>
      <c r="GT9" s="315">
        <v>2</v>
      </c>
      <c r="GU9" s="484">
        <f t="shared" ref="GU9:GU14" si="160">INDEX($GP$68:$HR$679,MAX($HR$68:$HR$679)-12,$GT9)</f>
        <v>457</v>
      </c>
      <c r="GV9" s="485">
        <f t="shared" ref="GV9:GV14" si="161">INDEX($GP$68:$HR$679,MAX($HR$68:$HR$679)-3,$GT9)</f>
        <v>391</v>
      </c>
      <c r="GW9" s="485">
        <f t="shared" ref="GW9:GW14" si="162">INDEX($GP$68:$HR$679,MAX($HR$68:$HR$679)-2,$GT9)</f>
        <v>371</v>
      </c>
      <c r="GX9" s="485">
        <f t="shared" ref="GX9:GX14" si="163">INDEX($GP$68:$HR$679,MAX($HR$68:$HR$679)-1,$GT9)</f>
        <v>380</v>
      </c>
      <c r="GY9" s="486">
        <f t="shared" ref="GY9:GY14" si="164">INDEX($GP$68:$HR$679,MAX($HR$68:$HR$679),$GT9)</f>
        <v>361</v>
      </c>
      <c r="HT9" s="313" t="s">
        <v>157</v>
      </c>
      <c r="HU9" s="1512">
        <v>3</v>
      </c>
      <c r="HV9" s="106">
        <f t="shared" si="56"/>
        <v>333.33334350585938</v>
      </c>
      <c r="HW9" s="99">
        <f t="shared" si="57"/>
        <v>435.15390624999998</v>
      </c>
      <c r="HX9" s="99">
        <f t="shared" si="58"/>
        <v>387</v>
      </c>
      <c r="HY9" s="99">
        <f t="shared" si="59"/>
        <v>404</v>
      </c>
      <c r="HZ9" s="107">
        <f t="shared" si="60"/>
        <v>407</v>
      </c>
      <c r="IB9" s="91" t="s">
        <v>300</v>
      </c>
      <c r="IC9" s="1512">
        <v>11</v>
      </c>
      <c r="ID9" s="106">
        <f t="shared" si="61"/>
        <v>199.11595916748047</v>
      </c>
      <c r="IE9" s="99">
        <f t="shared" si="62"/>
        <v>316.41771697998047</v>
      </c>
      <c r="IF9" s="99">
        <f t="shared" si="63"/>
        <v>313</v>
      </c>
      <c r="IG9" s="99">
        <f t="shared" si="64"/>
        <v>285</v>
      </c>
      <c r="IH9" s="107">
        <f t="shared" si="65"/>
        <v>214</v>
      </c>
      <c r="IJ9" s="91" t="s">
        <v>157</v>
      </c>
      <c r="IK9" s="1512">
        <v>17</v>
      </c>
      <c r="IL9" s="106">
        <f t="shared" si="66"/>
        <v>273.22402954101563</v>
      </c>
      <c r="IM9" s="99">
        <f t="shared" si="67"/>
        <v>323.2581848144531</v>
      </c>
      <c r="IN9" s="99">
        <f t="shared" si="68"/>
        <v>322</v>
      </c>
      <c r="IO9" s="99">
        <f t="shared" si="69"/>
        <v>331</v>
      </c>
      <c r="IP9" s="107">
        <f t="shared" si="70"/>
        <v>281</v>
      </c>
      <c r="IR9" s="91" t="s">
        <v>300</v>
      </c>
      <c r="IS9" s="316">
        <v>26</v>
      </c>
      <c r="IT9" s="220">
        <f t="shared" si="71"/>
        <v>157.05127716064453</v>
      </c>
      <c r="IU9" s="99">
        <f t="shared" si="72"/>
        <v>192.77201843261719</v>
      </c>
      <c r="IV9" s="99">
        <f t="shared" si="73"/>
        <v>121</v>
      </c>
      <c r="IW9" s="99">
        <f t="shared" si="74"/>
        <v>137</v>
      </c>
      <c r="IX9" s="107">
        <f t="shared" si="75"/>
        <v>162</v>
      </c>
      <c r="IZ9" s="91" t="s">
        <v>157</v>
      </c>
      <c r="JA9" s="316">
        <v>33</v>
      </c>
      <c r="JB9" s="106">
        <f t="shared" si="76"/>
        <v>410.7526824951172</v>
      </c>
      <c r="JC9" s="99">
        <f t="shared" si="77"/>
        <v>465.32258300781251</v>
      </c>
      <c r="JD9" s="99">
        <f t="shared" si="78"/>
        <v>435</v>
      </c>
      <c r="JE9" s="99">
        <f t="shared" si="79"/>
        <v>440</v>
      </c>
      <c r="JF9" s="107">
        <f t="shared" si="80"/>
        <v>425</v>
      </c>
      <c r="JH9" s="91" t="s">
        <v>157</v>
      </c>
      <c r="JI9" s="316">
        <v>42</v>
      </c>
      <c r="JJ9" s="220">
        <f t="shared" si="81"/>
        <v>273.22402954101563</v>
      </c>
      <c r="JK9" s="99">
        <f t="shared" si="82"/>
        <v>384.93851623535159</v>
      </c>
      <c r="JL9" s="99">
        <f t="shared" si="83"/>
        <v>338</v>
      </c>
      <c r="JM9" s="99">
        <f t="shared" si="84"/>
        <v>337</v>
      </c>
      <c r="JN9" s="107">
        <f t="shared" si="85"/>
        <v>334</v>
      </c>
      <c r="JP9" s="91" t="s">
        <v>300</v>
      </c>
      <c r="JQ9" s="316">
        <v>51</v>
      </c>
      <c r="JR9" s="220">
        <f t="shared" si="86"/>
        <v>148.33743667602539</v>
      </c>
      <c r="JS9" s="99">
        <f t="shared" si="87"/>
        <v>244.15171432495117</v>
      </c>
      <c r="JT9" s="99">
        <f t="shared" si="88"/>
        <v>226</v>
      </c>
      <c r="JU9" s="99">
        <f t="shared" si="89"/>
        <v>168</v>
      </c>
      <c r="JV9" s="107">
        <f t="shared" si="90"/>
        <v>148</v>
      </c>
      <c r="JX9" s="91" t="s">
        <v>369</v>
      </c>
      <c r="JY9" s="316">
        <v>3</v>
      </c>
      <c r="JZ9" s="220">
        <f t="shared" si="91"/>
        <v>0</v>
      </c>
      <c r="KA9" s="99">
        <f t="shared" si="92"/>
        <v>338846</v>
      </c>
      <c r="KB9" s="99">
        <f t="shared" si="93"/>
        <v>339583</v>
      </c>
      <c r="KC9" s="99">
        <f t="shared" si="94"/>
        <v>338182</v>
      </c>
      <c r="KD9" s="107">
        <f t="shared" si="95"/>
        <v>0</v>
      </c>
      <c r="KF9" s="91" t="s">
        <v>369</v>
      </c>
      <c r="KG9" s="316">
        <v>11</v>
      </c>
      <c r="KH9" s="220">
        <f t="shared" si="96"/>
        <v>0</v>
      </c>
      <c r="KI9" s="99">
        <f t="shared" si="97"/>
        <v>42385</v>
      </c>
      <c r="KJ9" s="99">
        <f t="shared" si="98"/>
        <v>56625</v>
      </c>
      <c r="KK9" s="99">
        <f t="shared" si="99"/>
        <v>56042</v>
      </c>
      <c r="KL9" s="107">
        <f t="shared" si="100"/>
        <v>0</v>
      </c>
      <c r="KN9" s="91" t="s">
        <v>369</v>
      </c>
      <c r="KO9" s="316">
        <v>18</v>
      </c>
      <c r="KP9" s="220">
        <f t="shared" si="101"/>
        <v>0</v>
      </c>
      <c r="KQ9" s="99">
        <f t="shared" si="102"/>
        <v>17558</v>
      </c>
      <c r="KR9" s="99">
        <f t="shared" si="103"/>
        <v>21125</v>
      </c>
      <c r="KS9" s="99">
        <f t="shared" si="104"/>
        <v>20542</v>
      </c>
      <c r="KT9" s="107">
        <f t="shared" si="105"/>
        <v>0</v>
      </c>
      <c r="KV9" s="91" t="s">
        <v>369</v>
      </c>
      <c r="KW9" s="316">
        <v>25</v>
      </c>
      <c r="KX9" s="220">
        <f t="shared" si="106"/>
        <v>0</v>
      </c>
      <c r="KY9" s="99">
        <f t="shared" si="107"/>
        <v>29654</v>
      </c>
      <c r="KZ9" s="99">
        <f t="shared" si="108"/>
        <v>30542</v>
      </c>
      <c r="LA9" s="99">
        <f t="shared" si="109"/>
        <v>31125</v>
      </c>
      <c r="LB9" s="107">
        <f t="shared" si="110"/>
        <v>0</v>
      </c>
      <c r="LD9" s="547" t="s">
        <v>338</v>
      </c>
      <c r="LE9" s="316">
        <v>3</v>
      </c>
      <c r="LF9" s="168">
        <f t="shared" si="111"/>
        <v>610</v>
      </c>
      <c r="LG9" s="93">
        <f t="shared" si="112"/>
        <v>610</v>
      </c>
      <c r="LH9" s="93">
        <f t="shared" si="113"/>
        <v>610</v>
      </c>
      <c r="LI9" s="93">
        <f t="shared" si="114"/>
        <v>610</v>
      </c>
      <c r="LJ9" s="169">
        <f t="shared" si="115"/>
        <v>610</v>
      </c>
      <c r="LL9" s="91" t="s">
        <v>348</v>
      </c>
      <c r="LM9" s="316">
        <v>11</v>
      </c>
      <c r="LN9" s="168">
        <f t="shared" si="116"/>
        <v>0</v>
      </c>
      <c r="LO9" s="93">
        <f t="shared" si="117"/>
        <v>0</v>
      </c>
      <c r="LP9" s="93">
        <f t="shared" si="118"/>
        <v>0</v>
      </c>
      <c r="LQ9" s="93">
        <f t="shared" si="119"/>
        <v>0</v>
      </c>
      <c r="LR9" s="169">
        <f t="shared" si="120"/>
        <v>0</v>
      </c>
      <c r="LT9" s="91" t="s">
        <v>352</v>
      </c>
      <c r="LU9" s="316">
        <v>18</v>
      </c>
      <c r="LV9" s="168">
        <f>INDEX($LA$68:$MB$679,MAX($MB$68:$MB$679)-12,$LU9)</f>
        <v>188</v>
      </c>
      <c r="LW9" s="93">
        <f>INDEX($LA$68:$MB$679,MAX($MB$68:$MB$679)-3,$LU9)</f>
        <v>188</v>
      </c>
      <c r="LX9" s="93">
        <f>INDEX($LA$68:$MB$679,MAX($MB$68:$MB$679)-2,$LU9)</f>
        <v>188</v>
      </c>
      <c r="LY9" s="93">
        <f>INDEX($LA$68:$MB$679,MAX($MB$68:$MB$679)-1,$LU9)</f>
        <v>188</v>
      </c>
      <c r="LZ9" s="169">
        <f>INDEX($LA$68:$MB$679,MAX($MB$68:$MB$679),$LU9)</f>
        <v>188</v>
      </c>
      <c r="MD9" s="564" t="s">
        <v>386</v>
      </c>
      <c r="ME9" s="566">
        <v>3</v>
      </c>
      <c r="MF9" s="430">
        <f t="shared" si="121"/>
        <v>2288.2530338894558</v>
      </c>
      <c r="MG9" s="182">
        <f t="shared" si="122"/>
        <v>1863.2286064845614</v>
      </c>
      <c r="MH9" s="182">
        <f t="shared" si="123"/>
        <v>2124.2092202315616</v>
      </c>
      <c r="MI9" s="182">
        <f t="shared" si="124"/>
        <v>2316.0459779625617</v>
      </c>
      <c r="MJ9" s="282">
        <f t="shared" si="125"/>
        <v>2543.3855251855616</v>
      </c>
      <c r="OF9" s="696" t="s">
        <v>445</v>
      </c>
      <c r="OG9" s="316">
        <v>3</v>
      </c>
      <c r="OH9" s="430">
        <f t="shared" si="126"/>
        <v>828.74838173000012</v>
      </c>
      <c r="OI9" s="182">
        <f t="shared" si="127"/>
        <v>933.14057847800018</v>
      </c>
      <c r="OJ9" s="182">
        <f t="shared" si="128"/>
        <v>909.10119619900001</v>
      </c>
      <c r="OK9" s="182">
        <f t="shared" si="129"/>
        <v>936.48323727700006</v>
      </c>
      <c r="OL9" s="282">
        <f t="shared" si="130"/>
        <v>986.10114882400012</v>
      </c>
      <c r="PD9" s="706" t="s">
        <v>454</v>
      </c>
      <c r="PE9" s="316">
        <f>HLOOKUP(PD9,$PE$67:$QE$680,614,0)</f>
        <v>27</v>
      </c>
      <c r="PF9" s="324">
        <f t="shared" si="131"/>
        <v>-624.09032409300016</v>
      </c>
      <c r="PG9" s="182">
        <f t="shared" si="132"/>
        <v>-377.72911350600009</v>
      </c>
      <c r="PH9" s="182">
        <f t="shared" si="133"/>
        <v>-320.50269724099996</v>
      </c>
      <c r="PI9" s="182">
        <f t="shared" si="134"/>
        <v>-334.61732514000005</v>
      </c>
      <c r="PJ9" s="282">
        <f t="shared" si="135"/>
        <v>-372.52078992099985</v>
      </c>
      <c r="QF9" s="1732" t="s">
        <v>454</v>
      </c>
      <c r="QG9" s="316">
        <f>HLOOKUP(QF9,$QG$67:$RQ$680,614,0)</f>
        <v>55</v>
      </c>
      <c r="QH9" s="429">
        <f t="shared" si="136"/>
        <v>2596.1610000000001</v>
      </c>
      <c r="QI9" s="280">
        <f t="shared" si="137"/>
        <v>2278.5110000000004</v>
      </c>
      <c r="QJ9" s="280">
        <f t="shared" si="138"/>
        <v>2111.5820000000003</v>
      </c>
      <c r="QK9" s="280">
        <f t="shared" si="139"/>
        <v>2038.0520000000001</v>
      </c>
      <c r="QL9" s="281">
        <f t="shared" si="140"/>
        <v>1998.8049999999998</v>
      </c>
      <c r="RO9" t="s">
        <v>1041</v>
      </c>
    </row>
    <row r="10" spans="2:489" ht="25.5" customHeight="1" thickBot="1">
      <c r="B10" s="39" t="s">
        <v>5</v>
      </c>
      <c r="C10" s="65">
        <v>5</v>
      </c>
      <c r="D10" s="58">
        <f t="shared" si="0"/>
        <v>0</v>
      </c>
      <c r="E10" s="35">
        <f t="shared" si="1"/>
        <v>0</v>
      </c>
      <c r="F10" s="35">
        <f t="shared" si="2"/>
        <v>0</v>
      </c>
      <c r="G10" s="35">
        <f t="shared" si="3"/>
        <v>0</v>
      </c>
      <c r="H10" s="59">
        <f t="shared" si="4"/>
        <v>0</v>
      </c>
      <c r="O10" s="109" t="s">
        <v>26</v>
      </c>
      <c r="P10" s="105">
        <v>5</v>
      </c>
      <c r="Q10" s="106">
        <f t="shared" si="25"/>
        <v>2897</v>
      </c>
      <c r="R10" s="99">
        <f t="shared" si="26"/>
        <v>2583</v>
      </c>
      <c r="S10" s="99">
        <f t="shared" si="27"/>
        <v>5335</v>
      </c>
      <c r="T10" s="99">
        <f t="shared" si="28"/>
        <v>2862</v>
      </c>
      <c r="U10" s="107">
        <f t="shared" si="29"/>
        <v>3514</v>
      </c>
      <c r="AE10" s="109" t="s">
        <v>26</v>
      </c>
      <c r="AF10" s="108">
        <v>5</v>
      </c>
      <c r="AG10" s="106">
        <f t="shared" si="5"/>
        <v>5725</v>
      </c>
      <c r="AH10" s="99">
        <f t="shared" si="6"/>
        <v>3926</v>
      </c>
      <c r="AI10" s="99">
        <f t="shared" si="7"/>
        <v>4584</v>
      </c>
      <c r="AJ10" s="99">
        <f t="shared" si="8"/>
        <v>4319</v>
      </c>
      <c r="AK10" s="107">
        <f t="shared" si="9"/>
        <v>3905</v>
      </c>
      <c r="AV10" s="109" t="s">
        <v>26</v>
      </c>
      <c r="AW10" s="108">
        <v>5</v>
      </c>
      <c r="AX10" s="106">
        <f t="shared" si="10"/>
        <v>14038</v>
      </c>
      <c r="AY10" s="99">
        <f t="shared" si="11"/>
        <v>14211</v>
      </c>
      <c r="AZ10" s="99">
        <f t="shared" si="12"/>
        <v>11995</v>
      </c>
      <c r="BA10" s="99">
        <f t="shared" si="13"/>
        <v>14727</v>
      </c>
      <c r="BB10" s="107">
        <f t="shared" si="14"/>
        <v>13504</v>
      </c>
      <c r="BN10" s="39" t="s">
        <v>6</v>
      </c>
      <c r="BO10" s="65">
        <v>5</v>
      </c>
      <c r="BP10" s="58">
        <f t="shared" si="15"/>
        <v>2888.8919999999998</v>
      </c>
      <c r="BQ10" s="35">
        <f t="shared" si="16"/>
        <v>726.07500000000005</v>
      </c>
      <c r="BR10" s="35">
        <f t="shared" si="17"/>
        <v>726.15599999999995</v>
      </c>
      <c r="BS10" s="35">
        <f t="shared" si="18"/>
        <v>648.9</v>
      </c>
      <c r="BT10" s="59">
        <f t="shared" si="19"/>
        <v>578.49300000000005</v>
      </c>
      <c r="BX10" s="164" t="s">
        <v>55</v>
      </c>
      <c r="BY10" s="64">
        <v>5</v>
      </c>
      <c r="BZ10" s="168">
        <f t="shared" si="20"/>
        <v>35.861359</v>
      </c>
      <c r="CA10" s="93">
        <f t="shared" si="21"/>
        <v>32.378999999999998</v>
      </c>
      <c r="CB10" s="93">
        <f t="shared" si="22"/>
        <v>32.610999999999997</v>
      </c>
      <c r="CC10" s="93">
        <f t="shared" si="23"/>
        <v>32.679000000000002</v>
      </c>
      <c r="CD10" s="169">
        <f t="shared" si="24"/>
        <v>32.250999999999998</v>
      </c>
      <c r="CF10" s="745" t="s">
        <v>67</v>
      </c>
      <c r="CG10" s="197" t="s">
        <v>1015</v>
      </c>
      <c r="CH10" s="736">
        <v>4</v>
      </c>
      <c r="CI10" s="81">
        <f t="shared" si="141"/>
        <v>78.066666666670002</v>
      </c>
      <c r="CJ10" s="81">
        <f t="shared" si="142"/>
        <v>92.22</v>
      </c>
      <c r="CK10" s="81">
        <f t="shared" si="143"/>
        <v>89.083666666669998</v>
      </c>
      <c r="CL10" s="81">
        <f t="shared" si="144"/>
        <v>81.354333333330004</v>
      </c>
      <c r="CM10" s="746">
        <f t="shared" si="145"/>
        <v>75.719333333329999</v>
      </c>
      <c r="CX10" s="366" t="s">
        <v>169</v>
      </c>
      <c r="CY10" s="365">
        <v>4</v>
      </c>
      <c r="CZ10" s="324">
        <f t="shared" si="146"/>
        <v>53.604885000000003</v>
      </c>
      <c r="DA10" s="182">
        <f t="shared" si="30"/>
        <v>66.065570687645703</v>
      </c>
      <c r="DB10" s="182">
        <f t="shared" si="147"/>
        <v>67.216130761072293</v>
      </c>
      <c r="DC10" s="182">
        <f t="shared" si="148"/>
        <v>69.229622834498798</v>
      </c>
      <c r="DD10" s="282">
        <f t="shared" si="149"/>
        <v>65.426318907925406</v>
      </c>
      <c r="DH10" s="2166"/>
      <c r="DI10" s="376" t="s">
        <v>176</v>
      </c>
      <c r="DJ10" s="379">
        <v>4</v>
      </c>
      <c r="DK10" s="324">
        <f t="shared" si="31"/>
        <v>293353</v>
      </c>
      <c r="DL10" s="182">
        <f t="shared" si="32"/>
        <v>276454</v>
      </c>
      <c r="DM10" s="182">
        <f t="shared" si="33"/>
        <v>290997</v>
      </c>
      <c r="DN10" s="182">
        <f t="shared" si="34"/>
        <v>283704</v>
      </c>
      <c r="DO10" s="290">
        <f t="shared" si="35"/>
        <v>303414</v>
      </c>
      <c r="DR10" s="91" t="s">
        <v>184</v>
      </c>
      <c r="DS10" s="316">
        <v>4</v>
      </c>
      <c r="DT10" s="168">
        <f t="shared" si="150"/>
        <v>73554.14</v>
      </c>
      <c r="DU10" s="93">
        <f t="shared" si="151"/>
        <v>67815.02</v>
      </c>
      <c r="DV10" s="93">
        <f t="shared" si="152"/>
        <v>63881.440000000002</v>
      </c>
      <c r="DW10" s="93">
        <f t="shared" si="153"/>
        <v>63941.1</v>
      </c>
      <c r="DX10" s="169">
        <f t="shared" si="154"/>
        <v>72085.149999999994</v>
      </c>
      <c r="EA10" s="418" t="s">
        <v>203</v>
      </c>
      <c r="EB10" s="317">
        <v>4</v>
      </c>
      <c r="EC10" s="170">
        <f>INDEX($DZ$68:$ED$679,MAX($ED$68:$ED$679)-12,$EB10)</f>
        <v>0</v>
      </c>
      <c r="ED10" s="171">
        <f>INDEX($DZ$68:$ED$679,MAX($ED$68:$ED$679)-3,$EB10)</f>
        <v>0</v>
      </c>
      <c r="EE10" s="171">
        <f>INDEX($DZ$68:$ED$679,MAX($ED$68:$ED$679)-2,$EB10)</f>
        <v>0</v>
      </c>
      <c r="EF10" s="171">
        <f>INDEX($DZ$68:$ED$679,MAX($ED$68:$ED$679)-1,$EB10)</f>
        <v>0</v>
      </c>
      <c r="EG10" s="172">
        <f>INDEX($DZ$68:$ED$679,MAX($ED$68:$ED$679),$EB10)</f>
        <v>0</v>
      </c>
      <c r="EJ10" s="421" t="s">
        <v>207</v>
      </c>
      <c r="EK10" s="422">
        <v>4</v>
      </c>
      <c r="EL10" s="430">
        <f t="shared" si="36"/>
        <v>56382</v>
      </c>
      <c r="EM10" s="182">
        <f t="shared" si="37"/>
        <v>55850</v>
      </c>
      <c r="EN10" s="182">
        <f t="shared" si="38"/>
        <v>51749</v>
      </c>
      <c r="EO10" s="182">
        <f t="shared" si="39"/>
        <v>49929</v>
      </c>
      <c r="EP10" s="282">
        <f t="shared" si="40"/>
        <v>52590</v>
      </c>
      <c r="ES10" s="421" t="s">
        <v>207</v>
      </c>
      <c r="ET10" s="422">
        <v>4</v>
      </c>
      <c r="EU10" s="430">
        <f t="shared" si="41"/>
        <v>42795</v>
      </c>
      <c r="EV10" s="182">
        <f t="shared" si="42"/>
        <v>42698</v>
      </c>
      <c r="EW10" s="182">
        <f t="shared" si="43"/>
        <v>38245</v>
      </c>
      <c r="EX10" s="182">
        <f t="shared" si="44"/>
        <v>36770</v>
      </c>
      <c r="EY10" s="282">
        <f t="shared" si="45"/>
        <v>40354</v>
      </c>
      <c r="FB10" s="421" t="s">
        <v>207</v>
      </c>
      <c r="FC10" s="422">
        <v>4</v>
      </c>
      <c r="FD10" s="430">
        <f t="shared" si="155"/>
        <v>2280</v>
      </c>
      <c r="FE10" s="182">
        <f t="shared" si="156"/>
        <v>3380</v>
      </c>
      <c r="FF10" s="182">
        <f t="shared" si="157"/>
        <v>3347</v>
      </c>
      <c r="FG10" s="182">
        <f t="shared" si="158"/>
        <v>3438</v>
      </c>
      <c r="FH10" s="282">
        <f t="shared" si="159"/>
        <v>2060</v>
      </c>
      <c r="FN10" s="481" t="s">
        <v>224</v>
      </c>
      <c r="FO10" s="422">
        <v>4</v>
      </c>
      <c r="FP10" s="106">
        <f t="shared" si="46"/>
        <v>148.84</v>
      </c>
      <c r="FQ10" s="99">
        <f t="shared" si="47"/>
        <v>156.5</v>
      </c>
      <c r="FR10" s="99">
        <f t="shared" si="48"/>
        <v>151.30000000000001</v>
      </c>
      <c r="FS10" s="99">
        <f t="shared" si="49"/>
        <v>162.38999999999999</v>
      </c>
      <c r="FT10" s="107">
        <f t="shared" si="50"/>
        <v>161.11000000000001</v>
      </c>
      <c r="GC10" s="91" t="s">
        <v>239</v>
      </c>
      <c r="GD10" s="316">
        <v>4</v>
      </c>
      <c r="GE10" s="106">
        <f t="shared" si="51"/>
        <v>129.72999999999999</v>
      </c>
      <c r="GF10" s="99">
        <f t="shared" si="52"/>
        <v>132.19999999999999</v>
      </c>
      <c r="GG10" s="99">
        <f t="shared" si="53"/>
        <v>132.30000000000001</v>
      </c>
      <c r="GH10" s="99">
        <f t="shared" si="54"/>
        <v>133.15</v>
      </c>
      <c r="GI10" s="107">
        <f t="shared" si="55"/>
        <v>130.26</v>
      </c>
      <c r="GS10" s="494" t="s">
        <v>126</v>
      </c>
      <c r="GT10" s="316">
        <v>3</v>
      </c>
      <c r="GU10" s="106">
        <f t="shared" si="160"/>
        <v>341</v>
      </c>
      <c r="GV10" s="99">
        <f t="shared" si="161"/>
        <v>330</v>
      </c>
      <c r="GW10" s="99">
        <f t="shared" si="162"/>
        <v>320</v>
      </c>
      <c r="GX10" s="99">
        <f t="shared" si="163"/>
        <v>329</v>
      </c>
      <c r="GY10" s="107">
        <f t="shared" si="164"/>
        <v>323</v>
      </c>
      <c r="HT10" s="313" t="s">
        <v>290</v>
      </c>
      <c r="HU10" s="1512">
        <v>4</v>
      </c>
      <c r="HV10" s="106">
        <f t="shared" si="56"/>
        <v>257.88147735595703</v>
      </c>
      <c r="HW10" s="99">
        <f t="shared" si="57"/>
        <v>394.09185028076172</v>
      </c>
      <c r="HX10" s="99">
        <f t="shared" si="58"/>
        <v>390</v>
      </c>
      <c r="HY10" s="99">
        <f t="shared" si="59"/>
        <v>396</v>
      </c>
      <c r="HZ10" s="107">
        <f t="shared" si="60"/>
        <v>395</v>
      </c>
      <c r="IB10" s="91" t="s">
        <v>301</v>
      </c>
      <c r="IC10" s="1512">
        <v>12</v>
      </c>
      <c r="ID10" s="106">
        <f t="shared" si="61"/>
        <v>216.66667175292969</v>
      </c>
      <c r="IE10" s="99">
        <f t="shared" si="62"/>
        <v>370.68964385986328</v>
      </c>
      <c r="IF10" s="99">
        <f t="shared" si="63"/>
        <v>372</v>
      </c>
      <c r="IG10" s="99">
        <f t="shared" si="64"/>
        <v>344</v>
      </c>
      <c r="IH10" s="107">
        <f t="shared" si="65"/>
        <v>304</v>
      </c>
      <c r="IJ10" s="91" t="s">
        <v>290</v>
      </c>
      <c r="IK10" s="1512">
        <v>18</v>
      </c>
      <c r="IL10" s="106">
        <f t="shared" si="66"/>
        <v>238.5029296875</v>
      </c>
      <c r="IM10" s="99">
        <f t="shared" si="67"/>
        <v>299.35906982421875</v>
      </c>
      <c r="IN10" s="99">
        <f t="shared" si="68"/>
        <v>282</v>
      </c>
      <c r="IO10" s="99">
        <f t="shared" si="69"/>
        <v>255</v>
      </c>
      <c r="IP10" s="107">
        <f t="shared" si="70"/>
        <v>264</v>
      </c>
      <c r="IR10" s="91" t="s">
        <v>301</v>
      </c>
      <c r="IS10" s="316">
        <v>27</v>
      </c>
      <c r="IT10" s="220">
        <f t="shared" si="71"/>
        <v>193.96551132202148</v>
      </c>
      <c r="IU10" s="99">
        <f t="shared" si="72"/>
        <v>250</v>
      </c>
      <c r="IV10" s="99">
        <f t="shared" si="73"/>
        <v>227</v>
      </c>
      <c r="IW10" s="99">
        <f t="shared" si="74"/>
        <v>167</v>
      </c>
      <c r="IX10" s="107">
        <f t="shared" si="75"/>
        <v>213</v>
      </c>
      <c r="IZ10" s="91" t="s">
        <v>314</v>
      </c>
      <c r="JA10" s="316">
        <v>34</v>
      </c>
      <c r="JB10" s="106">
        <f t="shared" si="76"/>
        <v>431.25</v>
      </c>
      <c r="JC10" s="99">
        <f t="shared" si="77"/>
        <v>450</v>
      </c>
      <c r="JD10" s="99">
        <f t="shared" si="78"/>
        <v>450</v>
      </c>
      <c r="JE10" s="99">
        <f t="shared" si="79"/>
        <v>450</v>
      </c>
      <c r="JF10" s="107">
        <f t="shared" si="80"/>
        <v>450</v>
      </c>
      <c r="JH10" s="91" t="s">
        <v>290</v>
      </c>
      <c r="JI10" s="316">
        <v>43</v>
      </c>
      <c r="JJ10" s="220">
        <f t="shared" si="81"/>
        <v>232.94701766967773</v>
      </c>
      <c r="JK10" s="99">
        <f t="shared" si="82"/>
        <v>368.26446533203125</v>
      </c>
      <c r="JL10" s="99">
        <f t="shared" si="83"/>
        <v>319</v>
      </c>
      <c r="JM10" s="99">
        <f t="shared" si="84"/>
        <v>282</v>
      </c>
      <c r="JN10" s="107">
        <f t="shared" si="85"/>
        <v>261</v>
      </c>
      <c r="JP10" s="91" t="s">
        <v>301</v>
      </c>
      <c r="JQ10" s="316">
        <v>52</v>
      </c>
      <c r="JR10" s="220">
        <f t="shared" si="86"/>
        <v>187.49999618530273</v>
      </c>
      <c r="JS10" s="99">
        <f t="shared" si="87"/>
        <v>300</v>
      </c>
      <c r="JT10" s="99">
        <f t="shared" si="88"/>
        <v>289</v>
      </c>
      <c r="JU10" s="99">
        <f t="shared" si="89"/>
        <v>237</v>
      </c>
      <c r="JV10" s="107">
        <f t="shared" si="90"/>
        <v>217</v>
      </c>
      <c r="JX10" s="91" t="s">
        <v>370</v>
      </c>
      <c r="JY10" s="316">
        <v>4</v>
      </c>
      <c r="JZ10" s="220">
        <f t="shared" si="91"/>
        <v>0</v>
      </c>
      <c r="KA10" s="99">
        <f t="shared" si="92"/>
        <v>0</v>
      </c>
      <c r="KB10" s="99">
        <f t="shared" si="93"/>
        <v>0</v>
      </c>
      <c r="KC10" s="99">
        <f t="shared" si="94"/>
        <v>0</v>
      </c>
      <c r="KD10" s="107">
        <f t="shared" si="95"/>
        <v>0</v>
      </c>
      <c r="KF10" s="91" t="s">
        <v>371</v>
      </c>
      <c r="KG10" s="316">
        <v>12</v>
      </c>
      <c r="KH10" s="220">
        <f t="shared" si="96"/>
        <v>0</v>
      </c>
      <c r="KI10" s="99">
        <f t="shared" si="97"/>
        <v>0</v>
      </c>
      <c r="KJ10" s="99">
        <f t="shared" si="98"/>
        <v>0</v>
      </c>
      <c r="KK10" s="99">
        <f t="shared" si="99"/>
        <v>0</v>
      </c>
      <c r="KL10" s="107">
        <f t="shared" si="100"/>
        <v>0</v>
      </c>
      <c r="KN10" s="91" t="s">
        <v>371</v>
      </c>
      <c r="KO10" s="316">
        <v>19</v>
      </c>
      <c r="KP10" s="220">
        <f t="shared" si="101"/>
        <v>0</v>
      </c>
      <c r="KQ10" s="99">
        <f t="shared" si="102"/>
        <v>0</v>
      </c>
      <c r="KR10" s="99">
        <f t="shared" si="103"/>
        <v>0</v>
      </c>
      <c r="KS10" s="99">
        <f t="shared" si="104"/>
        <v>0</v>
      </c>
      <c r="KT10" s="107">
        <f t="shared" si="105"/>
        <v>0</v>
      </c>
      <c r="KV10" s="91" t="s">
        <v>371</v>
      </c>
      <c r="KW10" s="316">
        <v>26</v>
      </c>
      <c r="KX10" s="220">
        <f t="shared" si="106"/>
        <v>0</v>
      </c>
      <c r="KY10" s="99">
        <f t="shared" si="107"/>
        <v>0</v>
      </c>
      <c r="KZ10" s="99">
        <f t="shared" si="108"/>
        <v>0</v>
      </c>
      <c r="LA10" s="99">
        <f t="shared" si="109"/>
        <v>0</v>
      </c>
      <c r="LB10" s="107">
        <f t="shared" si="110"/>
        <v>0</v>
      </c>
      <c r="LD10" s="547" t="s">
        <v>339</v>
      </c>
      <c r="LE10" s="316">
        <v>4</v>
      </c>
      <c r="LF10" s="168">
        <f t="shared" si="111"/>
        <v>602</v>
      </c>
      <c r="LG10" s="93">
        <f t="shared" si="112"/>
        <v>602</v>
      </c>
      <c r="LH10" s="93">
        <f t="shared" si="113"/>
        <v>602</v>
      </c>
      <c r="LI10" s="93">
        <f t="shared" si="114"/>
        <v>602</v>
      </c>
      <c r="LJ10" s="169">
        <f t="shared" si="115"/>
        <v>602</v>
      </c>
      <c r="LL10" s="91" t="s">
        <v>349</v>
      </c>
      <c r="LM10" s="316">
        <v>12</v>
      </c>
      <c r="LN10" s="168">
        <f t="shared" si="116"/>
        <v>0</v>
      </c>
      <c r="LO10" s="93">
        <f t="shared" si="117"/>
        <v>0</v>
      </c>
      <c r="LP10" s="93">
        <f t="shared" si="118"/>
        <v>0</v>
      </c>
      <c r="LQ10" s="93">
        <f t="shared" si="119"/>
        <v>0</v>
      </c>
      <c r="LR10" s="169">
        <f t="shared" si="120"/>
        <v>0</v>
      </c>
      <c r="LT10" s="91" t="s">
        <v>353</v>
      </c>
      <c r="LU10" s="316">
        <v>19</v>
      </c>
      <c r="LV10" s="168">
        <f>INDEX($LA$68:$MB$679,MAX($MB$68:$MB$679)-12,$LU10)</f>
        <v>463</v>
      </c>
      <c r="LW10" s="93">
        <f>INDEX($LA$68:$MB$679,MAX($MB$68:$MB$679)-3,$LU10)</f>
        <v>463</v>
      </c>
      <c r="LX10" s="93">
        <f>INDEX($LA$68:$MB$679,MAX($MB$68:$MB$679)-2,$LU10)</f>
        <v>463</v>
      </c>
      <c r="LY10" s="93">
        <f>INDEX($LA$68:$MB$679,MAX($MB$68:$MB$679)-1,$LU10)</f>
        <v>463</v>
      </c>
      <c r="LZ10" s="169">
        <f>INDEX($LA$68:$MB$679,MAX($MB$68:$MB$679),$LU10)</f>
        <v>463</v>
      </c>
      <c r="MD10" s="564" t="s">
        <v>387</v>
      </c>
      <c r="ME10" s="566">
        <v>4</v>
      </c>
      <c r="MF10" s="430">
        <f t="shared" si="121"/>
        <v>2288.2530338894558</v>
      </c>
      <c r="MG10" s="182">
        <f t="shared" si="122"/>
        <v>1863.2286064845614</v>
      </c>
      <c r="MH10" s="182">
        <f t="shared" si="123"/>
        <v>2124.2092202315616</v>
      </c>
      <c r="MI10" s="182">
        <f t="shared" si="124"/>
        <v>2316.0459779625617</v>
      </c>
      <c r="MJ10" s="282">
        <f t="shared" si="125"/>
        <v>2543.3855251855616</v>
      </c>
      <c r="OF10" s="697" t="s">
        <v>446</v>
      </c>
      <c r="OG10" s="316">
        <v>4</v>
      </c>
      <c r="OH10" s="430">
        <f t="shared" si="126"/>
        <v>2813.9410329239995</v>
      </c>
      <c r="OI10" s="182">
        <f t="shared" si="127"/>
        <v>2693.1156919209998</v>
      </c>
      <c r="OJ10" s="182">
        <f t="shared" si="128"/>
        <v>2581.2692009709999</v>
      </c>
      <c r="OK10" s="182">
        <f t="shared" si="129"/>
        <v>2489.0704990740001</v>
      </c>
      <c r="OL10" s="282">
        <f t="shared" si="130"/>
        <v>2491.7672695840001</v>
      </c>
      <c r="PD10" s="707" t="s">
        <v>470</v>
      </c>
      <c r="PE10" s="316">
        <f t="shared" ref="PE10:PE34" si="165">HLOOKUP(PD10,$PE$67:$QE$680,614,0)</f>
        <v>28</v>
      </c>
      <c r="PF10" s="324">
        <f t="shared" si="131"/>
        <v>168.74831944099998</v>
      </c>
      <c r="PG10" s="182">
        <f t="shared" si="132"/>
        <v>657.57678681699997</v>
      </c>
      <c r="PH10" s="182">
        <f t="shared" si="133"/>
        <v>668.511166602</v>
      </c>
      <c r="PI10" s="182">
        <f t="shared" si="134"/>
        <v>616.596024349</v>
      </c>
      <c r="PJ10" s="282">
        <f t="shared" si="135"/>
        <v>524.372294302</v>
      </c>
      <c r="QF10" s="1733" t="s">
        <v>470</v>
      </c>
      <c r="QG10" s="316">
        <f t="shared" ref="QG10:QG35" si="166">HLOOKUP(QF10,$QG$67:$RQ$680,614,0)</f>
        <v>56</v>
      </c>
      <c r="QH10" s="430">
        <f t="shared" si="136"/>
        <v>2968.3040000000001</v>
      </c>
      <c r="QI10" s="182">
        <f t="shared" si="137"/>
        <v>2636.6230000000005</v>
      </c>
      <c r="QJ10" s="182">
        <f t="shared" si="138"/>
        <v>2577.3720000000003</v>
      </c>
      <c r="QK10" s="182">
        <f t="shared" si="139"/>
        <v>2593.0950000000003</v>
      </c>
      <c r="QL10" s="282">
        <f t="shared" si="140"/>
        <v>2624.3069999999998</v>
      </c>
      <c r="RO10" s="427"/>
      <c r="RP10" s="427"/>
      <c r="RQ10" s="361" t="s">
        <v>12</v>
      </c>
      <c r="RR10" s="359"/>
      <c r="RS10" s="359"/>
      <c r="RT10" s="359"/>
      <c r="RU10" s="360"/>
    </row>
    <row r="11" spans="2:489" ht="24.75" customHeight="1" thickBot="1">
      <c r="B11" s="39" t="s">
        <v>6</v>
      </c>
      <c r="C11" s="65">
        <v>6</v>
      </c>
      <c r="D11" s="58">
        <f t="shared" si="0"/>
        <v>320988</v>
      </c>
      <c r="E11" s="35">
        <f t="shared" si="1"/>
        <v>80675</v>
      </c>
      <c r="F11" s="35">
        <f t="shared" si="2"/>
        <v>80684</v>
      </c>
      <c r="G11" s="35">
        <f t="shared" si="3"/>
        <v>72100</v>
      </c>
      <c r="H11" s="59">
        <f t="shared" si="4"/>
        <v>64277</v>
      </c>
      <c r="O11" s="109" t="s">
        <v>27</v>
      </c>
      <c r="P11" s="105">
        <v>6</v>
      </c>
      <c r="Q11" s="106">
        <f t="shared" si="25"/>
        <v>2572</v>
      </c>
      <c r="R11" s="99">
        <f t="shared" si="26"/>
        <v>1294</v>
      </c>
      <c r="S11" s="99">
        <f t="shared" si="27"/>
        <v>2595</v>
      </c>
      <c r="T11" s="99">
        <f t="shared" si="28"/>
        <v>1759</v>
      </c>
      <c r="U11" s="107">
        <f t="shared" si="29"/>
        <v>1555</v>
      </c>
      <c r="AE11" s="109" t="s">
        <v>27</v>
      </c>
      <c r="AF11" s="108">
        <v>6</v>
      </c>
      <c r="AG11" s="106">
        <f t="shared" si="5"/>
        <v>2922</v>
      </c>
      <c r="AH11" s="99">
        <f t="shared" si="6"/>
        <v>662</v>
      </c>
      <c r="AI11" s="99">
        <f t="shared" si="7"/>
        <v>1229</v>
      </c>
      <c r="AJ11" s="99">
        <f t="shared" si="8"/>
        <v>1084</v>
      </c>
      <c r="AK11" s="107">
        <f t="shared" si="9"/>
        <v>830</v>
      </c>
      <c r="AV11" s="109" t="s">
        <v>27</v>
      </c>
      <c r="AW11" s="108">
        <v>6</v>
      </c>
      <c r="AX11" s="106">
        <f t="shared" si="10"/>
        <v>8814</v>
      </c>
      <c r="AY11" s="99">
        <f t="shared" si="11"/>
        <v>1895</v>
      </c>
      <c r="AZ11" s="99">
        <f t="shared" si="12"/>
        <v>1644</v>
      </c>
      <c r="BA11" s="99">
        <f t="shared" si="13"/>
        <v>1756</v>
      </c>
      <c r="BB11" s="107">
        <f t="shared" si="14"/>
        <v>2283</v>
      </c>
      <c r="BN11" s="39" t="s">
        <v>7</v>
      </c>
      <c r="BO11" s="65">
        <v>6</v>
      </c>
      <c r="BP11" s="58">
        <f t="shared" si="15"/>
        <v>15.4</v>
      </c>
      <c r="BQ11" s="35">
        <f t="shared" si="16"/>
        <v>23.975000000000001</v>
      </c>
      <c r="BR11" s="35">
        <f t="shared" si="17"/>
        <v>4.55</v>
      </c>
      <c r="BS11" s="35">
        <f t="shared" si="18"/>
        <v>3.15</v>
      </c>
      <c r="BT11" s="59">
        <f t="shared" si="19"/>
        <v>2.4500000000000002</v>
      </c>
      <c r="BX11" s="174" t="s">
        <v>56</v>
      </c>
      <c r="BY11" s="64">
        <v>6</v>
      </c>
      <c r="BZ11" s="170">
        <f t="shared" si="20"/>
        <v>57.774223999999997</v>
      </c>
      <c r="CA11" s="171">
        <f t="shared" si="21"/>
        <v>53.470999999999997</v>
      </c>
      <c r="CB11" s="171">
        <f t="shared" si="22"/>
        <v>52.777000000000001</v>
      </c>
      <c r="CC11" s="171">
        <f t="shared" si="23"/>
        <v>50.716999999999999</v>
      </c>
      <c r="CD11" s="172">
        <f t="shared" si="24"/>
        <v>49.966000000000001</v>
      </c>
      <c r="CF11" s="743" t="s">
        <v>69</v>
      </c>
      <c r="CG11" s="195" t="s">
        <v>1015</v>
      </c>
      <c r="CH11" s="736">
        <v>5</v>
      </c>
      <c r="CI11" s="147">
        <f t="shared" si="141"/>
        <v>80.900000000000006</v>
      </c>
      <c r="CJ11" s="147">
        <f t="shared" si="142"/>
        <v>94</v>
      </c>
      <c r="CK11" s="147">
        <f t="shared" si="143"/>
        <v>91.061000000000007</v>
      </c>
      <c r="CL11" s="147">
        <f t="shared" si="144"/>
        <v>83.183000000000007</v>
      </c>
      <c r="CM11" s="747">
        <f t="shared" si="145"/>
        <v>77.858000000000004</v>
      </c>
      <c r="CX11" s="366" t="s">
        <v>170</v>
      </c>
      <c r="CY11" s="365">
        <v>5</v>
      </c>
      <c r="CZ11" s="324">
        <f t="shared" si="146"/>
        <v>0</v>
      </c>
      <c r="DA11" s="182">
        <f t="shared" si="30"/>
        <v>0</v>
      </c>
      <c r="DB11" s="182">
        <f t="shared" si="147"/>
        <v>0</v>
      </c>
      <c r="DC11" s="182">
        <f t="shared" si="148"/>
        <v>0</v>
      </c>
      <c r="DD11" s="282">
        <f t="shared" si="149"/>
        <v>0</v>
      </c>
      <c r="DH11" s="2166"/>
      <c r="DI11" s="376" t="s">
        <v>177</v>
      </c>
      <c r="DJ11" s="379">
        <v>5</v>
      </c>
      <c r="DK11" s="324">
        <f t="shared" si="31"/>
        <v>21106</v>
      </c>
      <c r="DL11" s="182">
        <f t="shared" si="32"/>
        <v>18023</v>
      </c>
      <c r="DM11" s="182">
        <f t="shared" si="33"/>
        <v>19794</v>
      </c>
      <c r="DN11" s="182">
        <f t="shared" si="34"/>
        <v>22459</v>
      </c>
      <c r="DO11" s="290">
        <f t="shared" si="35"/>
        <v>24264</v>
      </c>
      <c r="DR11" s="91" t="s">
        <v>185</v>
      </c>
      <c r="DS11" s="316">
        <v>5</v>
      </c>
      <c r="DT11" s="168">
        <f t="shared" si="150"/>
        <v>1756.0239999999999</v>
      </c>
      <c r="DU11" s="93">
        <f t="shared" si="151"/>
        <v>1982.973</v>
      </c>
      <c r="DV11" s="93">
        <f t="shared" si="152"/>
        <v>1798.431</v>
      </c>
      <c r="DW11" s="93">
        <f t="shared" si="153"/>
        <v>2711.9140000000002</v>
      </c>
      <c r="DX11" s="169">
        <f t="shared" si="154"/>
        <v>3411.6759999999999</v>
      </c>
      <c r="EJ11" s="423" t="s">
        <v>208</v>
      </c>
      <c r="EK11" s="422">
        <v>5</v>
      </c>
      <c r="EL11" s="430">
        <f t="shared" si="36"/>
        <v>11307</v>
      </c>
      <c r="EM11" s="182">
        <f t="shared" si="37"/>
        <v>9772</v>
      </c>
      <c r="EN11" s="182">
        <f t="shared" si="38"/>
        <v>10157</v>
      </c>
      <c r="EO11" s="182">
        <f t="shared" si="39"/>
        <v>9721</v>
      </c>
      <c r="EP11" s="282">
        <f t="shared" si="40"/>
        <v>10176</v>
      </c>
      <c r="ES11" s="423" t="s">
        <v>208</v>
      </c>
      <c r="ET11" s="422">
        <v>5</v>
      </c>
      <c r="EU11" s="430">
        <f t="shared" si="41"/>
        <v>11016</v>
      </c>
      <c r="EV11" s="182">
        <f t="shared" si="42"/>
        <v>9304</v>
      </c>
      <c r="EW11" s="182">
        <f t="shared" si="43"/>
        <v>9879</v>
      </c>
      <c r="EX11" s="182">
        <f t="shared" si="44"/>
        <v>9204</v>
      </c>
      <c r="EY11" s="282">
        <f t="shared" si="45"/>
        <v>9525</v>
      </c>
      <c r="FB11" s="423" t="s">
        <v>208</v>
      </c>
      <c r="FC11" s="422">
        <v>5</v>
      </c>
      <c r="FD11" s="430">
        <f t="shared" si="155"/>
        <v>291</v>
      </c>
      <c r="FE11" s="182">
        <f t="shared" si="156"/>
        <v>468</v>
      </c>
      <c r="FF11" s="182">
        <f t="shared" si="157"/>
        <v>278</v>
      </c>
      <c r="FG11" s="182">
        <f t="shared" si="158"/>
        <v>517</v>
      </c>
      <c r="FH11" s="282">
        <f t="shared" si="159"/>
        <v>651</v>
      </c>
      <c r="FN11" s="481" t="s">
        <v>225</v>
      </c>
      <c r="FO11" s="422">
        <v>5</v>
      </c>
      <c r="FP11" s="106">
        <f t="shared" si="46"/>
        <v>101.71</v>
      </c>
      <c r="FQ11" s="99">
        <f t="shared" si="47"/>
        <v>101.7</v>
      </c>
      <c r="FR11" s="99">
        <f t="shared" si="48"/>
        <v>101.8</v>
      </c>
      <c r="FS11" s="99">
        <f t="shared" si="49"/>
        <v>101.76</v>
      </c>
      <c r="FT11" s="107">
        <f t="shared" si="50"/>
        <v>101.76</v>
      </c>
      <c r="GC11" s="91" t="s">
        <v>240</v>
      </c>
      <c r="GD11" s="316">
        <v>5</v>
      </c>
      <c r="GE11" s="106">
        <f t="shared" si="51"/>
        <v>109.05</v>
      </c>
      <c r="GF11" s="99">
        <f t="shared" si="52"/>
        <v>125.1</v>
      </c>
      <c r="GG11" s="99">
        <f t="shared" si="53"/>
        <v>125.8</v>
      </c>
      <c r="GH11" s="99">
        <f t="shared" si="54"/>
        <v>126.86</v>
      </c>
      <c r="GI11" s="107">
        <f t="shared" si="55"/>
        <v>125.87</v>
      </c>
      <c r="GS11" s="493" t="s">
        <v>256</v>
      </c>
      <c r="GT11" s="316">
        <v>4</v>
      </c>
      <c r="GU11" s="106">
        <f t="shared" si="160"/>
        <v>320</v>
      </c>
      <c r="GV11" s="99">
        <f t="shared" si="161"/>
        <v>330</v>
      </c>
      <c r="GW11" s="99">
        <f t="shared" si="162"/>
        <v>302</v>
      </c>
      <c r="GX11" s="99">
        <f t="shared" si="163"/>
        <v>307</v>
      </c>
      <c r="GY11" s="107">
        <f t="shared" si="164"/>
        <v>305</v>
      </c>
      <c r="HT11" s="313" t="s">
        <v>291</v>
      </c>
      <c r="HU11" s="1512">
        <v>5</v>
      </c>
      <c r="HV11" s="106">
        <f t="shared" si="56"/>
        <v>255.10203552246094</v>
      </c>
      <c r="HW11" s="99">
        <f t="shared" si="57"/>
        <v>369.89794921875</v>
      </c>
      <c r="HX11" s="99">
        <f t="shared" si="58"/>
        <v>383</v>
      </c>
      <c r="HY11" s="99">
        <f t="shared" si="59"/>
        <v>332</v>
      </c>
      <c r="HZ11" s="107">
        <f t="shared" si="60"/>
        <v>332</v>
      </c>
      <c r="IB11" s="91" t="s">
        <v>302</v>
      </c>
      <c r="IC11" s="1512">
        <v>13</v>
      </c>
      <c r="ID11" s="106">
        <f t="shared" si="61"/>
        <v>206.73077392578125</v>
      </c>
      <c r="IE11" s="99">
        <f t="shared" si="62"/>
        <v>323.5294189453125</v>
      </c>
      <c r="IF11" s="99">
        <f t="shared" si="63"/>
        <v>374.09703485725487</v>
      </c>
      <c r="IG11" s="99">
        <f t="shared" si="64"/>
        <v>427.19000565132728</v>
      </c>
      <c r="IH11" s="107">
        <f t="shared" si="65"/>
        <v>490.88892534233923</v>
      </c>
      <c r="IJ11" s="91" t="s">
        <v>292</v>
      </c>
      <c r="IK11" s="1512">
        <v>19</v>
      </c>
      <c r="IL11" s="106">
        <f t="shared" si="66"/>
        <v>225.00000915527343</v>
      </c>
      <c r="IM11" s="99">
        <f t="shared" si="67"/>
        <v>281.25000762939453</v>
      </c>
      <c r="IN11" s="99">
        <f t="shared" si="68"/>
        <v>268</v>
      </c>
      <c r="IO11" s="99">
        <f t="shared" si="69"/>
        <v>241</v>
      </c>
      <c r="IP11" s="107">
        <f t="shared" si="70"/>
        <v>243</v>
      </c>
      <c r="IR11" s="91" t="s">
        <v>302</v>
      </c>
      <c r="IS11" s="316">
        <v>28</v>
      </c>
      <c r="IT11" s="220">
        <f t="shared" si="71"/>
        <v>172.02573013305664</v>
      </c>
      <c r="IU11" s="99">
        <f t="shared" si="72"/>
        <v>222.40260314941406</v>
      </c>
      <c r="IV11" s="99">
        <f t="shared" si="73"/>
        <v>186</v>
      </c>
      <c r="IW11" s="99">
        <f t="shared" si="74"/>
        <v>190</v>
      </c>
      <c r="IX11" s="107">
        <f t="shared" si="75"/>
        <v>221</v>
      </c>
      <c r="IZ11" s="91" t="s">
        <v>292</v>
      </c>
      <c r="JA11" s="316">
        <v>35</v>
      </c>
      <c r="JB11" s="106">
        <f t="shared" si="76"/>
        <v>400</v>
      </c>
      <c r="JC11" s="99">
        <f t="shared" si="77"/>
        <v>450</v>
      </c>
      <c r="JD11" s="99">
        <f t="shared" si="78"/>
        <v>450</v>
      </c>
      <c r="JE11" s="99">
        <f t="shared" si="79"/>
        <v>450</v>
      </c>
      <c r="JF11" s="107">
        <f t="shared" si="80"/>
        <v>450</v>
      </c>
      <c r="JH11" s="91" t="s">
        <v>291</v>
      </c>
      <c r="JI11" s="316">
        <v>44</v>
      </c>
      <c r="JJ11" s="220">
        <f t="shared" si="81"/>
        <v>185.36585083007813</v>
      </c>
      <c r="JK11" s="99">
        <f t="shared" si="82"/>
        <v>326.92305755615234</v>
      </c>
      <c r="JL11" s="99">
        <f t="shared" si="83"/>
        <v>333</v>
      </c>
      <c r="JM11" s="99">
        <f t="shared" si="84"/>
        <v>308</v>
      </c>
      <c r="JN11" s="107">
        <f t="shared" si="85"/>
        <v>308</v>
      </c>
      <c r="JP11" s="91" t="s">
        <v>302</v>
      </c>
      <c r="JQ11" s="316">
        <v>53</v>
      </c>
      <c r="JR11" s="220">
        <f t="shared" si="86"/>
        <v>0</v>
      </c>
      <c r="JS11" s="99">
        <f t="shared" si="87"/>
        <v>267.85713577270508</v>
      </c>
      <c r="JT11" s="99">
        <f t="shared" si="88"/>
        <v>309.23897465119967</v>
      </c>
      <c r="JU11" s="99">
        <f t="shared" si="89"/>
        <v>351.83488753562432</v>
      </c>
      <c r="JV11" s="107">
        <f t="shared" si="90"/>
        <v>403.2443899043663</v>
      </c>
      <c r="JX11" s="91" t="s">
        <v>371</v>
      </c>
      <c r="JY11" s="316">
        <v>5</v>
      </c>
      <c r="JZ11" s="220">
        <f t="shared" si="91"/>
        <v>0</v>
      </c>
      <c r="KA11" s="99">
        <f t="shared" si="92"/>
        <v>0</v>
      </c>
      <c r="KB11" s="99">
        <f t="shared" si="93"/>
        <v>0</v>
      </c>
      <c r="KC11" s="99">
        <f t="shared" si="94"/>
        <v>0</v>
      </c>
      <c r="KD11" s="107">
        <f t="shared" si="95"/>
        <v>0</v>
      </c>
      <c r="KF11" s="91" t="s">
        <v>372</v>
      </c>
      <c r="KG11" s="316">
        <v>13</v>
      </c>
      <c r="KH11" s="220">
        <f t="shared" si="96"/>
        <v>0</v>
      </c>
      <c r="KI11" s="99">
        <f t="shared" si="97"/>
        <v>93750</v>
      </c>
      <c r="KJ11" s="99">
        <f t="shared" si="98"/>
        <v>108500</v>
      </c>
      <c r="KK11" s="99">
        <f t="shared" si="99"/>
        <v>109000</v>
      </c>
      <c r="KL11" s="107">
        <f t="shared" si="100"/>
        <v>0</v>
      </c>
      <c r="KN11" s="91" t="s">
        <v>372</v>
      </c>
      <c r="KO11" s="316">
        <v>20</v>
      </c>
      <c r="KP11" s="220">
        <f t="shared" si="101"/>
        <v>0</v>
      </c>
      <c r="KQ11" s="99">
        <f t="shared" si="102"/>
        <v>61375</v>
      </c>
      <c r="KR11" s="99">
        <f t="shared" si="103"/>
        <v>66700</v>
      </c>
      <c r="KS11" s="99">
        <f t="shared" si="104"/>
        <v>58125</v>
      </c>
      <c r="KT11" s="107">
        <f t="shared" si="105"/>
        <v>0</v>
      </c>
      <c r="KV11" s="91" t="s">
        <v>372</v>
      </c>
      <c r="KW11" s="316">
        <v>27</v>
      </c>
      <c r="KX11" s="220">
        <f t="shared" si="106"/>
        <v>0</v>
      </c>
      <c r="KY11" s="99">
        <f t="shared" si="107"/>
        <v>46875</v>
      </c>
      <c r="KZ11" s="99">
        <f t="shared" si="108"/>
        <v>42600</v>
      </c>
      <c r="LA11" s="99">
        <f t="shared" si="109"/>
        <v>43250</v>
      </c>
      <c r="LB11" s="107">
        <f t="shared" si="110"/>
        <v>0</v>
      </c>
      <c r="LD11" s="547" t="s">
        <v>340</v>
      </c>
      <c r="LE11" s="316">
        <v>5</v>
      </c>
      <c r="LF11" s="168">
        <f t="shared" si="111"/>
        <v>0</v>
      </c>
      <c r="LG11" s="93">
        <f t="shared" si="112"/>
        <v>0</v>
      </c>
      <c r="LH11" s="93">
        <f t="shared" si="113"/>
        <v>0</v>
      </c>
      <c r="LI11" s="93">
        <f t="shared" si="114"/>
        <v>0</v>
      </c>
      <c r="LJ11" s="169">
        <f t="shared" si="115"/>
        <v>0</v>
      </c>
      <c r="LL11" s="91" t="s">
        <v>347</v>
      </c>
      <c r="LM11" s="316">
        <v>13</v>
      </c>
      <c r="LN11" s="168">
        <f t="shared" si="116"/>
        <v>0</v>
      </c>
      <c r="LO11" s="93">
        <f t="shared" si="117"/>
        <v>0</v>
      </c>
      <c r="LP11" s="93">
        <f t="shared" si="118"/>
        <v>0</v>
      </c>
      <c r="LQ11" s="93">
        <f t="shared" si="119"/>
        <v>0</v>
      </c>
      <c r="LR11" s="169">
        <f t="shared" si="120"/>
        <v>0</v>
      </c>
      <c r="LT11" s="91" t="s">
        <v>354</v>
      </c>
      <c r="LU11" s="316">
        <v>20</v>
      </c>
      <c r="LV11" s="168">
        <f>INDEX($LA$68:$MB$679,MAX($MB$68:$MB$679)-12,$LU11)</f>
        <v>663</v>
      </c>
      <c r="LW11" s="93">
        <f>INDEX($LA$68:$MB$679,MAX($MB$68:$MB$679)-3,$LU11)</f>
        <v>663</v>
      </c>
      <c r="LX11" s="93">
        <f>INDEX($LA$68:$MB$679,MAX($MB$68:$MB$679)-2,$LU11)</f>
        <v>663</v>
      </c>
      <c r="LY11" s="93">
        <f>INDEX($LA$68:$MB$679,MAX($MB$68:$MB$679)-1,$LU11)</f>
        <v>663</v>
      </c>
      <c r="LZ11" s="169">
        <f>INDEX($LA$68:$MB$679,MAX($MB$68:$MB$679),$LU11)</f>
        <v>663</v>
      </c>
      <c r="MD11" s="564" t="s">
        <v>388</v>
      </c>
      <c r="ME11" s="566">
        <v>5</v>
      </c>
      <c r="MF11" s="430">
        <f t="shared" si="121"/>
        <v>2052.4457756864558</v>
      </c>
      <c r="MG11" s="182">
        <f t="shared" si="122"/>
        <v>1638.9743887819998</v>
      </c>
      <c r="MH11" s="182">
        <f t="shared" si="123"/>
        <v>1880.0318887579999</v>
      </c>
      <c r="MI11" s="182">
        <f t="shared" si="124"/>
        <v>2059.7678674129997</v>
      </c>
      <c r="MJ11" s="282">
        <f t="shared" si="125"/>
        <v>2245.9507107459999</v>
      </c>
      <c r="OF11" s="698" t="s">
        <v>447</v>
      </c>
      <c r="OG11" s="316">
        <v>5</v>
      </c>
      <c r="OH11" s="430">
        <f t="shared" si="126"/>
        <v>0.42652169400000001</v>
      </c>
      <c r="OI11" s="182">
        <f t="shared" si="127"/>
        <v>0.51118069099999996</v>
      </c>
      <c r="OJ11" s="182">
        <f t="shared" si="128"/>
        <v>0.61968974099999996</v>
      </c>
      <c r="OK11" s="182">
        <f t="shared" si="129"/>
        <v>5.250987844</v>
      </c>
      <c r="OL11" s="282">
        <f t="shared" si="130"/>
        <v>0.99675835400000001</v>
      </c>
      <c r="PD11" s="708" t="s">
        <v>471</v>
      </c>
      <c r="PE11" s="316">
        <f t="shared" si="165"/>
        <v>29</v>
      </c>
      <c r="PF11" s="324">
        <f t="shared" si="131"/>
        <v>792.83864353400008</v>
      </c>
      <c r="PG11" s="182">
        <f t="shared" si="132"/>
        <v>1035.3059003230001</v>
      </c>
      <c r="PH11" s="182">
        <f t="shared" si="133"/>
        <v>989.01386384299997</v>
      </c>
      <c r="PI11" s="182">
        <f t="shared" si="134"/>
        <v>951.21334948900005</v>
      </c>
      <c r="PJ11" s="282">
        <f t="shared" si="135"/>
        <v>896.89308422299985</v>
      </c>
      <c r="QF11" s="1733" t="s">
        <v>471</v>
      </c>
      <c r="QG11" s="316">
        <f t="shared" si="166"/>
        <v>57</v>
      </c>
      <c r="QH11" s="430">
        <f t="shared" si="136"/>
        <v>-372.14300000000003</v>
      </c>
      <c r="QI11" s="182">
        <f t="shared" si="137"/>
        <v>-358.11200000000002</v>
      </c>
      <c r="QJ11" s="182">
        <f t="shared" si="138"/>
        <v>-465.79</v>
      </c>
      <c r="QK11" s="182">
        <f t="shared" si="139"/>
        <v>-555.04300000000001</v>
      </c>
      <c r="QL11" s="282">
        <f t="shared" si="140"/>
        <v>-625.50199999999995</v>
      </c>
      <c r="RO11" s="428"/>
      <c r="RP11" s="428"/>
      <c r="RQ11" s="362">
        <f>RQ12</f>
        <v>44896</v>
      </c>
      <c r="RR11" s="46">
        <f>RR12</f>
        <v>45170</v>
      </c>
      <c r="RS11" s="46">
        <f>RS12</f>
        <v>45200</v>
      </c>
      <c r="RT11" s="46">
        <f>RT12</f>
        <v>45231</v>
      </c>
      <c r="RU11" s="47">
        <f>RU12</f>
        <v>45261</v>
      </c>
    </row>
    <row r="12" spans="2:489" ht="23.25" customHeight="1" thickBot="1">
      <c r="B12" s="39" t="s">
        <v>7</v>
      </c>
      <c r="C12" s="65">
        <v>7</v>
      </c>
      <c r="D12" s="58">
        <f t="shared" si="0"/>
        <v>88</v>
      </c>
      <c r="E12" s="35">
        <f t="shared" si="1"/>
        <v>137</v>
      </c>
      <c r="F12" s="35">
        <f t="shared" si="2"/>
        <v>26</v>
      </c>
      <c r="G12" s="35">
        <f t="shared" si="3"/>
        <v>18</v>
      </c>
      <c r="H12" s="59">
        <f t="shared" si="4"/>
        <v>14</v>
      </c>
      <c r="O12" s="109" t="s">
        <v>28</v>
      </c>
      <c r="P12" s="105">
        <v>7</v>
      </c>
      <c r="Q12" s="106">
        <f t="shared" si="25"/>
        <v>951</v>
      </c>
      <c r="R12" s="99">
        <f t="shared" si="26"/>
        <v>729</v>
      </c>
      <c r="S12" s="99">
        <f t="shared" si="27"/>
        <v>1569</v>
      </c>
      <c r="T12" s="99">
        <f t="shared" si="28"/>
        <v>863</v>
      </c>
      <c r="U12" s="107">
        <f t="shared" si="29"/>
        <v>761</v>
      </c>
      <c r="AE12" s="109" t="s">
        <v>28</v>
      </c>
      <c r="AF12" s="108">
        <v>7</v>
      </c>
      <c r="AG12" s="106">
        <f t="shared" si="5"/>
        <v>2821</v>
      </c>
      <c r="AH12" s="99">
        <f t="shared" si="6"/>
        <v>4549</v>
      </c>
      <c r="AI12" s="99">
        <f t="shared" si="7"/>
        <v>2239</v>
      </c>
      <c r="AJ12" s="99">
        <f t="shared" si="8"/>
        <v>1645</v>
      </c>
      <c r="AK12" s="107">
        <f t="shared" si="9"/>
        <v>1406</v>
      </c>
      <c r="AV12" s="109" t="s">
        <v>28</v>
      </c>
      <c r="AW12" s="108">
        <v>7</v>
      </c>
      <c r="AX12" s="106">
        <f t="shared" si="10"/>
        <v>8007</v>
      </c>
      <c r="AY12" s="99">
        <f t="shared" si="11"/>
        <v>8973</v>
      </c>
      <c r="AZ12" s="99">
        <f t="shared" si="12"/>
        <v>8714</v>
      </c>
      <c r="BA12" s="99">
        <f t="shared" si="13"/>
        <v>5594</v>
      </c>
      <c r="BB12" s="107">
        <f t="shared" si="14"/>
        <v>3288</v>
      </c>
      <c r="BN12" s="39" t="s">
        <v>8</v>
      </c>
      <c r="BO12" s="65">
        <v>7</v>
      </c>
      <c r="BP12" s="58">
        <f t="shared" si="15"/>
        <v>377.16</v>
      </c>
      <c r="BQ12" s="35">
        <f t="shared" si="16"/>
        <v>257.3</v>
      </c>
      <c r="BR12" s="35">
        <f t="shared" si="17"/>
        <v>315.70999999999998</v>
      </c>
      <c r="BS12" s="35">
        <f t="shared" si="18"/>
        <v>302.99</v>
      </c>
      <c r="BT12" s="59">
        <f t="shared" si="19"/>
        <v>276.98</v>
      </c>
      <c r="CF12" s="37" t="s">
        <v>70</v>
      </c>
      <c r="CG12" s="544"/>
      <c r="CH12" s="544"/>
      <c r="CI12" s="544"/>
      <c r="CJ12" s="544"/>
      <c r="CK12" s="544"/>
      <c r="CL12" s="544"/>
      <c r="CM12" s="748"/>
      <c r="CX12" s="366" t="s">
        <v>168</v>
      </c>
      <c r="CY12" s="365">
        <v>6</v>
      </c>
      <c r="CZ12" s="324">
        <f t="shared" si="146"/>
        <v>0</v>
      </c>
      <c r="DA12" s="182">
        <f t="shared" si="30"/>
        <v>0</v>
      </c>
      <c r="DB12" s="182">
        <f t="shared" si="147"/>
        <v>0</v>
      </c>
      <c r="DC12" s="182">
        <f t="shared" si="148"/>
        <v>0</v>
      </c>
      <c r="DD12" s="282">
        <f t="shared" si="149"/>
        <v>0</v>
      </c>
      <c r="DH12" s="2166"/>
      <c r="DI12" s="376" t="s">
        <v>178</v>
      </c>
      <c r="DJ12" s="379">
        <v>6</v>
      </c>
      <c r="DK12" s="324">
        <f t="shared" si="31"/>
        <v>582776</v>
      </c>
      <c r="DL12" s="182">
        <f t="shared" si="32"/>
        <v>494094</v>
      </c>
      <c r="DM12" s="182">
        <f t="shared" si="33"/>
        <v>521368</v>
      </c>
      <c r="DN12" s="182">
        <f t="shared" si="34"/>
        <v>560084</v>
      </c>
      <c r="DO12" s="290">
        <f t="shared" si="35"/>
        <v>557897</v>
      </c>
      <c r="DR12" s="91" t="s">
        <v>186</v>
      </c>
      <c r="DS12" s="316">
        <v>6</v>
      </c>
      <c r="DT12" s="168">
        <f t="shared" si="150"/>
        <v>1756.0239999999999</v>
      </c>
      <c r="DU12" s="93">
        <f t="shared" si="151"/>
        <v>20591.722000000002</v>
      </c>
      <c r="DV12" s="93">
        <f t="shared" si="152"/>
        <v>20518.963</v>
      </c>
      <c r="DW12" s="93">
        <f t="shared" si="153"/>
        <v>31682.812999999998</v>
      </c>
      <c r="DX12" s="169">
        <f t="shared" si="154"/>
        <v>30167.778999999999</v>
      </c>
      <c r="EJ12" s="423" t="s">
        <v>209</v>
      </c>
      <c r="EK12" s="422">
        <v>6</v>
      </c>
      <c r="EL12" s="430">
        <f t="shared" si="36"/>
        <v>297.291</v>
      </c>
      <c r="EM12" s="182">
        <f t="shared" si="37"/>
        <v>149.988</v>
      </c>
      <c r="EN12" s="182">
        <f t="shared" si="38"/>
        <v>118.13200000000001</v>
      </c>
      <c r="EO12" s="182">
        <f t="shared" si="39"/>
        <v>89.445999999999998</v>
      </c>
      <c r="EP12" s="282">
        <f t="shared" si="40"/>
        <v>72.245000000000005</v>
      </c>
      <c r="ES12" s="423" t="s">
        <v>209</v>
      </c>
      <c r="ET12" s="422">
        <v>6</v>
      </c>
      <c r="EU12" s="430">
        <f t="shared" si="41"/>
        <v>295.61</v>
      </c>
      <c r="EV12" s="182">
        <f t="shared" si="42"/>
        <v>149.988</v>
      </c>
      <c r="EW12" s="182">
        <f t="shared" si="43"/>
        <v>118.13200000000001</v>
      </c>
      <c r="EX12" s="182">
        <f t="shared" si="44"/>
        <v>89.445999999999998</v>
      </c>
      <c r="EY12" s="282">
        <f t="shared" si="45"/>
        <v>72.245000000000005</v>
      </c>
      <c r="FB12" s="423" t="s">
        <v>209</v>
      </c>
      <c r="FC12" s="422">
        <v>6</v>
      </c>
      <c r="FD12" s="430">
        <f t="shared" si="155"/>
        <v>1.681</v>
      </c>
      <c r="FE12" s="182">
        <f t="shared" si="156"/>
        <v>0</v>
      </c>
      <c r="FF12" s="182">
        <f t="shared" si="157"/>
        <v>0</v>
      </c>
      <c r="FG12" s="182">
        <f t="shared" si="158"/>
        <v>0</v>
      </c>
      <c r="FH12" s="282">
        <f t="shared" si="159"/>
        <v>0</v>
      </c>
      <c r="FN12" s="481" t="s">
        <v>226</v>
      </c>
      <c r="FO12" s="422">
        <v>6</v>
      </c>
      <c r="FP12" s="106">
        <f t="shared" si="46"/>
        <v>105.63</v>
      </c>
      <c r="FQ12" s="99">
        <f t="shared" si="47"/>
        <v>116.1</v>
      </c>
      <c r="FR12" s="99">
        <f t="shared" si="48"/>
        <v>116.5</v>
      </c>
      <c r="FS12" s="99">
        <f t="shared" si="49"/>
        <v>117.44</v>
      </c>
      <c r="FT12" s="107">
        <f t="shared" si="50"/>
        <v>116.61</v>
      </c>
      <c r="GC12" s="91" t="s">
        <v>241</v>
      </c>
      <c r="GD12" s="316">
        <v>6</v>
      </c>
      <c r="GE12" s="106">
        <f t="shared" si="51"/>
        <v>154.32</v>
      </c>
      <c r="GF12" s="99">
        <f t="shared" si="52"/>
        <v>154.5</v>
      </c>
      <c r="GG12" s="99">
        <f t="shared" si="53"/>
        <v>153.4</v>
      </c>
      <c r="GH12" s="99">
        <f t="shared" si="54"/>
        <v>155.63</v>
      </c>
      <c r="GI12" s="107">
        <f t="shared" si="55"/>
        <v>150.68</v>
      </c>
      <c r="GS12" s="495" t="s">
        <v>257</v>
      </c>
      <c r="GT12" s="316">
        <v>5</v>
      </c>
      <c r="GU12" s="106">
        <f t="shared" si="160"/>
        <v>289</v>
      </c>
      <c r="GV12" s="99">
        <f t="shared" si="161"/>
        <v>268</v>
      </c>
      <c r="GW12" s="99">
        <f t="shared" si="162"/>
        <v>273</v>
      </c>
      <c r="GX12" s="99">
        <f t="shared" si="163"/>
        <v>271</v>
      </c>
      <c r="GY12" s="107">
        <f t="shared" si="164"/>
        <v>252</v>
      </c>
      <c r="HT12" s="313" t="s">
        <v>292</v>
      </c>
      <c r="HU12" s="1512">
        <v>6</v>
      </c>
      <c r="HV12" s="106">
        <f t="shared" si="56"/>
        <v>282.23906249999999</v>
      </c>
      <c r="HW12" s="99">
        <f t="shared" si="57"/>
        <v>416.66667175292969</v>
      </c>
      <c r="HX12" s="99">
        <f t="shared" si="58"/>
        <v>410</v>
      </c>
      <c r="HY12" s="99">
        <f t="shared" si="59"/>
        <v>394</v>
      </c>
      <c r="HZ12" s="107">
        <f t="shared" si="60"/>
        <v>337</v>
      </c>
      <c r="IB12" s="91" t="s">
        <v>303</v>
      </c>
      <c r="IC12" s="1512">
        <v>14</v>
      </c>
      <c r="ID12" s="106">
        <f t="shared" si="61"/>
        <v>242.51347732543945</v>
      </c>
      <c r="IE12" s="99">
        <f t="shared" si="62"/>
        <v>401.09032440185547</v>
      </c>
      <c r="IF12" s="99">
        <f t="shared" si="63"/>
        <v>384</v>
      </c>
      <c r="IG12" s="99">
        <f t="shared" si="64"/>
        <v>354</v>
      </c>
      <c r="IH12" s="107">
        <f t="shared" si="65"/>
        <v>284</v>
      </c>
      <c r="IJ12" s="91" t="s">
        <v>293</v>
      </c>
      <c r="IK12" s="1512">
        <v>20</v>
      </c>
      <c r="IL12" s="106">
        <f t="shared" si="66"/>
        <v>226.51888465881348</v>
      </c>
      <c r="IM12" s="99">
        <f t="shared" si="67"/>
        <v>285.71429443359375</v>
      </c>
      <c r="IN12" s="99">
        <f t="shared" si="68"/>
        <v>259</v>
      </c>
      <c r="IO12" s="99">
        <f t="shared" si="69"/>
        <v>226</v>
      </c>
      <c r="IP12" s="107">
        <f t="shared" si="70"/>
        <v>225</v>
      </c>
      <c r="IR12" s="91" t="s">
        <v>303</v>
      </c>
      <c r="IS12" s="316">
        <v>29</v>
      </c>
      <c r="IT12" s="220">
        <f t="shared" si="71"/>
        <v>226.40078353881836</v>
      </c>
      <c r="IU12" s="99">
        <f t="shared" si="72"/>
        <v>272.83280944824219</v>
      </c>
      <c r="IV12" s="99">
        <f t="shared" si="73"/>
        <v>240</v>
      </c>
      <c r="IW12" s="99">
        <f t="shared" si="74"/>
        <v>240</v>
      </c>
      <c r="IX12" s="107">
        <f t="shared" si="75"/>
        <v>250</v>
      </c>
      <c r="IZ12" s="91" t="s">
        <v>293</v>
      </c>
      <c r="JA12" s="316">
        <v>36</v>
      </c>
      <c r="JB12" s="106">
        <f t="shared" si="76"/>
        <v>422.5</v>
      </c>
      <c r="JC12" s="99">
        <f t="shared" si="77"/>
        <v>430</v>
      </c>
      <c r="JD12" s="99">
        <f t="shared" si="78"/>
        <v>0</v>
      </c>
      <c r="JE12" s="99">
        <f t="shared" si="79"/>
        <v>0</v>
      </c>
      <c r="JF12" s="107">
        <f t="shared" si="80"/>
        <v>0</v>
      </c>
      <c r="JH12" s="91" t="s">
        <v>292</v>
      </c>
      <c r="JI12" s="316">
        <v>45</v>
      </c>
      <c r="JJ12" s="220">
        <f t="shared" si="81"/>
        <v>217.76926879882814</v>
      </c>
      <c r="JK12" s="99">
        <f t="shared" si="82"/>
        <v>368.26598358154297</v>
      </c>
      <c r="JL12" s="99">
        <f t="shared" si="83"/>
        <v>370</v>
      </c>
      <c r="JM12" s="99">
        <f t="shared" si="84"/>
        <v>296</v>
      </c>
      <c r="JN12" s="107">
        <f t="shared" si="85"/>
        <v>269</v>
      </c>
      <c r="JP12" s="91" t="s">
        <v>303</v>
      </c>
      <c r="JQ12" s="316">
        <v>54</v>
      </c>
      <c r="JR12" s="220">
        <f t="shared" si="86"/>
        <v>225.08340454101563</v>
      </c>
      <c r="JS12" s="99">
        <f t="shared" si="87"/>
        <v>381.41994476318359</v>
      </c>
      <c r="JT12" s="99">
        <f t="shared" si="88"/>
        <v>348</v>
      </c>
      <c r="JU12" s="99">
        <f t="shared" si="89"/>
        <v>332</v>
      </c>
      <c r="JV12" s="107">
        <f t="shared" si="90"/>
        <v>305</v>
      </c>
      <c r="JX12" s="91" t="s">
        <v>372</v>
      </c>
      <c r="JY12" s="316">
        <v>6</v>
      </c>
      <c r="JZ12" s="220">
        <f t="shared" si="91"/>
        <v>0</v>
      </c>
      <c r="KA12" s="99">
        <f t="shared" si="92"/>
        <v>387500</v>
      </c>
      <c r="KB12" s="99">
        <f t="shared" si="93"/>
        <v>392000</v>
      </c>
      <c r="KC12" s="99">
        <f t="shared" si="94"/>
        <v>401875</v>
      </c>
      <c r="KD12" s="107">
        <f t="shared" si="95"/>
        <v>0</v>
      </c>
      <c r="KF12" s="91" t="s">
        <v>373</v>
      </c>
      <c r="KG12" s="316">
        <v>14</v>
      </c>
      <c r="KH12" s="220">
        <f t="shared" si="96"/>
        <v>0</v>
      </c>
      <c r="KI12" s="99">
        <f t="shared" si="97"/>
        <v>58125</v>
      </c>
      <c r="KJ12" s="99">
        <f t="shared" si="98"/>
        <v>65300</v>
      </c>
      <c r="KK12" s="99">
        <f t="shared" si="99"/>
        <v>60875</v>
      </c>
      <c r="KL12" s="107">
        <f t="shared" si="100"/>
        <v>73333</v>
      </c>
      <c r="KN12" s="91" t="s">
        <v>373</v>
      </c>
      <c r="KO12" s="316">
        <v>21</v>
      </c>
      <c r="KP12" s="220">
        <f t="shared" si="101"/>
        <v>0</v>
      </c>
      <c r="KQ12" s="99">
        <f t="shared" si="102"/>
        <v>42750</v>
      </c>
      <c r="KR12" s="99">
        <f t="shared" si="103"/>
        <v>37600</v>
      </c>
      <c r="KS12" s="99">
        <f t="shared" si="104"/>
        <v>42250</v>
      </c>
      <c r="KT12" s="107">
        <f t="shared" si="105"/>
        <v>45000</v>
      </c>
      <c r="KV12" s="91" t="s">
        <v>373</v>
      </c>
      <c r="KW12" s="316">
        <v>28</v>
      </c>
      <c r="KX12" s="220">
        <f t="shared" si="106"/>
        <v>0</v>
      </c>
      <c r="KY12" s="99">
        <f t="shared" si="107"/>
        <v>26000</v>
      </c>
      <c r="KZ12" s="99">
        <f t="shared" si="108"/>
        <v>25100</v>
      </c>
      <c r="LA12" s="99">
        <f t="shared" si="109"/>
        <v>26500</v>
      </c>
      <c r="LB12" s="107">
        <f t="shared" si="110"/>
        <v>27667</v>
      </c>
      <c r="LD12" s="547" t="s">
        <v>341</v>
      </c>
      <c r="LE12" s="316">
        <v>6</v>
      </c>
      <c r="LF12" s="168">
        <f t="shared" si="111"/>
        <v>526</v>
      </c>
      <c r="LG12" s="93">
        <f t="shared" si="112"/>
        <v>526</v>
      </c>
      <c r="LH12" s="93">
        <f t="shared" si="113"/>
        <v>526</v>
      </c>
      <c r="LI12" s="93">
        <f t="shared" si="114"/>
        <v>526</v>
      </c>
      <c r="LJ12" s="169">
        <f t="shared" si="115"/>
        <v>526</v>
      </c>
      <c r="LL12" s="91" t="s">
        <v>348</v>
      </c>
      <c r="LM12" s="316">
        <v>14</v>
      </c>
      <c r="LN12" s="168">
        <f t="shared" si="116"/>
        <v>0</v>
      </c>
      <c r="LO12" s="93">
        <f t="shared" si="117"/>
        <v>0</v>
      </c>
      <c r="LP12" s="93">
        <f t="shared" si="118"/>
        <v>0</v>
      </c>
      <c r="LQ12" s="93">
        <f t="shared" si="119"/>
        <v>0</v>
      </c>
      <c r="LR12" s="169">
        <f t="shared" si="120"/>
        <v>0</v>
      </c>
      <c r="LT12" s="91" t="s">
        <v>355</v>
      </c>
      <c r="LU12" s="316">
        <v>21</v>
      </c>
      <c r="LV12" s="168">
        <f>INDEX($LA$68:$MB$679,MAX($MB$68:$MB$679)-12,$LU12)</f>
        <v>1104</v>
      </c>
      <c r="LW12" s="93">
        <f>INDEX($LA$68:$MB$679,MAX($MB$68:$MB$679)-3,$LU12)</f>
        <v>1104</v>
      </c>
      <c r="LX12" s="93">
        <f>INDEX($LA$68:$MB$679,MAX($MB$68:$MB$679)-2,$LU12)</f>
        <v>1104</v>
      </c>
      <c r="LY12" s="93">
        <f>INDEX($LA$68:$MB$679,MAX($MB$68:$MB$679)-1,$LU12)</f>
        <v>1104</v>
      </c>
      <c r="LZ12" s="169">
        <f>INDEX($LA$68:$MB$679,MAX($MB$68:$MB$679),$LU12)</f>
        <v>1104</v>
      </c>
      <c r="MD12" s="564" t="s">
        <v>389</v>
      </c>
      <c r="ME12" s="566">
        <v>6</v>
      </c>
      <c r="MF12" s="430">
        <f t="shared" si="121"/>
        <v>723.20708317100002</v>
      </c>
      <c r="MG12" s="182">
        <f t="shared" si="122"/>
        <v>556.18376578599998</v>
      </c>
      <c r="MH12" s="182">
        <f t="shared" si="123"/>
        <v>653.35256040100001</v>
      </c>
      <c r="MI12" s="182">
        <f t="shared" si="124"/>
        <v>685.16845392700009</v>
      </c>
      <c r="MJ12" s="282">
        <f t="shared" si="125"/>
        <v>724.52241631599998</v>
      </c>
      <c r="OF12" s="699" t="s">
        <v>448</v>
      </c>
      <c r="OG12" s="316">
        <v>6</v>
      </c>
      <c r="OH12" s="430">
        <f t="shared" si="126"/>
        <v>2511.9139999999998</v>
      </c>
      <c r="OI12" s="182">
        <f t="shared" si="127"/>
        <v>2391.0039999999999</v>
      </c>
      <c r="OJ12" s="182">
        <f t="shared" si="128"/>
        <v>2279.049</v>
      </c>
      <c r="OK12" s="182">
        <f t="shared" si="129"/>
        <v>2182.2190000000001</v>
      </c>
      <c r="OL12" s="282">
        <f t="shared" si="130"/>
        <v>2189.17</v>
      </c>
      <c r="PD12" s="709" t="s">
        <v>473</v>
      </c>
      <c r="PE12" s="316">
        <f t="shared" si="165"/>
        <v>30</v>
      </c>
      <c r="PF12" s="324">
        <f t="shared" si="131"/>
        <v>1812.489944057</v>
      </c>
      <c r="PG12" s="182">
        <f t="shared" si="132"/>
        <v>1651.611206</v>
      </c>
      <c r="PH12" s="182">
        <f t="shared" si="133"/>
        <v>1435.511246713</v>
      </c>
      <c r="PI12" s="182">
        <f t="shared" si="134"/>
        <v>1412.846554</v>
      </c>
      <c r="PJ12" s="282">
        <f t="shared" si="135"/>
        <v>1508.405847045</v>
      </c>
      <c r="QF12" s="1733" t="s">
        <v>491</v>
      </c>
      <c r="QG12" s="316">
        <f t="shared" si="166"/>
        <v>58</v>
      </c>
      <c r="QH12" s="430">
        <f t="shared" si="136"/>
        <v>510.38700000000006</v>
      </c>
      <c r="QI12" s="182">
        <f t="shared" si="137"/>
        <v>393.78200000000004</v>
      </c>
      <c r="QJ12" s="182">
        <f t="shared" si="138"/>
        <v>387.40099999999995</v>
      </c>
      <c r="QK12" s="182">
        <f t="shared" si="139"/>
        <v>375.56899999999996</v>
      </c>
      <c r="QL12" s="282">
        <f t="shared" si="140"/>
        <v>433.61</v>
      </c>
      <c r="RO12" s="426"/>
      <c r="RP12" s="425">
        <v>1</v>
      </c>
      <c r="RQ12" s="363">
        <f>INDEX($RT$68:$RW$679,MAX($RW$68:$RW$679)-12,$RP12)</f>
        <v>44896</v>
      </c>
      <c r="RR12" s="49">
        <f>INDEX($RT$68:$RW$679,MAX($RW$68:$RW$679)-3,$RP12)</f>
        <v>45170</v>
      </c>
      <c r="RS12" s="49">
        <f>INDEX($RT$68:$RW$679,MAX($RW$68:$RW$679)-2,$RP12)</f>
        <v>45200</v>
      </c>
      <c r="RT12" s="49">
        <f>INDEX($RT$68:$RW$679,MAX($RW$68:$RW$679)-1,$RP12)</f>
        <v>45231</v>
      </c>
      <c r="RU12" s="50">
        <f>INDEX($RT$68:$RW$679,MAX($RW$68:$RW$679),$RP12)</f>
        <v>45261</v>
      </c>
    </row>
    <row r="13" spans="2:489" ht="27" customHeight="1" thickBot="1">
      <c r="B13" s="39" t="s">
        <v>8</v>
      </c>
      <c r="C13" s="65">
        <v>8</v>
      </c>
      <c r="D13" s="58">
        <f t="shared" si="0"/>
        <v>37716</v>
      </c>
      <c r="E13" s="35">
        <f t="shared" si="1"/>
        <v>25730</v>
      </c>
      <c r="F13" s="35">
        <f t="shared" si="2"/>
        <v>31571</v>
      </c>
      <c r="G13" s="35">
        <f t="shared" si="3"/>
        <v>30299</v>
      </c>
      <c r="H13" s="59">
        <f t="shared" si="4"/>
        <v>27698</v>
      </c>
      <c r="O13" s="109" t="s">
        <v>29</v>
      </c>
      <c r="P13" s="105">
        <v>8</v>
      </c>
      <c r="Q13" s="106">
        <f t="shared" si="25"/>
        <v>585</v>
      </c>
      <c r="R13" s="99">
        <f t="shared" si="26"/>
        <v>293</v>
      </c>
      <c r="S13" s="99">
        <f t="shared" si="27"/>
        <v>643</v>
      </c>
      <c r="T13" s="99">
        <f t="shared" si="28"/>
        <v>355</v>
      </c>
      <c r="U13" s="107">
        <f t="shared" si="29"/>
        <v>402</v>
      </c>
      <c r="AE13" s="109" t="s">
        <v>29</v>
      </c>
      <c r="AF13" s="108">
        <v>8</v>
      </c>
      <c r="AG13" s="106">
        <f t="shared" si="5"/>
        <v>2595</v>
      </c>
      <c r="AH13" s="99">
        <f t="shared" si="6"/>
        <v>656</v>
      </c>
      <c r="AI13" s="99">
        <f t="shared" si="7"/>
        <v>768</v>
      </c>
      <c r="AJ13" s="99">
        <f t="shared" si="8"/>
        <v>1276</v>
      </c>
      <c r="AK13" s="107">
        <f t="shared" si="9"/>
        <v>891</v>
      </c>
      <c r="AV13" s="109" t="s">
        <v>29</v>
      </c>
      <c r="AW13" s="108">
        <v>8</v>
      </c>
      <c r="AX13" s="106">
        <f t="shared" si="10"/>
        <v>5911</v>
      </c>
      <c r="AY13" s="99">
        <f t="shared" si="11"/>
        <v>3612</v>
      </c>
      <c r="AZ13" s="99">
        <f t="shared" si="12"/>
        <v>3559</v>
      </c>
      <c r="BA13" s="99">
        <f t="shared" si="13"/>
        <v>3015</v>
      </c>
      <c r="BB13" s="107">
        <f t="shared" si="14"/>
        <v>3195</v>
      </c>
      <c r="BN13" s="39" t="s">
        <v>9</v>
      </c>
      <c r="BO13" s="65">
        <v>8</v>
      </c>
      <c r="BP13" s="60">
        <f t="shared" si="15"/>
        <v>441.44799999999998</v>
      </c>
      <c r="BQ13" s="61">
        <f t="shared" si="16"/>
        <v>286.048</v>
      </c>
      <c r="BR13" s="61">
        <f t="shared" si="17"/>
        <v>323.12</v>
      </c>
      <c r="BS13" s="61">
        <f t="shared" si="18"/>
        <v>304.36</v>
      </c>
      <c r="BT13" s="62">
        <f t="shared" si="19"/>
        <v>360.66800000000001</v>
      </c>
      <c r="CF13" s="743" t="s">
        <v>71</v>
      </c>
      <c r="CG13" s="195" t="s">
        <v>1016</v>
      </c>
      <c r="CH13" s="736">
        <v>6</v>
      </c>
      <c r="CI13" s="200">
        <f t="shared" si="141"/>
        <v>446.39</v>
      </c>
      <c r="CJ13" s="200">
        <f t="shared" si="142"/>
        <v>609.9</v>
      </c>
      <c r="CK13" s="200">
        <f t="shared" si="143"/>
        <v>574.71</v>
      </c>
      <c r="CL13" s="200">
        <f t="shared" si="144"/>
        <v>574.59</v>
      </c>
      <c r="CM13" s="749">
        <f t="shared" si="145"/>
        <v>629.59</v>
      </c>
      <c r="CX13" s="367" t="s">
        <v>169</v>
      </c>
      <c r="CY13" s="368">
        <v>7</v>
      </c>
      <c r="CZ13" s="325">
        <f t="shared" si="146"/>
        <v>0</v>
      </c>
      <c r="DA13" s="321">
        <f t="shared" si="30"/>
        <v>0</v>
      </c>
      <c r="DB13" s="321">
        <f t="shared" si="147"/>
        <v>0</v>
      </c>
      <c r="DC13" s="321">
        <f t="shared" si="148"/>
        <v>0</v>
      </c>
      <c r="DD13" s="322">
        <f t="shared" si="149"/>
        <v>0</v>
      </c>
      <c r="DH13" s="2166"/>
      <c r="DI13" s="376" t="s">
        <v>179</v>
      </c>
      <c r="DJ13" s="379">
        <v>7</v>
      </c>
      <c r="DK13" s="324">
        <f t="shared" si="31"/>
        <v>6767</v>
      </c>
      <c r="DL13" s="182">
        <f t="shared" si="32"/>
        <v>3932</v>
      </c>
      <c r="DM13" s="182">
        <f t="shared" si="33"/>
        <v>5264</v>
      </c>
      <c r="DN13" s="182">
        <f t="shared" si="34"/>
        <v>5036</v>
      </c>
      <c r="DO13" s="290">
        <f t="shared" si="35"/>
        <v>5739</v>
      </c>
      <c r="DR13" s="91" t="s">
        <v>187</v>
      </c>
      <c r="DS13" s="316">
        <v>7</v>
      </c>
      <c r="DT13" s="168">
        <f t="shared" si="150"/>
        <v>4077</v>
      </c>
      <c r="DU13" s="93">
        <f t="shared" si="151"/>
        <v>3494.5</v>
      </c>
      <c r="DV13" s="93">
        <f t="shared" si="152"/>
        <v>5333</v>
      </c>
      <c r="DW13" s="93">
        <f t="shared" si="153"/>
        <v>4050</v>
      </c>
      <c r="DX13" s="169">
        <f t="shared" si="154"/>
        <v>4955</v>
      </c>
      <c r="EJ13" s="423" t="s">
        <v>210</v>
      </c>
      <c r="EK13" s="422">
        <v>7</v>
      </c>
      <c r="EL13" s="430">
        <f t="shared" si="36"/>
        <v>139.881</v>
      </c>
      <c r="EM13" s="182">
        <f t="shared" si="37"/>
        <v>83.870999999999995</v>
      </c>
      <c r="EN13" s="182">
        <f t="shared" si="38"/>
        <v>64.102999999999994</v>
      </c>
      <c r="EO13" s="182">
        <f t="shared" si="39"/>
        <v>68.314999999999998</v>
      </c>
      <c r="EP13" s="282">
        <f t="shared" si="40"/>
        <v>63.058999999999997</v>
      </c>
      <c r="ES13" s="423" t="s">
        <v>210</v>
      </c>
      <c r="ET13" s="422">
        <v>7</v>
      </c>
      <c r="EU13" s="430">
        <f t="shared" si="41"/>
        <v>134.416</v>
      </c>
      <c r="EV13" s="182">
        <f t="shared" si="42"/>
        <v>83.870999999999995</v>
      </c>
      <c r="EW13" s="182">
        <f t="shared" si="43"/>
        <v>64.102999999999994</v>
      </c>
      <c r="EX13" s="182">
        <f t="shared" si="44"/>
        <v>68.314999999999998</v>
      </c>
      <c r="EY13" s="282">
        <f t="shared" si="45"/>
        <v>63.058999999999997</v>
      </c>
      <c r="FB13" s="423" t="s">
        <v>210</v>
      </c>
      <c r="FC13" s="422">
        <v>7</v>
      </c>
      <c r="FD13" s="430">
        <f t="shared" si="155"/>
        <v>5.4649999999999999</v>
      </c>
      <c r="FE13" s="182">
        <f t="shared" si="156"/>
        <v>0</v>
      </c>
      <c r="FF13" s="182">
        <f t="shared" si="157"/>
        <v>0</v>
      </c>
      <c r="FG13" s="182">
        <f t="shared" si="158"/>
        <v>0</v>
      </c>
      <c r="FH13" s="282">
        <f t="shared" si="159"/>
        <v>0</v>
      </c>
      <c r="FN13" s="481" t="s">
        <v>227</v>
      </c>
      <c r="FO13" s="422">
        <v>7</v>
      </c>
      <c r="FP13" s="106">
        <f t="shared" si="46"/>
        <v>102.08</v>
      </c>
      <c r="FQ13" s="99">
        <f t="shared" si="47"/>
        <v>102</v>
      </c>
      <c r="FR13" s="99">
        <f t="shared" si="48"/>
        <v>102</v>
      </c>
      <c r="FS13" s="99">
        <f t="shared" si="49"/>
        <v>102</v>
      </c>
      <c r="FT13" s="107">
        <f t="shared" si="50"/>
        <v>102</v>
      </c>
      <c r="GC13" s="91" t="s">
        <v>242</v>
      </c>
      <c r="GD13" s="316">
        <v>7</v>
      </c>
      <c r="GE13" s="106">
        <f t="shared" si="51"/>
        <v>110.78</v>
      </c>
      <c r="GF13" s="99">
        <f t="shared" si="52"/>
        <v>113</v>
      </c>
      <c r="GG13" s="99">
        <f t="shared" si="53"/>
        <v>113.2</v>
      </c>
      <c r="GH13" s="99">
        <f t="shared" si="54"/>
        <v>113.5</v>
      </c>
      <c r="GI13" s="107">
        <f t="shared" si="55"/>
        <v>113.14</v>
      </c>
      <c r="GS13" s="493" t="s">
        <v>258</v>
      </c>
      <c r="GT13" s="316">
        <v>6</v>
      </c>
      <c r="GU13" s="106">
        <f t="shared" si="160"/>
        <v>410</v>
      </c>
      <c r="GV13" s="99">
        <f t="shared" si="161"/>
        <v>413</v>
      </c>
      <c r="GW13" s="99">
        <f t="shared" si="162"/>
        <v>421</v>
      </c>
      <c r="GX13" s="99">
        <f t="shared" si="163"/>
        <v>422</v>
      </c>
      <c r="GY13" s="107">
        <f t="shared" si="164"/>
        <v>434</v>
      </c>
      <c r="HT13" s="313" t="s">
        <v>293</v>
      </c>
      <c r="HU13" s="1512">
        <v>7</v>
      </c>
      <c r="HV13" s="106">
        <f t="shared" si="56"/>
        <v>282.12895584106445</v>
      </c>
      <c r="HW13" s="99">
        <f t="shared" si="57"/>
        <v>444.4444580078125</v>
      </c>
      <c r="HX13" s="99">
        <f t="shared" si="58"/>
        <v>441</v>
      </c>
      <c r="HY13" s="99">
        <f t="shared" si="59"/>
        <v>421</v>
      </c>
      <c r="HZ13" s="107">
        <f t="shared" si="60"/>
        <v>370</v>
      </c>
      <c r="IB13" s="418" t="s">
        <v>304</v>
      </c>
      <c r="IC13" s="1512">
        <v>15</v>
      </c>
      <c r="ID13" s="487">
        <f t="shared" si="61"/>
        <v>207.18232727050781</v>
      </c>
      <c r="IE13" s="488">
        <f t="shared" si="62"/>
        <v>312.50001525878906</v>
      </c>
      <c r="IF13" s="488">
        <f t="shared" si="63"/>
        <v>325</v>
      </c>
      <c r="IG13" s="488">
        <f t="shared" si="64"/>
        <v>280</v>
      </c>
      <c r="IH13" s="489">
        <f t="shared" si="65"/>
        <v>213</v>
      </c>
      <c r="IJ13" s="91" t="s">
        <v>294</v>
      </c>
      <c r="IK13" s="1512">
        <v>21</v>
      </c>
      <c r="IL13" s="106">
        <f t="shared" si="66"/>
        <v>206.45161743164061</v>
      </c>
      <c r="IM13" s="99">
        <f t="shared" si="67"/>
        <v>289.69593811035156</v>
      </c>
      <c r="IN13" s="99">
        <f t="shared" si="68"/>
        <v>255</v>
      </c>
      <c r="IO13" s="99">
        <f t="shared" si="69"/>
        <v>214</v>
      </c>
      <c r="IP13" s="107">
        <f t="shared" si="70"/>
        <v>241</v>
      </c>
      <c r="IR13" s="418" t="s">
        <v>304</v>
      </c>
      <c r="IS13" s="317">
        <v>30</v>
      </c>
      <c r="IT13" s="541">
        <f t="shared" si="71"/>
        <v>176.39665222167969</v>
      </c>
      <c r="IU13" s="488">
        <f t="shared" si="72"/>
        <v>213.99455642700195</v>
      </c>
      <c r="IV13" s="488">
        <f t="shared" si="73"/>
        <v>132</v>
      </c>
      <c r="IW13" s="488">
        <f t="shared" si="74"/>
        <v>146</v>
      </c>
      <c r="IX13" s="489">
        <f t="shared" si="75"/>
        <v>169</v>
      </c>
      <c r="IZ13" s="91" t="s">
        <v>315</v>
      </c>
      <c r="JA13" s="316">
        <v>37</v>
      </c>
      <c r="JB13" s="106">
        <f t="shared" si="76"/>
        <v>400</v>
      </c>
      <c r="JC13" s="99">
        <f t="shared" si="77"/>
        <v>425</v>
      </c>
      <c r="JD13" s="99">
        <f t="shared" si="78"/>
        <v>425</v>
      </c>
      <c r="JE13" s="99">
        <f t="shared" si="79"/>
        <v>425</v>
      </c>
      <c r="JF13" s="107">
        <f t="shared" si="80"/>
        <v>425</v>
      </c>
      <c r="JH13" s="91" t="s">
        <v>293</v>
      </c>
      <c r="JI13" s="316">
        <v>46</v>
      </c>
      <c r="JJ13" s="220">
        <f t="shared" si="81"/>
        <v>211.08622550964355</v>
      </c>
      <c r="JK13" s="99">
        <f t="shared" si="82"/>
        <v>348.64864349365234</v>
      </c>
      <c r="JL13" s="99">
        <f t="shared" si="83"/>
        <v>338</v>
      </c>
      <c r="JM13" s="99">
        <f t="shared" si="84"/>
        <v>323</v>
      </c>
      <c r="JN13" s="107">
        <f t="shared" si="85"/>
        <v>279</v>
      </c>
      <c r="JP13" s="418" t="s">
        <v>304</v>
      </c>
      <c r="JQ13" s="317">
        <v>55</v>
      </c>
      <c r="JR13" s="541">
        <f t="shared" si="86"/>
        <v>172.08994293212891</v>
      </c>
      <c r="JS13" s="488">
        <f t="shared" si="87"/>
        <v>258.85417938232422</v>
      </c>
      <c r="JT13" s="488">
        <f t="shared" si="88"/>
        <v>232</v>
      </c>
      <c r="JU13" s="488">
        <f t="shared" si="89"/>
        <v>165</v>
      </c>
      <c r="JV13" s="489">
        <f t="shared" si="90"/>
        <v>163</v>
      </c>
      <c r="JX13" s="91" t="s">
        <v>373</v>
      </c>
      <c r="JY13" s="316">
        <v>7</v>
      </c>
      <c r="JZ13" s="220">
        <f t="shared" si="91"/>
        <v>0</v>
      </c>
      <c r="KA13" s="99">
        <f t="shared" si="92"/>
        <v>383750</v>
      </c>
      <c r="KB13" s="99">
        <f t="shared" si="93"/>
        <v>371000</v>
      </c>
      <c r="KC13" s="99">
        <f t="shared" si="94"/>
        <v>349250</v>
      </c>
      <c r="KD13" s="107">
        <f t="shared" si="95"/>
        <v>381667</v>
      </c>
      <c r="KF13" s="418" t="s">
        <v>377</v>
      </c>
      <c r="KG13" s="317">
        <v>15</v>
      </c>
      <c r="KH13" s="541">
        <f t="shared" si="96"/>
        <v>0</v>
      </c>
      <c r="KI13" s="488">
        <f t="shared" si="97"/>
        <v>0</v>
      </c>
      <c r="KJ13" s="488">
        <f t="shared" si="98"/>
        <v>0</v>
      </c>
      <c r="KK13" s="488">
        <f t="shared" si="99"/>
        <v>0</v>
      </c>
      <c r="KL13" s="489">
        <f t="shared" si="100"/>
        <v>0</v>
      </c>
      <c r="KN13" s="418" t="s">
        <v>377</v>
      </c>
      <c r="KO13" s="317">
        <v>22</v>
      </c>
      <c r="KP13" s="541">
        <f t="shared" si="101"/>
        <v>0</v>
      </c>
      <c r="KQ13" s="488">
        <f t="shared" si="102"/>
        <v>0</v>
      </c>
      <c r="KR13" s="488">
        <f t="shared" si="103"/>
        <v>0</v>
      </c>
      <c r="KS13" s="488">
        <f t="shared" si="104"/>
        <v>0</v>
      </c>
      <c r="KT13" s="489">
        <f t="shared" si="105"/>
        <v>0</v>
      </c>
      <c r="KV13" s="418" t="s">
        <v>377</v>
      </c>
      <c r="KW13" s="317">
        <v>29</v>
      </c>
      <c r="KX13" s="541">
        <f t="shared" si="106"/>
        <v>0</v>
      </c>
      <c r="KY13" s="488">
        <f t="shared" si="107"/>
        <v>0</v>
      </c>
      <c r="KZ13" s="488">
        <f t="shared" si="108"/>
        <v>0</v>
      </c>
      <c r="LA13" s="488">
        <f t="shared" si="109"/>
        <v>0</v>
      </c>
      <c r="LB13" s="489">
        <f t="shared" si="110"/>
        <v>0</v>
      </c>
      <c r="LD13" s="547" t="s">
        <v>342</v>
      </c>
      <c r="LE13" s="316">
        <v>7</v>
      </c>
      <c r="LF13" s="168">
        <f t="shared" si="111"/>
        <v>5000</v>
      </c>
      <c r="LG13" s="93">
        <f t="shared" si="112"/>
        <v>5000</v>
      </c>
      <c r="LH13" s="93">
        <f t="shared" si="113"/>
        <v>5000</v>
      </c>
      <c r="LI13" s="93">
        <f t="shared" si="114"/>
        <v>5000</v>
      </c>
      <c r="LJ13" s="169">
        <f t="shared" si="115"/>
        <v>5000</v>
      </c>
      <c r="LL13" s="418" t="s">
        <v>349</v>
      </c>
      <c r="LM13" s="317">
        <v>15</v>
      </c>
      <c r="LN13" s="170">
        <f t="shared" si="116"/>
        <v>0</v>
      </c>
      <c r="LO13" s="171">
        <f t="shared" si="117"/>
        <v>0</v>
      </c>
      <c r="LP13" s="171">
        <f t="shared" si="118"/>
        <v>0</v>
      </c>
      <c r="LQ13" s="171">
        <f t="shared" si="119"/>
        <v>0</v>
      </c>
      <c r="LR13" s="172">
        <f t="shared" si="120"/>
        <v>0</v>
      </c>
      <c r="LT13" s="549" t="s">
        <v>180</v>
      </c>
      <c r="LU13" s="316">
        <v>22</v>
      </c>
      <c r="LV13" s="554"/>
      <c r="LW13" s="555"/>
      <c r="LX13" s="555"/>
      <c r="LY13" s="555"/>
      <c r="LZ13" s="556"/>
      <c r="MD13" s="564" t="s">
        <v>390</v>
      </c>
      <c r="ME13" s="566">
        <v>7</v>
      </c>
      <c r="MF13" s="430">
        <f t="shared" si="121"/>
        <v>18.236443629</v>
      </c>
      <c r="MG13" s="182">
        <f t="shared" si="122"/>
        <v>13.966450811000001</v>
      </c>
      <c r="MH13" s="182">
        <f t="shared" si="123"/>
        <v>15.460823969</v>
      </c>
      <c r="MI13" s="182">
        <f t="shared" si="124"/>
        <v>16.974790444000003</v>
      </c>
      <c r="MJ13" s="282">
        <f t="shared" si="125"/>
        <v>18.464338783000002</v>
      </c>
      <c r="OF13" s="698" t="s">
        <v>449</v>
      </c>
      <c r="OG13" s="316">
        <v>7</v>
      </c>
      <c r="OH13" s="430">
        <f t="shared" si="126"/>
        <v>301.60051123</v>
      </c>
      <c r="OI13" s="182">
        <f t="shared" si="127"/>
        <v>301.60051123</v>
      </c>
      <c r="OJ13" s="182">
        <f t="shared" si="128"/>
        <v>301.60051123</v>
      </c>
      <c r="OK13" s="182">
        <f t="shared" si="129"/>
        <v>301.60051123</v>
      </c>
      <c r="OL13" s="282">
        <f t="shared" si="130"/>
        <v>301.60051123</v>
      </c>
      <c r="PD13" s="710" t="s">
        <v>474</v>
      </c>
      <c r="PE13" s="316">
        <f t="shared" si="165"/>
        <v>31</v>
      </c>
      <c r="PF13" s="324">
        <f t="shared" si="131"/>
        <v>67.136885559000007</v>
      </c>
      <c r="PG13" s="182">
        <f t="shared" si="132"/>
        <v>91.08669628399997</v>
      </c>
      <c r="PH13" s="182">
        <f t="shared" si="133"/>
        <v>133.05611646200001</v>
      </c>
      <c r="PI13" s="182">
        <f t="shared" si="134"/>
        <v>181.37667608499999</v>
      </c>
      <c r="PJ13" s="282">
        <f t="shared" si="135"/>
        <v>206.32895775600002</v>
      </c>
      <c r="QF13" s="1734" t="s">
        <v>492</v>
      </c>
      <c r="QG13" s="316">
        <f t="shared" si="166"/>
        <v>59</v>
      </c>
      <c r="QH13" s="430">
        <f t="shared" si="136"/>
        <v>131.74100000000001</v>
      </c>
      <c r="QI13" s="182">
        <f t="shared" si="137"/>
        <v>123.535</v>
      </c>
      <c r="QJ13" s="182">
        <f t="shared" si="138"/>
        <v>139.55199999999999</v>
      </c>
      <c r="QK13" s="182">
        <f t="shared" si="139"/>
        <v>132.61699999999999</v>
      </c>
      <c r="QL13" s="282">
        <f t="shared" si="140"/>
        <v>154.542</v>
      </c>
      <c r="RO13" s="979" t="s">
        <v>718</v>
      </c>
      <c r="RP13" s="716">
        <v>2</v>
      </c>
      <c r="RQ13" s="717">
        <f>INDEX($RT$68:$RW$679,MAX($RW$68:$RW$679)-12,$RP13)</f>
        <v>1482</v>
      </c>
      <c r="RR13" s="717">
        <f>INDEX($RT$68:$RW$679,MAX($RW$68:$RW$679)-3,$RP13)</f>
        <v>1627</v>
      </c>
      <c r="RS13" s="717">
        <f>INDEX($RT$68:$RW$679,MAX($RW$68:$RW$679)-2,$RP13)</f>
        <v>2101</v>
      </c>
      <c r="RT13" s="717">
        <f>INDEX($RT$68:$RW$679,MAX($RW$68:$RW$679)-1,$RP13)</f>
        <v>2665</v>
      </c>
      <c r="RU13" s="717">
        <f>INDEX($RT$68:$RW$679,MAX($RW$68:$RW$679),$RP13)</f>
        <v>2435</v>
      </c>
    </row>
    <row r="14" spans="2:489" ht="24.75" customHeight="1" thickBot="1">
      <c r="B14" s="39" t="s">
        <v>9</v>
      </c>
      <c r="C14" s="65">
        <v>9</v>
      </c>
      <c r="D14" s="60">
        <f t="shared" si="0"/>
        <v>15766</v>
      </c>
      <c r="E14" s="61">
        <f t="shared" si="1"/>
        <v>10216</v>
      </c>
      <c r="F14" s="61">
        <f t="shared" si="2"/>
        <v>11540</v>
      </c>
      <c r="G14" s="61">
        <f t="shared" si="3"/>
        <v>10870</v>
      </c>
      <c r="H14" s="62">
        <f t="shared" si="4"/>
        <v>12881</v>
      </c>
      <c r="O14" s="109" t="s">
        <v>30</v>
      </c>
      <c r="P14" s="105">
        <v>9</v>
      </c>
      <c r="Q14" s="106">
        <f t="shared" si="25"/>
        <v>443</v>
      </c>
      <c r="R14" s="99">
        <f t="shared" si="26"/>
        <v>17</v>
      </c>
      <c r="S14" s="99">
        <f t="shared" si="27"/>
        <v>37</v>
      </c>
      <c r="T14" s="99">
        <f t="shared" si="28"/>
        <v>17</v>
      </c>
      <c r="U14" s="107">
        <f t="shared" si="29"/>
        <v>33</v>
      </c>
      <c r="AE14" s="109" t="s">
        <v>30</v>
      </c>
      <c r="AF14" s="108">
        <v>9</v>
      </c>
      <c r="AG14" s="106">
        <f t="shared" si="5"/>
        <v>676</v>
      </c>
      <c r="AH14" s="99">
        <f t="shared" si="6"/>
        <v>40</v>
      </c>
      <c r="AI14" s="99">
        <f t="shared" si="7"/>
        <v>39</v>
      </c>
      <c r="AJ14" s="99">
        <f t="shared" si="8"/>
        <v>37</v>
      </c>
      <c r="AK14" s="107">
        <f t="shared" si="9"/>
        <v>55</v>
      </c>
      <c r="AV14" s="109" t="s">
        <v>30</v>
      </c>
      <c r="AW14" s="108">
        <v>9</v>
      </c>
      <c r="AX14" s="106">
        <f t="shared" si="10"/>
        <v>2546</v>
      </c>
      <c r="AY14" s="99">
        <f t="shared" si="11"/>
        <v>54</v>
      </c>
      <c r="AZ14" s="99">
        <f t="shared" si="12"/>
        <v>69</v>
      </c>
      <c r="BA14" s="99">
        <f t="shared" si="13"/>
        <v>64</v>
      </c>
      <c r="BB14" s="107">
        <f t="shared" si="14"/>
        <v>76</v>
      </c>
      <c r="BN14" s="40" t="s">
        <v>13</v>
      </c>
      <c r="BO14" s="150">
        <v>9</v>
      </c>
      <c r="BP14" s="52">
        <f t="shared" si="15"/>
        <v>8572.866</v>
      </c>
      <c r="BQ14" s="53">
        <f t="shared" si="16"/>
        <v>4469.8079999999991</v>
      </c>
      <c r="BR14" s="53">
        <f t="shared" si="17"/>
        <v>5568.0509999999995</v>
      </c>
      <c r="BS14" s="53">
        <f t="shared" si="18"/>
        <v>5414.2149999999983</v>
      </c>
      <c r="BT14" s="54">
        <f t="shared" si="19"/>
        <v>5491.1479999999992</v>
      </c>
      <c r="CF14" s="745" t="s">
        <v>72</v>
      </c>
      <c r="CG14" s="197" t="s">
        <v>1016</v>
      </c>
      <c r="CH14" s="736">
        <v>7</v>
      </c>
      <c r="CI14" s="81">
        <f t="shared" si="141"/>
        <v>302.24781999999999</v>
      </c>
      <c r="CJ14" s="81">
        <f t="shared" si="142"/>
        <v>223.80708000000001</v>
      </c>
      <c r="CK14" s="81">
        <f t="shared" si="143"/>
        <v>230.69648000000001</v>
      </c>
      <c r="CL14" s="81">
        <f t="shared" si="144"/>
        <v>211.26049839999999</v>
      </c>
      <c r="CM14" s="746">
        <f t="shared" si="145"/>
        <v>206.54803944445001</v>
      </c>
      <c r="DH14" s="2167"/>
      <c r="DI14" s="377" t="s">
        <v>180</v>
      </c>
      <c r="DJ14" s="380">
        <v>8</v>
      </c>
      <c r="DK14" s="381">
        <f t="shared" si="31"/>
        <v>1623341</v>
      </c>
      <c r="DL14" s="382">
        <f t="shared" si="32"/>
        <v>1355055</v>
      </c>
      <c r="DM14" s="382">
        <f t="shared" si="33"/>
        <v>1515354</v>
      </c>
      <c r="DN14" s="382">
        <f t="shared" si="34"/>
        <v>1504130</v>
      </c>
      <c r="DO14" s="296">
        <f t="shared" si="35"/>
        <v>1703882</v>
      </c>
      <c r="DR14" s="418" t="s">
        <v>188</v>
      </c>
      <c r="DS14" s="317">
        <v>8</v>
      </c>
      <c r="DT14" s="170">
        <f t="shared" si="150"/>
        <v>22784.123214285712</v>
      </c>
      <c r="DU14" s="171">
        <f t="shared" si="151"/>
        <v>13271.496999999999</v>
      </c>
      <c r="DV14" s="171">
        <f t="shared" si="152"/>
        <v>14153.455</v>
      </c>
      <c r="DW14" s="171">
        <f t="shared" si="153"/>
        <v>12574.839</v>
      </c>
      <c r="DX14" s="172">
        <f t="shared" si="154"/>
        <v>14654.11</v>
      </c>
      <c r="EJ14" s="423" t="s">
        <v>211</v>
      </c>
      <c r="EK14" s="422">
        <v>8</v>
      </c>
      <c r="EL14" s="430">
        <f t="shared" si="36"/>
        <v>7.56</v>
      </c>
      <c r="EM14" s="182">
        <f t="shared" si="37"/>
        <v>3.6459999999999999</v>
      </c>
      <c r="EN14" s="182">
        <f t="shared" si="38"/>
        <v>3.3530000000000002</v>
      </c>
      <c r="EO14" s="182">
        <f t="shared" si="39"/>
        <v>2.927</v>
      </c>
      <c r="EP14" s="282">
        <f t="shared" si="40"/>
        <v>4.1740000000000004</v>
      </c>
      <c r="ES14" s="423" t="s">
        <v>211</v>
      </c>
      <c r="ET14" s="422">
        <v>8</v>
      </c>
      <c r="EU14" s="430">
        <f t="shared" si="41"/>
        <v>7.56</v>
      </c>
      <c r="EV14" s="182">
        <f t="shared" si="42"/>
        <v>3.6459999999999999</v>
      </c>
      <c r="EW14" s="182">
        <f t="shared" si="43"/>
        <v>3.3530000000000002</v>
      </c>
      <c r="EX14" s="182">
        <f t="shared" si="44"/>
        <v>2.927</v>
      </c>
      <c r="EY14" s="282">
        <f t="shared" si="45"/>
        <v>4.1740000000000004</v>
      </c>
      <c r="FB14" s="423" t="s">
        <v>211</v>
      </c>
      <c r="FC14" s="422">
        <v>8</v>
      </c>
      <c r="FD14" s="430">
        <f t="shared" si="155"/>
        <v>0</v>
      </c>
      <c r="FE14" s="182">
        <f t="shared" si="156"/>
        <v>0</v>
      </c>
      <c r="FF14" s="182">
        <f t="shared" si="157"/>
        <v>0</v>
      </c>
      <c r="FG14" s="182">
        <f t="shared" si="158"/>
        <v>0</v>
      </c>
      <c r="FH14" s="282">
        <f t="shared" si="159"/>
        <v>0</v>
      </c>
      <c r="FN14" s="481" t="s">
        <v>228</v>
      </c>
      <c r="FO14" s="422">
        <v>8</v>
      </c>
      <c r="FP14" s="106">
        <f t="shared" si="46"/>
        <v>100.66</v>
      </c>
      <c r="FQ14" s="99">
        <f t="shared" si="47"/>
        <v>106.5</v>
      </c>
      <c r="FR14" s="99">
        <f t="shared" si="48"/>
        <v>106.5</v>
      </c>
      <c r="FS14" s="99">
        <f t="shared" si="49"/>
        <v>106.54</v>
      </c>
      <c r="FT14" s="107">
        <f t="shared" si="50"/>
        <v>106.54</v>
      </c>
      <c r="GC14" s="91" t="s">
        <v>243</v>
      </c>
      <c r="GD14" s="316">
        <v>8</v>
      </c>
      <c r="GE14" s="106">
        <f t="shared" si="51"/>
        <v>146.63999999999999</v>
      </c>
      <c r="GF14" s="99">
        <f t="shared" si="52"/>
        <v>149.4</v>
      </c>
      <c r="GG14" s="99">
        <f t="shared" si="53"/>
        <v>149.4</v>
      </c>
      <c r="GH14" s="99">
        <f t="shared" si="54"/>
        <v>151.58000000000001</v>
      </c>
      <c r="GI14" s="107">
        <f t="shared" si="55"/>
        <v>147.26</v>
      </c>
      <c r="GS14" s="503" t="s">
        <v>125</v>
      </c>
      <c r="GT14" s="317">
        <v>7</v>
      </c>
      <c r="GU14" s="487">
        <f t="shared" si="160"/>
        <v>1145</v>
      </c>
      <c r="GV14" s="488">
        <f t="shared" si="161"/>
        <v>1490</v>
      </c>
      <c r="GW14" s="488">
        <f t="shared" si="162"/>
        <v>1495</v>
      </c>
      <c r="GX14" s="488">
        <f t="shared" si="163"/>
        <v>1419</v>
      </c>
      <c r="GY14" s="489">
        <f t="shared" si="164"/>
        <v>1413</v>
      </c>
      <c r="HT14" s="313" t="s">
        <v>294</v>
      </c>
      <c r="HU14" s="1512">
        <v>8</v>
      </c>
      <c r="HV14" s="106">
        <f t="shared" si="56"/>
        <v>242.48367309570313</v>
      </c>
      <c r="HW14" s="99">
        <f t="shared" si="57"/>
        <v>411.71617126464844</v>
      </c>
      <c r="HX14" s="99">
        <f t="shared" si="58"/>
        <v>415</v>
      </c>
      <c r="HY14" s="99">
        <f t="shared" si="59"/>
        <v>407</v>
      </c>
      <c r="HZ14" s="107">
        <f t="shared" si="60"/>
        <v>356</v>
      </c>
      <c r="IJ14" s="91" t="s">
        <v>307</v>
      </c>
      <c r="IK14" s="1512">
        <v>22</v>
      </c>
      <c r="IL14" s="106">
        <f t="shared" si="66"/>
        <v>235.01178359985352</v>
      </c>
      <c r="IM14" s="99">
        <f t="shared" si="67"/>
        <v>0</v>
      </c>
      <c r="IN14" s="99">
        <f t="shared" si="68"/>
        <v>0</v>
      </c>
      <c r="IO14" s="99">
        <f t="shared" si="69"/>
        <v>0</v>
      </c>
      <c r="IP14" s="107">
        <f t="shared" si="70"/>
        <v>0</v>
      </c>
      <c r="IZ14" s="91" t="s">
        <v>307</v>
      </c>
      <c r="JA14" s="316">
        <v>38</v>
      </c>
      <c r="JB14" s="106">
        <f t="shared" si="76"/>
        <v>390</v>
      </c>
      <c r="JC14" s="99">
        <f t="shared" si="77"/>
        <v>480</v>
      </c>
      <c r="JD14" s="99">
        <f t="shared" si="78"/>
        <v>476</v>
      </c>
      <c r="JE14" s="99">
        <f t="shared" si="79"/>
        <v>460</v>
      </c>
      <c r="JF14" s="107">
        <f t="shared" si="80"/>
        <v>460</v>
      </c>
      <c r="JH14" s="91" t="s">
        <v>294</v>
      </c>
      <c r="JI14" s="316">
        <v>47</v>
      </c>
      <c r="JJ14" s="220">
        <f t="shared" si="81"/>
        <v>199.33993530273438</v>
      </c>
      <c r="JK14" s="99">
        <f t="shared" si="82"/>
        <v>372.5</v>
      </c>
      <c r="JL14" s="99">
        <f t="shared" si="83"/>
        <v>342</v>
      </c>
      <c r="JM14" s="99">
        <f t="shared" si="84"/>
        <v>308</v>
      </c>
      <c r="JN14" s="107">
        <f t="shared" si="85"/>
        <v>284</v>
      </c>
      <c r="JX14" s="418" t="s">
        <v>374</v>
      </c>
      <c r="JY14" s="317">
        <v>8</v>
      </c>
      <c r="JZ14" s="541">
        <f t="shared" si="91"/>
        <v>0</v>
      </c>
      <c r="KA14" s="488">
        <f t="shared" si="92"/>
        <v>407308</v>
      </c>
      <c r="KB14" s="488">
        <f t="shared" si="93"/>
        <v>375000</v>
      </c>
      <c r="KC14" s="488">
        <f t="shared" si="94"/>
        <v>372083</v>
      </c>
      <c r="KD14" s="489">
        <f t="shared" si="95"/>
        <v>378889</v>
      </c>
      <c r="LD14" s="548" t="s">
        <v>343</v>
      </c>
      <c r="LE14" s="317">
        <v>8</v>
      </c>
      <c r="LF14" s="170">
        <f t="shared" si="111"/>
        <v>2000</v>
      </c>
      <c r="LG14" s="171">
        <f t="shared" si="112"/>
        <v>2000</v>
      </c>
      <c r="LH14" s="171">
        <f t="shared" si="113"/>
        <v>2000</v>
      </c>
      <c r="LI14" s="171">
        <f t="shared" si="114"/>
        <v>2000</v>
      </c>
      <c r="LJ14" s="172">
        <f t="shared" si="115"/>
        <v>2000</v>
      </c>
      <c r="LT14" s="91" t="s">
        <v>356</v>
      </c>
      <c r="LU14" s="316">
        <v>23</v>
      </c>
      <c r="LV14" s="168">
        <f>INDEX($LA$68:$MB$679,MAX($MB$68:$MB$679)-12,$LU14)</f>
        <v>5</v>
      </c>
      <c r="LW14" s="93">
        <f>INDEX($LA$68:$MB$679,MAX($MB$68:$MB$679)-3,$LU14)</f>
        <v>5</v>
      </c>
      <c r="LX14" s="93">
        <f>INDEX($LA$68:$MB$679,MAX($MB$68:$MB$679)-2,$LU14)</f>
        <v>5</v>
      </c>
      <c r="LY14" s="93">
        <f>INDEX($LA$68:$MB$679,MAX($MB$68:$MB$679)-1,$LU14)</f>
        <v>5</v>
      </c>
      <c r="LZ14" s="169">
        <f>INDEX($LA$68:$MB$679,MAX($MB$68:$MB$679),$LU14)</f>
        <v>5</v>
      </c>
      <c r="MD14" s="564" t="s">
        <v>391</v>
      </c>
      <c r="ME14" s="566">
        <v>8</v>
      </c>
      <c r="MF14" s="430">
        <f t="shared" si="121"/>
        <v>62.020125433155641</v>
      </c>
      <c r="MG14" s="182">
        <f t="shared" si="122"/>
        <v>52.649604813999993</v>
      </c>
      <c r="MH14" s="182">
        <f t="shared" si="123"/>
        <v>59.519124567999995</v>
      </c>
      <c r="MI14" s="182">
        <f t="shared" si="124"/>
        <v>65.585726166000001</v>
      </c>
      <c r="MJ14" s="282">
        <f t="shared" si="125"/>
        <v>73.01861349699999</v>
      </c>
      <c r="OF14" s="697" t="s">
        <v>450</v>
      </c>
      <c r="OG14" s="316">
        <v>8</v>
      </c>
      <c r="OH14" s="430">
        <f t="shared" si="126"/>
        <v>3642.6894146539998</v>
      </c>
      <c r="OI14" s="182">
        <f t="shared" si="127"/>
        <v>3626.2562703989997</v>
      </c>
      <c r="OJ14" s="182">
        <f t="shared" si="128"/>
        <v>3490.3703971699997</v>
      </c>
      <c r="OK14" s="182">
        <f t="shared" si="129"/>
        <v>3425.5537363510002</v>
      </c>
      <c r="OL14" s="282">
        <f t="shared" si="130"/>
        <v>3477.8684184080003</v>
      </c>
      <c r="PD14" s="711" t="s">
        <v>475</v>
      </c>
      <c r="PE14" s="316">
        <f t="shared" si="165"/>
        <v>32</v>
      </c>
      <c r="PF14" s="324">
        <f t="shared" si="131"/>
        <v>276.05598233500001</v>
      </c>
      <c r="PG14" s="182">
        <f t="shared" si="132"/>
        <v>337.52794514699997</v>
      </c>
      <c r="PH14" s="182">
        <f t="shared" si="133"/>
        <v>337.60668273300001</v>
      </c>
      <c r="PI14" s="182">
        <f t="shared" si="134"/>
        <v>337.65553846500001</v>
      </c>
      <c r="PJ14" s="282">
        <f t="shared" si="135"/>
        <v>333.17791819000001</v>
      </c>
      <c r="QF14" s="1733" t="s">
        <v>493</v>
      </c>
      <c r="QG14" s="316">
        <f t="shared" si="166"/>
        <v>60</v>
      </c>
      <c r="QH14" s="430">
        <f t="shared" si="136"/>
        <v>378.64600000000002</v>
      </c>
      <c r="QI14" s="182">
        <f t="shared" si="137"/>
        <v>270.24700000000001</v>
      </c>
      <c r="QJ14" s="182">
        <f t="shared" si="138"/>
        <v>247.84899999999999</v>
      </c>
      <c r="QK14" s="182">
        <f t="shared" si="139"/>
        <v>242.952</v>
      </c>
      <c r="QL14" s="282">
        <f t="shared" si="140"/>
        <v>279.06800000000004</v>
      </c>
      <c r="RO14" s="980" t="s">
        <v>719</v>
      </c>
      <c r="RP14" s="317">
        <v>3</v>
      </c>
      <c r="RQ14" s="717">
        <f>INDEX($RT$68:$RW$679,MAX($RW$68:$RW$679)-12,$RP14)</f>
        <v>42</v>
      </c>
      <c r="RR14" s="717">
        <f>INDEX($RT$68:$RW$679,MAX($RW$68:$RW$679)-3,$RP14)</f>
        <v>37</v>
      </c>
      <c r="RS14" s="717">
        <f>INDEX($RT$68:$RW$679,MAX($RW$68:$RW$679)-2,$RP14)</f>
        <v>38</v>
      </c>
      <c r="RT14" s="717">
        <f>INDEX($RT$68:$RW$679,MAX($RW$68:$RW$679)-1,$RP14)</f>
        <v>31</v>
      </c>
      <c r="RU14" s="717">
        <f>INDEX($RT$68:$RW$679,MAX($RW$68:$RW$679),$RP14)</f>
        <v>35</v>
      </c>
    </row>
    <row r="15" spans="2:489" ht="27" customHeight="1" thickBot="1">
      <c r="B15" s="40" t="s">
        <v>13</v>
      </c>
      <c r="C15" s="66">
        <v>10</v>
      </c>
      <c r="D15" s="52">
        <f t="shared" si="0"/>
        <v>410802</v>
      </c>
      <c r="E15" s="53">
        <f t="shared" si="1"/>
        <v>140298</v>
      </c>
      <c r="F15" s="53">
        <f t="shared" si="2"/>
        <v>154807</v>
      </c>
      <c r="G15" s="53">
        <f t="shared" si="3"/>
        <v>143970</v>
      </c>
      <c r="H15" s="54">
        <f t="shared" si="4"/>
        <v>136325</v>
      </c>
      <c r="O15" s="109" t="s">
        <v>31</v>
      </c>
      <c r="P15" s="105">
        <v>10</v>
      </c>
      <c r="Q15" s="106">
        <f t="shared" si="25"/>
        <v>6052</v>
      </c>
      <c r="R15" s="99">
        <f t="shared" si="26"/>
        <v>799</v>
      </c>
      <c r="S15" s="99">
        <f t="shared" si="27"/>
        <v>6869</v>
      </c>
      <c r="T15" s="99">
        <f t="shared" si="28"/>
        <v>5949</v>
      </c>
      <c r="U15" s="107">
        <f t="shared" si="29"/>
        <v>6382</v>
      </c>
      <c r="AE15" s="109" t="s">
        <v>31</v>
      </c>
      <c r="AF15" s="108">
        <v>10</v>
      </c>
      <c r="AG15" s="106">
        <f t="shared" si="5"/>
        <v>8666</v>
      </c>
      <c r="AH15" s="99">
        <f t="shared" si="6"/>
        <v>1977</v>
      </c>
      <c r="AI15" s="99">
        <f t="shared" si="7"/>
        <v>9169</v>
      </c>
      <c r="AJ15" s="99">
        <f t="shared" si="8"/>
        <v>8782</v>
      </c>
      <c r="AK15" s="107">
        <f t="shared" si="9"/>
        <v>8781</v>
      </c>
      <c r="AV15" s="109" t="s">
        <v>31</v>
      </c>
      <c r="AW15" s="108">
        <v>10</v>
      </c>
      <c r="AX15" s="106">
        <f t="shared" si="10"/>
        <v>138728</v>
      </c>
      <c r="AY15" s="99">
        <f t="shared" si="11"/>
        <v>5441</v>
      </c>
      <c r="AZ15" s="99">
        <f t="shared" si="12"/>
        <v>16857</v>
      </c>
      <c r="BA15" s="99">
        <f t="shared" si="13"/>
        <v>14989</v>
      </c>
      <c r="BB15" s="107">
        <f t="shared" si="14"/>
        <v>16568</v>
      </c>
      <c r="CF15" s="743" t="s">
        <v>73</v>
      </c>
      <c r="CG15" s="195" t="s">
        <v>1013</v>
      </c>
      <c r="CH15" s="736">
        <v>8</v>
      </c>
      <c r="CI15" s="82">
        <f t="shared" si="141"/>
        <v>0.41733456600000002</v>
      </c>
      <c r="CJ15" s="82">
        <f t="shared" si="142"/>
        <v>0.57959459800000002</v>
      </c>
      <c r="CK15" s="82">
        <f t="shared" si="143"/>
        <v>0.56702826399999995</v>
      </c>
      <c r="CL15" s="82">
        <f t="shared" si="144"/>
        <v>0.574964896</v>
      </c>
      <c r="CM15" s="744">
        <f t="shared" si="145"/>
        <v>0.47818207800000001</v>
      </c>
      <c r="EJ15" s="423" t="s">
        <v>212</v>
      </c>
      <c r="EK15" s="422">
        <v>9</v>
      </c>
      <c r="EL15" s="430">
        <f t="shared" si="36"/>
        <v>8.7789999999999999</v>
      </c>
      <c r="EM15" s="182">
        <f t="shared" si="37"/>
        <v>8.266</v>
      </c>
      <c r="EN15" s="182">
        <f t="shared" si="38"/>
        <v>9.1199999999999992</v>
      </c>
      <c r="EO15" s="182">
        <f t="shared" si="39"/>
        <v>7.0170000000000003</v>
      </c>
      <c r="EP15" s="282">
        <f t="shared" si="40"/>
        <v>16.085999999999999</v>
      </c>
      <c r="ES15" s="423" t="s">
        <v>212</v>
      </c>
      <c r="ET15" s="422">
        <v>9</v>
      </c>
      <c r="EU15" s="430">
        <f t="shared" si="41"/>
        <v>8.7789999999999999</v>
      </c>
      <c r="EV15" s="182">
        <f t="shared" si="42"/>
        <v>8.266</v>
      </c>
      <c r="EW15" s="182">
        <f t="shared" si="43"/>
        <v>9.1199999999999992</v>
      </c>
      <c r="EX15" s="182">
        <f t="shared" si="44"/>
        <v>7.0170000000000003</v>
      </c>
      <c r="EY15" s="282">
        <f t="shared" si="45"/>
        <v>16.085999999999999</v>
      </c>
      <c r="FB15" s="423" t="s">
        <v>212</v>
      </c>
      <c r="FC15" s="422">
        <v>9</v>
      </c>
      <c r="FD15" s="430">
        <f t="shared" si="155"/>
        <v>0</v>
      </c>
      <c r="FE15" s="182">
        <f t="shared" si="156"/>
        <v>0</v>
      </c>
      <c r="FF15" s="182">
        <f t="shared" si="157"/>
        <v>0</v>
      </c>
      <c r="FG15" s="182">
        <f t="shared" si="158"/>
        <v>0</v>
      </c>
      <c r="FH15" s="282">
        <f t="shared" si="159"/>
        <v>0</v>
      </c>
      <c r="FN15" s="481" t="s">
        <v>229</v>
      </c>
      <c r="FO15" s="422">
        <v>9</v>
      </c>
      <c r="FP15" s="106">
        <f t="shared" si="46"/>
        <v>106.33</v>
      </c>
      <c r="FQ15" s="99">
        <f t="shared" si="47"/>
        <v>110.5</v>
      </c>
      <c r="FR15" s="99">
        <f t="shared" si="48"/>
        <v>110.5</v>
      </c>
      <c r="FS15" s="99">
        <f t="shared" si="49"/>
        <v>110.52</v>
      </c>
      <c r="FT15" s="107">
        <f t="shared" si="50"/>
        <v>110.52</v>
      </c>
      <c r="GC15" s="91" t="s">
        <v>244</v>
      </c>
      <c r="GD15" s="316">
        <v>9</v>
      </c>
      <c r="GE15" s="106">
        <f t="shared" si="51"/>
        <v>111.53</v>
      </c>
      <c r="GF15" s="99">
        <f t="shared" si="52"/>
        <v>113.2</v>
      </c>
      <c r="GG15" s="99">
        <f t="shared" si="53"/>
        <v>113</v>
      </c>
      <c r="GH15" s="99">
        <f t="shared" si="54"/>
        <v>113.23</v>
      </c>
      <c r="GI15" s="107">
        <f t="shared" si="55"/>
        <v>112.81</v>
      </c>
      <c r="GS15" s="509" t="s">
        <v>259</v>
      </c>
      <c r="GT15" s="510"/>
      <c r="GU15" s="515"/>
      <c r="GV15" s="516"/>
      <c r="GW15" s="516"/>
      <c r="GX15" s="516"/>
      <c r="GY15" s="517"/>
      <c r="HT15" s="313" t="s">
        <v>295</v>
      </c>
      <c r="HU15" s="1512">
        <v>9</v>
      </c>
      <c r="HV15" s="106">
        <f t="shared" si="56"/>
        <v>367.32015228271484</v>
      </c>
      <c r="HW15" s="99">
        <f t="shared" si="57"/>
        <v>445.18185424804688</v>
      </c>
      <c r="HX15" s="99">
        <f t="shared" si="58"/>
        <v>449</v>
      </c>
      <c r="HY15" s="99">
        <f t="shared" si="59"/>
        <v>439</v>
      </c>
      <c r="HZ15" s="107">
        <f t="shared" si="60"/>
        <v>401</v>
      </c>
      <c r="IJ15" s="418" t="s">
        <v>295</v>
      </c>
      <c r="IK15" s="1513">
        <v>23</v>
      </c>
      <c r="IL15" s="487">
        <f t="shared" si="66"/>
        <v>280.67967987060547</v>
      </c>
      <c r="IM15" s="488">
        <f t="shared" si="67"/>
        <v>282.40132141113281</v>
      </c>
      <c r="IN15" s="488">
        <f t="shared" si="68"/>
        <v>283</v>
      </c>
      <c r="IO15" s="488">
        <f t="shared" si="69"/>
        <v>257</v>
      </c>
      <c r="IP15" s="489">
        <f t="shared" si="70"/>
        <v>241</v>
      </c>
      <c r="IZ15" s="418" t="s">
        <v>295</v>
      </c>
      <c r="JA15" s="317">
        <v>39</v>
      </c>
      <c r="JB15" s="487">
        <f t="shared" si="76"/>
        <v>400</v>
      </c>
      <c r="JC15" s="488">
        <f t="shared" si="77"/>
        <v>500</v>
      </c>
      <c r="JD15" s="488">
        <f t="shared" si="78"/>
        <v>500</v>
      </c>
      <c r="JE15" s="488">
        <f t="shared" si="79"/>
        <v>500</v>
      </c>
      <c r="JF15" s="489">
        <f t="shared" si="80"/>
        <v>500</v>
      </c>
      <c r="JH15" s="418" t="s">
        <v>295</v>
      </c>
      <c r="JI15" s="317">
        <v>48</v>
      </c>
      <c r="JJ15" s="541">
        <f t="shared" si="81"/>
        <v>281.49480438232422</v>
      </c>
      <c r="JK15" s="488">
        <f t="shared" si="82"/>
        <v>400.21268463134766</v>
      </c>
      <c r="JL15" s="488">
        <f t="shared" si="83"/>
        <v>387</v>
      </c>
      <c r="JM15" s="488">
        <f t="shared" si="84"/>
        <v>377</v>
      </c>
      <c r="JN15" s="489">
        <f t="shared" si="85"/>
        <v>315</v>
      </c>
      <c r="LT15" s="91" t="s">
        <v>357</v>
      </c>
      <c r="LU15" s="316">
        <v>24</v>
      </c>
      <c r="LV15" s="168">
        <f>INDEX($LA$68:$MB$679,MAX($MB$68:$MB$679)-12,$LU15)</f>
        <v>10</v>
      </c>
      <c r="LW15" s="93">
        <f>INDEX($LA$68:$MB$679,MAX($MB$68:$MB$679)-3,$LU15)</f>
        <v>10</v>
      </c>
      <c r="LX15" s="93">
        <f>INDEX($LA$68:$MB$679,MAX($MB$68:$MB$679)-2,$LU15)</f>
        <v>10</v>
      </c>
      <c r="LY15" s="93">
        <f>INDEX($LA$68:$MB$679,MAX($MB$68:$MB$679)-1,$LU15)</f>
        <v>10</v>
      </c>
      <c r="LZ15" s="169">
        <f>INDEX($LA$68:$MB$679,MAX($MB$68:$MB$679),$LU15)</f>
        <v>10</v>
      </c>
      <c r="MD15" s="564" t="s">
        <v>392</v>
      </c>
      <c r="ME15" s="566">
        <v>9</v>
      </c>
      <c r="MF15" s="430">
        <f t="shared" si="121"/>
        <v>950.66698914430003</v>
      </c>
      <c r="MG15" s="182">
        <f t="shared" si="122"/>
        <v>784.50084895499992</v>
      </c>
      <c r="MH15" s="182">
        <f t="shared" si="123"/>
        <v>891.83996401499996</v>
      </c>
      <c r="MI15" s="182">
        <f t="shared" si="124"/>
        <v>1002.3909790519999</v>
      </c>
      <c r="MJ15" s="282">
        <f t="shared" si="125"/>
        <v>1110.2652626419999</v>
      </c>
      <c r="OF15" s="697" t="s">
        <v>451</v>
      </c>
      <c r="OG15" s="316">
        <v>9</v>
      </c>
      <c r="OH15" s="430">
        <f t="shared" si="126"/>
        <v>2074.1841083190002</v>
      </c>
      <c r="OI15" s="182">
        <f t="shared" si="127"/>
        <v>2153.0131083190004</v>
      </c>
      <c r="OJ15" s="182">
        <f t="shared" si="128"/>
        <v>2238.5811083190001</v>
      </c>
      <c r="OK15" s="182">
        <f t="shared" si="129"/>
        <v>2178.6221083189998</v>
      </c>
      <c r="OL15" s="282">
        <f t="shared" si="130"/>
        <v>2074.1401083189999</v>
      </c>
      <c r="PD15" s="710" t="s">
        <v>476</v>
      </c>
      <c r="PE15" s="316">
        <f t="shared" si="165"/>
        <v>33</v>
      </c>
      <c r="PF15" s="324">
        <f t="shared" si="131"/>
        <v>208.919096776</v>
      </c>
      <c r="PG15" s="182">
        <f t="shared" si="132"/>
        <v>246.441248863</v>
      </c>
      <c r="PH15" s="182">
        <f t="shared" si="133"/>
        <v>204.55056627100001</v>
      </c>
      <c r="PI15" s="182">
        <f t="shared" si="134"/>
        <v>156.27886238000002</v>
      </c>
      <c r="PJ15" s="282">
        <f t="shared" si="135"/>
        <v>126.84896043400001</v>
      </c>
      <c r="QF15" s="1733" t="s">
        <v>505</v>
      </c>
      <c r="QG15" s="316">
        <f t="shared" si="166"/>
        <v>61</v>
      </c>
      <c r="QH15" s="430">
        <f t="shared" si="136"/>
        <v>0</v>
      </c>
      <c r="QI15" s="182">
        <f t="shared" si="137"/>
        <v>0</v>
      </c>
      <c r="QJ15" s="182">
        <f t="shared" si="138"/>
        <v>0</v>
      </c>
      <c r="QK15" s="182">
        <f t="shared" si="139"/>
        <v>0</v>
      </c>
      <c r="QL15" s="282">
        <f t="shared" si="140"/>
        <v>0</v>
      </c>
      <c r="RO15" t="s">
        <v>1040</v>
      </c>
    </row>
    <row r="16" spans="2:489" ht="21.75" customHeight="1" thickBot="1">
      <c r="F16"/>
      <c r="O16" s="109" t="s">
        <v>32</v>
      </c>
      <c r="P16" s="105">
        <v>11</v>
      </c>
      <c r="Q16" s="106">
        <f t="shared" si="25"/>
        <v>1291</v>
      </c>
      <c r="R16" s="99">
        <f t="shared" si="26"/>
        <v>934</v>
      </c>
      <c r="S16" s="99">
        <f t="shared" si="27"/>
        <v>1872</v>
      </c>
      <c r="T16" s="99">
        <f t="shared" si="28"/>
        <v>991</v>
      </c>
      <c r="U16" s="107">
        <f t="shared" si="29"/>
        <v>1255.4300150762276</v>
      </c>
      <c r="AE16" s="109" t="s">
        <v>32</v>
      </c>
      <c r="AF16" s="108">
        <v>11</v>
      </c>
      <c r="AG16" s="106">
        <f t="shared" si="5"/>
        <v>1568</v>
      </c>
      <c r="AH16" s="99">
        <f t="shared" si="6"/>
        <v>1469</v>
      </c>
      <c r="AI16" s="99">
        <f t="shared" si="7"/>
        <v>1080</v>
      </c>
      <c r="AJ16" s="99">
        <f t="shared" si="8"/>
        <v>1059</v>
      </c>
      <c r="AK16" s="107">
        <f t="shared" si="9"/>
        <v>908.4893947129566</v>
      </c>
      <c r="AV16" s="109" t="s">
        <v>32</v>
      </c>
      <c r="AW16" s="108">
        <v>11</v>
      </c>
      <c r="AX16" s="106">
        <f t="shared" si="10"/>
        <v>5509</v>
      </c>
      <c r="AY16" s="99">
        <f t="shared" si="11"/>
        <v>5187</v>
      </c>
      <c r="AZ16" s="99">
        <f t="shared" si="12"/>
        <v>3717</v>
      </c>
      <c r="BA16" s="99">
        <f t="shared" si="13"/>
        <v>3133</v>
      </c>
      <c r="BB16" s="107">
        <f t="shared" si="14"/>
        <v>2442.9304900669754</v>
      </c>
      <c r="CF16" s="745" t="s">
        <v>74</v>
      </c>
      <c r="CG16" s="197" t="s">
        <v>1013</v>
      </c>
      <c r="CH16" s="736">
        <v>9</v>
      </c>
      <c r="CI16" s="81">
        <f t="shared" si="141"/>
        <v>0.34572907200000003</v>
      </c>
      <c r="CJ16" s="81">
        <f t="shared" si="142"/>
        <v>0.94049089200000002</v>
      </c>
      <c r="CK16" s="81">
        <f t="shared" si="143"/>
        <v>0.975103426</v>
      </c>
      <c r="CL16" s="81">
        <f t="shared" si="144"/>
        <v>0.98590606400000003</v>
      </c>
      <c r="CM16" s="746">
        <f t="shared" si="145"/>
        <v>0.882068462</v>
      </c>
      <c r="EJ16" s="424" t="s">
        <v>213</v>
      </c>
      <c r="EK16" s="425">
        <v>10</v>
      </c>
      <c r="EL16" s="431">
        <f t="shared" si="36"/>
        <v>453.51100000000002</v>
      </c>
      <c r="EM16" s="321">
        <f t="shared" si="37"/>
        <v>245.77099999999996</v>
      </c>
      <c r="EN16" s="321">
        <f t="shared" si="38"/>
        <v>194.70800000000003</v>
      </c>
      <c r="EO16" s="321">
        <f t="shared" si="39"/>
        <v>167.70499999999998</v>
      </c>
      <c r="EP16" s="322">
        <f t="shared" si="40"/>
        <v>155.56400000000002</v>
      </c>
      <c r="ES16" s="424" t="s">
        <v>213</v>
      </c>
      <c r="ET16" s="425">
        <v>10</v>
      </c>
      <c r="EU16" s="431">
        <f t="shared" si="41"/>
        <v>446.36500000000001</v>
      </c>
      <c r="EV16" s="321">
        <f t="shared" si="42"/>
        <v>245.77099999999996</v>
      </c>
      <c r="EW16" s="321">
        <f t="shared" si="43"/>
        <v>194.70800000000003</v>
      </c>
      <c r="EX16" s="321">
        <f t="shared" si="44"/>
        <v>167.70499999999998</v>
      </c>
      <c r="EY16" s="322">
        <f t="shared" si="45"/>
        <v>155.56400000000002</v>
      </c>
      <c r="FB16" s="424" t="s">
        <v>213</v>
      </c>
      <c r="FC16" s="425">
        <v>10</v>
      </c>
      <c r="FD16" s="431">
        <f t="shared" si="155"/>
        <v>7.1459999999999999</v>
      </c>
      <c r="FE16" s="321">
        <f t="shared" si="156"/>
        <v>0</v>
      </c>
      <c r="FF16" s="321">
        <f t="shared" si="157"/>
        <v>0</v>
      </c>
      <c r="FG16" s="321">
        <f t="shared" si="158"/>
        <v>0</v>
      </c>
      <c r="FH16" s="322">
        <f t="shared" si="159"/>
        <v>0</v>
      </c>
      <c r="FN16" s="481" t="s">
        <v>230</v>
      </c>
      <c r="FO16" s="422">
        <v>10</v>
      </c>
      <c r="FP16" s="106">
        <f t="shared" si="46"/>
        <v>98.74</v>
      </c>
      <c r="FQ16" s="99">
        <f t="shared" si="47"/>
        <v>99.4</v>
      </c>
      <c r="FR16" s="99">
        <f t="shared" si="48"/>
        <v>99.4</v>
      </c>
      <c r="FS16" s="99">
        <f t="shared" si="49"/>
        <v>99.35</v>
      </c>
      <c r="FT16" s="107">
        <f t="shared" si="50"/>
        <v>99.35</v>
      </c>
      <c r="GC16" s="91" t="s">
        <v>245</v>
      </c>
      <c r="GD16" s="316">
        <v>10</v>
      </c>
      <c r="GE16" s="106">
        <f t="shared" si="51"/>
        <v>105.79</v>
      </c>
      <c r="GF16" s="99">
        <f t="shared" si="52"/>
        <v>108</v>
      </c>
      <c r="GG16" s="99">
        <f t="shared" si="53"/>
        <v>108.5</v>
      </c>
      <c r="GH16" s="99">
        <f t="shared" si="54"/>
        <v>108.51</v>
      </c>
      <c r="GI16" s="107">
        <f t="shared" si="55"/>
        <v>108.51</v>
      </c>
      <c r="GS16" s="493" t="s">
        <v>260</v>
      </c>
      <c r="GT16" s="316">
        <v>8</v>
      </c>
      <c r="GU16" s="484">
        <f t="shared" ref="GU16:GU21" si="167">INDEX($GP$68:$HR$679,MAX($HR$68:$HR$679)-12,$GT16)</f>
        <v>499</v>
      </c>
      <c r="GV16" s="485">
        <f t="shared" ref="GV16:GV21" si="168">INDEX($GP$68:$HR$679,MAX($HR$68:$HR$679)-3,$GT16)</f>
        <v>398</v>
      </c>
      <c r="GW16" s="485">
        <f t="shared" ref="GW16:GW21" si="169">INDEX($GP$68:$HR$679,MAX($HR$68:$HR$679)-2,$GT16)</f>
        <v>394</v>
      </c>
      <c r="GX16" s="485">
        <f t="shared" ref="GX16:GX21" si="170">INDEX($GP$68:$HR$679,MAX($HR$68:$HR$679)-1,$GT16)</f>
        <v>415</v>
      </c>
      <c r="GY16" s="486">
        <f t="shared" ref="GY16:GY21" si="171">INDEX($GP$68:$HR$679,MAX($HR$68:$HR$679),$GT16)</f>
        <v>427</v>
      </c>
      <c r="HT16" s="314"/>
      <c r="HU16" s="1513"/>
      <c r="HV16" s="487"/>
      <c r="HW16" s="488"/>
      <c r="HX16" s="488"/>
      <c r="HY16" s="488"/>
      <c r="HZ16" s="489"/>
      <c r="LT16" s="91" t="s">
        <v>358</v>
      </c>
      <c r="LU16" s="316">
        <v>25</v>
      </c>
      <c r="LV16" s="168">
        <f>INDEX($LA$68:$MB$679,MAX($MB$68:$MB$679)-12,$LU16)</f>
        <v>60</v>
      </c>
      <c r="LW16" s="93">
        <f>INDEX($LA$68:$MB$679,MAX($MB$68:$MB$679)-3,$LU16)</f>
        <v>60</v>
      </c>
      <c r="LX16" s="93">
        <f>INDEX($LA$68:$MB$679,MAX($MB$68:$MB$679)-2,$LU16)</f>
        <v>60</v>
      </c>
      <c r="LY16" s="93">
        <f>INDEX($LA$68:$MB$679,MAX($MB$68:$MB$679)-1,$LU16)</f>
        <v>60</v>
      </c>
      <c r="LZ16" s="169">
        <f>INDEX($LA$68:$MB$679,MAX($MB$68:$MB$679),$LU16)</f>
        <v>60</v>
      </c>
      <c r="MD16" s="564" t="s">
        <v>393</v>
      </c>
      <c r="ME16" s="566">
        <v>10</v>
      </c>
      <c r="MF16" s="430">
        <f t="shared" si="121"/>
        <v>296.24677123899994</v>
      </c>
      <c r="MG16" s="182">
        <f t="shared" si="122"/>
        <v>230.77980442199998</v>
      </c>
      <c r="MH16" s="182">
        <f t="shared" si="123"/>
        <v>258.86760969900001</v>
      </c>
      <c r="MI16" s="182">
        <f t="shared" si="124"/>
        <v>288.51590841000001</v>
      </c>
      <c r="MJ16" s="282">
        <f t="shared" si="125"/>
        <v>318.46810214100003</v>
      </c>
      <c r="OF16" s="697" t="s">
        <v>452</v>
      </c>
      <c r="OG16" s="316">
        <v>10</v>
      </c>
      <c r="OH16" s="430">
        <f t="shared" si="126"/>
        <v>5716.873522973</v>
      </c>
      <c r="OI16" s="182">
        <f t="shared" si="127"/>
        <v>5779.2693787179996</v>
      </c>
      <c r="OJ16" s="182">
        <f t="shared" si="128"/>
        <v>5728.9515054889998</v>
      </c>
      <c r="OK16" s="182">
        <f t="shared" si="129"/>
        <v>5604.1758446700005</v>
      </c>
      <c r="OL16" s="282">
        <f t="shared" si="130"/>
        <v>5552.0085267270006</v>
      </c>
      <c r="PD16" s="707" t="s">
        <v>477</v>
      </c>
      <c r="PE16" s="316">
        <f t="shared" si="165"/>
        <v>34</v>
      </c>
      <c r="PF16" s="324">
        <f t="shared" si="131"/>
        <v>9.1537610869999995</v>
      </c>
      <c r="PG16" s="182">
        <f t="shared" si="132"/>
        <v>8.8982985410000008</v>
      </c>
      <c r="PH16" s="182">
        <f t="shared" si="133"/>
        <v>9.0767273809999995</v>
      </c>
      <c r="PI16" s="182">
        <f t="shared" si="134"/>
        <v>9.0901975830000001</v>
      </c>
      <c r="PJ16" s="282">
        <f t="shared" si="135"/>
        <v>9.0020789939999997</v>
      </c>
      <c r="QF16" s="1735" t="s">
        <v>474</v>
      </c>
      <c r="QG16" s="316">
        <f t="shared" si="166"/>
        <v>62</v>
      </c>
      <c r="QH16" s="430">
        <f t="shared" si="136"/>
        <v>81.490000000000009</v>
      </c>
      <c r="QI16" s="182">
        <f t="shared" si="137"/>
        <v>256.85500000000013</v>
      </c>
      <c r="QJ16" s="182">
        <f t="shared" si="138"/>
        <v>387.83399999999983</v>
      </c>
      <c r="QK16" s="182">
        <f t="shared" si="139"/>
        <v>210.98000000000002</v>
      </c>
      <c r="QL16" s="282">
        <f t="shared" si="140"/>
        <v>243.69700000000012</v>
      </c>
    </row>
    <row r="17" spans="15:454" customFormat="1" ht="27" customHeight="1">
      <c r="O17" s="109" t="s">
        <v>33</v>
      </c>
      <c r="P17" s="105">
        <v>12</v>
      </c>
      <c r="Q17" s="106">
        <f t="shared" si="25"/>
        <v>667</v>
      </c>
      <c r="R17" s="99">
        <f t="shared" si="26"/>
        <v>549</v>
      </c>
      <c r="S17" s="99">
        <f t="shared" si="27"/>
        <v>1251</v>
      </c>
      <c r="T17" s="99">
        <f t="shared" si="28"/>
        <v>674</v>
      </c>
      <c r="U17" s="107">
        <f t="shared" si="29"/>
        <v>511</v>
      </c>
      <c r="AE17" s="109" t="s">
        <v>33</v>
      </c>
      <c r="AF17" s="108">
        <v>12</v>
      </c>
      <c r="AG17" s="106">
        <f t="shared" si="5"/>
        <v>1283</v>
      </c>
      <c r="AH17" s="99">
        <f t="shared" si="6"/>
        <v>1453</v>
      </c>
      <c r="AI17" s="99">
        <f t="shared" si="7"/>
        <v>1606</v>
      </c>
      <c r="AJ17" s="99">
        <f t="shared" si="8"/>
        <v>1964</v>
      </c>
      <c r="AK17" s="107">
        <f t="shared" si="9"/>
        <v>713</v>
      </c>
      <c r="AV17" s="109" t="s">
        <v>33</v>
      </c>
      <c r="AW17" s="108">
        <v>12</v>
      </c>
      <c r="AX17" s="106">
        <f t="shared" si="10"/>
        <v>4961</v>
      </c>
      <c r="AY17" s="99">
        <f t="shared" si="11"/>
        <v>6280</v>
      </c>
      <c r="AZ17" s="99">
        <f t="shared" si="12"/>
        <v>6984</v>
      </c>
      <c r="BA17" s="99">
        <f t="shared" si="13"/>
        <v>5262</v>
      </c>
      <c r="BB17" s="107">
        <f t="shared" si="14"/>
        <v>3134</v>
      </c>
      <c r="CF17" s="743" t="s">
        <v>75</v>
      </c>
      <c r="CG17" s="195" t="s">
        <v>1016</v>
      </c>
      <c r="CH17" s="736">
        <v>10</v>
      </c>
      <c r="CI17" s="82">
        <f t="shared" si="141"/>
        <v>386.33</v>
      </c>
      <c r="CJ17" s="82">
        <f t="shared" si="142"/>
        <v>314.68</v>
      </c>
      <c r="CK17" s="82">
        <f t="shared" si="143"/>
        <v>298.10000000000002</v>
      </c>
      <c r="CL17" s="82">
        <f t="shared" si="144"/>
        <v>283.55</v>
      </c>
      <c r="CM17" s="744">
        <f t="shared" si="145"/>
        <v>291.12</v>
      </c>
      <c r="FN17" s="481" t="s">
        <v>231</v>
      </c>
      <c r="FO17" s="422">
        <v>11</v>
      </c>
      <c r="FP17" s="106">
        <f t="shared" si="46"/>
        <v>102.04</v>
      </c>
      <c r="FQ17" s="99">
        <f t="shared" si="47"/>
        <v>101.1</v>
      </c>
      <c r="FR17" s="99">
        <f t="shared" si="48"/>
        <v>102.1</v>
      </c>
      <c r="FS17" s="99">
        <f t="shared" si="49"/>
        <v>102.06</v>
      </c>
      <c r="FT17" s="107">
        <f t="shared" si="50"/>
        <v>102.06</v>
      </c>
      <c r="GC17" s="91" t="s">
        <v>246</v>
      </c>
      <c r="GD17" s="316">
        <v>11</v>
      </c>
      <c r="GE17" s="106">
        <f t="shared" si="51"/>
        <v>100.33</v>
      </c>
      <c r="GF17" s="99">
        <f t="shared" si="52"/>
        <v>103.1</v>
      </c>
      <c r="GG17" s="99">
        <f t="shared" si="53"/>
        <v>103.1</v>
      </c>
      <c r="GH17" s="99">
        <f t="shared" si="54"/>
        <v>103.1</v>
      </c>
      <c r="GI17" s="107">
        <f t="shared" si="55"/>
        <v>103.1</v>
      </c>
      <c r="GS17" s="495" t="s">
        <v>261</v>
      </c>
      <c r="GT17" s="316">
        <v>9</v>
      </c>
      <c r="GU17" s="106">
        <f t="shared" si="167"/>
        <v>677</v>
      </c>
      <c r="GV17" s="99">
        <f t="shared" si="168"/>
        <v>634</v>
      </c>
      <c r="GW17" s="99">
        <f t="shared" si="169"/>
        <v>602</v>
      </c>
      <c r="GX17" s="99">
        <f t="shared" si="170"/>
        <v>573</v>
      </c>
      <c r="GY17" s="107">
        <f t="shared" si="171"/>
        <v>605</v>
      </c>
      <c r="LT17" s="91" t="s">
        <v>180</v>
      </c>
      <c r="LU17" s="316">
        <v>26</v>
      </c>
      <c r="LV17" s="168">
        <f>INDEX($LA$68:$MB$679,MAX($MB$68:$MB$679)-12,$LU17)</f>
        <v>0</v>
      </c>
      <c r="LW17" s="93">
        <f>INDEX($LA$68:$MB$679,MAX($MB$68:$MB$679)-3,$LU17)</f>
        <v>0</v>
      </c>
      <c r="LX17" s="93">
        <f>INDEX($LA$68:$MB$679,MAX($MB$68:$MB$679)-2,$LU17)</f>
        <v>0</v>
      </c>
      <c r="LY17" s="93">
        <f>INDEX($LA$68:$MB$679,MAX($MB$68:$MB$679)-1,$LU17)</f>
        <v>0</v>
      </c>
      <c r="LZ17" s="169">
        <f>INDEX($LA$68:$MB$679,MAX($MB$68:$MB$679),$LU17)</f>
        <v>0</v>
      </c>
      <c r="MD17" s="564" t="s">
        <v>394</v>
      </c>
      <c r="ME17" s="566">
        <v>11</v>
      </c>
      <c r="MF17" s="430">
        <f t="shared" si="121"/>
        <v>2.0683630700000002</v>
      </c>
      <c r="MG17" s="182">
        <f t="shared" si="122"/>
        <v>0.89391399400000005</v>
      </c>
      <c r="MH17" s="182">
        <f t="shared" si="123"/>
        <v>0.99180610600000008</v>
      </c>
      <c r="MI17" s="182">
        <f t="shared" si="124"/>
        <v>1.1320094140000001</v>
      </c>
      <c r="MJ17" s="282">
        <f t="shared" si="125"/>
        <v>1.211977367</v>
      </c>
      <c r="OF17" s="700" t="s">
        <v>453</v>
      </c>
      <c r="OG17" s="316">
        <v>11</v>
      </c>
      <c r="OH17" s="430">
        <f t="shared" si="126"/>
        <v>0</v>
      </c>
      <c r="OI17" s="182">
        <f t="shared" si="127"/>
        <v>0</v>
      </c>
      <c r="OJ17" s="182">
        <f t="shared" si="128"/>
        <v>0</v>
      </c>
      <c r="OK17" s="182">
        <f t="shared" si="129"/>
        <v>0</v>
      </c>
      <c r="OL17" s="282">
        <f t="shared" si="130"/>
        <v>0</v>
      </c>
      <c r="PD17" s="710" t="s">
        <v>478</v>
      </c>
      <c r="PE17" s="316">
        <f t="shared" si="165"/>
        <v>35</v>
      </c>
      <c r="PF17" s="324">
        <f t="shared" si="131"/>
        <v>3.6619999999999999</v>
      </c>
      <c r="PG17" s="182">
        <f t="shared" si="132"/>
        <v>2.6890000000000001</v>
      </c>
      <c r="PH17" s="182">
        <f t="shared" si="133"/>
        <v>2.6890000000000001</v>
      </c>
      <c r="PI17" s="182">
        <f t="shared" si="134"/>
        <v>2.6890000000000001</v>
      </c>
      <c r="PJ17" s="282">
        <f t="shared" si="135"/>
        <v>2.6890000000000001</v>
      </c>
      <c r="QF17" s="1734" t="s">
        <v>475</v>
      </c>
      <c r="QG17" s="316">
        <f t="shared" si="166"/>
        <v>63</v>
      </c>
      <c r="QH17" s="430">
        <f t="shared" si="136"/>
        <v>1019.239</v>
      </c>
      <c r="QI17" s="182">
        <f t="shared" si="137"/>
        <v>1150.4490000000001</v>
      </c>
      <c r="QJ17" s="182">
        <f t="shared" si="138"/>
        <v>1194.33</v>
      </c>
      <c r="QK17" s="182">
        <f t="shared" si="139"/>
        <v>1138.673</v>
      </c>
      <c r="QL17" s="282">
        <f t="shared" si="140"/>
        <v>1154.7450000000001</v>
      </c>
    </row>
    <row r="18" spans="15:454" customFormat="1" ht="24" customHeight="1" thickBot="1">
      <c r="O18" s="109" t="s">
        <v>34</v>
      </c>
      <c r="P18" s="105">
        <v>13</v>
      </c>
      <c r="Q18" s="106">
        <f t="shared" si="25"/>
        <v>1200</v>
      </c>
      <c r="R18" s="99">
        <f t="shared" si="26"/>
        <v>953</v>
      </c>
      <c r="S18" s="99">
        <f t="shared" si="27"/>
        <v>2145</v>
      </c>
      <c r="T18" s="99">
        <f t="shared" si="28"/>
        <v>1244</v>
      </c>
      <c r="U18" s="107">
        <f t="shared" si="29"/>
        <v>1182</v>
      </c>
      <c r="AE18" s="109" t="s">
        <v>34</v>
      </c>
      <c r="AF18" s="108">
        <v>13</v>
      </c>
      <c r="AG18" s="106">
        <f t="shared" si="5"/>
        <v>1244</v>
      </c>
      <c r="AH18" s="99">
        <f t="shared" si="6"/>
        <v>894</v>
      </c>
      <c r="AI18" s="99">
        <f t="shared" si="7"/>
        <v>1672</v>
      </c>
      <c r="AJ18" s="99">
        <f t="shared" si="8"/>
        <v>1117</v>
      </c>
      <c r="AK18" s="107">
        <f t="shared" si="9"/>
        <v>741</v>
      </c>
      <c r="AV18" s="109" t="s">
        <v>34</v>
      </c>
      <c r="AW18" s="108">
        <v>13</v>
      </c>
      <c r="AX18" s="106">
        <f t="shared" si="10"/>
        <v>5402</v>
      </c>
      <c r="AY18" s="99">
        <f t="shared" si="11"/>
        <v>3362</v>
      </c>
      <c r="AZ18" s="99">
        <f t="shared" si="12"/>
        <v>3341</v>
      </c>
      <c r="BA18" s="99">
        <f t="shared" si="13"/>
        <v>4493</v>
      </c>
      <c r="BB18" s="107">
        <f t="shared" si="14"/>
        <v>4143</v>
      </c>
      <c r="CF18" s="750" t="s">
        <v>76</v>
      </c>
      <c r="CG18" s="202" t="s">
        <v>1013</v>
      </c>
      <c r="CH18" s="756">
        <v>11</v>
      </c>
      <c r="CI18" s="146">
        <f>INDEX($CF$68:$CW$679,MAX($CW$68:$CW$679)-12,$CH18)</f>
        <v>4.8706669659999999</v>
      </c>
      <c r="CJ18" s="146">
        <f t="shared" si="142"/>
        <v>4.9030748800000001</v>
      </c>
      <c r="CK18" s="146">
        <f t="shared" si="143"/>
        <v>4.9796854250000004</v>
      </c>
      <c r="CL18" s="146">
        <f t="shared" si="144"/>
        <v>4.8832332999999997</v>
      </c>
      <c r="CM18" s="751">
        <f t="shared" si="145"/>
        <v>4.7913741333299997</v>
      </c>
      <c r="FN18" s="481" t="s">
        <v>232</v>
      </c>
      <c r="FO18" s="422">
        <v>12</v>
      </c>
      <c r="FP18" s="106">
        <f t="shared" si="46"/>
        <v>114.07</v>
      </c>
      <c r="FQ18" s="99">
        <f t="shared" si="47"/>
        <v>114.1</v>
      </c>
      <c r="FR18" s="99">
        <f t="shared" si="48"/>
        <v>117.1</v>
      </c>
      <c r="FS18" s="99">
        <f t="shared" si="49"/>
        <v>117.08</v>
      </c>
      <c r="FT18" s="107">
        <f t="shared" si="50"/>
        <v>117.08</v>
      </c>
      <c r="GC18" s="91" t="s">
        <v>247</v>
      </c>
      <c r="GD18" s="316">
        <v>12</v>
      </c>
      <c r="GE18" s="106">
        <f t="shared" si="51"/>
        <v>134.08000000000001</v>
      </c>
      <c r="GF18" s="99">
        <f t="shared" si="52"/>
        <v>136.80000000000001</v>
      </c>
      <c r="GG18" s="99">
        <f t="shared" si="53"/>
        <v>136.5</v>
      </c>
      <c r="GH18" s="99">
        <f t="shared" si="54"/>
        <v>137.91</v>
      </c>
      <c r="GI18" s="107">
        <f t="shared" si="55"/>
        <v>135.13999999999999</v>
      </c>
      <c r="GS18" s="493" t="s">
        <v>262</v>
      </c>
      <c r="GT18" s="316">
        <v>10</v>
      </c>
      <c r="GU18" s="106">
        <f t="shared" si="167"/>
        <v>553</v>
      </c>
      <c r="GV18" s="99">
        <f t="shared" si="168"/>
        <v>785</v>
      </c>
      <c r="GW18" s="99">
        <f t="shared" si="169"/>
        <v>764</v>
      </c>
      <c r="GX18" s="99">
        <f t="shared" si="170"/>
        <v>675</v>
      </c>
      <c r="GY18" s="107">
        <f t="shared" si="171"/>
        <v>619</v>
      </c>
      <c r="LT18" s="418" t="s">
        <v>359</v>
      </c>
      <c r="LU18" s="317">
        <v>27</v>
      </c>
      <c r="LV18" s="170">
        <f>INDEX($LA$68:$MB$679,MAX($MB$68:$MB$679)-12,$LU18)</f>
        <v>0</v>
      </c>
      <c r="LW18" s="171">
        <f>INDEX($LA$68:$MB$679,MAX($MB$68:$MB$679)-3,$LU18)</f>
        <v>0</v>
      </c>
      <c r="LX18" s="171">
        <f>INDEX($LA$68:$MB$679,MAX($MB$68:$MB$679)-2,$LU18)</f>
        <v>0</v>
      </c>
      <c r="LY18" s="171">
        <f>INDEX($LA$68:$MB$679,MAX($MB$68:$MB$679)-1,$LU18)</f>
        <v>0</v>
      </c>
      <c r="LZ18" s="172">
        <f>INDEX($LA$68:$MB$679,MAX($MB$68:$MB$679),$LU18)</f>
        <v>0</v>
      </c>
      <c r="MD18" s="564" t="s">
        <v>395</v>
      </c>
      <c r="ME18" s="566">
        <v>12</v>
      </c>
      <c r="MF18" s="430">
        <f t="shared" si="121"/>
        <v>235.80725820300006</v>
      </c>
      <c r="MG18" s="182">
        <f t="shared" si="122"/>
        <v>224.25421770256145</v>
      </c>
      <c r="MH18" s="182">
        <f t="shared" si="123"/>
        <v>244.17733147356142</v>
      </c>
      <c r="MI18" s="182">
        <f t="shared" si="124"/>
        <v>256.27811054956146</v>
      </c>
      <c r="MJ18" s="282">
        <f t="shared" si="125"/>
        <v>297.43481443956142</v>
      </c>
      <c r="OF18" s="701" t="s">
        <v>454</v>
      </c>
      <c r="OG18" s="316">
        <v>12</v>
      </c>
      <c r="OH18" s="430">
        <f t="shared" si="126"/>
        <v>1972.0706759070001</v>
      </c>
      <c r="OI18" s="182">
        <f t="shared" si="127"/>
        <v>1900.7818864940004</v>
      </c>
      <c r="OJ18" s="182">
        <f t="shared" si="128"/>
        <v>1791.0793027590005</v>
      </c>
      <c r="OK18" s="182">
        <f t="shared" si="129"/>
        <v>1703.4346748600001</v>
      </c>
      <c r="OL18" s="282">
        <f t="shared" si="130"/>
        <v>1626.2842100790003</v>
      </c>
      <c r="PD18" s="709" t="s">
        <v>494</v>
      </c>
      <c r="PE18" s="316">
        <f t="shared" si="165"/>
        <v>36</v>
      </c>
      <c r="PF18" s="324">
        <f t="shared" si="131"/>
        <v>0</v>
      </c>
      <c r="PG18" s="182">
        <f t="shared" si="132"/>
        <v>0</v>
      </c>
      <c r="PH18" s="182">
        <f t="shared" si="133"/>
        <v>0</v>
      </c>
      <c r="PI18" s="182">
        <f t="shared" si="134"/>
        <v>0</v>
      </c>
      <c r="PJ18" s="282">
        <f t="shared" si="135"/>
        <v>0</v>
      </c>
      <c r="QF18" s="1733" t="s">
        <v>476</v>
      </c>
      <c r="QG18" s="316">
        <f t="shared" si="166"/>
        <v>64</v>
      </c>
      <c r="QH18" s="430">
        <f t="shared" si="136"/>
        <v>-937.74900000000002</v>
      </c>
      <c r="QI18" s="182">
        <f t="shared" si="137"/>
        <v>-893.59399999999994</v>
      </c>
      <c r="QJ18" s="182">
        <f t="shared" si="138"/>
        <v>-806.49600000000009</v>
      </c>
      <c r="QK18" s="182">
        <f t="shared" si="139"/>
        <v>-927.69299999999998</v>
      </c>
      <c r="QL18" s="282">
        <f t="shared" si="140"/>
        <v>-911.048</v>
      </c>
    </row>
    <row r="19" spans="15:454" customFormat="1" ht="24" customHeight="1" thickBot="1">
      <c r="O19" s="109" t="s">
        <v>35</v>
      </c>
      <c r="P19" s="105">
        <v>14</v>
      </c>
      <c r="Q19" s="106">
        <f t="shared" si="25"/>
        <v>1612</v>
      </c>
      <c r="R19" s="99">
        <f t="shared" si="26"/>
        <v>533</v>
      </c>
      <c r="S19" s="99">
        <f t="shared" si="27"/>
        <v>965</v>
      </c>
      <c r="T19" s="99">
        <f t="shared" si="28"/>
        <v>1142</v>
      </c>
      <c r="U19" s="107">
        <f t="shared" si="29"/>
        <v>474</v>
      </c>
      <c r="AE19" s="109" t="s">
        <v>35</v>
      </c>
      <c r="AF19" s="108">
        <v>14</v>
      </c>
      <c r="AG19" s="106">
        <f t="shared" si="5"/>
        <v>1521</v>
      </c>
      <c r="AH19" s="99">
        <f t="shared" si="6"/>
        <v>831</v>
      </c>
      <c r="AI19" s="99">
        <f t="shared" si="7"/>
        <v>596</v>
      </c>
      <c r="AJ19" s="99">
        <f t="shared" si="8"/>
        <v>1542</v>
      </c>
      <c r="AK19" s="107">
        <f t="shared" si="9"/>
        <v>974</v>
      </c>
      <c r="AV19" s="109" t="s">
        <v>35</v>
      </c>
      <c r="AW19" s="108">
        <v>14</v>
      </c>
      <c r="AX19" s="106">
        <f t="shared" si="10"/>
        <v>6092</v>
      </c>
      <c r="AY19" s="99">
        <f t="shared" si="11"/>
        <v>2724</v>
      </c>
      <c r="AZ19" s="99">
        <f t="shared" si="12"/>
        <v>2223</v>
      </c>
      <c r="BA19" s="99">
        <f t="shared" si="13"/>
        <v>4894</v>
      </c>
      <c r="BB19" s="107">
        <f t="shared" si="14"/>
        <v>2638</v>
      </c>
      <c r="CF19" s="37" t="s">
        <v>77</v>
      </c>
      <c r="CG19" s="544"/>
      <c r="CH19" s="544"/>
      <c r="CI19" s="544"/>
      <c r="CJ19" s="544"/>
      <c r="CK19" s="544"/>
      <c r="CL19" s="544"/>
      <c r="CM19" s="748"/>
      <c r="FN19" s="481" t="s">
        <v>233</v>
      </c>
      <c r="FO19" s="422">
        <v>13</v>
      </c>
      <c r="FP19" s="106">
        <f t="shared" si="46"/>
        <v>109</v>
      </c>
      <c r="FQ19" s="99">
        <f t="shared" si="47"/>
        <v>114</v>
      </c>
      <c r="FR19" s="99">
        <f t="shared" si="48"/>
        <v>114</v>
      </c>
      <c r="FS19" s="99">
        <f t="shared" si="49"/>
        <v>113.91</v>
      </c>
      <c r="FT19" s="107">
        <f t="shared" si="50"/>
        <v>112.5</v>
      </c>
      <c r="GC19" s="91" t="s">
        <v>248</v>
      </c>
      <c r="GD19" s="316">
        <v>13</v>
      </c>
      <c r="GE19" s="106">
        <f t="shared" si="51"/>
        <v>101.85</v>
      </c>
      <c r="GF19" s="99">
        <f t="shared" si="52"/>
        <v>102.4</v>
      </c>
      <c r="GG19" s="99">
        <f t="shared" si="53"/>
        <v>102.4</v>
      </c>
      <c r="GH19" s="99">
        <f t="shared" si="54"/>
        <v>102.41</v>
      </c>
      <c r="GI19" s="107">
        <f t="shared" si="55"/>
        <v>102.42</v>
      </c>
      <c r="GS19" s="495" t="s">
        <v>263</v>
      </c>
      <c r="GT19" s="316">
        <v>11</v>
      </c>
      <c r="GU19" s="106">
        <f t="shared" si="167"/>
        <v>781</v>
      </c>
      <c r="GV19" s="99">
        <f t="shared" si="168"/>
        <v>757</v>
      </c>
      <c r="GW19" s="99">
        <f t="shared" si="169"/>
        <v>1067</v>
      </c>
      <c r="GX19" s="99">
        <f t="shared" si="170"/>
        <v>1016</v>
      </c>
      <c r="GY19" s="107">
        <f t="shared" si="171"/>
        <v>858</v>
      </c>
      <c r="MD19" s="564" t="s">
        <v>396</v>
      </c>
      <c r="ME19" s="566">
        <v>13</v>
      </c>
      <c r="MF19" s="430">
        <f t="shared" si="121"/>
        <v>5.1058066079999982</v>
      </c>
      <c r="MG19" s="182">
        <f t="shared" si="122"/>
        <v>4.8644625550000002</v>
      </c>
      <c r="MH19" s="182">
        <f t="shared" si="123"/>
        <v>5.4793614440000011</v>
      </c>
      <c r="MI19" s="182">
        <f t="shared" si="124"/>
        <v>6.4958517040000006</v>
      </c>
      <c r="MJ19" s="282">
        <f t="shared" si="125"/>
        <v>7.5043773630000006</v>
      </c>
      <c r="OF19" s="698" t="s">
        <v>447</v>
      </c>
      <c r="OG19" s="316">
        <v>13</v>
      </c>
      <c r="OH19" s="430">
        <f t="shared" si="126"/>
        <v>-624.09032409300016</v>
      </c>
      <c r="OI19" s="182">
        <f t="shared" si="127"/>
        <v>-377.72911350600009</v>
      </c>
      <c r="OJ19" s="182">
        <f t="shared" si="128"/>
        <v>-320.50269724099996</v>
      </c>
      <c r="OK19" s="182">
        <f t="shared" si="129"/>
        <v>-334.61732514000005</v>
      </c>
      <c r="OL19" s="282">
        <f t="shared" si="130"/>
        <v>-372.52078992099985</v>
      </c>
      <c r="PD19" s="710" t="s">
        <v>495</v>
      </c>
      <c r="PE19" s="316">
        <f t="shared" si="165"/>
        <v>37</v>
      </c>
      <c r="PF19" s="324">
        <f t="shared" si="131"/>
        <v>0</v>
      </c>
      <c r="PG19" s="182">
        <f t="shared" si="132"/>
        <v>0</v>
      </c>
      <c r="PH19" s="182">
        <f t="shared" si="133"/>
        <v>0</v>
      </c>
      <c r="PI19" s="182">
        <f t="shared" si="134"/>
        <v>0</v>
      </c>
      <c r="PJ19" s="282">
        <f t="shared" si="135"/>
        <v>0</v>
      </c>
      <c r="QF19" s="1733" t="s">
        <v>477</v>
      </c>
      <c r="QG19" s="316">
        <f t="shared" si="166"/>
        <v>65</v>
      </c>
      <c r="QH19" s="430">
        <f t="shared" si="136"/>
        <v>4244.9210000000003</v>
      </c>
      <c r="QI19" s="182">
        <f t="shared" si="137"/>
        <v>4336.0569999999998</v>
      </c>
      <c r="QJ19" s="182">
        <f t="shared" si="138"/>
        <v>4224.1550000000007</v>
      </c>
      <c r="QK19" s="182">
        <f t="shared" si="139"/>
        <v>4272.0509999999995</v>
      </c>
      <c r="QL19" s="282">
        <f t="shared" si="140"/>
        <v>4312.223</v>
      </c>
    </row>
    <row r="20" spans="15:454" customFormat="1" ht="26.25" customHeight="1" thickBot="1">
      <c r="O20" s="133" t="s">
        <v>13</v>
      </c>
      <c r="P20" s="134">
        <v>15</v>
      </c>
      <c r="Q20" s="135">
        <f t="shared" si="25"/>
        <v>34252</v>
      </c>
      <c r="R20" s="136">
        <f t="shared" si="26"/>
        <v>22500</v>
      </c>
      <c r="S20" s="136">
        <f t="shared" si="27"/>
        <v>52480</v>
      </c>
      <c r="T20" s="136">
        <f t="shared" si="28"/>
        <v>29670</v>
      </c>
      <c r="U20" s="137">
        <f t="shared" si="29"/>
        <v>31839.430015076228</v>
      </c>
      <c r="AE20" s="138" t="s">
        <v>13</v>
      </c>
      <c r="AF20" s="139">
        <v>15</v>
      </c>
      <c r="AG20" s="140">
        <f t="shared" si="5"/>
        <v>37716</v>
      </c>
      <c r="AH20" s="141">
        <f t="shared" si="6"/>
        <v>25730</v>
      </c>
      <c r="AI20" s="141">
        <f t="shared" si="7"/>
        <v>31571</v>
      </c>
      <c r="AJ20" s="141">
        <f t="shared" si="8"/>
        <v>30299</v>
      </c>
      <c r="AK20" s="142">
        <f t="shared" si="9"/>
        <v>28606.489394712957</v>
      </c>
      <c r="AV20" s="138" t="s">
        <v>13</v>
      </c>
      <c r="AW20" s="139">
        <v>15</v>
      </c>
      <c r="AX20" s="140">
        <f t="shared" si="10"/>
        <v>320988</v>
      </c>
      <c r="AY20" s="141">
        <f t="shared" si="11"/>
        <v>80675</v>
      </c>
      <c r="AZ20" s="141">
        <f t="shared" si="12"/>
        <v>80684</v>
      </c>
      <c r="BA20" s="141">
        <f t="shared" si="13"/>
        <v>72100</v>
      </c>
      <c r="BB20" s="142">
        <f t="shared" si="14"/>
        <v>66719.930490066967</v>
      </c>
      <c r="CF20" s="743" t="s">
        <v>78</v>
      </c>
      <c r="CG20" s="195" t="s">
        <v>1016</v>
      </c>
      <c r="CH20" s="757">
        <v>12</v>
      </c>
      <c r="CI20" s="1001">
        <f>INDEX($CF$68:$CW$679,MAX($CW$68:$CW$679)-12,$CH20)</f>
        <v>2146.1</v>
      </c>
      <c r="CJ20" s="1001">
        <f>INDEX($CF$68:$CW$679,MAX($CW$68:$CW$679)-3,$CH20)</f>
        <v>2106.2199999999998</v>
      </c>
      <c r="CK20" s="1001">
        <f>INDEX($CF$68:$CW$679,MAX($CW$68:$CW$679)-2,$CH20)</f>
        <v>1954.4</v>
      </c>
      <c r="CL20" s="1001">
        <f>INDEX($CF$68:$CW$679,MAX($CW$68:$CW$679)-1,$CH20)</f>
        <v>1891.89</v>
      </c>
      <c r="CM20" s="1002">
        <f>INDEX($CF$68:$CW$679,MAX($CW$68:$CW$679),$CH20)</f>
        <v>1940.09</v>
      </c>
      <c r="FN20" s="482" t="s">
        <v>234</v>
      </c>
      <c r="FO20" s="425">
        <v>14</v>
      </c>
      <c r="FP20" s="487">
        <f t="shared" si="46"/>
        <v>101.4</v>
      </c>
      <c r="FQ20" s="488">
        <f t="shared" si="47"/>
        <v>102.4</v>
      </c>
      <c r="FR20" s="488">
        <f t="shared" si="48"/>
        <v>102.5</v>
      </c>
      <c r="FS20" s="488">
        <f t="shared" si="49"/>
        <v>102.52</v>
      </c>
      <c r="FT20" s="489">
        <f t="shared" si="50"/>
        <v>102.52</v>
      </c>
      <c r="GC20" s="418" t="s">
        <v>249</v>
      </c>
      <c r="GD20" s="317">
        <v>14</v>
      </c>
      <c r="GE20" s="487">
        <f t="shared" si="51"/>
        <v>105.79</v>
      </c>
      <c r="GF20" s="488">
        <f t="shared" si="52"/>
        <v>108.3</v>
      </c>
      <c r="GG20" s="488">
        <f t="shared" si="53"/>
        <v>108.5</v>
      </c>
      <c r="GH20" s="488">
        <f t="shared" si="54"/>
        <v>108.5</v>
      </c>
      <c r="GI20" s="489">
        <f t="shared" si="55"/>
        <v>108.5</v>
      </c>
      <c r="GS20" s="493" t="s">
        <v>264</v>
      </c>
      <c r="GT20" s="316">
        <v>12</v>
      </c>
      <c r="GU20" s="106">
        <f t="shared" si="167"/>
        <v>415</v>
      </c>
      <c r="GV20" s="99">
        <f t="shared" si="168"/>
        <v>503</v>
      </c>
      <c r="GW20" s="99">
        <f t="shared" si="169"/>
        <v>501</v>
      </c>
      <c r="GX20" s="99">
        <f t="shared" si="170"/>
        <v>624</v>
      </c>
      <c r="GY20" s="107">
        <f t="shared" si="171"/>
        <v>400</v>
      </c>
      <c r="MD20" s="564" t="s">
        <v>397</v>
      </c>
      <c r="ME20" s="566">
        <v>14</v>
      </c>
      <c r="MF20" s="430">
        <f t="shared" si="121"/>
        <v>47.288769762999998</v>
      </c>
      <c r="MG20" s="182">
        <f t="shared" si="122"/>
        <v>32.691060529000005</v>
      </c>
      <c r="MH20" s="182">
        <f t="shared" si="123"/>
        <v>35.546940876000008</v>
      </c>
      <c r="MI20" s="182">
        <f t="shared" si="124"/>
        <v>38.63602808800001</v>
      </c>
      <c r="MJ20" s="282">
        <f t="shared" si="125"/>
        <v>42.910191037000011</v>
      </c>
      <c r="OF20" s="698" t="s">
        <v>448</v>
      </c>
      <c r="OG20" s="316">
        <v>14</v>
      </c>
      <c r="OH20" s="430">
        <f t="shared" si="126"/>
        <v>2596.1610000000001</v>
      </c>
      <c r="OI20" s="182">
        <f t="shared" si="127"/>
        <v>2278.5110000000004</v>
      </c>
      <c r="OJ20" s="182">
        <f t="shared" si="128"/>
        <v>2111.5820000000003</v>
      </c>
      <c r="OK20" s="182">
        <f t="shared" si="129"/>
        <v>2038.0520000000001</v>
      </c>
      <c r="OL20" s="282">
        <f t="shared" si="130"/>
        <v>1998.8049999999998</v>
      </c>
      <c r="PD20" s="712" t="s">
        <v>479</v>
      </c>
      <c r="PE20" s="316">
        <f t="shared" si="165"/>
        <v>38</v>
      </c>
      <c r="PF20" s="324">
        <f t="shared" si="131"/>
        <v>5.4917610870000004</v>
      </c>
      <c r="PG20" s="182">
        <f t="shared" si="132"/>
        <v>6.2092985410000008</v>
      </c>
      <c r="PH20" s="182">
        <f t="shared" si="133"/>
        <v>6.3877273809999995</v>
      </c>
      <c r="PI20" s="182">
        <f t="shared" si="134"/>
        <v>6.4011975830000001</v>
      </c>
      <c r="PJ20" s="282">
        <f t="shared" si="135"/>
        <v>6.3130789939999996</v>
      </c>
      <c r="QF20" s="1736" t="s">
        <v>478</v>
      </c>
      <c r="QG20" s="316">
        <f t="shared" si="166"/>
        <v>66</v>
      </c>
      <c r="QH20" s="430">
        <f t="shared" si="136"/>
        <v>59.407000000000004</v>
      </c>
      <c r="QI20" s="182">
        <f t="shared" si="137"/>
        <v>68.712000000000003</v>
      </c>
      <c r="QJ20" s="182">
        <f t="shared" si="138"/>
        <v>56.991</v>
      </c>
      <c r="QK20" s="182">
        <f t="shared" si="139"/>
        <v>66.817999999999998</v>
      </c>
      <c r="QL20" s="282">
        <f t="shared" si="140"/>
        <v>72.391000000000005</v>
      </c>
    </row>
    <row r="21" spans="15:454" customFormat="1" ht="22.5" customHeight="1" thickBot="1">
      <c r="CF21" s="37" t="s">
        <v>79</v>
      </c>
      <c r="CG21" s="544"/>
      <c r="CH21" s="544"/>
      <c r="CI21" s="544"/>
      <c r="CJ21" s="544"/>
      <c r="CK21" s="544"/>
      <c r="CL21" s="544"/>
      <c r="CM21" s="748"/>
      <c r="GS21" s="500" t="s">
        <v>265</v>
      </c>
      <c r="GT21" s="317">
        <v>13</v>
      </c>
      <c r="GU21" s="487">
        <f t="shared" si="167"/>
        <v>1083</v>
      </c>
      <c r="GV21" s="488">
        <f t="shared" si="168"/>
        <v>618</v>
      </c>
      <c r="GW21" s="488">
        <f t="shared" si="169"/>
        <v>835</v>
      </c>
      <c r="GX21" s="488">
        <f t="shared" si="170"/>
        <v>1437</v>
      </c>
      <c r="GY21" s="489">
        <f t="shared" si="171"/>
        <v>1315</v>
      </c>
      <c r="MD21" s="564" t="s">
        <v>398</v>
      </c>
      <c r="ME21" s="566">
        <v>15</v>
      </c>
      <c r="MF21" s="430">
        <f t="shared" si="121"/>
        <v>4.4635998640000238</v>
      </c>
      <c r="MG21" s="182">
        <f t="shared" si="122"/>
        <v>1.5717227280000001</v>
      </c>
      <c r="MH21" s="182">
        <f t="shared" si="123"/>
        <v>1.8235117380000001</v>
      </c>
      <c r="MI21" s="182">
        <f t="shared" si="124"/>
        <v>2.0194393129999999</v>
      </c>
      <c r="MJ21" s="282">
        <f t="shared" si="125"/>
        <v>2.4730740940000002</v>
      </c>
      <c r="OF21" s="697" t="s">
        <v>455</v>
      </c>
      <c r="OG21" s="316">
        <v>15</v>
      </c>
      <c r="OH21" s="430">
        <f t="shared" si="126"/>
        <v>4396.1364443080001</v>
      </c>
      <c r="OI21" s="182">
        <f t="shared" si="127"/>
        <v>4686.3317924869998</v>
      </c>
      <c r="OJ21" s="182">
        <f t="shared" si="128"/>
        <v>4747.5566415049998</v>
      </c>
      <c r="OK21" s="182">
        <f t="shared" si="129"/>
        <v>4666.9326713299997</v>
      </c>
      <c r="OL21" s="282">
        <f t="shared" si="130"/>
        <v>4764.6858344120001</v>
      </c>
      <c r="PD21" s="713" t="s">
        <v>481</v>
      </c>
      <c r="PE21" s="316">
        <f t="shared" si="165"/>
        <v>39</v>
      </c>
      <c r="PF21" s="324">
        <f t="shared" si="131"/>
        <v>1262.7449119200003</v>
      </c>
      <c r="PG21" s="182">
        <f t="shared" si="132"/>
        <v>1335.9944169970001</v>
      </c>
      <c r="PH21" s="182">
        <f t="shared" si="133"/>
        <v>1298.314494235</v>
      </c>
      <c r="PI21" s="182">
        <f t="shared" si="134"/>
        <v>1264.17441975</v>
      </c>
      <c r="PJ21" s="282">
        <f t="shared" si="135"/>
        <v>1382.586212357</v>
      </c>
      <c r="QF21" s="1734" t="s">
        <v>494</v>
      </c>
      <c r="QG21" s="316">
        <f t="shared" si="166"/>
        <v>67</v>
      </c>
      <c r="QH21" s="430">
        <f t="shared" si="136"/>
        <v>154.69300000000001</v>
      </c>
      <c r="QI21" s="182">
        <f t="shared" si="137"/>
        <v>5.29</v>
      </c>
      <c r="QJ21" s="182">
        <f t="shared" si="138"/>
        <v>5.3140000000000001</v>
      </c>
      <c r="QK21" s="182">
        <f t="shared" si="139"/>
        <v>5.3369999999999997</v>
      </c>
      <c r="QL21" s="282">
        <f t="shared" si="140"/>
        <v>5.3620000000000001</v>
      </c>
    </row>
    <row r="22" spans="15:454" customFormat="1" ht="25.5" customHeight="1" thickBot="1">
      <c r="CF22" s="752" t="s">
        <v>80</v>
      </c>
      <c r="CG22" s="197" t="s">
        <v>1013</v>
      </c>
      <c r="CH22" s="756">
        <v>13</v>
      </c>
      <c r="CI22" s="204">
        <f>INDEX($CF$68:$CW$679,MAX($CW$68:$CW$679)-12,$CH22)</f>
        <v>2.38666666667</v>
      </c>
      <c r="CJ22" s="205">
        <f>INDEX($CF$68:$CW$679,MAX($CW$68:$CW$679)-3,$CH22)</f>
        <v>2.2524999999999999</v>
      </c>
      <c r="CK22" s="204">
        <f>INDEX($CF$68:$CW$679,MAX($CW$68:$CW$679)-2,$CH22)</f>
        <v>2.1625000000000001</v>
      </c>
      <c r="CL22" s="204">
        <f>INDEX($CF$68:$CW$679,MAX($CW$68:$CW$679)-1,$CH22)</f>
        <v>2.1775000000000002</v>
      </c>
      <c r="CM22" s="753">
        <f>INDEX($CF$68:$CW$679,MAX($CW$68:$CW$679),$CH22)</f>
        <v>2.19</v>
      </c>
      <c r="GS22" s="496" t="s">
        <v>266</v>
      </c>
      <c r="GT22" s="91"/>
      <c r="GU22" s="515"/>
      <c r="GV22" s="516"/>
      <c r="GW22" s="516"/>
      <c r="GX22" s="516"/>
      <c r="GY22" s="517"/>
      <c r="MD22" s="564" t="s">
        <v>399</v>
      </c>
      <c r="ME22" s="566">
        <v>16</v>
      </c>
      <c r="MF22" s="430">
        <f t="shared" si="121"/>
        <v>72.286867036000004</v>
      </c>
      <c r="MG22" s="182">
        <f t="shared" si="122"/>
        <v>95.398116923999993</v>
      </c>
      <c r="MH22" s="182">
        <f t="shared" si="123"/>
        <v>101.43793068599999</v>
      </c>
      <c r="MI22" s="182">
        <f t="shared" si="124"/>
        <v>102.214828489</v>
      </c>
      <c r="MJ22" s="282">
        <f t="shared" si="125"/>
        <v>102.30698891399999</v>
      </c>
      <c r="OF22" s="698" t="s">
        <v>456</v>
      </c>
      <c r="OG22" s="316">
        <v>16</v>
      </c>
      <c r="OH22" s="430">
        <f t="shared" si="126"/>
        <v>142.06168322100001</v>
      </c>
      <c r="OI22" s="182">
        <f t="shared" si="127"/>
        <v>341.3764939460001</v>
      </c>
      <c r="OJ22" s="182">
        <f t="shared" si="128"/>
        <v>514.32491412399986</v>
      </c>
      <c r="OK22" s="182">
        <f t="shared" si="129"/>
        <v>385.791473747</v>
      </c>
      <c r="OL22" s="282">
        <f t="shared" si="130"/>
        <v>443.46075541800013</v>
      </c>
      <c r="PD22" s="709" t="s">
        <v>445</v>
      </c>
      <c r="PE22" s="316">
        <f t="shared" si="165"/>
        <v>40</v>
      </c>
      <c r="PF22" s="324">
        <f t="shared" si="131"/>
        <v>967.05458406800005</v>
      </c>
      <c r="PG22" s="182">
        <f t="shared" si="132"/>
        <v>1063.2407808160001</v>
      </c>
      <c r="PH22" s="182">
        <f t="shared" si="133"/>
        <v>1055.218398537</v>
      </c>
      <c r="PI22" s="182">
        <f t="shared" si="134"/>
        <v>1075.665439615</v>
      </c>
      <c r="PJ22" s="282">
        <f t="shared" si="135"/>
        <v>1147.2083511620001</v>
      </c>
      <c r="QF22" s="1733" t="s">
        <v>495</v>
      </c>
      <c r="QG22" s="316">
        <f t="shared" si="166"/>
        <v>68</v>
      </c>
      <c r="QH22" s="430">
        <f t="shared" si="136"/>
        <v>359.95600000000002</v>
      </c>
      <c r="QI22" s="182">
        <f t="shared" si="137"/>
        <v>353.37</v>
      </c>
      <c r="QJ22" s="182">
        <f t="shared" si="138"/>
        <v>351.02199999999999</v>
      </c>
      <c r="QK22" s="182">
        <f t="shared" si="139"/>
        <v>340.95</v>
      </c>
      <c r="QL22" s="282">
        <f t="shared" si="140"/>
        <v>347.82799999999997</v>
      </c>
    </row>
    <row r="23" spans="15:454" customFormat="1" ht="22.8">
      <c r="CF23" s="37" t="s">
        <v>81</v>
      </c>
      <c r="CG23" s="544"/>
      <c r="CH23" s="544"/>
      <c r="CI23" s="544"/>
      <c r="CJ23" s="544"/>
      <c r="CK23" s="544"/>
      <c r="CL23" s="544"/>
      <c r="CM23" s="748"/>
      <c r="GS23" s="504" t="s">
        <v>267</v>
      </c>
      <c r="GT23" s="315">
        <v>14</v>
      </c>
      <c r="GU23" s="484">
        <f t="shared" ref="GU23:GU28" si="172">INDEX($GP$68:$HR$679,MAX($HR$68:$HR$679)-12,$GT23)</f>
        <v>2479</v>
      </c>
      <c r="GV23" s="485">
        <f t="shared" ref="GV23:GV28" si="173">INDEX($GP$68:$HR$679,MAX($HR$68:$HR$679)-3,$GT23)</f>
        <v>2403</v>
      </c>
      <c r="GW23" s="485">
        <f t="shared" ref="GW23:GW28" si="174">INDEX($GP$68:$HR$679,MAX($HR$68:$HR$679)-2,$GT23)</f>
        <v>2460</v>
      </c>
      <c r="GX23" s="485">
        <f t="shared" ref="GX23:GX28" si="175">INDEX($GP$68:$HR$679,MAX($HR$68:$HR$679)-1,$GT23)</f>
        <v>2429</v>
      </c>
      <c r="GY23" s="486">
        <f t="shared" ref="GY23:GY28" si="176">INDEX($GP$68:$HR$679,MAX($HR$68:$HR$679),$GT23)</f>
        <v>2364</v>
      </c>
      <c r="MD23" s="564" t="s">
        <v>400</v>
      </c>
      <c r="ME23" s="566">
        <v>17</v>
      </c>
      <c r="MF23" s="430">
        <f t="shared" si="121"/>
        <v>106.662214932</v>
      </c>
      <c r="MG23" s="182">
        <f t="shared" si="122"/>
        <v>89.728854966561457</v>
      </c>
      <c r="MH23" s="182">
        <f t="shared" si="123"/>
        <v>99.889586729561444</v>
      </c>
      <c r="MI23" s="182">
        <f t="shared" si="124"/>
        <v>106.91196295556145</v>
      </c>
      <c r="MJ23" s="282">
        <f t="shared" si="125"/>
        <v>142.24018303156143</v>
      </c>
      <c r="OF23" s="698" t="s">
        <v>457</v>
      </c>
      <c r="OG23" s="316">
        <v>17</v>
      </c>
      <c r="OH23" s="430">
        <f t="shared" si="126"/>
        <v>60.571683221000008</v>
      </c>
      <c r="OI23" s="182">
        <f t="shared" si="127"/>
        <v>84.521493945999964</v>
      </c>
      <c r="OJ23" s="182">
        <f t="shared" si="128"/>
        <v>126.490914124</v>
      </c>
      <c r="OK23" s="182">
        <f t="shared" si="129"/>
        <v>174.81147374699998</v>
      </c>
      <c r="OL23" s="282">
        <f t="shared" si="130"/>
        <v>199.76375541800002</v>
      </c>
      <c r="PD23" s="711" t="s">
        <v>482</v>
      </c>
      <c r="PE23" s="316">
        <f t="shared" si="165"/>
        <v>41</v>
      </c>
      <c r="PF23" s="324">
        <f t="shared" si="131"/>
        <v>294.930697839</v>
      </c>
      <c r="PG23" s="182">
        <f t="shared" si="132"/>
        <v>271.90934717099998</v>
      </c>
      <c r="PH23" s="182">
        <f t="shared" si="133"/>
        <v>242.14329763800001</v>
      </c>
      <c r="PI23" s="182">
        <f t="shared" si="134"/>
        <v>182.924883972</v>
      </c>
      <c r="PJ23" s="282">
        <f t="shared" si="135"/>
        <v>234.04799452200001</v>
      </c>
      <c r="QF23" s="1733" t="s">
        <v>479</v>
      </c>
      <c r="QG23" s="316">
        <f t="shared" si="166"/>
        <v>69</v>
      </c>
      <c r="QH23" s="430">
        <f t="shared" si="136"/>
        <v>3670.8649999999998</v>
      </c>
      <c r="QI23" s="182">
        <f t="shared" si="137"/>
        <v>3908.6849999999999</v>
      </c>
      <c r="QJ23" s="182">
        <f t="shared" si="138"/>
        <v>3810.8280000000004</v>
      </c>
      <c r="QK23" s="182">
        <f t="shared" si="139"/>
        <v>3858.9459999999999</v>
      </c>
      <c r="QL23" s="282">
        <f t="shared" si="140"/>
        <v>3886.6419999999998</v>
      </c>
    </row>
    <row r="24" spans="15:454" customFormat="1">
      <c r="CF24" s="743" t="s">
        <v>82</v>
      </c>
      <c r="CG24" s="743" t="s">
        <v>1013</v>
      </c>
      <c r="CH24" s="757">
        <v>14</v>
      </c>
      <c r="CI24" s="206">
        <f>INDEX($CF$68:$CW$679,MAX($CW$68:$CW$679)-12,$CH24)</f>
        <v>1.5355000000000001</v>
      </c>
      <c r="CJ24" s="207">
        <f>INDEX($CF$68:$CW$679,MAX($CW$68:$CW$679)-3,$CH24)</f>
        <v>1.5544</v>
      </c>
      <c r="CK24" s="208">
        <f>INDEX($CF$68:$CW$679,MAX($CW$68:$CW$679)-2,$CH24)</f>
        <v>1.6073</v>
      </c>
      <c r="CL24" s="206">
        <f>INDEX($CF$68:$CW$679,MAX($CW$68:$CW$679)-1,$CH24)</f>
        <v>1.6747000000000001</v>
      </c>
      <c r="CM24" s="754">
        <f>INDEX($CF$68:$CW$679,MAX($CW$68:$CW$679),$CH24)</f>
        <v>1.6618999999999999</v>
      </c>
      <c r="GS24" s="498" t="s">
        <v>268</v>
      </c>
      <c r="GT24" s="316">
        <v>15</v>
      </c>
      <c r="GU24" s="106">
        <f t="shared" si="172"/>
        <v>2628</v>
      </c>
      <c r="GV24" s="99">
        <f t="shared" si="173"/>
        <v>2741</v>
      </c>
      <c r="GW24" s="99">
        <f t="shared" si="174"/>
        <v>2946</v>
      </c>
      <c r="GX24" s="99">
        <f t="shared" si="175"/>
        <v>2975</v>
      </c>
      <c r="GY24" s="107">
        <f t="shared" si="176"/>
        <v>2878</v>
      </c>
      <c r="MD24" s="564" t="s">
        <v>401</v>
      </c>
      <c r="ME24" s="566">
        <v>18</v>
      </c>
      <c r="MF24" s="430">
        <f t="shared" si="121"/>
        <v>0</v>
      </c>
      <c r="MG24" s="182">
        <f t="shared" si="122"/>
        <v>0</v>
      </c>
      <c r="MH24" s="182">
        <f t="shared" si="123"/>
        <v>0</v>
      </c>
      <c r="MI24" s="182">
        <f t="shared" si="124"/>
        <v>0</v>
      </c>
      <c r="MJ24" s="282">
        <f t="shared" si="125"/>
        <v>0</v>
      </c>
      <c r="OF24" s="698" t="s">
        <v>458</v>
      </c>
      <c r="OG24" s="316">
        <v>18</v>
      </c>
      <c r="OH24" s="430">
        <f t="shared" si="126"/>
        <v>81.490000000000009</v>
      </c>
      <c r="OI24" s="182">
        <f t="shared" si="127"/>
        <v>256.85500000000013</v>
      </c>
      <c r="OJ24" s="182">
        <f t="shared" si="128"/>
        <v>387.83399999999983</v>
      </c>
      <c r="OK24" s="182">
        <f t="shared" si="129"/>
        <v>210.98000000000002</v>
      </c>
      <c r="OL24" s="282">
        <f t="shared" si="130"/>
        <v>243.69700000000012</v>
      </c>
      <c r="PD24" s="710" t="s">
        <v>483</v>
      </c>
      <c r="PE24" s="316">
        <f t="shared" si="165"/>
        <v>42</v>
      </c>
      <c r="PF24" s="324">
        <f t="shared" si="131"/>
        <v>0.75963001299999999</v>
      </c>
      <c r="PG24" s="182">
        <f t="shared" si="132"/>
        <v>0.84428901000000001</v>
      </c>
      <c r="PH24" s="182">
        <f t="shared" si="133"/>
        <v>0.95279805999999989</v>
      </c>
      <c r="PI24" s="182">
        <f t="shared" si="134"/>
        <v>5.5840961629999999</v>
      </c>
      <c r="PJ24" s="282">
        <f t="shared" si="135"/>
        <v>1.3298666729999999</v>
      </c>
      <c r="QF24" s="1733" t="s">
        <v>496</v>
      </c>
      <c r="QG24" s="316">
        <f t="shared" si="166"/>
        <v>70</v>
      </c>
      <c r="QH24" s="430">
        <f t="shared" si="136"/>
        <v>0</v>
      </c>
      <c r="QI24" s="182">
        <f t="shared" si="137"/>
        <v>0</v>
      </c>
      <c r="QJ24" s="182">
        <f t="shared" si="138"/>
        <v>0</v>
      </c>
      <c r="QK24" s="182">
        <f t="shared" si="139"/>
        <v>0</v>
      </c>
      <c r="QL24" s="282">
        <f t="shared" si="140"/>
        <v>0</v>
      </c>
    </row>
    <row r="25" spans="15:454" customFormat="1" ht="23.25" customHeight="1">
      <c r="CF25" s="37"/>
      <c r="CG25" s="544"/>
      <c r="CH25" s="544"/>
      <c r="CI25" s="544"/>
      <c r="CJ25" s="544"/>
      <c r="CK25" s="544"/>
      <c r="CL25" s="544"/>
      <c r="CM25" s="748"/>
      <c r="GS25" s="497" t="s">
        <v>269</v>
      </c>
      <c r="GT25" s="316">
        <v>16</v>
      </c>
      <c r="GU25" s="106">
        <f t="shared" si="172"/>
        <v>2758</v>
      </c>
      <c r="GV25" s="99">
        <f t="shared" si="173"/>
        <v>2667</v>
      </c>
      <c r="GW25" s="99">
        <f t="shared" si="174"/>
        <v>2444</v>
      </c>
      <c r="GX25" s="99">
        <f t="shared" si="175"/>
        <v>2839</v>
      </c>
      <c r="GY25" s="107">
        <f t="shared" si="176"/>
        <v>2997</v>
      </c>
      <c r="MD25" s="564" t="s">
        <v>402</v>
      </c>
      <c r="ME25" s="566">
        <v>19</v>
      </c>
      <c r="MF25" s="430">
        <f t="shared" si="121"/>
        <v>263.69144635657256</v>
      </c>
      <c r="MG25" s="182">
        <f t="shared" si="122"/>
        <v>194.36070714602499</v>
      </c>
      <c r="MH25" s="182">
        <f t="shared" si="123"/>
        <v>196.49136864202498</v>
      </c>
      <c r="MI25" s="182">
        <f t="shared" si="124"/>
        <v>198.87433827102501</v>
      </c>
      <c r="MJ25" s="282">
        <f t="shared" si="125"/>
        <v>203.50104382320364</v>
      </c>
      <c r="OF25" s="698" t="s">
        <v>459</v>
      </c>
      <c r="OG25" s="316">
        <v>19</v>
      </c>
      <c r="OH25" s="430">
        <f t="shared" si="126"/>
        <v>4254.0747610870003</v>
      </c>
      <c r="OI25" s="182">
        <f t="shared" si="127"/>
        <v>4344.955298541</v>
      </c>
      <c r="OJ25" s="182">
        <f t="shared" si="128"/>
        <v>4233.2317273810004</v>
      </c>
      <c r="OK25" s="182">
        <f t="shared" si="129"/>
        <v>4281.1411975829997</v>
      </c>
      <c r="OL25" s="282">
        <f t="shared" si="130"/>
        <v>4321.2250789939999</v>
      </c>
      <c r="PD25" s="708" t="s">
        <v>993</v>
      </c>
      <c r="PE25" s="316">
        <f t="shared" si="165"/>
        <v>43</v>
      </c>
      <c r="PF25" s="324">
        <f t="shared" si="131"/>
        <v>0</v>
      </c>
      <c r="PG25" s="182">
        <f t="shared" si="132"/>
        <v>0</v>
      </c>
      <c r="PH25" s="182">
        <f t="shared" si="133"/>
        <v>0</v>
      </c>
      <c r="PI25" s="182">
        <f t="shared" si="134"/>
        <v>0</v>
      </c>
      <c r="PJ25" s="282">
        <f t="shared" si="135"/>
        <v>0</v>
      </c>
      <c r="QF25" s="1733" t="s">
        <v>497</v>
      </c>
      <c r="QG25" s="316">
        <f t="shared" si="166"/>
        <v>71</v>
      </c>
      <c r="QH25" s="430">
        <f t="shared" si="136"/>
        <v>1670.4850000000001</v>
      </c>
      <c r="QI25" s="182">
        <f t="shared" si="137"/>
        <v>1647.8049999999998</v>
      </c>
      <c r="QJ25" s="182">
        <f t="shared" si="138"/>
        <v>1435.105</v>
      </c>
      <c r="QK25" s="182">
        <f t="shared" si="139"/>
        <v>1412.3420000000001</v>
      </c>
      <c r="QL25" s="282">
        <f t="shared" si="140"/>
        <v>1508.2710000000002</v>
      </c>
    </row>
    <row r="26" spans="15:454" customFormat="1" ht="33" customHeight="1">
      <c r="CF26" s="743" t="s">
        <v>83</v>
      </c>
      <c r="CG26" s="195" t="s">
        <v>1018</v>
      </c>
      <c r="CH26" s="736">
        <v>15</v>
      </c>
      <c r="CI26" s="200">
        <f>INDEX($CF$68:$CW$679,MAX($CW$68:$CW$679)-12,$CH26)</f>
        <v>300</v>
      </c>
      <c r="CJ26" s="200">
        <f>INDEX($CF$68:$CW$679,MAX($CW$68:$CW$679)-3,$CH26)</f>
        <v>347.5</v>
      </c>
      <c r="CK26" s="200">
        <f>INDEX($CF$68:$CW$679,MAX($CW$68:$CW$679)-2,$CH26)</f>
        <v>347.5</v>
      </c>
      <c r="CL26" s="200">
        <f>INDEX($CF$68:$CW$679,MAX($CW$68:$CW$679)-1,$CH26)</f>
        <v>348.12725631768956</v>
      </c>
      <c r="CM26" s="749">
        <f>INDEX($CF$68:$CW$679,MAX($CW$68:$CW$679),$CH26)</f>
        <v>152.5</v>
      </c>
      <c r="GS26" s="495" t="s">
        <v>270</v>
      </c>
      <c r="GT26" s="316">
        <v>17</v>
      </c>
      <c r="GU26" s="106">
        <f t="shared" si="172"/>
        <v>3150</v>
      </c>
      <c r="GV26" s="99">
        <f t="shared" si="173"/>
        <v>3150</v>
      </c>
      <c r="GW26" s="99">
        <f t="shared" si="174"/>
        <v>3150</v>
      </c>
      <c r="GX26" s="99">
        <f t="shared" si="175"/>
        <v>3150</v>
      </c>
      <c r="GY26" s="107">
        <f t="shared" si="176"/>
        <v>3150</v>
      </c>
      <c r="MD26" s="564" t="s">
        <v>403</v>
      </c>
      <c r="ME26" s="566">
        <v>20</v>
      </c>
      <c r="MF26" s="430">
        <f t="shared" si="121"/>
        <v>203.42640019557257</v>
      </c>
      <c r="MG26" s="182">
        <f t="shared" si="122"/>
        <v>194.36070714602499</v>
      </c>
      <c r="MH26" s="182">
        <f t="shared" si="123"/>
        <v>196.49136864202498</v>
      </c>
      <c r="MI26" s="182">
        <f t="shared" si="124"/>
        <v>198.87433827102501</v>
      </c>
      <c r="MJ26" s="282">
        <f t="shared" si="125"/>
        <v>203.50104382320364</v>
      </c>
      <c r="OF26" s="698" t="s">
        <v>457</v>
      </c>
      <c r="OG26" s="316">
        <v>20</v>
      </c>
      <c r="OH26" s="430">
        <f t="shared" si="126"/>
        <v>9.1537610869999995</v>
      </c>
      <c r="OI26" s="182">
        <f t="shared" si="127"/>
        <v>8.8982985410000008</v>
      </c>
      <c r="OJ26" s="182">
        <f t="shared" si="128"/>
        <v>9.0767273809999995</v>
      </c>
      <c r="OK26" s="182">
        <f t="shared" si="129"/>
        <v>9.0901975830000001</v>
      </c>
      <c r="OL26" s="282">
        <f t="shared" si="130"/>
        <v>9.0020789939999997</v>
      </c>
      <c r="PD26" s="708" t="s">
        <v>484</v>
      </c>
      <c r="PE26" s="316">
        <f t="shared" si="165"/>
        <v>44</v>
      </c>
      <c r="PF26" s="324">
        <f t="shared" si="131"/>
        <v>0.77700933500000002</v>
      </c>
      <c r="PG26" s="182">
        <f t="shared" si="132"/>
        <v>4.3275082450000006</v>
      </c>
      <c r="PH26" s="182">
        <f t="shared" si="133"/>
        <v>4.4251287679999995</v>
      </c>
      <c r="PI26" s="182">
        <f t="shared" si="134"/>
        <v>4.1871836140000003</v>
      </c>
      <c r="PJ26" s="282">
        <f t="shared" si="135"/>
        <v>3.6631229470000002</v>
      </c>
      <c r="QF26" s="1736" t="s">
        <v>498</v>
      </c>
      <c r="QG26" s="316">
        <f t="shared" si="166"/>
        <v>72</v>
      </c>
      <c r="QH26" s="430">
        <f t="shared" si="136"/>
        <v>2511.9140000000002</v>
      </c>
      <c r="QI26" s="182">
        <f t="shared" si="137"/>
        <v>2391.0039999999999</v>
      </c>
      <c r="QJ26" s="182">
        <f t="shared" si="138"/>
        <v>2279.049</v>
      </c>
      <c r="QK26" s="182">
        <f t="shared" si="139"/>
        <v>2182.2190000000001</v>
      </c>
      <c r="QL26" s="282">
        <f t="shared" si="140"/>
        <v>2189.17</v>
      </c>
    </row>
    <row r="27" spans="15:454" customFormat="1" ht="21" customHeight="1">
      <c r="CF27" s="745" t="s">
        <v>84</v>
      </c>
      <c r="CG27" s="197" t="s">
        <v>1018</v>
      </c>
      <c r="CH27" s="736">
        <v>16</v>
      </c>
      <c r="CI27" s="81">
        <f>INDEX($CF$68:$CW$679,MAX($CW$68:$CW$679)-12,$CH27)</f>
        <v>111.84</v>
      </c>
      <c r="CJ27" s="81">
        <f>INDEX($CF$68:$CW$679,MAX($CW$68:$CW$679)-3,$CH27)</f>
        <v>120.98</v>
      </c>
      <c r="CK27" s="81">
        <f>INDEX($CF$68:$CW$679,MAX($CW$68:$CW$679)-2,$CH27)</f>
        <v>118.97</v>
      </c>
      <c r="CL27" s="81">
        <f>INDEX($CF$68:$CW$679,MAX($CW$68:$CW$679)-1,$CH27)</f>
        <v>131.07</v>
      </c>
      <c r="CM27" s="746">
        <f>INDEX($CF$68:$CW$679,MAX($CW$68:$CW$679),$CH27)</f>
        <v>137.05000000000001</v>
      </c>
      <c r="GS27" s="497" t="s">
        <v>271</v>
      </c>
      <c r="GT27" s="316">
        <v>18</v>
      </c>
      <c r="GU27" s="106">
        <f t="shared" si="172"/>
        <v>3495</v>
      </c>
      <c r="GV27" s="99">
        <f t="shared" si="173"/>
        <v>3725</v>
      </c>
      <c r="GW27" s="99">
        <f t="shared" si="174"/>
        <v>3724</v>
      </c>
      <c r="GX27" s="99">
        <f t="shared" si="175"/>
        <v>3751</v>
      </c>
      <c r="GY27" s="107">
        <f t="shared" si="176"/>
        <v>3791</v>
      </c>
      <c r="MD27" s="564" t="s">
        <v>404</v>
      </c>
      <c r="ME27" s="566">
        <v>21</v>
      </c>
      <c r="MF27" s="430">
        <f t="shared" si="121"/>
        <v>60.265046161000001</v>
      </c>
      <c r="MG27" s="182">
        <f t="shared" si="122"/>
        <v>0</v>
      </c>
      <c r="MH27" s="182">
        <f t="shared" si="123"/>
        <v>0</v>
      </c>
      <c r="MI27" s="182">
        <f t="shared" si="124"/>
        <v>0</v>
      </c>
      <c r="MJ27" s="282">
        <f t="shared" si="125"/>
        <v>0</v>
      </c>
      <c r="OF27" s="698" t="s">
        <v>458</v>
      </c>
      <c r="OG27" s="316">
        <v>21</v>
      </c>
      <c r="OH27" s="430">
        <f t="shared" si="126"/>
        <v>4244.9210000000003</v>
      </c>
      <c r="OI27" s="182">
        <f t="shared" si="127"/>
        <v>4336.0569999999998</v>
      </c>
      <c r="OJ27" s="182">
        <f t="shared" si="128"/>
        <v>4224.1550000000007</v>
      </c>
      <c r="OK27" s="182">
        <f t="shared" si="129"/>
        <v>4272.0509999999995</v>
      </c>
      <c r="OL27" s="282">
        <f t="shared" si="130"/>
        <v>4312.223</v>
      </c>
      <c r="PD27" s="708" t="s">
        <v>994</v>
      </c>
      <c r="PE27" s="316">
        <f t="shared" si="165"/>
        <v>45</v>
      </c>
      <c r="PF27" s="324">
        <f t="shared" si="131"/>
        <v>0</v>
      </c>
      <c r="PG27" s="182">
        <f t="shared" si="132"/>
        <v>0</v>
      </c>
      <c r="PH27" s="182">
        <f t="shared" si="133"/>
        <v>0</v>
      </c>
      <c r="PI27" s="182">
        <f t="shared" si="134"/>
        <v>0</v>
      </c>
      <c r="PJ27" s="282">
        <f t="shared" si="135"/>
        <v>0</v>
      </c>
      <c r="QF27" s="1734" t="s">
        <v>499</v>
      </c>
      <c r="QG27" s="316">
        <f t="shared" si="166"/>
        <v>73</v>
      </c>
      <c r="QH27" s="430">
        <f t="shared" si="136"/>
        <v>2073.8510000000001</v>
      </c>
      <c r="QI27" s="182">
        <f t="shared" si="137"/>
        <v>2152.6800000000003</v>
      </c>
      <c r="QJ27" s="182">
        <f t="shared" si="138"/>
        <v>2238.248</v>
      </c>
      <c r="QK27" s="182">
        <f t="shared" si="139"/>
        <v>2178.2889999999998</v>
      </c>
      <c r="QL27" s="282">
        <f t="shared" si="140"/>
        <v>2073.8069999999998</v>
      </c>
    </row>
    <row r="28" spans="15:454" customFormat="1" ht="24.75" customHeight="1" thickBot="1">
      <c r="CF28" s="755" t="s">
        <v>85</v>
      </c>
      <c r="CG28" s="209" t="s">
        <v>1018</v>
      </c>
      <c r="CH28" s="756">
        <v>17</v>
      </c>
      <c r="CI28" s="147">
        <f>INDEX($CF$68:$CW$679,MAX($CW$68:$CW$679)-12,$CH28)</f>
        <v>3129.48</v>
      </c>
      <c r="CJ28" s="147">
        <f>INDEX($CF$68:$CW$679,MAX($CW$68:$CW$679)-3,$CH28)</f>
        <v>2495.5</v>
      </c>
      <c r="CK28" s="147">
        <f>INDEX($CF$68:$CW$679,MAX($CW$68:$CW$679)-2,$CH28)</f>
        <v>2448.56</v>
      </c>
      <c r="CL28" s="147">
        <f>INDEX($CF$68:$CW$679,MAX($CW$68:$CW$679)-1,$CH28)</f>
        <v>2543.61</v>
      </c>
      <c r="CM28" s="747">
        <f>INDEX($CF$68:$CW$679,MAX($CW$68:$CW$679),$CH28)</f>
        <v>2502.39</v>
      </c>
      <c r="GS28" s="506" t="s">
        <v>272</v>
      </c>
      <c r="GT28" s="317">
        <v>19</v>
      </c>
      <c r="GU28" s="487">
        <f t="shared" si="172"/>
        <v>3765</v>
      </c>
      <c r="GV28" s="488">
        <f t="shared" si="173"/>
        <v>3918</v>
      </c>
      <c r="GW28" s="488">
        <f t="shared" si="174"/>
        <v>4229</v>
      </c>
      <c r="GX28" s="488">
        <f t="shared" si="175"/>
        <v>4129</v>
      </c>
      <c r="GY28" s="489">
        <f t="shared" si="176"/>
        <v>4267</v>
      </c>
      <c r="MD28" s="564" t="s">
        <v>405</v>
      </c>
      <c r="ME28" s="566">
        <v>22</v>
      </c>
      <c r="MF28" s="430">
        <f t="shared" si="121"/>
        <v>3617.0085714882512</v>
      </c>
      <c r="MG28" s="182">
        <f t="shared" si="122"/>
        <v>2486.2814577181193</v>
      </c>
      <c r="MH28" s="182">
        <f t="shared" si="123"/>
        <v>2654.4046542527753</v>
      </c>
      <c r="MI28" s="182">
        <f t="shared" si="124"/>
        <v>3011.75629216569</v>
      </c>
      <c r="MJ28" s="282">
        <f t="shared" si="125"/>
        <v>3550.3288240730408</v>
      </c>
      <c r="OF28" s="697" t="s">
        <v>460</v>
      </c>
      <c r="OG28" s="316">
        <v>22</v>
      </c>
      <c r="OH28" s="430">
        <f t="shared" si="126"/>
        <v>1187.8806726909993</v>
      </c>
      <c r="OI28" s="182">
        <f t="shared" si="127"/>
        <v>1290.1788243949986</v>
      </c>
      <c r="OJ28" s="182">
        <f t="shared" si="128"/>
        <v>1260.232426416</v>
      </c>
      <c r="OK28" s="182">
        <f t="shared" si="129"/>
        <v>1317.60696057</v>
      </c>
      <c r="OL28" s="282">
        <f t="shared" si="130"/>
        <v>1370.4811924599999</v>
      </c>
      <c r="PD28" s="708" t="s">
        <v>982</v>
      </c>
      <c r="PE28" s="316">
        <f t="shared" si="165"/>
        <v>46</v>
      </c>
      <c r="PF28" s="324">
        <f t="shared" si="131"/>
        <v>0</v>
      </c>
      <c r="PG28" s="182">
        <f t="shared" si="132"/>
        <v>0</v>
      </c>
      <c r="PH28" s="182">
        <f t="shared" si="133"/>
        <v>0</v>
      </c>
      <c r="PI28" s="182">
        <f t="shared" si="134"/>
        <v>0</v>
      </c>
      <c r="PJ28" s="282">
        <f t="shared" si="135"/>
        <v>0</v>
      </c>
      <c r="QF28" s="1734" t="s">
        <v>982</v>
      </c>
      <c r="QG28" s="316">
        <f t="shared" si="166"/>
        <v>74</v>
      </c>
      <c r="QH28" s="430">
        <f t="shared" si="136"/>
        <v>0</v>
      </c>
      <c r="QI28" s="182">
        <f t="shared" si="137"/>
        <v>0</v>
      </c>
      <c r="QJ28" s="182">
        <f t="shared" si="138"/>
        <v>0</v>
      </c>
      <c r="QK28" s="182">
        <f t="shared" si="139"/>
        <v>0</v>
      </c>
      <c r="QL28" s="282">
        <f t="shared" si="140"/>
        <v>0</v>
      </c>
    </row>
    <row r="29" spans="15:454" customFormat="1" ht="31.5" customHeight="1" thickBot="1">
      <c r="GS29" s="497" t="s">
        <v>273</v>
      </c>
      <c r="GT29" s="91"/>
      <c r="GU29" s="515"/>
      <c r="GV29" s="516"/>
      <c r="GW29" s="516"/>
      <c r="GX29" s="516"/>
      <c r="GY29" s="517"/>
      <c r="MD29" s="564" t="s">
        <v>406</v>
      </c>
      <c r="ME29" s="566">
        <v>23</v>
      </c>
      <c r="MF29" s="430">
        <f t="shared" si="121"/>
        <v>3626.5257596342517</v>
      </c>
      <c r="MG29" s="182">
        <f t="shared" si="122"/>
        <v>2492.9605723671198</v>
      </c>
      <c r="MH29" s="182">
        <f t="shared" si="123"/>
        <v>2662.029417302776</v>
      </c>
      <c r="MI29" s="182">
        <f t="shared" si="124"/>
        <v>3021.0880979786907</v>
      </c>
      <c r="MJ29" s="282">
        <f t="shared" si="125"/>
        <v>3561.8047678300413</v>
      </c>
      <c r="OF29" s="697" t="s">
        <v>461</v>
      </c>
      <c r="OG29" s="316">
        <v>23</v>
      </c>
      <c r="OH29" s="430">
        <f t="shared" si="126"/>
        <v>-536.54707544899986</v>
      </c>
      <c r="OI29" s="182">
        <f t="shared" si="127"/>
        <v>-482.3345241320003</v>
      </c>
      <c r="OJ29" s="182">
        <f t="shared" si="128"/>
        <v>-450.54798764099991</v>
      </c>
      <c r="OK29" s="182">
        <f t="shared" si="129"/>
        <v>-551.41545904999975</v>
      </c>
      <c r="OL29" s="282">
        <f t="shared" si="130"/>
        <v>-531.51967469599992</v>
      </c>
      <c r="PD29" s="708" t="s">
        <v>485</v>
      </c>
      <c r="PE29" s="316">
        <f t="shared" si="165"/>
        <v>47</v>
      </c>
      <c r="PF29" s="324">
        <f t="shared" si="131"/>
        <v>0.77700933500000002</v>
      </c>
      <c r="PG29" s="182">
        <f t="shared" si="132"/>
        <v>4.3275082450000006</v>
      </c>
      <c r="PH29" s="182">
        <f t="shared" si="133"/>
        <v>4.4251287679999995</v>
      </c>
      <c r="PI29" s="182">
        <f t="shared" si="134"/>
        <v>4.1871836140000003</v>
      </c>
      <c r="PJ29" s="282">
        <f t="shared" si="135"/>
        <v>3.6631229470000002</v>
      </c>
      <c r="QF29" s="1734" t="s">
        <v>485</v>
      </c>
      <c r="QG29" s="316">
        <f t="shared" si="166"/>
        <v>75</v>
      </c>
      <c r="QH29" s="430">
        <f t="shared" si="136"/>
        <v>289.28999999999996</v>
      </c>
      <c r="QI29" s="182">
        <f t="shared" si="137"/>
        <v>302.67899999999997</v>
      </c>
      <c r="QJ29" s="182">
        <f t="shared" si="138"/>
        <v>291.50900000000001</v>
      </c>
      <c r="QK29" s="182">
        <f t="shared" si="139"/>
        <v>319.20400000000001</v>
      </c>
      <c r="QL29" s="282">
        <f t="shared" si="140"/>
        <v>380.92499999999995</v>
      </c>
    </row>
    <row r="30" spans="15:454" customFormat="1" ht="57.3" thickBot="1">
      <c r="GS30" s="499" t="s">
        <v>274</v>
      </c>
      <c r="GT30" s="316">
        <v>21</v>
      </c>
      <c r="GU30" s="484">
        <f t="shared" ref="GU30:GU35" si="177">INDEX($GP$68:$HR$679,MAX($HR$68:$HR$679)-12,$GT30)</f>
        <v>958</v>
      </c>
      <c r="GV30" s="485">
        <f t="shared" ref="GV30:GV35" si="178">INDEX($GP$68:$HR$679,MAX($HR$68:$HR$679)-3,$GT30)</f>
        <v>985</v>
      </c>
      <c r="GW30" s="485">
        <f t="shared" ref="GW30:GW35" si="179">INDEX($GP$68:$HR$679,MAX($HR$68:$HR$679)-2,$GT30)</f>
        <v>980</v>
      </c>
      <c r="GX30" s="485">
        <f t="shared" ref="GX30:GX35" si="180">INDEX($GP$68:$HR$679,MAX($HR$68:$HR$679)-1,$GT30)</f>
        <v>996</v>
      </c>
      <c r="GY30" s="486">
        <f t="shared" ref="GY30:GY35" si="181">INDEX($GP$68:$HR$679,MAX($HR$68:$HR$679),$GT30)</f>
        <v>996</v>
      </c>
      <c r="MD30" s="564" t="s">
        <v>407</v>
      </c>
      <c r="ME30" s="566">
        <v>24</v>
      </c>
      <c r="MF30" s="430">
        <f t="shared" si="121"/>
        <v>2352.850690755</v>
      </c>
      <c r="MG30" s="182">
        <f t="shared" si="122"/>
        <v>1629.5743112833156</v>
      </c>
      <c r="MH30" s="182">
        <f t="shared" si="123"/>
        <v>1773.660991549551</v>
      </c>
      <c r="MI30" s="182">
        <f t="shared" si="124"/>
        <v>1952.7539674065072</v>
      </c>
      <c r="MJ30" s="282">
        <f t="shared" si="125"/>
        <v>2183.2575295468996</v>
      </c>
      <c r="OF30" s="702" t="s">
        <v>462</v>
      </c>
      <c r="OG30" s="317">
        <v>24</v>
      </c>
      <c r="OH30" s="431">
        <f t="shared" si="126"/>
        <v>5716.8735229730009</v>
      </c>
      <c r="OI30" s="321">
        <f t="shared" si="127"/>
        <v>5779.2693787180024</v>
      </c>
      <c r="OJ30" s="321">
        <f t="shared" si="128"/>
        <v>5728.9515054890007</v>
      </c>
      <c r="OK30" s="321">
        <f t="shared" si="129"/>
        <v>5604.1758446700005</v>
      </c>
      <c r="OL30" s="322">
        <f t="shared" si="130"/>
        <v>5552.0085267270006</v>
      </c>
      <c r="PD30" s="708" t="s">
        <v>506</v>
      </c>
      <c r="PE30" s="316">
        <f t="shared" si="165"/>
        <v>48</v>
      </c>
      <c r="PF30" s="324">
        <f t="shared" si="131"/>
        <v>0</v>
      </c>
      <c r="PG30" s="182">
        <f t="shared" si="132"/>
        <v>0</v>
      </c>
      <c r="PH30" s="182">
        <f t="shared" si="133"/>
        <v>0</v>
      </c>
      <c r="PI30" s="182">
        <f t="shared" si="134"/>
        <v>0</v>
      </c>
      <c r="PJ30" s="282">
        <f t="shared" si="135"/>
        <v>0</v>
      </c>
      <c r="QF30" s="1734" t="s">
        <v>506</v>
      </c>
      <c r="QG30" s="316">
        <f t="shared" si="166"/>
        <v>76</v>
      </c>
      <c r="QH30" s="430">
        <f t="shared" si="136"/>
        <v>0</v>
      </c>
      <c r="QI30" s="182">
        <f t="shared" si="137"/>
        <v>0</v>
      </c>
      <c r="QJ30" s="182">
        <f t="shared" si="138"/>
        <v>0</v>
      </c>
      <c r="QK30" s="182">
        <f t="shared" si="139"/>
        <v>0</v>
      </c>
      <c r="QL30" s="282">
        <f t="shared" si="140"/>
        <v>0</v>
      </c>
    </row>
    <row r="31" spans="15:454" customFormat="1">
      <c r="GS31" s="497" t="s">
        <v>275</v>
      </c>
      <c r="GT31" s="316">
        <v>22</v>
      </c>
      <c r="GU31" s="106">
        <f t="shared" si="177"/>
        <v>2157</v>
      </c>
      <c r="GV31" s="99">
        <f t="shared" si="178"/>
        <v>2240</v>
      </c>
      <c r="GW31" s="99">
        <f t="shared" si="179"/>
        <v>2286</v>
      </c>
      <c r="GX31" s="99">
        <f t="shared" si="180"/>
        <v>2367</v>
      </c>
      <c r="GY31" s="107">
        <f t="shared" si="181"/>
        <v>2445</v>
      </c>
      <c r="MD31" s="564" t="s">
        <v>408</v>
      </c>
      <c r="ME31" s="566">
        <v>25</v>
      </c>
      <c r="MF31" s="430">
        <f t="shared" si="121"/>
        <v>1009.122074191</v>
      </c>
      <c r="MG31" s="182">
        <f t="shared" si="122"/>
        <v>836.06197448599994</v>
      </c>
      <c r="MH31" s="182">
        <f t="shared" si="123"/>
        <v>928.27105553499996</v>
      </c>
      <c r="MI31" s="182">
        <f t="shared" si="124"/>
        <v>1026.1601341000001</v>
      </c>
      <c r="MJ31" s="282">
        <f t="shared" si="125"/>
        <v>1096.9451239749999</v>
      </c>
      <c r="PD31" s="708" t="s">
        <v>500</v>
      </c>
      <c r="PE31" s="316">
        <f t="shared" si="165"/>
        <v>49</v>
      </c>
      <c r="PF31" s="324">
        <f t="shared" si="131"/>
        <v>0</v>
      </c>
      <c r="PG31" s="182">
        <f t="shared" si="132"/>
        <v>0</v>
      </c>
      <c r="PH31" s="182">
        <f t="shared" si="133"/>
        <v>0</v>
      </c>
      <c r="PI31" s="182">
        <f t="shared" si="134"/>
        <v>0</v>
      </c>
      <c r="PJ31" s="282">
        <f t="shared" si="135"/>
        <v>0</v>
      </c>
      <c r="QF31" s="1734" t="s">
        <v>500</v>
      </c>
      <c r="QG31" s="316">
        <f t="shared" si="166"/>
        <v>77</v>
      </c>
      <c r="QH31" s="430">
        <f t="shared" si="136"/>
        <v>59.491999999999997</v>
      </c>
      <c r="QI31" s="182">
        <f t="shared" si="137"/>
        <v>44.905000000000001</v>
      </c>
      <c r="QJ31" s="182">
        <f t="shared" si="138"/>
        <v>44.860999999999997</v>
      </c>
      <c r="QK31" s="182">
        <f t="shared" si="139"/>
        <v>62.927000000000007</v>
      </c>
      <c r="QL31" s="282">
        <f t="shared" si="140"/>
        <v>73.088999999999999</v>
      </c>
    </row>
    <row r="32" spans="15:454" customFormat="1">
      <c r="GS32" s="495" t="s">
        <v>276</v>
      </c>
      <c r="GT32" s="316">
        <v>23</v>
      </c>
      <c r="GU32" s="106">
        <f t="shared" si="177"/>
        <v>1063</v>
      </c>
      <c r="GV32" s="99">
        <f t="shared" si="178"/>
        <v>1268</v>
      </c>
      <c r="GW32" s="99">
        <f t="shared" si="179"/>
        <v>1268</v>
      </c>
      <c r="GX32" s="99">
        <f t="shared" si="180"/>
        <v>1241</v>
      </c>
      <c r="GY32" s="107">
        <f t="shared" si="181"/>
        <v>1223</v>
      </c>
      <c r="MD32" s="564" t="s">
        <v>409</v>
      </c>
      <c r="ME32" s="566">
        <v>26</v>
      </c>
      <c r="MF32" s="430">
        <f t="shared" si="121"/>
        <v>209.66884892100001</v>
      </c>
      <c r="MG32" s="182">
        <f t="shared" si="122"/>
        <v>158.71833323800001</v>
      </c>
      <c r="MH32" s="182">
        <f t="shared" si="123"/>
        <v>176.37877322099999</v>
      </c>
      <c r="MI32" s="182">
        <f t="shared" si="124"/>
        <v>203.82519230599999</v>
      </c>
      <c r="MJ32" s="282">
        <f t="shared" si="125"/>
        <v>221.334330201</v>
      </c>
      <c r="PD32" s="710" t="s">
        <v>983</v>
      </c>
      <c r="PE32" s="316">
        <f t="shared" si="165"/>
        <v>50</v>
      </c>
      <c r="PF32" s="430">
        <f t="shared" si="131"/>
        <v>0</v>
      </c>
      <c r="PG32" s="182">
        <f t="shared" si="132"/>
        <v>0</v>
      </c>
      <c r="PH32" s="182">
        <f t="shared" si="133"/>
        <v>0</v>
      </c>
      <c r="PI32" s="182">
        <f t="shared" si="134"/>
        <v>0</v>
      </c>
      <c r="PJ32" s="282">
        <f t="shared" si="135"/>
        <v>0</v>
      </c>
      <c r="QF32" s="1734" t="s">
        <v>983</v>
      </c>
      <c r="QG32" s="316">
        <f t="shared" si="166"/>
        <v>78</v>
      </c>
      <c r="QH32" s="430">
        <f t="shared" si="136"/>
        <v>0</v>
      </c>
      <c r="QI32" s="182">
        <f t="shared" si="137"/>
        <v>0</v>
      </c>
      <c r="QJ32" s="182">
        <f t="shared" si="138"/>
        <v>0</v>
      </c>
      <c r="QK32" s="182">
        <f t="shared" si="139"/>
        <v>0</v>
      </c>
      <c r="QL32" s="282">
        <f t="shared" si="140"/>
        <v>0</v>
      </c>
    </row>
    <row r="33" spans="201:454" customFormat="1" ht="34.200000000000003">
      <c r="GS33" s="497" t="s">
        <v>277</v>
      </c>
      <c r="GT33" s="316">
        <v>24</v>
      </c>
      <c r="GU33" s="106">
        <f t="shared" si="177"/>
        <v>1331</v>
      </c>
      <c r="GV33" s="99">
        <f t="shared" si="178"/>
        <v>1139</v>
      </c>
      <c r="GW33" s="99">
        <f t="shared" si="179"/>
        <v>1133</v>
      </c>
      <c r="GX33" s="99">
        <f t="shared" si="180"/>
        <v>1102</v>
      </c>
      <c r="GY33" s="107">
        <f t="shared" si="181"/>
        <v>1062</v>
      </c>
      <c r="MD33" s="564" t="s">
        <v>410</v>
      </c>
      <c r="ME33" s="566">
        <v>27</v>
      </c>
      <c r="MF33" s="430">
        <f t="shared" si="121"/>
        <v>229.58681870500001</v>
      </c>
      <c r="MG33" s="182">
        <f t="shared" si="122"/>
        <v>228.68119476523819</v>
      </c>
      <c r="MH33" s="182">
        <f t="shared" si="123"/>
        <v>244.56594561751106</v>
      </c>
      <c r="MI33" s="182">
        <f t="shared" si="124"/>
        <v>268.89814773575227</v>
      </c>
      <c r="MJ33" s="282">
        <f t="shared" si="125"/>
        <v>290.40875866200003</v>
      </c>
      <c r="PD33" s="708" t="s">
        <v>486</v>
      </c>
      <c r="PE33" s="316">
        <f t="shared" si="165"/>
        <v>51</v>
      </c>
      <c r="PF33" s="430">
        <f t="shared" si="131"/>
        <v>0.50266335600000001</v>
      </c>
      <c r="PG33" s="182">
        <f t="shared" si="132"/>
        <v>37.880316149999999</v>
      </c>
      <c r="PH33" s="182">
        <f t="shared" si="133"/>
        <v>43.416297648000004</v>
      </c>
      <c r="PI33" s="182">
        <f t="shared" si="134"/>
        <v>45.646776956000004</v>
      </c>
      <c r="PJ33" s="282">
        <f t="shared" si="135"/>
        <v>0.48906951300000001</v>
      </c>
      <c r="QF33" s="1734" t="s">
        <v>984</v>
      </c>
      <c r="QG33" s="316">
        <f t="shared" si="166"/>
        <v>79</v>
      </c>
      <c r="QH33" s="430">
        <f t="shared" si="136"/>
        <v>0</v>
      </c>
      <c r="QI33" s="182">
        <f t="shared" si="137"/>
        <v>0</v>
      </c>
      <c r="QJ33" s="182">
        <f t="shared" si="138"/>
        <v>0</v>
      </c>
      <c r="QK33" s="182">
        <f t="shared" si="139"/>
        <v>0</v>
      </c>
      <c r="QL33" s="282">
        <f t="shared" si="140"/>
        <v>0</v>
      </c>
    </row>
    <row r="34" spans="201:454" customFormat="1" ht="34.5" thickBot="1">
      <c r="GS34" s="495" t="s">
        <v>279</v>
      </c>
      <c r="GT34" s="316">
        <v>25</v>
      </c>
      <c r="GU34" s="106">
        <f t="shared" si="177"/>
        <v>2544</v>
      </c>
      <c r="GV34" s="99">
        <f t="shared" si="178"/>
        <v>2261</v>
      </c>
      <c r="GW34" s="99">
        <f t="shared" si="179"/>
        <v>2697</v>
      </c>
      <c r="GX34" s="99">
        <f t="shared" si="180"/>
        <v>2962</v>
      </c>
      <c r="GY34" s="107">
        <f t="shared" si="181"/>
        <v>2771</v>
      </c>
      <c r="MD34" s="564" t="s">
        <v>411</v>
      </c>
      <c r="ME34" s="566">
        <v>28</v>
      </c>
      <c r="MF34" s="430">
        <f t="shared" si="121"/>
        <v>196.28035046005124</v>
      </c>
      <c r="MG34" s="182">
        <f t="shared" si="122"/>
        <v>201.089038719</v>
      </c>
      <c r="MH34" s="182">
        <f t="shared" si="123"/>
        <v>212.47107559900002</v>
      </c>
      <c r="MI34" s="182">
        <f t="shared" si="124"/>
        <v>228.88100906900002</v>
      </c>
      <c r="MJ34" s="282">
        <f t="shared" si="125"/>
        <v>246.95744401623216</v>
      </c>
      <c r="PD34" s="714" t="s">
        <v>487</v>
      </c>
      <c r="PE34" s="317">
        <f t="shared" si="165"/>
        <v>52</v>
      </c>
      <c r="PF34" s="431">
        <f t="shared" si="131"/>
        <v>0.66568199899998581</v>
      </c>
      <c r="PG34" s="321">
        <f t="shared" si="132"/>
        <v>-4.3351540729999725</v>
      </c>
      <c r="PH34" s="321">
        <f t="shared" si="133"/>
        <v>-89.014527336000015</v>
      </c>
      <c r="PI34" s="321">
        <f t="shared" si="134"/>
        <v>-45.312277791999975</v>
      </c>
      <c r="PJ34" s="322">
        <f t="shared" si="135"/>
        <v>-35.522310943000001</v>
      </c>
      <c r="QF34" s="1734" t="s">
        <v>486</v>
      </c>
      <c r="QG34" s="316">
        <f t="shared" si="166"/>
        <v>80</v>
      </c>
      <c r="QH34" s="430">
        <f t="shared" si="136"/>
        <v>837.81899999999928</v>
      </c>
      <c r="QI34" s="182">
        <f t="shared" si="137"/>
        <v>900.38699999999858</v>
      </c>
      <c r="QJ34" s="182">
        <f t="shared" si="138"/>
        <v>876.02099999999996</v>
      </c>
      <c r="QK34" s="182">
        <f t="shared" si="139"/>
        <v>885.64199999999994</v>
      </c>
      <c r="QL34" s="282">
        <f t="shared" si="140"/>
        <v>912.31500000000005</v>
      </c>
    </row>
    <row r="35" spans="201:454" customFormat="1" ht="12.6" thickBot="1">
      <c r="GS35" s="505" t="s">
        <v>280</v>
      </c>
      <c r="GT35" s="317">
        <v>26</v>
      </c>
      <c r="GU35" s="487">
        <f t="shared" si="177"/>
        <v>245</v>
      </c>
      <c r="GV35" s="488">
        <f t="shared" si="178"/>
        <v>184</v>
      </c>
      <c r="GW35" s="488">
        <f t="shared" si="179"/>
        <v>186</v>
      </c>
      <c r="GX35" s="488">
        <f t="shared" si="180"/>
        <v>204</v>
      </c>
      <c r="GY35" s="489">
        <f t="shared" si="181"/>
        <v>186</v>
      </c>
      <c r="MD35" s="564" t="s">
        <v>412</v>
      </c>
      <c r="ME35" s="566">
        <v>29</v>
      </c>
      <c r="MF35" s="430">
        <f t="shared" si="121"/>
        <v>33.306468244948768</v>
      </c>
      <c r="MG35" s="182">
        <f t="shared" si="122"/>
        <v>27.592156046238188</v>
      </c>
      <c r="MH35" s="182">
        <f t="shared" si="123"/>
        <v>32.094870018511052</v>
      </c>
      <c r="MI35" s="182">
        <f t="shared" si="124"/>
        <v>40.017138666752274</v>
      </c>
      <c r="MJ35" s="282">
        <f t="shared" si="125"/>
        <v>43.451314645767852</v>
      </c>
      <c r="QF35" s="1734" t="s">
        <v>487</v>
      </c>
      <c r="QG35" s="316">
        <f t="shared" si="166"/>
        <v>81</v>
      </c>
      <c r="QH35" s="430">
        <f t="shared" si="136"/>
        <v>-9.8920000000000528</v>
      </c>
      <c r="QI35" s="182">
        <f t="shared" si="137"/>
        <v>-174.25500000000005</v>
      </c>
      <c r="QJ35" s="182">
        <f t="shared" si="138"/>
        <v>-53.820999999999913</v>
      </c>
      <c r="QK35" s="182">
        <f t="shared" si="139"/>
        <v>-143.971</v>
      </c>
      <c r="QL35" s="282">
        <f t="shared" si="140"/>
        <v>-149.24200000000008</v>
      </c>
    </row>
    <row r="36" spans="201:454" customFormat="1" ht="12.6" thickBot="1">
      <c r="GS36" s="496" t="s">
        <v>281</v>
      </c>
      <c r="GT36" s="91"/>
      <c r="GU36" s="515"/>
      <c r="GV36" s="516"/>
      <c r="GW36" s="516"/>
      <c r="GX36" s="516"/>
      <c r="GY36" s="517"/>
      <c r="MD36" s="564" t="s">
        <v>413</v>
      </c>
      <c r="ME36" s="566">
        <v>30</v>
      </c>
      <c r="MF36" s="430">
        <f t="shared" si="121"/>
        <v>904.47294893799994</v>
      </c>
      <c r="MG36" s="182">
        <f t="shared" si="122"/>
        <v>406.11280879407758</v>
      </c>
      <c r="MH36" s="182">
        <f t="shared" si="123"/>
        <v>424.44521717604005</v>
      </c>
      <c r="MI36" s="182">
        <f t="shared" si="124"/>
        <v>453.87049326475505</v>
      </c>
      <c r="MJ36" s="282">
        <f t="shared" si="125"/>
        <v>574.56931670890015</v>
      </c>
      <c r="QF36" s="1734"/>
      <c r="QG36" s="316">
        <v>82</v>
      </c>
      <c r="QH36" s="430"/>
      <c r="QI36" s="182"/>
      <c r="QJ36" s="182"/>
      <c r="QK36" s="182"/>
      <c r="QL36" s="282"/>
    </row>
    <row r="37" spans="201:454" customFormat="1">
      <c r="GS37" s="497" t="s">
        <v>282</v>
      </c>
      <c r="GT37" s="316">
        <v>27</v>
      </c>
      <c r="GU37" s="484">
        <f>INDEX($GP$68:$HR$679,MAX($HR$68:$HR$679)-12,$GT37)</f>
        <v>70</v>
      </c>
      <c r="GV37" s="485">
        <f>INDEX($GP$68:$HR$679,MAX($HR$68:$HR$679)-3,$GT37)</f>
        <v>64</v>
      </c>
      <c r="GW37" s="485">
        <f>INDEX($GP$68:$HR$679,MAX($HR$68:$HR$679)-2,$GT37)</f>
        <v>66</v>
      </c>
      <c r="GX37" s="485">
        <f>INDEX($GP$68:$HR$679,MAX($HR$68:$HR$679)-1,$GT37)</f>
        <v>66</v>
      </c>
      <c r="GY37" s="486">
        <f>INDEX($GP$68:$HR$679,MAX($HR$68:$HR$679),$GT37)</f>
        <v>66</v>
      </c>
      <c r="MD37" s="564" t="s">
        <v>414</v>
      </c>
      <c r="ME37" s="566">
        <v>31</v>
      </c>
      <c r="MF37" s="430">
        <f t="shared" si="121"/>
        <v>3.3759375</v>
      </c>
      <c r="MG37" s="182">
        <f t="shared" si="122"/>
        <v>42.686954502999995</v>
      </c>
      <c r="MH37" s="182">
        <f t="shared" si="123"/>
        <v>44.896008002999999</v>
      </c>
      <c r="MI37" s="182">
        <f t="shared" si="124"/>
        <v>45.021002003</v>
      </c>
      <c r="MJ37" s="282">
        <f t="shared" si="125"/>
        <v>45.508690399999999</v>
      </c>
      <c r="QF37" s="1734"/>
      <c r="QG37" s="316">
        <v>83</v>
      </c>
      <c r="QH37" s="430"/>
      <c r="QI37" s="182"/>
      <c r="QJ37" s="182"/>
      <c r="QK37" s="182"/>
      <c r="QL37" s="282"/>
    </row>
    <row r="38" spans="201:454" customFormat="1" ht="12.6" thickBot="1">
      <c r="GS38" s="500" t="s">
        <v>283</v>
      </c>
      <c r="GT38" s="317">
        <v>28</v>
      </c>
      <c r="GU38" s="487">
        <f>INDEX($GP$68:$HR$679,MAX($HR$68:$HR$679)-12,$GT38)</f>
        <v>202</v>
      </c>
      <c r="GV38" s="488">
        <f>INDEX($GP$68:$HR$679,MAX($HR$68:$HR$679)-3,$GT38)</f>
        <v>194</v>
      </c>
      <c r="GW38" s="488">
        <f>INDEX($GP$68:$HR$679,MAX($HR$68:$HR$679)-2,$GT38)</f>
        <v>195</v>
      </c>
      <c r="GX38" s="488">
        <f>INDEX($GP$68:$HR$679,MAX($HR$68:$HR$679)-1,$GT38)</f>
        <v>199</v>
      </c>
      <c r="GY38" s="489">
        <f>INDEX($GP$68:$HR$679,MAX($HR$68:$HR$679),$GT38)</f>
        <v>212</v>
      </c>
      <c r="MD38" s="564" t="s">
        <v>415</v>
      </c>
      <c r="ME38" s="566">
        <v>32</v>
      </c>
      <c r="MF38" s="430">
        <f t="shared" si="121"/>
        <v>113.89058710799999</v>
      </c>
      <c r="MG38" s="182">
        <f t="shared" si="122"/>
        <v>123.09731329500001</v>
      </c>
      <c r="MH38" s="182">
        <f t="shared" si="123"/>
        <v>131.175131171</v>
      </c>
      <c r="MI38" s="182">
        <f t="shared" si="124"/>
        <v>137.71027008799999</v>
      </c>
      <c r="MJ38" s="282">
        <f t="shared" si="125"/>
        <v>148.626847543</v>
      </c>
      <c r="QF38" s="1734"/>
      <c r="QG38" s="316">
        <v>84</v>
      </c>
      <c r="QH38" s="430"/>
      <c r="QI38" s="182"/>
      <c r="QJ38" s="182"/>
      <c r="QK38" s="182"/>
      <c r="QL38" s="282"/>
    </row>
    <row r="39" spans="201:454" customFormat="1">
      <c r="MD39" s="564" t="s">
        <v>416</v>
      </c>
      <c r="ME39" s="566">
        <v>33</v>
      </c>
      <c r="MF39" s="430">
        <f t="shared" ref="MF39:MF60" si="182">INDEX($MC$68:$OE$679,MAX($OE$68:$OE$679)-12,$ME39)</f>
        <v>0</v>
      </c>
      <c r="MG39" s="182">
        <f t="shared" ref="MG39:MG60" si="183">INDEX($MC$68:$OE$679,MAX($OE$68:$OE$679)-3,$ME39)</f>
        <v>0</v>
      </c>
      <c r="MH39" s="182">
        <f t="shared" ref="MH39:MH60" si="184">INDEX($MC$68:$OE$679,MAX($OE$68:$OE$679)-2,$ME39)</f>
        <v>0</v>
      </c>
      <c r="MI39" s="182">
        <f t="shared" ref="MI39:MI60" si="185">INDEX($MC$68:$OE$679,MAX($OE$68:$OE$679)-1,$ME39)</f>
        <v>0</v>
      </c>
      <c r="MJ39" s="282">
        <f t="shared" ref="MJ39:MJ60" si="186">INDEX($MC$68:$OE$679,MAX($OE$68:$OE$679),$ME39)</f>
        <v>0</v>
      </c>
      <c r="QF39" s="1734"/>
      <c r="QG39" s="316">
        <v>85</v>
      </c>
      <c r="QH39" s="430"/>
      <c r="QI39" s="182"/>
      <c r="QJ39" s="182"/>
      <c r="QK39" s="182"/>
      <c r="QL39" s="282"/>
    </row>
    <row r="40" spans="201:454" customFormat="1" ht="12.6" thickBot="1">
      <c r="MD40" s="564" t="s">
        <v>417</v>
      </c>
      <c r="ME40" s="566">
        <v>34</v>
      </c>
      <c r="MF40" s="430">
        <f t="shared" si="182"/>
        <v>390.49002059999998</v>
      </c>
      <c r="MG40" s="182">
        <f t="shared" si="183"/>
        <v>69.687769889999998</v>
      </c>
      <c r="MH40" s="182">
        <f t="shared" si="184"/>
        <v>75.197299881999996</v>
      </c>
      <c r="MI40" s="182">
        <f t="shared" si="185"/>
        <v>84.999986766000006</v>
      </c>
      <c r="MJ40" s="282">
        <f t="shared" si="186"/>
        <v>114.999984359</v>
      </c>
      <c r="QF40" s="1737"/>
      <c r="QG40" s="317">
        <v>86</v>
      </c>
      <c r="QH40" s="431"/>
      <c r="QI40" s="321"/>
      <c r="QJ40" s="321"/>
      <c r="QK40" s="321"/>
      <c r="QL40" s="322"/>
    </row>
    <row r="41" spans="201:454" customFormat="1">
      <c r="MD41" s="564" t="s">
        <v>418</v>
      </c>
      <c r="ME41" s="566">
        <v>35</v>
      </c>
      <c r="MF41" s="430">
        <f t="shared" si="182"/>
        <v>1273.6750688792515</v>
      </c>
      <c r="MG41" s="182">
        <f t="shared" si="183"/>
        <v>863.38626108380367</v>
      </c>
      <c r="MH41" s="182">
        <f t="shared" si="184"/>
        <v>888.36842575322453</v>
      </c>
      <c r="MI41" s="182">
        <f t="shared" si="185"/>
        <v>1068.3341305721831</v>
      </c>
      <c r="MJ41" s="282">
        <f t="shared" si="186"/>
        <v>1378.547238283141</v>
      </c>
      <c r="QF41" s="1726"/>
    </row>
    <row r="42" spans="201:454" customFormat="1">
      <c r="MD42" s="564" t="s">
        <v>419</v>
      </c>
      <c r="ME42" s="566">
        <v>36</v>
      </c>
      <c r="MF42" s="430">
        <f t="shared" si="182"/>
        <v>871.3767186770001</v>
      </c>
      <c r="MG42" s="182">
        <f t="shared" si="183"/>
        <v>400.51939548838754</v>
      </c>
      <c r="MH42" s="182">
        <f t="shared" si="184"/>
        <v>419.31108863219998</v>
      </c>
      <c r="MI42" s="182">
        <f t="shared" si="185"/>
        <v>587.87050990750004</v>
      </c>
      <c r="MJ42" s="282">
        <f t="shared" si="186"/>
        <v>873.14459142750002</v>
      </c>
      <c r="QF42" s="1726"/>
    </row>
    <row r="43" spans="201:454" customFormat="1">
      <c r="MD43" s="564" t="s">
        <v>420</v>
      </c>
      <c r="ME43" s="566">
        <v>37</v>
      </c>
      <c r="MF43" s="430">
        <f t="shared" si="182"/>
        <v>4.8274209910000003</v>
      </c>
      <c r="MG43" s="182">
        <f t="shared" si="183"/>
        <v>6.7144057290000001</v>
      </c>
      <c r="MH43" s="182">
        <f t="shared" si="184"/>
        <v>6.8241656069999994</v>
      </c>
      <c r="MI43" s="182">
        <f t="shared" si="185"/>
        <v>6.8241656069999994</v>
      </c>
      <c r="MJ43" s="282">
        <f t="shared" si="186"/>
        <v>6.8241656069999994</v>
      </c>
      <c r="QF43" s="1726"/>
    </row>
    <row r="44" spans="201:454" customFormat="1">
      <c r="MD44" s="564" t="s">
        <v>421</v>
      </c>
      <c r="ME44" s="566">
        <v>38</v>
      </c>
      <c r="MF44" s="430">
        <f t="shared" si="182"/>
        <v>397.47092921125142</v>
      </c>
      <c r="MG44" s="182">
        <f t="shared" si="183"/>
        <v>456.15245986641605</v>
      </c>
      <c r="MH44" s="182">
        <f t="shared" si="184"/>
        <v>462.23317151402438</v>
      </c>
      <c r="MI44" s="182">
        <f t="shared" si="185"/>
        <v>473.63945505768288</v>
      </c>
      <c r="MJ44" s="282">
        <f t="shared" si="186"/>
        <v>498.57848124864108</v>
      </c>
      <c r="QF44" s="1726"/>
    </row>
    <row r="45" spans="201:454" customFormat="1">
      <c r="MD45" s="564" t="s">
        <v>422</v>
      </c>
      <c r="ME45" s="566">
        <v>39</v>
      </c>
      <c r="MF45" s="430">
        <f t="shared" si="182"/>
        <v>-9.5171881460000023</v>
      </c>
      <c r="MG45" s="182">
        <f t="shared" si="183"/>
        <v>-6.6791146490000042</v>
      </c>
      <c r="MH45" s="182">
        <f t="shared" si="184"/>
        <v>-7.624763050000003</v>
      </c>
      <c r="MI45" s="182">
        <f t="shared" si="185"/>
        <v>-9.3318058130000043</v>
      </c>
      <c r="MJ45" s="282">
        <f t="shared" si="186"/>
        <v>-11.475943757000007</v>
      </c>
      <c r="QF45" s="1726"/>
    </row>
    <row r="46" spans="201:454" customFormat="1">
      <c r="MD46" s="564" t="s">
        <v>423</v>
      </c>
      <c r="ME46" s="566">
        <v>40</v>
      </c>
      <c r="MF46" s="430">
        <f t="shared" si="182"/>
        <v>-1065.0640912422232</v>
      </c>
      <c r="MG46" s="182">
        <f t="shared" si="183"/>
        <v>-428.69214408753299</v>
      </c>
      <c r="MH46" s="182">
        <f t="shared" si="184"/>
        <v>-333.70406537918916</v>
      </c>
      <c r="MI46" s="182">
        <f t="shared" si="185"/>
        <v>-496.83597593210385</v>
      </c>
      <c r="MJ46" s="282">
        <f t="shared" si="186"/>
        <v>-803.44225506427597</v>
      </c>
      <c r="QF46" s="1726"/>
    </row>
    <row r="47" spans="201:454" customFormat="1">
      <c r="MD47" s="564" t="s">
        <v>424</v>
      </c>
      <c r="ME47" s="566">
        <v>41</v>
      </c>
      <c r="MF47" s="430">
        <f t="shared" si="182"/>
        <v>-1328.7555375987959</v>
      </c>
      <c r="MG47" s="182">
        <f t="shared" si="183"/>
        <v>-623.05285123355782</v>
      </c>
      <c r="MH47" s="182">
        <f t="shared" si="184"/>
        <v>-530.19543402121406</v>
      </c>
      <c r="MI47" s="182">
        <f t="shared" si="185"/>
        <v>-695.71031420312886</v>
      </c>
      <c r="MJ47" s="282">
        <f t="shared" si="186"/>
        <v>-1006.9432988874795</v>
      </c>
      <c r="QF47" s="1726"/>
    </row>
    <row r="48" spans="201:454" customFormat="1">
      <c r="MD48" s="564" t="s">
        <v>425</v>
      </c>
      <c r="ME48" s="566">
        <v>42</v>
      </c>
      <c r="MF48" s="430">
        <f t="shared" si="182"/>
        <v>-701.69778968254423</v>
      </c>
      <c r="MG48" s="182">
        <f t="shared" si="183"/>
        <v>61.780803398096381</v>
      </c>
      <c r="MH48" s="182">
        <f t="shared" si="184"/>
        <v>176.60368311032144</v>
      </c>
      <c r="MI48" s="182">
        <f t="shared" si="185"/>
        <v>46.827288590306338</v>
      </c>
      <c r="MJ48" s="282">
        <f t="shared" si="186"/>
        <v>-217.95605897683853</v>
      </c>
      <c r="QF48" s="1726"/>
    </row>
    <row r="49" spans="2:488">
      <c r="F49"/>
      <c r="MD49" s="564" t="s">
        <v>426</v>
      </c>
      <c r="ME49" s="566">
        <v>43</v>
      </c>
      <c r="MF49" s="430">
        <f t="shared" si="182"/>
        <v>-931.28460838754427</v>
      </c>
      <c r="MG49" s="182">
        <f t="shared" si="183"/>
        <v>-166.90039136714185</v>
      </c>
      <c r="MH49" s="182">
        <f t="shared" si="184"/>
        <v>-67.962262507189664</v>
      </c>
      <c r="MI49" s="182">
        <f t="shared" si="185"/>
        <v>-222.07085914544595</v>
      </c>
      <c r="MJ49" s="282">
        <f t="shared" si="186"/>
        <v>-508.36481763883853</v>
      </c>
    </row>
    <row r="50" spans="2:488">
      <c r="F50"/>
      <c r="MD50" s="564" t="s">
        <v>427</v>
      </c>
      <c r="ME50" s="566">
        <v>44</v>
      </c>
      <c r="MF50" s="430">
        <f t="shared" si="182"/>
        <v>-875.0708394262233</v>
      </c>
      <c r="MG50" s="182">
        <f t="shared" si="183"/>
        <v>-388.84251679453303</v>
      </c>
      <c r="MH50" s="182">
        <f t="shared" si="184"/>
        <v>-389.5919433482988</v>
      </c>
      <c r="MI50" s="182">
        <f t="shared" si="185"/>
        <v>-395.86295898530733</v>
      </c>
      <c r="MJ50" s="282">
        <f t="shared" si="186"/>
        <v>-487.42620934969079</v>
      </c>
    </row>
    <row r="51" spans="2:488">
      <c r="F51"/>
      <c r="MD51" s="564" t="s">
        <v>428</v>
      </c>
      <c r="ME51" s="566">
        <v>45</v>
      </c>
      <c r="MF51" s="430">
        <f t="shared" si="182"/>
        <v>-1138.7622857827957</v>
      </c>
      <c r="MG51" s="182">
        <f t="shared" si="183"/>
        <v>-583.2032239405579</v>
      </c>
      <c r="MH51" s="182">
        <f t="shared" si="184"/>
        <v>-586.08331199032375</v>
      </c>
      <c r="MI51" s="182">
        <f t="shared" si="185"/>
        <v>-594.73729725633223</v>
      </c>
      <c r="MJ51" s="282">
        <f t="shared" si="186"/>
        <v>-690.92725317289444</v>
      </c>
    </row>
    <row r="52" spans="2:488">
      <c r="F52"/>
      <c r="MD52" s="564" t="s">
        <v>429</v>
      </c>
      <c r="ME52" s="566">
        <v>46</v>
      </c>
      <c r="MF52" s="430">
        <f t="shared" si="182"/>
        <v>871.75690127339431</v>
      </c>
      <c r="MG52" s="182">
        <f t="shared" si="183"/>
        <v>385.13825007242883</v>
      </c>
      <c r="MH52" s="182">
        <f t="shared" si="184"/>
        <v>384.5386576122097</v>
      </c>
      <c r="MI52" s="182">
        <f t="shared" si="185"/>
        <v>388.82601846415372</v>
      </c>
      <c r="MJ52" s="282">
        <f t="shared" si="186"/>
        <v>481.03601213907967</v>
      </c>
    </row>
    <row r="53" spans="2:488">
      <c r="F53"/>
      <c r="MD53" s="564" t="s">
        <v>430</v>
      </c>
      <c r="ME53" s="566">
        <v>47</v>
      </c>
      <c r="MF53" s="430">
        <f t="shared" si="182"/>
        <v>157.52256306635326</v>
      </c>
      <c r="MG53" s="182">
        <f t="shared" si="183"/>
        <v>165.65075672242898</v>
      </c>
      <c r="MH53" s="182">
        <f t="shared" si="184"/>
        <v>156.50869759420982</v>
      </c>
      <c r="MI53" s="182">
        <f t="shared" si="185"/>
        <v>151.60998981815382</v>
      </c>
      <c r="MJ53" s="282">
        <f t="shared" si="186"/>
        <v>158.13227589607979</v>
      </c>
    </row>
    <row r="54" spans="2:488">
      <c r="F54"/>
      <c r="MD54" s="564" t="s">
        <v>431</v>
      </c>
      <c r="ME54" s="566">
        <v>48</v>
      </c>
      <c r="MF54" s="430">
        <f t="shared" si="182"/>
        <v>251.40920854567898</v>
      </c>
      <c r="MG54" s="182">
        <f t="shared" si="183"/>
        <v>261.79175272039112</v>
      </c>
      <c r="MH54" s="182">
        <f t="shared" si="184"/>
        <v>265.74180287199948</v>
      </c>
      <c r="MI54" s="182">
        <f t="shared" si="185"/>
        <v>274.76511678665793</v>
      </c>
      <c r="MJ54" s="282">
        <f t="shared" si="186"/>
        <v>295.07743742543749</v>
      </c>
    </row>
    <row r="55" spans="2:488" ht="24.6">
      <c r="F55"/>
      <c r="MD55" s="564" t="s">
        <v>432</v>
      </c>
      <c r="ME55" s="566">
        <v>49</v>
      </c>
      <c r="MF55" s="430">
        <f t="shared" si="182"/>
        <v>-93.886645479325693</v>
      </c>
      <c r="MG55" s="182">
        <f t="shared" si="183"/>
        <v>-96.140995997962193</v>
      </c>
      <c r="MH55" s="182">
        <f t="shared" si="184"/>
        <v>-109.23310527778968</v>
      </c>
      <c r="MI55" s="182">
        <f t="shared" si="185"/>
        <v>-123.15512696850415</v>
      </c>
      <c r="MJ55" s="282">
        <f t="shared" si="186"/>
        <v>-136.94516152935776</v>
      </c>
    </row>
    <row r="56" spans="2:488">
      <c r="F56"/>
      <c r="MD56" s="564" t="s">
        <v>433</v>
      </c>
      <c r="ME56" s="566">
        <v>50</v>
      </c>
      <c r="MF56" s="430">
        <f t="shared" si="182"/>
        <v>0</v>
      </c>
      <c r="MG56" s="182">
        <f t="shared" si="183"/>
        <v>0</v>
      </c>
      <c r="MH56" s="182">
        <f t="shared" si="184"/>
        <v>0</v>
      </c>
      <c r="MI56" s="182">
        <f t="shared" si="185"/>
        <v>0</v>
      </c>
      <c r="MJ56" s="282">
        <f t="shared" si="186"/>
        <v>0</v>
      </c>
    </row>
    <row r="57" spans="2:488">
      <c r="F57"/>
      <c r="MD57" s="564" t="s">
        <v>434</v>
      </c>
      <c r="ME57" s="566">
        <v>51</v>
      </c>
      <c r="MF57" s="430">
        <f t="shared" si="182"/>
        <v>714.23433820704099</v>
      </c>
      <c r="MG57" s="182">
        <f t="shared" si="183"/>
        <v>219.48749334999994</v>
      </c>
      <c r="MH57" s="182">
        <f t="shared" si="184"/>
        <v>228.02996001799994</v>
      </c>
      <c r="MI57" s="182">
        <f t="shared" si="185"/>
        <v>237.21602864599993</v>
      </c>
      <c r="MJ57" s="282">
        <f t="shared" si="186"/>
        <v>322.90373624299991</v>
      </c>
    </row>
    <row r="58" spans="2:488">
      <c r="F58"/>
      <c r="MD58" s="564" t="s">
        <v>435</v>
      </c>
      <c r="ME58" s="566">
        <v>52</v>
      </c>
      <c r="MF58" s="430">
        <f t="shared" si="182"/>
        <v>622.50737603590005</v>
      </c>
      <c r="MG58" s="182">
        <f t="shared" si="183"/>
        <v>435.37896149690005</v>
      </c>
      <c r="MH58" s="182">
        <f t="shared" si="184"/>
        <v>485.83820636990004</v>
      </c>
      <c r="MI58" s="182">
        <f t="shared" si="185"/>
        <v>537.12364599789998</v>
      </c>
      <c r="MJ58" s="282">
        <f t="shared" si="186"/>
        <v>584.78870637989996</v>
      </c>
    </row>
    <row r="59" spans="2:488">
      <c r="F59"/>
      <c r="MD59" s="564" t="s">
        <v>436</v>
      </c>
      <c r="ME59" s="566">
        <v>53</v>
      </c>
      <c r="MF59" s="430">
        <f t="shared" si="182"/>
        <v>91.726962171141182</v>
      </c>
      <c r="MG59" s="182">
        <f t="shared" si="183"/>
        <v>-215.89146814690002</v>
      </c>
      <c r="MH59" s="182">
        <f t="shared" si="184"/>
        <v>-257.80824635190004</v>
      </c>
      <c r="MI59" s="182">
        <f t="shared" si="185"/>
        <v>-299.90761735190006</v>
      </c>
      <c r="MJ59" s="282">
        <f t="shared" si="186"/>
        <v>-261.88497013690005</v>
      </c>
    </row>
    <row r="60" spans="2:488" ht="13.2" thickBot="1">
      <c r="F60"/>
      <c r="DR60" s="337" t="s">
        <v>181</v>
      </c>
      <c r="MD60" s="565" t="s">
        <v>437</v>
      </c>
      <c r="ME60" s="567">
        <v>54</v>
      </c>
      <c r="MF60" s="431">
        <f t="shared" si="182"/>
        <v>3.3139381528289897</v>
      </c>
      <c r="MG60" s="321">
        <f t="shared" si="183"/>
        <v>3.7042667221040575</v>
      </c>
      <c r="MH60" s="321">
        <f t="shared" si="184"/>
        <v>5.05328573608901</v>
      </c>
      <c r="MI60" s="321">
        <f t="shared" si="185"/>
        <v>7.0369405211535261</v>
      </c>
      <c r="MJ60" s="322">
        <f t="shared" si="186"/>
        <v>6.3901972106110172</v>
      </c>
    </row>
    <row r="61" spans="2:488" ht="12.9">
      <c r="F61"/>
      <c r="DH61" s="337" t="s">
        <v>174</v>
      </c>
      <c r="ME61" s="212">
        <v>55</v>
      </c>
    </row>
    <row r="62" spans="2:488">
      <c r="F62"/>
      <c r="OE62" s="86" t="s">
        <v>508</v>
      </c>
    </row>
    <row r="63" spans="2:488">
      <c r="F63"/>
      <c r="CI63">
        <f>CH301/CH289-1</f>
        <v>6.0449292664466192E-2</v>
      </c>
      <c r="IP63" s="86" t="s">
        <v>364</v>
      </c>
      <c r="IW63" s="86" t="s">
        <v>365</v>
      </c>
      <c r="JF63" s="86" t="s">
        <v>366</v>
      </c>
      <c r="JL63" s="86"/>
      <c r="JO63" s="86" t="s">
        <v>367</v>
      </c>
      <c r="JV63" s="526" t="s">
        <v>375</v>
      </c>
      <c r="KE63" s="526" t="s">
        <v>376</v>
      </c>
      <c r="KL63" s="526" t="s">
        <v>378</v>
      </c>
      <c r="KS63" s="526" t="s">
        <v>379</v>
      </c>
      <c r="KZ63" s="86" t="s">
        <v>380</v>
      </c>
      <c r="LH63" s="86" t="s">
        <v>382</v>
      </c>
      <c r="LO63" s="86" t="s">
        <v>381</v>
      </c>
      <c r="PD63" s="86" t="s">
        <v>507</v>
      </c>
      <c r="QF63" s="1727" t="s">
        <v>509</v>
      </c>
    </row>
    <row r="64" spans="2:488">
      <c r="B64" s="1" t="s">
        <v>36</v>
      </c>
      <c r="F64"/>
      <c r="M64" s="86" t="s">
        <v>193</v>
      </c>
      <c r="N64" s="86"/>
      <c r="AD64" s="86" t="s">
        <v>38</v>
      </c>
      <c r="AV64" s="86" t="s">
        <v>40</v>
      </c>
      <c r="BN64" s="68" t="s">
        <v>42</v>
      </c>
      <c r="BX64" s="68" t="s">
        <v>51</v>
      </c>
      <c r="CF64">
        <v>1</v>
      </c>
      <c r="CG64">
        <v>2</v>
      </c>
      <c r="CH64">
        <v>3</v>
      </c>
      <c r="CI64">
        <v>4</v>
      </c>
      <c r="CJ64">
        <v>5</v>
      </c>
      <c r="CK64">
        <v>6</v>
      </c>
      <c r="CL64">
        <v>7</v>
      </c>
      <c r="CM64">
        <v>8</v>
      </c>
      <c r="CN64">
        <v>9</v>
      </c>
      <c r="CO64">
        <v>10</v>
      </c>
      <c r="CP64">
        <v>11</v>
      </c>
      <c r="CQ64">
        <v>12</v>
      </c>
      <c r="CR64">
        <v>13</v>
      </c>
      <c r="CS64">
        <v>14</v>
      </c>
      <c r="CT64">
        <v>15</v>
      </c>
      <c r="CU64">
        <v>16</v>
      </c>
      <c r="CV64">
        <v>17</v>
      </c>
      <c r="CW64">
        <v>18</v>
      </c>
      <c r="CX64" t="s">
        <v>119</v>
      </c>
      <c r="DA64">
        <v>4</v>
      </c>
      <c r="DB64">
        <v>5</v>
      </c>
      <c r="DC64">
        <v>6</v>
      </c>
      <c r="DD64">
        <v>7</v>
      </c>
      <c r="DE64">
        <v>8</v>
      </c>
      <c r="DF64">
        <v>9</v>
      </c>
      <c r="DG64">
        <v>10</v>
      </c>
      <c r="DH64">
        <v>11</v>
      </c>
      <c r="DI64">
        <v>12</v>
      </c>
      <c r="DJ64">
        <v>13</v>
      </c>
      <c r="DK64">
        <v>14</v>
      </c>
      <c r="DL64">
        <v>15</v>
      </c>
      <c r="DM64">
        <v>16</v>
      </c>
      <c r="DQ64">
        <v>1</v>
      </c>
      <c r="DR64">
        <v>2</v>
      </c>
      <c r="DS64">
        <v>3</v>
      </c>
      <c r="DT64">
        <v>4</v>
      </c>
      <c r="DU64">
        <v>5</v>
      </c>
      <c r="DV64">
        <v>6</v>
      </c>
      <c r="DW64">
        <v>7</v>
      </c>
      <c r="DX64">
        <v>8</v>
      </c>
      <c r="DY64">
        <v>9</v>
      </c>
      <c r="DZ64" t="s">
        <v>217</v>
      </c>
      <c r="EE64" t="s">
        <v>218</v>
      </c>
      <c r="EP64" t="s">
        <v>219</v>
      </c>
      <c r="FB64" t="s">
        <v>514</v>
      </c>
      <c r="FM64" s="68" t="s">
        <v>284</v>
      </c>
      <c r="GA64" s="68" t="s">
        <v>285</v>
      </c>
      <c r="GQ64" s="460" t="s">
        <v>286</v>
      </c>
      <c r="HS64">
        <v>1</v>
      </c>
      <c r="HT64">
        <v>2</v>
      </c>
      <c r="HU64">
        <v>3</v>
      </c>
      <c r="HV64">
        <v>4</v>
      </c>
      <c r="HW64">
        <v>5</v>
      </c>
      <c r="HX64">
        <v>6</v>
      </c>
      <c r="HY64">
        <v>7</v>
      </c>
      <c r="HZ64">
        <v>8</v>
      </c>
      <c r="IA64">
        <v>9</v>
      </c>
      <c r="IB64">
        <v>10</v>
      </c>
      <c r="IC64">
        <v>11</v>
      </c>
      <c r="ID64">
        <v>12</v>
      </c>
      <c r="IE64">
        <v>13</v>
      </c>
      <c r="IF64">
        <v>14</v>
      </c>
      <c r="IG64">
        <v>15</v>
      </c>
      <c r="IH64">
        <v>16</v>
      </c>
      <c r="II64">
        <v>17</v>
      </c>
      <c r="IJ64">
        <v>18</v>
      </c>
      <c r="IK64">
        <v>19</v>
      </c>
      <c r="IL64">
        <v>20</v>
      </c>
      <c r="IM64">
        <v>21</v>
      </c>
      <c r="IN64">
        <v>22</v>
      </c>
      <c r="IO64">
        <v>23</v>
      </c>
      <c r="IP64">
        <v>24</v>
      </c>
      <c r="IQ64">
        <v>25</v>
      </c>
      <c r="IR64">
        <v>26</v>
      </c>
      <c r="IS64">
        <v>27</v>
      </c>
      <c r="IT64">
        <v>28</v>
      </c>
      <c r="IU64">
        <v>29</v>
      </c>
      <c r="IV64">
        <v>30</v>
      </c>
      <c r="IW64">
        <v>31</v>
      </c>
      <c r="IX64">
        <v>32</v>
      </c>
      <c r="IY64">
        <v>33</v>
      </c>
      <c r="IZ64">
        <v>34</v>
      </c>
      <c r="JA64">
        <v>35</v>
      </c>
      <c r="JB64">
        <v>36</v>
      </c>
      <c r="JC64">
        <v>37</v>
      </c>
      <c r="JD64">
        <v>38</v>
      </c>
      <c r="JE64">
        <v>39</v>
      </c>
      <c r="JF64">
        <v>40</v>
      </c>
      <c r="JG64">
        <v>41</v>
      </c>
      <c r="JH64">
        <v>42</v>
      </c>
      <c r="JI64">
        <v>43</v>
      </c>
      <c r="JJ64">
        <v>44</v>
      </c>
      <c r="JK64">
        <v>45</v>
      </c>
      <c r="JL64">
        <v>46</v>
      </c>
      <c r="JM64">
        <v>47</v>
      </c>
      <c r="JN64">
        <v>48</v>
      </c>
      <c r="JO64">
        <v>49</v>
      </c>
      <c r="JP64">
        <v>50</v>
      </c>
      <c r="JQ64">
        <v>51</v>
      </c>
      <c r="JR64">
        <v>52</v>
      </c>
      <c r="JS64">
        <v>53</v>
      </c>
      <c r="JT64">
        <v>54</v>
      </c>
      <c r="JU64">
        <v>55</v>
      </c>
      <c r="JV64">
        <v>1</v>
      </c>
      <c r="JW64">
        <v>2</v>
      </c>
      <c r="JX64">
        <v>3</v>
      </c>
      <c r="JY64">
        <v>4</v>
      </c>
      <c r="JZ64">
        <v>5</v>
      </c>
      <c r="KA64">
        <v>6</v>
      </c>
      <c r="KB64">
        <v>7</v>
      </c>
      <c r="KC64">
        <v>8</v>
      </c>
      <c r="KD64">
        <v>9</v>
      </c>
      <c r="KE64">
        <v>10</v>
      </c>
      <c r="KF64">
        <v>11</v>
      </c>
      <c r="KG64">
        <v>12</v>
      </c>
      <c r="KH64">
        <v>13</v>
      </c>
      <c r="KI64">
        <v>14</v>
      </c>
      <c r="KJ64">
        <v>15</v>
      </c>
      <c r="KK64">
        <v>16</v>
      </c>
      <c r="KL64">
        <v>17</v>
      </c>
      <c r="KM64">
        <v>18</v>
      </c>
      <c r="KN64">
        <v>19</v>
      </c>
      <c r="KO64">
        <v>20</v>
      </c>
      <c r="KP64">
        <v>21</v>
      </c>
      <c r="KQ64">
        <v>22</v>
      </c>
      <c r="KR64">
        <v>23</v>
      </c>
      <c r="KS64">
        <v>24</v>
      </c>
      <c r="KT64">
        <v>25</v>
      </c>
      <c r="KU64">
        <v>26</v>
      </c>
      <c r="KV64">
        <v>27</v>
      </c>
      <c r="KW64">
        <v>28</v>
      </c>
      <c r="KX64">
        <v>29</v>
      </c>
      <c r="KY64">
        <v>30</v>
      </c>
      <c r="KZ64">
        <v>1</v>
      </c>
      <c r="LA64">
        <v>2</v>
      </c>
      <c r="LB64">
        <v>3</v>
      </c>
      <c r="LC64">
        <v>4</v>
      </c>
      <c r="LD64">
        <v>5</v>
      </c>
      <c r="LE64">
        <v>6</v>
      </c>
      <c r="LF64">
        <v>7</v>
      </c>
      <c r="LG64">
        <v>8</v>
      </c>
      <c r="LH64">
        <v>9</v>
      </c>
      <c r="LI64">
        <v>10</v>
      </c>
      <c r="LJ64">
        <v>11</v>
      </c>
      <c r="LK64">
        <v>12</v>
      </c>
      <c r="LL64">
        <v>13</v>
      </c>
      <c r="LM64">
        <v>14</v>
      </c>
      <c r="LN64">
        <v>15</v>
      </c>
      <c r="LO64">
        <v>16</v>
      </c>
      <c r="LP64">
        <v>17</v>
      </c>
      <c r="LQ64">
        <v>18</v>
      </c>
      <c r="LR64">
        <v>19</v>
      </c>
      <c r="LS64">
        <v>20</v>
      </c>
      <c r="LT64">
        <v>21</v>
      </c>
      <c r="LU64">
        <v>22</v>
      </c>
      <c r="LV64">
        <v>23</v>
      </c>
      <c r="LW64">
        <v>24</v>
      </c>
      <c r="LX64">
        <v>25</v>
      </c>
      <c r="LY64">
        <v>26</v>
      </c>
      <c r="LZ64">
        <v>27</v>
      </c>
      <c r="MA64">
        <v>28</v>
      </c>
      <c r="MC64" s="68" t="s">
        <v>441</v>
      </c>
      <c r="OF64">
        <v>1</v>
      </c>
      <c r="OG64">
        <v>2</v>
      </c>
      <c r="OH64">
        <v>3</v>
      </c>
      <c r="OI64">
        <v>4</v>
      </c>
      <c r="OJ64">
        <v>5</v>
      </c>
      <c r="OK64">
        <v>6</v>
      </c>
      <c r="OL64">
        <v>7</v>
      </c>
      <c r="OM64">
        <v>8</v>
      </c>
      <c r="ON64">
        <v>9</v>
      </c>
      <c r="OO64">
        <v>10</v>
      </c>
      <c r="OP64">
        <v>11</v>
      </c>
      <c r="OQ64">
        <v>12</v>
      </c>
      <c r="OR64">
        <v>13</v>
      </c>
      <c r="OS64">
        <v>14</v>
      </c>
      <c r="OT64">
        <v>15</v>
      </c>
      <c r="OU64">
        <v>16</v>
      </c>
      <c r="OV64">
        <v>17</v>
      </c>
      <c r="OW64">
        <v>18</v>
      </c>
      <c r="OX64">
        <v>19</v>
      </c>
      <c r="OY64">
        <v>20</v>
      </c>
      <c r="OZ64">
        <v>21</v>
      </c>
      <c r="PA64">
        <v>22</v>
      </c>
      <c r="PB64">
        <v>23</v>
      </c>
      <c r="PC64">
        <v>24</v>
      </c>
      <c r="PD64">
        <v>25</v>
      </c>
      <c r="PE64">
        <v>26</v>
      </c>
      <c r="PF64">
        <v>27</v>
      </c>
      <c r="PG64">
        <v>28</v>
      </c>
      <c r="PH64">
        <v>29</v>
      </c>
      <c r="PI64">
        <v>30</v>
      </c>
      <c r="PJ64">
        <v>31</v>
      </c>
      <c r="PK64">
        <v>32</v>
      </c>
      <c r="PL64">
        <v>33</v>
      </c>
      <c r="PM64">
        <v>34</v>
      </c>
      <c r="PN64">
        <v>35</v>
      </c>
      <c r="PO64">
        <v>36</v>
      </c>
      <c r="PP64">
        <v>37</v>
      </c>
      <c r="PQ64">
        <v>38</v>
      </c>
      <c r="PR64">
        <v>39</v>
      </c>
      <c r="PS64">
        <v>40</v>
      </c>
      <c r="PT64">
        <v>41</v>
      </c>
      <c r="PU64">
        <v>42</v>
      </c>
      <c r="PV64">
        <v>43</v>
      </c>
      <c r="PW64">
        <v>44</v>
      </c>
      <c r="PX64">
        <v>45</v>
      </c>
      <c r="PY64">
        <v>46</v>
      </c>
      <c r="PZ64">
        <v>47</v>
      </c>
      <c r="QA64">
        <v>48</v>
      </c>
      <c r="QB64">
        <v>49</v>
      </c>
      <c r="QC64">
        <v>50</v>
      </c>
      <c r="QD64">
        <v>51</v>
      </c>
      <c r="QE64">
        <v>52</v>
      </c>
      <c r="QF64" s="1726">
        <v>53</v>
      </c>
      <c r="QG64">
        <v>54</v>
      </c>
      <c r="QH64">
        <v>55</v>
      </c>
      <c r="QI64">
        <v>56</v>
      </c>
      <c r="QJ64">
        <v>57</v>
      </c>
      <c r="QK64">
        <v>58</v>
      </c>
      <c r="QL64">
        <v>59</v>
      </c>
      <c r="QM64">
        <v>60</v>
      </c>
      <c r="QN64">
        <v>61</v>
      </c>
      <c r="QO64">
        <v>62</v>
      </c>
      <c r="QP64">
        <v>63</v>
      </c>
      <c r="QQ64">
        <v>64</v>
      </c>
      <c r="QR64">
        <v>65</v>
      </c>
      <c r="QS64">
        <v>66</v>
      </c>
      <c r="QT64">
        <v>67</v>
      </c>
      <c r="QU64">
        <v>68</v>
      </c>
      <c r="QV64">
        <v>69</v>
      </c>
      <c r="QW64">
        <v>70</v>
      </c>
      <c r="QX64">
        <v>71</v>
      </c>
      <c r="QY64">
        <v>72</v>
      </c>
      <c r="QZ64">
        <v>73</v>
      </c>
      <c r="RA64">
        <v>74</v>
      </c>
      <c r="RB64">
        <v>75</v>
      </c>
      <c r="RC64">
        <v>76</v>
      </c>
      <c r="RD64">
        <v>77</v>
      </c>
      <c r="RE64">
        <v>78</v>
      </c>
      <c r="RF64">
        <v>79</v>
      </c>
      <c r="RG64">
        <v>80</v>
      </c>
      <c r="RH64">
        <v>81</v>
      </c>
      <c r="RI64">
        <v>82</v>
      </c>
      <c r="RJ64">
        <v>83</v>
      </c>
      <c r="RK64">
        <v>84</v>
      </c>
      <c r="RL64">
        <v>85</v>
      </c>
      <c r="RM64">
        <v>86</v>
      </c>
      <c r="RO64" t="s">
        <v>1039</v>
      </c>
      <c r="RT64" t="s">
        <v>1098</v>
      </c>
    </row>
    <row r="65" spans="1:496" ht="12.6" thickBot="1">
      <c r="B65" s="1"/>
      <c r="F65"/>
      <c r="M65" s="86"/>
      <c r="N65" s="86"/>
      <c r="AD65" s="86"/>
      <c r="CG65" t="s">
        <v>60</v>
      </c>
      <c r="CK65" t="s">
        <v>70</v>
      </c>
      <c r="CP65" t="s">
        <v>77</v>
      </c>
      <c r="CY65" t="s">
        <v>192</v>
      </c>
      <c r="FL65">
        <v>1</v>
      </c>
      <c r="FM65">
        <v>2</v>
      </c>
      <c r="FN65">
        <v>3</v>
      </c>
      <c r="FO65">
        <v>4</v>
      </c>
      <c r="FP65">
        <v>5</v>
      </c>
      <c r="FQ65">
        <v>6</v>
      </c>
      <c r="FR65">
        <v>7</v>
      </c>
      <c r="FS65">
        <v>8</v>
      </c>
      <c r="FT65">
        <v>9</v>
      </c>
      <c r="FU65">
        <v>10</v>
      </c>
      <c r="FV65">
        <v>11</v>
      </c>
      <c r="FW65">
        <v>12</v>
      </c>
      <c r="FX65">
        <v>13</v>
      </c>
      <c r="FY65">
        <v>14</v>
      </c>
      <c r="GA65">
        <v>1</v>
      </c>
      <c r="GB65">
        <v>2</v>
      </c>
      <c r="GC65">
        <v>3</v>
      </c>
      <c r="GD65">
        <v>4</v>
      </c>
      <c r="GE65">
        <v>5</v>
      </c>
      <c r="GF65">
        <v>6</v>
      </c>
      <c r="GG65">
        <v>7</v>
      </c>
      <c r="GH65">
        <v>8</v>
      </c>
      <c r="GI65">
        <v>9</v>
      </c>
      <c r="GJ65">
        <v>10</v>
      </c>
      <c r="GK65">
        <v>11</v>
      </c>
      <c r="GL65">
        <v>12</v>
      </c>
      <c r="GM65">
        <v>13</v>
      </c>
      <c r="GN65">
        <v>14</v>
      </c>
      <c r="GP65">
        <v>1</v>
      </c>
      <c r="GQ65">
        <v>2</v>
      </c>
      <c r="GR65">
        <v>3</v>
      </c>
      <c r="GS65">
        <v>4</v>
      </c>
      <c r="GT65">
        <v>5</v>
      </c>
      <c r="GU65">
        <v>6</v>
      </c>
      <c r="GV65">
        <v>7</v>
      </c>
      <c r="GW65">
        <v>8</v>
      </c>
      <c r="GX65">
        <v>9</v>
      </c>
      <c r="GY65">
        <v>10</v>
      </c>
      <c r="GZ65">
        <v>11</v>
      </c>
      <c r="HA65">
        <v>12</v>
      </c>
      <c r="HB65">
        <v>13</v>
      </c>
      <c r="HC65">
        <v>14</v>
      </c>
      <c r="HD65">
        <v>15</v>
      </c>
      <c r="HE65">
        <v>16</v>
      </c>
      <c r="HF65">
        <v>17</v>
      </c>
      <c r="HG65">
        <v>18</v>
      </c>
      <c r="HH65">
        <v>19</v>
      </c>
      <c r="HI65">
        <v>20</v>
      </c>
      <c r="HJ65">
        <v>21</v>
      </c>
      <c r="HK65">
        <v>22</v>
      </c>
      <c r="HL65">
        <v>23</v>
      </c>
      <c r="HM65">
        <v>24</v>
      </c>
      <c r="HN65">
        <v>25</v>
      </c>
      <c r="HO65">
        <v>26</v>
      </c>
      <c r="HP65">
        <v>27</v>
      </c>
      <c r="HQ65">
        <v>28</v>
      </c>
      <c r="HS65" s="86" t="s">
        <v>361</v>
      </c>
      <c r="IA65" s="86" t="s">
        <v>362</v>
      </c>
      <c r="IG65" s="86" t="s">
        <v>363</v>
      </c>
      <c r="LH65" s="542" t="s">
        <v>346</v>
      </c>
      <c r="LI65" s="542"/>
      <c r="LJ65" s="542"/>
      <c r="LK65" s="542" t="s">
        <v>350</v>
      </c>
      <c r="LL65" s="542"/>
      <c r="MB65">
        <v>1</v>
      </c>
      <c r="MC65">
        <v>2</v>
      </c>
      <c r="MD65">
        <v>3</v>
      </c>
      <c r="ME65">
        <v>4</v>
      </c>
      <c r="MF65">
        <v>5</v>
      </c>
      <c r="MG65">
        <v>6</v>
      </c>
      <c r="MH65">
        <v>7</v>
      </c>
      <c r="MI65">
        <v>8</v>
      </c>
      <c r="MJ65">
        <v>9</v>
      </c>
      <c r="MK65">
        <v>10</v>
      </c>
      <c r="ML65">
        <v>11</v>
      </c>
      <c r="MM65">
        <v>12</v>
      </c>
      <c r="MN65">
        <v>13</v>
      </c>
      <c r="MO65">
        <v>14</v>
      </c>
      <c r="MP65">
        <v>15</v>
      </c>
      <c r="MQ65">
        <v>16</v>
      </c>
      <c r="MR65">
        <v>17</v>
      </c>
      <c r="MS65">
        <v>18</v>
      </c>
      <c r="MT65">
        <v>19</v>
      </c>
      <c r="MU65">
        <v>20</v>
      </c>
      <c r="MV65">
        <v>21</v>
      </c>
      <c r="MW65">
        <v>22</v>
      </c>
      <c r="MX65">
        <v>23</v>
      </c>
      <c r="MY65">
        <v>24</v>
      </c>
      <c r="MZ65">
        <v>25</v>
      </c>
      <c r="NA65">
        <v>26</v>
      </c>
      <c r="NB65">
        <v>27</v>
      </c>
      <c r="NC65">
        <v>28</v>
      </c>
      <c r="ND65">
        <v>29</v>
      </c>
      <c r="NE65">
        <v>30</v>
      </c>
      <c r="NF65">
        <v>31</v>
      </c>
      <c r="NG65">
        <v>32</v>
      </c>
      <c r="NH65">
        <v>33</v>
      </c>
      <c r="NI65">
        <v>34</v>
      </c>
      <c r="NJ65">
        <v>35</v>
      </c>
      <c r="NK65">
        <v>36</v>
      </c>
      <c r="NL65">
        <v>37</v>
      </c>
      <c r="NM65">
        <v>38</v>
      </c>
      <c r="NN65">
        <v>39</v>
      </c>
      <c r="NO65">
        <v>40</v>
      </c>
      <c r="NP65">
        <v>41</v>
      </c>
      <c r="NQ65">
        <v>42</v>
      </c>
      <c r="NR65">
        <v>43</v>
      </c>
      <c r="NS65">
        <v>44</v>
      </c>
      <c r="NT65">
        <v>45</v>
      </c>
      <c r="NU65">
        <v>46</v>
      </c>
      <c r="NV65">
        <v>47</v>
      </c>
      <c r="NW65">
        <v>48</v>
      </c>
      <c r="NX65">
        <v>49</v>
      </c>
      <c r="NY65">
        <v>50</v>
      </c>
      <c r="NZ65">
        <v>51</v>
      </c>
      <c r="OA65">
        <v>52</v>
      </c>
      <c r="OB65">
        <v>53</v>
      </c>
      <c r="OC65">
        <v>54</v>
      </c>
      <c r="OD65">
        <v>55</v>
      </c>
      <c r="OE65">
        <v>1</v>
      </c>
      <c r="OF65">
        <v>2</v>
      </c>
      <c r="OG65">
        <v>3</v>
      </c>
      <c r="OH65">
        <v>4</v>
      </c>
      <c r="OI65">
        <v>5</v>
      </c>
      <c r="OJ65">
        <v>6</v>
      </c>
      <c r="OK65">
        <v>7</v>
      </c>
      <c r="OL65">
        <v>8</v>
      </c>
      <c r="OM65">
        <v>9</v>
      </c>
      <c r="ON65">
        <v>10</v>
      </c>
      <c r="OO65">
        <v>11</v>
      </c>
      <c r="OP65">
        <v>12</v>
      </c>
      <c r="OQ65">
        <v>13</v>
      </c>
      <c r="OR65">
        <v>14</v>
      </c>
      <c r="OS65">
        <v>15</v>
      </c>
      <c r="OT65">
        <v>16</v>
      </c>
      <c r="OU65">
        <v>17</v>
      </c>
      <c r="OV65">
        <v>18</v>
      </c>
      <c r="OW65">
        <v>19</v>
      </c>
      <c r="OX65">
        <v>20</v>
      </c>
      <c r="OY65">
        <v>21</v>
      </c>
      <c r="OZ65">
        <v>22</v>
      </c>
      <c r="PA65">
        <v>23</v>
      </c>
      <c r="PB65">
        <v>24</v>
      </c>
      <c r="PC65">
        <v>25</v>
      </c>
      <c r="PD65">
        <v>26</v>
      </c>
      <c r="PE65">
        <v>27</v>
      </c>
      <c r="PF65">
        <v>28</v>
      </c>
      <c r="PG65">
        <v>29</v>
      </c>
      <c r="PH65">
        <v>30</v>
      </c>
      <c r="PI65">
        <v>31</v>
      </c>
      <c r="PJ65">
        <v>32</v>
      </c>
      <c r="PK65">
        <v>33</v>
      </c>
      <c r="PL65">
        <v>34</v>
      </c>
      <c r="PM65">
        <v>35</v>
      </c>
      <c r="PN65">
        <v>36</v>
      </c>
      <c r="PO65">
        <v>37</v>
      </c>
      <c r="PP65">
        <v>38</v>
      </c>
      <c r="PQ65">
        <v>39</v>
      </c>
      <c r="PR65">
        <v>40</v>
      </c>
      <c r="PS65">
        <v>41</v>
      </c>
      <c r="PT65">
        <v>42</v>
      </c>
      <c r="PU65">
        <v>43</v>
      </c>
      <c r="PV65">
        <v>44</v>
      </c>
      <c r="PW65">
        <v>45</v>
      </c>
      <c r="PX65">
        <v>46</v>
      </c>
      <c r="PY65">
        <v>47</v>
      </c>
      <c r="PZ65">
        <v>48</v>
      </c>
      <c r="QA65">
        <v>49</v>
      </c>
      <c r="QB65">
        <v>50</v>
      </c>
      <c r="QC65">
        <v>51</v>
      </c>
      <c r="QD65">
        <v>52</v>
      </c>
      <c r="QE65">
        <v>53</v>
      </c>
      <c r="QF65" s="1726">
        <v>54</v>
      </c>
      <c r="QG65">
        <v>55</v>
      </c>
      <c r="QH65">
        <v>56</v>
      </c>
      <c r="QI65">
        <v>57</v>
      </c>
      <c r="QJ65">
        <v>58</v>
      </c>
      <c r="QK65">
        <v>59</v>
      </c>
      <c r="QL65">
        <v>60</v>
      </c>
      <c r="QM65">
        <v>61</v>
      </c>
      <c r="QN65">
        <v>62</v>
      </c>
      <c r="QO65">
        <v>63</v>
      </c>
      <c r="QP65">
        <v>64</v>
      </c>
      <c r="QQ65">
        <v>65</v>
      </c>
      <c r="QR65">
        <v>66</v>
      </c>
      <c r="QS65">
        <v>67</v>
      </c>
      <c r="QT65">
        <v>68</v>
      </c>
      <c r="QU65">
        <v>69</v>
      </c>
      <c r="QV65">
        <v>70</v>
      </c>
      <c r="QW65">
        <v>71</v>
      </c>
      <c r="QX65">
        <v>72</v>
      </c>
      <c r="QY65">
        <v>73</v>
      </c>
      <c r="QZ65">
        <v>74</v>
      </c>
      <c r="RA65">
        <v>75</v>
      </c>
      <c r="RB65">
        <v>76</v>
      </c>
      <c r="RC65">
        <v>77</v>
      </c>
      <c r="RD65">
        <v>78</v>
      </c>
      <c r="RE65">
        <v>79</v>
      </c>
      <c r="RF65">
        <v>80</v>
      </c>
      <c r="RG65">
        <v>81</v>
      </c>
      <c r="RH65">
        <v>82</v>
      </c>
      <c r="RI65">
        <v>83</v>
      </c>
      <c r="RJ65">
        <v>84</v>
      </c>
      <c r="RK65">
        <v>85</v>
      </c>
      <c r="RL65">
        <v>86</v>
      </c>
      <c r="RM65">
        <v>87</v>
      </c>
      <c r="RN65">
        <v>88</v>
      </c>
      <c r="RO65">
        <v>89</v>
      </c>
      <c r="RP65">
        <v>90</v>
      </c>
      <c r="RQ65">
        <v>91</v>
      </c>
      <c r="RR65">
        <v>92</v>
      </c>
      <c r="RS65">
        <v>93</v>
      </c>
      <c r="RT65">
        <v>94</v>
      </c>
      <c r="RU65">
        <v>95</v>
      </c>
      <c r="RV65">
        <v>96</v>
      </c>
      <c r="RW65">
        <v>97</v>
      </c>
    </row>
    <row r="66" spans="1:496" ht="5.0999999999999996" customHeight="1" thickBot="1">
      <c r="A66" s="130"/>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v>1</v>
      </c>
      <c r="AF66" s="130">
        <v>2</v>
      </c>
      <c r="AG66" s="130">
        <v>3</v>
      </c>
      <c r="AH66" s="130">
        <v>4</v>
      </c>
      <c r="AI66" s="130">
        <v>5</v>
      </c>
      <c r="AJ66" s="130">
        <v>6</v>
      </c>
      <c r="AK66" s="130">
        <v>7</v>
      </c>
      <c r="AL66" s="130">
        <v>8</v>
      </c>
      <c r="AM66" s="130">
        <v>9</v>
      </c>
      <c r="AN66" s="130">
        <v>10</v>
      </c>
      <c r="AO66" s="130">
        <v>11</v>
      </c>
      <c r="AP66" s="130">
        <v>12</v>
      </c>
      <c r="AQ66" s="130">
        <v>13</v>
      </c>
      <c r="AR66" s="130">
        <v>14</v>
      </c>
      <c r="AS66" s="130">
        <v>15</v>
      </c>
      <c r="AT66" s="130"/>
      <c r="AU66" s="130"/>
      <c r="AV66" s="130">
        <v>1</v>
      </c>
      <c r="AW66" s="130">
        <v>2</v>
      </c>
      <c r="AX66" s="130">
        <v>3</v>
      </c>
      <c r="AY66" s="130">
        <v>4</v>
      </c>
      <c r="AZ66" s="130">
        <v>5</v>
      </c>
      <c r="BA66" s="130">
        <v>6</v>
      </c>
      <c r="BB66" s="130">
        <v>7</v>
      </c>
      <c r="BC66" s="130">
        <v>8</v>
      </c>
      <c r="BD66" s="130">
        <v>9</v>
      </c>
      <c r="BE66" s="130">
        <v>10</v>
      </c>
      <c r="BF66" s="130">
        <v>11</v>
      </c>
      <c r="BG66" s="130">
        <v>12</v>
      </c>
      <c r="BH66" s="130">
        <v>13</v>
      </c>
      <c r="BI66" s="130">
        <v>14</v>
      </c>
      <c r="BJ66" s="130">
        <v>15</v>
      </c>
      <c r="BK66" s="130"/>
      <c r="BL66" s="130"/>
      <c r="BM66" s="130">
        <v>1</v>
      </c>
      <c r="BN66" s="130">
        <v>1</v>
      </c>
      <c r="BO66" s="130">
        <v>1</v>
      </c>
      <c r="BP66" s="130">
        <v>1</v>
      </c>
      <c r="BQ66" s="130">
        <v>1</v>
      </c>
      <c r="BR66" s="130">
        <v>1</v>
      </c>
      <c r="BS66" s="130">
        <v>1</v>
      </c>
      <c r="BT66" s="130">
        <v>1</v>
      </c>
      <c r="BU66" s="130">
        <v>1</v>
      </c>
      <c r="BV66" s="130"/>
      <c r="BW66" s="131"/>
      <c r="BX66" s="130"/>
      <c r="BY66" s="130"/>
      <c r="BZ66" s="130"/>
      <c r="CA66" s="130"/>
      <c r="CB66" s="130"/>
      <c r="CC66" s="130"/>
      <c r="CD66" s="130"/>
      <c r="CE66" s="130"/>
      <c r="CF66" s="212"/>
    </row>
    <row r="67" spans="1:496" ht="36" customHeight="1" thickTop="1" thickBot="1">
      <c r="A67" s="41" t="s">
        <v>16</v>
      </c>
      <c r="B67" s="121" t="s">
        <v>0</v>
      </c>
      <c r="C67" s="122" t="s">
        <v>2</v>
      </c>
      <c r="D67" s="123" t="s">
        <v>3</v>
      </c>
      <c r="E67" s="123" t="s">
        <v>4</v>
      </c>
      <c r="F67" s="1798" t="s">
        <v>5</v>
      </c>
      <c r="G67" s="123" t="s">
        <v>6</v>
      </c>
      <c r="H67" s="123" t="s">
        <v>7</v>
      </c>
      <c r="I67" s="123" t="s">
        <v>8</v>
      </c>
      <c r="J67" s="124" t="s">
        <v>9</v>
      </c>
      <c r="K67" s="125" t="s">
        <v>10</v>
      </c>
      <c r="L67" s="126" t="s">
        <v>11</v>
      </c>
      <c r="M67" s="97"/>
      <c r="N67" s="121" t="s">
        <v>0</v>
      </c>
      <c r="O67" s="127" t="s">
        <v>23</v>
      </c>
      <c r="P67" s="128" t="s">
        <v>24</v>
      </c>
      <c r="Q67" s="128" t="s">
        <v>25</v>
      </c>
      <c r="R67" s="128" t="s">
        <v>26</v>
      </c>
      <c r="S67" s="128" t="s">
        <v>27</v>
      </c>
      <c r="T67" s="128" t="s">
        <v>28</v>
      </c>
      <c r="U67" s="128" t="s">
        <v>29</v>
      </c>
      <c r="V67" s="128" t="s">
        <v>30</v>
      </c>
      <c r="W67" s="128" t="s">
        <v>31</v>
      </c>
      <c r="X67" s="128" t="s">
        <v>32</v>
      </c>
      <c r="Y67" s="128" t="s">
        <v>33</v>
      </c>
      <c r="Z67" s="128" t="s">
        <v>34</v>
      </c>
      <c r="AA67" s="128" t="s">
        <v>35</v>
      </c>
      <c r="AB67" s="129" t="s">
        <v>13</v>
      </c>
      <c r="AC67" s="126" t="s">
        <v>11</v>
      </c>
      <c r="AD67" s="97"/>
      <c r="AE67" s="121" t="s">
        <v>0</v>
      </c>
      <c r="AF67" s="127" t="s">
        <v>23</v>
      </c>
      <c r="AG67" s="128" t="s">
        <v>24</v>
      </c>
      <c r="AH67" s="128" t="s">
        <v>25</v>
      </c>
      <c r="AI67" s="128" t="s">
        <v>26</v>
      </c>
      <c r="AJ67" s="128" t="s">
        <v>27</v>
      </c>
      <c r="AK67" s="128" t="s">
        <v>28</v>
      </c>
      <c r="AL67" s="128" t="s">
        <v>29</v>
      </c>
      <c r="AM67" s="128" t="s">
        <v>30</v>
      </c>
      <c r="AN67" s="128" t="s">
        <v>31</v>
      </c>
      <c r="AO67" s="128" t="s">
        <v>32</v>
      </c>
      <c r="AP67" s="128" t="s">
        <v>33</v>
      </c>
      <c r="AQ67" s="128" t="s">
        <v>34</v>
      </c>
      <c r="AR67" s="128" t="s">
        <v>35</v>
      </c>
      <c r="AS67" s="129" t="s">
        <v>13</v>
      </c>
      <c r="AT67" s="23" t="s">
        <v>11</v>
      </c>
      <c r="AU67" s="97"/>
      <c r="AV67" s="121" t="s">
        <v>0</v>
      </c>
      <c r="AW67" s="127" t="s">
        <v>23</v>
      </c>
      <c r="AX67" s="128" t="s">
        <v>24</v>
      </c>
      <c r="AY67" s="128" t="s">
        <v>25</v>
      </c>
      <c r="AZ67" s="128" t="s">
        <v>26</v>
      </c>
      <c r="BA67" s="128" t="s">
        <v>27</v>
      </c>
      <c r="BB67" s="128" t="s">
        <v>28</v>
      </c>
      <c r="BC67" s="128" t="s">
        <v>29</v>
      </c>
      <c r="BD67" s="128" t="s">
        <v>30</v>
      </c>
      <c r="BE67" s="128" t="s">
        <v>31</v>
      </c>
      <c r="BF67" s="128" t="s">
        <v>32</v>
      </c>
      <c r="BG67" s="128" t="s">
        <v>33</v>
      </c>
      <c r="BH67" s="128" t="s">
        <v>34</v>
      </c>
      <c r="BI67" s="128" t="s">
        <v>35</v>
      </c>
      <c r="BJ67" s="129" t="s">
        <v>13</v>
      </c>
      <c r="BK67" s="23" t="s">
        <v>11</v>
      </c>
      <c r="BL67" s="97"/>
      <c r="BM67" s="154" t="s">
        <v>0</v>
      </c>
      <c r="BN67" s="154" t="s">
        <v>2</v>
      </c>
      <c r="BO67" s="155" t="s">
        <v>3</v>
      </c>
      <c r="BP67" s="155" t="s">
        <v>4</v>
      </c>
      <c r="BQ67" s="155" t="s">
        <v>6</v>
      </c>
      <c r="BR67" s="155" t="s">
        <v>7</v>
      </c>
      <c r="BS67" s="155" t="s">
        <v>8</v>
      </c>
      <c r="BT67" s="155" t="s">
        <v>9</v>
      </c>
      <c r="BU67" s="96" t="s">
        <v>13</v>
      </c>
      <c r="BV67" s="23" t="s">
        <v>11</v>
      </c>
      <c r="BW67" s="97"/>
      <c r="BX67" s="121" t="s">
        <v>0</v>
      </c>
      <c r="BY67" s="162" t="s">
        <v>46</v>
      </c>
      <c r="BZ67" s="163" t="s">
        <v>47</v>
      </c>
      <c r="CA67" s="163" t="s">
        <v>48</v>
      </c>
      <c r="CB67" s="163" t="s">
        <v>49</v>
      </c>
      <c r="CC67" s="163" t="s">
        <v>50</v>
      </c>
      <c r="CD67" s="23" t="s">
        <v>11</v>
      </c>
      <c r="CE67" s="97"/>
      <c r="CF67" s="176" t="s">
        <v>0</v>
      </c>
      <c r="CG67" s="216" t="s">
        <v>86</v>
      </c>
      <c r="CH67" s="149" t="s">
        <v>87</v>
      </c>
      <c r="CI67" s="149" t="s">
        <v>88</v>
      </c>
      <c r="CJ67" s="217" t="s">
        <v>89</v>
      </c>
      <c r="CK67" s="148" t="s">
        <v>90</v>
      </c>
      <c r="CL67" s="149" t="s">
        <v>91</v>
      </c>
      <c r="CM67" s="149" t="s">
        <v>92</v>
      </c>
      <c r="CN67" s="149" t="s">
        <v>93</v>
      </c>
      <c r="CO67" s="149" t="s">
        <v>94</v>
      </c>
      <c r="CP67" s="217" t="s">
        <v>95</v>
      </c>
      <c r="CQ67" s="216" t="s">
        <v>96</v>
      </c>
      <c r="CR67" s="149" t="s">
        <v>97</v>
      </c>
      <c r="CS67" s="149" t="s">
        <v>98</v>
      </c>
      <c r="CT67" s="149" t="s">
        <v>99</v>
      </c>
      <c r="CU67" s="149" t="s">
        <v>100</v>
      </c>
      <c r="CV67" s="217" t="s">
        <v>101</v>
      </c>
      <c r="CW67" s="27" t="s">
        <v>11</v>
      </c>
      <c r="CX67" s="41" t="s">
        <v>16</v>
      </c>
      <c r="CY67" s="176" t="s">
        <v>0</v>
      </c>
      <c r="CZ67" s="148" t="s">
        <v>167</v>
      </c>
      <c r="DA67" s="149" t="s">
        <v>168</v>
      </c>
      <c r="DB67" s="149" t="s">
        <v>169</v>
      </c>
      <c r="DC67" s="149" t="s">
        <v>170</v>
      </c>
      <c r="DD67" s="149" t="s">
        <v>168</v>
      </c>
      <c r="DE67" s="217" t="s">
        <v>169</v>
      </c>
      <c r="DF67" s="27" t="s">
        <v>11</v>
      </c>
      <c r="DG67" s="148" t="s">
        <v>0</v>
      </c>
      <c r="DH67" s="149" t="s">
        <v>194</v>
      </c>
      <c r="DI67" s="149" t="s">
        <v>175</v>
      </c>
      <c r="DJ67" s="149" t="s">
        <v>176</v>
      </c>
      <c r="DK67" s="149" t="s">
        <v>177</v>
      </c>
      <c r="DL67" s="149" t="s">
        <v>178</v>
      </c>
      <c r="DM67" s="149" t="s">
        <v>179</v>
      </c>
      <c r="DN67" s="149" t="s">
        <v>180</v>
      </c>
      <c r="DO67" s="393" t="s">
        <v>199</v>
      </c>
      <c r="DP67" s="96" t="s">
        <v>11</v>
      </c>
      <c r="DQ67" s="148" t="s">
        <v>0</v>
      </c>
      <c r="DR67" s="149" t="s">
        <v>182</v>
      </c>
      <c r="DS67" s="149" t="s">
        <v>183</v>
      </c>
      <c r="DT67" s="149" t="s">
        <v>184</v>
      </c>
      <c r="DU67" s="149" t="s">
        <v>185</v>
      </c>
      <c r="DV67" s="149" t="s">
        <v>186</v>
      </c>
      <c r="DW67" s="149" t="s">
        <v>187</v>
      </c>
      <c r="DX67" s="149" t="s">
        <v>999</v>
      </c>
      <c r="DY67" s="96" t="s">
        <v>11</v>
      </c>
      <c r="DZ67" s="417" t="s">
        <v>0</v>
      </c>
      <c r="EA67" s="148" t="s">
        <v>201</v>
      </c>
      <c r="EB67" s="149" t="s">
        <v>202</v>
      </c>
      <c r="EC67" s="217" t="s">
        <v>203</v>
      </c>
      <c r="ED67" s="177" t="s">
        <v>11</v>
      </c>
      <c r="EE67" s="148" t="s">
        <v>0</v>
      </c>
      <c r="EF67" s="149" t="s">
        <v>205</v>
      </c>
      <c r="EG67" s="149" t="s">
        <v>206</v>
      </c>
      <c r="EH67" s="149" t="s">
        <v>207</v>
      </c>
      <c r="EI67" s="393" t="s">
        <v>208</v>
      </c>
      <c r="EJ67" s="149" t="s">
        <v>209</v>
      </c>
      <c r="EK67" s="149" t="s">
        <v>210</v>
      </c>
      <c r="EL67" s="149" t="s">
        <v>211</v>
      </c>
      <c r="EM67" s="149" t="s">
        <v>212</v>
      </c>
      <c r="EN67" s="217" t="s">
        <v>213</v>
      </c>
      <c r="EO67" s="177" t="s">
        <v>11</v>
      </c>
      <c r="EP67" s="148" t="s">
        <v>0</v>
      </c>
      <c r="EQ67" s="149" t="s">
        <v>205</v>
      </c>
      <c r="ER67" s="149" t="s">
        <v>206</v>
      </c>
      <c r="ES67" s="149" t="s">
        <v>207</v>
      </c>
      <c r="ET67" s="393" t="s">
        <v>208</v>
      </c>
      <c r="EU67" s="149" t="s">
        <v>209</v>
      </c>
      <c r="EV67" s="149" t="s">
        <v>210</v>
      </c>
      <c r="EW67" s="149" t="s">
        <v>211</v>
      </c>
      <c r="EX67" s="149" t="s">
        <v>212</v>
      </c>
      <c r="EY67" s="217" t="s">
        <v>213</v>
      </c>
      <c r="EZ67" s="177" t="s">
        <v>11</v>
      </c>
      <c r="FA67" s="417" t="s">
        <v>0</v>
      </c>
      <c r="FB67" s="149" t="s">
        <v>205</v>
      </c>
      <c r="FC67" s="149" t="s">
        <v>206</v>
      </c>
      <c r="FD67" s="149" t="s">
        <v>207</v>
      </c>
      <c r="FE67" s="393" t="s">
        <v>208</v>
      </c>
      <c r="FF67" s="149" t="s">
        <v>209</v>
      </c>
      <c r="FG67" s="149" t="s">
        <v>210</v>
      </c>
      <c r="FH67" s="149" t="s">
        <v>211</v>
      </c>
      <c r="FI67" s="149" t="s">
        <v>212</v>
      </c>
      <c r="FJ67" s="217" t="s">
        <v>213</v>
      </c>
      <c r="FK67" s="177" t="s">
        <v>11</v>
      </c>
      <c r="FL67" s="417" t="s">
        <v>0</v>
      </c>
      <c r="FM67" s="148" t="s">
        <v>222</v>
      </c>
      <c r="FN67" s="149" t="s">
        <v>223</v>
      </c>
      <c r="FO67" s="149" t="s">
        <v>224</v>
      </c>
      <c r="FP67" s="149" t="s">
        <v>225</v>
      </c>
      <c r="FQ67" s="149" t="s">
        <v>226</v>
      </c>
      <c r="FR67" s="149" t="s">
        <v>227</v>
      </c>
      <c r="FS67" s="149" t="s">
        <v>228</v>
      </c>
      <c r="FT67" s="149" t="s">
        <v>229</v>
      </c>
      <c r="FU67" s="149" t="s">
        <v>230</v>
      </c>
      <c r="FV67" s="149" t="s">
        <v>231</v>
      </c>
      <c r="FW67" s="149" t="s">
        <v>232</v>
      </c>
      <c r="FX67" s="149" t="s">
        <v>233</v>
      </c>
      <c r="FY67" s="149" t="s">
        <v>234</v>
      </c>
      <c r="FZ67" s="95" t="s">
        <v>11</v>
      </c>
      <c r="GA67" s="217" t="s">
        <v>0</v>
      </c>
      <c r="GB67" s="148" t="s">
        <v>222</v>
      </c>
      <c r="GC67" s="149" t="s">
        <v>238</v>
      </c>
      <c r="GD67" s="149" t="s">
        <v>239</v>
      </c>
      <c r="GE67" s="149" t="s">
        <v>240</v>
      </c>
      <c r="GF67" s="149" t="s">
        <v>241</v>
      </c>
      <c r="GG67" s="149" t="s">
        <v>242</v>
      </c>
      <c r="GH67" s="149" t="s">
        <v>243</v>
      </c>
      <c r="GI67" s="149" t="s">
        <v>244</v>
      </c>
      <c r="GJ67" s="149" t="s">
        <v>245</v>
      </c>
      <c r="GK67" s="149" t="s">
        <v>246</v>
      </c>
      <c r="GL67" s="149" t="s">
        <v>247</v>
      </c>
      <c r="GM67" s="149" t="s">
        <v>248</v>
      </c>
      <c r="GN67" s="217" t="s">
        <v>249</v>
      </c>
      <c r="GO67" s="95" t="s">
        <v>11</v>
      </c>
      <c r="GP67" s="217" t="s">
        <v>0</v>
      </c>
      <c r="GQ67" s="148" t="s">
        <v>254</v>
      </c>
      <c r="GR67" s="149" t="s">
        <v>126</v>
      </c>
      <c r="GS67" s="149" t="s">
        <v>256</v>
      </c>
      <c r="GT67" s="149" t="s">
        <v>257</v>
      </c>
      <c r="GU67" s="149" t="s">
        <v>258</v>
      </c>
      <c r="GV67" s="149" t="s">
        <v>125</v>
      </c>
      <c r="GW67" s="149" t="s">
        <v>260</v>
      </c>
      <c r="GX67" s="149" t="s">
        <v>261</v>
      </c>
      <c r="GY67" s="149" t="s">
        <v>262</v>
      </c>
      <c r="GZ67" s="149" t="s">
        <v>263</v>
      </c>
      <c r="HA67" s="149" t="s">
        <v>264</v>
      </c>
      <c r="HB67" s="149" t="s">
        <v>265</v>
      </c>
      <c r="HC67" s="149" t="s">
        <v>267</v>
      </c>
      <c r="HD67" s="149" t="s">
        <v>268</v>
      </c>
      <c r="HE67" s="149" t="s">
        <v>269</v>
      </c>
      <c r="HF67" s="149" t="s">
        <v>270</v>
      </c>
      <c r="HG67" s="149" t="s">
        <v>271</v>
      </c>
      <c r="HH67" s="149" t="s">
        <v>272</v>
      </c>
      <c r="HI67" s="149" t="s">
        <v>273</v>
      </c>
      <c r="HJ67" s="149" t="s">
        <v>274</v>
      </c>
      <c r="HK67" s="149" t="s">
        <v>275</v>
      </c>
      <c r="HL67" s="149" t="s">
        <v>276</v>
      </c>
      <c r="HM67" s="149" t="s">
        <v>277</v>
      </c>
      <c r="HN67" s="149" t="s">
        <v>279</v>
      </c>
      <c r="HO67" s="149" t="s">
        <v>280</v>
      </c>
      <c r="HP67" s="393" t="s">
        <v>282</v>
      </c>
      <c r="HQ67" s="305" t="s">
        <v>283</v>
      </c>
      <c r="HR67" s="89" t="s">
        <v>11</v>
      </c>
      <c r="HS67" s="217" t="s">
        <v>0</v>
      </c>
      <c r="HT67" s="148" t="s">
        <v>289</v>
      </c>
      <c r="HU67" s="149" t="s">
        <v>157</v>
      </c>
      <c r="HV67" s="149" t="s">
        <v>290</v>
      </c>
      <c r="HW67" s="149" t="s">
        <v>291</v>
      </c>
      <c r="HX67" s="149" t="s">
        <v>292</v>
      </c>
      <c r="HY67" s="149" t="s">
        <v>293</v>
      </c>
      <c r="HZ67" s="149" t="s">
        <v>294</v>
      </c>
      <c r="IA67" s="217" t="s">
        <v>295</v>
      </c>
      <c r="IB67" s="148" t="s">
        <v>299</v>
      </c>
      <c r="IC67" s="149" t="s">
        <v>300</v>
      </c>
      <c r="ID67" s="149" t="s">
        <v>301</v>
      </c>
      <c r="IE67" s="149" t="s">
        <v>302</v>
      </c>
      <c r="IF67" s="149" t="s">
        <v>303</v>
      </c>
      <c r="IG67" s="217" t="s">
        <v>304</v>
      </c>
      <c r="IH67" s="148" t="s">
        <v>289</v>
      </c>
      <c r="II67" s="149" t="s">
        <v>157</v>
      </c>
      <c r="IJ67" s="149" t="s">
        <v>290</v>
      </c>
      <c r="IK67" s="149" t="s">
        <v>292</v>
      </c>
      <c r="IL67" s="149" t="s">
        <v>293</v>
      </c>
      <c r="IM67" s="149" t="s">
        <v>294</v>
      </c>
      <c r="IN67" s="149" t="s">
        <v>307</v>
      </c>
      <c r="IO67" s="217" t="s">
        <v>295</v>
      </c>
      <c r="IP67" s="536" t="s">
        <v>11</v>
      </c>
      <c r="IQ67" s="148" t="s">
        <v>299</v>
      </c>
      <c r="IR67" s="149" t="s">
        <v>300</v>
      </c>
      <c r="IS67" s="149" t="s">
        <v>301</v>
      </c>
      <c r="IT67" s="149" t="s">
        <v>302</v>
      </c>
      <c r="IU67" s="149" t="s">
        <v>303</v>
      </c>
      <c r="IV67" s="393" t="s">
        <v>304</v>
      </c>
      <c r="IW67" s="90" t="s">
        <v>11</v>
      </c>
      <c r="IX67" s="216" t="s">
        <v>313</v>
      </c>
      <c r="IY67" s="149" t="s">
        <v>157</v>
      </c>
      <c r="IZ67" s="149" t="s">
        <v>314</v>
      </c>
      <c r="JA67" s="149" t="s">
        <v>292</v>
      </c>
      <c r="JB67" s="149" t="s">
        <v>293</v>
      </c>
      <c r="JC67" s="149" t="s">
        <v>315</v>
      </c>
      <c r="JD67" s="149" t="s">
        <v>307</v>
      </c>
      <c r="JE67" s="393" t="s">
        <v>295</v>
      </c>
      <c r="JF67" s="90" t="s">
        <v>11</v>
      </c>
      <c r="JG67" s="539" t="s">
        <v>289</v>
      </c>
      <c r="JH67" s="537" t="s">
        <v>157</v>
      </c>
      <c r="JI67" s="537" t="s">
        <v>290</v>
      </c>
      <c r="JJ67" s="537" t="s">
        <v>291</v>
      </c>
      <c r="JK67" s="537" t="s">
        <v>292</v>
      </c>
      <c r="JL67" s="537" t="s">
        <v>293</v>
      </c>
      <c r="JM67" s="537" t="s">
        <v>294</v>
      </c>
      <c r="JN67" s="540" t="s">
        <v>295</v>
      </c>
      <c r="JO67" s="90" t="s">
        <v>11</v>
      </c>
      <c r="JP67" s="148" t="s">
        <v>299</v>
      </c>
      <c r="JQ67" s="149" t="s">
        <v>300</v>
      </c>
      <c r="JR67" s="149" t="s">
        <v>301</v>
      </c>
      <c r="JS67" s="149" t="s">
        <v>302</v>
      </c>
      <c r="JT67" s="149" t="s">
        <v>303</v>
      </c>
      <c r="JU67" s="217" t="s">
        <v>304</v>
      </c>
      <c r="JV67" s="90" t="s">
        <v>11</v>
      </c>
      <c r="JW67" s="417" t="s">
        <v>0</v>
      </c>
      <c r="JX67" s="148" t="s">
        <v>368</v>
      </c>
      <c r="JY67" s="149" t="s">
        <v>369</v>
      </c>
      <c r="JZ67" s="149" t="s">
        <v>370</v>
      </c>
      <c r="KA67" s="149" t="s">
        <v>371</v>
      </c>
      <c r="KB67" s="149" t="s">
        <v>372</v>
      </c>
      <c r="KC67" s="149" t="s">
        <v>373</v>
      </c>
      <c r="KD67" s="217" t="s">
        <v>374</v>
      </c>
      <c r="KE67" s="90" t="s">
        <v>11</v>
      </c>
      <c r="KF67" s="148" t="s">
        <v>368</v>
      </c>
      <c r="KG67" s="149" t="s">
        <v>369</v>
      </c>
      <c r="KH67" s="149" t="s">
        <v>371</v>
      </c>
      <c r="KI67" s="149" t="s">
        <v>372</v>
      </c>
      <c r="KJ67" s="149" t="s">
        <v>373</v>
      </c>
      <c r="KK67" s="217" t="s">
        <v>377</v>
      </c>
      <c r="KL67" s="90" t="s">
        <v>11</v>
      </c>
      <c r="KM67" s="148" t="s">
        <v>368</v>
      </c>
      <c r="KN67" s="149" t="s">
        <v>369</v>
      </c>
      <c r="KO67" s="149" t="s">
        <v>371</v>
      </c>
      <c r="KP67" s="149" t="s">
        <v>372</v>
      </c>
      <c r="KQ67" s="149" t="s">
        <v>373</v>
      </c>
      <c r="KR67" s="217" t="s">
        <v>377</v>
      </c>
      <c r="KS67" s="90" t="s">
        <v>11</v>
      </c>
      <c r="KT67" s="148" t="s">
        <v>368</v>
      </c>
      <c r="KU67" s="149" t="s">
        <v>369</v>
      </c>
      <c r="KV67" s="149" t="s">
        <v>371</v>
      </c>
      <c r="KW67" s="149" t="s">
        <v>372</v>
      </c>
      <c r="KX67" s="149" t="s">
        <v>373</v>
      </c>
      <c r="KY67" s="217" t="s">
        <v>377</v>
      </c>
      <c r="KZ67" s="90" t="s">
        <v>11</v>
      </c>
      <c r="LA67" s="90" t="s">
        <v>0</v>
      </c>
      <c r="LB67" s="148" t="s">
        <v>337</v>
      </c>
      <c r="LC67" s="149" t="s">
        <v>338</v>
      </c>
      <c r="LD67" s="149" t="s">
        <v>339</v>
      </c>
      <c r="LE67" s="149" t="s">
        <v>340</v>
      </c>
      <c r="LF67" s="149" t="s">
        <v>341</v>
      </c>
      <c r="LG67" s="149" t="s">
        <v>342</v>
      </c>
      <c r="LH67" s="217" t="s">
        <v>343</v>
      </c>
      <c r="LI67" s="90" t="s">
        <v>11</v>
      </c>
      <c r="LJ67" s="148" t="s">
        <v>347</v>
      </c>
      <c r="LK67" s="149" t="s">
        <v>348</v>
      </c>
      <c r="LL67" s="149" t="s">
        <v>349</v>
      </c>
      <c r="LM67" s="149" t="s">
        <v>347</v>
      </c>
      <c r="LN67" s="149" t="s">
        <v>348</v>
      </c>
      <c r="LO67" s="217" t="s">
        <v>349</v>
      </c>
      <c r="LP67" s="90" t="s">
        <v>11</v>
      </c>
      <c r="LQ67" s="148" t="s">
        <v>175</v>
      </c>
      <c r="LR67" s="149" t="s">
        <v>352</v>
      </c>
      <c r="LS67" s="149" t="s">
        <v>353</v>
      </c>
      <c r="LT67" s="149" t="s">
        <v>354</v>
      </c>
      <c r="LU67" s="149" t="s">
        <v>355</v>
      </c>
      <c r="LV67" s="149" t="s">
        <v>180</v>
      </c>
      <c r="LW67" s="149" t="s">
        <v>356</v>
      </c>
      <c r="LX67" s="149" t="s">
        <v>357</v>
      </c>
      <c r="LY67" s="149" t="s">
        <v>358</v>
      </c>
      <c r="LZ67" s="149" t="s">
        <v>180</v>
      </c>
      <c r="MA67" s="217" t="s">
        <v>359</v>
      </c>
      <c r="MB67" s="90" t="s">
        <v>11</v>
      </c>
      <c r="MC67" s="90" t="s">
        <v>0</v>
      </c>
      <c r="MD67" s="148" t="s">
        <v>385</v>
      </c>
      <c r="ME67" s="149" t="s">
        <v>386</v>
      </c>
      <c r="MF67" s="149" t="s">
        <v>387</v>
      </c>
      <c r="MG67" s="149" t="s">
        <v>388</v>
      </c>
      <c r="MH67" s="149" t="s">
        <v>389</v>
      </c>
      <c r="MI67" s="149" t="s">
        <v>390</v>
      </c>
      <c r="MJ67" s="149" t="s">
        <v>391</v>
      </c>
      <c r="MK67" s="149" t="s">
        <v>392</v>
      </c>
      <c r="ML67" s="149" t="s">
        <v>393</v>
      </c>
      <c r="MM67" s="149" t="s">
        <v>394</v>
      </c>
      <c r="MN67" s="149" t="s">
        <v>395</v>
      </c>
      <c r="MO67" s="149" t="s">
        <v>396</v>
      </c>
      <c r="MP67" s="149" t="s">
        <v>397</v>
      </c>
      <c r="MQ67" s="149" t="s">
        <v>398</v>
      </c>
      <c r="MR67" s="149" t="s">
        <v>399</v>
      </c>
      <c r="MS67" s="149" t="s">
        <v>400</v>
      </c>
      <c r="MT67" s="149" t="s">
        <v>401</v>
      </c>
      <c r="MU67" s="149" t="s">
        <v>402</v>
      </c>
      <c r="MV67" s="149" t="s">
        <v>403</v>
      </c>
      <c r="MW67" s="149" t="s">
        <v>404</v>
      </c>
      <c r="MX67" s="149" t="s">
        <v>405</v>
      </c>
      <c r="MY67" s="149" t="s">
        <v>406</v>
      </c>
      <c r="MZ67" s="149" t="s">
        <v>407</v>
      </c>
      <c r="NA67" s="149" t="s">
        <v>408</v>
      </c>
      <c r="NB67" s="149" t="s">
        <v>409</v>
      </c>
      <c r="NC67" s="149" t="s">
        <v>410</v>
      </c>
      <c r="ND67" s="149" t="s">
        <v>411</v>
      </c>
      <c r="NE67" s="149" t="s">
        <v>412</v>
      </c>
      <c r="NF67" s="149" t="s">
        <v>413</v>
      </c>
      <c r="NG67" s="149" t="s">
        <v>414</v>
      </c>
      <c r="NH67" s="149" t="s">
        <v>415</v>
      </c>
      <c r="NI67" s="149" t="s">
        <v>440</v>
      </c>
      <c r="NJ67" s="149" t="s">
        <v>417</v>
      </c>
      <c r="NK67" s="149" t="s">
        <v>418</v>
      </c>
      <c r="NL67" s="149" t="s">
        <v>419</v>
      </c>
      <c r="NM67" s="149" t="s">
        <v>420</v>
      </c>
      <c r="NN67" s="149" t="s">
        <v>421</v>
      </c>
      <c r="NO67" s="149" t="s">
        <v>422</v>
      </c>
      <c r="NP67" s="149" t="s">
        <v>423</v>
      </c>
      <c r="NQ67" s="149" t="s">
        <v>424</v>
      </c>
      <c r="NR67" s="149" t="s">
        <v>425</v>
      </c>
      <c r="NS67" s="149" t="s">
        <v>426</v>
      </c>
      <c r="NT67" s="149" t="s">
        <v>427</v>
      </c>
      <c r="NU67" s="149" t="s">
        <v>428</v>
      </c>
      <c r="NV67" s="149" t="s">
        <v>429</v>
      </c>
      <c r="NW67" s="149" t="s">
        <v>430</v>
      </c>
      <c r="NX67" s="149" t="s">
        <v>431</v>
      </c>
      <c r="NY67" s="149" t="s">
        <v>432</v>
      </c>
      <c r="NZ67" s="149" t="s">
        <v>433</v>
      </c>
      <c r="OA67" s="149" t="s">
        <v>434</v>
      </c>
      <c r="OB67" s="149" t="s">
        <v>435</v>
      </c>
      <c r="OC67" s="149" t="s">
        <v>436</v>
      </c>
      <c r="OD67" s="217" t="s">
        <v>437</v>
      </c>
      <c r="OE67" s="90" t="s">
        <v>11</v>
      </c>
      <c r="OF67" s="90" t="s">
        <v>0</v>
      </c>
      <c r="OG67" s="148" t="s">
        <v>444</v>
      </c>
      <c r="OH67" s="149" t="s">
        <v>445</v>
      </c>
      <c r="OI67" s="149" t="s">
        <v>446</v>
      </c>
      <c r="OJ67" s="149" t="s">
        <v>447</v>
      </c>
      <c r="OK67" s="149" t="s">
        <v>448</v>
      </c>
      <c r="OL67" s="149" t="s">
        <v>449</v>
      </c>
      <c r="OM67" s="149" t="s">
        <v>450</v>
      </c>
      <c r="ON67" s="149" t="s">
        <v>451</v>
      </c>
      <c r="OO67" s="149" t="s">
        <v>452</v>
      </c>
      <c r="OP67" s="149" t="s">
        <v>453</v>
      </c>
      <c r="OQ67" s="149" t="s">
        <v>454</v>
      </c>
      <c r="OR67" s="149" t="s">
        <v>447</v>
      </c>
      <c r="OS67" s="149" t="s">
        <v>448</v>
      </c>
      <c r="OT67" s="149" t="s">
        <v>455</v>
      </c>
      <c r="OU67" s="149" t="s">
        <v>456</v>
      </c>
      <c r="OV67" s="149" t="s">
        <v>457</v>
      </c>
      <c r="OW67" s="149" t="s">
        <v>458</v>
      </c>
      <c r="OX67" s="149" t="s">
        <v>459</v>
      </c>
      <c r="OY67" s="149" t="s">
        <v>457</v>
      </c>
      <c r="OZ67" s="149" t="s">
        <v>458</v>
      </c>
      <c r="PA67" s="149" t="s">
        <v>460</v>
      </c>
      <c r="PB67" s="149" t="s">
        <v>461</v>
      </c>
      <c r="PC67" s="217" t="s">
        <v>462</v>
      </c>
      <c r="PD67" s="90" t="s">
        <v>11</v>
      </c>
      <c r="PE67" s="148" t="s">
        <v>469</v>
      </c>
      <c r="PF67" s="149" t="s">
        <v>454</v>
      </c>
      <c r="PG67" s="149" t="s">
        <v>470</v>
      </c>
      <c r="PH67" s="149" t="s">
        <v>471</v>
      </c>
      <c r="PI67" s="149" t="s">
        <v>473</v>
      </c>
      <c r="PJ67" s="149" t="s">
        <v>474</v>
      </c>
      <c r="PK67" s="149" t="s">
        <v>475</v>
      </c>
      <c r="PL67" s="149" t="s">
        <v>476</v>
      </c>
      <c r="PM67" s="149" t="s">
        <v>477</v>
      </c>
      <c r="PN67" s="149" t="s">
        <v>478</v>
      </c>
      <c r="PO67" s="149" t="s">
        <v>494</v>
      </c>
      <c r="PP67" s="149" t="s">
        <v>495</v>
      </c>
      <c r="PQ67" s="149" t="s">
        <v>479</v>
      </c>
      <c r="PR67" s="149" t="s">
        <v>481</v>
      </c>
      <c r="PS67" s="149" t="s">
        <v>445</v>
      </c>
      <c r="PT67" s="149" t="s">
        <v>482</v>
      </c>
      <c r="PU67" s="149" t="s">
        <v>483</v>
      </c>
      <c r="PV67" s="149" t="s">
        <v>993</v>
      </c>
      <c r="PW67" s="149" t="s">
        <v>484</v>
      </c>
      <c r="PX67" s="149" t="s">
        <v>994</v>
      </c>
      <c r="PY67" s="149" t="s">
        <v>982</v>
      </c>
      <c r="PZ67" s="149" t="s">
        <v>485</v>
      </c>
      <c r="QA67" s="149" t="s">
        <v>506</v>
      </c>
      <c r="QB67" s="149" t="s">
        <v>500</v>
      </c>
      <c r="QC67" s="149" t="s">
        <v>983</v>
      </c>
      <c r="QD67" s="149" t="s">
        <v>486</v>
      </c>
      <c r="QE67" s="217" t="s">
        <v>487</v>
      </c>
      <c r="QF67" s="1738" t="s">
        <v>11</v>
      </c>
      <c r="QG67" s="148" t="s">
        <v>490</v>
      </c>
      <c r="QH67" s="149" t="s">
        <v>454</v>
      </c>
      <c r="QI67" s="149" t="s">
        <v>470</v>
      </c>
      <c r="QJ67" s="149" t="s">
        <v>471</v>
      </c>
      <c r="QK67" s="149" t="s">
        <v>491</v>
      </c>
      <c r="QL67" s="149" t="s">
        <v>492</v>
      </c>
      <c r="QM67" s="149" t="s">
        <v>493</v>
      </c>
      <c r="QN67" s="149" t="s">
        <v>505</v>
      </c>
      <c r="QO67" s="149" t="s">
        <v>474</v>
      </c>
      <c r="QP67" s="149" t="s">
        <v>475</v>
      </c>
      <c r="QQ67" s="149" t="s">
        <v>476</v>
      </c>
      <c r="QR67" s="149" t="s">
        <v>477</v>
      </c>
      <c r="QS67" s="149" t="s">
        <v>478</v>
      </c>
      <c r="QT67" s="149" t="s">
        <v>494</v>
      </c>
      <c r="QU67" s="149" t="s">
        <v>495</v>
      </c>
      <c r="QV67" s="149" t="s">
        <v>479</v>
      </c>
      <c r="QW67" s="149" t="s">
        <v>496</v>
      </c>
      <c r="QX67" s="149" t="s">
        <v>497</v>
      </c>
      <c r="QY67" s="149" t="s">
        <v>498</v>
      </c>
      <c r="QZ67" s="149" t="s">
        <v>499</v>
      </c>
      <c r="RA67" s="149" t="s">
        <v>982</v>
      </c>
      <c r="RB67" s="149" t="s">
        <v>485</v>
      </c>
      <c r="RC67" s="149" t="s">
        <v>506</v>
      </c>
      <c r="RD67" s="149" t="s">
        <v>500</v>
      </c>
      <c r="RE67" s="149" t="s">
        <v>983</v>
      </c>
      <c r="RF67" s="149" t="s">
        <v>984</v>
      </c>
      <c r="RG67" s="149" t="s">
        <v>486</v>
      </c>
      <c r="RH67" s="149" t="s">
        <v>487</v>
      </c>
      <c r="RI67" s="149" t="s">
        <v>985</v>
      </c>
      <c r="RJ67" s="149" t="s">
        <v>986</v>
      </c>
      <c r="RK67" s="149" t="s">
        <v>987</v>
      </c>
      <c r="RL67" s="149" t="s">
        <v>988</v>
      </c>
      <c r="RM67" s="217" t="s">
        <v>989</v>
      </c>
      <c r="RN67" s="90" t="s">
        <v>11</v>
      </c>
      <c r="RO67" s="148" t="s">
        <v>718</v>
      </c>
      <c r="RP67" s="217" t="s">
        <v>719</v>
      </c>
      <c r="RQ67" s="90" t="s">
        <v>11</v>
      </c>
      <c r="RR67" s="217" t="s">
        <v>1007</v>
      </c>
      <c r="RS67" s="90" t="s">
        <v>11</v>
      </c>
      <c r="RT67" s="90" t="s">
        <v>0</v>
      </c>
      <c r="RU67" s="148" t="s">
        <v>718</v>
      </c>
      <c r="RV67" s="217" t="s">
        <v>1052</v>
      </c>
      <c r="RW67" s="90" t="s">
        <v>11</v>
      </c>
      <c r="RX67" s="90" t="s">
        <v>0</v>
      </c>
      <c r="RY67" s="90" t="s">
        <v>1064</v>
      </c>
      <c r="RZ67" s="217" t="s">
        <v>1065</v>
      </c>
      <c r="SA67" s="90" t="s">
        <v>1066</v>
      </c>
      <c r="SB67" s="90" t="s">
        <v>11</v>
      </c>
    </row>
    <row r="68" spans="1:496" ht="12.6" thickTop="1">
      <c r="A68" s="41">
        <f>YEAR(B68)</f>
        <v>2000</v>
      </c>
      <c r="B68" s="1504">
        <v>36526</v>
      </c>
      <c r="C68" s="1809"/>
      <c r="D68" s="1810"/>
      <c r="E68" s="1810"/>
      <c r="F68" s="1811"/>
      <c r="G68" s="1810"/>
      <c r="H68" s="1810"/>
      <c r="I68" s="1810"/>
      <c r="J68" s="1812"/>
      <c r="K68" s="1806"/>
      <c r="L68" s="24">
        <v>1</v>
      </c>
      <c r="M68" s="97"/>
      <c r="N68" s="1504">
        <v>36526</v>
      </c>
      <c r="O68" s="17"/>
      <c r="P68" s="92"/>
      <c r="Q68" s="92"/>
      <c r="R68" s="92"/>
      <c r="S68" s="92"/>
      <c r="T68" s="92"/>
      <c r="U68" s="92"/>
      <c r="V68" s="92"/>
      <c r="W68" s="92"/>
      <c r="X68" s="92"/>
      <c r="Y68" s="92"/>
      <c r="Z68" s="92"/>
      <c r="AA68" s="92"/>
      <c r="AB68" s="18"/>
      <c r="AC68" s="24">
        <v>1</v>
      </c>
      <c r="AD68" s="97"/>
      <c r="AE68" s="1504">
        <v>36526</v>
      </c>
      <c r="AF68" s="17"/>
      <c r="AG68" s="92"/>
      <c r="AH68" s="92"/>
      <c r="AI68" s="92"/>
      <c r="AJ68" s="92"/>
      <c r="AK68" s="92"/>
      <c r="AL68" s="92"/>
      <c r="AM68" s="92"/>
      <c r="AN68" s="92"/>
      <c r="AO68" s="92"/>
      <c r="AP68" s="92"/>
      <c r="AQ68" s="92"/>
      <c r="AR68" s="92"/>
      <c r="AS68" s="18"/>
      <c r="AT68" s="24">
        <v>1</v>
      </c>
      <c r="AU68" s="97"/>
      <c r="AV68" s="1504">
        <v>36526</v>
      </c>
      <c r="AW68" s="17"/>
      <c r="AX68" s="92"/>
      <c r="AY68" s="92"/>
      <c r="AZ68" s="92"/>
      <c r="BA68" s="92"/>
      <c r="BB68" s="92"/>
      <c r="BC68" s="92"/>
      <c r="BD68" s="92"/>
      <c r="BE68" s="92"/>
      <c r="BF68" s="92"/>
      <c r="BG68" s="92"/>
      <c r="BH68" s="92"/>
      <c r="BI68" s="92"/>
      <c r="BJ68" s="18"/>
      <c r="BK68" s="24">
        <v>1</v>
      </c>
      <c r="BL68" s="97"/>
      <c r="BM68" s="1504">
        <v>36526</v>
      </c>
      <c r="BN68" s="19"/>
      <c r="BO68" s="93"/>
      <c r="BP68" s="93"/>
      <c r="BQ68" s="93"/>
      <c r="BR68" s="93"/>
      <c r="BS68" s="93"/>
      <c r="BT68" s="93"/>
      <c r="BU68" s="18"/>
      <c r="BV68" s="24">
        <v>1</v>
      </c>
      <c r="BW68" s="97"/>
      <c r="BX68" s="1504">
        <v>36526</v>
      </c>
      <c r="BY68" s="17"/>
      <c r="BZ68" s="185">
        <v>664.95699999999999</v>
      </c>
      <c r="CA68" s="92"/>
      <c r="CB68" s="92"/>
      <c r="CC68" s="92"/>
      <c r="CD68" s="24">
        <v>1</v>
      </c>
      <c r="CE68" s="97"/>
      <c r="CF68" s="1504">
        <v>36526</v>
      </c>
      <c r="CG68" s="17">
        <v>1.0457000000000001</v>
      </c>
      <c r="CH68" s="92">
        <v>284.32</v>
      </c>
      <c r="CI68" s="218"/>
      <c r="CJ68" s="18"/>
      <c r="CK68" s="17"/>
      <c r="CL68" s="92"/>
      <c r="CM68" s="92"/>
      <c r="CN68" s="92"/>
      <c r="CO68" s="92"/>
      <c r="CP68" s="18"/>
      <c r="CQ68" s="218">
        <v>676.08</v>
      </c>
      <c r="CR68" s="92">
        <v>1.8759999999999999</v>
      </c>
      <c r="CS68" s="92"/>
      <c r="CT68" s="92"/>
      <c r="CU68" s="92"/>
      <c r="CV68" s="213"/>
      <c r="CW68" s="28">
        <v>1</v>
      </c>
      <c r="CX68" s="41">
        <f>YEAR(CY68)</f>
        <v>2000</v>
      </c>
      <c r="CY68" s="1504">
        <v>36526</v>
      </c>
      <c r="CZ68" s="17"/>
      <c r="DA68" s="92"/>
      <c r="DB68" s="92"/>
      <c r="DC68" s="92"/>
      <c r="DD68" s="92"/>
      <c r="DE68" s="18"/>
      <c r="DF68" s="28">
        <v>1</v>
      </c>
      <c r="DG68" s="1504">
        <v>36526</v>
      </c>
      <c r="DH68" s="17"/>
      <c r="DI68" s="92"/>
      <c r="DJ68" s="92"/>
      <c r="DK68" s="92"/>
      <c r="DL68" s="92"/>
      <c r="DM68" s="92"/>
      <c r="DN68" s="18"/>
      <c r="DO68" s="25"/>
      <c r="DP68" s="29">
        <v>1</v>
      </c>
      <c r="DQ68" s="1504">
        <v>36526</v>
      </c>
      <c r="DR68" s="17"/>
      <c r="DS68" s="92"/>
      <c r="DT68" s="92"/>
      <c r="DU68" s="92"/>
      <c r="DV68" s="92"/>
      <c r="DW68" s="92"/>
      <c r="DX68" s="18"/>
      <c r="DY68" s="29">
        <v>1</v>
      </c>
      <c r="DZ68" s="1504">
        <v>36526</v>
      </c>
      <c r="EA68" s="17"/>
      <c r="EB68" s="92"/>
      <c r="EC68" s="18"/>
      <c r="ED68" s="29">
        <v>1</v>
      </c>
      <c r="EE68" s="1504">
        <v>36526</v>
      </c>
      <c r="EF68" s="17"/>
      <c r="EG68" s="92"/>
      <c r="EH68" s="92"/>
      <c r="EI68" s="213"/>
      <c r="EJ68" s="93"/>
      <c r="EK68" s="93"/>
      <c r="EL68" s="93"/>
      <c r="EM68" s="93"/>
      <c r="EN68" s="20"/>
      <c r="EO68" s="29">
        <v>1</v>
      </c>
      <c r="EP68" s="1504">
        <v>36526</v>
      </c>
      <c r="EQ68" s="17"/>
      <c r="ER68" s="92"/>
      <c r="ES68" s="92"/>
      <c r="ET68" s="213"/>
      <c r="EU68" s="93"/>
      <c r="EV68" s="93"/>
      <c r="EW68" s="93"/>
      <c r="EX68" s="93"/>
      <c r="EY68" s="20"/>
      <c r="EZ68" s="29">
        <v>1</v>
      </c>
      <c r="FA68" s="1504">
        <v>36526</v>
      </c>
      <c r="FB68" s="29"/>
      <c r="FC68" s="29"/>
      <c r="FD68" s="29"/>
      <c r="FE68" s="29"/>
      <c r="FF68" s="29"/>
      <c r="FG68" s="29"/>
      <c r="FH68" s="29"/>
      <c r="FI68" s="29"/>
      <c r="FJ68" s="29"/>
      <c r="FK68" s="29">
        <v>1</v>
      </c>
      <c r="FL68" s="1504">
        <v>36526</v>
      </c>
      <c r="FM68" s="17"/>
      <c r="FN68" s="92"/>
      <c r="FO68" s="92"/>
      <c r="FP68" s="92"/>
      <c r="FQ68" s="92"/>
      <c r="FR68" s="92"/>
      <c r="FS68" s="92"/>
      <c r="FT68" s="92"/>
      <c r="FU68" s="92"/>
      <c r="FV68" s="92"/>
      <c r="FW68" s="92"/>
      <c r="FX68" s="92"/>
      <c r="FY68" s="92"/>
      <c r="FZ68" s="29">
        <v>1</v>
      </c>
      <c r="GA68" s="1504">
        <v>36526</v>
      </c>
      <c r="GB68" s="19"/>
      <c r="GC68" s="93"/>
      <c r="GD68" s="93"/>
      <c r="GE68" s="93"/>
      <c r="GF68" s="93"/>
      <c r="GG68" s="93"/>
      <c r="GH68" s="93"/>
      <c r="GI68" s="93"/>
      <c r="GJ68" s="93"/>
      <c r="GK68" s="93"/>
      <c r="GL68" s="93"/>
      <c r="GM68" s="93"/>
      <c r="GN68" s="20"/>
      <c r="GO68" s="29">
        <v>1</v>
      </c>
      <c r="GP68" s="1504">
        <v>36526</v>
      </c>
      <c r="GQ68" s="17"/>
      <c r="GR68" s="92"/>
      <c r="GS68" s="92"/>
      <c r="GT68" s="92"/>
      <c r="GU68" s="92"/>
      <c r="GV68" s="18"/>
      <c r="GW68" s="17"/>
      <c r="GX68" s="92"/>
      <c r="GY68" s="92"/>
      <c r="GZ68" s="92"/>
      <c r="HA68" s="92"/>
      <c r="HB68" s="18"/>
      <c r="HC68" s="17"/>
      <c r="HD68" s="92"/>
      <c r="HE68" s="92"/>
      <c r="HF68" s="92"/>
      <c r="HG68" s="92"/>
      <c r="HH68" s="18"/>
      <c r="HI68" s="17"/>
      <c r="HJ68" s="92"/>
      <c r="HK68" s="92"/>
      <c r="HL68" s="92"/>
      <c r="HM68" s="92"/>
      <c r="HN68" s="18"/>
      <c r="HO68" s="218"/>
      <c r="HP68" s="18"/>
      <c r="HQ68" s="25"/>
      <c r="HR68" s="29">
        <v>1</v>
      </c>
      <c r="HS68" s="1504">
        <v>36526</v>
      </c>
      <c r="HT68" s="17"/>
      <c r="HU68" s="92"/>
      <c r="HV68" s="92"/>
      <c r="HW68" s="92"/>
      <c r="HX68" s="92"/>
      <c r="HY68" s="92"/>
      <c r="HZ68" s="92"/>
      <c r="IA68" s="18"/>
      <c r="IB68" s="17"/>
      <c r="IC68" s="92"/>
      <c r="ID68" s="92"/>
      <c r="IE68" s="92"/>
      <c r="IF68" s="92"/>
      <c r="IG68" s="18"/>
      <c r="IH68" s="17"/>
      <c r="II68" s="92"/>
      <c r="IJ68" s="92"/>
      <c r="IK68" s="92"/>
      <c r="IL68" s="92"/>
      <c r="IM68" s="92"/>
      <c r="IN68" s="92"/>
      <c r="IO68" s="18"/>
      <c r="IP68" s="29">
        <v>1</v>
      </c>
      <c r="IQ68" s="17"/>
      <c r="IR68" s="92"/>
      <c r="IS68" s="92"/>
      <c r="IT68" s="92"/>
      <c r="IU68" s="92"/>
      <c r="IV68" s="18"/>
      <c r="IW68" s="29">
        <v>1</v>
      </c>
      <c r="IX68" s="17"/>
      <c r="IY68" s="92"/>
      <c r="IZ68" s="92"/>
      <c r="JA68" s="92"/>
      <c r="JB68" s="92"/>
      <c r="JC68" s="92"/>
      <c r="JD68" s="92"/>
      <c r="JE68" s="18"/>
      <c r="JF68" s="29">
        <v>1</v>
      </c>
      <c r="JG68" s="17"/>
      <c r="JH68" s="92"/>
      <c r="JI68" s="92"/>
      <c r="JJ68" s="92"/>
      <c r="JK68" s="92"/>
      <c r="JL68" s="92"/>
      <c r="JM68" s="92"/>
      <c r="JN68" s="18"/>
      <c r="JO68" s="29">
        <v>1</v>
      </c>
      <c r="JP68" s="17"/>
      <c r="JQ68" s="92"/>
      <c r="JR68" s="92"/>
      <c r="JS68" s="92"/>
      <c r="JT68" s="92"/>
      <c r="JU68" s="18"/>
      <c r="JV68" s="29">
        <v>1</v>
      </c>
      <c r="JW68" s="1504">
        <v>36526</v>
      </c>
      <c r="JX68" s="17"/>
      <c r="JY68" s="92"/>
      <c r="JZ68" s="92"/>
      <c r="KA68" s="92"/>
      <c r="KB68" s="92"/>
      <c r="KC68" s="92"/>
      <c r="KD68" s="18"/>
      <c r="KE68" s="29">
        <v>1</v>
      </c>
      <c r="KF68" s="17"/>
      <c r="KG68" s="92"/>
      <c r="KH68" s="92"/>
      <c r="KI68" s="92"/>
      <c r="KJ68" s="92"/>
      <c r="KK68" s="18"/>
      <c r="KL68" s="29">
        <v>1</v>
      </c>
      <c r="KM68" s="17"/>
      <c r="KN68" s="92"/>
      <c r="KO68" s="92"/>
      <c r="KP68" s="92"/>
      <c r="KQ68" s="92"/>
      <c r="KR68" s="18"/>
      <c r="KS68" s="29">
        <v>1</v>
      </c>
      <c r="KT68" s="17"/>
      <c r="KU68" s="92"/>
      <c r="KV68" s="92"/>
      <c r="KW68" s="92"/>
      <c r="KX68" s="92"/>
      <c r="KY68" s="18"/>
      <c r="KZ68" s="29">
        <v>1</v>
      </c>
      <c r="LA68" s="1504">
        <v>36526</v>
      </c>
      <c r="LB68" s="17"/>
      <c r="LC68" s="92"/>
      <c r="LD68" s="92"/>
      <c r="LE68" s="92"/>
      <c r="LF68" s="92"/>
      <c r="LG68" s="92"/>
      <c r="LH68" s="18"/>
      <c r="LI68" s="29">
        <v>1</v>
      </c>
      <c r="LJ68" s="17"/>
      <c r="LK68" s="92"/>
      <c r="LL68" s="92"/>
      <c r="LM68" s="92"/>
      <c r="LN68" s="92"/>
      <c r="LO68" s="18"/>
      <c r="LP68" s="29">
        <v>1</v>
      </c>
      <c r="LQ68" s="17"/>
      <c r="LR68" s="92"/>
      <c r="LS68" s="92"/>
      <c r="LT68" s="92"/>
      <c r="LU68" s="92"/>
      <c r="LV68" s="92"/>
      <c r="LW68" s="92"/>
      <c r="LX68" s="92"/>
      <c r="LY68" s="92"/>
      <c r="LZ68" s="92"/>
      <c r="MA68" s="18"/>
      <c r="MB68" s="29">
        <v>1</v>
      </c>
      <c r="MC68" s="1504">
        <v>36526</v>
      </c>
      <c r="MD68" s="17"/>
      <c r="ME68" s="92"/>
      <c r="MF68" s="92"/>
      <c r="MG68" s="92"/>
      <c r="MH68" s="92"/>
      <c r="MI68" s="92"/>
      <c r="MJ68" s="92"/>
      <c r="MK68" s="92"/>
      <c r="ML68" s="92"/>
      <c r="MM68" s="92"/>
      <c r="MN68" s="92"/>
      <c r="MO68" s="92"/>
      <c r="MP68" s="92"/>
      <c r="MQ68" s="92"/>
      <c r="MR68" s="92"/>
      <c r="MS68" s="92"/>
      <c r="MT68" s="92"/>
      <c r="MU68" s="92"/>
      <c r="MV68" s="92"/>
      <c r="MW68" s="92"/>
      <c r="MX68" s="92"/>
      <c r="MY68" s="92"/>
      <c r="MZ68" s="92"/>
      <c r="NA68" s="92"/>
      <c r="NB68" s="92"/>
      <c r="NC68" s="92"/>
      <c r="ND68" s="92"/>
      <c r="NE68" s="92"/>
      <c r="NF68" s="92"/>
      <c r="NG68" s="92"/>
      <c r="NH68" s="92"/>
      <c r="NI68" s="92"/>
      <c r="NJ68" s="92"/>
      <c r="NK68" s="92"/>
      <c r="NL68" s="92"/>
      <c r="NM68" s="92"/>
      <c r="NN68" s="92"/>
      <c r="NO68" s="92"/>
      <c r="NP68" s="92"/>
      <c r="NQ68" s="92"/>
      <c r="NR68" s="92"/>
      <c r="NS68" s="92"/>
      <c r="NT68" s="92"/>
      <c r="NU68" s="92"/>
      <c r="NV68" s="92"/>
      <c r="NW68" s="92"/>
      <c r="NX68" s="92"/>
      <c r="NY68" s="92"/>
      <c r="NZ68" s="92"/>
      <c r="OA68" s="92"/>
      <c r="OB68" s="92"/>
      <c r="OC68" s="92"/>
      <c r="OD68" s="18"/>
      <c r="OE68" s="29">
        <v>1</v>
      </c>
      <c r="OF68" s="1504">
        <v>36526</v>
      </c>
      <c r="OG68" s="17"/>
      <c r="OH68" s="92"/>
      <c r="OI68" s="92"/>
      <c r="OJ68" s="92"/>
      <c r="OK68" s="92"/>
      <c r="OL68" s="92"/>
      <c r="OM68" s="92"/>
      <c r="ON68" s="92"/>
      <c r="OO68" s="92"/>
      <c r="OP68" s="92"/>
      <c r="OQ68" s="92"/>
      <c r="OR68" s="92"/>
      <c r="OS68" s="92"/>
      <c r="OT68" s="92"/>
      <c r="OU68" s="92"/>
      <c r="OV68" s="92"/>
      <c r="OW68" s="92"/>
      <c r="OX68" s="92"/>
      <c r="OY68" s="92"/>
      <c r="OZ68" s="92"/>
      <c r="PA68" s="92"/>
      <c r="PB68" s="92"/>
      <c r="PC68" s="18"/>
      <c r="PD68" s="29">
        <v>1</v>
      </c>
      <c r="PE68" s="17"/>
      <c r="PF68" s="92"/>
      <c r="PG68" s="92"/>
      <c r="PH68" s="92"/>
      <c r="PI68" s="92"/>
      <c r="PJ68" s="92"/>
      <c r="PK68" s="92"/>
      <c r="PL68" s="92"/>
      <c r="PM68" s="92"/>
      <c r="PN68" s="92"/>
      <c r="PO68" s="92"/>
      <c r="PP68" s="92"/>
      <c r="PQ68" s="92"/>
      <c r="PR68" s="92"/>
      <c r="PS68" s="92"/>
      <c r="PT68" s="92"/>
      <c r="PU68" s="92"/>
      <c r="PV68" s="92"/>
      <c r="PW68" s="92"/>
      <c r="PX68" s="92"/>
      <c r="PY68" s="92"/>
      <c r="PZ68" s="92"/>
      <c r="QA68" s="92"/>
      <c r="QB68" s="92"/>
      <c r="QC68" s="92"/>
      <c r="QD68" s="92"/>
      <c r="QE68" s="18"/>
      <c r="QF68" s="1739">
        <v>1</v>
      </c>
      <c r="QG68" s="17"/>
      <c r="QH68" s="92"/>
      <c r="QI68" s="92"/>
      <c r="QJ68" s="92"/>
      <c r="QK68" s="92"/>
      <c r="QL68" s="92"/>
      <c r="QM68" s="92"/>
      <c r="QN68" s="92"/>
      <c r="QO68" s="92"/>
      <c r="QP68" s="92"/>
      <c r="QQ68" s="92"/>
      <c r="QR68" s="92"/>
      <c r="QS68" s="92"/>
      <c r="QT68" s="92"/>
      <c r="QU68" s="92"/>
      <c r="QV68" s="92"/>
      <c r="QW68" s="92"/>
      <c r="QX68" s="92"/>
      <c r="QY68" s="92"/>
      <c r="QZ68" s="92"/>
      <c r="RA68" s="92"/>
      <c r="RB68" s="92"/>
      <c r="RC68" s="92"/>
      <c r="RD68" s="92"/>
      <c r="RE68" s="92"/>
      <c r="RF68" s="92"/>
      <c r="RG68" s="92"/>
      <c r="RH68" s="92"/>
      <c r="RI68" s="92"/>
      <c r="RJ68" s="92"/>
      <c r="RK68" s="92"/>
      <c r="RL68" s="92"/>
      <c r="RM68" s="18"/>
      <c r="RN68" s="29">
        <v>1</v>
      </c>
      <c r="RO68" s="17"/>
      <c r="RP68" s="18"/>
      <c r="RQ68" s="29">
        <v>1</v>
      </c>
      <c r="RR68" s="18"/>
      <c r="RS68" s="29">
        <v>1</v>
      </c>
      <c r="RT68" s="1504">
        <v>36526</v>
      </c>
      <c r="RU68" s="17"/>
      <c r="RV68" s="18"/>
      <c r="RW68" s="29">
        <v>1</v>
      </c>
      <c r="RX68" s="1504">
        <v>36526</v>
      </c>
      <c r="RY68" s="29"/>
      <c r="RZ68" s="18"/>
      <c r="SA68" s="29"/>
      <c r="SB68" s="29">
        <v>1</v>
      </c>
    </row>
    <row r="69" spans="1:496">
      <c r="A69" s="41">
        <f t="shared" ref="A69:A132" si="187">YEAR(B69)</f>
        <v>2000</v>
      </c>
      <c r="B69" s="1504">
        <v>36557</v>
      </c>
      <c r="C69" s="1813"/>
      <c r="D69" s="1814"/>
      <c r="E69" s="1814"/>
      <c r="F69" s="1815"/>
      <c r="G69" s="1814"/>
      <c r="H69" s="1814"/>
      <c r="I69" s="1814"/>
      <c r="J69" s="1816"/>
      <c r="K69" s="1807"/>
      <c r="L69" s="25">
        <v>2</v>
      </c>
      <c r="M69" s="97"/>
      <c r="N69" s="1504">
        <v>36557</v>
      </c>
      <c r="O69" s="19"/>
      <c r="P69" s="93"/>
      <c r="Q69" s="93"/>
      <c r="R69" s="93"/>
      <c r="S69" s="93"/>
      <c r="T69" s="93"/>
      <c r="U69" s="93"/>
      <c r="V69" s="93"/>
      <c r="W69" s="93"/>
      <c r="X69" s="93"/>
      <c r="Y69" s="93"/>
      <c r="Z69" s="93"/>
      <c r="AA69" s="93"/>
      <c r="AB69" s="20"/>
      <c r="AC69" s="25">
        <v>2</v>
      </c>
      <c r="AD69" s="97"/>
      <c r="AE69" s="1504">
        <v>36557</v>
      </c>
      <c r="AF69" s="19"/>
      <c r="AG69" s="93"/>
      <c r="AH69" s="93"/>
      <c r="AI69" s="93"/>
      <c r="AJ69" s="93"/>
      <c r="AK69" s="93"/>
      <c r="AL69" s="93"/>
      <c r="AM69" s="93"/>
      <c r="AN69" s="93"/>
      <c r="AO69" s="93"/>
      <c r="AP69" s="93"/>
      <c r="AQ69" s="93"/>
      <c r="AR69" s="93"/>
      <c r="AS69" s="20"/>
      <c r="AT69" s="25">
        <v>2</v>
      </c>
      <c r="AU69" s="97"/>
      <c r="AV69" s="1504">
        <v>36557</v>
      </c>
      <c r="AW69" s="19"/>
      <c r="AX69" s="93"/>
      <c r="AY69" s="93"/>
      <c r="AZ69" s="93"/>
      <c r="BA69" s="93"/>
      <c r="BB69" s="93"/>
      <c r="BC69" s="93"/>
      <c r="BD69" s="93"/>
      <c r="BE69" s="93"/>
      <c r="BF69" s="93"/>
      <c r="BG69" s="93"/>
      <c r="BH69" s="93"/>
      <c r="BI69" s="93"/>
      <c r="BJ69" s="20"/>
      <c r="BK69" s="25">
        <v>2</v>
      </c>
      <c r="BL69" s="97"/>
      <c r="BM69" s="1504">
        <v>36557</v>
      </c>
      <c r="BN69" s="19"/>
      <c r="BO69" s="93"/>
      <c r="BP69" s="93"/>
      <c r="BQ69" s="93"/>
      <c r="BR69" s="93"/>
      <c r="BS69" s="93"/>
      <c r="BT69" s="93"/>
      <c r="BU69" s="20"/>
      <c r="BV69" s="25">
        <v>2</v>
      </c>
      <c r="BW69" s="97"/>
      <c r="BX69" s="1504">
        <v>36557</v>
      </c>
      <c r="BY69" s="19"/>
      <c r="BZ69" s="99">
        <v>664.95699999999999</v>
      </c>
      <c r="CA69" s="93"/>
      <c r="CB69" s="93"/>
      <c r="CC69" s="93"/>
      <c r="CD69" s="25">
        <v>2</v>
      </c>
      <c r="CE69" s="97"/>
      <c r="CF69" s="1504">
        <v>36557</v>
      </c>
      <c r="CG69" s="19">
        <v>1.1845000000000001</v>
      </c>
      <c r="CH69" s="93">
        <v>299.86</v>
      </c>
      <c r="CI69" s="219"/>
      <c r="CJ69" s="20"/>
      <c r="CK69" s="19"/>
      <c r="CL69" s="93"/>
      <c r="CM69" s="93"/>
      <c r="CN69" s="93"/>
      <c r="CO69" s="93"/>
      <c r="CP69" s="20"/>
      <c r="CQ69" s="219">
        <v>687.63</v>
      </c>
      <c r="CR69" s="93">
        <v>2.105</v>
      </c>
      <c r="CS69" s="93"/>
      <c r="CT69" s="93"/>
      <c r="CU69" s="93"/>
      <c r="CV69" s="214"/>
      <c r="CW69" s="29">
        <v>2</v>
      </c>
      <c r="CX69" s="41">
        <f t="shared" ref="CX69:CX132" si="188">YEAR(CY69)</f>
        <v>2000</v>
      </c>
      <c r="CY69" s="1504">
        <v>36557</v>
      </c>
      <c r="CZ69" s="19"/>
      <c r="DA69" s="93"/>
      <c r="DB69" s="93"/>
      <c r="DC69" s="93"/>
      <c r="DD69" s="93"/>
      <c r="DE69" s="20"/>
      <c r="DF69" s="29">
        <v>2</v>
      </c>
      <c r="DG69" s="1504">
        <v>36557</v>
      </c>
      <c r="DH69" s="19"/>
      <c r="DI69" s="93"/>
      <c r="DJ69" s="93"/>
      <c r="DK69" s="93"/>
      <c r="DL69" s="93"/>
      <c r="DM69" s="93"/>
      <c r="DN69" s="20"/>
      <c r="DO69" s="25"/>
      <c r="DP69" s="29">
        <v>2</v>
      </c>
      <c r="DQ69" s="1504">
        <v>36557</v>
      </c>
      <c r="DR69" s="19"/>
      <c r="DS69" s="93"/>
      <c r="DT69" s="93"/>
      <c r="DU69" s="93"/>
      <c r="DV69" s="93"/>
      <c r="DW69" s="93"/>
      <c r="DX69" s="20"/>
      <c r="DY69" s="29">
        <v>2</v>
      </c>
      <c r="DZ69" s="1504">
        <v>36557</v>
      </c>
      <c r="EA69" s="19"/>
      <c r="EB69" s="93"/>
      <c r="EC69" s="20"/>
      <c r="ED69" s="29">
        <v>2</v>
      </c>
      <c r="EE69" s="1504">
        <v>36557</v>
      </c>
      <c r="EF69" s="19"/>
      <c r="EG69" s="93"/>
      <c r="EH69" s="93"/>
      <c r="EI69" s="214"/>
      <c r="EJ69" s="93"/>
      <c r="EK69" s="93"/>
      <c r="EL69" s="93"/>
      <c r="EM69" s="93"/>
      <c r="EN69" s="20"/>
      <c r="EO69" s="29">
        <v>2</v>
      </c>
      <c r="EP69" s="1504">
        <v>36557</v>
      </c>
      <c r="EQ69" s="19"/>
      <c r="ER69" s="93"/>
      <c r="ES69" s="93"/>
      <c r="ET69" s="214"/>
      <c r="EU69" s="93"/>
      <c r="EV69" s="93"/>
      <c r="EW69" s="93"/>
      <c r="EX69" s="93"/>
      <c r="EY69" s="20"/>
      <c r="EZ69" s="29">
        <v>2</v>
      </c>
      <c r="FA69" s="1504">
        <v>36557</v>
      </c>
      <c r="FB69" s="29"/>
      <c r="FC69" s="29"/>
      <c r="FD69" s="29"/>
      <c r="FE69" s="29"/>
      <c r="FF69" s="29"/>
      <c r="FG69" s="29"/>
      <c r="FH69" s="29"/>
      <c r="FI69" s="29"/>
      <c r="FJ69" s="29"/>
      <c r="FK69" s="29">
        <v>2</v>
      </c>
      <c r="FL69" s="1504">
        <v>36557</v>
      </c>
      <c r="FM69" s="19"/>
      <c r="FN69" s="93"/>
      <c r="FO69" s="93"/>
      <c r="FP69" s="93"/>
      <c r="FQ69" s="93"/>
      <c r="FR69" s="93"/>
      <c r="FS69" s="93"/>
      <c r="FT69" s="93"/>
      <c r="FU69" s="93"/>
      <c r="FV69" s="93"/>
      <c r="FW69" s="93"/>
      <c r="FX69" s="93"/>
      <c r="FY69" s="93"/>
      <c r="FZ69" s="29">
        <v>2</v>
      </c>
      <c r="GA69" s="1504">
        <v>36557</v>
      </c>
      <c r="GB69" s="19"/>
      <c r="GC69" s="93"/>
      <c r="GD69" s="93"/>
      <c r="GE69" s="93"/>
      <c r="GF69" s="93"/>
      <c r="GG69" s="93"/>
      <c r="GH69" s="93"/>
      <c r="GI69" s="93"/>
      <c r="GJ69" s="93"/>
      <c r="GK69" s="93"/>
      <c r="GL69" s="93"/>
      <c r="GM69" s="93"/>
      <c r="GN69" s="20"/>
      <c r="GO69" s="29">
        <v>2</v>
      </c>
      <c r="GP69" s="1504">
        <v>36557</v>
      </c>
      <c r="GQ69" s="19"/>
      <c r="GR69" s="93"/>
      <c r="GS69" s="93"/>
      <c r="GT69" s="93"/>
      <c r="GU69" s="93"/>
      <c r="GV69" s="20"/>
      <c r="GW69" s="19"/>
      <c r="GX69" s="93"/>
      <c r="GY69" s="93"/>
      <c r="GZ69" s="93"/>
      <c r="HA69" s="93"/>
      <c r="HB69" s="20"/>
      <c r="HC69" s="19"/>
      <c r="HD69" s="93"/>
      <c r="HE69" s="93"/>
      <c r="HF69" s="93"/>
      <c r="HG69" s="93"/>
      <c r="HH69" s="20"/>
      <c r="HI69" s="19"/>
      <c r="HJ69" s="93"/>
      <c r="HK69" s="93"/>
      <c r="HL69" s="93"/>
      <c r="HM69" s="93"/>
      <c r="HN69" s="20"/>
      <c r="HO69" s="219"/>
      <c r="HP69" s="20"/>
      <c r="HQ69" s="25"/>
      <c r="HR69" s="29">
        <v>2</v>
      </c>
      <c r="HS69" s="1504">
        <v>36557</v>
      </c>
      <c r="HT69" s="19"/>
      <c r="HU69" s="93"/>
      <c r="HV69" s="93"/>
      <c r="HW69" s="93"/>
      <c r="HX69" s="93"/>
      <c r="HY69" s="93"/>
      <c r="HZ69" s="93"/>
      <c r="IA69" s="20"/>
      <c r="IB69" s="19"/>
      <c r="IC69" s="93"/>
      <c r="ID69" s="93"/>
      <c r="IE69" s="93"/>
      <c r="IF69" s="93"/>
      <c r="IG69" s="20"/>
      <c r="IH69" s="19"/>
      <c r="II69" s="93"/>
      <c r="IJ69" s="93"/>
      <c r="IK69" s="93"/>
      <c r="IL69" s="93"/>
      <c r="IM69" s="93"/>
      <c r="IN69" s="93"/>
      <c r="IO69" s="20"/>
      <c r="IP69" s="29">
        <v>2</v>
      </c>
      <c r="IQ69" s="19"/>
      <c r="IR69" s="93"/>
      <c r="IS69" s="93"/>
      <c r="IT69" s="93"/>
      <c r="IU69" s="93"/>
      <c r="IV69" s="20"/>
      <c r="IW69" s="29">
        <v>2</v>
      </c>
      <c r="IX69" s="19"/>
      <c r="IY69" s="93"/>
      <c r="IZ69" s="93"/>
      <c r="JA69" s="93"/>
      <c r="JB69" s="93"/>
      <c r="JC69" s="93"/>
      <c r="JD69" s="93"/>
      <c r="JE69" s="20"/>
      <c r="JF69" s="29">
        <v>2</v>
      </c>
      <c r="JG69" s="19"/>
      <c r="JH69" s="93"/>
      <c r="JI69" s="93"/>
      <c r="JJ69" s="93"/>
      <c r="JK69" s="93"/>
      <c r="JL69" s="93"/>
      <c r="JM69" s="93"/>
      <c r="JN69" s="20"/>
      <c r="JO69" s="29">
        <v>2</v>
      </c>
      <c r="JP69" s="19"/>
      <c r="JQ69" s="93"/>
      <c r="JR69" s="93"/>
      <c r="JS69" s="93"/>
      <c r="JT69" s="93"/>
      <c r="JU69" s="20"/>
      <c r="JV69" s="29">
        <v>2</v>
      </c>
      <c r="JW69" s="1504">
        <v>36557</v>
      </c>
      <c r="JX69" s="19"/>
      <c r="JY69" s="93"/>
      <c r="JZ69" s="93"/>
      <c r="KA69" s="93"/>
      <c r="KB69" s="93"/>
      <c r="KC69" s="93"/>
      <c r="KD69" s="20"/>
      <c r="KE69" s="29">
        <v>2</v>
      </c>
      <c r="KF69" s="19"/>
      <c r="KG69" s="93"/>
      <c r="KH69" s="93"/>
      <c r="KI69" s="93"/>
      <c r="KJ69" s="93"/>
      <c r="KK69" s="20"/>
      <c r="KL69" s="29">
        <v>2</v>
      </c>
      <c r="KM69" s="19"/>
      <c r="KN69" s="93"/>
      <c r="KO69" s="93"/>
      <c r="KP69" s="93"/>
      <c r="KQ69" s="93"/>
      <c r="KR69" s="20"/>
      <c r="KS69" s="29">
        <v>2</v>
      </c>
      <c r="KT69" s="19"/>
      <c r="KU69" s="93"/>
      <c r="KV69" s="93"/>
      <c r="KW69" s="93"/>
      <c r="KX69" s="93"/>
      <c r="KY69" s="20"/>
      <c r="KZ69" s="29">
        <v>2</v>
      </c>
      <c r="LA69" s="1504">
        <v>36557</v>
      </c>
      <c r="LB69" s="19"/>
      <c r="LC69" s="93"/>
      <c r="LD69" s="93"/>
      <c r="LE69" s="93"/>
      <c r="LF69" s="93"/>
      <c r="LG69" s="93"/>
      <c r="LH69" s="20"/>
      <c r="LI69" s="29">
        <v>2</v>
      </c>
      <c r="LJ69" s="19"/>
      <c r="LK69" s="93"/>
      <c r="LL69" s="93"/>
      <c r="LM69" s="93"/>
      <c r="LN69" s="93"/>
      <c r="LO69" s="20"/>
      <c r="LP69" s="29">
        <v>2</v>
      </c>
      <c r="LQ69" s="19"/>
      <c r="LR69" s="93"/>
      <c r="LS69" s="93"/>
      <c r="LT69" s="93"/>
      <c r="LU69" s="93"/>
      <c r="LV69" s="93"/>
      <c r="LW69" s="93"/>
      <c r="LX69" s="93"/>
      <c r="LY69" s="93"/>
      <c r="LZ69" s="93"/>
      <c r="MA69" s="20"/>
      <c r="MB69" s="29">
        <v>2</v>
      </c>
      <c r="MC69" s="1504">
        <v>36557</v>
      </c>
      <c r="MD69" s="19"/>
      <c r="ME69" s="93"/>
      <c r="MF69" s="93"/>
      <c r="MG69" s="93"/>
      <c r="MH69" s="93"/>
      <c r="MI69" s="93"/>
      <c r="MJ69" s="93"/>
      <c r="MK69" s="93"/>
      <c r="ML69" s="93"/>
      <c r="MM69" s="93"/>
      <c r="MN69" s="93"/>
      <c r="MO69" s="93"/>
      <c r="MP69" s="93"/>
      <c r="MQ69" s="93"/>
      <c r="MR69" s="93"/>
      <c r="MS69" s="93"/>
      <c r="MT69" s="93"/>
      <c r="MU69" s="93"/>
      <c r="MV69" s="93"/>
      <c r="MW69" s="93"/>
      <c r="MX69" s="93"/>
      <c r="MY69" s="93"/>
      <c r="MZ69" s="93"/>
      <c r="NA69" s="93"/>
      <c r="NB69" s="93"/>
      <c r="NC69" s="93"/>
      <c r="ND69" s="93"/>
      <c r="NE69" s="93"/>
      <c r="NF69" s="93"/>
      <c r="NG69" s="93"/>
      <c r="NH69" s="93"/>
      <c r="NI69" s="93"/>
      <c r="NJ69" s="93"/>
      <c r="NK69" s="93"/>
      <c r="NL69" s="93"/>
      <c r="NM69" s="93"/>
      <c r="NN69" s="93"/>
      <c r="NO69" s="93"/>
      <c r="NP69" s="93"/>
      <c r="NQ69" s="93"/>
      <c r="NR69" s="93"/>
      <c r="NS69" s="93"/>
      <c r="NT69" s="93"/>
      <c r="NU69" s="93"/>
      <c r="NV69" s="93"/>
      <c r="NW69" s="93"/>
      <c r="NX69" s="93"/>
      <c r="NY69" s="93"/>
      <c r="NZ69" s="93"/>
      <c r="OA69" s="93"/>
      <c r="OB69" s="93"/>
      <c r="OC69" s="93"/>
      <c r="OD69" s="20"/>
      <c r="OE69" s="29">
        <v>2</v>
      </c>
      <c r="OF69" s="1504">
        <v>36557</v>
      </c>
      <c r="OG69" s="19"/>
      <c r="OH69" s="93"/>
      <c r="OI69" s="93"/>
      <c r="OJ69" s="93"/>
      <c r="OK69" s="93"/>
      <c r="OL69" s="93"/>
      <c r="OM69" s="93"/>
      <c r="ON69" s="93"/>
      <c r="OO69" s="93"/>
      <c r="OP69" s="93"/>
      <c r="OQ69" s="93"/>
      <c r="OR69" s="93"/>
      <c r="OS69" s="93"/>
      <c r="OT69" s="93"/>
      <c r="OU69" s="93"/>
      <c r="OV69" s="93"/>
      <c r="OW69" s="93"/>
      <c r="OX69" s="93"/>
      <c r="OY69" s="93"/>
      <c r="OZ69" s="93"/>
      <c r="PA69" s="93"/>
      <c r="PB69" s="93"/>
      <c r="PC69" s="20"/>
      <c r="PD69" s="29">
        <v>2</v>
      </c>
      <c r="PE69" s="19"/>
      <c r="PF69" s="93"/>
      <c r="PG69" s="93"/>
      <c r="PH69" s="93"/>
      <c r="PI69" s="93"/>
      <c r="PJ69" s="93"/>
      <c r="PK69" s="93"/>
      <c r="PL69" s="93"/>
      <c r="PM69" s="93"/>
      <c r="PN69" s="93"/>
      <c r="PO69" s="93"/>
      <c r="PP69" s="93"/>
      <c r="PQ69" s="93"/>
      <c r="PR69" s="93"/>
      <c r="PS69" s="93"/>
      <c r="PT69" s="93"/>
      <c r="PU69" s="93"/>
      <c r="PV69" s="93"/>
      <c r="PW69" s="93"/>
      <c r="PX69" s="93"/>
      <c r="PY69" s="93"/>
      <c r="PZ69" s="93"/>
      <c r="QA69" s="93"/>
      <c r="QB69" s="93"/>
      <c r="QC69" s="93"/>
      <c r="QD69" s="93"/>
      <c r="QE69" s="20"/>
      <c r="QF69" s="1739">
        <v>2</v>
      </c>
      <c r="QG69" s="19"/>
      <c r="QH69" s="93"/>
      <c r="QI69" s="93"/>
      <c r="QJ69" s="93"/>
      <c r="QK69" s="93"/>
      <c r="QL69" s="93"/>
      <c r="QM69" s="93"/>
      <c r="QN69" s="93"/>
      <c r="QO69" s="93"/>
      <c r="QP69" s="93"/>
      <c r="QQ69" s="93"/>
      <c r="QR69" s="93"/>
      <c r="QS69" s="93"/>
      <c r="QT69" s="93"/>
      <c r="QU69" s="93"/>
      <c r="QV69" s="93"/>
      <c r="QW69" s="93"/>
      <c r="QX69" s="93"/>
      <c r="QY69" s="93"/>
      <c r="QZ69" s="93"/>
      <c r="RA69" s="93"/>
      <c r="RB69" s="93"/>
      <c r="RC69" s="93"/>
      <c r="RD69" s="93"/>
      <c r="RE69" s="93"/>
      <c r="RF69" s="93"/>
      <c r="RG69" s="93"/>
      <c r="RH69" s="93"/>
      <c r="RI69" s="93"/>
      <c r="RJ69" s="93"/>
      <c r="RK69" s="93"/>
      <c r="RL69" s="93"/>
      <c r="RM69" s="20"/>
      <c r="RN69" s="29">
        <v>2</v>
      </c>
      <c r="RO69" s="19"/>
      <c r="RP69" s="20"/>
      <c r="RQ69" s="29">
        <v>2</v>
      </c>
      <c r="RR69" s="20"/>
      <c r="RS69" s="29">
        <v>2</v>
      </c>
      <c r="RT69" s="1504">
        <v>36557</v>
      </c>
      <c r="RU69" s="19"/>
      <c r="RV69" s="20"/>
      <c r="RW69" s="29">
        <v>2</v>
      </c>
      <c r="RX69" s="1504">
        <v>36557</v>
      </c>
      <c r="RY69" s="29"/>
      <c r="RZ69" s="20"/>
      <c r="SA69" s="29"/>
      <c r="SB69" s="29">
        <v>2</v>
      </c>
    </row>
    <row r="70" spans="1:496">
      <c r="A70" s="41">
        <f t="shared" si="187"/>
        <v>2000</v>
      </c>
      <c r="B70" s="1504">
        <v>36586</v>
      </c>
      <c r="C70" s="1813"/>
      <c r="D70" s="1814"/>
      <c r="E70" s="1814"/>
      <c r="F70" s="1815"/>
      <c r="G70" s="1814"/>
      <c r="H70" s="1814"/>
      <c r="I70" s="1814"/>
      <c r="J70" s="1816"/>
      <c r="K70" s="1807"/>
      <c r="L70" s="25">
        <v>3</v>
      </c>
      <c r="M70" s="97"/>
      <c r="N70" s="1504">
        <v>36586</v>
      </c>
      <c r="O70" s="19"/>
      <c r="P70" s="93"/>
      <c r="Q70" s="93"/>
      <c r="R70" s="93"/>
      <c r="S70" s="93"/>
      <c r="T70" s="93"/>
      <c r="U70" s="93"/>
      <c r="V70" s="93"/>
      <c r="W70" s="93"/>
      <c r="X70" s="93"/>
      <c r="Y70" s="93"/>
      <c r="Z70" s="93"/>
      <c r="AA70" s="93"/>
      <c r="AB70" s="20"/>
      <c r="AC70" s="25">
        <v>3</v>
      </c>
      <c r="AD70" s="97"/>
      <c r="AE70" s="1504">
        <v>36586</v>
      </c>
      <c r="AF70" s="19"/>
      <c r="AG70" s="93"/>
      <c r="AH70" s="93"/>
      <c r="AI70" s="93"/>
      <c r="AJ70" s="93"/>
      <c r="AK70" s="93"/>
      <c r="AL70" s="93"/>
      <c r="AM70" s="93"/>
      <c r="AN70" s="93"/>
      <c r="AO70" s="93"/>
      <c r="AP70" s="93"/>
      <c r="AQ70" s="93"/>
      <c r="AR70" s="93"/>
      <c r="AS70" s="20"/>
      <c r="AT70" s="25">
        <v>3</v>
      </c>
      <c r="AU70" s="97"/>
      <c r="AV70" s="1504">
        <v>36586</v>
      </c>
      <c r="AW70" s="19"/>
      <c r="AX70" s="93"/>
      <c r="AY70" s="93"/>
      <c r="AZ70" s="93"/>
      <c r="BA70" s="93"/>
      <c r="BB70" s="93"/>
      <c r="BC70" s="93"/>
      <c r="BD70" s="93"/>
      <c r="BE70" s="93"/>
      <c r="BF70" s="93"/>
      <c r="BG70" s="93"/>
      <c r="BH70" s="93"/>
      <c r="BI70" s="93"/>
      <c r="BJ70" s="20"/>
      <c r="BK70" s="25">
        <v>3</v>
      </c>
      <c r="BL70" s="97"/>
      <c r="BM70" s="1504">
        <v>36586</v>
      </c>
      <c r="BN70" s="19"/>
      <c r="BO70" s="93"/>
      <c r="BP70" s="93"/>
      <c r="BQ70" s="93"/>
      <c r="BR70" s="93"/>
      <c r="BS70" s="93"/>
      <c r="BT70" s="93"/>
      <c r="BU70" s="20"/>
      <c r="BV70" s="25">
        <v>3</v>
      </c>
      <c r="BW70" s="97"/>
      <c r="BX70" s="1504">
        <v>36586</v>
      </c>
      <c r="BY70" s="19"/>
      <c r="BZ70" s="99">
        <v>664.95699999999999</v>
      </c>
      <c r="CA70" s="93"/>
      <c r="CB70" s="93"/>
      <c r="CC70" s="93"/>
      <c r="CD70" s="25">
        <v>3</v>
      </c>
      <c r="CE70" s="97"/>
      <c r="CF70" s="1504">
        <v>36586</v>
      </c>
      <c r="CG70" s="19">
        <v>1.2632000000000001</v>
      </c>
      <c r="CH70" s="93">
        <v>286.39</v>
      </c>
      <c r="CI70" s="219"/>
      <c r="CJ70" s="20"/>
      <c r="CK70" s="19"/>
      <c r="CL70" s="93"/>
      <c r="CM70" s="93"/>
      <c r="CN70" s="93"/>
      <c r="CO70" s="93"/>
      <c r="CP70" s="20"/>
      <c r="CQ70" s="219">
        <v>733.28</v>
      </c>
      <c r="CR70" s="93">
        <v>2.0625</v>
      </c>
      <c r="CS70" s="93"/>
      <c r="CT70" s="93"/>
      <c r="CU70" s="93"/>
      <c r="CV70" s="214"/>
      <c r="CW70" s="29">
        <v>3</v>
      </c>
      <c r="CX70" s="41">
        <f t="shared" si="188"/>
        <v>2000</v>
      </c>
      <c r="CY70" s="1504">
        <v>36586</v>
      </c>
      <c r="CZ70" s="19"/>
      <c r="DA70" s="93"/>
      <c r="DB70" s="93"/>
      <c r="DC70" s="93"/>
      <c r="DD70" s="93"/>
      <c r="DE70" s="20"/>
      <c r="DF70" s="29">
        <v>3</v>
      </c>
      <c r="DG70" s="1504">
        <v>36586</v>
      </c>
      <c r="DH70" s="19"/>
      <c r="DI70" s="93"/>
      <c r="DJ70" s="93"/>
      <c r="DK70" s="93"/>
      <c r="DL70" s="93"/>
      <c r="DM70" s="93"/>
      <c r="DN70" s="20"/>
      <c r="DO70" s="25"/>
      <c r="DP70" s="29">
        <v>3</v>
      </c>
      <c r="DQ70" s="1504">
        <v>36586</v>
      </c>
      <c r="DR70" s="19"/>
      <c r="DS70" s="93"/>
      <c r="DT70" s="93"/>
      <c r="DU70" s="93"/>
      <c r="DV70" s="93"/>
      <c r="DW70" s="93"/>
      <c r="DX70" s="20"/>
      <c r="DY70" s="29">
        <v>3</v>
      </c>
      <c r="DZ70" s="1504">
        <v>36586</v>
      </c>
      <c r="EA70" s="19"/>
      <c r="EB70" s="93"/>
      <c r="EC70" s="20"/>
      <c r="ED70" s="29">
        <v>3</v>
      </c>
      <c r="EE70" s="1504">
        <v>36586</v>
      </c>
      <c r="EF70" s="19"/>
      <c r="EG70" s="93"/>
      <c r="EH70" s="93"/>
      <c r="EI70" s="214"/>
      <c r="EJ70" s="93"/>
      <c r="EK70" s="93"/>
      <c r="EL70" s="93"/>
      <c r="EM70" s="93"/>
      <c r="EN70" s="20"/>
      <c r="EO70" s="29">
        <v>3</v>
      </c>
      <c r="EP70" s="1504">
        <v>36586</v>
      </c>
      <c r="EQ70" s="19"/>
      <c r="ER70" s="93"/>
      <c r="ES70" s="93"/>
      <c r="ET70" s="214"/>
      <c r="EU70" s="93"/>
      <c r="EV70" s="93"/>
      <c r="EW70" s="93"/>
      <c r="EX70" s="93"/>
      <c r="EY70" s="20"/>
      <c r="EZ70" s="29">
        <v>3</v>
      </c>
      <c r="FA70" s="1504">
        <v>36586</v>
      </c>
      <c r="FB70" s="29"/>
      <c r="FC70" s="29"/>
      <c r="FD70" s="29"/>
      <c r="FE70" s="29"/>
      <c r="FF70" s="29"/>
      <c r="FG70" s="29"/>
      <c r="FH70" s="29"/>
      <c r="FI70" s="29"/>
      <c r="FJ70" s="29"/>
      <c r="FK70" s="29">
        <v>3</v>
      </c>
      <c r="FL70" s="1504">
        <v>36586</v>
      </c>
      <c r="FM70" s="19"/>
      <c r="FN70" s="93"/>
      <c r="FO70" s="93"/>
      <c r="FP70" s="93"/>
      <c r="FQ70" s="93"/>
      <c r="FR70" s="93"/>
      <c r="FS70" s="93"/>
      <c r="FT70" s="93"/>
      <c r="FU70" s="93"/>
      <c r="FV70" s="93"/>
      <c r="FW70" s="93"/>
      <c r="FX70" s="93"/>
      <c r="FY70" s="93"/>
      <c r="FZ70" s="29">
        <v>3</v>
      </c>
      <c r="GA70" s="1504">
        <v>36586</v>
      </c>
      <c r="GB70" s="19"/>
      <c r="GC70" s="93"/>
      <c r="GD70" s="93"/>
      <c r="GE70" s="93"/>
      <c r="GF70" s="93"/>
      <c r="GG70" s="93"/>
      <c r="GH70" s="93"/>
      <c r="GI70" s="93"/>
      <c r="GJ70" s="93"/>
      <c r="GK70" s="93"/>
      <c r="GL70" s="93"/>
      <c r="GM70" s="93"/>
      <c r="GN70" s="20"/>
      <c r="GO70" s="29">
        <v>3</v>
      </c>
      <c r="GP70" s="1504">
        <v>36586</v>
      </c>
      <c r="GQ70" s="19"/>
      <c r="GR70" s="93"/>
      <c r="GS70" s="93"/>
      <c r="GT70" s="93"/>
      <c r="GU70" s="93"/>
      <c r="GV70" s="20"/>
      <c r="GW70" s="19"/>
      <c r="GX70" s="93"/>
      <c r="GY70" s="93"/>
      <c r="GZ70" s="93"/>
      <c r="HA70" s="93"/>
      <c r="HB70" s="20"/>
      <c r="HC70" s="19"/>
      <c r="HD70" s="93"/>
      <c r="HE70" s="93"/>
      <c r="HF70" s="93"/>
      <c r="HG70" s="93"/>
      <c r="HH70" s="20"/>
      <c r="HI70" s="19"/>
      <c r="HJ70" s="93"/>
      <c r="HK70" s="93"/>
      <c r="HL70" s="93"/>
      <c r="HM70" s="93"/>
      <c r="HN70" s="20"/>
      <c r="HO70" s="219"/>
      <c r="HP70" s="20"/>
      <c r="HQ70" s="25"/>
      <c r="HR70" s="29">
        <v>3</v>
      </c>
      <c r="HS70" s="1504">
        <v>36586</v>
      </c>
      <c r="HT70" s="19"/>
      <c r="HU70" s="93"/>
      <c r="HV70" s="93"/>
      <c r="HW70" s="93"/>
      <c r="HX70" s="93"/>
      <c r="HY70" s="93"/>
      <c r="HZ70" s="93"/>
      <c r="IA70" s="20"/>
      <c r="IB70" s="19"/>
      <c r="IC70" s="93"/>
      <c r="ID70" s="93"/>
      <c r="IE70" s="93"/>
      <c r="IF70" s="93"/>
      <c r="IG70" s="20"/>
      <c r="IH70" s="19"/>
      <c r="II70" s="93"/>
      <c r="IJ70" s="93"/>
      <c r="IK70" s="93"/>
      <c r="IL70" s="93"/>
      <c r="IM70" s="93"/>
      <c r="IN70" s="93"/>
      <c r="IO70" s="20"/>
      <c r="IP70" s="29">
        <v>3</v>
      </c>
      <c r="IQ70" s="19"/>
      <c r="IR70" s="93"/>
      <c r="IS70" s="93"/>
      <c r="IT70" s="93"/>
      <c r="IU70" s="93"/>
      <c r="IV70" s="20"/>
      <c r="IW70" s="29">
        <v>3</v>
      </c>
      <c r="IX70" s="19"/>
      <c r="IY70" s="93"/>
      <c r="IZ70" s="93"/>
      <c r="JA70" s="93"/>
      <c r="JB70" s="93"/>
      <c r="JC70" s="93"/>
      <c r="JD70" s="93"/>
      <c r="JE70" s="20"/>
      <c r="JF70" s="29">
        <v>3</v>
      </c>
      <c r="JG70" s="19"/>
      <c r="JH70" s="93"/>
      <c r="JI70" s="93"/>
      <c r="JJ70" s="93"/>
      <c r="JK70" s="93"/>
      <c r="JL70" s="93"/>
      <c r="JM70" s="93"/>
      <c r="JN70" s="20"/>
      <c r="JO70" s="29">
        <v>3</v>
      </c>
      <c r="JP70" s="19"/>
      <c r="JQ70" s="93"/>
      <c r="JR70" s="93"/>
      <c r="JS70" s="93"/>
      <c r="JT70" s="93"/>
      <c r="JU70" s="20"/>
      <c r="JV70" s="29">
        <v>3</v>
      </c>
      <c r="JW70" s="1504">
        <v>36586</v>
      </c>
      <c r="JX70" s="19"/>
      <c r="JY70" s="93"/>
      <c r="JZ70" s="93"/>
      <c r="KA70" s="93"/>
      <c r="KB70" s="93"/>
      <c r="KC70" s="93"/>
      <c r="KD70" s="20"/>
      <c r="KE70" s="29">
        <v>3</v>
      </c>
      <c r="KF70" s="19"/>
      <c r="KG70" s="93"/>
      <c r="KH70" s="93"/>
      <c r="KI70" s="93"/>
      <c r="KJ70" s="93"/>
      <c r="KK70" s="20"/>
      <c r="KL70" s="29">
        <v>3</v>
      </c>
      <c r="KM70" s="19"/>
      <c r="KN70" s="93"/>
      <c r="KO70" s="93"/>
      <c r="KP70" s="93"/>
      <c r="KQ70" s="93"/>
      <c r="KR70" s="20"/>
      <c r="KS70" s="29">
        <v>3</v>
      </c>
      <c r="KT70" s="19"/>
      <c r="KU70" s="93"/>
      <c r="KV70" s="93"/>
      <c r="KW70" s="93"/>
      <c r="KX70" s="93"/>
      <c r="KY70" s="20"/>
      <c r="KZ70" s="29">
        <v>3</v>
      </c>
      <c r="LA70" s="1504">
        <v>36586</v>
      </c>
      <c r="LB70" s="19"/>
      <c r="LC70" s="93"/>
      <c r="LD70" s="93"/>
      <c r="LE70" s="93"/>
      <c r="LF70" s="93"/>
      <c r="LG70" s="93"/>
      <c r="LH70" s="20"/>
      <c r="LI70" s="29">
        <v>3</v>
      </c>
      <c r="LJ70" s="19"/>
      <c r="LK70" s="93"/>
      <c r="LL70" s="93"/>
      <c r="LM70" s="93"/>
      <c r="LN70" s="93"/>
      <c r="LO70" s="20"/>
      <c r="LP70" s="29">
        <v>3</v>
      </c>
      <c r="LQ70" s="19"/>
      <c r="LR70" s="93"/>
      <c r="LS70" s="93"/>
      <c r="LT70" s="93"/>
      <c r="LU70" s="93"/>
      <c r="LV70" s="93"/>
      <c r="LW70" s="93"/>
      <c r="LX70" s="93"/>
      <c r="LY70" s="93"/>
      <c r="LZ70" s="93"/>
      <c r="MA70" s="20"/>
      <c r="MB70" s="29">
        <v>3</v>
      </c>
      <c r="MC70" s="1504">
        <v>36586</v>
      </c>
      <c r="MD70" s="19"/>
      <c r="ME70" s="93"/>
      <c r="MF70" s="93"/>
      <c r="MG70" s="93"/>
      <c r="MH70" s="93"/>
      <c r="MI70" s="93"/>
      <c r="MJ70" s="93"/>
      <c r="MK70" s="93"/>
      <c r="ML70" s="93"/>
      <c r="MM70" s="93"/>
      <c r="MN70" s="93"/>
      <c r="MO70" s="93"/>
      <c r="MP70" s="93"/>
      <c r="MQ70" s="93"/>
      <c r="MR70" s="93"/>
      <c r="MS70" s="93"/>
      <c r="MT70" s="93"/>
      <c r="MU70" s="93"/>
      <c r="MV70" s="93"/>
      <c r="MW70" s="93"/>
      <c r="MX70" s="93"/>
      <c r="MY70" s="93"/>
      <c r="MZ70" s="93"/>
      <c r="NA70" s="93"/>
      <c r="NB70" s="93"/>
      <c r="NC70" s="93"/>
      <c r="ND70" s="93"/>
      <c r="NE70" s="93"/>
      <c r="NF70" s="93"/>
      <c r="NG70" s="93"/>
      <c r="NH70" s="93"/>
      <c r="NI70" s="93"/>
      <c r="NJ70" s="93"/>
      <c r="NK70" s="93"/>
      <c r="NL70" s="93"/>
      <c r="NM70" s="93"/>
      <c r="NN70" s="93"/>
      <c r="NO70" s="93"/>
      <c r="NP70" s="93"/>
      <c r="NQ70" s="93"/>
      <c r="NR70" s="93"/>
      <c r="NS70" s="93"/>
      <c r="NT70" s="93"/>
      <c r="NU70" s="93"/>
      <c r="NV70" s="93"/>
      <c r="NW70" s="93"/>
      <c r="NX70" s="93"/>
      <c r="NY70" s="93"/>
      <c r="NZ70" s="93"/>
      <c r="OA70" s="93"/>
      <c r="OB70" s="93"/>
      <c r="OC70" s="93"/>
      <c r="OD70" s="20"/>
      <c r="OE70" s="29">
        <v>3</v>
      </c>
      <c r="OF70" s="1504">
        <v>36586</v>
      </c>
      <c r="OG70" s="19"/>
      <c r="OH70" s="93"/>
      <c r="OI70" s="93"/>
      <c r="OJ70" s="93"/>
      <c r="OK70" s="93"/>
      <c r="OL70" s="93"/>
      <c r="OM70" s="93"/>
      <c r="ON70" s="93"/>
      <c r="OO70" s="93"/>
      <c r="OP70" s="93"/>
      <c r="OQ70" s="93"/>
      <c r="OR70" s="93"/>
      <c r="OS70" s="93"/>
      <c r="OT70" s="93"/>
      <c r="OU70" s="93"/>
      <c r="OV70" s="93"/>
      <c r="OW70" s="93"/>
      <c r="OX70" s="93"/>
      <c r="OY70" s="93"/>
      <c r="OZ70" s="93"/>
      <c r="PA70" s="93"/>
      <c r="PB70" s="93"/>
      <c r="PC70" s="20"/>
      <c r="PD70" s="29">
        <v>3</v>
      </c>
      <c r="PE70" s="19"/>
      <c r="PF70" s="93"/>
      <c r="PG70" s="93"/>
      <c r="PH70" s="93"/>
      <c r="PI70" s="93"/>
      <c r="PJ70" s="93"/>
      <c r="PK70" s="93"/>
      <c r="PL70" s="93"/>
      <c r="PM70" s="93"/>
      <c r="PN70" s="93"/>
      <c r="PO70" s="93"/>
      <c r="PP70" s="93"/>
      <c r="PQ70" s="93"/>
      <c r="PR70" s="93"/>
      <c r="PS70" s="93"/>
      <c r="PT70" s="93"/>
      <c r="PU70" s="93"/>
      <c r="PV70" s="93"/>
      <c r="PW70" s="93"/>
      <c r="PX70" s="93"/>
      <c r="PY70" s="93"/>
      <c r="PZ70" s="93"/>
      <c r="QA70" s="93"/>
      <c r="QB70" s="93"/>
      <c r="QC70" s="93"/>
      <c r="QD70" s="93"/>
      <c r="QE70" s="20"/>
      <c r="QF70" s="1739">
        <v>3</v>
      </c>
      <c r="QG70" s="19"/>
      <c r="QH70" s="93"/>
      <c r="QI70" s="93"/>
      <c r="QJ70" s="93"/>
      <c r="QK70" s="93"/>
      <c r="QL70" s="93"/>
      <c r="QM70" s="93"/>
      <c r="QN70" s="93"/>
      <c r="QO70" s="93"/>
      <c r="QP70" s="93"/>
      <c r="QQ70" s="93"/>
      <c r="QR70" s="93"/>
      <c r="QS70" s="93"/>
      <c r="QT70" s="93"/>
      <c r="QU70" s="93"/>
      <c r="QV70" s="93"/>
      <c r="QW70" s="93"/>
      <c r="QX70" s="93"/>
      <c r="QY70" s="93"/>
      <c r="QZ70" s="93"/>
      <c r="RA70" s="93"/>
      <c r="RB70" s="93"/>
      <c r="RC70" s="93"/>
      <c r="RD70" s="93"/>
      <c r="RE70" s="93"/>
      <c r="RF70" s="93"/>
      <c r="RG70" s="93"/>
      <c r="RH70" s="93"/>
      <c r="RI70" s="93"/>
      <c r="RJ70" s="93"/>
      <c r="RK70" s="93"/>
      <c r="RL70" s="93"/>
      <c r="RM70" s="20"/>
      <c r="RN70" s="29">
        <v>3</v>
      </c>
      <c r="RO70" s="19"/>
      <c r="RP70" s="20"/>
      <c r="RQ70" s="29">
        <v>3</v>
      </c>
      <c r="RR70" s="20"/>
      <c r="RS70" s="29">
        <v>3</v>
      </c>
      <c r="RT70" s="1504">
        <v>36586</v>
      </c>
      <c r="RU70" s="19"/>
      <c r="RV70" s="20"/>
      <c r="RW70" s="29">
        <v>3</v>
      </c>
      <c r="RX70" s="1504">
        <v>36586</v>
      </c>
      <c r="RY70" s="29"/>
      <c r="RZ70" s="20"/>
      <c r="SA70" s="29"/>
      <c r="SB70" s="29">
        <v>3</v>
      </c>
    </row>
    <row r="71" spans="1:496">
      <c r="A71" s="41">
        <f t="shared" si="187"/>
        <v>2000</v>
      </c>
      <c r="B71" s="1504">
        <v>36617</v>
      </c>
      <c r="C71" s="1813"/>
      <c r="D71" s="1814"/>
      <c r="E71" s="1814"/>
      <c r="F71" s="1815"/>
      <c r="G71" s="1814"/>
      <c r="H71" s="1814"/>
      <c r="I71" s="1814"/>
      <c r="J71" s="1816"/>
      <c r="K71" s="1807"/>
      <c r="L71" s="25">
        <v>4</v>
      </c>
      <c r="M71" s="97"/>
      <c r="N71" s="1504">
        <v>36617</v>
      </c>
      <c r="O71" s="19"/>
      <c r="P71" s="93"/>
      <c r="Q71" s="93"/>
      <c r="R71" s="93"/>
      <c r="S71" s="93"/>
      <c r="T71" s="93"/>
      <c r="U71" s="93"/>
      <c r="V71" s="93"/>
      <c r="W71" s="93"/>
      <c r="X71" s="93"/>
      <c r="Y71" s="93"/>
      <c r="Z71" s="93"/>
      <c r="AA71" s="93"/>
      <c r="AB71" s="20"/>
      <c r="AC71" s="25">
        <v>4</v>
      </c>
      <c r="AD71" s="97"/>
      <c r="AE71" s="1504">
        <v>36617</v>
      </c>
      <c r="AF71" s="19"/>
      <c r="AG71" s="93"/>
      <c r="AH71" s="93"/>
      <c r="AI71" s="93"/>
      <c r="AJ71" s="93"/>
      <c r="AK71" s="93"/>
      <c r="AL71" s="93"/>
      <c r="AM71" s="93"/>
      <c r="AN71" s="93"/>
      <c r="AO71" s="93"/>
      <c r="AP71" s="93"/>
      <c r="AQ71" s="93"/>
      <c r="AR71" s="93"/>
      <c r="AS71" s="20"/>
      <c r="AT71" s="25">
        <v>4</v>
      </c>
      <c r="AU71" s="97"/>
      <c r="AV71" s="1504">
        <v>36617</v>
      </c>
      <c r="AW71" s="19"/>
      <c r="AX71" s="93"/>
      <c r="AY71" s="93"/>
      <c r="AZ71" s="93"/>
      <c r="BA71" s="93"/>
      <c r="BB71" s="93"/>
      <c r="BC71" s="93"/>
      <c r="BD71" s="93"/>
      <c r="BE71" s="93"/>
      <c r="BF71" s="93"/>
      <c r="BG71" s="93"/>
      <c r="BH71" s="93"/>
      <c r="BI71" s="93"/>
      <c r="BJ71" s="20"/>
      <c r="BK71" s="25">
        <v>4</v>
      </c>
      <c r="BL71" s="97"/>
      <c r="BM71" s="1504">
        <v>36617</v>
      </c>
      <c r="BN71" s="19"/>
      <c r="BO71" s="93"/>
      <c r="BP71" s="93"/>
      <c r="BQ71" s="93"/>
      <c r="BR71" s="93"/>
      <c r="BS71" s="93"/>
      <c r="BT71" s="93"/>
      <c r="BU71" s="20"/>
      <c r="BV71" s="25">
        <v>4</v>
      </c>
      <c r="BW71" s="97"/>
      <c r="BX71" s="1504">
        <v>36617</v>
      </c>
      <c r="BY71" s="19"/>
      <c r="BZ71" s="99">
        <v>664.95699999999999</v>
      </c>
      <c r="CA71" s="93"/>
      <c r="CB71" s="93"/>
      <c r="CC71" s="93"/>
      <c r="CD71" s="25">
        <v>4</v>
      </c>
      <c r="CE71" s="97"/>
      <c r="CF71" s="1504">
        <v>36617</v>
      </c>
      <c r="CG71" s="19">
        <v>1.2939000000000001</v>
      </c>
      <c r="CH71" s="93">
        <v>279.69</v>
      </c>
      <c r="CI71" s="219"/>
      <c r="CJ71" s="20"/>
      <c r="CK71" s="19"/>
      <c r="CL71" s="93"/>
      <c r="CM71" s="93"/>
      <c r="CN71" s="93"/>
      <c r="CO71" s="93"/>
      <c r="CP71" s="20"/>
      <c r="CQ71" s="219">
        <v>789.81</v>
      </c>
      <c r="CR71" s="93">
        <v>2.0299999999999998</v>
      </c>
      <c r="CS71" s="93"/>
      <c r="CT71" s="93"/>
      <c r="CU71" s="93"/>
      <c r="CV71" s="214"/>
      <c r="CW71" s="29">
        <v>4</v>
      </c>
      <c r="CX71" s="41">
        <f t="shared" si="188"/>
        <v>2000</v>
      </c>
      <c r="CY71" s="1504">
        <v>36617</v>
      </c>
      <c r="CZ71" s="19"/>
      <c r="DA71" s="93"/>
      <c r="DB71" s="93"/>
      <c r="DC71" s="93"/>
      <c r="DD71" s="93"/>
      <c r="DE71" s="20"/>
      <c r="DF71" s="29">
        <v>4</v>
      </c>
      <c r="DG71" s="1504">
        <v>36617</v>
      </c>
      <c r="DH71" s="19"/>
      <c r="DI71" s="93"/>
      <c r="DJ71" s="93"/>
      <c r="DK71" s="93"/>
      <c r="DL71" s="93"/>
      <c r="DM71" s="93"/>
      <c r="DN71" s="20"/>
      <c r="DO71" s="25"/>
      <c r="DP71" s="29">
        <v>4</v>
      </c>
      <c r="DQ71" s="1504">
        <v>36617</v>
      </c>
      <c r="DR71" s="19"/>
      <c r="DS71" s="93"/>
      <c r="DT71" s="93"/>
      <c r="DU71" s="93"/>
      <c r="DV71" s="93"/>
      <c r="DW71" s="93"/>
      <c r="DX71" s="20"/>
      <c r="DY71" s="29">
        <v>4</v>
      </c>
      <c r="DZ71" s="1504">
        <v>36617</v>
      </c>
      <c r="EA71" s="19"/>
      <c r="EB71" s="93"/>
      <c r="EC71" s="20"/>
      <c r="ED71" s="29">
        <v>4</v>
      </c>
      <c r="EE71" s="1504">
        <v>36617</v>
      </c>
      <c r="EF71" s="19"/>
      <c r="EG71" s="93"/>
      <c r="EH71" s="93"/>
      <c r="EI71" s="214"/>
      <c r="EJ71" s="93"/>
      <c r="EK71" s="93"/>
      <c r="EL71" s="93"/>
      <c r="EM71" s="93"/>
      <c r="EN71" s="20"/>
      <c r="EO71" s="29">
        <v>4</v>
      </c>
      <c r="EP71" s="1504">
        <v>36617</v>
      </c>
      <c r="EQ71" s="19"/>
      <c r="ER71" s="93"/>
      <c r="ES71" s="93"/>
      <c r="ET71" s="214"/>
      <c r="EU71" s="93"/>
      <c r="EV71" s="93"/>
      <c r="EW71" s="93"/>
      <c r="EX71" s="93"/>
      <c r="EY71" s="20"/>
      <c r="EZ71" s="29">
        <v>4</v>
      </c>
      <c r="FA71" s="1504">
        <v>36617</v>
      </c>
      <c r="FB71" s="29"/>
      <c r="FC71" s="29"/>
      <c r="FD71" s="29"/>
      <c r="FE71" s="29"/>
      <c r="FF71" s="29"/>
      <c r="FG71" s="29"/>
      <c r="FH71" s="29"/>
      <c r="FI71" s="29"/>
      <c r="FJ71" s="29"/>
      <c r="FK71" s="29">
        <v>4</v>
      </c>
      <c r="FL71" s="1504">
        <v>36617</v>
      </c>
      <c r="FM71" s="19"/>
      <c r="FN71" s="93"/>
      <c r="FO71" s="93"/>
      <c r="FP71" s="93"/>
      <c r="FQ71" s="93"/>
      <c r="FR71" s="93"/>
      <c r="FS71" s="93"/>
      <c r="FT71" s="93"/>
      <c r="FU71" s="93"/>
      <c r="FV71" s="93"/>
      <c r="FW71" s="93"/>
      <c r="FX71" s="93"/>
      <c r="FY71" s="93"/>
      <c r="FZ71" s="29">
        <v>4</v>
      </c>
      <c r="GA71" s="1504">
        <v>36617</v>
      </c>
      <c r="GB71" s="19"/>
      <c r="GC71" s="93"/>
      <c r="GD71" s="93"/>
      <c r="GE71" s="93"/>
      <c r="GF71" s="93"/>
      <c r="GG71" s="93"/>
      <c r="GH71" s="93"/>
      <c r="GI71" s="93"/>
      <c r="GJ71" s="93"/>
      <c r="GK71" s="93"/>
      <c r="GL71" s="93"/>
      <c r="GM71" s="93"/>
      <c r="GN71" s="20"/>
      <c r="GO71" s="29">
        <v>4</v>
      </c>
      <c r="GP71" s="1504">
        <v>36617</v>
      </c>
      <c r="GQ71" s="19"/>
      <c r="GR71" s="93"/>
      <c r="GS71" s="93"/>
      <c r="GT71" s="93"/>
      <c r="GU71" s="93"/>
      <c r="GV71" s="20"/>
      <c r="GW71" s="19"/>
      <c r="GX71" s="93"/>
      <c r="GY71" s="93"/>
      <c r="GZ71" s="93"/>
      <c r="HA71" s="93"/>
      <c r="HB71" s="20"/>
      <c r="HC71" s="19"/>
      <c r="HD71" s="93"/>
      <c r="HE71" s="93"/>
      <c r="HF71" s="93"/>
      <c r="HG71" s="93"/>
      <c r="HH71" s="20"/>
      <c r="HI71" s="19"/>
      <c r="HJ71" s="93"/>
      <c r="HK71" s="93"/>
      <c r="HL71" s="93"/>
      <c r="HM71" s="93"/>
      <c r="HN71" s="20"/>
      <c r="HO71" s="219"/>
      <c r="HP71" s="20"/>
      <c r="HQ71" s="25"/>
      <c r="HR71" s="29">
        <v>4</v>
      </c>
      <c r="HS71" s="1504">
        <v>36617</v>
      </c>
      <c r="HT71" s="19"/>
      <c r="HU71" s="93"/>
      <c r="HV71" s="93"/>
      <c r="HW71" s="93"/>
      <c r="HX71" s="93"/>
      <c r="HY71" s="93"/>
      <c r="HZ71" s="93"/>
      <c r="IA71" s="20"/>
      <c r="IB71" s="19"/>
      <c r="IC71" s="93"/>
      <c r="ID71" s="93"/>
      <c r="IE71" s="93"/>
      <c r="IF71" s="93"/>
      <c r="IG71" s="20"/>
      <c r="IH71" s="19"/>
      <c r="II71" s="93"/>
      <c r="IJ71" s="93"/>
      <c r="IK71" s="93"/>
      <c r="IL71" s="93"/>
      <c r="IM71" s="93"/>
      <c r="IN71" s="93"/>
      <c r="IO71" s="20"/>
      <c r="IP71" s="29">
        <v>4</v>
      </c>
      <c r="IQ71" s="19"/>
      <c r="IR71" s="93"/>
      <c r="IS71" s="93"/>
      <c r="IT71" s="93"/>
      <c r="IU71" s="93"/>
      <c r="IV71" s="20"/>
      <c r="IW71" s="29">
        <v>4</v>
      </c>
      <c r="IX71" s="19"/>
      <c r="IY71" s="93"/>
      <c r="IZ71" s="93"/>
      <c r="JA71" s="93"/>
      <c r="JB71" s="93"/>
      <c r="JC71" s="93"/>
      <c r="JD71" s="93"/>
      <c r="JE71" s="20"/>
      <c r="JF71" s="29">
        <v>4</v>
      </c>
      <c r="JG71" s="19"/>
      <c r="JH71" s="93"/>
      <c r="JI71" s="93"/>
      <c r="JJ71" s="93"/>
      <c r="JK71" s="93"/>
      <c r="JL71" s="93"/>
      <c r="JM71" s="93"/>
      <c r="JN71" s="20"/>
      <c r="JO71" s="29">
        <v>4</v>
      </c>
      <c r="JP71" s="19"/>
      <c r="JQ71" s="93"/>
      <c r="JR71" s="93"/>
      <c r="JS71" s="93"/>
      <c r="JT71" s="93"/>
      <c r="JU71" s="20"/>
      <c r="JV71" s="29">
        <v>4</v>
      </c>
      <c r="JW71" s="1504">
        <v>36617</v>
      </c>
      <c r="JX71" s="19"/>
      <c r="JY71" s="93"/>
      <c r="JZ71" s="93"/>
      <c r="KA71" s="93"/>
      <c r="KB71" s="93"/>
      <c r="KC71" s="93"/>
      <c r="KD71" s="20"/>
      <c r="KE71" s="29">
        <v>4</v>
      </c>
      <c r="KF71" s="19"/>
      <c r="KG71" s="93"/>
      <c r="KH71" s="93"/>
      <c r="KI71" s="93"/>
      <c r="KJ71" s="93"/>
      <c r="KK71" s="20"/>
      <c r="KL71" s="29">
        <v>4</v>
      </c>
      <c r="KM71" s="19"/>
      <c r="KN71" s="93"/>
      <c r="KO71" s="93"/>
      <c r="KP71" s="93"/>
      <c r="KQ71" s="93"/>
      <c r="KR71" s="20"/>
      <c r="KS71" s="29">
        <v>4</v>
      </c>
      <c r="KT71" s="19"/>
      <c r="KU71" s="93"/>
      <c r="KV71" s="93"/>
      <c r="KW71" s="93"/>
      <c r="KX71" s="93"/>
      <c r="KY71" s="20"/>
      <c r="KZ71" s="29">
        <v>4</v>
      </c>
      <c r="LA71" s="1504">
        <v>36617</v>
      </c>
      <c r="LB71" s="19"/>
      <c r="LC71" s="93"/>
      <c r="LD71" s="93"/>
      <c r="LE71" s="93"/>
      <c r="LF71" s="93"/>
      <c r="LG71" s="93"/>
      <c r="LH71" s="20"/>
      <c r="LI71" s="29">
        <v>4</v>
      </c>
      <c r="LJ71" s="19"/>
      <c r="LK71" s="93"/>
      <c r="LL71" s="93"/>
      <c r="LM71" s="93"/>
      <c r="LN71" s="93"/>
      <c r="LO71" s="20"/>
      <c r="LP71" s="29">
        <v>4</v>
      </c>
      <c r="LQ71" s="19"/>
      <c r="LR71" s="93"/>
      <c r="LS71" s="93"/>
      <c r="LT71" s="93"/>
      <c r="LU71" s="93"/>
      <c r="LV71" s="93"/>
      <c r="LW71" s="93"/>
      <c r="LX71" s="93"/>
      <c r="LY71" s="93"/>
      <c r="LZ71" s="93"/>
      <c r="MA71" s="20"/>
      <c r="MB71" s="29">
        <v>4</v>
      </c>
      <c r="MC71" s="1504">
        <v>36617</v>
      </c>
      <c r="MD71" s="19"/>
      <c r="ME71" s="93"/>
      <c r="MF71" s="93"/>
      <c r="MG71" s="93"/>
      <c r="MH71" s="93"/>
      <c r="MI71" s="93"/>
      <c r="MJ71" s="93"/>
      <c r="MK71" s="93"/>
      <c r="ML71" s="93"/>
      <c r="MM71" s="93"/>
      <c r="MN71" s="93"/>
      <c r="MO71" s="93"/>
      <c r="MP71" s="93"/>
      <c r="MQ71" s="93"/>
      <c r="MR71" s="93"/>
      <c r="MS71" s="93"/>
      <c r="MT71" s="93"/>
      <c r="MU71" s="93"/>
      <c r="MV71" s="93"/>
      <c r="MW71" s="93"/>
      <c r="MX71" s="93"/>
      <c r="MY71" s="93"/>
      <c r="MZ71" s="93"/>
      <c r="NA71" s="93"/>
      <c r="NB71" s="93"/>
      <c r="NC71" s="93"/>
      <c r="ND71" s="93"/>
      <c r="NE71" s="93"/>
      <c r="NF71" s="93"/>
      <c r="NG71" s="93"/>
      <c r="NH71" s="93"/>
      <c r="NI71" s="93"/>
      <c r="NJ71" s="93"/>
      <c r="NK71" s="93"/>
      <c r="NL71" s="93"/>
      <c r="NM71" s="93"/>
      <c r="NN71" s="93"/>
      <c r="NO71" s="93"/>
      <c r="NP71" s="93"/>
      <c r="NQ71" s="93"/>
      <c r="NR71" s="93"/>
      <c r="NS71" s="93"/>
      <c r="NT71" s="93"/>
      <c r="NU71" s="93"/>
      <c r="NV71" s="93"/>
      <c r="NW71" s="93"/>
      <c r="NX71" s="93"/>
      <c r="NY71" s="93"/>
      <c r="NZ71" s="93"/>
      <c r="OA71" s="93"/>
      <c r="OB71" s="93"/>
      <c r="OC71" s="93"/>
      <c r="OD71" s="20"/>
      <c r="OE71" s="29">
        <v>4</v>
      </c>
      <c r="OF71" s="1504">
        <v>36617</v>
      </c>
      <c r="OG71" s="19"/>
      <c r="OH71" s="93"/>
      <c r="OI71" s="93"/>
      <c r="OJ71" s="93"/>
      <c r="OK71" s="93"/>
      <c r="OL71" s="93"/>
      <c r="OM71" s="93"/>
      <c r="ON71" s="93"/>
      <c r="OO71" s="93"/>
      <c r="OP71" s="93"/>
      <c r="OQ71" s="93"/>
      <c r="OR71" s="93"/>
      <c r="OS71" s="93"/>
      <c r="OT71" s="93"/>
      <c r="OU71" s="93"/>
      <c r="OV71" s="93"/>
      <c r="OW71" s="93"/>
      <c r="OX71" s="93"/>
      <c r="OY71" s="93"/>
      <c r="OZ71" s="93"/>
      <c r="PA71" s="93"/>
      <c r="PB71" s="93"/>
      <c r="PC71" s="20"/>
      <c r="PD71" s="29">
        <v>4</v>
      </c>
      <c r="PE71" s="19"/>
      <c r="PF71" s="93"/>
      <c r="PG71" s="93"/>
      <c r="PH71" s="93"/>
      <c r="PI71" s="93"/>
      <c r="PJ71" s="93"/>
      <c r="PK71" s="93"/>
      <c r="PL71" s="93"/>
      <c r="PM71" s="93"/>
      <c r="PN71" s="93"/>
      <c r="PO71" s="93"/>
      <c r="PP71" s="93"/>
      <c r="PQ71" s="93"/>
      <c r="PR71" s="93"/>
      <c r="PS71" s="93"/>
      <c r="PT71" s="93"/>
      <c r="PU71" s="93"/>
      <c r="PV71" s="93"/>
      <c r="PW71" s="93"/>
      <c r="PX71" s="93"/>
      <c r="PY71" s="93"/>
      <c r="PZ71" s="93"/>
      <c r="QA71" s="93"/>
      <c r="QB71" s="93"/>
      <c r="QC71" s="93"/>
      <c r="QD71" s="93"/>
      <c r="QE71" s="20"/>
      <c r="QF71" s="1739">
        <v>4</v>
      </c>
      <c r="QG71" s="19"/>
      <c r="QH71" s="93"/>
      <c r="QI71" s="93"/>
      <c r="QJ71" s="93"/>
      <c r="QK71" s="93"/>
      <c r="QL71" s="93"/>
      <c r="QM71" s="93"/>
      <c r="QN71" s="93"/>
      <c r="QO71" s="93"/>
      <c r="QP71" s="93"/>
      <c r="QQ71" s="93"/>
      <c r="QR71" s="93"/>
      <c r="QS71" s="93"/>
      <c r="QT71" s="93"/>
      <c r="QU71" s="93"/>
      <c r="QV71" s="93"/>
      <c r="QW71" s="93"/>
      <c r="QX71" s="93"/>
      <c r="QY71" s="93"/>
      <c r="QZ71" s="93"/>
      <c r="RA71" s="93"/>
      <c r="RB71" s="93"/>
      <c r="RC71" s="93"/>
      <c r="RD71" s="93"/>
      <c r="RE71" s="93"/>
      <c r="RF71" s="93"/>
      <c r="RG71" s="93"/>
      <c r="RH71" s="93"/>
      <c r="RI71" s="93"/>
      <c r="RJ71" s="93"/>
      <c r="RK71" s="93"/>
      <c r="RL71" s="93"/>
      <c r="RM71" s="20"/>
      <c r="RN71" s="29">
        <v>4</v>
      </c>
      <c r="RO71" s="19"/>
      <c r="RP71" s="20"/>
      <c r="RQ71" s="29">
        <v>4</v>
      </c>
      <c r="RR71" s="20"/>
      <c r="RS71" s="29">
        <v>4</v>
      </c>
      <c r="RT71" s="1504">
        <v>36617</v>
      </c>
      <c r="RU71" s="19"/>
      <c r="RV71" s="20"/>
      <c r="RW71" s="29">
        <v>4</v>
      </c>
      <c r="RX71" s="1504">
        <v>36617</v>
      </c>
      <c r="RY71" s="29"/>
      <c r="RZ71" s="20"/>
      <c r="SA71" s="29"/>
      <c r="SB71" s="29">
        <v>4</v>
      </c>
    </row>
    <row r="72" spans="1:496">
      <c r="A72" s="41">
        <f t="shared" si="187"/>
        <v>2000</v>
      </c>
      <c r="B72" s="1504">
        <v>36647</v>
      </c>
      <c r="C72" s="1813"/>
      <c r="D72" s="1814"/>
      <c r="E72" s="1814"/>
      <c r="F72" s="1815"/>
      <c r="G72" s="1814"/>
      <c r="H72" s="1814"/>
      <c r="I72" s="1814"/>
      <c r="J72" s="1816"/>
      <c r="K72" s="1807"/>
      <c r="L72" s="25">
        <v>5</v>
      </c>
      <c r="M72" s="97"/>
      <c r="N72" s="1504">
        <v>36647</v>
      </c>
      <c r="O72" s="19"/>
      <c r="P72" s="93"/>
      <c r="Q72" s="93"/>
      <c r="R72" s="93"/>
      <c r="S72" s="93"/>
      <c r="T72" s="93"/>
      <c r="U72" s="93"/>
      <c r="V72" s="93"/>
      <c r="W72" s="93"/>
      <c r="X72" s="93"/>
      <c r="Y72" s="93"/>
      <c r="Z72" s="93"/>
      <c r="AA72" s="93"/>
      <c r="AB72" s="20"/>
      <c r="AC72" s="25">
        <v>5</v>
      </c>
      <c r="AD72" s="97"/>
      <c r="AE72" s="1504">
        <v>36647</v>
      </c>
      <c r="AF72" s="19"/>
      <c r="AG72" s="93"/>
      <c r="AH72" s="93"/>
      <c r="AI72" s="93"/>
      <c r="AJ72" s="93"/>
      <c r="AK72" s="93"/>
      <c r="AL72" s="93"/>
      <c r="AM72" s="93"/>
      <c r="AN72" s="93"/>
      <c r="AO72" s="93"/>
      <c r="AP72" s="93"/>
      <c r="AQ72" s="93"/>
      <c r="AR72" s="93"/>
      <c r="AS72" s="20"/>
      <c r="AT72" s="25">
        <v>5</v>
      </c>
      <c r="AU72" s="97"/>
      <c r="AV72" s="1504">
        <v>36647</v>
      </c>
      <c r="AW72" s="19"/>
      <c r="AX72" s="93"/>
      <c r="AY72" s="93"/>
      <c r="AZ72" s="93"/>
      <c r="BA72" s="93"/>
      <c r="BB72" s="93"/>
      <c r="BC72" s="93"/>
      <c r="BD72" s="93"/>
      <c r="BE72" s="93"/>
      <c r="BF72" s="93"/>
      <c r="BG72" s="93"/>
      <c r="BH72" s="93"/>
      <c r="BI72" s="93"/>
      <c r="BJ72" s="20"/>
      <c r="BK72" s="25">
        <v>5</v>
      </c>
      <c r="BL72" s="97"/>
      <c r="BM72" s="1504">
        <v>36647</v>
      </c>
      <c r="BN72" s="19"/>
      <c r="BO72" s="93"/>
      <c r="BP72" s="93"/>
      <c r="BQ72" s="93"/>
      <c r="BR72" s="93"/>
      <c r="BS72" s="93"/>
      <c r="BT72" s="93"/>
      <c r="BU72" s="20"/>
      <c r="BV72" s="25">
        <v>5</v>
      </c>
      <c r="BW72" s="97"/>
      <c r="BX72" s="1504">
        <v>36647</v>
      </c>
      <c r="BY72" s="19"/>
      <c r="BZ72" s="99">
        <v>664.95699999999999</v>
      </c>
      <c r="CA72" s="93"/>
      <c r="CB72" s="93"/>
      <c r="CC72" s="93"/>
      <c r="CD72" s="25">
        <v>5</v>
      </c>
      <c r="CE72" s="97"/>
      <c r="CF72" s="1504">
        <v>36647</v>
      </c>
      <c r="CG72" s="19">
        <v>1.3335999999999999</v>
      </c>
      <c r="CH72" s="93">
        <v>275.19</v>
      </c>
      <c r="CI72" s="219"/>
      <c r="CJ72" s="20"/>
      <c r="CK72" s="19"/>
      <c r="CL72" s="93"/>
      <c r="CM72" s="93"/>
      <c r="CN72" s="93"/>
      <c r="CO72" s="93"/>
      <c r="CP72" s="20"/>
      <c r="CQ72" s="219">
        <v>793.66</v>
      </c>
      <c r="CR72" s="93">
        <v>2.0099999999999998</v>
      </c>
      <c r="CS72" s="93"/>
      <c r="CT72" s="93"/>
      <c r="CU72" s="93"/>
      <c r="CV72" s="214"/>
      <c r="CW72" s="29">
        <v>5</v>
      </c>
      <c r="CX72" s="41">
        <f t="shared" si="188"/>
        <v>2000</v>
      </c>
      <c r="CY72" s="1504">
        <v>36647</v>
      </c>
      <c r="CZ72" s="19"/>
      <c r="DA72" s="93"/>
      <c r="DB72" s="93"/>
      <c r="DC72" s="93"/>
      <c r="DD72" s="93"/>
      <c r="DE72" s="20"/>
      <c r="DF72" s="29">
        <v>5</v>
      </c>
      <c r="DG72" s="1504">
        <v>36647</v>
      </c>
      <c r="DH72" s="19"/>
      <c r="DI72" s="93"/>
      <c r="DJ72" s="93"/>
      <c r="DK72" s="93"/>
      <c r="DL72" s="93"/>
      <c r="DM72" s="93"/>
      <c r="DN72" s="20"/>
      <c r="DO72" s="25"/>
      <c r="DP72" s="29">
        <v>5</v>
      </c>
      <c r="DQ72" s="1504">
        <v>36647</v>
      </c>
      <c r="DR72" s="19"/>
      <c r="DS72" s="93"/>
      <c r="DT72" s="93"/>
      <c r="DU72" s="93"/>
      <c r="DV72" s="93"/>
      <c r="DW72" s="93"/>
      <c r="DX72" s="20"/>
      <c r="DY72" s="29">
        <v>5</v>
      </c>
      <c r="DZ72" s="1504">
        <v>36647</v>
      </c>
      <c r="EA72" s="19"/>
      <c r="EB72" s="93"/>
      <c r="EC72" s="20"/>
      <c r="ED72" s="29">
        <v>5</v>
      </c>
      <c r="EE72" s="1504">
        <v>36647</v>
      </c>
      <c r="EF72" s="19"/>
      <c r="EG72" s="93"/>
      <c r="EH72" s="93"/>
      <c r="EI72" s="214"/>
      <c r="EJ72" s="93"/>
      <c r="EK72" s="93"/>
      <c r="EL72" s="93"/>
      <c r="EM72" s="93"/>
      <c r="EN72" s="20"/>
      <c r="EO72" s="29">
        <v>5</v>
      </c>
      <c r="EP72" s="1504">
        <v>36647</v>
      </c>
      <c r="EQ72" s="19"/>
      <c r="ER72" s="93"/>
      <c r="ES72" s="93"/>
      <c r="ET72" s="214"/>
      <c r="EU72" s="93"/>
      <c r="EV72" s="93"/>
      <c r="EW72" s="93"/>
      <c r="EX72" s="93"/>
      <c r="EY72" s="20"/>
      <c r="EZ72" s="29">
        <v>5</v>
      </c>
      <c r="FA72" s="1504">
        <v>36647</v>
      </c>
      <c r="FB72" s="29"/>
      <c r="FC72" s="29"/>
      <c r="FD72" s="29"/>
      <c r="FE72" s="29"/>
      <c r="FF72" s="29"/>
      <c r="FG72" s="29"/>
      <c r="FH72" s="29"/>
      <c r="FI72" s="29"/>
      <c r="FJ72" s="29"/>
      <c r="FK72" s="29">
        <v>5</v>
      </c>
      <c r="FL72" s="1504">
        <v>36647</v>
      </c>
      <c r="FM72" s="19"/>
      <c r="FN72" s="93"/>
      <c r="FO72" s="93"/>
      <c r="FP72" s="93"/>
      <c r="FQ72" s="93"/>
      <c r="FR72" s="93"/>
      <c r="FS72" s="93"/>
      <c r="FT72" s="93"/>
      <c r="FU72" s="93"/>
      <c r="FV72" s="93"/>
      <c r="FW72" s="93"/>
      <c r="FX72" s="93"/>
      <c r="FY72" s="93"/>
      <c r="FZ72" s="29">
        <v>5</v>
      </c>
      <c r="GA72" s="1504">
        <v>36647</v>
      </c>
      <c r="GB72" s="19"/>
      <c r="GC72" s="93"/>
      <c r="GD72" s="93"/>
      <c r="GE72" s="93"/>
      <c r="GF72" s="93"/>
      <c r="GG72" s="93"/>
      <c r="GH72" s="93"/>
      <c r="GI72" s="93"/>
      <c r="GJ72" s="93"/>
      <c r="GK72" s="93"/>
      <c r="GL72" s="93"/>
      <c r="GM72" s="93"/>
      <c r="GN72" s="20"/>
      <c r="GO72" s="29">
        <v>5</v>
      </c>
      <c r="GP72" s="1504">
        <v>36647</v>
      </c>
      <c r="GQ72" s="19"/>
      <c r="GR72" s="93"/>
      <c r="GS72" s="93"/>
      <c r="GT72" s="93"/>
      <c r="GU72" s="93"/>
      <c r="GV72" s="20"/>
      <c r="GW72" s="19"/>
      <c r="GX72" s="93"/>
      <c r="GY72" s="93"/>
      <c r="GZ72" s="93"/>
      <c r="HA72" s="93"/>
      <c r="HB72" s="20"/>
      <c r="HC72" s="19"/>
      <c r="HD72" s="93"/>
      <c r="HE72" s="93"/>
      <c r="HF72" s="93"/>
      <c r="HG72" s="93"/>
      <c r="HH72" s="20"/>
      <c r="HI72" s="19"/>
      <c r="HJ72" s="93"/>
      <c r="HK72" s="93"/>
      <c r="HL72" s="93"/>
      <c r="HM72" s="93"/>
      <c r="HN72" s="20"/>
      <c r="HO72" s="219"/>
      <c r="HP72" s="20"/>
      <c r="HQ72" s="25"/>
      <c r="HR72" s="29">
        <v>5</v>
      </c>
      <c r="HS72" s="1504">
        <v>36647</v>
      </c>
      <c r="HT72" s="19"/>
      <c r="HU72" s="93"/>
      <c r="HV72" s="93"/>
      <c r="HW72" s="93"/>
      <c r="HX72" s="93"/>
      <c r="HY72" s="93"/>
      <c r="HZ72" s="93"/>
      <c r="IA72" s="20"/>
      <c r="IB72" s="19"/>
      <c r="IC72" s="93"/>
      <c r="ID72" s="93"/>
      <c r="IE72" s="93"/>
      <c r="IF72" s="93"/>
      <c r="IG72" s="20"/>
      <c r="IH72" s="19"/>
      <c r="II72" s="93"/>
      <c r="IJ72" s="93"/>
      <c r="IK72" s="93"/>
      <c r="IL72" s="93"/>
      <c r="IM72" s="93"/>
      <c r="IN72" s="93"/>
      <c r="IO72" s="20"/>
      <c r="IP72" s="29">
        <v>5</v>
      </c>
      <c r="IQ72" s="19"/>
      <c r="IR72" s="93"/>
      <c r="IS72" s="93"/>
      <c r="IT72" s="93"/>
      <c r="IU72" s="93"/>
      <c r="IV72" s="20"/>
      <c r="IW72" s="29">
        <v>5</v>
      </c>
      <c r="IX72" s="19"/>
      <c r="IY72" s="93"/>
      <c r="IZ72" s="93"/>
      <c r="JA72" s="93"/>
      <c r="JB72" s="93"/>
      <c r="JC72" s="93"/>
      <c r="JD72" s="93"/>
      <c r="JE72" s="20"/>
      <c r="JF72" s="29">
        <v>5</v>
      </c>
      <c r="JG72" s="19"/>
      <c r="JH72" s="93"/>
      <c r="JI72" s="93"/>
      <c r="JJ72" s="93"/>
      <c r="JK72" s="93"/>
      <c r="JL72" s="93"/>
      <c r="JM72" s="93"/>
      <c r="JN72" s="20"/>
      <c r="JO72" s="29">
        <v>5</v>
      </c>
      <c r="JP72" s="19"/>
      <c r="JQ72" s="93"/>
      <c r="JR72" s="93"/>
      <c r="JS72" s="93"/>
      <c r="JT72" s="93"/>
      <c r="JU72" s="20"/>
      <c r="JV72" s="29">
        <v>5</v>
      </c>
      <c r="JW72" s="1504">
        <v>36647</v>
      </c>
      <c r="JX72" s="19"/>
      <c r="JY72" s="93"/>
      <c r="JZ72" s="93"/>
      <c r="KA72" s="93"/>
      <c r="KB72" s="93"/>
      <c r="KC72" s="93"/>
      <c r="KD72" s="20"/>
      <c r="KE72" s="29">
        <v>5</v>
      </c>
      <c r="KF72" s="19"/>
      <c r="KG72" s="93"/>
      <c r="KH72" s="93"/>
      <c r="KI72" s="93"/>
      <c r="KJ72" s="93"/>
      <c r="KK72" s="20"/>
      <c r="KL72" s="29">
        <v>5</v>
      </c>
      <c r="KM72" s="19"/>
      <c r="KN72" s="93"/>
      <c r="KO72" s="93"/>
      <c r="KP72" s="93"/>
      <c r="KQ72" s="93"/>
      <c r="KR72" s="20"/>
      <c r="KS72" s="29">
        <v>5</v>
      </c>
      <c r="KT72" s="19"/>
      <c r="KU72" s="93"/>
      <c r="KV72" s="93"/>
      <c r="KW72" s="93"/>
      <c r="KX72" s="93"/>
      <c r="KY72" s="20"/>
      <c r="KZ72" s="29">
        <v>5</v>
      </c>
      <c r="LA72" s="1504">
        <v>36647</v>
      </c>
      <c r="LB72" s="19"/>
      <c r="LC72" s="93"/>
      <c r="LD72" s="93"/>
      <c r="LE72" s="93"/>
      <c r="LF72" s="93"/>
      <c r="LG72" s="93"/>
      <c r="LH72" s="20"/>
      <c r="LI72" s="29">
        <v>5</v>
      </c>
      <c r="LJ72" s="19"/>
      <c r="LK72" s="93"/>
      <c r="LL72" s="93"/>
      <c r="LM72" s="93"/>
      <c r="LN72" s="93"/>
      <c r="LO72" s="20"/>
      <c r="LP72" s="29">
        <v>5</v>
      </c>
      <c r="LQ72" s="19"/>
      <c r="LR72" s="93"/>
      <c r="LS72" s="93"/>
      <c r="LT72" s="93"/>
      <c r="LU72" s="93"/>
      <c r="LV72" s="93"/>
      <c r="LW72" s="93"/>
      <c r="LX72" s="93"/>
      <c r="LY72" s="93"/>
      <c r="LZ72" s="93"/>
      <c r="MA72" s="20"/>
      <c r="MB72" s="29">
        <v>5</v>
      </c>
      <c r="MC72" s="1504">
        <v>36647</v>
      </c>
      <c r="MD72" s="19"/>
      <c r="ME72" s="93"/>
      <c r="MF72" s="93"/>
      <c r="MG72" s="93"/>
      <c r="MH72" s="93"/>
      <c r="MI72" s="93"/>
      <c r="MJ72" s="93"/>
      <c r="MK72" s="93"/>
      <c r="ML72" s="93"/>
      <c r="MM72" s="93"/>
      <c r="MN72" s="93"/>
      <c r="MO72" s="93"/>
      <c r="MP72" s="93"/>
      <c r="MQ72" s="93"/>
      <c r="MR72" s="93"/>
      <c r="MS72" s="93"/>
      <c r="MT72" s="93"/>
      <c r="MU72" s="93"/>
      <c r="MV72" s="93"/>
      <c r="MW72" s="93"/>
      <c r="MX72" s="93"/>
      <c r="MY72" s="93"/>
      <c r="MZ72" s="93"/>
      <c r="NA72" s="93"/>
      <c r="NB72" s="93"/>
      <c r="NC72" s="93"/>
      <c r="ND72" s="93"/>
      <c r="NE72" s="93"/>
      <c r="NF72" s="93"/>
      <c r="NG72" s="93"/>
      <c r="NH72" s="93"/>
      <c r="NI72" s="93"/>
      <c r="NJ72" s="93"/>
      <c r="NK72" s="93"/>
      <c r="NL72" s="93"/>
      <c r="NM72" s="93"/>
      <c r="NN72" s="93"/>
      <c r="NO72" s="93"/>
      <c r="NP72" s="93"/>
      <c r="NQ72" s="93"/>
      <c r="NR72" s="93"/>
      <c r="NS72" s="93"/>
      <c r="NT72" s="93"/>
      <c r="NU72" s="93"/>
      <c r="NV72" s="93"/>
      <c r="NW72" s="93"/>
      <c r="NX72" s="93"/>
      <c r="NY72" s="93"/>
      <c r="NZ72" s="93"/>
      <c r="OA72" s="93"/>
      <c r="OB72" s="93"/>
      <c r="OC72" s="93"/>
      <c r="OD72" s="20"/>
      <c r="OE72" s="29">
        <v>5</v>
      </c>
      <c r="OF72" s="1504">
        <v>36647</v>
      </c>
      <c r="OG72" s="19"/>
      <c r="OH72" s="93"/>
      <c r="OI72" s="93"/>
      <c r="OJ72" s="93"/>
      <c r="OK72" s="93"/>
      <c r="OL72" s="93"/>
      <c r="OM72" s="93"/>
      <c r="ON72" s="93"/>
      <c r="OO72" s="93"/>
      <c r="OP72" s="93"/>
      <c r="OQ72" s="93"/>
      <c r="OR72" s="93"/>
      <c r="OS72" s="93"/>
      <c r="OT72" s="93"/>
      <c r="OU72" s="93"/>
      <c r="OV72" s="93"/>
      <c r="OW72" s="93"/>
      <c r="OX72" s="93"/>
      <c r="OY72" s="93"/>
      <c r="OZ72" s="93"/>
      <c r="PA72" s="93"/>
      <c r="PB72" s="93"/>
      <c r="PC72" s="20"/>
      <c r="PD72" s="29">
        <v>5</v>
      </c>
      <c r="PE72" s="19"/>
      <c r="PF72" s="93"/>
      <c r="PG72" s="93"/>
      <c r="PH72" s="93"/>
      <c r="PI72" s="93"/>
      <c r="PJ72" s="93"/>
      <c r="PK72" s="93"/>
      <c r="PL72" s="93"/>
      <c r="PM72" s="93"/>
      <c r="PN72" s="93"/>
      <c r="PO72" s="93"/>
      <c r="PP72" s="93"/>
      <c r="PQ72" s="93"/>
      <c r="PR72" s="93"/>
      <c r="PS72" s="93"/>
      <c r="PT72" s="93"/>
      <c r="PU72" s="93"/>
      <c r="PV72" s="93"/>
      <c r="PW72" s="93"/>
      <c r="PX72" s="93"/>
      <c r="PY72" s="93"/>
      <c r="PZ72" s="93"/>
      <c r="QA72" s="93"/>
      <c r="QB72" s="93"/>
      <c r="QC72" s="93"/>
      <c r="QD72" s="93"/>
      <c r="QE72" s="20"/>
      <c r="QF72" s="1739">
        <v>5</v>
      </c>
      <c r="QG72" s="19"/>
      <c r="QH72" s="93"/>
      <c r="QI72" s="93"/>
      <c r="QJ72" s="93"/>
      <c r="QK72" s="93"/>
      <c r="QL72" s="93"/>
      <c r="QM72" s="93"/>
      <c r="QN72" s="93"/>
      <c r="QO72" s="93"/>
      <c r="QP72" s="93"/>
      <c r="QQ72" s="93"/>
      <c r="QR72" s="93"/>
      <c r="QS72" s="93"/>
      <c r="QT72" s="93"/>
      <c r="QU72" s="93"/>
      <c r="QV72" s="93"/>
      <c r="QW72" s="93"/>
      <c r="QX72" s="93"/>
      <c r="QY72" s="93"/>
      <c r="QZ72" s="93"/>
      <c r="RA72" s="93"/>
      <c r="RB72" s="93"/>
      <c r="RC72" s="93"/>
      <c r="RD72" s="93"/>
      <c r="RE72" s="93"/>
      <c r="RF72" s="93"/>
      <c r="RG72" s="93"/>
      <c r="RH72" s="93"/>
      <c r="RI72" s="93"/>
      <c r="RJ72" s="93"/>
      <c r="RK72" s="93"/>
      <c r="RL72" s="93"/>
      <c r="RM72" s="20"/>
      <c r="RN72" s="29">
        <v>5</v>
      </c>
      <c r="RO72" s="19"/>
      <c r="RP72" s="20"/>
      <c r="RQ72" s="29">
        <v>5</v>
      </c>
      <c r="RR72" s="20"/>
      <c r="RS72" s="29">
        <v>5</v>
      </c>
      <c r="RT72" s="1504">
        <v>36647</v>
      </c>
      <c r="RU72" s="19"/>
      <c r="RV72" s="20"/>
      <c r="RW72" s="29">
        <v>5</v>
      </c>
      <c r="RX72" s="1504">
        <v>36647</v>
      </c>
      <c r="RY72" s="29"/>
      <c r="RZ72" s="20"/>
      <c r="SA72" s="29"/>
      <c r="SB72" s="29">
        <v>5</v>
      </c>
    </row>
    <row r="73" spans="1:496">
      <c r="A73" s="41">
        <f t="shared" si="187"/>
        <v>2000</v>
      </c>
      <c r="B73" s="1504">
        <v>36678</v>
      </c>
      <c r="C73" s="1813"/>
      <c r="D73" s="1814"/>
      <c r="E73" s="1814"/>
      <c r="F73" s="1815"/>
      <c r="G73" s="1814"/>
      <c r="H73" s="1814"/>
      <c r="I73" s="1814"/>
      <c r="J73" s="1816"/>
      <c r="K73" s="1807"/>
      <c r="L73" s="25">
        <v>6</v>
      </c>
      <c r="M73" s="97"/>
      <c r="N73" s="1504">
        <v>36678</v>
      </c>
      <c r="O73" s="19"/>
      <c r="P73" s="93"/>
      <c r="Q73" s="93"/>
      <c r="R73" s="93"/>
      <c r="S73" s="93"/>
      <c r="T73" s="93"/>
      <c r="U73" s="93"/>
      <c r="V73" s="93"/>
      <c r="W73" s="93"/>
      <c r="X73" s="93"/>
      <c r="Y73" s="93"/>
      <c r="Z73" s="93"/>
      <c r="AA73" s="93"/>
      <c r="AB73" s="20"/>
      <c r="AC73" s="25">
        <v>6</v>
      </c>
      <c r="AD73" s="97"/>
      <c r="AE73" s="1504">
        <v>36678</v>
      </c>
      <c r="AF73" s="19"/>
      <c r="AG73" s="93"/>
      <c r="AH73" s="93"/>
      <c r="AI73" s="93"/>
      <c r="AJ73" s="93"/>
      <c r="AK73" s="93"/>
      <c r="AL73" s="93"/>
      <c r="AM73" s="93"/>
      <c r="AN73" s="93"/>
      <c r="AO73" s="93"/>
      <c r="AP73" s="93"/>
      <c r="AQ73" s="93"/>
      <c r="AR73" s="93"/>
      <c r="AS73" s="20"/>
      <c r="AT73" s="25">
        <v>6</v>
      </c>
      <c r="AU73" s="97"/>
      <c r="AV73" s="1504">
        <v>36678</v>
      </c>
      <c r="AW73" s="19"/>
      <c r="AX73" s="93"/>
      <c r="AY73" s="93"/>
      <c r="AZ73" s="93"/>
      <c r="BA73" s="93"/>
      <c r="BB73" s="93"/>
      <c r="BC73" s="93"/>
      <c r="BD73" s="93"/>
      <c r="BE73" s="93"/>
      <c r="BF73" s="93"/>
      <c r="BG73" s="93"/>
      <c r="BH73" s="93"/>
      <c r="BI73" s="93"/>
      <c r="BJ73" s="20"/>
      <c r="BK73" s="25">
        <v>6</v>
      </c>
      <c r="BL73" s="97"/>
      <c r="BM73" s="1504">
        <v>36678</v>
      </c>
      <c r="BN73" s="19"/>
      <c r="BO73" s="93"/>
      <c r="BP73" s="93"/>
      <c r="BQ73" s="93"/>
      <c r="BR73" s="93"/>
      <c r="BS73" s="93"/>
      <c r="BT73" s="93"/>
      <c r="BU73" s="20"/>
      <c r="BV73" s="25">
        <v>6</v>
      </c>
      <c r="BW73" s="97"/>
      <c r="BX73" s="1504">
        <v>36678</v>
      </c>
      <c r="BY73" s="19"/>
      <c r="BZ73" s="99">
        <v>664.95699999999999</v>
      </c>
      <c r="CA73" s="93"/>
      <c r="CB73" s="93"/>
      <c r="CC73" s="93"/>
      <c r="CD73" s="25">
        <v>6</v>
      </c>
      <c r="CE73" s="97"/>
      <c r="CF73" s="1504">
        <v>36678</v>
      </c>
      <c r="CG73" s="19">
        <v>1.3110999999999999</v>
      </c>
      <c r="CH73" s="93">
        <v>285.73</v>
      </c>
      <c r="CI73" s="219"/>
      <c r="CJ73" s="20"/>
      <c r="CK73" s="19"/>
      <c r="CL73" s="93"/>
      <c r="CM73" s="93"/>
      <c r="CN73" s="93"/>
      <c r="CO73" s="93"/>
      <c r="CP73" s="20"/>
      <c r="CQ73" s="219">
        <v>783.14</v>
      </c>
      <c r="CR73" s="93">
        <v>2.0474999999999999</v>
      </c>
      <c r="CS73" s="93"/>
      <c r="CT73" s="93"/>
      <c r="CU73" s="93"/>
      <c r="CV73" s="214"/>
      <c r="CW73" s="29">
        <v>6</v>
      </c>
      <c r="CX73" s="41">
        <f t="shared" si="188"/>
        <v>2000</v>
      </c>
      <c r="CY73" s="1504">
        <v>36678</v>
      </c>
      <c r="CZ73" s="19"/>
      <c r="DA73" s="93"/>
      <c r="DB73" s="93"/>
      <c r="DC73" s="93"/>
      <c r="DD73" s="93"/>
      <c r="DE73" s="20"/>
      <c r="DF73" s="29">
        <v>6</v>
      </c>
      <c r="DG73" s="1504">
        <v>36678</v>
      </c>
      <c r="DH73" s="19"/>
      <c r="DI73" s="93"/>
      <c r="DJ73" s="93"/>
      <c r="DK73" s="93"/>
      <c r="DL73" s="93"/>
      <c r="DM73" s="93"/>
      <c r="DN73" s="20"/>
      <c r="DO73" s="25"/>
      <c r="DP73" s="29">
        <v>6</v>
      </c>
      <c r="DQ73" s="1504">
        <v>36678</v>
      </c>
      <c r="DR73" s="19"/>
      <c r="DS73" s="93"/>
      <c r="DT73" s="93"/>
      <c r="DU73" s="93"/>
      <c r="DV73" s="93"/>
      <c r="DW73" s="93"/>
      <c r="DX73" s="20"/>
      <c r="DY73" s="29">
        <v>6</v>
      </c>
      <c r="DZ73" s="1504">
        <v>36678</v>
      </c>
      <c r="EA73" s="19"/>
      <c r="EB73" s="93"/>
      <c r="EC73" s="20"/>
      <c r="ED73" s="29">
        <v>6</v>
      </c>
      <c r="EE73" s="1504">
        <v>36678</v>
      </c>
      <c r="EF73" s="19"/>
      <c r="EG73" s="93"/>
      <c r="EH73" s="93"/>
      <c r="EI73" s="214"/>
      <c r="EJ73" s="93"/>
      <c r="EK73" s="93"/>
      <c r="EL73" s="93"/>
      <c r="EM73" s="93"/>
      <c r="EN73" s="20"/>
      <c r="EO73" s="29">
        <v>6</v>
      </c>
      <c r="EP73" s="1504">
        <v>36678</v>
      </c>
      <c r="EQ73" s="19"/>
      <c r="ER73" s="93"/>
      <c r="ES73" s="93"/>
      <c r="ET73" s="214"/>
      <c r="EU73" s="93"/>
      <c r="EV73" s="93"/>
      <c r="EW73" s="93"/>
      <c r="EX73" s="93"/>
      <c r="EY73" s="20"/>
      <c r="EZ73" s="29">
        <v>6</v>
      </c>
      <c r="FA73" s="1504">
        <v>36678</v>
      </c>
      <c r="FB73" s="29"/>
      <c r="FC73" s="29"/>
      <c r="FD73" s="29"/>
      <c r="FE73" s="29"/>
      <c r="FF73" s="29"/>
      <c r="FG73" s="29"/>
      <c r="FH73" s="29"/>
      <c r="FI73" s="29"/>
      <c r="FJ73" s="29"/>
      <c r="FK73" s="29">
        <v>6</v>
      </c>
      <c r="FL73" s="1504">
        <v>36678</v>
      </c>
      <c r="FM73" s="19"/>
      <c r="FN73" s="93"/>
      <c r="FO73" s="93"/>
      <c r="FP73" s="93"/>
      <c r="FQ73" s="93"/>
      <c r="FR73" s="93"/>
      <c r="FS73" s="93"/>
      <c r="FT73" s="93"/>
      <c r="FU73" s="93"/>
      <c r="FV73" s="93"/>
      <c r="FW73" s="93"/>
      <c r="FX73" s="93"/>
      <c r="FY73" s="93"/>
      <c r="FZ73" s="29">
        <v>6</v>
      </c>
      <c r="GA73" s="1504">
        <v>36678</v>
      </c>
      <c r="GB73" s="19"/>
      <c r="GC73" s="93"/>
      <c r="GD73" s="93"/>
      <c r="GE73" s="93"/>
      <c r="GF73" s="93"/>
      <c r="GG73" s="93"/>
      <c r="GH73" s="93"/>
      <c r="GI73" s="93"/>
      <c r="GJ73" s="93"/>
      <c r="GK73" s="93"/>
      <c r="GL73" s="93"/>
      <c r="GM73" s="93"/>
      <c r="GN73" s="20"/>
      <c r="GO73" s="29">
        <v>6</v>
      </c>
      <c r="GP73" s="1504">
        <v>36678</v>
      </c>
      <c r="GQ73" s="19"/>
      <c r="GR73" s="93"/>
      <c r="GS73" s="93"/>
      <c r="GT73" s="93"/>
      <c r="GU73" s="93"/>
      <c r="GV73" s="20"/>
      <c r="GW73" s="19"/>
      <c r="GX73" s="93"/>
      <c r="GY73" s="93"/>
      <c r="GZ73" s="93"/>
      <c r="HA73" s="93"/>
      <c r="HB73" s="20"/>
      <c r="HC73" s="19"/>
      <c r="HD73" s="93"/>
      <c r="HE73" s="93"/>
      <c r="HF73" s="93"/>
      <c r="HG73" s="93"/>
      <c r="HH73" s="20"/>
      <c r="HI73" s="19"/>
      <c r="HJ73" s="93"/>
      <c r="HK73" s="93"/>
      <c r="HL73" s="93"/>
      <c r="HM73" s="93"/>
      <c r="HN73" s="20"/>
      <c r="HO73" s="219"/>
      <c r="HP73" s="20"/>
      <c r="HQ73" s="25"/>
      <c r="HR73" s="29">
        <v>6</v>
      </c>
      <c r="HS73" s="1504">
        <v>36678</v>
      </c>
      <c r="HT73" s="19"/>
      <c r="HU73" s="93"/>
      <c r="HV73" s="93"/>
      <c r="HW73" s="93"/>
      <c r="HX73" s="93"/>
      <c r="HY73" s="93"/>
      <c r="HZ73" s="93"/>
      <c r="IA73" s="20"/>
      <c r="IB73" s="19"/>
      <c r="IC73" s="93"/>
      <c r="ID73" s="93"/>
      <c r="IE73" s="93"/>
      <c r="IF73" s="93"/>
      <c r="IG73" s="20"/>
      <c r="IH73" s="19"/>
      <c r="II73" s="93"/>
      <c r="IJ73" s="93"/>
      <c r="IK73" s="93"/>
      <c r="IL73" s="93"/>
      <c r="IM73" s="93"/>
      <c r="IN73" s="93"/>
      <c r="IO73" s="20"/>
      <c r="IP73" s="29">
        <v>6</v>
      </c>
      <c r="IQ73" s="19"/>
      <c r="IR73" s="93"/>
      <c r="IS73" s="93"/>
      <c r="IT73" s="93"/>
      <c r="IU73" s="93"/>
      <c r="IV73" s="20"/>
      <c r="IW73" s="29">
        <v>6</v>
      </c>
      <c r="IX73" s="19"/>
      <c r="IY73" s="93"/>
      <c r="IZ73" s="93"/>
      <c r="JA73" s="93"/>
      <c r="JB73" s="93"/>
      <c r="JC73" s="93"/>
      <c r="JD73" s="93"/>
      <c r="JE73" s="20"/>
      <c r="JF73" s="29">
        <v>6</v>
      </c>
      <c r="JG73" s="19"/>
      <c r="JH73" s="93"/>
      <c r="JI73" s="93"/>
      <c r="JJ73" s="93"/>
      <c r="JK73" s="93"/>
      <c r="JL73" s="93"/>
      <c r="JM73" s="93"/>
      <c r="JN73" s="20"/>
      <c r="JO73" s="29">
        <v>6</v>
      </c>
      <c r="JP73" s="19"/>
      <c r="JQ73" s="93"/>
      <c r="JR73" s="93"/>
      <c r="JS73" s="93"/>
      <c r="JT73" s="93"/>
      <c r="JU73" s="20"/>
      <c r="JV73" s="29">
        <v>6</v>
      </c>
      <c r="JW73" s="1504">
        <v>36678</v>
      </c>
      <c r="JX73" s="19"/>
      <c r="JY73" s="93"/>
      <c r="JZ73" s="93"/>
      <c r="KA73" s="93"/>
      <c r="KB73" s="93"/>
      <c r="KC73" s="93"/>
      <c r="KD73" s="20"/>
      <c r="KE73" s="29">
        <v>6</v>
      </c>
      <c r="KF73" s="19"/>
      <c r="KG73" s="93"/>
      <c r="KH73" s="93"/>
      <c r="KI73" s="93"/>
      <c r="KJ73" s="93"/>
      <c r="KK73" s="20"/>
      <c r="KL73" s="29">
        <v>6</v>
      </c>
      <c r="KM73" s="19"/>
      <c r="KN73" s="93"/>
      <c r="KO73" s="93"/>
      <c r="KP73" s="93"/>
      <c r="KQ73" s="93"/>
      <c r="KR73" s="20"/>
      <c r="KS73" s="29">
        <v>6</v>
      </c>
      <c r="KT73" s="19"/>
      <c r="KU73" s="93"/>
      <c r="KV73" s="93"/>
      <c r="KW73" s="93"/>
      <c r="KX73" s="93"/>
      <c r="KY73" s="20"/>
      <c r="KZ73" s="29">
        <v>6</v>
      </c>
      <c r="LA73" s="1504">
        <v>36678</v>
      </c>
      <c r="LB73" s="19"/>
      <c r="LC73" s="93"/>
      <c r="LD73" s="93"/>
      <c r="LE73" s="93"/>
      <c r="LF73" s="93"/>
      <c r="LG73" s="93"/>
      <c r="LH73" s="20"/>
      <c r="LI73" s="29">
        <v>6</v>
      </c>
      <c r="LJ73" s="19"/>
      <c r="LK73" s="93"/>
      <c r="LL73" s="93"/>
      <c r="LM73" s="93"/>
      <c r="LN73" s="93"/>
      <c r="LO73" s="20"/>
      <c r="LP73" s="29">
        <v>6</v>
      </c>
      <c r="LQ73" s="19"/>
      <c r="LR73" s="93"/>
      <c r="LS73" s="93"/>
      <c r="LT73" s="93"/>
      <c r="LU73" s="93"/>
      <c r="LV73" s="93"/>
      <c r="LW73" s="93"/>
      <c r="LX73" s="93"/>
      <c r="LY73" s="93"/>
      <c r="LZ73" s="93"/>
      <c r="MA73" s="20"/>
      <c r="MB73" s="29">
        <v>6</v>
      </c>
      <c r="MC73" s="1504">
        <v>36678</v>
      </c>
      <c r="MD73" s="19"/>
      <c r="ME73" s="93"/>
      <c r="MF73" s="93"/>
      <c r="MG73" s="93"/>
      <c r="MH73" s="93"/>
      <c r="MI73" s="93"/>
      <c r="MJ73" s="93"/>
      <c r="MK73" s="93"/>
      <c r="ML73" s="93"/>
      <c r="MM73" s="93"/>
      <c r="MN73" s="93"/>
      <c r="MO73" s="93"/>
      <c r="MP73" s="93"/>
      <c r="MQ73" s="93"/>
      <c r="MR73" s="93"/>
      <c r="MS73" s="93"/>
      <c r="MT73" s="93"/>
      <c r="MU73" s="93"/>
      <c r="MV73" s="93"/>
      <c r="MW73" s="93"/>
      <c r="MX73" s="93"/>
      <c r="MY73" s="93"/>
      <c r="MZ73" s="93"/>
      <c r="NA73" s="93"/>
      <c r="NB73" s="93"/>
      <c r="NC73" s="93"/>
      <c r="ND73" s="93"/>
      <c r="NE73" s="93"/>
      <c r="NF73" s="93"/>
      <c r="NG73" s="93"/>
      <c r="NH73" s="93"/>
      <c r="NI73" s="93"/>
      <c r="NJ73" s="93"/>
      <c r="NK73" s="93"/>
      <c r="NL73" s="93"/>
      <c r="NM73" s="93"/>
      <c r="NN73" s="93"/>
      <c r="NO73" s="93"/>
      <c r="NP73" s="93"/>
      <c r="NQ73" s="93"/>
      <c r="NR73" s="93"/>
      <c r="NS73" s="93"/>
      <c r="NT73" s="93"/>
      <c r="NU73" s="93"/>
      <c r="NV73" s="93"/>
      <c r="NW73" s="93"/>
      <c r="NX73" s="93"/>
      <c r="NY73" s="93"/>
      <c r="NZ73" s="93"/>
      <c r="OA73" s="93"/>
      <c r="OB73" s="93"/>
      <c r="OC73" s="93"/>
      <c r="OD73" s="20"/>
      <c r="OE73" s="29">
        <v>6</v>
      </c>
      <c r="OF73" s="1504">
        <v>36678</v>
      </c>
      <c r="OG73" s="19"/>
      <c r="OH73" s="93"/>
      <c r="OI73" s="93"/>
      <c r="OJ73" s="93"/>
      <c r="OK73" s="93"/>
      <c r="OL73" s="93"/>
      <c r="OM73" s="93"/>
      <c r="ON73" s="93"/>
      <c r="OO73" s="93"/>
      <c r="OP73" s="93"/>
      <c r="OQ73" s="93"/>
      <c r="OR73" s="93"/>
      <c r="OS73" s="93"/>
      <c r="OT73" s="93"/>
      <c r="OU73" s="93"/>
      <c r="OV73" s="93"/>
      <c r="OW73" s="93"/>
      <c r="OX73" s="93"/>
      <c r="OY73" s="93"/>
      <c r="OZ73" s="93"/>
      <c r="PA73" s="93"/>
      <c r="PB73" s="93"/>
      <c r="PC73" s="20"/>
      <c r="PD73" s="29">
        <v>6</v>
      </c>
      <c r="PE73" s="19"/>
      <c r="PF73" s="93"/>
      <c r="PG73" s="93"/>
      <c r="PH73" s="93"/>
      <c r="PI73" s="93"/>
      <c r="PJ73" s="93"/>
      <c r="PK73" s="93"/>
      <c r="PL73" s="93"/>
      <c r="PM73" s="93"/>
      <c r="PN73" s="93"/>
      <c r="PO73" s="93"/>
      <c r="PP73" s="93"/>
      <c r="PQ73" s="93"/>
      <c r="PR73" s="93"/>
      <c r="PS73" s="93"/>
      <c r="PT73" s="93"/>
      <c r="PU73" s="93"/>
      <c r="PV73" s="93"/>
      <c r="PW73" s="93"/>
      <c r="PX73" s="93"/>
      <c r="PY73" s="93"/>
      <c r="PZ73" s="93"/>
      <c r="QA73" s="93"/>
      <c r="QB73" s="93"/>
      <c r="QC73" s="93"/>
      <c r="QD73" s="93"/>
      <c r="QE73" s="20"/>
      <c r="QF73" s="1739">
        <v>6</v>
      </c>
      <c r="QG73" s="19"/>
      <c r="QH73" s="93"/>
      <c r="QI73" s="93"/>
      <c r="QJ73" s="93"/>
      <c r="QK73" s="93"/>
      <c r="QL73" s="93"/>
      <c r="QM73" s="93"/>
      <c r="QN73" s="93"/>
      <c r="QO73" s="93"/>
      <c r="QP73" s="93"/>
      <c r="QQ73" s="93"/>
      <c r="QR73" s="93"/>
      <c r="QS73" s="93"/>
      <c r="QT73" s="93"/>
      <c r="QU73" s="93"/>
      <c r="QV73" s="93"/>
      <c r="QW73" s="93"/>
      <c r="QX73" s="93"/>
      <c r="QY73" s="93"/>
      <c r="QZ73" s="93"/>
      <c r="RA73" s="93"/>
      <c r="RB73" s="93"/>
      <c r="RC73" s="93"/>
      <c r="RD73" s="93"/>
      <c r="RE73" s="93"/>
      <c r="RF73" s="93"/>
      <c r="RG73" s="93"/>
      <c r="RH73" s="93"/>
      <c r="RI73" s="93"/>
      <c r="RJ73" s="93"/>
      <c r="RK73" s="93"/>
      <c r="RL73" s="93"/>
      <c r="RM73" s="20"/>
      <c r="RN73" s="29">
        <v>6</v>
      </c>
      <c r="RO73" s="19"/>
      <c r="RP73" s="20"/>
      <c r="RQ73" s="29">
        <v>6</v>
      </c>
      <c r="RR73" s="20"/>
      <c r="RS73" s="29">
        <v>6</v>
      </c>
      <c r="RT73" s="1504">
        <v>36678</v>
      </c>
      <c r="RU73" s="19"/>
      <c r="RV73" s="20"/>
      <c r="RW73" s="29">
        <v>6</v>
      </c>
      <c r="RX73" s="1504">
        <v>36678</v>
      </c>
      <c r="RY73" s="29"/>
      <c r="RZ73" s="20"/>
      <c r="SA73" s="29"/>
      <c r="SB73" s="29">
        <v>6</v>
      </c>
    </row>
    <row r="74" spans="1:496">
      <c r="A74" s="41">
        <f t="shared" si="187"/>
        <v>2000</v>
      </c>
      <c r="B74" s="1504">
        <v>36708</v>
      </c>
      <c r="C74" s="1813"/>
      <c r="D74" s="1814"/>
      <c r="E74" s="1814"/>
      <c r="F74" s="1815"/>
      <c r="G74" s="1814"/>
      <c r="H74" s="1814"/>
      <c r="I74" s="1814"/>
      <c r="J74" s="1816"/>
      <c r="K74" s="1807"/>
      <c r="L74" s="25">
        <v>7</v>
      </c>
      <c r="M74" s="97"/>
      <c r="N74" s="1504">
        <v>36708</v>
      </c>
      <c r="O74" s="19"/>
      <c r="P74" s="93"/>
      <c r="Q74" s="93"/>
      <c r="R74" s="93"/>
      <c r="S74" s="93"/>
      <c r="T74" s="93"/>
      <c r="U74" s="93"/>
      <c r="V74" s="93"/>
      <c r="W74" s="93"/>
      <c r="X74" s="93"/>
      <c r="Y74" s="93"/>
      <c r="Z74" s="93"/>
      <c r="AA74" s="93"/>
      <c r="AB74" s="20"/>
      <c r="AC74" s="25">
        <v>7</v>
      </c>
      <c r="AD74" s="97"/>
      <c r="AE74" s="1504">
        <v>36708</v>
      </c>
      <c r="AF74" s="19"/>
      <c r="AG74" s="93"/>
      <c r="AH74" s="93"/>
      <c r="AI74" s="93"/>
      <c r="AJ74" s="93"/>
      <c r="AK74" s="93"/>
      <c r="AL74" s="93"/>
      <c r="AM74" s="93"/>
      <c r="AN74" s="93"/>
      <c r="AO74" s="93"/>
      <c r="AP74" s="93"/>
      <c r="AQ74" s="93"/>
      <c r="AR74" s="93"/>
      <c r="AS74" s="20"/>
      <c r="AT74" s="25">
        <v>7</v>
      </c>
      <c r="AU74" s="97"/>
      <c r="AV74" s="1504">
        <v>36708</v>
      </c>
      <c r="AW74" s="19"/>
      <c r="AX74" s="93"/>
      <c r="AY74" s="93"/>
      <c r="AZ74" s="93"/>
      <c r="BA74" s="93"/>
      <c r="BB74" s="93"/>
      <c r="BC74" s="93"/>
      <c r="BD74" s="93"/>
      <c r="BE74" s="93"/>
      <c r="BF74" s="93"/>
      <c r="BG74" s="93"/>
      <c r="BH74" s="93"/>
      <c r="BI74" s="93"/>
      <c r="BJ74" s="20"/>
      <c r="BK74" s="25">
        <v>7</v>
      </c>
      <c r="BL74" s="97"/>
      <c r="BM74" s="1504">
        <v>36708</v>
      </c>
      <c r="BN74" s="19"/>
      <c r="BO74" s="93"/>
      <c r="BP74" s="93"/>
      <c r="BQ74" s="93"/>
      <c r="BR74" s="93"/>
      <c r="BS74" s="93"/>
      <c r="BT74" s="93"/>
      <c r="BU74" s="20"/>
      <c r="BV74" s="25">
        <v>7</v>
      </c>
      <c r="BW74" s="97"/>
      <c r="BX74" s="1504">
        <v>36708</v>
      </c>
      <c r="BY74" s="19"/>
      <c r="BZ74" s="99">
        <v>664.95699999999999</v>
      </c>
      <c r="CA74" s="93"/>
      <c r="CB74" s="93"/>
      <c r="CC74" s="93"/>
      <c r="CD74" s="25">
        <v>7</v>
      </c>
      <c r="CE74" s="97"/>
      <c r="CF74" s="1504">
        <v>36708</v>
      </c>
      <c r="CG74" s="19">
        <v>1.2873000000000001</v>
      </c>
      <c r="CH74" s="93">
        <v>281.58999999999997</v>
      </c>
      <c r="CI74" s="219"/>
      <c r="CJ74" s="20"/>
      <c r="CK74" s="19"/>
      <c r="CL74" s="93"/>
      <c r="CM74" s="93"/>
      <c r="CN74" s="93"/>
      <c r="CO74" s="93"/>
      <c r="CP74" s="20"/>
      <c r="CQ74" s="219">
        <v>771.62</v>
      </c>
      <c r="CR74" s="93">
        <v>2.11</v>
      </c>
      <c r="CS74" s="93"/>
      <c r="CT74" s="93"/>
      <c r="CU74" s="93"/>
      <c r="CV74" s="214"/>
      <c r="CW74" s="29">
        <v>7</v>
      </c>
      <c r="CX74" s="41">
        <f t="shared" si="188"/>
        <v>2000</v>
      </c>
      <c r="CY74" s="1504">
        <v>36708</v>
      </c>
      <c r="CZ74" s="19"/>
      <c r="DA74" s="93"/>
      <c r="DB74" s="93"/>
      <c r="DC74" s="93"/>
      <c r="DD74" s="93"/>
      <c r="DE74" s="20"/>
      <c r="DF74" s="29">
        <v>7</v>
      </c>
      <c r="DG74" s="1504">
        <v>36708</v>
      </c>
      <c r="DH74" s="19"/>
      <c r="DI74" s="93"/>
      <c r="DJ74" s="93"/>
      <c r="DK74" s="93"/>
      <c r="DL74" s="93"/>
      <c r="DM74" s="93"/>
      <c r="DN74" s="20"/>
      <c r="DO74" s="25"/>
      <c r="DP74" s="29">
        <v>7</v>
      </c>
      <c r="DQ74" s="1504">
        <v>36708</v>
      </c>
      <c r="DR74" s="19"/>
      <c r="DS74" s="93"/>
      <c r="DT74" s="93"/>
      <c r="DU74" s="93"/>
      <c r="DV74" s="93"/>
      <c r="DW74" s="93"/>
      <c r="DX74" s="20"/>
      <c r="DY74" s="29">
        <v>7</v>
      </c>
      <c r="DZ74" s="1504">
        <v>36708</v>
      </c>
      <c r="EA74" s="19"/>
      <c r="EB74" s="93"/>
      <c r="EC74" s="20"/>
      <c r="ED74" s="29">
        <v>7</v>
      </c>
      <c r="EE74" s="1504">
        <v>36708</v>
      </c>
      <c r="EF74" s="19"/>
      <c r="EG74" s="93"/>
      <c r="EH74" s="93"/>
      <c r="EI74" s="214"/>
      <c r="EJ74" s="93"/>
      <c r="EK74" s="93"/>
      <c r="EL74" s="93"/>
      <c r="EM74" s="93"/>
      <c r="EN74" s="20"/>
      <c r="EO74" s="29">
        <v>7</v>
      </c>
      <c r="EP74" s="1504">
        <v>36708</v>
      </c>
      <c r="EQ74" s="19"/>
      <c r="ER74" s="93"/>
      <c r="ES74" s="93"/>
      <c r="ET74" s="214"/>
      <c r="EU74" s="93"/>
      <c r="EV74" s="93"/>
      <c r="EW74" s="93"/>
      <c r="EX74" s="93"/>
      <c r="EY74" s="20"/>
      <c r="EZ74" s="29">
        <v>7</v>
      </c>
      <c r="FA74" s="1504">
        <v>36708</v>
      </c>
      <c r="FB74" s="29"/>
      <c r="FC74" s="29"/>
      <c r="FD74" s="29"/>
      <c r="FE74" s="29"/>
      <c r="FF74" s="29"/>
      <c r="FG74" s="29"/>
      <c r="FH74" s="29"/>
      <c r="FI74" s="29"/>
      <c r="FJ74" s="29"/>
      <c r="FK74" s="29">
        <v>7</v>
      </c>
      <c r="FL74" s="1504">
        <v>36708</v>
      </c>
      <c r="FM74" s="19"/>
      <c r="FN74" s="93"/>
      <c r="FO74" s="93"/>
      <c r="FP74" s="93"/>
      <c r="FQ74" s="93"/>
      <c r="FR74" s="93"/>
      <c r="FS74" s="93"/>
      <c r="FT74" s="93"/>
      <c r="FU74" s="93"/>
      <c r="FV74" s="93"/>
      <c r="FW74" s="93"/>
      <c r="FX74" s="93"/>
      <c r="FY74" s="93"/>
      <c r="FZ74" s="29">
        <v>7</v>
      </c>
      <c r="GA74" s="1504">
        <v>36708</v>
      </c>
      <c r="GB74" s="19"/>
      <c r="GC74" s="93"/>
      <c r="GD74" s="93"/>
      <c r="GE74" s="93"/>
      <c r="GF74" s="93"/>
      <c r="GG74" s="93"/>
      <c r="GH74" s="93"/>
      <c r="GI74" s="93"/>
      <c r="GJ74" s="93"/>
      <c r="GK74" s="93"/>
      <c r="GL74" s="93"/>
      <c r="GM74" s="93"/>
      <c r="GN74" s="20"/>
      <c r="GO74" s="29">
        <v>7</v>
      </c>
      <c r="GP74" s="1504">
        <v>36708</v>
      </c>
      <c r="GQ74" s="19"/>
      <c r="GR74" s="93"/>
      <c r="GS74" s="93"/>
      <c r="GT74" s="93"/>
      <c r="GU74" s="93"/>
      <c r="GV74" s="20"/>
      <c r="GW74" s="19"/>
      <c r="GX74" s="93"/>
      <c r="GY74" s="93"/>
      <c r="GZ74" s="93"/>
      <c r="HA74" s="93"/>
      <c r="HB74" s="20"/>
      <c r="HC74" s="19"/>
      <c r="HD74" s="93"/>
      <c r="HE74" s="93"/>
      <c r="HF74" s="93"/>
      <c r="HG74" s="93"/>
      <c r="HH74" s="20"/>
      <c r="HI74" s="19"/>
      <c r="HJ74" s="93"/>
      <c r="HK74" s="93"/>
      <c r="HL74" s="93"/>
      <c r="HM74" s="93"/>
      <c r="HN74" s="20"/>
      <c r="HO74" s="219"/>
      <c r="HP74" s="20"/>
      <c r="HQ74" s="25"/>
      <c r="HR74" s="29">
        <v>7</v>
      </c>
      <c r="HS74" s="1504">
        <v>36708</v>
      </c>
      <c r="HT74" s="19"/>
      <c r="HU74" s="93"/>
      <c r="HV74" s="93"/>
      <c r="HW74" s="93"/>
      <c r="HX74" s="93"/>
      <c r="HY74" s="93"/>
      <c r="HZ74" s="93"/>
      <c r="IA74" s="20"/>
      <c r="IB74" s="19"/>
      <c r="IC74" s="93"/>
      <c r="ID74" s="93"/>
      <c r="IE74" s="93"/>
      <c r="IF74" s="93"/>
      <c r="IG74" s="20"/>
      <c r="IH74" s="19"/>
      <c r="II74" s="93"/>
      <c r="IJ74" s="93"/>
      <c r="IK74" s="93"/>
      <c r="IL74" s="93"/>
      <c r="IM74" s="93"/>
      <c r="IN74" s="93"/>
      <c r="IO74" s="20"/>
      <c r="IP74" s="29">
        <v>7</v>
      </c>
      <c r="IQ74" s="19"/>
      <c r="IR74" s="93"/>
      <c r="IS74" s="93"/>
      <c r="IT74" s="93"/>
      <c r="IU74" s="93"/>
      <c r="IV74" s="20"/>
      <c r="IW74" s="29">
        <v>7</v>
      </c>
      <c r="IX74" s="19"/>
      <c r="IY74" s="93"/>
      <c r="IZ74" s="93"/>
      <c r="JA74" s="93"/>
      <c r="JB74" s="93"/>
      <c r="JC74" s="93"/>
      <c r="JD74" s="93"/>
      <c r="JE74" s="20"/>
      <c r="JF74" s="29">
        <v>7</v>
      </c>
      <c r="JG74" s="19"/>
      <c r="JH74" s="93"/>
      <c r="JI74" s="93"/>
      <c r="JJ74" s="93"/>
      <c r="JK74" s="93"/>
      <c r="JL74" s="93"/>
      <c r="JM74" s="93"/>
      <c r="JN74" s="20"/>
      <c r="JO74" s="29">
        <v>7</v>
      </c>
      <c r="JP74" s="19"/>
      <c r="JQ74" s="93"/>
      <c r="JR74" s="93"/>
      <c r="JS74" s="93"/>
      <c r="JT74" s="93"/>
      <c r="JU74" s="20"/>
      <c r="JV74" s="29">
        <v>7</v>
      </c>
      <c r="JW74" s="1504">
        <v>36708</v>
      </c>
      <c r="JX74" s="19"/>
      <c r="JY74" s="93"/>
      <c r="JZ74" s="93"/>
      <c r="KA74" s="93"/>
      <c r="KB74" s="93"/>
      <c r="KC74" s="93"/>
      <c r="KD74" s="20"/>
      <c r="KE74" s="29">
        <v>7</v>
      </c>
      <c r="KF74" s="19"/>
      <c r="KG74" s="93"/>
      <c r="KH74" s="93"/>
      <c r="KI74" s="93"/>
      <c r="KJ74" s="93"/>
      <c r="KK74" s="20"/>
      <c r="KL74" s="29">
        <v>7</v>
      </c>
      <c r="KM74" s="19"/>
      <c r="KN74" s="93"/>
      <c r="KO74" s="93"/>
      <c r="KP74" s="93"/>
      <c r="KQ74" s="93"/>
      <c r="KR74" s="20"/>
      <c r="KS74" s="29">
        <v>7</v>
      </c>
      <c r="KT74" s="19"/>
      <c r="KU74" s="93"/>
      <c r="KV74" s="93"/>
      <c r="KW74" s="93"/>
      <c r="KX74" s="93"/>
      <c r="KY74" s="20"/>
      <c r="KZ74" s="29">
        <v>7</v>
      </c>
      <c r="LA74" s="1504">
        <v>36708</v>
      </c>
      <c r="LB74" s="19"/>
      <c r="LC74" s="93"/>
      <c r="LD74" s="93"/>
      <c r="LE74" s="93"/>
      <c r="LF74" s="93"/>
      <c r="LG74" s="93"/>
      <c r="LH74" s="20"/>
      <c r="LI74" s="29">
        <v>7</v>
      </c>
      <c r="LJ74" s="19"/>
      <c r="LK74" s="93"/>
      <c r="LL74" s="93"/>
      <c r="LM74" s="93"/>
      <c r="LN74" s="93"/>
      <c r="LO74" s="20"/>
      <c r="LP74" s="29">
        <v>7</v>
      </c>
      <c r="LQ74" s="19"/>
      <c r="LR74" s="93"/>
      <c r="LS74" s="93"/>
      <c r="LT74" s="93"/>
      <c r="LU74" s="93"/>
      <c r="LV74" s="93"/>
      <c r="LW74" s="93"/>
      <c r="LX74" s="93"/>
      <c r="LY74" s="93"/>
      <c r="LZ74" s="93"/>
      <c r="MA74" s="20"/>
      <c r="MB74" s="29">
        <v>7</v>
      </c>
      <c r="MC74" s="1504">
        <v>36708</v>
      </c>
      <c r="MD74" s="19"/>
      <c r="ME74" s="93"/>
      <c r="MF74" s="93"/>
      <c r="MG74" s="93"/>
      <c r="MH74" s="93"/>
      <c r="MI74" s="93"/>
      <c r="MJ74" s="93"/>
      <c r="MK74" s="93"/>
      <c r="ML74" s="93"/>
      <c r="MM74" s="93"/>
      <c r="MN74" s="93"/>
      <c r="MO74" s="93"/>
      <c r="MP74" s="93"/>
      <c r="MQ74" s="93"/>
      <c r="MR74" s="93"/>
      <c r="MS74" s="93"/>
      <c r="MT74" s="93"/>
      <c r="MU74" s="93"/>
      <c r="MV74" s="93"/>
      <c r="MW74" s="93"/>
      <c r="MX74" s="93"/>
      <c r="MY74" s="93"/>
      <c r="MZ74" s="93"/>
      <c r="NA74" s="93"/>
      <c r="NB74" s="93"/>
      <c r="NC74" s="93"/>
      <c r="ND74" s="93"/>
      <c r="NE74" s="93"/>
      <c r="NF74" s="93"/>
      <c r="NG74" s="93"/>
      <c r="NH74" s="93"/>
      <c r="NI74" s="93"/>
      <c r="NJ74" s="93"/>
      <c r="NK74" s="93"/>
      <c r="NL74" s="93"/>
      <c r="NM74" s="93"/>
      <c r="NN74" s="93"/>
      <c r="NO74" s="93"/>
      <c r="NP74" s="93"/>
      <c r="NQ74" s="93"/>
      <c r="NR74" s="93"/>
      <c r="NS74" s="93"/>
      <c r="NT74" s="93"/>
      <c r="NU74" s="93"/>
      <c r="NV74" s="93"/>
      <c r="NW74" s="93"/>
      <c r="NX74" s="93"/>
      <c r="NY74" s="93"/>
      <c r="NZ74" s="93"/>
      <c r="OA74" s="93"/>
      <c r="OB74" s="93"/>
      <c r="OC74" s="93"/>
      <c r="OD74" s="20"/>
      <c r="OE74" s="29">
        <v>7</v>
      </c>
      <c r="OF74" s="1504">
        <v>36708</v>
      </c>
      <c r="OG74" s="19"/>
      <c r="OH74" s="93"/>
      <c r="OI74" s="93"/>
      <c r="OJ74" s="93"/>
      <c r="OK74" s="93"/>
      <c r="OL74" s="93"/>
      <c r="OM74" s="93"/>
      <c r="ON74" s="93"/>
      <c r="OO74" s="93"/>
      <c r="OP74" s="93"/>
      <c r="OQ74" s="93"/>
      <c r="OR74" s="93"/>
      <c r="OS74" s="93"/>
      <c r="OT74" s="93"/>
      <c r="OU74" s="93"/>
      <c r="OV74" s="93"/>
      <c r="OW74" s="93"/>
      <c r="OX74" s="93"/>
      <c r="OY74" s="93"/>
      <c r="OZ74" s="93"/>
      <c r="PA74" s="93"/>
      <c r="PB74" s="93"/>
      <c r="PC74" s="20"/>
      <c r="PD74" s="29">
        <v>7</v>
      </c>
      <c r="PE74" s="19"/>
      <c r="PF74" s="93"/>
      <c r="PG74" s="93"/>
      <c r="PH74" s="93"/>
      <c r="PI74" s="93"/>
      <c r="PJ74" s="93"/>
      <c r="PK74" s="93"/>
      <c r="PL74" s="93"/>
      <c r="PM74" s="93"/>
      <c r="PN74" s="93"/>
      <c r="PO74" s="93"/>
      <c r="PP74" s="93"/>
      <c r="PQ74" s="93"/>
      <c r="PR74" s="93"/>
      <c r="PS74" s="93"/>
      <c r="PT74" s="93"/>
      <c r="PU74" s="93"/>
      <c r="PV74" s="93"/>
      <c r="PW74" s="93"/>
      <c r="PX74" s="93"/>
      <c r="PY74" s="93"/>
      <c r="PZ74" s="93"/>
      <c r="QA74" s="93"/>
      <c r="QB74" s="93"/>
      <c r="QC74" s="93"/>
      <c r="QD74" s="93"/>
      <c r="QE74" s="20"/>
      <c r="QF74" s="1739">
        <v>7</v>
      </c>
      <c r="QG74" s="19"/>
      <c r="QH74" s="93"/>
      <c r="QI74" s="93"/>
      <c r="QJ74" s="93"/>
      <c r="QK74" s="93"/>
      <c r="QL74" s="93"/>
      <c r="QM74" s="93"/>
      <c r="QN74" s="93"/>
      <c r="QO74" s="93"/>
      <c r="QP74" s="93"/>
      <c r="QQ74" s="93"/>
      <c r="QR74" s="93"/>
      <c r="QS74" s="93"/>
      <c r="QT74" s="93"/>
      <c r="QU74" s="93"/>
      <c r="QV74" s="93"/>
      <c r="QW74" s="93"/>
      <c r="QX74" s="93"/>
      <c r="QY74" s="93"/>
      <c r="QZ74" s="93"/>
      <c r="RA74" s="93"/>
      <c r="RB74" s="93"/>
      <c r="RC74" s="93"/>
      <c r="RD74" s="93"/>
      <c r="RE74" s="93"/>
      <c r="RF74" s="93"/>
      <c r="RG74" s="93"/>
      <c r="RH74" s="93"/>
      <c r="RI74" s="93"/>
      <c r="RJ74" s="93"/>
      <c r="RK74" s="93"/>
      <c r="RL74" s="93"/>
      <c r="RM74" s="20"/>
      <c r="RN74" s="29">
        <v>7</v>
      </c>
      <c r="RO74" s="19"/>
      <c r="RP74" s="20"/>
      <c r="RQ74" s="29">
        <v>7</v>
      </c>
      <c r="RR74" s="20"/>
      <c r="RS74" s="29">
        <v>7</v>
      </c>
      <c r="RT74" s="1504">
        <v>36708</v>
      </c>
      <c r="RU74" s="19"/>
      <c r="RV74" s="20"/>
      <c r="RW74" s="29">
        <v>7</v>
      </c>
      <c r="RX74" s="1504">
        <v>36708</v>
      </c>
      <c r="RY74" s="29"/>
      <c r="RZ74" s="20"/>
      <c r="SA74" s="29"/>
      <c r="SB74" s="29">
        <v>7</v>
      </c>
    </row>
    <row r="75" spans="1:496">
      <c r="A75" s="41">
        <f t="shared" si="187"/>
        <v>2000</v>
      </c>
      <c r="B75" s="1504">
        <v>36739</v>
      </c>
      <c r="C75" s="1813"/>
      <c r="D75" s="1814"/>
      <c r="E75" s="1814"/>
      <c r="F75" s="1815"/>
      <c r="G75" s="1814"/>
      <c r="H75" s="1814"/>
      <c r="I75" s="1814"/>
      <c r="J75" s="1816"/>
      <c r="K75" s="1807"/>
      <c r="L75" s="25">
        <v>8</v>
      </c>
      <c r="M75" s="97"/>
      <c r="N75" s="1504">
        <v>36739</v>
      </c>
      <c r="O75" s="19"/>
      <c r="P75" s="93"/>
      <c r="Q75" s="93"/>
      <c r="R75" s="93"/>
      <c r="S75" s="93"/>
      <c r="T75" s="93"/>
      <c r="U75" s="93"/>
      <c r="V75" s="93"/>
      <c r="W75" s="93"/>
      <c r="X75" s="93"/>
      <c r="Y75" s="93"/>
      <c r="Z75" s="93"/>
      <c r="AA75" s="93"/>
      <c r="AB75" s="20"/>
      <c r="AC75" s="25">
        <v>8</v>
      </c>
      <c r="AD75" s="97"/>
      <c r="AE75" s="1504">
        <v>36739</v>
      </c>
      <c r="AF75" s="19"/>
      <c r="AG75" s="93"/>
      <c r="AH75" s="93"/>
      <c r="AI75" s="93"/>
      <c r="AJ75" s="93"/>
      <c r="AK75" s="93"/>
      <c r="AL75" s="93"/>
      <c r="AM75" s="93"/>
      <c r="AN75" s="93"/>
      <c r="AO75" s="93"/>
      <c r="AP75" s="93"/>
      <c r="AQ75" s="93"/>
      <c r="AR75" s="93"/>
      <c r="AS75" s="20"/>
      <c r="AT75" s="25">
        <v>8</v>
      </c>
      <c r="AU75" s="97"/>
      <c r="AV75" s="1504">
        <v>36739</v>
      </c>
      <c r="AW75" s="19"/>
      <c r="AX75" s="93"/>
      <c r="AY75" s="93"/>
      <c r="AZ75" s="93"/>
      <c r="BA75" s="93"/>
      <c r="BB75" s="93"/>
      <c r="BC75" s="93"/>
      <c r="BD75" s="93"/>
      <c r="BE75" s="93"/>
      <c r="BF75" s="93"/>
      <c r="BG75" s="93"/>
      <c r="BH75" s="93"/>
      <c r="BI75" s="93"/>
      <c r="BJ75" s="20"/>
      <c r="BK75" s="25">
        <v>8</v>
      </c>
      <c r="BL75" s="97"/>
      <c r="BM75" s="1504">
        <v>36739</v>
      </c>
      <c r="BN75" s="19"/>
      <c r="BO75" s="93"/>
      <c r="BP75" s="93"/>
      <c r="BQ75" s="93"/>
      <c r="BR75" s="93"/>
      <c r="BS75" s="93"/>
      <c r="BT75" s="93"/>
      <c r="BU75" s="20"/>
      <c r="BV75" s="25">
        <v>8</v>
      </c>
      <c r="BW75" s="97"/>
      <c r="BX75" s="1504">
        <v>36739</v>
      </c>
      <c r="BY75" s="19"/>
      <c r="BZ75" s="99">
        <v>664.95699999999999</v>
      </c>
      <c r="CA75" s="93"/>
      <c r="CB75" s="93"/>
      <c r="CC75" s="93"/>
      <c r="CD75" s="25">
        <v>8</v>
      </c>
      <c r="CE75" s="97"/>
      <c r="CF75" s="1504">
        <v>36739</v>
      </c>
      <c r="CG75" s="19">
        <v>1.3424</v>
      </c>
      <c r="CH75" s="93">
        <v>274.47000000000003</v>
      </c>
      <c r="CI75" s="219"/>
      <c r="CJ75" s="20"/>
      <c r="CK75" s="19"/>
      <c r="CL75" s="93"/>
      <c r="CM75" s="93"/>
      <c r="CN75" s="93"/>
      <c r="CO75" s="93"/>
      <c r="CP75" s="20"/>
      <c r="CQ75" s="219">
        <v>754.36</v>
      </c>
      <c r="CR75" s="93">
        <v>2.1</v>
      </c>
      <c r="CS75" s="93"/>
      <c r="CT75" s="93"/>
      <c r="CU75" s="93"/>
      <c r="CV75" s="214"/>
      <c r="CW75" s="29">
        <v>8</v>
      </c>
      <c r="CX75" s="41">
        <f t="shared" si="188"/>
        <v>2000</v>
      </c>
      <c r="CY75" s="1504">
        <v>36739</v>
      </c>
      <c r="CZ75" s="19"/>
      <c r="DA75" s="93"/>
      <c r="DB75" s="93"/>
      <c r="DC75" s="93"/>
      <c r="DD75" s="93"/>
      <c r="DE75" s="20"/>
      <c r="DF75" s="29">
        <v>8</v>
      </c>
      <c r="DG75" s="1504">
        <v>36739</v>
      </c>
      <c r="DH75" s="19"/>
      <c r="DI75" s="93"/>
      <c r="DJ75" s="93"/>
      <c r="DK75" s="93"/>
      <c r="DL75" s="93"/>
      <c r="DM75" s="93"/>
      <c r="DN75" s="20"/>
      <c r="DO75" s="25"/>
      <c r="DP75" s="29">
        <v>8</v>
      </c>
      <c r="DQ75" s="1504">
        <v>36739</v>
      </c>
      <c r="DR75" s="19"/>
      <c r="DS75" s="93"/>
      <c r="DT75" s="93"/>
      <c r="DU75" s="93"/>
      <c r="DV75" s="93"/>
      <c r="DW75" s="93"/>
      <c r="DX75" s="20"/>
      <c r="DY75" s="29">
        <v>8</v>
      </c>
      <c r="DZ75" s="1504">
        <v>36739</v>
      </c>
      <c r="EA75" s="19"/>
      <c r="EB75" s="93"/>
      <c r="EC75" s="20"/>
      <c r="ED75" s="29">
        <v>8</v>
      </c>
      <c r="EE75" s="1504">
        <v>36739</v>
      </c>
      <c r="EF75" s="19"/>
      <c r="EG75" s="93"/>
      <c r="EH75" s="93"/>
      <c r="EI75" s="214"/>
      <c r="EJ75" s="93"/>
      <c r="EK75" s="93"/>
      <c r="EL75" s="93"/>
      <c r="EM75" s="93"/>
      <c r="EN75" s="20"/>
      <c r="EO75" s="29">
        <v>8</v>
      </c>
      <c r="EP75" s="1504">
        <v>36739</v>
      </c>
      <c r="EQ75" s="19"/>
      <c r="ER75" s="93"/>
      <c r="ES75" s="93"/>
      <c r="ET75" s="214"/>
      <c r="EU75" s="93"/>
      <c r="EV75" s="93"/>
      <c r="EW75" s="93"/>
      <c r="EX75" s="93"/>
      <c r="EY75" s="20"/>
      <c r="EZ75" s="29">
        <v>8</v>
      </c>
      <c r="FA75" s="1504">
        <v>36739</v>
      </c>
      <c r="FB75" s="29"/>
      <c r="FC75" s="29"/>
      <c r="FD75" s="29"/>
      <c r="FE75" s="29"/>
      <c r="FF75" s="29"/>
      <c r="FG75" s="29"/>
      <c r="FH75" s="29"/>
      <c r="FI75" s="29"/>
      <c r="FJ75" s="29"/>
      <c r="FK75" s="29">
        <v>8</v>
      </c>
      <c r="FL75" s="1504">
        <v>36739</v>
      </c>
      <c r="FM75" s="19"/>
      <c r="FN75" s="93"/>
      <c r="FO75" s="93"/>
      <c r="FP75" s="93"/>
      <c r="FQ75" s="93"/>
      <c r="FR75" s="93"/>
      <c r="FS75" s="93"/>
      <c r="FT75" s="93"/>
      <c r="FU75" s="93"/>
      <c r="FV75" s="93"/>
      <c r="FW75" s="93"/>
      <c r="FX75" s="93"/>
      <c r="FY75" s="93"/>
      <c r="FZ75" s="29">
        <v>8</v>
      </c>
      <c r="GA75" s="1504">
        <v>36739</v>
      </c>
      <c r="GB75" s="19"/>
      <c r="GC75" s="93"/>
      <c r="GD75" s="93"/>
      <c r="GE75" s="93"/>
      <c r="GF75" s="93"/>
      <c r="GG75" s="93"/>
      <c r="GH75" s="93"/>
      <c r="GI75" s="93"/>
      <c r="GJ75" s="93"/>
      <c r="GK75" s="93"/>
      <c r="GL75" s="93"/>
      <c r="GM75" s="93"/>
      <c r="GN75" s="20"/>
      <c r="GO75" s="29">
        <v>8</v>
      </c>
      <c r="GP75" s="1504">
        <v>36739</v>
      </c>
      <c r="GQ75" s="19"/>
      <c r="GR75" s="93"/>
      <c r="GS75" s="93"/>
      <c r="GT75" s="93"/>
      <c r="GU75" s="93"/>
      <c r="GV75" s="20"/>
      <c r="GW75" s="19"/>
      <c r="GX75" s="93"/>
      <c r="GY75" s="93"/>
      <c r="GZ75" s="93"/>
      <c r="HA75" s="93"/>
      <c r="HB75" s="20"/>
      <c r="HC75" s="19"/>
      <c r="HD75" s="93"/>
      <c r="HE75" s="93"/>
      <c r="HF75" s="93"/>
      <c r="HG75" s="93"/>
      <c r="HH75" s="20"/>
      <c r="HI75" s="19"/>
      <c r="HJ75" s="93"/>
      <c r="HK75" s="93"/>
      <c r="HL75" s="93"/>
      <c r="HM75" s="93"/>
      <c r="HN75" s="20"/>
      <c r="HO75" s="219"/>
      <c r="HP75" s="20"/>
      <c r="HQ75" s="25"/>
      <c r="HR75" s="29">
        <v>8</v>
      </c>
      <c r="HS75" s="1504">
        <v>36739</v>
      </c>
      <c r="HT75" s="19"/>
      <c r="HU75" s="93"/>
      <c r="HV75" s="93"/>
      <c r="HW75" s="93"/>
      <c r="HX75" s="93"/>
      <c r="HY75" s="93"/>
      <c r="HZ75" s="93"/>
      <c r="IA75" s="20"/>
      <c r="IB75" s="19"/>
      <c r="IC75" s="93"/>
      <c r="ID75" s="93"/>
      <c r="IE75" s="93"/>
      <c r="IF75" s="93"/>
      <c r="IG75" s="20"/>
      <c r="IH75" s="19"/>
      <c r="II75" s="93"/>
      <c r="IJ75" s="93"/>
      <c r="IK75" s="93"/>
      <c r="IL75" s="93"/>
      <c r="IM75" s="93"/>
      <c r="IN75" s="93"/>
      <c r="IO75" s="20"/>
      <c r="IP75" s="29">
        <v>8</v>
      </c>
      <c r="IQ75" s="19"/>
      <c r="IR75" s="93"/>
      <c r="IS75" s="93"/>
      <c r="IT75" s="93"/>
      <c r="IU75" s="93"/>
      <c r="IV75" s="20"/>
      <c r="IW75" s="29">
        <v>8</v>
      </c>
      <c r="IX75" s="19"/>
      <c r="IY75" s="93"/>
      <c r="IZ75" s="93"/>
      <c r="JA75" s="93"/>
      <c r="JB75" s="93"/>
      <c r="JC75" s="93"/>
      <c r="JD75" s="93"/>
      <c r="JE75" s="20"/>
      <c r="JF75" s="29">
        <v>8</v>
      </c>
      <c r="JG75" s="19"/>
      <c r="JH75" s="93"/>
      <c r="JI75" s="93"/>
      <c r="JJ75" s="93"/>
      <c r="JK75" s="93"/>
      <c r="JL75" s="93"/>
      <c r="JM75" s="93"/>
      <c r="JN75" s="20"/>
      <c r="JO75" s="29">
        <v>8</v>
      </c>
      <c r="JP75" s="19"/>
      <c r="JQ75" s="93"/>
      <c r="JR75" s="93"/>
      <c r="JS75" s="93"/>
      <c r="JT75" s="93"/>
      <c r="JU75" s="20"/>
      <c r="JV75" s="29">
        <v>8</v>
      </c>
      <c r="JW75" s="1504">
        <v>36739</v>
      </c>
      <c r="JX75" s="19"/>
      <c r="JY75" s="93"/>
      <c r="JZ75" s="93"/>
      <c r="KA75" s="93"/>
      <c r="KB75" s="93"/>
      <c r="KC75" s="93"/>
      <c r="KD75" s="20"/>
      <c r="KE75" s="29">
        <v>8</v>
      </c>
      <c r="KF75" s="19"/>
      <c r="KG75" s="93"/>
      <c r="KH75" s="93"/>
      <c r="KI75" s="93"/>
      <c r="KJ75" s="93"/>
      <c r="KK75" s="20"/>
      <c r="KL75" s="29">
        <v>8</v>
      </c>
      <c r="KM75" s="19"/>
      <c r="KN75" s="93"/>
      <c r="KO75" s="93"/>
      <c r="KP75" s="93"/>
      <c r="KQ75" s="93"/>
      <c r="KR75" s="20"/>
      <c r="KS75" s="29">
        <v>8</v>
      </c>
      <c r="KT75" s="19"/>
      <c r="KU75" s="93"/>
      <c r="KV75" s="93"/>
      <c r="KW75" s="93"/>
      <c r="KX75" s="93"/>
      <c r="KY75" s="20"/>
      <c r="KZ75" s="29">
        <v>8</v>
      </c>
      <c r="LA75" s="1504">
        <v>36739</v>
      </c>
      <c r="LB75" s="19"/>
      <c r="LC75" s="93"/>
      <c r="LD75" s="93"/>
      <c r="LE75" s="93"/>
      <c r="LF75" s="93"/>
      <c r="LG75" s="93"/>
      <c r="LH75" s="20"/>
      <c r="LI75" s="29">
        <v>8</v>
      </c>
      <c r="LJ75" s="19"/>
      <c r="LK75" s="93"/>
      <c r="LL75" s="93"/>
      <c r="LM75" s="93"/>
      <c r="LN75" s="93"/>
      <c r="LO75" s="20"/>
      <c r="LP75" s="29">
        <v>8</v>
      </c>
      <c r="LQ75" s="19"/>
      <c r="LR75" s="93"/>
      <c r="LS75" s="93"/>
      <c r="LT75" s="93"/>
      <c r="LU75" s="93"/>
      <c r="LV75" s="93"/>
      <c r="LW75" s="93"/>
      <c r="LX75" s="93"/>
      <c r="LY75" s="93"/>
      <c r="LZ75" s="93"/>
      <c r="MA75" s="20"/>
      <c r="MB75" s="29">
        <v>8</v>
      </c>
      <c r="MC75" s="1504">
        <v>36739</v>
      </c>
      <c r="MD75" s="19"/>
      <c r="ME75" s="93"/>
      <c r="MF75" s="93"/>
      <c r="MG75" s="93"/>
      <c r="MH75" s="93"/>
      <c r="MI75" s="93"/>
      <c r="MJ75" s="93"/>
      <c r="MK75" s="93"/>
      <c r="ML75" s="93"/>
      <c r="MM75" s="93"/>
      <c r="MN75" s="93"/>
      <c r="MO75" s="93"/>
      <c r="MP75" s="93"/>
      <c r="MQ75" s="93"/>
      <c r="MR75" s="93"/>
      <c r="MS75" s="93"/>
      <c r="MT75" s="93"/>
      <c r="MU75" s="93"/>
      <c r="MV75" s="93"/>
      <c r="MW75" s="93"/>
      <c r="MX75" s="93"/>
      <c r="MY75" s="93"/>
      <c r="MZ75" s="93"/>
      <c r="NA75" s="93"/>
      <c r="NB75" s="93"/>
      <c r="NC75" s="93"/>
      <c r="ND75" s="93"/>
      <c r="NE75" s="93"/>
      <c r="NF75" s="93"/>
      <c r="NG75" s="93"/>
      <c r="NH75" s="93"/>
      <c r="NI75" s="93"/>
      <c r="NJ75" s="93"/>
      <c r="NK75" s="93"/>
      <c r="NL75" s="93"/>
      <c r="NM75" s="93"/>
      <c r="NN75" s="93"/>
      <c r="NO75" s="93"/>
      <c r="NP75" s="93"/>
      <c r="NQ75" s="93"/>
      <c r="NR75" s="93"/>
      <c r="NS75" s="93"/>
      <c r="NT75" s="93"/>
      <c r="NU75" s="93"/>
      <c r="NV75" s="93"/>
      <c r="NW75" s="93"/>
      <c r="NX75" s="93"/>
      <c r="NY75" s="93"/>
      <c r="NZ75" s="93"/>
      <c r="OA75" s="93"/>
      <c r="OB75" s="93"/>
      <c r="OC75" s="93"/>
      <c r="OD75" s="20"/>
      <c r="OE75" s="29">
        <v>8</v>
      </c>
      <c r="OF75" s="1504">
        <v>36739</v>
      </c>
      <c r="OG75" s="19"/>
      <c r="OH75" s="93"/>
      <c r="OI75" s="93"/>
      <c r="OJ75" s="93"/>
      <c r="OK75" s="93"/>
      <c r="OL75" s="93"/>
      <c r="OM75" s="93"/>
      <c r="ON75" s="93"/>
      <c r="OO75" s="93"/>
      <c r="OP75" s="93"/>
      <c r="OQ75" s="93"/>
      <c r="OR75" s="93"/>
      <c r="OS75" s="93"/>
      <c r="OT75" s="93"/>
      <c r="OU75" s="93"/>
      <c r="OV75" s="93"/>
      <c r="OW75" s="93"/>
      <c r="OX75" s="93"/>
      <c r="OY75" s="93"/>
      <c r="OZ75" s="93"/>
      <c r="PA75" s="93"/>
      <c r="PB75" s="93"/>
      <c r="PC75" s="20"/>
      <c r="PD75" s="29">
        <v>8</v>
      </c>
      <c r="PE75" s="19"/>
      <c r="PF75" s="93"/>
      <c r="PG75" s="93"/>
      <c r="PH75" s="93"/>
      <c r="PI75" s="93"/>
      <c r="PJ75" s="93"/>
      <c r="PK75" s="93"/>
      <c r="PL75" s="93"/>
      <c r="PM75" s="93"/>
      <c r="PN75" s="93"/>
      <c r="PO75" s="93"/>
      <c r="PP75" s="93"/>
      <c r="PQ75" s="93"/>
      <c r="PR75" s="93"/>
      <c r="PS75" s="93"/>
      <c r="PT75" s="93"/>
      <c r="PU75" s="93"/>
      <c r="PV75" s="93"/>
      <c r="PW75" s="93"/>
      <c r="PX75" s="93"/>
      <c r="PY75" s="93"/>
      <c r="PZ75" s="93"/>
      <c r="QA75" s="93"/>
      <c r="QB75" s="93"/>
      <c r="QC75" s="93"/>
      <c r="QD75" s="93"/>
      <c r="QE75" s="20"/>
      <c r="QF75" s="1739">
        <v>8</v>
      </c>
      <c r="QG75" s="19"/>
      <c r="QH75" s="93"/>
      <c r="QI75" s="93"/>
      <c r="QJ75" s="93"/>
      <c r="QK75" s="93"/>
      <c r="QL75" s="93"/>
      <c r="QM75" s="93"/>
      <c r="QN75" s="93"/>
      <c r="QO75" s="93"/>
      <c r="QP75" s="93"/>
      <c r="QQ75" s="93"/>
      <c r="QR75" s="93"/>
      <c r="QS75" s="93"/>
      <c r="QT75" s="93"/>
      <c r="QU75" s="93"/>
      <c r="QV75" s="93"/>
      <c r="QW75" s="93"/>
      <c r="QX75" s="93"/>
      <c r="QY75" s="93"/>
      <c r="QZ75" s="93"/>
      <c r="RA75" s="93"/>
      <c r="RB75" s="93"/>
      <c r="RC75" s="93"/>
      <c r="RD75" s="93"/>
      <c r="RE75" s="93"/>
      <c r="RF75" s="93"/>
      <c r="RG75" s="93"/>
      <c r="RH75" s="93"/>
      <c r="RI75" s="93"/>
      <c r="RJ75" s="93"/>
      <c r="RK75" s="93"/>
      <c r="RL75" s="93"/>
      <c r="RM75" s="20"/>
      <c r="RN75" s="29">
        <v>8</v>
      </c>
      <c r="RO75" s="19"/>
      <c r="RP75" s="20"/>
      <c r="RQ75" s="29">
        <v>8</v>
      </c>
      <c r="RR75" s="20"/>
      <c r="RS75" s="29">
        <v>8</v>
      </c>
      <c r="RT75" s="1504">
        <v>36739</v>
      </c>
      <c r="RU75" s="19"/>
      <c r="RV75" s="20"/>
      <c r="RW75" s="29">
        <v>8</v>
      </c>
      <c r="RX75" s="1504">
        <v>36739</v>
      </c>
      <c r="RY75" s="29"/>
      <c r="RZ75" s="20"/>
      <c r="SA75" s="29"/>
      <c r="SB75" s="29">
        <v>8</v>
      </c>
    </row>
    <row r="76" spans="1:496">
      <c r="A76" s="41">
        <f t="shared" si="187"/>
        <v>2000</v>
      </c>
      <c r="B76" s="1504">
        <v>36770</v>
      </c>
      <c r="C76" s="1813"/>
      <c r="D76" s="1814"/>
      <c r="E76" s="1814"/>
      <c r="F76" s="1815"/>
      <c r="G76" s="1814"/>
      <c r="H76" s="1814"/>
      <c r="I76" s="1814"/>
      <c r="J76" s="1816"/>
      <c r="K76" s="1807"/>
      <c r="L76" s="25">
        <v>9</v>
      </c>
      <c r="M76" s="97"/>
      <c r="N76" s="1504">
        <v>36770</v>
      </c>
      <c r="O76" s="19"/>
      <c r="P76" s="93"/>
      <c r="Q76" s="93"/>
      <c r="R76" s="93"/>
      <c r="S76" s="93"/>
      <c r="T76" s="93"/>
      <c r="U76" s="93"/>
      <c r="V76" s="93"/>
      <c r="W76" s="93"/>
      <c r="X76" s="93"/>
      <c r="Y76" s="93"/>
      <c r="Z76" s="93"/>
      <c r="AA76" s="93"/>
      <c r="AB76" s="20"/>
      <c r="AC76" s="25">
        <v>9</v>
      </c>
      <c r="AD76" s="97"/>
      <c r="AE76" s="1504">
        <v>36770</v>
      </c>
      <c r="AF76" s="19"/>
      <c r="AG76" s="93"/>
      <c r="AH76" s="93"/>
      <c r="AI76" s="93"/>
      <c r="AJ76" s="93"/>
      <c r="AK76" s="93"/>
      <c r="AL76" s="93"/>
      <c r="AM76" s="93"/>
      <c r="AN76" s="93"/>
      <c r="AO76" s="93"/>
      <c r="AP76" s="93"/>
      <c r="AQ76" s="93"/>
      <c r="AR76" s="93"/>
      <c r="AS76" s="20"/>
      <c r="AT76" s="25">
        <v>9</v>
      </c>
      <c r="AU76" s="97"/>
      <c r="AV76" s="1504">
        <v>36770</v>
      </c>
      <c r="AW76" s="19"/>
      <c r="AX76" s="93"/>
      <c r="AY76" s="93"/>
      <c r="AZ76" s="93"/>
      <c r="BA76" s="93"/>
      <c r="BB76" s="93"/>
      <c r="BC76" s="93"/>
      <c r="BD76" s="93"/>
      <c r="BE76" s="93"/>
      <c r="BF76" s="93"/>
      <c r="BG76" s="93"/>
      <c r="BH76" s="93"/>
      <c r="BI76" s="93"/>
      <c r="BJ76" s="20"/>
      <c r="BK76" s="25">
        <v>9</v>
      </c>
      <c r="BL76" s="97"/>
      <c r="BM76" s="1504">
        <v>36770</v>
      </c>
      <c r="BN76" s="19"/>
      <c r="BO76" s="93"/>
      <c r="BP76" s="93"/>
      <c r="BQ76" s="93"/>
      <c r="BR76" s="93"/>
      <c r="BS76" s="93"/>
      <c r="BT76" s="93"/>
      <c r="BU76" s="20"/>
      <c r="BV76" s="25">
        <v>9</v>
      </c>
      <c r="BW76" s="97"/>
      <c r="BX76" s="1504">
        <v>36770</v>
      </c>
      <c r="BY76" s="19"/>
      <c r="BZ76" s="99">
        <v>664.95699999999999</v>
      </c>
      <c r="CA76" s="93"/>
      <c r="CB76" s="93"/>
      <c r="CC76" s="93"/>
      <c r="CD76" s="25">
        <v>9</v>
      </c>
      <c r="CE76" s="97"/>
      <c r="CF76" s="1504">
        <v>36770</v>
      </c>
      <c r="CG76" s="19">
        <v>1.3591</v>
      </c>
      <c r="CH76" s="93">
        <v>273.68</v>
      </c>
      <c r="CI76" s="219"/>
      <c r="CJ76" s="20"/>
      <c r="CK76" s="19"/>
      <c r="CL76" s="93"/>
      <c r="CM76" s="93"/>
      <c r="CN76" s="93"/>
      <c r="CO76" s="93"/>
      <c r="CP76" s="20"/>
      <c r="CQ76" s="219">
        <v>760.59</v>
      </c>
      <c r="CR76" s="93">
        <v>2.1074999999999999</v>
      </c>
      <c r="CS76" s="93"/>
      <c r="CT76" s="93"/>
      <c r="CU76" s="93"/>
      <c r="CV76" s="214"/>
      <c r="CW76" s="29">
        <v>9</v>
      </c>
      <c r="CX76" s="41">
        <f t="shared" si="188"/>
        <v>2000</v>
      </c>
      <c r="CY76" s="1504">
        <v>36770</v>
      </c>
      <c r="CZ76" s="19"/>
      <c r="DA76" s="93"/>
      <c r="DB76" s="93"/>
      <c r="DC76" s="93"/>
      <c r="DD76" s="93"/>
      <c r="DE76" s="20"/>
      <c r="DF76" s="29">
        <v>9</v>
      </c>
      <c r="DG76" s="1504">
        <v>36770</v>
      </c>
      <c r="DH76" s="19"/>
      <c r="DI76" s="93"/>
      <c r="DJ76" s="93"/>
      <c r="DK76" s="93"/>
      <c r="DL76" s="93"/>
      <c r="DM76" s="93"/>
      <c r="DN76" s="20"/>
      <c r="DO76" s="25"/>
      <c r="DP76" s="29">
        <v>9</v>
      </c>
      <c r="DQ76" s="1504">
        <v>36770</v>
      </c>
      <c r="DR76" s="19"/>
      <c r="DS76" s="93"/>
      <c r="DT76" s="93"/>
      <c r="DU76" s="93"/>
      <c r="DV76" s="93"/>
      <c r="DW76" s="93"/>
      <c r="DX76" s="20"/>
      <c r="DY76" s="29">
        <v>9</v>
      </c>
      <c r="DZ76" s="1504">
        <v>36770</v>
      </c>
      <c r="EA76" s="19"/>
      <c r="EB76" s="93"/>
      <c r="EC76" s="20"/>
      <c r="ED76" s="29">
        <v>9</v>
      </c>
      <c r="EE76" s="1504">
        <v>36770</v>
      </c>
      <c r="EF76" s="19"/>
      <c r="EG76" s="93"/>
      <c r="EH76" s="93"/>
      <c r="EI76" s="214"/>
      <c r="EJ76" s="93"/>
      <c r="EK76" s="93"/>
      <c r="EL76" s="93"/>
      <c r="EM76" s="93"/>
      <c r="EN76" s="20"/>
      <c r="EO76" s="29">
        <v>9</v>
      </c>
      <c r="EP76" s="1504">
        <v>36770</v>
      </c>
      <c r="EQ76" s="19"/>
      <c r="ER76" s="93"/>
      <c r="ES76" s="93"/>
      <c r="ET76" s="214"/>
      <c r="EU76" s="93"/>
      <c r="EV76" s="93"/>
      <c r="EW76" s="93"/>
      <c r="EX76" s="93"/>
      <c r="EY76" s="20"/>
      <c r="EZ76" s="29">
        <v>9</v>
      </c>
      <c r="FA76" s="1504">
        <v>36770</v>
      </c>
      <c r="FB76" s="29"/>
      <c r="FC76" s="29"/>
      <c r="FD76" s="29"/>
      <c r="FE76" s="29"/>
      <c r="FF76" s="29"/>
      <c r="FG76" s="29"/>
      <c r="FH76" s="29"/>
      <c r="FI76" s="29"/>
      <c r="FJ76" s="29"/>
      <c r="FK76" s="29">
        <v>9</v>
      </c>
      <c r="FL76" s="1504">
        <v>36770</v>
      </c>
      <c r="FM76" s="19"/>
      <c r="FN76" s="93"/>
      <c r="FO76" s="93"/>
      <c r="FP76" s="93"/>
      <c r="FQ76" s="93"/>
      <c r="FR76" s="93"/>
      <c r="FS76" s="93"/>
      <c r="FT76" s="93"/>
      <c r="FU76" s="93"/>
      <c r="FV76" s="93"/>
      <c r="FW76" s="93"/>
      <c r="FX76" s="93"/>
      <c r="FY76" s="93"/>
      <c r="FZ76" s="29">
        <v>9</v>
      </c>
      <c r="GA76" s="1504">
        <v>36770</v>
      </c>
      <c r="GB76" s="19"/>
      <c r="GC76" s="93"/>
      <c r="GD76" s="93"/>
      <c r="GE76" s="93"/>
      <c r="GF76" s="93"/>
      <c r="GG76" s="93"/>
      <c r="GH76" s="93"/>
      <c r="GI76" s="93"/>
      <c r="GJ76" s="93"/>
      <c r="GK76" s="93"/>
      <c r="GL76" s="93"/>
      <c r="GM76" s="93"/>
      <c r="GN76" s="20"/>
      <c r="GO76" s="29">
        <v>9</v>
      </c>
      <c r="GP76" s="1504">
        <v>36770</v>
      </c>
      <c r="GQ76" s="19"/>
      <c r="GR76" s="93"/>
      <c r="GS76" s="93"/>
      <c r="GT76" s="93"/>
      <c r="GU76" s="93"/>
      <c r="GV76" s="20"/>
      <c r="GW76" s="19"/>
      <c r="GX76" s="93"/>
      <c r="GY76" s="93"/>
      <c r="GZ76" s="93"/>
      <c r="HA76" s="93"/>
      <c r="HB76" s="20"/>
      <c r="HC76" s="19"/>
      <c r="HD76" s="93"/>
      <c r="HE76" s="93"/>
      <c r="HF76" s="93"/>
      <c r="HG76" s="93"/>
      <c r="HH76" s="20"/>
      <c r="HI76" s="19"/>
      <c r="HJ76" s="93"/>
      <c r="HK76" s="93"/>
      <c r="HL76" s="93"/>
      <c r="HM76" s="93"/>
      <c r="HN76" s="20"/>
      <c r="HO76" s="219"/>
      <c r="HP76" s="20"/>
      <c r="HQ76" s="25"/>
      <c r="HR76" s="29">
        <v>9</v>
      </c>
      <c r="HS76" s="1504">
        <v>36770</v>
      </c>
      <c r="HT76" s="19"/>
      <c r="HU76" s="93"/>
      <c r="HV76" s="93"/>
      <c r="HW76" s="93"/>
      <c r="HX76" s="93"/>
      <c r="HY76" s="93"/>
      <c r="HZ76" s="93"/>
      <c r="IA76" s="20"/>
      <c r="IB76" s="19"/>
      <c r="IC76" s="93"/>
      <c r="ID76" s="93"/>
      <c r="IE76" s="93"/>
      <c r="IF76" s="93"/>
      <c r="IG76" s="20"/>
      <c r="IH76" s="19"/>
      <c r="II76" s="93"/>
      <c r="IJ76" s="93"/>
      <c r="IK76" s="93"/>
      <c r="IL76" s="93"/>
      <c r="IM76" s="93"/>
      <c r="IN76" s="93"/>
      <c r="IO76" s="20"/>
      <c r="IP76" s="29">
        <v>9</v>
      </c>
      <c r="IQ76" s="19"/>
      <c r="IR76" s="93"/>
      <c r="IS76" s="93"/>
      <c r="IT76" s="93"/>
      <c r="IU76" s="93"/>
      <c r="IV76" s="20"/>
      <c r="IW76" s="29">
        <v>9</v>
      </c>
      <c r="IX76" s="19"/>
      <c r="IY76" s="93"/>
      <c r="IZ76" s="93"/>
      <c r="JA76" s="93"/>
      <c r="JB76" s="93"/>
      <c r="JC76" s="93"/>
      <c r="JD76" s="93"/>
      <c r="JE76" s="20"/>
      <c r="JF76" s="29">
        <v>9</v>
      </c>
      <c r="JG76" s="19"/>
      <c r="JH76" s="93"/>
      <c r="JI76" s="93"/>
      <c r="JJ76" s="93"/>
      <c r="JK76" s="93"/>
      <c r="JL76" s="93"/>
      <c r="JM76" s="93"/>
      <c r="JN76" s="20"/>
      <c r="JO76" s="29">
        <v>9</v>
      </c>
      <c r="JP76" s="19"/>
      <c r="JQ76" s="93"/>
      <c r="JR76" s="93"/>
      <c r="JS76" s="93"/>
      <c r="JT76" s="93"/>
      <c r="JU76" s="20"/>
      <c r="JV76" s="29">
        <v>9</v>
      </c>
      <c r="JW76" s="1504">
        <v>36770</v>
      </c>
      <c r="JX76" s="19"/>
      <c r="JY76" s="93"/>
      <c r="JZ76" s="93"/>
      <c r="KA76" s="93"/>
      <c r="KB76" s="93"/>
      <c r="KC76" s="93"/>
      <c r="KD76" s="20"/>
      <c r="KE76" s="29">
        <v>9</v>
      </c>
      <c r="KF76" s="19"/>
      <c r="KG76" s="93"/>
      <c r="KH76" s="93"/>
      <c r="KI76" s="93"/>
      <c r="KJ76" s="93"/>
      <c r="KK76" s="20"/>
      <c r="KL76" s="29">
        <v>9</v>
      </c>
      <c r="KM76" s="19"/>
      <c r="KN76" s="93"/>
      <c r="KO76" s="93"/>
      <c r="KP76" s="93"/>
      <c r="KQ76" s="93"/>
      <c r="KR76" s="20"/>
      <c r="KS76" s="29">
        <v>9</v>
      </c>
      <c r="KT76" s="19"/>
      <c r="KU76" s="93"/>
      <c r="KV76" s="93"/>
      <c r="KW76" s="93"/>
      <c r="KX76" s="93"/>
      <c r="KY76" s="20"/>
      <c r="KZ76" s="29">
        <v>9</v>
      </c>
      <c r="LA76" s="1504">
        <v>36770</v>
      </c>
      <c r="LB76" s="19"/>
      <c r="LC76" s="93"/>
      <c r="LD76" s="93"/>
      <c r="LE76" s="93"/>
      <c r="LF76" s="93"/>
      <c r="LG76" s="93"/>
      <c r="LH76" s="20"/>
      <c r="LI76" s="29">
        <v>9</v>
      </c>
      <c r="LJ76" s="19"/>
      <c r="LK76" s="93"/>
      <c r="LL76" s="93"/>
      <c r="LM76" s="93"/>
      <c r="LN76" s="93"/>
      <c r="LO76" s="20"/>
      <c r="LP76" s="29">
        <v>9</v>
      </c>
      <c r="LQ76" s="19"/>
      <c r="LR76" s="93"/>
      <c r="LS76" s="93"/>
      <c r="LT76" s="93"/>
      <c r="LU76" s="93"/>
      <c r="LV76" s="93"/>
      <c r="LW76" s="93"/>
      <c r="LX76" s="93"/>
      <c r="LY76" s="93"/>
      <c r="LZ76" s="93"/>
      <c r="MA76" s="20"/>
      <c r="MB76" s="29">
        <v>9</v>
      </c>
      <c r="MC76" s="1504">
        <v>36770</v>
      </c>
      <c r="MD76" s="19"/>
      <c r="ME76" s="93"/>
      <c r="MF76" s="93"/>
      <c r="MG76" s="93"/>
      <c r="MH76" s="93"/>
      <c r="MI76" s="93"/>
      <c r="MJ76" s="93"/>
      <c r="MK76" s="93"/>
      <c r="ML76" s="93"/>
      <c r="MM76" s="93"/>
      <c r="MN76" s="93"/>
      <c r="MO76" s="93"/>
      <c r="MP76" s="93"/>
      <c r="MQ76" s="93"/>
      <c r="MR76" s="93"/>
      <c r="MS76" s="93"/>
      <c r="MT76" s="93"/>
      <c r="MU76" s="93"/>
      <c r="MV76" s="93"/>
      <c r="MW76" s="93"/>
      <c r="MX76" s="93"/>
      <c r="MY76" s="93"/>
      <c r="MZ76" s="93"/>
      <c r="NA76" s="93"/>
      <c r="NB76" s="93"/>
      <c r="NC76" s="93"/>
      <c r="ND76" s="93"/>
      <c r="NE76" s="93"/>
      <c r="NF76" s="93"/>
      <c r="NG76" s="93"/>
      <c r="NH76" s="93"/>
      <c r="NI76" s="93"/>
      <c r="NJ76" s="93"/>
      <c r="NK76" s="93"/>
      <c r="NL76" s="93"/>
      <c r="NM76" s="93"/>
      <c r="NN76" s="93"/>
      <c r="NO76" s="93"/>
      <c r="NP76" s="93"/>
      <c r="NQ76" s="93"/>
      <c r="NR76" s="93"/>
      <c r="NS76" s="93"/>
      <c r="NT76" s="93"/>
      <c r="NU76" s="93"/>
      <c r="NV76" s="93"/>
      <c r="NW76" s="93"/>
      <c r="NX76" s="93"/>
      <c r="NY76" s="93"/>
      <c r="NZ76" s="93"/>
      <c r="OA76" s="93"/>
      <c r="OB76" s="93"/>
      <c r="OC76" s="93"/>
      <c r="OD76" s="20"/>
      <c r="OE76" s="29">
        <v>9</v>
      </c>
      <c r="OF76" s="1504">
        <v>36770</v>
      </c>
      <c r="OG76" s="19"/>
      <c r="OH76" s="93"/>
      <c r="OI76" s="93"/>
      <c r="OJ76" s="93"/>
      <c r="OK76" s="93"/>
      <c r="OL76" s="93"/>
      <c r="OM76" s="93"/>
      <c r="ON76" s="93"/>
      <c r="OO76" s="93"/>
      <c r="OP76" s="93"/>
      <c r="OQ76" s="93"/>
      <c r="OR76" s="93"/>
      <c r="OS76" s="93"/>
      <c r="OT76" s="93"/>
      <c r="OU76" s="93"/>
      <c r="OV76" s="93"/>
      <c r="OW76" s="93"/>
      <c r="OX76" s="93"/>
      <c r="OY76" s="93"/>
      <c r="OZ76" s="93"/>
      <c r="PA76" s="93"/>
      <c r="PB76" s="93"/>
      <c r="PC76" s="20"/>
      <c r="PD76" s="29">
        <v>9</v>
      </c>
      <c r="PE76" s="19"/>
      <c r="PF76" s="93"/>
      <c r="PG76" s="93"/>
      <c r="PH76" s="93"/>
      <c r="PI76" s="93"/>
      <c r="PJ76" s="93"/>
      <c r="PK76" s="93"/>
      <c r="PL76" s="93"/>
      <c r="PM76" s="93"/>
      <c r="PN76" s="93"/>
      <c r="PO76" s="93"/>
      <c r="PP76" s="93"/>
      <c r="PQ76" s="93"/>
      <c r="PR76" s="93"/>
      <c r="PS76" s="93"/>
      <c r="PT76" s="93"/>
      <c r="PU76" s="93"/>
      <c r="PV76" s="93"/>
      <c r="PW76" s="93"/>
      <c r="PX76" s="93"/>
      <c r="PY76" s="93"/>
      <c r="PZ76" s="93"/>
      <c r="QA76" s="93"/>
      <c r="QB76" s="93"/>
      <c r="QC76" s="93"/>
      <c r="QD76" s="93"/>
      <c r="QE76" s="20"/>
      <c r="QF76" s="1739">
        <v>9</v>
      </c>
      <c r="QG76" s="19"/>
      <c r="QH76" s="93"/>
      <c r="QI76" s="93"/>
      <c r="QJ76" s="93"/>
      <c r="QK76" s="93"/>
      <c r="QL76" s="93"/>
      <c r="QM76" s="93"/>
      <c r="QN76" s="93"/>
      <c r="QO76" s="93"/>
      <c r="QP76" s="93"/>
      <c r="QQ76" s="93"/>
      <c r="QR76" s="93"/>
      <c r="QS76" s="93"/>
      <c r="QT76" s="93"/>
      <c r="QU76" s="93"/>
      <c r="QV76" s="93"/>
      <c r="QW76" s="93"/>
      <c r="QX76" s="93"/>
      <c r="QY76" s="93"/>
      <c r="QZ76" s="93"/>
      <c r="RA76" s="93"/>
      <c r="RB76" s="93"/>
      <c r="RC76" s="93"/>
      <c r="RD76" s="93"/>
      <c r="RE76" s="93"/>
      <c r="RF76" s="93"/>
      <c r="RG76" s="93"/>
      <c r="RH76" s="93"/>
      <c r="RI76" s="93"/>
      <c r="RJ76" s="93"/>
      <c r="RK76" s="93"/>
      <c r="RL76" s="93"/>
      <c r="RM76" s="20"/>
      <c r="RN76" s="29">
        <v>9</v>
      </c>
      <c r="RO76" s="19"/>
      <c r="RP76" s="20"/>
      <c r="RQ76" s="29">
        <v>9</v>
      </c>
      <c r="RR76" s="20"/>
      <c r="RS76" s="29">
        <v>9</v>
      </c>
      <c r="RT76" s="1504">
        <v>36770</v>
      </c>
      <c r="RU76" s="19"/>
      <c r="RV76" s="20"/>
      <c r="RW76" s="29">
        <v>9</v>
      </c>
      <c r="RX76" s="1504">
        <v>36770</v>
      </c>
      <c r="RY76" s="29"/>
      <c r="RZ76" s="20"/>
      <c r="SA76" s="29"/>
      <c r="SB76" s="29">
        <v>9</v>
      </c>
    </row>
    <row r="77" spans="1:496">
      <c r="A77" s="41">
        <f t="shared" si="187"/>
        <v>2000</v>
      </c>
      <c r="B77" s="1504">
        <v>36800</v>
      </c>
      <c r="C77" s="1813"/>
      <c r="D77" s="1814"/>
      <c r="E77" s="1814"/>
      <c r="F77" s="1815"/>
      <c r="G77" s="1814"/>
      <c r="H77" s="1814"/>
      <c r="I77" s="1814"/>
      <c r="J77" s="1816"/>
      <c r="K77" s="1807"/>
      <c r="L77" s="25">
        <v>10</v>
      </c>
      <c r="M77" s="97"/>
      <c r="N77" s="1504">
        <v>36800</v>
      </c>
      <c r="O77" s="19"/>
      <c r="P77" s="93"/>
      <c r="Q77" s="93"/>
      <c r="R77" s="93"/>
      <c r="S77" s="93"/>
      <c r="T77" s="93"/>
      <c r="U77" s="93"/>
      <c r="V77" s="93"/>
      <c r="W77" s="93"/>
      <c r="X77" s="93"/>
      <c r="Y77" s="93"/>
      <c r="Z77" s="93"/>
      <c r="AA77" s="93"/>
      <c r="AB77" s="20"/>
      <c r="AC77" s="25">
        <v>10</v>
      </c>
      <c r="AD77" s="97"/>
      <c r="AE77" s="1504">
        <v>36800</v>
      </c>
      <c r="AF77" s="19"/>
      <c r="AG77" s="93"/>
      <c r="AH77" s="93"/>
      <c r="AI77" s="93"/>
      <c r="AJ77" s="93"/>
      <c r="AK77" s="93"/>
      <c r="AL77" s="93"/>
      <c r="AM77" s="93"/>
      <c r="AN77" s="93"/>
      <c r="AO77" s="93"/>
      <c r="AP77" s="93"/>
      <c r="AQ77" s="93"/>
      <c r="AR77" s="93"/>
      <c r="AS77" s="20"/>
      <c r="AT77" s="25">
        <v>10</v>
      </c>
      <c r="AU77" s="97"/>
      <c r="AV77" s="1504">
        <v>36800</v>
      </c>
      <c r="AW77" s="19"/>
      <c r="AX77" s="93"/>
      <c r="AY77" s="93"/>
      <c r="AZ77" s="93"/>
      <c r="BA77" s="93"/>
      <c r="BB77" s="93"/>
      <c r="BC77" s="93"/>
      <c r="BD77" s="93"/>
      <c r="BE77" s="93"/>
      <c r="BF77" s="93"/>
      <c r="BG77" s="93"/>
      <c r="BH77" s="93"/>
      <c r="BI77" s="93"/>
      <c r="BJ77" s="20"/>
      <c r="BK77" s="25">
        <v>10</v>
      </c>
      <c r="BL77" s="97"/>
      <c r="BM77" s="1504">
        <v>36800</v>
      </c>
      <c r="BN77" s="19"/>
      <c r="BO77" s="93"/>
      <c r="BP77" s="93"/>
      <c r="BQ77" s="93"/>
      <c r="BR77" s="93"/>
      <c r="BS77" s="93"/>
      <c r="BT77" s="93"/>
      <c r="BU77" s="20"/>
      <c r="BV77" s="25">
        <v>10</v>
      </c>
      <c r="BW77" s="97"/>
      <c r="BX77" s="1504">
        <v>36800</v>
      </c>
      <c r="BY77" s="19"/>
      <c r="BZ77" s="99">
        <v>664.95699999999999</v>
      </c>
      <c r="CA77" s="93"/>
      <c r="CB77" s="93"/>
      <c r="CC77" s="93"/>
      <c r="CD77" s="25">
        <v>10</v>
      </c>
      <c r="CE77" s="97"/>
      <c r="CF77" s="1504">
        <v>36800</v>
      </c>
      <c r="CG77" s="19">
        <v>1.3425</v>
      </c>
      <c r="CH77" s="93">
        <v>270</v>
      </c>
      <c r="CI77" s="219"/>
      <c r="CJ77" s="20"/>
      <c r="CK77" s="19"/>
      <c r="CL77" s="93"/>
      <c r="CM77" s="93"/>
      <c r="CN77" s="93"/>
      <c r="CO77" s="93"/>
      <c r="CP77" s="20"/>
      <c r="CQ77" s="219">
        <v>754.58</v>
      </c>
      <c r="CR77" s="93">
        <v>1.966</v>
      </c>
      <c r="CS77" s="93"/>
      <c r="CT77" s="93"/>
      <c r="CU77" s="93"/>
      <c r="CV77" s="214"/>
      <c r="CW77" s="29">
        <v>10</v>
      </c>
      <c r="CX77" s="41">
        <f t="shared" si="188"/>
        <v>2000</v>
      </c>
      <c r="CY77" s="1504">
        <v>36800</v>
      </c>
      <c r="CZ77" s="19"/>
      <c r="DA77" s="93"/>
      <c r="DB77" s="93"/>
      <c r="DC77" s="93"/>
      <c r="DD77" s="93"/>
      <c r="DE77" s="20"/>
      <c r="DF77" s="29">
        <v>10</v>
      </c>
      <c r="DG77" s="1504">
        <v>36800</v>
      </c>
      <c r="DH77" s="19"/>
      <c r="DI77" s="93"/>
      <c r="DJ77" s="93"/>
      <c r="DK77" s="93"/>
      <c r="DL77" s="93"/>
      <c r="DM77" s="93"/>
      <c r="DN77" s="20"/>
      <c r="DO77" s="25"/>
      <c r="DP77" s="29">
        <v>10</v>
      </c>
      <c r="DQ77" s="1504">
        <v>36800</v>
      </c>
      <c r="DR77" s="19"/>
      <c r="DS77" s="93"/>
      <c r="DT77" s="93"/>
      <c r="DU77" s="93"/>
      <c r="DV77" s="93"/>
      <c r="DW77" s="93"/>
      <c r="DX77" s="20"/>
      <c r="DY77" s="29">
        <v>10</v>
      </c>
      <c r="DZ77" s="1504">
        <v>36800</v>
      </c>
      <c r="EA77" s="19"/>
      <c r="EB77" s="93"/>
      <c r="EC77" s="20"/>
      <c r="ED77" s="29">
        <v>10</v>
      </c>
      <c r="EE77" s="1504">
        <v>36800</v>
      </c>
      <c r="EF77" s="19"/>
      <c r="EG77" s="93"/>
      <c r="EH77" s="93"/>
      <c r="EI77" s="214"/>
      <c r="EJ77" s="93"/>
      <c r="EK77" s="93"/>
      <c r="EL77" s="93"/>
      <c r="EM77" s="93"/>
      <c r="EN77" s="20"/>
      <c r="EO77" s="29">
        <v>10</v>
      </c>
      <c r="EP77" s="1504">
        <v>36800</v>
      </c>
      <c r="EQ77" s="19"/>
      <c r="ER77" s="93"/>
      <c r="ES77" s="93"/>
      <c r="ET77" s="214"/>
      <c r="EU77" s="93"/>
      <c r="EV77" s="93"/>
      <c r="EW77" s="93"/>
      <c r="EX77" s="93"/>
      <c r="EY77" s="20"/>
      <c r="EZ77" s="29">
        <v>10</v>
      </c>
      <c r="FA77" s="1504">
        <v>36800</v>
      </c>
      <c r="FB77" s="29"/>
      <c r="FC77" s="29"/>
      <c r="FD77" s="29"/>
      <c r="FE77" s="29"/>
      <c r="FF77" s="29"/>
      <c r="FG77" s="29"/>
      <c r="FH77" s="29"/>
      <c r="FI77" s="29"/>
      <c r="FJ77" s="29"/>
      <c r="FK77" s="29">
        <v>10</v>
      </c>
      <c r="FL77" s="1504">
        <v>36800</v>
      </c>
      <c r="FM77" s="19"/>
      <c r="FN77" s="93"/>
      <c r="FO77" s="93"/>
      <c r="FP77" s="93"/>
      <c r="FQ77" s="93"/>
      <c r="FR77" s="93"/>
      <c r="FS77" s="93"/>
      <c r="FT77" s="93"/>
      <c r="FU77" s="93"/>
      <c r="FV77" s="93"/>
      <c r="FW77" s="93"/>
      <c r="FX77" s="93"/>
      <c r="FY77" s="93"/>
      <c r="FZ77" s="29">
        <v>10</v>
      </c>
      <c r="GA77" s="1504">
        <v>36800</v>
      </c>
      <c r="GB77" s="19"/>
      <c r="GC77" s="93"/>
      <c r="GD77" s="93"/>
      <c r="GE77" s="93"/>
      <c r="GF77" s="93"/>
      <c r="GG77" s="93"/>
      <c r="GH77" s="93"/>
      <c r="GI77" s="93"/>
      <c r="GJ77" s="93"/>
      <c r="GK77" s="93"/>
      <c r="GL77" s="93"/>
      <c r="GM77" s="93"/>
      <c r="GN77" s="20"/>
      <c r="GO77" s="29">
        <v>10</v>
      </c>
      <c r="GP77" s="1504">
        <v>36800</v>
      </c>
      <c r="GQ77" s="19"/>
      <c r="GR77" s="93"/>
      <c r="GS77" s="93"/>
      <c r="GT77" s="93"/>
      <c r="GU77" s="93"/>
      <c r="GV77" s="20"/>
      <c r="GW77" s="19"/>
      <c r="GX77" s="93"/>
      <c r="GY77" s="93"/>
      <c r="GZ77" s="93"/>
      <c r="HA77" s="93"/>
      <c r="HB77" s="20"/>
      <c r="HC77" s="19"/>
      <c r="HD77" s="93"/>
      <c r="HE77" s="93"/>
      <c r="HF77" s="93"/>
      <c r="HG77" s="93"/>
      <c r="HH77" s="20"/>
      <c r="HI77" s="19"/>
      <c r="HJ77" s="93"/>
      <c r="HK77" s="93"/>
      <c r="HL77" s="93"/>
      <c r="HM77" s="93"/>
      <c r="HN77" s="20"/>
      <c r="HO77" s="219"/>
      <c r="HP77" s="20"/>
      <c r="HQ77" s="25"/>
      <c r="HR77" s="29">
        <v>10</v>
      </c>
      <c r="HS77" s="1504">
        <v>36800</v>
      </c>
      <c r="HT77" s="19"/>
      <c r="HU77" s="93"/>
      <c r="HV77" s="93"/>
      <c r="HW77" s="93"/>
      <c r="HX77" s="93"/>
      <c r="HY77" s="93"/>
      <c r="HZ77" s="93"/>
      <c r="IA77" s="20"/>
      <c r="IB77" s="19"/>
      <c r="IC77" s="93"/>
      <c r="ID77" s="93"/>
      <c r="IE77" s="93"/>
      <c r="IF77" s="93"/>
      <c r="IG77" s="20"/>
      <c r="IH77" s="19"/>
      <c r="II77" s="93"/>
      <c r="IJ77" s="93"/>
      <c r="IK77" s="93"/>
      <c r="IL77" s="93"/>
      <c r="IM77" s="93"/>
      <c r="IN77" s="93"/>
      <c r="IO77" s="20"/>
      <c r="IP77" s="29">
        <v>10</v>
      </c>
      <c r="IQ77" s="19"/>
      <c r="IR77" s="93"/>
      <c r="IS77" s="93"/>
      <c r="IT77" s="93"/>
      <c r="IU77" s="93"/>
      <c r="IV77" s="20"/>
      <c r="IW77" s="29">
        <v>10</v>
      </c>
      <c r="IX77" s="19"/>
      <c r="IY77" s="93"/>
      <c r="IZ77" s="93"/>
      <c r="JA77" s="93"/>
      <c r="JB77" s="93"/>
      <c r="JC77" s="93"/>
      <c r="JD77" s="93"/>
      <c r="JE77" s="20"/>
      <c r="JF77" s="29">
        <v>10</v>
      </c>
      <c r="JG77" s="19"/>
      <c r="JH77" s="93"/>
      <c r="JI77" s="93"/>
      <c r="JJ77" s="93"/>
      <c r="JK77" s="93"/>
      <c r="JL77" s="93"/>
      <c r="JM77" s="93"/>
      <c r="JN77" s="20"/>
      <c r="JO77" s="29">
        <v>10</v>
      </c>
      <c r="JP77" s="19"/>
      <c r="JQ77" s="93"/>
      <c r="JR77" s="93"/>
      <c r="JS77" s="93"/>
      <c r="JT77" s="93"/>
      <c r="JU77" s="20"/>
      <c r="JV77" s="29">
        <v>10</v>
      </c>
      <c r="JW77" s="1504">
        <v>36800</v>
      </c>
      <c r="JX77" s="19"/>
      <c r="JY77" s="93"/>
      <c r="JZ77" s="93"/>
      <c r="KA77" s="93"/>
      <c r="KB77" s="93"/>
      <c r="KC77" s="93"/>
      <c r="KD77" s="20"/>
      <c r="KE77" s="29">
        <v>10</v>
      </c>
      <c r="KF77" s="19"/>
      <c r="KG77" s="93"/>
      <c r="KH77" s="93"/>
      <c r="KI77" s="93"/>
      <c r="KJ77" s="93"/>
      <c r="KK77" s="20"/>
      <c r="KL77" s="29">
        <v>10</v>
      </c>
      <c r="KM77" s="19"/>
      <c r="KN77" s="93"/>
      <c r="KO77" s="93"/>
      <c r="KP77" s="93"/>
      <c r="KQ77" s="93"/>
      <c r="KR77" s="20"/>
      <c r="KS77" s="29">
        <v>10</v>
      </c>
      <c r="KT77" s="19"/>
      <c r="KU77" s="93"/>
      <c r="KV77" s="93"/>
      <c r="KW77" s="93"/>
      <c r="KX77" s="93"/>
      <c r="KY77" s="20"/>
      <c r="KZ77" s="29">
        <v>10</v>
      </c>
      <c r="LA77" s="1504">
        <v>36800</v>
      </c>
      <c r="LB77" s="19"/>
      <c r="LC77" s="93"/>
      <c r="LD77" s="93"/>
      <c r="LE77" s="93"/>
      <c r="LF77" s="93"/>
      <c r="LG77" s="93"/>
      <c r="LH77" s="20"/>
      <c r="LI77" s="29">
        <v>10</v>
      </c>
      <c r="LJ77" s="19"/>
      <c r="LK77" s="93"/>
      <c r="LL77" s="93"/>
      <c r="LM77" s="93"/>
      <c r="LN77" s="93"/>
      <c r="LO77" s="20"/>
      <c r="LP77" s="29">
        <v>10</v>
      </c>
      <c r="LQ77" s="19"/>
      <c r="LR77" s="93"/>
      <c r="LS77" s="93"/>
      <c r="LT77" s="93"/>
      <c r="LU77" s="93"/>
      <c r="LV77" s="93"/>
      <c r="LW77" s="93"/>
      <c r="LX77" s="93"/>
      <c r="LY77" s="93"/>
      <c r="LZ77" s="93"/>
      <c r="MA77" s="20"/>
      <c r="MB77" s="29">
        <v>10</v>
      </c>
      <c r="MC77" s="1504">
        <v>36800</v>
      </c>
      <c r="MD77" s="19"/>
      <c r="ME77" s="93"/>
      <c r="MF77" s="93"/>
      <c r="MG77" s="93"/>
      <c r="MH77" s="93"/>
      <c r="MI77" s="93"/>
      <c r="MJ77" s="93"/>
      <c r="MK77" s="93"/>
      <c r="ML77" s="93"/>
      <c r="MM77" s="93"/>
      <c r="MN77" s="93"/>
      <c r="MO77" s="93"/>
      <c r="MP77" s="93"/>
      <c r="MQ77" s="93"/>
      <c r="MR77" s="93"/>
      <c r="MS77" s="93"/>
      <c r="MT77" s="93"/>
      <c r="MU77" s="93"/>
      <c r="MV77" s="93"/>
      <c r="MW77" s="93"/>
      <c r="MX77" s="93"/>
      <c r="MY77" s="93"/>
      <c r="MZ77" s="93"/>
      <c r="NA77" s="93"/>
      <c r="NB77" s="93"/>
      <c r="NC77" s="93"/>
      <c r="ND77" s="93"/>
      <c r="NE77" s="93"/>
      <c r="NF77" s="93"/>
      <c r="NG77" s="93"/>
      <c r="NH77" s="93"/>
      <c r="NI77" s="93"/>
      <c r="NJ77" s="93"/>
      <c r="NK77" s="93"/>
      <c r="NL77" s="93"/>
      <c r="NM77" s="93"/>
      <c r="NN77" s="93"/>
      <c r="NO77" s="93"/>
      <c r="NP77" s="93"/>
      <c r="NQ77" s="93"/>
      <c r="NR77" s="93"/>
      <c r="NS77" s="93"/>
      <c r="NT77" s="93"/>
      <c r="NU77" s="93"/>
      <c r="NV77" s="93"/>
      <c r="NW77" s="93"/>
      <c r="NX77" s="93"/>
      <c r="NY77" s="93"/>
      <c r="NZ77" s="93"/>
      <c r="OA77" s="93"/>
      <c r="OB77" s="93"/>
      <c r="OC77" s="93"/>
      <c r="OD77" s="20"/>
      <c r="OE77" s="29">
        <v>10</v>
      </c>
      <c r="OF77" s="1504">
        <v>36800</v>
      </c>
      <c r="OG77" s="19"/>
      <c r="OH77" s="93"/>
      <c r="OI77" s="93"/>
      <c r="OJ77" s="93"/>
      <c r="OK77" s="93"/>
      <c r="OL77" s="93"/>
      <c r="OM77" s="93"/>
      <c r="ON77" s="93"/>
      <c r="OO77" s="93"/>
      <c r="OP77" s="93"/>
      <c r="OQ77" s="93"/>
      <c r="OR77" s="93"/>
      <c r="OS77" s="93"/>
      <c r="OT77" s="93"/>
      <c r="OU77" s="93"/>
      <c r="OV77" s="93"/>
      <c r="OW77" s="93"/>
      <c r="OX77" s="93"/>
      <c r="OY77" s="93"/>
      <c r="OZ77" s="93"/>
      <c r="PA77" s="93"/>
      <c r="PB77" s="93"/>
      <c r="PC77" s="20"/>
      <c r="PD77" s="29">
        <v>10</v>
      </c>
      <c r="PE77" s="19"/>
      <c r="PF77" s="93"/>
      <c r="PG77" s="93"/>
      <c r="PH77" s="93"/>
      <c r="PI77" s="93"/>
      <c r="PJ77" s="93"/>
      <c r="PK77" s="93"/>
      <c r="PL77" s="93"/>
      <c r="PM77" s="93"/>
      <c r="PN77" s="93"/>
      <c r="PO77" s="93"/>
      <c r="PP77" s="93"/>
      <c r="PQ77" s="93"/>
      <c r="PR77" s="93"/>
      <c r="PS77" s="93"/>
      <c r="PT77" s="93"/>
      <c r="PU77" s="93"/>
      <c r="PV77" s="93"/>
      <c r="PW77" s="93"/>
      <c r="PX77" s="93"/>
      <c r="PY77" s="93"/>
      <c r="PZ77" s="93"/>
      <c r="QA77" s="93"/>
      <c r="QB77" s="93"/>
      <c r="QC77" s="93"/>
      <c r="QD77" s="93"/>
      <c r="QE77" s="20"/>
      <c r="QF77" s="1739">
        <v>10</v>
      </c>
      <c r="QG77" s="19"/>
      <c r="QH77" s="93"/>
      <c r="QI77" s="93"/>
      <c r="QJ77" s="93"/>
      <c r="QK77" s="93"/>
      <c r="QL77" s="93"/>
      <c r="QM77" s="93"/>
      <c r="QN77" s="93"/>
      <c r="QO77" s="93"/>
      <c r="QP77" s="93"/>
      <c r="QQ77" s="93"/>
      <c r="QR77" s="93"/>
      <c r="QS77" s="93"/>
      <c r="QT77" s="93"/>
      <c r="QU77" s="93"/>
      <c r="QV77" s="93"/>
      <c r="QW77" s="93"/>
      <c r="QX77" s="93"/>
      <c r="QY77" s="93"/>
      <c r="QZ77" s="93"/>
      <c r="RA77" s="93"/>
      <c r="RB77" s="93"/>
      <c r="RC77" s="93"/>
      <c r="RD77" s="93"/>
      <c r="RE77" s="93"/>
      <c r="RF77" s="93"/>
      <c r="RG77" s="93"/>
      <c r="RH77" s="93"/>
      <c r="RI77" s="93"/>
      <c r="RJ77" s="93"/>
      <c r="RK77" s="93"/>
      <c r="RL77" s="93"/>
      <c r="RM77" s="20"/>
      <c r="RN77" s="29">
        <v>10</v>
      </c>
      <c r="RO77" s="19"/>
      <c r="RP77" s="20"/>
      <c r="RQ77" s="29">
        <v>10</v>
      </c>
      <c r="RR77" s="20"/>
      <c r="RS77" s="29">
        <v>10</v>
      </c>
      <c r="RT77" s="1504">
        <v>36800</v>
      </c>
      <c r="RU77" s="19"/>
      <c r="RV77" s="20"/>
      <c r="RW77" s="29">
        <v>10</v>
      </c>
      <c r="RX77" s="1504">
        <v>36800</v>
      </c>
      <c r="RY77" s="29"/>
      <c r="RZ77" s="20"/>
      <c r="SA77" s="29"/>
      <c r="SB77" s="29">
        <v>10</v>
      </c>
    </row>
    <row r="78" spans="1:496">
      <c r="A78" s="41">
        <f t="shared" si="187"/>
        <v>2000</v>
      </c>
      <c r="B78" s="1504">
        <v>36831</v>
      </c>
      <c r="C78" s="1813"/>
      <c r="D78" s="1814"/>
      <c r="E78" s="1814"/>
      <c r="F78" s="1815"/>
      <c r="G78" s="1814"/>
      <c r="H78" s="1814"/>
      <c r="I78" s="1814"/>
      <c r="J78" s="1816"/>
      <c r="K78" s="1807"/>
      <c r="L78" s="25">
        <v>11</v>
      </c>
      <c r="M78" s="97"/>
      <c r="N78" s="1504">
        <v>36831</v>
      </c>
      <c r="O78" s="19"/>
      <c r="P78" s="93"/>
      <c r="Q78" s="93"/>
      <c r="R78" s="93"/>
      <c r="S78" s="93"/>
      <c r="T78" s="93"/>
      <c r="U78" s="93"/>
      <c r="V78" s="93"/>
      <c r="W78" s="93"/>
      <c r="X78" s="93"/>
      <c r="Y78" s="93"/>
      <c r="Z78" s="93"/>
      <c r="AA78" s="93"/>
      <c r="AB78" s="20"/>
      <c r="AC78" s="25">
        <v>11</v>
      </c>
      <c r="AD78" s="97"/>
      <c r="AE78" s="1504">
        <v>36831</v>
      </c>
      <c r="AF78" s="19"/>
      <c r="AG78" s="93"/>
      <c r="AH78" s="93"/>
      <c r="AI78" s="93"/>
      <c r="AJ78" s="93"/>
      <c r="AK78" s="93"/>
      <c r="AL78" s="93"/>
      <c r="AM78" s="93"/>
      <c r="AN78" s="93"/>
      <c r="AO78" s="93"/>
      <c r="AP78" s="93"/>
      <c r="AQ78" s="93"/>
      <c r="AR78" s="93"/>
      <c r="AS78" s="20"/>
      <c r="AT78" s="25">
        <v>11</v>
      </c>
      <c r="AU78" s="97"/>
      <c r="AV78" s="1504">
        <v>36831</v>
      </c>
      <c r="AW78" s="19"/>
      <c r="AX78" s="93"/>
      <c r="AY78" s="93"/>
      <c r="AZ78" s="93"/>
      <c r="BA78" s="93"/>
      <c r="BB78" s="93"/>
      <c r="BC78" s="93"/>
      <c r="BD78" s="93"/>
      <c r="BE78" s="93"/>
      <c r="BF78" s="93"/>
      <c r="BG78" s="93"/>
      <c r="BH78" s="93"/>
      <c r="BI78" s="93"/>
      <c r="BJ78" s="20"/>
      <c r="BK78" s="25">
        <v>11</v>
      </c>
      <c r="BL78" s="97"/>
      <c r="BM78" s="1504">
        <v>36831</v>
      </c>
      <c r="BN78" s="19"/>
      <c r="BO78" s="93"/>
      <c r="BP78" s="93"/>
      <c r="BQ78" s="93"/>
      <c r="BR78" s="93"/>
      <c r="BS78" s="93"/>
      <c r="BT78" s="93"/>
      <c r="BU78" s="20"/>
      <c r="BV78" s="25">
        <v>11</v>
      </c>
      <c r="BW78" s="97"/>
      <c r="BX78" s="1504">
        <v>36831</v>
      </c>
      <c r="BY78" s="19"/>
      <c r="BZ78" s="99">
        <v>664.95699999999999</v>
      </c>
      <c r="CA78" s="93"/>
      <c r="CB78" s="93"/>
      <c r="CC78" s="93"/>
      <c r="CD78" s="25">
        <v>11</v>
      </c>
      <c r="CE78" s="97"/>
      <c r="CF78" s="1504">
        <v>36831</v>
      </c>
      <c r="CG78" s="19">
        <v>1.4105000000000001</v>
      </c>
      <c r="CH78" s="93">
        <v>266.01</v>
      </c>
      <c r="CI78" s="219"/>
      <c r="CJ78" s="20"/>
      <c r="CK78" s="19"/>
      <c r="CL78" s="93"/>
      <c r="CM78" s="93"/>
      <c r="CN78" s="93"/>
      <c r="CO78" s="93"/>
      <c r="CP78" s="20"/>
      <c r="CQ78" s="219">
        <v>769.61</v>
      </c>
      <c r="CR78" s="93">
        <v>2.0049999999999999</v>
      </c>
      <c r="CS78" s="93"/>
      <c r="CT78" s="93"/>
      <c r="CU78" s="93"/>
      <c r="CV78" s="214"/>
      <c r="CW78" s="29">
        <v>11</v>
      </c>
      <c r="CX78" s="41">
        <f t="shared" si="188"/>
        <v>2000</v>
      </c>
      <c r="CY78" s="1504">
        <v>36831</v>
      </c>
      <c r="CZ78" s="19"/>
      <c r="DA78" s="93"/>
      <c r="DB78" s="93"/>
      <c r="DC78" s="93"/>
      <c r="DD78" s="93"/>
      <c r="DE78" s="20"/>
      <c r="DF78" s="29">
        <v>11</v>
      </c>
      <c r="DG78" s="1504">
        <v>36831</v>
      </c>
      <c r="DH78" s="19"/>
      <c r="DI78" s="93"/>
      <c r="DJ78" s="93"/>
      <c r="DK78" s="93"/>
      <c r="DL78" s="93"/>
      <c r="DM78" s="93"/>
      <c r="DN78" s="20"/>
      <c r="DO78" s="25"/>
      <c r="DP78" s="29">
        <v>11</v>
      </c>
      <c r="DQ78" s="1504">
        <v>36831</v>
      </c>
      <c r="DR78" s="19"/>
      <c r="DS78" s="93"/>
      <c r="DT78" s="93"/>
      <c r="DU78" s="93"/>
      <c r="DV78" s="93"/>
      <c r="DW78" s="93"/>
      <c r="DX78" s="20"/>
      <c r="DY78" s="29">
        <v>11</v>
      </c>
      <c r="DZ78" s="1504">
        <v>36831</v>
      </c>
      <c r="EA78" s="19"/>
      <c r="EB78" s="93"/>
      <c r="EC78" s="20"/>
      <c r="ED78" s="29">
        <v>11</v>
      </c>
      <c r="EE78" s="1504">
        <v>36831</v>
      </c>
      <c r="EF78" s="19"/>
      <c r="EG78" s="93"/>
      <c r="EH78" s="93"/>
      <c r="EI78" s="214"/>
      <c r="EJ78" s="93"/>
      <c r="EK78" s="93"/>
      <c r="EL78" s="93"/>
      <c r="EM78" s="93"/>
      <c r="EN78" s="20"/>
      <c r="EO78" s="29">
        <v>11</v>
      </c>
      <c r="EP78" s="1504">
        <v>36831</v>
      </c>
      <c r="EQ78" s="19"/>
      <c r="ER78" s="93"/>
      <c r="ES78" s="93"/>
      <c r="ET78" s="214"/>
      <c r="EU78" s="93"/>
      <c r="EV78" s="93"/>
      <c r="EW78" s="93"/>
      <c r="EX78" s="93"/>
      <c r="EY78" s="20"/>
      <c r="EZ78" s="29">
        <v>11</v>
      </c>
      <c r="FA78" s="1504">
        <v>36831</v>
      </c>
      <c r="FB78" s="29"/>
      <c r="FC78" s="29"/>
      <c r="FD78" s="29"/>
      <c r="FE78" s="29"/>
      <c r="FF78" s="29"/>
      <c r="FG78" s="29"/>
      <c r="FH78" s="29"/>
      <c r="FI78" s="29"/>
      <c r="FJ78" s="29"/>
      <c r="FK78" s="29">
        <v>11</v>
      </c>
      <c r="FL78" s="1504">
        <v>36831</v>
      </c>
      <c r="FM78" s="19"/>
      <c r="FN78" s="93"/>
      <c r="FO78" s="93"/>
      <c r="FP78" s="93"/>
      <c r="FQ78" s="93"/>
      <c r="FR78" s="93"/>
      <c r="FS78" s="93"/>
      <c r="FT78" s="93"/>
      <c r="FU78" s="93"/>
      <c r="FV78" s="93"/>
      <c r="FW78" s="93"/>
      <c r="FX78" s="93"/>
      <c r="FY78" s="93"/>
      <c r="FZ78" s="29">
        <v>11</v>
      </c>
      <c r="GA78" s="1504">
        <v>36831</v>
      </c>
      <c r="GB78" s="19"/>
      <c r="GC78" s="93"/>
      <c r="GD78" s="93"/>
      <c r="GE78" s="93"/>
      <c r="GF78" s="93"/>
      <c r="GG78" s="93"/>
      <c r="GH78" s="93"/>
      <c r="GI78" s="93"/>
      <c r="GJ78" s="93"/>
      <c r="GK78" s="93"/>
      <c r="GL78" s="93"/>
      <c r="GM78" s="93"/>
      <c r="GN78" s="20"/>
      <c r="GO78" s="29">
        <v>11</v>
      </c>
      <c r="GP78" s="1504">
        <v>36831</v>
      </c>
      <c r="GQ78" s="19"/>
      <c r="GR78" s="93"/>
      <c r="GS78" s="93"/>
      <c r="GT78" s="93"/>
      <c r="GU78" s="93"/>
      <c r="GV78" s="20"/>
      <c r="GW78" s="19"/>
      <c r="GX78" s="93"/>
      <c r="GY78" s="93"/>
      <c r="GZ78" s="93"/>
      <c r="HA78" s="93"/>
      <c r="HB78" s="20"/>
      <c r="HC78" s="19"/>
      <c r="HD78" s="93"/>
      <c r="HE78" s="93"/>
      <c r="HF78" s="93"/>
      <c r="HG78" s="93"/>
      <c r="HH78" s="20"/>
      <c r="HI78" s="19"/>
      <c r="HJ78" s="93"/>
      <c r="HK78" s="93"/>
      <c r="HL78" s="93"/>
      <c r="HM78" s="93"/>
      <c r="HN78" s="20"/>
      <c r="HO78" s="219"/>
      <c r="HP78" s="20"/>
      <c r="HQ78" s="25"/>
      <c r="HR78" s="29">
        <v>11</v>
      </c>
      <c r="HS78" s="1504">
        <v>36831</v>
      </c>
      <c r="HT78" s="19"/>
      <c r="HU78" s="93"/>
      <c r="HV78" s="93"/>
      <c r="HW78" s="93"/>
      <c r="HX78" s="93"/>
      <c r="HY78" s="93"/>
      <c r="HZ78" s="93"/>
      <c r="IA78" s="20"/>
      <c r="IB78" s="19"/>
      <c r="IC78" s="93"/>
      <c r="ID78" s="93"/>
      <c r="IE78" s="93"/>
      <c r="IF78" s="93"/>
      <c r="IG78" s="20"/>
      <c r="IH78" s="19"/>
      <c r="II78" s="93"/>
      <c r="IJ78" s="93"/>
      <c r="IK78" s="93"/>
      <c r="IL78" s="93"/>
      <c r="IM78" s="93"/>
      <c r="IN78" s="93"/>
      <c r="IO78" s="20"/>
      <c r="IP78" s="29">
        <v>11</v>
      </c>
      <c r="IQ78" s="19"/>
      <c r="IR78" s="93"/>
      <c r="IS78" s="93"/>
      <c r="IT78" s="93"/>
      <c r="IU78" s="93"/>
      <c r="IV78" s="20"/>
      <c r="IW78" s="29">
        <v>11</v>
      </c>
      <c r="IX78" s="19"/>
      <c r="IY78" s="93"/>
      <c r="IZ78" s="93"/>
      <c r="JA78" s="93"/>
      <c r="JB78" s="93"/>
      <c r="JC78" s="93"/>
      <c r="JD78" s="93"/>
      <c r="JE78" s="20"/>
      <c r="JF78" s="29">
        <v>11</v>
      </c>
      <c r="JG78" s="19"/>
      <c r="JH78" s="93"/>
      <c r="JI78" s="93"/>
      <c r="JJ78" s="93"/>
      <c r="JK78" s="93"/>
      <c r="JL78" s="93"/>
      <c r="JM78" s="93"/>
      <c r="JN78" s="20"/>
      <c r="JO78" s="29">
        <v>11</v>
      </c>
      <c r="JP78" s="19"/>
      <c r="JQ78" s="93"/>
      <c r="JR78" s="93"/>
      <c r="JS78" s="93"/>
      <c r="JT78" s="93"/>
      <c r="JU78" s="20"/>
      <c r="JV78" s="29">
        <v>11</v>
      </c>
      <c r="JW78" s="1504">
        <v>36831</v>
      </c>
      <c r="JX78" s="19"/>
      <c r="JY78" s="93"/>
      <c r="JZ78" s="93"/>
      <c r="KA78" s="93"/>
      <c r="KB78" s="93"/>
      <c r="KC78" s="93"/>
      <c r="KD78" s="20"/>
      <c r="KE78" s="29">
        <v>11</v>
      </c>
      <c r="KF78" s="19"/>
      <c r="KG78" s="93"/>
      <c r="KH78" s="93"/>
      <c r="KI78" s="93"/>
      <c r="KJ78" s="93"/>
      <c r="KK78" s="20"/>
      <c r="KL78" s="29">
        <v>11</v>
      </c>
      <c r="KM78" s="19"/>
      <c r="KN78" s="93"/>
      <c r="KO78" s="93"/>
      <c r="KP78" s="93"/>
      <c r="KQ78" s="93"/>
      <c r="KR78" s="20"/>
      <c r="KS78" s="29">
        <v>11</v>
      </c>
      <c r="KT78" s="19"/>
      <c r="KU78" s="93"/>
      <c r="KV78" s="93"/>
      <c r="KW78" s="93"/>
      <c r="KX78" s="93"/>
      <c r="KY78" s="20"/>
      <c r="KZ78" s="29">
        <v>11</v>
      </c>
      <c r="LA78" s="1504">
        <v>36831</v>
      </c>
      <c r="LB78" s="19"/>
      <c r="LC78" s="93"/>
      <c r="LD78" s="93"/>
      <c r="LE78" s="93"/>
      <c r="LF78" s="93"/>
      <c r="LG78" s="93"/>
      <c r="LH78" s="20"/>
      <c r="LI78" s="29">
        <v>11</v>
      </c>
      <c r="LJ78" s="19"/>
      <c r="LK78" s="93"/>
      <c r="LL78" s="93"/>
      <c r="LM78" s="93"/>
      <c r="LN78" s="93"/>
      <c r="LO78" s="20"/>
      <c r="LP78" s="29">
        <v>11</v>
      </c>
      <c r="LQ78" s="19"/>
      <c r="LR78" s="93"/>
      <c r="LS78" s="93"/>
      <c r="LT78" s="93"/>
      <c r="LU78" s="93"/>
      <c r="LV78" s="93"/>
      <c r="LW78" s="93"/>
      <c r="LX78" s="93"/>
      <c r="LY78" s="93"/>
      <c r="LZ78" s="93"/>
      <c r="MA78" s="20"/>
      <c r="MB78" s="29">
        <v>11</v>
      </c>
      <c r="MC78" s="1504">
        <v>36831</v>
      </c>
      <c r="MD78" s="19"/>
      <c r="ME78" s="93"/>
      <c r="MF78" s="93"/>
      <c r="MG78" s="93"/>
      <c r="MH78" s="93"/>
      <c r="MI78" s="93"/>
      <c r="MJ78" s="93"/>
      <c r="MK78" s="93"/>
      <c r="ML78" s="93"/>
      <c r="MM78" s="93"/>
      <c r="MN78" s="93"/>
      <c r="MO78" s="93"/>
      <c r="MP78" s="93"/>
      <c r="MQ78" s="93"/>
      <c r="MR78" s="93"/>
      <c r="MS78" s="93"/>
      <c r="MT78" s="93"/>
      <c r="MU78" s="93"/>
      <c r="MV78" s="93"/>
      <c r="MW78" s="93"/>
      <c r="MX78" s="93"/>
      <c r="MY78" s="93"/>
      <c r="MZ78" s="93"/>
      <c r="NA78" s="93"/>
      <c r="NB78" s="93"/>
      <c r="NC78" s="93"/>
      <c r="ND78" s="93"/>
      <c r="NE78" s="93"/>
      <c r="NF78" s="93"/>
      <c r="NG78" s="93"/>
      <c r="NH78" s="93"/>
      <c r="NI78" s="93"/>
      <c r="NJ78" s="93"/>
      <c r="NK78" s="93"/>
      <c r="NL78" s="93"/>
      <c r="NM78" s="93"/>
      <c r="NN78" s="93"/>
      <c r="NO78" s="93"/>
      <c r="NP78" s="93"/>
      <c r="NQ78" s="93"/>
      <c r="NR78" s="93"/>
      <c r="NS78" s="93"/>
      <c r="NT78" s="93"/>
      <c r="NU78" s="93"/>
      <c r="NV78" s="93"/>
      <c r="NW78" s="93"/>
      <c r="NX78" s="93"/>
      <c r="NY78" s="93"/>
      <c r="NZ78" s="93"/>
      <c r="OA78" s="93"/>
      <c r="OB78" s="93"/>
      <c r="OC78" s="93"/>
      <c r="OD78" s="20"/>
      <c r="OE78" s="29">
        <v>11</v>
      </c>
      <c r="OF78" s="1504">
        <v>36831</v>
      </c>
      <c r="OG78" s="19"/>
      <c r="OH78" s="93"/>
      <c r="OI78" s="93"/>
      <c r="OJ78" s="93"/>
      <c r="OK78" s="93"/>
      <c r="OL78" s="93"/>
      <c r="OM78" s="93"/>
      <c r="ON78" s="93"/>
      <c r="OO78" s="93"/>
      <c r="OP78" s="93"/>
      <c r="OQ78" s="93"/>
      <c r="OR78" s="93"/>
      <c r="OS78" s="93"/>
      <c r="OT78" s="93"/>
      <c r="OU78" s="93"/>
      <c r="OV78" s="93"/>
      <c r="OW78" s="93"/>
      <c r="OX78" s="93"/>
      <c r="OY78" s="93"/>
      <c r="OZ78" s="93"/>
      <c r="PA78" s="93"/>
      <c r="PB78" s="93"/>
      <c r="PC78" s="20"/>
      <c r="PD78" s="29">
        <v>11</v>
      </c>
      <c r="PE78" s="19"/>
      <c r="PF78" s="93"/>
      <c r="PG78" s="93"/>
      <c r="PH78" s="93"/>
      <c r="PI78" s="93"/>
      <c r="PJ78" s="93"/>
      <c r="PK78" s="93"/>
      <c r="PL78" s="93"/>
      <c r="PM78" s="93"/>
      <c r="PN78" s="93"/>
      <c r="PO78" s="93"/>
      <c r="PP78" s="93"/>
      <c r="PQ78" s="93"/>
      <c r="PR78" s="93"/>
      <c r="PS78" s="93"/>
      <c r="PT78" s="93"/>
      <c r="PU78" s="93"/>
      <c r="PV78" s="93"/>
      <c r="PW78" s="93"/>
      <c r="PX78" s="93"/>
      <c r="PY78" s="93"/>
      <c r="PZ78" s="93"/>
      <c r="QA78" s="93"/>
      <c r="QB78" s="93"/>
      <c r="QC78" s="93"/>
      <c r="QD78" s="93"/>
      <c r="QE78" s="20"/>
      <c r="QF78" s="1739">
        <v>11</v>
      </c>
      <c r="QG78" s="19"/>
      <c r="QH78" s="93"/>
      <c r="QI78" s="93"/>
      <c r="QJ78" s="93"/>
      <c r="QK78" s="93"/>
      <c r="QL78" s="93"/>
      <c r="QM78" s="93"/>
      <c r="QN78" s="93"/>
      <c r="QO78" s="93"/>
      <c r="QP78" s="93"/>
      <c r="QQ78" s="93"/>
      <c r="QR78" s="93"/>
      <c r="QS78" s="93"/>
      <c r="QT78" s="93"/>
      <c r="QU78" s="93"/>
      <c r="QV78" s="93"/>
      <c r="QW78" s="93"/>
      <c r="QX78" s="93"/>
      <c r="QY78" s="93"/>
      <c r="QZ78" s="93"/>
      <c r="RA78" s="93"/>
      <c r="RB78" s="93"/>
      <c r="RC78" s="93"/>
      <c r="RD78" s="93"/>
      <c r="RE78" s="93"/>
      <c r="RF78" s="93"/>
      <c r="RG78" s="93"/>
      <c r="RH78" s="93"/>
      <c r="RI78" s="93"/>
      <c r="RJ78" s="93"/>
      <c r="RK78" s="93"/>
      <c r="RL78" s="93"/>
      <c r="RM78" s="20"/>
      <c r="RN78" s="29">
        <v>11</v>
      </c>
      <c r="RO78" s="19"/>
      <c r="RP78" s="20"/>
      <c r="RQ78" s="29">
        <v>11</v>
      </c>
      <c r="RR78" s="20"/>
      <c r="RS78" s="29">
        <v>11</v>
      </c>
      <c r="RT78" s="1504">
        <v>36831</v>
      </c>
      <c r="RU78" s="19"/>
      <c r="RV78" s="20"/>
      <c r="RW78" s="29">
        <v>11</v>
      </c>
      <c r="RX78" s="1504">
        <v>36831</v>
      </c>
      <c r="RY78" s="29"/>
      <c r="RZ78" s="20"/>
      <c r="SA78" s="29"/>
      <c r="SB78" s="29">
        <v>11</v>
      </c>
    </row>
    <row r="79" spans="1:496">
      <c r="A79" s="41">
        <f t="shared" si="187"/>
        <v>2000</v>
      </c>
      <c r="B79" s="1504">
        <v>36861</v>
      </c>
      <c r="C79" s="1813"/>
      <c r="D79" s="1814"/>
      <c r="E79" s="1814"/>
      <c r="F79" s="1815"/>
      <c r="G79" s="1814"/>
      <c r="H79" s="1814"/>
      <c r="I79" s="1814"/>
      <c r="J79" s="1816"/>
      <c r="K79" s="1807"/>
      <c r="L79" s="25">
        <v>12</v>
      </c>
      <c r="M79" s="97"/>
      <c r="N79" s="1504">
        <v>36861</v>
      </c>
      <c r="O79" s="19"/>
      <c r="P79" s="93"/>
      <c r="Q79" s="93"/>
      <c r="R79" s="93"/>
      <c r="S79" s="93"/>
      <c r="T79" s="93"/>
      <c r="U79" s="93"/>
      <c r="V79" s="93"/>
      <c r="W79" s="93"/>
      <c r="X79" s="93"/>
      <c r="Y79" s="93"/>
      <c r="Z79" s="93"/>
      <c r="AA79" s="93"/>
      <c r="AB79" s="20"/>
      <c r="AC79" s="25">
        <v>12</v>
      </c>
      <c r="AD79" s="97"/>
      <c r="AE79" s="1504">
        <v>36861</v>
      </c>
      <c r="AF79" s="19"/>
      <c r="AG79" s="93"/>
      <c r="AH79" s="93"/>
      <c r="AI79" s="93"/>
      <c r="AJ79" s="93"/>
      <c r="AK79" s="93"/>
      <c r="AL79" s="93"/>
      <c r="AM79" s="93"/>
      <c r="AN79" s="93"/>
      <c r="AO79" s="93"/>
      <c r="AP79" s="93"/>
      <c r="AQ79" s="93"/>
      <c r="AR79" s="93"/>
      <c r="AS79" s="20"/>
      <c r="AT79" s="25">
        <v>12</v>
      </c>
      <c r="AU79" s="97"/>
      <c r="AV79" s="1504">
        <v>36861</v>
      </c>
      <c r="AW79" s="19"/>
      <c r="AX79" s="93"/>
      <c r="AY79" s="93"/>
      <c r="AZ79" s="93"/>
      <c r="BA79" s="93"/>
      <c r="BB79" s="93"/>
      <c r="BC79" s="93"/>
      <c r="BD79" s="93"/>
      <c r="BE79" s="93"/>
      <c r="BF79" s="93"/>
      <c r="BG79" s="93"/>
      <c r="BH79" s="93"/>
      <c r="BI79" s="93"/>
      <c r="BJ79" s="20"/>
      <c r="BK79" s="25">
        <v>12</v>
      </c>
      <c r="BL79" s="97"/>
      <c r="BM79" s="1504">
        <v>36861</v>
      </c>
      <c r="BN79" s="19"/>
      <c r="BO79" s="93"/>
      <c r="BP79" s="93"/>
      <c r="BQ79" s="93"/>
      <c r="BR79" s="93"/>
      <c r="BS79" s="93"/>
      <c r="BT79" s="93"/>
      <c r="BU79" s="20"/>
      <c r="BV79" s="25">
        <v>12</v>
      </c>
      <c r="BW79" s="97"/>
      <c r="BX79" s="1504">
        <v>36861</v>
      </c>
      <c r="BY79" s="19"/>
      <c r="BZ79" s="99">
        <v>664.95699999999999</v>
      </c>
      <c r="CA79" s="93"/>
      <c r="CB79" s="93"/>
      <c r="CC79" s="93"/>
      <c r="CD79" s="25">
        <v>12</v>
      </c>
      <c r="CE79" s="97"/>
      <c r="CF79" s="1504">
        <v>36861</v>
      </c>
      <c r="CG79" s="19">
        <v>1.452</v>
      </c>
      <c r="CH79" s="93">
        <v>271.45</v>
      </c>
      <c r="CI79" s="219"/>
      <c r="CJ79" s="20"/>
      <c r="CK79" s="19"/>
      <c r="CL79" s="93"/>
      <c r="CM79" s="93"/>
      <c r="CN79" s="93"/>
      <c r="CO79" s="93"/>
      <c r="CP79" s="20"/>
      <c r="CQ79" s="219">
        <v>806.79</v>
      </c>
      <c r="CR79" s="93">
        <v>1.9233</v>
      </c>
      <c r="CS79" s="93"/>
      <c r="CT79" s="93"/>
      <c r="CU79" s="93"/>
      <c r="CV79" s="214"/>
      <c r="CW79" s="29">
        <v>12</v>
      </c>
      <c r="CX79" s="41">
        <f t="shared" si="188"/>
        <v>2000</v>
      </c>
      <c r="CY79" s="1504">
        <v>36861</v>
      </c>
      <c r="CZ79" s="19"/>
      <c r="DA79" s="93"/>
      <c r="DB79" s="93"/>
      <c r="DC79" s="93"/>
      <c r="DD79" s="93"/>
      <c r="DE79" s="20"/>
      <c r="DF79" s="29">
        <v>12</v>
      </c>
      <c r="DG79" s="1504">
        <v>36861</v>
      </c>
      <c r="DH79" s="19"/>
      <c r="DI79" s="93"/>
      <c r="DJ79" s="93"/>
      <c r="DK79" s="93"/>
      <c r="DL79" s="93"/>
      <c r="DM79" s="93"/>
      <c r="DN79" s="20"/>
      <c r="DO79" s="25"/>
      <c r="DP79" s="29">
        <v>12</v>
      </c>
      <c r="DQ79" s="1504">
        <v>36861</v>
      </c>
      <c r="DR79" s="19"/>
      <c r="DS79" s="93"/>
      <c r="DT79" s="93"/>
      <c r="DU79" s="93"/>
      <c r="DV79" s="93"/>
      <c r="DW79" s="93"/>
      <c r="DX79" s="20"/>
      <c r="DY79" s="29">
        <v>12</v>
      </c>
      <c r="DZ79" s="1504">
        <v>36861</v>
      </c>
      <c r="EA79" s="19"/>
      <c r="EB79" s="93"/>
      <c r="EC79" s="20"/>
      <c r="ED79" s="29">
        <v>12</v>
      </c>
      <c r="EE79" s="1504">
        <v>36861</v>
      </c>
      <c r="EF79" s="19"/>
      <c r="EG79" s="93"/>
      <c r="EH79" s="93"/>
      <c r="EI79" s="214"/>
      <c r="EJ79" s="93"/>
      <c r="EK79" s="93"/>
      <c r="EL79" s="93"/>
      <c r="EM79" s="93"/>
      <c r="EN79" s="20"/>
      <c r="EO79" s="29">
        <v>12</v>
      </c>
      <c r="EP79" s="1504">
        <v>36861</v>
      </c>
      <c r="EQ79" s="19"/>
      <c r="ER79" s="93"/>
      <c r="ES79" s="93"/>
      <c r="ET79" s="214"/>
      <c r="EU79" s="93"/>
      <c r="EV79" s="93"/>
      <c r="EW79" s="93"/>
      <c r="EX79" s="93"/>
      <c r="EY79" s="20"/>
      <c r="EZ79" s="29">
        <v>12</v>
      </c>
      <c r="FA79" s="1504">
        <v>36861</v>
      </c>
      <c r="FB79" s="29"/>
      <c r="FC79" s="29"/>
      <c r="FD79" s="29"/>
      <c r="FE79" s="29"/>
      <c r="FF79" s="29"/>
      <c r="FG79" s="29"/>
      <c r="FH79" s="29"/>
      <c r="FI79" s="29"/>
      <c r="FJ79" s="29"/>
      <c r="FK79" s="29">
        <v>12</v>
      </c>
      <c r="FL79" s="1504">
        <v>36861</v>
      </c>
      <c r="FM79" s="19"/>
      <c r="FN79" s="93"/>
      <c r="FO79" s="93"/>
      <c r="FP79" s="93"/>
      <c r="FQ79" s="93"/>
      <c r="FR79" s="93"/>
      <c r="FS79" s="93"/>
      <c r="FT79" s="93"/>
      <c r="FU79" s="93"/>
      <c r="FV79" s="93"/>
      <c r="FW79" s="93"/>
      <c r="FX79" s="93"/>
      <c r="FY79" s="93"/>
      <c r="FZ79" s="29">
        <v>12</v>
      </c>
      <c r="GA79" s="1504">
        <v>36861</v>
      </c>
      <c r="GB79" s="19"/>
      <c r="GC79" s="93"/>
      <c r="GD79" s="93"/>
      <c r="GE79" s="93"/>
      <c r="GF79" s="93"/>
      <c r="GG79" s="93"/>
      <c r="GH79" s="93"/>
      <c r="GI79" s="93"/>
      <c r="GJ79" s="93"/>
      <c r="GK79" s="93"/>
      <c r="GL79" s="93"/>
      <c r="GM79" s="93"/>
      <c r="GN79" s="20"/>
      <c r="GO79" s="29">
        <v>12</v>
      </c>
      <c r="GP79" s="1504">
        <v>36861</v>
      </c>
      <c r="GQ79" s="19"/>
      <c r="GR79" s="93"/>
      <c r="GS79" s="93"/>
      <c r="GT79" s="93"/>
      <c r="GU79" s="93"/>
      <c r="GV79" s="20"/>
      <c r="GW79" s="19"/>
      <c r="GX79" s="93"/>
      <c r="GY79" s="93"/>
      <c r="GZ79" s="93"/>
      <c r="HA79" s="93"/>
      <c r="HB79" s="20"/>
      <c r="HC79" s="19"/>
      <c r="HD79" s="93"/>
      <c r="HE79" s="93"/>
      <c r="HF79" s="93"/>
      <c r="HG79" s="93"/>
      <c r="HH79" s="20"/>
      <c r="HI79" s="19"/>
      <c r="HJ79" s="93"/>
      <c r="HK79" s="93"/>
      <c r="HL79" s="93"/>
      <c r="HM79" s="93"/>
      <c r="HN79" s="20"/>
      <c r="HO79" s="219"/>
      <c r="HP79" s="20"/>
      <c r="HQ79" s="25"/>
      <c r="HR79" s="29">
        <v>12</v>
      </c>
      <c r="HS79" s="1504">
        <v>36861</v>
      </c>
      <c r="HT79" s="19"/>
      <c r="HU79" s="93"/>
      <c r="HV79" s="93"/>
      <c r="HW79" s="93"/>
      <c r="HX79" s="93"/>
      <c r="HY79" s="93"/>
      <c r="HZ79" s="93"/>
      <c r="IA79" s="20"/>
      <c r="IB79" s="19"/>
      <c r="IC79" s="93"/>
      <c r="ID79" s="93"/>
      <c r="IE79" s="93"/>
      <c r="IF79" s="93"/>
      <c r="IG79" s="20"/>
      <c r="IH79" s="19"/>
      <c r="II79" s="93"/>
      <c r="IJ79" s="93"/>
      <c r="IK79" s="93"/>
      <c r="IL79" s="93"/>
      <c r="IM79" s="93"/>
      <c r="IN79" s="93"/>
      <c r="IO79" s="20"/>
      <c r="IP79" s="29">
        <v>12</v>
      </c>
      <c r="IQ79" s="19"/>
      <c r="IR79" s="93"/>
      <c r="IS79" s="93"/>
      <c r="IT79" s="93"/>
      <c r="IU79" s="93"/>
      <c r="IV79" s="20"/>
      <c r="IW79" s="29">
        <v>12</v>
      </c>
      <c r="IX79" s="19"/>
      <c r="IY79" s="93"/>
      <c r="IZ79" s="93"/>
      <c r="JA79" s="93"/>
      <c r="JB79" s="93"/>
      <c r="JC79" s="93"/>
      <c r="JD79" s="93"/>
      <c r="JE79" s="20"/>
      <c r="JF79" s="29">
        <v>12</v>
      </c>
      <c r="JG79" s="19"/>
      <c r="JH79" s="93"/>
      <c r="JI79" s="93"/>
      <c r="JJ79" s="93"/>
      <c r="JK79" s="93"/>
      <c r="JL79" s="93"/>
      <c r="JM79" s="93"/>
      <c r="JN79" s="20"/>
      <c r="JO79" s="29">
        <v>12</v>
      </c>
      <c r="JP79" s="19"/>
      <c r="JQ79" s="93"/>
      <c r="JR79" s="93"/>
      <c r="JS79" s="93"/>
      <c r="JT79" s="93"/>
      <c r="JU79" s="20"/>
      <c r="JV79" s="29">
        <v>12</v>
      </c>
      <c r="JW79" s="1504">
        <v>36861</v>
      </c>
      <c r="JX79" s="19"/>
      <c r="JY79" s="93"/>
      <c r="JZ79" s="93"/>
      <c r="KA79" s="93"/>
      <c r="KB79" s="93"/>
      <c r="KC79" s="93"/>
      <c r="KD79" s="20"/>
      <c r="KE79" s="29">
        <v>12</v>
      </c>
      <c r="KF79" s="19"/>
      <c r="KG79" s="93"/>
      <c r="KH79" s="93"/>
      <c r="KI79" s="93"/>
      <c r="KJ79" s="93"/>
      <c r="KK79" s="20"/>
      <c r="KL79" s="29">
        <v>12</v>
      </c>
      <c r="KM79" s="19"/>
      <c r="KN79" s="93"/>
      <c r="KO79" s="93"/>
      <c r="KP79" s="93"/>
      <c r="KQ79" s="93"/>
      <c r="KR79" s="20"/>
      <c r="KS79" s="29">
        <v>12</v>
      </c>
      <c r="KT79" s="19"/>
      <c r="KU79" s="93"/>
      <c r="KV79" s="93"/>
      <c r="KW79" s="93"/>
      <c r="KX79" s="93"/>
      <c r="KY79" s="20"/>
      <c r="KZ79" s="29">
        <v>12</v>
      </c>
      <c r="LA79" s="1504">
        <v>36861</v>
      </c>
      <c r="LB79" s="19"/>
      <c r="LC79" s="93"/>
      <c r="LD79" s="93"/>
      <c r="LE79" s="93"/>
      <c r="LF79" s="93"/>
      <c r="LG79" s="93"/>
      <c r="LH79" s="20"/>
      <c r="LI79" s="29">
        <v>12</v>
      </c>
      <c r="LJ79" s="19"/>
      <c r="LK79" s="93"/>
      <c r="LL79" s="93"/>
      <c r="LM79" s="93"/>
      <c r="LN79" s="93"/>
      <c r="LO79" s="20"/>
      <c r="LP79" s="29">
        <v>12</v>
      </c>
      <c r="LQ79" s="19"/>
      <c r="LR79" s="93"/>
      <c r="LS79" s="93"/>
      <c r="LT79" s="93"/>
      <c r="LU79" s="93"/>
      <c r="LV79" s="93"/>
      <c r="LW79" s="93"/>
      <c r="LX79" s="93"/>
      <c r="LY79" s="93"/>
      <c r="LZ79" s="93"/>
      <c r="MA79" s="20"/>
      <c r="MB79" s="29">
        <v>12</v>
      </c>
      <c r="MC79" s="1504">
        <v>36861</v>
      </c>
      <c r="MD79" s="19"/>
      <c r="ME79" s="93"/>
      <c r="MF79" s="93"/>
      <c r="MG79" s="93"/>
      <c r="MH79" s="93"/>
      <c r="MI79" s="93"/>
      <c r="MJ79" s="93"/>
      <c r="MK79" s="93"/>
      <c r="ML79" s="93"/>
      <c r="MM79" s="93"/>
      <c r="MN79" s="93"/>
      <c r="MO79" s="93"/>
      <c r="MP79" s="93"/>
      <c r="MQ79" s="93"/>
      <c r="MR79" s="93"/>
      <c r="MS79" s="93"/>
      <c r="MT79" s="93"/>
      <c r="MU79" s="93"/>
      <c r="MV79" s="93"/>
      <c r="MW79" s="93"/>
      <c r="MX79" s="93"/>
      <c r="MY79" s="93"/>
      <c r="MZ79" s="93"/>
      <c r="NA79" s="93"/>
      <c r="NB79" s="93"/>
      <c r="NC79" s="93"/>
      <c r="ND79" s="93"/>
      <c r="NE79" s="93"/>
      <c r="NF79" s="93"/>
      <c r="NG79" s="93"/>
      <c r="NH79" s="93"/>
      <c r="NI79" s="93"/>
      <c r="NJ79" s="93"/>
      <c r="NK79" s="93"/>
      <c r="NL79" s="93"/>
      <c r="NM79" s="93"/>
      <c r="NN79" s="93"/>
      <c r="NO79" s="93"/>
      <c r="NP79" s="93"/>
      <c r="NQ79" s="93"/>
      <c r="NR79" s="93"/>
      <c r="NS79" s="93"/>
      <c r="NT79" s="93"/>
      <c r="NU79" s="93"/>
      <c r="NV79" s="93"/>
      <c r="NW79" s="93"/>
      <c r="NX79" s="93"/>
      <c r="NY79" s="93"/>
      <c r="NZ79" s="93"/>
      <c r="OA79" s="93"/>
      <c r="OB79" s="93"/>
      <c r="OC79" s="93"/>
      <c r="OD79" s="20"/>
      <c r="OE79" s="29">
        <v>12</v>
      </c>
      <c r="OF79" s="1504">
        <v>36861</v>
      </c>
      <c r="OG79" s="19"/>
      <c r="OH79" s="93"/>
      <c r="OI79" s="93"/>
      <c r="OJ79" s="93"/>
      <c r="OK79" s="93"/>
      <c r="OL79" s="93"/>
      <c r="OM79" s="93"/>
      <c r="ON79" s="93"/>
      <c r="OO79" s="93"/>
      <c r="OP79" s="93"/>
      <c r="OQ79" s="93"/>
      <c r="OR79" s="93"/>
      <c r="OS79" s="93"/>
      <c r="OT79" s="93"/>
      <c r="OU79" s="93"/>
      <c r="OV79" s="93"/>
      <c r="OW79" s="93"/>
      <c r="OX79" s="93"/>
      <c r="OY79" s="93"/>
      <c r="OZ79" s="93"/>
      <c r="PA79" s="93"/>
      <c r="PB79" s="93"/>
      <c r="PC79" s="20"/>
      <c r="PD79" s="29">
        <v>12</v>
      </c>
      <c r="PE79" s="19"/>
      <c r="PF79" s="93"/>
      <c r="PG79" s="93"/>
      <c r="PH79" s="93"/>
      <c r="PI79" s="93"/>
      <c r="PJ79" s="93"/>
      <c r="PK79" s="93"/>
      <c r="PL79" s="93"/>
      <c r="PM79" s="93"/>
      <c r="PN79" s="93"/>
      <c r="PO79" s="93"/>
      <c r="PP79" s="93"/>
      <c r="PQ79" s="93"/>
      <c r="PR79" s="93"/>
      <c r="PS79" s="93"/>
      <c r="PT79" s="93"/>
      <c r="PU79" s="93"/>
      <c r="PV79" s="93"/>
      <c r="PW79" s="93"/>
      <c r="PX79" s="93"/>
      <c r="PY79" s="93"/>
      <c r="PZ79" s="93"/>
      <c r="QA79" s="93"/>
      <c r="QB79" s="93"/>
      <c r="QC79" s="93"/>
      <c r="QD79" s="93"/>
      <c r="QE79" s="20"/>
      <c r="QF79" s="1739">
        <v>12</v>
      </c>
      <c r="QG79" s="19"/>
      <c r="QH79" s="93"/>
      <c r="QI79" s="93"/>
      <c r="QJ79" s="93"/>
      <c r="QK79" s="93"/>
      <c r="QL79" s="93"/>
      <c r="QM79" s="93"/>
      <c r="QN79" s="93"/>
      <c r="QO79" s="93"/>
      <c r="QP79" s="93"/>
      <c r="QQ79" s="93"/>
      <c r="QR79" s="93"/>
      <c r="QS79" s="93"/>
      <c r="QT79" s="93"/>
      <c r="QU79" s="93"/>
      <c r="QV79" s="93"/>
      <c r="QW79" s="93"/>
      <c r="QX79" s="93"/>
      <c r="QY79" s="93"/>
      <c r="QZ79" s="93"/>
      <c r="RA79" s="93"/>
      <c r="RB79" s="93"/>
      <c r="RC79" s="93"/>
      <c r="RD79" s="93"/>
      <c r="RE79" s="93"/>
      <c r="RF79" s="93"/>
      <c r="RG79" s="93"/>
      <c r="RH79" s="93"/>
      <c r="RI79" s="93"/>
      <c r="RJ79" s="93"/>
      <c r="RK79" s="93"/>
      <c r="RL79" s="93"/>
      <c r="RM79" s="20"/>
      <c r="RN79" s="29">
        <v>12</v>
      </c>
      <c r="RO79" s="19"/>
      <c r="RP79" s="20"/>
      <c r="RQ79" s="29">
        <v>12</v>
      </c>
      <c r="RR79" s="20"/>
      <c r="RS79" s="29">
        <v>12</v>
      </c>
      <c r="RT79" s="1504">
        <v>36861</v>
      </c>
      <c r="RU79" s="19"/>
      <c r="RV79" s="20"/>
      <c r="RW79" s="29">
        <v>12</v>
      </c>
      <c r="RX79" s="1504">
        <v>36861</v>
      </c>
      <c r="RY79" s="29"/>
      <c r="RZ79" s="20"/>
      <c r="SA79" s="29"/>
      <c r="SB79" s="29">
        <v>12</v>
      </c>
    </row>
    <row r="80" spans="1:496">
      <c r="A80" s="41">
        <f t="shared" si="187"/>
        <v>2001</v>
      </c>
      <c r="B80" s="1504">
        <v>36892</v>
      </c>
      <c r="C80" s="1813"/>
      <c r="D80" s="1814"/>
      <c r="E80" s="1814"/>
      <c r="F80" s="1815"/>
      <c r="G80" s="1814"/>
      <c r="H80" s="1814"/>
      <c r="I80" s="1814"/>
      <c r="J80" s="1816"/>
      <c r="K80" s="1807"/>
      <c r="L80" s="25">
        <v>13</v>
      </c>
      <c r="M80" s="97"/>
      <c r="N80" s="1504">
        <v>36892</v>
      </c>
      <c r="O80" s="19"/>
      <c r="P80" s="93"/>
      <c r="Q80" s="93"/>
      <c r="R80" s="93"/>
      <c r="S80" s="93"/>
      <c r="T80" s="93"/>
      <c r="U80" s="93"/>
      <c r="V80" s="93"/>
      <c r="W80" s="93"/>
      <c r="X80" s="93"/>
      <c r="Y80" s="93"/>
      <c r="Z80" s="93"/>
      <c r="AA80" s="93"/>
      <c r="AB80" s="20"/>
      <c r="AC80" s="25">
        <v>13</v>
      </c>
      <c r="AD80" s="97"/>
      <c r="AE80" s="1504">
        <v>36892</v>
      </c>
      <c r="AF80" s="19"/>
      <c r="AG80" s="93"/>
      <c r="AH80" s="93"/>
      <c r="AI80" s="93"/>
      <c r="AJ80" s="93"/>
      <c r="AK80" s="93"/>
      <c r="AL80" s="93"/>
      <c r="AM80" s="93"/>
      <c r="AN80" s="93"/>
      <c r="AO80" s="93"/>
      <c r="AP80" s="93"/>
      <c r="AQ80" s="93"/>
      <c r="AR80" s="93"/>
      <c r="AS80" s="20"/>
      <c r="AT80" s="25">
        <v>13</v>
      </c>
      <c r="AU80" s="97"/>
      <c r="AV80" s="1504">
        <v>36892</v>
      </c>
      <c r="AW80" s="19"/>
      <c r="AX80" s="93"/>
      <c r="AY80" s="93"/>
      <c r="AZ80" s="93"/>
      <c r="BA80" s="93"/>
      <c r="BB80" s="93"/>
      <c r="BC80" s="93"/>
      <c r="BD80" s="93"/>
      <c r="BE80" s="93"/>
      <c r="BF80" s="93"/>
      <c r="BG80" s="93"/>
      <c r="BH80" s="93"/>
      <c r="BI80" s="93"/>
      <c r="BJ80" s="20"/>
      <c r="BK80" s="25">
        <v>13</v>
      </c>
      <c r="BL80" s="97"/>
      <c r="BM80" s="1504">
        <v>36892</v>
      </c>
      <c r="BN80" s="19"/>
      <c r="BO80" s="93"/>
      <c r="BP80" s="93"/>
      <c r="BQ80" s="93"/>
      <c r="BR80" s="93"/>
      <c r="BS80" s="93"/>
      <c r="BT80" s="93"/>
      <c r="BU80" s="20"/>
      <c r="BV80" s="25">
        <v>13</v>
      </c>
      <c r="BW80" s="97"/>
      <c r="BX80" s="1504">
        <v>36892</v>
      </c>
      <c r="BY80" s="19"/>
      <c r="BZ80" s="99">
        <v>664.95699999999999</v>
      </c>
      <c r="CA80" s="93"/>
      <c r="CB80" s="93"/>
      <c r="CC80" s="93"/>
      <c r="CD80" s="25">
        <v>13</v>
      </c>
      <c r="CE80" s="97"/>
      <c r="CF80" s="1504">
        <v>36892</v>
      </c>
      <c r="CG80" s="19">
        <v>1.4148000000000001</v>
      </c>
      <c r="CH80" s="93">
        <v>265.49</v>
      </c>
      <c r="CI80" s="219"/>
      <c r="CJ80" s="20"/>
      <c r="CK80" s="19"/>
      <c r="CL80" s="93"/>
      <c r="CM80" s="93"/>
      <c r="CN80" s="93"/>
      <c r="CO80" s="93"/>
      <c r="CP80" s="20"/>
      <c r="CQ80" s="219">
        <v>815.71</v>
      </c>
      <c r="CR80" s="93">
        <v>1.8720000000000001</v>
      </c>
      <c r="CS80" s="93"/>
      <c r="CT80" s="93"/>
      <c r="CU80" s="93"/>
      <c r="CV80" s="214"/>
      <c r="CW80" s="29">
        <v>13</v>
      </c>
      <c r="CX80" s="41">
        <f t="shared" si="188"/>
        <v>2001</v>
      </c>
      <c r="CY80" s="1504">
        <v>36892</v>
      </c>
      <c r="CZ80" s="733">
        <v>25.110608999999997</v>
      </c>
      <c r="DA80" s="570">
        <v>14.783925999999999</v>
      </c>
      <c r="DB80" s="570">
        <v>10.326682999999999</v>
      </c>
      <c r="DC80" s="93"/>
      <c r="DD80" s="93"/>
      <c r="DE80" s="20"/>
      <c r="DF80" s="29">
        <v>13</v>
      </c>
      <c r="DG80" s="1504">
        <v>36892</v>
      </c>
      <c r="DH80" s="19"/>
      <c r="DI80" s="93"/>
      <c r="DJ80" s="93"/>
      <c r="DK80" s="93"/>
      <c r="DL80" s="93"/>
      <c r="DM80" s="93"/>
      <c r="DN80" s="20"/>
      <c r="DO80" s="25"/>
      <c r="DP80" s="29">
        <v>13</v>
      </c>
      <c r="DQ80" s="1504">
        <v>36892</v>
      </c>
      <c r="DR80" s="19"/>
      <c r="DS80" s="93"/>
      <c r="DT80" s="93"/>
      <c r="DU80" s="93"/>
      <c r="DV80" s="93"/>
      <c r="DW80" s="93"/>
      <c r="DX80" s="20"/>
      <c r="DY80" s="29">
        <v>13</v>
      </c>
      <c r="DZ80" s="1504">
        <v>36892</v>
      </c>
      <c r="EA80" s="19"/>
      <c r="EB80" s="93"/>
      <c r="EC80" s="20"/>
      <c r="ED80" s="29">
        <v>13</v>
      </c>
      <c r="EE80" s="1504">
        <v>36892</v>
      </c>
      <c r="EF80" s="19"/>
      <c r="EG80" s="93"/>
      <c r="EH80" s="93"/>
      <c r="EI80" s="214"/>
      <c r="EJ80" s="93"/>
      <c r="EK80" s="93"/>
      <c r="EL80" s="93"/>
      <c r="EM80" s="93"/>
      <c r="EN80" s="20"/>
      <c r="EO80" s="29">
        <v>13</v>
      </c>
      <c r="EP80" s="1504">
        <v>36892</v>
      </c>
      <c r="EQ80" s="19"/>
      <c r="ER80" s="93"/>
      <c r="ES80" s="93"/>
      <c r="ET80" s="214"/>
      <c r="EU80" s="93"/>
      <c r="EV80" s="93"/>
      <c r="EW80" s="93"/>
      <c r="EX80" s="93"/>
      <c r="EY80" s="20"/>
      <c r="EZ80" s="29">
        <v>13</v>
      </c>
      <c r="FA80" s="1504">
        <v>36892</v>
      </c>
      <c r="FB80" s="29"/>
      <c r="FC80" s="29"/>
      <c r="FD80" s="29"/>
      <c r="FE80" s="29"/>
      <c r="FF80" s="29"/>
      <c r="FG80" s="29"/>
      <c r="FH80" s="29"/>
      <c r="FI80" s="29"/>
      <c r="FJ80" s="29"/>
      <c r="FK80" s="29">
        <v>13</v>
      </c>
      <c r="FL80" s="1504">
        <v>36892</v>
      </c>
      <c r="FM80" s="19"/>
      <c r="FN80" s="93"/>
      <c r="FO80" s="93"/>
      <c r="FP80" s="93"/>
      <c r="FQ80" s="93"/>
      <c r="FR80" s="93"/>
      <c r="FS80" s="93"/>
      <c r="FT80" s="93"/>
      <c r="FU80" s="93"/>
      <c r="FV80" s="93"/>
      <c r="FW80" s="93"/>
      <c r="FX80" s="93"/>
      <c r="FY80" s="93"/>
      <c r="FZ80" s="29">
        <v>13</v>
      </c>
      <c r="GA80" s="1504">
        <v>36892</v>
      </c>
      <c r="GB80" s="19"/>
      <c r="GC80" s="93"/>
      <c r="GD80" s="93"/>
      <c r="GE80" s="93"/>
      <c r="GF80" s="93"/>
      <c r="GG80" s="93"/>
      <c r="GH80" s="93"/>
      <c r="GI80" s="93"/>
      <c r="GJ80" s="93"/>
      <c r="GK80" s="93"/>
      <c r="GL80" s="93"/>
      <c r="GM80" s="93"/>
      <c r="GN80" s="20"/>
      <c r="GO80" s="29">
        <v>13</v>
      </c>
      <c r="GP80" s="1504">
        <v>36892</v>
      </c>
      <c r="GQ80" s="19"/>
      <c r="GR80" s="93"/>
      <c r="GS80" s="93"/>
      <c r="GT80" s="93"/>
      <c r="GU80" s="93"/>
      <c r="GV80" s="20"/>
      <c r="GW80" s="19"/>
      <c r="GX80" s="93"/>
      <c r="GY80" s="93"/>
      <c r="GZ80" s="93"/>
      <c r="HA80" s="93"/>
      <c r="HB80" s="20"/>
      <c r="HC80" s="19"/>
      <c r="HD80" s="93"/>
      <c r="HE80" s="93"/>
      <c r="HF80" s="93"/>
      <c r="HG80" s="93"/>
      <c r="HH80" s="20"/>
      <c r="HI80" s="19"/>
      <c r="HJ80" s="93"/>
      <c r="HK80" s="93"/>
      <c r="HL80" s="93"/>
      <c r="HM80" s="93"/>
      <c r="HN80" s="20"/>
      <c r="HO80" s="219"/>
      <c r="HP80" s="20"/>
      <c r="HQ80" s="25"/>
      <c r="HR80" s="29">
        <v>13</v>
      </c>
      <c r="HS80" s="1504">
        <v>36892</v>
      </c>
      <c r="HT80" s="19"/>
      <c r="HU80" s="93"/>
      <c r="HV80" s="93"/>
      <c r="HW80" s="93"/>
      <c r="HX80" s="93"/>
      <c r="HY80" s="93"/>
      <c r="HZ80" s="93"/>
      <c r="IA80" s="20"/>
      <c r="IB80" s="19"/>
      <c r="IC80" s="93"/>
      <c r="ID80" s="93"/>
      <c r="IE80" s="93"/>
      <c r="IF80" s="93"/>
      <c r="IG80" s="20"/>
      <c r="IH80" s="19"/>
      <c r="II80" s="93"/>
      <c r="IJ80" s="93"/>
      <c r="IK80" s="93"/>
      <c r="IL80" s="93"/>
      <c r="IM80" s="93"/>
      <c r="IN80" s="93"/>
      <c r="IO80" s="20"/>
      <c r="IP80" s="29">
        <v>13</v>
      </c>
      <c r="IQ80" s="19"/>
      <c r="IR80" s="93"/>
      <c r="IS80" s="93"/>
      <c r="IT80" s="93"/>
      <c r="IU80" s="93"/>
      <c r="IV80" s="20"/>
      <c r="IW80" s="29">
        <v>13</v>
      </c>
      <c r="IX80" s="19"/>
      <c r="IY80" s="93"/>
      <c r="IZ80" s="93"/>
      <c r="JA80" s="93"/>
      <c r="JB80" s="93"/>
      <c r="JC80" s="93"/>
      <c r="JD80" s="93"/>
      <c r="JE80" s="20"/>
      <c r="JF80" s="29">
        <v>13</v>
      </c>
      <c r="JG80" s="19"/>
      <c r="JH80" s="93"/>
      <c r="JI80" s="93"/>
      <c r="JJ80" s="93"/>
      <c r="JK80" s="93"/>
      <c r="JL80" s="93"/>
      <c r="JM80" s="93"/>
      <c r="JN80" s="20"/>
      <c r="JO80" s="29">
        <v>13</v>
      </c>
      <c r="JP80" s="19"/>
      <c r="JQ80" s="93"/>
      <c r="JR80" s="93"/>
      <c r="JS80" s="93"/>
      <c r="JT80" s="93"/>
      <c r="JU80" s="20"/>
      <c r="JV80" s="29">
        <v>13</v>
      </c>
      <c r="JW80" s="1504">
        <v>36892</v>
      </c>
      <c r="JX80" s="19"/>
      <c r="JY80" s="93"/>
      <c r="JZ80" s="93"/>
      <c r="KA80" s="93"/>
      <c r="KB80" s="93"/>
      <c r="KC80" s="93"/>
      <c r="KD80" s="20"/>
      <c r="KE80" s="29">
        <v>13</v>
      </c>
      <c r="KF80" s="19"/>
      <c r="KG80" s="93"/>
      <c r="KH80" s="93"/>
      <c r="KI80" s="93"/>
      <c r="KJ80" s="93"/>
      <c r="KK80" s="20"/>
      <c r="KL80" s="29">
        <v>13</v>
      </c>
      <c r="KM80" s="19"/>
      <c r="KN80" s="93"/>
      <c r="KO80" s="93"/>
      <c r="KP80" s="93"/>
      <c r="KQ80" s="93"/>
      <c r="KR80" s="20"/>
      <c r="KS80" s="29">
        <v>13</v>
      </c>
      <c r="KT80" s="19"/>
      <c r="KU80" s="93"/>
      <c r="KV80" s="93"/>
      <c r="KW80" s="93"/>
      <c r="KX80" s="93"/>
      <c r="KY80" s="20"/>
      <c r="KZ80" s="29">
        <v>13</v>
      </c>
      <c r="LA80" s="1504">
        <v>36892</v>
      </c>
      <c r="LB80" s="19"/>
      <c r="LC80" s="93"/>
      <c r="LD80" s="93"/>
      <c r="LE80" s="93"/>
      <c r="LF80" s="93"/>
      <c r="LG80" s="93"/>
      <c r="LH80" s="20"/>
      <c r="LI80" s="29">
        <v>13</v>
      </c>
      <c r="LJ80" s="19"/>
      <c r="LK80" s="93"/>
      <c r="LL80" s="93"/>
      <c r="LM80" s="93"/>
      <c r="LN80" s="93"/>
      <c r="LO80" s="20"/>
      <c r="LP80" s="29">
        <v>13</v>
      </c>
      <c r="LQ80" s="19"/>
      <c r="LR80" s="93"/>
      <c r="LS80" s="93"/>
      <c r="LT80" s="93"/>
      <c r="LU80" s="93"/>
      <c r="LV80" s="93"/>
      <c r="LW80" s="93"/>
      <c r="LX80" s="93"/>
      <c r="LY80" s="93"/>
      <c r="LZ80" s="93"/>
      <c r="MA80" s="20"/>
      <c r="MB80" s="29">
        <v>13</v>
      </c>
      <c r="MC80" s="1504">
        <v>36892</v>
      </c>
      <c r="MD80" s="19"/>
      <c r="ME80" s="93"/>
      <c r="MF80" s="93"/>
      <c r="MG80" s="93"/>
      <c r="MH80" s="93"/>
      <c r="MI80" s="93"/>
      <c r="MJ80" s="93"/>
      <c r="MK80" s="93"/>
      <c r="ML80" s="93"/>
      <c r="MM80" s="93"/>
      <c r="MN80" s="93"/>
      <c r="MO80" s="93"/>
      <c r="MP80" s="93"/>
      <c r="MQ80" s="93"/>
      <c r="MR80" s="93"/>
      <c r="MS80" s="93"/>
      <c r="MT80" s="93"/>
      <c r="MU80" s="93"/>
      <c r="MV80" s="93"/>
      <c r="MW80" s="93"/>
      <c r="MX80" s="93"/>
      <c r="MY80" s="93"/>
      <c r="MZ80" s="93"/>
      <c r="NA80" s="93"/>
      <c r="NB80" s="93"/>
      <c r="NC80" s="93"/>
      <c r="ND80" s="93"/>
      <c r="NE80" s="93"/>
      <c r="NF80" s="93"/>
      <c r="NG80" s="93"/>
      <c r="NH80" s="93"/>
      <c r="NI80" s="93"/>
      <c r="NJ80" s="93"/>
      <c r="NK80" s="93"/>
      <c r="NL80" s="93"/>
      <c r="NM80" s="93"/>
      <c r="NN80" s="93"/>
      <c r="NO80" s="93"/>
      <c r="NP80" s="93"/>
      <c r="NQ80" s="93"/>
      <c r="NR80" s="93"/>
      <c r="NS80" s="93"/>
      <c r="NT80" s="93"/>
      <c r="NU80" s="93"/>
      <c r="NV80" s="93"/>
      <c r="NW80" s="93"/>
      <c r="NX80" s="93"/>
      <c r="NY80" s="93"/>
      <c r="NZ80" s="93"/>
      <c r="OA80" s="93"/>
      <c r="OB80" s="93"/>
      <c r="OC80" s="93"/>
      <c r="OD80" s="20"/>
      <c r="OE80" s="29">
        <v>13</v>
      </c>
      <c r="OF80" s="1504">
        <v>36892</v>
      </c>
      <c r="OG80" s="19"/>
      <c r="OH80" s="93"/>
      <c r="OI80" s="93"/>
      <c r="OJ80" s="93"/>
      <c r="OK80" s="93"/>
      <c r="OL80" s="93"/>
      <c r="OM80" s="93"/>
      <c r="ON80" s="93"/>
      <c r="OO80" s="93"/>
      <c r="OP80" s="93"/>
      <c r="OQ80" s="93"/>
      <c r="OR80" s="93"/>
      <c r="OS80" s="93"/>
      <c r="OT80" s="93"/>
      <c r="OU80" s="93"/>
      <c r="OV80" s="93"/>
      <c r="OW80" s="93"/>
      <c r="OX80" s="93"/>
      <c r="OY80" s="93"/>
      <c r="OZ80" s="93"/>
      <c r="PA80" s="93"/>
      <c r="PB80" s="93"/>
      <c r="PC80" s="20"/>
      <c r="PD80" s="29">
        <v>13</v>
      </c>
      <c r="PE80" s="19"/>
      <c r="PF80" s="93"/>
      <c r="PG80" s="93"/>
      <c r="PH80" s="93"/>
      <c r="PI80" s="93"/>
      <c r="PJ80" s="93"/>
      <c r="PK80" s="93"/>
      <c r="PL80" s="93"/>
      <c r="PM80" s="93"/>
      <c r="PN80" s="93"/>
      <c r="PO80" s="93"/>
      <c r="PP80" s="93"/>
      <c r="PQ80" s="93"/>
      <c r="PR80" s="93"/>
      <c r="PS80" s="93"/>
      <c r="PT80" s="93"/>
      <c r="PU80" s="93"/>
      <c r="PV80" s="93"/>
      <c r="PW80" s="93"/>
      <c r="PX80" s="93"/>
      <c r="PY80" s="93"/>
      <c r="PZ80" s="93"/>
      <c r="QA80" s="93"/>
      <c r="QB80" s="93"/>
      <c r="QC80" s="93"/>
      <c r="QD80" s="93"/>
      <c r="QE80" s="20"/>
      <c r="QF80" s="1739">
        <v>13</v>
      </c>
      <c r="QG80" s="19"/>
      <c r="QH80" s="93"/>
      <c r="QI80" s="93"/>
      <c r="QJ80" s="93"/>
      <c r="QK80" s="93"/>
      <c r="QL80" s="93"/>
      <c r="QM80" s="93"/>
      <c r="QN80" s="93"/>
      <c r="QO80" s="93"/>
      <c r="QP80" s="93"/>
      <c r="QQ80" s="93"/>
      <c r="QR80" s="93"/>
      <c r="QS80" s="93"/>
      <c r="QT80" s="93"/>
      <c r="QU80" s="93"/>
      <c r="QV80" s="93"/>
      <c r="QW80" s="93"/>
      <c r="QX80" s="93"/>
      <c r="QY80" s="93"/>
      <c r="QZ80" s="93"/>
      <c r="RA80" s="93"/>
      <c r="RB80" s="93"/>
      <c r="RC80" s="93"/>
      <c r="RD80" s="93"/>
      <c r="RE80" s="93"/>
      <c r="RF80" s="93"/>
      <c r="RG80" s="93"/>
      <c r="RH80" s="93"/>
      <c r="RI80" s="93"/>
      <c r="RJ80" s="93"/>
      <c r="RK80" s="93"/>
      <c r="RL80" s="93"/>
      <c r="RM80" s="20"/>
      <c r="RN80" s="29">
        <v>13</v>
      </c>
      <c r="RO80" s="19"/>
      <c r="RP80" s="20"/>
      <c r="RQ80" s="29">
        <v>13</v>
      </c>
      <c r="RR80" s="20"/>
      <c r="RS80" s="29">
        <v>13</v>
      </c>
      <c r="RT80" s="1504">
        <v>36892</v>
      </c>
      <c r="RU80" s="19"/>
      <c r="RV80" s="20"/>
      <c r="RW80" s="29">
        <v>13</v>
      </c>
      <c r="RX80" s="1504">
        <v>36892</v>
      </c>
      <c r="RY80" s="29"/>
      <c r="RZ80" s="20"/>
      <c r="SA80" s="29"/>
      <c r="SB80" s="29">
        <v>13</v>
      </c>
    </row>
    <row r="81" spans="1:496">
      <c r="A81" s="41">
        <f t="shared" si="187"/>
        <v>2001</v>
      </c>
      <c r="B81" s="1504">
        <v>36923</v>
      </c>
      <c r="C81" s="1813"/>
      <c r="D81" s="1814"/>
      <c r="E81" s="1814"/>
      <c r="F81" s="1815"/>
      <c r="G81" s="1814"/>
      <c r="H81" s="1814"/>
      <c r="I81" s="1814"/>
      <c r="J81" s="1816"/>
      <c r="K81" s="1807"/>
      <c r="L81" s="25">
        <v>14</v>
      </c>
      <c r="M81" s="97"/>
      <c r="N81" s="1504">
        <v>36923</v>
      </c>
      <c r="O81" s="19"/>
      <c r="P81" s="93"/>
      <c r="Q81" s="93"/>
      <c r="R81" s="93"/>
      <c r="S81" s="93"/>
      <c r="T81" s="93"/>
      <c r="U81" s="93"/>
      <c r="V81" s="93"/>
      <c r="W81" s="93"/>
      <c r="X81" s="93"/>
      <c r="Y81" s="93"/>
      <c r="Z81" s="93"/>
      <c r="AA81" s="93"/>
      <c r="AB81" s="20"/>
      <c r="AC81" s="25">
        <v>14</v>
      </c>
      <c r="AD81" s="97"/>
      <c r="AE81" s="1504">
        <v>36923</v>
      </c>
      <c r="AF81" s="19"/>
      <c r="AG81" s="93"/>
      <c r="AH81" s="93"/>
      <c r="AI81" s="93"/>
      <c r="AJ81" s="93"/>
      <c r="AK81" s="93"/>
      <c r="AL81" s="93"/>
      <c r="AM81" s="93"/>
      <c r="AN81" s="93"/>
      <c r="AO81" s="93"/>
      <c r="AP81" s="93"/>
      <c r="AQ81" s="93"/>
      <c r="AR81" s="93"/>
      <c r="AS81" s="20"/>
      <c r="AT81" s="25">
        <v>14</v>
      </c>
      <c r="AU81" s="97"/>
      <c r="AV81" s="1504">
        <v>36923</v>
      </c>
      <c r="AW81" s="19"/>
      <c r="AX81" s="93"/>
      <c r="AY81" s="93"/>
      <c r="AZ81" s="93"/>
      <c r="BA81" s="93"/>
      <c r="BB81" s="93"/>
      <c r="BC81" s="93"/>
      <c r="BD81" s="93"/>
      <c r="BE81" s="93"/>
      <c r="BF81" s="93"/>
      <c r="BG81" s="93"/>
      <c r="BH81" s="93"/>
      <c r="BI81" s="93"/>
      <c r="BJ81" s="20"/>
      <c r="BK81" s="25">
        <v>14</v>
      </c>
      <c r="BL81" s="97"/>
      <c r="BM81" s="1504">
        <v>36923</v>
      </c>
      <c r="BN81" s="19"/>
      <c r="BO81" s="93"/>
      <c r="BP81" s="93"/>
      <c r="BQ81" s="93"/>
      <c r="BR81" s="93"/>
      <c r="BS81" s="93"/>
      <c r="BT81" s="93"/>
      <c r="BU81" s="20"/>
      <c r="BV81" s="25">
        <v>14</v>
      </c>
      <c r="BW81" s="97"/>
      <c r="BX81" s="1504">
        <v>36923</v>
      </c>
      <c r="BY81" s="19"/>
      <c r="BZ81" s="99">
        <v>664.95699999999999</v>
      </c>
      <c r="CA81" s="93"/>
      <c r="CB81" s="93"/>
      <c r="CC81" s="93"/>
      <c r="CD81" s="25">
        <v>14</v>
      </c>
      <c r="CE81" s="97"/>
      <c r="CF81" s="1504">
        <v>36923</v>
      </c>
      <c r="CG81" s="19">
        <v>1.3325</v>
      </c>
      <c r="CH81" s="93">
        <v>261.87</v>
      </c>
      <c r="CI81" s="219"/>
      <c r="CJ81" s="20"/>
      <c r="CK81" s="19"/>
      <c r="CL81" s="93"/>
      <c r="CM81" s="93"/>
      <c r="CN81" s="93"/>
      <c r="CO81" s="93"/>
      <c r="CP81" s="20"/>
      <c r="CQ81" s="219">
        <v>811.08</v>
      </c>
      <c r="CR81" s="93">
        <v>1.7224999999999999</v>
      </c>
      <c r="CS81" s="93"/>
      <c r="CT81" s="93"/>
      <c r="CU81" s="93"/>
      <c r="CV81" s="214"/>
      <c r="CW81" s="29">
        <v>14</v>
      </c>
      <c r="CX81" s="41">
        <f t="shared" si="188"/>
        <v>2001</v>
      </c>
      <c r="CY81" s="1504">
        <v>36923</v>
      </c>
      <c r="CZ81" s="733">
        <v>25.326193</v>
      </c>
      <c r="DA81" s="570">
        <v>14.683149</v>
      </c>
      <c r="DB81" s="570">
        <v>10.643044</v>
      </c>
      <c r="DC81" s="93"/>
      <c r="DD81" s="93"/>
      <c r="DE81" s="20"/>
      <c r="DF81" s="29">
        <v>14</v>
      </c>
      <c r="DG81" s="1504">
        <v>36923</v>
      </c>
      <c r="DH81" s="19"/>
      <c r="DI81" s="93"/>
      <c r="DJ81" s="93"/>
      <c r="DK81" s="93"/>
      <c r="DL81" s="93"/>
      <c r="DM81" s="93"/>
      <c r="DN81" s="20"/>
      <c r="DO81" s="25"/>
      <c r="DP81" s="29">
        <v>14</v>
      </c>
      <c r="DQ81" s="1504">
        <v>36923</v>
      </c>
      <c r="DR81" s="19"/>
      <c r="DS81" s="93"/>
      <c r="DT81" s="93"/>
      <c r="DU81" s="93"/>
      <c r="DV81" s="93"/>
      <c r="DW81" s="93"/>
      <c r="DX81" s="20"/>
      <c r="DY81" s="29">
        <v>14</v>
      </c>
      <c r="DZ81" s="1504">
        <v>36923</v>
      </c>
      <c r="EA81" s="19"/>
      <c r="EB81" s="93"/>
      <c r="EC81" s="20"/>
      <c r="ED81" s="29">
        <v>14</v>
      </c>
      <c r="EE81" s="1504">
        <v>36923</v>
      </c>
      <c r="EF81" s="19"/>
      <c r="EG81" s="93"/>
      <c r="EH81" s="93"/>
      <c r="EI81" s="214"/>
      <c r="EJ81" s="93"/>
      <c r="EK81" s="93"/>
      <c r="EL81" s="93"/>
      <c r="EM81" s="93"/>
      <c r="EN81" s="20"/>
      <c r="EO81" s="29">
        <v>14</v>
      </c>
      <c r="EP81" s="1504">
        <v>36923</v>
      </c>
      <c r="EQ81" s="19"/>
      <c r="ER81" s="93"/>
      <c r="ES81" s="93"/>
      <c r="ET81" s="214"/>
      <c r="EU81" s="93"/>
      <c r="EV81" s="93"/>
      <c r="EW81" s="93"/>
      <c r="EX81" s="93"/>
      <c r="EY81" s="20"/>
      <c r="EZ81" s="29">
        <v>14</v>
      </c>
      <c r="FA81" s="1504">
        <v>36923</v>
      </c>
      <c r="FB81" s="29"/>
      <c r="FC81" s="29"/>
      <c r="FD81" s="29"/>
      <c r="FE81" s="29"/>
      <c r="FF81" s="29"/>
      <c r="FG81" s="29"/>
      <c r="FH81" s="29"/>
      <c r="FI81" s="29"/>
      <c r="FJ81" s="29"/>
      <c r="FK81" s="29">
        <v>14</v>
      </c>
      <c r="FL81" s="1504">
        <v>36923</v>
      </c>
      <c r="FM81" s="19"/>
      <c r="FN81" s="93"/>
      <c r="FO81" s="93"/>
      <c r="FP81" s="93"/>
      <c r="FQ81" s="93"/>
      <c r="FR81" s="93"/>
      <c r="FS81" s="93"/>
      <c r="FT81" s="93"/>
      <c r="FU81" s="93"/>
      <c r="FV81" s="93"/>
      <c r="FW81" s="93"/>
      <c r="FX81" s="93"/>
      <c r="FY81" s="93"/>
      <c r="FZ81" s="29">
        <v>14</v>
      </c>
      <c r="GA81" s="1504">
        <v>36923</v>
      </c>
      <c r="GB81" s="19"/>
      <c r="GC81" s="93"/>
      <c r="GD81" s="93"/>
      <c r="GE81" s="93"/>
      <c r="GF81" s="93"/>
      <c r="GG81" s="93"/>
      <c r="GH81" s="93"/>
      <c r="GI81" s="93"/>
      <c r="GJ81" s="93"/>
      <c r="GK81" s="93"/>
      <c r="GL81" s="93"/>
      <c r="GM81" s="93"/>
      <c r="GN81" s="20"/>
      <c r="GO81" s="29">
        <v>14</v>
      </c>
      <c r="GP81" s="1504">
        <v>36923</v>
      </c>
      <c r="GQ81" s="19"/>
      <c r="GR81" s="93"/>
      <c r="GS81" s="93"/>
      <c r="GT81" s="93"/>
      <c r="GU81" s="93"/>
      <c r="GV81" s="20"/>
      <c r="GW81" s="19"/>
      <c r="GX81" s="93"/>
      <c r="GY81" s="93"/>
      <c r="GZ81" s="93"/>
      <c r="HA81" s="93"/>
      <c r="HB81" s="20"/>
      <c r="HC81" s="19"/>
      <c r="HD81" s="93"/>
      <c r="HE81" s="93"/>
      <c r="HF81" s="93"/>
      <c r="HG81" s="93"/>
      <c r="HH81" s="20"/>
      <c r="HI81" s="19"/>
      <c r="HJ81" s="93"/>
      <c r="HK81" s="93"/>
      <c r="HL81" s="93"/>
      <c r="HM81" s="93"/>
      <c r="HN81" s="20"/>
      <c r="HO81" s="219"/>
      <c r="HP81" s="20"/>
      <c r="HQ81" s="25"/>
      <c r="HR81" s="29">
        <v>14</v>
      </c>
      <c r="HS81" s="1504">
        <v>36923</v>
      </c>
      <c r="HT81" s="19"/>
      <c r="HU81" s="93"/>
      <c r="HV81" s="93"/>
      <c r="HW81" s="93"/>
      <c r="HX81" s="93"/>
      <c r="HY81" s="93"/>
      <c r="HZ81" s="93"/>
      <c r="IA81" s="20"/>
      <c r="IB81" s="19"/>
      <c r="IC81" s="93"/>
      <c r="ID81" s="93"/>
      <c r="IE81" s="93"/>
      <c r="IF81" s="93"/>
      <c r="IG81" s="20"/>
      <c r="IH81" s="19"/>
      <c r="II81" s="93"/>
      <c r="IJ81" s="93"/>
      <c r="IK81" s="93"/>
      <c r="IL81" s="93"/>
      <c r="IM81" s="93"/>
      <c r="IN81" s="93"/>
      <c r="IO81" s="20"/>
      <c r="IP81" s="29">
        <v>14</v>
      </c>
      <c r="IQ81" s="19"/>
      <c r="IR81" s="93"/>
      <c r="IS81" s="93"/>
      <c r="IT81" s="93"/>
      <c r="IU81" s="93"/>
      <c r="IV81" s="20"/>
      <c r="IW81" s="29">
        <v>14</v>
      </c>
      <c r="IX81" s="19"/>
      <c r="IY81" s="93"/>
      <c r="IZ81" s="93"/>
      <c r="JA81" s="93"/>
      <c r="JB81" s="93"/>
      <c r="JC81" s="93"/>
      <c r="JD81" s="93"/>
      <c r="JE81" s="20"/>
      <c r="JF81" s="29">
        <v>14</v>
      </c>
      <c r="JG81" s="19"/>
      <c r="JH81" s="93"/>
      <c r="JI81" s="93"/>
      <c r="JJ81" s="93"/>
      <c r="JK81" s="93"/>
      <c r="JL81" s="93"/>
      <c r="JM81" s="93"/>
      <c r="JN81" s="20"/>
      <c r="JO81" s="29">
        <v>14</v>
      </c>
      <c r="JP81" s="19"/>
      <c r="JQ81" s="93"/>
      <c r="JR81" s="93"/>
      <c r="JS81" s="93"/>
      <c r="JT81" s="93"/>
      <c r="JU81" s="20"/>
      <c r="JV81" s="29">
        <v>14</v>
      </c>
      <c r="JW81" s="1504">
        <v>36923</v>
      </c>
      <c r="JX81" s="19"/>
      <c r="JY81" s="93"/>
      <c r="JZ81" s="93"/>
      <c r="KA81" s="93"/>
      <c r="KB81" s="93"/>
      <c r="KC81" s="93"/>
      <c r="KD81" s="20"/>
      <c r="KE81" s="29">
        <v>14</v>
      </c>
      <c r="KF81" s="19"/>
      <c r="KG81" s="93"/>
      <c r="KH81" s="93"/>
      <c r="KI81" s="93"/>
      <c r="KJ81" s="93"/>
      <c r="KK81" s="20"/>
      <c r="KL81" s="29">
        <v>14</v>
      </c>
      <c r="KM81" s="19"/>
      <c r="KN81" s="93"/>
      <c r="KO81" s="93"/>
      <c r="KP81" s="93"/>
      <c r="KQ81" s="93"/>
      <c r="KR81" s="20"/>
      <c r="KS81" s="29">
        <v>14</v>
      </c>
      <c r="KT81" s="19"/>
      <c r="KU81" s="93"/>
      <c r="KV81" s="93"/>
      <c r="KW81" s="93"/>
      <c r="KX81" s="93"/>
      <c r="KY81" s="20"/>
      <c r="KZ81" s="29">
        <v>14</v>
      </c>
      <c r="LA81" s="1504">
        <v>36923</v>
      </c>
      <c r="LB81" s="19"/>
      <c r="LC81" s="93"/>
      <c r="LD81" s="93"/>
      <c r="LE81" s="93"/>
      <c r="LF81" s="93"/>
      <c r="LG81" s="93"/>
      <c r="LH81" s="20"/>
      <c r="LI81" s="29">
        <v>14</v>
      </c>
      <c r="LJ81" s="19"/>
      <c r="LK81" s="93"/>
      <c r="LL81" s="93"/>
      <c r="LM81" s="93"/>
      <c r="LN81" s="93"/>
      <c r="LO81" s="20"/>
      <c r="LP81" s="29">
        <v>14</v>
      </c>
      <c r="LQ81" s="19"/>
      <c r="LR81" s="93"/>
      <c r="LS81" s="93"/>
      <c r="LT81" s="93"/>
      <c r="LU81" s="93"/>
      <c r="LV81" s="93"/>
      <c r="LW81" s="93"/>
      <c r="LX81" s="93"/>
      <c r="LY81" s="93"/>
      <c r="LZ81" s="93"/>
      <c r="MA81" s="20"/>
      <c r="MB81" s="29">
        <v>14</v>
      </c>
      <c r="MC81" s="1504">
        <v>36923</v>
      </c>
      <c r="MD81" s="19"/>
      <c r="ME81" s="93"/>
      <c r="MF81" s="93"/>
      <c r="MG81" s="93"/>
      <c r="MH81" s="93"/>
      <c r="MI81" s="93"/>
      <c r="MJ81" s="93"/>
      <c r="MK81" s="93"/>
      <c r="ML81" s="93"/>
      <c r="MM81" s="93"/>
      <c r="MN81" s="93"/>
      <c r="MO81" s="93"/>
      <c r="MP81" s="93"/>
      <c r="MQ81" s="93"/>
      <c r="MR81" s="93"/>
      <c r="MS81" s="93"/>
      <c r="MT81" s="93"/>
      <c r="MU81" s="93"/>
      <c r="MV81" s="93"/>
      <c r="MW81" s="93"/>
      <c r="MX81" s="93"/>
      <c r="MY81" s="93"/>
      <c r="MZ81" s="93"/>
      <c r="NA81" s="93"/>
      <c r="NB81" s="93"/>
      <c r="NC81" s="93"/>
      <c r="ND81" s="93"/>
      <c r="NE81" s="93"/>
      <c r="NF81" s="93"/>
      <c r="NG81" s="93"/>
      <c r="NH81" s="93"/>
      <c r="NI81" s="93"/>
      <c r="NJ81" s="93"/>
      <c r="NK81" s="93"/>
      <c r="NL81" s="93"/>
      <c r="NM81" s="93"/>
      <c r="NN81" s="93"/>
      <c r="NO81" s="93"/>
      <c r="NP81" s="93"/>
      <c r="NQ81" s="93"/>
      <c r="NR81" s="93"/>
      <c r="NS81" s="93"/>
      <c r="NT81" s="93"/>
      <c r="NU81" s="93"/>
      <c r="NV81" s="93"/>
      <c r="NW81" s="93"/>
      <c r="NX81" s="93"/>
      <c r="NY81" s="93"/>
      <c r="NZ81" s="93"/>
      <c r="OA81" s="93"/>
      <c r="OB81" s="93"/>
      <c r="OC81" s="93"/>
      <c r="OD81" s="20"/>
      <c r="OE81" s="29">
        <v>14</v>
      </c>
      <c r="OF81" s="1504">
        <v>36923</v>
      </c>
      <c r="OG81" s="19"/>
      <c r="OH81" s="93"/>
      <c r="OI81" s="93"/>
      <c r="OJ81" s="93"/>
      <c r="OK81" s="93"/>
      <c r="OL81" s="93"/>
      <c r="OM81" s="93"/>
      <c r="ON81" s="93"/>
      <c r="OO81" s="93"/>
      <c r="OP81" s="93"/>
      <c r="OQ81" s="93"/>
      <c r="OR81" s="93"/>
      <c r="OS81" s="93"/>
      <c r="OT81" s="93"/>
      <c r="OU81" s="93"/>
      <c r="OV81" s="93"/>
      <c r="OW81" s="93"/>
      <c r="OX81" s="93"/>
      <c r="OY81" s="93"/>
      <c r="OZ81" s="93"/>
      <c r="PA81" s="93"/>
      <c r="PB81" s="93"/>
      <c r="PC81" s="20"/>
      <c r="PD81" s="29">
        <v>14</v>
      </c>
      <c r="PE81" s="19"/>
      <c r="PF81" s="93"/>
      <c r="PG81" s="93"/>
      <c r="PH81" s="93"/>
      <c r="PI81" s="93"/>
      <c r="PJ81" s="93"/>
      <c r="PK81" s="93"/>
      <c r="PL81" s="93"/>
      <c r="PM81" s="93"/>
      <c r="PN81" s="93"/>
      <c r="PO81" s="93"/>
      <c r="PP81" s="93"/>
      <c r="PQ81" s="93"/>
      <c r="PR81" s="93"/>
      <c r="PS81" s="93"/>
      <c r="PT81" s="93"/>
      <c r="PU81" s="93"/>
      <c r="PV81" s="93"/>
      <c r="PW81" s="93"/>
      <c r="PX81" s="93"/>
      <c r="PY81" s="93"/>
      <c r="PZ81" s="93"/>
      <c r="QA81" s="93"/>
      <c r="QB81" s="93"/>
      <c r="QC81" s="93"/>
      <c r="QD81" s="93"/>
      <c r="QE81" s="20"/>
      <c r="QF81" s="1739">
        <v>14</v>
      </c>
      <c r="QG81" s="19"/>
      <c r="QH81" s="93"/>
      <c r="QI81" s="93"/>
      <c r="QJ81" s="93"/>
      <c r="QK81" s="93"/>
      <c r="QL81" s="93"/>
      <c r="QM81" s="93"/>
      <c r="QN81" s="93"/>
      <c r="QO81" s="93"/>
      <c r="QP81" s="93"/>
      <c r="QQ81" s="93"/>
      <c r="QR81" s="93"/>
      <c r="QS81" s="93"/>
      <c r="QT81" s="93"/>
      <c r="QU81" s="93"/>
      <c r="QV81" s="93"/>
      <c r="QW81" s="93"/>
      <c r="QX81" s="93"/>
      <c r="QY81" s="93"/>
      <c r="QZ81" s="93"/>
      <c r="RA81" s="93"/>
      <c r="RB81" s="93"/>
      <c r="RC81" s="93"/>
      <c r="RD81" s="93"/>
      <c r="RE81" s="93"/>
      <c r="RF81" s="93"/>
      <c r="RG81" s="93"/>
      <c r="RH81" s="93"/>
      <c r="RI81" s="93"/>
      <c r="RJ81" s="93"/>
      <c r="RK81" s="93"/>
      <c r="RL81" s="93"/>
      <c r="RM81" s="20"/>
      <c r="RN81" s="29">
        <v>14</v>
      </c>
      <c r="RO81" s="19"/>
      <c r="RP81" s="20"/>
      <c r="RQ81" s="29">
        <v>14</v>
      </c>
      <c r="RR81" s="20"/>
      <c r="RS81" s="29">
        <v>14</v>
      </c>
      <c r="RT81" s="1504">
        <v>36923</v>
      </c>
      <c r="RU81" s="19"/>
      <c r="RV81" s="20"/>
      <c r="RW81" s="29">
        <v>14</v>
      </c>
      <c r="RX81" s="1504">
        <v>36923</v>
      </c>
      <c r="RY81" s="29"/>
      <c r="RZ81" s="20"/>
      <c r="SA81" s="29"/>
      <c r="SB81" s="29">
        <v>14</v>
      </c>
    </row>
    <row r="82" spans="1:496">
      <c r="A82" s="41">
        <f t="shared" si="187"/>
        <v>2001</v>
      </c>
      <c r="B82" s="1504">
        <v>36951</v>
      </c>
      <c r="C82" s="1813"/>
      <c r="D82" s="1814"/>
      <c r="E82" s="1814"/>
      <c r="F82" s="1815"/>
      <c r="G82" s="1814"/>
      <c r="H82" s="1814"/>
      <c r="I82" s="1814"/>
      <c r="J82" s="1816"/>
      <c r="K82" s="1807"/>
      <c r="L82" s="25">
        <v>15</v>
      </c>
      <c r="M82" s="97"/>
      <c r="N82" s="1504">
        <v>36951</v>
      </c>
      <c r="O82" s="19"/>
      <c r="P82" s="93"/>
      <c r="Q82" s="93"/>
      <c r="R82" s="93"/>
      <c r="S82" s="93"/>
      <c r="T82" s="93"/>
      <c r="U82" s="93"/>
      <c r="V82" s="93"/>
      <c r="W82" s="93"/>
      <c r="X82" s="93"/>
      <c r="Y82" s="93"/>
      <c r="Z82" s="93"/>
      <c r="AA82" s="93"/>
      <c r="AB82" s="20"/>
      <c r="AC82" s="25">
        <v>15</v>
      </c>
      <c r="AD82" s="97"/>
      <c r="AE82" s="1504">
        <v>36951</v>
      </c>
      <c r="AF82" s="19"/>
      <c r="AG82" s="93"/>
      <c r="AH82" s="93"/>
      <c r="AI82" s="93"/>
      <c r="AJ82" s="93"/>
      <c r="AK82" s="93"/>
      <c r="AL82" s="93"/>
      <c r="AM82" s="93"/>
      <c r="AN82" s="93"/>
      <c r="AO82" s="93"/>
      <c r="AP82" s="93"/>
      <c r="AQ82" s="93"/>
      <c r="AR82" s="93"/>
      <c r="AS82" s="20"/>
      <c r="AT82" s="25">
        <v>15</v>
      </c>
      <c r="AU82" s="97"/>
      <c r="AV82" s="1504">
        <v>36951</v>
      </c>
      <c r="AW82" s="19"/>
      <c r="AX82" s="93"/>
      <c r="AY82" s="93"/>
      <c r="AZ82" s="93"/>
      <c r="BA82" s="93"/>
      <c r="BB82" s="93"/>
      <c r="BC82" s="93"/>
      <c r="BD82" s="93"/>
      <c r="BE82" s="93"/>
      <c r="BF82" s="93"/>
      <c r="BG82" s="93"/>
      <c r="BH82" s="93"/>
      <c r="BI82" s="93"/>
      <c r="BJ82" s="20"/>
      <c r="BK82" s="25">
        <v>15</v>
      </c>
      <c r="BL82" s="97"/>
      <c r="BM82" s="1504">
        <v>36951</v>
      </c>
      <c r="BN82" s="19"/>
      <c r="BO82" s="93"/>
      <c r="BP82" s="93"/>
      <c r="BQ82" s="93"/>
      <c r="BR82" s="93"/>
      <c r="BS82" s="93"/>
      <c r="BT82" s="93"/>
      <c r="BU82" s="20"/>
      <c r="BV82" s="25">
        <v>15</v>
      </c>
      <c r="BW82" s="97"/>
      <c r="BX82" s="1504">
        <v>36951</v>
      </c>
      <c r="BY82" s="19"/>
      <c r="BZ82" s="99">
        <v>664.95699999999999</v>
      </c>
      <c r="CA82" s="93"/>
      <c r="CB82" s="93"/>
      <c r="CC82" s="93"/>
      <c r="CD82" s="25">
        <v>15</v>
      </c>
      <c r="CE82" s="97"/>
      <c r="CF82" s="1504">
        <v>36951</v>
      </c>
      <c r="CG82" s="19">
        <v>1.2029000000000001</v>
      </c>
      <c r="CH82" s="93">
        <v>263.02999999999997</v>
      </c>
      <c r="CI82" s="219"/>
      <c r="CJ82" s="20"/>
      <c r="CK82" s="19"/>
      <c r="CL82" s="93"/>
      <c r="CM82" s="93"/>
      <c r="CN82" s="93"/>
      <c r="CO82" s="93"/>
      <c r="CP82" s="20"/>
      <c r="CQ82" s="219">
        <v>780.64</v>
      </c>
      <c r="CR82" s="93">
        <v>1.6725000000000001</v>
      </c>
      <c r="CS82" s="93"/>
      <c r="CT82" s="93"/>
      <c r="CU82" s="93"/>
      <c r="CV82" s="214"/>
      <c r="CW82" s="29">
        <v>15</v>
      </c>
      <c r="CX82" s="41">
        <f t="shared" si="188"/>
        <v>2001</v>
      </c>
      <c r="CY82" s="1504">
        <v>36951</v>
      </c>
      <c r="CZ82" s="733">
        <v>27.706226000000001</v>
      </c>
      <c r="DA82" s="570">
        <v>16.428930000000001</v>
      </c>
      <c r="DB82" s="570">
        <v>11.277296</v>
      </c>
      <c r="DC82" s="93"/>
      <c r="DD82" s="93"/>
      <c r="DE82" s="20"/>
      <c r="DF82" s="29">
        <v>15</v>
      </c>
      <c r="DG82" s="1504">
        <v>36951</v>
      </c>
      <c r="DH82" s="19"/>
      <c r="DI82" s="93"/>
      <c r="DJ82" s="93"/>
      <c r="DK82" s="93"/>
      <c r="DL82" s="93"/>
      <c r="DM82" s="93"/>
      <c r="DN82" s="20"/>
      <c r="DO82" s="25"/>
      <c r="DP82" s="29">
        <v>15</v>
      </c>
      <c r="DQ82" s="1504">
        <v>36951</v>
      </c>
      <c r="DR82" s="19"/>
      <c r="DS82" s="93"/>
      <c r="DT82" s="93"/>
      <c r="DU82" s="93"/>
      <c r="DV82" s="93"/>
      <c r="DW82" s="93"/>
      <c r="DX82" s="20"/>
      <c r="DY82" s="29">
        <v>15</v>
      </c>
      <c r="DZ82" s="1504">
        <v>36951</v>
      </c>
      <c r="EA82" s="19"/>
      <c r="EB82" s="93"/>
      <c r="EC82" s="20"/>
      <c r="ED82" s="29">
        <v>15</v>
      </c>
      <c r="EE82" s="1504">
        <v>36951</v>
      </c>
      <c r="EF82" s="19"/>
      <c r="EG82" s="93"/>
      <c r="EH82" s="93"/>
      <c r="EI82" s="214"/>
      <c r="EJ82" s="93"/>
      <c r="EK82" s="93"/>
      <c r="EL82" s="93"/>
      <c r="EM82" s="93"/>
      <c r="EN82" s="20"/>
      <c r="EO82" s="29">
        <v>15</v>
      </c>
      <c r="EP82" s="1504">
        <v>36951</v>
      </c>
      <c r="EQ82" s="19"/>
      <c r="ER82" s="93"/>
      <c r="ES82" s="93"/>
      <c r="ET82" s="214"/>
      <c r="EU82" s="93"/>
      <c r="EV82" s="93"/>
      <c r="EW82" s="93"/>
      <c r="EX82" s="93"/>
      <c r="EY82" s="20"/>
      <c r="EZ82" s="29">
        <v>15</v>
      </c>
      <c r="FA82" s="1504">
        <v>36951</v>
      </c>
      <c r="FB82" s="29"/>
      <c r="FC82" s="29"/>
      <c r="FD82" s="29"/>
      <c r="FE82" s="29"/>
      <c r="FF82" s="29"/>
      <c r="FG82" s="29"/>
      <c r="FH82" s="29"/>
      <c r="FI82" s="29"/>
      <c r="FJ82" s="29"/>
      <c r="FK82" s="29">
        <v>15</v>
      </c>
      <c r="FL82" s="1504">
        <v>36951</v>
      </c>
      <c r="FM82" s="19"/>
      <c r="FN82" s="93"/>
      <c r="FO82" s="93"/>
      <c r="FP82" s="93"/>
      <c r="FQ82" s="93"/>
      <c r="FR82" s="93"/>
      <c r="FS82" s="93"/>
      <c r="FT82" s="93"/>
      <c r="FU82" s="93"/>
      <c r="FV82" s="93"/>
      <c r="FW82" s="93"/>
      <c r="FX82" s="93"/>
      <c r="FY82" s="93"/>
      <c r="FZ82" s="29">
        <v>15</v>
      </c>
      <c r="GA82" s="1504">
        <v>36951</v>
      </c>
      <c r="GB82" s="19"/>
      <c r="GC82" s="93"/>
      <c r="GD82" s="93"/>
      <c r="GE82" s="93"/>
      <c r="GF82" s="93"/>
      <c r="GG82" s="93"/>
      <c r="GH82" s="93"/>
      <c r="GI82" s="93"/>
      <c r="GJ82" s="93"/>
      <c r="GK82" s="93"/>
      <c r="GL82" s="93"/>
      <c r="GM82" s="93"/>
      <c r="GN82" s="20"/>
      <c r="GO82" s="29">
        <v>15</v>
      </c>
      <c r="GP82" s="1504">
        <v>36951</v>
      </c>
      <c r="GQ82" s="19"/>
      <c r="GR82" s="93"/>
      <c r="GS82" s="93"/>
      <c r="GT82" s="93"/>
      <c r="GU82" s="93"/>
      <c r="GV82" s="20"/>
      <c r="GW82" s="19"/>
      <c r="GX82" s="93"/>
      <c r="GY82" s="93"/>
      <c r="GZ82" s="93"/>
      <c r="HA82" s="93"/>
      <c r="HB82" s="20"/>
      <c r="HC82" s="19"/>
      <c r="HD82" s="93"/>
      <c r="HE82" s="93"/>
      <c r="HF82" s="93"/>
      <c r="HG82" s="93"/>
      <c r="HH82" s="20"/>
      <c r="HI82" s="19"/>
      <c r="HJ82" s="93"/>
      <c r="HK82" s="93"/>
      <c r="HL82" s="93"/>
      <c r="HM82" s="93"/>
      <c r="HN82" s="20"/>
      <c r="HO82" s="219"/>
      <c r="HP82" s="20"/>
      <c r="HQ82" s="25"/>
      <c r="HR82" s="29">
        <v>15</v>
      </c>
      <c r="HS82" s="1504">
        <v>36951</v>
      </c>
      <c r="HT82" s="19"/>
      <c r="HU82" s="93"/>
      <c r="HV82" s="93"/>
      <c r="HW82" s="93"/>
      <c r="HX82" s="93"/>
      <c r="HY82" s="93"/>
      <c r="HZ82" s="93"/>
      <c r="IA82" s="20"/>
      <c r="IB82" s="19"/>
      <c r="IC82" s="93"/>
      <c r="ID82" s="93"/>
      <c r="IE82" s="93"/>
      <c r="IF82" s="93"/>
      <c r="IG82" s="20"/>
      <c r="IH82" s="19"/>
      <c r="II82" s="93"/>
      <c r="IJ82" s="93"/>
      <c r="IK82" s="93"/>
      <c r="IL82" s="93"/>
      <c r="IM82" s="93"/>
      <c r="IN82" s="93"/>
      <c r="IO82" s="20"/>
      <c r="IP82" s="29">
        <v>15</v>
      </c>
      <c r="IQ82" s="19"/>
      <c r="IR82" s="93"/>
      <c r="IS82" s="93"/>
      <c r="IT82" s="93"/>
      <c r="IU82" s="93"/>
      <c r="IV82" s="20"/>
      <c r="IW82" s="29">
        <v>15</v>
      </c>
      <c r="IX82" s="19"/>
      <c r="IY82" s="93"/>
      <c r="IZ82" s="93"/>
      <c r="JA82" s="93"/>
      <c r="JB82" s="93"/>
      <c r="JC82" s="93"/>
      <c r="JD82" s="93"/>
      <c r="JE82" s="20"/>
      <c r="JF82" s="29">
        <v>15</v>
      </c>
      <c r="JG82" s="19"/>
      <c r="JH82" s="93"/>
      <c r="JI82" s="93"/>
      <c r="JJ82" s="93"/>
      <c r="JK82" s="93"/>
      <c r="JL82" s="93"/>
      <c r="JM82" s="93"/>
      <c r="JN82" s="20"/>
      <c r="JO82" s="29">
        <v>15</v>
      </c>
      <c r="JP82" s="19"/>
      <c r="JQ82" s="93"/>
      <c r="JR82" s="93"/>
      <c r="JS82" s="93"/>
      <c r="JT82" s="93"/>
      <c r="JU82" s="20"/>
      <c r="JV82" s="29">
        <v>15</v>
      </c>
      <c r="JW82" s="1504">
        <v>36951</v>
      </c>
      <c r="JX82" s="19"/>
      <c r="JY82" s="93"/>
      <c r="JZ82" s="93"/>
      <c r="KA82" s="93"/>
      <c r="KB82" s="93"/>
      <c r="KC82" s="93"/>
      <c r="KD82" s="20"/>
      <c r="KE82" s="29">
        <v>15</v>
      </c>
      <c r="KF82" s="19"/>
      <c r="KG82" s="93"/>
      <c r="KH82" s="93"/>
      <c r="KI82" s="93"/>
      <c r="KJ82" s="93"/>
      <c r="KK82" s="20"/>
      <c r="KL82" s="29">
        <v>15</v>
      </c>
      <c r="KM82" s="19"/>
      <c r="KN82" s="93"/>
      <c r="KO82" s="93"/>
      <c r="KP82" s="93"/>
      <c r="KQ82" s="93"/>
      <c r="KR82" s="20"/>
      <c r="KS82" s="29">
        <v>15</v>
      </c>
      <c r="KT82" s="19"/>
      <c r="KU82" s="93"/>
      <c r="KV82" s="93"/>
      <c r="KW82" s="93"/>
      <c r="KX82" s="93"/>
      <c r="KY82" s="20"/>
      <c r="KZ82" s="29">
        <v>15</v>
      </c>
      <c r="LA82" s="1504">
        <v>36951</v>
      </c>
      <c r="LB82" s="19"/>
      <c r="LC82" s="93"/>
      <c r="LD82" s="93"/>
      <c r="LE82" s="93"/>
      <c r="LF82" s="93"/>
      <c r="LG82" s="93"/>
      <c r="LH82" s="20"/>
      <c r="LI82" s="29">
        <v>15</v>
      </c>
      <c r="LJ82" s="19"/>
      <c r="LK82" s="93"/>
      <c r="LL82" s="93"/>
      <c r="LM82" s="93"/>
      <c r="LN82" s="93"/>
      <c r="LO82" s="20"/>
      <c r="LP82" s="29">
        <v>15</v>
      </c>
      <c r="LQ82" s="19"/>
      <c r="LR82" s="93"/>
      <c r="LS82" s="93"/>
      <c r="LT82" s="93"/>
      <c r="LU82" s="93"/>
      <c r="LV82" s="93"/>
      <c r="LW82" s="93"/>
      <c r="LX82" s="93"/>
      <c r="LY82" s="93"/>
      <c r="LZ82" s="93"/>
      <c r="MA82" s="20"/>
      <c r="MB82" s="29">
        <v>15</v>
      </c>
      <c r="MC82" s="1504">
        <v>36951</v>
      </c>
      <c r="MD82" s="19"/>
      <c r="ME82" s="93"/>
      <c r="MF82" s="93"/>
      <c r="MG82" s="93"/>
      <c r="MH82" s="93"/>
      <c r="MI82" s="93"/>
      <c r="MJ82" s="93"/>
      <c r="MK82" s="93"/>
      <c r="ML82" s="93"/>
      <c r="MM82" s="93"/>
      <c r="MN82" s="93"/>
      <c r="MO82" s="93"/>
      <c r="MP82" s="93"/>
      <c r="MQ82" s="93"/>
      <c r="MR82" s="93"/>
      <c r="MS82" s="93"/>
      <c r="MT82" s="93"/>
      <c r="MU82" s="93"/>
      <c r="MV82" s="93"/>
      <c r="MW82" s="93"/>
      <c r="MX82" s="93"/>
      <c r="MY82" s="93"/>
      <c r="MZ82" s="93"/>
      <c r="NA82" s="93"/>
      <c r="NB82" s="93"/>
      <c r="NC82" s="93"/>
      <c r="ND82" s="93"/>
      <c r="NE82" s="93"/>
      <c r="NF82" s="93"/>
      <c r="NG82" s="93"/>
      <c r="NH82" s="93"/>
      <c r="NI82" s="93"/>
      <c r="NJ82" s="93"/>
      <c r="NK82" s="93"/>
      <c r="NL82" s="93"/>
      <c r="NM82" s="93"/>
      <c r="NN82" s="93"/>
      <c r="NO82" s="93"/>
      <c r="NP82" s="93"/>
      <c r="NQ82" s="93"/>
      <c r="NR82" s="93"/>
      <c r="NS82" s="93"/>
      <c r="NT82" s="93"/>
      <c r="NU82" s="93"/>
      <c r="NV82" s="93"/>
      <c r="NW82" s="93"/>
      <c r="NX82" s="93"/>
      <c r="NY82" s="93"/>
      <c r="NZ82" s="93"/>
      <c r="OA82" s="93"/>
      <c r="OB82" s="93"/>
      <c r="OC82" s="93"/>
      <c r="OD82" s="20"/>
      <c r="OE82" s="29">
        <v>15</v>
      </c>
      <c r="OF82" s="1504">
        <v>36951</v>
      </c>
      <c r="OG82" s="19"/>
      <c r="OH82" s="93"/>
      <c r="OI82" s="93"/>
      <c r="OJ82" s="93"/>
      <c r="OK82" s="93"/>
      <c r="OL82" s="93"/>
      <c r="OM82" s="93"/>
      <c r="ON82" s="93"/>
      <c r="OO82" s="93"/>
      <c r="OP82" s="93"/>
      <c r="OQ82" s="93"/>
      <c r="OR82" s="93"/>
      <c r="OS82" s="93"/>
      <c r="OT82" s="93"/>
      <c r="OU82" s="93"/>
      <c r="OV82" s="93"/>
      <c r="OW82" s="93"/>
      <c r="OX82" s="93"/>
      <c r="OY82" s="93"/>
      <c r="OZ82" s="93"/>
      <c r="PA82" s="93"/>
      <c r="PB82" s="93"/>
      <c r="PC82" s="20"/>
      <c r="PD82" s="29">
        <v>15</v>
      </c>
      <c r="PE82" s="19"/>
      <c r="PF82" s="93"/>
      <c r="PG82" s="93"/>
      <c r="PH82" s="93"/>
      <c r="PI82" s="93"/>
      <c r="PJ82" s="93"/>
      <c r="PK82" s="93"/>
      <c r="PL82" s="93"/>
      <c r="PM82" s="93"/>
      <c r="PN82" s="93"/>
      <c r="PO82" s="93"/>
      <c r="PP82" s="93"/>
      <c r="PQ82" s="93"/>
      <c r="PR82" s="93"/>
      <c r="PS82" s="93"/>
      <c r="PT82" s="93"/>
      <c r="PU82" s="93"/>
      <c r="PV82" s="93"/>
      <c r="PW82" s="93"/>
      <c r="PX82" s="93"/>
      <c r="PY82" s="93"/>
      <c r="PZ82" s="93"/>
      <c r="QA82" s="93"/>
      <c r="QB82" s="93"/>
      <c r="QC82" s="93"/>
      <c r="QD82" s="93"/>
      <c r="QE82" s="20"/>
      <c r="QF82" s="1739">
        <v>15</v>
      </c>
      <c r="QG82" s="19"/>
      <c r="QH82" s="93"/>
      <c r="QI82" s="93"/>
      <c r="QJ82" s="93"/>
      <c r="QK82" s="93"/>
      <c r="QL82" s="93"/>
      <c r="QM82" s="93"/>
      <c r="QN82" s="93"/>
      <c r="QO82" s="93"/>
      <c r="QP82" s="93"/>
      <c r="QQ82" s="93"/>
      <c r="QR82" s="93"/>
      <c r="QS82" s="93"/>
      <c r="QT82" s="93"/>
      <c r="QU82" s="93"/>
      <c r="QV82" s="93"/>
      <c r="QW82" s="93"/>
      <c r="QX82" s="93"/>
      <c r="QY82" s="93"/>
      <c r="QZ82" s="93"/>
      <c r="RA82" s="93"/>
      <c r="RB82" s="93"/>
      <c r="RC82" s="93"/>
      <c r="RD82" s="93"/>
      <c r="RE82" s="93"/>
      <c r="RF82" s="93"/>
      <c r="RG82" s="93"/>
      <c r="RH82" s="93"/>
      <c r="RI82" s="93"/>
      <c r="RJ82" s="93"/>
      <c r="RK82" s="93"/>
      <c r="RL82" s="93"/>
      <c r="RM82" s="20"/>
      <c r="RN82" s="29">
        <v>15</v>
      </c>
      <c r="RO82" s="19"/>
      <c r="RP82" s="20"/>
      <c r="RQ82" s="29">
        <v>15</v>
      </c>
      <c r="RR82" s="20"/>
      <c r="RS82" s="29">
        <v>15</v>
      </c>
      <c r="RT82" s="1504">
        <v>36951</v>
      </c>
      <c r="RU82" s="19"/>
      <c r="RV82" s="20"/>
      <c r="RW82" s="29">
        <v>15</v>
      </c>
      <c r="RX82" s="1504">
        <v>36951</v>
      </c>
      <c r="RY82" s="29"/>
      <c r="RZ82" s="20"/>
      <c r="SA82" s="29"/>
      <c r="SB82" s="29">
        <v>15</v>
      </c>
    </row>
    <row r="83" spans="1:496">
      <c r="A83" s="41">
        <f t="shared" si="187"/>
        <v>2001</v>
      </c>
      <c r="B83" s="1504">
        <v>36982</v>
      </c>
      <c r="C83" s="1813"/>
      <c r="D83" s="1814"/>
      <c r="E83" s="1814"/>
      <c r="F83" s="1815"/>
      <c r="G83" s="1814"/>
      <c r="H83" s="1814"/>
      <c r="I83" s="1814"/>
      <c r="J83" s="1816"/>
      <c r="K83" s="1807"/>
      <c r="L83" s="25">
        <v>16</v>
      </c>
      <c r="M83" s="97"/>
      <c r="N83" s="1504">
        <v>36982</v>
      </c>
      <c r="O83" s="19"/>
      <c r="P83" s="93"/>
      <c r="Q83" s="93"/>
      <c r="R83" s="93"/>
      <c r="S83" s="93"/>
      <c r="T83" s="93"/>
      <c r="U83" s="93"/>
      <c r="V83" s="93"/>
      <c r="W83" s="93"/>
      <c r="X83" s="93"/>
      <c r="Y83" s="93"/>
      <c r="Z83" s="93"/>
      <c r="AA83" s="93"/>
      <c r="AB83" s="20"/>
      <c r="AC83" s="25">
        <v>16</v>
      </c>
      <c r="AD83" s="97"/>
      <c r="AE83" s="1504">
        <v>36982</v>
      </c>
      <c r="AF83" s="19"/>
      <c r="AG83" s="93"/>
      <c r="AH83" s="93"/>
      <c r="AI83" s="93"/>
      <c r="AJ83" s="93"/>
      <c r="AK83" s="93"/>
      <c r="AL83" s="93"/>
      <c r="AM83" s="93"/>
      <c r="AN83" s="93"/>
      <c r="AO83" s="93"/>
      <c r="AP83" s="93"/>
      <c r="AQ83" s="93"/>
      <c r="AR83" s="93"/>
      <c r="AS83" s="20"/>
      <c r="AT83" s="25">
        <v>16</v>
      </c>
      <c r="AU83" s="97"/>
      <c r="AV83" s="1504">
        <v>36982</v>
      </c>
      <c r="AW83" s="19"/>
      <c r="AX83" s="93"/>
      <c r="AY83" s="93"/>
      <c r="AZ83" s="93"/>
      <c r="BA83" s="93"/>
      <c r="BB83" s="93"/>
      <c r="BC83" s="93"/>
      <c r="BD83" s="93"/>
      <c r="BE83" s="93"/>
      <c r="BF83" s="93"/>
      <c r="BG83" s="93"/>
      <c r="BH83" s="93"/>
      <c r="BI83" s="93"/>
      <c r="BJ83" s="20"/>
      <c r="BK83" s="25">
        <v>16</v>
      </c>
      <c r="BL83" s="97"/>
      <c r="BM83" s="1504">
        <v>36982</v>
      </c>
      <c r="BN83" s="19"/>
      <c r="BO83" s="93"/>
      <c r="BP83" s="93"/>
      <c r="BQ83" s="93"/>
      <c r="BR83" s="93"/>
      <c r="BS83" s="93"/>
      <c r="BT83" s="93"/>
      <c r="BU83" s="20"/>
      <c r="BV83" s="25">
        <v>16</v>
      </c>
      <c r="BW83" s="97"/>
      <c r="BX83" s="1504">
        <v>36982</v>
      </c>
      <c r="BY83" s="19"/>
      <c r="BZ83" s="99">
        <v>664.95699999999999</v>
      </c>
      <c r="CA83" s="93"/>
      <c r="CB83" s="93"/>
      <c r="CC83" s="93"/>
      <c r="CD83" s="25">
        <v>16</v>
      </c>
      <c r="CE83" s="97"/>
      <c r="CF83" s="1504">
        <v>36982</v>
      </c>
      <c r="CG83" s="19">
        <v>1.1274</v>
      </c>
      <c r="CH83" s="93">
        <v>260.48</v>
      </c>
      <c r="CI83" s="219"/>
      <c r="CJ83" s="20"/>
      <c r="CK83" s="19"/>
      <c r="CL83" s="93"/>
      <c r="CM83" s="93"/>
      <c r="CN83" s="93"/>
      <c r="CO83" s="93"/>
      <c r="CP83" s="20"/>
      <c r="CQ83" s="219">
        <v>744.85</v>
      </c>
      <c r="CR83" s="93">
        <v>1.4350000000000001</v>
      </c>
      <c r="CS83" s="93"/>
      <c r="CT83" s="93"/>
      <c r="CU83" s="93"/>
      <c r="CV83" s="214"/>
      <c r="CW83" s="29">
        <v>16</v>
      </c>
      <c r="CX83" s="41">
        <f t="shared" si="188"/>
        <v>2001</v>
      </c>
      <c r="CY83" s="1504">
        <v>36982</v>
      </c>
      <c r="CZ83" s="733">
        <v>31.434856999999997</v>
      </c>
      <c r="DA83" s="570">
        <v>19.031821999999998</v>
      </c>
      <c r="DB83" s="570">
        <v>12.403034999999999</v>
      </c>
      <c r="DC83" s="93"/>
      <c r="DD83" s="93"/>
      <c r="DE83" s="20"/>
      <c r="DF83" s="29">
        <v>16</v>
      </c>
      <c r="DG83" s="1504">
        <v>36982</v>
      </c>
      <c r="DH83" s="19"/>
      <c r="DI83" s="93"/>
      <c r="DJ83" s="93"/>
      <c r="DK83" s="93"/>
      <c r="DL83" s="93"/>
      <c r="DM83" s="93"/>
      <c r="DN83" s="20"/>
      <c r="DO83" s="25"/>
      <c r="DP83" s="29">
        <v>16</v>
      </c>
      <c r="DQ83" s="1504">
        <v>36982</v>
      </c>
      <c r="DR83" s="19"/>
      <c r="DS83" s="93"/>
      <c r="DT83" s="93"/>
      <c r="DU83" s="93"/>
      <c r="DV83" s="93"/>
      <c r="DW83" s="93"/>
      <c r="DX83" s="20"/>
      <c r="DY83" s="29">
        <v>16</v>
      </c>
      <c r="DZ83" s="1504">
        <v>36982</v>
      </c>
      <c r="EA83" s="19"/>
      <c r="EB83" s="93"/>
      <c r="EC83" s="20"/>
      <c r="ED83" s="29">
        <v>16</v>
      </c>
      <c r="EE83" s="1504">
        <v>36982</v>
      </c>
      <c r="EF83" s="19"/>
      <c r="EG83" s="93"/>
      <c r="EH83" s="93"/>
      <c r="EI83" s="214"/>
      <c r="EJ83" s="93"/>
      <c r="EK83" s="93"/>
      <c r="EL83" s="93"/>
      <c r="EM83" s="93"/>
      <c r="EN83" s="20"/>
      <c r="EO83" s="29">
        <v>16</v>
      </c>
      <c r="EP83" s="1504">
        <v>36982</v>
      </c>
      <c r="EQ83" s="19"/>
      <c r="ER83" s="93"/>
      <c r="ES83" s="93"/>
      <c r="ET83" s="214"/>
      <c r="EU83" s="93"/>
      <c r="EV83" s="93"/>
      <c r="EW83" s="93"/>
      <c r="EX83" s="93"/>
      <c r="EY83" s="20"/>
      <c r="EZ83" s="29">
        <v>16</v>
      </c>
      <c r="FA83" s="1504">
        <v>36982</v>
      </c>
      <c r="FB83" s="29"/>
      <c r="FC83" s="29"/>
      <c r="FD83" s="29"/>
      <c r="FE83" s="29"/>
      <c r="FF83" s="29"/>
      <c r="FG83" s="29"/>
      <c r="FH83" s="29"/>
      <c r="FI83" s="29"/>
      <c r="FJ83" s="29"/>
      <c r="FK83" s="29">
        <v>16</v>
      </c>
      <c r="FL83" s="1504">
        <v>36982</v>
      </c>
      <c r="FM83" s="19"/>
      <c r="FN83" s="93"/>
      <c r="FO83" s="93"/>
      <c r="FP83" s="93"/>
      <c r="FQ83" s="93"/>
      <c r="FR83" s="93"/>
      <c r="FS83" s="93"/>
      <c r="FT83" s="93"/>
      <c r="FU83" s="93"/>
      <c r="FV83" s="93"/>
      <c r="FW83" s="93"/>
      <c r="FX83" s="93"/>
      <c r="FY83" s="93"/>
      <c r="FZ83" s="29">
        <v>16</v>
      </c>
      <c r="GA83" s="1504">
        <v>36982</v>
      </c>
      <c r="GB83" s="19"/>
      <c r="GC83" s="93"/>
      <c r="GD83" s="93"/>
      <c r="GE83" s="93"/>
      <c r="GF83" s="93"/>
      <c r="GG83" s="93"/>
      <c r="GH83" s="93"/>
      <c r="GI83" s="93"/>
      <c r="GJ83" s="93"/>
      <c r="GK83" s="93"/>
      <c r="GL83" s="93"/>
      <c r="GM83" s="93"/>
      <c r="GN83" s="20"/>
      <c r="GO83" s="29">
        <v>16</v>
      </c>
      <c r="GP83" s="1504">
        <v>36982</v>
      </c>
      <c r="GQ83" s="19"/>
      <c r="GR83" s="93"/>
      <c r="GS83" s="93"/>
      <c r="GT83" s="93"/>
      <c r="GU83" s="93"/>
      <c r="GV83" s="20"/>
      <c r="GW83" s="19"/>
      <c r="GX83" s="93"/>
      <c r="GY83" s="93"/>
      <c r="GZ83" s="93"/>
      <c r="HA83" s="93"/>
      <c r="HB83" s="20"/>
      <c r="HC83" s="19"/>
      <c r="HD83" s="93"/>
      <c r="HE83" s="93"/>
      <c r="HF83" s="93"/>
      <c r="HG83" s="93"/>
      <c r="HH83" s="20"/>
      <c r="HI83" s="19"/>
      <c r="HJ83" s="93"/>
      <c r="HK83" s="93"/>
      <c r="HL83" s="93"/>
      <c r="HM83" s="93"/>
      <c r="HN83" s="20"/>
      <c r="HO83" s="219"/>
      <c r="HP83" s="20"/>
      <c r="HQ83" s="25"/>
      <c r="HR83" s="29">
        <v>16</v>
      </c>
      <c r="HS83" s="1504">
        <v>36982</v>
      </c>
      <c r="HT83" s="19"/>
      <c r="HU83" s="93"/>
      <c r="HV83" s="93"/>
      <c r="HW83" s="93"/>
      <c r="HX83" s="93"/>
      <c r="HY83" s="93"/>
      <c r="HZ83" s="93"/>
      <c r="IA83" s="20"/>
      <c r="IB83" s="19"/>
      <c r="IC83" s="93"/>
      <c r="ID83" s="93"/>
      <c r="IE83" s="93"/>
      <c r="IF83" s="93"/>
      <c r="IG83" s="20"/>
      <c r="IH83" s="19"/>
      <c r="II83" s="93"/>
      <c r="IJ83" s="93"/>
      <c r="IK83" s="93"/>
      <c r="IL83" s="93"/>
      <c r="IM83" s="93"/>
      <c r="IN83" s="93"/>
      <c r="IO83" s="20"/>
      <c r="IP83" s="29">
        <v>16</v>
      </c>
      <c r="IQ83" s="19"/>
      <c r="IR83" s="93"/>
      <c r="IS83" s="93"/>
      <c r="IT83" s="93"/>
      <c r="IU83" s="93"/>
      <c r="IV83" s="20"/>
      <c r="IW83" s="29">
        <v>16</v>
      </c>
      <c r="IX83" s="19"/>
      <c r="IY83" s="93"/>
      <c r="IZ83" s="93"/>
      <c r="JA83" s="93"/>
      <c r="JB83" s="93"/>
      <c r="JC83" s="93"/>
      <c r="JD83" s="93"/>
      <c r="JE83" s="20"/>
      <c r="JF83" s="29">
        <v>16</v>
      </c>
      <c r="JG83" s="19"/>
      <c r="JH83" s="93"/>
      <c r="JI83" s="93"/>
      <c r="JJ83" s="93"/>
      <c r="JK83" s="93"/>
      <c r="JL83" s="93"/>
      <c r="JM83" s="93"/>
      <c r="JN83" s="20"/>
      <c r="JO83" s="29">
        <v>16</v>
      </c>
      <c r="JP83" s="19"/>
      <c r="JQ83" s="93"/>
      <c r="JR83" s="93"/>
      <c r="JS83" s="93"/>
      <c r="JT83" s="93"/>
      <c r="JU83" s="20"/>
      <c r="JV83" s="29">
        <v>16</v>
      </c>
      <c r="JW83" s="1504">
        <v>36982</v>
      </c>
      <c r="JX83" s="19"/>
      <c r="JY83" s="93"/>
      <c r="JZ83" s="93"/>
      <c r="KA83" s="93"/>
      <c r="KB83" s="93"/>
      <c r="KC83" s="93"/>
      <c r="KD83" s="20"/>
      <c r="KE83" s="29">
        <v>16</v>
      </c>
      <c r="KF83" s="19"/>
      <c r="KG83" s="93"/>
      <c r="KH83" s="93"/>
      <c r="KI83" s="93"/>
      <c r="KJ83" s="93"/>
      <c r="KK83" s="20"/>
      <c r="KL83" s="29">
        <v>16</v>
      </c>
      <c r="KM83" s="19"/>
      <c r="KN83" s="93"/>
      <c r="KO83" s="93"/>
      <c r="KP83" s="93"/>
      <c r="KQ83" s="93"/>
      <c r="KR83" s="20"/>
      <c r="KS83" s="29">
        <v>16</v>
      </c>
      <c r="KT83" s="19"/>
      <c r="KU83" s="93"/>
      <c r="KV83" s="93"/>
      <c r="KW83" s="93"/>
      <c r="KX83" s="93"/>
      <c r="KY83" s="20"/>
      <c r="KZ83" s="29">
        <v>16</v>
      </c>
      <c r="LA83" s="1504">
        <v>36982</v>
      </c>
      <c r="LB83" s="19"/>
      <c r="LC83" s="93"/>
      <c r="LD83" s="93"/>
      <c r="LE83" s="93"/>
      <c r="LF83" s="93"/>
      <c r="LG83" s="93"/>
      <c r="LH83" s="20"/>
      <c r="LI83" s="29">
        <v>16</v>
      </c>
      <c r="LJ83" s="19"/>
      <c r="LK83" s="93"/>
      <c r="LL83" s="93"/>
      <c r="LM83" s="93"/>
      <c r="LN83" s="93"/>
      <c r="LO83" s="20"/>
      <c r="LP83" s="29">
        <v>16</v>
      </c>
      <c r="LQ83" s="19"/>
      <c r="LR83" s="93"/>
      <c r="LS83" s="93"/>
      <c r="LT83" s="93"/>
      <c r="LU83" s="93"/>
      <c r="LV83" s="93"/>
      <c r="LW83" s="93"/>
      <c r="LX83" s="93"/>
      <c r="LY83" s="93"/>
      <c r="LZ83" s="93"/>
      <c r="MA83" s="20"/>
      <c r="MB83" s="29">
        <v>16</v>
      </c>
      <c r="MC83" s="1504">
        <v>36982</v>
      </c>
      <c r="MD83" s="19"/>
      <c r="ME83" s="93"/>
      <c r="MF83" s="93"/>
      <c r="MG83" s="93"/>
      <c r="MH83" s="93"/>
      <c r="MI83" s="93"/>
      <c r="MJ83" s="93"/>
      <c r="MK83" s="93"/>
      <c r="ML83" s="93"/>
      <c r="MM83" s="93"/>
      <c r="MN83" s="93"/>
      <c r="MO83" s="93"/>
      <c r="MP83" s="93"/>
      <c r="MQ83" s="93"/>
      <c r="MR83" s="93"/>
      <c r="MS83" s="93"/>
      <c r="MT83" s="93"/>
      <c r="MU83" s="93"/>
      <c r="MV83" s="93"/>
      <c r="MW83" s="93"/>
      <c r="MX83" s="93"/>
      <c r="MY83" s="93"/>
      <c r="MZ83" s="93"/>
      <c r="NA83" s="93"/>
      <c r="NB83" s="93"/>
      <c r="NC83" s="93"/>
      <c r="ND83" s="93"/>
      <c r="NE83" s="93"/>
      <c r="NF83" s="93"/>
      <c r="NG83" s="93"/>
      <c r="NH83" s="93"/>
      <c r="NI83" s="93"/>
      <c r="NJ83" s="93"/>
      <c r="NK83" s="93"/>
      <c r="NL83" s="93"/>
      <c r="NM83" s="93"/>
      <c r="NN83" s="93"/>
      <c r="NO83" s="93"/>
      <c r="NP83" s="93"/>
      <c r="NQ83" s="93"/>
      <c r="NR83" s="93"/>
      <c r="NS83" s="93"/>
      <c r="NT83" s="93"/>
      <c r="NU83" s="93"/>
      <c r="NV83" s="93"/>
      <c r="NW83" s="93"/>
      <c r="NX83" s="93"/>
      <c r="NY83" s="93"/>
      <c r="NZ83" s="93"/>
      <c r="OA83" s="93"/>
      <c r="OB83" s="93"/>
      <c r="OC83" s="93"/>
      <c r="OD83" s="20"/>
      <c r="OE83" s="29">
        <v>16</v>
      </c>
      <c r="OF83" s="1504">
        <v>36982</v>
      </c>
      <c r="OG83" s="19"/>
      <c r="OH83" s="93"/>
      <c r="OI83" s="93"/>
      <c r="OJ83" s="93"/>
      <c r="OK83" s="93"/>
      <c r="OL83" s="93"/>
      <c r="OM83" s="93"/>
      <c r="ON83" s="93"/>
      <c r="OO83" s="93"/>
      <c r="OP83" s="93"/>
      <c r="OQ83" s="93"/>
      <c r="OR83" s="93"/>
      <c r="OS83" s="93"/>
      <c r="OT83" s="93"/>
      <c r="OU83" s="93"/>
      <c r="OV83" s="93"/>
      <c r="OW83" s="93"/>
      <c r="OX83" s="93"/>
      <c r="OY83" s="93"/>
      <c r="OZ83" s="93"/>
      <c r="PA83" s="93"/>
      <c r="PB83" s="93"/>
      <c r="PC83" s="20"/>
      <c r="PD83" s="29">
        <v>16</v>
      </c>
      <c r="PE83" s="19"/>
      <c r="PF83" s="93"/>
      <c r="PG83" s="93"/>
      <c r="PH83" s="93"/>
      <c r="PI83" s="93"/>
      <c r="PJ83" s="93"/>
      <c r="PK83" s="93"/>
      <c r="PL83" s="93"/>
      <c r="PM83" s="93"/>
      <c r="PN83" s="93"/>
      <c r="PO83" s="93"/>
      <c r="PP83" s="93"/>
      <c r="PQ83" s="93"/>
      <c r="PR83" s="93"/>
      <c r="PS83" s="93"/>
      <c r="PT83" s="93"/>
      <c r="PU83" s="93"/>
      <c r="PV83" s="93"/>
      <c r="PW83" s="93"/>
      <c r="PX83" s="93"/>
      <c r="PY83" s="93"/>
      <c r="PZ83" s="93"/>
      <c r="QA83" s="93"/>
      <c r="QB83" s="93"/>
      <c r="QC83" s="93"/>
      <c r="QD83" s="93"/>
      <c r="QE83" s="20"/>
      <c r="QF83" s="1739">
        <v>16</v>
      </c>
      <c r="QG83" s="19"/>
      <c r="QH83" s="93"/>
      <c r="QI83" s="93"/>
      <c r="QJ83" s="93"/>
      <c r="QK83" s="93"/>
      <c r="QL83" s="93"/>
      <c r="QM83" s="93"/>
      <c r="QN83" s="93"/>
      <c r="QO83" s="93"/>
      <c r="QP83" s="93"/>
      <c r="QQ83" s="93"/>
      <c r="QR83" s="93"/>
      <c r="QS83" s="93"/>
      <c r="QT83" s="93"/>
      <c r="QU83" s="93"/>
      <c r="QV83" s="93"/>
      <c r="QW83" s="93"/>
      <c r="QX83" s="93"/>
      <c r="QY83" s="93"/>
      <c r="QZ83" s="93"/>
      <c r="RA83" s="93"/>
      <c r="RB83" s="93"/>
      <c r="RC83" s="93"/>
      <c r="RD83" s="93"/>
      <c r="RE83" s="93"/>
      <c r="RF83" s="93"/>
      <c r="RG83" s="93"/>
      <c r="RH83" s="93"/>
      <c r="RI83" s="93"/>
      <c r="RJ83" s="93"/>
      <c r="RK83" s="93"/>
      <c r="RL83" s="93"/>
      <c r="RM83" s="20"/>
      <c r="RN83" s="29">
        <v>16</v>
      </c>
      <c r="RO83" s="19"/>
      <c r="RP83" s="20"/>
      <c r="RQ83" s="29">
        <v>16</v>
      </c>
      <c r="RR83" s="20"/>
      <c r="RS83" s="29">
        <v>16</v>
      </c>
      <c r="RT83" s="1504">
        <v>36982</v>
      </c>
      <c r="RU83" s="19"/>
      <c r="RV83" s="20"/>
      <c r="RW83" s="29">
        <v>16</v>
      </c>
      <c r="RX83" s="1504">
        <v>36982</v>
      </c>
      <c r="RY83" s="29"/>
      <c r="RZ83" s="20"/>
      <c r="SA83" s="29"/>
      <c r="SB83" s="29">
        <v>16</v>
      </c>
    </row>
    <row r="84" spans="1:496">
      <c r="A84" s="41">
        <f t="shared" si="187"/>
        <v>2001</v>
      </c>
      <c r="B84" s="1504">
        <v>37012</v>
      </c>
      <c r="C84" s="1813"/>
      <c r="D84" s="1814"/>
      <c r="E84" s="1814"/>
      <c r="F84" s="1815"/>
      <c r="G84" s="1814"/>
      <c r="H84" s="1814"/>
      <c r="I84" s="1814"/>
      <c r="J84" s="1816"/>
      <c r="K84" s="1807"/>
      <c r="L84" s="25">
        <v>17</v>
      </c>
      <c r="M84" s="97"/>
      <c r="N84" s="1504">
        <v>37012</v>
      </c>
      <c r="O84" s="19"/>
      <c r="P84" s="93"/>
      <c r="Q84" s="93"/>
      <c r="R84" s="93"/>
      <c r="S84" s="93"/>
      <c r="T84" s="93"/>
      <c r="U84" s="93"/>
      <c r="V84" s="93"/>
      <c r="W84" s="93"/>
      <c r="X84" s="93"/>
      <c r="Y84" s="93"/>
      <c r="Z84" s="93"/>
      <c r="AA84" s="93"/>
      <c r="AB84" s="20"/>
      <c r="AC84" s="25">
        <v>17</v>
      </c>
      <c r="AD84" s="97"/>
      <c r="AE84" s="1504">
        <v>37012</v>
      </c>
      <c r="AF84" s="19"/>
      <c r="AG84" s="93"/>
      <c r="AH84" s="93"/>
      <c r="AI84" s="93"/>
      <c r="AJ84" s="93"/>
      <c r="AK84" s="93"/>
      <c r="AL84" s="93"/>
      <c r="AM84" s="93"/>
      <c r="AN84" s="93"/>
      <c r="AO84" s="93"/>
      <c r="AP84" s="93"/>
      <c r="AQ84" s="93"/>
      <c r="AR84" s="93"/>
      <c r="AS84" s="20"/>
      <c r="AT84" s="25">
        <v>17</v>
      </c>
      <c r="AU84" s="97"/>
      <c r="AV84" s="1504">
        <v>37012</v>
      </c>
      <c r="AW84" s="19"/>
      <c r="AX84" s="93"/>
      <c r="AY84" s="93"/>
      <c r="AZ84" s="93"/>
      <c r="BA84" s="93"/>
      <c r="BB84" s="93"/>
      <c r="BC84" s="93"/>
      <c r="BD84" s="93"/>
      <c r="BE84" s="93"/>
      <c r="BF84" s="93"/>
      <c r="BG84" s="93"/>
      <c r="BH84" s="93"/>
      <c r="BI84" s="93"/>
      <c r="BJ84" s="20"/>
      <c r="BK84" s="25">
        <v>17</v>
      </c>
      <c r="BL84" s="97"/>
      <c r="BM84" s="1504">
        <v>37012</v>
      </c>
      <c r="BN84" s="19"/>
      <c r="BO84" s="93"/>
      <c r="BP84" s="93"/>
      <c r="BQ84" s="93"/>
      <c r="BR84" s="93"/>
      <c r="BS84" s="93"/>
      <c r="BT84" s="93"/>
      <c r="BU84" s="20"/>
      <c r="BV84" s="25">
        <v>17</v>
      </c>
      <c r="BW84" s="97"/>
      <c r="BX84" s="1504">
        <v>37012</v>
      </c>
      <c r="BY84" s="19"/>
      <c r="BZ84" s="99">
        <v>664.95699999999999</v>
      </c>
      <c r="CA84" s="93"/>
      <c r="CB84" s="93"/>
      <c r="CC84" s="93"/>
      <c r="CD84" s="25">
        <v>17</v>
      </c>
      <c r="CE84" s="97"/>
      <c r="CF84" s="1504">
        <v>37012</v>
      </c>
      <c r="CG84" s="19">
        <v>1.1013999999999999</v>
      </c>
      <c r="CH84" s="93">
        <v>272.36</v>
      </c>
      <c r="CI84" s="219"/>
      <c r="CJ84" s="20"/>
      <c r="CK84" s="19"/>
      <c r="CL84" s="93"/>
      <c r="CM84" s="93"/>
      <c r="CN84" s="93"/>
      <c r="CO84" s="93"/>
      <c r="CP84" s="20"/>
      <c r="CQ84" s="219">
        <v>727.53</v>
      </c>
      <c r="CR84" s="93">
        <v>1.4624999999999999</v>
      </c>
      <c r="CS84" s="93"/>
      <c r="CT84" s="93"/>
      <c r="CU84" s="93"/>
      <c r="CV84" s="214"/>
      <c r="CW84" s="29">
        <v>17</v>
      </c>
      <c r="CX84" s="41">
        <f t="shared" si="188"/>
        <v>2001</v>
      </c>
      <c r="CY84" s="1504">
        <v>37012</v>
      </c>
      <c r="CZ84" s="733">
        <v>37.761483999999996</v>
      </c>
      <c r="DA84" s="570">
        <v>21.779160999999998</v>
      </c>
      <c r="DB84" s="570">
        <v>15.982322999999999</v>
      </c>
      <c r="DC84" s="93"/>
      <c r="DD84" s="93"/>
      <c r="DE84" s="20"/>
      <c r="DF84" s="29">
        <v>17</v>
      </c>
      <c r="DG84" s="1504">
        <v>37012</v>
      </c>
      <c r="DH84" s="19"/>
      <c r="DI84" s="93"/>
      <c r="DJ84" s="93"/>
      <c r="DK84" s="93"/>
      <c r="DL84" s="93"/>
      <c r="DM84" s="93"/>
      <c r="DN84" s="20"/>
      <c r="DO84" s="25"/>
      <c r="DP84" s="29">
        <v>17</v>
      </c>
      <c r="DQ84" s="1504">
        <v>37012</v>
      </c>
      <c r="DR84" s="19"/>
      <c r="DS84" s="93"/>
      <c r="DT84" s="93"/>
      <c r="DU84" s="93"/>
      <c r="DV84" s="93"/>
      <c r="DW84" s="93"/>
      <c r="DX84" s="20"/>
      <c r="DY84" s="29">
        <v>17</v>
      </c>
      <c r="DZ84" s="1504">
        <v>37012</v>
      </c>
      <c r="EA84" s="19"/>
      <c r="EB84" s="93"/>
      <c r="EC84" s="20"/>
      <c r="ED84" s="29">
        <v>17</v>
      </c>
      <c r="EE84" s="1504">
        <v>37012</v>
      </c>
      <c r="EF84" s="19"/>
      <c r="EG84" s="93"/>
      <c r="EH84" s="93"/>
      <c r="EI84" s="214"/>
      <c r="EJ84" s="93"/>
      <c r="EK84" s="93"/>
      <c r="EL84" s="93"/>
      <c r="EM84" s="93"/>
      <c r="EN84" s="20"/>
      <c r="EO84" s="29">
        <v>17</v>
      </c>
      <c r="EP84" s="1504">
        <v>37012</v>
      </c>
      <c r="EQ84" s="19"/>
      <c r="ER84" s="93"/>
      <c r="ES84" s="93"/>
      <c r="ET84" s="214"/>
      <c r="EU84" s="93"/>
      <c r="EV84" s="93"/>
      <c r="EW84" s="93"/>
      <c r="EX84" s="93"/>
      <c r="EY84" s="20"/>
      <c r="EZ84" s="29">
        <v>17</v>
      </c>
      <c r="FA84" s="1504">
        <v>37012</v>
      </c>
      <c r="FB84" s="29"/>
      <c r="FC84" s="29"/>
      <c r="FD84" s="29"/>
      <c r="FE84" s="29"/>
      <c r="FF84" s="29"/>
      <c r="FG84" s="29"/>
      <c r="FH84" s="29"/>
      <c r="FI84" s="29"/>
      <c r="FJ84" s="29"/>
      <c r="FK84" s="29">
        <v>17</v>
      </c>
      <c r="FL84" s="1504">
        <v>37012</v>
      </c>
      <c r="FM84" s="19"/>
      <c r="FN84" s="93"/>
      <c r="FO84" s="93"/>
      <c r="FP84" s="93"/>
      <c r="FQ84" s="93"/>
      <c r="FR84" s="93"/>
      <c r="FS84" s="93"/>
      <c r="FT84" s="93"/>
      <c r="FU84" s="93"/>
      <c r="FV84" s="93"/>
      <c r="FW84" s="93"/>
      <c r="FX84" s="93"/>
      <c r="FY84" s="93"/>
      <c r="FZ84" s="29">
        <v>17</v>
      </c>
      <c r="GA84" s="1504">
        <v>37012</v>
      </c>
      <c r="GB84" s="19"/>
      <c r="GC84" s="93"/>
      <c r="GD84" s="93"/>
      <c r="GE84" s="93"/>
      <c r="GF84" s="93"/>
      <c r="GG84" s="93"/>
      <c r="GH84" s="93"/>
      <c r="GI84" s="93"/>
      <c r="GJ84" s="93"/>
      <c r="GK84" s="93"/>
      <c r="GL84" s="93"/>
      <c r="GM84" s="93"/>
      <c r="GN84" s="20"/>
      <c r="GO84" s="29">
        <v>17</v>
      </c>
      <c r="GP84" s="1504">
        <v>37012</v>
      </c>
      <c r="GQ84" s="19"/>
      <c r="GR84" s="93"/>
      <c r="GS84" s="93"/>
      <c r="GT84" s="93"/>
      <c r="GU84" s="93"/>
      <c r="GV84" s="20"/>
      <c r="GW84" s="19"/>
      <c r="GX84" s="93"/>
      <c r="GY84" s="93"/>
      <c r="GZ84" s="93"/>
      <c r="HA84" s="93"/>
      <c r="HB84" s="20"/>
      <c r="HC84" s="19"/>
      <c r="HD84" s="93"/>
      <c r="HE84" s="93"/>
      <c r="HF84" s="93"/>
      <c r="HG84" s="93"/>
      <c r="HH84" s="20"/>
      <c r="HI84" s="19"/>
      <c r="HJ84" s="93"/>
      <c r="HK84" s="93"/>
      <c r="HL84" s="93"/>
      <c r="HM84" s="93"/>
      <c r="HN84" s="20"/>
      <c r="HO84" s="219"/>
      <c r="HP84" s="20"/>
      <c r="HQ84" s="25"/>
      <c r="HR84" s="29">
        <v>17</v>
      </c>
      <c r="HS84" s="1504">
        <v>37012</v>
      </c>
      <c r="HT84" s="19"/>
      <c r="HU84" s="93"/>
      <c r="HV84" s="93"/>
      <c r="HW84" s="93"/>
      <c r="HX84" s="93"/>
      <c r="HY84" s="93"/>
      <c r="HZ84" s="93"/>
      <c r="IA84" s="20"/>
      <c r="IB84" s="19"/>
      <c r="IC84" s="93"/>
      <c r="ID84" s="93"/>
      <c r="IE84" s="93"/>
      <c r="IF84" s="93"/>
      <c r="IG84" s="20"/>
      <c r="IH84" s="19"/>
      <c r="II84" s="93"/>
      <c r="IJ84" s="93"/>
      <c r="IK84" s="93"/>
      <c r="IL84" s="93"/>
      <c r="IM84" s="93"/>
      <c r="IN84" s="93"/>
      <c r="IO84" s="20"/>
      <c r="IP84" s="29">
        <v>17</v>
      </c>
      <c r="IQ84" s="19"/>
      <c r="IR84" s="93"/>
      <c r="IS84" s="93"/>
      <c r="IT84" s="93"/>
      <c r="IU84" s="93"/>
      <c r="IV84" s="20"/>
      <c r="IW84" s="29">
        <v>17</v>
      </c>
      <c r="IX84" s="19"/>
      <c r="IY84" s="93"/>
      <c r="IZ84" s="93"/>
      <c r="JA84" s="93"/>
      <c r="JB84" s="93"/>
      <c r="JC84" s="93"/>
      <c r="JD84" s="93"/>
      <c r="JE84" s="20"/>
      <c r="JF84" s="29">
        <v>17</v>
      </c>
      <c r="JG84" s="19"/>
      <c r="JH84" s="93"/>
      <c r="JI84" s="93"/>
      <c r="JJ84" s="93"/>
      <c r="JK84" s="93"/>
      <c r="JL84" s="93"/>
      <c r="JM84" s="93"/>
      <c r="JN84" s="20"/>
      <c r="JO84" s="29">
        <v>17</v>
      </c>
      <c r="JP84" s="19"/>
      <c r="JQ84" s="93"/>
      <c r="JR84" s="93"/>
      <c r="JS84" s="93"/>
      <c r="JT84" s="93"/>
      <c r="JU84" s="20"/>
      <c r="JV84" s="29">
        <v>17</v>
      </c>
      <c r="JW84" s="1504">
        <v>37012</v>
      </c>
      <c r="JX84" s="19"/>
      <c r="JY84" s="93"/>
      <c r="JZ84" s="93"/>
      <c r="KA84" s="93"/>
      <c r="KB84" s="93"/>
      <c r="KC84" s="93"/>
      <c r="KD84" s="20"/>
      <c r="KE84" s="29">
        <v>17</v>
      </c>
      <c r="KF84" s="19"/>
      <c r="KG84" s="93"/>
      <c r="KH84" s="93"/>
      <c r="KI84" s="93"/>
      <c r="KJ84" s="93"/>
      <c r="KK84" s="20"/>
      <c r="KL84" s="29">
        <v>17</v>
      </c>
      <c r="KM84" s="19"/>
      <c r="KN84" s="93"/>
      <c r="KO84" s="93"/>
      <c r="KP84" s="93"/>
      <c r="KQ84" s="93"/>
      <c r="KR84" s="20"/>
      <c r="KS84" s="29">
        <v>17</v>
      </c>
      <c r="KT84" s="19"/>
      <c r="KU84" s="93"/>
      <c r="KV84" s="93"/>
      <c r="KW84" s="93"/>
      <c r="KX84" s="93"/>
      <c r="KY84" s="20"/>
      <c r="KZ84" s="29">
        <v>17</v>
      </c>
      <c r="LA84" s="1504">
        <v>37012</v>
      </c>
      <c r="LB84" s="19"/>
      <c r="LC84" s="93"/>
      <c r="LD84" s="93"/>
      <c r="LE84" s="93"/>
      <c r="LF84" s="93"/>
      <c r="LG84" s="93"/>
      <c r="LH84" s="20"/>
      <c r="LI84" s="29">
        <v>17</v>
      </c>
      <c r="LJ84" s="19"/>
      <c r="LK84" s="93"/>
      <c r="LL84" s="93"/>
      <c r="LM84" s="93"/>
      <c r="LN84" s="93"/>
      <c r="LO84" s="20"/>
      <c r="LP84" s="29">
        <v>17</v>
      </c>
      <c r="LQ84" s="19"/>
      <c r="LR84" s="93"/>
      <c r="LS84" s="93"/>
      <c r="LT84" s="93"/>
      <c r="LU84" s="93"/>
      <c r="LV84" s="93"/>
      <c r="LW84" s="93"/>
      <c r="LX84" s="93"/>
      <c r="LY84" s="93"/>
      <c r="LZ84" s="93"/>
      <c r="MA84" s="20"/>
      <c r="MB84" s="29">
        <v>17</v>
      </c>
      <c r="MC84" s="1504">
        <v>37012</v>
      </c>
      <c r="MD84" s="19"/>
      <c r="ME84" s="93"/>
      <c r="MF84" s="93"/>
      <c r="MG84" s="93"/>
      <c r="MH84" s="93"/>
      <c r="MI84" s="93"/>
      <c r="MJ84" s="93"/>
      <c r="MK84" s="93"/>
      <c r="ML84" s="93"/>
      <c r="MM84" s="93"/>
      <c r="MN84" s="93"/>
      <c r="MO84" s="93"/>
      <c r="MP84" s="93"/>
      <c r="MQ84" s="93"/>
      <c r="MR84" s="93"/>
      <c r="MS84" s="93"/>
      <c r="MT84" s="93"/>
      <c r="MU84" s="93"/>
      <c r="MV84" s="93"/>
      <c r="MW84" s="93"/>
      <c r="MX84" s="93"/>
      <c r="MY84" s="93"/>
      <c r="MZ84" s="93"/>
      <c r="NA84" s="93"/>
      <c r="NB84" s="93"/>
      <c r="NC84" s="93"/>
      <c r="ND84" s="93"/>
      <c r="NE84" s="93"/>
      <c r="NF84" s="93"/>
      <c r="NG84" s="93"/>
      <c r="NH84" s="93"/>
      <c r="NI84" s="93"/>
      <c r="NJ84" s="93"/>
      <c r="NK84" s="93"/>
      <c r="NL84" s="93"/>
      <c r="NM84" s="93"/>
      <c r="NN84" s="93"/>
      <c r="NO84" s="93"/>
      <c r="NP84" s="93"/>
      <c r="NQ84" s="93"/>
      <c r="NR84" s="93"/>
      <c r="NS84" s="93"/>
      <c r="NT84" s="93"/>
      <c r="NU84" s="93"/>
      <c r="NV84" s="93"/>
      <c r="NW84" s="93"/>
      <c r="NX84" s="93"/>
      <c r="NY84" s="93"/>
      <c r="NZ84" s="93"/>
      <c r="OA84" s="93"/>
      <c r="OB84" s="93"/>
      <c r="OC84" s="93"/>
      <c r="OD84" s="20"/>
      <c r="OE84" s="29">
        <v>17</v>
      </c>
      <c r="OF84" s="1504">
        <v>37012</v>
      </c>
      <c r="OG84" s="19"/>
      <c r="OH84" s="93"/>
      <c r="OI84" s="93"/>
      <c r="OJ84" s="93"/>
      <c r="OK84" s="93"/>
      <c r="OL84" s="93"/>
      <c r="OM84" s="93"/>
      <c r="ON84" s="93"/>
      <c r="OO84" s="93"/>
      <c r="OP84" s="93"/>
      <c r="OQ84" s="93"/>
      <c r="OR84" s="93"/>
      <c r="OS84" s="93"/>
      <c r="OT84" s="93"/>
      <c r="OU84" s="93"/>
      <c r="OV84" s="93"/>
      <c r="OW84" s="93"/>
      <c r="OX84" s="93"/>
      <c r="OY84" s="93"/>
      <c r="OZ84" s="93"/>
      <c r="PA84" s="93"/>
      <c r="PB84" s="93"/>
      <c r="PC84" s="20"/>
      <c r="PD84" s="29">
        <v>17</v>
      </c>
      <c r="PE84" s="19"/>
      <c r="PF84" s="93"/>
      <c r="PG84" s="93"/>
      <c r="PH84" s="93"/>
      <c r="PI84" s="93"/>
      <c r="PJ84" s="93"/>
      <c r="PK84" s="93"/>
      <c r="PL84" s="93"/>
      <c r="PM84" s="93"/>
      <c r="PN84" s="93"/>
      <c r="PO84" s="93"/>
      <c r="PP84" s="93"/>
      <c r="PQ84" s="93"/>
      <c r="PR84" s="93"/>
      <c r="PS84" s="93"/>
      <c r="PT84" s="93"/>
      <c r="PU84" s="93"/>
      <c r="PV84" s="93"/>
      <c r="PW84" s="93"/>
      <c r="PX84" s="93"/>
      <c r="PY84" s="93"/>
      <c r="PZ84" s="93"/>
      <c r="QA84" s="93"/>
      <c r="QB84" s="93"/>
      <c r="QC84" s="93"/>
      <c r="QD84" s="93"/>
      <c r="QE84" s="20"/>
      <c r="QF84" s="1739">
        <v>17</v>
      </c>
      <c r="QG84" s="19"/>
      <c r="QH84" s="93"/>
      <c r="QI84" s="93"/>
      <c r="QJ84" s="93"/>
      <c r="QK84" s="93"/>
      <c r="QL84" s="93"/>
      <c r="QM84" s="93"/>
      <c r="QN84" s="93"/>
      <c r="QO84" s="93"/>
      <c r="QP84" s="93"/>
      <c r="QQ84" s="93"/>
      <c r="QR84" s="93"/>
      <c r="QS84" s="93"/>
      <c r="QT84" s="93"/>
      <c r="QU84" s="93"/>
      <c r="QV84" s="93"/>
      <c r="QW84" s="93"/>
      <c r="QX84" s="93"/>
      <c r="QY84" s="93"/>
      <c r="QZ84" s="93"/>
      <c r="RA84" s="93"/>
      <c r="RB84" s="93"/>
      <c r="RC84" s="93"/>
      <c r="RD84" s="93"/>
      <c r="RE84" s="93"/>
      <c r="RF84" s="93"/>
      <c r="RG84" s="93"/>
      <c r="RH84" s="93"/>
      <c r="RI84" s="93"/>
      <c r="RJ84" s="93"/>
      <c r="RK84" s="93"/>
      <c r="RL84" s="93"/>
      <c r="RM84" s="20"/>
      <c r="RN84" s="29">
        <v>17</v>
      </c>
      <c r="RO84" s="19"/>
      <c r="RP84" s="20"/>
      <c r="RQ84" s="29">
        <v>17</v>
      </c>
      <c r="RR84" s="20"/>
      <c r="RS84" s="29">
        <v>17</v>
      </c>
      <c r="RT84" s="1504">
        <v>37012</v>
      </c>
      <c r="RU84" s="19"/>
      <c r="RV84" s="20"/>
      <c r="RW84" s="29">
        <v>17</v>
      </c>
      <c r="RX84" s="1504">
        <v>37012</v>
      </c>
      <c r="RY84" s="29"/>
      <c r="RZ84" s="20"/>
      <c r="SA84" s="29"/>
      <c r="SB84" s="29">
        <v>17</v>
      </c>
    </row>
    <row r="85" spans="1:496">
      <c r="A85" s="41">
        <f t="shared" si="187"/>
        <v>2001</v>
      </c>
      <c r="B85" s="1504">
        <v>37043</v>
      </c>
      <c r="C85" s="1813"/>
      <c r="D85" s="1814"/>
      <c r="E85" s="1814"/>
      <c r="F85" s="1815"/>
      <c r="G85" s="1814"/>
      <c r="H85" s="1814"/>
      <c r="I85" s="1814"/>
      <c r="J85" s="1816"/>
      <c r="K85" s="1807"/>
      <c r="L85" s="25">
        <v>18</v>
      </c>
      <c r="M85" s="97"/>
      <c r="N85" s="1504">
        <v>37043</v>
      </c>
      <c r="O85" s="19"/>
      <c r="P85" s="93"/>
      <c r="Q85" s="93"/>
      <c r="R85" s="93"/>
      <c r="S85" s="93"/>
      <c r="T85" s="93"/>
      <c r="U85" s="93"/>
      <c r="V85" s="93"/>
      <c r="W85" s="93"/>
      <c r="X85" s="93"/>
      <c r="Y85" s="93"/>
      <c r="Z85" s="93"/>
      <c r="AA85" s="93"/>
      <c r="AB85" s="20"/>
      <c r="AC85" s="25">
        <v>18</v>
      </c>
      <c r="AD85" s="97"/>
      <c r="AE85" s="1504">
        <v>37043</v>
      </c>
      <c r="AF85" s="19"/>
      <c r="AG85" s="93"/>
      <c r="AH85" s="93"/>
      <c r="AI85" s="93"/>
      <c r="AJ85" s="93"/>
      <c r="AK85" s="93"/>
      <c r="AL85" s="93"/>
      <c r="AM85" s="93"/>
      <c r="AN85" s="93"/>
      <c r="AO85" s="93"/>
      <c r="AP85" s="93"/>
      <c r="AQ85" s="93"/>
      <c r="AR85" s="93"/>
      <c r="AS85" s="20"/>
      <c r="AT85" s="25">
        <v>18</v>
      </c>
      <c r="AU85" s="97"/>
      <c r="AV85" s="1504">
        <v>37043</v>
      </c>
      <c r="AW85" s="19"/>
      <c r="AX85" s="93"/>
      <c r="AY85" s="93"/>
      <c r="AZ85" s="93"/>
      <c r="BA85" s="93"/>
      <c r="BB85" s="93"/>
      <c r="BC85" s="93"/>
      <c r="BD85" s="93"/>
      <c r="BE85" s="93"/>
      <c r="BF85" s="93"/>
      <c r="BG85" s="93"/>
      <c r="BH85" s="93"/>
      <c r="BI85" s="93"/>
      <c r="BJ85" s="20"/>
      <c r="BK85" s="25">
        <v>18</v>
      </c>
      <c r="BL85" s="97"/>
      <c r="BM85" s="1504">
        <v>37043</v>
      </c>
      <c r="BN85" s="19"/>
      <c r="BO85" s="93"/>
      <c r="BP85" s="93"/>
      <c r="BQ85" s="93"/>
      <c r="BR85" s="93"/>
      <c r="BS85" s="93"/>
      <c r="BT85" s="93"/>
      <c r="BU85" s="20"/>
      <c r="BV85" s="25">
        <v>18</v>
      </c>
      <c r="BW85" s="97"/>
      <c r="BX85" s="1504">
        <v>37043</v>
      </c>
      <c r="BY85" s="19"/>
      <c r="BZ85" s="99">
        <v>664.95699999999999</v>
      </c>
      <c r="CA85" s="93"/>
      <c r="CB85" s="93"/>
      <c r="CC85" s="93"/>
      <c r="CD85" s="25">
        <v>18</v>
      </c>
      <c r="CE85" s="97"/>
      <c r="CF85" s="1504">
        <v>37043</v>
      </c>
      <c r="CG85" s="19">
        <v>1.0465</v>
      </c>
      <c r="CH85" s="93">
        <v>270.23</v>
      </c>
      <c r="CI85" s="219"/>
      <c r="CJ85" s="20"/>
      <c r="CK85" s="19"/>
      <c r="CL85" s="93"/>
      <c r="CM85" s="93"/>
      <c r="CN85" s="93"/>
      <c r="CO85" s="93"/>
      <c r="CP85" s="20"/>
      <c r="CQ85" s="219">
        <v>727.53</v>
      </c>
      <c r="CR85" s="93">
        <v>1.425</v>
      </c>
      <c r="CS85" s="93"/>
      <c r="CT85" s="93"/>
      <c r="CU85" s="93"/>
      <c r="CV85" s="214"/>
      <c r="CW85" s="29">
        <v>18</v>
      </c>
      <c r="CX85" s="41">
        <f t="shared" si="188"/>
        <v>2001</v>
      </c>
      <c r="CY85" s="1504">
        <v>37043</v>
      </c>
      <c r="CZ85" s="733">
        <v>33.471905999999997</v>
      </c>
      <c r="DA85" s="570">
        <v>20.904136999999999</v>
      </c>
      <c r="DB85" s="570">
        <v>12.567769</v>
      </c>
      <c r="DC85" s="93"/>
      <c r="DD85" s="93"/>
      <c r="DE85" s="20"/>
      <c r="DF85" s="29">
        <v>18</v>
      </c>
      <c r="DG85" s="1504">
        <v>37043</v>
      </c>
      <c r="DH85" s="19"/>
      <c r="DI85" s="93"/>
      <c r="DJ85" s="93"/>
      <c r="DK85" s="93"/>
      <c r="DL85" s="93"/>
      <c r="DM85" s="93"/>
      <c r="DN85" s="20"/>
      <c r="DO85" s="25"/>
      <c r="DP85" s="29">
        <v>18</v>
      </c>
      <c r="DQ85" s="1504">
        <v>37043</v>
      </c>
      <c r="DR85" s="19"/>
      <c r="DS85" s="93"/>
      <c r="DT85" s="93"/>
      <c r="DU85" s="93"/>
      <c r="DV85" s="93"/>
      <c r="DW85" s="93"/>
      <c r="DX85" s="20"/>
      <c r="DY85" s="29">
        <v>18</v>
      </c>
      <c r="DZ85" s="1504">
        <v>37043</v>
      </c>
      <c r="EA85" s="19"/>
      <c r="EB85" s="93"/>
      <c r="EC85" s="20"/>
      <c r="ED85" s="29">
        <v>18</v>
      </c>
      <c r="EE85" s="1504">
        <v>37043</v>
      </c>
      <c r="EF85" s="19"/>
      <c r="EG85" s="93"/>
      <c r="EH85" s="93"/>
      <c r="EI85" s="214"/>
      <c r="EJ85" s="93"/>
      <c r="EK85" s="93"/>
      <c r="EL85" s="93"/>
      <c r="EM85" s="93"/>
      <c r="EN85" s="20"/>
      <c r="EO85" s="29">
        <v>18</v>
      </c>
      <c r="EP85" s="1504">
        <v>37043</v>
      </c>
      <c r="EQ85" s="19"/>
      <c r="ER85" s="93"/>
      <c r="ES85" s="93"/>
      <c r="ET85" s="214"/>
      <c r="EU85" s="93"/>
      <c r="EV85" s="93"/>
      <c r="EW85" s="93"/>
      <c r="EX85" s="93"/>
      <c r="EY85" s="20"/>
      <c r="EZ85" s="29">
        <v>18</v>
      </c>
      <c r="FA85" s="1504">
        <v>37043</v>
      </c>
      <c r="FB85" s="29"/>
      <c r="FC85" s="29"/>
      <c r="FD85" s="29"/>
      <c r="FE85" s="29"/>
      <c r="FF85" s="29"/>
      <c r="FG85" s="29"/>
      <c r="FH85" s="29"/>
      <c r="FI85" s="29"/>
      <c r="FJ85" s="29"/>
      <c r="FK85" s="29">
        <v>18</v>
      </c>
      <c r="FL85" s="1504">
        <v>37043</v>
      </c>
      <c r="FM85" s="19"/>
      <c r="FN85" s="93"/>
      <c r="FO85" s="93"/>
      <c r="FP85" s="93"/>
      <c r="FQ85" s="93"/>
      <c r="FR85" s="93"/>
      <c r="FS85" s="93"/>
      <c r="FT85" s="93"/>
      <c r="FU85" s="93"/>
      <c r="FV85" s="93"/>
      <c r="FW85" s="93"/>
      <c r="FX85" s="93"/>
      <c r="FY85" s="93"/>
      <c r="FZ85" s="29">
        <v>18</v>
      </c>
      <c r="GA85" s="1504">
        <v>37043</v>
      </c>
      <c r="GB85" s="19"/>
      <c r="GC85" s="93"/>
      <c r="GD85" s="93"/>
      <c r="GE85" s="93"/>
      <c r="GF85" s="93"/>
      <c r="GG85" s="93"/>
      <c r="GH85" s="93"/>
      <c r="GI85" s="93"/>
      <c r="GJ85" s="93"/>
      <c r="GK85" s="93"/>
      <c r="GL85" s="93"/>
      <c r="GM85" s="93"/>
      <c r="GN85" s="20"/>
      <c r="GO85" s="29">
        <v>18</v>
      </c>
      <c r="GP85" s="1504">
        <v>37043</v>
      </c>
      <c r="GQ85" s="19"/>
      <c r="GR85" s="93"/>
      <c r="GS85" s="93"/>
      <c r="GT85" s="93"/>
      <c r="GU85" s="93"/>
      <c r="GV85" s="20"/>
      <c r="GW85" s="19"/>
      <c r="GX85" s="93"/>
      <c r="GY85" s="93"/>
      <c r="GZ85" s="93"/>
      <c r="HA85" s="93"/>
      <c r="HB85" s="20"/>
      <c r="HC85" s="19"/>
      <c r="HD85" s="93"/>
      <c r="HE85" s="93"/>
      <c r="HF85" s="93"/>
      <c r="HG85" s="93"/>
      <c r="HH85" s="20"/>
      <c r="HI85" s="19"/>
      <c r="HJ85" s="93"/>
      <c r="HK85" s="93"/>
      <c r="HL85" s="93"/>
      <c r="HM85" s="93"/>
      <c r="HN85" s="20"/>
      <c r="HO85" s="219"/>
      <c r="HP85" s="20"/>
      <c r="HQ85" s="25"/>
      <c r="HR85" s="29">
        <v>18</v>
      </c>
      <c r="HS85" s="1504">
        <v>37043</v>
      </c>
      <c r="HT85" s="19"/>
      <c r="HU85" s="93"/>
      <c r="HV85" s="93"/>
      <c r="HW85" s="93"/>
      <c r="HX85" s="93"/>
      <c r="HY85" s="93"/>
      <c r="HZ85" s="93"/>
      <c r="IA85" s="20"/>
      <c r="IB85" s="19"/>
      <c r="IC85" s="93"/>
      <c r="ID85" s="93"/>
      <c r="IE85" s="93"/>
      <c r="IF85" s="93"/>
      <c r="IG85" s="20"/>
      <c r="IH85" s="19"/>
      <c r="II85" s="93"/>
      <c r="IJ85" s="93"/>
      <c r="IK85" s="93"/>
      <c r="IL85" s="93"/>
      <c r="IM85" s="93"/>
      <c r="IN85" s="93"/>
      <c r="IO85" s="20"/>
      <c r="IP85" s="29">
        <v>18</v>
      </c>
      <c r="IQ85" s="19"/>
      <c r="IR85" s="93"/>
      <c r="IS85" s="93"/>
      <c r="IT85" s="93"/>
      <c r="IU85" s="93"/>
      <c r="IV85" s="20"/>
      <c r="IW85" s="29">
        <v>18</v>
      </c>
      <c r="IX85" s="19"/>
      <c r="IY85" s="93"/>
      <c r="IZ85" s="93"/>
      <c r="JA85" s="93"/>
      <c r="JB85" s="93"/>
      <c r="JC85" s="93"/>
      <c r="JD85" s="93"/>
      <c r="JE85" s="20"/>
      <c r="JF85" s="29">
        <v>18</v>
      </c>
      <c r="JG85" s="19"/>
      <c r="JH85" s="93"/>
      <c r="JI85" s="93"/>
      <c r="JJ85" s="93"/>
      <c r="JK85" s="93"/>
      <c r="JL85" s="93"/>
      <c r="JM85" s="93"/>
      <c r="JN85" s="20"/>
      <c r="JO85" s="29">
        <v>18</v>
      </c>
      <c r="JP85" s="19"/>
      <c r="JQ85" s="93"/>
      <c r="JR85" s="93"/>
      <c r="JS85" s="93"/>
      <c r="JT85" s="93"/>
      <c r="JU85" s="20"/>
      <c r="JV85" s="29">
        <v>18</v>
      </c>
      <c r="JW85" s="1504">
        <v>37043</v>
      </c>
      <c r="JX85" s="19"/>
      <c r="JY85" s="93"/>
      <c r="JZ85" s="93"/>
      <c r="KA85" s="93"/>
      <c r="KB85" s="93"/>
      <c r="KC85" s="93"/>
      <c r="KD85" s="20"/>
      <c r="KE85" s="29">
        <v>18</v>
      </c>
      <c r="KF85" s="19"/>
      <c r="KG85" s="93"/>
      <c r="KH85" s="93"/>
      <c r="KI85" s="93"/>
      <c r="KJ85" s="93"/>
      <c r="KK85" s="20"/>
      <c r="KL85" s="29">
        <v>18</v>
      </c>
      <c r="KM85" s="19"/>
      <c r="KN85" s="93"/>
      <c r="KO85" s="93"/>
      <c r="KP85" s="93"/>
      <c r="KQ85" s="93"/>
      <c r="KR85" s="20"/>
      <c r="KS85" s="29">
        <v>18</v>
      </c>
      <c r="KT85" s="19"/>
      <c r="KU85" s="93"/>
      <c r="KV85" s="93"/>
      <c r="KW85" s="93"/>
      <c r="KX85" s="93"/>
      <c r="KY85" s="20"/>
      <c r="KZ85" s="29">
        <v>18</v>
      </c>
      <c r="LA85" s="1504">
        <v>37043</v>
      </c>
      <c r="LB85" s="19"/>
      <c r="LC85" s="93"/>
      <c r="LD85" s="93"/>
      <c r="LE85" s="93"/>
      <c r="LF85" s="93"/>
      <c r="LG85" s="93"/>
      <c r="LH85" s="20"/>
      <c r="LI85" s="29">
        <v>18</v>
      </c>
      <c r="LJ85" s="19"/>
      <c r="LK85" s="93"/>
      <c r="LL85" s="93"/>
      <c r="LM85" s="93"/>
      <c r="LN85" s="93"/>
      <c r="LO85" s="20"/>
      <c r="LP85" s="29">
        <v>18</v>
      </c>
      <c r="LQ85" s="19"/>
      <c r="LR85" s="93"/>
      <c r="LS85" s="93"/>
      <c r="LT85" s="93"/>
      <c r="LU85" s="93"/>
      <c r="LV85" s="93"/>
      <c r="LW85" s="93"/>
      <c r="LX85" s="93"/>
      <c r="LY85" s="93"/>
      <c r="LZ85" s="93"/>
      <c r="MA85" s="20"/>
      <c r="MB85" s="29">
        <v>18</v>
      </c>
      <c r="MC85" s="1504">
        <v>37043</v>
      </c>
      <c r="MD85" s="19"/>
      <c r="ME85" s="93"/>
      <c r="MF85" s="93"/>
      <c r="MG85" s="93"/>
      <c r="MH85" s="93"/>
      <c r="MI85" s="93"/>
      <c r="MJ85" s="93"/>
      <c r="MK85" s="93"/>
      <c r="ML85" s="93"/>
      <c r="MM85" s="93"/>
      <c r="MN85" s="93"/>
      <c r="MO85" s="93"/>
      <c r="MP85" s="93"/>
      <c r="MQ85" s="93"/>
      <c r="MR85" s="93"/>
      <c r="MS85" s="93"/>
      <c r="MT85" s="93"/>
      <c r="MU85" s="93"/>
      <c r="MV85" s="93"/>
      <c r="MW85" s="93"/>
      <c r="MX85" s="93"/>
      <c r="MY85" s="93"/>
      <c r="MZ85" s="93"/>
      <c r="NA85" s="93"/>
      <c r="NB85" s="93"/>
      <c r="NC85" s="93"/>
      <c r="ND85" s="93"/>
      <c r="NE85" s="93"/>
      <c r="NF85" s="93"/>
      <c r="NG85" s="93"/>
      <c r="NH85" s="93"/>
      <c r="NI85" s="93"/>
      <c r="NJ85" s="93"/>
      <c r="NK85" s="93"/>
      <c r="NL85" s="93"/>
      <c r="NM85" s="93"/>
      <c r="NN85" s="93"/>
      <c r="NO85" s="93"/>
      <c r="NP85" s="93"/>
      <c r="NQ85" s="93"/>
      <c r="NR85" s="93"/>
      <c r="NS85" s="93"/>
      <c r="NT85" s="93"/>
      <c r="NU85" s="93"/>
      <c r="NV85" s="93"/>
      <c r="NW85" s="93"/>
      <c r="NX85" s="93"/>
      <c r="NY85" s="93"/>
      <c r="NZ85" s="93"/>
      <c r="OA85" s="93"/>
      <c r="OB85" s="93"/>
      <c r="OC85" s="93"/>
      <c r="OD85" s="20"/>
      <c r="OE85" s="29">
        <v>18</v>
      </c>
      <c r="OF85" s="1504">
        <v>37043</v>
      </c>
      <c r="OG85" s="19"/>
      <c r="OH85" s="93"/>
      <c r="OI85" s="93"/>
      <c r="OJ85" s="93"/>
      <c r="OK85" s="93"/>
      <c r="OL85" s="93"/>
      <c r="OM85" s="93"/>
      <c r="ON85" s="93"/>
      <c r="OO85" s="93"/>
      <c r="OP85" s="93"/>
      <c r="OQ85" s="93"/>
      <c r="OR85" s="93"/>
      <c r="OS85" s="93"/>
      <c r="OT85" s="93"/>
      <c r="OU85" s="93"/>
      <c r="OV85" s="93"/>
      <c r="OW85" s="93"/>
      <c r="OX85" s="93"/>
      <c r="OY85" s="93"/>
      <c r="OZ85" s="93"/>
      <c r="PA85" s="93"/>
      <c r="PB85" s="93"/>
      <c r="PC85" s="20"/>
      <c r="PD85" s="29">
        <v>18</v>
      </c>
      <c r="PE85" s="19"/>
      <c r="PF85" s="93"/>
      <c r="PG85" s="93"/>
      <c r="PH85" s="93"/>
      <c r="PI85" s="93"/>
      <c r="PJ85" s="93"/>
      <c r="PK85" s="93"/>
      <c r="PL85" s="93"/>
      <c r="PM85" s="93"/>
      <c r="PN85" s="93"/>
      <c r="PO85" s="93"/>
      <c r="PP85" s="93"/>
      <c r="PQ85" s="93"/>
      <c r="PR85" s="93"/>
      <c r="PS85" s="93"/>
      <c r="PT85" s="93"/>
      <c r="PU85" s="93"/>
      <c r="PV85" s="93"/>
      <c r="PW85" s="93"/>
      <c r="PX85" s="93"/>
      <c r="PY85" s="93"/>
      <c r="PZ85" s="93"/>
      <c r="QA85" s="93"/>
      <c r="QB85" s="93"/>
      <c r="QC85" s="93"/>
      <c r="QD85" s="93"/>
      <c r="QE85" s="20"/>
      <c r="QF85" s="1739">
        <v>18</v>
      </c>
      <c r="QG85" s="19"/>
      <c r="QH85" s="93"/>
      <c r="QI85" s="93"/>
      <c r="QJ85" s="93"/>
      <c r="QK85" s="93"/>
      <c r="QL85" s="93"/>
      <c r="QM85" s="93"/>
      <c r="QN85" s="93"/>
      <c r="QO85" s="93"/>
      <c r="QP85" s="93"/>
      <c r="QQ85" s="93"/>
      <c r="QR85" s="93"/>
      <c r="QS85" s="93"/>
      <c r="QT85" s="93"/>
      <c r="QU85" s="93"/>
      <c r="QV85" s="93"/>
      <c r="QW85" s="93"/>
      <c r="QX85" s="93"/>
      <c r="QY85" s="93"/>
      <c r="QZ85" s="93"/>
      <c r="RA85" s="93"/>
      <c r="RB85" s="93"/>
      <c r="RC85" s="93"/>
      <c r="RD85" s="93"/>
      <c r="RE85" s="93"/>
      <c r="RF85" s="93"/>
      <c r="RG85" s="93"/>
      <c r="RH85" s="93"/>
      <c r="RI85" s="93"/>
      <c r="RJ85" s="93"/>
      <c r="RK85" s="93"/>
      <c r="RL85" s="93"/>
      <c r="RM85" s="20"/>
      <c r="RN85" s="29">
        <v>18</v>
      </c>
      <c r="RO85" s="19"/>
      <c r="RP85" s="20"/>
      <c r="RQ85" s="29">
        <v>18</v>
      </c>
      <c r="RR85" s="20"/>
      <c r="RS85" s="29">
        <v>18</v>
      </c>
      <c r="RT85" s="1504">
        <v>37043</v>
      </c>
      <c r="RU85" s="19"/>
      <c r="RV85" s="20"/>
      <c r="RW85" s="29">
        <v>18</v>
      </c>
      <c r="RX85" s="1504">
        <v>37043</v>
      </c>
      <c r="RY85" s="29"/>
      <c r="RZ85" s="20"/>
      <c r="SA85" s="29"/>
      <c r="SB85" s="29">
        <v>18</v>
      </c>
    </row>
    <row r="86" spans="1:496">
      <c r="A86" s="41">
        <f t="shared" si="187"/>
        <v>2001</v>
      </c>
      <c r="B86" s="1504">
        <v>37073</v>
      </c>
      <c r="C86" s="1813"/>
      <c r="D86" s="1814"/>
      <c r="E86" s="1814"/>
      <c r="F86" s="1815"/>
      <c r="G86" s="1814"/>
      <c r="H86" s="1814"/>
      <c r="I86" s="1814"/>
      <c r="J86" s="1816"/>
      <c r="K86" s="1807"/>
      <c r="L86" s="25">
        <v>19</v>
      </c>
      <c r="M86" s="97"/>
      <c r="N86" s="1504">
        <v>37073</v>
      </c>
      <c r="O86" s="19"/>
      <c r="P86" s="93"/>
      <c r="Q86" s="93"/>
      <c r="R86" s="93"/>
      <c r="S86" s="93"/>
      <c r="T86" s="93"/>
      <c r="U86" s="93"/>
      <c r="V86" s="93"/>
      <c r="W86" s="93"/>
      <c r="X86" s="93"/>
      <c r="Y86" s="93"/>
      <c r="Z86" s="93"/>
      <c r="AA86" s="93"/>
      <c r="AB86" s="20"/>
      <c r="AC86" s="25">
        <v>19</v>
      </c>
      <c r="AD86" s="97"/>
      <c r="AE86" s="1504">
        <v>37073</v>
      </c>
      <c r="AF86" s="19"/>
      <c r="AG86" s="93"/>
      <c r="AH86" s="93"/>
      <c r="AI86" s="93"/>
      <c r="AJ86" s="93"/>
      <c r="AK86" s="93"/>
      <c r="AL86" s="93"/>
      <c r="AM86" s="93"/>
      <c r="AN86" s="93"/>
      <c r="AO86" s="93"/>
      <c r="AP86" s="93"/>
      <c r="AQ86" s="93"/>
      <c r="AR86" s="93"/>
      <c r="AS86" s="20"/>
      <c r="AT86" s="25">
        <v>19</v>
      </c>
      <c r="AU86" s="97"/>
      <c r="AV86" s="1504">
        <v>37073</v>
      </c>
      <c r="AW86" s="19"/>
      <c r="AX86" s="93"/>
      <c r="AY86" s="93"/>
      <c r="AZ86" s="93"/>
      <c r="BA86" s="93"/>
      <c r="BB86" s="93"/>
      <c r="BC86" s="93"/>
      <c r="BD86" s="93"/>
      <c r="BE86" s="93"/>
      <c r="BF86" s="93"/>
      <c r="BG86" s="93"/>
      <c r="BH86" s="93"/>
      <c r="BI86" s="93"/>
      <c r="BJ86" s="20"/>
      <c r="BK86" s="25">
        <v>19</v>
      </c>
      <c r="BL86" s="97"/>
      <c r="BM86" s="1504">
        <v>37073</v>
      </c>
      <c r="BN86" s="19"/>
      <c r="BO86" s="93"/>
      <c r="BP86" s="93"/>
      <c r="BQ86" s="93"/>
      <c r="BR86" s="93"/>
      <c r="BS86" s="93"/>
      <c r="BT86" s="93"/>
      <c r="BU86" s="20"/>
      <c r="BV86" s="25">
        <v>19</v>
      </c>
      <c r="BW86" s="97"/>
      <c r="BX86" s="1504">
        <v>37073</v>
      </c>
      <c r="BY86" s="19"/>
      <c r="BZ86" s="99">
        <v>664.95699999999999</v>
      </c>
      <c r="CA86" s="93"/>
      <c r="CB86" s="93"/>
      <c r="CC86" s="93"/>
      <c r="CD86" s="25">
        <v>19</v>
      </c>
      <c r="CE86" s="97"/>
      <c r="CF86" s="1504">
        <v>37073</v>
      </c>
      <c r="CG86" s="19">
        <v>1.0035000000000001</v>
      </c>
      <c r="CH86" s="93">
        <v>267.52999999999997</v>
      </c>
      <c r="CI86" s="219"/>
      <c r="CJ86" s="20"/>
      <c r="CK86" s="19"/>
      <c r="CL86" s="93"/>
      <c r="CM86" s="93"/>
      <c r="CN86" s="93"/>
      <c r="CO86" s="93"/>
      <c r="CP86" s="20"/>
      <c r="CQ86" s="219">
        <v>723.02</v>
      </c>
      <c r="CR86" s="93">
        <v>1.536</v>
      </c>
      <c r="CS86" s="93"/>
      <c r="CT86" s="93"/>
      <c r="CU86" s="93"/>
      <c r="CV86" s="214"/>
      <c r="CW86" s="29">
        <v>19</v>
      </c>
      <c r="CX86" s="41">
        <f t="shared" si="188"/>
        <v>2001</v>
      </c>
      <c r="CY86" s="1504">
        <v>37073</v>
      </c>
      <c r="CZ86" s="733">
        <v>33.248035999999999</v>
      </c>
      <c r="DA86" s="570">
        <v>19.160744000000001</v>
      </c>
      <c r="DB86" s="570">
        <v>14.087292</v>
      </c>
      <c r="DC86" s="93"/>
      <c r="DD86" s="93"/>
      <c r="DE86" s="20"/>
      <c r="DF86" s="29">
        <v>19</v>
      </c>
      <c r="DG86" s="1504">
        <v>37073</v>
      </c>
      <c r="DH86" s="19"/>
      <c r="DI86" s="93"/>
      <c r="DJ86" s="93"/>
      <c r="DK86" s="93"/>
      <c r="DL86" s="93"/>
      <c r="DM86" s="93"/>
      <c r="DN86" s="20"/>
      <c r="DO86" s="25"/>
      <c r="DP86" s="29">
        <v>19</v>
      </c>
      <c r="DQ86" s="1504">
        <v>37073</v>
      </c>
      <c r="DR86" s="19"/>
      <c r="DS86" s="93"/>
      <c r="DT86" s="93"/>
      <c r="DU86" s="93"/>
      <c r="DV86" s="93"/>
      <c r="DW86" s="93"/>
      <c r="DX86" s="20"/>
      <c r="DY86" s="29">
        <v>19</v>
      </c>
      <c r="DZ86" s="1504">
        <v>37073</v>
      </c>
      <c r="EA86" s="19"/>
      <c r="EB86" s="93"/>
      <c r="EC86" s="20"/>
      <c r="ED86" s="29">
        <v>19</v>
      </c>
      <c r="EE86" s="1504">
        <v>37073</v>
      </c>
      <c r="EF86" s="19"/>
      <c r="EG86" s="93"/>
      <c r="EH86" s="93"/>
      <c r="EI86" s="214"/>
      <c r="EJ86" s="93"/>
      <c r="EK86" s="93"/>
      <c r="EL86" s="93"/>
      <c r="EM86" s="93"/>
      <c r="EN86" s="20"/>
      <c r="EO86" s="29">
        <v>19</v>
      </c>
      <c r="EP86" s="1504">
        <v>37073</v>
      </c>
      <c r="EQ86" s="19"/>
      <c r="ER86" s="93"/>
      <c r="ES86" s="93"/>
      <c r="ET86" s="214"/>
      <c r="EU86" s="93"/>
      <c r="EV86" s="93"/>
      <c r="EW86" s="93"/>
      <c r="EX86" s="93"/>
      <c r="EY86" s="20"/>
      <c r="EZ86" s="29">
        <v>19</v>
      </c>
      <c r="FA86" s="1504">
        <v>37073</v>
      </c>
      <c r="FB86" s="29"/>
      <c r="FC86" s="29"/>
      <c r="FD86" s="29"/>
      <c r="FE86" s="29"/>
      <c r="FF86" s="29"/>
      <c r="FG86" s="29"/>
      <c r="FH86" s="29"/>
      <c r="FI86" s="29"/>
      <c r="FJ86" s="29"/>
      <c r="FK86" s="29">
        <v>19</v>
      </c>
      <c r="FL86" s="1504">
        <v>37073</v>
      </c>
      <c r="FM86" s="19"/>
      <c r="FN86" s="93"/>
      <c r="FO86" s="93"/>
      <c r="FP86" s="93"/>
      <c r="FQ86" s="93"/>
      <c r="FR86" s="93"/>
      <c r="FS86" s="93"/>
      <c r="FT86" s="93"/>
      <c r="FU86" s="93"/>
      <c r="FV86" s="93"/>
      <c r="FW86" s="93"/>
      <c r="FX86" s="93"/>
      <c r="FY86" s="93"/>
      <c r="FZ86" s="29">
        <v>19</v>
      </c>
      <c r="GA86" s="1504">
        <v>37073</v>
      </c>
      <c r="GB86" s="19"/>
      <c r="GC86" s="93"/>
      <c r="GD86" s="93"/>
      <c r="GE86" s="93"/>
      <c r="GF86" s="93"/>
      <c r="GG86" s="93"/>
      <c r="GH86" s="93"/>
      <c r="GI86" s="93"/>
      <c r="GJ86" s="93"/>
      <c r="GK86" s="93"/>
      <c r="GL86" s="93"/>
      <c r="GM86" s="93"/>
      <c r="GN86" s="20"/>
      <c r="GO86" s="29">
        <v>19</v>
      </c>
      <c r="GP86" s="1504">
        <v>37073</v>
      </c>
      <c r="GQ86" s="19"/>
      <c r="GR86" s="93"/>
      <c r="GS86" s="93"/>
      <c r="GT86" s="93"/>
      <c r="GU86" s="93"/>
      <c r="GV86" s="20"/>
      <c r="GW86" s="19"/>
      <c r="GX86" s="93"/>
      <c r="GY86" s="93"/>
      <c r="GZ86" s="93"/>
      <c r="HA86" s="93"/>
      <c r="HB86" s="20"/>
      <c r="HC86" s="19"/>
      <c r="HD86" s="93"/>
      <c r="HE86" s="93"/>
      <c r="HF86" s="93"/>
      <c r="HG86" s="93"/>
      <c r="HH86" s="20"/>
      <c r="HI86" s="19"/>
      <c r="HJ86" s="93"/>
      <c r="HK86" s="93"/>
      <c r="HL86" s="93"/>
      <c r="HM86" s="93"/>
      <c r="HN86" s="20"/>
      <c r="HO86" s="219"/>
      <c r="HP86" s="20"/>
      <c r="HQ86" s="25"/>
      <c r="HR86" s="29">
        <v>19</v>
      </c>
      <c r="HS86" s="1504">
        <v>37073</v>
      </c>
      <c r="HT86" s="19"/>
      <c r="HU86" s="93"/>
      <c r="HV86" s="93"/>
      <c r="HW86" s="93"/>
      <c r="HX86" s="93"/>
      <c r="HY86" s="93"/>
      <c r="HZ86" s="93"/>
      <c r="IA86" s="20"/>
      <c r="IB86" s="19"/>
      <c r="IC86" s="93"/>
      <c r="ID86" s="93"/>
      <c r="IE86" s="93"/>
      <c r="IF86" s="93"/>
      <c r="IG86" s="20"/>
      <c r="IH86" s="19"/>
      <c r="II86" s="93"/>
      <c r="IJ86" s="93"/>
      <c r="IK86" s="93"/>
      <c r="IL86" s="93"/>
      <c r="IM86" s="93"/>
      <c r="IN86" s="93"/>
      <c r="IO86" s="20"/>
      <c r="IP86" s="29">
        <v>19</v>
      </c>
      <c r="IQ86" s="19"/>
      <c r="IR86" s="93"/>
      <c r="IS86" s="93"/>
      <c r="IT86" s="93"/>
      <c r="IU86" s="93"/>
      <c r="IV86" s="20"/>
      <c r="IW86" s="29">
        <v>19</v>
      </c>
      <c r="IX86" s="19"/>
      <c r="IY86" s="93"/>
      <c r="IZ86" s="93"/>
      <c r="JA86" s="93"/>
      <c r="JB86" s="93"/>
      <c r="JC86" s="93"/>
      <c r="JD86" s="93"/>
      <c r="JE86" s="20"/>
      <c r="JF86" s="29">
        <v>19</v>
      </c>
      <c r="JG86" s="19"/>
      <c r="JH86" s="93"/>
      <c r="JI86" s="93"/>
      <c r="JJ86" s="93"/>
      <c r="JK86" s="93"/>
      <c r="JL86" s="93"/>
      <c r="JM86" s="93"/>
      <c r="JN86" s="20"/>
      <c r="JO86" s="29">
        <v>19</v>
      </c>
      <c r="JP86" s="19"/>
      <c r="JQ86" s="93"/>
      <c r="JR86" s="93"/>
      <c r="JS86" s="93"/>
      <c r="JT86" s="93"/>
      <c r="JU86" s="20"/>
      <c r="JV86" s="29">
        <v>19</v>
      </c>
      <c r="JW86" s="1504">
        <v>37073</v>
      </c>
      <c r="JX86" s="19"/>
      <c r="JY86" s="93"/>
      <c r="JZ86" s="93"/>
      <c r="KA86" s="93"/>
      <c r="KB86" s="93"/>
      <c r="KC86" s="93"/>
      <c r="KD86" s="20"/>
      <c r="KE86" s="29">
        <v>19</v>
      </c>
      <c r="KF86" s="19"/>
      <c r="KG86" s="93"/>
      <c r="KH86" s="93"/>
      <c r="KI86" s="93"/>
      <c r="KJ86" s="93"/>
      <c r="KK86" s="20"/>
      <c r="KL86" s="29">
        <v>19</v>
      </c>
      <c r="KM86" s="19"/>
      <c r="KN86" s="93"/>
      <c r="KO86" s="93"/>
      <c r="KP86" s="93"/>
      <c r="KQ86" s="93"/>
      <c r="KR86" s="20"/>
      <c r="KS86" s="29">
        <v>19</v>
      </c>
      <c r="KT86" s="19"/>
      <c r="KU86" s="93"/>
      <c r="KV86" s="93"/>
      <c r="KW86" s="93"/>
      <c r="KX86" s="93"/>
      <c r="KY86" s="20"/>
      <c r="KZ86" s="29">
        <v>19</v>
      </c>
      <c r="LA86" s="1504">
        <v>37073</v>
      </c>
      <c r="LB86" s="19"/>
      <c r="LC86" s="93"/>
      <c r="LD86" s="93"/>
      <c r="LE86" s="93"/>
      <c r="LF86" s="93"/>
      <c r="LG86" s="93"/>
      <c r="LH86" s="20"/>
      <c r="LI86" s="29">
        <v>19</v>
      </c>
      <c r="LJ86" s="19"/>
      <c r="LK86" s="93"/>
      <c r="LL86" s="93"/>
      <c r="LM86" s="93"/>
      <c r="LN86" s="93"/>
      <c r="LO86" s="20"/>
      <c r="LP86" s="29">
        <v>19</v>
      </c>
      <c r="LQ86" s="19"/>
      <c r="LR86" s="93"/>
      <c r="LS86" s="93"/>
      <c r="LT86" s="93"/>
      <c r="LU86" s="93"/>
      <c r="LV86" s="93"/>
      <c r="LW86" s="93"/>
      <c r="LX86" s="93"/>
      <c r="LY86" s="93"/>
      <c r="LZ86" s="93"/>
      <c r="MA86" s="20"/>
      <c r="MB86" s="29">
        <v>19</v>
      </c>
      <c r="MC86" s="1504">
        <v>37073</v>
      </c>
      <c r="MD86" s="19"/>
      <c r="ME86" s="93"/>
      <c r="MF86" s="93"/>
      <c r="MG86" s="93"/>
      <c r="MH86" s="93"/>
      <c r="MI86" s="93"/>
      <c r="MJ86" s="93"/>
      <c r="MK86" s="93"/>
      <c r="ML86" s="93"/>
      <c r="MM86" s="93"/>
      <c r="MN86" s="93"/>
      <c r="MO86" s="93"/>
      <c r="MP86" s="93"/>
      <c r="MQ86" s="93"/>
      <c r="MR86" s="93"/>
      <c r="MS86" s="93"/>
      <c r="MT86" s="93"/>
      <c r="MU86" s="93"/>
      <c r="MV86" s="93"/>
      <c r="MW86" s="93"/>
      <c r="MX86" s="93"/>
      <c r="MY86" s="93"/>
      <c r="MZ86" s="93"/>
      <c r="NA86" s="93"/>
      <c r="NB86" s="93"/>
      <c r="NC86" s="93"/>
      <c r="ND86" s="93"/>
      <c r="NE86" s="93"/>
      <c r="NF86" s="93"/>
      <c r="NG86" s="93"/>
      <c r="NH86" s="93"/>
      <c r="NI86" s="93"/>
      <c r="NJ86" s="93"/>
      <c r="NK86" s="93"/>
      <c r="NL86" s="93"/>
      <c r="NM86" s="93"/>
      <c r="NN86" s="93"/>
      <c r="NO86" s="93"/>
      <c r="NP86" s="93"/>
      <c r="NQ86" s="93"/>
      <c r="NR86" s="93"/>
      <c r="NS86" s="93"/>
      <c r="NT86" s="93"/>
      <c r="NU86" s="93"/>
      <c r="NV86" s="93"/>
      <c r="NW86" s="93"/>
      <c r="NX86" s="93"/>
      <c r="NY86" s="93"/>
      <c r="NZ86" s="93"/>
      <c r="OA86" s="93"/>
      <c r="OB86" s="93"/>
      <c r="OC86" s="93"/>
      <c r="OD86" s="20"/>
      <c r="OE86" s="29">
        <v>19</v>
      </c>
      <c r="OF86" s="1504">
        <v>37073</v>
      </c>
      <c r="OG86" s="19"/>
      <c r="OH86" s="93"/>
      <c r="OI86" s="93"/>
      <c r="OJ86" s="93"/>
      <c r="OK86" s="93"/>
      <c r="OL86" s="93"/>
      <c r="OM86" s="93"/>
      <c r="ON86" s="93"/>
      <c r="OO86" s="93"/>
      <c r="OP86" s="93"/>
      <c r="OQ86" s="93"/>
      <c r="OR86" s="93"/>
      <c r="OS86" s="93"/>
      <c r="OT86" s="93"/>
      <c r="OU86" s="93"/>
      <c r="OV86" s="93"/>
      <c r="OW86" s="93"/>
      <c r="OX86" s="93"/>
      <c r="OY86" s="93"/>
      <c r="OZ86" s="93"/>
      <c r="PA86" s="93"/>
      <c r="PB86" s="93"/>
      <c r="PC86" s="20"/>
      <c r="PD86" s="29">
        <v>19</v>
      </c>
      <c r="PE86" s="19"/>
      <c r="PF86" s="93"/>
      <c r="PG86" s="93"/>
      <c r="PH86" s="93"/>
      <c r="PI86" s="93"/>
      <c r="PJ86" s="93"/>
      <c r="PK86" s="93"/>
      <c r="PL86" s="93"/>
      <c r="PM86" s="93"/>
      <c r="PN86" s="93"/>
      <c r="PO86" s="93"/>
      <c r="PP86" s="93"/>
      <c r="PQ86" s="93"/>
      <c r="PR86" s="93"/>
      <c r="PS86" s="93"/>
      <c r="PT86" s="93"/>
      <c r="PU86" s="93"/>
      <c r="PV86" s="93"/>
      <c r="PW86" s="93"/>
      <c r="PX86" s="93"/>
      <c r="PY86" s="93"/>
      <c r="PZ86" s="93"/>
      <c r="QA86" s="93"/>
      <c r="QB86" s="93"/>
      <c r="QC86" s="93"/>
      <c r="QD86" s="93"/>
      <c r="QE86" s="20"/>
      <c r="QF86" s="1739">
        <v>19</v>
      </c>
      <c r="QG86" s="19"/>
      <c r="QH86" s="93"/>
      <c r="QI86" s="93"/>
      <c r="QJ86" s="93"/>
      <c r="QK86" s="93"/>
      <c r="QL86" s="93"/>
      <c r="QM86" s="93"/>
      <c r="QN86" s="93"/>
      <c r="QO86" s="93"/>
      <c r="QP86" s="93"/>
      <c r="QQ86" s="93"/>
      <c r="QR86" s="93"/>
      <c r="QS86" s="93"/>
      <c r="QT86" s="93"/>
      <c r="QU86" s="93"/>
      <c r="QV86" s="93"/>
      <c r="QW86" s="93"/>
      <c r="QX86" s="93"/>
      <c r="QY86" s="93"/>
      <c r="QZ86" s="93"/>
      <c r="RA86" s="93"/>
      <c r="RB86" s="93"/>
      <c r="RC86" s="93"/>
      <c r="RD86" s="93"/>
      <c r="RE86" s="93"/>
      <c r="RF86" s="93"/>
      <c r="RG86" s="93"/>
      <c r="RH86" s="93"/>
      <c r="RI86" s="93"/>
      <c r="RJ86" s="93"/>
      <c r="RK86" s="93"/>
      <c r="RL86" s="93"/>
      <c r="RM86" s="20"/>
      <c r="RN86" s="29">
        <v>19</v>
      </c>
      <c r="RO86" s="19"/>
      <c r="RP86" s="20"/>
      <c r="RQ86" s="29">
        <v>19</v>
      </c>
      <c r="RR86" s="20"/>
      <c r="RS86" s="29">
        <v>19</v>
      </c>
      <c r="RT86" s="1504">
        <v>37073</v>
      </c>
      <c r="RU86" s="19"/>
      <c r="RV86" s="20"/>
      <c r="RW86" s="29">
        <v>19</v>
      </c>
      <c r="RX86" s="1504">
        <v>37073</v>
      </c>
      <c r="RY86" s="29"/>
      <c r="RZ86" s="20"/>
      <c r="SA86" s="29"/>
      <c r="SB86" s="29">
        <v>19</v>
      </c>
    </row>
    <row r="87" spans="1:496">
      <c r="A87" s="41">
        <f t="shared" si="187"/>
        <v>2001</v>
      </c>
      <c r="B87" s="1504">
        <v>37104</v>
      </c>
      <c r="C87" s="1813"/>
      <c r="D87" s="1814"/>
      <c r="E87" s="1814"/>
      <c r="F87" s="1815"/>
      <c r="G87" s="1814"/>
      <c r="H87" s="1814"/>
      <c r="I87" s="1814"/>
      <c r="J87" s="1816"/>
      <c r="K87" s="1807"/>
      <c r="L87" s="25">
        <v>20</v>
      </c>
      <c r="M87" s="97"/>
      <c r="N87" s="1504">
        <v>37104</v>
      </c>
      <c r="O87" s="19"/>
      <c r="P87" s="93"/>
      <c r="Q87" s="93"/>
      <c r="R87" s="93"/>
      <c r="S87" s="93"/>
      <c r="T87" s="93"/>
      <c r="U87" s="93"/>
      <c r="V87" s="93"/>
      <c r="W87" s="93"/>
      <c r="X87" s="93"/>
      <c r="Y87" s="93"/>
      <c r="Z87" s="93"/>
      <c r="AA87" s="93"/>
      <c r="AB87" s="20"/>
      <c r="AC87" s="25">
        <v>20</v>
      </c>
      <c r="AD87" s="97"/>
      <c r="AE87" s="1504">
        <v>37104</v>
      </c>
      <c r="AF87" s="19"/>
      <c r="AG87" s="93"/>
      <c r="AH87" s="93"/>
      <c r="AI87" s="93"/>
      <c r="AJ87" s="93"/>
      <c r="AK87" s="93"/>
      <c r="AL87" s="93"/>
      <c r="AM87" s="93"/>
      <c r="AN87" s="93"/>
      <c r="AO87" s="93"/>
      <c r="AP87" s="93"/>
      <c r="AQ87" s="93"/>
      <c r="AR87" s="93"/>
      <c r="AS87" s="20"/>
      <c r="AT87" s="25">
        <v>20</v>
      </c>
      <c r="AU87" s="97"/>
      <c r="AV87" s="1504">
        <v>37104</v>
      </c>
      <c r="AW87" s="19"/>
      <c r="AX87" s="93"/>
      <c r="AY87" s="93"/>
      <c r="AZ87" s="93"/>
      <c r="BA87" s="93"/>
      <c r="BB87" s="93"/>
      <c r="BC87" s="93"/>
      <c r="BD87" s="93"/>
      <c r="BE87" s="93"/>
      <c r="BF87" s="93"/>
      <c r="BG87" s="93"/>
      <c r="BH87" s="93"/>
      <c r="BI87" s="93"/>
      <c r="BJ87" s="20"/>
      <c r="BK87" s="25">
        <v>20</v>
      </c>
      <c r="BL87" s="97"/>
      <c r="BM87" s="1504">
        <v>37104</v>
      </c>
      <c r="BN87" s="19"/>
      <c r="BO87" s="93"/>
      <c r="BP87" s="93"/>
      <c r="BQ87" s="93"/>
      <c r="BR87" s="93"/>
      <c r="BS87" s="93"/>
      <c r="BT87" s="93"/>
      <c r="BU87" s="20"/>
      <c r="BV87" s="25">
        <v>20</v>
      </c>
      <c r="BW87" s="97"/>
      <c r="BX87" s="1504">
        <v>37104</v>
      </c>
      <c r="BY87" s="19"/>
      <c r="BZ87" s="99">
        <v>664.95699999999999</v>
      </c>
      <c r="CA87" s="93"/>
      <c r="CB87" s="93"/>
      <c r="CC87" s="93"/>
      <c r="CD87" s="25">
        <v>20</v>
      </c>
      <c r="CE87" s="97"/>
      <c r="CF87" s="1504">
        <v>37104</v>
      </c>
      <c r="CG87" s="19">
        <v>0.95499999999999996</v>
      </c>
      <c r="CH87" s="93">
        <v>272.39</v>
      </c>
      <c r="CI87" s="219"/>
      <c r="CJ87" s="20"/>
      <c r="CK87" s="19"/>
      <c r="CL87" s="93"/>
      <c r="CM87" s="93"/>
      <c r="CN87" s="93"/>
      <c r="CO87" s="93"/>
      <c r="CP87" s="20"/>
      <c r="CQ87" s="219">
        <v>738.07</v>
      </c>
      <c r="CR87" s="93">
        <v>1.4750000000000001</v>
      </c>
      <c r="CS87" s="93"/>
      <c r="CT87" s="93"/>
      <c r="CU87" s="93"/>
      <c r="CV87" s="214"/>
      <c r="CW87" s="29">
        <v>20</v>
      </c>
      <c r="CX87" s="41">
        <f t="shared" si="188"/>
        <v>2001</v>
      </c>
      <c r="CY87" s="1504">
        <v>37104</v>
      </c>
      <c r="CZ87" s="733">
        <v>25.973779</v>
      </c>
      <c r="DA87" s="570">
        <v>15.628605</v>
      </c>
      <c r="DB87" s="570">
        <v>10.345174</v>
      </c>
      <c r="DC87" s="93"/>
      <c r="DD87" s="93"/>
      <c r="DE87" s="20"/>
      <c r="DF87" s="29">
        <v>20</v>
      </c>
      <c r="DG87" s="1504">
        <v>37104</v>
      </c>
      <c r="DH87" s="19"/>
      <c r="DI87" s="93"/>
      <c r="DJ87" s="93"/>
      <c r="DK87" s="93"/>
      <c r="DL87" s="93"/>
      <c r="DM87" s="93"/>
      <c r="DN87" s="20"/>
      <c r="DO87" s="25"/>
      <c r="DP87" s="29">
        <v>20</v>
      </c>
      <c r="DQ87" s="1504">
        <v>37104</v>
      </c>
      <c r="DR87" s="19"/>
      <c r="DS87" s="93"/>
      <c r="DT87" s="93"/>
      <c r="DU87" s="93"/>
      <c r="DV87" s="93"/>
      <c r="DW87" s="93"/>
      <c r="DX87" s="20"/>
      <c r="DY87" s="29">
        <v>20</v>
      </c>
      <c r="DZ87" s="1504">
        <v>37104</v>
      </c>
      <c r="EA87" s="19"/>
      <c r="EB87" s="93"/>
      <c r="EC87" s="20"/>
      <c r="ED87" s="29">
        <v>20</v>
      </c>
      <c r="EE87" s="1504">
        <v>37104</v>
      </c>
      <c r="EF87" s="19"/>
      <c r="EG87" s="93"/>
      <c r="EH87" s="93"/>
      <c r="EI87" s="214"/>
      <c r="EJ87" s="93"/>
      <c r="EK87" s="93"/>
      <c r="EL87" s="93"/>
      <c r="EM87" s="93"/>
      <c r="EN87" s="20"/>
      <c r="EO87" s="29">
        <v>20</v>
      </c>
      <c r="EP87" s="1504">
        <v>37104</v>
      </c>
      <c r="EQ87" s="19"/>
      <c r="ER87" s="93"/>
      <c r="ES87" s="93"/>
      <c r="ET87" s="214"/>
      <c r="EU87" s="93"/>
      <c r="EV87" s="93"/>
      <c r="EW87" s="93"/>
      <c r="EX87" s="93"/>
      <c r="EY87" s="20"/>
      <c r="EZ87" s="29">
        <v>20</v>
      </c>
      <c r="FA87" s="1504">
        <v>37104</v>
      </c>
      <c r="FB87" s="29"/>
      <c r="FC87" s="29"/>
      <c r="FD87" s="29"/>
      <c r="FE87" s="29"/>
      <c r="FF87" s="29"/>
      <c r="FG87" s="29"/>
      <c r="FH87" s="29"/>
      <c r="FI87" s="29"/>
      <c r="FJ87" s="29"/>
      <c r="FK87" s="29">
        <v>20</v>
      </c>
      <c r="FL87" s="1504">
        <v>37104</v>
      </c>
      <c r="FM87" s="19"/>
      <c r="FN87" s="93"/>
      <c r="FO87" s="93"/>
      <c r="FP87" s="93"/>
      <c r="FQ87" s="93"/>
      <c r="FR87" s="93"/>
      <c r="FS87" s="93"/>
      <c r="FT87" s="93"/>
      <c r="FU87" s="93"/>
      <c r="FV87" s="93"/>
      <c r="FW87" s="93"/>
      <c r="FX87" s="93"/>
      <c r="FY87" s="93"/>
      <c r="FZ87" s="29">
        <v>20</v>
      </c>
      <c r="GA87" s="1504">
        <v>37104</v>
      </c>
      <c r="GB87" s="19"/>
      <c r="GC87" s="93"/>
      <c r="GD87" s="93"/>
      <c r="GE87" s="93"/>
      <c r="GF87" s="93"/>
      <c r="GG87" s="93"/>
      <c r="GH87" s="93"/>
      <c r="GI87" s="93"/>
      <c r="GJ87" s="93"/>
      <c r="GK87" s="93"/>
      <c r="GL87" s="93"/>
      <c r="GM87" s="93"/>
      <c r="GN87" s="20"/>
      <c r="GO87" s="29">
        <v>20</v>
      </c>
      <c r="GP87" s="1504">
        <v>37104</v>
      </c>
      <c r="GQ87" s="19"/>
      <c r="GR87" s="93"/>
      <c r="GS87" s="93"/>
      <c r="GT87" s="93"/>
      <c r="GU87" s="93"/>
      <c r="GV87" s="20"/>
      <c r="GW87" s="19"/>
      <c r="GX87" s="93"/>
      <c r="GY87" s="93"/>
      <c r="GZ87" s="93"/>
      <c r="HA87" s="93"/>
      <c r="HB87" s="20"/>
      <c r="HC87" s="19"/>
      <c r="HD87" s="93"/>
      <c r="HE87" s="93"/>
      <c r="HF87" s="93"/>
      <c r="HG87" s="93"/>
      <c r="HH87" s="20"/>
      <c r="HI87" s="19"/>
      <c r="HJ87" s="93"/>
      <c r="HK87" s="93"/>
      <c r="HL87" s="93"/>
      <c r="HM87" s="93"/>
      <c r="HN87" s="20"/>
      <c r="HO87" s="219"/>
      <c r="HP87" s="20"/>
      <c r="HQ87" s="25"/>
      <c r="HR87" s="29">
        <v>20</v>
      </c>
      <c r="HS87" s="1504">
        <v>37104</v>
      </c>
      <c r="HT87" s="19"/>
      <c r="HU87" s="93"/>
      <c r="HV87" s="93"/>
      <c r="HW87" s="93"/>
      <c r="HX87" s="93"/>
      <c r="HY87" s="93"/>
      <c r="HZ87" s="93"/>
      <c r="IA87" s="20"/>
      <c r="IB87" s="19"/>
      <c r="IC87" s="93"/>
      <c r="ID87" s="93"/>
      <c r="IE87" s="93"/>
      <c r="IF87" s="93"/>
      <c r="IG87" s="20"/>
      <c r="IH87" s="19"/>
      <c r="II87" s="93"/>
      <c r="IJ87" s="93"/>
      <c r="IK87" s="93"/>
      <c r="IL87" s="93"/>
      <c r="IM87" s="93"/>
      <c r="IN87" s="93"/>
      <c r="IO87" s="20"/>
      <c r="IP87" s="29">
        <v>20</v>
      </c>
      <c r="IQ87" s="19"/>
      <c r="IR87" s="93"/>
      <c r="IS87" s="93"/>
      <c r="IT87" s="93"/>
      <c r="IU87" s="93"/>
      <c r="IV87" s="20"/>
      <c r="IW87" s="29">
        <v>20</v>
      </c>
      <c r="IX87" s="19"/>
      <c r="IY87" s="93"/>
      <c r="IZ87" s="93"/>
      <c r="JA87" s="93"/>
      <c r="JB87" s="93"/>
      <c r="JC87" s="93"/>
      <c r="JD87" s="93"/>
      <c r="JE87" s="20"/>
      <c r="JF87" s="29">
        <v>20</v>
      </c>
      <c r="JG87" s="19"/>
      <c r="JH87" s="93"/>
      <c r="JI87" s="93"/>
      <c r="JJ87" s="93"/>
      <c r="JK87" s="93"/>
      <c r="JL87" s="93"/>
      <c r="JM87" s="93"/>
      <c r="JN87" s="20"/>
      <c r="JO87" s="29">
        <v>20</v>
      </c>
      <c r="JP87" s="19"/>
      <c r="JQ87" s="93"/>
      <c r="JR87" s="93"/>
      <c r="JS87" s="93"/>
      <c r="JT87" s="93"/>
      <c r="JU87" s="20"/>
      <c r="JV87" s="29">
        <v>20</v>
      </c>
      <c r="JW87" s="1504">
        <v>37104</v>
      </c>
      <c r="JX87" s="19"/>
      <c r="JY87" s="93"/>
      <c r="JZ87" s="93"/>
      <c r="KA87" s="93"/>
      <c r="KB87" s="93"/>
      <c r="KC87" s="93"/>
      <c r="KD87" s="20"/>
      <c r="KE87" s="29">
        <v>20</v>
      </c>
      <c r="KF87" s="19"/>
      <c r="KG87" s="93"/>
      <c r="KH87" s="93"/>
      <c r="KI87" s="93"/>
      <c r="KJ87" s="93"/>
      <c r="KK87" s="20"/>
      <c r="KL87" s="29">
        <v>20</v>
      </c>
      <c r="KM87" s="19"/>
      <c r="KN87" s="93"/>
      <c r="KO87" s="93"/>
      <c r="KP87" s="93"/>
      <c r="KQ87" s="93"/>
      <c r="KR87" s="20"/>
      <c r="KS87" s="29">
        <v>20</v>
      </c>
      <c r="KT87" s="19"/>
      <c r="KU87" s="93"/>
      <c r="KV87" s="93"/>
      <c r="KW87" s="93"/>
      <c r="KX87" s="93"/>
      <c r="KY87" s="20"/>
      <c r="KZ87" s="29">
        <v>20</v>
      </c>
      <c r="LA87" s="1504">
        <v>37104</v>
      </c>
      <c r="LB87" s="19"/>
      <c r="LC87" s="93"/>
      <c r="LD87" s="93"/>
      <c r="LE87" s="93"/>
      <c r="LF87" s="93"/>
      <c r="LG87" s="93"/>
      <c r="LH87" s="20"/>
      <c r="LI87" s="29">
        <v>20</v>
      </c>
      <c r="LJ87" s="19"/>
      <c r="LK87" s="93"/>
      <c r="LL87" s="93"/>
      <c r="LM87" s="93"/>
      <c r="LN87" s="93"/>
      <c r="LO87" s="20"/>
      <c r="LP87" s="29">
        <v>20</v>
      </c>
      <c r="LQ87" s="19"/>
      <c r="LR87" s="93"/>
      <c r="LS87" s="93"/>
      <c r="LT87" s="93"/>
      <c r="LU87" s="93"/>
      <c r="LV87" s="93"/>
      <c r="LW87" s="93"/>
      <c r="LX87" s="93"/>
      <c r="LY87" s="93"/>
      <c r="LZ87" s="93"/>
      <c r="MA87" s="20"/>
      <c r="MB87" s="29">
        <v>20</v>
      </c>
      <c r="MC87" s="1504">
        <v>37104</v>
      </c>
      <c r="MD87" s="19"/>
      <c r="ME87" s="93"/>
      <c r="MF87" s="93"/>
      <c r="MG87" s="93"/>
      <c r="MH87" s="93"/>
      <c r="MI87" s="93"/>
      <c r="MJ87" s="93"/>
      <c r="MK87" s="93"/>
      <c r="ML87" s="93"/>
      <c r="MM87" s="93"/>
      <c r="MN87" s="93"/>
      <c r="MO87" s="93"/>
      <c r="MP87" s="93"/>
      <c r="MQ87" s="93"/>
      <c r="MR87" s="93"/>
      <c r="MS87" s="93"/>
      <c r="MT87" s="93"/>
      <c r="MU87" s="93"/>
      <c r="MV87" s="93"/>
      <c r="MW87" s="93"/>
      <c r="MX87" s="93"/>
      <c r="MY87" s="93"/>
      <c r="MZ87" s="93"/>
      <c r="NA87" s="93"/>
      <c r="NB87" s="93"/>
      <c r="NC87" s="93"/>
      <c r="ND87" s="93"/>
      <c r="NE87" s="93"/>
      <c r="NF87" s="93"/>
      <c r="NG87" s="93"/>
      <c r="NH87" s="93"/>
      <c r="NI87" s="93"/>
      <c r="NJ87" s="93"/>
      <c r="NK87" s="93"/>
      <c r="NL87" s="93"/>
      <c r="NM87" s="93"/>
      <c r="NN87" s="93"/>
      <c r="NO87" s="93"/>
      <c r="NP87" s="93"/>
      <c r="NQ87" s="93"/>
      <c r="NR87" s="93"/>
      <c r="NS87" s="93"/>
      <c r="NT87" s="93"/>
      <c r="NU87" s="93"/>
      <c r="NV87" s="93"/>
      <c r="NW87" s="93"/>
      <c r="NX87" s="93"/>
      <c r="NY87" s="93"/>
      <c r="NZ87" s="93"/>
      <c r="OA87" s="93"/>
      <c r="OB87" s="93"/>
      <c r="OC87" s="93"/>
      <c r="OD87" s="20"/>
      <c r="OE87" s="29">
        <v>20</v>
      </c>
      <c r="OF87" s="1504">
        <v>37104</v>
      </c>
      <c r="OG87" s="19"/>
      <c r="OH87" s="93"/>
      <c r="OI87" s="93"/>
      <c r="OJ87" s="93"/>
      <c r="OK87" s="93"/>
      <c r="OL87" s="93"/>
      <c r="OM87" s="93"/>
      <c r="ON87" s="93"/>
      <c r="OO87" s="93"/>
      <c r="OP87" s="93"/>
      <c r="OQ87" s="93"/>
      <c r="OR87" s="93"/>
      <c r="OS87" s="93"/>
      <c r="OT87" s="93"/>
      <c r="OU87" s="93"/>
      <c r="OV87" s="93"/>
      <c r="OW87" s="93"/>
      <c r="OX87" s="93"/>
      <c r="OY87" s="93"/>
      <c r="OZ87" s="93"/>
      <c r="PA87" s="93"/>
      <c r="PB87" s="93"/>
      <c r="PC87" s="20"/>
      <c r="PD87" s="29">
        <v>20</v>
      </c>
      <c r="PE87" s="19"/>
      <c r="PF87" s="93"/>
      <c r="PG87" s="93"/>
      <c r="PH87" s="93"/>
      <c r="PI87" s="93"/>
      <c r="PJ87" s="93"/>
      <c r="PK87" s="93"/>
      <c r="PL87" s="93"/>
      <c r="PM87" s="93"/>
      <c r="PN87" s="93"/>
      <c r="PO87" s="93"/>
      <c r="PP87" s="93"/>
      <c r="PQ87" s="93"/>
      <c r="PR87" s="93"/>
      <c r="PS87" s="93"/>
      <c r="PT87" s="93"/>
      <c r="PU87" s="93"/>
      <c r="PV87" s="93"/>
      <c r="PW87" s="93"/>
      <c r="PX87" s="93"/>
      <c r="PY87" s="93"/>
      <c r="PZ87" s="93"/>
      <c r="QA87" s="93"/>
      <c r="QB87" s="93"/>
      <c r="QC87" s="93"/>
      <c r="QD87" s="93"/>
      <c r="QE87" s="20"/>
      <c r="QF87" s="1739">
        <v>20</v>
      </c>
      <c r="QG87" s="19"/>
      <c r="QH87" s="93"/>
      <c r="QI87" s="93"/>
      <c r="QJ87" s="93"/>
      <c r="QK87" s="93"/>
      <c r="QL87" s="93"/>
      <c r="QM87" s="93"/>
      <c r="QN87" s="93"/>
      <c r="QO87" s="93"/>
      <c r="QP87" s="93"/>
      <c r="QQ87" s="93"/>
      <c r="QR87" s="93"/>
      <c r="QS87" s="93"/>
      <c r="QT87" s="93"/>
      <c r="QU87" s="93"/>
      <c r="QV87" s="93"/>
      <c r="QW87" s="93"/>
      <c r="QX87" s="93"/>
      <c r="QY87" s="93"/>
      <c r="QZ87" s="93"/>
      <c r="RA87" s="93"/>
      <c r="RB87" s="93"/>
      <c r="RC87" s="93"/>
      <c r="RD87" s="93"/>
      <c r="RE87" s="93"/>
      <c r="RF87" s="93"/>
      <c r="RG87" s="93"/>
      <c r="RH87" s="93"/>
      <c r="RI87" s="93"/>
      <c r="RJ87" s="93"/>
      <c r="RK87" s="93"/>
      <c r="RL87" s="93"/>
      <c r="RM87" s="20"/>
      <c r="RN87" s="29">
        <v>20</v>
      </c>
      <c r="RO87" s="19"/>
      <c r="RP87" s="20"/>
      <c r="RQ87" s="29">
        <v>20</v>
      </c>
      <c r="RR87" s="20"/>
      <c r="RS87" s="29">
        <v>20</v>
      </c>
      <c r="RT87" s="1504">
        <v>37104</v>
      </c>
      <c r="RU87" s="19"/>
      <c r="RV87" s="20"/>
      <c r="RW87" s="29">
        <v>20</v>
      </c>
      <c r="RX87" s="1504">
        <v>37104</v>
      </c>
      <c r="RY87" s="29"/>
      <c r="RZ87" s="20"/>
      <c r="SA87" s="29"/>
      <c r="SB87" s="29">
        <v>20</v>
      </c>
    </row>
    <row r="88" spans="1:496">
      <c r="A88" s="41">
        <f t="shared" si="187"/>
        <v>2001</v>
      </c>
      <c r="B88" s="1504">
        <v>37135</v>
      </c>
      <c r="C88" s="1813"/>
      <c r="D88" s="1814"/>
      <c r="E88" s="1814"/>
      <c r="F88" s="1815"/>
      <c r="G88" s="1814"/>
      <c r="H88" s="1814"/>
      <c r="I88" s="1814"/>
      <c r="J88" s="1816"/>
      <c r="K88" s="1807"/>
      <c r="L88" s="25">
        <v>21</v>
      </c>
      <c r="M88" s="97"/>
      <c r="N88" s="1504">
        <v>37135</v>
      </c>
      <c r="O88" s="19"/>
      <c r="P88" s="93"/>
      <c r="Q88" s="93"/>
      <c r="R88" s="93"/>
      <c r="S88" s="93"/>
      <c r="T88" s="93"/>
      <c r="U88" s="93"/>
      <c r="V88" s="93"/>
      <c r="W88" s="93"/>
      <c r="X88" s="93"/>
      <c r="Y88" s="93"/>
      <c r="Z88" s="93"/>
      <c r="AA88" s="93"/>
      <c r="AB88" s="20"/>
      <c r="AC88" s="25">
        <v>21</v>
      </c>
      <c r="AD88" s="97"/>
      <c r="AE88" s="1504">
        <v>37135</v>
      </c>
      <c r="AF88" s="19"/>
      <c r="AG88" s="93"/>
      <c r="AH88" s="93"/>
      <c r="AI88" s="93"/>
      <c r="AJ88" s="93"/>
      <c r="AK88" s="93"/>
      <c r="AL88" s="93"/>
      <c r="AM88" s="93"/>
      <c r="AN88" s="93"/>
      <c r="AO88" s="93"/>
      <c r="AP88" s="93"/>
      <c r="AQ88" s="93"/>
      <c r="AR88" s="93"/>
      <c r="AS88" s="20"/>
      <c r="AT88" s="25">
        <v>21</v>
      </c>
      <c r="AU88" s="97"/>
      <c r="AV88" s="1504">
        <v>37135</v>
      </c>
      <c r="AW88" s="19"/>
      <c r="AX88" s="93"/>
      <c r="AY88" s="93"/>
      <c r="AZ88" s="93"/>
      <c r="BA88" s="93"/>
      <c r="BB88" s="93"/>
      <c r="BC88" s="93"/>
      <c r="BD88" s="93"/>
      <c r="BE88" s="93"/>
      <c r="BF88" s="93"/>
      <c r="BG88" s="93"/>
      <c r="BH88" s="93"/>
      <c r="BI88" s="93"/>
      <c r="BJ88" s="20"/>
      <c r="BK88" s="25">
        <v>21</v>
      </c>
      <c r="BL88" s="97"/>
      <c r="BM88" s="1504">
        <v>37135</v>
      </c>
      <c r="BN88" s="19"/>
      <c r="BO88" s="93"/>
      <c r="BP88" s="93"/>
      <c r="BQ88" s="93"/>
      <c r="BR88" s="93"/>
      <c r="BS88" s="93"/>
      <c r="BT88" s="93"/>
      <c r="BU88" s="20"/>
      <c r="BV88" s="25">
        <v>21</v>
      </c>
      <c r="BW88" s="97"/>
      <c r="BX88" s="1504">
        <v>37135</v>
      </c>
      <c r="BY88" s="19"/>
      <c r="BZ88" s="99">
        <v>664.95699999999999</v>
      </c>
      <c r="CA88" s="93"/>
      <c r="CB88" s="93"/>
      <c r="CC88" s="93"/>
      <c r="CD88" s="25">
        <v>21</v>
      </c>
      <c r="CE88" s="97"/>
      <c r="CF88" s="1504">
        <v>37135</v>
      </c>
      <c r="CG88" s="19">
        <v>0.90969999999999995</v>
      </c>
      <c r="CH88" s="93">
        <v>283.42</v>
      </c>
      <c r="CI88" s="219"/>
      <c r="CJ88" s="20"/>
      <c r="CK88" s="19"/>
      <c r="CL88" s="93"/>
      <c r="CM88" s="93"/>
      <c r="CN88" s="93"/>
      <c r="CO88" s="93"/>
      <c r="CP88" s="20"/>
      <c r="CQ88" s="219">
        <v>749.57</v>
      </c>
      <c r="CR88" s="93">
        <v>1.3875</v>
      </c>
      <c r="CS88" s="93"/>
      <c r="CT88" s="93"/>
      <c r="CU88" s="93"/>
      <c r="CV88" s="214"/>
      <c r="CW88" s="29">
        <v>21</v>
      </c>
      <c r="CX88" s="41">
        <f t="shared" si="188"/>
        <v>2001</v>
      </c>
      <c r="CY88" s="1504">
        <v>37135</v>
      </c>
      <c r="CZ88" s="733">
        <v>25.635114000000002</v>
      </c>
      <c r="DA88" s="570">
        <v>16.342779</v>
      </c>
      <c r="DB88" s="570">
        <v>9.2923349999999996</v>
      </c>
      <c r="DC88" s="93"/>
      <c r="DD88" s="93"/>
      <c r="DE88" s="20"/>
      <c r="DF88" s="29">
        <v>21</v>
      </c>
      <c r="DG88" s="1504">
        <v>37135</v>
      </c>
      <c r="DH88" s="19"/>
      <c r="DI88" s="93"/>
      <c r="DJ88" s="93"/>
      <c r="DK88" s="93"/>
      <c r="DL88" s="93"/>
      <c r="DM88" s="93"/>
      <c r="DN88" s="20"/>
      <c r="DO88" s="25"/>
      <c r="DP88" s="29">
        <v>21</v>
      </c>
      <c r="DQ88" s="1504">
        <v>37135</v>
      </c>
      <c r="DR88" s="19"/>
      <c r="DS88" s="93"/>
      <c r="DT88" s="93"/>
      <c r="DU88" s="93"/>
      <c r="DV88" s="93"/>
      <c r="DW88" s="93"/>
      <c r="DX88" s="20"/>
      <c r="DY88" s="29">
        <v>21</v>
      </c>
      <c r="DZ88" s="1504">
        <v>37135</v>
      </c>
      <c r="EA88" s="19"/>
      <c r="EB88" s="93"/>
      <c r="EC88" s="20"/>
      <c r="ED88" s="29">
        <v>21</v>
      </c>
      <c r="EE88" s="1504">
        <v>37135</v>
      </c>
      <c r="EF88" s="19"/>
      <c r="EG88" s="93"/>
      <c r="EH88" s="93"/>
      <c r="EI88" s="214"/>
      <c r="EJ88" s="93"/>
      <c r="EK88" s="93"/>
      <c r="EL88" s="93"/>
      <c r="EM88" s="93"/>
      <c r="EN88" s="20"/>
      <c r="EO88" s="29">
        <v>21</v>
      </c>
      <c r="EP88" s="1504">
        <v>37135</v>
      </c>
      <c r="EQ88" s="19"/>
      <c r="ER88" s="93"/>
      <c r="ES88" s="93"/>
      <c r="ET88" s="214"/>
      <c r="EU88" s="93"/>
      <c r="EV88" s="93"/>
      <c r="EW88" s="93"/>
      <c r="EX88" s="93"/>
      <c r="EY88" s="20"/>
      <c r="EZ88" s="29">
        <v>21</v>
      </c>
      <c r="FA88" s="1504">
        <v>37135</v>
      </c>
      <c r="FB88" s="29"/>
      <c r="FC88" s="29"/>
      <c r="FD88" s="29"/>
      <c r="FE88" s="29"/>
      <c r="FF88" s="29"/>
      <c r="FG88" s="29"/>
      <c r="FH88" s="29"/>
      <c r="FI88" s="29"/>
      <c r="FJ88" s="29"/>
      <c r="FK88" s="29">
        <v>21</v>
      </c>
      <c r="FL88" s="1504">
        <v>37135</v>
      </c>
      <c r="FM88" s="19"/>
      <c r="FN88" s="93"/>
      <c r="FO88" s="93"/>
      <c r="FP88" s="93"/>
      <c r="FQ88" s="93"/>
      <c r="FR88" s="93"/>
      <c r="FS88" s="93"/>
      <c r="FT88" s="93"/>
      <c r="FU88" s="93"/>
      <c r="FV88" s="93"/>
      <c r="FW88" s="93"/>
      <c r="FX88" s="93"/>
      <c r="FY88" s="93"/>
      <c r="FZ88" s="29">
        <v>21</v>
      </c>
      <c r="GA88" s="1504">
        <v>37135</v>
      </c>
      <c r="GB88" s="19"/>
      <c r="GC88" s="93"/>
      <c r="GD88" s="93"/>
      <c r="GE88" s="93"/>
      <c r="GF88" s="93"/>
      <c r="GG88" s="93"/>
      <c r="GH88" s="93"/>
      <c r="GI88" s="93"/>
      <c r="GJ88" s="93"/>
      <c r="GK88" s="93"/>
      <c r="GL88" s="93"/>
      <c r="GM88" s="93"/>
      <c r="GN88" s="20"/>
      <c r="GO88" s="29">
        <v>21</v>
      </c>
      <c r="GP88" s="1504">
        <v>37135</v>
      </c>
      <c r="GQ88" s="19"/>
      <c r="GR88" s="93"/>
      <c r="GS88" s="93"/>
      <c r="GT88" s="93"/>
      <c r="GU88" s="93"/>
      <c r="GV88" s="20"/>
      <c r="GW88" s="19"/>
      <c r="GX88" s="93"/>
      <c r="GY88" s="93"/>
      <c r="GZ88" s="93"/>
      <c r="HA88" s="93"/>
      <c r="HB88" s="20"/>
      <c r="HC88" s="19"/>
      <c r="HD88" s="93"/>
      <c r="HE88" s="93"/>
      <c r="HF88" s="93"/>
      <c r="HG88" s="93"/>
      <c r="HH88" s="20"/>
      <c r="HI88" s="19"/>
      <c r="HJ88" s="93"/>
      <c r="HK88" s="93"/>
      <c r="HL88" s="93"/>
      <c r="HM88" s="93"/>
      <c r="HN88" s="20"/>
      <c r="HO88" s="219"/>
      <c r="HP88" s="20"/>
      <c r="HQ88" s="25"/>
      <c r="HR88" s="29">
        <v>21</v>
      </c>
      <c r="HS88" s="1504">
        <v>37135</v>
      </c>
      <c r="HT88" s="19"/>
      <c r="HU88" s="93"/>
      <c r="HV88" s="93"/>
      <c r="HW88" s="93"/>
      <c r="HX88" s="93"/>
      <c r="HY88" s="93"/>
      <c r="HZ88" s="93"/>
      <c r="IA88" s="20"/>
      <c r="IB88" s="19"/>
      <c r="IC88" s="93"/>
      <c r="ID88" s="93"/>
      <c r="IE88" s="93"/>
      <c r="IF88" s="93"/>
      <c r="IG88" s="20"/>
      <c r="IH88" s="19"/>
      <c r="II88" s="93"/>
      <c r="IJ88" s="93"/>
      <c r="IK88" s="93"/>
      <c r="IL88" s="93"/>
      <c r="IM88" s="93"/>
      <c r="IN88" s="93"/>
      <c r="IO88" s="20"/>
      <c r="IP88" s="29">
        <v>21</v>
      </c>
      <c r="IQ88" s="19"/>
      <c r="IR88" s="93"/>
      <c r="IS88" s="93"/>
      <c r="IT88" s="93"/>
      <c r="IU88" s="93"/>
      <c r="IV88" s="20"/>
      <c r="IW88" s="29">
        <v>21</v>
      </c>
      <c r="IX88" s="19"/>
      <c r="IY88" s="93"/>
      <c r="IZ88" s="93"/>
      <c r="JA88" s="93"/>
      <c r="JB88" s="93"/>
      <c r="JC88" s="93"/>
      <c r="JD88" s="93"/>
      <c r="JE88" s="20"/>
      <c r="JF88" s="29">
        <v>21</v>
      </c>
      <c r="JG88" s="19"/>
      <c r="JH88" s="93"/>
      <c r="JI88" s="93"/>
      <c r="JJ88" s="93"/>
      <c r="JK88" s="93"/>
      <c r="JL88" s="93"/>
      <c r="JM88" s="93"/>
      <c r="JN88" s="20"/>
      <c r="JO88" s="29">
        <v>21</v>
      </c>
      <c r="JP88" s="19"/>
      <c r="JQ88" s="93"/>
      <c r="JR88" s="93"/>
      <c r="JS88" s="93"/>
      <c r="JT88" s="93"/>
      <c r="JU88" s="20"/>
      <c r="JV88" s="29">
        <v>21</v>
      </c>
      <c r="JW88" s="1504">
        <v>37135</v>
      </c>
      <c r="JX88" s="19"/>
      <c r="JY88" s="93"/>
      <c r="JZ88" s="93"/>
      <c r="KA88" s="93"/>
      <c r="KB88" s="93"/>
      <c r="KC88" s="93"/>
      <c r="KD88" s="20"/>
      <c r="KE88" s="29">
        <v>21</v>
      </c>
      <c r="KF88" s="19"/>
      <c r="KG88" s="93"/>
      <c r="KH88" s="93"/>
      <c r="KI88" s="93"/>
      <c r="KJ88" s="93"/>
      <c r="KK88" s="20"/>
      <c r="KL88" s="29">
        <v>21</v>
      </c>
      <c r="KM88" s="19"/>
      <c r="KN88" s="93"/>
      <c r="KO88" s="93"/>
      <c r="KP88" s="93"/>
      <c r="KQ88" s="93"/>
      <c r="KR88" s="20"/>
      <c r="KS88" s="29">
        <v>21</v>
      </c>
      <c r="KT88" s="19"/>
      <c r="KU88" s="93"/>
      <c r="KV88" s="93"/>
      <c r="KW88" s="93"/>
      <c r="KX88" s="93"/>
      <c r="KY88" s="20"/>
      <c r="KZ88" s="29">
        <v>21</v>
      </c>
      <c r="LA88" s="1504">
        <v>37135</v>
      </c>
      <c r="LB88" s="19"/>
      <c r="LC88" s="93"/>
      <c r="LD88" s="93"/>
      <c r="LE88" s="93"/>
      <c r="LF88" s="93"/>
      <c r="LG88" s="93"/>
      <c r="LH88" s="20"/>
      <c r="LI88" s="29">
        <v>21</v>
      </c>
      <c r="LJ88" s="19"/>
      <c r="LK88" s="93"/>
      <c r="LL88" s="93"/>
      <c r="LM88" s="93"/>
      <c r="LN88" s="93"/>
      <c r="LO88" s="20"/>
      <c r="LP88" s="29">
        <v>21</v>
      </c>
      <c r="LQ88" s="19"/>
      <c r="LR88" s="93"/>
      <c r="LS88" s="93"/>
      <c r="LT88" s="93"/>
      <c r="LU88" s="93"/>
      <c r="LV88" s="93"/>
      <c r="LW88" s="93"/>
      <c r="LX88" s="93"/>
      <c r="LY88" s="93"/>
      <c r="LZ88" s="93"/>
      <c r="MA88" s="20"/>
      <c r="MB88" s="29">
        <v>21</v>
      </c>
      <c r="MC88" s="1504">
        <v>37135</v>
      </c>
      <c r="MD88" s="19"/>
      <c r="ME88" s="93"/>
      <c r="MF88" s="93"/>
      <c r="MG88" s="93"/>
      <c r="MH88" s="93"/>
      <c r="MI88" s="93"/>
      <c r="MJ88" s="93"/>
      <c r="MK88" s="93"/>
      <c r="ML88" s="93"/>
      <c r="MM88" s="93"/>
      <c r="MN88" s="93"/>
      <c r="MO88" s="93"/>
      <c r="MP88" s="93"/>
      <c r="MQ88" s="93"/>
      <c r="MR88" s="93"/>
      <c r="MS88" s="93"/>
      <c r="MT88" s="93"/>
      <c r="MU88" s="93"/>
      <c r="MV88" s="93"/>
      <c r="MW88" s="93"/>
      <c r="MX88" s="93"/>
      <c r="MY88" s="93"/>
      <c r="MZ88" s="93"/>
      <c r="NA88" s="93"/>
      <c r="NB88" s="93"/>
      <c r="NC88" s="93"/>
      <c r="ND88" s="93"/>
      <c r="NE88" s="93"/>
      <c r="NF88" s="93"/>
      <c r="NG88" s="93"/>
      <c r="NH88" s="93"/>
      <c r="NI88" s="93"/>
      <c r="NJ88" s="93"/>
      <c r="NK88" s="93"/>
      <c r="NL88" s="93"/>
      <c r="NM88" s="93"/>
      <c r="NN88" s="93"/>
      <c r="NO88" s="93"/>
      <c r="NP88" s="93"/>
      <c r="NQ88" s="93"/>
      <c r="NR88" s="93"/>
      <c r="NS88" s="93"/>
      <c r="NT88" s="93"/>
      <c r="NU88" s="93"/>
      <c r="NV88" s="93"/>
      <c r="NW88" s="93"/>
      <c r="NX88" s="93"/>
      <c r="NY88" s="93"/>
      <c r="NZ88" s="93"/>
      <c r="OA88" s="93"/>
      <c r="OB88" s="93"/>
      <c r="OC88" s="93"/>
      <c r="OD88" s="20"/>
      <c r="OE88" s="29">
        <v>21</v>
      </c>
      <c r="OF88" s="1504">
        <v>37135</v>
      </c>
      <c r="OG88" s="19"/>
      <c r="OH88" s="93"/>
      <c r="OI88" s="93"/>
      <c r="OJ88" s="93"/>
      <c r="OK88" s="93"/>
      <c r="OL88" s="93"/>
      <c r="OM88" s="93"/>
      <c r="ON88" s="93"/>
      <c r="OO88" s="93"/>
      <c r="OP88" s="93"/>
      <c r="OQ88" s="93"/>
      <c r="OR88" s="93"/>
      <c r="OS88" s="93"/>
      <c r="OT88" s="93"/>
      <c r="OU88" s="93"/>
      <c r="OV88" s="93"/>
      <c r="OW88" s="93"/>
      <c r="OX88" s="93"/>
      <c r="OY88" s="93"/>
      <c r="OZ88" s="93"/>
      <c r="PA88" s="93"/>
      <c r="PB88" s="93"/>
      <c r="PC88" s="20"/>
      <c r="PD88" s="29">
        <v>21</v>
      </c>
      <c r="PE88" s="19"/>
      <c r="PF88" s="93"/>
      <c r="PG88" s="93"/>
      <c r="PH88" s="93"/>
      <c r="PI88" s="93"/>
      <c r="PJ88" s="93"/>
      <c r="PK88" s="93"/>
      <c r="PL88" s="93"/>
      <c r="PM88" s="93"/>
      <c r="PN88" s="93"/>
      <c r="PO88" s="93"/>
      <c r="PP88" s="93"/>
      <c r="PQ88" s="93"/>
      <c r="PR88" s="93"/>
      <c r="PS88" s="93"/>
      <c r="PT88" s="93"/>
      <c r="PU88" s="93"/>
      <c r="PV88" s="93"/>
      <c r="PW88" s="93"/>
      <c r="PX88" s="93"/>
      <c r="PY88" s="93"/>
      <c r="PZ88" s="93"/>
      <c r="QA88" s="93"/>
      <c r="QB88" s="93"/>
      <c r="QC88" s="93"/>
      <c r="QD88" s="93"/>
      <c r="QE88" s="20"/>
      <c r="QF88" s="1739">
        <v>21</v>
      </c>
      <c r="QG88" s="19"/>
      <c r="QH88" s="93"/>
      <c r="QI88" s="93"/>
      <c r="QJ88" s="93"/>
      <c r="QK88" s="93"/>
      <c r="QL88" s="93"/>
      <c r="QM88" s="93"/>
      <c r="QN88" s="93"/>
      <c r="QO88" s="93"/>
      <c r="QP88" s="93"/>
      <c r="QQ88" s="93"/>
      <c r="QR88" s="93"/>
      <c r="QS88" s="93"/>
      <c r="QT88" s="93"/>
      <c r="QU88" s="93"/>
      <c r="QV88" s="93"/>
      <c r="QW88" s="93"/>
      <c r="QX88" s="93"/>
      <c r="QY88" s="93"/>
      <c r="QZ88" s="93"/>
      <c r="RA88" s="93"/>
      <c r="RB88" s="93"/>
      <c r="RC88" s="93"/>
      <c r="RD88" s="93"/>
      <c r="RE88" s="93"/>
      <c r="RF88" s="93"/>
      <c r="RG88" s="93"/>
      <c r="RH88" s="93"/>
      <c r="RI88" s="93"/>
      <c r="RJ88" s="93"/>
      <c r="RK88" s="93"/>
      <c r="RL88" s="93"/>
      <c r="RM88" s="20"/>
      <c r="RN88" s="29">
        <v>21</v>
      </c>
      <c r="RO88" s="19"/>
      <c r="RP88" s="20"/>
      <c r="RQ88" s="29">
        <v>21</v>
      </c>
      <c r="RR88" s="20"/>
      <c r="RS88" s="29">
        <v>21</v>
      </c>
      <c r="RT88" s="1504">
        <v>37135</v>
      </c>
      <c r="RU88" s="19"/>
      <c r="RV88" s="20"/>
      <c r="RW88" s="29">
        <v>21</v>
      </c>
      <c r="RX88" s="1504">
        <v>37135</v>
      </c>
      <c r="RY88" s="29"/>
      <c r="RZ88" s="20"/>
      <c r="SA88" s="29"/>
      <c r="SB88" s="29">
        <v>21</v>
      </c>
    </row>
    <row r="89" spans="1:496">
      <c r="A89" s="41">
        <f t="shared" si="187"/>
        <v>2001</v>
      </c>
      <c r="B89" s="1504">
        <v>37165</v>
      </c>
      <c r="C89" s="1813"/>
      <c r="D89" s="1814"/>
      <c r="E89" s="1814"/>
      <c r="F89" s="1815"/>
      <c r="G89" s="1814"/>
      <c r="H89" s="1814"/>
      <c r="I89" s="1814"/>
      <c r="J89" s="1816"/>
      <c r="K89" s="1807"/>
      <c r="L89" s="25">
        <v>22</v>
      </c>
      <c r="M89" s="97"/>
      <c r="N89" s="1504">
        <v>37165</v>
      </c>
      <c r="O89" s="19"/>
      <c r="P89" s="93"/>
      <c r="Q89" s="93"/>
      <c r="R89" s="93"/>
      <c r="S89" s="93"/>
      <c r="T89" s="93"/>
      <c r="U89" s="93"/>
      <c r="V89" s="93"/>
      <c r="W89" s="93"/>
      <c r="X89" s="93"/>
      <c r="Y89" s="93"/>
      <c r="Z89" s="93"/>
      <c r="AA89" s="93"/>
      <c r="AB89" s="20"/>
      <c r="AC89" s="25">
        <v>22</v>
      </c>
      <c r="AD89" s="97"/>
      <c r="AE89" s="1504">
        <v>37165</v>
      </c>
      <c r="AF89" s="19"/>
      <c r="AG89" s="93"/>
      <c r="AH89" s="93"/>
      <c r="AI89" s="93"/>
      <c r="AJ89" s="93"/>
      <c r="AK89" s="93"/>
      <c r="AL89" s="93"/>
      <c r="AM89" s="93"/>
      <c r="AN89" s="93"/>
      <c r="AO89" s="93"/>
      <c r="AP89" s="93"/>
      <c r="AQ89" s="93"/>
      <c r="AR89" s="93"/>
      <c r="AS89" s="20"/>
      <c r="AT89" s="25">
        <v>22</v>
      </c>
      <c r="AU89" s="97"/>
      <c r="AV89" s="1504">
        <v>37165</v>
      </c>
      <c r="AW89" s="19"/>
      <c r="AX89" s="93"/>
      <c r="AY89" s="93"/>
      <c r="AZ89" s="93"/>
      <c r="BA89" s="93"/>
      <c r="BB89" s="93"/>
      <c r="BC89" s="93"/>
      <c r="BD89" s="93"/>
      <c r="BE89" s="93"/>
      <c r="BF89" s="93"/>
      <c r="BG89" s="93"/>
      <c r="BH89" s="93"/>
      <c r="BI89" s="93"/>
      <c r="BJ89" s="20"/>
      <c r="BK89" s="25">
        <v>22</v>
      </c>
      <c r="BL89" s="97"/>
      <c r="BM89" s="1504">
        <v>37165</v>
      </c>
      <c r="BN89" s="19"/>
      <c r="BO89" s="93"/>
      <c r="BP89" s="93"/>
      <c r="BQ89" s="93"/>
      <c r="BR89" s="93"/>
      <c r="BS89" s="93"/>
      <c r="BT89" s="93"/>
      <c r="BU89" s="20"/>
      <c r="BV89" s="25">
        <v>22</v>
      </c>
      <c r="BW89" s="97"/>
      <c r="BX89" s="1504">
        <v>37165</v>
      </c>
      <c r="BY89" s="19"/>
      <c r="BZ89" s="99">
        <v>664.95699999999999</v>
      </c>
      <c r="CA89" s="93"/>
      <c r="CB89" s="93"/>
      <c r="CC89" s="93"/>
      <c r="CD89" s="25">
        <v>22</v>
      </c>
      <c r="CE89" s="97"/>
      <c r="CF89" s="1504">
        <v>37165</v>
      </c>
      <c r="CG89" s="19">
        <v>0.82010000000000005</v>
      </c>
      <c r="CH89" s="93">
        <v>283.06</v>
      </c>
      <c r="CI89" s="219"/>
      <c r="CJ89" s="20"/>
      <c r="CK89" s="19"/>
      <c r="CL89" s="93"/>
      <c r="CM89" s="93"/>
      <c r="CN89" s="93"/>
      <c r="CO89" s="93"/>
      <c r="CP89" s="20"/>
      <c r="CQ89" s="219">
        <v>761.6</v>
      </c>
      <c r="CR89" s="93">
        <v>1.3819999999999999</v>
      </c>
      <c r="CS89" s="93"/>
      <c r="CT89" s="93"/>
      <c r="CU89" s="93"/>
      <c r="CV89" s="214"/>
      <c r="CW89" s="29">
        <v>22</v>
      </c>
      <c r="CX89" s="41">
        <f t="shared" si="188"/>
        <v>2001</v>
      </c>
      <c r="CY89" s="1504">
        <v>37165</v>
      </c>
      <c r="CZ89" s="733">
        <v>26.999290000000002</v>
      </c>
      <c r="DA89" s="570">
        <v>17.646736000000001</v>
      </c>
      <c r="DB89" s="570">
        <v>9.3525539999999996</v>
      </c>
      <c r="DC89" s="93"/>
      <c r="DD89" s="93"/>
      <c r="DE89" s="20"/>
      <c r="DF89" s="29">
        <v>22</v>
      </c>
      <c r="DG89" s="1504">
        <v>37165</v>
      </c>
      <c r="DH89" s="19"/>
      <c r="DI89" s="93"/>
      <c r="DJ89" s="93"/>
      <c r="DK89" s="93"/>
      <c r="DL89" s="93"/>
      <c r="DM89" s="93"/>
      <c r="DN89" s="20"/>
      <c r="DO89" s="25"/>
      <c r="DP89" s="29">
        <v>22</v>
      </c>
      <c r="DQ89" s="1504">
        <v>37165</v>
      </c>
      <c r="DR89" s="19"/>
      <c r="DS89" s="93"/>
      <c r="DT89" s="93"/>
      <c r="DU89" s="93"/>
      <c r="DV89" s="93"/>
      <c r="DW89" s="93"/>
      <c r="DX89" s="20"/>
      <c r="DY89" s="29">
        <v>22</v>
      </c>
      <c r="DZ89" s="1504">
        <v>37165</v>
      </c>
      <c r="EA89" s="19"/>
      <c r="EB89" s="93"/>
      <c r="EC89" s="20"/>
      <c r="ED89" s="29">
        <v>22</v>
      </c>
      <c r="EE89" s="1504">
        <v>37165</v>
      </c>
      <c r="EF89" s="19"/>
      <c r="EG89" s="93"/>
      <c r="EH89" s="93"/>
      <c r="EI89" s="214"/>
      <c r="EJ89" s="93"/>
      <c r="EK89" s="93"/>
      <c r="EL89" s="93"/>
      <c r="EM89" s="93"/>
      <c r="EN89" s="20"/>
      <c r="EO89" s="29">
        <v>22</v>
      </c>
      <c r="EP89" s="1504">
        <v>37165</v>
      </c>
      <c r="EQ89" s="19"/>
      <c r="ER89" s="93"/>
      <c r="ES89" s="93"/>
      <c r="ET89" s="214"/>
      <c r="EU89" s="93"/>
      <c r="EV89" s="93"/>
      <c r="EW89" s="93"/>
      <c r="EX89" s="93"/>
      <c r="EY89" s="20"/>
      <c r="EZ89" s="29">
        <v>22</v>
      </c>
      <c r="FA89" s="1504">
        <v>37165</v>
      </c>
      <c r="FB89" s="29"/>
      <c r="FC89" s="29"/>
      <c r="FD89" s="29"/>
      <c r="FE89" s="29"/>
      <c r="FF89" s="29"/>
      <c r="FG89" s="29"/>
      <c r="FH89" s="29"/>
      <c r="FI89" s="29"/>
      <c r="FJ89" s="29"/>
      <c r="FK89" s="29">
        <v>22</v>
      </c>
      <c r="FL89" s="1504">
        <v>37165</v>
      </c>
      <c r="FM89" s="19"/>
      <c r="FN89" s="93"/>
      <c r="FO89" s="93"/>
      <c r="FP89" s="93"/>
      <c r="FQ89" s="93"/>
      <c r="FR89" s="93"/>
      <c r="FS89" s="93"/>
      <c r="FT89" s="93"/>
      <c r="FU89" s="93"/>
      <c r="FV89" s="93"/>
      <c r="FW89" s="93"/>
      <c r="FX89" s="93"/>
      <c r="FY89" s="93"/>
      <c r="FZ89" s="29">
        <v>22</v>
      </c>
      <c r="GA89" s="1504">
        <v>37165</v>
      </c>
      <c r="GB89" s="19"/>
      <c r="GC89" s="93"/>
      <c r="GD89" s="93"/>
      <c r="GE89" s="93"/>
      <c r="GF89" s="93"/>
      <c r="GG89" s="93"/>
      <c r="GH89" s="93"/>
      <c r="GI89" s="93"/>
      <c r="GJ89" s="93"/>
      <c r="GK89" s="93"/>
      <c r="GL89" s="93"/>
      <c r="GM89" s="93"/>
      <c r="GN89" s="20"/>
      <c r="GO89" s="29">
        <v>22</v>
      </c>
      <c r="GP89" s="1504">
        <v>37165</v>
      </c>
      <c r="GQ89" s="19"/>
      <c r="GR89" s="93"/>
      <c r="GS89" s="93"/>
      <c r="GT89" s="93"/>
      <c r="GU89" s="93"/>
      <c r="GV89" s="20"/>
      <c r="GW89" s="19"/>
      <c r="GX89" s="93"/>
      <c r="GY89" s="93"/>
      <c r="GZ89" s="93"/>
      <c r="HA89" s="93"/>
      <c r="HB89" s="20"/>
      <c r="HC89" s="19"/>
      <c r="HD89" s="93"/>
      <c r="HE89" s="93"/>
      <c r="HF89" s="93"/>
      <c r="HG89" s="93"/>
      <c r="HH89" s="20"/>
      <c r="HI89" s="19"/>
      <c r="HJ89" s="93"/>
      <c r="HK89" s="93"/>
      <c r="HL89" s="93"/>
      <c r="HM89" s="93"/>
      <c r="HN89" s="20"/>
      <c r="HO89" s="219"/>
      <c r="HP89" s="20"/>
      <c r="HQ89" s="25"/>
      <c r="HR89" s="29">
        <v>22</v>
      </c>
      <c r="HS89" s="1504">
        <v>37165</v>
      </c>
      <c r="HT89" s="19"/>
      <c r="HU89" s="93"/>
      <c r="HV89" s="93"/>
      <c r="HW89" s="93"/>
      <c r="HX89" s="93"/>
      <c r="HY89" s="93"/>
      <c r="HZ89" s="93"/>
      <c r="IA89" s="20"/>
      <c r="IB89" s="19"/>
      <c r="IC89" s="93"/>
      <c r="ID89" s="93"/>
      <c r="IE89" s="93"/>
      <c r="IF89" s="93"/>
      <c r="IG89" s="20"/>
      <c r="IH89" s="19"/>
      <c r="II89" s="93"/>
      <c r="IJ89" s="93"/>
      <c r="IK89" s="93"/>
      <c r="IL89" s="93"/>
      <c r="IM89" s="93"/>
      <c r="IN89" s="93"/>
      <c r="IO89" s="20"/>
      <c r="IP89" s="29">
        <v>22</v>
      </c>
      <c r="IQ89" s="19"/>
      <c r="IR89" s="93"/>
      <c r="IS89" s="93"/>
      <c r="IT89" s="93"/>
      <c r="IU89" s="93"/>
      <c r="IV89" s="20"/>
      <c r="IW89" s="29">
        <v>22</v>
      </c>
      <c r="IX89" s="19"/>
      <c r="IY89" s="93"/>
      <c r="IZ89" s="93"/>
      <c r="JA89" s="93"/>
      <c r="JB89" s="93"/>
      <c r="JC89" s="93"/>
      <c r="JD89" s="93"/>
      <c r="JE89" s="20"/>
      <c r="JF89" s="29">
        <v>22</v>
      </c>
      <c r="JG89" s="19"/>
      <c r="JH89" s="93"/>
      <c r="JI89" s="93"/>
      <c r="JJ89" s="93"/>
      <c r="JK89" s="93"/>
      <c r="JL89" s="93"/>
      <c r="JM89" s="93"/>
      <c r="JN89" s="20"/>
      <c r="JO89" s="29">
        <v>22</v>
      </c>
      <c r="JP89" s="19"/>
      <c r="JQ89" s="93"/>
      <c r="JR89" s="93"/>
      <c r="JS89" s="93"/>
      <c r="JT89" s="93"/>
      <c r="JU89" s="20"/>
      <c r="JV89" s="29">
        <v>22</v>
      </c>
      <c r="JW89" s="1504">
        <v>37165</v>
      </c>
      <c r="JX89" s="19"/>
      <c r="JY89" s="93"/>
      <c r="JZ89" s="93"/>
      <c r="KA89" s="93"/>
      <c r="KB89" s="93"/>
      <c r="KC89" s="93"/>
      <c r="KD89" s="20"/>
      <c r="KE89" s="29">
        <v>22</v>
      </c>
      <c r="KF89" s="19"/>
      <c r="KG89" s="93"/>
      <c r="KH89" s="93"/>
      <c r="KI89" s="93"/>
      <c r="KJ89" s="93"/>
      <c r="KK89" s="20"/>
      <c r="KL89" s="29">
        <v>22</v>
      </c>
      <c r="KM89" s="19"/>
      <c r="KN89" s="93"/>
      <c r="KO89" s="93"/>
      <c r="KP89" s="93"/>
      <c r="KQ89" s="93"/>
      <c r="KR89" s="20"/>
      <c r="KS89" s="29">
        <v>22</v>
      </c>
      <c r="KT89" s="19"/>
      <c r="KU89" s="93"/>
      <c r="KV89" s="93"/>
      <c r="KW89" s="93"/>
      <c r="KX89" s="93"/>
      <c r="KY89" s="20"/>
      <c r="KZ89" s="29">
        <v>22</v>
      </c>
      <c r="LA89" s="1504">
        <v>37165</v>
      </c>
      <c r="LB89" s="19"/>
      <c r="LC89" s="93"/>
      <c r="LD89" s="93"/>
      <c r="LE89" s="93"/>
      <c r="LF89" s="93"/>
      <c r="LG89" s="93"/>
      <c r="LH89" s="20"/>
      <c r="LI89" s="29">
        <v>22</v>
      </c>
      <c r="LJ89" s="19"/>
      <c r="LK89" s="93"/>
      <c r="LL89" s="93"/>
      <c r="LM89" s="93"/>
      <c r="LN89" s="93"/>
      <c r="LO89" s="20"/>
      <c r="LP89" s="29">
        <v>22</v>
      </c>
      <c r="LQ89" s="19"/>
      <c r="LR89" s="93"/>
      <c r="LS89" s="93"/>
      <c r="LT89" s="93"/>
      <c r="LU89" s="93"/>
      <c r="LV89" s="93"/>
      <c r="LW89" s="93"/>
      <c r="LX89" s="93"/>
      <c r="LY89" s="93"/>
      <c r="LZ89" s="93"/>
      <c r="MA89" s="20"/>
      <c r="MB89" s="29">
        <v>22</v>
      </c>
      <c r="MC89" s="1504">
        <v>37165</v>
      </c>
      <c r="MD89" s="19"/>
      <c r="ME89" s="93"/>
      <c r="MF89" s="93"/>
      <c r="MG89" s="93"/>
      <c r="MH89" s="93"/>
      <c r="MI89" s="93"/>
      <c r="MJ89" s="93"/>
      <c r="MK89" s="93"/>
      <c r="ML89" s="93"/>
      <c r="MM89" s="93"/>
      <c r="MN89" s="93"/>
      <c r="MO89" s="93"/>
      <c r="MP89" s="93"/>
      <c r="MQ89" s="93"/>
      <c r="MR89" s="93"/>
      <c r="MS89" s="93"/>
      <c r="MT89" s="93"/>
      <c r="MU89" s="93"/>
      <c r="MV89" s="93"/>
      <c r="MW89" s="93"/>
      <c r="MX89" s="93"/>
      <c r="MY89" s="93"/>
      <c r="MZ89" s="93"/>
      <c r="NA89" s="93"/>
      <c r="NB89" s="93"/>
      <c r="NC89" s="93"/>
      <c r="ND89" s="93"/>
      <c r="NE89" s="93"/>
      <c r="NF89" s="93"/>
      <c r="NG89" s="93"/>
      <c r="NH89" s="93"/>
      <c r="NI89" s="93"/>
      <c r="NJ89" s="93"/>
      <c r="NK89" s="93"/>
      <c r="NL89" s="93"/>
      <c r="NM89" s="93"/>
      <c r="NN89" s="93"/>
      <c r="NO89" s="93"/>
      <c r="NP89" s="93"/>
      <c r="NQ89" s="93"/>
      <c r="NR89" s="93"/>
      <c r="NS89" s="93"/>
      <c r="NT89" s="93"/>
      <c r="NU89" s="93"/>
      <c r="NV89" s="93"/>
      <c r="NW89" s="93"/>
      <c r="NX89" s="93"/>
      <c r="NY89" s="93"/>
      <c r="NZ89" s="93"/>
      <c r="OA89" s="93"/>
      <c r="OB89" s="93"/>
      <c r="OC89" s="93"/>
      <c r="OD89" s="20"/>
      <c r="OE89" s="29">
        <v>22</v>
      </c>
      <c r="OF89" s="1504">
        <v>37165</v>
      </c>
      <c r="OG89" s="19"/>
      <c r="OH89" s="93"/>
      <c r="OI89" s="93"/>
      <c r="OJ89" s="93"/>
      <c r="OK89" s="93"/>
      <c r="OL89" s="93"/>
      <c r="OM89" s="93"/>
      <c r="ON89" s="93"/>
      <c r="OO89" s="93"/>
      <c r="OP89" s="93"/>
      <c r="OQ89" s="93"/>
      <c r="OR89" s="93"/>
      <c r="OS89" s="93"/>
      <c r="OT89" s="93"/>
      <c r="OU89" s="93"/>
      <c r="OV89" s="93"/>
      <c r="OW89" s="93"/>
      <c r="OX89" s="93"/>
      <c r="OY89" s="93"/>
      <c r="OZ89" s="93"/>
      <c r="PA89" s="93"/>
      <c r="PB89" s="93"/>
      <c r="PC89" s="20"/>
      <c r="PD89" s="29">
        <v>22</v>
      </c>
      <c r="PE89" s="19"/>
      <c r="PF89" s="93"/>
      <c r="PG89" s="93"/>
      <c r="PH89" s="93"/>
      <c r="PI89" s="93"/>
      <c r="PJ89" s="93"/>
      <c r="PK89" s="93"/>
      <c r="PL89" s="93"/>
      <c r="PM89" s="93"/>
      <c r="PN89" s="93"/>
      <c r="PO89" s="93"/>
      <c r="PP89" s="93"/>
      <c r="PQ89" s="93"/>
      <c r="PR89" s="93"/>
      <c r="PS89" s="93"/>
      <c r="PT89" s="93"/>
      <c r="PU89" s="93"/>
      <c r="PV89" s="93"/>
      <c r="PW89" s="93"/>
      <c r="PX89" s="93"/>
      <c r="PY89" s="93"/>
      <c r="PZ89" s="93"/>
      <c r="QA89" s="93"/>
      <c r="QB89" s="93"/>
      <c r="QC89" s="93"/>
      <c r="QD89" s="93"/>
      <c r="QE89" s="20"/>
      <c r="QF89" s="1739">
        <v>22</v>
      </c>
      <c r="QG89" s="19"/>
      <c r="QH89" s="93"/>
      <c r="QI89" s="93"/>
      <c r="QJ89" s="93"/>
      <c r="QK89" s="93"/>
      <c r="QL89" s="93"/>
      <c r="QM89" s="93"/>
      <c r="QN89" s="93"/>
      <c r="QO89" s="93"/>
      <c r="QP89" s="93"/>
      <c r="QQ89" s="93"/>
      <c r="QR89" s="93"/>
      <c r="QS89" s="93"/>
      <c r="QT89" s="93"/>
      <c r="QU89" s="93"/>
      <c r="QV89" s="93"/>
      <c r="QW89" s="93"/>
      <c r="QX89" s="93"/>
      <c r="QY89" s="93"/>
      <c r="QZ89" s="93"/>
      <c r="RA89" s="93"/>
      <c r="RB89" s="93"/>
      <c r="RC89" s="93"/>
      <c r="RD89" s="93"/>
      <c r="RE89" s="93"/>
      <c r="RF89" s="93"/>
      <c r="RG89" s="93"/>
      <c r="RH89" s="93"/>
      <c r="RI89" s="93"/>
      <c r="RJ89" s="93"/>
      <c r="RK89" s="93"/>
      <c r="RL89" s="93"/>
      <c r="RM89" s="20"/>
      <c r="RN89" s="29">
        <v>22</v>
      </c>
      <c r="RO89" s="19"/>
      <c r="RP89" s="20"/>
      <c r="RQ89" s="29">
        <v>22</v>
      </c>
      <c r="RR89" s="20"/>
      <c r="RS89" s="29">
        <v>22</v>
      </c>
      <c r="RT89" s="1504">
        <v>37165</v>
      </c>
      <c r="RU89" s="19"/>
      <c r="RV89" s="20"/>
      <c r="RW89" s="29">
        <v>22</v>
      </c>
      <c r="RX89" s="1504">
        <v>37165</v>
      </c>
      <c r="RY89" s="29"/>
      <c r="RZ89" s="20"/>
      <c r="SA89" s="29"/>
      <c r="SB89" s="29">
        <v>22</v>
      </c>
    </row>
    <row r="90" spans="1:496">
      <c r="A90" s="41">
        <f t="shared" si="187"/>
        <v>2001</v>
      </c>
      <c r="B90" s="1504">
        <v>37196</v>
      </c>
      <c r="C90" s="1813"/>
      <c r="D90" s="1814"/>
      <c r="E90" s="1814"/>
      <c r="F90" s="1815"/>
      <c r="G90" s="1814"/>
      <c r="H90" s="1814"/>
      <c r="I90" s="1814"/>
      <c r="J90" s="1816"/>
      <c r="K90" s="1807"/>
      <c r="L90" s="25">
        <v>23</v>
      </c>
      <c r="M90" s="97"/>
      <c r="N90" s="1504">
        <v>37196</v>
      </c>
      <c r="O90" s="19"/>
      <c r="P90" s="93"/>
      <c r="Q90" s="93"/>
      <c r="R90" s="93"/>
      <c r="S90" s="93"/>
      <c r="T90" s="93"/>
      <c r="U90" s="93"/>
      <c r="V90" s="93"/>
      <c r="W90" s="93"/>
      <c r="X90" s="93"/>
      <c r="Y90" s="93"/>
      <c r="Z90" s="93"/>
      <c r="AA90" s="93"/>
      <c r="AB90" s="20"/>
      <c r="AC90" s="25">
        <v>23</v>
      </c>
      <c r="AD90" s="97"/>
      <c r="AE90" s="1504">
        <v>37196</v>
      </c>
      <c r="AF90" s="19"/>
      <c r="AG90" s="93"/>
      <c r="AH90" s="93"/>
      <c r="AI90" s="93"/>
      <c r="AJ90" s="93"/>
      <c r="AK90" s="93"/>
      <c r="AL90" s="93"/>
      <c r="AM90" s="93"/>
      <c r="AN90" s="93"/>
      <c r="AO90" s="93"/>
      <c r="AP90" s="93"/>
      <c r="AQ90" s="93"/>
      <c r="AR90" s="93"/>
      <c r="AS90" s="20"/>
      <c r="AT90" s="25">
        <v>23</v>
      </c>
      <c r="AU90" s="97"/>
      <c r="AV90" s="1504">
        <v>37196</v>
      </c>
      <c r="AW90" s="19"/>
      <c r="AX90" s="93"/>
      <c r="AY90" s="93"/>
      <c r="AZ90" s="93"/>
      <c r="BA90" s="93"/>
      <c r="BB90" s="93"/>
      <c r="BC90" s="93"/>
      <c r="BD90" s="93"/>
      <c r="BE90" s="93"/>
      <c r="BF90" s="93"/>
      <c r="BG90" s="93"/>
      <c r="BH90" s="93"/>
      <c r="BI90" s="93"/>
      <c r="BJ90" s="20"/>
      <c r="BK90" s="25">
        <v>23</v>
      </c>
      <c r="BL90" s="97"/>
      <c r="BM90" s="1504">
        <v>37196</v>
      </c>
      <c r="BN90" s="19"/>
      <c r="BO90" s="93"/>
      <c r="BP90" s="93"/>
      <c r="BQ90" s="93"/>
      <c r="BR90" s="93"/>
      <c r="BS90" s="93"/>
      <c r="BT90" s="93"/>
      <c r="BU90" s="20"/>
      <c r="BV90" s="25">
        <v>23</v>
      </c>
      <c r="BW90" s="97"/>
      <c r="BX90" s="1504">
        <v>37196</v>
      </c>
      <c r="BY90" s="19"/>
      <c r="BZ90" s="99">
        <v>664.95699999999999</v>
      </c>
      <c r="CA90" s="93"/>
      <c r="CB90" s="93"/>
      <c r="CC90" s="93"/>
      <c r="CD90" s="25">
        <v>23</v>
      </c>
      <c r="CE90" s="97"/>
      <c r="CF90" s="1504">
        <v>37196</v>
      </c>
      <c r="CG90" s="19">
        <v>0.83779999999999999</v>
      </c>
      <c r="CH90" s="93">
        <v>276.16000000000003</v>
      </c>
      <c r="CI90" s="219"/>
      <c r="CJ90" s="20"/>
      <c r="CK90" s="19"/>
      <c r="CL90" s="93"/>
      <c r="CM90" s="93"/>
      <c r="CN90" s="93"/>
      <c r="CO90" s="93"/>
      <c r="CP90" s="20"/>
      <c r="CQ90" s="219">
        <v>759.59</v>
      </c>
      <c r="CR90" s="93">
        <v>1.4025000000000001</v>
      </c>
      <c r="CS90" s="93"/>
      <c r="CT90" s="93"/>
      <c r="CU90" s="93"/>
      <c r="CV90" s="214"/>
      <c r="CW90" s="29">
        <v>23</v>
      </c>
      <c r="CX90" s="41">
        <f t="shared" si="188"/>
        <v>2001</v>
      </c>
      <c r="CY90" s="1504">
        <v>37196</v>
      </c>
      <c r="CZ90" s="733">
        <v>31.198598</v>
      </c>
      <c r="DA90" s="570">
        <v>19.712167000000001</v>
      </c>
      <c r="DB90" s="570">
        <v>11.486431</v>
      </c>
      <c r="DC90" s="93"/>
      <c r="DD90" s="93"/>
      <c r="DE90" s="20"/>
      <c r="DF90" s="29">
        <v>23</v>
      </c>
      <c r="DG90" s="1504">
        <v>37196</v>
      </c>
      <c r="DH90" s="19"/>
      <c r="DI90" s="93"/>
      <c r="DJ90" s="93"/>
      <c r="DK90" s="93"/>
      <c r="DL90" s="93"/>
      <c r="DM90" s="93"/>
      <c r="DN90" s="20"/>
      <c r="DO90" s="25"/>
      <c r="DP90" s="29">
        <v>23</v>
      </c>
      <c r="DQ90" s="1504">
        <v>37196</v>
      </c>
      <c r="DR90" s="19"/>
      <c r="DS90" s="93"/>
      <c r="DT90" s="93"/>
      <c r="DU90" s="93"/>
      <c r="DV90" s="93"/>
      <c r="DW90" s="93"/>
      <c r="DX90" s="20"/>
      <c r="DY90" s="29">
        <v>23</v>
      </c>
      <c r="DZ90" s="1504">
        <v>37196</v>
      </c>
      <c r="EA90" s="19"/>
      <c r="EB90" s="93"/>
      <c r="EC90" s="20"/>
      <c r="ED90" s="29">
        <v>23</v>
      </c>
      <c r="EE90" s="1504">
        <v>37196</v>
      </c>
      <c r="EF90" s="19"/>
      <c r="EG90" s="93"/>
      <c r="EH90" s="93"/>
      <c r="EI90" s="214"/>
      <c r="EJ90" s="93"/>
      <c r="EK90" s="93"/>
      <c r="EL90" s="93"/>
      <c r="EM90" s="93"/>
      <c r="EN90" s="20"/>
      <c r="EO90" s="29">
        <v>23</v>
      </c>
      <c r="EP90" s="1504">
        <v>37196</v>
      </c>
      <c r="EQ90" s="19"/>
      <c r="ER90" s="93"/>
      <c r="ES90" s="93"/>
      <c r="ET90" s="214"/>
      <c r="EU90" s="93"/>
      <c r="EV90" s="93"/>
      <c r="EW90" s="93"/>
      <c r="EX90" s="93"/>
      <c r="EY90" s="20"/>
      <c r="EZ90" s="29">
        <v>23</v>
      </c>
      <c r="FA90" s="1504">
        <v>37196</v>
      </c>
      <c r="FB90" s="29"/>
      <c r="FC90" s="29"/>
      <c r="FD90" s="29"/>
      <c r="FE90" s="29"/>
      <c r="FF90" s="29"/>
      <c r="FG90" s="29"/>
      <c r="FH90" s="29"/>
      <c r="FI90" s="29"/>
      <c r="FJ90" s="29"/>
      <c r="FK90" s="29">
        <v>23</v>
      </c>
      <c r="FL90" s="1504">
        <v>37196</v>
      </c>
      <c r="FM90" s="19"/>
      <c r="FN90" s="93"/>
      <c r="FO90" s="93"/>
      <c r="FP90" s="93"/>
      <c r="FQ90" s="93"/>
      <c r="FR90" s="93"/>
      <c r="FS90" s="93"/>
      <c r="FT90" s="93"/>
      <c r="FU90" s="93"/>
      <c r="FV90" s="93"/>
      <c r="FW90" s="93"/>
      <c r="FX90" s="93"/>
      <c r="FY90" s="93"/>
      <c r="FZ90" s="29">
        <v>23</v>
      </c>
      <c r="GA90" s="1504">
        <v>37196</v>
      </c>
      <c r="GB90" s="19"/>
      <c r="GC90" s="93"/>
      <c r="GD90" s="93"/>
      <c r="GE90" s="93"/>
      <c r="GF90" s="93"/>
      <c r="GG90" s="93"/>
      <c r="GH90" s="93"/>
      <c r="GI90" s="93"/>
      <c r="GJ90" s="93"/>
      <c r="GK90" s="93"/>
      <c r="GL90" s="93"/>
      <c r="GM90" s="93"/>
      <c r="GN90" s="20"/>
      <c r="GO90" s="29">
        <v>23</v>
      </c>
      <c r="GP90" s="1504">
        <v>37196</v>
      </c>
      <c r="GQ90" s="19"/>
      <c r="GR90" s="93"/>
      <c r="GS90" s="93"/>
      <c r="GT90" s="93"/>
      <c r="GU90" s="93"/>
      <c r="GV90" s="20"/>
      <c r="GW90" s="19"/>
      <c r="GX90" s="93"/>
      <c r="GY90" s="93"/>
      <c r="GZ90" s="93"/>
      <c r="HA90" s="93"/>
      <c r="HB90" s="20"/>
      <c r="HC90" s="19"/>
      <c r="HD90" s="93"/>
      <c r="HE90" s="93"/>
      <c r="HF90" s="93"/>
      <c r="HG90" s="93"/>
      <c r="HH90" s="20"/>
      <c r="HI90" s="19"/>
      <c r="HJ90" s="93"/>
      <c r="HK90" s="93"/>
      <c r="HL90" s="93"/>
      <c r="HM90" s="93"/>
      <c r="HN90" s="20"/>
      <c r="HO90" s="219"/>
      <c r="HP90" s="20"/>
      <c r="HQ90" s="25"/>
      <c r="HR90" s="29">
        <v>23</v>
      </c>
      <c r="HS90" s="1504">
        <v>37196</v>
      </c>
      <c r="HT90" s="19"/>
      <c r="HU90" s="93"/>
      <c r="HV90" s="93"/>
      <c r="HW90" s="93"/>
      <c r="HX90" s="93"/>
      <c r="HY90" s="93"/>
      <c r="HZ90" s="93"/>
      <c r="IA90" s="20"/>
      <c r="IB90" s="19"/>
      <c r="IC90" s="93"/>
      <c r="ID90" s="93"/>
      <c r="IE90" s="93"/>
      <c r="IF90" s="93"/>
      <c r="IG90" s="20"/>
      <c r="IH90" s="19"/>
      <c r="II90" s="93"/>
      <c r="IJ90" s="93"/>
      <c r="IK90" s="93"/>
      <c r="IL90" s="93"/>
      <c r="IM90" s="93"/>
      <c r="IN90" s="93"/>
      <c r="IO90" s="20"/>
      <c r="IP90" s="29">
        <v>23</v>
      </c>
      <c r="IQ90" s="19"/>
      <c r="IR90" s="93"/>
      <c r="IS90" s="93"/>
      <c r="IT90" s="93"/>
      <c r="IU90" s="93"/>
      <c r="IV90" s="20"/>
      <c r="IW90" s="29">
        <v>23</v>
      </c>
      <c r="IX90" s="19"/>
      <c r="IY90" s="93"/>
      <c r="IZ90" s="93"/>
      <c r="JA90" s="93"/>
      <c r="JB90" s="93"/>
      <c r="JC90" s="93"/>
      <c r="JD90" s="93"/>
      <c r="JE90" s="20"/>
      <c r="JF90" s="29">
        <v>23</v>
      </c>
      <c r="JG90" s="19"/>
      <c r="JH90" s="93"/>
      <c r="JI90" s="93"/>
      <c r="JJ90" s="93"/>
      <c r="JK90" s="93"/>
      <c r="JL90" s="93"/>
      <c r="JM90" s="93"/>
      <c r="JN90" s="20"/>
      <c r="JO90" s="29">
        <v>23</v>
      </c>
      <c r="JP90" s="19"/>
      <c r="JQ90" s="93"/>
      <c r="JR90" s="93"/>
      <c r="JS90" s="93"/>
      <c r="JT90" s="93"/>
      <c r="JU90" s="20"/>
      <c r="JV90" s="29">
        <v>23</v>
      </c>
      <c r="JW90" s="1504">
        <v>37196</v>
      </c>
      <c r="JX90" s="19"/>
      <c r="JY90" s="93"/>
      <c r="JZ90" s="93"/>
      <c r="KA90" s="93"/>
      <c r="KB90" s="93"/>
      <c r="KC90" s="93"/>
      <c r="KD90" s="20"/>
      <c r="KE90" s="29">
        <v>23</v>
      </c>
      <c r="KF90" s="19"/>
      <c r="KG90" s="93"/>
      <c r="KH90" s="93"/>
      <c r="KI90" s="93"/>
      <c r="KJ90" s="93"/>
      <c r="KK90" s="20"/>
      <c r="KL90" s="29">
        <v>23</v>
      </c>
      <c r="KM90" s="19"/>
      <c r="KN90" s="93"/>
      <c r="KO90" s="93"/>
      <c r="KP90" s="93"/>
      <c r="KQ90" s="93"/>
      <c r="KR90" s="20"/>
      <c r="KS90" s="29">
        <v>23</v>
      </c>
      <c r="KT90" s="19"/>
      <c r="KU90" s="93"/>
      <c r="KV90" s="93"/>
      <c r="KW90" s="93"/>
      <c r="KX90" s="93"/>
      <c r="KY90" s="20"/>
      <c r="KZ90" s="29">
        <v>23</v>
      </c>
      <c r="LA90" s="1504">
        <v>37196</v>
      </c>
      <c r="LB90" s="19"/>
      <c r="LC90" s="93"/>
      <c r="LD90" s="93"/>
      <c r="LE90" s="93"/>
      <c r="LF90" s="93"/>
      <c r="LG90" s="93"/>
      <c r="LH90" s="20"/>
      <c r="LI90" s="29">
        <v>23</v>
      </c>
      <c r="LJ90" s="19"/>
      <c r="LK90" s="93"/>
      <c r="LL90" s="93"/>
      <c r="LM90" s="93"/>
      <c r="LN90" s="93"/>
      <c r="LO90" s="20"/>
      <c r="LP90" s="29">
        <v>23</v>
      </c>
      <c r="LQ90" s="19"/>
      <c r="LR90" s="93"/>
      <c r="LS90" s="93"/>
      <c r="LT90" s="93"/>
      <c r="LU90" s="93"/>
      <c r="LV90" s="93"/>
      <c r="LW90" s="93"/>
      <c r="LX90" s="93"/>
      <c r="LY90" s="93"/>
      <c r="LZ90" s="93"/>
      <c r="MA90" s="20"/>
      <c r="MB90" s="29">
        <v>23</v>
      </c>
      <c r="MC90" s="1504">
        <v>37196</v>
      </c>
      <c r="MD90" s="19"/>
      <c r="ME90" s="93"/>
      <c r="MF90" s="93"/>
      <c r="MG90" s="93"/>
      <c r="MH90" s="93"/>
      <c r="MI90" s="93"/>
      <c r="MJ90" s="93"/>
      <c r="MK90" s="93"/>
      <c r="ML90" s="93"/>
      <c r="MM90" s="93"/>
      <c r="MN90" s="93"/>
      <c r="MO90" s="93"/>
      <c r="MP90" s="93"/>
      <c r="MQ90" s="93"/>
      <c r="MR90" s="93"/>
      <c r="MS90" s="93"/>
      <c r="MT90" s="93"/>
      <c r="MU90" s="93"/>
      <c r="MV90" s="93"/>
      <c r="MW90" s="93"/>
      <c r="MX90" s="93"/>
      <c r="MY90" s="93"/>
      <c r="MZ90" s="93"/>
      <c r="NA90" s="93"/>
      <c r="NB90" s="93"/>
      <c r="NC90" s="93"/>
      <c r="ND90" s="93"/>
      <c r="NE90" s="93"/>
      <c r="NF90" s="93"/>
      <c r="NG90" s="93"/>
      <c r="NH90" s="93"/>
      <c r="NI90" s="93"/>
      <c r="NJ90" s="93"/>
      <c r="NK90" s="93"/>
      <c r="NL90" s="93"/>
      <c r="NM90" s="93"/>
      <c r="NN90" s="93"/>
      <c r="NO90" s="93"/>
      <c r="NP90" s="93"/>
      <c r="NQ90" s="93"/>
      <c r="NR90" s="93"/>
      <c r="NS90" s="93"/>
      <c r="NT90" s="93"/>
      <c r="NU90" s="93"/>
      <c r="NV90" s="93"/>
      <c r="NW90" s="93"/>
      <c r="NX90" s="93"/>
      <c r="NY90" s="93"/>
      <c r="NZ90" s="93"/>
      <c r="OA90" s="93"/>
      <c r="OB90" s="93"/>
      <c r="OC90" s="93"/>
      <c r="OD90" s="20"/>
      <c r="OE90" s="29">
        <v>23</v>
      </c>
      <c r="OF90" s="1504">
        <v>37196</v>
      </c>
      <c r="OG90" s="19"/>
      <c r="OH90" s="93"/>
      <c r="OI90" s="93"/>
      <c r="OJ90" s="93"/>
      <c r="OK90" s="93"/>
      <c r="OL90" s="93"/>
      <c r="OM90" s="93"/>
      <c r="ON90" s="93"/>
      <c r="OO90" s="93"/>
      <c r="OP90" s="93"/>
      <c r="OQ90" s="93"/>
      <c r="OR90" s="93"/>
      <c r="OS90" s="93"/>
      <c r="OT90" s="93"/>
      <c r="OU90" s="93"/>
      <c r="OV90" s="93"/>
      <c r="OW90" s="93"/>
      <c r="OX90" s="93"/>
      <c r="OY90" s="93"/>
      <c r="OZ90" s="93"/>
      <c r="PA90" s="93"/>
      <c r="PB90" s="93"/>
      <c r="PC90" s="20"/>
      <c r="PD90" s="29">
        <v>23</v>
      </c>
      <c r="PE90" s="19"/>
      <c r="PF90" s="93"/>
      <c r="PG90" s="93"/>
      <c r="PH90" s="93"/>
      <c r="PI90" s="93"/>
      <c r="PJ90" s="93"/>
      <c r="PK90" s="93"/>
      <c r="PL90" s="93"/>
      <c r="PM90" s="93"/>
      <c r="PN90" s="93"/>
      <c r="PO90" s="93"/>
      <c r="PP90" s="93"/>
      <c r="PQ90" s="93"/>
      <c r="PR90" s="93"/>
      <c r="PS90" s="93"/>
      <c r="PT90" s="93"/>
      <c r="PU90" s="93"/>
      <c r="PV90" s="93"/>
      <c r="PW90" s="93"/>
      <c r="PX90" s="93"/>
      <c r="PY90" s="93"/>
      <c r="PZ90" s="93"/>
      <c r="QA90" s="93"/>
      <c r="QB90" s="93"/>
      <c r="QC90" s="93"/>
      <c r="QD90" s="93"/>
      <c r="QE90" s="20"/>
      <c r="QF90" s="1739">
        <v>23</v>
      </c>
      <c r="QG90" s="19"/>
      <c r="QH90" s="93"/>
      <c r="QI90" s="93"/>
      <c r="QJ90" s="93"/>
      <c r="QK90" s="93"/>
      <c r="QL90" s="93"/>
      <c r="QM90" s="93"/>
      <c r="QN90" s="93"/>
      <c r="QO90" s="93"/>
      <c r="QP90" s="93"/>
      <c r="QQ90" s="93"/>
      <c r="QR90" s="93"/>
      <c r="QS90" s="93"/>
      <c r="QT90" s="93"/>
      <c r="QU90" s="93"/>
      <c r="QV90" s="93"/>
      <c r="QW90" s="93"/>
      <c r="QX90" s="93"/>
      <c r="QY90" s="93"/>
      <c r="QZ90" s="93"/>
      <c r="RA90" s="93"/>
      <c r="RB90" s="93"/>
      <c r="RC90" s="93"/>
      <c r="RD90" s="93"/>
      <c r="RE90" s="93"/>
      <c r="RF90" s="93"/>
      <c r="RG90" s="93"/>
      <c r="RH90" s="93"/>
      <c r="RI90" s="93"/>
      <c r="RJ90" s="93"/>
      <c r="RK90" s="93"/>
      <c r="RL90" s="93"/>
      <c r="RM90" s="20"/>
      <c r="RN90" s="29">
        <v>23</v>
      </c>
      <c r="RO90" s="19"/>
      <c r="RP90" s="20"/>
      <c r="RQ90" s="29">
        <v>23</v>
      </c>
      <c r="RR90" s="20"/>
      <c r="RS90" s="29">
        <v>23</v>
      </c>
      <c r="RT90" s="1504">
        <v>37196</v>
      </c>
      <c r="RU90" s="19"/>
      <c r="RV90" s="20"/>
      <c r="RW90" s="29">
        <v>23</v>
      </c>
      <c r="RX90" s="1504">
        <v>37196</v>
      </c>
      <c r="RY90" s="29"/>
      <c r="RZ90" s="20"/>
      <c r="SA90" s="29"/>
      <c r="SB90" s="29">
        <v>23</v>
      </c>
    </row>
    <row r="91" spans="1:496">
      <c r="A91" s="41">
        <f t="shared" si="187"/>
        <v>2001</v>
      </c>
      <c r="B91" s="1504">
        <v>37226</v>
      </c>
      <c r="C91" s="1813"/>
      <c r="D91" s="1814"/>
      <c r="E91" s="1814"/>
      <c r="F91" s="1815"/>
      <c r="G91" s="1814"/>
      <c r="H91" s="1814"/>
      <c r="I91" s="1814"/>
      <c r="J91" s="1816"/>
      <c r="K91" s="1807"/>
      <c r="L91" s="25">
        <v>24</v>
      </c>
      <c r="M91" s="97"/>
      <c r="N91" s="1504">
        <v>37226</v>
      </c>
      <c r="O91" s="19"/>
      <c r="P91" s="93"/>
      <c r="Q91" s="93"/>
      <c r="R91" s="93"/>
      <c r="S91" s="93"/>
      <c r="T91" s="93"/>
      <c r="U91" s="93"/>
      <c r="V91" s="93"/>
      <c r="W91" s="93"/>
      <c r="X91" s="93"/>
      <c r="Y91" s="93"/>
      <c r="Z91" s="93"/>
      <c r="AA91" s="93"/>
      <c r="AB91" s="20"/>
      <c r="AC91" s="25">
        <v>24</v>
      </c>
      <c r="AD91" s="97"/>
      <c r="AE91" s="1504">
        <v>37226</v>
      </c>
      <c r="AF91" s="19"/>
      <c r="AG91" s="93"/>
      <c r="AH91" s="93"/>
      <c r="AI91" s="93"/>
      <c r="AJ91" s="93"/>
      <c r="AK91" s="93"/>
      <c r="AL91" s="93"/>
      <c r="AM91" s="93"/>
      <c r="AN91" s="93"/>
      <c r="AO91" s="93"/>
      <c r="AP91" s="93"/>
      <c r="AQ91" s="93"/>
      <c r="AR91" s="93"/>
      <c r="AS91" s="20"/>
      <c r="AT91" s="25">
        <v>24</v>
      </c>
      <c r="AU91" s="97"/>
      <c r="AV91" s="1504">
        <v>37226</v>
      </c>
      <c r="AW91" s="19"/>
      <c r="AX91" s="93"/>
      <c r="AY91" s="93"/>
      <c r="AZ91" s="93"/>
      <c r="BA91" s="93"/>
      <c r="BB91" s="93"/>
      <c r="BC91" s="93"/>
      <c r="BD91" s="93"/>
      <c r="BE91" s="93"/>
      <c r="BF91" s="93"/>
      <c r="BG91" s="93"/>
      <c r="BH91" s="93"/>
      <c r="BI91" s="93"/>
      <c r="BJ91" s="20"/>
      <c r="BK91" s="25">
        <v>24</v>
      </c>
      <c r="BL91" s="97"/>
      <c r="BM91" s="1504">
        <v>37226</v>
      </c>
      <c r="BN91" s="19"/>
      <c r="BO91" s="93"/>
      <c r="BP91" s="93"/>
      <c r="BQ91" s="93"/>
      <c r="BR91" s="93"/>
      <c r="BS91" s="93"/>
      <c r="BT91" s="93"/>
      <c r="BU91" s="20"/>
      <c r="BV91" s="25">
        <v>24</v>
      </c>
      <c r="BW91" s="97"/>
      <c r="BX91" s="1504">
        <v>37226</v>
      </c>
      <c r="BY91" s="19"/>
      <c r="BZ91" s="99">
        <v>664.95699999999999</v>
      </c>
      <c r="CA91" s="93"/>
      <c r="CB91" s="93"/>
      <c r="CC91" s="93"/>
      <c r="CD91" s="25">
        <v>24</v>
      </c>
      <c r="CE91" s="97"/>
      <c r="CF91" s="1504">
        <v>37226</v>
      </c>
      <c r="CG91" s="19">
        <v>0.94530000000000003</v>
      </c>
      <c r="CH91" s="93">
        <v>275.85000000000002</v>
      </c>
      <c r="CI91" s="219"/>
      <c r="CJ91" s="20"/>
      <c r="CK91" s="19"/>
      <c r="CL91" s="93"/>
      <c r="CM91" s="93"/>
      <c r="CN91" s="93"/>
      <c r="CO91" s="93"/>
      <c r="CP91" s="20"/>
      <c r="CQ91" s="219">
        <v>771.62</v>
      </c>
      <c r="CR91" s="93">
        <v>1.4275</v>
      </c>
      <c r="CS91" s="93"/>
      <c r="CT91" s="93"/>
      <c r="CU91" s="93"/>
      <c r="CV91" s="214"/>
      <c r="CW91" s="29">
        <v>24</v>
      </c>
      <c r="CX91" s="41">
        <f t="shared" si="188"/>
        <v>2001</v>
      </c>
      <c r="CY91" s="1504">
        <v>37226</v>
      </c>
      <c r="CZ91" s="733">
        <v>33.160983999999999</v>
      </c>
      <c r="DA91" s="570">
        <v>21.292031000000001</v>
      </c>
      <c r="DB91" s="570">
        <v>11.868952999999999</v>
      </c>
      <c r="DC91" s="93"/>
      <c r="DD91" s="93"/>
      <c r="DE91" s="20"/>
      <c r="DF91" s="29">
        <v>24</v>
      </c>
      <c r="DG91" s="1504">
        <v>37226</v>
      </c>
      <c r="DH91" s="19"/>
      <c r="DI91" s="93"/>
      <c r="DJ91" s="93"/>
      <c r="DK91" s="93"/>
      <c r="DL91" s="93"/>
      <c r="DM91" s="93"/>
      <c r="DN91" s="20"/>
      <c r="DO91" s="25"/>
      <c r="DP91" s="29">
        <v>24</v>
      </c>
      <c r="DQ91" s="1504">
        <v>37226</v>
      </c>
      <c r="DR91" s="19"/>
      <c r="DS91" s="93"/>
      <c r="DT91" s="93"/>
      <c r="DU91" s="93"/>
      <c r="DV91" s="93"/>
      <c r="DW91" s="93"/>
      <c r="DX91" s="20"/>
      <c r="DY91" s="29">
        <v>24</v>
      </c>
      <c r="DZ91" s="1504">
        <v>37226</v>
      </c>
      <c r="EA91" s="19"/>
      <c r="EB91" s="93"/>
      <c r="EC91" s="20"/>
      <c r="ED91" s="29">
        <v>24</v>
      </c>
      <c r="EE91" s="1504">
        <v>37226</v>
      </c>
      <c r="EF91" s="19"/>
      <c r="EG91" s="93"/>
      <c r="EH91" s="93"/>
      <c r="EI91" s="214"/>
      <c r="EJ91" s="93"/>
      <c r="EK91" s="93"/>
      <c r="EL91" s="93"/>
      <c r="EM91" s="93"/>
      <c r="EN91" s="20"/>
      <c r="EO91" s="29">
        <v>24</v>
      </c>
      <c r="EP91" s="1504">
        <v>37226</v>
      </c>
      <c r="EQ91" s="19"/>
      <c r="ER91" s="93"/>
      <c r="ES91" s="93"/>
      <c r="ET91" s="214"/>
      <c r="EU91" s="93"/>
      <c r="EV91" s="93"/>
      <c r="EW91" s="93"/>
      <c r="EX91" s="93"/>
      <c r="EY91" s="20"/>
      <c r="EZ91" s="29">
        <v>24</v>
      </c>
      <c r="FA91" s="1504">
        <v>37226</v>
      </c>
      <c r="FB91" s="29"/>
      <c r="FC91" s="29"/>
      <c r="FD91" s="29"/>
      <c r="FE91" s="29"/>
      <c r="FF91" s="29"/>
      <c r="FG91" s="29"/>
      <c r="FH91" s="29"/>
      <c r="FI91" s="29"/>
      <c r="FJ91" s="29"/>
      <c r="FK91" s="29">
        <v>24</v>
      </c>
      <c r="FL91" s="1504">
        <v>37226</v>
      </c>
      <c r="FM91" s="19"/>
      <c r="FN91" s="93"/>
      <c r="FO91" s="93"/>
      <c r="FP91" s="93"/>
      <c r="FQ91" s="93"/>
      <c r="FR91" s="93"/>
      <c r="FS91" s="93"/>
      <c r="FT91" s="93"/>
      <c r="FU91" s="93"/>
      <c r="FV91" s="93"/>
      <c r="FW91" s="93"/>
      <c r="FX91" s="93"/>
      <c r="FY91" s="93"/>
      <c r="FZ91" s="29">
        <v>24</v>
      </c>
      <c r="GA91" s="1504">
        <v>37226</v>
      </c>
      <c r="GB91" s="19"/>
      <c r="GC91" s="93"/>
      <c r="GD91" s="93"/>
      <c r="GE91" s="93"/>
      <c r="GF91" s="93"/>
      <c r="GG91" s="93"/>
      <c r="GH91" s="93"/>
      <c r="GI91" s="93"/>
      <c r="GJ91" s="93"/>
      <c r="GK91" s="93"/>
      <c r="GL91" s="93"/>
      <c r="GM91" s="93"/>
      <c r="GN91" s="20"/>
      <c r="GO91" s="29">
        <v>24</v>
      </c>
      <c r="GP91" s="1504">
        <v>37226</v>
      </c>
      <c r="GQ91" s="19"/>
      <c r="GR91" s="93"/>
      <c r="GS91" s="93"/>
      <c r="GT91" s="93"/>
      <c r="GU91" s="93"/>
      <c r="GV91" s="20"/>
      <c r="GW91" s="19"/>
      <c r="GX91" s="93"/>
      <c r="GY91" s="93"/>
      <c r="GZ91" s="93"/>
      <c r="HA91" s="93"/>
      <c r="HB91" s="20"/>
      <c r="HC91" s="19"/>
      <c r="HD91" s="93"/>
      <c r="HE91" s="93"/>
      <c r="HF91" s="93"/>
      <c r="HG91" s="93"/>
      <c r="HH91" s="20"/>
      <c r="HI91" s="19"/>
      <c r="HJ91" s="93"/>
      <c r="HK91" s="93"/>
      <c r="HL91" s="93"/>
      <c r="HM91" s="93"/>
      <c r="HN91" s="20"/>
      <c r="HO91" s="219"/>
      <c r="HP91" s="20"/>
      <c r="HQ91" s="25"/>
      <c r="HR91" s="29">
        <v>24</v>
      </c>
      <c r="HS91" s="1504">
        <v>37226</v>
      </c>
      <c r="HT91" s="19"/>
      <c r="HU91" s="93"/>
      <c r="HV91" s="93"/>
      <c r="HW91" s="93"/>
      <c r="HX91" s="93"/>
      <c r="HY91" s="93"/>
      <c r="HZ91" s="93"/>
      <c r="IA91" s="20"/>
      <c r="IB91" s="19"/>
      <c r="IC91" s="93"/>
      <c r="ID91" s="93"/>
      <c r="IE91" s="93"/>
      <c r="IF91" s="93"/>
      <c r="IG91" s="20"/>
      <c r="IH91" s="19"/>
      <c r="II91" s="93"/>
      <c r="IJ91" s="93"/>
      <c r="IK91" s="93"/>
      <c r="IL91" s="93"/>
      <c r="IM91" s="93"/>
      <c r="IN91" s="93"/>
      <c r="IO91" s="20"/>
      <c r="IP91" s="29">
        <v>24</v>
      </c>
      <c r="IQ91" s="19"/>
      <c r="IR91" s="93"/>
      <c r="IS91" s="93"/>
      <c r="IT91" s="93"/>
      <c r="IU91" s="93"/>
      <c r="IV91" s="20"/>
      <c r="IW91" s="29">
        <v>24</v>
      </c>
      <c r="IX91" s="19"/>
      <c r="IY91" s="93"/>
      <c r="IZ91" s="93"/>
      <c r="JA91" s="93"/>
      <c r="JB91" s="93"/>
      <c r="JC91" s="93"/>
      <c r="JD91" s="93"/>
      <c r="JE91" s="20"/>
      <c r="JF91" s="29">
        <v>24</v>
      </c>
      <c r="JG91" s="19"/>
      <c r="JH91" s="93"/>
      <c r="JI91" s="93"/>
      <c r="JJ91" s="93"/>
      <c r="JK91" s="93"/>
      <c r="JL91" s="93"/>
      <c r="JM91" s="93"/>
      <c r="JN91" s="20"/>
      <c r="JO91" s="29">
        <v>24</v>
      </c>
      <c r="JP91" s="19"/>
      <c r="JQ91" s="93"/>
      <c r="JR91" s="93"/>
      <c r="JS91" s="93"/>
      <c r="JT91" s="93"/>
      <c r="JU91" s="20"/>
      <c r="JV91" s="29">
        <v>24</v>
      </c>
      <c r="JW91" s="1504">
        <v>37226</v>
      </c>
      <c r="JX91" s="19"/>
      <c r="JY91" s="93"/>
      <c r="JZ91" s="93"/>
      <c r="KA91" s="93"/>
      <c r="KB91" s="93"/>
      <c r="KC91" s="93"/>
      <c r="KD91" s="20"/>
      <c r="KE91" s="29">
        <v>24</v>
      </c>
      <c r="KF91" s="19"/>
      <c r="KG91" s="93"/>
      <c r="KH91" s="93"/>
      <c r="KI91" s="93"/>
      <c r="KJ91" s="93"/>
      <c r="KK91" s="20"/>
      <c r="KL91" s="29">
        <v>24</v>
      </c>
      <c r="KM91" s="19"/>
      <c r="KN91" s="93"/>
      <c r="KO91" s="93"/>
      <c r="KP91" s="93"/>
      <c r="KQ91" s="93"/>
      <c r="KR91" s="20"/>
      <c r="KS91" s="29">
        <v>24</v>
      </c>
      <c r="KT91" s="19"/>
      <c r="KU91" s="93"/>
      <c r="KV91" s="93"/>
      <c r="KW91" s="93"/>
      <c r="KX91" s="93"/>
      <c r="KY91" s="20"/>
      <c r="KZ91" s="29">
        <v>24</v>
      </c>
      <c r="LA91" s="1504">
        <v>37226</v>
      </c>
      <c r="LB91" s="19"/>
      <c r="LC91" s="93"/>
      <c r="LD91" s="93"/>
      <c r="LE91" s="93"/>
      <c r="LF91" s="93"/>
      <c r="LG91" s="93"/>
      <c r="LH91" s="20"/>
      <c r="LI91" s="29">
        <v>24</v>
      </c>
      <c r="LJ91" s="19"/>
      <c r="LK91" s="93"/>
      <c r="LL91" s="93"/>
      <c r="LM91" s="93"/>
      <c r="LN91" s="93"/>
      <c r="LO91" s="20"/>
      <c r="LP91" s="29">
        <v>24</v>
      </c>
      <c r="LQ91" s="19"/>
      <c r="LR91" s="93"/>
      <c r="LS91" s="93"/>
      <c r="LT91" s="93"/>
      <c r="LU91" s="93"/>
      <c r="LV91" s="93"/>
      <c r="LW91" s="93"/>
      <c r="LX91" s="93"/>
      <c r="LY91" s="93"/>
      <c r="LZ91" s="93"/>
      <c r="MA91" s="20"/>
      <c r="MB91" s="29">
        <v>24</v>
      </c>
      <c r="MC91" s="1504">
        <v>37226</v>
      </c>
      <c r="MD91" s="19"/>
      <c r="ME91" s="93"/>
      <c r="MF91" s="93"/>
      <c r="MG91" s="93"/>
      <c r="MH91" s="93"/>
      <c r="MI91" s="93"/>
      <c r="MJ91" s="93"/>
      <c r="MK91" s="93"/>
      <c r="ML91" s="93"/>
      <c r="MM91" s="93"/>
      <c r="MN91" s="93"/>
      <c r="MO91" s="93"/>
      <c r="MP91" s="93"/>
      <c r="MQ91" s="93"/>
      <c r="MR91" s="93"/>
      <c r="MS91" s="93"/>
      <c r="MT91" s="93"/>
      <c r="MU91" s="93"/>
      <c r="MV91" s="93"/>
      <c r="MW91" s="93"/>
      <c r="MX91" s="93"/>
      <c r="MY91" s="93"/>
      <c r="MZ91" s="93"/>
      <c r="NA91" s="93"/>
      <c r="NB91" s="93"/>
      <c r="NC91" s="93"/>
      <c r="ND91" s="93"/>
      <c r="NE91" s="93"/>
      <c r="NF91" s="93"/>
      <c r="NG91" s="93"/>
      <c r="NH91" s="93"/>
      <c r="NI91" s="93"/>
      <c r="NJ91" s="93"/>
      <c r="NK91" s="93"/>
      <c r="NL91" s="93"/>
      <c r="NM91" s="93"/>
      <c r="NN91" s="93"/>
      <c r="NO91" s="93"/>
      <c r="NP91" s="93"/>
      <c r="NQ91" s="93"/>
      <c r="NR91" s="93"/>
      <c r="NS91" s="93"/>
      <c r="NT91" s="93"/>
      <c r="NU91" s="93"/>
      <c r="NV91" s="93"/>
      <c r="NW91" s="93"/>
      <c r="NX91" s="93"/>
      <c r="NY91" s="93"/>
      <c r="NZ91" s="93"/>
      <c r="OA91" s="93"/>
      <c r="OB91" s="93"/>
      <c r="OC91" s="93"/>
      <c r="OD91" s="20"/>
      <c r="OE91" s="29">
        <v>24</v>
      </c>
      <c r="OF91" s="1504">
        <v>37226</v>
      </c>
      <c r="OG91" s="19"/>
      <c r="OH91" s="93"/>
      <c r="OI91" s="93"/>
      <c r="OJ91" s="93"/>
      <c r="OK91" s="93"/>
      <c r="OL91" s="93"/>
      <c r="OM91" s="93"/>
      <c r="ON91" s="93"/>
      <c r="OO91" s="93"/>
      <c r="OP91" s="93"/>
      <c r="OQ91" s="93"/>
      <c r="OR91" s="93"/>
      <c r="OS91" s="93"/>
      <c r="OT91" s="93"/>
      <c r="OU91" s="93"/>
      <c r="OV91" s="93"/>
      <c r="OW91" s="93"/>
      <c r="OX91" s="93"/>
      <c r="OY91" s="93"/>
      <c r="OZ91" s="93"/>
      <c r="PA91" s="93"/>
      <c r="PB91" s="93"/>
      <c r="PC91" s="20"/>
      <c r="PD91" s="29">
        <v>24</v>
      </c>
      <c r="PE91" s="19"/>
      <c r="PF91" s="93"/>
      <c r="PG91" s="93"/>
      <c r="PH91" s="93"/>
      <c r="PI91" s="93"/>
      <c r="PJ91" s="93"/>
      <c r="PK91" s="93"/>
      <c r="PL91" s="93"/>
      <c r="PM91" s="93"/>
      <c r="PN91" s="93"/>
      <c r="PO91" s="93"/>
      <c r="PP91" s="93"/>
      <c r="PQ91" s="93"/>
      <c r="PR91" s="93"/>
      <c r="PS91" s="93"/>
      <c r="PT91" s="93"/>
      <c r="PU91" s="93"/>
      <c r="PV91" s="93"/>
      <c r="PW91" s="93"/>
      <c r="PX91" s="93"/>
      <c r="PY91" s="93"/>
      <c r="PZ91" s="93"/>
      <c r="QA91" s="93"/>
      <c r="QB91" s="93"/>
      <c r="QC91" s="93"/>
      <c r="QD91" s="93"/>
      <c r="QE91" s="20"/>
      <c r="QF91" s="1739">
        <v>24</v>
      </c>
      <c r="QG91" s="19"/>
      <c r="QH91" s="93"/>
      <c r="QI91" s="93"/>
      <c r="QJ91" s="93"/>
      <c r="QK91" s="93"/>
      <c r="QL91" s="93"/>
      <c r="QM91" s="93"/>
      <c r="QN91" s="93"/>
      <c r="QO91" s="93"/>
      <c r="QP91" s="93"/>
      <c r="QQ91" s="93"/>
      <c r="QR91" s="93"/>
      <c r="QS91" s="93"/>
      <c r="QT91" s="93"/>
      <c r="QU91" s="93"/>
      <c r="QV91" s="93"/>
      <c r="QW91" s="93"/>
      <c r="QX91" s="93"/>
      <c r="QY91" s="93"/>
      <c r="QZ91" s="93"/>
      <c r="RA91" s="93"/>
      <c r="RB91" s="93"/>
      <c r="RC91" s="93"/>
      <c r="RD91" s="93"/>
      <c r="RE91" s="93"/>
      <c r="RF91" s="93"/>
      <c r="RG91" s="93"/>
      <c r="RH91" s="93"/>
      <c r="RI91" s="93"/>
      <c r="RJ91" s="93"/>
      <c r="RK91" s="93"/>
      <c r="RL91" s="93"/>
      <c r="RM91" s="20"/>
      <c r="RN91" s="29">
        <v>24</v>
      </c>
      <c r="RO91" s="19"/>
      <c r="RP91" s="20"/>
      <c r="RQ91" s="29">
        <v>24</v>
      </c>
      <c r="RR91" s="20"/>
      <c r="RS91" s="29">
        <v>24</v>
      </c>
      <c r="RT91" s="1504">
        <v>37226</v>
      </c>
      <c r="RU91" s="19"/>
      <c r="RV91" s="20"/>
      <c r="RW91" s="29">
        <v>24</v>
      </c>
      <c r="RX91" s="1504">
        <v>37226</v>
      </c>
      <c r="RY91" s="29"/>
      <c r="RZ91" s="20"/>
      <c r="SA91" s="29"/>
      <c r="SB91" s="29">
        <v>24</v>
      </c>
    </row>
    <row r="92" spans="1:496">
      <c r="A92" s="41">
        <f t="shared" si="187"/>
        <v>2002</v>
      </c>
      <c r="B92" s="1504">
        <v>37257</v>
      </c>
      <c r="C92" s="1813"/>
      <c r="D92" s="1814"/>
      <c r="E92" s="1814"/>
      <c r="F92" s="1815"/>
      <c r="G92" s="1814"/>
      <c r="H92" s="1814"/>
      <c r="I92" s="1814"/>
      <c r="J92" s="1816"/>
      <c r="K92" s="1807"/>
      <c r="L92" s="25">
        <v>25</v>
      </c>
      <c r="M92" s="97"/>
      <c r="N92" s="1504">
        <v>37257</v>
      </c>
      <c r="O92" s="19"/>
      <c r="P92" s="93"/>
      <c r="Q92" s="93"/>
      <c r="R92" s="93"/>
      <c r="S92" s="93"/>
      <c r="T92" s="93"/>
      <c r="U92" s="93"/>
      <c r="V92" s="93"/>
      <c r="W92" s="93"/>
      <c r="X92" s="93"/>
      <c r="Y92" s="93"/>
      <c r="Z92" s="93"/>
      <c r="AA92" s="93"/>
      <c r="AB92" s="20"/>
      <c r="AC92" s="25">
        <v>25</v>
      </c>
      <c r="AD92" s="97"/>
      <c r="AE92" s="1504">
        <v>37257</v>
      </c>
      <c r="AF92" s="19"/>
      <c r="AG92" s="93"/>
      <c r="AH92" s="93"/>
      <c r="AI92" s="93"/>
      <c r="AJ92" s="93"/>
      <c r="AK92" s="93"/>
      <c r="AL92" s="93"/>
      <c r="AM92" s="93"/>
      <c r="AN92" s="93"/>
      <c r="AO92" s="93"/>
      <c r="AP92" s="93"/>
      <c r="AQ92" s="93"/>
      <c r="AR92" s="93"/>
      <c r="AS92" s="20"/>
      <c r="AT92" s="25">
        <v>25</v>
      </c>
      <c r="AU92" s="97"/>
      <c r="AV92" s="1504">
        <v>37257</v>
      </c>
      <c r="AW92" s="19"/>
      <c r="AX92" s="93"/>
      <c r="AY92" s="93"/>
      <c r="AZ92" s="93"/>
      <c r="BA92" s="93"/>
      <c r="BB92" s="93"/>
      <c r="BC92" s="93"/>
      <c r="BD92" s="93"/>
      <c r="BE92" s="93"/>
      <c r="BF92" s="93"/>
      <c r="BG92" s="93"/>
      <c r="BH92" s="93"/>
      <c r="BI92" s="93"/>
      <c r="BJ92" s="20"/>
      <c r="BK92" s="25">
        <v>25</v>
      </c>
      <c r="BL92" s="97"/>
      <c r="BM92" s="1504">
        <v>37257</v>
      </c>
      <c r="BN92" s="19"/>
      <c r="BO92" s="93"/>
      <c r="BP92" s="93"/>
      <c r="BQ92" s="93"/>
      <c r="BR92" s="93"/>
      <c r="BS92" s="93"/>
      <c r="BT92" s="93"/>
      <c r="BU92" s="20"/>
      <c r="BV92" s="25">
        <v>25</v>
      </c>
      <c r="BW92" s="97"/>
      <c r="BX92" s="1504">
        <v>37257</v>
      </c>
      <c r="BY92" s="19"/>
      <c r="BZ92" s="99">
        <v>664.95699999999999</v>
      </c>
      <c r="CA92" s="93"/>
      <c r="CB92" s="93"/>
      <c r="CC92" s="93"/>
      <c r="CD92" s="25">
        <v>25</v>
      </c>
      <c r="CE92" s="97"/>
      <c r="CF92" s="1504">
        <v>37257</v>
      </c>
      <c r="CG92" s="19">
        <v>0.95650000000000002</v>
      </c>
      <c r="CH92" s="93">
        <v>281.51</v>
      </c>
      <c r="CI92" s="219"/>
      <c r="CJ92" s="20"/>
      <c r="CK92" s="19"/>
      <c r="CL92" s="93"/>
      <c r="CM92" s="93"/>
      <c r="CN92" s="93"/>
      <c r="CO92" s="93"/>
      <c r="CP92" s="20"/>
      <c r="CQ92" s="219">
        <v>684.39</v>
      </c>
      <c r="CR92" s="93">
        <v>1.4575</v>
      </c>
      <c r="CS92" s="93"/>
      <c r="CT92" s="93"/>
      <c r="CU92" s="93"/>
      <c r="CV92" s="214"/>
      <c r="CW92" s="29">
        <v>25</v>
      </c>
      <c r="CX92" s="41">
        <f t="shared" si="188"/>
        <v>2002</v>
      </c>
      <c r="CY92" s="1504">
        <v>37257</v>
      </c>
      <c r="CZ92" s="733">
        <v>30.027191000000002</v>
      </c>
      <c r="DA92" s="570">
        <v>18.038028000000001</v>
      </c>
      <c r="DB92" s="570">
        <v>11.989163</v>
      </c>
      <c r="DC92" s="93"/>
      <c r="DD92" s="93"/>
      <c r="DE92" s="20"/>
      <c r="DF92" s="29">
        <v>25</v>
      </c>
      <c r="DG92" s="1504">
        <v>37257</v>
      </c>
      <c r="DH92" s="19"/>
      <c r="DI92" s="93"/>
      <c r="DJ92" s="93"/>
      <c r="DK92" s="93"/>
      <c r="DL92" s="93"/>
      <c r="DM92" s="93"/>
      <c r="DN92" s="20"/>
      <c r="DO92" s="25"/>
      <c r="DP92" s="29">
        <v>25</v>
      </c>
      <c r="DQ92" s="1504">
        <v>37257</v>
      </c>
      <c r="DR92" s="19"/>
      <c r="DS92" s="93"/>
      <c r="DT92" s="93"/>
      <c r="DU92" s="93"/>
      <c r="DV92" s="93"/>
      <c r="DW92" s="93"/>
      <c r="DX92" s="20"/>
      <c r="DY92" s="29">
        <v>25</v>
      </c>
      <c r="DZ92" s="1504">
        <v>37257</v>
      </c>
      <c r="EA92" s="19"/>
      <c r="EB92" s="93"/>
      <c r="EC92" s="20"/>
      <c r="ED92" s="29">
        <v>25</v>
      </c>
      <c r="EE92" s="1504">
        <v>37257</v>
      </c>
      <c r="EF92" s="19"/>
      <c r="EG92" s="93"/>
      <c r="EH92" s="93"/>
      <c r="EI92" s="214"/>
      <c r="EJ92" s="93"/>
      <c r="EK92" s="93"/>
      <c r="EL92" s="93"/>
      <c r="EM92" s="93"/>
      <c r="EN92" s="20"/>
      <c r="EO92" s="29">
        <v>25</v>
      </c>
      <c r="EP92" s="1504">
        <v>37257</v>
      </c>
      <c r="EQ92" s="19"/>
      <c r="ER92" s="93"/>
      <c r="ES92" s="93"/>
      <c r="ET92" s="214"/>
      <c r="EU92" s="93"/>
      <c r="EV92" s="93"/>
      <c r="EW92" s="93"/>
      <c r="EX92" s="93"/>
      <c r="EY92" s="20"/>
      <c r="EZ92" s="29">
        <v>25</v>
      </c>
      <c r="FA92" s="1504">
        <v>37257</v>
      </c>
      <c r="FB92" s="29"/>
      <c r="FC92" s="29"/>
      <c r="FD92" s="29"/>
      <c r="FE92" s="29"/>
      <c r="FF92" s="29"/>
      <c r="FG92" s="29"/>
      <c r="FH92" s="29"/>
      <c r="FI92" s="29"/>
      <c r="FJ92" s="29"/>
      <c r="FK92" s="29">
        <v>25</v>
      </c>
      <c r="FL92" s="1504">
        <v>37257</v>
      </c>
      <c r="FM92" s="19"/>
      <c r="FN92" s="93"/>
      <c r="FO92" s="93"/>
      <c r="FP92" s="93"/>
      <c r="FQ92" s="93"/>
      <c r="FR92" s="93"/>
      <c r="FS92" s="93"/>
      <c r="FT92" s="93"/>
      <c r="FU92" s="93"/>
      <c r="FV92" s="93"/>
      <c r="FW92" s="93"/>
      <c r="FX92" s="93"/>
      <c r="FY92" s="93"/>
      <c r="FZ92" s="29">
        <v>25</v>
      </c>
      <c r="GA92" s="1504">
        <v>37257</v>
      </c>
      <c r="GB92" s="19"/>
      <c r="GC92" s="93"/>
      <c r="GD92" s="93"/>
      <c r="GE92" s="93"/>
      <c r="GF92" s="93"/>
      <c r="GG92" s="93"/>
      <c r="GH92" s="93"/>
      <c r="GI92" s="93"/>
      <c r="GJ92" s="93"/>
      <c r="GK92" s="93"/>
      <c r="GL92" s="93"/>
      <c r="GM92" s="93"/>
      <c r="GN92" s="20"/>
      <c r="GO92" s="29">
        <v>25</v>
      </c>
      <c r="GP92" s="1504">
        <v>37257</v>
      </c>
      <c r="GQ92" s="19"/>
      <c r="GR92" s="93"/>
      <c r="GS92" s="93"/>
      <c r="GT92" s="93"/>
      <c r="GU92" s="93"/>
      <c r="GV92" s="20"/>
      <c r="GW92" s="19"/>
      <c r="GX92" s="93"/>
      <c r="GY92" s="93"/>
      <c r="GZ92" s="93"/>
      <c r="HA92" s="93"/>
      <c r="HB92" s="20"/>
      <c r="HC92" s="19"/>
      <c r="HD92" s="93"/>
      <c r="HE92" s="93"/>
      <c r="HF92" s="93"/>
      <c r="HG92" s="93"/>
      <c r="HH92" s="20"/>
      <c r="HI92" s="19"/>
      <c r="HJ92" s="93"/>
      <c r="HK92" s="93"/>
      <c r="HL92" s="93"/>
      <c r="HM92" s="93"/>
      <c r="HN92" s="20"/>
      <c r="HO92" s="219"/>
      <c r="HP92" s="20"/>
      <c r="HQ92" s="25"/>
      <c r="HR92" s="29">
        <v>25</v>
      </c>
      <c r="HS92" s="1504">
        <v>37257</v>
      </c>
      <c r="HT92" s="19"/>
      <c r="HU92" s="93"/>
      <c r="HV92" s="93"/>
      <c r="HW92" s="93"/>
      <c r="HX92" s="93"/>
      <c r="HY92" s="93"/>
      <c r="HZ92" s="93"/>
      <c r="IA92" s="20"/>
      <c r="IB92" s="19"/>
      <c r="IC92" s="93"/>
      <c r="ID92" s="93"/>
      <c r="IE92" s="93"/>
      <c r="IF92" s="93"/>
      <c r="IG92" s="20"/>
      <c r="IH92" s="19"/>
      <c r="II92" s="93"/>
      <c r="IJ92" s="93"/>
      <c r="IK92" s="93"/>
      <c r="IL92" s="93"/>
      <c r="IM92" s="93"/>
      <c r="IN92" s="93"/>
      <c r="IO92" s="20"/>
      <c r="IP92" s="29">
        <v>25</v>
      </c>
      <c r="IQ92" s="19"/>
      <c r="IR92" s="93"/>
      <c r="IS92" s="93"/>
      <c r="IT92" s="93"/>
      <c r="IU92" s="93"/>
      <c r="IV92" s="20"/>
      <c r="IW92" s="29">
        <v>25</v>
      </c>
      <c r="IX92" s="19"/>
      <c r="IY92" s="93"/>
      <c r="IZ92" s="93"/>
      <c r="JA92" s="93"/>
      <c r="JB92" s="93"/>
      <c r="JC92" s="93"/>
      <c r="JD92" s="93"/>
      <c r="JE92" s="20"/>
      <c r="JF92" s="29">
        <v>25</v>
      </c>
      <c r="JG92" s="19"/>
      <c r="JH92" s="93"/>
      <c r="JI92" s="93"/>
      <c r="JJ92" s="93"/>
      <c r="JK92" s="93"/>
      <c r="JL92" s="93"/>
      <c r="JM92" s="93"/>
      <c r="JN92" s="20"/>
      <c r="JO92" s="29">
        <v>25</v>
      </c>
      <c r="JP92" s="19"/>
      <c r="JQ92" s="93"/>
      <c r="JR92" s="93"/>
      <c r="JS92" s="93"/>
      <c r="JT92" s="93"/>
      <c r="JU92" s="20"/>
      <c r="JV92" s="29">
        <v>25</v>
      </c>
      <c r="JW92" s="1504">
        <v>37257</v>
      </c>
      <c r="JX92" s="19"/>
      <c r="JY92" s="93"/>
      <c r="JZ92" s="93"/>
      <c r="KA92" s="93"/>
      <c r="KB92" s="93"/>
      <c r="KC92" s="93"/>
      <c r="KD92" s="20"/>
      <c r="KE92" s="29">
        <v>25</v>
      </c>
      <c r="KF92" s="19"/>
      <c r="KG92" s="93"/>
      <c r="KH92" s="93"/>
      <c r="KI92" s="93"/>
      <c r="KJ92" s="93"/>
      <c r="KK92" s="20"/>
      <c r="KL92" s="29">
        <v>25</v>
      </c>
      <c r="KM92" s="19"/>
      <c r="KN92" s="93"/>
      <c r="KO92" s="93"/>
      <c r="KP92" s="93"/>
      <c r="KQ92" s="93"/>
      <c r="KR92" s="20"/>
      <c r="KS92" s="29">
        <v>25</v>
      </c>
      <c r="KT92" s="19"/>
      <c r="KU92" s="93"/>
      <c r="KV92" s="93"/>
      <c r="KW92" s="93"/>
      <c r="KX92" s="93"/>
      <c r="KY92" s="20"/>
      <c r="KZ92" s="29">
        <v>25</v>
      </c>
      <c r="LA92" s="1504">
        <v>37257</v>
      </c>
      <c r="LB92" s="19"/>
      <c r="LC92" s="93"/>
      <c r="LD92" s="93"/>
      <c r="LE92" s="93"/>
      <c r="LF92" s="93"/>
      <c r="LG92" s="93"/>
      <c r="LH92" s="20"/>
      <c r="LI92" s="29">
        <v>25</v>
      </c>
      <c r="LJ92" s="19"/>
      <c r="LK92" s="93"/>
      <c r="LL92" s="93"/>
      <c r="LM92" s="93"/>
      <c r="LN92" s="93"/>
      <c r="LO92" s="20"/>
      <c r="LP92" s="29">
        <v>25</v>
      </c>
      <c r="LQ92" s="19"/>
      <c r="LR92" s="93"/>
      <c r="LS92" s="93"/>
      <c r="LT92" s="93"/>
      <c r="LU92" s="93"/>
      <c r="LV92" s="93"/>
      <c r="LW92" s="93"/>
      <c r="LX92" s="93"/>
      <c r="LY92" s="93"/>
      <c r="LZ92" s="93"/>
      <c r="MA92" s="20"/>
      <c r="MB92" s="29">
        <v>25</v>
      </c>
      <c r="MC92" s="1504">
        <v>37257</v>
      </c>
      <c r="MD92" s="19"/>
      <c r="ME92" s="93"/>
      <c r="MF92" s="93"/>
      <c r="MG92" s="93"/>
      <c r="MH92" s="93"/>
      <c r="MI92" s="93"/>
      <c r="MJ92" s="93"/>
      <c r="MK92" s="93"/>
      <c r="ML92" s="93"/>
      <c r="MM92" s="93"/>
      <c r="MN92" s="93"/>
      <c r="MO92" s="93"/>
      <c r="MP92" s="93"/>
      <c r="MQ92" s="93"/>
      <c r="MR92" s="93"/>
      <c r="MS92" s="93"/>
      <c r="MT92" s="93"/>
      <c r="MU92" s="93"/>
      <c r="MV92" s="93"/>
      <c r="MW92" s="93"/>
      <c r="MX92" s="93"/>
      <c r="MY92" s="93"/>
      <c r="MZ92" s="93"/>
      <c r="NA92" s="93"/>
      <c r="NB92" s="93"/>
      <c r="NC92" s="93"/>
      <c r="ND92" s="93"/>
      <c r="NE92" s="93"/>
      <c r="NF92" s="93"/>
      <c r="NG92" s="93"/>
      <c r="NH92" s="93"/>
      <c r="NI92" s="93"/>
      <c r="NJ92" s="93"/>
      <c r="NK92" s="93"/>
      <c r="NL92" s="93"/>
      <c r="NM92" s="93"/>
      <c r="NN92" s="93"/>
      <c r="NO92" s="93"/>
      <c r="NP92" s="93"/>
      <c r="NQ92" s="93"/>
      <c r="NR92" s="93"/>
      <c r="NS92" s="93"/>
      <c r="NT92" s="93"/>
      <c r="NU92" s="93"/>
      <c r="NV92" s="93"/>
      <c r="NW92" s="93"/>
      <c r="NX92" s="93"/>
      <c r="NY92" s="93"/>
      <c r="NZ92" s="93"/>
      <c r="OA92" s="93"/>
      <c r="OB92" s="93"/>
      <c r="OC92" s="93"/>
      <c r="OD92" s="20"/>
      <c r="OE92" s="29">
        <v>25</v>
      </c>
      <c r="OF92" s="1504">
        <v>37257</v>
      </c>
      <c r="OG92" s="19"/>
      <c r="OH92" s="93"/>
      <c r="OI92" s="93"/>
      <c r="OJ92" s="93"/>
      <c r="OK92" s="93"/>
      <c r="OL92" s="93"/>
      <c r="OM92" s="93"/>
      <c r="ON92" s="93"/>
      <c r="OO92" s="93"/>
      <c r="OP92" s="93"/>
      <c r="OQ92" s="93"/>
      <c r="OR92" s="93"/>
      <c r="OS92" s="93"/>
      <c r="OT92" s="93"/>
      <c r="OU92" s="93"/>
      <c r="OV92" s="93"/>
      <c r="OW92" s="93"/>
      <c r="OX92" s="93"/>
      <c r="OY92" s="93"/>
      <c r="OZ92" s="93"/>
      <c r="PA92" s="93"/>
      <c r="PB92" s="93"/>
      <c r="PC92" s="20"/>
      <c r="PD92" s="29">
        <v>25</v>
      </c>
      <c r="PE92" s="19"/>
      <c r="PF92" s="93"/>
      <c r="PG92" s="93"/>
      <c r="PH92" s="93"/>
      <c r="PI92" s="93"/>
      <c r="PJ92" s="93"/>
      <c r="PK92" s="93"/>
      <c r="PL92" s="93"/>
      <c r="PM92" s="93"/>
      <c r="PN92" s="93"/>
      <c r="PO92" s="93"/>
      <c r="PP92" s="93"/>
      <c r="PQ92" s="93"/>
      <c r="PR92" s="93"/>
      <c r="PS92" s="93"/>
      <c r="PT92" s="93"/>
      <c r="PU92" s="93"/>
      <c r="PV92" s="93"/>
      <c r="PW92" s="93"/>
      <c r="PX92" s="93"/>
      <c r="PY92" s="93"/>
      <c r="PZ92" s="93"/>
      <c r="QA92" s="93"/>
      <c r="QB92" s="93"/>
      <c r="QC92" s="93"/>
      <c r="QD92" s="93"/>
      <c r="QE92" s="20"/>
      <c r="QF92" s="1739">
        <v>25</v>
      </c>
      <c r="QG92" s="19"/>
      <c r="QH92" s="93"/>
      <c r="QI92" s="93"/>
      <c r="QJ92" s="93"/>
      <c r="QK92" s="93"/>
      <c r="QL92" s="93"/>
      <c r="QM92" s="93"/>
      <c r="QN92" s="93"/>
      <c r="QO92" s="93"/>
      <c r="QP92" s="93"/>
      <c r="QQ92" s="93"/>
      <c r="QR92" s="93"/>
      <c r="QS92" s="93"/>
      <c r="QT92" s="93"/>
      <c r="QU92" s="93"/>
      <c r="QV92" s="93"/>
      <c r="QW92" s="93"/>
      <c r="QX92" s="93"/>
      <c r="QY92" s="93"/>
      <c r="QZ92" s="93"/>
      <c r="RA92" s="93"/>
      <c r="RB92" s="93"/>
      <c r="RC92" s="93"/>
      <c r="RD92" s="93"/>
      <c r="RE92" s="93"/>
      <c r="RF92" s="93"/>
      <c r="RG92" s="93"/>
      <c r="RH92" s="93"/>
      <c r="RI92" s="93"/>
      <c r="RJ92" s="93"/>
      <c r="RK92" s="93"/>
      <c r="RL92" s="93"/>
      <c r="RM92" s="20"/>
      <c r="RN92" s="29">
        <v>25</v>
      </c>
      <c r="RO92" s="19"/>
      <c r="RP92" s="20"/>
      <c r="RQ92" s="29">
        <v>25</v>
      </c>
      <c r="RR92" s="20"/>
      <c r="RS92" s="29">
        <v>25</v>
      </c>
      <c r="RT92" s="1504">
        <v>37257</v>
      </c>
      <c r="RU92" s="19"/>
      <c r="RV92" s="20"/>
      <c r="RW92" s="29">
        <v>25</v>
      </c>
      <c r="RX92" s="1504">
        <v>37257</v>
      </c>
      <c r="RY92" s="29"/>
      <c r="RZ92" s="20"/>
      <c r="SA92" s="29"/>
      <c r="SB92" s="29">
        <v>25</v>
      </c>
    </row>
    <row r="93" spans="1:496">
      <c r="A93" s="41">
        <f t="shared" si="187"/>
        <v>2002</v>
      </c>
      <c r="B93" s="1504">
        <v>37288</v>
      </c>
      <c r="C93" s="1813"/>
      <c r="D93" s="1814"/>
      <c r="E93" s="1814"/>
      <c r="F93" s="1815"/>
      <c r="G93" s="1814"/>
      <c r="H93" s="1814"/>
      <c r="I93" s="1814"/>
      <c r="J93" s="1816"/>
      <c r="K93" s="1807"/>
      <c r="L93" s="25">
        <v>26</v>
      </c>
      <c r="M93" s="97"/>
      <c r="N93" s="1504">
        <v>37288</v>
      </c>
      <c r="O93" s="19"/>
      <c r="P93" s="93"/>
      <c r="Q93" s="93"/>
      <c r="R93" s="93"/>
      <c r="S93" s="93"/>
      <c r="T93" s="93"/>
      <c r="U93" s="93"/>
      <c r="V93" s="93"/>
      <c r="W93" s="93"/>
      <c r="X93" s="93"/>
      <c r="Y93" s="93"/>
      <c r="Z93" s="93"/>
      <c r="AA93" s="93"/>
      <c r="AB93" s="20"/>
      <c r="AC93" s="25">
        <v>26</v>
      </c>
      <c r="AD93" s="97"/>
      <c r="AE93" s="1504">
        <v>37288</v>
      </c>
      <c r="AF93" s="19"/>
      <c r="AG93" s="93"/>
      <c r="AH93" s="93"/>
      <c r="AI93" s="93"/>
      <c r="AJ93" s="93"/>
      <c r="AK93" s="93"/>
      <c r="AL93" s="93"/>
      <c r="AM93" s="93"/>
      <c r="AN93" s="93"/>
      <c r="AO93" s="93"/>
      <c r="AP93" s="93"/>
      <c r="AQ93" s="93"/>
      <c r="AR93" s="93"/>
      <c r="AS93" s="20"/>
      <c r="AT93" s="25">
        <v>26</v>
      </c>
      <c r="AU93" s="97"/>
      <c r="AV93" s="1504">
        <v>37288</v>
      </c>
      <c r="AW93" s="19"/>
      <c r="AX93" s="93"/>
      <c r="AY93" s="93"/>
      <c r="AZ93" s="93"/>
      <c r="BA93" s="93"/>
      <c r="BB93" s="93"/>
      <c r="BC93" s="93"/>
      <c r="BD93" s="93"/>
      <c r="BE93" s="93"/>
      <c r="BF93" s="93"/>
      <c r="BG93" s="93"/>
      <c r="BH93" s="93"/>
      <c r="BI93" s="93"/>
      <c r="BJ93" s="20"/>
      <c r="BK93" s="25">
        <v>26</v>
      </c>
      <c r="BL93" s="97"/>
      <c r="BM93" s="1504">
        <v>37288</v>
      </c>
      <c r="BN93" s="19"/>
      <c r="BO93" s="93"/>
      <c r="BP93" s="93"/>
      <c r="BQ93" s="93"/>
      <c r="BR93" s="93"/>
      <c r="BS93" s="93"/>
      <c r="BT93" s="93"/>
      <c r="BU93" s="20"/>
      <c r="BV93" s="25">
        <v>26</v>
      </c>
      <c r="BW93" s="97"/>
      <c r="BX93" s="1504">
        <v>37288</v>
      </c>
      <c r="BY93" s="19"/>
      <c r="BZ93" s="99">
        <v>664.95699999999999</v>
      </c>
      <c r="CA93" s="93"/>
      <c r="CB93" s="93"/>
      <c r="CC93" s="93"/>
      <c r="CD93" s="25">
        <v>26</v>
      </c>
      <c r="CE93" s="97"/>
      <c r="CF93" s="1504">
        <v>37288</v>
      </c>
      <c r="CG93" s="19">
        <v>0.94359999999999999</v>
      </c>
      <c r="CH93" s="93">
        <v>295.5</v>
      </c>
      <c r="CI93" s="219"/>
      <c r="CJ93" s="20"/>
      <c r="CK93" s="19"/>
      <c r="CL93" s="93"/>
      <c r="CM93" s="93"/>
      <c r="CN93" s="93"/>
      <c r="CO93" s="93"/>
      <c r="CP93" s="20"/>
      <c r="CQ93" s="219">
        <v>617.29</v>
      </c>
      <c r="CR93" s="93">
        <v>1.5049999999999999</v>
      </c>
      <c r="CS93" s="93"/>
      <c r="CT93" s="93"/>
      <c r="CU93" s="93"/>
      <c r="CV93" s="214"/>
      <c r="CW93" s="29">
        <v>26</v>
      </c>
      <c r="CX93" s="41">
        <f t="shared" si="188"/>
        <v>2002</v>
      </c>
      <c r="CY93" s="1504">
        <v>37288</v>
      </c>
      <c r="CZ93" s="733">
        <v>28.275832999999999</v>
      </c>
      <c r="DA93" s="570">
        <v>15.28909</v>
      </c>
      <c r="DB93" s="570">
        <v>12.986743000000001</v>
      </c>
      <c r="DC93" s="93"/>
      <c r="DD93" s="93"/>
      <c r="DE93" s="20"/>
      <c r="DF93" s="29">
        <v>26</v>
      </c>
      <c r="DG93" s="1504">
        <v>37288</v>
      </c>
      <c r="DH93" s="19"/>
      <c r="DI93" s="93"/>
      <c r="DJ93" s="93"/>
      <c r="DK93" s="93"/>
      <c r="DL93" s="93"/>
      <c r="DM93" s="93"/>
      <c r="DN93" s="20"/>
      <c r="DO93" s="25"/>
      <c r="DP93" s="29">
        <v>26</v>
      </c>
      <c r="DQ93" s="1504">
        <v>37288</v>
      </c>
      <c r="DR93" s="19"/>
      <c r="DS93" s="93"/>
      <c r="DT93" s="93"/>
      <c r="DU93" s="93"/>
      <c r="DV93" s="93"/>
      <c r="DW93" s="93"/>
      <c r="DX93" s="20"/>
      <c r="DY93" s="29">
        <v>26</v>
      </c>
      <c r="DZ93" s="1504">
        <v>37288</v>
      </c>
      <c r="EA93" s="19"/>
      <c r="EB93" s="93"/>
      <c r="EC93" s="20"/>
      <c r="ED93" s="29">
        <v>26</v>
      </c>
      <c r="EE93" s="1504">
        <v>37288</v>
      </c>
      <c r="EF93" s="19"/>
      <c r="EG93" s="93"/>
      <c r="EH93" s="93"/>
      <c r="EI93" s="214"/>
      <c r="EJ93" s="93"/>
      <c r="EK93" s="93"/>
      <c r="EL93" s="93"/>
      <c r="EM93" s="93"/>
      <c r="EN93" s="20"/>
      <c r="EO93" s="29">
        <v>26</v>
      </c>
      <c r="EP93" s="1504">
        <v>37288</v>
      </c>
      <c r="EQ93" s="19"/>
      <c r="ER93" s="93"/>
      <c r="ES93" s="93"/>
      <c r="ET93" s="214"/>
      <c r="EU93" s="93"/>
      <c r="EV93" s="93"/>
      <c r="EW93" s="93"/>
      <c r="EX93" s="93"/>
      <c r="EY93" s="20"/>
      <c r="EZ93" s="29">
        <v>26</v>
      </c>
      <c r="FA93" s="1504">
        <v>37288</v>
      </c>
      <c r="FB93" s="29"/>
      <c r="FC93" s="29"/>
      <c r="FD93" s="29"/>
      <c r="FE93" s="29"/>
      <c r="FF93" s="29"/>
      <c r="FG93" s="29"/>
      <c r="FH93" s="29"/>
      <c r="FI93" s="29"/>
      <c r="FJ93" s="29"/>
      <c r="FK93" s="29">
        <v>26</v>
      </c>
      <c r="FL93" s="1504">
        <v>37288</v>
      </c>
      <c r="FM93" s="19"/>
      <c r="FN93" s="93"/>
      <c r="FO93" s="93"/>
      <c r="FP93" s="93"/>
      <c r="FQ93" s="93"/>
      <c r="FR93" s="93"/>
      <c r="FS93" s="93"/>
      <c r="FT93" s="93"/>
      <c r="FU93" s="93"/>
      <c r="FV93" s="93"/>
      <c r="FW93" s="93"/>
      <c r="FX93" s="93"/>
      <c r="FY93" s="93"/>
      <c r="FZ93" s="29">
        <v>26</v>
      </c>
      <c r="GA93" s="1504">
        <v>37288</v>
      </c>
      <c r="GB93" s="19"/>
      <c r="GC93" s="93"/>
      <c r="GD93" s="93"/>
      <c r="GE93" s="93"/>
      <c r="GF93" s="93"/>
      <c r="GG93" s="93"/>
      <c r="GH93" s="93"/>
      <c r="GI93" s="93"/>
      <c r="GJ93" s="93"/>
      <c r="GK93" s="93"/>
      <c r="GL93" s="93"/>
      <c r="GM93" s="93"/>
      <c r="GN93" s="20"/>
      <c r="GO93" s="29">
        <v>26</v>
      </c>
      <c r="GP93" s="1504">
        <v>37288</v>
      </c>
      <c r="GQ93" s="19"/>
      <c r="GR93" s="93"/>
      <c r="GS93" s="93"/>
      <c r="GT93" s="93"/>
      <c r="GU93" s="93"/>
      <c r="GV93" s="20"/>
      <c r="GW93" s="19"/>
      <c r="GX93" s="93"/>
      <c r="GY93" s="93"/>
      <c r="GZ93" s="93"/>
      <c r="HA93" s="93"/>
      <c r="HB93" s="20"/>
      <c r="HC93" s="19"/>
      <c r="HD93" s="93"/>
      <c r="HE93" s="93"/>
      <c r="HF93" s="93"/>
      <c r="HG93" s="93"/>
      <c r="HH93" s="20"/>
      <c r="HI93" s="19"/>
      <c r="HJ93" s="93"/>
      <c r="HK93" s="93"/>
      <c r="HL93" s="93"/>
      <c r="HM93" s="93"/>
      <c r="HN93" s="20"/>
      <c r="HO93" s="219"/>
      <c r="HP93" s="20"/>
      <c r="HQ93" s="25"/>
      <c r="HR93" s="29">
        <v>26</v>
      </c>
      <c r="HS93" s="1504">
        <v>37288</v>
      </c>
      <c r="HT93" s="19"/>
      <c r="HU93" s="93"/>
      <c r="HV93" s="93"/>
      <c r="HW93" s="93"/>
      <c r="HX93" s="93"/>
      <c r="HY93" s="93"/>
      <c r="HZ93" s="93"/>
      <c r="IA93" s="20"/>
      <c r="IB93" s="19"/>
      <c r="IC93" s="93"/>
      <c r="ID93" s="93"/>
      <c r="IE93" s="93"/>
      <c r="IF93" s="93"/>
      <c r="IG93" s="20"/>
      <c r="IH93" s="19"/>
      <c r="II93" s="93"/>
      <c r="IJ93" s="93"/>
      <c r="IK93" s="93"/>
      <c r="IL93" s="93"/>
      <c r="IM93" s="93"/>
      <c r="IN93" s="93"/>
      <c r="IO93" s="20"/>
      <c r="IP93" s="29">
        <v>26</v>
      </c>
      <c r="IQ93" s="19"/>
      <c r="IR93" s="93"/>
      <c r="IS93" s="93"/>
      <c r="IT93" s="93"/>
      <c r="IU93" s="93"/>
      <c r="IV93" s="20"/>
      <c r="IW93" s="29">
        <v>26</v>
      </c>
      <c r="IX93" s="19"/>
      <c r="IY93" s="93"/>
      <c r="IZ93" s="93"/>
      <c r="JA93" s="93"/>
      <c r="JB93" s="93"/>
      <c r="JC93" s="93"/>
      <c r="JD93" s="93"/>
      <c r="JE93" s="20"/>
      <c r="JF93" s="29">
        <v>26</v>
      </c>
      <c r="JG93" s="19"/>
      <c r="JH93" s="93"/>
      <c r="JI93" s="93"/>
      <c r="JJ93" s="93"/>
      <c r="JK93" s="93"/>
      <c r="JL93" s="93"/>
      <c r="JM93" s="93"/>
      <c r="JN93" s="20"/>
      <c r="JO93" s="29">
        <v>26</v>
      </c>
      <c r="JP93" s="19"/>
      <c r="JQ93" s="93"/>
      <c r="JR93" s="93"/>
      <c r="JS93" s="93"/>
      <c r="JT93" s="93"/>
      <c r="JU93" s="20"/>
      <c r="JV93" s="29">
        <v>26</v>
      </c>
      <c r="JW93" s="1504">
        <v>37288</v>
      </c>
      <c r="JX93" s="19"/>
      <c r="JY93" s="93"/>
      <c r="JZ93" s="93"/>
      <c r="KA93" s="93"/>
      <c r="KB93" s="93"/>
      <c r="KC93" s="93"/>
      <c r="KD93" s="20"/>
      <c r="KE93" s="29">
        <v>26</v>
      </c>
      <c r="KF93" s="19"/>
      <c r="KG93" s="93"/>
      <c r="KH93" s="93"/>
      <c r="KI93" s="93"/>
      <c r="KJ93" s="93"/>
      <c r="KK93" s="20"/>
      <c r="KL93" s="29">
        <v>26</v>
      </c>
      <c r="KM93" s="19"/>
      <c r="KN93" s="93"/>
      <c r="KO93" s="93"/>
      <c r="KP93" s="93"/>
      <c r="KQ93" s="93"/>
      <c r="KR93" s="20"/>
      <c r="KS93" s="29">
        <v>26</v>
      </c>
      <c r="KT93" s="19"/>
      <c r="KU93" s="93"/>
      <c r="KV93" s="93"/>
      <c r="KW93" s="93"/>
      <c r="KX93" s="93"/>
      <c r="KY93" s="20"/>
      <c r="KZ93" s="29">
        <v>26</v>
      </c>
      <c r="LA93" s="1504">
        <v>37288</v>
      </c>
      <c r="LB93" s="19"/>
      <c r="LC93" s="93"/>
      <c r="LD93" s="93"/>
      <c r="LE93" s="93"/>
      <c r="LF93" s="93"/>
      <c r="LG93" s="93"/>
      <c r="LH93" s="20"/>
      <c r="LI93" s="29">
        <v>26</v>
      </c>
      <c r="LJ93" s="19"/>
      <c r="LK93" s="93"/>
      <c r="LL93" s="93"/>
      <c r="LM93" s="93"/>
      <c r="LN93" s="93"/>
      <c r="LO93" s="20"/>
      <c r="LP93" s="29">
        <v>26</v>
      </c>
      <c r="LQ93" s="19"/>
      <c r="LR93" s="93"/>
      <c r="LS93" s="93"/>
      <c r="LT93" s="93"/>
      <c r="LU93" s="93"/>
      <c r="LV93" s="93"/>
      <c r="LW93" s="93"/>
      <c r="LX93" s="93"/>
      <c r="LY93" s="93"/>
      <c r="LZ93" s="93"/>
      <c r="MA93" s="20"/>
      <c r="MB93" s="29">
        <v>26</v>
      </c>
      <c r="MC93" s="1504">
        <v>37288</v>
      </c>
      <c r="MD93" s="19"/>
      <c r="ME93" s="93"/>
      <c r="MF93" s="93"/>
      <c r="MG93" s="93"/>
      <c r="MH93" s="93"/>
      <c r="MI93" s="93"/>
      <c r="MJ93" s="93"/>
      <c r="MK93" s="93"/>
      <c r="ML93" s="93"/>
      <c r="MM93" s="93"/>
      <c r="MN93" s="93"/>
      <c r="MO93" s="93"/>
      <c r="MP93" s="93"/>
      <c r="MQ93" s="93"/>
      <c r="MR93" s="93"/>
      <c r="MS93" s="93"/>
      <c r="MT93" s="93"/>
      <c r="MU93" s="93"/>
      <c r="MV93" s="93"/>
      <c r="MW93" s="93"/>
      <c r="MX93" s="93"/>
      <c r="MY93" s="93"/>
      <c r="MZ93" s="93"/>
      <c r="NA93" s="93"/>
      <c r="NB93" s="93"/>
      <c r="NC93" s="93"/>
      <c r="ND93" s="93"/>
      <c r="NE93" s="93"/>
      <c r="NF93" s="93"/>
      <c r="NG93" s="93"/>
      <c r="NH93" s="93"/>
      <c r="NI93" s="93"/>
      <c r="NJ93" s="93"/>
      <c r="NK93" s="93"/>
      <c r="NL93" s="93"/>
      <c r="NM93" s="93"/>
      <c r="NN93" s="93"/>
      <c r="NO93" s="93"/>
      <c r="NP93" s="93"/>
      <c r="NQ93" s="93"/>
      <c r="NR93" s="93"/>
      <c r="NS93" s="93"/>
      <c r="NT93" s="93"/>
      <c r="NU93" s="93"/>
      <c r="NV93" s="93"/>
      <c r="NW93" s="93"/>
      <c r="NX93" s="93"/>
      <c r="NY93" s="93"/>
      <c r="NZ93" s="93"/>
      <c r="OA93" s="93"/>
      <c r="OB93" s="93"/>
      <c r="OC93" s="93"/>
      <c r="OD93" s="20"/>
      <c r="OE93" s="29">
        <v>26</v>
      </c>
      <c r="OF93" s="1504">
        <v>37288</v>
      </c>
      <c r="OG93" s="19"/>
      <c r="OH93" s="93"/>
      <c r="OI93" s="93"/>
      <c r="OJ93" s="93"/>
      <c r="OK93" s="93"/>
      <c r="OL93" s="93"/>
      <c r="OM93" s="93"/>
      <c r="ON93" s="93"/>
      <c r="OO93" s="93"/>
      <c r="OP93" s="93"/>
      <c r="OQ93" s="93"/>
      <c r="OR93" s="93"/>
      <c r="OS93" s="93"/>
      <c r="OT93" s="93"/>
      <c r="OU93" s="93"/>
      <c r="OV93" s="93"/>
      <c r="OW93" s="93"/>
      <c r="OX93" s="93"/>
      <c r="OY93" s="93"/>
      <c r="OZ93" s="93"/>
      <c r="PA93" s="93"/>
      <c r="PB93" s="93"/>
      <c r="PC93" s="20"/>
      <c r="PD93" s="29">
        <v>26</v>
      </c>
      <c r="PE93" s="19"/>
      <c r="PF93" s="93"/>
      <c r="PG93" s="93"/>
      <c r="PH93" s="93"/>
      <c r="PI93" s="93"/>
      <c r="PJ93" s="93"/>
      <c r="PK93" s="93"/>
      <c r="PL93" s="93"/>
      <c r="PM93" s="93"/>
      <c r="PN93" s="93"/>
      <c r="PO93" s="93"/>
      <c r="PP93" s="93"/>
      <c r="PQ93" s="93"/>
      <c r="PR93" s="93"/>
      <c r="PS93" s="93"/>
      <c r="PT93" s="93"/>
      <c r="PU93" s="93"/>
      <c r="PV93" s="93"/>
      <c r="PW93" s="93"/>
      <c r="PX93" s="93"/>
      <c r="PY93" s="93"/>
      <c r="PZ93" s="93"/>
      <c r="QA93" s="93"/>
      <c r="QB93" s="93"/>
      <c r="QC93" s="93"/>
      <c r="QD93" s="93"/>
      <c r="QE93" s="20"/>
      <c r="QF93" s="1739">
        <v>26</v>
      </c>
      <c r="QG93" s="19"/>
      <c r="QH93" s="93"/>
      <c r="QI93" s="93"/>
      <c r="QJ93" s="93"/>
      <c r="QK93" s="93"/>
      <c r="QL93" s="93"/>
      <c r="QM93" s="93"/>
      <c r="QN93" s="93"/>
      <c r="QO93" s="93"/>
      <c r="QP93" s="93"/>
      <c r="QQ93" s="93"/>
      <c r="QR93" s="93"/>
      <c r="QS93" s="93"/>
      <c r="QT93" s="93"/>
      <c r="QU93" s="93"/>
      <c r="QV93" s="93"/>
      <c r="QW93" s="93"/>
      <c r="QX93" s="93"/>
      <c r="QY93" s="93"/>
      <c r="QZ93" s="93"/>
      <c r="RA93" s="93"/>
      <c r="RB93" s="93"/>
      <c r="RC93" s="93"/>
      <c r="RD93" s="93"/>
      <c r="RE93" s="93"/>
      <c r="RF93" s="93"/>
      <c r="RG93" s="93"/>
      <c r="RH93" s="93"/>
      <c r="RI93" s="93"/>
      <c r="RJ93" s="93"/>
      <c r="RK93" s="93"/>
      <c r="RL93" s="93"/>
      <c r="RM93" s="20"/>
      <c r="RN93" s="29">
        <v>26</v>
      </c>
      <c r="RO93" s="19"/>
      <c r="RP93" s="20"/>
      <c r="RQ93" s="29">
        <v>26</v>
      </c>
      <c r="RR93" s="20"/>
      <c r="RS93" s="29">
        <v>26</v>
      </c>
      <c r="RT93" s="1504">
        <v>37288</v>
      </c>
      <c r="RU93" s="19"/>
      <c r="RV93" s="20"/>
      <c r="RW93" s="29">
        <v>26</v>
      </c>
      <c r="RX93" s="1504">
        <v>37288</v>
      </c>
      <c r="RY93" s="29"/>
      <c r="RZ93" s="20"/>
      <c r="SA93" s="29"/>
      <c r="SB93" s="29">
        <v>26</v>
      </c>
    </row>
    <row r="94" spans="1:496">
      <c r="A94" s="41">
        <f t="shared" si="187"/>
        <v>2002</v>
      </c>
      <c r="B94" s="1504">
        <v>37316</v>
      </c>
      <c r="C94" s="1813"/>
      <c r="D94" s="1814"/>
      <c r="E94" s="1814"/>
      <c r="F94" s="1815"/>
      <c r="G94" s="1814"/>
      <c r="H94" s="1814"/>
      <c r="I94" s="1814"/>
      <c r="J94" s="1816"/>
      <c r="K94" s="1807"/>
      <c r="L94" s="25">
        <v>27</v>
      </c>
      <c r="M94" s="97"/>
      <c r="N94" s="1504">
        <v>37316</v>
      </c>
      <c r="O94" s="19"/>
      <c r="P94" s="93"/>
      <c r="Q94" s="93"/>
      <c r="R94" s="93"/>
      <c r="S94" s="93"/>
      <c r="T94" s="93"/>
      <c r="U94" s="93"/>
      <c r="V94" s="93"/>
      <c r="W94" s="93"/>
      <c r="X94" s="93"/>
      <c r="Y94" s="93"/>
      <c r="Z94" s="93"/>
      <c r="AA94" s="93"/>
      <c r="AB94" s="20"/>
      <c r="AC94" s="25">
        <v>27</v>
      </c>
      <c r="AD94" s="97"/>
      <c r="AE94" s="1504">
        <v>37316</v>
      </c>
      <c r="AF94" s="19"/>
      <c r="AG94" s="93"/>
      <c r="AH94" s="93"/>
      <c r="AI94" s="93"/>
      <c r="AJ94" s="93"/>
      <c r="AK94" s="93"/>
      <c r="AL94" s="93"/>
      <c r="AM94" s="93"/>
      <c r="AN94" s="93"/>
      <c r="AO94" s="93"/>
      <c r="AP94" s="93"/>
      <c r="AQ94" s="93"/>
      <c r="AR94" s="93"/>
      <c r="AS94" s="20"/>
      <c r="AT94" s="25">
        <v>27</v>
      </c>
      <c r="AU94" s="97"/>
      <c r="AV94" s="1504">
        <v>37316</v>
      </c>
      <c r="AW94" s="19"/>
      <c r="AX94" s="93"/>
      <c r="AY94" s="93"/>
      <c r="AZ94" s="93"/>
      <c r="BA94" s="93"/>
      <c r="BB94" s="93"/>
      <c r="BC94" s="93"/>
      <c r="BD94" s="93"/>
      <c r="BE94" s="93"/>
      <c r="BF94" s="93"/>
      <c r="BG94" s="93"/>
      <c r="BH94" s="93"/>
      <c r="BI94" s="93"/>
      <c r="BJ94" s="20"/>
      <c r="BK94" s="25">
        <v>27</v>
      </c>
      <c r="BL94" s="97"/>
      <c r="BM94" s="1504">
        <v>37316</v>
      </c>
      <c r="BN94" s="19"/>
      <c r="BO94" s="93"/>
      <c r="BP94" s="93"/>
      <c r="BQ94" s="93"/>
      <c r="BR94" s="93"/>
      <c r="BS94" s="93"/>
      <c r="BT94" s="93"/>
      <c r="BU94" s="20"/>
      <c r="BV94" s="25">
        <v>27</v>
      </c>
      <c r="BW94" s="97"/>
      <c r="BX94" s="1504">
        <v>37316</v>
      </c>
      <c r="BY94" s="19"/>
      <c r="BZ94" s="99">
        <v>664.95699999999999</v>
      </c>
      <c r="CA94" s="93"/>
      <c r="CB94" s="93"/>
      <c r="CC94" s="93"/>
      <c r="CD94" s="25">
        <v>27</v>
      </c>
      <c r="CE94" s="97"/>
      <c r="CF94" s="1504">
        <v>37316</v>
      </c>
      <c r="CG94" s="19">
        <v>0.92679999999999996</v>
      </c>
      <c r="CH94" s="93">
        <v>294.06</v>
      </c>
      <c r="CI94" s="219"/>
      <c r="CJ94" s="20"/>
      <c r="CK94" s="19"/>
      <c r="CL94" s="93"/>
      <c r="CM94" s="93"/>
      <c r="CN94" s="93"/>
      <c r="CO94" s="93"/>
      <c r="CP94" s="20"/>
      <c r="CQ94" s="219">
        <v>598.91999999999996</v>
      </c>
      <c r="CR94" s="93">
        <v>1.54</v>
      </c>
      <c r="CS94" s="93"/>
      <c r="CT94" s="93"/>
      <c r="CU94" s="93"/>
      <c r="CV94" s="214"/>
      <c r="CW94" s="29">
        <v>27</v>
      </c>
      <c r="CX94" s="41">
        <f t="shared" si="188"/>
        <v>2002</v>
      </c>
      <c r="CY94" s="1504">
        <v>37316</v>
      </c>
      <c r="CZ94" s="733">
        <v>32.304226999999997</v>
      </c>
      <c r="DA94" s="570">
        <v>18.180671</v>
      </c>
      <c r="DB94" s="570">
        <v>14.123556000000001</v>
      </c>
      <c r="DC94" s="93"/>
      <c r="DD94" s="93"/>
      <c r="DE94" s="20"/>
      <c r="DF94" s="29">
        <v>27</v>
      </c>
      <c r="DG94" s="1504">
        <v>37316</v>
      </c>
      <c r="DH94" s="19"/>
      <c r="DI94" s="93"/>
      <c r="DJ94" s="93"/>
      <c r="DK94" s="93"/>
      <c r="DL94" s="93"/>
      <c r="DM94" s="93"/>
      <c r="DN94" s="20"/>
      <c r="DO94" s="25"/>
      <c r="DP94" s="29">
        <v>27</v>
      </c>
      <c r="DQ94" s="1504">
        <v>37316</v>
      </c>
      <c r="DR94" s="19"/>
      <c r="DS94" s="93"/>
      <c r="DT94" s="93"/>
      <c r="DU94" s="93"/>
      <c r="DV94" s="93"/>
      <c r="DW94" s="93"/>
      <c r="DX94" s="20"/>
      <c r="DY94" s="29">
        <v>27</v>
      </c>
      <c r="DZ94" s="1504">
        <v>37316</v>
      </c>
      <c r="EA94" s="19"/>
      <c r="EB94" s="93"/>
      <c r="EC94" s="20"/>
      <c r="ED94" s="29">
        <v>27</v>
      </c>
      <c r="EE94" s="1504">
        <v>37316</v>
      </c>
      <c r="EF94" s="19"/>
      <c r="EG94" s="93"/>
      <c r="EH94" s="93"/>
      <c r="EI94" s="214"/>
      <c r="EJ94" s="93"/>
      <c r="EK94" s="93"/>
      <c r="EL94" s="93"/>
      <c r="EM94" s="93"/>
      <c r="EN94" s="20"/>
      <c r="EO94" s="29">
        <v>27</v>
      </c>
      <c r="EP94" s="1504">
        <v>37316</v>
      </c>
      <c r="EQ94" s="19"/>
      <c r="ER94" s="93"/>
      <c r="ES94" s="93"/>
      <c r="ET94" s="214"/>
      <c r="EU94" s="93"/>
      <c r="EV94" s="93"/>
      <c r="EW94" s="93"/>
      <c r="EX94" s="93"/>
      <c r="EY94" s="20"/>
      <c r="EZ94" s="29">
        <v>27</v>
      </c>
      <c r="FA94" s="1504">
        <v>37316</v>
      </c>
      <c r="FB94" s="29"/>
      <c r="FC94" s="29"/>
      <c r="FD94" s="29"/>
      <c r="FE94" s="29"/>
      <c r="FF94" s="29"/>
      <c r="FG94" s="29"/>
      <c r="FH94" s="29"/>
      <c r="FI94" s="29"/>
      <c r="FJ94" s="29"/>
      <c r="FK94" s="29">
        <v>27</v>
      </c>
      <c r="FL94" s="1504">
        <v>37316</v>
      </c>
      <c r="FM94" s="19"/>
      <c r="FN94" s="93"/>
      <c r="FO94" s="93"/>
      <c r="FP94" s="93"/>
      <c r="FQ94" s="93"/>
      <c r="FR94" s="93"/>
      <c r="FS94" s="93"/>
      <c r="FT94" s="93"/>
      <c r="FU94" s="93"/>
      <c r="FV94" s="93"/>
      <c r="FW94" s="93"/>
      <c r="FX94" s="93"/>
      <c r="FY94" s="93"/>
      <c r="FZ94" s="29">
        <v>27</v>
      </c>
      <c r="GA94" s="1504">
        <v>37316</v>
      </c>
      <c r="GB94" s="19"/>
      <c r="GC94" s="93"/>
      <c r="GD94" s="93"/>
      <c r="GE94" s="93"/>
      <c r="GF94" s="93"/>
      <c r="GG94" s="93"/>
      <c r="GH94" s="93"/>
      <c r="GI94" s="93"/>
      <c r="GJ94" s="93"/>
      <c r="GK94" s="93"/>
      <c r="GL94" s="93"/>
      <c r="GM94" s="93"/>
      <c r="GN94" s="20"/>
      <c r="GO94" s="29">
        <v>27</v>
      </c>
      <c r="GP94" s="1504">
        <v>37316</v>
      </c>
      <c r="GQ94" s="19"/>
      <c r="GR94" s="93"/>
      <c r="GS94" s="93"/>
      <c r="GT94" s="93"/>
      <c r="GU94" s="93"/>
      <c r="GV94" s="20"/>
      <c r="GW94" s="19"/>
      <c r="GX94" s="93"/>
      <c r="GY94" s="93"/>
      <c r="GZ94" s="93"/>
      <c r="HA94" s="93"/>
      <c r="HB94" s="20"/>
      <c r="HC94" s="19"/>
      <c r="HD94" s="93"/>
      <c r="HE94" s="93"/>
      <c r="HF94" s="93"/>
      <c r="HG94" s="93"/>
      <c r="HH94" s="20"/>
      <c r="HI94" s="19"/>
      <c r="HJ94" s="93"/>
      <c r="HK94" s="93"/>
      <c r="HL94" s="93"/>
      <c r="HM94" s="93"/>
      <c r="HN94" s="20"/>
      <c r="HO94" s="219"/>
      <c r="HP94" s="20"/>
      <c r="HQ94" s="25"/>
      <c r="HR94" s="29">
        <v>27</v>
      </c>
      <c r="HS94" s="1504">
        <v>37316</v>
      </c>
      <c r="HT94" s="19"/>
      <c r="HU94" s="93"/>
      <c r="HV94" s="93"/>
      <c r="HW94" s="93"/>
      <c r="HX94" s="93"/>
      <c r="HY94" s="93"/>
      <c r="HZ94" s="93"/>
      <c r="IA94" s="20"/>
      <c r="IB94" s="19"/>
      <c r="IC94" s="93"/>
      <c r="ID94" s="93"/>
      <c r="IE94" s="93"/>
      <c r="IF94" s="93"/>
      <c r="IG94" s="20"/>
      <c r="IH94" s="19"/>
      <c r="II94" s="93"/>
      <c r="IJ94" s="93"/>
      <c r="IK94" s="93"/>
      <c r="IL94" s="93"/>
      <c r="IM94" s="93"/>
      <c r="IN94" s="93"/>
      <c r="IO94" s="20"/>
      <c r="IP94" s="29">
        <v>27</v>
      </c>
      <c r="IQ94" s="19"/>
      <c r="IR94" s="93"/>
      <c r="IS94" s="93"/>
      <c r="IT94" s="93"/>
      <c r="IU94" s="93"/>
      <c r="IV94" s="20"/>
      <c r="IW94" s="29">
        <v>27</v>
      </c>
      <c r="IX94" s="19"/>
      <c r="IY94" s="93"/>
      <c r="IZ94" s="93"/>
      <c r="JA94" s="93"/>
      <c r="JB94" s="93"/>
      <c r="JC94" s="93"/>
      <c r="JD94" s="93"/>
      <c r="JE94" s="20"/>
      <c r="JF94" s="29">
        <v>27</v>
      </c>
      <c r="JG94" s="19"/>
      <c r="JH94" s="93"/>
      <c r="JI94" s="93"/>
      <c r="JJ94" s="93"/>
      <c r="JK94" s="93"/>
      <c r="JL94" s="93"/>
      <c r="JM94" s="93"/>
      <c r="JN94" s="20"/>
      <c r="JO94" s="29">
        <v>27</v>
      </c>
      <c r="JP94" s="19"/>
      <c r="JQ94" s="93"/>
      <c r="JR94" s="93"/>
      <c r="JS94" s="93"/>
      <c r="JT94" s="93"/>
      <c r="JU94" s="20"/>
      <c r="JV94" s="29">
        <v>27</v>
      </c>
      <c r="JW94" s="1504">
        <v>37316</v>
      </c>
      <c r="JX94" s="19"/>
      <c r="JY94" s="93"/>
      <c r="JZ94" s="93"/>
      <c r="KA94" s="93"/>
      <c r="KB94" s="93"/>
      <c r="KC94" s="93"/>
      <c r="KD94" s="20"/>
      <c r="KE94" s="29">
        <v>27</v>
      </c>
      <c r="KF94" s="19"/>
      <c r="KG94" s="93"/>
      <c r="KH94" s="93"/>
      <c r="KI94" s="93"/>
      <c r="KJ94" s="93"/>
      <c r="KK94" s="20"/>
      <c r="KL94" s="29">
        <v>27</v>
      </c>
      <c r="KM94" s="19"/>
      <c r="KN94" s="93"/>
      <c r="KO94" s="93"/>
      <c r="KP94" s="93"/>
      <c r="KQ94" s="93"/>
      <c r="KR94" s="20"/>
      <c r="KS94" s="29">
        <v>27</v>
      </c>
      <c r="KT94" s="19"/>
      <c r="KU94" s="93"/>
      <c r="KV94" s="93"/>
      <c r="KW94" s="93"/>
      <c r="KX94" s="93"/>
      <c r="KY94" s="20"/>
      <c r="KZ94" s="29">
        <v>27</v>
      </c>
      <c r="LA94" s="1504">
        <v>37316</v>
      </c>
      <c r="LB94" s="19"/>
      <c r="LC94" s="93"/>
      <c r="LD94" s="93"/>
      <c r="LE94" s="93"/>
      <c r="LF94" s="93"/>
      <c r="LG94" s="93"/>
      <c r="LH94" s="20"/>
      <c r="LI94" s="29">
        <v>27</v>
      </c>
      <c r="LJ94" s="19"/>
      <c r="LK94" s="93"/>
      <c r="LL94" s="93"/>
      <c r="LM94" s="93"/>
      <c r="LN94" s="93"/>
      <c r="LO94" s="20"/>
      <c r="LP94" s="29">
        <v>27</v>
      </c>
      <c r="LQ94" s="19"/>
      <c r="LR94" s="93"/>
      <c r="LS94" s="93"/>
      <c r="LT94" s="93"/>
      <c r="LU94" s="93"/>
      <c r="LV94" s="93"/>
      <c r="LW94" s="93"/>
      <c r="LX94" s="93"/>
      <c r="LY94" s="93"/>
      <c r="LZ94" s="93"/>
      <c r="MA94" s="20"/>
      <c r="MB94" s="29">
        <v>27</v>
      </c>
      <c r="MC94" s="1504">
        <v>37316</v>
      </c>
      <c r="MD94" s="19"/>
      <c r="ME94" s="93"/>
      <c r="MF94" s="93"/>
      <c r="MG94" s="93"/>
      <c r="MH94" s="93"/>
      <c r="MI94" s="93"/>
      <c r="MJ94" s="93"/>
      <c r="MK94" s="93"/>
      <c r="ML94" s="93"/>
      <c r="MM94" s="93"/>
      <c r="MN94" s="93"/>
      <c r="MO94" s="93"/>
      <c r="MP94" s="93"/>
      <c r="MQ94" s="93"/>
      <c r="MR94" s="93"/>
      <c r="MS94" s="93"/>
      <c r="MT94" s="93"/>
      <c r="MU94" s="93"/>
      <c r="MV94" s="93"/>
      <c r="MW94" s="93"/>
      <c r="MX94" s="93"/>
      <c r="MY94" s="93"/>
      <c r="MZ94" s="93"/>
      <c r="NA94" s="93"/>
      <c r="NB94" s="93"/>
      <c r="NC94" s="93"/>
      <c r="ND94" s="93"/>
      <c r="NE94" s="93"/>
      <c r="NF94" s="93"/>
      <c r="NG94" s="93"/>
      <c r="NH94" s="93"/>
      <c r="NI94" s="93"/>
      <c r="NJ94" s="93"/>
      <c r="NK94" s="93"/>
      <c r="NL94" s="93"/>
      <c r="NM94" s="93"/>
      <c r="NN94" s="93"/>
      <c r="NO94" s="93"/>
      <c r="NP94" s="93"/>
      <c r="NQ94" s="93"/>
      <c r="NR94" s="93"/>
      <c r="NS94" s="93"/>
      <c r="NT94" s="93"/>
      <c r="NU94" s="93"/>
      <c r="NV94" s="93"/>
      <c r="NW94" s="93"/>
      <c r="NX94" s="93"/>
      <c r="NY94" s="93"/>
      <c r="NZ94" s="93"/>
      <c r="OA94" s="93"/>
      <c r="OB94" s="93"/>
      <c r="OC94" s="93"/>
      <c r="OD94" s="20"/>
      <c r="OE94" s="29">
        <v>27</v>
      </c>
      <c r="OF94" s="1504">
        <v>37316</v>
      </c>
      <c r="OG94" s="19"/>
      <c r="OH94" s="93"/>
      <c r="OI94" s="93"/>
      <c r="OJ94" s="93"/>
      <c r="OK94" s="93"/>
      <c r="OL94" s="93"/>
      <c r="OM94" s="93"/>
      <c r="ON94" s="93"/>
      <c r="OO94" s="93"/>
      <c r="OP94" s="93"/>
      <c r="OQ94" s="93"/>
      <c r="OR94" s="93"/>
      <c r="OS94" s="93"/>
      <c r="OT94" s="93"/>
      <c r="OU94" s="93"/>
      <c r="OV94" s="93"/>
      <c r="OW94" s="93"/>
      <c r="OX94" s="93"/>
      <c r="OY94" s="93"/>
      <c r="OZ94" s="93"/>
      <c r="PA94" s="93"/>
      <c r="PB94" s="93"/>
      <c r="PC94" s="20"/>
      <c r="PD94" s="29">
        <v>27</v>
      </c>
      <c r="PE94" s="19"/>
      <c r="PF94" s="93"/>
      <c r="PG94" s="93"/>
      <c r="PH94" s="93"/>
      <c r="PI94" s="93"/>
      <c r="PJ94" s="93"/>
      <c r="PK94" s="93"/>
      <c r="PL94" s="93"/>
      <c r="PM94" s="93"/>
      <c r="PN94" s="93"/>
      <c r="PO94" s="93"/>
      <c r="PP94" s="93"/>
      <c r="PQ94" s="93"/>
      <c r="PR94" s="93"/>
      <c r="PS94" s="93"/>
      <c r="PT94" s="93"/>
      <c r="PU94" s="93"/>
      <c r="PV94" s="93"/>
      <c r="PW94" s="93"/>
      <c r="PX94" s="93"/>
      <c r="PY94" s="93"/>
      <c r="PZ94" s="93"/>
      <c r="QA94" s="93"/>
      <c r="QB94" s="93"/>
      <c r="QC94" s="93"/>
      <c r="QD94" s="93"/>
      <c r="QE94" s="20"/>
      <c r="QF94" s="1739">
        <v>27</v>
      </c>
      <c r="QG94" s="19"/>
      <c r="QH94" s="93"/>
      <c r="QI94" s="93"/>
      <c r="QJ94" s="93"/>
      <c r="QK94" s="93"/>
      <c r="QL94" s="93"/>
      <c r="QM94" s="93"/>
      <c r="QN94" s="93"/>
      <c r="QO94" s="93"/>
      <c r="QP94" s="93"/>
      <c r="QQ94" s="93"/>
      <c r="QR94" s="93"/>
      <c r="QS94" s="93"/>
      <c r="QT94" s="93"/>
      <c r="QU94" s="93"/>
      <c r="QV94" s="93"/>
      <c r="QW94" s="93"/>
      <c r="QX94" s="93"/>
      <c r="QY94" s="93"/>
      <c r="QZ94" s="93"/>
      <c r="RA94" s="93"/>
      <c r="RB94" s="93"/>
      <c r="RC94" s="93"/>
      <c r="RD94" s="93"/>
      <c r="RE94" s="93"/>
      <c r="RF94" s="93"/>
      <c r="RG94" s="93"/>
      <c r="RH94" s="93"/>
      <c r="RI94" s="93"/>
      <c r="RJ94" s="93"/>
      <c r="RK94" s="93"/>
      <c r="RL94" s="93"/>
      <c r="RM94" s="20"/>
      <c r="RN94" s="29">
        <v>27</v>
      </c>
      <c r="RO94" s="19"/>
      <c r="RP94" s="20"/>
      <c r="RQ94" s="29">
        <v>27</v>
      </c>
      <c r="RR94" s="20"/>
      <c r="RS94" s="29">
        <v>27</v>
      </c>
      <c r="RT94" s="1504">
        <v>37316</v>
      </c>
      <c r="RU94" s="19"/>
      <c r="RV94" s="20"/>
      <c r="RW94" s="29">
        <v>27</v>
      </c>
      <c r="RX94" s="1504">
        <v>37316</v>
      </c>
      <c r="RY94" s="29"/>
      <c r="RZ94" s="20"/>
      <c r="SA94" s="29"/>
      <c r="SB94" s="29">
        <v>27</v>
      </c>
    </row>
    <row r="95" spans="1:496">
      <c r="A95" s="41">
        <f t="shared" si="187"/>
        <v>2002</v>
      </c>
      <c r="B95" s="1504">
        <v>37347</v>
      </c>
      <c r="C95" s="1813"/>
      <c r="D95" s="1814"/>
      <c r="E95" s="1814"/>
      <c r="F95" s="1815"/>
      <c r="G95" s="1814"/>
      <c r="H95" s="1814"/>
      <c r="I95" s="1814"/>
      <c r="J95" s="1816"/>
      <c r="K95" s="1807"/>
      <c r="L95" s="25">
        <v>28</v>
      </c>
      <c r="M95" s="97"/>
      <c r="N95" s="1504">
        <v>37347</v>
      </c>
      <c r="O95" s="19"/>
      <c r="P95" s="93"/>
      <c r="Q95" s="93"/>
      <c r="R95" s="93"/>
      <c r="S95" s="93"/>
      <c r="T95" s="93"/>
      <c r="U95" s="93"/>
      <c r="V95" s="93"/>
      <c r="W95" s="93"/>
      <c r="X95" s="93"/>
      <c r="Y95" s="93"/>
      <c r="Z95" s="93"/>
      <c r="AA95" s="93"/>
      <c r="AB95" s="20"/>
      <c r="AC95" s="25">
        <v>28</v>
      </c>
      <c r="AD95" s="97"/>
      <c r="AE95" s="1504">
        <v>37347</v>
      </c>
      <c r="AF95" s="19"/>
      <c r="AG95" s="93"/>
      <c r="AH95" s="93"/>
      <c r="AI95" s="93"/>
      <c r="AJ95" s="93"/>
      <c r="AK95" s="93"/>
      <c r="AL95" s="93"/>
      <c r="AM95" s="93"/>
      <c r="AN95" s="93"/>
      <c r="AO95" s="93"/>
      <c r="AP95" s="93"/>
      <c r="AQ95" s="93"/>
      <c r="AR95" s="93"/>
      <c r="AS95" s="20"/>
      <c r="AT95" s="25">
        <v>28</v>
      </c>
      <c r="AU95" s="97"/>
      <c r="AV95" s="1504">
        <v>37347</v>
      </c>
      <c r="AW95" s="19"/>
      <c r="AX95" s="93"/>
      <c r="AY95" s="93"/>
      <c r="AZ95" s="93"/>
      <c r="BA95" s="93"/>
      <c r="BB95" s="93"/>
      <c r="BC95" s="93"/>
      <c r="BD95" s="93"/>
      <c r="BE95" s="93"/>
      <c r="BF95" s="93"/>
      <c r="BG95" s="93"/>
      <c r="BH95" s="93"/>
      <c r="BI95" s="93"/>
      <c r="BJ95" s="20"/>
      <c r="BK95" s="25">
        <v>28</v>
      </c>
      <c r="BL95" s="97"/>
      <c r="BM95" s="1504">
        <v>37347</v>
      </c>
      <c r="BN95" s="19"/>
      <c r="BO95" s="93"/>
      <c r="BP95" s="93"/>
      <c r="BQ95" s="93"/>
      <c r="BR95" s="93"/>
      <c r="BS95" s="93"/>
      <c r="BT95" s="93"/>
      <c r="BU95" s="20"/>
      <c r="BV95" s="25">
        <v>28</v>
      </c>
      <c r="BW95" s="97"/>
      <c r="BX95" s="1504">
        <v>37347</v>
      </c>
      <c r="BY95" s="19"/>
      <c r="BZ95" s="99">
        <v>664.95699999999999</v>
      </c>
      <c r="CA95" s="93"/>
      <c r="CB95" s="93"/>
      <c r="CC95" s="93"/>
      <c r="CD95" s="25">
        <v>28</v>
      </c>
      <c r="CE95" s="97"/>
      <c r="CF95" s="1504">
        <v>37347</v>
      </c>
      <c r="CG95" s="19">
        <v>0.91269999999999996</v>
      </c>
      <c r="CH95" s="93">
        <v>302.68</v>
      </c>
      <c r="CI95" s="219"/>
      <c r="CJ95" s="20"/>
      <c r="CK95" s="19"/>
      <c r="CL95" s="93"/>
      <c r="CM95" s="93"/>
      <c r="CN95" s="93"/>
      <c r="CO95" s="93"/>
      <c r="CP95" s="20"/>
      <c r="CQ95" s="219">
        <v>590.24</v>
      </c>
      <c r="CR95" s="93">
        <v>1.49</v>
      </c>
      <c r="CS95" s="93"/>
      <c r="CT95" s="93"/>
      <c r="CU95" s="93"/>
      <c r="CV95" s="214"/>
      <c r="CW95" s="29">
        <v>28</v>
      </c>
      <c r="CX95" s="41">
        <f t="shared" si="188"/>
        <v>2002</v>
      </c>
      <c r="CY95" s="1504">
        <v>37347</v>
      </c>
      <c r="CZ95" s="733">
        <v>38.190238000000001</v>
      </c>
      <c r="DA95" s="570">
        <v>22.938766000000001</v>
      </c>
      <c r="DB95" s="570">
        <v>15.251472</v>
      </c>
      <c r="DC95" s="93"/>
      <c r="DD95" s="93"/>
      <c r="DE95" s="20"/>
      <c r="DF95" s="29">
        <v>28</v>
      </c>
      <c r="DG95" s="1504">
        <v>37347</v>
      </c>
      <c r="DH95" s="19"/>
      <c r="DI95" s="93"/>
      <c r="DJ95" s="93"/>
      <c r="DK95" s="93"/>
      <c r="DL95" s="93"/>
      <c r="DM95" s="93"/>
      <c r="DN95" s="20"/>
      <c r="DO95" s="25"/>
      <c r="DP95" s="29">
        <v>28</v>
      </c>
      <c r="DQ95" s="1504">
        <v>37347</v>
      </c>
      <c r="DR95" s="19"/>
      <c r="DS95" s="93"/>
      <c r="DT95" s="93"/>
      <c r="DU95" s="93"/>
      <c r="DV95" s="93"/>
      <c r="DW95" s="93"/>
      <c r="DX95" s="20"/>
      <c r="DY95" s="29">
        <v>28</v>
      </c>
      <c r="DZ95" s="1504">
        <v>37347</v>
      </c>
      <c r="EA95" s="19"/>
      <c r="EB95" s="93"/>
      <c r="EC95" s="20"/>
      <c r="ED95" s="29">
        <v>28</v>
      </c>
      <c r="EE95" s="1504">
        <v>37347</v>
      </c>
      <c r="EF95" s="19"/>
      <c r="EG95" s="93"/>
      <c r="EH95" s="93"/>
      <c r="EI95" s="214"/>
      <c r="EJ95" s="93"/>
      <c r="EK95" s="93"/>
      <c r="EL95" s="93"/>
      <c r="EM95" s="93"/>
      <c r="EN95" s="20"/>
      <c r="EO95" s="29">
        <v>28</v>
      </c>
      <c r="EP95" s="1504">
        <v>37347</v>
      </c>
      <c r="EQ95" s="19"/>
      <c r="ER95" s="93"/>
      <c r="ES95" s="93"/>
      <c r="ET95" s="214"/>
      <c r="EU95" s="93"/>
      <c r="EV95" s="93"/>
      <c r="EW95" s="93"/>
      <c r="EX95" s="93"/>
      <c r="EY95" s="20"/>
      <c r="EZ95" s="29">
        <v>28</v>
      </c>
      <c r="FA95" s="1504">
        <v>37347</v>
      </c>
      <c r="FB95" s="29"/>
      <c r="FC95" s="29"/>
      <c r="FD95" s="29"/>
      <c r="FE95" s="29"/>
      <c r="FF95" s="29"/>
      <c r="FG95" s="29"/>
      <c r="FH95" s="29"/>
      <c r="FI95" s="29"/>
      <c r="FJ95" s="29"/>
      <c r="FK95" s="29">
        <v>28</v>
      </c>
      <c r="FL95" s="1504">
        <v>37347</v>
      </c>
      <c r="FM95" s="19"/>
      <c r="FN95" s="93"/>
      <c r="FO95" s="93"/>
      <c r="FP95" s="93"/>
      <c r="FQ95" s="93"/>
      <c r="FR95" s="93"/>
      <c r="FS95" s="93"/>
      <c r="FT95" s="93"/>
      <c r="FU95" s="93"/>
      <c r="FV95" s="93"/>
      <c r="FW95" s="93"/>
      <c r="FX95" s="93"/>
      <c r="FY95" s="93"/>
      <c r="FZ95" s="29">
        <v>28</v>
      </c>
      <c r="GA95" s="1504">
        <v>37347</v>
      </c>
      <c r="GB95" s="19"/>
      <c r="GC95" s="93"/>
      <c r="GD95" s="93"/>
      <c r="GE95" s="93"/>
      <c r="GF95" s="93"/>
      <c r="GG95" s="93"/>
      <c r="GH95" s="93"/>
      <c r="GI95" s="93"/>
      <c r="GJ95" s="93"/>
      <c r="GK95" s="93"/>
      <c r="GL95" s="93"/>
      <c r="GM95" s="93"/>
      <c r="GN95" s="20"/>
      <c r="GO95" s="29">
        <v>28</v>
      </c>
      <c r="GP95" s="1504">
        <v>37347</v>
      </c>
      <c r="GQ95" s="19"/>
      <c r="GR95" s="93"/>
      <c r="GS95" s="93"/>
      <c r="GT95" s="93"/>
      <c r="GU95" s="93"/>
      <c r="GV95" s="20"/>
      <c r="GW95" s="19"/>
      <c r="GX95" s="93"/>
      <c r="GY95" s="93"/>
      <c r="GZ95" s="93"/>
      <c r="HA95" s="93"/>
      <c r="HB95" s="20"/>
      <c r="HC95" s="19"/>
      <c r="HD95" s="93"/>
      <c r="HE95" s="93"/>
      <c r="HF95" s="93"/>
      <c r="HG95" s="93"/>
      <c r="HH95" s="20"/>
      <c r="HI95" s="19"/>
      <c r="HJ95" s="93"/>
      <c r="HK95" s="93"/>
      <c r="HL95" s="93"/>
      <c r="HM95" s="93"/>
      <c r="HN95" s="20"/>
      <c r="HO95" s="219"/>
      <c r="HP95" s="20"/>
      <c r="HQ95" s="25"/>
      <c r="HR95" s="29">
        <v>28</v>
      </c>
      <c r="HS95" s="1504">
        <v>37347</v>
      </c>
      <c r="HT95" s="19"/>
      <c r="HU95" s="93"/>
      <c r="HV95" s="93"/>
      <c r="HW95" s="93"/>
      <c r="HX95" s="93"/>
      <c r="HY95" s="93"/>
      <c r="HZ95" s="93"/>
      <c r="IA95" s="20"/>
      <c r="IB95" s="19"/>
      <c r="IC95" s="93"/>
      <c r="ID95" s="93"/>
      <c r="IE95" s="93"/>
      <c r="IF95" s="93"/>
      <c r="IG95" s="20"/>
      <c r="IH95" s="19"/>
      <c r="II95" s="93"/>
      <c r="IJ95" s="93"/>
      <c r="IK95" s="93"/>
      <c r="IL95" s="93"/>
      <c r="IM95" s="93"/>
      <c r="IN95" s="93"/>
      <c r="IO95" s="20"/>
      <c r="IP95" s="29">
        <v>28</v>
      </c>
      <c r="IQ95" s="19"/>
      <c r="IR95" s="93"/>
      <c r="IS95" s="93"/>
      <c r="IT95" s="93"/>
      <c r="IU95" s="93"/>
      <c r="IV95" s="20"/>
      <c r="IW95" s="29">
        <v>28</v>
      </c>
      <c r="IX95" s="19"/>
      <c r="IY95" s="93"/>
      <c r="IZ95" s="93"/>
      <c r="JA95" s="93"/>
      <c r="JB95" s="93"/>
      <c r="JC95" s="93"/>
      <c r="JD95" s="93"/>
      <c r="JE95" s="20"/>
      <c r="JF95" s="29">
        <v>28</v>
      </c>
      <c r="JG95" s="19"/>
      <c r="JH95" s="93"/>
      <c r="JI95" s="93"/>
      <c r="JJ95" s="93"/>
      <c r="JK95" s="93"/>
      <c r="JL95" s="93"/>
      <c r="JM95" s="93"/>
      <c r="JN95" s="20"/>
      <c r="JO95" s="29">
        <v>28</v>
      </c>
      <c r="JP95" s="19"/>
      <c r="JQ95" s="93"/>
      <c r="JR95" s="93"/>
      <c r="JS95" s="93"/>
      <c r="JT95" s="93"/>
      <c r="JU95" s="20"/>
      <c r="JV95" s="29">
        <v>28</v>
      </c>
      <c r="JW95" s="1504">
        <v>37347</v>
      </c>
      <c r="JX95" s="19"/>
      <c r="JY95" s="93"/>
      <c r="JZ95" s="93"/>
      <c r="KA95" s="93"/>
      <c r="KB95" s="93"/>
      <c r="KC95" s="93"/>
      <c r="KD95" s="20"/>
      <c r="KE95" s="29">
        <v>28</v>
      </c>
      <c r="KF95" s="19"/>
      <c r="KG95" s="93"/>
      <c r="KH95" s="93"/>
      <c r="KI95" s="93"/>
      <c r="KJ95" s="93"/>
      <c r="KK95" s="20"/>
      <c r="KL95" s="29">
        <v>28</v>
      </c>
      <c r="KM95" s="19"/>
      <c r="KN95" s="93"/>
      <c r="KO95" s="93"/>
      <c r="KP95" s="93"/>
      <c r="KQ95" s="93"/>
      <c r="KR95" s="20"/>
      <c r="KS95" s="29">
        <v>28</v>
      </c>
      <c r="KT95" s="19"/>
      <c r="KU95" s="93"/>
      <c r="KV95" s="93"/>
      <c r="KW95" s="93"/>
      <c r="KX95" s="93"/>
      <c r="KY95" s="20"/>
      <c r="KZ95" s="29">
        <v>28</v>
      </c>
      <c r="LA95" s="1504">
        <v>37347</v>
      </c>
      <c r="LB95" s="19"/>
      <c r="LC95" s="93"/>
      <c r="LD95" s="93"/>
      <c r="LE95" s="93"/>
      <c r="LF95" s="93"/>
      <c r="LG95" s="93"/>
      <c r="LH95" s="20"/>
      <c r="LI95" s="29">
        <v>28</v>
      </c>
      <c r="LJ95" s="19"/>
      <c r="LK95" s="93"/>
      <c r="LL95" s="93"/>
      <c r="LM95" s="93"/>
      <c r="LN95" s="93"/>
      <c r="LO95" s="20"/>
      <c r="LP95" s="29">
        <v>28</v>
      </c>
      <c r="LQ95" s="19"/>
      <c r="LR95" s="93"/>
      <c r="LS95" s="93"/>
      <c r="LT95" s="93"/>
      <c r="LU95" s="93"/>
      <c r="LV95" s="93"/>
      <c r="LW95" s="93"/>
      <c r="LX95" s="93"/>
      <c r="LY95" s="93"/>
      <c r="LZ95" s="93"/>
      <c r="MA95" s="20"/>
      <c r="MB95" s="29">
        <v>28</v>
      </c>
      <c r="MC95" s="1504">
        <v>37347</v>
      </c>
      <c r="MD95" s="19"/>
      <c r="ME95" s="93"/>
      <c r="MF95" s="93"/>
      <c r="MG95" s="93"/>
      <c r="MH95" s="93"/>
      <c r="MI95" s="93"/>
      <c r="MJ95" s="93"/>
      <c r="MK95" s="93"/>
      <c r="ML95" s="93"/>
      <c r="MM95" s="93"/>
      <c r="MN95" s="93"/>
      <c r="MO95" s="93"/>
      <c r="MP95" s="93"/>
      <c r="MQ95" s="93"/>
      <c r="MR95" s="93"/>
      <c r="MS95" s="93"/>
      <c r="MT95" s="93"/>
      <c r="MU95" s="93"/>
      <c r="MV95" s="93"/>
      <c r="MW95" s="93"/>
      <c r="MX95" s="93"/>
      <c r="MY95" s="93"/>
      <c r="MZ95" s="93"/>
      <c r="NA95" s="93"/>
      <c r="NB95" s="93"/>
      <c r="NC95" s="93"/>
      <c r="ND95" s="93"/>
      <c r="NE95" s="93"/>
      <c r="NF95" s="93"/>
      <c r="NG95" s="93"/>
      <c r="NH95" s="93"/>
      <c r="NI95" s="93"/>
      <c r="NJ95" s="93"/>
      <c r="NK95" s="93"/>
      <c r="NL95" s="93"/>
      <c r="NM95" s="93"/>
      <c r="NN95" s="93"/>
      <c r="NO95" s="93"/>
      <c r="NP95" s="93"/>
      <c r="NQ95" s="93"/>
      <c r="NR95" s="93"/>
      <c r="NS95" s="93"/>
      <c r="NT95" s="93"/>
      <c r="NU95" s="93"/>
      <c r="NV95" s="93"/>
      <c r="NW95" s="93"/>
      <c r="NX95" s="93"/>
      <c r="NY95" s="93"/>
      <c r="NZ95" s="93"/>
      <c r="OA95" s="93"/>
      <c r="OB95" s="93"/>
      <c r="OC95" s="93"/>
      <c r="OD95" s="20"/>
      <c r="OE95" s="29">
        <v>28</v>
      </c>
      <c r="OF95" s="1504">
        <v>37347</v>
      </c>
      <c r="OG95" s="19"/>
      <c r="OH95" s="93"/>
      <c r="OI95" s="93"/>
      <c r="OJ95" s="93"/>
      <c r="OK95" s="93"/>
      <c r="OL95" s="93"/>
      <c r="OM95" s="93"/>
      <c r="ON95" s="93"/>
      <c r="OO95" s="93"/>
      <c r="OP95" s="93"/>
      <c r="OQ95" s="93"/>
      <c r="OR95" s="93"/>
      <c r="OS95" s="93"/>
      <c r="OT95" s="93"/>
      <c r="OU95" s="93"/>
      <c r="OV95" s="93"/>
      <c r="OW95" s="93"/>
      <c r="OX95" s="93"/>
      <c r="OY95" s="93"/>
      <c r="OZ95" s="93"/>
      <c r="PA95" s="93"/>
      <c r="PB95" s="93"/>
      <c r="PC95" s="20"/>
      <c r="PD95" s="29">
        <v>28</v>
      </c>
      <c r="PE95" s="19"/>
      <c r="PF95" s="93"/>
      <c r="PG95" s="93"/>
      <c r="PH95" s="93"/>
      <c r="PI95" s="93"/>
      <c r="PJ95" s="93"/>
      <c r="PK95" s="93"/>
      <c r="PL95" s="93"/>
      <c r="PM95" s="93"/>
      <c r="PN95" s="93"/>
      <c r="PO95" s="93"/>
      <c r="PP95" s="93"/>
      <c r="PQ95" s="93"/>
      <c r="PR95" s="93"/>
      <c r="PS95" s="93"/>
      <c r="PT95" s="93"/>
      <c r="PU95" s="93"/>
      <c r="PV95" s="93"/>
      <c r="PW95" s="93"/>
      <c r="PX95" s="93"/>
      <c r="PY95" s="93"/>
      <c r="PZ95" s="93"/>
      <c r="QA95" s="93"/>
      <c r="QB95" s="93"/>
      <c r="QC95" s="93"/>
      <c r="QD95" s="93"/>
      <c r="QE95" s="20"/>
      <c r="QF95" s="1739">
        <v>28</v>
      </c>
      <c r="QG95" s="19"/>
      <c r="QH95" s="93"/>
      <c r="QI95" s="93"/>
      <c r="QJ95" s="93"/>
      <c r="QK95" s="93"/>
      <c r="QL95" s="93"/>
      <c r="QM95" s="93"/>
      <c r="QN95" s="93"/>
      <c r="QO95" s="93"/>
      <c r="QP95" s="93"/>
      <c r="QQ95" s="93"/>
      <c r="QR95" s="93"/>
      <c r="QS95" s="93"/>
      <c r="QT95" s="93"/>
      <c r="QU95" s="93"/>
      <c r="QV95" s="93"/>
      <c r="QW95" s="93"/>
      <c r="QX95" s="93"/>
      <c r="QY95" s="93"/>
      <c r="QZ95" s="93"/>
      <c r="RA95" s="93"/>
      <c r="RB95" s="93"/>
      <c r="RC95" s="93"/>
      <c r="RD95" s="93"/>
      <c r="RE95" s="93"/>
      <c r="RF95" s="93"/>
      <c r="RG95" s="93"/>
      <c r="RH95" s="93"/>
      <c r="RI95" s="93"/>
      <c r="RJ95" s="93"/>
      <c r="RK95" s="93"/>
      <c r="RL95" s="93"/>
      <c r="RM95" s="20"/>
      <c r="RN95" s="29">
        <v>28</v>
      </c>
      <c r="RO95" s="19"/>
      <c r="RP95" s="20"/>
      <c r="RQ95" s="29">
        <v>28</v>
      </c>
      <c r="RR95" s="20"/>
      <c r="RS95" s="29">
        <v>28</v>
      </c>
      <c r="RT95" s="1504">
        <v>37347</v>
      </c>
      <c r="RU95" s="19"/>
      <c r="RV95" s="20"/>
      <c r="RW95" s="29">
        <v>28</v>
      </c>
      <c r="RX95" s="1504">
        <v>37347</v>
      </c>
      <c r="RY95" s="29"/>
      <c r="RZ95" s="20"/>
      <c r="SA95" s="29"/>
      <c r="SB95" s="29">
        <v>28</v>
      </c>
    </row>
    <row r="96" spans="1:496">
      <c r="A96" s="41">
        <f t="shared" si="187"/>
        <v>2002</v>
      </c>
      <c r="B96" s="1504">
        <v>37377</v>
      </c>
      <c r="C96" s="1813"/>
      <c r="D96" s="1814"/>
      <c r="E96" s="1814"/>
      <c r="F96" s="1815"/>
      <c r="G96" s="1814"/>
      <c r="H96" s="1814"/>
      <c r="I96" s="1814"/>
      <c r="J96" s="1816"/>
      <c r="K96" s="1807"/>
      <c r="L96" s="25">
        <v>29</v>
      </c>
      <c r="M96" s="97"/>
      <c r="N96" s="1504">
        <v>37377</v>
      </c>
      <c r="O96" s="19"/>
      <c r="P96" s="93"/>
      <c r="Q96" s="93"/>
      <c r="R96" s="93"/>
      <c r="S96" s="93"/>
      <c r="T96" s="93"/>
      <c r="U96" s="93"/>
      <c r="V96" s="93"/>
      <c r="W96" s="93"/>
      <c r="X96" s="93"/>
      <c r="Y96" s="93"/>
      <c r="Z96" s="93"/>
      <c r="AA96" s="93"/>
      <c r="AB96" s="20"/>
      <c r="AC96" s="25">
        <v>29</v>
      </c>
      <c r="AD96" s="97"/>
      <c r="AE96" s="1504">
        <v>37377</v>
      </c>
      <c r="AF96" s="19"/>
      <c r="AG96" s="93"/>
      <c r="AH96" s="93"/>
      <c r="AI96" s="93"/>
      <c r="AJ96" s="93"/>
      <c r="AK96" s="93"/>
      <c r="AL96" s="93"/>
      <c r="AM96" s="93"/>
      <c r="AN96" s="93"/>
      <c r="AO96" s="93"/>
      <c r="AP96" s="93"/>
      <c r="AQ96" s="93"/>
      <c r="AR96" s="93"/>
      <c r="AS96" s="20"/>
      <c r="AT96" s="25">
        <v>29</v>
      </c>
      <c r="AU96" s="97"/>
      <c r="AV96" s="1504">
        <v>37377</v>
      </c>
      <c r="AW96" s="19"/>
      <c r="AX96" s="93"/>
      <c r="AY96" s="93"/>
      <c r="AZ96" s="93"/>
      <c r="BA96" s="93"/>
      <c r="BB96" s="93"/>
      <c r="BC96" s="93"/>
      <c r="BD96" s="93"/>
      <c r="BE96" s="93"/>
      <c r="BF96" s="93"/>
      <c r="BG96" s="93"/>
      <c r="BH96" s="93"/>
      <c r="BI96" s="93"/>
      <c r="BJ96" s="20"/>
      <c r="BK96" s="25">
        <v>29</v>
      </c>
      <c r="BL96" s="97"/>
      <c r="BM96" s="1504">
        <v>37377</v>
      </c>
      <c r="BN96" s="19"/>
      <c r="BO96" s="93"/>
      <c r="BP96" s="93"/>
      <c r="BQ96" s="93"/>
      <c r="BR96" s="93"/>
      <c r="BS96" s="93"/>
      <c r="BT96" s="93"/>
      <c r="BU96" s="20"/>
      <c r="BV96" s="25">
        <v>29</v>
      </c>
      <c r="BW96" s="97"/>
      <c r="BX96" s="1504">
        <v>37377</v>
      </c>
      <c r="BY96" s="19"/>
      <c r="BZ96" s="99">
        <v>664.95699999999999</v>
      </c>
      <c r="CA96" s="93"/>
      <c r="CB96" s="93"/>
      <c r="CC96" s="93"/>
      <c r="CD96" s="25">
        <v>29</v>
      </c>
      <c r="CE96" s="97"/>
      <c r="CF96" s="1504">
        <v>37377</v>
      </c>
      <c r="CG96" s="19">
        <v>0.87849999999999995</v>
      </c>
      <c r="CH96" s="93">
        <v>314.49</v>
      </c>
      <c r="CI96" s="219"/>
      <c r="CJ96" s="20"/>
      <c r="CK96" s="19"/>
      <c r="CL96" s="93"/>
      <c r="CM96" s="93"/>
      <c r="CN96" s="93"/>
      <c r="CO96" s="93"/>
      <c r="CP96" s="20"/>
      <c r="CQ96" s="219">
        <v>599.55999999999995</v>
      </c>
      <c r="CR96" s="93">
        <v>1.39</v>
      </c>
      <c r="CS96" s="93"/>
      <c r="CT96" s="93"/>
      <c r="CU96" s="93"/>
      <c r="CV96" s="214"/>
      <c r="CW96" s="29">
        <v>29</v>
      </c>
      <c r="CX96" s="41">
        <f t="shared" si="188"/>
        <v>2002</v>
      </c>
      <c r="CY96" s="1504">
        <v>37377</v>
      </c>
      <c r="CZ96" s="733">
        <v>39.255169250000002</v>
      </c>
      <c r="DA96" s="570">
        <v>25.310813249999999</v>
      </c>
      <c r="DB96" s="570">
        <v>13.944356000000001</v>
      </c>
      <c r="DC96" s="93"/>
      <c r="DD96" s="93"/>
      <c r="DE96" s="20"/>
      <c r="DF96" s="29">
        <v>29</v>
      </c>
      <c r="DG96" s="1504">
        <v>37377</v>
      </c>
      <c r="DH96" s="19"/>
      <c r="DI96" s="93"/>
      <c r="DJ96" s="93"/>
      <c r="DK96" s="93"/>
      <c r="DL96" s="93"/>
      <c r="DM96" s="93"/>
      <c r="DN96" s="20"/>
      <c r="DO96" s="25"/>
      <c r="DP96" s="29">
        <v>29</v>
      </c>
      <c r="DQ96" s="1504">
        <v>37377</v>
      </c>
      <c r="DR96" s="19"/>
      <c r="DS96" s="93"/>
      <c r="DT96" s="93"/>
      <c r="DU96" s="93"/>
      <c r="DV96" s="93"/>
      <c r="DW96" s="93"/>
      <c r="DX96" s="20"/>
      <c r="DY96" s="29">
        <v>29</v>
      </c>
      <c r="DZ96" s="1504">
        <v>37377</v>
      </c>
      <c r="EA96" s="19"/>
      <c r="EB96" s="93"/>
      <c r="EC96" s="20"/>
      <c r="ED96" s="29">
        <v>29</v>
      </c>
      <c r="EE96" s="1504">
        <v>37377</v>
      </c>
      <c r="EF96" s="19"/>
      <c r="EG96" s="93"/>
      <c r="EH96" s="93"/>
      <c r="EI96" s="214"/>
      <c r="EJ96" s="93"/>
      <c r="EK96" s="93"/>
      <c r="EL96" s="93"/>
      <c r="EM96" s="93"/>
      <c r="EN96" s="20"/>
      <c r="EO96" s="29">
        <v>29</v>
      </c>
      <c r="EP96" s="1504">
        <v>37377</v>
      </c>
      <c r="EQ96" s="19"/>
      <c r="ER96" s="93"/>
      <c r="ES96" s="93"/>
      <c r="ET96" s="214"/>
      <c r="EU96" s="93"/>
      <c r="EV96" s="93"/>
      <c r="EW96" s="93"/>
      <c r="EX96" s="93"/>
      <c r="EY96" s="20"/>
      <c r="EZ96" s="29">
        <v>29</v>
      </c>
      <c r="FA96" s="1504">
        <v>37377</v>
      </c>
      <c r="FB96" s="29"/>
      <c r="FC96" s="29"/>
      <c r="FD96" s="29"/>
      <c r="FE96" s="29"/>
      <c r="FF96" s="29"/>
      <c r="FG96" s="29"/>
      <c r="FH96" s="29"/>
      <c r="FI96" s="29"/>
      <c r="FJ96" s="29"/>
      <c r="FK96" s="29">
        <v>29</v>
      </c>
      <c r="FL96" s="1504">
        <v>37377</v>
      </c>
      <c r="FM96" s="19"/>
      <c r="FN96" s="93"/>
      <c r="FO96" s="93"/>
      <c r="FP96" s="93"/>
      <c r="FQ96" s="93"/>
      <c r="FR96" s="93"/>
      <c r="FS96" s="93"/>
      <c r="FT96" s="93"/>
      <c r="FU96" s="93"/>
      <c r="FV96" s="93"/>
      <c r="FW96" s="93"/>
      <c r="FX96" s="93"/>
      <c r="FY96" s="93"/>
      <c r="FZ96" s="29">
        <v>29</v>
      </c>
      <c r="GA96" s="1504">
        <v>37377</v>
      </c>
      <c r="GB96" s="19"/>
      <c r="GC96" s="93"/>
      <c r="GD96" s="93"/>
      <c r="GE96" s="93"/>
      <c r="GF96" s="93"/>
      <c r="GG96" s="93"/>
      <c r="GH96" s="93"/>
      <c r="GI96" s="93"/>
      <c r="GJ96" s="93"/>
      <c r="GK96" s="93"/>
      <c r="GL96" s="93"/>
      <c r="GM96" s="93"/>
      <c r="GN96" s="20"/>
      <c r="GO96" s="29">
        <v>29</v>
      </c>
      <c r="GP96" s="1504">
        <v>37377</v>
      </c>
      <c r="GQ96" s="19"/>
      <c r="GR96" s="93"/>
      <c r="GS96" s="93"/>
      <c r="GT96" s="93"/>
      <c r="GU96" s="93"/>
      <c r="GV96" s="20"/>
      <c r="GW96" s="19"/>
      <c r="GX96" s="93"/>
      <c r="GY96" s="93"/>
      <c r="GZ96" s="93"/>
      <c r="HA96" s="93"/>
      <c r="HB96" s="20"/>
      <c r="HC96" s="19"/>
      <c r="HD96" s="93"/>
      <c r="HE96" s="93"/>
      <c r="HF96" s="93"/>
      <c r="HG96" s="93"/>
      <c r="HH96" s="20"/>
      <c r="HI96" s="19"/>
      <c r="HJ96" s="93"/>
      <c r="HK96" s="93"/>
      <c r="HL96" s="93"/>
      <c r="HM96" s="93"/>
      <c r="HN96" s="20"/>
      <c r="HO96" s="219"/>
      <c r="HP96" s="20"/>
      <c r="HQ96" s="25"/>
      <c r="HR96" s="29">
        <v>29</v>
      </c>
      <c r="HS96" s="1504">
        <v>37377</v>
      </c>
      <c r="HT96" s="19"/>
      <c r="HU96" s="93"/>
      <c r="HV96" s="93"/>
      <c r="HW96" s="93"/>
      <c r="HX96" s="93"/>
      <c r="HY96" s="93"/>
      <c r="HZ96" s="93"/>
      <c r="IA96" s="20"/>
      <c r="IB96" s="19"/>
      <c r="IC96" s="93"/>
      <c r="ID96" s="93"/>
      <c r="IE96" s="93"/>
      <c r="IF96" s="93"/>
      <c r="IG96" s="20"/>
      <c r="IH96" s="19"/>
      <c r="II96" s="93"/>
      <c r="IJ96" s="93"/>
      <c r="IK96" s="93"/>
      <c r="IL96" s="93"/>
      <c r="IM96" s="93"/>
      <c r="IN96" s="93"/>
      <c r="IO96" s="20"/>
      <c r="IP96" s="29">
        <v>29</v>
      </c>
      <c r="IQ96" s="19"/>
      <c r="IR96" s="93"/>
      <c r="IS96" s="93"/>
      <c r="IT96" s="93"/>
      <c r="IU96" s="93"/>
      <c r="IV96" s="20"/>
      <c r="IW96" s="29">
        <v>29</v>
      </c>
      <c r="IX96" s="19"/>
      <c r="IY96" s="93"/>
      <c r="IZ96" s="93"/>
      <c r="JA96" s="93"/>
      <c r="JB96" s="93"/>
      <c r="JC96" s="93"/>
      <c r="JD96" s="93"/>
      <c r="JE96" s="20"/>
      <c r="JF96" s="29">
        <v>29</v>
      </c>
      <c r="JG96" s="19"/>
      <c r="JH96" s="93"/>
      <c r="JI96" s="93"/>
      <c r="JJ96" s="93"/>
      <c r="JK96" s="93"/>
      <c r="JL96" s="93"/>
      <c r="JM96" s="93"/>
      <c r="JN96" s="20"/>
      <c r="JO96" s="29">
        <v>29</v>
      </c>
      <c r="JP96" s="19"/>
      <c r="JQ96" s="93"/>
      <c r="JR96" s="93"/>
      <c r="JS96" s="93"/>
      <c r="JT96" s="93"/>
      <c r="JU96" s="20"/>
      <c r="JV96" s="29">
        <v>29</v>
      </c>
      <c r="JW96" s="1504">
        <v>37377</v>
      </c>
      <c r="JX96" s="19"/>
      <c r="JY96" s="93"/>
      <c r="JZ96" s="93"/>
      <c r="KA96" s="93"/>
      <c r="KB96" s="93"/>
      <c r="KC96" s="93"/>
      <c r="KD96" s="20"/>
      <c r="KE96" s="29">
        <v>29</v>
      </c>
      <c r="KF96" s="19"/>
      <c r="KG96" s="93"/>
      <c r="KH96" s="93"/>
      <c r="KI96" s="93"/>
      <c r="KJ96" s="93"/>
      <c r="KK96" s="20"/>
      <c r="KL96" s="29">
        <v>29</v>
      </c>
      <c r="KM96" s="19"/>
      <c r="KN96" s="93"/>
      <c r="KO96" s="93"/>
      <c r="KP96" s="93"/>
      <c r="KQ96" s="93"/>
      <c r="KR96" s="20"/>
      <c r="KS96" s="29">
        <v>29</v>
      </c>
      <c r="KT96" s="19"/>
      <c r="KU96" s="93"/>
      <c r="KV96" s="93"/>
      <c r="KW96" s="93"/>
      <c r="KX96" s="93"/>
      <c r="KY96" s="20"/>
      <c r="KZ96" s="29">
        <v>29</v>
      </c>
      <c r="LA96" s="1504">
        <v>37377</v>
      </c>
      <c r="LB96" s="19"/>
      <c r="LC96" s="93"/>
      <c r="LD96" s="93"/>
      <c r="LE96" s="93"/>
      <c r="LF96" s="93"/>
      <c r="LG96" s="93"/>
      <c r="LH96" s="20"/>
      <c r="LI96" s="29">
        <v>29</v>
      </c>
      <c r="LJ96" s="19"/>
      <c r="LK96" s="93"/>
      <c r="LL96" s="93"/>
      <c r="LM96" s="93"/>
      <c r="LN96" s="93"/>
      <c r="LO96" s="20"/>
      <c r="LP96" s="29">
        <v>29</v>
      </c>
      <c r="LQ96" s="19"/>
      <c r="LR96" s="93"/>
      <c r="LS96" s="93"/>
      <c r="LT96" s="93"/>
      <c r="LU96" s="93"/>
      <c r="LV96" s="93"/>
      <c r="LW96" s="93"/>
      <c r="LX96" s="93"/>
      <c r="LY96" s="93"/>
      <c r="LZ96" s="93"/>
      <c r="MA96" s="20"/>
      <c r="MB96" s="29">
        <v>29</v>
      </c>
      <c r="MC96" s="1504">
        <v>37377</v>
      </c>
      <c r="MD96" s="19"/>
      <c r="ME96" s="93"/>
      <c r="MF96" s="93"/>
      <c r="MG96" s="93"/>
      <c r="MH96" s="93"/>
      <c r="MI96" s="93"/>
      <c r="MJ96" s="93"/>
      <c r="MK96" s="93"/>
      <c r="ML96" s="93"/>
      <c r="MM96" s="93"/>
      <c r="MN96" s="93"/>
      <c r="MO96" s="93"/>
      <c r="MP96" s="93"/>
      <c r="MQ96" s="93"/>
      <c r="MR96" s="93"/>
      <c r="MS96" s="93"/>
      <c r="MT96" s="93"/>
      <c r="MU96" s="93"/>
      <c r="MV96" s="93"/>
      <c r="MW96" s="93"/>
      <c r="MX96" s="93"/>
      <c r="MY96" s="93"/>
      <c r="MZ96" s="93"/>
      <c r="NA96" s="93"/>
      <c r="NB96" s="93"/>
      <c r="NC96" s="93"/>
      <c r="ND96" s="93"/>
      <c r="NE96" s="93"/>
      <c r="NF96" s="93"/>
      <c r="NG96" s="93"/>
      <c r="NH96" s="93"/>
      <c r="NI96" s="93"/>
      <c r="NJ96" s="93"/>
      <c r="NK96" s="93"/>
      <c r="NL96" s="93"/>
      <c r="NM96" s="93"/>
      <c r="NN96" s="93"/>
      <c r="NO96" s="93"/>
      <c r="NP96" s="93"/>
      <c r="NQ96" s="93"/>
      <c r="NR96" s="93"/>
      <c r="NS96" s="93"/>
      <c r="NT96" s="93"/>
      <c r="NU96" s="93"/>
      <c r="NV96" s="93"/>
      <c r="NW96" s="93"/>
      <c r="NX96" s="93"/>
      <c r="NY96" s="93"/>
      <c r="NZ96" s="93"/>
      <c r="OA96" s="93"/>
      <c r="OB96" s="93"/>
      <c r="OC96" s="93"/>
      <c r="OD96" s="20"/>
      <c r="OE96" s="29">
        <v>29</v>
      </c>
      <c r="OF96" s="1504">
        <v>37377</v>
      </c>
      <c r="OG96" s="19"/>
      <c r="OH96" s="93"/>
      <c r="OI96" s="93"/>
      <c r="OJ96" s="93"/>
      <c r="OK96" s="93"/>
      <c r="OL96" s="93"/>
      <c r="OM96" s="93"/>
      <c r="ON96" s="93"/>
      <c r="OO96" s="93"/>
      <c r="OP96" s="93"/>
      <c r="OQ96" s="93"/>
      <c r="OR96" s="93"/>
      <c r="OS96" s="93"/>
      <c r="OT96" s="93"/>
      <c r="OU96" s="93"/>
      <c r="OV96" s="93"/>
      <c r="OW96" s="93"/>
      <c r="OX96" s="93"/>
      <c r="OY96" s="93"/>
      <c r="OZ96" s="93"/>
      <c r="PA96" s="93"/>
      <c r="PB96" s="93"/>
      <c r="PC96" s="20"/>
      <c r="PD96" s="29">
        <v>29</v>
      </c>
      <c r="PE96" s="19"/>
      <c r="PF96" s="93"/>
      <c r="PG96" s="93"/>
      <c r="PH96" s="93"/>
      <c r="PI96" s="93"/>
      <c r="PJ96" s="93"/>
      <c r="PK96" s="93"/>
      <c r="PL96" s="93"/>
      <c r="PM96" s="93"/>
      <c r="PN96" s="93"/>
      <c r="PO96" s="93"/>
      <c r="PP96" s="93"/>
      <c r="PQ96" s="93"/>
      <c r="PR96" s="93"/>
      <c r="PS96" s="93"/>
      <c r="PT96" s="93"/>
      <c r="PU96" s="93"/>
      <c r="PV96" s="93"/>
      <c r="PW96" s="93"/>
      <c r="PX96" s="93"/>
      <c r="PY96" s="93"/>
      <c r="PZ96" s="93"/>
      <c r="QA96" s="93"/>
      <c r="QB96" s="93"/>
      <c r="QC96" s="93"/>
      <c r="QD96" s="93"/>
      <c r="QE96" s="20"/>
      <c r="QF96" s="1739">
        <v>29</v>
      </c>
      <c r="QG96" s="19"/>
      <c r="QH96" s="93"/>
      <c r="QI96" s="93"/>
      <c r="QJ96" s="93"/>
      <c r="QK96" s="93"/>
      <c r="QL96" s="93"/>
      <c r="QM96" s="93"/>
      <c r="QN96" s="93"/>
      <c r="QO96" s="93"/>
      <c r="QP96" s="93"/>
      <c r="QQ96" s="93"/>
      <c r="QR96" s="93"/>
      <c r="QS96" s="93"/>
      <c r="QT96" s="93"/>
      <c r="QU96" s="93"/>
      <c r="QV96" s="93"/>
      <c r="QW96" s="93"/>
      <c r="QX96" s="93"/>
      <c r="QY96" s="93"/>
      <c r="QZ96" s="93"/>
      <c r="RA96" s="93"/>
      <c r="RB96" s="93"/>
      <c r="RC96" s="93"/>
      <c r="RD96" s="93"/>
      <c r="RE96" s="93"/>
      <c r="RF96" s="93"/>
      <c r="RG96" s="93"/>
      <c r="RH96" s="93"/>
      <c r="RI96" s="93"/>
      <c r="RJ96" s="93"/>
      <c r="RK96" s="93"/>
      <c r="RL96" s="93"/>
      <c r="RM96" s="20"/>
      <c r="RN96" s="29">
        <v>29</v>
      </c>
      <c r="RO96" s="19"/>
      <c r="RP96" s="20"/>
      <c r="RQ96" s="29">
        <v>29</v>
      </c>
      <c r="RR96" s="20"/>
      <c r="RS96" s="29">
        <v>29</v>
      </c>
      <c r="RT96" s="1504">
        <v>37377</v>
      </c>
      <c r="RU96" s="19"/>
      <c r="RV96" s="20"/>
      <c r="RW96" s="29">
        <v>29</v>
      </c>
      <c r="RX96" s="1504">
        <v>37377</v>
      </c>
      <c r="RY96" s="29"/>
      <c r="RZ96" s="20"/>
      <c r="SA96" s="29"/>
      <c r="SB96" s="29">
        <v>29</v>
      </c>
    </row>
    <row r="97" spans="1:496">
      <c r="A97" s="41">
        <f t="shared" si="187"/>
        <v>2002</v>
      </c>
      <c r="B97" s="1504">
        <v>37408</v>
      </c>
      <c r="C97" s="1813"/>
      <c r="D97" s="1814"/>
      <c r="E97" s="1814"/>
      <c r="F97" s="1815"/>
      <c r="G97" s="1814"/>
      <c r="H97" s="1814"/>
      <c r="I97" s="1814"/>
      <c r="J97" s="1816"/>
      <c r="K97" s="1807"/>
      <c r="L97" s="25">
        <v>30</v>
      </c>
      <c r="M97" s="97"/>
      <c r="N97" s="1504">
        <v>37408</v>
      </c>
      <c r="O97" s="19"/>
      <c r="P97" s="93"/>
      <c r="Q97" s="93"/>
      <c r="R97" s="93"/>
      <c r="S97" s="93"/>
      <c r="T97" s="93"/>
      <c r="U97" s="93"/>
      <c r="V97" s="93"/>
      <c r="W97" s="93"/>
      <c r="X97" s="93"/>
      <c r="Y97" s="93"/>
      <c r="Z97" s="93"/>
      <c r="AA97" s="93"/>
      <c r="AB97" s="20"/>
      <c r="AC97" s="25">
        <v>30</v>
      </c>
      <c r="AD97" s="97"/>
      <c r="AE97" s="1504">
        <v>37408</v>
      </c>
      <c r="AF97" s="19"/>
      <c r="AG97" s="93"/>
      <c r="AH97" s="93"/>
      <c r="AI97" s="93"/>
      <c r="AJ97" s="93"/>
      <c r="AK97" s="93"/>
      <c r="AL97" s="93"/>
      <c r="AM97" s="93"/>
      <c r="AN97" s="93"/>
      <c r="AO97" s="93"/>
      <c r="AP97" s="93"/>
      <c r="AQ97" s="93"/>
      <c r="AR97" s="93"/>
      <c r="AS97" s="20"/>
      <c r="AT97" s="25">
        <v>30</v>
      </c>
      <c r="AU97" s="97"/>
      <c r="AV97" s="1504">
        <v>37408</v>
      </c>
      <c r="AW97" s="19"/>
      <c r="AX97" s="93"/>
      <c r="AY97" s="93"/>
      <c r="AZ97" s="93"/>
      <c r="BA97" s="93"/>
      <c r="BB97" s="93"/>
      <c r="BC97" s="93"/>
      <c r="BD97" s="93"/>
      <c r="BE97" s="93"/>
      <c r="BF97" s="93"/>
      <c r="BG97" s="93"/>
      <c r="BH97" s="93"/>
      <c r="BI97" s="93"/>
      <c r="BJ97" s="20"/>
      <c r="BK97" s="25">
        <v>30</v>
      </c>
      <c r="BL97" s="97"/>
      <c r="BM97" s="1504">
        <v>37408</v>
      </c>
      <c r="BN97" s="19"/>
      <c r="BO97" s="93"/>
      <c r="BP97" s="93"/>
      <c r="BQ97" s="93"/>
      <c r="BR97" s="93"/>
      <c r="BS97" s="93"/>
      <c r="BT97" s="93"/>
      <c r="BU97" s="20"/>
      <c r="BV97" s="25">
        <v>30</v>
      </c>
      <c r="BW97" s="97"/>
      <c r="BX97" s="1504">
        <v>37408</v>
      </c>
      <c r="BY97" s="19"/>
      <c r="BZ97" s="99">
        <v>664.95699999999999</v>
      </c>
      <c r="CA97" s="93"/>
      <c r="CB97" s="93"/>
      <c r="CC97" s="93"/>
      <c r="CD97" s="25">
        <v>30</v>
      </c>
      <c r="CE97" s="97"/>
      <c r="CF97" s="1504">
        <v>37408</v>
      </c>
      <c r="CG97" s="19">
        <v>0.95679999999999998</v>
      </c>
      <c r="CH97" s="93">
        <v>321.18</v>
      </c>
      <c r="CI97" s="219"/>
      <c r="CJ97" s="20"/>
      <c r="CK97" s="19"/>
      <c r="CL97" s="93"/>
      <c r="CM97" s="93"/>
      <c r="CN97" s="93"/>
      <c r="CO97" s="93"/>
      <c r="CP97" s="20"/>
      <c r="CQ97" s="219">
        <v>645.95000000000005</v>
      </c>
      <c r="CR97" s="93">
        <v>1.4524999999999999</v>
      </c>
      <c r="CS97" s="93"/>
      <c r="CT97" s="93"/>
      <c r="CU97" s="93"/>
      <c r="CV97" s="214"/>
      <c r="CW97" s="29">
        <v>30</v>
      </c>
      <c r="CX97" s="41">
        <f t="shared" si="188"/>
        <v>2002</v>
      </c>
      <c r="CY97" s="1504">
        <v>37408</v>
      </c>
      <c r="CZ97" s="733">
        <v>40.042622999999999</v>
      </c>
      <c r="DA97" s="570">
        <v>25.853389</v>
      </c>
      <c r="DB97" s="570">
        <v>14.189234000000001</v>
      </c>
      <c r="DC97" s="93"/>
      <c r="DD97" s="93"/>
      <c r="DE97" s="20"/>
      <c r="DF97" s="29">
        <v>30</v>
      </c>
      <c r="DG97" s="1504">
        <v>37408</v>
      </c>
      <c r="DH97" s="19"/>
      <c r="DI97" s="93"/>
      <c r="DJ97" s="93"/>
      <c r="DK97" s="93"/>
      <c r="DL97" s="93"/>
      <c r="DM97" s="93"/>
      <c r="DN97" s="20"/>
      <c r="DO97" s="25"/>
      <c r="DP97" s="29">
        <v>30</v>
      </c>
      <c r="DQ97" s="1504">
        <v>37408</v>
      </c>
      <c r="DR97" s="19"/>
      <c r="DS97" s="93"/>
      <c r="DT97" s="93"/>
      <c r="DU97" s="93"/>
      <c r="DV97" s="93"/>
      <c r="DW97" s="93"/>
      <c r="DX97" s="20"/>
      <c r="DY97" s="29">
        <v>30</v>
      </c>
      <c r="DZ97" s="1504">
        <v>37408</v>
      </c>
      <c r="EA97" s="19"/>
      <c r="EB97" s="93"/>
      <c r="EC97" s="20"/>
      <c r="ED97" s="29">
        <v>30</v>
      </c>
      <c r="EE97" s="1504">
        <v>37408</v>
      </c>
      <c r="EF97" s="19"/>
      <c r="EG97" s="93"/>
      <c r="EH97" s="93"/>
      <c r="EI97" s="214"/>
      <c r="EJ97" s="93"/>
      <c r="EK97" s="93"/>
      <c r="EL97" s="93"/>
      <c r="EM97" s="93"/>
      <c r="EN97" s="20"/>
      <c r="EO97" s="29">
        <v>30</v>
      </c>
      <c r="EP97" s="1504">
        <v>37408</v>
      </c>
      <c r="EQ97" s="19"/>
      <c r="ER97" s="93"/>
      <c r="ES97" s="93"/>
      <c r="ET97" s="214"/>
      <c r="EU97" s="93"/>
      <c r="EV97" s="93"/>
      <c r="EW97" s="93"/>
      <c r="EX97" s="93"/>
      <c r="EY97" s="20"/>
      <c r="EZ97" s="29">
        <v>30</v>
      </c>
      <c r="FA97" s="1504">
        <v>37408</v>
      </c>
      <c r="FB97" s="29"/>
      <c r="FC97" s="29"/>
      <c r="FD97" s="29"/>
      <c r="FE97" s="29"/>
      <c r="FF97" s="29"/>
      <c r="FG97" s="29"/>
      <c r="FH97" s="29"/>
      <c r="FI97" s="29"/>
      <c r="FJ97" s="29"/>
      <c r="FK97" s="29">
        <v>30</v>
      </c>
      <c r="FL97" s="1504">
        <v>37408</v>
      </c>
      <c r="FM97" s="19"/>
      <c r="FN97" s="93"/>
      <c r="FO97" s="93"/>
      <c r="FP97" s="93"/>
      <c r="FQ97" s="93"/>
      <c r="FR97" s="93"/>
      <c r="FS97" s="93"/>
      <c r="FT97" s="93"/>
      <c r="FU97" s="93"/>
      <c r="FV97" s="93"/>
      <c r="FW97" s="93"/>
      <c r="FX97" s="93"/>
      <c r="FY97" s="93"/>
      <c r="FZ97" s="29">
        <v>30</v>
      </c>
      <c r="GA97" s="1504">
        <v>37408</v>
      </c>
      <c r="GB97" s="19"/>
      <c r="GC97" s="93"/>
      <c r="GD97" s="93"/>
      <c r="GE97" s="93"/>
      <c r="GF97" s="93"/>
      <c r="GG97" s="93"/>
      <c r="GH97" s="93"/>
      <c r="GI97" s="93"/>
      <c r="GJ97" s="93"/>
      <c r="GK97" s="93"/>
      <c r="GL97" s="93"/>
      <c r="GM97" s="93"/>
      <c r="GN97" s="20"/>
      <c r="GO97" s="29">
        <v>30</v>
      </c>
      <c r="GP97" s="1504">
        <v>37408</v>
      </c>
      <c r="GQ97" s="19"/>
      <c r="GR97" s="93"/>
      <c r="GS97" s="93"/>
      <c r="GT97" s="93"/>
      <c r="GU97" s="93"/>
      <c r="GV97" s="20"/>
      <c r="GW97" s="19"/>
      <c r="GX97" s="93"/>
      <c r="GY97" s="93"/>
      <c r="GZ97" s="93"/>
      <c r="HA97" s="93"/>
      <c r="HB97" s="20"/>
      <c r="HC97" s="19"/>
      <c r="HD97" s="93"/>
      <c r="HE97" s="93"/>
      <c r="HF97" s="93"/>
      <c r="HG97" s="93"/>
      <c r="HH97" s="20"/>
      <c r="HI97" s="19"/>
      <c r="HJ97" s="93"/>
      <c r="HK97" s="93"/>
      <c r="HL97" s="93"/>
      <c r="HM97" s="93"/>
      <c r="HN97" s="20"/>
      <c r="HO97" s="219"/>
      <c r="HP97" s="20"/>
      <c r="HQ97" s="25"/>
      <c r="HR97" s="29">
        <v>30</v>
      </c>
      <c r="HS97" s="1504">
        <v>37408</v>
      </c>
      <c r="HT97" s="19"/>
      <c r="HU97" s="93"/>
      <c r="HV97" s="93"/>
      <c r="HW97" s="93"/>
      <c r="HX97" s="93"/>
      <c r="HY97" s="93"/>
      <c r="HZ97" s="93"/>
      <c r="IA97" s="20"/>
      <c r="IB97" s="19"/>
      <c r="IC97" s="93"/>
      <c r="ID97" s="93"/>
      <c r="IE97" s="93"/>
      <c r="IF97" s="93"/>
      <c r="IG97" s="20"/>
      <c r="IH97" s="19"/>
      <c r="II97" s="93"/>
      <c r="IJ97" s="93"/>
      <c r="IK97" s="93"/>
      <c r="IL97" s="93"/>
      <c r="IM97" s="93"/>
      <c r="IN97" s="93"/>
      <c r="IO97" s="20"/>
      <c r="IP97" s="29">
        <v>30</v>
      </c>
      <c r="IQ97" s="19"/>
      <c r="IR97" s="93"/>
      <c r="IS97" s="93"/>
      <c r="IT97" s="93"/>
      <c r="IU97" s="93"/>
      <c r="IV97" s="20"/>
      <c r="IW97" s="29">
        <v>30</v>
      </c>
      <c r="IX97" s="19"/>
      <c r="IY97" s="93"/>
      <c r="IZ97" s="93"/>
      <c r="JA97" s="93"/>
      <c r="JB97" s="93"/>
      <c r="JC97" s="93"/>
      <c r="JD97" s="93"/>
      <c r="JE97" s="20"/>
      <c r="JF97" s="29">
        <v>30</v>
      </c>
      <c r="JG97" s="19"/>
      <c r="JH97" s="93"/>
      <c r="JI97" s="93"/>
      <c r="JJ97" s="93"/>
      <c r="JK97" s="93"/>
      <c r="JL97" s="93"/>
      <c r="JM97" s="93"/>
      <c r="JN97" s="20"/>
      <c r="JO97" s="29">
        <v>30</v>
      </c>
      <c r="JP97" s="19"/>
      <c r="JQ97" s="93"/>
      <c r="JR97" s="93"/>
      <c r="JS97" s="93"/>
      <c r="JT97" s="93"/>
      <c r="JU97" s="20"/>
      <c r="JV97" s="29">
        <v>30</v>
      </c>
      <c r="JW97" s="1504">
        <v>37408</v>
      </c>
      <c r="JX97" s="19"/>
      <c r="JY97" s="93"/>
      <c r="JZ97" s="93"/>
      <c r="KA97" s="93"/>
      <c r="KB97" s="93"/>
      <c r="KC97" s="93"/>
      <c r="KD97" s="20"/>
      <c r="KE97" s="29">
        <v>30</v>
      </c>
      <c r="KF97" s="19"/>
      <c r="KG97" s="93"/>
      <c r="KH97" s="93"/>
      <c r="KI97" s="93"/>
      <c r="KJ97" s="93"/>
      <c r="KK97" s="20"/>
      <c r="KL97" s="29">
        <v>30</v>
      </c>
      <c r="KM97" s="19"/>
      <c r="KN97" s="93"/>
      <c r="KO97" s="93"/>
      <c r="KP97" s="93"/>
      <c r="KQ97" s="93"/>
      <c r="KR97" s="20"/>
      <c r="KS97" s="29">
        <v>30</v>
      </c>
      <c r="KT97" s="19"/>
      <c r="KU97" s="93"/>
      <c r="KV97" s="93"/>
      <c r="KW97" s="93"/>
      <c r="KX97" s="93"/>
      <c r="KY97" s="20"/>
      <c r="KZ97" s="29">
        <v>30</v>
      </c>
      <c r="LA97" s="1504">
        <v>37408</v>
      </c>
      <c r="LB97" s="19"/>
      <c r="LC97" s="93"/>
      <c r="LD97" s="93"/>
      <c r="LE97" s="93"/>
      <c r="LF97" s="93"/>
      <c r="LG97" s="93"/>
      <c r="LH97" s="20"/>
      <c r="LI97" s="29">
        <v>30</v>
      </c>
      <c r="LJ97" s="19"/>
      <c r="LK97" s="93"/>
      <c r="LL97" s="93"/>
      <c r="LM97" s="93"/>
      <c r="LN97" s="93"/>
      <c r="LO97" s="20"/>
      <c r="LP97" s="29">
        <v>30</v>
      </c>
      <c r="LQ97" s="19"/>
      <c r="LR97" s="93"/>
      <c r="LS97" s="93"/>
      <c r="LT97" s="93"/>
      <c r="LU97" s="93"/>
      <c r="LV97" s="93"/>
      <c r="LW97" s="93"/>
      <c r="LX97" s="93"/>
      <c r="LY97" s="93"/>
      <c r="LZ97" s="93"/>
      <c r="MA97" s="20"/>
      <c r="MB97" s="29">
        <v>30</v>
      </c>
      <c r="MC97" s="1504">
        <v>37408</v>
      </c>
      <c r="MD97" s="19"/>
      <c r="ME97" s="93"/>
      <c r="MF97" s="93"/>
      <c r="MG97" s="93"/>
      <c r="MH97" s="93"/>
      <c r="MI97" s="93"/>
      <c r="MJ97" s="93"/>
      <c r="MK97" s="93"/>
      <c r="ML97" s="93"/>
      <c r="MM97" s="93"/>
      <c r="MN97" s="93"/>
      <c r="MO97" s="93"/>
      <c r="MP97" s="93"/>
      <c r="MQ97" s="93"/>
      <c r="MR97" s="93"/>
      <c r="MS97" s="93"/>
      <c r="MT97" s="93"/>
      <c r="MU97" s="93"/>
      <c r="MV97" s="93"/>
      <c r="MW97" s="93"/>
      <c r="MX97" s="93"/>
      <c r="MY97" s="93"/>
      <c r="MZ97" s="93"/>
      <c r="NA97" s="93"/>
      <c r="NB97" s="93"/>
      <c r="NC97" s="93"/>
      <c r="ND97" s="93"/>
      <c r="NE97" s="93"/>
      <c r="NF97" s="93"/>
      <c r="NG97" s="93"/>
      <c r="NH97" s="93"/>
      <c r="NI97" s="93"/>
      <c r="NJ97" s="93"/>
      <c r="NK97" s="93"/>
      <c r="NL97" s="93"/>
      <c r="NM97" s="93"/>
      <c r="NN97" s="93"/>
      <c r="NO97" s="93"/>
      <c r="NP97" s="93"/>
      <c r="NQ97" s="93"/>
      <c r="NR97" s="93"/>
      <c r="NS97" s="93"/>
      <c r="NT97" s="93"/>
      <c r="NU97" s="93"/>
      <c r="NV97" s="93"/>
      <c r="NW97" s="93"/>
      <c r="NX97" s="93"/>
      <c r="NY97" s="93"/>
      <c r="NZ97" s="93"/>
      <c r="OA97" s="93"/>
      <c r="OB97" s="93"/>
      <c r="OC97" s="93"/>
      <c r="OD97" s="20"/>
      <c r="OE97" s="29">
        <v>30</v>
      </c>
      <c r="OF97" s="1504">
        <v>37408</v>
      </c>
      <c r="OG97" s="19"/>
      <c r="OH97" s="93"/>
      <c r="OI97" s="93"/>
      <c r="OJ97" s="93"/>
      <c r="OK97" s="93"/>
      <c r="OL97" s="93"/>
      <c r="OM97" s="93"/>
      <c r="ON97" s="93"/>
      <c r="OO97" s="93"/>
      <c r="OP97" s="93"/>
      <c r="OQ97" s="93"/>
      <c r="OR97" s="93"/>
      <c r="OS97" s="93"/>
      <c r="OT97" s="93"/>
      <c r="OU97" s="93"/>
      <c r="OV97" s="93"/>
      <c r="OW97" s="93"/>
      <c r="OX97" s="93"/>
      <c r="OY97" s="93"/>
      <c r="OZ97" s="93"/>
      <c r="PA97" s="93"/>
      <c r="PB97" s="93"/>
      <c r="PC97" s="20"/>
      <c r="PD97" s="29">
        <v>30</v>
      </c>
      <c r="PE97" s="19"/>
      <c r="PF97" s="93"/>
      <c r="PG97" s="93"/>
      <c r="PH97" s="93"/>
      <c r="PI97" s="93"/>
      <c r="PJ97" s="93"/>
      <c r="PK97" s="93"/>
      <c r="PL97" s="93"/>
      <c r="PM97" s="93"/>
      <c r="PN97" s="93"/>
      <c r="PO97" s="93"/>
      <c r="PP97" s="93"/>
      <c r="PQ97" s="93"/>
      <c r="PR97" s="93"/>
      <c r="PS97" s="93"/>
      <c r="PT97" s="93"/>
      <c r="PU97" s="93"/>
      <c r="PV97" s="93"/>
      <c r="PW97" s="93"/>
      <c r="PX97" s="93"/>
      <c r="PY97" s="93"/>
      <c r="PZ97" s="93"/>
      <c r="QA97" s="93"/>
      <c r="QB97" s="93"/>
      <c r="QC97" s="93"/>
      <c r="QD97" s="93"/>
      <c r="QE97" s="20"/>
      <c r="QF97" s="1739">
        <v>30</v>
      </c>
      <c r="QG97" s="19"/>
      <c r="QH97" s="93"/>
      <c r="QI97" s="93"/>
      <c r="QJ97" s="93"/>
      <c r="QK97" s="93"/>
      <c r="QL97" s="93"/>
      <c r="QM97" s="93"/>
      <c r="QN97" s="93"/>
      <c r="QO97" s="93"/>
      <c r="QP97" s="93"/>
      <c r="QQ97" s="93"/>
      <c r="QR97" s="93"/>
      <c r="QS97" s="93"/>
      <c r="QT97" s="93"/>
      <c r="QU97" s="93"/>
      <c r="QV97" s="93"/>
      <c r="QW97" s="93"/>
      <c r="QX97" s="93"/>
      <c r="QY97" s="93"/>
      <c r="QZ97" s="93"/>
      <c r="RA97" s="93"/>
      <c r="RB97" s="93"/>
      <c r="RC97" s="93"/>
      <c r="RD97" s="93"/>
      <c r="RE97" s="93"/>
      <c r="RF97" s="93"/>
      <c r="RG97" s="93"/>
      <c r="RH97" s="93"/>
      <c r="RI97" s="93"/>
      <c r="RJ97" s="93"/>
      <c r="RK97" s="93"/>
      <c r="RL97" s="93"/>
      <c r="RM97" s="20"/>
      <c r="RN97" s="29">
        <v>30</v>
      </c>
      <c r="RO97" s="19"/>
      <c r="RP97" s="20"/>
      <c r="RQ97" s="29">
        <v>30</v>
      </c>
      <c r="RR97" s="20"/>
      <c r="RS97" s="29">
        <v>30</v>
      </c>
      <c r="RT97" s="1504">
        <v>37408</v>
      </c>
      <c r="RU97" s="19"/>
      <c r="RV97" s="20"/>
      <c r="RW97" s="29">
        <v>30</v>
      </c>
      <c r="RX97" s="1504">
        <v>37408</v>
      </c>
      <c r="RY97" s="29"/>
      <c r="RZ97" s="20"/>
      <c r="SA97" s="29"/>
      <c r="SB97" s="29">
        <v>30</v>
      </c>
    </row>
    <row r="98" spans="1:496">
      <c r="A98" s="41">
        <f t="shared" si="187"/>
        <v>2002</v>
      </c>
      <c r="B98" s="1504">
        <v>37438</v>
      </c>
      <c r="C98" s="1813"/>
      <c r="D98" s="1814"/>
      <c r="E98" s="1814"/>
      <c r="F98" s="1815"/>
      <c r="G98" s="1814"/>
      <c r="H98" s="1814"/>
      <c r="I98" s="1814"/>
      <c r="J98" s="1816"/>
      <c r="K98" s="1807"/>
      <c r="L98" s="25">
        <v>31</v>
      </c>
      <c r="M98" s="97"/>
      <c r="N98" s="1504">
        <v>37438</v>
      </c>
      <c r="O98" s="19"/>
      <c r="P98" s="93"/>
      <c r="Q98" s="93"/>
      <c r="R98" s="93"/>
      <c r="S98" s="93"/>
      <c r="T98" s="93"/>
      <c r="U98" s="93"/>
      <c r="V98" s="93"/>
      <c r="W98" s="93"/>
      <c r="X98" s="93"/>
      <c r="Y98" s="93"/>
      <c r="Z98" s="93"/>
      <c r="AA98" s="93"/>
      <c r="AB98" s="20"/>
      <c r="AC98" s="25">
        <v>31</v>
      </c>
      <c r="AD98" s="97"/>
      <c r="AE98" s="1504">
        <v>37438</v>
      </c>
      <c r="AF98" s="19"/>
      <c r="AG98" s="93"/>
      <c r="AH98" s="93"/>
      <c r="AI98" s="93"/>
      <c r="AJ98" s="93"/>
      <c r="AK98" s="93"/>
      <c r="AL98" s="93"/>
      <c r="AM98" s="93"/>
      <c r="AN98" s="93"/>
      <c r="AO98" s="93"/>
      <c r="AP98" s="93"/>
      <c r="AQ98" s="93"/>
      <c r="AR98" s="93"/>
      <c r="AS98" s="20"/>
      <c r="AT98" s="25">
        <v>31</v>
      </c>
      <c r="AU98" s="97"/>
      <c r="AV98" s="1504">
        <v>37438</v>
      </c>
      <c r="AW98" s="19"/>
      <c r="AX98" s="93"/>
      <c r="AY98" s="93"/>
      <c r="AZ98" s="93"/>
      <c r="BA98" s="93"/>
      <c r="BB98" s="93"/>
      <c r="BC98" s="93"/>
      <c r="BD98" s="93"/>
      <c r="BE98" s="93"/>
      <c r="BF98" s="93"/>
      <c r="BG98" s="93"/>
      <c r="BH98" s="93"/>
      <c r="BI98" s="93"/>
      <c r="BJ98" s="20"/>
      <c r="BK98" s="25">
        <v>31</v>
      </c>
      <c r="BL98" s="97"/>
      <c r="BM98" s="1504">
        <v>37438</v>
      </c>
      <c r="BN98" s="19"/>
      <c r="BO98" s="93"/>
      <c r="BP98" s="93"/>
      <c r="BQ98" s="93"/>
      <c r="BR98" s="93"/>
      <c r="BS98" s="93"/>
      <c r="BT98" s="93"/>
      <c r="BU98" s="20"/>
      <c r="BV98" s="25">
        <v>31</v>
      </c>
      <c r="BW98" s="97"/>
      <c r="BX98" s="1504">
        <v>37438</v>
      </c>
      <c r="BY98" s="19"/>
      <c r="BZ98" s="99">
        <v>664.95699999999999</v>
      </c>
      <c r="CA98" s="93"/>
      <c r="CB98" s="93"/>
      <c r="CC98" s="93"/>
      <c r="CD98" s="25">
        <v>31</v>
      </c>
      <c r="CE98" s="97"/>
      <c r="CF98" s="1504">
        <v>37438</v>
      </c>
      <c r="CG98" s="19">
        <v>1.0267999999999999</v>
      </c>
      <c r="CH98" s="93">
        <v>313.29000000000002</v>
      </c>
      <c r="CI98" s="219"/>
      <c r="CJ98" s="20"/>
      <c r="CK98" s="19"/>
      <c r="CL98" s="93"/>
      <c r="CM98" s="93"/>
      <c r="CN98" s="93"/>
      <c r="CO98" s="93"/>
      <c r="CP98" s="20"/>
      <c r="CQ98" s="219">
        <v>704.52</v>
      </c>
      <c r="CR98" s="93">
        <v>1.48</v>
      </c>
      <c r="CS98" s="93"/>
      <c r="CT98" s="93"/>
      <c r="CU98" s="93"/>
      <c r="CV98" s="214"/>
      <c r="CW98" s="29">
        <v>31</v>
      </c>
      <c r="CX98" s="41">
        <f t="shared" si="188"/>
        <v>2002</v>
      </c>
      <c r="CY98" s="1504">
        <v>37438</v>
      </c>
      <c r="CZ98" s="733">
        <v>31.791814000000002</v>
      </c>
      <c r="DA98" s="570">
        <v>20.533273000000001</v>
      </c>
      <c r="DB98" s="570">
        <v>11.258540999999999</v>
      </c>
      <c r="DC98" s="93"/>
      <c r="DD98" s="93"/>
      <c r="DE98" s="20"/>
      <c r="DF98" s="29">
        <v>31</v>
      </c>
      <c r="DG98" s="1504">
        <v>37438</v>
      </c>
      <c r="DH98" s="19"/>
      <c r="DI98" s="93"/>
      <c r="DJ98" s="93"/>
      <c r="DK98" s="93"/>
      <c r="DL98" s="93"/>
      <c r="DM98" s="93"/>
      <c r="DN98" s="20"/>
      <c r="DO98" s="25"/>
      <c r="DP98" s="29">
        <v>31</v>
      </c>
      <c r="DQ98" s="1504">
        <v>37438</v>
      </c>
      <c r="DR98" s="19"/>
      <c r="DS98" s="93"/>
      <c r="DT98" s="93"/>
      <c r="DU98" s="93"/>
      <c r="DV98" s="93"/>
      <c r="DW98" s="93"/>
      <c r="DX98" s="20"/>
      <c r="DY98" s="29">
        <v>31</v>
      </c>
      <c r="DZ98" s="1504">
        <v>37438</v>
      </c>
      <c r="EA98" s="19"/>
      <c r="EB98" s="93"/>
      <c r="EC98" s="20"/>
      <c r="ED98" s="29">
        <v>31</v>
      </c>
      <c r="EE98" s="1504">
        <v>37438</v>
      </c>
      <c r="EF98" s="19"/>
      <c r="EG98" s="93"/>
      <c r="EH98" s="93"/>
      <c r="EI98" s="214"/>
      <c r="EJ98" s="93"/>
      <c r="EK98" s="93"/>
      <c r="EL98" s="93"/>
      <c r="EM98" s="93"/>
      <c r="EN98" s="20"/>
      <c r="EO98" s="29">
        <v>31</v>
      </c>
      <c r="EP98" s="1504">
        <v>37438</v>
      </c>
      <c r="EQ98" s="19"/>
      <c r="ER98" s="93"/>
      <c r="ES98" s="93"/>
      <c r="ET98" s="214"/>
      <c r="EU98" s="93"/>
      <c r="EV98" s="93"/>
      <c r="EW98" s="93"/>
      <c r="EX98" s="93"/>
      <c r="EY98" s="20"/>
      <c r="EZ98" s="29">
        <v>31</v>
      </c>
      <c r="FA98" s="1504">
        <v>37438</v>
      </c>
      <c r="FB98" s="29"/>
      <c r="FC98" s="29"/>
      <c r="FD98" s="29"/>
      <c r="FE98" s="29"/>
      <c r="FF98" s="29"/>
      <c r="FG98" s="29"/>
      <c r="FH98" s="29"/>
      <c r="FI98" s="29"/>
      <c r="FJ98" s="29"/>
      <c r="FK98" s="29">
        <v>31</v>
      </c>
      <c r="FL98" s="1504">
        <v>37438</v>
      </c>
      <c r="FM98" s="19"/>
      <c r="FN98" s="93"/>
      <c r="FO98" s="93"/>
      <c r="FP98" s="93"/>
      <c r="FQ98" s="93"/>
      <c r="FR98" s="93"/>
      <c r="FS98" s="93"/>
      <c r="FT98" s="93"/>
      <c r="FU98" s="93"/>
      <c r="FV98" s="93"/>
      <c r="FW98" s="93"/>
      <c r="FX98" s="93"/>
      <c r="FY98" s="93"/>
      <c r="FZ98" s="29">
        <v>31</v>
      </c>
      <c r="GA98" s="1504">
        <v>37438</v>
      </c>
      <c r="GB98" s="19"/>
      <c r="GC98" s="93"/>
      <c r="GD98" s="93"/>
      <c r="GE98" s="93"/>
      <c r="GF98" s="93"/>
      <c r="GG98" s="93"/>
      <c r="GH98" s="93"/>
      <c r="GI98" s="93"/>
      <c r="GJ98" s="93"/>
      <c r="GK98" s="93"/>
      <c r="GL98" s="93"/>
      <c r="GM98" s="93"/>
      <c r="GN98" s="20"/>
      <c r="GO98" s="29">
        <v>31</v>
      </c>
      <c r="GP98" s="1504">
        <v>37438</v>
      </c>
      <c r="GQ98" s="19"/>
      <c r="GR98" s="93"/>
      <c r="GS98" s="93"/>
      <c r="GT98" s="93"/>
      <c r="GU98" s="93"/>
      <c r="GV98" s="20"/>
      <c r="GW98" s="19"/>
      <c r="GX98" s="93"/>
      <c r="GY98" s="93"/>
      <c r="GZ98" s="93"/>
      <c r="HA98" s="93"/>
      <c r="HB98" s="20"/>
      <c r="HC98" s="19"/>
      <c r="HD98" s="93"/>
      <c r="HE98" s="93"/>
      <c r="HF98" s="93"/>
      <c r="HG98" s="93"/>
      <c r="HH98" s="20"/>
      <c r="HI98" s="19"/>
      <c r="HJ98" s="93"/>
      <c r="HK98" s="93"/>
      <c r="HL98" s="93"/>
      <c r="HM98" s="93"/>
      <c r="HN98" s="20"/>
      <c r="HO98" s="219"/>
      <c r="HP98" s="20"/>
      <c r="HQ98" s="25"/>
      <c r="HR98" s="29">
        <v>31</v>
      </c>
      <c r="HS98" s="1504">
        <v>37438</v>
      </c>
      <c r="HT98" s="19"/>
      <c r="HU98" s="93"/>
      <c r="HV98" s="93"/>
      <c r="HW98" s="93"/>
      <c r="HX98" s="93"/>
      <c r="HY98" s="93"/>
      <c r="HZ98" s="93"/>
      <c r="IA98" s="20"/>
      <c r="IB98" s="19"/>
      <c r="IC98" s="93"/>
      <c r="ID98" s="93"/>
      <c r="IE98" s="93"/>
      <c r="IF98" s="93"/>
      <c r="IG98" s="20"/>
      <c r="IH98" s="19"/>
      <c r="II98" s="93"/>
      <c r="IJ98" s="93"/>
      <c r="IK98" s="93"/>
      <c r="IL98" s="93"/>
      <c r="IM98" s="93"/>
      <c r="IN98" s="93"/>
      <c r="IO98" s="20"/>
      <c r="IP98" s="29">
        <v>31</v>
      </c>
      <c r="IQ98" s="19"/>
      <c r="IR98" s="93"/>
      <c r="IS98" s="93"/>
      <c r="IT98" s="93"/>
      <c r="IU98" s="93"/>
      <c r="IV98" s="20"/>
      <c r="IW98" s="29">
        <v>31</v>
      </c>
      <c r="IX98" s="19"/>
      <c r="IY98" s="93"/>
      <c r="IZ98" s="93"/>
      <c r="JA98" s="93"/>
      <c r="JB98" s="93"/>
      <c r="JC98" s="93"/>
      <c r="JD98" s="93"/>
      <c r="JE98" s="20"/>
      <c r="JF98" s="29">
        <v>31</v>
      </c>
      <c r="JG98" s="19"/>
      <c r="JH98" s="93"/>
      <c r="JI98" s="93"/>
      <c r="JJ98" s="93"/>
      <c r="JK98" s="93"/>
      <c r="JL98" s="93"/>
      <c r="JM98" s="93"/>
      <c r="JN98" s="20"/>
      <c r="JO98" s="29">
        <v>31</v>
      </c>
      <c r="JP98" s="19"/>
      <c r="JQ98" s="93"/>
      <c r="JR98" s="93"/>
      <c r="JS98" s="93"/>
      <c r="JT98" s="93"/>
      <c r="JU98" s="20"/>
      <c r="JV98" s="29">
        <v>31</v>
      </c>
      <c r="JW98" s="1504">
        <v>37438</v>
      </c>
      <c r="JX98" s="19"/>
      <c r="JY98" s="93"/>
      <c r="JZ98" s="93"/>
      <c r="KA98" s="93"/>
      <c r="KB98" s="93"/>
      <c r="KC98" s="93"/>
      <c r="KD98" s="20"/>
      <c r="KE98" s="29">
        <v>31</v>
      </c>
      <c r="KF98" s="19"/>
      <c r="KG98" s="93"/>
      <c r="KH98" s="93"/>
      <c r="KI98" s="93"/>
      <c r="KJ98" s="93"/>
      <c r="KK98" s="20"/>
      <c r="KL98" s="29">
        <v>31</v>
      </c>
      <c r="KM98" s="19"/>
      <c r="KN98" s="93"/>
      <c r="KO98" s="93"/>
      <c r="KP98" s="93"/>
      <c r="KQ98" s="93"/>
      <c r="KR98" s="20"/>
      <c r="KS98" s="29">
        <v>31</v>
      </c>
      <c r="KT98" s="19"/>
      <c r="KU98" s="93"/>
      <c r="KV98" s="93"/>
      <c r="KW98" s="93"/>
      <c r="KX98" s="93"/>
      <c r="KY98" s="20"/>
      <c r="KZ98" s="29">
        <v>31</v>
      </c>
      <c r="LA98" s="1504">
        <v>37438</v>
      </c>
      <c r="LB98" s="19"/>
      <c r="LC98" s="93"/>
      <c r="LD98" s="93"/>
      <c r="LE98" s="93"/>
      <c r="LF98" s="93"/>
      <c r="LG98" s="93"/>
      <c r="LH98" s="20"/>
      <c r="LI98" s="29">
        <v>31</v>
      </c>
      <c r="LJ98" s="19"/>
      <c r="LK98" s="93"/>
      <c r="LL98" s="93"/>
      <c r="LM98" s="93"/>
      <c r="LN98" s="93"/>
      <c r="LO98" s="20"/>
      <c r="LP98" s="29">
        <v>31</v>
      </c>
      <c r="LQ98" s="19"/>
      <c r="LR98" s="93"/>
      <c r="LS98" s="93"/>
      <c r="LT98" s="93"/>
      <c r="LU98" s="93"/>
      <c r="LV98" s="93"/>
      <c r="LW98" s="93"/>
      <c r="LX98" s="93"/>
      <c r="LY98" s="93"/>
      <c r="LZ98" s="93"/>
      <c r="MA98" s="20"/>
      <c r="MB98" s="29">
        <v>31</v>
      </c>
      <c r="MC98" s="1504">
        <v>37438</v>
      </c>
      <c r="MD98" s="19"/>
      <c r="ME98" s="93"/>
      <c r="MF98" s="93"/>
      <c r="MG98" s="93"/>
      <c r="MH98" s="93"/>
      <c r="MI98" s="93"/>
      <c r="MJ98" s="93"/>
      <c r="MK98" s="93"/>
      <c r="ML98" s="93"/>
      <c r="MM98" s="93"/>
      <c r="MN98" s="93"/>
      <c r="MO98" s="93"/>
      <c r="MP98" s="93"/>
      <c r="MQ98" s="93"/>
      <c r="MR98" s="93"/>
      <c r="MS98" s="93"/>
      <c r="MT98" s="93"/>
      <c r="MU98" s="93"/>
      <c r="MV98" s="93"/>
      <c r="MW98" s="93"/>
      <c r="MX98" s="93"/>
      <c r="MY98" s="93"/>
      <c r="MZ98" s="93"/>
      <c r="NA98" s="93"/>
      <c r="NB98" s="93"/>
      <c r="NC98" s="93"/>
      <c r="ND98" s="93"/>
      <c r="NE98" s="93"/>
      <c r="NF98" s="93"/>
      <c r="NG98" s="93"/>
      <c r="NH98" s="93"/>
      <c r="NI98" s="93"/>
      <c r="NJ98" s="93"/>
      <c r="NK98" s="93"/>
      <c r="NL98" s="93"/>
      <c r="NM98" s="93"/>
      <c r="NN98" s="93"/>
      <c r="NO98" s="93"/>
      <c r="NP98" s="93"/>
      <c r="NQ98" s="93"/>
      <c r="NR98" s="93"/>
      <c r="NS98" s="93"/>
      <c r="NT98" s="93"/>
      <c r="NU98" s="93"/>
      <c r="NV98" s="93"/>
      <c r="NW98" s="93"/>
      <c r="NX98" s="93"/>
      <c r="NY98" s="93"/>
      <c r="NZ98" s="93"/>
      <c r="OA98" s="93"/>
      <c r="OB98" s="93"/>
      <c r="OC98" s="93"/>
      <c r="OD98" s="20"/>
      <c r="OE98" s="29">
        <v>31</v>
      </c>
      <c r="OF98" s="1504">
        <v>37438</v>
      </c>
      <c r="OG98" s="19"/>
      <c r="OH98" s="93"/>
      <c r="OI98" s="93"/>
      <c r="OJ98" s="93"/>
      <c r="OK98" s="93"/>
      <c r="OL98" s="93"/>
      <c r="OM98" s="93"/>
      <c r="ON98" s="93"/>
      <c r="OO98" s="93"/>
      <c r="OP98" s="93"/>
      <c r="OQ98" s="93"/>
      <c r="OR98" s="93"/>
      <c r="OS98" s="93"/>
      <c r="OT98" s="93"/>
      <c r="OU98" s="93"/>
      <c r="OV98" s="93"/>
      <c r="OW98" s="93"/>
      <c r="OX98" s="93"/>
      <c r="OY98" s="93"/>
      <c r="OZ98" s="93"/>
      <c r="PA98" s="93"/>
      <c r="PB98" s="93"/>
      <c r="PC98" s="20"/>
      <c r="PD98" s="29">
        <v>31</v>
      </c>
      <c r="PE98" s="19"/>
      <c r="PF98" s="93"/>
      <c r="PG98" s="93"/>
      <c r="PH98" s="93"/>
      <c r="PI98" s="93"/>
      <c r="PJ98" s="93"/>
      <c r="PK98" s="93"/>
      <c r="PL98" s="93"/>
      <c r="PM98" s="93"/>
      <c r="PN98" s="93"/>
      <c r="PO98" s="93"/>
      <c r="PP98" s="93"/>
      <c r="PQ98" s="93"/>
      <c r="PR98" s="93"/>
      <c r="PS98" s="93"/>
      <c r="PT98" s="93"/>
      <c r="PU98" s="93"/>
      <c r="PV98" s="93"/>
      <c r="PW98" s="93"/>
      <c r="PX98" s="93"/>
      <c r="PY98" s="93"/>
      <c r="PZ98" s="93"/>
      <c r="QA98" s="93"/>
      <c r="QB98" s="93"/>
      <c r="QC98" s="93"/>
      <c r="QD98" s="93"/>
      <c r="QE98" s="20"/>
      <c r="QF98" s="1739">
        <v>31</v>
      </c>
      <c r="QG98" s="19"/>
      <c r="QH98" s="93"/>
      <c r="QI98" s="93"/>
      <c r="QJ98" s="93"/>
      <c r="QK98" s="93"/>
      <c r="QL98" s="93"/>
      <c r="QM98" s="93"/>
      <c r="QN98" s="93"/>
      <c r="QO98" s="93"/>
      <c r="QP98" s="93"/>
      <c r="QQ98" s="93"/>
      <c r="QR98" s="93"/>
      <c r="QS98" s="93"/>
      <c r="QT98" s="93"/>
      <c r="QU98" s="93"/>
      <c r="QV98" s="93"/>
      <c r="QW98" s="93"/>
      <c r="QX98" s="93"/>
      <c r="QY98" s="93"/>
      <c r="QZ98" s="93"/>
      <c r="RA98" s="93"/>
      <c r="RB98" s="93"/>
      <c r="RC98" s="93"/>
      <c r="RD98" s="93"/>
      <c r="RE98" s="93"/>
      <c r="RF98" s="93"/>
      <c r="RG98" s="93"/>
      <c r="RH98" s="93"/>
      <c r="RI98" s="93"/>
      <c r="RJ98" s="93"/>
      <c r="RK98" s="93"/>
      <c r="RL98" s="93"/>
      <c r="RM98" s="20"/>
      <c r="RN98" s="29">
        <v>31</v>
      </c>
      <c r="RO98" s="19"/>
      <c r="RP98" s="20"/>
      <c r="RQ98" s="29">
        <v>31</v>
      </c>
      <c r="RR98" s="20"/>
      <c r="RS98" s="29">
        <v>31</v>
      </c>
      <c r="RT98" s="1504">
        <v>37438</v>
      </c>
      <c r="RU98" s="19"/>
      <c r="RV98" s="20"/>
      <c r="RW98" s="29">
        <v>31</v>
      </c>
      <c r="RX98" s="1504">
        <v>37438</v>
      </c>
      <c r="RY98" s="29"/>
      <c r="RZ98" s="20"/>
      <c r="SA98" s="29"/>
      <c r="SB98" s="29">
        <v>31</v>
      </c>
    </row>
    <row r="99" spans="1:496">
      <c r="A99" s="41">
        <f t="shared" si="187"/>
        <v>2002</v>
      </c>
      <c r="B99" s="1504">
        <v>37469</v>
      </c>
      <c r="C99" s="1813"/>
      <c r="D99" s="1814"/>
      <c r="E99" s="1814"/>
      <c r="F99" s="1815"/>
      <c r="G99" s="1814"/>
      <c r="H99" s="1814"/>
      <c r="I99" s="1814"/>
      <c r="J99" s="1816"/>
      <c r="K99" s="1807"/>
      <c r="L99" s="25">
        <v>32</v>
      </c>
      <c r="M99" s="97"/>
      <c r="N99" s="1504">
        <v>37469</v>
      </c>
      <c r="O99" s="19"/>
      <c r="P99" s="93"/>
      <c r="Q99" s="93"/>
      <c r="R99" s="93"/>
      <c r="S99" s="93"/>
      <c r="T99" s="93"/>
      <c r="U99" s="93"/>
      <c r="V99" s="93"/>
      <c r="W99" s="93"/>
      <c r="X99" s="93"/>
      <c r="Y99" s="93"/>
      <c r="Z99" s="93"/>
      <c r="AA99" s="93"/>
      <c r="AB99" s="20"/>
      <c r="AC99" s="25">
        <v>32</v>
      </c>
      <c r="AD99" s="97"/>
      <c r="AE99" s="1504">
        <v>37469</v>
      </c>
      <c r="AF99" s="19"/>
      <c r="AG99" s="93"/>
      <c r="AH99" s="93"/>
      <c r="AI99" s="93"/>
      <c r="AJ99" s="93"/>
      <c r="AK99" s="93"/>
      <c r="AL99" s="93"/>
      <c r="AM99" s="93"/>
      <c r="AN99" s="93"/>
      <c r="AO99" s="93"/>
      <c r="AP99" s="93"/>
      <c r="AQ99" s="93"/>
      <c r="AR99" s="93"/>
      <c r="AS99" s="20"/>
      <c r="AT99" s="25">
        <v>32</v>
      </c>
      <c r="AU99" s="97"/>
      <c r="AV99" s="1504">
        <v>37469</v>
      </c>
      <c r="AW99" s="19"/>
      <c r="AX99" s="93"/>
      <c r="AY99" s="93"/>
      <c r="AZ99" s="93"/>
      <c r="BA99" s="93"/>
      <c r="BB99" s="93"/>
      <c r="BC99" s="93"/>
      <c r="BD99" s="93"/>
      <c r="BE99" s="93"/>
      <c r="BF99" s="93"/>
      <c r="BG99" s="93"/>
      <c r="BH99" s="93"/>
      <c r="BI99" s="93"/>
      <c r="BJ99" s="20"/>
      <c r="BK99" s="25">
        <v>32</v>
      </c>
      <c r="BL99" s="97"/>
      <c r="BM99" s="1504">
        <v>37469</v>
      </c>
      <c r="BN99" s="19"/>
      <c r="BO99" s="93"/>
      <c r="BP99" s="93"/>
      <c r="BQ99" s="93"/>
      <c r="BR99" s="93"/>
      <c r="BS99" s="93"/>
      <c r="BT99" s="93"/>
      <c r="BU99" s="20"/>
      <c r="BV99" s="25">
        <v>32</v>
      </c>
      <c r="BW99" s="97"/>
      <c r="BX99" s="1504">
        <v>37469</v>
      </c>
      <c r="BY99" s="19"/>
      <c r="BZ99" s="99">
        <v>664.95699999999999</v>
      </c>
      <c r="CA99" s="93"/>
      <c r="CB99" s="93"/>
      <c r="CC99" s="93"/>
      <c r="CD99" s="25">
        <v>32</v>
      </c>
      <c r="CE99" s="97"/>
      <c r="CF99" s="1504">
        <v>37469</v>
      </c>
      <c r="CG99" s="19">
        <v>1.0889</v>
      </c>
      <c r="CH99" s="93">
        <v>310.26</v>
      </c>
      <c r="CI99" s="219"/>
      <c r="CJ99" s="20"/>
      <c r="CK99" s="19"/>
      <c r="CL99" s="93"/>
      <c r="CM99" s="93"/>
      <c r="CN99" s="93"/>
      <c r="CO99" s="93"/>
      <c r="CP99" s="20"/>
      <c r="CQ99" s="219">
        <v>758.59</v>
      </c>
      <c r="CR99" s="93">
        <v>1.4950000000000001</v>
      </c>
      <c r="CS99" s="93"/>
      <c r="CT99" s="93"/>
      <c r="CU99" s="93"/>
      <c r="CV99" s="214"/>
      <c r="CW99" s="29">
        <v>32</v>
      </c>
      <c r="CX99" s="41">
        <f t="shared" si="188"/>
        <v>2002</v>
      </c>
      <c r="CY99" s="1504">
        <v>37469</v>
      </c>
      <c r="CZ99" s="733">
        <v>34.119174000000001</v>
      </c>
      <c r="DA99" s="570">
        <v>21.321781000000001</v>
      </c>
      <c r="DB99" s="570">
        <v>12.797393</v>
      </c>
      <c r="DC99" s="93"/>
      <c r="DD99" s="93"/>
      <c r="DE99" s="20"/>
      <c r="DF99" s="29">
        <v>32</v>
      </c>
      <c r="DG99" s="1504">
        <v>37469</v>
      </c>
      <c r="DH99" s="19"/>
      <c r="DI99" s="93"/>
      <c r="DJ99" s="93"/>
      <c r="DK99" s="93"/>
      <c r="DL99" s="93"/>
      <c r="DM99" s="93"/>
      <c r="DN99" s="20"/>
      <c r="DO99" s="25"/>
      <c r="DP99" s="29">
        <v>32</v>
      </c>
      <c r="DQ99" s="1504">
        <v>37469</v>
      </c>
      <c r="DR99" s="19"/>
      <c r="DS99" s="93"/>
      <c r="DT99" s="93"/>
      <c r="DU99" s="93"/>
      <c r="DV99" s="93"/>
      <c r="DW99" s="93"/>
      <c r="DX99" s="20"/>
      <c r="DY99" s="29">
        <v>32</v>
      </c>
      <c r="DZ99" s="1504">
        <v>37469</v>
      </c>
      <c r="EA99" s="19"/>
      <c r="EB99" s="93"/>
      <c r="EC99" s="20"/>
      <c r="ED99" s="29">
        <v>32</v>
      </c>
      <c r="EE99" s="1504">
        <v>37469</v>
      </c>
      <c r="EF99" s="19"/>
      <c r="EG99" s="93"/>
      <c r="EH99" s="93"/>
      <c r="EI99" s="214"/>
      <c r="EJ99" s="93"/>
      <c r="EK99" s="93"/>
      <c r="EL99" s="93"/>
      <c r="EM99" s="93"/>
      <c r="EN99" s="20"/>
      <c r="EO99" s="29">
        <v>32</v>
      </c>
      <c r="EP99" s="1504">
        <v>37469</v>
      </c>
      <c r="EQ99" s="19"/>
      <c r="ER99" s="93"/>
      <c r="ES99" s="93"/>
      <c r="ET99" s="214"/>
      <c r="EU99" s="93"/>
      <c r="EV99" s="93"/>
      <c r="EW99" s="93"/>
      <c r="EX99" s="93"/>
      <c r="EY99" s="20"/>
      <c r="EZ99" s="29">
        <v>32</v>
      </c>
      <c r="FA99" s="1504">
        <v>37469</v>
      </c>
      <c r="FB99" s="29"/>
      <c r="FC99" s="29"/>
      <c r="FD99" s="29"/>
      <c r="FE99" s="29"/>
      <c r="FF99" s="29"/>
      <c r="FG99" s="29"/>
      <c r="FH99" s="29"/>
      <c r="FI99" s="29"/>
      <c r="FJ99" s="29"/>
      <c r="FK99" s="29">
        <v>32</v>
      </c>
      <c r="FL99" s="1504">
        <v>37469</v>
      </c>
      <c r="FM99" s="19"/>
      <c r="FN99" s="93"/>
      <c r="FO99" s="93"/>
      <c r="FP99" s="93"/>
      <c r="FQ99" s="93"/>
      <c r="FR99" s="93"/>
      <c r="FS99" s="93"/>
      <c r="FT99" s="93"/>
      <c r="FU99" s="93"/>
      <c r="FV99" s="93"/>
      <c r="FW99" s="93"/>
      <c r="FX99" s="93"/>
      <c r="FY99" s="93"/>
      <c r="FZ99" s="29">
        <v>32</v>
      </c>
      <c r="GA99" s="1504">
        <v>37469</v>
      </c>
      <c r="GB99" s="19"/>
      <c r="GC99" s="93"/>
      <c r="GD99" s="93"/>
      <c r="GE99" s="93"/>
      <c r="GF99" s="93"/>
      <c r="GG99" s="93"/>
      <c r="GH99" s="93"/>
      <c r="GI99" s="93"/>
      <c r="GJ99" s="93"/>
      <c r="GK99" s="93"/>
      <c r="GL99" s="93"/>
      <c r="GM99" s="93"/>
      <c r="GN99" s="20"/>
      <c r="GO99" s="29">
        <v>32</v>
      </c>
      <c r="GP99" s="1504">
        <v>37469</v>
      </c>
      <c r="GQ99" s="19"/>
      <c r="GR99" s="93"/>
      <c r="GS99" s="93"/>
      <c r="GT99" s="93"/>
      <c r="GU99" s="93"/>
      <c r="GV99" s="20"/>
      <c r="GW99" s="19"/>
      <c r="GX99" s="93"/>
      <c r="GY99" s="93"/>
      <c r="GZ99" s="93"/>
      <c r="HA99" s="93"/>
      <c r="HB99" s="20"/>
      <c r="HC99" s="19"/>
      <c r="HD99" s="93"/>
      <c r="HE99" s="93"/>
      <c r="HF99" s="93"/>
      <c r="HG99" s="93"/>
      <c r="HH99" s="20"/>
      <c r="HI99" s="19"/>
      <c r="HJ99" s="93"/>
      <c r="HK99" s="93"/>
      <c r="HL99" s="93"/>
      <c r="HM99" s="93"/>
      <c r="HN99" s="20"/>
      <c r="HO99" s="219"/>
      <c r="HP99" s="20"/>
      <c r="HQ99" s="25"/>
      <c r="HR99" s="29">
        <v>32</v>
      </c>
      <c r="HS99" s="1504">
        <v>37469</v>
      </c>
      <c r="HT99" s="19"/>
      <c r="HU99" s="93"/>
      <c r="HV99" s="93"/>
      <c r="HW99" s="93"/>
      <c r="HX99" s="93"/>
      <c r="HY99" s="93"/>
      <c r="HZ99" s="93"/>
      <c r="IA99" s="20"/>
      <c r="IB99" s="19"/>
      <c r="IC99" s="93"/>
      <c r="ID99" s="93"/>
      <c r="IE99" s="93"/>
      <c r="IF99" s="93"/>
      <c r="IG99" s="20"/>
      <c r="IH99" s="19"/>
      <c r="II99" s="93"/>
      <c r="IJ99" s="93"/>
      <c r="IK99" s="93"/>
      <c r="IL99" s="93"/>
      <c r="IM99" s="93"/>
      <c r="IN99" s="93"/>
      <c r="IO99" s="20"/>
      <c r="IP99" s="29">
        <v>32</v>
      </c>
      <c r="IQ99" s="19"/>
      <c r="IR99" s="93"/>
      <c r="IS99" s="93"/>
      <c r="IT99" s="93"/>
      <c r="IU99" s="93"/>
      <c r="IV99" s="20"/>
      <c r="IW99" s="29">
        <v>32</v>
      </c>
      <c r="IX99" s="19"/>
      <c r="IY99" s="93"/>
      <c r="IZ99" s="93"/>
      <c r="JA99" s="93"/>
      <c r="JB99" s="93"/>
      <c r="JC99" s="93"/>
      <c r="JD99" s="93"/>
      <c r="JE99" s="20"/>
      <c r="JF99" s="29">
        <v>32</v>
      </c>
      <c r="JG99" s="19"/>
      <c r="JH99" s="93"/>
      <c r="JI99" s="93"/>
      <c r="JJ99" s="93"/>
      <c r="JK99" s="93"/>
      <c r="JL99" s="93"/>
      <c r="JM99" s="93"/>
      <c r="JN99" s="20"/>
      <c r="JO99" s="29">
        <v>32</v>
      </c>
      <c r="JP99" s="19"/>
      <c r="JQ99" s="93"/>
      <c r="JR99" s="93"/>
      <c r="JS99" s="93"/>
      <c r="JT99" s="93"/>
      <c r="JU99" s="20"/>
      <c r="JV99" s="29">
        <v>32</v>
      </c>
      <c r="JW99" s="1504">
        <v>37469</v>
      </c>
      <c r="JX99" s="19"/>
      <c r="JY99" s="93"/>
      <c r="JZ99" s="93"/>
      <c r="KA99" s="93"/>
      <c r="KB99" s="93"/>
      <c r="KC99" s="93"/>
      <c r="KD99" s="20"/>
      <c r="KE99" s="29">
        <v>32</v>
      </c>
      <c r="KF99" s="19"/>
      <c r="KG99" s="93"/>
      <c r="KH99" s="93"/>
      <c r="KI99" s="93"/>
      <c r="KJ99" s="93"/>
      <c r="KK99" s="20"/>
      <c r="KL99" s="29">
        <v>32</v>
      </c>
      <c r="KM99" s="19"/>
      <c r="KN99" s="93"/>
      <c r="KO99" s="93"/>
      <c r="KP99" s="93"/>
      <c r="KQ99" s="93"/>
      <c r="KR99" s="20"/>
      <c r="KS99" s="29">
        <v>32</v>
      </c>
      <c r="KT99" s="19"/>
      <c r="KU99" s="93"/>
      <c r="KV99" s="93"/>
      <c r="KW99" s="93"/>
      <c r="KX99" s="93"/>
      <c r="KY99" s="20"/>
      <c r="KZ99" s="29">
        <v>32</v>
      </c>
      <c r="LA99" s="1504">
        <v>37469</v>
      </c>
      <c r="LB99" s="19"/>
      <c r="LC99" s="93"/>
      <c r="LD99" s="93"/>
      <c r="LE99" s="93"/>
      <c r="LF99" s="93"/>
      <c r="LG99" s="93"/>
      <c r="LH99" s="20"/>
      <c r="LI99" s="29">
        <v>32</v>
      </c>
      <c r="LJ99" s="19"/>
      <c r="LK99" s="93"/>
      <c r="LL99" s="93"/>
      <c r="LM99" s="93"/>
      <c r="LN99" s="93"/>
      <c r="LO99" s="20"/>
      <c r="LP99" s="29">
        <v>32</v>
      </c>
      <c r="LQ99" s="19"/>
      <c r="LR99" s="93"/>
      <c r="LS99" s="93"/>
      <c r="LT99" s="93"/>
      <c r="LU99" s="93"/>
      <c r="LV99" s="93"/>
      <c r="LW99" s="93"/>
      <c r="LX99" s="93"/>
      <c r="LY99" s="93"/>
      <c r="LZ99" s="93"/>
      <c r="MA99" s="20"/>
      <c r="MB99" s="29">
        <v>32</v>
      </c>
      <c r="MC99" s="1504">
        <v>37469</v>
      </c>
      <c r="MD99" s="19"/>
      <c r="ME99" s="93"/>
      <c r="MF99" s="93"/>
      <c r="MG99" s="93"/>
      <c r="MH99" s="93"/>
      <c r="MI99" s="93"/>
      <c r="MJ99" s="93"/>
      <c r="MK99" s="93"/>
      <c r="ML99" s="93"/>
      <c r="MM99" s="93"/>
      <c r="MN99" s="93"/>
      <c r="MO99" s="93"/>
      <c r="MP99" s="93"/>
      <c r="MQ99" s="93"/>
      <c r="MR99" s="93"/>
      <c r="MS99" s="93"/>
      <c r="MT99" s="93"/>
      <c r="MU99" s="93"/>
      <c r="MV99" s="93"/>
      <c r="MW99" s="93"/>
      <c r="MX99" s="93"/>
      <c r="MY99" s="93"/>
      <c r="MZ99" s="93"/>
      <c r="NA99" s="93"/>
      <c r="NB99" s="93"/>
      <c r="NC99" s="93"/>
      <c r="ND99" s="93"/>
      <c r="NE99" s="93"/>
      <c r="NF99" s="93"/>
      <c r="NG99" s="93"/>
      <c r="NH99" s="93"/>
      <c r="NI99" s="93"/>
      <c r="NJ99" s="93"/>
      <c r="NK99" s="93"/>
      <c r="NL99" s="93"/>
      <c r="NM99" s="93"/>
      <c r="NN99" s="93"/>
      <c r="NO99" s="93"/>
      <c r="NP99" s="93"/>
      <c r="NQ99" s="93"/>
      <c r="NR99" s="93"/>
      <c r="NS99" s="93"/>
      <c r="NT99" s="93"/>
      <c r="NU99" s="93"/>
      <c r="NV99" s="93"/>
      <c r="NW99" s="93"/>
      <c r="NX99" s="93"/>
      <c r="NY99" s="93"/>
      <c r="NZ99" s="93"/>
      <c r="OA99" s="93"/>
      <c r="OB99" s="93"/>
      <c r="OC99" s="93"/>
      <c r="OD99" s="20"/>
      <c r="OE99" s="29">
        <v>32</v>
      </c>
      <c r="OF99" s="1504">
        <v>37469</v>
      </c>
      <c r="OG99" s="19"/>
      <c r="OH99" s="93"/>
      <c r="OI99" s="93"/>
      <c r="OJ99" s="93"/>
      <c r="OK99" s="93"/>
      <c r="OL99" s="93"/>
      <c r="OM99" s="93"/>
      <c r="ON99" s="93"/>
      <c r="OO99" s="93"/>
      <c r="OP99" s="93"/>
      <c r="OQ99" s="93"/>
      <c r="OR99" s="93"/>
      <c r="OS99" s="93"/>
      <c r="OT99" s="93"/>
      <c r="OU99" s="93"/>
      <c r="OV99" s="93"/>
      <c r="OW99" s="93"/>
      <c r="OX99" s="93"/>
      <c r="OY99" s="93"/>
      <c r="OZ99" s="93"/>
      <c r="PA99" s="93"/>
      <c r="PB99" s="93"/>
      <c r="PC99" s="20"/>
      <c r="PD99" s="29">
        <v>32</v>
      </c>
      <c r="PE99" s="19"/>
      <c r="PF99" s="93"/>
      <c r="PG99" s="93"/>
      <c r="PH99" s="93"/>
      <c r="PI99" s="93"/>
      <c r="PJ99" s="93"/>
      <c r="PK99" s="93"/>
      <c r="PL99" s="93"/>
      <c r="PM99" s="93"/>
      <c r="PN99" s="93"/>
      <c r="PO99" s="93"/>
      <c r="PP99" s="93"/>
      <c r="PQ99" s="93"/>
      <c r="PR99" s="93"/>
      <c r="PS99" s="93"/>
      <c r="PT99" s="93"/>
      <c r="PU99" s="93"/>
      <c r="PV99" s="93"/>
      <c r="PW99" s="93"/>
      <c r="PX99" s="93"/>
      <c r="PY99" s="93"/>
      <c r="PZ99" s="93"/>
      <c r="QA99" s="93"/>
      <c r="QB99" s="93"/>
      <c r="QC99" s="93"/>
      <c r="QD99" s="93"/>
      <c r="QE99" s="20"/>
      <c r="QF99" s="1739">
        <v>32</v>
      </c>
      <c r="QG99" s="19"/>
      <c r="QH99" s="93"/>
      <c r="QI99" s="93"/>
      <c r="QJ99" s="93"/>
      <c r="QK99" s="93"/>
      <c r="QL99" s="93"/>
      <c r="QM99" s="93"/>
      <c r="QN99" s="93"/>
      <c r="QO99" s="93"/>
      <c r="QP99" s="93"/>
      <c r="QQ99" s="93"/>
      <c r="QR99" s="93"/>
      <c r="QS99" s="93"/>
      <c r="QT99" s="93"/>
      <c r="QU99" s="93"/>
      <c r="QV99" s="93"/>
      <c r="QW99" s="93"/>
      <c r="QX99" s="93"/>
      <c r="QY99" s="93"/>
      <c r="QZ99" s="93"/>
      <c r="RA99" s="93"/>
      <c r="RB99" s="93"/>
      <c r="RC99" s="93"/>
      <c r="RD99" s="93"/>
      <c r="RE99" s="93"/>
      <c r="RF99" s="93"/>
      <c r="RG99" s="93"/>
      <c r="RH99" s="93"/>
      <c r="RI99" s="93"/>
      <c r="RJ99" s="93"/>
      <c r="RK99" s="93"/>
      <c r="RL99" s="93"/>
      <c r="RM99" s="20"/>
      <c r="RN99" s="29">
        <v>32</v>
      </c>
      <c r="RO99" s="19"/>
      <c r="RP99" s="20"/>
      <c r="RQ99" s="29">
        <v>32</v>
      </c>
      <c r="RR99" s="20"/>
      <c r="RS99" s="29">
        <v>32</v>
      </c>
      <c r="RT99" s="1504">
        <v>37469</v>
      </c>
      <c r="RU99" s="19"/>
      <c r="RV99" s="20"/>
      <c r="RW99" s="29">
        <v>32</v>
      </c>
      <c r="RX99" s="1504">
        <v>37469</v>
      </c>
      <c r="RY99" s="29"/>
      <c r="RZ99" s="20"/>
      <c r="SA99" s="29"/>
      <c r="SB99" s="29">
        <v>32</v>
      </c>
    </row>
    <row r="100" spans="1:496">
      <c r="A100" s="41">
        <f t="shared" si="187"/>
        <v>2002</v>
      </c>
      <c r="B100" s="1504">
        <v>37500</v>
      </c>
      <c r="C100" s="1813"/>
      <c r="D100" s="1814"/>
      <c r="E100" s="1814"/>
      <c r="F100" s="1815"/>
      <c r="G100" s="1814"/>
      <c r="H100" s="1814"/>
      <c r="I100" s="1814"/>
      <c r="J100" s="1816"/>
      <c r="K100" s="1807"/>
      <c r="L100" s="25">
        <v>33</v>
      </c>
      <c r="M100" s="97"/>
      <c r="N100" s="1504">
        <v>37500</v>
      </c>
      <c r="O100" s="19"/>
      <c r="P100" s="93"/>
      <c r="Q100" s="93"/>
      <c r="R100" s="93"/>
      <c r="S100" s="93"/>
      <c r="T100" s="93"/>
      <c r="U100" s="93"/>
      <c r="V100" s="93"/>
      <c r="W100" s="93"/>
      <c r="X100" s="93"/>
      <c r="Y100" s="93"/>
      <c r="Z100" s="93"/>
      <c r="AA100" s="93"/>
      <c r="AB100" s="20"/>
      <c r="AC100" s="25">
        <v>33</v>
      </c>
      <c r="AD100" s="97"/>
      <c r="AE100" s="1504">
        <v>37500</v>
      </c>
      <c r="AF100" s="19"/>
      <c r="AG100" s="93"/>
      <c r="AH100" s="93"/>
      <c r="AI100" s="93"/>
      <c r="AJ100" s="93"/>
      <c r="AK100" s="93"/>
      <c r="AL100" s="93"/>
      <c r="AM100" s="93"/>
      <c r="AN100" s="93"/>
      <c r="AO100" s="93"/>
      <c r="AP100" s="93"/>
      <c r="AQ100" s="93"/>
      <c r="AR100" s="93"/>
      <c r="AS100" s="20"/>
      <c r="AT100" s="25">
        <v>33</v>
      </c>
      <c r="AU100" s="97"/>
      <c r="AV100" s="1504">
        <v>37500</v>
      </c>
      <c r="AW100" s="19"/>
      <c r="AX100" s="93"/>
      <c r="AY100" s="93"/>
      <c r="AZ100" s="93"/>
      <c r="BA100" s="93"/>
      <c r="BB100" s="93"/>
      <c r="BC100" s="93"/>
      <c r="BD100" s="93"/>
      <c r="BE100" s="93"/>
      <c r="BF100" s="93"/>
      <c r="BG100" s="93"/>
      <c r="BH100" s="93"/>
      <c r="BI100" s="93"/>
      <c r="BJ100" s="20"/>
      <c r="BK100" s="25">
        <v>33</v>
      </c>
      <c r="BL100" s="97"/>
      <c r="BM100" s="1504">
        <v>37500</v>
      </c>
      <c r="BN100" s="19"/>
      <c r="BO100" s="93"/>
      <c r="BP100" s="93"/>
      <c r="BQ100" s="93"/>
      <c r="BR100" s="93"/>
      <c r="BS100" s="93"/>
      <c r="BT100" s="93"/>
      <c r="BU100" s="20"/>
      <c r="BV100" s="25">
        <v>33</v>
      </c>
      <c r="BW100" s="97"/>
      <c r="BX100" s="1504">
        <v>37500</v>
      </c>
      <c r="BY100" s="19"/>
      <c r="BZ100" s="99">
        <v>664.95699999999999</v>
      </c>
      <c r="CA100" s="93"/>
      <c r="CB100" s="93"/>
      <c r="CC100" s="93"/>
      <c r="CD100" s="25">
        <v>33</v>
      </c>
      <c r="CE100" s="97"/>
      <c r="CF100" s="1504">
        <v>37500</v>
      </c>
      <c r="CG100" s="19">
        <v>1.0806</v>
      </c>
      <c r="CH100" s="93">
        <v>319.14</v>
      </c>
      <c r="CI100" s="219"/>
      <c r="CJ100" s="20"/>
      <c r="CK100" s="19"/>
      <c r="CL100" s="93"/>
      <c r="CM100" s="93"/>
      <c r="CN100" s="93"/>
      <c r="CO100" s="93"/>
      <c r="CP100" s="20"/>
      <c r="CQ100" s="219">
        <v>794.71</v>
      </c>
      <c r="CR100" s="93">
        <v>1.5625</v>
      </c>
      <c r="CS100" s="93"/>
      <c r="CT100" s="93"/>
      <c r="CU100" s="93"/>
      <c r="CV100" s="214"/>
      <c r="CW100" s="29">
        <v>33</v>
      </c>
      <c r="CX100" s="41">
        <f t="shared" si="188"/>
        <v>2002</v>
      </c>
      <c r="CY100" s="1504">
        <v>37500</v>
      </c>
      <c r="CZ100" s="733">
        <v>30.042785000000002</v>
      </c>
      <c r="DA100" s="570">
        <v>18.760404000000001</v>
      </c>
      <c r="DB100" s="570">
        <v>11.282381000000001</v>
      </c>
      <c r="DC100" s="93"/>
      <c r="DD100" s="93"/>
      <c r="DE100" s="20"/>
      <c r="DF100" s="29">
        <v>33</v>
      </c>
      <c r="DG100" s="1504">
        <v>37500</v>
      </c>
      <c r="DH100" s="19"/>
      <c r="DI100" s="93"/>
      <c r="DJ100" s="93"/>
      <c r="DK100" s="93"/>
      <c r="DL100" s="93"/>
      <c r="DM100" s="93"/>
      <c r="DN100" s="20"/>
      <c r="DO100" s="25"/>
      <c r="DP100" s="29">
        <v>33</v>
      </c>
      <c r="DQ100" s="1504">
        <v>37500</v>
      </c>
      <c r="DR100" s="19"/>
      <c r="DS100" s="93"/>
      <c r="DT100" s="93"/>
      <c r="DU100" s="93"/>
      <c r="DV100" s="93"/>
      <c r="DW100" s="93"/>
      <c r="DX100" s="20"/>
      <c r="DY100" s="29">
        <v>33</v>
      </c>
      <c r="DZ100" s="1504">
        <v>37500</v>
      </c>
      <c r="EA100" s="19"/>
      <c r="EB100" s="93"/>
      <c r="EC100" s="20"/>
      <c r="ED100" s="29">
        <v>33</v>
      </c>
      <c r="EE100" s="1504">
        <v>37500</v>
      </c>
      <c r="EF100" s="19"/>
      <c r="EG100" s="93"/>
      <c r="EH100" s="93"/>
      <c r="EI100" s="214"/>
      <c r="EJ100" s="93"/>
      <c r="EK100" s="93"/>
      <c r="EL100" s="93"/>
      <c r="EM100" s="93"/>
      <c r="EN100" s="20"/>
      <c r="EO100" s="29">
        <v>33</v>
      </c>
      <c r="EP100" s="1504">
        <v>37500</v>
      </c>
      <c r="EQ100" s="19"/>
      <c r="ER100" s="93"/>
      <c r="ES100" s="93"/>
      <c r="ET100" s="214"/>
      <c r="EU100" s="93"/>
      <c r="EV100" s="93"/>
      <c r="EW100" s="93"/>
      <c r="EX100" s="93"/>
      <c r="EY100" s="20"/>
      <c r="EZ100" s="29">
        <v>33</v>
      </c>
      <c r="FA100" s="1504">
        <v>37500</v>
      </c>
      <c r="FB100" s="29"/>
      <c r="FC100" s="29"/>
      <c r="FD100" s="29"/>
      <c r="FE100" s="29"/>
      <c r="FF100" s="29"/>
      <c r="FG100" s="29"/>
      <c r="FH100" s="29"/>
      <c r="FI100" s="29"/>
      <c r="FJ100" s="29"/>
      <c r="FK100" s="29">
        <v>33</v>
      </c>
      <c r="FL100" s="1504">
        <v>37500</v>
      </c>
      <c r="FM100" s="19"/>
      <c r="FN100" s="93"/>
      <c r="FO100" s="93"/>
      <c r="FP100" s="93"/>
      <c r="FQ100" s="93"/>
      <c r="FR100" s="93"/>
      <c r="FS100" s="93"/>
      <c r="FT100" s="93"/>
      <c r="FU100" s="93"/>
      <c r="FV100" s="93"/>
      <c r="FW100" s="93"/>
      <c r="FX100" s="93"/>
      <c r="FY100" s="93"/>
      <c r="FZ100" s="29">
        <v>33</v>
      </c>
      <c r="GA100" s="1504">
        <v>37500</v>
      </c>
      <c r="GB100" s="19"/>
      <c r="GC100" s="93"/>
      <c r="GD100" s="93"/>
      <c r="GE100" s="93"/>
      <c r="GF100" s="93"/>
      <c r="GG100" s="93"/>
      <c r="GH100" s="93"/>
      <c r="GI100" s="93"/>
      <c r="GJ100" s="93"/>
      <c r="GK100" s="93"/>
      <c r="GL100" s="93"/>
      <c r="GM100" s="93"/>
      <c r="GN100" s="20"/>
      <c r="GO100" s="29">
        <v>33</v>
      </c>
      <c r="GP100" s="1504">
        <v>37500</v>
      </c>
      <c r="GQ100" s="19"/>
      <c r="GR100" s="93"/>
      <c r="GS100" s="93"/>
      <c r="GT100" s="93"/>
      <c r="GU100" s="93"/>
      <c r="GV100" s="20"/>
      <c r="GW100" s="19"/>
      <c r="GX100" s="93"/>
      <c r="GY100" s="93"/>
      <c r="GZ100" s="93"/>
      <c r="HA100" s="93"/>
      <c r="HB100" s="20"/>
      <c r="HC100" s="19"/>
      <c r="HD100" s="93"/>
      <c r="HE100" s="93"/>
      <c r="HF100" s="93"/>
      <c r="HG100" s="93"/>
      <c r="HH100" s="20"/>
      <c r="HI100" s="19"/>
      <c r="HJ100" s="93"/>
      <c r="HK100" s="93"/>
      <c r="HL100" s="93"/>
      <c r="HM100" s="93"/>
      <c r="HN100" s="20"/>
      <c r="HO100" s="219"/>
      <c r="HP100" s="20"/>
      <c r="HQ100" s="25"/>
      <c r="HR100" s="29">
        <v>33</v>
      </c>
      <c r="HS100" s="1504">
        <v>37500</v>
      </c>
      <c r="HT100" s="19"/>
      <c r="HU100" s="93"/>
      <c r="HV100" s="93"/>
      <c r="HW100" s="93"/>
      <c r="HX100" s="93"/>
      <c r="HY100" s="93"/>
      <c r="HZ100" s="93"/>
      <c r="IA100" s="20"/>
      <c r="IB100" s="19"/>
      <c r="IC100" s="93"/>
      <c r="ID100" s="93"/>
      <c r="IE100" s="93"/>
      <c r="IF100" s="93"/>
      <c r="IG100" s="20"/>
      <c r="IH100" s="19"/>
      <c r="II100" s="93"/>
      <c r="IJ100" s="93"/>
      <c r="IK100" s="93"/>
      <c r="IL100" s="93"/>
      <c r="IM100" s="93"/>
      <c r="IN100" s="93"/>
      <c r="IO100" s="20"/>
      <c r="IP100" s="29">
        <v>33</v>
      </c>
      <c r="IQ100" s="19"/>
      <c r="IR100" s="93"/>
      <c r="IS100" s="93"/>
      <c r="IT100" s="93"/>
      <c r="IU100" s="93"/>
      <c r="IV100" s="20"/>
      <c r="IW100" s="29">
        <v>33</v>
      </c>
      <c r="IX100" s="19"/>
      <c r="IY100" s="93"/>
      <c r="IZ100" s="93"/>
      <c r="JA100" s="93"/>
      <c r="JB100" s="93"/>
      <c r="JC100" s="93"/>
      <c r="JD100" s="93"/>
      <c r="JE100" s="20"/>
      <c r="JF100" s="29">
        <v>33</v>
      </c>
      <c r="JG100" s="19"/>
      <c r="JH100" s="93"/>
      <c r="JI100" s="93"/>
      <c r="JJ100" s="93"/>
      <c r="JK100" s="93"/>
      <c r="JL100" s="93"/>
      <c r="JM100" s="93"/>
      <c r="JN100" s="20"/>
      <c r="JO100" s="29">
        <v>33</v>
      </c>
      <c r="JP100" s="19"/>
      <c r="JQ100" s="93"/>
      <c r="JR100" s="93"/>
      <c r="JS100" s="93"/>
      <c r="JT100" s="93"/>
      <c r="JU100" s="20"/>
      <c r="JV100" s="29">
        <v>33</v>
      </c>
      <c r="JW100" s="1504">
        <v>37500</v>
      </c>
      <c r="JX100" s="19"/>
      <c r="JY100" s="93"/>
      <c r="JZ100" s="93"/>
      <c r="KA100" s="93"/>
      <c r="KB100" s="93"/>
      <c r="KC100" s="93"/>
      <c r="KD100" s="20"/>
      <c r="KE100" s="29">
        <v>33</v>
      </c>
      <c r="KF100" s="19"/>
      <c r="KG100" s="93"/>
      <c r="KH100" s="93"/>
      <c r="KI100" s="93"/>
      <c r="KJ100" s="93"/>
      <c r="KK100" s="20"/>
      <c r="KL100" s="29">
        <v>33</v>
      </c>
      <c r="KM100" s="19"/>
      <c r="KN100" s="93"/>
      <c r="KO100" s="93"/>
      <c r="KP100" s="93"/>
      <c r="KQ100" s="93"/>
      <c r="KR100" s="20"/>
      <c r="KS100" s="29">
        <v>33</v>
      </c>
      <c r="KT100" s="19"/>
      <c r="KU100" s="93"/>
      <c r="KV100" s="93"/>
      <c r="KW100" s="93"/>
      <c r="KX100" s="93"/>
      <c r="KY100" s="20"/>
      <c r="KZ100" s="29">
        <v>33</v>
      </c>
      <c r="LA100" s="1504">
        <v>37500</v>
      </c>
      <c r="LB100" s="19"/>
      <c r="LC100" s="93"/>
      <c r="LD100" s="93"/>
      <c r="LE100" s="93"/>
      <c r="LF100" s="93"/>
      <c r="LG100" s="93"/>
      <c r="LH100" s="20"/>
      <c r="LI100" s="29">
        <v>33</v>
      </c>
      <c r="LJ100" s="19"/>
      <c r="LK100" s="93"/>
      <c r="LL100" s="93"/>
      <c r="LM100" s="93"/>
      <c r="LN100" s="93"/>
      <c r="LO100" s="20"/>
      <c r="LP100" s="29">
        <v>33</v>
      </c>
      <c r="LQ100" s="19"/>
      <c r="LR100" s="93"/>
      <c r="LS100" s="93"/>
      <c r="LT100" s="93"/>
      <c r="LU100" s="93"/>
      <c r="LV100" s="93"/>
      <c r="LW100" s="93"/>
      <c r="LX100" s="93"/>
      <c r="LY100" s="93"/>
      <c r="LZ100" s="93"/>
      <c r="MA100" s="20"/>
      <c r="MB100" s="29">
        <v>33</v>
      </c>
      <c r="MC100" s="1504">
        <v>37500</v>
      </c>
      <c r="MD100" s="19"/>
      <c r="ME100" s="93"/>
      <c r="MF100" s="93"/>
      <c r="MG100" s="93"/>
      <c r="MH100" s="93"/>
      <c r="MI100" s="93"/>
      <c r="MJ100" s="93"/>
      <c r="MK100" s="93"/>
      <c r="ML100" s="93"/>
      <c r="MM100" s="93"/>
      <c r="MN100" s="93"/>
      <c r="MO100" s="93"/>
      <c r="MP100" s="93"/>
      <c r="MQ100" s="93"/>
      <c r="MR100" s="93"/>
      <c r="MS100" s="93"/>
      <c r="MT100" s="93"/>
      <c r="MU100" s="93"/>
      <c r="MV100" s="93"/>
      <c r="MW100" s="93"/>
      <c r="MX100" s="93"/>
      <c r="MY100" s="93"/>
      <c r="MZ100" s="93"/>
      <c r="NA100" s="93"/>
      <c r="NB100" s="93"/>
      <c r="NC100" s="93"/>
      <c r="ND100" s="93"/>
      <c r="NE100" s="93"/>
      <c r="NF100" s="93"/>
      <c r="NG100" s="93"/>
      <c r="NH100" s="93"/>
      <c r="NI100" s="93"/>
      <c r="NJ100" s="93"/>
      <c r="NK100" s="93"/>
      <c r="NL100" s="93"/>
      <c r="NM100" s="93"/>
      <c r="NN100" s="93"/>
      <c r="NO100" s="93"/>
      <c r="NP100" s="93"/>
      <c r="NQ100" s="93"/>
      <c r="NR100" s="93"/>
      <c r="NS100" s="93"/>
      <c r="NT100" s="93"/>
      <c r="NU100" s="93"/>
      <c r="NV100" s="93"/>
      <c r="NW100" s="93"/>
      <c r="NX100" s="93"/>
      <c r="NY100" s="93"/>
      <c r="NZ100" s="93"/>
      <c r="OA100" s="93"/>
      <c r="OB100" s="93"/>
      <c r="OC100" s="93"/>
      <c r="OD100" s="20"/>
      <c r="OE100" s="29">
        <v>33</v>
      </c>
      <c r="OF100" s="1504">
        <v>37500</v>
      </c>
      <c r="OG100" s="19"/>
      <c r="OH100" s="93"/>
      <c r="OI100" s="93"/>
      <c r="OJ100" s="93"/>
      <c r="OK100" s="93"/>
      <c r="OL100" s="93"/>
      <c r="OM100" s="93"/>
      <c r="ON100" s="93"/>
      <c r="OO100" s="93"/>
      <c r="OP100" s="93"/>
      <c r="OQ100" s="93"/>
      <c r="OR100" s="93"/>
      <c r="OS100" s="93"/>
      <c r="OT100" s="93"/>
      <c r="OU100" s="93"/>
      <c r="OV100" s="93"/>
      <c r="OW100" s="93"/>
      <c r="OX100" s="93"/>
      <c r="OY100" s="93"/>
      <c r="OZ100" s="93"/>
      <c r="PA100" s="93"/>
      <c r="PB100" s="93"/>
      <c r="PC100" s="20"/>
      <c r="PD100" s="29">
        <v>33</v>
      </c>
      <c r="PE100" s="19"/>
      <c r="PF100" s="93"/>
      <c r="PG100" s="93"/>
      <c r="PH100" s="93"/>
      <c r="PI100" s="93"/>
      <c r="PJ100" s="93"/>
      <c r="PK100" s="93"/>
      <c r="PL100" s="93"/>
      <c r="PM100" s="93"/>
      <c r="PN100" s="93"/>
      <c r="PO100" s="93"/>
      <c r="PP100" s="93"/>
      <c r="PQ100" s="93"/>
      <c r="PR100" s="93"/>
      <c r="PS100" s="93"/>
      <c r="PT100" s="93"/>
      <c r="PU100" s="93"/>
      <c r="PV100" s="93"/>
      <c r="PW100" s="93"/>
      <c r="PX100" s="93"/>
      <c r="PY100" s="93"/>
      <c r="PZ100" s="93"/>
      <c r="QA100" s="93"/>
      <c r="QB100" s="93"/>
      <c r="QC100" s="93"/>
      <c r="QD100" s="93"/>
      <c r="QE100" s="20"/>
      <c r="QF100" s="1739">
        <v>33</v>
      </c>
      <c r="QG100" s="19"/>
      <c r="QH100" s="93"/>
      <c r="QI100" s="93"/>
      <c r="QJ100" s="93"/>
      <c r="QK100" s="93"/>
      <c r="QL100" s="93"/>
      <c r="QM100" s="93"/>
      <c r="QN100" s="93"/>
      <c r="QO100" s="93"/>
      <c r="QP100" s="93"/>
      <c r="QQ100" s="93"/>
      <c r="QR100" s="93"/>
      <c r="QS100" s="93"/>
      <c r="QT100" s="93"/>
      <c r="QU100" s="93"/>
      <c r="QV100" s="93"/>
      <c r="QW100" s="93"/>
      <c r="QX100" s="93"/>
      <c r="QY100" s="93"/>
      <c r="QZ100" s="93"/>
      <c r="RA100" s="93"/>
      <c r="RB100" s="93"/>
      <c r="RC100" s="93"/>
      <c r="RD100" s="93"/>
      <c r="RE100" s="93"/>
      <c r="RF100" s="93"/>
      <c r="RG100" s="93"/>
      <c r="RH100" s="93"/>
      <c r="RI100" s="93"/>
      <c r="RJ100" s="93"/>
      <c r="RK100" s="93"/>
      <c r="RL100" s="93"/>
      <c r="RM100" s="20"/>
      <c r="RN100" s="29">
        <v>33</v>
      </c>
      <c r="RO100" s="19"/>
      <c r="RP100" s="20"/>
      <c r="RQ100" s="29">
        <v>33</v>
      </c>
      <c r="RR100" s="20"/>
      <c r="RS100" s="29">
        <v>33</v>
      </c>
      <c r="RT100" s="1504">
        <v>37500</v>
      </c>
      <c r="RU100" s="19"/>
      <c r="RV100" s="20"/>
      <c r="RW100" s="29">
        <v>33</v>
      </c>
      <c r="RX100" s="1504">
        <v>37500</v>
      </c>
      <c r="RY100" s="29"/>
      <c r="RZ100" s="20"/>
      <c r="SA100" s="29"/>
      <c r="SB100" s="29">
        <v>33</v>
      </c>
    </row>
    <row r="101" spans="1:496">
      <c r="A101" s="41">
        <f t="shared" si="187"/>
        <v>2002</v>
      </c>
      <c r="B101" s="1504">
        <v>37530</v>
      </c>
      <c r="C101" s="1813"/>
      <c r="D101" s="1814"/>
      <c r="E101" s="1814"/>
      <c r="F101" s="1815"/>
      <c r="G101" s="1814"/>
      <c r="H101" s="1814"/>
      <c r="I101" s="1814"/>
      <c r="J101" s="1816"/>
      <c r="K101" s="1807"/>
      <c r="L101" s="25">
        <v>34</v>
      </c>
      <c r="M101" s="97"/>
      <c r="N101" s="1504">
        <v>37530</v>
      </c>
      <c r="O101" s="19"/>
      <c r="P101" s="93"/>
      <c r="Q101" s="93"/>
      <c r="R101" s="93"/>
      <c r="S101" s="93"/>
      <c r="T101" s="93"/>
      <c r="U101" s="93"/>
      <c r="V101" s="93"/>
      <c r="W101" s="93"/>
      <c r="X101" s="93"/>
      <c r="Y101" s="93"/>
      <c r="Z101" s="93"/>
      <c r="AA101" s="93"/>
      <c r="AB101" s="20"/>
      <c r="AC101" s="25">
        <v>34</v>
      </c>
      <c r="AD101" s="97"/>
      <c r="AE101" s="1504">
        <v>37530</v>
      </c>
      <c r="AF101" s="19"/>
      <c r="AG101" s="93"/>
      <c r="AH101" s="93"/>
      <c r="AI101" s="93"/>
      <c r="AJ101" s="93"/>
      <c r="AK101" s="93"/>
      <c r="AL101" s="93"/>
      <c r="AM101" s="93"/>
      <c r="AN101" s="93"/>
      <c r="AO101" s="93"/>
      <c r="AP101" s="93"/>
      <c r="AQ101" s="93"/>
      <c r="AR101" s="93"/>
      <c r="AS101" s="20"/>
      <c r="AT101" s="25">
        <v>34</v>
      </c>
      <c r="AU101" s="97"/>
      <c r="AV101" s="1504">
        <v>37530</v>
      </c>
      <c r="AW101" s="19"/>
      <c r="AX101" s="93"/>
      <c r="AY101" s="93"/>
      <c r="AZ101" s="93"/>
      <c r="BA101" s="93"/>
      <c r="BB101" s="93"/>
      <c r="BC101" s="93"/>
      <c r="BD101" s="93"/>
      <c r="BE101" s="93"/>
      <c r="BF101" s="93"/>
      <c r="BG101" s="93"/>
      <c r="BH101" s="93"/>
      <c r="BI101" s="93"/>
      <c r="BJ101" s="20"/>
      <c r="BK101" s="25">
        <v>34</v>
      </c>
      <c r="BL101" s="97"/>
      <c r="BM101" s="1504">
        <v>37530</v>
      </c>
      <c r="BN101" s="19"/>
      <c r="BO101" s="93"/>
      <c r="BP101" s="93"/>
      <c r="BQ101" s="93"/>
      <c r="BR101" s="93"/>
      <c r="BS101" s="93"/>
      <c r="BT101" s="93"/>
      <c r="BU101" s="20"/>
      <c r="BV101" s="25">
        <v>34</v>
      </c>
      <c r="BW101" s="97"/>
      <c r="BX101" s="1504">
        <v>37530</v>
      </c>
      <c r="BY101" s="19"/>
      <c r="BZ101" s="99">
        <v>664.95699999999999</v>
      </c>
      <c r="CA101" s="93"/>
      <c r="CB101" s="93"/>
      <c r="CC101" s="93"/>
      <c r="CD101" s="25">
        <v>34</v>
      </c>
      <c r="CE101" s="97"/>
      <c r="CF101" s="1504">
        <v>37530</v>
      </c>
      <c r="CG101" s="19">
        <v>1.0928</v>
      </c>
      <c r="CH101" s="93">
        <v>316.56</v>
      </c>
      <c r="CI101" s="219"/>
      <c r="CJ101" s="20"/>
      <c r="CK101" s="19"/>
      <c r="CL101" s="93"/>
      <c r="CM101" s="93"/>
      <c r="CN101" s="93"/>
      <c r="CO101" s="93"/>
      <c r="CP101" s="20"/>
      <c r="CQ101" s="219">
        <v>816.19</v>
      </c>
      <c r="CR101" s="93">
        <v>1.5449999999999999</v>
      </c>
      <c r="CS101" s="93"/>
      <c r="CT101" s="93"/>
      <c r="CU101" s="93"/>
      <c r="CV101" s="214"/>
      <c r="CW101" s="29">
        <v>34</v>
      </c>
      <c r="CX101" s="41">
        <f t="shared" si="188"/>
        <v>2002</v>
      </c>
      <c r="CY101" s="1504">
        <v>37530</v>
      </c>
      <c r="CZ101" s="733">
        <v>39.793087999999997</v>
      </c>
      <c r="DA101" s="570">
        <v>29.136728000000002</v>
      </c>
      <c r="DB101" s="570">
        <v>10.656359999999999</v>
      </c>
      <c r="DC101" s="93"/>
      <c r="DD101" s="93"/>
      <c r="DE101" s="20"/>
      <c r="DF101" s="29">
        <v>34</v>
      </c>
      <c r="DG101" s="1504">
        <v>37530</v>
      </c>
      <c r="DH101" s="19"/>
      <c r="DI101" s="93"/>
      <c r="DJ101" s="93"/>
      <c r="DK101" s="93"/>
      <c r="DL101" s="93"/>
      <c r="DM101" s="93"/>
      <c r="DN101" s="20"/>
      <c r="DO101" s="25"/>
      <c r="DP101" s="29">
        <v>34</v>
      </c>
      <c r="DQ101" s="1504">
        <v>37530</v>
      </c>
      <c r="DR101" s="19"/>
      <c r="DS101" s="93"/>
      <c r="DT101" s="93"/>
      <c r="DU101" s="93"/>
      <c r="DV101" s="93"/>
      <c r="DW101" s="93"/>
      <c r="DX101" s="20"/>
      <c r="DY101" s="29">
        <v>34</v>
      </c>
      <c r="DZ101" s="1504">
        <v>37530</v>
      </c>
      <c r="EA101" s="19"/>
      <c r="EB101" s="93"/>
      <c r="EC101" s="20"/>
      <c r="ED101" s="29">
        <v>34</v>
      </c>
      <c r="EE101" s="1504">
        <v>37530</v>
      </c>
      <c r="EF101" s="19"/>
      <c r="EG101" s="93"/>
      <c r="EH101" s="93"/>
      <c r="EI101" s="214"/>
      <c r="EJ101" s="93"/>
      <c r="EK101" s="93"/>
      <c r="EL101" s="93"/>
      <c r="EM101" s="93"/>
      <c r="EN101" s="20"/>
      <c r="EO101" s="29">
        <v>34</v>
      </c>
      <c r="EP101" s="1504">
        <v>37530</v>
      </c>
      <c r="EQ101" s="19"/>
      <c r="ER101" s="93"/>
      <c r="ES101" s="93"/>
      <c r="ET101" s="214"/>
      <c r="EU101" s="93"/>
      <c r="EV101" s="93"/>
      <c r="EW101" s="93"/>
      <c r="EX101" s="93"/>
      <c r="EY101" s="20"/>
      <c r="EZ101" s="29">
        <v>34</v>
      </c>
      <c r="FA101" s="1504">
        <v>37530</v>
      </c>
      <c r="FB101" s="29"/>
      <c r="FC101" s="29"/>
      <c r="FD101" s="29"/>
      <c r="FE101" s="29"/>
      <c r="FF101" s="29"/>
      <c r="FG101" s="29"/>
      <c r="FH101" s="29"/>
      <c r="FI101" s="29"/>
      <c r="FJ101" s="29"/>
      <c r="FK101" s="29">
        <v>34</v>
      </c>
      <c r="FL101" s="1504">
        <v>37530</v>
      </c>
      <c r="FM101" s="19"/>
      <c r="FN101" s="93"/>
      <c r="FO101" s="93"/>
      <c r="FP101" s="93"/>
      <c r="FQ101" s="93"/>
      <c r="FR101" s="93"/>
      <c r="FS101" s="93"/>
      <c r="FT101" s="93"/>
      <c r="FU101" s="93"/>
      <c r="FV101" s="93"/>
      <c r="FW101" s="93"/>
      <c r="FX101" s="93"/>
      <c r="FY101" s="93"/>
      <c r="FZ101" s="29">
        <v>34</v>
      </c>
      <c r="GA101" s="1504">
        <v>37530</v>
      </c>
      <c r="GB101" s="19"/>
      <c r="GC101" s="93"/>
      <c r="GD101" s="93"/>
      <c r="GE101" s="93"/>
      <c r="GF101" s="93"/>
      <c r="GG101" s="93"/>
      <c r="GH101" s="93"/>
      <c r="GI101" s="93"/>
      <c r="GJ101" s="93"/>
      <c r="GK101" s="93"/>
      <c r="GL101" s="93"/>
      <c r="GM101" s="93"/>
      <c r="GN101" s="20"/>
      <c r="GO101" s="29">
        <v>34</v>
      </c>
      <c r="GP101" s="1504">
        <v>37530</v>
      </c>
      <c r="GQ101" s="19"/>
      <c r="GR101" s="93"/>
      <c r="GS101" s="93"/>
      <c r="GT101" s="93"/>
      <c r="GU101" s="93"/>
      <c r="GV101" s="20"/>
      <c r="GW101" s="19"/>
      <c r="GX101" s="93"/>
      <c r="GY101" s="93"/>
      <c r="GZ101" s="93"/>
      <c r="HA101" s="93"/>
      <c r="HB101" s="20"/>
      <c r="HC101" s="19"/>
      <c r="HD101" s="93"/>
      <c r="HE101" s="93"/>
      <c r="HF101" s="93"/>
      <c r="HG101" s="93"/>
      <c r="HH101" s="20"/>
      <c r="HI101" s="19"/>
      <c r="HJ101" s="93"/>
      <c r="HK101" s="93"/>
      <c r="HL101" s="93"/>
      <c r="HM101" s="93"/>
      <c r="HN101" s="20"/>
      <c r="HO101" s="219"/>
      <c r="HP101" s="20"/>
      <c r="HQ101" s="25"/>
      <c r="HR101" s="29">
        <v>34</v>
      </c>
      <c r="HS101" s="1504">
        <v>37530</v>
      </c>
      <c r="HT101" s="19"/>
      <c r="HU101" s="93"/>
      <c r="HV101" s="93"/>
      <c r="HW101" s="93"/>
      <c r="HX101" s="93"/>
      <c r="HY101" s="93"/>
      <c r="HZ101" s="93"/>
      <c r="IA101" s="20"/>
      <c r="IB101" s="19"/>
      <c r="IC101" s="93"/>
      <c r="ID101" s="93"/>
      <c r="IE101" s="93"/>
      <c r="IF101" s="93"/>
      <c r="IG101" s="20"/>
      <c r="IH101" s="19"/>
      <c r="II101" s="93"/>
      <c r="IJ101" s="93"/>
      <c r="IK101" s="93"/>
      <c r="IL101" s="93"/>
      <c r="IM101" s="93"/>
      <c r="IN101" s="93"/>
      <c r="IO101" s="20"/>
      <c r="IP101" s="29">
        <v>34</v>
      </c>
      <c r="IQ101" s="19"/>
      <c r="IR101" s="93"/>
      <c r="IS101" s="93"/>
      <c r="IT101" s="93"/>
      <c r="IU101" s="93"/>
      <c r="IV101" s="20"/>
      <c r="IW101" s="29">
        <v>34</v>
      </c>
      <c r="IX101" s="19"/>
      <c r="IY101" s="93"/>
      <c r="IZ101" s="93"/>
      <c r="JA101" s="93"/>
      <c r="JB101" s="93"/>
      <c r="JC101" s="93"/>
      <c r="JD101" s="93"/>
      <c r="JE101" s="20"/>
      <c r="JF101" s="29">
        <v>34</v>
      </c>
      <c r="JG101" s="19"/>
      <c r="JH101" s="93"/>
      <c r="JI101" s="93"/>
      <c r="JJ101" s="93"/>
      <c r="JK101" s="93"/>
      <c r="JL101" s="93"/>
      <c r="JM101" s="93"/>
      <c r="JN101" s="20"/>
      <c r="JO101" s="29">
        <v>34</v>
      </c>
      <c r="JP101" s="19"/>
      <c r="JQ101" s="93"/>
      <c r="JR101" s="93"/>
      <c r="JS101" s="93"/>
      <c r="JT101" s="93"/>
      <c r="JU101" s="20"/>
      <c r="JV101" s="29">
        <v>34</v>
      </c>
      <c r="JW101" s="1504">
        <v>37530</v>
      </c>
      <c r="JX101" s="19"/>
      <c r="JY101" s="93"/>
      <c r="JZ101" s="93"/>
      <c r="KA101" s="93"/>
      <c r="KB101" s="93"/>
      <c r="KC101" s="93"/>
      <c r="KD101" s="20"/>
      <c r="KE101" s="29">
        <v>34</v>
      </c>
      <c r="KF101" s="19"/>
      <c r="KG101" s="93"/>
      <c r="KH101" s="93"/>
      <c r="KI101" s="93"/>
      <c r="KJ101" s="93"/>
      <c r="KK101" s="20"/>
      <c r="KL101" s="29">
        <v>34</v>
      </c>
      <c r="KM101" s="19"/>
      <c r="KN101" s="93"/>
      <c r="KO101" s="93"/>
      <c r="KP101" s="93"/>
      <c r="KQ101" s="93"/>
      <c r="KR101" s="20"/>
      <c r="KS101" s="29">
        <v>34</v>
      </c>
      <c r="KT101" s="19"/>
      <c r="KU101" s="93"/>
      <c r="KV101" s="93"/>
      <c r="KW101" s="93"/>
      <c r="KX101" s="93"/>
      <c r="KY101" s="20"/>
      <c r="KZ101" s="29">
        <v>34</v>
      </c>
      <c r="LA101" s="1504">
        <v>37530</v>
      </c>
      <c r="LB101" s="19"/>
      <c r="LC101" s="93"/>
      <c r="LD101" s="93"/>
      <c r="LE101" s="93"/>
      <c r="LF101" s="93"/>
      <c r="LG101" s="93"/>
      <c r="LH101" s="20"/>
      <c r="LI101" s="29">
        <v>34</v>
      </c>
      <c r="LJ101" s="19"/>
      <c r="LK101" s="93"/>
      <c r="LL101" s="93"/>
      <c r="LM101" s="93"/>
      <c r="LN101" s="93"/>
      <c r="LO101" s="20"/>
      <c r="LP101" s="29">
        <v>34</v>
      </c>
      <c r="LQ101" s="19"/>
      <c r="LR101" s="93"/>
      <c r="LS101" s="93"/>
      <c r="LT101" s="93"/>
      <c r="LU101" s="93"/>
      <c r="LV101" s="93"/>
      <c r="LW101" s="93"/>
      <c r="LX101" s="93"/>
      <c r="LY101" s="93"/>
      <c r="LZ101" s="93"/>
      <c r="MA101" s="20"/>
      <c r="MB101" s="29">
        <v>34</v>
      </c>
      <c r="MC101" s="1504">
        <v>37530</v>
      </c>
      <c r="MD101" s="19"/>
      <c r="ME101" s="93"/>
      <c r="MF101" s="93"/>
      <c r="MG101" s="93"/>
      <c r="MH101" s="93"/>
      <c r="MI101" s="93"/>
      <c r="MJ101" s="93"/>
      <c r="MK101" s="93"/>
      <c r="ML101" s="93"/>
      <c r="MM101" s="93"/>
      <c r="MN101" s="93"/>
      <c r="MO101" s="93"/>
      <c r="MP101" s="93"/>
      <c r="MQ101" s="93"/>
      <c r="MR101" s="93"/>
      <c r="MS101" s="93"/>
      <c r="MT101" s="93"/>
      <c r="MU101" s="93"/>
      <c r="MV101" s="93"/>
      <c r="MW101" s="93"/>
      <c r="MX101" s="93"/>
      <c r="MY101" s="93"/>
      <c r="MZ101" s="93"/>
      <c r="NA101" s="93"/>
      <c r="NB101" s="93"/>
      <c r="NC101" s="93"/>
      <c r="ND101" s="93"/>
      <c r="NE101" s="93"/>
      <c r="NF101" s="93"/>
      <c r="NG101" s="93"/>
      <c r="NH101" s="93"/>
      <c r="NI101" s="93"/>
      <c r="NJ101" s="93"/>
      <c r="NK101" s="93"/>
      <c r="NL101" s="93"/>
      <c r="NM101" s="93"/>
      <c r="NN101" s="93"/>
      <c r="NO101" s="93"/>
      <c r="NP101" s="93"/>
      <c r="NQ101" s="93"/>
      <c r="NR101" s="93"/>
      <c r="NS101" s="93"/>
      <c r="NT101" s="93"/>
      <c r="NU101" s="93"/>
      <c r="NV101" s="93"/>
      <c r="NW101" s="93"/>
      <c r="NX101" s="93"/>
      <c r="NY101" s="93"/>
      <c r="NZ101" s="93"/>
      <c r="OA101" s="93"/>
      <c r="OB101" s="93"/>
      <c r="OC101" s="93"/>
      <c r="OD101" s="20"/>
      <c r="OE101" s="29">
        <v>34</v>
      </c>
      <c r="OF101" s="1504">
        <v>37530</v>
      </c>
      <c r="OG101" s="19"/>
      <c r="OH101" s="93"/>
      <c r="OI101" s="93"/>
      <c r="OJ101" s="93"/>
      <c r="OK101" s="93"/>
      <c r="OL101" s="93"/>
      <c r="OM101" s="93"/>
      <c r="ON101" s="93"/>
      <c r="OO101" s="93"/>
      <c r="OP101" s="93"/>
      <c r="OQ101" s="93"/>
      <c r="OR101" s="93"/>
      <c r="OS101" s="93"/>
      <c r="OT101" s="93"/>
      <c r="OU101" s="93"/>
      <c r="OV101" s="93"/>
      <c r="OW101" s="93"/>
      <c r="OX101" s="93"/>
      <c r="OY101" s="93"/>
      <c r="OZ101" s="93"/>
      <c r="PA101" s="93"/>
      <c r="PB101" s="93"/>
      <c r="PC101" s="20"/>
      <c r="PD101" s="29">
        <v>34</v>
      </c>
      <c r="PE101" s="19"/>
      <c r="PF101" s="93"/>
      <c r="PG101" s="93"/>
      <c r="PH101" s="93"/>
      <c r="PI101" s="93"/>
      <c r="PJ101" s="93"/>
      <c r="PK101" s="93"/>
      <c r="PL101" s="93"/>
      <c r="PM101" s="93"/>
      <c r="PN101" s="93"/>
      <c r="PO101" s="93"/>
      <c r="PP101" s="93"/>
      <c r="PQ101" s="93"/>
      <c r="PR101" s="93"/>
      <c r="PS101" s="93"/>
      <c r="PT101" s="93"/>
      <c r="PU101" s="93"/>
      <c r="PV101" s="93"/>
      <c r="PW101" s="93"/>
      <c r="PX101" s="93"/>
      <c r="PY101" s="93"/>
      <c r="PZ101" s="93"/>
      <c r="QA101" s="93"/>
      <c r="QB101" s="93"/>
      <c r="QC101" s="93"/>
      <c r="QD101" s="93"/>
      <c r="QE101" s="20"/>
      <c r="QF101" s="1739">
        <v>34</v>
      </c>
      <c r="QG101" s="19"/>
      <c r="QH101" s="93"/>
      <c r="QI101" s="93"/>
      <c r="QJ101" s="93"/>
      <c r="QK101" s="93"/>
      <c r="QL101" s="93"/>
      <c r="QM101" s="93"/>
      <c r="QN101" s="93"/>
      <c r="QO101" s="93"/>
      <c r="QP101" s="93"/>
      <c r="QQ101" s="93"/>
      <c r="QR101" s="93"/>
      <c r="QS101" s="93"/>
      <c r="QT101" s="93"/>
      <c r="QU101" s="93"/>
      <c r="QV101" s="93"/>
      <c r="QW101" s="93"/>
      <c r="QX101" s="93"/>
      <c r="QY101" s="93"/>
      <c r="QZ101" s="93"/>
      <c r="RA101" s="93"/>
      <c r="RB101" s="93"/>
      <c r="RC101" s="93"/>
      <c r="RD101" s="93"/>
      <c r="RE101" s="93"/>
      <c r="RF101" s="93"/>
      <c r="RG101" s="93"/>
      <c r="RH101" s="93"/>
      <c r="RI101" s="93"/>
      <c r="RJ101" s="93"/>
      <c r="RK101" s="93"/>
      <c r="RL101" s="93"/>
      <c r="RM101" s="20"/>
      <c r="RN101" s="29">
        <v>34</v>
      </c>
      <c r="RO101" s="19"/>
      <c r="RP101" s="20"/>
      <c r="RQ101" s="29">
        <v>34</v>
      </c>
      <c r="RR101" s="20"/>
      <c r="RS101" s="29">
        <v>34</v>
      </c>
      <c r="RT101" s="1504">
        <v>37530</v>
      </c>
      <c r="RU101" s="19"/>
      <c r="RV101" s="20"/>
      <c r="RW101" s="29">
        <v>34</v>
      </c>
      <c r="RX101" s="1504">
        <v>37530</v>
      </c>
      <c r="RY101" s="29"/>
      <c r="RZ101" s="20"/>
      <c r="SA101" s="29"/>
      <c r="SB101" s="29">
        <v>34</v>
      </c>
    </row>
    <row r="102" spans="1:496">
      <c r="A102" s="41">
        <f t="shared" si="187"/>
        <v>2002</v>
      </c>
      <c r="B102" s="1504">
        <v>37561</v>
      </c>
      <c r="C102" s="1813"/>
      <c r="D102" s="1814"/>
      <c r="E102" s="1814"/>
      <c r="F102" s="1815"/>
      <c r="G102" s="1814"/>
      <c r="H102" s="1814"/>
      <c r="I102" s="1814"/>
      <c r="J102" s="1816"/>
      <c r="K102" s="1807"/>
      <c r="L102" s="25">
        <v>35</v>
      </c>
      <c r="M102" s="97"/>
      <c r="N102" s="1504">
        <v>37561</v>
      </c>
      <c r="O102" s="19"/>
      <c r="P102" s="93"/>
      <c r="Q102" s="93"/>
      <c r="R102" s="93"/>
      <c r="S102" s="93"/>
      <c r="T102" s="93"/>
      <c r="U102" s="93"/>
      <c r="V102" s="93"/>
      <c r="W102" s="93"/>
      <c r="X102" s="93"/>
      <c r="Y102" s="93"/>
      <c r="Z102" s="93"/>
      <c r="AA102" s="93"/>
      <c r="AB102" s="20"/>
      <c r="AC102" s="25">
        <v>35</v>
      </c>
      <c r="AD102" s="97"/>
      <c r="AE102" s="1504">
        <v>37561</v>
      </c>
      <c r="AF102" s="19"/>
      <c r="AG102" s="93"/>
      <c r="AH102" s="93"/>
      <c r="AI102" s="93"/>
      <c r="AJ102" s="93"/>
      <c r="AK102" s="93"/>
      <c r="AL102" s="93"/>
      <c r="AM102" s="93"/>
      <c r="AN102" s="93"/>
      <c r="AO102" s="93"/>
      <c r="AP102" s="93"/>
      <c r="AQ102" s="93"/>
      <c r="AR102" s="93"/>
      <c r="AS102" s="20"/>
      <c r="AT102" s="25">
        <v>35</v>
      </c>
      <c r="AU102" s="97"/>
      <c r="AV102" s="1504">
        <v>37561</v>
      </c>
      <c r="AW102" s="19"/>
      <c r="AX102" s="93"/>
      <c r="AY102" s="93"/>
      <c r="AZ102" s="93"/>
      <c r="BA102" s="93"/>
      <c r="BB102" s="93"/>
      <c r="BC102" s="93"/>
      <c r="BD102" s="93"/>
      <c r="BE102" s="93"/>
      <c r="BF102" s="93"/>
      <c r="BG102" s="93"/>
      <c r="BH102" s="93"/>
      <c r="BI102" s="93"/>
      <c r="BJ102" s="20"/>
      <c r="BK102" s="25">
        <v>35</v>
      </c>
      <c r="BL102" s="97"/>
      <c r="BM102" s="1504">
        <v>37561</v>
      </c>
      <c r="BN102" s="19"/>
      <c r="BO102" s="93"/>
      <c r="BP102" s="93"/>
      <c r="BQ102" s="93"/>
      <c r="BR102" s="93"/>
      <c r="BS102" s="93"/>
      <c r="BT102" s="93"/>
      <c r="BU102" s="20"/>
      <c r="BV102" s="25">
        <v>35</v>
      </c>
      <c r="BW102" s="97"/>
      <c r="BX102" s="1504">
        <v>37561</v>
      </c>
      <c r="BY102" s="19"/>
      <c r="BZ102" s="99">
        <v>664.95699999999999</v>
      </c>
      <c r="CA102" s="93"/>
      <c r="CB102" s="93"/>
      <c r="CC102" s="93"/>
      <c r="CD102" s="25">
        <v>35</v>
      </c>
      <c r="CE102" s="97"/>
      <c r="CF102" s="1504">
        <v>37561</v>
      </c>
      <c r="CG102" s="19">
        <v>1.1484000000000001</v>
      </c>
      <c r="CH102" s="93">
        <v>319.07</v>
      </c>
      <c r="CI102" s="219"/>
      <c r="CJ102" s="20"/>
      <c r="CK102" s="19"/>
      <c r="CL102" s="93"/>
      <c r="CM102" s="93"/>
      <c r="CN102" s="93"/>
      <c r="CO102" s="93"/>
      <c r="CP102" s="20"/>
      <c r="CQ102" s="219">
        <v>870.83</v>
      </c>
      <c r="CR102" s="93">
        <v>1.5149999999999999</v>
      </c>
      <c r="CS102" s="93"/>
      <c r="CT102" s="93"/>
      <c r="CU102" s="93"/>
      <c r="CV102" s="214"/>
      <c r="CW102" s="29">
        <v>35</v>
      </c>
      <c r="CX102" s="41">
        <f t="shared" si="188"/>
        <v>2002</v>
      </c>
      <c r="CY102" s="1504">
        <v>37561</v>
      </c>
      <c r="CZ102" s="733">
        <v>33.259211000000001</v>
      </c>
      <c r="DA102" s="570">
        <v>21.171845999999999</v>
      </c>
      <c r="DB102" s="570">
        <v>12.087365</v>
      </c>
      <c r="DC102" s="93"/>
      <c r="DD102" s="93"/>
      <c r="DE102" s="20"/>
      <c r="DF102" s="29">
        <v>35</v>
      </c>
      <c r="DG102" s="1504">
        <v>37561</v>
      </c>
      <c r="DH102" s="19"/>
      <c r="DI102" s="93"/>
      <c r="DJ102" s="93"/>
      <c r="DK102" s="93"/>
      <c r="DL102" s="93"/>
      <c r="DM102" s="93"/>
      <c r="DN102" s="20"/>
      <c r="DO102" s="25"/>
      <c r="DP102" s="29">
        <v>35</v>
      </c>
      <c r="DQ102" s="1504">
        <v>37561</v>
      </c>
      <c r="DR102" s="19"/>
      <c r="DS102" s="93"/>
      <c r="DT102" s="93"/>
      <c r="DU102" s="93"/>
      <c r="DV102" s="93"/>
      <c r="DW102" s="93"/>
      <c r="DX102" s="20"/>
      <c r="DY102" s="29">
        <v>35</v>
      </c>
      <c r="DZ102" s="1504">
        <v>37561</v>
      </c>
      <c r="EA102" s="19"/>
      <c r="EB102" s="93"/>
      <c r="EC102" s="20"/>
      <c r="ED102" s="29">
        <v>35</v>
      </c>
      <c r="EE102" s="1504">
        <v>37561</v>
      </c>
      <c r="EF102" s="19"/>
      <c r="EG102" s="93"/>
      <c r="EH102" s="93"/>
      <c r="EI102" s="214"/>
      <c r="EJ102" s="93"/>
      <c r="EK102" s="93"/>
      <c r="EL102" s="93"/>
      <c r="EM102" s="93"/>
      <c r="EN102" s="20"/>
      <c r="EO102" s="29">
        <v>35</v>
      </c>
      <c r="EP102" s="1504">
        <v>37561</v>
      </c>
      <c r="EQ102" s="19"/>
      <c r="ER102" s="93"/>
      <c r="ES102" s="93"/>
      <c r="ET102" s="214"/>
      <c r="EU102" s="93"/>
      <c r="EV102" s="93"/>
      <c r="EW102" s="93"/>
      <c r="EX102" s="93"/>
      <c r="EY102" s="20"/>
      <c r="EZ102" s="29">
        <v>35</v>
      </c>
      <c r="FA102" s="1504">
        <v>37561</v>
      </c>
      <c r="FB102" s="29"/>
      <c r="FC102" s="29"/>
      <c r="FD102" s="29"/>
      <c r="FE102" s="29"/>
      <c r="FF102" s="29"/>
      <c r="FG102" s="29"/>
      <c r="FH102" s="29"/>
      <c r="FI102" s="29"/>
      <c r="FJ102" s="29"/>
      <c r="FK102" s="29">
        <v>35</v>
      </c>
      <c r="FL102" s="1504">
        <v>37561</v>
      </c>
      <c r="FM102" s="19"/>
      <c r="FN102" s="93"/>
      <c r="FO102" s="93"/>
      <c r="FP102" s="93"/>
      <c r="FQ102" s="93"/>
      <c r="FR102" s="93"/>
      <c r="FS102" s="93"/>
      <c r="FT102" s="93"/>
      <c r="FU102" s="93"/>
      <c r="FV102" s="93"/>
      <c r="FW102" s="93"/>
      <c r="FX102" s="93"/>
      <c r="FY102" s="93"/>
      <c r="FZ102" s="29">
        <v>35</v>
      </c>
      <c r="GA102" s="1504">
        <v>37561</v>
      </c>
      <c r="GB102" s="19"/>
      <c r="GC102" s="93"/>
      <c r="GD102" s="93"/>
      <c r="GE102" s="93"/>
      <c r="GF102" s="93"/>
      <c r="GG102" s="93"/>
      <c r="GH102" s="93"/>
      <c r="GI102" s="93"/>
      <c r="GJ102" s="93"/>
      <c r="GK102" s="93"/>
      <c r="GL102" s="93"/>
      <c r="GM102" s="93"/>
      <c r="GN102" s="20"/>
      <c r="GO102" s="29">
        <v>35</v>
      </c>
      <c r="GP102" s="1504">
        <v>37561</v>
      </c>
      <c r="GQ102" s="19"/>
      <c r="GR102" s="93"/>
      <c r="GS102" s="93"/>
      <c r="GT102" s="93"/>
      <c r="GU102" s="93"/>
      <c r="GV102" s="20"/>
      <c r="GW102" s="19"/>
      <c r="GX102" s="93"/>
      <c r="GY102" s="93"/>
      <c r="GZ102" s="93"/>
      <c r="HA102" s="93"/>
      <c r="HB102" s="20"/>
      <c r="HC102" s="19"/>
      <c r="HD102" s="93"/>
      <c r="HE102" s="93"/>
      <c r="HF102" s="93"/>
      <c r="HG102" s="93"/>
      <c r="HH102" s="20"/>
      <c r="HI102" s="19"/>
      <c r="HJ102" s="93"/>
      <c r="HK102" s="93"/>
      <c r="HL102" s="93"/>
      <c r="HM102" s="93"/>
      <c r="HN102" s="20"/>
      <c r="HO102" s="219"/>
      <c r="HP102" s="20"/>
      <c r="HQ102" s="25"/>
      <c r="HR102" s="29">
        <v>35</v>
      </c>
      <c r="HS102" s="1504">
        <v>37561</v>
      </c>
      <c r="HT102" s="19"/>
      <c r="HU102" s="93"/>
      <c r="HV102" s="93"/>
      <c r="HW102" s="93"/>
      <c r="HX102" s="93"/>
      <c r="HY102" s="93"/>
      <c r="HZ102" s="93"/>
      <c r="IA102" s="20"/>
      <c r="IB102" s="19"/>
      <c r="IC102" s="93"/>
      <c r="ID102" s="93"/>
      <c r="IE102" s="93"/>
      <c r="IF102" s="93"/>
      <c r="IG102" s="20"/>
      <c r="IH102" s="19"/>
      <c r="II102" s="93"/>
      <c r="IJ102" s="93"/>
      <c r="IK102" s="93"/>
      <c r="IL102" s="93"/>
      <c r="IM102" s="93"/>
      <c r="IN102" s="93"/>
      <c r="IO102" s="20"/>
      <c r="IP102" s="29">
        <v>35</v>
      </c>
      <c r="IQ102" s="19"/>
      <c r="IR102" s="93"/>
      <c r="IS102" s="93"/>
      <c r="IT102" s="93"/>
      <c r="IU102" s="93"/>
      <c r="IV102" s="20"/>
      <c r="IW102" s="29">
        <v>35</v>
      </c>
      <c r="IX102" s="19"/>
      <c r="IY102" s="93"/>
      <c r="IZ102" s="93"/>
      <c r="JA102" s="93"/>
      <c r="JB102" s="93"/>
      <c r="JC102" s="93"/>
      <c r="JD102" s="93"/>
      <c r="JE102" s="20"/>
      <c r="JF102" s="29">
        <v>35</v>
      </c>
      <c r="JG102" s="19"/>
      <c r="JH102" s="93"/>
      <c r="JI102" s="93"/>
      <c r="JJ102" s="93"/>
      <c r="JK102" s="93"/>
      <c r="JL102" s="93"/>
      <c r="JM102" s="93"/>
      <c r="JN102" s="20"/>
      <c r="JO102" s="29">
        <v>35</v>
      </c>
      <c r="JP102" s="19"/>
      <c r="JQ102" s="93"/>
      <c r="JR102" s="93"/>
      <c r="JS102" s="93"/>
      <c r="JT102" s="93"/>
      <c r="JU102" s="20"/>
      <c r="JV102" s="29">
        <v>35</v>
      </c>
      <c r="JW102" s="1504">
        <v>37561</v>
      </c>
      <c r="JX102" s="19"/>
      <c r="JY102" s="93"/>
      <c r="JZ102" s="93"/>
      <c r="KA102" s="93"/>
      <c r="KB102" s="93"/>
      <c r="KC102" s="93"/>
      <c r="KD102" s="20"/>
      <c r="KE102" s="29">
        <v>35</v>
      </c>
      <c r="KF102" s="19"/>
      <c r="KG102" s="93"/>
      <c r="KH102" s="93"/>
      <c r="KI102" s="93"/>
      <c r="KJ102" s="93"/>
      <c r="KK102" s="20"/>
      <c r="KL102" s="29">
        <v>35</v>
      </c>
      <c r="KM102" s="19"/>
      <c r="KN102" s="93"/>
      <c r="KO102" s="93"/>
      <c r="KP102" s="93"/>
      <c r="KQ102" s="93"/>
      <c r="KR102" s="20"/>
      <c r="KS102" s="29">
        <v>35</v>
      </c>
      <c r="KT102" s="19"/>
      <c r="KU102" s="93"/>
      <c r="KV102" s="93"/>
      <c r="KW102" s="93"/>
      <c r="KX102" s="93"/>
      <c r="KY102" s="20"/>
      <c r="KZ102" s="29">
        <v>35</v>
      </c>
      <c r="LA102" s="1504">
        <v>37561</v>
      </c>
      <c r="LB102" s="19"/>
      <c r="LC102" s="93"/>
      <c r="LD102" s="93"/>
      <c r="LE102" s="93"/>
      <c r="LF102" s="93"/>
      <c r="LG102" s="93"/>
      <c r="LH102" s="20"/>
      <c r="LI102" s="29">
        <v>35</v>
      </c>
      <c r="LJ102" s="19"/>
      <c r="LK102" s="93"/>
      <c r="LL102" s="93"/>
      <c r="LM102" s="93"/>
      <c r="LN102" s="93"/>
      <c r="LO102" s="20"/>
      <c r="LP102" s="29">
        <v>35</v>
      </c>
      <c r="LQ102" s="19"/>
      <c r="LR102" s="93"/>
      <c r="LS102" s="93"/>
      <c r="LT102" s="93"/>
      <c r="LU102" s="93"/>
      <c r="LV102" s="93"/>
      <c r="LW102" s="93"/>
      <c r="LX102" s="93"/>
      <c r="LY102" s="93"/>
      <c r="LZ102" s="93"/>
      <c r="MA102" s="20"/>
      <c r="MB102" s="29">
        <v>35</v>
      </c>
      <c r="MC102" s="1504">
        <v>37561</v>
      </c>
      <c r="MD102" s="19"/>
      <c r="ME102" s="93"/>
      <c r="MF102" s="93"/>
      <c r="MG102" s="93"/>
      <c r="MH102" s="93"/>
      <c r="MI102" s="93"/>
      <c r="MJ102" s="93"/>
      <c r="MK102" s="93"/>
      <c r="ML102" s="93"/>
      <c r="MM102" s="93"/>
      <c r="MN102" s="93"/>
      <c r="MO102" s="93"/>
      <c r="MP102" s="93"/>
      <c r="MQ102" s="93"/>
      <c r="MR102" s="93"/>
      <c r="MS102" s="93"/>
      <c r="MT102" s="93"/>
      <c r="MU102" s="93"/>
      <c r="MV102" s="93"/>
      <c r="MW102" s="93"/>
      <c r="MX102" s="93"/>
      <c r="MY102" s="93"/>
      <c r="MZ102" s="93"/>
      <c r="NA102" s="93"/>
      <c r="NB102" s="93"/>
      <c r="NC102" s="93"/>
      <c r="ND102" s="93"/>
      <c r="NE102" s="93"/>
      <c r="NF102" s="93"/>
      <c r="NG102" s="93"/>
      <c r="NH102" s="93"/>
      <c r="NI102" s="93"/>
      <c r="NJ102" s="93"/>
      <c r="NK102" s="93"/>
      <c r="NL102" s="93"/>
      <c r="NM102" s="93"/>
      <c r="NN102" s="93"/>
      <c r="NO102" s="93"/>
      <c r="NP102" s="93"/>
      <c r="NQ102" s="93"/>
      <c r="NR102" s="93"/>
      <c r="NS102" s="93"/>
      <c r="NT102" s="93"/>
      <c r="NU102" s="93"/>
      <c r="NV102" s="93"/>
      <c r="NW102" s="93"/>
      <c r="NX102" s="93"/>
      <c r="NY102" s="93"/>
      <c r="NZ102" s="93"/>
      <c r="OA102" s="93"/>
      <c r="OB102" s="93"/>
      <c r="OC102" s="93"/>
      <c r="OD102" s="20"/>
      <c r="OE102" s="29">
        <v>35</v>
      </c>
      <c r="OF102" s="1504">
        <v>37561</v>
      </c>
      <c r="OG102" s="19"/>
      <c r="OH102" s="93"/>
      <c r="OI102" s="93"/>
      <c r="OJ102" s="93"/>
      <c r="OK102" s="93"/>
      <c r="OL102" s="93"/>
      <c r="OM102" s="93"/>
      <c r="ON102" s="93"/>
      <c r="OO102" s="93"/>
      <c r="OP102" s="93"/>
      <c r="OQ102" s="93"/>
      <c r="OR102" s="93"/>
      <c r="OS102" s="93"/>
      <c r="OT102" s="93"/>
      <c r="OU102" s="93"/>
      <c r="OV102" s="93"/>
      <c r="OW102" s="93"/>
      <c r="OX102" s="93"/>
      <c r="OY102" s="93"/>
      <c r="OZ102" s="93"/>
      <c r="PA102" s="93"/>
      <c r="PB102" s="93"/>
      <c r="PC102" s="20"/>
      <c r="PD102" s="29">
        <v>35</v>
      </c>
      <c r="PE102" s="19"/>
      <c r="PF102" s="93"/>
      <c r="PG102" s="93"/>
      <c r="PH102" s="93"/>
      <c r="PI102" s="93"/>
      <c r="PJ102" s="93"/>
      <c r="PK102" s="93"/>
      <c r="PL102" s="93"/>
      <c r="PM102" s="93"/>
      <c r="PN102" s="93"/>
      <c r="PO102" s="93"/>
      <c r="PP102" s="93"/>
      <c r="PQ102" s="93"/>
      <c r="PR102" s="93"/>
      <c r="PS102" s="93"/>
      <c r="PT102" s="93"/>
      <c r="PU102" s="93"/>
      <c r="PV102" s="93"/>
      <c r="PW102" s="93"/>
      <c r="PX102" s="93"/>
      <c r="PY102" s="93"/>
      <c r="PZ102" s="93"/>
      <c r="QA102" s="93"/>
      <c r="QB102" s="93"/>
      <c r="QC102" s="93"/>
      <c r="QD102" s="93"/>
      <c r="QE102" s="20"/>
      <c r="QF102" s="1739">
        <v>35</v>
      </c>
      <c r="QG102" s="19"/>
      <c r="QH102" s="93"/>
      <c r="QI102" s="93"/>
      <c r="QJ102" s="93"/>
      <c r="QK102" s="93"/>
      <c r="QL102" s="93"/>
      <c r="QM102" s="93"/>
      <c r="QN102" s="93"/>
      <c r="QO102" s="93"/>
      <c r="QP102" s="93"/>
      <c r="QQ102" s="93"/>
      <c r="QR102" s="93"/>
      <c r="QS102" s="93"/>
      <c r="QT102" s="93"/>
      <c r="QU102" s="93"/>
      <c r="QV102" s="93"/>
      <c r="QW102" s="93"/>
      <c r="QX102" s="93"/>
      <c r="QY102" s="93"/>
      <c r="QZ102" s="93"/>
      <c r="RA102" s="93"/>
      <c r="RB102" s="93"/>
      <c r="RC102" s="93"/>
      <c r="RD102" s="93"/>
      <c r="RE102" s="93"/>
      <c r="RF102" s="93"/>
      <c r="RG102" s="93"/>
      <c r="RH102" s="93"/>
      <c r="RI102" s="93"/>
      <c r="RJ102" s="93"/>
      <c r="RK102" s="93"/>
      <c r="RL102" s="93"/>
      <c r="RM102" s="20"/>
      <c r="RN102" s="29">
        <v>35</v>
      </c>
      <c r="RO102" s="19"/>
      <c r="RP102" s="20"/>
      <c r="RQ102" s="29">
        <v>35</v>
      </c>
      <c r="RR102" s="20"/>
      <c r="RS102" s="29">
        <v>35</v>
      </c>
      <c r="RT102" s="1504">
        <v>37561</v>
      </c>
      <c r="RU102" s="19"/>
      <c r="RV102" s="20"/>
      <c r="RW102" s="29">
        <v>35</v>
      </c>
      <c r="RX102" s="1504">
        <v>37561</v>
      </c>
      <c r="RY102" s="29"/>
      <c r="RZ102" s="20"/>
      <c r="SA102" s="29"/>
      <c r="SB102" s="29">
        <v>35</v>
      </c>
    </row>
    <row r="103" spans="1:496">
      <c r="A103" s="41">
        <f t="shared" si="187"/>
        <v>2002</v>
      </c>
      <c r="B103" s="1504">
        <v>37591</v>
      </c>
      <c r="C103" s="1813"/>
      <c r="D103" s="1814"/>
      <c r="E103" s="1814"/>
      <c r="F103" s="1815"/>
      <c r="G103" s="1814"/>
      <c r="H103" s="1814"/>
      <c r="I103" s="1814"/>
      <c r="J103" s="1816"/>
      <c r="K103" s="1807"/>
      <c r="L103" s="25">
        <v>36</v>
      </c>
      <c r="M103" s="97"/>
      <c r="N103" s="1504">
        <v>37591</v>
      </c>
      <c r="O103" s="19"/>
      <c r="P103" s="93"/>
      <c r="Q103" s="93"/>
      <c r="R103" s="93"/>
      <c r="S103" s="93"/>
      <c r="T103" s="93"/>
      <c r="U103" s="93"/>
      <c r="V103" s="93"/>
      <c r="W103" s="93"/>
      <c r="X103" s="93"/>
      <c r="Y103" s="93"/>
      <c r="Z103" s="93"/>
      <c r="AA103" s="93"/>
      <c r="AB103" s="20"/>
      <c r="AC103" s="25">
        <v>36</v>
      </c>
      <c r="AD103" s="97"/>
      <c r="AE103" s="1504">
        <v>37591</v>
      </c>
      <c r="AF103" s="19"/>
      <c r="AG103" s="93"/>
      <c r="AH103" s="93"/>
      <c r="AI103" s="93"/>
      <c r="AJ103" s="93"/>
      <c r="AK103" s="93"/>
      <c r="AL103" s="93"/>
      <c r="AM103" s="93"/>
      <c r="AN103" s="93"/>
      <c r="AO103" s="93"/>
      <c r="AP103" s="93"/>
      <c r="AQ103" s="93"/>
      <c r="AR103" s="93"/>
      <c r="AS103" s="20"/>
      <c r="AT103" s="25">
        <v>36</v>
      </c>
      <c r="AU103" s="97"/>
      <c r="AV103" s="1504">
        <v>37591</v>
      </c>
      <c r="AW103" s="19"/>
      <c r="AX103" s="93"/>
      <c r="AY103" s="93"/>
      <c r="AZ103" s="93"/>
      <c r="BA103" s="93"/>
      <c r="BB103" s="93"/>
      <c r="BC103" s="93"/>
      <c r="BD103" s="93"/>
      <c r="BE103" s="93"/>
      <c r="BF103" s="93"/>
      <c r="BG103" s="93"/>
      <c r="BH103" s="93"/>
      <c r="BI103" s="93"/>
      <c r="BJ103" s="20"/>
      <c r="BK103" s="25">
        <v>36</v>
      </c>
      <c r="BL103" s="97"/>
      <c r="BM103" s="1504">
        <v>37591</v>
      </c>
      <c r="BN103" s="19"/>
      <c r="BO103" s="93"/>
      <c r="BP103" s="93"/>
      <c r="BQ103" s="93"/>
      <c r="BR103" s="93"/>
      <c r="BS103" s="93"/>
      <c r="BT103" s="93"/>
      <c r="BU103" s="20"/>
      <c r="BV103" s="25">
        <v>36</v>
      </c>
      <c r="BW103" s="97"/>
      <c r="BX103" s="1504">
        <v>37591</v>
      </c>
      <c r="BY103" s="19"/>
      <c r="BZ103" s="99">
        <v>664.95699999999999</v>
      </c>
      <c r="CA103" s="93"/>
      <c r="CB103" s="93"/>
      <c r="CC103" s="93"/>
      <c r="CD103" s="25">
        <v>36</v>
      </c>
      <c r="CE103" s="97"/>
      <c r="CF103" s="1504">
        <v>37591</v>
      </c>
      <c r="CG103" s="19">
        <v>1.2182999999999999</v>
      </c>
      <c r="CH103" s="93">
        <v>331.92</v>
      </c>
      <c r="CI103" s="219"/>
      <c r="CJ103" s="20"/>
      <c r="CK103" s="19"/>
      <c r="CL103" s="93"/>
      <c r="CM103" s="93"/>
      <c r="CN103" s="93"/>
      <c r="CO103" s="93"/>
      <c r="CP103" s="20"/>
      <c r="CQ103" s="219">
        <v>952</v>
      </c>
      <c r="CR103" s="93">
        <v>1.4724999999999999</v>
      </c>
      <c r="CS103" s="93"/>
      <c r="CT103" s="93"/>
      <c r="CU103" s="93"/>
      <c r="CV103" s="214"/>
      <c r="CW103" s="29">
        <v>36</v>
      </c>
      <c r="CX103" s="41">
        <f t="shared" si="188"/>
        <v>2002</v>
      </c>
      <c r="CY103" s="1504">
        <v>37591</v>
      </c>
      <c r="CZ103" s="733">
        <v>32.080388999999997</v>
      </c>
      <c r="DA103" s="570">
        <v>18.837216999999999</v>
      </c>
      <c r="DB103" s="570">
        <v>13.243171999999999</v>
      </c>
      <c r="DC103" s="93"/>
      <c r="DD103" s="93"/>
      <c r="DE103" s="20"/>
      <c r="DF103" s="29">
        <v>36</v>
      </c>
      <c r="DG103" s="1504">
        <v>37591</v>
      </c>
      <c r="DH103" s="19"/>
      <c r="DI103" s="93"/>
      <c r="DJ103" s="93"/>
      <c r="DK103" s="93"/>
      <c r="DL103" s="93"/>
      <c r="DM103" s="93"/>
      <c r="DN103" s="20"/>
      <c r="DO103" s="25"/>
      <c r="DP103" s="29">
        <v>36</v>
      </c>
      <c r="DQ103" s="1504">
        <v>37591</v>
      </c>
      <c r="DR103" s="19"/>
      <c r="DS103" s="93"/>
      <c r="DT103" s="93"/>
      <c r="DU103" s="93"/>
      <c r="DV103" s="93"/>
      <c r="DW103" s="93"/>
      <c r="DX103" s="20"/>
      <c r="DY103" s="29">
        <v>36</v>
      </c>
      <c r="DZ103" s="1504">
        <v>37591</v>
      </c>
      <c r="EA103" s="19"/>
      <c r="EB103" s="93"/>
      <c r="EC103" s="20"/>
      <c r="ED103" s="29">
        <v>36</v>
      </c>
      <c r="EE103" s="1504">
        <v>37591</v>
      </c>
      <c r="EF103" s="19"/>
      <c r="EG103" s="93"/>
      <c r="EH103" s="93"/>
      <c r="EI103" s="214"/>
      <c r="EJ103" s="93"/>
      <c r="EK103" s="93"/>
      <c r="EL103" s="93"/>
      <c r="EM103" s="93"/>
      <c r="EN103" s="20"/>
      <c r="EO103" s="29">
        <v>36</v>
      </c>
      <c r="EP103" s="1504">
        <v>37591</v>
      </c>
      <c r="EQ103" s="19"/>
      <c r="ER103" s="93"/>
      <c r="ES103" s="93"/>
      <c r="ET103" s="214"/>
      <c r="EU103" s="93"/>
      <c r="EV103" s="93"/>
      <c r="EW103" s="93"/>
      <c r="EX103" s="93"/>
      <c r="EY103" s="20"/>
      <c r="EZ103" s="29">
        <v>36</v>
      </c>
      <c r="FA103" s="1504">
        <v>37591</v>
      </c>
      <c r="FB103" s="29"/>
      <c r="FC103" s="29"/>
      <c r="FD103" s="29"/>
      <c r="FE103" s="29"/>
      <c r="FF103" s="29"/>
      <c r="FG103" s="29"/>
      <c r="FH103" s="29"/>
      <c r="FI103" s="29"/>
      <c r="FJ103" s="29"/>
      <c r="FK103" s="29">
        <v>36</v>
      </c>
      <c r="FL103" s="1504">
        <v>37591</v>
      </c>
      <c r="FM103" s="19"/>
      <c r="FN103" s="93"/>
      <c r="FO103" s="93"/>
      <c r="FP103" s="93"/>
      <c r="FQ103" s="93"/>
      <c r="FR103" s="93"/>
      <c r="FS103" s="93"/>
      <c r="FT103" s="93"/>
      <c r="FU103" s="93"/>
      <c r="FV103" s="93"/>
      <c r="FW103" s="93"/>
      <c r="FX103" s="93"/>
      <c r="FY103" s="93"/>
      <c r="FZ103" s="29">
        <v>36</v>
      </c>
      <c r="GA103" s="1504">
        <v>37591</v>
      </c>
      <c r="GB103" s="19"/>
      <c r="GC103" s="93"/>
      <c r="GD103" s="93"/>
      <c r="GE103" s="93"/>
      <c r="GF103" s="93"/>
      <c r="GG103" s="93"/>
      <c r="GH103" s="93"/>
      <c r="GI103" s="93"/>
      <c r="GJ103" s="93"/>
      <c r="GK103" s="93"/>
      <c r="GL103" s="93"/>
      <c r="GM103" s="93"/>
      <c r="GN103" s="20"/>
      <c r="GO103" s="29">
        <v>36</v>
      </c>
      <c r="GP103" s="1504">
        <v>37591</v>
      </c>
      <c r="GQ103" s="19"/>
      <c r="GR103" s="93"/>
      <c r="GS103" s="93"/>
      <c r="GT103" s="93"/>
      <c r="GU103" s="93"/>
      <c r="GV103" s="20"/>
      <c r="GW103" s="19"/>
      <c r="GX103" s="93"/>
      <c r="GY103" s="93"/>
      <c r="GZ103" s="93"/>
      <c r="HA103" s="93"/>
      <c r="HB103" s="20"/>
      <c r="HC103" s="19"/>
      <c r="HD103" s="93"/>
      <c r="HE103" s="93"/>
      <c r="HF103" s="93"/>
      <c r="HG103" s="93"/>
      <c r="HH103" s="20"/>
      <c r="HI103" s="19"/>
      <c r="HJ103" s="93"/>
      <c r="HK103" s="93"/>
      <c r="HL103" s="93"/>
      <c r="HM103" s="93"/>
      <c r="HN103" s="20"/>
      <c r="HO103" s="219"/>
      <c r="HP103" s="20"/>
      <c r="HQ103" s="25"/>
      <c r="HR103" s="29">
        <v>36</v>
      </c>
      <c r="HS103" s="1504">
        <v>37591</v>
      </c>
      <c r="HT103" s="19"/>
      <c r="HU103" s="93"/>
      <c r="HV103" s="93"/>
      <c r="HW103" s="93"/>
      <c r="HX103" s="93"/>
      <c r="HY103" s="93"/>
      <c r="HZ103" s="93"/>
      <c r="IA103" s="20"/>
      <c r="IB103" s="19"/>
      <c r="IC103" s="93"/>
      <c r="ID103" s="93"/>
      <c r="IE103" s="93"/>
      <c r="IF103" s="93"/>
      <c r="IG103" s="20"/>
      <c r="IH103" s="19"/>
      <c r="II103" s="93"/>
      <c r="IJ103" s="93"/>
      <c r="IK103" s="93"/>
      <c r="IL103" s="93"/>
      <c r="IM103" s="93"/>
      <c r="IN103" s="93"/>
      <c r="IO103" s="20"/>
      <c r="IP103" s="29">
        <v>36</v>
      </c>
      <c r="IQ103" s="19"/>
      <c r="IR103" s="93"/>
      <c r="IS103" s="93"/>
      <c r="IT103" s="93"/>
      <c r="IU103" s="93"/>
      <c r="IV103" s="20"/>
      <c r="IW103" s="29">
        <v>36</v>
      </c>
      <c r="IX103" s="19"/>
      <c r="IY103" s="93"/>
      <c r="IZ103" s="93"/>
      <c r="JA103" s="93"/>
      <c r="JB103" s="93"/>
      <c r="JC103" s="93"/>
      <c r="JD103" s="93"/>
      <c r="JE103" s="20"/>
      <c r="JF103" s="29">
        <v>36</v>
      </c>
      <c r="JG103" s="19"/>
      <c r="JH103" s="93"/>
      <c r="JI103" s="93"/>
      <c r="JJ103" s="93"/>
      <c r="JK103" s="93"/>
      <c r="JL103" s="93"/>
      <c r="JM103" s="93"/>
      <c r="JN103" s="20"/>
      <c r="JO103" s="29">
        <v>36</v>
      </c>
      <c r="JP103" s="19"/>
      <c r="JQ103" s="93"/>
      <c r="JR103" s="93"/>
      <c r="JS103" s="93"/>
      <c r="JT103" s="93"/>
      <c r="JU103" s="20"/>
      <c r="JV103" s="29">
        <v>36</v>
      </c>
      <c r="JW103" s="1504">
        <v>37591</v>
      </c>
      <c r="JX103" s="19"/>
      <c r="JY103" s="93"/>
      <c r="JZ103" s="93"/>
      <c r="KA103" s="93"/>
      <c r="KB103" s="93"/>
      <c r="KC103" s="93"/>
      <c r="KD103" s="20"/>
      <c r="KE103" s="29">
        <v>36</v>
      </c>
      <c r="KF103" s="19"/>
      <c r="KG103" s="93"/>
      <c r="KH103" s="93"/>
      <c r="KI103" s="93"/>
      <c r="KJ103" s="93"/>
      <c r="KK103" s="20"/>
      <c r="KL103" s="29">
        <v>36</v>
      </c>
      <c r="KM103" s="19"/>
      <c r="KN103" s="93"/>
      <c r="KO103" s="93"/>
      <c r="KP103" s="93"/>
      <c r="KQ103" s="93"/>
      <c r="KR103" s="20"/>
      <c r="KS103" s="29">
        <v>36</v>
      </c>
      <c r="KT103" s="19"/>
      <c r="KU103" s="93"/>
      <c r="KV103" s="93"/>
      <c r="KW103" s="93"/>
      <c r="KX103" s="93"/>
      <c r="KY103" s="20"/>
      <c r="KZ103" s="29">
        <v>36</v>
      </c>
      <c r="LA103" s="1504">
        <v>37591</v>
      </c>
      <c r="LB103" s="19"/>
      <c r="LC103" s="93"/>
      <c r="LD103" s="93"/>
      <c r="LE103" s="93"/>
      <c r="LF103" s="93"/>
      <c r="LG103" s="93"/>
      <c r="LH103" s="20"/>
      <c r="LI103" s="29">
        <v>36</v>
      </c>
      <c r="LJ103" s="19"/>
      <c r="LK103" s="93"/>
      <c r="LL103" s="93"/>
      <c r="LM103" s="93"/>
      <c r="LN103" s="93"/>
      <c r="LO103" s="20"/>
      <c r="LP103" s="29">
        <v>36</v>
      </c>
      <c r="LQ103" s="19"/>
      <c r="LR103" s="93"/>
      <c r="LS103" s="93"/>
      <c r="LT103" s="93"/>
      <c r="LU103" s="93"/>
      <c r="LV103" s="93"/>
      <c r="LW103" s="93"/>
      <c r="LX103" s="93"/>
      <c r="LY103" s="93"/>
      <c r="LZ103" s="93"/>
      <c r="MA103" s="20"/>
      <c r="MB103" s="29">
        <v>36</v>
      </c>
      <c r="MC103" s="1504">
        <v>37591</v>
      </c>
      <c r="MD103" s="19"/>
      <c r="ME103" s="93"/>
      <c r="MF103" s="93"/>
      <c r="MG103" s="93"/>
      <c r="MH103" s="93"/>
      <c r="MI103" s="93"/>
      <c r="MJ103" s="93"/>
      <c r="MK103" s="93"/>
      <c r="ML103" s="93"/>
      <c r="MM103" s="93"/>
      <c r="MN103" s="93"/>
      <c r="MO103" s="93"/>
      <c r="MP103" s="93"/>
      <c r="MQ103" s="93"/>
      <c r="MR103" s="93"/>
      <c r="MS103" s="93"/>
      <c r="MT103" s="93"/>
      <c r="MU103" s="93"/>
      <c r="MV103" s="93"/>
      <c r="MW103" s="93"/>
      <c r="MX103" s="93"/>
      <c r="MY103" s="93"/>
      <c r="MZ103" s="93"/>
      <c r="NA103" s="93"/>
      <c r="NB103" s="93"/>
      <c r="NC103" s="93"/>
      <c r="ND103" s="93"/>
      <c r="NE103" s="93"/>
      <c r="NF103" s="93"/>
      <c r="NG103" s="93"/>
      <c r="NH103" s="93"/>
      <c r="NI103" s="93"/>
      <c r="NJ103" s="93"/>
      <c r="NK103" s="93"/>
      <c r="NL103" s="93"/>
      <c r="NM103" s="93"/>
      <c r="NN103" s="93"/>
      <c r="NO103" s="93"/>
      <c r="NP103" s="93"/>
      <c r="NQ103" s="93"/>
      <c r="NR103" s="93"/>
      <c r="NS103" s="93"/>
      <c r="NT103" s="93"/>
      <c r="NU103" s="93"/>
      <c r="NV103" s="93"/>
      <c r="NW103" s="93"/>
      <c r="NX103" s="93"/>
      <c r="NY103" s="93"/>
      <c r="NZ103" s="93"/>
      <c r="OA103" s="93"/>
      <c r="OB103" s="93"/>
      <c r="OC103" s="93"/>
      <c r="OD103" s="20"/>
      <c r="OE103" s="29">
        <v>36</v>
      </c>
      <c r="OF103" s="1504">
        <v>37591</v>
      </c>
      <c r="OG103" s="19"/>
      <c r="OH103" s="93"/>
      <c r="OI103" s="93"/>
      <c r="OJ103" s="93"/>
      <c r="OK103" s="93"/>
      <c r="OL103" s="93"/>
      <c r="OM103" s="93"/>
      <c r="ON103" s="93"/>
      <c r="OO103" s="93"/>
      <c r="OP103" s="93"/>
      <c r="OQ103" s="93"/>
      <c r="OR103" s="93"/>
      <c r="OS103" s="93"/>
      <c r="OT103" s="93"/>
      <c r="OU103" s="93"/>
      <c r="OV103" s="93"/>
      <c r="OW103" s="93"/>
      <c r="OX103" s="93"/>
      <c r="OY103" s="93"/>
      <c r="OZ103" s="93"/>
      <c r="PA103" s="93"/>
      <c r="PB103" s="93"/>
      <c r="PC103" s="20"/>
      <c r="PD103" s="29">
        <v>36</v>
      </c>
      <c r="PE103" s="19"/>
      <c r="PF103" s="93"/>
      <c r="PG103" s="93"/>
      <c r="PH103" s="93"/>
      <c r="PI103" s="93"/>
      <c r="PJ103" s="93"/>
      <c r="PK103" s="93"/>
      <c r="PL103" s="93"/>
      <c r="PM103" s="93"/>
      <c r="PN103" s="93"/>
      <c r="PO103" s="93"/>
      <c r="PP103" s="93"/>
      <c r="PQ103" s="93"/>
      <c r="PR103" s="93"/>
      <c r="PS103" s="93"/>
      <c r="PT103" s="93"/>
      <c r="PU103" s="93"/>
      <c r="PV103" s="93"/>
      <c r="PW103" s="93"/>
      <c r="PX103" s="93"/>
      <c r="PY103" s="93"/>
      <c r="PZ103" s="93"/>
      <c r="QA103" s="93"/>
      <c r="QB103" s="93"/>
      <c r="QC103" s="93"/>
      <c r="QD103" s="93"/>
      <c r="QE103" s="20"/>
      <c r="QF103" s="1739">
        <v>36</v>
      </c>
      <c r="QG103" s="19"/>
      <c r="QH103" s="93"/>
      <c r="QI103" s="93"/>
      <c r="QJ103" s="93"/>
      <c r="QK103" s="93"/>
      <c r="QL103" s="93"/>
      <c r="QM103" s="93"/>
      <c r="QN103" s="93"/>
      <c r="QO103" s="93"/>
      <c r="QP103" s="93"/>
      <c r="QQ103" s="93"/>
      <c r="QR103" s="93"/>
      <c r="QS103" s="93"/>
      <c r="QT103" s="93"/>
      <c r="QU103" s="93"/>
      <c r="QV103" s="93"/>
      <c r="QW103" s="93"/>
      <c r="QX103" s="93"/>
      <c r="QY103" s="93"/>
      <c r="QZ103" s="93"/>
      <c r="RA103" s="93"/>
      <c r="RB103" s="93"/>
      <c r="RC103" s="93"/>
      <c r="RD103" s="93"/>
      <c r="RE103" s="93"/>
      <c r="RF103" s="93"/>
      <c r="RG103" s="93"/>
      <c r="RH103" s="93"/>
      <c r="RI103" s="93"/>
      <c r="RJ103" s="93"/>
      <c r="RK103" s="93"/>
      <c r="RL103" s="93"/>
      <c r="RM103" s="20"/>
      <c r="RN103" s="29">
        <v>36</v>
      </c>
      <c r="RO103" s="19"/>
      <c r="RP103" s="20"/>
      <c r="RQ103" s="29">
        <v>36</v>
      </c>
      <c r="RR103" s="20"/>
      <c r="RS103" s="29">
        <v>36</v>
      </c>
      <c r="RT103" s="1504">
        <v>37591</v>
      </c>
      <c r="RU103" s="19"/>
      <c r="RV103" s="20"/>
      <c r="RW103" s="29">
        <v>36</v>
      </c>
      <c r="RX103" s="1504">
        <v>37591</v>
      </c>
      <c r="RY103" s="29"/>
      <c r="RZ103" s="20"/>
      <c r="SA103" s="29"/>
      <c r="SB103" s="29">
        <v>36</v>
      </c>
    </row>
    <row r="104" spans="1:496">
      <c r="A104" s="41">
        <f t="shared" si="187"/>
        <v>2003</v>
      </c>
      <c r="B104" s="1504">
        <v>37622</v>
      </c>
      <c r="C104" s="1813"/>
      <c r="D104" s="1814"/>
      <c r="E104" s="1814"/>
      <c r="F104" s="1815"/>
      <c r="G104" s="1814"/>
      <c r="H104" s="1814"/>
      <c r="I104" s="1814"/>
      <c r="J104" s="1816"/>
      <c r="K104" s="1807"/>
      <c r="L104" s="25">
        <v>37</v>
      </c>
      <c r="M104" s="97"/>
      <c r="N104" s="1504">
        <v>37622</v>
      </c>
      <c r="O104" s="19"/>
      <c r="P104" s="93"/>
      <c r="Q104" s="93"/>
      <c r="R104" s="93"/>
      <c r="S104" s="93"/>
      <c r="T104" s="93"/>
      <c r="U104" s="93"/>
      <c r="V104" s="93"/>
      <c r="W104" s="93"/>
      <c r="X104" s="93"/>
      <c r="Y104" s="93"/>
      <c r="Z104" s="93"/>
      <c r="AA104" s="93"/>
      <c r="AB104" s="20"/>
      <c r="AC104" s="25">
        <v>37</v>
      </c>
      <c r="AD104" s="97"/>
      <c r="AE104" s="1504">
        <v>37622</v>
      </c>
      <c r="AF104" s="19"/>
      <c r="AG104" s="93"/>
      <c r="AH104" s="93"/>
      <c r="AI104" s="93"/>
      <c r="AJ104" s="93"/>
      <c r="AK104" s="93"/>
      <c r="AL104" s="93"/>
      <c r="AM104" s="93"/>
      <c r="AN104" s="93"/>
      <c r="AO104" s="93"/>
      <c r="AP104" s="93"/>
      <c r="AQ104" s="93"/>
      <c r="AR104" s="93"/>
      <c r="AS104" s="20"/>
      <c r="AT104" s="25">
        <v>37</v>
      </c>
      <c r="AU104" s="97"/>
      <c r="AV104" s="1504">
        <v>37622</v>
      </c>
      <c r="AW104" s="19"/>
      <c r="AX104" s="93"/>
      <c r="AY104" s="93"/>
      <c r="AZ104" s="93"/>
      <c r="BA104" s="93"/>
      <c r="BB104" s="93"/>
      <c r="BC104" s="93"/>
      <c r="BD104" s="93"/>
      <c r="BE104" s="93"/>
      <c r="BF104" s="93"/>
      <c r="BG104" s="93"/>
      <c r="BH104" s="93"/>
      <c r="BI104" s="93"/>
      <c r="BJ104" s="20"/>
      <c r="BK104" s="25">
        <v>37</v>
      </c>
      <c r="BL104" s="97"/>
      <c r="BM104" s="1504">
        <v>37622</v>
      </c>
      <c r="BN104" s="19"/>
      <c r="BO104" s="93"/>
      <c r="BP104" s="93"/>
      <c r="BQ104" s="93"/>
      <c r="BR104" s="93"/>
      <c r="BS104" s="93"/>
      <c r="BT104" s="93"/>
      <c r="BU104" s="20"/>
      <c r="BV104" s="25">
        <v>37</v>
      </c>
      <c r="BW104" s="97"/>
      <c r="BX104" s="1504">
        <v>37622</v>
      </c>
      <c r="BY104" s="19"/>
      <c r="BZ104" s="99">
        <v>664.95699999999999</v>
      </c>
      <c r="CA104" s="93"/>
      <c r="CB104" s="93"/>
      <c r="CC104" s="93"/>
      <c r="CD104" s="25">
        <v>37</v>
      </c>
      <c r="CE104" s="97"/>
      <c r="CF104" s="1504">
        <v>37622</v>
      </c>
      <c r="CG104" s="19">
        <v>1.2501150000000001</v>
      </c>
      <c r="CH104" s="93">
        <v>356.85899999999998</v>
      </c>
      <c r="CI104" s="219"/>
      <c r="CJ104" s="20"/>
      <c r="CK104" s="19"/>
      <c r="CL104" s="93"/>
      <c r="CM104" s="93"/>
      <c r="CN104" s="93"/>
      <c r="CO104" s="93"/>
      <c r="CP104" s="20"/>
      <c r="CQ104" s="219">
        <v>970.03</v>
      </c>
      <c r="CR104" s="93">
        <v>1.5075000000000001</v>
      </c>
      <c r="CS104" s="93"/>
      <c r="CT104" s="93"/>
      <c r="CU104" s="93"/>
      <c r="CV104" s="214"/>
      <c r="CW104" s="29">
        <v>37</v>
      </c>
      <c r="CX104" s="41">
        <f t="shared" si="188"/>
        <v>2003</v>
      </c>
      <c r="CY104" s="1504">
        <v>37622</v>
      </c>
      <c r="CZ104" s="733">
        <v>34.594276000000001</v>
      </c>
      <c r="DA104" s="570">
        <v>21.085649</v>
      </c>
      <c r="DB104" s="570">
        <v>13.508627000000001</v>
      </c>
      <c r="DC104" s="93"/>
      <c r="DD104" s="93"/>
      <c r="DE104" s="20"/>
      <c r="DF104" s="29">
        <v>37</v>
      </c>
      <c r="DG104" s="1504">
        <v>37622</v>
      </c>
      <c r="DH104" s="19"/>
      <c r="DI104" s="93"/>
      <c r="DJ104" s="93"/>
      <c r="DK104" s="93"/>
      <c r="DL104" s="93"/>
      <c r="DM104" s="93"/>
      <c r="DN104" s="20"/>
      <c r="DO104" s="25"/>
      <c r="DP104" s="29">
        <v>37</v>
      </c>
      <c r="DQ104" s="1504">
        <v>37622</v>
      </c>
      <c r="DR104" s="19"/>
      <c r="DS104" s="93"/>
      <c r="DT104" s="93"/>
      <c r="DU104" s="93"/>
      <c r="DV104" s="93"/>
      <c r="DW104" s="93"/>
      <c r="DX104" s="20"/>
      <c r="DY104" s="29">
        <v>37</v>
      </c>
      <c r="DZ104" s="1504">
        <v>37622</v>
      </c>
      <c r="EA104" s="19"/>
      <c r="EB104" s="93"/>
      <c r="EC104" s="20"/>
      <c r="ED104" s="29">
        <v>37</v>
      </c>
      <c r="EE104" s="1504">
        <v>37622</v>
      </c>
      <c r="EF104" s="19"/>
      <c r="EG104" s="93"/>
      <c r="EH104" s="93"/>
      <c r="EI104" s="214"/>
      <c r="EJ104" s="93"/>
      <c r="EK104" s="93"/>
      <c r="EL104" s="93"/>
      <c r="EM104" s="93"/>
      <c r="EN104" s="20"/>
      <c r="EO104" s="29">
        <v>37</v>
      </c>
      <c r="EP104" s="1504">
        <v>37622</v>
      </c>
      <c r="EQ104" s="19"/>
      <c r="ER104" s="93"/>
      <c r="ES104" s="93"/>
      <c r="ET104" s="214"/>
      <c r="EU104" s="93"/>
      <c r="EV104" s="93"/>
      <c r="EW104" s="93"/>
      <c r="EX104" s="93"/>
      <c r="EY104" s="20"/>
      <c r="EZ104" s="29">
        <v>37</v>
      </c>
      <c r="FA104" s="1504">
        <v>37622</v>
      </c>
      <c r="FB104" s="29"/>
      <c r="FC104" s="29"/>
      <c r="FD104" s="29"/>
      <c r="FE104" s="29"/>
      <c r="FF104" s="29"/>
      <c r="FG104" s="29"/>
      <c r="FH104" s="29"/>
      <c r="FI104" s="29"/>
      <c r="FJ104" s="29"/>
      <c r="FK104" s="29">
        <v>37</v>
      </c>
      <c r="FL104" s="1504">
        <v>37622</v>
      </c>
      <c r="FM104" s="19"/>
      <c r="FN104" s="93"/>
      <c r="FO104" s="93"/>
      <c r="FP104" s="93"/>
      <c r="FQ104" s="93"/>
      <c r="FR104" s="93"/>
      <c r="FS104" s="93"/>
      <c r="FT104" s="93"/>
      <c r="FU104" s="93"/>
      <c r="FV104" s="93"/>
      <c r="FW104" s="93"/>
      <c r="FX104" s="93"/>
      <c r="FY104" s="93"/>
      <c r="FZ104" s="29">
        <v>37</v>
      </c>
      <c r="GA104" s="1504">
        <v>37622</v>
      </c>
      <c r="GB104" s="19"/>
      <c r="GC104" s="93"/>
      <c r="GD104" s="93"/>
      <c r="GE104" s="93"/>
      <c r="GF104" s="93"/>
      <c r="GG104" s="93"/>
      <c r="GH104" s="93"/>
      <c r="GI104" s="93"/>
      <c r="GJ104" s="93"/>
      <c r="GK104" s="93"/>
      <c r="GL104" s="93"/>
      <c r="GM104" s="93"/>
      <c r="GN104" s="20"/>
      <c r="GO104" s="29">
        <v>37</v>
      </c>
      <c r="GP104" s="1504">
        <v>37622</v>
      </c>
      <c r="GQ104" s="19"/>
      <c r="GR104" s="93"/>
      <c r="GS104" s="93"/>
      <c r="GT104" s="93"/>
      <c r="GU104" s="93"/>
      <c r="GV104" s="20"/>
      <c r="GW104" s="19"/>
      <c r="GX104" s="93"/>
      <c r="GY104" s="93"/>
      <c r="GZ104" s="93"/>
      <c r="HA104" s="93"/>
      <c r="HB104" s="20"/>
      <c r="HC104" s="19"/>
      <c r="HD104" s="93"/>
      <c r="HE104" s="93"/>
      <c r="HF104" s="93"/>
      <c r="HG104" s="93"/>
      <c r="HH104" s="20"/>
      <c r="HI104" s="19"/>
      <c r="HJ104" s="93"/>
      <c r="HK104" s="93"/>
      <c r="HL104" s="93"/>
      <c r="HM104" s="93"/>
      <c r="HN104" s="20"/>
      <c r="HO104" s="219"/>
      <c r="HP104" s="20"/>
      <c r="HQ104" s="25"/>
      <c r="HR104" s="29">
        <v>37</v>
      </c>
      <c r="HS104" s="1504">
        <v>37622</v>
      </c>
      <c r="HT104" s="19"/>
      <c r="HU104" s="93"/>
      <c r="HV104" s="93"/>
      <c r="HW104" s="93"/>
      <c r="HX104" s="93"/>
      <c r="HY104" s="93"/>
      <c r="HZ104" s="93"/>
      <c r="IA104" s="20"/>
      <c r="IB104" s="19"/>
      <c r="IC104" s="93"/>
      <c r="ID104" s="93"/>
      <c r="IE104" s="93"/>
      <c r="IF104" s="93"/>
      <c r="IG104" s="20"/>
      <c r="IH104" s="19"/>
      <c r="II104" s="93"/>
      <c r="IJ104" s="93"/>
      <c r="IK104" s="93"/>
      <c r="IL104" s="93"/>
      <c r="IM104" s="93"/>
      <c r="IN104" s="93"/>
      <c r="IO104" s="20"/>
      <c r="IP104" s="29">
        <v>37</v>
      </c>
      <c r="IQ104" s="19"/>
      <c r="IR104" s="93"/>
      <c r="IS104" s="93"/>
      <c r="IT104" s="93"/>
      <c r="IU104" s="93"/>
      <c r="IV104" s="20"/>
      <c r="IW104" s="29">
        <v>37</v>
      </c>
      <c r="IX104" s="19"/>
      <c r="IY104" s="93"/>
      <c r="IZ104" s="93"/>
      <c r="JA104" s="93"/>
      <c r="JB104" s="93"/>
      <c r="JC104" s="93"/>
      <c r="JD104" s="93"/>
      <c r="JE104" s="20"/>
      <c r="JF104" s="29">
        <v>37</v>
      </c>
      <c r="JG104" s="19"/>
      <c r="JH104" s="93"/>
      <c r="JI104" s="93"/>
      <c r="JJ104" s="93"/>
      <c r="JK104" s="93"/>
      <c r="JL104" s="93"/>
      <c r="JM104" s="93"/>
      <c r="JN104" s="20"/>
      <c r="JO104" s="29">
        <v>37</v>
      </c>
      <c r="JP104" s="19"/>
      <c r="JQ104" s="93"/>
      <c r="JR104" s="93"/>
      <c r="JS104" s="93"/>
      <c r="JT104" s="93"/>
      <c r="JU104" s="20"/>
      <c r="JV104" s="29">
        <v>37</v>
      </c>
      <c r="JW104" s="1504">
        <v>37622</v>
      </c>
      <c r="JX104" s="19"/>
      <c r="JY104" s="93"/>
      <c r="JZ104" s="93"/>
      <c r="KA104" s="93"/>
      <c r="KB104" s="93"/>
      <c r="KC104" s="93"/>
      <c r="KD104" s="20"/>
      <c r="KE104" s="29">
        <v>37</v>
      </c>
      <c r="KF104" s="19"/>
      <c r="KG104" s="93"/>
      <c r="KH104" s="93"/>
      <c r="KI104" s="93"/>
      <c r="KJ104" s="93"/>
      <c r="KK104" s="20"/>
      <c r="KL104" s="29">
        <v>37</v>
      </c>
      <c r="KM104" s="19"/>
      <c r="KN104" s="93"/>
      <c r="KO104" s="93"/>
      <c r="KP104" s="93"/>
      <c r="KQ104" s="93"/>
      <c r="KR104" s="20"/>
      <c r="KS104" s="29">
        <v>37</v>
      </c>
      <c r="KT104" s="19"/>
      <c r="KU104" s="93"/>
      <c r="KV104" s="93"/>
      <c r="KW104" s="93"/>
      <c r="KX104" s="93"/>
      <c r="KY104" s="20"/>
      <c r="KZ104" s="29">
        <v>37</v>
      </c>
      <c r="LA104" s="1504">
        <v>37622</v>
      </c>
      <c r="LB104" s="19"/>
      <c r="LC104" s="93"/>
      <c r="LD104" s="93"/>
      <c r="LE104" s="93"/>
      <c r="LF104" s="93"/>
      <c r="LG104" s="93"/>
      <c r="LH104" s="20"/>
      <c r="LI104" s="29">
        <v>37</v>
      </c>
      <c r="LJ104" s="19"/>
      <c r="LK104" s="93"/>
      <c r="LL104" s="93"/>
      <c r="LM104" s="93"/>
      <c r="LN104" s="93"/>
      <c r="LO104" s="20"/>
      <c r="LP104" s="29">
        <v>37</v>
      </c>
      <c r="LQ104" s="19"/>
      <c r="LR104" s="93"/>
      <c r="LS104" s="93"/>
      <c r="LT104" s="93"/>
      <c r="LU104" s="93"/>
      <c r="LV104" s="93"/>
      <c r="LW104" s="93"/>
      <c r="LX104" s="93"/>
      <c r="LY104" s="93"/>
      <c r="LZ104" s="93"/>
      <c r="MA104" s="20"/>
      <c r="MB104" s="29">
        <v>37</v>
      </c>
      <c r="MC104" s="1504">
        <v>37622</v>
      </c>
      <c r="MD104" s="19"/>
      <c r="ME104" s="93"/>
      <c r="MF104" s="93"/>
      <c r="MG104" s="93"/>
      <c r="MH104" s="93"/>
      <c r="MI104" s="93"/>
      <c r="MJ104" s="93"/>
      <c r="MK104" s="93"/>
      <c r="ML104" s="93"/>
      <c r="MM104" s="93"/>
      <c r="MN104" s="93"/>
      <c r="MO104" s="93"/>
      <c r="MP104" s="93"/>
      <c r="MQ104" s="93"/>
      <c r="MR104" s="93"/>
      <c r="MS104" s="93"/>
      <c r="MT104" s="93"/>
      <c r="MU104" s="93"/>
      <c r="MV104" s="93"/>
      <c r="MW104" s="93"/>
      <c r="MX104" s="93"/>
      <c r="MY104" s="93"/>
      <c r="MZ104" s="93"/>
      <c r="NA104" s="93"/>
      <c r="NB104" s="93"/>
      <c r="NC104" s="93"/>
      <c r="ND104" s="93"/>
      <c r="NE104" s="93"/>
      <c r="NF104" s="93"/>
      <c r="NG104" s="93"/>
      <c r="NH104" s="93"/>
      <c r="NI104" s="93"/>
      <c r="NJ104" s="93"/>
      <c r="NK104" s="93"/>
      <c r="NL104" s="93"/>
      <c r="NM104" s="93"/>
      <c r="NN104" s="93"/>
      <c r="NO104" s="93"/>
      <c r="NP104" s="93"/>
      <c r="NQ104" s="93"/>
      <c r="NR104" s="93"/>
      <c r="NS104" s="93"/>
      <c r="NT104" s="93"/>
      <c r="NU104" s="93"/>
      <c r="NV104" s="93"/>
      <c r="NW104" s="93"/>
      <c r="NX104" s="93"/>
      <c r="NY104" s="93"/>
      <c r="NZ104" s="93"/>
      <c r="OA104" s="93"/>
      <c r="OB104" s="93"/>
      <c r="OC104" s="93"/>
      <c r="OD104" s="20"/>
      <c r="OE104" s="29">
        <v>37</v>
      </c>
      <c r="OF104" s="1504">
        <v>37622</v>
      </c>
      <c r="OG104" s="19"/>
      <c r="OH104" s="93"/>
      <c r="OI104" s="93"/>
      <c r="OJ104" s="93"/>
      <c r="OK104" s="93"/>
      <c r="OL104" s="93"/>
      <c r="OM104" s="93"/>
      <c r="ON104" s="93"/>
      <c r="OO104" s="93"/>
      <c r="OP104" s="93"/>
      <c r="OQ104" s="93"/>
      <c r="OR104" s="93"/>
      <c r="OS104" s="93"/>
      <c r="OT104" s="93"/>
      <c r="OU104" s="93"/>
      <c r="OV104" s="93"/>
      <c r="OW104" s="93"/>
      <c r="OX104" s="93"/>
      <c r="OY104" s="93"/>
      <c r="OZ104" s="93"/>
      <c r="PA104" s="93"/>
      <c r="PB104" s="93"/>
      <c r="PC104" s="20"/>
      <c r="PD104" s="29">
        <v>37</v>
      </c>
      <c r="PE104" s="19"/>
      <c r="PF104" s="93"/>
      <c r="PG104" s="93"/>
      <c r="PH104" s="93"/>
      <c r="PI104" s="93"/>
      <c r="PJ104" s="93"/>
      <c r="PK104" s="93"/>
      <c r="PL104" s="93"/>
      <c r="PM104" s="93"/>
      <c r="PN104" s="93"/>
      <c r="PO104" s="93"/>
      <c r="PP104" s="93"/>
      <c r="PQ104" s="93"/>
      <c r="PR104" s="93"/>
      <c r="PS104" s="93"/>
      <c r="PT104" s="93"/>
      <c r="PU104" s="93"/>
      <c r="PV104" s="93"/>
      <c r="PW104" s="93"/>
      <c r="PX104" s="93"/>
      <c r="PY104" s="93"/>
      <c r="PZ104" s="93"/>
      <c r="QA104" s="93"/>
      <c r="QB104" s="93"/>
      <c r="QC104" s="93"/>
      <c r="QD104" s="93"/>
      <c r="QE104" s="20"/>
      <c r="QF104" s="1739">
        <v>37</v>
      </c>
      <c r="QG104" s="19"/>
      <c r="QH104" s="93"/>
      <c r="QI104" s="93"/>
      <c r="QJ104" s="93"/>
      <c r="QK104" s="93"/>
      <c r="QL104" s="93"/>
      <c r="QM104" s="93"/>
      <c r="QN104" s="93"/>
      <c r="QO104" s="93"/>
      <c r="QP104" s="93"/>
      <c r="QQ104" s="93"/>
      <c r="QR104" s="93"/>
      <c r="QS104" s="93"/>
      <c r="QT104" s="93"/>
      <c r="QU104" s="93"/>
      <c r="QV104" s="93"/>
      <c r="QW104" s="93"/>
      <c r="QX104" s="93"/>
      <c r="QY104" s="93"/>
      <c r="QZ104" s="93"/>
      <c r="RA104" s="93"/>
      <c r="RB104" s="93"/>
      <c r="RC104" s="93"/>
      <c r="RD104" s="93"/>
      <c r="RE104" s="93"/>
      <c r="RF104" s="93"/>
      <c r="RG104" s="93"/>
      <c r="RH104" s="93"/>
      <c r="RI104" s="93"/>
      <c r="RJ104" s="93"/>
      <c r="RK104" s="93"/>
      <c r="RL104" s="93"/>
      <c r="RM104" s="20"/>
      <c r="RN104" s="29">
        <v>37</v>
      </c>
      <c r="RO104" s="19"/>
      <c r="RP104" s="20"/>
      <c r="RQ104" s="29">
        <v>37</v>
      </c>
      <c r="RR104" s="20"/>
      <c r="RS104" s="29">
        <v>37</v>
      </c>
      <c r="RT104" s="1504">
        <v>37622</v>
      </c>
      <c r="RU104" s="19"/>
      <c r="RV104" s="20"/>
      <c r="RW104" s="29">
        <v>37</v>
      </c>
      <c r="RX104" s="1504">
        <v>37622</v>
      </c>
      <c r="RY104" s="29"/>
      <c r="RZ104" s="20"/>
      <c r="SA104" s="29"/>
      <c r="SB104" s="29">
        <v>37</v>
      </c>
    </row>
    <row r="105" spans="1:496">
      <c r="A105" s="41">
        <f t="shared" si="187"/>
        <v>2003</v>
      </c>
      <c r="B105" s="1504">
        <v>37653</v>
      </c>
      <c r="C105" s="1813"/>
      <c r="D105" s="1814"/>
      <c r="E105" s="1814"/>
      <c r="F105" s="1815"/>
      <c r="G105" s="1814"/>
      <c r="H105" s="1814"/>
      <c r="I105" s="1814"/>
      <c r="J105" s="1816"/>
      <c r="K105" s="1807"/>
      <c r="L105" s="25">
        <v>38</v>
      </c>
      <c r="M105" s="97"/>
      <c r="N105" s="1504">
        <v>37653</v>
      </c>
      <c r="O105" s="19"/>
      <c r="P105" s="93"/>
      <c r="Q105" s="93"/>
      <c r="R105" s="93"/>
      <c r="S105" s="93"/>
      <c r="T105" s="93"/>
      <c r="U105" s="93"/>
      <c r="V105" s="93"/>
      <c r="W105" s="93"/>
      <c r="X105" s="93"/>
      <c r="Y105" s="93"/>
      <c r="Z105" s="93"/>
      <c r="AA105" s="93"/>
      <c r="AB105" s="20"/>
      <c r="AC105" s="25">
        <v>38</v>
      </c>
      <c r="AD105" s="97"/>
      <c r="AE105" s="1504">
        <v>37653</v>
      </c>
      <c r="AF105" s="19"/>
      <c r="AG105" s="93"/>
      <c r="AH105" s="93"/>
      <c r="AI105" s="93"/>
      <c r="AJ105" s="93"/>
      <c r="AK105" s="93"/>
      <c r="AL105" s="93"/>
      <c r="AM105" s="93"/>
      <c r="AN105" s="93"/>
      <c r="AO105" s="93"/>
      <c r="AP105" s="93"/>
      <c r="AQ105" s="93"/>
      <c r="AR105" s="93"/>
      <c r="AS105" s="20"/>
      <c r="AT105" s="25">
        <v>38</v>
      </c>
      <c r="AU105" s="97"/>
      <c r="AV105" s="1504">
        <v>37653</v>
      </c>
      <c r="AW105" s="19"/>
      <c r="AX105" s="93"/>
      <c r="AY105" s="93"/>
      <c r="AZ105" s="93"/>
      <c r="BA105" s="93"/>
      <c r="BB105" s="93"/>
      <c r="BC105" s="93"/>
      <c r="BD105" s="93"/>
      <c r="BE105" s="93"/>
      <c r="BF105" s="93"/>
      <c r="BG105" s="93"/>
      <c r="BH105" s="93"/>
      <c r="BI105" s="93"/>
      <c r="BJ105" s="20"/>
      <c r="BK105" s="25">
        <v>38</v>
      </c>
      <c r="BL105" s="97"/>
      <c r="BM105" s="1504">
        <v>37653</v>
      </c>
      <c r="BN105" s="19"/>
      <c r="BO105" s="93"/>
      <c r="BP105" s="93"/>
      <c r="BQ105" s="93"/>
      <c r="BR105" s="93"/>
      <c r="BS105" s="93"/>
      <c r="BT105" s="93"/>
      <c r="BU105" s="20"/>
      <c r="BV105" s="25">
        <v>38</v>
      </c>
      <c r="BW105" s="97"/>
      <c r="BX105" s="1504">
        <v>37653</v>
      </c>
      <c r="BY105" s="19"/>
      <c r="BZ105" s="99">
        <v>664.95699999999999</v>
      </c>
      <c r="CA105" s="93"/>
      <c r="CB105" s="93"/>
      <c r="CC105" s="93"/>
      <c r="CD105" s="25">
        <v>38</v>
      </c>
      <c r="CE105" s="97"/>
      <c r="CF105" s="1504">
        <v>37653</v>
      </c>
      <c r="CG105" s="19">
        <v>1.2928519999999999</v>
      </c>
      <c r="CH105" s="93">
        <v>358.97</v>
      </c>
      <c r="CI105" s="219"/>
      <c r="CJ105" s="20"/>
      <c r="CK105" s="19"/>
      <c r="CL105" s="93"/>
      <c r="CM105" s="93"/>
      <c r="CN105" s="93"/>
      <c r="CO105" s="93"/>
      <c r="CP105" s="20"/>
      <c r="CQ105" s="219">
        <v>1016.45</v>
      </c>
      <c r="CR105" s="93">
        <v>1.43</v>
      </c>
      <c r="CS105" s="93"/>
      <c r="CT105" s="93"/>
      <c r="CU105" s="93"/>
      <c r="CV105" s="214"/>
      <c r="CW105" s="29">
        <v>38</v>
      </c>
      <c r="CX105" s="41">
        <f t="shared" si="188"/>
        <v>2003</v>
      </c>
      <c r="CY105" s="1504">
        <v>37653</v>
      </c>
      <c r="CZ105" s="733">
        <v>33.300443000000001</v>
      </c>
      <c r="DA105" s="570">
        <v>19.409336</v>
      </c>
      <c r="DB105" s="570">
        <v>13.891107</v>
      </c>
      <c r="DC105" s="93"/>
      <c r="DD105" s="93"/>
      <c r="DE105" s="20"/>
      <c r="DF105" s="29">
        <v>38</v>
      </c>
      <c r="DG105" s="1504">
        <v>37653</v>
      </c>
      <c r="DH105" s="19"/>
      <c r="DI105" s="93"/>
      <c r="DJ105" s="93"/>
      <c r="DK105" s="93"/>
      <c r="DL105" s="93"/>
      <c r="DM105" s="93"/>
      <c r="DN105" s="20"/>
      <c r="DO105" s="25"/>
      <c r="DP105" s="29">
        <v>38</v>
      </c>
      <c r="DQ105" s="1504">
        <v>37653</v>
      </c>
      <c r="DR105" s="19"/>
      <c r="DS105" s="93"/>
      <c r="DT105" s="93"/>
      <c r="DU105" s="93"/>
      <c r="DV105" s="93"/>
      <c r="DW105" s="93"/>
      <c r="DX105" s="20"/>
      <c r="DY105" s="29">
        <v>38</v>
      </c>
      <c r="DZ105" s="1504">
        <v>37653</v>
      </c>
      <c r="EA105" s="19"/>
      <c r="EB105" s="93"/>
      <c r="EC105" s="20"/>
      <c r="ED105" s="29">
        <v>38</v>
      </c>
      <c r="EE105" s="1504">
        <v>37653</v>
      </c>
      <c r="EF105" s="19"/>
      <c r="EG105" s="93"/>
      <c r="EH105" s="93"/>
      <c r="EI105" s="214"/>
      <c r="EJ105" s="93"/>
      <c r="EK105" s="93"/>
      <c r="EL105" s="93"/>
      <c r="EM105" s="93"/>
      <c r="EN105" s="20"/>
      <c r="EO105" s="29">
        <v>38</v>
      </c>
      <c r="EP105" s="1504">
        <v>37653</v>
      </c>
      <c r="EQ105" s="19"/>
      <c r="ER105" s="93"/>
      <c r="ES105" s="93"/>
      <c r="ET105" s="214"/>
      <c r="EU105" s="93"/>
      <c r="EV105" s="93"/>
      <c r="EW105" s="93"/>
      <c r="EX105" s="93"/>
      <c r="EY105" s="20"/>
      <c r="EZ105" s="29">
        <v>38</v>
      </c>
      <c r="FA105" s="1504">
        <v>37653</v>
      </c>
      <c r="FB105" s="29"/>
      <c r="FC105" s="29"/>
      <c r="FD105" s="29"/>
      <c r="FE105" s="29"/>
      <c r="FF105" s="29"/>
      <c r="FG105" s="29"/>
      <c r="FH105" s="29"/>
      <c r="FI105" s="29"/>
      <c r="FJ105" s="29"/>
      <c r="FK105" s="29">
        <v>38</v>
      </c>
      <c r="FL105" s="1504">
        <v>37653</v>
      </c>
      <c r="FM105" s="19"/>
      <c r="FN105" s="93"/>
      <c r="FO105" s="93"/>
      <c r="FP105" s="93"/>
      <c r="FQ105" s="93"/>
      <c r="FR105" s="93"/>
      <c r="FS105" s="93"/>
      <c r="FT105" s="93"/>
      <c r="FU105" s="93"/>
      <c r="FV105" s="93"/>
      <c r="FW105" s="93"/>
      <c r="FX105" s="93"/>
      <c r="FY105" s="93"/>
      <c r="FZ105" s="29">
        <v>38</v>
      </c>
      <c r="GA105" s="1504">
        <v>37653</v>
      </c>
      <c r="GB105" s="19"/>
      <c r="GC105" s="93"/>
      <c r="GD105" s="93"/>
      <c r="GE105" s="93"/>
      <c r="GF105" s="93"/>
      <c r="GG105" s="93"/>
      <c r="GH105" s="93"/>
      <c r="GI105" s="93"/>
      <c r="GJ105" s="93"/>
      <c r="GK105" s="93"/>
      <c r="GL105" s="93"/>
      <c r="GM105" s="93"/>
      <c r="GN105" s="20"/>
      <c r="GO105" s="29">
        <v>38</v>
      </c>
      <c r="GP105" s="1504">
        <v>37653</v>
      </c>
      <c r="GQ105" s="19"/>
      <c r="GR105" s="93"/>
      <c r="GS105" s="93"/>
      <c r="GT105" s="93"/>
      <c r="GU105" s="93"/>
      <c r="GV105" s="20"/>
      <c r="GW105" s="19"/>
      <c r="GX105" s="93"/>
      <c r="GY105" s="93"/>
      <c r="GZ105" s="93"/>
      <c r="HA105" s="93"/>
      <c r="HB105" s="20"/>
      <c r="HC105" s="19"/>
      <c r="HD105" s="93"/>
      <c r="HE105" s="93"/>
      <c r="HF105" s="93"/>
      <c r="HG105" s="93"/>
      <c r="HH105" s="20"/>
      <c r="HI105" s="19"/>
      <c r="HJ105" s="93"/>
      <c r="HK105" s="93"/>
      <c r="HL105" s="93"/>
      <c r="HM105" s="93"/>
      <c r="HN105" s="20"/>
      <c r="HO105" s="219"/>
      <c r="HP105" s="20"/>
      <c r="HQ105" s="25"/>
      <c r="HR105" s="29">
        <v>38</v>
      </c>
      <c r="HS105" s="1504">
        <v>37653</v>
      </c>
      <c r="HT105" s="19"/>
      <c r="HU105" s="93"/>
      <c r="HV105" s="93"/>
      <c r="HW105" s="93"/>
      <c r="HX105" s="93"/>
      <c r="HY105" s="93"/>
      <c r="HZ105" s="93"/>
      <c r="IA105" s="20"/>
      <c r="IB105" s="19"/>
      <c r="IC105" s="93"/>
      <c r="ID105" s="93"/>
      <c r="IE105" s="93"/>
      <c r="IF105" s="93"/>
      <c r="IG105" s="20"/>
      <c r="IH105" s="19"/>
      <c r="II105" s="93"/>
      <c r="IJ105" s="93"/>
      <c r="IK105" s="93"/>
      <c r="IL105" s="93"/>
      <c r="IM105" s="93"/>
      <c r="IN105" s="93"/>
      <c r="IO105" s="20"/>
      <c r="IP105" s="29">
        <v>38</v>
      </c>
      <c r="IQ105" s="19"/>
      <c r="IR105" s="93"/>
      <c r="IS105" s="93"/>
      <c r="IT105" s="93"/>
      <c r="IU105" s="93"/>
      <c r="IV105" s="20"/>
      <c r="IW105" s="29">
        <v>38</v>
      </c>
      <c r="IX105" s="19"/>
      <c r="IY105" s="93"/>
      <c r="IZ105" s="93"/>
      <c r="JA105" s="93"/>
      <c r="JB105" s="93"/>
      <c r="JC105" s="93"/>
      <c r="JD105" s="93"/>
      <c r="JE105" s="20"/>
      <c r="JF105" s="29">
        <v>38</v>
      </c>
      <c r="JG105" s="19"/>
      <c r="JH105" s="93"/>
      <c r="JI105" s="93"/>
      <c r="JJ105" s="93"/>
      <c r="JK105" s="93"/>
      <c r="JL105" s="93"/>
      <c r="JM105" s="93"/>
      <c r="JN105" s="20"/>
      <c r="JO105" s="29">
        <v>38</v>
      </c>
      <c r="JP105" s="19"/>
      <c r="JQ105" s="93"/>
      <c r="JR105" s="93"/>
      <c r="JS105" s="93"/>
      <c r="JT105" s="93"/>
      <c r="JU105" s="20"/>
      <c r="JV105" s="29">
        <v>38</v>
      </c>
      <c r="JW105" s="1504">
        <v>37653</v>
      </c>
      <c r="JX105" s="19"/>
      <c r="JY105" s="93"/>
      <c r="JZ105" s="93"/>
      <c r="KA105" s="93"/>
      <c r="KB105" s="93"/>
      <c r="KC105" s="93"/>
      <c r="KD105" s="20"/>
      <c r="KE105" s="29">
        <v>38</v>
      </c>
      <c r="KF105" s="19"/>
      <c r="KG105" s="93"/>
      <c r="KH105" s="93"/>
      <c r="KI105" s="93"/>
      <c r="KJ105" s="93"/>
      <c r="KK105" s="20"/>
      <c r="KL105" s="29">
        <v>38</v>
      </c>
      <c r="KM105" s="19"/>
      <c r="KN105" s="93"/>
      <c r="KO105" s="93"/>
      <c r="KP105" s="93"/>
      <c r="KQ105" s="93"/>
      <c r="KR105" s="20"/>
      <c r="KS105" s="29">
        <v>38</v>
      </c>
      <c r="KT105" s="19"/>
      <c r="KU105" s="93"/>
      <c r="KV105" s="93"/>
      <c r="KW105" s="93"/>
      <c r="KX105" s="93"/>
      <c r="KY105" s="20"/>
      <c r="KZ105" s="29">
        <v>38</v>
      </c>
      <c r="LA105" s="1504">
        <v>37653</v>
      </c>
      <c r="LB105" s="19"/>
      <c r="LC105" s="93"/>
      <c r="LD105" s="93"/>
      <c r="LE105" s="93"/>
      <c r="LF105" s="93"/>
      <c r="LG105" s="93"/>
      <c r="LH105" s="20"/>
      <c r="LI105" s="29">
        <v>38</v>
      </c>
      <c r="LJ105" s="19"/>
      <c r="LK105" s="93"/>
      <c r="LL105" s="93"/>
      <c r="LM105" s="93"/>
      <c r="LN105" s="93"/>
      <c r="LO105" s="20"/>
      <c r="LP105" s="29">
        <v>38</v>
      </c>
      <c r="LQ105" s="19"/>
      <c r="LR105" s="93"/>
      <c r="LS105" s="93"/>
      <c r="LT105" s="93"/>
      <c r="LU105" s="93"/>
      <c r="LV105" s="93"/>
      <c r="LW105" s="93"/>
      <c r="LX105" s="93"/>
      <c r="LY105" s="93"/>
      <c r="LZ105" s="93"/>
      <c r="MA105" s="20"/>
      <c r="MB105" s="29">
        <v>38</v>
      </c>
      <c r="MC105" s="1504">
        <v>37653</v>
      </c>
      <c r="MD105" s="19"/>
      <c r="ME105" s="93"/>
      <c r="MF105" s="93"/>
      <c r="MG105" s="93"/>
      <c r="MH105" s="93"/>
      <c r="MI105" s="93"/>
      <c r="MJ105" s="93"/>
      <c r="MK105" s="93"/>
      <c r="ML105" s="93"/>
      <c r="MM105" s="93"/>
      <c r="MN105" s="93"/>
      <c r="MO105" s="93"/>
      <c r="MP105" s="93"/>
      <c r="MQ105" s="93"/>
      <c r="MR105" s="93"/>
      <c r="MS105" s="93"/>
      <c r="MT105" s="93"/>
      <c r="MU105" s="93"/>
      <c r="MV105" s="93"/>
      <c r="MW105" s="93"/>
      <c r="MX105" s="93"/>
      <c r="MY105" s="93"/>
      <c r="MZ105" s="93"/>
      <c r="NA105" s="93"/>
      <c r="NB105" s="93"/>
      <c r="NC105" s="93"/>
      <c r="ND105" s="93"/>
      <c r="NE105" s="93"/>
      <c r="NF105" s="93"/>
      <c r="NG105" s="93"/>
      <c r="NH105" s="93"/>
      <c r="NI105" s="93"/>
      <c r="NJ105" s="93"/>
      <c r="NK105" s="93"/>
      <c r="NL105" s="93"/>
      <c r="NM105" s="93"/>
      <c r="NN105" s="93"/>
      <c r="NO105" s="93"/>
      <c r="NP105" s="93"/>
      <c r="NQ105" s="93"/>
      <c r="NR105" s="93"/>
      <c r="NS105" s="93"/>
      <c r="NT105" s="93"/>
      <c r="NU105" s="93"/>
      <c r="NV105" s="93"/>
      <c r="NW105" s="93"/>
      <c r="NX105" s="93"/>
      <c r="NY105" s="93"/>
      <c r="NZ105" s="93"/>
      <c r="OA105" s="93"/>
      <c r="OB105" s="93"/>
      <c r="OC105" s="93"/>
      <c r="OD105" s="20"/>
      <c r="OE105" s="29">
        <v>38</v>
      </c>
      <c r="OF105" s="1504">
        <v>37653</v>
      </c>
      <c r="OG105" s="19"/>
      <c r="OH105" s="93"/>
      <c r="OI105" s="93"/>
      <c r="OJ105" s="93"/>
      <c r="OK105" s="93"/>
      <c r="OL105" s="93"/>
      <c r="OM105" s="93"/>
      <c r="ON105" s="93"/>
      <c r="OO105" s="93"/>
      <c r="OP105" s="93"/>
      <c r="OQ105" s="93"/>
      <c r="OR105" s="93"/>
      <c r="OS105" s="93"/>
      <c r="OT105" s="93"/>
      <c r="OU105" s="93"/>
      <c r="OV105" s="93"/>
      <c r="OW105" s="93"/>
      <c r="OX105" s="93"/>
      <c r="OY105" s="93"/>
      <c r="OZ105" s="93"/>
      <c r="PA105" s="93"/>
      <c r="PB105" s="93"/>
      <c r="PC105" s="20"/>
      <c r="PD105" s="29">
        <v>38</v>
      </c>
      <c r="PE105" s="19"/>
      <c r="PF105" s="93"/>
      <c r="PG105" s="93"/>
      <c r="PH105" s="93"/>
      <c r="PI105" s="93"/>
      <c r="PJ105" s="93"/>
      <c r="PK105" s="93"/>
      <c r="PL105" s="93"/>
      <c r="PM105" s="93"/>
      <c r="PN105" s="93"/>
      <c r="PO105" s="93"/>
      <c r="PP105" s="93"/>
      <c r="PQ105" s="93"/>
      <c r="PR105" s="93"/>
      <c r="PS105" s="93"/>
      <c r="PT105" s="93"/>
      <c r="PU105" s="93"/>
      <c r="PV105" s="93"/>
      <c r="PW105" s="93"/>
      <c r="PX105" s="93"/>
      <c r="PY105" s="93"/>
      <c r="PZ105" s="93"/>
      <c r="QA105" s="93"/>
      <c r="QB105" s="93"/>
      <c r="QC105" s="93"/>
      <c r="QD105" s="93"/>
      <c r="QE105" s="20"/>
      <c r="QF105" s="1739">
        <v>38</v>
      </c>
      <c r="QG105" s="19"/>
      <c r="QH105" s="93"/>
      <c r="QI105" s="93"/>
      <c r="QJ105" s="93"/>
      <c r="QK105" s="93"/>
      <c r="QL105" s="93"/>
      <c r="QM105" s="93"/>
      <c r="QN105" s="93"/>
      <c r="QO105" s="93"/>
      <c r="QP105" s="93"/>
      <c r="QQ105" s="93"/>
      <c r="QR105" s="93"/>
      <c r="QS105" s="93"/>
      <c r="QT105" s="93"/>
      <c r="QU105" s="93"/>
      <c r="QV105" s="93"/>
      <c r="QW105" s="93"/>
      <c r="QX105" s="93"/>
      <c r="QY105" s="93"/>
      <c r="QZ105" s="93"/>
      <c r="RA105" s="93"/>
      <c r="RB105" s="93"/>
      <c r="RC105" s="93"/>
      <c r="RD105" s="93"/>
      <c r="RE105" s="93"/>
      <c r="RF105" s="93"/>
      <c r="RG105" s="93"/>
      <c r="RH105" s="93"/>
      <c r="RI105" s="93"/>
      <c r="RJ105" s="93"/>
      <c r="RK105" s="93"/>
      <c r="RL105" s="93"/>
      <c r="RM105" s="20"/>
      <c r="RN105" s="29">
        <v>38</v>
      </c>
      <c r="RO105" s="19"/>
      <c r="RP105" s="20"/>
      <c r="RQ105" s="29">
        <v>38</v>
      </c>
      <c r="RR105" s="20"/>
      <c r="RS105" s="29">
        <v>38</v>
      </c>
      <c r="RT105" s="1504">
        <v>37653</v>
      </c>
      <c r="RU105" s="19"/>
      <c r="RV105" s="20"/>
      <c r="RW105" s="29">
        <v>38</v>
      </c>
      <c r="RX105" s="1504">
        <v>37653</v>
      </c>
      <c r="RY105" s="29"/>
      <c r="RZ105" s="20"/>
      <c r="SA105" s="29"/>
      <c r="SB105" s="29">
        <v>38</v>
      </c>
    </row>
    <row r="106" spans="1:496">
      <c r="A106" s="41">
        <f t="shared" si="187"/>
        <v>2003</v>
      </c>
      <c r="B106" s="1504">
        <v>37681</v>
      </c>
      <c r="C106" s="1813"/>
      <c r="D106" s="1814"/>
      <c r="E106" s="1814"/>
      <c r="F106" s="1815"/>
      <c r="G106" s="1814"/>
      <c r="H106" s="1814"/>
      <c r="I106" s="1814"/>
      <c r="J106" s="1816"/>
      <c r="K106" s="1807"/>
      <c r="L106" s="25">
        <v>39</v>
      </c>
      <c r="M106" s="97"/>
      <c r="N106" s="1504">
        <v>37681</v>
      </c>
      <c r="O106" s="19"/>
      <c r="P106" s="93"/>
      <c r="Q106" s="93"/>
      <c r="R106" s="93"/>
      <c r="S106" s="93"/>
      <c r="T106" s="93"/>
      <c r="U106" s="93"/>
      <c r="V106" s="93"/>
      <c r="W106" s="93"/>
      <c r="X106" s="93"/>
      <c r="Y106" s="93"/>
      <c r="Z106" s="93"/>
      <c r="AA106" s="93"/>
      <c r="AB106" s="20"/>
      <c r="AC106" s="25">
        <v>39</v>
      </c>
      <c r="AD106" s="97"/>
      <c r="AE106" s="1504">
        <v>37681</v>
      </c>
      <c r="AF106" s="19"/>
      <c r="AG106" s="93"/>
      <c r="AH106" s="93"/>
      <c r="AI106" s="93"/>
      <c r="AJ106" s="93"/>
      <c r="AK106" s="93"/>
      <c r="AL106" s="93"/>
      <c r="AM106" s="93"/>
      <c r="AN106" s="93"/>
      <c r="AO106" s="93"/>
      <c r="AP106" s="93"/>
      <c r="AQ106" s="93"/>
      <c r="AR106" s="93"/>
      <c r="AS106" s="20"/>
      <c r="AT106" s="25">
        <v>39</v>
      </c>
      <c r="AU106" s="97"/>
      <c r="AV106" s="1504">
        <v>37681</v>
      </c>
      <c r="AW106" s="19"/>
      <c r="AX106" s="93"/>
      <c r="AY106" s="93"/>
      <c r="AZ106" s="93"/>
      <c r="BA106" s="93"/>
      <c r="BB106" s="93"/>
      <c r="BC106" s="93"/>
      <c r="BD106" s="93"/>
      <c r="BE106" s="93"/>
      <c r="BF106" s="93"/>
      <c r="BG106" s="93"/>
      <c r="BH106" s="93"/>
      <c r="BI106" s="93"/>
      <c r="BJ106" s="20"/>
      <c r="BK106" s="25">
        <v>39</v>
      </c>
      <c r="BL106" s="97"/>
      <c r="BM106" s="1504">
        <v>37681</v>
      </c>
      <c r="BN106" s="19"/>
      <c r="BO106" s="93"/>
      <c r="BP106" s="93"/>
      <c r="BQ106" s="93"/>
      <c r="BR106" s="93"/>
      <c r="BS106" s="93"/>
      <c r="BT106" s="93"/>
      <c r="BU106" s="20"/>
      <c r="BV106" s="25">
        <v>39</v>
      </c>
      <c r="BW106" s="97"/>
      <c r="BX106" s="1504">
        <v>37681</v>
      </c>
      <c r="BY106" s="19"/>
      <c r="BZ106" s="99">
        <v>664.95699999999999</v>
      </c>
      <c r="CA106" s="93"/>
      <c r="CB106" s="93"/>
      <c r="CC106" s="93"/>
      <c r="CD106" s="25">
        <v>39</v>
      </c>
      <c r="CE106" s="97"/>
      <c r="CF106" s="1504">
        <v>37681</v>
      </c>
      <c r="CG106" s="19">
        <v>1.3495029999999999</v>
      </c>
      <c r="CH106" s="93">
        <v>340.55</v>
      </c>
      <c r="CI106" s="219"/>
      <c r="CJ106" s="20"/>
      <c r="CK106" s="19"/>
      <c r="CL106" s="93"/>
      <c r="CM106" s="93"/>
      <c r="CN106" s="93"/>
      <c r="CO106" s="93"/>
      <c r="CP106" s="20"/>
      <c r="CQ106" s="219">
        <v>1039.32</v>
      </c>
      <c r="CR106" s="93">
        <v>1.5075000000000001</v>
      </c>
      <c r="CS106" s="93"/>
      <c r="CT106" s="93"/>
      <c r="CU106" s="93"/>
      <c r="CV106" s="214"/>
      <c r="CW106" s="29">
        <v>39</v>
      </c>
      <c r="CX106" s="41">
        <f t="shared" si="188"/>
        <v>2003</v>
      </c>
      <c r="CY106" s="1504">
        <v>37681</v>
      </c>
      <c r="CZ106" s="733">
        <v>32.89996</v>
      </c>
      <c r="DA106" s="570">
        <v>20.417583</v>
      </c>
      <c r="DB106" s="570">
        <v>12.482377</v>
      </c>
      <c r="DC106" s="93"/>
      <c r="DD106" s="93"/>
      <c r="DE106" s="20"/>
      <c r="DF106" s="29">
        <v>39</v>
      </c>
      <c r="DG106" s="1504">
        <v>37681</v>
      </c>
      <c r="DH106" s="19"/>
      <c r="DI106" s="93"/>
      <c r="DJ106" s="93"/>
      <c r="DK106" s="93"/>
      <c r="DL106" s="93"/>
      <c r="DM106" s="93"/>
      <c r="DN106" s="20"/>
      <c r="DO106" s="25"/>
      <c r="DP106" s="29">
        <v>39</v>
      </c>
      <c r="DQ106" s="1504">
        <v>37681</v>
      </c>
      <c r="DR106" s="19"/>
      <c r="DS106" s="93"/>
      <c r="DT106" s="93"/>
      <c r="DU106" s="93"/>
      <c r="DV106" s="93"/>
      <c r="DW106" s="93"/>
      <c r="DX106" s="20"/>
      <c r="DY106" s="29">
        <v>39</v>
      </c>
      <c r="DZ106" s="1504">
        <v>37681</v>
      </c>
      <c r="EA106" s="19"/>
      <c r="EB106" s="93"/>
      <c r="EC106" s="20"/>
      <c r="ED106" s="29">
        <v>39</v>
      </c>
      <c r="EE106" s="1504">
        <v>37681</v>
      </c>
      <c r="EF106" s="19"/>
      <c r="EG106" s="93"/>
      <c r="EH106" s="93"/>
      <c r="EI106" s="214"/>
      <c r="EJ106" s="93"/>
      <c r="EK106" s="93"/>
      <c r="EL106" s="93"/>
      <c r="EM106" s="93"/>
      <c r="EN106" s="20"/>
      <c r="EO106" s="29">
        <v>39</v>
      </c>
      <c r="EP106" s="1504">
        <v>37681</v>
      </c>
      <c r="EQ106" s="19"/>
      <c r="ER106" s="93"/>
      <c r="ES106" s="93"/>
      <c r="ET106" s="214"/>
      <c r="EU106" s="93"/>
      <c r="EV106" s="93"/>
      <c r="EW106" s="93"/>
      <c r="EX106" s="93"/>
      <c r="EY106" s="20"/>
      <c r="EZ106" s="29">
        <v>39</v>
      </c>
      <c r="FA106" s="1504">
        <v>37681</v>
      </c>
      <c r="FB106" s="29"/>
      <c r="FC106" s="29"/>
      <c r="FD106" s="29"/>
      <c r="FE106" s="29"/>
      <c r="FF106" s="29"/>
      <c r="FG106" s="29"/>
      <c r="FH106" s="29"/>
      <c r="FI106" s="29"/>
      <c r="FJ106" s="29"/>
      <c r="FK106" s="29">
        <v>39</v>
      </c>
      <c r="FL106" s="1504">
        <v>37681</v>
      </c>
      <c r="FM106" s="19"/>
      <c r="FN106" s="93"/>
      <c r="FO106" s="93"/>
      <c r="FP106" s="93"/>
      <c r="FQ106" s="93"/>
      <c r="FR106" s="93"/>
      <c r="FS106" s="93"/>
      <c r="FT106" s="93"/>
      <c r="FU106" s="93"/>
      <c r="FV106" s="93"/>
      <c r="FW106" s="93"/>
      <c r="FX106" s="93"/>
      <c r="FY106" s="93"/>
      <c r="FZ106" s="29">
        <v>39</v>
      </c>
      <c r="GA106" s="1504">
        <v>37681</v>
      </c>
      <c r="GB106" s="19"/>
      <c r="GC106" s="93"/>
      <c r="GD106" s="93"/>
      <c r="GE106" s="93"/>
      <c r="GF106" s="93"/>
      <c r="GG106" s="93"/>
      <c r="GH106" s="93"/>
      <c r="GI106" s="93"/>
      <c r="GJ106" s="93"/>
      <c r="GK106" s="93"/>
      <c r="GL106" s="93"/>
      <c r="GM106" s="93"/>
      <c r="GN106" s="20"/>
      <c r="GO106" s="29">
        <v>39</v>
      </c>
      <c r="GP106" s="1504">
        <v>37681</v>
      </c>
      <c r="GQ106" s="19"/>
      <c r="GR106" s="93"/>
      <c r="GS106" s="93"/>
      <c r="GT106" s="93"/>
      <c r="GU106" s="93"/>
      <c r="GV106" s="20"/>
      <c r="GW106" s="19"/>
      <c r="GX106" s="93"/>
      <c r="GY106" s="93"/>
      <c r="GZ106" s="93"/>
      <c r="HA106" s="93"/>
      <c r="HB106" s="20"/>
      <c r="HC106" s="19"/>
      <c r="HD106" s="93"/>
      <c r="HE106" s="93"/>
      <c r="HF106" s="93"/>
      <c r="HG106" s="93"/>
      <c r="HH106" s="20"/>
      <c r="HI106" s="19"/>
      <c r="HJ106" s="93"/>
      <c r="HK106" s="93"/>
      <c r="HL106" s="93"/>
      <c r="HM106" s="93"/>
      <c r="HN106" s="20"/>
      <c r="HO106" s="219"/>
      <c r="HP106" s="20"/>
      <c r="HQ106" s="25"/>
      <c r="HR106" s="29">
        <v>39</v>
      </c>
      <c r="HS106" s="1504">
        <v>37681</v>
      </c>
      <c r="HT106" s="19"/>
      <c r="HU106" s="93"/>
      <c r="HV106" s="93"/>
      <c r="HW106" s="93"/>
      <c r="HX106" s="93"/>
      <c r="HY106" s="93"/>
      <c r="HZ106" s="93"/>
      <c r="IA106" s="20"/>
      <c r="IB106" s="19"/>
      <c r="IC106" s="93"/>
      <c r="ID106" s="93"/>
      <c r="IE106" s="93"/>
      <c r="IF106" s="93"/>
      <c r="IG106" s="20"/>
      <c r="IH106" s="19"/>
      <c r="II106" s="93"/>
      <c r="IJ106" s="93"/>
      <c r="IK106" s="93"/>
      <c r="IL106" s="93"/>
      <c r="IM106" s="93"/>
      <c r="IN106" s="93"/>
      <c r="IO106" s="20"/>
      <c r="IP106" s="29">
        <v>39</v>
      </c>
      <c r="IQ106" s="19"/>
      <c r="IR106" s="93"/>
      <c r="IS106" s="93"/>
      <c r="IT106" s="93"/>
      <c r="IU106" s="93"/>
      <c r="IV106" s="20"/>
      <c r="IW106" s="29">
        <v>39</v>
      </c>
      <c r="IX106" s="19"/>
      <c r="IY106" s="93"/>
      <c r="IZ106" s="93"/>
      <c r="JA106" s="93"/>
      <c r="JB106" s="93"/>
      <c r="JC106" s="93"/>
      <c r="JD106" s="93"/>
      <c r="JE106" s="20"/>
      <c r="JF106" s="29">
        <v>39</v>
      </c>
      <c r="JG106" s="19"/>
      <c r="JH106" s="93"/>
      <c r="JI106" s="93"/>
      <c r="JJ106" s="93"/>
      <c r="JK106" s="93"/>
      <c r="JL106" s="93"/>
      <c r="JM106" s="93"/>
      <c r="JN106" s="20"/>
      <c r="JO106" s="29">
        <v>39</v>
      </c>
      <c r="JP106" s="19"/>
      <c r="JQ106" s="93"/>
      <c r="JR106" s="93"/>
      <c r="JS106" s="93"/>
      <c r="JT106" s="93"/>
      <c r="JU106" s="20"/>
      <c r="JV106" s="29">
        <v>39</v>
      </c>
      <c r="JW106" s="1504">
        <v>37681</v>
      </c>
      <c r="JX106" s="19"/>
      <c r="JY106" s="93"/>
      <c r="JZ106" s="93"/>
      <c r="KA106" s="93"/>
      <c r="KB106" s="93"/>
      <c r="KC106" s="93"/>
      <c r="KD106" s="20"/>
      <c r="KE106" s="29">
        <v>39</v>
      </c>
      <c r="KF106" s="19"/>
      <c r="KG106" s="93"/>
      <c r="KH106" s="93"/>
      <c r="KI106" s="93"/>
      <c r="KJ106" s="93"/>
      <c r="KK106" s="20"/>
      <c r="KL106" s="29">
        <v>39</v>
      </c>
      <c r="KM106" s="19"/>
      <c r="KN106" s="93"/>
      <c r="KO106" s="93"/>
      <c r="KP106" s="93"/>
      <c r="KQ106" s="93"/>
      <c r="KR106" s="20"/>
      <c r="KS106" s="29">
        <v>39</v>
      </c>
      <c r="KT106" s="19"/>
      <c r="KU106" s="93"/>
      <c r="KV106" s="93"/>
      <c r="KW106" s="93"/>
      <c r="KX106" s="93"/>
      <c r="KY106" s="20"/>
      <c r="KZ106" s="29">
        <v>39</v>
      </c>
      <c r="LA106" s="1504">
        <v>37681</v>
      </c>
      <c r="LB106" s="19"/>
      <c r="LC106" s="93"/>
      <c r="LD106" s="93"/>
      <c r="LE106" s="93"/>
      <c r="LF106" s="93"/>
      <c r="LG106" s="93"/>
      <c r="LH106" s="20"/>
      <c r="LI106" s="29">
        <v>39</v>
      </c>
      <c r="LJ106" s="19"/>
      <c r="LK106" s="93"/>
      <c r="LL106" s="93"/>
      <c r="LM106" s="93"/>
      <c r="LN106" s="93"/>
      <c r="LO106" s="20"/>
      <c r="LP106" s="29">
        <v>39</v>
      </c>
      <c r="LQ106" s="19"/>
      <c r="LR106" s="93"/>
      <c r="LS106" s="93"/>
      <c r="LT106" s="93"/>
      <c r="LU106" s="93"/>
      <c r="LV106" s="93"/>
      <c r="LW106" s="93"/>
      <c r="LX106" s="93"/>
      <c r="LY106" s="93"/>
      <c r="LZ106" s="93"/>
      <c r="MA106" s="20"/>
      <c r="MB106" s="29">
        <v>39</v>
      </c>
      <c r="MC106" s="1504">
        <v>37681</v>
      </c>
      <c r="MD106" s="19"/>
      <c r="ME106" s="93"/>
      <c r="MF106" s="93"/>
      <c r="MG106" s="93"/>
      <c r="MH106" s="93"/>
      <c r="MI106" s="93"/>
      <c r="MJ106" s="93"/>
      <c r="MK106" s="93"/>
      <c r="ML106" s="93"/>
      <c r="MM106" s="93"/>
      <c r="MN106" s="93"/>
      <c r="MO106" s="93"/>
      <c r="MP106" s="93"/>
      <c r="MQ106" s="93"/>
      <c r="MR106" s="93"/>
      <c r="MS106" s="93"/>
      <c r="MT106" s="93"/>
      <c r="MU106" s="93"/>
      <c r="MV106" s="93"/>
      <c r="MW106" s="93"/>
      <c r="MX106" s="93"/>
      <c r="MY106" s="93"/>
      <c r="MZ106" s="93"/>
      <c r="NA106" s="93"/>
      <c r="NB106" s="93"/>
      <c r="NC106" s="93"/>
      <c r="ND106" s="93"/>
      <c r="NE106" s="93"/>
      <c r="NF106" s="93"/>
      <c r="NG106" s="93"/>
      <c r="NH106" s="93"/>
      <c r="NI106" s="93"/>
      <c r="NJ106" s="93"/>
      <c r="NK106" s="93"/>
      <c r="NL106" s="93"/>
      <c r="NM106" s="93"/>
      <c r="NN106" s="93"/>
      <c r="NO106" s="93"/>
      <c r="NP106" s="93"/>
      <c r="NQ106" s="93"/>
      <c r="NR106" s="93"/>
      <c r="NS106" s="93"/>
      <c r="NT106" s="93"/>
      <c r="NU106" s="93"/>
      <c r="NV106" s="93"/>
      <c r="NW106" s="93"/>
      <c r="NX106" s="93"/>
      <c r="NY106" s="93"/>
      <c r="NZ106" s="93"/>
      <c r="OA106" s="93"/>
      <c r="OB106" s="93"/>
      <c r="OC106" s="93"/>
      <c r="OD106" s="20"/>
      <c r="OE106" s="29">
        <v>39</v>
      </c>
      <c r="OF106" s="1504">
        <v>37681</v>
      </c>
      <c r="OG106" s="19"/>
      <c r="OH106" s="93"/>
      <c r="OI106" s="93"/>
      <c r="OJ106" s="93"/>
      <c r="OK106" s="93"/>
      <c r="OL106" s="93"/>
      <c r="OM106" s="93"/>
      <c r="ON106" s="93"/>
      <c r="OO106" s="93"/>
      <c r="OP106" s="93"/>
      <c r="OQ106" s="93"/>
      <c r="OR106" s="93"/>
      <c r="OS106" s="93"/>
      <c r="OT106" s="93"/>
      <c r="OU106" s="93"/>
      <c r="OV106" s="93"/>
      <c r="OW106" s="93"/>
      <c r="OX106" s="93"/>
      <c r="OY106" s="93"/>
      <c r="OZ106" s="93"/>
      <c r="PA106" s="93"/>
      <c r="PB106" s="93"/>
      <c r="PC106" s="20"/>
      <c r="PD106" s="29">
        <v>39</v>
      </c>
      <c r="PE106" s="19"/>
      <c r="PF106" s="93"/>
      <c r="PG106" s="93"/>
      <c r="PH106" s="93"/>
      <c r="PI106" s="93"/>
      <c r="PJ106" s="93"/>
      <c r="PK106" s="93"/>
      <c r="PL106" s="93"/>
      <c r="PM106" s="93"/>
      <c r="PN106" s="93"/>
      <c r="PO106" s="93"/>
      <c r="PP106" s="93"/>
      <c r="PQ106" s="93"/>
      <c r="PR106" s="93"/>
      <c r="PS106" s="93"/>
      <c r="PT106" s="93"/>
      <c r="PU106" s="93"/>
      <c r="PV106" s="93"/>
      <c r="PW106" s="93"/>
      <c r="PX106" s="93"/>
      <c r="PY106" s="93"/>
      <c r="PZ106" s="93"/>
      <c r="QA106" s="93"/>
      <c r="QB106" s="93"/>
      <c r="QC106" s="93"/>
      <c r="QD106" s="93"/>
      <c r="QE106" s="20"/>
      <c r="QF106" s="1739">
        <v>39</v>
      </c>
      <c r="QG106" s="19"/>
      <c r="QH106" s="93"/>
      <c r="QI106" s="93"/>
      <c r="QJ106" s="93"/>
      <c r="QK106" s="93"/>
      <c r="QL106" s="93"/>
      <c r="QM106" s="93"/>
      <c r="QN106" s="93"/>
      <c r="QO106" s="93"/>
      <c r="QP106" s="93"/>
      <c r="QQ106" s="93"/>
      <c r="QR106" s="93"/>
      <c r="QS106" s="93"/>
      <c r="QT106" s="93"/>
      <c r="QU106" s="93"/>
      <c r="QV106" s="93"/>
      <c r="QW106" s="93"/>
      <c r="QX106" s="93"/>
      <c r="QY106" s="93"/>
      <c r="QZ106" s="93"/>
      <c r="RA106" s="93"/>
      <c r="RB106" s="93"/>
      <c r="RC106" s="93"/>
      <c r="RD106" s="93"/>
      <c r="RE106" s="93"/>
      <c r="RF106" s="93"/>
      <c r="RG106" s="93"/>
      <c r="RH106" s="93"/>
      <c r="RI106" s="93"/>
      <c r="RJ106" s="93"/>
      <c r="RK106" s="93"/>
      <c r="RL106" s="93"/>
      <c r="RM106" s="20"/>
      <c r="RN106" s="29">
        <v>39</v>
      </c>
      <c r="RO106" s="19"/>
      <c r="RP106" s="20"/>
      <c r="RQ106" s="29">
        <v>39</v>
      </c>
      <c r="RR106" s="20"/>
      <c r="RS106" s="29">
        <v>39</v>
      </c>
      <c r="RT106" s="1504">
        <v>37681</v>
      </c>
      <c r="RU106" s="19"/>
      <c r="RV106" s="20"/>
      <c r="RW106" s="29">
        <v>39</v>
      </c>
      <c r="RX106" s="1504">
        <v>37681</v>
      </c>
      <c r="RY106" s="29"/>
      <c r="RZ106" s="20"/>
      <c r="SA106" s="29"/>
      <c r="SB106" s="29">
        <v>39</v>
      </c>
    </row>
    <row r="107" spans="1:496">
      <c r="A107" s="41">
        <f t="shared" si="187"/>
        <v>2003</v>
      </c>
      <c r="B107" s="1504">
        <v>37712</v>
      </c>
      <c r="C107" s="1813"/>
      <c r="D107" s="1814"/>
      <c r="E107" s="1814"/>
      <c r="F107" s="1815"/>
      <c r="G107" s="1814"/>
      <c r="H107" s="1814"/>
      <c r="I107" s="1814"/>
      <c r="J107" s="1816"/>
      <c r="K107" s="1807"/>
      <c r="L107" s="25">
        <v>40</v>
      </c>
      <c r="M107" s="97"/>
      <c r="N107" s="1504">
        <v>37712</v>
      </c>
      <c r="O107" s="19"/>
      <c r="P107" s="93"/>
      <c r="Q107" s="93"/>
      <c r="R107" s="93"/>
      <c r="S107" s="93"/>
      <c r="T107" s="93"/>
      <c r="U107" s="93"/>
      <c r="V107" s="93"/>
      <c r="W107" s="93"/>
      <c r="X107" s="93"/>
      <c r="Y107" s="93"/>
      <c r="Z107" s="93"/>
      <c r="AA107" s="93"/>
      <c r="AB107" s="20"/>
      <c r="AC107" s="25">
        <v>40</v>
      </c>
      <c r="AD107" s="97"/>
      <c r="AE107" s="1504">
        <v>37712</v>
      </c>
      <c r="AF107" s="19"/>
      <c r="AG107" s="93"/>
      <c r="AH107" s="93"/>
      <c r="AI107" s="93"/>
      <c r="AJ107" s="93"/>
      <c r="AK107" s="93"/>
      <c r="AL107" s="93"/>
      <c r="AM107" s="93"/>
      <c r="AN107" s="93"/>
      <c r="AO107" s="93"/>
      <c r="AP107" s="93"/>
      <c r="AQ107" s="93"/>
      <c r="AR107" s="93"/>
      <c r="AS107" s="20"/>
      <c r="AT107" s="25">
        <v>40</v>
      </c>
      <c r="AU107" s="97"/>
      <c r="AV107" s="1504">
        <v>37712</v>
      </c>
      <c r="AW107" s="19"/>
      <c r="AX107" s="93"/>
      <c r="AY107" s="93"/>
      <c r="AZ107" s="93"/>
      <c r="BA107" s="93"/>
      <c r="BB107" s="93"/>
      <c r="BC107" s="93"/>
      <c r="BD107" s="93"/>
      <c r="BE107" s="93"/>
      <c r="BF107" s="93"/>
      <c r="BG107" s="93"/>
      <c r="BH107" s="93"/>
      <c r="BI107" s="93"/>
      <c r="BJ107" s="20"/>
      <c r="BK107" s="25">
        <v>40</v>
      </c>
      <c r="BL107" s="97"/>
      <c r="BM107" s="1504">
        <v>37712</v>
      </c>
      <c r="BN107" s="19"/>
      <c r="BO107" s="93"/>
      <c r="BP107" s="93"/>
      <c r="BQ107" s="93"/>
      <c r="BR107" s="93"/>
      <c r="BS107" s="93"/>
      <c r="BT107" s="93"/>
      <c r="BU107" s="20"/>
      <c r="BV107" s="25">
        <v>40</v>
      </c>
      <c r="BW107" s="97"/>
      <c r="BX107" s="1504">
        <v>37712</v>
      </c>
      <c r="BY107" s="19"/>
      <c r="BZ107" s="99">
        <v>664.95699999999999</v>
      </c>
      <c r="CA107" s="93"/>
      <c r="CB107" s="93"/>
      <c r="CC107" s="93"/>
      <c r="CD107" s="25">
        <v>40</v>
      </c>
      <c r="CE107" s="97"/>
      <c r="CF107" s="1504">
        <v>37712</v>
      </c>
      <c r="CG107" s="19">
        <v>1.339858</v>
      </c>
      <c r="CH107" s="93">
        <v>328.18</v>
      </c>
      <c r="CI107" s="219"/>
      <c r="CJ107" s="20"/>
      <c r="CK107" s="19"/>
      <c r="CL107" s="93"/>
      <c r="CM107" s="93"/>
      <c r="CN107" s="93"/>
      <c r="CO107" s="93"/>
      <c r="CP107" s="20"/>
      <c r="CQ107" s="219">
        <v>1064.23</v>
      </c>
      <c r="CR107" s="93">
        <v>1.5024999999999999</v>
      </c>
      <c r="CS107" s="93"/>
      <c r="CT107" s="93"/>
      <c r="CU107" s="93"/>
      <c r="CV107" s="214"/>
      <c r="CW107" s="29">
        <v>40</v>
      </c>
      <c r="CX107" s="41">
        <f t="shared" si="188"/>
        <v>2003</v>
      </c>
      <c r="CY107" s="1504">
        <v>37712</v>
      </c>
      <c r="CZ107" s="733">
        <v>39.571058000000001</v>
      </c>
      <c r="DA107" s="570">
        <v>24.080131000000002</v>
      </c>
      <c r="DB107" s="570">
        <v>15.490926999999999</v>
      </c>
      <c r="DC107" s="93"/>
      <c r="DD107" s="93"/>
      <c r="DE107" s="20"/>
      <c r="DF107" s="29">
        <v>40</v>
      </c>
      <c r="DG107" s="1504">
        <v>37712</v>
      </c>
      <c r="DH107" s="19"/>
      <c r="DI107" s="93"/>
      <c r="DJ107" s="93"/>
      <c r="DK107" s="93"/>
      <c r="DL107" s="93"/>
      <c r="DM107" s="93"/>
      <c r="DN107" s="20"/>
      <c r="DO107" s="25"/>
      <c r="DP107" s="29">
        <v>40</v>
      </c>
      <c r="DQ107" s="1504">
        <v>37712</v>
      </c>
      <c r="DR107" s="19"/>
      <c r="DS107" s="93"/>
      <c r="DT107" s="93"/>
      <c r="DU107" s="93"/>
      <c r="DV107" s="93"/>
      <c r="DW107" s="93"/>
      <c r="DX107" s="20"/>
      <c r="DY107" s="29">
        <v>40</v>
      </c>
      <c r="DZ107" s="1504">
        <v>37712</v>
      </c>
      <c r="EA107" s="19"/>
      <c r="EB107" s="93"/>
      <c r="EC107" s="20"/>
      <c r="ED107" s="29">
        <v>40</v>
      </c>
      <c r="EE107" s="1504">
        <v>37712</v>
      </c>
      <c r="EF107" s="19"/>
      <c r="EG107" s="93"/>
      <c r="EH107" s="93"/>
      <c r="EI107" s="214"/>
      <c r="EJ107" s="93"/>
      <c r="EK107" s="93"/>
      <c r="EL107" s="93"/>
      <c r="EM107" s="93"/>
      <c r="EN107" s="20"/>
      <c r="EO107" s="29">
        <v>40</v>
      </c>
      <c r="EP107" s="1504">
        <v>37712</v>
      </c>
      <c r="EQ107" s="19"/>
      <c r="ER107" s="93"/>
      <c r="ES107" s="93"/>
      <c r="ET107" s="214"/>
      <c r="EU107" s="93"/>
      <c r="EV107" s="93"/>
      <c r="EW107" s="93"/>
      <c r="EX107" s="93"/>
      <c r="EY107" s="20"/>
      <c r="EZ107" s="29">
        <v>40</v>
      </c>
      <c r="FA107" s="1504">
        <v>37712</v>
      </c>
      <c r="FB107" s="29"/>
      <c r="FC107" s="29"/>
      <c r="FD107" s="29"/>
      <c r="FE107" s="29"/>
      <c r="FF107" s="29"/>
      <c r="FG107" s="29"/>
      <c r="FH107" s="29"/>
      <c r="FI107" s="29"/>
      <c r="FJ107" s="29"/>
      <c r="FK107" s="29">
        <v>40</v>
      </c>
      <c r="FL107" s="1504">
        <v>37712</v>
      </c>
      <c r="FM107" s="19"/>
      <c r="FN107" s="93"/>
      <c r="FO107" s="93"/>
      <c r="FP107" s="93"/>
      <c r="FQ107" s="93"/>
      <c r="FR107" s="93"/>
      <c r="FS107" s="93"/>
      <c r="FT107" s="93"/>
      <c r="FU107" s="93"/>
      <c r="FV107" s="93"/>
      <c r="FW107" s="93"/>
      <c r="FX107" s="93"/>
      <c r="FY107" s="93"/>
      <c r="FZ107" s="29">
        <v>40</v>
      </c>
      <c r="GA107" s="1504">
        <v>37712</v>
      </c>
      <c r="GB107" s="19"/>
      <c r="GC107" s="93"/>
      <c r="GD107" s="93"/>
      <c r="GE107" s="93"/>
      <c r="GF107" s="93"/>
      <c r="GG107" s="93"/>
      <c r="GH107" s="93"/>
      <c r="GI107" s="93"/>
      <c r="GJ107" s="93"/>
      <c r="GK107" s="93"/>
      <c r="GL107" s="93"/>
      <c r="GM107" s="93"/>
      <c r="GN107" s="20"/>
      <c r="GO107" s="29">
        <v>40</v>
      </c>
      <c r="GP107" s="1504">
        <v>37712</v>
      </c>
      <c r="GQ107" s="19"/>
      <c r="GR107" s="93"/>
      <c r="GS107" s="93"/>
      <c r="GT107" s="93"/>
      <c r="GU107" s="93"/>
      <c r="GV107" s="20"/>
      <c r="GW107" s="19"/>
      <c r="GX107" s="93"/>
      <c r="GY107" s="93"/>
      <c r="GZ107" s="93"/>
      <c r="HA107" s="93"/>
      <c r="HB107" s="20"/>
      <c r="HC107" s="19"/>
      <c r="HD107" s="93"/>
      <c r="HE107" s="93"/>
      <c r="HF107" s="93"/>
      <c r="HG107" s="93"/>
      <c r="HH107" s="20"/>
      <c r="HI107" s="19"/>
      <c r="HJ107" s="93"/>
      <c r="HK107" s="93"/>
      <c r="HL107" s="93"/>
      <c r="HM107" s="93"/>
      <c r="HN107" s="20"/>
      <c r="HO107" s="219"/>
      <c r="HP107" s="20"/>
      <c r="HQ107" s="25"/>
      <c r="HR107" s="29">
        <v>40</v>
      </c>
      <c r="HS107" s="1504">
        <v>37712</v>
      </c>
      <c r="HT107" s="19"/>
      <c r="HU107" s="93"/>
      <c r="HV107" s="93"/>
      <c r="HW107" s="93"/>
      <c r="HX107" s="93"/>
      <c r="HY107" s="93"/>
      <c r="HZ107" s="93"/>
      <c r="IA107" s="20"/>
      <c r="IB107" s="19"/>
      <c r="IC107" s="93"/>
      <c r="ID107" s="93"/>
      <c r="IE107" s="93"/>
      <c r="IF107" s="93"/>
      <c r="IG107" s="20"/>
      <c r="IH107" s="19"/>
      <c r="II107" s="93"/>
      <c r="IJ107" s="93"/>
      <c r="IK107" s="93"/>
      <c r="IL107" s="93"/>
      <c r="IM107" s="93"/>
      <c r="IN107" s="93"/>
      <c r="IO107" s="20"/>
      <c r="IP107" s="29">
        <v>40</v>
      </c>
      <c r="IQ107" s="19"/>
      <c r="IR107" s="93"/>
      <c r="IS107" s="93"/>
      <c r="IT107" s="93"/>
      <c r="IU107" s="93"/>
      <c r="IV107" s="20"/>
      <c r="IW107" s="29">
        <v>40</v>
      </c>
      <c r="IX107" s="19"/>
      <c r="IY107" s="93"/>
      <c r="IZ107" s="93"/>
      <c r="JA107" s="93"/>
      <c r="JB107" s="93"/>
      <c r="JC107" s="93"/>
      <c r="JD107" s="93"/>
      <c r="JE107" s="20"/>
      <c r="JF107" s="29">
        <v>40</v>
      </c>
      <c r="JG107" s="19"/>
      <c r="JH107" s="93"/>
      <c r="JI107" s="93"/>
      <c r="JJ107" s="93"/>
      <c r="JK107" s="93"/>
      <c r="JL107" s="93"/>
      <c r="JM107" s="93"/>
      <c r="JN107" s="20"/>
      <c r="JO107" s="29">
        <v>40</v>
      </c>
      <c r="JP107" s="19"/>
      <c r="JQ107" s="93"/>
      <c r="JR107" s="93"/>
      <c r="JS107" s="93"/>
      <c r="JT107" s="93"/>
      <c r="JU107" s="20"/>
      <c r="JV107" s="29">
        <v>40</v>
      </c>
      <c r="JW107" s="1504">
        <v>37712</v>
      </c>
      <c r="JX107" s="19"/>
      <c r="JY107" s="93"/>
      <c r="JZ107" s="93"/>
      <c r="KA107" s="93"/>
      <c r="KB107" s="93"/>
      <c r="KC107" s="93"/>
      <c r="KD107" s="20"/>
      <c r="KE107" s="29">
        <v>40</v>
      </c>
      <c r="KF107" s="19"/>
      <c r="KG107" s="93"/>
      <c r="KH107" s="93"/>
      <c r="KI107" s="93"/>
      <c r="KJ107" s="93"/>
      <c r="KK107" s="20"/>
      <c r="KL107" s="29">
        <v>40</v>
      </c>
      <c r="KM107" s="19"/>
      <c r="KN107" s="93"/>
      <c r="KO107" s="93"/>
      <c r="KP107" s="93"/>
      <c r="KQ107" s="93"/>
      <c r="KR107" s="20"/>
      <c r="KS107" s="29">
        <v>40</v>
      </c>
      <c r="KT107" s="19"/>
      <c r="KU107" s="93"/>
      <c r="KV107" s="93"/>
      <c r="KW107" s="93"/>
      <c r="KX107" s="93"/>
      <c r="KY107" s="20"/>
      <c r="KZ107" s="29">
        <v>40</v>
      </c>
      <c r="LA107" s="1504">
        <v>37712</v>
      </c>
      <c r="LB107" s="19"/>
      <c r="LC107" s="93"/>
      <c r="LD107" s="93"/>
      <c r="LE107" s="93"/>
      <c r="LF107" s="93"/>
      <c r="LG107" s="93"/>
      <c r="LH107" s="20"/>
      <c r="LI107" s="29">
        <v>40</v>
      </c>
      <c r="LJ107" s="19"/>
      <c r="LK107" s="93"/>
      <c r="LL107" s="93"/>
      <c r="LM107" s="93"/>
      <c r="LN107" s="93"/>
      <c r="LO107" s="20"/>
      <c r="LP107" s="29">
        <v>40</v>
      </c>
      <c r="LQ107" s="19"/>
      <c r="LR107" s="93"/>
      <c r="LS107" s="93"/>
      <c r="LT107" s="93"/>
      <c r="LU107" s="93"/>
      <c r="LV107" s="93"/>
      <c r="LW107" s="93"/>
      <c r="LX107" s="93"/>
      <c r="LY107" s="93"/>
      <c r="LZ107" s="93"/>
      <c r="MA107" s="20"/>
      <c r="MB107" s="29">
        <v>40</v>
      </c>
      <c r="MC107" s="1504">
        <v>37712</v>
      </c>
      <c r="MD107" s="19"/>
      <c r="ME107" s="93"/>
      <c r="MF107" s="93"/>
      <c r="MG107" s="93"/>
      <c r="MH107" s="93"/>
      <c r="MI107" s="93"/>
      <c r="MJ107" s="93"/>
      <c r="MK107" s="93"/>
      <c r="ML107" s="93"/>
      <c r="MM107" s="93"/>
      <c r="MN107" s="93"/>
      <c r="MO107" s="93"/>
      <c r="MP107" s="93"/>
      <c r="MQ107" s="93"/>
      <c r="MR107" s="93"/>
      <c r="MS107" s="93"/>
      <c r="MT107" s="93"/>
      <c r="MU107" s="93"/>
      <c r="MV107" s="93"/>
      <c r="MW107" s="93"/>
      <c r="MX107" s="93"/>
      <c r="MY107" s="93"/>
      <c r="MZ107" s="93"/>
      <c r="NA107" s="93"/>
      <c r="NB107" s="93"/>
      <c r="NC107" s="93"/>
      <c r="ND107" s="93"/>
      <c r="NE107" s="93"/>
      <c r="NF107" s="93"/>
      <c r="NG107" s="93"/>
      <c r="NH107" s="93"/>
      <c r="NI107" s="93"/>
      <c r="NJ107" s="93"/>
      <c r="NK107" s="93"/>
      <c r="NL107" s="93"/>
      <c r="NM107" s="93"/>
      <c r="NN107" s="93"/>
      <c r="NO107" s="93"/>
      <c r="NP107" s="93"/>
      <c r="NQ107" s="93"/>
      <c r="NR107" s="93"/>
      <c r="NS107" s="93"/>
      <c r="NT107" s="93"/>
      <c r="NU107" s="93"/>
      <c r="NV107" s="93"/>
      <c r="NW107" s="93"/>
      <c r="NX107" s="93"/>
      <c r="NY107" s="93"/>
      <c r="NZ107" s="93"/>
      <c r="OA107" s="93"/>
      <c r="OB107" s="93"/>
      <c r="OC107" s="93"/>
      <c r="OD107" s="20"/>
      <c r="OE107" s="29">
        <v>40</v>
      </c>
      <c r="OF107" s="1504">
        <v>37712</v>
      </c>
      <c r="OG107" s="19"/>
      <c r="OH107" s="93"/>
      <c r="OI107" s="93"/>
      <c r="OJ107" s="93"/>
      <c r="OK107" s="93"/>
      <c r="OL107" s="93"/>
      <c r="OM107" s="93"/>
      <c r="ON107" s="93"/>
      <c r="OO107" s="93"/>
      <c r="OP107" s="93"/>
      <c r="OQ107" s="93"/>
      <c r="OR107" s="93"/>
      <c r="OS107" s="93"/>
      <c r="OT107" s="93"/>
      <c r="OU107" s="93"/>
      <c r="OV107" s="93"/>
      <c r="OW107" s="93"/>
      <c r="OX107" s="93"/>
      <c r="OY107" s="93"/>
      <c r="OZ107" s="93"/>
      <c r="PA107" s="93"/>
      <c r="PB107" s="93"/>
      <c r="PC107" s="20"/>
      <c r="PD107" s="29">
        <v>40</v>
      </c>
      <c r="PE107" s="19"/>
      <c r="PF107" s="93"/>
      <c r="PG107" s="93"/>
      <c r="PH107" s="93"/>
      <c r="PI107" s="93"/>
      <c r="PJ107" s="93"/>
      <c r="PK107" s="93"/>
      <c r="PL107" s="93"/>
      <c r="PM107" s="93"/>
      <c r="PN107" s="93"/>
      <c r="PO107" s="93"/>
      <c r="PP107" s="93"/>
      <c r="PQ107" s="93"/>
      <c r="PR107" s="93"/>
      <c r="PS107" s="93"/>
      <c r="PT107" s="93"/>
      <c r="PU107" s="93"/>
      <c r="PV107" s="93"/>
      <c r="PW107" s="93"/>
      <c r="PX107" s="93"/>
      <c r="PY107" s="93"/>
      <c r="PZ107" s="93"/>
      <c r="QA107" s="93"/>
      <c r="QB107" s="93"/>
      <c r="QC107" s="93"/>
      <c r="QD107" s="93"/>
      <c r="QE107" s="20"/>
      <c r="QF107" s="1739">
        <v>40</v>
      </c>
      <c r="QG107" s="19"/>
      <c r="QH107" s="93"/>
      <c r="QI107" s="93"/>
      <c r="QJ107" s="93"/>
      <c r="QK107" s="93"/>
      <c r="QL107" s="93"/>
      <c r="QM107" s="93"/>
      <c r="QN107" s="93"/>
      <c r="QO107" s="93"/>
      <c r="QP107" s="93"/>
      <c r="QQ107" s="93"/>
      <c r="QR107" s="93"/>
      <c r="QS107" s="93"/>
      <c r="QT107" s="93"/>
      <c r="QU107" s="93"/>
      <c r="QV107" s="93"/>
      <c r="QW107" s="93"/>
      <c r="QX107" s="93"/>
      <c r="QY107" s="93"/>
      <c r="QZ107" s="93"/>
      <c r="RA107" s="93"/>
      <c r="RB107" s="93"/>
      <c r="RC107" s="93"/>
      <c r="RD107" s="93"/>
      <c r="RE107" s="93"/>
      <c r="RF107" s="93"/>
      <c r="RG107" s="93"/>
      <c r="RH107" s="93"/>
      <c r="RI107" s="93"/>
      <c r="RJ107" s="93"/>
      <c r="RK107" s="93"/>
      <c r="RL107" s="93"/>
      <c r="RM107" s="20"/>
      <c r="RN107" s="29">
        <v>40</v>
      </c>
      <c r="RO107" s="19"/>
      <c r="RP107" s="20"/>
      <c r="RQ107" s="29">
        <v>40</v>
      </c>
      <c r="RR107" s="20"/>
      <c r="RS107" s="29">
        <v>40</v>
      </c>
      <c r="RT107" s="1504">
        <v>37712</v>
      </c>
      <c r="RU107" s="19"/>
      <c r="RV107" s="20"/>
      <c r="RW107" s="29">
        <v>40</v>
      </c>
      <c r="RX107" s="1504">
        <v>37712</v>
      </c>
      <c r="RY107" s="29"/>
      <c r="RZ107" s="20"/>
      <c r="SA107" s="29"/>
      <c r="SB107" s="29">
        <v>40</v>
      </c>
    </row>
    <row r="108" spans="1:496">
      <c r="A108" s="41">
        <f t="shared" si="187"/>
        <v>2003</v>
      </c>
      <c r="B108" s="1504">
        <v>37742</v>
      </c>
      <c r="C108" s="1813"/>
      <c r="D108" s="1814"/>
      <c r="E108" s="1814"/>
      <c r="F108" s="1815"/>
      <c r="G108" s="1814"/>
      <c r="H108" s="1814"/>
      <c r="I108" s="1814"/>
      <c r="J108" s="1816"/>
      <c r="K108" s="1807"/>
      <c r="L108" s="25">
        <v>41</v>
      </c>
      <c r="M108" s="97"/>
      <c r="N108" s="1504">
        <v>37742</v>
      </c>
      <c r="O108" s="19"/>
      <c r="P108" s="93"/>
      <c r="Q108" s="93"/>
      <c r="R108" s="93"/>
      <c r="S108" s="93"/>
      <c r="T108" s="93"/>
      <c r="U108" s="93"/>
      <c r="V108" s="93"/>
      <c r="W108" s="93"/>
      <c r="X108" s="93"/>
      <c r="Y108" s="93"/>
      <c r="Z108" s="93"/>
      <c r="AA108" s="93"/>
      <c r="AB108" s="20"/>
      <c r="AC108" s="25">
        <v>41</v>
      </c>
      <c r="AD108" s="97"/>
      <c r="AE108" s="1504">
        <v>37742</v>
      </c>
      <c r="AF108" s="19"/>
      <c r="AG108" s="93"/>
      <c r="AH108" s="93"/>
      <c r="AI108" s="93"/>
      <c r="AJ108" s="93"/>
      <c r="AK108" s="93"/>
      <c r="AL108" s="93"/>
      <c r="AM108" s="93"/>
      <c r="AN108" s="93"/>
      <c r="AO108" s="93"/>
      <c r="AP108" s="93"/>
      <c r="AQ108" s="93"/>
      <c r="AR108" s="93"/>
      <c r="AS108" s="20"/>
      <c r="AT108" s="25">
        <v>41</v>
      </c>
      <c r="AU108" s="97"/>
      <c r="AV108" s="1504">
        <v>37742</v>
      </c>
      <c r="AW108" s="19"/>
      <c r="AX108" s="93"/>
      <c r="AY108" s="93"/>
      <c r="AZ108" s="93"/>
      <c r="BA108" s="93"/>
      <c r="BB108" s="93"/>
      <c r="BC108" s="93"/>
      <c r="BD108" s="93"/>
      <c r="BE108" s="93"/>
      <c r="BF108" s="93"/>
      <c r="BG108" s="93"/>
      <c r="BH108" s="93"/>
      <c r="BI108" s="93"/>
      <c r="BJ108" s="20"/>
      <c r="BK108" s="25">
        <v>41</v>
      </c>
      <c r="BL108" s="97"/>
      <c r="BM108" s="1504">
        <v>37742</v>
      </c>
      <c r="BN108" s="19"/>
      <c r="BO108" s="93"/>
      <c r="BP108" s="93"/>
      <c r="BQ108" s="93"/>
      <c r="BR108" s="93"/>
      <c r="BS108" s="93"/>
      <c r="BT108" s="93"/>
      <c r="BU108" s="20"/>
      <c r="BV108" s="25">
        <v>41</v>
      </c>
      <c r="BW108" s="97"/>
      <c r="BX108" s="1504">
        <v>37742</v>
      </c>
      <c r="BY108" s="19"/>
      <c r="BZ108" s="99">
        <v>664.95699999999999</v>
      </c>
      <c r="CA108" s="93"/>
      <c r="CB108" s="93"/>
      <c r="CC108" s="93"/>
      <c r="CD108" s="25">
        <v>41</v>
      </c>
      <c r="CE108" s="97"/>
      <c r="CF108" s="1504">
        <v>37742</v>
      </c>
      <c r="CG108" s="19">
        <v>1.275874</v>
      </c>
      <c r="CH108" s="93">
        <v>355.68299999999999</v>
      </c>
      <c r="CI108" s="219"/>
      <c r="CJ108" s="20"/>
      <c r="CK108" s="19"/>
      <c r="CL108" s="93"/>
      <c r="CM108" s="93"/>
      <c r="CN108" s="93"/>
      <c r="CO108" s="93"/>
      <c r="CP108" s="20"/>
      <c r="CQ108" s="219">
        <v>1147.4100000000001</v>
      </c>
      <c r="CR108" s="93">
        <v>1.5225</v>
      </c>
      <c r="CS108" s="93"/>
      <c r="CT108" s="93"/>
      <c r="CU108" s="93"/>
      <c r="CV108" s="214"/>
      <c r="CW108" s="29">
        <v>41</v>
      </c>
      <c r="CX108" s="41">
        <f t="shared" si="188"/>
        <v>2003</v>
      </c>
      <c r="CY108" s="1504">
        <v>37742</v>
      </c>
      <c r="CZ108" s="733">
        <v>45.870134</v>
      </c>
      <c r="DA108" s="570">
        <v>29.145316999999999</v>
      </c>
      <c r="DB108" s="570">
        <v>16.724817000000002</v>
      </c>
      <c r="DC108" s="93"/>
      <c r="DD108" s="93"/>
      <c r="DE108" s="20"/>
      <c r="DF108" s="29">
        <v>41</v>
      </c>
      <c r="DG108" s="1504">
        <v>37742</v>
      </c>
      <c r="DH108" s="19"/>
      <c r="DI108" s="93"/>
      <c r="DJ108" s="93"/>
      <c r="DK108" s="93"/>
      <c r="DL108" s="93"/>
      <c r="DM108" s="93"/>
      <c r="DN108" s="20"/>
      <c r="DO108" s="25"/>
      <c r="DP108" s="29">
        <v>41</v>
      </c>
      <c r="DQ108" s="1504">
        <v>37742</v>
      </c>
      <c r="DR108" s="19"/>
      <c r="DS108" s="93"/>
      <c r="DT108" s="93"/>
      <c r="DU108" s="93"/>
      <c r="DV108" s="93"/>
      <c r="DW108" s="93"/>
      <c r="DX108" s="20"/>
      <c r="DY108" s="29">
        <v>41</v>
      </c>
      <c r="DZ108" s="1504">
        <v>37742</v>
      </c>
      <c r="EA108" s="19"/>
      <c r="EB108" s="93"/>
      <c r="EC108" s="20"/>
      <c r="ED108" s="29">
        <v>41</v>
      </c>
      <c r="EE108" s="1504">
        <v>37742</v>
      </c>
      <c r="EF108" s="19"/>
      <c r="EG108" s="93"/>
      <c r="EH108" s="93"/>
      <c r="EI108" s="214"/>
      <c r="EJ108" s="93"/>
      <c r="EK108" s="93"/>
      <c r="EL108" s="93"/>
      <c r="EM108" s="93"/>
      <c r="EN108" s="20"/>
      <c r="EO108" s="29">
        <v>41</v>
      </c>
      <c r="EP108" s="1504">
        <v>37742</v>
      </c>
      <c r="EQ108" s="19"/>
      <c r="ER108" s="93"/>
      <c r="ES108" s="93"/>
      <c r="ET108" s="214"/>
      <c r="EU108" s="93"/>
      <c r="EV108" s="93"/>
      <c r="EW108" s="93"/>
      <c r="EX108" s="93"/>
      <c r="EY108" s="20"/>
      <c r="EZ108" s="29">
        <v>41</v>
      </c>
      <c r="FA108" s="1504">
        <v>37742</v>
      </c>
      <c r="FB108" s="29"/>
      <c r="FC108" s="29"/>
      <c r="FD108" s="29"/>
      <c r="FE108" s="29"/>
      <c r="FF108" s="29"/>
      <c r="FG108" s="29"/>
      <c r="FH108" s="29"/>
      <c r="FI108" s="29"/>
      <c r="FJ108" s="29"/>
      <c r="FK108" s="29">
        <v>41</v>
      </c>
      <c r="FL108" s="1504">
        <v>37742</v>
      </c>
      <c r="FM108" s="19"/>
      <c r="FN108" s="93"/>
      <c r="FO108" s="93"/>
      <c r="FP108" s="93"/>
      <c r="FQ108" s="93"/>
      <c r="FR108" s="93"/>
      <c r="FS108" s="93"/>
      <c r="FT108" s="93"/>
      <c r="FU108" s="93"/>
      <c r="FV108" s="93"/>
      <c r="FW108" s="93"/>
      <c r="FX108" s="93"/>
      <c r="FY108" s="93"/>
      <c r="FZ108" s="29">
        <v>41</v>
      </c>
      <c r="GA108" s="1504">
        <v>37742</v>
      </c>
      <c r="GB108" s="19"/>
      <c r="GC108" s="93"/>
      <c r="GD108" s="93"/>
      <c r="GE108" s="93"/>
      <c r="GF108" s="93"/>
      <c r="GG108" s="93"/>
      <c r="GH108" s="93"/>
      <c r="GI108" s="93"/>
      <c r="GJ108" s="93"/>
      <c r="GK108" s="93"/>
      <c r="GL108" s="93"/>
      <c r="GM108" s="93"/>
      <c r="GN108" s="20"/>
      <c r="GO108" s="29">
        <v>41</v>
      </c>
      <c r="GP108" s="1504">
        <v>37742</v>
      </c>
      <c r="GQ108" s="19"/>
      <c r="GR108" s="93"/>
      <c r="GS108" s="93"/>
      <c r="GT108" s="93"/>
      <c r="GU108" s="93"/>
      <c r="GV108" s="20"/>
      <c r="GW108" s="19"/>
      <c r="GX108" s="93"/>
      <c r="GY108" s="93"/>
      <c r="GZ108" s="93"/>
      <c r="HA108" s="93"/>
      <c r="HB108" s="20"/>
      <c r="HC108" s="19"/>
      <c r="HD108" s="93"/>
      <c r="HE108" s="93"/>
      <c r="HF108" s="93"/>
      <c r="HG108" s="93"/>
      <c r="HH108" s="20"/>
      <c r="HI108" s="19"/>
      <c r="HJ108" s="93"/>
      <c r="HK108" s="93"/>
      <c r="HL108" s="93"/>
      <c r="HM108" s="93"/>
      <c r="HN108" s="20"/>
      <c r="HO108" s="219"/>
      <c r="HP108" s="20"/>
      <c r="HQ108" s="25"/>
      <c r="HR108" s="29">
        <v>41</v>
      </c>
      <c r="HS108" s="1504">
        <v>37742</v>
      </c>
      <c r="HT108" s="19"/>
      <c r="HU108" s="93"/>
      <c r="HV108" s="93"/>
      <c r="HW108" s="93"/>
      <c r="HX108" s="93"/>
      <c r="HY108" s="93"/>
      <c r="HZ108" s="93"/>
      <c r="IA108" s="20"/>
      <c r="IB108" s="19"/>
      <c r="IC108" s="93"/>
      <c r="ID108" s="93"/>
      <c r="IE108" s="93"/>
      <c r="IF108" s="93"/>
      <c r="IG108" s="20"/>
      <c r="IH108" s="19"/>
      <c r="II108" s="93"/>
      <c r="IJ108" s="93"/>
      <c r="IK108" s="93"/>
      <c r="IL108" s="93"/>
      <c r="IM108" s="93"/>
      <c r="IN108" s="93"/>
      <c r="IO108" s="20"/>
      <c r="IP108" s="29">
        <v>41</v>
      </c>
      <c r="IQ108" s="19"/>
      <c r="IR108" s="93"/>
      <c r="IS108" s="93"/>
      <c r="IT108" s="93"/>
      <c r="IU108" s="93"/>
      <c r="IV108" s="20"/>
      <c r="IW108" s="29">
        <v>41</v>
      </c>
      <c r="IX108" s="19"/>
      <c r="IY108" s="93"/>
      <c r="IZ108" s="93"/>
      <c r="JA108" s="93"/>
      <c r="JB108" s="93"/>
      <c r="JC108" s="93"/>
      <c r="JD108" s="93"/>
      <c r="JE108" s="20"/>
      <c r="JF108" s="29">
        <v>41</v>
      </c>
      <c r="JG108" s="19"/>
      <c r="JH108" s="93"/>
      <c r="JI108" s="93"/>
      <c r="JJ108" s="93"/>
      <c r="JK108" s="93"/>
      <c r="JL108" s="93"/>
      <c r="JM108" s="93"/>
      <c r="JN108" s="20"/>
      <c r="JO108" s="29">
        <v>41</v>
      </c>
      <c r="JP108" s="19"/>
      <c r="JQ108" s="93"/>
      <c r="JR108" s="93"/>
      <c r="JS108" s="93"/>
      <c r="JT108" s="93"/>
      <c r="JU108" s="20"/>
      <c r="JV108" s="29">
        <v>41</v>
      </c>
      <c r="JW108" s="1504">
        <v>37742</v>
      </c>
      <c r="JX108" s="19"/>
      <c r="JY108" s="93"/>
      <c r="JZ108" s="93"/>
      <c r="KA108" s="93"/>
      <c r="KB108" s="93"/>
      <c r="KC108" s="93"/>
      <c r="KD108" s="20"/>
      <c r="KE108" s="29">
        <v>41</v>
      </c>
      <c r="KF108" s="19"/>
      <c r="KG108" s="93"/>
      <c r="KH108" s="93"/>
      <c r="KI108" s="93"/>
      <c r="KJ108" s="93"/>
      <c r="KK108" s="20"/>
      <c r="KL108" s="29">
        <v>41</v>
      </c>
      <c r="KM108" s="19"/>
      <c r="KN108" s="93"/>
      <c r="KO108" s="93"/>
      <c r="KP108" s="93"/>
      <c r="KQ108" s="93"/>
      <c r="KR108" s="20"/>
      <c r="KS108" s="29">
        <v>41</v>
      </c>
      <c r="KT108" s="19"/>
      <c r="KU108" s="93"/>
      <c r="KV108" s="93"/>
      <c r="KW108" s="93"/>
      <c r="KX108" s="93"/>
      <c r="KY108" s="20"/>
      <c r="KZ108" s="29">
        <v>41</v>
      </c>
      <c r="LA108" s="1504">
        <v>37742</v>
      </c>
      <c r="LB108" s="19"/>
      <c r="LC108" s="93"/>
      <c r="LD108" s="93"/>
      <c r="LE108" s="93"/>
      <c r="LF108" s="93"/>
      <c r="LG108" s="93"/>
      <c r="LH108" s="20"/>
      <c r="LI108" s="29">
        <v>41</v>
      </c>
      <c r="LJ108" s="19"/>
      <c r="LK108" s="93"/>
      <c r="LL108" s="93"/>
      <c r="LM108" s="93"/>
      <c r="LN108" s="93"/>
      <c r="LO108" s="20"/>
      <c r="LP108" s="29">
        <v>41</v>
      </c>
      <c r="LQ108" s="19"/>
      <c r="LR108" s="93"/>
      <c r="LS108" s="93"/>
      <c r="LT108" s="93"/>
      <c r="LU108" s="93"/>
      <c r="LV108" s="93"/>
      <c r="LW108" s="93"/>
      <c r="LX108" s="93"/>
      <c r="LY108" s="93"/>
      <c r="LZ108" s="93"/>
      <c r="MA108" s="20"/>
      <c r="MB108" s="29">
        <v>41</v>
      </c>
      <c r="MC108" s="1504">
        <v>37742</v>
      </c>
      <c r="MD108" s="19"/>
      <c r="ME108" s="93"/>
      <c r="MF108" s="93"/>
      <c r="MG108" s="93"/>
      <c r="MH108" s="93"/>
      <c r="MI108" s="93"/>
      <c r="MJ108" s="93"/>
      <c r="MK108" s="93"/>
      <c r="ML108" s="93"/>
      <c r="MM108" s="93"/>
      <c r="MN108" s="93"/>
      <c r="MO108" s="93"/>
      <c r="MP108" s="93"/>
      <c r="MQ108" s="93"/>
      <c r="MR108" s="93"/>
      <c r="MS108" s="93"/>
      <c r="MT108" s="93"/>
      <c r="MU108" s="93"/>
      <c r="MV108" s="93"/>
      <c r="MW108" s="93"/>
      <c r="MX108" s="93"/>
      <c r="MY108" s="93"/>
      <c r="MZ108" s="93"/>
      <c r="NA108" s="93"/>
      <c r="NB108" s="93"/>
      <c r="NC108" s="93"/>
      <c r="ND108" s="93"/>
      <c r="NE108" s="93"/>
      <c r="NF108" s="93"/>
      <c r="NG108" s="93"/>
      <c r="NH108" s="93"/>
      <c r="NI108" s="93"/>
      <c r="NJ108" s="93"/>
      <c r="NK108" s="93"/>
      <c r="NL108" s="93"/>
      <c r="NM108" s="93"/>
      <c r="NN108" s="93"/>
      <c r="NO108" s="93"/>
      <c r="NP108" s="93"/>
      <c r="NQ108" s="93"/>
      <c r="NR108" s="93"/>
      <c r="NS108" s="93"/>
      <c r="NT108" s="93"/>
      <c r="NU108" s="93"/>
      <c r="NV108" s="93"/>
      <c r="NW108" s="93"/>
      <c r="NX108" s="93"/>
      <c r="NY108" s="93"/>
      <c r="NZ108" s="93"/>
      <c r="OA108" s="93"/>
      <c r="OB108" s="93"/>
      <c r="OC108" s="93"/>
      <c r="OD108" s="20"/>
      <c r="OE108" s="29">
        <v>41</v>
      </c>
      <c r="OF108" s="1504">
        <v>37742</v>
      </c>
      <c r="OG108" s="19"/>
      <c r="OH108" s="93"/>
      <c r="OI108" s="93"/>
      <c r="OJ108" s="93"/>
      <c r="OK108" s="93"/>
      <c r="OL108" s="93"/>
      <c r="OM108" s="93"/>
      <c r="ON108" s="93"/>
      <c r="OO108" s="93"/>
      <c r="OP108" s="93"/>
      <c r="OQ108" s="93"/>
      <c r="OR108" s="93"/>
      <c r="OS108" s="93"/>
      <c r="OT108" s="93"/>
      <c r="OU108" s="93"/>
      <c r="OV108" s="93"/>
      <c r="OW108" s="93"/>
      <c r="OX108" s="93"/>
      <c r="OY108" s="93"/>
      <c r="OZ108" s="93"/>
      <c r="PA108" s="93"/>
      <c r="PB108" s="93"/>
      <c r="PC108" s="20"/>
      <c r="PD108" s="29">
        <v>41</v>
      </c>
      <c r="PE108" s="19"/>
      <c r="PF108" s="93"/>
      <c r="PG108" s="93"/>
      <c r="PH108" s="93"/>
      <c r="PI108" s="93"/>
      <c r="PJ108" s="93"/>
      <c r="PK108" s="93"/>
      <c r="PL108" s="93"/>
      <c r="PM108" s="93"/>
      <c r="PN108" s="93"/>
      <c r="PO108" s="93"/>
      <c r="PP108" s="93"/>
      <c r="PQ108" s="93"/>
      <c r="PR108" s="93"/>
      <c r="PS108" s="93"/>
      <c r="PT108" s="93"/>
      <c r="PU108" s="93"/>
      <c r="PV108" s="93"/>
      <c r="PW108" s="93"/>
      <c r="PX108" s="93"/>
      <c r="PY108" s="93"/>
      <c r="PZ108" s="93"/>
      <c r="QA108" s="93"/>
      <c r="QB108" s="93"/>
      <c r="QC108" s="93"/>
      <c r="QD108" s="93"/>
      <c r="QE108" s="20"/>
      <c r="QF108" s="1739">
        <v>41</v>
      </c>
      <c r="QG108" s="19"/>
      <c r="QH108" s="93"/>
      <c r="QI108" s="93"/>
      <c r="QJ108" s="93"/>
      <c r="QK108" s="93"/>
      <c r="QL108" s="93"/>
      <c r="QM108" s="93"/>
      <c r="QN108" s="93"/>
      <c r="QO108" s="93"/>
      <c r="QP108" s="93"/>
      <c r="QQ108" s="93"/>
      <c r="QR108" s="93"/>
      <c r="QS108" s="93"/>
      <c r="QT108" s="93"/>
      <c r="QU108" s="93"/>
      <c r="QV108" s="93"/>
      <c r="QW108" s="93"/>
      <c r="QX108" s="93"/>
      <c r="QY108" s="93"/>
      <c r="QZ108" s="93"/>
      <c r="RA108" s="93"/>
      <c r="RB108" s="93"/>
      <c r="RC108" s="93"/>
      <c r="RD108" s="93"/>
      <c r="RE108" s="93"/>
      <c r="RF108" s="93"/>
      <c r="RG108" s="93"/>
      <c r="RH108" s="93"/>
      <c r="RI108" s="93"/>
      <c r="RJ108" s="93"/>
      <c r="RK108" s="93"/>
      <c r="RL108" s="93"/>
      <c r="RM108" s="20"/>
      <c r="RN108" s="29">
        <v>41</v>
      </c>
      <c r="RO108" s="19"/>
      <c r="RP108" s="20"/>
      <c r="RQ108" s="29">
        <v>41</v>
      </c>
      <c r="RR108" s="20"/>
      <c r="RS108" s="29">
        <v>41</v>
      </c>
      <c r="RT108" s="1504">
        <v>37742</v>
      </c>
      <c r="RU108" s="19"/>
      <c r="RV108" s="20"/>
      <c r="RW108" s="29">
        <v>41</v>
      </c>
      <c r="RX108" s="1504">
        <v>37742</v>
      </c>
      <c r="RY108" s="29"/>
      <c r="RZ108" s="20"/>
      <c r="SA108" s="29"/>
      <c r="SB108" s="29">
        <v>41</v>
      </c>
    </row>
    <row r="109" spans="1:496">
      <c r="A109" s="41">
        <f t="shared" si="187"/>
        <v>2003</v>
      </c>
      <c r="B109" s="1504">
        <v>37773</v>
      </c>
      <c r="C109" s="1813"/>
      <c r="D109" s="1814"/>
      <c r="E109" s="1814"/>
      <c r="F109" s="1815"/>
      <c r="G109" s="1814"/>
      <c r="H109" s="1814"/>
      <c r="I109" s="1814"/>
      <c r="J109" s="1816"/>
      <c r="K109" s="1807"/>
      <c r="L109" s="25">
        <v>42</v>
      </c>
      <c r="M109" s="97"/>
      <c r="N109" s="1504">
        <v>37773</v>
      </c>
      <c r="O109" s="19"/>
      <c r="P109" s="93"/>
      <c r="Q109" s="93"/>
      <c r="R109" s="93"/>
      <c r="S109" s="93"/>
      <c r="T109" s="93"/>
      <c r="U109" s="93"/>
      <c r="V109" s="93"/>
      <c r="W109" s="93"/>
      <c r="X109" s="93"/>
      <c r="Y109" s="93"/>
      <c r="Z109" s="93"/>
      <c r="AA109" s="93"/>
      <c r="AB109" s="20"/>
      <c r="AC109" s="25">
        <v>42</v>
      </c>
      <c r="AD109" s="97"/>
      <c r="AE109" s="1504">
        <v>37773</v>
      </c>
      <c r="AF109" s="19"/>
      <c r="AG109" s="93"/>
      <c r="AH109" s="93"/>
      <c r="AI109" s="93"/>
      <c r="AJ109" s="93"/>
      <c r="AK109" s="93"/>
      <c r="AL109" s="93"/>
      <c r="AM109" s="93"/>
      <c r="AN109" s="93"/>
      <c r="AO109" s="93"/>
      <c r="AP109" s="93"/>
      <c r="AQ109" s="93"/>
      <c r="AR109" s="93"/>
      <c r="AS109" s="20"/>
      <c r="AT109" s="25">
        <v>42</v>
      </c>
      <c r="AU109" s="97"/>
      <c r="AV109" s="1504">
        <v>37773</v>
      </c>
      <c r="AW109" s="19"/>
      <c r="AX109" s="93"/>
      <c r="AY109" s="93"/>
      <c r="AZ109" s="93"/>
      <c r="BA109" s="93"/>
      <c r="BB109" s="93"/>
      <c r="BC109" s="93"/>
      <c r="BD109" s="93"/>
      <c r="BE109" s="93"/>
      <c r="BF109" s="93"/>
      <c r="BG109" s="93"/>
      <c r="BH109" s="93"/>
      <c r="BI109" s="93"/>
      <c r="BJ109" s="20"/>
      <c r="BK109" s="25">
        <v>42</v>
      </c>
      <c r="BL109" s="97"/>
      <c r="BM109" s="1504">
        <v>37773</v>
      </c>
      <c r="BN109" s="19"/>
      <c r="BO109" s="93"/>
      <c r="BP109" s="93"/>
      <c r="BQ109" s="93"/>
      <c r="BR109" s="93"/>
      <c r="BS109" s="93"/>
      <c r="BT109" s="93"/>
      <c r="BU109" s="20"/>
      <c r="BV109" s="25">
        <v>42</v>
      </c>
      <c r="BW109" s="97"/>
      <c r="BX109" s="1504">
        <v>37773</v>
      </c>
      <c r="BY109" s="19"/>
      <c r="BZ109" s="99">
        <v>664.95699999999999</v>
      </c>
      <c r="CA109" s="93"/>
      <c r="CB109" s="93"/>
      <c r="CC109" s="93"/>
      <c r="CD109" s="25">
        <v>42</v>
      </c>
      <c r="CE109" s="97"/>
      <c r="CF109" s="1504">
        <v>37773</v>
      </c>
      <c r="CG109" s="19">
        <v>1.2850060000000001</v>
      </c>
      <c r="CH109" s="93">
        <v>356.35199999999998</v>
      </c>
      <c r="CI109" s="219"/>
      <c r="CJ109" s="20"/>
      <c r="CK109" s="19"/>
      <c r="CL109" s="93"/>
      <c r="CM109" s="93"/>
      <c r="CN109" s="93"/>
      <c r="CO109" s="93"/>
      <c r="CP109" s="20"/>
      <c r="CQ109" s="219">
        <v>1234.5899999999999</v>
      </c>
      <c r="CR109" s="93">
        <v>1.5024999999999999</v>
      </c>
      <c r="CS109" s="93"/>
      <c r="CT109" s="93"/>
      <c r="CU109" s="93"/>
      <c r="CV109" s="214"/>
      <c r="CW109" s="29">
        <v>42</v>
      </c>
      <c r="CX109" s="41">
        <f t="shared" si="188"/>
        <v>2003</v>
      </c>
      <c r="CY109" s="1504">
        <v>37773</v>
      </c>
      <c r="CZ109" s="733">
        <v>37.053392000000002</v>
      </c>
      <c r="DA109" s="570">
        <v>22.689882999999998</v>
      </c>
      <c r="DB109" s="570">
        <v>14.363509000000001</v>
      </c>
      <c r="DC109" s="93"/>
      <c r="DD109" s="93"/>
      <c r="DE109" s="20"/>
      <c r="DF109" s="29">
        <v>42</v>
      </c>
      <c r="DG109" s="1504">
        <v>37773</v>
      </c>
      <c r="DH109" s="19"/>
      <c r="DI109" s="93"/>
      <c r="DJ109" s="93"/>
      <c r="DK109" s="93"/>
      <c r="DL109" s="93"/>
      <c r="DM109" s="93"/>
      <c r="DN109" s="20"/>
      <c r="DO109" s="25"/>
      <c r="DP109" s="29">
        <v>42</v>
      </c>
      <c r="DQ109" s="1504">
        <v>37773</v>
      </c>
      <c r="DR109" s="19"/>
      <c r="DS109" s="93"/>
      <c r="DT109" s="93"/>
      <c r="DU109" s="93"/>
      <c r="DV109" s="93"/>
      <c r="DW109" s="93"/>
      <c r="DX109" s="20"/>
      <c r="DY109" s="29">
        <v>42</v>
      </c>
      <c r="DZ109" s="1504">
        <v>37773</v>
      </c>
      <c r="EA109" s="19"/>
      <c r="EB109" s="93"/>
      <c r="EC109" s="20"/>
      <c r="ED109" s="29">
        <v>42</v>
      </c>
      <c r="EE109" s="1504">
        <v>37773</v>
      </c>
      <c r="EF109" s="19"/>
      <c r="EG109" s="93"/>
      <c r="EH109" s="93"/>
      <c r="EI109" s="214"/>
      <c r="EJ109" s="93"/>
      <c r="EK109" s="93"/>
      <c r="EL109" s="93"/>
      <c r="EM109" s="93"/>
      <c r="EN109" s="20"/>
      <c r="EO109" s="29">
        <v>42</v>
      </c>
      <c r="EP109" s="1504">
        <v>37773</v>
      </c>
      <c r="EQ109" s="19"/>
      <c r="ER109" s="93"/>
      <c r="ES109" s="93"/>
      <c r="ET109" s="214"/>
      <c r="EU109" s="93"/>
      <c r="EV109" s="93"/>
      <c r="EW109" s="93"/>
      <c r="EX109" s="93"/>
      <c r="EY109" s="20"/>
      <c r="EZ109" s="29">
        <v>42</v>
      </c>
      <c r="FA109" s="1504">
        <v>37773</v>
      </c>
      <c r="FB109" s="29"/>
      <c r="FC109" s="29"/>
      <c r="FD109" s="29"/>
      <c r="FE109" s="29"/>
      <c r="FF109" s="29"/>
      <c r="FG109" s="29"/>
      <c r="FH109" s="29"/>
      <c r="FI109" s="29"/>
      <c r="FJ109" s="29"/>
      <c r="FK109" s="29">
        <v>42</v>
      </c>
      <c r="FL109" s="1504">
        <v>37773</v>
      </c>
      <c r="FM109" s="19"/>
      <c r="FN109" s="93"/>
      <c r="FO109" s="93"/>
      <c r="FP109" s="93"/>
      <c r="FQ109" s="93"/>
      <c r="FR109" s="93"/>
      <c r="FS109" s="93"/>
      <c r="FT109" s="93"/>
      <c r="FU109" s="93"/>
      <c r="FV109" s="93"/>
      <c r="FW109" s="93"/>
      <c r="FX109" s="93"/>
      <c r="FY109" s="93"/>
      <c r="FZ109" s="29">
        <v>42</v>
      </c>
      <c r="GA109" s="1504">
        <v>37773</v>
      </c>
      <c r="GB109" s="19"/>
      <c r="GC109" s="93"/>
      <c r="GD109" s="93"/>
      <c r="GE109" s="93"/>
      <c r="GF109" s="93"/>
      <c r="GG109" s="93"/>
      <c r="GH109" s="93"/>
      <c r="GI109" s="93"/>
      <c r="GJ109" s="93"/>
      <c r="GK109" s="93"/>
      <c r="GL109" s="93"/>
      <c r="GM109" s="93"/>
      <c r="GN109" s="20"/>
      <c r="GO109" s="29">
        <v>42</v>
      </c>
      <c r="GP109" s="1504">
        <v>37773</v>
      </c>
      <c r="GQ109" s="19"/>
      <c r="GR109" s="93"/>
      <c r="GS109" s="93"/>
      <c r="GT109" s="93"/>
      <c r="GU109" s="93"/>
      <c r="GV109" s="20"/>
      <c r="GW109" s="19"/>
      <c r="GX109" s="93"/>
      <c r="GY109" s="93"/>
      <c r="GZ109" s="93"/>
      <c r="HA109" s="93"/>
      <c r="HB109" s="20"/>
      <c r="HC109" s="19"/>
      <c r="HD109" s="93"/>
      <c r="HE109" s="93"/>
      <c r="HF109" s="93"/>
      <c r="HG109" s="93"/>
      <c r="HH109" s="20"/>
      <c r="HI109" s="19"/>
      <c r="HJ109" s="93"/>
      <c r="HK109" s="93"/>
      <c r="HL109" s="93"/>
      <c r="HM109" s="93"/>
      <c r="HN109" s="20"/>
      <c r="HO109" s="219"/>
      <c r="HP109" s="20"/>
      <c r="HQ109" s="25"/>
      <c r="HR109" s="29">
        <v>42</v>
      </c>
      <c r="HS109" s="1504">
        <v>37773</v>
      </c>
      <c r="HT109" s="19"/>
      <c r="HU109" s="93"/>
      <c r="HV109" s="93"/>
      <c r="HW109" s="93"/>
      <c r="HX109" s="93"/>
      <c r="HY109" s="93"/>
      <c r="HZ109" s="93"/>
      <c r="IA109" s="20"/>
      <c r="IB109" s="19"/>
      <c r="IC109" s="93"/>
      <c r="ID109" s="93"/>
      <c r="IE109" s="93"/>
      <c r="IF109" s="93"/>
      <c r="IG109" s="20"/>
      <c r="IH109" s="19"/>
      <c r="II109" s="93"/>
      <c r="IJ109" s="93"/>
      <c r="IK109" s="93"/>
      <c r="IL109" s="93"/>
      <c r="IM109" s="93"/>
      <c r="IN109" s="93"/>
      <c r="IO109" s="20"/>
      <c r="IP109" s="29">
        <v>42</v>
      </c>
      <c r="IQ109" s="19"/>
      <c r="IR109" s="93"/>
      <c r="IS109" s="93"/>
      <c r="IT109" s="93"/>
      <c r="IU109" s="93"/>
      <c r="IV109" s="20"/>
      <c r="IW109" s="29">
        <v>42</v>
      </c>
      <c r="IX109" s="19"/>
      <c r="IY109" s="93"/>
      <c r="IZ109" s="93"/>
      <c r="JA109" s="93"/>
      <c r="JB109" s="93"/>
      <c r="JC109" s="93"/>
      <c r="JD109" s="93"/>
      <c r="JE109" s="20"/>
      <c r="JF109" s="29">
        <v>42</v>
      </c>
      <c r="JG109" s="19"/>
      <c r="JH109" s="93"/>
      <c r="JI109" s="93"/>
      <c r="JJ109" s="93"/>
      <c r="JK109" s="93"/>
      <c r="JL109" s="93"/>
      <c r="JM109" s="93"/>
      <c r="JN109" s="20"/>
      <c r="JO109" s="29">
        <v>42</v>
      </c>
      <c r="JP109" s="19"/>
      <c r="JQ109" s="93"/>
      <c r="JR109" s="93"/>
      <c r="JS109" s="93"/>
      <c r="JT109" s="93"/>
      <c r="JU109" s="20"/>
      <c r="JV109" s="29">
        <v>42</v>
      </c>
      <c r="JW109" s="1504">
        <v>37773</v>
      </c>
      <c r="JX109" s="19"/>
      <c r="JY109" s="93"/>
      <c r="JZ109" s="93"/>
      <c r="KA109" s="93"/>
      <c r="KB109" s="93"/>
      <c r="KC109" s="93"/>
      <c r="KD109" s="20"/>
      <c r="KE109" s="29">
        <v>42</v>
      </c>
      <c r="KF109" s="19"/>
      <c r="KG109" s="93"/>
      <c r="KH109" s="93"/>
      <c r="KI109" s="93"/>
      <c r="KJ109" s="93"/>
      <c r="KK109" s="20"/>
      <c r="KL109" s="29">
        <v>42</v>
      </c>
      <c r="KM109" s="19"/>
      <c r="KN109" s="93"/>
      <c r="KO109" s="93"/>
      <c r="KP109" s="93"/>
      <c r="KQ109" s="93"/>
      <c r="KR109" s="20"/>
      <c r="KS109" s="29">
        <v>42</v>
      </c>
      <c r="KT109" s="19"/>
      <c r="KU109" s="93"/>
      <c r="KV109" s="93"/>
      <c r="KW109" s="93"/>
      <c r="KX109" s="93"/>
      <c r="KY109" s="20"/>
      <c r="KZ109" s="29">
        <v>42</v>
      </c>
      <c r="LA109" s="1504">
        <v>37773</v>
      </c>
      <c r="LB109" s="19"/>
      <c r="LC109" s="93"/>
      <c r="LD109" s="93"/>
      <c r="LE109" s="93"/>
      <c r="LF109" s="93"/>
      <c r="LG109" s="93"/>
      <c r="LH109" s="20"/>
      <c r="LI109" s="29">
        <v>42</v>
      </c>
      <c r="LJ109" s="19"/>
      <c r="LK109" s="93"/>
      <c r="LL109" s="93"/>
      <c r="LM109" s="93"/>
      <c r="LN109" s="93"/>
      <c r="LO109" s="20"/>
      <c r="LP109" s="29">
        <v>42</v>
      </c>
      <c r="LQ109" s="19"/>
      <c r="LR109" s="93"/>
      <c r="LS109" s="93"/>
      <c r="LT109" s="93"/>
      <c r="LU109" s="93"/>
      <c r="LV109" s="93"/>
      <c r="LW109" s="93"/>
      <c r="LX109" s="93"/>
      <c r="LY109" s="93"/>
      <c r="LZ109" s="93"/>
      <c r="MA109" s="20"/>
      <c r="MB109" s="29">
        <v>42</v>
      </c>
      <c r="MC109" s="1504">
        <v>37773</v>
      </c>
      <c r="MD109" s="19"/>
      <c r="ME109" s="93"/>
      <c r="MF109" s="93"/>
      <c r="MG109" s="93"/>
      <c r="MH109" s="93"/>
      <c r="MI109" s="93"/>
      <c r="MJ109" s="93"/>
      <c r="MK109" s="93"/>
      <c r="ML109" s="93"/>
      <c r="MM109" s="93"/>
      <c r="MN109" s="93"/>
      <c r="MO109" s="93"/>
      <c r="MP109" s="93"/>
      <c r="MQ109" s="93"/>
      <c r="MR109" s="93"/>
      <c r="MS109" s="93"/>
      <c r="MT109" s="93"/>
      <c r="MU109" s="93"/>
      <c r="MV109" s="93"/>
      <c r="MW109" s="93"/>
      <c r="MX109" s="93"/>
      <c r="MY109" s="93"/>
      <c r="MZ109" s="93"/>
      <c r="NA109" s="93"/>
      <c r="NB109" s="93"/>
      <c r="NC109" s="93"/>
      <c r="ND109" s="93"/>
      <c r="NE109" s="93"/>
      <c r="NF109" s="93"/>
      <c r="NG109" s="93"/>
      <c r="NH109" s="93"/>
      <c r="NI109" s="93"/>
      <c r="NJ109" s="93"/>
      <c r="NK109" s="93"/>
      <c r="NL109" s="93"/>
      <c r="NM109" s="93"/>
      <c r="NN109" s="93"/>
      <c r="NO109" s="93"/>
      <c r="NP109" s="93"/>
      <c r="NQ109" s="93"/>
      <c r="NR109" s="93"/>
      <c r="NS109" s="93"/>
      <c r="NT109" s="93"/>
      <c r="NU109" s="93"/>
      <c r="NV109" s="93"/>
      <c r="NW109" s="93"/>
      <c r="NX109" s="93"/>
      <c r="NY109" s="93"/>
      <c r="NZ109" s="93"/>
      <c r="OA109" s="93"/>
      <c r="OB109" s="93"/>
      <c r="OC109" s="93"/>
      <c r="OD109" s="20"/>
      <c r="OE109" s="29">
        <v>42</v>
      </c>
      <c r="OF109" s="1504">
        <v>37773</v>
      </c>
      <c r="OG109" s="19"/>
      <c r="OH109" s="93"/>
      <c r="OI109" s="93"/>
      <c r="OJ109" s="93"/>
      <c r="OK109" s="93"/>
      <c r="OL109" s="93"/>
      <c r="OM109" s="93"/>
      <c r="ON109" s="93"/>
      <c r="OO109" s="93"/>
      <c r="OP109" s="93"/>
      <c r="OQ109" s="93"/>
      <c r="OR109" s="93"/>
      <c r="OS109" s="93"/>
      <c r="OT109" s="93"/>
      <c r="OU109" s="93"/>
      <c r="OV109" s="93"/>
      <c r="OW109" s="93"/>
      <c r="OX109" s="93"/>
      <c r="OY109" s="93"/>
      <c r="OZ109" s="93"/>
      <c r="PA109" s="93"/>
      <c r="PB109" s="93"/>
      <c r="PC109" s="20"/>
      <c r="PD109" s="29">
        <v>42</v>
      </c>
      <c r="PE109" s="19"/>
      <c r="PF109" s="93"/>
      <c r="PG109" s="93"/>
      <c r="PH109" s="93"/>
      <c r="PI109" s="93"/>
      <c r="PJ109" s="93"/>
      <c r="PK109" s="93"/>
      <c r="PL109" s="93"/>
      <c r="PM109" s="93"/>
      <c r="PN109" s="93"/>
      <c r="PO109" s="93"/>
      <c r="PP109" s="93"/>
      <c r="PQ109" s="93"/>
      <c r="PR109" s="93"/>
      <c r="PS109" s="93"/>
      <c r="PT109" s="93"/>
      <c r="PU109" s="93"/>
      <c r="PV109" s="93"/>
      <c r="PW109" s="93"/>
      <c r="PX109" s="93"/>
      <c r="PY109" s="93"/>
      <c r="PZ109" s="93"/>
      <c r="QA109" s="93"/>
      <c r="QB109" s="93"/>
      <c r="QC109" s="93"/>
      <c r="QD109" s="93"/>
      <c r="QE109" s="20"/>
      <c r="QF109" s="1739">
        <v>42</v>
      </c>
      <c r="QG109" s="19"/>
      <c r="QH109" s="93"/>
      <c r="QI109" s="93"/>
      <c r="QJ109" s="93"/>
      <c r="QK109" s="93"/>
      <c r="QL109" s="93"/>
      <c r="QM109" s="93"/>
      <c r="QN109" s="93"/>
      <c r="QO109" s="93"/>
      <c r="QP109" s="93"/>
      <c r="QQ109" s="93"/>
      <c r="QR109" s="93"/>
      <c r="QS109" s="93"/>
      <c r="QT109" s="93"/>
      <c r="QU109" s="93"/>
      <c r="QV109" s="93"/>
      <c r="QW109" s="93"/>
      <c r="QX109" s="93"/>
      <c r="QY109" s="93"/>
      <c r="QZ109" s="93"/>
      <c r="RA109" s="93"/>
      <c r="RB109" s="93"/>
      <c r="RC109" s="93"/>
      <c r="RD109" s="93"/>
      <c r="RE109" s="93"/>
      <c r="RF109" s="93"/>
      <c r="RG109" s="93"/>
      <c r="RH109" s="93"/>
      <c r="RI109" s="93"/>
      <c r="RJ109" s="93"/>
      <c r="RK109" s="93"/>
      <c r="RL109" s="93"/>
      <c r="RM109" s="20"/>
      <c r="RN109" s="29">
        <v>42</v>
      </c>
      <c r="RO109" s="19"/>
      <c r="RP109" s="20"/>
      <c r="RQ109" s="29">
        <v>42</v>
      </c>
      <c r="RR109" s="20"/>
      <c r="RS109" s="29">
        <v>42</v>
      </c>
      <c r="RT109" s="1504">
        <v>37773</v>
      </c>
      <c r="RU109" s="19"/>
      <c r="RV109" s="20"/>
      <c r="RW109" s="29">
        <v>42</v>
      </c>
      <c r="RX109" s="1504">
        <v>37773</v>
      </c>
      <c r="RY109" s="29"/>
      <c r="RZ109" s="20"/>
      <c r="SA109" s="29"/>
      <c r="SB109" s="29">
        <v>42</v>
      </c>
    </row>
    <row r="110" spans="1:496">
      <c r="A110" s="41">
        <f t="shared" si="187"/>
        <v>2003</v>
      </c>
      <c r="B110" s="1504">
        <v>37803</v>
      </c>
      <c r="C110" s="1813"/>
      <c r="D110" s="1814"/>
      <c r="E110" s="1814"/>
      <c r="F110" s="1815"/>
      <c r="G110" s="1814"/>
      <c r="H110" s="1814"/>
      <c r="I110" s="1814"/>
      <c r="J110" s="1816"/>
      <c r="K110" s="1807"/>
      <c r="L110" s="25">
        <v>43</v>
      </c>
      <c r="M110" s="97"/>
      <c r="N110" s="1504">
        <v>37803</v>
      </c>
      <c r="O110" s="19"/>
      <c r="P110" s="93"/>
      <c r="Q110" s="93"/>
      <c r="R110" s="93"/>
      <c r="S110" s="93"/>
      <c r="T110" s="93"/>
      <c r="U110" s="93"/>
      <c r="V110" s="93"/>
      <c r="W110" s="93"/>
      <c r="X110" s="93"/>
      <c r="Y110" s="93"/>
      <c r="Z110" s="93"/>
      <c r="AA110" s="93"/>
      <c r="AB110" s="20"/>
      <c r="AC110" s="25">
        <v>43</v>
      </c>
      <c r="AD110" s="97"/>
      <c r="AE110" s="1504">
        <v>37803</v>
      </c>
      <c r="AF110" s="19"/>
      <c r="AG110" s="93"/>
      <c r="AH110" s="93"/>
      <c r="AI110" s="93"/>
      <c r="AJ110" s="93"/>
      <c r="AK110" s="93"/>
      <c r="AL110" s="93"/>
      <c r="AM110" s="93"/>
      <c r="AN110" s="93"/>
      <c r="AO110" s="93"/>
      <c r="AP110" s="93"/>
      <c r="AQ110" s="93"/>
      <c r="AR110" s="93"/>
      <c r="AS110" s="20"/>
      <c r="AT110" s="25">
        <v>43</v>
      </c>
      <c r="AU110" s="97"/>
      <c r="AV110" s="1504">
        <v>37803</v>
      </c>
      <c r="AW110" s="19"/>
      <c r="AX110" s="93"/>
      <c r="AY110" s="93"/>
      <c r="AZ110" s="93"/>
      <c r="BA110" s="93"/>
      <c r="BB110" s="93"/>
      <c r="BC110" s="93"/>
      <c r="BD110" s="93"/>
      <c r="BE110" s="93"/>
      <c r="BF110" s="93"/>
      <c r="BG110" s="93"/>
      <c r="BH110" s="93"/>
      <c r="BI110" s="93"/>
      <c r="BJ110" s="20"/>
      <c r="BK110" s="25">
        <v>43</v>
      </c>
      <c r="BL110" s="97"/>
      <c r="BM110" s="1504">
        <v>37803</v>
      </c>
      <c r="BN110" s="19"/>
      <c r="BO110" s="93"/>
      <c r="BP110" s="93"/>
      <c r="BQ110" s="93"/>
      <c r="BR110" s="93"/>
      <c r="BS110" s="93"/>
      <c r="BT110" s="93"/>
      <c r="BU110" s="20"/>
      <c r="BV110" s="25">
        <v>43</v>
      </c>
      <c r="BW110" s="97"/>
      <c r="BX110" s="1504">
        <v>37803</v>
      </c>
      <c r="BY110" s="19"/>
      <c r="BZ110" s="99">
        <v>664.95699999999999</v>
      </c>
      <c r="CA110" s="93"/>
      <c r="CB110" s="93"/>
      <c r="CC110" s="93"/>
      <c r="CD110" s="25">
        <v>43</v>
      </c>
      <c r="CE110" s="97"/>
      <c r="CF110" s="1504">
        <v>37803</v>
      </c>
      <c r="CG110" s="19">
        <v>1.327469</v>
      </c>
      <c r="CH110" s="93">
        <v>351.02</v>
      </c>
      <c r="CI110" s="219"/>
      <c r="CJ110" s="20"/>
      <c r="CK110" s="19"/>
      <c r="CL110" s="93"/>
      <c r="CM110" s="93"/>
      <c r="CN110" s="93"/>
      <c r="CO110" s="93"/>
      <c r="CP110" s="20"/>
      <c r="CQ110" s="219">
        <v>1261.43</v>
      </c>
      <c r="CR110" s="93">
        <v>1.546</v>
      </c>
      <c r="CS110" s="93"/>
      <c r="CT110" s="93"/>
      <c r="CU110" s="93"/>
      <c r="CV110" s="214"/>
      <c r="CW110" s="29">
        <v>43</v>
      </c>
      <c r="CX110" s="41">
        <f t="shared" si="188"/>
        <v>2003</v>
      </c>
      <c r="CY110" s="1504">
        <v>37803</v>
      </c>
      <c r="CZ110" s="733">
        <v>30.903051000000001</v>
      </c>
      <c r="DA110" s="570">
        <v>19.710999000000001</v>
      </c>
      <c r="DB110" s="570">
        <v>11.192052</v>
      </c>
      <c r="DC110" s="93"/>
      <c r="DD110" s="93"/>
      <c r="DE110" s="20"/>
      <c r="DF110" s="29">
        <v>43</v>
      </c>
      <c r="DG110" s="1504">
        <v>37803</v>
      </c>
      <c r="DH110" s="19"/>
      <c r="DI110" s="93"/>
      <c r="DJ110" s="93"/>
      <c r="DK110" s="93"/>
      <c r="DL110" s="93"/>
      <c r="DM110" s="93"/>
      <c r="DN110" s="20"/>
      <c r="DO110" s="25"/>
      <c r="DP110" s="29">
        <v>43</v>
      </c>
      <c r="DQ110" s="1504">
        <v>37803</v>
      </c>
      <c r="DR110" s="19"/>
      <c r="DS110" s="93"/>
      <c r="DT110" s="93"/>
      <c r="DU110" s="93"/>
      <c r="DV110" s="93"/>
      <c r="DW110" s="93"/>
      <c r="DX110" s="20"/>
      <c r="DY110" s="29">
        <v>43</v>
      </c>
      <c r="DZ110" s="1504">
        <v>37803</v>
      </c>
      <c r="EA110" s="19"/>
      <c r="EB110" s="93"/>
      <c r="EC110" s="20"/>
      <c r="ED110" s="29">
        <v>43</v>
      </c>
      <c r="EE110" s="1504">
        <v>37803</v>
      </c>
      <c r="EF110" s="19"/>
      <c r="EG110" s="93"/>
      <c r="EH110" s="93"/>
      <c r="EI110" s="214"/>
      <c r="EJ110" s="93"/>
      <c r="EK110" s="93"/>
      <c r="EL110" s="93"/>
      <c r="EM110" s="93"/>
      <c r="EN110" s="20"/>
      <c r="EO110" s="29">
        <v>43</v>
      </c>
      <c r="EP110" s="1504">
        <v>37803</v>
      </c>
      <c r="EQ110" s="19"/>
      <c r="ER110" s="93"/>
      <c r="ES110" s="93"/>
      <c r="ET110" s="214"/>
      <c r="EU110" s="93"/>
      <c r="EV110" s="93"/>
      <c r="EW110" s="93"/>
      <c r="EX110" s="93"/>
      <c r="EY110" s="20"/>
      <c r="EZ110" s="29">
        <v>43</v>
      </c>
      <c r="FA110" s="1504">
        <v>37803</v>
      </c>
      <c r="FB110" s="29"/>
      <c r="FC110" s="29"/>
      <c r="FD110" s="29"/>
      <c r="FE110" s="29"/>
      <c r="FF110" s="29"/>
      <c r="FG110" s="29"/>
      <c r="FH110" s="29"/>
      <c r="FI110" s="29"/>
      <c r="FJ110" s="29"/>
      <c r="FK110" s="29">
        <v>43</v>
      </c>
      <c r="FL110" s="1504">
        <v>37803</v>
      </c>
      <c r="FM110" s="19"/>
      <c r="FN110" s="93"/>
      <c r="FO110" s="93"/>
      <c r="FP110" s="93"/>
      <c r="FQ110" s="93"/>
      <c r="FR110" s="93"/>
      <c r="FS110" s="93"/>
      <c r="FT110" s="93"/>
      <c r="FU110" s="93"/>
      <c r="FV110" s="93"/>
      <c r="FW110" s="93"/>
      <c r="FX110" s="93"/>
      <c r="FY110" s="93"/>
      <c r="FZ110" s="29">
        <v>43</v>
      </c>
      <c r="GA110" s="1504">
        <v>37803</v>
      </c>
      <c r="GB110" s="19"/>
      <c r="GC110" s="93"/>
      <c r="GD110" s="93"/>
      <c r="GE110" s="93"/>
      <c r="GF110" s="93"/>
      <c r="GG110" s="93"/>
      <c r="GH110" s="93"/>
      <c r="GI110" s="93"/>
      <c r="GJ110" s="93"/>
      <c r="GK110" s="93"/>
      <c r="GL110" s="93"/>
      <c r="GM110" s="93"/>
      <c r="GN110" s="20"/>
      <c r="GO110" s="29">
        <v>43</v>
      </c>
      <c r="GP110" s="1504">
        <v>37803</v>
      </c>
      <c r="GQ110" s="19"/>
      <c r="GR110" s="93"/>
      <c r="GS110" s="93"/>
      <c r="GT110" s="93"/>
      <c r="GU110" s="93"/>
      <c r="GV110" s="20"/>
      <c r="GW110" s="19"/>
      <c r="GX110" s="93"/>
      <c r="GY110" s="93"/>
      <c r="GZ110" s="93"/>
      <c r="HA110" s="93"/>
      <c r="HB110" s="20"/>
      <c r="HC110" s="19"/>
      <c r="HD110" s="93"/>
      <c r="HE110" s="93"/>
      <c r="HF110" s="93"/>
      <c r="HG110" s="93"/>
      <c r="HH110" s="20"/>
      <c r="HI110" s="19"/>
      <c r="HJ110" s="93"/>
      <c r="HK110" s="93"/>
      <c r="HL110" s="93"/>
      <c r="HM110" s="93"/>
      <c r="HN110" s="20"/>
      <c r="HO110" s="219"/>
      <c r="HP110" s="20"/>
      <c r="HQ110" s="25"/>
      <c r="HR110" s="29">
        <v>43</v>
      </c>
      <c r="HS110" s="1504">
        <v>37803</v>
      </c>
      <c r="HT110" s="19"/>
      <c r="HU110" s="93"/>
      <c r="HV110" s="93"/>
      <c r="HW110" s="93"/>
      <c r="HX110" s="93"/>
      <c r="HY110" s="93"/>
      <c r="HZ110" s="93"/>
      <c r="IA110" s="20"/>
      <c r="IB110" s="19"/>
      <c r="IC110" s="93"/>
      <c r="ID110" s="93"/>
      <c r="IE110" s="93"/>
      <c r="IF110" s="93"/>
      <c r="IG110" s="20"/>
      <c r="IH110" s="19"/>
      <c r="II110" s="93"/>
      <c r="IJ110" s="93"/>
      <c r="IK110" s="93"/>
      <c r="IL110" s="93"/>
      <c r="IM110" s="93"/>
      <c r="IN110" s="93"/>
      <c r="IO110" s="20"/>
      <c r="IP110" s="29">
        <v>43</v>
      </c>
      <c r="IQ110" s="19"/>
      <c r="IR110" s="93"/>
      <c r="IS110" s="93"/>
      <c r="IT110" s="93"/>
      <c r="IU110" s="93"/>
      <c r="IV110" s="20"/>
      <c r="IW110" s="29">
        <v>43</v>
      </c>
      <c r="IX110" s="19"/>
      <c r="IY110" s="93"/>
      <c r="IZ110" s="93"/>
      <c r="JA110" s="93"/>
      <c r="JB110" s="93"/>
      <c r="JC110" s="93"/>
      <c r="JD110" s="93"/>
      <c r="JE110" s="20"/>
      <c r="JF110" s="29">
        <v>43</v>
      </c>
      <c r="JG110" s="19"/>
      <c r="JH110" s="93"/>
      <c r="JI110" s="93"/>
      <c r="JJ110" s="93"/>
      <c r="JK110" s="93"/>
      <c r="JL110" s="93"/>
      <c r="JM110" s="93"/>
      <c r="JN110" s="20"/>
      <c r="JO110" s="29">
        <v>43</v>
      </c>
      <c r="JP110" s="19"/>
      <c r="JQ110" s="93"/>
      <c r="JR110" s="93"/>
      <c r="JS110" s="93"/>
      <c r="JT110" s="93"/>
      <c r="JU110" s="20"/>
      <c r="JV110" s="29">
        <v>43</v>
      </c>
      <c r="JW110" s="1504">
        <v>37803</v>
      </c>
      <c r="JX110" s="19"/>
      <c r="JY110" s="93"/>
      <c r="JZ110" s="93"/>
      <c r="KA110" s="93"/>
      <c r="KB110" s="93"/>
      <c r="KC110" s="93"/>
      <c r="KD110" s="20"/>
      <c r="KE110" s="29">
        <v>43</v>
      </c>
      <c r="KF110" s="19"/>
      <c r="KG110" s="93"/>
      <c r="KH110" s="93"/>
      <c r="KI110" s="93"/>
      <c r="KJ110" s="93"/>
      <c r="KK110" s="20"/>
      <c r="KL110" s="29">
        <v>43</v>
      </c>
      <c r="KM110" s="19"/>
      <c r="KN110" s="93"/>
      <c r="KO110" s="93"/>
      <c r="KP110" s="93"/>
      <c r="KQ110" s="93"/>
      <c r="KR110" s="20"/>
      <c r="KS110" s="29">
        <v>43</v>
      </c>
      <c r="KT110" s="19"/>
      <c r="KU110" s="93"/>
      <c r="KV110" s="93"/>
      <c r="KW110" s="93"/>
      <c r="KX110" s="93"/>
      <c r="KY110" s="20"/>
      <c r="KZ110" s="29">
        <v>43</v>
      </c>
      <c r="LA110" s="1504">
        <v>37803</v>
      </c>
      <c r="LB110" s="19"/>
      <c r="LC110" s="93"/>
      <c r="LD110" s="93"/>
      <c r="LE110" s="93"/>
      <c r="LF110" s="93"/>
      <c r="LG110" s="93"/>
      <c r="LH110" s="20"/>
      <c r="LI110" s="29">
        <v>43</v>
      </c>
      <c r="LJ110" s="19"/>
      <c r="LK110" s="93"/>
      <c r="LL110" s="93"/>
      <c r="LM110" s="93"/>
      <c r="LN110" s="93"/>
      <c r="LO110" s="20"/>
      <c r="LP110" s="29">
        <v>43</v>
      </c>
      <c r="LQ110" s="19"/>
      <c r="LR110" s="93"/>
      <c r="LS110" s="93"/>
      <c r="LT110" s="93"/>
      <c r="LU110" s="93"/>
      <c r="LV110" s="93"/>
      <c r="LW110" s="93"/>
      <c r="LX110" s="93"/>
      <c r="LY110" s="93"/>
      <c r="LZ110" s="93"/>
      <c r="MA110" s="20"/>
      <c r="MB110" s="29">
        <v>43</v>
      </c>
      <c r="MC110" s="1504">
        <v>37803</v>
      </c>
      <c r="MD110" s="19"/>
      <c r="ME110" s="93"/>
      <c r="MF110" s="93"/>
      <c r="MG110" s="93"/>
      <c r="MH110" s="93"/>
      <c r="MI110" s="93"/>
      <c r="MJ110" s="93"/>
      <c r="MK110" s="93"/>
      <c r="ML110" s="93"/>
      <c r="MM110" s="93"/>
      <c r="MN110" s="93"/>
      <c r="MO110" s="93"/>
      <c r="MP110" s="93"/>
      <c r="MQ110" s="93"/>
      <c r="MR110" s="93"/>
      <c r="MS110" s="93"/>
      <c r="MT110" s="93"/>
      <c r="MU110" s="93"/>
      <c r="MV110" s="93"/>
      <c r="MW110" s="93"/>
      <c r="MX110" s="93"/>
      <c r="MY110" s="93"/>
      <c r="MZ110" s="93"/>
      <c r="NA110" s="93"/>
      <c r="NB110" s="93"/>
      <c r="NC110" s="93"/>
      <c r="ND110" s="93"/>
      <c r="NE110" s="93"/>
      <c r="NF110" s="93"/>
      <c r="NG110" s="93"/>
      <c r="NH110" s="93"/>
      <c r="NI110" s="93"/>
      <c r="NJ110" s="93"/>
      <c r="NK110" s="93"/>
      <c r="NL110" s="93"/>
      <c r="NM110" s="93"/>
      <c r="NN110" s="93"/>
      <c r="NO110" s="93"/>
      <c r="NP110" s="93"/>
      <c r="NQ110" s="93"/>
      <c r="NR110" s="93"/>
      <c r="NS110" s="93"/>
      <c r="NT110" s="93"/>
      <c r="NU110" s="93"/>
      <c r="NV110" s="93"/>
      <c r="NW110" s="93"/>
      <c r="NX110" s="93"/>
      <c r="NY110" s="93"/>
      <c r="NZ110" s="93"/>
      <c r="OA110" s="93"/>
      <c r="OB110" s="93"/>
      <c r="OC110" s="93"/>
      <c r="OD110" s="20"/>
      <c r="OE110" s="29">
        <v>43</v>
      </c>
      <c r="OF110" s="1504">
        <v>37803</v>
      </c>
      <c r="OG110" s="19"/>
      <c r="OH110" s="93"/>
      <c r="OI110" s="93"/>
      <c r="OJ110" s="93"/>
      <c r="OK110" s="93"/>
      <c r="OL110" s="93"/>
      <c r="OM110" s="93"/>
      <c r="ON110" s="93"/>
      <c r="OO110" s="93"/>
      <c r="OP110" s="93"/>
      <c r="OQ110" s="93"/>
      <c r="OR110" s="93"/>
      <c r="OS110" s="93"/>
      <c r="OT110" s="93"/>
      <c r="OU110" s="93"/>
      <c r="OV110" s="93"/>
      <c r="OW110" s="93"/>
      <c r="OX110" s="93"/>
      <c r="OY110" s="93"/>
      <c r="OZ110" s="93"/>
      <c r="PA110" s="93"/>
      <c r="PB110" s="93"/>
      <c r="PC110" s="20"/>
      <c r="PD110" s="29">
        <v>43</v>
      </c>
      <c r="PE110" s="19"/>
      <c r="PF110" s="93"/>
      <c r="PG110" s="93"/>
      <c r="PH110" s="93"/>
      <c r="PI110" s="93"/>
      <c r="PJ110" s="93"/>
      <c r="PK110" s="93"/>
      <c r="PL110" s="93"/>
      <c r="PM110" s="93"/>
      <c r="PN110" s="93"/>
      <c r="PO110" s="93"/>
      <c r="PP110" s="93"/>
      <c r="PQ110" s="93"/>
      <c r="PR110" s="93"/>
      <c r="PS110" s="93"/>
      <c r="PT110" s="93"/>
      <c r="PU110" s="93"/>
      <c r="PV110" s="93"/>
      <c r="PW110" s="93"/>
      <c r="PX110" s="93"/>
      <c r="PY110" s="93"/>
      <c r="PZ110" s="93"/>
      <c r="QA110" s="93"/>
      <c r="QB110" s="93"/>
      <c r="QC110" s="93"/>
      <c r="QD110" s="93"/>
      <c r="QE110" s="20"/>
      <c r="QF110" s="1739">
        <v>43</v>
      </c>
      <c r="QG110" s="19"/>
      <c r="QH110" s="93"/>
      <c r="QI110" s="93"/>
      <c r="QJ110" s="93"/>
      <c r="QK110" s="93"/>
      <c r="QL110" s="93"/>
      <c r="QM110" s="93"/>
      <c r="QN110" s="93"/>
      <c r="QO110" s="93"/>
      <c r="QP110" s="93"/>
      <c r="QQ110" s="93"/>
      <c r="QR110" s="93"/>
      <c r="QS110" s="93"/>
      <c r="QT110" s="93"/>
      <c r="QU110" s="93"/>
      <c r="QV110" s="93"/>
      <c r="QW110" s="93"/>
      <c r="QX110" s="93"/>
      <c r="QY110" s="93"/>
      <c r="QZ110" s="93"/>
      <c r="RA110" s="93"/>
      <c r="RB110" s="93"/>
      <c r="RC110" s="93"/>
      <c r="RD110" s="93"/>
      <c r="RE110" s="93"/>
      <c r="RF110" s="93"/>
      <c r="RG110" s="93"/>
      <c r="RH110" s="93"/>
      <c r="RI110" s="93"/>
      <c r="RJ110" s="93"/>
      <c r="RK110" s="93"/>
      <c r="RL110" s="93"/>
      <c r="RM110" s="20"/>
      <c r="RN110" s="29">
        <v>43</v>
      </c>
      <c r="RO110" s="19"/>
      <c r="RP110" s="20"/>
      <c r="RQ110" s="29">
        <v>43</v>
      </c>
      <c r="RR110" s="20"/>
      <c r="RS110" s="29">
        <v>43</v>
      </c>
      <c r="RT110" s="1504">
        <v>37803</v>
      </c>
      <c r="RU110" s="19"/>
      <c r="RV110" s="20"/>
      <c r="RW110" s="29">
        <v>43</v>
      </c>
      <c r="RX110" s="1504">
        <v>37803</v>
      </c>
      <c r="RY110" s="29"/>
      <c r="RZ110" s="20"/>
      <c r="SA110" s="29"/>
      <c r="SB110" s="29">
        <v>43</v>
      </c>
    </row>
    <row r="111" spans="1:496">
      <c r="A111" s="41">
        <f t="shared" si="187"/>
        <v>2003</v>
      </c>
      <c r="B111" s="1504">
        <v>37834</v>
      </c>
      <c r="C111" s="1813"/>
      <c r="D111" s="1814"/>
      <c r="E111" s="1814"/>
      <c r="F111" s="1815"/>
      <c r="G111" s="1814"/>
      <c r="H111" s="1814"/>
      <c r="I111" s="1814"/>
      <c r="J111" s="1816"/>
      <c r="K111" s="1807"/>
      <c r="L111" s="25">
        <v>44</v>
      </c>
      <c r="M111" s="97"/>
      <c r="N111" s="1504">
        <v>37834</v>
      </c>
      <c r="O111" s="19"/>
      <c r="P111" s="93"/>
      <c r="Q111" s="93"/>
      <c r="R111" s="93"/>
      <c r="S111" s="93"/>
      <c r="T111" s="93"/>
      <c r="U111" s="93"/>
      <c r="V111" s="93"/>
      <c r="W111" s="93"/>
      <c r="X111" s="93"/>
      <c r="Y111" s="93"/>
      <c r="Z111" s="93"/>
      <c r="AA111" s="93"/>
      <c r="AB111" s="20"/>
      <c r="AC111" s="25">
        <v>44</v>
      </c>
      <c r="AD111" s="97"/>
      <c r="AE111" s="1504">
        <v>37834</v>
      </c>
      <c r="AF111" s="19"/>
      <c r="AG111" s="93"/>
      <c r="AH111" s="93"/>
      <c r="AI111" s="93"/>
      <c r="AJ111" s="93"/>
      <c r="AK111" s="93"/>
      <c r="AL111" s="93"/>
      <c r="AM111" s="93"/>
      <c r="AN111" s="93"/>
      <c r="AO111" s="93"/>
      <c r="AP111" s="93"/>
      <c r="AQ111" s="93"/>
      <c r="AR111" s="93"/>
      <c r="AS111" s="20"/>
      <c r="AT111" s="25">
        <v>44</v>
      </c>
      <c r="AU111" s="97"/>
      <c r="AV111" s="1504">
        <v>37834</v>
      </c>
      <c r="AW111" s="19"/>
      <c r="AX111" s="93"/>
      <c r="AY111" s="93"/>
      <c r="AZ111" s="93"/>
      <c r="BA111" s="93"/>
      <c r="BB111" s="93"/>
      <c r="BC111" s="93"/>
      <c r="BD111" s="93"/>
      <c r="BE111" s="93"/>
      <c r="BF111" s="93"/>
      <c r="BG111" s="93"/>
      <c r="BH111" s="93"/>
      <c r="BI111" s="93"/>
      <c r="BJ111" s="20"/>
      <c r="BK111" s="25">
        <v>44</v>
      </c>
      <c r="BL111" s="97"/>
      <c r="BM111" s="1504">
        <v>37834</v>
      </c>
      <c r="BN111" s="19"/>
      <c r="BO111" s="93"/>
      <c r="BP111" s="93"/>
      <c r="BQ111" s="93"/>
      <c r="BR111" s="93"/>
      <c r="BS111" s="93"/>
      <c r="BT111" s="93"/>
      <c r="BU111" s="20"/>
      <c r="BV111" s="25">
        <v>44</v>
      </c>
      <c r="BW111" s="97"/>
      <c r="BX111" s="1504">
        <v>37834</v>
      </c>
      <c r="BY111" s="19"/>
      <c r="BZ111" s="99">
        <v>664.95699999999999</v>
      </c>
      <c r="CA111" s="93"/>
      <c r="CB111" s="93"/>
      <c r="CC111" s="93"/>
      <c r="CD111" s="25">
        <v>44</v>
      </c>
      <c r="CE111" s="97"/>
      <c r="CF111" s="1504">
        <v>37834</v>
      </c>
      <c r="CG111" s="19">
        <v>1.33494990095238</v>
      </c>
      <c r="CH111" s="93">
        <v>359.76799999999997</v>
      </c>
      <c r="CI111" s="219"/>
      <c r="CJ111" s="20"/>
      <c r="CK111" s="19"/>
      <c r="CL111" s="93"/>
      <c r="CM111" s="93"/>
      <c r="CN111" s="93"/>
      <c r="CO111" s="93"/>
      <c r="CP111" s="20"/>
      <c r="CQ111" s="219">
        <v>1299.68</v>
      </c>
      <c r="CR111" s="93">
        <v>1.55</v>
      </c>
      <c r="CS111" s="93"/>
      <c r="CT111" s="93"/>
      <c r="CU111" s="93"/>
      <c r="CV111" s="214"/>
      <c r="CW111" s="29">
        <v>44</v>
      </c>
      <c r="CX111" s="41">
        <f t="shared" si="188"/>
        <v>2003</v>
      </c>
      <c r="CY111" s="1504">
        <v>37834</v>
      </c>
      <c r="CZ111" s="733">
        <v>36.167591999999999</v>
      </c>
      <c r="DA111" s="570">
        <v>21.636915999999999</v>
      </c>
      <c r="DB111" s="570">
        <v>14.530676</v>
      </c>
      <c r="DC111" s="93"/>
      <c r="DD111" s="93"/>
      <c r="DE111" s="20"/>
      <c r="DF111" s="29">
        <v>44</v>
      </c>
      <c r="DG111" s="1504">
        <v>37834</v>
      </c>
      <c r="DH111" s="19"/>
      <c r="DI111" s="93"/>
      <c r="DJ111" s="93"/>
      <c r="DK111" s="93"/>
      <c r="DL111" s="93"/>
      <c r="DM111" s="93"/>
      <c r="DN111" s="20"/>
      <c r="DO111" s="25"/>
      <c r="DP111" s="29">
        <v>44</v>
      </c>
      <c r="DQ111" s="1504">
        <v>37834</v>
      </c>
      <c r="DR111" s="19"/>
      <c r="DS111" s="93"/>
      <c r="DT111" s="93"/>
      <c r="DU111" s="93"/>
      <c r="DV111" s="93"/>
      <c r="DW111" s="93"/>
      <c r="DX111" s="20"/>
      <c r="DY111" s="29">
        <v>44</v>
      </c>
      <c r="DZ111" s="1504">
        <v>37834</v>
      </c>
      <c r="EA111" s="19"/>
      <c r="EB111" s="93"/>
      <c r="EC111" s="20"/>
      <c r="ED111" s="29">
        <v>44</v>
      </c>
      <c r="EE111" s="1504">
        <v>37834</v>
      </c>
      <c r="EF111" s="19"/>
      <c r="EG111" s="93"/>
      <c r="EH111" s="93"/>
      <c r="EI111" s="214"/>
      <c r="EJ111" s="93"/>
      <c r="EK111" s="93"/>
      <c r="EL111" s="93"/>
      <c r="EM111" s="93"/>
      <c r="EN111" s="20"/>
      <c r="EO111" s="29">
        <v>44</v>
      </c>
      <c r="EP111" s="1504">
        <v>37834</v>
      </c>
      <c r="EQ111" s="19"/>
      <c r="ER111" s="93"/>
      <c r="ES111" s="93"/>
      <c r="ET111" s="214"/>
      <c r="EU111" s="93"/>
      <c r="EV111" s="93"/>
      <c r="EW111" s="93"/>
      <c r="EX111" s="93"/>
      <c r="EY111" s="20"/>
      <c r="EZ111" s="29">
        <v>44</v>
      </c>
      <c r="FA111" s="1504">
        <v>37834</v>
      </c>
      <c r="FB111" s="29"/>
      <c r="FC111" s="29"/>
      <c r="FD111" s="29"/>
      <c r="FE111" s="29"/>
      <c r="FF111" s="29"/>
      <c r="FG111" s="29"/>
      <c r="FH111" s="29"/>
      <c r="FI111" s="29"/>
      <c r="FJ111" s="29"/>
      <c r="FK111" s="29">
        <v>44</v>
      </c>
      <c r="FL111" s="1504">
        <v>37834</v>
      </c>
      <c r="FM111" s="19"/>
      <c r="FN111" s="93"/>
      <c r="FO111" s="93"/>
      <c r="FP111" s="93"/>
      <c r="FQ111" s="93"/>
      <c r="FR111" s="93"/>
      <c r="FS111" s="93"/>
      <c r="FT111" s="93"/>
      <c r="FU111" s="93"/>
      <c r="FV111" s="93"/>
      <c r="FW111" s="93"/>
      <c r="FX111" s="93"/>
      <c r="FY111" s="93"/>
      <c r="FZ111" s="29">
        <v>44</v>
      </c>
      <c r="GA111" s="1504">
        <v>37834</v>
      </c>
      <c r="GB111" s="19"/>
      <c r="GC111" s="93"/>
      <c r="GD111" s="93"/>
      <c r="GE111" s="93"/>
      <c r="GF111" s="93"/>
      <c r="GG111" s="93"/>
      <c r="GH111" s="93"/>
      <c r="GI111" s="93"/>
      <c r="GJ111" s="93"/>
      <c r="GK111" s="93"/>
      <c r="GL111" s="93"/>
      <c r="GM111" s="93"/>
      <c r="GN111" s="20"/>
      <c r="GO111" s="29">
        <v>44</v>
      </c>
      <c r="GP111" s="1504">
        <v>37834</v>
      </c>
      <c r="GQ111" s="19"/>
      <c r="GR111" s="93"/>
      <c r="GS111" s="93"/>
      <c r="GT111" s="93"/>
      <c r="GU111" s="93"/>
      <c r="GV111" s="20"/>
      <c r="GW111" s="19"/>
      <c r="GX111" s="93"/>
      <c r="GY111" s="93"/>
      <c r="GZ111" s="93"/>
      <c r="HA111" s="93"/>
      <c r="HB111" s="20"/>
      <c r="HC111" s="19"/>
      <c r="HD111" s="93"/>
      <c r="HE111" s="93"/>
      <c r="HF111" s="93"/>
      <c r="HG111" s="93"/>
      <c r="HH111" s="20"/>
      <c r="HI111" s="19"/>
      <c r="HJ111" s="93"/>
      <c r="HK111" s="93"/>
      <c r="HL111" s="93"/>
      <c r="HM111" s="93"/>
      <c r="HN111" s="20"/>
      <c r="HO111" s="219"/>
      <c r="HP111" s="20"/>
      <c r="HQ111" s="25"/>
      <c r="HR111" s="29">
        <v>44</v>
      </c>
      <c r="HS111" s="1504">
        <v>37834</v>
      </c>
      <c r="HT111" s="19"/>
      <c r="HU111" s="93"/>
      <c r="HV111" s="93"/>
      <c r="HW111" s="93"/>
      <c r="HX111" s="93"/>
      <c r="HY111" s="93"/>
      <c r="HZ111" s="93"/>
      <c r="IA111" s="20"/>
      <c r="IB111" s="19"/>
      <c r="IC111" s="93"/>
      <c r="ID111" s="93"/>
      <c r="IE111" s="93"/>
      <c r="IF111" s="93"/>
      <c r="IG111" s="20"/>
      <c r="IH111" s="19"/>
      <c r="II111" s="93"/>
      <c r="IJ111" s="93"/>
      <c r="IK111" s="93"/>
      <c r="IL111" s="93"/>
      <c r="IM111" s="93"/>
      <c r="IN111" s="93"/>
      <c r="IO111" s="20"/>
      <c r="IP111" s="29">
        <v>44</v>
      </c>
      <c r="IQ111" s="19"/>
      <c r="IR111" s="93"/>
      <c r="IS111" s="93"/>
      <c r="IT111" s="93"/>
      <c r="IU111" s="93"/>
      <c r="IV111" s="20"/>
      <c r="IW111" s="29">
        <v>44</v>
      </c>
      <c r="IX111" s="19"/>
      <c r="IY111" s="93"/>
      <c r="IZ111" s="93"/>
      <c r="JA111" s="93"/>
      <c r="JB111" s="93"/>
      <c r="JC111" s="93"/>
      <c r="JD111" s="93"/>
      <c r="JE111" s="20"/>
      <c r="JF111" s="29">
        <v>44</v>
      </c>
      <c r="JG111" s="19"/>
      <c r="JH111" s="93"/>
      <c r="JI111" s="93"/>
      <c r="JJ111" s="93"/>
      <c r="JK111" s="93"/>
      <c r="JL111" s="93"/>
      <c r="JM111" s="93"/>
      <c r="JN111" s="20"/>
      <c r="JO111" s="29">
        <v>44</v>
      </c>
      <c r="JP111" s="19"/>
      <c r="JQ111" s="93"/>
      <c r="JR111" s="93"/>
      <c r="JS111" s="93"/>
      <c r="JT111" s="93"/>
      <c r="JU111" s="20"/>
      <c r="JV111" s="29">
        <v>44</v>
      </c>
      <c r="JW111" s="1504">
        <v>37834</v>
      </c>
      <c r="JX111" s="19"/>
      <c r="JY111" s="93"/>
      <c r="JZ111" s="93"/>
      <c r="KA111" s="93"/>
      <c r="KB111" s="93"/>
      <c r="KC111" s="93"/>
      <c r="KD111" s="20"/>
      <c r="KE111" s="29">
        <v>44</v>
      </c>
      <c r="KF111" s="19"/>
      <c r="KG111" s="93"/>
      <c r="KH111" s="93"/>
      <c r="KI111" s="93"/>
      <c r="KJ111" s="93"/>
      <c r="KK111" s="20"/>
      <c r="KL111" s="29">
        <v>44</v>
      </c>
      <c r="KM111" s="19"/>
      <c r="KN111" s="93"/>
      <c r="KO111" s="93"/>
      <c r="KP111" s="93"/>
      <c r="KQ111" s="93"/>
      <c r="KR111" s="20"/>
      <c r="KS111" s="29">
        <v>44</v>
      </c>
      <c r="KT111" s="19"/>
      <c r="KU111" s="93"/>
      <c r="KV111" s="93"/>
      <c r="KW111" s="93"/>
      <c r="KX111" s="93"/>
      <c r="KY111" s="20"/>
      <c r="KZ111" s="29">
        <v>44</v>
      </c>
      <c r="LA111" s="1504">
        <v>37834</v>
      </c>
      <c r="LB111" s="19"/>
      <c r="LC111" s="93"/>
      <c r="LD111" s="93"/>
      <c r="LE111" s="93"/>
      <c r="LF111" s="93"/>
      <c r="LG111" s="93"/>
      <c r="LH111" s="20"/>
      <c r="LI111" s="29">
        <v>44</v>
      </c>
      <c r="LJ111" s="19"/>
      <c r="LK111" s="93"/>
      <c r="LL111" s="93"/>
      <c r="LM111" s="93"/>
      <c r="LN111" s="93"/>
      <c r="LO111" s="20"/>
      <c r="LP111" s="29">
        <v>44</v>
      </c>
      <c r="LQ111" s="19"/>
      <c r="LR111" s="93"/>
      <c r="LS111" s="93"/>
      <c r="LT111" s="93"/>
      <c r="LU111" s="93"/>
      <c r="LV111" s="93"/>
      <c r="LW111" s="93"/>
      <c r="LX111" s="93"/>
      <c r="LY111" s="93"/>
      <c r="LZ111" s="93"/>
      <c r="MA111" s="20"/>
      <c r="MB111" s="29">
        <v>44</v>
      </c>
      <c r="MC111" s="1504">
        <v>37834</v>
      </c>
      <c r="MD111" s="19"/>
      <c r="ME111" s="93"/>
      <c r="MF111" s="93"/>
      <c r="MG111" s="93"/>
      <c r="MH111" s="93"/>
      <c r="MI111" s="93"/>
      <c r="MJ111" s="93"/>
      <c r="MK111" s="93"/>
      <c r="ML111" s="93"/>
      <c r="MM111" s="93"/>
      <c r="MN111" s="93"/>
      <c r="MO111" s="93"/>
      <c r="MP111" s="93"/>
      <c r="MQ111" s="93"/>
      <c r="MR111" s="93"/>
      <c r="MS111" s="93"/>
      <c r="MT111" s="93"/>
      <c r="MU111" s="93"/>
      <c r="MV111" s="93"/>
      <c r="MW111" s="93"/>
      <c r="MX111" s="93"/>
      <c r="MY111" s="93"/>
      <c r="MZ111" s="93"/>
      <c r="NA111" s="93"/>
      <c r="NB111" s="93"/>
      <c r="NC111" s="93"/>
      <c r="ND111" s="93"/>
      <c r="NE111" s="93"/>
      <c r="NF111" s="93"/>
      <c r="NG111" s="93"/>
      <c r="NH111" s="93"/>
      <c r="NI111" s="93"/>
      <c r="NJ111" s="93"/>
      <c r="NK111" s="93"/>
      <c r="NL111" s="93"/>
      <c r="NM111" s="93"/>
      <c r="NN111" s="93"/>
      <c r="NO111" s="93"/>
      <c r="NP111" s="93"/>
      <c r="NQ111" s="93"/>
      <c r="NR111" s="93"/>
      <c r="NS111" s="93"/>
      <c r="NT111" s="93"/>
      <c r="NU111" s="93"/>
      <c r="NV111" s="93"/>
      <c r="NW111" s="93"/>
      <c r="NX111" s="93"/>
      <c r="NY111" s="93"/>
      <c r="NZ111" s="93"/>
      <c r="OA111" s="93"/>
      <c r="OB111" s="93"/>
      <c r="OC111" s="93"/>
      <c r="OD111" s="20"/>
      <c r="OE111" s="29">
        <v>44</v>
      </c>
      <c r="OF111" s="1504">
        <v>37834</v>
      </c>
      <c r="OG111" s="19"/>
      <c r="OH111" s="93"/>
      <c r="OI111" s="93"/>
      <c r="OJ111" s="93"/>
      <c r="OK111" s="93"/>
      <c r="OL111" s="93"/>
      <c r="OM111" s="93"/>
      <c r="ON111" s="93"/>
      <c r="OO111" s="93"/>
      <c r="OP111" s="93"/>
      <c r="OQ111" s="93"/>
      <c r="OR111" s="93"/>
      <c r="OS111" s="93"/>
      <c r="OT111" s="93"/>
      <c r="OU111" s="93"/>
      <c r="OV111" s="93"/>
      <c r="OW111" s="93"/>
      <c r="OX111" s="93"/>
      <c r="OY111" s="93"/>
      <c r="OZ111" s="93"/>
      <c r="PA111" s="93"/>
      <c r="PB111" s="93"/>
      <c r="PC111" s="20"/>
      <c r="PD111" s="29">
        <v>44</v>
      </c>
      <c r="PE111" s="19"/>
      <c r="PF111" s="93"/>
      <c r="PG111" s="93"/>
      <c r="PH111" s="93"/>
      <c r="PI111" s="93"/>
      <c r="PJ111" s="93"/>
      <c r="PK111" s="93"/>
      <c r="PL111" s="93"/>
      <c r="PM111" s="93"/>
      <c r="PN111" s="93"/>
      <c r="PO111" s="93"/>
      <c r="PP111" s="93"/>
      <c r="PQ111" s="93"/>
      <c r="PR111" s="93"/>
      <c r="PS111" s="93"/>
      <c r="PT111" s="93"/>
      <c r="PU111" s="93"/>
      <c r="PV111" s="93"/>
      <c r="PW111" s="93"/>
      <c r="PX111" s="93"/>
      <c r="PY111" s="93"/>
      <c r="PZ111" s="93"/>
      <c r="QA111" s="93"/>
      <c r="QB111" s="93"/>
      <c r="QC111" s="93"/>
      <c r="QD111" s="93"/>
      <c r="QE111" s="20"/>
      <c r="QF111" s="1739">
        <v>44</v>
      </c>
      <c r="QG111" s="19"/>
      <c r="QH111" s="93"/>
      <c r="QI111" s="93"/>
      <c r="QJ111" s="93"/>
      <c r="QK111" s="93"/>
      <c r="QL111" s="93"/>
      <c r="QM111" s="93"/>
      <c r="QN111" s="93"/>
      <c r="QO111" s="93"/>
      <c r="QP111" s="93"/>
      <c r="QQ111" s="93"/>
      <c r="QR111" s="93"/>
      <c r="QS111" s="93"/>
      <c r="QT111" s="93"/>
      <c r="QU111" s="93"/>
      <c r="QV111" s="93"/>
      <c r="QW111" s="93"/>
      <c r="QX111" s="93"/>
      <c r="QY111" s="93"/>
      <c r="QZ111" s="93"/>
      <c r="RA111" s="93"/>
      <c r="RB111" s="93"/>
      <c r="RC111" s="93"/>
      <c r="RD111" s="93"/>
      <c r="RE111" s="93"/>
      <c r="RF111" s="93"/>
      <c r="RG111" s="93"/>
      <c r="RH111" s="93"/>
      <c r="RI111" s="93"/>
      <c r="RJ111" s="93"/>
      <c r="RK111" s="93"/>
      <c r="RL111" s="93"/>
      <c r="RM111" s="20"/>
      <c r="RN111" s="29">
        <v>44</v>
      </c>
      <c r="RO111" s="19"/>
      <c r="RP111" s="20"/>
      <c r="RQ111" s="29">
        <v>44</v>
      </c>
      <c r="RR111" s="20"/>
      <c r="RS111" s="29">
        <v>44</v>
      </c>
      <c r="RT111" s="1504">
        <v>37834</v>
      </c>
      <c r="RU111" s="19"/>
      <c r="RV111" s="20"/>
      <c r="RW111" s="29">
        <v>44</v>
      </c>
      <c r="RX111" s="1504">
        <v>37834</v>
      </c>
      <c r="RY111" s="29"/>
      <c r="RZ111" s="20"/>
      <c r="SA111" s="29"/>
      <c r="SB111" s="29">
        <v>44</v>
      </c>
    </row>
    <row r="112" spans="1:496">
      <c r="A112" s="41">
        <f t="shared" si="187"/>
        <v>2003</v>
      </c>
      <c r="B112" s="1504">
        <v>37865</v>
      </c>
      <c r="C112" s="1813"/>
      <c r="D112" s="1814"/>
      <c r="E112" s="1814"/>
      <c r="F112" s="1815"/>
      <c r="G112" s="1814"/>
      <c r="H112" s="1814"/>
      <c r="I112" s="1814"/>
      <c r="J112" s="1816"/>
      <c r="K112" s="1807"/>
      <c r="L112" s="25">
        <v>45</v>
      </c>
      <c r="M112" s="97"/>
      <c r="N112" s="1504">
        <v>37865</v>
      </c>
      <c r="O112" s="19"/>
      <c r="P112" s="93"/>
      <c r="Q112" s="93"/>
      <c r="R112" s="93"/>
      <c r="S112" s="93"/>
      <c r="T112" s="93"/>
      <c r="U112" s="93"/>
      <c r="V112" s="93"/>
      <c r="W112" s="93"/>
      <c r="X112" s="93"/>
      <c r="Y112" s="93"/>
      <c r="Z112" s="93"/>
      <c r="AA112" s="93"/>
      <c r="AB112" s="20"/>
      <c r="AC112" s="25">
        <v>45</v>
      </c>
      <c r="AD112" s="97"/>
      <c r="AE112" s="1504">
        <v>37865</v>
      </c>
      <c r="AF112" s="19"/>
      <c r="AG112" s="93"/>
      <c r="AH112" s="93"/>
      <c r="AI112" s="93"/>
      <c r="AJ112" s="93"/>
      <c r="AK112" s="93"/>
      <c r="AL112" s="93"/>
      <c r="AM112" s="93"/>
      <c r="AN112" s="93"/>
      <c r="AO112" s="93"/>
      <c r="AP112" s="93"/>
      <c r="AQ112" s="93"/>
      <c r="AR112" s="93"/>
      <c r="AS112" s="20"/>
      <c r="AT112" s="25">
        <v>45</v>
      </c>
      <c r="AU112" s="97"/>
      <c r="AV112" s="1504">
        <v>37865</v>
      </c>
      <c r="AW112" s="19"/>
      <c r="AX112" s="93"/>
      <c r="AY112" s="93"/>
      <c r="AZ112" s="93"/>
      <c r="BA112" s="93"/>
      <c r="BB112" s="93"/>
      <c r="BC112" s="93"/>
      <c r="BD112" s="93"/>
      <c r="BE112" s="93"/>
      <c r="BF112" s="93"/>
      <c r="BG112" s="93"/>
      <c r="BH112" s="93"/>
      <c r="BI112" s="93"/>
      <c r="BJ112" s="20"/>
      <c r="BK112" s="25">
        <v>45</v>
      </c>
      <c r="BL112" s="97"/>
      <c r="BM112" s="1504">
        <v>37865</v>
      </c>
      <c r="BN112" s="19"/>
      <c r="BO112" s="93"/>
      <c r="BP112" s="93"/>
      <c r="BQ112" s="93"/>
      <c r="BR112" s="93"/>
      <c r="BS112" s="93"/>
      <c r="BT112" s="93"/>
      <c r="BU112" s="20"/>
      <c r="BV112" s="25">
        <v>45</v>
      </c>
      <c r="BW112" s="97"/>
      <c r="BX112" s="1504">
        <v>37865</v>
      </c>
      <c r="BY112" s="19"/>
      <c r="BZ112" s="99">
        <v>664.95699999999999</v>
      </c>
      <c r="CA112" s="93"/>
      <c r="CB112" s="93"/>
      <c r="CC112" s="93"/>
      <c r="CD112" s="25">
        <v>45</v>
      </c>
      <c r="CE112" s="97"/>
      <c r="CF112" s="1504">
        <v>37865</v>
      </c>
      <c r="CG112" s="19">
        <v>1.413111</v>
      </c>
      <c r="CH112" s="93">
        <v>378.94499999999999</v>
      </c>
      <c r="CI112" s="219"/>
      <c r="CJ112" s="20"/>
      <c r="CK112" s="19"/>
      <c r="CL112" s="93"/>
      <c r="CM112" s="93"/>
      <c r="CN112" s="93"/>
      <c r="CO112" s="93"/>
      <c r="CP112" s="20"/>
      <c r="CQ112" s="219">
        <v>1329.79</v>
      </c>
      <c r="CR112" s="93">
        <v>1.575</v>
      </c>
      <c r="CS112" s="93"/>
      <c r="CT112" s="93"/>
      <c r="CU112" s="93"/>
      <c r="CV112" s="214"/>
      <c r="CW112" s="29">
        <v>45</v>
      </c>
      <c r="CX112" s="41">
        <f t="shared" si="188"/>
        <v>2003</v>
      </c>
      <c r="CY112" s="1504">
        <v>37865</v>
      </c>
      <c r="CZ112" s="733">
        <v>30.446680000000001</v>
      </c>
      <c r="DA112" s="570">
        <v>20.132403</v>
      </c>
      <c r="DB112" s="570">
        <v>10.314277000000001</v>
      </c>
      <c r="DC112" s="93"/>
      <c r="DD112" s="93"/>
      <c r="DE112" s="20"/>
      <c r="DF112" s="29">
        <v>45</v>
      </c>
      <c r="DG112" s="1504">
        <v>37865</v>
      </c>
      <c r="DH112" s="19"/>
      <c r="DI112" s="93"/>
      <c r="DJ112" s="93"/>
      <c r="DK112" s="93"/>
      <c r="DL112" s="93"/>
      <c r="DM112" s="93"/>
      <c r="DN112" s="20"/>
      <c r="DO112" s="25"/>
      <c r="DP112" s="29">
        <v>45</v>
      </c>
      <c r="DQ112" s="1504">
        <v>37865</v>
      </c>
      <c r="DR112" s="19"/>
      <c r="DS112" s="93"/>
      <c r="DT112" s="93"/>
      <c r="DU112" s="93"/>
      <c r="DV112" s="93"/>
      <c r="DW112" s="93"/>
      <c r="DX112" s="20"/>
      <c r="DY112" s="29">
        <v>45</v>
      </c>
      <c r="DZ112" s="1504">
        <v>37865</v>
      </c>
      <c r="EA112" s="19"/>
      <c r="EB112" s="93"/>
      <c r="EC112" s="20"/>
      <c r="ED112" s="29">
        <v>45</v>
      </c>
      <c r="EE112" s="1504">
        <v>37865</v>
      </c>
      <c r="EF112" s="19"/>
      <c r="EG112" s="93"/>
      <c r="EH112" s="93"/>
      <c r="EI112" s="214"/>
      <c r="EJ112" s="93"/>
      <c r="EK112" s="93"/>
      <c r="EL112" s="93"/>
      <c r="EM112" s="93"/>
      <c r="EN112" s="20"/>
      <c r="EO112" s="29">
        <v>45</v>
      </c>
      <c r="EP112" s="1504">
        <v>37865</v>
      </c>
      <c r="EQ112" s="19"/>
      <c r="ER112" s="93"/>
      <c r="ES112" s="93"/>
      <c r="ET112" s="214"/>
      <c r="EU112" s="93"/>
      <c r="EV112" s="93"/>
      <c r="EW112" s="93"/>
      <c r="EX112" s="93"/>
      <c r="EY112" s="20"/>
      <c r="EZ112" s="29">
        <v>45</v>
      </c>
      <c r="FA112" s="1504">
        <v>37865</v>
      </c>
      <c r="FB112" s="29"/>
      <c r="FC112" s="29"/>
      <c r="FD112" s="29"/>
      <c r="FE112" s="29"/>
      <c r="FF112" s="29"/>
      <c r="FG112" s="29"/>
      <c r="FH112" s="29"/>
      <c r="FI112" s="29"/>
      <c r="FJ112" s="29"/>
      <c r="FK112" s="29">
        <v>45</v>
      </c>
      <c r="FL112" s="1504">
        <v>37865</v>
      </c>
      <c r="FM112" s="19"/>
      <c r="FN112" s="93"/>
      <c r="FO112" s="93"/>
      <c r="FP112" s="93"/>
      <c r="FQ112" s="93"/>
      <c r="FR112" s="93"/>
      <c r="FS112" s="93"/>
      <c r="FT112" s="93"/>
      <c r="FU112" s="93"/>
      <c r="FV112" s="93"/>
      <c r="FW112" s="93"/>
      <c r="FX112" s="93"/>
      <c r="FY112" s="93"/>
      <c r="FZ112" s="29">
        <v>45</v>
      </c>
      <c r="GA112" s="1504">
        <v>37865</v>
      </c>
      <c r="GB112" s="19"/>
      <c r="GC112" s="93"/>
      <c r="GD112" s="93"/>
      <c r="GE112" s="93"/>
      <c r="GF112" s="93"/>
      <c r="GG112" s="93"/>
      <c r="GH112" s="93"/>
      <c r="GI112" s="93"/>
      <c r="GJ112" s="93"/>
      <c r="GK112" s="93"/>
      <c r="GL112" s="93"/>
      <c r="GM112" s="93"/>
      <c r="GN112" s="20"/>
      <c r="GO112" s="29">
        <v>45</v>
      </c>
      <c r="GP112" s="1504">
        <v>37865</v>
      </c>
      <c r="GQ112" s="19"/>
      <c r="GR112" s="93"/>
      <c r="GS112" s="93"/>
      <c r="GT112" s="93"/>
      <c r="GU112" s="93"/>
      <c r="GV112" s="20"/>
      <c r="GW112" s="19"/>
      <c r="GX112" s="93"/>
      <c r="GY112" s="93"/>
      <c r="GZ112" s="93"/>
      <c r="HA112" s="93"/>
      <c r="HB112" s="20"/>
      <c r="HC112" s="19"/>
      <c r="HD112" s="93"/>
      <c r="HE112" s="93"/>
      <c r="HF112" s="93"/>
      <c r="HG112" s="93"/>
      <c r="HH112" s="20"/>
      <c r="HI112" s="19"/>
      <c r="HJ112" s="93"/>
      <c r="HK112" s="93"/>
      <c r="HL112" s="93"/>
      <c r="HM112" s="93"/>
      <c r="HN112" s="20"/>
      <c r="HO112" s="219"/>
      <c r="HP112" s="20"/>
      <c r="HQ112" s="25"/>
      <c r="HR112" s="29">
        <v>45</v>
      </c>
      <c r="HS112" s="1504">
        <v>37865</v>
      </c>
      <c r="HT112" s="19"/>
      <c r="HU112" s="93"/>
      <c r="HV112" s="93"/>
      <c r="HW112" s="93"/>
      <c r="HX112" s="93"/>
      <c r="HY112" s="93"/>
      <c r="HZ112" s="93"/>
      <c r="IA112" s="20"/>
      <c r="IB112" s="19"/>
      <c r="IC112" s="93"/>
      <c r="ID112" s="93"/>
      <c r="IE112" s="93"/>
      <c r="IF112" s="93"/>
      <c r="IG112" s="20"/>
      <c r="IH112" s="19"/>
      <c r="II112" s="93"/>
      <c r="IJ112" s="93"/>
      <c r="IK112" s="93"/>
      <c r="IL112" s="93"/>
      <c r="IM112" s="93"/>
      <c r="IN112" s="93"/>
      <c r="IO112" s="20"/>
      <c r="IP112" s="29">
        <v>45</v>
      </c>
      <c r="IQ112" s="19"/>
      <c r="IR112" s="93"/>
      <c r="IS112" s="93"/>
      <c r="IT112" s="93"/>
      <c r="IU112" s="93"/>
      <c r="IV112" s="20"/>
      <c r="IW112" s="29">
        <v>45</v>
      </c>
      <c r="IX112" s="19"/>
      <c r="IY112" s="93"/>
      <c r="IZ112" s="93"/>
      <c r="JA112" s="93"/>
      <c r="JB112" s="93"/>
      <c r="JC112" s="93"/>
      <c r="JD112" s="93"/>
      <c r="JE112" s="20"/>
      <c r="JF112" s="29">
        <v>45</v>
      </c>
      <c r="JG112" s="19"/>
      <c r="JH112" s="93"/>
      <c r="JI112" s="93"/>
      <c r="JJ112" s="93"/>
      <c r="JK112" s="93"/>
      <c r="JL112" s="93"/>
      <c r="JM112" s="93"/>
      <c r="JN112" s="20"/>
      <c r="JO112" s="29">
        <v>45</v>
      </c>
      <c r="JP112" s="19"/>
      <c r="JQ112" s="93"/>
      <c r="JR112" s="93"/>
      <c r="JS112" s="93"/>
      <c r="JT112" s="93"/>
      <c r="JU112" s="20"/>
      <c r="JV112" s="29">
        <v>45</v>
      </c>
      <c r="JW112" s="1504">
        <v>37865</v>
      </c>
      <c r="JX112" s="19"/>
      <c r="JY112" s="93"/>
      <c r="JZ112" s="93"/>
      <c r="KA112" s="93"/>
      <c r="KB112" s="93"/>
      <c r="KC112" s="93"/>
      <c r="KD112" s="20"/>
      <c r="KE112" s="29">
        <v>45</v>
      </c>
      <c r="KF112" s="19"/>
      <c r="KG112" s="93"/>
      <c r="KH112" s="93"/>
      <c r="KI112" s="93"/>
      <c r="KJ112" s="93"/>
      <c r="KK112" s="20"/>
      <c r="KL112" s="29">
        <v>45</v>
      </c>
      <c r="KM112" s="19"/>
      <c r="KN112" s="93"/>
      <c r="KO112" s="93"/>
      <c r="KP112" s="93"/>
      <c r="KQ112" s="93"/>
      <c r="KR112" s="20"/>
      <c r="KS112" s="29">
        <v>45</v>
      </c>
      <c r="KT112" s="19"/>
      <c r="KU112" s="93"/>
      <c r="KV112" s="93"/>
      <c r="KW112" s="93"/>
      <c r="KX112" s="93"/>
      <c r="KY112" s="20"/>
      <c r="KZ112" s="29">
        <v>45</v>
      </c>
      <c r="LA112" s="1504">
        <v>37865</v>
      </c>
      <c r="LB112" s="19"/>
      <c r="LC112" s="93"/>
      <c r="LD112" s="93"/>
      <c r="LE112" s="93"/>
      <c r="LF112" s="93"/>
      <c r="LG112" s="93"/>
      <c r="LH112" s="20"/>
      <c r="LI112" s="29">
        <v>45</v>
      </c>
      <c r="LJ112" s="19"/>
      <c r="LK112" s="93"/>
      <c r="LL112" s="93"/>
      <c r="LM112" s="93"/>
      <c r="LN112" s="93"/>
      <c r="LO112" s="20"/>
      <c r="LP112" s="29">
        <v>45</v>
      </c>
      <c r="LQ112" s="19"/>
      <c r="LR112" s="93"/>
      <c r="LS112" s="93"/>
      <c r="LT112" s="93"/>
      <c r="LU112" s="93"/>
      <c r="LV112" s="93"/>
      <c r="LW112" s="93"/>
      <c r="LX112" s="93"/>
      <c r="LY112" s="93"/>
      <c r="LZ112" s="93"/>
      <c r="MA112" s="20"/>
      <c r="MB112" s="29">
        <v>45</v>
      </c>
      <c r="MC112" s="1504">
        <v>37865</v>
      </c>
      <c r="MD112" s="19"/>
      <c r="ME112" s="93"/>
      <c r="MF112" s="93"/>
      <c r="MG112" s="93"/>
      <c r="MH112" s="93"/>
      <c r="MI112" s="93"/>
      <c r="MJ112" s="93"/>
      <c r="MK112" s="93"/>
      <c r="ML112" s="93"/>
      <c r="MM112" s="93"/>
      <c r="MN112" s="93"/>
      <c r="MO112" s="93"/>
      <c r="MP112" s="93"/>
      <c r="MQ112" s="93"/>
      <c r="MR112" s="93"/>
      <c r="MS112" s="93"/>
      <c r="MT112" s="93"/>
      <c r="MU112" s="93"/>
      <c r="MV112" s="93"/>
      <c r="MW112" s="93"/>
      <c r="MX112" s="93"/>
      <c r="MY112" s="93"/>
      <c r="MZ112" s="93"/>
      <c r="NA112" s="93"/>
      <c r="NB112" s="93"/>
      <c r="NC112" s="93"/>
      <c r="ND112" s="93"/>
      <c r="NE112" s="93"/>
      <c r="NF112" s="93"/>
      <c r="NG112" s="93"/>
      <c r="NH112" s="93"/>
      <c r="NI112" s="93"/>
      <c r="NJ112" s="93"/>
      <c r="NK112" s="93"/>
      <c r="NL112" s="93"/>
      <c r="NM112" s="93"/>
      <c r="NN112" s="93"/>
      <c r="NO112" s="93"/>
      <c r="NP112" s="93"/>
      <c r="NQ112" s="93"/>
      <c r="NR112" s="93"/>
      <c r="NS112" s="93"/>
      <c r="NT112" s="93"/>
      <c r="NU112" s="93"/>
      <c r="NV112" s="93"/>
      <c r="NW112" s="93"/>
      <c r="NX112" s="93"/>
      <c r="NY112" s="93"/>
      <c r="NZ112" s="93"/>
      <c r="OA112" s="93"/>
      <c r="OB112" s="93"/>
      <c r="OC112" s="93"/>
      <c r="OD112" s="20"/>
      <c r="OE112" s="29">
        <v>45</v>
      </c>
      <c r="OF112" s="1504">
        <v>37865</v>
      </c>
      <c r="OG112" s="19"/>
      <c r="OH112" s="93"/>
      <c r="OI112" s="93"/>
      <c r="OJ112" s="93"/>
      <c r="OK112" s="93"/>
      <c r="OL112" s="93"/>
      <c r="OM112" s="93"/>
      <c r="ON112" s="93"/>
      <c r="OO112" s="93"/>
      <c r="OP112" s="93"/>
      <c r="OQ112" s="93"/>
      <c r="OR112" s="93"/>
      <c r="OS112" s="93"/>
      <c r="OT112" s="93"/>
      <c r="OU112" s="93"/>
      <c r="OV112" s="93"/>
      <c r="OW112" s="93"/>
      <c r="OX112" s="93"/>
      <c r="OY112" s="93"/>
      <c r="OZ112" s="93"/>
      <c r="PA112" s="93"/>
      <c r="PB112" s="93"/>
      <c r="PC112" s="20"/>
      <c r="PD112" s="29">
        <v>45</v>
      </c>
      <c r="PE112" s="19"/>
      <c r="PF112" s="93"/>
      <c r="PG112" s="93"/>
      <c r="PH112" s="93"/>
      <c r="PI112" s="93"/>
      <c r="PJ112" s="93"/>
      <c r="PK112" s="93"/>
      <c r="PL112" s="93"/>
      <c r="PM112" s="93"/>
      <c r="PN112" s="93"/>
      <c r="PO112" s="93"/>
      <c r="PP112" s="93"/>
      <c r="PQ112" s="93"/>
      <c r="PR112" s="93"/>
      <c r="PS112" s="93"/>
      <c r="PT112" s="93"/>
      <c r="PU112" s="93"/>
      <c r="PV112" s="93"/>
      <c r="PW112" s="93"/>
      <c r="PX112" s="93"/>
      <c r="PY112" s="93"/>
      <c r="PZ112" s="93"/>
      <c r="QA112" s="93"/>
      <c r="QB112" s="93"/>
      <c r="QC112" s="93"/>
      <c r="QD112" s="93"/>
      <c r="QE112" s="20"/>
      <c r="QF112" s="1739">
        <v>45</v>
      </c>
      <c r="QG112" s="19"/>
      <c r="QH112" s="93"/>
      <c r="QI112" s="93"/>
      <c r="QJ112" s="93"/>
      <c r="QK112" s="93"/>
      <c r="QL112" s="93"/>
      <c r="QM112" s="93"/>
      <c r="QN112" s="93"/>
      <c r="QO112" s="93"/>
      <c r="QP112" s="93"/>
      <c r="QQ112" s="93"/>
      <c r="QR112" s="93"/>
      <c r="QS112" s="93"/>
      <c r="QT112" s="93"/>
      <c r="QU112" s="93"/>
      <c r="QV112" s="93"/>
      <c r="QW112" s="93"/>
      <c r="QX112" s="93"/>
      <c r="QY112" s="93"/>
      <c r="QZ112" s="93"/>
      <c r="RA112" s="93"/>
      <c r="RB112" s="93"/>
      <c r="RC112" s="93"/>
      <c r="RD112" s="93"/>
      <c r="RE112" s="93"/>
      <c r="RF112" s="93"/>
      <c r="RG112" s="93"/>
      <c r="RH112" s="93"/>
      <c r="RI112" s="93"/>
      <c r="RJ112" s="93"/>
      <c r="RK112" s="93"/>
      <c r="RL112" s="93"/>
      <c r="RM112" s="20"/>
      <c r="RN112" s="29">
        <v>45</v>
      </c>
      <c r="RO112" s="19"/>
      <c r="RP112" s="20"/>
      <c r="RQ112" s="29">
        <v>45</v>
      </c>
      <c r="RR112" s="20"/>
      <c r="RS112" s="29">
        <v>45</v>
      </c>
      <c r="RT112" s="1504">
        <v>37865</v>
      </c>
      <c r="RU112" s="19"/>
      <c r="RV112" s="20"/>
      <c r="RW112" s="29">
        <v>45</v>
      </c>
      <c r="RX112" s="1504">
        <v>37865</v>
      </c>
      <c r="RY112" s="29"/>
      <c r="RZ112" s="20"/>
      <c r="SA112" s="29"/>
      <c r="SB112" s="29">
        <v>45</v>
      </c>
    </row>
    <row r="113" spans="1:496">
      <c r="A113" s="41">
        <f t="shared" si="187"/>
        <v>2003</v>
      </c>
      <c r="B113" s="1504">
        <v>37895</v>
      </c>
      <c r="C113" s="1813"/>
      <c r="D113" s="1814"/>
      <c r="E113" s="1814"/>
      <c r="F113" s="1815"/>
      <c r="G113" s="1814"/>
      <c r="H113" s="1814"/>
      <c r="I113" s="1814"/>
      <c r="J113" s="1816"/>
      <c r="K113" s="1807"/>
      <c r="L113" s="25">
        <v>46</v>
      </c>
      <c r="M113" s="97"/>
      <c r="N113" s="1504">
        <v>37895</v>
      </c>
      <c r="O113" s="19"/>
      <c r="P113" s="93"/>
      <c r="Q113" s="93"/>
      <c r="R113" s="93"/>
      <c r="S113" s="93"/>
      <c r="T113" s="93"/>
      <c r="U113" s="93"/>
      <c r="V113" s="93"/>
      <c r="W113" s="93"/>
      <c r="X113" s="93"/>
      <c r="Y113" s="93"/>
      <c r="Z113" s="93"/>
      <c r="AA113" s="93"/>
      <c r="AB113" s="20"/>
      <c r="AC113" s="25">
        <v>46</v>
      </c>
      <c r="AD113" s="97"/>
      <c r="AE113" s="1504">
        <v>37895</v>
      </c>
      <c r="AF113" s="19"/>
      <c r="AG113" s="93"/>
      <c r="AH113" s="93"/>
      <c r="AI113" s="93"/>
      <c r="AJ113" s="93"/>
      <c r="AK113" s="93"/>
      <c r="AL113" s="93"/>
      <c r="AM113" s="93"/>
      <c r="AN113" s="93"/>
      <c r="AO113" s="93"/>
      <c r="AP113" s="93"/>
      <c r="AQ113" s="93"/>
      <c r="AR113" s="93"/>
      <c r="AS113" s="20"/>
      <c r="AT113" s="25">
        <v>46</v>
      </c>
      <c r="AU113" s="97"/>
      <c r="AV113" s="1504">
        <v>37895</v>
      </c>
      <c r="AW113" s="19"/>
      <c r="AX113" s="93"/>
      <c r="AY113" s="93"/>
      <c r="AZ113" s="93"/>
      <c r="BA113" s="93"/>
      <c r="BB113" s="93"/>
      <c r="BC113" s="93"/>
      <c r="BD113" s="93"/>
      <c r="BE113" s="93"/>
      <c r="BF113" s="93"/>
      <c r="BG113" s="93"/>
      <c r="BH113" s="93"/>
      <c r="BI113" s="93"/>
      <c r="BJ113" s="20"/>
      <c r="BK113" s="25">
        <v>46</v>
      </c>
      <c r="BL113" s="97"/>
      <c r="BM113" s="1504">
        <v>37895</v>
      </c>
      <c r="BN113" s="19"/>
      <c r="BO113" s="93"/>
      <c r="BP113" s="93"/>
      <c r="BQ113" s="93"/>
      <c r="BR113" s="93"/>
      <c r="BS113" s="93"/>
      <c r="BT113" s="93"/>
      <c r="BU113" s="20"/>
      <c r="BV113" s="25">
        <v>46</v>
      </c>
      <c r="BW113" s="97"/>
      <c r="BX113" s="1504">
        <v>37895</v>
      </c>
      <c r="BY113" s="19"/>
      <c r="BZ113" s="99">
        <v>664.95699999999999</v>
      </c>
      <c r="CA113" s="93"/>
      <c r="CB113" s="93"/>
      <c r="CC113" s="93"/>
      <c r="CD113" s="25">
        <v>46</v>
      </c>
      <c r="CE113" s="97"/>
      <c r="CF113" s="1504">
        <v>37895</v>
      </c>
      <c r="CG113" s="19">
        <v>1.5994520000000001</v>
      </c>
      <c r="CH113" s="93">
        <v>378.92</v>
      </c>
      <c r="CI113" s="219"/>
      <c r="CJ113" s="20"/>
      <c r="CK113" s="19"/>
      <c r="CL113" s="93"/>
      <c r="CM113" s="93"/>
      <c r="CN113" s="93"/>
      <c r="CO113" s="93"/>
      <c r="CP113" s="20"/>
      <c r="CQ113" s="219">
        <v>1359.2</v>
      </c>
      <c r="CR113" s="93">
        <v>1.67</v>
      </c>
      <c r="CS113" s="93"/>
      <c r="CT113" s="93"/>
      <c r="CU113" s="93"/>
      <c r="CV113" s="214"/>
      <c r="CW113" s="29">
        <v>46</v>
      </c>
      <c r="CX113" s="41">
        <f t="shared" si="188"/>
        <v>2003</v>
      </c>
      <c r="CY113" s="1504">
        <v>37895</v>
      </c>
      <c r="CZ113" s="733">
        <v>33.972408000000001</v>
      </c>
      <c r="DA113" s="570">
        <v>23.669152</v>
      </c>
      <c r="DB113" s="570">
        <v>10.303255999999999</v>
      </c>
      <c r="DC113" s="93"/>
      <c r="DD113" s="93"/>
      <c r="DE113" s="20"/>
      <c r="DF113" s="29">
        <v>46</v>
      </c>
      <c r="DG113" s="1504">
        <v>37895</v>
      </c>
      <c r="DH113" s="19"/>
      <c r="DI113" s="93"/>
      <c r="DJ113" s="93"/>
      <c r="DK113" s="93"/>
      <c r="DL113" s="93"/>
      <c r="DM113" s="93"/>
      <c r="DN113" s="20"/>
      <c r="DO113" s="25"/>
      <c r="DP113" s="29">
        <v>46</v>
      </c>
      <c r="DQ113" s="1504">
        <v>37895</v>
      </c>
      <c r="DR113" s="19"/>
      <c r="DS113" s="93"/>
      <c r="DT113" s="93"/>
      <c r="DU113" s="93"/>
      <c r="DV113" s="93"/>
      <c r="DW113" s="93"/>
      <c r="DX113" s="20"/>
      <c r="DY113" s="29">
        <v>46</v>
      </c>
      <c r="DZ113" s="1504">
        <v>37895</v>
      </c>
      <c r="EA113" s="19"/>
      <c r="EB113" s="93"/>
      <c r="EC113" s="20"/>
      <c r="ED113" s="29">
        <v>46</v>
      </c>
      <c r="EE113" s="1504">
        <v>37895</v>
      </c>
      <c r="EF113" s="19"/>
      <c r="EG113" s="93"/>
      <c r="EH113" s="93"/>
      <c r="EI113" s="214"/>
      <c r="EJ113" s="93"/>
      <c r="EK113" s="93"/>
      <c r="EL113" s="93"/>
      <c r="EM113" s="93"/>
      <c r="EN113" s="20"/>
      <c r="EO113" s="29">
        <v>46</v>
      </c>
      <c r="EP113" s="1504">
        <v>37895</v>
      </c>
      <c r="EQ113" s="19"/>
      <c r="ER113" s="93"/>
      <c r="ES113" s="93"/>
      <c r="ET113" s="214"/>
      <c r="EU113" s="93"/>
      <c r="EV113" s="93"/>
      <c r="EW113" s="93"/>
      <c r="EX113" s="93"/>
      <c r="EY113" s="20"/>
      <c r="EZ113" s="29">
        <v>46</v>
      </c>
      <c r="FA113" s="1504">
        <v>37895</v>
      </c>
      <c r="FB113" s="29"/>
      <c r="FC113" s="29"/>
      <c r="FD113" s="29"/>
      <c r="FE113" s="29"/>
      <c r="FF113" s="29"/>
      <c r="FG113" s="29"/>
      <c r="FH113" s="29"/>
      <c r="FI113" s="29"/>
      <c r="FJ113" s="29"/>
      <c r="FK113" s="29">
        <v>46</v>
      </c>
      <c r="FL113" s="1504">
        <v>37895</v>
      </c>
      <c r="FM113" s="19"/>
      <c r="FN113" s="93"/>
      <c r="FO113" s="93"/>
      <c r="FP113" s="93"/>
      <c r="FQ113" s="93"/>
      <c r="FR113" s="93"/>
      <c r="FS113" s="93"/>
      <c r="FT113" s="93"/>
      <c r="FU113" s="93"/>
      <c r="FV113" s="93"/>
      <c r="FW113" s="93"/>
      <c r="FX113" s="93"/>
      <c r="FY113" s="93"/>
      <c r="FZ113" s="29">
        <v>46</v>
      </c>
      <c r="GA113" s="1504">
        <v>37895</v>
      </c>
      <c r="GB113" s="19"/>
      <c r="GC113" s="93"/>
      <c r="GD113" s="93"/>
      <c r="GE113" s="93"/>
      <c r="GF113" s="93"/>
      <c r="GG113" s="93"/>
      <c r="GH113" s="93"/>
      <c r="GI113" s="93"/>
      <c r="GJ113" s="93"/>
      <c r="GK113" s="93"/>
      <c r="GL113" s="93"/>
      <c r="GM113" s="93"/>
      <c r="GN113" s="20"/>
      <c r="GO113" s="29">
        <v>46</v>
      </c>
      <c r="GP113" s="1504">
        <v>37895</v>
      </c>
      <c r="GQ113" s="19"/>
      <c r="GR113" s="93"/>
      <c r="GS113" s="93"/>
      <c r="GT113" s="93"/>
      <c r="GU113" s="93"/>
      <c r="GV113" s="20"/>
      <c r="GW113" s="19"/>
      <c r="GX113" s="93"/>
      <c r="GY113" s="93"/>
      <c r="GZ113" s="93"/>
      <c r="HA113" s="93"/>
      <c r="HB113" s="20"/>
      <c r="HC113" s="19"/>
      <c r="HD113" s="93"/>
      <c r="HE113" s="93"/>
      <c r="HF113" s="93"/>
      <c r="HG113" s="93"/>
      <c r="HH113" s="20"/>
      <c r="HI113" s="19"/>
      <c r="HJ113" s="93"/>
      <c r="HK113" s="93"/>
      <c r="HL113" s="93"/>
      <c r="HM113" s="93"/>
      <c r="HN113" s="20"/>
      <c r="HO113" s="219"/>
      <c r="HP113" s="20"/>
      <c r="HQ113" s="25"/>
      <c r="HR113" s="29">
        <v>46</v>
      </c>
      <c r="HS113" s="1504">
        <v>37895</v>
      </c>
      <c r="HT113" s="19"/>
      <c r="HU113" s="93"/>
      <c r="HV113" s="93"/>
      <c r="HW113" s="93"/>
      <c r="HX113" s="93"/>
      <c r="HY113" s="93"/>
      <c r="HZ113" s="93"/>
      <c r="IA113" s="20"/>
      <c r="IB113" s="19"/>
      <c r="IC113" s="93"/>
      <c r="ID113" s="93"/>
      <c r="IE113" s="93"/>
      <c r="IF113" s="93"/>
      <c r="IG113" s="20"/>
      <c r="IH113" s="19"/>
      <c r="II113" s="93"/>
      <c r="IJ113" s="93"/>
      <c r="IK113" s="93"/>
      <c r="IL113" s="93"/>
      <c r="IM113" s="93"/>
      <c r="IN113" s="93"/>
      <c r="IO113" s="20"/>
      <c r="IP113" s="29">
        <v>46</v>
      </c>
      <c r="IQ113" s="19"/>
      <c r="IR113" s="93"/>
      <c r="IS113" s="93"/>
      <c r="IT113" s="93"/>
      <c r="IU113" s="93"/>
      <c r="IV113" s="20"/>
      <c r="IW113" s="29">
        <v>46</v>
      </c>
      <c r="IX113" s="19"/>
      <c r="IY113" s="93"/>
      <c r="IZ113" s="93"/>
      <c r="JA113" s="93"/>
      <c r="JB113" s="93"/>
      <c r="JC113" s="93"/>
      <c r="JD113" s="93"/>
      <c r="JE113" s="20"/>
      <c r="JF113" s="29">
        <v>46</v>
      </c>
      <c r="JG113" s="19"/>
      <c r="JH113" s="93"/>
      <c r="JI113" s="93"/>
      <c r="JJ113" s="93"/>
      <c r="JK113" s="93"/>
      <c r="JL113" s="93"/>
      <c r="JM113" s="93"/>
      <c r="JN113" s="20"/>
      <c r="JO113" s="29">
        <v>46</v>
      </c>
      <c r="JP113" s="19"/>
      <c r="JQ113" s="93"/>
      <c r="JR113" s="93"/>
      <c r="JS113" s="93"/>
      <c r="JT113" s="93"/>
      <c r="JU113" s="20"/>
      <c r="JV113" s="29">
        <v>46</v>
      </c>
      <c r="JW113" s="1504">
        <v>37895</v>
      </c>
      <c r="JX113" s="19"/>
      <c r="JY113" s="93"/>
      <c r="JZ113" s="93"/>
      <c r="KA113" s="93"/>
      <c r="KB113" s="93"/>
      <c r="KC113" s="93"/>
      <c r="KD113" s="20"/>
      <c r="KE113" s="29">
        <v>46</v>
      </c>
      <c r="KF113" s="19"/>
      <c r="KG113" s="93"/>
      <c r="KH113" s="93"/>
      <c r="KI113" s="93"/>
      <c r="KJ113" s="93"/>
      <c r="KK113" s="20"/>
      <c r="KL113" s="29">
        <v>46</v>
      </c>
      <c r="KM113" s="19"/>
      <c r="KN113" s="93"/>
      <c r="KO113" s="93"/>
      <c r="KP113" s="93"/>
      <c r="KQ113" s="93"/>
      <c r="KR113" s="20"/>
      <c r="KS113" s="29">
        <v>46</v>
      </c>
      <c r="KT113" s="19"/>
      <c r="KU113" s="93"/>
      <c r="KV113" s="93"/>
      <c r="KW113" s="93"/>
      <c r="KX113" s="93"/>
      <c r="KY113" s="20"/>
      <c r="KZ113" s="29">
        <v>46</v>
      </c>
      <c r="LA113" s="1504">
        <v>37895</v>
      </c>
      <c r="LB113" s="19"/>
      <c r="LC113" s="93"/>
      <c r="LD113" s="93"/>
      <c r="LE113" s="93"/>
      <c r="LF113" s="93"/>
      <c r="LG113" s="93"/>
      <c r="LH113" s="20"/>
      <c r="LI113" s="29">
        <v>46</v>
      </c>
      <c r="LJ113" s="19"/>
      <c r="LK113" s="93"/>
      <c r="LL113" s="93"/>
      <c r="LM113" s="93"/>
      <c r="LN113" s="93"/>
      <c r="LO113" s="20"/>
      <c r="LP113" s="29">
        <v>46</v>
      </c>
      <c r="LQ113" s="19"/>
      <c r="LR113" s="93"/>
      <c r="LS113" s="93"/>
      <c r="LT113" s="93"/>
      <c r="LU113" s="93"/>
      <c r="LV113" s="93"/>
      <c r="LW113" s="93"/>
      <c r="LX113" s="93"/>
      <c r="LY113" s="93"/>
      <c r="LZ113" s="93"/>
      <c r="MA113" s="20"/>
      <c r="MB113" s="29">
        <v>46</v>
      </c>
      <c r="MC113" s="1504">
        <v>37895</v>
      </c>
      <c r="MD113" s="19"/>
      <c r="ME113" s="93"/>
      <c r="MF113" s="93"/>
      <c r="MG113" s="93"/>
      <c r="MH113" s="93"/>
      <c r="MI113" s="93"/>
      <c r="MJ113" s="93"/>
      <c r="MK113" s="93"/>
      <c r="ML113" s="93"/>
      <c r="MM113" s="93"/>
      <c r="MN113" s="93"/>
      <c r="MO113" s="93"/>
      <c r="MP113" s="93"/>
      <c r="MQ113" s="93"/>
      <c r="MR113" s="93"/>
      <c r="MS113" s="93"/>
      <c r="MT113" s="93"/>
      <c r="MU113" s="93"/>
      <c r="MV113" s="93"/>
      <c r="MW113" s="93"/>
      <c r="MX113" s="93"/>
      <c r="MY113" s="93"/>
      <c r="MZ113" s="93"/>
      <c r="NA113" s="93"/>
      <c r="NB113" s="93"/>
      <c r="NC113" s="93"/>
      <c r="ND113" s="93"/>
      <c r="NE113" s="93"/>
      <c r="NF113" s="93"/>
      <c r="NG113" s="93"/>
      <c r="NH113" s="93"/>
      <c r="NI113" s="93"/>
      <c r="NJ113" s="93"/>
      <c r="NK113" s="93"/>
      <c r="NL113" s="93"/>
      <c r="NM113" s="93"/>
      <c r="NN113" s="93"/>
      <c r="NO113" s="93"/>
      <c r="NP113" s="93"/>
      <c r="NQ113" s="93"/>
      <c r="NR113" s="93"/>
      <c r="NS113" s="93"/>
      <c r="NT113" s="93"/>
      <c r="NU113" s="93"/>
      <c r="NV113" s="93"/>
      <c r="NW113" s="93"/>
      <c r="NX113" s="93"/>
      <c r="NY113" s="93"/>
      <c r="NZ113" s="93"/>
      <c r="OA113" s="93"/>
      <c r="OB113" s="93"/>
      <c r="OC113" s="93"/>
      <c r="OD113" s="20"/>
      <c r="OE113" s="29">
        <v>46</v>
      </c>
      <c r="OF113" s="1504">
        <v>37895</v>
      </c>
      <c r="OG113" s="19"/>
      <c r="OH113" s="93"/>
      <c r="OI113" s="93"/>
      <c r="OJ113" s="93"/>
      <c r="OK113" s="93"/>
      <c r="OL113" s="93"/>
      <c r="OM113" s="93"/>
      <c r="ON113" s="93"/>
      <c r="OO113" s="93"/>
      <c r="OP113" s="93"/>
      <c r="OQ113" s="93"/>
      <c r="OR113" s="93"/>
      <c r="OS113" s="93"/>
      <c r="OT113" s="93"/>
      <c r="OU113" s="93"/>
      <c r="OV113" s="93"/>
      <c r="OW113" s="93"/>
      <c r="OX113" s="93"/>
      <c r="OY113" s="93"/>
      <c r="OZ113" s="93"/>
      <c r="PA113" s="93"/>
      <c r="PB113" s="93"/>
      <c r="PC113" s="20"/>
      <c r="PD113" s="29">
        <v>46</v>
      </c>
      <c r="PE113" s="19"/>
      <c r="PF113" s="93"/>
      <c r="PG113" s="93"/>
      <c r="PH113" s="93"/>
      <c r="PI113" s="93"/>
      <c r="PJ113" s="93"/>
      <c r="PK113" s="93"/>
      <c r="PL113" s="93"/>
      <c r="PM113" s="93"/>
      <c r="PN113" s="93"/>
      <c r="PO113" s="93"/>
      <c r="PP113" s="93"/>
      <c r="PQ113" s="93"/>
      <c r="PR113" s="93"/>
      <c r="PS113" s="93"/>
      <c r="PT113" s="93"/>
      <c r="PU113" s="93"/>
      <c r="PV113" s="93"/>
      <c r="PW113" s="93"/>
      <c r="PX113" s="93"/>
      <c r="PY113" s="93"/>
      <c r="PZ113" s="93"/>
      <c r="QA113" s="93"/>
      <c r="QB113" s="93"/>
      <c r="QC113" s="93"/>
      <c r="QD113" s="93"/>
      <c r="QE113" s="20"/>
      <c r="QF113" s="1739">
        <v>46</v>
      </c>
      <c r="QG113" s="19"/>
      <c r="QH113" s="93"/>
      <c r="QI113" s="93"/>
      <c r="QJ113" s="93"/>
      <c r="QK113" s="93"/>
      <c r="QL113" s="93"/>
      <c r="QM113" s="93"/>
      <c r="QN113" s="93"/>
      <c r="QO113" s="93"/>
      <c r="QP113" s="93"/>
      <c r="QQ113" s="93"/>
      <c r="QR113" s="93"/>
      <c r="QS113" s="93"/>
      <c r="QT113" s="93"/>
      <c r="QU113" s="93"/>
      <c r="QV113" s="93"/>
      <c r="QW113" s="93"/>
      <c r="QX113" s="93"/>
      <c r="QY113" s="93"/>
      <c r="QZ113" s="93"/>
      <c r="RA113" s="93"/>
      <c r="RB113" s="93"/>
      <c r="RC113" s="93"/>
      <c r="RD113" s="93"/>
      <c r="RE113" s="93"/>
      <c r="RF113" s="93"/>
      <c r="RG113" s="93"/>
      <c r="RH113" s="93"/>
      <c r="RI113" s="93"/>
      <c r="RJ113" s="93"/>
      <c r="RK113" s="93"/>
      <c r="RL113" s="93"/>
      <c r="RM113" s="20"/>
      <c r="RN113" s="29">
        <v>46</v>
      </c>
      <c r="RO113" s="19"/>
      <c r="RP113" s="20"/>
      <c r="RQ113" s="29">
        <v>46</v>
      </c>
      <c r="RR113" s="20"/>
      <c r="RS113" s="29">
        <v>46</v>
      </c>
      <c r="RT113" s="1504">
        <v>37895</v>
      </c>
      <c r="RU113" s="19"/>
      <c r="RV113" s="20"/>
      <c r="RW113" s="29">
        <v>46</v>
      </c>
      <c r="RX113" s="1504">
        <v>37895</v>
      </c>
      <c r="RY113" s="29"/>
      <c r="RZ113" s="20"/>
      <c r="SA113" s="29"/>
      <c r="SB113" s="29">
        <v>46</v>
      </c>
    </row>
    <row r="114" spans="1:496">
      <c r="A114" s="41">
        <f t="shared" si="187"/>
        <v>2003</v>
      </c>
      <c r="B114" s="1504">
        <v>37926</v>
      </c>
      <c r="C114" s="1813"/>
      <c r="D114" s="1814"/>
      <c r="E114" s="1814"/>
      <c r="F114" s="1815"/>
      <c r="G114" s="1814"/>
      <c r="H114" s="1814"/>
      <c r="I114" s="1814"/>
      <c r="J114" s="1816"/>
      <c r="K114" s="1807"/>
      <c r="L114" s="25">
        <v>47</v>
      </c>
      <c r="M114" s="97"/>
      <c r="N114" s="1504">
        <v>37926</v>
      </c>
      <c r="O114" s="19"/>
      <c r="P114" s="93"/>
      <c r="Q114" s="93"/>
      <c r="R114" s="93"/>
      <c r="S114" s="93"/>
      <c r="T114" s="93"/>
      <c r="U114" s="93"/>
      <c r="V114" s="93"/>
      <c r="W114" s="93"/>
      <c r="X114" s="93"/>
      <c r="Y114" s="93"/>
      <c r="Z114" s="93"/>
      <c r="AA114" s="93"/>
      <c r="AB114" s="20"/>
      <c r="AC114" s="25">
        <v>47</v>
      </c>
      <c r="AD114" s="97"/>
      <c r="AE114" s="1504">
        <v>37926</v>
      </c>
      <c r="AF114" s="19"/>
      <c r="AG114" s="93"/>
      <c r="AH114" s="93"/>
      <c r="AI114" s="93"/>
      <c r="AJ114" s="93"/>
      <c r="AK114" s="93"/>
      <c r="AL114" s="93"/>
      <c r="AM114" s="93"/>
      <c r="AN114" s="93"/>
      <c r="AO114" s="93"/>
      <c r="AP114" s="93"/>
      <c r="AQ114" s="93"/>
      <c r="AR114" s="93"/>
      <c r="AS114" s="20"/>
      <c r="AT114" s="25">
        <v>47</v>
      </c>
      <c r="AU114" s="97"/>
      <c r="AV114" s="1504">
        <v>37926</v>
      </c>
      <c r="AW114" s="19"/>
      <c r="AX114" s="93"/>
      <c r="AY114" s="93"/>
      <c r="AZ114" s="93"/>
      <c r="BA114" s="93"/>
      <c r="BB114" s="93"/>
      <c r="BC114" s="93"/>
      <c r="BD114" s="93"/>
      <c r="BE114" s="93"/>
      <c r="BF114" s="93"/>
      <c r="BG114" s="93"/>
      <c r="BH114" s="93"/>
      <c r="BI114" s="93"/>
      <c r="BJ114" s="20"/>
      <c r="BK114" s="25">
        <v>47</v>
      </c>
      <c r="BL114" s="97"/>
      <c r="BM114" s="1504">
        <v>37926</v>
      </c>
      <c r="BN114" s="19"/>
      <c r="BO114" s="93"/>
      <c r="BP114" s="93"/>
      <c r="BQ114" s="93"/>
      <c r="BR114" s="93"/>
      <c r="BS114" s="93"/>
      <c r="BT114" s="93"/>
      <c r="BU114" s="20"/>
      <c r="BV114" s="25">
        <v>47</v>
      </c>
      <c r="BW114" s="97"/>
      <c r="BX114" s="1504">
        <v>37926</v>
      </c>
      <c r="BY114" s="19"/>
      <c r="BZ114" s="99">
        <v>664.95699999999999</v>
      </c>
      <c r="CA114" s="93"/>
      <c r="CB114" s="93"/>
      <c r="CC114" s="93"/>
      <c r="CD114" s="25">
        <v>47</v>
      </c>
      <c r="CE114" s="97"/>
      <c r="CF114" s="1504">
        <v>37926</v>
      </c>
      <c r="CG114" s="19">
        <v>1.6970609999999999</v>
      </c>
      <c r="CH114" s="93">
        <v>389.91</v>
      </c>
      <c r="CI114" s="219"/>
      <c r="CJ114" s="20"/>
      <c r="CK114" s="19"/>
      <c r="CL114" s="93"/>
      <c r="CM114" s="93"/>
      <c r="CN114" s="93"/>
      <c r="CO114" s="93"/>
      <c r="CP114" s="20"/>
      <c r="CQ114" s="219">
        <v>1388.91</v>
      </c>
      <c r="CR114" s="93">
        <v>1.6225000000000001</v>
      </c>
      <c r="CS114" s="93"/>
      <c r="CT114" s="93"/>
      <c r="CU114" s="93"/>
      <c r="CV114" s="214"/>
      <c r="CW114" s="29">
        <v>47</v>
      </c>
      <c r="CX114" s="41">
        <f t="shared" si="188"/>
        <v>2003</v>
      </c>
      <c r="CY114" s="1504">
        <v>37926</v>
      </c>
      <c r="CZ114" s="733">
        <v>37.403624000000001</v>
      </c>
      <c r="DA114" s="570">
        <v>24.482941</v>
      </c>
      <c r="DB114" s="570">
        <v>12.920683</v>
      </c>
      <c r="DC114" s="93"/>
      <c r="DD114" s="93"/>
      <c r="DE114" s="20"/>
      <c r="DF114" s="29">
        <v>47</v>
      </c>
      <c r="DG114" s="1504">
        <v>37926</v>
      </c>
      <c r="DH114" s="19"/>
      <c r="DI114" s="93"/>
      <c r="DJ114" s="93"/>
      <c r="DK114" s="93"/>
      <c r="DL114" s="93"/>
      <c r="DM114" s="93"/>
      <c r="DN114" s="20"/>
      <c r="DO114" s="25"/>
      <c r="DP114" s="29">
        <v>47</v>
      </c>
      <c r="DQ114" s="1504">
        <v>37926</v>
      </c>
      <c r="DR114" s="19"/>
      <c r="DS114" s="93"/>
      <c r="DT114" s="93"/>
      <c r="DU114" s="93"/>
      <c r="DV114" s="93"/>
      <c r="DW114" s="93"/>
      <c r="DX114" s="20"/>
      <c r="DY114" s="29">
        <v>47</v>
      </c>
      <c r="DZ114" s="1504">
        <v>37926</v>
      </c>
      <c r="EA114" s="19"/>
      <c r="EB114" s="93"/>
      <c r="EC114" s="20"/>
      <c r="ED114" s="29">
        <v>47</v>
      </c>
      <c r="EE114" s="1504">
        <v>37926</v>
      </c>
      <c r="EF114" s="19"/>
      <c r="EG114" s="93"/>
      <c r="EH114" s="93"/>
      <c r="EI114" s="214"/>
      <c r="EJ114" s="93"/>
      <c r="EK114" s="93"/>
      <c r="EL114" s="93"/>
      <c r="EM114" s="93"/>
      <c r="EN114" s="20"/>
      <c r="EO114" s="29">
        <v>47</v>
      </c>
      <c r="EP114" s="1504">
        <v>37926</v>
      </c>
      <c r="EQ114" s="19"/>
      <c r="ER114" s="93"/>
      <c r="ES114" s="93"/>
      <c r="ET114" s="214"/>
      <c r="EU114" s="93"/>
      <c r="EV114" s="93"/>
      <c r="EW114" s="93"/>
      <c r="EX114" s="93"/>
      <c r="EY114" s="20"/>
      <c r="EZ114" s="29">
        <v>47</v>
      </c>
      <c r="FA114" s="1504">
        <v>37926</v>
      </c>
      <c r="FB114" s="29"/>
      <c r="FC114" s="29"/>
      <c r="FD114" s="29"/>
      <c r="FE114" s="29"/>
      <c r="FF114" s="29"/>
      <c r="FG114" s="29"/>
      <c r="FH114" s="29"/>
      <c r="FI114" s="29"/>
      <c r="FJ114" s="29"/>
      <c r="FK114" s="29">
        <v>47</v>
      </c>
      <c r="FL114" s="1504">
        <v>37926</v>
      </c>
      <c r="FM114" s="19"/>
      <c r="FN114" s="93"/>
      <c r="FO114" s="93"/>
      <c r="FP114" s="93"/>
      <c r="FQ114" s="93"/>
      <c r="FR114" s="93"/>
      <c r="FS114" s="93"/>
      <c r="FT114" s="93"/>
      <c r="FU114" s="93"/>
      <c r="FV114" s="93"/>
      <c r="FW114" s="93"/>
      <c r="FX114" s="93"/>
      <c r="FY114" s="93"/>
      <c r="FZ114" s="29">
        <v>47</v>
      </c>
      <c r="GA114" s="1504">
        <v>37926</v>
      </c>
      <c r="GB114" s="19"/>
      <c r="GC114" s="93"/>
      <c r="GD114" s="93"/>
      <c r="GE114" s="93"/>
      <c r="GF114" s="93"/>
      <c r="GG114" s="93"/>
      <c r="GH114" s="93"/>
      <c r="GI114" s="93"/>
      <c r="GJ114" s="93"/>
      <c r="GK114" s="93"/>
      <c r="GL114" s="93"/>
      <c r="GM114" s="93"/>
      <c r="GN114" s="20"/>
      <c r="GO114" s="29">
        <v>47</v>
      </c>
      <c r="GP114" s="1504">
        <v>37926</v>
      </c>
      <c r="GQ114" s="19"/>
      <c r="GR114" s="93"/>
      <c r="GS114" s="93"/>
      <c r="GT114" s="93"/>
      <c r="GU114" s="93"/>
      <c r="GV114" s="20"/>
      <c r="GW114" s="19"/>
      <c r="GX114" s="93"/>
      <c r="GY114" s="93"/>
      <c r="GZ114" s="93"/>
      <c r="HA114" s="93"/>
      <c r="HB114" s="20"/>
      <c r="HC114" s="19"/>
      <c r="HD114" s="93"/>
      <c r="HE114" s="93"/>
      <c r="HF114" s="93"/>
      <c r="HG114" s="93"/>
      <c r="HH114" s="20"/>
      <c r="HI114" s="19"/>
      <c r="HJ114" s="93"/>
      <c r="HK114" s="93"/>
      <c r="HL114" s="93"/>
      <c r="HM114" s="93"/>
      <c r="HN114" s="20"/>
      <c r="HO114" s="219"/>
      <c r="HP114" s="20"/>
      <c r="HQ114" s="25"/>
      <c r="HR114" s="29">
        <v>47</v>
      </c>
      <c r="HS114" s="1504">
        <v>37926</v>
      </c>
      <c r="HT114" s="19"/>
      <c r="HU114" s="93"/>
      <c r="HV114" s="93"/>
      <c r="HW114" s="93"/>
      <c r="HX114" s="93"/>
      <c r="HY114" s="93"/>
      <c r="HZ114" s="93"/>
      <c r="IA114" s="20"/>
      <c r="IB114" s="19"/>
      <c r="IC114" s="93"/>
      <c r="ID114" s="93"/>
      <c r="IE114" s="93"/>
      <c r="IF114" s="93"/>
      <c r="IG114" s="20"/>
      <c r="IH114" s="19"/>
      <c r="II114" s="93"/>
      <c r="IJ114" s="93"/>
      <c r="IK114" s="93"/>
      <c r="IL114" s="93"/>
      <c r="IM114" s="93"/>
      <c r="IN114" s="93"/>
      <c r="IO114" s="20"/>
      <c r="IP114" s="29">
        <v>47</v>
      </c>
      <c r="IQ114" s="19"/>
      <c r="IR114" s="93"/>
      <c r="IS114" s="93"/>
      <c r="IT114" s="93"/>
      <c r="IU114" s="93"/>
      <c r="IV114" s="20"/>
      <c r="IW114" s="29">
        <v>47</v>
      </c>
      <c r="IX114" s="19"/>
      <c r="IY114" s="93"/>
      <c r="IZ114" s="93"/>
      <c r="JA114" s="93"/>
      <c r="JB114" s="93"/>
      <c r="JC114" s="93"/>
      <c r="JD114" s="93"/>
      <c r="JE114" s="20"/>
      <c r="JF114" s="29">
        <v>47</v>
      </c>
      <c r="JG114" s="19"/>
      <c r="JH114" s="93"/>
      <c r="JI114" s="93"/>
      <c r="JJ114" s="93"/>
      <c r="JK114" s="93"/>
      <c r="JL114" s="93"/>
      <c r="JM114" s="93"/>
      <c r="JN114" s="20"/>
      <c r="JO114" s="29">
        <v>47</v>
      </c>
      <c r="JP114" s="19"/>
      <c r="JQ114" s="93"/>
      <c r="JR114" s="93"/>
      <c r="JS114" s="93"/>
      <c r="JT114" s="93"/>
      <c r="JU114" s="20"/>
      <c r="JV114" s="29">
        <v>47</v>
      </c>
      <c r="JW114" s="1504">
        <v>37926</v>
      </c>
      <c r="JX114" s="19"/>
      <c r="JY114" s="93"/>
      <c r="JZ114" s="93"/>
      <c r="KA114" s="93"/>
      <c r="KB114" s="93"/>
      <c r="KC114" s="93"/>
      <c r="KD114" s="20"/>
      <c r="KE114" s="29">
        <v>47</v>
      </c>
      <c r="KF114" s="19"/>
      <c r="KG114" s="93"/>
      <c r="KH114" s="93"/>
      <c r="KI114" s="93"/>
      <c r="KJ114" s="93"/>
      <c r="KK114" s="20"/>
      <c r="KL114" s="29">
        <v>47</v>
      </c>
      <c r="KM114" s="19"/>
      <c r="KN114" s="93"/>
      <c r="KO114" s="93"/>
      <c r="KP114" s="93"/>
      <c r="KQ114" s="93"/>
      <c r="KR114" s="20"/>
      <c r="KS114" s="29">
        <v>47</v>
      </c>
      <c r="KT114" s="19"/>
      <c r="KU114" s="93"/>
      <c r="KV114" s="93"/>
      <c r="KW114" s="93"/>
      <c r="KX114" s="93"/>
      <c r="KY114" s="20"/>
      <c r="KZ114" s="29">
        <v>47</v>
      </c>
      <c r="LA114" s="1504">
        <v>37926</v>
      </c>
      <c r="LB114" s="19"/>
      <c r="LC114" s="93"/>
      <c r="LD114" s="93"/>
      <c r="LE114" s="93"/>
      <c r="LF114" s="93"/>
      <c r="LG114" s="93"/>
      <c r="LH114" s="20"/>
      <c r="LI114" s="29">
        <v>47</v>
      </c>
      <c r="LJ114" s="19"/>
      <c r="LK114" s="93"/>
      <c r="LL114" s="93"/>
      <c r="LM114" s="93"/>
      <c r="LN114" s="93"/>
      <c r="LO114" s="20"/>
      <c r="LP114" s="29">
        <v>47</v>
      </c>
      <c r="LQ114" s="19"/>
      <c r="LR114" s="93"/>
      <c r="LS114" s="93"/>
      <c r="LT114" s="93"/>
      <c r="LU114" s="93"/>
      <c r="LV114" s="93"/>
      <c r="LW114" s="93"/>
      <c r="LX114" s="93"/>
      <c r="LY114" s="93"/>
      <c r="LZ114" s="93"/>
      <c r="MA114" s="20"/>
      <c r="MB114" s="29">
        <v>47</v>
      </c>
      <c r="MC114" s="1504">
        <v>37926</v>
      </c>
      <c r="MD114" s="19"/>
      <c r="ME114" s="93"/>
      <c r="MF114" s="93"/>
      <c r="MG114" s="93"/>
      <c r="MH114" s="93"/>
      <c r="MI114" s="93"/>
      <c r="MJ114" s="93"/>
      <c r="MK114" s="93"/>
      <c r="ML114" s="93"/>
      <c r="MM114" s="93"/>
      <c r="MN114" s="93"/>
      <c r="MO114" s="93"/>
      <c r="MP114" s="93"/>
      <c r="MQ114" s="93"/>
      <c r="MR114" s="93"/>
      <c r="MS114" s="93"/>
      <c r="MT114" s="93"/>
      <c r="MU114" s="93"/>
      <c r="MV114" s="93"/>
      <c r="MW114" s="93"/>
      <c r="MX114" s="93"/>
      <c r="MY114" s="93"/>
      <c r="MZ114" s="93"/>
      <c r="NA114" s="93"/>
      <c r="NB114" s="93"/>
      <c r="NC114" s="93"/>
      <c r="ND114" s="93"/>
      <c r="NE114" s="93"/>
      <c r="NF114" s="93"/>
      <c r="NG114" s="93"/>
      <c r="NH114" s="93"/>
      <c r="NI114" s="93"/>
      <c r="NJ114" s="93"/>
      <c r="NK114" s="93"/>
      <c r="NL114" s="93"/>
      <c r="NM114" s="93"/>
      <c r="NN114" s="93"/>
      <c r="NO114" s="93"/>
      <c r="NP114" s="93"/>
      <c r="NQ114" s="93"/>
      <c r="NR114" s="93"/>
      <c r="NS114" s="93"/>
      <c r="NT114" s="93"/>
      <c r="NU114" s="93"/>
      <c r="NV114" s="93"/>
      <c r="NW114" s="93"/>
      <c r="NX114" s="93"/>
      <c r="NY114" s="93"/>
      <c r="NZ114" s="93"/>
      <c r="OA114" s="93"/>
      <c r="OB114" s="93"/>
      <c r="OC114" s="93"/>
      <c r="OD114" s="20"/>
      <c r="OE114" s="29">
        <v>47</v>
      </c>
      <c r="OF114" s="1504">
        <v>37926</v>
      </c>
      <c r="OG114" s="19"/>
      <c r="OH114" s="93"/>
      <c r="OI114" s="93"/>
      <c r="OJ114" s="93"/>
      <c r="OK114" s="93"/>
      <c r="OL114" s="93"/>
      <c r="OM114" s="93"/>
      <c r="ON114" s="93"/>
      <c r="OO114" s="93"/>
      <c r="OP114" s="93"/>
      <c r="OQ114" s="93"/>
      <c r="OR114" s="93"/>
      <c r="OS114" s="93"/>
      <c r="OT114" s="93"/>
      <c r="OU114" s="93"/>
      <c r="OV114" s="93"/>
      <c r="OW114" s="93"/>
      <c r="OX114" s="93"/>
      <c r="OY114" s="93"/>
      <c r="OZ114" s="93"/>
      <c r="PA114" s="93"/>
      <c r="PB114" s="93"/>
      <c r="PC114" s="20"/>
      <c r="PD114" s="29">
        <v>47</v>
      </c>
      <c r="PE114" s="19"/>
      <c r="PF114" s="93"/>
      <c r="PG114" s="93"/>
      <c r="PH114" s="93"/>
      <c r="PI114" s="93"/>
      <c r="PJ114" s="93"/>
      <c r="PK114" s="93"/>
      <c r="PL114" s="93"/>
      <c r="PM114" s="93"/>
      <c r="PN114" s="93"/>
      <c r="PO114" s="93"/>
      <c r="PP114" s="93"/>
      <c r="PQ114" s="93"/>
      <c r="PR114" s="93"/>
      <c r="PS114" s="93"/>
      <c r="PT114" s="93"/>
      <c r="PU114" s="93"/>
      <c r="PV114" s="93"/>
      <c r="PW114" s="93"/>
      <c r="PX114" s="93"/>
      <c r="PY114" s="93"/>
      <c r="PZ114" s="93"/>
      <c r="QA114" s="93"/>
      <c r="QB114" s="93"/>
      <c r="QC114" s="93"/>
      <c r="QD114" s="93"/>
      <c r="QE114" s="20"/>
      <c r="QF114" s="1739">
        <v>47</v>
      </c>
      <c r="QG114" s="19"/>
      <c r="QH114" s="93"/>
      <c r="QI114" s="93"/>
      <c r="QJ114" s="93"/>
      <c r="QK114" s="93"/>
      <c r="QL114" s="93"/>
      <c r="QM114" s="93"/>
      <c r="QN114" s="93"/>
      <c r="QO114" s="93"/>
      <c r="QP114" s="93"/>
      <c r="QQ114" s="93"/>
      <c r="QR114" s="93"/>
      <c r="QS114" s="93"/>
      <c r="QT114" s="93"/>
      <c r="QU114" s="93"/>
      <c r="QV114" s="93"/>
      <c r="QW114" s="93"/>
      <c r="QX114" s="93"/>
      <c r="QY114" s="93"/>
      <c r="QZ114" s="93"/>
      <c r="RA114" s="93"/>
      <c r="RB114" s="93"/>
      <c r="RC114" s="93"/>
      <c r="RD114" s="93"/>
      <c r="RE114" s="93"/>
      <c r="RF114" s="93"/>
      <c r="RG114" s="93"/>
      <c r="RH114" s="93"/>
      <c r="RI114" s="93"/>
      <c r="RJ114" s="93"/>
      <c r="RK114" s="93"/>
      <c r="RL114" s="93"/>
      <c r="RM114" s="20"/>
      <c r="RN114" s="29">
        <v>47</v>
      </c>
      <c r="RO114" s="19"/>
      <c r="RP114" s="20"/>
      <c r="RQ114" s="29">
        <v>47</v>
      </c>
      <c r="RR114" s="20"/>
      <c r="RS114" s="29">
        <v>47</v>
      </c>
      <c r="RT114" s="1504">
        <v>37926</v>
      </c>
      <c r="RU114" s="19"/>
      <c r="RV114" s="20"/>
      <c r="RW114" s="29">
        <v>47</v>
      </c>
      <c r="RX114" s="1504">
        <v>37926</v>
      </c>
      <c r="RY114" s="29"/>
      <c r="RZ114" s="20"/>
      <c r="SA114" s="29"/>
      <c r="SB114" s="29">
        <v>47</v>
      </c>
    </row>
    <row r="115" spans="1:496">
      <c r="A115" s="41">
        <f t="shared" si="187"/>
        <v>2003</v>
      </c>
      <c r="B115" s="1504">
        <v>37956</v>
      </c>
      <c r="C115" s="1813"/>
      <c r="D115" s="1814"/>
      <c r="E115" s="1814"/>
      <c r="F115" s="1815"/>
      <c r="G115" s="1814"/>
      <c r="H115" s="1814"/>
      <c r="I115" s="1814"/>
      <c r="J115" s="1816"/>
      <c r="K115" s="1807"/>
      <c r="L115" s="25">
        <v>48</v>
      </c>
      <c r="M115" s="97"/>
      <c r="N115" s="1504">
        <v>37956</v>
      </c>
      <c r="O115" s="19"/>
      <c r="P115" s="93"/>
      <c r="Q115" s="93"/>
      <c r="R115" s="93"/>
      <c r="S115" s="93"/>
      <c r="T115" s="93"/>
      <c r="U115" s="93"/>
      <c r="V115" s="93"/>
      <c r="W115" s="93"/>
      <c r="X115" s="93"/>
      <c r="Y115" s="93"/>
      <c r="Z115" s="93"/>
      <c r="AA115" s="93"/>
      <c r="AB115" s="20"/>
      <c r="AC115" s="25">
        <v>48</v>
      </c>
      <c r="AD115" s="97"/>
      <c r="AE115" s="1504">
        <v>37956</v>
      </c>
      <c r="AF115" s="19"/>
      <c r="AG115" s="93"/>
      <c r="AH115" s="93"/>
      <c r="AI115" s="93"/>
      <c r="AJ115" s="93"/>
      <c r="AK115" s="93"/>
      <c r="AL115" s="93"/>
      <c r="AM115" s="93"/>
      <c r="AN115" s="93"/>
      <c r="AO115" s="93"/>
      <c r="AP115" s="93"/>
      <c r="AQ115" s="93"/>
      <c r="AR115" s="93"/>
      <c r="AS115" s="20"/>
      <c r="AT115" s="25">
        <v>48</v>
      </c>
      <c r="AU115" s="97"/>
      <c r="AV115" s="1504">
        <v>37956</v>
      </c>
      <c r="AW115" s="19"/>
      <c r="AX115" s="93"/>
      <c r="AY115" s="93"/>
      <c r="AZ115" s="93"/>
      <c r="BA115" s="93"/>
      <c r="BB115" s="93"/>
      <c r="BC115" s="93"/>
      <c r="BD115" s="93"/>
      <c r="BE115" s="93"/>
      <c r="BF115" s="93"/>
      <c r="BG115" s="93"/>
      <c r="BH115" s="93"/>
      <c r="BI115" s="93"/>
      <c r="BJ115" s="20"/>
      <c r="BK115" s="25">
        <v>48</v>
      </c>
      <c r="BL115" s="97"/>
      <c r="BM115" s="1504">
        <v>37956</v>
      </c>
      <c r="BN115" s="19"/>
      <c r="BO115" s="93"/>
      <c r="BP115" s="93"/>
      <c r="BQ115" s="93"/>
      <c r="BR115" s="93"/>
      <c r="BS115" s="93"/>
      <c r="BT115" s="93"/>
      <c r="BU115" s="20"/>
      <c r="BV115" s="25">
        <v>48</v>
      </c>
      <c r="BW115" s="97"/>
      <c r="BX115" s="1504">
        <v>37956</v>
      </c>
      <c r="BY115" s="19"/>
      <c r="BZ115" s="99">
        <v>664.95699999999999</v>
      </c>
      <c r="CA115" s="93"/>
      <c r="CB115" s="93"/>
      <c r="CC115" s="93"/>
      <c r="CD115" s="25">
        <v>48</v>
      </c>
      <c r="CE115" s="97"/>
      <c r="CF115" s="1504">
        <v>37956</v>
      </c>
      <c r="CG115" s="19">
        <v>1.6240859999999999</v>
      </c>
      <c r="CH115" s="93">
        <v>406.95299999999997</v>
      </c>
      <c r="CI115" s="219"/>
      <c r="CJ115" s="20"/>
      <c r="CK115" s="19"/>
      <c r="CL115" s="93"/>
      <c r="CM115" s="93"/>
      <c r="CN115" s="93"/>
      <c r="CO115" s="93"/>
      <c r="CP115" s="20"/>
      <c r="CQ115" s="219">
        <v>1402.33</v>
      </c>
      <c r="CR115" s="93">
        <v>1.5874999999999999</v>
      </c>
      <c r="CS115" s="93"/>
      <c r="CT115" s="93"/>
      <c r="CU115" s="93"/>
      <c r="CV115" s="214"/>
      <c r="CW115" s="29">
        <v>48</v>
      </c>
      <c r="CX115" s="41">
        <f t="shared" si="188"/>
        <v>2003</v>
      </c>
      <c r="CY115" s="1504">
        <v>37956</v>
      </c>
      <c r="CZ115" s="733">
        <v>35.211748</v>
      </c>
      <c r="DA115" s="570">
        <v>20.880693999999998</v>
      </c>
      <c r="DB115" s="570">
        <v>14.331054</v>
      </c>
      <c r="DC115" s="93"/>
      <c r="DD115" s="93"/>
      <c r="DE115" s="20"/>
      <c r="DF115" s="29">
        <v>48</v>
      </c>
      <c r="DG115" s="1504">
        <v>37956</v>
      </c>
      <c r="DH115" s="19"/>
      <c r="DI115" s="93"/>
      <c r="DJ115" s="93"/>
      <c r="DK115" s="93"/>
      <c r="DL115" s="93"/>
      <c r="DM115" s="93"/>
      <c r="DN115" s="20"/>
      <c r="DO115" s="25"/>
      <c r="DP115" s="29">
        <v>48</v>
      </c>
      <c r="DQ115" s="1504">
        <v>37956</v>
      </c>
      <c r="DR115" s="19"/>
      <c r="DS115" s="93"/>
      <c r="DT115" s="93"/>
      <c r="DU115" s="93"/>
      <c r="DV115" s="93"/>
      <c r="DW115" s="93"/>
      <c r="DX115" s="20"/>
      <c r="DY115" s="29">
        <v>48</v>
      </c>
      <c r="DZ115" s="1504">
        <v>37956</v>
      </c>
      <c r="EA115" s="19"/>
      <c r="EB115" s="93"/>
      <c r="EC115" s="20"/>
      <c r="ED115" s="29">
        <v>48</v>
      </c>
      <c r="EE115" s="1504">
        <v>37956</v>
      </c>
      <c r="EF115" s="19"/>
      <c r="EG115" s="93"/>
      <c r="EH115" s="93"/>
      <c r="EI115" s="214"/>
      <c r="EJ115" s="93"/>
      <c r="EK115" s="93"/>
      <c r="EL115" s="93"/>
      <c r="EM115" s="93"/>
      <c r="EN115" s="20"/>
      <c r="EO115" s="29">
        <v>48</v>
      </c>
      <c r="EP115" s="1504">
        <v>37956</v>
      </c>
      <c r="EQ115" s="19"/>
      <c r="ER115" s="93"/>
      <c r="ES115" s="93"/>
      <c r="ET115" s="214"/>
      <c r="EU115" s="93"/>
      <c r="EV115" s="93"/>
      <c r="EW115" s="93"/>
      <c r="EX115" s="93"/>
      <c r="EY115" s="20"/>
      <c r="EZ115" s="29">
        <v>48</v>
      </c>
      <c r="FA115" s="1504">
        <v>37956</v>
      </c>
      <c r="FB115" s="29"/>
      <c r="FC115" s="29"/>
      <c r="FD115" s="29"/>
      <c r="FE115" s="29"/>
      <c r="FF115" s="29"/>
      <c r="FG115" s="29"/>
      <c r="FH115" s="29"/>
      <c r="FI115" s="29"/>
      <c r="FJ115" s="29"/>
      <c r="FK115" s="29">
        <v>48</v>
      </c>
      <c r="FL115" s="1504">
        <v>37956</v>
      </c>
      <c r="FM115" s="19"/>
      <c r="FN115" s="93"/>
      <c r="FO115" s="93"/>
      <c r="FP115" s="93"/>
      <c r="FQ115" s="93"/>
      <c r="FR115" s="93"/>
      <c r="FS115" s="93"/>
      <c r="FT115" s="93"/>
      <c r="FU115" s="93"/>
      <c r="FV115" s="93"/>
      <c r="FW115" s="93"/>
      <c r="FX115" s="93"/>
      <c r="FY115" s="93"/>
      <c r="FZ115" s="29">
        <v>48</v>
      </c>
      <c r="GA115" s="1504">
        <v>37956</v>
      </c>
      <c r="GB115" s="19"/>
      <c r="GC115" s="93"/>
      <c r="GD115" s="93"/>
      <c r="GE115" s="93"/>
      <c r="GF115" s="93"/>
      <c r="GG115" s="93"/>
      <c r="GH115" s="93"/>
      <c r="GI115" s="93"/>
      <c r="GJ115" s="93"/>
      <c r="GK115" s="93"/>
      <c r="GL115" s="93"/>
      <c r="GM115" s="93"/>
      <c r="GN115" s="20"/>
      <c r="GO115" s="29">
        <v>48</v>
      </c>
      <c r="GP115" s="1504">
        <v>37956</v>
      </c>
      <c r="GQ115" s="19"/>
      <c r="GR115" s="93"/>
      <c r="GS115" s="93"/>
      <c r="GT115" s="93"/>
      <c r="GU115" s="93"/>
      <c r="GV115" s="20"/>
      <c r="GW115" s="19"/>
      <c r="GX115" s="93"/>
      <c r="GY115" s="93"/>
      <c r="GZ115" s="93"/>
      <c r="HA115" s="93"/>
      <c r="HB115" s="20"/>
      <c r="HC115" s="19"/>
      <c r="HD115" s="93"/>
      <c r="HE115" s="93"/>
      <c r="HF115" s="93"/>
      <c r="HG115" s="93"/>
      <c r="HH115" s="20"/>
      <c r="HI115" s="19"/>
      <c r="HJ115" s="93"/>
      <c r="HK115" s="93"/>
      <c r="HL115" s="93"/>
      <c r="HM115" s="93"/>
      <c r="HN115" s="20"/>
      <c r="HO115" s="219"/>
      <c r="HP115" s="20"/>
      <c r="HQ115" s="25"/>
      <c r="HR115" s="29">
        <v>48</v>
      </c>
      <c r="HS115" s="1504">
        <v>37956</v>
      </c>
      <c r="HT115" s="19"/>
      <c r="HU115" s="93"/>
      <c r="HV115" s="93"/>
      <c r="HW115" s="93"/>
      <c r="HX115" s="93"/>
      <c r="HY115" s="93"/>
      <c r="HZ115" s="93"/>
      <c r="IA115" s="20"/>
      <c r="IB115" s="19"/>
      <c r="IC115" s="93"/>
      <c r="ID115" s="93"/>
      <c r="IE115" s="93"/>
      <c r="IF115" s="93"/>
      <c r="IG115" s="20"/>
      <c r="IH115" s="19"/>
      <c r="II115" s="93"/>
      <c r="IJ115" s="93"/>
      <c r="IK115" s="93"/>
      <c r="IL115" s="93"/>
      <c r="IM115" s="93"/>
      <c r="IN115" s="93"/>
      <c r="IO115" s="20"/>
      <c r="IP115" s="29">
        <v>48</v>
      </c>
      <c r="IQ115" s="19"/>
      <c r="IR115" s="93"/>
      <c r="IS115" s="93"/>
      <c r="IT115" s="93"/>
      <c r="IU115" s="93"/>
      <c r="IV115" s="20"/>
      <c r="IW115" s="29">
        <v>48</v>
      </c>
      <c r="IX115" s="19"/>
      <c r="IY115" s="93"/>
      <c r="IZ115" s="93"/>
      <c r="JA115" s="93"/>
      <c r="JB115" s="93"/>
      <c r="JC115" s="93"/>
      <c r="JD115" s="93"/>
      <c r="JE115" s="20"/>
      <c r="JF115" s="29">
        <v>48</v>
      </c>
      <c r="JG115" s="19"/>
      <c r="JH115" s="93"/>
      <c r="JI115" s="93"/>
      <c r="JJ115" s="93"/>
      <c r="JK115" s="93"/>
      <c r="JL115" s="93"/>
      <c r="JM115" s="93"/>
      <c r="JN115" s="20"/>
      <c r="JO115" s="29">
        <v>48</v>
      </c>
      <c r="JP115" s="19"/>
      <c r="JQ115" s="93"/>
      <c r="JR115" s="93"/>
      <c r="JS115" s="93"/>
      <c r="JT115" s="93"/>
      <c r="JU115" s="20"/>
      <c r="JV115" s="29">
        <v>48</v>
      </c>
      <c r="JW115" s="1504">
        <v>37956</v>
      </c>
      <c r="JX115" s="19"/>
      <c r="JY115" s="93"/>
      <c r="JZ115" s="93"/>
      <c r="KA115" s="93"/>
      <c r="KB115" s="93"/>
      <c r="KC115" s="93"/>
      <c r="KD115" s="20"/>
      <c r="KE115" s="29">
        <v>48</v>
      </c>
      <c r="KF115" s="19"/>
      <c r="KG115" s="93"/>
      <c r="KH115" s="93"/>
      <c r="KI115" s="93"/>
      <c r="KJ115" s="93"/>
      <c r="KK115" s="20"/>
      <c r="KL115" s="29">
        <v>48</v>
      </c>
      <c r="KM115" s="19"/>
      <c r="KN115" s="93"/>
      <c r="KO115" s="93"/>
      <c r="KP115" s="93"/>
      <c r="KQ115" s="93"/>
      <c r="KR115" s="20"/>
      <c r="KS115" s="29">
        <v>48</v>
      </c>
      <c r="KT115" s="19"/>
      <c r="KU115" s="93"/>
      <c r="KV115" s="93"/>
      <c r="KW115" s="93"/>
      <c r="KX115" s="93"/>
      <c r="KY115" s="20"/>
      <c r="KZ115" s="29">
        <v>48</v>
      </c>
      <c r="LA115" s="1504">
        <v>37956</v>
      </c>
      <c r="LB115" s="19"/>
      <c r="LC115" s="93"/>
      <c r="LD115" s="93"/>
      <c r="LE115" s="93"/>
      <c r="LF115" s="93"/>
      <c r="LG115" s="93"/>
      <c r="LH115" s="20"/>
      <c r="LI115" s="29">
        <v>48</v>
      </c>
      <c r="LJ115" s="19"/>
      <c r="LK115" s="93"/>
      <c r="LL115" s="93"/>
      <c r="LM115" s="93"/>
      <c r="LN115" s="93"/>
      <c r="LO115" s="20"/>
      <c r="LP115" s="29">
        <v>48</v>
      </c>
      <c r="LQ115" s="19"/>
      <c r="LR115" s="93"/>
      <c r="LS115" s="93"/>
      <c r="LT115" s="93"/>
      <c r="LU115" s="93"/>
      <c r="LV115" s="93"/>
      <c r="LW115" s="93"/>
      <c r="LX115" s="93"/>
      <c r="LY115" s="93"/>
      <c r="LZ115" s="93"/>
      <c r="MA115" s="20"/>
      <c r="MB115" s="29">
        <v>48</v>
      </c>
      <c r="MC115" s="1504">
        <v>37956</v>
      </c>
      <c r="MD115" s="19"/>
      <c r="ME115" s="93"/>
      <c r="MF115" s="93"/>
      <c r="MG115" s="93"/>
      <c r="MH115" s="93"/>
      <c r="MI115" s="93"/>
      <c r="MJ115" s="93"/>
      <c r="MK115" s="93"/>
      <c r="ML115" s="93"/>
      <c r="MM115" s="93"/>
      <c r="MN115" s="93"/>
      <c r="MO115" s="93"/>
      <c r="MP115" s="93"/>
      <c r="MQ115" s="93"/>
      <c r="MR115" s="93"/>
      <c r="MS115" s="93"/>
      <c r="MT115" s="93"/>
      <c r="MU115" s="93"/>
      <c r="MV115" s="93"/>
      <c r="MW115" s="93"/>
      <c r="MX115" s="93"/>
      <c r="MY115" s="93"/>
      <c r="MZ115" s="93"/>
      <c r="NA115" s="93"/>
      <c r="NB115" s="93"/>
      <c r="NC115" s="93"/>
      <c r="ND115" s="93"/>
      <c r="NE115" s="93"/>
      <c r="NF115" s="93"/>
      <c r="NG115" s="93"/>
      <c r="NH115" s="93"/>
      <c r="NI115" s="93"/>
      <c r="NJ115" s="93"/>
      <c r="NK115" s="93"/>
      <c r="NL115" s="93"/>
      <c r="NM115" s="93"/>
      <c r="NN115" s="93"/>
      <c r="NO115" s="93"/>
      <c r="NP115" s="93"/>
      <c r="NQ115" s="93"/>
      <c r="NR115" s="93"/>
      <c r="NS115" s="93"/>
      <c r="NT115" s="93"/>
      <c r="NU115" s="93"/>
      <c r="NV115" s="93"/>
      <c r="NW115" s="93"/>
      <c r="NX115" s="93"/>
      <c r="NY115" s="93"/>
      <c r="NZ115" s="93"/>
      <c r="OA115" s="93"/>
      <c r="OB115" s="93"/>
      <c r="OC115" s="93"/>
      <c r="OD115" s="20"/>
      <c r="OE115" s="29">
        <v>48</v>
      </c>
      <c r="OF115" s="1504">
        <v>37956</v>
      </c>
      <c r="OG115" s="19"/>
      <c r="OH115" s="93"/>
      <c r="OI115" s="93"/>
      <c r="OJ115" s="93"/>
      <c r="OK115" s="93"/>
      <c r="OL115" s="93"/>
      <c r="OM115" s="93"/>
      <c r="ON115" s="93"/>
      <c r="OO115" s="93"/>
      <c r="OP115" s="93"/>
      <c r="OQ115" s="93"/>
      <c r="OR115" s="93"/>
      <c r="OS115" s="93"/>
      <c r="OT115" s="93"/>
      <c r="OU115" s="93"/>
      <c r="OV115" s="93"/>
      <c r="OW115" s="93"/>
      <c r="OX115" s="93"/>
      <c r="OY115" s="93"/>
      <c r="OZ115" s="93"/>
      <c r="PA115" s="93"/>
      <c r="PB115" s="93"/>
      <c r="PC115" s="20"/>
      <c r="PD115" s="29">
        <v>48</v>
      </c>
      <c r="PE115" s="19"/>
      <c r="PF115" s="93"/>
      <c r="PG115" s="93"/>
      <c r="PH115" s="93"/>
      <c r="PI115" s="93"/>
      <c r="PJ115" s="93"/>
      <c r="PK115" s="93"/>
      <c r="PL115" s="93"/>
      <c r="PM115" s="93"/>
      <c r="PN115" s="93"/>
      <c r="PO115" s="93"/>
      <c r="PP115" s="93"/>
      <c r="PQ115" s="93"/>
      <c r="PR115" s="93"/>
      <c r="PS115" s="93"/>
      <c r="PT115" s="93"/>
      <c r="PU115" s="93"/>
      <c r="PV115" s="93"/>
      <c r="PW115" s="93"/>
      <c r="PX115" s="93"/>
      <c r="PY115" s="93"/>
      <c r="PZ115" s="93"/>
      <c r="QA115" s="93"/>
      <c r="QB115" s="93"/>
      <c r="QC115" s="93"/>
      <c r="QD115" s="93"/>
      <c r="QE115" s="20"/>
      <c r="QF115" s="1739">
        <v>48</v>
      </c>
      <c r="QG115" s="19"/>
      <c r="QH115" s="93"/>
      <c r="QI115" s="93"/>
      <c r="QJ115" s="93"/>
      <c r="QK115" s="93"/>
      <c r="QL115" s="93"/>
      <c r="QM115" s="93"/>
      <c r="QN115" s="93"/>
      <c r="QO115" s="93"/>
      <c r="QP115" s="93"/>
      <c r="QQ115" s="93"/>
      <c r="QR115" s="93"/>
      <c r="QS115" s="93"/>
      <c r="QT115" s="93"/>
      <c r="QU115" s="93"/>
      <c r="QV115" s="93"/>
      <c r="QW115" s="93"/>
      <c r="QX115" s="93"/>
      <c r="QY115" s="93"/>
      <c r="QZ115" s="93"/>
      <c r="RA115" s="93"/>
      <c r="RB115" s="93"/>
      <c r="RC115" s="93"/>
      <c r="RD115" s="93"/>
      <c r="RE115" s="93"/>
      <c r="RF115" s="93"/>
      <c r="RG115" s="93"/>
      <c r="RH115" s="93"/>
      <c r="RI115" s="93"/>
      <c r="RJ115" s="93"/>
      <c r="RK115" s="93"/>
      <c r="RL115" s="93"/>
      <c r="RM115" s="20"/>
      <c r="RN115" s="29">
        <v>48</v>
      </c>
      <c r="RO115" s="19"/>
      <c r="RP115" s="20"/>
      <c r="RQ115" s="29">
        <v>48</v>
      </c>
      <c r="RR115" s="20"/>
      <c r="RS115" s="29">
        <v>48</v>
      </c>
      <c r="RT115" s="1504">
        <v>37956</v>
      </c>
      <c r="RU115" s="19"/>
      <c r="RV115" s="20"/>
      <c r="RW115" s="29">
        <v>48</v>
      </c>
      <c r="RX115" s="1504">
        <v>37956</v>
      </c>
      <c r="RY115" s="29"/>
      <c r="RZ115" s="20"/>
      <c r="SA115" s="29"/>
      <c r="SB115" s="29">
        <v>48</v>
      </c>
    </row>
    <row r="116" spans="1:496">
      <c r="A116" s="41">
        <f t="shared" si="187"/>
        <v>2004</v>
      </c>
      <c r="B116" s="1504">
        <v>37987</v>
      </c>
      <c r="C116" s="1813"/>
      <c r="D116" s="1814"/>
      <c r="E116" s="1814"/>
      <c r="F116" s="1815"/>
      <c r="G116" s="1814"/>
      <c r="H116" s="1814"/>
      <c r="I116" s="1814"/>
      <c r="J116" s="1816"/>
      <c r="K116" s="1807"/>
      <c r="L116" s="25">
        <v>49</v>
      </c>
      <c r="M116" s="97"/>
      <c r="N116" s="1504">
        <v>37987</v>
      </c>
      <c r="O116" s="19"/>
      <c r="P116" s="93"/>
      <c r="Q116" s="93"/>
      <c r="R116" s="93"/>
      <c r="S116" s="93"/>
      <c r="T116" s="93"/>
      <c r="U116" s="93"/>
      <c r="V116" s="93"/>
      <c r="W116" s="93"/>
      <c r="X116" s="93"/>
      <c r="Y116" s="93"/>
      <c r="Z116" s="93"/>
      <c r="AA116" s="93"/>
      <c r="AB116" s="20"/>
      <c r="AC116" s="25">
        <v>49</v>
      </c>
      <c r="AD116" s="97"/>
      <c r="AE116" s="1504">
        <v>37987</v>
      </c>
      <c r="AF116" s="19"/>
      <c r="AG116" s="93"/>
      <c r="AH116" s="93"/>
      <c r="AI116" s="93"/>
      <c r="AJ116" s="93"/>
      <c r="AK116" s="93"/>
      <c r="AL116" s="93"/>
      <c r="AM116" s="93"/>
      <c r="AN116" s="93"/>
      <c r="AO116" s="93"/>
      <c r="AP116" s="93"/>
      <c r="AQ116" s="93"/>
      <c r="AR116" s="93"/>
      <c r="AS116" s="20"/>
      <c r="AT116" s="25">
        <v>49</v>
      </c>
      <c r="AU116" s="97"/>
      <c r="AV116" s="1504">
        <v>37987</v>
      </c>
      <c r="AW116" s="19"/>
      <c r="AX116" s="93"/>
      <c r="AY116" s="93"/>
      <c r="AZ116" s="93"/>
      <c r="BA116" s="93"/>
      <c r="BB116" s="93"/>
      <c r="BC116" s="93"/>
      <c r="BD116" s="93"/>
      <c r="BE116" s="93"/>
      <c r="BF116" s="93"/>
      <c r="BG116" s="93"/>
      <c r="BH116" s="93"/>
      <c r="BI116" s="93"/>
      <c r="BJ116" s="20"/>
      <c r="BK116" s="25">
        <v>49</v>
      </c>
      <c r="BL116" s="97"/>
      <c r="BM116" s="1504">
        <v>37987</v>
      </c>
      <c r="BN116" s="19"/>
      <c r="BO116" s="93"/>
      <c r="BP116" s="93"/>
      <c r="BQ116" s="93"/>
      <c r="BR116" s="93"/>
      <c r="BS116" s="93"/>
      <c r="BT116" s="93"/>
      <c r="BU116" s="20"/>
      <c r="BV116" s="25">
        <v>49</v>
      </c>
      <c r="BW116" s="97"/>
      <c r="BX116" s="1504">
        <v>37987</v>
      </c>
      <c r="BY116" s="19"/>
      <c r="BZ116" s="99">
        <v>664.95699999999999</v>
      </c>
      <c r="CA116" s="93"/>
      <c r="CB116" s="93"/>
      <c r="CC116" s="93"/>
      <c r="CD116" s="25">
        <v>49</v>
      </c>
      <c r="CE116" s="97"/>
      <c r="CF116" s="1504">
        <v>37987</v>
      </c>
      <c r="CG116" s="19">
        <v>1.6735070000000001</v>
      </c>
      <c r="CH116" s="93">
        <v>413.78800000000001</v>
      </c>
      <c r="CI116" s="219"/>
      <c r="CJ116" s="20"/>
      <c r="CK116" s="19"/>
      <c r="CL116" s="93"/>
      <c r="CM116" s="93"/>
      <c r="CN116" s="93"/>
      <c r="CO116" s="93"/>
      <c r="CP116" s="20"/>
      <c r="CQ116" s="219">
        <v>1433</v>
      </c>
      <c r="CR116" s="93">
        <v>1.63</v>
      </c>
      <c r="CS116" s="93"/>
      <c r="CT116" s="93"/>
      <c r="CU116" s="93"/>
      <c r="CV116" s="214"/>
      <c r="CW116" s="29">
        <v>49</v>
      </c>
      <c r="CX116" s="41">
        <f t="shared" si="188"/>
        <v>2004</v>
      </c>
      <c r="CY116" s="1504">
        <v>37987</v>
      </c>
      <c r="CZ116" s="733">
        <v>35.580404999999999</v>
      </c>
      <c r="DA116" s="570">
        <v>22.616706000000001</v>
      </c>
      <c r="DB116" s="570">
        <v>12.963699</v>
      </c>
      <c r="DC116" s="93"/>
      <c r="DD116" s="93"/>
      <c r="DE116" s="20"/>
      <c r="DF116" s="29">
        <v>49</v>
      </c>
      <c r="DG116" s="1504">
        <v>37987</v>
      </c>
      <c r="DH116" s="19"/>
      <c r="DI116" s="93"/>
      <c r="DJ116" s="93"/>
      <c r="DK116" s="93"/>
      <c r="DL116" s="93"/>
      <c r="DM116" s="93"/>
      <c r="DN116" s="20"/>
      <c r="DO116" s="25"/>
      <c r="DP116" s="29">
        <v>49</v>
      </c>
      <c r="DQ116" s="1504">
        <v>37987</v>
      </c>
      <c r="DR116" s="19"/>
      <c r="DS116" s="93"/>
      <c r="DT116" s="93"/>
      <c r="DU116" s="93"/>
      <c r="DV116" s="93"/>
      <c r="DW116" s="93"/>
      <c r="DX116" s="20"/>
      <c r="DY116" s="29">
        <v>49</v>
      </c>
      <c r="DZ116" s="1504">
        <v>37987</v>
      </c>
      <c r="EA116" s="19"/>
      <c r="EB116" s="93"/>
      <c r="EC116" s="20"/>
      <c r="ED116" s="29">
        <v>49</v>
      </c>
      <c r="EE116" s="1504">
        <v>37987</v>
      </c>
      <c r="EF116" s="19"/>
      <c r="EG116" s="93"/>
      <c r="EH116" s="93"/>
      <c r="EI116" s="214"/>
      <c r="EJ116" s="93"/>
      <c r="EK116" s="93"/>
      <c r="EL116" s="93"/>
      <c r="EM116" s="93"/>
      <c r="EN116" s="20"/>
      <c r="EO116" s="29">
        <v>49</v>
      </c>
      <c r="EP116" s="1504">
        <v>37987</v>
      </c>
      <c r="EQ116" s="19"/>
      <c r="ER116" s="93"/>
      <c r="ES116" s="93"/>
      <c r="ET116" s="214"/>
      <c r="EU116" s="93"/>
      <c r="EV116" s="93"/>
      <c r="EW116" s="93"/>
      <c r="EX116" s="93"/>
      <c r="EY116" s="20"/>
      <c r="EZ116" s="29">
        <v>49</v>
      </c>
      <c r="FA116" s="1504">
        <v>37987</v>
      </c>
      <c r="FB116" s="29"/>
      <c r="FC116" s="29"/>
      <c r="FD116" s="29"/>
      <c r="FE116" s="29"/>
      <c r="FF116" s="29"/>
      <c r="FG116" s="29"/>
      <c r="FH116" s="29"/>
      <c r="FI116" s="29"/>
      <c r="FJ116" s="29"/>
      <c r="FK116" s="29">
        <v>49</v>
      </c>
      <c r="FL116" s="1504">
        <v>37987</v>
      </c>
      <c r="FM116" s="19"/>
      <c r="FN116" s="93"/>
      <c r="FO116" s="93"/>
      <c r="FP116" s="93"/>
      <c r="FQ116" s="93"/>
      <c r="FR116" s="93"/>
      <c r="FS116" s="93"/>
      <c r="FT116" s="93"/>
      <c r="FU116" s="93"/>
      <c r="FV116" s="93"/>
      <c r="FW116" s="93"/>
      <c r="FX116" s="93"/>
      <c r="FY116" s="93"/>
      <c r="FZ116" s="29">
        <v>49</v>
      </c>
      <c r="GA116" s="1504">
        <v>37987</v>
      </c>
      <c r="GB116" s="19"/>
      <c r="GC116" s="93"/>
      <c r="GD116" s="93"/>
      <c r="GE116" s="93"/>
      <c r="GF116" s="93"/>
      <c r="GG116" s="93"/>
      <c r="GH116" s="93"/>
      <c r="GI116" s="93"/>
      <c r="GJ116" s="93"/>
      <c r="GK116" s="93"/>
      <c r="GL116" s="93"/>
      <c r="GM116" s="93"/>
      <c r="GN116" s="20"/>
      <c r="GO116" s="29">
        <v>49</v>
      </c>
      <c r="GP116" s="1504">
        <v>37987</v>
      </c>
      <c r="GQ116" s="19"/>
      <c r="GR116" s="93"/>
      <c r="GS116" s="93"/>
      <c r="GT116" s="93"/>
      <c r="GU116" s="93"/>
      <c r="GV116" s="20"/>
      <c r="GW116" s="19"/>
      <c r="GX116" s="93"/>
      <c r="GY116" s="93"/>
      <c r="GZ116" s="93"/>
      <c r="HA116" s="93"/>
      <c r="HB116" s="20"/>
      <c r="HC116" s="19"/>
      <c r="HD116" s="93"/>
      <c r="HE116" s="93"/>
      <c r="HF116" s="93"/>
      <c r="HG116" s="93"/>
      <c r="HH116" s="20"/>
      <c r="HI116" s="19"/>
      <c r="HJ116" s="93"/>
      <c r="HK116" s="93"/>
      <c r="HL116" s="93"/>
      <c r="HM116" s="93"/>
      <c r="HN116" s="20"/>
      <c r="HO116" s="219"/>
      <c r="HP116" s="20"/>
      <c r="HQ116" s="25"/>
      <c r="HR116" s="29">
        <v>49</v>
      </c>
      <c r="HS116" s="1504">
        <v>37987</v>
      </c>
      <c r="HT116" s="19"/>
      <c r="HU116" s="93"/>
      <c r="HV116" s="93"/>
      <c r="HW116" s="93"/>
      <c r="HX116" s="93"/>
      <c r="HY116" s="93"/>
      <c r="HZ116" s="93"/>
      <c r="IA116" s="20"/>
      <c r="IB116" s="19"/>
      <c r="IC116" s="93"/>
      <c r="ID116" s="93"/>
      <c r="IE116" s="93"/>
      <c r="IF116" s="93"/>
      <c r="IG116" s="20"/>
      <c r="IH116" s="19"/>
      <c r="II116" s="93"/>
      <c r="IJ116" s="93"/>
      <c r="IK116" s="93"/>
      <c r="IL116" s="93"/>
      <c r="IM116" s="93"/>
      <c r="IN116" s="93"/>
      <c r="IO116" s="20"/>
      <c r="IP116" s="29">
        <v>49</v>
      </c>
      <c r="IQ116" s="19"/>
      <c r="IR116" s="93"/>
      <c r="IS116" s="93"/>
      <c r="IT116" s="93"/>
      <c r="IU116" s="93"/>
      <c r="IV116" s="20"/>
      <c r="IW116" s="29">
        <v>49</v>
      </c>
      <c r="IX116" s="19"/>
      <c r="IY116" s="93"/>
      <c r="IZ116" s="93"/>
      <c r="JA116" s="93"/>
      <c r="JB116" s="93"/>
      <c r="JC116" s="93"/>
      <c r="JD116" s="93"/>
      <c r="JE116" s="20"/>
      <c r="JF116" s="29">
        <v>49</v>
      </c>
      <c r="JG116" s="19"/>
      <c r="JH116" s="93"/>
      <c r="JI116" s="93"/>
      <c r="JJ116" s="93"/>
      <c r="JK116" s="93"/>
      <c r="JL116" s="93"/>
      <c r="JM116" s="93"/>
      <c r="JN116" s="20"/>
      <c r="JO116" s="29">
        <v>49</v>
      </c>
      <c r="JP116" s="19"/>
      <c r="JQ116" s="93"/>
      <c r="JR116" s="93"/>
      <c r="JS116" s="93"/>
      <c r="JT116" s="93"/>
      <c r="JU116" s="20"/>
      <c r="JV116" s="29">
        <v>49</v>
      </c>
      <c r="JW116" s="1504">
        <v>37987</v>
      </c>
      <c r="JX116" s="19"/>
      <c r="JY116" s="93"/>
      <c r="JZ116" s="93"/>
      <c r="KA116" s="93"/>
      <c r="KB116" s="93"/>
      <c r="KC116" s="93"/>
      <c r="KD116" s="20"/>
      <c r="KE116" s="29">
        <v>49</v>
      </c>
      <c r="KF116" s="19"/>
      <c r="KG116" s="93"/>
      <c r="KH116" s="93"/>
      <c r="KI116" s="93"/>
      <c r="KJ116" s="93"/>
      <c r="KK116" s="20"/>
      <c r="KL116" s="29">
        <v>49</v>
      </c>
      <c r="KM116" s="19"/>
      <c r="KN116" s="93"/>
      <c r="KO116" s="93"/>
      <c r="KP116" s="93"/>
      <c r="KQ116" s="93"/>
      <c r="KR116" s="20"/>
      <c r="KS116" s="29">
        <v>49</v>
      </c>
      <c r="KT116" s="19"/>
      <c r="KU116" s="93"/>
      <c r="KV116" s="93"/>
      <c r="KW116" s="93"/>
      <c r="KX116" s="93"/>
      <c r="KY116" s="20"/>
      <c r="KZ116" s="29">
        <v>49</v>
      </c>
      <c r="LA116" s="1504">
        <v>37987</v>
      </c>
      <c r="LB116" s="19"/>
      <c r="LC116" s="93"/>
      <c r="LD116" s="93"/>
      <c r="LE116" s="93"/>
      <c r="LF116" s="93"/>
      <c r="LG116" s="93"/>
      <c r="LH116" s="20"/>
      <c r="LI116" s="29">
        <v>49</v>
      </c>
      <c r="LJ116" s="19"/>
      <c r="LK116" s="93"/>
      <c r="LL116" s="93"/>
      <c r="LM116" s="93"/>
      <c r="LN116" s="93"/>
      <c r="LO116" s="20"/>
      <c r="LP116" s="29">
        <v>49</v>
      </c>
      <c r="LQ116" s="19"/>
      <c r="LR116" s="93"/>
      <c r="LS116" s="93"/>
      <c r="LT116" s="93"/>
      <c r="LU116" s="93"/>
      <c r="LV116" s="93"/>
      <c r="LW116" s="93"/>
      <c r="LX116" s="93"/>
      <c r="LY116" s="93"/>
      <c r="LZ116" s="93"/>
      <c r="MA116" s="20"/>
      <c r="MB116" s="29">
        <v>49</v>
      </c>
      <c r="MC116" s="1504">
        <v>37987</v>
      </c>
      <c r="MD116" s="19"/>
      <c r="ME116" s="93"/>
      <c r="MF116" s="93"/>
      <c r="MG116" s="93"/>
      <c r="MH116" s="93"/>
      <c r="MI116" s="93"/>
      <c r="MJ116" s="93"/>
      <c r="MK116" s="93"/>
      <c r="ML116" s="93"/>
      <c r="MM116" s="93"/>
      <c r="MN116" s="93"/>
      <c r="MO116" s="93"/>
      <c r="MP116" s="93"/>
      <c r="MQ116" s="93"/>
      <c r="MR116" s="93"/>
      <c r="MS116" s="93"/>
      <c r="MT116" s="93"/>
      <c r="MU116" s="93"/>
      <c r="MV116" s="93"/>
      <c r="MW116" s="93"/>
      <c r="MX116" s="93"/>
      <c r="MY116" s="93"/>
      <c r="MZ116" s="93"/>
      <c r="NA116" s="93"/>
      <c r="NB116" s="93"/>
      <c r="NC116" s="93"/>
      <c r="ND116" s="93"/>
      <c r="NE116" s="93"/>
      <c r="NF116" s="93"/>
      <c r="NG116" s="93"/>
      <c r="NH116" s="93"/>
      <c r="NI116" s="93"/>
      <c r="NJ116" s="93"/>
      <c r="NK116" s="93"/>
      <c r="NL116" s="93"/>
      <c r="NM116" s="93"/>
      <c r="NN116" s="93"/>
      <c r="NO116" s="93"/>
      <c r="NP116" s="93"/>
      <c r="NQ116" s="93"/>
      <c r="NR116" s="93"/>
      <c r="NS116" s="93"/>
      <c r="NT116" s="93"/>
      <c r="NU116" s="93"/>
      <c r="NV116" s="93"/>
      <c r="NW116" s="93"/>
      <c r="NX116" s="93"/>
      <c r="NY116" s="93"/>
      <c r="NZ116" s="93"/>
      <c r="OA116" s="93"/>
      <c r="OB116" s="93"/>
      <c r="OC116" s="93"/>
      <c r="OD116" s="20"/>
      <c r="OE116" s="29">
        <v>49</v>
      </c>
      <c r="OF116" s="1504">
        <v>37987</v>
      </c>
      <c r="OG116" s="19"/>
      <c r="OH116" s="93">
        <v>260.81409999999994</v>
      </c>
      <c r="OI116" s="93">
        <v>230.11624673841078</v>
      </c>
      <c r="OJ116" s="93">
        <v>0.402188078</v>
      </c>
      <c r="OK116" s="93">
        <v>189.48065866041077</v>
      </c>
      <c r="OL116" s="93">
        <v>40.233400000000003</v>
      </c>
      <c r="OM116" s="93">
        <v>490.93034673841072</v>
      </c>
      <c r="ON116" s="93">
        <v>177.51186321158013</v>
      </c>
      <c r="OO116" s="93">
        <v>668.44220994999091</v>
      </c>
      <c r="OP116" s="93"/>
      <c r="OQ116" s="93">
        <v>346.57809762000971</v>
      </c>
      <c r="OR116" s="93">
        <v>277.94508300000001</v>
      </c>
      <c r="OS116" s="93">
        <v>68.633014620009718</v>
      </c>
      <c r="OT116" s="93">
        <v>378.83991767698114</v>
      </c>
      <c r="OU116" s="93">
        <v>-11.295274273000004</v>
      </c>
      <c r="OV116" s="93">
        <v>47.460725726999996</v>
      </c>
      <c r="OW116" s="93">
        <v>-58.756</v>
      </c>
      <c r="OX116" s="93">
        <v>390.13519194998116</v>
      </c>
      <c r="OY116" s="93">
        <v>1.7286846979999999</v>
      </c>
      <c r="OZ116" s="93">
        <v>388.40650725198117</v>
      </c>
      <c r="PA116" s="93">
        <v>90.999631335999993</v>
      </c>
      <c r="PB116" s="93">
        <v>-34.023825989000009</v>
      </c>
      <c r="PC116" s="20">
        <v>668.44220994999091</v>
      </c>
      <c r="PD116" s="29">
        <v>49</v>
      </c>
      <c r="PE116" s="19"/>
      <c r="PF116" s="93">
        <v>277.94508300000001</v>
      </c>
      <c r="PG116" s="93">
        <v>510.27183202800001</v>
      </c>
      <c r="PH116" s="93">
        <v>232.32674902799999</v>
      </c>
      <c r="PI116" s="93">
        <v>1.0269999999999999</v>
      </c>
      <c r="PJ116" s="93">
        <v>47.460725726999996</v>
      </c>
      <c r="PK116" s="93">
        <v>102.533219526</v>
      </c>
      <c r="PL116" s="93">
        <v>55.072493799</v>
      </c>
      <c r="PM116" s="93">
        <v>1.7286846979999999</v>
      </c>
      <c r="PN116" s="93">
        <v>0</v>
      </c>
      <c r="PO116" s="93">
        <v>0</v>
      </c>
      <c r="PP116" s="93">
        <v>5.5282499999999995E-4</v>
      </c>
      <c r="PQ116" s="93">
        <v>1.7281318729999999</v>
      </c>
      <c r="PR116" s="93">
        <v>318.97385097999995</v>
      </c>
      <c r="PS116" s="93">
        <v>273.28709999999995</v>
      </c>
      <c r="PT116" s="93">
        <v>45.284562901999998</v>
      </c>
      <c r="PU116" s="93">
        <v>0.402188078</v>
      </c>
      <c r="PV116" s="93">
        <v>0</v>
      </c>
      <c r="PW116" s="93">
        <v>6.8193303920000004</v>
      </c>
      <c r="PX116" s="93">
        <v>0</v>
      </c>
      <c r="PY116" s="93">
        <v>0</v>
      </c>
      <c r="PZ116" s="93">
        <v>6.8193303920000004</v>
      </c>
      <c r="QA116" s="93">
        <v>0</v>
      </c>
      <c r="QB116" s="93">
        <v>0</v>
      </c>
      <c r="QC116" s="93">
        <v>0</v>
      </c>
      <c r="QD116" s="93">
        <v>0.88730094400000004</v>
      </c>
      <c r="QE116" s="20">
        <v>1.481011109</v>
      </c>
      <c r="QF116" s="1739">
        <v>49</v>
      </c>
      <c r="QG116" s="19"/>
      <c r="QH116" s="1035">
        <v>68.633014620009718</v>
      </c>
      <c r="QI116" s="1035">
        <v>150.70149274801881</v>
      </c>
      <c r="QJ116" s="1035">
        <v>-82.06847812800909</v>
      </c>
      <c r="QK116" s="1035">
        <v>55.066000000000003</v>
      </c>
      <c r="QL116" s="1035">
        <v>12.473000000000001</v>
      </c>
      <c r="QM116" s="1035">
        <v>42.593000000000004</v>
      </c>
      <c r="QN116" s="1035">
        <v>0</v>
      </c>
      <c r="QO116" s="1035">
        <v>-58.756</v>
      </c>
      <c r="QP116" s="1035">
        <v>25.935000000000002</v>
      </c>
      <c r="QQ116" s="1035">
        <v>-84.691000000000003</v>
      </c>
      <c r="QR116" s="1035">
        <v>388.40650725198117</v>
      </c>
      <c r="QS116" s="1035">
        <v>5.1444723445162222</v>
      </c>
      <c r="QT116" s="1035">
        <v>0</v>
      </c>
      <c r="QU116" s="1035">
        <v>54.886000000000003</v>
      </c>
      <c r="QV116" s="1035">
        <v>328.37603490746494</v>
      </c>
      <c r="QW116" s="93"/>
      <c r="QX116" s="93">
        <v>0.156</v>
      </c>
      <c r="QY116" s="93">
        <v>189.48065866041077</v>
      </c>
      <c r="QZ116" s="93">
        <v>177.51186321158013</v>
      </c>
      <c r="RA116" s="93">
        <v>0</v>
      </c>
      <c r="RB116" s="93">
        <v>9.8279999999999994</v>
      </c>
      <c r="RC116" s="93">
        <v>0</v>
      </c>
      <c r="RD116" s="93">
        <v>9.859</v>
      </c>
      <c r="RE116" s="93">
        <v>0</v>
      </c>
      <c r="RF116" s="93">
        <v>0</v>
      </c>
      <c r="RG116" s="93">
        <v>63.605999999999995</v>
      </c>
      <c r="RH116" s="93">
        <v>2.9080000000000013</v>
      </c>
      <c r="RI116" s="93"/>
      <c r="RJ116" s="93"/>
      <c r="RK116" s="93"/>
      <c r="RL116" s="93"/>
      <c r="RM116" s="20"/>
      <c r="RN116" s="29">
        <v>49</v>
      </c>
      <c r="RO116" s="19"/>
      <c r="RP116" s="20"/>
      <c r="RQ116" s="29">
        <v>49</v>
      </c>
      <c r="RR116" s="20"/>
      <c r="RS116" s="29">
        <v>49</v>
      </c>
      <c r="RT116" s="1504">
        <v>37987</v>
      </c>
      <c r="RU116" s="19"/>
      <c r="RV116" s="20"/>
      <c r="RW116" s="29">
        <v>49</v>
      </c>
      <c r="RX116" s="1504">
        <v>37987</v>
      </c>
      <c r="RY116" s="29"/>
      <c r="RZ116" s="20"/>
      <c r="SA116" s="29"/>
      <c r="SB116" s="29">
        <v>49</v>
      </c>
    </row>
    <row r="117" spans="1:496">
      <c r="A117" s="41">
        <f t="shared" si="187"/>
        <v>2004</v>
      </c>
      <c r="B117" s="1504">
        <v>38018</v>
      </c>
      <c r="C117" s="1813"/>
      <c r="D117" s="1814"/>
      <c r="E117" s="1814"/>
      <c r="F117" s="1815"/>
      <c r="G117" s="1814"/>
      <c r="H117" s="1814"/>
      <c r="I117" s="1814"/>
      <c r="J117" s="1816"/>
      <c r="K117" s="1807"/>
      <c r="L117" s="25">
        <v>50</v>
      </c>
      <c r="M117" s="97"/>
      <c r="N117" s="1504">
        <v>38018</v>
      </c>
      <c r="O117" s="19"/>
      <c r="P117" s="93"/>
      <c r="Q117" s="93"/>
      <c r="R117" s="93"/>
      <c r="S117" s="93"/>
      <c r="T117" s="93"/>
      <c r="U117" s="93"/>
      <c r="V117" s="93"/>
      <c r="W117" s="93"/>
      <c r="X117" s="93"/>
      <c r="Y117" s="93"/>
      <c r="Z117" s="93"/>
      <c r="AA117" s="93"/>
      <c r="AB117" s="20"/>
      <c r="AC117" s="25">
        <v>50</v>
      </c>
      <c r="AD117" s="97"/>
      <c r="AE117" s="1504">
        <v>38018</v>
      </c>
      <c r="AF117" s="19"/>
      <c r="AG117" s="93"/>
      <c r="AH117" s="93"/>
      <c r="AI117" s="93"/>
      <c r="AJ117" s="93"/>
      <c r="AK117" s="93"/>
      <c r="AL117" s="93"/>
      <c r="AM117" s="93"/>
      <c r="AN117" s="93"/>
      <c r="AO117" s="93"/>
      <c r="AP117" s="93"/>
      <c r="AQ117" s="93"/>
      <c r="AR117" s="93"/>
      <c r="AS117" s="20"/>
      <c r="AT117" s="25">
        <v>50</v>
      </c>
      <c r="AU117" s="97"/>
      <c r="AV117" s="1504">
        <v>38018</v>
      </c>
      <c r="AW117" s="19"/>
      <c r="AX117" s="93"/>
      <c r="AY117" s="93"/>
      <c r="AZ117" s="93"/>
      <c r="BA117" s="93"/>
      <c r="BB117" s="93"/>
      <c r="BC117" s="93"/>
      <c r="BD117" s="93"/>
      <c r="BE117" s="93"/>
      <c r="BF117" s="93"/>
      <c r="BG117" s="93"/>
      <c r="BH117" s="93"/>
      <c r="BI117" s="93"/>
      <c r="BJ117" s="20"/>
      <c r="BK117" s="25">
        <v>50</v>
      </c>
      <c r="BL117" s="97"/>
      <c r="BM117" s="1504">
        <v>38018</v>
      </c>
      <c r="BN117" s="19"/>
      <c r="BO117" s="93"/>
      <c r="BP117" s="93"/>
      <c r="BQ117" s="93"/>
      <c r="BR117" s="93"/>
      <c r="BS117" s="93"/>
      <c r="BT117" s="93"/>
      <c r="BU117" s="20"/>
      <c r="BV117" s="25">
        <v>50</v>
      </c>
      <c r="BW117" s="97"/>
      <c r="BX117" s="1504">
        <v>38018</v>
      </c>
      <c r="BY117" s="19"/>
      <c r="BZ117" s="99">
        <v>664.95699999999999</v>
      </c>
      <c r="CA117" s="93"/>
      <c r="CB117" s="93"/>
      <c r="CC117" s="93"/>
      <c r="CD117" s="25">
        <v>50</v>
      </c>
      <c r="CE117" s="97"/>
      <c r="CF117" s="1504">
        <v>38018</v>
      </c>
      <c r="CG117" s="19">
        <v>1.6295448729999999</v>
      </c>
      <c r="CH117" s="93">
        <v>404.87799999999999</v>
      </c>
      <c r="CI117" s="219"/>
      <c r="CJ117" s="20"/>
      <c r="CK117" s="19"/>
      <c r="CL117" s="93"/>
      <c r="CM117" s="93"/>
      <c r="CN117" s="93"/>
      <c r="CO117" s="93"/>
      <c r="CP117" s="20"/>
      <c r="CQ117" s="219">
        <v>1433</v>
      </c>
      <c r="CR117" s="93">
        <v>1.6475</v>
      </c>
      <c r="CS117" s="93"/>
      <c r="CT117" s="93"/>
      <c r="CU117" s="93"/>
      <c r="CV117" s="214"/>
      <c r="CW117" s="29">
        <v>50</v>
      </c>
      <c r="CX117" s="41">
        <f t="shared" si="188"/>
        <v>2004</v>
      </c>
      <c r="CY117" s="1504">
        <v>38018</v>
      </c>
      <c r="CZ117" s="733">
        <v>32.503507999999997</v>
      </c>
      <c r="DA117" s="570">
        <v>20.766014999999999</v>
      </c>
      <c r="DB117" s="570">
        <v>11.737493000000001</v>
      </c>
      <c r="DC117" s="93"/>
      <c r="DD117" s="93"/>
      <c r="DE117" s="20"/>
      <c r="DF117" s="29">
        <v>50</v>
      </c>
      <c r="DG117" s="1504">
        <v>38018</v>
      </c>
      <c r="DH117" s="19"/>
      <c r="DI117" s="93"/>
      <c r="DJ117" s="93"/>
      <c r="DK117" s="93"/>
      <c r="DL117" s="93"/>
      <c r="DM117" s="93"/>
      <c r="DN117" s="20"/>
      <c r="DO117" s="25"/>
      <c r="DP117" s="29">
        <v>50</v>
      </c>
      <c r="DQ117" s="1504">
        <v>38018</v>
      </c>
      <c r="DR117" s="19"/>
      <c r="DS117" s="93"/>
      <c r="DT117" s="93"/>
      <c r="DU117" s="93"/>
      <c r="DV117" s="93"/>
      <c r="DW117" s="93"/>
      <c r="DX117" s="20"/>
      <c r="DY117" s="29">
        <v>50</v>
      </c>
      <c r="DZ117" s="1504">
        <v>38018</v>
      </c>
      <c r="EA117" s="19"/>
      <c r="EB117" s="93"/>
      <c r="EC117" s="20"/>
      <c r="ED117" s="29">
        <v>50</v>
      </c>
      <c r="EE117" s="1504">
        <v>38018</v>
      </c>
      <c r="EF117" s="19"/>
      <c r="EG117" s="93"/>
      <c r="EH117" s="93"/>
      <c r="EI117" s="214"/>
      <c r="EJ117" s="93"/>
      <c r="EK117" s="93"/>
      <c r="EL117" s="93"/>
      <c r="EM117" s="93"/>
      <c r="EN117" s="20"/>
      <c r="EO117" s="29">
        <v>50</v>
      </c>
      <c r="EP117" s="1504">
        <v>38018</v>
      </c>
      <c r="EQ117" s="19"/>
      <c r="ER117" s="93"/>
      <c r="ES117" s="93"/>
      <c r="ET117" s="214"/>
      <c r="EU117" s="93"/>
      <c r="EV117" s="93"/>
      <c r="EW117" s="93"/>
      <c r="EX117" s="93"/>
      <c r="EY117" s="20"/>
      <c r="EZ117" s="29">
        <v>50</v>
      </c>
      <c r="FA117" s="1504">
        <v>38018</v>
      </c>
      <c r="FB117" s="29"/>
      <c r="FC117" s="29"/>
      <c r="FD117" s="29"/>
      <c r="FE117" s="29"/>
      <c r="FF117" s="29"/>
      <c r="FG117" s="29"/>
      <c r="FH117" s="29"/>
      <c r="FI117" s="29"/>
      <c r="FJ117" s="29"/>
      <c r="FK117" s="29">
        <v>50</v>
      </c>
      <c r="FL117" s="1504">
        <v>38018</v>
      </c>
      <c r="FM117" s="19"/>
      <c r="FN117" s="93"/>
      <c r="FO117" s="93"/>
      <c r="FP117" s="93"/>
      <c r="FQ117" s="93"/>
      <c r="FR117" s="93"/>
      <c r="FS117" s="93"/>
      <c r="FT117" s="93"/>
      <c r="FU117" s="93"/>
      <c r="FV117" s="93"/>
      <c r="FW117" s="93"/>
      <c r="FX117" s="93"/>
      <c r="FY117" s="93"/>
      <c r="FZ117" s="29">
        <v>50</v>
      </c>
      <c r="GA117" s="1504">
        <v>38018</v>
      </c>
      <c r="GB117" s="19"/>
      <c r="GC117" s="93"/>
      <c r="GD117" s="93"/>
      <c r="GE117" s="93"/>
      <c r="GF117" s="93"/>
      <c r="GG117" s="93"/>
      <c r="GH117" s="93"/>
      <c r="GI117" s="93"/>
      <c r="GJ117" s="93"/>
      <c r="GK117" s="93"/>
      <c r="GL117" s="93"/>
      <c r="GM117" s="93"/>
      <c r="GN117" s="20"/>
      <c r="GO117" s="29">
        <v>50</v>
      </c>
      <c r="GP117" s="1504">
        <v>38018</v>
      </c>
      <c r="GQ117" s="19"/>
      <c r="GR117" s="93"/>
      <c r="GS117" s="93"/>
      <c r="GT117" s="93"/>
      <c r="GU117" s="93"/>
      <c r="GV117" s="20"/>
      <c r="GW117" s="19"/>
      <c r="GX117" s="93"/>
      <c r="GY117" s="93"/>
      <c r="GZ117" s="93"/>
      <c r="HA117" s="93"/>
      <c r="HB117" s="20"/>
      <c r="HC117" s="19"/>
      <c r="HD117" s="93"/>
      <c r="HE117" s="93"/>
      <c r="HF117" s="93"/>
      <c r="HG117" s="93"/>
      <c r="HH117" s="20"/>
      <c r="HI117" s="19"/>
      <c r="HJ117" s="93"/>
      <c r="HK117" s="93"/>
      <c r="HL117" s="93"/>
      <c r="HM117" s="93"/>
      <c r="HN117" s="20"/>
      <c r="HO117" s="219"/>
      <c r="HP117" s="20"/>
      <c r="HQ117" s="25"/>
      <c r="HR117" s="29">
        <v>50</v>
      </c>
      <c r="HS117" s="1504">
        <v>38018</v>
      </c>
      <c r="HT117" s="19"/>
      <c r="HU117" s="93"/>
      <c r="HV117" s="93"/>
      <c r="HW117" s="93"/>
      <c r="HX117" s="93"/>
      <c r="HY117" s="93"/>
      <c r="HZ117" s="93"/>
      <c r="IA117" s="20"/>
      <c r="IB117" s="19"/>
      <c r="IC117" s="93"/>
      <c r="ID117" s="93"/>
      <c r="IE117" s="93"/>
      <c r="IF117" s="93"/>
      <c r="IG117" s="20"/>
      <c r="IH117" s="19"/>
      <c r="II117" s="93"/>
      <c r="IJ117" s="93"/>
      <c r="IK117" s="93"/>
      <c r="IL117" s="93"/>
      <c r="IM117" s="93"/>
      <c r="IN117" s="93"/>
      <c r="IO117" s="20"/>
      <c r="IP117" s="29">
        <v>50</v>
      </c>
      <c r="IQ117" s="19"/>
      <c r="IR117" s="93"/>
      <c r="IS117" s="93"/>
      <c r="IT117" s="93"/>
      <c r="IU117" s="93"/>
      <c r="IV117" s="20"/>
      <c r="IW117" s="29">
        <v>50</v>
      </c>
      <c r="IX117" s="19"/>
      <c r="IY117" s="93"/>
      <c r="IZ117" s="93"/>
      <c r="JA117" s="93"/>
      <c r="JB117" s="93"/>
      <c r="JC117" s="93"/>
      <c r="JD117" s="93"/>
      <c r="JE117" s="20"/>
      <c r="JF117" s="29">
        <v>50</v>
      </c>
      <c r="JG117" s="19"/>
      <c r="JH117" s="93"/>
      <c r="JI117" s="93"/>
      <c r="JJ117" s="93"/>
      <c r="JK117" s="93"/>
      <c r="JL117" s="93"/>
      <c r="JM117" s="93"/>
      <c r="JN117" s="20"/>
      <c r="JO117" s="29">
        <v>50</v>
      </c>
      <c r="JP117" s="19"/>
      <c r="JQ117" s="93"/>
      <c r="JR117" s="93"/>
      <c r="JS117" s="93"/>
      <c r="JT117" s="93"/>
      <c r="JU117" s="20"/>
      <c r="JV117" s="29">
        <v>50</v>
      </c>
      <c r="JW117" s="1504">
        <v>38018</v>
      </c>
      <c r="JX117" s="19"/>
      <c r="JY117" s="93"/>
      <c r="JZ117" s="93"/>
      <c r="KA117" s="93"/>
      <c r="KB117" s="93"/>
      <c r="KC117" s="93"/>
      <c r="KD117" s="20"/>
      <c r="KE117" s="29">
        <v>50</v>
      </c>
      <c r="KF117" s="19"/>
      <c r="KG117" s="93"/>
      <c r="KH117" s="93"/>
      <c r="KI117" s="93"/>
      <c r="KJ117" s="93"/>
      <c r="KK117" s="20"/>
      <c r="KL117" s="29">
        <v>50</v>
      </c>
      <c r="KM117" s="19"/>
      <c r="KN117" s="93"/>
      <c r="KO117" s="93"/>
      <c r="KP117" s="93"/>
      <c r="KQ117" s="93"/>
      <c r="KR117" s="20"/>
      <c r="KS117" s="29">
        <v>50</v>
      </c>
      <c r="KT117" s="19"/>
      <c r="KU117" s="93"/>
      <c r="KV117" s="93"/>
      <c r="KW117" s="93"/>
      <c r="KX117" s="93"/>
      <c r="KY117" s="20"/>
      <c r="KZ117" s="29">
        <v>50</v>
      </c>
      <c r="LA117" s="1504">
        <v>38018</v>
      </c>
      <c r="LB117" s="19"/>
      <c r="LC117" s="93"/>
      <c r="LD117" s="93"/>
      <c r="LE117" s="93"/>
      <c r="LF117" s="93"/>
      <c r="LG117" s="93"/>
      <c r="LH117" s="20"/>
      <c r="LI117" s="29">
        <v>50</v>
      </c>
      <c r="LJ117" s="19"/>
      <c r="LK117" s="93"/>
      <c r="LL117" s="93"/>
      <c r="LM117" s="93"/>
      <c r="LN117" s="93"/>
      <c r="LO117" s="20"/>
      <c r="LP117" s="29">
        <v>50</v>
      </c>
      <c r="LQ117" s="19"/>
      <c r="LR117" s="93"/>
      <c r="LS117" s="93"/>
      <c r="LT117" s="93"/>
      <c r="LU117" s="93"/>
      <c r="LV117" s="93"/>
      <c r="LW117" s="93"/>
      <c r="LX117" s="93"/>
      <c r="LY117" s="93"/>
      <c r="LZ117" s="93"/>
      <c r="MA117" s="20"/>
      <c r="MB117" s="29">
        <v>50</v>
      </c>
      <c r="MC117" s="1504">
        <v>38018</v>
      </c>
      <c r="MD117" s="19"/>
      <c r="ME117" s="93"/>
      <c r="MF117" s="93"/>
      <c r="MG117" s="93"/>
      <c r="MH117" s="93"/>
      <c r="MI117" s="93"/>
      <c r="MJ117" s="93"/>
      <c r="MK117" s="93"/>
      <c r="ML117" s="93"/>
      <c r="MM117" s="93"/>
      <c r="MN117" s="93"/>
      <c r="MO117" s="93"/>
      <c r="MP117" s="93"/>
      <c r="MQ117" s="93"/>
      <c r="MR117" s="93"/>
      <c r="MS117" s="93"/>
      <c r="MT117" s="93"/>
      <c r="MU117" s="93"/>
      <c r="MV117" s="93"/>
      <c r="MW117" s="93"/>
      <c r="MX117" s="93"/>
      <c r="MY117" s="93"/>
      <c r="MZ117" s="93"/>
      <c r="NA117" s="93"/>
      <c r="NB117" s="93"/>
      <c r="NC117" s="93"/>
      <c r="ND117" s="93"/>
      <c r="NE117" s="93"/>
      <c r="NF117" s="93"/>
      <c r="NG117" s="93"/>
      <c r="NH117" s="93"/>
      <c r="NI117" s="93"/>
      <c r="NJ117" s="93"/>
      <c r="NK117" s="93"/>
      <c r="NL117" s="93"/>
      <c r="NM117" s="93"/>
      <c r="NN117" s="93"/>
      <c r="NO117" s="93"/>
      <c r="NP117" s="93"/>
      <c r="NQ117" s="93"/>
      <c r="NR117" s="93"/>
      <c r="NS117" s="93"/>
      <c r="NT117" s="93"/>
      <c r="NU117" s="93"/>
      <c r="NV117" s="93"/>
      <c r="NW117" s="93"/>
      <c r="NX117" s="93"/>
      <c r="NY117" s="93"/>
      <c r="NZ117" s="93"/>
      <c r="OA117" s="93"/>
      <c r="OB117" s="93"/>
      <c r="OC117" s="93"/>
      <c r="OD117" s="20"/>
      <c r="OE117" s="29">
        <v>50</v>
      </c>
      <c r="OF117" s="1504">
        <v>38018</v>
      </c>
      <c r="OG117" s="19"/>
      <c r="OH117" s="93">
        <v>257.00400000000002</v>
      </c>
      <c r="OI117" s="93">
        <v>233.6342310312323</v>
      </c>
      <c r="OJ117" s="93">
        <v>0.38829123799999998</v>
      </c>
      <c r="OK117" s="93">
        <v>192.18023979323232</v>
      </c>
      <c r="OL117" s="93">
        <v>41.0657</v>
      </c>
      <c r="OM117" s="93">
        <v>490.63823103123229</v>
      </c>
      <c r="ON117" s="93">
        <v>180.31232372619098</v>
      </c>
      <c r="OO117" s="93">
        <v>670.95055475742333</v>
      </c>
      <c r="OP117" s="93"/>
      <c r="OQ117" s="93">
        <v>331.2837076195392</v>
      </c>
      <c r="OR117" s="93">
        <v>274.35910933700001</v>
      </c>
      <c r="OS117" s="93">
        <v>56.924598282539264</v>
      </c>
      <c r="OT117" s="93">
        <v>400.77515293188401</v>
      </c>
      <c r="OU117" s="93">
        <v>-3.8584876320000134</v>
      </c>
      <c r="OV117" s="93">
        <v>50.733512368</v>
      </c>
      <c r="OW117" s="93">
        <v>-54.592000000000013</v>
      </c>
      <c r="OX117" s="93">
        <v>404.633640563884</v>
      </c>
      <c r="OY117" s="93">
        <v>1.8196753269999999</v>
      </c>
      <c r="OZ117" s="93">
        <v>402.81396523688403</v>
      </c>
      <c r="PA117" s="93">
        <v>90.545649420000004</v>
      </c>
      <c r="PB117" s="93">
        <v>-29.437343626000015</v>
      </c>
      <c r="PC117" s="20">
        <v>670.95055475742322</v>
      </c>
      <c r="PD117" s="29">
        <v>50</v>
      </c>
      <c r="PE117" s="19"/>
      <c r="PF117" s="93">
        <v>274.35910933700001</v>
      </c>
      <c r="PG117" s="93">
        <v>510.86451175000002</v>
      </c>
      <c r="PH117" s="93">
        <v>236.50540241300001</v>
      </c>
      <c r="PI117" s="93">
        <v>1.1444905000000001</v>
      </c>
      <c r="PJ117" s="93">
        <v>50.733512368</v>
      </c>
      <c r="PK117" s="93">
        <v>102.023182108</v>
      </c>
      <c r="PL117" s="93">
        <v>51.289669740000001</v>
      </c>
      <c r="PM117" s="93">
        <v>1.8196753269999999</v>
      </c>
      <c r="PN117" s="93">
        <v>0</v>
      </c>
      <c r="PO117" s="93">
        <v>0</v>
      </c>
      <c r="PP117" s="93">
        <v>3.0372400000000001E-4</v>
      </c>
      <c r="PQ117" s="93">
        <v>1.819371603</v>
      </c>
      <c r="PR117" s="93">
        <v>316.20176810800001</v>
      </c>
      <c r="PS117" s="93">
        <v>270.721</v>
      </c>
      <c r="PT117" s="93">
        <v>45.092476869999999</v>
      </c>
      <c r="PU117" s="93">
        <v>0.38829123799999998</v>
      </c>
      <c r="PV117" s="93">
        <v>0</v>
      </c>
      <c r="PW117" s="93">
        <v>7.8756368009999997</v>
      </c>
      <c r="PX117" s="93">
        <v>0</v>
      </c>
      <c r="PY117" s="93">
        <v>0</v>
      </c>
      <c r="PZ117" s="93">
        <v>7.8756368009999997</v>
      </c>
      <c r="QA117" s="93">
        <v>0</v>
      </c>
      <c r="QB117" s="93">
        <v>0</v>
      </c>
      <c r="QC117" s="93">
        <v>0</v>
      </c>
      <c r="QD117" s="93">
        <v>1.700012619</v>
      </c>
      <c r="QE117" s="20">
        <v>2.2793700039999929</v>
      </c>
      <c r="QF117" s="1739">
        <v>50</v>
      </c>
      <c r="QG117" s="19"/>
      <c r="QH117" s="1035">
        <v>56.924598282539264</v>
      </c>
      <c r="QI117" s="1035">
        <v>136.27303476311596</v>
      </c>
      <c r="QJ117" s="1035">
        <v>-79.348436480576694</v>
      </c>
      <c r="QK117" s="1035">
        <v>58.23</v>
      </c>
      <c r="QL117" s="1035">
        <v>13.717000000000001</v>
      </c>
      <c r="QM117" s="1035">
        <v>44.512999999999998</v>
      </c>
      <c r="QN117" s="1035">
        <v>0</v>
      </c>
      <c r="QO117" s="1035">
        <v>-54.592000000000013</v>
      </c>
      <c r="QP117" s="1035">
        <v>30.193000000000001</v>
      </c>
      <c r="QQ117" s="1035">
        <v>-84.785000000000011</v>
      </c>
      <c r="QR117" s="1035">
        <v>402.81396523688403</v>
      </c>
      <c r="QS117" s="1035">
        <v>5.3298289765120614</v>
      </c>
      <c r="QT117" s="1035">
        <v>0</v>
      </c>
      <c r="QU117" s="1035">
        <v>62.366</v>
      </c>
      <c r="QV117" s="1035">
        <v>335.11813626037195</v>
      </c>
      <c r="QW117" s="93"/>
      <c r="QX117" s="93">
        <v>0.28299999999999997</v>
      </c>
      <c r="QY117" s="93">
        <v>192.18023979323232</v>
      </c>
      <c r="QZ117" s="93">
        <v>180.31232372619098</v>
      </c>
      <c r="RA117" s="93">
        <v>0</v>
      </c>
      <c r="RB117" s="93">
        <v>10.904999999999999</v>
      </c>
      <c r="RC117" s="93">
        <v>0</v>
      </c>
      <c r="RD117" s="93">
        <v>5.7080000000000002</v>
      </c>
      <c r="RE117" s="93">
        <v>0</v>
      </c>
      <c r="RF117" s="93">
        <v>0</v>
      </c>
      <c r="RG117" s="93">
        <v>64.356999999999999</v>
      </c>
      <c r="RH117" s="93">
        <v>9.6309999999999931</v>
      </c>
      <c r="RI117" s="93"/>
      <c r="RJ117" s="93"/>
      <c r="RK117" s="93"/>
      <c r="RL117" s="93"/>
      <c r="RM117" s="20"/>
      <c r="RN117" s="29">
        <v>50</v>
      </c>
      <c r="RO117" s="19"/>
      <c r="RP117" s="20"/>
      <c r="RQ117" s="29">
        <v>50</v>
      </c>
      <c r="RR117" s="20"/>
      <c r="RS117" s="29">
        <v>50</v>
      </c>
      <c r="RT117" s="1504">
        <v>38018</v>
      </c>
      <c r="RU117" s="19"/>
      <c r="RV117" s="20"/>
      <c r="RW117" s="29">
        <v>50</v>
      </c>
      <c r="RX117" s="1504">
        <v>38018</v>
      </c>
      <c r="RY117" s="29"/>
      <c r="RZ117" s="20"/>
      <c r="SA117" s="29"/>
      <c r="SB117" s="29">
        <v>50</v>
      </c>
    </row>
    <row r="118" spans="1:496">
      <c r="A118" s="41">
        <f t="shared" si="187"/>
        <v>2004</v>
      </c>
      <c r="B118" s="1504">
        <v>38047</v>
      </c>
      <c r="C118" s="1813"/>
      <c r="D118" s="1814"/>
      <c r="E118" s="1814"/>
      <c r="F118" s="1815"/>
      <c r="G118" s="1814"/>
      <c r="H118" s="1814"/>
      <c r="I118" s="1814"/>
      <c r="J118" s="1816"/>
      <c r="K118" s="1807"/>
      <c r="L118" s="25">
        <v>51</v>
      </c>
      <c r="M118" s="97"/>
      <c r="N118" s="1504">
        <v>38047</v>
      </c>
      <c r="O118" s="19"/>
      <c r="P118" s="93"/>
      <c r="Q118" s="93"/>
      <c r="R118" s="93"/>
      <c r="S118" s="93"/>
      <c r="T118" s="93"/>
      <c r="U118" s="93"/>
      <c r="V118" s="93"/>
      <c r="W118" s="93"/>
      <c r="X118" s="93"/>
      <c r="Y118" s="93"/>
      <c r="Z118" s="93"/>
      <c r="AA118" s="93"/>
      <c r="AB118" s="20"/>
      <c r="AC118" s="25">
        <v>51</v>
      </c>
      <c r="AD118" s="97"/>
      <c r="AE118" s="1504">
        <v>38047</v>
      </c>
      <c r="AF118" s="19"/>
      <c r="AG118" s="93"/>
      <c r="AH118" s="93"/>
      <c r="AI118" s="93"/>
      <c r="AJ118" s="93"/>
      <c r="AK118" s="93"/>
      <c r="AL118" s="93"/>
      <c r="AM118" s="93"/>
      <c r="AN118" s="93"/>
      <c r="AO118" s="93"/>
      <c r="AP118" s="93"/>
      <c r="AQ118" s="93"/>
      <c r="AR118" s="93"/>
      <c r="AS118" s="20"/>
      <c r="AT118" s="25">
        <v>51</v>
      </c>
      <c r="AU118" s="97"/>
      <c r="AV118" s="1504">
        <v>38047</v>
      </c>
      <c r="AW118" s="19"/>
      <c r="AX118" s="93"/>
      <c r="AY118" s="93"/>
      <c r="AZ118" s="93"/>
      <c r="BA118" s="93"/>
      <c r="BB118" s="93"/>
      <c r="BC118" s="93"/>
      <c r="BD118" s="93"/>
      <c r="BE118" s="93"/>
      <c r="BF118" s="93"/>
      <c r="BG118" s="93"/>
      <c r="BH118" s="93"/>
      <c r="BI118" s="93"/>
      <c r="BJ118" s="20"/>
      <c r="BK118" s="25">
        <v>51</v>
      </c>
      <c r="BL118" s="97"/>
      <c r="BM118" s="1504">
        <v>38047</v>
      </c>
      <c r="BN118" s="19"/>
      <c r="BO118" s="93"/>
      <c r="BP118" s="93"/>
      <c r="BQ118" s="93"/>
      <c r="BR118" s="93"/>
      <c r="BS118" s="93"/>
      <c r="BT118" s="93"/>
      <c r="BU118" s="20"/>
      <c r="BV118" s="25">
        <v>51</v>
      </c>
      <c r="BW118" s="97"/>
      <c r="BX118" s="1504">
        <v>38047</v>
      </c>
      <c r="BY118" s="19"/>
      <c r="BZ118" s="99">
        <v>664.95699999999999</v>
      </c>
      <c r="CA118" s="93"/>
      <c r="CB118" s="93"/>
      <c r="CC118" s="93"/>
      <c r="CD118" s="25">
        <v>51</v>
      </c>
      <c r="CE118" s="97"/>
      <c r="CF118" s="1504">
        <v>38047</v>
      </c>
      <c r="CG118" s="19">
        <v>1.5873743265217399</v>
      </c>
      <c r="CH118" s="93">
        <v>406.66699999999997</v>
      </c>
      <c r="CI118" s="219"/>
      <c r="CJ118" s="20"/>
      <c r="CK118" s="19"/>
      <c r="CL118" s="93"/>
      <c r="CM118" s="93"/>
      <c r="CN118" s="93"/>
      <c r="CO118" s="93"/>
      <c r="CP118" s="20"/>
      <c r="CQ118" s="219">
        <v>1356.32</v>
      </c>
      <c r="CR118" s="93">
        <v>1.5920000000000001</v>
      </c>
      <c r="CS118" s="93"/>
      <c r="CT118" s="93"/>
      <c r="CU118" s="93"/>
      <c r="CV118" s="214"/>
      <c r="CW118" s="29">
        <v>51</v>
      </c>
      <c r="CX118" s="41">
        <f t="shared" si="188"/>
        <v>2004</v>
      </c>
      <c r="CY118" s="1504">
        <v>38047</v>
      </c>
      <c r="CZ118" s="733">
        <v>37.694455000000005</v>
      </c>
      <c r="DA118" s="570">
        <v>22.780135000000001</v>
      </c>
      <c r="DB118" s="570">
        <v>14.91432</v>
      </c>
      <c r="DC118" s="93"/>
      <c r="DD118" s="93"/>
      <c r="DE118" s="20"/>
      <c r="DF118" s="29">
        <v>51</v>
      </c>
      <c r="DG118" s="1504">
        <v>38047</v>
      </c>
      <c r="DH118" s="19"/>
      <c r="DI118" s="93"/>
      <c r="DJ118" s="93"/>
      <c r="DK118" s="93"/>
      <c r="DL118" s="93"/>
      <c r="DM118" s="93"/>
      <c r="DN118" s="20"/>
      <c r="DO118" s="25"/>
      <c r="DP118" s="29">
        <v>51</v>
      </c>
      <c r="DQ118" s="1504">
        <v>38047</v>
      </c>
      <c r="DR118" s="19"/>
      <c r="DS118" s="93"/>
      <c r="DT118" s="93"/>
      <c r="DU118" s="93"/>
      <c r="DV118" s="93"/>
      <c r="DW118" s="93"/>
      <c r="DX118" s="20"/>
      <c r="DY118" s="29">
        <v>51</v>
      </c>
      <c r="DZ118" s="1504">
        <v>38047</v>
      </c>
      <c r="EA118" s="19"/>
      <c r="EB118" s="93"/>
      <c r="EC118" s="20"/>
      <c r="ED118" s="29">
        <v>51</v>
      </c>
      <c r="EE118" s="1504">
        <v>38047</v>
      </c>
      <c r="EF118" s="19"/>
      <c r="EG118" s="93"/>
      <c r="EH118" s="93"/>
      <c r="EI118" s="214"/>
      <c r="EJ118" s="93"/>
      <c r="EK118" s="93"/>
      <c r="EL118" s="93"/>
      <c r="EM118" s="93"/>
      <c r="EN118" s="20"/>
      <c r="EO118" s="29">
        <v>51</v>
      </c>
      <c r="EP118" s="1504">
        <v>38047</v>
      </c>
      <c r="EQ118" s="19"/>
      <c r="ER118" s="93"/>
      <c r="ES118" s="93"/>
      <c r="ET118" s="214"/>
      <c r="EU118" s="93"/>
      <c r="EV118" s="93"/>
      <c r="EW118" s="93"/>
      <c r="EX118" s="93"/>
      <c r="EY118" s="20"/>
      <c r="EZ118" s="29">
        <v>51</v>
      </c>
      <c r="FA118" s="1504">
        <v>38047</v>
      </c>
      <c r="FB118" s="29"/>
      <c r="FC118" s="29"/>
      <c r="FD118" s="29"/>
      <c r="FE118" s="29"/>
      <c r="FF118" s="29"/>
      <c r="FG118" s="29"/>
      <c r="FH118" s="29"/>
      <c r="FI118" s="29"/>
      <c r="FJ118" s="29"/>
      <c r="FK118" s="29">
        <v>51</v>
      </c>
      <c r="FL118" s="1504">
        <v>38047</v>
      </c>
      <c r="FM118" s="19"/>
      <c r="FN118" s="93"/>
      <c r="FO118" s="93"/>
      <c r="FP118" s="93"/>
      <c r="FQ118" s="93"/>
      <c r="FR118" s="93"/>
      <c r="FS118" s="93"/>
      <c r="FT118" s="93"/>
      <c r="FU118" s="93"/>
      <c r="FV118" s="93"/>
      <c r="FW118" s="93"/>
      <c r="FX118" s="93"/>
      <c r="FY118" s="93"/>
      <c r="FZ118" s="29">
        <v>51</v>
      </c>
      <c r="GA118" s="1504">
        <v>38047</v>
      </c>
      <c r="GB118" s="19"/>
      <c r="GC118" s="93"/>
      <c r="GD118" s="93"/>
      <c r="GE118" s="93"/>
      <c r="GF118" s="93"/>
      <c r="GG118" s="93"/>
      <c r="GH118" s="93"/>
      <c r="GI118" s="93"/>
      <c r="GJ118" s="93"/>
      <c r="GK118" s="93"/>
      <c r="GL118" s="93"/>
      <c r="GM118" s="93"/>
      <c r="GN118" s="20"/>
      <c r="GO118" s="29">
        <v>51</v>
      </c>
      <c r="GP118" s="1504">
        <v>38047</v>
      </c>
      <c r="GQ118" s="19"/>
      <c r="GR118" s="93"/>
      <c r="GS118" s="93"/>
      <c r="GT118" s="93"/>
      <c r="GU118" s="93"/>
      <c r="GV118" s="20"/>
      <c r="GW118" s="19"/>
      <c r="GX118" s="93"/>
      <c r="GY118" s="93"/>
      <c r="GZ118" s="93"/>
      <c r="HA118" s="93"/>
      <c r="HB118" s="20"/>
      <c r="HC118" s="19"/>
      <c r="HD118" s="93"/>
      <c r="HE118" s="93"/>
      <c r="HF118" s="93"/>
      <c r="HG118" s="93"/>
      <c r="HH118" s="20"/>
      <c r="HI118" s="19"/>
      <c r="HJ118" s="93"/>
      <c r="HK118" s="93"/>
      <c r="HL118" s="93"/>
      <c r="HM118" s="93"/>
      <c r="HN118" s="20"/>
      <c r="HO118" s="219"/>
      <c r="HP118" s="20"/>
      <c r="HQ118" s="25"/>
      <c r="HR118" s="29">
        <v>51</v>
      </c>
      <c r="HS118" s="1504">
        <v>38047</v>
      </c>
      <c r="HT118" s="19"/>
      <c r="HU118" s="93"/>
      <c r="HV118" s="93"/>
      <c r="HW118" s="93"/>
      <c r="HX118" s="93"/>
      <c r="HY118" s="93"/>
      <c r="HZ118" s="93"/>
      <c r="IA118" s="20"/>
      <c r="IB118" s="19"/>
      <c r="IC118" s="93"/>
      <c r="ID118" s="93"/>
      <c r="IE118" s="93"/>
      <c r="IF118" s="93"/>
      <c r="IG118" s="20"/>
      <c r="IH118" s="19"/>
      <c r="II118" s="93"/>
      <c r="IJ118" s="93"/>
      <c r="IK118" s="93"/>
      <c r="IL118" s="93"/>
      <c r="IM118" s="93"/>
      <c r="IN118" s="93"/>
      <c r="IO118" s="20"/>
      <c r="IP118" s="29">
        <v>51</v>
      </c>
      <c r="IQ118" s="19"/>
      <c r="IR118" s="93"/>
      <c r="IS118" s="93"/>
      <c r="IT118" s="93"/>
      <c r="IU118" s="93"/>
      <c r="IV118" s="20"/>
      <c r="IW118" s="29">
        <v>51</v>
      </c>
      <c r="IX118" s="19"/>
      <c r="IY118" s="93"/>
      <c r="IZ118" s="93"/>
      <c r="JA118" s="93"/>
      <c r="JB118" s="93"/>
      <c r="JC118" s="93"/>
      <c r="JD118" s="93"/>
      <c r="JE118" s="20"/>
      <c r="JF118" s="29">
        <v>51</v>
      </c>
      <c r="JG118" s="19"/>
      <c r="JH118" s="93"/>
      <c r="JI118" s="93"/>
      <c r="JJ118" s="93"/>
      <c r="JK118" s="93"/>
      <c r="JL118" s="93"/>
      <c r="JM118" s="93"/>
      <c r="JN118" s="20"/>
      <c r="JO118" s="29">
        <v>51</v>
      </c>
      <c r="JP118" s="19"/>
      <c r="JQ118" s="93"/>
      <c r="JR118" s="93"/>
      <c r="JS118" s="93"/>
      <c r="JT118" s="93"/>
      <c r="JU118" s="20"/>
      <c r="JV118" s="29">
        <v>51</v>
      </c>
      <c r="JW118" s="1504">
        <v>38047</v>
      </c>
      <c r="JX118" s="19"/>
      <c r="JY118" s="93"/>
      <c r="JZ118" s="93"/>
      <c r="KA118" s="93"/>
      <c r="KB118" s="93"/>
      <c r="KC118" s="93"/>
      <c r="KD118" s="20"/>
      <c r="KE118" s="29">
        <v>51</v>
      </c>
      <c r="KF118" s="19"/>
      <c r="KG118" s="93"/>
      <c r="KH118" s="93"/>
      <c r="KI118" s="93"/>
      <c r="KJ118" s="93"/>
      <c r="KK118" s="20"/>
      <c r="KL118" s="29">
        <v>51</v>
      </c>
      <c r="KM118" s="19"/>
      <c r="KN118" s="93"/>
      <c r="KO118" s="93"/>
      <c r="KP118" s="93"/>
      <c r="KQ118" s="93"/>
      <c r="KR118" s="20"/>
      <c r="KS118" s="29">
        <v>51</v>
      </c>
      <c r="KT118" s="19"/>
      <c r="KU118" s="93"/>
      <c r="KV118" s="93"/>
      <c r="KW118" s="93"/>
      <c r="KX118" s="93"/>
      <c r="KY118" s="20"/>
      <c r="KZ118" s="29">
        <v>51</v>
      </c>
      <c r="LA118" s="1504">
        <v>38047</v>
      </c>
      <c r="LB118" s="19"/>
      <c r="LC118" s="93"/>
      <c r="LD118" s="93"/>
      <c r="LE118" s="93"/>
      <c r="LF118" s="93"/>
      <c r="LG118" s="93"/>
      <c r="LH118" s="20"/>
      <c r="LI118" s="29">
        <v>51</v>
      </c>
      <c r="LJ118" s="19"/>
      <c r="LK118" s="93"/>
      <c r="LL118" s="93"/>
      <c r="LM118" s="93"/>
      <c r="LN118" s="93"/>
      <c r="LO118" s="20"/>
      <c r="LP118" s="29">
        <v>51</v>
      </c>
      <c r="LQ118" s="19"/>
      <c r="LR118" s="93"/>
      <c r="LS118" s="93"/>
      <c r="LT118" s="93"/>
      <c r="LU118" s="93"/>
      <c r="LV118" s="93"/>
      <c r="LW118" s="93"/>
      <c r="LX118" s="93"/>
      <c r="LY118" s="93"/>
      <c r="LZ118" s="93"/>
      <c r="MA118" s="20"/>
      <c r="MB118" s="29">
        <v>51</v>
      </c>
      <c r="MC118" s="1504">
        <v>38047</v>
      </c>
      <c r="MD118" s="19"/>
      <c r="ME118" s="93"/>
      <c r="MF118" s="93"/>
      <c r="MG118" s="93"/>
      <c r="MH118" s="93"/>
      <c r="MI118" s="93"/>
      <c r="MJ118" s="93"/>
      <c r="MK118" s="93"/>
      <c r="ML118" s="93"/>
      <c r="MM118" s="93"/>
      <c r="MN118" s="93"/>
      <c r="MO118" s="93"/>
      <c r="MP118" s="93"/>
      <c r="MQ118" s="93"/>
      <c r="MR118" s="93"/>
      <c r="MS118" s="93"/>
      <c r="MT118" s="93"/>
      <c r="MU118" s="93"/>
      <c r="MV118" s="93"/>
      <c r="MW118" s="93"/>
      <c r="MX118" s="93"/>
      <c r="MY118" s="93"/>
      <c r="MZ118" s="93"/>
      <c r="NA118" s="93"/>
      <c r="NB118" s="93"/>
      <c r="NC118" s="93"/>
      <c r="ND118" s="93"/>
      <c r="NE118" s="93"/>
      <c r="NF118" s="93"/>
      <c r="NG118" s="93"/>
      <c r="NH118" s="93"/>
      <c r="NI118" s="93"/>
      <c r="NJ118" s="93"/>
      <c r="NK118" s="93"/>
      <c r="NL118" s="93"/>
      <c r="NM118" s="93"/>
      <c r="NN118" s="93"/>
      <c r="NO118" s="93"/>
      <c r="NP118" s="93"/>
      <c r="NQ118" s="93"/>
      <c r="NR118" s="93"/>
      <c r="NS118" s="93"/>
      <c r="NT118" s="93"/>
      <c r="NU118" s="93"/>
      <c r="NV118" s="93"/>
      <c r="NW118" s="93"/>
      <c r="NX118" s="93"/>
      <c r="NY118" s="93"/>
      <c r="NZ118" s="93"/>
      <c r="OA118" s="93"/>
      <c r="OB118" s="93"/>
      <c r="OC118" s="93"/>
      <c r="OD118" s="20"/>
      <c r="OE118" s="29">
        <v>51</v>
      </c>
      <c r="OF118" s="1504">
        <v>38047</v>
      </c>
      <c r="OG118" s="19"/>
      <c r="OH118" s="93">
        <v>251.81709999999998</v>
      </c>
      <c r="OI118" s="93">
        <v>235.40168101104541</v>
      </c>
      <c r="OJ118" s="93">
        <v>0.38456551</v>
      </c>
      <c r="OK118" s="93">
        <v>192.94481550104541</v>
      </c>
      <c r="OL118" s="93">
        <v>42.072299999999998</v>
      </c>
      <c r="OM118" s="93">
        <v>487.21878101104539</v>
      </c>
      <c r="ON118" s="93">
        <v>182.69478105288567</v>
      </c>
      <c r="OO118" s="93">
        <v>669.91356206393107</v>
      </c>
      <c r="OP118" s="93"/>
      <c r="OQ118" s="93">
        <v>326.19723555441612</v>
      </c>
      <c r="OR118" s="93">
        <v>260.83426803499998</v>
      </c>
      <c r="OS118" s="93">
        <v>65.362967519416131</v>
      </c>
      <c r="OT118" s="93">
        <v>399.36503717251486</v>
      </c>
      <c r="OU118" s="93">
        <v>-6.9384905770000174</v>
      </c>
      <c r="OV118" s="93">
        <v>51.307509422999992</v>
      </c>
      <c r="OW118" s="93">
        <v>-58.246000000000009</v>
      </c>
      <c r="OX118" s="93">
        <v>406.3035277495149</v>
      </c>
      <c r="OY118" s="93">
        <v>1.8818987150000002</v>
      </c>
      <c r="OZ118" s="93">
        <v>404.42162903451492</v>
      </c>
      <c r="PA118" s="93">
        <v>91.147258217000001</v>
      </c>
      <c r="PB118" s="93">
        <v>-35.498547553999998</v>
      </c>
      <c r="PC118" s="20">
        <v>669.91356206393107</v>
      </c>
      <c r="PD118" s="29">
        <v>51</v>
      </c>
      <c r="PE118" s="19"/>
      <c r="PF118" s="93">
        <v>260.83426803499998</v>
      </c>
      <c r="PG118" s="93">
        <v>528.76605081299999</v>
      </c>
      <c r="PH118" s="93">
        <v>267.93178277800001</v>
      </c>
      <c r="PI118" s="93">
        <v>1.1444905000000001</v>
      </c>
      <c r="PJ118" s="93">
        <v>51.307509422999992</v>
      </c>
      <c r="PK118" s="93">
        <v>101.49669710799999</v>
      </c>
      <c r="PL118" s="93">
        <v>50.189187685</v>
      </c>
      <c r="PM118" s="93">
        <v>1.8818987150000002</v>
      </c>
      <c r="PN118" s="93">
        <v>0</v>
      </c>
      <c r="PO118" s="93">
        <v>0</v>
      </c>
      <c r="PP118" s="93">
        <v>5.0794000000000002E-5</v>
      </c>
      <c r="PQ118" s="93">
        <v>1.8818479210000001</v>
      </c>
      <c r="PR118" s="93">
        <v>307.721151851</v>
      </c>
      <c r="PS118" s="93">
        <v>266.86509999999998</v>
      </c>
      <c r="PT118" s="93">
        <v>40.471486341000002</v>
      </c>
      <c r="PU118" s="93">
        <v>0.38456551</v>
      </c>
      <c r="PV118" s="93">
        <v>0</v>
      </c>
      <c r="PW118" s="93">
        <v>7.0917768629999998</v>
      </c>
      <c r="PX118" s="93">
        <v>0</v>
      </c>
      <c r="PY118" s="93">
        <v>0</v>
      </c>
      <c r="PZ118" s="93">
        <v>7.0917768629999998</v>
      </c>
      <c r="QA118" s="93">
        <v>0</v>
      </c>
      <c r="QB118" s="93">
        <v>0</v>
      </c>
      <c r="QC118" s="93">
        <v>0</v>
      </c>
      <c r="QD118" s="93">
        <v>8.5481354000000009E-2</v>
      </c>
      <c r="QE118" s="20">
        <v>0.26975660500000004</v>
      </c>
      <c r="QF118" s="1739">
        <v>51</v>
      </c>
      <c r="QG118" s="19"/>
      <c r="QH118" s="1035">
        <v>65.362967519416131</v>
      </c>
      <c r="QI118" s="1035">
        <v>139.00237096548503</v>
      </c>
      <c r="QJ118" s="1035">
        <v>-73.639403446068897</v>
      </c>
      <c r="QK118" s="1035">
        <v>58.901000000000003</v>
      </c>
      <c r="QL118" s="1035">
        <v>15.048</v>
      </c>
      <c r="QM118" s="1035">
        <v>43.853000000000002</v>
      </c>
      <c r="QN118" s="1035">
        <v>0</v>
      </c>
      <c r="QO118" s="1035">
        <v>-58.246000000000009</v>
      </c>
      <c r="QP118" s="1035">
        <v>26.029</v>
      </c>
      <c r="QQ118" s="1035">
        <v>-84.275000000000006</v>
      </c>
      <c r="QR118" s="1035">
        <v>404.42162903451492</v>
      </c>
      <c r="QS118" s="1035">
        <v>6.8293508136655472</v>
      </c>
      <c r="QT118" s="1035">
        <v>0</v>
      </c>
      <c r="QU118" s="1035">
        <v>57.792999999999999</v>
      </c>
      <c r="QV118" s="1035">
        <v>339.79927822084937</v>
      </c>
      <c r="QW118" s="93"/>
      <c r="QX118" s="93">
        <v>0.24</v>
      </c>
      <c r="QY118" s="93">
        <v>192.94481550104541</v>
      </c>
      <c r="QZ118" s="93">
        <v>182.69478105288567</v>
      </c>
      <c r="RA118" s="93">
        <v>0</v>
      </c>
      <c r="RB118" s="93">
        <v>13.905000000000001</v>
      </c>
      <c r="RC118" s="93">
        <v>2.4E-2</v>
      </c>
      <c r="RD118" s="93">
        <v>4.6779999999999999</v>
      </c>
      <c r="RE118" s="93">
        <v>0</v>
      </c>
      <c r="RF118" s="93">
        <v>0</v>
      </c>
      <c r="RG118" s="93">
        <v>65.363</v>
      </c>
      <c r="RH118" s="93">
        <v>10.590000000000003</v>
      </c>
      <c r="RI118" s="93"/>
      <c r="RJ118" s="93"/>
      <c r="RK118" s="93"/>
      <c r="RL118" s="93"/>
      <c r="RM118" s="20"/>
      <c r="RN118" s="29">
        <v>51</v>
      </c>
      <c r="RO118" s="19"/>
      <c r="RP118" s="20"/>
      <c r="RQ118" s="29">
        <v>51</v>
      </c>
      <c r="RR118" s="20"/>
      <c r="RS118" s="29">
        <v>51</v>
      </c>
      <c r="RT118" s="1504">
        <v>38047</v>
      </c>
      <c r="RU118" s="19"/>
      <c r="RV118" s="20"/>
      <c r="RW118" s="29">
        <v>51</v>
      </c>
      <c r="RX118" s="1504">
        <v>38047</v>
      </c>
      <c r="RY118" s="29"/>
      <c r="RZ118" s="20"/>
      <c r="SA118" s="29"/>
      <c r="SB118" s="29">
        <v>51</v>
      </c>
    </row>
    <row r="119" spans="1:496">
      <c r="A119" s="41">
        <f t="shared" si="187"/>
        <v>2004</v>
      </c>
      <c r="B119" s="1504">
        <v>38078</v>
      </c>
      <c r="C119" s="1813"/>
      <c r="D119" s="1814"/>
      <c r="E119" s="1814"/>
      <c r="F119" s="1815"/>
      <c r="G119" s="1814"/>
      <c r="H119" s="1814"/>
      <c r="I119" s="1814"/>
      <c r="J119" s="1816"/>
      <c r="K119" s="1807"/>
      <c r="L119" s="25">
        <v>52</v>
      </c>
      <c r="M119" s="97"/>
      <c r="N119" s="1504">
        <v>38078</v>
      </c>
      <c r="O119" s="19"/>
      <c r="P119" s="93"/>
      <c r="Q119" s="93"/>
      <c r="R119" s="93"/>
      <c r="S119" s="93"/>
      <c r="T119" s="93"/>
      <c r="U119" s="93"/>
      <c r="V119" s="93"/>
      <c r="W119" s="93"/>
      <c r="X119" s="93"/>
      <c r="Y119" s="93"/>
      <c r="Z119" s="93"/>
      <c r="AA119" s="93"/>
      <c r="AB119" s="20"/>
      <c r="AC119" s="25">
        <v>52</v>
      </c>
      <c r="AD119" s="97"/>
      <c r="AE119" s="1504">
        <v>38078</v>
      </c>
      <c r="AF119" s="19"/>
      <c r="AG119" s="93"/>
      <c r="AH119" s="93"/>
      <c r="AI119" s="93"/>
      <c r="AJ119" s="93"/>
      <c r="AK119" s="93"/>
      <c r="AL119" s="93"/>
      <c r="AM119" s="93"/>
      <c r="AN119" s="93"/>
      <c r="AO119" s="93"/>
      <c r="AP119" s="93"/>
      <c r="AQ119" s="93"/>
      <c r="AR119" s="93"/>
      <c r="AS119" s="20"/>
      <c r="AT119" s="25">
        <v>52</v>
      </c>
      <c r="AU119" s="97"/>
      <c r="AV119" s="1504">
        <v>38078</v>
      </c>
      <c r="AW119" s="19"/>
      <c r="AX119" s="93"/>
      <c r="AY119" s="93"/>
      <c r="AZ119" s="93"/>
      <c r="BA119" s="93"/>
      <c r="BB119" s="93"/>
      <c r="BC119" s="93"/>
      <c r="BD119" s="93"/>
      <c r="BE119" s="93"/>
      <c r="BF119" s="93"/>
      <c r="BG119" s="93"/>
      <c r="BH119" s="93"/>
      <c r="BI119" s="93"/>
      <c r="BJ119" s="20"/>
      <c r="BK119" s="25">
        <v>52</v>
      </c>
      <c r="BL119" s="97"/>
      <c r="BM119" s="1504">
        <v>38078</v>
      </c>
      <c r="BN119" s="19"/>
      <c r="BO119" s="93"/>
      <c r="BP119" s="93"/>
      <c r="BQ119" s="93"/>
      <c r="BR119" s="93"/>
      <c r="BS119" s="93"/>
      <c r="BT119" s="93"/>
      <c r="BU119" s="20"/>
      <c r="BV119" s="25">
        <v>52</v>
      </c>
      <c r="BW119" s="97"/>
      <c r="BX119" s="1504">
        <v>38078</v>
      </c>
      <c r="BY119" s="19"/>
      <c r="BZ119" s="99">
        <v>664.95699999999999</v>
      </c>
      <c r="CA119" s="93"/>
      <c r="CB119" s="93"/>
      <c r="CC119" s="93"/>
      <c r="CD119" s="25">
        <v>52</v>
      </c>
      <c r="CE119" s="97"/>
      <c r="CF119" s="1504">
        <v>38078</v>
      </c>
      <c r="CG119" s="19">
        <v>1.52900418</v>
      </c>
      <c r="CH119" s="93">
        <v>403.26</v>
      </c>
      <c r="CI119" s="219"/>
      <c r="CJ119" s="20"/>
      <c r="CK119" s="19"/>
      <c r="CL119" s="93"/>
      <c r="CM119" s="93"/>
      <c r="CN119" s="93"/>
      <c r="CO119" s="93"/>
      <c r="CP119" s="20"/>
      <c r="CQ119" s="219">
        <v>1322.77</v>
      </c>
      <c r="CR119" s="93">
        <v>1.54</v>
      </c>
      <c r="CS119" s="93"/>
      <c r="CT119" s="93"/>
      <c r="CU119" s="93"/>
      <c r="CV119" s="214"/>
      <c r="CW119" s="29">
        <v>52</v>
      </c>
      <c r="CX119" s="41">
        <f t="shared" si="188"/>
        <v>2004</v>
      </c>
      <c r="CY119" s="1504">
        <v>38078</v>
      </c>
      <c r="CZ119" s="733">
        <v>44.399314000000004</v>
      </c>
      <c r="DA119" s="570">
        <v>28.826004000000001</v>
      </c>
      <c r="DB119" s="570">
        <v>15.573309999999999</v>
      </c>
      <c r="DC119" s="93"/>
      <c r="DD119" s="93"/>
      <c r="DE119" s="20"/>
      <c r="DF119" s="29">
        <v>52</v>
      </c>
      <c r="DG119" s="1504">
        <v>38078</v>
      </c>
      <c r="DH119" s="19"/>
      <c r="DI119" s="93"/>
      <c r="DJ119" s="93"/>
      <c r="DK119" s="93"/>
      <c r="DL119" s="93"/>
      <c r="DM119" s="93"/>
      <c r="DN119" s="20"/>
      <c r="DO119" s="25"/>
      <c r="DP119" s="29">
        <v>52</v>
      </c>
      <c r="DQ119" s="1504">
        <v>38078</v>
      </c>
      <c r="DR119" s="19"/>
      <c r="DS119" s="93"/>
      <c r="DT119" s="93"/>
      <c r="DU119" s="93"/>
      <c r="DV119" s="93"/>
      <c r="DW119" s="93"/>
      <c r="DX119" s="20"/>
      <c r="DY119" s="29">
        <v>52</v>
      </c>
      <c r="DZ119" s="1504">
        <v>38078</v>
      </c>
      <c r="EA119" s="19"/>
      <c r="EB119" s="93"/>
      <c r="EC119" s="20"/>
      <c r="ED119" s="29">
        <v>52</v>
      </c>
      <c r="EE119" s="1504">
        <v>38078</v>
      </c>
      <c r="EF119" s="19"/>
      <c r="EG119" s="93"/>
      <c r="EH119" s="93"/>
      <c r="EI119" s="214"/>
      <c r="EJ119" s="93"/>
      <c r="EK119" s="93"/>
      <c r="EL119" s="93"/>
      <c r="EM119" s="93"/>
      <c r="EN119" s="20"/>
      <c r="EO119" s="29">
        <v>52</v>
      </c>
      <c r="EP119" s="1504">
        <v>38078</v>
      </c>
      <c r="EQ119" s="19"/>
      <c r="ER119" s="93"/>
      <c r="ES119" s="93"/>
      <c r="ET119" s="214"/>
      <c r="EU119" s="93"/>
      <c r="EV119" s="93"/>
      <c r="EW119" s="93"/>
      <c r="EX119" s="93"/>
      <c r="EY119" s="20"/>
      <c r="EZ119" s="29">
        <v>52</v>
      </c>
      <c r="FA119" s="1504">
        <v>38078</v>
      </c>
      <c r="FB119" s="29"/>
      <c r="FC119" s="29"/>
      <c r="FD119" s="29"/>
      <c r="FE119" s="29"/>
      <c r="FF119" s="29"/>
      <c r="FG119" s="29"/>
      <c r="FH119" s="29"/>
      <c r="FI119" s="29"/>
      <c r="FJ119" s="29"/>
      <c r="FK119" s="29">
        <v>52</v>
      </c>
      <c r="FL119" s="1504">
        <v>38078</v>
      </c>
      <c r="FM119" s="19"/>
      <c r="FN119" s="93"/>
      <c r="FO119" s="93"/>
      <c r="FP119" s="93"/>
      <c r="FQ119" s="93"/>
      <c r="FR119" s="93"/>
      <c r="FS119" s="93"/>
      <c r="FT119" s="93"/>
      <c r="FU119" s="93"/>
      <c r="FV119" s="93"/>
      <c r="FW119" s="93"/>
      <c r="FX119" s="93"/>
      <c r="FY119" s="93"/>
      <c r="FZ119" s="29">
        <v>52</v>
      </c>
      <c r="GA119" s="1504">
        <v>38078</v>
      </c>
      <c r="GB119" s="19"/>
      <c r="GC119" s="93"/>
      <c r="GD119" s="93"/>
      <c r="GE119" s="93"/>
      <c r="GF119" s="93"/>
      <c r="GG119" s="93"/>
      <c r="GH119" s="93"/>
      <c r="GI119" s="93"/>
      <c r="GJ119" s="93"/>
      <c r="GK119" s="93"/>
      <c r="GL119" s="93"/>
      <c r="GM119" s="93"/>
      <c r="GN119" s="20"/>
      <c r="GO119" s="29">
        <v>52</v>
      </c>
      <c r="GP119" s="1504">
        <v>38078</v>
      </c>
      <c r="GQ119" s="19"/>
      <c r="GR119" s="93"/>
      <c r="GS119" s="93"/>
      <c r="GT119" s="93"/>
      <c r="GU119" s="93"/>
      <c r="GV119" s="20"/>
      <c r="GW119" s="19"/>
      <c r="GX119" s="93"/>
      <c r="GY119" s="93"/>
      <c r="GZ119" s="93"/>
      <c r="HA119" s="93"/>
      <c r="HB119" s="20"/>
      <c r="HC119" s="19"/>
      <c r="HD119" s="93"/>
      <c r="HE119" s="93"/>
      <c r="HF119" s="93"/>
      <c r="HG119" s="93"/>
      <c r="HH119" s="20"/>
      <c r="HI119" s="19"/>
      <c r="HJ119" s="93"/>
      <c r="HK119" s="93"/>
      <c r="HL119" s="93"/>
      <c r="HM119" s="93"/>
      <c r="HN119" s="20"/>
      <c r="HO119" s="219"/>
      <c r="HP119" s="20"/>
      <c r="HQ119" s="25"/>
      <c r="HR119" s="29">
        <v>52</v>
      </c>
      <c r="HS119" s="1504">
        <v>38078</v>
      </c>
      <c r="HT119" s="19"/>
      <c r="HU119" s="93"/>
      <c r="HV119" s="93"/>
      <c r="HW119" s="93"/>
      <c r="HX119" s="93"/>
      <c r="HY119" s="93"/>
      <c r="HZ119" s="93"/>
      <c r="IA119" s="20"/>
      <c r="IB119" s="19"/>
      <c r="IC119" s="93"/>
      <c r="ID119" s="93"/>
      <c r="IE119" s="93"/>
      <c r="IF119" s="93"/>
      <c r="IG119" s="20"/>
      <c r="IH119" s="19"/>
      <c r="II119" s="93"/>
      <c r="IJ119" s="93"/>
      <c r="IK119" s="93"/>
      <c r="IL119" s="93"/>
      <c r="IM119" s="93"/>
      <c r="IN119" s="93"/>
      <c r="IO119" s="20"/>
      <c r="IP119" s="29">
        <v>52</v>
      </c>
      <c r="IQ119" s="19"/>
      <c r="IR119" s="93"/>
      <c r="IS119" s="93"/>
      <c r="IT119" s="93"/>
      <c r="IU119" s="93"/>
      <c r="IV119" s="20"/>
      <c r="IW119" s="29">
        <v>52</v>
      </c>
      <c r="IX119" s="19"/>
      <c r="IY119" s="93"/>
      <c r="IZ119" s="93"/>
      <c r="JA119" s="93"/>
      <c r="JB119" s="93"/>
      <c r="JC119" s="93"/>
      <c r="JD119" s="93"/>
      <c r="JE119" s="20"/>
      <c r="JF119" s="29">
        <v>52</v>
      </c>
      <c r="JG119" s="19"/>
      <c r="JH119" s="93"/>
      <c r="JI119" s="93"/>
      <c r="JJ119" s="93"/>
      <c r="JK119" s="93"/>
      <c r="JL119" s="93"/>
      <c r="JM119" s="93"/>
      <c r="JN119" s="20"/>
      <c r="JO119" s="29">
        <v>52</v>
      </c>
      <c r="JP119" s="19"/>
      <c r="JQ119" s="93"/>
      <c r="JR119" s="93"/>
      <c r="JS119" s="93"/>
      <c r="JT119" s="93"/>
      <c r="JU119" s="20"/>
      <c r="JV119" s="29">
        <v>52</v>
      </c>
      <c r="JW119" s="1504">
        <v>38078</v>
      </c>
      <c r="JX119" s="19"/>
      <c r="JY119" s="93"/>
      <c r="JZ119" s="93"/>
      <c r="KA119" s="93"/>
      <c r="KB119" s="93"/>
      <c r="KC119" s="93"/>
      <c r="KD119" s="20"/>
      <c r="KE119" s="29">
        <v>52</v>
      </c>
      <c r="KF119" s="19"/>
      <c r="KG119" s="93"/>
      <c r="KH119" s="93"/>
      <c r="KI119" s="93"/>
      <c r="KJ119" s="93"/>
      <c r="KK119" s="20"/>
      <c r="KL119" s="29">
        <v>52</v>
      </c>
      <c r="KM119" s="19"/>
      <c r="KN119" s="93"/>
      <c r="KO119" s="93"/>
      <c r="KP119" s="93"/>
      <c r="KQ119" s="93"/>
      <c r="KR119" s="20"/>
      <c r="KS119" s="29">
        <v>52</v>
      </c>
      <c r="KT119" s="19"/>
      <c r="KU119" s="93"/>
      <c r="KV119" s="93"/>
      <c r="KW119" s="93"/>
      <c r="KX119" s="93"/>
      <c r="KY119" s="20"/>
      <c r="KZ119" s="29">
        <v>52</v>
      </c>
      <c r="LA119" s="1504">
        <v>38078</v>
      </c>
      <c r="LB119" s="19"/>
      <c r="LC119" s="93"/>
      <c r="LD119" s="93"/>
      <c r="LE119" s="93"/>
      <c r="LF119" s="93"/>
      <c r="LG119" s="93"/>
      <c r="LH119" s="20"/>
      <c r="LI119" s="29">
        <v>52</v>
      </c>
      <c r="LJ119" s="19"/>
      <c r="LK119" s="93"/>
      <c r="LL119" s="93"/>
      <c r="LM119" s="93"/>
      <c r="LN119" s="93"/>
      <c r="LO119" s="20"/>
      <c r="LP119" s="29">
        <v>52</v>
      </c>
      <c r="LQ119" s="19"/>
      <c r="LR119" s="93"/>
      <c r="LS119" s="93"/>
      <c r="LT119" s="93"/>
      <c r="LU119" s="93"/>
      <c r="LV119" s="93"/>
      <c r="LW119" s="93"/>
      <c r="LX119" s="93"/>
      <c r="LY119" s="93"/>
      <c r="LZ119" s="93"/>
      <c r="MA119" s="20"/>
      <c r="MB119" s="29">
        <v>52</v>
      </c>
      <c r="MC119" s="1504">
        <v>38078</v>
      </c>
      <c r="MD119" s="19"/>
      <c r="ME119" s="93"/>
      <c r="MF119" s="93"/>
      <c r="MG119" s="93"/>
      <c r="MH119" s="93"/>
      <c r="MI119" s="93"/>
      <c r="MJ119" s="93"/>
      <c r="MK119" s="93"/>
      <c r="ML119" s="93"/>
      <c r="MM119" s="93"/>
      <c r="MN119" s="93"/>
      <c r="MO119" s="93"/>
      <c r="MP119" s="93"/>
      <c r="MQ119" s="93"/>
      <c r="MR119" s="93"/>
      <c r="MS119" s="93"/>
      <c r="MT119" s="93"/>
      <c r="MU119" s="93"/>
      <c r="MV119" s="93"/>
      <c r="MW119" s="93"/>
      <c r="MX119" s="93"/>
      <c r="MY119" s="93"/>
      <c r="MZ119" s="93"/>
      <c r="NA119" s="93"/>
      <c r="NB119" s="93"/>
      <c r="NC119" s="93"/>
      <c r="ND119" s="93"/>
      <c r="NE119" s="93"/>
      <c r="NF119" s="93"/>
      <c r="NG119" s="93"/>
      <c r="NH119" s="93"/>
      <c r="NI119" s="93"/>
      <c r="NJ119" s="93"/>
      <c r="NK119" s="93"/>
      <c r="NL119" s="93"/>
      <c r="NM119" s="93"/>
      <c r="NN119" s="93"/>
      <c r="NO119" s="93"/>
      <c r="NP119" s="93"/>
      <c r="NQ119" s="93"/>
      <c r="NR119" s="93"/>
      <c r="NS119" s="93"/>
      <c r="NT119" s="93"/>
      <c r="NU119" s="93"/>
      <c r="NV119" s="93"/>
      <c r="NW119" s="93"/>
      <c r="NX119" s="93"/>
      <c r="NY119" s="93"/>
      <c r="NZ119" s="93"/>
      <c r="OA119" s="93"/>
      <c r="OB119" s="93"/>
      <c r="OC119" s="93"/>
      <c r="OD119" s="20"/>
      <c r="OE119" s="29">
        <v>52</v>
      </c>
      <c r="OF119" s="1504">
        <v>38078</v>
      </c>
      <c r="OG119" s="19"/>
      <c r="OH119" s="93">
        <v>251.47529999999998</v>
      </c>
      <c r="OI119" s="93">
        <v>238.90949429516738</v>
      </c>
      <c r="OJ119" s="93">
        <v>0.37097673800000003</v>
      </c>
      <c r="OK119" s="93">
        <v>195.38411755716737</v>
      </c>
      <c r="OL119" s="93">
        <v>43.154400000000003</v>
      </c>
      <c r="OM119" s="93">
        <v>490.38479429516735</v>
      </c>
      <c r="ON119" s="93">
        <v>186.26548644637279</v>
      </c>
      <c r="OO119" s="93">
        <v>676.6502807415402</v>
      </c>
      <c r="OP119" s="93"/>
      <c r="OQ119" s="93">
        <v>349.90385236131385</v>
      </c>
      <c r="OR119" s="93">
        <v>264.08843218200008</v>
      </c>
      <c r="OS119" s="93">
        <v>85.815420179313776</v>
      </c>
      <c r="OT119" s="93">
        <v>387.77587008322644</v>
      </c>
      <c r="OU119" s="93">
        <v>0.63806741500000896</v>
      </c>
      <c r="OV119" s="93">
        <v>52.690067415000001</v>
      </c>
      <c r="OW119" s="93">
        <v>-52.051999999999992</v>
      </c>
      <c r="OX119" s="93">
        <v>387.13780266822641</v>
      </c>
      <c r="OY119" s="93">
        <v>2.1666188439999998</v>
      </c>
      <c r="OZ119" s="93">
        <v>384.97118382422644</v>
      </c>
      <c r="PA119" s="93">
        <v>92.270407031000005</v>
      </c>
      <c r="PB119" s="93">
        <v>-31.240965328000001</v>
      </c>
      <c r="PC119" s="20">
        <v>676.65028074154031</v>
      </c>
      <c r="PD119" s="29">
        <v>52</v>
      </c>
      <c r="PE119" s="19"/>
      <c r="PF119" s="93">
        <v>264.08843218200008</v>
      </c>
      <c r="PG119" s="93">
        <v>536.02163051600007</v>
      </c>
      <c r="PH119" s="93">
        <v>271.933198334</v>
      </c>
      <c r="PI119" s="93">
        <v>1.147</v>
      </c>
      <c r="PJ119" s="93">
        <v>52.690067415000001</v>
      </c>
      <c r="PK119" s="93">
        <v>102.255660178</v>
      </c>
      <c r="PL119" s="93">
        <v>49.565592762999998</v>
      </c>
      <c r="PM119" s="93">
        <v>2.1666188439999998</v>
      </c>
      <c r="PN119" s="93">
        <v>0</v>
      </c>
      <c r="PO119" s="93">
        <v>0</v>
      </c>
      <c r="PP119" s="93">
        <v>6.9340999999999999E-5</v>
      </c>
      <c r="PQ119" s="93">
        <v>2.1665495029999997</v>
      </c>
      <c r="PR119" s="93">
        <v>311.525419532</v>
      </c>
      <c r="PS119" s="93">
        <v>263.78429999999997</v>
      </c>
      <c r="PT119" s="93">
        <v>47.370142794000003</v>
      </c>
      <c r="PU119" s="93">
        <v>0.37097673800000003</v>
      </c>
      <c r="PV119" s="93">
        <v>0</v>
      </c>
      <c r="PW119" s="93">
        <v>7.8203268179999998</v>
      </c>
      <c r="PX119" s="93">
        <v>0</v>
      </c>
      <c r="PY119" s="93">
        <v>0</v>
      </c>
      <c r="PZ119" s="93">
        <v>7.8203268179999998</v>
      </c>
      <c r="QA119" s="93">
        <v>0</v>
      </c>
      <c r="QB119" s="93">
        <v>0</v>
      </c>
      <c r="QC119" s="93">
        <v>0</v>
      </c>
      <c r="QD119" s="93">
        <v>9.2080213000000022E-2</v>
      </c>
      <c r="QE119" s="20">
        <v>0.6542918780000001</v>
      </c>
      <c r="QF119" s="1739">
        <v>52</v>
      </c>
      <c r="QG119" s="19"/>
      <c r="QH119" s="1035">
        <v>85.815420179313776</v>
      </c>
      <c r="QI119" s="1035">
        <v>157.41581617577364</v>
      </c>
      <c r="QJ119" s="1035">
        <v>-71.600395996459866</v>
      </c>
      <c r="QK119" s="1035">
        <v>56.048999999999999</v>
      </c>
      <c r="QL119" s="1035">
        <v>12.308999999999999</v>
      </c>
      <c r="QM119" s="1035">
        <v>43.74</v>
      </c>
      <c r="QN119" s="1035">
        <v>0</v>
      </c>
      <c r="QO119" s="1035">
        <v>-52.051999999999992</v>
      </c>
      <c r="QP119" s="1035">
        <v>25.536000000000001</v>
      </c>
      <c r="QQ119" s="1035">
        <v>-77.587999999999994</v>
      </c>
      <c r="QR119" s="1035">
        <v>384.97118382422644</v>
      </c>
      <c r="QS119" s="1035">
        <v>5.7884601225468737</v>
      </c>
      <c r="QT119" s="1035">
        <v>0</v>
      </c>
      <c r="QU119" s="1035">
        <v>69.182999999999993</v>
      </c>
      <c r="QV119" s="1035">
        <v>309.99972370167956</v>
      </c>
      <c r="QW119" s="93"/>
      <c r="QX119" s="93">
        <v>0.184</v>
      </c>
      <c r="QY119" s="93">
        <v>195.38411755716734</v>
      </c>
      <c r="QZ119" s="93">
        <v>186.26548644637279</v>
      </c>
      <c r="RA119" s="93">
        <v>0</v>
      </c>
      <c r="RB119" s="93">
        <v>14.2</v>
      </c>
      <c r="RC119" s="93">
        <v>0</v>
      </c>
      <c r="RD119" s="93">
        <v>5.9740000000000002</v>
      </c>
      <c r="RE119" s="93">
        <v>0</v>
      </c>
      <c r="RF119" s="93">
        <v>0</v>
      </c>
      <c r="RG119" s="93">
        <v>64.183999999999997</v>
      </c>
      <c r="RH119" s="93">
        <v>8.5919999999999987</v>
      </c>
      <c r="RI119" s="93"/>
      <c r="RJ119" s="93"/>
      <c r="RK119" s="93"/>
      <c r="RL119" s="93"/>
      <c r="RM119" s="20"/>
      <c r="RN119" s="29">
        <v>52</v>
      </c>
      <c r="RO119" s="19"/>
      <c r="RP119" s="20"/>
      <c r="RQ119" s="29">
        <v>52</v>
      </c>
      <c r="RR119" s="20"/>
      <c r="RS119" s="29">
        <v>52</v>
      </c>
      <c r="RT119" s="1504">
        <v>38078</v>
      </c>
      <c r="RU119" s="19"/>
      <c r="RV119" s="20"/>
      <c r="RW119" s="29">
        <v>52</v>
      </c>
      <c r="RX119" s="1504">
        <v>38078</v>
      </c>
      <c r="RY119" s="29"/>
      <c r="RZ119" s="20"/>
      <c r="SA119" s="29"/>
      <c r="SB119" s="29">
        <v>52</v>
      </c>
    </row>
    <row r="120" spans="1:496">
      <c r="A120" s="41">
        <f t="shared" si="187"/>
        <v>2004</v>
      </c>
      <c r="B120" s="1504">
        <v>38108</v>
      </c>
      <c r="C120" s="1813"/>
      <c r="D120" s="1814"/>
      <c r="E120" s="1814"/>
      <c r="F120" s="1815"/>
      <c r="G120" s="1814"/>
      <c r="H120" s="1814"/>
      <c r="I120" s="1814"/>
      <c r="J120" s="1816"/>
      <c r="K120" s="1807"/>
      <c r="L120" s="25">
        <v>53</v>
      </c>
      <c r="M120" s="97"/>
      <c r="N120" s="1504">
        <v>38108</v>
      </c>
      <c r="O120" s="19"/>
      <c r="P120" s="93"/>
      <c r="Q120" s="93"/>
      <c r="R120" s="93"/>
      <c r="S120" s="93"/>
      <c r="T120" s="93"/>
      <c r="U120" s="93"/>
      <c r="V120" s="93"/>
      <c r="W120" s="93"/>
      <c r="X120" s="93"/>
      <c r="Y120" s="93"/>
      <c r="Z120" s="93"/>
      <c r="AA120" s="93"/>
      <c r="AB120" s="20"/>
      <c r="AC120" s="25">
        <v>53</v>
      </c>
      <c r="AD120" s="97"/>
      <c r="AE120" s="1504">
        <v>38108</v>
      </c>
      <c r="AF120" s="19"/>
      <c r="AG120" s="93"/>
      <c r="AH120" s="93"/>
      <c r="AI120" s="93"/>
      <c r="AJ120" s="93"/>
      <c r="AK120" s="93"/>
      <c r="AL120" s="93"/>
      <c r="AM120" s="93"/>
      <c r="AN120" s="93"/>
      <c r="AO120" s="93"/>
      <c r="AP120" s="93"/>
      <c r="AQ120" s="93"/>
      <c r="AR120" s="93"/>
      <c r="AS120" s="20"/>
      <c r="AT120" s="25">
        <v>53</v>
      </c>
      <c r="AU120" s="97"/>
      <c r="AV120" s="1504">
        <v>38108</v>
      </c>
      <c r="AW120" s="19"/>
      <c r="AX120" s="93"/>
      <c r="AY120" s="93"/>
      <c r="AZ120" s="93"/>
      <c r="BA120" s="93"/>
      <c r="BB120" s="93"/>
      <c r="BC120" s="93"/>
      <c r="BD120" s="93"/>
      <c r="BE120" s="93"/>
      <c r="BF120" s="93"/>
      <c r="BG120" s="93"/>
      <c r="BH120" s="93"/>
      <c r="BI120" s="93"/>
      <c r="BJ120" s="20"/>
      <c r="BK120" s="25">
        <v>53</v>
      </c>
      <c r="BL120" s="97"/>
      <c r="BM120" s="1504">
        <v>38108</v>
      </c>
      <c r="BN120" s="19"/>
      <c r="BO120" s="93"/>
      <c r="BP120" s="93"/>
      <c r="BQ120" s="93"/>
      <c r="BR120" s="93"/>
      <c r="BS120" s="93"/>
      <c r="BT120" s="93"/>
      <c r="BU120" s="20"/>
      <c r="BV120" s="25">
        <v>53</v>
      </c>
      <c r="BW120" s="97"/>
      <c r="BX120" s="1504">
        <v>38108</v>
      </c>
      <c r="BY120" s="19"/>
      <c r="BZ120" s="99">
        <v>664.95699999999999</v>
      </c>
      <c r="CA120" s="93"/>
      <c r="CB120" s="93"/>
      <c r="CC120" s="93"/>
      <c r="CD120" s="25">
        <v>53</v>
      </c>
      <c r="CE120" s="97"/>
      <c r="CF120" s="1504">
        <v>38108</v>
      </c>
      <c r="CG120" s="19">
        <v>1.5415017985714301</v>
      </c>
      <c r="CH120" s="93">
        <v>383.779</v>
      </c>
      <c r="CI120" s="219"/>
      <c r="CJ120" s="20"/>
      <c r="CK120" s="19"/>
      <c r="CL120" s="93"/>
      <c r="CM120" s="93"/>
      <c r="CN120" s="93"/>
      <c r="CO120" s="93"/>
      <c r="CP120" s="20"/>
      <c r="CQ120" s="219">
        <v>1322.77</v>
      </c>
      <c r="CR120" s="93">
        <v>1.5225</v>
      </c>
      <c r="CS120" s="93"/>
      <c r="CT120" s="93"/>
      <c r="CU120" s="93"/>
      <c r="CV120" s="214"/>
      <c r="CW120" s="29">
        <v>53</v>
      </c>
      <c r="CX120" s="41">
        <f t="shared" si="188"/>
        <v>2004</v>
      </c>
      <c r="CY120" s="1504">
        <v>38108</v>
      </c>
      <c r="CZ120" s="733">
        <v>47.276629</v>
      </c>
      <c r="DA120" s="570">
        <v>31.142963000000002</v>
      </c>
      <c r="DB120" s="570">
        <v>16.133666000000002</v>
      </c>
      <c r="DC120" s="93"/>
      <c r="DD120" s="93"/>
      <c r="DE120" s="20"/>
      <c r="DF120" s="29">
        <v>53</v>
      </c>
      <c r="DG120" s="1504">
        <v>38108</v>
      </c>
      <c r="DH120" s="19"/>
      <c r="DI120" s="93"/>
      <c r="DJ120" s="93"/>
      <c r="DK120" s="93"/>
      <c r="DL120" s="93"/>
      <c r="DM120" s="93"/>
      <c r="DN120" s="20"/>
      <c r="DO120" s="25"/>
      <c r="DP120" s="29">
        <v>53</v>
      </c>
      <c r="DQ120" s="1504">
        <v>38108</v>
      </c>
      <c r="DR120" s="19"/>
      <c r="DS120" s="93"/>
      <c r="DT120" s="93"/>
      <c r="DU120" s="93"/>
      <c r="DV120" s="93"/>
      <c r="DW120" s="93"/>
      <c r="DX120" s="20"/>
      <c r="DY120" s="29">
        <v>53</v>
      </c>
      <c r="DZ120" s="1504">
        <v>38108</v>
      </c>
      <c r="EA120" s="19"/>
      <c r="EB120" s="93"/>
      <c r="EC120" s="20"/>
      <c r="ED120" s="29">
        <v>53</v>
      </c>
      <c r="EE120" s="1504">
        <v>38108</v>
      </c>
      <c r="EF120" s="19"/>
      <c r="EG120" s="93"/>
      <c r="EH120" s="93"/>
      <c r="EI120" s="214"/>
      <c r="EJ120" s="93"/>
      <c r="EK120" s="93"/>
      <c r="EL120" s="93"/>
      <c r="EM120" s="93"/>
      <c r="EN120" s="20"/>
      <c r="EO120" s="29">
        <v>53</v>
      </c>
      <c r="EP120" s="1504">
        <v>38108</v>
      </c>
      <c r="EQ120" s="19"/>
      <c r="ER120" s="93"/>
      <c r="ES120" s="93"/>
      <c r="ET120" s="214"/>
      <c r="EU120" s="93"/>
      <c r="EV120" s="93"/>
      <c r="EW120" s="93"/>
      <c r="EX120" s="93"/>
      <c r="EY120" s="20"/>
      <c r="EZ120" s="29">
        <v>53</v>
      </c>
      <c r="FA120" s="1504">
        <v>38108</v>
      </c>
      <c r="FB120" s="29"/>
      <c r="FC120" s="29"/>
      <c r="FD120" s="29"/>
      <c r="FE120" s="29"/>
      <c r="FF120" s="29"/>
      <c r="FG120" s="29"/>
      <c r="FH120" s="29"/>
      <c r="FI120" s="29"/>
      <c r="FJ120" s="29"/>
      <c r="FK120" s="29">
        <v>53</v>
      </c>
      <c r="FL120" s="1504">
        <v>38108</v>
      </c>
      <c r="FM120" s="19"/>
      <c r="FN120" s="93"/>
      <c r="FO120" s="93"/>
      <c r="FP120" s="93"/>
      <c r="FQ120" s="93"/>
      <c r="FR120" s="93"/>
      <c r="FS120" s="93"/>
      <c r="FT120" s="93"/>
      <c r="FU120" s="93"/>
      <c r="FV120" s="93"/>
      <c r="FW120" s="93"/>
      <c r="FX120" s="93"/>
      <c r="FY120" s="93"/>
      <c r="FZ120" s="29">
        <v>53</v>
      </c>
      <c r="GA120" s="1504">
        <v>38108</v>
      </c>
      <c r="GB120" s="19"/>
      <c r="GC120" s="93"/>
      <c r="GD120" s="93"/>
      <c r="GE120" s="93"/>
      <c r="GF120" s="93"/>
      <c r="GG120" s="93"/>
      <c r="GH120" s="93"/>
      <c r="GI120" s="93"/>
      <c r="GJ120" s="93"/>
      <c r="GK120" s="93"/>
      <c r="GL120" s="93"/>
      <c r="GM120" s="93"/>
      <c r="GN120" s="20"/>
      <c r="GO120" s="29">
        <v>53</v>
      </c>
      <c r="GP120" s="1504">
        <v>38108</v>
      </c>
      <c r="GQ120" s="19"/>
      <c r="GR120" s="93"/>
      <c r="GS120" s="93"/>
      <c r="GT120" s="93"/>
      <c r="GU120" s="93"/>
      <c r="GV120" s="20"/>
      <c r="GW120" s="19"/>
      <c r="GX120" s="93"/>
      <c r="GY120" s="93"/>
      <c r="GZ120" s="93"/>
      <c r="HA120" s="93"/>
      <c r="HB120" s="20"/>
      <c r="HC120" s="19"/>
      <c r="HD120" s="93"/>
      <c r="HE120" s="93"/>
      <c r="HF120" s="93"/>
      <c r="HG120" s="93"/>
      <c r="HH120" s="20"/>
      <c r="HI120" s="19"/>
      <c r="HJ120" s="93"/>
      <c r="HK120" s="93"/>
      <c r="HL120" s="93"/>
      <c r="HM120" s="93"/>
      <c r="HN120" s="20"/>
      <c r="HO120" s="219"/>
      <c r="HP120" s="20"/>
      <c r="HQ120" s="25"/>
      <c r="HR120" s="29">
        <v>53</v>
      </c>
      <c r="HS120" s="1504">
        <v>38108</v>
      </c>
      <c r="HT120" s="19"/>
      <c r="HU120" s="93"/>
      <c r="HV120" s="93"/>
      <c r="HW120" s="93"/>
      <c r="HX120" s="93"/>
      <c r="HY120" s="93"/>
      <c r="HZ120" s="93"/>
      <c r="IA120" s="20"/>
      <c r="IB120" s="19"/>
      <c r="IC120" s="93"/>
      <c r="ID120" s="93"/>
      <c r="IE120" s="93"/>
      <c r="IF120" s="93"/>
      <c r="IG120" s="20"/>
      <c r="IH120" s="19"/>
      <c r="II120" s="93"/>
      <c r="IJ120" s="93"/>
      <c r="IK120" s="93"/>
      <c r="IL120" s="93"/>
      <c r="IM120" s="93"/>
      <c r="IN120" s="93"/>
      <c r="IO120" s="20"/>
      <c r="IP120" s="29">
        <v>53</v>
      </c>
      <c r="IQ120" s="19"/>
      <c r="IR120" s="93"/>
      <c r="IS120" s="93"/>
      <c r="IT120" s="93"/>
      <c r="IU120" s="93"/>
      <c r="IV120" s="20"/>
      <c r="IW120" s="29">
        <v>53</v>
      </c>
      <c r="IX120" s="19"/>
      <c r="IY120" s="93"/>
      <c r="IZ120" s="93"/>
      <c r="JA120" s="93"/>
      <c r="JB120" s="93"/>
      <c r="JC120" s="93"/>
      <c r="JD120" s="93"/>
      <c r="JE120" s="20"/>
      <c r="JF120" s="29">
        <v>53</v>
      </c>
      <c r="JG120" s="19"/>
      <c r="JH120" s="93"/>
      <c r="JI120" s="93"/>
      <c r="JJ120" s="93"/>
      <c r="JK120" s="93"/>
      <c r="JL120" s="93"/>
      <c r="JM120" s="93"/>
      <c r="JN120" s="20"/>
      <c r="JO120" s="29">
        <v>53</v>
      </c>
      <c r="JP120" s="19"/>
      <c r="JQ120" s="93"/>
      <c r="JR120" s="93"/>
      <c r="JS120" s="93"/>
      <c r="JT120" s="93"/>
      <c r="JU120" s="20"/>
      <c r="JV120" s="29">
        <v>53</v>
      </c>
      <c r="JW120" s="1504">
        <v>38108</v>
      </c>
      <c r="JX120" s="19"/>
      <c r="JY120" s="93"/>
      <c r="JZ120" s="93"/>
      <c r="KA120" s="93"/>
      <c r="KB120" s="93"/>
      <c r="KC120" s="93"/>
      <c r="KD120" s="20"/>
      <c r="KE120" s="29">
        <v>53</v>
      </c>
      <c r="KF120" s="19"/>
      <c r="KG120" s="93"/>
      <c r="KH120" s="93"/>
      <c r="KI120" s="93"/>
      <c r="KJ120" s="93"/>
      <c r="KK120" s="20"/>
      <c r="KL120" s="29">
        <v>53</v>
      </c>
      <c r="KM120" s="19"/>
      <c r="KN120" s="93"/>
      <c r="KO120" s="93"/>
      <c r="KP120" s="93"/>
      <c r="KQ120" s="93"/>
      <c r="KR120" s="20"/>
      <c r="KS120" s="29">
        <v>53</v>
      </c>
      <c r="KT120" s="19"/>
      <c r="KU120" s="93"/>
      <c r="KV120" s="93"/>
      <c r="KW120" s="93"/>
      <c r="KX120" s="93"/>
      <c r="KY120" s="20"/>
      <c r="KZ120" s="29">
        <v>53</v>
      </c>
      <c r="LA120" s="1504">
        <v>38108</v>
      </c>
      <c r="LB120" s="19"/>
      <c r="LC120" s="93"/>
      <c r="LD120" s="93"/>
      <c r="LE120" s="93"/>
      <c r="LF120" s="93"/>
      <c r="LG120" s="93"/>
      <c r="LH120" s="20"/>
      <c r="LI120" s="29">
        <v>53</v>
      </c>
      <c r="LJ120" s="19"/>
      <c r="LK120" s="93"/>
      <c r="LL120" s="93"/>
      <c r="LM120" s="93"/>
      <c r="LN120" s="93"/>
      <c r="LO120" s="20"/>
      <c r="LP120" s="29">
        <v>53</v>
      </c>
      <c r="LQ120" s="19"/>
      <c r="LR120" s="93"/>
      <c r="LS120" s="93"/>
      <c r="LT120" s="93"/>
      <c r="LU120" s="93"/>
      <c r="LV120" s="93"/>
      <c r="LW120" s="93"/>
      <c r="LX120" s="93"/>
      <c r="LY120" s="93"/>
      <c r="LZ120" s="93"/>
      <c r="MA120" s="20"/>
      <c r="MB120" s="29">
        <v>53</v>
      </c>
      <c r="MC120" s="1504">
        <v>38108</v>
      </c>
      <c r="MD120" s="19"/>
      <c r="ME120" s="93"/>
      <c r="MF120" s="93"/>
      <c r="MG120" s="93"/>
      <c r="MH120" s="93"/>
      <c r="MI120" s="93"/>
      <c r="MJ120" s="93"/>
      <c r="MK120" s="93"/>
      <c r="ML120" s="93"/>
      <c r="MM120" s="93"/>
      <c r="MN120" s="93"/>
      <c r="MO120" s="93"/>
      <c r="MP120" s="93"/>
      <c r="MQ120" s="93"/>
      <c r="MR120" s="93"/>
      <c r="MS120" s="93"/>
      <c r="MT120" s="93"/>
      <c r="MU120" s="93"/>
      <c r="MV120" s="93"/>
      <c r="MW120" s="93"/>
      <c r="MX120" s="93"/>
      <c r="MY120" s="93"/>
      <c r="MZ120" s="93"/>
      <c r="NA120" s="93"/>
      <c r="NB120" s="93"/>
      <c r="NC120" s="93"/>
      <c r="ND120" s="93"/>
      <c r="NE120" s="93"/>
      <c r="NF120" s="93"/>
      <c r="NG120" s="93"/>
      <c r="NH120" s="93"/>
      <c r="NI120" s="93"/>
      <c r="NJ120" s="93"/>
      <c r="NK120" s="93"/>
      <c r="NL120" s="93"/>
      <c r="NM120" s="93"/>
      <c r="NN120" s="93"/>
      <c r="NO120" s="93"/>
      <c r="NP120" s="93"/>
      <c r="NQ120" s="93"/>
      <c r="NR120" s="93"/>
      <c r="NS120" s="93"/>
      <c r="NT120" s="93"/>
      <c r="NU120" s="93"/>
      <c r="NV120" s="93"/>
      <c r="NW120" s="93"/>
      <c r="NX120" s="93"/>
      <c r="NY120" s="93"/>
      <c r="NZ120" s="93"/>
      <c r="OA120" s="93"/>
      <c r="OB120" s="93"/>
      <c r="OC120" s="93"/>
      <c r="OD120" s="20"/>
      <c r="OE120" s="29">
        <v>53</v>
      </c>
      <c r="OF120" s="1504">
        <v>38108</v>
      </c>
      <c r="OG120" s="19"/>
      <c r="OH120" s="93">
        <v>216.75979999999998</v>
      </c>
      <c r="OI120" s="93">
        <v>230.17404082893947</v>
      </c>
      <c r="OJ120" s="93">
        <v>0.41965787999999998</v>
      </c>
      <c r="OK120" s="93">
        <v>185.73798294893948</v>
      </c>
      <c r="OL120" s="93">
        <v>44.016400000000004</v>
      </c>
      <c r="OM120" s="93">
        <v>446.93384082893942</v>
      </c>
      <c r="ON120" s="93">
        <v>187.03357658460465</v>
      </c>
      <c r="OO120" s="93">
        <v>633.96741741354413</v>
      </c>
      <c r="OP120" s="93"/>
      <c r="OQ120" s="93">
        <v>312.48482719661251</v>
      </c>
      <c r="OR120" s="93">
        <v>238.46933657799997</v>
      </c>
      <c r="OS120" s="93">
        <v>74.015490618612532</v>
      </c>
      <c r="OT120" s="93">
        <v>384.39868791193163</v>
      </c>
      <c r="OU120" s="93">
        <v>-11.941002222999991</v>
      </c>
      <c r="OV120" s="93">
        <v>42.462997777000005</v>
      </c>
      <c r="OW120" s="93">
        <v>-54.403999999999996</v>
      </c>
      <c r="OX120" s="93">
        <v>396.33969013493163</v>
      </c>
      <c r="OY120" s="93">
        <v>2.29262122</v>
      </c>
      <c r="OZ120" s="93">
        <v>394.04706891493163</v>
      </c>
      <c r="PA120" s="93">
        <v>96.082139826000002</v>
      </c>
      <c r="PB120" s="93">
        <v>-33.166042130999998</v>
      </c>
      <c r="PC120" s="20">
        <v>633.96741741354413</v>
      </c>
      <c r="PD120" s="29">
        <v>53</v>
      </c>
      <c r="PE120" s="19"/>
      <c r="PF120" s="93">
        <v>238.46933657799997</v>
      </c>
      <c r="PG120" s="93">
        <v>511.70430896799996</v>
      </c>
      <c r="PH120" s="93">
        <v>273.23497239</v>
      </c>
      <c r="PI120" s="93">
        <v>1.147</v>
      </c>
      <c r="PJ120" s="93">
        <v>42.462997777000005</v>
      </c>
      <c r="PK120" s="93">
        <v>101.608771441</v>
      </c>
      <c r="PL120" s="93">
        <v>59.145773663999996</v>
      </c>
      <c r="PM120" s="93">
        <v>2.29262122</v>
      </c>
      <c r="PN120" s="93">
        <v>0</v>
      </c>
      <c r="PO120" s="93">
        <v>0</v>
      </c>
      <c r="PP120" s="93">
        <v>7.2643800000000004E-4</v>
      </c>
      <c r="PQ120" s="93">
        <v>2.291894782</v>
      </c>
      <c r="PR120" s="93">
        <v>273.45090436099997</v>
      </c>
      <c r="PS120" s="93">
        <v>233.23679999999999</v>
      </c>
      <c r="PT120" s="93">
        <v>39.794446481000001</v>
      </c>
      <c r="PU120" s="93">
        <v>0.41965787999999998</v>
      </c>
      <c r="PV120" s="93">
        <v>0</v>
      </c>
      <c r="PW120" s="93">
        <v>9.6945751629999997</v>
      </c>
      <c r="PX120" s="93">
        <v>0</v>
      </c>
      <c r="PY120" s="93">
        <v>0</v>
      </c>
      <c r="PZ120" s="93">
        <v>9.6945751629999997</v>
      </c>
      <c r="QA120" s="93">
        <v>0</v>
      </c>
      <c r="QB120" s="93">
        <v>0</v>
      </c>
      <c r="QC120" s="93">
        <v>0</v>
      </c>
      <c r="QD120" s="93">
        <v>0.21856466299999999</v>
      </c>
      <c r="QE120" s="20">
        <v>1.0079113879999999</v>
      </c>
      <c r="QF120" s="1739">
        <v>53</v>
      </c>
      <c r="QG120" s="19"/>
      <c r="QH120" s="1035">
        <v>74.015490618612532</v>
      </c>
      <c r="QI120" s="1035">
        <v>144.61593108506838</v>
      </c>
      <c r="QJ120" s="1035">
        <v>-70.600440466455851</v>
      </c>
      <c r="QK120" s="1035">
        <v>49.762</v>
      </c>
      <c r="QL120" s="1035">
        <v>16.477</v>
      </c>
      <c r="QM120" s="1035">
        <v>33.284999999999997</v>
      </c>
      <c r="QN120" s="1035">
        <v>0</v>
      </c>
      <c r="QO120" s="1035">
        <v>-54.403999999999996</v>
      </c>
      <c r="QP120" s="1035">
        <v>25.988</v>
      </c>
      <c r="QQ120" s="1035">
        <v>-80.391999999999996</v>
      </c>
      <c r="QR120" s="1035">
        <v>394.04706891493163</v>
      </c>
      <c r="QS120" s="1035">
        <v>6.4581632822064536</v>
      </c>
      <c r="QT120" s="1035">
        <v>0</v>
      </c>
      <c r="QU120" s="1035">
        <v>68.912999999999997</v>
      </c>
      <c r="QV120" s="1035">
        <v>318.67590563272518</v>
      </c>
      <c r="QW120" s="93"/>
      <c r="QX120" s="93">
        <v>0.19</v>
      </c>
      <c r="QY120" s="93">
        <v>185.7379829489395</v>
      </c>
      <c r="QZ120" s="93">
        <v>187.03357658460465</v>
      </c>
      <c r="RA120" s="93">
        <v>0</v>
      </c>
      <c r="RB120" s="93">
        <v>17.587999999999997</v>
      </c>
      <c r="RC120" s="93">
        <v>0</v>
      </c>
      <c r="RD120" s="93">
        <v>5.0060000000000002</v>
      </c>
      <c r="RE120" s="93">
        <v>0</v>
      </c>
      <c r="RF120" s="93">
        <v>0</v>
      </c>
      <c r="RG120" s="93">
        <v>63.574999999999996</v>
      </c>
      <c r="RH120" s="93">
        <v>4.2899999999999991</v>
      </c>
      <c r="RI120" s="93"/>
      <c r="RJ120" s="93"/>
      <c r="RK120" s="93"/>
      <c r="RL120" s="93"/>
      <c r="RM120" s="20"/>
      <c r="RN120" s="29">
        <v>53</v>
      </c>
      <c r="RO120" s="19"/>
      <c r="RP120" s="20"/>
      <c r="RQ120" s="29">
        <v>53</v>
      </c>
      <c r="RR120" s="20"/>
      <c r="RS120" s="29">
        <v>53</v>
      </c>
      <c r="RT120" s="1504">
        <v>38108</v>
      </c>
      <c r="RU120" s="19"/>
      <c r="RV120" s="20"/>
      <c r="RW120" s="29">
        <v>53</v>
      </c>
      <c r="RX120" s="1504">
        <v>38108</v>
      </c>
      <c r="RY120" s="29"/>
      <c r="RZ120" s="20"/>
      <c r="SA120" s="29"/>
      <c r="SB120" s="29">
        <v>53</v>
      </c>
    </row>
    <row r="121" spans="1:496">
      <c r="A121" s="41">
        <f t="shared" si="187"/>
        <v>2004</v>
      </c>
      <c r="B121" s="1504">
        <v>38139</v>
      </c>
      <c r="C121" s="1813"/>
      <c r="D121" s="1814"/>
      <c r="E121" s="1814"/>
      <c r="F121" s="1815"/>
      <c r="G121" s="1814"/>
      <c r="H121" s="1814"/>
      <c r="I121" s="1814"/>
      <c r="J121" s="1816"/>
      <c r="K121" s="1807"/>
      <c r="L121" s="25">
        <v>54</v>
      </c>
      <c r="M121" s="97"/>
      <c r="N121" s="1504">
        <v>38139</v>
      </c>
      <c r="O121" s="19"/>
      <c r="P121" s="93"/>
      <c r="Q121" s="93"/>
      <c r="R121" s="93"/>
      <c r="S121" s="93"/>
      <c r="T121" s="93"/>
      <c r="U121" s="93"/>
      <c r="V121" s="93"/>
      <c r="W121" s="93"/>
      <c r="X121" s="93"/>
      <c r="Y121" s="93"/>
      <c r="Z121" s="93"/>
      <c r="AA121" s="93"/>
      <c r="AB121" s="20"/>
      <c r="AC121" s="25">
        <v>54</v>
      </c>
      <c r="AD121" s="97"/>
      <c r="AE121" s="1504">
        <v>38139</v>
      </c>
      <c r="AF121" s="19"/>
      <c r="AG121" s="93"/>
      <c r="AH121" s="93"/>
      <c r="AI121" s="93"/>
      <c r="AJ121" s="93"/>
      <c r="AK121" s="93"/>
      <c r="AL121" s="93"/>
      <c r="AM121" s="93"/>
      <c r="AN121" s="93"/>
      <c r="AO121" s="93"/>
      <c r="AP121" s="93"/>
      <c r="AQ121" s="93"/>
      <c r="AR121" s="93"/>
      <c r="AS121" s="20"/>
      <c r="AT121" s="25">
        <v>54</v>
      </c>
      <c r="AU121" s="97"/>
      <c r="AV121" s="1504">
        <v>38139</v>
      </c>
      <c r="AW121" s="19"/>
      <c r="AX121" s="93"/>
      <c r="AY121" s="93"/>
      <c r="AZ121" s="93"/>
      <c r="BA121" s="93"/>
      <c r="BB121" s="93"/>
      <c r="BC121" s="93"/>
      <c r="BD121" s="93"/>
      <c r="BE121" s="93"/>
      <c r="BF121" s="93"/>
      <c r="BG121" s="93"/>
      <c r="BH121" s="93"/>
      <c r="BI121" s="93"/>
      <c r="BJ121" s="20"/>
      <c r="BK121" s="25">
        <v>54</v>
      </c>
      <c r="BL121" s="97"/>
      <c r="BM121" s="1504">
        <v>38139</v>
      </c>
      <c r="BN121" s="19"/>
      <c r="BO121" s="93"/>
      <c r="BP121" s="93"/>
      <c r="BQ121" s="93"/>
      <c r="BR121" s="93"/>
      <c r="BS121" s="93"/>
      <c r="BT121" s="93"/>
      <c r="BU121" s="20"/>
      <c r="BV121" s="25">
        <v>54</v>
      </c>
      <c r="BW121" s="97"/>
      <c r="BX121" s="1504">
        <v>38139</v>
      </c>
      <c r="BY121" s="19"/>
      <c r="BZ121" s="99">
        <v>664.95699999999999</v>
      </c>
      <c r="CA121" s="93"/>
      <c r="CB121" s="93"/>
      <c r="CC121" s="93"/>
      <c r="CD121" s="25">
        <v>54</v>
      </c>
      <c r="CE121" s="97"/>
      <c r="CF121" s="1504">
        <v>38139</v>
      </c>
      <c r="CG121" s="19">
        <v>1.4226312649999999</v>
      </c>
      <c r="CH121" s="93">
        <v>392.37299999999999</v>
      </c>
      <c r="CI121" s="219"/>
      <c r="CJ121" s="20"/>
      <c r="CK121" s="19"/>
      <c r="CL121" s="93"/>
      <c r="CM121" s="93"/>
      <c r="CN121" s="93"/>
      <c r="CO121" s="93"/>
      <c r="CP121" s="20"/>
      <c r="CQ121" s="219">
        <v>1264.6500000000001</v>
      </c>
      <c r="CR121" s="93">
        <v>1.5049999999999999</v>
      </c>
      <c r="CS121" s="93"/>
      <c r="CT121" s="93"/>
      <c r="CU121" s="93"/>
      <c r="CV121" s="214"/>
      <c r="CW121" s="29">
        <v>54</v>
      </c>
      <c r="CX121" s="41">
        <f t="shared" si="188"/>
        <v>2004</v>
      </c>
      <c r="CY121" s="1504">
        <v>38139</v>
      </c>
      <c r="CZ121" s="1916">
        <v>41.137191999999999</v>
      </c>
      <c r="DA121" s="1526">
        <v>27.048594999999999</v>
      </c>
      <c r="DB121" s="1526">
        <v>14.088597</v>
      </c>
      <c r="DC121" s="182">
        <f t="shared" ref="DC121:DC126" si="189">DC122</f>
        <v>234860</v>
      </c>
      <c r="DD121" s="182"/>
      <c r="DE121" s="290"/>
      <c r="DF121" s="29">
        <v>54</v>
      </c>
      <c r="DG121" s="1504">
        <v>38139</v>
      </c>
      <c r="DH121" s="19"/>
      <c r="DI121" s="93"/>
      <c r="DJ121" s="93"/>
      <c r="DK121" s="93"/>
      <c r="DL121" s="93"/>
      <c r="DM121" s="93"/>
      <c r="DN121" s="20"/>
      <c r="DO121" s="25"/>
      <c r="DP121" s="29">
        <v>54</v>
      </c>
      <c r="DQ121" s="1504">
        <v>38139</v>
      </c>
      <c r="DR121" s="19"/>
      <c r="DS121" s="93"/>
      <c r="DT121" s="93"/>
      <c r="DU121" s="93"/>
      <c r="DV121" s="93"/>
      <c r="DW121" s="93"/>
      <c r="DX121" s="20"/>
      <c r="DY121" s="29">
        <v>54</v>
      </c>
      <c r="DZ121" s="1504">
        <v>38139</v>
      </c>
      <c r="EA121" s="19"/>
      <c r="EB121" s="93"/>
      <c r="EC121" s="20"/>
      <c r="ED121" s="29">
        <v>54</v>
      </c>
      <c r="EE121" s="1504">
        <v>38139</v>
      </c>
      <c r="EF121" s="19"/>
      <c r="EG121" s="93"/>
      <c r="EH121" s="93"/>
      <c r="EI121" s="214"/>
      <c r="EJ121" s="93"/>
      <c r="EK121" s="93"/>
      <c r="EL121" s="93"/>
      <c r="EM121" s="93"/>
      <c r="EN121" s="20"/>
      <c r="EO121" s="29">
        <v>54</v>
      </c>
      <c r="EP121" s="1504">
        <v>38139</v>
      </c>
      <c r="EQ121" s="19"/>
      <c r="ER121" s="93"/>
      <c r="ES121" s="93"/>
      <c r="ET121" s="214"/>
      <c r="EU121" s="93"/>
      <c r="EV121" s="93"/>
      <c r="EW121" s="93"/>
      <c r="EX121" s="93"/>
      <c r="EY121" s="20"/>
      <c r="EZ121" s="29">
        <v>54</v>
      </c>
      <c r="FA121" s="1504">
        <v>38139</v>
      </c>
      <c r="FB121" s="29"/>
      <c r="FC121" s="29"/>
      <c r="FD121" s="29"/>
      <c r="FE121" s="29"/>
      <c r="FF121" s="29"/>
      <c r="FG121" s="29"/>
      <c r="FH121" s="29"/>
      <c r="FI121" s="29"/>
      <c r="FJ121" s="29"/>
      <c r="FK121" s="29">
        <v>54</v>
      </c>
      <c r="FL121" s="1504">
        <v>38139</v>
      </c>
      <c r="FM121" s="19"/>
      <c r="FN121" s="93"/>
      <c r="FO121" s="93"/>
      <c r="FP121" s="93"/>
      <c r="FQ121" s="93"/>
      <c r="FR121" s="93"/>
      <c r="FS121" s="93"/>
      <c r="FT121" s="93"/>
      <c r="FU121" s="93"/>
      <c r="FV121" s="93"/>
      <c r="FW121" s="93"/>
      <c r="FX121" s="93"/>
      <c r="FY121" s="93"/>
      <c r="FZ121" s="29">
        <v>54</v>
      </c>
      <c r="GA121" s="1504">
        <v>38139</v>
      </c>
      <c r="GB121" s="19"/>
      <c r="GC121" s="93"/>
      <c r="GD121" s="93"/>
      <c r="GE121" s="93"/>
      <c r="GF121" s="93"/>
      <c r="GG121" s="93"/>
      <c r="GH121" s="93"/>
      <c r="GI121" s="93"/>
      <c r="GJ121" s="93"/>
      <c r="GK121" s="93"/>
      <c r="GL121" s="93"/>
      <c r="GM121" s="93"/>
      <c r="GN121" s="20"/>
      <c r="GO121" s="29">
        <v>54</v>
      </c>
      <c r="GP121" s="1504">
        <v>38139</v>
      </c>
      <c r="GQ121" s="19"/>
      <c r="GR121" s="93"/>
      <c r="GS121" s="93"/>
      <c r="GT121" s="93"/>
      <c r="GU121" s="93"/>
      <c r="GV121" s="20"/>
      <c r="GW121" s="19"/>
      <c r="GX121" s="93"/>
      <c r="GY121" s="93"/>
      <c r="GZ121" s="93"/>
      <c r="HA121" s="93"/>
      <c r="HB121" s="20"/>
      <c r="HC121" s="19"/>
      <c r="HD121" s="93"/>
      <c r="HE121" s="93"/>
      <c r="HF121" s="93"/>
      <c r="HG121" s="93"/>
      <c r="HH121" s="20"/>
      <c r="HI121" s="19"/>
      <c r="HJ121" s="93"/>
      <c r="HK121" s="93"/>
      <c r="HL121" s="93"/>
      <c r="HM121" s="93"/>
      <c r="HN121" s="20"/>
      <c r="HO121" s="219"/>
      <c r="HP121" s="20"/>
      <c r="HQ121" s="25"/>
      <c r="HR121" s="29">
        <v>54</v>
      </c>
      <c r="HS121" s="1504">
        <v>38139</v>
      </c>
      <c r="HT121" s="19"/>
      <c r="HU121" s="93"/>
      <c r="HV121" s="93"/>
      <c r="HW121" s="93"/>
      <c r="HX121" s="93"/>
      <c r="HY121" s="93"/>
      <c r="HZ121" s="93"/>
      <c r="IA121" s="20"/>
      <c r="IB121" s="19"/>
      <c r="IC121" s="93"/>
      <c r="ID121" s="93"/>
      <c r="IE121" s="93"/>
      <c r="IF121" s="93"/>
      <c r="IG121" s="20"/>
      <c r="IH121" s="19"/>
      <c r="II121" s="93"/>
      <c r="IJ121" s="93"/>
      <c r="IK121" s="93"/>
      <c r="IL121" s="93"/>
      <c r="IM121" s="93"/>
      <c r="IN121" s="93"/>
      <c r="IO121" s="20"/>
      <c r="IP121" s="29">
        <v>54</v>
      </c>
      <c r="IQ121" s="19"/>
      <c r="IR121" s="93"/>
      <c r="IS121" s="93"/>
      <c r="IT121" s="93"/>
      <c r="IU121" s="93"/>
      <c r="IV121" s="20"/>
      <c r="IW121" s="29">
        <v>54</v>
      </c>
      <c r="IX121" s="19"/>
      <c r="IY121" s="93"/>
      <c r="IZ121" s="93"/>
      <c r="JA121" s="93"/>
      <c r="JB121" s="93"/>
      <c r="JC121" s="93"/>
      <c r="JD121" s="93"/>
      <c r="JE121" s="20"/>
      <c r="JF121" s="29">
        <v>54</v>
      </c>
      <c r="JG121" s="19"/>
      <c r="JH121" s="93"/>
      <c r="JI121" s="93"/>
      <c r="JJ121" s="93"/>
      <c r="JK121" s="93"/>
      <c r="JL121" s="93"/>
      <c r="JM121" s="93"/>
      <c r="JN121" s="20"/>
      <c r="JO121" s="29">
        <v>54</v>
      </c>
      <c r="JP121" s="19"/>
      <c r="JQ121" s="93"/>
      <c r="JR121" s="93"/>
      <c r="JS121" s="93"/>
      <c r="JT121" s="93"/>
      <c r="JU121" s="20"/>
      <c r="JV121" s="29">
        <v>54</v>
      </c>
      <c r="JW121" s="1504">
        <v>38139</v>
      </c>
      <c r="JX121" s="19"/>
      <c r="JY121" s="93"/>
      <c r="JZ121" s="93"/>
      <c r="KA121" s="93"/>
      <c r="KB121" s="93"/>
      <c r="KC121" s="93"/>
      <c r="KD121" s="20"/>
      <c r="KE121" s="29">
        <v>54</v>
      </c>
      <c r="KF121" s="19"/>
      <c r="KG121" s="93"/>
      <c r="KH121" s="93"/>
      <c r="KI121" s="93"/>
      <c r="KJ121" s="93"/>
      <c r="KK121" s="20"/>
      <c r="KL121" s="29">
        <v>54</v>
      </c>
      <c r="KM121" s="19"/>
      <c r="KN121" s="93"/>
      <c r="KO121" s="93"/>
      <c r="KP121" s="93"/>
      <c r="KQ121" s="93"/>
      <c r="KR121" s="20"/>
      <c r="KS121" s="29">
        <v>54</v>
      </c>
      <c r="KT121" s="19"/>
      <c r="KU121" s="93"/>
      <c r="KV121" s="93"/>
      <c r="KW121" s="93"/>
      <c r="KX121" s="93"/>
      <c r="KY121" s="20"/>
      <c r="KZ121" s="29">
        <v>54</v>
      </c>
      <c r="LA121" s="1504">
        <v>38139</v>
      </c>
      <c r="LB121" s="19"/>
      <c r="LC121" s="93"/>
      <c r="LD121" s="93"/>
      <c r="LE121" s="93"/>
      <c r="LF121" s="93"/>
      <c r="LG121" s="93"/>
      <c r="LH121" s="20"/>
      <c r="LI121" s="29">
        <v>54</v>
      </c>
      <c r="LJ121" s="19"/>
      <c r="LK121" s="93"/>
      <c r="LL121" s="93"/>
      <c r="LM121" s="93"/>
      <c r="LN121" s="93"/>
      <c r="LO121" s="20"/>
      <c r="LP121" s="29">
        <v>54</v>
      </c>
      <c r="LQ121" s="19"/>
      <c r="LR121" s="93"/>
      <c r="LS121" s="93"/>
      <c r="LT121" s="93"/>
      <c r="LU121" s="93"/>
      <c r="LV121" s="93"/>
      <c r="LW121" s="93"/>
      <c r="LX121" s="93"/>
      <c r="LY121" s="93"/>
      <c r="LZ121" s="93"/>
      <c r="MA121" s="20"/>
      <c r="MB121" s="29">
        <v>54</v>
      </c>
      <c r="MC121" s="1504">
        <v>38139</v>
      </c>
      <c r="MD121" s="19"/>
      <c r="ME121" s="93"/>
      <c r="MF121" s="93"/>
      <c r="MG121" s="93"/>
      <c r="MH121" s="93"/>
      <c r="MI121" s="93"/>
      <c r="MJ121" s="93"/>
      <c r="MK121" s="93"/>
      <c r="ML121" s="93"/>
      <c r="MM121" s="93"/>
      <c r="MN121" s="93"/>
      <c r="MO121" s="93"/>
      <c r="MP121" s="93"/>
      <c r="MQ121" s="93"/>
      <c r="MR121" s="93"/>
      <c r="MS121" s="93"/>
      <c r="MT121" s="93"/>
      <c r="MU121" s="93"/>
      <c r="MV121" s="93"/>
      <c r="MW121" s="93"/>
      <c r="MX121" s="93"/>
      <c r="MY121" s="93"/>
      <c r="MZ121" s="93"/>
      <c r="NA121" s="93"/>
      <c r="NB121" s="93"/>
      <c r="NC121" s="93"/>
      <c r="ND121" s="93"/>
      <c r="NE121" s="93"/>
      <c r="NF121" s="93"/>
      <c r="NG121" s="93"/>
      <c r="NH121" s="93"/>
      <c r="NI121" s="93"/>
      <c r="NJ121" s="93"/>
      <c r="NK121" s="93"/>
      <c r="NL121" s="93"/>
      <c r="NM121" s="93"/>
      <c r="NN121" s="93"/>
      <c r="NO121" s="93"/>
      <c r="NP121" s="93"/>
      <c r="NQ121" s="93"/>
      <c r="NR121" s="93"/>
      <c r="NS121" s="93"/>
      <c r="NT121" s="93"/>
      <c r="NU121" s="93"/>
      <c r="NV121" s="93"/>
      <c r="NW121" s="93"/>
      <c r="NX121" s="93"/>
      <c r="NY121" s="93"/>
      <c r="NZ121" s="93"/>
      <c r="OA121" s="93"/>
      <c r="OB121" s="93"/>
      <c r="OC121" s="93"/>
      <c r="OD121" s="20"/>
      <c r="OE121" s="29">
        <v>54</v>
      </c>
      <c r="OF121" s="1504">
        <v>38139</v>
      </c>
      <c r="OG121" s="19"/>
      <c r="OH121" s="93">
        <v>216.0608</v>
      </c>
      <c r="OI121" s="93">
        <v>228.92348183878062</v>
      </c>
      <c r="OJ121" s="93">
        <v>0.31159819700000002</v>
      </c>
      <c r="OK121" s="93">
        <v>184.17478364178061</v>
      </c>
      <c r="OL121" s="93">
        <v>44.437100000000001</v>
      </c>
      <c r="OM121" s="93">
        <v>444.98428183878059</v>
      </c>
      <c r="ON121" s="93">
        <v>189.32148538156804</v>
      </c>
      <c r="OO121" s="93">
        <v>634.30576722034857</v>
      </c>
      <c r="OP121" s="93"/>
      <c r="OQ121" s="93">
        <v>328.29152803941145</v>
      </c>
      <c r="OR121" s="93">
        <v>253.18387288899999</v>
      </c>
      <c r="OS121" s="93">
        <v>75.107655150411489</v>
      </c>
      <c r="OT121" s="93">
        <v>366.66590127193717</v>
      </c>
      <c r="OU121" s="93">
        <v>-13.317016942000009</v>
      </c>
      <c r="OV121" s="93">
        <v>53.343983057999992</v>
      </c>
      <c r="OW121" s="93">
        <v>-66.661000000000001</v>
      </c>
      <c r="OX121" s="93">
        <v>379.98291821393718</v>
      </c>
      <c r="OY121" s="93">
        <v>2.3873043409999997</v>
      </c>
      <c r="OZ121" s="93">
        <v>377.59561387293718</v>
      </c>
      <c r="PA121" s="93">
        <v>90.004920408999993</v>
      </c>
      <c r="PB121" s="93">
        <v>-29.353258318000002</v>
      </c>
      <c r="PC121" s="20">
        <v>634.30576722034868</v>
      </c>
      <c r="PD121" s="29">
        <v>54</v>
      </c>
      <c r="PE121" s="19"/>
      <c r="PF121" s="93">
        <v>253.18387288899999</v>
      </c>
      <c r="PG121" s="93">
        <v>471.32193633899999</v>
      </c>
      <c r="PH121" s="93">
        <v>218.13806345</v>
      </c>
      <c r="PI121" s="93">
        <v>1.0269999999999999</v>
      </c>
      <c r="PJ121" s="93">
        <v>53.343983057999992</v>
      </c>
      <c r="PK121" s="93">
        <v>99.301080057999997</v>
      </c>
      <c r="PL121" s="93">
        <v>45.957097000000005</v>
      </c>
      <c r="PM121" s="93">
        <v>2.3873043409999997</v>
      </c>
      <c r="PN121" s="93">
        <v>0</v>
      </c>
      <c r="PO121" s="93">
        <v>0</v>
      </c>
      <c r="PP121" s="93">
        <v>3.6465599999999999E-4</v>
      </c>
      <c r="PQ121" s="93">
        <v>2.3869396849999998</v>
      </c>
      <c r="PR121" s="93">
        <v>304.26644784800004</v>
      </c>
      <c r="PS121" s="93">
        <v>228.89080000000001</v>
      </c>
      <c r="PT121" s="93">
        <v>75.064049651000005</v>
      </c>
      <c r="PU121" s="93">
        <v>0.31159819700000002</v>
      </c>
      <c r="PV121" s="93">
        <v>0</v>
      </c>
      <c r="PW121" s="93">
        <v>6.778468975</v>
      </c>
      <c r="PX121" s="93">
        <v>0</v>
      </c>
      <c r="PY121" s="93">
        <v>0</v>
      </c>
      <c r="PZ121" s="93">
        <v>6.778468975</v>
      </c>
      <c r="QA121" s="93">
        <v>0</v>
      </c>
      <c r="QB121" s="93">
        <v>0</v>
      </c>
      <c r="QC121" s="93">
        <v>0</v>
      </c>
      <c r="QD121" s="93">
        <v>-1.6885485660000001</v>
      </c>
      <c r="QE121" s="20">
        <v>0.58579203099999988</v>
      </c>
      <c r="QF121" s="1739">
        <v>54</v>
      </c>
      <c r="QG121" s="19"/>
      <c r="QH121" s="1035">
        <v>75.107655150411489</v>
      </c>
      <c r="QI121" s="1035">
        <v>141.74338612706282</v>
      </c>
      <c r="QJ121" s="1035">
        <v>-66.635730976651331</v>
      </c>
      <c r="QK121" s="1035">
        <v>77.441999999999993</v>
      </c>
      <c r="QL121" s="1035">
        <v>12.83</v>
      </c>
      <c r="QM121" s="1035">
        <v>64.611999999999995</v>
      </c>
      <c r="QN121" s="1035">
        <v>0</v>
      </c>
      <c r="QO121" s="1035">
        <v>-66.661000000000001</v>
      </c>
      <c r="QP121" s="1035">
        <v>19.456000000000003</v>
      </c>
      <c r="QQ121" s="1035">
        <v>-86.117000000000004</v>
      </c>
      <c r="QR121" s="1035">
        <v>377.59561387293718</v>
      </c>
      <c r="QS121" s="1035">
        <v>5.8617008007902864</v>
      </c>
      <c r="QT121" s="1035">
        <v>0</v>
      </c>
      <c r="QU121" s="1035">
        <v>59.853000000000002</v>
      </c>
      <c r="QV121" s="1035">
        <v>311.88091307214688</v>
      </c>
      <c r="QW121" s="93"/>
      <c r="QX121" s="93">
        <v>0.184</v>
      </c>
      <c r="QY121" s="93">
        <v>184.17478364178064</v>
      </c>
      <c r="QZ121" s="93">
        <v>189.32148538156804</v>
      </c>
      <c r="RA121" s="93">
        <v>0</v>
      </c>
      <c r="RB121" s="93">
        <v>16.439999999999998</v>
      </c>
      <c r="RC121" s="93">
        <v>0</v>
      </c>
      <c r="RD121" s="93">
        <v>4.5170000000000003</v>
      </c>
      <c r="RE121" s="93">
        <v>0</v>
      </c>
      <c r="RF121" s="93">
        <v>0</v>
      </c>
      <c r="RG121" s="93">
        <v>63.957999999999998</v>
      </c>
      <c r="RH121" s="93">
        <v>4.8889999999999887</v>
      </c>
      <c r="RI121" s="93"/>
      <c r="RJ121" s="93"/>
      <c r="RK121" s="93"/>
      <c r="RL121" s="93"/>
      <c r="RM121" s="20"/>
      <c r="RN121" s="29">
        <v>54</v>
      </c>
      <c r="RO121" s="19"/>
      <c r="RP121" s="20"/>
      <c r="RQ121" s="29">
        <v>54</v>
      </c>
      <c r="RR121" s="20"/>
      <c r="RS121" s="29">
        <v>54</v>
      </c>
      <c r="RT121" s="1504">
        <v>38139</v>
      </c>
      <c r="RU121" s="19"/>
      <c r="RV121" s="20"/>
      <c r="RW121" s="29">
        <v>54</v>
      </c>
      <c r="RX121" s="1504">
        <v>38139</v>
      </c>
      <c r="RY121" s="29"/>
      <c r="RZ121" s="20"/>
      <c r="SA121" s="29"/>
      <c r="SB121" s="29">
        <v>54</v>
      </c>
    </row>
    <row r="122" spans="1:496">
      <c r="A122" s="41">
        <f t="shared" si="187"/>
        <v>2004</v>
      </c>
      <c r="B122" s="1504">
        <v>38169</v>
      </c>
      <c r="C122" s="1813"/>
      <c r="D122" s="1814"/>
      <c r="E122" s="1814"/>
      <c r="F122" s="1815"/>
      <c r="G122" s="1814"/>
      <c r="H122" s="1814"/>
      <c r="I122" s="1814"/>
      <c r="J122" s="1816"/>
      <c r="K122" s="1807"/>
      <c r="L122" s="25">
        <v>55</v>
      </c>
      <c r="M122" s="97"/>
      <c r="N122" s="1504">
        <v>38169</v>
      </c>
      <c r="O122" s="19"/>
      <c r="P122" s="93"/>
      <c r="Q122" s="93"/>
      <c r="R122" s="93"/>
      <c r="S122" s="93"/>
      <c r="T122" s="93"/>
      <c r="U122" s="93"/>
      <c r="V122" s="93"/>
      <c r="W122" s="93"/>
      <c r="X122" s="93"/>
      <c r="Y122" s="93"/>
      <c r="Z122" s="93"/>
      <c r="AA122" s="93"/>
      <c r="AB122" s="20"/>
      <c r="AC122" s="25">
        <v>55</v>
      </c>
      <c r="AD122" s="97"/>
      <c r="AE122" s="1504">
        <v>38169</v>
      </c>
      <c r="AF122" s="19"/>
      <c r="AG122" s="93"/>
      <c r="AH122" s="93"/>
      <c r="AI122" s="93"/>
      <c r="AJ122" s="93"/>
      <c r="AK122" s="93"/>
      <c r="AL122" s="93"/>
      <c r="AM122" s="93"/>
      <c r="AN122" s="93"/>
      <c r="AO122" s="93"/>
      <c r="AP122" s="93"/>
      <c r="AQ122" s="93"/>
      <c r="AR122" s="93"/>
      <c r="AS122" s="20"/>
      <c r="AT122" s="25">
        <v>55</v>
      </c>
      <c r="AU122" s="97"/>
      <c r="AV122" s="1504">
        <v>38169</v>
      </c>
      <c r="AW122" s="19"/>
      <c r="AX122" s="93"/>
      <c r="AY122" s="93"/>
      <c r="AZ122" s="93"/>
      <c r="BA122" s="93"/>
      <c r="BB122" s="93"/>
      <c r="BC122" s="93"/>
      <c r="BD122" s="93"/>
      <c r="BE122" s="93"/>
      <c r="BF122" s="93"/>
      <c r="BG122" s="93"/>
      <c r="BH122" s="93"/>
      <c r="BI122" s="93"/>
      <c r="BJ122" s="20"/>
      <c r="BK122" s="25">
        <v>55</v>
      </c>
      <c r="BL122" s="97"/>
      <c r="BM122" s="1504">
        <v>38169</v>
      </c>
      <c r="BN122" s="19"/>
      <c r="BO122" s="93"/>
      <c r="BP122" s="93"/>
      <c r="BQ122" s="93"/>
      <c r="BR122" s="93"/>
      <c r="BS122" s="93"/>
      <c r="BT122" s="93"/>
      <c r="BU122" s="20"/>
      <c r="BV122" s="25">
        <v>55</v>
      </c>
      <c r="BW122" s="97"/>
      <c r="BX122" s="1504">
        <v>38169</v>
      </c>
      <c r="BY122" s="19"/>
      <c r="BZ122" s="99">
        <v>664.95699999999999</v>
      </c>
      <c r="CA122" s="93"/>
      <c r="CB122" s="93"/>
      <c r="CC122" s="93"/>
      <c r="CD122" s="25">
        <v>55</v>
      </c>
      <c r="CE122" s="97"/>
      <c r="CF122" s="1504">
        <v>38169</v>
      </c>
      <c r="CG122" s="19">
        <v>1.2562826650000001</v>
      </c>
      <c r="CH122" s="93">
        <v>398.09100000000001</v>
      </c>
      <c r="CI122" s="219"/>
      <c r="CJ122" s="20"/>
      <c r="CK122" s="19"/>
      <c r="CL122" s="93"/>
      <c r="CM122" s="93"/>
      <c r="CN122" s="93"/>
      <c r="CO122" s="93"/>
      <c r="CP122" s="20"/>
      <c r="CQ122" s="219">
        <v>1247.1099999999999</v>
      </c>
      <c r="CR122" s="93">
        <v>1.5325</v>
      </c>
      <c r="CS122" s="93"/>
      <c r="CT122" s="93"/>
      <c r="CU122" s="93"/>
      <c r="CV122" s="214"/>
      <c r="CW122" s="29">
        <v>55</v>
      </c>
      <c r="CX122" s="41">
        <f t="shared" si="188"/>
        <v>2004</v>
      </c>
      <c r="CY122" s="1504">
        <v>38169</v>
      </c>
      <c r="CZ122" s="1916">
        <v>40.842576999999999</v>
      </c>
      <c r="DA122" s="1526">
        <v>25.998871999999999</v>
      </c>
      <c r="DB122" s="1526">
        <v>14.843705</v>
      </c>
      <c r="DC122" s="182">
        <f t="shared" si="189"/>
        <v>234860</v>
      </c>
      <c r="DD122" s="182"/>
      <c r="DE122" s="290"/>
      <c r="DF122" s="29">
        <v>55</v>
      </c>
      <c r="DG122" s="1504">
        <v>38169</v>
      </c>
      <c r="DH122" s="19"/>
      <c r="DI122" s="93"/>
      <c r="DJ122" s="93"/>
      <c r="DK122" s="93"/>
      <c r="DL122" s="93"/>
      <c r="DM122" s="93"/>
      <c r="DN122" s="20"/>
      <c r="DO122" s="25"/>
      <c r="DP122" s="29">
        <v>55</v>
      </c>
      <c r="DQ122" s="1504">
        <v>38169</v>
      </c>
      <c r="DR122" s="19"/>
      <c r="DS122" s="93"/>
      <c r="DT122" s="93"/>
      <c r="DU122" s="93"/>
      <c r="DV122" s="93"/>
      <c r="DW122" s="93"/>
      <c r="DX122" s="20"/>
      <c r="DY122" s="29">
        <v>55</v>
      </c>
      <c r="DZ122" s="1504">
        <v>38169</v>
      </c>
      <c r="EA122" s="19"/>
      <c r="EB122" s="93"/>
      <c r="EC122" s="20"/>
      <c r="ED122" s="29">
        <v>55</v>
      </c>
      <c r="EE122" s="1504">
        <v>38169</v>
      </c>
      <c r="EF122" s="19"/>
      <c r="EG122" s="93"/>
      <c r="EH122" s="93"/>
      <c r="EI122" s="214"/>
      <c r="EJ122" s="93"/>
      <c r="EK122" s="93"/>
      <c r="EL122" s="93"/>
      <c r="EM122" s="93"/>
      <c r="EN122" s="20"/>
      <c r="EO122" s="29">
        <v>55</v>
      </c>
      <c r="EP122" s="1504">
        <v>38169</v>
      </c>
      <c r="EQ122" s="19"/>
      <c r="ER122" s="93"/>
      <c r="ES122" s="93"/>
      <c r="ET122" s="214"/>
      <c r="EU122" s="93"/>
      <c r="EV122" s="93"/>
      <c r="EW122" s="93"/>
      <c r="EX122" s="93"/>
      <c r="EY122" s="20"/>
      <c r="EZ122" s="29">
        <v>55</v>
      </c>
      <c r="FA122" s="1504">
        <v>38169</v>
      </c>
      <c r="FB122" s="29"/>
      <c r="FC122" s="29"/>
      <c r="FD122" s="29"/>
      <c r="FE122" s="29"/>
      <c r="FF122" s="29"/>
      <c r="FG122" s="29"/>
      <c r="FH122" s="29"/>
      <c r="FI122" s="29"/>
      <c r="FJ122" s="29"/>
      <c r="FK122" s="29">
        <v>55</v>
      </c>
      <c r="FL122" s="1504">
        <v>38169</v>
      </c>
      <c r="FM122" s="19"/>
      <c r="FN122" s="93"/>
      <c r="FO122" s="93"/>
      <c r="FP122" s="93"/>
      <c r="FQ122" s="93"/>
      <c r="FR122" s="93"/>
      <c r="FS122" s="93"/>
      <c r="FT122" s="93"/>
      <c r="FU122" s="93"/>
      <c r="FV122" s="93"/>
      <c r="FW122" s="93"/>
      <c r="FX122" s="93"/>
      <c r="FY122" s="93"/>
      <c r="FZ122" s="29">
        <v>55</v>
      </c>
      <c r="GA122" s="1504">
        <v>38169</v>
      </c>
      <c r="GB122" s="19"/>
      <c r="GC122" s="93"/>
      <c r="GD122" s="93"/>
      <c r="GE122" s="93"/>
      <c r="GF122" s="93"/>
      <c r="GG122" s="93"/>
      <c r="GH122" s="93"/>
      <c r="GI122" s="93"/>
      <c r="GJ122" s="93"/>
      <c r="GK122" s="93"/>
      <c r="GL122" s="93"/>
      <c r="GM122" s="93"/>
      <c r="GN122" s="20"/>
      <c r="GO122" s="29">
        <v>55</v>
      </c>
      <c r="GP122" s="1504">
        <v>38169</v>
      </c>
      <c r="GQ122" s="19"/>
      <c r="GR122" s="93"/>
      <c r="GS122" s="93"/>
      <c r="GT122" s="93"/>
      <c r="GU122" s="93"/>
      <c r="GV122" s="20"/>
      <c r="GW122" s="19"/>
      <c r="GX122" s="93"/>
      <c r="GY122" s="93"/>
      <c r="GZ122" s="93"/>
      <c r="HA122" s="93"/>
      <c r="HB122" s="20"/>
      <c r="HC122" s="19"/>
      <c r="HD122" s="93"/>
      <c r="HE122" s="93"/>
      <c r="HF122" s="93"/>
      <c r="HG122" s="93"/>
      <c r="HH122" s="20"/>
      <c r="HI122" s="19"/>
      <c r="HJ122" s="93"/>
      <c r="HK122" s="93"/>
      <c r="HL122" s="93"/>
      <c r="HM122" s="93"/>
      <c r="HN122" s="20"/>
      <c r="HO122" s="219"/>
      <c r="HP122" s="20"/>
      <c r="HQ122" s="25"/>
      <c r="HR122" s="29">
        <v>55</v>
      </c>
      <c r="HS122" s="1504">
        <v>38169</v>
      </c>
      <c r="HT122" s="19"/>
      <c r="HU122" s="93"/>
      <c r="HV122" s="93"/>
      <c r="HW122" s="93"/>
      <c r="HX122" s="93"/>
      <c r="HY122" s="93"/>
      <c r="HZ122" s="93"/>
      <c r="IA122" s="20"/>
      <c r="IB122" s="19"/>
      <c r="IC122" s="93"/>
      <c r="ID122" s="93"/>
      <c r="IE122" s="93"/>
      <c r="IF122" s="93"/>
      <c r="IG122" s="20"/>
      <c r="IH122" s="19"/>
      <c r="II122" s="93"/>
      <c r="IJ122" s="93"/>
      <c r="IK122" s="93"/>
      <c r="IL122" s="93"/>
      <c r="IM122" s="93"/>
      <c r="IN122" s="93"/>
      <c r="IO122" s="20"/>
      <c r="IP122" s="29">
        <v>55</v>
      </c>
      <c r="IQ122" s="19"/>
      <c r="IR122" s="93"/>
      <c r="IS122" s="93"/>
      <c r="IT122" s="93"/>
      <c r="IU122" s="93"/>
      <c r="IV122" s="20"/>
      <c r="IW122" s="29">
        <v>55</v>
      </c>
      <c r="IX122" s="19"/>
      <c r="IY122" s="93"/>
      <c r="IZ122" s="93"/>
      <c r="JA122" s="93"/>
      <c r="JB122" s="93"/>
      <c r="JC122" s="93"/>
      <c r="JD122" s="93"/>
      <c r="JE122" s="20"/>
      <c r="JF122" s="29">
        <v>55</v>
      </c>
      <c r="JG122" s="19"/>
      <c r="JH122" s="93"/>
      <c r="JI122" s="93"/>
      <c r="JJ122" s="93"/>
      <c r="JK122" s="93"/>
      <c r="JL122" s="93"/>
      <c r="JM122" s="93"/>
      <c r="JN122" s="20"/>
      <c r="JO122" s="29">
        <v>55</v>
      </c>
      <c r="JP122" s="19"/>
      <c r="JQ122" s="93"/>
      <c r="JR122" s="93"/>
      <c r="JS122" s="93"/>
      <c r="JT122" s="93"/>
      <c r="JU122" s="20"/>
      <c r="JV122" s="29">
        <v>55</v>
      </c>
      <c r="JW122" s="1504">
        <v>38169</v>
      </c>
      <c r="JX122" s="19"/>
      <c r="JY122" s="93"/>
      <c r="JZ122" s="93"/>
      <c r="KA122" s="93"/>
      <c r="KB122" s="93"/>
      <c r="KC122" s="93"/>
      <c r="KD122" s="20"/>
      <c r="KE122" s="29">
        <v>55</v>
      </c>
      <c r="KF122" s="19"/>
      <c r="KG122" s="93"/>
      <c r="KH122" s="93"/>
      <c r="KI122" s="93"/>
      <c r="KJ122" s="93"/>
      <c r="KK122" s="20"/>
      <c r="KL122" s="29">
        <v>55</v>
      </c>
      <c r="KM122" s="19"/>
      <c r="KN122" s="93"/>
      <c r="KO122" s="93"/>
      <c r="KP122" s="93"/>
      <c r="KQ122" s="93"/>
      <c r="KR122" s="20"/>
      <c r="KS122" s="29">
        <v>55</v>
      </c>
      <c r="KT122" s="19"/>
      <c r="KU122" s="93"/>
      <c r="KV122" s="93"/>
      <c r="KW122" s="93"/>
      <c r="KX122" s="93"/>
      <c r="KY122" s="20"/>
      <c r="KZ122" s="29">
        <v>55</v>
      </c>
      <c r="LA122" s="1504">
        <v>38169</v>
      </c>
      <c r="LB122" s="19"/>
      <c r="LC122" s="93"/>
      <c r="LD122" s="93"/>
      <c r="LE122" s="93"/>
      <c r="LF122" s="93"/>
      <c r="LG122" s="93"/>
      <c r="LH122" s="20"/>
      <c r="LI122" s="29">
        <v>55</v>
      </c>
      <c r="LJ122" s="19"/>
      <c r="LK122" s="93"/>
      <c r="LL122" s="93"/>
      <c r="LM122" s="93"/>
      <c r="LN122" s="93"/>
      <c r="LO122" s="20"/>
      <c r="LP122" s="29">
        <v>55</v>
      </c>
      <c r="LQ122" s="19"/>
      <c r="LR122" s="93"/>
      <c r="LS122" s="93"/>
      <c r="LT122" s="93"/>
      <c r="LU122" s="93"/>
      <c r="LV122" s="93"/>
      <c r="LW122" s="93"/>
      <c r="LX122" s="93"/>
      <c r="LY122" s="93"/>
      <c r="LZ122" s="93"/>
      <c r="MA122" s="20"/>
      <c r="MB122" s="29">
        <v>55</v>
      </c>
      <c r="MC122" s="1504">
        <v>38169</v>
      </c>
      <c r="MD122" s="19"/>
      <c r="ME122" s="93"/>
      <c r="MF122" s="93"/>
      <c r="MG122" s="93"/>
      <c r="MH122" s="93"/>
      <c r="MI122" s="93"/>
      <c r="MJ122" s="93"/>
      <c r="MK122" s="93"/>
      <c r="ML122" s="93"/>
      <c r="MM122" s="93"/>
      <c r="MN122" s="93"/>
      <c r="MO122" s="93"/>
      <c r="MP122" s="93"/>
      <c r="MQ122" s="93"/>
      <c r="MR122" s="93"/>
      <c r="MS122" s="93"/>
      <c r="MT122" s="93"/>
      <c r="MU122" s="93"/>
      <c r="MV122" s="93"/>
      <c r="MW122" s="93"/>
      <c r="MX122" s="93"/>
      <c r="MY122" s="93"/>
      <c r="MZ122" s="93"/>
      <c r="NA122" s="93"/>
      <c r="NB122" s="93"/>
      <c r="NC122" s="93"/>
      <c r="ND122" s="93"/>
      <c r="NE122" s="93"/>
      <c r="NF122" s="93"/>
      <c r="NG122" s="93"/>
      <c r="NH122" s="93"/>
      <c r="NI122" s="93"/>
      <c r="NJ122" s="93"/>
      <c r="NK122" s="93"/>
      <c r="NL122" s="93"/>
      <c r="NM122" s="93"/>
      <c r="NN122" s="93"/>
      <c r="NO122" s="93"/>
      <c r="NP122" s="93"/>
      <c r="NQ122" s="93"/>
      <c r="NR122" s="93"/>
      <c r="NS122" s="93"/>
      <c r="NT122" s="93"/>
      <c r="NU122" s="93"/>
      <c r="NV122" s="93"/>
      <c r="NW122" s="93"/>
      <c r="NX122" s="93"/>
      <c r="NY122" s="93"/>
      <c r="NZ122" s="93"/>
      <c r="OA122" s="93"/>
      <c r="OB122" s="93"/>
      <c r="OC122" s="93"/>
      <c r="OD122" s="20"/>
      <c r="OE122" s="29">
        <v>55</v>
      </c>
      <c r="OF122" s="1504">
        <v>38169</v>
      </c>
      <c r="OG122" s="19"/>
      <c r="OH122" s="93">
        <v>213.59630000000001</v>
      </c>
      <c r="OI122" s="93">
        <v>239.57576540432132</v>
      </c>
      <c r="OJ122" s="93">
        <v>0.26329911899999997</v>
      </c>
      <c r="OK122" s="93">
        <v>194.34856628532131</v>
      </c>
      <c r="OL122" s="93">
        <v>44.963900000000002</v>
      </c>
      <c r="OM122" s="93">
        <v>453.1720654043213</v>
      </c>
      <c r="ON122" s="93">
        <v>193.5679065438903</v>
      </c>
      <c r="OO122" s="93">
        <v>646.73997194821163</v>
      </c>
      <c r="OP122" s="93"/>
      <c r="OQ122" s="93">
        <v>370.62750273669661</v>
      </c>
      <c r="OR122" s="93">
        <v>298.27865894199999</v>
      </c>
      <c r="OS122" s="93">
        <v>72.348843794696663</v>
      </c>
      <c r="OT122" s="93">
        <v>314.94116397851496</v>
      </c>
      <c r="OU122" s="93">
        <v>-63.176861299999999</v>
      </c>
      <c r="OV122" s="93">
        <v>2.9921386999999839</v>
      </c>
      <c r="OW122" s="93">
        <v>-66.168999999999983</v>
      </c>
      <c r="OX122" s="93">
        <v>378.11802527851495</v>
      </c>
      <c r="OY122" s="93">
        <v>2.3783962440000002</v>
      </c>
      <c r="OZ122" s="93">
        <v>375.73962903451496</v>
      </c>
      <c r="PA122" s="93">
        <v>92.239444777000003</v>
      </c>
      <c r="PB122" s="93">
        <v>-53.410750009999987</v>
      </c>
      <c r="PC122" s="20">
        <v>646.73997194821152</v>
      </c>
      <c r="PD122" s="29">
        <v>55</v>
      </c>
      <c r="PE122" s="19"/>
      <c r="PF122" s="93">
        <v>298.27865894199999</v>
      </c>
      <c r="PG122" s="93">
        <v>518.46636257</v>
      </c>
      <c r="PH122" s="93">
        <v>220.18770362800001</v>
      </c>
      <c r="PI122" s="93">
        <v>1.127</v>
      </c>
      <c r="PJ122" s="93">
        <v>2.9921386999999839</v>
      </c>
      <c r="PK122" s="93">
        <v>98.575664812999989</v>
      </c>
      <c r="PL122" s="93">
        <v>95.583526113000005</v>
      </c>
      <c r="PM122" s="93">
        <v>2.3783962440000002</v>
      </c>
      <c r="PN122" s="93">
        <v>0</v>
      </c>
      <c r="PO122" s="93">
        <v>0</v>
      </c>
      <c r="PP122" s="93">
        <v>8.9462000000000005E-4</v>
      </c>
      <c r="PQ122" s="93">
        <v>2.3775016240000002</v>
      </c>
      <c r="PR122" s="93">
        <v>304.21027268200004</v>
      </c>
      <c r="PS122" s="93">
        <v>226.35230000000001</v>
      </c>
      <c r="PT122" s="93">
        <v>77.594673563000001</v>
      </c>
      <c r="PU122" s="93">
        <v>0.26329911899999997</v>
      </c>
      <c r="PV122" s="93">
        <v>0</v>
      </c>
      <c r="PW122" s="93">
        <v>5.7197727540000001</v>
      </c>
      <c r="PX122" s="93">
        <v>0</v>
      </c>
      <c r="PY122" s="93">
        <v>0</v>
      </c>
      <c r="PZ122" s="93">
        <v>5.7197727540000001</v>
      </c>
      <c r="QA122" s="93">
        <v>0</v>
      </c>
      <c r="QB122" s="93">
        <v>0</v>
      </c>
      <c r="QC122" s="93">
        <v>0</v>
      </c>
      <c r="QD122" s="93">
        <v>-2.2493279770000001</v>
      </c>
      <c r="QE122" s="20">
        <v>-2.9045235729999934</v>
      </c>
      <c r="QF122" s="1739">
        <v>55</v>
      </c>
      <c r="QG122" s="19"/>
      <c r="QH122" s="1035">
        <v>72.348843794696663</v>
      </c>
      <c r="QI122" s="1035">
        <v>135.79737096548504</v>
      </c>
      <c r="QJ122" s="1035">
        <v>-63.448527170788381</v>
      </c>
      <c r="QK122" s="1035">
        <v>89.994</v>
      </c>
      <c r="QL122" s="1035">
        <v>12.756</v>
      </c>
      <c r="QM122" s="1035">
        <v>77.238</v>
      </c>
      <c r="QN122" s="1035">
        <v>0</v>
      </c>
      <c r="QO122" s="1035">
        <v>-66.168999999999983</v>
      </c>
      <c r="QP122" s="1035">
        <v>25.886000000000003</v>
      </c>
      <c r="QQ122" s="1035">
        <v>-92.054999999999993</v>
      </c>
      <c r="QR122" s="1035">
        <v>375.73962903451496</v>
      </c>
      <c r="QS122" s="1035">
        <v>6.072391426349574</v>
      </c>
      <c r="QT122" s="1035">
        <v>0</v>
      </c>
      <c r="QU122" s="1035">
        <v>50.297000000000004</v>
      </c>
      <c r="QV122" s="1035">
        <v>319.37023760816538</v>
      </c>
      <c r="QW122" s="93"/>
      <c r="QX122" s="93">
        <v>0.17100000000000001</v>
      </c>
      <c r="QY122" s="93">
        <v>194.34856628532131</v>
      </c>
      <c r="QZ122" s="93">
        <v>193.5679065438903</v>
      </c>
      <c r="RA122" s="93">
        <v>0</v>
      </c>
      <c r="RB122" s="93">
        <v>17.901</v>
      </c>
      <c r="RC122" s="93">
        <v>0</v>
      </c>
      <c r="RD122" s="93">
        <v>5.0880000000000001</v>
      </c>
      <c r="RE122" s="93">
        <v>0</v>
      </c>
      <c r="RF122" s="93">
        <v>0</v>
      </c>
      <c r="RG122" s="93">
        <v>65.78</v>
      </c>
      <c r="RH122" s="93">
        <v>-4.9429999999999978</v>
      </c>
      <c r="RI122" s="93"/>
      <c r="RJ122" s="93"/>
      <c r="RK122" s="93"/>
      <c r="RL122" s="93"/>
      <c r="RM122" s="20"/>
      <c r="RN122" s="29">
        <v>55</v>
      </c>
      <c r="RO122" s="19"/>
      <c r="RP122" s="20"/>
      <c r="RQ122" s="29">
        <v>55</v>
      </c>
      <c r="RR122" s="20"/>
      <c r="RS122" s="29">
        <v>55</v>
      </c>
      <c r="RT122" s="1504">
        <v>38169</v>
      </c>
      <c r="RU122" s="19"/>
      <c r="RV122" s="20"/>
      <c r="RW122" s="29">
        <v>55</v>
      </c>
      <c r="RX122" s="1504">
        <v>38169</v>
      </c>
      <c r="RY122" s="29"/>
      <c r="RZ122" s="20"/>
      <c r="SA122" s="29"/>
      <c r="SB122" s="29">
        <v>55</v>
      </c>
    </row>
    <row r="123" spans="1:496">
      <c r="A123" s="41">
        <f t="shared" si="187"/>
        <v>2004</v>
      </c>
      <c r="B123" s="1504">
        <v>38200</v>
      </c>
      <c r="C123" s="1813"/>
      <c r="D123" s="1814"/>
      <c r="E123" s="1814"/>
      <c r="F123" s="1815"/>
      <c r="G123" s="1814"/>
      <c r="H123" s="1814"/>
      <c r="I123" s="1814"/>
      <c r="J123" s="1816"/>
      <c r="K123" s="1807"/>
      <c r="L123" s="25">
        <v>56</v>
      </c>
      <c r="M123" s="97"/>
      <c r="N123" s="1504">
        <v>38200</v>
      </c>
      <c r="O123" s="19"/>
      <c r="P123" s="93"/>
      <c r="Q123" s="93"/>
      <c r="R123" s="93"/>
      <c r="S123" s="93"/>
      <c r="T123" s="93"/>
      <c r="U123" s="93"/>
      <c r="V123" s="93"/>
      <c r="W123" s="93"/>
      <c r="X123" s="93"/>
      <c r="Y123" s="93"/>
      <c r="Z123" s="93"/>
      <c r="AA123" s="93"/>
      <c r="AB123" s="20"/>
      <c r="AC123" s="25">
        <v>56</v>
      </c>
      <c r="AD123" s="97"/>
      <c r="AE123" s="1504">
        <v>38200</v>
      </c>
      <c r="AF123" s="19"/>
      <c r="AG123" s="93"/>
      <c r="AH123" s="93"/>
      <c r="AI123" s="93"/>
      <c r="AJ123" s="93"/>
      <c r="AK123" s="93"/>
      <c r="AL123" s="93"/>
      <c r="AM123" s="93"/>
      <c r="AN123" s="93"/>
      <c r="AO123" s="93"/>
      <c r="AP123" s="93"/>
      <c r="AQ123" s="93"/>
      <c r="AR123" s="93"/>
      <c r="AS123" s="20"/>
      <c r="AT123" s="25">
        <v>56</v>
      </c>
      <c r="AU123" s="97"/>
      <c r="AV123" s="1504">
        <v>38200</v>
      </c>
      <c r="AW123" s="19"/>
      <c r="AX123" s="93"/>
      <c r="AY123" s="93"/>
      <c r="AZ123" s="93"/>
      <c r="BA123" s="93"/>
      <c r="BB123" s="93"/>
      <c r="BC123" s="93"/>
      <c r="BD123" s="93"/>
      <c r="BE123" s="93"/>
      <c r="BF123" s="93"/>
      <c r="BG123" s="93"/>
      <c r="BH123" s="93"/>
      <c r="BI123" s="93"/>
      <c r="BJ123" s="20"/>
      <c r="BK123" s="25">
        <v>56</v>
      </c>
      <c r="BL123" s="97"/>
      <c r="BM123" s="1504">
        <v>38200</v>
      </c>
      <c r="BN123" s="19"/>
      <c r="BO123" s="93"/>
      <c r="BP123" s="93"/>
      <c r="BQ123" s="93"/>
      <c r="BR123" s="93"/>
      <c r="BS123" s="93"/>
      <c r="BT123" s="93"/>
      <c r="BU123" s="20"/>
      <c r="BV123" s="25">
        <v>56</v>
      </c>
      <c r="BW123" s="97"/>
      <c r="BX123" s="1504">
        <v>38200</v>
      </c>
      <c r="BY123" s="19"/>
      <c r="BZ123" s="99">
        <v>664.95699999999999</v>
      </c>
      <c r="CA123" s="93"/>
      <c r="CB123" s="93"/>
      <c r="CC123" s="93"/>
      <c r="CD123" s="25">
        <v>56</v>
      </c>
      <c r="CE123" s="97"/>
      <c r="CF123" s="1504">
        <v>38200</v>
      </c>
      <c r="CG123" s="19">
        <v>1.1949541450000001</v>
      </c>
      <c r="CH123" s="93">
        <v>400.51</v>
      </c>
      <c r="CI123" s="219"/>
      <c r="CJ123" s="20"/>
      <c r="CK123" s="19"/>
      <c r="CL123" s="93"/>
      <c r="CM123" s="93"/>
      <c r="CN123" s="93"/>
      <c r="CO123" s="93"/>
      <c r="CP123" s="20"/>
      <c r="CQ123" s="219">
        <v>1234.5899999999999</v>
      </c>
      <c r="CR123" s="93">
        <v>1.5740000000000001</v>
      </c>
      <c r="CS123" s="93"/>
      <c r="CT123" s="93"/>
      <c r="CU123" s="93"/>
      <c r="CV123" s="214"/>
      <c r="CW123" s="29">
        <v>56</v>
      </c>
      <c r="CX123" s="41">
        <f t="shared" si="188"/>
        <v>2004</v>
      </c>
      <c r="CY123" s="1504">
        <v>38200</v>
      </c>
      <c r="CZ123" s="1916">
        <v>36.742086</v>
      </c>
      <c r="DA123" s="1526">
        <v>23.766929000000001</v>
      </c>
      <c r="DB123" s="1526">
        <v>12.975156999999999</v>
      </c>
      <c r="DC123" s="182">
        <f t="shared" si="189"/>
        <v>234860</v>
      </c>
      <c r="DD123" s="182"/>
      <c r="DE123" s="290"/>
      <c r="DF123" s="29">
        <v>56</v>
      </c>
      <c r="DG123" s="1504">
        <v>38200</v>
      </c>
      <c r="DH123" s="19"/>
      <c r="DI123" s="93"/>
      <c r="DJ123" s="93"/>
      <c r="DK123" s="93"/>
      <c r="DL123" s="93"/>
      <c r="DM123" s="93"/>
      <c r="DN123" s="20"/>
      <c r="DO123" s="25"/>
      <c r="DP123" s="29">
        <v>56</v>
      </c>
      <c r="DQ123" s="1504">
        <v>38200</v>
      </c>
      <c r="DR123" s="19"/>
      <c r="DS123" s="93"/>
      <c r="DT123" s="93"/>
      <c r="DU123" s="93"/>
      <c r="DV123" s="93"/>
      <c r="DW123" s="93"/>
      <c r="DX123" s="20"/>
      <c r="DY123" s="29">
        <v>56</v>
      </c>
      <c r="DZ123" s="1504">
        <v>38200</v>
      </c>
      <c r="EA123" s="19"/>
      <c r="EB123" s="93"/>
      <c r="EC123" s="20"/>
      <c r="ED123" s="29">
        <v>56</v>
      </c>
      <c r="EE123" s="1504">
        <v>38200</v>
      </c>
      <c r="EF123" s="19"/>
      <c r="EG123" s="93"/>
      <c r="EH123" s="93"/>
      <c r="EI123" s="214"/>
      <c r="EJ123" s="93"/>
      <c r="EK123" s="93"/>
      <c r="EL123" s="93"/>
      <c r="EM123" s="93"/>
      <c r="EN123" s="20"/>
      <c r="EO123" s="29">
        <v>56</v>
      </c>
      <c r="EP123" s="1504">
        <v>38200</v>
      </c>
      <c r="EQ123" s="19"/>
      <c r="ER123" s="93"/>
      <c r="ES123" s="93"/>
      <c r="ET123" s="214"/>
      <c r="EU123" s="93"/>
      <c r="EV123" s="93"/>
      <c r="EW123" s="93"/>
      <c r="EX123" s="93"/>
      <c r="EY123" s="20"/>
      <c r="EZ123" s="29">
        <v>56</v>
      </c>
      <c r="FA123" s="1504">
        <v>38200</v>
      </c>
      <c r="FB123" s="29"/>
      <c r="FC123" s="29"/>
      <c r="FD123" s="29"/>
      <c r="FE123" s="29"/>
      <c r="FF123" s="29"/>
      <c r="FG123" s="29"/>
      <c r="FH123" s="29"/>
      <c r="FI123" s="29"/>
      <c r="FJ123" s="29"/>
      <c r="FK123" s="29">
        <v>56</v>
      </c>
      <c r="FL123" s="1504">
        <v>38200</v>
      </c>
      <c r="FM123" s="19"/>
      <c r="FN123" s="93"/>
      <c r="FO123" s="93"/>
      <c r="FP123" s="93"/>
      <c r="FQ123" s="93"/>
      <c r="FR123" s="93"/>
      <c r="FS123" s="93"/>
      <c r="FT123" s="93"/>
      <c r="FU123" s="93"/>
      <c r="FV123" s="93"/>
      <c r="FW123" s="93"/>
      <c r="FX123" s="93"/>
      <c r="FY123" s="93"/>
      <c r="FZ123" s="29">
        <v>56</v>
      </c>
      <c r="GA123" s="1504">
        <v>38200</v>
      </c>
      <c r="GB123" s="19"/>
      <c r="GC123" s="93"/>
      <c r="GD123" s="93"/>
      <c r="GE123" s="93"/>
      <c r="GF123" s="93"/>
      <c r="GG123" s="93"/>
      <c r="GH123" s="93"/>
      <c r="GI123" s="93"/>
      <c r="GJ123" s="93"/>
      <c r="GK123" s="93"/>
      <c r="GL123" s="93"/>
      <c r="GM123" s="93"/>
      <c r="GN123" s="20"/>
      <c r="GO123" s="29">
        <v>56</v>
      </c>
      <c r="GP123" s="1504">
        <v>38200</v>
      </c>
      <c r="GQ123" s="19"/>
      <c r="GR123" s="93"/>
      <c r="GS123" s="93"/>
      <c r="GT123" s="93"/>
      <c r="GU123" s="93"/>
      <c r="GV123" s="20"/>
      <c r="GW123" s="19"/>
      <c r="GX123" s="93"/>
      <c r="GY123" s="93"/>
      <c r="GZ123" s="93"/>
      <c r="HA123" s="93"/>
      <c r="HB123" s="20"/>
      <c r="HC123" s="19"/>
      <c r="HD123" s="93"/>
      <c r="HE123" s="93"/>
      <c r="HF123" s="93"/>
      <c r="HG123" s="93"/>
      <c r="HH123" s="20"/>
      <c r="HI123" s="19"/>
      <c r="HJ123" s="93"/>
      <c r="HK123" s="93"/>
      <c r="HL123" s="93"/>
      <c r="HM123" s="93"/>
      <c r="HN123" s="20"/>
      <c r="HO123" s="219"/>
      <c r="HP123" s="20"/>
      <c r="HQ123" s="25"/>
      <c r="HR123" s="29">
        <v>56</v>
      </c>
      <c r="HS123" s="1504">
        <v>38200</v>
      </c>
      <c r="HT123" s="19"/>
      <c r="HU123" s="93"/>
      <c r="HV123" s="93"/>
      <c r="HW123" s="93"/>
      <c r="HX123" s="93"/>
      <c r="HY123" s="93"/>
      <c r="HZ123" s="93"/>
      <c r="IA123" s="20"/>
      <c r="IB123" s="19"/>
      <c r="IC123" s="93"/>
      <c r="ID123" s="93"/>
      <c r="IE123" s="93"/>
      <c r="IF123" s="93"/>
      <c r="IG123" s="20"/>
      <c r="IH123" s="19"/>
      <c r="II123" s="93"/>
      <c r="IJ123" s="93"/>
      <c r="IK123" s="93"/>
      <c r="IL123" s="93"/>
      <c r="IM123" s="93"/>
      <c r="IN123" s="93"/>
      <c r="IO123" s="20"/>
      <c r="IP123" s="29">
        <v>56</v>
      </c>
      <c r="IQ123" s="19"/>
      <c r="IR123" s="93"/>
      <c r="IS123" s="93"/>
      <c r="IT123" s="93"/>
      <c r="IU123" s="93"/>
      <c r="IV123" s="20"/>
      <c r="IW123" s="29">
        <v>56</v>
      </c>
      <c r="IX123" s="19"/>
      <c r="IY123" s="93"/>
      <c r="IZ123" s="93"/>
      <c r="JA123" s="93"/>
      <c r="JB123" s="93"/>
      <c r="JC123" s="93"/>
      <c r="JD123" s="93"/>
      <c r="JE123" s="20"/>
      <c r="JF123" s="29">
        <v>56</v>
      </c>
      <c r="JG123" s="19"/>
      <c r="JH123" s="93"/>
      <c r="JI123" s="93"/>
      <c r="JJ123" s="93"/>
      <c r="JK123" s="93"/>
      <c r="JL123" s="93"/>
      <c r="JM123" s="93"/>
      <c r="JN123" s="20"/>
      <c r="JO123" s="29">
        <v>56</v>
      </c>
      <c r="JP123" s="19"/>
      <c r="JQ123" s="93"/>
      <c r="JR123" s="93"/>
      <c r="JS123" s="93"/>
      <c r="JT123" s="93"/>
      <c r="JU123" s="20"/>
      <c r="JV123" s="29">
        <v>56</v>
      </c>
      <c r="JW123" s="1504">
        <v>38200</v>
      </c>
      <c r="JX123" s="19"/>
      <c r="JY123" s="93"/>
      <c r="JZ123" s="93"/>
      <c r="KA123" s="93"/>
      <c r="KB123" s="93"/>
      <c r="KC123" s="93"/>
      <c r="KD123" s="20"/>
      <c r="KE123" s="29">
        <v>56</v>
      </c>
      <c r="KF123" s="19"/>
      <c r="KG123" s="93"/>
      <c r="KH123" s="93"/>
      <c r="KI123" s="93"/>
      <c r="KJ123" s="93"/>
      <c r="KK123" s="20"/>
      <c r="KL123" s="29">
        <v>56</v>
      </c>
      <c r="KM123" s="19"/>
      <c r="KN123" s="93"/>
      <c r="KO123" s="93"/>
      <c r="KP123" s="93"/>
      <c r="KQ123" s="93"/>
      <c r="KR123" s="20"/>
      <c r="KS123" s="29">
        <v>56</v>
      </c>
      <c r="KT123" s="19"/>
      <c r="KU123" s="93"/>
      <c r="KV123" s="93"/>
      <c r="KW123" s="93"/>
      <c r="KX123" s="93"/>
      <c r="KY123" s="20"/>
      <c r="KZ123" s="29">
        <v>56</v>
      </c>
      <c r="LA123" s="1504">
        <v>38200</v>
      </c>
      <c r="LB123" s="19"/>
      <c r="LC123" s="93"/>
      <c r="LD123" s="93"/>
      <c r="LE123" s="93"/>
      <c r="LF123" s="93"/>
      <c r="LG123" s="93"/>
      <c r="LH123" s="20"/>
      <c r="LI123" s="29">
        <v>56</v>
      </c>
      <c r="LJ123" s="19"/>
      <c r="LK123" s="93"/>
      <c r="LL123" s="93"/>
      <c r="LM123" s="93"/>
      <c r="LN123" s="93"/>
      <c r="LO123" s="20"/>
      <c r="LP123" s="29">
        <v>56</v>
      </c>
      <c r="LQ123" s="19"/>
      <c r="LR123" s="93"/>
      <c r="LS123" s="93"/>
      <c r="LT123" s="93"/>
      <c r="LU123" s="93"/>
      <c r="LV123" s="93"/>
      <c r="LW123" s="93"/>
      <c r="LX123" s="93"/>
      <c r="LY123" s="93"/>
      <c r="LZ123" s="93"/>
      <c r="MA123" s="20"/>
      <c r="MB123" s="29">
        <v>56</v>
      </c>
      <c r="MC123" s="1504">
        <v>38200</v>
      </c>
      <c r="MD123" s="19"/>
      <c r="ME123" s="93"/>
      <c r="MF123" s="93"/>
      <c r="MG123" s="93"/>
      <c r="MH123" s="93"/>
      <c r="MI123" s="93"/>
      <c r="MJ123" s="93"/>
      <c r="MK123" s="93"/>
      <c r="ML123" s="93"/>
      <c r="MM123" s="93"/>
      <c r="MN123" s="93"/>
      <c r="MO123" s="93"/>
      <c r="MP123" s="93"/>
      <c r="MQ123" s="93"/>
      <c r="MR123" s="93"/>
      <c r="MS123" s="93"/>
      <c r="MT123" s="93"/>
      <c r="MU123" s="93"/>
      <c r="MV123" s="93"/>
      <c r="MW123" s="93"/>
      <c r="MX123" s="93"/>
      <c r="MY123" s="93"/>
      <c r="MZ123" s="93"/>
      <c r="NA123" s="93"/>
      <c r="NB123" s="93"/>
      <c r="NC123" s="93"/>
      <c r="ND123" s="93"/>
      <c r="NE123" s="93"/>
      <c r="NF123" s="93"/>
      <c r="NG123" s="93"/>
      <c r="NH123" s="93"/>
      <c r="NI123" s="93"/>
      <c r="NJ123" s="93"/>
      <c r="NK123" s="93"/>
      <c r="NL123" s="93"/>
      <c r="NM123" s="93"/>
      <c r="NN123" s="93"/>
      <c r="NO123" s="93"/>
      <c r="NP123" s="93"/>
      <c r="NQ123" s="93"/>
      <c r="NR123" s="93"/>
      <c r="NS123" s="93"/>
      <c r="NT123" s="93"/>
      <c r="NU123" s="93"/>
      <c r="NV123" s="93"/>
      <c r="NW123" s="93"/>
      <c r="NX123" s="93"/>
      <c r="NY123" s="93"/>
      <c r="NZ123" s="93"/>
      <c r="OA123" s="93"/>
      <c r="OB123" s="93"/>
      <c r="OC123" s="93"/>
      <c r="OD123" s="20"/>
      <c r="OE123" s="29">
        <v>56</v>
      </c>
      <c r="OF123" s="1504">
        <v>38200</v>
      </c>
      <c r="OG123" s="19"/>
      <c r="OH123" s="93">
        <v>201.19839999999999</v>
      </c>
      <c r="OI123" s="93">
        <v>233.14487901909303</v>
      </c>
      <c r="OJ123" s="93">
        <v>0.74121897300000006</v>
      </c>
      <c r="OK123" s="93">
        <v>187.34326004609301</v>
      </c>
      <c r="OL123" s="93">
        <v>45.060400000000001</v>
      </c>
      <c r="OM123" s="93">
        <v>434.34327901909302</v>
      </c>
      <c r="ON123" s="93">
        <v>189.44780949742383</v>
      </c>
      <c r="OO123" s="93">
        <v>623.79108851651688</v>
      </c>
      <c r="OP123" s="93"/>
      <c r="OQ123" s="93">
        <v>359.09766292068292</v>
      </c>
      <c r="OR123" s="93">
        <v>282.93788411000003</v>
      </c>
      <c r="OS123" s="93">
        <v>76.159778810682937</v>
      </c>
      <c r="OT123" s="93">
        <v>317.70018282183383</v>
      </c>
      <c r="OU123" s="93">
        <v>-61.839052783000014</v>
      </c>
      <c r="OV123" s="93">
        <v>2.2589472169999993</v>
      </c>
      <c r="OW123" s="93">
        <v>-64.098000000000013</v>
      </c>
      <c r="OX123" s="93">
        <v>379.53923560483383</v>
      </c>
      <c r="OY123" s="93">
        <v>2.5379448720000002</v>
      </c>
      <c r="OZ123" s="93">
        <v>377.00129073283387</v>
      </c>
      <c r="PA123" s="93">
        <v>89.464929808000008</v>
      </c>
      <c r="PB123" s="93">
        <v>-36.458172582000003</v>
      </c>
      <c r="PC123" s="20">
        <v>623.79108851651677</v>
      </c>
      <c r="PD123" s="29">
        <v>56</v>
      </c>
      <c r="PE123" s="19"/>
      <c r="PF123" s="93">
        <v>282.93788411000003</v>
      </c>
      <c r="PG123" s="93">
        <v>499.842899794</v>
      </c>
      <c r="PH123" s="93">
        <v>216.90501568399998</v>
      </c>
      <c r="PI123" s="93">
        <v>1.127</v>
      </c>
      <c r="PJ123" s="93">
        <v>2.2589472169999993</v>
      </c>
      <c r="PK123" s="93">
        <v>98.091354420000002</v>
      </c>
      <c r="PL123" s="93">
        <v>95.832407203000002</v>
      </c>
      <c r="PM123" s="93">
        <v>2.5379448720000002</v>
      </c>
      <c r="PN123" s="93">
        <v>0</v>
      </c>
      <c r="PO123" s="93">
        <v>0</v>
      </c>
      <c r="PP123" s="93">
        <v>7.5990499999999996E-4</v>
      </c>
      <c r="PQ123" s="93">
        <v>2.5371849670000004</v>
      </c>
      <c r="PR123" s="93">
        <v>288.919573329</v>
      </c>
      <c r="PS123" s="93">
        <v>216.6054</v>
      </c>
      <c r="PT123" s="93">
        <v>71.572954355999997</v>
      </c>
      <c r="PU123" s="93">
        <v>0.74121897300000006</v>
      </c>
      <c r="PV123" s="93">
        <v>0</v>
      </c>
      <c r="PW123" s="93">
        <v>3.2086925019999999</v>
      </c>
      <c r="PX123" s="93">
        <v>0</v>
      </c>
      <c r="PY123" s="93">
        <v>0</v>
      </c>
      <c r="PZ123" s="93">
        <v>3.2086925019999999</v>
      </c>
      <c r="QA123" s="93">
        <v>0</v>
      </c>
      <c r="QB123" s="93">
        <v>0</v>
      </c>
      <c r="QC123" s="93">
        <v>0</v>
      </c>
      <c r="QD123" s="93">
        <v>-2.472762694</v>
      </c>
      <c r="QE123" s="20">
        <v>-0.79372693800000893</v>
      </c>
      <c r="QF123" s="1739">
        <v>56</v>
      </c>
      <c r="QG123" s="19"/>
      <c r="QH123" s="1035">
        <v>76.159778810682937</v>
      </c>
      <c r="QI123" s="1035">
        <v>140.8597092671661</v>
      </c>
      <c r="QJ123" s="1035">
        <v>-64.699930456483159</v>
      </c>
      <c r="QK123" s="1035">
        <v>79.944999999999993</v>
      </c>
      <c r="QL123" s="1035">
        <v>15.407</v>
      </c>
      <c r="QM123" s="1035">
        <v>64.537999999999997</v>
      </c>
      <c r="QN123" s="1035">
        <v>0</v>
      </c>
      <c r="QO123" s="1035">
        <v>-64.098000000000013</v>
      </c>
      <c r="QP123" s="1035">
        <v>26.436</v>
      </c>
      <c r="QQ123" s="1035">
        <v>-90.534000000000006</v>
      </c>
      <c r="QR123" s="1035">
        <v>377.00129073283387</v>
      </c>
      <c r="QS123" s="1035">
        <v>6.5848427871841029</v>
      </c>
      <c r="QT123" s="1035">
        <v>0</v>
      </c>
      <c r="QU123" s="1035">
        <v>37.389000000000003</v>
      </c>
      <c r="QV123" s="1035">
        <v>333.02744794564978</v>
      </c>
      <c r="QW123" s="93"/>
      <c r="QX123" s="93">
        <v>0.18</v>
      </c>
      <c r="QY123" s="93">
        <v>187.34326004609304</v>
      </c>
      <c r="QZ123" s="93">
        <v>189.44780949742383</v>
      </c>
      <c r="RA123" s="93">
        <v>0</v>
      </c>
      <c r="RB123" s="93">
        <v>15.629999999999999</v>
      </c>
      <c r="RC123" s="93">
        <v>0</v>
      </c>
      <c r="RD123" s="93">
        <v>6.3810000000000002</v>
      </c>
      <c r="RE123" s="93">
        <v>0</v>
      </c>
      <c r="RF123" s="93">
        <v>0</v>
      </c>
      <c r="RG123" s="93">
        <v>66.718000000000004</v>
      </c>
      <c r="RH123" s="93">
        <v>3.3080000000000069</v>
      </c>
      <c r="RI123" s="93"/>
      <c r="RJ123" s="93"/>
      <c r="RK123" s="93"/>
      <c r="RL123" s="93"/>
      <c r="RM123" s="20"/>
      <c r="RN123" s="29">
        <v>56</v>
      </c>
      <c r="RO123" s="19"/>
      <c r="RP123" s="20"/>
      <c r="RQ123" s="29">
        <v>56</v>
      </c>
      <c r="RR123" s="20"/>
      <c r="RS123" s="29">
        <v>56</v>
      </c>
      <c r="RT123" s="1504">
        <v>38200</v>
      </c>
      <c r="RU123" s="19"/>
      <c r="RV123" s="20"/>
      <c r="RW123" s="29">
        <v>56</v>
      </c>
      <c r="RX123" s="1504">
        <v>38200</v>
      </c>
      <c r="RY123" s="29"/>
      <c r="RZ123" s="20"/>
      <c r="SA123" s="29"/>
      <c r="SB123" s="29">
        <v>56</v>
      </c>
    </row>
    <row r="124" spans="1:496">
      <c r="A124" s="41">
        <f t="shared" si="187"/>
        <v>2004</v>
      </c>
      <c r="B124" s="1504">
        <v>38231</v>
      </c>
      <c r="C124" s="1813"/>
      <c r="D124" s="1814"/>
      <c r="E124" s="1814"/>
      <c r="F124" s="1815"/>
      <c r="G124" s="1814"/>
      <c r="H124" s="1814"/>
      <c r="I124" s="1814"/>
      <c r="J124" s="1816"/>
      <c r="K124" s="1807"/>
      <c r="L124" s="25">
        <v>57</v>
      </c>
      <c r="M124" s="97"/>
      <c r="N124" s="1504">
        <v>38231</v>
      </c>
      <c r="O124" s="19"/>
      <c r="P124" s="93"/>
      <c r="Q124" s="93"/>
      <c r="R124" s="93"/>
      <c r="S124" s="93"/>
      <c r="T124" s="93"/>
      <c r="U124" s="93"/>
      <c r="V124" s="93"/>
      <c r="W124" s="93"/>
      <c r="X124" s="93"/>
      <c r="Y124" s="93"/>
      <c r="Z124" s="93"/>
      <c r="AA124" s="93"/>
      <c r="AB124" s="20"/>
      <c r="AC124" s="25">
        <v>57</v>
      </c>
      <c r="AD124" s="97"/>
      <c r="AE124" s="1504">
        <v>38231</v>
      </c>
      <c r="AF124" s="19"/>
      <c r="AG124" s="93"/>
      <c r="AH124" s="93"/>
      <c r="AI124" s="93"/>
      <c r="AJ124" s="93"/>
      <c r="AK124" s="93"/>
      <c r="AL124" s="93"/>
      <c r="AM124" s="93"/>
      <c r="AN124" s="93"/>
      <c r="AO124" s="93"/>
      <c r="AP124" s="93"/>
      <c r="AQ124" s="93"/>
      <c r="AR124" s="93"/>
      <c r="AS124" s="20"/>
      <c r="AT124" s="25">
        <v>57</v>
      </c>
      <c r="AU124" s="97"/>
      <c r="AV124" s="1504">
        <v>38231</v>
      </c>
      <c r="AW124" s="19"/>
      <c r="AX124" s="93"/>
      <c r="AY124" s="93"/>
      <c r="AZ124" s="93"/>
      <c r="BA124" s="93"/>
      <c r="BB124" s="93"/>
      <c r="BC124" s="93"/>
      <c r="BD124" s="93"/>
      <c r="BE124" s="93"/>
      <c r="BF124" s="93"/>
      <c r="BG124" s="93"/>
      <c r="BH124" s="93"/>
      <c r="BI124" s="93"/>
      <c r="BJ124" s="20"/>
      <c r="BK124" s="25">
        <v>57</v>
      </c>
      <c r="BL124" s="97"/>
      <c r="BM124" s="1504">
        <v>38231</v>
      </c>
      <c r="BN124" s="19"/>
      <c r="BO124" s="93"/>
      <c r="BP124" s="93"/>
      <c r="BQ124" s="93"/>
      <c r="BR124" s="93"/>
      <c r="BS124" s="93"/>
      <c r="BT124" s="93"/>
      <c r="BU124" s="20"/>
      <c r="BV124" s="25">
        <v>57</v>
      </c>
      <c r="BW124" s="97"/>
      <c r="BX124" s="1504">
        <v>38231</v>
      </c>
      <c r="BY124" s="19"/>
      <c r="BZ124" s="99">
        <v>664.95699999999999</v>
      </c>
      <c r="CA124" s="93"/>
      <c r="CB124" s="93"/>
      <c r="CC124" s="93"/>
      <c r="CD124" s="25">
        <v>57</v>
      </c>
      <c r="CE124" s="97"/>
      <c r="CF124" s="1504">
        <v>38231</v>
      </c>
      <c r="CG124" s="19">
        <v>1.2409505350000001</v>
      </c>
      <c r="CH124" s="93">
        <v>405.27499999999998</v>
      </c>
      <c r="CI124" s="219"/>
      <c r="CJ124" s="20"/>
      <c r="CK124" s="19"/>
      <c r="CL124" s="93"/>
      <c r="CM124" s="93"/>
      <c r="CN124" s="93"/>
      <c r="CO124" s="93"/>
      <c r="CP124" s="20"/>
      <c r="CQ124" s="219">
        <v>1213.5899999999999</v>
      </c>
      <c r="CR124" s="93">
        <v>1.635</v>
      </c>
      <c r="CS124" s="93"/>
      <c r="CT124" s="93"/>
      <c r="CU124" s="93"/>
      <c r="CV124" s="214"/>
      <c r="CW124" s="29">
        <v>57</v>
      </c>
      <c r="CX124" s="41">
        <f t="shared" si="188"/>
        <v>2004</v>
      </c>
      <c r="CY124" s="1504">
        <v>38231</v>
      </c>
      <c r="CZ124" s="1916">
        <v>36.334306999999995</v>
      </c>
      <c r="DA124" s="1526">
        <v>24.739281999999999</v>
      </c>
      <c r="DB124" s="1526">
        <v>11.595025</v>
      </c>
      <c r="DC124" s="182">
        <f t="shared" si="189"/>
        <v>234860</v>
      </c>
      <c r="DD124" s="182"/>
      <c r="DE124" s="290"/>
      <c r="DF124" s="29">
        <v>57</v>
      </c>
      <c r="DG124" s="1504">
        <v>38231</v>
      </c>
      <c r="DH124" s="19"/>
      <c r="DI124" s="93"/>
      <c r="DJ124" s="93"/>
      <c r="DK124" s="93"/>
      <c r="DL124" s="93"/>
      <c r="DM124" s="93"/>
      <c r="DN124" s="20"/>
      <c r="DO124" s="25"/>
      <c r="DP124" s="29">
        <v>57</v>
      </c>
      <c r="DQ124" s="1504">
        <v>38231</v>
      </c>
      <c r="DR124" s="19"/>
      <c r="DS124" s="93"/>
      <c r="DT124" s="93"/>
      <c r="DU124" s="93"/>
      <c r="DV124" s="93"/>
      <c r="DW124" s="93"/>
      <c r="DX124" s="20"/>
      <c r="DY124" s="29">
        <v>57</v>
      </c>
      <c r="DZ124" s="1504">
        <v>38231</v>
      </c>
      <c r="EA124" s="19"/>
      <c r="EB124" s="93"/>
      <c r="EC124" s="20"/>
      <c r="ED124" s="29">
        <v>57</v>
      </c>
      <c r="EE124" s="1504">
        <v>38231</v>
      </c>
      <c r="EF124" s="19"/>
      <c r="EG124" s="93"/>
      <c r="EH124" s="93"/>
      <c r="EI124" s="214"/>
      <c r="EJ124" s="93"/>
      <c r="EK124" s="93"/>
      <c r="EL124" s="93"/>
      <c r="EM124" s="93"/>
      <c r="EN124" s="20"/>
      <c r="EO124" s="29">
        <v>57</v>
      </c>
      <c r="EP124" s="1504">
        <v>38231</v>
      </c>
      <c r="EQ124" s="19"/>
      <c r="ER124" s="93"/>
      <c r="ES124" s="93"/>
      <c r="ET124" s="214"/>
      <c r="EU124" s="93"/>
      <c r="EV124" s="93"/>
      <c r="EW124" s="93"/>
      <c r="EX124" s="93"/>
      <c r="EY124" s="20"/>
      <c r="EZ124" s="29">
        <v>57</v>
      </c>
      <c r="FA124" s="1504">
        <v>38231</v>
      </c>
      <c r="FB124" s="29"/>
      <c r="FC124" s="29"/>
      <c r="FD124" s="29"/>
      <c r="FE124" s="29"/>
      <c r="FF124" s="29"/>
      <c r="FG124" s="29"/>
      <c r="FH124" s="29"/>
      <c r="FI124" s="29"/>
      <c r="FJ124" s="29"/>
      <c r="FK124" s="29">
        <v>57</v>
      </c>
      <c r="FL124" s="1504">
        <v>38231</v>
      </c>
      <c r="FM124" s="19"/>
      <c r="FN124" s="93"/>
      <c r="FO124" s="93"/>
      <c r="FP124" s="93"/>
      <c r="FQ124" s="93"/>
      <c r="FR124" s="93"/>
      <c r="FS124" s="93"/>
      <c r="FT124" s="93"/>
      <c r="FU124" s="93"/>
      <c r="FV124" s="93"/>
      <c r="FW124" s="93"/>
      <c r="FX124" s="93"/>
      <c r="FY124" s="93"/>
      <c r="FZ124" s="29">
        <v>57</v>
      </c>
      <c r="GA124" s="1504">
        <v>38231</v>
      </c>
      <c r="GB124" s="19"/>
      <c r="GC124" s="93"/>
      <c r="GD124" s="93"/>
      <c r="GE124" s="93"/>
      <c r="GF124" s="93"/>
      <c r="GG124" s="93"/>
      <c r="GH124" s="93"/>
      <c r="GI124" s="93"/>
      <c r="GJ124" s="93"/>
      <c r="GK124" s="93"/>
      <c r="GL124" s="93"/>
      <c r="GM124" s="93"/>
      <c r="GN124" s="20"/>
      <c r="GO124" s="29">
        <v>57</v>
      </c>
      <c r="GP124" s="1504">
        <v>38231</v>
      </c>
      <c r="GQ124" s="19"/>
      <c r="GR124" s="93"/>
      <c r="GS124" s="93"/>
      <c r="GT124" s="93"/>
      <c r="GU124" s="93"/>
      <c r="GV124" s="20"/>
      <c r="GW124" s="19"/>
      <c r="GX124" s="93"/>
      <c r="GY124" s="93"/>
      <c r="GZ124" s="93"/>
      <c r="HA124" s="93"/>
      <c r="HB124" s="20"/>
      <c r="HC124" s="19"/>
      <c r="HD124" s="93"/>
      <c r="HE124" s="93"/>
      <c r="HF124" s="93"/>
      <c r="HG124" s="93"/>
      <c r="HH124" s="20"/>
      <c r="HI124" s="19"/>
      <c r="HJ124" s="93"/>
      <c r="HK124" s="93"/>
      <c r="HL124" s="93"/>
      <c r="HM124" s="93"/>
      <c r="HN124" s="20"/>
      <c r="HO124" s="219"/>
      <c r="HP124" s="20"/>
      <c r="HQ124" s="25"/>
      <c r="HR124" s="29">
        <v>57</v>
      </c>
      <c r="HS124" s="1504">
        <v>38231</v>
      </c>
      <c r="HT124" s="19"/>
      <c r="HU124" s="93"/>
      <c r="HV124" s="93"/>
      <c r="HW124" s="93"/>
      <c r="HX124" s="93"/>
      <c r="HY124" s="93"/>
      <c r="HZ124" s="93"/>
      <c r="IA124" s="20"/>
      <c r="IB124" s="19"/>
      <c r="IC124" s="93"/>
      <c r="ID124" s="93"/>
      <c r="IE124" s="93"/>
      <c r="IF124" s="93"/>
      <c r="IG124" s="20"/>
      <c r="IH124" s="19"/>
      <c r="II124" s="93"/>
      <c r="IJ124" s="93"/>
      <c r="IK124" s="93"/>
      <c r="IL124" s="93"/>
      <c r="IM124" s="93"/>
      <c r="IN124" s="93"/>
      <c r="IO124" s="20"/>
      <c r="IP124" s="29">
        <v>57</v>
      </c>
      <c r="IQ124" s="19"/>
      <c r="IR124" s="93"/>
      <c r="IS124" s="93"/>
      <c r="IT124" s="93"/>
      <c r="IU124" s="93"/>
      <c r="IV124" s="20"/>
      <c r="IW124" s="29">
        <v>57</v>
      </c>
      <c r="IX124" s="19"/>
      <c r="IY124" s="93"/>
      <c r="IZ124" s="93"/>
      <c r="JA124" s="93"/>
      <c r="JB124" s="93"/>
      <c r="JC124" s="93"/>
      <c r="JD124" s="93"/>
      <c r="JE124" s="20"/>
      <c r="JF124" s="29">
        <v>57</v>
      </c>
      <c r="JG124" s="19"/>
      <c r="JH124" s="93"/>
      <c r="JI124" s="93"/>
      <c r="JJ124" s="93"/>
      <c r="JK124" s="93"/>
      <c r="JL124" s="93"/>
      <c r="JM124" s="93"/>
      <c r="JN124" s="20"/>
      <c r="JO124" s="29">
        <v>57</v>
      </c>
      <c r="JP124" s="19"/>
      <c r="JQ124" s="93"/>
      <c r="JR124" s="93"/>
      <c r="JS124" s="93"/>
      <c r="JT124" s="93"/>
      <c r="JU124" s="20"/>
      <c r="JV124" s="29">
        <v>57</v>
      </c>
      <c r="JW124" s="1504">
        <v>38231</v>
      </c>
      <c r="JX124" s="19"/>
      <c r="JY124" s="93"/>
      <c r="JZ124" s="93"/>
      <c r="KA124" s="93"/>
      <c r="KB124" s="93"/>
      <c r="KC124" s="93"/>
      <c r="KD124" s="20"/>
      <c r="KE124" s="29">
        <v>57</v>
      </c>
      <c r="KF124" s="19"/>
      <c r="KG124" s="93"/>
      <c r="KH124" s="93"/>
      <c r="KI124" s="93"/>
      <c r="KJ124" s="93"/>
      <c r="KK124" s="20"/>
      <c r="KL124" s="29">
        <v>57</v>
      </c>
      <c r="KM124" s="19"/>
      <c r="KN124" s="93"/>
      <c r="KO124" s="93"/>
      <c r="KP124" s="93"/>
      <c r="KQ124" s="93"/>
      <c r="KR124" s="20"/>
      <c r="KS124" s="29">
        <v>57</v>
      </c>
      <c r="KT124" s="19"/>
      <c r="KU124" s="93"/>
      <c r="KV124" s="93"/>
      <c r="KW124" s="93"/>
      <c r="KX124" s="93"/>
      <c r="KY124" s="20"/>
      <c r="KZ124" s="29">
        <v>57</v>
      </c>
      <c r="LA124" s="1504">
        <v>38231</v>
      </c>
      <c r="LB124" s="19"/>
      <c r="LC124" s="93"/>
      <c r="LD124" s="93"/>
      <c r="LE124" s="93"/>
      <c r="LF124" s="93"/>
      <c r="LG124" s="93"/>
      <c r="LH124" s="20"/>
      <c r="LI124" s="29">
        <v>57</v>
      </c>
      <c r="LJ124" s="19"/>
      <c r="LK124" s="93"/>
      <c r="LL124" s="93"/>
      <c r="LM124" s="93"/>
      <c r="LN124" s="93"/>
      <c r="LO124" s="20"/>
      <c r="LP124" s="29">
        <v>57</v>
      </c>
      <c r="LQ124" s="19"/>
      <c r="LR124" s="93"/>
      <c r="LS124" s="93"/>
      <c r="LT124" s="93"/>
      <c r="LU124" s="93"/>
      <c r="LV124" s="93"/>
      <c r="LW124" s="93"/>
      <c r="LX124" s="93"/>
      <c r="LY124" s="93"/>
      <c r="LZ124" s="93"/>
      <c r="MA124" s="20"/>
      <c r="MB124" s="29">
        <v>57</v>
      </c>
      <c r="MC124" s="1504">
        <v>38231</v>
      </c>
      <c r="MD124" s="19"/>
      <c r="ME124" s="93"/>
      <c r="MF124" s="93"/>
      <c r="MG124" s="93"/>
      <c r="MH124" s="93"/>
      <c r="MI124" s="93"/>
      <c r="MJ124" s="93"/>
      <c r="MK124" s="93"/>
      <c r="ML124" s="93"/>
      <c r="MM124" s="93"/>
      <c r="MN124" s="93"/>
      <c r="MO124" s="93"/>
      <c r="MP124" s="93"/>
      <c r="MQ124" s="93"/>
      <c r="MR124" s="93"/>
      <c r="MS124" s="93"/>
      <c r="MT124" s="93"/>
      <c r="MU124" s="93"/>
      <c r="MV124" s="93"/>
      <c r="MW124" s="93"/>
      <c r="MX124" s="93"/>
      <c r="MY124" s="93"/>
      <c r="MZ124" s="93"/>
      <c r="NA124" s="93"/>
      <c r="NB124" s="93"/>
      <c r="NC124" s="93"/>
      <c r="ND124" s="93"/>
      <c r="NE124" s="93"/>
      <c r="NF124" s="93"/>
      <c r="NG124" s="93"/>
      <c r="NH124" s="93"/>
      <c r="NI124" s="93"/>
      <c r="NJ124" s="93"/>
      <c r="NK124" s="93"/>
      <c r="NL124" s="93"/>
      <c r="NM124" s="93"/>
      <c r="NN124" s="93"/>
      <c r="NO124" s="93"/>
      <c r="NP124" s="93"/>
      <c r="NQ124" s="93"/>
      <c r="NR124" s="93"/>
      <c r="NS124" s="93"/>
      <c r="NT124" s="93"/>
      <c r="NU124" s="93"/>
      <c r="NV124" s="93"/>
      <c r="NW124" s="93"/>
      <c r="NX124" s="93"/>
      <c r="NY124" s="93"/>
      <c r="NZ124" s="93"/>
      <c r="OA124" s="93"/>
      <c r="OB124" s="93"/>
      <c r="OC124" s="93"/>
      <c r="OD124" s="20"/>
      <c r="OE124" s="29">
        <v>57</v>
      </c>
      <c r="OF124" s="1504">
        <v>38231</v>
      </c>
      <c r="OG124" s="19"/>
      <c r="OH124" s="93">
        <v>172.12860000000001</v>
      </c>
      <c r="OI124" s="93">
        <v>213.58182319661418</v>
      </c>
      <c r="OJ124" s="93">
        <v>0.32210677300000001</v>
      </c>
      <c r="OK124" s="93">
        <v>168.32951642361417</v>
      </c>
      <c r="OL124" s="93">
        <v>44.930200000000006</v>
      </c>
      <c r="OM124" s="93">
        <v>385.71042319661422</v>
      </c>
      <c r="ON124" s="93">
        <v>169.10755957372123</v>
      </c>
      <c r="OO124" s="93">
        <v>554.81798277033545</v>
      </c>
      <c r="OP124" s="93"/>
      <c r="OQ124" s="93">
        <v>318.53494438806592</v>
      </c>
      <c r="OR124" s="93">
        <v>252.46628997199994</v>
      </c>
      <c r="OS124" s="93">
        <v>66.068654416065954</v>
      </c>
      <c r="OT124" s="93">
        <v>291.59162936026939</v>
      </c>
      <c r="OU124" s="93">
        <v>-33.61135504100001</v>
      </c>
      <c r="OV124" s="93">
        <v>12.570644958999992</v>
      </c>
      <c r="OW124" s="93">
        <v>-46.182000000000002</v>
      </c>
      <c r="OX124" s="93">
        <v>325.20298440126942</v>
      </c>
      <c r="OY124" s="93">
        <v>3.32956282</v>
      </c>
      <c r="OZ124" s="93">
        <v>321.87342158126944</v>
      </c>
      <c r="PA124" s="93">
        <v>82.899548347999996</v>
      </c>
      <c r="PB124" s="93">
        <v>-27.590957370000005</v>
      </c>
      <c r="PC124" s="20">
        <v>554.81798277033533</v>
      </c>
      <c r="PD124" s="29">
        <v>57</v>
      </c>
      <c r="PE124" s="19"/>
      <c r="PF124" s="93">
        <v>252.46628997199994</v>
      </c>
      <c r="PG124" s="93">
        <v>467.36421245799994</v>
      </c>
      <c r="PH124" s="93">
        <v>214.897922486</v>
      </c>
      <c r="PI124" s="93">
        <v>1.2470000000000001</v>
      </c>
      <c r="PJ124" s="93">
        <v>12.570644958999992</v>
      </c>
      <c r="PK124" s="93">
        <v>97.636532620999986</v>
      </c>
      <c r="PL124" s="93">
        <v>85.065887661999994</v>
      </c>
      <c r="PM124" s="93">
        <v>3.32956282</v>
      </c>
      <c r="PN124" s="93">
        <v>0</v>
      </c>
      <c r="PO124" s="93">
        <v>0</v>
      </c>
      <c r="PP124" s="93">
        <v>0.78056914700000002</v>
      </c>
      <c r="PQ124" s="93">
        <v>2.548993673</v>
      </c>
      <c r="PR124" s="93">
        <v>265.45683498400001</v>
      </c>
      <c r="PS124" s="93">
        <v>186.9736</v>
      </c>
      <c r="PT124" s="93">
        <v>78.161128211000005</v>
      </c>
      <c r="PU124" s="93">
        <v>0.32210677300000001</v>
      </c>
      <c r="PV124" s="93">
        <v>0</v>
      </c>
      <c r="PW124" s="93">
        <v>4.2664338290000003</v>
      </c>
      <c r="PX124" s="93">
        <v>0</v>
      </c>
      <c r="PY124" s="93">
        <v>0</v>
      </c>
      <c r="PZ124" s="93">
        <v>4.2664338290000003</v>
      </c>
      <c r="QA124" s="93">
        <v>0</v>
      </c>
      <c r="QB124" s="93">
        <v>0</v>
      </c>
      <c r="QC124" s="93">
        <v>0</v>
      </c>
      <c r="QD124" s="93">
        <v>-2.6938854810000001</v>
      </c>
      <c r="QE124" s="20">
        <v>2.5841144189999925</v>
      </c>
      <c r="QF124" s="1739">
        <v>57</v>
      </c>
      <c r="QG124" s="19"/>
      <c r="QH124" s="1035">
        <v>66.068654416065954</v>
      </c>
      <c r="QI124" s="1035">
        <v>133.20657841873052</v>
      </c>
      <c r="QJ124" s="1035">
        <v>-67.137924002664562</v>
      </c>
      <c r="QK124" s="1035">
        <v>82.304999999999993</v>
      </c>
      <c r="QL124" s="1035">
        <v>14.845000000000001</v>
      </c>
      <c r="QM124" s="1035">
        <v>67.459999999999994</v>
      </c>
      <c r="QN124" s="1035">
        <v>0</v>
      </c>
      <c r="QO124" s="1035">
        <v>-46.182000000000002</v>
      </c>
      <c r="QP124" s="1035">
        <v>15.288</v>
      </c>
      <c r="QQ124" s="1035">
        <v>-61.47</v>
      </c>
      <c r="QR124" s="1035">
        <v>321.87342158126944</v>
      </c>
      <c r="QS124" s="1035">
        <v>4.6498492777641793</v>
      </c>
      <c r="QT124" s="1035">
        <v>0</v>
      </c>
      <c r="QU124" s="1035">
        <v>27.489000000000001</v>
      </c>
      <c r="QV124" s="1035">
        <v>289.73457230350527</v>
      </c>
      <c r="QW124" s="93"/>
      <c r="QX124" s="93">
        <v>9.6000000000000002E-2</v>
      </c>
      <c r="QY124" s="93">
        <v>168.32951642361417</v>
      </c>
      <c r="QZ124" s="93">
        <v>169.10755957372123</v>
      </c>
      <c r="RA124" s="93">
        <v>0</v>
      </c>
      <c r="RB124" s="93">
        <v>14.958</v>
      </c>
      <c r="RC124" s="93">
        <v>0</v>
      </c>
      <c r="RD124" s="93">
        <v>3.7469999999999999</v>
      </c>
      <c r="RE124" s="93">
        <v>0</v>
      </c>
      <c r="RF124" s="93">
        <v>0</v>
      </c>
      <c r="RG124" s="93">
        <v>62.622000000000007</v>
      </c>
      <c r="RH124" s="93">
        <v>5.2049999999999983</v>
      </c>
      <c r="RI124" s="93"/>
      <c r="RJ124" s="93"/>
      <c r="RK124" s="93"/>
      <c r="RL124" s="93"/>
      <c r="RM124" s="20"/>
      <c r="RN124" s="29">
        <v>57</v>
      </c>
      <c r="RO124" s="19"/>
      <c r="RP124" s="20"/>
      <c r="RQ124" s="29">
        <v>57</v>
      </c>
      <c r="RR124" s="20"/>
      <c r="RS124" s="29">
        <v>57</v>
      </c>
      <c r="RT124" s="1504">
        <v>38231</v>
      </c>
      <c r="RU124" s="19"/>
      <c r="RV124" s="20"/>
      <c r="RW124" s="29">
        <v>57</v>
      </c>
      <c r="RX124" s="1504">
        <v>38231</v>
      </c>
      <c r="RY124" s="29"/>
      <c r="RZ124" s="20"/>
      <c r="SA124" s="29"/>
      <c r="SB124" s="29">
        <v>57</v>
      </c>
    </row>
    <row r="125" spans="1:496">
      <c r="A125" s="41">
        <f t="shared" si="187"/>
        <v>2004</v>
      </c>
      <c r="B125" s="1504">
        <v>38261</v>
      </c>
      <c r="C125" s="1813"/>
      <c r="D125" s="1814"/>
      <c r="E125" s="1814"/>
      <c r="F125" s="1815"/>
      <c r="G125" s="1814"/>
      <c r="H125" s="1814"/>
      <c r="I125" s="1814"/>
      <c r="J125" s="1816"/>
      <c r="K125" s="1807"/>
      <c r="L125" s="25">
        <v>58</v>
      </c>
      <c r="M125" s="97"/>
      <c r="N125" s="1504">
        <v>38261</v>
      </c>
      <c r="O125" s="19"/>
      <c r="P125" s="93"/>
      <c r="Q125" s="93"/>
      <c r="R125" s="93"/>
      <c r="S125" s="93"/>
      <c r="T125" s="93"/>
      <c r="U125" s="93"/>
      <c r="V125" s="93"/>
      <c r="W125" s="93"/>
      <c r="X125" s="93"/>
      <c r="Y125" s="93"/>
      <c r="Z125" s="93"/>
      <c r="AA125" s="93"/>
      <c r="AB125" s="20"/>
      <c r="AC125" s="25">
        <v>58</v>
      </c>
      <c r="AD125" s="97"/>
      <c r="AE125" s="1504">
        <v>38261</v>
      </c>
      <c r="AF125" s="19"/>
      <c r="AG125" s="93"/>
      <c r="AH125" s="93"/>
      <c r="AI125" s="93"/>
      <c r="AJ125" s="93"/>
      <c r="AK125" s="93"/>
      <c r="AL125" s="93"/>
      <c r="AM125" s="93"/>
      <c r="AN125" s="93"/>
      <c r="AO125" s="93"/>
      <c r="AP125" s="93"/>
      <c r="AQ125" s="93"/>
      <c r="AR125" s="93"/>
      <c r="AS125" s="20"/>
      <c r="AT125" s="25">
        <v>58</v>
      </c>
      <c r="AU125" s="97"/>
      <c r="AV125" s="1504">
        <v>38261</v>
      </c>
      <c r="AW125" s="19"/>
      <c r="AX125" s="93"/>
      <c r="AY125" s="93"/>
      <c r="AZ125" s="93"/>
      <c r="BA125" s="93"/>
      <c r="BB125" s="93"/>
      <c r="BC125" s="93"/>
      <c r="BD125" s="93"/>
      <c r="BE125" s="93"/>
      <c r="BF125" s="93"/>
      <c r="BG125" s="93"/>
      <c r="BH125" s="93"/>
      <c r="BI125" s="93"/>
      <c r="BJ125" s="20"/>
      <c r="BK125" s="25">
        <v>58</v>
      </c>
      <c r="BL125" s="97"/>
      <c r="BM125" s="1504">
        <v>38261</v>
      </c>
      <c r="BN125" s="19"/>
      <c r="BO125" s="93"/>
      <c r="BP125" s="93"/>
      <c r="BQ125" s="93"/>
      <c r="BR125" s="93"/>
      <c r="BS125" s="93"/>
      <c r="BT125" s="93"/>
      <c r="BU125" s="20"/>
      <c r="BV125" s="25">
        <v>58</v>
      </c>
      <c r="BW125" s="97"/>
      <c r="BX125" s="1504">
        <v>38261</v>
      </c>
      <c r="BY125" s="19"/>
      <c r="BZ125" s="99">
        <v>664.95699999999999</v>
      </c>
      <c r="CA125" s="93"/>
      <c r="CB125" s="93"/>
      <c r="CC125" s="93"/>
      <c r="CD125" s="25">
        <v>58</v>
      </c>
      <c r="CE125" s="97"/>
      <c r="CF125" s="1504">
        <v>38261</v>
      </c>
      <c r="CG125" s="19">
        <v>1.1585803009523801</v>
      </c>
      <c r="CH125" s="93">
        <v>420.464</v>
      </c>
      <c r="CI125" s="219"/>
      <c r="CJ125" s="20"/>
      <c r="CK125" s="19"/>
      <c r="CL125" s="93"/>
      <c r="CM125" s="93"/>
      <c r="CN125" s="93"/>
      <c r="CO125" s="93"/>
      <c r="CP125" s="20"/>
      <c r="CQ125" s="219">
        <v>1212.54</v>
      </c>
      <c r="CR125" s="93">
        <v>1.51</v>
      </c>
      <c r="CS125" s="93"/>
      <c r="CT125" s="93"/>
      <c r="CU125" s="93"/>
      <c r="CV125" s="214"/>
      <c r="CW125" s="29">
        <v>58</v>
      </c>
      <c r="CX125" s="41">
        <f t="shared" si="188"/>
        <v>2004</v>
      </c>
      <c r="CY125" s="1504">
        <v>38261</v>
      </c>
      <c r="CZ125" s="1916">
        <v>38.549239</v>
      </c>
      <c r="DA125" s="1526">
        <v>25.393948000000002</v>
      </c>
      <c r="DB125" s="1526">
        <v>13.155291</v>
      </c>
      <c r="DC125" s="182">
        <f t="shared" si="189"/>
        <v>234860</v>
      </c>
      <c r="DD125" s="182"/>
      <c r="DE125" s="290"/>
      <c r="DF125" s="29">
        <v>58</v>
      </c>
      <c r="DG125" s="1504">
        <v>38261</v>
      </c>
      <c r="DH125" s="19"/>
      <c r="DI125" s="93"/>
      <c r="DJ125" s="93"/>
      <c r="DK125" s="93"/>
      <c r="DL125" s="93"/>
      <c r="DM125" s="93"/>
      <c r="DN125" s="20"/>
      <c r="DO125" s="25"/>
      <c r="DP125" s="29">
        <v>58</v>
      </c>
      <c r="DQ125" s="1504">
        <v>38261</v>
      </c>
      <c r="DR125" s="19"/>
      <c r="DS125" s="93"/>
      <c r="DT125" s="93"/>
      <c r="DU125" s="93"/>
      <c r="DV125" s="93"/>
      <c r="DW125" s="93"/>
      <c r="DX125" s="20"/>
      <c r="DY125" s="29">
        <v>58</v>
      </c>
      <c r="DZ125" s="1504">
        <v>38261</v>
      </c>
      <c r="EA125" s="19"/>
      <c r="EB125" s="93"/>
      <c r="EC125" s="20"/>
      <c r="ED125" s="29">
        <v>58</v>
      </c>
      <c r="EE125" s="1504">
        <v>38261</v>
      </c>
      <c r="EF125" s="19"/>
      <c r="EG125" s="93"/>
      <c r="EH125" s="93"/>
      <c r="EI125" s="214"/>
      <c r="EJ125" s="93"/>
      <c r="EK125" s="93"/>
      <c r="EL125" s="93"/>
      <c r="EM125" s="93"/>
      <c r="EN125" s="20"/>
      <c r="EO125" s="29">
        <v>58</v>
      </c>
      <c r="EP125" s="1504">
        <v>38261</v>
      </c>
      <c r="EQ125" s="19"/>
      <c r="ER125" s="93"/>
      <c r="ES125" s="93"/>
      <c r="ET125" s="214"/>
      <c r="EU125" s="93"/>
      <c r="EV125" s="93"/>
      <c r="EW125" s="93"/>
      <c r="EX125" s="93"/>
      <c r="EY125" s="20"/>
      <c r="EZ125" s="29">
        <v>58</v>
      </c>
      <c r="FA125" s="1504">
        <v>38261</v>
      </c>
      <c r="FB125" s="29"/>
      <c r="FC125" s="29"/>
      <c r="FD125" s="29"/>
      <c r="FE125" s="29"/>
      <c r="FF125" s="29"/>
      <c r="FG125" s="29"/>
      <c r="FH125" s="29"/>
      <c r="FI125" s="29"/>
      <c r="FJ125" s="29"/>
      <c r="FK125" s="29">
        <v>58</v>
      </c>
      <c r="FL125" s="1504">
        <v>38261</v>
      </c>
      <c r="FM125" s="19"/>
      <c r="FN125" s="93"/>
      <c r="FO125" s="93"/>
      <c r="FP125" s="93"/>
      <c r="FQ125" s="93"/>
      <c r="FR125" s="93"/>
      <c r="FS125" s="93"/>
      <c r="FT125" s="93"/>
      <c r="FU125" s="93"/>
      <c r="FV125" s="93"/>
      <c r="FW125" s="93"/>
      <c r="FX125" s="93"/>
      <c r="FY125" s="93"/>
      <c r="FZ125" s="29">
        <v>58</v>
      </c>
      <c r="GA125" s="1504">
        <v>38261</v>
      </c>
      <c r="GB125" s="19"/>
      <c r="GC125" s="93"/>
      <c r="GD125" s="93"/>
      <c r="GE125" s="93"/>
      <c r="GF125" s="93"/>
      <c r="GG125" s="93"/>
      <c r="GH125" s="93"/>
      <c r="GI125" s="93"/>
      <c r="GJ125" s="93"/>
      <c r="GK125" s="93"/>
      <c r="GL125" s="93"/>
      <c r="GM125" s="93"/>
      <c r="GN125" s="20"/>
      <c r="GO125" s="29">
        <v>58</v>
      </c>
      <c r="GP125" s="1504">
        <v>38261</v>
      </c>
      <c r="GQ125" s="19"/>
      <c r="GR125" s="93"/>
      <c r="GS125" s="93"/>
      <c r="GT125" s="93"/>
      <c r="GU125" s="93"/>
      <c r="GV125" s="20"/>
      <c r="GW125" s="19"/>
      <c r="GX125" s="93"/>
      <c r="GY125" s="93"/>
      <c r="GZ125" s="93"/>
      <c r="HA125" s="93"/>
      <c r="HB125" s="20"/>
      <c r="HC125" s="19"/>
      <c r="HD125" s="93"/>
      <c r="HE125" s="93"/>
      <c r="HF125" s="93"/>
      <c r="HG125" s="93"/>
      <c r="HH125" s="20"/>
      <c r="HI125" s="19"/>
      <c r="HJ125" s="93"/>
      <c r="HK125" s="93"/>
      <c r="HL125" s="93"/>
      <c r="HM125" s="93"/>
      <c r="HN125" s="20"/>
      <c r="HO125" s="219"/>
      <c r="HP125" s="20"/>
      <c r="HQ125" s="25"/>
      <c r="HR125" s="29">
        <v>58</v>
      </c>
      <c r="HS125" s="1504">
        <v>38261</v>
      </c>
      <c r="HT125" s="19"/>
      <c r="HU125" s="93"/>
      <c r="HV125" s="93"/>
      <c r="HW125" s="93"/>
      <c r="HX125" s="93"/>
      <c r="HY125" s="93"/>
      <c r="HZ125" s="93"/>
      <c r="IA125" s="20"/>
      <c r="IB125" s="19"/>
      <c r="IC125" s="93"/>
      <c r="ID125" s="93"/>
      <c r="IE125" s="93"/>
      <c r="IF125" s="93"/>
      <c r="IG125" s="20"/>
      <c r="IH125" s="19"/>
      <c r="II125" s="93"/>
      <c r="IJ125" s="93"/>
      <c r="IK125" s="93"/>
      <c r="IL125" s="93"/>
      <c r="IM125" s="93"/>
      <c r="IN125" s="93"/>
      <c r="IO125" s="20"/>
      <c r="IP125" s="29">
        <v>58</v>
      </c>
      <c r="IQ125" s="19"/>
      <c r="IR125" s="93"/>
      <c r="IS125" s="93"/>
      <c r="IT125" s="93"/>
      <c r="IU125" s="93"/>
      <c r="IV125" s="20"/>
      <c r="IW125" s="29">
        <v>58</v>
      </c>
      <c r="IX125" s="19"/>
      <c r="IY125" s="93"/>
      <c r="IZ125" s="93"/>
      <c r="JA125" s="93"/>
      <c r="JB125" s="93"/>
      <c r="JC125" s="93"/>
      <c r="JD125" s="93"/>
      <c r="JE125" s="20"/>
      <c r="JF125" s="29">
        <v>58</v>
      </c>
      <c r="JG125" s="19"/>
      <c r="JH125" s="93"/>
      <c r="JI125" s="93"/>
      <c r="JJ125" s="93"/>
      <c r="JK125" s="93"/>
      <c r="JL125" s="93"/>
      <c r="JM125" s="93"/>
      <c r="JN125" s="20"/>
      <c r="JO125" s="29">
        <v>58</v>
      </c>
      <c r="JP125" s="19"/>
      <c r="JQ125" s="93"/>
      <c r="JR125" s="93"/>
      <c r="JS125" s="93"/>
      <c r="JT125" s="93"/>
      <c r="JU125" s="20"/>
      <c r="JV125" s="29">
        <v>58</v>
      </c>
      <c r="JW125" s="1504">
        <v>38261</v>
      </c>
      <c r="JX125" s="19"/>
      <c r="JY125" s="93"/>
      <c r="JZ125" s="93"/>
      <c r="KA125" s="93"/>
      <c r="KB125" s="93"/>
      <c r="KC125" s="93"/>
      <c r="KD125" s="20"/>
      <c r="KE125" s="29">
        <v>58</v>
      </c>
      <c r="KF125" s="19"/>
      <c r="KG125" s="93"/>
      <c r="KH125" s="93"/>
      <c r="KI125" s="93"/>
      <c r="KJ125" s="93"/>
      <c r="KK125" s="20"/>
      <c r="KL125" s="29">
        <v>58</v>
      </c>
      <c r="KM125" s="19"/>
      <c r="KN125" s="93"/>
      <c r="KO125" s="93"/>
      <c r="KP125" s="93"/>
      <c r="KQ125" s="93"/>
      <c r="KR125" s="20"/>
      <c r="KS125" s="29">
        <v>58</v>
      </c>
      <c r="KT125" s="19"/>
      <c r="KU125" s="93"/>
      <c r="KV125" s="93"/>
      <c r="KW125" s="93"/>
      <c r="KX125" s="93"/>
      <c r="KY125" s="20"/>
      <c r="KZ125" s="29">
        <v>58</v>
      </c>
      <c r="LA125" s="1504">
        <v>38261</v>
      </c>
      <c r="LB125" s="19"/>
      <c r="LC125" s="93"/>
      <c r="LD125" s="93"/>
      <c r="LE125" s="93"/>
      <c r="LF125" s="93"/>
      <c r="LG125" s="93"/>
      <c r="LH125" s="20"/>
      <c r="LI125" s="29">
        <v>58</v>
      </c>
      <c r="LJ125" s="19"/>
      <c r="LK125" s="93"/>
      <c r="LL125" s="93"/>
      <c r="LM125" s="93"/>
      <c r="LN125" s="93"/>
      <c r="LO125" s="20"/>
      <c r="LP125" s="29">
        <v>58</v>
      </c>
      <c r="LQ125" s="19"/>
      <c r="LR125" s="93"/>
      <c r="LS125" s="93"/>
      <c r="LT125" s="93"/>
      <c r="LU125" s="93"/>
      <c r="LV125" s="93"/>
      <c r="LW125" s="93"/>
      <c r="LX125" s="93"/>
      <c r="LY125" s="93"/>
      <c r="LZ125" s="93"/>
      <c r="MA125" s="20"/>
      <c r="MB125" s="29">
        <v>58</v>
      </c>
      <c r="MC125" s="1504">
        <v>38261</v>
      </c>
      <c r="MD125" s="19"/>
      <c r="ME125" s="93"/>
      <c r="MF125" s="93"/>
      <c r="MG125" s="93"/>
      <c r="MH125" s="93"/>
      <c r="MI125" s="93"/>
      <c r="MJ125" s="93"/>
      <c r="MK125" s="93"/>
      <c r="ML125" s="93"/>
      <c r="MM125" s="93"/>
      <c r="MN125" s="93"/>
      <c r="MO125" s="93"/>
      <c r="MP125" s="93"/>
      <c r="MQ125" s="93"/>
      <c r="MR125" s="93"/>
      <c r="MS125" s="93"/>
      <c r="MT125" s="93"/>
      <c r="MU125" s="93"/>
      <c r="MV125" s="93"/>
      <c r="MW125" s="93"/>
      <c r="MX125" s="93"/>
      <c r="MY125" s="93"/>
      <c r="MZ125" s="93"/>
      <c r="NA125" s="93"/>
      <c r="NB125" s="93"/>
      <c r="NC125" s="93"/>
      <c r="ND125" s="93"/>
      <c r="NE125" s="93"/>
      <c r="NF125" s="93"/>
      <c r="NG125" s="93"/>
      <c r="NH125" s="93"/>
      <c r="NI125" s="93"/>
      <c r="NJ125" s="93"/>
      <c r="NK125" s="93"/>
      <c r="NL125" s="93"/>
      <c r="NM125" s="93"/>
      <c r="NN125" s="93"/>
      <c r="NO125" s="93"/>
      <c r="NP125" s="93"/>
      <c r="NQ125" s="93"/>
      <c r="NR125" s="93"/>
      <c r="NS125" s="93"/>
      <c r="NT125" s="93"/>
      <c r="NU125" s="93"/>
      <c r="NV125" s="93"/>
      <c r="NW125" s="93"/>
      <c r="NX125" s="93"/>
      <c r="NY125" s="93"/>
      <c r="NZ125" s="93"/>
      <c r="OA125" s="93"/>
      <c r="OB125" s="93"/>
      <c r="OC125" s="93"/>
      <c r="OD125" s="20"/>
      <c r="OE125" s="29">
        <v>58</v>
      </c>
      <c r="OF125" s="1504">
        <v>38261</v>
      </c>
      <c r="OG125" s="19"/>
      <c r="OH125" s="93">
        <v>196.58789999999999</v>
      </c>
      <c r="OI125" s="93">
        <v>228.54775389521359</v>
      </c>
      <c r="OJ125" s="93">
        <v>0.27939519000000002</v>
      </c>
      <c r="OK125" s="93">
        <v>183.29485870521358</v>
      </c>
      <c r="OL125" s="93">
        <v>44.973500000000001</v>
      </c>
      <c r="OM125" s="93">
        <v>425.13565389521358</v>
      </c>
      <c r="ON125" s="93">
        <v>187.42216711564021</v>
      </c>
      <c r="OO125" s="93">
        <v>612.55782101085379</v>
      </c>
      <c r="OP125" s="93"/>
      <c r="OQ125" s="93">
        <v>318.2650727213105</v>
      </c>
      <c r="OR125" s="93">
        <v>254.27151819999995</v>
      </c>
      <c r="OS125" s="93">
        <v>63.993554521310514</v>
      </c>
      <c r="OT125" s="93">
        <v>349.72989163954327</v>
      </c>
      <c r="OU125" s="93">
        <v>-39.730995339000003</v>
      </c>
      <c r="OV125" s="93">
        <v>22.916004661000002</v>
      </c>
      <c r="OW125" s="93">
        <v>-62.647000000000006</v>
      </c>
      <c r="OX125" s="93">
        <v>389.46088697854327</v>
      </c>
      <c r="OY125" s="93">
        <v>2.4794156789999997</v>
      </c>
      <c r="OZ125" s="93">
        <v>386.98147129954327</v>
      </c>
      <c r="PA125" s="93">
        <v>94.898902188000008</v>
      </c>
      <c r="PB125" s="93">
        <v>-39.461758838000009</v>
      </c>
      <c r="PC125" s="20">
        <v>612.5578210108539</v>
      </c>
      <c r="PD125" s="29">
        <v>58</v>
      </c>
      <c r="PE125" s="19"/>
      <c r="PF125" s="93">
        <v>254.27151819999995</v>
      </c>
      <c r="PG125" s="93">
        <v>477.01935995099996</v>
      </c>
      <c r="PH125" s="93">
        <v>222.74784175100001</v>
      </c>
      <c r="PI125" s="93">
        <v>1.2470000000000001</v>
      </c>
      <c r="PJ125" s="93">
        <v>22.916004661000002</v>
      </c>
      <c r="PK125" s="93">
        <v>96.497494446000005</v>
      </c>
      <c r="PL125" s="93">
        <v>73.581489785000002</v>
      </c>
      <c r="PM125" s="93">
        <v>2.4794156789999997</v>
      </c>
      <c r="PN125" s="93">
        <v>0</v>
      </c>
      <c r="PO125" s="93">
        <v>0</v>
      </c>
      <c r="PP125" s="93">
        <v>3.0608399999999998E-4</v>
      </c>
      <c r="PQ125" s="93">
        <v>2.4791095949999997</v>
      </c>
      <c r="PR125" s="93">
        <v>281.03233718999996</v>
      </c>
      <c r="PS125" s="93">
        <v>212.98589999999999</v>
      </c>
      <c r="PT125" s="93">
        <v>67.767042000000004</v>
      </c>
      <c r="PU125" s="93">
        <v>0.27939519000000002</v>
      </c>
      <c r="PV125" s="93">
        <v>0</v>
      </c>
      <c r="PW125" s="93">
        <v>5.3317219299999996</v>
      </c>
      <c r="PX125" s="93">
        <v>0</v>
      </c>
      <c r="PY125" s="93">
        <v>0</v>
      </c>
      <c r="PZ125" s="93">
        <v>5.3317219299999996</v>
      </c>
      <c r="QA125" s="93">
        <v>0</v>
      </c>
      <c r="QB125" s="93">
        <v>0</v>
      </c>
      <c r="QC125" s="93">
        <v>0</v>
      </c>
      <c r="QD125" s="93">
        <v>-2.581819742</v>
      </c>
      <c r="QE125" s="20">
        <v>-2.8683008380000072</v>
      </c>
      <c r="QF125" s="1739">
        <v>58</v>
      </c>
      <c r="QG125" s="19"/>
      <c r="QH125" s="1035">
        <v>63.993554521310514</v>
      </c>
      <c r="QI125" s="1035">
        <v>138.74052870045668</v>
      </c>
      <c r="QJ125" s="1035">
        <v>-74.746974179146164</v>
      </c>
      <c r="QK125" s="1035">
        <v>84.210999999999999</v>
      </c>
      <c r="QL125" s="1035">
        <v>16.398</v>
      </c>
      <c r="QM125" s="1035">
        <v>67.813000000000002</v>
      </c>
      <c r="QN125" s="1035">
        <v>0</v>
      </c>
      <c r="QO125" s="1035">
        <v>-62.647000000000006</v>
      </c>
      <c r="QP125" s="1035">
        <v>26.192999999999998</v>
      </c>
      <c r="QQ125" s="1035">
        <v>-88.84</v>
      </c>
      <c r="QR125" s="1035">
        <v>386.98147129954327</v>
      </c>
      <c r="QS125" s="1035">
        <v>6.2644555991686621</v>
      </c>
      <c r="QT125" s="1035">
        <v>0</v>
      </c>
      <c r="QU125" s="1035">
        <v>30.488</v>
      </c>
      <c r="QV125" s="1035">
        <v>350.22901570037459</v>
      </c>
      <c r="QW125" s="93"/>
      <c r="QX125" s="93">
        <v>0.18</v>
      </c>
      <c r="QY125" s="93">
        <v>183.29485870521361</v>
      </c>
      <c r="QZ125" s="93">
        <v>187.42216711564021</v>
      </c>
      <c r="RA125" s="93">
        <v>0</v>
      </c>
      <c r="RB125" s="93">
        <v>17.496000000000002</v>
      </c>
      <c r="RC125" s="93">
        <v>0</v>
      </c>
      <c r="RD125" s="93">
        <v>4.9870000000000001</v>
      </c>
      <c r="RE125" s="93">
        <v>0</v>
      </c>
      <c r="RF125" s="93">
        <v>0</v>
      </c>
      <c r="RG125" s="93">
        <v>69.665999999999997</v>
      </c>
      <c r="RH125" s="93">
        <v>9.4930000000000021</v>
      </c>
      <c r="RI125" s="93"/>
      <c r="RJ125" s="93"/>
      <c r="RK125" s="93"/>
      <c r="RL125" s="93"/>
      <c r="RM125" s="20"/>
      <c r="RN125" s="29">
        <v>58</v>
      </c>
      <c r="RO125" s="19"/>
      <c r="RP125" s="20"/>
      <c r="RQ125" s="29">
        <v>58</v>
      </c>
      <c r="RR125" s="20"/>
      <c r="RS125" s="29">
        <v>58</v>
      </c>
      <c r="RT125" s="1504">
        <v>38261</v>
      </c>
      <c r="RU125" s="19"/>
      <c r="RV125" s="20"/>
      <c r="RW125" s="29">
        <v>58</v>
      </c>
      <c r="RX125" s="1504">
        <v>38261</v>
      </c>
      <c r="RY125" s="29"/>
      <c r="RZ125" s="20"/>
      <c r="SA125" s="29"/>
      <c r="SB125" s="29">
        <v>58</v>
      </c>
    </row>
    <row r="126" spans="1:496">
      <c r="A126" s="41">
        <f t="shared" si="187"/>
        <v>2004</v>
      </c>
      <c r="B126" s="1504">
        <v>38292</v>
      </c>
      <c r="C126" s="1813"/>
      <c r="D126" s="1814"/>
      <c r="E126" s="1814"/>
      <c r="F126" s="1815"/>
      <c r="G126" s="1814"/>
      <c r="H126" s="1814"/>
      <c r="I126" s="1814"/>
      <c r="J126" s="1816"/>
      <c r="K126" s="1807"/>
      <c r="L126" s="25">
        <v>59</v>
      </c>
      <c r="M126" s="97"/>
      <c r="N126" s="1504">
        <v>38292</v>
      </c>
      <c r="O126" s="19"/>
      <c r="P126" s="93"/>
      <c r="Q126" s="93"/>
      <c r="R126" s="93"/>
      <c r="S126" s="93"/>
      <c r="T126" s="93"/>
      <c r="U126" s="93"/>
      <c r="V126" s="93"/>
      <c r="W126" s="93"/>
      <c r="X126" s="93"/>
      <c r="Y126" s="93"/>
      <c r="Z126" s="93"/>
      <c r="AA126" s="93"/>
      <c r="AB126" s="20"/>
      <c r="AC126" s="25">
        <v>59</v>
      </c>
      <c r="AD126" s="97"/>
      <c r="AE126" s="1504">
        <v>38292</v>
      </c>
      <c r="AF126" s="19"/>
      <c r="AG126" s="93"/>
      <c r="AH126" s="93"/>
      <c r="AI126" s="93"/>
      <c r="AJ126" s="93"/>
      <c r="AK126" s="93"/>
      <c r="AL126" s="93"/>
      <c r="AM126" s="93"/>
      <c r="AN126" s="93"/>
      <c r="AO126" s="93"/>
      <c r="AP126" s="93"/>
      <c r="AQ126" s="93"/>
      <c r="AR126" s="93"/>
      <c r="AS126" s="20"/>
      <c r="AT126" s="25">
        <v>59</v>
      </c>
      <c r="AU126" s="97"/>
      <c r="AV126" s="1504">
        <v>38292</v>
      </c>
      <c r="AW126" s="19"/>
      <c r="AX126" s="93"/>
      <c r="AY126" s="93"/>
      <c r="AZ126" s="93"/>
      <c r="BA126" s="93"/>
      <c r="BB126" s="93"/>
      <c r="BC126" s="93"/>
      <c r="BD126" s="93"/>
      <c r="BE126" s="93"/>
      <c r="BF126" s="93"/>
      <c r="BG126" s="93"/>
      <c r="BH126" s="93"/>
      <c r="BI126" s="93"/>
      <c r="BJ126" s="20"/>
      <c r="BK126" s="25">
        <v>59</v>
      </c>
      <c r="BL126" s="97"/>
      <c r="BM126" s="1504">
        <v>38292</v>
      </c>
      <c r="BN126" s="19"/>
      <c r="BO126" s="93"/>
      <c r="BP126" s="93"/>
      <c r="BQ126" s="93"/>
      <c r="BR126" s="93"/>
      <c r="BS126" s="93"/>
      <c r="BT126" s="93"/>
      <c r="BU126" s="20"/>
      <c r="BV126" s="25">
        <v>59</v>
      </c>
      <c r="BW126" s="97"/>
      <c r="BX126" s="1504">
        <v>38292</v>
      </c>
      <c r="BY126" s="19"/>
      <c r="BZ126" s="99">
        <v>664.95699999999999</v>
      </c>
      <c r="CA126" s="93"/>
      <c r="CB126" s="93"/>
      <c r="CC126" s="93"/>
      <c r="CD126" s="25">
        <v>59</v>
      </c>
      <c r="CE126" s="97"/>
      <c r="CF126" s="1504">
        <v>38292</v>
      </c>
      <c r="CG126" s="19">
        <v>1.0830696799999999</v>
      </c>
      <c r="CH126" s="93">
        <v>439.375</v>
      </c>
      <c r="CI126" s="219"/>
      <c r="CJ126" s="20"/>
      <c r="CK126" s="19"/>
      <c r="CL126" s="93"/>
      <c r="CM126" s="93"/>
      <c r="CN126" s="93"/>
      <c r="CO126" s="93"/>
      <c r="CP126" s="20"/>
      <c r="CQ126" s="219">
        <v>1225.57</v>
      </c>
      <c r="CR126" s="93">
        <v>1.4524999999999999</v>
      </c>
      <c r="CS126" s="93"/>
      <c r="CT126" s="93"/>
      <c r="CU126" s="93"/>
      <c r="CV126" s="214"/>
      <c r="CW126" s="29">
        <v>59</v>
      </c>
      <c r="CX126" s="41">
        <f t="shared" si="188"/>
        <v>2004</v>
      </c>
      <c r="CY126" s="1504">
        <v>38292</v>
      </c>
      <c r="CZ126" s="1916">
        <v>42.167740999999999</v>
      </c>
      <c r="DA126" s="1526">
        <v>28.840508</v>
      </c>
      <c r="DB126" s="1526">
        <v>13.327233</v>
      </c>
      <c r="DC126" s="182">
        <f t="shared" si="189"/>
        <v>234860</v>
      </c>
      <c r="DD126" s="182"/>
      <c r="DE126" s="290"/>
      <c r="DF126" s="29">
        <v>59</v>
      </c>
      <c r="DG126" s="1504">
        <v>38292</v>
      </c>
      <c r="DH126" s="19"/>
      <c r="DI126" s="93"/>
      <c r="DJ126" s="93"/>
      <c r="DK126" s="93"/>
      <c r="DL126" s="93"/>
      <c r="DM126" s="93"/>
      <c r="DN126" s="20"/>
      <c r="DO126" s="25"/>
      <c r="DP126" s="29">
        <v>59</v>
      </c>
      <c r="DQ126" s="1504">
        <v>38292</v>
      </c>
      <c r="DR126" s="19"/>
      <c r="DS126" s="93"/>
      <c r="DT126" s="93"/>
      <c r="DU126" s="93"/>
      <c r="DV126" s="93"/>
      <c r="DW126" s="93"/>
      <c r="DX126" s="20"/>
      <c r="DY126" s="29">
        <v>59</v>
      </c>
      <c r="DZ126" s="1504">
        <v>38292</v>
      </c>
      <c r="EA126" s="19"/>
      <c r="EB126" s="93"/>
      <c r="EC126" s="20"/>
      <c r="ED126" s="29">
        <v>59</v>
      </c>
      <c r="EE126" s="1504">
        <v>38292</v>
      </c>
      <c r="EF126" s="19"/>
      <c r="EG126" s="93"/>
      <c r="EH126" s="93"/>
      <c r="EI126" s="214"/>
      <c r="EJ126" s="93"/>
      <c r="EK126" s="93"/>
      <c r="EL126" s="93"/>
      <c r="EM126" s="93"/>
      <c r="EN126" s="20"/>
      <c r="EO126" s="29">
        <v>59</v>
      </c>
      <c r="EP126" s="1504">
        <v>38292</v>
      </c>
      <c r="EQ126" s="19"/>
      <c r="ER126" s="93"/>
      <c r="ES126" s="93"/>
      <c r="ET126" s="214"/>
      <c r="EU126" s="93"/>
      <c r="EV126" s="93"/>
      <c r="EW126" s="93"/>
      <c r="EX126" s="93"/>
      <c r="EY126" s="20"/>
      <c r="EZ126" s="29">
        <v>59</v>
      </c>
      <c r="FA126" s="1504">
        <v>38292</v>
      </c>
      <c r="FB126" s="29"/>
      <c r="FC126" s="29"/>
      <c r="FD126" s="29"/>
      <c r="FE126" s="29"/>
      <c r="FF126" s="29"/>
      <c r="FG126" s="29"/>
      <c r="FH126" s="29"/>
      <c r="FI126" s="29"/>
      <c r="FJ126" s="29"/>
      <c r="FK126" s="29">
        <v>59</v>
      </c>
      <c r="FL126" s="1504">
        <v>38292</v>
      </c>
      <c r="FM126" s="19"/>
      <c r="FN126" s="93"/>
      <c r="FO126" s="93"/>
      <c r="FP126" s="93"/>
      <c r="FQ126" s="93"/>
      <c r="FR126" s="93"/>
      <c r="FS126" s="93"/>
      <c r="FT126" s="93"/>
      <c r="FU126" s="93"/>
      <c r="FV126" s="93"/>
      <c r="FW126" s="93"/>
      <c r="FX126" s="93"/>
      <c r="FY126" s="93"/>
      <c r="FZ126" s="29">
        <v>59</v>
      </c>
      <c r="GA126" s="1504">
        <v>38292</v>
      </c>
      <c r="GB126" s="19"/>
      <c r="GC126" s="93"/>
      <c r="GD126" s="93"/>
      <c r="GE126" s="93"/>
      <c r="GF126" s="93"/>
      <c r="GG126" s="93"/>
      <c r="GH126" s="93"/>
      <c r="GI126" s="93"/>
      <c r="GJ126" s="93"/>
      <c r="GK126" s="93"/>
      <c r="GL126" s="93"/>
      <c r="GM126" s="93"/>
      <c r="GN126" s="20"/>
      <c r="GO126" s="29">
        <v>59</v>
      </c>
      <c r="GP126" s="1504">
        <v>38292</v>
      </c>
      <c r="GQ126" s="19"/>
      <c r="GR126" s="93"/>
      <c r="GS126" s="93"/>
      <c r="GT126" s="93"/>
      <c r="GU126" s="93"/>
      <c r="GV126" s="20"/>
      <c r="GW126" s="19"/>
      <c r="GX126" s="93"/>
      <c r="GY126" s="93"/>
      <c r="GZ126" s="93"/>
      <c r="HA126" s="93"/>
      <c r="HB126" s="20"/>
      <c r="HC126" s="19"/>
      <c r="HD126" s="93"/>
      <c r="HE126" s="93"/>
      <c r="HF126" s="93"/>
      <c r="HG126" s="93"/>
      <c r="HH126" s="20"/>
      <c r="HI126" s="19"/>
      <c r="HJ126" s="93"/>
      <c r="HK126" s="93"/>
      <c r="HL126" s="93"/>
      <c r="HM126" s="93"/>
      <c r="HN126" s="20"/>
      <c r="HO126" s="219"/>
      <c r="HP126" s="20"/>
      <c r="HQ126" s="25"/>
      <c r="HR126" s="29">
        <v>59</v>
      </c>
      <c r="HS126" s="1504">
        <v>38292</v>
      </c>
      <c r="HT126" s="19"/>
      <c r="HU126" s="93"/>
      <c r="HV126" s="93"/>
      <c r="HW126" s="93"/>
      <c r="HX126" s="93"/>
      <c r="HY126" s="93"/>
      <c r="HZ126" s="93"/>
      <c r="IA126" s="20"/>
      <c r="IB126" s="19"/>
      <c r="IC126" s="93"/>
      <c r="ID126" s="93"/>
      <c r="IE126" s="93"/>
      <c r="IF126" s="93"/>
      <c r="IG126" s="20"/>
      <c r="IH126" s="19"/>
      <c r="II126" s="93"/>
      <c r="IJ126" s="93"/>
      <c r="IK126" s="93"/>
      <c r="IL126" s="93"/>
      <c r="IM126" s="93"/>
      <c r="IN126" s="93"/>
      <c r="IO126" s="20"/>
      <c r="IP126" s="29">
        <v>59</v>
      </c>
      <c r="IQ126" s="19"/>
      <c r="IR126" s="93"/>
      <c r="IS126" s="93"/>
      <c r="IT126" s="93"/>
      <c r="IU126" s="93"/>
      <c r="IV126" s="20"/>
      <c r="IW126" s="29">
        <v>59</v>
      </c>
      <c r="IX126" s="19"/>
      <c r="IY126" s="93"/>
      <c r="IZ126" s="93"/>
      <c r="JA126" s="93"/>
      <c r="JB126" s="93"/>
      <c r="JC126" s="93"/>
      <c r="JD126" s="93"/>
      <c r="JE126" s="20"/>
      <c r="JF126" s="29">
        <v>59</v>
      </c>
      <c r="JG126" s="19"/>
      <c r="JH126" s="93"/>
      <c r="JI126" s="93"/>
      <c r="JJ126" s="93"/>
      <c r="JK126" s="93"/>
      <c r="JL126" s="93"/>
      <c r="JM126" s="93"/>
      <c r="JN126" s="20"/>
      <c r="JO126" s="29">
        <v>59</v>
      </c>
      <c r="JP126" s="19"/>
      <c r="JQ126" s="93"/>
      <c r="JR126" s="93"/>
      <c r="JS126" s="93"/>
      <c r="JT126" s="93"/>
      <c r="JU126" s="20"/>
      <c r="JV126" s="29">
        <v>59</v>
      </c>
      <c r="JW126" s="1504">
        <v>38292</v>
      </c>
      <c r="JX126" s="19"/>
      <c r="JY126" s="93"/>
      <c r="JZ126" s="93"/>
      <c r="KA126" s="93"/>
      <c r="KB126" s="93"/>
      <c r="KC126" s="93"/>
      <c r="KD126" s="20"/>
      <c r="KE126" s="29">
        <v>59</v>
      </c>
      <c r="KF126" s="19"/>
      <c r="KG126" s="93"/>
      <c r="KH126" s="93"/>
      <c r="KI126" s="93"/>
      <c r="KJ126" s="93"/>
      <c r="KK126" s="20"/>
      <c r="KL126" s="29">
        <v>59</v>
      </c>
      <c r="KM126" s="19"/>
      <c r="KN126" s="93"/>
      <c r="KO126" s="93"/>
      <c r="KP126" s="93"/>
      <c r="KQ126" s="93"/>
      <c r="KR126" s="20"/>
      <c r="KS126" s="29">
        <v>59</v>
      </c>
      <c r="KT126" s="19"/>
      <c r="KU126" s="93"/>
      <c r="KV126" s="93"/>
      <c r="KW126" s="93"/>
      <c r="KX126" s="93"/>
      <c r="KY126" s="20"/>
      <c r="KZ126" s="29">
        <v>59</v>
      </c>
      <c r="LA126" s="1504">
        <v>38292</v>
      </c>
      <c r="LB126" s="19"/>
      <c r="LC126" s="93"/>
      <c r="LD126" s="93"/>
      <c r="LE126" s="93"/>
      <c r="LF126" s="93"/>
      <c r="LG126" s="93"/>
      <c r="LH126" s="20"/>
      <c r="LI126" s="29">
        <v>59</v>
      </c>
      <c r="LJ126" s="19"/>
      <c r="LK126" s="93"/>
      <c r="LL126" s="93"/>
      <c r="LM126" s="93"/>
      <c r="LN126" s="93"/>
      <c r="LO126" s="20"/>
      <c r="LP126" s="29">
        <v>59</v>
      </c>
      <c r="LQ126" s="19"/>
      <c r="LR126" s="93"/>
      <c r="LS126" s="93"/>
      <c r="LT126" s="93"/>
      <c r="LU126" s="93"/>
      <c r="LV126" s="93"/>
      <c r="LW126" s="93"/>
      <c r="LX126" s="93"/>
      <c r="LY126" s="93"/>
      <c r="LZ126" s="93"/>
      <c r="MA126" s="20"/>
      <c r="MB126" s="29">
        <v>59</v>
      </c>
      <c r="MC126" s="1504">
        <v>38292</v>
      </c>
      <c r="MD126" s="19"/>
      <c r="ME126" s="93"/>
      <c r="MF126" s="93"/>
      <c r="MG126" s="93"/>
      <c r="MH126" s="93"/>
      <c r="MI126" s="93"/>
      <c r="MJ126" s="93"/>
      <c r="MK126" s="93"/>
      <c r="ML126" s="93"/>
      <c r="MM126" s="93"/>
      <c r="MN126" s="93"/>
      <c r="MO126" s="93"/>
      <c r="MP126" s="93"/>
      <c r="MQ126" s="93"/>
      <c r="MR126" s="93"/>
      <c r="MS126" s="93"/>
      <c r="MT126" s="93"/>
      <c r="MU126" s="93"/>
      <c r="MV126" s="93"/>
      <c r="MW126" s="93"/>
      <c r="MX126" s="93"/>
      <c r="MY126" s="93"/>
      <c r="MZ126" s="93"/>
      <c r="NA126" s="93"/>
      <c r="NB126" s="93"/>
      <c r="NC126" s="93"/>
      <c r="ND126" s="93"/>
      <c r="NE126" s="93"/>
      <c r="NF126" s="93"/>
      <c r="NG126" s="93"/>
      <c r="NH126" s="93"/>
      <c r="NI126" s="93"/>
      <c r="NJ126" s="93"/>
      <c r="NK126" s="93"/>
      <c r="NL126" s="93"/>
      <c r="NM126" s="93"/>
      <c r="NN126" s="93"/>
      <c r="NO126" s="93"/>
      <c r="NP126" s="93"/>
      <c r="NQ126" s="93"/>
      <c r="NR126" s="93"/>
      <c r="NS126" s="93"/>
      <c r="NT126" s="93"/>
      <c r="NU126" s="93"/>
      <c r="NV126" s="93"/>
      <c r="NW126" s="93"/>
      <c r="NX126" s="93"/>
      <c r="NY126" s="93"/>
      <c r="NZ126" s="93"/>
      <c r="OA126" s="93"/>
      <c r="OB126" s="93"/>
      <c r="OC126" s="93"/>
      <c r="OD126" s="20"/>
      <c r="OE126" s="29">
        <v>59</v>
      </c>
      <c r="OF126" s="1504">
        <v>38292</v>
      </c>
      <c r="OG126" s="19"/>
      <c r="OH126" s="93">
        <v>180.84229999999999</v>
      </c>
      <c r="OI126" s="93">
        <v>226.28312348381039</v>
      </c>
      <c r="OJ126" s="93">
        <v>0.33113791300000001</v>
      </c>
      <c r="OK126" s="93">
        <v>181.22168557081039</v>
      </c>
      <c r="OL126" s="93">
        <v>44.7303</v>
      </c>
      <c r="OM126" s="93">
        <v>407.12542348381038</v>
      </c>
      <c r="ON126" s="93">
        <v>183.57427506985715</v>
      </c>
      <c r="OO126" s="93">
        <v>590.69969855366753</v>
      </c>
      <c r="OP126" s="93"/>
      <c r="OQ126" s="93">
        <v>283.39003596254247</v>
      </c>
      <c r="OR126" s="93">
        <v>225.59323110099996</v>
      </c>
      <c r="OS126" s="93">
        <v>57.796804861542483</v>
      </c>
      <c r="OT126" s="93">
        <v>368.46507902212511</v>
      </c>
      <c r="OU126" s="93">
        <v>-29.357417450999989</v>
      </c>
      <c r="OV126" s="93">
        <v>33.639582549000011</v>
      </c>
      <c r="OW126" s="93">
        <v>-62.997</v>
      </c>
      <c r="OX126" s="93">
        <v>397.82249647312511</v>
      </c>
      <c r="OY126" s="93">
        <v>2.4743406939999999</v>
      </c>
      <c r="OZ126" s="93">
        <v>395.34815577912508</v>
      </c>
      <c r="PA126" s="93">
        <v>91.038590676000013</v>
      </c>
      <c r="PB126" s="93">
        <v>-29.883174244999999</v>
      </c>
      <c r="PC126" s="20">
        <v>590.69969855366753</v>
      </c>
      <c r="PD126" s="29">
        <v>59</v>
      </c>
      <c r="PE126" s="19"/>
      <c r="PF126" s="93">
        <v>225.59323110099996</v>
      </c>
      <c r="PG126" s="93">
        <v>446.37270786199997</v>
      </c>
      <c r="PH126" s="93">
        <v>220.77947676100001</v>
      </c>
      <c r="PI126" s="93">
        <v>1.2470000000000001</v>
      </c>
      <c r="PJ126" s="93">
        <v>33.639582549000011</v>
      </c>
      <c r="PK126" s="93">
        <v>94.84303944700001</v>
      </c>
      <c r="PL126" s="93">
        <v>61.203456897999999</v>
      </c>
      <c r="PM126" s="93">
        <v>2.4743406939999999</v>
      </c>
      <c r="PN126" s="93">
        <v>0</v>
      </c>
      <c r="PO126" s="93">
        <v>0</v>
      </c>
      <c r="PP126" s="93">
        <v>9.5036199999999995E-4</v>
      </c>
      <c r="PQ126" s="93">
        <v>2.4733903319999997</v>
      </c>
      <c r="PR126" s="93">
        <v>268.497679377</v>
      </c>
      <c r="PS126" s="93">
        <v>197.57329999999999</v>
      </c>
      <c r="PT126" s="93">
        <v>70.593241464000002</v>
      </c>
      <c r="PU126" s="93">
        <v>0.33113791300000001</v>
      </c>
      <c r="PV126" s="93">
        <v>0</v>
      </c>
      <c r="PW126" s="93">
        <v>4.2377884989999997</v>
      </c>
      <c r="PX126" s="93">
        <v>0</v>
      </c>
      <c r="PY126" s="93">
        <v>0</v>
      </c>
      <c r="PZ126" s="93">
        <v>4.2377884989999997</v>
      </c>
      <c r="QA126" s="93">
        <v>0</v>
      </c>
      <c r="QB126" s="93">
        <v>0</v>
      </c>
      <c r="QC126" s="93">
        <v>0</v>
      </c>
      <c r="QD126" s="93">
        <v>-3.126197823</v>
      </c>
      <c r="QE126" s="20">
        <v>-6.6551157089999995</v>
      </c>
      <c r="QF126" s="1739">
        <v>59</v>
      </c>
      <c r="QG126" s="19"/>
      <c r="QH126" s="1035">
        <v>57.796804861542483</v>
      </c>
      <c r="QI126" s="1035">
        <v>144.48884422087494</v>
      </c>
      <c r="QJ126" s="1035">
        <v>-86.692039359332455</v>
      </c>
      <c r="QK126" s="1035">
        <v>78.593999999999994</v>
      </c>
      <c r="QL126" s="1035">
        <v>16.731000000000002</v>
      </c>
      <c r="QM126" s="1035">
        <v>61.863</v>
      </c>
      <c r="QN126" s="1035">
        <v>0</v>
      </c>
      <c r="QO126" s="1035">
        <v>-62.997</v>
      </c>
      <c r="QP126" s="1035">
        <v>26.337</v>
      </c>
      <c r="QQ126" s="1035">
        <v>-89.334000000000003</v>
      </c>
      <c r="QR126" s="1035">
        <v>395.34815577912508</v>
      </c>
      <c r="QS126" s="1035">
        <v>5.8043466725000163</v>
      </c>
      <c r="QT126" s="1035">
        <v>0</v>
      </c>
      <c r="QU126" s="1035">
        <v>28.888999999999999</v>
      </c>
      <c r="QV126" s="1035">
        <v>360.65480910662507</v>
      </c>
      <c r="QW126" s="93"/>
      <c r="QX126" s="93">
        <v>0.2</v>
      </c>
      <c r="QY126" s="93">
        <v>181.22168557081039</v>
      </c>
      <c r="QZ126" s="93">
        <v>183.57427506985712</v>
      </c>
      <c r="RA126" s="93">
        <v>0</v>
      </c>
      <c r="RB126" s="93">
        <v>15.863000000000001</v>
      </c>
      <c r="RC126" s="93">
        <v>0</v>
      </c>
      <c r="RD126" s="93">
        <v>4.4260000000000002</v>
      </c>
      <c r="RE126" s="93">
        <v>0</v>
      </c>
      <c r="RF126" s="93">
        <v>0</v>
      </c>
      <c r="RG126" s="93">
        <v>69.638000000000005</v>
      </c>
      <c r="RH126" s="93">
        <v>13.818999999999996</v>
      </c>
      <c r="RI126" s="93"/>
      <c r="RJ126" s="93"/>
      <c r="RK126" s="93"/>
      <c r="RL126" s="93"/>
      <c r="RM126" s="20"/>
      <c r="RN126" s="29">
        <v>59</v>
      </c>
      <c r="RO126" s="19"/>
      <c r="RP126" s="20"/>
      <c r="RQ126" s="29">
        <v>59</v>
      </c>
      <c r="RR126" s="20"/>
      <c r="RS126" s="29">
        <v>59</v>
      </c>
      <c r="RT126" s="1504">
        <v>38292</v>
      </c>
      <c r="RU126" s="19"/>
      <c r="RV126" s="20"/>
      <c r="RW126" s="29">
        <v>59</v>
      </c>
      <c r="RX126" s="1504">
        <v>38292</v>
      </c>
      <c r="RY126" s="29"/>
      <c r="RZ126" s="20"/>
      <c r="SA126" s="29"/>
      <c r="SB126" s="29">
        <v>59</v>
      </c>
    </row>
    <row r="127" spans="1:496">
      <c r="A127" s="41">
        <f t="shared" si="187"/>
        <v>2004</v>
      </c>
      <c r="B127" s="1504">
        <v>38322</v>
      </c>
      <c r="C127" s="1813"/>
      <c r="D127" s="1814"/>
      <c r="E127" s="1814"/>
      <c r="F127" s="1815"/>
      <c r="G127" s="1814"/>
      <c r="H127" s="1814"/>
      <c r="I127" s="1814"/>
      <c r="J127" s="1816"/>
      <c r="K127" s="1807"/>
      <c r="L127" s="25">
        <v>60</v>
      </c>
      <c r="M127" s="97"/>
      <c r="N127" s="1504">
        <v>38322</v>
      </c>
      <c r="O127" s="19"/>
      <c r="P127" s="93"/>
      <c r="Q127" s="93"/>
      <c r="R127" s="93"/>
      <c r="S127" s="93"/>
      <c r="T127" s="93"/>
      <c r="U127" s="93"/>
      <c r="V127" s="93"/>
      <c r="W127" s="93"/>
      <c r="X127" s="93"/>
      <c r="Y127" s="93"/>
      <c r="Z127" s="93"/>
      <c r="AA127" s="93"/>
      <c r="AB127" s="20"/>
      <c r="AC127" s="25">
        <v>60</v>
      </c>
      <c r="AD127" s="97"/>
      <c r="AE127" s="1504">
        <v>38322</v>
      </c>
      <c r="AF127" s="19"/>
      <c r="AG127" s="93"/>
      <c r="AH127" s="93"/>
      <c r="AI127" s="93"/>
      <c r="AJ127" s="93"/>
      <c r="AK127" s="93"/>
      <c r="AL127" s="93"/>
      <c r="AM127" s="93"/>
      <c r="AN127" s="93"/>
      <c r="AO127" s="93"/>
      <c r="AP127" s="93"/>
      <c r="AQ127" s="93"/>
      <c r="AR127" s="93"/>
      <c r="AS127" s="20"/>
      <c r="AT127" s="25">
        <v>60</v>
      </c>
      <c r="AU127" s="97"/>
      <c r="AV127" s="1504">
        <v>38322</v>
      </c>
      <c r="AW127" s="19"/>
      <c r="AX127" s="93"/>
      <c r="AY127" s="93"/>
      <c r="AZ127" s="93"/>
      <c r="BA127" s="93"/>
      <c r="BB127" s="93"/>
      <c r="BC127" s="93"/>
      <c r="BD127" s="93"/>
      <c r="BE127" s="93"/>
      <c r="BF127" s="93"/>
      <c r="BG127" s="93"/>
      <c r="BH127" s="93"/>
      <c r="BI127" s="93"/>
      <c r="BJ127" s="20"/>
      <c r="BK127" s="25">
        <v>60</v>
      </c>
      <c r="BL127" s="97"/>
      <c r="BM127" s="1504">
        <v>38322</v>
      </c>
      <c r="BN127" s="19"/>
      <c r="BO127" s="93"/>
      <c r="BP127" s="93"/>
      <c r="BQ127" s="93"/>
      <c r="BR127" s="93"/>
      <c r="BS127" s="93"/>
      <c r="BT127" s="93"/>
      <c r="BU127" s="20"/>
      <c r="BV127" s="25">
        <v>60</v>
      </c>
      <c r="BW127" s="97"/>
      <c r="BX127" s="1504">
        <v>38322</v>
      </c>
      <c r="BY127" s="19"/>
      <c r="BZ127" s="99">
        <v>664.95699999999999</v>
      </c>
      <c r="CA127" s="93"/>
      <c r="CB127" s="93"/>
      <c r="CC127" s="93"/>
      <c r="CD127" s="25">
        <v>60</v>
      </c>
      <c r="CE127" s="97"/>
      <c r="CF127" s="1504">
        <v>38322</v>
      </c>
      <c r="CG127" s="19">
        <v>1.07125361391304</v>
      </c>
      <c r="CH127" s="93">
        <v>442.07900000000001</v>
      </c>
      <c r="CI127" s="219"/>
      <c r="CJ127" s="20"/>
      <c r="CK127" s="19"/>
      <c r="CL127" s="93"/>
      <c r="CM127" s="93"/>
      <c r="CN127" s="93"/>
      <c r="CO127" s="93"/>
      <c r="CP127" s="20"/>
      <c r="CQ127" s="219">
        <v>1233.6300000000001</v>
      </c>
      <c r="CR127" s="93">
        <v>1.51</v>
      </c>
      <c r="CS127" s="93"/>
      <c r="CT127" s="93"/>
      <c r="CU127" s="93"/>
      <c r="CV127" s="214"/>
      <c r="CW127" s="29">
        <v>60</v>
      </c>
      <c r="CX127" s="41">
        <f t="shared" si="188"/>
        <v>2004</v>
      </c>
      <c r="CY127" s="1504">
        <v>38322</v>
      </c>
      <c r="CZ127" s="1916">
        <v>39.462671999999998</v>
      </c>
      <c r="DA127" s="1526">
        <v>23.778479999999998</v>
      </c>
      <c r="DB127" s="1526">
        <v>15.684191999999999</v>
      </c>
      <c r="DC127" s="182">
        <v>234860</v>
      </c>
      <c r="DD127" s="182"/>
      <c r="DE127" s="290"/>
      <c r="DF127" s="29">
        <v>60</v>
      </c>
      <c r="DG127" s="1504">
        <v>38322</v>
      </c>
      <c r="DH127" s="19"/>
      <c r="DI127" s="93"/>
      <c r="DJ127" s="93"/>
      <c r="DK127" s="93"/>
      <c r="DL127" s="93"/>
      <c r="DM127" s="93"/>
      <c r="DN127" s="20"/>
      <c r="DO127" s="25"/>
      <c r="DP127" s="29">
        <v>60</v>
      </c>
      <c r="DQ127" s="1504">
        <v>38322</v>
      </c>
      <c r="DR127" s="19"/>
      <c r="DS127" s="93"/>
      <c r="DT127" s="93"/>
      <c r="DU127" s="93"/>
      <c r="DV127" s="93"/>
      <c r="DW127" s="93"/>
      <c r="DX127" s="20"/>
      <c r="DY127" s="29">
        <v>60</v>
      </c>
      <c r="DZ127" s="1504">
        <v>38322</v>
      </c>
      <c r="EA127" s="19"/>
      <c r="EB127" s="93"/>
      <c r="EC127" s="20"/>
      <c r="ED127" s="29">
        <v>60</v>
      </c>
      <c r="EE127" s="1504">
        <v>38322</v>
      </c>
      <c r="EF127" s="19"/>
      <c r="EG127" s="93"/>
      <c r="EH127" s="93"/>
      <c r="EI127" s="214"/>
      <c r="EJ127" s="93"/>
      <c r="EK127" s="93"/>
      <c r="EL127" s="93"/>
      <c r="EM127" s="93"/>
      <c r="EN127" s="20"/>
      <c r="EO127" s="29">
        <v>60</v>
      </c>
      <c r="EP127" s="1504">
        <v>38322</v>
      </c>
      <c r="EQ127" s="19"/>
      <c r="ER127" s="93"/>
      <c r="ES127" s="93"/>
      <c r="ET127" s="214"/>
      <c r="EU127" s="93"/>
      <c r="EV127" s="93"/>
      <c r="EW127" s="93"/>
      <c r="EX127" s="93"/>
      <c r="EY127" s="20"/>
      <c r="EZ127" s="29">
        <v>60</v>
      </c>
      <c r="FA127" s="1504">
        <v>38322</v>
      </c>
      <c r="FB127" s="29"/>
      <c r="FC127" s="29"/>
      <c r="FD127" s="29"/>
      <c r="FE127" s="29"/>
      <c r="FF127" s="29"/>
      <c r="FG127" s="29"/>
      <c r="FH127" s="29"/>
      <c r="FI127" s="29"/>
      <c r="FJ127" s="29"/>
      <c r="FK127" s="29">
        <v>60</v>
      </c>
      <c r="FL127" s="1504">
        <v>38322</v>
      </c>
      <c r="FM127" s="19"/>
      <c r="FN127" s="93"/>
      <c r="FO127" s="93"/>
      <c r="FP127" s="93"/>
      <c r="FQ127" s="93"/>
      <c r="FR127" s="93"/>
      <c r="FS127" s="93"/>
      <c r="FT127" s="93"/>
      <c r="FU127" s="93"/>
      <c r="FV127" s="93"/>
      <c r="FW127" s="93"/>
      <c r="FX127" s="93"/>
      <c r="FY127" s="93"/>
      <c r="FZ127" s="29">
        <v>60</v>
      </c>
      <c r="GA127" s="1504">
        <v>38322</v>
      </c>
      <c r="GB127" s="19"/>
      <c r="GC127" s="93"/>
      <c r="GD127" s="93"/>
      <c r="GE127" s="93"/>
      <c r="GF127" s="93"/>
      <c r="GG127" s="93"/>
      <c r="GH127" s="93"/>
      <c r="GI127" s="93"/>
      <c r="GJ127" s="93"/>
      <c r="GK127" s="93"/>
      <c r="GL127" s="93"/>
      <c r="GM127" s="93"/>
      <c r="GN127" s="20"/>
      <c r="GO127" s="29">
        <v>60</v>
      </c>
      <c r="GP127" s="1504">
        <v>38322</v>
      </c>
      <c r="GQ127" s="19"/>
      <c r="GR127" s="93"/>
      <c r="GS127" s="93"/>
      <c r="GT127" s="93"/>
      <c r="GU127" s="93"/>
      <c r="GV127" s="20"/>
      <c r="GW127" s="19"/>
      <c r="GX127" s="93"/>
      <c r="GY127" s="93"/>
      <c r="GZ127" s="93"/>
      <c r="HA127" s="93"/>
      <c r="HB127" s="20"/>
      <c r="HC127" s="19"/>
      <c r="HD127" s="93"/>
      <c r="HE127" s="93"/>
      <c r="HF127" s="93"/>
      <c r="HG127" s="93"/>
      <c r="HH127" s="20"/>
      <c r="HI127" s="19"/>
      <c r="HJ127" s="93"/>
      <c r="HK127" s="93"/>
      <c r="HL127" s="93"/>
      <c r="HM127" s="93"/>
      <c r="HN127" s="20"/>
      <c r="HO127" s="219"/>
      <c r="HP127" s="20"/>
      <c r="HQ127" s="25"/>
      <c r="HR127" s="29">
        <v>60</v>
      </c>
      <c r="HS127" s="1504">
        <v>38322</v>
      </c>
      <c r="HT127" s="19"/>
      <c r="HU127" s="93"/>
      <c r="HV127" s="93"/>
      <c r="HW127" s="93"/>
      <c r="HX127" s="93"/>
      <c r="HY127" s="93"/>
      <c r="HZ127" s="93"/>
      <c r="IA127" s="20"/>
      <c r="IB127" s="19"/>
      <c r="IC127" s="93"/>
      <c r="ID127" s="93"/>
      <c r="IE127" s="93"/>
      <c r="IF127" s="93"/>
      <c r="IG127" s="20"/>
      <c r="IH127" s="19"/>
      <c r="II127" s="93"/>
      <c r="IJ127" s="93"/>
      <c r="IK127" s="93"/>
      <c r="IL127" s="93"/>
      <c r="IM127" s="93"/>
      <c r="IN127" s="93"/>
      <c r="IO127" s="20"/>
      <c r="IP127" s="29">
        <v>60</v>
      </c>
      <c r="IQ127" s="19"/>
      <c r="IR127" s="93"/>
      <c r="IS127" s="93"/>
      <c r="IT127" s="93"/>
      <c r="IU127" s="93"/>
      <c r="IV127" s="20"/>
      <c r="IW127" s="29">
        <v>60</v>
      </c>
      <c r="IX127" s="19"/>
      <c r="IY127" s="93"/>
      <c r="IZ127" s="93"/>
      <c r="JA127" s="93"/>
      <c r="JB127" s="93"/>
      <c r="JC127" s="93"/>
      <c r="JD127" s="93"/>
      <c r="JE127" s="20"/>
      <c r="JF127" s="29">
        <v>60</v>
      </c>
      <c r="JG127" s="19"/>
      <c r="JH127" s="93"/>
      <c r="JI127" s="93"/>
      <c r="JJ127" s="93"/>
      <c r="JK127" s="93"/>
      <c r="JL127" s="93"/>
      <c r="JM127" s="93"/>
      <c r="JN127" s="20"/>
      <c r="JO127" s="29">
        <v>60</v>
      </c>
      <c r="JP127" s="19"/>
      <c r="JQ127" s="93"/>
      <c r="JR127" s="93"/>
      <c r="JS127" s="93"/>
      <c r="JT127" s="93"/>
      <c r="JU127" s="20"/>
      <c r="JV127" s="29">
        <v>60</v>
      </c>
      <c r="JW127" s="1504">
        <v>38322</v>
      </c>
      <c r="JX127" s="19"/>
      <c r="JY127" s="93"/>
      <c r="JZ127" s="93"/>
      <c r="KA127" s="93"/>
      <c r="KB127" s="93"/>
      <c r="KC127" s="93"/>
      <c r="KD127" s="20"/>
      <c r="KE127" s="29">
        <v>60</v>
      </c>
      <c r="KF127" s="19"/>
      <c r="KG127" s="93"/>
      <c r="KH127" s="93"/>
      <c r="KI127" s="93"/>
      <c r="KJ127" s="93"/>
      <c r="KK127" s="20"/>
      <c r="KL127" s="29">
        <v>60</v>
      </c>
      <c r="KM127" s="19"/>
      <c r="KN127" s="93"/>
      <c r="KO127" s="93"/>
      <c r="KP127" s="93"/>
      <c r="KQ127" s="93"/>
      <c r="KR127" s="20"/>
      <c r="KS127" s="29">
        <v>60</v>
      </c>
      <c r="KT127" s="19"/>
      <c r="KU127" s="93"/>
      <c r="KV127" s="93"/>
      <c r="KW127" s="93"/>
      <c r="KX127" s="93"/>
      <c r="KY127" s="20"/>
      <c r="KZ127" s="29">
        <v>60</v>
      </c>
      <c r="LA127" s="1504">
        <v>38322</v>
      </c>
      <c r="LB127" s="19"/>
      <c r="LC127" s="93"/>
      <c r="LD127" s="93"/>
      <c r="LE127" s="93"/>
      <c r="LF127" s="93"/>
      <c r="LG127" s="93"/>
      <c r="LH127" s="20"/>
      <c r="LI127" s="29">
        <v>60</v>
      </c>
      <c r="LJ127" s="19"/>
      <c r="LK127" s="93"/>
      <c r="LL127" s="93"/>
      <c r="LM127" s="93"/>
      <c r="LN127" s="93"/>
      <c r="LO127" s="20"/>
      <c r="LP127" s="29">
        <v>60</v>
      </c>
      <c r="LQ127" s="19"/>
      <c r="LR127" s="93"/>
      <c r="LS127" s="93"/>
      <c r="LT127" s="93"/>
      <c r="LU127" s="93"/>
      <c r="LV127" s="93"/>
      <c r="LW127" s="93"/>
      <c r="LX127" s="93"/>
      <c r="LY127" s="93"/>
      <c r="LZ127" s="93"/>
      <c r="MA127" s="20"/>
      <c r="MB127" s="29">
        <v>60</v>
      </c>
      <c r="MC127" s="1504">
        <v>38322</v>
      </c>
      <c r="MD127" s="19"/>
      <c r="ME127" s="93"/>
      <c r="MF127" s="93"/>
      <c r="MG127" s="93"/>
      <c r="MH127" s="93"/>
      <c r="MI127" s="93"/>
      <c r="MJ127" s="93"/>
      <c r="MK127" s="93"/>
      <c r="ML127" s="93"/>
      <c r="MM127" s="93"/>
      <c r="MN127" s="93"/>
      <c r="MO127" s="93"/>
      <c r="MP127" s="93"/>
      <c r="MQ127" s="93"/>
      <c r="MR127" s="93"/>
      <c r="MS127" s="93"/>
      <c r="MT127" s="93"/>
      <c r="MU127" s="93"/>
      <c r="MV127" s="93"/>
      <c r="MW127" s="93"/>
      <c r="MX127" s="93"/>
      <c r="MY127" s="93"/>
      <c r="MZ127" s="93"/>
      <c r="NA127" s="93"/>
      <c r="NB127" s="93"/>
      <c r="NC127" s="93"/>
      <c r="ND127" s="93"/>
      <c r="NE127" s="93"/>
      <c r="NF127" s="93"/>
      <c r="NG127" s="93"/>
      <c r="NH127" s="93"/>
      <c r="NI127" s="93"/>
      <c r="NJ127" s="93"/>
      <c r="NK127" s="93"/>
      <c r="NL127" s="93"/>
      <c r="NM127" s="93"/>
      <c r="NN127" s="93"/>
      <c r="NO127" s="93"/>
      <c r="NP127" s="93"/>
      <c r="NQ127" s="93"/>
      <c r="NR127" s="93"/>
      <c r="NS127" s="93"/>
      <c r="NT127" s="93"/>
      <c r="NU127" s="93"/>
      <c r="NV127" s="93"/>
      <c r="NW127" s="93"/>
      <c r="NX127" s="93"/>
      <c r="NY127" s="93"/>
      <c r="NZ127" s="93"/>
      <c r="OA127" s="93"/>
      <c r="OB127" s="93"/>
      <c r="OC127" s="93"/>
      <c r="OD127" s="20"/>
      <c r="OE127" s="29">
        <v>60</v>
      </c>
      <c r="OF127" s="1504">
        <v>38322</v>
      </c>
      <c r="OG127" s="19"/>
      <c r="OH127" s="93">
        <v>176.3552</v>
      </c>
      <c r="OI127" s="93">
        <v>237.82534876473736</v>
      </c>
      <c r="OJ127" s="93">
        <v>0.300513476</v>
      </c>
      <c r="OK127" s="93">
        <v>192.44113528873737</v>
      </c>
      <c r="OL127" s="93">
        <v>45.0837</v>
      </c>
      <c r="OM127" s="93">
        <v>414.18054876473735</v>
      </c>
      <c r="ON127" s="93">
        <v>182.64604960417302</v>
      </c>
      <c r="OO127" s="93">
        <v>596.82659836891037</v>
      </c>
      <c r="OP127" s="93"/>
      <c r="OQ127" s="93">
        <v>285.3507117462409</v>
      </c>
      <c r="OR127" s="93">
        <v>223.29061859999993</v>
      </c>
      <c r="OS127" s="93">
        <v>62.060093146241002</v>
      </c>
      <c r="OT127" s="93">
        <v>369.12995252266938</v>
      </c>
      <c r="OU127" s="93">
        <v>-44.864719090999984</v>
      </c>
      <c r="OV127" s="93">
        <v>10.056280909000009</v>
      </c>
      <c r="OW127" s="93">
        <v>-54.920999999999992</v>
      </c>
      <c r="OX127" s="93">
        <v>413.99467161366937</v>
      </c>
      <c r="OY127" s="93">
        <v>2.4055798670000006</v>
      </c>
      <c r="OZ127" s="93">
        <v>411.5890917466694</v>
      </c>
      <c r="PA127" s="93">
        <v>92.373954184000013</v>
      </c>
      <c r="PB127" s="93">
        <v>-34.719888283999992</v>
      </c>
      <c r="PC127" s="20">
        <v>596.82659836891025</v>
      </c>
      <c r="PD127" s="29">
        <v>60</v>
      </c>
      <c r="PE127" s="19"/>
      <c r="PF127" s="93">
        <v>223.29061859999993</v>
      </c>
      <c r="PG127" s="93">
        <v>432.80139287399993</v>
      </c>
      <c r="PH127" s="93">
        <v>209.510774274</v>
      </c>
      <c r="PI127" s="93">
        <v>1.2471785550000001</v>
      </c>
      <c r="PJ127" s="93">
        <v>10.056280909000009</v>
      </c>
      <c r="PK127" s="93">
        <v>93.001884715000003</v>
      </c>
      <c r="PL127" s="93">
        <v>82.945603805999994</v>
      </c>
      <c r="PM127" s="93">
        <v>2.4055798670000006</v>
      </c>
      <c r="PN127" s="93">
        <v>0</v>
      </c>
      <c r="PO127" s="93">
        <v>0</v>
      </c>
      <c r="PP127" s="93">
        <v>6.5881100000000003E-4</v>
      </c>
      <c r="PQ127" s="93">
        <v>2.4049210560000005</v>
      </c>
      <c r="PR127" s="93">
        <v>239.021033934</v>
      </c>
      <c r="PS127" s="93">
        <v>192.2002</v>
      </c>
      <c r="PT127" s="93">
        <v>46.520320458</v>
      </c>
      <c r="PU127" s="93">
        <v>0.300513476</v>
      </c>
      <c r="PV127" s="93">
        <v>0</v>
      </c>
      <c r="PW127" s="93">
        <v>3.7906612169999998</v>
      </c>
      <c r="PX127" s="93">
        <v>0</v>
      </c>
      <c r="PY127" s="93">
        <v>0</v>
      </c>
      <c r="PZ127" s="93">
        <v>3.7906612169999998</v>
      </c>
      <c r="QA127" s="93">
        <v>0</v>
      </c>
      <c r="QB127" s="93">
        <v>0</v>
      </c>
      <c r="QC127" s="93">
        <v>0</v>
      </c>
      <c r="QD127" s="93">
        <v>-4.1297070330000007</v>
      </c>
      <c r="QE127" s="20">
        <v>-1.6823301869999989</v>
      </c>
      <c r="QF127" s="1739">
        <v>60</v>
      </c>
      <c r="QG127" s="19"/>
      <c r="QH127" s="1035">
        <v>62.060093146241002</v>
      </c>
      <c r="QI127" s="1035">
        <v>146.87790825333062</v>
      </c>
      <c r="QJ127" s="1035">
        <v>-84.817815107089615</v>
      </c>
      <c r="QK127" s="1035">
        <v>66.423000000000002</v>
      </c>
      <c r="QL127" s="1035">
        <v>15.845000000000001</v>
      </c>
      <c r="QM127" s="1035">
        <v>50.578000000000003</v>
      </c>
      <c r="QN127" s="1035">
        <v>0</v>
      </c>
      <c r="QO127" s="1035">
        <v>-54.920999999999992</v>
      </c>
      <c r="QP127" s="1035">
        <v>32.03</v>
      </c>
      <c r="QQ127" s="1035">
        <v>-86.950999999999993</v>
      </c>
      <c r="QR127" s="1035">
        <v>411.5890917466694</v>
      </c>
      <c r="QS127" s="1035">
        <v>6.2851096068741672</v>
      </c>
      <c r="QT127" s="1035">
        <v>0</v>
      </c>
      <c r="QU127" s="1035">
        <v>35.313000000000002</v>
      </c>
      <c r="QV127" s="1035">
        <v>369.99098213979522</v>
      </c>
      <c r="QW127" s="93"/>
      <c r="QX127" s="93">
        <v>0.28899999999999998</v>
      </c>
      <c r="QY127" s="93">
        <v>192.44113528873737</v>
      </c>
      <c r="QZ127" s="93">
        <v>182.64604960417304</v>
      </c>
      <c r="RA127" s="93">
        <v>0</v>
      </c>
      <c r="RB127" s="93">
        <v>21.777999999999999</v>
      </c>
      <c r="RC127" s="93">
        <v>0</v>
      </c>
      <c r="RD127" s="93">
        <v>4.1890000000000001</v>
      </c>
      <c r="RE127" s="93">
        <v>0</v>
      </c>
      <c r="RF127" s="93">
        <v>0</v>
      </c>
      <c r="RG127" s="93">
        <v>66.746000000000009</v>
      </c>
      <c r="RH127" s="93">
        <v>17.062000000000012</v>
      </c>
      <c r="RI127" s="93"/>
      <c r="RJ127" s="93"/>
      <c r="RK127" s="93"/>
      <c r="RL127" s="93"/>
      <c r="RM127" s="20"/>
      <c r="RN127" s="29">
        <v>60</v>
      </c>
      <c r="RO127" s="19"/>
      <c r="RP127" s="20"/>
      <c r="RQ127" s="29">
        <v>60</v>
      </c>
      <c r="RR127" s="20"/>
      <c r="RS127" s="29">
        <v>60</v>
      </c>
      <c r="RT127" s="1504">
        <v>38322</v>
      </c>
      <c r="RU127" s="19"/>
      <c r="RV127" s="20"/>
      <c r="RW127" s="29">
        <v>60</v>
      </c>
      <c r="RX127" s="1504">
        <v>38322</v>
      </c>
      <c r="RY127" s="29"/>
      <c r="RZ127" s="20"/>
      <c r="SA127" s="29"/>
      <c r="SB127" s="29">
        <v>60</v>
      </c>
    </row>
    <row r="128" spans="1:496">
      <c r="A128" s="41">
        <f t="shared" si="187"/>
        <v>2005</v>
      </c>
      <c r="B128" s="1504">
        <v>38353</v>
      </c>
      <c r="C128" s="1813"/>
      <c r="D128" s="1814"/>
      <c r="E128" s="1814"/>
      <c r="F128" s="1815"/>
      <c r="G128" s="1814"/>
      <c r="H128" s="1814"/>
      <c r="I128" s="1814"/>
      <c r="J128" s="1816"/>
      <c r="K128" s="1807"/>
      <c r="L128" s="25">
        <v>61</v>
      </c>
      <c r="M128" s="97"/>
      <c r="N128" s="1504">
        <v>38353</v>
      </c>
      <c r="O128" s="19"/>
      <c r="P128" s="93"/>
      <c r="Q128" s="93"/>
      <c r="R128" s="93"/>
      <c r="S128" s="93"/>
      <c r="T128" s="93"/>
      <c r="U128" s="93"/>
      <c r="V128" s="93"/>
      <c r="W128" s="93"/>
      <c r="X128" s="93"/>
      <c r="Y128" s="93"/>
      <c r="Z128" s="93"/>
      <c r="AA128" s="93"/>
      <c r="AB128" s="20"/>
      <c r="AC128" s="25">
        <v>61</v>
      </c>
      <c r="AD128" s="97"/>
      <c r="AE128" s="1504">
        <v>38353</v>
      </c>
      <c r="AF128" s="19"/>
      <c r="AG128" s="93"/>
      <c r="AH128" s="93"/>
      <c r="AI128" s="93"/>
      <c r="AJ128" s="93"/>
      <c r="AK128" s="93"/>
      <c r="AL128" s="93"/>
      <c r="AM128" s="93"/>
      <c r="AN128" s="93"/>
      <c r="AO128" s="93"/>
      <c r="AP128" s="93"/>
      <c r="AQ128" s="93"/>
      <c r="AR128" s="93"/>
      <c r="AS128" s="20"/>
      <c r="AT128" s="25">
        <v>61</v>
      </c>
      <c r="AU128" s="97"/>
      <c r="AV128" s="1504">
        <v>38353</v>
      </c>
      <c r="AW128" s="19"/>
      <c r="AX128" s="93"/>
      <c r="AY128" s="93"/>
      <c r="AZ128" s="93"/>
      <c r="BA128" s="93"/>
      <c r="BB128" s="93"/>
      <c r="BC128" s="93"/>
      <c r="BD128" s="93"/>
      <c r="BE128" s="93"/>
      <c r="BF128" s="93"/>
      <c r="BG128" s="93"/>
      <c r="BH128" s="93"/>
      <c r="BI128" s="93"/>
      <c r="BJ128" s="20"/>
      <c r="BK128" s="25">
        <v>61</v>
      </c>
      <c r="BL128" s="97"/>
      <c r="BM128" s="1504">
        <v>38353</v>
      </c>
      <c r="BN128" s="19"/>
      <c r="BO128" s="93"/>
      <c r="BP128" s="93"/>
      <c r="BQ128" s="93"/>
      <c r="BR128" s="93"/>
      <c r="BS128" s="93"/>
      <c r="BT128" s="93"/>
      <c r="BU128" s="20"/>
      <c r="BV128" s="25">
        <v>61</v>
      </c>
      <c r="BW128" s="97"/>
      <c r="BX128" s="1504">
        <v>38353</v>
      </c>
      <c r="BY128" s="19"/>
      <c r="BZ128" s="99">
        <v>664.95699999999999</v>
      </c>
      <c r="CA128" s="93"/>
      <c r="CB128" s="93"/>
      <c r="CC128" s="93"/>
      <c r="CD128" s="25">
        <v>61</v>
      </c>
      <c r="CE128" s="97"/>
      <c r="CF128" s="1504">
        <v>38353</v>
      </c>
      <c r="CG128" s="19">
        <v>1.1295528042857099</v>
      </c>
      <c r="CH128" s="93">
        <v>424.03</v>
      </c>
      <c r="CI128" s="219"/>
      <c r="CJ128" s="20"/>
      <c r="CK128" s="19"/>
      <c r="CL128" s="93"/>
      <c r="CM128" s="93"/>
      <c r="CN128" s="93"/>
      <c r="CO128" s="93"/>
      <c r="CP128" s="20"/>
      <c r="CQ128" s="219">
        <v>1234.5899999999999</v>
      </c>
      <c r="CR128" s="93">
        <v>1.508</v>
      </c>
      <c r="CS128" s="93"/>
      <c r="CT128" s="93"/>
      <c r="CU128" s="93"/>
      <c r="CV128" s="214"/>
      <c r="CW128" s="29">
        <v>61</v>
      </c>
      <c r="CX128" s="41">
        <f t="shared" si="188"/>
        <v>2005</v>
      </c>
      <c r="CY128" s="1504">
        <v>38353</v>
      </c>
      <c r="CZ128" s="1916">
        <v>41.287711000000002</v>
      </c>
      <c r="DA128" s="1526">
        <v>25.265514</v>
      </c>
      <c r="DB128" s="1526">
        <v>16.022196999999998</v>
      </c>
      <c r="DC128" s="182">
        <f t="shared" ref="DC128:DC137" si="190">DC129</f>
        <v>256493</v>
      </c>
      <c r="DD128" s="182"/>
      <c r="DE128" s="290"/>
      <c r="DF128" s="29">
        <v>61</v>
      </c>
      <c r="DG128" s="1504">
        <v>38353</v>
      </c>
      <c r="DH128" s="19"/>
      <c r="DI128" s="93"/>
      <c r="DJ128" s="93"/>
      <c r="DK128" s="93"/>
      <c r="DL128" s="93"/>
      <c r="DM128" s="93"/>
      <c r="DN128" s="20"/>
      <c r="DO128" s="25"/>
      <c r="DP128" s="29">
        <v>61</v>
      </c>
      <c r="DQ128" s="1504">
        <v>38353</v>
      </c>
      <c r="DR128" s="19"/>
      <c r="DS128" s="93"/>
      <c r="DT128" s="93"/>
      <c r="DU128" s="93"/>
      <c r="DV128" s="93"/>
      <c r="DW128" s="93"/>
      <c r="DX128" s="20"/>
      <c r="DY128" s="29">
        <v>61</v>
      </c>
      <c r="DZ128" s="1504">
        <v>38353</v>
      </c>
      <c r="EA128" s="19"/>
      <c r="EB128" s="93"/>
      <c r="EC128" s="20"/>
      <c r="ED128" s="29">
        <v>61</v>
      </c>
      <c r="EE128" s="1504">
        <v>38353</v>
      </c>
      <c r="EF128" s="19"/>
      <c r="EG128" s="93"/>
      <c r="EH128" s="93"/>
      <c r="EI128" s="214"/>
      <c r="EJ128" s="93"/>
      <c r="EK128" s="93"/>
      <c r="EL128" s="93"/>
      <c r="EM128" s="93"/>
      <c r="EN128" s="20"/>
      <c r="EO128" s="29">
        <v>61</v>
      </c>
      <c r="EP128" s="1504">
        <v>38353</v>
      </c>
      <c r="EQ128" s="19"/>
      <c r="ER128" s="93"/>
      <c r="ES128" s="93"/>
      <c r="ET128" s="214"/>
      <c r="EU128" s="93"/>
      <c r="EV128" s="93"/>
      <c r="EW128" s="93"/>
      <c r="EX128" s="93"/>
      <c r="EY128" s="20"/>
      <c r="EZ128" s="29">
        <v>61</v>
      </c>
      <c r="FA128" s="1504">
        <v>38353</v>
      </c>
      <c r="FB128" s="29"/>
      <c r="FC128" s="29"/>
      <c r="FD128" s="29"/>
      <c r="FE128" s="29"/>
      <c r="FF128" s="29"/>
      <c r="FG128" s="29"/>
      <c r="FH128" s="29"/>
      <c r="FI128" s="29"/>
      <c r="FJ128" s="29"/>
      <c r="FK128" s="29">
        <v>61</v>
      </c>
      <c r="FL128" s="1504">
        <v>38353</v>
      </c>
      <c r="FM128" s="19"/>
      <c r="FN128" s="93"/>
      <c r="FO128" s="93"/>
      <c r="FP128" s="93"/>
      <c r="FQ128" s="93"/>
      <c r="FR128" s="93"/>
      <c r="FS128" s="93"/>
      <c r="FT128" s="93"/>
      <c r="FU128" s="93"/>
      <c r="FV128" s="93"/>
      <c r="FW128" s="93"/>
      <c r="FX128" s="93"/>
      <c r="FY128" s="93"/>
      <c r="FZ128" s="29">
        <v>61</v>
      </c>
      <c r="GA128" s="1504">
        <v>38353</v>
      </c>
      <c r="GB128" s="19"/>
      <c r="GC128" s="93"/>
      <c r="GD128" s="93"/>
      <c r="GE128" s="93"/>
      <c r="GF128" s="93"/>
      <c r="GG128" s="93"/>
      <c r="GH128" s="93"/>
      <c r="GI128" s="93"/>
      <c r="GJ128" s="93"/>
      <c r="GK128" s="93"/>
      <c r="GL128" s="93"/>
      <c r="GM128" s="93"/>
      <c r="GN128" s="20"/>
      <c r="GO128" s="29">
        <v>61</v>
      </c>
      <c r="GP128" s="1504">
        <v>38353</v>
      </c>
      <c r="GQ128" s="19"/>
      <c r="GR128" s="93"/>
      <c r="GS128" s="93"/>
      <c r="GT128" s="93"/>
      <c r="GU128" s="93"/>
      <c r="GV128" s="20"/>
      <c r="GW128" s="19"/>
      <c r="GX128" s="93"/>
      <c r="GY128" s="93"/>
      <c r="GZ128" s="93"/>
      <c r="HA128" s="93"/>
      <c r="HB128" s="20"/>
      <c r="HC128" s="19"/>
      <c r="HD128" s="93"/>
      <c r="HE128" s="93"/>
      <c r="HF128" s="93"/>
      <c r="HG128" s="93"/>
      <c r="HH128" s="20"/>
      <c r="HI128" s="19"/>
      <c r="HJ128" s="93"/>
      <c r="HK128" s="93"/>
      <c r="HL128" s="93"/>
      <c r="HM128" s="93"/>
      <c r="HN128" s="20"/>
      <c r="HO128" s="219"/>
      <c r="HP128" s="20"/>
      <c r="HQ128" s="25"/>
      <c r="HR128" s="29">
        <v>61</v>
      </c>
      <c r="HS128" s="1504">
        <v>38353</v>
      </c>
      <c r="HT128" s="179">
        <v>126.17547760009765</v>
      </c>
      <c r="HU128" s="99">
        <v>197.25917053222656</v>
      </c>
      <c r="HV128" s="99"/>
      <c r="HW128" s="99"/>
      <c r="HX128" s="99">
        <v>137.36749267578125</v>
      </c>
      <c r="HY128" s="99"/>
      <c r="HZ128" s="99">
        <v>166.46963691711426</v>
      </c>
      <c r="IA128" s="132">
        <v>128.49462890625</v>
      </c>
      <c r="IB128" s="179">
        <v>94.059406280517578</v>
      </c>
      <c r="IC128" s="99">
        <v>92.894738769531244</v>
      </c>
      <c r="ID128" s="99">
        <v>129.76067161560059</v>
      </c>
      <c r="IE128" s="99"/>
      <c r="IF128" s="99">
        <v>134.75976181030273</v>
      </c>
      <c r="IG128" s="132">
        <v>107.61421203613281</v>
      </c>
      <c r="IH128" s="179">
        <v>86.697330474853516</v>
      </c>
      <c r="II128" s="99">
        <v>181.77407264709473</v>
      </c>
      <c r="IJ128" s="99"/>
      <c r="IK128" s="99">
        <v>119.04761505126953</v>
      </c>
      <c r="IL128" s="99"/>
      <c r="IM128" s="99">
        <v>121.66666412353516</v>
      </c>
      <c r="IN128" s="93"/>
      <c r="IO128" s="132">
        <v>123.31866836547852</v>
      </c>
      <c r="IP128" s="29">
        <v>61</v>
      </c>
      <c r="IQ128" s="19"/>
      <c r="IR128" s="93"/>
      <c r="IS128" s="93"/>
      <c r="IT128" s="93"/>
      <c r="IU128" s="93"/>
      <c r="IV128" s="20"/>
      <c r="IW128" s="29">
        <v>61</v>
      </c>
      <c r="IX128" s="19"/>
      <c r="IY128" s="93"/>
      <c r="IZ128" s="93"/>
      <c r="JA128" s="93"/>
      <c r="JB128" s="93"/>
      <c r="JC128" s="93"/>
      <c r="JD128" s="93"/>
      <c r="JE128" s="20"/>
      <c r="JF128" s="29">
        <v>61</v>
      </c>
      <c r="JG128" s="19"/>
      <c r="JH128" s="93"/>
      <c r="JI128" s="93"/>
      <c r="JJ128" s="93"/>
      <c r="JK128" s="93"/>
      <c r="JL128" s="93"/>
      <c r="JM128" s="93"/>
      <c r="JN128" s="20"/>
      <c r="JO128" s="29">
        <v>61</v>
      </c>
      <c r="JP128" s="19"/>
      <c r="JQ128" s="93"/>
      <c r="JR128" s="93"/>
      <c r="JS128" s="93"/>
      <c r="JT128" s="93"/>
      <c r="JU128" s="20"/>
      <c r="JV128" s="29">
        <v>61</v>
      </c>
      <c r="JW128" s="1504">
        <v>38353</v>
      </c>
      <c r="JX128" s="19"/>
      <c r="JY128" s="93"/>
      <c r="JZ128" s="93"/>
      <c r="KA128" s="93"/>
      <c r="KB128" s="93"/>
      <c r="KC128" s="93"/>
      <c r="KD128" s="20"/>
      <c r="KE128" s="29">
        <v>61</v>
      </c>
      <c r="KF128" s="19"/>
      <c r="KG128" s="93"/>
      <c r="KH128" s="93"/>
      <c r="KI128" s="93"/>
      <c r="KJ128" s="93"/>
      <c r="KK128" s="20"/>
      <c r="KL128" s="29">
        <v>61</v>
      </c>
      <c r="KM128" s="19"/>
      <c r="KN128" s="93"/>
      <c r="KO128" s="93"/>
      <c r="KP128" s="93"/>
      <c r="KQ128" s="93"/>
      <c r="KR128" s="20"/>
      <c r="KS128" s="29">
        <v>61</v>
      </c>
      <c r="KT128" s="19"/>
      <c r="KU128" s="93"/>
      <c r="KV128" s="93"/>
      <c r="KW128" s="93"/>
      <c r="KX128" s="93"/>
      <c r="KY128" s="20"/>
      <c r="KZ128" s="29">
        <v>61</v>
      </c>
      <c r="LA128" s="1504">
        <v>38353</v>
      </c>
      <c r="LB128" s="19"/>
      <c r="LC128" s="93"/>
      <c r="LD128" s="93"/>
      <c r="LE128" s="93"/>
      <c r="LF128" s="93"/>
      <c r="LG128" s="93"/>
      <c r="LH128" s="20"/>
      <c r="LI128" s="29">
        <v>61</v>
      </c>
      <c r="LJ128" s="19"/>
      <c r="LK128" s="93"/>
      <c r="LL128" s="93"/>
      <c r="LM128" s="93"/>
      <c r="LN128" s="93"/>
      <c r="LO128" s="20"/>
      <c r="LP128" s="29">
        <v>61</v>
      </c>
      <c r="LQ128" s="19"/>
      <c r="LR128" s="93"/>
      <c r="LS128" s="93"/>
      <c r="LT128" s="93"/>
      <c r="LU128" s="93"/>
      <c r="LV128" s="93"/>
      <c r="LW128" s="93"/>
      <c r="LX128" s="93"/>
      <c r="LY128" s="93"/>
      <c r="LZ128" s="93"/>
      <c r="MA128" s="20"/>
      <c r="MB128" s="29">
        <v>61</v>
      </c>
      <c r="MC128" s="1504">
        <v>38353</v>
      </c>
      <c r="MD128" s="19"/>
      <c r="ME128" s="93"/>
      <c r="MF128" s="93"/>
      <c r="MG128" s="93"/>
      <c r="MH128" s="93"/>
      <c r="MI128" s="93"/>
      <c r="MJ128" s="93"/>
      <c r="MK128" s="93"/>
      <c r="ML128" s="93"/>
      <c r="MM128" s="93"/>
      <c r="MN128" s="93"/>
      <c r="MO128" s="93"/>
      <c r="MP128" s="93"/>
      <c r="MQ128" s="93"/>
      <c r="MR128" s="93"/>
      <c r="MS128" s="93"/>
      <c r="MT128" s="93"/>
      <c r="MU128" s="93"/>
      <c r="MV128" s="93"/>
      <c r="MW128" s="93"/>
      <c r="MX128" s="93"/>
      <c r="MY128" s="93"/>
      <c r="MZ128" s="93"/>
      <c r="NA128" s="93"/>
      <c r="NB128" s="93"/>
      <c r="NC128" s="93"/>
      <c r="ND128" s="93"/>
      <c r="NE128" s="93"/>
      <c r="NF128" s="93"/>
      <c r="NG128" s="93"/>
      <c r="NH128" s="93"/>
      <c r="NI128" s="93"/>
      <c r="NJ128" s="93"/>
      <c r="NK128" s="93"/>
      <c r="NL128" s="93"/>
      <c r="NM128" s="93"/>
      <c r="NN128" s="93"/>
      <c r="NO128" s="93"/>
      <c r="NP128" s="93"/>
      <c r="NQ128" s="93"/>
      <c r="NR128" s="93"/>
      <c r="NS128" s="93"/>
      <c r="NT128" s="93"/>
      <c r="NU128" s="93"/>
      <c r="NV128" s="93"/>
      <c r="NW128" s="93"/>
      <c r="NX128" s="93"/>
      <c r="NY128" s="93"/>
      <c r="NZ128" s="93"/>
      <c r="OA128" s="93"/>
      <c r="OB128" s="93"/>
      <c r="OC128" s="93"/>
      <c r="OD128" s="20"/>
      <c r="OE128" s="29">
        <v>61</v>
      </c>
      <c r="OF128" s="1504">
        <v>38353</v>
      </c>
      <c r="OG128" s="19"/>
      <c r="OH128" s="93">
        <v>179.3741</v>
      </c>
      <c r="OI128" s="93">
        <v>246.77684819946592</v>
      </c>
      <c r="OJ128" s="93">
        <v>0.27817420900000001</v>
      </c>
      <c r="OK128" s="93">
        <v>201.0028739904659</v>
      </c>
      <c r="OL128" s="93">
        <v>45.495800000000003</v>
      </c>
      <c r="OM128" s="93">
        <v>426.15094819946592</v>
      </c>
      <c r="ON128" s="93">
        <v>186.67946996789175</v>
      </c>
      <c r="OO128" s="93">
        <v>612.83041816735772</v>
      </c>
      <c r="OP128" s="93"/>
      <c r="OQ128" s="93">
        <v>268.16031109462227</v>
      </c>
      <c r="OR128" s="93">
        <v>214.451482521</v>
      </c>
      <c r="OS128" s="93">
        <v>53.708828573622313</v>
      </c>
      <c r="OT128" s="93">
        <v>409.87510050373527</v>
      </c>
      <c r="OU128" s="93">
        <v>-27.248627896999984</v>
      </c>
      <c r="OV128" s="93">
        <v>33.721372103</v>
      </c>
      <c r="OW128" s="93">
        <v>-60.969999999999985</v>
      </c>
      <c r="OX128" s="93">
        <v>437.12372840073527</v>
      </c>
      <c r="OY128" s="93">
        <v>2.4052130159999998</v>
      </c>
      <c r="OZ128" s="93">
        <v>434.71851538473527</v>
      </c>
      <c r="PA128" s="93">
        <v>97.849227947000003</v>
      </c>
      <c r="PB128" s="93">
        <v>-32.644234516000004</v>
      </c>
      <c r="PC128" s="20">
        <v>612.83041816735749</v>
      </c>
      <c r="PD128" s="29">
        <v>61</v>
      </c>
      <c r="PE128" s="19"/>
      <c r="PF128" s="93">
        <v>214.451482521</v>
      </c>
      <c r="PG128" s="93">
        <v>428.474588536</v>
      </c>
      <c r="PH128" s="93">
        <v>214.023106015</v>
      </c>
      <c r="PI128" s="93">
        <v>1.2470000000000001</v>
      </c>
      <c r="PJ128" s="93">
        <v>33.721372103</v>
      </c>
      <c r="PK128" s="93">
        <v>92.073990132000006</v>
      </c>
      <c r="PL128" s="93">
        <v>58.352618029000006</v>
      </c>
      <c r="PM128" s="93">
        <v>2.4052130159999998</v>
      </c>
      <c r="PN128" s="93">
        <v>0</v>
      </c>
      <c r="PO128" s="93">
        <v>0</v>
      </c>
      <c r="PP128" s="93">
        <v>4.8802900000000001E-4</v>
      </c>
      <c r="PQ128" s="93">
        <v>2.4047249869999998</v>
      </c>
      <c r="PR128" s="93">
        <v>252.37536322100001</v>
      </c>
      <c r="PS128" s="93">
        <v>197.83609999999999</v>
      </c>
      <c r="PT128" s="93">
        <v>54.261089011999999</v>
      </c>
      <c r="PU128" s="93">
        <v>0.27817420900000001</v>
      </c>
      <c r="PV128" s="93">
        <v>0</v>
      </c>
      <c r="PW128" s="93">
        <v>0.25713955700000002</v>
      </c>
      <c r="PX128" s="93">
        <v>0</v>
      </c>
      <c r="PY128" s="93">
        <v>0</v>
      </c>
      <c r="PZ128" s="93">
        <v>0.25713955700000002</v>
      </c>
      <c r="QA128" s="93">
        <v>0</v>
      </c>
      <c r="QB128" s="93">
        <v>0</v>
      </c>
      <c r="QC128" s="93">
        <v>0</v>
      </c>
      <c r="QD128" s="93">
        <v>-0.35191160999999999</v>
      </c>
      <c r="QE128" s="20">
        <v>-0.4555235280000004</v>
      </c>
      <c r="QF128" s="1739">
        <v>61</v>
      </c>
      <c r="QG128" s="19"/>
      <c r="QH128" s="1035">
        <v>53.708828573622313</v>
      </c>
      <c r="QI128" s="1035">
        <v>143.58248461526466</v>
      </c>
      <c r="QJ128" s="1035">
        <v>-89.873656041642349</v>
      </c>
      <c r="QK128" s="1035">
        <v>72.451999999999998</v>
      </c>
      <c r="QL128" s="1035">
        <v>18.462</v>
      </c>
      <c r="QM128" s="1035">
        <v>53.99</v>
      </c>
      <c r="QN128" s="1035">
        <v>0</v>
      </c>
      <c r="QO128" s="1035">
        <v>-60.969999999999985</v>
      </c>
      <c r="QP128" s="1035">
        <v>24.212</v>
      </c>
      <c r="QQ128" s="1035">
        <v>-85.181999999999988</v>
      </c>
      <c r="QR128" s="1035">
        <v>434.71851538473527</v>
      </c>
      <c r="QS128" s="1035">
        <v>5.0773027250427081</v>
      </c>
      <c r="QT128" s="1035">
        <v>0</v>
      </c>
      <c r="QU128" s="1035">
        <v>47.602000000000004</v>
      </c>
      <c r="QV128" s="1035">
        <v>382.03921265969257</v>
      </c>
      <c r="QW128" s="93"/>
      <c r="QX128" s="93">
        <v>0.27100000000000002</v>
      </c>
      <c r="QY128" s="93">
        <v>201.0028739904659</v>
      </c>
      <c r="QZ128" s="93">
        <v>186.67946996789175</v>
      </c>
      <c r="RA128" s="93">
        <v>0</v>
      </c>
      <c r="RB128" s="93">
        <v>21.553000000000001</v>
      </c>
      <c r="RC128" s="93">
        <v>0</v>
      </c>
      <c r="RD128" s="93">
        <v>6.516</v>
      </c>
      <c r="RE128" s="93">
        <v>0</v>
      </c>
      <c r="RF128" s="93">
        <v>0</v>
      </c>
      <c r="RG128" s="93">
        <v>69.875</v>
      </c>
      <c r="RH128" s="93">
        <v>14.012</v>
      </c>
      <c r="RI128" s="93"/>
      <c r="RJ128" s="93"/>
      <c r="RK128" s="93"/>
      <c r="RL128" s="93"/>
      <c r="RM128" s="20"/>
      <c r="RN128" s="29">
        <v>61</v>
      </c>
      <c r="RO128" s="19"/>
      <c r="RP128" s="20"/>
      <c r="RQ128" s="29">
        <v>61</v>
      </c>
      <c r="RR128" s="20"/>
      <c r="RS128" s="29">
        <v>61</v>
      </c>
      <c r="RT128" s="1504">
        <v>38353</v>
      </c>
      <c r="RU128" s="19"/>
      <c r="RV128" s="20"/>
      <c r="RW128" s="29">
        <v>61</v>
      </c>
      <c r="RX128" s="1504">
        <v>38353</v>
      </c>
      <c r="RY128" s="29"/>
      <c r="RZ128" s="20"/>
      <c r="SA128" s="29"/>
      <c r="SB128" s="29">
        <v>61</v>
      </c>
    </row>
    <row r="129" spans="1:496">
      <c r="A129" s="41">
        <f t="shared" si="187"/>
        <v>2005</v>
      </c>
      <c r="B129" s="1504">
        <v>38384</v>
      </c>
      <c r="C129" s="1813"/>
      <c r="D129" s="1814"/>
      <c r="E129" s="1814"/>
      <c r="F129" s="1815"/>
      <c r="G129" s="1814"/>
      <c r="H129" s="1814"/>
      <c r="I129" s="1814"/>
      <c r="J129" s="1816"/>
      <c r="K129" s="1807"/>
      <c r="L129" s="25">
        <v>62</v>
      </c>
      <c r="M129" s="97"/>
      <c r="N129" s="1504">
        <v>38384</v>
      </c>
      <c r="O129" s="19"/>
      <c r="P129" s="93"/>
      <c r="Q129" s="93"/>
      <c r="R129" s="93"/>
      <c r="S129" s="93"/>
      <c r="T129" s="93"/>
      <c r="U129" s="93"/>
      <c r="V129" s="93"/>
      <c r="W129" s="93"/>
      <c r="X129" s="93"/>
      <c r="Y129" s="93"/>
      <c r="Z129" s="93"/>
      <c r="AA129" s="93"/>
      <c r="AB129" s="20"/>
      <c r="AC129" s="25">
        <v>62</v>
      </c>
      <c r="AD129" s="97"/>
      <c r="AE129" s="1504">
        <v>38384</v>
      </c>
      <c r="AF129" s="19"/>
      <c r="AG129" s="93"/>
      <c r="AH129" s="93"/>
      <c r="AI129" s="93"/>
      <c r="AJ129" s="93"/>
      <c r="AK129" s="93"/>
      <c r="AL129" s="93"/>
      <c r="AM129" s="93"/>
      <c r="AN129" s="93"/>
      <c r="AO129" s="93"/>
      <c r="AP129" s="93"/>
      <c r="AQ129" s="93"/>
      <c r="AR129" s="93"/>
      <c r="AS129" s="20"/>
      <c r="AT129" s="25">
        <v>62</v>
      </c>
      <c r="AU129" s="97"/>
      <c r="AV129" s="1504">
        <v>38384</v>
      </c>
      <c r="AW129" s="19"/>
      <c r="AX129" s="93"/>
      <c r="AY129" s="93"/>
      <c r="AZ129" s="93"/>
      <c r="BA129" s="93"/>
      <c r="BB129" s="93"/>
      <c r="BC129" s="93"/>
      <c r="BD129" s="93"/>
      <c r="BE129" s="93"/>
      <c r="BF129" s="93"/>
      <c r="BG129" s="93"/>
      <c r="BH129" s="93"/>
      <c r="BI129" s="93"/>
      <c r="BJ129" s="20"/>
      <c r="BK129" s="25">
        <v>62</v>
      </c>
      <c r="BL129" s="97"/>
      <c r="BM129" s="1504">
        <v>38384</v>
      </c>
      <c r="BN129" s="19"/>
      <c r="BO129" s="93"/>
      <c r="BP129" s="93"/>
      <c r="BQ129" s="93"/>
      <c r="BR129" s="93"/>
      <c r="BS129" s="93"/>
      <c r="BT129" s="93"/>
      <c r="BU129" s="20"/>
      <c r="BV129" s="25">
        <v>62</v>
      </c>
      <c r="BW129" s="97"/>
      <c r="BX129" s="1504">
        <v>38384</v>
      </c>
      <c r="BY129" s="19"/>
      <c r="BZ129" s="99">
        <v>664.95699999999999</v>
      </c>
      <c r="CA129" s="93"/>
      <c r="CB129" s="93"/>
      <c r="CC129" s="93"/>
      <c r="CD129" s="25">
        <v>62</v>
      </c>
      <c r="CE129" s="97"/>
      <c r="CF129" s="1504">
        <v>38384</v>
      </c>
      <c r="CG129" s="19">
        <v>1.1556066885</v>
      </c>
      <c r="CH129" s="93">
        <v>423.35</v>
      </c>
      <c r="CI129" s="219"/>
      <c r="CJ129" s="20"/>
      <c r="CK129" s="19"/>
      <c r="CL129" s="93"/>
      <c r="CM129" s="93"/>
      <c r="CN129" s="93"/>
      <c r="CO129" s="93"/>
      <c r="CP129" s="20"/>
      <c r="CQ129" s="219">
        <v>1234.5899999999999</v>
      </c>
      <c r="CR129" s="93">
        <v>1.4824999999999999</v>
      </c>
      <c r="CS129" s="93"/>
      <c r="CT129" s="93"/>
      <c r="CU129" s="93"/>
      <c r="CV129" s="214"/>
      <c r="CW129" s="29">
        <v>62</v>
      </c>
      <c r="CX129" s="41">
        <f t="shared" si="188"/>
        <v>2005</v>
      </c>
      <c r="CY129" s="1504">
        <v>38384</v>
      </c>
      <c r="CZ129" s="1916">
        <v>37.525857999999999</v>
      </c>
      <c r="DA129" s="1526">
        <v>22.958411999999999</v>
      </c>
      <c r="DB129" s="1526">
        <v>14.567446</v>
      </c>
      <c r="DC129" s="182">
        <f t="shared" si="190"/>
        <v>256493</v>
      </c>
      <c r="DD129" s="182"/>
      <c r="DE129" s="290"/>
      <c r="DF129" s="29">
        <v>62</v>
      </c>
      <c r="DG129" s="1504">
        <v>38384</v>
      </c>
      <c r="DH129" s="19"/>
      <c r="DI129" s="93"/>
      <c r="DJ129" s="93"/>
      <c r="DK129" s="93"/>
      <c r="DL129" s="93"/>
      <c r="DM129" s="93"/>
      <c r="DN129" s="20"/>
      <c r="DO129" s="25"/>
      <c r="DP129" s="29">
        <v>62</v>
      </c>
      <c r="DQ129" s="1504">
        <v>38384</v>
      </c>
      <c r="DR129" s="19"/>
      <c r="DS129" s="93"/>
      <c r="DT129" s="93"/>
      <c r="DU129" s="93"/>
      <c r="DV129" s="93"/>
      <c r="DW129" s="93"/>
      <c r="DX129" s="20"/>
      <c r="DY129" s="29">
        <v>62</v>
      </c>
      <c r="DZ129" s="1504">
        <v>38384</v>
      </c>
      <c r="EA129" s="19"/>
      <c r="EB129" s="93"/>
      <c r="EC129" s="20"/>
      <c r="ED129" s="29">
        <v>62</v>
      </c>
      <c r="EE129" s="1504">
        <v>38384</v>
      </c>
      <c r="EF129" s="19"/>
      <c r="EG129" s="93"/>
      <c r="EH129" s="93"/>
      <c r="EI129" s="214"/>
      <c r="EJ129" s="93"/>
      <c r="EK129" s="93"/>
      <c r="EL129" s="93"/>
      <c r="EM129" s="93"/>
      <c r="EN129" s="20"/>
      <c r="EO129" s="29">
        <v>62</v>
      </c>
      <c r="EP129" s="1504">
        <v>38384</v>
      </c>
      <c r="EQ129" s="19"/>
      <c r="ER129" s="93"/>
      <c r="ES129" s="93"/>
      <c r="ET129" s="214"/>
      <c r="EU129" s="93"/>
      <c r="EV129" s="93"/>
      <c r="EW129" s="93"/>
      <c r="EX129" s="93"/>
      <c r="EY129" s="20"/>
      <c r="EZ129" s="29">
        <v>62</v>
      </c>
      <c r="FA129" s="1504">
        <v>38384</v>
      </c>
      <c r="FB129" s="29"/>
      <c r="FC129" s="29"/>
      <c r="FD129" s="29"/>
      <c r="FE129" s="29"/>
      <c r="FF129" s="29"/>
      <c r="FG129" s="29"/>
      <c r="FH129" s="29"/>
      <c r="FI129" s="29"/>
      <c r="FJ129" s="29"/>
      <c r="FK129" s="29">
        <v>62</v>
      </c>
      <c r="FL129" s="1504">
        <v>38384</v>
      </c>
      <c r="FM129" s="19"/>
      <c r="FN129" s="93"/>
      <c r="FO129" s="93"/>
      <c r="FP129" s="93"/>
      <c r="FQ129" s="93"/>
      <c r="FR129" s="93"/>
      <c r="FS129" s="93"/>
      <c r="FT129" s="93"/>
      <c r="FU129" s="93"/>
      <c r="FV129" s="93"/>
      <c r="FW129" s="93"/>
      <c r="FX129" s="93"/>
      <c r="FY129" s="93"/>
      <c r="FZ129" s="29">
        <v>62</v>
      </c>
      <c r="GA129" s="1504">
        <v>38384</v>
      </c>
      <c r="GB129" s="19"/>
      <c r="GC129" s="93"/>
      <c r="GD129" s="93"/>
      <c r="GE129" s="93"/>
      <c r="GF129" s="93"/>
      <c r="GG129" s="93"/>
      <c r="GH129" s="93"/>
      <c r="GI129" s="93"/>
      <c r="GJ129" s="93"/>
      <c r="GK129" s="93"/>
      <c r="GL129" s="93"/>
      <c r="GM129" s="93"/>
      <c r="GN129" s="20"/>
      <c r="GO129" s="29">
        <v>62</v>
      </c>
      <c r="GP129" s="1504">
        <v>38384</v>
      </c>
      <c r="GQ129" s="19"/>
      <c r="GR129" s="93"/>
      <c r="GS129" s="93"/>
      <c r="GT129" s="93"/>
      <c r="GU129" s="93"/>
      <c r="GV129" s="20"/>
      <c r="GW129" s="19"/>
      <c r="GX129" s="93"/>
      <c r="GY129" s="93"/>
      <c r="GZ129" s="93"/>
      <c r="HA129" s="93"/>
      <c r="HB129" s="20"/>
      <c r="HC129" s="19"/>
      <c r="HD129" s="93"/>
      <c r="HE129" s="93"/>
      <c r="HF129" s="93"/>
      <c r="HG129" s="93"/>
      <c r="HH129" s="20"/>
      <c r="HI129" s="19"/>
      <c r="HJ129" s="93"/>
      <c r="HK129" s="93"/>
      <c r="HL129" s="93"/>
      <c r="HM129" s="93"/>
      <c r="HN129" s="20"/>
      <c r="HO129" s="219"/>
      <c r="HP129" s="20"/>
      <c r="HQ129" s="25"/>
      <c r="HR129" s="29">
        <v>62</v>
      </c>
      <c r="HS129" s="1504">
        <v>38384</v>
      </c>
      <c r="HT129" s="179">
        <v>128.96084403991699</v>
      </c>
      <c r="HU129" s="99">
        <v>210.75342178344727</v>
      </c>
      <c r="HV129" s="99"/>
      <c r="HW129" s="99"/>
      <c r="HX129" s="99">
        <v>147.96820068359375</v>
      </c>
      <c r="HY129" s="99"/>
      <c r="HZ129" s="99">
        <v>171.32536315917969</v>
      </c>
      <c r="IA129" s="132">
        <v>142.48365783691406</v>
      </c>
      <c r="IB129" s="179">
        <v>95.846641540527344</v>
      </c>
      <c r="IC129" s="99">
        <v>108.58918190002441</v>
      </c>
      <c r="ID129" s="99">
        <v>151.36038208007813</v>
      </c>
      <c r="IE129" s="99"/>
      <c r="IF129" s="99">
        <v>152.95526885986328</v>
      </c>
      <c r="IG129" s="132">
        <v>118.65481948852539</v>
      </c>
      <c r="IH129" s="179">
        <v>114.43599605560303</v>
      </c>
      <c r="II129" s="99">
        <v>185.78670310974121</v>
      </c>
      <c r="IJ129" s="99"/>
      <c r="IK129" s="99">
        <v>135.06553649902344</v>
      </c>
      <c r="IL129" s="99"/>
      <c r="IM129" s="99">
        <v>130.9999969482422</v>
      </c>
      <c r="IN129" s="93"/>
      <c r="IO129" s="132">
        <v>147.3312816619873</v>
      </c>
      <c r="IP129" s="29">
        <v>62</v>
      </c>
      <c r="IQ129" s="19"/>
      <c r="IR129" s="93"/>
      <c r="IS129" s="93"/>
      <c r="IT129" s="93"/>
      <c r="IU129" s="93"/>
      <c r="IV129" s="20"/>
      <c r="IW129" s="29">
        <v>62</v>
      </c>
      <c r="IX129" s="19"/>
      <c r="IY129" s="93"/>
      <c r="IZ129" s="93"/>
      <c r="JA129" s="93"/>
      <c r="JB129" s="93"/>
      <c r="JC129" s="93"/>
      <c r="JD129" s="93"/>
      <c r="JE129" s="20"/>
      <c r="JF129" s="29">
        <v>62</v>
      </c>
      <c r="JG129" s="19"/>
      <c r="JH129" s="93"/>
      <c r="JI129" s="93"/>
      <c r="JJ129" s="93"/>
      <c r="JK129" s="93"/>
      <c r="JL129" s="93"/>
      <c r="JM129" s="93"/>
      <c r="JN129" s="20"/>
      <c r="JO129" s="29">
        <v>62</v>
      </c>
      <c r="JP129" s="19"/>
      <c r="JQ129" s="93"/>
      <c r="JR129" s="93"/>
      <c r="JS129" s="93"/>
      <c r="JT129" s="93"/>
      <c r="JU129" s="20"/>
      <c r="JV129" s="29">
        <v>62</v>
      </c>
      <c r="JW129" s="1504">
        <v>38384</v>
      </c>
      <c r="JX129" s="19"/>
      <c r="JY129" s="93"/>
      <c r="JZ129" s="93"/>
      <c r="KA129" s="93"/>
      <c r="KB129" s="93"/>
      <c r="KC129" s="93"/>
      <c r="KD129" s="20"/>
      <c r="KE129" s="29">
        <v>62</v>
      </c>
      <c r="KF129" s="19"/>
      <c r="KG129" s="93"/>
      <c r="KH129" s="93"/>
      <c r="KI129" s="93"/>
      <c r="KJ129" s="93"/>
      <c r="KK129" s="20"/>
      <c r="KL129" s="29">
        <v>62</v>
      </c>
      <c r="KM129" s="19"/>
      <c r="KN129" s="93"/>
      <c r="KO129" s="93"/>
      <c r="KP129" s="93"/>
      <c r="KQ129" s="93"/>
      <c r="KR129" s="20"/>
      <c r="KS129" s="29">
        <v>62</v>
      </c>
      <c r="KT129" s="19"/>
      <c r="KU129" s="93"/>
      <c r="KV129" s="93"/>
      <c r="KW129" s="93"/>
      <c r="KX129" s="93"/>
      <c r="KY129" s="20"/>
      <c r="KZ129" s="29">
        <v>62</v>
      </c>
      <c r="LA129" s="1504">
        <v>38384</v>
      </c>
      <c r="LB129" s="19"/>
      <c r="LC129" s="93"/>
      <c r="LD129" s="93"/>
      <c r="LE129" s="93"/>
      <c r="LF129" s="93"/>
      <c r="LG129" s="93"/>
      <c r="LH129" s="20"/>
      <c r="LI129" s="29">
        <v>62</v>
      </c>
      <c r="LJ129" s="19"/>
      <c r="LK129" s="93"/>
      <c r="LL129" s="93"/>
      <c r="LM129" s="93"/>
      <c r="LN129" s="93"/>
      <c r="LO129" s="20"/>
      <c r="LP129" s="29">
        <v>62</v>
      </c>
      <c r="LQ129" s="19"/>
      <c r="LR129" s="93"/>
      <c r="LS129" s="93"/>
      <c r="LT129" s="93"/>
      <c r="LU129" s="93"/>
      <c r="LV129" s="93"/>
      <c r="LW129" s="93"/>
      <c r="LX129" s="93"/>
      <c r="LY129" s="93"/>
      <c r="LZ129" s="93"/>
      <c r="MA129" s="20"/>
      <c r="MB129" s="29">
        <v>62</v>
      </c>
      <c r="MC129" s="1504">
        <v>38384</v>
      </c>
      <c r="MD129" s="19"/>
      <c r="ME129" s="93"/>
      <c r="MF129" s="93"/>
      <c r="MG129" s="93"/>
      <c r="MH129" s="93"/>
      <c r="MI129" s="93"/>
      <c r="MJ129" s="93"/>
      <c r="MK129" s="93"/>
      <c r="ML129" s="93"/>
      <c r="MM129" s="93"/>
      <c r="MN129" s="93"/>
      <c r="MO129" s="93"/>
      <c r="MP129" s="93"/>
      <c r="MQ129" s="93"/>
      <c r="MR129" s="93"/>
      <c r="MS129" s="93"/>
      <c r="MT129" s="93"/>
      <c r="MU129" s="93"/>
      <c r="MV129" s="93"/>
      <c r="MW129" s="93"/>
      <c r="MX129" s="93"/>
      <c r="MY129" s="93"/>
      <c r="MZ129" s="93"/>
      <c r="NA129" s="93"/>
      <c r="NB129" s="93"/>
      <c r="NC129" s="93"/>
      <c r="ND129" s="93"/>
      <c r="NE129" s="93"/>
      <c r="NF129" s="93"/>
      <c r="NG129" s="93"/>
      <c r="NH129" s="93"/>
      <c r="NI129" s="93"/>
      <c r="NJ129" s="93"/>
      <c r="NK129" s="93"/>
      <c r="NL129" s="93"/>
      <c r="NM129" s="93"/>
      <c r="NN129" s="93"/>
      <c r="NO129" s="93"/>
      <c r="NP129" s="93"/>
      <c r="NQ129" s="93"/>
      <c r="NR129" s="93"/>
      <c r="NS129" s="93"/>
      <c r="NT129" s="93"/>
      <c r="NU129" s="93"/>
      <c r="NV129" s="93"/>
      <c r="NW129" s="93"/>
      <c r="NX129" s="93"/>
      <c r="NY129" s="93"/>
      <c r="NZ129" s="93"/>
      <c r="OA129" s="93"/>
      <c r="OB129" s="93"/>
      <c r="OC129" s="93"/>
      <c r="OD129" s="20"/>
      <c r="OE129" s="29">
        <v>62</v>
      </c>
      <c r="OF129" s="1504">
        <v>38384</v>
      </c>
      <c r="OG129" s="19"/>
      <c r="OH129" s="93">
        <v>183.47739999999999</v>
      </c>
      <c r="OI129" s="93">
        <v>258.39818894678183</v>
      </c>
      <c r="OJ129" s="93">
        <v>0.26138753799999997</v>
      </c>
      <c r="OK129" s="93">
        <v>211.98500140878184</v>
      </c>
      <c r="OL129" s="93">
        <v>46.151800000000001</v>
      </c>
      <c r="OM129" s="93">
        <v>441.87558894678182</v>
      </c>
      <c r="ON129" s="93">
        <v>190.57688634509077</v>
      </c>
      <c r="OO129" s="93">
        <v>632.45247529187259</v>
      </c>
      <c r="OP129" s="93"/>
      <c r="OQ129" s="93">
        <v>252.01328376770653</v>
      </c>
      <c r="OR129" s="93">
        <v>202.93932005000005</v>
      </c>
      <c r="OS129" s="93">
        <v>49.073963717706505</v>
      </c>
      <c r="OT129" s="93">
        <v>442.74392029316607</v>
      </c>
      <c r="OU129" s="93">
        <v>-16.790403448999996</v>
      </c>
      <c r="OV129" s="93">
        <v>44.499596551000003</v>
      </c>
      <c r="OW129" s="93">
        <v>-61.29</v>
      </c>
      <c r="OX129" s="93">
        <v>459.53432374216607</v>
      </c>
      <c r="OY129" s="93">
        <v>2.3883997060000004</v>
      </c>
      <c r="OZ129" s="93">
        <v>457.14592403616609</v>
      </c>
      <c r="PA129" s="93">
        <v>100.10851862799998</v>
      </c>
      <c r="PB129" s="93">
        <v>-37.80378985900002</v>
      </c>
      <c r="PC129" s="20">
        <v>632.4524752918727</v>
      </c>
      <c r="PD129" s="29">
        <v>62</v>
      </c>
      <c r="PE129" s="19"/>
      <c r="PF129" s="93">
        <v>202.93932005000005</v>
      </c>
      <c r="PG129" s="93">
        <v>420.58749458400001</v>
      </c>
      <c r="PH129" s="93">
        <v>217.64817453399996</v>
      </c>
      <c r="PI129" s="93">
        <v>1.2470000000000001</v>
      </c>
      <c r="PJ129" s="93">
        <v>44.499596551000003</v>
      </c>
      <c r="PK129" s="93">
        <v>96.976427861000005</v>
      </c>
      <c r="PL129" s="93">
        <v>52.476831310000001</v>
      </c>
      <c r="PM129" s="93">
        <v>2.3883997060000004</v>
      </c>
      <c r="PN129" s="93">
        <v>0</v>
      </c>
      <c r="PO129" s="93">
        <v>0</v>
      </c>
      <c r="PP129" s="93">
        <v>7.0548400000000004E-4</v>
      </c>
      <c r="PQ129" s="93">
        <v>2.3876942220000004</v>
      </c>
      <c r="PR129" s="93">
        <v>254.062038444</v>
      </c>
      <c r="PS129" s="93">
        <v>200.3244</v>
      </c>
      <c r="PT129" s="93">
        <v>53.476250905999997</v>
      </c>
      <c r="PU129" s="93">
        <v>0.26138753799999997</v>
      </c>
      <c r="PV129" s="93">
        <v>0</v>
      </c>
      <c r="PW129" s="93">
        <v>1.6346260770000001</v>
      </c>
      <c r="PX129" s="93">
        <v>0</v>
      </c>
      <c r="PY129" s="93">
        <v>0</v>
      </c>
      <c r="PZ129" s="93">
        <v>1.6346260770000001</v>
      </c>
      <c r="QA129" s="93">
        <v>0</v>
      </c>
      <c r="QB129" s="93">
        <v>0</v>
      </c>
      <c r="QC129" s="93">
        <v>0</v>
      </c>
      <c r="QD129" s="93">
        <v>-0.11210744900000003</v>
      </c>
      <c r="QE129" s="20">
        <v>-4.5102407650000069</v>
      </c>
      <c r="QF129" s="1739">
        <v>62</v>
      </c>
      <c r="QG129" s="19"/>
      <c r="QH129" s="1035">
        <v>49.073963717706505</v>
      </c>
      <c r="QI129" s="1035">
        <v>142.90507596383389</v>
      </c>
      <c r="QJ129" s="1035">
        <v>-93.83111224612739</v>
      </c>
      <c r="QK129" s="1035">
        <v>69.693999999999988</v>
      </c>
      <c r="QL129" s="1035">
        <v>16.847000000000001</v>
      </c>
      <c r="QM129" s="1035">
        <v>52.846999999999994</v>
      </c>
      <c r="QN129" s="1035">
        <v>0</v>
      </c>
      <c r="QO129" s="1035">
        <v>-61.29</v>
      </c>
      <c r="QP129" s="1035">
        <v>24.125999999999998</v>
      </c>
      <c r="QQ129" s="1035">
        <v>-85.415999999999997</v>
      </c>
      <c r="QR129" s="1035">
        <v>457.14592403616609</v>
      </c>
      <c r="QS129" s="1035">
        <v>6.403303114036401</v>
      </c>
      <c r="QT129" s="1035">
        <v>0</v>
      </c>
      <c r="QU129" s="1035">
        <v>66.301999999999992</v>
      </c>
      <c r="QV129" s="1035">
        <v>384.44062092212971</v>
      </c>
      <c r="QW129" s="93"/>
      <c r="QX129" s="93">
        <v>0.29699999999999999</v>
      </c>
      <c r="QY129" s="93">
        <v>211.98500140878184</v>
      </c>
      <c r="QZ129" s="93">
        <v>190.57688634509074</v>
      </c>
      <c r="RA129" s="93">
        <v>0</v>
      </c>
      <c r="RB129" s="93">
        <v>21.987000000000002</v>
      </c>
      <c r="RC129" s="93">
        <v>0</v>
      </c>
      <c r="RD129" s="93">
        <v>5.7139999999999995</v>
      </c>
      <c r="RE129" s="93">
        <v>0</v>
      </c>
      <c r="RF129" s="93">
        <v>0</v>
      </c>
      <c r="RG129" s="93">
        <v>70.884999999999991</v>
      </c>
      <c r="RH129" s="93">
        <v>13.178999999999988</v>
      </c>
      <c r="RI129" s="93"/>
      <c r="RJ129" s="93"/>
      <c r="RK129" s="93"/>
      <c r="RL129" s="93"/>
      <c r="RM129" s="20"/>
      <c r="RN129" s="29">
        <v>62</v>
      </c>
      <c r="RO129" s="19"/>
      <c r="RP129" s="20"/>
      <c r="RQ129" s="29">
        <v>62</v>
      </c>
      <c r="RR129" s="20"/>
      <c r="RS129" s="29">
        <v>62</v>
      </c>
      <c r="RT129" s="1504">
        <v>38384</v>
      </c>
      <c r="RU129" s="19"/>
      <c r="RV129" s="20"/>
      <c r="RW129" s="29">
        <v>62</v>
      </c>
      <c r="RX129" s="1504">
        <v>38384</v>
      </c>
      <c r="RY129" s="29"/>
      <c r="RZ129" s="20"/>
      <c r="SA129" s="29"/>
      <c r="SB129" s="29">
        <v>62</v>
      </c>
    </row>
    <row r="130" spans="1:496">
      <c r="A130" s="41">
        <f t="shared" si="187"/>
        <v>2005</v>
      </c>
      <c r="B130" s="1504">
        <v>38412</v>
      </c>
      <c r="C130" s="1813"/>
      <c r="D130" s="1814"/>
      <c r="E130" s="1814"/>
      <c r="F130" s="1815"/>
      <c r="G130" s="1814"/>
      <c r="H130" s="1814"/>
      <c r="I130" s="1814"/>
      <c r="J130" s="1816"/>
      <c r="K130" s="1807"/>
      <c r="L130" s="25">
        <v>63</v>
      </c>
      <c r="M130" s="97"/>
      <c r="N130" s="1504">
        <v>38412</v>
      </c>
      <c r="O130" s="19"/>
      <c r="P130" s="93"/>
      <c r="Q130" s="93"/>
      <c r="R130" s="93"/>
      <c r="S130" s="93"/>
      <c r="T130" s="93"/>
      <c r="U130" s="93"/>
      <c r="V130" s="93"/>
      <c r="W130" s="93"/>
      <c r="X130" s="93"/>
      <c r="Y130" s="93"/>
      <c r="Z130" s="93"/>
      <c r="AA130" s="93"/>
      <c r="AB130" s="20"/>
      <c r="AC130" s="25">
        <v>63</v>
      </c>
      <c r="AD130" s="97"/>
      <c r="AE130" s="1504">
        <v>38412</v>
      </c>
      <c r="AF130" s="19"/>
      <c r="AG130" s="93"/>
      <c r="AH130" s="93"/>
      <c r="AI130" s="93"/>
      <c r="AJ130" s="93"/>
      <c r="AK130" s="93"/>
      <c r="AL130" s="93"/>
      <c r="AM130" s="93"/>
      <c r="AN130" s="93"/>
      <c r="AO130" s="93"/>
      <c r="AP130" s="93"/>
      <c r="AQ130" s="93"/>
      <c r="AR130" s="93"/>
      <c r="AS130" s="20"/>
      <c r="AT130" s="25">
        <v>63</v>
      </c>
      <c r="AU130" s="97"/>
      <c r="AV130" s="1504">
        <v>38412</v>
      </c>
      <c r="AW130" s="19"/>
      <c r="AX130" s="93"/>
      <c r="AY130" s="93"/>
      <c r="AZ130" s="93"/>
      <c r="BA130" s="93"/>
      <c r="BB130" s="93"/>
      <c r="BC130" s="93"/>
      <c r="BD130" s="93"/>
      <c r="BE130" s="93"/>
      <c r="BF130" s="93"/>
      <c r="BG130" s="93"/>
      <c r="BH130" s="93"/>
      <c r="BI130" s="93"/>
      <c r="BJ130" s="20"/>
      <c r="BK130" s="25">
        <v>63</v>
      </c>
      <c r="BL130" s="97"/>
      <c r="BM130" s="1504">
        <v>38412</v>
      </c>
      <c r="BN130" s="19"/>
      <c r="BO130" s="93"/>
      <c r="BP130" s="93"/>
      <c r="BQ130" s="93"/>
      <c r="BR130" s="93"/>
      <c r="BS130" s="93"/>
      <c r="BT130" s="93"/>
      <c r="BU130" s="20"/>
      <c r="BV130" s="25">
        <v>63</v>
      </c>
      <c r="BW130" s="97"/>
      <c r="BX130" s="1504">
        <v>38412</v>
      </c>
      <c r="BY130" s="19"/>
      <c r="BZ130" s="99">
        <v>664.95699999999999</v>
      </c>
      <c r="CA130" s="93"/>
      <c r="CB130" s="93"/>
      <c r="CC130" s="93"/>
      <c r="CD130" s="25">
        <v>63</v>
      </c>
      <c r="CE130" s="97"/>
      <c r="CF130" s="1504">
        <v>38412</v>
      </c>
      <c r="CG130" s="19">
        <v>1.2431181208695601</v>
      </c>
      <c r="CH130" s="93">
        <v>433.85</v>
      </c>
      <c r="CI130" s="219"/>
      <c r="CJ130" s="20"/>
      <c r="CK130" s="19"/>
      <c r="CL130" s="93"/>
      <c r="CM130" s="93"/>
      <c r="CN130" s="93"/>
      <c r="CO130" s="93"/>
      <c r="CP130" s="20"/>
      <c r="CQ130" s="219">
        <v>1234.5899999999999</v>
      </c>
      <c r="CR130" s="93">
        <v>1.4875</v>
      </c>
      <c r="CS130" s="93"/>
      <c r="CT130" s="93"/>
      <c r="CU130" s="93"/>
      <c r="CV130" s="214"/>
      <c r="CW130" s="29">
        <v>63</v>
      </c>
      <c r="CX130" s="41">
        <f t="shared" si="188"/>
        <v>2005</v>
      </c>
      <c r="CY130" s="1504">
        <v>38412</v>
      </c>
      <c r="CZ130" s="1916">
        <v>44.211214999999996</v>
      </c>
      <c r="DA130" s="1526">
        <v>27.261868</v>
      </c>
      <c r="DB130" s="1526">
        <v>16.949346999999999</v>
      </c>
      <c r="DC130" s="182">
        <f t="shared" si="190"/>
        <v>256493</v>
      </c>
      <c r="DD130" s="182"/>
      <c r="DE130" s="290"/>
      <c r="DF130" s="29">
        <v>63</v>
      </c>
      <c r="DG130" s="1504">
        <v>38412</v>
      </c>
      <c r="DH130" s="19"/>
      <c r="DI130" s="93"/>
      <c r="DJ130" s="93"/>
      <c r="DK130" s="93"/>
      <c r="DL130" s="93"/>
      <c r="DM130" s="93"/>
      <c r="DN130" s="20"/>
      <c r="DO130" s="25"/>
      <c r="DP130" s="29">
        <v>63</v>
      </c>
      <c r="DQ130" s="1504">
        <v>38412</v>
      </c>
      <c r="DR130" s="19"/>
      <c r="DS130" s="93"/>
      <c r="DT130" s="93"/>
      <c r="DU130" s="93"/>
      <c r="DV130" s="93"/>
      <c r="DW130" s="93"/>
      <c r="DX130" s="20"/>
      <c r="DY130" s="29">
        <v>63</v>
      </c>
      <c r="DZ130" s="1504">
        <v>38412</v>
      </c>
      <c r="EA130" s="19"/>
      <c r="EB130" s="93"/>
      <c r="EC130" s="20"/>
      <c r="ED130" s="29">
        <v>63</v>
      </c>
      <c r="EE130" s="1504">
        <v>38412</v>
      </c>
      <c r="EF130" s="19"/>
      <c r="EG130" s="93"/>
      <c r="EH130" s="93"/>
      <c r="EI130" s="214"/>
      <c r="EJ130" s="93"/>
      <c r="EK130" s="93"/>
      <c r="EL130" s="93"/>
      <c r="EM130" s="93"/>
      <c r="EN130" s="20"/>
      <c r="EO130" s="29">
        <v>63</v>
      </c>
      <c r="EP130" s="1504">
        <v>38412</v>
      </c>
      <c r="EQ130" s="19"/>
      <c r="ER130" s="93"/>
      <c r="ES130" s="93"/>
      <c r="ET130" s="214"/>
      <c r="EU130" s="93"/>
      <c r="EV130" s="93"/>
      <c r="EW130" s="93"/>
      <c r="EX130" s="93"/>
      <c r="EY130" s="20"/>
      <c r="EZ130" s="29">
        <v>63</v>
      </c>
      <c r="FA130" s="1504">
        <v>38412</v>
      </c>
      <c r="FB130" s="29"/>
      <c r="FC130" s="29"/>
      <c r="FD130" s="29"/>
      <c r="FE130" s="29"/>
      <c r="FF130" s="29"/>
      <c r="FG130" s="29"/>
      <c r="FH130" s="29"/>
      <c r="FI130" s="29"/>
      <c r="FJ130" s="29"/>
      <c r="FK130" s="29">
        <v>63</v>
      </c>
      <c r="FL130" s="1504">
        <v>38412</v>
      </c>
      <c r="FM130" s="19"/>
      <c r="FN130" s="93"/>
      <c r="FO130" s="93"/>
      <c r="FP130" s="93"/>
      <c r="FQ130" s="93"/>
      <c r="FR130" s="93"/>
      <c r="FS130" s="93"/>
      <c r="FT130" s="93"/>
      <c r="FU130" s="93"/>
      <c r="FV130" s="93"/>
      <c r="FW130" s="93"/>
      <c r="FX130" s="93"/>
      <c r="FY130" s="93"/>
      <c r="FZ130" s="29">
        <v>63</v>
      </c>
      <c r="GA130" s="1504">
        <v>38412</v>
      </c>
      <c r="GB130" s="19"/>
      <c r="GC130" s="93"/>
      <c r="GD130" s="93"/>
      <c r="GE130" s="93"/>
      <c r="GF130" s="93"/>
      <c r="GG130" s="93"/>
      <c r="GH130" s="93"/>
      <c r="GI130" s="93"/>
      <c r="GJ130" s="93"/>
      <c r="GK130" s="93"/>
      <c r="GL130" s="93"/>
      <c r="GM130" s="93"/>
      <c r="GN130" s="20"/>
      <c r="GO130" s="29">
        <v>63</v>
      </c>
      <c r="GP130" s="1504">
        <v>38412</v>
      </c>
      <c r="GQ130" s="19"/>
      <c r="GR130" s="93"/>
      <c r="GS130" s="93"/>
      <c r="GT130" s="93"/>
      <c r="GU130" s="93"/>
      <c r="GV130" s="20"/>
      <c r="GW130" s="19"/>
      <c r="GX130" s="93"/>
      <c r="GY130" s="93"/>
      <c r="GZ130" s="93"/>
      <c r="HA130" s="93"/>
      <c r="HB130" s="20"/>
      <c r="HC130" s="19"/>
      <c r="HD130" s="93"/>
      <c r="HE130" s="93"/>
      <c r="HF130" s="93"/>
      <c r="HG130" s="93"/>
      <c r="HH130" s="20"/>
      <c r="HI130" s="19"/>
      <c r="HJ130" s="93"/>
      <c r="HK130" s="93"/>
      <c r="HL130" s="93"/>
      <c r="HM130" s="93"/>
      <c r="HN130" s="20"/>
      <c r="HO130" s="219"/>
      <c r="HP130" s="20"/>
      <c r="HQ130" s="25"/>
      <c r="HR130" s="29">
        <v>63</v>
      </c>
      <c r="HS130" s="1504">
        <v>38412</v>
      </c>
      <c r="HT130" s="179">
        <v>153.34769821166992</v>
      </c>
      <c r="HU130" s="99">
        <v>226.98368072509766</v>
      </c>
      <c r="HV130" s="99"/>
      <c r="HW130" s="99"/>
      <c r="HX130" s="99">
        <v>178.19283142089844</v>
      </c>
      <c r="HY130" s="99"/>
      <c r="HZ130" s="99">
        <v>186.28482055664063</v>
      </c>
      <c r="IA130" s="132">
        <v>154.83871459960938</v>
      </c>
      <c r="IB130" s="179">
        <v>117.84511718749999</v>
      </c>
      <c r="IC130" s="99">
        <v>127.42897542317708</v>
      </c>
      <c r="ID130" s="99">
        <v>161.51734352111816</v>
      </c>
      <c r="IE130" s="99"/>
      <c r="IF130" s="99">
        <v>179.03226623535156</v>
      </c>
      <c r="IG130" s="132">
        <v>137.05583190917969</v>
      </c>
      <c r="IH130" s="179">
        <v>141.38908767700195</v>
      </c>
      <c r="II130" s="99">
        <v>195.40988159179688</v>
      </c>
      <c r="IJ130" s="99"/>
      <c r="IK130" s="99">
        <v>158.42695922851561</v>
      </c>
      <c r="IL130" s="99"/>
      <c r="IM130" s="99">
        <v>140</v>
      </c>
      <c r="IN130" s="93"/>
      <c r="IO130" s="132">
        <v>165.55923919677736</v>
      </c>
      <c r="IP130" s="29">
        <v>63</v>
      </c>
      <c r="IQ130" s="19"/>
      <c r="IR130" s="93"/>
      <c r="IS130" s="93"/>
      <c r="IT130" s="93"/>
      <c r="IU130" s="93"/>
      <c r="IV130" s="20"/>
      <c r="IW130" s="29">
        <v>63</v>
      </c>
      <c r="IX130" s="19"/>
      <c r="IY130" s="93"/>
      <c r="IZ130" s="93"/>
      <c r="JA130" s="93"/>
      <c r="JB130" s="93"/>
      <c r="JC130" s="93"/>
      <c r="JD130" s="93"/>
      <c r="JE130" s="20"/>
      <c r="JF130" s="29">
        <v>63</v>
      </c>
      <c r="JG130" s="19"/>
      <c r="JH130" s="93"/>
      <c r="JI130" s="93"/>
      <c r="JJ130" s="93"/>
      <c r="JK130" s="93"/>
      <c r="JL130" s="93"/>
      <c r="JM130" s="93"/>
      <c r="JN130" s="20"/>
      <c r="JO130" s="29">
        <v>63</v>
      </c>
      <c r="JP130" s="19"/>
      <c r="JQ130" s="93"/>
      <c r="JR130" s="93"/>
      <c r="JS130" s="93"/>
      <c r="JT130" s="93"/>
      <c r="JU130" s="20"/>
      <c r="JV130" s="29">
        <v>63</v>
      </c>
      <c r="JW130" s="1504">
        <v>38412</v>
      </c>
      <c r="JX130" s="19"/>
      <c r="JY130" s="93"/>
      <c r="JZ130" s="93"/>
      <c r="KA130" s="93"/>
      <c r="KB130" s="93"/>
      <c r="KC130" s="93"/>
      <c r="KD130" s="20"/>
      <c r="KE130" s="29">
        <v>63</v>
      </c>
      <c r="KF130" s="19"/>
      <c r="KG130" s="93"/>
      <c r="KH130" s="93"/>
      <c r="KI130" s="93"/>
      <c r="KJ130" s="93"/>
      <c r="KK130" s="20"/>
      <c r="KL130" s="29">
        <v>63</v>
      </c>
      <c r="KM130" s="19"/>
      <c r="KN130" s="93"/>
      <c r="KO130" s="93"/>
      <c r="KP130" s="93"/>
      <c r="KQ130" s="93"/>
      <c r="KR130" s="20"/>
      <c r="KS130" s="29">
        <v>63</v>
      </c>
      <c r="KT130" s="19"/>
      <c r="KU130" s="93"/>
      <c r="KV130" s="93"/>
      <c r="KW130" s="93"/>
      <c r="KX130" s="93"/>
      <c r="KY130" s="20"/>
      <c r="KZ130" s="29">
        <v>63</v>
      </c>
      <c r="LA130" s="1504">
        <v>38412</v>
      </c>
      <c r="LB130" s="19"/>
      <c r="LC130" s="93"/>
      <c r="LD130" s="93"/>
      <c r="LE130" s="93"/>
      <c r="LF130" s="93"/>
      <c r="LG130" s="93"/>
      <c r="LH130" s="20"/>
      <c r="LI130" s="29">
        <v>63</v>
      </c>
      <c r="LJ130" s="19"/>
      <c r="LK130" s="93"/>
      <c r="LL130" s="93"/>
      <c r="LM130" s="93"/>
      <c r="LN130" s="93"/>
      <c r="LO130" s="20"/>
      <c r="LP130" s="29">
        <v>63</v>
      </c>
      <c r="LQ130" s="19"/>
      <c r="LR130" s="93"/>
      <c r="LS130" s="93"/>
      <c r="LT130" s="93"/>
      <c r="LU130" s="93"/>
      <c r="LV130" s="93"/>
      <c r="LW130" s="93"/>
      <c r="LX130" s="93"/>
      <c r="LY130" s="93"/>
      <c r="LZ130" s="93"/>
      <c r="MA130" s="20"/>
      <c r="MB130" s="29">
        <v>63</v>
      </c>
      <c r="MC130" s="1504">
        <v>38412</v>
      </c>
      <c r="MD130" s="19"/>
      <c r="ME130" s="93"/>
      <c r="MF130" s="93"/>
      <c r="MG130" s="93"/>
      <c r="MH130" s="93"/>
      <c r="MI130" s="93"/>
      <c r="MJ130" s="93"/>
      <c r="MK130" s="93"/>
      <c r="ML130" s="93"/>
      <c r="MM130" s="93"/>
      <c r="MN130" s="93"/>
      <c r="MO130" s="93"/>
      <c r="MP130" s="93"/>
      <c r="MQ130" s="93"/>
      <c r="MR130" s="93"/>
      <c r="MS130" s="93"/>
      <c r="MT130" s="93"/>
      <c r="MU130" s="93"/>
      <c r="MV130" s="93"/>
      <c r="MW130" s="93"/>
      <c r="MX130" s="93"/>
      <c r="MY130" s="93"/>
      <c r="MZ130" s="93"/>
      <c r="NA130" s="93"/>
      <c r="NB130" s="93"/>
      <c r="NC130" s="93"/>
      <c r="ND130" s="93"/>
      <c r="NE130" s="93"/>
      <c r="NF130" s="93"/>
      <c r="NG130" s="93"/>
      <c r="NH130" s="93"/>
      <c r="NI130" s="93"/>
      <c r="NJ130" s="93"/>
      <c r="NK130" s="93"/>
      <c r="NL130" s="93"/>
      <c r="NM130" s="93"/>
      <c r="NN130" s="93"/>
      <c r="NO130" s="93"/>
      <c r="NP130" s="93"/>
      <c r="NQ130" s="93"/>
      <c r="NR130" s="93"/>
      <c r="NS130" s="93"/>
      <c r="NT130" s="93"/>
      <c r="NU130" s="93"/>
      <c r="NV130" s="93"/>
      <c r="NW130" s="93"/>
      <c r="NX130" s="93"/>
      <c r="NY130" s="93"/>
      <c r="NZ130" s="93"/>
      <c r="OA130" s="93"/>
      <c r="OB130" s="93"/>
      <c r="OC130" s="93"/>
      <c r="OD130" s="20"/>
      <c r="OE130" s="29">
        <v>63</v>
      </c>
      <c r="OF130" s="1504">
        <v>38412</v>
      </c>
      <c r="OG130" s="19"/>
      <c r="OH130" s="93">
        <v>187.72390000000001</v>
      </c>
      <c r="OI130" s="93">
        <v>251.48569709069329</v>
      </c>
      <c r="OJ130" s="93">
        <v>0.30515341699999998</v>
      </c>
      <c r="OK130" s="93">
        <v>204.27314367369328</v>
      </c>
      <c r="OL130" s="93">
        <v>46.907399999999996</v>
      </c>
      <c r="OM130" s="93">
        <v>439.20959709069331</v>
      </c>
      <c r="ON130" s="93">
        <v>194.69778529910843</v>
      </c>
      <c r="OO130" s="93">
        <v>633.9073823898018</v>
      </c>
      <c r="OP130" s="93"/>
      <c r="OQ130" s="93">
        <v>236.62622574889053</v>
      </c>
      <c r="OR130" s="93">
        <v>185.30053666700002</v>
      </c>
      <c r="OS130" s="93">
        <v>51.32568908189053</v>
      </c>
      <c r="OT130" s="93">
        <v>459.29595622091119</v>
      </c>
      <c r="OU130" s="93">
        <v>-9.8285911339999927</v>
      </c>
      <c r="OV130" s="93">
        <v>60.910408866000012</v>
      </c>
      <c r="OW130" s="93">
        <v>-70.739000000000004</v>
      </c>
      <c r="OX130" s="93">
        <v>469.12454735491121</v>
      </c>
      <c r="OY130" s="93">
        <v>2.3383074640000001</v>
      </c>
      <c r="OZ130" s="93">
        <v>466.78623989091125</v>
      </c>
      <c r="PA130" s="93">
        <v>101.224349937</v>
      </c>
      <c r="PB130" s="93">
        <v>-39.209550357000005</v>
      </c>
      <c r="PC130" s="20">
        <v>633.90738238980168</v>
      </c>
      <c r="PD130" s="29">
        <v>63</v>
      </c>
      <c r="PE130" s="19"/>
      <c r="PF130" s="93">
        <v>185.30053666700002</v>
      </c>
      <c r="PG130" s="93">
        <v>397.440343681</v>
      </c>
      <c r="PH130" s="93">
        <v>212.13980701399998</v>
      </c>
      <c r="PI130" s="93">
        <v>2.2469999999999999</v>
      </c>
      <c r="PJ130" s="93">
        <v>60.910408866000012</v>
      </c>
      <c r="PK130" s="93">
        <v>95.515723442000009</v>
      </c>
      <c r="PL130" s="93">
        <v>34.605314575999998</v>
      </c>
      <c r="PM130" s="93">
        <v>2.3383074640000001</v>
      </c>
      <c r="PN130" s="93">
        <v>0</v>
      </c>
      <c r="PO130" s="93">
        <v>0</v>
      </c>
      <c r="PP130" s="93">
        <v>7.5920000000000005E-5</v>
      </c>
      <c r="PQ130" s="93">
        <v>2.3382315440000001</v>
      </c>
      <c r="PR130" s="93">
        <v>254.72675342000002</v>
      </c>
      <c r="PS130" s="93">
        <v>205.0719</v>
      </c>
      <c r="PT130" s="93">
        <v>49.349700003000002</v>
      </c>
      <c r="PU130" s="93">
        <v>0.30515341699999998</v>
      </c>
      <c r="PV130" s="93">
        <v>0</v>
      </c>
      <c r="PW130" s="93">
        <v>2.2527245439999999</v>
      </c>
      <c r="PX130" s="93">
        <v>0</v>
      </c>
      <c r="PY130" s="93">
        <v>0</v>
      </c>
      <c r="PZ130" s="93">
        <v>2.2527245439999999</v>
      </c>
      <c r="QA130" s="93">
        <v>0</v>
      </c>
      <c r="QB130" s="93">
        <v>0</v>
      </c>
      <c r="QC130" s="93">
        <v>0</v>
      </c>
      <c r="QD130" s="93">
        <v>-0.62537460700000003</v>
      </c>
      <c r="QE130" s="20">
        <v>-5.5578503600000015</v>
      </c>
      <c r="QF130" s="1739">
        <v>63</v>
      </c>
      <c r="QG130" s="19"/>
      <c r="QH130" s="1035">
        <v>51.32568908189053</v>
      </c>
      <c r="QI130" s="1035">
        <v>141.88976010908877</v>
      </c>
      <c r="QJ130" s="1035">
        <v>-90.564071027198239</v>
      </c>
      <c r="QK130" s="1035">
        <v>65.545999999999992</v>
      </c>
      <c r="QL130" s="1035">
        <v>17.347999999999999</v>
      </c>
      <c r="QM130" s="1035">
        <v>48.198</v>
      </c>
      <c r="QN130" s="1035">
        <v>0</v>
      </c>
      <c r="QO130" s="1035">
        <v>-70.739000000000004</v>
      </c>
      <c r="QP130" s="1035">
        <v>20.225999999999999</v>
      </c>
      <c r="QQ130" s="1035">
        <v>-90.965000000000003</v>
      </c>
      <c r="QR130" s="1035">
        <v>466.78623989091125</v>
      </c>
      <c r="QS130" s="1035">
        <v>6.2652431266420328</v>
      </c>
      <c r="QT130" s="1035">
        <v>0</v>
      </c>
      <c r="QU130" s="1035">
        <v>81.777999999999992</v>
      </c>
      <c r="QV130" s="1035">
        <v>378.74299676426921</v>
      </c>
      <c r="QW130" s="93"/>
      <c r="QX130" s="93">
        <v>1.2589999999999999</v>
      </c>
      <c r="QY130" s="93">
        <v>204.27314367369328</v>
      </c>
      <c r="QZ130" s="93">
        <v>194.69778529910843</v>
      </c>
      <c r="RA130" s="93">
        <v>0</v>
      </c>
      <c r="RB130" s="93">
        <v>22.301000000000002</v>
      </c>
      <c r="RC130" s="93">
        <v>0</v>
      </c>
      <c r="RD130" s="93">
        <v>5.6800000000000006</v>
      </c>
      <c r="RE130" s="93">
        <v>0</v>
      </c>
      <c r="RF130" s="93">
        <v>0</v>
      </c>
      <c r="RG130" s="93">
        <v>71.616</v>
      </c>
      <c r="RH130" s="93">
        <v>13.091999999999992</v>
      </c>
      <c r="RI130" s="93"/>
      <c r="RJ130" s="93"/>
      <c r="RK130" s="93"/>
      <c r="RL130" s="93"/>
      <c r="RM130" s="20"/>
      <c r="RN130" s="29">
        <v>63</v>
      </c>
      <c r="RO130" s="19"/>
      <c r="RP130" s="20"/>
      <c r="RQ130" s="29">
        <v>63</v>
      </c>
      <c r="RR130" s="20"/>
      <c r="RS130" s="29">
        <v>63</v>
      </c>
      <c r="RT130" s="1504">
        <v>38412</v>
      </c>
      <c r="RU130" s="19"/>
      <c r="RV130" s="20"/>
      <c r="RW130" s="29">
        <v>63</v>
      </c>
      <c r="RX130" s="1504">
        <v>38412</v>
      </c>
      <c r="RY130" s="29"/>
      <c r="RZ130" s="20"/>
      <c r="SA130" s="29"/>
      <c r="SB130" s="29">
        <v>63</v>
      </c>
    </row>
    <row r="131" spans="1:496">
      <c r="A131" s="41">
        <f t="shared" si="187"/>
        <v>2005</v>
      </c>
      <c r="B131" s="1504">
        <v>38443</v>
      </c>
      <c r="C131" s="1813"/>
      <c r="D131" s="1814"/>
      <c r="E131" s="1814"/>
      <c r="F131" s="1815"/>
      <c r="G131" s="1814"/>
      <c r="H131" s="1814"/>
      <c r="I131" s="1814"/>
      <c r="J131" s="1816"/>
      <c r="K131" s="1807"/>
      <c r="L131" s="25">
        <v>64</v>
      </c>
      <c r="M131" s="97"/>
      <c r="N131" s="1504">
        <v>38443</v>
      </c>
      <c r="O131" s="19"/>
      <c r="P131" s="93"/>
      <c r="Q131" s="93"/>
      <c r="R131" s="93"/>
      <c r="S131" s="93"/>
      <c r="T131" s="93"/>
      <c r="U131" s="93"/>
      <c r="V131" s="93"/>
      <c r="W131" s="93"/>
      <c r="X131" s="93"/>
      <c r="Y131" s="93"/>
      <c r="Z131" s="93"/>
      <c r="AA131" s="93"/>
      <c r="AB131" s="20"/>
      <c r="AC131" s="25">
        <v>64</v>
      </c>
      <c r="AD131" s="97"/>
      <c r="AE131" s="1504">
        <v>38443</v>
      </c>
      <c r="AF131" s="19"/>
      <c r="AG131" s="93"/>
      <c r="AH131" s="93"/>
      <c r="AI131" s="93"/>
      <c r="AJ131" s="93"/>
      <c r="AK131" s="93"/>
      <c r="AL131" s="93"/>
      <c r="AM131" s="93"/>
      <c r="AN131" s="93"/>
      <c r="AO131" s="93"/>
      <c r="AP131" s="93"/>
      <c r="AQ131" s="93"/>
      <c r="AR131" s="93"/>
      <c r="AS131" s="20"/>
      <c r="AT131" s="25">
        <v>64</v>
      </c>
      <c r="AU131" s="97"/>
      <c r="AV131" s="1504">
        <v>38443</v>
      </c>
      <c r="AW131" s="19"/>
      <c r="AX131" s="93"/>
      <c r="AY131" s="93"/>
      <c r="AZ131" s="93"/>
      <c r="BA131" s="93"/>
      <c r="BB131" s="93"/>
      <c r="BC131" s="93"/>
      <c r="BD131" s="93"/>
      <c r="BE131" s="93"/>
      <c r="BF131" s="93"/>
      <c r="BG131" s="93"/>
      <c r="BH131" s="93"/>
      <c r="BI131" s="93"/>
      <c r="BJ131" s="20"/>
      <c r="BK131" s="25">
        <v>64</v>
      </c>
      <c r="BL131" s="97"/>
      <c r="BM131" s="1504">
        <v>38443</v>
      </c>
      <c r="BN131" s="19"/>
      <c r="BO131" s="93"/>
      <c r="BP131" s="93"/>
      <c r="BQ131" s="93"/>
      <c r="BR131" s="93"/>
      <c r="BS131" s="93"/>
      <c r="BT131" s="93"/>
      <c r="BU131" s="20"/>
      <c r="BV131" s="25">
        <v>64</v>
      </c>
      <c r="BW131" s="97"/>
      <c r="BX131" s="1504">
        <v>38443</v>
      </c>
      <c r="BY131" s="19"/>
      <c r="BZ131" s="99">
        <v>664.95699999999999</v>
      </c>
      <c r="CA131" s="93"/>
      <c r="CB131" s="93"/>
      <c r="CC131" s="93"/>
      <c r="CD131" s="25">
        <v>64</v>
      </c>
      <c r="CE131" s="97"/>
      <c r="CF131" s="1504">
        <v>38443</v>
      </c>
      <c r="CG131" s="19">
        <v>1.25726329142857</v>
      </c>
      <c r="CH131" s="93">
        <v>429.233</v>
      </c>
      <c r="CI131" s="219"/>
      <c r="CJ131" s="20"/>
      <c r="CK131" s="19"/>
      <c r="CL131" s="93"/>
      <c r="CM131" s="93"/>
      <c r="CN131" s="93"/>
      <c r="CO131" s="93"/>
      <c r="CP131" s="20"/>
      <c r="CQ131" s="219">
        <v>1223.04</v>
      </c>
      <c r="CR131" s="93">
        <v>1.4675</v>
      </c>
      <c r="CS131" s="93"/>
      <c r="CT131" s="93"/>
      <c r="CU131" s="93"/>
      <c r="CV131" s="214"/>
      <c r="CW131" s="29">
        <v>64</v>
      </c>
      <c r="CX131" s="41">
        <f t="shared" si="188"/>
        <v>2005</v>
      </c>
      <c r="CY131" s="1504">
        <v>38443</v>
      </c>
      <c r="CZ131" s="1916">
        <v>53.987421999999995</v>
      </c>
      <c r="DA131" s="1526">
        <v>32.998733999999999</v>
      </c>
      <c r="DB131" s="1526">
        <v>20.988688</v>
      </c>
      <c r="DC131" s="182">
        <f t="shared" si="190"/>
        <v>256493</v>
      </c>
      <c r="DD131" s="182"/>
      <c r="DE131" s="290"/>
      <c r="DF131" s="29">
        <v>64</v>
      </c>
      <c r="DG131" s="1504">
        <v>38443</v>
      </c>
      <c r="DH131" s="19"/>
      <c r="DI131" s="93"/>
      <c r="DJ131" s="93"/>
      <c r="DK131" s="93"/>
      <c r="DL131" s="93"/>
      <c r="DM131" s="93"/>
      <c r="DN131" s="20"/>
      <c r="DO131" s="25"/>
      <c r="DP131" s="29">
        <v>64</v>
      </c>
      <c r="DQ131" s="1504">
        <v>38443</v>
      </c>
      <c r="DR131" s="19"/>
      <c r="DS131" s="93"/>
      <c r="DT131" s="93"/>
      <c r="DU131" s="93"/>
      <c r="DV131" s="93"/>
      <c r="DW131" s="93"/>
      <c r="DX131" s="20"/>
      <c r="DY131" s="29">
        <v>64</v>
      </c>
      <c r="DZ131" s="1504">
        <v>38443</v>
      </c>
      <c r="EA131" s="19"/>
      <c r="EB131" s="93"/>
      <c r="EC131" s="20"/>
      <c r="ED131" s="29">
        <v>64</v>
      </c>
      <c r="EE131" s="1504">
        <v>38443</v>
      </c>
      <c r="EF131" s="19"/>
      <c r="EG131" s="93"/>
      <c r="EH131" s="93"/>
      <c r="EI131" s="214"/>
      <c r="EJ131" s="93"/>
      <c r="EK131" s="93"/>
      <c r="EL131" s="93"/>
      <c r="EM131" s="93"/>
      <c r="EN131" s="20"/>
      <c r="EO131" s="29">
        <v>64</v>
      </c>
      <c r="EP131" s="1504">
        <v>38443</v>
      </c>
      <c r="EQ131" s="19"/>
      <c r="ER131" s="93"/>
      <c r="ES131" s="93"/>
      <c r="ET131" s="214"/>
      <c r="EU131" s="93"/>
      <c r="EV131" s="93"/>
      <c r="EW131" s="93"/>
      <c r="EX131" s="93"/>
      <c r="EY131" s="20"/>
      <c r="EZ131" s="29">
        <v>64</v>
      </c>
      <c r="FA131" s="1504">
        <v>38443</v>
      </c>
      <c r="FB131" s="29"/>
      <c r="FC131" s="29"/>
      <c r="FD131" s="29"/>
      <c r="FE131" s="29"/>
      <c r="FF131" s="29"/>
      <c r="FG131" s="29"/>
      <c r="FH131" s="29"/>
      <c r="FI131" s="29"/>
      <c r="FJ131" s="29"/>
      <c r="FK131" s="29">
        <v>64</v>
      </c>
      <c r="FL131" s="1504">
        <v>38443</v>
      </c>
      <c r="FM131" s="19"/>
      <c r="FN131" s="93"/>
      <c r="FO131" s="93"/>
      <c r="FP131" s="93"/>
      <c r="FQ131" s="93"/>
      <c r="FR131" s="93"/>
      <c r="FS131" s="93"/>
      <c r="FT131" s="93"/>
      <c r="FU131" s="93"/>
      <c r="FV131" s="93"/>
      <c r="FW131" s="93"/>
      <c r="FX131" s="93"/>
      <c r="FY131" s="93"/>
      <c r="FZ131" s="29">
        <v>64</v>
      </c>
      <c r="GA131" s="1504">
        <v>38443</v>
      </c>
      <c r="GB131" s="19"/>
      <c r="GC131" s="93"/>
      <c r="GD131" s="93"/>
      <c r="GE131" s="93"/>
      <c r="GF131" s="93"/>
      <c r="GG131" s="93"/>
      <c r="GH131" s="93"/>
      <c r="GI131" s="93"/>
      <c r="GJ131" s="93"/>
      <c r="GK131" s="93"/>
      <c r="GL131" s="93"/>
      <c r="GM131" s="93"/>
      <c r="GN131" s="20"/>
      <c r="GO131" s="29">
        <v>64</v>
      </c>
      <c r="GP131" s="1504">
        <v>38443</v>
      </c>
      <c r="GQ131" s="19"/>
      <c r="GR131" s="93"/>
      <c r="GS131" s="93"/>
      <c r="GT131" s="93"/>
      <c r="GU131" s="93"/>
      <c r="GV131" s="20"/>
      <c r="GW131" s="19"/>
      <c r="GX131" s="93"/>
      <c r="GY131" s="93"/>
      <c r="GZ131" s="93"/>
      <c r="HA131" s="93"/>
      <c r="HB131" s="20"/>
      <c r="HC131" s="19"/>
      <c r="HD131" s="93"/>
      <c r="HE131" s="93"/>
      <c r="HF131" s="93"/>
      <c r="HG131" s="93"/>
      <c r="HH131" s="20"/>
      <c r="HI131" s="19"/>
      <c r="HJ131" s="93"/>
      <c r="HK131" s="93"/>
      <c r="HL131" s="93"/>
      <c r="HM131" s="93"/>
      <c r="HN131" s="20"/>
      <c r="HO131" s="219"/>
      <c r="HP131" s="20"/>
      <c r="HQ131" s="25"/>
      <c r="HR131" s="29">
        <v>64</v>
      </c>
      <c r="HS131" s="1504">
        <v>38443</v>
      </c>
      <c r="HT131" s="179">
        <v>187.8831729888916</v>
      </c>
      <c r="HU131" s="99">
        <v>235.64071044921874</v>
      </c>
      <c r="HV131" s="99"/>
      <c r="HW131" s="99"/>
      <c r="HX131" s="99">
        <v>170.71555328369141</v>
      </c>
      <c r="HY131" s="99"/>
      <c r="HZ131" s="99">
        <v>197.16676330566406</v>
      </c>
      <c r="IA131" s="132">
        <v>175.2451057434082</v>
      </c>
      <c r="IB131" s="179">
        <v>135.27396774291992</v>
      </c>
      <c r="IC131" s="99">
        <v>142.13197326660156</v>
      </c>
      <c r="ID131" s="99">
        <v>168.68714332580566</v>
      </c>
      <c r="IE131" s="99"/>
      <c r="IF131" s="99">
        <v>194.921875</v>
      </c>
      <c r="IG131" s="132">
        <v>146.81154632568359</v>
      </c>
      <c r="IH131" s="179">
        <v>149.0164680480957</v>
      </c>
      <c r="II131" s="99">
        <v>215.72801208496094</v>
      </c>
      <c r="IJ131" s="99"/>
      <c r="IK131" s="99">
        <v>167.83707427978516</v>
      </c>
      <c r="IL131" s="99"/>
      <c r="IM131" s="99">
        <v>151.25</v>
      </c>
      <c r="IN131" s="93"/>
      <c r="IO131" s="132">
        <v>167.89658355712891</v>
      </c>
      <c r="IP131" s="29">
        <v>64</v>
      </c>
      <c r="IQ131" s="19"/>
      <c r="IR131" s="93"/>
      <c r="IS131" s="93"/>
      <c r="IT131" s="93"/>
      <c r="IU131" s="93"/>
      <c r="IV131" s="20"/>
      <c r="IW131" s="29">
        <v>64</v>
      </c>
      <c r="IX131" s="19"/>
      <c r="IY131" s="93"/>
      <c r="IZ131" s="93"/>
      <c r="JA131" s="93"/>
      <c r="JB131" s="93"/>
      <c r="JC131" s="93"/>
      <c r="JD131" s="93"/>
      <c r="JE131" s="20"/>
      <c r="JF131" s="29">
        <v>64</v>
      </c>
      <c r="JG131" s="19"/>
      <c r="JH131" s="93"/>
      <c r="JI131" s="93"/>
      <c r="JJ131" s="93"/>
      <c r="JK131" s="93"/>
      <c r="JL131" s="93"/>
      <c r="JM131" s="93"/>
      <c r="JN131" s="20"/>
      <c r="JO131" s="29">
        <v>64</v>
      </c>
      <c r="JP131" s="19"/>
      <c r="JQ131" s="93"/>
      <c r="JR131" s="93"/>
      <c r="JS131" s="93"/>
      <c r="JT131" s="93"/>
      <c r="JU131" s="20"/>
      <c r="JV131" s="29">
        <v>64</v>
      </c>
      <c r="JW131" s="1504">
        <v>38443</v>
      </c>
      <c r="JX131" s="19"/>
      <c r="JY131" s="93"/>
      <c r="JZ131" s="93"/>
      <c r="KA131" s="93"/>
      <c r="KB131" s="93"/>
      <c r="KC131" s="93"/>
      <c r="KD131" s="20"/>
      <c r="KE131" s="29">
        <v>64</v>
      </c>
      <c r="KF131" s="19"/>
      <c r="KG131" s="93"/>
      <c r="KH131" s="93"/>
      <c r="KI131" s="93"/>
      <c r="KJ131" s="93"/>
      <c r="KK131" s="20"/>
      <c r="KL131" s="29">
        <v>64</v>
      </c>
      <c r="KM131" s="19"/>
      <c r="KN131" s="93"/>
      <c r="KO131" s="93"/>
      <c r="KP131" s="93"/>
      <c r="KQ131" s="93"/>
      <c r="KR131" s="20"/>
      <c r="KS131" s="29">
        <v>64</v>
      </c>
      <c r="KT131" s="19"/>
      <c r="KU131" s="93"/>
      <c r="KV131" s="93"/>
      <c r="KW131" s="93"/>
      <c r="KX131" s="93"/>
      <c r="KY131" s="20"/>
      <c r="KZ131" s="29">
        <v>64</v>
      </c>
      <c r="LA131" s="1504">
        <v>38443</v>
      </c>
      <c r="LB131" s="19"/>
      <c r="LC131" s="93"/>
      <c r="LD131" s="93"/>
      <c r="LE131" s="93"/>
      <c r="LF131" s="93"/>
      <c r="LG131" s="93"/>
      <c r="LH131" s="20"/>
      <c r="LI131" s="29">
        <v>64</v>
      </c>
      <c r="LJ131" s="19"/>
      <c r="LK131" s="93"/>
      <c r="LL131" s="93"/>
      <c r="LM131" s="93"/>
      <c r="LN131" s="93"/>
      <c r="LO131" s="20"/>
      <c r="LP131" s="29">
        <v>64</v>
      </c>
      <c r="LQ131" s="19"/>
      <c r="LR131" s="93"/>
      <c r="LS131" s="93"/>
      <c r="LT131" s="93"/>
      <c r="LU131" s="93"/>
      <c r="LV131" s="93"/>
      <c r="LW131" s="93"/>
      <c r="LX131" s="93"/>
      <c r="LY131" s="93"/>
      <c r="LZ131" s="93"/>
      <c r="MA131" s="20"/>
      <c r="MB131" s="29">
        <v>64</v>
      </c>
      <c r="MC131" s="1504">
        <v>38443</v>
      </c>
      <c r="MD131" s="19"/>
      <c r="ME131" s="93"/>
      <c r="MF131" s="93"/>
      <c r="MG131" s="93"/>
      <c r="MH131" s="93"/>
      <c r="MI131" s="93"/>
      <c r="MJ131" s="93"/>
      <c r="MK131" s="93"/>
      <c r="ML131" s="93"/>
      <c r="MM131" s="93"/>
      <c r="MN131" s="93"/>
      <c r="MO131" s="93"/>
      <c r="MP131" s="93"/>
      <c r="MQ131" s="93"/>
      <c r="MR131" s="93"/>
      <c r="MS131" s="93"/>
      <c r="MT131" s="93"/>
      <c r="MU131" s="93"/>
      <c r="MV131" s="93"/>
      <c r="MW131" s="93"/>
      <c r="MX131" s="93"/>
      <c r="MY131" s="93"/>
      <c r="MZ131" s="93"/>
      <c r="NA131" s="93"/>
      <c r="NB131" s="93"/>
      <c r="NC131" s="93"/>
      <c r="ND131" s="93"/>
      <c r="NE131" s="93"/>
      <c r="NF131" s="93"/>
      <c r="NG131" s="93"/>
      <c r="NH131" s="93"/>
      <c r="NI131" s="93"/>
      <c r="NJ131" s="93"/>
      <c r="NK131" s="93"/>
      <c r="NL131" s="93"/>
      <c r="NM131" s="93"/>
      <c r="NN131" s="93"/>
      <c r="NO131" s="93"/>
      <c r="NP131" s="93"/>
      <c r="NQ131" s="93"/>
      <c r="NR131" s="93"/>
      <c r="NS131" s="93"/>
      <c r="NT131" s="93"/>
      <c r="NU131" s="93"/>
      <c r="NV131" s="93"/>
      <c r="NW131" s="93"/>
      <c r="NX131" s="93"/>
      <c r="NY131" s="93"/>
      <c r="NZ131" s="93"/>
      <c r="OA131" s="93"/>
      <c r="OB131" s="93"/>
      <c r="OC131" s="93"/>
      <c r="OD131" s="20"/>
      <c r="OE131" s="29">
        <v>64</v>
      </c>
      <c r="OF131" s="1504">
        <v>38443</v>
      </c>
      <c r="OG131" s="19"/>
      <c r="OH131" s="93">
        <v>185.43610000000001</v>
      </c>
      <c r="OI131" s="93">
        <v>258.89657282730838</v>
      </c>
      <c r="OJ131" s="93">
        <v>0.25559283100000002</v>
      </c>
      <c r="OK131" s="93">
        <v>210.68517999630839</v>
      </c>
      <c r="OL131" s="93">
        <v>47.955799999999996</v>
      </c>
      <c r="OM131" s="93">
        <v>444.33267282730839</v>
      </c>
      <c r="ON131" s="93">
        <v>195.71945241160978</v>
      </c>
      <c r="OO131" s="93">
        <v>640.05212523891817</v>
      </c>
      <c r="OP131" s="93"/>
      <c r="OQ131" s="93">
        <v>249.98781425433856</v>
      </c>
      <c r="OR131" s="93">
        <v>194.77094547299995</v>
      </c>
      <c r="OS131" s="93">
        <v>55.216868781338633</v>
      </c>
      <c r="OT131" s="93">
        <v>442.20627892457952</v>
      </c>
      <c r="OU131" s="93">
        <v>-16.492974566999983</v>
      </c>
      <c r="OV131" s="93">
        <v>55.703025433000015</v>
      </c>
      <c r="OW131" s="93">
        <v>-72.195999999999998</v>
      </c>
      <c r="OX131" s="93">
        <v>458.6992534915795</v>
      </c>
      <c r="OY131" s="93">
        <v>2.4074898650000001</v>
      </c>
      <c r="OZ131" s="93">
        <v>456.2917636265795</v>
      </c>
      <c r="PA131" s="93">
        <v>95.845435578000007</v>
      </c>
      <c r="PB131" s="93">
        <v>-43.703467637999999</v>
      </c>
      <c r="PC131" s="20">
        <v>640.05212523891817</v>
      </c>
      <c r="PD131" s="29">
        <v>64</v>
      </c>
      <c r="PE131" s="19"/>
      <c r="PF131" s="93">
        <v>194.77094547299995</v>
      </c>
      <c r="PG131" s="93">
        <v>285.61211801599995</v>
      </c>
      <c r="PH131" s="93">
        <v>90.841172542999999</v>
      </c>
      <c r="PI131" s="93">
        <v>1.2470000000000001</v>
      </c>
      <c r="PJ131" s="93">
        <v>55.703025433000015</v>
      </c>
      <c r="PK131" s="93">
        <v>94.75486594600001</v>
      </c>
      <c r="PL131" s="93">
        <v>39.051840512999995</v>
      </c>
      <c r="PM131" s="93">
        <v>2.4074898650000001</v>
      </c>
      <c r="PN131" s="93">
        <v>0</v>
      </c>
      <c r="PO131" s="93">
        <v>0</v>
      </c>
      <c r="PP131" s="93">
        <v>3.6646200000000002E-4</v>
      </c>
      <c r="PQ131" s="93">
        <v>2.4071234029999999</v>
      </c>
      <c r="PR131" s="93">
        <v>259.05394607599999</v>
      </c>
      <c r="PS131" s="93">
        <v>201.7841</v>
      </c>
      <c r="PT131" s="93">
        <v>57.014253244999999</v>
      </c>
      <c r="PU131" s="93">
        <v>0.25559283100000002</v>
      </c>
      <c r="PV131" s="93">
        <v>0</v>
      </c>
      <c r="PW131" s="93">
        <v>0.718408096</v>
      </c>
      <c r="PX131" s="93">
        <v>0</v>
      </c>
      <c r="PY131" s="93">
        <v>0</v>
      </c>
      <c r="PZ131" s="93">
        <v>0.718408096</v>
      </c>
      <c r="QA131" s="93">
        <v>0</v>
      </c>
      <c r="QB131" s="93">
        <v>0</v>
      </c>
      <c r="QC131" s="93">
        <v>0</v>
      </c>
      <c r="QD131" s="93">
        <v>-2.982972518</v>
      </c>
      <c r="QE131" s="20">
        <v>-2.6609208829999997</v>
      </c>
      <c r="QF131" s="1739">
        <v>64</v>
      </c>
      <c r="QG131" s="19"/>
      <c r="QH131" s="1035">
        <v>55.216868781338633</v>
      </c>
      <c r="QI131" s="1035">
        <v>132.98923637342048</v>
      </c>
      <c r="QJ131" s="1035">
        <v>-77.772367592081849</v>
      </c>
      <c r="QK131" s="1035">
        <v>76.509999999999991</v>
      </c>
      <c r="QL131" s="1035">
        <v>16.347999999999999</v>
      </c>
      <c r="QM131" s="1035">
        <v>60.161999999999999</v>
      </c>
      <c r="QN131" s="1035">
        <v>0</v>
      </c>
      <c r="QO131" s="1035">
        <v>-72.195999999999998</v>
      </c>
      <c r="QP131" s="1035">
        <v>20.484000000000002</v>
      </c>
      <c r="QQ131" s="1035">
        <v>-92.68</v>
      </c>
      <c r="QR131" s="1035">
        <v>456.2917636265795</v>
      </c>
      <c r="QS131" s="1035">
        <v>6.1229429421680743</v>
      </c>
      <c r="QT131" s="1035">
        <v>0</v>
      </c>
      <c r="QU131" s="1035">
        <v>78.748999999999995</v>
      </c>
      <c r="QV131" s="1035">
        <v>371.41982068441143</v>
      </c>
      <c r="QW131" s="93"/>
      <c r="QX131" s="93">
        <v>0.245</v>
      </c>
      <c r="QY131" s="93">
        <v>210.68517999630836</v>
      </c>
      <c r="QZ131" s="93">
        <v>195.71945241160981</v>
      </c>
      <c r="RA131" s="93">
        <v>0</v>
      </c>
      <c r="RB131" s="93">
        <v>15.915000000000001</v>
      </c>
      <c r="RC131" s="93">
        <v>0</v>
      </c>
      <c r="RD131" s="93">
        <v>7.2670000000000003</v>
      </c>
      <c r="RE131" s="93">
        <v>0</v>
      </c>
      <c r="RF131" s="93">
        <v>0</v>
      </c>
      <c r="RG131" s="93">
        <v>74.927999999999997</v>
      </c>
      <c r="RH131" s="93">
        <v>11.062999999999995</v>
      </c>
      <c r="RI131" s="93"/>
      <c r="RJ131" s="93"/>
      <c r="RK131" s="93"/>
      <c r="RL131" s="93"/>
      <c r="RM131" s="20"/>
      <c r="RN131" s="29">
        <v>64</v>
      </c>
      <c r="RO131" s="19"/>
      <c r="RP131" s="20"/>
      <c r="RQ131" s="29">
        <v>64</v>
      </c>
      <c r="RR131" s="20"/>
      <c r="RS131" s="29">
        <v>64</v>
      </c>
      <c r="RT131" s="1504">
        <v>38443</v>
      </c>
      <c r="RU131" s="19"/>
      <c r="RV131" s="20"/>
      <c r="RW131" s="29">
        <v>64</v>
      </c>
      <c r="RX131" s="1504">
        <v>38443</v>
      </c>
      <c r="RY131" s="29"/>
      <c r="RZ131" s="20"/>
      <c r="SA131" s="29"/>
      <c r="SB131" s="29">
        <v>64</v>
      </c>
    </row>
    <row r="132" spans="1:496">
      <c r="A132" s="41">
        <f t="shared" si="187"/>
        <v>2005</v>
      </c>
      <c r="B132" s="1504">
        <v>38473</v>
      </c>
      <c r="C132" s="1813"/>
      <c r="D132" s="1814"/>
      <c r="E132" s="1814"/>
      <c r="F132" s="1815"/>
      <c r="G132" s="1814"/>
      <c r="H132" s="1814"/>
      <c r="I132" s="1814"/>
      <c r="J132" s="1816"/>
      <c r="K132" s="1807"/>
      <c r="L132" s="25">
        <v>65</v>
      </c>
      <c r="M132" s="97"/>
      <c r="N132" s="1504">
        <v>38473</v>
      </c>
      <c r="O132" s="19"/>
      <c r="P132" s="93"/>
      <c r="Q132" s="93"/>
      <c r="R132" s="93"/>
      <c r="S132" s="93"/>
      <c r="T132" s="93"/>
      <c r="U132" s="93"/>
      <c r="V132" s="93"/>
      <c r="W132" s="93"/>
      <c r="X132" s="93"/>
      <c r="Y132" s="93"/>
      <c r="Z132" s="93"/>
      <c r="AA132" s="93"/>
      <c r="AB132" s="20"/>
      <c r="AC132" s="25">
        <v>65</v>
      </c>
      <c r="AD132" s="97"/>
      <c r="AE132" s="1504">
        <v>38473</v>
      </c>
      <c r="AF132" s="19"/>
      <c r="AG132" s="93"/>
      <c r="AH132" s="93"/>
      <c r="AI132" s="93"/>
      <c r="AJ132" s="93"/>
      <c r="AK132" s="93"/>
      <c r="AL132" s="93"/>
      <c r="AM132" s="93"/>
      <c r="AN132" s="93"/>
      <c r="AO132" s="93"/>
      <c r="AP132" s="93"/>
      <c r="AQ132" s="93"/>
      <c r="AR132" s="93"/>
      <c r="AS132" s="20"/>
      <c r="AT132" s="25">
        <v>65</v>
      </c>
      <c r="AU132" s="97"/>
      <c r="AV132" s="1504">
        <v>38473</v>
      </c>
      <c r="AW132" s="19"/>
      <c r="AX132" s="93"/>
      <c r="AY132" s="93"/>
      <c r="AZ132" s="93"/>
      <c r="BA132" s="93"/>
      <c r="BB132" s="93"/>
      <c r="BC132" s="93"/>
      <c r="BD132" s="93"/>
      <c r="BE132" s="93"/>
      <c r="BF132" s="93"/>
      <c r="BG132" s="93"/>
      <c r="BH132" s="93"/>
      <c r="BI132" s="93"/>
      <c r="BJ132" s="20"/>
      <c r="BK132" s="25">
        <v>65</v>
      </c>
      <c r="BL132" s="97"/>
      <c r="BM132" s="1504">
        <v>38473</v>
      </c>
      <c r="BN132" s="19"/>
      <c r="BO132" s="93"/>
      <c r="BP132" s="93"/>
      <c r="BQ132" s="93"/>
      <c r="BR132" s="93"/>
      <c r="BS132" s="93"/>
      <c r="BT132" s="93"/>
      <c r="BU132" s="20"/>
      <c r="BV132" s="25">
        <v>65</v>
      </c>
      <c r="BW132" s="97"/>
      <c r="BX132" s="1504">
        <v>38473</v>
      </c>
      <c r="BY132" s="19"/>
      <c r="BZ132" s="99">
        <v>664.95699999999999</v>
      </c>
      <c r="CA132" s="93"/>
      <c r="CB132" s="93"/>
      <c r="CC132" s="93"/>
      <c r="CD132" s="25">
        <v>65</v>
      </c>
      <c r="CE132" s="97"/>
      <c r="CF132" s="1504">
        <v>38473</v>
      </c>
      <c r="CG132" s="19">
        <v>1.2281236550000001</v>
      </c>
      <c r="CH132" s="93">
        <v>421.87299999999999</v>
      </c>
      <c r="CI132" s="219"/>
      <c r="CJ132" s="20"/>
      <c r="CK132" s="19"/>
      <c r="CL132" s="93"/>
      <c r="CM132" s="93"/>
      <c r="CN132" s="93"/>
      <c r="CO132" s="93"/>
      <c r="CP132" s="20"/>
      <c r="CQ132" s="219">
        <v>1212.54</v>
      </c>
      <c r="CR132" s="93">
        <v>1.41</v>
      </c>
      <c r="CS132" s="93"/>
      <c r="CT132" s="93"/>
      <c r="CU132" s="93"/>
      <c r="CV132" s="214"/>
      <c r="CW132" s="29">
        <v>65</v>
      </c>
      <c r="CX132" s="41">
        <f t="shared" si="188"/>
        <v>2005</v>
      </c>
      <c r="CY132" s="1504">
        <v>38473</v>
      </c>
      <c r="CZ132" s="1916">
        <v>51.808599000000001</v>
      </c>
      <c r="DA132" s="1526">
        <v>31.910655999999999</v>
      </c>
      <c r="DB132" s="1526">
        <v>19.897943000000001</v>
      </c>
      <c r="DC132" s="182">
        <f t="shared" si="190"/>
        <v>256493</v>
      </c>
      <c r="DD132" s="182"/>
      <c r="DE132" s="290"/>
      <c r="DF132" s="29">
        <v>65</v>
      </c>
      <c r="DG132" s="1504">
        <v>38473</v>
      </c>
      <c r="DH132" s="19"/>
      <c r="DI132" s="93"/>
      <c r="DJ132" s="93"/>
      <c r="DK132" s="93"/>
      <c r="DL132" s="93"/>
      <c r="DM132" s="93"/>
      <c r="DN132" s="20"/>
      <c r="DO132" s="25"/>
      <c r="DP132" s="29">
        <v>65</v>
      </c>
      <c r="DQ132" s="1504">
        <v>38473</v>
      </c>
      <c r="DR132" s="19"/>
      <c r="DS132" s="93"/>
      <c r="DT132" s="93"/>
      <c r="DU132" s="93"/>
      <c r="DV132" s="93"/>
      <c r="DW132" s="93"/>
      <c r="DX132" s="20"/>
      <c r="DY132" s="29">
        <v>65</v>
      </c>
      <c r="DZ132" s="1504">
        <v>38473</v>
      </c>
      <c r="EA132" s="19"/>
      <c r="EB132" s="93"/>
      <c r="EC132" s="20"/>
      <c r="ED132" s="29">
        <v>65</v>
      </c>
      <c r="EE132" s="1504">
        <v>38473</v>
      </c>
      <c r="EF132" s="19"/>
      <c r="EG132" s="93"/>
      <c r="EH132" s="93"/>
      <c r="EI132" s="214"/>
      <c r="EJ132" s="93"/>
      <c r="EK132" s="93"/>
      <c r="EL132" s="93"/>
      <c r="EM132" s="93"/>
      <c r="EN132" s="20"/>
      <c r="EO132" s="29">
        <v>65</v>
      </c>
      <c r="EP132" s="1504">
        <v>38473</v>
      </c>
      <c r="EQ132" s="19"/>
      <c r="ER132" s="93"/>
      <c r="ES132" s="93"/>
      <c r="ET132" s="214"/>
      <c r="EU132" s="93"/>
      <c r="EV132" s="93"/>
      <c r="EW132" s="93"/>
      <c r="EX132" s="93"/>
      <c r="EY132" s="20"/>
      <c r="EZ132" s="29">
        <v>65</v>
      </c>
      <c r="FA132" s="1504">
        <v>38473</v>
      </c>
      <c r="FB132" s="29"/>
      <c r="FC132" s="29"/>
      <c r="FD132" s="29"/>
      <c r="FE132" s="29"/>
      <c r="FF132" s="29"/>
      <c r="FG132" s="29"/>
      <c r="FH132" s="29"/>
      <c r="FI132" s="29"/>
      <c r="FJ132" s="29"/>
      <c r="FK132" s="29">
        <v>65</v>
      </c>
      <c r="FL132" s="1504">
        <v>38473</v>
      </c>
      <c r="FM132" s="19"/>
      <c r="FN132" s="93"/>
      <c r="FO132" s="93"/>
      <c r="FP132" s="93"/>
      <c r="FQ132" s="93"/>
      <c r="FR132" s="93"/>
      <c r="FS132" s="93"/>
      <c r="FT132" s="93"/>
      <c r="FU132" s="93"/>
      <c r="FV132" s="93"/>
      <c r="FW132" s="93"/>
      <c r="FX132" s="93"/>
      <c r="FY132" s="93"/>
      <c r="FZ132" s="29">
        <v>65</v>
      </c>
      <c r="GA132" s="1504">
        <v>38473</v>
      </c>
      <c r="GB132" s="19"/>
      <c r="GC132" s="93"/>
      <c r="GD132" s="93"/>
      <c r="GE132" s="93"/>
      <c r="GF132" s="93"/>
      <c r="GG132" s="93"/>
      <c r="GH132" s="93"/>
      <c r="GI132" s="93"/>
      <c r="GJ132" s="93"/>
      <c r="GK132" s="93"/>
      <c r="GL132" s="93"/>
      <c r="GM132" s="93"/>
      <c r="GN132" s="20"/>
      <c r="GO132" s="29">
        <v>65</v>
      </c>
      <c r="GP132" s="1504">
        <v>38473</v>
      </c>
      <c r="GQ132" s="19"/>
      <c r="GR132" s="93"/>
      <c r="GS132" s="93"/>
      <c r="GT132" s="93"/>
      <c r="GU132" s="93"/>
      <c r="GV132" s="20"/>
      <c r="GW132" s="19"/>
      <c r="GX132" s="93"/>
      <c r="GY132" s="93"/>
      <c r="GZ132" s="93"/>
      <c r="HA132" s="93"/>
      <c r="HB132" s="20"/>
      <c r="HC132" s="19"/>
      <c r="HD132" s="93"/>
      <c r="HE132" s="93"/>
      <c r="HF132" s="93"/>
      <c r="HG132" s="93"/>
      <c r="HH132" s="20"/>
      <c r="HI132" s="19"/>
      <c r="HJ132" s="93"/>
      <c r="HK132" s="93"/>
      <c r="HL132" s="93"/>
      <c r="HM132" s="93"/>
      <c r="HN132" s="20"/>
      <c r="HO132" s="219"/>
      <c r="HP132" s="20"/>
      <c r="HQ132" s="25"/>
      <c r="HR132" s="29">
        <v>65</v>
      </c>
      <c r="HS132" s="1504">
        <v>38473</v>
      </c>
      <c r="HT132" s="179">
        <v>184.17700004577637</v>
      </c>
      <c r="HU132" s="99">
        <v>221.42298889160156</v>
      </c>
      <c r="HV132" s="99"/>
      <c r="HW132" s="99"/>
      <c r="HX132" s="99">
        <v>184.18728637695313</v>
      </c>
      <c r="HY132" s="99"/>
      <c r="HZ132" s="99">
        <v>211.88528137207032</v>
      </c>
      <c r="IA132" s="132">
        <v>172.58065414428711</v>
      </c>
      <c r="IB132" s="179">
        <v>139.42308044433594</v>
      </c>
      <c r="IC132" s="99">
        <v>149.32540512084961</v>
      </c>
      <c r="ID132" s="99">
        <v>190.47619120279947</v>
      </c>
      <c r="IE132" s="99"/>
      <c r="IF132" s="99">
        <v>202.9999969482422</v>
      </c>
      <c r="IG132" s="132">
        <v>151.47207336425782</v>
      </c>
      <c r="IH132" s="179">
        <v>158.89060592651367</v>
      </c>
      <c r="II132" s="99">
        <v>188.60513877868652</v>
      </c>
      <c r="IJ132" s="99"/>
      <c r="IK132" s="99">
        <v>176.38888168334961</v>
      </c>
      <c r="IL132" s="99"/>
      <c r="IM132" s="99">
        <v>151.93548583984375</v>
      </c>
      <c r="IN132" s="93"/>
      <c r="IO132" s="132">
        <v>183.52858123779296</v>
      </c>
      <c r="IP132" s="29">
        <v>65</v>
      </c>
      <c r="IQ132" s="19"/>
      <c r="IR132" s="93"/>
      <c r="IS132" s="93"/>
      <c r="IT132" s="93"/>
      <c r="IU132" s="93"/>
      <c r="IV132" s="20"/>
      <c r="IW132" s="29">
        <v>65</v>
      </c>
      <c r="IX132" s="19"/>
      <c r="IY132" s="93"/>
      <c r="IZ132" s="93"/>
      <c r="JA132" s="93"/>
      <c r="JB132" s="93"/>
      <c r="JC132" s="93"/>
      <c r="JD132" s="93"/>
      <c r="JE132" s="20"/>
      <c r="JF132" s="29">
        <v>65</v>
      </c>
      <c r="JG132" s="19"/>
      <c r="JH132" s="93"/>
      <c r="JI132" s="93"/>
      <c r="JJ132" s="93"/>
      <c r="JK132" s="93"/>
      <c r="JL132" s="93"/>
      <c r="JM132" s="93"/>
      <c r="JN132" s="20"/>
      <c r="JO132" s="29">
        <v>65</v>
      </c>
      <c r="JP132" s="19"/>
      <c r="JQ132" s="93"/>
      <c r="JR132" s="93"/>
      <c r="JS132" s="93"/>
      <c r="JT132" s="93"/>
      <c r="JU132" s="20"/>
      <c r="JV132" s="29">
        <v>65</v>
      </c>
      <c r="JW132" s="1504">
        <v>38473</v>
      </c>
      <c r="JX132" s="19"/>
      <c r="JY132" s="93"/>
      <c r="JZ132" s="93"/>
      <c r="KA132" s="93"/>
      <c r="KB132" s="93"/>
      <c r="KC132" s="93"/>
      <c r="KD132" s="20"/>
      <c r="KE132" s="29">
        <v>65</v>
      </c>
      <c r="KF132" s="19"/>
      <c r="KG132" s="93"/>
      <c r="KH132" s="93"/>
      <c r="KI132" s="93"/>
      <c r="KJ132" s="93"/>
      <c r="KK132" s="20"/>
      <c r="KL132" s="29">
        <v>65</v>
      </c>
      <c r="KM132" s="19"/>
      <c r="KN132" s="93"/>
      <c r="KO132" s="93"/>
      <c r="KP132" s="93"/>
      <c r="KQ132" s="93"/>
      <c r="KR132" s="20"/>
      <c r="KS132" s="29">
        <v>65</v>
      </c>
      <c r="KT132" s="19"/>
      <c r="KU132" s="93"/>
      <c r="KV132" s="93"/>
      <c r="KW132" s="93"/>
      <c r="KX132" s="93"/>
      <c r="KY132" s="20"/>
      <c r="KZ132" s="29">
        <v>65</v>
      </c>
      <c r="LA132" s="1504">
        <v>38473</v>
      </c>
      <c r="LB132" s="19"/>
      <c r="LC132" s="93"/>
      <c r="LD132" s="93"/>
      <c r="LE132" s="93"/>
      <c r="LF132" s="93"/>
      <c r="LG132" s="93"/>
      <c r="LH132" s="20"/>
      <c r="LI132" s="29">
        <v>65</v>
      </c>
      <c r="LJ132" s="19"/>
      <c r="LK132" s="93"/>
      <c r="LL132" s="93"/>
      <c r="LM132" s="93"/>
      <c r="LN132" s="93"/>
      <c r="LO132" s="20"/>
      <c r="LP132" s="29">
        <v>65</v>
      </c>
      <c r="LQ132" s="19"/>
      <c r="LR132" s="93"/>
      <c r="LS132" s="93"/>
      <c r="LT132" s="93"/>
      <c r="LU132" s="93"/>
      <c r="LV132" s="93"/>
      <c r="LW132" s="93"/>
      <c r="LX132" s="93"/>
      <c r="LY132" s="93"/>
      <c r="LZ132" s="93"/>
      <c r="MA132" s="20"/>
      <c r="MB132" s="29">
        <v>65</v>
      </c>
      <c r="MC132" s="1504">
        <v>38473</v>
      </c>
      <c r="MD132" s="19"/>
      <c r="ME132" s="93"/>
      <c r="MF132" s="93"/>
      <c r="MG132" s="93"/>
      <c r="MH132" s="93"/>
      <c r="MI132" s="93"/>
      <c r="MJ132" s="93"/>
      <c r="MK132" s="93"/>
      <c r="ML132" s="93"/>
      <c r="MM132" s="93"/>
      <c r="MN132" s="93"/>
      <c r="MO132" s="93"/>
      <c r="MP132" s="93"/>
      <c r="MQ132" s="93"/>
      <c r="MR132" s="93"/>
      <c r="MS132" s="93"/>
      <c r="MT132" s="93"/>
      <c r="MU132" s="93"/>
      <c r="MV132" s="93"/>
      <c r="MW132" s="93"/>
      <c r="MX132" s="93"/>
      <c r="MY132" s="93"/>
      <c r="MZ132" s="93"/>
      <c r="NA132" s="93"/>
      <c r="NB132" s="93"/>
      <c r="NC132" s="93"/>
      <c r="ND132" s="93"/>
      <c r="NE132" s="93"/>
      <c r="NF132" s="93"/>
      <c r="NG132" s="93"/>
      <c r="NH132" s="93"/>
      <c r="NI132" s="93"/>
      <c r="NJ132" s="93"/>
      <c r="NK132" s="93"/>
      <c r="NL132" s="93"/>
      <c r="NM132" s="93"/>
      <c r="NN132" s="93"/>
      <c r="NO132" s="93"/>
      <c r="NP132" s="93"/>
      <c r="NQ132" s="93"/>
      <c r="NR132" s="93"/>
      <c r="NS132" s="93"/>
      <c r="NT132" s="93"/>
      <c r="NU132" s="93"/>
      <c r="NV132" s="93"/>
      <c r="NW132" s="93"/>
      <c r="NX132" s="93"/>
      <c r="NY132" s="93"/>
      <c r="NZ132" s="93"/>
      <c r="OA132" s="93"/>
      <c r="OB132" s="93"/>
      <c r="OC132" s="93"/>
      <c r="OD132" s="20"/>
      <c r="OE132" s="29">
        <v>65</v>
      </c>
      <c r="OF132" s="1504">
        <v>38473</v>
      </c>
      <c r="OG132" s="19"/>
      <c r="OH132" s="93">
        <v>179.36929999999998</v>
      </c>
      <c r="OI132" s="93">
        <v>247.31473944878985</v>
      </c>
      <c r="OJ132" s="93">
        <v>0.54360520400000001</v>
      </c>
      <c r="OK132" s="93">
        <v>197.42393424478988</v>
      </c>
      <c r="OL132" s="93">
        <v>49.347200000000001</v>
      </c>
      <c r="OM132" s="93">
        <v>426.6840394487898</v>
      </c>
      <c r="ON132" s="93">
        <v>200.18925485156336</v>
      </c>
      <c r="OO132" s="93">
        <v>626.87329430035311</v>
      </c>
      <c r="OP132" s="93"/>
      <c r="OQ132" s="93">
        <v>264.08309326828493</v>
      </c>
      <c r="OR132" s="93">
        <v>215.04931244199992</v>
      </c>
      <c r="OS132" s="93">
        <v>49.033780826284996</v>
      </c>
      <c r="OT132" s="93">
        <v>414.53707886306825</v>
      </c>
      <c r="OU132" s="93">
        <v>-46.454014362999999</v>
      </c>
      <c r="OV132" s="93">
        <v>26.312985636999997</v>
      </c>
      <c r="OW132" s="93">
        <v>-72.766999999999996</v>
      </c>
      <c r="OX132" s="93">
        <v>460.99109322606824</v>
      </c>
      <c r="OY132" s="93">
        <v>2.4466849559999999</v>
      </c>
      <c r="OZ132" s="93">
        <v>458.54440827006823</v>
      </c>
      <c r="PA132" s="93">
        <v>95.528414464999997</v>
      </c>
      <c r="PB132" s="93">
        <v>-43.781536633999991</v>
      </c>
      <c r="PC132" s="20">
        <v>626.87329430035322</v>
      </c>
      <c r="PD132" s="29">
        <v>65</v>
      </c>
      <c r="PE132" s="19"/>
      <c r="PF132" s="93">
        <v>215.04931244199992</v>
      </c>
      <c r="PG132" s="93">
        <v>306.05610805599991</v>
      </c>
      <c r="PH132" s="93">
        <v>91.006795613999998</v>
      </c>
      <c r="PI132" s="93">
        <v>1.127</v>
      </c>
      <c r="PJ132" s="93">
        <v>26.312985636999997</v>
      </c>
      <c r="PK132" s="93">
        <v>93.709839551000002</v>
      </c>
      <c r="PL132" s="93">
        <v>67.396853914000005</v>
      </c>
      <c r="PM132" s="93">
        <v>2.4466849559999999</v>
      </c>
      <c r="PN132" s="93">
        <v>0</v>
      </c>
      <c r="PO132" s="93">
        <v>0</v>
      </c>
      <c r="PP132" s="93">
        <v>9.9413499999999994E-4</v>
      </c>
      <c r="PQ132" s="93">
        <v>2.4456908209999999</v>
      </c>
      <c r="PR132" s="93">
        <v>247.57712176999999</v>
      </c>
      <c r="PS132" s="93">
        <v>197.35329999999999</v>
      </c>
      <c r="PT132" s="93">
        <v>49.680216565999999</v>
      </c>
      <c r="PU132" s="93">
        <v>0.54360520400000001</v>
      </c>
      <c r="PV132" s="93">
        <v>0</v>
      </c>
      <c r="PW132" s="93">
        <v>2.314408341</v>
      </c>
      <c r="PX132" s="93">
        <v>0</v>
      </c>
      <c r="PY132" s="93">
        <v>0</v>
      </c>
      <c r="PZ132" s="93">
        <v>2.314408341</v>
      </c>
      <c r="QA132" s="93">
        <v>0</v>
      </c>
      <c r="QB132" s="93">
        <v>0</v>
      </c>
      <c r="QC132" s="93">
        <v>0</v>
      </c>
      <c r="QD132" s="93">
        <v>-3.9149938759999996</v>
      </c>
      <c r="QE132" s="20">
        <v>-1.0405531999999926</v>
      </c>
      <c r="QF132" s="1739">
        <v>65</v>
      </c>
      <c r="QG132" s="19"/>
      <c r="QH132" s="1035">
        <v>49.033780826284996</v>
      </c>
      <c r="QI132" s="1035">
        <v>130.81659172993176</v>
      </c>
      <c r="QJ132" s="1035">
        <v>-81.782810903646762</v>
      </c>
      <c r="QK132" s="1035">
        <v>73.674000000000007</v>
      </c>
      <c r="QL132" s="1035">
        <v>17.984000000000002</v>
      </c>
      <c r="QM132" s="1035">
        <v>55.69</v>
      </c>
      <c r="QN132" s="1035">
        <v>0</v>
      </c>
      <c r="QO132" s="1035">
        <v>-72.766999999999996</v>
      </c>
      <c r="QP132" s="1035">
        <v>20.926000000000002</v>
      </c>
      <c r="QQ132" s="1035">
        <v>-93.692999999999998</v>
      </c>
      <c r="QR132" s="1035">
        <v>458.54440827006823</v>
      </c>
      <c r="QS132" s="1035">
        <v>6.6533736691567524</v>
      </c>
      <c r="QT132" s="1035">
        <v>0</v>
      </c>
      <c r="QU132" s="1035">
        <v>81.912999999999997</v>
      </c>
      <c r="QV132" s="1035">
        <v>369.97803460091149</v>
      </c>
      <c r="QW132" s="93"/>
      <c r="QX132" s="93">
        <v>0.17499999999999999</v>
      </c>
      <c r="QY132" s="93">
        <v>197.42393424478988</v>
      </c>
      <c r="QZ132" s="93">
        <v>200.18925485156336</v>
      </c>
      <c r="RA132" s="93">
        <v>0</v>
      </c>
      <c r="RB132" s="93">
        <v>15.398</v>
      </c>
      <c r="RC132" s="93">
        <v>0</v>
      </c>
      <c r="RD132" s="93">
        <v>6.3679999999999994</v>
      </c>
      <c r="RE132" s="93">
        <v>0</v>
      </c>
      <c r="RF132" s="93">
        <v>0</v>
      </c>
      <c r="RG132" s="93">
        <v>75.363</v>
      </c>
      <c r="RH132" s="93">
        <v>13.568000000000005</v>
      </c>
      <c r="RI132" s="93"/>
      <c r="RJ132" s="93"/>
      <c r="RK132" s="93"/>
      <c r="RL132" s="93"/>
      <c r="RM132" s="20"/>
      <c r="RN132" s="29">
        <v>65</v>
      </c>
      <c r="RO132" s="19"/>
      <c r="RP132" s="20"/>
      <c r="RQ132" s="29">
        <v>65</v>
      </c>
      <c r="RR132" s="20"/>
      <c r="RS132" s="29">
        <v>65</v>
      </c>
      <c r="RT132" s="1504">
        <v>38473</v>
      </c>
      <c r="RU132" s="19"/>
      <c r="RV132" s="20"/>
      <c r="RW132" s="29">
        <v>65</v>
      </c>
      <c r="RX132" s="1504">
        <v>38473</v>
      </c>
      <c r="RY132" s="29"/>
      <c r="RZ132" s="20"/>
      <c r="SA132" s="29"/>
      <c r="SB132" s="29">
        <v>65</v>
      </c>
    </row>
    <row r="133" spans="1:496">
      <c r="A133" s="41">
        <f t="shared" ref="A133:A196" si="191">YEAR(B133)</f>
        <v>2005</v>
      </c>
      <c r="B133" s="1504">
        <v>38504</v>
      </c>
      <c r="C133" s="1813"/>
      <c r="D133" s="1814"/>
      <c r="E133" s="1814"/>
      <c r="F133" s="1815"/>
      <c r="G133" s="1814"/>
      <c r="H133" s="1814"/>
      <c r="I133" s="1814"/>
      <c r="J133" s="1816"/>
      <c r="K133" s="1807"/>
      <c r="L133" s="25">
        <v>66</v>
      </c>
      <c r="M133" s="97"/>
      <c r="N133" s="1504">
        <v>38504</v>
      </c>
      <c r="O133" s="19"/>
      <c r="P133" s="93"/>
      <c r="Q133" s="93"/>
      <c r="R133" s="93"/>
      <c r="S133" s="93"/>
      <c r="T133" s="93"/>
      <c r="U133" s="93"/>
      <c r="V133" s="93"/>
      <c r="W133" s="93"/>
      <c r="X133" s="93"/>
      <c r="Y133" s="93"/>
      <c r="Z133" s="93"/>
      <c r="AA133" s="93"/>
      <c r="AB133" s="20"/>
      <c r="AC133" s="25">
        <v>66</v>
      </c>
      <c r="AD133" s="97"/>
      <c r="AE133" s="1504">
        <v>38504</v>
      </c>
      <c r="AF133" s="19"/>
      <c r="AG133" s="93"/>
      <c r="AH133" s="93"/>
      <c r="AI133" s="93"/>
      <c r="AJ133" s="93"/>
      <c r="AK133" s="93"/>
      <c r="AL133" s="93"/>
      <c r="AM133" s="93"/>
      <c r="AN133" s="93"/>
      <c r="AO133" s="93"/>
      <c r="AP133" s="93"/>
      <c r="AQ133" s="93"/>
      <c r="AR133" s="93"/>
      <c r="AS133" s="20"/>
      <c r="AT133" s="25">
        <v>66</v>
      </c>
      <c r="AU133" s="97"/>
      <c r="AV133" s="1504">
        <v>38504</v>
      </c>
      <c r="AW133" s="19"/>
      <c r="AX133" s="93"/>
      <c r="AY133" s="93"/>
      <c r="AZ133" s="93"/>
      <c r="BA133" s="93"/>
      <c r="BB133" s="93"/>
      <c r="BC133" s="93"/>
      <c r="BD133" s="93"/>
      <c r="BE133" s="93"/>
      <c r="BF133" s="93"/>
      <c r="BG133" s="93"/>
      <c r="BH133" s="93"/>
      <c r="BI133" s="93"/>
      <c r="BJ133" s="20"/>
      <c r="BK133" s="25">
        <v>66</v>
      </c>
      <c r="BL133" s="97"/>
      <c r="BM133" s="1504">
        <v>38504</v>
      </c>
      <c r="BN133" s="19"/>
      <c r="BO133" s="93"/>
      <c r="BP133" s="93"/>
      <c r="BQ133" s="93"/>
      <c r="BR133" s="93"/>
      <c r="BS133" s="93"/>
      <c r="BT133" s="93"/>
      <c r="BU133" s="20"/>
      <c r="BV133" s="25">
        <v>66</v>
      </c>
      <c r="BW133" s="97"/>
      <c r="BX133" s="1504">
        <v>38504</v>
      </c>
      <c r="BY133" s="19"/>
      <c r="BZ133" s="99">
        <v>664.95699999999999</v>
      </c>
      <c r="CA133" s="93"/>
      <c r="CB133" s="93"/>
      <c r="CC133" s="93"/>
      <c r="CD133" s="25">
        <v>66</v>
      </c>
      <c r="CE133" s="97"/>
      <c r="CF133" s="1504">
        <v>38504</v>
      </c>
      <c r="CG133" s="19">
        <v>1.1930501549999999</v>
      </c>
      <c r="CH133" s="93">
        <v>430.65699999999998</v>
      </c>
      <c r="CI133" s="219"/>
      <c r="CJ133" s="20"/>
      <c r="CK133" s="19"/>
      <c r="CL133" s="93"/>
      <c r="CM133" s="93"/>
      <c r="CN133" s="93"/>
      <c r="CO133" s="93"/>
      <c r="CP133" s="20"/>
      <c r="CQ133" s="219">
        <v>1198.51</v>
      </c>
      <c r="CR133" s="93">
        <v>1.3925000000000001</v>
      </c>
      <c r="CS133" s="93"/>
      <c r="CT133" s="93"/>
      <c r="CU133" s="93"/>
      <c r="CV133" s="214"/>
      <c r="CW133" s="29">
        <v>66</v>
      </c>
      <c r="CX133" s="41">
        <f t="shared" ref="CX133:CX196" si="192">YEAR(CY133)</f>
        <v>2005</v>
      </c>
      <c r="CY133" s="1504">
        <v>38504</v>
      </c>
      <c r="CZ133" s="1916">
        <v>47.634544000000005</v>
      </c>
      <c r="DA133" s="1526">
        <v>30.459873000000002</v>
      </c>
      <c r="DB133" s="1526">
        <v>17.174671</v>
      </c>
      <c r="DC133" s="182">
        <f t="shared" si="190"/>
        <v>256493</v>
      </c>
      <c r="DD133" s="182"/>
      <c r="DE133" s="290"/>
      <c r="DF133" s="29">
        <v>66</v>
      </c>
      <c r="DG133" s="1504">
        <v>38504</v>
      </c>
      <c r="DH133" s="19"/>
      <c r="DI133" s="93"/>
      <c r="DJ133" s="93"/>
      <c r="DK133" s="93"/>
      <c r="DL133" s="93"/>
      <c r="DM133" s="93"/>
      <c r="DN133" s="20"/>
      <c r="DO133" s="25"/>
      <c r="DP133" s="29">
        <v>66</v>
      </c>
      <c r="DQ133" s="1504">
        <v>38504</v>
      </c>
      <c r="DR133" s="19"/>
      <c r="DS133" s="93"/>
      <c r="DT133" s="93"/>
      <c r="DU133" s="93"/>
      <c r="DV133" s="93"/>
      <c r="DW133" s="93"/>
      <c r="DX133" s="20"/>
      <c r="DY133" s="29">
        <v>66</v>
      </c>
      <c r="DZ133" s="1504">
        <v>38504</v>
      </c>
      <c r="EA133" s="19"/>
      <c r="EB133" s="93"/>
      <c r="EC133" s="20"/>
      <c r="ED133" s="29">
        <v>66</v>
      </c>
      <c r="EE133" s="1504">
        <v>38504</v>
      </c>
      <c r="EF133" s="19"/>
      <c r="EG133" s="93"/>
      <c r="EH133" s="93"/>
      <c r="EI133" s="214"/>
      <c r="EJ133" s="93"/>
      <c r="EK133" s="93"/>
      <c r="EL133" s="93"/>
      <c r="EM133" s="93"/>
      <c r="EN133" s="20"/>
      <c r="EO133" s="29">
        <v>66</v>
      </c>
      <c r="EP133" s="1504">
        <v>38504</v>
      </c>
      <c r="EQ133" s="19"/>
      <c r="ER133" s="93"/>
      <c r="ES133" s="93"/>
      <c r="ET133" s="214"/>
      <c r="EU133" s="93"/>
      <c r="EV133" s="93"/>
      <c r="EW133" s="93"/>
      <c r="EX133" s="93"/>
      <c r="EY133" s="20"/>
      <c r="EZ133" s="29">
        <v>66</v>
      </c>
      <c r="FA133" s="1504">
        <v>38504</v>
      </c>
      <c r="FB133" s="29"/>
      <c r="FC133" s="29"/>
      <c r="FD133" s="29"/>
      <c r="FE133" s="29"/>
      <c r="FF133" s="29"/>
      <c r="FG133" s="29"/>
      <c r="FH133" s="29"/>
      <c r="FI133" s="29"/>
      <c r="FJ133" s="29"/>
      <c r="FK133" s="29">
        <v>66</v>
      </c>
      <c r="FL133" s="1504">
        <v>38504</v>
      </c>
      <c r="FM133" s="19"/>
      <c r="FN133" s="93"/>
      <c r="FO133" s="93"/>
      <c r="FP133" s="93"/>
      <c r="FQ133" s="93"/>
      <c r="FR133" s="93"/>
      <c r="FS133" s="93"/>
      <c r="FT133" s="93"/>
      <c r="FU133" s="93"/>
      <c r="FV133" s="93"/>
      <c r="FW133" s="93"/>
      <c r="FX133" s="93"/>
      <c r="FY133" s="93"/>
      <c r="FZ133" s="29">
        <v>66</v>
      </c>
      <c r="GA133" s="1504">
        <v>38504</v>
      </c>
      <c r="GB133" s="19"/>
      <c r="GC133" s="93"/>
      <c r="GD133" s="93"/>
      <c r="GE133" s="93"/>
      <c r="GF133" s="93"/>
      <c r="GG133" s="93"/>
      <c r="GH133" s="93"/>
      <c r="GI133" s="93"/>
      <c r="GJ133" s="93"/>
      <c r="GK133" s="93"/>
      <c r="GL133" s="93"/>
      <c r="GM133" s="93"/>
      <c r="GN133" s="20"/>
      <c r="GO133" s="29">
        <v>66</v>
      </c>
      <c r="GP133" s="1504">
        <v>38504</v>
      </c>
      <c r="GQ133" s="19"/>
      <c r="GR133" s="93"/>
      <c r="GS133" s="93"/>
      <c r="GT133" s="93"/>
      <c r="GU133" s="93"/>
      <c r="GV133" s="20"/>
      <c r="GW133" s="19"/>
      <c r="GX133" s="93"/>
      <c r="GY133" s="93"/>
      <c r="GZ133" s="93"/>
      <c r="HA133" s="93"/>
      <c r="HB133" s="20"/>
      <c r="HC133" s="19"/>
      <c r="HD133" s="93"/>
      <c r="HE133" s="93"/>
      <c r="HF133" s="93"/>
      <c r="HG133" s="93"/>
      <c r="HH133" s="20"/>
      <c r="HI133" s="19"/>
      <c r="HJ133" s="93"/>
      <c r="HK133" s="93"/>
      <c r="HL133" s="93"/>
      <c r="HM133" s="93"/>
      <c r="HN133" s="20"/>
      <c r="HO133" s="219"/>
      <c r="HP133" s="20"/>
      <c r="HQ133" s="25"/>
      <c r="HR133" s="29">
        <v>66</v>
      </c>
      <c r="HS133" s="1504">
        <v>38504</v>
      </c>
      <c r="HT133" s="179">
        <v>204.77567100524902</v>
      </c>
      <c r="HU133" s="99">
        <v>278.5210132598877</v>
      </c>
      <c r="HV133" s="99"/>
      <c r="HW133" s="99"/>
      <c r="HX133" s="99">
        <v>215.54771423339844</v>
      </c>
      <c r="HY133" s="99"/>
      <c r="HZ133" s="99">
        <v>259.8194281441825</v>
      </c>
      <c r="IA133" s="132">
        <v>203.22581176757814</v>
      </c>
      <c r="IB133" s="179">
        <v>225.2910125732422</v>
      </c>
      <c r="IC133" s="99">
        <v>172.36842727661133</v>
      </c>
      <c r="ID133" s="99">
        <v>225.74955749511719</v>
      </c>
      <c r="IE133" s="99"/>
      <c r="IF133" s="99">
        <v>248.79032897949219</v>
      </c>
      <c r="IG133" s="132">
        <v>183.74365234375</v>
      </c>
      <c r="IH133" s="179">
        <v>200.39261118570963</v>
      </c>
      <c r="II133" s="99">
        <v>230.76510404503864</v>
      </c>
      <c r="IJ133" s="99"/>
      <c r="IK133" s="99">
        <v>221.61464538574219</v>
      </c>
      <c r="IL133" s="99"/>
      <c r="IM133" s="99">
        <v>199.35484313964844</v>
      </c>
      <c r="IN133" s="93"/>
      <c r="IO133" s="132">
        <v>246.13620827414775</v>
      </c>
      <c r="IP133" s="29">
        <v>66</v>
      </c>
      <c r="IQ133" s="19"/>
      <c r="IR133" s="93"/>
      <c r="IS133" s="93"/>
      <c r="IT133" s="93"/>
      <c r="IU133" s="93"/>
      <c r="IV133" s="20"/>
      <c r="IW133" s="29">
        <v>66</v>
      </c>
      <c r="IX133" s="19"/>
      <c r="IY133" s="93"/>
      <c r="IZ133" s="93"/>
      <c r="JA133" s="93"/>
      <c r="JB133" s="93"/>
      <c r="JC133" s="93"/>
      <c r="JD133" s="93"/>
      <c r="JE133" s="20"/>
      <c r="JF133" s="29">
        <v>66</v>
      </c>
      <c r="JG133" s="19"/>
      <c r="JH133" s="93"/>
      <c r="JI133" s="93"/>
      <c r="JJ133" s="93"/>
      <c r="JK133" s="93"/>
      <c r="JL133" s="93"/>
      <c r="JM133" s="93"/>
      <c r="JN133" s="20"/>
      <c r="JO133" s="29">
        <v>66</v>
      </c>
      <c r="JP133" s="19"/>
      <c r="JQ133" s="93"/>
      <c r="JR133" s="93"/>
      <c r="JS133" s="93"/>
      <c r="JT133" s="93"/>
      <c r="JU133" s="20"/>
      <c r="JV133" s="29">
        <v>66</v>
      </c>
      <c r="JW133" s="1504">
        <v>38504</v>
      </c>
      <c r="JX133" s="19"/>
      <c r="JY133" s="93"/>
      <c r="JZ133" s="93"/>
      <c r="KA133" s="93"/>
      <c r="KB133" s="93"/>
      <c r="KC133" s="93"/>
      <c r="KD133" s="20"/>
      <c r="KE133" s="29">
        <v>66</v>
      </c>
      <c r="KF133" s="19"/>
      <c r="KG133" s="93"/>
      <c r="KH133" s="93"/>
      <c r="KI133" s="93"/>
      <c r="KJ133" s="93"/>
      <c r="KK133" s="20"/>
      <c r="KL133" s="29">
        <v>66</v>
      </c>
      <c r="KM133" s="19"/>
      <c r="KN133" s="93"/>
      <c r="KO133" s="93"/>
      <c r="KP133" s="93"/>
      <c r="KQ133" s="93"/>
      <c r="KR133" s="20"/>
      <c r="KS133" s="29">
        <v>66</v>
      </c>
      <c r="KT133" s="19"/>
      <c r="KU133" s="93"/>
      <c r="KV133" s="93"/>
      <c r="KW133" s="93"/>
      <c r="KX133" s="93"/>
      <c r="KY133" s="20"/>
      <c r="KZ133" s="29">
        <v>66</v>
      </c>
      <c r="LA133" s="1504">
        <v>38504</v>
      </c>
      <c r="LB133" s="19"/>
      <c r="LC133" s="93"/>
      <c r="LD133" s="93"/>
      <c r="LE133" s="93"/>
      <c r="LF133" s="93"/>
      <c r="LG133" s="93"/>
      <c r="LH133" s="20"/>
      <c r="LI133" s="29">
        <v>66</v>
      </c>
      <c r="LJ133" s="19"/>
      <c r="LK133" s="93"/>
      <c r="LL133" s="93"/>
      <c r="LM133" s="93"/>
      <c r="LN133" s="93"/>
      <c r="LO133" s="20"/>
      <c r="LP133" s="29">
        <v>66</v>
      </c>
      <c r="LQ133" s="19"/>
      <c r="LR133" s="93"/>
      <c r="LS133" s="93"/>
      <c r="LT133" s="93"/>
      <c r="LU133" s="93"/>
      <c r="LV133" s="93"/>
      <c r="LW133" s="93"/>
      <c r="LX133" s="93"/>
      <c r="LY133" s="93"/>
      <c r="LZ133" s="93"/>
      <c r="MA133" s="20"/>
      <c r="MB133" s="29">
        <v>66</v>
      </c>
      <c r="MC133" s="1504">
        <v>38504</v>
      </c>
      <c r="MD133" s="19"/>
      <c r="ME133" s="93"/>
      <c r="MF133" s="93"/>
      <c r="MG133" s="93"/>
      <c r="MH133" s="93"/>
      <c r="MI133" s="93"/>
      <c r="MJ133" s="93"/>
      <c r="MK133" s="93"/>
      <c r="ML133" s="93"/>
      <c r="MM133" s="93"/>
      <c r="MN133" s="93"/>
      <c r="MO133" s="93"/>
      <c r="MP133" s="93"/>
      <c r="MQ133" s="93"/>
      <c r="MR133" s="93"/>
      <c r="MS133" s="93"/>
      <c r="MT133" s="93"/>
      <c r="MU133" s="93"/>
      <c r="MV133" s="93"/>
      <c r="MW133" s="93"/>
      <c r="MX133" s="93"/>
      <c r="MY133" s="93"/>
      <c r="MZ133" s="93"/>
      <c r="NA133" s="93"/>
      <c r="NB133" s="93"/>
      <c r="NC133" s="93"/>
      <c r="ND133" s="93"/>
      <c r="NE133" s="93"/>
      <c r="NF133" s="93"/>
      <c r="NG133" s="93"/>
      <c r="NH133" s="93"/>
      <c r="NI133" s="93"/>
      <c r="NJ133" s="93"/>
      <c r="NK133" s="93"/>
      <c r="NL133" s="93"/>
      <c r="NM133" s="93"/>
      <c r="NN133" s="93"/>
      <c r="NO133" s="93"/>
      <c r="NP133" s="93"/>
      <c r="NQ133" s="93"/>
      <c r="NR133" s="93"/>
      <c r="NS133" s="93"/>
      <c r="NT133" s="93"/>
      <c r="NU133" s="93"/>
      <c r="NV133" s="93"/>
      <c r="NW133" s="93"/>
      <c r="NX133" s="93"/>
      <c r="NY133" s="93"/>
      <c r="NZ133" s="93"/>
      <c r="OA133" s="93"/>
      <c r="OB133" s="93"/>
      <c r="OC133" s="93"/>
      <c r="OD133" s="20"/>
      <c r="OE133" s="29">
        <v>66</v>
      </c>
      <c r="OF133" s="1504">
        <v>38504</v>
      </c>
      <c r="OG133" s="19"/>
      <c r="OH133" s="93">
        <v>172.7765</v>
      </c>
      <c r="OI133" s="93">
        <v>245.3054963544063</v>
      </c>
      <c r="OJ133" s="93">
        <v>0.26882238999999997</v>
      </c>
      <c r="OK133" s="93">
        <v>197.22167396440631</v>
      </c>
      <c r="OL133" s="93">
        <v>47.814999999999998</v>
      </c>
      <c r="OM133" s="93">
        <v>418.08199635440633</v>
      </c>
      <c r="ON133" s="93">
        <v>201.65944151035745</v>
      </c>
      <c r="OO133" s="93">
        <v>619.74143786476384</v>
      </c>
      <c r="OP133" s="93"/>
      <c r="OQ133" s="93">
        <v>230.85450780764944</v>
      </c>
      <c r="OR133" s="93">
        <v>202.07991721500002</v>
      </c>
      <c r="OS133" s="93">
        <v>28.774590592649403</v>
      </c>
      <c r="OT133" s="93">
        <v>449.92228351611425</v>
      </c>
      <c r="OU133" s="93">
        <v>-13.540804172999998</v>
      </c>
      <c r="OV133" s="93">
        <v>52.278195827000005</v>
      </c>
      <c r="OW133" s="93">
        <v>-65.819000000000003</v>
      </c>
      <c r="OX133" s="93">
        <v>463.46308768911427</v>
      </c>
      <c r="OY133" s="93">
        <v>2.4255628069999999</v>
      </c>
      <c r="OZ133" s="93">
        <v>461.03752488211427</v>
      </c>
      <c r="PA133" s="93">
        <v>85.845221233000018</v>
      </c>
      <c r="PB133" s="93">
        <v>-24.809867774000001</v>
      </c>
      <c r="PC133" s="20">
        <v>619.74143786476372</v>
      </c>
      <c r="PD133" s="29">
        <v>66</v>
      </c>
      <c r="PE133" s="19"/>
      <c r="PF133" s="93">
        <v>202.07991721500002</v>
      </c>
      <c r="PG133" s="93">
        <v>285.17872311400004</v>
      </c>
      <c r="PH133" s="93">
        <v>83.098805898999998</v>
      </c>
      <c r="PI133" s="93">
        <v>1.1100000000000001</v>
      </c>
      <c r="PJ133" s="93">
        <v>52.278195827000005</v>
      </c>
      <c r="PK133" s="93">
        <v>92.564173683000007</v>
      </c>
      <c r="PL133" s="93">
        <v>40.285977856000002</v>
      </c>
      <c r="PM133" s="93">
        <v>2.4255628069999999</v>
      </c>
      <c r="PN133" s="93">
        <v>0</v>
      </c>
      <c r="PO133" s="93">
        <v>0</v>
      </c>
      <c r="PP133" s="93">
        <v>1.6509700000000001E-4</v>
      </c>
      <c r="PQ133" s="93">
        <v>2.4253977099999999</v>
      </c>
      <c r="PR133" s="93">
        <v>259.44322598000002</v>
      </c>
      <c r="PS133" s="93">
        <v>188.70150000000001</v>
      </c>
      <c r="PT133" s="93">
        <v>70.472903590000001</v>
      </c>
      <c r="PU133" s="93">
        <v>0.26882238999999997</v>
      </c>
      <c r="PV133" s="93">
        <v>0</v>
      </c>
      <c r="PW133" s="93">
        <v>0.31546233000000001</v>
      </c>
      <c r="PX133" s="93">
        <v>0</v>
      </c>
      <c r="PY133" s="93">
        <v>0</v>
      </c>
      <c r="PZ133" s="93">
        <v>0.31546233000000001</v>
      </c>
      <c r="QA133" s="93">
        <v>0</v>
      </c>
      <c r="QB133" s="93">
        <v>0</v>
      </c>
      <c r="QC133" s="93">
        <v>0</v>
      </c>
      <c r="QD133" s="93">
        <v>-4.3722410969999999</v>
      </c>
      <c r="QE133" s="20">
        <v>2.5072286359999998</v>
      </c>
      <c r="QF133" s="1739">
        <v>66</v>
      </c>
      <c r="QG133" s="19"/>
      <c r="QH133" s="1035">
        <v>28.774590592649403</v>
      </c>
      <c r="QI133" s="1035">
        <v>123.33847511788566</v>
      </c>
      <c r="QJ133" s="1035">
        <v>-94.563884525236261</v>
      </c>
      <c r="QK133" s="1035">
        <v>83.471000000000004</v>
      </c>
      <c r="QL133" s="1035">
        <v>15.925000000000001</v>
      </c>
      <c r="QM133" s="1035">
        <v>67.546000000000006</v>
      </c>
      <c r="QN133" s="1035">
        <v>0</v>
      </c>
      <c r="QO133" s="1035">
        <v>-65.819000000000003</v>
      </c>
      <c r="QP133" s="1035">
        <v>21.366</v>
      </c>
      <c r="QQ133" s="1035">
        <v>-87.185000000000002</v>
      </c>
      <c r="QR133" s="1035">
        <v>461.03752488211427</v>
      </c>
      <c r="QS133" s="1035">
        <v>5.8384330519399779</v>
      </c>
      <c r="QT133" s="1035">
        <v>0</v>
      </c>
      <c r="QU133" s="1035">
        <v>79.637999999999991</v>
      </c>
      <c r="QV133" s="1035">
        <v>375.56109183017429</v>
      </c>
      <c r="QW133" s="93"/>
      <c r="QX133" s="93">
        <v>0.34899999999999998</v>
      </c>
      <c r="QY133" s="93">
        <v>197.22167396440631</v>
      </c>
      <c r="QZ133" s="93">
        <v>201.65944151035742</v>
      </c>
      <c r="RA133" s="93">
        <v>0</v>
      </c>
      <c r="RB133" s="93">
        <v>14.741999999999999</v>
      </c>
      <c r="RC133" s="93">
        <v>0</v>
      </c>
      <c r="RD133" s="93">
        <v>4.5540000000000003</v>
      </c>
      <c r="RE133" s="93">
        <v>0</v>
      </c>
      <c r="RF133" s="93">
        <v>0</v>
      </c>
      <c r="RG133" s="93">
        <v>70.606000000000009</v>
      </c>
      <c r="RH133" s="93">
        <v>18.332000000000001</v>
      </c>
      <c r="RI133" s="93"/>
      <c r="RJ133" s="93"/>
      <c r="RK133" s="93"/>
      <c r="RL133" s="93"/>
      <c r="RM133" s="20"/>
      <c r="RN133" s="29">
        <v>66</v>
      </c>
      <c r="RO133" s="19"/>
      <c r="RP133" s="20"/>
      <c r="RQ133" s="29">
        <v>66</v>
      </c>
      <c r="RR133" s="20"/>
      <c r="RS133" s="29">
        <v>66</v>
      </c>
      <c r="RT133" s="1504">
        <v>38504</v>
      </c>
      <c r="RU133" s="19"/>
      <c r="RV133" s="20"/>
      <c r="RW133" s="29">
        <v>66</v>
      </c>
      <c r="RX133" s="1504">
        <v>38504</v>
      </c>
      <c r="RY133" s="29"/>
      <c r="RZ133" s="20"/>
      <c r="SA133" s="29"/>
      <c r="SB133" s="29">
        <v>66</v>
      </c>
    </row>
    <row r="134" spans="1:496">
      <c r="A134" s="41">
        <f t="shared" si="191"/>
        <v>2005</v>
      </c>
      <c r="B134" s="1504">
        <v>38534</v>
      </c>
      <c r="C134" s="1813"/>
      <c r="D134" s="1814"/>
      <c r="E134" s="1814"/>
      <c r="F134" s="1815"/>
      <c r="G134" s="1814"/>
      <c r="H134" s="1814"/>
      <c r="I134" s="1814"/>
      <c r="J134" s="1816"/>
      <c r="K134" s="1807"/>
      <c r="L134" s="25">
        <v>67</v>
      </c>
      <c r="M134" s="97"/>
      <c r="N134" s="1504">
        <v>38534</v>
      </c>
      <c r="O134" s="19"/>
      <c r="P134" s="93"/>
      <c r="Q134" s="93"/>
      <c r="R134" s="93"/>
      <c r="S134" s="93"/>
      <c r="T134" s="93"/>
      <c r="U134" s="93"/>
      <c r="V134" s="93"/>
      <c r="W134" s="93"/>
      <c r="X134" s="93"/>
      <c r="Y134" s="93"/>
      <c r="Z134" s="93"/>
      <c r="AA134" s="93"/>
      <c r="AB134" s="20"/>
      <c r="AC134" s="25">
        <v>67</v>
      </c>
      <c r="AD134" s="97"/>
      <c r="AE134" s="1504">
        <v>38534</v>
      </c>
      <c r="AF134" s="19"/>
      <c r="AG134" s="93"/>
      <c r="AH134" s="93"/>
      <c r="AI134" s="93"/>
      <c r="AJ134" s="93"/>
      <c r="AK134" s="93"/>
      <c r="AL134" s="93"/>
      <c r="AM134" s="93"/>
      <c r="AN134" s="93"/>
      <c r="AO134" s="93"/>
      <c r="AP134" s="93"/>
      <c r="AQ134" s="93"/>
      <c r="AR134" s="93"/>
      <c r="AS134" s="20"/>
      <c r="AT134" s="25">
        <v>67</v>
      </c>
      <c r="AU134" s="97"/>
      <c r="AV134" s="1504">
        <v>38534</v>
      </c>
      <c r="AW134" s="19"/>
      <c r="AX134" s="93"/>
      <c r="AY134" s="93"/>
      <c r="AZ134" s="93"/>
      <c r="BA134" s="93"/>
      <c r="BB134" s="93"/>
      <c r="BC134" s="93"/>
      <c r="BD134" s="93"/>
      <c r="BE134" s="93"/>
      <c r="BF134" s="93"/>
      <c r="BG134" s="93"/>
      <c r="BH134" s="93"/>
      <c r="BI134" s="93"/>
      <c r="BJ134" s="20"/>
      <c r="BK134" s="25">
        <v>67</v>
      </c>
      <c r="BL134" s="97"/>
      <c r="BM134" s="1504">
        <v>38534</v>
      </c>
      <c r="BN134" s="19"/>
      <c r="BO134" s="93"/>
      <c r="BP134" s="93"/>
      <c r="BQ134" s="93"/>
      <c r="BR134" s="93"/>
      <c r="BS134" s="93"/>
      <c r="BT134" s="93"/>
      <c r="BU134" s="20"/>
      <c r="BV134" s="25">
        <v>67</v>
      </c>
      <c r="BW134" s="97"/>
      <c r="BX134" s="1504">
        <v>38534</v>
      </c>
      <c r="BY134" s="19"/>
      <c r="BZ134" s="99">
        <v>664.95699999999999</v>
      </c>
      <c r="CA134" s="93"/>
      <c r="CB134" s="93"/>
      <c r="CC134" s="93"/>
      <c r="CD134" s="25">
        <v>67</v>
      </c>
      <c r="CE134" s="97"/>
      <c r="CF134" s="1504">
        <v>38534</v>
      </c>
      <c r="CG134" s="19">
        <v>1.21275096380952</v>
      </c>
      <c r="CH134" s="93">
        <v>424.47899999999998</v>
      </c>
      <c r="CI134" s="219"/>
      <c r="CJ134" s="20"/>
      <c r="CK134" s="19"/>
      <c r="CL134" s="93"/>
      <c r="CM134" s="93"/>
      <c r="CN134" s="93"/>
      <c r="CO134" s="93"/>
      <c r="CP134" s="20"/>
      <c r="CQ134" s="219">
        <v>1178.95</v>
      </c>
      <c r="CR134" s="93">
        <v>1.4524999999999999</v>
      </c>
      <c r="CS134" s="93"/>
      <c r="CT134" s="93"/>
      <c r="CU134" s="93"/>
      <c r="CV134" s="214"/>
      <c r="CW134" s="29">
        <v>67</v>
      </c>
      <c r="CX134" s="41">
        <f t="shared" si="192"/>
        <v>2005</v>
      </c>
      <c r="CY134" s="1504">
        <v>38534</v>
      </c>
      <c r="CZ134" s="1916">
        <v>47.451318000000001</v>
      </c>
      <c r="DA134" s="1526">
        <v>30.057912999999999</v>
      </c>
      <c r="DB134" s="1526">
        <v>17.393405000000001</v>
      </c>
      <c r="DC134" s="182">
        <f t="shared" si="190"/>
        <v>256493</v>
      </c>
      <c r="DD134" s="182"/>
      <c r="DE134" s="290"/>
      <c r="DF134" s="29">
        <v>67</v>
      </c>
      <c r="DG134" s="1504">
        <v>38534</v>
      </c>
      <c r="DH134" s="19"/>
      <c r="DI134" s="93"/>
      <c r="DJ134" s="93"/>
      <c r="DK134" s="93"/>
      <c r="DL134" s="93"/>
      <c r="DM134" s="93"/>
      <c r="DN134" s="20"/>
      <c r="DO134" s="25"/>
      <c r="DP134" s="29">
        <v>67</v>
      </c>
      <c r="DQ134" s="1504">
        <v>38534</v>
      </c>
      <c r="DR134" s="19"/>
      <c r="DS134" s="93"/>
      <c r="DT134" s="93"/>
      <c r="DU134" s="93"/>
      <c r="DV134" s="93"/>
      <c r="DW134" s="93"/>
      <c r="DX134" s="20"/>
      <c r="DY134" s="29">
        <v>67</v>
      </c>
      <c r="DZ134" s="1504">
        <v>38534</v>
      </c>
      <c r="EA134" s="19"/>
      <c r="EB134" s="93"/>
      <c r="EC134" s="20"/>
      <c r="ED134" s="29">
        <v>67</v>
      </c>
      <c r="EE134" s="1504">
        <v>38534</v>
      </c>
      <c r="EF134" s="19"/>
      <c r="EG134" s="93"/>
      <c r="EH134" s="93"/>
      <c r="EI134" s="214"/>
      <c r="EJ134" s="93"/>
      <c r="EK134" s="93"/>
      <c r="EL134" s="93"/>
      <c r="EM134" s="93"/>
      <c r="EN134" s="20"/>
      <c r="EO134" s="29">
        <v>67</v>
      </c>
      <c r="EP134" s="1504">
        <v>38534</v>
      </c>
      <c r="EQ134" s="19"/>
      <c r="ER134" s="93"/>
      <c r="ES134" s="93"/>
      <c r="ET134" s="214"/>
      <c r="EU134" s="93"/>
      <c r="EV134" s="93"/>
      <c r="EW134" s="93"/>
      <c r="EX134" s="93"/>
      <c r="EY134" s="20"/>
      <c r="EZ134" s="29">
        <v>67</v>
      </c>
      <c r="FA134" s="1504">
        <v>38534</v>
      </c>
      <c r="FB134" s="29"/>
      <c r="FC134" s="29"/>
      <c r="FD134" s="29"/>
      <c r="FE134" s="29"/>
      <c r="FF134" s="29"/>
      <c r="FG134" s="29"/>
      <c r="FH134" s="29"/>
      <c r="FI134" s="29"/>
      <c r="FJ134" s="29"/>
      <c r="FK134" s="29">
        <v>67</v>
      </c>
      <c r="FL134" s="1504">
        <v>38534</v>
      </c>
      <c r="FM134" s="19"/>
      <c r="FN134" s="93"/>
      <c r="FO134" s="93"/>
      <c r="FP134" s="93"/>
      <c r="FQ134" s="93"/>
      <c r="FR134" s="93"/>
      <c r="FS134" s="93"/>
      <c r="FT134" s="93"/>
      <c r="FU134" s="93"/>
      <c r="FV134" s="93"/>
      <c r="FW134" s="93"/>
      <c r="FX134" s="93"/>
      <c r="FY134" s="93"/>
      <c r="FZ134" s="29">
        <v>67</v>
      </c>
      <c r="GA134" s="1504">
        <v>38534</v>
      </c>
      <c r="GB134" s="19"/>
      <c r="GC134" s="93"/>
      <c r="GD134" s="93"/>
      <c r="GE134" s="93"/>
      <c r="GF134" s="93"/>
      <c r="GG134" s="93"/>
      <c r="GH134" s="93"/>
      <c r="GI134" s="93"/>
      <c r="GJ134" s="93"/>
      <c r="GK134" s="93"/>
      <c r="GL134" s="93"/>
      <c r="GM134" s="93"/>
      <c r="GN134" s="20"/>
      <c r="GO134" s="29">
        <v>67</v>
      </c>
      <c r="GP134" s="1504">
        <v>38534</v>
      </c>
      <c r="GQ134" s="19"/>
      <c r="GR134" s="93"/>
      <c r="GS134" s="93"/>
      <c r="GT134" s="93"/>
      <c r="GU134" s="93"/>
      <c r="GV134" s="20"/>
      <c r="GW134" s="19"/>
      <c r="GX134" s="93"/>
      <c r="GY134" s="93"/>
      <c r="GZ134" s="93"/>
      <c r="HA134" s="93"/>
      <c r="HB134" s="20"/>
      <c r="HC134" s="19"/>
      <c r="HD134" s="93"/>
      <c r="HE134" s="93"/>
      <c r="HF134" s="93"/>
      <c r="HG134" s="93"/>
      <c r="HH134" s="20"/>
      <c r="HI134" s="19"/>
      <c r="HJ134" s="93"/>
      <c r="HK134" s="93"/>
      <c r="HL134" s="93"/>
      <c r="HM134" s="93"/>
      <c r="HN134" s="20"/>
      <c r="HO134" s="219"/>
      <c r="HP134" s="20"/>
      <c r="HQ134" s="25"/>
      <c r="HR134" s="29">
        <v>67</v>
      </c>
      <c r="HS134" s="1504">
        <v>38534</v>
      </c>
      <c r="HT134" s="179">
        <v>236.88918304443359</v>
      </c>
      <c r="HU134" s="99">
        <v>299.48968426739731</v>
      </c>
      <c r="HV134" s="99"/>
      <c r="HW134" s="99"/>
      <c r="HX134" s="99">
        <v>219.08128356933594</v>
      </c>
      <c r="HY134" s="99"/>
      <c r="HZ134" s="99">
        <v>266.24534902264998</v>
      </c>
      <c r="IA134" s="132">
        <v>204.50949096679688</v>
      </c>
      <c r="IB134" s="179">
        <v>194.44444274902344</v>
      </c>
      <c r="IC134" s="99">
        <v>182.10526733398439</v>
      </c>
      <c r="ID134" s="99">
        <v>249.33745574951172</v>
      </c>
      <c r="IE134" s="99"/>
      <c r="IF134" s="99">
        <v>256.85485458374023</v>
      </c>
      <c r="IG134" s="132">
        <v>183.06342697143555</v>
      </c>
      <c r="IH134" s="179">
        <v>186.34640168220767</v>
      </c>
      <c r="II134" s="99">
        <v>263.90554504394532</v>
      </c>
      <c r="IJ134" s="99"/>
      <c r="IK134" s="99">
        <v>223.12733459472656</v>
      </c>
      <c r="IL134" s="99"/>
      <c r="IM134" s="99">
        <v>211.29032897949219</v>
      </c>
      <c r="IN134" s="93"/>
      <c r="IO134" s="132">
        <v>245.83029556274414</v>
      </c>
      <c r="IP134" s="29">
        <v>67</v>
      </c>
      <c r="IQ134" s="19"/>
      <c r="IR134" s="93"/>
      <c r="IS134" s="93"/>
      <c r="IT134" s="93"/>
      <c r="IU134" s="93"/>
      <c r="IV134" s="20"/>
      <c r="IW134" s="29">
        <v>67</v>
      </c>
      <c r="IX134" s="19"/>
      <c r="IY134" s="93"/>
      <c r="IZ134" s="93"/>
      <c r="JA134" s="93"/>
      <c r="JB134" s="93"/>
      <c r="JC134" s="93"/>
      <c r="JD134" s="93"/>
      <c r="JE134" s="20"/>
      <c r="JF134" s="29">
        <v>67</v>
      </c>
      <c r="JG134" s="19"/>
      <c r="JH134" s="93"/>
      <c r="JI134" s="93"/>
      <c r="JJ134" s="93"/>
      <c r="JK134" s="93"/>
      <c r="JL134" s="93"/>
      <c r="JM134" s="93"/>
      <c r="JN134" s="20"/>
      <c r="JO134" s="29">
        <v>67</v>
      </c>
      <c r="JP134" s="19"/>
      <c r="JQ134" s="93"/>
      <c r="JR134" s="93"/>
      <c r="JS134" s="93"/>
      <c r="JT134" s="93"/>
      <c r="JU134" s="20"/>
      <c r="JV134" s="29">
        <v>67</v>
      </c>
      <c r="JW134" s="1504">
        <v>38534</v>
      </c>
      <c r="JX134" s="19"/>
      <c r="JY134" s="93"/>
      <c r="JZ134" s="93"/>
      <c r="KA134" s="93"/>
      <c r="KB134" s="93"/>
      <c r="KC134" s="93"/>
      <c r="KD134" s="20"/>
      <c r="KE134" s="29">
        <v>67</v>
      </c>
      <c r="KF134" s="19"/>
      <c r="KG134" s="93"/>
      <c r="KH134" s="93"/>
      <c r="KI134" s="93"/>
      <c r="KJ134" s="93"/>
      <c r="KK134" s="20"/>
      <c r="KL134" s="29">
        <v>67</v>
      </c>
      <c r="KM134" s="19"/>
      <c r="KN134" s="93"/>
      <c r="KO134" s="93"/>
      <c r="KP134" s="93"/>
      <c r="KQ134" s="93"/>
      <c r="KR134" s="20"/>
      <c r="KS134" s="29">
        <v>67</v>
      </c>
      <c r="KT134" s="19"/>
      <c r="KU134" s="93"/>
      <c r="KV134" s="93"/>
      <c r="KW134" s="93"/>
      <c r="KX134" s="93"/>
      <c r="KY134" s="20"/>
      <c r="KZ134" s="29">
        <v>67</v>
      </c>
      <c r="LA134" s="1504">
        <v>38534</v>
      </c>
      <c r="LB134" s="19"/>
      <c r="LC134" s="93"/>
      <c r="LD134" s="93"/>
      <c r="LE134" s="93"/>
      <c r="LF134" s="93"/>
      <c r="LG134" s="93"/>
      <c r="LH134" s="20"/>
      <c r="LI134" s="29">
        <v>67</v>
      </c>
      <c r="LJ134" s="19"/>
      <c r="LK134" s="93"/>
      <c r="LL134" s="93"/>
      <c r="LM134" s="93"/>
      <c r="LN134" s="93"/>
      <c r="LO134" s="20"/>
      <c r="LP134" s="29">
        <v>67</v>
      </c>
      <c r="LQ134" s="19"/>
      <c r="LR134" s="93"/>
      <c r="LS134" s="93"/>
      <c r="LT134" s="93"/>
      <c r="LU134" s="93"/>
      <c r="LV134" s="93"/>
      <c r="LW134" s="93"/>
      <c r="LX134" s="93"/>
      <c r="LY134" s="93"/>
      <c r="LZ134" s="93"/>
      <c r="MA134" s="20"/>
      <c r="MB134" s="29">
        <v>67</v>
      </c>
      <c r="MC134" s="1504">
        <v>38534</v>
      </c>
      <c r="MD134" s="19"/>
      <c r="ME134" s="93"/>
      <c r="MF134" s="93"/>
      <c r="MG134" s="93"/>
      <c r="MH134" s="93"/>
      <c r="MI134" s="93"/>
      <c r="MJ134" s="93"/>
      <c r="MK134" s="93"/>
      <c r="ML134" s="93"/>
      <c r="MM134" s="93"/>
      <c r="MN134" s="93"/>
      <c r="MO134" s="93"/>
      <c r="MP134" s="93"/>
      <c r="MQ134" s="93"/>
      <c r="MR134" s="93"/>
      <c r="MS134" s="93"/>
      <c r="MT134" s="93"/>
      <c r="MU134" s="93"/>
      <c r="MV134" s="93"/>
      <c r="MW134" s="93"/>
      <c r="MX134" s="93"/>
      <c r="MY134" s="93"/>
      <c r="MZ134" s="93"/>
      <c r="NA134" s="93"/>
      <c r="NB134" s="93"/>
      <c r="NC134" s="93"/>
      <c r="ND134" s="93"/>
      <c r="NE134" s="93"/>
      <c r="NF134" s="93"/>
      <c r="NG134" s="93"/>
      <c r="NH134" s="93"/>
      <c r="NI134" s="93"/>
      <c r="NJ134" s="93"/>
      <c r="NK134" s="93"/>
      <c r="NL134" s="93"/>
      <c r="NM134" s="93"/>
      <c r="NN134" s="93"/>
      <c r="NO134" s="93"/>
      <c r="NP134" s="93"/>
      <c r="NQ134" s="93"/>
      <c r="NR134" s="93"/>
      <c r="NS134" s="93"/>
      <c r="NT134" s="93"/>
      <c r="NU134" s="93"/>
      <c r="NV134" s="93"/>
      <c r="NW134" s="93"/>
      <c r="NX134" s="93"/>
      <c r="NY134" s="93"/>
      <c r="NZ134" s="93"/>
      <c r="OA134" s="93"/>
      <c r="OB134" s="93"/>
      <c r="OC134" s="93"/>
      <c r="OD134" s="20"/>
      <c r="OE134" s="29">
        <v>67</v>
      </c>
      <c r="OF134" s="1504">
        <v>38534</v>
      </c>
      <c r="OG134" s="19"/>
      <c r="OH134" s="93">
        <v>151.95310000000001</v>
      </c>
      <c r="OI134" s="93">
        <v>235.63925915470139</v>
      </c>
      <c r="OJ134" s="93">
        <v>0.26068839299999996</v>
      </c>
      <c r="OK134" s="93">
        <v>188.18567076170137</v>
      </c>
      <c r="OL134" s="93">
        <v>47.192900000000002</v>
      </c>
      <c r="OM134" s="93">
        <v>387.5923591547014</v>
      </c>
      <c r="ON134" s="93">
        <v>200.02192595708246</v>
      </c>
      <c r="OO134" s="93">
        <v>587.61428511178383</v>
      </c>
      <c r="OP134" s="93"/>
      <c r="OQ134" s="93">
        <v>203.06248298572243</v>
      </c>
      <c r="OR134" s="93">
        <v>165.189539661</v>
      </c>
      <c r="OS134" s="93">
        <v>37.872943324722456</v>
      </c>
      <c r="OT134" s="93">
        <v>442.99008998706131</v>
      </c>
      <c r="OU134" s="93">
        <v>-22.478278637000003</v>
      </c>
      <c r="OV134" s="93">
        <v>51.700721363</v>
      </c>
      <c r="OW134" s="93">
        <v>-74.179000000000002</v>
      </c>
      <c r="OX134" s="93">
        <v>465.46836862406133</v>
      </c>
      <c r="OY134" s="93">
        <v>2.4287152300000003</v>
      </c>
      <c r="OZ134" s="93">
        <v>463.0396533940613</v>
      </c>
      <c r="PA134" s="93">
        <v>88.270940347000007</v>
      </c>
      <c r="PB134" s="93">
        <v>-29.832652486000004</v>
      </c>
      <c r="PC134" s="20">
        <v>587.61428511178383</v>
      </c>
      <c r="PD134" s="29">
        <v>67</v>
      </c>
      <c r="PE134" s="19"/>
      <c r="PF134" s="93">
        <v>165.189539661</v>
      </c>
      <c r="PG134" s="93">
        <v>251.21386757799999</v>
      </c>
      <c r="PH134" s="93">
        <v>86.024327916999994</v>
      </c>
      <c r="PI134" s="93">
        <v>1.1100000000000001</v>
      </c>
      <c r="PJ134" s="93">
        <v>51.700721363</v>
      </c>
      <c r="PK134" s="93">
        <v>91.154147933000004</v>
      </c>
      <c r="PL134" s="93">
        <v>39.453426570000005</v>
      </c>
      <c r="PM134" s="93">
        <v>2.4287152300000003</v>
      </c>
      <c r="PN134" s="93">
        <v>0</v>
      </c>
      <c r="PO134" s="93">
        <v>0</v>
      </c>
      <c r="PP134" s="93">
        <v>1.84735E-4</v>
      </c>
      <c r="PQ134" s="93">
        <v>2.4285304950000004</v>
      </c>
      <c r="PR134" s="93">
        <v>222.94838024000001</v>
      </c>
      <c r="PS134" s="93">
        <v>169.04910000000001</v>
      </c>
      <c r="PT134" s="93">
        <v>53.638591847000001</v>
      </c>
      <c r="PU134" s="93">
        <v>0.26068839299999996</v>
      </c>
      <c r="PV134" s="93">
        <v>0</v>
      </c>
      <c r="PW134" s="93">
        <v>0.59218749500000001</v>
      </c>
      <c r="PX134" s="93">
        <v>0</v>
      </c>
      <c r="PY134" s="93">
        <v>0</v>
      </c>
      <c r="PZ134" s="93">
        <v>0.59218749500000001</v>
      </c>
      <c r="QA134" s="93">
        <v>0</v>
      </c>
      <c r="QB134" s="93">
        <v>0</v>
      </c>
      <c r="QC134" s="93">
        <v>0</v>
      </c>
      <c r="QD134" s="93">
        <v>-4.320247148</v>
      </c>
      <c r="QE134" s="20">
        <v>1.2086556669999926</v>
      </c>
      <c r="QF134" s="1739">
        <v>67</v>
      </c>
      <c r="QG134" s="19"/>
      <c r="QH134" s="1035">
        <v>37.872943324722456</v>
      </c>
      <c r="QI134" s="1035">
        <v>125.06134660593864</v>
      </c>
      <c r="QJ134" s="1035">
        <v>-87.188403281216182</v>
      </c>
      <c r="QK134" s="1035">
        <v>66.081999999999994</v>
      </c>
      <c r="QL134" s="1035">
        <v>17.096</v>
      </c>
      <c r="QM134" s="1035">
        <v>48.985999999999997</v>
      </c>
      <c r="QN134" s="1035">
        <v>0</v>
      </c>
      <c r="QO134" s="1035">
        <v>-74.179000000000002</v>
      </c>
      <c r="QP134" s="1035">
        <v>20.957000000000001</v>
      </c>
      <c r="QQ134" s="1035">
        <v>-95.135999999999996</v>
      </c>
      <c r="QR134" s="1035">
        <v>463.0396533940613</v>
      </c>
      <c r="QS134" s="1035">
        <v>6.6027670944708765</v>
      </c>
      <c r="QT134" s="1035">
        <v>0</v>
      </c>
      <c r="QU134" s="1035">
        <v>78.888000000000005</v>
      </c>
      <c r="QV134" s="1035">
        <v>377.54888629959044</v>
      </c>
      <c r="QW134" s="93"/>
      <c r="QX134" s="93">
        <v>0.36499999999999999</v>
      </c>
      <c r="QY134" s="93">
        <v>188.18567076170137</v>
      </c>
      <c r="QZ134" s="93">
        <v>200.02192595708246</v>
      </c>
      <c r="RA134" s="93">
        <v>0</v>
      </c>
      <c r="RB134" s="93">
        <v>16.530999999999999</v>
      </c>
      <c r="RC134" s="93">
        <v>0.06</v>
      </c>
      <c r="RD134" s="93">
        <v>4.3250000000000002</v>
      </c>
      <c r="RE134" s="93">
        <v>0</v>
      </c>
      <c r="RF134" s="93">
        <v>0</v>
      </c>
      <c r="RG134" s="93">
        <v>71.082999999999998</v>
      </c>
      <c r="RH134" s="93">
        <v>12.244</v>
      </c>
      <c r="RI134" s="93"/>
      <c r="RJ134" s="93"/>
      <c r="RK134" s="93"/>
      <c r="RL134" s="93"/>
      <c r="RM134" s="20"/>
      <c r="RN134" s="29">
        <v>67</v>
      </c>
      <c r="RO134" s="19"/>
      <c r="RP134" s="20"/>
      <c r="RQ134" s="29">
        <v>67</v>
      </c>
      <c r="RR134" s="20"/>
      <c r="RS134" s="29">
        <v>67</v>
      </c>
      <c r="RT134" s="1504">
        <v>38534</v>
      </c>
      <c r="RU134" s="19"/>
      <c r="RV134" s="20"/>
      <c r="RW134" s="29">
        <v>67</v>
      </c>
      <c r="RX134" s="1504">
        <v>38534</v>
      </c>
      <c r="RY134" s="29"/>
      <c r="RZ134" s="20"/>
      <c r="SA134" s="29"/>
      <c r="SB134" s="29">
        <v>67</v>
      </c>
    </row>
    <row r="135" spans="1:496">
      <c r="A135" s="41">
        <f t="shared" si="191"/>
        <v>2005</v>
      </c>
      <c r="B135" s="1504">
        <v>38565</v>
      </c>
      <c r="C135" s="1813"/>
      <c r="D135" s="1814"/>
      <c r="E135" s="1814"/>
      <c r="F135" s="1815"/>
      <c r="G135" s="1814"/>
      <c r="H135" s="1814"/>
      <c r="I135" s="1814"/>
      <c r="J135" s="1816"/>
      <c r="K135" s="1807"/>
      <c r="L135" s="25">
        <v>68</v>
      </c>
      <c r="M135" s="97"/>
      <c r="N135" s="1504">
        <v>38565</v>
      </c>
      <c r="O135" s="19"/>
      <c r="P135" s="93"/>
      <c r="Q135" s="93"/>
      <c r="R135" s="93"/>
      <c r="S135" s="93"/>
      <c r="T135" s="93"/>
      <c r="U135" s="93"/>
      <c r="V135" s="93"/>
      <c r="W135" s="93"/>
      <c r="X135" s="93"/>
      <c r="Y135" s="93"/>
      <c r="Z135" s="93"/>
      <c r="AA135" s="93"/>
      <c r="AB135" s="20"/>
      <c r="AC135" s="25">
        <v>68</v>
      </c>
      <c r="AD135" s="97"/>
      <c r="AE135" s="1504">
        <v>38565</v>
      </c>
      <c r="AF135" s="19"/>
      <c r="AG135" s="93"/>
      <c r="AH135" s="93"/>
      <c r="AI135" s="93"/>
      <c r="AJ135" s="93"/>
      <c r="AK135" s="93"/>
      <c r="AL135" s="93"/>
      <c r="AM135" s="93"/>
      <c r="AN135" s="93"/>
      <c r="AO135" s="93"/>
      <c r="AP135" s="93"/>
      <c r="AQ135" s="93"/>
      <c r="AR135" s="93"/>
      <c r="AS135" s="20"/>
      <c r="AT135" s="25">
        <v>68</v>
      </c>
      <c r="AU135" s="97"/>
      <c r="AV135" s="1504">
        <v>38565</v>
      </c>
      <c r="AW135" s="19"/>
      <c r="AX135" s="93"/>
      <c r="AY135" s="93"/>
      <c r="AZ135" s="93"/>
      <c r="BA135" s="93"/>
      <c r="BB135" s="93"/>
      <c r="BC135" s="93"/>
      <c r="BD135" s="93"/>
      <c r="BE135" s="93"/>
      <c r="BF135" s="93"/>
      <c r="BG135" s="93"/>
      <c r="BH135" s="93"/>
      <c r="BI135" s="93"/>
      <c r="BJ135" s="20"/>
      <c r="BK135" s="25">
        <v>68</v>
      </c>
      <c r="BL135" s="97"/>
      <c r="BM135" s="1504">
        <v>38565</v>
      </c>
      <c r="BN135" s="19"/>
      <c r="BO135" s="93"/>
      <c r="BP135" s="93"/>
      <c r="BQ135" s="93"/>
      <c r="BR135" s="93"/>
      <c r="BS135" s="93"/>
      <c r="BT135" s="93"/>
      <c r="BU135" s="20"/>
      <c r="BV135" s="25">
        <v>68</v>
      </c>
      <c r="BW135" s="97"/>
      <c r="BX135" s="1504">
        <v>38565</v>
      </c>
      <c r="BY135" s="19"/>
      <c r="BZ135" s="99">
        <v>664.95699999999999</v>
      </c>
      <c r="CA135" s="93"/>
      <c r="CB135" s="93"/>
      <c r="CC135" s="93"/>
      <c r="CD135" s="25">
        <v>68</v>
      </c>
      <c r="CE135" s="97"/>
      <c r="CF135" s="1504">
        <v>38565</v>
      </c>
      <c r="CG135" s="19">
        <v>1.1891528573912999</v>
      </c>
      <c r="CH135" s="93">
        <v>437.93</v>
      </c>
      <c r="CI135" s="219"/>
      <c r="CJ135" s="20"/>
      <c r="CK135" s="19"/>
      <c r="CL135" s="93"/>
      <c r="CM135" s="93"/>
      <c r="CN135" s="93"/>
      <c r="CO135" s="93"/>
      <c r="CP135" s="20"/>
      <c r="CQ135" s="219">
        <v>1165.0999999999999</v>
      </c>
      <c r="CR135" s="93">
        <v>1.496</v>
      </c>
      <c r="CS135" s="93"/>
      <c r="CT135" s="93"/>
      <c r="CU135" s="93"/>
      <c r="CV135" s="214"/>
      <c r="CW135" s="29">
        <v>68</v>
      </c>
      <c r="CX135" s="41">
        <f t="shared" si="192"/>
        <v>2005</v>
      </c>
      <c r="CY135" s="1504">
        <v>38565</v>
      </c>
      <c r="CZ135" s="1916">
        <v>41.778497000000002</v>
      </c>
      <c r="DA135" s="1526">
        <v>26.942297</v>
      </c>
      <c r="DB135" s="1526">
        <v>14.8362</v>
      </c>
      <c r="DC135" s="182">
        <f t="shared" si="190"/>
        <v>256493</v>
      </c>
      <c r="DD135" s="182"/>
      <c r="DE135" s="290"/>
      <c r="DF135" s="29">
        <v>68</v>
      </c>
      <c r="DG135" s="1504">
        <v>38565</v>
      </c>
      <c r="DH135" s="19"/>
      <c r="DI135" s="93"/>
      <c r="DJ135" s="93"/>
      <c r="DK135" s="93"/>
      <c r="DL135" s="93"/>
      <c r="DM135" s="93"/>
      <c r="DN135" s="20"/>
      <c r="DO135" s="25"/>
      <c r="DP135" s="29">
        <v>68</v>
      </c>
      <c r="DQ135" s="1504">
        <v>38565</v>
      </c>
      <c r="DR135" s="19"/>
      <c r="DS135" s="93"/>
      <c r="DT135" s="93"/>
      <c r="DU135" s="93"/>
      <c r="DV135" s="93"/>
      <c r="DW135" s="93"/>
      <c r="DX135" s="20"/>
      <c r="DY135" s="29">
        <v>68</v>
      </c>
      <c r="DZ135" s="1504">
        <v>38565</v>
      </c>
      <c r="EA135" s="19"/>
      <c r="EB135" s="93"/>
      <c r="EC135" s="20"/>
      <c r="ED135" s="29">
        <v>68</v>
      </c>
      <c r="EE135" s="1504">
        <v>38565</v>
      </c>
      <c r="EF135" s="19"/>
      <c r="EG135" s="93"/>
      <c r="EH135" s="93"/>
      <c r="EI135" s="214"/>
      <c r="EJ135" s="93"/>
      <c r="EK135" s="93"/>
      <c r="EL135" s="93"/>
      <c r="EM135" s="93"/>
      <c r="EN135" s="20"/>
      <c r="EO135" s="29">
        <v>68</v>
      </c>
      <c r="EP135" s="1504">
        <v>38565</v>
      </c>
      <c r="EQ135" s="19"/>
      <c r="ER135" s="93"/>
      <c r="ES135" s="93"/>
      <c r="ET135" s="214"/>
      <c r="EU135" s="93"/>
      <c r="EV135" s="93"/>
      <c r="EW135" s="93"/>
      <c r="EX135" s="93"/>
      <c r="EY135" s="20"/>
      <c r="EZ135" s="29">
        <v>68</v>
      </c>
      <c r="FA135" s="1504">
        <v>38565</v>
      </c>
      <c r="FB135" s="29"/>
      <c r="FC135" s="29"/>
      <c r="FD135" s="29"/>
      <c r="FE135" s="29"/>
      <c r="FF135" s="29"/>
      <c r="FG135" s="29"/>
      <c r="FH135" s="29"/>
      <c r="FI135" s="29"/>
      <c r="FJ135" s="29"/>
      <c r="FK135" s="29">
        <v>68</v>
      </c>
      <c r="FL135" s="1504">
        <v>38565</v>
      </c>
      <c r="FM135" s="19"/>
      <c r="FN135" s="93"/>
      <c r="FO135" s="93"/>
      <c r="FP135" s="93"/>
      <c r="FQ135" s="93"/>
      <c r="FR135" s="93"/>
      <c r="FS135" s="93"/>
      <c r="FT135" s="93"/>
      <c r="FU135" s="93"/>
      <c r="FV135" s="93"/>
      <c r="FW135" s="93"/>
      <c r="FX135" s="93"/>
      <c r="FY135" s="93"/>
      <c r="FZ135" s="29">
        <v>68</v>
      </c>
      <c r="GA135" s="1504">
        <v>38565</v>
      </c>
      <c r="GB135" s="19"/>
      <c r="GC135" s="93"/>
      <c r="GD135" s="93"/>
      <c r="GE135" s="93"/>
      <c r="GF135" s="93"/>
      <c r="GG135" s="93"/>
      <c r="GH135" s="93"/>
      <c r="GI135" s="93"/>
      <c r="GJ135" s="93"/>
      <c r="GK135" s="93"/>
      <c r="GL135" s="93"/>
      <c r="GM135" s="93"/>
      <c r="GN135" s="20"/>
      <c r="GO135" s="29">
        <v>68</v>
      </c>
      <c r="GP135" s="1504">
        <v>38565</v>
      </c>
      <c r="GQ135" s="19"/>
      <c r="GR135" s="93"/>
      <c r="GS135" s="93"/>
      <c r="GT135" s="93"/>
      <c r="GU135" s="93"/>
      <c r="GV135" s="20"/>
      <c r="GW135" s="19"/>
      <c r="GX135" s="93"/>
      <c r="GY135" s="93"/>
      <c r="GZ135" s="93"/>
      <c r="HA135" s="93"/>
      <c r="HB135" s="20"/>
      <c r="HC135" s="19"/>
      <c r="HD135" s="93"/>
      <c r="HE135" s="93"/>
      <c r="HF135" s="93"/>
      <c r="HG135" s="93"/>
      <c r="HH135" s="20"/>
      <c r="HI135" s="19"/>
      <c r="HJ135" s="93"/>
      <c r="HK135" s="93"/>
      <c r="HL135" s="93"/>
      <c r="HM135" s="93"/>
      <c r="HN135" s="20"/>
      <c r="HO135" s="219"/>
      <c r="HP135" s="20"/>
      <c r="HQ135" s="25"/>
      <c r="HR135" s="29">
        <v>68</v>
      </c>
      <c r="HS135" s="1504">
        <v>38565</v>
      </c>
      <c r="HT135" s="179">
        <v>246.52348778464577</v>
      </c>
      <c r="HU135" s="99">
        <v>290.69477462768555</v>
      </c>
      <c r="HV135" s="99">
        <v>240.74074300130209</v>
      </c>
      <c r="HW135" s="99"/>
      <c r="HX135" s="99">
        <v>247.32274169921874</v>
      </c>
      <c r="HY135" s="99">
        <v>253.69764709472656</v>
      </c>
      <c r="HZ135" s="99">
        <v>262.18523406982422</v>
      </c>
      <c r="IA135" s="132">
        <v>227.77777709960938</v>
      </c>
      <c r="IB135" s="179">
        <v>228.35358581542968</v>
      </c>
      <c r="IC135" s="99">
        <v>193.42105865478516</v>
      </c>
      <c r="ID135" s="99">
        <v>250</v>
      </c>
      <c r="IE135" s="99"/>
      <c r="IF135" s="99">
        <v>256.875</v>
      </c>
      <c r="IG135" s="132">
        <v>197.47536926269532</v>
      </c>
      <c r="IH135" s="179">
        <v>198.00149078369139</v>
      </c>
      <c r="II135" s="99">
        <v>239.1428337097168</v>
      </c>
      <c r="IJ135" s="99">
        <v>237.06895955403647</v>
      </c>
      <c r="IK135" s="99">
        <v>203.8056526184082</v>
      </c>
      <c r="IL135" s="99">
        <v>226.49110921223959</v>
      </c>
      <c r="IM135" s="99">
        <v>227.0000030517578</v>
      </c>
      <c r="IN135" s="93"/>
      <c r="IO135" s="132">
        <v>192.94052124023438</v>
      </c>
      <c r="IP135" s="29">
        <v>68</v>
      </c>
      <c r="IQ135" s="19"/>
      <c r="IR135" s="93"/>
      <c r="IS135" s="93"/>
      <c r="IT135" s="93"/>
      <c r="IU135" s="93"/>
      <c r="IV135" s="20"/>
      <c r="IW135" s="29">
        <v>68</v>
      </c>
      <c r="IX135" s="19"/>
      <c r="IY135" s="93"/>
      <c r="IZ135" s="93"/>
      <c r="JA135" s="93"/>
      <c r="JB135" s="93"/>
      <c r="JC135" s="93"/>
      <c r="JD135" s="93"/>
      <c r="JE135" s="20"/>
      <c r="JF135" s="29">
        <v>68</v>
      </c>
      <c r="JG135" s="19"/>
      <c r="JH135" s="93"/>
      <c r="JI135" s="93"/>
      <c r="JJ135" s="93"/>
      <c r="JK135" s="93"/>
      <c r="JL135" s="93"/>
      <c r="JM135" s="93"/>
      <c r="JN135" s="20"/>
      <c r="JO135" s="29">
        <v>68</v>
      </c>
      <c r="JP135" s="19"/>
      <c r="JQ135" s="93"/>
      <c r="JR135" s="93"/>
      <c r="JS135" s="93"/>
      <c r="JT135" s="93"/>
      <c r="JU135" s="20"/>
      <c r="JV135" s="29">
        <v>68</v>
      </c>
      <c r="JW135" s="1504">
        <v>38565</v>
      </c>
      <c r="JX135" s="19"/>
      <c r="JY135" s="93"/>
      <c r="JZ135" s="93"/>
      <c r="KA135" s="93"/>
      <c r="KB135" s="93"/>
      <c r="KC135" s="93"/>
      <c r="KD135" s="20"/>
      <c r="KE135" s="29">
        <v>68</v>
      </c>
      <c r="KF135" s="19"/>
      <c r="KG135" s="93"/>
      <c r="KH135" s="93"/>
      <c r="KI135" s="93"/>
      <c r="KJ135" s="93"/>
      <c r="KK135" s="20"/>
      <c r="KL135" s="29">
        <v>68</v>
      </c>
      <c r="KM135" s="19"/>
      <c r="KN135" s="93"/>
      <c r="KO135" s="93"/>
      <c r="KP135" s="93"/>
      <c r="KQ135" s="93"/>
      <c r="KR135" s="20"/>
      <c r="KS135" s="29">
        <v>68</v>
      </c>
      <c r="KT135" s="19"/>
      <c r="KU135" s="93"/>
      <c r="KV135" s="93"/>
      <c r="KW135" s="93"/>
      <c r="KX135" s="93"/>
      <c r="KY135" s="20"/>
      <c r="KZ135" s="29">
        <v>68</v>
      </c>
      <c r="LA135" s="1504">
        <v>38565</v>
      </c>
      <c r="LB135" s="19"/>
      <c r="LC135" s="93"/>
      <c r="LD135" s="93"/>
      <c r="LE135" s="93"/>
      <c r="LF135" s="93"/>
      <c r="LG135" s="93"/>
      <c r="LH135" s="20"/>
      <c r="LI135" s="29">
        <v>68</v>
      </c>
      <c r="LJ135" s="19"/>
      <c r="LK135" s="93"/>
      <c r="LL135" s="93"/>
      <c r="LM135" s="93"/>
      <c r="LN135" s="93"/>
      <c r="LO135" s="20"/>
      <c r="LP135" s="29">
        <v>68</v>
      </c>
      <c r="LQ135" s="19"/>
      <c r="LR135" s="93"/>
      <c r="LS135" s="93"/>
      <c r="LT135" s="93"/>
      <c r="LU135" s="93"/>
      <c r="LV135" s="93"/>
      <c r="LW135" s="93"/>
      <c r="LX135" s="93"/>
      <c r="LY135" s="93"/>
      <c r="LZ135" s="93"/>
      <c r="MA135" s="20"/>
      <c r="MB135" s="29">
        <v>68</v>
      </c>
      <c r="MC135" s="1504">
        <v>38565</v>
      </c>
      <c r="MD135" s="19"/>
      <c r="ME135" s="93"/>
      <c r="MF135" s="93"/>
      <c r="MG135" s="93"/>
      <c r="MH135" s="93"/>
      <c r="MI135" s="93"/>
      <c r="MJ135" s="93"/>
      <c r="MK135" s="93"/>
      <c r="ML135" s="93"/>
      <c r="MM135" s="93"/>
      <c r="MN135" s="93"/>
      <c r="MO135" s="93"/>
      <c r="MP135" s="93"/>
      <c r="MQ135" s="93"/>
      <c r="MR135" s="93"/>
      <c r="MS135" s="93"/>
      <c r="MT135" s="93"/>
      <c r="MU135" s="93"/>
      <c r="MV135" s="93"/>
      <c r="MW135" s="93"/>
      <c r="MX135" s="93"/>
      <c r="MY135" s="93"/>
      <c r="MZ135" s="93"/>
      <c r="NA135" s="93"/>
      <c r="NB135" s="93"/>
      <c r="NC135" s="93"/>
      <c r="ND135" s="93"/>
      <c r="NE135" s="93"/>
      <c r="NF135" s="93"/>
      <c r="NG135" s="93"/>
      <c r="NH135" s="93"/>
      <c r="NI135" s="93"/>
      <c r="NJ135" s="93"/>
      <c r="NK135" s="93"/>
      <c r="NL135" s="93"/>
      <c r="NM135" s="93"/>
      <c r="NN135" s="93"/>
      <c r="NO135" s="93"/>
      <c r="NP135" s="93"/>
      <c r="NQ135" s="93"/>
      <c r="NR135" s="93"/>
      <c r="NS135" s="93"/>
      <c r="NT135" s="93"/>
      <c r="NU135" s="93"/>
      <c r="NV135" s="93"/>
      <c r="NW135" s="93"/>
      <c r="NX135" s="93"/>
      <c r="NY135" s="93"/>
      <c r="NZ135" s="93"/>
      <c r="OA135" s="93"/>
      <c r="OB135" s="93"/>
      <c r="OC135" s="93"/>
      <c r="OD135" s="20"/>
      <c r="OE135" s="29">
        <v>68</v>
      </c>
      <c r="OF135" s="1504">
        <v>38565</v>
      </c>
      <c r="OG135" s="19"/>
      <c r="OH135" s="93">
        <v>138.18180000000001</v>
      </c>
      <c r="OI135" s="93">
        <v>249.29084826148107</v>
      </c>
      <c r="OJ135" s="93">
        <v>0.26934707099999999</v>
      </c>
      <c r="OK135" s="93">
        <v>202.01690119048106</v>
      </c>
      <c r="OL135" s="93">
        <v>47.004599999999996</v>
      </c>
      <c r="OM135" s="93">
        <v>387.47264826148108</v>
      </c>
      <c r="ON135" s="93">
        <v>196.0217116458557</v>
      </c>
      <c r="OO135" s="93">
        <v>583.49435990733673</v>
      </c>
      <c r="OP135" s="93"/>
      <c r="OQ135" s="93">
        <v>189.3306621992856</v>
      </c>
      <c r="OR135" s="93">
        <v>155.002308027</v>
      </c>
      <c r="OS135" s="93">
        <v>34.328354172285614</v>
      </c>
      <c r="OT135" s="93">
        <v>448.94817361005113</v>
      </c>
      <c r="OU135" s="93">
        <v>-27.547432059999991</v>
      </c>
      <c r="OV135" s="93">
        <v>54.240567940000005</v>
      </c>
      <c r="OW135" s="93">
        <v>-81.787999999999997</v>
      </c>
      <c r="OX135" s="93">
        <v>476.49560567005113</v>
      </c>
      <c r="OY135" s="93">
        <v>2.4223470059999994</v>
      </c>
      <c r="OZ135" s="93">
        <v>474.07325866405114</v>
      </c>
      <c r="PA135" s="93">
        <v>87.238939453</v>
      </c>
      <c r="PB135" s="93">
        <v>-32.454463551000003</v>
      </c>
      <c r="PC135" s="20">
        <v>583.49435990733662</v>
      </c>
      <c r="PD135" s="29">
        <v>68</v>
      </c>
      <c r="PE135" s="19"/>
      <c r="PF135" s="93">
        <v>155.002308027</v>
      </c>
      <c r="PG135" s="93">
        <v>244.72957008</v>
      </c>
      <c r="PH135" s="93">
        <v>89.727262053000004</v>
      </c>
      <c r="PI135" s="93">
        <v>1.1100000000000001</v>
      </c>
      <c r="PJ135" s="93">
        <v>54.240567940000005</v>
      </c>
      <c r="PK135" s="93">
        <v>90.669270376</v>
      </c>
      <c r="PL135" s="93">
        <v>36.428702435999995</v>
      </c>
      <c r="PM135" s="93">
        <v>2.4223470059999994</v>
      </c>
      <c r="PN135" s="93">
        <v>0</v>
      </c>
      <c r="PO135" s="93">
        <v>0</v>
      </c>
      <c r="PP135" s="93">
        <v>1.0623519999999999E-3</v>
      </c>
      <c r="PQ135" s="93">
        <v>2.4212846539999995</v>
      </c>
      <c r="PR135" s="93">
        <v>216.027713216</v>
      </c>
      <c r="PS135" s="93">
        <v>154.7688</v>
      </c>
      <c r="PT135" s="93">
        <v>60.989566144999998</v>
      </c>
      <c r="PU135" s="93">
        <v>0.26934707099999999</v>
      </c>
      <c r="PV135" s="93">
        <v>0</v>
      </c>
      <c r="PW135" s="93">
        <v>0.93939266099999996</v>
      </c>
      <c r="PX135" s="93">
        <v>0</v>
      </c>
      <c r="PY135" s="93">
        <v>0</v>
      </c>
      <c r="PZ135" s="93">
        <v>0.93939266099999996</v>
      </c>
      <c r="QA135" s="93">
        <v>0</v>
      </c>
      <c r="QB135" s="93">
        <v>0</v>
      </c>
      <c r="QC135" s="93">
        <v>0</v>
      </c>
      <c r="QD135" s="93">
        <v>-4.969453208</v>
      </c>
      <c r="QE135" s="20">
        <v>0.77757030400000005</v>
      </c>
      <c r="QF135" s="1739">
        <v>68</v>
      </c>
      <c r="QG135" s="19"/>
      <c r="QH135" s="1035">
        <v>34.328354172285614</v>
      </c>
      <c r="QI135" s="1035">
        <v>126.00574133594881</v>
      </c>
      <c r="QJ135" s="1035">
        <v>-91.677387163663198</v>
      </c>
      <c r="QK135" s="1035">
        <v>76.198999999999998</v>
      </c>
      <c r="QL135" s="1035">
        <v>16.587</v>
      </c>
      <c r="QM135" s="1035">
        <v>59.611999999999995</v>
      </c>
      <c r="QN135" s="1035">
        <v>0</v>
      </c>
      <c r="QO135" s="1035">
        <v>-81.787999999999997</v>
      </c>
      <c r="QP135" s="1035">
        <v>14.403</v>
      </c>
      <c r="QQ135" s="1035">
        <v>-96.191000000000003</v>
      </c>
      <c r="QR135" s="1035">
        <v>474.07325866405114</v>
      </c>
      <c r="QS135" s="1035">
        <v>7.2302597920955343</v>
      </c>
      <c r="QT135" s="1035">
        <v>0</v>
      </c>
      <c r="QU135" s="1035">
        <v>72.939000000000007</v>
      </c>
      <c r="QV135" s="1035">
        <v>393.90399887195559</v>
      </c>
      <c r="QW135" s="93"/>
      <c r="QX135" s="93">
        <v>0.33100000000000002</v>
      </c>
      <c r="QY135" s="93">
        <v>202.01690119048106</v>
      </c>
      <c r="QZ135" s="93">
        <v>196.0217116458557</v>
      </c>
      <c r="RA135" s="93">
        <v>0</v>
      </c>
      <c r="RB135" s="93">
        <v>16.875</v>
      </c>
      <c r="RC135" s="93">
        <v>0.03</v>
      </c>
      <c r="RD135" s="93">
        <v>3.3759999999999999</v>
      </c>
      <c r="RE135" s="93">
        <v>0</v>
      </c>
      <c r="RF135" s="93">
        <v>0</v>
      </c>
      <c r="RG135" s="93">
        <v>70.988</v>
      </c>
      <c r="RH135" s="93">
        <v>13.173999999999992</v>
      </c>
      <c r="RI135" s="93"/>
      <c r="RJ135" s="93"/>
      <c r="RK135" s="93"/>
      <c r="RL135" s="93"/>
      <c r="RM135" s="20"/>
      <c r="RN135" s="29">
        <v>68</v>
      </c>
      <c r="RO135" s="19"/>
      <c r="RP135" s="20"/>
      <c r="RQ135" s="29">
        <v>68</v>
      </c>
      <c r="RR135" s="20"/>
      <c r="RS135" s="29">
        <v>68</v>
      </c>
      <c r="RT135" s="1504">
        <v>38565</v>
      </c>
      <c r="RU135" s="19"/>
      <c r="RV135" s="20"/>
      <c r="RW135" s="29">
        <v>68</v>
      </c>
      <c r="RX135" s="1504">
        <v>38565</v>
      </c>
      <c r="RY135" s="29"/>
      <c r="RZ135" s="20"/>
      <c r="SA135" s="29"/>
      <c r="SB135" s="29">
        <v>68</v>
      </c>
    </row>
    <row r="136" spans="1:496">
      <c r="A136" s="41">
        <f t="shared" si="191"/>
        <v>2005</v>
      </c>
      <c r="B136" s="1504">
        <v>38596</v>
      </c>
      <c r="C136" s="1813"/>
      <c r="D136" s="1814"/>
      <c r="E136" s="1814"/>
      <c r="F136" s="1815"/>
      <c r="G136" s="1814"/>
      <c r="H136" s="1814"/>
      <c r="I136" s="1814"/>
      <c r="J136" s="1816"/>
      <c r="K136" s="1807"/>
      <c r="L136" s="25">
        <v>69</v>
      </c>
      <c r="M136" s="97"/>
      <c r="N136" s="1504">
        <v>38596</v>
      </c>
      <c r="O136" s="19"/>
      <c r="P136" s="93"/>
      <c r="Q136" s="93"/>
      <c r="R136" s="93"/>
      <c r="S136" s="93"/>
      <c r="T136" s="93"/>
      <c r="U136" s="93"/>
      <c r="V136" s="93"/>
      <c r="W136" s="93"/>
      <c r="X136" s="93"/>
      <c r="Y136" s="93"/>
      <c r="Z136" s="93"/>
      <c r="AA136" s="93"/>
      <c r="AB136" s="20"/>
      <c r="AC136" s="25">
        <v>69</v>
      </c>
      <c r="AD136" s="97"/>
      <c r="AE136" s="1504">
        <v>38596</v>
      </c>
      <c r="AF136" s="19"/>
      <c r="AG136" s="93"/>
      <c r="AH136" s="93"/>
      <c r="AI136" s="93"/>
      <c r="AJ136" s="93"/>
      <c r="AK136" s="93"/>
      <c r="AL136" s="93"/>
      <c r="AM136" s="93"/>
      <c r="AN136" s="93"/>
      <c r="AO136" s="93"/>
      <c r="AP136" s="93"/>
      <c r="AQ136" s="93"/>
      <c r="AR136" s="93"/>
      <c r="AS136" s="20"/>
      <c r="AT136" s="25">
        <v>69</v>
      </c>
      <c r="AU136" s="97"/>
      <c r="AV136" s="1504">
        <v>38596</v>
      </c>
      <c r="AW136" s="19"/>
      <c r="AX136" s="93"/>
      <c r="AY136" s="93"/>
      <c r="AZ136" s="93"/>
      <c r="BA136" s="93"/>
      <c r="BB136" s="93"/>
      <c r="BC136" s="93"/>
      <c r="BD136" s="93"/>
      <c r="BE136" s="93"/>
      <c r="BF136" s="93"/>
      <c r="BG136" s="93"/>
      <c r="BH136" s="93"/>
      <c r="BI136" s="93"/>
      <c r="BJ136" s="20"/>
      <c r="BK136" s="25">
        <v>69</v>
      </c>
      <c r="BL136" s="97"/>
      <c r="BM136" s="1504">
        <v>38596</v>
      </c>
      <c r="BN136" s="19"/>
      <c r="BO136" s="93"/>
      <c r="BP136" s="93"/>
      <c r="BQ136" s="93"/>
      <c r="BR136" s="93"/>
      <c r="BS136" s="93"/>
      <c r="BT136" s="93"/>
      <c r="BU136" s="20"/>
      <c r="BV136" s="25">
        <v>69</v>
      </c>
      <c r="BW136" s="97"/>
      <c r="BX136" s="1504">
        <v>38596</v>
      </c>
      <c r="BY136" s="19"/>
      <c r="BZ136" s="99">
        <v>664.95699999999999</v>
      </c>
      <c r="CA136" s="93"/>
      <c r="CB136" s="93"/>
      <c r="CC136" s="93"/>
      <c r="CD136" s="25">
        <v>69</v>
      </c>
      <c r="CE136" s="97"/>
      <c r="CF136" s="1504">
        <v>38596</v>
      </c>
      <c r="CG136" s="19">
        <v>1.21110320434783</v>
      </c>
      <c r="CH136" s="93">
        <v>456.048</v>
      </c>
      <c r="CI136" s="219"/>
      <c r="CJ136" s="20"/>
      <c r="CK136" s="19"/>
      <c r="CL136" s="93"/>
      <c r="CM136" s="93"/>
      <c r="CN136" s="93"/>
      <c r="CO136" s="93"/>
      <c r="CP136" s="20"/>
      <c r="CQ136" s="219">
        <v>1168.45</v>
      </c>
      <c r="CR136" s="93">
        <v>1.5225</v>
      </c>
      <c r="CS136" s="93"/>
      <c r="CT136" s="93"/>
      <c r="CU136" s="93"/>
      <c r="CV136" s="214"/>
      <c r="CW136" s="29">
        <v>69</v>
      </c>
      <c r="CX136" s="41">
        <f t="shared" si="192"/>
        <v>2005</v>
      </c>
      <c r="CY136" s="1504">
        <v>38596</v>
      </c>
      <c r="CZ136" s="1916">
        <v>39.373342000000001</v>
      </c>
      <c r="DA136" s="1526">
        <v>25.338806000000002</v>
      </c>
      <c r="DB136" s="1526">
        <v>14.034535999999999</v>
      </c>
      <c r="DC136" s="182">
        <f t="shared" si="190"/>
        <v>256493</v>
      </c>
      <c r="DD136" s="182"/>
      <c r="DE136" s="290"/>
      <c r="DF136" s="29">
        <v>69</v>
      </c>
      <c r="DG136" s="1504">
        <v>38596</v>
      </c>
      <c r="DH136" s="19"/>
      <c r="DI136" s="93"/>
      <c r="DJ136" s="93"/>
      <c r="DK136" s="93"/>
      <c r="DL136" s="93"/>
      <c r="DM136" s="93"/>
      <c r="DN136" s="20"/>
      <c r="DO136" s="25"/>
      <c r="DP136" s="29">
        <v>69</v>
      </c>
      <c r="DQ136" s="1504">
        <v>38596</v>
      </c>
      <c r="DR136" s="19"/>
      <c r="DS136" s="93"/>
      <c r="DT136" s="93"/>
      <c r="DU136" s="93"/>
      <c r="DV136" s="93"/>
      <c r="DW136" s="93"/>
      <c r="DX136" s="20"/>
      <c r="DY136" s="29">
        <v>69</v>
      </c>
      <c r="DZ136" s="1504">
        <v>38596</v>
      </c>
      <c r="EA136" s="19"/>
      <c r="EB136" s="93"/>
      <c r="EC136" s="20"/>
      <c r="ED136" s="29">
        <v>69</v>
      </c>
      <c r="EE136" s="1504">
        <v>38596</v>
      </c>
      <c r="EF136" s="19"/>
      <c r="EG136" s="93"/>
      <c r="EH136" s="93"/>
      <c r="EI136" s="214"/>
      <c r="EJ136" s="93"/>
      <c r="EK136" s="93"/>
      <c r="EL136" s="93"/>
      <c r="EM136" s="93"/>
      <c r="EN136" s="20"/>
      <c r="EO136" s="29">
        <v>69</v>
      </c>
      <c r="EP136" s="1504">
        <v>38596</v>
      </c>
      <c r="EQ136" s="19"/>
      <c r="ER136" s="93"/>
      <c r="ES136" s="93"/>
      <c r="ET136" s="214"/>
      <c r="EU136" s="93"/>
      <c r="EV136" s="93"/>
      <c r="EW136" s="93"/>
      <c r="EX136" s="93"/>
      <c r="EY136" s="20"/>
      <c r="EZ136" s="29">
        <v>69</v>
      </c>
      <c r="FA136" s="1504">
        <v>38596</v>
      </c>
      <c r="FB136" s="29"/>
      <c r="FC136" s="29"/>
      <c r="FD136" s="29"/>
      <c r="FE136" s="29"/>
      <c r="FF136" s="29"/>
      <c r="FG136" s="29"/>
      <c r="FH136" s="29"/>
      <c r="FI136" s="29"/>
      <c r="FJ136" s="29"/>
      <c r="FK136" s="29">
        <v>69</v>
      </c>
      <c r="FL136" s="1504">
        <v>38596</v>
      </c>
      <c r="FM136" s="19"/>
      <c r="FN136" s="93"/>
      <c r="FO136" s="93"/>
      <c r="FP136" s="93"/>
      <c r="FQ136" s="93"/>
      <c r="FR136" s="93"/>
      <c r="FS136" s="93"/>
      <c r="FT136" s="93"/>
      <c r="FU136" s="93"/>
      <c r="FV136" s="93"/>
      <c r="FW136" s="93"/>
      <c r="FX136" s="93"/>
      <c r="FY136" s="93"/>
      <c r="FZ136" s="29">
        <v>69</v>
      </c>
      <c r="GA136" s="1504">
        <v>38596</v>
      </c>
      <c r="GB136" s="19"/>
      <c r="GC136" s="93"/>
      <c r="GD136" s="93"/>
      <c r="GE136" s="93"/>
      <c r="GF136" s="93"/>
      <c r="GG136" s="93"/>
      <c r="GH136" s="93"/>
      <c r="GI136" s="93"/>
      <c r="GJ136" s="93"/>
      <c r="GK136" s="93"/>
      <c r="GL136" s="93"/>
      <c r="GM136" s="93"/>
      <c r="GN136" s="20"/>
      <c r="GO136" s="29">
        <v>69</v>
      </c>
      <c r="GP136" s="1504">
        <v>38596</v>
      </c>
      <c r="GQ136" s="19"/>
      <c r="GR136" s="93"/>
      <c r="GS136" s="93"/>
      <c r="GT136" s="93"/>
      <c r="GU136" s="93"/>
      <c r="GV136" s="20"/>
      <c r="GW136" s="19"/>
      <c r="GX136" s="93"/>
      <c r="GY136" s="93"/>
      <c r="GZ136" s="93"/>
      <c r="HA136" s="93"/>
      <c r="HB136" s="20"/>
      <c r="HC136" s="19"/>
      <c r="HD136" s="93"/>
      <c r="HE136" s="93"/>
      <c r="HF136" s="93"/>
      <c r="HG136" s="93"/>
      <c r="HH136" s="20"/>
      <c r="HI136" s="19"/>
      <c r="HJ136" s="93"/>
      <c r="HK136" s="93"/>
      <c r="HL136" s="93"/>
      <c r="HM136" s="93"/>
      <c r="HN136" s="20"/>
      <c r="HO136" s="219"/>
      <c r="HP136" s="20"/>
      <c r="HQ136" s="25"/>
      <c r="HR136" s="29">
        <v>69</v>
      </c>
      <c r="HS136" s="1504">
        <v>38596</v>
      </c>
      <c r="HT136" s="179">
        <v>267.35088348388672</v>
      </c>
      <c r="HU136" s="99">
        <v>269.32374420166013</v>
      </c>
      <c r="HV136" s="99">
        <v>201.66666793823242</v>
      </c>
      <c r="HW136" s="99"/>
      <c r="HX136" s="99">
        <v>260.01743316650391</v>
      </c>
      <c r="HY136" s="99">
        <v>267.30521774291992</v>
      </c>
      <c r="HZ136" s="99">
        <v>270.82119750976563</v>
      </c>
      <c r="IA136" s="132">
        <v>203.22581481933594</v>
      </c>
      <c r="IB136" s="179">
        <v>226.28446006774902</v>
      </c>
      <c r="IC136" s="99">
        <v>201.97369003295898</v>
      </c>
      <c r="ID136" s="99">
        <v>250</v>
      </c>
      <c r="IE136" s="99"/>
      <c r="IF136" s="99">
        <v>244.16666412353516</v>
      </c>
      <c r="IG136" s="132">
        <v>198.125</v>
      </c>
      <c r="IH136" s="179">
        <v>149.89746284484863</v>
      </c>
      <c r="II136" s="99">
        <v>205.38533935546874</v>
      </c>
      <c r="IJ136" s="99">
        <v>180.17240905761719</v>
      </c>
      <c r="IK136" s="99">
        <v>173.28520202636719</v>
      </c>
      <c r="IL136" s="99">
        <v>185.69977951049805</v>
      </c>
      <c r="IM136" s="99">
        <v>170.37953948974609</v>
      </c>
      <c r="IN136" s="93"/>
      <c r="IO136" s="132">
        <v>169.65813064575195</v>
      </c>
      <c r="IP136" s="29">
        <v>69</v>
      </c>
      <c r="IQ136" s="19"/>
      <c r="IR136" s="93"/>
      <c r="IS136" s="93"/>
      <c r="IT136" s="93"/>
      <c r="IU136" s="93"/>
      <c r="IV136" s="20"/>
      <c r="IW136" s="29">
        <v>69</v>
      </c>
      <c r="IX136" s="19"/>
      <c r="IY136" s="93"/>
      <c r="IZ136" s="93"/>
      <c r="JA136" s="93"/>
      <c r="JB136" s="93"/>
      <c r="JC136" s="93"/>
      <c r="JD136" s="93"/>
      <c r="JE136" s="20"/>
      <c r="JF136" s="29">
        <v>69</v>
      </c>
      <c r="JG136" s="19"/>
      <c r="JH136" s="93"/>
      <c r="JI136" s="93"/>
      <c r="JJ136" s="93"/>
      <c r="JK136" s="93"/>
      <c r="JL136" s="93"/>
      <c r="JM136" s="93"/>
      <c r="JN136" s="20"/>
      <c r="JO136" s="29">
        <v>69</v>
      </c>
      <c r="JP136" s="19"/>
      <c r="JQ136" s="93"/>
      <c r="JR136" s="93"/>
      <c r="JS136" s="93"/>
      <c r="JT136" s="93"/>
      <c r="JU136" s="20"/>
      <c r="JV136" s="29">
        <v>69</v>
      </c>
      <c r="JW136" s="1504">
        <v>38596</v>
      </c>
      <c r="JX136" s="19"/>
      <c r="JY136" s="93"/>
      <c r="JZ136" s="93"/>
      <c r="KA136" s="93"/>
      <c r="KB136" s="93"/>
      <c r="KC136" s="93"/>
      <c r="KD136" s="20"/>
      <c r="KE136" s="29">
        <v>69</v>
      </c>
      <c r="KF136" s="19"/>
      <c r="KG136" s="93"/>
      <c r="KH136" s="93"/>
      <c r="KI136" s="93"/>
      <c r="KJ136" s="93"/>
      <c r="KK136" s="20"/>
      <c r="KL136" s="29">
        <v>69</v>
      </c>
      <c r="KM136" s="19"/>
      <c r="KN136" s="93"/>
      <c r="KO136" s="93"/>
      <c r="KP136" s="93"/>
      <c r="KQ136" s="93"/>
      <c r="KR136" s="20"/>
      <c r="KS136" s="29">
        <v>69</v>
      </c>
      <c r="KT136" s="19"/>
      <c r="KU136" s="93"/>
      <c r="KV136" s="93"/>
      <c r="KW136" s="93"/>
      <c r="KX136" s="93"/>
      <c r="KY136" s="20"/>
      <c r="KZ136" s="29">
        <v>69</v>
      </c>
      <c r="LA136" s="1504">
        <v>38596</v>
      </c>
      <c r="LB136" s="19"/>
      <c r="LC136" s="93"/>
      <c r="LD136" s="93"/>
      <c r="LE136" s="93"/>
      <c r="LF136" s="93"/>
      <c r="LG136" s="93"/>
      <c r="LH136" s="20"/>
      <c r="LI136" s="29">
        <v>69</v>
      </c>
      <c r="LJ136" s="19"/>
      <c r="LK136" s="93"/>
      <c r="LL136" s="93"/>
      <c r="LM136" s="93"/>
      <c r="LN136" s="93"/>
      <c r="LO136" s="20"/>
      <c r="LP136" s="29">
        <v>69</v>
      </c>
      <c r="LQ136" s="19"/>
      <c r="LR136" s="93"/>
      <c r="LS136" s="93"/>
      <c r="LT136" s="93"/>
      <c r="LU136" s="93"/>
      <c r="LV136" s="93"/>
      <c r="LW136" s="93"/>
      <c r="LX136" s="93"/>
      <c r="LY136" s="93"/>
      <c r="LZ136" s="93"/>
      <c r="MA136" s="20"/>
      <c r="MB136" s="29">
        <v>69</v>
      </c>
      <c r="MC136" s="1504">
        <v>38596</v>
      </c>
      <c r="MD136" s="19"/>
      <c r="ME136" s="93"/>
      <c r="MF136" s="93"/>
      <c r="MG136" s="93"/>
      <c r="MH136" s="93"/>
      <c r="MI136" s="93"/>
      <c r="MJ136" s="93"/>
      <c r="MK136" s="93"/>
      <c r="ML136" s="93"/>
      <c r="MM136" s="93"/>
      <c r="MN136" s="93"/>
      <c r="MO136" s="93"/>
      <c r="MP136" s="93"/>
      <c r="MQ136" s="93"/>
      <c r="MR136" s="93"/>
      <c r="MS136" s="93"/>
      <c r="MT136" s="93"/>
      <c r="MU136" s="93"/>
      <c r="MV136" s="93"/>
      <c r="MW136" s="93"/>
      <c r="MX136" s="93"/>
      <c r="MY136" s="93"/>
      <c r="MZ136" s="93"/>
      <c r="NA136" s="93"/>
      <c r="NB136" s="93"/>
      <c r="NC136" s="93"/>
      <c r="ND136" s="93"/>
      <c r="NE136" s="93"/>
      <c r="NF136" s="93"/>
      <c r="NG136" s="93"/>
      <c r="NH136" s="93"/>
      <c r="NI136" s="93"/>
      <c r="NJ136" s="93"/>
      <c r="NK136" s="93"/>
      <c r="NL136" s="93"/>
      <c r="NM136" s="93"/>
      <c r="NN136" s="93"/>
      <c r="NO136" s="93"/>
      <c r="NP136" s="93"/>
      <c r="NQ136" s="93"/>
      <c r="NR136" s="93"/>
      <c r="NS136" s="93"/>
      <c r="NT136" s="93"/>
      <c r="NU136" s="93"/>
      <c r="NV136" s="93"/>
      <c r="NW136" s="93"/>
      <c r="NX136" s="93"/>
      <c r="NY136" s="93"/>
      <c r="NZ136" s="93"/>
      <c r="OA136" s="93"/>
      <c r="OB136" s="93"/>
      <c r="OC136" s="93"/>
      <c r="OD136" s="20"/>
      <c r="OE136" s="29">
        <v>69</v>
      </c>
      <c r="OF136" s="1504">
        <v>38596</v>
      </c>
      <c r="OG136" s="19"/>
      <c r="OH136" s="93">
        <v>133.71690000000001</v>
      </c>
      <c r="OI136" s="93">
        <v>241.10241384516598</v>
      </c>
      <c r="OJ136" s="93">
        <v>0.23319585300000001</v>
      </c>
      <c r="OK136" s="93">
        <v>194.42001799216598</v>
      </c>
      <c r="OL136" s="93">
        <v>46.449200000000005</v>
      </c>
      <c r="OM136" s="93">
        <v>374.81931384516599</v>
      </c>
      <c r="ON136" s="93">
        <v>191.43730298849101</v>
      </c>
      <c r="OO136" s="93">
        <v>566.25661683365706</v>
      </c>
      <c r="OP136" s="93"/>
      <c r="OQ136" s="93">
        <v>185.56409397347343</v>
      </c>
      <c r="OR136" s="93">
        <v>159.46532180299999</v>
      </c>
      <c r="OS136" s="93">
        <v>26.098772170473467</v>
      </c>
      <c r="OT136" s="93">
        <v>441.08868791018335</v>
      </c>
      <c r="OU136" s="93">
        <v>-38.833814898999997</v>
      </c>
      <c r="OV136" s="93">
        <v>37.955185101000005</v>
      </c>
      <c r="OW136" s="93">
        <v>-76.789000000000001</v>
      </c>
      <c r="OX136" s="93">
        <v>479.92250280918336</v>
      </c>
      <c r="OY136" s="93">
        <v>2.3379539989999998</v>
      </c>
      <c r="OZ136" s="93">
        <v>477.58454881018338</v>
      </c>
      <c r="PA136" s="93">
        <v>86.806716455</v>
      </c>
      <c r="PB136" s="93">
        <v>-26.410551404999985</v>
      </c>
      <c r="PC136" s="20">
        <v>566.25661683365672</v>
      </c>
      <c r="PD136" s="29">
        <v>69</v>
      </c>
      <c r="PE136" s="19"/>
      <c r="PF136" s="93">
        <v>159.46532180299999</v>
      </c>
      <c r="PG136" s="93">
        <v>247.47864441799999</v>
      </c>
      <c r="PH136" s="93">
        <v>88.013322615000007</v>
      </c>
      <c r="PI136" s="93">
        <v>1.1100000000000001</v>
      </c>
      <c r="PJ136" s="93">
        <v>37.955185101000005</v>
      </c>
      <c r="PK136" s="93">
        <v>89.720213072000007</v>
      </c>
      <c r="PL136" s="93">
        <v>51.765027971000002</v>
      </c>
      <c r="PM136" s="93">
        <v>2.3379539989999998</v>
      </c>
      <c r="PN136" s="93">
        <v>0</v>
      </c>
      <c r="PO136" s="93">
        <v>0</v>
      </c>
      <c r="PP136" s="93">
        <v>9.4821399999999996E-4</v>
      </c>
      <c r="PQ136" s="93">
        <v>2.3370057849999997</v>
      </c>
      <c r="PR136" s="93">
        <v>207.40583760500002</v>
      </c>
      <c r="PS136" s="93">
        <v>149.7389</v>
      </c>
      <c r="PT136" s="93">
        <v>57.433741752000003</v>
      </c>
      <c r="PU136" s="93">
        <v>0.23319585300000001</v>
      </c>
      <c r="PV136" s="93">
        <v>0</v>
      </c>
      <c r="PW136" s="93">
        <v>0.32095052600000001</v>
      </c>
      <c r="PX136" s="93">
        <v>0</v>
      </c>
      <c r="PY136" s="93">
        <v>0</v>
      </c>
      <c r="PZ136" s="93">
        <v>0.32095052600000001</v>
      </c>
      <c r="QA136" s="93">
        <v>0</v>
      </c>
      <c r="QB136" s="93">
        <v>0</v>
      </c>
      <c r="QC136" s="93">
        <v>0</v>
      </c>
      <c r="QD136" s="93">
        <v>-5.2672340710000007</v>
      </c>
      <c r="QE136" s="20">
        <v>-1.5910931569999929</v>
      </c>
      <c r="QF136" s="1739">
        <v>69</v>
      </c>
      <c r="QG136" s="19"/>
      <c r="QH136" s="1035">
        <v>26.098772170473467</v>
      </c>
      <c r="QI136" s="1035">
        <v>125.3274511898165</v>
      </c>
      <c r="QJ136" s="1035">
        <v>-99.228679019343033</v>
      </c>
      <c r="QK136" s="1035">
        <v>72.126999999999995</v>
      </c>
      <c r="QL136" s="1035">
        <v>16.021999999999998</v>
      </c>
      <c r="QM136" s="1035">
        <v>56.104999999999997</v>
      </c>
      <c r="QN136" s="1035">
        <v>0</v>
      </c>
      <c r="QO136" s="1035">
        <v>-76.789000000000001</v>
      </c>
      <c r="QP136" s="1035">
        <v>17.577000000000002</v>
      </c>
      <c r="QQ136" s="1035">
        <v>-94.366</v>
      </c>
      <c r="QR136" s="1035">
        <v>477.58454881018338</v>
      </c>
      <c r="QS136" s="1035">
        <v>8.8049857152742383</v>
      </c>
      <c r="QT136" s="1035">
        <v>0</v>
      </c>
      <c r="QU136" s="1035">
        <v>70.143999999999991</v>
      </c>
      <c r="QV136" s="1035">
        <v>398.63556309490917</v>
      </c>
      <c r="QW136" s="93"/>
      <c r="QX136" s="93">
        <v>0.41</v>
      </c>
      <c r="QY136" s="93">
        <v>194.42001799216598</v>
      </c>
      <c r="QZ136" s="93">
        <v>191.43730298849101</v>
      </c>
      <c r="RA136" s="93">
        <v>0</v>
      </c>
      <c r="RB136" s="93">
        <v>14.508000000000001</v>
      </c>
      <c r="RC136" s="93">
        <v>0</v>
      </c>
      <c r="RD136" s="93">
        <v>3.379</v>
      </c>
      <c r="RE136" s="93">
        <v>0</v>
      </c>
      <c r="RF136" s="93">
        <v>0</v>
      </c>
      <c r="RG136" s="93">
        <v>73.866</v>
      </c>
      <c r="RH136" s="93">
        <v>21.001000000000005</v>
      </c>
      <c r="RI136" s="93"/>
      <c r="RJ136" s="93"/>
      <c r="RK136" s="93"/>
      <c r="RL136" s="93"/>
      <c r="RM136" s="20"/>
      <c r="RN136" s="29">
        <v>69</v>
      </c>
      <c r="RO136" s="19"/>
      <c r="RP136" s="20"/>
      <c r="RQ136" s="29">
        <v>69</v>
      </c>
      <c r="RR136" s="20"/>
      <c r="RS136" s="29">
        <v>69</v>
      </c>
      <c r="RT136" s="1504">
        <v>38596</v>
      </c>
      <c r="RU136" s="19"/>
      <c r="RV136" s="20"/>
      <c r="RW136" s="29">
        <v>69</v>
      </c>
      <c r="RX136" s="1504">
        <v>38596</v>
      </c>
      <c r="RY136" s="29"/>
      <c r="RZ136" s="20"/>
      <c r="SA136" s="29"/>
      <c r="SB136" s="29">
        <v>69</v>
      </c>
    </row>
    <row r="137" spans="1:496">
      <c r="A137" s="41">
        <f t="shared" si="191"/>
        <v>2005</v>
      </c>
      <c r="B137" s="1504">
        <v>38626</v>
      </c>
      <c r="C137" s="1813"/>
      <c r="D137" s="1814"/>
      <c r="E137" s="1814"/>
      <c r="F137" s="1815"/>
      <c r="G137" s="1814"/>
      <c r="H137" s="1814"/>
      <c r="I137" s="1814"/>
      <c r="J137" s="1816"/>
      <c r="K137" s="1807"/>
      <c r="L137" s="25">
        <v>70</v>
      </c>
      <c r="M137" s="97"/>
      <c r="N137" s="1504">
        <v>38626</v>
      </c>
      <c r="O137" s="19"/>
      <c r="P137" s="93"/>
      <c r="Q137" s="93"/>
      <c r="R137" s="93"/>
      <c r="S137" s="93"/>
      <c r="T137" s="93"/>
      <c r="U137" s="93"/>
      <c r="V137" s="93"/>
      <c r="W137" s="93"/>
      <c r="X137" s="93"/>
      <c r="Y137" s="93"/>
      <c r="Z137" s="93"/>
      <c r="AA137" s="93"/>
      <c r="AB137" s="20"/>
      <c r="AC137" s="25">
        <v>70</v>
      </c>
      <c r="AD137" s="97"/>
      <c r="AE137" s="1504">
        <v>38626</v>
      </c>
      <c r="AF137" s="19"/>
      <c r="AG137" s="93"/>
      <c r="AH137" s="93"/>
      <c r="AI137" s="93"/>
      <c r="AJ137" s="93"/>
      <c r="AK137" s="93"/>
      <c r="AL137" s="93"/>
      <c r="AM137" s="93"/>
      <c r="AN137" s="93"/>
      <c r="AO137" s="93"/>
      <c r="AP137" s="93"/>
      <c r="AQ137" s="93"/>
      <c r="AR137" s="93"/>
      <c r="AS137" s="20"/>
      <c r="AT137" s="25">
        <v>70</v>
      </c>
      <c r="AU137" s="97"/>
      <c r="AV137" s="1504">
        <v>38626</v>
      </c>
      <c r="AW137" s="19"/>
      <c r="AX137" s="93"/>
      <c r="AY137" s="93"/>
      <c r="AZ137" s="93"/>
      <c r="BA137" s="93"/>
      <c r="BB137" s="93"/>
      <c r="BC137" s="93"/>
      <c r="BD137" s="93"/>
      <c r="BE137" s="93"/>
      <c r="BF137" s="93"/>
      <c r="BG137" s="93"/>
      <c r="BH137" s="93"/>
      <c r="BI137" s="93"/>
      <c r="BJ137" s="20"/>
      <c r="BK137" s="25">
        <v>70</v>
      </c>
      <c r="BL137" s="97"/>
      <c r="BM137" s="1504">
        <v>38626</v>
      </c>
      <c r="BN137" s="19"/>
      <c r="BO137" s="93"/>
      <c r="BP137" s="93"/>
      <c r="BQ137" s="93"/>
      <c r="BR137" s="93"/>
      <c r="BS137" s="93"/>
      <c r="BT137" s="93"/>
      <c r="BU137" s="20"/>
      <c r="BV137" s="25">
        <v>70</v>
      </c>
      <c r="BW137" s="97"/>
      <c r="BX137" s="1504">
        <v>38626</v>
      </c>
      <c r="BY137" s="19"/>
      <c r="BZ137" s="99">
        <v>664.95699999999999</v>
      </c>
      <c r="CA137" s="93"/>
      <c r="CB137" s="93"/>
      <c r="CC137" s="93"/>
      <c r="CD137" s="25">
        <v>70</v>
      </c>
      <c r="CE137" s="97"/>
      <c r="CF137" s="1504">
        <v>38626</v>
      </c>
      <c r="CG137" s="19">
        <v>1.2827214033333301</v>
      </c>
      <c r="CH137" s="93">
        <v>469.89800000000002</v>
      </c>
      <c r="CI137" s="219"/>
      <c r="CJ137" s="20"/>
      <c r="CK137" s="19"/>
      <c r="CL137" s="93"/>
      <c r="CM137" s="93"/>
      <c r="CN137" s="93"/>
      <c r="CO137" s="93"/>
      <c r="CP137" s="20"/>
      <c r="CQ137" s="219">
        <v>1129.08</v>
      </c>
      <c r="CR137" s="93">
        <v>1.536</v>
      </c>
      <c r="CS137" s="93"/>
      <c r="CT137" s="93"/>
      <c r="CU137" s="93"/>
      <c r="CV137" s="214"/>
      <c r="CW137" s="29">
        <v>70</v>
      </c>
      <c r="CX137" s="41">
        <f t="shared" si="192"/>
        <v>2005</v>
      </c>
      <c r="CY137" s="1504">
        <v>38626</v>
      </c>
      <c r="CZ137" s="1916">
        <v>42.02064</v>
      </c>
      <c r="DA137" s="1526">
        <v>28.222007999999999</v>
      </c>
      <c r="DB137" s="1526">
        <v>13.798632</v>
      </c>
      <c r="DC137" s="182">
        <f t="shared" si="190"/>
        <v>256493</v>
      </c>
      <c r="DD137" s="182"/>
      <c r="DE137" s="290"/>
      <c r="DF137" s="29">
        <v>70</v>
      </c>
      <c r="DG137" s="1504">
        <v>38626</v>
      </c>
      <c r="DH137" s="19"/>
      <c r="DI137" s="93"/>
      <c r="DJ137" s="93"/>
      <c r="DK137" s="93"/>
      <c r="DL137" s="93"/>
      <c r="DM137" s="93"/>
      <c r="DN137" s="20"/>
      <c r="DO137" s="25"/>
      <c r="DP137" s="29">
        <v>70</v>
      </c>
      <c r="DQ137" s="1504">
        <v>38626</v>
      </c>
      <c r="DR137" s="19"/>
      <c r="DS137" s="93"/>
      <c r="DT137" s="93"/>
      <c r="DU137" s="93"/>
      <c r="DV137" s="93"/>
      <c r="DW137" s="93"/>
      <c r="DX137" s="20"/>
      <c r="DY137" s="29">
        <v>70</v>
      </c>
      <c r="DZ137" s="1504">
        <v>38626</v>
      </c>
      <c r="EA137" s="19"/>
      <c r="EB137" s="93"/>
      <c r="EC137" s="20"/>
      <c r="ED137" s="29">
        <v>70</v>
      </c>
      <c r="EE137" s="1504">
        <v>38626</v>
      </c>
      <c r="EF137" s="19"/>
      <c r="EG137" s="93"/>
      <c r="EH137" s="93"/>
      <c r="EI137" s="214"/>
      <c r="EJ137" s="93"/>
      <c r="EK137" s="93"/>
      <c r="EL137" s="93"/>
      <c r="EM137" s="93"/>
      <c r="EN137" s="20"/>
      <c r="EO137" s="29">
        <v>70</v>
      </c>
      <c r="EP137" s="1504">
        <v>38626</v>
      </c>
      <c r="EQ137" s="19"/>
      <c r="ER137" s="93"/>
      <c r="ES137" s="93"/>
      <c r="ET137" s="214"/>
      <c r="EU137" s="93"/>
      <c r="EV137" s="93"/>
      <c r="EW137" s="93"/>
      <c r="EX137" s="93"/>
      <c r="EY137" s="20"/>
      <c r="EZ137" s="29">
        <v>70</v>
      </c>
      <c r="FA137" s="1504">
        <v>38626</v>
      </c>
      <c r="FB137" s="29"/>
      <c r="FC137" s="29"/>
      <c r="FD137" s="29"/>
      <c r="FE137" s="29"/>
      <c r="FF137" s="29"/>
      <c r="FG137" s="29"/>
      <c r="FH137" s="29"/>
      <c r="FI137" s="29"/>
      <c r="FJ137" s="29"/>
      <c r="FK137" s="29">
        <v>70</v>
      </c>
      <c r="FL137" s="1504">
        <v>38626</v>
      </c>
      <c r="FM137" s="19"/>
      <c r="FN137" s="93"/>
      <c r="FO137" s="93"/>
      <c r="FP137" s="93"/>
      <c r="FQ137" s="93"/>
      <c r="FR137" s="93"/>
      <c r="FS137" s="93"/>
      <c r="FT137" s="93"/>
      <c r="FU137" s="93"/>
      <c r="FV137" s="93"/>
      <c r="FW137" s="93"/>
      <c r="FX137" s="93"/>
      <c r="FY137" s="93"/>
      <c r="FZ137" s="29">
        <v>70</v>
      </c>
      <c r="GA137" s="1504">
        <v>38626</v>
      </c>
      <c r="GB137" s="19"/>
      <c r="GC137" s="93"/>
      <c r="GD137" s="93"/>
      <c r="GE137" s="93"/>
      <c r="GF137" s="93"/>
      <c r="GG137" s="93"/>
      <c r="GH137" s="93"/>
      <c r="GI137" s="93"/>
      <c r="GJ137" s="93"/>
      <c r="GK137" s="93"/>
      <c r="GL137" s="93"/>
      <c r="GM137" s="93"/>
      <c r="GN137" s="20"/>
      <c r="GO137" s="29">
        <v>70</v>
      </c>
      <c r="GP137" s="1504">
        <v>38626</v>
      </c>
      <c r="GQ137" s="19"/>
      <c r="GR137" s="93"/>
      <c r="GS137" s="93"/>
      <c r="GT137" s="93"/>
      <c r="GU137" s="93"/>
      <c r="GV137" s="20"/>
      <c r="GW137" s="19"/>
      <c r="GX137" s="93"/>
      <c r="GY137" s="93"/>
      <c r="GZ137" s="93"/>
      <c r="HA137" s="93"/>
      <c r="HB137" s="20"/>
      <c r="HC137" s="19"/>
      <c r="HD137" s="93"/>
      <c r="HE137" s="93"/>
      <c r="HF137" s="93"/>
      <c r="HG137" s="93"/>
      <c r="HH137" s="20"/>
      <c r="HI137" s="19"/>
      <c r="HJ137" s="93"/>
      <c r="HK137" s="93"/>
      <c r="HL137" s="93"/>
      <c r="HM137" s="93"/>
      <c r="HN137" s="20"/>
      <c r="HO137" s="219"/>
      <c r="HP137" s="20"/>
      <c r="HQ137" s="25"/>
      <c r="HR137" s="29">
        <v>70</v>
      </c>
      <c r="HS137" s="1504">
        <v>38626</v>
      </c>
      <c r="HT137" s="179">
        <v>263.08588409423828</v>
      </c>
      <c r="HU137" s="99">
        <v>186.84057235717773</v>
      </c>
      <c r="HV137" s="99">
        <v>209.64286193847656</v>
      </c>
      <c r="HW137" s="99"/>
      <c r="HX137" s="99">
        <v>233.88502883911133</v>
      </c>
      <c r="HY137" s="99">
        <v>234.13950347900391</v>
      </c>
      <c r="HZ137" s="99">
        <v>258.57659721374512</v>
      </c>
      <c r="IA137" s="132">
        <v>197.9838752746582</v>
      </c>
      <c r="IB137" s="179">
        <v>210.94605255126953</v>
      </c>
      <c r="IC137" s="99">
        <v>191.51891326904297</v>
      </c>
      <c r="ID137" s="99">
        <v>241.30190531412759</v>
      </c>
      <c r="IE137" s="99"/>
      <c r="IF137" s="99">
        <v>240.41666412353516</v>
      </c>
      <c r="IG137" s="132">
        <v>162</v>
      </c>
      <c r="IH137" s="179">
        <v>93.704281616210935</v>
      </c>
      <c r="II137" s="99">
        <v>162.36206436157227</v>
      </c>
      <c r="IJ137" s="99">
        <v>97.083333969116211</v>
      </c>
      <c r="IK137" s="99">
        <v>125.91574859619141</v>
      </c>
      <c r="IL137" s="99">
        <v>121.41657943725586</v>
      </c>
      <c r="IM137" s="99">
        <v>116.0809326171875</v>
      </c>
      <c r="IN137" s="93"/>
      <c r="IO137" s="132">
        <v>139.98313236236572</v>
      </c>
      <c r="IP137" s="29">
        <v>70</v>
      </c>
      <c r="IQ137" s="19"/>
      <c r="IR137" s="93"/>
      <c r="IS137" s="93"/>
      <c r="IT137" s="93"/>
      <c r="IU137" s="93"/>
      <c r="IV137" s="20"/>
      <c r="IW137" s="29">
        <v>70</v>
      </c>
      <c r="IX137" s="19"/>
      <c r="IY137" s="93"/>
      <c r="IZ137" s="93"/>
      <c r="JA137" s="93"/>
      <c r="JB137" s="93"/>
      <c r="JC137" s="93"/>
      <c r="JD137" s="93"/>
      <c r="JE137" s="20"/>
      <c r="JF137" s="29">
        <v>70</v>
      </c>
      <c r="JG137" s="19"/>
      <c r="JH137" s="93"/>
      <c r="JI137" s="93"/>
      <c r="JJ137" s="93"/>
      <c r="JK137" s="93"/>
      <c r="JL137" s="93"/>
      <c r="JM137" s="93"/>
      <c r="JN137" s="20"/>
      <c r="JO137" s="29">
        <v>70</v>
      </c>
      <c r="JP137" s="19"/>
      <c r="JQ137" s="93"/>
      <c r="JR137" s="93"/>
      <c r="JS137" s="93"/>
      <c r="JT137" s="93"/>
      <c r="JU137" s="20"/>
      <c r="JV137" s="29">
        <v>70</v>
      </c>
      <c r="JW137" s="1504">
        <v>38626</v>
      </c>
      <c r="JX137" s="19"/>
      <c r="JY137" s="93"/>
      <c r="JZ137" s="93"/>
      <c r="KA137" s="93"/>
      <c r="KB137" s="93"/>
      <c r="KC137" s="93"/>
      <c r="KD137" s="20"/>
      <c r="KE137" s="29">
        <v>70</v>
      </c>
      <c r="KF137" s="19"/>
      <c r="KG137" s="93"/>
      <c r="KH137" s="93"/>
      <c r="KI137" s="93"/>
      <c r="KJ137" s="93"/>
      <c r="KK137" s="20"/>
      <c r="KL137" s="29">
        <v>70</v>
      </c>
      <c r="KM137" s="19"/>
      <c r="KN137" s="93"/>
      <c r="KO137" s="93"/>
      <c r="KP137" s="93"/>
      <c r="KQ137" s="93"/>
      <c r="KR137" s="20"/>
      <c r="KS137" s="29">
        <v>70</v>
      </c>
      <c r="KT137" s="19"/>
      <c r="KU137" s="93"/>
      <c r="KV137" s="93"/>
      <c r="KW137" s="93"/>
      <c r="KX137" s="93"/>
      <c r="KY137" s="20"/>
      <c r="KZ137" s="29">
        <v>70</v>
      </c>
      <c r="LA137" s="1504">
        <v>38626</v>
      </c>
      <c r="LB137" s="19"/>
      <c r="LC137" s="93"/>
      <c r="LD137" s="93"/>
      <c r="LE137" s="93"/>
      <c r="LF137" s="93"/>
      <c r="LG137" s="93"/>
      <c r="LH137" s="20"/>
      <c r="LI137" s="29">
        <v>70</v>
      </c>
      <c r="LJ137" s="19"/>
      <c r="LK137" s="93"/>
      <c r="LL137" s="93"/>
      <c r="LM137" s="93"/>
      <c r="LN137" s="93"/>
      <c r="LO137" s="20"/>
      <c r="LP137" s="29">
        <v>70</v>
      </c>
      <c r="LQ137" s="19"/>
      <c r="LR137" s="93"/>
      <c r="LS137" s="93"/>
      <c r="LT137" s="93"/>
      <c r="LU137" s="93"/>
      <c r="LV137" s="93"/>
      <c r="LW137" s="93"/>
      <c r="LX137" s="93"/>
      <c r="LY137" s="93"/>
      <c r="LZ137" s="93"/>
      <c r="MA137" s="20"/>
      <c r="MB137" s="29">
        <v>70</v>
      </c>
      <c r="MC137" s="1504">
        <v>38626</v>
      </c>
      <c r="MD137" s="19"/>
      <c r="ME137" s="93"/>
      <c r="MF137" s="93"/>
      <c r="MG137" s="93"/>
      <c r="MH137" s="93"/>
      <c r="MI137" s="93"/>
      <c r="MJ137" s="93"/>
      <c r="MK137" s="93"/>
      <c r="ML137" s="93"/>
      <c r="MM137" s="93"/>
      <c r="MN137" s="93"/>
      <c r="MO137" s="93"/>
      <c r="MP137" s="93"/>
      <c r="MQ137" s="93"/>
      <c r="MR137" s="93"/>
      <c r="MS137" s="93"/>
      <c r="MT137" s="93"/>
      <c r="MU137" s="93"/>
      <c r="MV137" s="93"/>
      <c r="MW137" s="93"/>
      <c r="MX137" s="93"/>
      <c r="MY137" s="93"/>
      <c r="MZ137" s="93"/>
      <c r="NA137" s="93"/>
      <c r="NB137" s="93"/>
      <c r="NC137" s="93"/>
      <c r="ND137" s="93"/>
      <c r="NE137" s="93"/>
      <c r="NF137" s="93"/>
      <c r="NG137" s="93"/>
      <c r="NH137" s="93"/>
      <c r="NI137" s="93"/>
      <c r="NJ137" s="93"/>
      <c r="NK137" s="93"/>
      <c r="NL137" s="93"/>
      <c r="NM137" s="93"/>
      <c r="NN137" s="93"/>
      <c r="NO137" s="93"/>
      <c r="NP137" s="93"/>
      <c r="NQ137" s="93"/>
      <c r="NR137" s="93"/>
      <c r="NS137" s="93"/>
      <c r="NT137" s="93"/>
      <c r="NU137" s="93"/>
      <c r="NV137" s="93"/>
      <c r="NW137" s="93"/>
      <c r="NX137" s="93"/>
      <c r="NY137" s="93"/>
      <c r="NZ137" s="93"/>
      <c r="OA137" s="93"/>
      <c r="OB137" s="93"/>
      <c r="OC137" s="93"/>
      <c r="OD137" s="20"/>
      <c r="OE137" s="29">
        <v>70</v>
      </c>
      <c r="OF137" s="1504">
        <v>38626</v>
      </c>
      <c r="OG137" s="19"/>
      <c r="OH137" s="93">
        <v>137.56440000000001</v>
      </c>
      <c r="OI137" s="93">
        <v>234.49376077445214</v>
      </c>
      <c r="OJ137" s="93">
        <v>0.26601633499999999</v>
      </c>
      <c r="OK137" s="93">
        <v>187.22314443945214</v>
      </c>
      <c r="OL137" s="93">
        <v>47.004599999999996</v>
      </c>
      <c r="OM137" s="93">
        <v>372.05816077445218</v>
      </c>
      <c r="ON137" s="93">
        <v>188.99598126844586</v>
      </c>
      <c r="OO137" s="93">
        <v>561.05414204289809</v>
      </c>
      <c r="OP137" s="93"/>
      <c r="OQ137" s="93">
        <v>194.26040856778022</v>
      </c>
      <c r="OR137" s="93">
        <v>161.451089903</v>
      </c>
      <c r="OS137" s="93">
        <v>32.809318664780193</v>
      </c>
      <c r="OT137" s="93">
        <v>433.3599719941177</v>
      </c>
      <c r="OU137" s="93">
        <v>-45.299686966999985</v>
      </c>
      <c r="OV137" s="93">
        <v>28.100313033000006</v>
      </c>
      <c r="OW137" s="93">
        <v>-73.399999999999991</v>
      </c>
      <c r="OX137" s="93">
        <v>478.65965896111771</v>
      </c>
      <c r="OY137" s="93">
        <v>2.3278519179999999</v>
      </c>
      <c r="OZ137" s="93">
        <v>476.33180704311769</v>
      </c>
      <c r="PA137" s="93">
        <v>85.826572828999986</v>
      </c>
      <c r="PB137" s="93">
        <v>-19.260334309999983</v>
      </c>
      <c r="PC137" s="20">
        <v>561.05414204289787</v>
      </c>
      <c r="PD137" s="29">
        <v>70</v>
      </c>
      <c r="PE137" s="19"/>
      <c r="PF137" s="93">
        <v>161.451089903</v>
      </c>
      <c r="PG137" s="93">
        <v>252.30035547899999</v>
      </c>
      <c r="PH137" s="93">
        <v>90.849265575999993</v>
      </c>
      <c r="PI137" s="93">
        <v>1.1100000000000001</v>
      </c>
      <c r="PJ137" s="93">
        <v>28.100313033000006</v>
      </c>
      <c r="PK137" s="93">
        <v>91.230200959000001</v>
      </c>
      <c r="PL137" s="93">
        <v>63.129887925999995</v>
      </c>
      <c r="PM137" s="93">
        <v>2.3278519179999999</v>
      </c>
      <c r="PN137" s="93">
        <v>0</v>
      </c>
      <c r="PO137" s="93">
        <v>0</v>
      </c>
      <c r="PP137" s="93">
        <v>3.6065000000000001E-5</v>
      </c>
      <c r="PQ137" s="93">
        <v>2.3278158529999997</v>
      </c>
      <c r="PR137" s="93">
        <v>202.261244629</v>
      </c>
      <c r="PS137" s="93">
        <v>153.8244</v>
      </c>
      <c r="PT137" s="93">
        <v>48.170828294000003</v>
      </c>
      <c r="PU137" s="93">
        <v>0.26601633499999999</v>
      </c>
      <c r="PV137" s="93">
        <v>0</v>
      </c>
      <c r="PW137" s="93">
        <v>0.10341273199999999</v>
      </c>
      <c r="PX137" s="93">
        <v>0</v>
      </c>
      <c r="PY137" s="93">
        <v>0</v>
      </c>
      <c r="PZ137" s="93">
        <v>0.10341273199999999</v>
      </c>
      <c r="QA137" s="93">
        <v>0</v>
      </c>
      <c r="QB137" s="93">
        <v>0</v>
      </c>
      <c r="QC137" s="93">
        <v>0</v>
      </c>
      <c r="QD137" s="93">
        <v>-7.9888399029999997</v>
      </c>
      <c r="QE137" s="20">
        <v>-1.3865626040000003</v>
      </c>
      <c r="QF137" s="1739">
        <v>70</v>
      </c>
      <c r="QG137" s="19"/>
      <c r="QH137" s="1035">
        <v>32.809318664780193</v>
      </c>
      <c r="QI137" s="1035">
        <v>129.8411929568822</v>
      </c>
      <c r="QJ137" s="1035">
        <v>-97.031874292102003</v>
      </c>
      <c r="QK137" s="1035">
        <v>55.551000000000002</v>
      </c>
      <c r="QL137" s="1035">
        <v>16.260000000000002</v>
      </c>
      <c r="QM137" s="1035">
        <v>39.290999999999997</v>
      </c>
      <c r="QN137" s="1035">
        <v>0</v>
      </c>
      <c r="QO137" s="1035">
        <v>-73.399999999999991</v>
      </c>
      <c r="QP137" s="1035">
        <v>20.486000000000001</v>
      </c>
      <c r="QQ137" s="1035">
        <v>-93.885999999999996</v>
      </c>
      <c r="QR137" s="1035">
        <v>476.33180704311769</v>
      </c>
      <c r="QS137" s="1035">
        <v>9.2853695848430924</v>
      </c>
      <c r="QT137" s="1035">
        <v>0</v>
      </c>
      <c r="QU137" s="1035">
        <v>66.685000000000002</v>
      </c>
      <c r="QV137" s="1035">
        <v>400.36143745827462</v>
      </c>
      <c r="QW137" s="93"/>
      <c r="QX137" s="93">
        <v>0.439</v>
      </c>
      <c r="QY137" s="93">
        <v>187.22314443945211</v>
      </c>
      <c r="QZ137" s="93">
        <v>188.99598126844589</v>
      </c>
      <c r="RA137" s="93">
        <v>0</v>
      </c>
      <c r="RB137" s="93">
        <v>14.23</v>
      </c>
      <c r="RC137" s="93">
        <v>0</v>
      </c>
      <c r="RD137" s="93">
        <v>4.24</v>
      </c>
      <c r="RE137" s="93">
        <v>0</v>
      </c>
      <c r="RF137" s="93">
        <v>0</v>
      </c>
      <c r="RG137" s="93">
        <v>75.24199999999999</v>
      </c>
      <c r="RH137" s="93">
        <v>20.922000000000004</v>
      </c>
      <c r="RI137" s="93"/>
      <c r="RJ137" s="93"/>
      <c r="RK137" s="93"/>
      <c r="RL137" s="93"/>
      <c r="RM137" s="20"/>
      <c r="RN137" s="29">
        <v>70</v>
      </c>
      <c r="RO137" s="19"/>
      <c r="RP137" s="20"/>
      <c r="RQ137" s="29">
        <v>70</v>
      </c>
      <c r="RR137" s="20"/>
      <c r="RS137" s="29">
        <v>70</v>
      </c>
      <c r="RT137" s="1504">
        <v>38626</v>
      </c>
      <c r="RU137" s="19"/>
      <c r="RV137" s="20"/>
      <c r="RW137" s="29">
        <v>70</v>
      </c>
      <c r="RX137" s="1504">
        <v>38626</v>
      </c>
      <c r="RY137" s="29"/>
      <c r="RZ137" s="20"/>
      <c r="SA137" s="29"/>
      <c r="SB137" s="29">
        <v>70</v>
      </c>
    </row>
    <row r="138" spans="1:496">
      <c r="A138" s="41">
        <f t="shared" si="191"/>
        <v>2005</v>
      </c>
      <c r="B138" s="1504">
        <v>38657</v>
      </c>
      <c r="C138" s="1813"/>
      <c r="D138" s="1814"/>
      <c r="E138" s="1814"/>
      <c r="F138" s="1815"/>
      <c r="G138" s="1814"/>
      <c r="H138" s="1814"/>
      <c r="I138" s="1814"/>
      <c r="J138" s="1816"/>
      <c r="K138" s="1807"/>
      <c r="L138" s="25">
        <v>71</v>
      </c>
      <c r="M138" s="97"/>
      <c r="N138" s="1504">
        <v>38657</v>
      </c>
      <c r="O138" s="19"/>
      <c r="P138" s="93"/>
      <c r="Q138" s="93"/>
      <c r="R138" s="93"/>
      <c r="S138" s="93"/>
      <c r="T138" s="93"/>
      <c r="U138" s="93"/>
      <c r="V138" s="93"/>
      <c r="W138" s="93"/>
      <c r="X138" s="93"/>
      <c r="Y138" s="93"/>
      <c r="Z138" s="93"/>
      <c r="AA138" s="93"/>
      <c r="AB138" s="20"/>
      <c r="AC138" s="25">
        <v>71</v>
      </c>
      <c r="AD138" s="97"/>
      <c r="AE138" s="1504">
        <v>38657</v>
      </c>
      <c r="AF138" s="19"/>
      <c r="AG138" s="93"/>
      <c r="AH138" s="93"/>
      <c r="AI138" s="93"/>
      <c r="AJ138" s="93"/>
      <c r="AK138" s="93"/>
      <c r="AL138" s="93"/>
      <c r="AM138" s="93"/>
      <c r="AN138" s="93"/>
      <c r="AO138" s="93"/>
      <c r="AP138" s="93"/>
      <c r="AQ138" s="93"/>
      <c r="AR138" s="93"/>
      <c r="AS138" s="20"/>
      <c r="AT138" s="25">
        <v>71</v>
      </c>
      <c r="AU138" s="97"/>
      <c r="AV138" s="1504">
        <v>38657</v>
      </c>
      <c r="AW138" s="19"/>
      <c r="AX138" s="93"/>
      <c r="AY138" s="93"/>
      <c r="AZ138" s="93"/>
      <c r="BA138" s="93"/>
      <c r="BB138" s="93"/>
      <c r="BC138" s="93"/>
      <c r="BD138" s="93"/>
      <c r="BE138" s="93"/>
      <c r="BF138" s="93"/>
      <c r="BG138" s="93"/>
      <c r="BH138" s="93"/>
      <c r="BI138" s="93"/>
      <c r="BJ138" s="20"/>
      <c r="BK138" s="25">
        <v>71</v>
      </c>
      <c r="BL138" s="97"/>
      <c r="BM138" s="1504">
        <v>38657</v>
      </c>
      <c r="BN138" s="19"/>
      <c r="BO138" s="93"/>
      <c r="BP138" s="93"/>
      <c r="BQ138" s="93"/>
      <c r="BR138" s="93"/>
      <c r="BS138" s="93"/>
      <c r="BT138" s="93"/>
      <c r="BU138" s="20"/>
      <c r="BV138" s="25">
        <v>71</v>
      </c>
      <c r="BW138" s="97"/>
      <c r="BX138" s="1504">
        <v>38657</v>
      </c>
      <c r="BY138" s="19"/>
      <c r="BZ138" s="99">
        <v>664.95699999999999</v>
      </c>
      <c r="CA138" s="93"/>
      <c r="CB138" s="93"/>
      <c r="CC138" s="93"/>
      <c r="CD138" s="25">
        <v>71</v>
      </c>
      <c r="CE138" s="97"/>
      <c r="CF138" s="1504">
        <v>38657</v>
      </c>
      <c r="CG138" s="19">
        <v>1.2517832360000001</v>
      </c>
      <c r="CH138" s="93">
        <v>476.666</v>
      </c>
      <c r="CI138" s="219"/>
      <c r="CJ138" s="20"/>
      <c r="CK138" s="19"/>
      <c r="CL138" s="93"/>
      <c r="CM138" s="93"/>
      <c r="CN138" s="93"/>
      <c r="CO138" s="93"/>
      <c r="CP138" s="20"/>
      <c r="CQ138" s="219">
        <v>1036.17</v>
      </c>
      <c r="CR138" s="93">
        <v>1.4650000000000001</v>
      </c>
      <c r="CS138" s="93"/>
      <c r="CT138" s="93"/>
      <c r="CU138" s="93"/>
      <c r="CV138" s="214"/>
      <c r="CW138" s="29">
        <v>71</v>
      </c>
      <c r="CX138" s="41">
        <f t="shared" si="192"/>
        <v>2005</v>
      </c>
      <c r="CY138" s="1504">
        <v>38657</v>
      </c>
      <c r="CZ138" s="1916">
        <v>46.180605</v>
      </c>
      <c r="DA138" s="1526">
        <v>29.888164</v>
      </c>
      <c r="DB138" s="1526">
        <v>16.292441</v>
      </c>
      <c r="DC138" s="182">
        <f>DC139</f>
        <v>256493</v>
      </c>
      <c r="DD138" s="182"/>
      <c r="DE138" s="290"/>
      <c r="DF138" s="29">
        <v>71</v>
      </c>
      <c r="DG138" s="1504">
        <v>38657</v>
      </c>
      <c r="DH138" s="19"/>
      <c r="DI138" s="93"/>
      <c r="DJ138" s="93"/>
      <c r="DK138" s="93"/>
      <c r="DL138" s="93"/>
      <c r="DM138" s="93"/>
      <c r="DN138" s="20"/>
      <c r="DO138" s="25"/>
      <c r="DP138" s="29">
        <v>71</v>
      </c>
      <c r="DQ138" s="1504">
        <v>38657</v>
      </c>
      <c r="DR138" s="19"/>
      <c r="DS138" s="93"/>
      <c r="DT138" s="93"/>
      <c r="DU138" s="93"/>
      <c r="DV138" s="93"/>
      <c r="DW138" s="93"/>
      <c r="DX138" s="20"/>
      <c r="DY138" s="29">
        <v>71</v>
      </c>
      <c r="DZ138" s="1504">
        <v>38657</v>
      </c>
      <c r="EA138" s="19"/>
      <c r="EB138" s="93"/>
      <c r="EC138" s="20"/>
      <c r="ED138" s="29">
        <v>71</v>
      </c>
      <c r="EE138" s="1504">
        <v>38657</v>
      </c>
      <c r="EF138" s="19"/>
      <c r="EG138" s="93"/>
      <c r="EH138" s="93"/>
      <c r="EI138" s="214"/>
      <c r="EJ138" s="93"/>
      <c r="EK138" s="93"/>
      <c r="EL138" s="93"/>
      <c r="EM138" s="93"/>
      <c r="EN138" s="20"/>
      <c r="EO138" s="29">
        <v>71</v>
      </c>
      <c r="EP138" s="1504">
        <v>38657</v>
      </c>
      <c r="EQ138" s="19"/>
      <c r="ER138" s="93"/>
      <c r="ES138" s="93"/>
      <c r="ET138" s="214"/>
      <c r="EU138" s="93"/>
      <c r="EV138" s="93"/>
      <c r="EW138" s="93"/>
      <c r="EX138" s="93"/>
      <c r="EY138" s="20"/>
      <c r="EZ138" s="29">
        <v>71</v>
      </c>
      <c r="FA138" s="1504">
        <v>38657</v>
      </c>
      <c r="FB138" s="29"/>
      <c r="FC138" s="29"/>
      <c r="FD138" s="29"/>
      <c r="FE138" s="29"/>
      <c r="FF138" s="29"/>
      <c r="FG138" s="29"/>
      <c r="FH138" s="29"/>
      <c r="FI138" s="29"/>
      <c r="FJ138" s="29"/>
      <c r="FK138" s="29">
        <v>71</v>
      </c>
      <c r="FL138" s="1504">
        <v>38657</v>
      </c>
      <c r="FM138" s="19"/>
      <c r="FN138" s="93"/>
      <c r="FO138" s="93"/>
      <c r="FP138" s="93"/>
      <c r="FQ138" s="93"/>
      <c r="FR138" s="93"/>
      <c r="FS138" s="93"/>
      <c r="FT138" s="93"/>
      <c r="FU138" s="93"/>
      <c r="FV138" s="93"/>
      <c r="FW138" s="93"/>
      <c r="FX138" s="93"/>
      <c r="FY138" s="93"/>
      <c r="FZ138" s="29">
        <v>71</v>
      </c>
      <c r="GA138" s="1504">
        <v>38657</v>
      </c>
      <c r="GB138" s="19"/>
      <c r="GC138" s="93"/>
      <c r="GD138" s="93"/>
      <c r="GE138" s="93"/>
      <c r="GF138" s="93"/>
      <c r="GG138" s="93"/>
      <c r="GH138" s="93"/>
      <c r="GI138" s="93"/>
      <c r="GJ138" s="93"/>
      <c r="GK138" s="93"/>
      <c r="GL138" s="93"/>
      <c r="GM138" s="93"/>
      <c r="GN138" s="20"/>
      <c r="GO138" s="29">
        <v>71</v>
      </c>
      <c r="GP138" s="1504">
        <v>38657</v>
      </c>
      <c r="GQ138" s="19"/>
      <c r="GR138" s="93"/>
      <c r="GS138" s="93"/>
      <c r="GT138" s="93"/>
      <c r="GU138" s="93"/>
      <c r="GV138" s="20"/>
      <c r="GW138" s="19"/>
      <c r="GX138" s="93"/>
      <c r="GY138" s="93"/>
      <c r="GZ138" s="93"/>
      <c r="HA138" s="93"/>
      <c r="HB138" s="20"/>
      <c r="HC138" s="19"/>
      <c r="HD138" s="93"/>
      <c r="HE138" s="93"/>
      <c r="HF138" s="93"/>
      <c r="HG138" s="93"/>
      <c r="HH138" s="20"/>
      <c r="HI138" s="19"/>
      <c r="HJ138" s="93"/>
      <c r="HK138" s="93"/>
      <c r="HL138" s="93"/>
      <c r="HM138" s="93"/>
      <c r="HN138" s="20"/>
      <c r="HO138" s="219"/>
      <c r="HP138" s="20"/>
      <c r="HQ138" s="25"/>
      <c r="HR138" s="29">
        <v>71</v>
      </c>
      <c r="HS138" s="1504">
        <v>38657</v>
      </c>
      <c r="HT138" s="179">
        <v>219.48307418823242</v>
      </c>
      <c r="HU138" s="99">
        <v>191.09386825561523</v>
      </c>
      <c r="HV138" s="99">
        <v>146.25</v>
      </c>
      <c r="HW138" s="99"/>
      <c r="HX138" s="99">
        <v>123.21428871154785</v>
      </c>
      <c r="HY138" s="99">
        <v>168.56136322021484</v>
      </c>
      <c r="HZ138" s="99">
        <v>202.2417163848877</v>
      </c>
      <c r="IA138" s="132">
        <v>149.67742462158202</v>
      </c>
      <c r="IB138" s="179">
        <v>209.38628768920898</v>
      </c>
      <c r="IC138" s="99">
        <v>102.39361572265625</v>
      </c>
      <c r="ID138" s="99"/>
      <c r="IE138" s="99"/>
      <c r="IF138" s="99">
        <v>128.95569229125977</v>
      </c>
      <c r="IG138" s="132">
        <v>101.25</v>
      </c>
      <c r="IH138" s="179">
        <v>97.437319755554199</v>
      </c>
      <c r="II138" s="99">
        <v>177.60031890869141</v>
      </c>
      <c r="IJ138" s="99">
        <v>109.58333396911621</v>
      </c>
      <c r="IK138" s="99">
        <v>107.60073089599609</v>
      </c>
      <c r="IL138" s="99">
        <v>105.40221118927002</v>
      </c>
      <c r="IM138" s="99">
        <v>113.41852722167968</v>
      </c>
      <c r="IN138" s="93"/>
      <c r="IO138" s="132">
        <v>132.31980800628662</v>
      </c>
      <c r="IP138" s="29">
        <v>71</v>
      </c>
      <c r="IQ138" s="19"/>
      <c r="IR138" s="93"/>
      <c r="IS138" s="93"/>
      <c r="IT138" s="93"/>
      <c r="IU138" s="93"/>
      <c r="IV138" s="20"/>
      <c r="IW138" s="29">
        <v>71</v>
      </c>
      <c r="IX138" s="19"/>
      <c r="IY138" s="93"/>
      <c r="IZ138" s="93"/>
      <c r="JA138" s="93"/>
      <c r="JB138" s="93"/>
      <c r="JC138" s="93"/>
      <c r="JD138" s="93"/>
      <c r="JE138" s="20"/>
      <c r="JF138" s="29">
        <v>71</v>
      </c>
      <c r="JG138" s="19"/>
      <c r="JH138" s="93"/>
      <c r="JI138" s="93"/>
      <c r="JJ138" s="93"/>
      <c r="JK138" s="93"/>
      <c r="JL138" s="93"/>
      <c r="JM138" s="93"/>
      <c r="JN138" s="20"/>
      <c r="JO138" s="29">
        <v>71</v>
      </c>
      <c r="JP138" s="19"/>
      <c r="JQ138" s="93"/>
      <c r="JR138" s="93"/>
      <c r="JS138" s="93"/>
      <c r="JT138" s="93"/>
      <c r="JU138" s="20"/>
      <c r="JV138" s="29">
        <v>71</v>
      </c>
      <c r="JW138" s="1504">
        <v>38657</v>
      </c>
      <c r="JX138" s="19"/>
      <c r="JY138" s="93"/>
      <c r="JZ138" s="93"/>
      <c r="KA138" s="93"/>
      <c r="KB138" s="93"/>
      <c r="KC138" s="93"/>
      <c r="KD138" s="20"/>
      <c r="KE138" s="29">
        <v>71</v>
      </c>
      <c r="KF138" s="19"/>
      <c r="KG138" s="93"/>
      <c r="KH138" s="93"/>
      <c r="KI138" s="93"/>
      <c r="KJ138" s="93"/>
      <c r="KK138" s="20"/>
      <c r="KL138" s="29">
        <v>71</v>
      </c>
      <c r="KM138" s="19"/>
      <c r="KN138" s="93"/>
      <c r="KO138" s="93"/>
      <c r="KP138" s="93"/>
      <c r="KQ138" s="93"/>
      <c r="KR138" s="20"/>
      <c r="KS138" s="29">
        <v>71</v>
      </c>
      <c r="KT138" s="19"/>
      <c r="KU138" s="93"/>
      <c r="KV138" s="93"/>
      <c r="KW138" s="93"/>
      <c r="KX138" s="93"/>
      <c r="KY138" s="20"/>
      <c r="KZ138" s="29">
        <v>71</v>
      </c>
      <c r="LA138" s="1504">
        <v>38657</v>
      </c>
      <c r="LB138" s="19"/>
      <c r="LC138" s="93"/>
      <c r="LD138" s="93"/>
      <c r="LE138" s="93"/>
      <c r="LF138" s="93"/>
      <c r="LG138" s="93"/>
      <c r="LH138" s="20"/>
      <c r="LI138" s="29">
        <v>71</v>
      </c>
      <c r="LJ138" s="19"/>
      <c r="LK138" s="93"/>
      <c r="LL138" s="93"/>
      <c r="LM138" s="93"/>
      <c r="LN138" s="93"/>
      <c r="LO138" s="20"/>
      <c r="LP138" s="29">
        <v>71</v>
      </c>
      <c r="LQ138" s="19"/>
      <c r="LR138" s="93"/>
      <c r="LS138" s="93"/>
      <c r="LT138" s="93"/>
      <c r="LU138" s="93"/>
      <c r="LV138" s="93"/>
      <c r="LW138" s="93"/>
      <c r="LX138" s="93"/>
      <c r="LY138" s="93"/>
      <c r="LZ138" s="93"/>
      <c r="MA138" s="20"/>
      <c r="MB138" s="29">
        <v>71</v>
      </c>
      <c r="MC138" s="1504">
        <v>38657</v>
      </c>
      <c r="MD138" s="19"/>
      <c r="ME138" s="93"/>
      <c r="MF138" s="93"/>
      <c r="MG138" s="93"/>
      <c r="MH138" s="93"/>
      <c r="MI138" s="93"/>
      <c r="MJ138" s="93"/>
      <c r="MK138" s="93"/>
      <c r="ML138" s="93"/>
      <c r="MM138" s="93"/>
      <c r="MN138" s="93"/>
      <c r="MO138" s="93"/>
      <c r="MP138" s="93"/>
      <c r="MQ138" s="93"/>
      <c r="MR138" s="93"/>
      <c r="MS138" s="93"/>
      <c r="MT138" s="93"/>
      <c r="MU138" s="93"/>
      <c r="MV138" s="93"/>
      <c r="MW138" s="93"/>
      <c r="MX138" s="93"/>
      <c r="MY138" s="93"/>
      <c r="MZ138" s="93"/>
      <c r="NA138" s="93"/>
      <c r="NB138" s="93"/>
      <c r="NC138" s="93"/>
      <c r="ND138" s="93"/>
      <c r="NE138" s="93"/>
      <c r="NF138" s="93"/>
      <c r="NG138" s="93"/>
      <c r="NH138" s="93"/>
      <c r="NI138" s="93"/>
      <c r="NJ138" s="93"/>
      <c r="NK138" s="93"/>
      <c r="NL138" s="93"/>
      <c r="NM138" s="93"/>
      <c r="NN138" s="93"/>
      <c r="NO138" s="93"/>
      <c r="NP138" s="93"/>
      <c r="NQ138" s="93"/>
      <c r="NR138" s="93"/>
      <c r="NS138" s="93"/>
      <c r="NT138" s="93"/>
      <c r="NU138" s="93"/>
      <c r="NV138" s="93"/>
      <c r="NW138" s="93"/>
      <c r="NX138" s="93"/>
      <c r="NY138" s="93"/>
      <c r="NZ138" s="93"/>
      <c r="OA138" s="93"/>
      <c r="OB138" s="93"/>
      <c r="OC138" s="93"/>
      <c r="OD138" s="20"/>
      <c r="OE138" s="29">
        <v>71</v>
      </c>
      <c r="OF138" s="1504">
        <v>38657</v>
      </c>
      <c r="OG138" s="19"/>
      <c r="OH138" s="93">
        <v>138.51519999999999</v>
      </c>
      <c r="OI138" s="93">
        <v>238.1186369696849</v>
      </c>
      <c r="OJ138" s="93">
        <v>0.28400351099999999</v>
      </c>
      <c r="OK138" s="93">
        <v>192.4666334586849</v>
      </c>
      <c r="OL138" s="93">
        <v>45.368000000000002</v>
      </c>
      <c r="OM138" s="93">
        <v>376.63383696968492</v>
      </c>
      <c r="ON138" s="93">
        <v>192.84585231032779</v>
      </c>
      <c r="OO138" s="93">
        <v>569.47968928001274</v>
      </c>
      <c r="OP138" s="93"/>
      <c r="OQ138" s="93">
        <v>156.65970029253197</v>
      </c>
      <c r="OR138" s="93">
        <v>125.78763235699995</v>
      </c>
      <c r="OS138" s="93">
        <v>30.872067935532044</v>
      </c>
      <c r="OT138" s="93">
        <v>481.47604094548063</v>
      </c>
      <c r="OU138" s="93">
        <v>-12.348671876999994</v>
      </c>
      <c r="OV138" s="93">
        <v>63.382328123000001</v>
      </c>
      <c r="OW138" s="93">
        <v>-75.730999999999995</v>
      </c>
      <c r="OX138" s="93">
        <v>493.82471282248065</v>
      </c>
      <c r="OY138" s="93">
        <v>2.3312949890000003</v>
      </c>
      <c r="OZ138" s="93">
        <v>491.49341783348069</v>
      </c>
      <c r="PA138" s="93">
        <v>91.990463680000005</v>
      </c>
      <c r="PB138" s="93">
        <v>-23.334411721999992</v>
      </c>
      <c r="PC138" s="20">
        <v>569.47968928001262</v>
      </c>
      <c r="PD138" s="29">
        <v>71</v>
      </c>
      <c r="PE138" s="19"/>
      <c r="PF138" s="93">
        <v>125.78763235699995</v>
      </c>
      <c r="PG138" s="93">
        <v>485.94482708399994</v>
      </c>
      <c r="PH138" s="93">
        <v>360.15719472699999</v>
      </c>
      <c r="PI138" s="93">
        <v>1.1100000000000001</v>
      </c>
      <c r="PJ138" s="93">
        <v>63.382328123000001</v>
      </c>
      <c r="PK138" s="93">
        <v>90.176347898000003</v>
      </c>
      <c r="PL138" s="93">
        <v>26.794019775000002</v>
      </c>
      <c r="PM138" s="93">
        <v>2.3312949890000003</v>
      </c>
      <c r="PN138" s="93">
        <v>0</v>
      </c>
      <c r="PO138" s="93">
        <v>0</v>
      </c>
      <c r="PP138" s="93">
        <v>3.9156E-4</v>
      </c>
      <c r="PQ138" s="93">
        <v>2.3309034290000001</v>
      </c>
      <c r="PR138" s="93">
        <v>200.63023860199999</v>
      </c>
      <c r="PS138" s="93">
        <v>153.82919999999999</v>
      </c>
      <c r="PT138" s="93">
        <v>46.517035090999997</v>
      </c>
      <c r="PU138" s="93">
        <v>0.28400351099999999</v>
      </c>
      <c r="PV138" s="93">
        <v>0</v>
      </c>
      <c r="PW138" s="93">
        <v>0.61516132099999998</v>
      </c>
      <c r="PX138" s="93">
        <v>0</v>
      </c>
      <c r="PY138" s="93">
        <v>0</v>
      </c>
      <c r="PZ138" s="93">
        <v>0.61516132099999998</v>
      </c>
      <c r="QA138" s="93">
        <v>0</v>
      </c>
      <c r="QB138" s="93">
        <v>0</v>
      </c>
      <c r="QC138" s="93">
        <v>0</v>
      </c>
      <c r="QD138" s="93">
        <v>-8.3286976409999998</v>
      </c>
      <c r="QE138" s="20">
        <v>-0.30544681300000009</v>
      </c>
      <c r="QF138" s="1739">
        <v>71</v>
      </c>
      <c r="QG138" s="19"/>
      <c r="QH138" s="1035">
        <v>30.872067935532044</v>
      </c>
      <c r="QI138" s="1035">
        <v>129.44058216651936</v>
      </c>
      <c r="QJ138" s="1035">
        <v>-98.568514230987319</v>
      </c>
      <c r="QK138" s="1035">
        <v>55.838999999999999</v>
      </c>
      <c r="QL138" s="1035">
        <v>15.314</v>
      </c>
      <c r="QM138" s="1035">
        <v>40.524999999999999</v>
      </c>
      <c r="QN138" s="1035">
        <v>0</v>
      </c>
      <c r="QO138" s="1035">
        <v>-75.730999999999995</v>
      </c>
      <c r="QP138" s="1035">
        <v>16.177</v>
      </c>
      <c r="QQ138" s="1035">
        <v>-91.908000000000001</v>
      </c>
      <c r="QR138" s="1035">
        <v>491.49341783348069</v>
      </c>
      <c r="QS138" s="1035">
        <v>9.9575901467669574</v>
      </c>
      <c r="QT138" s="1035">
        <v>0</v>
      </c>
      <c r="QU138" s="1035">
        <v>65.891000000000005</v>
      </c>
      <c r="QV138" s="1035">
        <v>415.64482768671371</v>
      </c>
      <c r="QW138" s="93"/>
      <c r="QX138" s="93">
        <v>0.3</v>
      </c>
      <c r="QY138" s="93">
        <v>192.4666334586849</v>
      </c>
      <c r="QZ138" s="93">
        <v>192.84585231032776</v>
      </c>
      <c r="RA138" s="93">
        <v>0</v>
      </c>
      <c r="RB138" s="93">
        <v>15.044999999999998</v>
      </c>
      <c r="RC138" s="93">
        <v>0</v>
      </c>
      <c r="RD138" s="93">
        <v>6.024</v>
      </c>
      <c r="RE138" s="93">
        <v>0</v>
      </c>
      <c r="RF138" s="93">
        <v>0</v>
      </c>
      <c r="RG138" s="93">
        <v>78.635000000000005</v>
      </c>
      <c r="RH138" s="93">
        <v>17.157000000000011</v>
      </c>
      <c r="RI138" s="93"/>
      <c r="RJ138" s="93"/>
      <c r="RK138" s="93"/>
      <c r="RL138" s="93"/>
      <c r="RM138" s="20"/>
      <c r="RN138" s="29">
        <v>71</v>
      </c>
      <c r="RO138" s="19"/>
      <c r="RP138" s="20"/>
      <c r="RQ138" s="29">
        <v>71</v>
      </c>
      <c r="RR138" s="20"/>
      <c r="RS138" s="29">
        <v>71</v>
      </c>
      <c r="RT138" s="1504">
        <v>38657</v>
      </c>
      <c r="RU138" s="19"/>
      <c r="RV138" s="20"/>
      <c r="RW138" s="29">
        <v>71</v>
      </c>
      <c r="RX138" s="1504">
        <v>38657</v>
      </c>
      <c r="RY138" s="29"/>
      <c r="RZ138" s="20"/>
      <c r="SA138" s="29"/>
      <c r="SB138" s="29">
        <v>71</v>
      </c>
    </row>
    <row r="139" spans="1:496">
      <c r="A139" s="41">
        <f t="shared" si="191"/>
        <v>2005</v>
      </c>
      <c r="B139" s="1504">
        <v>38687</v>
      </c>
      <c r="C139" s="1813"/>
      <c r="D139" s="1814"/>
      <c r="E139" s="1814"/>
      <c r="F139" s="1815"/>
      <c r="G139" s="1814"/>
      <c r="H139" s="1814"/>
      <c r="I139" s="1814"/>
      <c r="J139" s="1816"/>
      <c r="K139" s="1807"/>
      <c r="L139" s="25">
        <v>72</v>
      </c>
      <c r="M139" s="97"/>
      <c r="N139" s="1504">
        <v>38687</v>
      </c>
      <c r="O139" s="19"/>
      <c r="P139" s="93"/>
      <c r="Q139" s="93"/>
      <c r="R139" s="93"/>
      <c r="S139" s="93"/>
      <c r="T139" s="93"/>
      <c r="U139" s="93"/>
      <c r="V139" s="93"/>
      <c r="W139" s="93"/>
      <c r="X139" s="93"/>
      <c r="Y139" s="93"/>
      <c r="Z139" s="93"/>
      <c r="AA139" s="93"/>
      <c r="AB139" s="20"/>
      <c r="AC139" s="25">
        <v>72</v>
      </c>
      <c r="AD139" s="97"/>
      <c r="AE139" s="1504">
        <v>38687</v>
      </c>
      <c r="AF139" s="19"/>
      <c r="AG139" s="93"/>
      <c r="AH139" s="93"/>
      <c r="AI139" s="93"/>
      <c r="AJ139" s="93"/>
      <c r="AK139" s="93"/>
      <c r="AL139" s="93"/>
      <c r="AM139" s="93"/>
      <c r="AN139" s="93"/>
      <c r="AO139" s="93"/>
      <c r="AP139" s="93"/>
      <c r="AQ139" s="93"/>
      <c r="AR139" s="93"/>
      <c r="AS139" s="20"/>
      <c r="AT139" s="25">
        <v>72</v>
      </c>
      <c r="AU139" s="97"/>
      <c r="AV139" s="1504">
        <v>38687</v>
      </c>
      <c r="AW139" s="19"/>
      <c r="AX139" s="93"/>
      <c r="AY139" s="93"/>
      <c r="AZ139" s="93"/>
      <c r="BA139" s="93"/>
      <c r="BB139" s="93"/>
      <c r="BC139" s="93"/>
      <c r="BD139" s="93"/>
      <c r="BE139" s="93"/>
      <c r="BF139" s="93"/>
      <c r="BG139" s="93"/>
      <c r="BH139" s="93"/>
      <c r="BI139" s="93"/>
      <c r="BJ139" s="20"/>
      <c r="BK139" s="25">
        <v>72</v>
      </c>
      <c r="BL139" s="97"/>
      <c r="BM139" s="1504">
        <v>38687</v>
      </c>
      <c r="BN139" s="19"/>
      <c r="BO139" s="93"/>
      <c r="BP139" s="93"/>
      <c r="BQ139" s="93"/>
      <c r="BR139" s="93"/>
      <c r="BS139" s="93"/>
      <c r="BT139" s="93"/>
      <c r="BU139" s="20"/>
      <c r="BV139" s="25">
        <v>72</v>
      </c>
      <c r="BW139" s="97"/>
      <c r="BX139" s="1504">
        <v>38687</v>
      </c>
      <c r="BY139" s="19"/>
      <c r="BZ139" s="99">
        <v>664.95699999999999</v>
      </c>
      <c r="CA139" s="93"/>
      <c r="CB139" s="93"/>
      <c r="CC139" s="93"/>
      <c r="CD139" s="25">
        <v>72</v>
      </c>
      <c r="CE139" s="97"/>
      <c r="CF139" s="1504">
        <v>38687</v>
      </c>
      <c r="CG139" s="19">
        <v>1.2493781960000001</v>
      </c>
      <c r="CH139" s="93">
        <v>510.09699999999998</v>
      </c>
      <c r="CI139" s="219"/>
      <c r="CJ139" s="20"/>
      <c r="CK139" s="19"/>
      <c r="CL139" s="93"/>
      <c r="CM139" s="93"/>
      <c r="CN139" s="93"/>
      <c r="CO139" s="93"/>
      <c r="CP139" s="20"/>
      <c r="CQ139" s="219">
        <v>1036.17</v>
      </c>
      <c r="CR139" s="93">
        <v>1.51</v>
      </c>
      <c r="CS139" s="93"/>
      <c r="CT139" s="93"/>
      <c r="CU139" s="93"/>
      <c r="CV139" s="214"/>
      <c r="CW139" s="29">
        <v>72</v>
      </c>
      <c r="CX139" s="41">
        <f t="shared" si="192"/>
        <v>2005</v>
      </c>
      <c r="CY139" s="1504">
        <v>38687</v>
      </c>
      <c r="CZ139" s="1916">
        <v>44.203783999999999</v>
      </c>
      <c r="DA139" s="1526">
        <v>27.691268000000001</v>
      </c>
      <c r="DB139" s="1526">
        <v>16.512516000000002</v>
      </c>
      <c r="DC139" s="182">
        <v>256493</v>
      </c>
      <c r="DD139" s="182">
        <v>255738</v>
      </c>
      <c r="DE139" s="290">
        <v>755</v>
      </c>
      <c r="DF139" s="29">
        <v>72</v>
      </c>
      <c r="DG139" s="1504">
        <v>38687</v>
      </c>
      <c r="DH139" s="19"/>
      <c r="DI139" s="93"/>
      <c r="DJ139" s="93"/>
      <c r="DK139" s="93"/>
      <c r="DL139" s="93"/>
      <c r="DM139" s="93"/>
      <c r="DN139" s="20"/>
      <c r="DO139" s="25"/>
      <c r="DP139" s="29">
        <v>72</v>
      </c>
      <c r="DQ139" s="1504">
        <v>38687</v>
      </c>
      <c r="DR139" s="19"/>
      <c r="DS139" s="93"/>
      <c r="DT139" s="93"/>
      <c r="DU139" s="93"/>
      <c r="DV139" s="93"/>
      <c r="DW139" s="93"/>
      <c r="DX139" s="20"/>
      <c r="DY139" s="29">
        <v>72</v>
      </c>
      <c r="DZ139" s="1504">
        <v>38687</v>
      </c>
      <c r="EA139" s="19"/>
      <c r="EB139" s="93"/>
      <c r="EC139" s="20"/>
      <c r="ED139" s="29">
        <v>72</v>
      </c>
      <c r="EE139" s="1504">
        <v>38687</v>
      </c>
      <c r="EF139" s="19"/>
      <c r="EG139" s="93"/>
      <c r="EH139" s="93"/>
      <c r="EI139" s="214"/>
      <c r="EJ139" s="93"/>
      <c r="EK139" s="93"/>
      <c r="EL139" s="93"/>
      <c r="EM139" s="93"/>
      <c r="EN139" s="20"/>
      <c r="EO139" s="29">
        <v>72</v>
      </c>
      <c r="EP139" s="1504">
        <v>38687</v>
      </c>
      <c r="EQ139" s="19"/>
      <c r="ER139" s="93"/>
      <c r="ES139" s="93"/>
      <c r="ET139" s="214"/>
      <c r="EU139" s="93"/>
      <c r="EV139" s="93"/>
      <c r="EW139" s="93"/>
      <c r="EX139" s="93"/>
      <c r="EY139" s="20"/>
      <c r="EZ139" s="29">
        <v>72</v>
      </c>
      <c r="FA139" s="1504">
        <v>38687</v>
      </c>
      <c r="FB139" s="29"/>
      <c r="FC139" s="29"/>
      <c r="FD139" s="29"/>
      <c r="FE139" s="29"/>
      <c r="FF139" s="29"/>
      <c r="FG139" s="29"/>
      <c r="FH139" s="29"/>
      <c r="FI139" s="29"/>
      <c r="FJ139" s="29"/>
      <c r="FK139" s="29">
        <v>72</v>
      </c>
      <c r="FL139" s="1504">
        <v>38687</v>
      </c>
      <c r="FM139" s="19"/>
      <c r="FN139" s="93"/>
      <c r="FO139" s="93"/>
      <c r="FP139" s="93"/>
      <c r="FQ139" s="93"/>
      <c r="FR139" s="93"/>
      <c r="FS139" s="93"/>
      <c r="FT139" s="93"/>
      <c r="FU139" s="93"/>
      <c r="FV139" s="93"/>
      <c r="FW139" s="93"/>
      <c r="FX139" s="93"/>
      <c r="FY139" s="93"/>
      <c r="FZ139" s="29">
        <v>72</v>
      </c>
      <c r="GA139" s="1504">
        <v>38687</v>
      </c>
      <c r="GB139" s="19"/>
      <c r="GC139" s="93"/>
      <c r="GD139" s="93"/>
      <c r="GE139" s="93"/>
      <c r="GF139" s="93"/>
      <c r="GG139" s="93"/>
      <c r="GH139" s="93"/>
      <c r="GI139" s="93"/>
      <c r="GJ139" s="93"/>
      <c r="GK139" s="93"/>
      <c r="GL139" s="93"/>
      <c r="GM139" s="93"/>
      <c r="GN139" s="20"/>
      <c r="GO139" s="29">
        <v>72</v>
      </c>
      <c r="GP139" s="1504">
        <v>38687</v>
      </c>
      <c r="GQ139" s="19"/>
      <c r="GR139" s="93"/>
      <c r="GS139" s="93"/>
      <c r="GT139" s="93"/>
      <c r="GU139" s="93"/>
      <c r="GV139" s="20"/>
      <c r="GW139" s="19"/>
      <c r="GX139" s="93"/>
      <c r="GY139" s="93"/>
      <c r="GZ139" s="93"/>
      <c r="HA139" s="93"/>
      <c r="HB139" s="20"/>
      <c r="HC139" s="19"/>
      <c r="HD139" s="93"/>
      <c r="HE139" s="93"/>
      <c r="HF139" s="93"/>
      <c r="HG139" s="93"/>
      <c r="HH139" s="20"/>
      <c r="HI139" s="19"/>
      <c r="HJ139" s="93"/>
      <c r="HK139" s="93"/>
      <c r="HL139" s="93"/>
      <c r="HM139" s="93"/>
      <c r="HN139" s="20"/>
      <c r="HO139" s="219"/>
      <c r="HP139" s="20"/>
      <c r="HQ139" s="25"/>
      <c r="HR139" s="29">
        <v>72</v>
      </c>
      <c r="HS139" s="1504">
        <v>38687</v>
      </c>
      <c r="HT139" s="179">
        <v>156.67494010925293</v>
      </c>
      <c r="HU139" s="99">
        <v>182.27117919921875</v>
      </c>
      <c r="HV139" s="99">
        <v>138.39286041259766</v>
      </c>
      <c r="HW139" s="99"/>
      <c r="HX139" s="99">
        <v>108.16497993469238</v>
      </c>
      <c r="HY139" s="99">
        <v>130.19315719604492</v>
      </c>
      <c r="HZ139" s="99">
        <v>187.66340637207031</v>
      </c>
      <c r="IA139" s="132">
        <v>118.14516448974609</v>
      </c>
      <c r="IB139" s="179">
        <v>122.73102569580078</v>
      </c>
      <c r="IC139" s="99">
        <v>91.800356547037765</v>
      </c>
      <c r="ID139" s="99"/>
      <c r="IE139" s="99"/>
      <c r="IF139" s="99">
        <v>131.25</v>
      </c>
      <c r="IG139" s="132">
        <v>98.125</v>
      </c>
      <c r="IH139" s="179">
        <v>101.01730537414551</v>
      </c>
      <c r="II139" s="99">
        <v>190.13909149169922</v>
      </c>
      <c r="IJ139" s="99">
        <v>120.37356185913086</v>
      </c>
      <c r="IK139" s="99">
        <v>112.81588745117188</v>
      </c>
      <c r="IL139" s="99">
        <v>104.22611312866211</v>
      </c>
      <c r="IM139" s="99">
        <v>119.39459228515625</v>
      </c>
      <c r="IN139" s="93"/>
      <c r="IO139" s="132">
        <v>132.43760013580322</v>
      </c>
      <c r="IP139" s="29">
        <v>72</v>
      </c>
      <c r="IQ139" s="19"/>
      <c r="IR139" s="93"/>
      <c r="IS139" s="93"/>
      <c r="IT139" s="93"/>
      <c r="IU139" s="93"/>
      <c r="IV139" s="20"/>
      <c r="IW139" s="29">
        <v>72</v>
      </c>
      <c r="IX139" s="19"/>
      <c r="IY139" s="93"/>
      <c r="IZ139" s="93"/>
      <c r="JA139" s="93"/>
      <c r="JB139" s="93"/>
      <c r="JC139" s="93"/>
      <c r="JD139" s="93"/>
      <c r="JE139" s="20"/>
      <c r="JF139" s="29">
        <v>72</v>
      </c>
      <c r="JG139" s="19"/>
      <c r="JH139" s="93"/>
      <c r="JI139" s="93"/>
      <c r="JJ139" s="93"/>
      <c r="JK139" s="93"/>
      <c r="JL139" s="93"/>
      <c r="JM139" s="93"/>
      <c r="JN139" s="20"/>
      <c r="JO139" s="29">
        <v>72</v>
      </c>
      <c r="JP139" s="19"/>
      <c r="JQ139" s="93"/>
      <c r="JR139" s="93"/>
      <c r="JS139" s="93"/>
      <c r="JT139" s="93"/>
      <c r="JU139" s="20"/>
      <c r="JV139" s="29">
        <v>72</v>
      </c>
      <c r="JW139" s="1504">
        <v>38687</v>
      </c>
      <c r="JX139" s="19"/>
      <c r="JY139" s="93"/>
      <c r="JZ139" s="93"/>
      <c r="KA139" s="93"/>
      <c r="KB139" s="93"/>
      <c r="KC139" s="93"/>
      <c r="KD139" s="20"/>
      <c r="KE139" s="29">
        <v>72</v>
      </c>
      <c r="KF139" s="19"/>
      <c r="KG139" s="93"/>
      <c r="KH139" s="93"/>
      <c r="KI139" s="93"/>
      <c r="KJ139" s="93"/>
      <c r="KK139" s="20"/>
      <c r="KL139" s="29">
        <v>72</v>
      </c>
      <c r="KM139" s="19"/>
      <c r="KN139" s="93"/>
      <c r="KO139" s="93"/>
      <c r="KP139" s="93"/>
      <c r="KQ139" s="93"/>
      <c r="KR139" s="20"/>
      <c r="KS139" s="29">
        <v>72</v>
      </c>
      <c r="KT139" s="19"/>
      <c r="KU139" s="93"/>
      <c r="KV139" s="93"/>
      <c r="KW139" s="93"/>
      <c r="KX139" s="93"/>
      <c r="KY139" s="20"/>
      <c r="KZ139" s="29">
        <v>72</v>
      </c>
      <c r="LA139" s="1504">
        <v>38687</v>
      </c>
      <c r="LB139" s="19"/>
      <c r="LC139" s="93"/>
      <c r="LD139" s="93"/>
      <c r="LE139" s="93"/>
      <c r="LF139" s="93"/>
      <c r="LG139" s="93"/>
      <c r="LH139" s="20"/>
      <c r="LI139" s="29">
        <v>72</v>
      </c>
      <c r="LJ139" s="19"/>
      <c r="LK139" s="93"/>
      <c r="LL139" s="93"/>
      <c r="LM139" s="93"/>
      <c r="LN139" s="93"/>
      <c r="LO139" s="20"/>
      <c r="LP139" s="29">
        <v>72</v>
      </c>
      <c r="LQ139" s="19"/>
      <c r="LR139" s="93"/>
      <c r="LS139" s="93"/>
      <c r="LT139" s="93"/>
      <c r="LU139" s="93"/>
      <c r="LV139" s="93"/>
      <c r="LW139" s="93"/>
      <c r="LX139" s="93"/>
      <c r="LY139" s="93"/>
      <c r="LZ139" s="93"/>
      <c r="MA139" s="20"/>
      <c r="MB139" s="29">
        <v>72</v>
      </c>
      <c r="MC139" s="1504">
        <v>38687</v>
      </c>
      <c r="MD139" s="19"/>
      <c r="ME139" s="93"/>
      <c r="MF139" s="93"/>
      <c r="MG139" s="93"/>
      <c r="MH139" s="93"/>
      <c r="MI139" s="93"/>
      <c r="MJ139" s="93"/>
      <c r="MK139" s="93"/>
      <c r="ML139" s="93"/>
      <c r="MM139" s="93"/>
      <c r="MN139" s="93"/>
      <c r="MO139" s="93"/>
      <c r="MP139" s="93"/>
      <c r="MQ139" s="93"/>
      <c r="MR139" s="93"/>
      <c r="MS139" s="93"/>
      <c r="MT139" s="93"/>
      <c r="MU139" s="93"/>
      <c r="MV139" s="93"/>
      <c r="MW139" s="93"/>
      <c r="MX139" s="93"/>
      <c r="MY139" s="93"/>
      <c r="MZ139" s="93"/>
      <c r="NA139" s="93"/>
      <c r="NB139" s="93"/>
      <c r="NC139" s="93"/>
      <c r="ND139" s="93"/>
      <c r="NE139" s="93"/>
      <c r="NF139" s="93"/>
      <c r="NG139" s="93"/>
      <c r="NH139" s="93"/>
      <c r="NI139" s="93"/>
      <c r="NJ139" s="93"/>
      <c r="NK139" s="93"/>
      <c r="NL139" s="93"/>
      <c r="NM139" s="93"/>
      <c r="NN139" s="93"/>
      <c r="NO139" s="93"/>
      <c r="NP139" s="93"/>
      <c r="NQ139" s="93"/>
      <c r="NR139" s="93"/>
      <c r="NS139" s="93"/>
      <c r="NT139" s="93"/>
      <c r="NU139" s="93"/>
      <c r="NV139" s="93"/>
      <c r="NW139" s="93"/>
      <c r="NX139" s="93"/>
      <c r="NY139" s="93"/>
      <c r="NZ139" s="93"/>
      <c r="OA139" s="93"/>
      <c r="OB139" s="93"/>
      <c r="OC139" s="93"/>
      <c r="OD139" s="20"/>
      <c r="OE139" s="29">
        <v>72</v>
      </c>
      <c r="OF139" s="1504">
        <v>38687</v>
      </c>
      <c r="OG139" s="19"/>
      <c r="OH139" s="93">
        <v>154.95230000000001</v>
      </c>
      <c r="OI139" s="93">
        <v>236.90163201353178</v>
      </c>
      <c r="OJ139" s="93">
        <v>0.29480402099999997</v>
      </c>
      <c r="OK139" s="93">
        <v>191.55552799253178</v>
      </c>
      <c r="OL139" s="93">
        <v>45.051300000000005</v>
      </c>
      <c r="OM139" s="93">
        <v>391.85393201353179</v>
      </c>
      <c r="ON139" s="93">
        <v>190.31342795359132</v>
      </c>
      <c r="OO139" s="93">
        <v>582.16735996712305</v>
      </c>
      <c r="OP139" s="93"/>
      <c r="OQ139" s="93">
        <v>183.07515582600104</v>
      </c>
      <c r="OR139" s="93">
        <v>155.69303998300006</v>
      </c>
      <c r="OS139" s="93">
        <v>27.382115843000975</v>
      </c>
      <c r="OT139" s="93">
        <v>476.78580873712212</v>
      </c>
      <c r="OU139" s="93">
        <v>-36.558504461000005</v>
      </c>
      <c r="OV139" s="93">
        <v>37.696495539000004</v>
      </c>
      <c r="OW139" s="93">
        <v>-74.25500000000001</v>
      </c>
      <c r="OX139" s="93">
        <v>513.34431319812211</v>
      </c>
      <c r="OY139" s="93">
        <v>2.297473095</v>
      </c>
      <c r="OZ139" s="93">
        <v>511.04684010312212</v>
      </c>
      <c r="PA139" s="93">
        <v>91.315109753000002</v>
      </c>
      <c r="PB139" s="93">
        <v>-13.621505157000009</v>
      </c>
      <c r="PC139" s="20">
        <v>582.16735996712316</v>
      </c>
      <c r="PD139" s="29">
        <v>72</v>
      </c>
      <c r="PE139" s="19"/>
      <c r="PF139" s="93">
        <v>155.69303998300006</v>
      </c>
      <c r="PG139" s="93">
        <v>522.28373829700001</v>
      </c>
      <c r="PH139" s="93">
        <v>366.59069831399995</v>
      </c>
      <c r="PI139" s="93">
        <v>1.110246667</v>
      </c>
      <c r="PJ139" s="93">
        <v>37.696495539000004</v>
      </c>
      <c r="PK139" s="93">
        <v>88.243640869000004</v>
      </c>
      <c r="PL139" s="93">
        <v>50.547145329999999</v>
      </c>
      <c r="PM139" s="93">
        <v>2.297473095</v>
      </c>
      <c r="PN139" s="93">
        <v>0</v>
      </c>
      <c r="PO139" s="93">
        <v>0</v>
      </c>
      <c r="PP139" s="93">
        <v>7.3298099999999995E-4</v>
      </c>
      <c r="PQ139" s="93">
        <v>2.2967401139999999</v>
      </c>
      <c r="PR139" s="93">
        <v>202.897076591</v>
      </c>
      <c r="PS139" s="93">
        <v>169.99930000000001</v>
      </c>
      <c r="PT139" s="93">
        <v>32.602972569999999</v>
      </c>
      <c r="PU139" s="93">
        <v>0.29480402099999997</v>
      </c>
      <c r="PV139" s="93">
        <v>0</v>
      </c>
      <c r="PW139" s="93">
        <v>0.39770642099999998</v>
      </c>
      <c r="PX139" s="93">
        <v>0</v>
      </c>
      <c r="PY139" s="93">
        <v>0</v>
      </c>
      <c r="PZ139" s="93">
        <v>0.39770642099999998</v>
      </c>
      <c r="QA139" s="93">
        <v>0</v>
      </c>
      <c r="QB139" s="93">
        <v>0</v>
      </c>
      <c r="QC139" s="93">
        <v>0</v>
      </c>
      <c r="QD139" s="93">
        <v>-6.7125966679999998</v>
      </c>
      <c r="QE139" s="20">
        <v>0.21506893999999996</v>
      </c>
      <c r="QF139" s="1739">
        <v>72</v>
      </c>
      <c r="QG139" s="19"/>
      <c r="QH139" s="1035">
        <v>27.382115843000975</v>
      </c>
      <c r="QI139" s="1035">
        <v>128.40515989687785</v>
      </c>
      <c r="QJ139" s="1035">
        <v>-101.02304405387687</v>
      </c>
      <c r="QK139" s="1035">
        <v>45.368000000000002</v>
      </c>
      <c r="QL139" s="1035">
        <v>15.047000000000001</v>
      </c>
      <c r="QM139" s="1035">
        <v>30.321000000000002</v>
      </c>
      <c r="QN139" s="1035">
        <v>0</v>
      </c>
      <c r="QO139" s="1035">
        <v>-74.25500000000001</v>
      </c>
      <c r="QP139" s="1035">
        <v>16.681000000000001</v>
      </c>
      <c r="QQ139" s="1035">
        <v>-90.936000000000007</v>
      </c>
      <c r="QR139" s="1035">
        <v>511.04684010312212</v>
      </c>
      <c r="QS139" s="1035">
        <v>8.7193641331181819</v>
      </c>
      <c r="QT139" s="1035">
        <v>0</v>
      </c>
      <c r="QU139" s="1035">
        <v>73.731999999999999</v>
      </c>
      <c r="QV139" s="1035">
        <v>428.59547597000397</v>
      </c>
      <c r="QW139" s="93"/>
      <c r="QX139" s="93">
        <v>0.44800000000000001</v>
      </c>
      <c r="QY139" s="93">
        <v>191.55552799253181</v>
      </c>
      <c r="QZ139" s="93">
        <v>190.31342795359132</v>
      </c>
      <c r="RA139" s="93">
        <v>0</v>
      </c>
      <c r="RB139" s="93">
        <v>13.145</v>
      </c>
      <c r="RC139" s="93">
        <v>0</v>
      </c>
      <c r="RD139" s="93">
        <v>8.4649999999999999</v>
      </c>
      <c r="RE139" s="93">
        <v>0</v>
      </c>
      <c r="RF139" s="93">
        <v>0</v>
      </c>
      <c r="RG139" s="93">
        <v>76.02</v>
      </c>
      <c r="RH139" s="93">
        <v>29.594999999999999</v>
      </c>
      <c r="RI139" s="93"/>
      <c r="RJ139" s="93"/>
      <c r="RK139" s="93"/>
      <c r="RL139" s="93"/>
      <c r="RM139" s="20"/>
      <c r="RN139" s="29">
        <v>72</v>
      </c>
      <c r="RO139" s="19"/>
      <c r="RP139" s="20"/>
      <c r="RQ139" s="29">
        <v>72</v>
      </c>
      <c r="RR139" s="20"/>
      <c r="RS139" s="29">
        <v>72</v>
      </c>
      <c r="RT139" s="1504">
        <v>38687</v>
      </c>
      <c r="RU139" s="19"/>
      <c r="RV139" s="20"/>
      <c r="RW139" s="29">
        <v>72</v>
      </c>
      <c r="RX139" s="1504">
        <v>38687</v>
      </c>
      <c r="RY139" s="29"/>
      <c r="RZ139" s="20"/>
      <c r="SA139" s="29"/>
      <c r="SB139" s="29">
        <v>72</v>
      </c>
    </row>
    <row r="140" spans="1:496">
      <c r="A140" s="41">
        <f t="shared" si="191"/>
        <v>2006</v>
      </c>
      <c r="B140" s="1504">
        <v>38718</v>
      </c>
      <c r="C140" s="1813"/>
      <c r="D140" s="1814"/>
      <c r="E140" s="1814"/>
      <c r="F140" s="1815"/>
      <c r="G140" s="1814"/>
      <c r="H140" s="1814"/>
      <c r="I140" s="1814"/>
      <c r="J140" s="1816"/>
      <c r="K140" s="1807"/>
      <c r="L140" s="25">
        <v>73</v>
      </c>
      <c r="M140" s="97"/>
      <c r="N140" s="1504">
        <v>38718</v>
      </c>
      <c r="O140" s="19"/>
      <c r="P140" s="93"/>
      <c r="Q140" s="93"/>
      <c r="R140" s="93"/>
      <c r="S140" s="93"/>
      <c r="T140" s="93"/>
      <c r="U140" s="93"/>
      <c r="V140" s="93"/>
      <c r="W140" s="93"/>
      <c r="X140" s="93"/>
      <c r="Y140" s="93"/>
      <c r="Z140" s="93"/>
      <c r="AA140" s="93"/>
      <c r="AB140" s="20"/>
      <c r="AC140" s="25">
        <v>73</v>
      </c>
      <c r="AD140" s="97"/>
      <c r="AE140" s="1504">
        <v>38718</v>
      </c>
      <c r="AF140" s="19"/>
      <c r="AG140" s="93"/>
      <c r="AH140" s="93"/>
      <c r="AI140" s="93"/>
      <c r="AJ140" s="93"/>
      <c r="AK140" s="93"/>
      <c r="AL140" s="93"/>
      <c r="AM140" s="93"/>
      <c r="AN140" s="93"/>
      <c r="AO140" s="93"/>
      <c r="AP140" s="93"/>
      <c r="AQ140" s="93"/>
      <c r="AR140" s="93"/>
      <c r="AS140" s="20"/>
      <c r="AT140" s="25">
        <v>73</v>
      </c>
      <c r="AU140" s="97"/>
      <c r="AV140" s="1504">
        <v>38718</v>
      </c>
      <c r="AW140" s="19"/>
      <c r="AX140" s="93"/>
      <c r="AY140" s="93"/>
      <c r="AZ140" s="93"/>
      <c r="BA140" s="93"/>
      <c r="BB140" s="93"/>
      <c r="BC140" s="93"/>
      <c r="BD140" s="93"/>
      <c r="BE140" s="93"/>
      <c r="BF140" s="93"/>
      <c r="BG140" s="93"/>
      <c r="BH140" s="93"/>
      <c r="BI140" s="93"/>
      <c r="BJ140" s="20"/>
      <c r="BK140" s="25">
        <v>73</v>
      </c>
      <c r="BL140" s="97"/>
      <c r="BM140" s="1504">
        <v>38718</v>
      </c>
      <c r="BN140" s="19"/>
      <c r="BO140" s="93"/>
      <c r="BP140" s="93"/>
      <c r="BQ140" s="93"/>
      <c r="BR140" s="93"/>
      <c r="BS140" s="93"/>
      <c r="BT140" s="93"/>
      <c r="BU140" s="20"/>
      <c r="BV140" s="25">
        <v>73</v>
      </c>
      <c r="BW140" s="97"/>
      <c r="BX140" s="1504">
        <v>38718</v>
      </c>
      <c r="BY140" s="19"/>
      <c r="BZ140" s="99">
        <v>664.95699999999999</v>
      </c>
      <c r="CA140" s="93"/>
      <c r="CB140" s="93"/>
      <c r="CC140" s="93"/>
      <c r="CD140" s="25">
        <v>73</v>
      </c>
      <c r="CE140" s="97"/>
      <c r="CF140" s="1504">
        <v>38718</v>
      </c>
      <c r="CG140" s="19">
        <v>1.2863957699999999</v>
      </c>
      <c r="CH140" s="93">
        <v>549.86400000000003</v>
      </c>
      <c r="CI140" s="219"/>
      <c r="CJ140" s="20"/>
      <c r="CK140" s="19"/>
      <c r="CL140" s="93"/>
      <c r="CM140" s="93"/>
      <c r="CN140" s="93"/>
      <c r="CO140" s="93"/>
      <c r="CP140" s="20"/>
      <c r="CQ140" s="219">
        <v>1029.1600000000001</v>
      </c>
      <c r="CR140" s="93">
        <v>1.68</v>
      </c>
      <c r="CS140" s="93"/>
      <c r="CT140" s="93"/>
      <c r="CU140" s="93"/>
      <c r="CV140" s="214"/>
      <c r="CW140" s="29">
        <v>73</v>
      </c>
      <c r="CX140" s="41">
        <f t="shared" si="192"/>
        <v>2006</v>
      </c>
      <c r="CY140" s="1504">
        <v>38718</v>
      </c>
      <c r="CZ140" s="1916">
        <v>45.646540999999999</v>
      </c>
      <c r="DA140" s="1526">
        <v>27.262377000000001</v>
      </c>
      <c r="DB140" s="1526">
        <v>18.384163999999998</v>
      </c>
      <c r="DC140" s="182">
        <f t="shared" ref="DC140:DC149" si="193">DC141</f>
        <v>283908</v>
      </c>
      <c r="DD140" s="182">
        <f t="shared" ref="DD140:DD150" si="194">DD141</f>
        <v>283111</v>
      </c>
      <c r="DE140" s="182">
        <f t="shared" ref="DE140:DE150" si="195">DE141</f>
        <v>797</v>
      </c>
      <c r="DF140" s="29">
        <v>73</v>
      </c>
      <c r="DG140" s="1504">
        <v>38718</v>
      </c>
      <c r="DH140" s="19"/>
      <c r="DI140" s="93"/>
      <c r="DJ140" s="93"/>
      <c r="DK140" s="93"/>
      <c r="DL140" s="93"/>
      <c r="DM140" s="93"/>
      <c r="DN140" s="20"/>
      <c r="DO140" s="25"/>
      <c r="DP140" s="29">
        <v>73</v>
      </c>
      <c r="DQ140" s="1504">
        <v>38718</v>
      </c>
      <c r="DR140" s="19"/>
      <c r="DS140" s="93"/>
      <c r="DT140" s="93"/>
      <c r="DU140" s="93"/>
      <c r="DV140" s="93"/>
      <c r="DW140" s="93"/>
      <c r="DX140" s="20"/>
      <c r="DY140" s="29">
        <v>73</v>
      </c>
      <c r="DZ140" s="1504">
        <v>38718</v>
      </c>
      <c r="EA140" s="19"/>
      <c r="EB140" s="93"/>
      <c r="EC140" s="20"/>
      <c r="ED140" s="29">
        <v>73</v>
      </c>
      <c r="EE140" s="1504">
        <v>38718</v>
      </c>
      <c r="EF140" s="19"/>
      <c r="EG140" s="93"/>
      <c r="EH140" s="93"/>
      <c r="EI140" s="214"/>
      <c r="EJ140" s="93"/>
      <c r="EK140" s="93"/>
      <c r="EL140" s="93"/>
      <c r="EM140" s="93"/>
      <c r="EN140" s="20"/>
      <c r="EO140" s="29">
        <v>73</v>
      </c>
      <c r="EP140" s="1504">
        <v>38718</v>
      </c>
      <c r="EQ140" s="19"/>
      <c r="ER140" s="93"/>
      <c r="ES140" s="93"/>
      <c r="ET140" s="214"/>
      <c r="EU140" s="93"/>
      <c r="EV140" s="93"/>
      <c r="EW140" s="93"/>
      <c r="EX140" s="93"/>
      <c r="EY140" s="20"/>
      <c r="EZ140" s="29">
        <v>73</v>
      </c>
      <c r="FA140" s="1504">
        <v>38718</v>
      </c>
      <c r="FB140" s="29"/>
      <c r="FC140" s="29"/>
      <c r="FD140" s="29"/>
      <c r="FE140" s="29"/>
      <c r="FF140" s="29"/>
      <c r="FG140" s="29"/>
      <c r="FH140" s="29"/>
      <c r="FI140" s="29"/>
      <c r="FJ140" s="29"/>
      <c r="FK140" s="29">
        <v>73</v>
      </c>
      <c r="FL140" s="1504">
        <v>38718</v>
      </c>
      <c r="FM140" s="19"/>
      <c r="FN140" s="93"/>
      <c r="FO140" s="93"/>
      <c r="FP140" s="93"/>
      <c r="FQ140" s="93"/>
      <c r="FR140" s="93"/>
      <c r="FS140" s="93"/>
      <c r="FT140" s="93"/>
      <c r="FU140" s="93"/>
      <c r="FV140" s="93"/>
      <c r="FW140" s="93"/>
      <c r="FX140" s="93"/>
      <c r="FY140" s="93"/>
      <c r="FZ140" s="29">
        <v>73</v>
      </c>
      <c r="GA140" s="1504">
        <v>38718</v>
      </c>
      <c r="GB140" s="19"/>
      <c r="GC140" s="93"/>
      <c r="GD140" s="93"/>
      <c r="GE140" s="93"/>
      <c r="GF140" s="93"/>
      <c r="GG140" s="93"/>
      <c r="GH140" s="93"/>
      <c r="GI140" s="93"/>
      <c r="GJ140" s="93"/>
      <c r="GK140" s="93"/>
      <c r="GL140" s="93"/>
      <c r="GM140" s="93"/>
      <c r="GN140" s="20"/>
      <c r="GO140" s="29">
        <v>73</v>
      </c>
      <c r="GP140" s="1504">
        <v>38718</v>
      </c>
      <c r="GQ140" s="19"/>
      <c r="GR140" s="93"/>
      <c r="GS140" s="93"/>
      <c r="GT140" s="93"/>
      <c r="GU140" s="93"/>
      <c r="GV140" s="20"/>
      <c r="GW140" s="19"/>
      <c r="GX140" s="93"/>
      <c r="GY140" s="93"/>
      <c r="GZ140" s="93"/>
      <c r="HA140" s="93"/>
      <c r="HB140" s="20"/>
      <c r="HC140" s="19"/>
      <c r="HD140" s="93"/>
      <c r="HE140" s="93"/>
      <c r="HF140" s="93"/>
      <c r="HG140" s="93"/>
      <c r="HH140" s="20"/>
      <c r="HI140" s="19"/>
      <c r="HJ140" s="93"/>
      <c r="HK140" s="93"/>
      <c r="HL140" s="93"/>
      <c r="HM140" s="93"/>
      <c r="HN140" s="20"/>
      <c r="HO140" s="219"/>
      <c r="HP140" s="20"/>
      <c r="HQ140" s="25"/>
      <c r="HR140" s="29">
        <v>73</v>
      </c>
      <c r="HS140" s="1504">
        <v>38718</v>
      </c>
      <c r="HT140" s="179">
        <v>140.19193115234376</v>
      </c>
      <c r="HU140" s="99">
        <v>165.06185531616211</v>
      </c>
      <c r="HV140" s="99">
        <v>113.54125366210937</v>
      </c>
      <c r="HW140" s="99"/>
      <c r="HX140" s="99">
        <v>109.42760467529297</v>
      </c>
      <c r="HY140" s="99">
        <v>126.00281429290771</v>
      </c>
      <c r="HZ140" s="99">
        <v>171.70384979248047</v>
      </c>
      <c r="IA140" s="132">
        <v>119.03225860595703</v>
      </c>
      <c r="IB140" s="179">
        <v>128.09187316894531</v>
      </c>
      <c r="IC140" s="99">
        <v>92.487049102783203</v>
      </c>
      <c r="ID140" s="99">
        <v>114.58333333333333</v>
      </c>
      <c r="IE140" s="99"/>
      <c r="IF140" s="99">
        <v>124.0435791015625</v>
      </c>
      <c r="IG140" s="132">
        <v>98.522171020507813</v>
      </c>
      <c r="IH140" s="179">
        <v>95.252960205078125</v>
      </c>
      <c r="II140" s="99">
        <v>179.28777885437012</v>
      </c>
      <c r="IJ140" s="99">
        <v>125.05613555908204</v>
      </c>
      <c r="IK140" s="99">
        <v>117.32852172851563</v>
      </c>
      <c r="IL140" s="99">
        <v>110.24305725097656</v>
      </c>
      <c r="IM140" s="99">
        <v>120.58823852539062</v>
      </c>
      <c r="IN140" s="93"/>
      <c r="IO140" s="132">
        <v>135.67088317871094</v>
      </c>
      <c r="IP140" s="29">
        <v>73</v>
      </c>
      <c r="IQ140" s="19"/>
      <c r="IR140" s="93"/>
      <c r="IS140" s="93"/>
      <c r="IT140" s="93"/>
      <c r="IU140" s="93"/>
      <c r="IV140" s="20"/>
      <c r="IW140" s="29">
        <v>73</v>
      </c>
      <c r="IX140" s="19"/>
      <c r="IY140" s="93"/>
      <c r="IZ140" s="93"/>
      <c r="JA140" s="93"/>
      <c r="JB140" s="93"/>
      <c r="JC140" s="93"/>
      <c r="JD140" s="93"/>
      <c r="JE140" s="20"/>
      <c r="JF140" s="29">
        <v>73</v>
      </c>
      <c r="JG140" s="19"/>
      <c r="JH140" s="93"/>
      <c r="JI140" s="93"/>
      <c r="JJ140" s="93"/>
      <c r="JK140" s="93"/>
      <c r="JL140" s="93"/>
      <c r="JM140" s="93"/>
      <c r="JN140" s="20"/>
      <c r="JO140" s="29">
        <v>73</v>
      </c>
      <c r="JP140" s="19"/>
      <c r="JQ140" s="93"/>
      <c r="JR140" s="93"/>
      <c r="JS140" s="93"/>
      <c r="JT140" s="93"/>
      <c r="JU140" s="20"/>
      <c r="JV140" s="29">
        <v>73</v>
      </c>
      <c r="JW140" s="1504">
        <v>38718</v>
      </c>
      <c r="JX140" s="19"/>
      <c r="JY140" s="93"/>
      <c r="JZ140" s="93"/>
      <c r="KA140" s="93"/>
      <c r="KB140" s="93"/>
      <c r="KC140" s="93"/>
      <c r="KD140" s="20"/>
      <c r="KE140" s="29">
        <v>73</v>
      </c>
      <c r="KF140" s="19"/>
      <c r="KG140" s="93"/>
      <c r="KH140" s="93"/>
      <c r="KI140" s="93"/>
      <c r="KJ140" s="93"/>
      <c r="KK140" s="20"/>
      <c r="KL140" s="29">
        <v>73</v>
      </c>
      <c r="KM140" s="19"/>
      <c r="KN140" s="93"/>
      <c r="KO140" s="93"/>
      <c r="KP140" s="93"/>
      <c r="KQ140" s="93"/>
      <c r="KR140" s="20"/>
      <c r="KS140" s="29">
        <v>73</v>
      </c>
      <c r="KT140" s="19"/>
      <c r="KU140" s="93"/>
      <c r="KV140" s="93"/>
      <c r="KW140" s="93"/>
      <c r="KX140" s="93"/>
      <c r="KY140" s="20"/>
      <c r="KZ140" s="29">
        <v>73</v>
      </c>
      <c r="LA140" s="1504">
        <v>38718</v>
      </c>
      <c r="LB140" s="19"/>
      <c r="LC140" s="93"/>
      <c r="LD140" s="93"/>
      <c r="LE140" s="93"/>
      <c r="LF140" s="93"/>
      <c r="LG140" s="93"/>
      <c r="LH140" s="20"/>
      <c r="LI140" s="29">
        <v>73</v>
      </c>
      <c r="LJ140" s="19"/>
      <c r="LK140" s="93"/>
      <c r="LL140" s="93"/>
      <c r="LM140" s="93"/>
      <c r="LN140" s="93"/>
      <c r="LO140" s="20"/>
      <c r="LP140" s="29">
        <v>73</v>
      </c>
      <c r="LQ140" s="19"/>
      <c r="LR140" s="93"/>
      <c r="LS140" s="93"/>
      <c r="LT140" s="93"/>
      <c r="LU140" s="93"/>
      <c r="LV140" s="93"/>
      <c r="LW140" s="93"/>
      <c r="LX140" s="93"/>
      <c r="LY140" s="93"/>
      <c r="LZ140" s="93"/>
      <c r="MA140" s="20"/>
      <c r="MB140" s="29">
        <v>73</v>
      </c>
      <c r="MC140" s="1504">
        <v>38718</v>
      </c>
      <c r="MD140" s="19"/>
      <c r="ME140" s="93"/>
      <c r="MF140" s="93"/>
      <c r="MG140" s="93"/>
      <c r="MH140" s="93"/>
      <c r="MI140" s="93"/>
      <c r="MJ140" s="93"/>
      <c r="MK140" s="93"/>
      <c r="ML140" s="93"/>
      <c r="MM140" s="93"/>
      <c r="MN140" s="93"/>
      <c r="MO140" s="93"/>
      <c r="MP140" s="93"/>
      <c r="MQ140" s="93"/>
      <c r="MR140" s="93"/>
      <c r="MS140" s="93"/>
      <c r="MT140" s="93"/>
      <c r="MU140" s="93"/>
      <c r="MV140" s="93"/>
      <c r="MW140" s="93"/>
      <c r="MX140" s="93"/>
      <c r="MY140" s="93"/>
      <c r="MZ140" s="93"/>
      <c r="NA140" s="93"/>
      <c r="NB140" s="93"/>
      <c r="NC140" s="93"/>
      <c r="ND140" s="93"/>
      <c r="NE140" s="93"/>
      <c r="NF140" s="93"/>
      <c r="NG140" s="93"/>
      <c r="NH140" s="93"/>
      <c r="NI140" s="93"/>
      <c r="NJ140" s="93"/>
      <c r="NK140" s="93"/>
      <c r="NL140" s="93"/>
      <c r="NM140" s="93"/>
      <c r="NN140" s="93"/>
      <c r="NO140" s="93"/>
      <c r="NP140" s="93"/>
      <c r="NQ140" s="93"/>
      <c r="NR140" s="93"/>
      <c r="NS140" s="93"/>
      <c r="NT140" s="93"/>
      <c r="NU140" s="93"/>
      <c r="NV140" s="93"/>
      <c r="NW140" s="93"/>
      <c r="NX140" s="93"/>
      <c r="NY140" s="93"/>
      <c r="NZ140" s="93"/>
      <c r="OA140" s="93"/>
      <c r="OB140" s="93"/>
      <c r="OC140" s="93"/>
      <c r="OD140" s="20"/>
      <c r="OE140" s="29">
        <v>73</v>
      </c>
      <c r="OF140" s="1504">
        <v>38718</v>
      </c>
      <c r="OG140" s="19"/>
      <c r="OH140" s="93">
        <v>152.37790000000001</v>
      </c>
      <c r="OI140" s="93">
        <v>252.07227167344408</v>
      </c>
      <c r="OJ140" s="93">
        <v>0.26635719600000002</v>
      </c>
      <c r="OK140" s="93">
        <v>205.43891447744409</v>
      </c>
      <c r="OL140" s="93">
        <v>46.366999999999997</v>
      </c>
      <c r="OM140" s="93">
        <v>404.45017167344406</v>
      </c>
      <c r="ON140" s="93">
        <v>193.28273132524905</v>
      </c>
      <c r="OO140" s="93">
        <v>597.73290299869313</v>
      </c>
      <c r="OP140" s="93"/>
      <c r="OQ140" s="93">
        <v>219.01877470131865</v>
      </c>
      <c r="OR140" s="93">
        <v>209.45102660800012</v>
      </c>
      <c r="OS140" s="93">
        <v>9.5677480933185564</v>
      </c>
      <c r="OT140" s="93">
        <v>459.00452924637455</v>
      </c>
      <c r="OU140" s="93">
        <v>-75.412634905999994</v>
      </c>
      <c r="OV140" s="93">
        <v>-0.55263490600000154</v>
      </c>
      <c r="OW140" s="93">
        <v>-74.859999999999985</v>
      </c>
      <c r="OX140" s="93">
        <v>534.41716415237454</v>
      </c>
      <c r="OY140" s="93">
        <v>2.3432664429999996</v>
      </c>
      <c r="OZ140" s="93">
        <v>532.07389770937448</v>
      </c>
      <c r="PA140" s="93">
        <v>97.975337189000001</v>
      </c>
      <c r="PB140" s="93">
        <v>-17.684936240000003</v>
      </c>
      <c r="PC140" s="20">
        <v>597.73290299869313</v>
      </c>
      <c r="PD140" s="29">
        <v>73</v>
      </c>
      <c r="PE140" s="19"/>
      <c r="PF140" s="93">
        <v>209.45102660800012</v>
      </c>
      <c r="PG140" s="93">
        <v>510.19516441500002</v>
      </c>
      <c r="PH140" s="93">
        <v>300.7441378069999</v>
      </c>
      <c r="PI140" s="93">
        <v>1.1100000000000001</v>
      </c>
      <c r="PJ140" s="93">
        <v>-0.55263490600000154</v>
      </c>
      <c r="PK140" s="93">
        <v>33.145031961999997</v>
      </c>
      <c r="PL140" s="93">
        <v>33.697666867999999</v>
      </c>
      <c r="PM140" s="93">
        <v>2.3432664429999996</v>
      </c>
      <c r="PN140" s="93">
        <v>0</v>
      </c>
      <c r="PO140" s="93">
        <v>0</v>
      </c>
      <c r="PP140" s="93">
        <v>5.1067500000000004E-4</v>
      </c>
      <c r="PQ140" s="93">
        <v>2.3427557679999995</v>
      </c>
      <c r="PR140" s="93">
        <v>216.480303784</v>
      </c>
      <c r="PS140" s="93">
        <v>169.3509</v>
      </c>
      <c r="PT140" s="93">
        <v>46.863046588000003</v>
      </c>
      <c r="PU140" s="93">
        <v>0.26635719600000002</v>
      </c>
      <c r="PV140" s="93">
        <v>0</v>
      </c>
      <c r="PW140" s="93">
        <v>0.45349041600000001</v>
      </c>
      <c r="PX140" s="93">
        <v>0</v>
      </c>
      <c r="PY140" s="93">
        <v>0</v>
      </c>
      <c r="PZ140" s="93">
        <v>0.45349041600000001</v>
      </c>
      <c r="QA140" s="93">
        <v>0</v>
      </c>
      <c r="QB140" s="93">
        <v>0</v>
      </c>
      <c r="QC140" s="93">
        <v>0</v>
      </c>
      <c r="QD140" s="93">
        <v>-1.869153227</v>
      </c>
      <c r="QE140" s="20">
        <v>-2.7129828280000003</v>
      </c>
      <c r="QF140" s="1739">
        <v>73</v>
      </c>
      <c r="QG140" s="19"/>
      <c r="QH140" s="1035">
        <v>9.5677480933185564</v>
      </c>
      <c r="QI140" s="1035">
        <v>125.48810229062546</v>
      </c>
      <c r="QJ140" s="1035">
        <v>-115.92035419730691</v>
      </c>
      <c r="QK140" s="1035">
        <v>60.311</v>
      </c>
      <c r="QL140" s="1035">
        <v>16.972999999999999</v>
      </c>
      <c r="QM140" s="1035">
        <v>43.338000000000001</v>
      </c>
      <c r="QN140" s="1035">
        <v>0</v>
      </c>
      <c r="QO140" s="1035">
        <v>-74.859999999999985</v>
      </c>
      <c r="QP140" s="1035">
        <v>17.792000000000002</v>
      </c>
      <c r="QQ140" s="1035">
        <v>-92.651999999999987</v>
      </c>
      <c r="QR140" s="1035">
        <v>532.07389770937448</v>
      </c>
      <c r="QS140" s="1035">
        <v>9.3686733070354151</v>
      </c>
      <c r="QT140" s="1035">
        <v>0</v>
      </c>
      <c r="QU140" s="1035">
        <v>89.918000000000006</v>
      </c>
      <c r="QV140" s="1035">
        <v>432.78722440233912</v>
      </c>
      <c r="QW140" s="93"/>
      <c r="QX140" s="93">
        <v>0.40300000000000002</v>
      </c>
      <c r="QY140" s="93">
        <v>205.43891447744406</v>
      </c>
      <c r="QZ140" s="93">
        <v>193.28273132524905</v>
      </c>
      <c r="RA140" s="93">
        <v>0</v>
      </c>
      <c r="RB140" s="93">
        <v>12.371</v>
      </c>
      <c r="RC140" s="93">
        <v>0</v>
      </c>
      <c r="RD140" s="93">
        <v>6.955000000000001</v>
      </c>
      <c r="RE140" s="93">
        <v>0</v>
      </c>
      <c r="RF140" s="93">
        <v>0</v>
      </c>
      <c r="RG140" s="93">
        <v>80.064999999999998</v>
      </c>
      <c r="RH140" s="93">
        <v>28.576999999999991</v>
      </c>
      <c r="RI140" s="93"/>
      <c r="RJ140" s="93"/>
      <c r="RK140" s="93"/>
      <c r="RL140" s="93"/>
      <c r="RM140" s="20"/>
      <c r="RN140" s="29">
        <v>73</v>
      </c>
      <c r="RO140" s="19"/>
      <c r="RP140" s="20"/>
      <c r="RQ140" s="29">
        <v>73</v>
      </c>
      <c r="RR140" s="20"/>
      <c r="RS140" s="29">
        <v>73</v>
      </c>
      <c r="RT140" s="1504">
        <v>38718</v>
      </c>
      <c r="RU140" s="19"/>
      <c r="RV140" s="20"/>
      <c r="RW140" s="29">
        <v>73</v>
      </c>
      <c r="RX140" s="1504">
        <v>38718</v>
      </c>
      <c r="RY140" s="29"/>
      <c r="RZ140" s="20"/>
      <c r="SA140" s="29"/>
      <c r="SB140" s="29">
        <v>73</v>
      </c>
    </row>
    <row r="141" spans="1:496">
      <c r="A141" s="41">
        <f t="shared" si="191"/>
        <v>2006</v>
      </c>
      <c r="B141" s="1504">
        <v>38749</v>
      </c>
      <c r="C141" s="1813"/>
      <c r="D141" s="1814"/>
      <c r="E141" s="1814"/>
      <c r="F141" s="1815"/>
      <c r="G141" s="1814"/>
      <c r="H141" s="1814"/>
      <c r="I141" s="1814"/>
      <c r="J141" s="1816"/>
      <c r="K141" s="1807"/>
      <c r="L141" s="25">
        <v>74</v>
      </c>
      <c r="M141" s="97"/>
      <c r="N141" s="1504">
        <v>38749</v>
      </c>
      <c r="O141" s="19"/>
      <c r="P141" s="93"/>
      <c r="Q141" s="93"/>
      <c r="R141" s="93"/>
      <c r="S141" s="93"/>
      <c r="T141" s="93"/>
      <c r="U141" s="93"/>
      <c r="V141" s="93"/>
      <c r="W141" s="93"/>
      <c r="X141" s="93"/>
      <c r="Y141" s="93"/>
      <c r="Z141" s="93"/>
      <c r="AA141" s="93"/>
      <c r="AB141" s="20"/>
      <c r="AC141" s="25">
        <v>74</v>
      </c>
      <c r="AD141" s="97"/>
      <c r="AE141" s="1504">
        <v>38749</v>
      </c>
      <c r="AF141" s="19"/>
      <c r="AG141" s="93"/>
      <c r="AH141" s="93"/>
      <c r="AI141" s="93"/>
      <c r="AJ141" s="93"/>
      <c r="AK141" s="93"/>
      <c r="AL141" s="93"/>
      <c r="AM141" s="93"/>
      <c r="AN141" s="93"/>
      <c r="AO141" s="93"/>
      <c r="AP141" s="93"/>
      <c r="AQ141" s="93"/>
      <c r="AR141" s="93"/>
      <c r="AS141" s="20"/>
      <c r="AT141" s="25">
        <v>74</v>
      </c>
      <c r="AU141" s="97"/>
      <c r="AV141" s="1504">
        <v>38749</v>
      </c>
      <c r="AW141" s="19"/>
      <c r="AX141" s="93"/>
      <c r="AY141" s="93"/>
      <c r="AZ141" s="93"/>
      <c r="BA141" s="93"/>
      <c r="BB141" s="93"/>
      <c r="BC141" s="93"/>
      <c r="BD141" s="93"/>
      <c r="BE141" s="93"/>
      <c r="BF141" s="93"/>
      <c r="BG141" s="93"/>
      <c r="BH141" s="93"/>
      <c r="BI141" s="93"/>
      <c r="BJ141" s="20"/>
      <c r="BK141" s="25">
        <v>74</v>
      </c>
      <c r="BL141" s="97"/>
      <c r="BM141" s="1504">
        <v>38749</v>
      </c>
      <c r="BN141" s="19"/>
      <c r="BO141" s="93"/>
      <c r="BP141" s="93"/>
      <c r="BQ141" s="93"/>
      <c r="BR141" s="93"/>
      <c r="BS141" s="93"/>
      <c r="BT141" s="93"/>
      <c r="BU141" s="20"/>
      <c r="BV141" s="25">
        <v>74</v>
      </c>
      <c r="BW141" s="97"/>
      <c r="BX141" s="1504">
        <v>38749</v>
      </c>
      <c r="BY141" s="19"/>
      <c r="BZ141" s="99">
        <v>664.95699999999999</v>
      </c>
      <c r="CA141" s="93"/>
      <c r="CB141" s="93"/>
      <c r="CC141" s="93"/>
      <c r="CD141" s="25">
        <v>74</v>
      </c>
      <c r="CE141" s="97"/>
      <c r="CF141" s="1504">
        <v>38749</v>
      </c>
      <c r="CG141" s="19">
        <v>1.3150558299999999</v>
      </c>
      <c r="CH141" s="93">
        <v>554.995</v>
      </c>
      <c r="CI141" s="219"/>
      <c r="CJ141" s="20"/>
      <c r="CK141" s="19"/>
      <c r="CL141" s="93"/>
      <c r="CM141" s="93"/>
      <c r="CN141" s="93"/>
      <c r="CO141" s="93"/>
      <c r="CP141" s="20"/>
      <c r="CQ141" s="219">
        <v>993.18</v>
      </c>
      <c r="CR141" s="93">
        <v>2.3525</v>
      </c>
      <c r="CS141" s="93"/>
      <c r="CT141" s="93"/>
      <c r="CU141" s="93"/>
      <c r="CV141" s="214"/>
      <c r="CW141" s="29">
        <v>74</v>
      </c>
      <c r="CX141" s="41">
        <f t="shared" si="192"/>
        <v>2006</v>
      </c>
      <c r="CY141" s="1504">
        <v>38749</v>
      </c>
      <c r="CZ141" s="1916">
        <v>40.517156999999997</v>
      </c>
      <c r="DA141" s="1526">
        <v>24.037455000000001</v>
      </c>
      <c r="DB141" s="1526">
        <v>16.479702</v>
      </c>
      <c r="DC141" s="182">
        <f t="shared" si="193"/>
        <v>283908</v>
      </c>
      <c r="DD141" s="182">
        <f t="shared" si="194"/>
        <v>283111</v>
      </c>
      <c r="DE141" s="182">
        <f t="shared" si="195"/>
        <v>797</v>
      </c>
      <c r="DF141" s="29">
        <v>74</v>
      </c>
      <c r="DG141" s="1504">
        <v>38749</v>
      </c>
      <c r="DH141" s="19"/>
      <c r="DI141" s="93"/>
      <c r="DJ141" s="93"/>
      <c r="DK141" s="93"/>
      <c r="DL141" s="93"/>
      <c r="DM141" s="93"/>
      <c r="DN141" s="20"/>
      <c r="DO141" s="25"/>
      <c r="DP141" s="29">
        <v>74</v>
      </c>
      <c r="DQ141" s="1504">
        <v>38749</v>
      </c>
      <c r="DR141" s="19"/>
      <c r="DS141" s="93"/>
      <c r="DT141" s="93"/>
      <c r="DU141" s="93"/>
      <c r="DV141" s="93"/>
      <c r="DW141" s="93"/>
      <c r="DX141" s="20"/>
      <c r="DY141" s="29">
        <v>74</v>
      </c>
      <c r="DZ141" s="1504">
        <v>38749</v>
      </c>
      <c r="EA141" s="19"/>
      <c r="EB141" s="93"/>
      <c r="EC141" s="20"/>
      <c r="ED141" s="29">
        <v>74</v>
      </c>
      <c r="EE141" s="1504">
        <v>38749</v>
      </c>
      <c r="EF141" s="19"/>
      <c r="EG141" s="93"/>
      <c r="EH141" s="93"/>
      <c r="EI141" s="214"/>
      <c r="EJ141" s="93"/>
      <c r="EK141" s="93"/>
      <c r="EL141" s="93"/>
      <c r="EM141" s="93"/>
      <c r="EN141" s="20"/>
      <c r="EO141" s="29">
        <v>74</v>
      </c>
      <c r="EP141" s="1504">
        <v>38749</v>
      </c>
      <c r="EQ141" s="19"/>
      <c r="ER141" s="93"/>
      <c r="ES141" s="93"/>
      <c r="ET141" s="214"/>
      <c r="EU141" s="93"/>
      <c r="EV141" s="93"/>
      <c r="EW141" s="93"/>
      <c r="EX141" s="93"/>
      <c r="EY141" s="20"/>
      <c r="EZ141" s="29">
        <v>74</v>
      </c>
      <c r="FA141" s="1504">
        <v>38749</v>
      </c>
      <c r="FB141" s="29"/>
      <c r="FC141" s="29"/>
      <c r="FD141" s="29"/>
      <c r="FE141" s="29"/>
      <c r="FF141" s="29"/>
      <c r="FG141" s="29"/>
      <c r="FH141" s="29"/>
      <c r="FI141" s="29"/>
      <c r="FJ141" s="29"/>
      <c r="FK141" s="29">
        <v>74</v>
      </c>
      <c r="FL141" s="1504">
        <v>38749</v>
      </c>
      <c r="FM141" s="19"/>
      <c r="FN141" s="93"/>
      <c r="FO141" s="93"/>
      <c r="FP141" s="93"/>
      <c r="FQ141" s="93"/>
      <c r="FR141" s="93"/>
      <c r="FS141" s="93"/>
      <c r="FT141" s="93"/>
      <c r="FU141" s="93"/>
      <c r="FV141" s="93"/>
      <c r="FW141" s="93"/>
      <c r="FX141" s="93"/>
      <c r="FY141" s="93"/>
      <c r="FZ141" s="29">
        <v>74</v>
      </c>
      <c r="GA141" s="1504">
        <v>38749</v>
      </c>
      <c r="GB141" s="19"/>
      <c r="GC141" s="93"/>
      <c r="GD141" s="93"/>
      <c r="GE141" s="93"/>
      <c r="GF141" s="93"/>
      <c r="GG141" s="93"/>
      <c r="GH141" s="93"/>
      <c r="GI141" s="93"/>
      <c r="GJ141" s="93"/>
      <c r="GK141" s="93"/>
      <c r="GL141" s="93"/>
      <c r="GM141" s="93"/>
      <c r="GN141" s="20"/>
      <c r="GO141" s="29">
        <v>74</v>
      </c>
      <c r="GP141" s="1504">
        <v>38749</v>
      </c>
      <c r="GQ141" s="19"/>
      <c r="GR141" s="93"/>
      <c r="GS141" s="93"/>
      <c r="GT141" s="93"/>
      <c r="GU141" s="93"/>
      <c r="GV141" s="20"/>
      <c r="GW141" s="19"/>
      <c r="GX141" s="93"/>
      <c r="GY141" s="93"/>
      <c r="GZ141" s="93"/>
      <c r="HA141" s="93"/>
      <c r="HB141" s="20"/>
      <c r="HC141" s="19"/>
      <c r="HD141" s="93"/>
      <c r="HE141" s="93"/>
      <c r="HF141" s="93"/>
      <c r="HG141" s="93"/>
      <c r="HH141" s="20"/>
      <c r="HI141" s="19"/>
      <c r="HJ141" s="93"/>
      <c r="HK141" s="93"/>
      <c r="HL141" s="93"/>
      <c r="HM141" s="93"/>
      <c r="HN141" s="20"/>
      <c r="HO141" s="219"/>
      <c r="HP141" s="20"/>
      <c r="HQ141" s="25"/>
      <c r="HR141" s="29">
        <v>74</v>
      </c>
      <c r="HS141" s="1504">
        <v>38749</v>
      </c>
      <c r="HT141" s="179">
        <v>144.75789769490561</v>
      </c>
      <c r="HU141" s="99">
        <v>162.34530067443848</v>
      </c>
      <c r="HV141" s="99">
        <v>113.45940017700195</v>
      </c>
      <c r="HW141" s="99">
        <v>100.62702560424805</v>
      </c>
      <c r="HX141" s="99">
        <v>110.92150115966797</v>
      </c>
      <c r="HY141" s="99">
        <v>126.36872863769531</v>
      </c>
      <c r="HZ141" s="99">
        <v>154.90574645996094</v>
      </c>
      <c r="IA141" s="132">
        <v>118.80656051635742</v>
      </c>
      <c r="IB141" s="179">
        <v>148.64546712239584</v>
      </c>
      <c r="IC141" s="99">
        <v>106.67784881591797</v>
      </c>
      <c r="ID141" s="99">
        <v>109.375</v>
      </c>
      <c r="IE141" s="99"/>
      <c r="IF141" s="99">
        <v>124.59677505493164</v>
      </c>
      <c r="IG141" s="132">
        <v>98.27586555480957</v>
      </c>
      <c r="IH141" s="179">
        <v>92.593423207600907</v>
      </c>
      <c r="II141" s="99">
        <v>156.41459274291992</v>
      </c>
      <c r="IJ141" s="99">
        <v>112.5</v>
      </c>
      <c r="IK141" s="99">
        <v>117.32852172851563</v>
      </c>
      <c r="IL141" s="99">
        <v>110.24305725097656</v>
      </c>
      <c r="IM141" s="99">
        <v>115.48232650756836</v>
      </c>
      <c r="IN141" s="93"/>
      <c r="IO141" s="132">
        <v>134.2035026550293</v>
      </c>
      <c r="IP141" s="29">
        <v>74</v>
      </c>
      <c r="IQ141" s="19"/>
      <c r="IR141" s="93"/>
      <c r="IS141" s="93"/>
      <c r="IT141" s="93"/>
      <c r="IU141" s="93"/>
      <c r="IV141" s="20"/>
      <c r="IW141" s="29">
        <v>74</v>
      </c>
      <c r="IX141" s="19"/>
      <c r="IY141" s="93"/>
      <c r="IZ141" s="93"/>
      <c r="JA141" s="93"/>
      <c r="JB141" s="93"/>
      <c r="JC141" s="93"/>
      <c r="JD141" s="93"/>
      <c r="JE141" s="20"/>
      <c r="JF141" s="29">
        <v>74</v>
      </c>
      <c r="JG141" s="19"/>
      <c r="JH141" s="93"/>
      <c r="JI141" s="93"/>
      <c r="JJ141" s="93"/>
      <c r="JK141" s="93"/>
      <c r="JL141" s="93"/>
      <c r="JM141" s="93"/>
      <c r="JN141" s="20"/>
      <c r="JO141" s="29">
        <v>74</v>
      </c>
      <c r="JP141" s="19"/>
      <c r="JQ141" s="93"/>
      <c r="JR141" s="93"/>
      <c r="JS141" s="93"/>
      <c r="JT141" s="93"/>
      <c r="JU141" s="20"/>
      <c r="JV141" s="29">
        <v>74</v>
      </c>
      <c r="JW141" s="1504">
        <v>38749</v>
      </c>
      <c r="JX141" s="19"/>
      <c r="JY141" s="93"/>
      <c r="JZ141" s="93"/>
      <c r="KA141" s="93"/>
      <c r="KB141" s="93"/>
      <c r="KC141" s="93"/>
      <c r="KD141" s="20"/>
      <c r="KE141" s="29">
        <v>74</v>
      </c>
      <c r="KF141" s="19"/>
      <c r="KG141" s="93"/>
      <c r="KH141" s="93"/>
      <c r="KI141" s="93"/>
      <c r="KJ141" s="93"/>
      <c r="KK141" s="20"/>
      <c r="KL141" s="29">
        <v>74</v>
      </c>
      <c r="KM141" s="19"/>
      <c r="KN141" s="93"/>
      <c r="KO141" s="93"/>
      <c r="KP141" s="93"/>
      <c r="KQ141" s="93"/>
      <c r="KR141" s="20"/>
      <c r="KS141" s="29">
        <v>74</v>
      </c>
      <c r="KT141" s="19"/>
      <c r="KU141" s="93"/>
      <c r="KV141" s="93"/>
      <c r="KW141" s="93"/>
      <c r="KX141" s="93"/>
      <c r="KY141" s="20"/>
      <c r="KZ141" s="29">
        <v>74</v>
      </c>
      <c r="LA141" s="1504">
        <v>38749</v>
      </c>
      <c r="LB141" s="19"/>
      <c r="LC141" s="93"/>
      <c r="LD141" s="93"/>
      <c r="LE141" s="93"/>
      <c r="LF141" s="93"/>
      <c r="LG141" s="93"/>
      <c r="LH141" s="20"/>
      <c r="LI141" s="29">
        <v>74</v>
      </c>
      <c r="LJ141" s="19"/>
      <c r="LK141" s="93"/>
      <c r="LL141" s="93"/>
      <c r="LM141" s="93"/>
      <c r="LN141" s="93"/>
      <c r="LO141" s="20"/>
      <c r="LP141" s="29">
        <v>74</v>
      </c>
      <c r="LQ141" s="19"/>
      <c r="LR141" s="93"/>
      <c r="LS141" s="93"/>
      <c r="LT141" s="93"/>
      <c r="LU141" s="93"/>
      <c r="LV141" s="93"/>
      <c r="LW141" s="93"/>
      <c r="LX141" s="93"/>
      <c r="LY141" s="93"/>
      <c r="LZ141" s="93"/>
      <c r="MA141" s="20"/>
      <c r="MB141" s="29">
        <v>74</v>
      </c>
      <c r="MC141" s="1504">
        <v>38749</v>
      </c>
      <c r="MD141" s="19"/>
      <c r="ME141" s="93"/>
      <c r="MF141" s="93"/>
      <c r="MG141" s="93"/>
      <c r="MH141" s="93"/>
      <c r="MI141" s="93"/>
      <c r="MJ141" s="93"/>
      <c r="MK141" s="93"/>
      <c r="ML141" s="93"/>
      <c r="MM141" s="93"/>
      <c r="MN141" s="93"/>
      <c r="MO141" s="93"/>
      <c r="MP141" s="93"/>
      <c r="MQ141" s="93"/>
      <c r="MR141" s="93"/>
      <c r="MS141" s="93"/>
      <c r="MT141" s="93"/>
      <c r="MU141" s="93"/>
      <c r="MV141" s="93"/>
      <c r="MW141" s="93"/>
      <c r="MX141" s="93"/>
      <c r="MY141" s="93"/>
      <c r="MZ141" s="93"/>
      <c r="NA141" s="93"/>
      <c r="NB141" s="93"/>
      <c r="NC141" s="93"/>
      <c r="ND141" s="93"/>
      <c r="NE141" s="93"/>
      <c r="NF141" s="93"/>
      <c r="NG141" s="93"/>
      <c r="NH141" s="93"/>
      <c r="NI141" s="93"/>
      <c r="NJ141" s="93"/>
      <c r="NK141" s="93"/>
      <c r="NL141" s="93"/>
      <c r="NM141" s="93"/>
      <c r="NN141" s="93"/>
      <c r="NO141" s="93"/>
      <c r="NP141" s="93"/>
      <c r="NQ141" s="93"/>
      <c r="NR141" s="93"/>
      <c r="NS141" s="93"/>
      <c r="NT141" s="93"/>
      <c r="NU141" s="93"/>
      <c r="NV141" s="93"/>
      <c r="NW141" s="93"/>
      <c r="NX141" s="93"/>
      <c r="NY141" s="93"/>
      <c r="NZ141" s="93"/>
      <c r="OA141" s="93"/>
      <c r="OB141" s="93"/>
      <c r="OC141" s="93"/>
      <c r="OD141" s="20"/>
      <c r="OE141" s="29">
        <v>74</v>
      </c>
      <c r="OF141" s="1504">
        <v>38749</v>
      </c>
      <c r="OG141" s="19"/>
      <c r="OH141" s="93">
        <v>152.61799999999999</v>
      </c>
      <c r="OI141" s="93">
        <v>271.17168354971773</v>
      </c>
      <c r="OJ141" s="93">
        <v>0.33365919900000002</v>
      </c>
      <c r="OK141" s="93">
        <v>224.4240243507177</v>
      </c>
      <c r="OL141" s="93">
        <v>46.414000000000001</v>
      </c>
      <c r="OM141" s="93">
        <v>423.78968354971772</v>
      </c>
      <c r="ON141" s="93">
        <v>196.05237185012243</v>
      </c>
      <c r="OO141" s="93">
        <v>619.84205539984009</v>
      </c>
      <c r="OP141" s="93"/>
      <c r="OQ141" s="93">
        <v>218.60407032639716</v>
      </c>
      <c r="OR141" s="93">
        <v>202.72262201199999</v>
      </c>
      <c r="OS141" s="93">
        <v>15.881448314397204</v>
      </c>
      <c r="OT141" s="93">
        <v>479.13365578044301</v>
      </c>
      <c r="OU141" s="93">
        <v>-67.632441604000007</v>
      </c>
      <c r="OV141" s="93">
        <v>6.2825583959999989</v>
      </c>
      <c r="OW141" s="93">
        <v>-73.915000000000006</v>
      </c>
      <c r="OX141" s="93">
        <v>546.76609738444301</v>
      </c>
      <c r="OY141" s="93">
        <v>2.3301494979999999</v>
      </c>
      <c r="OZ141" s="93">
        <v>544.43594788644305</v>
      </c>
      <c r="PA141" s="93">
        <v>101.142920409</v>
      </c>
      <c r="PB141" s="93">
        <v>-23.247249701999994</v>
      </c>
      <c r="PC141" s="20">
        <v>619.84205539984021</v>
      </c>
      <c r="PD141" s="29">
        <v>74</v>
      </c>
      <c r="PE141" s="19"/>
      <c r="PF141" s="93">
        <v>202.72262201199999</v>
      </c>
      <c r="PG141" s="93">
        <v>504.96810507499998</v>
      </c>
      <c r="PH141" s="93">
        <v>302.24548306299999</v>
      </c>
      <c r="PI141" s="93">
        <v>1.1100000000000001</v>
      </c>
      <c r="PJ141" s="93">
        <v>6.2825583959999989</v>
      </c>
      <c r="PK141" s="93">
        <v>33.159790911999998</v>
      </c>
      <c r="PL141" s="93">
        <v>26.877232515999999</v>
      </c>
      <c r="PM141" s="93">
        <v>2.3301494979999999</v>
      </c>
      <c r="PN141" s="93">
        <v>0</v>
      </c>
      <c r="PO141" s="93">
        <v>0</v>
      </c>
      <c r="PP141" s="93">
        <v>9.4118499999999998E-4</v>
      </c>
      <c r="PQ141" s="93">
        <v>2.3292083130000001</v>
      </c>
      <c r="PR141" s="93">
        <v>211.86078489600001</v>
      </c>
      <c r="PS141" s="93">
        <v>170.09</v>
      </c>
      <c r="PT141" s="93">
        <v>41.437125696999999</v>
      </c>
      <c r="PU141" s="93">
        <v>0.33365919900000002</v>
      </c>
      <c r="PV141" s="93">
        <v>0</v>
      </c>
      <c r="PW141" s="93">
        <v>0.76352952600000001</v>
      </c>
      <c r="PX141" s="93">
        <v>0</v>
      </c>
      <c r="PY141" s="93">
        <v>0</v>
      </c>
      <c r="PZ141" s="93">
        <v>0.76352952600000001</v>
      </c>
      <c r="QA141" s="93">
        <v>0</v>
      </c>
      <c r="QB141" s="93">
        <v>0</v>
      </c>
      <c r="QC141" s="93">
        <v>0</v>
      </c>
      <c r="QD141" s="93">
        <v>0.37839088299999996</v>
      </c>
      <c r="QE141" s="20">
        <v>-0.55737539899999999</v>
      </c>
      <c r="QF141" s="1739">
        <v>74</v>
      </c>
      <c r="QG141" s="19"/>
      <c r="QH141" s="1035">
        <v>15.881448314397204</v>
      </c>
      <c r="QI141" s="1035">
        <v>128.87705211355703</v>
      </c>
      <c r="QJ141" s="1035">
        <v>-112.99560379915982</v>
      </c>
      <c r="QK141" s="1035">
        <v>58.14</v>
      </c>
      <c r="QL141" s="1035">
        <v>17.472000000000001</v>
      </c>
      <c r="QM141" s="1035">
        <v>40.667999999999999</v>
      </c>
      <c r="QN141" s="1035">
        <v>0</v>
      </c>
      <c r="QO141" s="1035">
        <v>-73.915000000000006</v>
      </c>
      <c r="QP141" s="1035">
        <v>15.968999999999999</v>
      </c>
      <c r="QQ141" s="1035">
        <v>-89.884</v>
      </c>
      <c r="QR141" s="1035">
        <v>544.43594788644305</v>
      </c>
      <c r="QS141" s="1035">
        <v>9.3018076862461889</v>
      </c>
      <c r="QT141" s="1035">
        <v>0</v>
      </c>
      <c r="QU141" s="1035">
        <v>97.197000000000003</v>
      </c>
      <c r="QV141" s="1035">
        <v>437.93714020019684</v>
      </c>
      <c r="QW141" s="93"/>
      <c r="QX141" s="93">
        <v>0.55000000000000004</v>
      </c>
      <c r="QY141" s="93">
        <v>224.42402435071773</v>
      </c>
      <c r="QZ141" s="93">
        <v>196.05237185012243</v>
      </c>
      <c r="RA141" s="93">
        <v>0</v>
      </c>
      <c r="RB141" s="93">
        <v>13.951000000000001</v>
      </c>
      <c r="RC141" s="93">
        <v>0</v>
      </c>
      <c r="RD141" s="93">
        <v>4.9050000000000002</v>
      </c>
      <c r="RE141" s="93">
        <v>0</v>
      </c>
      <c r="RF141" s="93">
        <v>0</v>
      </c>
      <c r="RG141" s="93">
        <v>81.144999999999996</v>
      </c>
      <c r="RH141" s="93">
        <v>23.515000000000008</v>
      </c>
      <c r="RI141" s="93"/>
      <c r="RJ141" s="93"/>
      <c r="RK141" s="93"/>
      <c r="RL141" s="93"/>
      <c r="RM141" s="20"/>
      <c r="RN141" s="29">
        <v>74</v>
      </c>
      <c r="RO141" s="19"/>
      <c r="RP141" s="20"/>
      <c r="RQ141" s="29">
        <v>74</v>
      </c>
      <c r="RR141" s="20"/>
      <c r="RS141" s="29">
        <v>74</v>
      </c>
      <c r="RT141" s="1504">
        <v>38749</v>
      </c>
      <c r="RU141" s="19"/>
      <c r="RV141" s="20"/>
      <c r="RW141" s="29">
        <v>74</v>
      </c>
      <c r="RX141" s="1504">
        <v>38749</v>
      </c>
      <c r="RY141" s="29"/>
      <c r="RZ141" s="20"/>
      <c r="SA141" s="29"/>
      <c r="SB141" s="29">
        <v>74</v>
      </c>
    </row>
    <row r="142" spans="1:496">
      <c r="A142" s="41">
        <f t="shared" si="191"/>
        <v>2006</v>
      </c>
      <c r="B142" s="1504">
        <v>38777</v>
      </c>
      <c r="C142" s="1813"/>
      <c r="D142" s="1814"/>
      <c r="E142" s="1814"/>
      <c r="F142" s="1815"/>
      <c r="G142" s="1814"/>
      <c r="H142" s="1814"/>
      <c r="I142" s="1814"/>
      <c r="J142" s="1816"/>
      <c r="K142" s="1807"/>
      <c r="L142" s="25">
        <v>75</v>
      </c>
      <c r="M142" s="97"/>
      <c r="N142" s="1504">
        <v>38777</v>
      </c>
      <c r="O142" s="19"/>
      <c r="P142" s="93"/>
      <c r="Q142" s="93"/>
      <c r="R142" s="93"/>
      <c r="S142" s="93"/>
      <c r="T142" s="93"/>
      <c r="U142" s="93"/>
      <c r="V142" s="93"/>
      <c r="W142" s="93"/>
      <c r="X142" s="93"/>
      <c r="Y142" s="93"/>
      <c r="Z142" s="93"/>
      <c r="AA142" s="93"/>
      <c r="AB142" s="20"/>
      <c r="AC142" s="25">
        <v>75</v>
      </c>
      <c r="AD142" s="97"/>
      <c r="AE142" s="1504">
        <v>38777</v>
      </c>
      <c r="AF142" s="19"/>
      <c r="AG142" s="93"/>
      <c r="AH142" s="93"/>
      <c r="AI142" s="93"/>
      <c r="AJ142" s="93"/>
      <c r="AK142" s="93"/>
      <c r="AL142" s="93"/>
      <c r="AM142" s="93"/>
      <c r="AN142" s="93"/>
      <c r="AO142" s="93"/>
      <c r="AP142" s="93"/>
      <c r="AQ142" s="93"/>
      <c r="AR142" s="93"/>
      <c r="AS142" s="20"/>
      <c r="AT142" s="25">
        <v>75</v>
      </c>
      <c r="AU142" s="97"/>
      <c r="AV142" s="1504">
        <v>38777</v>
      </c>
      <c r="AW142" s="19"/>
      <c r="AX142" s="93"/>
      <c r="AY142" s="93"/>
      <c r="AZ142" s="93"/>
      <c r="BA142" s="93"/>
      <c r="BB142" s="93"/>
      <c r="BC142" s="93"/>
      <c r="BD142" s="93"/>
      <c r="BE142" s="93"/>
      <c r="BF142" s="93"/>
      <c r="BG142" s="93"/>
      <c r="BH142" s="93"/>
      <c r="BI142" s="93"/>
      <c r="BJ142" s="20"/>
      <c r="BK142" s="25">
        <v>75</v>
      </c>
      <c r="BL142" s="97"/>
      <c r="BM142" s="1504">
        <v>38777</v>
      </c>
      <c r="BN142" s="19"/>
      <c r="BO142" s="93"/>
      <c r="BP142" s="93"/>
      <c r="BQ142" s="93"/>
      <c r="BR142" s="93"/>
      <c r="BS142" s="93"/>
      <c r="BT142" s="93"/>
      <c r="BU142" s="20"/>
      <c r="BV142" s="25">
        <v>75</v>
      </c>
      <c r="BW142" s="97"/>
      <c r="BX142" s="1504">
        <v>38777</v>
      </c>
      <c r="BY142" s="19"/>
      <c r="BZ142" s="99">
        <v>664.95699999999999</v>
      </c>
      <c r="CA142" s="93"/>
      <c r="CB142" s="93"/>
      <c r="CC142" s="93"/>
      <c r="CD142" s="25">
        <v>75</v>
      </c>
      <c r="CE142" s="97"/>
      <c r="CF142" s="1504">
        <v>38777</v>
      </c>
      <c r="CG142" s="19">
        <v>1.2698611200000001</v>
      </c>
      <c r="CH142" s="93">
        <v>557.09299999999996</v>
      </c>
      <c r="CI142" s="219"/>
      <c r="CJ142" s="20"/>
      <c r="CK142" s="19"/>
      <c r="CL142" s="93"/>
      <c r="CM142" s="93"/>
      <c r="CN142" s="93"/>
      <c r="CO142" s="93"/>
      <c r="CP142" s="20"/>
      <c r="CQ142" s="219">
        <v>961.89</v>
      </c>
      <c r="CR142" s="93">
        <v>1.96</v>
      </c>
      <c r="CS142" s="93"/>
      <c r="CT142" s="93"/>
      <c r="CU142" s="93"/>
      <c r="CV142" s="214"/>
      <c r="CW142" s="29">
        <v>75</v>
      </c>
      <c r="CX142" s="41">
        <f t="shared" si="192"/>
        <v>2006</v>
      </c>
      <c r="CY142" s="1504">
        <v>38777</v>
      </c>
      <c r="CZ142" s="1916">
        <v>44.743994000000001</v>
      </c>
      <c r="DA142" s="1526">
        <v>27.018286</v>
      </c>
      <c r="DB142" s="1526">
        <v>17.725708000000001</v>
      </c>
      <c r="DC142" s="182">
        <f t="shared" si="193"/>
        <v>283908</v>
      </c>
      <c r="DD142" s="182">
        <f t="shared" si="194"/>
        <v>283111</v>
      </c>
      <c r="DE142" s="182">
        <f t="shared" si="195"/>
        <v>797</v>
      </c>
      <c r="DF142" s="29">
        <v>75</v>
      </c>
      <c r="DG142" s="1504">
        <v>38777</v>
      </c>
      <c r="DH142" s="19"/>
      <c r="DI142" s="93"/>
      <c r="DJ142" s="93"/>
      <c r="DK142" s="93"/>
      <c r="DL142" s="93"/>
      <c r="DM142" s="93"/>
      <c r="DN142" s="20"/>
      <c r="DO142" s="25"/>
      <c r="DP142" s="29">
        <v>75</v>
      </c>
      <c r="DQ142" s="1504">
        <v>38777</v>
      </c>
      <c r="DR142" s="19"/>
      <c r="DS142" s="93"/>
      <c r="DT142" s="93"/>
      <c r="DU142" s="93"/>
      <c r="DV142" s="93"/>
      <c r="DW142" s="93"/>
      <c r="DX142" s="20"/>
      <c r="DY142" s="29">
        <v>75</v>
      </c>
      <c r="DZ142" s="1504">
        <v>38777</v>
      </c>
      <c r="EA142" s="19"/>
      <c r="EB142" s="93"/>
      <c r="EC142" s="20"/>
      <c r="ED142" s="29">
        <v>75</v>
      </c>
      <c r="EE142" s="1504">
        <v>38777</v>
      </c>
      <c r="EF142" s="19"/>
      <c r="EG142" s="93"/>
      <c r="EH142" s="93"/>
      <c r="EI142" s="214"/>
      <c r="EJ142" s="93"/>
      <c r="EK142" s="93"/>
      <c r="EL142" s="93"/>
      <c r="EM142" s="93"/>
      <c r="EN142" s="20"/>
      <c r="EO142" s="29">
        <v>75</v>
      </c>
      <c r="EP142" s="1504">
        <v>38777</v>
      </c>
      <c r="EQ142" s="19"/>
      <c r="ER142" s="93"/>
      <c r="ES142" s="93"/>
      <c r="ET142" s="214"/>
      <c r="EU142" s="93"/>
      <c r="EV142" s="93"/>
      <c r="EW142" s="93"/>
      <c r="EX142" s="93"/>
      <c r="EY142" s="20"/>
      <c r="EZ142" s="29">
        <v>75</v>
      </c>
      <c r="FA142" s="1504">
        <v>38777</v>
      </c>
      <c r="FB142" s="29"/>
      <c r="FC142" s="29"/>
      <c r="FD142" s="29"/>
      <c r="FE142" s="29"/>
      <c r="FF142" s="29"/>
      <c r="FG142" s="29"/>
      <c r="FH142" s="29"/>
      <c r="FI142" s="29"/>
      <c r="FJ142" s="29"/>
      <c r="FK142" s="29">
        <v>75</v>
      </c>
      <c r="FL142" s="1504">
        <v>38777</v>
      </c>
      <c r="FM142" s="19"/>
      <c r="FN142" s="93"/>
      <c r="FO142" s="93"/>
      <c r="FP142" s="93"/>
      <c r="FQ142" s="93"/>
      <c r="FR142" s="93"/>
      <c r="FS142" s="93"/>
      <c r="FT142" s="93"/>
      <c r="FU142" s="93"/>
      <c r="FV142" s="93"/>
      <c r="FW142" s="93"/>
      <c r="FX142" s="93"/>
      <c r="FY142" s="93"/>
      <c r="FZ142" s="29">
        <v>75</v>
      </c>
      <c r="GA142" s="1504">
        <v>38777</v>
      </c>
      <c r="GB142" s="19"/>
      <c r="GC142" s="93"/>
      <c r="GD142" s="93"/>
      <c r="GE142" s="93"/>
      <c r="GF142" s="93"/>
      <c r="GG142" s="93"/>
      <c r="GH142" s="93"/>
      <c r="GI142" s="93"/>
      <c r="GJ142" s="93"/>
      <c r="GK142" s="93"/>
      <c r="GL142" s="93"/>
      <c r="GM142" s="93"/>
      <c r="GN142" s="20"/>
      <c r="GO142" s="29">
        <v>75</v>
      </c>
      <c r="GP142" s="1504">
        <v>38777</v>
      </c>
      <c r="GQ142" s="19"/>
      <c r="GR142" s="93"/>
      <c r="GS142" s="93"/>
      <c r="GT142" s="93"/>
      <c r="GU142" s="93"/>
      <c r="GV142" s="20"/>
      <c r="GW142" s="19"/>
      <c r="GX142" s="93"/>
      <c r="GY142" s="93"/>
      <c r="GZ142" s="93"/>
      <c r="HA142" s="93"/>
      <c r="HB142" s="20"/>
      <c r="HC142" s="19"/>
      <c r="HD142" s="93"/>
      <c r="HE142" s="93"/>
      <c r="HF142" s="93"/>
      <c r="HG142" s="93"/>
      <c r="HH142" s="20"/>
      <c r="HI142" s="19"/>
      <c r="HJ142" s="93"/>
      <c r="HK142" s="93"/>
      <c r="HL142" s="93"/>
      <c r="HM142" s="93"/>
      <c r="HN142" s="20"/>
      <c r="HO142" s="219"/>
      <c r="HP142" s="20"/>
      <c r="HQ142" s="25"/>
      <c r="HR142" s="29">
        <v>75</v>
      </c>
      <c r="HS142" s="1504">
        <v>38777</v>
      </c>
      <c r="HT142" s="179">
        <v>153.42011260986328</v>
      </c>
      <c r="HU142" s="99">
        <v>173.46468963623047</v>
      </c>
      <c r="HV142" s="99">
        <v>120.49549102783203</v>
      </c>
      <c r="HW142" s="99">
        <v>97.087379455566406</v>
      </c>
      <c r="HX142" s="99">
        <v>113.26767476399739</v>
      </c>
      <c r="HY142" s="99">
        <v>139.23040771484375</v>
      </c>
      <c r="HZ142" s="99">
        <v>169.0330810546875</v>
      </c>
      <c r="IA142" s="132">
        <v>117.252392578125</v>
      </c>
      <c r="IB142" s="179">
        <v>142.70383605957031</v>
      </c>
      <c r="IC142" s="99">
        <v>118.88246663411458</v>
      </c>
      <c r="ID142" s="99">
        <v>117.1875</v>
      </c>
      <c r="IE142" s="99"/>
      <c r="IF142" s="99">
        <v>125.93785095214844</v>
      </c>
      <c r="IG142" s="132">
        <v>108.75</v>
      </c>
      <c r="IH142" s="179">
        <v>105.69859504699707</v>
      </c>
      <c r="II142" s="99">
        <v>156.15935668945312</v>
      </c>
      <c r="IJ142" s="99">
        <v>113.70967864990234</v>
      </c>
      <c r="IK142" s="99">
        <v>119.69228363037109</v>
      </c>
      <c r="IL142" s="99">
        <v>118.01215362548828</v>
      </c>
      <c r="IM142" s="99">
        <v>121.33333129882813</v>
      </c>
      <c r="IN142" s="93"/>
      <c r="IO142" s="132">
        <v>140.90418243408203</v>
      </c>
      <c r="IP142" s="29">
        <v>75</v>
      </c>
      <c r="IQ142" s="19"/>
      <c r="IR142" s="93"/>
      <c r="IS142" s="93"/>
      <c r="IT142" s="93"/>
      <c r="IU142" s="93"/>
      <c r="IV142" s="20"/>
      <c r="IW142" s="29">
        <v>75</v>
      </c>
      <c r="IX142" s="19"/>
      <c r="IY142" s="93"/>
      <c r="IZ142" s="93"/>
      <c r="JA142" s="93"/>
      <c r="JB142" s="93"/>
      <c r="JC142" s="93"/>
      <c r="JD142" s="93"/>
      <c r="JE142" s="20"/>
      <c r="JF142" s="29">
        <v>75</v>
      </c>
      <c r="JG142" s="19"/>
      <c r="JH142" s="93"/>
      <c r="JI142" s="93"/>
      <c r="JJ142" s="93"/>
      <c r="JK142" s="93"/>
      <c r="JL142" s="93"/>
      <c r="JM142" s="93"/>
      <c r="JN142" s="20"/>
      <c r="JO142" s="29">
        <v>75</v>
      </c>
      <c r="JP142" s="19"/>
      <c r="JQ142" s="93"/>
      <c r="JR142" s="93"/>
      <c r="JS142" s="93"/>
      <c r="JT142" s="93"/>
      <c r="JU142" s="20"/>
      <c r="JV142" s="29">
        <v>75</v>
      </c>
      <c r="JW142" s="1504">
        <v>38777</v>
      </c>
      <c r="JX142" s="19"/>
      <c r="JY142" s="93"/>
      <c r="JZ142" s="93"/>
      <c r="KA142" s="93"/>
      <c r="KB142" s="93"/>
      <c r="KC142" s="93"/>
      <c r="KD142" s="20"/>
      <c r="KE142" s="29">
        <v>75</v>
      </c>
      <c r="KF142" s="19"/>
      <c r="KG142" s="93"/>
      <c r="KH142" s="93"/>
      <c r="KI142" s="93"/>
      <c r="KJ142" s="93"/>
      <c r="KK142" s="20"/>
      <c r="KL142" s="29">
        <v>75</v>
      </c>
      <c r="KM142" s="19"/>
      <c r="KN142" s="93"/>
      <c r="KO142" s="93"/>
      <c r="KP142" s="93"/>
      <c r="KQ142" s="93"/>
      <c r="KR142" s="20"/>
      <c r="KS142" s="29">
        <v>75</v>
      </c>
      <c r="KT142" s="19"/>
      <c r="KU142" s="93"/>
      <c r="KV142" s="93"/>
      <c r="KW142" s="93"/>
      <c r="KX142" s="93"/>
      <c r="KY142" s="20"/>
      <c r="KZ142" s="29">
        <v>75</v>
      </c>
      <c r="LA142" s="1504">
        <v>38777</v>
      </c>
      <c r="LB142" s="19"/>
      <c r="LC142" s="93"/>
      <c r="LD142" s="93"/>
      <c r="LE142" s="93"/>
      <c r="LF142" s="93"/>
      <c r="LG142" s="93"/>
      <c r="LH142" s="20"/>
      <c r="LI142" s="29">
        <v>75</v>
      </c>
      <c r="LJ142" s="19"/>
      <c r="LK142" s="93"/>
      <c r="LL142" s="93"/>
      <c r="LM142" s="93"/>
      <c r="LN142" s="93"/>
      <c r="LO142" s="20"/>
      <c r="LP142" s="29">
        <v>75</v>
      </c>
      <c r="LQ142" s="19"/>
      <c r="LR142" s="93"/>
      <c r="LS142" s="93"/>
      <c r="LT142" s="93"/>
      <c r="LU142" s="93"/>
      <c r="LV142" s="93"/>
      <c r="LW142" s="93"/>
      <c r="LX142" s="93"/>
      <c r="LY142" s="93"/>
      <c r="LZ142" s="93"/>
      <c r="MA142" s="20"/>
      <c r="MB142" s="29">
        <v>75</v>
      </c>
      <c r="MC142" s="1504">
        <v>38777</v>
      </c>
      <c r="MD142" s="19"/>
      <c r="ME142" s="93"/>
      <c r="MF142" s="93"/>
      <c r="MG142" s="93"/>
      <c r="MH142" s="93"/>
      <c r="MI142" s="93"/>
      <c r="MJ142" s="93"/>
      <c r="MK142" s="93"/>
      <c r="ML142" s="93"/>
      <c r="MM142" s="93"/>
      <c r="MN142" s="93"/>
      <c r="MO142" s="93"/>
      <c r="MP142" s="93"/>
      <c r="MQ142" s="93"/>
      <c r="MR142" s="93"/>
      <c r="MS142" s="93"/>
      <c r="MT142" s="93"/>
      <c r="MU142" s="93"/>
      <c r="MV142" s="93"/>
      <c r="MW142" s="93"/>
      <c r="MX142" s="93"/>
      <c r="MY142" s="93"/>
      <c r="MZ142" s="93"/>
      <c r="NA142" s="93"/>
      <c r="NB142" s="93"/>
      <c r="NC142" s="93"/>
      <c r="ND142" s="93"/>
      <c r="NE142" s="93"/>
      <c r="NF142" s="93"/>
      <c r="NG142" s="93"/>
      <c r="NH142" s="93"/>
      <c r="NI142" s="93"/>
      <c r="NJ142" s="93"/>
      <c r="NK142" s="93"/>
      <c r="NL142" s="93"/>
      <c r="NM142" s="93"/>
      <c r="NN142" s="93"/>
      <c r="NO142" s="93"/>
      <c r="NP142" s="93"/>
      <c r="NQ142" s="93"/>
      <c r="NR142" s="93"/>
      <c r="NS142" s="93"/>
      <c r="NT142" s="93"/>
      <c r="NU142" s="93"/>
      <c r="NV142" s="93"/>
      <c r="NW142" s="93"/>
      <c r="NX142" s="93"/>
      <c r="NY142" s="93"/>
      <c r="NZ142" s="93"/>
      <c r="OA142" s="93"/>
      <c r="OB142" s="93"/>
      <c r="OC142" s="93"/>
      <c r="OD142" s="20"/>
      <c r="OE142" s="29">
        <v>75</v>
      </c>
      <c r="OF142" s="1504">
        <v>38777</v>
      </c>
      <c r="OG142" s="19"/>
      <c r="OH142" s="93">
        <v>163.12460000000002</v>
      </c>
      <c r="OI142" s="93">
        <v>261.55912490802842</v>
      </c>
      <c r="OJ142" s="93">
        <v>0.30600684499999997</v>
      </c>
      <c r="OK142" s="93">
        <v>213.99141806302842</v>
      </c>
      <c r="OL142" s="93">
        <v>47.261699999999998</v>
      </c>
      <c r="OM142" s="93">
        <v>424.68372490802847</v>
      </c>
      <c r="ON142" s="93">
        <v>203.86759518619709</v>
      </c>
      <c r="OO142" s="93">
        <v>628.5513200942255</v>
      </c>
      <c r="OP142" s="93"/>
      <c r="OQ142" s="93">
        <v>248.31169784106919</v>
      </c>
      <c r="OR142" s="93">
        <v>222.38057764000001</v>
      </c>
      <c r="OS142" s="93">
        <v>25.931120201069149</v>
      </c>
      <c r="OT142" s="93">
        <v>465.62465617715657</v>
      </c>
      <c r="OU142" s="93">
        <v>-71.590607269000003</v>
      </c>
      <c r="OV142" s="93">
        <v>5.1083927310000021</v>
      </c>
      <c r="OW142" s="93">
        <v>-76.699000000000012</v>
      </c>
      <c r="OX142" s="93">
        <v>537.21526344615654</v>
      </c>
      <c r="OY142" s="93">
        <v>2.3753703980000003</v>
      </c>
      <c r="OZ142" s="93">
        <v>534.83989304815645</v>
      </c>
      <c r="PA142" s="93">
        <v>103.19798316200001</v>
      </c>
      <c r="PB142" s="93">
        <v>-17.812949238000023</v>
      </c>
      <c r="PC142" s="20">
        <v>628.55132009422573</v>
      </c>
      <c r="PD142" s="29">
        <v>75</v>
      </c>
      <c r="PE142" s="19"/>
      <c r="PF142" s="93">
        <v>222.38057764000001</v>
      </c>
      <c r="PG142" s="93">
        <v>542.88500459400007</v>
      </c>
      <c r="PH142" s="93">
        <v>320.50442695400005</v>
      </c>
      <c r="PI142" s="93">
        <v>1.1100000000000001</v>
      </c>
      <c r="PJ142" s="93">
        <v>5.1083927310000021</v>
      </c>
      <c r="PK142" s="93">
        <v>35.885044346000001</v>
      </c>
      <c r="PL142" s="93">
        <v>30.776651614999999</v>
      </c>
      <c r="PM142" s="93">
        <v>2.3753703980000003</v>
      </c>
      <c r="PN142" s="93">
        <v>0</v>
      </c>
      <c r="PO142" s="93">
        <v>0</v>
      </c>
      <c r="PP142" s="93">
        <v>2.4687899999999998E-4</v>
      </c>
      <c r="PQ142" s="93">
        <v>2.3751235190000002</v>
      </c>
      <c r="PR142" s="93">
        <v>230.92711400300001</v>
      </c>
      <c r="PS142" s="93">
        <v>181.2176</v>
      </c>
      <c r="PT142" s="93">
        <v>49.403507157999996</v>
      </c>
      <c r="PU142" s="93">
        <v>0.30600684499999997</v>
      </c>
      <c r="PV142" s="93">
        <v>0</v>
      </c>
      <c r="PW142" s="93">
        <v>0.26992814399999998</v>
      </c>
      <c r="PX142" s="93">
        <v>0</v>
      </c>
      <c r="PY142" s="93">
        <v>0</v>
      </c>
      <c r="PZ142" s="93">
        <v>0.26992814399999998</v>
      </c>
      <c r="QA142" s="93">
        <v>0</v>
      </c>
      <c r="QB142" s="93">
        <v>0</v>
      </c>
      <c r="QC142" s="93">
        <v>0</v>
      </c>
      <c r="QD142" s="93">
        <v>-0.41794498199999996</v>
      </c>
      <c r="QE142" s="20">
        <v>0.1952436039999928</v>
      </c>
      <c r="QF142" s="1739">
        <v>75</v>
      </c>
      <c r="QG142" s="19"/>
      <c r="QH142" s="1035">
        <v>25.931120201069149</v>
      </c>
      <c r="QI142" s="1035">
        <v>127.91510695184365</v>
      </c>
      <c r="QJ142" s="1035">
        <v>-101.98398675077451</v>
      </c>
      <c r="QK142" s="1035">
        <v>66.98</v>
      </c>
      <c r="QL142" s="1035">
        <v>18.093</v>
      </c>
      <c r="QM142" s="1035">
        <v>48.887</v>
      </c>
      <c r="QN142" s="1035">
        <v>0</v>
      </c>
      <c r="QO142" s="1035">
        <v>-76.699000000000012</v>
      </c>
      <c r="QP142" s="1035">
        <v>12.683999999999999</v>
      </c>
      <c r="QQ142" s="1035">
        <v>-89.38300000000001</v>
      </c>
      <c r="QR142" s="1035">
        <v>534.83989304815645</v>
      </c>
      <c r="QS142" s="1035">
        <v>9.1559845464788747</v>
      </c>
      <c r="QT142" s="1035">
        <v>0</v>
      </c>
      <c r="QU142" s="1035">
        <v>95.52</v>
      </c>
      <c r="QV142" s="1035">
        <v>430.16390850167761</v>
      </c>
      <c r="QW142" s="93"/>
      <c r="QX142" s="93">
        <v>0.58499999999999996</v>
      </c>
      <c r="QY142" s="93">
        <v>213.99141806302842</v>
      </c>
      <c r="QZ142" s="93">
        <v>203.86759518619709</v>
      </c>
      <c r="RA142" s="93">
        <v>0</v>
      </c>
      <c r="RB142" s="93">
        <v>16.433</v>
      </c>
      <c r="RC142" s="93">
        <v>0</v>
      </c>
      <c r="RD142" s="93">
        <v>3.8119999999999998</v>
      </c>
      <c r="RE142" s="93">
        <v>0</v>
      </c>
      <c r="RF142" s="93">
        <v>0</v>
      </c>
      <c r="RG142" s="93">
        <v>83.100999999999999</v>
      </c>
      <c r="RH142" s="93">
        <v>29.261999999999986</v>
      </c>
      <c r="RI142" s="93"/>
      <c r="RJ142" s="93"/>
      <c r="RK142" s="93"/>
      <c r="RL142" s="93"/>
      <c r="RM142" s="20"/>
      <c r="RN142" s="29">
        <v>75</v>
      </c>
      <c r="RO142" s="19"/>
      <c r="RP142" s="20"/>
      <c r="RQ142" s="29">
        <v>75</v>
      </c>
      <c r="RR142" s="20"/>
      <c r="RS142" s="29">
        <v>75</v>
      </c>
      <c r="RT142" s="1504">
        <v>38777</v>
      </c>
      <c r="RU142" s="19"/>
      <c r="RV142" s="20"/>
      <c r="RW142" s="29">
        <v>75</v>
      </c>
      <c r="RX142" s="1504">
        <v>38777</v>
      </c>
      <c r="RY142" s="29"/>
      <c r="RZ142" s="20"/>
      <c r="SA142" s="29"/>
      <c r="SB142" s="29">
        <v>75</v>
      </c>
    </row>
    <row r="143" spans="1:496">
      <c r="A143" s="41">
        <f t="shared" si="191"/>
        <v>2006</v>
      </c>
      <c r="B143" s="1504">
        <v>38808</v>
      </c>
      <c r="C143" s="1813"/>
      <c r="D143" s="1814"/>
      <c r="E143" s="1814"/>
      <c r="F143" s="1815"/>
      <c r="G143" s="1814"/>
      <c r="H143" s="1814"/>
      <c r="I143" s="1814"/>
      <c r="J143" s="1816"/>
      <c r="K143" s="1807"/>
      <c r="L143" s="25">
        <v>76</v>
      </c>
      <c r="M143" s="97"/>
      <c r="N143" s="1504">
        <v>38808</v>
      </c>
      <c r="O143" s="19"/>
      <c r="P143" s="93"/>
      <c r="Q143" s="93"/>
      <c r="R143" s="93"/>
      <c r="S143" s="93"/>
      <c r="T143" s="93"/>
      <c r="U143" s="93"/>
      <c r="V143" s="93"/>
      <c r="W143" s="93"/>
      <c r="X143" s="93"/>
      <c r="Y143" s="93"/>
      <c r="Z143" s="93"/>
      <c r="AA143" s="93"/>
      <c r="AB143" s="20"/>
      <c r="AC143" s="25">
        <v>76</v>
      </c>
      <c r="AD143" s="97"/>
      <c r="AE143" s="1504">
        <v>38808</v>
      </c>
      <c r="AF143" s="19"/>
      <c r="AG143" s="93"/>
      <c r="AH143" s="93"/>
      <c r="AI143" s="93"/>
      <c r="AJ143" s="93"/>
      <c r="AK143" s="93"/>
      <c r="AL143" s="93"/>
      <c r="AM143" s="93"/>
      <c r="AN143" s="93"/>
      <c r="AO143" s="93"/>
      <c r="AP143" s="93"/>
      <c r="AQ143" s="93"/>
      <c r="AR143" s="93"/>
      <c r="AS143" s="20"/>
      <c r="AT143" s="25">
        <v>76</v>
      </c>
      <c r="AU143" s="97"/>
      <c r="AV143" s="1504">
        <v>38808</v>
      </c>
      <c r="AW143" s="19"/>
      <c r="AX143" s="93"/>
      <c r="AY143" s="93"/>
      <c r="AZ143" s="93"/>
      <c r="BA143" s="93"/>
      <c r="BB143" s="93"/>
      <c r="BC143" s="93"/>
      <c r="BD143" s="93"/>
      <c r="BE143" s="93"/>
      <c r="BF143" s="93"/>
      <c r="BG143" s="93"/>
      <c r="BH143" s="93"/>
      <c r="BI143" s="93"/>
      <c r="BJ143" s="20"/>
      <c r="BK143" s="25">
        <v>76</v>
      </c>
      <c r="BL143" s="97"/>
      <c r="BM143" s="1504">
        <v>38808</v>
      </c>
      <c r="BN143" s="19"/>
      <c r="BO143" s="93"/>
      <c r="BP143" s="93"/>
      <c r="BQ143" s="93"/>
      <c r="BR143" s="93"/>
      <c r="BS143" s="93"/>
      <c r="BT143" s="93"/>
      <c r="BU143" s="20"/>
      <c r="BV143" s="25">
        <v>76</v>
      </c>
      <c r="BW143" s="97"/>
      <c r="BX143" s="1504">
        <v>38808</v>
      </c>
      <c r="BY143" s="19"/>
      <c r="BZ143" s="99">
        <v>664.95699999999999</v>
      </c>
      <c r="CA143" s="93"/>
      <c r="CB143" s="93"/>
      <c r="CC143" s="93"/>
      <c r="CD143" s="25">
        <v>76</v>
      </c>
      <c r="CE143" s="97"/>
      <c r="CF143" s="1504">
        <v>38808</v>
      </c>
      <c r="CG143" s="19">
        <v>1.24009875</v>
      </c>
      <c r="CH143" s="93">
        <v>610.65300000000002</v>
      </c>
      <c r="CI143" s="219"/>
      <c r="CJ143" s="20"/>
      <c r="CK143" s="19"/>
      <c r="CL143" s="93"/>
      <c r="CM143" s="93"/>
      <c r="CN143" s="93"/>
      <c r="CO143" s="93"/>
      <c r="CP143" s="20"/>
      <c r="CQ143" s="219">
        <v>936.96</v>
      </c>
      <c r="CR143" s="93">
        <v>1.96333333333333</v>
      </c>
      <c r="CS143" s="93"/>
      <c r="CT143" s="93"/>
      <c r="CU143" s="93"/>
      <c r="CV143" s="214"/>
      <c r="CW143" s="29">
        <v>76</v>
      </c>
      <c r="CX143" s="41">
        <f t="shared" si="192"/>
        <v>2006</v>
      </c>
      <c r="CY143" s="1504">
        <v>38808</v>
      </c>
      <c r="CZ143" s="1916">
        <v>54.935810000000004</v>
      </c>
      <c r="DA143" s="1526">
        <v>33.579047000000003</v>
      </c>
      <c r="DB143" s="1526">
        <v>21.356763000000001</v>
      </c>
      <c r="DC143" s="182">
        <f t="shared" si="193"/>
        <v>283908</v>
      </c>
      <c r="DD143" s="182">
        <f t="shared" si="194"/>
        <v>283111</v>
      </c>
      <c r="DE143" s="182">
        <f t="shared" si="195"/>
        <v>797</v>
      </c>
      <c r="DF143" s="29">
        <v>76</v>
      </c>
      <c r="DG143" s="1504">
        <v>38808</v>
      </c>
      <c r="DH143" s="19"/>
      <c r="DI143" s="93"/>
      <c r="DJ143" s="93"/>
      <c r="DK143" s="93"/>
      <c r="DL143" s="93"/>
      <c r="DM143" s="93"/>
      <c r="DN143" s="20"/>
      <c r="DO143" s="25"/>
      <c r="DP143" s="29">
        <v>76</v>
      </c>
      <c r="DQ143" s="1504">
        <v>38808</v>
      </c>
      <c r="DR143" s="19"/>
      <c r="DS143" s="93"/>
      <c r="DT143" s="93"/>
      <c r="DU143" s="93"/>
      <c r="DV143" s="93"/>
      <c r="DW143" s="93"/>
      <c r="DX143" s="20"/>
      <c r="DY143" s="29">
        <v>76</v>
      </c>
      <c r="DZ143" s="1504">
        <v>38808</v>
      </c>
      <c r="EA143" s="19"/>
      <c r="EB143" s="93"/>
      <c r="EC143" s="20"/>
      <c r="ED143" s="29">
        <v>76</v>
      </c>
      <c r="EE143" s="1504">
        <v>38808</v>
      </c>
      <c r="EF143" s="19"/>
      <c r="EG143" s="93"/>
      <c r="EH143" s="93"/>
      <c r="EI143" s="214"/>
      <c r="EJ143" s="93"/>
      <c r="EK143" s="93"/>
      <c r="EL143" s="93"/>
      <c r="EM143" s="93"/>
      <c r="EN143" s="20"/>
      <c r="EO143" s="29">
        <v>76</v>
      </c>
      <c r="EP143" s="1504">
        <v>38808</v>
      </c>
      <c r="EQ143" s="19"/>
      <c r="ER143" s="93"/>
      <c r="ES143" s="93"/>
      <c r="ET143" s="214"/>
      <c r="EU143" s="93"/>
      <c r="EV143" s="93"/>
      <c r="EW143" s="93"/>
      <c r="EX143" s="93"/>
      <c r="EY143" s="20"/>
      <c r="EZ143" s="29">
        <v>76</v>
      </c>
      <c r="FA143" s="1504">
        <v>38808</v>
      </c>
      <c r="FB143" s="29"/>
      <c r="FC143" s="29"/>
      <c r="FD143" s="29"/>
      <c r="FE143" s="29"/>
      <c r="FF143" s="29"/>
      <c r="FG143" s="29"/>
      <c r="FH143" s="29"/>
      <c r="FI143" s="29"/>
      <c r="FJ143" s="29"/>
      <c r="FK143" s="29">
        <v>76</v>
      </c>
      <c r="FL143" s="1504">
        <v>38808</v>
      </c>
      <c r="FM143" s="19"/>
      <c r="FN143" s="93"/>
      <c r="FO143" s="93"/>
      <c r="FP143" s="93"/>
      <c r="FQ143" s="93"/>
      <c r="FR143" s="93"/>
      <c r="FS143" s="93"/>
      <c r="FT143" s="93"/>
      <c r="FU143" s="93"/>
      <c r="FV143" s="93"/>
      <c r="FW143" s="93"/>
      <c r="FX143" s="93"/>
      <c r="FY143" s="93"/>
      <c r="FZ143" s="29">
        <v>76</v>
      </c>
      <c r="GA143" s="1504">
        <v>38808</v>
      </c>
      <c r="GB143" s="19"/>
      <c r="GC143" s="93"/>
      <c r="GD143" s="93"/>
      <c r="GE143" s="93"/>
      <c r="GF143" s="93"/>
      <c r="GG143" s="93"/>
      <c r="GH143" s="93"/>
      <c r="GI143" s="93"/>
      <c r="GJ143" s="93"/>
      <c r="GK143" s="93"/>
      <c r="GL143" s="93"/>
      <c r="GM143" s="93"/>
      <c r="GN143" s="20"/>
      <c r="GO143" s="29">
        <v>76</v>
      </c>
      <c r="GP143" s="1504">
        <v>38808</v>
      </c>
      <c r="GQ143" s="19"/>
      <c r="GR143" s="93"/>
      <c r="GS143" s="93"/>
      <c r="GT143" s="93"/>
      <c r="GU143" s="93"/>
      <c r="GV143" s="20"/>
      <c r="GW143" s="19"/>
      <c r="GX143" s="93"/>
      <c r="GY143" s="93"/>
      <c r="GZ143" s="93"/>
      <c r="HA143" s="93"/>
      <c r="HB143" s="20"/>
      <c r="HC143" s="19"/>
      <c r="HD143" s="93"/>
      <c r="HE143" s="93"/>
      <c r="HF143" s="93"/>
      <c r="HG143" s="93"/>
      <c r="HH143" s="20"/>
      <c r="HI143" s="19"/>
      <c r="HJ143" s="93"/>
      <c r="HK143" s="93"/>
      <c r="HL143" s="93"/>
      <c r="HM143" s="93"/>
      <c r="HN143" s="20"/>
      <c r="HO143" s="219"/>
      <c r="HP143" s="20"/>
      <c r="HQ143" s="25"/>
      <c r="HR143" s="29">
        <v>76</v>
      </c>
      <c r="HS143" s="1504">
        <v>38808</v>
      </c>
      <c r="HT143" s="179">
        <v>155.76183624267577</v>
      </c>
      <c r="HU143" s="99">
        <v>181.87481498718262</v>
      </c>
      <c r="HV143" s="99">
        <v>124.57769966125488</v>
      </c>
      <c r="HW143" s="99">
        <v>109.22330474853516</v>
      </c>
      <c r="HX143" s="99">
        <v>122.47474670410156</v>
      </c>
      <c r="HY143" s="99">
        <v>147.93417358398438</v>
      </c>
      <c r="HZ143" s="99">
        <v>192.71663665771484</v>
      </c>
      <c r="IA143" s="132">
        <v>125.80645751953125</v>
      </c>
      <c r="IB143" s="179">
        <v>139.65516662597656</v>
      </c>
      <c r="IC143" s="99">
        <v>121.13401641845704</v>
      </c>
      <c r="ID143" s="99">
        <v>133.33332824707031</v>
      </c>
      <c r="IE143" s="99"/>
      <c r="IF143" s="99">
        <v>131.32910919189453</v>
      </c>
      <c r="IG143" s="132">
        <v>139.375</v>
      </c>
      <c r="IH143" s="179">
        <v>117.35166320800781</v>
      </c>
      <c r="II143" s="99">
        <v>145.0730504989624</v>
      </c>
      <c r="IJ143" s="99">
        <v>117.74193827311198</v>
      </c>
      <c r="IK143" s="99">
        <v>125</v>
      </c>
      <c r="IL143" s="99">
        <v>125</v>
      </c>
      <c r="IM143" s="99">
        <v>128.7128734588623</v>
      </c>
      <c r="IN143" s="93"/>
      <c r="IO143" s="132">
        <v>159.43841648101807</v>
      </c>
      <c r="IP143" s="29">
        <v>76</v>
      </c>
      <c r="IQ143" s="19"/>
      <c r="IR143" s="93"/>
      <c r="IS143" s="93"/>
      <c r="IT143" s="93"/>
      <c r="IU143" s="93"/>
      <c r="IV143" s="20"/>
      <c r="IW143" s="29">
        <v>76</v>
      </c>
      <c r="IX143" s="19"/>
      <c r="IY143" s="93"/>
      <c r="IZ143" s="93"/>
      <c r="JA143" s="93"/>
      <c r="JB143" s="93"/>
      <c r="JC143" s="93"/>
      <c r="JD143" s="93"/>
      <c r="JE143" s="20"/>
      <c r="JF143" s="29">
        <v>76</v>
      </c>
      <c r="JG143" s="19"/>
      <c r="JH143" s="93"/>
      <c r="JI143" s="93"/>
      <c r="JJ143" s="93"/>
      <c r="JK143" s="93"/>
      <c r="JL143" s="93"/>
      <c r="JM143" s="93"/>
      <c r="JN143" s="20"/>
      <c r="JO143" s="29">
        <v>76</v>
      </c>
      <c r="JP143" s="19"/>
      <c r="JQ143" s="93"/>
      <c r="JR143" s="93"/>
      <c r="JS143" s="93"/>
      <c r="JT143" s="93"/>
      <c r="JU143" s="20"/>
      <c r="JV143" s="29">
        <v>76</v>
      </c>
      <c r="JW143" s="1504">
        <v>38808</v>
      </c>
      <c r="JX143" s="19"/>
      <c r="JY143" s="93"/>
      <c r="JZ143" s="93"/>
      <c r="KA143" s="93"/>
      <c r="KB143" s="93"/>
      <c r="KC143" s="93"/>
      <c r="KD143" s="20"/>
      <c r="KE143" s="29">
        <v>76</v>
      </c>
      <c r="KF143" s="19"/>
      <c r="KG143" s="93"/>
      <c r="KH143" s="93"/>
      <c r="KI143" s="93"/>
      <c r="KJ143" s="93"/>
      <c r="KK143" s="20"/>
      <c r="KL143" s="29">
        <v>76</v>
      </c>
      <c r="KM143" s="19"/>
      <c r="KN143" s="93"/>
      <c r="KO143" s="93"/>
      <c r="KP143" s="93"/>
      <c r="KQ143" s="93"/>
      <c r="KR143" s="20"/>
      <c r="KS143" s="29">
        <v>76</v>
      </c>
      <c r="KT143" s="19"/>
      <c r="KU143" s="93"/>
      <c r="KV143" s="93"/>
      <c r="KW143" s="93"/>
      <c r="KX143" s="93"/>
      <c r="KY143" s="20"/>
      <c r="KZ143" s="29">
        <v>76</v>
      </c>
      <c r="LA143" s="1504">
        <v>38808</v>
      </c>
      <c r="LB143" s="19"/>
      <c r="LC143" s="93"/>
      <c r="LD143" s="93"/>
      <c r="LE143" s="93"/>
      <c r="LF143" s="93"/>
      <c r="LG143" s="93"/>
      <c r="LH143" s="20"/>
      <c r="LI143" s="29">
        <v>76</v>
      </c>
      <c r="LJ143" s="19"/>
      <c r="LK143" s="93"/>
      <c r="LL143" s="93"/>
      <c r="LM143" s="93"/>
      <c r="LN143" s="93"/>
      <c r="LO143" s="20"/>
      <c r="LP143" s="29">
        <v>76</v>
      </c>
      <c r="LQ143" s="19"/>
      <c r="LR143" s="93"/>
      <c r="LS143" s="93"/>
      <c r="LT143" s="93"/>
      <c r="LU143" s="93"/>
      <c r="LV143" s="93"/>
      <c r="LW143" s="93"/>
      <c r="LX143" s="93"/>
      <c r="LY143" s="93"/>
      <c r="LZ143" s="93"/>
      <c r="MA143" s="20"/>
      <c r="MB143" s="29">
        <v>76</v>
      </c>
      <c r="MC143" s="1504">
        <v>38808</v>
      </c>
      <c r="MD143" s="19"/>
      <c r="ME143" s="93"/>
      <c r="MF143" s="93"/>
      <c r="MG143" s="93"/>
      <c r="MH143" s="93"/>
      <c r="MI143" s="93"/>
      <c r="MJ143" s="93"/>
      <c r="MK143" s="93"/>
      <c r="ML143" s="93"/>
      <c r="MM143" s="93"/>
      <c r="MN143" s="93"/>
      <c r="MO143" s="93"/>
      <c r="MP143" s="93"/>
      <c r="MQ143" s="93"/>
      <c r="MR143" s="93"/>
      <c r="MS143" s="93"/>
      <c r="MT143" s="93"/>
      <c r="MU143" s="93"/>
      <c r="MV143" s="93"/>
      <c r="MW143" s="93"/>
      <c r="MX143" s="93"/>
      <c r="MY143" s="93"/>
      <c r="MZ143" s="93"/>
      <c r="NA143" s="93"/>
      <c r="NB143" s="93"/>
      <c r="NC143" s="93"/>
      <c r="ND143" s="93"/>
      <c r="NE143" s="93"/>
      <c r="NF143" s="93"/>
      <c r="NG143" s="93"/>
      <c r="NH143" s="93"/>
      <c r="NI143" s="93"/>
      <c r="NJ143" s="93"/>
      <c r="NK143" s="93"/>
      <c r="NL143" s="93"/>
      <c r="NM143" s="93"/>
      <c r="NN143" s="93"/>
      <c r="NO143" s="93"/>
      <c r="NP143" s="93"/>
      <c r="NQ143" s="93"/>
      <c r="NR143" s="93"/>
      <c r="NS143" s="93"/>
      <c r="NT143" s="93"/>
      <c r="NU143" s="93"/>
      <c r="NV143" s="93"/>
      <c r="NW143" s="93"/>
      <c r="NX143" s="93"/>
      <c r="NY143" s="93"/>
      <c r="NZ143" s="93"/>
      <c r="OA143" s="93"/>
      <c r="OB143" s="93"/>
      <c r="OC143" s="93"/>
      <c r="OD143" s="20"/>
      <c r="OE143" s="29">
        <v>76</v>
      </c>
      <c r="OF143" s="1504">
        <v>38808</v>
      </c>
      <c r="OG143" s="19"/>
      <c r="OH143" s="93">
        <v>155.02120000000002</v>
      </c>
      <c r="OI143" s="93">
        <v>253.05957752785127</v>
      </c>
      <c r="OJ143" s="93">
        <v>0.27297397699999998</v>
      </c>
      <c r="OK143" s="93">
        <v>204.5276035508513</v>
      </c>
      <c r="OL143" s="93">
        <v>48.259</v>
      </c>
      <c r="OM143" s="93">
        <v>408.0807775278513</v>
      </c>
      <c r="ON143" s="93">
        <v>210.23800277875705</v>
      </c>
      <c r="OO143" s="93">
        <v>618.31878030660835</v>
      </c>
      <c r="OP143" s="93"/>
      <c r="OQ143" s="93">
        <v>232.73116301030683</v>
      </c>
      <c r="OR143" s="93">
        <v>207.46155444099998</v>
      </c>
      <c r="OS143" s="93">
        <v>25.269608569306882</v>
      </c>
      <c r="OT143" s="93">
        <v>468.16232865830153</v>
      </c>
      <c r="OU143" s="93">
        <v>-67.928418152999996</v>
      </c>
      <c r="OV143" s="93">
        <v>8.1535818469999946</v>
      </c>
      <c r="OW143" s="93">
        <v>-76.081999999999994</v>
      </c>
      <c r="OX143" s="93">
        <v>536.09074681130153</v>
      </c>
      <c r="OY143" s="93">
        <v>2.3807490509999996</v>
      </c>
      <c r="OZ143" s="93">
        <v>533.70999776030146</v>
      </c>
      <c r="PA143" s="93">
        <v>103.02595674200002</v>
      </c>
      <c r="PB143" s="93">
        <v>-20.451245380000003</v>
      </c>
      <c r="PC143" s="20">
        <v>618.31878030660835</v>
      </c>
      <c r="PD143" s="29">
        <v>76</v>
      </c>
      <c r="PE143" s="19"/>
      <c r="PF143" s="93">
        <v>207.46155444099998</v>
      </c>
      <c r="PG143" s="93">
        <v>513.578302366</v>
      </c>
      <c r="PH143" s="93">
        <v>306.11674792500003</v>
      </c>
      <c r="PI143" s="93">
        <v>1.1100000000000001</v>
      </c>
      <c r="PJ143" s="93">
        <v>8.1535818469999946</v>
      </c>
      <c r="PK143" s="93">
        <v>35.086177729999996</v>
      </c>
      <c r="PL143" s="93">
        <v>26.932595883000001</v>
      </c>
      <c r="PM143" s="93">
        <v>2.3807490509999996</v>
      </c>
      <c r="PN143" s="93">
        <v>0</v>
      </c>
      <c r="PO143" s="93">
        <v>0</v>
      </c>
      <c r="PP143" s="93">
        <v>2.7766899999999997E-4</v>
      </c>
      <c r="PQ143" s="93">
        <v>2.3804713819999996</v>
      </c>
      <c r="PR143" s="93">
        <v>218.95612337700001</v>
      </c>
      <c r="PS143" s="93">
        <v>171.23320000000001</v>
      </c>
      <c r="PT143" s="93">
        <v>47.449949400000001</v>
      </c>
      <c r="PU143" s="93">
        <v>0.27297397699999998</v>
      </c>
      <c r="PV143" s="93">
        <v>0</v>
      </c>
      <c r="PW143" s="93">
        <v>0.4323514</v>
      </c>
      <c r="PX143" s="93">
        <v>0</v>
      </c>
      <c r="PY143" s="93">
        <v>0</v>
      </c>
      <c r="PZ143" s="93">
        <v>0.4323514</v>
      </c>
      <c r="QA143" s="93">
        <v>0</v>
      </c>
      <c r="QB143" s="93">
        <v>0</v>
      </c>
      <c r="QC143" s="93">
        <v>0</v>
      </c>
      <c r="QD143" s="93">
        <v>-0.81439465799999999</v>
      </c>
      <c r="QE143" s="20">
        <v>0.53180522000000707</v>
      </c>
      <c r="QF143" s="1739">
        <v>76</v>
      </c>
      <c r="QG143" s="19"/>
      <c r="QH143" s="1035">
        <v>25.269608569306882</v>
      </c>
      <c r="QI143" s="1035">
        <v>127.82500223969852</v>
      </c>
      <c r="QJ143" s="1035">
        <v>-102.55539367039164</v>
      </c>
      <c r="QK143" s="1035">
        <v>63.150000000000006</v>
      </c>
      <c r="QL143" s="1035">
        <v>16.212</v>
      </c>
      <c r="QM143" s="1035">
        <v>46.938000000000002</v>
      </c>
      <c r="QN143" s="1035">
        <v>0</v>
      </c>
      <c r="QO143" s="1035">
        <v>-76.081999999999994</v>
      </c>
      <c r="QP143" s="1035">
        <v>13.022</v>
      </c>
      <c r="QQ143" s="1035">
        <v>-89.103999999999999</v>
      </c>
      <c r="QR143" s="1035">
        <v>533.70999776030146</v>
      </c>
      <c r="QS143" s="1035">
        <v>7.9547703064340194</v>
      </c>
      <c r="QT143" s="1035">
        <v>0</v>
      </c>
      <c r="QU143" s="1035">
        <v>96.555999999999997</v>
      </c>
      <c r="QV143" s="1035">
        <v>429.19922745386748</v>
      </c>
      <c r="QW143" s="93"/>
      <c r="QX143" s="93">
        <v>0.52900000000000003</v>
      </c>
      <c r="QY143" s="93">
        <v>204.5276035508513</v>
      </c>
      <c r="QZ143" s="93">
        <v>210.23800277875705</v>
      </c>
      <c r="RA143" s="93">
        <v>0</v>
      </c>
      <c r="RB143" s="93">
        <v>16.027000000000001</v>
      </c>
      <c r="RC143" s="93">
        <v>0</v>
      </c>
      <c r="RD143" s="93">
        <v>4.9620000000000006</v>
      </c>
      <c r="RE143" s="93">
        <v>0</v>
      </c>
      <c r="RF143" s="93">
        <v>0</v>
      </c>
      <c r="RG143" s="93">
        <v>82.419000000000011</v>
      </c>
      <c r="RH143" s="93">
        <v>27.344999999999992</v>
      </c>
      <c r="RI143" s="93"/>
      <c r="RJ143" s="93"/>
      <c r="RK143" s="93"/>
      <c r="RL143" s="93"/>
      <c r="RM143" s="20"/>
      <c r="RN143" s="29">
        <v>76</v>
      </c>
      <c r="RO143" s="19"/>
      <c r="RP143" s="20"/>
      <c r="RQ143" s="29">
        <v>76</v>
      </c>
      <c r="RR143" s="20"/>
      <c r="RS143" s="29">
        <v>76</v>
      </c>
      <c r="RT143" s="1504">
        <v>38808</v>
      </c>
      <c r="RU143" s="19"/>
      <c r="RV143" s="20"/>
      <c r="RW143" s="29">
        <v>76</v>
      </c>
      <c r="RX143" s="1504">
        <v>38808</v>
      </c>
      <c r="RY143" s="29"/>
      <c r="RZ143" s="20"/>
      <c r="SA143" s="29"/>
      <c r="SB143" s="29">
        <v>76</v>
      </c>
    </row>
    <row r="144" spans="1:496">
      <c r="A144" s="41">
        <f t="shared" si="191"/>
        <v>2006</v>
      </c>
      <c r="B144" s="1504">
        <v>38838</v>
      </c>
      <c r="C144" s="1813"/>
      <c r="D144" s="1814"/>
      <c r="E144" s="1814"/>
      <c r="F144" s="1815"/>
      <c r="G144" s="1814"/>
      <c r="H144" s="1814"/>
      <c r="I144" s="1814"/>
      <c r="J144" s="1816"/>
      <c r="K144" s="1807"/>
      <c r="L144" s="25">
        <v>77</v>
      </c>
      <c r="M144" s="97"/>
      <c r="N144" s="1504">
        <v>38838</v>
      </c>
      <c r="O144" s="19"/>
      <c r="P144" s="93"/>
      <c r="Q144" s="93"/>
      <c r="R144" s="93"/>
      <c r="S144" s="93"/>
      <c r="T144" s="93"/>
      <c r="U144" s="93"/>
      <c r="V144" s="93"/>
      <c r="W144" s="93"/>
      <c r="X144" s="93"/>
      <c r="Y144" s="93"/>
      <c r="Z144" s="93"/>
      <c r="AA144" s="93"/>
      <c r="AB144" s="20"/>
      <c r="AC144" s="25">
        <v>77</v>
      </c>
      <c r="AD144" s="97"/>
      <c r="AE144" s="1504">
        <v>38838</v>
      </c>
      <c r="AF144" s="19"/>
      <c r="AG144" s="93"/>
      <c r="AH144" s="93"/>
      <c r="AI144" s="93"/>
      <c r="AJ144" s="93"/>
      <c r="AK144" s="93"/>
      <c r="AL144" s="93"/>
      <c r="AM144" s="93"/>
      <c r="AN144" s="93"/>
      <c r="AO144" s="93"/>
      <c r="AP144" s="93"/>
      <c r="AQ144" s="93"/>
      <c r="AR144" s="93"/>
      <c r="AS144" s="20"/>
      <c r="AT144" s="25">
        <v>77</v>
      </c>
      <c r="AU144" s="97"/>
      <c r="AV144" s="1504">
        <v>38838</v>
      </c>
      <c r="AW144" s="19"/>
      <c r="AX144" s="93"/>
      <c r="AY144" s="93"/>
      <c r="AZ144" s="93"/>
      <c r="BA144" s="93"/>
      <c r="BB144" s="93"/>
      <c r="BC144" s="93"/>
      <c r="BD144" s="93"/>
      <c r="BE144" s="93"/>
      <c r="BF144" s="93"/>
      <c r="BG144" s="93"/>
      <c r="BH144" s="93"/>
      <c r="BI144" s="93"/>
      <c r="BJ144" s="20"/>
      <c r="BK144" s="25">
        <v>77</v>
      </c>
      <c r="BL144" s="97"/>
      <c r="BM144" s="1504">
        <v>38838</v>
      </c>
      <c r="BN144" s="19"/>
      <c r="BO144" s="93"/>
      <c r="BP144" s="93"/>
      <c r="BQ144" s="93"/>
      <c r="BR144" s="93"/>
      <c r="BS144" s="93"/>
      <c r="BT144" s="93"/>
      <c r="BU144" s="20"/>
      <c r="BV144" s="25">
        <v>77</v>
      </c>
      <c r="BW144" s="97"/>
      <c r="BX144" s="1504">
        <v>38838</v>
      </c>
      <c r="BY144" s="19"/>
      <c r="BZ144" s="99">
        <v>664.95699999999999</v>
      </c>
      <c r="CA144" s="93"/>
      <c r="CB144" s="93"/>
      <c r="CC144" s="93"/>
      <c r="CD144" s="25">
        <v>77</v>
      </c>
      <c r="CE144" s="97"/>
      <c r="CF144" s="1504">
        <v>38838</v>
      </c>
      <c r="CG144" s="19">
        <v>1.1982109700000001</v>
      </c>
      <c r="CH144" s="93">
        <v>675.39300000000003</v>
      </c>
      <c r="CI144" s="219"/>
      <c r="CJ144" s="20"/>
      <c r="CK144" s="19"/>
      <c r="CL144" s="93"/>
      <c r="CM144" s="93"/>
      <c r="CN144" s="93"/>
      <c r="CO144" s="93"/>
      <c r="CP144" s="20"/>
      <c r="CQ144" s="219">
        <v>936.96</v>
      </c>
      <c r="CR144" s="93">
        <v>2.0699999999999998</v>
      </c>
      <c r="CS144" s="93"/>
      <c r="CT144" s="93"/>
      <c r="CU144" s="93"/>
      <c r="CV144" s="214"/>
      <c r="CW144" s="29">
        <v>77</v>
      </c>
      <c r="CX144" s="41">
        <f t="shared" si="192"/>
        <v>2006</v>
      </c>
      <c r="CY144" s="1504">
        <v>38838</v>
      </c>
      <c r="CZ144" s="1916">
        <v>55.611555249999995</v>
      </c>
      <c r="DA144" s="1526">
        <v>36.035109249999998</v>
      </c>
      <c r="DB144" s="1526">
        <v>19.576446000000001</v>
      </c>
      <c r="DC144" s="182">
        <f t="shared" si="193"/>
        <v>283908</v>
      </c>
      <c r="DD144" s="182">
        <f t="shared" si="194"/>
        <v>283111</v>
      </c>
      <c r="DE144" s="182">
        <f t="shared" si="195"/>
        <v>797</v>
      </c>
      <c r="DF144" s="29">
        <v>77</v>
      </c>
      <c r="DG144" s="1504">
        <v>38838</v>
      </c>
      <c r="DH144" s="19"/>
      <c r="DI144" s="93"/>
      <c r="DJ144" s="93"/>
      <c r="DK144" s="93"/>
      <c r="DL144" s="93"/>
      <c r="DM144" s="93"/>
      <c r="DN144" s="20"/>
      <c r="DO144" s="25"/>
      <c r="DP144" s="29">
        <v>77</v>
      </c>
      <c r="DQ144" s="1504">
        <v>38838</v>
      </c>
      <c r="DR144" s="19"/>
      <c r="DS144" s="93"/>
      <c r="DT144" s="93"/>
      <c r="DU144" s="93"/>
      <c r="DV144" s="93"/>
      <c r="DW144" s="93"/>
      <c r="DX144" s="20"/>
      <c r="DY144" s="29">
        <v>77</v>
      </c>
      <c r="DZ144" s="1504">
        <v>38838</v>
      </c>
      <c r="EA144" s="19"/>
      <c r="EB144" s="93"/>
      <c r="EC144" s="20"/>
      <c r="ED144" s="29">
        <v>77</v>
      </c>
      <c r="EE144" s="1504">
        <v>38838</v>
      </c>
      <c r="EF144" s="19"/>
      <c r="EG144" s="93"/>
      <c r="EH144" s="93"/>
      <c r="EI144" s="214"/>
      <c r="EJ144" s="93"/>
      <c r="EK144" s="93"/>
      <c r="EL144" s="93"/>
      <c r="EM144" s="93"/>
      <c r="EN144" s="20"/>
      <c r="EO144" s="29">
        <v>77</v>
      </c>
      <c r="EP144" s="1504">
        <v>38838</v>
      </c>
      <c r="EQ144" s="19"/>
      <c r="ER144" s="93"/>
      <c r="ES144" s="93"/>
      <c r="ET144" s="214"/>
      <c r="EU144" s="93"/>
      <c r="EV144" s="93"/>
      <c r="EW144" s="93"/>
      <c r="EX144" s="93"/>
      <c r="EY144" s="20"/>
      <c r="EZ144" s="29">
        <v>77</v>
      </c>
      <c r="FA144" s="1504">
        <v>38838</v>
      </c>
      <c r="FB144" s="29"/>
      <c r="FC144" s="29"/>
      <c r="FD144" s="29"/>
      <c r="FE144" s="29"/>
      <c r="FF144" s="29"/>
      <c r="FG144" s="29"/>
      <c r="FH144" s="29"/>
      <c r="FI144" s="29"/>
      <c r="FJ144" s="29"/>
      <c r="FK144" s="29">
        <v>77</v>
      </c>
      <c r="FL144" s="1504">
        <v>38838</v>
      </c>
      <c r="FM144" s="19"/>
      <c r="FN144" s="93"/>
      <c r="FO144" s="93"/>
      <c r="FP144" s="93"/>
      <c r="FQ144" s="93"/>
      <c r="FR144" s="93"/>
      <c r="FS144" s="93"/>
      <c r="FT144" s="93"/>
      <c r="FU144" s="93"/>
      <c r="FV144" s="93"/>
      <c r="FW144" s="93"/>
      <c r="FX144" s="93"/>
      <c r="FY144" s="93"/>
      <c r="FZ144" s="29">
        <v>77</v>
      </c>
      <c r="GA144" s="1504">
        <v>38838</v>
      </c>
      <c r="GB144" s="19"/>
      <c r="GC144" s="93"/>
      <c r="GD144" s="93"/>
      <c r="GE144" s="93"/>
      <c r="GF144" s="93"/>
      <c r="GG144" s="93"/>
      <c r="GH144" s="93"/>
      <c r="GI144" s="93"/>
      <c r="GJ144" s="93"/>
      <c r="GK144" s="93"/>
      <c r="GL144" s="93"/>
      <c r="GM144" s="93"/>
      <c r="GN144" s="20"/>
      <c r="GO144" s="29">
        <v>77</v>
      </c>
      <c r="GP144" s="1504">
        <v>38838</v>
      </c>
      <c r="GQ144" s="19"/>
      <c r="GR144" s="93"/>
      <c r="GS144" s="93"/>
      <c r="GT144" s="93"/>
      <c r="GU144" s="93"/>
      <c r="GV144" s="20"/>
      <c r="GW144" s="19"/>
      <c r="GX144" s="93"/>
      <c r="GY144" s="93"/>
      <c r="GZ144" s="93"/>
      <c r="HA144" s="93"/>
      <c r="HB144" s="20"/>
      <c r="HC144" s="19"/>
      <c r="HD144" s="93"/>
      <c r="HE144" s="93"/>
      <c r="HF144" s="93"/>
      <c r="HG144" s="93"/>
      <c r="HH144" s="20"/>
      <c r="HI144" s="19"/>
      <c r="HJ144" s="93"/>
      <c r="HK144" s="93"/>
      <c r="HL144" s="93"/>
      <c r="HM144" s="93"/>
      <c r="HN144" s="20"/>
      <c r="HO144" s="219"/>
      <c r="HP144" s="20"/>
      <c r="HQ144" s="25"/>
      <c r="HR144" s="29">
        <v>77</v>
      </c>
      <c r="HS144" s="1504">
        <v>38838</v>
      </c>
      <c r="HT144" s="179">
        <v>156.67368570963541</v>
      </c>
      <c r="HU144" s="99">
        <v>175.61616261800131</v>
      </c>
      <c r="HV144" s="99">
        <v>137.94643020629883</v>
      </c>
      <c r="HW144" s="99">
        <v>109.22330474853516</v>
      </c>
      <c r="HX144" s="99">
        <v>126.26262664794922</v>
      </c>
      <c r="HY144" s="99">
        <v>149.92559814453125</v>
      </c>
      <c r="HZ144" s="99">
        <v>190.33403778076172</v>
      </c>
      <c r="IA144" s="132">
        <v>127.8594799041748</v>
      </c>
      <c r="IB144" s="179">
        <v>158.82444152832031</v>
      </c>
      <c r="IC144" s="99">
        <v>113.21989822387695</v>
      </c>
      <c r="ID144" s="99">
        <v>136.70277404785156</v>
      </c>
      <c r="IE144" s="99"/>
      <c r="IF144" s="99">
        <v>130.16098480224611</v>
      </c>
      <c r="IG144" s="132">
        <v>111.5</v>
      </c>
      <c r="IH144" s="179">
        <v>105.22289784749348</v>
      </c>
      <c r="II144" s="99">
        <v>164.52467346191406</v>
      </c>
      <c r="IJ144" s="99">
        <v>125.8620662689209</v>
      </c>
      <c r="IK144" s="99">
        <v>125</v>
      </c>
      <c r="IL144" s="99">
        <v>124.2283935546875</v>
      </c>
      <c r="IM144" s="99">
        <v>123.81328964233398</v>
      </c>
      <c r="IN144" s="93"/>
      <c r="IO144" s="132">
        <v>164.9908390045166</v>
      </c>
      <c r="IP144" s="29">
        <v>77</v>
      </c>
      <c r="IQ144" s="19"/>
      <c r="IR144" s="93"/>
      <c r="IS144" s="93"/>
      <c r="IT144" s="93"/>
      <c r="IU144" s="93"/>
      <c r="IV144" s="20"/>
      <c r="IW144" s="29">
        <v>77</v>
      </c>
      <c r="IX144" s="19"/>
      <c r="IY144" s="93"/>
      <c r="IZ144" s="93"/>
      <c r="JA144" s="93"/>
      <c r="JB144" s="93"/>
      <c r="JC144" s="93"/>
      <c r="JD144" s="93"/>
      <c r="JE144" s="20"/>
      <c r="JF144" s="29">
        <v>77</v>
      </c>
      <c r="JG144" s="19"/>
      <c r="JH144" s="93"/>
      <c r="JI144" s="93"/>
      <c r="JJ144" s="93"/>
      <c r="JK144" s="93"/>
      <c r="JL144" s="93"/>
      <c r="JM144" s="93"/>
      <c r="JN144" s="20"/>
      <c r="JO144" s="29">
        <v>77</v>
      </c>
      <c r="JP144" s="19"/>
      <c r="JQ144" s="93"/>
      <c r="JR144" s="93"/>
      <c r="JS144" s="93"/>
      <c r="JT144" s="93"/>
      <c r="JU144" s="20"/>
      <c r="JV144" s="29">
        <v>77</v>
      </c>
      <c r="JW144" s="1504">
        <v>38838</v>
      </c>
      <c r="JX144" s="19"/>
      <c r="JY144" s="93"/>
      <c r="JZ144" s="93"/>
      <c r="KA144" s="93"/>
      <c r="KB144" s="93"/>
      <c r="KC144" s="93"/>
      <c r="KD144" s="20"/>
      <c r="KE144" s="29">
        <v>77</v>
      </c>
      <c r="KF144" s="19"/>
      <c r="KG144" s="93"/>
      <c r="KH144" s="93"/>
      <c r="KI144" s="93"/>
      <c r="KJ144" s="93"/>
      <c r="KK144" s="20"/>
      <c r="KL144" s="29">
        <v>77</v>
      </c>
      <c r="KM144" s="19"/>
      <c r="KN144" s="93"/>
      <c r="KO144" s="93"/>
      <c r="KP144" s="93"/>
      <c r="KQ144" s="93"/>
      <c r="KR144" s="20"/>
      <c r="KS144" s="29">
        <v>77</v>
      </c>
      <c r="KT144" s="19"/>
      <c r="KU144" s="93"/>
      <c r="KV144" s="93"/>
      <c r="KW144" s="93"/>
      <c r="KX144" s="93"/>
      <c r="KY144" s="20"/>
      <c r="KZ144" s="29">
        <v>77</v>
      </c>
      <c r="LA144" s="1504">
        <v>38838</v>
      </c>
      <c r="LB144" s="19"/>
      <c r="LC144" s="93"/>
      <c r="LD144" s="93"/>
      <c r="LE144" s="93"/>
      <c r="LF144" s="93"/>
      <c r="LG144" s="93"/>
      <c r="LH144" s="20"/>
      <c r="LI144" s="29">
        <v>77</v>
      </c>
      <c r="LJ144" s="19"/>
      <c r="LK144" s="93"/>
      <c r="LL144" s="93"/>
      <c r="LM144" s="93"/>
      <c r="LN144" s="93"/>
      <c r="LO144" s="20"/>
      <c r="LP144" s="29">
        <v>77</v>
      </c>
      <c r="LQ144" s="19"/>
      <c r="LR144" s="93"/>
      <c r="LS144" s="93"/>
      <c r="LT144" s="93"/>
      <c r="LU144" s="93"/>
      <c r="LV144" s="93"/>
      <c r="LW144" s="93"/>
      <c r="LX144" s="93"/>
      <c r="LY144" s="93"/>
      <c r="LZ144" s="93"/>
      <c r="MA144" s="20"/>
      <c r="MB144" s="29">
        <v>77</v>
      </c>
      <c r="MC144" s="1504">
        <v>38838</v>
      </c>
      <c r="MD144" s="19"/>
      <c r="ME144" s="93"/>
      <c r="MF144" s="93"/>
      <c r="MG144" s="93"/>
      <c r="MH144" s="93"/>
      <c r="MI144" s="93"/>
      <c r="MJ144" s="93"/>
      <c r="MK144" s="93"/>
      <c r="ML144" s="93"/>
      <c r="MM144" s="93"/>
      <c r="MN144" s="93"/>
      <c r="MO144" s="93"/>
      <c r="MP144" s="93"/>
      <c r="MQ144" s="93"/>
      <c r="MR144" s="93"/>
      <c r="MS144" s="93"/>
      <c r="MT144" s="93"/>
      <c r="MU144" s="93"/>
      <c r="MV144" s="93"/>
      <c r="MW144" s="93"/>
      <c r="MX144" s="93"/>
      <c r="MY144" s="93"/>
      <c r="MZ144" s="93"/>
      <c r="NA144" s="93"/>
      <c r="NB144" s="93"/>
      <c r="NC144" s="93"/>
      <c r="ND144" s="93"/>
      <c r="NE144" s="93"/>
      <c r="NF144" s="93"/>
      <c r="NG144" s="93"/>
      <c r="NH144" s="93"/>
      <c r="NI144" s="93"/>
      <c r="NJ144" s="93"/>
      <c r="NK144" s="93"/>
      <c r="NL144" s="93"/>
      <c r="NM144" s="93"/>
      <c r="NN144" s="93"/>
      <c r="NO144" s="93"/>
      <c r="NP144" s="93"/>
      <c r="NQ144" s="93"/>
      <c r="NR144" s="93"/>
      <c r="NS144" s="93"/>
      <c r="NT144" s="93"/>
      <c r="NU144" s="93"/>
      <c r="NV144" s="93"/>
      <c r="NW144" s="93"/>
      <c r="NX144" s="93"/>
      <c r="NY144" s="93"/>
      <c r="NZ144" s="93"/>
      <c r="OA144" s="93"/>
      <c r="OB144" s="93"/>
      <c r="OC144" s="93"/>
      <c r="OD144" s="20"/>
      <c r="OE144" s="29">
        <v>77</v>
      </c>
      <c r="OF144" s="1504">
        <v>38838</v>
      </c>
      <c r="OG144" s="19"/>
      <c r="OH144" s="93">
        <v>155.70699999999999</v>
      </c>
      <c r="OI144" s="93">
        <v>257.19410775705512</v>
      </c>
      <c r="OJ144" s="93">
        <v>0.46487385400000003</v>
      </c>
      <c r="OK144" s="93">
        <v>207.75453390305512</v>
      </c>
      <c r="OL144" s="93">
        <v>48.974700000000006</v>
      </c>
      <c r="OM144" s="93">
        <v>412.90110775705512</v>
      </c>
      <c r="ON144" s="93">
        <v>224.6219320667135</v>
      </c>
      <c r="OO144" s="93">
        <v>637.52303982376861</v>
      </c>
      <c r="OP144" s="93"/>
      <c r="OQ144" s="93">
        <v>241.94105793757001</v>
      </c>
      <c r="OR144" s="93">
        <v>216.63055846800006</v>
      </c>
      <c r="OS144" s="93">
        <v>25.310499469569905</v>
      </c>
      <c r="OT144" s="93">
        <v>468.88165503019877</v>
      </c>
      <c r="OU144" s="93">
        <v>-70.773195402000027</v>
      </c>
      <c r="OV144" s="93">
        <v>2.0068045979999951</v>
      </c>
      <c r="OW144" s="93">
        <v>-72.780000000000015</v>
      </c>
      <c r="OX144" s="93">
        <v>539.65485043219883</v>
      </c>
      <c r="OY144" s="93">
        <v>2.3978839320000001</v>
      </c>
      <c r="OZ144" s="93">
        <v>537.25696650019881</v>
      </c>
      <c r="PA144" s="93">
        <v>96.653730887999984</v>
      </c>
      <c r="PB144" s="93">
        <v>-23.354057744000009</v>
      </c>
      <c r="PC144" s="20">
        <v>637.52303982376873</v>
      </c>
      <c r="PD144" s="29">
        <v>77</v>
      </c>
      <c r="PE144" s="19"/>
      <c r="PF144" s="93">
        <v>216.63055846800006</v>
      </c>
      <c r="PG144" s="93">
        <v>496.55331281900004</v>
      </c>
      <c r="PH144" s="93">
        <v>279.92275435099998</v>
      </c>
      <c r="PI144" s="93">
        <v>1.1100000000000001</v>
      </c>
      <c r="PJ144" s="93">
        <v>2.0068045979999951</v>
      </c>
      <c r="PK144" s="93">
        <v>35.107408311999997</v>
      </c>
      <c r="PL144" s="93">
        <v>33.100603714000002</v>
      </c>
      <c r="PM144" s="93">
        <v>2.3978839320000001</v>
      </c>
      <c r="PN144" s="93">
        <v>0</v>
      </c>
      <c r="PO144" s="93">
        <v>0</v>
      </c>
      <c r="PP144" s="93">
        <v>8.4451999999999997E-5</v>
      </c>
      <c r="PQ144" s="93">
        <v>2.3977994800000002</v>
      </c>
      <c r="PR144" s="93">
        <v>223.36415217199999</v>
      </c>
      <c r="PS144" s="93">
        <v>174.19800000000001</v>
      </c>
      <c r="PT144" s="93">
        <v>48.701278318</v>
      </c>
      <c r="PU144" s="93">
        <v>0.46487385400000003</v>
      </c>
      <c r="PV144" s="93">
        <v>0</v>
      </c>
      <c r="PW144" s="93">
        <v>0.19242530799999999</v>
      </c>
      <c r="PX144" s="93">
        <v>0</v>
      </c>
      <c r="PY144" s="93">
        <v>0</v>
      </c>
      <c r="PZ144" s="93">
        <v>0.19242530799999999</v>
      </c>
      <c r="QA144" s="93">
        <v>0</v>
      </c>
      <c r="QB144" s="93">
        <v>0</v>
      </c>
      <c r="QC144" s="93">
        <v>0</v>
      </c>
      <c r="QD144" s="93">
        <v>-1.5846944199999999</v>
      </c>
      <c r="QE144" s="20">
        <v>0.17336393799999988</v>
      </c>
      <c r="QF144" s="1739">
        <v>77</v>
      </c>
      <c r="QG144" s="19"/>
      <c r="QH144" s="1035">
        <v>25.310499469569905</v>
      </c>
      <c r="QI144" s="1035">
        <v>130.07103349980127</v>
      </c>
      <c r="QJ144" s="1035">
        <v>-104.76053403023137</v>
      </c>
      <c r="QK144" s="1035">
        <v>64.387</v>
      </c>
      <c r="QL144" s="1035">
        <v>18.491</v>
      </c>
      <c r="QM144" s="1035">
        <v>45.896000000000001</v>
      </c>
      <c r="QN144" s="1035">
        <v>0</v>
      </c>
      <c r="QO144" s="1035">
        <v>-72.780000000000015</v>
      </c>
      <c r="QP144" s="1035">
        <v>13.569000000000001</v>
      </c>
      <c r="QQ144" s="1035">
        <v>-86.349000000000018</v>
      </c>
      <c r="QR144" s="1035">
        <v>537.25696650019881</v>
      </c>
      <c r="QS144" s="1035">
        <v>8.1757177290780394</v>
      </c>
      <c r="QT144" s="1035">
        <v>0</v>
      </c>
      <c r="QU144" s="1035">
        <v>78.801000000000002</v>
      </c>
      <c r="QV144" s="1035">
        <v>450.28024877112074</v>
      </c>
      <c r="QW144" s="93"/>
      <c r="QX144" s="93">
        <v>0.54600000000000004</v>
      </c>
      <c r="QY144" s="93">
        <v>207.75453390305515</v>
      </c>
      <c r="QZ144" s="93">
        <v>224.62193206671353</v>
      </c>
      <c r="RA144" s="93">
        <v>0</v>
      </c>
      <c r="RB144" s="93">
        <v>13.848000000000001</v>
      </c>
      <c r="RC144" s="93">
        <v>0</v>
      </c>
      <c r="RD144" s="93">
        <v>4.4790000000000001</v>
      </c>
      <c r="RE144" s="93">
        <v>0</v>
      </c>
      <c r="RF144" s="93">
        <v>0</v>
      </c>
      <c r="RG144" s="93">
        <v>79.718999999999994</v>
      </c>
      <c r="RH144" s="93">
        <v>23.205999999999996</v>
      </c>
      <c r="RI144" s="93"/>
      <c r="RJ144" s="93"/>
      <c r="RK144" s="93"/>
      <c r="RL144" s="93"/>
      <c r="RM144" s="20"/>
      <c r="RN144" s="29">
        <v>77</v>
      </c>
      <c r="RO144" s="19"/>
      <c r="RP144" s="20"/>
      <c r="RQ144" s="29">
        <v>77</v>
      </c>
      <c r="RR144" s="20"/>
      <c r="RS144" s="29">
        <v>77</v>
      </c>
      <c r="RT144" s="1504">
        <v>38838</v>
      </c>
      <c r="RU144" s="19"/>
      <c r="RV144" s="20"/>
      <c r="RW144" s="29">
        <v>77</v>
      </c>
      <c r="RX144" s="1504">
        <v>38838</v>
      </c>
      <c r="RY144" s="29"/>
      <c r="RZ144" s="20"/>
      <c r="SA144" s="29"/>
      <c r="SB144" s="29">
        <v>77</v>
      </c>
    </row>
    <row r="145" spans="1:496">
      <c r="A145" s="41">
        <f t="shared" si="191"/>
        <v>2006</v>
      </c>
      <c r="B145" s="1504">
        <v>38869</v>
      </c>
      <c r="C145" s="1813"/>
      <c r="D145" s="1814"/>
      <c r="E145" s="1814"/>
      <c r="F145" s="1815"/>
      <c r="G145" s="1814"/>
      <c r="H145" s="1814"/>
      <c r="I145" s="1814"/>
      <c r="J145" s="1816"/>
      <c r="K145" s="1807"/>
      <c r="L145" s="25">
        <v>78</v>
      </c>
      <c r="M145" s="97"/>
      <c r="N145" s="1504">
        <v>38869</v>
      </c>
      <c r="O145" s="19"/>
      <c r="P145" s="93"/>
      <c r="Q145" s="93"/>
      <c r="R145" s="93"/>
      <c r="S145" s="93"/>
      <c r="T145" s="93"/>
      <c r="U145" s="93"/>
      <c r="V145" s="93"/>
      <c r="W145" s="93"/>
      <c r="X145" s="93"/>
      <c r="Y145" s="93"/>
      <c r="Z145" s="93"/>
      <c r="AA145" s="93"/>
      <c r="AB145" s="20"/>
      <c r="AC145" s="25">
        <v>78</v>
      </c>
      <c r="AD145" s="97"/>
      <c r="AE145" s="1504">
        <v>38869</v>
      </c>
      <c r="AF145" s="19"/>
      <c r="AG145" s="93"/>
      <c r="AH145" s="93"/>
      <c r="AI145" s="93"/>
      <c r="AJ145" s="93"/>
      <c r="AK145" s="93"/>
      <c r="AL145" s="93"/>
      <c r="AM145" s="93"/>
      <c r="AN145" s="93"/>
      <c r="AO145" s="93"/>
      <c r="AP145" s="93"/>
      <c r="AQ145" s="93"/>
      <c r="AR145" s="93"/>
      <c r="AS145" s="20"/>
      <c r="AT145" s="25">
        <v>78</v>
      </c>
      <c r="AU145" s="97"/>
      <c r="AV145" s="1504">
        <v>38869</v>
      </c>
      <c r="AW145" s="19"/>
      <c r="AX145" s="93"/>
      <c r="AY145" s="93"/>
      <c r="AZ145" s="93"/>
      <c r="BA145" s="93"/>
      <c r="BB145" s="93"/>
      <c r="BC145" s="93"/>
      <c r="BD145" s="93"/>
      <c r="BE145" s="93"/>
      <c r="BF145" s="93"/>
      <c r="BG145" s="93"/>
      <c r="BH145" s="93"/>
      <c r="BI145" s="93"/>
      <c r="BJ145" s="20"/>
      <c r="BK145" s="25">
        <v>78</v>
      </c>
      <c r="BL145" s="97"/>
      <c r="BM145" s="1504">
        <v>38869</v>
      </c>
      <c r="BN145" s="19"/>
      <c r="BO145" s="93"/>
      <c r="BP145" s="93"/>
      <c r="BQ145" s="93"/>
      <c r="BR145" s="93"/>
      <c r="BS145" s="93"/>
      <c r="BT145" s="93"/>
      <c r="BU145" s="20"/>
      <c r="BV145" s="25">
        <v>78</v>
      </c>
      <c r="BW145" s="97"/>
      <c r="BX145" s="1504">
        <v>38869</v>
      </c>
      <c r="BY145" s="19"/>
      <c r="BZ145" s="99">
        <v>664.95699999999999</v>
      </c>
      <c r="CA145" s="93"/>
      <c r="CB145" s="93"/>
      <c r="CC145" s="93"/>
      <c r="CD145" s="25">
        <v>78</v>
      </c>
      <c r="CE145" s="97"/>
      <c r="CF145" s="1504">
        <v>38869</v>
      </c>
      <c r="CG145" s="19">
        <v>1.21584793</v>
      </c>
      <c r="CH145" s="93">
        <v>596.14499999999998</v>
      </c>
      <c r="CI145" s="219"/>
      <c r="CJ145" s="20"/>
      <c r="CK145" s="19"/>
      <c r="CL145" s="93"/>
      <c r="CM145" s="93"/>
      <c r="CN145" s="93"/>
      <c r="CO145" s="93"/>
      <c r="CP145" s="20"/>
      <c r="CQ145" s="219">
        <v>957.01</v>
      </c>
      <c r="CR145" s="93">
        <v>2.125</v>
      </c>
      <c r="CS145" s="93"/>
      <c r="CT145" s="93"/>
      <c r="CU145" s="93"/>
      <c r="CV145" s="214"/>
      <c r="CW145" s="29">
        <v>78</v>
      </c>
      <c r="CX145" s="41">
        <f t="shared" si="192"/>
        <v>2006</v>
      </c>
      <c r="CY145" s="1504">
        <v>38869</v>
      </c>
      <c r="CZ145" s="1916">
        <v>51.040796999999998</v>
      </c>
      <c r="DA145" s="1526">
        <v>30.622586999999999</v>
      </c>
      <c r="DB145" s="1526">
        <v>20.418209999999998</v>
      </c>
      <c r="DC145" s="182">
        <f t="shared" si="193"/>
        <v>283908</v>
      </c>
      <c r="DD145" s="182">
        <f t="shared" si="194"/>
        <v>283111</v>
      </c>
      <c r="DE145" s="182">
        <f t="shared" si="195"/>
        <v>797</v>
      </c>
      <c r="DF145" s="29">
        <v>78</v>
      </c>
      <c r="DG145" s="1504">
        <v>38869</v>
      </c>
      <c r="DH145" s="19"/>
      <c r="DI145" s="93"/>
      <c r="DJ145" s="93"/>
      <c r="DK145" s="93"/>
      <c r="DL145" s="93"/>
      <c r="DM145" s="93"/>
      <c r="DN145" s="20"/>
      <c r="DO145" s="25"/>
      <c r="DP145" s="29">
        <v>78</v>
      </c>
      <c r="DQ145" s="1504">
        <v>38869</v>
      </c>
      <c r="DR145" s="19"/>
      <c r="DS145" s="93"/>
      <c r="DT145" s="93"/>
      <c r="DU145" s="93"/>
      <c r="DV145" s="93"/>
      <c r="DW145" s="93"/>
      <c r="DX145" s="20"/>
      <c r="DY145" s="29">
        <v>78</v>
      </c>
      <c r="DZ145" s="1504">
        <v>38869</v>
      </c>
      <c r="EA145" s="19"/>
      <c r="EB145" s="93"/>
      <c r="EC145" s="20"/>
      <c r="ED145" s="29">
        <v>78</v>
      </c>
      <c r="EE145" s="1504">
        <v>38869</v>
      </c>
      <c r="EF145" s="19"/>
      <c r="EG145" s="93"/>
      <c r="EH145" s="93"/>
      <c r="EI145" s="214"/>
      <c r="EJ145" s="93"/>
      <c r="EK145" s="93"/>
      <c r="EL145" s="93"/>
      <c r="EM145" s="93"/>
      <c r="EN145" s="20"/>
      <c r="EO145" s="29">
        <v>78</v>
      </c>
      <c r="EP145" s="1504">
        <v>38869</v>
      </c>
      <c r="EQ145" s="19"/>
      <c r="ER145" s="93"/>
      <c r="ES145" s="93"/>
      <c r="ET145" s="214"/>
      <c r="EU145" s="93"/>
      <c r="EV145" s="93"/>
      <c r="EW145" s="93"/>
      <c r="EX145" s="93"/>
      <c r="EY145" s="20"/>
      <c r="EZ145" s="29">
        <v>78</v>
      </c>
      <c r="FA145" s="1504">
        <v>38869</v>
      </c>
      <c r="FB145" s="29"/>
      <c r="FC145" s="29"/>
      <c r="FD145" s="29"/>
      <c r="FE145" s="29"/>
      <c r="FF145" s="29"/>
      <c r="FG145" s="29"/>
      <c r="FH145" s="29"/>
      <c r="FI145" s="29"/>
      <c r="FJ145" s="29"/>
      <c r="FK145" s="29">
        <v>78</v>
      </c>
      <c r="FL145" s="1504">
        <v>38869</v>
      </c>
      <c r="FM145" s="19"/>
      <c r="FN145" s="93"/>
      <c r="FO145" s="93"/>
      <c r="FP145" s="93"/>
      <c r="FQ145" s="93"/>
      <c r="FR145" s="93"/>
      <c r="FS145" s="93"/>
      <c r="FT145" s="93"/>
      <c r="FU145" s="93"/>
      <c r="FV145" s="93"/>
      <c r="FW145" s="93"/>
      <c r="FX145" s="93"/>
      <c r="FY145" s="93"/>
      <c r="FZ145" s="29">
        <v>78</v>
      </c>
      <c r="GA145" s="1504">
        <v>38869</v>
      </c>
      <c r="GB145" s="19"/>
      <c r="GC145" s="93"/>
      <c r="GD145" s="93"/>
      <c r="GE145" s="93"/>
      <c r="GF145" s="93"/>
      <c r="GG145" s="93"/>
      <c r="GH145" s="93"/>
      <c r="GI145" s="93"/>
      <c r="GJ145" s="93"/>
      <c r="GK145" s="93"/>
      <c r="GL145" s="93"/>
      <c r="GM145" s="93"/>
      <c r="GN145" s="20"/>
      <c r="GO145" s="29">
        <v>78</v>
      </c>
      <c r="GP145" s="1504">
        <v>38869</v>
      </c>
      <c r="GQ145" s="19"/>
      <c r="GR145" s="93"/>
      <c r="GS145" s="93"/>
      <c r="GT145" s="93"/>
      <c r="GU145" s="93"/>
      <c r="GV145" s="20"/>
      <c r="GW145" s="19"/>
      <c r="GX145" s="93"/>
      <c r="GY145" s="93"/>
      <c r="GZ145" s="93"/>
      <c r="HA145" s="93"/>
      <c r="HB145" s="20"/>
      <c r="HC145" s="19"/>
      <c r="HD145" s="93"/>
      <c r="HE145" s="93"/>
      <c r="HF145" s="93"/>
      <c r="HG145" s="93"/>
      <c r="HH145" s="20"/>
      <c r="HI145" s="19"/>
      <c r="HJ145" s="93"/>
      <c r="HK145" s="93"/>
      <c r="HL145" s="93"/>
      <c r="HM145" s="93"/>
      <c r="HN145" s="20"/>
      <c r="HO145" s="219"/>
      <c r="HP145" s="20"/>
      <c r="HQ145" s="25"/>
      <c r="HR145" s="29">
        <v>78</v>
      </c>
      <c r="HS145" s="1504">
        <v>38869</v>
      </c>
      <c r="HT145" s="179">
        <v>155.75809478759766</v>
      </c>
      <c r="HU145" s="99">
        <v>171.65570576985678</v>
      </c>
      <c r="HV145" s="99">
        <v>125.86206817626953</v>
      </c>
      <c r="HW145" s="99">
        <v>109.22330474853516</v>
      </c>
      <c r="HX145" s="99">
        <v>127.1345386505127</v>
      </c>
      <c r="HY145" s="99">
        <v>132.88690567016602</v>
      </c>
      <c r="HZ145" s="99">
        <v>190.33403778076172</v>
      </c>
      <c r="IA145" s="132">
        <v>125.22212028503418</v>
      </c>
      <c r="IB145" s="179">
        <v>151.02388763427734</v>
      </c>
      <c r="IC145" s="99">
        <v>109.45596122741699</v>
      </c>
      <c r="ID145" s="99">
        <v>129.03225708007813</v>
      </c>
      <c r="IE145" s="99"/>
      <c r="IF145" s="99">
        <v>137.5</v>
      </c>
      <c r="IG145" s="132">
        <v>102.1573600769043</v>
      </c>
      <c r="IH145" s="179">
        <v>100.92879358927409</v>
      </c>
      <c r="II145" s="99">
        <v>143.68417867024741</v>
      </c>
      <c r="IJ145" s="99">
        <v>121.24999809265137</v>
      </c>
      <c r="IK145" s="99">
        <v>125</v>
      </c>
      <c r="IL145" s="99">
        <v>107.96494197845459</v>
      </c>
      <c r="IM145" s="99">
        <v>125.39556694030762</v>
      </c>
      <c r="IN145" s="93"/>
      <c r="IO145" s="132">
        <v>178.42261505126953</v>
      </c>
      <c r="IP145" s="29">
        <v>78</v>
      </c>
      <c r="IQ145" s="19"/>
      <c r="IR145" s="93"/>
      <c r="IS145" s="93"/>
      <c r="IT145" s="93"/>
      <c r="IU145" s="93"/>
      <c r="IV145" s="20"/>
      <c r="IW145" s="29">
        <v>78</v>
      </c>
      <c r="IX145" s="19"/>
      <c r="IY145" s="93"/>
      <c r="IZ145" s="93"/>
      <c r="JA145" s="93"/>
      <c r="JB145" s="93"/>
      <c r="JC145" s="93"/>
      <c r="JD145" s="93"/>
      <c r="JE145" s="20"/>
      <c r="JF145" s="29">
        <v>78</v>
      </c>
      <c r="JG145" s="19"/>
      <c r="JH145" s="93"/>
      <c r="JI145" s="93"/>
      <c r="JJ145" s="93"/>
      <c r="JK145" s="93"/>
      <c r="JL145" s="93"/>
      <c r="JM145" s="93"/>
      <c r="JN145" s="20"/>
      <c r="JO145" s="29">
        <v>78</v>
      </c>
      <c r="JP145" s="19"/>
      <c r="JQ145" s="93"/>
      <c r="JR145" s="93"/>
      <c r="JS145" s="93"/>
      <c r="JT145" s="93"/>
      <c r="JU145" s="20"/>
      <c r="JV145" s="29">
        <v>78</v>
      </c>
      <c r="JW145" s="1504">
        <v>38869</v>
      </c>
      <c r="JX145" s="19"/>
      <c r="JY145" s="93"/>
      <c r="JZ145" s="93"/>
      <c r="KA145" s="93"/>
      <c r="KB145" s="93"/>
      <c r="KC145" s="93"/>
      <c r="KD145" s="20"/>
      <c r="KE145" s="29">
        <v>78</v>
      </c>
      <c r="KF145" s="19"/>
      <c r="KG145" s="93"/>
      <c r="KH145" s="93"/>
      <c r="KI145" s="93"/>
      <c r="KJ145" s="93"/>
      <c r="KK145" s="20"/>
      <c r="KL145" s="29">
        <v>78</v>
      </c>
      <c r="KM145" s="19"/>
      <c r="KN145" s="93"/>
      <c r="KO145" s="93"/>
      <c r="KP145" s="93"/>
      <c r="KQ145" s="93"/>
      <c r="KR145" s="20"/>
      <c r="KS145" s="29">
        <v>78</v>
      </c>
      <c r="KT145" s="19"/>
      <c r="KU145" s="93"/>
      <c r="KV145" s="93"/>
      <c r="KW145" s="93"/>
      <c r="KX145" s="93"/>
      <c r="KY145" s="20"/>
      <c r="KZ145" s="29">
        <v>78</v>
      </c>
      <c r="LA145" s="1504">
        <v>38869</v>
      </c>
      <c r="LB145" s="19"/>
      <c r="LC145" s="93"/>
      <c r="LD145" s="93"/>
      <c r="LE145" s="93"/>
      <c r="LF145" s="93"/>
      <c r="LG145" s="93"/>
      <c r="LH145" s="20"/>
      <c r="LI145" s="29">
        <v>78</v>
      </c>
      <c r="LJ145" s="19"/>
      <c r="LK145" s="93"/>
      <c r="LL145" s="93"/>
      <c r="LM145" s="93"/>
      <c r="LN145" s="93"/>
      <c r="LO145" s="20"/>
      <c r="LP145" s="29">
        <v>78</v>
      </c>
      <c r="LQ145" s="19"/>
      <c r="LR145" s="93"/>
      <c r="LS145" s="93"/>
      <c r="LT145" s="93"/>
      <c r="LU145" s="93"/>
      <c r="LV145" s="93"/>
      <c r="LW145" s="93"/>
      <c r="LX145" s="93"/>
      <c r="LY145" s="93"/>
      <c r="LZ145" s="93"/>
      <c r="MA145" s="20"/>
      <c r="MB145" s="29">
        <v>78</v>
      </c>
      <c r="MC145" s="1504">
        <v>38869</v>
      </c>
      <c r="MD145" s="19"/>
      <c r="ME145" s="93"/>
      <c r="MF145" s="93"/>
      <c r="MG145" s="93"/>
      <c r="MH145" s="93"/>
      <c r="MI145" s="93"/>
      <c r="MJ145" s="93"/>
      <c r="MK145" s="93"/>
      <c r="ML145" s="93"/>
      <c r="MM145" s="93"/>
      <c r="MN145" s="93"/>
      <c r="MO145" s="93"/>
      <c r="MP145" s="93"/>
      <c r="MQ145" s="93"/>
      <c r="MR145" s="93"/>
      <c r="MS145" s="93"/>
      <c r="MT145" s="93"/>
      <c r="MU145" s="93"/>
      <c r="MV145" s="93"/>
      <c r="MW145" s="93"/>
      <c r="MX145" s="93"/>
      <c r="MY145" s="93"/>
      <c r="MZ145" s="93"/>
      <c r="NA145" s="93"/>
      <c r="NB145" s="93"/>
      <c r="NC145" s="93"/>
      <c r="ND145" s="93"/>
      <c r="NE145" s="93"/>
      <c r="NF145" s="93"/>
      <c r="NG145" s="93"/>
      <c r="NH145" s="93"/>
      <c r="NI145" s="93"/>
      <c r="NJ145" s="93"/>
      <c r="NK145" s="93"/>
      <c r="NL145" s="93"/>
      <c r="NM145" s="93"/>
      <c r="NN145" s="93"/>
      <c r="NO145" s="93"/>
      <c r="NP145" s="93"/>
      <c r="NQ145" s="93"/>
      <c r="NR145" s="93"/>
      <c r="NS145" s="93"/>
      <c r="NT145" s="93"/>
      <c r="NU145" s="93"/>
      <c r="NV145" s="93"/>
      <c r="NW145" s="93"/>
      <c r="NX145" s="93"/>
      <c r="NY145" s="93"/>
      <c r="NZ145" s="93"/>
      <c r="OA145" s="93"/>
      <c r="OB145" s="93"/>
      <c r="OC145" s="93"/>
      <c r="OD145" s="20"/>
      <c r="OE145" s="29">
        <v>78</v>
      </c>
      <c r="OF145" s="1504">
        <v>38869</v>
      </c>
      <c r="OG145" s="19"/>
      <c r="OH145" s="93">
        <v>150.78389999999999</v>
      </c>
      <c r="OI145" s="93">
        <v>235.12274697940856</v>
      </c>
      <c r="OJ145" s="93">
        <v>0.31553114599999998</v>
      </c>
      <c r="OK145" s="93">
        <v>188.44021583340856</v>
      </c>
      <c r="OL145" s="93">
        <v>46.366999999999997</v>
      </c>
      <c r="OM145" s="93">
        <v>385.90664697940855</v>
      </c>
      <c r="ON145" s="93">
        <v>210.10045082090076</v>
      </c>
      <c r="OO145" s="93">
        <v>596.00709780030934</v>
      </c>
      <c r="OP145" s="93"/>
      <c r="OQ145" s="93">
        <v>252.85521985552941</v>
      </c>
      <c r="OR145" s="93">
        <v>223.97610285500008</v>
      </c>
      <c r="OS145" s="93">
        <v>28.879117000529405</v>
      </c>
      <c r="OT145" s="93">
        <v>405.65033612377988</v>
      </c>
      <c r="OU145" s="93">
        <v>-74.539909587000011</v>
      </c>
      <c r="OV145" s="93">
        <v>-9.5139095870000077</v>
      </c>
      <c r="OW145" s="93">
        <v>-65.025999999999996</v>
      </c>
      <c r="OX145" s="93">
        <v>480.19024571077989</v>
      </c>
      <c r="OY145" s="93">
        <v>2.394696057</v>
      </c>
      <c r="OZ145" s="93">
        <v>477.79554965377991</v>
      </c>
      <c r="PA145" s="93">
        <v>86.511224900000002</v>
      </c>
      <c r="PB145" s="93">
        <v>-24.012766720999984</v>
      </c>
      <c r="PC145" s="20">
        <v>596.00709780030923</v>
      </c>
      <c r="PD145" s="29">
        <v>78</v>
      </c>
      <c r="PE145" s="19"/>
      <c r="PF145" s="93">
        <v>223.97610285500008</v>
      </c>
      <c r="PG145" s="93">
        <v>499.24788037500002</v>
      </c>
      <c r="PH145" s="93">
        <v>275.27177751999994</v>
      </c>
      <c r="PI145" s="93">
        <v>1.1100000000000001</v>
      </c>
      <c r="PJ145" s="93">
        <v>-9.5139095870000077</v>
      </c>
      <c r="PK145" s="93">
        <v>35.130407481999995</v>
      </c>
      <c r="PL145" s="93">
        <v>44.644317069000003</v>
      </c>
      <c r="PM145" s="93">
        <v>2.394696057</v>
      </c>
      <c r="PN145" s="93">
        <v>0</v>
      </c>
      <c r="PO145" s="93">
        <v>0</v>
      </c>
      <c r="PP145" s="93">
        <v>7.0830800000000005E-4</v>
      </c>
      <c r="PQ145" s="93">
        <v>2.3939877489999999</v>
      </c>
      <c r="PR145" s="93">
        <v>219.37172838699999</v>
      </c>
      <c r="PS145" s="93">
        <v>165.75389999999999</v>
      </c>
      <c r="PT145" s="93">
        <v>53.302297240999998</v>
      </c>
      <c r="PU145" s="93">
        <v>0.31553114599999998</v>
      </c>
      <c r="PV145" s="93">
        <v>0</v>
      </c>
      <c r="PW145" s="93">
        <v>0.33933605700000002</v>
      </c>
      <c r="PX145" s="93">
        <v>0</v>
      </c>
      <c r="PY145" s="93">
        <v>0</v>
      </c>
      <c r="PZ145" s="93">
        <v>0.33933605700000002</v>
      </c>
      <c r="QA145" s="93">
        <v>0</v>
      </c>
      <c r="QB145" s="93">
        <v>0</v>
      </c>
      <c r="QC145" s="93">
        <v>0</v>
      </c>
      <c r="QD145" s="93">
        <v>-1.6951111569999999</v>
      </c>
      <c r="QE145" s="20">
        <v>-4.9063961999999919E-2</v>
      </c>
      <c r="QF145" s="1739">
        <v>78</v>
      </c>
      <c r="QG145" s="19"/>
      <c r="QH145" s="1035">
        <v>28.879117000529405</v>
      </c>
      <c r="QI145" s="1035">
        <v>118.52145034622009</v>
      </c>
      <c r="QJ145" s="1035">
        <v>-89.642333345690687</v>
      </c>
      <c r="QK145" s="1035">
        <v>61.476999999999997</v>
      </c>
      <c r="QL145" s="1035">
        <v>14.97</v>
      </c>
      <c r="QM145" s="1035">
        <v>46.506999999999998</v>
      </c>
      <c r="QN145" s="1035">
        <v>0</v>
      </c>
      <c r="QO145" s="1035">
        <v>-65.025999999999996</v>
      </c>
      <c r="QP145" s="1035">
        <v>16.521000000000001</v>
      </c>
      <c r="QQ145" s="1035">
        <v>-81.546999999999997</v>
      </c>
      <c r="QR145" s="1035">
        <v>477.79554965377991</v>
      </c>
      <c r="QS145" s="1035">
        <v>6.8694557135440553</v>
      </c>
      <c r="QT145" s="1035">
        <v>0</v>
      </c>
      <c r="QU145" s="1035">
        <v>79.567999999999998</v>
      </c>
      <c r="QV145" s="1035">
        <v>391.35809394023585</v>
      </c>
      <c r="QW145" s="93"/>
      <c r="QX145" s="93">
        <v>0.57299999999999995</v>
      </c>
      <c r="QY145" s="93">
        <v>188.44021583340853</v>
      </c>
      <c r="QZ145" s="93">
        <v>210.10045082090076</v>
      </c>
      <c r="RA145" s="93">
        <v>0</v>
      </c>
      <c r="RB145" s="93">
        <v>15.01</v>
      </c>
      <c r="RC145" s="93">
        <v>0</v>
      </c>
      <c r="RD145" s="93">
        <v>4.673</v>
      </c>
      <c r="RE145" s="93">
        <v>0</v>
      </c>
      <c r="RF145" s="93">
        <v>0</v>
      </c>
      <c r="RG145" s="93">
        <v>68.183999999999997</v>
      </c>
      <c r="RH145" s="93">
        <v>16.14500000000001</v>
      </c>
      <c r="RI145" s="93"/>
      <c r="RJ145" s="93"/>
      <c r="RK145" s="93"/>
      <c r="RL145" s="93"/>
      <c r="RM145" s="20"/>
      <c r="RN145" s="29">
        <v>78</v>
      </c>
      <c r="RO145" s="19"/>
      <c r="RP145" s="20"/>
      <c r="RQ145" s="29">
        <v>78</v>
      </c>
      <c r="RR145" s="20"/>
      <c r="RS145" s="29">
        <v>78</v>
      </c>
      <c r="RT145" s="1504">
        <v>38869</v>
      </c>
      <c r="RU145" s="19"/>
      <c r="RV145" s="20"/>
      <c r="RW145" s="29">
        <v>78</v>
      </c>
      <c r="RX145" s="1504">
        <v>38869</v>
      </c>
      <c r="RY145" s="29"/>
      <c r="RZ145" s="20"/>
      <c r="SA145" s="29"/>
      <c r="SB145" s="29">
        <v>78</v>
      </c>
    </row>
    <row r="146" spans="1:496">
      <c r="A146" s="41">
        <f t="shared" si="191"/>
        <v>2006</v>
      </c>
      <c r="B146" s="1504">
        <v>38899</v>
      </c>
      <c r="C146" s="1813"/>
      <c r="D146" s="1814"/>
      <c r="E146" s="1814"/>
      <c r="F146" s="1815"/>
      <c r="G146" s="1814"/>
      <c r="H146" s="1814"/>
      <c r="I146" s="1814"/>
      <c r="J146" s="1816"/>
      <c r="K146" s="1807"/>
      <c r="L146" s="25">
        <v>79</v>
      </c>
      <c r="M146" s="97"/>
      <c r="N146" s="1504">
        <v>38899</v>
      </c>
      <c r="O146" s="19"/>
      <c r="P146" s="93"/>
      <c r="Q146" s="93"/>
      <c r="R146" s="93"/>
      <c r="S146" s="93"/>
      <c r="T146" s="93"/>
      <c r="U146" s="93"/>
      <c r="V146" s="93"/>
      <c r="W146" s="93"/>
      <c r="X146" s="93"/>
      <c r="Y146" s="93"/>
      <c r="Z146" s="93"/>
      <c r="AA146" s="93"/>
      <c r="AB146" s="20"/>
      <c r="AC146" s="25">
        <v>79</v>
      </c>
      <c r="AD146" s="97"/>
      <c r="AE146" s="1504">
        <v>38899</v>
      </c>
      <c r="AF146" s="19"/>
      <c r="AG146" s="93"/>
      <c r="AH146" s="93"/>
      <c r="AI146" s="93"/>
      <c r="AJ146" s="93"/>
      <c r="AK146" s="93"/>
      <c r="AL146" s="93"/>
      <c r="AM146" s="93"/>
      <c r="AN146" s="93"/>
      <c r="AO146" s="93"/>
      <c r="AP146" s="93"/>
      <c r="AQ146" s="93"/>
      <c r="AR146" s="93"/>
      <c r="AS146" s="20"/>
      <c r="AT146" s="25">
        <v>79</v>
      </c>
      <c r="AU146" s="97"/>
      <c r="AV146" s="1504">
        <v>38899</v>
      </c>
      <c r="AW146" s="19"/>
      <c r="AX146" s="93"/>
      <c r="AY146" s="93"/>
      <c r="AZ146" s="93"/>
      <c r="BA146" s="93"/>
      <c r="BB146" s="93"/>
      <c r="BC146" s="93"/>
      <c r="BD146" s="93"/>
      <c r="BE146" s="93"/>
      <c r="BF146" s="93"/>
      <c r="BG146" s="93"/>
      <c r="BH146" s="93"/>
      <c r="BI146" s="93"/>
      <c r="BJ146" s="20"/>
      <c r="BK146" s="25">
        <v>79</v>
      </c>
      <c r="BL146" s="97"/>
      <c r="BM146" s="1504">
        <v>38899</v>
      </c>
      <c r="BN146" s="19"/>
      <c r="BO146" s="93"/>
      <c r="BP146" s="93"/>
      <c r="BQ146" s="93"/>
      <c r="BR146" s="93"/>
      <c r="BS146" s="93"/>
      <c r="BT146" s="93"/>
      <c r="BU146" s="20"/>
      <c r="BV146" s="25">
        <v>79</v>
      </c>
      <c r="BW146" s="97"/>
      <c r="BX146" s="1504">
        <v>38899</v>
      </c>
      <c r="BY146" s="19"/>
      <c r="BZ146" s="99">
        <v>664.95699999999999</v>
      </c>
      <c r="CA146" s="93"/>
      <c r="CB146" s="93"/>
      <c r="CC146" s="93"/>
      <c r="CD146" s="25">
        <v>79</v>
      </c>
      <c r="CE146" s="97"/>
      <c r="CF146" s="1504">
        <v>38899</v>
      </c>
      <c r="CG146" s="19">
        <v>1.2213594800000001</v>
      </c>
      <c r="CH146" s="93">
        <v>633.71</v>
      </c>
      <c r="CI146" s="219"/>
      <c r="CJ146" s="20"/>
      <c r="CK146" s="19"/>
      <c r="CL146" s="93"/>
      <c r="CM146" s="93"/>
      <c r="CN146" s="93"/>
      <c r="CO146" s="93"/>
      <c r="CP146" s="20"/>
      <c r="CQ146" s="219">
        <v>990.51</v>
      </c>
      <c r="CR146" s="93">
        <v>2.15</v>
      </c>
      <c r="CS146" s="93"/>
      <c r="CT146" s="93"/>
      <c r="CU146" s="93"/>
      <c r="CV146" s="214"/>
      <c r="CW146" s="29">
        <v>79</v>
      </c>
      <c r="CX146" s="41">
        <f t="shared" si="192"/>
        <v>2006</v>
      </c>
      <c r="CY146" s="1504">
        <v>38899</v>
      </c>
      <c r="CZ146" s="1916">
        <v>49.557322999999997</v>
      </c>
      <c r="DA146" s="1526">
        <v>30.159223000000001</v>
      </c>
      <c r="DB146" s="1526">
        <v>19.398099999999999</v>
      </c>
      <c r="DC146" s="182">
        <f t="shared" si="193"/>
        <v>283908</v>
      </c>
      <c r="DD146" s="182">
        <f t="shared" si="194"/>
        <v>283111</v>
      </c>
      <c r="DE146" s="182">
        <f t="shared" si="195"/>
        <v>797</v>
      </c>
      <c r="DF146" s="29">
        <v>79</v>
      </c>
      <c r="DG146" s="1504">
        <v>38899</v>
      </c>
      <c r="DH146" s="19"/>
      <c r="DI146" s="93"/>
      <c r="DJ146" s="93"/>
      <c r="DK146" s="93"/>
      <c r="DL146" s="93"/>
      <c r="DM146" s="93"/>
      <c r="DN146" s="20"/>
      <c r="DO146" s="25"/>
      <c r="DP146" s="29">
        <v>79</v>
      </c>
      <c r="DQ146" s="1504">
        <v>38899</v>
      </c>
      <c r="DR146" s="19"/>
      <c r="DS146" s="93"/>
      <c r="DT146" s="93"/>
      <c r="DU146" s="93"/>
      <c r="DV146" s="93"/>
      <c r="DW146" s="93"/>
      <c r="DX146" s="20"/>
      <c r="DY146" s="29">
        <v>79</v>
      </c>
      <c r="DZ146" s="1504">
        <v>38899</v>
      </c>
      <c r="EA146" s="19"/>
      <c r="EB146" s="93"/>
      <c r="EC146" s="20"/>
      <c r="ED146" s="29">
        <v>79</v>
      </c>
      <c r="EE146" s="1504">
        <v>38899</v>
      </c>
      <c r="EF146" s="19"/>
      <c r="EG146" s="93"/>
      <c r="EH146" s="93"/>
      <c r="EI146" s="214"/>
      <c r="EJ146" s="93"/>
      <c r="EK146" s="93"/>
      <c r="EL146" s="93"/>
      <c r="EM146" s="93"/>
      <c r="EN146" s="20"/>
      <c r="EO146" s="29">
        <v>79</v>
      </c>
      <c r="EP146" s="1504">
        <v>38899</v>
      </c>
      <c r="EQ146" s="19"/>
      <c r="ER146" s="93"/>
      <c r="ES146" s="93"/>
      <c r="ET146" s="214"/>
      <c r="EU146" s="93"/>
      <c r="EV146" s="93"/>
      <c r="EW146" s="93"/>
      <c r="EX146" s="93"/>
      <c r="EY146" s="20"/>
      <c r="EZ146" s="29">
        <v>79</v>
      </c>
      <c r="FA146" s="1504">
        <v>38899</v>
      </c>
      <c r="FB146" s="29"/>
      <c r="FC146" s="29"/>
      <c r="FD146" s="29"/>
      <c r="FE146" s="29"/>
      <c r="FF146" s="29"/>
      <c r="FG146" s="29"/>
      <c r="FH146" s="29"/>
      <c r="FI146" s="29"/>
      <c r="FJ146" s="29"/>
      <c r="FK146" s="29">
        <v>79</v>
      </c>
      <c r="FL146" s="1504">
        <v>38899</v>
      </c>
      <c r="FM146" s="19"/>
      <c r="FN146" s="93"/>
      <c r="FO146" s="93"/>
      <c r="FP146" s="93"/>
      <c r="FQ146" s="93"/>
      <c r="FR146" s="93"/>
      <c r="FS146" s="93"/>
      <c r="FT146" s="93"/>
      <c r="FU146" s="93"/>
      <c r="FV146" s="93"/>
      <c r="FW146" s="93"/>
      <c r="FX146" s="93"/>
      <c r="FY146" s="93"/>
      <c r="FZ146" s="29">
        <v>79</v>
      </c>
      <c r="GA146" s="1504">
        <v>38899</v>
      </c>
      <c r="GB146" s="19"/>
      <c r="GC146" s="93"/>
      <c r="GD146" s="93"/>
      <c r="GE146" s="93"/>
      <c r="GF146" s="93"/>
      <c r="GG146" s="93"/>
      <c r="GH146" s="93"/>
      <c r="GI146" s="93"/>
      <c r="GJ146" s="93"/>
      <c r="GK146" s="93"/>
      <c r="GL146" s="93"/>
      <c r="GM146" s="93"/>
      <c r="GN146" s="20"/>
      <c r="GO146" s="29">
        <v>79</v>
      </c>
      <c r="GP146" s="1504">
        <v>38899</v>
      </c>
      <c r="GQ146" s="19"/>
      <c r="GR146" s="93"/>
      <c r="GS146" s="93"/>
      <c r="GT146" s="93"/>
      <c r="GU146" s="93"/>
      <c r="GV146" s="20"/>
      <c r="GW146" s="19"/>
      <c r="GX146" s="93"/>
      <c r="GY146" s="93"/>
      <c r="GZ146" s="93"/>
      <c r="HA146" s="93"/>
      <c r="HB146" s="20"/>
      <c r="HC146" s="19"/>
      <c r="HD146" s="93"/>
      <c r="HE146" s="93"/>
      <c r="HF146" s="93"/>
      <c r="HG146" s="93"/>
      <c r="HH146" s="20"/>
      <c r="HI146" s="19"/>
      <c r="HJ146" s="93"/>
      <c r="HK146" s="93"/>
      <c r="HL146" s="93"/>
      <c r="HM146" s="93"/>
      <c r="HN146" s="20"/>
      <c r="HO146" s="219"/>
      <c r="HP146" s="20"/>
      <c r="HQ146" s="25"/>
      <c r="HR146" s="29">
        <v>79</v>
      </c>
      <c r="HS146" s="1504">
        <v>38899</v>
      </c>
      <c r="HT146" s="179">
        <v>145.78057708740235</v>
      </c>
      <c r="HU146" s="99">
        <v>160.19862213134766</v>
      </c>
      <c r="HV146" s="99">
        <v>130.35714721679688</v>
      </c>
      <c r="HW146" s="99">
        <v>121.35923004150391</v>
      </c>
      <c r="HX146" s="99">
        <v>120.30716323852539</v>
      </c>
      <c r="HY146" s="99">
        <v>129.76190592447918</v>
      </c>
      <c r="HZ146" s="99">
        <v>167.22460174560547</v>
      </c>
      <c r="IA146" s="132">
        <v>124.19355201721191</v>
      </c>
      <c r="IB146" s="179">
        <v>138.79408264160156</v>
      </c>
      <c r="IC146" s="99">
        <v>111.63101577758789</v>
      </c>
      <c r="ID146" s="99"/>
      <c r="IE146" s="99"/>
      <c r="IF146" s="99">
        <v>134.765625</v>
      </c>
      <c r="IG146" s="132">
        <v>101.01522827148438</v>
      </c>
      <c r="IH146" s="179">
        <v>82.201496887207028</v>
      </c>
      <c r="II146" s="99">
        <v>147.65395202636719</v>
      </c>
      <c r="IJ146" s="99">
        <v>124.13793029785157</v>
      </c>
      <c r="IK146" s="99">
        <v>116.07143211364746</v>
      </c>
      <c r="IL146" s="99">
        <v>99.946649169921869</v>
      </c>
      <c r="IM146" s="99">
        <v>122.91666603088379</v>
      </c>
      <c r="IN146" s="93"/>
      <c r="IO146" s="132">
        <v>135.47139358520508</v>
      </c>
      <c r="IP146" s="29">
        <v>79</v>
      </c>
      <c r="IQ146" s="19"/>
      <c r="IR146" s="93"/>
      <c r="IS146" s="93"/>
      <c r="IT146" s="93"/>
      <c r="IU146" s="93"/>
      <c r="IV146" s="20"/>
      <c r="IW146" s="29">
        <v>79</v>
      </c>
      <c r="IX146" s="19"/>
      <c r="IY146" s="93"/>
      <c r="IZ146" s="93"/>
      <c r="JA146" s="93"/>
      <c r="JB146" s="93"/>
      <c r="JC146" s="93"/>
      <c r="JD146" s="93"/>
      <c r="JE146" s="20"/>
      <c r="JF146" s="29">
        <v>79</v>
      </c>
      <c r="JG146" s="19"/>
      <c r="JH146" s="93"/>
      <c r="JI146" s="93"/>
      <c r="JJ146" s="93"/>
      <c r="JK146" s="93"/>
      <c r="JL146" s="93"/>
      <c r="JM146" s="93"/>
      <c r="JN146" s="20"/>
      <c r="JO146" s="29">
        <v>79</v>
      </c>
      <c r="JP146" s="19"/>
      <c r="JQ146" s="93"/>
      <c r="JR146" s="93"/>
      <c r="JS146" s="93"/>
      <c r="JT146" s="93"/>
      <c r="JU146" s="20"/>
      <c r="JV146" s="29">
        <v>79</v>
      </c>
      <c r="JW146" s="1504">
        <v>38899</v>
      </c>
      <c r="JX146" s="19"/>
      <c r="JY146" s="93"/>
      <c r="JZ146" s="93"/>
      <c r="KA146" s="93"/>
      <c r="KB146" s="93"/>
      <c r="KC146" s="93"/>
      <c r="KD146" s="20"/>
      <c r="KE146" s="29">
        <v>79</v>
      </c>
      <c r="KF146" s="19"/>
      <c r="KG146" s="93"/>
      <c r="KH146" s="93"/>
      <c r="KI146" s="93"/>
      <c r="KJ146" s="93"/>
      <c r="KK146" s="20"/>
      <c r="KL146" s="29">
        <v>79</v>
      </c>
      <c r="KM146" s="19"/>
      <c r="KN146" s="93"/>
      <c r="KO146" s="93"/>
      <c r="KP146" s="93"/>
      <c r="KQ146" s="93"/>
      <c r="KR146" s="20"/>
      <c r="KS146" s="29">
        <v>79</v>
      </c>
      <c r="KT146" s="19"/>
      <c r="KU146" s="93"/>
      <c r="KV146" s="93"/>
      <c r="KW146" s="93"/>
      <c r="KX146" s="93"/>
      <c r="KY146" s="20"/>
      <c r="KZ146" s="29">
        <v>79</v>
      </c>
      <c r="LA146" s="1504">
        <v>38899</v>
      </c>
      <c r="LB146" s="19"/>
      <c r="LC146" s="93"/>
      <c r="LD146" s="93"/>
      <c r="LE146" s="93"/>
      <c r="LF146" s="93"/>
      <c r="LG146" s="93"/>
      <c r="LH146" s="20"/>
      <c r="LI146" s="29">
        <v>79</v>
      </c>
      <c r="LJ146" s="19"/>
      <c r="LK146" s="93"/>
      <c r="LL146" s="93"/>
      <c r="LM146" s="93"/>
      <c r="LN146" s="93"/>
      <c r="LO146" s="20"/>
      <c r="LP146" s="29">
        <v>79</v>
      </c>
      <c r="LQ146" s="19"/>
      <c r="LR146" s="93"/>
      <c r="LS146" s="93"/>
      <c r="LT146" s="93"/>
      <c r="LU146" s="93"/>
      <c r="LV146" s="93"/>
      <c r="LW146" s="93"/>
      <c r="LX146" s="93"/>
      <c r="LY146" s="93"/>
      <c r="LZ146" s="93"/>
      <c r="MA146" s="20"/>
      <c r="MB146" s="29">
        <v>79</v>
      </c>
      <c r="MC146" s="1504">
        <v>38899</v>
      </c>
      <c r="MD146" s="19"/>
      <c r="ME146" s="93"/>
      <c r="MF146" s="93"/>
      <c r="MG146" s="93"/>
      <c r="MH146" s="93"/>
      <c r="MI146" s="93"/>
      <c r="MJ146" s="93"/>
      <c r="MK146" s="93"/>
      <c r="ML146" s="93"/>
      <c r="MM146" s="93"/>
      <c r="MN146" s="93"/>
      <c r="MO146" s="93"/>
      <c r="MP146" s="93"/>
      <c r="MQ146" s="93"/>
      <c r="MR146" s="93"/>
      <c r="MS146" s="93"/>
      <c r="MT146" s="93"/>
      <c r="MU146" s="93"/>
      <c r="MV146" s="93"/>
      <c r="MW146" s="93"/>
      <c r="MX146" s="93"/>
      <c r="MY146" s="93"/>
      <c r="MZ146" s="93"/>
      <c r="NA146" s="93"/>
      <c r="NB146" s="93"/>
      <c r="NC146" s="93"/>
      <c r="ND146" s="93"/>
      <c r="NE146" s="93"/>
      <c r="NF146" s="93"/>
      <c r="NG146" s="93"/>
      <c r="NH146" s="93"/>
      <c r="NI146" s="93"/>
      <c r="NJ146" s="93"/>
      <c r="NK146" s="93"/>
      <c r="NL146" s="93"/>
      <c r="NM146" s="93"/>
      <c r="NN146" s="93"/>
      <c r="NO146" s="93"/>
      <c r="NP146" s="93"/>
      <c r="NQ146" s="93"/>
      <c r="NR146" s="93"/>
      <c r="NS146" s="93"/>
      <c r="NT146" s="93"/>
      <c r="NU146" s="93"/>
      <c r="NV146" s="93"/>
      <c r="NW146" s="93"/>
      <c r="NX146" s="93"/>
      <c r="NY146" s="93"/>
      <c r="NZ146" s="93"/>
      <c r="OA146" s="93"/>
      <c r="OB146" s="93"/>
      <c r="OC146" s="93"/>
      <c r="OD146" s="20"/>
      <c r="OE146" s="29">
        <v>79</v>
      </c>
      <c r="OF146" s="1504">
        <v>38899</v>
      </c>
      <c r="OG146" s="19"/>
      <c r="OH146" s="93">
        <v>147.10480000000001</v>
      </c>
      <c r="OI146" s="93">
        <v>258.26639490695146</v>
      </c>
      <c r="OJ146" s="93">
        <v>0.60585264500000002</v>
      </c>
      <c r="OK146" s="93">
        <v>208.53434226195145</v>
      </c>
      <c r="OL146" s="93">
        <v>49.126200000000004</v>
      </c>
      <c r="OM146" s="93">
        <v>405.37119490695147</v>
      </c>
      <c r="ON146" s="93">
        <v>233.20912058241777</v>
      </c>
      <c r="OO146" s="93">
        <v>638.58031548936924</v>
      </c>
      <c r="OP146" s="93"/>
      <c r="OQ146" s="93">
        <v>243.65730522918795</v>
      </c>
      <c r="OR146" s="93">
        <v>203.28914454700003</v>
      </c>
      <c r="OS146" s="93">
        <v>40.36816068218792</v>
      </c>
      <c r="OT146" s="93">
        <v>478.64704808418134</v>
      </c>
      <c r="OU146" s="93">
        <v>-78.505721629999996</v>
      </c>
      <c r="OV146" s="93">
        <v>4.5352783700000003</v>
      </c>
      <c r="OW146" s="93">
        <v>-83.040999999999997</v>
      </c>
      <c r="OX146" s="93">
        <v>557.15276971418132</v>
      </c>
      <c r="OY146" s="93">
        <v>2.3934675520000002</v>
      </c>
      <c r="OZ146" s="93">
        <v>554.75930216218137</v>
      </c>
      <c r="PA146" s="93">
        <v>101.77303782000001</v>
      </c>
      <c r="PB146" s="93">
        <v>-18.048999996000006</v>
      </c>
      <c r="PC146" s="20">
        <v>638.58031548936935</v>
      </c>
      <c r="PD146" s="29">
        <v>79</v>
      </c>
      <c r="PE146" s="19"/>
      <c r="PF146" s="93">
        <v>203.28914454700003</v>
      </c>
      <c r="PG146" s="93">
        <v>482.02958580900003</v>
      </c>
      <c r="PH146" s="93">
        <v>278.74044126199999</v>
      </c>
      <c r="PI146" s="93">
        <v>1.1100000000000001</v>
      </c>
      <c r="PJ146" s="93">
        <v>4.5352783700000003</v>
      </c>
      <c r="PK146" s="93">
        <v>34.338050594999999</v>
      </c>
      <c r="PL146" s="93">
        <v>29.802772224999998</v>
      </c>
      <c r="PM146" s="93">
        <v>2.3934675520000002</v>
      </c>
      <c r="PN146" s="93">
        <v>0</v>
      </c>
      <c r="PO146" s="93">
        <v>0</v>
      </c>
      <c r="PP146" s="93">
        <v>3.8232700000000001E-4</v>
      </c>
      <c r="PQ146" s="93">
        <v>2.3930852250000001</v>
      </c>
      <c r="PR146" s="93">
        <v>210.49373384500001</v>
      </c>
      <c r="PS146" s="93">
        <v>164.90280000000001</v>
      </c>
      <c r="PT146" s="93">
        <v>44.985081200000003</v>
      </c>
      <c r="PU146" s="93">
        <v>0.60585264500000002</v>
      </c>
      <c r="PV146" s="93">
        <v>0</v>
      </c>
      <c r="PW146" s="93">
        <v>2.392586316</v>
      </c>
      <c r="PX146" s="93">
        <v>0</v>
      </c>
      <c r="PY146" s="93">
        <v>0</v>
      </c>
      <c r="PZ146" s="93">
        <v>2.392586316</v>
      </c>
      <c r="QA146" s="93">
        <v>0</v>
      </c>
      <c r="QB146" s="93">
        <v>0</v>
      </c>
      <c r="QC146" s="93">
        <v>0</v>
      </c>
      <c r="QD146" s="93">
        <v>-2.0875484960000001</v>
      </c>
      <c r="QE146" s="20">
        <v>0.52911880399999955</v>
      </c>
      <c r="QF146" s="1739">
        <v>79</v>
      </c>
      <c r="QG146" s="19"/>
      <c r="QH146" s="1035">
        <v>40.36816068218792</v>
      </c>
      <c r="QI146" s="1035">
        <v>135.36069783781869</v>
      </c>
      <c r="QJ146" s="1035">
        <v>-94.992537155630771</v>
      </c>
      <c r="QK146" s="1035">
        <v>62.06</v>
      </c>
      <c r="QL146" s="1035">
        <v>17.797999999999998</v>
      </c>
      <c r="QM146" s="1035">
        <v>44.262</v>
      </c>
      <c r="QN146" s="1035">
        <v>0</v>
      </c>
      <c r="QO146" s="1035">
        <v>-83.040999999999997</v>
      </c>
      <c r="QP146" s="1035">
        <v>14.222</v>
      </c>
      <c r="QQ146" s="1035">
        <v>-97.262999999999991</v>
      </c>
      <c r="QR146" s="1035">
        <v>554.75930216218137</v>
      </c>
      <c r="QS146" s="1035">
        <v>8.5919110462224104</v>
      </c>
      <c r="QT146" s="1035">
        <v>0</v>
      </c>
      <c r="QU146" s="1035">
        <v>81.887</v>
      </c>
      <c r="QV146" s="1035">
        <v>464.28039111595893</v>
      </c>
      <c r="QW146" s="93"/>
      <c r="QX146" s="93">
        <v>0.5</v>
      </c>
      <c r="QY146" s="93">
        <v>208.53434226195142</v>
      </c>
      <c r="QZ146" s="93">
        <v>233.20912058241777</v>
      </c>
      <c r="RA146" s="93">
        <v>0</v>
      </c>
      <c r="RB146" s="93">
        <v>17.753999999999998</v>
      </c>
      <c r="RC146" s="93">
        <v>0</v>
      </c>
      <c r="RD146" s="93">
        <v>3.86</v>
      </c>
      <c r="RE146" s="93">
        <v>0</v>
      </c>
      <c r="RF146" s="93">
        <v>0</v>
      </c>
      <c r="RG146" s="93">
        <v>79.854000000000013</v>
      </c>
      <c r="RH146" s="93">
        <v>30.434999999999995</v>
      </c>
      <c r="RI146" s="93"/>
      <c r="RJ146" s="93"/>
      <c r="RK146" s="93"/>
      <c r="RL146" s="93"/>
      <c r="RM146" s="20"/>
      <c r="RN146" s="29">
        <v>79</v>
      </c>
      <c r="RO146" s="19"/>
      <c r="RP146" s="20"/>
      <c r="RQ146" s="29">
        <v>79</v>
      </c>
      <c r="RR146" s="20"/>
      <c r="RS146" s="29">
        <v>79</v>
      </c>
      <c r="RT146" s="1504">
        <v>38899</v>
      </c>
      <c r="RU146" s="19"/>
      <c r="RV146" s="20"/>
      <c r="RW146" s="29">
        <v>79</v>
      </c>
      <c r="RX146" s="1504">
        <v>38899</v>
      </c>
      <c r="RY146" s="29"/>
      <c r="RZ146" s="20"/>
      <c r="SA146" s="29"/>
      <c r="SB146" s="29">
        <v>79</v>
      </c>
    </row>
    <row r="147" spans="1:496">
      <c r="A147" s="41">
        <f t="shared" si="191"/>
        <v>2006</v>
      </c>
      <c r="B147" s="1504">
        <v>38930</v>
      </c>
      <c r="C147" s="1813"/>
      <c r="D147" s="1814"/>
      <c r="E147" s="1814"/>
      <c r="F147" s="1815"/>
      <c r="G147" s="1814"/>
      <c r="H147" s="1814"/>
      <c r="I147" s="1814"/>
      <c r="J147" s="1816"/>
      <c r="K147" s="1807"/>
      <c r="L147" s="25">
        <v>80</v>
      </c>
      <c r="M147" s="97"/>
      <c r="N147" s="1504">
        <v>38930</v>
      </c>
      <c r="O147" s="19"/>
      <c r="P147" s="93"/>
      <c r="Q147" s="93"/>
      <c r="R147" s="93"/>
      <c r="S147" s="93"/>
      <c r="T147" s="93"/>
      <c r="U147" s="93"/>
      <c r="V147" s="93"/>
      <c r="W147" s="93"/>
      <c r="X147" s="93"/>
      <c r="Y147" s="93"/>
      <c r="Z147" s="93"/>
      <c r="AA147" s="93"/>
      <c r="AB147" s="20"/>
      <c r="AC147" s="25">
        <v>80</v>
      </c>
      <c r="AD147" s="97"/>
      <c r="AE147" s="1504">
        <v>38930</v>
      </c>
      <c r="AF147" s="19"/>
      <c r="AG147" s="93"/>
      <c r="AH147" s="93"/>
      <c r="AI147" s="93"/>
      <c r="AJ147" s="93"/>
      <c r="AK147" s="93"/>
      <c r="AL147" s="93"/>
      <c r="AM147" s="93"/>
      <c r="AN147" s="93"/>
      <c r="AO147" s="93"/>
      <c r="AP147" s="93"/>
      <c r="AQ147" s="93"/>
      <c r="AR147" s="93"/>
      <c r="AS147" s="20"/>
      <c r="AT147" s="25">
        <v>80</v>
      </c>
      <c r="AU147" s="97"/>
      <c r="AV147" s="1504">
        <v>38930</v>
      </c>
      <c r="AW147" s="19"/>
      <c r="AX147" s="93"/>
      <c r="AY147" s="93"/>
      <c r="AZ147" s="93"/>
      <c r="BA147" s="93"/>
      <c r="BB147" s="93"/>
      <c r="BC147" s="93"/>
      <c r="BD147" s="93"/>
      <c r="BE147" s="93"/>
      <c r="BF147" s="93"/>
      <c r="BG147" s="93"/>
      <c r="BH147" s="93"/>
      <c r="BI147" s="93"/>
      <c r="BJ147" s="20"/>
      <c r="BK147" s="25">
        <v>80</v>
      </c>
      <c r="BL147" s="97"/>
      <c r="BM147" s="1504">
        <v>38930</v>
      </c>
      <c r="BN147" s="19"/>
      <c r="BO147" s="93"/>
      <c r="BP147" s="93"/>
      <c r="BQ147" s="93"/>
      <c r="BR147" s="93"/>
      <c r="BS147" s="93"/>
      <c r="BT147" s="93"/>
      <c r="BU147" s="20"/>
      <c r="BV147" s="25">
        <v>80</v>
      </c>
      <c r="BW147" s="97"/>
      <c r="BX147" s="1504">
        <v>38930</v>
      </c>
      <c r="BY147" s="19"/>
      <c r="BZ147" s="99">
        <v>664.95699999999999</v>
      </c>
      <c r="CA147" s="93"/>
      <c r="CB147" s="93"/>
      <c r="CC147" s="93"/>
      <c r="CD147" s="25">
        <v>80</v>
      </c>
      <c r="CE147" s="97"/>
      <c r="CF147" s="1504">
        <v>38930</v>
      </c>
      <c r="CG147" s="19">
        <v>1.32056738</v>
      </c>
      <c r="CH147" s="93">
        <v>632.59299999999996</v>
      </c>
      <c r="CI147" s="219"/>
      <c r="CJ147" s="20"/>
      <c r="CK147" s="19"/>
      <c r="CL147" s="93"/>
      <c r="CM147" s="93"/>
      <c r="CN147" s="93"/>
      <c r="CO147" s="93"/>
      <c r="CP147" s="20"/>
      <c r="CQ147" s="219">
        <v>1041.92</v>
      </c>
      <c r="CR147" s="93">
        <v>2.0874999999999999</v>
      </c>
      <c r="CS147" s="93"/>
      <c r="CT147" s="93"/>
      <c r="CU147" s="93"/>
      <c r="CV147" s="214"/>
      <c r="CW147" s="29">
        <v>80</v>
      </c>
      <c r="CX147" s="41">
        <f t="shared" si="192"/>
        <v>2006</v>
      </c>
      <c r="CY147" s="1504">
        <v>38930</v>
      </c>
      <c r="CZ147" s="1916">
        <v>48.132393</v>
      </c>
      <c r="DA147" s="1526">
        <v>32.927315</v>
      </c>
      <c r="DB147" s="1526">
        <v>15.205078</v>
      </c>
      <c r="DC147" s="182">
        <f t="shared" si="193"/>
        <v>283908</v>
      </c>
      <c r="DD147" s="182">
        <f t="shared" si="194"/>
        <v>283111</v>
      </c>
      <c r="DE147" s="182">
        <f t="shared" si="195"/>
        <v>797</v>
      </c>
      <c r="DF147" s="29">
        <v>80</v>
      </c>
      <c r="DG147" s="1504">
        <v>38930</v>
      </c>
      <c r="DH147" s="19"/>
      <c r="DI147" s="93"/>
      <c r="DJ147" s="93"/>
      <c r="DK147" s="93"/>
      <c r="DL147" s="93"/>
      <c r="DM147" s="93"/>
      <c r="DN147" s="20"/>
      <c r="DO147" s="25"/>
      <c r="DP147" s="29">
        <v>80</v>
      </c>
      <c r="DQ147" s="1504">
        <v>38930</v>
      </c>
      <c r="DR147" s="19"/>
      <c r="DS147" s="93"/>
      <c r="DT147" s="93"/>
      <c r="DU147" s="93"/>
      <c r="DV147" s="93"/>
      <c r="DW147" s="93"/>
      <c r="DX147" s="20"/>
      <c r="DY147" s="29">
        <v>80</v>
      </c>
      <c r="DZ147" s="1504">
        <v>38930</v>
      </c>
      <c r="EA147" s="19"/>
      <c r="EB147" s="93"/>
      <c r="EC147" s="20"/>
      <c r="ED147" s="29">
        <v>80</v>
      </c>
      <c r="EE147" s="1504">
        <v>38930</v>
      </c>
      <c r="EF147" s="19"/>
      <c r="EG147" s="93"/>
      <c r="EH147" s="93"/>
      <c r="EI147" s="214"/>
      <c r="EJ147" s="93"/>
      <c r="EK147" s="93"/>
      <c r="EL147" s="93"/>
      <c r="EM147" s="93"/>
      <c r="EN147" s="20"/>
      <c r="EO147" s="29">
        <v>80</v>
      </c>
      <c r="EP147" s="1504">
        <v>38930</v>
      </c>
      <c r="EQ147" s="19"/>
      <c r="ER147" s="93"/>
      <c r="ES147" s="93"/>
      <c r="ET147" s="214"/>
      <c r="EU147" s="93"/>
      <c r="EV147" s="93"/>
      <c r="EW147" s="93"/>
      <c r="EX147" s="93"/>
      <c r="EY147" s="20"/>
      <c r="EZ147" s="29">
        <v>80</v>
      </c>
      <c r="FA147" s="1504">
        <v>38930</v>
      </c>
      <c r="FB147" s="29"/>
      <c r="FC147" s="29"/>
      <c r="FD147" s="29"/>
      <c r="FE147" s="29"/>
      <c r="FF147" s="29"/>
      <c r="FG147" s="29"/>
      <c r="FH147" s="29"/>
      <c r="FI147" s="29"/>
      <c r="FJ147" s="29"/>
      <c r="FK147" s="29">
        <v>80</v>
      </c>
      <c r="FL147" s="1504">
        <v>38930</v>
      </c>
      <c r="FM147" s="19"/>
      <c r="FN147" s="93"/>
      <c r="FO147" s="93"/>
      <c r="FP147" s="93"/>
      <c r="FQ147" s="93"/>
      <c r="FR147" s="93"/>
      <c r="FS147" s="93"/>
      <c r="FT147" s="93"/>
      <c r="FU147" s="93"/>
      <c r="FV147" s="93"/>
      <c r="FW147" s="93"/>
      <c r="FX147" s="93"/>
      <c r="FY147" s="93"/>
      <c r="FZ147" s="29">
        <v>80</v>
      </c>
      <c r="GA147" s="1504">
        <v>38930</v>
      </c>
      <c r="GB147" s="19"/>
      <c r="GC147" s="93"/>
      <c r="GD147" s="93"/>
      <c r="GE147" s="93"/>
      <c r="GF147" s="93"/>
      <c r="GG147" s="93"/>
      <c r="GH147" s="93"/>
      <c r="GI147" s="93"/>
      <c r="GJ147" s="93"/>
      <c r="GK147" s="93"/>
      <c r="GL147" s="93"/>
      <c r="GM147" s="93"/>
      <c r="GN147" s="20"/>
      <c r="GO147" s="29">
        <v>80</v>
      </c>
      <c r="GP147" s="1504">
        <v>38930</v>
      </c>
      <c r="GQ147" s="19"/>
      <c r="GR147" s="93"/>
      <c r="GS147" s="93"/>
      <c r="GT147" s="93"/>
      <c r="GU147" s="93"/>
      <c r="GV147" s="20"/>
      <c r="GW147" s="19"/>
      <c r="GX147" s="93"/>
      <c r="GY147" s="93"/>
      <c r="GZ147" s="93"/>
      <c r="HA147" s="93"/>
      <c r="HB147" s="20"/>
      <c r="HC147" s="19"/>
      <c r="HD147" s="93"/>
      <c r="HE147" s="93"/>
      <c r="HF147" s="93"/>
      <c r="HG147" s="93"/>
      <c r="HH147" s="20"/>
      <c r="HI147" s="19"/>
      <c r="HJ147" s="93"/>
      <c r="HK147" s="93"/>
      <c r="HL147" s="93"/>
      <c r="HM147" s="93"/>
      <c r="HN147" s="20"/>
      <c r="HO147" s="219"/>
      <c r="HP147" s="20"/>
      <c r="HQ147" s="25"/>
      <c r="HR147" s="29">
        <v>80</v>
      </c>
      <c r="HS147" s="1504">
        <v>38930</v>
      </c>
      <c r="HT147" s="179">
        <v>153.40366744995117</v>
      </c>
      <c r="HU147" s="99">
        <v>165.36714935302734</v>
      </c>
      <c r="HV147" s="99">
        <v>113.44884490966797</v>
      </c>
      <c r="HW147" s="99">
        <v>129.44984436035156</v>
      </c>
      <c r="HX147" s="99">
        <v>112.06896209716797</v>
      </c>
      <c r="HY147" s="99">
        <v>129.46428680419922</v>
      </c>
      <c r="HZ147" s="99">
        <v>149.96987915039063</v>
      </c>
      <c r="IA147" s="132">
        <v>126.23762512207031</v>
      </c>
      <c r="IB147" s="179">
        <v>138.22525405883789</v>
      </c>
      <c r="IC147" s="99">
        <v>111.39896774291992</v>
      </c>
      <c r="ID147" s="99">
        <v>106.06060791015625</v>
      </c>
      <c r="IE147" s="99"/>
      <c r="IF147" s="99">
        <v>121.72523498535156</v>
      </c>
      <c r="IG147" s="132">
        <v>103.42639541625977</v>
      </c>
      <c r="IH147" s="179">
        <v>83.992548942565918</v>
      </c>
      <c r="II147" s="99">
        <v>144.49318186442056</v>
      </c>
      <c r="IJ147" s="99">
        <v>98.333332061767578</v>
      </c>
      <c r="IK147" s="99">
        <v>107.14286041259766</v>
      </c>
      <c r="IL147" s="99">
        <v>91.196648597717285</v>
      </c>
      <c r="IM147" s="99">
        <v>107.22843265533447</v>
      </c>
      <c r="IN147" s="93"/>
      <c r="IO147" s="132">
        <v>120.211989402771</v>
      </c>
      <c r="IP147" s="29">
        <v>80</v>
      </c>
      <c r="IQ147" s="19"/>
      <c r="IR147" s="93"/>
      <c r="IS147" s="93"/>
      <c r="IT147" s="93"/>
      <c r="IU147" s="93"/>
      <c r="IV147" s="20"/>
      <c r="IW147" s="29">
        <v>80</v>
      </c>
      <c r="IX147" s="19"/>
      <c r="IY147" s="93"/>
      <c r="IZ147" s="93"/>
      <c r="JA147" s="93"/>
      <c r="JB147" s="93"/>
      <c r="JC147" s="93"/>
      <c r="JD147" s="93"/>
      <c r="JE147" s="20"/>
      <c r="JF147" s="29">
        <v>80</v>
      </c>
      <c r="JG147" s="19"/>
      <c r="JH147" s="93"/>
      <c r="JI147" s="93"/>
      <c r="JJ147" s="93"/>
      <c r="JK147" s="93"/>
      <c r="JL147" s="93"/>
      <c r="JM147" s="93"/>
      <c r="JN147" s="20"/>
      <c r="JO147" s="29">
        <v>80</v>
      </c>
      <c r="JP147" s="19"/>
      <c r="JQ147" s="93"/>
      <c r="JR147" s="93"/>
      <c r="JS147" s="93"/>
      <c r="JT147" s="93"/>
      <c r="JU147" s="20"/>
      <c r="JV147" s="29">
        <v>80</v>
      </c>
      <c r="JW147" s="1504">
        <v>38930</v>
      </c>
      <c r="JX147" s="19"/>
      <c r="JY147" s="93"/>
      <c r="JZ147" s="93"/>
      <c r="KA147" s="93"/>
      <c r="KB147" s="93"/>
      <c r="KC147" s="93"/>
      <c r="KD147" s="20"/>
      <c r="KE147" s="29">
        <v>80</v>
      </c>
      <c r="KF147" s="19"/>
      <c r="KG147" s="93"/>
      <c r="KH147" s="93"/>
      <c r="KI147" s="93"/>
      <c r="KJ147" s="93"/>
      <c r="KK147" s="20"/>
      <c r="KL147" s="29">
        <v>80</v>
      </c>
      <c r="KM147" s="19"/>
      <c r="KN147" s="93"/>
      <c r="KO147" s="93"/>
      <c r="KP147" s="93"/>
      <c r="KQ147" s="93"/>
      <c r="KR147" s="20"/>
      <c r="KS147" s="29">
        <v>80</v>
      </c>
      <c r="KT147" s="19"/>
      <c r="KU147" s="93"/>
      <c r="KV147" s="93"/>
      <c r="KW147" s="93"/>
      <c r="KX147" s="93"/>
      <c r="KY147" s="20"/>
      <c r="KZ147" s="29">
        <v>80</v>
      </c>
      <c r="LA147" s="1504">
        <v>38930</v>
      </c>
      <c r="LB147" s="19"/>
      <c r="LC147" s="93"/>
      <c r="LD147" s="93"/>
      <c r="LE147" s="93"/>
      <c r="LF147" s="93"/>
      <c r="LG147" s="93"/>
      <c r="LH147" s="20"/>
      <c r="LI147" s="29">
        <v>80</v>
      </c>
      <c r="LJ147" s="19"/>
      <c r="LK147" s="93"/>
      <c r="LL147" s="93"/>
      <c r="LM147" s="93"/>
      <c r="LN147" s="93"/>
      <c r="LO147" s="20"/>
      <c r="LP147" s="29">
        <v>80</v>
      </c>
      <c r="LQ147" s="19"/>
      <c r="LR147" s="93"/>
      <c r="LS147" s="93"/>
      <c r="LT147" s="93"/>
      <c r="LU147" s="93"/>
      <c r="LV147" s="93"/>
      <c r="LW147" s="93"/>
      <c r="LX147" s="93"/>
      <c r="LY147" s="93"/>
      <c r="LZ147" s="93"/>
      <c r="MA147" s="20"/>
      <c r="MB147" s="29">
        <v>80</v>
      </c>
      <c r="MC147" s="1504">
        <v>38930</v>
      </c>
      <c r="MD147" s="19"/>
      <c r="ME147" s="93"/>
      <c r="MF147" s="93"/>
      <c r="MG147" s="93"/>
      <c r="MH147" s="93"/>
      <c r="MI147" s="93"/>
      <c r="MJ147" s="93"/>
      <c r="MK147" s="93"/>
      <c r="ML147" s="93"/>
      <c r="MM147" s="93"/>
      <c r="MN147" s="93"/>
      <c r="MO147" s="93"/>
      <c r="MP147" s="93"/>
      <c r="MQ147" s="93"/>
      <c r="MR147" s="93"/>
      <c r="MS147" s="93"/>
      <c r="MT147" s="93"/>
      <c r="MU147" s="93"/>
      <c r="MV147" s="93"/>
      <c r="MW147" s="93"/>
      <c r="MX147" s="93"/>
      <c r="MY147" s="93"/>
      <c r="MZ147" s="93"/>
      <c r="NA147" s="93"/>
      <c r="NB147" s="93"/>
      <c r="NC147" s="93"/>
      <c r="ND147" s="93"/>
      <c r="NE147" s="93"/>
      <c r="NF147" s="93"/>
      <c r="NG147" s="93"/>
      <c r="NH147" s="93"/>
      <c r="NI147" s="93"/>
      <c r="NJ147" s="93"/>
      <c r="NK147" s="93"/>
      <c r="NL147" s="93"/>
      <c r="NM147" s="93"/>
      <c r="NN147" s="93"/>
      <c r="NO147" s="93"/>
      <c r="NP147" s="93"/>
      <c r="NQ147" s="93"/>
      <c r="NR147" s="93"/>
      <c r="NS147" s="93"/>
      <c r="NT147" s="93"/>
      <c r="NU147" s="93"/>
      <c r="NV147" s="93"/>
      <c r="NW147" s="93"/>
      <c r="NX147" s="93"/>
      <c r="NY147" s="93"/>
      <c r="NZ147" s="93"/>
      <c r="OA147" s="93"/>
      <c r="OB147" s="93"/>
      <c r="OC147" s="93"/>
      <c r="OD147" s="20"/>
      <c r="OE147" s="29">
        <v>80</v>
      </c>
      <c r="OF147" s="1504">
        <v>38930</v>
      </c>
      <c r="OG147" s="19"/>
      <c r="OH147" s="93">
        <v>133.423</v>
      </c>
      <c r="OI147" s="93">
        <v>248.19808251560121</v>
      </c>
      <c r="OJ147" s="93">
        <v>0.42955142300000004</v>
      </c>
      <c r="OK147" s="93">
        <v>198.48003109260122</v>
      </c>
      <c r="OL147" s="93">
        <v>49.288499999999999</v>
      </c>
      <c r="OM147" s="93">
        <v>381.62108251560119</v>
      </c>
      <c r="ON147" s="93">
        <v>237.58924129479723</v>
      </c>
      <c r="OO147" s="93">
        <v>619.21032381039845</v>
      </c>
      <c r="OP147" s="93"/>
      <c r="OQ147" s="93">
        <v>203.19236169344049</v>
      </c>
      <c r="OR147" s="93">
        <v>179.56630086800004</v>
      </c>
      <c r="OS147" s="93">
        <v>23.626060825440504</v>
      </c>
      <c r="OT147" s="93">
        <v>498.28562694095791</v>
      </c>
      <c r="OU147" s="93">
        <v>-71.426803301999996</v>
      </c>
      <c r="OV147" s="93">
        <v>10.885196697999998</v>
      </c>
      <c r="OW147" s="93">
        <v>-82.311999999999998</v>
      </c>
      <c r="OX147" s="93">
        <v>569.71243024295791</v>
      </c>
      <c r="OY147" s="93">
        <v>2.4512186809999998</v>
      </c>
      <c r="OZ147" s="93">
        <v>567.26121156195791</v>
      </c>
      <c r="PA147" s="93">
        <v>99.453595207000006</v>
      </c>
      <c r="PB147" s="93">
        <v>-17.185930382999999</v>
      </c>
      <c r="PC147" s="20">
        <v>619.21032381039834</v>
      </c>
      <c r="PD147" s="29">
        <v>80</v>
      </c>
      <c r="PE147" s="19"/>
      <c r="PF147" s="93">
        <v>179.56630086800004</v>
      </c>
      <c r="PG147" s="93">
        <v>453.18544310700003</v>
      </c>
      <c r="PH147" s="93">
        <v>273.61914223899998</v>
      </c>
      <c r="PI147" s="93">
        <v>1.1100000000000001</v>
      </c>
      <c r="PJ147" s="93">
        <v>10.885196697999998</v>
      </c>
      <c r="PK147" s="93">
        <v>34.364969044999995</v>
      </c>
      <c r="PL147" s="93">
        <v>23.479772346999997</v>
      </c>
      <c r="PM147" s="93">
        <v>2.4512186809999998</v>
      </c>
      <c r="PN147" s="93">
        <v>0</v>
      </c>
      <c r="PO147" s="93">
        <v>0</v>
      </c>
      <c r="PP147" s="93">
        <v>3.2154699999999999E-4</v>
      </c>
      <c r="PQ147" s="93">
        <v>2.4508971339999999</v>
      </c>
      <c r="PR147" s="93">
        <v>203.07368535099999</v>
      </c>
      <c r="PS147" s="93">
        <v>149.584</v>
      </c>
      <c r="PT147" s="93">
        <v>53.060133927999999</v>
      </c>
      <c r="PU147" s="93">
        <v>0.42955142300000004</v>
      </c>
      <c r="PV147" s="93">
        <v>0</v>
      </c>
      <c r="PW147" s="93">
        <v>0.60380592899999996</v>
      </c>
      <c r="PX147" s="93">
        <v>0</v>
      </c>
      <c r="PY147" s="93">
        <v>0</v>
      </c>
      <c r="PZ147" s="93">
        <v>0.60380592899999996</v>
      </c>
      <c r="QA147" s="93">
        <v>0</v>
      </c>
      <c r="QB147" s="93">
        <v>0</v>
      </c>
      <c r="QC147" s="93">
        <v>0</v>
      </c>
      <c r="QD147" s="93">
        <v>-2.5342107220000001</v>
      </c>
      <c r="QE147" s="20">
        <v>-7.1305643110000076</v>
      </c>
      <c r="QF147" s="1739">
        <v>80</v>
      </c>
      <c r="QG147" s="19"/>
      <c r="QH147" s="1035">
        <v>23.626060825440504</v>
      </c>
      <c r="QI147" s="1035">
        <v>127.42978843804201</v>
      </c>
      <c r="QJ147" s="1035">
        <v>-103.80372761260151</v>
      </c>
      <c r="QK147" s="1035">
        <v>72.614000000000004</v>
      </c>
      <c r="QL147" s="1035">
        <v>16.161000000000001</v>
      </c>
      <c r="QM147" s="1035">
        <v>56.453000000000003</v>
      </c>
      <c r="QN147" s="1035">
        <v>0</v>
      </c>
      <c r="QO147" s="1035">
        <v>-82.311999999999998</v>
      </c>
      <c r="QP147" s="1035">
        <v>11.087</v>
      </c>
      <c r="QQ147" s="1035">
        <v>-93.399000000000001</v>
      </c>
      <c r="QR147" s="1035">
        <v>567.26121156195791</v>
      </c>
      <c r="QS147" s="1035">
        <v>9.0694534503941249</v>
      </c>
      <c r="QT147" s="1035">
        <v>0</v>
      </c>
      <c r="QU147" s="1035">
        <v>82.234000000000009</v>
      </c>
      <c r="QV147" s="1035">
        <v>475.95775811156375</v>
      </c>
      <c r="QW147" s="93"/>
      <c r="QX147" s="93">
        <v>0.503</v>
      </c>
      <c r="QY147" s="93">
        <v>198.48003109260125</v>
      </c>
      <c r="QZ147" s="93">
        <v>237.58924129479723</v>
      </c>
      <c r="RA147" s="93">
        <v>0</v>
      </c>
      <c r="RB147" s="93">
        <v>15.957000000000001</v>
      </c>
      <c r="RC147" s="93">
        <v>0</v>
      </c>
      <c r="RD147" s="93">
        <v>3.6739999999999999</v>
      </c>
      <c r="RE147" s="93">
        <v>0</v>
      </c>
      <c r="RF147" s="93">
        <v>0</v>
      </c>
      <c r="RG147" s="93">
        <v>81.753</v>
      </c>
      <c r="RH147" s="93">
        <v>43.233000000000011</v>
      </c>
      <c r="RI147" s="93"/>
      <c r="RJ147" s="93"/>
      <c r="RK147" s="93"/>
      <c r="RL147" s="93"/>
      <c r="RM147" s="20"/>
      <c r="RN147" s="29">
        <v>80</v>
      </c>
      <c r="RO147" s="19"/>
      <c r="RP147" s="20"/>
      <c r="RQ147" s="29">
        <v>80</v>
      </c>
      <c r="RR147" s="20"/>
      <c r="RS147" s="29">
        <v>80</v>
      </c>
      <c r="RT147" s="1504">
        <v>38930</v>
      </c>
      <c r="RU147" s="19"/>
      <c r="RV147" s="20"/>
      <c r="RW147" s="29">
        <v>80</v>
      </c>
      <c r="RX147" s="1504">
        <v>38930</v>
      </c>
      <c r="RY147" s="29"/>
      <c r="RZ147" s="20"/>
      <c r="SA147" s="29"/>
      <c r="SB147" s="29">
        <v>80</v>
      </c>
    </row>
    <row r="148" spans="1:496">
      <c r="A148" s="41">
        <f t="shared" si="191"/>
        <v>2006</v>
      </c>
      <c r="B148" s="1504">
        <v>38961</v>
      </c>
      <c r="C148" s="1813"/>
      <c r="D148" s="1814"/>
      <c r="E148" s="1814"/>
      <c r="F148" s="1815"/>
      <c r="G148" s="1814"/>
      <c r="H148" s="1814"/>
      <c r="I148" s="1814"/>
      <c r="J148" s="1816"/>
      <c r="K148" s="1807"/>
      <c r="L148" s="25">
        <v>81</v>
      </c>
      <c r="M148" s="97"/>
      <c r="N148" s="1504">
        <v>38961</v>
      </c>
      <c r="O148" s="19"/>
      <c r="P148" s="93"/>
      <c r="Q148" s="93"/>
      <c r="R148" s="93"/>
      <c r="S148" s="93"/>
      <c r="T148" s="93"/>
      <c r="U148" s="93"/>
      <c r="V148" s="93"/>
      <c r="W148" s="93"/>
      <c r="X148" s="93"/>
      <c r="Y148" s="93"/>
      <c r="Z148" s="93"/>
      <c r="AA148" s="93"/>
      <c r="AB148" s="20"/>
      <c r="AC148" s="25">
        <v>81</v>
      </c>
      <c r="AD148" s="97"/>
      <c r="AE148" s="1504">
        <v>38961</v>
      </c>
      <c r="AF148" s="19"/>
      <c r="AG148" s="93"/>
      <c r="AH148" s="93"/>
      <c r="AI148" s="93"/>
      <c r="AJ148" s="93"/>
      <c r="AK148" s="93"/>
      <c r="AL148" s="93"/>
      <c r="AM148" s="93"/>
      <c r="AN148" s="93"/>
      <c r="AO148" s="93"/>
      <c r="AP148" s="93"/>
      <c r="AQ148" s="93"/>
      <c r="AR148" s="93"/>
      <c r="AS148" s="20"/>
      <c r="AT148" s="25">
        <v>81</v>
      </c>
      <c r="AU148" s="97"/>
      <c r="AV148" s="1504">
        <v>38961</v>
      </c>
      <c r="AW148" s="19"/>
      <c r="AX148" s="93"/>
      <c r="AY148" s="93"/>
      <c r="AZ148" s="93"/>
      <c r="BA148" s="93"/>
      <c r="BB148" s="93"/>
      <c r="BC148" s="93"/>
      <c r="BD148" s="93"/>
      <c r="BE148" s="93"/>
      <c r="BF148" s="93"/>
      <c r="BG148" s="93"/>
      <c r="BH148" s="93"/>
      <c r="BI148" s="93"/>
      <c r="BJ148" s="20"/>
      <c r="BK148" s="25">
        <v>81</v>
      </c>
      <c r="BL148" s="97"/>
      <c r="BM148" s="1504">
        <v>38961</v>
      </c>
      <c r="BN148" s="19"/>
      <c r="BO148" s="93"/>
      <c r="BP148" s="93"/>
      <c r="BQ148" s="93"/>
      <c r="BR148" s="93"/>
      <c r="BS148" s="93"/>
      <c r="BT148" s="93"/>
      <c r="BU148" s="20"/>
      <c r="BV148" s="25">
        <v>81</v>
      </c>
      <c r="BW148" s="97"/>
      <c r="BX148" s="1504">
        <v>38961</v>
      </c>
      <c r="BY148" s="19"/>
      <c r="BZ148" s="99">
        <v>664.95699999999999</v>
      </c>
      <c r="CA148" s="93"/>
      <c r="CB148" s="93"/>
      <c r="CC148" s="93"/>
      <c r="CD148" s="25">
        <v>81</v>
      </c>
      <c r="CE148" s="97"/>
      <c r="CF148" s="1504">
        <v>38961</v>
      </c>
      <c r="CG148" s="19">
        <v>1.29741887</v>
      </c>
      <c r="CH148" s="93">
        <v>598.18600000000004</v>
      </c>
      <c r="CI148" s="219"/>
      <c r="CJ148" s="20"/>
      <c r="CK148" s="19"/>
      <c r="CL148" s="93"/>
      <c r="CM148" s="93"/>
      <c r="CN148" s="93"/>
      <c r="CO148" s="93"/>
      <c r="CP148" s="20"/>
      <c r="CQ148" s="219">
        <v>1079.22</v>
      </c>
      <c r="CR148" s="93">
        <v>1.8674999999999999</v>
      </c>
      <c r="CS148" s="93"/>
      <c r="CT148" s="93"/>
      <c r="CU148" s="93"/>
      <c r="CV148" s="214"/>
      <c r="CW148" s="29">
        <v>81</v>
      </c>
      <c r="CX148" s="41">
        <f t="shared" si="192"/>
        <v>2006</v>
      </c>
      <c r="CY148" s="1504">
        <v>38961</v>
      </c>
      <c r="CZ148" s="1916">
        <v>38.441542999999996</v>
      </c>
      <c r="DA148" s="1526">
        <v>23.186122999999998</v>
      </c>
      <c r="DB148" s="1526">
        <v>15.255420000000001</v>
      </c>
      <c r="DC148" s="182">
        <f t="shared" si="193"/>
        <v>283908</v>
      </c>
      <c r="DD148" s="182">
        <f t="shared" si="194"/>
        <v>283111</v>
      </c>
      <c r="DE148" s="182">
        <f t="shared" si="195"/>
        <v>797</v>
      </c>
      <c r="DF148" s="29">
        <v>81</v>
      </c>
      <c r="DG148" s="1504">
        <v>38961</v>
      </c>
      <c r="DH148" s="19"/>
      <c r="DI148" s="93"/>
      <c r="DJ148" s="93"/>
      <c r="DK148" s="93"/>
      <c r="DL148" s="93"/>
      <c r="DM148" s="93"/>
      <c r="DN148" s="20"/>
      <c r="DO148" s="25"/>
      <c r="DP148" s="29">
        <v>81</v>
      </c>
      <c r="DQ148" s="1504">
        <v>38961</v>
      </c>
      <c r="DR148" s="19"/>
      <c r="DS148" s="93"/>
      <c r="DT148" s="93"/>
      <c r="DU148" s="93"/>
      <c r="DV148" s="93"/>
      <c r="DW148" s="93"/>
      <c r="DX148" s="20"/>
      <c r="DY148" s="29">
        <v>81</v>
      </c>
      <c r="DZ148" s="1504">
        <v>38961</v>
      </c>
      <c r="EA148" s="19"/>
      <c r="EB148" s="93"/>
      <c r="EC148" s="20"/>
      <c r="ED148" s="29">
        <v>81</v>
      </c>
      <c r="EE148" s="1504">
        <v>38961</v>
      </c>
      <c r="EF148" s="19"/>
      <c r="EG148" s="93"/>
      <c r="EH148" s="93"/>
      <c r="EI148" s="214"/>
      <c r="EJ148" s="93"/>
      <c r="EK148" s="93"/>
      <c r="EL148" s="93"/>
      <c r="EM148" s="93"/>
      <c r="EN148" s="20"/>
      <c r="EO148" s="29">
        <v>81</v>
      </c>
      <c r="EP148" s="1504">
        <v>38961</v>
      </c>
      <c r="EQ148" s="19"/>
      <c r="ER148" s="93"/>
      <c r="ES148" s="93"/>
      <c r="ET148" s="214"/>
      <c r="EU148" s="93"/>
      <c r="EV148" s="93"/>
      <c r="EW148" s="93"/>
      <c r="EX148" s="93"/>
      <c r="EY148" s="20"/>
      <c r="EZ148" s="29">
        <v>81</v>
      </c>
      <c r="FA148" s="1504">
        <v>38961</v>
      </c>
      <c r="FB148" s="29"/>
      <c r="FC148" s="29"/>
      <c r="FD148" s="29"/>
      <c r="FE148" s="29"/>
      <c r="FF148" s="29"/>
      <c r="FG148" s="29"/>
      <c r="FH148" s="29"/>
      <c r="FI148" s="29"/>
      <c r="FJ148" s="29"/>
      <c r="FK148" s="29">
        <v>81</v>
      </c>
      <c r="FL148" s="1504">
        <v>38961</v>
      </c>
      <c r="FM148" s="19"/>
      <c r="FN148" s="93"/>
      <c r="FO148" s="93"/>
      <c r="FP148" s="93"/>
      <c r="FQ148" s="93"/>
      <c r="FR148" s="93"/>
      <c r="FS148" s="93"/>
      <c r="FT148" s="93"/>
      <c r="FU148" s="93"/>
      <c r="FV148" s="93"/>
      <c r="FW148" s="93"/>
      <c r="FX148" s="93"/>
      <c r="FY148" s="93"/>
      <c r="FZ148" s="29">
        <v>81</v>
      </c>
      <c r="GA148" s="1504">
        <v>38961</v>
      </c>
      <c r="GB148" s="19"/>
      <c r="GC148" s="93"/>
      <c r="GD148" s="93"/>
      <c r="GE148" s="93"/>
      <c r="GF148" s="93"/>
      <c r="GG148" s="93"/>
      <c r="GH148" s="93"/>
      <c r="GI148" s="93"/>
      <c r="GJ148" s="93"/>
      <c r="GK148" s="93"/>
      <c r="GL148" s="93"/>
      <c r="GM148" s="93"/>
      <c r="GN148" s="20"/>
      <c r="GO148" s="29">
        <v>81</v>
      </c>
      <c r="GP148" s="1504">
        <v>38961</v>
      </c>
      <c r="GQ148" s="19"/>
      <c r="GR148" s="93"/>
      <c r="GS148" s="93"/>
      <c r="GT148" s="93"/>
      <c r="GU148" s="93"/>
      <c r="GV148" s="20"/>
      <c r="GW148" s="19"/>
      <c r="GX148" s="93"/>
      <c r="GY148" s="93"/>
      <c r="GZ148" s="93"/>
      <c r="HA148" s="93"/>
      <c r="HB148" s="20"/>
      <c r="HC148" s="19"/>
      <c r="HD148" s="93"/>
      <c r="HE148" s="93"/>
      <c r="HF148" s="93"/>
      <c r="HG148" s="93"/>
      <c r="HH148" s="20"/>
      <c r="HI148" s="19"/>
      <c r="HJ148" s="93"/>
      <c r="HK148" s="93"/>
      <c r="HL148" s="93"/>
      <c r="HM148" s="93"/>
      <c r="HN148" s="20"/>
      <c r="HO148" s="219"/>
      <c r="HP148" s="20"/>
      <c r="HQ148" s="25"/>
      <c r="HR148" s="29">
        <v>81</v>
      </c>
      <c r="HS148" s="1504">
        <v>38961</v>
      </c>
      <c r="HT148" s="179">
        <v>157.61301231384277</v>
      </c>
      <c r="HU148" s="99">
        <v>155.75259399414063</v>
      </c>
      <c r="HV148" s="99">
        <v>107.46965980529785</v>
      </c>
      <c r="HW148" s="99">
        <v>118.93204498291016</v>
      </c>
      <c r="HX148" s="99">
        <v>106.94215393066406</v>
      </c>
      <c r="HY148" s="99">
        <v>129.46428680419922</v>
      </c>
      <c r="HZ148" s="99">
        <v>148.00631713867188</v>
      </c>
      <c r="IA148" s="132">
        <v>115.32258224487305</v>
      </c>
      <c r="IB148" s="179">
        <v>125.4266185760498</v>
      </c>
      <c r="IC148" s="99">
        <v>113.75661468505859</v>
      </c>
      <c r="ID148" s="99">
        <v>106.06060791015625</v>
      </c>
      <c r="IE148" s="99"/>
      <c r="IF148" s="99">
        <v>116.1290340423584</v>
      </c>
      <c r="IG148" s="132">
        <v>100.50761413574219</v>
      </c>
      <c r="IH148" s="179">
        <v>80.148028055826828</v>
      </c>
      <c r="II148" s="99">
        <v>132.80153465270996</v>
      </c>
      <c r="IJ148" s="99">
        <v>95.540538787841797</v>
      </c>
      <c r="IK148" s="99">
        <v>102.67857360839844</v>
      </c>
      <c r="IL148" s="99">
        <v>89.93902587890625</v>
      </c>
      <c r="IM148" s="99">
        <v>99.041530609130859</v>
      </c>
      <c r="IN148" s="93"/>
      <c r="IO148" s="132">
        <v>107.10105514526367</v>
      </c>
      <c r="IP148" s="29">
        <v>81</v>
      </c>
      <c r="IQ148" s="19"/>
      <c r="IR148" s="93"/>
      <c r="IS148" s="93"/>
      <c r="IT148" s="93"/>
      <c r="IU148" s="93"/>
      <c r="IV148" s="20"/>
      <c r="IW148" s="29">
        <v>81</v>
      </c>
      <c r="IX148" s="19"/>
      <c r="IY148" s="93"/>
      <c r="IZ148" s="93"/>
      <c r="JA148" s="93"/>
      <c r="JB148" s="93"/>
      <c r="JC148" s="93"/>
      <c r="JD148" s="93"/>
      <c r="JE148" s="20"/>
      <c r="JF148" s="29">
        <v>81</v>
      </c>
      <c r="JG148" s="19"/>
      <c r="JH148" s="93"/>
      <c r="JI148" s="93"/>
      <c r="JJ148" s="93"/>
      <c r="JK148" s="93"/>
      <c r="JL148" s="93"/>
      <c r="JM148" s="93"/>
      <c r="JN148" s="20"/>
      <c r="JO148" s="29">
        <v>81</v>
      </c>
      <c r="JP148" s="19"/>
      <c r="JQ148" s="93"/>
      <c r="JR148" s="93"/>
      <c r="JS148" s="93"/>
      <c r="JT148" s="93"/>
      <c r="JU148" s="20"/>
      <c r="JV148" s="29">
        <v>81</v>
      </c>
      <c r="JW148" s="1504">
        <v>38961</v>
      </c>
      <c r="JX148" s="19"/>
      <c r="JY148" s="93"/>
      <c r="JZ148" s="93"/>
      <c r="KA148" s="93"/>
      <c r="KB148" s="93"/>
      <c r="KC148" s="93"/>
      <c r="KD148" s="20"/>
      <c r="KE148" s="29">
        <v>81</v>
      </c>
      <c r="KF148" s="19"/>
      <c r="KG148" s="93"/>
      <c r="KH148" s="93"/>
      <c r="KI148" s="93"/>
      <c r="KJ148" s="93"/>
      <c r="KK148" s="20"/>
      <c r="KL148" s="29">
        <v>81</v>
      </c>
      <c r="KM148" s="19"/>
      <c r="KN148" s="93"/>
      <c r="KO148" s="93"/>
      <c r="KP148" s="93"/>
      <c r="KQ148" s="93"/>
      <c r="KR148" s="20"/>
      <c r="KS148" s="29">
        <v>81</v>
      </c>
      <c r="KT148" s="19"/>
      <c r="KU148" s="93"/>
      <c r="KV148" s="93"/>
      <c r="KW148" s="93"/>
      <c r="KX148" s="93"/>
      <c r="KY148" s="20"/>
      <c r="KZ148" s="29">
        <v>81</v>
      </c>
      <c r="LA148" s="1504">
        <v>38961</v>
      </c>
      <c r="LB148" s="19"/>
      <c r="LC148" s="93"/>
      <c r="LD148" s="93"/>
      <c r="LE148" s="93"/>
      <c r="LF148" s="93"/>
      <c r="LG148" s="93"/>
      <c r="LH148" s="20"/>
      <c r="LI148" s="29">
        <v>81</v>
      </c>
      <c r="LJ148" s="19"/>
      <c r="LK148" s="93"/>
      <c r="LL148" s="93"/>
      <c r="LM148" s="93"/>
      <c r="LN148" s="93"/>
      <c r="LO148" s="20"/>
      <c r="LP148" s="29">
        <v>81</v>
      </c>
      <c r="LQ148" s="19"/>
      <c r="LR148" s="93"/>
      <c r="LS148" s="93"/>
      <c r="LT148" s="93"/>
      <c r="LU148" s="93"/>
      <c r="LV148" s="93"/>
      <c r="LW148" s="93"/>
      <c r="LX148" s="93"/>
      <c r="LY148" s="93"/>
      <c r="LZ148" s="93"/>
      <c r="MA148" s="20"/>
      <c r="MB148" s="29">
        <v>81</v>
      </c>
      <c r="MC148" s="1504">
        <v>38961</v>
      </c>
      <c r="MD148" s="19"/>
      <c r="ME148" s="93"/>
      <c r="MF148" s="93"/>
      <c r="MG148" s="93"/>
      <c r="MH148" s="93"/>
      <c r="MI148" s="93"/>
      <c r="MJ148" s="93"/>
      <c r="MK148" s="93"/>
      <c r="ML148" s="93"/>
      <c r="MM148" s="93"/>
      <c r="MN148" s="93"/>
      <c r="MO148" s="93"/>
      <c r="MP148" s="93"/>
      <c r="MQ148" s="93"/>
      <c r="MR148" s="93"/>
      <c r="MS148" s="93"/>
      <c r="MT148" s="93"/>
      <c r="MU148" s="93"/>
      <c r="MV148" s="93"/>
      <c r="MW148" s="93"/>
      <c r="MX148" s="93"/>
      <c r="MY148" s="93"/>
      <c r="MZ148" s="93"/>
      <c r="NA148" s="93"/>
      <c r="NB148" s="93"/>
      <c r="NC148" s="93"/>
      <c r="ND148" s="93"/>
      <c r="NE148" s="93"/>
      <c r="NF148" s="93"/>
      <c r="NG148" s="93"/>
      <c r="NH148" s="93"/>
      <c r="NI148" s="93"/>
      <c r="NJ148" s="93"/>
      <c r="NK148" s="93"/>
      <c r="NL148" s="93"/>
      <c r="NM148" s="93"/>
      <c r="NN148" s="93"/>
      <c r="NO148" s="93"/>
      <c r="NP148" s="93"/>
      <c r="NQ148" s="93"/>
      <c r="NR148" s="93"/>
      <c r="NS148" s="93"/>
      <c r="NT148" s="93"/>
      <c r="NU148" s="93"/>
      <c r="NV148" s="93"/>
      <c r="NW148" s="93"/>
      <c r="NX148" s="93"/>
      <c r="NY148" s="93"/>
      <c r="NZ148" s="93"/>
      <c r="OA148" s="93"/>
      <c r="OB148" s="93"/>
      <c r="OC148" s="93"/>
      <c r="OD148" s="20"/>
      <c r="OE148" s="29">
        <v>81</v>
      </c>
      <c r="OF148" s="1504">
        <v>38961</v>
      </c>
      <c r="OG148" s="19"/>
      <c r="OH148" s="93">
        <v>133.0951</v>
      </c>
      <c r="OI148" s="93">
        <v>246.35002155070981</v>
      </c>
      <c r="OJ148" s="93">
        <v>0.308445364</v>
      </c>
      <c r="OK148" s="93">
        <v>197.63767618670983</v>
      </c>
      <c r="OL148" s="93">
        <v>48.4039</v>
      </c>
      <c r="OM148" s="93">
        <v>379.44512155070981</v>
      </c>
      <c r="ON148" s="93">
        <v>233.92120166980939</v>
      </c>
      <c r="OO148" s="93">
        <v>613.36632322051923</v>
      </c>
      <c r="OP148" s="93"/>
      <c r="OQ148" s="93">
        <v>248.43609880402812</v>
      </c>
      <c r="OR148" s="93">
        <v>221.22046911500001</v>
      </c>
      <c r="OS148" s="93">
        <v>27.215629689028106</v>
      </c>
      <c r="OT148" s="93">
        <v>458.84836192149118</v>
      </c>
      <c r="OU148" s="93">
        <v>-106.914753276</v>
      </c>
      <c r="OV148" s="93">
        <v>-29.956753276000008</v>
      </c>
      <c r="OW148" s="93">
        <v>-76.957999999999998</v>
      </c>
      <c r="OX148" s="93">
        <v>565.76311519749117</v>
      </c>
      <c r="OY148" s="93">
        <v>2.4438670300000003</v>
      </c>
      <c r="OZ148" s="93">
        <v>563.3192481674912</v>
      </c>
      <c r="PA148" s="93">
        <v>103.72845494399998</v>
      </c>
      <c r="PB148" s="93">
        <v>-9.8103174390000092</v>
      </c>
      <c r="PC148" s="20">
        <v>613.36632322051923</v>
      </c>
      <c r="PD148" s="29">
        <v>81</v>
      </c>
      <c r="PE148" s="19"/>
      <c r="PF148" s="93">
        <v>221.22046911500001</v>
      </c>
      <c r="PG148" s="93">
        <v>503.85066398300006</v>
      </c>
      <c r="PH148" s="93">
        <v>282.63019486800005</v>
      </c>
      <c r="PI148" s="93">
        <v>1.1100000000000001</v>
      </c>
      <c r="PJ148" s="93">
        <v>-29.956753276000008</v>
      </c>
      <c r="PK148" s="93">
        <v>41.600312017</v>
      </c>
      <c r="PL148" s="93">
        <v>71.557065293000008</v>
      </c>
      <c r="PM148" s="93">
        <v>2.4438670300000003</v>
      </c>
      <c r="PN148" s="93">
        <v>0</v>
      </c>
      <c r="PO148" s="93">
        <v>0</v>
      </c>
      <c r="PP148" s="93">
        <v>1.8220500000000001E-4</v>
      </c>
      <c r="PQ148" s="93">
        <v>2.4436848250000001</v>
      </c>
      <c r="PR148" s="93">
        <v>196.84448415900002</v>
      </c>
      <c r="PS148" s="93">
        <v>148.84110000000001</v>
      </c>
      <c r="PT148" s="93">
        <v>47.694938794999999</v>
      </c>
      <c r="PU148" s="93">
        <v>0.308445364</v>
      </c>
      <c r="PV148" s="93">
        <v>0</v>
      </c>
      <c r="PW148" s="93">
        <v>0.34865487000000001</v>
      </c>
      <c r="PX148" s="93">
        <v>0</v>
      </c>
      <c r="PY148" s="93">
        <v>0</v>
      </c>
      <c r="PZ148" s="93">
        <v>0.34865487000000001</v>
      </c>
      <c r="QA148" s="93">
        <v>0</v>
      </c>
      <c r="QB148" s="93">
        <v>0</v>
      </c>
      <c r="QC148" s="93">
        <v>0</v>
      </c>
      <c r="QD148" s="93">
        <v>-2.517199926</v>
      </c>
      <c r="QE148" s="20">
        <v>0.1416437659999929</v>
      </c>
      <c r="QF148" s="1739">
        <v>81</v>
      </c>
      <c r="QG148" s="19"/>
      <c r="QH148" s="1035">
        <v>27.215629689028106</v>
      </c>
      <c r="QI148" s="1035">
        <v>126.66975183250887</v>
      </c>
      <c r="QJ148" s="1035">
        <v>-99.45412214348076</v>
      </c>
      <c r="QK148" s="1035">
        <v>61.673000000000002</v>
      </c>
      <c r="QL148" s="1035">
        <v>15.746</v>
      </c>
      <c r="QM148" s="1035">
        <v>45.927</v>
      </c>
      <c r="QN148" s="1035">
        <v>0</v>
      </c>
      <c r="QO148" s="1035">
        <v>-76.957999999999998</v>
      </c>
      <c r="QP148" s="1035">
        <v>16.390999999999998</v>
      </c>
      <c r="QQ148" s="1035">
        <v>-93.349000000000004</v>
      </c>
      <c r="QR148" s="1035">
        <v>563.3192481674912</v>
      </c>
      <c r="QS148" s="1035">
        <v>8.9049165924938425</v>
      </c>
      <c r="QT148" s="1035">
        <v>0</v>
      </c>
      <c r="QU148" s="1035">
        <v>77.188000000000002</v>
      </c>
      <c r="QV148" s="1035">
        <v>477.22633157499729</v>
      </c>
      <c r="QW148" s="93"/>
      <c r="QX148" s="93">
        <v>0.48699999999999999</v>
      </c>
      <c r="QY148" s="93">
        <v>197.63767618670983</v>
      </c>
      <c r="QZ148" s="93">
        <v>233.92120166980942</v>
      </c>
      <c r="RA148" s="93">
        <v>0</v>
      </c>
      <c r="RB148" s="93">
        <v>16.977999999999998</v>
      </c>
      <c r="RC148" s="93">
        <v>0</v>
      </c>
      <c r="RD148" s="93">
        <v>3.5649999999999999</v>
      </c>
      <c r="RE148" s="93">
        <v>0</v>
      </c>
      <c r="RF148" s="93">
        <v>0</v>
      </c>
      <c r="RG148" s="93">
        <v>85.353999999999985</v>
      </c>
      <c r="RH148" s="93">
        <v>37.306999999999995</v>
      </c>
      <c r="RI148" s="93"/>
      <c r="RJ148" s="93"/>
      <c r="RK148" s="93"/>
      <c r="RL148" s="93"/>
      <c r="RM148" s="20"/>
      <c r="RN148" s="29">
        <v>81</v>
      </c>
      <c r="RO148" s="19"/>
      <c r="RP148" s="20"/>
      <c r="RQ148" s="29">
        <v>81</v>
      </c>
      <c r="RR148" s="20"/>
      <c r="RS148" s="29">
        <v>81</v>
      </c>
      <c r="RT148" s="1504">
        <v>38961</v>
      </c>
      <c r="RU148" s="19"/>
      <c r="RV148" s="20"/>
      <c r="RW148" s="29">
        <v>81</v>
      </c>
      <c r="RX148" s="1504">
        <v>38961</v>
      </c>
      <c r="RY148" s="29"/>
      <c r="RZ148" s="20"/>
      <c r="SA148" s="29"/>
      <c r="SB148" s="29">
        <v>81</v>
      </c>
    </row>
    <row r="149" spans="1:496">
      <c r="A149" s="41">
        <f t="shared" si="191"/>
        <v>2006</v>
      </c>
      <c r="B149" s="1504">
        <v>38991</v>
      </c>
      <c r="C149" s="1813"/>
      <c r="D149" s="1814"/>
      <c r="E149" s="1814"/>
      <c r="F149" s="1815"/>
      <c r="G149" s="1814"/>
      <c r="H149" s="1814"/>
      <c r="I149" s="1814"/>
      <c r="J149" s="1816"/>
      <c r="K149" s="1807"/>
      <c r="L149" s="25">
        <v>82</v>
      </c>
      <c r="M149" s="97"/>
      <c r="N149" s="1504">
        <v>38991</v>
      </c>
      <c r="O149" s="19"/>
      <c r="P149" s="93"/>
      <c r="Q149" s="93"/>
      <c r="R149" s="93"/>
      <c r="S149" s="93"/>
      <c r="T149" s="93"/>
      <c r="U149" s="93"/>
      <c r="V149" s="93"/>
      <c r="W149" s="93"/>
      <c r="X149" s="93"/>
      <c r="Y149" s="93"/>
      <c r="Z149" s="93"/>
      <c r="AA149" s="93"/>
      <c r="AB149" s="20"/>
      <c r="AC149" s="25">
        <v>82</v>
      </c>
      <c r="AD149" s="97"/>
      <c r="AE149" s="1504">
        <v>38991</v>
      </c>
      <c r="AF149" s="19"/>
      <c r="AG149" s="93"/>
      <c r="AH149" s="93"/>
      <c r="AI149" s="93"/>
      <c r="AJ149" s="93"/>
      <c r="AK149" s="93"/>
      <c r="AL149" s="93"/>
      <c r="AM149" s="93"/>
      <c r="AN149" s="93"/>
      <c r="AO149" s="93"/>
      <c r="AP149" s="93"/>
      <c r="AQ149" s="93"/>
      <c r="AR149" s="93"/>
      <c r="AS149" s="20"/>
      <c r="AT149" s="25">
        <v>82</v>
      </c>
      <c r="AU149" s="97"/>
      <c r="AV149" s="1504">
        <v>38991</v>
      </c>
      <c r="AW149" s="19"/>
      <c r="AX149" s="93"/>
      <c r="AY149" s="93"/>
      <c r="AZ149" s="93"/>
      <c r="BA149" s="93"/>
      <c r="BB149" s="93"/>
      <c r="BC149" s="93"/>
      <c r="BD149" s="93"/>
      <c r="BE149" s="93"/>
      <c r="BF149" s="93"/>
      <c r="BG149" s="93"/>
      <c r="BH149" s="93"/>
      <c r="BI149" s="93"/>
      <c r="BJ149" s="20"/>
      <c r="BK149" s="25">
        <v>82</v>
      </c>
      <c r="BL149" s="97"/>
      <c r="BM149" s="1504">
        <v>38991</v>
      </c>
      <c r="BN149" s="19"/>
      <c r="BO149" s="93"/>
      <c r="BP149" s="93"/>
      <c r="BQ149" s="93"/>
      <c r="BR149" s="93"/>
      <c r="BS149" s="93"/>
      <c r="BT149" s="93"/>
      <c r="BU149" s="20"/>
      <c r="BV149" s="25">
        <v>82</v>
      </c>
      <c r="BW149" s="97"/>
      <c r="BX149" s="1504">
        <v>38991</v>
      </c>
      <c r="BY149" s="19"/>
      <c r="BZ149" s="99">
        <v>664.95699999999999</v>
      </c>
      <c r="CA149" s="93"/>
      <c r="CB149" s="93"/>
      <c r="CC149" s="93"/>
      <c r="CD149" s="25">
        <v>82</v>
      </c>
      <c r="CE149" s="97"/>
      <c r="CF149" s="1504">
        <v>38991</v>
      </c>
      <c r="CG149" s="19">
        <v>1.25773571</v>
      </c>
      <c r="CH149" s="93">
        <v>585.78</v>
      </c>
      <c r="CI149" s="219"/>
      <c r="CJ149" s="20"/>
      <c r="CK149" s="19"/>
      <c r="CL149" s="93"/>
      <c r="CM149" s="93"/>
      <c r="CN149" s="93"/>
      <c r="CO149" s="93"/>
      <c r="CP149" s="20"/>
      <c r="CQ149" s="219">
        <v>1102.31</v>
      </c>
      <c r="CR149" s="93">
        <v>1.736</v>
      </c>
      <c r="CS149" s="93"/>
      <c r="CT149" s="93"/>
      <c r="CU149" s="93"/>
      <c r="CV149" s="214"/>
      <c r="CW149" s="29">
        <v>82</v>
      </c>
      <c r="CX149" s="41">
        <f t="shared" si="192"/>
        <v>2006</v>
      </c>
      <c r="CY149" s="1504">
        <v>38991</v>
      </c>
      <c r="CZ149" s="1916">
        <v>41.671928000000001</v>
      </c>
      <c r="DA149" s="1526">
        <v>26.358329999999999</v>
      </c>
      <c r="DB149" s="1526">
        <v>15.313598000000001</v>
      </c>
      <c r="DC149" s="182">
        <f t="shared" si="193"/>
        <v>283908</v>
      </c>
      <c r="DD149" s="182">
        <f t="shared" si="194"/>
        <v>283111</v>
      </c>
      <c r="DE149" s="182">
        <f t="shared" si="195"/>
        <v>797</v>
      </c>
      <c r="DF149" s="29">
        <v>82</v>
      </c>
      <c r="DG149" s="1504">
        <v>38991</v>
      </c>
      <c r="DH149" s="19"/>
      <c r="DI149" s="93"/>
      <c r="DJ149" s="93"/>
      <c r="DK149" s="93"/>
      <c r="DL149" s="93"/>
      <c r="DM149" s="93"/>
      <c r="DN149" s="20"/>
      <c r="DO149" s="25"/>
      <c r="DP149" s="29">
        <v>82</v>
      </c>
      <c r="DQ149" s="1504">
        <v>38991</v>
      </c>
      <c r="DR149" s="19"/>
      <c r="DS149" s="93"/>
      <c r="DT149" s="93"/>
      <c r="DU149" s="93"/>
      <c r="DV149" s="93"/>
      <c r="DW149" s="93"/>
      <c r="DX149" s="20"/>
      <c r="DY149" s="29">
        <v>82</v>
      </c>
      <c r="DZ149" s="1504">
        <v>38991</v>
      </c>
      <c r="EA149" s="19"/>
      <c r="EB149" s="93"/>
      <c r="EC149" s="20"/>
      <c r="ED149" s="29">
        <v>82</v>
      </c>
      <c r="EE149" s="1504">
        <v>38991</v>
      </c>
      <c r="EF149" s="19"/>
      <c r="EG149" s="93"/>
      <c r="EH149" s="93"/>
      <c r="EI149" s="214"/>
      <c r="EJ149" s="93"/>
      <c r="EK149" s="93"/>
      <c r="EL149" s="93"/>
      <c r="EM149" s="93"/>
      <c r="EN149" s="20"/>
      <c r="EO149" s="29">
        <v>82</v>
      </c>
      <c r="EP149" s="1504">
        <v>38991</v>
      </c>
      <c r="EQ149" s="19"/>
      <c r="ER149" s="93"/>
      <c r="ES149" s="93"/>
      <c r="ET149" s="214"/>
      <c r="EU149" s="93"/>
      <c r="EV149" s="93"/>
      <c r="EW149" s="93"/>
      <c r="EX149" s="93"/>
      <c r="EY149" s="20"/>
      <c r="EZ149" s="29">
        <v>82</v>
      </c>
      <c r="FA149" s="1504">
        <v>38991</v>
      </c>
      <c r="FB149" s="29"/>
      <c r="FC149" s="29"/>
      <c r="FD149" s="29"/>
      <c r="FE149" s="29"/>
      <c r="FF149" s="29"/>
      <c r="FG149" s="29"/>
      <c r="FH149" s="29"/>
      <c r="FI149" s="29"/>
      <c r="FJ149" s="29"/>
      <c r="FK149" s="29">
        <v>82</v>
      </c>
      <c r="FL149" s="1504">
        <v>38991</v>
      </c>
      <c r="FM149" s="19"/>
      <c r="FN149" s="93"/>
      <c r="FO149" s="93"/>
      <c r="FP149" s="93"/>
      <c r="FQ149" s="93"/>
      <c r="FR149" s="93"/>
      <c r="FS149" s="93"/>
      <c r="FT149" s="93"/>
      <c r="FU149" s="93"/>
      <c r="FV149" s="93"/>
      <c r="FW149" s="93"/>
      <c r="FX149" s="93"/>
      <c r="FY149" s="93"/>
      <c r="FZ149" s="29">
        <v>82</v>
      </c>
      <c r="GA149" s="1504">
        <v>38991</v>
      </c>
      <c r="GB149" s="19"/>
      <c r="GC149" s="93"/>
      <c r="GD149" s="93"/>
      <c r="GE149" s="93"/>
      <c r="GF149" s="93"/>
      <c r="GG149" s="93"/>
      <c r="GH149" s="93"/>
      <c r="GI149" s="93"/>
      <c r="GJ149" s="93"/>
      <c r="GK149" s="93"/>
      <c r="GL149" s="93"/>
      <c r="GM149" s="93"/>
      <c r="GN149" s="20"/>
      <c r="GO149" s="29">
        <v>82</v>
      </c>
      <c r="GP149" s="1504">
        <v>38991</v>
      </c>
      <c r="GQ149" s="19"/>
      <c r="GR149" s="93"/>
      <c r="GS149" s="93"/>
      <c r="GT149" s="93"/>
      <c r="GU149" s="93"/>
      <c r="GV149" s="20"/>
      <c r="GW149" s="19"/>
      <c r="GX149" s="93"/>
      <c r="GY149" s="93"/>
      <c r="GZ149" s="93"/>
      <c r="HA149" s="93"/>
      <c r="HB149" s="20"/>
      <c r="HC149" s="19"/>
      <c r="HD149" s="93"/>
      <c r="HE149" s="93"/>
      <c r="HF149" s="93"/>
      <c r="HG149" s="93"/>
      <c r="HH149" s="20"/>
      <c r="HI149" s="19"/>
      <c r="HJ149" s="93"/>
      <c r="HK149" s="93"/>
      <c r="HL149" s="93"/>
      <c r="HM149" s="93"/>
      <c r="HN149" s="20"/>
      <c r="HO149" s="219"/>
      <c r="HP149" s="20"/>
      <c r="HQ149" s="25"/>
      <c r="HR149" s="29">
        <v>82</v>
      </c>
      <c r="HS149" s="1504">
        <v>38991</v>
      </c>
      <c r="HT149" s="179">
        <v>137.72919209798178</v>
      </c>
      <c r="HU149" s="99">
        <v>138.98444875081381</v>
      </c>
      <c r="HV149" s="99">
        <v>86.000001525878901</v>
      </c>
      <c r="HW149" s="99">
        <v>101.13268788655598</v>
      </c>
      <c r="HX149" s="99">
        <v>102.81569671630859</v>
      </c>
      <c r="HY149" s="99">
        <v>106.62202548980713</v>
      </c>
      <c r="HZ149" s="99">
        <v>137.96971282958984</v>
      </c>
      <c r="IA149" s="132">
        <v>93.18423207600911</v>
      </c>
      <c r="IB149" s="179">
        <v>153.69650268554688</v>
      </c>
      <c r="IC149" s="99">
        <v>86.044288635253906</v>
      </c>
      <c r="ID149" s="99">
        <v>75.757575988769531</v>
      </c>
      <c r="IE149" s="99"/>
      <c r="IF149" s="99">
        <v>100.17009124755859</v>
      </c>
      <c r="IG149" s="132">
        <v>86.294414520263672</v>
      </c>
      <c r="IH149" s="179">
        <v>59.144585291544594</v>
      </c>
      <c r="II149" s="99">
        <v>126.20370356241862</v>
      </c>
      <c r="IJ149" s="99">
        <v>71.290325164794922</v>
      </c>
      <c r="IK149" s="99">
        <v>98.214286804199219</v>
      </c>
      <c r="IL149" s="99">
        <v>74.618904113769531</v>
      </c>
      <c r="IM149" s="99">
        <v>91.24472300211589</v>
      </c>
      <c r="IN149" s="93"/>
      <c r="IO149" s="132">
        <v>108.24111938476563</v>
      </c>
      <c r="IP149" s="29">
        <v>82</v>
      </c>
      <c r="IQ149" s="19"/>
      <c r="IR149" s="93"/>
      <c r="IS149" s="93"/>
      <c r="IT149" s="93"/>
      <c r="IU149" s="93"/>
      <c r="IV149" s="20"/>
      <c r="IW149" s="29">
        <v>82</v>
      </c>
      <c r="IX149" s="19"/>
      <c r="IY149" s="93"/>
      <c r="IZ149" s="93"/>
      <c r="JA149" s="93"/>
      <c r="JB149" s="93"/>
      <c r="JC149" s="93"/>
      <c r="JD149" s="93"/>
      <c r="JE149" s="20"/>
      <c r="JF149" s="29">
        <v>82</v>
      </c>
      <c r="JG149" s="19"/>
      <c r="JH149" s="93"/>
      <c r="JI149" s="93"/>
      <c r="JJ149" s="93"/>
      <c r="JK149" s="93"/>
      <c r="JL149" s="93"/>
      <c r="JM149" s="93"/>
      <c r="JN149" s="20"/>
      <c r="JO149" s="29">
        <v>82</v>
      </c>
      <c r="JP149" s="19"/>
      <c r="JQ149" s="93"/>
      <c r="JR149" s="93"/>
      <c r="JS149" s="93"/>
      <c r="JT149" s="93"/>
      <c r="JU149" s="20"/>
      <c r="JV149" s="29">
        <v>82</v>
      </c>
      <c r="JW149" s="1504">
        <v>38991</v>
      </c>
      <c r="JX149" s="19"/>
      <c r="JY149" s="93"/>
      <c r="JZ149" s="93"/>
      <c r="KA149" s="93"/>
      <c r="KB149" s="93"/>
      <c r="KC149" s="93"/>
      <c r="KD149" s="20"/>
      <c r="KE149" s="29">
        <v>82</v>
      </c>
      <c r="KF149" s="19"/>
      <c r="KG149" s="93"/>
      <c r="KH149" s="93"/>
      <c r="KI149" s="93"/>
      <c r="KJ149" s="93"/>
      <c r="KK149" s="20"/>
      <c r="KL149" s="29">
        <v>82</v>
      </c>
      <c r="KM149" s="19"/>
      <c r="KN149" s="93"/>
      <c r="KO149" s="93"/>
      <c r="KP149" s="93"/>
      <c r="KQ149" s="93"/>
      <c r="KR149" s="20"/>
      <c r="KS149" s="29">
        <v>82</v>
      </c>
      <c r="KT149" s="19"/>
      <c r="KU149" s="93"/>
      <c r="KV149" s="93"/>
      <c r="KW149" s="93"/>
      <c r="KX149" s="93"/>
      <c r="KY149" s="20"/>
      <c r="KZ149" s="29">
        <v>82</v>
      </c>
      <c r="LA149" s="1504">
        <v>38991</v>
      </c>
      <c r="LB149" s="19"/>
      <c r="LC149" s="93"/>
      <c r="LD149" s="93"/>
      <c r="LE149" s="93"/>
      <c r="LF149" s="93"/>
      <c r="LG149" s="93"/>
      <c r="LH149" s="20"/>
      <c r="LI149" s="29">
        <v>82</v>
      </c>
      <c r="LJ149" s="19"/>
      <c r="LK149" s="93"/>
      <c r="LL149" s="93"/>
      <c r="LM149" s="93"/>
      <c r="LN149" s="93"/>
      <c r="LO149" s="20"/>
      <c r="LP149" s="29">
        <v>82</v>
      </c>
      <c r="LQ149" s="19"/>
      <c r="LR149" s="93"/>
      <c r="LS149" s="93"/>
      <c r="LT149" s="93"/>
      <c r="LU149" s="93"/>
      <c r="LV149" s="93"/>
      <c r="LW149" s="93"/>
      <c r="LX149" s="93"/>
      <c r="LY149" s="93"/>
      <c r="LZ149" s="93"/>
      <c r="MA149" s="20"/>
      <c r="MB149" s="29">
        <v>82</v>
      </c>
      <c r="MC149" s="1504">
        <v>38991</v>
      </c>
      <c r="MD149" s="19"/>
      <c r="ME149" s="93"/>
      <c r="MF149" s="93"/>
      <c r="MG149" s="93"/>
      <c r="MH149" s="93"/>
      <c r="MI149" s="93"/>
      <c r="MJ149" s="93"/>
      <c r="MK149" s="93"/>
      <c r="ML149" s="93"/>
      <c r="MM149" s="93"/>
      <c r="MN149" s="93"/>
      <c r="MO149" s="93"/>
      <c r="MP149" s="93"/>
      <c r="MQ149" s="93"/>
      <c r="MR149" s="93"/>
      <c r="MS149" s="93"/>
      <c r="MT149" s="93"/>
      <c r="MU149" s="93"/>
      <c r="MV149" s="93"/>
      <c r="MW149" s="93"/>
      <c r="MX149" s="93"/>
      <c r="MY149" s="93"/>
      <c r="MZ149" s="93"/>
      <c r="NA149" s="93"/>
      <c r="NB149" s="93"/>
      <c r="NC149" s="93"/>
      <c r="ND149" s="93"/>
      <c r="NE149" s="93"/>
      <c r="NF149" s="93"/>
      <c r="NG149" s="93"/>
      <c r="NH149" s="93"/>
      <c r="NI149" s="93"/>
      <c r="NJ149" s="93"/>
      <c r="NK149" s="93"/>
      <c r="NL149" s="93"/>
      <c r="NM149" s="93"/>
      <c r="NN149" s="93"/>
      <c r="NO149" s="93"/>
      <c r="NP149" s="93"/>
      <c r="NQ149" s="93"/>
      <c r="NR149" s="93"/>
      <c r="NS149" s="93"/>
      <c r="NT149" s="93"/>
      <c r="NU149" s="93"/>
      <c r="NV149" s="93"/>
      <c r="NW149" s="93"/>
      <c r="NX149" s="93"/>
      <c r="NY149" s="93"/>
      <c r="NZ149" s="93"/>
      <c r="OA149" s="93"/>
      <c r="OB149" s="93"/>
      <c r="OC149" s="93"/>
      <c r="OD149" s="20"/>
      <c r="OE149" s="29">
        <v>82</v>
      </c>
      <c r="OF149" s="1504">
        <v>38991</v>
      </c>
      <c r="OG149" s="19"/>
      <c r="OH149" s="93">
        <v>134.11189999999999</v>
      </c>
      <c r="OI149" s="93">
        <v>256.91157885910991</v>
      </c>
      <c r="OJ149" s="93">
        <v>0.32180700500000003</v>
      </c>
      <c r="OK149" s="93">
        <v>207.89317185410988</v>
      </c>
      <c r="OL149" s="93">
        <v>48.696599999999997</v>
      </c>
      <c r="OM149" s="93">
        <v>391.0234788591099</v>
      </c>
      <c r="ON149" s="93">
        <v>237.84898152165087</v>
      </c>
      <c r="OO149" s="93">
        <v>628.8724603807608</v>
      </c>
      <c r="OP149" s="93"/>
      <c r="OQ149" s="93">
        <v>251.08362036076227</v>
      </c>
      <c r="OR149" s="93">
        <v>219.11128976499998</v>
      </c>
      <c r="OS149" s="93">
        <v>31.972330595762244</v>
      </c>
      <c r="OT149" s="93">
        <v>467.75896680099845</v>
      </c>
      <c r="OU149" s="93">
        <v>-97.444966797000006</v>
      </c>
      <c r="OV149" s="93">
        <v>-20.149966796999998</v>
      </c>
      <c r="OW149" s="93">
        <v>-77.295000000000002</v>
      </c>
      <c r="OX149" s="93">
        <v>565.20393359799846</v>
      </c>
      <c r="OY149" s="93">
        <v>2.9731108179999994</v>
      </c>
      <c r="OZ149" s="93">
        <v>562.23082277999845</v>
      </c>
      <c r="PA149" s="93">
        <v>103.31860944699999</v>
      </c>
      <c r="PB149" s="93">
        <v>-13.348482666000002</v>
      </c>
      <c r="PC149" s="20">
        <v>628.8724603807608</v>
      </c>
      <c r="PD149" s="29">
        <v>82</v>
      </c>
      <c r="PE149" s="19"/>
      <c r="PF149" s="93">
        <v>219.11128976499998</v>
      </c>
      <c r="PG149" s="93">
        <v>490.13865377299999</v>
      </c>
      <c r="PH149" s="93">
        <v>271.02736400800001</v>
      </c>
      <c r="PI149" s="93">
        <v>1.1100000000000001</v>
      </c>
      <c r="PJ149" s="93">
        <v>-20.149966796999998</v>
      </c>
      <c r="PK149" s="93">
        <v>40.806104904999998</v>
      </c>
      <c r="PL149" s="93">
        <v>60.956071701999996</v>
      </c>
      <c r="PM149" s="93">
        <v>2.9731108179999994</v>
      </c>
      <c r="PN149" s="93">
        <v>0</v>
      </c>
      <c r="PO149" s="93">
        <v>0</v>
      </c>
      <c r="PP149" s="93">
        <v>0.60009632199999996</v>
      </c>
      <c r="PQ149" s="93">
        <v>2.3730144959999997</v>
      </c>
      <c r="PR149" s="93">
        <v>207.27891889400001</v>
      </c>
      <c r="PS149" s="93">
        <v>151.43989999999999</v>
      </c>
      <c r="PT149" s="93">
        <v>55.517211889000002</v>
      </c>
      <c r="PU149" s="93">
        <v>0.32180700500000003</v>
      </c>
      <c r="PV149" s="93">
        <v>0</v>
      </c>
      <c r="PW149" s="93">
        <v>0.28334725700000002</v>
      </c>
      <c r="PX149" s="93">
        <v>0</v>
      </c>
      <c r="PY149" s="93">
        <v>0</v>
      </c>
      <c r="PZ149" s="93">
        <v>0.28334725700000002</v>
      </c>
      <c r="QA149" s="93">
        <v>0</v>
      </c>
      <c r="QB149" s="93">
        <v>0</v>
      </c>
      <c r="QC149" s="93">
        <v>0</v>
      </c>
      <c r="QD149" s="93">
        <v>-2.6467378100000003</v>
      </c>
      <c r="QE149" s="20">
        <v>-1.871094555</v>
      </c>
      <c r="QF149" s="1739">
        <v>82</v>
      </c>
      <c r="QG149" s="19"/>
      <c r="QH149" s="1035">
        <v>31.972330595762244</v>
      </c>
      <c r="QI149" s="1035">
        <v>135.57417722000147</v>
      </c>
      <c r="QJ149" s="1035">
        <v>-103.60184662423923</v>
      </c>
      <c r="QK149" s="1035">
        <v>72.349000000000004</v>
      </c>
      <c r="QL149" s="1035">
        <v>17.327999999999999</v>
      </c>
      <c r="QM149" s="1035">
        <v>55.021000000000001</v>
      </c>
      <c r="QN149" s="1035">
        <v>0</v>
      </c>
      <c r="QO149" s="1035">
        <v>-77.295000000000002</v>
      </c>
      <c r="QP149" s="1035">
        <v>17.023</v>
      </c>
      <c r="QQ149" s="1035">
        <v>-94.317999999999998</v>
      </c>
      <c r="QR149" s="1035">
        <v>562.23082277999845</v>
      </c>
      <c r="QS149" s="1035">
        <v>9.3567015008544985</v>
      </c>
      <c r="QT149" s="1035">
        <v>0</v>
      </c>
      <c r="QU149" s="1035">
        <v>75.88</v>
      </c>
      <c r="QV149" s="1035">
        <v>476.994121279144</v>
      </c>
      <c r="QW149" s="93"/>
      <c r="QX149" s="93">
        <v>0.47199999999999998</v>
      </c>
      <c r="QY149" s="93">
        <v>207.89317185410988</v>
      </c>
      <c r="QZ149" s="93">
        <v>237.8489815216509</v>
      </c>
      <c r="RA149" s="93">
        <v>0</v>
      </c>
      <c r="RB149" s="93">
        <v>15.875</v>
      </c>
      <c r="RC149" s="93">
        <v>0</v>
      </c>
      <c r="RD149" s="93">
        <v>3.5819999999999999</v>
      </c>
      <c r="RE149" s="93">
        <v>0</v>
      </c>
      <c r="RF149" s="93">
        <v>0</v>
      </c>
      <c r="RG149" s="93">
        <v>86.224999999999994</v>
      </c>
      <c r="RH149" s="93">
        <v>37.36099999999999</v>
      </c>
      <c r="RI149" s="93"/>
      <c r="RJ149" s="93"/>
      <c r="RK149" s="93"/>
      <c r="RL149" s="93"/>
      <c r="RM149" s="20"/>
      <c r="RN149" s="29">
        <v>82</v>
      </c>
      <c r="RO149" s="19"/>
      <c r="RP149" s="20"/>
      <c r="RQ149" s="29">
        <v>82</v>
      </c>
      <c r="RR149" s="20"/>
      <c r="RS149" s="29">
        <v>82</v>
      </c>
      <c r="RT149" s="1504">
        <v>38991</v>
      </c>
      <c r="RU149" s="19"/>
      <c r="RV149" s="20"/>
      <c r="RW149" s="29">
        <v>82</v>
      </c>
      <c r="RX149" s="1504">
        <v>38991</v>
      </c>
      <c r="RY149" s="29"/>
      <c r="RZ149" s="20"/>
      <c r="SA149" s="29"/>
      <c r="SB149" s="29">
        <v>82</v>
      </c>
    </row>
    <row r="150" spans="1:496">
      <c r="A150" s="41">
        <f t="shared" si="191"/>
        <v>2006</v>
      </c>
      <c r="B150" s="1504">
        <v>39022</v>
      </c>
      <c r="C150" s="1813"/>
      <c r="D150" s="1814"/>
      <c r="E150" s="1814"/>
      <c r="F150" s="1815"/>
      <c r="G150" s="1814"/>
      <c r="H150" s="1814"/>
      <c r="I150" s="1814"/>
      <c r="J150" s="1816"/>
      <c r="K150" s="1807"/>
      <c r="L150" s="25">
        <v>83</v>
      </c>
      <c r="M150" s="97"/>
      <c r="N150" s="1504">
        <v>39022</v>
      </c>
      <c r="O150" s="19"/>
      <c r="P150" s="93"/>
      <c r="Q150" s="93"/>
      <c r="R150" s="93"/>
      <c r="S150" s="93"/>
      <c r="T150" s="93"/>
      <c r="U150" s="93"/>
      <c r="V150" s="93"/>
      <c r="W150" s="93"/>
      <c r="X150" s="93"/>
      <c r="Y150" s="93"/>
      <c r="Z150" s="93"/>
      <c r="AA150" s="93"/>
      <c r="AB150" s="20"/>
      <c r="AC150" s="25">
        <v>83</v>
      </c>
      <c r="AD150" s="97"/>
      <c r="AE150" s="1504">
        <v>39022</v>
      </c>
      <c r="AF150" s="19"/>
      <c r="AG150" s="93"/>
      <c r="AH150" s="93"/>
      <c r="AI150" s="93"/>
      <c r="AJ150" s="93"/>
      <c r="AK150" s="93"/>
      <c r="AL150" s="93"/>
      <c r="AM150" s="93"/>
      <c r="AN150" s="93"/>
      <c r="AO150" s="93"/>
      <c r="AP150" s="93"/>
      <c r="AQ150" s="93"/>
      <c r="AR150" s="93"/>
      <c r="AS150" s="20"/>
      <c r="AT150" s="25">
        <v>83</v>
      </c>
      <c r="AU150" s="97"/>
      <c r="AV150" s="1504">
        <v>39022</v>
      </c>
      <c r="AW150" s="19"/>
      <c r="AX150" s="93"/>
      <c r="AY150" s="93"/>
      <c r="AZ150" s="93"/>
      <c r="BA150" s="93"/>
      <c r="BB150" s="93"/>
      <c r="BC150" s="93"/>
      <c r="BD150" s="93"/>
      <c r="BE150" s="93"/>
      <c r="BF150" s="93"/>
      <c r="BG150" s="93"/>
      <c r="BH150" s="93"/>
      <c r="BI150" s="93"/>
      <c r="BJ150" s="20"/>
      <c r="BK150" s="25">
        <v>83</v>
      </c>
      <c r="BL150" s="97"/>
      <c r="BM150" s="1504">
        <v>39022</v>
      </c>
      <c r="BN150" s="19"/>
      <c r="BO150" s="93"/>
      <c r="BP150" s="93"/>
      <c r="BQ150" s="93"/>
      <c r="BR150" s="93"/>
      <c r="BS150" s="93"/>
      <c r="BT150" s="93"/>
      <c r="BU150" s="20"/>
      <c r="BV150" s="25">
        <v>83</v>
      </c>
      <c r="BW150" s="97"/>
      <c r="BX150" s="1504">
        <v>39022</v>
      </c>
      <c r="BY150" s="19"/>
      <c r="BZ150" s="99">
        <v>664.95699999999999</v>
      </c>
      <c r="CA150" s="93"/>
      <c r="CB150" s="93"/>
      <c r="CC150" s="93"/>
      <c r="CD150" s="25">
        <v>83</v>
      </c>
      <c r="CE150" s="97"/>
      <c r="CF150" s="1504">
        <v>39022</v>
      </c>
      <c r="CG150" s="19">
        <v>1.2654518800000001</v>
      </c>
      <c r="CH150" s="93">
        <v>627.827</v>
      </c>
      <c r="CI150" s="219"/>
      <c r="CJ150" s="20"/>
      <c r="CK150" s="19"/>
      <c r="CL150" s="93"/>
      <c r="CM150" s="93"/>
      <c r="CN150" s="93"/>
      <c r="CO150" s="93"/>
      <c r="CP150" s="20"/>
      <c r="CQ150" s="219">
        <v>1102.31</v>
      </c>
      <c r="CR150" s="93">
        <v>1.7224999999999999</v>
      </c>
      <c r="CS150" s="93"/>
      <c r="CT150" s="93"/>
      <c r="CU150" s="93"/>
      <c r="CV150" s="214"/>
      <c r="CW150" s="29">
        <v>83</v>
      </c>
      <c r="CX150" s="41">
        <f t="shared" si="192"/>
        <v>2006</v>
      </c>
      <c r="CY150" s="1504">
        <v>39022</v>
      </c>
      <c r="CZ150" s="1916">
        <v>49.247696000000005</v>
      </c>
      <c r="DA150" s="1526">
        <v>30.132632000000001</v>
      </c>
      <c r="DB150" s="1526">
        <v>19.115064</v>
      </c>
      <c r="DC150" s="182">
        <f>DC151</f>
        <v>283908</v>
      </c>
      <c r="DD150" s="182">
        <f t="shared" si="194"/>
        <v>283111</v>
      </c>
      <c r="DE150" s="182">
        <f t="shared" si="195"/>
        <v>797</v>
      </c>
      <c r="DF150" s="29">
        <v>83</v>
      </c>
      <c r="DG150" s="1504">
        <v>39022</v>
      </c>
      <c r="DH150" s="19"/>
      <c r="DI150" s="93"/>
      <c r="DJ150" s="93"/>
      <c r="DK150" s="93"/>
      <c r="DL150" s="93"/>
      <c r="DM150" s="93"/>
      <c r="DN150" s="20"/>
      <c r="DO150" s="25"/>
      <c r="DP150" s="29">
        <v>83</v>
      </c>
      <c r="DQ150" s="1504">
        <v>39022</v>
      </c>
      <c r="DR150" s="19"/>
      <c r="DS150" s="93"/>
      <c r="DT150" s="93"/>
      <c r="DU150" s="93"/>
      <c r="DV150" s="93"/>
      <c r="DW150" s="93"/>
      <c r="DX150" s="20"/>
      <c r="DY150" s="29">
        <v>83</v>
      </c>
      <c r="DZ150" s="1504">
        <v>39022</v>
      </c>
      <c r="EA150" s="19"/>
      <c r="EB150" s="93"/>
      <c r="EC150" s="20"/>
      <c r="ED150" s="29">
        <v>83</v>
      </c>
      <c r="EE150" s="1504">
        <v>39022</v>
      </c>
      <c r="EF150" s="19"/>
      <c r="EG150" s="93"/>
      <c r="EH150" s="93"/>
      <c r="EI150" s="214"/>
      <c r="EJ150" s="93"/>
      <c r="EK150" s="93"/>
      <c r="EL150" s="93"/>
      <c r="EM150" s="93"/>
      <c r="EN150" s="20"/>
      <c r="EO150" s="29">
        <v>83</v>
      </c>
      <c r="EP150" s="1504">
        <v>39022</v>
      </c>
      <c r="EQ150" s="19"/>
      <c r="ER150" s="93"/>
      <c r="ES150" s="93"/>
      <c r="ET150" s="214"/>
      <c r="EU150" s="93"/>
      <c r="EV150" s="93"/>
      <c r="EW150" s="93"/>
      <c r="EX150" s="93"/>
      <c r="EY150" s="20"/>
      <c r="EZ150" s="29">
        <v>83</v>
      </c>
      <c r="FA150" s="1504">
        <v>39022</v>
      </c>
      <c r="FB150" s="29"/>
      <c r="FC150" s="29"/>
      <c r="FD150" s="29"/>
      <c r="FE150" s="29"/>
      <c r="FF150" s="29"/>
      <c r="FG150" s="29"/>
      <c r="FH150" s="29"/>
      <c r="FI150" s="29"/>
      <c r="FJ150" s="29"/>
      <c r="FK150" s="29">
        <v>83</v>
      </c>
      <c r="FL150" s="1504">
        <v>39022</v>
      </c>
      <c r="FM150" s="19"/>
      <c r="FN150" s="93"/>
      <c r="FO150" s="93"/>
      <c r="FP150" s="93"/>
      <c r="FQ150" s="93"/>
      <c r="FR150" s="93"/>
      <c r="FS150" s="93"/>
      <c r="FT150" s="93"/>
      <c r="FU150" s="93"/>
      <c r="FV150" s="93"/>
      <c r="FW150" s="93"/>
      <c r="FX150" s="93"/>
      <c r="FY150" s="93"/>
      <c r="FZ150" s="29">
        <v>83</v>
      </c>
      <c r="GA150" s="1504">
        <v>39022</v>
      </c>
      <c r="GB150" s="19"/>
      <c r="GC150" s="93"/>
      <c r="GD150" s="93"/>
      <c r="GE150" s="93"/>
      <c r="GF150" s="93"/>
      <c r="GG150" s="93"/>
      <c r="GH150" s="93"/>
      <c r="GI150" s="93"/>
      <c r="GJ150" s="93"/>
      <c r="GK150" s="93"/>
      <c r="GL150" s="93"/>
      <c r="GM150" s="93"/>
      <c r="GN150" s="20"/>
      <c r="GO150" s="29">
        <v>83</v>
      </c>
      <c r="GP150" s="1504">
        <v>39022</v>
      </c>
      <c r="GQ150" s="19"/>
      <c r="GR150" s="93"/>
      <c r="GS150" s="93"/>
      <c r="GT150" s="93"/>
      <c r="GU150" s="93"/>
      <c r="GV150" s="20"/>
      <c r="GW150" s="19"/>
      <c r="GX150" s="93"/>
      <c r="GY150" s="93"/>
      <c r="GZ150" s="93"/>
      <c r="HA150" s="93"/>
      <c r="HB150" s="20"/>
      <c r="HC150" s="19"/>
      <c r="HD150" s="93"/>
      <c r="HE150" s="93"/>
      <c r="HF150" s="93"/>
      <c r="HG150" s="93"/>
      <c r="HH150" s="20"/>
      <c r="HI150" s="19"/>
      <c r="HJ150" s="93"/>
      <c r="HK150" s="93"/>
      <c r="HL150" s="93"/>
      <c r="HM150" s="93"/>
      <c r="HN150" s="20"/>
      <c r="HO150" s="219"/>
      <c r="HP150" s="20"/>
      <c r="HQ150" s="25"/>
      <c r="HR150" s="29">
        <v>83</v>
      </c>
      <c r="HS150" s="1504">
        <v>39022</v>
      </c>
      <c r="HT150" s="179"/>
      <c r="HU150" s="99">
        <v>137.14845021565756</v>
      </c>
      <c r="HV150" s="99">
        <v>87.364863586425784</v>
      </c>
      <c r="HW150" s="99">
        <v>97.087379455566406</v>
      </c>
      <c r="HX150" s="99">
        <v>94.276092529296875</v>
      </c>
      <c r="HY150" s="99">
        <v>103.57143020629883</v>
      </c>
      <c r="HZ150" s="99">
        <v>129.08900833129883</v>
      </c>
      <c r="IA150" s="132">
        <v>97.04472541809082</v>
      </c>
      <c r="IB150" s="179">
        <v>123.23232269287109</v>
      </c>
      <c r="IC150" s="99">
        <v>85.910649617513016</v>
      </c>
      <c r="ID150" s="99">
        <v>80.645164489746094</v>
      </c>
      <c r="IE150" s="99">
        <v>77.110389709472656</v>
      </c>
      <c r="IF150" s="99">
        <v>88.709678649902344</v>
      </c>
      <c r="IG150" s="132">
        <v>76.142127990722656</v>
      </c>
      <c r="IH150" s="179"/>
      <c r="II150" s="99">
        <v>121.98361968994141</v>
      </c>
      <c r="IJ150" s="99">
        <v>77.666665649414057</v>
      </c>
      <c r="IK150" s="99">
        <v>86.071430969238278</v>
      </c>
      <c r="IL150" s="99">
        <v>69.054878234863281</v>
      </c>
      <c r="IM150" s="99">
        <v>92.701105117797852</v>
      </c>
      <c r="IN150" s="93"/>
      <c r="IO150" s="132">
        <v>97.055056571960449</v>
      </c>
      <c r="IP150" s="29">
        <v>83</v>
      </c>
      <c r="IQ150" s="19"/>
      <c r="IR150" s="93"/>
      <c r="IS150" s="93"/>
      <c r="IT150" s="93"/>
      <c r="IU150" s="93"/>
      <c r="IV150" s="20"/>
      <c r="IW150" s="29">
        <v>83</v>
      </c>
      <c r="IX150" s="19"/>
      <c r="IY150" s="93"/>
      <c r="IZ150" s="93"/>
      <c r="JA150" s="93"/>
      <c r="JB150" s="93"/>
      <c r="JC150" s="93"/>
      <c r="JD150" s="93"/>
      <c r="JE150" s="20"/>
      <c r="JF150" s="29">
        <v>83</v>
      </c>
      <c r="JG150" s="19"/>
      <c r="JH150" s="93"/>
      <c r="JI150" s="93"/>
      <c r="JJ150" s="93"/>
      <c r="JK150" s="93"/>
      <c r="JL150" s="93"/>
      <c r="JM150" s="93"/>
      <c r="JN150" s="20"/>
      <c r="JO150" s="29">
        <v>83</v>
      </c>
      <c r="JP150" s="19"/>
      <c r="JQ150" s="93"/>
      <c r="JR150" s="93"/>
      <c r="JS150" s="93"/>
      <c r="JT150" s="93"/>
      <c r="JU150" s="20"/>
      <c r="JV150" s="29">
        <v>83</v>
      </c>
      <c r="JW150" s="1504">
        <v>39022</v>
      </c>
      <c r="JX150" s="19"/>
      <c r="JY150" s="93"/>
      <c r="JZ150" s="93"/>
      <c r="KA150" s="93"/>
      <c r="KB150" s="93"/>
      <c r="KC150" s="93"/>
      <c r="KD150" s="20"/>
      <c r="KE150" s="29">
        <v>83</v>
      </c>
      <c r="KF150" s="19"/>
      <c r="KG150" s="93"/>
      <c r="KH150" s="93"/>
      <c r="KI150" s="93"/>
      <c r="KJ150" s="93"/>
      <c r="KK150" s="20"/>
      <c r="KL150" s="29">
        <v>83</v>
      </c>
      <c r="KM150" s="19"/>
      <c r="KN150" s="93"/>
      <c r="KO150" s="93"/>
      <c r="KP150" s="93"/>
      <c r="KQ150" s="93"/>
      <c r="KR150" s="20"/>
      <c r="KS150" s="29">
        <v>83</v>
      </c>
      <c r="KT150" s="19"/>
      <c r="KU150" s="93"/>
      <c r="KV150" s="93"/>
      <c r="KW150" s="93"/>
      <c r="KX150" s="93"/>
      <c r="KY150" s="20"/>
      <c r="KZ150" s="29">
        <v>83</v>
      </c>
      <c r="LA150" s="1504">
        <v>39022</v>
      </c>
      <c r="LB150" s="19"/>
      <c r="LC150" s="93"/>
      <c r="LD150" s="93"/>
      <c r="LE150" s="93"/>
      <c r="LF150" s="93"/>
      <c r="LG150" s="93"/>
      <c r="LH150" s="20"/>
      <c r="LI150" s="29">
        <v>83</v>
      </c>
      <c r="LJ150" s="19"/>
      <c r="LK150" s="93"/>
      <c r="LL150" s="93"/>
      <c r="LM150" s="93"/>
      <c r="LN150" s="93"/>
      <c r="LO150" s="20"/>
      <c r="LP150" s="29">
        <v>83</v>
      </c>
      <c r="LQ150" s="19"/>
      <c r="LR150" s="93"/>
      <c r="LS150" s="93"/>
      <c r="LT150" s="93"/>
      <c r="LU150" s="93"/>
      <c r="LV150" s="93"/>
      <c r="LW150" s="93"/>
      <c r="LX150" s="93"/>
      <c r="LY150" s="93"/>
      <c r="LZ150" s="93"/>
      <c r="MA150" s="20"/>
      <c r="MB150" s="29">
        <v>83</v>
      </c>
      <c r="MC150" s="1504">
        <v>39022</v>
      </c>
      <c r="MD150" s="19"/>
      <c r="ME150" s="93"/>
      <c r="MF150" s="93"/>
      <c r="MG150" s="93"/>
      <c r="MH150" s="93"/>
      <c r="MI150" s="93"/>
      <c r="MJ150" s="93"/>
      <c r="MK150" s="93"/>
      <c r="ML150" s="93"/>
      <c r="MM150" s="93"/>
      <c r="MN150" s="93"/>
      <c r="MO150" s="93"/>
      <c r="MP150" s="93"/>
      <c r="MQ150" s="93"/>
      <c r="MR150" s="93"/>
      <c r="MS150" s="93"/>
      <c r="MT150" s="93"/>
      <c r="MU150" s="93"/>
      <c r="MV150" s="93"/>
      <c r="MW150" s="93"/>
      <c r="MX150" s="93"/>
      <c r="MY150" s="93"/>
      <c r="MZ150" s="93"/>
      <c r="NA150" s="93"/>
      <c r="NB150" s="93"/>
      <c r="NC150" s="93"/>
      <c r="ND150" s="93"/>
      <c r="NE150" s="93"/>
      <c r="NF150" s="93"/>
      <c r="NG150" s="93"/>
      <c r="NH150" s="93"/>
      <c r="NI150" s="93"/>
      <c r="NJ150" s="93"/>
      <c r="NK150" s="93"/>
      <c r="NL150" s="93"/>
      <c r="NM150" s="93"/>
      <c r="NN150" s="93"/>
      <c r="NO150" s="93"/>
      <c r="NP150" s="93"/>
      <c r="NQ150" s="93"/>
      <c r="NR150" s="93"/>
      <c r="NS150" s="93"/>
      <c r="NT150" s="93"/>
      <c r="NU150" s="93"/>
      <c r="NV150" s="93"/>
      <c r="NW150" s="93"/>
      <c r="NX150" s="93"/>
      <c r="NY150" s="93"/>
      <c r="NZ150" s="93"/>
      <c r="OA150" s="93"/>
      <c r="OB150" s="93"/>
      <c r="OC150" s="93"/>
      <c r="OD150" s="20"/>
      <c r="OE150" s="29">
        <v>83</v>
      </c>
      <c r="OF150" s="1504">
        <v>39022</v>
      </c>
      <c r="OG150" s="19"/>
      <c r="OH150" s="93">
        <v>133.17609999999999</v>
      </c>
      <c r="OI150" s="93">
        <v>255.77669908241788</v>
      </c>
      <c r="OJ150" s="93">
        <v>0.44173935200000003</v>
      </c>
      <c r="OK150" s="93">
        <v>206.76405973041787</v>
      </c>
      <c r="OL150" s="93">
        <v>48.570900000000002</v>
      </c>
      <c r="OM150" s="93">
        <v>388.95279908241787</v>
      </c>
      <c r="ON150" s="93">
        <v>239.13780577060723</v>
      </c>
      <c r="OO150" s="93">
        <v>628.09060485302507</v>
      </c>
      <c r="OP150" s="93"/>
      <c r="OQ150" s="93">
        <v>231.45667872080065</v>
      </c>
      <c r="OR150" s="93">
        <v>200.39714643600001</v>
      </c>
      <c r="OS150" s="93">
        <v>31.059532284800625</v>
      </c>
      <c r="OT150" s="93">
        <v>486.22244116122442</v>
      </c>
      <c r="OU150" s="93">
        <v>-86.405400995000008</v>
      </c>
      <c r="OV150" s="93">
        <v>-10.671400994999999</v>
      </c>
      <c r="OW150" s="93">
        <v>-75.734000000000009</v>
      </c>
      <c r="OX150" s="93">
        <v>572.62784215622446</v>
      </c>
      <c r="OY150" s="93">
        <v>2.4395089400000001</v>
      </c>
      <c r="OZ150" s="93">
        <v>570.18833321622446</v>
      </c>
      <c r="PA150" s="93">
        <v>102.97279050399999</v>
      </c>
      <c r="PB150" s="93">
        <v>-13.38427547500001</v>
      </c>
      <c r="PC150" s="20">
        <v>628.09060485302518</v>
      </c>
      <c r="PD150" s="29">
        <v>83</v>
      </c>
      <c r="PE150" s="19"/>
      <c r="PF150" s="93">
        <v>200.39714643600001</v>
      </c>
      <c r="PG150" s="93">
        <v>320.49011582100002</v>
      </c>
      <c r="PH150" s="93">
        <v>120.092969385</v>
      </c>
      <c r="PI150" s="93">
        <v>1.05</v>
      </c>
      <c r="PJ150" s="93">
        <v>-10.671400994999999</v>
      </c>
      <c r="PK150" s="93">
        <v>40.831149885999999</v>
      </c>
      <c r="PL150" s="93">
        <v>51.502550880999998</v>
      </c>
      <c r="PM150" s="93">
        <v>2.4395089400000001</v>
      </c>
      <c r="PN150" s="93">
        <v>0</v>
      </c>
      <c r="PO150" s="93">
        <v>0</v>
      </c>
      <c r="PP150" s="93">
        <v>2.02769E-4</v>
      </c>
      <c r="PQ150" s="93">
        <v>2.4393061710000001</v>
      </c>
      <c r="PR150" s="93">
        <v>198.26997837600001</v>
      </c>
      <c r="PS150" s="93">
        <v>149.1541</v>
      </c>
      <c r="PT150" s="93">
        <v>48.674139023999999</v>
      </c>
      <c r="PU150" s="93">
        <v>0.44173935200000003</v>
      </c>
      <c r="PV150" s="93">
        <v>0</v>
      </c>
      <c r="PW150" s="93">
        <v>0.28091169100000002</v>
      </c>
      <c r="PX150" s="93">
        <v>0</v>
      </c>
      <c r="PY150" s="93">
        <v>0</v>
      </c>
      <c r="PZ150" s="93">
        <v>0.28091169100000002</v>
      </c>
      <c r="QA150" s="93">
        <v>0</v>
      </c>
      <c r="QB150" s="93">
        <v>0</v>
      </c>
      <c r="QC150" s="93">
        <v>0</v>
      </c>
      <c r="QD150" s="93">
        <v>-3.7911211869999999</v>
      </c>
      <c r="QE150" s="20">
        <v>-1.5445144990000002</v>
      </c>
      <c r="QF150" s="1739">
        <v>83</v>
      </c>
      <c r="QG150" s="19"/>
      <c r="QH150" s="1035">
        <v>31.059532284800625</v>
      </c>
      <c r="QI150" s="1035">
        <v>135.38266678377551</v>
      </c>
      <c r="QJ150" s="1035">
        <v>-104.32313449897488</v>
      </c>
      <c r="QK150" s="1035">
        <v>60.761000000000003</v>
      </c>
      <c r="QL150" s="1035">
        <v>15.978</v>
      </c>
      <c r="QM150" s="1035">
        <v>44.783000000000001</v>
      </c>
      <c r="QN150" s="1035">
        <v>0</v>
      </c>
      <c r="QO150" s="1035">
        <v>-75.734000000000009</v>
      </c>
      <c r="QP150" s="1035">
        <v>18.913</v>
      </c>
      <c r="QQ150" s="1035">
        <v>-94.647000000000006</v>
      </c>
      <c r="QR150" s="1035">
        <v>570.18833321622446</v>
      </c>
      <c r="QS150" s="1035">
        <v>10.613738158943447</v>
      </c>
      <c r="QT150" s="1035">
        <v>0</v>
      </c>
      <c r="QU150" s="1035">
        <v>76.420999999999992</v>
      </c>
      <c r="QV150" s="1035">
        <v>483.15359505728105</v>
      </c>
      <c r="QW150" s="93"/>
      <c r="QX150" s="93">
        <v>0.40300000000000002</v>
      </c>
      <c r="QY150" s="93">
        <v>206.76405973041784</v>
      </c>
      <c r="QZ150" s="93">
        <v>239.13780577060723</v>
      </c>
      <c r="RA150" s="93">
        <v>0</v>
      </c>
      <c r="RB150" s="93">
        <v>15.875</v>
      </c>
      <c r="RC150" s="93">
        <v>0</v>
      </c>
      <c r="RD150" s="93">
        <v>4.0630000000000006</v>
      </c>
      <c r="RE150" s="93">
        <v>0</v>
      </c>
      <c r="RF150" s="93">
        <v>0</v>
      </c>
      <c r="RG150" s="93">
        <v>86.544999999999987</v>
      </c>
      <c r="RH150" s="93">
        <v>33.486999999999995</v>
      </c>
      <c r="RI150" s="93"/>
      <c r="RJ150" s="93"/>
      <c r="RK150" s="93"/>
      <c r="RL150" s="93"/>
      <c r="RM150" s="20"/>
      <c r="RN150" s="29">
        <v>83</v>
      </c>
      <c r="RO150" s="19"/>
      <c r="RP150" s="20"/>
      <c r="RQ150" s="29">
        <v>83</v>
      </c>
      <c r="RR150" s="20"/>
      <c r="RS150" s="29">
        <v>83</v>
      </c>
      <c r="RT150" s="1504">
        <v>39022</v>
      </c>
      <c r="RU150" s="19"/>
      <c r="RV150" s="20"/>
      <c r="RW150" s="29">
        <v>83</v>
      </c>
      <c r="RX150" s="1504">
        <v>39022</v>
      </c>
      <c r="RY150" s="29"/>
      <c r="RZ150" s="20"/>
      <c r="SA150" s="29"/>
      <c r="SB150" s="29">
        <v>83</v>
      </c>
    </row>
    <row r="151" spans="1:496">
      <c r="A151" s="41">
        <f t="shared" si="191"/>
        <v>2006</v>
      </c>
      <c r="B151" s="1504">
        <v>39052</v>
      </c>
      <c r="C151" s="1813"/>
      <c r="D151" s="1814"/>
      <c r="E151" s="1814"/>
      <c r="F151" s="1815"/>
      <c r="G151" s="1814"/>
      <c r="H151" s="1814"/>
      <c r="I151" s="1814"/>
      <c r="J151" s="1816"/>
      <c r="K151" s="1807"/>
      <c r="L151" s="25">
        <v>84</v>
      </c>
      <c r="M151" s="97"/>
      <c r="N151" s="1504">
        <v>39052</v>
      </c>
      <c r="O151" s="19"/>
      <c r="P151" s="93"/>
      <c r="Q151" s="93"/>
      <c r="R151" s="93"/>
      <c r="S151" s="93"/>
      <c r="T151" s="93"/>
      <c r="U151" s="93"/>
      <c r="V151" s="93"/>
      <c r="W151" s="93"/>
      <c r="X151" s="93"/>
      <c r="Y151" s="93"/>
      <c r="Z151" s="93"/>
      <c r="AA151" s="93"/>
      <c r="AB151" s="20"/>
      <c r="AC151" s="25">
        <v>84</v>
      </c>
      <c r="AD151" s="97"/>
      <c r="AE151" s="1504">
        <v>39052</v>
      </c>
      <c r="AF151" s="19"/>
      <c r="AG151" s="93"/>
      <c r="AH151" s="93"/>
      <c r="AI151" s="93"/>
      <c r="AJ151" s="93"/>
      <c r="AK151" s="93"/>
      <c r="AL151" s="93"/>
      <c r="AM151" s="93"/>
      <c r="AN151" s="93"/>
      <c r="AO151" s="93"/>
      <c r="AP151" s="93"/>
      <c r="AQ151" s="93"/>
      <c r="AR151" s="93"/>
      <c r="AS151" s="20"/>
      <c r="AT151" s="25">
        <v>84</v>
      </c>
      <c r="AU151" s="97"/>
      <c r="AV151" s="1504">
        <v>39052</v>
      </c>
      <c r="AW151" s="19"/>
      <c r="AX151" s="93"/>
      <c r="AY151" s="93"/>
      <c r="AZ151" s="93"/>
      <c r="BA151" s="93"/>
      <c r="BB151" s="93"/>
      <c r="BC151" s="93"/>
      <c r="BD151" s="93"/>
      <c r="BE151" s="93"/>
      <c r="BF151" s="93"/>
      <c r="BG151" s="93"/>
      <c r="BH151" s="93"/>
      <c r="BI151" s="93"/>
      <c r="BJ151" s="20"/>
      <c r="BK151" s="25">
        <v>84</v>
      </c>
      <c r="BL151" s="97"/>
      <c r="BM151" s="1504">
        <v>39052</v>
      </c>
      <c r="BN151" s="19"/>
      <c r="BO151" s="93"/>
      <c r="BP151" s="93"/>
      <c r="BQ151" s="93"/>
      <c r="BR151" s="93"/>
      <c r="BS151" s="93"/>
      <c r="BT151" s="93"/>
      <c r="BU151" s="20"/>
      <c r="BV151" s="25">
        <v>84</v>
      </c>
      <c r="BW151" s="97"/>
      <c r="BX151" s="1504">
        <v>39052</v>
      </c>
      <c r="BY151" s="19"/>
      <c r="BZ151" s="99">
        <v>664.95699999999999</v>
      </c>
      <c r="CA151" s="93"/>
      <c r="CB151" s="93"/>
      <c r="CC151" s="93"/>
      <c r="CD151" s="25">
        <v>84</v>
      </c>
      <c r="CE151" s="97"/>
      <c r="CF151" s="1504">
        <v>39052</v>
      </c>
      <c r="CG151" s="19">
        <v>1.3106465899999999</v>
      </c>
      <c r="CH151" s="93">
        <v>629.79100000000005</v>
      </c>
      <c r="CI151" s="219"/>
      <c r="CJ151" s="20"/>
      <c r="CK151" s="19"/>
      <c r="CL151" s="93"/>
      <c r="CM151" s="93"/>
      <c r="CN151" s="93"/>
      <c r="CO151" s="93"/>
      <c r="CP151" s="20"/>
      <c r="CQ151" s="219">
        <v>1102.31</v>
      </c>
      <c r="CR151" s="93">
        <v>1.71333333333333</v>
      </c>
      <c r="CS151" s="93"/>
      <c r="CT151" s="93"/>
      <c r="CU151" s="93"/>
      <c r="CV151" s="214"/>
      <c r="CW151" s="29">
        <v>84</v>
      </c>
      <c r="CX151" s="41">
        <f t="shared" si="192"/>
        <v>2006</v>
      </c>
      <c r="CY151" s="1504">
        <v>39052</v>
      </c>
      <c r="CZ151" s="1916">
        <v>45.800846</v>
      </c>
      <c r="DA151" s="1526">
        <v>28.296953999999999</v>
      </c>
      <c r="DB151" s="1526">
        <v>17.503892</v>
      </c>
      <c r="DC151" s="182">
        <v>283908</v>
      </c>
      <c r="DD151" s="182">
        <v>283111</v>
      </c>
      <c r="DE151" s="290">
        <v>797</v>
      </c>
      <c r="DF151" s="29">
        <v>84</v>
      </c>
      <c r="DG151" s="1504">
        <v>39052</v>
      </c>
      <c r="DH151" s="19"/>
      <c r="DI151" s="93"/>
      <c r="DJ151" s="93"/>
      <c r="DK151" s="93"/>
      <c r="DL151" s="93"/>
      <c r="DM151" s="93"/>
      <c r="DN151" s="20"/>
      <c r="DO151" s="25"/>
      <c r="DP151" s="29">
        <v>84</v>
      </c>
      <c r="DQ151" s="1504">
        <v>39052</v>
      </c>
      <c r="DR151" s="19"/>
      <c r="DS151" s="93"/>
      <c r="DT151" s="93"/>
      <c r="DU151" s="93"/>
      <c r="DV151" s="93"/>
      <c r="DW151" s="93"/>
      <c r="DX151" s="20"/>
      <c r="DY151" s="29">
        <v>84</v>
      </c>
      <c r="DZ151" s="1504">
        <v>39052</v>
      </c>
      <c r="EA151" s="19"/>
      <c r="EB151" s="93"/>
      <c r="EC151" s="20"/>
      <c r="ED151" s="29">
        <v>84</v>
      </c>
      <c r="EE151" s="1504">
        <v>39052</v>
      </c>
      <c r="EF151" s="19"/>
      <c r="EG151" s="93"/>
      <c r="EH151" s="93"/>
      <c r="EI151" s="214"/>
      <c r="EJ151" s="93"/>
      <c r="EK151" s="93"/>
      <c r="EL151" s="93"/>
      <c r="EM151" s="93"/>
      <c r="EN151" s="20"/>
      <c r="EO151" s="29">
        <v>84</v>
      </c>
      <c r="EP151" s="1504">
        <v>39052</v>
      </c>
      <c r="EQ151" s="19"/>
      <c r="ER151" s="93"/>
      <c r="ES151" s="93"/>
      <c r="ET151" s="214"/>
      <c r="EU151" s="93"/>
      <c r="EV151" s="93"/>
      <c r="EW151" s="93"/>
      <c r="EX151" s="93"/>
      <c r="EY151" s="20"/>
      <c r="EZ151" s="29">
        <v>84</v>
      </c>
      <c r="FA151" s="1504">
        <v>39052</v>
      </c>
      <c r="FB151" s="29"/>
      <c r="FC151" s="29"/>
      <c r="FD151" s="29"/>
      <c r="FE151" s="29"/>
      <c r="FF151" s="29"/>
      <c r="FG151" s="29"/>
      <c r="FH151" s="29"/>
      <c r="FI151" s="29"/>
      <c r="FJ151" s="29"/>
      <c r="FK151" s="29">
        <v>84</v>
      </c>
      <c r="FL151" s="1504">
        <v>39052</v>
      </c>
      <c r="FM151" s="19"/>
      <c r="FN151" s="93"/>
      <c r="FO151" s="93"/>
      <c r="FP151" s="93"/>
      <c r="FQ151" s="93"/>
      <c r="FR151" s="93"/>
      <c r="FS151" s="93"/>
      <c r="FT151" s="93"/>
      <c r="FU151" s="93"/>
      <c r="FV151" s="93"/>
      <c r="FW151" s="93"/>
      <c r="FX151" s="93"/>
      <c r="FY151" s="93"/>
      <c r="FZ151" s="29">
        <v>84</v>
      </c>
      <c r="GA151" s="1504">
        <v>39052</v>
      </c>
      <c r="GB151" s="19"/>
      <c r="GC151" s="93"/>
      <c r="GD151" s="93"/>
      <c r="GE151" s="93"/>
      <c r="GF151" s="93"/>
      <c r="GG151" s="93"/>
      <c r="GH151" s="93"/>
      <c r="GI151" s="93"/>
      <c r="GJ151" s="93"/>
      <c r="GK151" s="93"/>
      <c r="GL151" s="93"/>
      <c r="GM151" s="93"/>
      <c r="GN151" s="20"/>
      <c r="GO151" s="29">
        <v>84</v>
      </c>
      <c r="GP151" s="1504">
        <v>39052</v>
      </c>
      <c r="GQ151" s="19"/>
      <c r="GR151" s="93"/>
      <c r="GS151" s="93"/>
      <c r="GT151" s="93"/>
      <c r="GU151" s="93"/>
      <c r="GV151" s="20"/>
      <c r="GW151" s="19"/>
      <c r="GX151" s="93"/>
      <c r="GY151" s="93"/>
      <c r="GZ151" s="93"/>
      <c r="HA151" s="93"/>
      <c r="HB151" s="20"/>
      <c r="HC151" s="19"/>
      <c r="HD151" s="93"/>
      <c r="HE151" s="93"/>
      <c r="HF151" s="93"/>
      <c r="HG151" s="93"/>
      <c r="HH151" s="20"/>
      <c r="HI151" s="19"/>
      <c r="HJ151" s="93"/>
      <c r="HK151" s="93"/>
      <c r="HL151" s="93"/>
      <c r="HM151" s="93"/>
      <c r="HN151" s="20"/>
      <c r="HO151" s="219"/>
      <c r="HP151" s="20"/>
      <c r="HQ151" s="25"/>
      <c r="HR151" s="29">
        <v>84</v>
      </c>
      <c r="HS151" s="1504">
        <v>39052</v>
      </c>
      <c r="HT151" s="179">
        <v>111.58607940673828</v>
      </c>
      <c r="HU151" s="99">
        <v>143.91279144287108</v>
      </c>
      <c r="HV151" s="99">
        <v>96.19021301269531</v>
      </c>
      <c r="HW151" s="99">
        <v>97.087379455566406</v>
      </c>
      <c r="HX151" s="99">
        <v>90.488214492797852</v>
      </c>
      <c r="HY151" s="99">
        <v>109.12698745727539</v>
      </c>
      <c r="HZ151" s="99">
        <v>126.95765609741211</v>
      </c>
      <c r="IA151" s="132">
        <v>96.530715942382813</v>
      </c>
      <c r="IB151" s="179">
        <v>94.462543487548828</v>
      </c>
      <c r="IC151" s="99">
        <v>74.715029907226565</v>
      </c>
      <c r="ID151" s="99"/>
      <c r="IE151" s="99">
        <v>83.429780960083008</v>
      </c>
      <c r="IF151" s="99">
        <v>77.734375</v>
      </c>
      <c r="IG151" s="132">
        <v>76.142127990722656</v>
      </c>
      <c r="IH151" s="179">
        <v>67.716733551025385</v>
      </c>
      <c r="II151" s="99">
        <v>127.22328643798828</v>
      </c>
      <c r="IJ151" s="99">
        <v>88.799998474121097</v>
      </c>
      <c r="IK151" s="99">
        <v>80.357147216796875</v>
      </c>
      <c r="IL151" s="99">
        <v>78.340802764892572</v>
      </c>
      <c r="IM151" s="99">
        <v>92.42304801940918</v>
      </c>
      <c r="IN151" s="93"/>
      <c r="IO151" s="132">
        <v>98.327429199218756</v>
      </c>
      <c r="IP151" s="29">
        <v>84</v>
      </c>
      <c r="IQ151" s="19"/>
      <c r="IR151" s="93"/>
      <c r="IS151" s="93"/>
      <c r="IT151" s="93"/>
      <c r="IU151" s="93"/>
      <c r="IV151" s="20"/>
      <c r="IW151" s="29">
        <v>84</v>
      </c>
      <c r="IX151" s="19"/>
      <c r="IY151" s="93"/>
      <c r="IZ151" s="93"/>
      <c r="JA151" s="93"/>
      <c r="JB151" s="93"/>
      <c r="JC151" s="93"/>
      <c r="JD151" s="93"/>
      <c r="JE151" s="20"/>
      <c r="JF151" s="29">
        <v>84</v>
      </c>
      <c r="JG151" s="19"/>
      <c r="JH151" s="93"/>
      <c r="JI151" s="93"/>
      <c r="JJ151" s="93"/>
      <c r="JK151" s="93"/>
      <c r="JL151" s="93"/>
      <c r="JM151" s="93"/>
      <c r="JN151" s="20"/>
      <c r="JO151" s="29">
        <v>84</v>
      </c>
      <c r="JP151" s="19"/>
      <c r="JQ151" s="93"/>
      <c r="JR151" s="93"/>
      <c r="JS151" s="93"/>
      <c r="JT151" s="93"/>
      <c r="JU151" s="20"/>
      <c r="JV151" s="29">
        <v>84</v>
      </c>
      <c r="JW151" s="1504">
        <v>39052</v>
      </c>
      <c r="JX151" s="19"/>
      <c r="JY151" s="93"/>
      <c r="JZ151" s="93"/>
      <c r="KA151" s="93"/>
      <c r="KB151" s="93"/>
      <c r="KC151" s="93"/>
      <c r="KD151" s="20"/>
      <c r="KE151" s="29">
        <v>84</v>
      </c>
      <c r="KF151" s="19"/>
      <c r="KG151" s="93"/>
      <c r="KH151" s="93"/>
      <c r="KI151" s="93"/>
      <c r="KJ151" s="93"/>
      <c r="KK151" s="20"/>
      <c r="KL151" s="29">
        <v>84</v>
      </c>
      <c r="KM151" s="19"/>
      <c r="KN151" s="93"/>
      <c r="KO151" s="93"/>
      <c r="KP151" s="93"/>
      <c r="KQ151" s="93"/>
      <c r="KR151" s="20"/>
      <c r="KS151" s="29">
        <v>84</v>
      </c>
      <c r="KT151" s="19"/>
      <c r="KU151" s="93"/>
      <c r="KV151" s="93"/>
      <c r="KW151" s="93"/>
      <c r="KX151" s="93"/>
      <c r="KY151" s="20"/>
      <c r="KZ151" s="29">
        <v>84</v>
      </c>
      <c r="LA151" s="1504">
        <v>39052</v>
      </c>
      <c r="LB151" s="19"/>
      <c r="LC151" s="93"/>
      <c r="LD151" s="93"/>
      <c r="LE151" s="93"/>
      <c r="LF151" s="93"/>
      <c r="LG151" s="93"/>
      <c r="LH151" s="20"/>
      <c r="LI151" s="29">
        <v>84</v>
      </c>
      <c r="LJ151" s="19"/>
      <c r="LK151" s="93"/>
      <c r="LL151" s="93"/>
      <c r="LM151" s="93"/>
      <c r="LN151" s="93"/>
      <c r="LO151" s="20"/>
      <c r="LP151" s="29">
        <v>84</v>
      </c>
      <c r="LQ151" s="19"/>
      <c r="LR151" s="93"/>
      <c r="LS151" s="93"/>
      <c r="LT151" s="93"/>
      <c r="LU151" s="93"/>
      <c r="LV151" s="93"/>
      <c r="LW151" s="93"/>
      <c r="LX151" s="93"/>
      <c r="LY151" s="93"/>
      <c r="LZ151" s="93"/>
      <c r="MA151" s="20"/>
      <c r="MB151" s="29">
        <v>84</v>
      </c>
      <c r="MC151" s="1504">
        <v>39052</v>
      </c>
      <c r="MD151" s="19"/>
      <c r="ME151" s="93"/>
      <c r="MF151" s="93"/>
      <c r="MG151" s="93"/>
      <c r="MH151" s="93"/>
      <c r="MI151" s="93"/>
      <c r="MJ151" s="93"/>
      <c r="MK151" s="93"/>
      <c r="ML151" s="93"/>
      <c r="MM151" s="93"/>
      <c r="MN151" s="93"/>
      <c r="MO151" s="93"/>
      <c r="MP151" s="93"/>
      <c r="MQ151" s="93"/>
      <c r="MR151" s="93"/>
      <c r="MS151" s="93"/>
      <c r="MT151" s="93"/>
      <c r="MU151" s="93"/>
      <c r="MV151" s="93"/>
      <c r="MW151" s="93"/>
      <c r="MX151" s="93"/>
      <c r="MY151" s="93"/>
      <c r="MZ151" s="93"/>
      <c r="NA151" s="93"/>
      <c r="NB151" s="93"/>
      <c r="NC151" s="93"/>
      <c r="ND151" s="93"/>
      <c r="NE151" s="93"/>
      <c r="NF151" s="93"/>
      <c r="NG151" s="93"/>
      <c r="NH151" s="93"/>
      <c r="NI151" s="93"/>
      <c r="NJ151" s="93"/>
      <c r="NK151" s="93"/>
      <c r="NL151" s="93"/>
      <c r="NM151" s="93"/>
      <c r="NN151" s="93"/>
      <c r="NO151" s="93"/>
      <c r="NP151" s="93"/>
      <c r="NQ151" s="93"/>
      <c r="NR151" s="93"/>
      <c r="NS151" s="93"/>
      <c r="NT151" s="93"/>
      <c r="NU151" s="93"/>
      <c r="NV151" s="93"/>
      <c r="NW151" s="93"/>
      <c r="NX151" s="93"/>
      <c r="NY151" s="93"/>
      <c r="NZ151" s="93"/>
      <c r="OA151" s="93"/>
      <c r="OB151" s="93"/>
      <c r="OC151" s="93"/>
      <c r="OD151" s="20"/>
      <c r="OE151" s="29">
        <v>84</v>
      </c>
      <c r="OF151" s="1504">
        <v>39052</v>
      </c>
      <c r="OG151" s="19"/>
      <c r="OH151" s="93">
        <v>143.5521</v>
      </c>
      <c r="OI151" s="93">
        <v>269.01105321689715</v>
      </c>
      <c r="OJ151" s="93">
        <v>0.46468014899999999</v>
      </c>
      <c r="OK151" s="93">
        <v>219.65017306789713</v>
      </c>
      <c r="OL151" s="93">
        <v>48.8962</v>
      </c>
      <c r="OM151" s="93">
        <v>412.56315321689715</v>
      </c>
      <c r="ON151" s="93">
        <v>229.63623545136738</v>
      </c>
      <c r="OO151" s="93">
        <v>642.19938866826453</v>
      </c>
      <c r="OP151" s="93"/>
      <c r="OQ151" s="93">
        <v>246.56617012467524</v>
      </c>
      <c r="OR151" s="93">
        <v>200.46004027100005</v>
      </c>
      <c r="OS151" s="93">
        <v>46.106129853675171</v>
      </c>
      <c r="OT151" s="93">
        <v>505.32901539058935</v>
      </c>
      <c r="OU151" s="93">
        <v>-77.621652855000008</v>
      </c>
      <c r="OV151" s="93">
        <v>1.3923471450000022</v>
      </c>
      <c r="OW151" s="93">
        <v>-79.01400000000001</v>
      </c>
      <c r="OX151" s="93">
        <v>582.95066824558933</v>
      </c>
      <c r="OY151" s="93">
        <v>2.3323895800000001</v>
      </c>
      <c r="OZ151" s="93">
        <v>580.61827866558929</v>
      </c>
      <c r="PA151" s="93">
        <v>100.943137564</v>
      </c>
      <c r="PB151" s="93">
        <v>8.752659283000007</v>
      </c>
      <c r="PC151" s="20">
        <v>642.19938866826453</v>
      </c>
      <c r="PD151" s="29">
        <v>84</v>
      </c>
      <c r="PE151" s="19"/>
      <c r="PF151" s="93">
        <v>200.46004027100005</v>
      </c>
      <c r="PG151" s="93">
        <v>272.82068146500006</v>
      </c>
      <c r="PH151" s="93">
        <v>72.36064119400001</v>
      </c>
      <c r="PI151" s="93">
        <v>0.99035062500000004</v>
      </c>
      <c r="PJ151" s="93">
        <v>1.3923471450000022</v>
      </c>
      <c r="PK151" s="93">
        <v>40.767568959000002</v>
      </c>
      <c r="PL151" s="93">
        <v>39.375221814</v>
      </c>
      <c r="PM151" s="93">
        <v>2.3323895800000001</v>
      </c>
      <c r="PN151" s="93">
        <v>0</v>
      </c>
      <c r="PO151" s="93">
        <v>0</v>
      </c>
      <c r="PP151" s="93">
        <v>8.9982999999999995E-5</v>
      </c>
      <c r="PQ151" s="93">
        <v>2.332299597</v>
      </c>
      <c r="PR151" s="93">
        <v>204.62132094699999</v>
      </c>
      <c r="PS151" s="93">
        <v>158.44909999999999</v>
      </c>
      <c r="PT151" s="93">
        <v>45.707540797999997</v>
      </c>
      <c r="PU151" s="93">
        <v>0.46468014899999999</v>
      </c>
      <c r="PV151" s="93">
        <v>0</v>
      </c>
      <c r="PW151" s="93">
        <v>0.67193645899999999</v>
      </c>
      <c r="PX151" s="93">
        <v>0</v>
      </c>
      <c r="PY151" s="93">
        <v>0</v>
      </c>
      <c r="PZ151" s="93">
        <v>0.67193645899999999</v>
      </c>
      <c r="QA151" s="93">
        <v>0</v>
      </c>
      <c r="QB151" s="93">
        <v>0</v>
      </c>
      <c r="QC151" s="93">
        <v>0</v>
      </c>
      <c r="QD151" s="93">
        <v>-4.9227988949999997</v>
      </c>
      <c r="QE151" s="20">
        <v>4.8046691099999927</v>
      </c>
      <c r="QF151" s="1739">
        <v>84</v>
      </c>
      <c r="QG151" s="19"/>
      <c r="QH151" s="1035">
        <v>46.106129853675171</v>
      </c>
      <c r="QI151" s="1035">
        <v>143.14072133441064</v>
      </c>
      <c r="QJ151" s="1035">
        <v>-97.034591480735472</v>
      </c>
      <c r="QK151" s="1035">
        <v>60.089999999999996</v>
      </c>
      <c r="QL151" s="1035">
        <v>14.897</v>
      </c>
      <c r="QM151" s="1035">
        <v>45.192999999999998</v>
      </c>
      <c r="QN151" s="1035">
        <v>0</v>
      </c>
      <c r="QO151" s="1035">
        <v>-79.01400000000001</v>
      </c>
      <c r="QP151" s="1035">
        <v>21.597999999999999</v>
      </c>
      <c r="QQ151" s="1035">
        <v>-100.61200000000001</v>
      </c>
      <c r="QR151" s="1035">
        <v>580.61827866558929</v>
      </c>
      <c r="QS151" s="1035">
        <v>12.74768593546675</v>
      </c>
      <c r="QT151" s="1035">
        <v>0</v>
      </c>
      <c r="QU151" s="1035">
        <v>68.14</v>
      </c>
      <c r="QV151" s="1035">
        <v>499.73059273012257</v>
      </c>
      <c r="QW151" s="93"/>
      <c r="QX151" s="93">
        <v>0.24299999999999999</v>
      </c>
      <c r="QY151" s="93">
        <v>219.65017306789713</v>
      </c>
      <c r="QZ151" s="93">
        <v>229.63623545136738</v>
      </c>
      <c r="RA151" s="93">
        <v>0</v>
      </c>
      <c r="RB151" s="93">
        <v>16.259</v>
      </c>
      <c r="RC151" s="93">
        <v>1.35</v>
      </c>
      <c r="RD151" s="93">
        <v>7.2139999999999995</v>
      </c>
      <c r="RE151" s="93">
        <v>0</v>
      </c>
      <c r="RF151" s="93">
        <v>0</v>
      </c>
      <c r="RG151" s="93">
        <v>80.370999999999995</v>
      </c>
      <c r="RH151" s="93">
        <v>53.077000000000012</v>
      </c>
      <c r="RI151" s="93"/>
      <c r="RJ151" s="93"/>
      <c r="RK151" s="93"/>
      <c r="RL151" s="93"/>
      <c r="RM151" s="20"/>
      <c r="RN151" s="29">
        <v>84</v>
      </c>
      <c r="RO151" s="19"/>
      <c r="RP151" s="20"/>
      <c r="RQ151" s="29">
        <v>84</v>
      </c>
      <c r="RR151" s="20"/>
      <c r="RS151" s="29">
        <v>84</v>
      </c>
      <c r="RT151" s="1504">
        <v>39052</v>
      </c>
      <c r="RU151" s="19"/>
      <c r="RV151" s="20"/>
      <c r="RW151" s="29">
        <v>84</v>
      </c>
      <c r="RX151" s="1504">
        <v>39052</v>
      </c>
      <c r="RY151" s="29"/>
      <c r="RZ151" s="20"/>
      <c r="SA151" s="29"/>
      <c r="SB151" s="29">
        <v>84</v>
      </c>
    </row>
    <row r="152" spans="1:496">
      <c r="A152" s="41">
        <f t="shared" si="191"/>
        <v>2007</v>
      </c>
      <c r="B152" s="1504">
        <v>39083</v>
      </c>
      <c r="C152" s="1813"/>
      <c r="D152" s="1814"/>
      <c r="E152" s="1814"/>
      <c r="F152" s="1815"/>
      <c r="G152" s="1814"/>
      <c r="H152" s="1814"/>
      <c r="I152" s="1814"/>
      <c r="J152" s="1816"/>
      <c r="K152" s="1807"/>
      <c r="L152" s="25">
        <v>85</v>
      </c>
      <c r="M152" s="97"/>
      <c r="N152" s="1504">
        <v>39083</v>
      </c>
      <c r="O152" s="19"/>
      <c r="P152" s="93"/>
      <c r="Q152" s="93"/>
      <c r="R152" s="93"/>
      <c r="S152" s="93"/>
      <c r="T152" s="93"/>
      <c r="U152" s="93"/>
      <c r="V152" s="93"/>
      <c r="W152" s="93"/>
      <c r="X152" s="93"/>
      <c r="Y152" s="93"/>
      <c r="Z152" s="93"/>
      <c r="AA152" s="93"/>
      <c r="AB152" s="20"/>
      <c r="AC152" s="25">
        <v>85</v>
      </c>
      <c r="AD152" s="97"/>
      <c r="AE152" s="1504">
        <v>39083</v>
      </c>
      <c r="AF152" s="19"/>
      <c r="AG152" s="93"/>
      <c r="AH152" s="93"/>
      <c r="AI152" s="93"/>
      <c r="AJ152" s="93"/>
      <c r="AK152" s="93"/>
      <c r="AL152" s="93"/>
      <c r="AM152" s="93"/>
      <c r="AN152" s="93"/>
      <c r="AO152" s="93"/>
      <c r="AP152" s="93"/>
      <c r="AQ152" s="93"/>
      <c r="AR152" s="93"/>
      <c r="AS152" s="20"/>
      <c r="AT152" s="25">
        <v>85</v>
      </c>
      <c r="AU152" s="97"/>
      <c r="AV152" s="1504">
        <v>39083</v>
      </c>
      <c r="AW152" s="19"/>
      <c r="AX152" s="93"/>
      <c r="AY152" s="93"/>
      <c r="AZ152" s="93"/>
      <c r="BA152" s="93"/>
      <c r="BB152" s="93"/>
      <c r="BC152" s="93"/>
      <c r="BD152" s="93"/>
      <c r="BE152" s="93"/>
      <c r="BF152" s="93"/>
      <c r="BG152" s="93"/>
      <c r="BH152" s="93"/>
      <c r="BI152" s="93"/>
      <c r="BJ152" s="20"/>
      <c r="BK152" s="25">
        <v>85</v>
      </c>
      <c r="BL152" s="97"/>
      <c r="BM152" s="1504">
        <v>39083</v>
      </c>
      <c r="BN152" s="19"/>
      <c r="BO152" s="93"/>
      <c r="BP152" s="93"/>
      <c r="BQ152" s="93"/>
      <c r="BR152" s="93"/>
      <c r="BS152" s="93"/>
      <c r="BT152" s="93"/>
      <c r="BU152" s="20"/>
      <c r="BV152" s="25">
        <v>85</v>
      </c>
      <c r="BW152" s="97"/>
      <c r="BX152" s="1504">
        <v>39083</v>
      </c>
      <c r="BY152" s="19"/>
      <c r="BZ152" s="99">
        <v>664.95699999999999</v>
      </c>
      <c r="CA152" s="93"/>
      <c r="CB152" s="93"/>
      <c r="CC152" s="93"/>
      <c r="CD152" s="25">
        <v>85</v>
      </c>
      <c r="CE152" s="97"/>
      <c r="CF152" s="1504">
        <v>39083</v>
      </c>
      <c r="CG152" s="19">
        <v>1.30182811</v>
      </c>
      <c r="CH152" s="93">
        <v>631.16600000000005</v>
      </c>
      <c r="CI152" s="219"/>
      <c r="CJ152" s="20"/>
      <c r="CK152" s="19"/>
      <c r="CL152" s="93"/>
      <c r="CM152" s="93"/>
      <c r="CN152" s="93"/>
      <c r="CO152" s="93"/>
      <c r="CP152" s="20"/>
      <c r="CQ152" s="219">
        <v>1071.6400000000001</v>
      </c>
      <c r="CR152" s="93">
        <v>1.7</v>
      </c>
      <c r="CS152" s="93"/>
      <c r="CT152" s="93"/>
      <c r="CU152" s="93"/>
      <c r="CV152" s="214"/>
      <c r="CW152" s="29">
        <v>85</v>
      </c>
      <c r="CX152" s="41">
        <f t="shared" si="192"/>
        <v>2007</v>
      </c>
      <c r="CY152" s="1504">
        <v>39083</v>
      </c>
      <c r="CZ152" s="1916">
        <v>45.182018999999997</v>
      </c>
      <c r="DA152" s="1526">
        <v>25.525476000000001</v>
      </c>
      <c r="DB152" s="1526">
        <v>19.656542999999999</v>
      </c>
      <c r="DC152" s="182">
        <f t="shared" ref="DC152:DC162" si="196">DC153</f>
        <v>288475</v>
      </c>
      <c r="DD152" s="182">
        <f t="shared" ref="DD152:DD162" si="197">DD153</f>
        <v>287633</v>
      </c>
      <c r="DE152" s="182">
        <f t="shared" ref="DE152:DE162" si="198">DE153</f>
        <v>842</v>
      </c>
      <c r="DF152" s="29">
        <v>85</v>
      </c>
      <c r="DG152" s="1504">
        <v>39083</v>
      </c>
      <c r="DH152" s="19"/>
      <c r="DI152" s="93"/>
      <c r="DJ152" s="93"/>
      <c r="DK152" s="93"/>
      <c r="DL152" s="93"/>
      <c r="DM152" s="93"/>
      <c r="DN152" s="20"/>
      <c r="DO152" s="25"/>
      <c r="DP152" s="29">
        <v>85</v>
      </c>
      <c r="DQ152" s="1504">
        <v>39083</v>
      </c>
      <c r="DR152" s="19"/>
      <c r="DS152" s="93"/>
      <c r="DT152" s="93"/>
      <c r="DU152" s="93"/>
      <c r="DV152" s="93"/>
      <c r="DW152" s="93"/>
      <c r="DX152" s="20"/>
      <c r="DY152" s="29">
        <v>85</v>
      </c>
      <c r="DZ152" s="1504">
        <v>39083</v>
      </c>
      <c r="EA152" s="19"/>
      <c r="EB152" s="93"/>
      <c r="EC152" s="20"/>
      <c r="ED152" s="29">
        <v>85</v>
      </c>
      <c r="EE152" s="1504">
        <v>39083</v>
      </c>
      <c r="EF152" s="19"/>
      <c r="EG152" s="93"/>
      <c r="EH152" s="93"/>
      <c r="EI152" s="214"/>
      <c r="EJ152" s="93"/>
      <c r="EK152" s="93"/>
      <c r="EL152" s="93"/>
      <c r="EM152" s="93"/>
      <c r="EN152" s="20"/>
      <c r="EO152" s="29">
        <v>85</v>
      </c>
      <c r="EP152" s="1504">
        <v>39083</v>
      </c>
      <c r="EQ152" s="19"/>
      <c r="ER152" s="93"/>
      <c r="ES152" s="93"/>
      <c r="ET152" s="214"/>
      <c r="EU152" s="93"/>
      <c r="EV152" s="93"/>
      <c r="EW152" s="93"/>
      <c r="EX152" s="93"/>
      <c r="EY152" s="20"/>
      <c r="EZ152" s="29">
        <v>85</v>
      </c>
      <c r="FA152" s="1504">
        <v>39083</v>
      </c>
      <c r="FB152" s="29"/>
      <c r="FC152" s="29"/>
      <c r="FD152" s="29"/>
      <c r="FE152" s="29"/>
      <c r="FF152" s="29"/>
      <c r="FG152" s="29"/>
      <c r="FH152" s="29"/>
      <c r="FI152" s="29"/>
      <c r="FJ152" s="29"/>
      <c r="FK152" s="29">
        <v>85</v>
      </c>
      <c r="FL152" s="1504">
        <v>39083</v>
      </c>
      <c r="FM152" s="19"/>
      <c r="FN152" s="93"/>
      <c r="FO152" s="93"/>
      <c r="FP152" s="93"/>
      <c r="FQ152" s="93"/>
      <c r="FR152" s="93"/>
      <c r="FS152" s="93"/>
      <c r="FT152" s="93"/>
      <c r="FU152" s="93"/>
      <c r="FV152" s="93"/>
      <c r="FW152" s="93"/>
      <c r="FX152" s="93"/>
      <c r="FY152" s="93"/>
      <c r="FZ152" s="29">
        <v>85</v>
      </c>
      <c r="GA152" s="1504">
        <v>39083</v>
      </c>
      <c r="GB152" s="19"/>
      <c r="GC152" s="93"/>
      <c r="GD152" s="93"/>
      <c r="GE152" s="93"/>
      <c r="GF152" s="93"/>
      <c r="GG152" s="93"/>
      <c r="GH152" s="93"/>
      <c r="GI152" s="93"/>
      <c r="GJ152" s="93"/>
      <c r="GK152" s="93"/>
      <c r="GL152" s="93"/>
      <c r="GM152" s="93"/>
      <c r="GN152" s="20"/>
      <c r="GO152" s="29">
        <v>85</v>
      </c>
      <c r="GP152" s="1504">
        <v>39083</v>
      </c>
      <c r="GQ152" s="19"/>
      <c r="GR152" s="93"/>
      <c r="GS152" s="93"/>
      <c r="GT152" s="93"/>
      <c r="GU152" s="93"/>
      <c r="GV152" s="20"/>
      <c r="GW152" s="19"/>
      <c r="GX152" s="93"/>
      <c r="GY152" s="93"/>
      <c r="GZ152" s="93"/>
      <c r="HA152" s="93"/>
      <c r="HB152" s="20"/>
      <c r="HC152" s="19"/>
      <c r="HD152" s="93"/>
      <c r="HE152" s="93"/>
      <c r="HF152" s="93"/>
      <c r="HG152" s="93"/>
      <c r="HH152" s="20"/>
      <c r="HI152" s="19"/>
      <c r="HJ152" s="93"/>
      <c r="HK152" s="93"/>
      <c r="HL152" s="93"/>
      <c r="HM152" s="93"/>
      <c r="HN152" s="20"/>
      <c r="HO152" s="219"/>
      <c r="HP152" s="20"/>
      <c r="HQ152" s="25"/>
      <c r="HR152" s="29">
        <v>85</v>
      </c>
      <c r="HS152" s="1504">
        <v>39083</v>
      </c>
      <c r="HT152" s="179">
        <v>108.79756673177083</v>
      </c>
      <c r="HU152" s="99">
        <v>147.41896057128906</v>
      </c>
      <c r="HV152" s="99">
        <v>91.666666030883789</v>
      </c>
      <c r="HW152" s="99">
        <v>105.17799631754558</v>
      </c>
      <c r="HX152" s="99">
        <v>85.324226379394531</v>
      </c>
      <c r="HY152" s="99">
        <v>109.8238525390625</v>
      </c>
      <c r="HZ152" s="99">
        <v>126.38258743286133</v>
      </c>
      <c r="IA152" s="132">
        <v>92.821784973144531</v>
      </c>
      <c r="IB152" s="179">
        <v>109</v>
      </c>
      <c r="IC152" s="99">
        <v>69.373939514160156</v>
      </c>
      <c r="ID152" s="99"/>
      <c r="IE152" s="99">
        <v>82.544690450032547</v>
      </c>
      <c r="IF152" s="99">
        <v>97.419355773925787</v>
      </c>
      <c r="IG152" s="132">
        <v>73.891624450683594</v>
      </c>
      <c r="IH152" s="179">
        <v>67.496569315592453</v>
      </c>
      <c r="II152" s="99">
        <v>126.27010854085286</v>
      </c>
      <c r="IJ152" s="99">
        <v>82.499998092651367</v>
      </c>
      <c r="IK152" s="99">
        <v>79.505302429199219</v>
      </c>
      <c r="IL152" s="99">
        <v>78.503789520263666</v>
      </c>
      <c r="IM152" s="99">
        <v>91.584159851074219</v>
      </c>
      <c r="IN152" s="93"/>
      <c r="IO152" s="132">
        <v>93.669313430786133</v>
      </c>
      <c r="IP152" s="29">
        <v>85</v>
      </c>
      <c r="IQ152" s="19"/>
      <c r="IR152" s="93"/>
      <c r="IS152" s="93"/>
      <c r="IT152" s="93"/>
      <c r="IU152" s="93"/>
      <c r="IV152" s="20"/>
      <c r="IW152" s="29">
        <v>85</v>
      </c>
      <c r="IX152" s="19"/>
      <c r="IY152" s="93"/>
      <c r="IZ152" s="93"/>
      <c r="JA152" s="93"/>
      <c r="JB152" s="93"/>
      <c r="JC152" s="93"/>
      <c r="JD152" s="93"/>
      <c r="JE152" s="20"/>
      <c r="JF152" s="29">
        <v>85</v>
      </c>
      <c r="JG152" s="19"/>
      <c r="JH152" s="93"/>
      <c r="JI152" s="93"/>
      <c r="JJ152" s="93"/>
      <c r="JK152" s="93"/>
      <c r="JL152" s="93"/>
      <c r="JM152" s="93"/>
      <c r="JN152" s="20"/>
      <c r="JO152" s="29">
        <v>85</v>
      </c>
      <c r="JP152" s="19"/>
      <c r="JQ152" s="93"/>
      <c r="JR152" s="93"/>
      <c r="JS152" s="93"/>
      <c r="JT152" s="93"/>
      <c r="JU152" s="20"/>
      <c r="JV152" s="29">
        <v>85</v>
      </c>
      <c r="JW152" s="1504">
        <v>39083</v>
      </c>
      <c r="JX152" s="19"/>
      <c r="JY152" s="93"/>
      <c r="JZ152" s="93"/>
      <c r="KA152" s="93"/>
      <c r="KB152" s="93"/>
      <c r="KC152" s="93"/>
      <c r="KD152" s="20"/>
      <c r="KE152" s="29">
        <v>85</v>
      </c>
      <c r="KF152" s="19"/>
      <c r="KG152" s="93"/>
      <c r="KH152" s="93"/>
      <c r="KI152" s="93"/>
      <c r="KJ152" s="93"/>
      <c r="KK152" s="20"/>
      <c r="KL152" s="29">
        <v>85</v>
      </c>
      <c r="KM152" s="19"/>
      <c r="KN152" s="93"/>
      <c r="KO152" s="93"/>
      <c r="KP152" s="93"/>
      <c r="KQ152" s="93"/>
      <c r="KR152" s="20"/>
      <c r="KS152" s="29">
        <v>85</v>
      </c>
      <c r="KT152" s="19"/>
      <c r="KU152" s="93"/>
      <c r="KV152" s="93"/>
      <c r="KW152" s="93"/>
      <c r="KX152" s="93"/>
      <c r="KY152" s="20"/>
      <c r="KZ152" s="29">
        <v>85</v>
      </c>
      <c r="LA152" s="1504">
        <v>39083</v>
      </c>
      <c r="LB152" s="19"/>
      <c r="LC152" s="93"/>
      <c r="LD152" s="93"/>
      <c r="LE152" s="93"/>
      <c r="LF152" s="93"/>
      <c r="LG152" s="93"/>
      <c r="LH152" s="20"/>
      <c r="LI152" s="29">
        <v>85</v>
      </c>
      <c r="LJ152" s="19"/>
      <c r="LK152" s="93"/>
      <c r="LL152" s="93"/>
      <c r="LM152" s="93"/>
      <c r="LN152" s="93"/>
      <c r="LO152" s="20"/>
      <c r="LP152" s="29">
        <v>85</v>
      </c>
      <c r="LQ152" s="19"/>
      <c r="LR152" s="93"/>
      <c r="LS152" s="93"/>
      <c r="LT152" s="93"/>
      <c r="LU152" s="93"/>
      <c r="LV152" s="93"/>
      <c r="LW152" s="93"/>
      <c r="LX152" s="93"/>
      <c r="LY152" s="93"/>
      <c r="LZ152" s="93"/>
      <c r="MA152" s="20"/>
      <c r="MB152" s="29">
        <v>85</v>
      </c>
      <c r="MC152" s="1504">
        <v>39083</v>
      </c>
      <c r="MD152" s="19"/>
      <c r="ME152" s="93"/>
      <c r="MF152" s="93"/>
      <c r="MG152" s="93"/>
      <c r="MH152" s="93"/>
      <c r="MI152" s="93"/>
      <c r="MJ152" s="93"/>
      <c r="MK152" s="93"/>
      <c r="ML152" s="93"/>
      <c r="MM152" s="93"/>
      <c r="MN152" s="93"/>
      <c r="MO152" s="93"/>
      <c r="MP152" s="93"/>
      <c r="MQ152" s="93"/>
      <c r="MR152" s="93"/>
      <c r="MS152" s="93"/>
      <c r="MT152" s="93"/>
      <c r="MU152" s="93"/>
      <c r="MV152" s="93"/>
      <c r="MW152" s="93"/>
      <c r="MX152" s="93"/>
      <c r="MY152" s="93"/>
      <c r="MZ152" s="93"/>
      <c r="NA152" s="93"/>
      <c r="NB152" s="93"/>
      <c r="NC152" s="93"/>
      <c r="ND152" s="93"/>
      <c r="NE152" s="93"/>
      <c r="NF152" s="93"/>
      <c r="NG152" s="93"/>
      <c r="NH152" s="93"/>
      <c r="NI152" s="93"/>
      <c r="NJ152" s="93"/>
      <c r="NK152" s="93"/>
      <c r="NL152" s="93"/>
      <c r="NM152" s="93"/>
      <c r="NN152" s="93"/>
      <c r="NO152" s="93"/>
      <c r="NP152" s="93"/>
      <c r="NQ152" s="93"/>
      <c r="NR152" s="93"/>
      <c r="NS152" s="93"/>
      <c r="NT152" s="93"/>
      <c r="NU152" s="93"/>
      <c r="NV152" s="93"/>
      <c r="NW152" s="93"/>
      <c r="NX152" s="93"/>
      <c r="NY152" s="93"/>
      <c r="NZ152" s="93"/>
      <c r="OA152" s="93"/>
      <c r="OB152" s="93"/>
      <c r="OC152" s="93"/>
      <c r="OD152" s="20"/>
      <c r="OE152" s="29">
        <v>85</v>
      </c>
      <c r="OF152" s="1504">
        <v>39083</v>
      </c>
      <c r="OG152" s="19"/>
      <c r="OH152" s="93">
        <v>135.82</v>
      </c>
      <c r="OI152" s="93">
        <v>299.54437190942099</v>
      </c>
      <c r="OJ152" s="93">
        <v>0.47073183800000001</v>
      </c>
      <c r="OK152" s="93">
        <v>250.17744007142096</v>
      </c>
      <c r="OL152" s="93">
        <v>48.8962</v>
      </c>
      <c r="OM152" s="93">
        <v>435.36437190942098</v>
      </c>
      <c r="ON152" s="93">
        <v>238.42211899170877</v>
      </c>
      <c r="OO152" s="93">
        <v>673.78649090112981</v>
      </c>
      <c r="OP152" s="93"/>
      <c r="OQ152" s="93">
        <v>412.43939535659553</v>
      </c>
      <c r="OR152" s="93">
        <v>357.643187377</v>
      </c>
      <c r="OS152" s="93">
        <v>54.796207979595565</v>
      </c>
      <c r="OT152" s="93">
        <v>386.5059651845342</v>
      </c>
      <c r="OU152" s="93">
        <v>-181.69204436199999</v>
      </c>
      <c r="OV152" s="93">
        <v>-121.50204436199999</v>
      </c>
      <c r="OW152" s="93">
        <v>-60.190000000000005</v>
      </c>
      <c r="OX152" s="93">
        <v>568.19800954653419</v>
      </c>
      <c r="OY152" s="93">
        <v>3.2176584630000002</v>
      </c>
      <c r="OZ152" s="93">
        <v>564.98035108353429</v>
      </c>
      <c r="PA152" s="93">
        <v>124.79193546599998</v>
      </c>
      <c r="PB152" s="93">
        <v>0.36693417400002204</v>
      </c>
      <c r="PC152" s="20">
        <v>673.7864909011297</v>
      </c>
      <c r="PD152" s="29">
        <v>85</v>
      </c>
      <c r="PE152" s="19"/>
      <c r="PF152" s="93">
        <v>357.643187377</v>
      </c>
      <c r="PG152" s="93">
        <v>427.77660391799998</v>
      </c>
      <c r="PH152" s="93">
        <v>70.133416541000003</v>
      </c>
      <c r="PI152" s="93">
        <v>0.99</v>
      </c>
      <c r="PJ152" s="93">
        <v>-121.50204436199999</v>
      </c>
      <c r="PK152" s="93">
        <v>39.771885013000002</v>
      </c>
      <c r="PL152" s="93">
        <v>161.27392937499999</v>
      </c>
      <c r="PM152" s="93">
        <v>3.2176584630000002</v>
      </c>
      <c r="PN152" s="93">
        <v>0</v>
      </c>
      <c r="PO152" s="93">
        <v>0</v>
      </c>
      <c r="PP152" s="93">
        <v>0.89712180699999999</v>
      </c>
      <c r="PQ152" s="93">
        <v>2.3205366560000003</v>
      </c>
      <c r="PR152" s="93">
        <v>239.205473799</v>
      </c>
      <c r="PS152" s="93">
        <v>153.37799999999999</v>
      </c>
      <c r="PT152" s="93">
        <v>85.356741960999997</v>
      </c>
      <c r="PU152" s="93">
        <v>0.47073183800000001</v>
      </c>
      <c r="PV152" s="93">
        <v>0</v>
      </c>
      <c r="PW152" s="93">
        <v>0.51645128699999998</v>
      </c>
      <c r="PX152" s="93">
        <v>0</v>
      </c>
      <c r="PY152" s="93">
        <v>0</v>
      </c>
      <c r="PZ152" s="93">
        <v>0.51645128699999998</v>
      </c>
      <c r="QA152" s="93">
        <v>0</v>
      </c>
      <c r="QB152" s="93">
        <v>0</v>
      </c>
      <c r="QC152" s="93">
        <v>0</v>
      </c>
      <c r="QD152" s="93">
        <v>0.16748417899999998</v>
      </c>
      <c r="QE152" s="20">
        <v>0.4593922130000001</v>
      </c>
      <c r="QF152" s="1739">
        <v>85</v>
      </c>
      <c r="QG152" s="19"/>
      <c r="QH152" s="1035">
        <v>54.796207979595565</v>
      </c>
      <c r="QI152" s="1035">
        <v>147.62164891646583</v>
      </c>
      <c r="QJ152" s="1035">
        <v>-92.825440936870265</v>
      </c>
      <c r="QK152" s="1035">
        <v>67.850999999999999</v>
      </c>
      <c r="QL152" s="1035">
        <v>17.558</v>
      </c>
      <c r="QM152" s="1035">
        <v>50.292999999999999</v>
      </c>
      <c r="QN152" s="1035">
        <v>0</v>
      </c>
      <c r="QO152" s="1035">
        <v>-60.190000000000005</v>
      </c>
      <c r="QP152" s="1035">
        <v>19.357999999999997</v>
      </c>
      <c r="QQ152" s="1035">
        <v>-79.548000000000002</v>
      </c>
      <c r="QR152" s="1035">
        <v>564.98035108353429</v>
      </c>
      <c r="QS152" s="1035">
        <v>10.149447735039649</v>
      </c>
      <c r="QT152" s="1035">
        <v>0</v>
      </c>
      <c r="QU152" s="1035">
        <v>44.884</v>
      </c>
      <c r="QV152" s="1035">
        <v>509.94690334849463</v>
      </c>
      <c r="QW152" s="93"/>
      <c r="QX152" s="93">
        <v>0.45600000000000002</v>
      </c>
      <c r="QY152" s="93">
        <v>250.17744007142096</v>
      </c>
      <c r="QZ152" s="93">
        <v>238.42211899170877</v>
      </c>
      <c r="RA152" s="93">
        <v>0</v>
      </c>
      <c r="RB152" s="93">
        <v>18.45</v>
      </c>
      <c r="RC152" s="93">
        <v>1.7</v>
      </c>
      <c r="RD152" s="93">
        <v>16.428000000000001</v>
      </c>
      <c r="RE152" s="93">
        <v>0</v>
      </c>
      <c r="RF152" s="93">
        <v>0</v>
      </c>
      <c r="RG152" s="93">
        <v>87.529999999999987</v>
      </c>
      <c r="RH152" s="93">
        <v>14.274000000000015</v>
      </c>
      <c r="RI152" s="93"/>
      <c r="RJ152" s="93"/>
      <c r="RK152" s="93"/>
      <c r="RL152" s="93"/>
      <c r="RM152" s="20"/>
      <c r="RN152" s="29">
        <v>85</v>
      </c>
      <c r="RO152" s="19"/>
      <c r="RP152" s="20"/>
      <c r="RQ152" s="29">
        <v>85</v>
      </c>
      <c r="RR152" s="20"/>
      <c r="RS152" s="29">
        <v>85</v>
      </c>
      <c r="RT152" s="1504">
        <v>39083</v>
      </c>
      <c r="RU152" s="19"/>
      <c r="RV152" s="20"/>
      <c r="RW152" s="29">
        <v>85</v>
      </c>
      <c r="RX152" s="1504">
        <v>39083</v>
      </c>
      <c r="RY152" s="29"/>
      <c r="RZ152" s="20"/>
      <c r="SA152" s="29"/>
      <c r="SB152" s="29">
        <v>85</v>
      </c>
    </row>
    <row r="153" spans="1:496">
      <c r="A153" s="41">
        <f t="shared" si="191"/>
        <v>2007</v>
      </c>
      <c r="B153" s="1504">
        <v>39114</v>
      </c>
      <c r="C153" s="1813"/>
      <c r="D153" s="1814"/>
      <c r="E153" s="1814"/>
      <c r="F153" s="1815"/>
      <c r="G153" s="1814"/>
      <c r="H153" s="1814"/>
      <c r="I153" s="1814"/>
      <c r="J153" s="1816"/>
      <c r="K153" s="1807"/>
      <c r="L153" s="25">
        <v>86</v>
      </c>
      <c r="M153" s="97"/>
      <c r="N153" s="1504">
        <v>39114</v>
      </c>
      <c r="O153" s="19"/>
      <c r="P153" s="93"/>
      <c r="Q153" s="93"/>
      <c r="R153" s="93"/>
      <c r="S153" s="93"/>
      <c r="T153" s="93"/>
      <c r="U153" s="93"/>
      <c r="V153" s="93"/>
      <c r="W153" s="93"/>
      <c r="X153" s="93"/>
      <c r="Y153" s="93"/>
      <c r="Z153" s="93"/>
      <c r="AA153" s="93"/>
      <c r="AB153" s="20"/>
      <c r="AC153" s="25">
        <v>86</v>
      </c>
      <c r="AD153" s="97"/>
      <c r="AE153" s="1504">
        <v>39114</v>
      </c>
      <c r="AF153" s="19"/>
      <c r="AG153" s="93"/>
      <c r="AH153" s="93"/>
      <c r="AI153" s="93"/>
      <c r="AJ153" s="93"/>
      <c r="AK153" s="93"/>
      <c r="AL153" s="93"/>
      <c r="AM153" s="93"/>
      <c r="AN153" s="93"/>
      <c r="AO153" s="93"/>
      <c r="AP153" s="93"/>
      <c r="AQ153" s="93"/>
      <c r="AR153" s="93"/>
      <c r="AS153" s="20"/>
      <c r="AT153" s="25">
        <v>86</v>
      </c>
      <c r="AU153" s="97"/>
      <c r="AV153" s="1504">
        <v>39114</v>
      </c>
      <c r="AW153" s="19"/>
      <c r="AX153" s="93"/>
      <c r="AY153" s="93"/>
      <c r="AZ153" s="93"/>
      <c r="BA153" s="93"/>
      <c r="BB153" s="93"/>
      <c r="BC153" s="93"/>
      <c r="BD153" s="93"/>
      <c r="BE153" s="93"/>
      <c r="BF153" s="93"/>
      <c r="BG153" s="93"/>
      <c r="BH153" s="93"/>
      <c r="BI153" s="93"/>
      <c r="BJ153" s="20"/>
      <c r="BK153" s="25">
        <v>86</v>
      </c>
      <c r="BL153" s="97"/>
      <c r="BM153" s="1504">
        <v>39114</v>
      </c>
      <c r="BN153" s="19"/>
      <c r="BO153" s="93"/>
      <c r="BP153" s="93"/>
      <c r="BQ153" s="93"/>
      <c r="BR153" s="93"/>
      <c r="BS153" s="93"/>
      <c r="BT153" s="93"/>
      <c r="BU153" s="20"/>
      <c r="BV153" s="25">
        <v>86</v>
      </c>
      <c r="BW153" s="97"/>
      <c r="BX153" s="1504">
        <v>39114</v>
      </c>
      <c r="BY153" s="19"/>
      <c r="BZ153" s="99">
        <v>664.95699999999999</v>
      </c>
      <c r="CA153" s="93"/>
      <c r="CB153" s="93"/>
      <c r="CC153" s="93"/>
      <c r="CD153" s="25">
        <v>86</v>
      </c>
      <c r="CE153" s="97"/>
      <c r="CF153" s="1504">
        <v>39114</v>
      </c>
      <c r="CG153" s="19">
        <v>1.2753726700000001</v>
      </c>
      <c r="CH153" s="1626">
        <v>664.745</v>
      </c>
      <c r="CI153" s="219"/>
      <c r="CJ153" s="20"/>
      <c r="CK153" s="19"/>
      <c r="CL153" s="93"/>
      <c r="CM153" s="93"/>
      <c r="CN153" s="93"/>
      <c r="CO153" s="93"/>
      <c r="CP153" s="20"/>
      <c r="CQ153" s="219">
        <v>1016.33</v>
      </c>
      <c r="CR153" s="93">
        <v>1.65</v>
      </c>
      <c r="CS153" s="93"/>
      <c r="CT153" s="93"/>
      <c r="CU153" s="93"/>
      <c r="CV153" s="214"/>
      <c r="CW153" s="29">
        <v>86</v>
      </c>
      <c r="CX153" s="41">
        <f t="shared" si="192"/>
        <v>2007</v>
      </c>
      <c r="CY153" s="1504">
        <v>39114</v>
      </c>
      <c r="CZ153" s="1916">
        <v>40.666679999999999</v>
      </c>
      <c r="DA153" s="1526">
        <v>23.341481000000002</v>
      </c>
      <c r="DB153" s="1526">
        <v>17.325199000000001</v>
      </c>
      <c r="DC153" s="182">
        <f t="shared" si="196"/>
        <v>288475</v>
      </c>
      <c r="DD153" s="182">
        <f t="shared" si="197"/>
        <v>287633</v>
      </c>
      <c r="DE153" s="182">
        <f t="shared" si="198"/>
        <v>842</v>
      </c>
      <c r="DF153" s="29">
        <v>86</v>
      </c>
      <c r="DG153" s="1504">
        <v>39114</v>
      </c>
      <c r="DH153" s="19"/>
      <c r="DI153" s="93"/>
      <c r="DJ153" s="93"/>
      <c r="DK153" s="93"/>
      <c r="DL153" s="93"/>
      <c r="DM153" s="93"/>
      <c r="DN153" s="20"/>
      <c r="DO153" s="25"/>
      <c r="DP153" s="29">
        <v>86</v>
      </c>
      <c r="DQ153" s="1504">
        <v>39114</v>
      </c>
      <c r="DR153" s="19"/>
      <c r="DS153" s="93"/>
      <c r="DT153" s="93"/>
      <c r="DU153" s="93"/>
      <c r="DV153" s="93"/>
      <c r="DW153" s="93"/>
      <c r="DX153" s="20"/>
      <c r="DY153" s="29">
        <v>86</v>
      </c>
      <c r="DZ153" s="1504">
        <v>39114</v>
      </c>
      <c r="EA153" s="19"/>
      <c r="EB153" s="93"/>
      <c r="EC153" s="20"/>
      <c r="ED153" s="29">
        <v>86</v>
      </c>
      <c r="EE153" s="1504">
        <v>39114</v>
      </c>
      <c r="EF153" s="19"/>
      <c r="EG153" s="93"/>
      <c r="EH153" s="93"/>
      <c r="EI153" s="214"/>
      <c r="EJ153" s="93"/>
      <c r="EK153" s="93"/>
      <c r="EL153" s="93"/>
      <c r="EM153" s="93"/>
      <c r="EN153" s="20"/>
      <c r="EO153" s="29">
        <v>86</v>
      </c>
      <c r="EP153" s="1504">
        <v>39114</v>
      </c>
      <c r="EQ153" s="19"/>
      <c r="ER153" s="93"/>
      <c r="ES153" s="93"/>
      <c r="ET153" s="214"/>
      <c r="EU153" s="93"/>
      <c r="EV153" s="93"/>
      <c r="EW153" s="93"/>
      <c r="EX153" s="93"/>
      <c r="EY153" s="20"/>
      <c r="EZ153" s="29">
        <v>86</v>
      </c>
      <c r="FA153" s="1504">
        <v>39114</v>
      </c>
      <c r="FB153" s="29"/>
      <c r="FC153" s="29"/>
      <c r="FD153" s="29"/>
      <c r="FE153" s="29"/>
      <c r="FF153" s="29"/>
      <c r="FG153" s="29"/>
      <c r="FH153" s="29"/>
      <c r="FI153" s="29"/>
      <c r="FJ153" s="29"/>
      <c r="FK153" s="29">
        <v>86</v>
      </c>
      <c r="FL153" s="1504">
        <v>39114</v>
      </c>
      <c r="FM153" s="19"/>
      <c r="FN153" s="93"/>
      <c r="FO153" s="93"/>
      <c r="FP153" s="93"/>
      <c r="FQ153" s="93"/>
      <c r="FR153" s="93"/>
      <c r="FS153" s="93"/>
      <c r="FT153" s="93"/>
      <c r="FU153" s="93"/>
      <c r="FV153" s="93"/>
      <c r="FW153" s="93"/>
      <c r="FX153" s="93"/>
      <c r="FY153" s="93"/>
      <c r="FZ153" s="29">
        <v>86</v>
      </c>
      <c r="GA153" s="1504">
        <v>39114</v>
      </c>
      <c r="GB153" s="19"/>
      <c r="GC153" s="93"/>
      <c r="GD153" s="93"/>
      <c r="GE153" s="93"/>
      <c r="GF153" s="93"/>
      <c r="GG153" s="93"/>
      <c r="GH153" s="93"/>
      <c r="GI153" s="93"/>
      <c r="GJ153" s="93"/>
      <c r="GK153" s="93"/>
      <c r="GL153" s="93"/>
      <c r="GM153" s="93"/>
      <c r="GN153" s="20"/>
      <c r="GO153" s="29">
        <v>86</v>
      </c>
      <c r="GP153" s="1504">
        <v>39114</v>
      </c>
      <c r="GQ153" s="19"/>
      <c r="GR153" s="93"/>
      <c r="GS153" s="93"/>
      <c r="GT153" s="93"/>
      <c r="GU153" s="93"/>
      <c r="GV153" s="20"/>
      <c r="GW153" s="19"/>
      <c r="GX153" s="93"/>
      <c r="GY153" s="93"/>
      <c r="GZ153" s="93"/>
      <c r="HA153" s="93"/>
      <c r="HB153" s="20"/>
      <c r="HC153" s="19"/>
      <c r="HD153" s="93"/>
      <c r="HE153" s="93"/>
      <c r="HF153" s="93"/>
      <c r="HG153" s="93"/>
      <c r="HH153" s="20"/>
      <c r="HI153" s="19"/>
      <c r="HJ153" s="93"/>
      <c r="HK153" s="93"/>
      <c r="HL153" s="93"/>
      <c r="HM153" s="93"/>
      <c r="HN153" s="20"/>
      <c r="HO153" s="219"/>
      <c r="HP153" s="20"/>
      <c r="HQ153" s="25"/>
      <c r="HR153" s="29">
        <v>86</v>
      </c>
      <c r="HS153" s="1504">
        <v>39114</v>
      </c>
      <c r="HT153" s="179">
        <v>108.35132217407227</v>
      </c>
      <c r="HU153" s="99">
        <v>144.58608627319336</v>
      </c>
      <c r="HV153" s="99">
        <v>94.202898025512695</v>
      </c>
      <c r="HW153" s="99">
        <v>103.15534210205078</v>
      </c>
      <c r="HX153" s="99">
        <v>103.44827270507813</v>
      </c>
      <c r="HY153" s="99">
        <v>110.43360900878906</v>
      </c>
      <c r="HZ153" s="99">
        <v>126.38258743286133</v>
      </c>
      <c r="IA153" s="132">
        <v>101.61290740966797</v>
      </c>
      <c r="IB153" s="179">
        <v>104.62962913513184</v>
      </c>
      <c r="IC153" s="99">
        <v>77.319587707519531</v>
      </c>
      <c r="ID153" s="99">
        <v>80.645164489746094</v>
      </c>
      <c r="IE153" s="99">
        <v>89.004798889160156</v>
      </c>
      <c r="IF153" s="99">
        <v>102.41935729980469</v>
      </c>
      <c r="IG153" s="132">
        <v>74.445812225341797</v>
      </c>
      <c r="IH153" s="179">
        <v>65.569824695587158</v>
      </c>
      <c r="II153" s="99">
        <v>129.46431350708008</v>
      </c>
      <c r="IJ153" s="99">
        <v>80.603446960449219</v>
      </c>
      <c r="IK153" s="99">
        <v>88.339225769042969</v>
      </c>
      <c r="IL153" s="99">
        <v>79.776424407958984</v>
      </c>
      <c r="IM153" s="99">
        <v>95.416666030883789</v>
      </c>
      <c r="IN153" s="93"/>
      <c r="IO153" s="132">
        <v>92.627647399902344</v>
      </c>
      <c r="IP153" s="29">
        <v>86</v>
      </c>
      <c r="IQ153" s="19"/>
      <c r="IR153" s="93"/>
      <c r="IS153" s="93"/>
      <c r="IT153" s="93"/>
      <c r="IU153" s="93"/>
      <c r="IV153" s="20"/>
      <c r="IW153" s="29">
        <v>86</v>
      </c>
      <c r="IX153" s="19"/>
      <c r="IY153" s="93"/>
      <c r="IZ153" s="93"/>
      <c r="JA153" s="93"/>
      <c r="JB153" s="93"/>
      <c r="JC153" s="93"/>
      <c r="JD153" s="93"/>
      <c r="JE153" s="20"/>
      <c r="JF153" s="29">
        <v>86</v>
      </c>
      <c r="JG153" s="19"/>
      <c r="JH153" s="93"/>
      <c r="JI153" s="93"/>
      <c r="JJ153" s="93"/>
      <c r="JK153" s="93"/>
      <c r="JL153" s="93"/>
      <c r="JM153" s="93"/>
      <c r="JN153" s="20"/>
      <c r="JO153" s="29">
        <v>86</v>
      </c>
      <c r="JP153" s="19"/>
      <c r="JQ153" s="93"/>
      <c r="JR153" s="93"/>
      <c r="JS153" s="93"/>
      <c r="JT153" s="93"/>
      <c r="JU153" s="20"/>
      <c r="JV153" s="29">
        <v>86</v>
      </c>
      <c r="JW153" s="1504">
        <v>39114</v>
      </c>
      <c r="JX153" s="19"/>
      <c r="JY153" s="93"/>
      <c r="JZ153" s="93"/>
      <c r="KA153" s="93"/>
      <c r="KB153" s="93"/>
      <c r="KC153" s="93"/>
      <c r="KD153" s="20"/>
      <c r="KE153" s="29">
        <v>86</v>
      </c>
      <c r="KF153" s="19"/>
      <c r="KG153" s="93"/>
      <c r="KH153" s="93"/>
      <c r="KI153" s="93"/>
      <c r="KJ153" s="93"/>
      <c r="KK153" s="20"/>
      <c r="KL153" s="29">
        <v>86</v>
      </c>
      <c r="KM153" s="19"/>
      <c r="KN153" s="93"/>
      <c r="KO153" s="93"/>
      <c r="KP153" s="93"/>
      <c r="KQ153" s="93"/>
      <c r="KR153" s="20"/>
      <c r="KS153" s="29">
        <v>86</v>
      </c>
      <c r="KT153" s="19"/>
      <c r="KU153" s="93"/>
      <c r="KV153" s="93"/>
      <c r="KW153" s="93"/>
      <c r="KX153" s="93"/>
      <c r="KY153" s="20"/>
      <c r="KZ153" s="29">
        <v>86</v>
      </c>
      <c r="LA153" s="1504">
        <v>39114</v>
      </c>
      <c r="LB153" s="19"/>
      <c r="LC153" s="93"/>
      <c r="LD153" s="93"/>
      <c r="LE153" s="93"/>
      <c r="LF153" s="93"/>
      <c r="LG153" s="93"/>
      <c r="LH153" s="20"/>
      <c r="LI153" s="29">
        <v>86</v>
      </c>
      <c r="LJ153" s="19"/>
      <c r="LK153" s="93"/>
      <c r="LL153" s="93"/>
      <c r="LM153" s="93"/>
      <c r="LN153" s="93"/>
      <c r="LO153" s="20"/>
      <c r="LP153" s="29">
        <v>86</v>
      </c>
      <c r="LQ153" s="19"/>
      <c r="LR153" s="93"/>
      <c r="LS153" s="93"/>
      <c r="LT153" s="93"/>
      <c r="LU153" s="93"/>
      <c r="LV153" s="93"/>
      <c r="LW153" s="93"/>
      <c r="LX153" s="93"/>
      <c r="LY153" s="93"/>
      <c r="LZ153" s="93"/>
      <c r="MA153" s="20"/>
      <c r="MB153" s="29">
        <v>86</v>
      </c>
      <c r="MC153" s="1504">
        <v>39114</v>
      </c>
      <c r="MD153" s="19"/>
      <c r="ME153" s="93"/>
      <c r="MF153" s="93"/>
      <c r="MG153" s="93"/>
      <c r="MH153" s="93"/>
      <c r="MI153" s="93"/>
      <c r="MJ153" s="93"/>
      <c r="MK153" s="93"/>
      <c r="ML153" s="93"/>
      <c r="MM153" s="93"/>
      <c r="MN153" s="93"/>
      <c r="MO153" s="93"/>
      <c r="MP153" s="93"/>
      <c r="MQ153" s="93"/>
      <c r="MR153" s="93"/>
      <c r="MS153" s="93"/>
      <c r="MT153" s="93"/>
      <c r="MU153" s="93"/>
      <c r="MV153" s="93"/>
      <c r="MW153" s="93"/>
      <c r="MX153" s="93"/>
      <c r="MY153" s="93"/>
      <c r="MZ153" s="93"/>
      <c r="NA153" s="93"/>
      <c r="NB153" s="93"/>
      <c r="NC153" s="93"/>
      <c r="ND153" s="93"/>
      <c r="NE153" s="93"/>
      <c r="NF153" s="93"/>
      <c r="NG153" s="93"/>
      <c r="NH153" s="93"/>
      <c r="NI153" s="93"/>
      <c r="NJ153" s="93"/>
      <c r="NK153" s="93"/>
      <c r="NL153" s="93"/>
      <c r="NM153" s="93"/>
      <c r="NN153" s="93"/>
      <c r="NO153" s="93"/>
      <c r="NP153" s="93"/>
      <c r="NQ153" s="93"/>
      <c r="NR153" s="93"/>
      <c r="NS153" s="93"/>
      <c r="NT153" s="93"/>
      <c r="NU153" s="93"/>
      <c r="NV153" s="93"/>
      <c r="NW153" s="93"/>
      <c r="NX153" s="93"/>
      <c r="NY153" s="93"/>
      <c r="NZ153" s="93"/>
      <c r="OA153" s="93"/>
      <c r="OB153" s="93"/>
      <c r="OC153" s="93"/>
      <c r="OD153" s="20"/>
      <c r="OE153" s="29">
        <v>86</v>
      </c>
      <c r="OF153" s="1504">
        <v>39114</v>
      </c>
      <c r="OG153" s="19"/>
      <c r="OH153" s="93">
        <v>146.9847</v>
      </c>
      <c r="OI153" s="93">
        <v>302.3761402128028</v>
      </c>
      <c r="OJ153" s="93">
        <v>0.32991776299999998</v>
      </c>
      <c r="OK153" s="93">
        <v>251.6891224498028</v>
      </c>
      <c r="OL153" s="93">
        <v>50.357099999999996</v>
      </c>
      <c r="OM153" s="93">
        <v>449.36084021280283</v>
      </c>
      <c r="ON153" s="93">
        <v>249.04748058344865</v>
      </c>
      <c r="OO153" s="93">
        <v>698.40832079625147</v>
      </c>
      <c r="OP153" s="93"/>
      <c r="OQ153" s="93">
        <v>406.56150789316217</v>
      </c>
      <c r="OR153" s="93">
        <v>354.45194149999998</v>
      </c>
      <c r="OS153" s="93">
        <v>52.109566393162154</v>
      </c>
      <c r="OT153" s="93">
        <v>415.95422815708929</v>
      </c>
      <c r="OU153" s="93">
        <v>-179.265734635</v>
      </c>
      <c r="OV153" s="93">
        <v>-105.35673463499998</v>
      </c>
      <c r="OW153" s="93">
        <v>-73.909000000000006</v>
      </c>
      <c r="OX153" s="93">
        <v>595.21996279208929</v>
      </c>
      <c r="OY153" s="93">
        <v>3.5169261520000004</v>
      </c>
      <c r="OZ153" s="93">
        <v>591.70303664008929</v>
      </c>
      <c r="PA153" s="93">
        <v>124.79955954300002</v>
      </c>
      <c r="PB153" s="93">
        <v>-0.69214428900000513</v>
      </c>
      <c r="PC153" s="20">
        <v>698.40832079625147</v>
      </c>
      <c r="PD153" s="29">
        <v>86</v>
      </c>
      <c r="PE153" s="19"/>
      <c r="PF153" s="93">
        <v>354.45194149999998</v>
      </c>
      <c r="PG153" s="93">
        <v>426.21161712499998</v>
      </c>
      <c r="PH153" s="93">
        <v>71.759675625</v>
      </c>
      <c r="PI153" s="93">
        <v>13.24</v>
      </c>
      <c r="PJ153" s="93">
        <v>-105.35673463499998</v>
      </c>
      <c r="PK153" s="93">
        <v>39.783965131999999</v>
      </c>
      <c r="PL153" s="93">
        <v>145.14069976699997</v>
      </c>
      <c r="PM153" s="93">
        <v>3.5169261520000004</v>
      </c>
      <c r="PN153" s="93">
        <v>0</v>
      </c>
      <c r="PO153" s="93">
        <v>0</v>
      </c>
      <c r="PP153" s="93">
        <v>1.1980893290000001</v>
      </c>
      <c r="PQ153" s="93">
        <v>2.3188368230000003</v>
      </c>
      <c r="PR153" s="93">
        <v>265.51170998100002</v>
      </c>
      <c r="PS153" s="93">
        <v>166.53870000000001</v>
      </c>
      <c r="PT153" s="93">
        <v>98.643092218000007</v>
      </c>
      <c r="PU153" s="93">
        <v>0.32991776299999998</v>
      </c>
      <c r="PV153" s="93">
        <v>0</v>
      </c>
      <c r="PW153" s="93">
        <v>0.79819730600000005</v>
      </c>
      <c r="PX153" s="93">
        <v>0</v>
      </c>
      <c r="PY153" s="93">
        <v>0</v>
      </c>
      <c r="PZ153" s="93">
        <v>0.79819730600000005</v>
      </c>
      <c r="QA153" s="93">
        <v>0</v>
      </c>
      <c r="QB153" s="93">
        <v>0</v>
      </c>
      <c r="QC153" s="93">
        <v>0</v>
      </c>
      <c r="QD153" s="93">
        <v>-0.231637763</v>
      </c>
      <c r="QE153" s="20">
        <v>-0.22613650699999971</v>
      </c>
      <c r="QF153" s="1739">
        <v>86</v>
      </c>
      <c r="QG153" s="19"/>
      <c r="QH153" s="1035">
        <v>52.109566393162154</v>
      </c>
      <c r="QI153" s="1035">
        <v>150.3909633599107</v>
      </c>
      <c r="QJ153" s="1035">
        <v>-98.281396966748545</v>
      </c>
      <c r="QK153" s="1035">
        <v>104.29600000000001</v>
      </c>
      <c r="QL153" s="1035">
        <v>19.553999999999998</v>
      </c>
      <c r="QM153" s="1035">
        <v>84.742000000000004</v>
      </c>
      <c r="QN153" s="1035">
        <v>0</v>
      </c>
      <c r="QO153" s="1035">
        <v>-73.909000000000006</v>
      </c>
      <c r="QP153" s="1035">
        <v>15.041</v>
      </c>
      <c r="QQ153" s="1035">
        <v>-88.95</v>
      </c>
      <c r="QR153" s="1035">
        <v>591.70303664008929</v>
      </c>
      <c r="QS153" s="1035">
        <v>7.7147243340343135</v>
      </c>
      <c r="QT153" s="1035">
        <v>0</v>
      </c>
      <c r="QU153" s="1035">
        <v>72.710999999999999</v>
      </c>
      <c r="QV153" s="1035">
        <v>511.27731230605497</v>
      </c>
      <c r="QW153" s="93"/>
      <c r="QX153" s="93">
        <v>0.373</v>
      </c>
      <c r="QY153" s="93">
        <v>251.68912244980282</v>
      </c>
      <c r="QZ153" s="93">
        <v>249.04748058344865</v>
      </c>
      <c r="RA153" s="93">
        <v>0</v>
      </c>
      <c r="RB153" s="93">
        <v>17.391999999999999</v>
      </c>
      <c r="RC153" s="93">
        <v>1.7</v>
      </c>
      <c r="RD153" s="93">
        <v>18.2</v>
      </c>
      <c r="RE153" s="93">
        <v>0</v>
      </c>
      <c r="RF153" s="93">
        <v>0</v>
      </c>
      <c r="RG153" s="93">
        <v>86.941000000000003</v>
      </c>
      <c r="RH153" s="93">
        <v>48.856999999999985</v>
      </c>
      <c r="RI153" s="93"/>
      <c r="RJ153" s="93"/>
      <c r="RK153" s="93"/>
      <c r="RL153" s="93"/>
      <c r="RM153" s="20"/>
      <c r="RN153" s="29">
        <v>86</v>
      </c>
      <c r="RO153" s="19"/>
      <c r="RP153" s="20"/>
      <c r="RQ153" s="29">
        <v>86</v>
      </c>
      <c r="RR153" s="20"/>
      <c r="RS153" s="29">
        <v>86</v>
      </c>
      <c r="RT153" s="1504">
        <v>39114</v>
      </c>
      <c r="RU153" s="19"/>
      <c r="RV153" s="20"/>
      <c r="RW153" s="29">
        <v>86</v>
      </c>
      <c r="RX153" s="1504">
        <v>39114</v>
      </c>
      <c r="RY153" s="29"/>
      <c r="RZ153" s="20"/>
      <c r="SA153" s="29"/>
      <c r="SB153" s="29">
        <v>86</v>
      </c>
    </row>
    <row r="154" spans="1:496">
      <c r="A154" s="41">
        <f t="shared" si="191"/>
        <v>2007</v>
      </c>
      <c r="B154" s="1504">
        <v>39142</v>
      </c>
      <c r="C154" s="1813"/>
      <c r="D154" s="1814"/>
      <c r="E154" s="1814"/>
      <c r="F154" s="1815"/>
      <c r="G154" s="1814"/>
      <c r="H154" s="1814"/>
      <c r="I154" s="1814"/>
      <c r="J154" s="1816"/>
      <c r="K154" s="1807"/>
      <c r="L154" s="25">
        <v>87</v>
      </c>
      <c r="M154" s="97"/>
      <c r="N154" s="1504">
        <v>39142</v>
      </c>
      <c r="O154" s="19"/>
      <c r="P154" s="93"/>
      <c r="Q154" s="93"/>
      <c r="R154" s="93"/>
      <c r="S154" s="93"/>
      <c r="T154" s="93"/>
      <c r="U154" s="93"/>
      <c r="V154" s="93"/>
      <c r="W154" s="93"/>
      <c r="X154" s="93"/>
      <c r="Y154" s="93"/>
      <c r="Z154" s="93"/>
      <c r="AA154" s="93"/>
      <c r="AB154" s="20"/>
      <c r="AC154" s="25">
        <v>87</v>
      </c>
      <c r="AD154" s="97"/>
      <c r="AE154" s="1504">
        <v>39142</v>
      </c>
      <c r="AF154" s="19"/>
      <c r="AG154" s="93"/>
      <c r="AH154" s="93"/>
      <c r="AI154" s="93"/>
      <c r="AJ154" s="93"/>
      <c r="AK154" s="93"/>
      <c r="AL154" s="93"/>
      <c r="AM154" s="93"/>
      <c r="AN154" s="93"/>
      <c r="AO154" s="93"/>
      <c r="AP154" s="93"/>
      <c r="AQ154" s="93"/>
      <c r="AR154" s="93"/>
      <c r="AS154" s="20"/>
      <c r="AT154" s="25">
        <v>87</v>
      </c>
      <c r="AU154" s="97"/>
      <c r="AV154" s="1504">
        <v>39142</v>
      </c>
      <c r="AW154" s="19"/>
      <c r="AX154" s="93"/>
      <c r="AY154" s="93"/>
      <c r="AZ154" s="93"/>
      <c r="BA154" s="93"/>
      <c r="BB154" s="93"/>
      <c r="BC154" s="93"/>
      <c r="BD154" s="93"/>
      <c r="BE154" s="93"/>
      <c r="BF154" s="93"/>
      <c r="BG154" s="93"/>
      <c r="BH154" s="93"/>
      <c r="BI154" s="93"/>
      <c r="BJ154" s="20"/>
      <c r="BK154" s="25">
        <v>87</v>
      </c>
      <c r="BL154" s="97"/>
      <c r="BM154" s="1504">
        <v>39142</v>
      </c>
      <c r="BN154" s="19"/>
      <c r="BO154" s="93"/>
      <c r="BP154" s="93"/>
      <c r="BQ154" s="93"/>
      <c r="BR154" s="93"/>
      <c r="BS154" s="93"/>
      <c r="BT154" s="93"/>
      <c r="BU154" s="20"/>
      <c r="BV154" s="25">
        <v>87</v>
      </c>
      <c r="BW154" s="97"/>
      <c r="BX154" s="1504">
        <v>39142</v>
      </c>
      <c r="BY154" s="19"/>
      <c r="BZ154" s="99">
        <v>664.95699999999999</v>
      </c>
      <c r="CA154" s="93"/>
      <c r="CB154" s="93"/>
      <c r="CC154" s="93"/>
      <c r="CD154" s="25">
        <v>87</v>
      </c>
      <c r="CE154" s="97"/>
      <c r="CF154" s="1504">
        <v>39142</v>
      </c>
      <c r="CG154" s="19">
        <v>1.28749808</v>
      </c>
      <c r="CH154" s="1626">
        <v>654.89499999999998</v>
      </c>
      <c r="CI154" s="219"/>
      <c r="CJ154" s="20"/>
      <c r="CK154" s="19"/>
      <c r="CL154" s="93"/>
      <c r="CM154" s="93"/>
      <c r="CN154" s="93"/>
      <c r="CO154" s="93"/>
      <c r="CP154" s="20"/>
      <c r="CQ154" s="219">
        <v>1055.21</v>
      </c>
      <c r="CR154" s="93">
        <v>1.63</v>
      </c>
      <c r="CS154" s="93"/>
      <c r="CT154" s="93"/>
      <c r="CU154" s="93"/>
      <c r="CV154" s="214"/>
      <c r="CW154" s="29">
        <v>87</v>
      </c>
      <c r="CX154" s="41">
        <f t="shared" si="192"/>
        <v>2007</v>
      </c>
      <c r="CY154" s="1504">
        <v>39142</v>
      </c>
      <c r="CZ154" s="1916">
        <v>48.803234000000003</v>
      </c>
      <c r="DA154" s="1526">
        <v>29.303805000000001</v>
      </c>
      <c r="DB154" s="1526">
        <v>19.499428999999999</v>
      </c>
      <c r="DC154" s="182">
        <f t="shared" si="196"/>
        <v>288475</v>
      </c>
      <c r="DD154" s="182">
        <f t="shared" si="197"/>
        <v>287633</v>
      </c>
      <c r="DE154" s="182">
        <f t="shared" si="198"/>
        <v>842</v>
      </c>
      <c r="DF154" s="29">
        <v>87</v>
      </c>
      <c r="DG154" s="1504">
        <v>39142</v>
      </c>
      <c r="DH154" s="19"/>
      <c r="DI154" s="93"/>
      <c r="DJ154" s="93"/>
      <c r="DK154" s="93"/>
      <c r="DL154" s="93"/>
      <c r="DM154" s="93"/>
      <c r="DN154" s="20"/>
      <c r="DO154" s="25"/>
      <c r="DP154" s="29">
        <v>87</v>
      </c>
      <c r="DQ154" s="1504">
        <v>39142</v>
      </c>
      <c r="DR154" s="19"/>
      <c r="DS154" s="93"/>
      <c r="DT154" s="93"/>
      <c r="DU154" s="93"/>
      <c r="DV154" s="93"/>
      <c r="DW154" s="93"/>
      <c r="DX154" s="20"/>
      <c r="DY154" s="29">
        <v>87</v>
      </c>
      <c r="DZ154" s="1504">
        <v>39142</v>
      </c>
      <c r="EA154" s="19"/>
      <c r="EB154" s="93"/>
      <c r="EC154" s="20"/>
      <c r="ED154" s="29">
        <v>87</v>
      </c>
      <c r="EE154" s="1504">
        <v>39142</v>
      </c>
      <c r="EF154" s="19"/>
      <c r="EG154" s="93"/>
      <c r="EH154" s="93"/>
      <c r="EI154" s="214"/>
      <c r="EJ154" s="93"/>
      <c r="EK154" s="93"/>
      <c r="EL154" s="93"/>
      <c r="EM154" s="93"/>
      <c r="EN154" s="20"/>
      <c r="EO154" s="29">
        <v>87</v>
      </c>
      <c r="EP154" s="1504">
        <v>39142</v>
      </c>
      <c r="EQ154" s="19"/>
      <c r="ER154" s="93"/>
      <c r="ES154" s="93"/>
      <c r="ET154" s="214"/>
      <c r="EU154" s="93"/>
      <c r="EV154" s="93"/>
      <c r="EW154" s="93"/>
      <c r="EX154" s="93"/>
      <c r="EY154" s="20"/>
      <c r="EZ154" s="29">
        <v>87</v>
      </c>
      <c r="FA154" s="1504">
        <v>39142</v>
      </c>
      <c r="FB154" s="29"/>
      <c r="FC154" s="29"/>
      <c r="FD154" s="29"/>
      <c r="FE154" s="29"/>
      <c r="FF154" s="29"/>
      <c r="FG154" s="29"/>
      <c r="FH154" s="29"/>
      <c r="FI154" s="29"/>
      <c r="FJ154" s="29"/>
      <c r="FK154" s="29">
        <v>87</v>
      </c>
      <c r="FL154" s="1504">
        <v>39142</v>
      </c>
      <c r="FM154" s="19"/>
      <c r="FN154" s="93"/>
      <c r="FO154" s="93"/>
      <c r="FP154" s="93"/>
      <c r="FQ154" s="93"/>
      <c r="FR154" s="93"/>
      <c r="FS154" s="93"/>
      <c r="FT154" s="93"/>
      <c r="FU154" s="93"/>
      <c r="FV154" s="93"/>
      <c r="FW154" s="93"/>
      <c r="FX154" s="93"/>
      <c r="FY154" s="93"/>
      <c r="FZ154" s="29">
        <v>87</v>
      </c>
      <c r="GA154" s="1504">
        <v>39142</v>
      </c>
      <c r="GB154" s="19"/>
      <c r="GC154" s="93"/>
      <c r="GD154" s="93"/>
      <c r="GE154" s="93"/>
      <c r="GF154" s="93"/>
      <c r="GG154" s="93"/>
      <c r="GH154" s="93"/>
      <c r="GI154" s="93"/>
      <c r="GJ154" s="93"/>
      <c r="GK154" s="93"/>
      <c r="GL154" s="93"/>
      <c r="GM154" s="93"/>
      <c r="GN154" s="20"/>
      <c r="GO154" s="29">
        <v>87</v>
      </c>
      <c r="GP154" s="1504">
        <v>39142</v>
      </c>
      <c r="GQ154" s="19"/>
      <c r="GR154" s="93"/>
      <c r="GS154" s="93"/>
      <c r="GT154" s="93"/>
      <c r="GU154" s="93"/>
      <c r="GV154" s="20"/>
      <c r="GW154" s="19"/>
      <c r="GX154" s="93"/>
      <c r="GY154" s="93"/>
      <c r="GZ154" s="93"/>
      <c r="HA154" s="93"/>
      <c r="HB154" s="20"/>
      <c r="HC154" s="19"/>
      <c r="HD154" s="93"/>
      <c r="HE154" s="93"/>
      <c r="HF154" s="93"/>
      <c r="HG154" s="93"/>
      <c r="HH154" s="20"/>
      <c r="HI154" s="19"/>
      <c r="HJ154" s="93"/>
      <c r="HK154" s="93"/>
      <c r="HL154" s="93"/>
      <c r="HM154" s="93"/>
      <c r="HN154" s="20"/>
      <c r="HO154" s="219"/>
      <c r="HP154" s="20"/>
      <c r="HQ154" s="25"/>
      <c r="HR154" s="29">
        <v>87</v>
      </c>
      <c r="HS154" s="1504">
        <v>39142</v>
      </c>
      <c r="HT154" s="179">
        <v>117.96874809265137</v>
      </c>
      <c r="HU154" s="99">
        <v>150.00516128540039</v>
      </c>
      <c r="HV154" s="99">
        <v>105.95238240559895</v>
      </c>
      <c r="HW154" s="99">
        <v>100.12136077880859</v>
      </c>
      <c r="HX154" s="99">
        <v>103.18347358703613</v>
      </c>
      <c r="HY154" s="99">
        <v>119.30050964355469</v>
      </c>
      <c r="HZ154" s="99">
        <v>126.63829040527344</v>
      </c>
      <c r="IA154" s="132">
        <v>102.82258415222168</v>
      </c>
      <c r="IB154" s="179">
        <v>107.14285850524902</v>
      </c>
      <c r="IC154" s="99">
        <v>86.47015380859375</v>
      </c>
      <c r="ID154" s="99">
        <v>96.774192810058594</v>
      </c>
      <c r="IE154" s="99">
        <v>97.15971565246582</v>
      </c>
      <c r="IF154" s="99">
        <v>103.54838943481445</v>
      </c>
      <c r="IG154" s="132">
        <v>87.5</v>
      </c>
      <c r="IH154" s="179">
        <v>73.732684135437012</v>
      </c>
      <c r="II154" s="99">
        <v>131.07943572998047</v>
      </c>
      <c r="IJ154" s="99">
        <v>87.356318155924484</v>
      </c>
      <c r="IK154" s="99">
        <v>88.031423568725586</v>
      </c>
      <c r="IL154" s="99">
        <v>79.409099578857422</v>
      </c>
      <c r="IM154" s="99">
        <v>94.156587600708008</v>
      </c>
      <c r="IN154" s="93"/>
      <c r="IO154" s="132">
        <v>97.332361221313477</v>
      </c>
      <c r="IP154" s="29">
        <v>87</v>
      </c>
      <c r="IQ154" s="19"/>
      <c r="IR154" s="93"/>
      <c r="IS154" s="93"/>
      <c r="IT154" s="93"/>
      <c r="IU154" s="93"/>
      <c r="IV154" s="20"/>
      <c r="IW154" s="29">
        <v>87</v>
      </c>
      <c r="IX154" s="19"/>
      <c r="IY154" s="93"/>
      <c r="IZ154" s="93"/>
      <c r="JA154" s="93"/>
      <c r="JB154" s="93"/>
      <c r="JC154" s="93"/>
      <c r="JD154" s="93"/>
      <c r="JE154" s="20"/>
      <c r="JF154" s="29">
        <v>87</v>
      </c>
      <c r="JG154" s="19"/>
      <c r="JH154" s="93"/>
      <c r="JI154" s="93"/>
      <c r="JJ154" s="93"/>
      <c r="JK154" s="93"/>
      <c r="JL154" s="93"/>
      <c r="JM154" s="93"/>
      <c r="JN154" s="20"/>
      <c r="JO154" s="29">
        <v>87</v>
      </c>
      <c r="JP154" s="19"/>
      <c r="JQ154" s="93"/>
      <c r="JR154" s="93"/>
      <c r="JS154" s="93"/>
      <c r="JT154" s="93"/>
      <c r="JU154" s="20"/>
      <c r="JV154" s="29">
        <v>87</v>
      </c>
      <c r="JW154" s="1504">
        <v>39142</v>
      </c>
      <c r="JX154" s="19"/>
      <c r="JY154" s="93"/>
      <c r="JZ154" s="93"/>
      <c r="KA154" s="93"/>
      <c r="KB154" s="93"/>
      <c r="KC154" s="93"/>
      <c r="KD154" s="20"/>
      <c r="KE154" s="29">
        <v>87</v>
      </c>
      <c r="KF154" s="19"/>
      <c r="KG154" s="93"/>
      <c r="KH154" s="93"/>
      <c r="KI154" s="93"/>
      <c r="KJ154" s="93"/>
      <c r="KK154" s="20"/>
      <c r="KL154" s="29">
        <v>87</v>
      </c>
      <c r="KM154" s="19"/>
      <c r="KN154" s="93"/>
      <c r="KO154" s="93"/>
      <c r="KP154" s="93"/>
      <c r="KQ154" s="93"/>
      <c r="KR154" s="20"/>
      <c r="KS154" s="29">
        <v>87</v>
      </c>
      <c r="KT154" s="19"/>
      <c r="KU154" s="93"/>
      <c r="KV154" s="93"/>
      <c r="KW154" s="93"/>
      <c r="KX154" s="93"/>
      <c r="KY154" s="20"/>
      <c r="KZ154" s="29">
        <v>87</v>
      </c>
      <c r="LA154" s="1504">
        <v>39142</v>
      </c>
      <c r="LB154" s="19"/>
      <c r="LC154" s="93"/>
      <c r="LD154" s="93"/>
      <c r="LE154" s="93"/>
      <c r="LF154" s="93"/>
      <c r="LG154" s="93"/>
      <c r="LH154" s="20"/>
      <c r="LI154" s="29">
        <v>87</v>
      </c>
      <c r="LJ154" s="19"/>
      <c r="LK154" s="93"/>
      <c r="LL154" s="93"/>
      <c r="LM154" s="93"/>
      <c r="LN154" s="93"/>
      <c r="LO154" s="20"/>
      <c r="LP154" s="29">
        <v>87</v>
      </c>
      <c r="LQ154" s="19"/>
      <c r="LR154" s="93"/>
      <c r="LS154" s="93"/>
      <c r="LT154" s="93"/>
      <c r="LU154" s="93"/>
      <c r="LV154" s="93"/>
      <c r="LW154" s="93"/>
      <c r="LX154" s="93"/>
      <c r="LY154" s="93"/>
      <c r="LZ154" s="93"/>
      <c r="MA154" s="20"/>
      <c r="MB154" s="29">
        <v>87</v>
      </c>
      <c r="MC154" s="1504">
        <v>39142</v>
      </c>
      <c r="MD154" s="19"/>
      <c r="ME154" s="93"/>
      <c r="MF154" s="93"/>
      <c r="MG154" s="93"/>
      <c r="MH154" s="93"/>
      <c r="MI154" s="93"/>
      <c r="MJ154" s="93"/>
      <c r="MK154" s="93"/>
      <c r="ML154" s="93"/>
      <c r="MM154" s="93"/>
      <c r="MN154" s="93"/>
      <c r="MO154" s="93"/>
      <c r="MP154" s="93"/>
      <c r="MQ154" s="93"/>
      <c r="MR154" s="93"/>
      <c r="MS154" s="93"/>
      <c r="MT154" s="93"/>
      <c r="MU154" s="93"/>
      <c r="MV154" s="93"/>
      <c r="MW154" s="93"/>
      <c r="MX154" s="93"/>
      <c r="MY154" s="93"/>
      <c r="MZ154" s="93"/>
      <c r="NA154" s="93"/>
      <c r="NB154" s="93"/>
      <c r="NC154" s="93"/>
      <c r="ND154" s="93"/>
      <c r="NE154" s="93"/>
      <c r="NF154" s="93"/>
      <c r="NG154" s="93"/>
      <c r="NH154" s="93"/>
      <c r="NI154" s="93"/>
      <c r="NJ154" s="93"/>
      <c r="NK154" s="93"/>
      <c r="NL154" s="93"/>
      <c r="NM154" s="93"/>
      <c r="NN154" s="93"/>
      <c r="NO154" s="93"/>
      <c r="NP154" s="93"/>
      <c r="NQ154" s="93"/>
      <c r="NR154" s="93"/>
      <c r="NS154" s="93"/>
      <c r="NT154" s="93"/>
      <c r="NU154" s="93"/>
      <c r="NV154" s="93"/>
      <c r="NW154" s="93"/>
      <c r="NX154" s="93"/>
      <c r="NY154" s="93"/>
      <c r="NZ154" s="93"/>
      <c r="OA154" s="93"/>
      <c r="OB154" s="93"/>
      <c r="OC154" s="93"/>
      <c r="OD154" s="20"/>
      <c r="OE154" s="29">
        <v>87</v>
      </c>
      <c r="OF154" s="1504">
        <v>39142</v>
      </c>
      <c r="OG154" s="19"/>
      <c r="OH154" s="93">
        <v>190.2886</v>
      </c>
      <c r="OI154" s="93">
        <v>294.8002602162901</v>
      </c>
      <c r="OJ154" s="93">
        <v>0.39408871899999998</v>
      </c>
      <c r="OK154" s="93">
        <v>242.74387149729009</v>
      </c>
      <c r="OL154" s="93">
        <v>51.662300000000002</v>
      </c>
      <c r="OM154" s="93">
        <v>485.08886021629007</v>
      </c>
      <c r="ON154" s="93">
        <v>242.35284990801904</v>
      </c>
      <c r="OO154" s="93">
        <v>727.44171012430911</v>
      </c>
      <c r="OP154" s="93"/>
      <c r="OQ154" s="93">
        <v>406.1534801577875</v>
      </c>
      <c r="OR154" s="93">
        <v>345.73001670500003</v>
      </c>
      <c r="OS154" s="93">
        <v>60.423463452787544</v>
      </c>
      <c r="OT154" s="93">
        <v>441.94509309652159</v>
      </c>
      <c r="OU154" s="93">
        <v>-157.45398725000001</v>
      </c>
      <c r="OV154" s="93">
        <v>-61.422987250000006</v>
      </c>
      <c r="OW154" s="93">
        <v>-96.030999999999992</v>
      </c>
      <c r="OX154" s="93">
        <v>599.3990803465216</v>
      </c>
      <c r="OY154" s="93">
        <v>2.8028223940000001</v>
      </c>
      <c r="OZ154" s="93">
        <v>596.59625795252168</v>
      </c>
      <c r="PA154" s="93">
        <v>128.80293894199997</v>
      </c>
      <c r="PB154" s="93">
        <v>-8.1460758120000136</v>
      </c>
      <c r="PC154" s="20">
        <v>727.44171012430911</v>
      </c>
      <c r="PD154" s="29">
        <v>87</v>
      </c>
      <c r="PE154" s="19"/>
      <c r="PF154" s="93">
        <v>345.73001670500003</v>
      </c>
      <c r="PG154" s="93">
        <v>421.96111113699999</v>
      </c>
      <c r="PH154" s="93">
        <v>76.231094431999992</v>
      </c>
      <c r="PI154" s="93">
        <v>13.24</v>
      </c>
      <c r="PJ154" s="93">
        <v>-61.422987250000006</v>
      </c>
      <c r="PK154" s="93">
        <v>39.80606908</v>
      </c>
      <c r="PL154" s="93">
        <v>101.22905633000001</v>
      </c>
      <c r="PM154" s="93">
        <v>2.8028223940000001</v>
      </c>
      <c r="PN154" s="93">
        <v>0</v>
      </c>
      <c r="PO154" s="93">
        <v>0</v>
      </c>
      <c r="PP154" s="93">
        <v>0.52198440000000002</v>
      </c>
      <c r="PQ154" s="93">
        <v>2.2808379940000001</v>
      </c>
      <c r="PR154" s="93">
        <v>302.54743147000005</v>
      </c>
      <c r="PS154" s="93">
        <v>209.7116</v>
      </c>
      <c r="PT154" s="93">
        <v>92.441742751000007</v>
      </c>
      <c r="PU154" s="93">
        <v>0.39408871899999998</v>
      </c>
      <c r="PV154" s="93">
        <v>0</v>
      </c>
      <c r="PW154" s="93">
        <v>0.487984998</v>
      </c>
      <c r="PX154" s="93">
        <v>0</v>
      </c>
      <c r="PY154" s="93">
        <v>0</v>
      </c>
      <c r="PZ154" s="93">
        <v>0.487984998</v>
      </c>
      <c r="QA154" s="93">
        <v>0</v>
      </c>
      <c r="QB154" s="93">
        <v>0</v>
      </c>
      <c r="QC154" s="93">
        <v>0</v>
      </c>
      <c r="QD154" s="93">
        <v>-0.59004605599999993</v>
      </c>
      <c r="QE154" s="20">
        <v>-2.0955185629999997</v>
      </c>
      <c r="QF154" s="1739">
        <v>87</v>
      </c>
      <c r="QG154" s="19"/>
      <c r="QH154" s="1035">
        <v>60.423463452787544</v>
      </c>
      <c r="QI154" s="1035">
        <v>152.95974204747841</v>
      </c>
      <c r="QJ154" s="1035">
        <v>-92.53627859469087</v>
      </c>
      <c r="QK154" s="1035">
        <v>107.78100000000001</v>
      </c>
      <c r="QL154" s="1035">
        <v>19.422999999999998</v>
      </c>
      <c r="QM154" s="1035">
        <v>88.358000000000004</v>
      </c>
      <c r="QN154" s="1035">
        <v>0</v>
      </c>
      <c r="QO154" s="1035">
        <v>-96.030999999999992</v>
      </c>
      <c r="QP154" s="1035">
        <v>5.65</v>
      </c>
      <c r="QQ154" s="1035">
        <v>-101.681</v>
      </c>
      <c r="QR154" s="1035">
        <v>596.59625795252168</v>
      </c>
      <c r="QS154" s="1035">
        <v>11.724737560823304</v>
      </c>
      <c r="QT154" s="1035">
        <v>0</v>
      </c>
      <c r="QU154" s="1035">
        <v>74.719000000000008</v>
      </c>
      <c r="QV154" s="1035">
        <v>510.15252039169832</v>
      </c>
      <c r="QW154" s="93"/>
      <c r="QX154" s="93">
        <v>12.682</v>
      </c>
      <c r="QY154" s="93">
        <v>242.74387149729006</v>
      </c>
      <c r="QZ154" s="93">
        <v>242.35284990801904</v>
      </c>
      <c r="RA154" s="93">
        <v>0</v>
      </c>
      <c r="RB154" s="93">
        <v>19.837999999999997</v>
      </c>
      <c r="RC154" s="93">
        <v>2</v>
      </c>
      <c r="RD154" s="93">
        <v>17.710999999999999</v>
      </c>
      <c r="RE154" s="93">
        <v>0</v>
      </c>
      <c r="RF154" s="93">
        <v>0</v>
      </c>
      <c r="RG154" s="93">
        <v>89.355999999999995</v>
      </c>
      <c r="RH154" s="93">
        <v>42.085999999999977</v>
      </c>
      <c r="RI154" s="93"/>
      <c r="RJ154" s="93"/>
      <c r="RK154" s="93"/>
      <c r="RL154" s="93"/>
      <c r="RM154" s="20"/>
      <c r="RN154" s="29">
        <v>87</v>
      </c>
      <c r="RO154" s="19"/>
      <c r="RP154" s="20"/>
      <c r="RQ154" s="29">
        <v>87</v>
      </c>
      <c r="RR154" s="20"/>
      <c r="RS154" s="29">
        <v>87</v>
      </c>
      <c r="RT154" s="1504">
        <v>39142</v>
      </c>
      <c r="RU154" s="19"/>
      <c r="RV154" s="20"/>
      <c r="RW154" s="29">
        <v>87</v>
      </c>
      <c r="RX154" s="1504">
        <v>39142</v>
      </c>
      <c r="RY154" s="29"/>
      <c r="RZ154" s="20"/>
      <c r="SA154" s="29"/>
      <c r="SB154" s="29">
        <v>87</v>
      </c>
    </row>
    <row r="155" spans="1:496">
      <c r="A155" s="41">
        <f t="shared" si="191"/>
        <v>2007</v>
      </c>
      <c r="B155" s="1504">
        <v>39173</v>
      </c>
      <c r="C155" s="1813"/>
      <c r="D155" s="1814"/>
      <c r="E155" s="1814"/>
      <c r="F155" s="1815"/>
      <c r="G155" s="1814"/>
      <c r="H155" s="1814"/>
      <c r="I155" s="1814"/>
      <c r="J155" s="1816"/>
      <c r="K155" s="1807"/>
      <c r="L155" s="25">
        <v>88</v>
      </c>
      <c r="M155" s="97"/>
      <c r="N155" s="1504">
        <v>39173</v>
      </c>
      <c r="O155" s="19"/>
      <c r="P155" s="93"/>
      <c r="Q155" s="93"/>
      <c r="R155" s="93"/>
      <c r="S155" s="93"/>
      <c r="T155" s="93"/>
      <c r="U155" s="93"/>
      <c r="V155" s="93"/>
      <c r="W155" s="93"/>
      <c r="X155" s="93"/>
      <c r="Y155" s="93"/>
      <c r="Z155" s="93"/>
      <c r="AA155" s="93"/>
      <c r="AB155" s="20"/>
      <c r="AC155" s="25">
        <v>88</v>
      </c>
      <c r="AD155" s="97"/>
      <c r="AE155" s="1504">
        <v>39173</v>
      </c>
      <c r="AF155" s="19"/>
      <c r="AG155" s="93"/>
      <c r="AH155" s="93"/>
      <c r="AI155" s="93"/>
      <c r="AJ155" s="93"/>
      <c r="AK155" s="93"/>
      <c r="AL155" s="93"/>
      <c r="AM155" s="93"/>
      <c r="AN155" s="93"/>
      <c r="AO155" s="93"/>
      <c r="AP155" s="93"/>
      <c r="AQ155" s="93"/>
      <c r="AR155" s="93"/>
      <c r="AS155" s="20"/>
      <c r="AT155" s="25">
        <v>88</v>
      </c>
      <c r="AU155" s="97"/>
      <c r="AV155" s="1504">
        <v>39173</v>
      </c>
      <c r="AW155" s="19"/>
      <c r="AX155" s="93"/>
      <c r="AY155" s="93"/>
      <c r="AZ155" s="93"/>
      <c r="BA155" s="93"/>
      <c r="BB155" s="93"/>
      <c r="BC155" s="93"/>
      <c r="BD155" s="93"/>
      <c r="BE155" s="93"/>
      <c r="BF155" s="93"/>
      <c r="BG155" s="93"/>
      <c r="BH155" s="93"/>
      <c r="BI155" s="93"/>
      <c r="BJ155" s="20"/>
      <c r="BK155" s="25">
        <v>88</v>
      </c>
      <c r="BL155" s="97"/>
      <c r="BM155" s="1504">
        <v>39173</v>
      </c>
      <c r="BN155" s="19"/>
      <c r="BO155" s="93"/>
      <c r="BP155" s="93"/>
      <c r="BQ155" s="93"/>
      <c r="BR155" s="93"/>
      <c r="BS155" s="93"/>
      <c r="BT155" s="93"/>
      <c r="BU155" s="20"/>
      <c r="BV155" s="25">
        <v>88</v>
      </c>
      <c r="BW155" s="97"/>
      <c r="BX155" s="1504">
        <v>39173</v>
      </c>
      <c r="BY155" s="19"/>
      <c r="BZ155" s="99">
        <v>664.95699999999999</v>
      </c>
      <c r="CA155" s="93"/>
      <c r="CB155" s="93"/>
      <c r="CC155" s="93"/>
      <c r="CD155" s="25">
        <v>88</v>
      </c>
      <c r="CE155" s="97"/>
      <c r="CF155" s="1504">
        <v>39173</v>
      </c>
      <c r="CG155" s="19">
        <v>1.2599403300000001</v>
      </c>
      <c r="CH155" s="1626">
        <v>679.36800000000005</v>
      </c>
      <c r="CI155" s="219"/>
      <c r="CJ155" s="20"/>
      <c r="CK155" s="19"/>
      <c r="CL155" s="93"/>
      <c r="CM155" s="93"/>
      <c r="CN155" s="93"/>
      <c r="CO155" s="93"/>
      <c r="CP155" s="20"/>
      <c r="CQ155" s="219">
        <v>1078.17</v>
      </c>
      <c r="CR155" s="93">
        <v>1.5874999999999999</v>
      </c>
      <c r="CS155" s="93"/>
      <c r="CT155" s="93"/>
      <c r="CU155" s="93"/>
      <c r="CV155" s="214"/>
      <c r="CW155" s="29">
        <v>88</v>
      </c>
      <c r="CX155" s="41">
        <f t="shared" si="192"/>
        <v>2007</v>
      </c>
      <c r="CY155" s="1504">
        <v>39173</v>
      </c>
      <c r="CZ155" s="1916">
        <v>56.665068999999995</v>
      </c>
      <c r="DA155" s="1526">
        <v>32.841164999999997</v>
      </c>
      <c r="DB155" s="1526">
        <v>23.823903999999999</v>
      </c>
      <c r="DC155" s="182">
        <f t="shared" si="196"/>
        <v>288475</v>
      </c>
      <c r="DD155" s="182">
        <f t="shared" si="197"/>
        <v>287633</v>
      </c>
      <c r="DE155" s="182">
        <f t="shared" si="198"/>
        <v>842</v>
      </c>
      <c r="DF155" s="29">
        <v>88</v>
      </c>
      <c r="DG155" s="1504">
        <v>39173</v>
      </c>
      <c r="DH155" s="19"/>
      <c r="DI155" s="93"/>
      <c r="DJ155" s="93"/>
      <c r="DK155" s="93"/>
      <c r="DL155" s="93"/>
      <c r="DM155" s="93"/>
      <c r="DN155" s="20"/>
      <c r="DO155" s="25"/>
      <c r="DP155" s="29">
        <v>88</v>
      </c>
      <c r="DQ155" s="1504">
        <v>39173</v>
      </c>
      <c r="DR155" s="19"/>
      <c r="DS155" s="93"/>
      <c r="DT155" s="93"/>
      <c r="DU155" s="93"/>
      <c r="DV155" s="93"/>
      <c r="DW155" s="93"/>
      <c r="DX155" s="20"/>
      <c r="DY155" s="29">
        <v>88</v>
      </c>
      <c r="DZ155" s="1504">
        <v>39173</v>
      </c>
      <c r="EA155" s="19"/>
      <c r="EB155" s="93"/>
      <c r="EC155" s="20"/>
      <c r="ED155" s="29">
        <v>88</v>
      </c>
      <c r="EE155" s="1504">
        <v>39173</v>
      </c>
      <c r="EF155" s="19"/>
      <c r="EG155" s="93"/>
      <c r="EH155" s="93"/>
      <c r="EI155" s="214"/>
      <c r="EJ155" s="93"/>
      <c r="EK155" s="93"/>
      <c r="EL155" s="93"/>
      <c r="EM155" s="93"/>
      <c r="EN155" s="20"/>
      <c r="EO155" s="29">
        <v>88</v>
      </c>
      <c r="EP155" s="1504">
        <v>39173</v>
      </c>
      <c r="EQ155" s="19"/>
      <c r="ER155" s="93"/>
      <c r="ES155" s="93"/>
      <c r="ET155" s="214"/>
      <c r="EU155" s="93"/>
      <c r="EV155" s="93"/>
      <c r="EW155" s="93"/>
      <c r="EX155" s="93"/>
      <c r="EY155" s="20"/>
      <c r="EZ155" s="29">
        <v>88</v>
      </c>
      <c r="FA155" s="1504">
        <v>39173</v>
      </c>
      <c r="FB155" s="29"/>
      <c r="FC155" s="29"/>
      <c r="FD155" s="29"/>
      <c r="FE155" s="29"/>
      <c r="FF155" s="29"/>
      <c r="FG155" s="29"/>
      <c r="FH155" s="29"/>
      <c r="FI155" s="29"/>
      <c r="FJ155" s="29"/>
      <c r="FK155" s="29">
        <v>88</v>
      </c>
      <c r="FL155" s="1504">
        <v>39173</v>
      </c>
      <c r="FM155" s="19"/>
      <c r="FN155" s="93"/>
      <c r="FO155" s="93"/>
      <c r="FP155" s="93"/>
      <c r="FQ155" s="93"/>
      <c r="FR155" s="93"/>
      <c r="FS155" s="93"/>
      <c r="FT155" s="93"/>
      <c r="FU155" s="93"/>
      <c r="FV155" s="93"/>
      <c r="FW155" s="93"/>
      <c r="FX155" s="93"/>
      <c r="FY155" s="93"/>
      <c r="FZ155" s="29">
        <v>88</v>
      </c>
      <c r="GA155" s="1504">
        <v>39173</v>
      </c>
      <c r="GB155" s="19"/>
      <c r="GC155" s="93"/>
      <c r="GD155" s="93"/>
      <c r="GE155" s="93"/>
      <c r="GF155" s="93"/>
      <c r="GG155" s="93"/>
      <c r="GH155" s="93"/>
      <c r="GI155" s="93"/>
      <c r="GJ155" s="93"/>
      <c r="GK155" s="93"/>
      <c r="GL155" s="93"/>
      <c r="GM155" s="93"/>
      <c r="GN155" s="20"/>
      <c r="GO155" s="29">
        <v>88</v>
      </c>
      <c r="GP155" s="1504">
        <v>39173</v>
      </c>
      <c r="GQ155" s="19"/>
      <c r="GR155" s="93"/>
      <c r="GS155" s="93"/>
      <c r="GT155" s="93"/>
      <c r="GU155" s="93"/>
      <c r="GV155" s="20"/>
      <c r="GW155" s="19"/>
      <c r="GX155" s="93"/>
      <c r="GY155" s="93"/>
      <c r="GZ155" s="93"/>
      <c r="HA155" s="93"/>
      <c r="HB155" s="20"/>
      <c r="HC155" s="19"/>
      <c r="HD155" s="93"/>
      <c r="HE155" s="93"/>
      <c r="HF155" s="93"/>
      <c r="HG155" s="93"/>
      <c r="HH155" s="20"/>
      <c r="HI155" s="19"/>
      <c r="HJ155" s="93"/>
      <c r="HK155" s="93"/>
      <c r="HL155" s="93"/>
      <c r="HM155" s="93"/>
      <c r="HN155" s="20"/>
      <c r="HO155" s="219"/>
      <c r="HP155" s="20"/>
      <c r="HQ155" s="25"/>
      <c r="HR155" s="29">
        <v>88</v>
      </c>
      <c r="HS155" s="1504">
        <v>39173</v>
      </c>
      <c r="HT155" s="179">
        <v>127.27460098266602</v>
      </c>
      <c r="HU155" s="99">
        <v>156.06401443481445</v>
      </c>
      <c r="HV155" s="99">
        <v>112.93103218078613</v>
      </c>
      <c r="HW155" s="99">
        <v>97.087379455566406</v>
      </c>
      <c r="HX155" s="99">
        <v>114.22413444519043</v>
      </c>
      <c r="HY155" s="99">
        <v>122.74096298217773</v>
      </c>
      <c r="HZ155" s="99">
        <v>128.7071563720703</v>
      </c>
      <c r="IA155" s="132">
        <v>109.27419662475586</v>
      </c>
      <c r="IB155" s="179">
        <v>104.52961730957031</v>
      </c>
      <c r="IC155" s="99">
        <v>86.597937011718756</v>
      </c>
      <c r="ID155" s="99"/>
      <c r="IE155" s="99">
        <v>93.434341430664063</v>
      </c>
      <c r="IF155" s="99">
        <v>112.66666412353516</v>
      </c>
      <c r="IG155" s="132">
        <v>91.5</v>
      </c>
      <c r="IH155" s="179">
        <v>78.715951538085932</v>
      </c>
      <c r="II155" s="99">
        <v>128.24453353881836</v>
      </c>
      <c r="IJ155" s="99">
        <v>93.333332061767578</v>
      </c>
      <c r="IK155" s="99">
        <v>97.173149108886719</v>
      </c>
      <c r="IL155" s="99">
        <v>82.329319000244141</v>
      </c>
      <c r="IM155" s="99">
        <v>94.75806999206543</v>
      </c>
      <c r="IN155" s="93"/>
      <c r="IO155" s="132">
        <v>101.53891830444336</v>
      </c>
      <c r="IP155" s="29">
        <v>88</v>
      </c>
      <c r="IQ155" s="19"/>
      <c r="IR155" s="93"/>
      <c r="IS155" s="93"/>
      <c r="IT155" s="93"/>
      <c r="IU155" s="93"/>
      <c r="IV155" s="20"/>
      <c r="IW155" s="29">
        <v>88</v>
      </c>
      <c r="IX155" s="19"/>
      <c r="IY155" s="93"/>
      <c r="IZ155" s="93"/>
      <c r="JA155" s="93"/>
      <c r="JB155" s="93"/>
      <c r="JC155" s="93"/>
      <c r="JD155" s="93"/>
      <c r="JE155" s="20"/>
      <c r="JF155" s="29">
        <v>88</v>
      </c>
      <c r="JG155" s="19"/>
      <c r="JH155" s="93"/>
      <c r="JI155" s="93"/>
      <c r="JJ155" s="93"/>
      <c r="JK155" s="93"/>
      <c r="JL155" s="93"/>
      <c r="JM155" s="93"/>
      <c r="JN155" s="20"/>
      <c r="JO155" s="29">
        <v>88</v>
      </c>
      <c r="JP155" s="19"/>
      <c r="JQ155" s="93"/>
      <c r="JR155" s="93"/>
      <c r="JS155" s="93"/>
      <c r="JT155" s="93"/>
      <c r="JU155" s="20"/>
      <c r="JV155" s="29">
        <v>88</v>
      </c>
      <c r="JW155" s="1504">
        <v>39173</v>
      </c>
      <c r="JX155" s="19"/>
      <c r="JY155" s="93"/>
      <c r="JZ155" s="93"/>
      <c r="KA155" s="93"/>
      <c r="KB155" s="93"/>
      <c r="KC155" s="93"/>
      <c r="KD155" s="20"/>
      <c r="KE155" s="29">
        <v>88</v>
      </c>
      <c r="KF155" s="19"/>
      <c r="KG155" s="93"/>
      <c r="KH155" s="93"/>
      <c r="KI155" s="93"/>
      <c r="KJ155" s="93"/>
      <c r="KK155" s="20"/>
      <c r="KL155" s="29">
        <v>88</v>
      </c>
      <c r="KM155" s="19"/>
      <c r="KN155" s="93"/>
      <c r="KO155" s="93"/>
      <c r="KP155" s="93"/>
      <c r="KQ155" s="93"/>
      <c r="KR155" s="20"/>
      <c r="KS155" s="29">
        <v>88</v>
      </c>
      <c r="KT155" s="19"/>
      <c r="KU155" s="93"/>
      <c r="KV155" s="93"/>
      <c r="KW155" s="93"/>
      <c r="KX155" s="93"/>
      <c r="KY155" s="20"/>
      <c r="KZ155" s="29">
        <v>88</v>
      </c>
      <c r="LA155" s="1504">
        <v>39173</v>
      </c>
      <c r="LB155" s="19"/>
      <c r="LC155" s="93"/>
      <c r="LD155" s="93"/>
      <c r="LE155" s="93"/>
      <c r="LF155" s="93"/>
      <c r="LG155" s="93"/>
      <c r="LH155" s="20"/>
      <c r="LI155" s="29">
        <v>88</v>
      </c>
      <c r="LJ155" s="19"/>
      <c r="LK155" s="93"/>
      <c r="LL155" s="93"/>
      <c r="LM155" s="93"/>
      <c r="LN155" s="93"/>
      <c r="LO155" s="20"/>
      <c r="LP155" s="29">
        <v>88</v>
      </c>
      <c r="LQ155" s="19"/>
      <c r="LR155" s="93"/>
      <c r="LS155" s="93"/>
      <c r="LT155" s="93"/>
      <c r="LU155" s="93"/>
      <c r="LV155" s="93"/>
      <c r="LW155" s="93"/>
      <c r="LX155" s="93"/>
      <c r="LY155" s="93"/>
      <c r="LZ155" s="93"/>
      <c r="MA155" s="20"/>
      <c r="MB155" s="29">
        <v>88</v>
      </c>
      <c r="MC155" s="1504">
        <v>39173</v>
      </c>
      <c r="MD155" s="19"/>
      <c r="ME155" s="93"/>
      <c r="MF155" s="93"/>
      <c r="MG155" s="93"/>
      <c r="MH155" s="93"/>
      <c r="MI155" s="93"/>
      <c r="MJ155" s="93"/>
      <c r="MK155" s="93"/>
      <c r="ML155" s="93"/>
      <c r="MM155" s="93"/>
      <c r="MN155" s="93"/>
      <c r="MO155" s="93"/>
      <c r="MP155" s="93"/>
      <c r="MQ155" s="93"/>
      <c r="MR155" s="93"/>
      <c r="MS155" s="93"/>
      <c r="MT155" s="93"/>
      <c r="MU155" s="93"/>
      <c r="MV155" s="93"/>
      <c r="MW155" s="93"/>
      <c r="MX155" s="93"/>
      <c r="MY155" s="93"/>
      <c r="MZ155" s="93"/>
      <c r="NA155" s="93"/>
      <c r="NB155" s="93"/>
      <c r="NC155" s="93"/>
      <c r="ND155" s="93"/>
      <c r="NE155" s="93"/>
      <c r="NF155" s="93"/>
      <c r="NG155" s="93"/>
      <c r="NH155" s="93"/>
      <c r="NI155" s="93"/>
      <c r="NJ155" s="93"/>
      <c r="NK155" s="93"/>
      <c r="NL155" s="93"/>
      <c r="NM155" s="93"/>
      <c r="NN155" s="93"/>
      <c r="NO155" s="93"/>
      <c r="NP155" s="93"/>
      <c r="NQ155" s="93"/>
      <c r="NR155" s="93"/>
      <c r="NS155" s="93"/>
      <c r="NT155" s="93"/>
      <c r="NU155" s="93"/>
      <c r="NV155" s="93"/>
      <c r="NW155" s="93"/>
      <c r="NX155" s="93"/>
      <c r="NY155" s="93"/>
      <c r="NZ155" s="93"/>
      <c r="OA155" s="93"/>
      <c r="OB155" s="93"/>
      <c r="OC155" s="93"/>
      <c r="OD155" s="20"/>
      <c r="OE155" s="29">
        <v>88</v>
      </c>
      <c r="OF155" s="1504">
        <v>39173</v>
      </c>
      <c r="OG155" s="19"/>
      <c r="OH155" s="93">
        <v>198.7242</v>
      </c>
      <c r="OI155" s="93">
        <v>318.26007454786873</v>
      </c>
      <c r="OJ155" s="93">
        <v>0.42780001200000001</v>
      </c>
      <c r="OK155" s="93">
        <v>266.16997453586873</v>
      </c>
      <c r="OL155" s="93">
        <v>51.662300000000002</v>
      </c>
      <c r="OM155" s="93">
        <v>516.98427454786872</v>
      </c>
      <c r="ON155" s="93">
        <v>257.54370978244742</v>
      </c>
      <c r="OO155" s="93">
        <v>774.52798433031614</v>
      </c>
      <c r="OP155" s="93"/>
      <c r="OQ155" s="93">
        <v>449.19668327715249</v>
      </c>
      <c r="OR155" s="93">
        <v>389.30597106100004</v>
      </c>
      <c r="OS155" s="93">
        <v>59.89071221615248</v>
      </c>
      <c r="OT155" s="93">
        <v>446.98400689016364</v>
      </c>
      <c r="OU155" s="93">
        <v>-148.02882721599997</v>
      </c>
      <c r="OV155" s="93">
        <v>-66.706827215999994</v>
      </c>
      <c r="OW155" s="93">
        <v>-81.321999999999989</v>
      </c>
      <c r="OX155" s="93">
        <v>595.01283410616361</v>
      </c>
      <c r="OY155" s="93">
        <v>2.3298620039999998</v>
      </c>
      <c r="OZ155" s="93">
        <v>592.6829721021636</v>
      </c>
      <c r="PA155" s="93">
        <v>125.01635012399998</v>
      </c>
      <c r="PB155" s="93">
        <v>-3.3636442869999996</v>
      </c>
      <c r="PC155" s="20">
        <v>774.52798433031603</v>
      </c>
      <c r="PD155" s="29">
        <v>88</v>
      </c>
      <c r="PE155" s="19"/>
      <c r="PF155" s="93">
        <v>389.30597106100004</v>
      </c>
      <c r="PG155" s="93">
        <v>462.21676702000002</v>
      </c>
      <c r="PH155" s="93">
        <v>72.910795958999998</v>
      </c>
      <c r="PI155" s="93">
        <v>14.49</v>
      </c>
      <c r="PJ155" s="93">
        <v>-66.706827215999994</v>
      </c>
      <c r="PK155" s="93">
        <v>39.353140827000004</v>
      </c>
      <c r="PL155" s="93">
        <v>106.059968043</v>
      </c>
      <c r="PM155" s="93">
        <v>2.3298620039999998</v>
      </c>
      <c r="PN155" s="93">
        <v>0</v>
      </c>
      <c r="PO155" s="93">
        <v>0</v>
      </c>
      <c r="PP155" s="93">
        <v>2.03709E-4</v>
      </c>
      <c r="PQ155" s="93">
        <v>2.3296582949999998</v>
      </c>
      <c r="PR155" s="93">
        <v>337.91623999299998</v>
      </c>
      <c r="PS155" s="93">
        <v>218.6352</v>
      </c>
      <c r="PT155" s="93">
        <v>118.853239981</v>
      </c>
      <c r="PU155" s="93">
        <v>0.42780001200000001</v>
      </c>
      <c r="PV155" s="93">
        <v>0</v>
      </c>
      <c r="PW155" s="93">
        <v>2.0417159319999998</v>
      </c>
      <c r="PX155" s="93">
        <v>0</v>
      </c>
      <c r="PY155" s="93">
        <v>0</v>
      </c>
      <c r="PZ155" s="93">
        <v>2.0417159319999998</v>
      </c>
      <c r="QA155" s="93">
        <v>0</v>
      </c>
      <c r="QB155" s="93">
        <v>0</v>
      </c>
      <c r="QC155" s="93">
        <v>0</v>
      </c>
      <c r="QD155" s="93">
        <v>-1.647365808</v>
      </c>
      <c r="QE155" s="20">
        <v>1.1084157319999997</v>
      </c>
      <c r="QF155" s="1739">
        <v>88</v>
      </c>
      <c r="QG155" s="19"/>
      <c r="QH155" s="1035">
        <v>59.89071221615248</v>
      </c>
      <c r="QI155" s="1035">
        <v>159.68902789783635</v>
      </c>
      <c r="QJ155" s="1035">
        <v>-99.798315681683874</v>
      </c>
      <c r="QK155" s="1035">
        <v>116.245</v>
      </c>
      <c r="QL155" s="1035">
        <v>19.911000000000001</v>
      </c>
      <c r="QM155" s="1035">
        <v>96.334000000000003</v>
      </c>
      <c r="QN155" s="1035">
        <v>0</v>
      </c>
      <c r="QO155" s="1035">
        <v>-81.321999999999989</v>
      </c>
      <c r="QP155" s="1035">
        <v>13.744</v>
      </c>
      <c r="QQ155" s="1035">
        <v>-95.065999999999988</v>
      </c>
      <c r="QR155" s="1035">
        <v>592.6829721021636</v>
      </c>
      <c r="QS155" s="1035">
        <v>9.5351253261201077</v>
      </c>
      <c r="QT155" s="1035">
        <v>0</v>
      </c>
      <c r="QU155" s="1035">
        <v>68.495999999999995</v>
      </c>
      <c r="QV155" s="1035">
        <v>514.6518467760435</v>
      </c>
      <c r="QW155" s="93"/>
      <c r="QX155" s="93">
        <v>14.071</v>
      </c>
      <c r="QY155" s="93">
        <v>266.16997453586873</v>
      </c>
      <c r="QZ155" s="93">
        <v>257.54370978244742</v>
      </c>
      <c r="RA155" s="93">
        <v>0</v>
      </c>
      <c r="RB155" s="93">
        <v>19.369999999999997</v>
      </c>
      <c r="RC155" s="93">
        <v>2</v>
      </c>
      <c r="RD155" s="93">
        <v>20.535</v>
      </c>
      <c r="RE155" s="93">
        <v>0</v>
      </c>
      <c r="RF155" s="93">
        <v>0</v>
      </c>
      <c r="RG155" s="93">
        <v>82.716999999999999</v>
      </c>
      <c r="RH155" s="93">
        <v>25.090000000000003</v>
      </c>
      <c r="RI155" s="93"/>
      <c r="RJ155" s="93"/>
      <c r="RK155" s="93"/>
      <c r="RL155" s="93"/>
      <c r="RM155" s="20"/>
      <c r="RN155" s="29">
        <v>88</v>
      </c>
      <c r="RO155" s="19"/>
      <c r="RP155" s="20"/>
      <c r="RQ155" s="29">
        <v>88</v>
      </c>
      <c r="RR155" s="20"/>
      <c r="RS155" s="29">
        <v>88</v>
      </c>
      <c r="RT155" s="1504">
        <v>39173</v>
      </c>
      <c r="RU155" s="19"/>
      <c r="RV155" s="20"/>
      <c r="RW155" s="29">
        <v>88</v>
      </c>
      <c r="RX155" s="1504">
        <v>39173</v>
      </c>
      <c r="RY155" s="29"/>
      <c r="RZ155" s="20"/>
      <c r="SA155" s="29"/>
      <c r="SB155" s="29">
        <v>88</v>
      </c>
    </row>
    <row r="156" spans="1:496">
      <c r="A156" s="41">
        <f t="shared" si="191"/>
        <v>2007</v>
      </c>
      <c r="B156" s="1504">
        <v>39203</v>
      </c>
      <c r="C156" s="1813"/>
      <c r="D156" s="1814"/>
      <c r="E156" s="1814"/>
      <c r="F156" s="1815"/>
      <c r="G156" s="1814"/>
      <c r="H156" s="1814"/>
      <c r="I156" s="1814"/>
      <c r="J156" s="1816"/>
      <c r="K156" s="1807"/>
      <c r="L156" s="25">
        <v>89</v>
      </c>
      <c r="M156" s="97"/>
      <c r="N156" s="1504">
        <v>39203</v>
      </c>
      <c r="O156" s="19"/>
      <c r="P156" s="93"/>
      <c r="Q156" s="93"/>
      <c r="R156" s="93"/>
      <c r="S156" s="93"/>
      <c r="T156" s="93"/>
      <c r="U156" s="93"/>
      <c r="V156" s="93"/>
      <c r="W156" s="93"/>
      <c r="X156" s="93"/>
      <c r="Y156" s="93"/>
      <c r="Z156" s="93"/>
      <c r="AA156" s="93"/>
      <c r="AB156" s="20"/>
      <c r="AC156" s="25">
        <v>89</v>
      </c>
      <c r="AD156" s="97"/>
      <c r="AE156" s="1504">
        <v>39203</v>
      </c>
      <c r="AF156" s="19"/>
      <c r="AG156" s="93"/>
      <c r="AH156" s="93"/>
      <c r="AI156" s="93"/>
      <c r="AJ156" s="93"/>
      <c r="AK156" s="93"/>
      <c r="AL156" s="93"/>
      <c r="AM156" s="93"/>
      <c r="AN156" s="93"/>
      <c r="AO156" s="93"/>
      <c r="AP156" s="93"/>
      <c r="AQ156" s="93"/>
      <c r="AR156" s="93"/>
      <c r="AS156" s="20"/>
      <c r="AT156" s="25">
        <v>89</v>
      </c>
      <c r="AU156" s="97"/>
      <c r="AV156" s="1504">
        <v>39203</v>
      </c>
      <c r="AW156" s="19"/>
      <c r="AX156" s="93"/>
      <c r="AY156" s="93"/>
      <c r="AZ156" s="93"/>
      <c r="BA156" s="93"/>
      <c r="BB156" s="93"/>
      <c r="BC156" s="93"/>
      <c r="BD156" s="93"/>
      <c r="BE156" s="93"/>
      <c r="BF156" s="93"/>
      <c r="BG156" s="93"/>
      <c r="BH156" s="93"/>
      <c r="BI156" s="93"/>
      <c r="BJ156" s="20"/>
      <c r="BK156" s="25">
        <v>89</v>
      </c>
      <c r="BL156" s="97"/>
      <c r="BM156" s="1504">
        <v>39203</v>
      </c>
      <c r="BN156" s="19"/>
      <c r="BO156" s="93"/>
      <c r="BP156" s="93"/>
      <c r="BQ156" s="93"/>
      <c r="BR156" s="93"/>
      <c r="BS156" s="93"/>
      <c r="BT156" s="93"/>
      <c r="BU156" s="20"/>
      <c r="BV156" s="25">
        <v>89</v>
      </c>
      <c r="BW156" s="97"/>
      <c r="BX156" s="1504">
        <v>39203</v>
      </c>
      <c r="BY156" s="19"/>
      <c r="BZ156" s="99">
        <v>664.95699999999999</v>
      </c>
      <c r="CA156" s="93"/>
      <c r="CB156" s="93"/>
      <c r="CC156" s="93"/>
      <c r="CD156" s="25">
        <v>89</v>
      </c>
      <c r="CE156" s="97"/>
      <c r="CF156" s="1504">
        <v>39203</v>
      </c>
      <c r="CG156" s="19">
        <v>1.22466641</v>
      </c>
      <c r="CH156" s="1626">
        <v>667.31</v>
      </c>
      <c r="CI156" s="219"/>
      <c r="CJ156" s="20"/>
      <c r="CK156" s="19"/>
      <c r="CL156" s="93"/>
      <c r="CM156" s="93"/>
      <c r="CN156" s="93"/>
      <c r="CO156" s="93"/>
      <c r="CP156" s="20"/>
      <c r="CQ156" s="219">
        <v>1169.4100000000001</v>
      </c>
      <c r="CR156" s="93">
        <v>1.55</v>
      </c>
      <c r="CS156" s="93"/>
      <c r="CT156" s="93"/>
      <c r="CU156" s="93"/>
      <c r="CV156" s="214"/>
      <c r="CW156" s="29">
        <v>89</v>
      </c>
      <c r="CX156" s="41">
        <f t="shared" si="192"/>
        <v>2007</v>
      </c>
      <c r="CY156" s="1504">
        <v>39203</v>
      </c>
      <c r="CZ156" s="1916">
        <v>51.430541000000005</v>
      </c>
      <c r="DA156" s="1526">
        <v>34.094579000000003</v>
      </c>
      <c r="DB156" s="1526">
        <v>17.335961999999999</v>
      </c>
      <c r="DC156" s="182">
        <f t="shared" si="196"/>
        <v>288475</v>
      </c>
      <c r="DD156" s="182">
        <f t="shared" si="197"/>
        <v>287633</v>
      </c>
      <c r="DE156" s="182">
        <f t="shared" si="198"/>
        <v>842</v>
      </c>
      <c r="DF156" s="29">
        <v>89</v>
      </c>
      <c r="DG156" s="1504">
        <v>39203</v>
      </c>
      <c r="DH156" s="19"/>
      <c r="DI156" s="93"/>
      <c r="DJ156" s="93"/>
      <c r="DK156" s="93"/>
      <c r="DL156" s="93"/>
      <c r="DM156" s="93"/>
      <c r="DN156" s="20"/>
      <c r="DO156" s="25"/>
      <c r="DP156" s="29">
        <v>89</v>
      </c>
      <c r="DQ156" s="1504">
        <v>39203</v>
      </c>
      <c r="DR156" s="19"/>
      <c r="DS156" s="93"/>
      <c r="DT156" s="93"/>
      <c r="DU156" s="93"/>
      <c r="DV156" s="93"/>
      <c r="DW156" s="93"/>
      <c r="DX156" s="20"/>
      <c r="DY156" s="29">
        <v>89</v>
      </c>
      <c r="DZ156" s="1504">
        <v>39203</v>
      </c>
      <c r="EA156" s="19"/>
      <c r="EB156" s="93"/>
      <c r="EC156" s="20"/>
      <c r="ED156" s="29">
        <v>89</v>
      </c>
      <c r="EE156" s="1504">
        <v>39203</v>
      </c>
      <c r="EF156" s="19"/>
      <c r="EG156" s="93"/>
      <c r="EH156" s="93"/>
      <c r="EI156" s="214"/>
      <c r="EJ156" s="93"/>
      <c r="EK156" s="93"/>
      <c r="EL156" s="93"/>
      <c r="EM156" s="93"/>
      <c r="EN156" s="20"/>
      <c r="EO156" s="29">
        <v>89</v>
      </c>
      <c r="EP156" s="1504">
        <v>39203</v>
      </c>
      <c r="EQ156" s="19"/>
      <c r="ER156" s="93"/>
      <c r="ES156" s="93"/>
      <c r="ET156" s="214"/>
      <c r="EU156" s="93"/>
      <c r="EV156" s="93"/>
      <c r="EW156" s="93"/>
      <c r="EX156" s="93"/>
      <c r="EY156" s="20"/>
      <c r="EZ156" s="29">
        <v>89</v>
      </c>
      <c r="FA156" s="1504">
        <v>39203</v>
      </c>
      <c r="FB156" s="29"/>
      <c r="FC156" s="29"/>
      <c r="FD156" s="29"/>
      <c r="FE156" s="29"/>
      <c r="FF156" s="29"/>
      <c r="FG156" s="29"/>
      <c r="FH156" s="29"/>
      <c r="FI156" s="29"/>
      <c r="FJ156" s="29"/>
      <c r="FK156" s="29">
        <v>89</v>
      </c>
      <c r="FL156" s="1504">
        <v>39203</v>
      </c>
      <c r="FM156" s="19"/>
      <c r="FN156" s="93"/>
      <c r="FO156" s="93"/>
      <c r="FP156" s="93"/>
      <c r="FQ156" s="93"/>
      <c r="FR156" s="93"/>
      <c r="FS156" s="93"/>
      <c r="FT156" s="93"/>
      <c r="FU156" s="93"/>
      <c r="FV156" s="93"/>
      <c r="FW156" s="93"/>
      <c r="FX156" s="93"/>
      <c r="FY156" s="93"/>
      <c r="FZ156" s="29">
        <v>89</v>
      </c>
      <c r="GA156" s="1504">
        <v>39203</v>
      </c>
      <c r="GB156" s="19"/>
      <c r="GC156" s="93"/>
      <c r="GD156" s="93"/>
      <c r="GE156" s="93"/>
      <c r="GF156" s="93"/>
      <c r="GG156" s="93"/>
      <c r="GH156" s="93"/>
      <c r="GI156" s="93"/>
      <c r="GJ156" s="93"/>
      <c r="GK156" s="93"/>
      <c r="GL156" s="93"/>
      <c r="GM156" s="93"/>
      <c r="GN156" s="20"/>
      <c r="GO156" s="29">
        <v>89</v>
      </c>
      <c r="GP156" s="1504">
        <v>39203</v>
      </c>
      <c r="GQ156" s="19"/>
      <c r="GR156" s="93"/>
      <c r="GS156" s="93"/>
      <c r="GT156" s="93"/>
      <c r="GU156" s="93"/>
      <c r="GV156" s="20"/>
      <c r="GW156" s="19"/>
      <c r="GX156" s="93"/>
      <c r="GY156" s="93"/>
      <c r="GZ156" s="93"/>
      <c r="HA156" s="93"/>
      <c r="HB156" s="20"/>
      <c r="HC156" s="19"/>
      <c r="HD156" s="93"/>
      <c r="HE156" s="93"/>
      <c r="HF156" s="93"/>
      <c r="HG156" s="93"/>
      <c r="HH156" s="20"/>
      <c r="HI156" s="19"/>
      <c r="HJ156" s="93"/>
      <c r="HK156" s="93"/>
      <c r="HL156" s="93"/>
      <c r="HM156" s="93"/>
      <c r="HN156" s="20"/>
      <c r="HO156" s="219"/>
      <c r="HP156" s="20"/>
      <c r="HQ156" s="25"/>
      <c r="HR156" s="29">
        <v>89</v>
      </c>
      <c r="HS156" s="1504">
        <v>39203</v>
      </c>
      <c r="HT156" s="179">
        <v>126.49337577819824</v>
      </c>
      <c r="HU156" s="99">
        <v>146.00243949890137</v>
      </c>
      <c r="HV156" s="99">
        <v>103.58392143249512</v>
      </c>
      <c r="HW156" s="99">
        <v>109.22330474853516</v>
      </c>
      <c r="HX156" s="99">
        <v>103.36700134277343</v>
      </c>
      <c r="HY156" s="99">
        <v>122.74096298217773</v>
      </c>
      <c r="HZ156" s="99">
        <v>126.91490745544434</v>
      </c>
      <c r="IA156" s="132">
        <v>107.74193725585937</v>
      </c>
      <c r="IB156" s="179">
        <v>101.37930755615234</v>
      </c>
      <c r="IC156" s="99">
        <v>75.3865966796875</v>
      </c>
      <c r="ID156" s="99"/>
      <c r="IE156" s="99">
        <v>89.225588480631515</v>
      </c>
      <c r="IF156" s="99">
        <v>100.34408874511719</v>
      </c>
      <c r="IG156" s="132">
        <v>87.5</v>
      </c>
      <c r="IH156" s="179">
        <v>71.491866111755371</v>
      </c>
      <c r="II156" s="99">
        <v>123.97540855407715</v>
      </c>
      <c r="IJ156" s="99">
        <v>83.333335876464844</v>
      </c>
      <c r="IK156" s="99">
        <v>96.028880310058597</v>
      </c>
      <c r="IL156" s="99">
        <v>81.576306343078613</v>
      </c>
      <c r="IM156" s="99">
        <v>91.503271484375006</v>
      </c>
      <c r="IN156" s="93"/>
      <c r="IO156" s="132">
        <v>99.908351898193359</v>
      </c>
      <c r="IP156" s="29">
        <v>89</v>
      </c>
      <c r="IQ156" s="19"/>
      <c r="IR156" s="93"/>
      <c r="IS156" s="93"/>
      <c r="IT156" s="93"/>
      <c r="IU156" s="93"/>
      <c r="IV156" s="20"/>
      <c r="IW156" s="29">
        <v>89</v>
      </c>
      <c r="IX156" s="19"/>
      <c r="IY156" s="93"/>
      <c r="IZ156" s="93"/>
      <c r="JA156" s="93"/>
      <c r="JB156" s="93"/>
      <c r="JC156" s="93"/>
      <c r="JD156" s="93"/>
      <c r="JE156" s="20"/>
      <c r="JF156" s="29">
        <v>89</v>
      </c>
      <c r="JG156" s="19"/>
      <c r="JH156" s="93"/>
      <c r="JI156" s="93"/>
      <c r="JJ156" s="93"/>
      <c r="JK156" s="93"/>
      <c r="JL156" s="93"/>
      <c r="JM156" s="93"/>
      <c r="JN156" s="20"/>
      <c r="JO156" s="29">
        <v>89</v>
      </c>
      <c r="JP156" s="19"/>
      <c r="JQ156" s="93"/>
      <c r="JR156" s="93"/>
      <c r="JS156" s="93"/>
      <c r="JT156" s="93"/>
      <c r="JU156" s="20"/>
      <c r="JV156" s="29">
        <v>89</v>
      </c>
      <c r="JW156" s="1504">
        <v>39203</v>
      </c>
      <c r="JX156" s="19"/>
      <c r="JY156" s="93"/>
      <c r="JZ156" s="93"/>
      <c r="KA156" s="93"/>
      <c r="KB156" s="93"/>
      <c r="KC156" s="93"/>
      <c r="KD156" s="20"/>
      <c r="KE156" s="29">
        <v>89</v>
      </c>
      <c r="KF156" s="19"/>
      <c r="KG156" s="93"/>
      <c r="KH156" s="93"/>
      <c r="KI156" s="93"/>
      <c r="KJ156" s="93"/>
      <c r="KK156" s="20"/>
      <c r="KL156" s="29">
        <v>89</v>
      </c>
      <c r="KM156" s="19"/>
      <c r="KN156" s="93"/>
      <c r="KO156" s="93"/>
      <c r="KP156" s="93"/>
      <c r="KQ156" s="93"/>
      <c r="KR156" s="20"/>
      <c r="KS156" s="29">
        <v>89</v>
      </c>
      <c r="KT156" s="19"/>
      <c r="KU156" s="93"/>
      <c r="KV156" s="93"/>
      <c r="KW156" s="93"/>
      <c r="KX156" s="93"/>
      <c r="KY156" s="20"/>
      <c r="KZ156" s="29">
        <v>89</v>
      </c>
      <c r="LA156" s="1504">
        <v>39203</v>
      </c>
      <c r="LB156" s="19"/>
      <c r="LC156" s="93"/>
      <c r="LD156" s="93"/>
      <c r="LE156" s="93"/>
      <c r="LF156" s="93"/>
      <c r="LG156" s="93"/>
      <c r="LH156" s="20"/>
      <c r="LI156" s="29">
        <v>89</v>
      </c>
      <c r="LJ156" s="19"/>
      <c r="LK156" s="93"/>
      <c r="LL156" s="93"/>
      <c r="LM156" s="93"/>
      <c r="LN156" s="93"/>
      <c r="LO156" s="20"/>
      <c r="LP156" s="29">
        <v>89</v>
      </c>
      <c r="LQ156" s="19"/>
      <c r="LR156" s="93"/>
      <c r="LS156" s="93"/>
      <c r="LT156" s="93"/>
      <c r="LU156" s="93"/>
      <c r="LV156" s="93"/>
      <c r="LW156" s="93"/>
      <c r="LX156" s="93"/>
      <c r="LY156" s="93"/>
      <c r="LZ156" s="93"/>
      <c r="MA156" s="20"/>
      <c r="MB156" s="29">
        <v>89</v>
      </c>
      <c r="MC156" s="1504">
        <v>39203</v>
      </c>
      <c r="MD156" s="19"/>
      <c r="ME156" s="93"/>
      <c r="MF156" s="93"/>
      <c r="MG156" s="93"/>
      <c r="MH156" s="93"/>
      <c r="MI156" s="93"/>
      <c r="MJ156" s="93"/>
      <c r="MK156" s="93"/>
      <c r="ML156" s="93"/>
      <c r="MM156" s="93"/>
      <c r="MN156" s="93"/>
      <c r="MO156" s="93"/>
      <c r="MP156" s="93"/>
      <c r="MQ156" s="93"/>
      <c r="MR156" s="93"/>
      <c r="MS156" s="93"/>
      <c r="MT156" s="93"/>
      <c r="MU156" s="93"/>
      <c r="MV156" s="93"/>
      <c r="MW156" s="93"/>
      <c r="MX156" s="93"/>
      <c r="MY156" s="93"/>
      <c r="MZ156" s="93"/>
      <c r="NA156" s="93"/>
      <c r="NB156" s="93"/>
      <c r="NC156" s="93"/>
      <c r="ND156" s="93"/>
      <c r="NE156" s="93"/>
      <c r="NF156" s="93"/>
      <c r="NG156" s="93"/>
      <c r="NH156" s="93"/>
      <c r="NI156" s="93"/>
      <c r="NJ156" s="93"/>
      <c r="NK156" s="93"/>
      <c r="NL156" s="93"/>
      <c r="NM156" s="93"/>
      <c r="NN156" s="93"/>
      <c r="NO156" s="93"/>
      <c r="NP156" s="93"/>
      <c r="NQ156" s="93"/>
      <c r="NR156" s="93"/>
      <c r="NS156" s="93"/>
      <c r="NT156" s="93"/>
      <c r="NU156" s="93"/>
      <c r="NV156" s="93"/>
      <c r="NW156" s="93"/>
      <c r="NX156" s="93"/>
      <c r="NY156" s="93"/>
      <c r="NZ156" s="93"/>
      <c r="OA156" s="93"/>
      <c r="OB156" s="93"/>
      <c r="OC156" s="93"/>
      <c r="OD156" s="20"/>
      <c r="OE156" s="29">
        <v>89</v>
      </c>
      <c r="OF156" s="1504">
        <v>39203</v>
      </c>
      <c r="OG156" s="19"/>
      <c r="OH156" s="93">
        <v>204.31729999999999</v>
      </c>
      <c r="OI156" s="93">
        <v>303.40050709531278</v>
      </c>
      <c r="OJ156" s="93">
        <v>0.425532823</v>
      </c>
      <c r="OK156" s="93">
        <v>250.33217427231276</v>
      </c>
      <c r="OL156" s="93">
        <v>52.642800000000001</v>
      </c>
      <c r="OM156" s="93">
        <v>507.71780709531276</v>
      </c>
      <c r="ON156" s="93">
        <v>253.77383048183074</v>
      </c>
      <c r="OO156" s="93">
        <v>761.49163757714348</v>
      </c>
      <c r="OP156" s="93"/>
      <c r="OQ156" s="93">
        <v>423.03418870436479</v>
      </c>
      <c r="OR156" s="93">
        <v>376.13233313199999</v>
      </c>
      <c r="OS156" s="93">
        <v>46.901855572364852</v>
      </c>
      <c r="OT156" s="93">
        <v>417.58433197977865</v>
      </c>
      <c r="OU156" s="93">
        <v>-164.59189462399999</v>
      </c>
      <c r="OV156" s="93">
        <v>-63.516894623999995</v>
      </c>
      <c r="OW156" s="93">
        <v>-101.075</v>
      </c>
      <c r="OX156" s="93">
        <v>582.17622660377867</v>
      </c>
      <c r="OY156" s="93">
        <v>2.3850774220000002</v>
      </c>
      <c r="OZ156" s="93">
        <v>579.79114918177868</v>
      </c>
      <c r="PA156" s="93">
        <v>116.67177434499999</v>
      </c>
      <c r="PB156" s="93">
        <v>-37.544891237999984</v>
      </c>
      <c r="PC156" s="20">
        <v>761.49163757714348</v>
      </c>
      <c r="PD156" s="29">
        <v>89</v>
      </c>
      <c r="PE156" s="19"/>
      <c r="PF156" s="93">
        <v>376.13233313199999</v>
      </c>
      <c r="PG156" s="93">
        <v>450.62387171099999</v>
      </c>
      <c r="PH156" s="93">
        <v>74.491538579000007</v>
      </c>
      <c r="PI156" s="93">
        <v>14.49</v>
      </c>
      <c r="PJ156" s="93">
        <v>-63.516894623999995</v>
      </c>
      <c r="PK156" s="93">
        <v>39.370126793000004</v>
      </c>
      <c r="PL156" s="93">
        <v>102.887021417</v>
      </c>
      <c r="PM156" s="93">
        <v>2.3850774220000002</v>
      </c>
      <c r="PN156" s="93">
        <v>0</v>
      </c>
      <c r="PO156" s="93">
        <v>0</v>
      </c>
      <c r="PP156" s="93">
        <v>2.6932600000000002E-4</v>
      </c>
      <c r="PQ156" s="93">
        <v>2.384808096</v>
      </c>
      <c r="PR156" s="93">
        <v>333.06533905600003</v>
      </c>
      <c r="PS156" s="93">
        <v>223.28229999999999</v>
      </c>
      <c r="PT156" s="93">
        <v>109.357506233</v>
      </c>
      <c r="PU156" s="93">
        <v>0.425532823</v>
      </c>
      <c r="PV156" s="93">
        <v>0</v>
      </c>
      <c r="PW156" s="93">
        <v>1.3518322250000001</v>
      </c>
      <c r="PX156" s="93">
        <v>0</v>
      </c>
      <c r="PY156" s="93">
        <v>0</v>
      </c>
      <c r="PZ156" s="93">
        <v>1.3518322250000001</v>
      </c>
      <c r="QA156" s="93">
        <v>0</v>
      </c>
      <c r="QB156" s="93">
        <v>0</v>
      </c>
      <c r="QC156" s="93">
        <v>0</v>
      </c>
      <c r="QD156" s="93">
        <v>-3.1280578800000001</v>
      </c>
      <c r="QE156" s="20">
        <v>-1.7985974710000001</v>
      </c>
      <c r="QF156" s="1739">
        <v>89</v>
      </c>
      <c r="QG156" s="19"/>
      <c r="QH156" s="1035">
        <v>46.901855572364852</v>
      </c>
      <c r="QI156" s="1035">
        <v>153.11785081822137</v>
      </c>
      <c r="QJ156" s="1035">
        <v>-106.21599524585652</v>
      </c>
      <c r="QK156" s="1035">
        <v>121.116</v>
      </c>
      <c r="QL156" s="1035">
        <v>18.965</v>
      </c>
      <c r="QM156" s="1035">
        <v>102.151</v>
      </c>
      <c r="QN156" s="1035">
        <v>0</v>
      </c>
      <c r="QO156" s="1035">
        <v>-101.075</v>
      </c>
      <c r="QP156" s="1035">
        <v>14.152000000000001</v>
      </c>
      <c r="QQ156" s="1035">
        <v>-115.227</v>
      </c>
      <c r="QR156" s="1035">
        <v>579.79114918177868</v>
      </c>
      <c r="QS156" s="1035">
        <v>10.526774340408107</v>
      </c>
      <c r="QT156" s="1035">
        <v>0</v>
      </c>
      <c r="QU156" s="1035">
        <v>75.274000000000001</v>
      </c>
      <c r="QV156" s="1035">
        <v>493.99037484137057</v>
      </c>
      <c r="QW156" s="93"/>
      <c r="QX156" s="93">
        <v>14.249000000000001</v>
      </c>
      <c r="QY156" s="93">
        <v>250.33217427231276</v>
      </c>
      <c r="QZ156" s="93">
        <v>253.77383048183071</v>
      </c>
      <c r="RA156" s="93">
        <v>0</v>
      </c>
      <c r="RB156" s="93">
        <v>21.221</v>
      </c>
      <c r="RC156" s="93">
        <v>2.004</v>
      </c>
      <c r="RD156" s="93">
        <v>10.554</v>
      </c>
      <c r="RE156" s="93">
        <v>0</v>
      </c>
      <c r="RF156" s="93">
        <v>0</v>
      </c>
      <c r="RG156" s="93">
        <v>84.668999999999997</v>
      </c>
      <c r="RH156" s="93">
        <v>9.9310000000000116</v>
      </c>
      <c r="RI156" s="93"/>
      <c r="RJ156" s="93"/>
      <c r="RK156" s="93"/>
      <c r="RL156" s="93"/>
      <c r="RM156" s="20"/>
      <c r="RN156" s="29">
        <v>89</v>
      </c>
      <c r="RO156" s="19"/>
      <c r="RP156" s="20"/>
      <c r="RQ156" s="29">
        <v>89</v>
      </c>
      <c r="RR156" s="20"/>
      <c r="RS156" s="29">
        <v>89</v>
      </c>
      <c r="RT156" s="1504">
        <v>39203</v>
      </c>
      <c r="RU156" s="19"/>
      <c r="RV156" s="20"/>
      <c r="RW156" s="29">
        <v>89</v>
      </c>
      <c r="RX156" s="1504">
        <v>39203</v>
      </c>
      <c r="RY156" s="29"/>
      <c r="RZ156" s="20"/>
      <c r="SA156" s="29"/>
      <c r="SB156" s="29">
        <v>89</v>
      </c>
    </row>
    <row r="157" spans="1:496">
      <c r="A157" s="41">
        <f t="shared" si="191"/>
        <v>2007</v>
      </c>
      <c r="B157" s="1504">
        <v>39234</v>
      </c>
      <c r="C157" s="1813"/>
      <c r="D157" s="1814"/>
      <c r="E157" s="1814"/>
      <c r="F157" s="1815"/>
      <c r="G157" s="1814"/>
      <c r="H157" s="1814"/>
      <c r="I157" s="1814"/>
      <c r="J157" s="1816"/>
      <c r="K157" s="1807"/>
      <c r="L157" s="25">
        <v>90</v>
      </c>
      <c r="M157" s="97"/>
      <c r="N157" s="1504">
        <v>39234</v>
      </c>
      <c r="O157" s="19"/>
      <c r="P157" s="93"/>
      <c r="Q157" s="93"/>
      <c r="R157" s="93"/>
      <c r="S157" s="93"/>
      <c r="T157" s="93"/>
      <c r="U157" s="93"/>
      <c r="V157" s="93"/>
      <c r="W157" s="93"/>
      <c r="X157" s="93"/>
      <c r="Y157" s="93"/>
      <c r="Z157" s="93"/>
      <c r="AA157" s="93"/>
      <c r="AB157" s="20"/>
      <c r="AC157" s="25">
        <v>90</v>
      </c>
      <c r="AD157" s="97"/>
      <c r="AE157" s="1504">
        <v>39234</v>
      </c>
      <c r="AF157" s="19"/>
      <c r="AG157" s="93"/>
      <c r="AH157" s="93"/>
      <c r="AI157" s="93"/>
      <c r="AJ157" s="93"/>
      <c r="AK157" s="93"/>
      <c r="AL157" s="93"/>
      <c r="AM157" s="93"/>
      <c r="AN157" s="93"/>
      <c r="AO157" s="93"/>
      <c r="AP157" s="93"/>
      <c r="AQ157" s="93"/>
      <c r="AR157" s="93"/>
      <c r="AS157" s="20"/>
      <c r="AT157" s="25">
        <v>90</v>
      </c>
      <c r="AU157" s="97"/>
      <c r="AV157" s="1504">
        <v>39234</v>
      </c>
      <c r="AW157" s="19"/>
      <c r="AX157" s="93"/>
      <c r="AY157" s="93"/>
      <c r="AZ157" s="93"/>
      <c r="BA157" s="93"/>
      <c r="BB157" s="93"/>
      <c r="BC157" s="93"/>
      <c r="BD157" s="93"/>
      <c r="BE157" s="93"/>
      <c r="BF157" s="93"/>
      <c r="BG157" s="93"/>
      <c r="BH157" s="93"/>
      <c r="BI157" s="93"/>
      <c r="BJ157" s="20"/>
      <c r="BK157" s="25">
        <v>90</v>
      </c>
      <c r="BL157" s="97"/>
      <c r="BM157" s="1504">
        <v>39234</v>
      </c>
      <c r="BN157" s="19"/>
      <c r="BO157" s="93"/>
      <c r="BP157" s="93"/>
      <c r="BQ157" s="93"/>
      <c r="BR157" s="93"/>
      <c r="BS157" s="93"/>
      <c r="BT157" s="93"/>
      <c r="BU157" s="20"/>
      <c r="BV157" s="25">
        <v>90</v>
      </c>
      <c r="BW157" s="97"/>
      <c r="BX157" s="1504">
        <v>39234</v>
      </c>
      <c r="BY157" s="19"/>
      <c r="BZ157" s="99">
        <v>664.95699999999999</v>
      </c>
      <c r="CA157" s="93"/>
      <c r="CB157" s="93"/>
      <c r="CC157" s="93"/>
      <c r="CD157" s="25">
        <v>90</v>
      </c>
      <c r="CE157" s="97"/>
      <c r="CF157" s="1504">
        <v>39234</v>
      </c>
      <c r="CG157" s="19">
        <v>1.33599972</v>
      </c>
      <c r="CH157" s="1626">
        <v>655.66</v>
      </c>
      <c r="CI157" s="219"/>
      <c r="CJ157" s="20"/>
      <c r="CK157" s="19"/>
      <c r="CL157" s="93"/>
      <c r="CM157" s="93"/>
      <c r="CN157" s="93"/>
      <c r="CO157" s="93"/>
      <c r="CP157" s="20"/>
      <c r="CQ157" s="219">
        <v>1268.18</v>
      </c>
      <c r="CR157" s="93">
        <v>1.6575</v>
      </c>
      <c r="CS157" s="93"/>
      <c r="CT157" s="93"/>
      <c r="CU157" s="93"/>
      <c r="CV157" s="214"/>
      <c r="CW157" s="29">
        <v>90</v>
      </c>
      <c r="CX157" s="41">
        <f t="shared" si="192"/>
        <v>2007</v>
      </c>
      <c r="CY157" s="1504">
        <v>39234</v>
      </c>
      <c r="CZ157" s="1916">
        <v>54.109115000000003</v>
      </c>
      <c r="DA157" s="1526">
        <v>32.169840000000001</v>
      </c>
      <c r="DB157" s="1526">
        <v>21.939274999999999</v>
      </c>
      <c r="DC157" s="182">
        <f t="shared" si="196"/>
        <v>288475</v>
      </c>
      <c r="DD157" s="182">
        <f t="shared" si="197"/>
        <v>287633</v>
      </c>
      <c r="DE157" s="182">
        <f t="shared" si="198"/>
        <v>842</v>
      </c>
      <c r="DF157" s="29">
        <v>90</v>
      </c>
      <c r="DG157" s="1504">
        <v>39234</v>
      </c>
      <c r="DH157" s="19"/>
      <c r="DI157" s="93"/>
      <c r="DJ157" s="93"/>
      <c r="DK157" s="93"/>
      <c r="DL157" s="93"/>
      <c r="DM157" s="93"/>
      <c r="DN157" s="20"/>
      <c r="DO157" s="25"/>
      <c r="DP157" s="29">
        <v>90</v>
      </c>
      <c r="DQ157" s="1504">
        <v>39234</v>
      </c>
      <c r="DR157" s="19"/>
      <c r="DS157" s="93"/>
      <c r="DT157" s="93"/>
      <c r="DU157" s="93"/>
      <c r="DV157" s="93"/>
      <c r="DW157" s="93"/>
      <c r="DX157" s="20"/>
      <c r="DY157" s="29">
        <v>90</v>
      </c>
      <c r="DZ157" s="1504">
        <v>39234</v>
      </c>
      <c r="EA157" s="19"/>
      <c r="EB157" s="93"/>
      <c r="EC157" s="20"/>
      <c r="ED157" s="29">
        <v>90</v>
      </c>
      <c r="EE157" s="1504">
        <v>39234</v>
      </c>
      <c r="EF157" s="19"/>
      <c r="EG157" s="93"/>
      <c r="EH157" s="93"/>
      <c r="EI157" s="214"/>
      <c r="EJ157" s="93"/>
      <c r="EK157" s="93"/>
      <c r="EL157" s="93"/>
      <c r="EM157" s="93"/>
      <c r="EN157" s="20"/>
      <c r="EO157" s="29">
        <v>90</v>
      </c>
      <c r="EP157" s="1504">
        <v>39234</v>
      </c>
      <c r="EQ157" s="19"/>
      <c r="ER157" s="93"/>
      <c r="ES157" s="93"/>
      <c r="ET157" s="214"/>
      <c r="EU157" s="93"/>
      <c r="EV157" s="93"/>
      <c r="EW157" s="93"/>
      <c r="EX157" s="93"/>
      <c r="EY157" s="20"/>
      <c r="EZ157" s="29">
        <v>90</v>
      </c>
      <c r="FA157" s="1504">
        <v>39234</v>
      </c>
      <c r="FB157" s="29"/>
      <c r="FC157" s="29"/>
      <c r="FD157" s="29"/>
      <c r="FE157" s="29"/>
      <c r="FF157" s="29"/>
      <c r="FG157" s="29"/>
      <c r="FH157" s="29"/>
      <c r="FI157" s="29"/>
      <c r="FJ157" s="29"/>
      <c r="FK157" s="29">
        <v>90</v>
      </c>
      <c r="FL157" s="1504">
        <v>39234</v>
      </c>
      <c r="FM157" s="19"/>
      <c r="FN157" s="93"/>
      <c r="FO157" s="93"/>
      <c r="FP157" s="93"/>
      <c r="FQ157" s="93"/>
      <c r="FR157" s="93"/>
      <c r="FS157" s="93"/>
      <c r="FT157" s="93"/>
      <c r="FU157" s="93"/>
      <c r="FV157" s="93"/>
      <c r="FW157" s="93"/>
      <c r="FX157" s="93"/>
      <c r="FY157" s="93"/>
      <c r="FZ157" s="29">
        <v>90</v>
      </c>
      <c r="GA157" s="1504">
        <v>39234</v>
      </c>
      <c r="GB157" s="19"/>
      <c r="GC157" s="93"/>
      <c r="GD157" s="93"/>
      <c r="GE157" s="93"/>
      <c r="GF157" s="93"/>
      <c r="GG157" s="93"/>
      <c r="GH157" s="93"/>
      <c r="GI157" s="93"/>
      <c r="GJ157" s="93"/>
      <c r="GK157" s="93"/>
      <c r="GL157" s="93"/>
      <c r="GM157" s="93"/>
      <c r="GN157" s="20"/>
      <c r="GO157" s="29">
        <v>90</v>
      </c>
      <c r="GP157" s="1504">
        <v>39234</v>
      </c>
      <c r="GQ157" s="19"/>
      <c r="GR157" s="93"/>
      <c r="GS157" s="93"/>
      <c r="GT157" s="93"/>
      <c r="GU157" s="93"/>
      <c r="GV157" s="20"/>
      <c r="GW157" s="19"/>
      <c r="GX157" s="93"/>
      <c r="GY157" s="93"/>
      <c r="GZ157" s="93"/>
      <c r="HA157" s="93"/>
      <c r="HB157" s="20"/>
      <c r="HC157" s="19"/>
      <c r="HD157" s="93"/>
      <c r="HE157" s="93"/>
      <c r="HF157" s="93"/>
      <c r="HG157" s="93"/>
      <c r="HH157" s="20"/>
      <c r="HI157" s="19"/>
      <c r="HJ157" s="93"/>
      <c r="HK157" s="93"/>
      <c r="HL157" s="93"/>
      <c r="HM157" s="93"/>
      <c r="HN157" s="20"/>
      <c r="HO157" s="219"/>
      <c r="HP157" s="20"/>
      <c r="HQ157" s="25"/>
      <c r="HR157" s="29">
        <v>90</v>
      </c>
      <c r="HS157" s="1504">
        <v>39234</v>
      </c>
      <c r="HT157" s="179">
        <v>123.71335887908936</v>
      </c>
      <c r="HU157" s="99">
        <v>143.40437469482421</v>
      </c>
      <c r="HV157" s="99">
        <v>92.905403137207031</v>
      </c>
      <c r="HW157" s="99">
        <v>109.22330474853516</v>
      </c>
      <c r="HX157" s="99">
        <v>103.95622825622559</v>
      </c>
      <c r="HY157" s="99">
        <v>114.9598388671875</v>
      </c>
      <c r="HZ157" s="99">
        <v>126.13430023193359</v>
      </c>
      <c r="IA157" s="132">
        <v>103.03514289855957</v>
      </c>
      <c r="IB157" s="179">
        <v>103.35689544677734</v>
      </c>
      <c r="IC157" s="99">
        <v>75.409835815429688</v>
      </c>
      <c r="ID157" s="99">
        <v>96.774192810058594</v>
      </c>
      <c r="IE157" s="99">
        <v>83.333335876464844</v>
      </c>
      <c r="IF157" s="99">
        <v>95.186492919921875</v>
      </c>
      <c r="IG157" s="132">
        <v>90.673576354980469</v>
      </c>
      <c r="IH157" s="179">
        <v>70.066564559936523</v>
      </c>
      <c r="II157" s="99">
        <v>120.72483825683594</v>
      </c>
      <c r="IJ157" s="99">
        <v>83.333335876464844</v>
      </c>
      <c r="IK157" s="99">
        <v>90.252708435058594</v>
      </c>
      <c r="IL157" s="99">
        <v>82.329319000244141</v>
      </c>
      <c r="IM157" s="99">
        <v>86.234176635742188</v>
      </c>
      <c r="IN157" s="93"/>
      <c r="IO157" s="132">
        <v>102.26304626464844</v>
      </c>
      <c r="IP157" s="29">
        <v>90</v>
      </c>
      <c r="IQ157" s="19"/>
      <c r="IR157" s="93"/>
      <c r="IS157" s="93"/>
      <c r="IT157" s="93"/>
      <c r="IU157" s="93"/>
      <c r="IV157" s="20"/>
      <c r="IW157" s="29">
        <v>90</v>
      </c>
      <c r="IX157" s="19"/>
      <c r="IY157" s="93"/>
      <c r="IZ157" s="93"/>
      <c r="JA157" s="93"/>
      <c r="JB157" s="93"/>
      <c r="JC157" s="93"/>
      <c r="JD157" s="93"/>
      <c r="JE157" s="20"/>
      <c r="JF157" s="29">
        <v>90</v>
      </c>
      <c r="JG157" s="19"/>
      <c r="JH157" s="93"/>
      <c r="JI157" s="93"/>
      <c r="JJ157" s="93"/>
      <c r="JK157" s="93"/>
      <c r="JL157" s="93"/>
      <c r="JM157" s="93"/>
      <c r="JN157" s="20"/>
      <c r="JO157" s="29">
        <v>90</v>
      </c>
      <c r="JP157" s="19"/>
      <c r="JQ157" s="93"/>
      <c r="JR157" s="93"/>
      <c r="JS157" s="93"/>
      <c r="JT157" s="93"/>
      <c r="JU157" s="20"/>
      <c r="JV157" s="29">
        <v>90</v>
      </c>
      <c r="JW157" s="1504">
        <v>39234</v>
      </c>
      <c r="JX157" s="19"/>
      <c r="JY157" s="93"/>
      <c r="JZ157" s="93"/>
      <c r="KA157" s="93"/>
      <c r="KB157" s="93"/>
      <c r="KC157" s="93"/>
      <c r="KD157" s="20"/>
      <c r="KE157" s="29">
        <v>90</v>
      </c>
      <c r="KF157" s="19"/>
      <c r="KG157" s="93"/>
      <c r="KH157" s="93"/>
      <c r="KI157" s="93"/>
      <c r="KJ157" s="93"/>
      <c r="KK157" s="20"/>
      <c r="KL157" s="29">
        <v>90</v>
      </c>
      <c r="KM157" s="19"/>
      <c r="KN157" s="93"/>
      <c r="KO157" s="93"/>
      <c r="KP157" s="93"/>
      <c r="KQ157" s="93"/>
      <c r="KR157" s="20"/>
      <c r="KS157" s="29">
        <v>90</v>
      </c>
      <c r="KT157" s="19"/>
      <c r="KU157" s="93"/>
      <c r="KV157" s="93"/>
      <c r="KW157" s="93"/>
      <c r="KX157" s="93"/>
      <c r="KY157" s="20"/>
      <c r="KZ157" s="29">
        <v>90</v>
      </c>
      <c r="LA157" s="1504">
        <v>39234</v>
      </c>
      <c r="LB157" s="19"/>
      <c r="LC157" s="93"/>
      <c r="LD157" s="93"/>
      <c r="LE157" s="93"/>
      <c r="LF157" s="93"/>
      <c r="LG157" s="93"/>
      <c r="LH157" s="20"/>
      <c r="LI157" s="29">
        <v>90</v>
      </c>
      <c r="LJ157" s="19"/>
      <c r="LK157" s="93"/>
      <c r="LL157" s="93"/>
      <c r="LM157" s="93"/>
      <c r="LN157" s="93"/>
      <c r="LO157" s="20"/>
      <c r="LP157" s="29">
        <v>90</v>
      </c>
      <c r="LQ157" s="19"/>
      <c r="LR157" s="93"/>
      <c r="LS157" s="93"/>
      <c r="LT157" s="93"/>
      <c r="LU157" s="93"/>
      <c r="LV157" s="93"/>
      <c r="LW157" s="93"/>
      <c r="LX157" s="93"/>
      <c r="LY157" s="93"/>
      <c r="LZ157" s="93"/>
      <c r="MA157" s="20"/>
      <c r="MB157" s="29">
        <v>90</v>
      </c>
      <c r="MC157" s="1504">
        <v>39234</v>
      </c>
      <c r="MD157" s="19"/>
      <c r="ME157" s="93"/>
      <c r="MF157" s="93"/>
      <c r="MG157" s="93"/>
      <c r="MH157" s="93"/>
      <c r="MI157" s="93"/>
      <c r="MJ157" s="93"/>
      <c r="MK157" s="93"/>
      <c r="ML157" s="93"/>
      <c r="MM157" s="93"/>
      <c r="MN157" s="93"/>
      <c r="MO157" s="93"/>
      <c r="MP157" s="93"/>
      <c r="MQ157" s="93"/>
      <c r="MR157" s="93"/>
      <c r="MS157" s="93"/>
      <c r="MT157" s="93"/>
      <c r="MU157" s="93"/>
      <c r="MV157" s="93"/>
      <c r="MW157" s="93"/>
      <c r="MX157" s="93"/>
      <c r="MY157" s="93"/>
      <c r="MZ157" s="93"/>
      <c r="NA157" s="93"/>
      <c r="NB157" s="93"/>
      <c r="NC157" s="93"/>
      <c r="ND157" s="93"/>
      <c r="NE157" s="93"/>
      <c r="NF157" s="93"/>
      <c r="NG157" s="93"/>
      <c r="NH157" s="93"/>
      <c r="NI157" s="93"/>
      <c r="NJ157" s="93"/>
      <c r="NK157" s="93"/>
      <c r="NL157" s="93"/>
      <c r="NM157" s="93"/>
      <c r="NN157" s="93"/>
      <c r="NO157" s="93"/>
      <c r="NP157" s="93"/>
      <c r="NQ157" s="93"/>
      <c r="NR157" s="93"/>
      <c r="NS157" s="93"/>
      <c r="NT157" s="93"/>
      <c r="NU157" s="93"/>
      <c r="NV157" s="93"/>
      <c r="NW157" s="93"/>
      <c r="NX157" s="93"/>
      <c r="NY157" s="93"/>
      <c r="NZ157" s="93"/>
      <c r="OA157" s="93"/>
      <c r="OB157" s="93"/>
      <c r="OC157" s="93"/>
      <c r="OD157" s="20"/>
      <c r="OE157" s="29">
        <v>90</v>
      </c>
      <c r="OF157" s="1504">
        <v>39234</v>
      </c>
      <c r="OG157" s="19"/>
      <c r="OH157" s="93">
        <v>197.90710000000001</v>
      </c>
      <c r="OI157" s="93">
        <v>306.76520738338809</v>
      </c>
      <c r="OJ157" s="93">
        <v>0.37045149799999999</v>
      </c>
      <c r="OK157" s="93">
        <v>253.34735588538808</v>
      </c>
      <c r="OL157" s="93">
        <v>53.047399999999996</v>
      </c>
      <c r="OM157" s="93">
        <v>504.6723073833881</v>
      </c>
      <c r="ON157" s="93">
        <v>263.66158614185491</v>
      </c>
      <c r="OO157" s="93">
        <v>768.33389352524296</v>
      </c>
      <c r="OP157" s="93"/>
      <c r="OQ157" s="93">
        <v>459.498835316775</v>
      </c>
      <c r="OR157" s="93">
        <v>385.62513886400001</v>
      </c>
      <c r="OS157" s="93">
        <v>73.873696452775022</v>
      </c>
      <c r="OT157" s="93">
        <v>389.71592628146811</v>
      </c>
      <c r="OU157" s="93">
        <v>-169.26929519000001</v>
      </c>
      <c r="OV157" s="93">
        <v>-83.713295189999997</v>
      </c>
      <c r="OW157" s="93">
        <v>-85.556000000000012</v>
      </c>
      <c r="OX157" s="93">
        <v>558.98522147146809</v>
      </c>
      <c r="OY157" s="93">
        <v>2.4069758969999997</v>
      </c>
      <c r="OZ157" s="93">
        <v>556.57824557446804</v>
      </c>
      <c r="PA157" s="93">
        <v>111.92254496699989</v>
      </c>
      <c r="PB157" s="93">
        <v>-31.041676894000002</v>
      </c>
      <c r="PC157" s="20">
        <v>768.33389352524318</v>
      </c>
      <c r="PD157" s="29">
        <v>90</v>
      </c>
      <c r="PE157" s="19"/>
      <c r="PF157" s="93">
        <v>385.62513886400001</v>
      </c>
      <c r="PG157" s="93">
        <v>458.22634375199999</v>
      </c>
      <c r="PH157" s="93">
        <v>72.601204887999998</v>
      </c>
      <c r="PI157" s="93">
        <v>8.99</v>
      </c>
      <c r="PJ157" s="93">
        <v>-83.713295189999997</v>
      </c>
      <c r="PK157" s="93">
        <v>39.391933236</v>
      </c>
      <c r="PL157" s="93">
        <v>123.105228426</v>
      </c>
      <c r="PM157" s="93">
        <v>2.4069758969999997</v>
      </c>
      <c r="PN157" s="93">
        <v>0</v>
      </c>
      <c r="PO157" s="93">
        <v>0</v>
      </c>
      <c r="PP157" s="93">
        <v>3.7005000000000002E-5</v>
      </c>
      <c r="PQ157" s="93">
        <v>2.4069388919999999</v>
      </c>
      <c r="PR157" s="93">
        <v>317.80350266600004</v>
      </c>
      <c r="PS157" s="93">
        <v>215.63310000000001</v>
      </c>
      <c r="PT157" s="93">
        <v>101.79995116800001</v>
      </c>
      <c r="PU157" s="93">
        <v>0.37045149799999999</v>
      </c>
      <c r="PV157" s="93">
        <v>0</v>
      </c>
      <c r="PW157" s="93">
        <v>0.27254021099999998</v>
      </c>
      <c r="PX157" s="93">
        <v>0</v>
      </c>
      <c r="PY157" s="93">
        <v>0</v>
      </c>
      <c r="PZ157" s="93">
        <v>0.27254021099999998</v>
      </c>
      <c r="QA157" s="93">
        <v>0</v>
      </c>
      <c r="QB157" s="93">
        <v>0</v>
      </c>
      <c r="QC157" s="93">
        <v>0</v>
      </c>
      <c r="QD157" s="93">
        <v>-2.3329952440000001</v>
      </c>
      <c r="QE157" s="20">
        <v>-2.434228062000007</v>
      </c>
      <c r="QF157" s="1739">
        <v>90</v>
      </c>
      <c r="QG157" s="19"/>
      <c r="QH157" s="1035">
        <v>73.873696452775022</v>
      </c>
      <c r="QI157" s="1035">
        <v>160.22675442553199</v>
      </c>
      <c r="QJ157" s="1035">
        <v>-86.353057972756972</v>
      </c>
      <c r="QK157" s="1035">
        <v>119.752</v>
      </c>
      <c r="QL157" s="1035">
        <v>17.725999999999999</v>
      </c>
      <c r="QM157" s="1035">
        <v>102.026</v>
      </c>
      <c r="QN157" s="1035">
        <v>0</v>
      </c>
      <c r="QO157" s="1035">
        <v>-85.556000000000012</v>
      </c>
      <c r="QP157" s="1035">
        <v>12.704000000000001</v>
      </c>
      <c r="QQ157" s="1035">
        <v>-98.260000000000019</v>
      </c>
      <c r="QR157" s="1035">
        <v>556.57824557446804</v>
      </c>
      <c r="QS157" s="1035">
        <v>10.09694619130809</v>
      </c>
      <c r="QT157" s="1035">
        <v>0</v>
      </c>
      <c r="QU157" s="1035">
        <v>50.069000000000003</v>
      </c>
      <c r="QV157" s="1035">
        <v>496.41229938315996</v>
      </c>
      <c r="QW157" s="93"/>
      <c r="QX157" s="93">
        <v>8.6890000000000001</v>
      </c>
      <c r="QY157" s="93">
        <v>253.34735588538808</v>
      </c>
      <c r="QZ157" s="93">
        <v>263.66158614185491</v>
      </c>
      <c r="RA157" s="93">
        <v>0</v>
      </c>
      <c r="RB157" s="93">
        <v>21.667000000000002</v>
      </c>
      <c r="RC157" s="93">
        <v>2.0739999999999998</v>
      </c>
      <c r="RD157" s="93">
        <v>3.6889999999999996</v>
      </c>
      <c r="RE157" s="93">
        <v>0</v>
      </c>
      <c r="RF157" s="93">
        <v>0</v>
      </c>
      <c r="RG157" s="93">
        <v>86.552999999999898</v>
      </c>
      <c r="RH157" s="93">
        <v>24.966999999999985</v>
      </c>
      <c r="RI157" s="93"/>
      <c r="RJ157" s="93"/>
      <c r="RK157" s="93"/>
      <c r="RL157" s="93"/>
      <c r="RM157" s="20"/>
      <c r="RN157" s="29">
        <v>90</v>
      </c>
      <c r="RO157" s="19"/>
      <c r="RP157" s="20"/>
      <c r="RQ157" s="29">
        <v>90</v>
      </c>
      <c r="RR157" s="20"/>
      <c r="RS157" s="29">
        <v>90</v>
      </c>
      <c r="RT157" s="1504">
        <v>39234</v>
      </c>
      <c r="RU157" s="19"/>
      <c r="RV157" s="20"/>
      <c r="RW157" s="29">
        <v>90</v>
      </c>
      <c r="RX157" s="1504">
        <v>39234</v>
      </c>
      <c r="RY157" s="29"/>
      <c r="RZ157" s="20"/>
      <c r="SA157" s="29"/>
      <c r="SB157" s="29">
        <v>90</v>
      </c>
    </row>
    <row r="158" spans="1:496">
      <c r="A158" s="41">
        <f t="shared" si="191"/>
        <v>2007</v>
      </c>
      <c r="B158" s="1504">
        <v>39264</v>
      </c>
      <c r="C158" s="1813"/>
      <c r="D158" s="1814"/>
      <c r="E158" s="1814"/>
      <c r="F158" s="1815"/>
      <c r="G158" s="1814"/>
      <c r="H158" s="1814"/>
      <c r="I158" s="1814"/>
      <c r="J158" s="1816"/>
      <c r="K158" s="1807"/>
      <c r="L158" s="25">
        <v>91</v>
      </c>
      <c r="M158" s="97"/>
      <c r="N158" s="1504">
        <v>39264</v>
      </c>
      <c r="O158" s="19"/>
      <c r="P158" s="93"/>
      <c r="Q158" s="93"/>
      <c r="R158" s="93"/>
      <c r="S158" s="93"/>
      <c r="T158" s="93"/>
      <c r="U158" s="93"/>
      <c r="V158" s="93"/>
      <c r="W158" s="93"/>
      <c r="X158" s="93"/>
      <c r="Y158" s="93"/>
      <c r="Z158" s="93"/>
      <c r="AA158" s="93"/>
      <c r="AB158" s="20"/>
      <c r="AC158" s="25">
        <v>91</v>
      </c>
      <c r="AD158" s="97"/>
      <c r="AE158" s="1504">
        <v>39264</v>
      </c>
      <c r="AF158" s="19"/>
      <c r="AG158" s="93"/>
      <c r="AH158" s="93"/>
      <c r="AI158" s="93"/>
      <c r="AJ158" s="93"/>
      <c r="AK158" s="93"/>
      <c r="AL158" s="93"/>
      <c r="AM158" s="93"/>
      <c r="AN158" s="93"/>
      <c r="AO158" s="93"/>
      <c r="AP158" s="93"/>
      <c r="AQ158" s="93"/>
      <c r="AR158" s="93"/>
      <c r="AS158" s="20"/>
      <c r="AT158" s="25">
        <v>91</v>
      </c>
      <c r="AU158" s="97"/>
      <c r="AV158" s="1504">
        <v>39264</v>
      </c>
      <c r="AW158" s="19"/>
      <c r="AX158" s="93"/>
      <c r="AY158" s="93"/>
      <c r="AZ158" s="93"/>
      <c r="BA158" s="93"/>
      <c r="BB158" s="93"/>
      <c r="BC158" s="93"/>
      <c r="BD158" s="93"/>
      <c r="BE158" s="93"/>
      <c r="BF158" s="93"/>
      <c r="BG158" s="93"/>
      <c r="BH158" s="93"/>
      <c r="BI158" s="93"/>
      <c r="BJ158" s="20"/>
      <c r="BK158" s="25">
        <v>91</v>
      </c>
      <c r="BL158" s="97"/>
      <c r="BM158" s="1504">
        <v>39264</v>
      </c>
      <c r="BN158" s="19"/>
      <c r="BO158" s="93"/>
      <c r="BP158" s="93"/>
      <c r="BQ158" s="93"/>
      <c r="BR158" s="93"/>
      <c r="BS158" s="93"/>
      <c r="BT158" s="93"/>
      <c r="BU158" s="20"/>
      <c r="BV158" s="25">
        <v>91</v>
      </c>
      <c r="BW158" s="97"/>
      <c r="BX158" s="1504">
        <v>39264</v>
      </c>
      <c r="BY158" s="19"/>
      <c r="BZ158" s="99">
        <v>664.95699999999999</v>
      </c>
      <c r="CA158" s="93"/>
      <c r="CB158" s="93"/>
      <c r="CC158" s="93"/>
      <c r="CD158" s="25">
        <v>91</v>
      </c>
      <c r="CE158" s="97"/>
      <c r="CF158" s="1504">
        <v>39264</v>
      </c>
      <c r="CG158" s="19">
        <v>1.49583467</v>
      </c>
      <c r="CH158" s="1626">
        <v>665.38</v>
      </c>
      <c r="CI158" s="219"/>
      <c r="CJ158" s="20"/>
      <c r="CK158" s="19"/>
      <c r="CL158" s="93"/>
      <c r="CM158" s="93"/>
      <c r="CN158" s="93"/>
      <c r="CO158" s="93"/>
      <c r="CP158" s="20"/>
      <c r="CQ158" s="219">
        <v>1404.95</v>
      </c>
      <c r="CR158" s="93">
        <v>1.6359999999999999</v>
      </c>
      <c r="CS158" s="93"/>
      <c r="CT158" s="93"/>
      <c r="CU158" s="93"/>
      <c r="CV158" s="214"/>
      <c r="CW158" s="29">
        <v>91</v>
      </c>
      <c r="CX158" s="41">
        <f t="shared" si="192"/>
        <v>2007</v>
      </c>
      <c r="CY158" s="1504">
        <v>39264</v>
      </c>
      <c r="CZ158" s="1916">
        <v>53.935243</v>
      </c>
      <c r="DA158" s="1526">
        <v>32.685530999999997</v>
      </c>
      <c r="DB158" s="1526">
        <v>21.249711999999999</v>
      </c>
      <c r="DC158" s="182">
        <f t="shared" si="196"/>
        <v>288475</v>
      </c>
      <c r="DD158" s="182">
        <f t="shared" si="197"/>
        <v>287633</v>
      </c>
      <c r="DE158" s="182">
        <f t="shared" si="198"/>
        <v>842</v>
      </c>
      <c r="DF158" s="29">
        <v>91</v>
      </c>
      <c r="DG158" s="1504">
        <v>39264</v>
      </c>
      <c r="DH158" s="19"/>
      <c r="DI158" s="93"/>
      <c r="DJ158" s="93"/>
      <c r="DK158" s="93"/>
      <c r="DL158" s="93"/>
      <c r="DM158" s="93"/>
      <c r="DN158" s="20"/>
      <c r="DO158" s="25"/>
      <c r="DP158" s="29">
        <v>91</v>
      </c>
      <c r="DQ158" s="1504">
        <v>39264</v>
      </c>
      <c r="DR158" s="19"/>
      <c r="DS158" s="93"/>
      <c r="DT158" s="93"/>
      <c r="DU158" s="93"/>
      <c r="DV158" s="93"/>
      <c r="DW158" s="93"/>
      <c r="DX158" s="20"/>
      <c r="DY158" s="29">
        <v>91</v>
      </c>
      <c r="DZ158" s="1504">
        <v>39264</v>
      </c>
      <c r="EA158" s="19"/>
      <c r="EB158" s="93"/>
      <c r="EC158" s="20"/>
      <c r="ED158" s="29">
        <v>91</v>
      </c>
      <c r="EE158" s="1504">
        <v>39264</v>
      </c>
      <c r="EF158" s="19"/>
      <c r="EG158" s="93"/>
      <c r="EH158" s="93"/>
      <c r="EI158" s="214"/>
      <c r="EJ158" s="93"/>
      <c r="EK158" s="93"/>
      <c r="EL158" s="93"/>
      <c r="EM158" s="93"/>
      <c r="EN158" s="20"/>
      <c r="EO158" s="29">
        <v>91</v>
      </c>
      <c r="EP158" s="1504">
        <v>39264</v>
      </c>
      <c r="EQ158" s="19"/>
      <c r="ER158" s="93"/>
      <c r="ES158" s="93"/>
      <c r="ET158" s="214"/>
      <c r="EU158" s="93"/>
      <c r="EV158" s="93"/>
      <c r="EW158" s="93"/>
      <c r="EX158" s="93"/>
      <c r="EY158" s="20"/>
      <c r="EZ158" s="29">
        <v>91</v>
      </c>
      <c r="FA158" s="1504">
        <v>39264</v>
      </c>
      <c r="FB158" s="29"/>
      <c r="FC158" s="29"/>
      <c r="FD158" s="29"/>
      <c r="FE158" s="29"/>
      <c r="FF158" s="29"/>
      <c r="FG158" s="29"/>
      <c r="FH158" s="29"/>
      <c r="FI158" s="29"/>
      <c r="FJ158" s="29"/>
      <c r="FK158" s="29">
        <v>91</v>
      </c>
      <c r="FL158" s="1504">
        <v>39264</v>
      </c>
      <c r="FM158" s="19"/>
      <c r="FN158" s="93"/>
      <c r="FO158" s="93"/>
      <c r="FP158" s="93"/>
      <c r="FQ158" s="93"/>
      <c r="FR158" s="93"/>
      <c r="FS158" s="93"/>
      <c r="FT158" s="93"/>
      <c r="FU158" s="93"/>
      <c r="FV158" s="93"/>
      <c r="FW158" s="93"/>
      <c r="FX158" s="93"/>
      <c r="FY158" s="93"/>
      <c r="FZ158" s="29">
        <v>91</v>
      </c>
      <c r="GA158" s="1504">
        <v>39264</v>
      </c>
      <c r="GB158" s="19"/>
      <c r="GC158" s="93"/>
      <c r="GD158" s="93"/>
      <c r="GE158" s="93"/>
      <c r="GF158" s="93"/>
      <c r="GG158" s="93"/>
      <c r="GH158" s="93"/>
      <c r="GI158" s="93"/>
      <c r="GJ158" s="93"/>
      <c r="GK158" s="93"/>
      <c r="GL158" s="93"/>
      <c r="GM158" s="93"/>
      <c r="GN158" s="20"/>
      <c r="GO158" s="29">
        <v>91</v>
      </c>
      <c r="GP158" s="1504">
        <v>39264</v>
      </c>
      <c r="GQ158" s="19"/>
      <c r="GR158" s="93"/>
      <c r="GS158" s="93"/>
      <c r="GT158" s="93"/>
      <c r="GU158" s="93"/>
      <c r="GV158" s="20"/>
      <c r="GW158" s="19"/>
      <c r="GX158" s="93"/>
      <c r="GY158" s="93"/>
      <c r="GZ158" s="93"/>
      <c r="HA158" s="93"/>
      <c r="HB158" s="20"/>
      <c r="HC158" s="19"/>
      <c r="HD158" s="93"/>
      <c r="HE158" s="93"/>
      <c r="HF158" s="93"/>
      <c r="HG158" s="93"/>
      <c r="HH158" s="20"/>
      <c r="HI158" s="19"/>
      <c r="HJ158" s="93"/>
      <c r="HK158" s="93"/>
      <c r="HL158" s="93"/>
      <c r="HM158" s="93"/>
      <c r="HN158" s="20"/>
      <c r="HO158" s="219"/>
      <c r="HP158" s="20"/>
      <c r="HQ158" s="25"/>
      <c r="HR158" s="29">
        <v>91</v>
      </c>
      <c r="HS158" s="1504">
        <v>39264</v>
      </c>
      <c r="HT158" s="179">
        <v>129.16909790039063</v>
      </c>
      <c r="HU158" s="99">
        <v>144.01398658752441</v>
      </c>
      <c r="HV158" s="99">
        <v>107.9310317993164</v>
      </c>
      <c r="HW158" s="99">
        <v>101.13268788655598</v>
      </c>
      <c r="HX158" s="99">
        <v>112.23344167073567</v>
      </c>
      <c r="HY158" s="99">
        <v>122.74096298217773</v>
      </c>
      <c r="HZ158" s="99">
        <v>136.12242889404297</v>
      </c>
      <c r="IA158" s="132">
        <v>110.32258453369141</v>
      </c>
      <c r="IB158" s="179">
        <v>111.15384292602539</v>
      </c>
      <c r="IC158" s="99">
        <v>83.756614685058594</v>
      </c>
      <c r="ID158" s="99">
        <v>116.66666412353516</v>
      </c>
      <c r="IE158" s="99">
        <v>94.660196304321289</v>
      </c>
      <c r="IF158" s="99">
        <v>108.0656639099121</v>
      </c>
      <c r="IG158" s="132">
        <v>92.885513305664063</v>
      </c>
      <c r="IH158" s="179">
        <v>82.756354522705081</v>
      </c>
      <c r="II158" s="99">
        <v>116.10324478149414</v>
      </c>
      <c r="IJ158" s="99">
        <v>96.587028503417969</v>
      </c>
      <c r="IK158" s="99">
        <v>89.608044942220047</v>
      </c>
      <c r="IL158" s="99">
        <v>88.060575485229492</v>
      </c>
      <c r="IM158" s="99">
        <v>99.680509948730474</v>
      </c>
      <c r="IN158" s="93"/>
      <c r="IO158" s="132">
        <v>95.001728057861328</v>
      </c>
      <c r="IP158" s="29">
        <v>91</v>
      </c>
      <c r="IQ158" s="19"/>
      <c r="IR158" s="93"/>
      <c r="IS158" s="93"/>
      <c r="IT158" s="93"/>
      <c r="IU158" s="93"/>
      <c r="IV158" s="20"/>
      <c r="IW158" s="29">
        <v>91</v>
      </c>
      <c r="IX158" s="19"/>
      <c r="IY158" s="93"/>
      <c r="IZ158" s="93"/>
      <c r="JA158" s="93"/>
      <c r="JB158" s="93"/>
      <c r="JC158" s="93"/>
      <c r="JD158" s="93"/>
      <c r="JE158" s="20"/>
      <c r="JF158" s="29">
        <v>91</v>
      </c>
      <c r="JG158" s="19"/>
      <c r="JH158" s="93"/>
      <c r="JI158" s="93"/>
      <c r="JJ158" s="93"/>
      <c r="JK158" s="93"/>
      <c r="JL158" s="93"/>
      <c r="JM158" s="93"/>
      <c r="JN158" s="20"/>
      <c r="JO158" s="29">
        <v>91</v>
      </c>
      <c r="JP158" s="19"/>
      <c r="JQ158" s="93"/>
      <c r="JR158" s="93"/>
      <c r="JS158" s="93"/>
      <c r="JT158" s="93"/>
      <c r="JU158" s="20"/>
      <c r="JV158" s="29">
        <v>91</v>
      </c>
      <c r="JW158" s="1504">
        <v>39264</v>
      </c>
      <c r="JX158" s="19"/>
      <c r="JY158" s="93"/>
      <c r="JZ158" s="93"/>
      <c r="KA158" s="93"/>
      <c r="KB158" s="93"/>
      <c r="KC158" s="93"/>
      <c r="KD158" s="20"/>
      <c r="KE158" s="29">
        <v>91</v>
      </c>
      <c r="KF158" s="19"/>
      <c r="KG158" s="93"/>
      <c r="KH158" s="93"/>
      <c r="KI158" s="93"/>
      <c r="KJ158" s="93"/>
      <c r="KK158" s="20"/>
      <c r="KL158" s="29">
        <v>91</v>
      </c>
      <c r="KM158" s="19"/>
      <c r="KN158" s="93"/>
      <c r="KO158" s="93"/>
      <c r="KP158" s="93"/>
      <c r="KQ158" s="93"/>
      <c r="KR158" s="20"/>
      <c r="KS158" s="29">
        <v>91</v>
      </c>
      <c r="KT158" s="19"/>
      <c r="KU158" s="93"/>
      <c r="KV158" s="93"/>
      <c r="KW158" s="93"/>
      <c r="KX158" s="93"/>
      <c r="KY158" s="20"/>
      <c r="KZ158" s="29">
        <v>91</v>
      </c>
      <c r="LA158" s="1504">
        <v>39264</v>
      </c>
      <c r="LB158" s="19"/>
      <c r="LC158" s="93"/>
      <c r="LD158" s="93"/>
      <c r="LE158" s="93"/>
      <c r="LF158" s="93"/>
      <c r="LG158" s="93"/>
      <c r="LH158" s="20"/>
      <c r="LI158" s="29">
        <v>91</v>
      </c>
      <c r="LJ158" s="19"/>
      <c r="LK158" s="93"/>
      <c r="LL158" s="93"/>
      <c r="LM158" s="93"/>
      <c r="LN158" s="93"/>
      <c r="LO158" s="20"/>
      <c r="LP158" s="29">
        <v>91</v>
      </c>
      <c r="LQ158" s="19"/>
      <c r="LR158" s="93"/>
      <c r="LS158" s="93"/>
      <c r="LT158" s="93"/>
      <c r="LU158" s="93"/>
      <c r="LV158" s="93"/>
      <c r="LW158" s="93"/>
      <c r="LX158" s="93"/>
      <c r="LY158" s="93"/>
      <c r="LZ158" s="93"/>
      <c r="MA158" s="20"/>
      <c r="MB158" s="29">
        <v>91</v>
      </c>
      <c r="MC158" s="1504">
        <v>39264</v>
      </c>
      <c r="MD158" s="19"/>
      <c r="ME158" s="93"/>
      <c r="MF158" s="93"/>
      <c r="MG158" s="93"/>
      <c r="MH158" s="93"/>
      <c r="MI158" s="93"/>
      <c r="MJ158" s="93"/>
      <c r="MK158" s="93"/>
      <c r="ML158" s="93"/>
      <c r="MM158" s="93"/>
      <c r="MN158" s="93"/>
      <c r="MO158" s="93"/>
      <c r="MP158" s="93"/>
      <c r="MQ158" s="93"/>
      <c r="MR158" s="93"/>
      <c r="MS158" s="93"/>
      <c r="MT158" s="93"/>
      <c r="MU158" s="93"/>
      <c r="MV158" s="93"/>
      <c r="MW158" s="93"/>
      <c r="MX158" s="93"/>
      <c r="MY158" s="93"/>
      <c r="MZ158" s="93"/>
      <c r="NA158" s="93"/>
      <c r="NB158" s="93"/>
      <c r="NC158" s="93"/>
      <c r="ND158" s="93"/>
      <c r="NE158" s="93"/>
      <c r="NF158" s="93"/>
      <c r="NG158" s="93"/>
      <c r="NH158" s="93"/>
      <c r="NI158" s="93"/>
      <c r="NJ158" s="93"/>
      <c r="NK158" s="93"/>
      <c r="NL158" s="93"/>
      <c r="NM158" s="93"/>
      <c r="NN158" s="93"/>
      <c r="NO158" s="93"/>
      <c r="NP158" s="93"/>
      <c r="NQ158" s="93"/>
      <c r="NR158" s="93"/>
      <c r="NS158" s="93"/>
      <c r="NT158" s="93"/>
      <c r="NU158" s="93"/>
      <c r="NV158" s="93"/>
      <c r="NW158" s="93"/>
      <c r="NX158" s="93"/>
      <c r="NY158" s="93"/>
      <c r="NZ158" s="93"/>
      <c r="OA158" s="93"/>
      <c r="OB158" s="93"/>
      <c r="OC158" s="93"/>
      <c r="OD158" s="20"/>
      <c r="OE158" s="29">
        <v>91</v>
      </c>
      <c r="OF158" s="1504">
        <v>39264</v>
      </c>
      <c r="OG158" s="19"/>
      <c r="OH158" s="93">
        <v>196.6377</v>
      </c>
      <c r="OI158" s="93">
        <v>294.93213871370347</v>
      </c>
      <c r="OJ158" s="93">
        <v>0.34761362900000004</v>
      </c>
      <c r="OK158" s="93">
        <v>240.2899250847035</v>
      </c>
      <c r="OL158" s="93">
        <v>54.294599999999996</v>
      </c>
      <c r="OM158" s="93">
        <v>491.56983871370346</v>
      </c>
      <c r="ON158" s="93">
        <v>270.72803096359212</v>
      </c>
      <c r="OO158" s="93">
        <v>762.29786967729558</v>
      </c>
      <c r="OP158" s="93"/>
      <c r="OQ158" s="93">
        <v>460.83317173353385</v>
      </c>
      <c r="OR158" s="93">
        <v>397.41299240900003</v>
      </c>
      <c r="OS158" s="93">
        <v>63.420179324533819</v>
      </c>
      <c r="OT158" s="93">
        <v>382.56349266276175</v>
      </c>
      <c r="OU158" s="93">
        <v>-196.45287910399998</v>
      </c>
      <c r="OV158" s="93">
        <v>-108.78687910399999</v>
      </c>
      <c r="OW158" s="93">
        <v>-87.665999999999997</v>
      </c>
      <c r="OX158" s="93">
        <v>579.01637176676172</v>
      </c>
      <c r="OY158" s="93">
        <v>2.4305950430000003</v>
      </c>
      <c r="OZ158" s="93">
        <v>576.58577672376168</v>
      </c>
      <c r="PA158" s="93">
        <v>113.81441645800001</v>
      </c>
      <c r="PB158" s="93">
        <v>-32.715621738999999</v>
      </c>
      <c r="PC158" s="20">
        <v>762.29786967729558</v>
      </c>
      <c r="PD158" s="29">
        <v>91</v>
      </c>
      <c r="PE158" s="19"/>
      <c r="PF158" s="93">
        <v>397.41299240900003</v>
      </c>
      <c r="PG158" s="93">
        <v>481.14959829899999</v>
      </c>
      <c r="PH158" s="93">
        <v>83.736605889999993</v>
      </c>
      <c r="PI158" s="93">
        <v>0.99</v>
      </c>
      <c r="PJ158" s="93">
        <v>-108.78687910399999</v>
      </c>
      <c r="PK158" s="93">
        <v>38.571328221000002</v>
      </c>
      <c r="PL158" s="93">
        <v>147.358207325</v>
      </c>
      <c r="PM158" s="93">
        <v>2.4305950430000003</v>
      </c>
      <c r="PN158" s="93">
        <v>0</v>
      </c>
      <c r="PO158" s="93">
        <v>0</v>
      </c>
      <c r="PP158" s="93">
        <v>9.3053199999999997E-4</v>
      </c>
      <c r="PQ158" s="93">
        <v>2.4296645110000004</v>
      </c>
      <c r="PR158" s="93">
        <v>294.44391884300001</v>
      </c>
      <c r="PS158" s="93">
        <v>215.53569999999999</v>
      </c>
      <c r="PT158" s="93">
        <v>78.560605214000006</v>
      </c>
      <c r="PU158" s="93">
        <v>0.34761362900000004</v>
      </c>
      <c r="PV158" s="93">
        <v>0</v>
      </c>
      <c r="PW158" s="93">
        <v>0.26602129099999999</v>
      </c>
      <c r="PX158" s="93">
        <v>0</v>
      </c>
      <c r="PY158" s="93">
        <v>0</v>
      </c>
      <c r="PZ158" s="93">
        <v>0.26602129099999999</v>
      </c>
      <c r="QA158" s="93">
        <v>0</v>
      </c>
      <c r="QB158" s="93">
        <v>0</v>
      </c>
      <c r="QC158" s="93">
        <v>0</v>
      </c>
      <c r="QD158" s="93">
        <v>-2.4266048330000003</v>
      </c>
      <c r="QE158" s="20">
        <v>-0.23662695300000727</v>
      </c>
      <c r="QF158" s="1739">
        <v>91</v>
      </c>
      <c r="QG158" s="19"/>
      <c r="QH158" s="1035">
        <v>63.420179324533819</v>
      </c>
      <c r="QI158" s="1035">
        <v>164.44722327623822</v>
      </c>
      <c r="QJ158" s="1035">
        <v>-101.0270439517044</v>
      </c>
      <c r="QK158" s="1035">
        <v>102.702</v>
      </c>
      <c r="QL158" s="1035">
        <v>18.898</v>
      </c>
      <c r="QM158" s="1035">
        <v>83.804000000000002</v>
      </c>
      <c r="QN158" s="1035">
        <v>0</v>
      </c>
      <c r="QO158" s="1035">
        <v>-87.665999999999997</v>
      </c>
      <c r="QP158" s="1035">
        <v>33.241999999999997</v>
      </c>
      <c r="QQ158" s="1035">
        <v>-120.908</v>
      </c>
      <c r="QR158" s="1035">
        <v>576.58577672376168</v>
      </c>
      <c r="QS158" s="1035">
        <v>10.425967948276044</v>
      </c>
      <c r="QT158" s="1035">
        <v>0</v>
      </c>
      <c r="QU158" s="1035">
        <v>64.34</v>
      </c>
      <c r="QV158" s="1035">
        <v>501.81980877548568</v>
      </c>
      <c r="QW158" s="93"/>
      <c r="QX158" s="93">
        <v>0.72599999999999998</v>
      </c>
      <c r="QY158" s="93">
        <v>240.2899250847035</v>
      </c>
      <c r="QZ158" s="93">
        <v>270.72803096359212</v>
      </c>
      <c r="RA158" s="93">
        <v>0</v>
      </c>
      <c r="RB158" s="93">
        <v>23.708000000000002</v>
      </c>
      <c r="RC158" s="93">
        <v>2.004</v>
      </c>
      <c r="RD158" s="93">
        <v>3.9359999999999999</v>
      </c>
      <c r="RE158" s="93">
        <v>0</v>
      </c>
      <c r="RF158" s="93">
        <v>0</v>
      </c>
      <c r="RG158" s="93">
        <v>86.326999999999998</v>
      </c>
      <c r="RH158" s="93">
        <v>27.322999999999993</v>
      </c>
      <c r="RI158" s="93"/>
      <c r="RJ158" s="93"/>
      <c r="RK158" s="93"/>
      <c r="RL158" s="93"/>
      <c r="RM158" s="20"/>
      <c r="RN158" s="29">
        <v>91</v>
      </c>
      <c r="RO158" s="19"/>
      <c r="RP158" s="20"/>
      <c r="RQ158" s="29">
        <v>91</v>
      </c>
      <c r="RR158" s="20"/>
      <c r="RS158" s="29">
        <v>91</v>
      </c>
      <c r="RT158" s="1504">
        <v>39264</v>
      </c>
      <c r="RU158" s="19"/>
      <c r="RV158" s="20"/>
      <c r="RW158" s="29">
        <v>91</v>
      </c>
      <c r="RX158" s="1504">
        <v>39264</v>
      </c>
      <c r="RY158" s="29"/>
      <c r="RZ158" s="20"/>
      <c r="SA158" s="29"/>
      <c r="SB158" s="29">
        <v>91</v>
      </c>
    </row>
    <row r="159" spans="1:496">
      <c r="A159" s="41">
        <f t="shared" si="191"/>
        <v>2007</v>
      </c>
      <c r="B159" s="1504">
        <v>39295</v>
      </c>
      <c r="C159" s="1813"/>
      <c r="D159" s="1814"/>
      <c r="E159" s="1814"/>
      <c r="F159" s="1815"/>
      <c r="G159" s="1814"/>
      <c r="H159" s="1814"/>
      <c r="I159" s="1814"/>
      <c r="J159" s="1816"/>
      <c r="K159" s="1807"/>
      <c r="L159" s="25">
        <v>92</v>
      </c>
      <c r="M159" s="97"/>
      <c r="N159" s="1504">
        <v>39295</v>
      </c>
      <c r="O159" s="19"/>
      <c r="P159" s="93"/>
      <c r="Q159" s="93"/>
      <c r="R159" s="93"/>
      <c r="S159" s="93"/>
      <c r="T159" s="93"/>
      <c r="U159" s="93"/>
      <c r="V159" s="93"/>
      <c r="W159" s="93"/>
      <c r="X159" s="93"/>
      <c r="Y159" s="93"/>
      <c r="Z159" s="93"/>
      <c r="AA159" s="93"/>
      <c r="AB159" s="20"/>
      <c r="AC159" s="25">
        <v>92</v>
      </c>
      <c r="AD159" s="97"/>
      <c r="AE159" s="1504">
        <v>39295</v>
      </c>
      <c r="AF159" s="19"/>
      <c r="AG159" s="93"/>
      <c r="AH159" s="93"/>
      <c r="AI159" s="93"/>
      <c r="AJ159" s="93"/>
      <c r="AK159" s="93"/>
      <c r="AL159" s="93"/>
      <c r="AM159" s="93"/>
      <c r="AN159" s="93"/>
      <c r="AO159" s="93"/>
      <c r="AP159" s="93"/>
      <c r="AQ159" s="93"/>
      <c r="AR159" s="93"/>
      <c r="AS159" s="20"/>
      <c r="AT159" s="25">
        <v>92</v>
      </c>
      <c r="AU159" s="97"/>
      <c r="AV159" s="1504">
        <v>39295</v>
      </c>
      <c r="AW159" s="19"/>
      <c r="AX159" s="93"/>
      <c r="AY159" s="93"/>
      <c r="AZ159" s="93"/>
      <c r="BA159" s="93"/>
      <c r="BB159" s="93"/>
      <c r="BC159" s="93"/>
      <c r="BD159" s="93"/>
      <c r="BE159" s="93"/>
      <c r="BF159" s="93"/>
      <c r="BG159" s="93"/>
      <c r="BH159" s="93"/>
      <c r="BI159" s="93"/>
      <c r="BJ159" s="20"/>
      <c r="BK159" s="25">
        <v>92</v>
      </c>
      <c r="BL159" s="97"/>
      <c r="BM159" s="1504">
        <v>39295</v>
      </c>
      <c r="BN159" s="19"/>
      <c r="BO159" s="93"/>
      <c r="BP159" s="93"/>
      <c r="BQ159" s="93"/>
      <c r="BR159" s="93"/>
      <c r="BS159" s="93"/>
      <c r="BT159" s="93"/>
      <c r="BU159" s="20"/>
      <c r="BV159" s="25">
        <v>92</v>
      </c>
      <c r="BW159" s="97"/>
      <c r="BX159" s="1504">
        <v>39295</v>
      </c>
      <c r="BY159" s="19"/>
      <c r="BZ159" s="99">
        <v>664.95699999999999</v>
      </c>
      <c r="CA159" s="93"/>
      <c r="CB159" s="93"/>
      <c r="CC159" s="93"/>
      <c r="CD159" s="25">
        <v>92</v>
      </c>
      <c r="CE159" s="97"/>
      <c r="CF159" s="1504">
        <v>39295</v>
      </c>
      <c r="CG159" s="19">
        <v>1.4682769200000001</v>
      </c>
      <c r="CH159" s="1626">
        <v>665.41099999999994</v>
      </c>
      <c r="CI159" s="219"/>
      <c r="CJ159" s="20"/>
      <c r="CK159" s="19"/>
      <c r="CL159" s="93"/>
      <c r="CM159" s="93"/>
      <c r="CN159" s="93"/>
      <c r="CO159" s="93"/>
      <c r="CP159" s="20"/>
      <c r="CQ159" s="219">
        <v>1472.3</v>
      </c>
      <c r="CR159" s="93">
        <v>1.6125</v>
      </c>
      <c r="CS159" s="93"/>
      <c r="CT159" s="93"/>
      <c r="CU159" s="93"/>
      <c r="CV159" s="214"/>
      <c r="CW159" s="29">
        <v>92</v>
      </c>
      <c r="CX159" s="41">
        <f t="shared" si="192"/>
        <v>2007</v>
      </c>
      <c r="CY159" s="1504">
        <v>39295</v>
      </c>
      <c r="CZ159" s="1916">
        <v>46.168102000000005</v>
      </c>
      <c r="DA159" s="1526">
        <v>28.732682</v>
      </c>
      <c r="DB159" s="1526">
        <v>17.435420000000001</v>
      </c>
      <c r="DC159" s="182">
        <f t="shared" si="196"/>
        <v>288475</v>
      </c>
      <c r="DD159" s="182">
        <f t="shared" si="197"/>
        <v>287633</v>
      </c>
      <c r="DE159" s="182">
        <f t="shared" si="198"/>
        <v>842</v>
      </c>
      <c r="DF159" s="29">
        <v>92</v>
      </c>
      <c r="DG159" s="1504">
        <v>39295</v>
      </c>
      <c r="DH159" s="19"/>
      <c r="DI159" s="93"/>
      <c r="DJ159" s="93"/>
      <c r="DK159" s="93"/>
      <c r="DL159" s="93"/>
      <c r="DM159" s="93"/>
      <c r="DN159" s="20"/>
      <c r="DO159" s="25"/>
      <c r="DP159" s="29">
        <v>92</v>
      </c>
      <c r="DQ159" s="1504">
        <v>39295</v>
      </c>
      <c r="DR159" s="19"/>
      <c r="DS159" s="93"/>
      <c r="DT159" s="93"/>
      <c r="DU159" s="93"/>
      <c r="DV159" s="93"/>
      <c r="DW159" s="93"/>
      <c r="DX159" s="20"/>
      <c r="DY159" s="29">
        <v>92</v>
      </c>
      <c r="DZ159" s="1504">
        <v>39295</v>
      </c>
      <c r="EA159" s="19"/>
      <c r="EB159" s="93"/>
      <c r="EC159" s="20"/>
      <c r="ED159" s="29">
        <v>92</v>
      </c>
      <c r="EE159" s="1504">
        <v>39295</v>
      </c>
      <c r="EF159" s="19"/>
      <c r="EG159" s="93"/>
      <c r="EH159" s="93"/>
      <c r="EI159" s="214"/>
      <c r="EJ159" s="93"/>
      <c r="EK159" s="93"/>
      <c r="EL159" s="93"/>
      <c r="EM159" s="93"/>
      <c r="EN159" s="20"/>
      <c r="EO159" s="29">
        <v>92</v>
      </c>
      <c r="EP159" s="1504">
        <v>39295</v>
      </c>
      <c r="EQ159" s="19"/>
      <c r="ER159" s="93"/>
      <c r="ES159" s="93"/>
      <c r="ET159" s="214"/>
      <c r="EU159" s="93"/>
      <c r="EV159" s="93"/>
      <c r="EW159" s="93"/>
      <c r="EX159" s="93"/>
      <c r="EY159" s="20"/>
      <c r="EZ159" s="29">
        <v>92</v>
      </c>
      <c r="FA159" s="1504">
        <v>39295</v>
      </c>
      <c r="FB159" s="29"/>
      <c r="FC159" s="29"/>
      <c r="FD159" s="29"/>
      <c r="FE159" s="29"/>
      <c r="FF159" s="29"/>
      <c r="FG159" s="29"/>
      <c r="FH159" s="29"/>
      <c r="FI159" s="29"/>
      <c r="FJ159" s="29"/>
      <c r="FK159" s="29">
        <v>92</v>
      </c>
      <c r="FL159" s="1504">
        <v>39295</v>
      </c>
      <c r="FM159" s="19"/>
      <c r="FN159" s="93"/>
      <c r="FO159" s="93"/>
      <c r="FP159" s="93"/>
      <c r="FQ159" s="93"/>
      <c r="FR159" s="93"/>
      <c r="FS159" s="93"/>
      <c r="FT159" s="93"/>
      <c r="FU159" s="93"/>
      <c r="FV159" s="93"/>
      <c r="FW159" s="93"/>
      <c r="FX159" s="93"/>
      <c r="FY159" s="93"/>
      <c r="FZ159" s="29">
        <v>92</v>
      </c>
      <c r="GA159" s="1504">
        <v>39295</v>
      </c>
      <c r="GB159" s="19"/>
      <c r="GC159" s="93"/>
      <c r="GD159" s="93"/>
      <c r="GE159" s="93"/>
      <c r="GF159" s="93"/>
      <c r="GG159" s="93"/>
      <c r="GH159" s="93"/>
      <c r="GI159" s="93"/>
      <c r="GJ159" s="93"/>
      <c r="GK159" s="93"/>
      <c r="GL159" s="93"/>
      <c r="GM159" s="93"/>
      <c r="GN159" s="20"/>
      <c r="GO159" s="29">
        <v>92</v>
      </c>
      <c r="GP159" s="1504">
        <v>39295</v>
      </c>
      <c r="GQ159" s="19"/>
      <c r="GR159" s="93"/>
      <c r="GS159" s="93"/>
      <c r="GT159" s="93"/>
      <c r="GU159" s="93"/>
      <c r="GV159" s="20"/>
      <c r="GW159" s="19"/>
      <c r="GX159" s="93"/>
      <c r="GY159" s="93"/>
      <c r="GZ159" s="93"/>
      <c r="HA159" s="93"/>
      <c r="HB159" s="20"/>
      <c r="HC159" s="19"/>
      <c r="HD159" s="93"/>
      <c r="HE159" s="93"/>
      <c r="HF159" s="93"/>
      <c r="HG159" s="93"/>
      <c r="HH159" s="20"/>
      <c r="HI159" s="19"/>
      <c r="HJ159" s="93"/>
      <c r="HK159" s="93"/>
      <c r="HL159" s="93"/>
      <c r="HM159" s="93"/>
      <c r="HN159" s="20"/>
      <c r="HO159" s="219"/>
      <c r="HP159" s="20"/>
      <c r="HQ159" s="25"/>
      <c r="HR159" s="29">
        <v>92</v>
      </c>
      <c r="HS159" s="1504">
        <v>39295</v>
      </c>
      <c r="HT159" s="179">
        <v>154.8591365814209</v>
      </c>
      <c r="HU159" s="99">
        <v>142.16914367675781</v>
      </c>
      <c r="HV159" s="99">
        <v>110.11905161539714</v>
      </c>
      <c r="HW159" s="99">
        <v>109.22330474853516</v>
      </c>
      <c r="HX159" s="99">
        <v>117.08333396911621</v>
      </c>
      <c r="HY159" s="99">
        <v>123.57954502105713</v>
      </c>
      <c r="HZ159" s="99">
        <v>139.52394104003906</v>
      </c>
      <c r="IA159" s="132">
        <v>106.62939262390137</v>
      </c>
      <c r="IB159" s="179">
        <v>118.89446830749512</v>
      </c>
      <c r="IC159" s="99">
        <v>93.264251708984375</v>
      </c>
      <c r="ID159" s="99"/>
      <c r="IE159" s="99">
        <v>100.89186350504558</v>
      </c>
      <c r="IF159" s="99">
        <v>110.15625</v>
      </c>
      <c r="IG159" s="132">
        <v>94.543148040771484</v>
      </c>
      <c r="IH159" s="179">
        <v>81.055871963500977</v>
      </c>
      <c r="II159" s="99">
        <v>116.9443374633789</v>
      </c>
      <c r="IJ159" s="99">
        <v>102.87356058756511</v>
      </c>
      <c r="IK159" s="99">
        <v>95.818817138671875</v>
      </c>
      <c r="IL159" s="99">
        <v>94.342819213867188</v>
      </c>
      <c r="IM159" s="99">
        <v>101.61290740966797</v>
      </c>
      <c r="IN159" s="93"/>
      <c r="IO159" s="132">
        <v>105.37079620361328</v>
      </c>
      <c r="IP159" s="29">
        <v>92</v>
      </c>
      <c r="IQ159" s="19"/>
      <c r="IR159" s="93"/>
      <c r="IS159" s="93"/>
      <c r="IT159" s="93"/>
      <c r="IU159" s="93"/>
      <c r="IV159" s="20"/>
      <c r="IW159" s="29">
        <v>92</v>
      </c>
      <c r="IX159" s="19"/>
      <c r="IY159" s="93"/>
      <c r="IZ159" s="93"/>
      <c r="JA159" s="93"/>
      <c r="JB159" s="93"/>
      <c r="JC159" s="93"/>
      <c r="JD159" s="93"/>
      <c r="JE159" s="20"/>
      <c r="JF159" s="29">
        <v>92</v>
      </c>
      <c r="JG159" s="19"/>
      <c r="JH159" s="93"/>
      <c r="JI159" s="93"/>
      <c r="JJ159" s="93"/>
      <c r="JK159" s="93"/>
      <c r="JL159" s="93"/>
      <c r="JM159" s="93"/>
      <c r="JN159" s="20"/>
      <c r="JO159" s="29">
        <v>92</v>
      </c>
      <c r="JP159" s="19"/>
      <c r="JQ159" s="93"/>
      <c r="JR159" s="93"/>
      <c r="JS159" s="93"/>
      <c r="JT159" s="93"/>
      <c r="JU159" s="20"/>
      <c r="JV159" s="29">
        <v>92</v>
      </c>
      <c r="JW159" s="1504">
        <v>39295</v>
      </c>
      <c r="JX159" s="19"/>
      <c r="JY159" s="93"/>
      <c r="JZ159" s="93"/>
      <c r="KA159" s="93"/>
      <c r="KB159" s="93"/>
      <c r="KC159" s="93"/>
      <c r="KD159" s="20"/>
      <c r="KE159" s="29">
        <v>92</v>
      </c>
      <c r="KF159" s="19"/>
      <c r="KG159" s="93"/>
      <c r="KH159" s="93"/>
      <c r="KI159" s="93"/>
      <c r="KJ159" s="93"/>
      <c r="KK159" s="20"/>
      <c r="KL159" s="29">
        <v>92</v>
      </c>
      <c r="KM159" s="19"/>
      <c r="KN159" s="93"/>
      <c r="KO159" s="93"/>
      <c r="KP159" s="93"/>
      <c r="KQ159" s="93"/>
      <c r="KR159" s="20"/>
      <c r="KS159" s="29">
        <v>92</v>
      </c>
      <c r="KT159" s="19"/>
      <c r="KU159" s="93"/>
      <c r="KV159" s="93"/>
      <c r="KW159" s="93"/>
      <c r="KX159" s="93"/>
      <c r="KY159" s="20"/>
      <c r="KZ159" s="29">
        <v>92</v>
      </c>
      <c r="LA159" s="1504">
        <v>39295</v>
      </c>
      <c r="LB159" s="19"/>
      <c r="LC159" s="93"/>
      <c r="LD159" s="93"/>
      <c r="LE159" s="93"/>
      <c r="LF159" s="93"/>
      <c r="LG159" s="93"/>
      <c r="LH159" s="20"/>
      <c r="LI159" s="29">
        <v>92</v>
      </c>
      <c r="LJ159" s="19"/>
      <c r="LK159" s="93"/>
      <c r="LL159" s="93"/>
      <c r="LM159" s="93"/>
      <c r="LN159" s="93"/>
      <c r="LO159" s="20"/>
      <c r="LP159" s="29">
        <v>92</v>
      </c>
      <c r="LQ159" s="19"/>
      <c r="LR159" s="93"/>
      <c r="LS159" s="93"/>
      <c r="LT159" s="93"/>
      <c r="LU159" s="93"/>
      <c r="LV159" s="93"/>
      <c r="LW159" s="93"/>
      <c r="LX159" s="93"/>
      <c r="LY159" s="93"/>
      <c r="LZ159" s="93"/>
      <c r="MA159" s="20"/>
      <c r="MB159" s="29">
        <v>92</v>
      </c>
      <c r="MC159" s="1504">
        <v>39295</v>
      </c>
      <c r="MD159" s="19"/>
      <c r="ME159" s="93"/>
      <c r="MF159" s="93"/>
      <c r="MG159" s="93"/>
      <c r="MH159" s="93"/>
      <c r="MI159" s="93"/>
      <c r="MJ159" s="93"/>
      <c r="MK159" s="93"/>
      <c r="ML159" s="93"/>
      <c r="MM159" s="93"/>
      <c r="MN159" s="93"/>
      <c r="MO159" s="93"/>
      <c r="MP159" s="93"/>
      <c r="MQ159" s="93"/>
      <c r="MR159" s="93"/>
      <c r="MS159" s="93"/>
      <c r="MT159" s="93"/>
      <c r="MU159" s="93"/>
      <c r="MV159" s="93"/>
      <c r="MW159" s="93"/>
      <c r="MX159" s="93"/>
      <c r="MY159" s="93"/>
      <c r="MZ159" s="93"/>
      <c r="NA159" s="93"/>
      <c r="NB159" s="93"/>
      <c r="NC159" s="93"/>
      <c r="ND159" s="93"/>
      <c r="NE159" s="93"/>
      <c r="NF159" s="93"/>
      <c r="NG159" s="93"/>
      <c r="NH159" s="93"/>
      <c r="NI159" s="93"/>
      <c r="NJ159" s="93"/>
      <c r="NK159" s="93"/>
      <c r="NL159" s="93"/>
      <c r="NM159" s="93"/>
      <c r="NN159" s="93"/>
      <c r="NO159" s="93"/>
      <c r="NP159" s="93"/>
      <c r="NQ159" s="93"/>
      <c r="NR159" s="93"/>
      <c r="NS159" s="93"/>
      <c r="NT159" s="93"/>
      <c r="NU159" s="93"/>
      <c r="NV159" s="93"/>
      <c r="NW159" s="93"/>
      <c r="NX159" s="93"/>
      <c r="NY159" s="93"/>
      <c r="NZ159" s="93"/>
      <c r="OA159" s="93"/>
      <c r="OB159" s="93"/>
      <c r="OC159" s="93"/>
      <c r="OD159" s="20"/>
      <c r="OE159" s="29">
        <v>92</v>
      </c>
      <c r="OF159" s="1504">
        <v>39295</v>
      </c>
      <c r="OG159" s="19"/>
      <c r="OH159" s="93">
        <v>200.41789999999997</v>
      </c>
      <c r="OI159" s="93">
        <v>294.42610731918518</v>
      </c>
      <c r="OJ159" s="93">
        <v>0.29354427199999999</v>
      </c>
      <c r="OK159" s="93">
        <v>240.43336304718517</v>
      </c>
      <c r="OL159" s="93">
        <v>53.699199999999998</v>
      </c>
      <c r="OM159" s="93">
        <v>494.84400731918515</v>
      </c>
      <c r="ON159" s="93">
        <v>286.37037713515758</v>
      </c>
      <c r="OO159" s="93">
        <v>781.21438445434273</v>
      </c>
      <c r="OP159" s="93"/>
      <c r="OQ159" s="93">
        <v>440.61278206344582</v>
      </c>
      <c r="OR159" s="93">
        <v>388.70215474500003</v>
      </c>
      <c r="OS159" s="93">
        <v>51.910627318445762</v>
      </c>
      <c r="OT159" s="93">
        <v>434.01933539989693</v>
      </c>
      <c r="OU159" s="93">
        <v>-156.94450281499999</v>
      </c>
      <c r="OV159" s="93">
        <v>-92.833502815000003</v>
      </c>
      <c r="OW159" s="93">
        <v>-64.11099999999999</v>
      </c>
      <c r="OX159" s="93">
        <v>590.9638382148969</v>
      </c>
      <c r="OY159" s="93">
        <v>2.8177253510000004</v>
      </c>
      <c r="OZ159" s="93">
        <v>588.14611286389697</v>
      </c>
      <c r="PA159" s="93">
        <v>126.03311572999999</v>
      </c>
      <c r="PB159" s="93">
        <v>-32.615382720999975</v>
      </c>
      <c r="PC159" s="20">
        <v>781.21438445434273</v>
      </c>
      <c r="PD159" s="29">
        <v>92</v>
      </c>
      <c r="PE159" s="19"/>
      <c r="PF159" s="93">
        <v>388.70215474500003</v>
      </c>
      <c r="PG159" s="93">
        <v>476.60672651499999</v>
      </c>
      <c r="PH159" s="93">
        <v>87.90457176999999</v>
      </c>
      <c r="PI159" s="93">
        <v>0.99</v>
      </c>
      <c r="PJ159" s="93">
        <v>-92.833502815000003</v>
      </c>
      <c r="PK159" s="93">
        <v>38.592300227999999</v>
      </c>
      <c r="PL159" s="93">
        <v>131.425803043</v>
      </c>
      <c r="PM159" s="93">
        <v>2.8177253510000004</v>
      </c>
      <c r="PN159" s="93">
        <v>0</v>
      </c>
      <c r="PO159" s="93">
        <v>0</v>
      </c>
      <c r="PP159" s="93">
        <v>0.34990811799999999</v>
      </c>
      <c r="PQ159" s="93">
        <v>2.4678172330000003</v>
      </c>
      <c r="PR159" s="93">
        <v>306.03158342800003</v>
      </c>
      <c r="PS159" s="93">
        <v>219.74789999999999</v>
      </c>
      <c r="PT159" s="93">
        <v>85.990139155999998</v>
      </c>
      <c r="PU159" s="93">
        <v>0.29354427199999999</v>
      </c>
      <c r="PV159" s="93">
        <v>0</v>
      </c>
      <c r="PW159" s="93">
        <v>0.27477639599999998</v>
      </c>
      <c r="PX159" s="93">
        <v>0</v>
      </c>
      <c r="PY159" s="93">
        <v>0</v>
      </c>
      <c r="PZ159" s="93">
        <v>0.27477639599999998</v>
      </c>
      <c r="QA159" s="93">
        <v>0</v>
      </c>
      <c r="QB159" s="93">
        <v>0</v>
      </c>
      <c r="QC159" s="93">
        <v>0</v>
      </c>
      <c r="QD159" s="93">
        <v>-3.8726606660000003</v>
      </c>
      <c r="QE159" s="20">
        <v>-2.7573218769999923</v>
      </c>
      <c r="QF159" s="1739">
        <v>92</v>
      </c>
      <c r="QG159" s="19"/>
      <c r="QH159" s="1035">
        <v>51.910627318445762</v>
      </c>
      <c r="QI159" s="1035">
        <v>154.914887136103</v>
      </c>
      <c r="QJ159" s="1035">
        <v>-103.00425981765724</v>
      </c>
      <c r="QK159" s="1035">
        <v>104.268</v>
      </c>
      <c r="QL159" s="1035">
        <v>19.329999999999998</v>
      </c>
      <c r="QM159" s="1035">
        <v>84.938000000000002</v>
      </c>
      <c r="QN159" s="1035">
        <v>0</v>
      </c>
      <c r="QO159" s="1035">
        <v>-64.11099999999999</v>
      </c>
      <c r="QP159" s="1035">
        <v>38.489000000000004</v>
      </c>
      <c r="QQ159" s="1035">
        <v>-102.6</v>
      </c>
      <c r="QR159" s="1035">
        <v>588.14611286389697</v>
      </c>
      <c r="QS159" s="1035">
        <v>10.692839043364605</v>
      </c>
      <c r="QT159" s="1035">
        <v>0</v>
      </c>
      <c r="QU159" s="1035">
        <v>46.643999999999998</v>
      </c>
      <c r="QV159" s="1035">
        <v>530.80927382053233</v>
      </c>
      <c r="QW159" s="93"/>
      <c r="QX159" s="93">
        <v>0.78700000000000003</v>
      </c>
      <c r="QY159" s="93">
        <v>240.43336304718517</v>
      </c>
      <c r="QZ159" s="93">
        <v>286.37037713515758</v>
      </c>
      <c r="RA159" s="93">
        <v>0</v>
      </c>
      <c r="RB159" s="93">
        <v>23.295999999999999</v>
      </c>
      <c r="RC159" s="93">
        <v>2.004</v>
      </c>
      <c r="RD159" s="93">
        <v>16.076999999999998</v>
      </c>
      <c r="RE159" s="93">
        <v>0</v>
      </c>
      <c r="RF159" s="93">
        <v>0</v>
      </c>
      <c r="RG159" s="93">
        <v>88.254000000000005</v>
      </c>
      <c r="RH159" s="93">
        <v>22.992000000000019</v>
      </c>
      <c r="RI159" s="93"/>
      <c r="RJ159" s="93"/>
      <c r="RK159" s="93"/>
      <c r="RL159" s="93"/>
      <c r="RM159" s="20"/>
      <c r="RN159" s="29">
        <v>92</v>
      </c>
      <c r="RO159" s="19"/>
      <c r="RP159" s="20"/>
      <c r="RQ159" s="29">
        <v>92</v>
      </c>
      <c r="RR159" s="20"/>
      <c r="RS159" s="29">
        <v>92</v>
      </c>
      <c r="RT159" s="1504">
        <v>39295</v>
      </c>
      <c r="RU159" s="19"/>
      <c r="RV159" s="20"/>
      <c r="RW159" s="29">
        <v>92</v>
      </c>
      <c r="RX159" s="1504">
        <v>39295</v>
      </c>
      <c r="RY159" s="29"/>
      <c r="RZ159" s="20"/>
      <c r="SA159" s="29"/>
      <c r="SB159" s="29">
        <v>92</v>
      </c>
    </row>
    <row r="160" spans="1:496">
      <c r="A160" s="41">
        <f t="shared" si="191"/>
        <v>2007</v>
      </c>
      <c r="B160" s="1504">
        <v>39326</v>
      </c>
      <c r="C160" s="1813"/>
      <c r="D160" s="1814"/>
      <c r="E160" s="1814"/>
      <c r="F160" s="1815"/>
      <c r="G160" s="1814"/>
      <c r="H160" s="1814"/>
      <c r="I160" s="1814"/>
      <c r="J160" s="1816"/>
      <c r="K160" s="1807"/>
      <c r="L160" s="25">
        <v>93</v>
      </c>
      <c r="M160" s="97"/>
      <c r="N160" s="1504">
        <v>39326</v>
      </c>
      <c r="O160" s="19"/>
      <c r="P160" s="93"/>
      <c r="Q160" s="93"/>
      <c r="R160" s="93"/>
      <c r="S160" s="93"/>
      <c r="T160" s="93"/>
      <c r="U160" s="93"/>
      <c r="V160" s="93"/>
      <c r="W160" s="93"/>
      <c r="X160" s="93"/>
      <c r="Y160" s="93"/>
      <c r="Z160" s="93"/>
      <c r="AA160" s="93"/>
      <c r="AB160" s="20"/>
      <c r="AC160" s="25">
        <v>93</v>
      </c>
      <c r="AD160" s="97"/>
      <c r="AE160" s="1504">
        <v>39326</v>
      </c>
      <c r="AF160" s="19"/>
      <c r="AG160" s="93"/>
      <c r="AH160" s="93"/>
      <c r="AI160" s="93"/>
      <c r="AJ160" s="93"/>
      <c r="AK160" s="93"/>
      <c r="AL160" s="93"/>
      <c r="AM160" s="93"/>
      <c r="AN160" s="93"/>
      <c r="AO160" s="93"/>
      <c r="AP160" s="93"/>
      <c r="AQ160" s="93"/>
      <c r="AR160" s="93"/>
      <c r="AS160" s="20"/>
      <c r="AT160" s="25">
        <v>93</v>
      </c>
      <c r="AU160" s="97"/>
      <c r="AV160" s="1504">
        <v>39326</v>
      </c>
      <c r="AW160" s="19"/>
      <c r="AX160" s="93"/>
      <c r="AY160" s="93"/>
      <c r="AZ160" s="93"/>
      <c r="BA160" s="93"/>
      <c r="BB160" s="93"/>
      <c r="BC160" s="93"/>
      <c r="BD160" s="93"/>
      <c r="BE160" s="93"/>
      <c r="BF160" s="93"/>
      <c r="BG160" s="93"/>
      <c r="BH160" s="93"/>
      <c r="BI160" s="93"/>
      <c r="BJ160" s="20"/>
      <c r="BK160" s="25">
        <v>93</v>
      </c>
      <c r="BL160" s="97"/>
      <c r="BM160" s="1504">
        <v>39326</v>
      </c>
      <c r="BN160" s="19"/>
      <c r="BO160" s="93"/>
      <c r="BP160" s="93"/>
      <c r="BQ160" s="93"/>
      <c r="BR160" s="93"/>
      <c r="BS160" s="93"/>
      <c r="BT160" s="93"/>
      <c r="BU160" s="20"/>
      <c r="BV160" s="25">
        <v>93</v>
      </c>
      <c r="BW160" s="97"/>
      <c r="BX160" s="1504">
        <v>39326</v>
      </c>
      <c r="BY160" s="19"/>
      <c r="BZ160" s="99">
        <v>664.95699999999999</v>
      </c>
      <c r="CA160" s="93"/>
      <c r="CB160" s="93"/>
      <c r="CC160" s="93"/>
      <c r="CD160" s="25">
        <v>93</v>
      </c>
      <c r="CE160" s="97"/>
      <c r="CF160" s="1504">
        <v>39326</v>
      </c>
      <c r="CG160" s="19">
        <v>1.5024485299999999</v>
      </c>
      <c r="CH160" s="1626">
        <v>712.65300000000002</v>
      </c>
      <c r="CI160" s="219"/>
      <c r="CJ160" s="20"/>
      <c r="CK160" s="19"/>
      <c r="CL160" s="93"/>
      <c r="CM160" s="93"/>
      <c r="CN160" s="93"/>
      <c r="CO160" s="93"/>
      <c r="CP160" s="20"/>
      <c r="CQ160" s="219">
        <v>1523.39</v>
      </c>
      <c r="CR160" s="93">
        <v>1.7649999999999999</v>
      </c>
      <c r="CS160" s="93"/>
      <c r="CT160" s="93"/>
      <c r="CU160" s="93"/>
      <c r="CV160" s="214"/>
      <c r="CW160" s="29">
        <v>93</v>
      </c>
      <c r="CX160" s="41">
        <f t="shared" si="192"/>
        <v>2007</v>
      </c>
      <c r="CY160" s="1504">
        <v>39326</v>
      </c>
      <c r="CZ160" s="1916">
        <v>43.694032999999997</v>
      </c>
      <c r="DA160" s="1526">
        <v>28.497487</v>
      </c>
      <c r="DB160" s="1526">
        <v>15.196546</v>
      </c>
      <c r="DC160" s="182">
        <f t="shared" si="196"/>
        <v>288475</v>
      </c>
      <c r="DD160" s="182">
        <f t="shared" si="197"/>
        <v>287633</v>
      </c>
      <c r="DE160" s="182">
        <f t="shared" si="198"/>
        <v>842</v>
      </c>
      <c r="DF160" s="29">
        <v>93</v>
      </c>
      <c r="DG160" s="1504">
        <v>39326</v>
      </c>
      <c r="DH160" s="19"/>
      <c r="DI160" s="93"/>
      <c r="DJ160" s="93"/>
      <c r="DK160" s="93"/>
      <c r="DL160" s="93"/>
      <c r="DM160" s="93"/>
      <c r="DN160" s="20"/>
      <c r="DO160" s="25"/>
      <c r="DP160" s="29">
        <v>93</v>
      </c>
      <c r="DQ160" s="1504">
        <v>39326</v>
      </c>
      <c r="DR160" s="19"/>
      <c r="DS160" s="93"/>
      <c r="DT160" s="93"/>
      <c r="DU160" s="93"/>
      <c r="DV160" s="93"/>
      <c r="DW160" s="93"/>
      <c r="DX160" s="20"/>
      <c r="DY160" s="29">
        <v>93</v>
      </c>
      <c r="DZ160" s="1504">
        <v>39326</v>
      </c>
      <c r="EA160" s="19"/>
      <c r="EB160" s="93"/>
      <c r="EC160" s="20"/>
      <c r="ED160" s="29">
        <v>93</v>
      </c>
      <c r="EE160" s="1504">
        <v>39326</v>
      </c>
      <c r="EF160" s="19"/>
      <c r="EG160" s="93"/>
      <c r="EH160" s="93"/>
      <c r="EI160" s="214"/>
      <c r="EJ160" s="93"/>
      <c r="EK160" s="93"/>
      <c r="EL160" s="93"/>
      <c r="EM160" s="93"/>
      <c r="EN160" s="20"/>
      <c r="EO160" s="29">
        <v>93</v>
      </c>
      <c r="EP160" s="1504">
        <v>39326</v>
      </c>
      <c r="EQ160" s="19"/>
      <c r="ER160" s="93"/>
      <c r="ES160" s="93"/>
      <c r="ET160" s="214"/>
      <c r="EU160" s="93"/>
      <c r="EV160" s="93"/>
      <c r="EW160" s="93"/>
      <c r="EX160" s="93"/>
      <c r="EY160" s="20"/>
      <c r="EZ160" s="29">
        <v>93</v>
      </c>
      <c r="FA160" s="1504">
        <v>39326</v>
      </c>
      <c r="FB160" s="29"/>
      <c r="FC160" s="29"/>
      <c r="FD160" s="29"/>
      <c r="FE160" s="29"/>
      <c r="FF160" s="29"/>
      <c r="FG160" s="29"/>
      <c r="FH160" s="29"/>
      <c r="FI160" s="29"/>
      <c r="FJ160" s="29"/>
      <c r="FK160" s="29">
        <v>93</v>
      </c>
      <c r="FL160" s="1504">
        <v>39326</v>
      </c>
      <c r="FM160" s="19"/>
      <c r="FN160" s="93"/>
      <c r="FO160" s="93"/>
      <c r="FP160" s="93"/>
      <c r="FQ160" s="93"/>
      <c r="FR160" s="93"/>
      <c r="FS160" s="93"/>
      <c r="FT160" s="93"/>
      <c r="FU160" s="93"/>
      <c r="FV160" s="93"/>
      <c r="FW160" s="93"/>
      <c r="FX160" s="93"/>
      <c r="FY160" s="93"/>
      <c r="FZ160" s="29">
        <v>93</v>
      </c>
      <c r="GA160" s="1504">
        <v>39326</v>
      </c>
      <c r="GB160" s="19"/>
      <c r="GC160" s="93"/>
      <c r="GD160" s="93"/>
      <c r="GE160" s="93"/>
      <c r="GF160" s="93"/>
      <c r="GG160" s="93"/>
      <c r="GH160" s="93"/>
      <c r="GI160" s="93"/>
      <c r="GJ160" s="93"/>
      <c r="GK160" s="93"/>
      <c r="GL160" s="93"/>
      <c r="GM160" s="93"/>
      <c r="GN160" s="20"/>
      <c r="GO160" s="29">
        <v>93</v>
      </c>
      <c r="GP160" s="1504">
        <v>39326</v>
      </c>
      <c r="GQ160" s="19"/>
      <c r="GR160" s="93"/>
      <c r="GS160" s="93"/>
      <c r="GT160" s="93"/>
      <c r="GU160" s="93"/>
      <c r="GV160" s="20"/>
      <c r="GW160" s="19"/>
      <c r="GX160" s="93"/>
      <c r="GY160" s="93"/>
      <c r="GZ160" s="93"/>
      <c r="HA160" s="93"/>
      <c r="HB160" s="20"/>
      <c r="HC160" s="19"/>
      <c r="HD160" s="93"/>
      <c r="HE160" s="93"/>
      <c r="HF160" s="93"/>
      <c r="HG160" s="93"/>
      <c r="HH160" s="20"/>
      <c r="HI160" s="19"/>
      <c r="HJ160" s="93"/>
      <c r="HK160" s="93"/>
      <c r="HL160" s="93"/>
      <c r="HM160" s="93"/>
      <c r="HN160" s="20"/>
      <c r="HO160" s="219"/>
      <c r="HP160" s="20"/>
      <c r="HQ160" s="25"/>
      <c r="HR160" s="29">
        <v>93</v>
      </c>
      <c r="HS160" s="1504">
        <v>39326</v>
      </c>
      <c r="HT160" s="179">
        <v>151.90173950195313</v>
      </c>
      <c r="HU160" s="99">
        <v>139.06250381469727</v>
      </c>
      <c r="HV160" s="99">
        <v>114.08591766357422</v>
      </c>
      <c r="HW160" s="99">
        <v>103.15534210205078</v>
      </c>
      <c r="HX160" s="99">
        <v>111.25</v>
      </c>
      <c r="HY160" s="99">
        <v>123.19277038574219</v>
      </c>
      <c r="HZ160" s="99">
        <v>142.43675231933594</v>
      </c>
      <c r="IA160" s="132">
        <v>116.6134147644043</v>
      </c>
      <c r="IB160" s="179">
        <v>132.12927627563477</v>
      </c>
      <c r="IC160" s="99">
        <v>95.328694661458329</v>
      </c>
      <c r="ID160" s="99"/>
      <c r="IE160" s="99">
        <v>105.83333206176758</v>
      </c>
      <c r="IF160" s="99">
        <v>126.41898600260417</v>
      </c>
      <c r="IG160" s="132">
        <v>101.52284240722656</v>
      </c>
      <c r="IH160" s="179">
        <v>82.060432434082031</v>
      </c>
      <c r="II160" s="99">
        <v>119.62365627288818</v>
      </c>
      <c r="IJ160" s="99">
        <v>104.16666603088379</v>
      </c>
      <c r="IK160" s="99">
        <v>95.862371444702148</v>
      </c>
      <c r="IL160" s="99">
        <v>94.342819213867188</v>
      </c>
      <c r="IM160" s="99">
        <v>105.64516258239746</v>
      </c>
      <c r="IN160" s="93"/>
      <c r="IO160" s="132">
        <v>102.08939285278321</v>
      </c>
      <c r="IP160" s="29">
        <v>93</v>
      </c>
      <c r="IQ160" s="19"/>
      <c r="IR160" s="93"/>
      <c r="IS160" s="93"/>
      <c r="IT160" s="93"/>
      <c r="IU160" s="93"/>
      <c r="IV160" s="20"/>
      <c r="IW160" s="29">
        <v>93</v>
      </c>
      <c r="IX160" s="19"/>
      <c r="IY160" s="93"/>
      <c r="IZ160" s="93"/>
      <c r="JA160" s="93"/>
      <c r="JB160" s="93"/>
      <c r="JC160" s="93"/>
      <c r="JD160" s="93"/>
      <c r="JE160" s="20"/>
      <c r="JF160" s="29">
        <v>93</v>
      </c>
      <c r="JG160" s="19"/>
      <c r="JH160" s="93"/>
      <c r="JI160" s="93"/>
      <c r="JJ160" s="93"/>
      <c r="JK160" s="93"/>
      <c r="JL160" s="93"/>
      <c r="JM160" s="93"/>
      <c r="JN160" s="20"/>
      <c r="JO160" s="29">
        <v>93</v>
      </c>
      <c r="JP160" s="19"/>
      <c r="JQ160" s="93"/>
      <c r="JR160" s="93"/>
      <c r="JS160" s="93"/>
      <c r="JT160" s="93"/>
      <c r="JU160" s="20"/>
      <c r="JV160" s="29">
        <v>93</v>
      </c>
      <c r="JW160" s="1504">
        <v>39326</v>
      </c>
      <c r="JX160" s="19"/>
      <c r="JY160" s="93"/>
      <c r="JZ160" s="93"/>
      <c r="KA160" s="93"/>
      <c r="KB160" s="93"/>
      <c r="KC160" s="93"/>
      <c r="KD160" s="20"/>
      <c r="KE160" s="29">
        <v>93</v>
      </c>
      <c r="KF160" s="19"/>
      <c r="KG160" s="93"/>
      <c r="KH160" s="93"/>
      <c r="KI160" s="93"/>
      <c r="KJ160" s="93"/>
      <c r="KK160" s="20"/>
      <c r="KL160" s="29">
        <v>93</v>
      </c>
      <c r="KM160" s="19"/>
      <c r="KN160" s="93"/>
      <c r="KO160" s="93"/>
      <c r="KP160" s="93"/>
      <c r="KQ160" s="93"/>
      <c r="KR160" s="20"/>
      <c r="KS160" s="29">
        <v>93</v>
      </c>
      <c r="KT160" s="19"/>
      <c r="KU160" s="93"/>
      <c r="KV160" s="93"/>
      <c r="KW160" s="93"/>
      <c r="KX160" s="93"/>
      <c r="KY160" s="20"/>
      <c r="KZ160" s="29">
        <v>93</v>
      </c>
      <c r="LA160" s="1504">
        <v>39326</v>
      </c>
      <c r="LB160" s="19"/>
      <c r="LC160" s="93"/>
      <c r="LD160" s="93"/>
      <c r="LE160" s="93"/>
      <c r="LF160" s="93"/>
      <c r="LG160" s="93"/>
      <c r="LH160" s="20"/>
      <c r="LI160" s="29">
        <v>93</v>
      </c>
      <c r="LJ160" s="19"/>
      <c r="LK160" s="93"/>
      <c r="LL160" s="93"/>
      <c r="LM160" s="93"/>
      <c r="LN160" s="93"/>
      <c r="LO160" s="20"/>
      <c r="LP160" s="29">
        <v>93</v>
      </c>
      <c r="LQ160" s="19"/>
      <c r="LR160" s="93"/>
      <c r="LS160" s="93"/>
      <c r="LT160" s="93"/>
      <c r="LU160" s="93"/>
      <c r="LV160" s="93"/>
      <c r="LW160" s="93"/>
      <c r="LX160" s="93"/>
      <c r="LY160" s="93"/>
      <c r="LZ160" s="93"/>
      <c r="MA160" s="20"/>
      <c r="MB160" s="29">
        <v>93</v>
      </c>
      <c r="MC160" s="1504">
        <v>39326</v>
      </c>
      <c r="MD160" s="19"/>
      <c r="ME160" s="93"/>
      <c r="MF160" s="93"/>
      <c r="MG160" s="93"/>
      <c r="MH160" s="93"/>
      <c r="MI160" s="93"/>
      <c r="MJ160" s="93"/>
      <c r="MK160" s="93"/>
      <c r="ML160" s="93"/>
      <c r="MM160" s="93"/>
      <c r="MN160" s="93"/>
      <c r="MO160" s="93"/>
      <c r="MP160" s="93"/>
      <c r="MQ160" s="93"/>
      <c r="MR160" s="93"/>
      <c r="MS160" s="93"/>
      <c r="MT160" s="93"/>
      <c r="MU160" s="93"/>
      <c r="MV160" s="93"/>
      <c r="MW160" s="93"/>
      <c r="MX160" s="93"/>
      <c r="MY160" s="93"/>
      <c r="MZ160" s="93"/>
      <c r="NA160" s="93"/>
      <c r="NB160" s="93"/>
      <c r="NC160" s="93"/>
      <c r="ND160" s="93"/>
      <c r="NE160" s="93"/>
      <c r="NF160" s="93"/>
      <c r="NG160" s="93"/>
      <c r="NH160" s="93"/>
      <c r="NI160" s="93"/>
      <c r="NJ160" s="93"/>
      <c r="NK160" s="93"/>
      <c r="NL160" s="93"/>
      <c r="NM160" s="93"/>
      <c r="NN160" s="93"/>
      <c r="NO160" s="93"/>
      <c r="NP160" s="93"/>
      <c r="NQ160" s="93"/>
      <c r="NR160" s="93"/>
      <c r="NS160" s="93"/>
      <c r="NT160" s="93"/>
      <c r="NU160" s="93"/>
      <c r="NV160" s="93"/>
      <c r="NW160" s="93"/>
      <c r="NX160" s="93"/>
      <c r="NY160" s="93"/>
      <c r="NZ160" s="93"/>
      <c r="OA160" s="93"/>
      <c r="OB160" s="93"/>
      <c r="OC160" s="93"/>
      <c r="OD160" s="20"/>
      <c r="OE160" s="29">
        <v>93</v>
      </c>
      <c r="OF160" s="1504">
        <v>39326</v>
      </c>
      <c r="OG160" s="19"/>
      <c r="OH160" s="93">
        <v>210.85040000000001</v>
      </c>
      <c r="OI160" s="93">
        <v>294.20302113169544</v>
      </c>
      <c r="OJ160" s="93">
        <v>0.27192888300000001</v>
      </c>
      <c r="OK160" s="93">
        <v>239.99999224869546</v>
      </c>
      <c r="OL160" s="93">
        <v>53.931100000000001</v>
      </c>
      <c r="OM160" s="93">
        <v>505.05342113169547</v>
      </c>
      <c r="ON160" s="93">
        <v>278.41684855102079</v>
      </c>
      <c r="OO160" s="93">
        <v>783.47026968271621</v>
      </c>
      <c r="OP160" s="93"/>
      <c r="OQ160" s="93">
        <v>478.97792825814088</v>
      </c>
      <c r="OR160" s="93">
        <v>424.76317450099998</v>
      </c>
      <c r="OS160" s="93">
        <v>54.214753757140841</v>
      </c>
      <c r="OT160" s="93">
        <v>399.58859077857528</v>
      </c>
      <c r="OU160" s="93">
        <v>-186.65597318399998</v>
      </c>
      <c r="OV160" s="93">
        <v>-123.14697318399999</v>
      </c>
      <c r="OW160" s="93">
        <v>-63.508999999999993</v>
      </c>
      <c r="OX160" s="93">
        <v>586.24456396257528</v>
      </c>
      <c r="OY160" s="93">
        <v>2.41247692</v>
      </c>
      <c r="OZ160" s="93">
        <v>583.83208704257527</v>
      </c>
      <c r="PA160" s="93">
        <v>126.92736004299996</v>
      </c>
      <c r="PB160" s="93">
        <v>-31.831110689000038</v>
      </c>
      <c r="PC160" s="20">
        <v>783.47026968271621</v>
      </c>
      <c r="PD160" s="29">
        <v>93</v>
      </c>
      <c r="PE160" s="19"/>
      <c r="PF160" s="93">
        <v>424.76317450099998</v>
      </c>
      <c r="PG160" s="93">
        <v>506.898133836</v>
      </c>
      <c r="PH160" s="93">
        <v>82.134959334999991</v>
      </c>
      <c r="PI160" s="93">
        <v>1.89</v>
      </c>
      <c r="PJ160" s="93">
        <v>-123.14697318399999</v>
      </c>
      <c r="PK160" s="93">
        <v>38.608425052000001</v>
      </c>
      <c r="PL160" s="93">
        <v>161.75539823599999</v>
      </c>
      <c r="PM160" s="93">
        <v>2.41247692</v>
      </c>
      <c r="PN160" s="93">
        <v>0</v>
      </c>
      <c r="PO160" s="93">
        <v>0</v>
      </c>
      <c r="PP160" s="93">
        <v>4.2422100000000002E-4</v>
      </c>
      <c r="PQ160" s="93">
        <v>2.4120526990000002</v>
      </c>
      <c r="PR160" s="93">
        <v>311.05267871399997</v>
      </c>
      <c r="PS160" s="93">
        <v>230.7354</v>
      </c>
      <c r="PT160" s="93">
        <v>80.045349830999996</v>
      </c>
      <c r="PU160" s="93">
        <v>0.27192888300000001</v>
      </c>
      <c r="PV160" s="93">
        <v>0</v>
      </c>
      <c r="PW160" s="93">
        <v>0.36731710899999997</v>
      </c>
      <c r="PX160" s="93">
        <v>0</v>
      </c>
      <c r="PY160" s="93">
        <v>0</v>
      </c>
      <c r="PZ160" s="93">
        <v>0.36731710899999997</v>
      </c>
      <c r="QA160" s="93">
        <v>0</v>
      </c>
      <c r="QB160" s="93">
        <v>0</v>
      </c>
      <c r="QC160" s="93">
        <v>0</v>
      </c>
      <c r="QD160" s="93">
        <v>-4.4269570660000008</v>
      </c>
      <c r="QE160" s="20">
        <v>-1.0743605199999928</v>
      </c>
      <c r="QF160" s="1739">
        <v>93</v>
      </c>
      <c r="QG160" s="19"/>
      <c r="QH160" s="1035">
        <v>54.214753757140841</v>
      </c>
      <c r="QI160" s="1035">
        <v>184.7709129574246</v>
      </c>
      <c r="QJ160" s="1035">
        <v>-130.55615920028376</v>
      </c>
      <c r="QK160" s="1035">
        <v>98.094000000000008</v>
      </c>
      <c r="QL160" s="1035">
        <v>19.885000000000002</v>
      </c>
      <c r="QM160" s="1035">
        <v>78.209000000000003</v>
      </c>
      <c r="QN160" s="1035">
        <v>0</v>
      </c>
      <c r="QO160" s="1035">
        <v>-63.508999999999993</v>
      </c>
      <c r="QP160" s="1035">
        <v>52.457000000000001</v>
      </c>
      <c r="QQ160" s="1035">
        <v>-115.96599999999999</v>
      </c>
      <c r="QR160" s="1035">
        <v>583.83208704257527</v>
      </c>
      <c r="QS160" s="1035">
        <v>9.8371140699317596</v>
      </c>
      <c r="QT160" s="1035">
        <v>0</v>
      </c>
      <c r="QU160" s="1035">
        <v>62.695</v>
      </c>
      <c r="QV160" s="1035">
        <v>511.29997297264356</v>
      </c>
      <c r="QW160" s="93"/>
      <c r="QX160" s="93">
        <v>0.69399999999999995</v>
      </c>
      <c r="QY160" s="93">
        <v>239.99999224869546</v>
      </c>
      <c r="QZ160" s="93">
        <v>278.41684855102079</v>
      </c>
      <c r="RA160" s="93">
        <v>0</v>
      </c>
      <c r="RB160" s="93">
        <v>26.507000000000001</v>
      </c>
      <c r="RC160" s="93">
        <v>2.004</v>
      </c>
      <c r="RD160" s="93">
        <v>14.080000000000002</v>
      </c>
      <c r="RE160" s="93">
        <v>0</v>
      </c>
      <c r="RF160" s="93">
        <v>0</v>
      </c>
      <c r="RG160" s="93">
        <v>88.395999999999972</v>
      </c>
      <c r="RH160" s="93">
        <v>22.533999999999963</v>
      </c>
      <c r="RI160" s="93"/>
      <c r="RJ160" s="93"/>
      <c r="RK160" s="93"/>
      <c r="RL160" s="93"/>
      <c r="RM160" s="20"/>
      <c r="RN160" s="29">
        <v>93</v>
      </c>
      <c r="RO160" s="19"/>
      <c r="RP160" s="20"/>
      <c r="RQ160" s="29">
        <v>93</v>
      </c>
      <c r="RR160" s="20"/>
      <c r="RS160" s="29">
        <v>93</v>
      </c>
      <c r="RT160" s="1504">
        <v>39326</v>
      </c>
      <c r="RU160" s="19"/>
      <c r="RV160" s="20"/>
      <c r="RW160" s="29">
        <v>93</v>
      </c>
      <c r="RX160" s="1504">
        <v>39326</v>
      </c>
      <c r="RY160" s="29"/>
      <c r="RZ160" s="20"/>
      <c r="SA160" s="29"/>
      <c r="SB160" s="29">
        <v>93</v>
      </c>
    </row>
    <row r="161" spans="1:496">
      <c r="A161" s="41">
        <f t="shared" si="191"/>
        <v>2007</v>
      </c>
      <c r="B161" s="1504">
        <v>39356</v>
      </c>
      <c r="C161" s="1813"/>
      <c r="D161" s="1814"/>
      <c r="E161" s="1814"/>
      <c r="F161" s="1815"/>
      <c r="G161" s="1814"/>
      <c r="H161" s="1814"/>
      <c r="I161" s="1814"/>
      <c r="J161" s="1816"/>
      <c r="K161" s="1807"/>
      <c r="L161" s="25">
        <v>94</v>
      </c>
      <c r="M161" s="97"/>
      <c r="N161" s="1504">
        <v>39356</v>
      </c>
      <c r="O161" s="19"/>
      <c r="P161" s="93"/>
      <c r="Q161" s="93"/>
      <c r="R161" s="93"/>
      <c r="S161" s="93"/>
      <c r="T161" s="93"/>
      <c r="U161" s="93"/>
      <c r="V161" s="93"/>
      <c r="W161" s="93"/>
      <c r="X161" s="93"/>
      <c r="Y161" s="93"/>
      <c r="Z161" s="93"/>
      <c r="AA161" s="93"/>
      <c r="AB161" s="20"/>
      <c r="AC161" s="25">
        <v>94</v>
      </c>
      <c r="AD161" s="97"/>
      <c r="AE161" s="1504">
        <v>39356</v>
      </c>
      <c r="AF161" s="19"/>
      <c r="AG161" s="93"/>
      <c r="AH161" s="93"/>
      <c r="AI161" s="93"/>
      <c r="AJ161" s="93"/>
      <c r="AK161" s="93"/>
      <c r="AL161" s="93"/>
      <c r="AM161" s="93"/>
      <c r="AN161" s="93"/>
      <c r="AO161" s="93"/>
      <c r="AP161" s="93"/>
      <c r="AQ161" s="93"/>
      <c r="AR161" s="93"/>
      <c r="AS161" s="20"/>
      <c r="AT161" s="25">
        <v>94</v>
      </c>
      <c r="AU161" s="97"/>
      <c r="AV161" s="1504">
        <v>39356</v>
      </c>
      <c r="AW161" s="19"/>
      <c r="AX161" s="93"/>
      <c r="AY161" s="93"/>
      <c r="AZ161" s="93"/>
      <c r="BA161" s="93"/>
      <c r="BB161" s="93"/>
      <c r="BC161" s="93"/>
      <c r="BD161" s="93"/>
      <c r="BE161" s="93"/>
      <c r="BF161" s="93"/>
      <c r="BG161" s="93"/>
      <c r="BH161" s="93"/>
      <c r="BI161" s="93"/>
      <c r="BJ161" s="20"/>
      <c r="BK161" s="25">
        <v>94</v>
      </c>
      <c r="BL161" s="97"/>
      <c r="BM161" s="1504">
        <v>39356</v>
      </c>
      <c r="BN161" s="19"/>
      <c r="BO161" s="93"/>
      <c r="BP161" s="93"/>
      <c r="BQ161" s="93"/>
      <c r="BR161" s="93"/>
      <c r="BS161" s="93"/>
      <c r="BT161" s="93"/>
      <c r="BU161" s="20"/>
      <c r="BV161" s="25">
        <v>94</v>
      </c>
      <c r="BW161" s="97"/>
      <c r="BX161" s="1504">
        <v>39356</v>
      </c>
      <c r="BY161" s="19"/>
      <c r="BZ161" s="99">
        <v>664.95699999999999</v>
      </c>
      <c r="CA161" s="93"/>
      <c r="CB161" s="93"/>
      <c r="CC161" s="93"/>
      <c r="CD161" s="25">
        <v>94</v>
      </c>
      <c r="CE161" s="97"/>
      <c r="CF161" s="1504">
        <v>39356</v>
      </c>
      <c r="CG161" s="19">
        <v>1.52008549</v>
      </c>
      <c r="CH161" s="1626">
        <v>754.60400000000004</v>
      </c>
      <c r="CI161" s="219"/>
      <c r="CJ161" s="20"/>
      <c r="CK161" s="19"/>
      <c r="CL161" s="93"/>
      <c r="CM161" s="93"/>
      <c r="CN161" s="93"/>
      <c r="CO161" s="93"/>
      <c r="CP161" s="20"/>
      <c r="CQ161" s="219">
        <v>1633.34</v>
      </c>
      <c r="CR161" s="93">
        <v>1.75</v>
      </c>
      <c r="CS161" s="93"/>
      <c r="CT161" s="93"/>
      <c r="CU161" s="93"/>
      <c r="CV161" s="214"/>
      <c r="CW161" s="29">
        <v>94</v>
      </c>
      <c r="CX161" s="41">
        <f t="shared" si="192"/>
        <v>2007</v>
      </c>
      <c r="CY161" s="1504">
        <v>39356</v>
      </c>
      <c r="CZ161" s="1916">
        <v>48.333360999999996</v>
      </c>
      <c r="DA161" s="1526">
        <v>30.666231</v>
      </c>
      <c r="DB161" s="1526">
        <v>17.66713</v>
      </c>
      <c r="DC161" s="182">
        <f t="shared" si="196"/>
        <v>288475</v>
      </c>
      <c r="DD161" s="182">
        <f t="shared" si="197"/>
        <v>287633</v>
      </c>
      <c r="DE161" s="182">
        <f t="shared" si="198"/>
        <v>842</v>
      </c>
      <c r="DF161" s="29">
        <v>94</v>
      </c>
      <c r="DG161" s="1504">
        <v>39356</v>
      </c>
      <c r="DH161" s="19"/>
      <c r="DI161" s="93"/>
      <c r="DJ161" s="93"/>
      <c r="DK161" s="93"/>
      <c r="DL161" s="93"/>
      <c r="DM161" s="93"/>
      <c r="DN161" s="20"/>
      <c r="DO161" s="25"/>
      <c r="DP161" s="29">
        <v>94</v>
      </c>
      <c r="DQ161" s="1504">
        <v>39356</v>
      </c>
      <c r="DR161" s="19"/>
      <c r="DS161" s="93"/>
      <c r="DT161" s="93"/>
      <c r="DU161" s="93"/>
      <c r="DV161" s="93"/>
      <c r="DW161" s="93"/>
      <c r="DX161" s="20"/>
      <c r="DY161" s="29">
        <v>94</v>
      </c>
      <c r="DZ161" s="1504">
        <v>39356</v>
      </c>
      <c r="EA161" s="19"/>
      <c r="EB161" s="93"/>
      <c r="EC161" s="20"/>
      <c r="ED161" s="29">
        <v>94</v>
      </c>
      <c r="EE161" s="1504">
        <v>39356</v>
      </c>
      <c r="EF161" s="19"/>
      <c r="EG161" s="93"/>
      <c r="EH161" s="93"/>
      <c r="EI161" s="214"/>
      <c r="EJ161" s="93"/>
      <c r="EK161" s="93"/>
      <c r="EL161" s="93"/>
      <c r="EM161" s="93"/>
      <c r="EN161" s="20"/>
      <c r="EO161" s="29">
        <v>94</v>
      </c>
      <c r="EP161" s="1504">
        <v>39356</v>
      </c>
      <c r="EQ161" s="19"/>
      <c r="ER161" s="93"/>
      <c r="ES161" s="93"/>
      <c r="ET161" s="214"/>
      <c r="EU161" s="93"/>
      <c r="EV161" s="93"/>
      <c r="EW161" s="93"/>
      <c r="EX161" s="93"/>
      <c r="EY161" s="20"/>
      <c r="EZ161" s="29">
        <v>94</v>
      </c>
      <c r="FA161" s="1504">
        <v>39356</v>
      </c>
      <c r="FB161" s="29"/>
      <c r="FC161" s="29"/>
      <c r="FD161" s="29"/>
      <c r="FE161" s="29"/>
      <c r="FF161" s="29"/>
      <c r="FG161" s="29"/>
      <c r="FH161" s="29"/>
      <c r="FI161" s="29"/>
      <c r="FJ161" s="29"/>
      <c r="FK161" s="29">
        <v>94</v>
      </c>
      <c r="FL161" s="1504">
        <v>39356</v>
      </c>
      <c r="FM161" s="19"/>
      <c r="FN161" s="93"/>
      <c r="FO161" s="93"/>
      <c r="FP161" s="93"/>
      <c r="FQ161" s="93"/>
      <c r="FR161" s="93"/>
      <c r="FS161" s="93"/>
      <c r="FT161" s="93"/>
      <c r="FU161" s="93"/>
      <c r="FV161" s="93"/>
      <c r="FW161" s="93"/>
      <c r="FX161" s="93"/>
      <c r="FY161" s="93"/>
      <c r="FZ161" s="29">
        <v>94</v>
      </c>
      <c r="GA161" s="1504">
        <v>39356</v>
      </c>
      <c r="GB161" s="19"/>
      <c r="GC161" s="93"/>
      <c r="GD161" s="93"/>
      <c r="GE161" s="93"/>
      <c r="GF161" s="93"/>
      <c r="GG161" s="93"/>
      <c r="GH161" s="93"/>
      <c r="GI161" s="93"/>
      <c r="GJ161" s="93"/>
      <c r="GK161" s="93"/>
      <c r="GL161" s="93"/>
      <c r="GM161" s="93"/>
      <c r="GN161" s="20"/>
      <c r="GO161" s="29">
        <v>94</v>
      </c>
      <c r="GP161" s="1504">
        <v>39356</v>
      </c>
      <c r="GQ161" s="19"/>
      <c r="GR161" s="93"/>
      <c r="GS161" s="93"/>
      <c r="GT161" s="93"/>
      <c r="GU161" s="93"/>
      <c r="GV161" s="20"/>
      <c r="GW161" s="19"/>
      <c r="GX161" s="93"/>
      <c r="GY161" s="93"/>
      <c r="GZ161" s="93"/>
      <c r="HA161" s="93"/>
      <c r="HB161" s="20"/>
      <c r="HC161" s="19"/>
      <c r="HD161" s="93"/>
      <c r="HE161" s="93"/>
      <c r="HF161" s="93"/>
      <c r="HG161" s="93"/>
      <c r="HH161" s="20"/>
      <c r="HI161" s="19"/>
      <c r="HJ161" s="93"/>
      <c r="HK161" s="93"/>
      <c r="HL161" s="93"/>
      <c r="HM161" s="93"/>
      <c r="HN161" s="20"/>
      <c r="HO161" s="219"/>
      <c r="HP161" s="20"/>
      <c r="HQ161" s="25"/>
      <c r="HR161" s="29">
        <v>94</v>
      </c>
      <c r="HS161" s="1504">
        <v>39356</v>
      </c>
      <c r="HT161" s="179">
        <v>143.93603515625</v>
      </c>
      <c r="HU161" s="99">
        <v>142.78996849060059</v>
      </c>
      <c r="HV161" s="99">
        <v>135.86956787109375</v>
      </c>
      <c r="HW161" s="99"/>
      <c r="HX161" s="99">
        <v>120.20201873779297</v>
      </c>
      <c r="HY161" s="99">
        <v>122.74096298217773</v>
      </c>
      <c r="HZ161" s="99">
        <v>151.48243713378906</v>
      </c>
      <c r="IA161" s="132">
        <v>127.09678039550781</v>
      </c>
      <c r="IB161" s="179">
        <v>121.95122528076172</v>
      </c>
      <c r="IC161" s="99">
        <v>96.858640034993485</v>
      </c>
      <c r="ID161" s="99"/>
      <c r="IE161" s="99">
        <v>119.99999542236328</v>
      </c>
      <c r="IF161" s="99">
        <v>118.94555358886718</v>
      </c>
      <c r="IG161" s="132">
        <v>102.53807067871094</v>
      </c>
      <c r="IH161" s="179">
        <v>84.152871131896973</v>
      </c>
      <c r="II161" s="99">
        <v>126.34408473968506</v>
      </c>
      <c r="IJ161" s="99">
        <v>131.11888122558594</v>
      </c>
      <c r="IK161" s="99">
        <v>124.7349853515625</v>
      </c>
      <c r="IL161" s="99">
        <v>104.05375162760417</v>
      </c>
      <c r="IM161" s="99">
        <v>120.76676940917969</v>
      </c>
      <c r="IN161" s="93"/>
      <c r="IO161" s="132">
        <v>117.3645133972168</v>
      </c>
      <c r="IP161" s="29">
        <v>94</v>
      </c>
      <c r="IQ161" s="19"/>
      <c r="IR161" s="93"/>
      <c r="IS161" s="93"/>
      <c r="IT161" s="93"/>
      <c r="IU161" s="93"/>
      <c r="IV161" s="20"/>
      <c r="IW161" s="29">
        <v>94</v>
      </c>
      <c r="IX161" s="19"/>
      <c r="IY161" s="93"/>
      <c r="IZ161" s="93"/>
      <c r="JA161" s="93"/>
      <c r="JB161" s="93"/>
      <c r="JC161" s="93"/>
      <c r="JD161" s="93"/>
      <c r="JE161" s="20"/>
      <c r="JF161" s="29">
        <v>94</v>
      </c>
      <c r="JG161" s="19"/>
      <c r="JH161" s="93"/>
      <c r="JI161" s="93"/>
      <c r="JJ161" s="93"/>
      <c r="JK161" s="93"/>
      <c r="JL161" s="93"/>
      <c r="JM161" s="93"/>
      <c r="JN161" s="20"/>
      <c r="JO161" s="29">
        <v>94</v>
      </c>
      <c r="JP161" s="19"/>
      <c r="JQ161" s="93"/>
      <c r="JR161" s="93"/>
      <c r="JS161" s="93"/>
      <c r="JT161" s="93"/>
      <c r="JU161" s="20"/>
      <c r="JV161" s="29">
        <v>94</v>
      </c>
      <c r="JW161" s="1504">
        <v>39356</v>
      </c>
      <c r="JX161" s="19"/>
      <c r="JY161" s="93"/>
      <c r="JZ161" s="93"/>
      <c r="KA161" s="93"/>
      <c r="KB161" s="93"/>
      <c r="KC161" s="93"/>
      <c r="KD161" s="20"/>
      <c r="KE161" s="29">
        <v>94</v>
      </c>
      <c r="KF161" s="19"/>
      <c r="KG161" s="93"/>
      <c r="KH161" s="93"/>
      <c r="KI161" s="93"/>
      <c r="KJ161" s="93"/>
      <c r="KK161" s="20"/>
      <c r="KL161" s="29">
        <v>94</v>
      </c>
      <c r="KM161" s="19"/>
      <c r="KN161" s="93"/>
      <c r="KO161" s="93"/>
      <c r="KP161" s="93"/>
      <c r="KQ161" s="93"/>
      <c r="KR161" s="20"/>
      <c r="KS161" s="29">
        <v>94</v>
      </c>
      <c r="KT161" s="19"/>
      <c r="KU161" s="93"/>
      <c r="KV161" s="93"/>
      <c r="KW161" s="93"/>
      <c r="KX161" s="93"/>
      <c r="KY161" s="20"/>
      <c r="KZ161" s="29">
        <v>94</v>
      </c>
      <c r="LA161" s="1504">
        <v>39356</v>
      </c>
      <c r="LB161" s="19"/>
      <c r="LC161" s="93"/>
      <c r="LD161" s="93"/>
      <c r="LE161" s="93"/>
      <c r="LF161" s="93"/>
      <c r="LG161" s="93"/>
      <c r="LH161" s="20"/>
      <c r="LI161" s="29">
        <v>94</v>
      </c>
      <c r="LJ161" s="19"/>
      <c r="LK161" s="93"/>
      <c r="LL161" s="93"/>
      <c r="LM161" s="93"/>
      <c r="LN161" s="93"/>
      <c r="LO161" s="20"/>
      <c r="LP161" s="29">
        <v>94</v>
      </c>
      <c r="LQ161" s="19"/>
      <c r="LR161" s="93"/>
      <c r="LS161" s="93"/>
      <c r="LT161" s="93"/>
      <c r="LU161" s="93"/>
      <c r="LV161" s="93"/>
      <c r="LW161" s="93"/>
      <c r="LX161" s="93"/>
      <c r="LY161" s="93"/>
      <c r="LZ161" s="93"/>
      <c r="MA161" s="20"/>
      <c r="MB161" s="29">
        <v>94</v>
      </c>
      <c r="MC161" s="1504">
        <v>39356</v>
      </c>
      <c r="MD161" s="19"/>
      <c r="ME161" s="93"/>
      <c r="MF161" s="93"/>
      <c r="MG161" s="93"/>
      <c r="MH161" s="93"/>
      <c r="MI161" s="93"/>
      <c r="MJ161" s="93"/>
      <c r="MK161" s="93"/>
      <c r="ML161" s="93"/>
      <c r="MM161" s="93"/>
      <c r="MN161" s="93"/>
      <c r="MO161" s="93"/>
      <c r="MP161" s="93"/>
      <c r="MQ161" s="93"/>
      <c r="MR161" s="93"/>
      <c r="MS161" s="93"/>
      <c r="MT161" s="93"/>
      <c r="MU161" s="93"/>
      <c r="MV161" s="93"/>
      <c r="MW161" s="93"/>
      <c r="MX161" s="93"/>
      <c r="MY161" s="93"/>
      <c r="MZ161" s="93"/>
      <c r="NA161" s="93"/>
      <c r="NB161" s="93"/>
      <c r="NC161" s="93"/>
      <c r="ND161" s="93"/>
      <c r="NE161" s="93"/>
      <c r="NF161" s="93"/>
      <c r="NG161" s="93"/>
      <c r="NH161" s="93"/>
      <c r="NI161" s="93"/>
      <c r="NJ161" s="93"/>
      <c r="NK161" s="93"/>
      <c r="NL161" s="93"/>
      <c r="NM161" s="93"/>
      <c r="NN161" s="93"/>
      <c r="NO161" s="93"/>
      <c r="NP161" s="93"/>
      <c r="NQ161" s="93"/>
      <c r="NR161" s="93"/>
      <c r="NS161" s="93"/>
      <c r="NT161" s="93"/>
      <c r="NU161" s="93"/>
      <c r="NV161" s="93"/>
      <c r="NW161" s="93"/>
      <c r="NX161" s="93"/>
      <c r="NY161" s="93"/>
      <c r="NZ161" s="93"/>
      <c r="OA161" s="93"/>
      <c r="OB161" s="93"/>
      <c r="OC161" s="93"/>
      <c r="OD161" s="20"/>
      <c r="OE161" s="29">
        <v>94</v>
      </c>
      <c r="OF161" s="1504">
        <v>39356</v>
      </c>
      <c r="OG161" s="19"/>
      <c r="OH161" s="93">
        <v>211.495</v>
      </c>
      <c r="OI161" s="93">
        <v>284.63615324756915</v>
      </c>
      <c r="OJ161" s="93">
        <v>0.28226212100000003</v>
      </c>
      <c r="OK161" s="93">
        <v>230.91719112656918</v>
      </c>
      <c r="OL161" s="93">
        <v>53.436699999999995</v>
      </c>
      <c r="OM161" s="93">
        <v>496.13115324756916</v>
      </c>
      <c r="ON161" s="93">
        <v>284.54042506436679</v>
      </c>
      <c r="OO161" s="93">
        <v>780.67157831193595</v>
      </c>
      <c r="OP161" s="93"/>
      <c r="OQ161" s="93">
        <v>445.73928196486082</v>
      </c>
      <c r="OR161" s="93">
        <v>381.84550352500003</v>
      </c>
      <c r="OS161" s="93">
        <v>63.893778439860839</v>
      </c>
      <c r="OT161" s="93">
        <v>425.54597715807529</v>
      </c>
      <c r="OU161" s="93">
        <v>-154.90578995199999</v>
      </c>
      <c r="OV161" s="93">
        <v>-87.88578995200001</v>
      </c>
      <c r="OW161" s="93">
        <v>-67.019999999999982</v>
      </c>
      <c r="OX161" s="93">
        <v>580.45176711007525</v>
      </c>
      <c r="OY161" s="93">
        <v>2.9079293589999997</v>
      </c>
      <c r="OZ161" s="93">
        <v>577.54383775107522</v>
      </c>
      <c r="PA161" s="93">
        <v>113.118961798</v>
      </c>
      <c r="PB161" s="93">
        <v>-22.505280986999992</v>
      </c>
      <c r="PC161" s="20">
        <v>780.67157831193617</v>
      </c>
      <c r="PD161" s="29">
        <v>94</v>
      </c>
      <c r="PE161" s="19"/>
      <c r="PF161" s="93">
        <v>381.84550352500003</v>
      </c>
      <c r="PG161" s="93">
        <v>468.10352194199999</v>
      </c>
      <c r="PH161" s="93">
        <v>86.258018416999988</v>
      </c>
      <c r="PI161" s="93">
        <v>0.99</v>
      </c>
      <c r="PJ161" s="93">
        <v>-87.88578995200001</v>
      </c>
      <c r="PK161" s="93">
        <v>37.782404479999997</v>
      </c>
      <c r="PL161" s="93">
        <v>125.66819443200001</v>
      </c>
      <c r="PM161" s="93">
        <v>2.9079293589999997</v>
      </c>
      <c r="PN161" s="93">
        <v>0</v>
      </c>
      <c r="PO161" s="93">
        <v>0</v>
      </c>
      <c r="PP161" s="93">
        <v>0.52057222599999997</v>
      </c>
      <c r="PQ161" s="93">
        <v>2.3873571329999996</v>
      </c>
      <c r="PR161" s="93">
        <v>306.30010629499998</v>
      </c>
      <c r="PS161" s="93">
        <v>230.89699999999999</v>
      </c>
      <c r="PT161" s="93">
        <v>75.120844173999998</v>
      </c>
      <c r="PU161" s="93">
        <v>0.28226212100000003</v>
      </c>
      <c r="PV161" s="93">
        <v>0</v>
      </c>
      <c r="PW161" s="93">
        <v>6.8014328999999998E-2</v>
      </c>
      <c r="PX161" s="93">
        <v>0</v>
      </c>
      <c r="PY161" s="93">
        <v>0</v>
      </c>
      <c r="PZ161" s="93">
        <v>6.8014328999999998E-2</v>
      </c>
      <c r="QA161" s="93">
        <v>0</v>
      </c>
      <c r="QB161" s="93">
        <v>0</v>
      </c>
      <c r="QC161" s="93">
        <v>0</v>
      </c>
      <c r="QD161" s="93">
        <v>-4.1550525310000008</v>
      </c>
      <c r="QE161" s="20">
        <v>-4.3554251610000003</v>
      </c>
      <c r="QF161" s="1739">
        <v>94</v>
      </c>
      <c r="QG161" s="19"/>
      <c r="QH161" s="1035">
        <v>63.893778439860839</v>
      </c>
      <c r="QI161" s="1035">
        <v>184.94316224892484</v>
      </c>
      <c r="QJ161" s="1035">
        <v>-121.049383809064</v>
      </c>
      <c r="QK161" s="1035">
        <v>63.786999999999999</v>
      </c>
      <c r="QL161" s="1035">
        <v>19.402000000000001</v>
      </c>
      <c r="QM161" s="1035">
        <v>44.384999999999998</v>
      </c>
      <c r="QN161" s="1035">
        <v>0</v>
      </c>
      <c r="QO161" s="1035">
        <v>-67.019999999999982</v>
      </c>
      <c r="QP161" s="1035">
        <v>46.956000000000003</v>
      </c>
      <c r="QQ161" s="1035">
        <v>-113.97599999999998</v>
      </c>
      <c r="QR161" s="1035">
        <v>577.54383775107522</v>
      </c>
      <c r="QS161" s="1035">
        <v>8.1201676442618389</v>
      </c>
      <c r="QT161" s="1035">
        <v>0</v>
      </c>
      <c r="QU161" s="1035">
        <v>46.158999999999999</v>
      </c>
      <c r="QV161" s="1035">
        <v>523.26467010681336</v>
      </c>
      <c r="QW161" s="93"/>
      <c r="QX161" s="93">
        <v>0.75</v>
      </c>
      <c r="QY161" s="93">
        <v>230.91719112656918</v>
      </c>
      <c r="QZ161" s="93">
        <v>284.54042506436679</v>
      </c>
      <c r="RA161" s="93">
        <v>0</v>
      </c>
      <c r="RB161" s="93">
        <v>22.734999999999999</v>
      </c>
      <c r="RC161" s="93">
        <v>2.004</v>
      </c>
      <c r="RD161" s="93">
        <v>3.6640000000000001</v>
      </c>
      <c r="RE161" s="93">
        <v>0</v>
      </c>
      <c r="RF161" s="93">
        <v>0</v>
      </c>
      <c r="RG161" s="93">
        <v>88.802999999999997</v>
      </c>
      <c r="RH161" s="93">
        <v>4.7909999999999968</v>
      </c>
      <c r="RI161" s="93"/>
      <c r="RJ161" s="93"/>
      <c r="RK161" s="93"/>
      <c r="RL161" s="93"/>
      <c r="RM161" s="20"/>
      <c r="RN161" s="29">
        <v>94</v>
      </c>
      <c r="RO161" s="19"/>
      <c r="RP161" s="20"/>
      <c r="RQ161" s="29">
        <v>94</v>
      </c>
      <c r="RR161" s="20"/>
      <c r="RS161" s="29">
        <v>94</v>
      </c>
      <c r="RT161" s="1504">
        <v>39356</v>
      </c>
      <c r="RU161" s="19"/>
      <c r="RV161" s="20"/>
      <c r="RW161" s="29">
        <v>94</v>
      </c>
      <c r="RX161" s="1504">
        <v>39356</v>
      </c>
      <c r="RY161" s="29"/>
      <c r="RZ161" s="20"/>
      <c r="SA161" s="29"/>
      <c r="SB161" s="29">
        <v>94</v>
      </c>
    </row>
    <row r="162" spans="1:496">
      <c r="A162" s="41">
        <f t="shared" si="191"/>
        <v>2007</v>
      </c>
      <c r="B162" s="1504">
        <v>39387</v>
      </c>
      <c r="C162" s="1813"/>
      <c r="D162" s="1814"/>
      <c r="E162" s="1814"/>
      <c r="F162" s="1815"/>
      <c r="G162" s="1814"/>
      <c r="H162" s="1814"/>
      <c r="I162" s="1814"/>
      <c r="J162" s="1816"/>
      <c r="K162" s="1807"/>
      <c r="L162" s="25">
        <v>95</v>
      </c>
      <c r="M162" s="97"/>
      <c r="N162" s="1504">
        <v>39387</v>
      </c>
      <c r="O162" s="19"/>
      <c r="P162" s="93"/>
      <c r="Q162" s="93"/>
      <c r="R162" s="93"/>
      <c r="S162" s="93"/>
      <c r="T162" s="93"/>
      <c r="U162" s="93"/>
      <c r="V162" s="93"/>
      <c r="W162" s="93"/>
      <c r="X162" s="93"/>
      <c r="Y162" s="93"/>
      <c r="Z162" s="93"/>
      <c r="AA162" s="93"/>
      <c r="AB162" s="20"/>
      <c r="AC162" s="25">
        <v>95</v>
      </c>
      <c r="AD162" s="97"/>
      <c r="AE162" s="1504">
        <v>39387</v>
      </c>
      <c r="AF162" s="19"/>
      <c r="AG162" s="93"/>
      <c r="AH162" s="93"/>
      <c r="AI162" s="93"/>
      <c r="AJ162" s="93"/>
      <c r="AK162" s="93"/>
      <c r="AL162" s="93"/>
      <c r="AM162" s="93"/>
      <c r="AN162" s="93"/>
      <c r="AO162" s="93"/>
      <c r="AP162" s="93"/>
      <c r="AQ162" s="93"/>
      <c r="AR162" s="93"/>
      <c r="AS162" s="20"/>
      <c r="AT162" s="25">
        <v>95</v>
      </c>
      <c r="AU162" s="97"/>
      <c r="AV162" s="1504">
        <v>39387</v>
      </c>
      <c r="AW162" s="19"/>
      <c r="AX162" s="93"/>
      <c r="AY162" s="93"/>
      <c r="AZ162" s="93"/>
      <c r="BA162" s="93"/>
      <c r="BB162" s="93"/>
      <c r="BC162" s="93"/>
      <c r="BD162" s="93"/>
      <c r="BE162" s="93"/>
      <c r="BF162" s="93"/>
      <c r="BG162" s="93"/>
      <c r="BH162" s="93"/>
      <c r="BI162" s="93"/>
      <c r="BJ162" s="20"/>
      <c r="BK162" s="25">
        <v>95</v>
      </c>
      <c r="BL162" s="97"/>
      <c r="BM162" s="1504">
        <v>39387</v>
      </c>
      <c r="BN162" s="19"/>
      <c r="BO162" s="93"/>
      <c r="BP162" s="93"/>
      <c r="BQ162" s="93"/>
      <c r="BR162" s="93"/>
      <c r="BS162" s="93"/>
      <c r="BT162" s="93"/>
      <c r="BU162" s="20"/>
      <c r="BV162" s="25">
        <v>95</v>
      </c>
      <c r="BW162" s="97"/>
      <c r="BX162" s="1504">
        <v>39387</v>
      </c>
      <c r="BY162" s="19"/>
      <c r="BZ162" s="99">
        <v>664.95699999999999</v>
      </c>
      <c r="CA162" s="93"/>
      <c r="CB162" s="93"/>
      <c r="CC162" s="93"/>
      <c r="CD162" s="25">
        <v>95</v>
      </c>
      <c r="CE162" s="97"/>
      <c r="CF162" s="1504">
        <v>39387</v>
      </c>
      <c r="CG162" s="19">
        <v>1.5366201399999999</v>
      </c>
      <c r="CH162" s="1626">
        <v>806.24800000000005</v>
      </c>
      <c r="CI162" s="219"/>
      <c r="CJ162" s="20"/>
      <c r="CK162" s="19"/>
      <c r="CL162" s="93"/>
      <c r="CM162" s="93"/>
      <c r="CN162" s="93"/>
      <c r="CO162" s="93"/>
      <c r="CP162" s="20"/>
      <c r="CQ162" s="219">
        <v>1829.84</v>
      </c>
      <c r="CR162" s="93">
        <v>1.7075</v>
      </c>
      <c r="CS162" s="93"/>
      <c r="CT162" s="93"/>
      <c r="CU162" s="93"/>
      <c r="CV162" s="214"/>
      <c r="CW162" s="29">
        <v>95</v>
      </c>
      <c r="CX162" s="41">
        <f t="shared" si="192"/>
        <v>2007</v>
      </c>
      <c r="CY162" s="1504">
        <v>39387</v>
      </c>
      <c r="CZ162" s="1916">
        <v>53.318975000000002</v>
      </c>
      <c r="DA162" s="1526">
        <v>33.829898</v>
      </c>
      <c r="DB162" s="1526">
        <v>19.489077000000002</v>
      </c>
      <c r="DC162" s="182">
        <f t="shared" si="196"/>
        <v>288475</v>
      </c>
      <c r="DD162" s="182">
        <f t="shared" si="197"/>
        <v>287633</v>
      </c>
      <c r="DE162" s="182">
        <f t="shared" si="198"/>
        <v>842</v>
      </c>
      <c r="DF162" s="29">
        <v>95</v>
      </c>
      <c r="DG162" s="1504">
        <v>39387</v>
      </c>
      <c r="DH162" s="19"/>
      <c r="DI162" s="93"/>
      <c r="DJ162" s="93"/>
      <c r="DK162" s="93"/>
      <c r="DL162" s="93"/>
      <c r="DM162" s="93"/>
      <c r="DN162" s="20"/>
      <c r="DO162" s="25"/>
      <c r="DP162" s="29">
        <v>95</v>
      </c>
      <c r="DQ162" s="1504">
        <v>39387</v>
      </c>
      <c r="DR162" s="19"/>
      <c r="DS162" s="93"/>
      <c r="DT162" s="93"/>
      <c r="DU162" s="93"/>
      <c r="DV162" s="93"/>
      <c r="DW162" s="93"/>
      <c r="DX162" s="20"/>
      <c r="DY162" s="29">
        <v>95</v>
      </c>
      <c r="DZ162" s="1504">
        <v>39387</v>
      </c>
      <c r="EA162" s="19"/>
      <c r="EB162" s="93"/>
      <c r="EC162" s="20"/>
      <c r="ED162" s="29">
        <v>95</v>
      </c>
      <c r="EE162" s="1504">
        <v>39387</v>
      </c>
      <c r="EF162" s="19"/>
      <c r="EG162" s="93"/>
      <c r="EH162" s="93"/>
      <c r="EI162" s="214"/>
      <c r="EJ162" s="93"/>
      <c r="EK162" s="93"/>
      <c r="EL162" s="93"/>
      <c r="EM162" s="93"/>
      <c r="EN162" s="20"/>
      <c r="EO162" s="29">
        <v>95</v>
      </c>
      <c r="EP162" s="1504">
        <v>39387</v>
      </c>
      <c r="EQ162" s="19"/>
      <c r="ER162" s="93"/>
      <c r="ES162" s="93"/>
      <c r="ET162" s="214"/>
      <c r="EU162" s="93"/>
      <c r="EV162" s="93"/>
      <c r="EW162" s="93"/>
      <c r="EX162" s="93"/>
      <c r="EY162" s="20"/>
      <c r="EZ162" s="29">
        <v>95</v>
      </c>
      <c r="FA162" s="1504">
        <v>39387</v>
      </c>
      <c r="FB162" s="29"/>
      <c r="FC162" s="29"/>
      <c r="FD162" s="29"/>
      <c r="FE162" s="29"/>
      <c r="FF162" s="29"/>
      <c r="FG162" s="29"/>
      <c r="FH162" s="29"/>
      <c r="FI162" s="29"/>
      <c r="FJ162" s="29"/>
      <c r="FK162" s="29">
        <v>95</v>
      </c>
      <c r="FL162" s="1504">
        <v>39387</v>
      </c>
      <c r="FM162" s="19"/>
      <c r="FN162" s="93"/>
      <c r="FO162" s="93"/>
      <c r="FP162" s="93"/>
      <c r="FQ162" s="93"/>
      <c r="FR162" s="93"/>
      <c r="FS162" s="93"/>
      <c r="FT162" s="93"/>
      <c r="FU162" s="93"/>
      <c r="FV162" s="93"/>
      <c r="FW162" s="93"/>
      <c r="FX162" s="93"/>
      <c r="FY162" s="93"/>
      <c r="FZ162" s="29">
        <v>95</v>
      </c>
      <c r="GA162" s="1504">
        <v>39387</v>
      </c>
      <c r="GB162" s="19"/>
      <c r="GC162" s="93"/>
      <c r="GD162" s="93"/>
      <c r="GE162" s="93"/>
      <c r="GF162" s="93"/>
      <c r="GG162" s="93"/>
      <c r="GH162" s="93"/>
      <c r="GI162" s="93"/>
      <c r="GJ162" s="93"/>
      <c r="GK162" s="93"/>
      <c r="GL162" s="93"/>
      <c r="GM162" s="93"/>
      <c r="GN162" s="20"/>
      <c r="GO162" s="29">
        <v>95</v>
      </c>
      <c r="GP162" s="1504">
        <v>39387</v>
      </c>
      <c r="GQ162" s="19"/>
      <c r="GR162" s="93"/>
      <c r="GS162" s="93"/>
      <c r="GT162" s="93"/>
      <c r="GU162" s="93"/>
      <c r="GV162" s="20"/>
      <c r="GW162" s="19"/>
      <c r="GX162" s="93"/>
      <c r="GY162" s="93"/>
      <c r="GZ162" s="93"/>
      <c r="HA162" s="93"/>
      <c r="HB162" s="20"/>
      <c r="HC162" s="19"/>
      <c r="HD162" s="93"/>
      <c r="HE162" s="93"/>
      <c r="HF162" s="93"/>
      <c r="HG162" s="93"/>
      <c r="HH162" s="20"/>
      <c r="HI162" s="19"/>
      <c r="HJ162" s="93"/>
      <c r="HK162" s="93"/>
      <c r="HL162" s="93"/>
      <c r="HM162" s="93"/>
      <c r="HN162" s="20"/>
      <c r="HO162" s="219"/>
      <c r="HP162" s="20"/>
      <c r="HQ162" s="25"/>
      <c r="HR162" s="29">
        <v>95</v>
      </c>
      <c r="HS162" s="1504">
        <v>39387</v>
      </c>
      <c r="HT162" s="179">
        <v>144.54240608215332</v>
      </c>
      <c r="HU162" s="99">
        <v>119.85747146606445</v>
      </c>
      <c r="HV162" s="99">
        <v>142.85714721679688</v>
      </c>
      <c r="HW162" s="99">
        <v>93.042073567708329</v>
      </c>
      <c r="HX162" s="99">
        <v>126.26262664794922</v>
      </c>
      <c r="HY162" s="99">
        <v>134.18868923187256</v>
      </c>
      <c r="HZ162" s="99">
        <v>156.74942970275879</v>
      </c>
      <c r="IA162" s="132">
        <v>147.5</v>
      </c>
      <c r="IB162" s="179">
        <v>144.85918172200522</v>
      </c>
      <c r="IC162" s="99">
        <v>104.5689188639323</v>
      </c>
      <c r="ID162" s="99">
        <v>107.14286041259766</v>
      </c>
      <c r="IE162" s="99">
        <v>127.19298807779948</v>
      </c>
      <c r="IF162" s="99">
        <v>152.39319610595703</v>
      </c>
      <c r="IG162" s="132">
        <v>102.1573600769043</v>
      </c>
      <c r="IH162" s="179">
        <v>92.922014236450195</v>
      </c>
      <c r="II162" s="99">
        <v>131.56726531982423</v>
      </c>
      <c r="IJ162" s="99">
        <v>137.13370259602866</v>
      </c>
      <c r="IK162" s="99">
        <v>135.15901184082031</v>
      </c>
      <c r="IL162" s="99">
        <v>120.70206928253174</v>
      </c>
      <c r="IM162" s="99">
        <v>150.42199325561523</v>
      </c>
      <c r="IN162" s="93"/>
      <c r="IO162" s="132">
        <v>138.18815231323242</v>
      </c>
      <c r="IP162" s="29">
        <v>95</v>
      </c>
      <c r="IQ162" s="19"/>
      <c r="IR162" s="93"/>
      <c r="IS162" s="93"/>
      <c r="IT162" s="93"/>
      <c r="IU162" s="93"/>
      <c r="IV162" s="20"/>
      <c r="IW162" s="29">
        <v>95</v>
      </c>
      <c r="IX162" s="19"/>
      <c r="IY162" s="93"/>
      <c r="IZ162" s="93"/>
      <c r="JA162" s="93"/>
      <c r="JB162" s="93"/>
      <c r="JC162" s="93"/>
      <c r="JD162" s="93"/>
      <c r="JE162" s="20"/>
      <c r="JF162" s="29">
        <v>95</v>
      </c>
      <c r="JG162" s="19"/>
      <c r="JH162" s="93"/>
      <c r="JI162" s="93"/>
      <c r="JJ162" s="93"/>
      <c r="JK162" s="93"/>
      <c r="JL162" s="93"/>
      <c r="JM162" s="93"/>
      <c r="JN162" s="20"/>
      <c r="JO162" s="29">
        <v>95</v>
      </c>
      <c r="JP162" s="19"/>
      <c r="JQ162" s="93"/>
      <c r="JR162" s="93"/>
      <c r="JS162" s="93"/>
      <c r="JT162" s="93"/>
      <c r="JU162" s="20"/>
      <c r="JV162" s="29">
        <v>95</v>
      </c>
      <c r="JW162" s="1504">
        <v>39387</v>
      </c>
      <c r="JX162" s="19"/>
      <c r="JY162" s="93"/>
      <c r="JZ162" s="93"/>
      <c r="KA162" s="93"/>
      <c r="KB162" s="93"/>
      <c r="KC162" s="93"/>
      <c r="KD162" s="20"/>
      <c r="KE162" s="29">
        <v>95</v>
      </c>
      <c r="KF162" s="19"/>
      <c r="KG162" s="93"/>
      <c r="KH162" s="93"/>
      <c r="KI162" s="93"/>
      <c r="KJ162" s="93"/>
      <c r="KK162" s="20"/>
      <c r="KL162" s="29">
        <v>95</v>
      </c>
      <c r="KM162" s="19"/>
      <c r="KN162" s="93"/>
      <c r="KO162" s="93"/>
      <c r="KP162" s="93"/>
      <c r="KQ162" s="93"/>
      <c r="KR162" s="20"/>
      <c r="KS162" s="29">
        <v>95</v>
      </c>
      <c r="KT162" s="19"/>
      <c r="KU162" s="93"/>
      <c r="KV162" s="93"/>
      <c r="KW162" s="93"/>
      <c r="KX162" s="93"/>
      <c r="KY162" s="20"/>
      <c r="KZ162" s="29">
        <v>95</v>
      </c>
      <c r="LA162" s="1504">
        <v>39387</v>
      </c>
      <c r="LB162" s="19"/>
      <c r="LC162" s="93"/>
      <c r="LD162" s="93"/>
      <c r="LE162" s="93"/>
      <c r="LF162" s="93"/>
      <c r="LG162" s="93"/>
      <c r="LH162" s="20"/>
      <c r="LI162" s="29">
        <v>95</v>
      </c>
      <c r="LJ162" s="19"/>
      <c r="LK162" s="93"/>
      <c r="LL162" s="93"/>
      <c r="LM162" s="93"/>
      <c r="LN162" s="93"/>
      <c r="LO162" s="20"/>
      <c r="LP162" s="29">
        <v>95</v>
      </c>
      <c r="LQ162" s="19"/>
      <c r="LR162" s="93"/>
      <c r="LS162" s="93"/>
      <c r="LT162" s="93"/>
      <c r="LU162" s="93"/>
      <c r="LV162" s="93"/>
      <c r="LW162" s="93"/>
      <c r="LX162" s="93"/>
      <c r="LY162" s="93"/>
      <c r="LZ162" s="93"/>
      <c r="MA162" s="20"/>
      <c r="MB162" s="29">
        <v>95</v>
      </c>
      <c r="MC162" s="1504">
        <v>39387</v>
      </c>
      <c r="MD162" s="19"/>
      <c r="ME162" s="93"/>
      <c r="MF162" s="93"/>
      <c r="MG162" s="93"/>
      <c r="MH162" s="93"/>
      <c r="MI162" s="93"/>
      <c r="MJ162" s="93"/>
      <c r="MK162" s="93"/>
      <c r="ML162" s="93"/>
      <c r="MM162" s="93"/>
      <c r="MN162" s="93"/>
      <c r="MO162" s="93"/>
      <c r="MP162" s="93"/>
      <c r="MQ162" s="93"/>
      <c r="MR162" s="93"/>
      <c r="MS162" s="93"/>
      <c r="MT162" s="93"/>
      <c r="MU162" s="93"/>
      <c r="MV162" s="93"/>
      <c r="MW162" s="93"/>
      <c r="MX162" s="93"/>
      <c r="MY162" s="93"/>
      <c r="MZ162" s="93"/>
      <c r="NA162" s="93"/>
      <c r="NB162" s="93"/>
      <c r="NC162" s="93"/>
      <c r="ND162" s="93"/>
      <c r="NE162" s="93"/>
      <c r="NF162" s="93"/>
      <c r="NG162" s="93"/>
      <c r="NH162" s="93"/>
      <c r="NI162" s="93"/>
      <c r="NJ162" s="93"/>
      <c r="NK162" s="93"/>
      <c r="NL162" s="93"/>
      <c r="NM162" s="93"/>
      <c r="NN162" s="93"/>
      <c r="NO162" s="93"/>
      <c r="NP162" s="93"/>
      <c r="NQ162" s="93"/>
      <c r="NR162" s="93"/>
      <c r="NS162" s="93"/>
      <c r="NT162" s="93"/>
      <c r="NU162" s="93"/>
      <c r="NV162" s="93"/>
      <c r="NW162" s="93"/>
      <c r="NX162" s="93"/>
      <c r="NY162" s="93"/>
      <c r="NZ162" s="93"/>
      <c r="OA162" s="93"/>
      <c r="OB162" s="93"/>
      <c r="OC162" s="93"/>
      <c r="OD162" s="20"/>
      <c r="OE162" s="29">
        <v>95</v>
      </c>
      <c r="OF162" s="1504">
        <v>39387</v>
      </c>
      <c r="OG162" s="19"/>
      <c r="OH162" s="93">
        <v>206.6849</v>
      </c>
      <c r="OI162" s="93">
        <v>294.87552584184499</v>
      </c>
      <c r="OJ162" s="93">
        <v>0.29167626699999999</v>
      </c>
      <c r="OK162" s="93">
        <v>241.147149574845</v>
      </c>
      <c r="OL162" s="93">
        <v>53.436699999999995</v>
      </c>
      <c r="OM162" s="93">
        <v>501.56042584184502</v>
      </c>
      <c r="ON162" s="93">
        <v>276.85564517353686</v>
      </c>
      <c r="OO162" s="93">
        <v>778.41607101538193</v>
      </c>
      <c r="OP162" s="93"/>
      <c r="OQ162" s="93">
        <v>427.97506365193374</v>
      </c>
      <c r="OR162" s="93">
        <v>366.66727931399993</v>
      </c>
      <c r="OS162" s="93">
        <v>61.307784337933782</v>
      </c>
      <c r="OT162" s="93">
        <v>450.64277698944807</v>
      </c>
      <c r="OU162" s="93">
        <v>-157.562390287</v>
      </c>
      <c r="OV162" s="93">
        <v>-93.047390287000013</v>
      </c>
      <c r="OW162" s="93">
        <v>-64.514999999999986</v>
      </c>
      <c r="OX162" s="93">
        <v>608.20516727644804</v>
      </c>
      <c r="OY162" s="93">
        <v>2.3421568659999998</v>
      </c>
      <c r="OZ162" s="93">
        <v>605.86301041044806</v>
      </c>
      <c r="PA162" s="93">
        <v>115.094101896</v>
      </c>
      <c r="PB162" s="93">
        <v>-14.892332270000004</v>
      </c>
      <c r="PC162" s="20">
        <v>778.41607101538182</v>
      </c>
      <c r="PD162" s="29">
        <v>95</v>
      </c>
      <c r="PE162" s="19"/>
      <c r="PF162" s="93">
        <v>366.66727931399993</v>
      </c>
      <c r="PG162" s="93">
        <v>452.97056599299992</v>
      </c>
      <c r="PH162" s="93">
        <v>86.303286678999996</v>
      </c>
      <c r="PI162" s="93">
        <v>0.99</v>
      </c>
      <c r="PJ162" s="93">
        <v>-93.047390287000013</v>
      </c>
      <c r="PK162" s="93">
        <v>37.809149239</v>
      </c>
      <c r="PL162" s="93">
        <v>130.85653952600001</v>
      </c>
      <c r="PM162" s="93">
        <v>2.3421568659999998</v>
      </c>
      <c r="PN162" s="93">
        <v>0</v>
      </c>
      <c r="PO162" s="93">
        <v>0</v>
      </c>
      <c r="PP162" s="93">
        <v>5.4849200000000003E-4</v>
      </c>
      <c r="PQ162" s="93">
        <v>2.3416083739999998</v>
      </c>
      <c r="PR162" s="93">
        <v>282.85001467500001</v>
      </c>
      <c r="PS162" s="93">
        <v>226.1669</v>
      </c>
      <c r="PT162" s="93">
        <v>56.391438407999999</v>
      </c>
      <c r="PU162" s="93">
        <v>0.29167626699999999</v>
      </c>
      <c r="PV162" s="93">
        <v>0</v>
      </c>
      <c r="PW162" s="93">
        <v>0.21788036199999999</v>
      </c>
      <c r="PX162" s="93">
        <v>0</v>
      </c>
      <c r="PY162" s="93">
        <v>0</v>
      </c>
      <c r="PZ162" s="93">
        <v>0.21788036199999999</v>
      </c>
      <c r="QA162" s="93">
        <v>0</v>
      </c>
      <c r="QB162" s="93">
        <v>0</v>
      </c>
      <c r="QC162" s="93">
        <v>0</v>
      </c>
      <c r="QD162" s="93">
        <v>-6.0217784659999998</v>
      </c>
      <c r="QE162" s="20">
        <v>-9.4070677999999935E-2</v>
      </c>
      <c r="QF162" s="1739">
        <v>95</v>
      </c>
      <c r="QG162" s="19"/>
      <c r="QH162" s="1035">
        <v>61.307784337933782</v>
      </c>
      <c r="QI162" s="1035">
        <v>182.68298958955194</v>
      </c>
      <c r="QJ162" s="1035">
        <v>-121.37520525161815</v>
      </c>
      <c r="QK162" s="1035">
        <v>69.844999999999999</v>
      </c>
      <c r="QL162" s="1035">
        <v>19.481999999999999</v>
      </c>
      <c r="QM162" s="1035">
        <v>50.363</v>
      </c>
      <c r="QN162" s="1035">
        <v>0</v>
      </c>
      <c r="QO162" s="1035">
        <v>-64.514999999999986</v>
      </c>
      <c r="QP162" s="1035">
        <v>53.333999999999996</v>
      </c>
      <c r="QQ162" s="1035">
        <v>-117.84899999999999</v>
      </c>
      <c r="QR162" s="1035">
        <v>605.86301041044806</v>
      </c>
      <c r="QS162" s="1035">
        <v>11.546814686540268</v>
      </c>
      <c r="QT162" s="1035">
        <v>0</v>
      </c>
      <c r="QU162" s="1035">
        <v>58.543999999999997</v>
      </c>
      <c r="QV162" s="1035">
        <v>535.77219572390777</v>
      </c>
      <c r="QW162" s="93"/>
      <c r="QX162" s="93">
        <v>0.155</v>
      </c>
      <c r="QY162" s="93">
        <v>241.14714957484503</v>
      </c>
      <c r="QZ162" s="93">
        <v>276.85564517353686</v>
      </c>
      <c r="RA162" s="93">
        <v>0</v>
      </c>
      <c r="RB162" s="93">
        <v>23.203000000000003</v>
      </c>
      <c r="RC162" s="93">
        <v>2.004</v>
      </c>
      <c r="RD162" s="93">
        <v>5.0219999999999994</v>
      </c>
      <c r="RE162" s="93">
        <v>0</v>
      </c>
      <c r="RF162" s="93">
        <v>0</v>
      </c>
      <c r="RG162" s="93">
        <v>90.668999999999997</v>
      </c>
      <c r="RH162" s="93">
        <v>33.444999999999993</v>
      </c>
      <c r="RI162" s="93"/>
      <c r="RJ162" s="93"/>
      <c r="RK162" s="93"/>
      <c r="RL162" s="93"/>
      <c r="RM162" s="20"/>
      <c r="RN162" s="29">
        <v>95</v>
      </c>
      <c r="RO162" s="19"/>
      <c r="RP162" s="20"/>
      <c r="RQ162" s="29">
        <v>95</v>
      </c>
      <c r="RR162" s="20"/>
      <c r="RS162" s="29">
        <v>95</v>
      </c>
      <c r="RT162" s="1504">
        <v>39387</v>
      </c>
      <c r="RU162" s="19"/>
      <c r="RV162" s="20"/>
      <c r="RW162" s="29">
        <v>95</v>
      </c>
      <c r="RX162" s="1504">
        <v>39387</v>
      </c>
      <c r="RY162" s="29"/>
      <c r="RZ162" s="20"/>
      <c r="SA162" s="29"/>
      <c r="SB162" s="29">
        <v>95</v>
      </c>
    </row>
    <row r="163" spans="1:496">
      <c r="A163" s="41">
        <f t="shared" si="191"/>
        <v>2007</v>
      </c>
      <c r="B163" s="1504">
        <v>39417</v>
      </c>
      <c r="C163" s="1813"/>
      <c r="D163" s="1814"/>
      <c r="E163" s="1814"/>
      <c r="F163" s="1815"/>
      <c r="G163" s="1814"/>
      <c r="H163" s="1814"/>
      <c r="I163" s="1814"/>
      <c r="J163" s="1816"/>
      <c r="K163" s="1807"/>
      <c r="L163" s="25">
        <v>96</v>
      </c>
      <c r="M163" s="97"/>
      <c r="N163" s="1504">
        <v>39417</v>
      </c>
      <c r="O163" s="19"/>
      <c r="P163" s="93"/>
      <c r="Q163" s="93"/>
      <c r="R163" s="93"/>
      <c r="S163" s="93"/>
      <c r="T163" s="93"/>
      <c r="U163" s="93"/>
      <c r="V163" s="93"/>
      <c r="W163" s="93"/>
      <c r="X163" s="93"/>
      <c r="Y163" s="93"/>
      <c r="Z163" s="93"/>
      <c r="AA163" s="93"/>
      <c r="AB163" s="20"/>
      <c r="AC163" s="25">
        <v>96</v>
      </c>
      <c r="AD163" s="97"/>
      <c r="AE163" s="1504">
        <v>39417</v>
      </c>
      <c r="AF163" s="19"/>
      <c r="AG163" s="93"/>
      <c r="AH163" s="93"/>
      <c r="AI163" s="93"/>
      <c r="AJ163" s="93"/>
      <c r="AK163" s="93"/>
      <c r="AL163" s="93"/>
      <c r="AM163" s="93"/>
      <c r="AN163" s="93"/>
      <c r="AO163" s="93"/>
      <c r="AP163" s="93"/>
      <c r="AQ163" s="93"/>
      <c r="AR163" s="93"/>
      <c r="AS163" s="20"/>
      <c r="AT163" s="25">
        <v>96</v>
      </c>
      <c r="AU163" s="97"/>
      <c r="AV163" s="1504">
        <v>39417</v>
      </c>
      <c r="AW163" s="19"/>
      <c r="AX163" s="93"/>
      <c r="AY163" s="93"/>
      <c r="AZ163" s="93"/>
      <c r="BA163" s="93"/>
      <c r="BB163" s="93"/>
      <c r="BC163" s="93"/>
      <c r="BD163" s="93"/>
      <c r="BE163" s="93"/>
      <c r="BF163" s="93"/>
      <c r="BG163" s="93"/>
      <c r="BH163" s="93"/>
      <c r="BI163" s="93"/>
      <c r="BJ163" s="20"/>
      <c r="BK163" s="25">
        <v>96</v>
      </c>
      <c r="BL163" s="97"/>
      <c r="BM163" s="1504">
        <v>39417</v>
      </c>
      <c r="BN163" s="19"/>
      <c r="BO163" s="93"/>
      <c r="BP163" s="93"/>
      <c r="BQ163" s="93"/>
      <c r="BR163" s="93"/>
      <c r="BS163" s="93"/>
      <c r="BT163" s="93"/>
      <c r="BU163" s="20"/>
      <c r="BV163" s="25">
        <v>96</v>
      </c>
      <c r="BW163" s="97"/>
      <c r="BX163" s="1504">
        <v>39417</v>
      </c>
      <c r="BY163" s="19"/>
      <c r="BZ163" s="99">
        <v>664.95699999999999</v>
      </c>
      <c r="CA163" s="93"/>
      <c r="CB163" s="93"/>
      <c r="CC163" s="93"/>
      <c r="CD163" s="25">
        <v>96</v>
      </c>
      <c r="CE163" s="97"/>
      <c r="CF163" s="1504">
        <v>39417</v>
      </c>
      <c r="CG163" s="19">
        <v>1.53331321</v>
      </c>
      <c r="CH163" s="1626">
        <v>803.20299999999997</v>
      </c>
      <c r="CI163" s="219"/>
      <c r="CJ163" s="20"/>
      <c r="CK163" s="19"/>
      <c r="CL163" s="93"/>
      <c r="CM163" s="93"/>
      <c r="CN163" s="93"/>
      <c r="CO163" s="93"/>
      <c r="CP163" s="20"/>
      <c r="CQ163" s="219">
        <v>1978.91</v>
      </c>
      <c r="CR163" s="93">
        <v>1.7333333333333301</v>
      </c>
      <c r="CS163" s="93"/>
      <c r="CT163" s="93"/>
      <c r="CU163" s="93"/>
      <c r="CV163" s="214"/>
      <c r="CW163" s="29">
        <v>96</v>
      </c>
      <c r="CX163" s="41">
        <f t="shared" si="192"/>
        <v>2007</v>
      </c>
      <c r="CY163" s="1504">
        <v>39417</v>
      </c>
      <c r="CZ163" s="1916">
        <v>47.115023999999998</v>
      </c>
      <c r="DA163" s="1526">
        <v>29.873139999999999</v>
      </c>
      <c r="DB163" s="1526">
        <v>17.241883999999999</v>
      </c>
      <c r="DC163" s="182">
        <v>288475</v>
      </c>
      <c r="DD163" s="182">
        <v>287633</v>
      </c>
      <c r="DE163" s="290">
        <v>842</v>
      </c>
      <c r="DF163" s="29">
        <v>96</v>
      </c>
      <c r="DG163" s="1504">
        <v>39417</v>
      </c>
      <c r="DH163" s="19"/>
      <c r="DI163" s="93"/>
      <c r="DJ163" s="93"/>
      <c r="DK163" s="93"/>
      <c r="DL163" s="93"/>
      <c r="DM163" s="93"/>
      <c r="DN163" s="20"/>
      <c r="DO163" s="25"/>
      <c r="DP163" s="29">
        <v>96</v>
      </c>
      <c r="DQ163" s="1504">
        <v>39417</v>
      </c>
      <c r="DR163" s="19"/>
      <c r="DS163" s="93"/>
      <c r="DT163" s="93"/>
      <c r="DU163" s="93"/>
      <c r="DV163" s="93"/>
      <c r="DW163" s="93"/>
      <c r="DX163" s="20"/>
      <c r="DY163" s="29">
        <v>96</v>
      </c>
      <c r="DZ163" s="1504">
        <v>39417</v>
      </c>
      <c r="EA163" s="19"/>
      <c r="EB163" s="93"/>
      <c r="EC163" s="20"/>
      <c r="ED163" s="29">
        <v>96</v>
      </c>
      <c r="EE163" s="1504">
        <v>39417</v>
      </c>
      <c r="EF163" s="19"/>
      <c r="EG163" s="93"/>
      <c r="EH163" s="93"/>
      <c r="EI163" s="214"/>
      <c r="EJ163" s="93"/>
      <c r="EK163" s="93"/>
      <c r="EL163" s="93"/>
      <c r="EM163" s="93"/>
      <c r="EN163" s="20"/>
      <c r="EO163" s="29">
        <v>96</v>
      </c>
      <c r="EP163" s="1504">
        <v>39417</v>
      </c>
      <c r="EQ163" s="19"/>
      <c r="ER163" s="93"/>
      <c r="ES163" s="93"/>
      <c r="ET163" s="214"/>
      <c r="EU163" s="93"/>
      <c r="EV163" s="93"/>
      <c r="EW163" s="93"/>
      <c r="EX163" s="93"/>
      <c r="EY163" s="20"/>
      <c r="EZ163" s="29">
        <v>96</v>
      </c>
      <c r="FA163" s="1504">
        <v>39417</v>
      </c>
      <c r="FB163" s="29"/>
      <c r="FC163" s="29"/>
      <c r="FD163" s="29"/>
      <c r="FE163" s="29"/>
      <c r="FF163" s="29"/>
      <c r="FG163" s="29"/>
      <c r="FH163" s="29"/>
      <c r="FI163" s="29"/>
      <c r="FJ163" s="29"/>
      <c r="FK163" s="29">
        <v>96</v>
      </c>
      <c r="FL163" s="1504">
        <v>39417</v>
      </c>
      <c r="FM163" s="19"/>
      <c r="FN163" s="93"/>
      <c r="FO163" s="93"/>
      <c r="FP163" s="93"/>
      <c r="FQ163" s="93"/>
      <c r="FR163" s="93"/>
      <c r="FS163" s="93"/>
      <c r="FT163" s="93"/>
      <c r="FU163" s="93"/>
      <c r="FV163" s="93"/>
      <c r="FW163" s="93"/>
      <c r="FX163" s="93"/>
      <c r="FY163" s="93"/>
      <c r="FZ163" s="29">
        <v>96</v>
      </c>
      <c r="GA163" s="1504">
        <v>39417</v>
      </c>
      <c r="GB163" s="19"/>
      <c r="GC163" s="93"/>
      <c r="GD163" s="93"/>
      <c r="GE163" s="93"/>
      <c r="GF163" s="93"/>
      <c r="GG163" s="93"/>
      <c r="GH163" s="93"/>
      <c r="GI163" s="93"/>
      <c r="GJ163" s="93"/>
      <c r="GK163" s="93"/>
      <c r="GL163" s="93"/>
      <c r="GM163" s="93"/>
      <c r="GN163" s="20"/>
      <c r="GO163" s="29">
        <v>96</v>
      </c>
      <c r="GP163" s="1504">
        <v>39417</v>
      </c>
      <c r="GQ163" s="19"/>
      <c r="GR163" s="93"/>
      <c r="GS163" s="93"/>
      <c r="GT163" s="93"/>
      <c r="GU163" s="93"/>
      <c r="GV163" s="20"/>
      <c r="GW163" s="19"/>
      <c r="GX163" s="93"/>
      <c r="GY163" s="93"/>
      <c r="GZ163" s="93"/>
      <c r="HA163" s="93"/>
      <c r="HB163" s="20"/>
      <c r="HC163" s="19"/>
      <c r="HD163" s="93"/>
      <c r="HE163" s="93"/>
      <c r="HF163" s="93"/>
      <c r="HG163" s="93"/>
      <c r="HH163" s="20"/>
      <c r="HI163" s="19"/>
      <c r="HJ163" s="93"/>
      <c r="HK163" s="93"/>
      <c r="HL163" s="93"/>
      <c r="HM163" s="93"/>
      <c r="HN163" s="20"/>
      <c r="HO163" s="219"/>
      <c r="HP163" s="20"/>
      <c r="HQ163" s="25"/>
      <c r="HR163" s="29">
        <v>96</v>
      </c>
      <c r="HS163" s="1504">
        <v>39417</v>
      </c>
      <c r="HT163" s="179">
        <v>138.77865600585938</v>
      </c>
      <c r="HU163" s="99">
        <v>137.29688771565756</v>
      </c>
      <c r="HV163" s="99">
        <v>120.27026672363282</v>
      </c>
      <c r="HW163" s="99">
        <v>84.951461791992188</v>
      </c>
      <c r="HX163" s="99">
        <v>119.10774230957031</v>
      </c>
      <c r="HY163" s="99">
        <v>126.55826721191406</v>
      </c>
      <c r="HZ163" s="99">
        <v>141.40720291137694</v>
      </c>
      <c r="IA163" s="132">
        <v>141.33986663818359</v>
      </c>
      <c r="IB163" s="179">
        <v>118.60174560546875</v>
      </c>
      <c r="IC163" s="99">
        <v>79.605264663696289</v>
      </c>
      <c r="ID163" s="99">
        <v>114.63844807942708</v>
      </c>
      <c r="IE163" s="99">
        <v>99.667772928873703</v>
      </c>
      <c r="IF163" s="99">
        <v>157.95222167968751</v>
      </c>
      <c r="IG163" s="132">
        <v>96.243655395507815</v>
      </c>
      <c r="IH163" s="179">
        <v>81.364211082458496</v>
      </c>
      <c r="II163" s="99">
        <v>134.23892127143014</v>
      </c>
      <c r="IJ163" s="99">
        <v>117.24137573242187</v>
      </c>
      <c r="IK163" s="99">
        <v>117.04947471618652</v>
      </c>
      <c r="IL163" s="99">
        <v>109.34959716796875</v>
      </c>
      <c r="IM163" s="99">
        <v>135.88710021972656</v>
      </c>
      <c r="IN163" s="93"/>
      <c r="IO163" s="132">
        <v>132.29519805908203</v>
      </c>
      <c r="IP163" s="29">
        <v>96</v>
      </c>
      <c r="IQ163" s="19"/>
      <c r="IR163" s="93"/>
      <c r="IS163" s="93"/>
      <c r="IT163" s="93"/>
      <c r="IU163" s="93"/>
      <c r="IV163" s="20"/>
      <c r="IW163" s="29">
        <v>96</v>
      </c>
      <c r="IX163" s="19"/>
      <c r="IY163" s="93"/>
      <c r="IZ163" s="93"/>
      <c r="JA163" s="93"/>
      <c r="JB163" s="93"/>
      <c r="JC163" s="93"/>
      <c r="JD163" s="93"/>
      <c r="JE163" s="20"/>
      <c r="JF163" s="29">
        <v>96</v>
      </c>
      <c r="JG163" s="19"/>
      <c r="JH163" s="93"/>
      <c r="JI163" s="93"/>
      <c r="JJ163" s="93"/>
      <c r="JK163" s="93"/>
      <c r="JL163" s="93"/>
      <c r="JM163" s="93"/>
      <c r="JN163" s="20"/>
      <c r="JO163" s="29">
        <v>96</v>
      </c>
      <c r="JP163" s="19"/>
      <c r="JQ163" s="93"/>
      <c r="JR163" s="93"/>
      <c r="JS163" s="93"/>
      <c r="JT163" s="93"/>
      <c r="JU163" s="20"/>
      <c r="JV163" s="29">
        <v>96</v>
      </c>
      <c r="JW163" s="1504">
        <v>39417</v>
      </c>
      <c r="JX163" s="19"/>
      <c r="JY163" s="93"/>
      <c r="JZ163" s="93"/>
      <c r="KA163" s="93"/>
      <c r="KB163" s="93"/>
      <c r="KC163" s="93"/>
      <c r="KD163" s="20"/>
      <c r="KE163" s="29">
        <v>96</v>
      </c>
      <c r="KF163" s="19"/>
      <c r="KG163" s="93"/>
      <c r="KH163" s="93"/>
      <c r="KI163" s="93"/>
      <c r="KJ163" s="93"/>
      <c r="KK163" s="20"/>
      <c r="KL163" s="29">
        <v>96</v>
      </c>
      <c r="KM163" s="19"/>
      <c r="KN163" s="93"/>
      <c r="KO163" s="93"/>
      <c r="KP163" s="93"/>
      <c r="KQ163" s="93"/>
      <c r="KR163" s="20"/>
      <c r="KS163" s="29">
        <v>96</v>
      </c>
      <c r="KT163" s="19"/>
      <c r="KU163" s="93"/>
      <c r="KV163" s="93"/>
      <c r="KW163" s="93"/>
      <c r="KX163" s="93"/>
      <c r="KY163" s="20"/>
      <c r="KZ163" s="29">
        <v>96</v>
      </c>
      <c r="LA163" s="1504">
        <v>39417</v>
      </c>
      <c r="LB163" s="19"/>
      <c r="LC163" s="93"/>
      <c r="LD163" s="93"/>
      <c r="LE163" s="93"/>
      <c r="LF163" s="93"/>
      <c r="LG163" s="93"/>
      <c r="LH163" s="20"/>
      <c r="LI163" s="29">
        <v>96</v>
      </c>
      <c r="LJ163" s="19"/>
      <c r="LK163" s="93"/>
      <c r="LL163" s="93"/>
      <c r="LM163" s="93"/>
      <c r="LN163" s="93"/>
      <c r="LO163" s="20"/>
      <c r="LP163" s="29">
        <v>96</v>
      </c>
      <c r="LQ163" s="19"/>
      <c r="LR163" s="93"/>
      <c r="LS163" s="93"/>
      <c r="LT163" s="93"/>
      <c r="LU163" s="93"/>
      <c r="LV163" s="93"/>
      <c r="LW163" s="93"/>
      <c r="LX163" s="93"/>
      <c r="LY163" s="93"/>
      <c r="LZ163" s="93"/>
      <c r="MA163" s="20"/>
      <c r="MB163" s="29">
        <v>96</v>
      </c>
      <c r="MC163" s="1504">
        <v>39417</v>
      </c>
      <c r="MD163" s="19"/>
      <c r="ME163" s="93"/>
      <c r="MF163" s="93"/>
      <c r="MG163" s="93"/>
      <c r="MH163" s="93"/>
      <c r="MI163" s="93"/>
      <c r="MJ163" s="93"/>
      <c r="MK163" s="93"/>
      <c r="ML163" s="93"/>
      <c r="MM163" s="93"/>
      <c r="MN163" s="93"/>
      <c r="MO163" s="93"/>
      <c r="MP163" s="93"/>
      <c r="MQ163" s="93"/>
      <c r="MR163" s="93"/>
      <c r="MS163" s="93"/>
      <c r="MT163" s="93"/>
      <c r="MU163" s="93"/>
      <c r="MV163" s="93"/>
      <c r="MW163" s="93"/>
      <c r="MX163" s="93"/>
      <c r="MY163" s="93"/>
      <c r="MZ163" s="93"/>
      <c r="NA163" s="93"/>
      <c r="NB163" s="93"/>
      <c r="NC163" s="93"/>
      <c r="ND163" s="93"/>
      <c r="NE163" s="93"/>
      <c r="NF163" s="93"/>
      <c r="NG163" s="93"/>
      <c r="NH163" s="93"/>
      <c r="NI163" s="93"/>
      <c r="NJ163" s="93"/>
      <c r="NK163" s="93"/>
      <c r="NL163" s="93"/>
      <c r="NM163" s="93"/>
      <c r="NN163" s="93"/>
      <c r="NO163" s="93"/>
      <c r="NP163" s="93"/>
      <c r="NQ163" s="93"/>
      <c r="NR163" s="93"/>
      <c r="NS163" s="93"/>
      <c r="NT163" s="93"/>
      <c r="NU163" s="93"/>
      <c r="NV163" s="93"/>
      <c r="NW163" s="93"/>
      <c r="NX163" s="93"/>
      <c r="NY163" s="93"/>
      <c r="NZ163" s="93"/>
      <c r="OA163" s="93"/>
      <c r="OB163" s="93"/>
      <c r="OC163" s="93"/>
      <c r="OD163" s="20"/>
      <c r="OE163" s="29">
        <v>96</v>
      </c>
      <c r="OF163" s="1504">
        <v>39417</v>
      </c>
      <c r="OG163" s="19"/>
      <c r="OH163" s="93">
        <v>208.30500000000001</v>
      </c>
      <c r="OI163" s="93">
        <v>274.1410194215548</v>
      </c>
      <c r="OJ163" s="93">
        <v>0.38180552700000003</v>
      </c>
      <c r="OK163" s="93">
        <v>220.81081389455477</v>
      </c>
      <c r="OL163" s="93">
        <v>52.948399999999999</v>
      </c>
      <c r="OM163" s="93">
        <v>482.44601942155481</v>
      </c>
      <c r="ON163" s="93">
        <v>210.86858400574738</v>
      </c>
      <c r="OO163" s="93">
        <v>693.31460342730225</v>
      </c>
      <c r="OP163" s="93"/>
      <c r="OQ163" s="93">
        <v>409.79345903788351</v>
      </c>
      <c r="OR163" s="93">
        <v>349.53683607700003</v>
      </c>
      <c r="OS163" s="93">
        <v>60.256622960883547</v>
      </c>
      <c r="OT163" s="93">
        <v>384.4363353174187</v>
      </c>
      <c r="OU163" s="93">
        <v>-146.07659673699999</v>
      </c>
      <c r="OV163" s="93">
        <v>-71.482596736999994</v>
      </c>
      <c r="OW163" s="93">
        <v>-74.593999999999994</v>
      </c>
      <c r="OX163" s="93">
        <v>530.51293205441868</v>
      </c>
      <c r="OY163" s="93">
        <v>2.1241571149999996</v>
      </c>
      <c r="OZ163" s="93">
        <v>528.38877493941868</v>
      </c>
      <c r="PA163" s="93">
        <v>106.41103735199999</v>
      </c>
      <c r="PB163" s="93">
        <v>-5.4958464239999998</v>
      </c>
      <c r="PC163" s="20">
        <v>693.31460342730213</v>
      </c>
      <c r="PD163" s="29">
        <v>96</v>
      </c>
      <c r="PE163" s="19"/>
      <c r="PF163" s="93">
        <v>349.53683607700003</v>
      </c>
      <c r="PG163" s="93">
        <v>451.58487719800002</v>
      </c>
      <c r="PH163" s="93">
        <v>102.048041121</v>
      </c>
      <c r="PI163" s="93">
        <v>6.4000300000000001</v>
      </c>
      <c r="PJ163" s="93">
        <v>-71.482596736999994</v>
      </c>
      <c r="PK163" s="93">
        <v>37.754107863999998</v>
      </c>
      <c r="PL163" s="93">
        <v>109.236704601</v>
      </c>
      <c r="PM163" s="93">
        <v>2.1241571149999996</v>
      </c>
      <c r="PN163" s="93">
        <v>0</v>
      </c>
      <c r="PO163" s="93">
        <v>0</v>
      </c>
      <c r="PP163" s="93">
        <v>8.4165499999999996E-4</v>
      </c>
      <c r="PQ163" s="93">
        <v>2.1233154599999997</v>
      </c>
      <c r="PR163" s="93">
        <v>291.30526093599997</v>
      </c>
      <c r="PS163" s="93">
        <v>228.43899999999999</v>
      </c>
      <c r="PT163" s="93">
        <v>62.484455408999999</v>
      </c>
      <c r="PU163" s="93">
        <v>0.38180552700000003</v>
      </c>
      <c r="PV163" s="93">
        <v>0</v>
      </c>
      <c r="PW163" s="93">
        <v>7.6730208999999994E-2</v>
      </c>
      <c r="PX163" s="93">
        <v>0</v>
      </c>
      <c r="PY163" s="93">
        <v>0</v>
      </c>
      <c r="PZ163" s="93">
        <v>7.6730208999999994E-2</v>
      </c>
      <c r="QA163" s="93">
        <v>0</v>
      </c>
      <c r="QB163" s="93">
        <v>0</v>
      </c>
      <c r="QC163" s="93">
        <v>0</v>
      </c>
      <c r="QD163" s="93">
        <v>-8.535692856999999</v>
      </c>
      <c r="QE163" s="20">
        <v>3.7321281669999999</v>
      </c>
      <c r="QF163" s="1739">
        <v>96</v>
      </c>
      <c r="QG163" s="19"/>
      <c r="QH163" s="1035">
        <v>60.256622960883547</v>
      </c>
      <c r="QI163" s="1035">
        <v>167.2942250605814</v>
      </c>
      <c r="QJ163" s="1035">
        <v>-107.03760209969785</v>
      </c>
      <c r="QK163" s="1035">
        <v>83.334000000000003</v>
      </c>
      <c r="QL163" s="1035">
        <v>20.134</v>
      </c>
      <c r="QM163" s="1035">
        <v>63.2</v>
      </c>
      <c r="QN163" s="1035">
        <v>0</v>
      </c>
      <c r="QO163" s="1035">
        <v>-74.593999999999994</v>
      </c>
      <c r="QP163" s="1035">
        <v>47.544000000000004</v>
      </c>
      <c r="QQ163" s="1035">
        <v>-122.13799999999999</v>
      </c>
      <c r="QR163" s="1035">
        <v>528.38877493941868</v>
      </c>
      <c r="QS163" s="1035">
        <v>10.913912380224991</v>
      </c>
      <c r="QT163" s="1035">
        <v>0</v>
      </c>
      <c r="QU163" s="1035">
        <v>52.970999999999997</v>
      </c>
      <c r="QV163" s="1035">
        <v>464.50386255919369</v>
      </c>
      <c r="QW163" s="93"/>
      <c r="QX163" s="93">
        <v>5.5910000000000002</v>
      </c>
      <c r="QY163" s="93">
        <v>220.81081389455477</v>
      </c>
      <c r="QZ163" s="93">
        <v>210.86858400574738</v>
      </c>
      <c r="RA163" s="93">
        <v>0</v>
      </c>
      <c r="RB163" s="93">
        <v>22.226999999999997</v>
      </c>
      <c r="RC163" s="93">
        <v>0</v>
      </c>
      <c r="RD163" s="93">
        <v>7.9059999999999997</v>
      </c>
      <c r="RE163" s="93">
        <v>0</v>
      </c>
      <c r="RF163" s="93">
        <v>0</v>
      </c>
      <c r="RG163" s="93">
        <v>84.736999999999995</v>
      </c>
      <c r="RH163" s="93">
        <v>45.245000000000005</v>
      </c>
      <c r="RI163" s="93"/>
      <c r="RJ163" s="93"/>
      <c r="RK163" s="93"/>
      <c r="RL163" s="93"/>
      <c r="RM163" s="20"/>
      <c r="RN163" s="29">
        <v>96</v>
      </c>
      <c r="RO163" s="19"/>
      <c r="RP163" s="20"/>
      <c r="RQ163" s="29">
        <v>96</v>
      </c>
      <c r="RR163" s="20"/>
      <c r="RS163" s="29">
        <v>96</v>
      </c>
      <c r="RT163" s="1504">
        <v>39417</v>
      </c>
      <c r="RU163" s="19"/>
      <c r="RV163" s="20"/>
      <c r="RW163" s="29">
        <v>96</v>
      </c>
      <c r="RX163" s="1504">
        <v>39417</v>
      </c>
      <c r="RY163" s="29"/>
      <c r="RZ163" s="20"/>
      <c r="SA163" s="29"/>
      <c r="SB163" s="29">
        <v>96</v>
      </c>
    </row>
    <row r="164" spans="1:496">
      <c r="A164" s="41">
        <f t="shared" si="191"/>
        <v>2008</v>
      </c>
      <c r="B164" s="1504">
        <v>39448</v>
      </c>
      <c r="C164" s="1813"/>
      <c r="D164" s="1814"/>
      <c r="E164" s="1814"/>
      <c r="F164" s="1815"/>
      <c r="G164" s="1814"/>
      <c r="H164" s="1814"/>
      <c r="I164" s="1814"/>
      <c r="J164" s="1816"/>
      <c r="K164" s="1807"/>
      <c r="L164" s="25">
        <v>97</v>
      </c>
      <c r="M164" s="97"/>
      <c r="N164" s="1504">
        <v>39448</v>
      </c>
      <c r="O164" s="19"/>
      <c r="P164" s="93"/>
      <c r="Q164" s="93"/>
      <c r="R164" s="93"/>
      <c r="S164" s="93"/>
      <c r="T164" s="93"/>
      <c r="U164" s="93"/>
      <c r="V164" s="93"/>
      <c r="W164" s="93"/>
      <c r="X164" s="93"/>
      <c r="Y164" s="93"/>
      <c r="Z164" s="93"/>
      <c r="AA164" s="93"/>
      <c r="AB164" s="20"/>
      <c r="AC164" s="25">
        <v>97</v>
      </c>
      <c r="AD164" s="97"/>
      <c r="AE164" s="1504">
        <v>39448</v>
      </c>
      <c r="AF164" s="19"/>
      <c r="AG164" s="93"/>
      <c r="AH164" s="93"/>
      <c r="AI164" s="93"/>
      <c r="AJ164" s="93"/>
      <c r="AK164" s="93"/>
      <c r="AL164" s="93"/>
      <c r="AM164" s="93"/>
      <c r="AN164" s="93"/>
      <c r="AO164" s="93"/>
      <c r="AP164" s="93"/>
      <c r="AQ164" s="93"/>
      <c r="AR164" s="93"/>
      <c r="AS164" s="20"/>
      <c r="AT164" s="25">
        <v>97</v>
      </c>
      <c r="AU164" s="97"/>
      <c r="AV164" s="1504">
        <v>39448</v>
      </c>
      <c r="AW164" s="19"/>
      <c r="AX164" s="93"/>
      <c r="AY164" s="93"/>
      <c r="AZ164" s="93"/>
      <c r="BA164" s="93"/>
      <c r="BB164" s="93"/>
      <c r="BC164" s="93"/>
      <c r="BD164" s="93"/>
      <c r="BE164" s="93"/>
      <c r="BF164" s="93"/>
      <c r="BG164" s="93"/>
      <c r="BH164" s="93"/>
      <c r="BI164" s="93"/>
      <c r="BJ164" s="20"/>
      <c r="BK164" s="25">
        <v>97</v>
      </c>
      <c r="BL164" s="97"/>
      <c r="BM164" s="1504">
        <v>39448</v>
      </c>
      <c r="BN164" s="19"/>
      <c r="BO164" s="93"/>
      <c r="BP164" s="93"/>
      <c r="BQ164" s="93"/>
      <c r="BR164" s="93"/>
      <c r="BS164" s="93"/>
      <c r="BT164" s="93"/>
      <c r="BU164" s="20"/>
      <c r="BV164" s="25">
        <v>97</v>
      </c>
      <c r="BW164" s="97"/>
      <c r="BX164" s="1504">
        <v>39448</v>
      </c>
      <c r="BY164" s="19"/>
      <c r="BZ164" s="99">
        <v>664.95699999999999</v>
      </c>
      <c r="CA164" s="93"/>
      <c r="CB164" s="93"/>
      <c r="CC164" s="93"/>
      <c r="CD164" s="25">
        <v>97</v>
      </c>
      <c r="CE164" s="97"/>
      <c r="CF164" s="1504">
        <v>39448</v>
      </c>
      <c r="CG164" s="19">
        <v>1.61488415</v>
      </c>
      <c r="CH164" s="1626">
        <v>889.59500000000003</v>
      </c>
      <c r="CI164" s="219"/>
      <c r="CJ164" s="20"/>
      <c r="CK164" s="19"/>
      <c r="CL164" s="93"/>
      <c r="CM164" s="93"/>
      <c r="CN164" s="93"/>
      <c r="CO164" s="93"/>
      <c r="CP164" s="20"/>
      <c r="CQ164" s="219">
        <v>1984.16</v>
      </c>
      <c r="CR164" s="93">
        <v>2.1425000000000001</v>
      </c>
      <c r="CS164" s="93"/>
      <c r="CT164" s="93"/>
      <c r="CU164" s="93"/>
      <c r="CV164" s="214"/>
      <c r="CW164" s="29">
        <v>97</v>
      </c>
      <c r="CX164" s="41">
        <f t="shared" si="192"/>
        <v>2008</v>
      </c>
      <c r="CY164" s="1504">
        <v>39448</v>
      </c>
      <c r="CZ164" s="1916">
        <v>49.327707000000004</v>
      </c>
      <c r="DA164" s="1526">
        <v>30.681286</v>
      </c>
      <c r="DB164" s="1526">
        <v>18.646421</v>
      </c>
      <c r="DC164" s="182">
        <f t="shared" ref="DC164:DC174" si="199">DC165</f>
        <v>308942</v>
      </c>
      <c r="DD164" s="182">
        <f t="shared" ref="DD164:DD174" si="200">DD165</f>
        <v>308032</v>
      </c>
      <c r="DE164" s="182">
        <f t="shared" ref="DE164:DE174" si="201">DE165</f>
        <v>910</v>
      </c>
      <c r="DF164" s="29">
        <v>97</v>
      </c>
      <c r="DG164" s="1504">
        <v>39448</v>
      </c>
      <c r="DH164" s="19"/>
      <c r="DI164" s="93"/>
      <c r="DJ164" s="93"/>
      <c r="DK164" s="93"/>
      <c r="DL164" s="93"/>
      <c r="DM164" s="93"/>
      <c r="DN164" s="20"/>
      <c r="DO164" s="25"/>
      <c r="DP164" s="29">
        <v>97</v>
      </c>
      <c r="DQ164" s="1504">
        <v>39448</v>
      </c>
      <c r="DR164" s="19"/>
      <c r="DS164" s="93"/>
      <c r="DT164" s="93"/>
      <c r="DU164" s="93"/>
      <c r="DV164" s="93"/>
      <c r="DW164" s="93"/>
      <c r="DX164" s="20"/>
      <c r="DY164" s="29">
        <v>97</v>
      </c>
      <c r="DZ164" s="1504">
        <v>39448</v>
      </c>
      <c r="EA164" s="19"/>
      <c r="EB164" s="93"/>
      <c r="EC164" s="20"/>
      <c r="ED164" s="29">
        <v>97</v>
      </c>
      <c r="EE164" s="1504">
        <v>39448</v>
      </c>
      <c r="EF164" s="19"/>
      <c r="EG164" s="93"/>
      <c r="EH164" s="93"/>
      <c r="EI164" s="214"/>
      <c r="EJ164" s="93"/>
      <c r="EK164" s="93"/>
      <c r="EL164" s="93"/>
      <c r="EM164" s="93"/>
      <c r="EN164" s="20"/>
      <c r="EO164" s="29">
        <v>97</v>
      </c>
      <c r="EP164" s="1504">
        <v>39448</v>
      </c>
      <c r="EQ164" s="19"/>
      <c r="ER164" s="93"/>
      <c r="ES164" s="93"/>
      <c r="ET164" s="214"/>
      <c r="EU164" s="93"/>
      <c r="EV164" s="93"/>
      <c r="EW164" s="93"/>
      <c r="EX164" s="93"/>
      <c r="EY164" s="20"/>
      <c r="EZ164" s="29">
        <v>97</v>
      </c>
      <c r="FA164" s="1504">
        <v>39448</v>
      </c>
      <c r="FB164" s="29"/>
      <c r="FC164" s="29"/>
      <c r="FD164" s="29"/>
      <c r="FE164" s="29"/>
      <c r="FF164" s="29"/>
      <c r="FG164" s="29"/>
      <c r="FH164" s="29"/>
      <c r="FI164" s="29"/>
      <c r="FJ164" s="29"/>
      <c r="FK164" s="29">
        <v>97</v>
      </c>
      <c r="FL164" s="1504">
        <v>39448</v>
      </c>
      <c r="FM164" s="19"/>
      <c r="FN164" s="93"/>
      <c r="FO164" s="93"/>
      <c r="FP164" s="93"/>
      <c r="FQ164" s="93"/>
      <c r="FR164" s="93"/>
      <c r="FS164" s="93"/>
      <c r="FT164" s="93"/>
      <c r="FU164" s="93"/>
      <c r="FV164" s="93"/>
      <c r="FW164" s="93"/>
      <c r="FX164" s="93"/>
      <c r="FY164" s="93"/>
      <c r="FZ164" s="29">
        <v>97</v>
      </c>
      <c r="GA164" s="1504">
        <v>39448</v>
      </c>
      <c r="GB164" s="19"/>
      <c r="GC164" s="93"/>
      <c r="GD164" s="93"/>
      <c r="GE164" s="93"/>
      <c r="GF164" s="93"/>
      <c r="GG164" s="93"/>
      <c r="GH164" s="93"/>
      <c r="GI164" s="93"/>
      <c r="GJ164" s="93"/>
      <c r="GK164" s="93"/>
      <c r="GL164" s="93"/>
      <c r="GM164" s="93"/>
      <c r="GN164" s="20"/>
      <c r="GO164" s="29">
        <v>97</v>
      </c>
      <c r="GP164" s="1504">
        <v>39448</v>
      </c>
      <c r="GQ164" s="19"/>
      <c r="GR164" s="93"/>
      <c r="GS164" s="93"/>
      <c r="GT164" s="93"/>
      <c r="GU164" s="93"/>
      <c r="GV164" s="20"/>
      <c r="GW164" s="19"/>
      <c r="GX164" s="93"/>
      <c r="GY164" s="93"/>
      <c r="GZ164" s="93"/>
      <c r="HA164" s="93"/>
      <c r="HB164" s="20"/>
      <c r="HC164" s="19"/>
      <c r="HD164" s="93"/>
      <c r="HE164" s="93"/>
      <c r="HF164" s="93"/>
      <c r="HG164" s="93"/>
      <c r="HH164" s="20"/>
      <c r="HI164" s="19"/>
      <c r="HJ164" s="93"/>
      <c r="HK164" s="93"/>
      <c r="HL164" s="93"/>
      <c r="HM164" s="93"/>
      <c r="HN164" s="20"/>
      <c r="HO164" s="219"/>
      <c r="HP164" s="20"/>
      <c r="HQ164" s="25"/>
      <c r="HR164" s="29">
        <v>97</v>
      </c>
      <c r="HS164" s="1504">
        <v>39448</v>
      </c>
      <c r="HT164" s="179">
        <v>135.65638732910156</v>
      </c>
      <c r="HU164" s="99">
        <v>140.87301635742188</v>
      </c>
      <c r="HV164" s="99">
        <v>128.80869293212891</v>
      </c>
      <c r="HW164" s="99">
        <v>88.996767679850265</v>
      </c>
      <c r="HX164" s="99">
        <v>117.84511566162109</v>
      </c>
      <c r="HY164" s="99">
        <v>122.99606704711914</v>
      </c>
      <c r="HZ164" s="99">
        <v>135.09446334838867</v>
      </c>
      <c r="IA164" s="132">
        <v>146.96484985351563</v>
      </c>
      <c r="IB164" s="179">
        <v>131.98380737304689</v>
      </c>
      <c r="IC164" s="99">
        <v>83.419692993164063</v>
      </c>
      <c r="ID164" s="99">
        <v>136.90476481119791</v>
      </c>
      <c r="IE164" s="99">
        <v>110.65573883056641</v>
      </c>
      <c r="IF164" s="99">
        <v>162.50000381469727</v>
      </c>
      <c r="IG164" s="132">
        <v>93.274112701416016</v>
      </c>
      <c r="IH164" s="179">
        <v>89.732002258300781</v>
      </c>
      <c r="II164" s="99">
        <v>132.40028381347656</v>
      </c>
      <c r="IJ164" s="99">
        <v>124.99999237060547</v>
      </c>
      <c r="IK164" s="99">
        <v>114.84099578857422</v>
      </c>
      <c r="IL164" s="99">
        <v>108.90921783447266</v>
      </c>
      <c r="IM164" s="99">
        <v>140.96774291992188</v>
      </c>
      <c r="IN164" s="93"/>
      <c r="IO164" s="132">
        <v>138.50875854492188</v>
      </c>
      <c r="IP164" s="29">
        <v>97</v>
      </c>
      <c r="IQ164" s="19"/>
      <c r="IR164" s="93"/>
      <c r="IS164" s="93"/>
      <c r="IT164" s="93"/>
      <c r="IU164" s="93"/>
      <c r="IV164" s="20"/>
      <c r="IW164" s="29">
        <v>97</v>
      </c>
      <c r="IX164" s="19"/>
      <c r="IY164" s="93"/>
      <c r="IZ164" s="93"/>
      <c r="JA164" s="93"/>
      <c r="JB164" s="93"/>
      <c r="JC164" s="93"/>
      <c r="JD164" s="93"/>
      <c r="JE164" s="20"/>
      <c r="JF164" s="29">
        <v>97</v>
      </c>
      <c r="JG164" s="19"/>
      <c r="JH164" s="93"/>
      <c r="JI164" s="93"/>
      <c r="JJ164" s="93"/>
      <c r="JK164" s="93"/>
      <c r="JL164" s="93"/>
      <c r="JM164" s="93"/>
      <c r="JN164" s="20"/>
      <c r="JO164" s="29">
        <v>97</v>
      </c>
      <c r="JP164" s="19"/>
      <c r="JQ164" s="93"/>
      <c r="JR164" s="93"/>
      <c r="JS164" s="93"/>
      <c r="JT164" s="93"/>
      <c r="JU164" s="20"/>
      <c r="JV164" s="29">
        <v>97</v>
      </c>
      <c r="JW164" s="1504">
        <v>39448</v>
      </c>
      <c r="JX164" s="19"/>
      <c r="JY164" s="93"/>
      <c r="JZ164" s="93"/>
      <c r="KA164" s="93"/>
      <c r="KB164" s="93"/>
      <c r="KC164" s="93"/>
      <c r="KD164" s="20"/>
      <c r="KE164" s="29">
        <v>97</v>
      </c>
      <c r="KF164" s="19"/>
      <c r="KG164" s="93"/>
      <c r="KH164" s="93"/>
      <c r="KI164" s="93"/>
      <c r="KJ164" s="93"/>
      <c r="KK164" s="20"/>
      <c r="KL164" s="29">
        <v>97</v>
      </c>
      <c r="KM164" s="19"/>
      <c r="KN164" s="93"/>
      <c r="KO164" s="93"/>
      <c r="KP164" s="93"/>
      <c r="KQ164" s="93"/>
      <c r="KR164" s="20"/>
      <c r="KS164" s="29">
        <v>97</v>
      </c>
      <c r="KT164" s="19"/>
      <c r="KU164" s="93"/>
      <c r="KV164" s="93"/>
      <c r="KW164" s="93"/>
      <c r="KX164" s="93"/>
      <c r="KY164" s="20"/>
      <c r="KZ164" s="29">
        <v>97</v>
      </c>
      <c r="LA164" s="1504">
        <v>39448</v>
      </c>
      <c r="LB164" s="19"/>
      <c r="LC164" s="93"/>
      <c r="LD164" s="93"/>
      <c r="LE164" s="93"/>
      <c r="LF164" s="93"/>
      <c r="LG164" s="93"/>
      <c r="LH164" s="20"/>
      <c r="LI164" s="29">
        <v>97</v>
      </c>
      <c r="LJ164" s="19"/>
      <c r="LK164" s="93"/>
      <c r="LL164" s="93"/>
      <c r="LM164" s="93"/>
      <c r="LN164" s="93"/>
      <c r="LO164" s="20"/>
      <c r="LP164" s="29">
        <v>97</v>
      </c>
      <c r="LQ164" s="19"/>
      <c r="LR164" s="93"/>
      <c r="LS164" s="93"/>
      <c r="LT164" s="93"/>
      <c r="LU164" s="93"/>
      <c r="LV164" s="93"/>
      <c r="LW164" s="93"/>
      <c r="LX164" s="93"/>
      <c r="LY164" s="93"/>
      <c r="LZ164" s="93"/>
      <c r="MA164" s="20"/>
      <c r="MB164" s="29">
        <v>97</v>
      </c>
      <c r="MC164" s="1504">
        <v>39448</v>
      </c>
      <c r="MD164" s="19"/>
      <c r="ME164" s="93"/>
      <c r="MF164" s="93"/>
      <c r="MG164" s="93"/>
      <c r="MH164" s="93"/>
      <c r="MI164" s="93"/>
      <c r="MJ164" s="93"/>
      <c r="MK164" s="93"/>
      <c r="ML164" s="93"/>
      <c r="MM164" s="93"/>
      <c r="MN164" s="93"/>
      <c r="MO164" s="93"/>
      <c r="MP164" s="93"/>
      <c r="MQ164" s="93"/>
      <c r="MR164" s="93"/>
      <c r="MS164" s="93"/>
      <c r="MT164" s="93"/>
      <c r="MU164" s="93"/>
      <c r="MV164" s="93"/>
      <c r="MW164" s="93"/>
      <c r="MX164" s="93"/>
      <c r="MY164" s="93"/>
      <c r="MZ164" s="93"/>
      <c r="NA164" s="93"/>
      <c r="NB164" s="93"/>
      <c r="NC164" s="93"/>
      <c r="ND164" s="93"/>
      <c r="NE164" s="93"/>
      <c r="NF164" s="93"/>
      <c r="NG164" s="93"/>
      <c r="NH164" s="93"/>
      <c r="NI164" s="93"/>
      <c r="NJ164" s="93"/>
      <c r="NK164" s="93"/>
      <c r="NL164" s="93"/>
      <c r="NM164" s="93"/>
      <c r="NN164" s="93"/>
      <c r="NO164" s="93"/>
      <c r="NP164" s="93"/>
      <c r="NQ164" s="93"/>
      <c r="NR164" s="93"/>
      <c r="NS164" s="93"/>
      <c r="NT164" s="93"/>
      <c r="NU164" s="93"/>
      <c r="NV164" s="93"/>
      <c r="NW164" s="93"/>
      <c r="NX164" s="93"/>
      <c r="NY164" s="93"/>
      <c r="NZ164" s="93"/>
      <c r="OA164" s="93"/>
      <c r="OB164" s="93"/>
      <c r="OC164" s="93"/>
      <c r="OD164" s="20"/>
      <c r="OE164" s="29">
        <v>97</v>
      </c>
      <c r="OF164" s="1504">
        <v>39448</v>
      </c>
      <c r="OG164" s="19"/>
      <c r="OH164" s="93">
        <v>175.93619999999999</v>
      </c>
      <c r="OI164" s="93">
        <v>282.00334029618199</v>
      </c>
      <c r="OJ164" s="93">
        <v>0.31396945700000001</v>
      </c>
      <c r="OK164" s="93">
        <v>228.74097083918198</v>
      </c>
      <c r="OL164" s="93">
        <v>52.948399999999999</v>
      </c>
      <c r="OM164" s="93">
        <v>457.93954029618197</v>
      </c>
      <c r="ON164" s="93">
        <v>288.76679842744153</v>
      </c>
      <c r="OO164" s="93">
        <v>746.7063387236235</v>
      </c>
      <c r="OP164" s="93"/>
      <c r="OQ164" s="93">
        <v>410.37931099565526</v>
      </c>
      <c r="OR164" s="93">
        <v>314.28395746699994</v>
      </c>
      <c r="OS164" s="93">
        <v>96.095353528655366</v>
      </c>
      <c r="OT164" s="93">
        <v>457.91803951196823</v>
      </c>
      <c r="OU164" s="93">
        <v>-141.33537688199999</v>
      </c>
      <c r="OV164" s="93">
        <v>-50.680376881999997</v>
      </c>
      <c r="OW164" s="93">
        <v>-90.654999999999987</v>
      </c>
      <c r="OX164" s="93">
        <v>599.25341639396822</v>
      </c>
      <c r="OY164" s="93">
        <v>2.1040006560000002</v>
      </c>
      <c r="OZ164" s="93">
        <v>597.14941573796818</v>
      </c>
      <c r="PA164" s="93">
        <v>132.28526285600003</v>
      </c>
      <c r="PB164" s="93">
        <v>-10.694251071999993</v>
      </c>
      <c r="PC164" s="20">
        <v>746.7063387236235</v>
      </c>
      <c r="PD164" s="29">
        <v>97</v>
      </c>
      <c r="PE164" s="19"/>
      <c r="PF164" s="93">
        <v>314.28395746699994</v>
      </c>
      <c r="PG164" s="93">
        <v>422.14750316299995</v>
      </c>
      <c r="PH164" s="93">
        <v>107.863545696</v>
      </c>
      <c r="PI164" s="93">
        <v>7.59</v>
      </c>
      <c r="PJ164" s="93">
        <v>-50.680376881999997</v>
      </c>
      <c r="PK164" s="93">
        <v>39.271350169999998</v>
      </c>
      <c r="PL164" s="93">
        <v>89.951727051999995</v>
      </c>
      <c r="PM164" s="93">
        <v>2.1040006560000002</v>
      </c>
      <c r="PN164" s="93">
        <v>0</v>
      </c>
      <c r="PO164" s="93">
        <v>0</v>
      </c>
      <c r="PP164" s="93">
        <v>4.6096400000000001E-4</v>
      </c>
      <c r="PQ164" s="93">
        <v>2.103539692</v>
      </c>
      <c r="PR164" s="93">
        <v>274.73825167799998</v>
      </c>
      <c r="PS164" s="93">
        <v>200.1472</v>
      </c>
      <c r="PT164" s="93">
        <v>74.277082221000001</v>
      </c>
      <c r="PU164" s="93">
        <v>0.31396945700000001</v>
      </c>
      <c r="PV164" s="93">
        <v>0</v>
      </c>
      <c r="PW164" s="93">
        <v>0.15759508799999999</v>
      </c>
      <c r="PX164" s="93">
        <v>0</v>
      </c>
      <c r="PY164" s="93">
        <v>0</v>
      </c>
      <c r="PZ164" s="93">
        <v>0.15759508799999999</v>
      </c>
      <c r="QA164" s="93">
        <v>0</v>
      </c>
      <c r="QB164" s="93">
        <v>0</v>
      </c>
      <c r="QC164" s="93">
        <v>0</v>
      </c>
      <c r="QD164" s="93">
        <v>8.1667768000000002E-2</v>
      </c>
      <c r="QE164" s="20">
        <v>-1.6799332930000004</v>
      </c>
      <c r="QF164" s="1739">
        <v>97</v>
      </c>
      <c r="QG164" s="19"/>
      <c r="QH164" s="1035">
        <v>96.095353528655366</v>
      </c>
      <c r="QI164" s="1035">
        <v>190.61858426203182</v>
      </c>
      <c r="QJ164" s="1035">
        <v>-94.523230733376451</v>
      </c>
      <c r="QK164" s="1035">
        <v>50.851999999999997</v>
      </c>
      <c r="QL164" s="1035">
        <v>24.210999999999999</v>
      </c>
      <c r="QM164" s="1035">
        <v>26.640999999999998</v>
      </c>
      <c r="QN164" s="1035">
        <v>0</v>
      </c>
      <c r="QO164" s="1035">
        <v>-90.654999999999987</v>
      </c>
      <c r="QP164" s="1035">
        <v>50.11</v>
      </c>
      <c r="QQ164" s="1035">
        <v>-140.76499999999999</v>
      </c>
      <c r="QR164" s="1035">
        <v>597.14941573796818</v>
      </c>
      <c r="QS164" s="1035">
        <v>9.8911410518171259</v>
      </c>
      <c r="QT164" s="1035">
        <v>0</v>
      </c>
      <c r="QU164" s="1035">
        <v>0</v>
      </c>
      <c r="QV164" s="1035">
        <v>587.25827468615103</v>
      </c>
      <c r="QW164" s="93"/>
      <c r="QX164" s="93">
        <v>1.6659999999999999</v>
      </c>
      <c r="QY164" s="93">
        <v>228.74097083918198</v>
      </c>
      <c r="QZ164" s="93">
        <v>288.76679842744153</v>
      </c>
      <c r="RA164" s="93">
        <v>0</v>
      </c>
      <c r="RB164" s="93">
        <v>26.337</v>
      </c>
      <c r="RC164" s="93">
        <v>1.603</v>
      </c>
      <c r="RD164" s="93">
        <v>9.0650000000000013</v>
      </c>
      <c r="RE164" s="93">
        <v>0</v>
      </c>
      <c r="RF164" s="93">
        <v>0</v>
      </c>
      <c r="RG164" s="93">
        <v>95.041000000000011</v>
      </c>
      <c r="RH164" s="93">
        <v>2.2220000000000084</v>
      </c>
      <c r="RI164" s="93"/>
      <c r="RJ164" s="93"/>
      <c r="RK164" s="93"/>
      <c r="RL164" s="93"/>
      <c r="RM164" s="20"/>
      <c r="RN164" s="29">
        <v>97</v>
      </c>
      <c r="RO164" s="19"/>
      <c r="RP164" s="20"/>
      <c r="RQ164" s="29">
        <v>97</v>
      </c>
      <c r="RR164" s="20"/>
      <c r="RS164" s="29">
        <v>97</v>
      </c>
      <c r="RT164" s="1504">
        <v>39448</v>
      </c>
      <c r="RU164" s="19"/>
      <c r="RV164" s="20"/>
      <c r="RW164" s="29">
        <v>97</v>
      </c>
      <c r="RX164" s="1504">
        <v>39448</v>
      </c>
      <c r="RY164" s="29"/>
      <c r="RZ164" s="20"/>
      <c r="SA164" s="29"/>
      <c r="SB164" s="29">
        <v>97</v>
      </c>
    </row>
    <row r="165" spans="1:496">
      <c r="A165" s="41">
        <f t="shared" si="191"/>
        <v>2008</v>
      </c>
      <c r="B165" s="1504">
        <v>39479</v>
      </c>
      <c r="C165" s="1813"/>
      <c r="D165" s="1814"/>
      <c r="E165" s="1814"/>
      <c r="F165" s="1815"/>
      <c r="G165" s="1814"/>
      <c r="H165" s="1814"/>
      <c r="I165" s="1814"/>
      <c r="J165" s="1816"/>
      <c r="K165" s="1807"/>
      <c r="L165" s="25">
        <v>98</v>
      </c>
      <c r="M165" s="97"/>
      <c r="N165" s="1504">
        <v>39479</v>
      </c>
      <c r="O165" s="19"/>
      <c r="P165" s="93"/>
      <c r="Q165" s="93"/>
      <c r="R165" s="93"/>
      <c r="S165" s="93"/>
      <c r="T165" s="93"/>
      <c r="U165" s="93"/>
      <c r="V165" s="93"/>
      <c r="W165" s="93"/>
      <c r="X165" s="93"/>
      <c r="Y165" s="93"/>
      <c r="Z165" s="93"/>
      <c r="AA165" s="93"/>
      <c r="AB165" s="20"/>
      <c r="AC165" s="25">
        <v>98</v>
      </c>
      <c r="AD165" s="97"/>
      <c r="AE165" s="1504">
        <v>39479</v>
      </c>
      <c r="AF165" s="19"/>
      <c r="AG165" s="93"/>
      <c r="AH165" s="93"/>
      <c r="AI165" s="93"/>
      <c r="AJ165" s="93"/>
      <c r="AK165" s="93"/>
      <c r="AL165" s="93"/>
      <c r="AM165" s="93"/>
      <c r="AN165" s="93"/>
      <c r="AO165" s="93"/>
      <c r="AP165" s="93"/>
      <c r="AQ165" s="93"/>
      <c r="AR165" s="93"/>
      <c r="AS165" s="20"/>
      <c r="AT165" s="25">
        <v>98</v>
      </c>
      <c r="AU165" s="97"/>
      <c r="AV165" s="1504">
        <v>39479</v>
      </c>
      <c r="AW165" s="19"/>
      <c r="AX165" s="93"/>
      <c r="AY165" s="93"/>
      <c r="AZ165" s="93"/>
      <c r="BA165" s="93"/>
      <c r="BB165" s="93"/>
      <c r="BC165" s="93"/>
      <c r="BD165" s="93"/>
      <c r="BE165" s="93"/>
      <c r="BF165" s="93"/>
      <c r="BG165" s="93"/>
      <c r="BH165" s="93"/>
      <c r="BI165" s="93"/>
      <c r="BJ165" s="20"/>
      <c r="BK165" s="25">
        <v>98</v>
      </c>
      <c r="BL165" s="97"/>
      <c r="BM165" s="1504">
        <v>39479</v>
      </c>
      <c r="BN165" s="19"/>
      <c r="BO165" s="93"/>
      <c r="BP165" s="93"/>
      <c r="BQ165" s="93"/>
      <c r="BR165" s="93"/>
      <c r="BS165" s="93"/>
      <c r="BT165" s="93"/>
      <c r="BU165" s="20"/>
      <c r="BV165" s="25">
        <v>98</v>
      </c>
      <c r="BW165" s="97"/>
      <c r="BX165" s="1504">
        <v>39479</v>
      </c>
      <c r="BY165" s="19"/>
      <c r="BZ165" s="99">
        <v>664.95699999999999</v>
      </c>
      <c r="CA165" s="93"/>
      <c r="CB165" s="93"/>
      <c r="CC165" s="93"/>
      <c r="CD165" s="25">
        <v>98</v>
      </c>
      <c r="CE165" s="97"/>
      <c r="CF165" s="1504">
        <v>39479</v>
      </c>
      <c r="CG165" s="19">
        <v>1.65456731</v>
      </c>
      <c r="CH165" s="1626">
        <v>922.298</v>
      </c>
      <c r="CI165" s="219"/>
      <c r="CJ165" s="20"/>
      <c r="CK165" s="19"/>
      <c r="CL165" s="93"/>
      <c r="CM165" s="93"/>
      <c r="CN165" s="93"/>
      <c r="CO165" s="93"/>
      <c r="CP165" s="20"/>
      <c r="CQ165" s="219">
        <v>1984.16</v>
      </c>
      <c r="CR165" s="93">
        <v>2.4166666666666701</v>
      </c>
      <c r="CS165" s="93"/>
      <c r="CT165" s="93"/>
      <c r="CU165" s="93"/>
      <c r="CV165" s="214"/>
      <c r="CW165" s="29">
        <v>98</v>
      </c>
      <c r="CX165" s="41">
        <f t="shared" si="192"/>
        <v>2008</v>
      </c>
      <c r="CY165" s="1504">
        <v>39479</v>
      </c>
      <c r="CZ165" s="1916">
        <v>45.200928000000005</v>
      </c>
      <c r="DA165" s="1526">
        <v>27.661206</v>
      </c>
      <c r="DB165" s="1526">
        <v>17.539722000000001</v>
      </c>
      <c r="DC165" s="182">
        <f t="shared" si="199"/>
        <v>308942</v>
      </c>
      <c r="DD165" s="182">
        <f t="shared" si="200"/>
        <v>308032</v>
      </c>
      <c r="DE165" s="182">
        <f t="shared" si="201"/>
        <v>910</v>
      </c>
      <c r="DF165" s="29">
        <v>98</v>
      </c>
      <c r="DG165" s="1504">
        <v>39479</v>
      </c>
      <c r="DH165" s="19"/>
      <c r="DI165" s="93"/>
      <c r="DJ165" s="93"/>
      <c r="DK165" s="93"/>
      <c r="DL165" s="93"/>
      <c r="DM165" s="93"/>
      <c r="DN165" s="20"/>
      <c r="DO165" s="25"/>
      <c r="DP165" s="29">
        <v>98</v>
      </c>
      <c r="DQ165" s="1504">
        <v>39479</v>
      </c>
      <c r="DR165" s="19"/>
      <c r="DS165" s="93"/>
      <c r="DT165" s="93"/>
      <c r="DU165" s="93"/>
      <c r="DV165" s="93"/>
      <c r="DW165" s="93"/>
      <c r="DX165" s="20"/>
      <c r="DY165" s="29">
        <v>98</v>
      </c>
      <c r="DZ165" s="1504">
        <v>39479</v>
      </c>
      <c r="EA165" s="19"/>
      <c r="EB165" s="93"/>
      <c r="EC165" s="20"/>
      <c r="ED165" s="29">
        <v>98</v>
      </c>
      <c r="EE165" s="1504">
        <v>39479</v>
      </c>
      <c r="EF165" s="19"/>
      <c r="EG165" s="93"/>
      <c r="EH165" s="93"/>
      <c r="EI165" s="214"/>
      <c r="EJ165" s="93"/>
      <c r="EK165" s="93"/>
      <c r="EL165" s="93"/>
      <c r="EM165" s="93"/>
      <c r="EN165" s="20"/>
      <c r="EO165" s="29">
        <v>98</v>
      </c>
      <c r="EP165" s="1504">
        <v>39479</v>
      </c>
      <c r="EQ165" s="19"/>
      <c r="ER165" s="93"/>
      <c r="ES165" s="93"/>
      <c r="ET165" s="214"/>
      <c r="EU165" s="93"/>
      <c r="EV165" s="93"/>
      <c r="EW165" s="93"/>
      <c r="EX165" s="93"/>
      <c r="EY165" s="20"/>
      <c r="EZ165" s="29">
        <v>98</v>
      </c>
      <c r="FA165" s="1504">
        <v>39479</v>
      </c>
      <c r="FB165" s="29"/>
      <c r="FC165" s="29"/>
      <c r="FD165" s="29"/>
      <c r="FE165" s="29"/>
      <c r="FF165" s="29"/>
      <c r="FG165" s="29"/>
      <c r="FH165" s="29"/>
      <c r="FI165" s="29"/>
      <c r="FJ165" s="29"/>
      <c r="FK165" s="29">
        <v>98</v>
      </c>
      <c r="FL165" s="1504">
        <v>39479</v>
      </c>
      <c r="FM165" s="19"/>
      <c r="FN165" s="93"/>
      <c r="FO165" s="93"/>
      <c r="FP165" s="93"/>
      <c r="FQ165" s="93"/>
      <c r="FR165" s="93"/>
      <c r="FS165" s="93"/>
      <c r="FT165" s="93"/>
      <c r="FU165" s="93"/>
      <c r="FV165" s="93"/>
      <c r="FW165" s="93"/>
      <c r="FX165" s="93"/>
      <c r="FY165" s="93"/>
      <c r="FZ165" s="29">
        <v>98</v>
      </c>
      <c r="GA165" s="1504">
        <v>39479</v>
      </c>
      <c r="GB165" s="19"/>
      <c r="GC165" s="93"/>
      <c r="GD165" s="93"/>
      <c r="GE165" s="93"/>
      <c r="GF165" s="93"/>
      <c r="GG165" s="93"/>
      <c r="GH165" s="93"/>
      <c r="GI165" s="93"/>
      <c r="GJ165" s="93"/>
      <c r="GK165" s="93"/>
      <c r="GL165" s="93"/>
      <c r="GM165" s="93"/>
      <c r="GN165" s="20"/>
      <c r="GO165" s="29">
        <v>98</v>
      </c>
      <c r="GP165" s="1504">
        <v>39479</v>
      </c>
      <c r="GQ165" s="19"/>
      <c r="GR165" s="93"/>
      <c r="GS165" s="93"/>
      <c r="GT165" s="93"/>
      <c r="GU165" s="93"/>
      <c r="GV165" s="20"/>
      <c r="GW165" s="19"/>
      <c r="GX165" s="93"/>
      <c r="GY165" s="93"/>
      <c r="GZ165" s="93"/>
      <c r="HA165" s="93"/>
      <c r="HB165" s="20"/>
      <c r="HC165" s="19"/>
      <c r="HD165" s="93"/>
      <c r="HE165" s="93"/>
      <c r="HF165" s="93"/>
      <c r="HG165" s="93"/>
      <c r="HH165" s="20"/>
      <c r="HI165" s="19"/>
      <c r="HJ165" s="93"/>
      <c r="HK165" s="93"/>
      <c r="HL165" s="93"/>
      <c r="HM165" s="93"/>
      <c r="HN165" s="20"/>
      <c r="HO165" s="219"/>
      <c r="HP165" s="20"/>
      <c r="HQ165" s="25"/>
      <c r="HR165" s="29">
        <v>98</v>
      </c>
      <c r="HS165" s="1504">
        <v>39479</v>
      </c>
      <c r="HT165" s="179">
        <v>131.16250991821289</v>
      </c>
      <c r="HU165" s="99">
        <v>136.80555725097656</v>
      </c>
      <c r="HV165" s="99">
        <v>125</v>
      </c>
      <c r="HW165" s="99">
        <v>97.087379455566406</v>
      </c>
      <c r="HX165" s="99">
        <v>123.73737144470215</v>
      </c>
      <c r="HY165" s="99">
        <v>122.74096298217773</v>
      </c>
      <c r="HZ165" s="99">
        <v>144.15271377563477</v>
      </c>
      <c r="IA165" s="132">
        <v>157.67974090576172</v>
      </c>
      <c r="IB165" s="179">
        <v>164.25121307373047</v>
      </c>
      <c r="IC165" s="99">
        <v>94.7275390625</v>
      </c>
      <c r="ID165" s="99">
        <v>138.39286041259766</v>
      </c>
      <c r="IE165" s="99">
        <v>128.03531646728516</v>
      </c>
      <c r="IF165" s="99">
        <v>157.66129302978516</v>
      </c>
      <c r="IG165" s="132">
        <v>100.88832473754883</v>
      </c>
      <c r="IH165" s="179">
        <v>94.97260570526123</v>
      </c>
      <c r="II165" s="99">
        <v>128.70404815673828</v>
      </c>
      <c r="IJ165" s="99">
        <v>125</v>
      </c>
      <c r="IK165" s="99">
        <v>115.28269195556641</v>
      </c>
      <c r="IL165" s="99">
        <v>108.26639938354492</v>
      </c>
      <c r="IM165" s="99">
        <v>146.86468505859375</v>
      </c>
      <c r="IN165" s="93"/>
      <c r="IO165" s="132">
        <v>137.5225830078125</v>
      </c>
      <c r="IP165" s="29">
        <v>98</v>
      </c>
      <c r="IQ165" s="19"/>
      <c r="IR165" s="93"/>
      <c r="IS165" s="93"/>
      <c r="IT165" s="93"/>
      <c r="IU165" s="93"/>
      <c r="IV165" s="20"/>
      <c r="IW165" s="29">
        <v>98</v>
      </c>
      <c r="IX165" s="19"/>
      <c r="IY165" s="93"/>
      <c r="IZ165" s="93"/>
      <c r="JA165" s="93"/>
      <c r="JB165" s="93"/>
      <c r="JC165" s="93"/>
      <c r="JD165" s="93"/>
      <c r="JE165" s="20"/>
      <c r="JF165" s="29">
        <v>98</v>
      </c>
      <c r="JG165" s="19"/>
      <c r="JH165" s="93"/>
      <c r="JI165" s="93"/>
      <c r="JJ165" s="93"/>
      <c r="JK165" s="93"/>
      <c r="JL165" s="93"/>
      <c r="JM165" s="93"/>
      <c r="JN165" s="20"/>
      <c r="JO165" s="29">
        <v>98</v>
      </c>
      <c r="JP165" s="19"/>
      <c r="JQ165" s="93"/>
      <c r="JR165" s="93"/>
      <c r="JS165" s="93"/>
      <c r="JT165" s="93"/>
      <c r="JU165" s="20"/>
      <c r="JV165" s="29">
        <v>98</v>
      </c>
      <c r="JW165" s="1504">
        <v>39479</v>
      </c>
      <c r="JX165" s="19"/>
      <c r="JY165" s="93"/>
      <c r="JZ165" s="93"/>
      <c r="KA165" s="93"/>
      <c r="KB165" s="93"/>
      <c r="KC165" s="93"/>
      <c r="KD165" s="20"/>
      <c r="KE165" s="29">
        <v>98</v>
      </c>
      <c r="KF165" s="19"/>
      <c r="KG165" s="93"/>
      <c r="KH165" s="93"/>
      <c r="KI165" s="93"/>
      <c r="KJ165" s="93"/>
      <c r="KK165" s="20"/>
      <c r="KL165" s="29">
        <v>98</v>
      </c>
      <c r="KM165" s="19"/>
      <c r="KN165" s="93"/>
      <c r="KO165" s="93"/>
      <c r="KP165" s="93"/>
      <c r="KQ165" s="93"/>
      <c r="KR165" s="20"/>
      <c r="KS165" s="29">
        <v>98</v>
      </c>
      <c r="KT165" s="19"/>
      <c r="KU165" s="93"/>
      <c r="KV165" s="93"/>
      <c r="KW165" s="93"/>
      <c r="KX165" s="93"/>
      <c r="KY165" s="20"/>
      <c r="KZ165" s="29">
        <v>98</v>
      </c>
      <c r="LA165" s="1504">
        <v>39479</v>
      </c>
      <c r="LB165" s="19"/>
      <c r="LC165" s="93"/>
      <c r="LD165" s="93"/>
      <c r="LE165" s="93"/>
      <c r="LF165" s="93"/>
      <c r="LG165" s="93"/>
      <c r="LH165" s="20"/>
      <c r="LI165" s="29">
        <v>98</v>
      </c>
      <c r="LJ165" s="19"/>
      <c r="LK165" s="93"/>
      <c r="LL165" s="93"/>
      <c r="LM165" s="93"/>
      <c r="LN165" s="93"/>
      <c r="LO165" s="20"/>
      <c r="LP165" s="29">
        <v>98</v>
      </c>
      <c r="LQ165" s="19"/>
      <c r="LR165" s="93"/>
      <c r="LS165" s="93"/>
      <c r="LT165" s="93"/>
      <c r="LU165" s="93"/>
      <c r="LV165" s="93"/>
      <c r="LW165" s="93"/>
      <c r="LX165" s="93"/>
      <c r="LY165" s="93"/>
      <c r="LZ165" s="93"/>
      <c r="MA165" s="20"/>
      <c r="MB165" s="29">
        <v>98</v>
      </c>
      <c r="MC165" s="1504">
        <v>39479</v>
      </c>
      <c r="MD165" s="19"/>
      <c r="ME165" s="93"/>
      <c r="MF165" s="93"/>
      <c r="MG165" s="93"/>
      <c r="MH165" s="93"/>
      <c r="MI165" s="93"/>
      <c r="MJ165" s="93"/>
      <c r="MK165" s="93"/>
      <c r="ML165" s="93"/>
      <c r="MM165" s="93"/>
      <c r="MN165" s="93"/>
      <c r="MO165" s="93"/>
      <c r="MP165" s="93"/>
      <c r="MQ165" s="93"/>
      <c r="MR165" s="93"/>
      <c r="MS165" s="93"/>
      <c r="MT165" s="93"/>
      <c r="MU165" s="93"/>
      <c r="MV165" s="93"/>
      <c r="MW165" s="93"/>
      <c r="MX165" s="93"/>
      <c r="MY165" s="93"/>
      <c r="MZ165" s="93"/>
      <c r="NA165" s="93"/>
      <c r="NB165" s="93"/>
      <c r="NC165" s="93"/>
      <c r="ND165" s="93"/>
      <c r="NE165" s="93"/>
      <c r="NF165" s="93"/>
      <c r="NG165" s="93"/>
      <c r="NH165" s="93"/>
      <c r="NI165" s="93"/>
      <c r="NJ165" s="93"/>
      <c r="NK165" s="93"/>
      <c r="NL165" s="93"/>
      <c r="NM165" s="93"/>
      <c r="NN165" s="93"/>
      <c r="NO165" s="93"/>
      <c r="NP165" s="93"/>
      <c r="NQ165" s="93"/>
      <c r="NR165" s="93"/>
      <c r="NS165" s="93"/>
      <c r="NT165" s="93"/>
      <c r="NU165" s="93"/>
      <c r="NV165" s="93"/>
      <c r="NW165" s="93"/>
      <c r="NX165" s="93"/>
      <c r="NY165" s="93"/>
      <c r="NZ165" s="93"/>
      <c r="OA165" s="93"/>
      <c r="OB165" s="93"/>
      <c r="OC165" s="93"/>
      <c r="OD165" s="20"/>
      <c r="OE165" s="29">
        <v>98</v>
      </c>
      <c r="OF165" s="1504">
        <v>39479</v>
      </c>
      <c r="OG165" s="19"/>
      <c r="OH165" s="93">
        <v>168.1918</v>
      </c>
      <c r="OI165" s="93">
        <v>310.59902120047661</v>
      </c>
      <c r="OJ165" s="93">
        <v>0.32651848900000002</v>
      </c>
      <c r="OK165" s="93">
        <v>257.3241027114766</v>
      </c>
      <c r="OL165" s="93">
        <v>52.948399999999999</v>
      </c>
      <c r="OM165" s="93">
        <v>478.79082120047661</v>
      </c>
      <c r="ON165" s="93">
        <v>292.88218848321378</v>
      </c>
      <c r="OO165" s="93">
        <v>771.67300968369045</v>
      </c>
      <c r="OP165" s="93"/>
      <c r="OQ165" s="93">
        <v>416.44504988107451</v>
      </c>
      <c r="OR165" s="93">
        <v>322.73118726500002</v>
      </c>
      <c r="OS165" s="93">
        <v>93.71386261607455</v>
      </c>
      <c r="OT165" s="93">
        <v>499.83579861161593</v>
      </c>
      <c r="OU165" s="93">
        <v>-144.07396288999999</v>
      </c>
      <c r="OV165" s="93">
        <v>-54.097962889999991</v>
      </c>
      <c r="OW165" s="93">
        <v>-89.975999999999999</v>
      </c>
      <c r="OX165" s="93">
        <v>643.90976150161589</v>
      </c>
      <c r="OY165" s="93">
        <v>2.1653329230000002</v>
      </c>
      <c r="OZ165" s="93">
        <v>641.74442857861595</v>
      </c>
      <c r="PA165" s="93">
        <v>137.73607597899996</v>
      </c>
      <c r="PB165" s="93">
        <v>6.8717628300000158</v>
      </c>
      <c r="PC165" s="20">
        <v>771.67300968369057</v>
      </c>
      <c r="PD165" s="29">
        <v>98</v>
      </c>
      <c r="PE165" s="19"/>
      <c r="PF165" s="93">
        <v>322.73118726500002</v>
      </c>
      <c r="PG165" s="93">
        <v>427.581905474</v>
      </c>
      <c r="PH165" s="93">
        <v>104.85071820899999</v>
      </c>
      <c r="PI165" s="93">
        <v>7.19</v>
      </c>
      <c r="PJ165" s="93">
        <v>-54.097962889999991</v>
      </c>
      <c r="PK165" s="93">
        <v>39.286907990000003</v>
      </c>
      <c r="PL165" s="93">
        <v>93.384870879999994</v>
      </c>
      <c r="PM165" s="93">
        <v>2.1653329230000002</v>
      </c>
      <c r="PN165" s="93">
        <v>0</v>
      </c>
      <c r="PO165" s="93">
        <v>0</v>
      </c>
      <c r="PP165" s="93">
        <v>4.6227300000000002E-4</v>
      </c>
      <c r="PQ165" s="93">
        <v>2.1648706500000001</v>
      </c>
      <c r="PR165" s="93">
        <v>278.998664029</v>
      </c>
      <c r="PS165" s="93">
        <v>191.2998</v>
      </c>
      <c r="PT165" s="93">
        <v>87.372345539999998</v>
      </c>
      <c r="PU165" s="93">
        <v>0.32651848900000002</v>
      </c>
      <c r="PV165" s="93">
        <v>0</v>
      </c>
      <c r="PW165" s="93">
        <v>0.18243988799999999</v>
      </c>
      <c r="PX165" s="93">
        <v>0</v>
      </c>
      <c r="PY165" s="93">
        <v>0</v>
      </c>
      <c r="PZ165" s="93">
        <v>0.18243988799999999</v>
      </c>
      <c r="QA165" s="93">
        <v>0</v>
      </c>
      <c r="QB165" s="93">
        <v>0</v>
      </c>
      <c r="QC165" s="93">
        <v>0</v>
      </c>
      <c r="QD165" s="93">
        <v>-0.26336390900000001</v>
      </c>
      <c r="QE165" s="20">
        <v>-0.92918270999999986</v>
      </c>
      <c r="QF165" s="1739">
        <v>98</v>
      </c>
      <c r="QG165" s="19"/>
      <c r="QH165" s="1035">
        <v>93.71386261607455</v>
      </c>
      <c r="QI165" s="1035">
        <v>203.13357142138412</v>
      </c>
      <c r="QJ165" s="1035">
        <v>-109.41970880530957</v>
      </c>
      <c r="QK165" s="1035">
        <v>45.674999999999997</v>
      </c>
      <c r="QL165" s="1035">
        <v>23.108000000000001</v>
      </c>
      <c r="QM165" s="1035">
        <v>22.567</v>
      </c>
      <c r="QN165" s="1035">
        <v>0</v>
      </c>
      <c r="QO165" s="1035">
        <v>-89.975999999999999</v>
      </c>
      <c r="QP165" s="1035">
        <v>52.006</v>
      </c>
      <c r="QQ165" s="1035">
        <v>-141.982</v>
      </c>
      <c r="QR165" s="1035">
        <v>641.74442857861595</v>
      </c>
      <c r="QS165" s="1035">
        <v>10.351954533554423</v>
      </c>
      <c r="QT165" s="1035">
        <v>0</v>
      </c>
      <c r="QU165" s="1035">
        <v>0</v>
      </c>
      <c r="QV165" s="1035">
        <v>631.39247404506148</v>
      </c>
      <c r="QW165" s="93"/>
      <c r="QX165" s="93">
        <v>1.649</v>
      </c>
      <c r="QY165" s="93">
        <v>257.3241027114766</v>
      </c>
      <c r="QZ165" s="93">
        <v>292.88218848321384</v>
      </c>
      <c r="RA165" s="93">
        <v>0</v>
      </c>
      <c r="RB165" s="93">
        <v>27.481000000000002</v>
      </c>
      <c r="RC165" s="93">
        <v>1.603</v>
      </c>
      <c r="RD165" s="93">
        <v>12.564</v>
      </c>
      <c r="RE165" s="93">
        <v>0</v>
      </c>
      <c r="RF165" s="93">
        <v>0</v>
      </c>
      <c r="RG165" s="93">
        <v>96.168999999999969</v>
      </c>
      <c r="RH165" s="93">
        <v>1.4850000000000136</v>
      </c>
      <c r="RI165" s="93"/>
      <c r="RJ165" s="93"/>
      <c r="RK165" s="93"/>
      <c r="RL165" s="93"/>
      <c r="RM165" s="20"/>
      <c r="RN165" s="29">
        <v>98</v>
      </c>
      <c r="RO165" s="19"/>
      <c r="RP165" s="20"/>
      <c r="RQ165" s="29">
        <v>98</v>
      </c>
      <c r="RR165" s="20"/>
      <c r="RS165" s="29">
        <v>98</v>
      </c>
      <c r="RT165" s="1504">
        <v>39479</v>
      </c>
      <c r="RU165" s="19"/>
      <c r="RV165" s="20"/>
      <c r="RW165" s="29">
        <v>98</v>
      </c>
      <c r="RX165" s="1504">
        <v>39479</v>
      </c>
      <c r="RY165" s="29"/>
      <c r="RZ165" s="20"/>
      <c r="SA165" s="29"/>
      <c r="SB165" s="29">
        <v>98</v>
      </c>
    </row>
    <row r="166" spans="1:496">
      <c r="A166" s="41">
        <f t="shared" si="191"/>
        <v>2008</v>
      </c>
      <c r="B166" s="1504">
        <v>39508</v>
      </c>
      <c r="C166" s="1813"/>
      <c r="D166" s="1814"/>
      <c r="E166" s="1814"/>
      <c r="F166" s="1815"/>
      <c r="G166" s="1814"/>
      <c r="H166" s="1814"/>
      <c r="I166" s="1814"/>
      <c r="J166" s="1816"/>
      <c r="K166" s="1807"/>
      <c r="L166" s="25">
        <v>99</v>
      </c>
      <c r="M166" s="97"/>
      <c r="N166" s="1504">
        <v>39508</v>
      </c>
      <c r="O166" s="19"/>
      <c r="P166" s="93"/>
      <c r="Q166" s="93"/>
      <c r="R166" s="93"/>
      <c r="S166" s="93"/>
      <c r="T166" s="93"/>
      <c r="U166" s="93"/>
      <c r="V166" s="93"/>
      <c r="W166" s="93"/>
      <c r="X166" s="93"/>
      <c r="Y166" s="93"/>
      <c r="Z166" s="93"/>
      <c r="AA166" s="93"/>
      <c r="AB166" s="20"/>
      <c r="AC166" s="25">
        <v>99</v>
      </c>
      <c r="AD166" s="97"/>
      <c r="AE166" s="1504">
        <v>39508</v>
      </c>
      <c r="AF166" s="19"/>
      <c r="AG166" s="93"/>
      <c r="AH166" s="93"/>
      <c r="AI166" s="93"/>
      <c r="AJ166" s="93"/>
      <c r="AK166" s="93"/>
      <c r="AL166" s="93"/>
      <c r="AM166" s="93"/>
      <c r="AN166" s="93"/>
      <c r="AO166" s="93"/>
      <c r="AP166" s="93"/>
      <c r="AQ166" s="93"/>
      <c r="AR166" s="93"/>
      <c r="AS166" s="20"/>
      <c r="AT166" s="25">
        <v>99</v>
      </c>
      <c r="AU166" s="97"/>
      <c r="AV166" s="1504">
        <v>39508</v>
      </c>
      <c r="AW166" s="19"/>
      <c r="AX166" s="93"/>
      <c r="AY166" s="93"/>
      <c r="AZ166" s="93"/>
      <c r="BA166" s="93"/>
      <c r="BB166" s="93"/>
      <c r="BC166" s="93"/>
      <c r="BD166" s="93"/>
      <c r="BE166" s="93"/>
      <c r="BF166" s="93"/>
      <c r="BG166" s="93"/>
      <c r="BH166" s="93"/>
      <c r="BI166" s="93"/>
      <c r="BJ166" s="20"/>
      <c r="BK166" s="25">
        <v>99</v>
      </c>
      <c r="BL166" s="97"/>
      <c r="BM166" s="1504">
        <v>39508</v>
      </c>
      <c r="BN166" s="19"/>
      <c r="BO166" s="93"/>
      <c r="BP166" s="93"/>
      <c r="BQ166" s="93"/>
      <c r="BR166" s="93"/>
      <c r="BS166" s="93"/>
      <c r="BT166" s="93"/>
      <c r="BU166" s="20"/>
      <c r="BV166" s="25">
        <v>99</v>
      </c>
      <c r="BW166" s="97"/>
      <c r="BX166" s="1504">
        <v>39508</v>
      </c>
      <c r="BY166" s="19"/>
      <c r="BZ166" s="99">
        <v>664.95699999999999</v>
      </c>
      <c r="CA166" s="93"/>
      <c r="CB166" s="93"/>
      <c r="CC166" s="93"/>
      <c r="CD166" s="25">
        <v>99</v>
      </c>
      <c r="CE166" s="97"/>
      <c r="CF166" s="1504">
        <v>39508</v>
      </c>
      <c r="CG166" s="19">
        <v>1.7681052399999999</v>
      </c>
      <c r="CH166" s="1626">
        <v>968.43399999999997</v>
      </c>
      <c r="CI166" s="219"/>
      <c r="CJ166" s="20"/>
      <c r="CK166" s="19"/>
      <c r="CL166" s="93"/>
      <c r="CM166" s="93"/>
      <c r="CN166" s="93"/>
      <c r="CO166" s="93"/>
      <c r="CP166" s="20"/>
      <c r="CQ166" s="219">
        <v>2075.4899999999998</v>
      </c>
      <c r="CR166" s="93">
        <v>2.0950000000000002</v>
      </c>
      <c r="CS166" s="93"/>
      <c r="CT166" s="93"/>
      <c r="CU166" s="93"/>
      <c r="CV166" s="214"/>
      <c r="CW166" s="29">
        <v>99</v>
      </c>
      <c r="CX166" s="41">
        <f t="shared" si="192"/>
        <v>2008</v>
      </c>
      <c r="CY166" s="1504">
        <v>39508</v>
      </c>
      <c r="CZ166" s="1916">
        <v>49.253871901171181</v>
      </c>
      <c r="DA166" s="1526">
        <v>30.130613901171184</v>
      </c>
      <c r="DB166" s="1526">
        <v>19.123258</v>
      </c>
      <c r="DC166" s="182">
        <f t="shared" si="199"/>
        <v>308942</v>
      </c>
      <c r="DD166" s="182">
        <f t="shared" si="200"/>
        <v>308032</v>
      </c>
      <c r="DE166" s="182">
        <f t="shared" si="201"/>
        <v>910</v>
      </c>
      <c r="DF166" s="29">
        <v>99</v>
      </c>
      <c r="DG166" s="1504">
        <v>39508</v>
      </c>
      <c r="DH166" s="19"/>
      <c r="DI166" s="93"/>
      <c r="DJ166" s="93"/>
      <c r="DK166" s="93"/>
      <c r="DL166" s="93"/>
      <c r="DM166" s="93"/>
      <c r="DN166" s="20"/>
      <c r="DO166" s="25"/>
      <c r="DP166" s="29">
        <v>99</v>
      </c>
      <c r="DQ166" s="1504">
        <v>39508</v>
      </c>
      <c r="DR166" s="19"/>
      <c r="DS166" s="93"/>
      <c r="DT166" s="93"/>
      <c r="DU166" s="93"/>
      <c r="DV166" s="93"/>
      <c r="DW166" s="93"/>
      <c r="DX166" s="20"/>
      <c r="DY166" s="29">
        <v>99</v>
      </c>
      <c r="DZ166" s="1504">
        <v>39508</v>
      </c>
      <c r="EA166" s="19"/>
      <c r="EB166" s="93"/>
      <c r="EC166" s="20"/>
      <c r="ED166" s="29">
        <v>99</v>
      </c>
      <c r="EE166" s="1504">
        <v>39508</v>
      </c>
      <c r="EF166" s="19"/>
      <c r="EG166" s="93"/>
      <c r="EH166" s="93"/>
      <c r="EI166" s="214"/>
      <c r="EJ166" s="93"/>
      <c r="EK166" s="93"/>
      <c r="EL166" s="93"/>
      <c r="EM166" s="93"/>
      <c r="EN166" s="20"/>
      <c r="EO166" s="29">
        <v>99</v>
      </c>
      <c r="EP166" s="1504">
        <v>39508</v>
      </c>
      <c r="EQ166" s="19"/>
      <c r="ER166" s="93"/>
      <c r="ES166" s="93"/>
      <c r="ET166" s="214"/>
      <c r="EU166" s="93"/>
      <c r="EV166" s="93"/>
      <c r="EW166" s="93"/>
      <c r="EX166" s="93"/>
      <c r="EY166" s="20"/>
      <c r="EZ166" s="29">
        <v>99</v>
      </c>
      <c r="FA166" s="1504">
        <v>39508</v>
      </c>
      <c r="FB166" s="29"/>
      <c r="FC166" s="29"/>
      <c r="FD166" s="29"/>
      <c r="FE166" s="29"/>
      <c r="FF166" s="29"/>
      <c r="FG166" s="29"/>
      <c r="FH166" s="29"/>
      <c r="FI166" s="29"/>
      <c r="FJ166" s="29"/>
      <c r="FK166" s="29">
        <v>99</v>
      </c>
      <c r="FL166" s="1504">
        <v>39508</v>
      </c>
      <c r="FM166" s="19"/>
      <c r="FN166" s="93"/>
      <c r="FO166" s="93"/>
      <c r="FP166" s="93"/>
      <c r="FQ166" s="93"/>
      <c r="FR166" s="93"/>
      <c r="FS166" s="93"/>
      <c r="FT166" s="93"/>
      <c r="FU166" s="93"/>
      <c r="FV166" s="93"/>
      <c r="FW166" s="93"/>
      <c r="FX166" s="93"/>
      <c r="FY166" s="93"/>
      <c r="FZ166" s="29">
        <v>99</v>
      </c>
      <c r="GA166" s="1504">
        <v>39508</v>
      </c>
      <c r="GB166" s="19"/>
      <c r="GC166" s="93"/>
      <c r="GD166" s="93"/>
      <c r="GE166" s="93"/>
      <c r="GF166" s="93"/>
      <c r="GG166" s="93"/>
      <c r="GH166" s="93"/>
      <c r="GI166" s="93"/>
      <c r="GJ166" s="93"/>
      <c r="GK166" s="93"/>
      <c r="GL166" s="93"/>
      <c r="GM166" s="93"/>
      <c r="GN166" s="20"/>
      <c r="GO166" s="29">
        <v>99</v>
      </c>
      <c r="GP166" s="1504">
        <v>39508</v>
      </c>
      <c r="GQ166" s="19"/>
      <c r="GR166" s="93"/>
      <c r="GS166" s="93"/>
      <c r="GT166" s="93"/>
      <c r="GU166" s="93"/>
      <c r="GV166" s="20"/>
      <c r="GW166" s="19"/>
      <c r="GX166" s="93"/>
      <c r="GY166" s="93"/>
      <c r="GZ166" s="93"/>
      <c r="HA166" s="93"/>
      <c r="HB166" s="20"/>
      <c r="HC166" s="19"/>
      <c r="HD166" s="93"/>
      <c r="HE166" s="93"/>
      <c r="HF166" s="93"/>
      <c r="HG166" s="93"/>
      <c r="HH166" s="20"/>
      <c r="HI166" s="19"/>
      <c r="HJ166" s="93"/>
      <c r="HK166" s="93"/>
      <c r="HL166" s="93"/>
      <c r="HM166" s="93"/>
      <c r="HN166" s="20"/>
      <c r="HO166" s="219"/>
      <c r="HP166" s="20"/>
      <c r="HQ166" s="25"/>
      <c r="HR166" s="29">
        <v>99</v>
      </c>
      <c r="HS166" s="1504">
        <v>39508</v>
      </c>
      <c r="HT166" s="179">
        <v>136.67601470947267</v>
      </c>
      <c r="HU166" s="99">
        <v>142.17836761474609</v>
      </c>
      <c r="HV166" s="99">
        <v>127.77777608235677</v>
      </c>
      <c r="HW166" s="99">
        <v>101.13268788655598</v>
      </c>
      <c r="HX166" s="99">
        <v>128.78787803649902</v>
      </c>
      <c r="HY166" s="99">
        <v>136.44539718627931</v>
      </c>
      <c r="HZ166" s="99">
        <v>157.74610290527343</v>
      </c>
      <c r="IA166" s="132">
        <v>162.26623026529947</v>
      </c>
      <c r="IB166" s="179">
        <v>142.32209396362305</v>
      </c>
      <c r="IC166" s="99">
        <v>96.125656127929688</v>
      </c>
      <c r="ID166" s="99">
        <v>133.92857360839844</v>
      </c>
      <c r="IE166" s="99">
        <v>133.8709716796875</v>
      </c>
      <c r="IF166" s="99">
        <v>161.69355392456055</v>
      </c>
      <c r="IG166" s="132">
        <v>101.21827392578125</v>
      </c>
      <c r="IH166" s="179">
        <v>107.70427780151367</v>
      </c>
      <c r="II166" s="99">
        <v>126.18388748168945</v>
      </c>
      <c r="IJ166" s="99">
        <v>131.11888122558594</v>
      </c>
      <c r="IK166" s="99">
        <v>114.84099578857422</v>
      </c>
      <c r="IL166" s="99">
        <v>117.40285720825196</v>
      </c>
      <c r="IM166" s="99">
        <v>150.00000508626303</v>
      </c>
      <c r="IN166" s="93"/>
      <c r="IO166" s="132">
        <v>140.97049713134766</v>
      </c>
      <c r="IP166" s="29">
        <v>99</v>
      </c>
      <c r="IQ166" s="19"/>
      <c r="IR166" s="93"/>
      <c r="IS166" s="93"/>
      <c r="IT166" s="93"/>
      <c r="IU166" s="93"/>
      <c r="IV166" s="20"/>
      <c r="IW166" s="29">
        <v>99</v>
      </c>
      <c r="IX166" s="19"/>
      <c r="IY166" s="93"/>
      <c r="IZ166" s="93"/>
      <c r="JA166" s="93"/>
      <c r="JB166" s="93"/>
      <c r="JC166" s="93"/>
      <c r="JD166" s="93"/>
      <c r="JE166" s="20"/>
      <c r="JF166" s="29">
        <v>99</v>
      </c>
      <c r="JG166" s="19"/>
      <c r="JH166" s="93"/>
      <c r="JI166" s="93"/>
      <c r="JJ166" s="93"/>
      <c r="JK166" s="93"/>
      <c r="JL166" s="93"/>
      <c r="JM166" s="93"/>
      <c r="JN166" s="20"/>
      <c r="JO166" s="29">
        <v>99</v>
      </c>
      <c r="JP166" s="19"/>
      <c r="JQ166" s="93"/>
      <c r="JR166" s="93"/>
      <c r="JS166" s="93"/>
      <c r="JT166" s="93"/>
      <c r="JU166" s="20"/>
      <c r="JV166" s="29">
        <v>99</v>
      </c>
      <c r="JW166" s="1504">
        <v>39508</v>
      </c>
      <c r="JX166" s="19"/>
      <c r="JY166" s="93"/>
      <c r="JZ166" s="93"/>
      <c r="KA166" s="93"/>
      <c r="KB166" s="93"/>
      <c r="KC166" s="93"/>
      <c r="KD166" s="20"/>
      <c r="KE166" s="29">
        <v>99</v>
      </c>
      <c r="KF166" s="19"/>
      <c r="KG166" s="93"/>
      <c r="KH166" s="93"/>
      <c r="KI166" s="93"/>
      <c r="KJ166" s="93"/>
      <c r="KK166" s="20"/>
      <c r="KL166" s="29">
        <v>99</v>
      </c>
      <c r="KM166" s="19"/>
      <c r="KN166" s="93"/>
      <c r="KO166" s="93"/>
      <c r="KP166" s="93"/>
      <c r="KQ166" s="93"/>
      <c r="KR166" s="20"/>
      <c r="KS166" s="29">
        <v>99</v>
      </c>
      <c r="KT166" s="19"/>
      <c r="KU166" s="93"/>
      <c r="KV166" s="93"/>
      <c r="KW166" s="93"/>
      <c r="KX166" s="93"/>
      <c r="KY166" s="20"/>
      <c r="KZ166" s="29">
        <v>99</v>
      </c>
      <c r="LA166" s="1504">
        <v>39508</v>
      </c>
      <c r="LB166" s="19"/>
      <c r="LC166" s="93"/>
      <c r="LD166" s="93"/>
      <c r="LE166" s="93"/>
      <c r="LF166" s="93"/>
      <c r="LG166" s="93"/>
      <c r="LH166" s="20"/>
      <c r="LI166" s="29">
        <v>99</v>
      </c>
      <c r="LJ166" s="19"/>
      <c r="LK166" s="93"/>
      <c r="LL166" s="93"/>
      <c r="LM166" s="93"/>
      <c r="LN166" s="93"/>
      <c r="LO166" s="20"/>
      <c r="LP166" s="29">
        <v>99</v>
      </c>
      <c r="LQ166" s="19"/>
      <c r="LR166" s="93"/>
      <c r="LS166" s="93"/>
      <c r="LT166" s="93"/>
      <c r="LU166" s="93"/>
      <c r="LV166" s="93"/>
      <c r="LW166" s="93"/>
      <c r="LX166" s="93"/>
      <c r="LY166" s="93"/>
      <c r="LZ166" s="93"/>
      <c r="MA166" s="20"/>
      <c r="MB166" s="29">
        <v>99</v>
      </c>
      <c r="MC166" s="1504">
        <v>39508</v>
      </c>
      <c r="MD166" s="19"/>
      <c r="ME166" s="93"/>
      <c r="MF166" s="93"/>
      <c r="MG166" s="93"/>
      <c r="MH166" s="93"/>
      <c r="MI166" s="93"/>
      <c r="MJ166" s="93"/>
      <c r="MK166" s="93"/>
      <c r="ML166" s="93"/>
      <c r="MM166" s="93"/>
      <c r="MN166" s="93"/>
      <c r="MO166" s="93"/>
      <c r="MP166" s="93"/>
      <c r="MQ166" s="93"/>
      <c r="MR166" s="93"/>
      <c r="MS166" s="93"/>
      <c r="MT166" s="93"/>
      <c r="MU166" s="93"/>
      <c r="MV166" s="93"/>
      <c r="MW166" s="93"/>
      <c r="MX166" s="93"/>
      <c r="MY166" s="93"/>
      <c r="MZ166" s="93"/>
      <c r="NA166" s="93"/>
      <c r="NB166" s="93"/>
      <c r="NC166" s="93"/>
      <c r="ND166" s="93"/>
      <c r="NE166" s="93"/>
      <c r="NF166" s="93"/>
      <c r="NG166" s="93"/>
      <c r="NH166" s="93"/>
      <c r="NI166" s="93"/>
      <c r="NJ166" s="93"/>
      <c r="NK166" s="93"/>
      <c r="NL166" s="93"/>
      <c r="NM166" s="93"/>
      <c r="NN166" s="93"/>
      <c r="NO166" s="93"/>
      <c r="NP166" s="93"/>
      <c r="NQ166" s="93"/>
      <c r="NR166" s="93"/>
      <c r="NS166" s="93"/>
      <c r="NT166" s="93"/>
      <c r="NU166" s="93"/>
      <c r="NV166" s="93"/>
      <c r="NW166" s="93"/>
      <c r="NX166" s="93"/>
      <c r="NY166" s="93"/>
      <c r="NZ166" s="93"/>
      <c r="OA166" s="93"/>
      <c r="OB166" s="93"/>
      <c r="OC166" s="93"/>
      <c r="OD166" s="20"/>
      <c r="OE166" s="29">
        <v>99</v>
      </c>
      <c r="OF166" s="1504">
        <v>39508</v>
      </c>
      <c r="OG166" s="19"/>
      <c r="OH166" s="93">
        <v>168.6</v>
      </c>
      <c r="OI166" s="93">
        <v>248.9246791180893</v>
      </c>
      <c r="OJ166" s="93">
        <v>0.47155092600000004</v>
      </c>
      <c r="OK166" s="93">
        <v>193.5076281920893</v>
      </c>
      <c r="OL166" s="93">
        <v>54.945500000000003</v>
      </c>
      <c r="OM166" s="93">
        <v>417.5246791180893</v>
      </c>
      <c r="ON166" s="93">
        <v>242.69408067823258</v>
      </c>
      <c r="OO166" s="93">
        <v>660.21875979632182</v>
      </c>
      <c r="OP166" s="93"/>
      <c r="OQ166" s="93">
        <v>393.74988613008912</v>
      </c>
      <c r="OR166" s="93">
        <v>319.60149868500002</v>
      </c>
      <c r="OS166" s="93">
        <v>74.148387445089099</v>
      </c>
      <c r="OT166" s="93">
        <v>379.71627580623272</v>
      </c>
      <c r="OU166" s="93">
        <v>-187.46975526699998</v>
      </c>
      <c r="OV166" s="93">
        <v>-74.257755266999993</v>
      </c>
      <c r="OW166" s="93">
        <v>-113.21199999999999</v>
      </c>
      <c r="OX166" s="93">
        <v>567.1860310732327</v>
      </c>
      <c r="OY166" s="93">
        <v>2.3517096479999999</v>
      </c>
      <c r="OZ166" s="93">
        <v>564.8343214252327</v>
      </c>
      <c r="PA166" s="93">
        <v>111.24121060099992</v>
      </c>
      <c r="PB166" s="93">
        <v>2.0061915389999783</v>
      </c>
      <c r="PC166" s="20">
        <v>660.21875979632205</v>
      </c>
      <c r="PD166" s="29">
        <v>99</v>
      </c>
      <c r="PE166" s="19"/>
      <c r="PF166" s="93">
        <v>319.60149868500002</v>
      </c>
      <c r="PG166" s="93">
        <v>430.18696942500003</v>
      </c>
      <c r="PH166" s="93">
        <v>110.58547074000002</v>
      </c>
      <c r="PI166" s="93">
        <v>12.59</v>
      </c>
      <c r="PJ166" s="93">
        <v>-74.257755266999993</v>
      </c>
      <c r="PK166" s="93">
        <v>39.301216287999999</v>
      </c>
      <c r="PL166" s="93">
        <v>113.558971555</v>
      </c>
      <c r="PM166" s="93">
        <v>2.3517096479999999</v>
      </c>
      <c r="PN166" s="93">
        <v>0</v>
      </c>
      <c r="PO166" s="93">
        <v>0</v>
      </c>
      <c r="PP166" s="93">
        <v>2.6700900000000002E-4</v>
      </c>
      <c r="PQ166" s="93">
        <v>2.3514426390000001</v>
      </c>
      <c r="PR166" s="93">
        <v>257.40717991100001</v>
      </c>
      <c r="PS166" s="93">
        <v>191.964</v>
      </c>
      <c r="PT166" s="93">
        <v>64.971628984999995</v>
      </c>
      <c r="PU166" s="93">
        <v>0.47155092600000004</v>
      </c>
      <c r="PV166" s="93">
        <v>0</v>
      </c>
      <c r="PW166" s="93">
        <v>0.29352607400000003</v>
      </c>
      <c r="PX166" s="93">
        <v>0</v>
      </c>
      <c r="PY166" s="93">
        <v>0</v>
      </c>
      <c r="PZ166" s="93">
        <v>0.29352607400000003</v>
      </c>
      <c r="QA166" s="93">
        <v>0</v>
      </c>
      <c r="QB166" s="93">
        <v>0</v>
      </c>
      <c r="QC166" s="93">
        <v>0</v>
      </c>
      <c r="QD166" s="93">
        <v>-0.34831547299999993</v>
      </c>
      <c r="QE166" s="20">
        <v>2.9330625539999997</v>
      </c>
      <c r="QF166" s="1739">
        <v>99</v>
      </c>
      <c r="QG166" s="19"/>
      <c r="QH166" s="1035">
        <v>74.148387445089099</v>
      </c>
      <c r="QI166" s="1035">
        <v>173.35567857476721</v>
      </c>
      <c r="QJ166" s="1035">
        <v>-99.207291129678111</v>
      </c>
      <c r="QK166" s="1035">
        <v>68.292000000000002</v>
      </c>
      <c r="QL166" s="1035">
        <v>23.364000000000001</v>
      </c>
      <c r="QM166" s="1035">
        <v>44.927999999999997</v>
      </c>
      <c r="QN166" s="1035">
        <v>0</v>
      </c>
      <c r="QO166" s="1035">
        <v>-113.21199999999999</v>
      </c>
      <c r="QP166" s="1035">
        <v>38.231000000000002</v>
      </c>
      <c r="QQ166" s="1035">
        <v>-151.44299999999998</v>
      </c>
      <c r="QR166" s="1035">
        <v>564.8343214252327</v>
      </c>
      <c r="QS166" s="1035">
        <v>10.120765872387</v>
      </c>
      <c r="QT166" s="1035">
        <v>0</v>
      </c>
      <c r="QU166" s="1035">
        <v>77.003</v>
      </c>
      <c r="QV166" s="1035">
        <v>477.71055555284573</v>
      </c>
      <c r="QW166" s="93"/>
      <c r="QX166" s="93">
        <v>1.0169999999999999</v>
      </c>
      <c r="QY166" s="93">
        <v>193.5076281920893</v>
      </c>
      <c r="QZ166" s="93">
        <v>242.69408067823258</v>
      </c>
      <c r="RA166" s="93">
        <v>0</v>
      </c>
      <c r="RB166" s="93">
        <v>21.545000000000002</v>
      </c>
      <c r="RC166" s="93">
        <v>1.603</v>
      </c>
      <c r="RD166" s="93">
        <v>7.7469999999999999</v>
      </c>
      <c r="RE166" s="93">
        <v>0</v>
      </c>
      <c r="RF166" s="93">
        <v>0</v>
      </c>
      <c r="RG166" s="93">
        <v>80.400999999999911</v>
      </c>
      <c r="RH166" s="93">
        <v>45.547999999999988</v>
      </c>
      <c r="RI166" s="93"/>
      <c r="RJ166" s="93"/>
      <c r="RK166" s="93"/>
      <c r="RL166" s="93"/>
      <c r="RM166" s="20"/>
      <c r="RN166" s="29">
        <v>99</v>
      </c>
      <c r="RO166" s="19"/>
      <c r="RP166" s="20"/>
      <c r="RQ166" s="29">
        <v>99</v>
      </c>
      <c r="RR166" s="20"/>
      <c r="RS166" s="29">
        <v>99</v>
      </c>
      <c r="RT166" s="1504">
        <v>39508</v>
      </c>
      <c r="RU166" s="19"/>
      <c r="RV166" s="20"/>
      <c r="RW166" s="29">
        <v>99</v>
      </c>
      <c r="RX166" s="1504">
        <v>39508</v>
      </c>
      <c r="RY166" s="29"/>
      <c r="RZ166" s="20"/>
      <c r="SA166" s="29"/>
      <c r="SB166" s="29">
        <v>99</v>
      </c>
    </row>
    <row r="167" spans="1:496">
      <c r="A167" s="41">
        <f t="shared" si="191"/>
        <v>2008</v>
      </c>
      <c r="B167" s="1504">
        <v>39539</v>
      </c>
      <c r="C167" s="1813"/>
      <c r="D167" s="1814"/>
      <c r="E167" s="1814"/>
      <c r="F167" s="1815"/>
      <c r="G167" s="1814"/>
      <c r="H167" s="1814"/>
      <c r="I167" s="1814"/>
      <c r="J167" s="1816"/>
      <c r="K167" s="1807"/>
      <c r="L167" s="25">
        <v>100</v>
      </c>
      <c r="M167" s="97"/>
      <c r="N167" s="1504">
        <v>39539</v>
      </c>
      <c r="O167" s="19"/>
      <c r="P167" s="93"/>
      <c r="Q167" s="93"/>
      <c r="R167" s="93"/>
      <c r="S167" s="93"/>
      <c r="T167" s="93"/>
      <c r="U167" s="93"/>
      <c r="V167" s="93"/>
      <c r="W167" s="93"/>
      <c r="X167" s="93"/>
      <c r="Y167" s="93"/>
      <c r="Z167" s="93"/>
      <c r="AA167" s="93"/>
      <c r="AB167" s="20"/>
      <c r="AC167" s="25">
        <v>100</v>
      </c>
      <c r="AD167" s="97"/>
      <c r="AE167" s="1504">
        <v>39539</v>
      </c>
      <c r="AF167" s="19"/>
      <c r="AG167" s="93"/>
      <c r="AH167" s="93"/>
      <c r="AI167" s="93"/>
      <c r="AJ167" s="93"/>
      <c r="AK167" s="93"/>
      <c r="AL167" s="93"/>
      <c r="AM167" s="93"/>
      <c r="AN167" s="93"/>
      <c r="AO167" s="93"/>
      <c r="AP167" s="93"/>
      <c r="AQ167" s="93"/>
      <c r="AR167" s="93"/>
      <c r="AS167" s="20"/>
      <c r="AT167" s="25">
        <v>100</v>
      </c>
      <c r="AU167" s="97"/>
      <c r="AV167" s="1504">
        <v>39539</v>
      </c>
      <c r="AW167" s="19"/>
      <c r="AX167" s="93"/>
      <c r="AY167" s="93"/>
      <c r="AZ167" s="93"/>
      <c r="BA167" s="93"/>
      <c r="BB167" s="93"/>
      <c r="BC167" s="93"/>
      <c r="BD167" s="93"/>
      <c r="BE167" s="93"/>
      <c r="BF167" s="93"/>
      <c r="BG167" s="93"/>
      <c r="BH167" s="93"/>
      <c r="BI167" s="93"/>
      <c r="BJ167" s="20"/>
      <c r="BK167" s="25">
        <v>100</v>
      </c>
      <c r="BL167" s="97"/>
      <c r="BM167" s="1504">
        <v>39539</v>
      </c>
      <c r="BN167" s="19"/>
      <c r="BO167" s="93"/>
      <c r="BP167" s="93"/>
      <c r="BQ167" s="93"/>
      <c r="BR167" s="93"/>
      <c r="BS167" s="93"/>
      <c r="BT167" s="93"/>
      <c r="BU167" s="20"/>
      <c r="BV167" s="25">
        <v>100</v>
      </c>
      <c r="BW167" s="97"/>
      <c r="BX167" s="1504">
        <v>39539</v>
      </c>
      <c r="BY167" s="19"/>
      <c r="BZ167" s="99">
        <v>664.95699999999999</v>
      </c>
      <c r="CA167" s="93"/>
      <c r="CB167" s="93"/>
      <c r="CC167" s="93"/>
      <c r="CD167" s="25">
        <v>100</v>
      </c>
      <c r="CE167" s="97"/>
      <c r="CF167" s="1504">
        <v>39539</v>
      </c>
      <c r="CG167" s="19">
        <v>1.6622834799999999</v>
      </c>
      <c r="CH167" s="1626">
        <v>909.70500000000004</v>
      </c>
      <c r="CI167" s="219"/>
      <c r="CJ167" s="20"/>
      <c r="CK167" s="19"/>
      <c r="CL167" s="93"/>
      <c r="CM167" s="93"/>
      <c r="CN167" s="93"/>
      <c r="CO167" s="93"/>
      <c r="CP167" s="20"/>
      <c r="CQ167" s="219">
        <v>2126.46</v>
      </c>
      <c r="CR167" s="93">
        <v>2.1949999999999998</v>
      </c>
      <c r="CS167" s="93"/>
      <c r="CT167" s="93"/>
      <c r="CU167" s="93"/>
      <c r="CV167" s="214"/>
      <c r="CW167" s="29">
        <v>100</v>
      </c>
      <c r="CX167" s="41">
        <f t="shared" si="192"/>
        <v>2008</v>
      </c>
      <c r="CY167" s="1504">
        <v>39539</v>
      </c>
      <c r="CZ167" s="1916">
        <v>58.186555999999996</v>
      </c>
      <c r="DA167" s="1526">
        <v>36.566482000000001</v>
      </c>
      <c r="DB167" s="1526">
        <v>21.620073999999999</v>
      </c>
      <c r="DC167" s="182">
        <f t="shared" si="199"/>
        <v>308942</v>
      </c>
      <c r="DD167" s="182">
        <f t="shared" si="200"/>
        <v>308032</v>
      </c>
      <c r="DE167" s="182">
        <f t="shared" si="201"/>
        <v>910</v>
      </c>
      <c r="DF167" s="29">
        <v>100</v>
      </c>
      <c r="DG167" s="1504">
        <v>39539</v>
      </c>
      <c r="DH167" s="19"/>
      <c r="DI167" s="93"/>
      <c r="DJ167" s="93"/>
      <c r="DK167" s="93"/>
      <c r="DL167" s="93"/>
      <c r="DM167" s="93"/>
      <c r="DN167" s="20"/>
      <c r="DO167" s="25"/>
      <c r="DP167" s="29">
        <v>100</v>
      </c>
      <c r="DQ167" s="1504">
        <v>39539</v>
      </c>
      <c r="DR167" s="19"/>
      <c r="DS167" s="93"/>
      <c r="DT167" s="93"/>
      <c r="DU167" s="93"/>
      <c r="DV167" s="93"/>
      <c r="DW167" s="93"/>
      <c r="DX167" s="20"/>
      <c r="DY167" s="29">
        <v>100</v>
      </c>
      <c r="DZ167" s="1504">
        <v>39539</v>
      </c>
      <c r="EA167" s="19"/>
      <c r="EB167" s="93"/>
      <c r="EC167" s="20"/>
      <c r="ED167" s="29">
        <v>100</v>
      </c>
      <c r="EE167" s="1504">
        <v>39539</v>
      </c>
      <c r="EF167" s="19"/>
      <c r="EG167" s="93"/>
      <c r="EH167" s="93"/>
      <c r="EI167" s="214"/>
      <c r="EJ167" s="93"/>
      <c r="EK167" s="93"/>
      <c r="EL167" s="93"/>
      <c r="EM167" s="93"/>
      <c r="EN167" s="20"/>
      <c r="EO167" s="29">
        <v>100</v>
      </c>
      <c r="EP167" s="1504">
        <v>39539</v>
      </c>
      <c r="EQ167" s="19"/>
      <c r="ER167" s="93"/>
      <c r="ES167" s="93"/>
      <c r="ET167" s="214"/>
      <c r="EU167" s="93"/>
      <c r="EV167" s="93"/>
      <c r="EW167" s="93"/>
      <c r="EX167" s="93"/>
      <c r="EY167" s="20"/>
      <c r="EZ167" s="29">
        <v>100</v>
      </c>
      <c r="FA167" s="1504">
        <v>39539</v>
      </c>
      <c r="FB167" s="29"/>
      <c r="FC167" s="29"/>
      <c r="FD167" s="29"/>
      <c r="FE167" s="29"/>
      <c r="FF167" s="29"/>
      <c r="FG167" s="29"/>
      <c r="FH167" s="29"/>
      <c r="FI167" s="29"/>
      <c r="FJ167" s="29"/>
      <c r="FK167" s="29">
        <v>100</v>
      </c>
      <c r="FL167" s="1504">
        <v>39539</v>
      </c>
      <c r="FM167" s="19"/>
      <c r="FN167" s="93"/>
      <c r="FO167" s="93"/>
      <c r="FP167" s="93"/>
      <c r="FQ167" s="93"/>
      <c r="FR167" s="93"/>
      <c r="FS167" s="93"/>
      <c r="FT167" s="93"/>
      <c r="FU167" s="93"/>
      <c r="FV167" s="93"/>
      <c r="FW167" s="93"/>
      <c r="FX167" s="93"/>
      <c r="FY167" s="93"/>
      <c r="FZ167" s="29">
        <v>100</v>
      </c>
      <c r="GA167" s="1504">
        <v>39539</v>
      </c>
      <c r="GB167" s="19"/>
      <c r="GC167" s="93"/>
      <c r="GD167" s="93"/>
      <c r="GE167" s="93"/>
      <c r="GF167" s="93"/>
      <c r="GG167" s="93"/>
      <c r="GH167" s="93"/>
      <c r="GI167" s="93"/>
      <c r="GJ167" s="93"/>
      <c r="GK167" s="93"/>
      <c r="GL167" s="93"/>
      <c r="GM167" s="93"/>
      <c r="GN167" s="20"/>
      <c r="GO167" s="29">
        <v>100</v>
      </c>
      <c r="GP167" s="1504">
        <v>39539</v>
      </c>
      <c r="GQ167" s="19"/>
      <c r="GR167" s="93"/>
      <c r="GS167" s="93"/>
      <c r="GT167" s="93"/>
      <c r="GU167" s="93"/>
      <c r="GV167" s="20"/>
      <c r="GW167" s="19"/>
      <c r="GX167" s="93"/>
      <c r="GY167" s="93"/>
      <c r="GZ167" s="93"/>
      <c r="HA167" s="93"/>
      <c r="HB167" s="20"/>
      <c r="HC167" s="19"/>
      <c r="HD167" s="93"/>
      <c r="HE167" s="93"/>
      <c r="HF167" s="93"/>
      <c r="HG167" s="93"/>
      <c r="HH167" s="20"/>
      <c r="HI167" s="19"/>
      <c r="HJ167" s="93"/>
      <c r="HK167" s="93"/>
      <c r="HL167" s="93"/>
      <c r="HM167" s="93"/>
      <c r="HN167" s="20"/>
      <c r="HO167" s="219"/>
      <c r="HP167" s="20"/>
      <c r="HQ167" s="25"/>
      <c r="HR167" s="29">
        <v>100</v>
      </c>
      <c r="HS167" s="1504">
        <v>39539</v>
      </c>
      <c r="HT167" s="179">
        <v>138.46252822875977</v>
      </c>
      <c r="HU167" s="99">
        <v>144.49318186442056</v>
      </c>
      <c r="HV167" s="99">
        <v>143.75</v>
      </c>
      <c r="HW167" s="99">
        <v>116.50485839843751</v>
      </c>
      <c r="HX167" s="99">
        <v>139.45254211425782</v>
      </c>
      <c r="HY167" s="99">
        <v>141.85298347473145</v>
      </c>
      <c r="HZ167" s="99">
        <v>167.81589126586914</v>
      </c>
      <c r="IA167" s="132">
        <v>168.69009094238282</v>
      </c>
      <c r="IB167" s="179">
        <v>152</v>
      </c>
      <c r="IC167" s="99">
        <v>105.10471343994141</v>
      </c>
      <c r="ID167" s="99">
        <v>148.80952962239584</v>
      </c>
      <c r="IE167" s="99">
        <v>136.55914306640625</v>
      </c>
      <c r="IF167" s="99">
        <v>182.10861816406251</v>
      </c>
      <c r="IG167" s="132">
        <v>110</v>
      </c>
      <c r="IH167" s="179">
        <v>116.53554153442383</v>
      </c>
      <c r="II167" s="99">
        <v>143.57411003112793</v>
      </c>
      <c r="IJ167" s="99">
        <v>142.04545974731445</v>
      </c>
      <c r="IK167" s="99">
        <v>135.31109619140625</v>
      </c>
      <c r="IL167" s="99">
        <v>128.68923568725586</v>
      </c>
      <c r="IM167" s="99">
        <v>150.92451782226561</v>
      </c>
      <c r="IN167" s="93"/>
      <c r="IO167" s="132">
        <v>150.25504112243652</v>
      </c>
      <c r="IP167" s="29">
        <v>100</v>
      </c>
      <c r="IQ167" s="19"/>
      <c r="IR167" s="93"/>
      <c r="IS167" s="93"/>
      <c r="IT167" s="93"/>
      <c r="IU167" s="93"/>
      <c r="IV167" s="20"/>
      <c r="IW167" s="29">
        <v>100</v>
      </c>
      <c r="IX167" s="19"/>
      <c r="IY167" s="93"/>
      <c r="IZ167" s="93"/>
      <c r="JA167" s="93"/>
      <c r="JB167" s="93"/>
      <c r="JC167" s="93"/>
      <c r="JD167" s="93"/>
      <c r="JE167" s="20"/>
      <c r="JF167" s="29">
        <v>100</v>
      </c>
      <c r="JG167" s="19"/>
      <c r="JH167" s="93"/>
      <c r="JI167" s="93"/>
      <c r="JJ167" s="93"/>
      <c r="JK167" s="93"/>
      <c r="JL167" s="93"/>
      <c r="JM167" s="93"/>
      <c r="JN167" s="20"/>
      <c r="JO167" s="29">
        <v>100</v>
      </c>
      <c r="JP167" s="19"/>
      <c r="JQ167" s="93"/>
      <c r="JR167" s="93"/>
      <c r="JS167" s="93"/>
      <c r="JT167" s="93"/>
      <c r="JU167" s="20"/>
      <c r="JV167" s="29">
        <v>100</v>
      </c>
      <c r="JW167" s="1504">
        <v>39539</v>
      </c>
      <c r="JX167" s="19"/>
      <c r="JY167" s="93"/>
      <c r="JZ167" s="93"/>
      <c r="KA167" s="93"/>
      <c r="KB167" s="93"/>
      <c r="KC167" s="93"/>
      <c r="KD167" s="20"/>
      <c r="KE167" s="29">
        <v>100</v>
      </c>
      <c r="KF167" s="19"/>
      <c r="KG167" s="93"/>
      <c r="KH167" s="93"/>
      <c r="KI167" s="93"/>
      <c r="KJ167" s="93"/>
      <c r="KK167" s="20"/>
      <c r="KL167" s="29">
        <v>100</v>
      </c>
      <c r="KM167" s="19"/>
      <c r="KN167" s="93"/>
      <c r="KO167" s="93"/>
      <c r="KP167" s="93"/>
      <c r="KQ167" s="93"/>
      <c r="KR167" s="20"/>
      <c r="KS167" s="29">
        <v>100</v>
      </c>
      <c r="KT167" s="19"/>
      <c r="KU167" s="93"/>
      <c r="KV167" s="93"/>
      <c r="KW167" s="93"/>
      <c r="KX167" s="93"/>
      <c r="KY167" s="20"/>
      <c r="KZ167" s="29">
        <v>100</v>
      </c>
      <c r="LA167" s="1504">
        <v>39539</v>
      </c>
      <c r="LB167" s="19"/>
      <c r="LC167" s="93"/>
      <c r="LD167" s="93"/>
      <c r="LE167" s="93"/>
      <c r="LF167" s="93"/>
      <c r="LG167" s="93"/>
      <c r="LH167" s="20"/>
      <c r="LI167" s="29">
        <v>100</v>
      </c>
      <c r="LJ167" s="19"/>
      <c r="LK167" s="93"/>
      <c r="LL167" s="93"/>
      <c r="LM167" s="93"/>
      <c r="LN167" s="93"/>
      <c r="LO167" s="20"/>
      <c r="LP167" s="29">
        <v>100</v>
      </c>
      <c r="LQ167" s="19"/>
      <c r="LR167" s="93"/>
      <c r="LS167" s="93"/>
      <c r="LT167" s="93"/>
      <c r="LU167" s="93"/>
      <c r="LV167" s="93"/>
      <c r="LW167" s="93"/>
      <c r="LX167" s="93"/>
      <c r="LY167" s="93"/>
      <c r="LZ167" s="93"/>
      <c r="MA167" s="20"/>
      <c r="MB167" s="29">
        <v>100</v>
      </c>
      <c r="MC167" s="1504">
        <v>39539</v>
      </c>
      <c r="MD167" s="19"/>
      <c r="ME167" s="93"/>
      <c r="MF167" s="93"/>
      <c r="MG167" s="93"/>
      <c r="MH167" s="93"/>
      <c r="MI167" s="93"/>
      <c r="MJ167" s="93"/>
      <c r="MK167" s="93"/>
      <c r="ML167" s="93"/>
      <c r="MM167" s="93"/>
      <c r="MN167" s="93"/>
      <c r="MO167" s="93"/>
      <c r="MP167" s="93"/>
      <c r="MQ167" s="93"/>
      <c r="MR167" s="93"/>
      <c r="MS167" s="93"/>
      <c r="MT167" s="93"/>
      <c r="MU167" s="93"/>
      <c r="MV167" s="93"/>
      <c r="MW167" s="93"/>
      <c r="MX167" s="93"/>
      <c r="MY167" s="93"/>
      <c r="MZ167" s="93"/>
      <c r="NA167" s="93"/>
      <c r="NB167" s="93"/>
      <c r="NC167" s="93"/>
      <c r="ND167" s="93"/>
      <c r="NE167" s="93"/>
      <c r="NF167" s="93"/>
      <c r="NG167" s="93"/>
      <c r="NH167" s="93"/>
      <c r="NI167" s="93"/>
      <c r="NJ167" s="93"/>
      <c r="NK167" s="93"/>
      <c r="NL167" s="93"/>
      <c r="NM167" s="93"/>
      <c r="NN167" s="93"/>
      <c r="NO167" s="93"/>
      <c r="NP167" s="93"/>
      <c r="NQ167" s="93"/>
      <c r="NR167" s="93"/>
      <c r="NS167" s="93"/>
      <c r="NT167" s="93"/>
      <c r="NU167" s="93"/>
      <c r="NV167" s="93"/>
      <c r="NW167" s="93"/>
      <c r="NX167" s="93"/>
      <c r="NY167" s="93"/>
      <c r="NZ167" s="93"/>
      <c r="OA167" s="93"/>
      <c r="OB167" s="93"/>
      <c r="OC167" s="93"/>
      <c r="OD167" s="20"/>
      <c r="OE167" s="29">
        <v>100</v>
      </c>
      <c r="OF167" s="1504">
        <v>39539</v>
      </c>
      <c r="OG167" s="19"/>
      <c r="OH167" s="93">
        <v>159.56800000000001</v>
      </c>
      <c r="OI167" s="93">
        <v>316.76287040106473</v>
      </c>
      <c r="OJ167" s="93">
        <v>0.37491139000000001</v>
      </c>
      <c r="OK167" s="93">
        <v>260.82355901106473</v>
      </c>
      <c r="OL167" s="93">
        <v>55.564399999999992</v>
      </c>
      <c r="OM167" s="93">
        <v>476.33087040106477</v>
      </c>
      <c r="ON167" s="93">
        <v>305.62934759332427</v>
      </c>
      <c r="OO167" s="93">
        <v>781.96021799438904</v>
      </c>
      <c r="OP167" s="93"/>
      <c r="OQ167" s="93">
        <v>406.31727444085578</v>
      </c>
      <c r="OR167" s="93">
        <v>324.070761318</v>
      </c>
      <c r="OS167" s="93">
        <v>82.246513122855774</v>
      </c>
      <c r="OT167" s="93">
        <v>510.1594765945332</v>
      </c>
      <c r="OU167" s="93">
        <v>-153.41976088299998</v>
      </c>
      <c r="OV167" s="93">
        <v>-82.787760883000004</v>
      </c>
      <c r="OW167" s="93">
        <v>-70.631999999999991</v>
      </c>
      <c r="OX167" s="93">
        <v>663.57923747753318</v>
      </c>
      <c r="OY167" s="93">
        <v>2.3938439959999998</v>
      </c>
      <c r="OZ167" s="93">
        <v>661.1853934815332</v>
      </c>
      <c r="PA167" s="93">
        <v>135.43566727400002</v>
      </c>
      <c r="PB167" s="93">
        <v>-0.91913423299998698</v>
      </c>
      <c r="PC167" s="20">
        <v>781.96021799438904</v>
      </c>
      <c r="PD167" s="29">
        <v>100</v>
      </c>
      <c r="PE167" s="19"/>
      <c r="PF167" s="93">
        <v>324.070761318</v>
      </c>
      <c r="PG167" s="93">
        <v>435.33117201600004</v>
      </c>
      <c r="PH167" s="93">
        <v>111.26041069800002</v>
      </c>
      <c r="PI167" s="93">
        <v>19.239999999999998</v>
      </c>
      <c r="PJ167" s="93">
        <v>-82.787760883000004</v>
      </c>
      <c r="PK167" s="93">
        <v>38.462625256000003</v>
      </c>
      <c r="PL167" s="93">
        <v>121.250386139</v>
      </c>
      <c r="PM167" s="93">
        <v>2.3938439959999998</v>
      </c>
      <c r="PN167" s="93">
        <v>0</v>
      </c>
      <c r="PO167" s="93">
        <v>0</v>
      </c>
      <c r="PP167" s="93">
        <v>9.8955799999999997E-4</v>
      </c>
      <c r="PQ167" s="93">
        <v>2.3928544379999996</v>
      </c>
      <c r="PR167" s="93">
        <v>262.90023367300006</v>
      </c>
      <c r="PS167" s="93">
        <v>182.221</v>
      </c>
      <c r="PT167" s="93">
        <v>80.304322283000005</v>
      </c>
      <c r="PU167" s="93">
        <v>0.37491139000000001</v>
      </c>
      <c r="PV167" s="93">
        <v>0</v>
      </c>
      <c r="PW167" s="93">
        <v>0.23133119099999999</v>
      </c>
      <c r="PX167" s="93">
        <v>0</v>
      </c>
      <c r="PY167" s="93">
        <v>0</v>
      </c>
      <c r="PZ167" s="93">
        <v>0.23133119099999999</v>
      </c>
      <c r="QA167" s="93">
        <v>0</v>
      </c>
      <c r="QB167" s="93">
        <v>0</v>
      </c>
      <c r="QC167" s="93">
        <v>0</v>
      </c>
      <c r="QD167" s="93">
        <v>-0.41666391699999999</v>
      </c>
      <c r="QE167" s="20">
        <v>0.20194348399999273</v>
      </c>
      <c r="QF167" s="1739">
        <v>100</v>
      </c>
      <c r="QG167" s="19"/>
      <c r="QH167" s="1035">
        <v>82.246513122855774</v>
      </c>
      <c r="QI167" s="1035">
        <v>188.31760651846668</v>
      </c>
      <c r="QJ167" s="1035">
        <v>-106.0710933956109</v>
      </c>
      <c r="QK167" s="1035">
        <v>85.662999999999997</v>
      </c>
      <c r="QL167" s="1035">
        <v>22.652999999999999</v>
      </c>
      <c r="QM167" s="1035">
        <v>63.01</v>
      </c>
      <c r="QN167" s="1035">
        <v>0</v>
      </c>
      <c r="QO167" s="1035">
        <v>-70.631999999999991</v>
      </c>
      <c r="QP167" s="1035">
        <v>46.991</v>
      </c>
      <c r="QQ167" s="1035">
        <v>-117.62299999999999</v>
      </c>
      <c r="QR167" s="1035">
        <v>661.1853934815332</v>
      </c>
      <c r="QS167" s="1035">
        <v>11.576208076378496</v>
      </c>
      <c r="QT167" s="1035">
        <v>0</v>
      </c>
      <c r="QU167" s="1035">
        <v>82.750999999999991</v>
      </c>
      <c r="QV167" s="1035">
        <v>566.8581854051547</v>
      </c>
      <c r="QW167" s="93"/>
      <c r="QX167" s="93">
        <v>18.611999999999998</v>
      </c>
      <c r="QY167" s="93">
        <v>260.82355901106473</v>
      </c>
      <c r="QZ167" s="93">
        <v>305.62934759332433</v>
      </c>
      <c r="RA167" s="93">
        <v>0</v>
      </c>
      <c r="RB167" s="93">
        <v>26.911999999999999</v>
      </c>
      <c r="RC167" s="93">
        <v>1.603</v>
      </c>
      <c r="RD167" s="93">
        <v>7.6220000000000008</v>
      </c>
      <c r="RE167" s="93">
        <v>0</v>
      </c>
      <c r="RF167" s="93">
        <v>0</v>
      </c>
      <c r="RG167" s="93">
        <v>99.484000000000009</v>
      </c>
      <c r="RH167" s="93">
        <v>37.777000000000001</v>
      </c>
      <c r="RI167" s="93"/>
      <c r="RJ167" s="93"/>
      <c r="RK167" s="93"/>
      <c r="RL167" s="93"/>
      <c r="RM167" s="20"/>
      <c r="RN167" s="29">
        <v>100</v>
      </c>
      <c r="RO167" s="19"/>
      <c r="RP167" s="20"/>
      <c r="RQ167" s="29">
        <v>100</v>
      </c>
      <c r="RR167" s="20"/>
      <c r="RS167" s="29">
        <v>100</v>
      </c>
      <c r="RT167" s="1504">
        <v>39539</v>
      </c>
      <c r="RU167" s="19"/>
      <c r="RV167" s="20"/>
      <c r="RW167" s="29">
        <v>100</v>
      </c>
      <c r="RX167" s="1504">
        <v>39539</v>
      </c>
      <c r="RY167" s="29"/>
      <c r="RZ167" s="20"/>
      <c r="SA167" s="29"/>
      <c r="SB167" s="29">
        <v>100</v>
      </c>
    </row>
    <row r="168" spans="1:496">
      <c r="A168" s="41">
        <f t="shared" si="191"/>
        <v>2008</v>
      </c>
      <c r="B168" s="1504">
        <v>39569</v>
      </c>
      <c r="C168" s="1813"/>
      <c r="D168" s="1814"/>
      <c r="E168" s="1814"/>
      <c r="F168" s="1815"/>
      <c r="G168" s="1814"/>
      <c r="H168" s="1814"/>
      <c r="I168" s="1814"/>
      <c r="J168" s="1816"/>
      <c r="K168" s="1807"/>
      <c r="L168" s="25">
        <v>101</v>
      </c>
      <c r="M168" s="97"/>
      <c r="N168" s="1504">
        <v>39569</v>
      </c>
      <c r="O168" s="19"/>
      <c r="P168" s="93"/>
      <c r="Q168" s="93"/>
      <c r="R168" s="93"/>
      <c r="S168" s="93"/>
      <c r="T168" s="93"/>
      <c r="U168" s="93"/>
      <c r="V168" s="93"/>
      <c r="W168" s="93"/>
      <c r="X168" s="93"/>
      <c r="Y168" s="93"/>
      <c r="Z168" s="93"/>
      <c r="AA168" s="93"/>
      <c r="AB168" s="20"/>
      <c r="AC168" s="25">
        <v>101</v>
      </c>
      <c r="AD168" s="97"/>
      <c r="AE168" s="1504">
        <v>39569</v>
      </c>
      <c r="AF168" s="19"/>
      <c r="AG168" s="93"/>
      <c r="AH168" s="93"/>
      <c r="AI168" s="93"/>
      <c r="AJ168" s="93"/>
      <c r="AK168" s="93"/>
      <c r="AL168" s="93"/>
      <c r="AM168" s="93"/>
      <c r="AN168" s="93"/>
      <c r="AO168" s="93"/>
      <c r="AP168" s="93"/>
      <c r="AQ168" s="93"/>
      <c r="AR168" s="93"/>
      <c r="AS168" s="20"/>
      <c r="AT168" s="25">
        <v>101</v>
      </c>
      <c r="AU168" s="97"/>
      <c r="AV168" s="1504">
        <v>39569</v>
      </c>
      <c r="AW168" s="19"/>
      <c r="AX168" s="93"/>
      <c r="AY168" s="93"/>
      <c r="AZ168" s="93"/>
      <c r="BA168" s="93"/>
      <c r="BB168" s="93"/>
      <c r="BC168" s="93"/>
      <c r="BD168" s="93"/>
      <c r="BE168" s="93"/>
      <c r="BF168" s="93"/>
      <c r="BG168" s="93"/>
      <c r="BH168" s="93"/>
      <c r="BI168" s="93"/>
      <c r="BJ168" s="20"/>
      <c r="BK168" s="25">
        <v>101</v>
      </c>
      <c r="BL168" s="97"/>
      <c r="BM168" s="1504">
        <v>39569</v>
      </c>
      <c r="BN168" s="19"/>
      <c r="BO168" s="93"/>
      <c r="BP168" s="93"/>
      <c r="BQ168" s="93"/>
      <c r="BR168" s="93"/>
      <c r="BS168" s="93"/>
      <c r="BT168" s="93"/>
      <c r="BU168" s="20"/>
      <c r="BV168" s="25">
        <v>101</v>
      </c>
      <c r="BW168" s="97"/>
      <c r="BX168" s="1504">
        <v>39569</v>
      </c>
      <c r="BY168" s="19"/>
      <c r="BZ168" s="99">
        <v>664.95699999999999</v>
      </c>
      <c r="CA168" s="93"/>
      <c r="CB168" s="93"/>
      <c r="CC168" s="93"/>
      <c r="CD168" s="25">
        <v>101</v>
      </c>
      <c r="CE168" s="97"/>
      <c r="CF168" s="1504">
        <v>39569</v>
      </c>
      <c r="CG168" s="19">
        <v>1.6336234199999999</v>
      </c>
      <c r="CH168" s="1626">
        <v>888.66300000000001</v>
      </c>
      <c r="CI168" s="219"/>
      <c r="CJ168" s="20"/>
      <c r="CK168" s="19"/>
      <c r="CL168" s="93"/>
      <c r="CM168" s="93"/>
      <c r="CN168" s="93"/>
      <c r="CO168" s="93"/>
      <c r="CP168" s="20"/>
      <c r="CQ168" s="219">
        <v>2253.2199999999998</v>
      </c>
      <c r="CR168" s="93">
        <v>2.1425000000000001</v>
      </c>
      <c r="CS168" s="93"/>
      <c r="CT168" s="93"/>
      <c r="CU168" s="93"/>
      <c r="CV168" s="214"/>
      <c r="CW168" s="29">
        <v>101</v>
      </c>
      <c r="CX168" s="41">
        <f t="shared" si="192"/>
        <v>2008</v>
      </c>
      <c r="CY168" s="1504">
        <v>39569</v>
      </c>
      <c r="CZ168" s="1916">
        <v>61.089295</v>
      </c>
      <c r="DA168" s="1526">
        <v>39.774574000000001</v>
      </c>
      <c r="DB168" s="1526">
        <v>21.314720999999999</v>
      </c>
      <c r="DC168" s="182">
        <f t="shared" si="199"/>
        <v>308942</v>
      </c>
      <c r="DD168" s="182">
        <f t="shared" si="200"/>
        <v>308032</v>
      </c>
      <c r="DE168" s="182">
        <f t="shared" si="201"/>
        <v>910</v>
      </c>
      <c r="DF168" s="29">
        <v>101</v>
      </c>
      <c r="DG168" s="1504">
        <v>39569</v>
      </c>
      <c r="DH168" s="19"/>
      <c r="DI168" s="93"/>
      <c r="DJ168" s="93"/>
      <c r="DK168" s="93"/>
      <c r="DL168" s="93"/>
      <c r="DM168" s="93"/>
      <c r="DN168" s="20"/>
      <c r="DO168" s="25"/>
      <c r="DP168" s="29">
        <v>101</v>
      </c>
      <c r="DQ168" s="1504">
        <v>39569</v>
      </c>
      <c r="DR168" s="19"/>
      <c r="DS168" s="93"/>
      <c r="DT168" s="93"/>
      <c r="DU168" s="93"/>
      <c r="DV168" s="93"/>
      <c r="DW168" s="93"/>
      <c r="DX168" s="20"/>
      <c r="DY168" s="29">
        <v>101</v>
      </c>
      <c r="DZ168" s="1504">
        <v>39569</v>
      </c>
      <c r="EA168" s="19"/>
      <c r="EB168" s="93"/>
      <c r="EC168" s="20"/>
      <c r="ED168" s="29">
        <v>101</v>
      </c>
      <c r="EE168" s="1504">
        <v>39569</v>
      </c>
      <c r="EF168" s="19"/>
      <c r="EG168" s="93"/>
      <c r="EH168" s="93"/>
      <c r="EI168" s="214"/>
      <c r="EJ168" s="93"/>
      <c r="EK168" s="93"/>
      <c r="EL168" s="93"/>
      <c r="EM168" s="93"/>
      <c r="EN168" s="20"/>
      <c r="EO168" s="29">
        <v>101</v>
      </c>
      <c r="EP168" s="1504">
        <v>39569</v>
      </c>
      <c r="EQ168" s="19"/>
      <c r="ER168" s="93"/>
      <c r="ES168" s="93"/>
      <c r="ET168" s="214"/>
      <c r="EU168" s="93"/>
      <c r="EV168" s="93"/>
      <c r="EW168" s="93"/>
      <c r="EX168" s="93"/>
      <c r="EY168" s="20"/>
      <c r="EZ168" s="29">
        <v>101</v>
      </c>
      <c r="FA168" s="1504">
        <v>39569</v>
      </c>
      <c r="FB168" s="29"/>
      <c r="FC168" s="29"/>
      <c r="FD168" s="29"/>
      <c r="FE168" s="29"/>
      <c r="FF168" s="29"/>
      <c r="FG168" s="29"/>
      <c r="FH168" s="29"/>
      <c r="FI168" s="29"/>
      <c r="FJ168" s="29"/>
      <c r="FK168" s="29">
        <v>101</v>
      </c>
      <c r="FL168" s="1504">
        <v>39569</v>
      </c>
      <c r="FM168" s="19"/>
      <c r="FN168" s="93"/>
      <c r="FO168" s="93"/>
      <c r="FP168" s="93"/>
      <c r="FQ168" s="93"/>
      <c r="FR168" s="93"/>
      <c r="FS168" s="93"/>
      <c r="FT168" s="93"/>
      <c r="FU168" s="93"/>
      <c r="FV168" s="93"/>
      <c r="FW168" s="93"/>
      <c r="FX168" s="93"/>
      <c r="FY168" s="93"/>
      <c r="FZ168" s="29">
        <v>101</v>
      </c>
      <c r="GA168" s="1504">
        <v>39569</v>
      </c>
      <c r="GB168" s="19"/>
      <c r="GC168" s="93"/>
      <c r="GD168" s="93"/>
      <c r="GE168" s="93"/>
      <c r="GF168" s="93"/>
      <c r="GG168" s="93"/>
      <c r="GH168" s="93"/>
      <c r="GI168" s="93"/>
      <c r="GJ168" s="93"/>
      <c r="GK168" s="93"/>
      <c r="GL168" s="93"/>
      <c r="GM168" s="93"/>
      <c r="GN168" s="20"/>
      <c r="GO168" s="29">
        <v>101</v>
      </c>
      <c r="GP168" s="1504">
        <v>39569</v>
      </c>
      <c r="GQ168" s="19"/>
      <c r="GR168" s="93"/>
      <c r="GS168" s="93"/>
      <c r="GT168" s="93"/>
      <c r="GU168" s="93"/>
      <c r="GV168" s="20"/>
      <c r="GW168" s="19"/>
      <c r="GX168" s="93"/>
      <c r="GY168" s="93"/>
      <c r="GZ168" s="93"/>
      <c r="HA168" s="93"/>
      <c r="HB168" s="20"/>
      <c r="HC168" s="19"/>
      <c r="HD168" s="93"/>
      <c r="HE168" s="93"/>
      <c r="HF168" s="93"/>
      <c r="HG168" s="93"/>
      <c r="HH168" s="20"/>
      <c r="HI168" s="19"/>
      <c r="HJ168" s="93"/>
      <c r="HK168" s="93"/>
      <c r="HL168" s="93"/>
      <c r="HM168" s="93"/>
      <c r="HN168" s="20"/>
      <c r="HO168" s="219"/>
      <c r="HP168" s="20"/>
      <c r="HQ168" s="25"/>
      <c r="HR168" s="29">
        <v>101</v>
      </c>
      <c r="HS168" s="1504">
        <v>39569</v>
      </c>
      <c r="HT168" s="179">
        <v>151.10507774353027</v>
      </c>
      <c r="HU168" s="99">
        <v>170.77091369628906</v>
      </c>
      <c r="HV168" s="99">
        <v>169.83695983886719</v>
      </c>
      <c r="HW168" s="99">
        <v>125.40453592936198</v>
      </c>
      <c r="HX168" s="99">
        <v>167.08753967285156</v>
      </c>
      <c r="HY168" s="99">
        <v>164.43090057373047</v>
      </c>
      <c r="HZ168" s="99">
        <v>174.82605743408203</v>
      </c>
      <c r="IA168" s="132">
        <v>189.54248809814453</v>
      </c>
      <c r="IB168" s="179">
        <v>143.77288818359375</v>
      </c>
      <c r="IC168" s="99">
        <v>119.7643985748291</v>
      </c>
      <c r="ID168" s="99">
        <v>174.10714340209961</v>
      </c>
      <c r="IE168" s="99">
        <v>171.11110941569009</v>
      </c>
      <c r="IF168" s="99">
        <v>208.38012186686197</v>
      </c>
      <c r="IG168" s="132">
        <v>132.5</v>
      </c>
      <c r="IH168" s="179">
        <v>142.62701416015625</v>
      </c>
      <c r="II168" s="99">
        <v>162.81882781982421</v>
      </c>
      <c r="IJ168" s="99">
        <v>161.63792037963867</v>
      </c>
      <c r="IK168" s="99">
        <v>163.003662109375</v>
      </c>
      <c r="IL168" s="99">
        <v>159.47916870117189</v>
      </c>
      <c r="IM168" s="99">
        <v>190.59405517578125</v>
      </c>
      <c r="IN168" s="93"/>
      <c r="IO168" s="132">
        <v>170.14196586608887</v>
      </c>
      <c r="IP168" s="29">
        <v>101</v>
      </c>
      <c r="IQ168" s="19"/>
      <c r="IR168" s="93"/>
      <c r="IS168" s="93"/>
      <c r="IT168" s="93"/>
      <c r="IU168" s="93"/>
      <c r="IV168" s="20"/>
      <c r="IW168" s="29">
        <v>101</v>
      </c>
      <c r="IX168" s="19"/>
      <c r="IY168" s="93"/>
      <c r="IZ168" s="93"/>
      <c r="JA168" s="93"/>
      <c r="JB168" s="93"/>
      <c r="JC168" s="93"/>
      <c r="JD168" s="93"/>
      <c r="JE168" s="20"/>
      <c r="JF168" s="29">
        <v>101</v>
      </c>
      <c r="JG168" s="19"/>
      <c r="JH168" s="93"/>
      <c r="JI168" s="93"/>
      <c r="JJ168" s="93"/>
      <c r="JK168" s="93"/>
      <c r="JL168" s="93"/>
      <c r="JM168" s="93"/>
      <c r="JN168" s="20"/>
      <c r="JO168" s="29">
        <v>101</v>
      </c>
      <c r="JP168" s="19"/>
      <c r="JQ168" s="93"/>
      <c r="JR168" s="93"/>
      <c r="JS168" s="93"/>
      <c r="JT168" s="93"/>
      <c r="JU168" s="20"/>
      <c r="JV168" s="29">
        <v>101</v>
      </c>
      <c r="JW168" s="1504">
        <v>39569</v>
      </c>
      <c r="JX168" s="19"/>
      <c r="JY168" s="93"/>
      <c r="JZ168" s="93"/>
      <c r="KA168" s="93"/>
      <c r="KB168" s="93"/>
      <c r="KC168" s="93"/>
      <c r="KD168" s="20"/>
      <c r="KE168" s="29">
        <v>101</v>
      </c>
      <c r="KF168" s="19"/>
      <c r="KG168" s="93"/>
      <c r="KH168" s="93"/>
      <c r="KI168" s="93"/>
      <c r="KJ168" s="93"/>
      <c r="KK168" s="20"/>
      <c r="KL168" s="29">
        <v>101</v>
      </c>
      <c r="KM168" s="19"/>
      <c r="KN168" s="93"/>
      <c r="KO168" s="93"/>
      <c r="KP168" s="93"/>
      <c r="KQ168" s="93"/>
      <c r="KR168" s="20"/>
      <c r="KS168" s="29">
        <v>101</v>
      </c>
      <c r="KT168" s="19"/>
      <c r="KU168" s="93"/>
      <c r="KV168" s="93"/>
      <c r="KW168" s="93"/>
      <c r="KX168" s="93"/>
      <c r="KY168" s="20"/>
      <c r="KZ168" s="29">
        <v>101</v>
      </c>
      <c r="LA168" s="1504">
        <v>39569</v>
      </c>
      <c r="LB168" s="19"/>
      <c r="LC168" s="93"/>
      <c r="LD168" s="93"/>
      <c r="LE168" s="93"/>
      <c r="LF168" s="93"/>
      <c r="LG168" s="93"/>
      <c r="LH168" s="20"/>
      <c r="LI168" s="29">
        <v>101</v>
      </c>
      <c r="LJ168" s="19"/>
      <c r="LK168" s="93"/>
      <c r="LL168" s="93"/>
      <c r="LM168" s="93"/>
      <c r="LN168" s="93"/>
      <c r="LO168" s="20"/>
      <c r="LP168" s="29">
        <v>101</v>
      </c>
      <c r="LQ168" s="19"/>
      <c r="LR168" s="93"/>
      <c r="LS168" s="93"/>
      <c r="LT168" s="93"/>
      <c r="LU168" s="93"/>
      <c r="LV168" s="93"/>
      <c r="LW168" s="93"/>
      <c r="LX168" s="93"/>
      <c r="LY168" s="93"/>
      <c r="LZ168" s="93"/>
      <c r="MA168" s="20"/>
      <c r="MB168" s="29">
        <v>101</v>
      </c>
      <c r="MC168" s="1504">
        <v>39569</v>
      </c>
      <c r="MD168" s="19"/>
      <c r="ME168" s="93"/>
      <c r="MF168" s="93"/>
      <c r="MG168" s="93"/>
      <c r="MH168" s="93"/>
      <c r="MI168" s="93"/>
      <c r="MJ168" s="93"/>
      <c r="MK168" s="93"/>
      <c r="ML168" s="93"/>
      <c r="MM168" s="93"/>
      <c r="MN168" s="93"/>
      <c r="MO168" s="93"/>
      <c r="MP168" s="93"/>
      <c r="MQ168" s="93"/>
      <c r="MR168" s="93"/>
      <c r="MS168" s="93"/>
      <c r="MT168" s="93"/>
      <c r="MU168" s="93"/>
      <c r="MV168" s="93"/>
      <c r="MW168" s="93"/>
      <c r="MX168" s="93"/>
      <c r="MY168" s="93"/>
      <c r="MZ168" s="93"/>
      <c r="NA168" s="93"/>
      <c r="NB168" s="93"/>
      <c r="NC168" s="93"/>
      <c r="ND168" s="93"/>
      <c r="NE168" s="93"/>
      <c r="NF168" s="93"/>
      <c r="NG168" s="93"/>
      <c r="NH168" s="93"/>
      <c r="NI168" s="93"/>
      <c r="NJ168" s="93"/>
      <c r="NK168" s="93"/>
      <c r="NL168" s="93"/>
      <c r="NM168" s="93"/>
      <c r="NN168" s="93"/>
      <c r="NO168" s="93"/>
      <c r="NP168" s="93"/>
      <c r="NQ168" s="93"/>
      <c r="NR168" s="93"/>
      <c r="NS168" s="93"/>
      <c r="NT168" s="93"/>
      <c r="NU168" s="93"/>
      <c r="NV168" s="93"/>
      <c r="NW168" s="93"/>
      <c r="NX168" s="93"/>
      <c r="NY168" s="93"/>
      <c r="NZ168" s="93"/>
      <c r="OA168" s="93"/>
      <c r="OB168" s="93"/>
      <c r="OC168" s="93"/>
      <c r="OD168" s="20"/>
      <c r="OE168" s="29">
        <v>101</v>
      </c>
      <c r="OF168" s="1504">
        <v>39569</v>
      </c>
      <c r="OG168" s="19"/>
      <c r="OH168" s="93">
        <v>151.9213</v>
      </c>
      <c r="OI168" s="93">
        <v>326.85469877505761</v>
      </c>
      <c r="OJ168" s="93">
        <v>0.31073700199999998</v>
      </c>
      <c r="OK168" s="93">
        <v>269.66076177305763</v>
      </c>
      <c r="OL168" s="93">
        <v>56.883199999999995</v>
      </c>
      <c r="OM168" s="93">
        <v>478.77599877505759</v>
      </c>
      <c r="ON168" s="93">
        <v>323.53918487964057</v>
      </c>
      <c r="OO168" s="93">
        <v>802.3151836546981</v>
      </c>
      <c r="OP168" s="93"/>
      <c r="OQ168" s="93">
        <v>393.69275929447525</v>
      </c>
      <c r="OR168" s="93">
        <v>312.22507966400002</v>
      </c>
      <c r="OS168" s="93">
        <v>81.467679630475317</v>
      </c>
      <c r="OT168" s="93">
        <v>518.56798056222283</v>
      </c>
      <c r="OU168" s="93">
        <v>-146.978760929</v>
      </c>
      <c r="OV168" s="93">
        <v>-61.061760929000002</v>
      </c>
      <c r="OW168" s="93">
        <v>-85.917000000000002</v>
      </c>
      <c r="OX168" s="93">
        <v>665.54674149122286</v>
      </c>
      <c r="OY168" s="93">
        <v>2.3834744689999998</v>
      </c>
      <c r="OZ168" s="93">
        <v>663.16326702222295</v>
      </c>
      <c r="PA168" s="93">
        <v>135.94356975100001</v>
      </c>
      <c r="PB168" s="93">
        <v>-25.998013549000007</v>
      </c>
      <c r="PC168" s="20">
        <v>802.3151836546981</v>
      </c>
      <c r="PD168" s="29">
        <v>101</v>
      </c>
      <c r="PE168" s="19"/>
      <c r="PF168" s="93">
        <v>312.22507966400002</v>
      </c>
      <c r="PG168" s="93">
        <v>426.404946451</v>
      </c>
      <c r="PH168" s="93">
        <v>114.17986678699999</v>
      </c>
      <c r="PI168" s="93">
        <v>14.871</v>
      </c>
      <c r="PJ168" s="93">
        <v>-61.061760929000002</v>
      </c>
      <c r="PK168" s="93">
        <v>38.485476762000005</v>
      </c>
      <c r="PL168" s="93">
        <v>99.547237691000007</v>
      </c>
      <c r="PM168" s="93">
        <v>2.3834744689999998</v>
      </c>
      <c r="PN168" s="93">
        <v>0</v>
      </c>
      <c r="PO168" s="93">
        <v>0</v>
      </c>
      <c r="PP168" s="93">
        <v>2.7240400000000002E-4</v>
      </c>
      <c r="PQ168" s="93">
        <v>2.3832020649999999</v>
      </c>
      <c r="PR168" s="93">
        <v>273.11495560200001</v>
      </c>
      <c r="PS168" s="93">
        <v>180.13730000000001</v>
      </c>
      <c r="PT168" s="93">
        <v>92.666918600000002</v>
      </c>
      <c r="PU168" s="93">
        <v>0.31073700199999998</v>
      </c>
      <c r="PV168" s="93">
        <v>0</v>
      </c>
      <c r="PW168" s="93">
        <v>0.14386885899999999</v>
      </c>
      <c r="PX168" s="93">
        <v>0</v>
      </c>
      <c r="PY168" s="93">
        <v>0</v>
      </c>
      <c r="PZ168" s="93">
        <v>0.14386885899999999</v>
      </c>
      <c r="QA168" s="93">
        <v>0</v>
      </c>
      <c r="QB168" s="93">
        <v>0</v>
      </c>
      <c r="QC168" s="93">
        <v>0</v>
      </c>
      <c r="QD168" s="93">
        <v>-1.8222991079999997</v>
      </c>
      <c r="QE168" s="20">
        <v>-3.0187321490000008</v>
      </c>
      <c r="QF168" s="1739">
        <v>101</v>
      </c>
      <c r="QG168" s="19"/>
      <c r="QH168" s="1035">
        <v>81.467679630475317</v>
      </c>
      <c r="QI168" s="1035">
        <v>193.81373297777708</v>
      </c>
      <c r="QJ168" s="1035">
        <v>-112.34605334730176</v>
      </c>
      <c r="QK168" s="1035">
        <v>111.505</v>
      </c>
      <c r="QL168" s="1035">
        <v>28.216000000000001</v>
      </c>
      <c r="QM168" s="1035">
        <v>83.289000000000001</v>
      </c>
      <c r="QN168" s="1035">
        <v>0</v>
      </c>
      <c r="QO168" s="1035">
        <v>-85.917000000000002</v>
      </c>
      <c r="QP168" s="1035">
        <v>37.267000000000003</v>
      </c>
      <c r="QQ168" s="1035">
        <v>-123.184</v>
      </c>
      <c r="QR168" s="1035">
        <v>663.16326702222295</v>
      </c>
      <c r="QS168" s="1035">
        <v>9.9834729426719875</v>
      </c>
      <c r="QT168" s="1035">
        <v>0</v>
      </c>
      <c r="QU168" s="1035">
        <v>72.149999999999991</v>
      </c>
      <c r="QV168" s="1035">
        <v>581.02979407955092</v>
      </c>
      <c r="QW168" s="93"/>
      <c r="QX168" s="93">
        <v>14.292999999999999</v>
      </c>
      <c r="QY168" s="93">
        <v>269.66076177305763</v>
      </c>
      <c r="QZ168" s="93">
        <v>323.53918487964052</v>
      </c>
      <c r="RA168" s="93">
        <v>0</v>
      </c>
      <c r="RB168" s="93">
        <v>28.197999999999997</v>
      </c>
      <c r="RC168" s="93">
        <v>1.6419999999999999</v>
      </c>
      <c r="RD168" s="93">
        <v>6.4130000000000003</v>
      </c>
      <c r="RE168" s="93">
        <v>0</v>
      </c>
      <c r="RF168" s="93">
        <v>0</v>
      </c>
      <c r="RG168" s="93">
        <v>101.369</v>
      </c>
      <c r="RH168" s="93">
        <v>25.103999999999985</v>
      </c>
      <c r="RI168" s="93"/>
      <c r="RJ168" s="93"/>
      <c r="RK168" s="93"/>
      <c r="RL168" s="93"/>
      <c r="RM168" s="20"/>
      <c r="RN168" s="29">
        <v>101</v>
      </c>
      <c r="RO168" s="19"/>
      <c r="RP168" s="20"/>
      <c r="RQ168" s="29">
        <v>101</v>
      </c>
      <c r="RR168" s="20"/>
      <c r="RS168" s="29">
        <v>101</v>
      </c>
      <c r="RT168" s="1504">
        <v>39569</v>
      </c>
      <c r="RU168" s="19"/>
      <c r="RV168" s="20"/>
      <c r="RW168" s="29">
        <v>101</v>
      </c>
      <c r="RX168" s="1504">
        <v>39569</v>
      </c>
      <c r="RY168" s="29"/>
      <c r="RZ168" s="20"/>
      <c r="SA168" s="29"/>
      <c r="SB168" s="29">
        <v>101</v>
      </c>
    </row>
    <row r="169" spans="1:496">
      <c r="A169" s="41">
        <f t="shared" si="191"/>
        <v>2008</v>
      </c>
      <c r="B169" s="1504">
        <v>39600</v>
      </c>
      <c r="C169" s="1813"/>
      <c r="D169" s="1814"/>
      <c r="E169" s="1814"/>
      <c r="F169" s="1815"/>
      <c r="G169" s="1814"/>
      <c r="H169" s="1814"/>
      <c r="I169" s="1814"/>
      <c r="J169" s="1816"/>
      <c r="K169" s="1807"/>
      <c r="L169" s="25">
        <v>102</v>
      </c>
      <c r="M169" s="97"/>
      <c r="N169" s="1504">
        <v>39600</v>
      </c>
      <c r="O169" s="19"/>
      <c r="P169" s="93"/>
      <c r="Q169" s="93"/>
      <c r="R169" s="93"/>
      <c r="S169" s="93"/>
      <c r="T169" s="93"/>
      <c r="U169" s="93"/>
      <c r="V169" s="93"/>
      <c r="W169" s="93"/>
      <c r="X169" s="93"/>
      <c r="Y169" s="93"/>
      <c r="Z169" s="93"/>
      <c r="AA169" s="93"/>
      <c r="AB169" s="20"/>
      <c r="AC169" s="25">
        <v>102</v>
      </c>
      <c r="AD169" s="97"/>
      <c r="AE169" s="1504">
        <v>39600</v>
      </c>
      <c r="AF169" s="19"/>
      <c r="AG169" s="93"/>
      <c r="AH169" s="93"/>
      <c r="AI169" s="93"/>
      <c r="AJ169" s="93"/>
      <c r="AK169" s="93"/>
      <c r="AL169" s="93"/>
      <c r="AM169" s="93"/>
      <c r="AN169" s="93"/>
      <c r="AO169" s="93"/>
      <c r="AP169" s="93"/>
      <c r="AQ169" s="93"/>
      <c r="AR169" s="93"/>
      <c r="AS169" s="20"/>
      <c r="AT169" s="25">
        <v>102</v>
      </c>
      <c r="AU169" s="97"/>
      <c r="AV169" s="1504">
        <v>39600</v>
      </c>
      <c r="AW169" s="19"/>
      <c r="AX169" s="93"/>
      <c r="AY169" s="93"/>
      <c r="AZ169" s="93"/>
      <c r="BA169" s="93"/>
      <c r="BB169" s="93"/>
      <c r="BC169" s="93"/>
      <c r="BD169" s="93"/>
      <c r="BE169" s="93"/>
      <c r="BF169" s="93"/>
      <c r="BG169" s="93"/>
      <c r="BH169" s="93"/>
      <c r="BI169" s="93"/>
      <c r="BJ169" s="20"/>
      <c r="BK169" s="25">
        <v>102</v>
      </c>
      <c r="BL169" s="97"/>
      <c r="BM169" s="1504">
        <v>39600</v>
      </c>
      <c r="BN169" s="19"/>
      <c r="BO169" s="93"/>
      <c r="BP169" s="93"/>
      <c r="BQ169" s="93"/>
      <c r="BR169" s="93"/>
      <c r="BS169" s="93"/>
      <c r="BT169" s="93"/>
      <c r="BU169" s="20"/>
      <c r="BV169" s="25">
        <v>102</v>
      </c>
      <c r="BW169" s="97"/>
      <c r="BX169" s="1504">
        <v>39600</v>
      </c>
      <c r="BY169" s="19"/>
      <c r="BZ169" s="99">
        <v>664.95699999999999</v>
      </c>
      <c r="CA169" s="93"/>
      <c r="CB169" s="93"/>
      <c r="CC169" s="93"/>
      <c r="CD169" s="25">
        <v>102</v>
      </c>
      <c r="CE169" s="97"/>
      <c r="CF169" s="1504">
        <v>39600</v>
      </c>
      <c r="CG169" s="19">
        <v>1.69865971</v>
      </c>
      <c r="CH169" s="1626">
        <v>889.48800000000006</v>
      </c>
      <c r="CI169" s="219"/>
      <c r="CJ169" s="20"/>
      <c r="CK169" s="19"/>
      <c r="CL169" s="93"/>
      <c r="CM169" s="93"/>
      <c r="CN169" s="93"/>
      <c r="CO169" s="93"/>
      <c r="CP169" s="20"/>
      <c r="CQ169" s="219">
        <v>2332.6999999999998</v>
      </c>
      <c r="CR169" s="93">
        <v>2.31</v>
      </c>
      <c r="CS169" s="93"/>
      <c r="CT169" s="93"/>
      <c r="CU169" s="93"/>
      <c r="CV169" s="214"/>
      <c r="CW169" s="29">
        <v>102</v>
      </c>
      <c r="CX169" s="41">
        <f t="shared" si="192"/>
        <v>2008</v>
      </c>
      <c r="CY169" s="1504">
        <v>39600</v>
      </c>
      <c r="CZ169" s="1916">
        <v>59.656516999999994</v>
      </c>
      <c r="DA169" s="1526">
        <v>38.735999999999997</v>
      </c>
      <c r="DB169" s="1526">
        <v>20.920517</v>
      </c>
      <c r="DC169" s="182">
        <f t="shared" si="199"/>
        <v>308942</v>
      </c>
      <c r="DD169" s="182">
        <f t="shared" si="200"/>
        <v>308032</v>
      </c>
      <c r="DE169" s="182">
        <f t="shared" si="201"/>
        <v>910</v>
      </c>
      <c r="DF169" s="29">
        <v>102</v>
      </c>
      <c r="DG169" s="1504">
        <v>39600</v>
      </c>
      <c r="DH169" s="19"/>
      <c r="DI169" s="93"/>
      <c r="DJ169" s="93"/>
      <c r="DK169" s="93"/>
      <c r="DL169" s="93"/>
      <c r="DM169" s="93"/>
      <c r="DN169" s="20"/>
      <c r="DO169" s="25"/>
      <c r="DP169" s="29">
        <v>102</v>
      </c>
      <c r="DQ169" s="1504">
        <v>39600</v>
      </c>
      <c r="DR169" s="19"/>
      <c r="DS169" s="93"/>
      <c r="DT169" s="93"/>
      <c r="DU169" s="93"/>
      <c r="DV169" s="93"/>
      <c r="DW169" s="93"/>
      <c r="DX169" s="20"/>
      <c r="DY169" s="29">
        <v>102</v>
      </c>
      <c r="DZ169" s="1504">
        <v>39600</v>
      </c>
      <c r="EA169" s="19"/>
      <c r="EB169" s="93"/>
      <c r="EC169" s="20"/>
      <c r="ED169" s="29">
        <v>102</v>
      </c>
      <c r="EE169" s="1504">
        <v>39600</v>
      </c>
      <c r="EF169" s="19"/>
      <c r="EG169" s="93"/>
      <c r="EH169" s="93"/>
      <c r="EI169" s="214"/>
      <c r="EJ169" s="93"/>
      <c r="EK169" s="93"/>
      <c r="EL169" s="93"/>
      <c r="EM169" s="93"/>
      <c r="EN169" s="20"/>
      <c r="EO169" s="29">
        <v>102</v>
      </c>
      <c r="EP169" s="1504">
        <v>39600</v>
      </c>
      <c r="EQ169" s="19"/>
      <c r="ER169" s="93"/>
      <c r="ES169" s="93"/>
      <c r="ET169" s="214"/>
      <c r="EU169" s="93"/>
      <c r="EV169" s="93"/>
      <c r="EW169" s="93"/>
      <c r="EX169" s="93"/>
      <c r="EY169" s="20"/>
      <c r="EZ169" s="29">
        <v>102</v>
      </c>
      <c r="FA169" s="1504">
        <v>39600</v>
      </c>
      <c r="FB169" s="29"/>
      <c r="FC169" s="29"/>
      <c r="FD169" s="29"/>
      <c r="FE169" s="29"/>
      <c r="FF169" s="29"/>
      <c r="FG169" s="29"/>
      <c r="FH169" s="29"/>
      <c r="FI169" s="29"/>
      <c r="FJ169" s="29"/>
      <c r="FK169" s="29">
        <v>102</v>
      </c>
      <c r="FL169" s="1504">
        <v>39600</v>
      </c>
      <c r="FM169" s="19"/>
      <c r="FN169" s="93"/>
      <c r="FO169" s="93"/>
      <c r="FP169" s="93"/>
      <c r="FQ169" s="93"/>
      <c r="FR169" s="93"/>
      <c r="FS169" s="93"/>
      <c r="FT169" s="93"/>
      <c r="FU169" s="93"/>
      <c r="FV169" s="93"/>
      <c r="FW169" s="93"/>
      <c r="FX169" s="93"/>
      <c r="FY169" s="93"/>
      <c r="FZ169" s="29">
        <v>102</v>
      </c>
      <c r="GA169" s="1504">
        <v>39600</v>
      </c>
      <c r="GB169" s="19"/>
      <c r="GC169" s="93"/>
      <c r="GD169" s="93"/>
      <c r="GE169" s="93"/>
      <c r="GF169" s="93"/>
      <c r="GG169" s="93"/>
      <c r="GH169" s="93"/>
      <c r="GI169" s="93"/>
      <c r="GJ169" s="93"/>
      <c r="GK169" s="93"/>
      <c r="GL169" s="93"/>
      <c r="GM169" s="93"/>
      <c r="GN169" s="20"/>
      <c r="GO169" s="29">
        <v>102</v>
      </c>
      <c r="GP169" s="1504">
        <v>39600</v>
      </c>
      <c r="GQ169" s="19"/>
      <c r="GR169" s="93"/>
      <c r="GS169" s="93"/>
      <c r="GT169" s="93"/>
      <c r="GU169" s="93"/>
      <c r="GV169" s="20"/>
      <c r="GW169" s="19"/>
      <c r="GX169" s="93"/>
      <c r="GY169" s="93"/>
      <c r="GZ169" s="93"/>
      <c r="HA169" s="93"/>
      <c r="HB169" s="20"/>
      <c r="HC169" s="19"/>
      <c r="HD169" s="93"/>
      <c r="HE169" s="93"/>
      <c r="HF169" s="93"/>
      <c r="HG169" s="93"/>
      <c r="HH169" s="20"/>
      <c r="HI169" s="19"/>
      <c r="HJ169" s="93"/>
      <c r="HK169" s="93"/>
      <c r="HL169" s="93"/>
      <c r="HM169" s="93"/>
      <c r="HN169" s="20"/>
      <c r="HO169" s="219"/>
      <c r="HP169" s="20"/>
      <c r="HQ169" s="25"/>
      <c r="HR169" s="29">
        <v>102</v>
      </c>
      <c r="HS169" s="1504">
        <v>39600</v>
      </c>
      <c r="HT169" s="179">
        <v>154.11662139892579</v>
      </c>
      <c r="HU169" s="99">
        <v>179.25347137451172</v>
      </c>
      <c r="HV169" s="99">
        <v>164.28571777343751</v>
      </c>
      <c r="HW169" s="99">
        <v>126.21359710693359</v>
      </c>
      <c r="HX169" s="99">
        <v>178.59481811523438</v>
      </c>
      <c r="HY169" s="99">
        <v>165.65041351318359</v>
      </c>
      <c r="HZ169" s="99">
        <v>186.22201538085938</v>
      </c>
      <c r="IA169" s="132">
        <v>187.9127166748047</v>
      </c>
      <c r="IB169" s="179">
        <v>165.89190165201822</v>
      </c>
      <c r="IC169" s="99">
        <v>120.46632194519043</v>
      </c>
      <c r="ID169" s="99">
        <v>178.57142639160156</v>
      </c>
      <c r="IE169" s="99">
        <v>172.23126983642578</v>
      </c>
      <c r="IF169" s="99">
        <v>230.83333206176758</v>
      </c>
      <c r="IG169" s="132">
        <v>132.5</v>
      </c>
      <c r="IH169" s="179">
        <v>140.20457458496094</v>
      </c>
      <c r="II169" s="99">
        <v>166.76043701171875</v>
      </c>
      <c r="IJ169" s="99">
        <v>163.51351318359374</v>
      </c>
      <c r="IK169" s="99">
        <v>182.23442840576172</v>
      </c>
      <c r="IL169" s="99">
        <v>158.16713714599609</v>
      </c>
      <c r="IM169" s="99">
        <v>171.16612243652344</v>
      </c>
      <c r="IN169" s="93"/>
      <c r="IO169" s="132">
        <v>191.46238708496094</v>
      </c>
      <c r="IP169" s="29">
        <v>102</v>
      </c>
      <c r="IQ169" s="19"/>
      <c r="IR169" s="93"/>
      <c r="IS169" s="93"/>
      <c r="IT169" s="93"/>
      <c r="IU169" s="93"/>
      <c r="IV169" s="20"/>
      <c r="IW169" s="29">
        <v>102</v>
      </c>
      <c r="IX169" s="19"/>
      <c r="IY169" s="93"/>
      <c r="IZ169" s="93"/>
      <c r="JA169" s="93"/>
      <c r="JB169" s="93"/>
      <c r="JC169" s="93"/>
      <c r="JD169" s="93"/>
      <c r="JE169" s="20"/>
      <c r="JF169" s="29">
        <v>102</v>
      </c>
      <c r="JG169" s="19"/>
      <c r="JH169" s="93"/>
      <c r="JI169" s="93"/>
      <c r="JJ169" s="93"/>
      <c r="JK169" s="93"/>
      <c r="JL169" s="93"/>
      <c r="JM169" s="93"/>
      <c r="JN169" s="20"/>
      <c r="JO169" s="29">
        <v>102</v>
      </c>
      <c r="JP169" s="19"/>
      <c r="JQ169" s="93"/>
      <c r="JR169" s="93"/>
      <c r="JS169" s="93"/>
      <c r="JT169" s="93"/>
      <c r="JU169" s="20"/>
      <c r="JV169" s="29">
        <v>102</v>
      </c>
      <c r="JW169" s="1504">
        <v>39600</v>
      </c>
      <c r="JX169" s="19"/>
      <c r="JY169" s="93"/>
      <c r="JZ169" s="93"/>
      <c r="KA169" s="93"/>
      <c r="KB169" s="93"/>
      <c r="KC169" s="93"/>
      <c r="KD169" s="20"/>
      <c r="KE169" s="29">
        <v>102</v>
      </c>
      <c r="KF169" s="19"/>
      <c r="KG169" s="93"/>
      <c r="KH169" s="93"/>
      <c r="KI169" s="93"/>
      <c r="KJ169" s="93"/>
      <c r="KK169" s="20"/>
      <c r="KL169" s="29">
        <v>102</v>
      </c>
      <c r="KM169" s="19"/>
      <c r="KN169" s="93"/>
      <c r="KO169" s="93"/>
      <c r="KP169" s="93"/>
      <c r="KQ169" s="93"/>
      <c r="KR169" s="20"/>
      <c r="KS169" s="29">
        <v>102</v>
      </c>
      <c r="KT169" s="19"/>
      <c r="KU169" s="93"/>
      <c r="KV169" s="93"/>
      <c r="KW169" s="93"/>
      <c r="KX169" s="93"/>
      <c r="KY169" s="20"/>
      <c r="KZ169" s="29">
        <v>102</v>
      </c>
      <c r="LA169" s="1504">
        <v>39600</v>
      </c>
      <c r="LB169" s="19"/>
      <c r="LC169" s="93"/>
      <c r="LD169" s="93"/>
      <c r="LE169" s="93"/>
      <c r="LF169" s="93"/>
      <c r="LG169" s="93"/>
      <c r="LH169" s="20"/>
      <c r="LI169" s="29">
        <v>102</v>
      </c>
      <c r="LJ169" s="19"/>
      <c r="LK169" s="93"/>
      <c r="LL169" s="93"/>
      <c r="LM169" s="93"/>
      <c r="LN169" s="93"/>
      <c r="LO169" s="20"/>
      <c r="LP169" s="29">
        <v>102</v>
      </c>
      <c r="LQ169" s="19"/>
      <c r="LR169" s="93"/>
      <c r="LS169" s="93"/>
      <c r="LT169" s="93"/>
      <c r="LU169" s="93"/>
      <c r="LV169" s="93"/>
      <c r="LW169" s="93"/>
      <c r="LX169" s="93"/>
      <c r="LY169" s="93"/>
      <c r="LZ169" s="93"/>
      <c r="MA169" s="20"/>
      <c r="MB169" s="29">
        <v>102</v>
      </c>
      <c r="MC169" s="1504">
        <v>39600</v>
      </c>
      <c r="MD169" s="19"/>
      <c r="ME169" s="93"/>
      <c r="MF169" s="93"/>
      <c r="MG169" s="93"/>
      <c r="MH169" s="93"/>
      <c r="MI169" s="93"/>
      <c r="MJ169" s="93"/>
      <c r="MK169" s="93"/>
      <c r="ML169" s="93"/>
      <c r="MM169" s="93"/>
      <c r="MN169" s="93"/>
      <c r="MO169" s="93"/>
      <c r="MP169" s="93"/>
      <c r="MQ169" s="93"/>
      <c r="MR169" s="93"/>
      <c r="MS169" s="93"/>
      <c r="MT169" s="93"/>
      <c r="MU169" s="93"/>
      <c r="MV169" s="93"/>
      <c r="MW169" s="93"/>
      <c r="MX169" s="93"/>
      <c r="MY169" s="93"/>
      <c r="MZ169" s="93"/>
      <c r="NA169" s="93"/>
      <c r="NB169" s="93"/>
      <c r="NC169" s="93"/>
      <c r="ND169" s="93"/>
      <c r="NE169" s="93"/>
      <c r="NF169" s="93"/>
      <c r="NG169" s="93"/>
      <c r="NH169" s="93"/>
      <c r="NI169" s="93"/>
      <c r="NJ169" s="93"/>
      <c r="NK169" s="93"/>
      <c r="NL169" s="93"/>
      <c r="NM169" s="93"/>
      <c r="NN169" s="93"/>
      <c r="NO169" s="93"/>
      <c r="NP169" s="93"/>
      <c r="NQ169" s="93"/>
      <c r="NR169" s="93"/>
      <c r="NS169" s="93"/>
      <c r="NT169" s="93"/>
      <c r="NU169" s="93"/>
      <c r="NV169" s="93"/>
      <c r="NW169" s="93"/>
      <c r="NX169" s="93"/>
      <c r="NY169" s="93"/>
      <c r="NZ169" s="93"/>
      <c r="OA169" s="93"/>
      <c r="OB169" s="93"/>
      <c r="OC169" s="93"/>
      <c r="OD169" s="20"/>
      <c r="OE169" s="29">
        <v>102</v>
      </c>
      <c r="OF169" s="1504">
        <v>39600</v>
      </c>
      <c r="OG169" s="19"/>
      <c r="OH169" s="93">
        <v>163.04319999999998</v>
      </c>
      <c r="OI169" s="93">
        <v>321.73604467266608</v>
      </c>
      <c r="OJ169" s="93">
        <v>0.31797314199999999</v>
      </c>
      <c r="OK169" s="93">
        <v>264.06127153066603</v>
      </c>
      <c r="OL169" s="93">
        <v>57.3568</v>
      </c>
      <c r="OM169" s="93">
        <v>484.7792446726661</v>
      </c>
      <c r="ON169" s="93">
        <v>321.40239679505669</v>
      </c>
      <c r="OO169" s="93">
        <v>806.18164146772278</v>
      </c>
      <c r="OP169" s="93"/>
      <c r="OQ169" s="93">
        <v>372.89645531163234</v>
      </c>
      <c r="OR169" s="93">
        <v>285.04015385299999</v>
      </c>
      <c r="OS169" s="93">
        <v>87.856301458632402</v>
      </c>
      <c r="OT169" s="93">
        <v>547.27237017509037</v>
      </c>
      <c r="OU169" s="93">
        <v>-134.41117869200002</v>
      </c>
      <c r="OV169" s="93">
        <v>-45.380178692000001</v>
      </c>
      <c r="OW169" s="93">
        <v>-89.031000000000006</v>
      </c>
      <c r="OX169" s="93">
        <v>681.68354886709039</v>
      </c>
      <c r="OY169" s="93">
        <v>2.437182</v>
      </c>
      <c r="OZ169" s="93">
        <v>679.24636686709027</v>
      </c>
      <c r="PA169" s="93">
        <v>125.11817264800013</v>
      </c>
      <c r="PB169" s="93">
        <v>-11.130988629000036</v>
      </c>
      <c r="PC169" s="20">
        <v>806.18164146772256</v>
      </c>
      <c r="PD169" s="29">
        <v>102</v>
      </c>
      <c r="PE169" s="19"/>
      <c r="PF169" s="93">
        <v>285.04015385299999</v>
      </c>
      <c r="PG169" s="93">
        <v>404.44053908899997</v>
      </c>
      <c r="PH169" s="93">
        <v>119.40038523600001</v>
      </c>
      <c r="PI169" s="93">
        <v>14.64</v>
      </c>
      <c r="PJ169" s="93">
        <v>-45.380178692000001</v>
      </c>
      <c r="PK169" s="93">
        <v>38.497612253</v>
      </c>
      <c r="PL169" s="93">
        <v>83.877790945000001</v>
      </c>
      <c r="PM169" s="93">
        <v>2.437182</v>
      </c>
      <c r="PN169" s="93">
        <v>0</v>
      </c>
      <c r="PO169" s="93">
        <v>0</v>
      </c>
      <c r="PP169" s="93">
        <v>6.1858799999999999E-4</v>
      </c>
      <c r="PQ169" s="93">
        <v>2.4365634119999999</v>
      </c>
      <c r="PR169" s="93">
        <v>261.63490099500001</v>
      </c>
      <c r="PS169" s="93">
        <v>186.63919999999999</v>
      </c>
      <c r="PT169" s="93">
        <v>74.677727852999993</v>
      </c>
      <c r="PU169" s="93">
        <v>0.31797314199999999</v>
      </c>
      <c r="PV169" s="93">
        <v>0</v>
      </c>
      <c r="PW169" s="93">
        <v>0.144361551</v>
      </c>
      <c r="PX169" s="93">
        <v>0</v>
      </c>
      <c r="PY169" s="93">
        <v>0</v>
      </c>
      <c r="PZ169" s="93">
        <v>0.144361551</v>
      </c>
      <c r="QA169" s="93">
        <v>0</v>
      </c>
      <c r="QB169" s="93">
        <v>0</v>
      </c>
      <c r="QC169" s="93">
        <v>0</v>
      </c>
      <c r="QD169" s="93">
        <v>-1.9971889030000001</v>
      </c>
      <c r="QE169" s="20">
        <v>-3.0449164820000005</v>
      </c>
      <c r="QF169" s="1739">
        <v>102</v>
      </c>
      <c r="QG169" s="19"/>
      <c r="QH169" s="1035">
        <v>87.856301458632402</v>
      </c>
      <c r="QI169" s="1035">
        <v>192.1766331329097</v>
      </c>
      <c r="QJ169" s="1035">
        <v>-104.3203316742773</v>
      </c>
      <c r="QK169" s="1035">
        <v>91.897000000000006</v>
      </c>
      <c r="QL169" s="1035">
        <v>23.596</v>
      </c>
      <c r="QM169" s="1035">
        <v>68.301000000000002</v>
      </c>
      <c r="QN169" s="1035">
        <v>0</v>
      </c>
      <c r="QO169" s="1035">
        <v>-89.031000000000006</v>
      </c>
      <c r="QP169" s="1035">
        <v>36.562999999999995</v>
      </c>
      <c r="QQ169" s="1035">
        <v>-125.59399999999999</v>
      </c>
      <c r="QR169" s="1035">
        <v>679.24636686709027</v>
      </c>
      <c r="QS169" s="1035">
        <v>10.513937313675783</v>
      </c>
      <c r="QT169" s="1035">
        <v>0</v>
      </c>
      <c r="QU169" s="1035">
        <v>70.771000000000001</v>
      </c>
      <c r="QV169" s="1035">
        <v>597.96142955341452</v>
      </c>
      <c r="QW169" s="93"/>
      <c r="QX169" s="93">
        <v>8.8219999999999992</v>
      </c>
      <c r="QY169" s="93">
        <v>264.06127153066598</v>
      </c>
      <c r="QZ169" s="93">
        <v>321.40239679505669</v>
      </c>
      <c r="RA169" s="93">
        <v>0</v>
      </c>
      <c r="RB169" s="93">
        <v>22.06</v>
      </c>
      <c r="RC169" s="93">
        <v>1.339</v>
      </c>
      <c r="RD169" s="93">
        <v>6.5670000000000002</v>
      </c>
      <c r="RE169" s="93">
        <v>0</v>
      </c>
      <c r="RF169" s="93">
        <v>0</v>
      </c>
      <c r="RG169" s="93">
        <v>97.005000000000123</v>
      </c>
      <c r="RH169" s="93">
        <v>48.711999999999975</v>
      </c>
      <c r="RI169" s="93"/>
      <c r="RJ169" s="93"/>
      <c r="RK169" s="93"/>
      <c r="RL169" s="93"/>
      <c r="RM169" s="20"/>
      <c r="RN169" s="29">
        <v>102</v>
      </c>
      <c r="RO169" s="19"/>
      <c r="RP169" s="20"/>
      <c r="RQ169" s="29">
        <v>102</v>
      </c>
      <c r="RR169" s="20"/>
      <c r="RS169" s="29">
        <v>102</v>
      </c>
      <c r="RT169" s="1504">
        <v>39600</v>
      </c>
      <c r="RU169" s="19"/>
      <c r="RV169" s="20"/>
      <c r="RW169" s="29">
        <v>102</v>
      </c>
      <c r="RX169" s="1504">
        <v>39600</v>
      </c>
      <c r="RY169" s="29"/>
      <c r="RZ169" s="20"/>
      <c r="SA169" s="29"/>
      <c r="SB169" s="29">
        <v>102</v>
      </c>
    </row>
    <row r="170" spans="1:496">
      <c r="A170" s="41">
        <f t="shared" si="191"/>
        <v>2008</v>
      </c>
      <c r="B170" s="1504">
        <v>39630</v>
      </c>
      <c r="C170" s="1813"/>
      <c r="D170" s="1814"/>
      <c r="E170" s="1814"/>
      <c r="F170" s="1815"/>
      <c r="G170" s="1814"/>
      <c r="H170" s="1814"/>
      <c r="I170" s="1814"/>
      <c r="J170" s="1816"/>
      <c r="K170" s="1807"/>
      <c r="L170" s="25">
        <v>103</v>
      </c>
      <c r="M170" s="97"/>
      <c r="N170" s="1504">
        <v>39630</v>
      </c>
      <c r="O170" s="19"/>
      <c r="P170" s="93"/>
      <c r="Q170" s="93"/>
      <c r="R170" s="93"/>
      <c r="S170" s="93"/>
      <c r="T170" s="93"/>
      <c r="U170" s="93"/>
      <c r="V170" s="93"/>
      <c r="W170" s="93"/>
      <c r="X170" s="93"/>
      <c r="Y170" s="93"/>
      <c r="Z170" s="93"/>
      <c r="AA170" s="93"/>
      <c r="AB170" s="20"/>
      <c r="AC170" s="25">
        <v>103</v>
      </c>
      <c r="AD170" s="97"/>
      <c r="AE170" s="1504">
        <v>39630</v>
      </c>
      <c r="AF170" s="19"/>
      <c r="AG170" s="93"/>
      <c r="AH170" s="93"/>
      <c r="AI170" s="93"/>
      <c r="AJ170" s="93"/>
      <c r="AK170" s="93"/>
      <c r="AL170" s="93"/>
      <c r="AM170" s="93"/>
      <c r="AN170" s="93"/>
      <c r="AO170" s="93"/>
      <c r="AP170" s="93"/>
      <c r="AQ170" s="93"/>
      <c r="AR170" s="93"/>
      <c r="AS170" s="20"/>
      <c r="AT170" s="25">
        <v>103</v>
      </c>
      <c r="AU170" s="97"/>
      <c r="AV170" s="1504">
        <v>39630</v>
      </c>
      <c r="AW170" s="19"/>
      <c r="AX170" s="93"/>
      <c r="AY170" s="93"/>
      <c r="AZ170" s="93"/>
      <c r="BA170" s="93"/>
      <c r="BB170" s="93"/>
      <c r="BC170" s="93"/>
      <c r="BD170" s="93"/>
      <c r="BE170" s="93"/>
      <c r="BF170" s="93"/>
      <c r="BG170" s="93"/>
      <c r="BH170" s="93"/>
      <c r="BI170" s="93"/>
      <c r="BJ170" s="20"/>
      <c r="BK170" s="25">
        <v>103</v>
      </c>
      <c r="BL170" s="97"/>
      <c r="BM170" s="1504">
        <v>39630</v>
      </c>
      <c r="BN170" s="19"/>
      <c r="BO170" s="93"/>
      <c r="BP170" s="93"/>
      <c r="BQ170" s="93"/>
      <c r="BR170" s="93"/>
      <c r="BS170" s="93"/>
      <c r="BT170" s="93"/>
      <c r="BU170" s="20"/>
      <c r="BV170" s="25">
        <v>103</v>
      </c>
      <c r="BW170" s="97"/>
      <c r="BX170" s="1504">
        <v>39630</v>
      </c>
      <c r="BY170" s="19"/>
      <c r="BZ170" s="99">
        <v>664.95699999999999</v>
      </c>
      <c r="CA170" s="93"/>
      <c r="CB170" s="93"/>
      <c r="CC170" s="93"/>
      <c r="CD170" s="25">
        <v>103</v>
      </c>
      <c r="CE170" s="97"/>
      <c r="CF170" s="1504">
        <v>39630</v>
      </c>
      <c r="CG170" s="19">
        <v>1.7041712600000001</v>
      </c>
      <c r="CH170" s="1626">
        <v>939.77200000000005</v>
      </c>
      <c r="CI170" s="219"/>
      <c r="CJ170" s="20"/>
      <c r="CK170" s="19"/>
      <c r="CL170" s="93"/>
      <c r="CM170" s="93"/>
      <c r="CN170" s="93"/>
      <c r="CO170" s="93"/>
      <c r="CP170" s="20"/>
      <c r="CQ170" s="219">
        <v>2425.08</v>
      </c>
      <c r="CR170" s="93">
        <v>2.4125000000000001</v>
      </c>
      <c r="CS170" s="93"/>
      <c r="CT170" s="93"/>
      <c r="CU170" s="93"/>
      <c r="CV170" s="214"/>
      <c r="CW170" s="29">
        <v>103</v>
      </c>
      <c r="CX170" s="41">
        <f t="shared" si="192"/>
        <v>2008</v>
      </c>
      <c r="CY170" s="1504">
        <v>39630</v>
      </c>
      <c r="CZ170" s="1916">
        <v>55.481082999999998</v>
      </c>
      <c r="DA170" s="1526">
        <v>35.056722000000001</v>
      </c>
      <c r="DB170" s="1526">
        <v>20.424361000000001</v>
      </c>
      <c r="DC170" s="182">
        <f t="shared" si="199"/>
        <v>308942</v>
      </c>
      <c r="DD170" s="182">
        <f t="shared" si="200"/>
        <v>308032</v>
      </c>
      <c r="DE170" s="182">
        <f t="shared" si="201"/>
        <v>910</v>
      </c>
      <c r="DF170" s="29">
        <v>103</v>
      </c>
      <c r="DG170" s="1504">
        <v>39630</v>
      </c>
      <c r="DH170" s="19"/>
      <c r="DI170" s="93"/>
      <c r="DJ170" s="93"/>
      <c r="DK170" s="93"/>
      <c r="DL170" s="93"/>
      <c r="DM170" s="93"/>
      <c r="DN170" s="20"/>
      <c r="DO170" s="25"/>
      <c r="DP170" s="29">
        <v>103</v>
      </c>
      <c r="DQ170" s="1504">
        <v>39630</v>
      </c>
      <c r="DR170" s="19"/>
      <c r="DS170" s="93"/>
      <c r="DT170" s="93"/>
      <c r="DU170" s="93"/>
      <c r="DV170" s="93"/>
      <c r="DW170" s="93"/>
      <c r="DX170" s="20"/>
      <c r="DY170" s="29">
        <v>103</v>
      </c>
      <c r="DZ170" s="1504">
        <v>39630</v>
      </c>
      <c r="EA170" s="19"/>
      <c r="EB170" s="93"/>
      <c r="EC170" s="20"/>
      <c r="ED170" s="29">
        <v>103</v>
      </c>
      <c r="EE170" s="1504">
        <v>39630</v>
      </c>
      <c r="EF170" s="19"/>
      <c r="EG170" s="93"/>
      <c r="EH170" s="93"/>
      <c r="EI170" s="214"/>
      <c r="EJ170" s="93"/>
      <c r="EK170" s="93"/>
      <c r="EL170" s="93"/>
      <c r="EM170" s="93"/>
      <c r="EN170" s="20"/>
      <c r="EO170" s="29">
        <v>103</v>
      </c>
      <c r="EP170" s="1504">
        <v>39630</v>
      </c>
      <c r="EQ170" s="19"/>
      <c r="ER170" s="93"/>
      <c r="ES170" s="93"/>
      <c r="ET170" s="214"/>
      <c r="EU170" s="93"/>
      <c r="EV170" s="93"/>
      <c r="EW170" s="93"/>
      <c r="EX170" s="93"/>
      <c r="EY170" s="20"/>
      <c r="EZ170" s="29">
        <v>103</v>
      </c>
      <c r="FA170" s="1504">
        <v>39630</v>
      </c>
      <c r="FB170" s="29"/>
      <c r="FC170" s="29"/>
      <c r="FD170" s="29"/>
      <c r="FE170" s="29"/>
      <c r="FF170" s="29"/>
      <c r="FG170" s="29"/>
      <c r="FH170" s="29"/>
      <c r="FI170" s="29"/>
      <c r="FJ170" s="29"/>
      <c r="FK170" s="29">
        <v>103</v>
      </c>
      <c r="FL170" s="1504">
        <v>39630</v>
      </c>
      <c r="FM170" s="19"/>
      <c r="FN170" s="93"/>
      <c r="FO170" s="93"/>
      <c r="FP170" s="93"/>
      <c r="FQ170" s="93"/>
      <c r="FR170" s="93"/>
      <c r="FS170" s="93"/>
      <c r="FT170" s="93"/>
      <c r="FU170" s="93"/>
      <c r="FV170" s="93"/>
      <c r="FW170" s="93"/>
      <c r="FX170" s="93"/>
      <c r="FY170" s="93"/>
      <c r="FZ170" s="29">
        <v>103</v>
      </c>
      <c r="GA170" s="1504">
        <v>39630</v>
      </c>
      <c r="GB170" s="19"/>
      <c r="GC170" s="93"/>
      <c r="GD170" s="93"/>
      <c r="GE170" s="93"/>
      <c r="GF170" s="93"/>
      <c r="GG170" s="93"/>
      <c r="GH170" s="93"/>
      <c r="GI170" s="93"/>
      <c r="GJ170" s="93"/>
      <c r="GK170" s="93"/>
      <c r="GL170" s="93"/>
      <c r="GM170" s="93"/>
      <c r="GN170" s="20"/>
      <c r="GO170" s="29">
        <v>103</v>
      </c>
      <c r="GP170" s="1504">
        <v>39630</v>
      </c>
      <c r="GQ170" s="19"/>
      <c r="GR170" s="93"/>
      <c r="GS170" s="93"/>
      <c r="GT170" s="93"/>
      <c r="GU170" s="93"/>
      <c r="GV170" s="20"/>
      <c r="GW170" s="19"/>
      <c r="GX170" s="93"/>
      <c r="GY170" s="93"/>
      <c r="GZ170" s="93"/>
      <c r="HA170" s="93"/>
      <c r="HB170" s="20"/>
      <c r="HC170" s="19"/>
      <c r="HD170" s="93"/>
      <c r="HE170" s="93"/>
      <c r="HF170" s="93"/>
      <c r="HG170" s="93"/>
      <c r="HH170" s="20"/>
      <c r="HI170" s="19"/>
      <c r="HJ170" s="93"/>
      <c r="HK170" s="93"/>
      <c r="HL170" s="93"/>
      <c r="HM170" s="93"/>
      <c r="HN170" s="20"/>
      <c r="HO170" s="219"/>
      <c r="HP170" s="20"/>
      <c r="HQ170" s="25"/>
      <c r="HR170" s="29">
        <v>103</v>
      </c>
      <c r="HS170" s="1504">
        <v>39630</v>
      </c>
      <c r="HT170" s="179">
        <v>162.56491851806641</v>
      </c>
      <c r="HU170" s="99">
        <v>189.75789642333984</v>
      </c>
      <c r="HV170" s="99">
        <v>176.7241325378418</v>
      </c>
      <c r="HW170" s="99">
        <v>151.69903564453125</v>
      </c>
      <c r="HX170" s="99">
        <v>168.01346740722656</v>
      </c>
      <c r="HY170" s="99">
        <v>181.3600959777832</v>
      </c>
      <c r="HZ170" s="99">
        <v>184.92350006103516</v>
      </c>
      <c r="IA170" s="132">
        <v>192.33871078491211</v>
      </c>
      <c r="IB170" s="179">
        <v>191</v>
      </c>
      <c r="IC170" s="99">
        <v>129.419189453125</v>
      </c>
      <c r="ID170" s="99">
        <v>172.41378784179688</v>
      </c>
      <c r="IE170" s="99">
        <v>181.66666412353516</v>
      </c>
      <c r="IF170" s="99">
        <v>220.43011474609375</v>
      </c>
      <c r="IG170" s="132">
        <v>136.25</v>
      </c>
      <c r="IH170" s="179">
        <v>145.65680503845215</v>
      </c>
      <c r="II170" s="99">
        <v>170.73408699035645</v>
      </c>
      <c r="IJ170" s="99">
        <v>179.19580841064453</v>
      </c>
      <c r="IK170" s="99">
        <v>173.71428527832032</v>
      </c>
      <c r="IL170" s="99">
        <v>178.69241333007813</v>
      </c>
      <c r="IM170" s="99">
        <v>187.21405410766602</v>
      </c>
      <c r="IN170" s="93"/>
      <c r="IO170" s="132">
        <v>188.26409149169922</v>
      </c>
      <c r="IP170" s="29">
        <v>103</v>
      </c>
      <c r="IQ170" s="19"/>
      <c r="IR170" s="93"/>
      <c r="IS170" s="93"/>
      <c r="IT170" s="93"/>
      <c r="IU170" s="93"/>
      <c r="IV170" s="20"/>
      <c r="IW170" s="29">
        <v>103</v>
      </c>
      <c r="IX170" s="19"/>
      <c r="IY170" s="93"/>
      <c r="IZ170" s="93"/>
      <c r="JA170" s="93"/>
      <c r="JB170" s="93"/>
      <c r="JC170" s="93"/>
      <c r="JD170" s="93"/>
      <c r="JE170" s="20"/>
      <c r="JF170" s="29">
        <v>103</v>
      </c>
      <c r="JG170" s="19"/>
      <c r="JH170" s="93"/>
      <c r="JI170" s="93"/>
      <c r="JJ170" s="93"/>
      <c r="JK170" s="93"/>
      <c r="JL170" s="93"/>
      <c r="JM170" s="93"/>
      <c r="JN170" s="20"/>
      <c r="JO170" s="29">
        <v>103</v>
      </c>
      <c r="JP170" s="19"/>
      <c r="JQ170" s="93"/>
      <c r="JR170" s="93"/>
      <c r="JS170" s="93"/>
      <c r="JT170" s="93"/>
      <c r="JU170" s="20"/>
      <c r="JV170" s="29">
        <v>103</v>
      </c>
      <c r="JW170" s="1504">
        <v>39630</v>
      </c>
      <c r="JX170" s="19"/>
      <c r="JY170" s="93"/>
      <c r="JZ170" s="93"/>
      <c r="KA170" s="93"/>
      <c r="KB170" s="93"/>
      <c r="KC170" s="93"/>
      <c r="KD170" s="20"/>
      <c r="KE170" s="29">
        <v>103</v>
      </c>
      <c r="KF170" s="19"/>
      <c r="KG170" s="93"/>
      <c r="KH170" s="93"/>
      <c r="KI170" s="93"/>
      <c r="KJ170" s="93"/>
      <c r="KK170" s="20"/>
      <c r="KL170" s="29">
        <v>103</v>
      </c>
      <c r="KM170" s="19"/>
      <c r="KN170" s="93"/>
      <c r="KO170" s="93"/>
      <c r="KP170" s="93"/>
      <c r="KQ170" s="93"/>
      <c r="KR170" s="20"/>
      <c r="KS170" s="29">
        <v>103</v>
      </c>
      <c r="KT170" s="19"/>
      <c r="KU170" s="93"/>
      <c r="KV170" s="93"/>
      <c r="KW170" s="93"/>
      <c r="KX170" s="93"/>
      <c r="KY170" s="20"/>
      <c r="KZ170" s="29">
        <v>103</v>
      </c>
      <c r="LA170" s="1504">
        <v>39630</v>
      </c>
      <c r="LB170" s="19"/>
      <c r="LC170" s="93"/>
      <c r="LD170" s="93"/>
      <c r="LE170" s="93"/>
      <c r="LF170" s="93"/>
      <c r="LG170" s="93"/>
      <c r="LH170" s="20"/>
      <c r="LI170" s="29">
        <v>103</v>
      </c>
      <c r="LJ170" s="19"/>
      <c r="LK170" s="93"/>
      <c r="LL170" s="93"/>
      <c r="LM170" s="93"/>
      <c r="LN170" s="93"/>
      <c r="LO170" s="20"/>
      <c r="LP170" s="29">
        <v>103</v>
      </c>
      <c r="LQ170" s="19"/>
      <c r="LR170" s="93"/>
      <c r="LS170" s="93"/>
      <c r="LT170" s="93"/>
      <c r="LU170" s="93"/>
      <c r="LV170" s="93"/>
      <c r="LW170" s="93"/>
      <c r="LX170" s="93"/>
      <c r="LY170" s="93"/>
      <c r="LZ170" s="93"/>
      <c r="MA170" s="20"/>
      <c r="MB170" s="29">
        <v>103</v>
      </c>
      <c r="MC170" s="1504">
        <v>39630</v>
      </c>
      <c r="MD170" s="19"/>
      <c r="ME170" s="93"/>
      <c r="MF170" s="93"/>
      <c r="MG170" s="93"/>
      <c r="MH170" s="93"/>
      <c r="MI170" s="93"/>
      <c r="MJ170" s="93"/>
      <c r="MK170" s="93"/>
      <c r="ML170" s="93"/>
      <c r="MM170" s="93"/>
      <c r="MN170" s="93"/>
      <c r="MO170" s="93"/>
      <c r="MP170" s="93"/>
      <c r="MQ170" s="93"/>
      <c r="MR170" s="93"/>
      <c r="MS170" s="93"/>
      <c r="MT170" s="93"/>
      <c r="MU170" s="93"/>
      <c r="MV170" s="93"/>
      <c r="MW170" s="93"/>
      <c r="MX170" s="93"/>
      <c r="MY170" s="93"/>
      <c r="MZ170" s="93"/>
      <c r="NA170" s="93"/>
      <c r="NB170" s="93"/>
      <c r="NC170" s="93"/>
      <c r="ND170" s="93"/>
      <c r="NE170" s="93"/>
      <c r="NF170" s="93"/>
      <c r="NG170" s="93"/>
      <c r="NH170" s="93"/>
      <c r="NI170" s="93"/>
      <c r="NJ170" s="93"/>
      <c r="NK170" s="93"/>
      <c r="NL170" s="93"/>
      <c r="NM170" s="93"/>
      <c r="NN170" s="93"/>
      <c r="NO170" s="93"/>
      <c r="NP170" s="93"/>
      <c r="NQ170" s="93"/>
      <c r="NR170" s="93"/>
      <c r="NS170" s="93"/>
      <c r="NT170" s="93"/>
      <c r="NU170" s="93"/>
      <c r="NV170" s="93"/>
      <c r="NW170" s="93"/>
      <c r="NX170" s="93"/>
      <c r="NY170" s="93"/>
      <c r="NZ170" s="93"/>
      <c r="OA170" s="93"/>
      <c r="OB170" s="93"/>
      <c r="OC170" s="93"/>
      <c r="OD170" s="20"/>
      <c r="OE170" s="29">
        <v>103</v>
      </c>
      <c r="OF170" s="1504">
        <v>39630</v>
      </c>
      <c r="OG170" s="19"/>
      <c r="OH170" s="93">
        <v>170.20509999999999</v>
      </c>
      <c r="OI170" s="93">
        <v>303.86476155734579</v>
      </c>
      <c r="OJ170" s="93">
        <v>0.319736042</v>
      </c>
      <c r="OK170" s="93">
        <v>245.61542551534578</v>
      </c>
      <c r="OL170" s="93">
        <v>57.929600000000001</v>
      </c>
      <c r="OM170" s="93">
        <v>474.0698615573458</v>
      </c>
      <c r="ON170" s="93">
        <v>328.95008771642887</v>
      </c>
      <c r="OO170" s="93">
        <v>803.01994927377473</v>
      </c>
      <c r="OP170" s="93"/>
      <c r="OQ170" s="93">
        <v>403.51338528742394</v>
      </c>
      <c r="OR170" s="93">
        <v>309.52644461099999</v>
      </c>
      <c r="OS170" s="93">
        <v>93.986940676424013</v>
      </c>
      <c r="OT170" s="93">
        <v>516.1233293463506</v>
      </c>
      <c r="OU170" s="93">
        <v>-148.33588952599999</v>
      </c>
      <c r="OV170" s="93">
        <v>-61.56088952599999</v>
      </c>
      <c r="OW170" s="93">
        <v>-86.774999999999991</v>
      </c>
      <c r="OX170" s="93">
        <v>664.45921887235056</v>
      </c>
      <c r="OY170" s="93">
        <v>2.4466463169999995</v>
      </c>
      <c r="OZ170" s="93">
        <v>662.01257255535063</v>
      </c>
      <c r="PA170" s="93">
        <v>128.282389655</v>
      </c>
      <c r="PB170" s="93">
        <v>-11.665624294999994</v>
      </c>
      <c r="PC170" s="20">
        <v>803.01994927377461</v>
      </c>
      <c r="PD170" s="29">
        <v>103</v>
      </c>
      <c r="PE170" s="19"/>
      <c r="PF170" s="93">
        <v>309.52644461099999</v>
      </c>
      <c r="PG170" s="93">
        <v>427.25114904599997</v>
      </c>
      <c r="PH170" s="93">
        <v>117.72470443500001</v>
      </c>
      <c r="PI170" s="93">
        <v>22.52</v>
      </c>
      <c r="PJ170" s="93">
        <v>-61.56088952599999</v>
      </c>
      <c r="PK170" s="93">
        <v>40.384559406000001</v>
      </c>
      <c r="PL170" s="93">
        <v>101.94544893199999</v>
      </c>
      <c r="PM170" s="93">
        <v>2.4466463169999995</v>
      </c>
      <c r="PN170" s="93">
        <v>0</v>
      </c>
      <c r="PO170" s="93">
        <v>0</v>
      </c>
      <c r="PP170" s="93">
        <v>5.6292699999999996E-4</v>
      </c>
      <c r="PQ170" s="93">
        <v>2.4460833899999996</v>
      </c>
      <c r="PR170" s="93">
        <v>272.73215636999998</v>
      </c>
      <c r="PS170" s="93">
        <v>193.55109999999999</v>
      </c>
      <c r="PT170" s="93">
        <v>78.861320328000005</v>
      </c>
      <c r="PU170" s="93">
        <v>0.319736042</v>
      </c>
      <c r="PV170" s="93">
        <v>0</v>
      </c>
      <c r="PW170" s="93">
        <v>0.37194175600000001</v>
      </c>
      <c r="PX170" s="93">
        <v>0</v>
      </c>
      <c r="PY170" s="93">
        <v>0</v>
      </c>
      <c r="PZ170" s="93">
        <v>0.37194175600000001</v>
      </c>
      <c r="QA170" s="93">
        <v>0</v>
      </c>
      <c r="QB170" s="93">
        <v>0</v>
      </c>
      <c r="QC170" s="93">
        <v>0</v>
      </c>
      <c r="QD170" s="93">
        <v>-3.3715521009999998</v>
      </c>
      <c r="QE170" s="20">
        <v>3.199655377</v>
      </c>
      <c r="QF170" s="1739">
        <v>103</v>
      </c>
      <c r="QG170" s="19"/>
      <c r="QH170" s="1035">
        <v>93.986940676424013</v>
      </c>
      <c r="QI170" s="1035">
        <v>204.65842744464936</v>
      </c>
      <c r="QJ170" s="1035">
        <v>-110.67148676822535</v>
      </c>
      <c r="QK170" s="1035">
        <v>42.100999999999999</v>
      </c>
      <c r="QL170" s="1035">
        <v>23.346</v>
      </c>
      <c r="QM170" s="1035">
        <v>18.754999999999999</v>
      </c>
      <c r="QN170" s="1035">
        <v>0</v>
      </c>
      <c r="QO170" s="1035">
        <v>-86.774999999999991</v>
      </c>
      <c r="QP170" s="1035">
        <v>50.739999999999995</v>
      </c>
      <c r="QQ170" s="1035">
        <v>-137.51499999999999</v>
      </c>
      <c r="QR170" s="1035">
        <v>662.01257255535063</v>
      </c>
      <c r="QS170" s="1035">
        <v>5.6523189416414841</v>
      </c>
      <c r="QT170" s="1035">
        <v>0</v>
      </c>
      <c r="QU170" s="1035">
        <v>0</v>
      </c>
      <c r="QV170" s="1035">
        <v>656.36025361370912</v>
      </c>
      <c r="QW170" s="93"/>
      <c r="QX170" s="93">
        <v>7.9370000000000003</v>
      </c>
      <c r="QY170" s="93">
        <v>245.61542551534578</v>
      </c>
      <c r="QZ170" s="93">
        <v>328.95008771642887</v>
      </c>
      <c r="RA170" s="93">
        <v>0</v>
      </c>
      <c r="RB170" s="93">
        <v>22.007999999999999</v>
      </c>
      <c r="RC170" s="93">
        <v>1.347</v>
      </c>
      <c r="RD170" s="93">
        <v>9.8129999999999988</v>
      </c>
      <c r="RE170" s="93">
        <v>0</v>
      </c>
      <c r="RF170" s="93">
        <v>0</v>
      </c>
      <c r="RG170" s="93">
        <v>98.114000000000004</v>
      </c>
      <c r="RH170" s="93">
        <v>-2.4590000000000032</v>
      </c>
      <c r="RI170" s="93"/>
      <c r="RJ170" s="93"/>
      <c r="RK170" s="93"/>
      <c r="RL170" s="93"/>
      <c r="RM170" s="20"/>
      <c r="RN170" s="29">
        <v>103</v>
      </c>
      <c r="RO170" s="19"/>
      <c r="RP170" s="20"/>
      <c r="RQ170" s="29">
        <v>103</v>
      </c>
      <c r="RR170" s="20"/>
      <c r="RS170" s="29">
        <v>103</v>
      </c>
      <c r="RT170" s="1504">
        <v>39630</v>
      </c>
      <c r="RU170" s="19"/>
      <c r="RV170" s="20"/>
      <c r="RW170" s="29">
        <v>103</v>
      </c>
      <c r="RX170" s="1504">
        <v>39630</v>
      </c>
      <c r="RY170" s="29"/>
      <c r="RZ170" s="20"/>
      <c r="SA170" s="29"/>
      <c r="SB170" s="29">
        <v>103</v>
      </c>
    </row>
    <row r="171" spans="1:496">
      <c r="A171" s="41">
        <f t="shared" si="191"/>
        <v>2008</v>
      </c>
      <c r="B171" s="1504">
        <v>39661</v>
      </c>
      <c r="C171" s="1813"/>
      <c r="D171" s="1814"/>
      <c r="E171" s="1814"/>
      <c r="F171" s="1815"/>
      <c r="G171" s="1814"/>
      <c r="H171" s="1814"/>
      <c r="I171" s="1814"/>
      <c r="J171" s="1816"/>
      <c r="K171" s="1807"/>
      <c r="L171" s="25">
        <v>104</v>
      </c>
      <c r="M171" s="97"/>
      <c r="N171" s="1504">
        <v>39661</v>
      </c>
      <c r="O171" s="19"/>
      <c r="P171" s="93"/>
      <c r="Q171" s="93"/>
      <c r="R171" s="93"/>
      <c r="S171" s="93"/>
      <c r="T171" s="93"/>
      <c r="U171" s="93"/>
      <c r="V171" s="93"/>
      <c r="W171" s="93"/>
      <c r="X171" s="93"/>
      <c r="Y171" s="93"/>
      <c r="Z171" s="93"/>
      <c r="AA171" s="93"/>
      <c r="AB171" s="20"/>
      <c r="AC171" s="25">
        <v>104</v>
      </c>
      <c r="AD171" s="97"/>
      <c r="AE171" s="1504">
        <v>39661</v>
      </c>
      <c r="AF171" s="19"/>
      <c r="AG171" s="93"/>
      <c r="AH171" s="93"/>
      <c r="AI171" s="93"/>
      <c r="AJ171" s="93"/>
      <c r="AK171" s="93"/>
      <c r="AL171" s="93"/>
      <c r="AM171" s="93"/>
      <c r="AN171" s="93"/>
      <c r="AO171" s="93"/>
      <c r="AP171" s="93"/>
      <c r="AQ171" s="93"/>
      <c r="AR171" s="93"/>
      <c r="AS171" s="20"/>
      <c r="AT171" s="25">
        <v>104</v>
      </c>
      <c r="AU171" s="97"/>
      <c r="AV171" s="1504">
        <v>39661</v>
      </c>
      <c r="AW171" s="19"/>
      <c r="AX171" s="93"/>
      <c r="AY171" s="93"/>
      <c r="AZ171" s="93"/>
      <c r="BA171" s="93"/>
      <c r="BB171" s="93"/>
      <c r="BC171" s="93"/>
      <c r="BD171" s="93"/>
      <c r="BE171" s="93"/>
      <c r="BF171" s="93"/>
      <c r="BG171" s="93"/>
      <c r="BH171" s="93"/>
      <c r="BI171" s="93"/>
      <c r="BJ171" s="20"/>
      <c r="BK171" s="25">
        <v>104</v>
      </c>
      <c r="BL171" s="97"/>
      <c r="BM171" s="1504">
        <v>39661</v>
      </c>
      <c r="BN171" s="19"/>
      <c r="BO171" s="93"/>
      <c r="BP171" s="93"/>
      <c r="BQ171" s="93"/>
      <c r="BR171" s="93"/>
      <c r="BS171" s="93"/>
      <c r="BT171" s="93"/>
      <c r="BU171" s="20"/>
      <c r="BV171" s="25">
        <v>104</v>
      </c>
      <c r="BW171" s="97"/>
      <c r="BX171" s="1504">
        <v>39661</v>
      </c>
      <c r="BY171" s="19"/>
      <c r="BZ171" s="99">
        <v>664.95699999999999</v>
      </c>
      <c r="CA171" s="93"/>
      <c r="CB171" s="93"/>
      <c r="CC171" s="93"/>
      <c r="CD171" s="25">
        <v>104</v>
      </c>
      <c r="CE171" s="97"/>
      <c r="CF171" s="1504">
        <v>39661</v>
      </c>
      <c r="CG171" s="19">
        <v>1.7206009280952399</v>
      </c>
      <c r="CH171" s="1626">
        <v>839.02499999999998</v>
      </c>
      <c r="CI171" s="219"/>
      <c r="CJ171" s="20"/>
      <c r="CK171" s="19"/>
      <c r="CL171" s="93"/>
      <c r="CM171" s="93"/>
      <c r="CN171" s="93"/>
      <c r="CO171" s="93"/>
      <c r="CP171" s="20"/>
      <c r="CQ171" s="219">
        <v>2427.1799999999998</v>
      </c>
      <c r="CR171" s="93">
        <v>2.6</v>
      </c>
      <c r="CS171" s="93"/>
      <c r="CT171" s="93"/>
      <c r="CU171" s="93"/>
      <c r="CV171" s="214"/>
      <c r="CW171" s="29">
        <v>104</v>
      </c>
      <c r="CX171" s="41">
        <f t="shared" si="192"/>
        <v>2008</v>
      </c>
      <c r="CY171" s="1504">
        <v>39661</v>
      </c>
      <c r="CZ171" s="1916">
        <v>49.816591000000003</v>
      </c>
      <c r="DA171" s="1526">
        <v>31.988461999999998</v>
      </c>
      <c r="DB171" s="1526">
        <v>17.828129000000001</v>
      </c>
      <c r="DC171" s="182">
        <f t="shared" si="199"/>
        <v>308942</v>
      </c>
      <c r="DD171" s="182">
        <f t="shared" si="200"/>
        <v>308032</v>
      </c>
      <c r="DE171" s="182">
        <f t="shared" si="201"/>
        <v>910</v>
      </c>
      <c r="DF171" s="29">
        <v>104</v>
      </c>
      <c r="DG171" s="1504">
        <v>39661</v>
      </c>
      <c r="DH171" s="19"/>
      <c r="DI171" s="93"/>
      <c r="DJ171" s="93"/>
      <c r="DK171" s="93"/>
      <c r="DL171" s="93"/>
      <c r="DM171" s="93"/>
      <c r="DN171" s="20"/>
      <c r="DO171" s="25"/>
      <c r="DP171" s="29">
        <v>104</v>
      </c>
      <c r="DQ171" s="1504">
        <v>39661</v>
      </c>
      <c r="DR171" s="19"/>
      <c r="DS171" s="93"/>
      <c r="DT171" s="93"/>
      <c r="DU171" s="93"/>
      <c r="DV171" s="93"/>
      <c r="DW171" s="93"/>
      <c r="DX171" s="20"/>
      <c r="DY171" s="29">
        <v>104</v>
      </c>
      <c r="DZ171" s="1504">
        <v>39661</v>
      </c>
      <c r="EA171" s="19"/>
      <c r="EB171" s="93"/>
      <c r="EC171" s="20"/>
      <c r="ED171" s="29">
        <v>104</v>
      </c>
      <c r="EE171" s="1504">
        <v>39661</v>
      </c>
      <c r="EF171" s="19"/>
      <c r="EG171" s="93"/>
      <c r="EH171" s="93"/>
      <c r="EI171" s="214"/>
      <c r="EJ171" s="93"/>
      <c r="EK171" s="93"/>
      <c r="EL171" s="93"/>
      <c r="EM171" s="93"/>
      <c r="EN171" s="20"/>
      <c r="EO171" s="29">
        <v>104</v>
      </c>
      <c r="EP171" s="1504">
        <v>39661</v>
      </c>
      <c r="EQ171" s="19"/>
      <c r="ER171" s="93"/>
      <c r="ES171" s="93"/>
      <c r="ET171" s="214"/>
      <c r="EU171" s="93"/>
      <c r="EV171" s="93"/>
      <c r="EW171" s="93"/>
      <c r="EX171" s="93"/>
      <c r="EY171" s="20"/>
      <c r="EZ171" s="29">
        <v>104</v>
      </c>
      <c r="FA171" s="1504">
        <v>39661</v>
      </c>
      <c r="FB171" s="29"/>
      <c r="FC171" s="29"/>
      <c r="FD171" s="29"/>
      <c r="FE171" s="29"/>
      <c r="FF171" s="29"/>
      <c r="FG171" s="29"/>
      <c r="FH171" s="29"/>
      <c r="FI171" s="29"/>
      <c r="FJ171" s="29"/>
      <c r="FK171" s="29">
        <v>104</v>
      </c>
      <c r="FL171" s="1504">
        <v>39661</v>
      </c>
      <c r="FM171" s="19"/>
      <c r="FN171" s="93"/>
      <c r="FO171" s="93"/>
      <c r="FP171" s="93"/>
      <c r="FQ171" s="93"/>
      <c r="FR171" s="93"/>
      <c r="FS171" s="93"/>
      <c r="FT171" s="93"/>
      <c r="FU171" s="93"/>
      <c r="FV171" s="93"/>
      <c r="FW171" s="93"/>
      <c r="FX171" s="93"/>
      <c r="FY171" s="93"/>
      <c r="FZ171" s="29">
        <v>104</v>
      </c>
      <c r="GA171" s="1504">
        <v>39661</v>
      </c>
      <c r="GB171" s="19"/>
      <c r="GC171" s="93"/>
      <c r="GD171" s="93"/>
      <c r="GE171" s="93"/>
      <c r="GF171" s="93"/>
      <c r="GG171" s="93"/>
      <c r="GH171" s="93"/>
      <c r="GI171" s="93"/>
      <c r="GJ171" s="93"/>
      <c r="GK171" s="93"/>
      <c r="GL171" s="93"/>
      <c r="GM171" s="93"/>
      <c r="GN171" s="20"/>
      <c r="GO171" s="29">
        <v>104</v>
      </c>
      <c r="GP171" s="1504">
        <v>39661</v>
      </c>
      <c r="GQ171" s="19"/>
      <c r="GR171" s="93"/>
      <c r="GS171" s="93"/>
      <c r="GT171" s="93"/>
      <c r="GU171" s="93"/>
      <c r="GV171" s="20"/>
      <c r="GW171" s="19"/>
      <c r="GX171" s="93"/>
      <c r="GY171" s="93"/>
      <c r="GZ171" s="93"/>
      <c r="HA171" s="93"/>
      <c r="HB171" s="20"/>
      <c r="HC171" s="19"/>
      <c r="HD171" s="93"/>
      <c r="HE171" s="93"/>
      <c r="HF171" s="93"/>
      <c r="HG171" s="93"/>
      <c r="HH171" s="20"/>
      <c r="HI171" s="19"/>
      <c r="HJ171" s="93"/>
      <c r="HK171" s="93"/>
      <c r="HL171" s="93"/>
      <c r="HM171" s="93"/>
      <c r="HN171" s="20"/>
      <c r="HO171" s="219"/>
      <c r="HP171" s="20"/>
      <c r="HQ171" s="25"/>
      <c r="HR171" s="29">
        <v>104</v>
      </c>
      <c r="HS171" s="1504">
        <v>39661</v>
      </c>
      <c r="HT171" s="179">
        <v>176.86441802978516</v>
      </c>
      <c r="HU171" s="99">
        <v>204.71535491943359</v>
      </c>
      <c r="HV171" s="99">
        <v>198.60902404785156</v>
      </c>
      <c r="HW171" s="99">
        <v>163.8349609375</v>
      </c>
      <c r="HX171" s="99">
        <v>171.369948387146</v>
      </c>
      <c r="HY171" s="99">
        <v>192.80149230957031</v>
      </c>
      <c r="HZ171" s="99">
        <v>203.18981018066407</v>
      </c>
      <c r="IA171" s="132">
        <v>199.75490188598633</v>
      </c>
      <c r="IB171" s="179">
        <v>178.42465972900391</v>
      </c>
      <c r="IC171" s="99">
        <v>149.10255813598633</v>
      </c>
      <c r="ID171" s="99">
        <v>212.43842697143555</v>
      </c>
      <c r="IE171" s="99">
        <v>203.56586201985678</v>
      </c>
      <c r="IF171" s="99">
        <v>234.85178756713867</v>
      </c>
      <c r="IG171" s="132">
        <v>149.375</v>
      </c>
      <c r="IH171" s="179">
        <v>161.90212554931639</v>
      </c>
      <c r="II171" s="99">
        <v>184.88996887207031</v>
      </c>
      <c r="IJ171" s="99">
        <v>197.25102742513022</v>
      </c>
      <c r="IK171" s="99">
        <v>200.89286041259766</v>
      </c>
      <c r="IL171" s="99">
        <v>187.06246948242188</v>
      </c>
      <c r="IM171" s="99">
        <v>196.88497924804688</v>
      </c>
      <c r="IN171" s="93"/>
      <c r="IO171" s="132">
        <v>195.40799407958986</v>
      </c>
      <c r="IP171" s="29">
        <v>104</v>
      </c>
      <c r="IQ171" s="19"/>
      <c r="IR171" s="93"/>
      <c r="IS171" s="93"/>
      <c r="IT171" s="93"/>
      <c r="IU171" s="93"/>
      <c r="IV171" s="20"/>
      <c r="IW171" s="29">
        <v>104</v>
      </c>
      <c r="IX171" s="19"/>
      <c r="IY171" s="93"/>
      <c r="IZ171" s="93"/>
      <c r="JA171" s="93"/>
      <c r="JB171" s="93"/>
      <c r="JC171" s="93"/>
      <c r="JD171" s="93"/>
      <c r="JE171" s="20"/>
      <c r="JF171" s="29">
        <v>104</v>
      </c>
      <c r="JG171" s="19"/>
      <c r="JH171" s="93"/>
      <c r="JI171" s="93"/>
      <c r="JJ171" s="93"/>
      <c r="JK171" s="93"/>
      <c r="JL171" s="93"/>
      <c r="JM171" s="93"/>
      <c r="JN171" s="20"/>
      <c r="JO171" s="29">
        <v>104</v>
      </c>
      <c r="JP171" s="19"/>
      <c r="JQ171" s="93"/>
      <c r="JR171" s="93"/>
      <c r="JS171" s="93"/>
      <c r="JT171" s="93"/>
      <c r="JU171" s="20"/>
      <c r="JV171" s="29">
        <v>104</v>
      </c>
      <c r="JW171" s="1504">
        <v>39661</v>
      </c>
      <c r="JX171" s="19"/>
      <c r="JY171" s="93"/>
      <c r="JZ171" s="93"/>
      <c r="KA171" s="93"/>
      <c r="KB171" s="93"/>
      <c r="KC171" s="93"/>
      <c r="KD171" s="20"/>
      <c r="KE171" s="29">
        <v>104</v>
      </c>
      <c r="KF171" s="19"/>
      <c r="KG171" s="93"/>
      <c r="KH171" s="93"/>
      <c r="KI171" s="93"/>
      <c r="KJ171" s="93"/>
      <c r="KK171" s="20"/>
      <c r="KL171" s="29">
        <v>104</v>
      </c>
      <c r="KM171" s="19"/>
      <c r="KN171" s="93"/>
      <c r="KO171" s="93"/>
      <c r="KP171" s="93"/>
      <c r="KQ171" s="93"/>
      <c r="KR171" s="20"/>
      <c r="KS171" s="29">
        <v>104</v>
      </c>
      <c r="KT171" s="19"/>
      <c r="KU171" s="93"/>
      <c r="KV171" s="93"/>
      <c r="KW171" s="93"/>
      <c r="KX171" s="93"/>
      <c r="KY171" s="20"/>
      <c r="KZ171" s="29">
        <v>104</v>
      </c>
      <c r="LA171" s="1504">
        <v>39661</v>
      </c>
      <c r="LB171" s="19"/>
      <c r="LC171" s="93"/>
      <c r="LD171" s="93"/>
      <c r="LE171" s="93"/>
      <c r="LF171" s="93"/>
      <c r="LG171" s="93"/>
      <c r="LH171" s="20"/>
      <c r="LI171" s="29">
        <v>104</v>
      </c>
      <c r="LJ171" s="19"/>
      <c r="LK171" s="93"/>
      <c r="LL171" s="93"/>
      <c r="LM171" s="93"/>
      <c r="LN171" s="93"/>
      <c r="LO171" s="20"/>
      <c r="LP171" s="29">
        <v>104</v>
      </c>
      <c r="LQ171" s="19"/>
      <c r="LR171" s="93"/>
      <c r="LS171" s="93"/>
      <c r="LT171" s="93"/>
      <c r="LU171" s="93"/>
      <c r="LV171" s="93"/>
      <c r="LW171" s="93"/>
      <c r="LX171" s="93"/>
      <c r="LY171" s="93"/>
      <c r="LZ171" s="93"/>
      <c r="MA171" s="20"/>
      <c r="MB171" s="29">
        <v>104</v>
      </c>
      <c r="MC171" s="1504">
        <v>39661</v>
      </c>
      <c r="MD171" s="19"/>
      <c r="ME171" s="93"/>
      <c r="MF171" s="93"/>
      <c r="MG171" s="93"/>
      <c r="MH171" s="93"/>
      <c r="MI171" s="93"/>
      <c r="MJ171" s="93"/>
      <c r="MK171" s="93"/>
      <c r="ML171" s="93"/>
      <c r="MM171" s="93"/>
      <c r="MN171" s="93"/>
      <c r="MO171" s="93"/>
      <c r="MP171" s="93"/>
      <c r="MQ171" s="93"/>
      <c r="MR171" s="93"/>
      <c r="MS171" s="93"/>
      <c r="MT171" s="93"/>
      <c r="MU171" s="93"/>
      <c r="MV171" s="93"/>
      <c r="MW171" s="93"/>
      <c r="MX171" s="93"/>
      <c r="MY171" s="93"/>
      <c r="MZ171" s="93"/>
      <c r="NA171" s="93"/>
      <c r="NB171" s="93"/>
      <c r="NC171" s="93"/>
      <c r="ND171" s="93"/>
      <c r="NE171" s="93"/>
      <c r="NF171" s="93"/>
      <c r="NG171" s="93"/>
      <c r="NH171" s="93"/>
      <c r="NI171" s="93"/>
      <c r="NJ171" s="93"/>
      <c r="NK171" s="93"/>
      <c r="NL171" s="93"/>
      <c r="NM171" s="93"/>
      <c r="NN171" s="93"/>
      <c r="NO171" s="93"/>
      <c r="NP171" s="93"/>
      <c r="NQ171" s="93"/>
      <c r="NR171" s="93"/>
      <c r="NS171" s="93"/>
      <c r="NT171" s="93"/>
      <c r="NU171" s="93"/>
      <c r="NV171" s="93"/>
      <c r="NW171" s="93"/>
      <c r="NX171" s="93"/>
      <c r="NY171" s="93"/>
      <c r="NZ171" s="93"/>
      <c r="OA171" s="93"/>
      <c r="OB171" s="93"/>
      <c r="OC171" s="93"/>
      <c r="OD171" s="20"/>
      <c r="OE171" s="29">
        <v>104</v>
      </c>
      <c r="OF171" s="1504">
        <v>39661</v>
      </c>
      <c r="OG171" s="19"/>
      <c r="OH171" s="93">
        <v>172.37620000000001</v>
      </c>
      <c r="OI171" s="93">
        <v>316.70797154845968</v>
      </c>
      <c r="OJ171" s="93">
        <v>0.35737872900000001</v>
      </c>
      <c r="OK171" s="93">
        <v>258.42099281945968</v>
      </c>
      <c r="OL171" s="93">
        <v>57.929600000000001</v>
      </c>
      <c r="OM171" s="93">
        <v>489.08417154845972</v>
      </c>
      <c r="ON171" s="93">
        <v>331.40027568673469</v>
      </c>
      <c r="OO171" s="93">
        <v>820.48444723519447</v>
      </c>
      <c r="OP171" s="93"/>
      <c r="OQ171" s="93">
        <v>400.01712823699029</v>
      </c>
      <c r="OR171" s="93">
        <v>324.982229082</v>
      </c>
      <c r="OS171" s="93">
        <v>75.034899154990228</v>
      </c>
      <c r="OT171" s="93">
        <v>527.13861712720404</v>
      </c>
      <c r="OU171" s="93">
        <v>-140.497831383</v>
      </c>
      <c r="OV171" s="93">
        <v>-57.736831383000002</v>
      </c>
      <c r="OW171" s="93">
        <v>-82.760999999999996</v>
      </c>
      <c r="OX171" s="93">
        <v>667.63644851020399</v>
      </c>
      <c r="OY171" s="93">
        <v>2.4190791590000003</v>
      </c>
      <c r="OZ171" s="93">
        <v>665.21736935120407</v>
      </c>
      <c r="PA171" s="93">
        <v>131.57649239299991</v>
      </c>
      <c r="PB171" s="93">
        <v>-24.905194264000009</v>
      </c>
      <c r="PC171" s="20">
        <v>820.48444723519435</v>
      </c>
      <c r="PD171" s="29">
        <v>104</v>
      </c>
      <c r="PE171" s="19"/>
      <c r="PF171" s="93">
        <v>324.982229082</v>
      </c>
      <c r="PG171" s="93">
        <v>432.49632793500001</v>
      </c>
      <c r="PH171" s="93">
        <v>107.51409885299999</v>
      </c>
      <c r="PI171" s="93">
        <v>15.34</v>
      </c>
      <c r="PJ171" s="93">
        <v>-57.736831383000002</v>
      </c>
      <c r="PK171" s="93">
        <v>40.407980053999999</v>
      </c>
      <c r="PL171" s="93">
        <v>98.144811437000001</v>
      </c>
      <c r="PM171" s="93">
        <v>2.4190791590000003</v>
      </c>
      <c r="PN171" s="93">
        <v>0</v>
      </c>
      <c r="PO171" s="93">
        <v>0</v>
      </c>
      <c r="PP171" s="93">
        <v>3.8223599999999999E-4</v>
      </c>
      <c r="PQ171" s="93">
        <v>2.4186969230000002</v>
      </c>
      <c r="PR171" s="93">
        <v>284.28890330500002</v>
      </c>
      <c r="PS171" s="93">
        <v>196.8622</v>
      </c>
      <c r="PT171" s="93">
        <v>87.069324576</v>
      </c>
      <c r="PU171" s="93">
        <v>0.35737872900000001</v>
      </c>
      <c r="PV171" s="93">
        <v>0</v>
      </c>
      <c r="PW171" s="93">
        <v>0.32192591599999998</v>
      </c>
      <c r="PX171" s="93">
        <v>0</v>
      </c>
      <c r="PY171" s="93">
        <v>0</v>
      </c>
      <c r="PZ171" s="93">
        <v>0.32192591599999998</v>
      </c>
      <c r="QA171" s="93">
        <v>0</v>
      </c>
      <c r="QB171" s="93">
        <v>0</v>
      </c>
      <c r="QC171" s="93">
        <v>0</v>
      </c>
      <c r="QD171" s="93">
        <v>-3.6214335229999999</v>
      </c>
      <c r="QE171" s="20">
        <v>4.0150811600000065</v>
      </c>
      <c r="QF171" s="1739">
        <v>104</v>
      </c>
      <c r="QG171" s="19"/>
      <c r="QH171" s="1035">
        <v>75.034899154990228</v>
      </c>
      <c r="QI171" s="1035">
        <v>195.20163064879591</v>
      </c>
      <c r="QJ171" s="1035">
        <v>-120.16673149380568</v>
      </c>
      <c r="QK171" s="1035">
        <v>52.463000000000001</v>
      </c>
      <c r="QL171" s="1035">
        <v>24.486000000000001</v>
      </c>
      <c r="QM171" s="1035">
        <v>27.977</v>
      </c>
      <c r="QN171" s="1035">
        <v>0</v>
      </c>
      <c r="QO171" s="1035">
        <v>-82.760999999999996</v>
      </c>
      <c r="QP171" s="1035">
        <v>50.614000000000004</v>
      </c>
      <c r="QQ171" s="1035">
        <v>-133.375</v>
      </c>
      <c r="QR171" s="1035">
        <v>665.21736935120407</v>
      </c>
      <c r="QS171" s="1035">
        <v>5.6318571853846642</v>
      </c>
      <c r="QT171" s="1035">
        <v>0</v>
      </c>
      <c r="QU171" s="1035">
        <v>0</v>
      </c>
      <c r="QV171" s="1035">
        <v>659.58551216581941</v>
      </c>
      <c r="QW171" s="93"/>
      <c r="QX171" s="93">
        <v>8.0079999999999991</v>
      </c>
      <c r="QY171" s="93">
        <v>258.42099281945968</v>
      </c>
      <c r="QZ171" s="93">
        <v>331.40027568673463</v>
      </c>
      <c r="RA171" s="93">
        <v>0</v>
      </c>
      <c r="RB171" s="93">
        <v>22.760999999999999</v>
      </c>
      <c r="RC171" s="93">
        <v>1.347</v>
      </c>
      <c r="RD171" s="93">
        <v>10.78</v>
      </c>
      <c r="RE171" s="93">
        <v>0</v>
      </c>
      <c r="RF171" s="93">
        <v>0</v>
      </c>
      <c r="RG171" s="93">
        <v>99.9879999999999</v>
      </c>
      <c r="RH171" s="93">
        <v>-22.751000000000005</v>
      </c>
      <c r="RI171" s="93"/>
      <c r="RJ171" s="93"/>
      <c r="RK171" s="93"/>
      <c r="RL171" s="93"/>
      <c r="RM171" s="20"/>
      <c r="RN171" s="29">
        <v>104</v>
      </c>
      <c r="RO171" s="19"/>
      <c r="RP171" s="20"/>
      <c r="RQ171" s="29">
        <v>104</v>
      </c>
      <c r="RR171" s="20"/>
      <c r="RS171" s="29">
        <v>104</v>
      </c>
      <c r="RT171" s="1504">
        <v>39661</v>
      </c>
      <c r="RU171" s="19"/>
      <c r="RV171" s="20"/>
      <c r="RW171" s="29">
        <v>104</v>
      </c>
      <c r="RX171" s="1504">
        <v>39661</v>
      </c>
      <c r="RY171" s="29"/>
      <c r="RZ171" s="20"/>
      <c r="SA171" s="29"/>
      <c r="SB171" s="29">
        <v>104</v>
      </c>
    </row>
    <row r="172" spans="1:496">
      <c r="A172" s="41">
        <f t="shared" si="191"/>
        <v>2008</v>
      </c>
      <c r="B172" s="1504">
        <v>39692</v>
      </c>
      <c r="C172" s="1813"/>
      <c r="D172" s="1814"/>
      <c r="E172" s="1814"/>
      <c r="F172" s="1815"/>
      <c r="G172" s="1814"/>
      <c r="H172" s="1814"/>
      <c r="I172" s="1814"/>
      <c r="J172" s="1816"/>
      <c r="K172" s="1807"/>
      <c r="L172" s="25">
        <v>105</v>
      </c>
      <c r="M172" s="97"/>
      <c r="N172" s="1504">
        <v>39692</v>
      </c>
      <c r="O172" s="19"/>
      <c r="P172" s="93"/>
      <c r="Q172" s="93"/>
      <c r="R172" s="93"/>
      <c r="S172" s="93"/>
      <c r="T172" s="93"/>
      <c r="U172" s="93"/>
      <c r="V172" s="93"/>
      <c r="W172" s="93"/>
      <c r="X172" s="93"/>
      <c r="Y172" s="93"/>
      <c r="Z172" s="93"/>
      <c r="AA172" s="93"/>
      <c r="AB172" s="20"/>
      <c r="AC172" s="25">
        <v>105</v>
      </c>
      <c r="AD172" s="97"/>
      <c r="AE172" s="1504">
        <v>39692</v>
      </c>
      <c r="AF172" s="19"/>
      <c r="AG172" s="93"/>
      <c r="AH172" s="93"/>
      <c r="AI172" s="93"/>
      <c r="AJ172" s="93"/>
      <c r="AK172" s="93"/>
      <c r="AL172" s="93"/>
      <c r="AM172" s="93"/>
      <c r="AN172" s="93"/>
      <c r="AO172" s="93"/>
      <c r="AP172" s="93"/>
      <c r="AQ172" s="93"/>
      <c r="AR172" s="93"/>
      <c r="AS172" s="20"/>
      <c r="AT172" s="25">
        <v>105</v>
      </c>
      <c r="AU172" s="97"/>
      <c r="AV172" s="1504">
        <v>39692</v>
      </c>
      <c r="AW172" s="19"/>
      <c r="AX172" s="93"/>
      <c r="AY172" s="93"/>
      <c r="AZ172" s="93"/>
      <c r="BA172" s="93"/>
      <c r="BB172" s="93"/>
      <c r="BC172" s="93"/>
      <c r="BD172" s="93"/>
      <c r="BE172" s="93"/>
      <c r="BF172" s="93"/>
      <c r="BG172" s="93"/>
      <c r="BH172" s="93"/>
      <c r="BI172" s="93"/>
      <c r="BJ172" s="20"/>
      <c r="BK172" s="25">
        <v>105</v>
      </c>
      <c r="BL172" s="97"/>
      <c r="BM172" s="1504">
        <v>39692</v>
      </c>
      <c r="BN172" s="19"/>
      <c r="BO172" s="93"/>
      <c r="BP172" s="93"/>
      <c r="BQ172" s="93"/>
      <c r="BR172" s="93"/>
      <c r="BS172" s="93"/>
      <c r="BT172" s="93"/>
      <c r="BU172" s="20"/>
      <c r="BV172" s="25">
        <v>105</v>
      </c>
      <c r="BW172" s="97"/>
      <c r="BX172" s="1504">
        <v>39692</v>
      </c>
      <c r="BY172" s="19"/>
      <c r="BZ172" s="99">
        <v>664.95699999999999</v>
      </c>
      <c r="CA172" s="93"/>
      <c r="CB172" s="93"/>
      <c r="CC172" s="93"/>
      <c r="CD172" s="25">
        <v>105</v>
      </c>
      <c r="CE172" s="97"/>
      <c r="CF172" s="1504">
        <v>39692</v>
      </c>
      <c r="CG172" s="19">
        <v>1.6226003200000001</v>
      </c>
      <c r="CH172" s="1626">
        <v>829.93200000000002</v>
      </c>
      <c r="CI172" s="219"/>
      <c r="CJ172" s="20"/>
      <c r="CK172" s="19"/>
      <c r="CL172" s="93"/>
      <c r="CM172" s="93"/>
      <c r="CN172" s="93"/>
      <c r="CO172" s="93"/>
      <c r="CP172" s="20"/>
      <c r="CQ172" s="219">
        <v>2313.85</v>
      </c>
      <c r="CR172" s="93">
        <v>2.5720000000000001</v>
      </c>
      <c r="CS172" s="93"/>
      <c r="CT172" s="93"/>
      <c r="CU172" s="93"/>
      <c r="CV172" s="214"/>
      <c r="CW172" s="29">
        <v>105</v>
      </c>
      <c r="CX172" s="41">
        <f t="shared" si="192"/>
        <v>2008</v>
      </c>
      <c r="CY172" s="1504">
        <v>39692</v>
      </c>
      <c r="CZ172" s="1916">
        <v>49.879921000000003</v>
      </c>
      <c r="DA172" s="1526">
        <v>32.690223000000003</v>
      </c>
      <c r="DB172" s="1526">
        <v>17.189698</v>
      </c>
      <c r="DC172" s="182">
        <f t="shared" si="199"/>
        <v>308942</v>
      </c>
      <c r="DD172" s="182">
        <f t="shared" si="200"/>
        <v>308032</v>
      </c>
      <c r="DE172" s="182">
        <f t="shared" si="201"/>
        <v>910</v>
      </c>
      <c r="DF172" s="29">
        <v>105</v>
      </c>
      <c r="DG172" s="1504">
        <v>39692</v>
      </c>
      <c r="DH172" s="19"/>
      <c r="DI172" s="93"/>
      <c r="DJ172" s="93"/>
      <c r="DK172" s="93"/>
      <c r="DL172" s="93"/>
      <c r="DM172" s="93"/>
      <c r="DN172" s="20"/>
      <c r="DO172" s="25"/>
      <c r="DP172" s="29">
        <v>105</v>
      </c>
      <c r="DQ172" s="1504">
        <v>39692</v>
      </c>
      <c r="DR172" s="19"/>
      <c r="DS172" s="93"/>
      <c r="DT172" s="93"/>
      <c r="DU172" s="93"/>
      <c r="DV172" s="93"/>
      <c r="DW172" s="93"/>
      <c r="DX172" s="20"/>
      <c r="DY172" s="29">
        <v>105</v>
      </c>
      <c r="DZ172" s="1504">
        <v>39692</v>
      </c>
      <c r="EA172" s="19"/>
      <c r="EB172" s="93"/>
      <c r="EC172" s="20"/>
      <c r="ED172" s="29">
        <v>105</v>
      </c>
      <c r="EE172" s="1504">
        <v>39692</v>
      </c>
      <c r="EF172" s="19"/>
      <c r="EG172" s="93"/>
      <c r="EH172" s="93"/>
      <c r="EI172" s="214"/>
      <c r="EJ172" s="93"/>
      <c r="EK172" s="93"/>
      <c r="EL172" s="93"/>
      <c r="EM172" s="93"/>
      <c r="EN172" s="20"/>
      <c r="EO172" s="29">
        <v>105</v>
      </c>
      <c r="EP172" s="1504">
        <v>39692</v>
      </c>
      <c r="EQ172" s="19"/>
      <c r="ER172" s="93"/>
      <c r="ES172" s="93"/>
      <c r="ET172" s="214"/>
      <c r="EU172" s="93"/>
      <c r="EV172" s="93"/>
      <c r="EW172" s="93"/>
      <c r="EX172" s="93"/>
      <c r="EY172" s="20"/>
      <c r="EZ172" s="29">
        <v>105</v>
      </c>
      <c r="FA172" s="1504">
        <v>39692</v>
      </c>
      <c r="FB172" s="29"/>
      <c r="FC172" s="29"/>
      <c r="FD172" s="29"/>
      <c r="FE172" s="29"/>
      <c r="FF172" s="29"/>
      <c r="FG172" s="29"/>
      <c r="FH172" s="29"/>
      <c r="FI172" s="29"/>
      <c r="FJ172" s="29"/>
      <c r="FK172" s="29">
        <v>105</v>
      </c>
      <c r="FL172" s="1504">
        <v>39692</v>
      </c>
      <c r="FM172" s="19"/>
      <c r="FN172" s="93"/>
      <c r="FO172" s="93"/>
      <c r="FP172" s="93"/>
      <c r="FQ172" s="93"/>
      <c r="FR172" s="93"/>
      <c r="FS172" s="93"/>
      <c r="FT172" s="93"/>
      <c r="FU172" s="93"/>
      <c r="FV172" s="93"/>
      <c r="FW172" s="93"/>
      <c r="FX172" s="93"/>
      <c r="FY172" s="93"/>
      <c r="FZ172" s="29">
        <v>105</v>
      </c>
      <c r="GA172" s="1504">
        <v>39692</v>
      </c>
      <c r="GB172" s="19"/>
      <c r="GC172" s="93"/>
      <c r="GD172" s="93"/>
      <c r="GE172" s="93"/>
      <c r="GF172" s="93"/>
      <c r="GG172" s="93"/>
      <c r="GH172" s="93"/>
      <c r="GI172" s="93"/>
      <c r="GJ172" s="93"/>
      <c r="GK172" s="93"/>
      <c r="GL172" s="93"/>
      <c r="GM172" s="93"/>
      <c r="GN172" s="20"/>
      <c r="GO172" s="29">
        <v>105</v>
      </c>
      <c r="GP172" s="1504">
        <v>39692</v>
      </c>
      <c r="GQ172" s="19"/>
      <c r="GR172" s="93"/>
      <c r="GS172" s="93"/>
      <c r="GT172" s="93"/>
      <c r="GU172" s="93"/>
      <c r="GV172" s="20"/>
      <c r="GW172" s="19"/>
      <c r="GX172" s="93"/>
      <c r="GY172" s="93"/>
      <c r="GZ172" s="93"/>
      <c r="HA172" s="93"/>
      <c r="HB172" s="20"/>
      <c r="HC172" s="19"/>
      <c r="HD172" s="93"/>
      <c r="HE172" s="93"/>
      <c r="HF172" s="93"/>
      <c r="HG172" s="93"/>
      <c r="HH172" s="20"/>
      <c r="HI172" s="19"/>
      <c r="HJ172" s="93"/>
      <c r="HK172" s="93"/>
      <c r="HL172" s="93"/>
      <c r="HM172" s="93"/>
      <c r="HN172" s="20"/>
      <c r="HO172" s="219"/>
      <c r="HP172" s="20"/>
      <c r="HQ172" s="25"/>
      <c r="HR172" s="29">
        <v>105</v>
      </c>
      <c r="HS172" s="1504">
        <v>39692</v>
      </c>
      <c r="HT172" s="179">
        <v>177.77584075927734</v>
      </c>
      <c r="HU172" s="99">
        <v>196.972900390625</v>
      </c>
      <c r="HV172" s="99">
        <v>214.28572082519531</v>
      </c>
      <c r="HW172" s="99"/>
      <c r="HX172" s="99">
        <v>183.33333206176758</v>
      </c>
      <c r="HY172" s="99">
        <v>182.26656341552734</v>
      </c>
      <c r="HZ172" s="99">
        <v>203.53145217895508</v>
      </c>
      <c r="IA172" s="132">
        <v>188.72549438476563</v>
      </c>
      <c r="IB172" s="179">
        <v>279.43533325195313</v>
      </c>
      <c r="IC172" s="99">
        <v>152.84974670410156</v>
      </c>
      <c r="ID172" s="99">
        <v>214.28572082519531</v>
      </c>
      <c r="IE172" s="99">
        <v>197.58620300292969</v>
      </c>
      <c r="IF172" s="99">
        <v>218.03796997070313</v>
      </c>
      <c r="IG172" s="132">
        <v>145</v>
      </c>
      <c r="IH172" s="179">
        <v>163.02006721496582</v>
      </c>
      <c r="II172" s="99">
        <v>183.88190460205078</v>
      </c>
      <c r="IJ172" s="99">
        <v>209.79021835327148</v>
      </c>
      <c r="IK172" s="99">
        <v>199.55357360839844</v>
      </c>
      <c r="IL172" s="99">
        <v>190.32118034362793</v>
      </c>
      <c r="IM172" s="99">
        <v>185.62300109863281</v>
      </c>
      <c r="IN172" s="93"/>
      <c r="IO172" s="132">
        <v>217.93812942504883</v>
      </c>
      <c r="IP172" s="29">
        <v>105</v>
      </c>
      <c r="IQ172" s="19"/>
      <c r="IR172" s="93"/>
      <c r="IS172" s="93"/>
      <c r="IT172" s="93"/>
      <c r="IU172" s="93"/>
      <c r="IV172" s="20"/>
      <c r="IW172" s="29">
        <v>105</v>
      </c>
      <c r="IX172" s="19"/>
      <c r="IY172" s="93"/>
      <c r="IZ172" s="93"/>
      <c r="JA172" s="93"/>
      <c r="JB172" s="93"/>
      <c r="JC172" s="93"/>
      <c r="JD172" s="93"/>
      <c r="JE172" s="20"/>
      <c r="JF172" s="29">
        <v>105</v>
      </c>
      <c r="JG172" s="19"/>
      <c r="JH172" s="93"/>
      <c r="JI172" s="93"/>
      <c r="JJ172" s="93"/>
      <c r="JK172" s="93"/>
      <c r="JL172" s="93"/>
      <c r="JM172" s="93"/>
      <c r="JN172" s="20"/>
      <c r="JO172" s="29">
        <v>105</v>
      </c>
      <c r="JP172" s="19"/>
      <c r="JQ172" s="93"/>
      <c r="JR172" s="93"/>
      <c r="JS172" s="93"/>
      <c r="JT172" s="93"/>
      <c r="JU172" s="20"/>
      <c r="JV172" s="29">
        <v>105</v>
      </c>
      <c r="JW172" s="1504">
        <v>39692</v>
      </c>
      <c r="JX172" s="19"/>
      <c r="JY172" s="93"/>
      <c r="JZ172" s="93"/>
      <c r="KA172" s="93"/>
      <c r="KB172" s="93"/>
      <c r="KC172" s="93"/>
      <c r="KD172" s="20"/>
      <c r="KE172" s="29">
        <v>105</v>
      </c>
      <c r="KF172" s="19"/>
      <c r="KG172" s="93"/>
      <c r="KH172" s="93"/>
      <c r="KI172" s="93"/>
      <c r="KJ172" s="93"/>
      <c r="KK172" s="20"/>
      <c r="KL172" s="29">
        <v>105</v>
      </c>
      <c r="KM172" s="19"/>
      <c r="KN172" s="93"/>
      <c r="KO172" s="93"/>
      <c r="KP172" s="93"/>
      <c r="KQ172" s="93"/>
      <c r="KR172" s="20"/>
      <c r="KS172" s="29">
        <v>105</v>
      </c>
      <c r="KT172" s="19"/>
      <c r="KU172" s="93"/>
      <c r="KV172" s="93"/>
      <c r="KW172" s="93"/>
      <c r="KX172" s="93"/>
      <c r="KY172" s="20"/>
      <c r="KZ172" s="29">
        <v>105</v>
      </c>
      <c r="LA172" s="1504">
        <v>39692</v>
      </c>
      <c r="LB172" s="19"/>
      <c r="LC172" s="93"/>
      <c r="LD172" s="93"/>
      <c r="LE172" s="93"/>
      <c r="LF172" s="93"/>
      <c r="LG172" s="93"/>
      <c r="LH172" s="20"/>
      <c r="LI172" s="29">
        <v>105</v>
      </c>
      <c r="LJ172" s="19"/>
      <c r="LK172" s="93"/>
      <c r="LL172" s="93"/>
      <c r="LM172" s="93"/>
      <c r="LN172" s="93"/>
      <c r="LO172" s="20"/>
      <c r="LP172" s="29">
        <v>105</v>
      </c>
      <c r="LQ172" s="19"/>
      <c r="LR172" s="93"/>
      <c r="LS172" s="93"/>
      <c r="LT172" s="93"/>
      <c r="LU172" s="93"/>
      <c r="LV172" s="93"/>
      <c r="LW172" s="93"/>
      <c r="LX172" s="93"/>
      <c r="LY172" s="93"/>
      <c r="LZ172" s="93"/>
      <c r="MA172" s="20"/>
      <c r="MB172" s="29">
        <v>105</v>
      </c>
      <c r="MC172" s="1504">
        <v>39692</v>
      </c>
      <c r="MD172" s="19"/>
      <c r="ME172" s="93"/>
      <c r="MF172" s="93"/>
      <c r="MG172" s="93"/>
      <c r="MH172" s="93"/>
      <c r="MI172" s="93"/>
      <c r="MJ172" s="93"/>
      <c r="MK172" s="93"/>
      <c r="ML172" s="93"/>
      <c r="MM172" s="93"/>
      <c r="MN172" s="93"/>
      <c r="MO172" s="93"/>
      <c r="MP172" s="93"/>
      <c r="MQ172" s="93"/>
      <c r="MR172" s="93"/>
      <c r="MS172" s="93"/>
      <c r="MT172" s="93"/>
      <c r="MU172" s="93"/>
      <c r="MV172" s="93"/>
      <c r="MW172" s="93"/>
      <c r="MX172" s="93"/>
      <c r="MY172" s="93"/>
      <c r="MZ172" s="93"/>
      <c r="NA172" s="93"/>
      <c r="NB172" s="93"/>
      <c r="NC172" s="93"/>
      <c r="ND172" s="93"/>
      <c r="NE172" s="93"/>
      <c r="NF172" s="93"/>
      <c r="NG172" s="93"/>
      <c r="NH172" s="93"/>
      <c r="NI172" s="93"/>
      <c r="NJ172" s="93"/>
      <c r="NK172" s="93"/>
      <c r="NL172" s="93"/>
      <c r="NM172" s="93"/>
      <c r="NN172" s="93"/>
      <c r="NO172" s="93"/>
      <c r="NP172" s="93"/>
      <c r="NQ172" s="93"/>
      <c r="NR172" s="93"/>
      <c r="NS172" s="93"/>
      <c r="NT172" s="93"/>
      <c r="NU172" s="93"/>
      <c r="NV172" s="93"/>
      <c r="NW172" s="93"/>
      <c r="NX172" s="93"/>
      <c r="NY172" s="93"/>
      <c r="NZ172" s="93"/>
      <c r="OA172" s="93"/>
      <c r="OB172" s="93"/>
      <c r="OC172" s="93"/>
      <c r="OD172" s="20"/>
      <c r="OE172" s="29">
        <v>105</v>
      </c>
      <c r="OF172" s="1504">
        <v>39692</v>
      </c>
      <c r="OG172" s="19"/>
      <c r="OH172" s="93">
        <v>176.6456</v>
      </c>
      <c r="OI172" s="93">
        <v>327.39740517117599</v>
      </c>
      <c r="OJ172" s="93">
        <v>0.32509043999999998</v>
      </c>
      <c r="OK172" s="93">
        <v>266.02421473117602</v>
      </c>
      <c r="OL172" s="93">
        <v>61.048099999999998</v>
      </c>
      <c r="OM172" s="93">
        <v>504.04300517117599</v>
      </c>
      <c r="ON172" s="93">
        <v>316.98163263608888</v>
      </c>
      <c r="OO172" s="93">
        <v>821.02463780726487</v>
      </c>
      <c r="OP172" s="93"/>
      <c r="OQ172" s="93">
        <v>355.92169584287643</v>
      </c>
      <c r="OR172" s="93">
        <v>292.07772383899999</v>
      </c>
      <c r="OS172" s="93">
        <v>63.843972003876473</v>
      </c>
      <c r="OT172" s="93">
        <v>591.96198463038843</v>
      </c>
      <c r="OU172" s="93">
        <v>-112.147885727</v>
      </c>
      <c r="OV172" s="93">
        <v>-28.576885727000004</v>
      </c>
      <c r="OW172" s="93">
        <v>-83.570999999999998</v>
      </c>
      <c r="OX172" s="93">
        <v>704.10987035738844</v>
      </c>
      <c r="OY172" s="93">
        <v>2.4299949939999999</v>
      </c>
      <c r="OZ172" s="93">
        <v>701.67987536338842</v>
      </c>
      <c r="PA172" s="93">
        <v>135.43702271700002</v>
      </c>
      <c r="PB172" s="93">
        <v>-8.5779800510000044</v>
      </c>
      <c r="PC172" s="20">
        <v>821.02463780726487</v>
      </c>
      <c r="PD172" s="29">
        <v>105</v>
      </c>
      <c r="PE172" s="19"/>
      <c r="PF172" s="93">
        <v>292.07772383899999</v>
      </c>
      <c r="PG172" s="93">
        <v>403.22441149599996</v>
      </c>
      <c r="PH172" s="93">
        <v>111.146687657</v>
      </c>
      <c r="PI172" s="93">
        <v>11.097186580000001</v>
      </c>
      <c r="PJ172" s="93">
        <v>-28.576885727000004</v>
      </c>
      <c r="PK172" s="93">
        <v>40.428970430999996</v>
      </c>
      <c r="PL172" s="93">
        <v>69.005856158</v>
      </c>
      <c r="PM172" s="93">
        <v>2.4299949939999999</v>
      </c>
      <c r="PN172" s="93">
        <v>0</v>
      </c>
      <c r="PO172" s="93">
        <v>0</v>
      </c>
      <c r="PP172" s="93">
        <v>3.4890399999999998E-4</v>
      </c>
      <c r="PQ172" s="93">
        <v>2.4296460899999999</v>
      </c>
      <c r="PR172" s="93">
        <v>281.55879701499998</v>
      </c>
      <c r="PS172" s="93">
        <v>200.60059999999999</v>
      </c>
      <c r="PT172" s="93">
        <v>80.633106574999999</v>
      </c>
      <c r="PU172" s="93">
        <v>0.32509043999999998</v>
      </c>
      <c r="PV172" s="93">
        <v>0</v>
      </c>
      <c r="PW172" s="93">
        <v>4.1111045999999998E-2</v>
      </c>
      <c r="PX172" s="93">
        <v>0</v>
      </c>
      <c r="PY172" s="93">
        <v>0</v>
      </c>
      <c r="PZ172" s="93">
        <v>4.1111045999999998E-2</v>
      </c>
      <c r="QA172" s="93">
        <v>0</v>
      </c>
      <c r="QB172" s="93">
        <v>0</v>
      </c>
      <c r="QC172" s="93">
        <v>0</v>
      </c>
      <c r="QD172" s="93">
        <v>-3.8190883289999999</v>
      </c>
      <c r="QE172" s="20">
        <v>-0.75280004600000017</v>
      </c>
      <c r="QF172" s="1739">
        <v>105</v>
      </c>
      <c r="QG172" s="19"/>
      <c r="QH172" s="1035">
        <v>63.843972003876473</v>
      </c>
      <c r="QI172" s="1035">
        <v>195.73112463661158</v>
      </c>
      <c r="QJ172" s="1035">
        <v>-131.88715263273511</v>
      </c>
      <c r="QK172" s="1035">
        <v>92.652000000000001</v>
      </c>
      <c r="QL172" s="1035">
        <v>23.954999999999998</v>
      </c>
      <c r="QM172" s="1035">
        <v>68.697000000000003</v>
      </c>
      <c r="QN172" s="1035">
        <v>0</v>
      </c>
      <c r="QO172" s="1035">
        <v>-83.570999999999998</v>
      </c>
      <c r="QP172" s="1035">
        <v>43.503999999999998</v>
      </c>
      <c r="QQ172" s="1035">
        <v>-127.075</v>
      </c>
      <c r="QR172" s="1035">
        <v>701.67987536338842</v>
      </c>
      <c r="QS172" s="1035">
        <v>11.200235734488691</v>
      </c>
      <c r="QT172" s="1035">
        <v>0</v>
      </c>
      <c r="QU172" s="1035">
        <v>73.793000000000006</v>
      </c>
      <c r="QV172" s="1035">
        <v>616.68663962889968</v>
      </c>
      <c r="QW172" s="93"/>
      <c r="QX172" s="93">
        <v>10.978999999999999</v>
      </c>
      <c r="QY172" s="93">
        <v>266.02421473117602</v>
      </c>
      <c r="QZ172" s="93">
        <v>316.98163263608888</v>
      </c>
      <c r="RA172" s="93">
        <v>0</v>
      </c>
      <c r="RB172" s="93">
        <v>23.189999999999998</v>
      </c>
      <c r="RC172" s="93">
        <v>1.347</v>
      </c>
      <c r="RD172" s="93">
        <v>11.025</v>
      </c>
      <c r="RE172" s="93">
        <v>0</v>
      </c>
      <c r="RF172" s="93">
        <v>0</v>
      </c>
      <c r="RG172" s="93">
        <v>103.65300000000001</v>
      </c>
      <c r="RH172" s="93">
        <v>41.405000000000001</v>
      </c>
      <c r="RI172" s="93"/>
      <c r="RJ172" s="93"/>
      <c r="RK172" s="93"/>
      <c r="RL172" s="93"/>
      <c r="RM172" s="20"/>
      <c r="RN172" s="29">
        <v>105</v>
      </c>
      <c r="RO172" s="19"/>
      <c r="RP172" s="20"/>
      <c r="RQ172" s="29">
        <v>105</v>
      </c>
      <c r="RR172" s="20"/>
      <c r="RS172" s="29">
        <v>105</v>
      </c>
      <c r="RT172" s="1504">
        <v>39692</v>
      </c>
      <c r="RU172" s="19"/>
      <c r="RV172" s="20"/>
      <c r="RW172" s="29">
        <v>105</v>
      </c>
      <c r="RX172" s="1504">
        <v>39692</v>
      </c>
      <c r="RY172" s="29"/>
      <c r="RZ172" s="20"/>
      <c r="SA172" s="29"/>
      <c r="SB172" s="29">
        <v>105</v>
      </c>
    </row>
    <row r="173" spans="1:496">
      <c r="A173" s="41">
        <f t="shared" si="191"/>
        <v>2008</v>
      </c>
      <c r="B173" s="1504">
        <v>39722</v>
      </c>
      <c r="C173" s="1813"/>
      <c r="D173" s="1814"/>
      <c r="E173" s="1814"/>
      <c r="F173" s="1815"/>
      <c r="G173" s="1814"/>
      <c r="H173" s="1814"/>
      <c r="I173" s="1814"/>
      <c r="J173" s="1816"/>
      <c r="K173" s="1807"/>
      <c r="L173" s="25">
        <v>106</v>
      </c>
      <c r="M173" s="97"/>
      <c r="N173" s="1504">
        <v>39722</v>
      </c>
      <c r="O173" s="19"/>
      <c r="P173" s="93"/>
      <c r="Q173" s="93"/>
      <c r="R173" s="93"/>
      <c r="S173" s="93"/>
      <c r="T173" s="93"/>
      <c r="U173" s="93"/>
      <c r="V173" s="93"/>
      <c r="W173" s="93"/>
      <c r="X173" s="93"/>
      <c r="Y173" s="93"/>
      <c r="Z173" s="93"/>
      <c r="AA173" s="93"/>
      <c r="AB173" s="20"/>
      <c r="AC173" s="25">
        <v>106</v>
      </c>
      <c r="AD173" s="97"/>
      <c r="AE173" s="1504">
        <v>39722</v>
      </c>
      <c r="AF173" s="19"/>
      <c r="AG173" s="93"/>
      <c r="AH173" s="93"/>
      <c r="AI173" s="93"/>
      <c r="AJ173" s="93"/>
      <c r="AK173" s="93"/>
      <c r="AL173" s="93"/>
      <c r="AM173" s="93"/>
      <c r="AN173" s="93"/>
      <c r="AO173" s="93"/>
      <c r="AP173" s="93"/>
      <c r="AQ173" s="93"/>
      <c r="AR173" s="93"/>
      <c r="AS173" s="20"/>
      <c r="AT173" s="25">
        <v>106</v>
      </c>
      <c r="AU173" s="97"/>
      <c r="AV173" s="1504">
        <v>39722</v>
      </c>
      <c r="AW173" s="19"/>
      <c r="AX173" s="93"/>
      <c r="AY173" s="93"/>
      <c r="AZ173" s="93"/>
      <c r="BA173" s="93"/>
      <c r="BB173" s="93"/>
      <c r="BC173" s="93"/>
      <c r="BD173" s="93"/>
      <c r="BE173" s="93"/>
      <c r="BF173" s="93"/>
      <c r="BG173" s="93"/>
      <c r="BH173" s="93"/>
      <c r="BI173" s="93"/>
      <c r="BJ173" s="20"/>
      <c r="BK173" s="25">
        <v>106</v>
      </c>
      <c r="BL173" s="97"/>
      <c r="BM173" s="1504">
        <v>39722</v>
      </c>
      <c r="BN173" s="19"/>
      <c r="BO173" s="93"/>
      <c r="BP173" s="93"/>
      <c r="BQ173" s="93"/>
      <c r="BR173" s="93"/>
      <c r="BS173" s="93"/>
      <c r="BT173" s="93"/>
      <c r="BU173" s="20"/>
      <c r="BV173" s="25">
        <v>106</v>
      </c>
      <c r="BW173" s="97"/>
      <c r="BX173" s="1504">
        <v>39722</v>
      </c>
      <c r="BY173" s="19"/>
      <c r="BZ173" s="99">
        <v>664.95699999999999</v>
      </c>
      <c r="CA173" s="93"/>
      <c r="CB173" s="93"/>
      <c r="CC173" s="93"/>
      <c r="CD173" s="25">
        <v>106</v>
      </c>
      <c r="CE173" s="97"/>
      <c r="CF173" s="1504">
        <v>39722</v>
      </c>
      <c r="CG173" s="19">
        <v>1.37347826</v>
      </c>
      <c r="CH173" s="1626">
        <v>806.62</v>
      </c>
      <c r="CI173" s="219"/>
      <c r="CJ173" s="20"/>
      <c r="CK173" s="19"/>
      <c r="CL173" s="93"/>
      <c r="CM173" s="93"/>
      <c r="CN173" s="93"/>
      <c r="CO173" s="93"/>
      <c r="CP173" s="20"/>
      <c r="CQ173" s="219">
        <v>2119.44</v>
      </c>
      <c r="CR173" s="93">
        <v>2.2250000000000001</v>
      </c>
      <c r="CS173" s="93"/>
      <c r="CT173" s="93"/>
      <c r="CU173" s="93"/>
      <c r="CV173" s="214"/>
      <c r="CW173" s="29">
        <v>106</v>
      </c>
      <c r="CX173" s="41">
        <f t="shared" si="192"/>
        <v>2008</v>
      </c>
      <c r="CY173" s="1504">
        <v>39722</v>
      </c>
      <c r="CZ173" s="1916">
        <v>51.708141999999995</v>
      </c>
      <c r="DA173" s="1526">
        <v>34.783096</v>
      </c>
      <c r="DB173" s="1526">
        <v>16.925045999999998</v>
      </c>
      <c r="DC173" s="182">
        <f t="shared" si="199"/>
        <v>308942</v>
      </c>
      <c r="DD173" s="182">
        <f t="shared" si="200"/>
        <v>308032</v>
      </c>
      <c r="DE173" s="182">
        <f t="shared" si="201"/>
        <v>910</v>
      </c>
      <c r="DF173" s="29">
        <v>106</v>
      </c>
      <c r="DG173" s="1504">
        <v>39722</v>
      </c>
      <c r="DH173" s="19"/>
      <c r="DI173" s="93"/>
      <c r="DJ173" s="93"/>
      <c r="DK173" s="93"/>
      <c r="DL173" s="93"/>
      <c r="DM173" s="93"/>
      <c r="DN173" s="20"/>
      <c r="DO173" s="25"/>
      <c r="DP173" s="29">
        <v>106</v>
      </c>
      <c r="DQ173" s="1504">
        <v>39722</v>
      </c>
      <c r="DR173" s="19"/>
      <c r="DS173" s="93"/>
      <c r="DT173" s="93"/>
      <c r="DU173" s="93"/>
      <c r="DV173" s="93"/>
      <c r="DW173" s="93"/>
      <c r="DX173" s="20"/>
      <c r="DY173" s="29">
        <v>106</v>
      </c>
      <c r="DZ173" s="1504">
        <v>39722</v>
      </c>
      <c r="EA173" s="19"/>
      <c r="EB173" s="93"/>
      <c r="EC173" s="20"/>
      <c r="ED173" s="29">
        <v>106</v>
      </c>
      <c r="EE173" s="1504">
        <v>39722</v>
      </c>
      <c r="EF173" s="19"/>
      <c r="EG173" s="93"/>
      <c r="EH173" s="93"/>
      <c r="EI173" s="214"/>
      <c r="EJ173" s="93"/>
      <c r="EK173" s="93"/>
      <c r="EL173" s="93"/>
      <c r="EM173" s="93"/>
      <c r="EN173" s="20"/>
      <c r="EO173" s="29">
        <v>106</v>
      </c>
      <c r="EP173" s="1504">
        <v>39722</v>
      </c>
      <c r="EQ173" s="19"/>
      <c r="ER173" s="93"/>
      <c r="ES173" s="93"/>
      <c r="ET173" s="214"/>
      <c r="EU173" s="93"/>
      <c r="EV173" s="93"/>
      <c r="EW173" s="93"/>
      <c r="EX173" s="93"/>
      <c r="EY173" s="20"/>
      <c r="EZ173" s="29">
        <v>106</v>
      </c>
      <c r="FA173" s="1504">
        <v>39722</v>
      </c>
      <c r="FB173" s="29"/>
      <c r="FC173" s="29"/>
      <c r="FD173" s="29"/>
      <c r="FE173" s="29"/>
      <c r="FF173" s="29"/>
      <c r="FG173" s="29"/>
      <c r="FH173" s="29"/>
      <c r="FI173" s="29"/>
      <c r="FJ173" s="29"/>
      <c r="FK173" s="29">
        <v>106</v>
      </c>
      <c r="FL173" s="1504">
        <v>39722</v>
      </c>
      <c r="FM173" s="19"/>
      <c r="FN173" s="93"/>
      <c r="FO173" s="93"/>
      <c r="FP173" s="93"/>
      <c r="FQ173" s="93"/>
      <c r="FR173" s="93"/>
      <c r="FS173" s="93"/>
      <c r="FT173" s="93"/>
      <c r="FU173" s="93"/>
      <c r="FV173" s="93"/>
      <c r="FW173" s="93"/>
      <c r="FX173" s="93"/>
      <c r="FY173" s="93"/>
      <c r="FZ173" s="29">
        <v>106</v>
      </c>
      <c r="GA173" s="1504">
        <v>39722</v>
      </c>
      <c r="GB173" s="19"/>
      <c r="GC173" s="93"/>
      <c r="GD173" s="93"/>
      <c r="GE173" s="93"/>
      <c r="GF173" s="93"/>
      <c r="GG173" s="93"/>
      <c r="GH173" s="93"/>
      <c r="GI173" s="93"/>
      <c r="GJ173" s="93"/>
      <c r="GK173" s="93"/>
      <c r="GL173" s="93"/>
      <c r="GM173" s="93"/>
      <c r="GN173" s="20"/>
      <c r="GO173" s="29">
        <v>106</v>
      </c>
      <c r="GP173" s="1504">
        <v>39722</v>
      </c>
      <c r="GQ173" s="19"/>
      <c r="GR173" s="93"/>
      <c r="GS173" s="93"/>
      <c r="GT173" s="93"/>
      <c r="GU173" s="93"/>
      <c r="GV173" s="20"/>
      <c r="GW173" s="19"/>
      <c r="GX173" s="93"/>
      <c r="GY173" s="93"/>
      <c r="GZ173" s="93"/>
      <c r="HA173" s="93"/>
      <c r="HB173" s="20"/>
      <c r="HC173" s="19"/>
      <c r="HD173" s="93"/>
      <c r="HE173" s="93"/>
      <c r="HF173" s="93"/>
      <c r="HG173" s="93"/>
      <c r="HH173" s="20"/>
      <c r="HI173" s="19"/>
      <c r="HJ173" s="93"/>
      <c r="HK173" s="93"/>
      <c r="HL173" s="93"/>
      <c r="HM173" s="93"/>
      <c r="HN173" s="20"/>
      <c r="HO173" s="219"/>
      <c r="HP173" s="20"/>
      <c r="HQ173" s="25"/>
      <c r="HR173" s="29">
        <v>106</v>
      </c>
      <c r="HS173" s="1504">
        <v>39722</v>
      </c>
      <c r="HT173" s="179">
        <v>192.24017333984375</v>
      </c>
      <c r="HU173" s="99">
        <v>192.49537048339843</v>
      </c>
      <c r="HV173" s="99">
        <v>183.62068557739258</v>
      </c>
      <c r="HW173" s="99">
        <v>157.76700019836426</v>
      </c>
      <c r="HX173" s="99">
        <v>154</v>
      </c>
      <c r="HY173" s="99">
        <v>182.48461151123047</v>
      </c>
      <c r="HZ173" s="99">
        <v>190.57139587402344</v>
      </c>
      <c r="IA173" s="132">
        <v>185.18519083658853</v>
      </c>
      <c r="IB173" s="179">
        <v>243.75</v>
      </c>
      <c r="IC173" s="99">
        <v>141.56348164876303</v>
      </c>
      <c r="ID173" s="99">
        <v>187.5</v>
      </c>
      <c r="IE173" s="99">
        <v>172.5</v>
      </c>
      <c r="IF173" s="99">
        <v>205.69619750976563</v>
      </c>
      <c r="IG173" s="132">
        <v>125.625</v>
      </c>
      <c r="IH173" s="179">
        <v>115.74789714813232</v>
      </c>
      <c r="II173" s="99">
        <v>181.2578094482422</v>
      </c>
      <c r="IJ173" s="99">
        <v>146.11486053466797</v>
      </c>
      <c r="IK173" s="99">
        <v>157.95053405761718</v>
      </c>
      <c r="IL173" s="99">
        <v>135.25115299224854</v>
      </c>
      <c r="IM173" s="99">
        <v>129.03226216634116</v>
      </c>
      <c r="IN173" s="93"/>
      <c r="IO173" s="132">
        <v>163.72343254089355</v>
      </c>
      <c r="IP173" s="29">
        <v>106</v>
      </c>
      <c r="IQ173" s="19"/>
      <c r="IR173" s="93"/>
      <c r="IS173" s="93"/>
      <c r="IT173" s="93"/>
      <c r="IU173" s="93"/>
      <c r="IV173" s="20"/>
      <c r="IW173" s="29">
        <v>106</v>
      </c>
      <c r="IX173" s="19"/>
      <c r="IY173" s="93"/>
      <c r="IZ173" s="93"/>
      <c r="JA173" s="93"/>
      <c r="JB173" s="93"/>
      <c r="JC173" s="93"/>
      <c r="JD173" s="93"/>
      <c r="JE173" s="20"/>
      <c r="JF173" s="29">
        <v>106</v>
      </c>
      <c r="JG173" s="19"/>
      <c r="JH173" s="93"/>
      <c r="JI173" s="93"/>
      <c r="JJ173" s="93"/>
      <c r="JK173" s="93"/>
      <c r="JL173" s="93"/>
      <c r="JM173" s="93"/>
      <c r="JN173" s="20"/>
      <c r="JO173" s="29">
        <v>106</v>
      </c>
      <c r="JP173" s="19"/>
      <c r="JQ173" s="93"/>
      <c r="JR173" s="93"/>
      <c r="JS173" s="93"/>
      <c r="JT173" s="93"/>
      <c r="JU173" s="20"/>
      <c r="JV173" s="29">
        <v>106</v>
      </c>
      <c r="JW173" s="1504">
        <v>39722</v>
      </c>
      <c r="JX173" s="19"/>
      <c r="JY173" s="93"/>
      <c r="JZ173" s="93"/>
      <c r="KA173" s="93"/>
      <c r="KB173" s="93"/>
      <c r="KC173" s="93"/>
      <c r="KD173" s="20"/>
      <c r="KE173" s="29">
        <v>106</v>
      </c>
      <c r="KF173" s="19"/>
      <c r="KG173" s="93"/>
      <c r="KH173" s="93"/>
      <c r="KI173" s="93"/>
      <c r="KJ173" s="93"/>
      <c r="KK173" s="20"/>
      <c r="KL173" s="29">
        <v>106</v>
      </c>
      <c r="KM173" s="19"/>
      <c r="KN173" s="93"/>
      <c r="KO173" s="93"/>
      <c r="KP173" s="93"/>
      <c r="KQ173" s="93"/>
      <c r="KR173" s="20"/>
      <c r="KS173" s="29">
        <v>106</v>
      </c>
      <c r="KT173" s="19"/>
      <c r="KU173" s="93"/>
      <c r="KV173" s="93"/>
      <c r="KW173" s="93"/>
      <c r="KX173" s="93"/>
      <c r="KY173" s="20"/>
      <c r="KZ173" s="29">
        <v>106</v>
      </c>
      <c r="LA173" s="1504">
        <v>39722</v>
      </c>
      <c r="LB173" s="19"/>
      <c r="LC173" s="93"/>
      <c r="LD173" s="93"/>
      <c r="LE173" s="93"/>
      <c r="LF173" s="93"/>
      <c r="LG173" s="93"/>
      <c r="LH173" s="20"/>
      <c r="LI173" s="29">
        <v>106</v>
      </c>
      <c r="LJ173" s="19"/>
      <c r="LK173" s="93"/>
      <c r="LL173" s="93"/>
      <c r="LM173" s="93"/>
      <c r="LN173" s="93"/>
      <c r="LO173" s="20"/>
      <c r="LP173" s="29">
        <v>106</v>
      </c>
      <c r="LQ173" s="19"/>
      <c r="LR173" s="93"/>
      <c r="LS173" s="93"/>
      <c r="LT173" s="93"/>
      <c r="LU173" s="93"/>
      <c r="LV173" s="93"/>
      <c r="LW173" s="93"/>
      <c r="LX173" s="93"/>
      <c r="LY173" s="93"/>
      <c r="LZ173" s="93"/>
      <c r="MA173" s="20"/>
      <c r="MB173" s="29">
        <v>106</v>
      </c>
      <c r="MC173" s="1504">
        <v>39722</v>
      </c>
      <c r="MD173" s="19"/>
      <c r="ME173" s="93"/>
      <c r="MF173" s="93"/>
      <c r="MG173" s="93"/>
      <c r="MH173" s="93"/>
      <c r="MI173" s="93"/>
      <c r="MJ173" s="93"/>
      <c r="MK173" s="93"/>
      <c r="ML173" s="93"/>
      <c r="MM173" s="93"/>
      <c r="MN173" s="93"/>
      <c r="MO173" s="93"/>
      <c r="MP173" s="93"/>
      <c r="MQ173" s="93"/>
      <c r="MR173" s="93"/>
      <c r="MS173" s="93"/>
      <c r="MT173" s="93"/>
      <c r="MU173" s="93"/>
      <c r="MV173" s="93"/>
      <c r="MW173" s="93"/>
      <c r="MX173" s="93"/>
      <c r="MY173" s="93"/>
      <c r="MZ173" s="93"/>
      <c r="NA173" s="93"/>
      <c r="NB173" s="93"/>
      <c r="NC173" s="93"/>
      <c r="ND173" s="93"/>
      <c r="NE173" s="93"/>
      <c r="NF173" s="93"/>
      <c r="NG173" s="93"/>
      <c r="NH173" s="93"/>
      <c r="NI173" s="93"/>
      <c r="NJ173" s="93"/>
      <c r="NK173" s="93"/>
      <c r="NL173" s="93"/>
      <c r="NM173" s="93"/>
      <c r="NN173" s="93"/>
      <c r="NO173" s="93"/>
      <c r="NP173" s="93"/>
      <c r="NQ173" s="93"/>
      <c r="NR173" s="93"/>
      <c r="NS173" s="93"/>
      <c r="NT173" s="93"/>
      <c r="NU173" s="93"/>
      <c r="NV173" s="93"/>
      <c r="NW173" s="93"/>
      <c r="NX173" s="93"/>
      <c r="NY173" s="93"/>
      <c r="NZ173" s="93"/>
      <c r="OA173" s="93"/>
      <c r="OB173" s="93"/>
      <c r="OC173" s="93"/>
      <c r="OD173" s="20"/>
      <c r="OE173" s="29">
        <v>106</v>
      </c>
      <c r="OF173" s="1504">
        <v>39722</v>
      </c>
      <c r="OG173" s="19"/>
      <c r="OH173" s="93">
        <v>185.50979999999998</v>
      </c>
      <c r="OI173" s="93">
        <v>336.71967893576942</v>
      </c>
      <c r="OJ173" s="93">
        <v>0.46100463899999999</v>
      </c>
      <c r="OK173" s="93">
        <v>278.32907429676942</v>
      </c>
      <c r="OL173" s="93">
        <v>57.929600000000001</v>
      </c>
      <c r="OM173" s="93">
        <v>522.22947893576941</v>
      </c>
      <c r="ON173" s="93">
        <v>333.59957548730949</v>
      </c>
      <c r="OO173" s="93">
        <v>855.8290544230789</v>
      </c>
      <c r="OP173" s="93"/>
      <c r="OQ173" s="93">
        <v>342.64101691184158</v>
      </c>
      <c r="OR173" s="93">
        <v>272.98599896100001</v>
      </c>
      <c r="OS173" s="93">
        <v>69.655017950841554</v>
      </c>
      <c r="OT173" s="93">
        <v>636.8302505972373</v>
      </c>
      <c r="OU173" s="93">
        <v>-76.544591445999998</v>
      </c>
      <c r="OV173" s="93">
        <v>-26.616591446000008</v>
      </c>
      <c r="OW173" s="93">
        <v>-49.927999999999997</v>
      </c>
      <c r="OX173" s="93">
        <v>713.37484204323732</v>
      </c>
      <c r="OY173" s="93">
        <v>2.44021021</v>
      </c>
      <c r="OZ173" s="93">
        <v>710.93463183323729</v>
      </c>
      <c r="PA173" s="93">
        <v>135.74598448699999</v>
      </c>
      <c r="PB173" s="93">
        <v>-12.103771400999996</v>
      </c>
      <c r="PC173" s="20">
        <v>855.8290544230789</v>
      </c>
      <c r="PD173" s="29">
        <v>106</v>
      </c>
      <c r="PE173" s="19"/>
      <c r="PF173" s="93">
        <v>272.98599896100001</v>
      </c>
      <c r="PG173" s="93">
        <v>391.38985593400002</v>
      </c>
      <c r="PH173" s="93">
        <v>118.403856973</v>
      </c>
      <c r="PI173" s="93">
        <v>23.747396266999999</v>
      </c>
      <c r="PJ173" s="93">
        <v>-26.616591446000008</v>
      </c>
      <c r="PK173" s="93">
        <v>39.573921851000001</v>
      </c>
      <c r="PL173" s="93">
        <v>66.19051329700001</v>
      </c>
      <c r="PM173" s="93">
        <v>2.44021021</v>
      </c>
      <c r="PN173" s="93">
        <v>0</v>
      </c>
      <c r="PO173" s="93">
        <v>0</v>
      </c>
      <c r="PP173" s="93">
        <v>5.3655E-4</v>
      </c>
      <c r="PQ173" s="93">
        <v>2.43967366</v>
      </c>
      <c r="PR173" s="93">
        <v>276.77545244499998</v>
      </c>
      <c r="PS173" s="93">
        <v>206.7028</v>
      </c>
      <c r="PT173" s="93">
        <v>69.611647805999993</v>
      </c>
      <c r="PU173" s="93">
        <v>0.46100463899999999</v>
      </c>
      <c r="PV173" s="93">
        <v>0</v>
      </c>
      <c r="PW173" s="93">
        <v>6.0200952000000002E-2</v>
      </c>
      <c r="PX173" s="93">
        <v>0</v>
      </c>
      <c r="PY173" s="93">
        <v>0</v>
      </c>
      <c r="PZ173" s="93">
        <v>6.0200952000000002E-2</v>
      </c>
      <c r="QA173" s="93">
        <v>0</v>
      </c>
      <c r="QB173" s="93">
        <v>0</v>
      </c>
      <c r="QC173" s="93">
        <v>0</v>
      </c>
      <c r="QD173" s="93">
        <v>-3.9132164650000005</v>
      </c>
      <c r="QE173" s="20">
        <v>-0.3654229399999927</v>
      </c>
      <c r="QF173" s="1739">
        <v>106</v>
      </c>
      <c r="QG173" s="19"/>
      <c r="QH173" s="1035">
        <v>69.655017950841554</v>
      </c>
      <c r="QI173" s="1035">
        <v>189.59336816676262</v>
      </c>
      <c r="QJ173" s="1035">
        <v>-119.93835021592106</v>
      </c>
      <c r="QK173" s="1035">
        <v>87.802999999999997</v>
      </c>
      <c r="QL173" s="1035">
        <v>21.193000000000001</v>
      </c>
      <c r="QM173" s="1035">
        <v>66.61</v>
      </c>
      <c r="QN173" s="1035">
        <v>0</v>
      </c>
      <c r="QO173" s="1035">
        <v>-49.927999999999997</v>
      </c>
      <c r="QP173" s="1035">
        <v>54.135000000000005</v>
      </c>
      <c r="QQ173" s="1035">
        <v>-104.063</v>
      </c>
      <c r="QR173" s="1035">
        <v>710.93463183323729</v>
      </c>
      <c r="QS173" s="1035">
        <v>10.445549287825779</v>
      </c>
      <c r="QT173" s="1035">
        <v>0</v>
      </c>
      <c r="QU173" s="1035">
        <v>45.686</v>
      </c>
      <c r="QV173" s="1035">
        <v>654.80308254541148</v>
      </c>
      <c r="QW173" s="93"/>
      <c r="QX173" s="93">
        <v>23.698</v>
      </c>
      <c r="QY173" s="93">
        <v>278.32907429676942</v>
      </c>
      <c r="QZ173" s="93">
        <v>333.59957548730949</v>
      </c>
      <c r="RA173" s="93">
        <v>0</v>
      </c>
      <c r="RB173" s="93">
        <v>22.456</v>
      </c>
      <c r="RC173" s="93">
        <v>1.347</v>
      </c>
      <c r="RD173" s="93">
        <v>10.417</v>
      </c>
      <c r="RE173" s="93">
        <v>0</v>
      </c>
      <c r="RF173" s="93">
        <v>0</v>
      </c>
      <c r="RG173" s="93">
        <v>105.379</v>
      </c>
      <c r="RH173" s="93">
        <v>43.239000000000004</v>
      </c>
      <c r="RI173" s="93"/>
      <c r="RJ173" s="93"/>
      <c r="RK173" s="93"/>
      <c r="RL173" s="93"/>
      <c r="RM173" s="20"/>
      <c r="RN173" s="29">
        <v>106</v>
      </c>
      <c r="RO173" s="19"/>
      <c r="RP173" s="20"/>
      <c r="RQ173" s="29">
        <v>106</v>
      </c>
      <c r="RR173" s="20"/>
      <c r="RS173" s="29">
        <v>106</v>
      </c>
      <c r="RT173" s="1504">
        <v>39722</v>
      </c>
      <c r="RU173" s="19"/>
      <c r="RV173" s="20"/>
      <c r="RW173" s="29">
        <v>106</v>
      </c>
      <c r="RX173" s="1504">
        <v>39722</v>
      </c>
      <c r="RY173" s="29"/>
      <c r="RZ173" s="20"/>
      <c r="SA173" s="29"/>
      <c r="SB173" s="29">
        <v>106</v>
      </c>
    </row>
    <row r="174" spans="1:496">
      <c r="A174" s="41">
        <f t="shared" si="191"/>
        <v>2008</v>
      </c>
      <c r="B174" s="1504">
        <v>39753</v>
      </c>
      <c r="C174" s="1813"/>
      <c r="D174" s="1814"/>
      <c r="E174" s="1814"/>
      <c r="F174" s="1815"/>
      <c r="G174" s="1814"/>
      <c r="H174" s="1814"/>
      <c r="I174" s="1814"/>
      <c r="J174" s="1816"/>
      <c r="K174" s="1807"/>
      <c r="L174" s="25">
        <v>107</v>
      </c>
      <c r="M174" s="97"/>
      <c r="N174" s="1504">
        <v>39753</v>
      </c>
      <c r="O174" s="19"/>
      <c r="P174" s="93"/>
      <c r="Q174" s="93"/>
      <c r="R174" s="93"/>
      <c r="S174" s="93"/>
      <c r="T174" s="93"/>
      <c r="U174" s="93"/>
      <c r="V174" s="93"/>
      <c r="W174" s="93"/>
      <c r="X174" s="93"/>
      <c r="Y174" s="93"/>
      <c r="Z174" s="93"/>
      <c r="AA174" s="93"/>
      <c r="AB174" s="20"/>
      <c r="AC174" s="25">
        <v>107</v>
      </c>
      <c r="AD174" s="97"/>
      <c r="AE174" s="1504">
        <v>39753</v>
      </c>
      <c r="AF174" s="19"/>
      <c r="AG174" s="93"/>
      <c r="AH174" s="93"/>
      <c r="AI174" s="93"/>
      <c r="AJ174" s="93"/>
      <c r="AK174" s="93"/>
      <c r="AL174" s="93"/>
      <c r="AM174" s="93"/>
      <c r="AN174" s="93"/>
      <c r="AO174" s="93"/>
      <c r="AP174" s="93"/>
      <c r="AQ174" s="93"/>
      <c r="AR174" s="93"/>
      <c r="AS174" s="20"/>
      <c r="AT174" s="25">
        <v>107</v>
      </c>
      <c r="AU174" s="97"/>
      <c r="AV174" s="1504">
        <v>39753</v>
      </c>
      <c r="AW174" s="19"/>
      <c r="AX174" s="93"/>
      <c r="AY174" s="93"/>
      <c r="AZ174" s="93"/>
      <c r="BA174" s="93"/>
      <c r="BB174" s="93"/>
      <c r="BC174" s="93"/>
      <c r="BD174" s="93"/>
      <c r="BE174" s="93"/>
      <c r="BF174" s="93"/>
      <c r="BG174" s="93"/>
      <c r="BH174" s="93"/>
      <c r="BI174" s="93"/>
      <c r="BJ174" s="20"/>
      <c r="BK174" s="25">
        <v>107</v>
      </c>
      <c r="BL174" s="97"/>
      <c r="BM174" s="1504">
        <v>39753</v>
      </c>
      <c r="BN174" s="19"/>
      <c r="BO174" s="93"/>
      <c r="BP174" s="93"/>
      <c r="BQ174" s="93"/>
      <c r="BR174" s="93"/>
      <c r="BS174" s="93"/>
      <c r="BT174" s="93"/>
      <c r="BU174" s="20"/>
      <c r="BV174" s="25">
        <v>107</v>
      </c>
      <c r="BW174" s="97"/>
      <c r="BX174" s="1504">
        <v>39753</v>
      </c>
      <c r="BY174" s="19"/>
      <c r="BZ174" s="99">
        <v>664.95699999999999</v>
      </c>
      <c r="CA174" s="93"/>
      <c r="CB174" s="93"/>
      <c r="CC174" s="93"/>
      <c r="CD174" s="25">
        <v>107</v>
      </c>
      <c r="CE174" s="97"/>
      <c r="CF174" s="1504">
        <v>39753</v>
      </c>
      <c r="CG174" s="19">
        <v>1.21143869</v>
      </c>
      <c r="CH174" s="1626">
        <v>760.86300000000006</v>
      </c>
      <c r="CI174" s="219"/>
      <c r="CJ174" s="20"/>
      <c r="CK174" s="19"/>
      <c r="CL174" s="93"/>
      <c r="CM174" s="93"/>
      <c r="CN174" s="93"/>
      <c r="CO174" s="93"/>
      <c r="CP174" s="20"/>
      <c r="CQ174" s="219">
        <v>1933.45</v>
      </c>
      <c r="CR174" s="93">
        <v>1.7275</v>
      </c>
      <c r="CS174" s="93"/>
      <c r="CT174" s="93"/>
      <c r="CU174" s="93"/>
      <c r="CV174" s="214"/>
      <c r="CW174" s="29">
        <v>107</v>
      </c>
      <c r="CX174" s="41">
        <f t="shared" si="192"/>
        <v>2008</v>
      </c>
      <c r="CY174" s="1504">
        <v>39753</v>
      </c>
      <c r="CZ174" s="1916">
        <v>55.261099000000002</v>
      </c>
      <c r="DA174" s="1526">
        <v>35.098056999999997</v>
      </c>
      <c r="DB174" s="1526">
        <v>20.163042000000001</v>
      </c>
      <c r="DC174" s="182">
        <f t="shared" si="199"/>
        <v>308942</v>
      </c>
      <c r="DD174" s="182">
        <f t="shared" si="200"/>
        <v>308032</v>
      </c>
      <c r="DE174" s="182">
        <f t="shared" si="201"/>
        <v>910</v>
      </c>
      <c r="DF174" s="29">
        <v>107</v>
      </c>
      <c r="DG174" s="1504">
        <v>39753</v>
      </c>
      <c r="DH174" s="19"/>
      <c r="DI174" s="93"/>
      <c r="DJ174" s="93"/>
      <c r="DK174" s="93"/>
      <c r="DL174" s="93"/>
      <c r="DM174" s="93"/>
      <c r="DN174" s="20"/>
      <c r="DO174" s="25"/>
      <c r="DP174" s="29">
        <v>107</v>
      </c>
      <c r="DQ174" s="1504">
        <v>39753</v>
      </c>
      <c r="DR174" s="19"/>
      <c r="DS174" s="93"/>
      <c r="DT174" s="93"/>
      <c r="DU174" s="93"/>
      <c r="DV174" s="93"/>
      <c r="DW174" s="93"/>
      <c r="DX174" s="20"/>
      <c r="DY174" s="29">
        <v>107</v>
      </c>
      <c r="DZ174" s="1504">
        <v>39753</v>
      </c>
      <c r="EA174" s="19"/>
      <c r="EB174" s="93"/>
      <c r="EC174" s="20"/>
      <c r="ED174" s="29">
        <v>107</v>
      </c>
      <c r="EE174" s="1504">
        <v>39753</v>
      </c>
      <c r="EF174" s="19"/>
      <c r="EG174" s="93"/>
      <c r="EH174" s="93"/>
      <c r="EI174" s="214"/>
      <c r="EJ174" s="93"/>
      <c r="EK174" s="93"/>
      <c r="EL174" s="93"/>
      <c r="EM174" s="93"/>
      <c r="EN174" s="20"/>
      <c r="EO174" s="29">
        <v>107</v>
      </c>
      <c r="EP174" s="1504">
        <v>39753</v>
      </c>
      <c r="EQ174" s="19"/>
      <c r="ER174" s="93"/>
      <c r="ES174" s="93"/>
      <c r="ET174" s="214"/>
      <c r="EU174" s="93"/>
      <c r="EV174" s="93"/>
      <c r="EW174" s="93"/>
      <c r="EX174" s="93"/>
      <c r="EY174" s="20"/>
      <c r="EZ174" s="29">
        <v>107</v>
      </c>
      <c r="FA174" s="1504">
        <v>39753</v>
      </c>
      <c r="FB174" s="29"/>
      <c r="FC174" s="29"/>
      <c r="FD174" s="29"/>
      <c r="FE174" s="29"/>
      <c r="FF174" s="29"/>
      <c r="FG174" s="29"/>
      <c r="FH174" s="29"/>
      <c r="FI174" s="29"/>
      <c r="FJ174" s="29"/>
      <c r="FK174" s="29">
        <v>107</v>
      </c>
      <c r="FL174" s="1504">
        <v>39753</v>
      </c>
      <c r="FM174" s="19"/>
      <c r="FN174" s="93"/>
      <c r="FO174" s="93"/>
      <c r="FP174" s="93"/>
      <c r="FQ174" s="93"/>
      <c r="FR174" s="93"/>
      <c r="FS174" s="93"/>
      <c r="FT174" s="93"/>
      <c r="FU174" s="93"/>
      <c r="FV174" s="93"/>
      <c r="FW174" s="93"/>
      <c r="FX174" s="93"/>
      <c r="FY174" s="93"/>
      <c r="FZ174" s="29">
        <v>107</v>
      </c>
      <c r="GA174" s="1504">
        <v>39753</v>
      </c>
      <c r="GB174" s="19"/>
      <c r="GC174" s="93"/>
      <c r="GD174" s="93"/>
      <c r="GE174" s="93"/>
      <c r="GF174" s="93"/>
      <c r="GG174" s="93"/>
      <c r="GH174" s="93"/>
      <c r="GI174" s="93"/>
      <c r="GJ174" s="93"/>
      <c r="GK174" s="93"/>
      <c r="GL174" s="93"/>
      <c r="GM174" s="93"/>
      <c r="GN174" s="20"/>
      <c r="GO174" s="29">
        <v>107</v>
      </c>
      <c r="GP174" s="1504">
        <v>39753</v>
      </c>
      <c r="GQ174" s="19"/>
      <c r="GR174" s="93"/>
      <c r="GS174" s="93"/>
      <c r="GT174" s="93"/>
      <c r="GU174" s="93"/>
      <c r="GV174" s="20"/>
      <c r="GW174" s="19"/>
      <c r="GX174" s="93"/>
      <c r="GY174" s="93"/>
      <c r="GZ174" s="93"/>
      <c r="HA174" s="93"/>
      <c r="HB174" s="20"/>
      <c r="HC174" s="19"/>
      <c r="HD174" s="93"/>
      <c r="HE174" s="93"/>
      <c r="HF174" s="93"/>
      <c r="HG174" s="93"/>
      <c r="HH174" s="20"/>
      <c r="HI174" s="19"/>
      <c r="HJ174" s="93"/>
      <c r="HK174" s="93"/>
      <c r="HL174" s="93"/>
      <c r="HM174" s="93"/>
      <c r="HN174" s="20"/>
      <c r="HO174" s="219"/>
      <c r="HP174" s="20"/>
      <c r="HQ174" s="25"/>
      <c r="HR174" s="29">
        <v>107</v>
      </c>
      <c r="HS174" s="1504">
        <v>39753</v>
      </c>
      <c r="HT174" s="179">
        <v>193.2315689086914</v>
      </c>
      <c r="HU174" s="99">
        <v>185.87707901000977</v>
      </c>
      <c r="HV174" s="99">
        <v>206.89654541015625</v>
      </c>
      <c r="HW174" s="99">
        <v>84.951461791992188</v>
      </c>
      <c r="HX174" s="99">
        <v>171.29629898071289</v>
      </c>
      <c r="HY174" s="99">
        <v>178.03620605468751</v>
      </c>
      <c r="HZ174" s="99">
        <v>185.31961669921876</v>
      </c>
      <c r="IA174" s="132">
        <v>199.75490570068359</v>
      </c>
      <c r="IB174" s="179"/>
      <c r="IC174" s="99">
        <v>116.40211486816406</v>
      </c>
      <c r="ID174" s="99">
        <v>133.92857106526694</v>
      </c>
      <c r="IE174" s="99">
        <v>95</v>
      </c>
      <c r="IF174" s="99">
        <v>164.55695724487305</v>
      </c>
      <c r="IG174" s="132">
        <v>117.38578414916992</v>
      </c>
      <c r="IH174" s="179">
        <v>85.779156875610354</v>
      </c>
      <c r="II174" s="99">
        <v>166.76043701171875</v>
      </c>
      <c r="IJ174" s="99">
        <v>118.33333129882813</v>
      </c>
      <c r="IK174" s="99">
        <v>106.70731925964355</v>
      </c>
      <c r="IL174" s="99">
        <v>97.073171997070318</v>
      </c>
      <c r="IM174" s="99">
        <v>118.54839134216309</v>
      </c>
      <c r="IN174" s="93"/>
      <c r="IO174" s="132">
        <v>126.65877151489258</v>
      </c>
      <c r="IP174" s="29">
        <v>107</v>
      </c>
      <c r="IQ174" s="19"/>
      <c r="IR174" s="93"/>
      <c r="IS174" s="93"/>
      <c r="IT174" s="93"/>
      <c r="IU174" s="93"/>
      <c r="IV174" s="20"/>
      <c r="IW174" s="29">
        <v>107</v>
      </c>
      <c r="IX174" s="19"/>
      <c r="IY174" s="93"/>
      <c r="IZ174" s="93"/>
      <c r="JA174" s="93"/>
      <c r="JB174" s="93"/>
      <c r="JC174" s="93"/>
      <c r="JD174" s="93"/>
      <c r="JE174" s="20"/>
      <c r="JF174" s="29">
        <v>107</v>
      </c>
      <c r="JG174" s="19"/>
      <c r="JH174" s="93"/>
      <c r="JI174" s="93"/>
      <c r="JJ174" s="93"/>
      <c r="JK174" s="93"/>
      <c r="JL174" s="93"/>
      <c r="JM174" s="93"/>
      <c r="JN174" s="20"/>
      <c r="JO174" s="29">
        <v>107</v>
      </c>
      <c r="JP174" s="19"/>
      <c r="JQ174" s="93"/>
      <c r="JR174" s="93"/>
      <c r="JS174" s="93"/>
      <c r="JT174" s="93"/>
      <c r="JU174" s="20"/>
      <c r="JV174" s="29">
        <v>107</v>
      </c>
      <c r="JW174" s="1504">
        <v>39753</v>
      </c>
      <c r="JX174" s="19"/>
      <c r="JY174" s="93"/>
      <c r="JZ174" s="93"/>
      <c r="KA174" s="93"/>
      <c r="KB174" s="93"/>
      <c r="KC174" s="93"/>
      <c r="KD174" s="20"/>
      <c r="KE174" s="29">
        <v>107</v>
      </c>
      <c r="KF174" s="19"/>
      <c r="KG174" s="93"/>
      <c r="KH174" s="93"/>
      <c r="KI174" s="93"/>
      <c r="KJ174" s="93"/>
      <c r="KK174" s="20"/>
      <c r="KL174" s="29">
        <v>107</v>
      </c>
      <c r="KM174" s="19"/>
      <c r="KN174" s="93"/>
      <c r="KO174" s="93"/>
      <c r="KP174" s="93"/>
      <c r="KQ174" s="93"/>
      <c r="KR174" s="20"/>
      <c r="KS174" s="29">
        <v>107</v>
      </c>
      <c r="KT174" s="19"/>
      <c r="KU174" s="93"/>
      <c r="KV174" s="93"/>
      <c r="KW174" s="93"/>
      <c r="KX174" s="93"/>
      <c r="KY174" s="20"/>
      <c r="KZ174" s="29">
        <v>107</v>
      </c>
      <c r="LA174" s="1504">
        <v>39753</v>
      </c>
      <c r="LB174" s="19"/>
      <c r="LC174" s="93"/>
      <c r="LD174" s="93"/>
      <c r="LE174" s="93"/>
      <c r="LF174" s="93"/>
      <c r="LG174" s="93"/>
      <c r="LH174" s="20"/>
      <c r="LI174" s="29">
        <v>107</v>
      </c>
      <c r="LJ174" s="19"/>
      <c r="LK174" s="93"/>
      <c r="LL174" s="93"/>
      <c r="LM174" s="93"/>
      <c r="LN174" s="93"/>
      <c r="LO174" s="20"/>
      <c r="LP174" s="29">
        <v>107</v>
      </c>
      <c r="LQ174" s="19"/>
      <c r="LR174" s="93"/>
      <c r="LS174" s="93"/>
      <c r="LT174" s="93"/>
      <c r="LU174" s="93"/>
      <c r="LV174" s="93"/>
      <c r="LW174" s="93"/>
      <c r="LX174" s="93"/>
      <c r="LY174" s="93"/>
      <c r="LZ174" s="93"/>
      <c r="MA174" s="20"/>
      <c r="MB174" s="29">
        <v>107</v>
      </c>
      <c r="MC174" s="1504">
        <v>39753</v>
      </c>
      <c r="MD174" s="19"/>
      <c r="ME174" s="93"/>
      <c r="MF174" s="93"/>
      <c r="MG174" s="93"/>
      <c r="MH174" s="93"/>
      <c r="MI174" s="93"/>
      <c r="MJ174" s="93"/>
      <c r="MK174" s="93"/>
      <c r="ML174" s="93"/>
      <c r="MM174" s="93"/>
      <c r="MN174" s="93"/>
      <c r="MO174" s="93"/>
      <c r="MP174" s="93"/>
      <c r="MQ174" s="93"/>
      <c r="MR174" s="93"/>
      <c r="MS174" s="93"/>
      <c r="MT174" s="93"/>
      <c r="MU174" s="93"/>
      <c r="MV174" s="93"/>
      <c r="MW174" s="93"/>
      <c r="MX174" s="93"/>
      <c r="MY174" s="93"/>
      <c r="MZ174" s="93"/>
      <c r="NA174" s="93"/>
      <c r="NB174" s="93"/>
      <c r="NC174" s="93"/>
      <c r="ND174" s="93"/>
      <c r="NE174" s="93"/>
      <c r="NF174" s="93"/>
      <c r="NG174" s="93"/>
      <c r="NH174" s="93"/>
      <c r="NI174" s="93"/>
      <c r="NJ174" s="93"/>
      <c r="NK174" s="93"/>
      <c r="NL174" s="93"/>
      <c r="NM174" s="93"/>
      <c r="NN174" s="93"/>
      <c r="NO174" s="93"/>
      <c r="NP174" s="93"/>
      <c r="NQ174" s="93"/>
      <c r="NR174" s="93"/>
      <c r="NS174" s="93"/>
      <c r="NT174" s="93"/>
      <c r="NU174" s="93"/>
      <c r="NV174" s="93"/>
      <c r="NW174" s="93"/>
      <c r="NX174" s="93"/>
      <c r="NY174" s="93"/>
      <c r="NZ174" s="93"/>
      <c r="OA174" s="93"/>
      <c r="OB174" s="93"/>
      <c r="OC174" s="93"/>
      <c r="OD174" s="20"/>
      <c r="OE174" s="29">
        <v>107</v>
      </c>
      <c r="OF174" s="1504">
        <v>39753</v>
      </c>
      <c r="OG174" s="19"/>
      <c r="OH174" s="93">
        <v>203.91069999999999</v>
      </c>
      <c r="OI174" s="93">
        <v>321.26036133214222</v>
      </c>
      <c r="OJ174" s="93">
        <v>0.35076638500000001</v>
      </c>
      <c r="OK174" s="93">
        <v>262.97999494714225</v>
      </c>
      <c r="OL174" s="93">
        <v>57.929600000000001</v>
      </c>
      <c r="OM174" s="93">
        <v>525.17106133214224</v>
      </c>
      <c r="ON174" s="93">
        <v>332.5813404253866</v>
      </c>
      <c r="OO174" s="93">
        <v>857.75240175752879</v>
      </c>
      <c r="OP174" s="93"/>
      <c r="OQ174" s="93">
        <v>358.24230309665234</v>
      </c>
      <c r="OR174" s="93">
        <v>262.42626771300002</v>
      </c>
      <c r="OS174" s="93">
        <v>95.816035383652348</v>
      </c>
      <c r="OT174" s="93">
        <v>633.52343134687658</v>
      </c>
      <c r="OU174" s="93">
        <v>-89.308629218000007</v>
      </c>
      <c r="OV174" s="93">
        <v>-17.822629218000003</v>
      </c>
      <c r="OW174" s="93">
        <v>-71.486000000000004</v>
      </c>
      <c r="OX174" s="93">
        <v>722.83206056487654</v>
      </c>
      <c r="OY174" s="93">
        <v>2.4247605759999997</v>
      </c>
      <c r="OZ174" s="93">
        <v>720.4072999888765</v>
      </c>
      <c r="PA174" s="93">
        <v>138.710726591</v>
      </c>
      <c r="PB174" s="93">
        <v>-4.6973939049999984</v>
      </c>
      <c r="PC174" s="20">
        <v>857.7524017575289</v>
      </c>
      <c r="PD174" s="29">
        <v>107</v>
      </c>
      <c r="PE174" s="19"/>
      <c r="PF174" s="93">
        <v>262.42626771300002</v>
      </c>
      <c r="PG174" s="93">
        <v>380.14931508300003</v>
      </c>
      <c r="PH174" s="93">
        <v>117.72304736999999</v>
      </c>
      <c r="PI174" s="93">
        <v>39.872921267000002</v>
      </c>
      <c r="PJ174" s="93">
        <v>-17.822629218000003</v>
      </c>
      <c r="PK174" s="93">
        <v>39.592657408000001</v>
      </c>
      <c r="PL174" s="93">
        <v>57.415286626000004</v>
      </c>
      <c r="PM174" s="93">
        <v>2.4247605759999997</v>
      </c>
      <c r="PN174" s="93">
        <v>0</v>
      </c>
      <c r="PO174" s="93">
        <v>0</v>
      </c>
      <c r="PP174" s="93">
        <v>4.3585899999999998E-4</v>
      </c>
      <c r="PQ174" s="93">
        <v>2.4243247169999997</v>
      </c>
      <c r="PR174" s="93">
        <v>291.99992637299999</v>
      </c>
      <c r="PS174" s="93">
        <v>225.3467</v>
      </c>
      <c r="PT174" s="93">
        <v>66.302459987999995</v>
      </c>
      <c r="PU174" s="93">
        <v>0.35076638500000001</v>
      </c>
      <c r="PV174" s="93">
        <v>0</v>
      </c>
      <c r="PW174" s="93">
        <v>0.18126750699999999</v>
      </c>
      <c r="PX174" s="93">
        <v>0</v>
      </c>
      <c r="PY174" s="93">
        <v>0</v>
      </c>
      <c r="PZ174" s="93">
        <v>0.18126750699999999</v>
      </c>
      <c r="QA174" s="93">
        <v>0</v>
      </c>
      <c r="QB174" s="93">
        <v>0</v>
      </c>
      <c r="QC174" s="93">
        <v>0</v>
      </c>
      <c r="QD174" s="93">
        <v>-5.2165409160000005</v>
      </c>
      <c r="QE174" s="20">
        <v>-6.3332626000007053E-2</v>
      </c>
      <c r="QF174" s="1739">
        <v>107</v>
      </c>
      <c r="QG174" s="19"/>
      <c r="QH174" s="1035">
        <v>95.816035383652348</v>
      </c>
      <c r="QI174" s="1035">
        <v>207.25870001112347</v>
      </c>
      <c r="QJ174" s="1035">
        <v>-111.44266462747112</v>
      </c>
      <c r="QK174" s="1035">
        <v>74.311999999999998</v>
      </c>
      <c r="QL174" s="1035">
        <v>21.436</v>
      </c>
      <c r="QM174" s="1035">
        <v>52.875999999999998</v>
      </c>
      <c r="QN174" s="1035">
        <v>0</v>
      </c>
      <c r="QO174" s="1035">
        <v>-71.486000000000004</v>
      </c>
      <c r="QP174" s="1035">
        <v>52.811999999999998</v>
      </c>
      <c r="QQ174" s="1035">
        <v>-124.298</v>
      </c>
      <c r="QR174" s="1035">
        <v>720.4072999888765</v>
      </c>
      <c r="QS174" s="1035">
        <v>10.220428354485701</v>
      </c>
      <c r="QT174" s="1035">
        <v>0</v>
      </c>
      <c r="QU174" s="1035">
        <v>69.77600000000001</v>
      </c>
      <c r="QV174" s="1035">
        <v>640.41087163439079</v>
      </c>
      <c r="QW174" s="93"/>
      <c r="QX174" s="93">
        <v>34.993000000000002</v>
      </c>
      <c r="QY174" s="93">
        <v>262.97999494714225</v>
      </c>
      <c r="QZ174" s="93">
        <v>332.58134042538654</v>
      </c>
      <c r="RA174" s="93">
        <v>0</v>
      </c>
      <c r="RB174" s="93">
        <v>21.763999999999999</v>
      </c>
      <c r="RC174" s="93">
        <v>1.347</v>
      </c>
      <c r="RD174" s="93">
        <v>13.605</v>
      </c>
      <c r="RE174" s="93">
        <v>0</v>
      </c>
      <c r="RF174" s="93">
        <v>0</v>
      </c>
      <c r="RG174" s="93">
        <v>107.03</v>
      </c>
      <c r="RH174" s="93">
        <v>44.749000000000009</v>
      </c>
      <c r="RI174" s="93"/>
      <c r="RJ174" s="93"/>
      <c r="RK174" s="93"/>
      <c r="RL174" s="93"/>
      <c r="RM174" s="20"/>
      <c r="RN174" s="29">
        <v>107</v>
      </c>
      <c r="RO174" s="19"/>
      <c r="RP174" s="20"/>
      <c r="RQ174" s="29">
        <v>107</v>
      </c>
      <c r="RR174" s="20"/>
      <c r="RS174" s="29">
        <v>107</v>
      </c>
      <c r="RT174" s="1504">
        <v>39753</v>
      </c>
      <c r="RU174" s="19"/>
      <c r="RV174" s="20"/>
      <c r="RW174" s="29">
        <v>107</v>
      </c>
      <c r="RX174" s="1504">
        <v>39753</v>
      </c>
      <c r="RY174" s="29"/>
      <c r="RZ174" s="20"/>
      <c r="SA174" s="29"/>
      <c r="SB174" s="29">
        <v>107</v>
      </c>
    </row>
    <row r="175" spans="1:496">
      <c r="A175" s="41">
        <f t="shared" si="191"/>
        <v>2008</v>
      </c>
      <c r="B175" s="1504">
        <v>39783</v>
      </c>
      <c r="C175" s="1813"/>
      <c r="D175" s="1814"/>
      <c r="E175" s="1814"/>
      <c r="F175" s="1815"/>
      <c r="G175" s="1814"/>
      <c r="H175" s="1814"/>
      <c r="I175" s="1814"/>
      <c r="J175" s="1816"/>
      <c r="K175" s="1807"/>
      <c r="L175" s="25">
        <v>108</v>
      </c>
      <c r="M175" s="97"/>
      <c r="N175" s="1504">
        <v>39783</v>
      </c>
      <c r="O175" s="19"/>
      <c r="P175" s="93"/>
      <c r="Q175" s="93"/>
      <c r="R175" s="93"/>
      <c r="S175" s="93"/>
      <c r="T175" s="93"/>
      <c r="U175" s="93"/>
      <c r="V175" s="93"/>
      <c r="W175" s="93"/>
      <c r="X175" s="93"/>
      <c r="Y175" s="93"/>
      <c r="Z175" s="93"/>
      <c r="AA175" s="93"/>
      <c r="AB175" s="20"/>
      <c r="AC175" s="25">
        <v>108</v>
      </c>
      <c r="AD175" s="97"/>
      <c r="AE175" s="1504">
        <v>39783</v>
      </c>
      <c r="AF175" s="19"/>
      <c r="AG175" s="93"/>
      <c r="AH175" s="93"/>
      <c r="AI175" s="93"/>
      <c r="AJ175" s="93"/>
      <c r="AK175" s="93"/>
      <c r="AL175" s="93"/>
      <c r="AM175" s="93"/>
      <c r="AN175" s="93"/>
      <c r="AO175" s="93"/>
      <c r="AP175" s="93"/>
      <c r="AQ175" s="93"/>
      <c r="AR175" s="93"/>
      <c r="AS175" s="20"/>
      <c r="AT175" s="25">
        <v>108</v>
      </c>
      <c r="AU175" s="97"/>
      <c r="AV175" s="1504">
        <v>39783</v>
      </c>
      <c r="AW175" s="19"/>
      <c r="AX175" s="93"/>
      <c r="AY175" s="93"/>
      <c r="AZ175" s="93"/>
      <c r="BA175" s="93"/>
      <c r="BB175" s="93"/>
      <c r="BC175" s="93"/>
      <c r="BD175" s="93"/>
      <c r="BE175" s="93"/>
      <c r="BF175" s="93"/>
      <c r="BG175" s="93"/>
      <c r="BH175" s="93"/>
      <c r="BI175" s="93"/>
      <c r="BJ175" s="20"/>
      <c r="BK175" s="25">
        <v>108</v>
      </c>
      <c r="BL175" s="97"/>
      <c r="BM175" s="1504">
        <v>39783</v>
      </c>
      <c r="BN175" s="19"/>
      <c r="BO175" s="93"/>
      <c r="BP175" s="93"/>
      <c r="BQ175" s="93"/>
      <c r="BR175" s="93"/>
      <c r="BS175" s="93"/>
      <c r="BT175" s="93"/>
      <c r="BU175" s="20"/>
      <c r="BV175" s="25">
        <v>108</v>
      </c>
      <c r="BW175" s="97"/>
      <c r="BX175" s="1504">
        <v>39783</v>
      </c>
      <c r="BY175" s="19"/>
      <c r="BZ175" s="99">
        <v>664.95699999999999</v>
      </c>
      <c r="CA175" s="93"/>
      <c r="CB175" s="93"/>
      <c r="CC175" s="93"/>
      <c r="CD175" s="25">
        <v>108</v>
      </c>
      <c r="CE175" s="97"/>
      <c r="CF175" s="1504">
        <v>39783</v>
      </c>
      <c r="CG175" s="19">
        <v>1.2224617900000001</v>
      </c>
      <c r="CH175" s="1626">
        <v>816.09199999999998</v>
      </c>
      <c r="CI175" s="219"/>
      <c r="CJ175" s="20"/>
      <c r="CK175" s="19"/>
      <c r="CL175" s="93"/>
      <c r="CM175" s="93"/>
      <c r="CN175" s="93"/>
      <c r="CO175" s="93"/>
      <c r="CP175" s="20"/>
      <c r="CQ175" s="219">
        <v>1761.69</v>
      </c>
      <c r="CR175" s="93">
        <v>1.7725</v>
      </c>
      <c r="CS175" s="93"/>
      <c r="CT175" s="93"/>
      <c r="CU175" s="93"/>
      <c r="CV175" s="214"/>
      <c r="CW175" s="29">
        <v>108</v>
      </c>
      <c r="CX175" s="41">
        <f t="shared" si="192"/>
        <v>2008</v>
      </c>
      <c r="CY175" s="1504">
        <v>39783</v>
      </c>
      <c r="CZ175" s="1916">
        <v>50.625129000000001</v>
      </c>
      <c r="DA175" s="1526">
        <v>32.288102000000002</v>
      </c>
      <c r="DB175" s="1526">
        <v>18.337026999999999</v>
      </c>
      <c r="DC175" s="182">
        <v>308942</v>
      </c>
      <c r="DD175" s="182">
        <v>308032</v>
      </c>
      <c r="DE175" s="290">
        <v>910</v>
      </c>
      <c r="DF175" s="29">
        <v>108</v>
      </c>
      <c r="DG175" s="1504">
        <v>39783</v>
      </c>
      <c r="DH175" s="19"/>
      <c r="DI175" s="93"/>
      <c r="DJ175" s="93"/>
      <c r="DK175" s="93"/>
      <c r="DL175" s="93"/>
      <c r="DM175" s="93"/>
      <c r="DN175" s="20"/>
      <c r="DO175" s="25"/>
      <c r="DP175" s="29">
        <v>108</v>
      </c>
      <c r="DQ175" s="1504">
        <v>39783</v>
      </c>
      <c r="DR175" s="19"/>
      <c r="DS175" s="93"/>
      <c r="DT175" s="93"/>
      <c r="DU175" s="93"/>
      <c r="DV175" s="93"/>
      <c r="DW175" s="93"/>
      <c r="DX175" s="20"/>
      <c r="DY175" s="29">
        <v>108</v>
      </c>
      <c r="DZ175" s="1504">
        <v>39783</v>
      </c>
      <c r="EA175" s="19"/>
      <c r="EB175" s="93"/>
      <c r="EC175" s="20"/>
      <c r="ED175" s="29">
        <v>108</v>
      </c>
      <c r="EE175" s="1504">
        <v>39783</v>
      </c>
      <c r="EF175" s="19"/>
      <c r="EG175" s="93"/>
      <c r="EH175" s="93"/>
      <c r="EI175" s="214"/>
      <c r="EJ175" s="93"/>
      <c r="EK175" s="93"/>
      <c r="EL175" s="93"/>
      <c r="EM175" s="93"/>
      <c r="EN175" s="20"/>
      <c r="EO175" s="29">
        <v>108</v>
      </c>
      <c r="EP175" s="1504">
        <v>39783</v>
      </c>
      <c r="EQ175" s="19"/>
      <c r="ER175" s="93"/>
      <c r="ES175" s="93"/>
      <c r="ET175" s="214"/>
      <c r="EU175" s="93"/>
      <c r="EV175" s="93"/>
      <c r="EW175" s="93"/>
      <c r="EX175" s="93"/>
      <c r="EY175" s="20"/>
      <c r="EZ175" s="29">
        <v>108</v>
      </c>
      <c r="FA175" s="1504">
        <v>39783</v>
      </c>
      <c r="FB175" s="29"/>
      <c r="FC175" s="29"/>
      <c r="FD175" s="29"/>
      <c r="FE175" s="29"/>
      <c r="FF175" s="29"/>
      <c r="FG175" s="29"/>
      <c r="FH175" s="29"/>
      <c r="FI175" s="29"/>
      <c r="FJ175" s="29"/>
      <c r="FK175" s="29">
        <v>108</v>
      </c>
      <c r="FL175" s="1504">
        <v>39783</v>
      </c>
      <c r="FM175" s="19"/>
      <c r="FN175" s="93"/>
      <c r="FO175" s="93"/>
      <c r="FP175" s="93"/>
      <c r="FQ175" s="93"/>
      <c r="FR175" s="93"/>
      <c r="FS175" s="93"/>
      <c r="FT175" s="93"/>
      <c r="FU175" s="93"/>
      <c r="FV175" s="93"/>
      <c r="FW175" s="93"/>
      <c r="FX175" s="93"/>
      <c r="FY175" s="93"/>
      <c r="FZ175" s="29">
        <v>108</v>
      </c>
      <c r="GA175" s="1504">
        <v>39783</v>
      </c>
      <c r="GB175" s="19"/>
      <c r="GC175" s="93"/>
      <c r="GD175" s="93"/>
      <c r="GE175" s="93"/>
      <c r="GF175" s="93"/>
      <c r="GG175" s="93"/>
      <c r="GH175" s="93"/>
      <c r="GI175" s="93"/>
      <c r="GJ175" s="93"/>
      <c r="GK175" s="93"/>
      <c r="GL175" s="93"/>
      <c r="GM175" s="93"/>
      <c r="GN175" s="20"/>
      <c r="GO175" s="29">
        <v>108</v>
      </c>
      <c r="GP175" s="1504">
        <v>39783</v>
      </c>
      <c r="GQ175" s="19"/>
      <c r="GR175" s="93"/>
      <c r="GS175" s="93"/>
      <c r="GT175" s="93"/>
      <c r="GU175" s="93"/>
      <c r="GV175" s="20"/>
      <c r="GW175" s="19"/>
      <c r="GX175" s="93"/>
      <c r="GY175" s="93"/>
      <c r="GZ175" s="93"/>
      <c r="HA175" s="93"/>
      <c r="HB175" s="20"/>
      <c r="HC175" s="19"/>
      <c r="HD175" s="93"/>
      <c r="HE175" s="93"/>
      <c r="HF175" s="93"/>
      <c r="HG175" s="93"/>
      <c r="HH175" s="20"/>
      <c r="HI175" s="19"/>
      <c r="HJ175" s="93"/>
      <c r="HK175" s="93"/>
      <c r="HL175" s="93"/>
      <c r="HM175" s="93"/>
      <c r="HN175" s="20"/>
      <c r="HO175" s="219"/>
      <c r="HP175" s="20"/>
      <c r="HQ175" s="25"/>
      <c r="HR175" s="29">
        <v>108</v>
      </c>
      <c r="HS175" s="1504">
        <v>39783</v>
      </c>
      <c r="HT175" s="179">
        <v>152.660769144694</v>
      </c>
      <c r="HU175" s="99">
        <v>191.14291572570801</v>
      </c>
      <c r="HV175" s="99">
        <v>134.86589558919272</v>
      </c>
      <c r="HW175" s="99">
        <v>109.22330474853516</v>
      </c>
      <c r="HX175" s="99">
        <v>112.77356910705566</v>
      </c>
      <c r="HY175" s="99">
        <v>138.04200744628906</v>
      </c>
      <c r="HZ175" s="99">
        <v>187.18785095214844</v>
      </c>
      <c r="IA175" s="132">
        <v>128.7128734588623</v>
      </c>
      <c r="IB175" s="179">
        <v>216.25</v>
      </c>
      <c r="IC175" s="99">
        <v>88.507829666137695</v>
      </c>
      <c r="ID175" s="99">
        <v>115.07081031799316</v>
      </c>
      <c r="IE175" s="99">
        <v>95.469256083170578</v>
      </c>
      <c r="IF175" s="99">
        <v>136.25</v>
      </c>
      <c r="IG175" s="132">
        <v>94.543148040771484</v>
      </c>
      <c r="IH175" s="179">
        <v>105.49242273966472</v>
      </c>
      <c r="II175" s="99">
        <v>160.04000473022461</v>
      </c>
      <c r="IJ175" s="99">
        <v>125</v>
      </c>
      <c r="IK175" s="99">
        <v>112.94755744934082</v>
      </c>
      <c r="IL175" s="99">
        <v>109.60090255737305</v>
      </c>
      <c r="IM175" s="99">
        <v>125.40849685668945</v>
      </c>
      <c r="IN175" s="93"/>
      <c r="IO175" s="132">
        <v>117.67889022827148</v>
      </c>
      <c r="IP175" s="29">
        <v>108</v>
      </c>
      <c r="IQ175" s="19"/>
      <c r="IR175" s="93"/>
      <c r="IS175" s="93"/>
      <c r="IT175" s="93"/>
      <c r="IU175" s="93"/>
      <c r="IV175" s="20"/>
      <c r="IW175" s="29">
        <v>108</v>
      </c>
      <c r="IX175" s="19"/>
      <c r="IY175" s="93"/>
      <c r="IZ175" s="93"/>
      <c r="JA175" s="93"/>
      <c r="JB175" s="93"/>
      <c r="JC175" s="93"/>
      <c r="JD175" s="93"/>
      <c r="JE175" s="20"/>
      <c r="JF175" s="29">
        <v>108</v>
      </c>
      <c r="JG175" s="19"/>
      <c r="JH175" s="93"/>
      <c r="JI175" s="93"/>
      <c r="JJ175" s="93"/>
      <c r="JK175" s="93"/>
      <c r="JL175" s="93"/>
      <c r="JM175" s="93"/>
      <c r="JN175" s="20"/>
      <c r="JO175" s="29">
        <v>108</v>
      </c>
      <c r="JP175" s="19"/>
      <c r="JQ175" s="93"/>
      <c r="JR175" s="93"/>
      <c r="JS175" s="93"/>
      <c r="JT175" s="93"/>
      <c r="JU175" s="20"/>
      <c r="JV175" s="29">
        <v>108</v>
      </c>
      <c r="JW175" s="1504">
        <v>39783</v>
      </c>
      <c r="JX175" s="19"/>
      <c r="JY175" s="93"/>
      <c r="JZ175" s="93"/>
      <c r="KA175" s="93"/>
      <c r="KB175" s="93"/>
      <c r="KC175" s="93"/>
      <c r="KD175" s="20"/>
      <c r="KE175" s="29">
        <v>108</v>
      </c>
      <c r="KF175" s="19"/>
      <c r="KG175" s="93"/>
      <c r="KH175" s="93"/>
      <c r="KI175" s="93"/>
      <c r="KJ175" s="93"/>
      <c r="KK175" s="20"/>
      <c r="KL175" s="29">
        <v>108</v>
      </c>
      <c r="KM175" s="19"/>
      <c r="KN175" s="93"/>
      <c r="KO175" s="93"/>
      <c r="KP175" s="93"/>
      <c r="KQ175" s="93"/>
      <c r="KR175" s="20"/>
      <c r="KS175" s="29">
        <v>108</v>
      </c>
      <c r="KT175" s="19"/>
      <c r="KU175" s="93"/>
      <c r="KV175" s="93"/>
      <c r="KW175" s="93"/>
      <c r="KX175" s="93"/>
      <c r="KY175" s="20"/>
      <c r="KZ175" s="29">
        <v>108</v>
      </c>
      <c r="LA175" s="1504">
        <v>39783</v>
      </c>
      <c r="LB175" s="19"/>
      <c r="LC175" s="93"/>
      <c r="LD175" s="93"/>
      <c r="LE175" s="93"/>
      <c r="LF175" s="93"/>
      <c r="LG175" s="93"/>
      <c r="LH175" s="20"/>
      <c r="LI175" s="29">
        <v>108</v>
      </c>
      <c r="LJ175" s="19"/>
      <c r="LK175" s="93"/>
      <c r="LL175" s="93"/>
      <c r="LM175" s="93"/>
      <c r="LN175" s="93"/>
      <c r="LO175" s="20"/>
      <c r="LP175" s="29">
        <v>108</v>
      </c>
      <c r="LQ175" s="19"/>
      <c r="LR175" s="93"/>
      <c r="LS175" s="93"/>
      <c r="LT175" s="93"/>
      <c r="LU175" s="93"/>
      <c r="LV175" s="93"/>
      <c r="LW175" s="93"/>
      <c r="LX175" s="93"/>
      <c r="LY175" s="93"/>
      <c r="LZ175" s="93"/>
      <c r="MA175" s="20"/>
      <c r="MB175" s="29">
        <v>108</v>
      </c>
      <c r="MC175" s="1504">
        <v>39783</v>
      </c>
      <c r="MD175" s="19"/>
      <c r="ME175" s="93"/>
      <c r="MF175" s="93"/>
      <c r="MG175" s="93"/>
      <c r="MH175" s="93"/>
      <c r="MI175" s="93"/>
      <c r="MJ175" s="93"/>
      <c r="MK175" s="93"/>
      <c r="ML175" s="93"/>
      <c r="MM175" s="93"/>
      <c r="MN175" s="93"/>
      <c r="MO175" s="93"/>
      <c r="MP175" s="93"/>
      <c r="MQ175" s="93"/>
      <c r="MR175" s="93"/>
      <c r="MS175" s="93"/>
      <c r="MT175" s="93"/>
      <c r="MU175" s="93"/>
      <c r="MV175" s="93"/>
      <c r="MW175" s="93"/>
      <c r="MX175" s="93"/>
      <c r="MY175" s="93"/>
      <c r="MZ175" s="93"/>
      <c r="NA175" s="93"/>
      <c r="NB175" s="93"/>
      <c r="NC175" s="93"/>
      <c r="ND175" s="93"/>
      <c r="NE175" s="93"/>
      <c r="NF175" s="93"/>
      <c r="NG175" s="93"/>
      <c r="NH175" s="93"/>
      <c r="NI175" s="93"/>
      <c r="NJ175" s="93"/>
      <c r="NK175" s="93"/>
      <c r="NL175" s="93"/>
      <c r="NM175" s="93"/>
      <c r="NN175" s="93"/>
      <c r="NO175" s="93"/>
      <c r="NP175" s="93"/>
      <c r="NQ175" s="93"/>
      <c r="NR175" s="93"/>
      <c r="NS175" s="93"/>
      <c r="NT175" s="93"/>
      <c r="NU175" s="93"/>
      <c r="NV175" s="93"/>
      <c r="NW175" s="93"/>
      <c r="NX175" s="93"/>
      <c r="NY175" s="93"/>
      <c r="NZ175" s="93"/>
      <c r="OA175" s="93"/>
      <c r="OB175" s="93"/>
      <c r="OC175" s="93"/>
      <c r="OD175" s="20"/>
      <c r="OE175" s="29">
        <v>108</v>
      </c>
      <c r="OF175" s="1504">
        <v>39783</v>
      </c>
      <c r="OG175" s="19"/>
      <c r="OH175" s="93">
        <v>215.62430000000001</v>
      </c>
      <c r="OI175" s="93">
        <v>338.18382644672158</v>
      </c>
      <c r="OJ175" s="93">
        <v>0.39757178700000001</v>
      </c>
      <c r="OK175" s="93">
        <v>280.87205465972158</v>
      </c>
      <c r="OL175" s="93">
        <v>56.914199999999994</v>
      </c>
      <c r="OM175" s="93">
        <v>553.80812644672164</v>
      </c>
      <c r="ON175" s="93">
        <v>326.46710933698722</v>
      </c>
      <c r="OO175" s="93">
        <v>880.27523578370892</v>
      </c>
      <c r="OP175" s="93"/>
      <c r="OQ175" s="93">
        <v>398.38978220044947</v>
      </c>
      <c r="OR175" s="93">
        <v>307.86884327500002</v>
      </c>
      <c r="OS175" s="93">
        <v>90.520938925449386</v>
      </c>
      <c r="OT175" s="93">
        <v>620.64001975225938</v>
      </c>
      <c r="OU175" s="93">
        <v>-108.41408542099998</v>
      </c>
      <c r="OV175" s="93">
        <v>-22.202085420999992</v>
      </c>
      <c r="OW175" s="93">
        <v>-86.211999999999989</v>
      </c>
      <c r="OX175" s="93">
        <v>729.05410517325936</v>
      </c>
      <c r="OY175" s="93">
        <v>2.2938801019999997</v>
      </c>
      <c r="OZ175" s="93">
        <v>726.76022507125936</v>
      </c>
      <c r="PA175" s="93">
        <v>143.42713140599955</v>
      </c>
      <c r="PB175" s="93">
        <v>-4.6725652369999864</v>
      </c>
      <c r="PC175" s="20">
        <v>880.27523578370926</v>
      </c>
      <c r="PD175" s="29">
        <v>108</v>
      </c>
      <c r="PE175" s="19"/>
      <c r="PF175" s="93">
        <v>307.86884327500002</v>
      </c>
      <c r="PG175" s="93">
        <v>431.69087636300003</v>
      </c>
      <c r="PH175" s="93">
        <v>123.82203308799998</v>
      </c>
      <c r="PI175" s="93">
        <v>45.591155985999997</v>
      </c>
      <c r="PJ175" s="93">
        <v>-22.202085420999992</v>
      </c>
      <c r="PK175" s="93">
        <v>42.408044637000003</v>
      </c>
      <c r="PL175" s="93">
        <v>64.610130057999996</v>
      </c>
      <c r="PM175" s="93">
        <v>2.2938801019999997</v>
      </c>
      <c r="PN175" s="93">
        <v>0</v>
      </c>
      <c r="PO175" s="93">
        <v>0</v>
      </c>
      <c r="PP175" s="93">
        <v>7.7218800000000004E-4</v>
      </c>
      <c r="PQ175" s="93">
        <v>2.2931079139999997</v>
      </c>
      <c r="PR175" s="93">
        <v>335.90736985300003</v>
      </c>
      <c r="PS175" s="93">
        <v>238.3443</v>
      </c>
      <c r="PT175" s="93">
        <v>97.165498065999998</v>
      </c>
      <c r="PU175" s="93">
        <v>0.39757178700000001</v>
      </c>
      <c r="PV175" s="93">
        <v>0</v>
      </c>
      <c r="PW175" s="93">
        <v>0.13572896100000001</v>
      </c>
      <c r="PX175" s="93">
        <v>0</v>
      </c>
      <c r="PY175" s="93">
        <v>0</v>
      </c>
      <c r="PZ175" s="93">
        <v>0.13572896100000001</v>
      </c>
      <c r="QA175" s="93">
        <v>0</v>
      </c>
      <c r="QB175" s="93">
        <v>0</v>
      </c>
      <c r="QC175" s="93">
        <v>0</v>
      </c>
      <c r="QD175" s="93">
        <v>-6.3535975550000003</v>
      </c>
      <c r="QE175" s="20">
        <v>3.8622926830000073</v>
      </c>
      <c r="QF175" s="1739">
        <v>108</v>
      </c>
      <c r="QG175" s="19"/>
      <c r="QH175" s="1035">
        <v>90.520938925449386</v>
      </c>
      <c r="QI175" s="1035">
        <v>200.80877492874058</v>
      </c>
      <c r="QJ175" s="1035">
        <v>-110.28783600329119</v>
      </c>
      <c r="QK175" s="1035">
        <v>110.471</v>
      </c>
      <c r="QL175" s="1035">
        <v>22.72</v>
      </c>
      <c r="QM175" s="1035">
        <v>87.751000000000005</v>
      </c>
      <c r="QN175" s="1035">
        <v>0</v>
      </c>
      <c r="QO175" s="1035">
        <v>-86.211999999999989</v>
      </c>
      <c r="QP175" s="1035">
        <v>53.582000000000001</v>
      </c>
      <c r="QQ175" s="1035">
        <v>-139.79399999999998</v>
      </c>
      <c r="QR175" s="1035">
        <v>726.76022507125936</v>
      </c>
      <c r="QS175" s="1035">
        <v>9.2340972164626791</v>
      </c>
      <c r="QT175" s="1035">
        <v>0</v>
      </c>
      <c r="QU175" s="1035">
        <v>83.683999999999997</v>
      </c>
      <c r="QV175" s="1035">
        <v>633.84212785479667</v>
      </c>
      <c r="QW175" s="93"/>
      <c r="QX175" s="93">
        <v>34.228000000000002</v>
      </c>
      <c r="QY175" s="93">
        <v>280.87205465972164</v>
      </c>
      <c r="QZ175" s="93">
        <v>326.46710933698722</v>
      </c>
      <c r="RA175" s="93">
        <v>0</v>
      </c>
      <c r="RB175" s="93">
        <v>26.435000000000002</v>
      </c>
      <c r="RC175" s="93">
        <v>1.202</v>
      </c>
      <c r="RD175" s="93">
        <v>12.340999999999999</v>
      </c>
      <c r="RE175" s="93">
        <v>0</v>
      </c>
      <c r="RF175" s="93">
        <v>0</v>
      </c>
      <c r="RG175" s="93">
        <v>109.66699999999955</v>
      </c>
      <c r="RH175" s="93">
        <v>50.328000000000003</v>
      </c>
      <c r="RI175" s="93"/>
      <c r="RJ175" s="93"/>
      <c r="RK175" s="93"/>
      <c r="RL175" s="93"/>
      <c r="RM175" s="20"/>
      <c r="RN175" s="29">
        <v>108</v>
      </c>
      <c r="RO175" s="19"/>
      <c r="RP175" s="20"/>
      <c r="RQ175" s="29">
        <v>108</v>
      </c>
      <c r="RR175" s="20"/>
      <c r="RS175" s="29">
        <v>108</v>
      </c>
      <c r="RT175" s="1504">
        <v>39783</v>
      </c>
      <c r="RU175" s="19"/>
      <c r="RV175" s="20"/>
      <c r="RW175" s="29">
        <v>108</v>
      </c>
      <c r="RX175" s="1504">
        <v>39783</v>
      </c>
      <c r="RY175" s="29"/>
      <c r="RZ175" s="20"/>
      <c r="SA175" s="29"/>
      <c r="SB175" s="29">
        <v>108</v>
      </c>
    </row>
    <row r="176" spans="1:496">
      <c r="A176" s="41">
        <f t="shared" si="191"/>
        <v>2009</v>
      </c>
      <c r="B176" s="1504">
        <v>39814</v>
      </c>
      <c r="C176" s="1813"/>
      <c r="D176" s="1814"/>
      <c r="E176" s="1814"/>
      <c r="F176" s="1815"/>
      <c r="G176" s="1814"/>
      <c r="H176" s="1814"/>
      <c r="I176" s="1814"/>
      <c r="J176" s="1816"/>
      <c r="K176" s="1807"/>
      <c r="L176" s="25">
        <v>109</v>
      </c>
      <c r="M176" s="97"/>
      <c r="N176" s="1504">
        <v>39814</v>
      </c>
      <c r="O176" s="19"/>
      <c r="P176" s="93"/>
      <c r="Q176" s="93"/>
      <c r="R176" s="93"/>
      <c r="S176" s="93"/>
      <c r="T176" s="93"/>
      <c r="U176" s="93"/>
      <c r="V176" s="93"/>
      <c r="W176" s="93"/>
      <c r="X176" s="93"/>
      <c r="Y176" s="93"/>
      <c r="Z176" s="93"/>
      <c r="AA176" s="93"/>
      <c r="AB176" s="20"/>
      <c r="AC176" s="25">
        <v>109</v>
      </c>
      <c r="AD176" s="97"/>
      <c r="AE176" s="1504">
        <v>39814</v>
      </c>
      <c r="AF176" s="19"/>
      <c r="AG176" s="93"/>
      <c r="AH176" s="93"/>
      <c r="AI176" s="93"/>
      <c r="AJ176" s="93"/>
      <c r="AK176" s="93"/>
      <c r="AL176" s="93"/>
      <c r="AM176" s="93"/>
      <c r="AN176" s="93"/>
      <c r="AO176" s="93"/>
      <c r="AP176" s="93"/>
      <c r="AQ176" s="93"/>
      <c r="AR176" s="93"/>
      <c r="AS176" s="20"/>
      <c r="AT176" s="25">
        <v>109</v>
      </c>
      <c r="AU176" s="97"/>
      <c r="AV176" s="1504">
        <v>39814</v>
      </c>
      <c r="AW176" s="19"/>
      <c r="AX176" s="93"/>
      <c r="AY176" s="93"/>
      <c r="AZ176" s="93"/>
      <c r="BA176" s="93"/>
      <c r="BB176" s="93"/>
      <c r="BC176" s="93"/>
      <c r="BD176" s="93"/>
      <c r="BE176" s="93"/>
      <c r="BF176" s="93"/>
      <c r="BG176" s="93"/>
      <c r="BH176" s="93"/>
      <c r="BI176" s="93"/>
      <c r="BJ176" s="20"/>
      <c r="BK176" s="25">
        <v>109</v>
      </c>
      <c r="BL176" s="97"/>
      <c r="BM176" s="1504">
        <v>39814</v>
      </c>
      <c r="BN176" s="19"/>
      <c r="BO176" s="93"/>
      <c r="BP176" s="93"/>
      <c r="BQ176" s="93"/>
      <c r="BR176" s="93"/>
      <c r="BS176" s="93"/>
      <c r="BT176" s="93"/>
      <c r="BU176" s="20"/>
      <c r="BV176" s="25">
        <v>109</v>
      </c>
      <c r="BW176" s="97"/>
      <c r="BX176" s="1504">
        <v>39814</v>
      </c>
      <c r="BY176" s="19"/>
      <c r="BZ176" s="99">
        <v>664.95699999999999</v>
      </c>
      <c r="CA176" s="93"/>
      <c r="CB176" s="93"/>
      <c r="CC176" s="93"/>
      <c r="CD176" s="25">
        <v>109</v>
      </c>
      <c r="CE176" s="97"/>
      <c r="CF176" s="1504">
        <v>39814</v>
      </c>
      <c r="CG176" s="19">
        <v>1.2720657399999999</v>
      </c>
      <c r="CH176" s="1626">
        <v>858.69</v>
      </c>
      <c r="CI176" s="219"/>
      <c r="CJ176" s="20"/>
      <c r="CK176" s="19"/>
      <c r="CL176" s="93"/>
      <c r="CM176" s="93"/>
      <c r="CN176" s="93"/>
      <c r="CO176" s="93"/>
      <c r="CP176" s="20"/>
      <c r="CQ176" s="219">
        <v>1619.87</v>
      </c>
      <c r="CR176" s="93">
        <v>2.1924999999999999</v>
      </c>
      <c r="CS176" s="93"/>
      <c r="CT176" s="93"/>
      <c r="CU176" s="93"/>
      <c r="CV176" s="214"/>
      <c r="CW176" s="29">
        <v>109</v>
      </c>
      <c r="CX176" s="41">
        <f t="shared" si="192"/>
        <v>2009</v>
      </c>
      <c r="CY176" s="1504">
        <v>39814</v>
      </c>
      <c r="CZ176" s="1916">
        <v>52.026614187522028</v>
      </c>
      <c r="DA176" s="1526">
        <v>32.395882187522027</v>
      </c>
      <c r="DB176" s="1526">
        <v>19.630731999999998</v>
      </c>
      <c r="DC176" s="182">
        <f t="shared" ref="DC176:DC186" si="202">DC177</f>
        <v>338171</v>
      </c>
      <c r="DD176" s="182">
        <f t="shared" ref="DD176:DD186" si="203">DD177</f>
        <v>337155</v>
      </c>
      <c r="DE176" s="182">
        <f t="shared" ref="DE176:DE186" si="204">DE177</f>
        <v>1016</v>
      </c>
      <c r="DF176" s="29">
        <v>109</v>
      </c>
      <c r="DG176" s="1504">
        <v>39814</v>
      </c>
      <c r="DH176" s="19"/>
      <c r="DI176" s="93"/>
      <c r="DJ176" s="93"/>
      <c r="DK176" s="93"/>
      <c r="DL176" s="93"/>
      <c r="DM176" s="93"/>
      <c r="DN176" s="20"/>
      <c r="DO176" s="25"/>
      <c r="DP176" s="29">
        <v>109</v>
      </c>
      <c r="DQ176" s="1504">
        <v>39814</v>
      </c>
      <c r="DR176" s="19"/>
      <c r="DS176" s="93"/>
      <c r="DT176" s="93"/>
      <c r="DU176" s="93"/>
      <c r="DV176" s="93"/>
      <c r="DW176" s="93"/>
      <c r="DX176" s="20"/>
      <c r="DY176" s="29">
        <v>109</v>
      </c>
      <c r="DZ176" s="1504">
        <v>39814</v>
      </c>
      <c r="EA176" s="19"/>
      <c r="EB176" s="93"/>
      <c r="EC176" s="20"/>
      <c r="ED176" s="29">
        <v>109</v>
      </c>
      <c r="EE176" s="1504">
        <v>39814</v>
      </c>
      <c r="EF176" s="19"/>
      <c r="EG176" s="93"/>
      <c r="EH176" s="93"/>
      <c r="EI176" s="214"/>
      <c r="EJ176" s="93"/>
      <c r="EK176" s="93"/>
      <c r="EL176" s="93"/>
      <c r="EM176" s="93"/>
      <c r="EN176" s="20"/>
      <c r="EO176" s="29">
        <v>109</v>
      </c>
      <c r="EP176" s="1504">
        <v>39814</v>
      </c>
      <c r="EQ176" s="19"/>
      <c r="ER176" s="93"/>
      <c r="ES176" s="93"/>
      <c r="ET176" s="214"/>
      <c r="EU176" s="93"/>
      <c r="EV176" s="93"/>
      <c r="EW176" s="93"/>
      <c r="EX176" s="93"/>
      <c r="EY176" s="20"/>
      <c r="EZ176" s="29">
        <v>109</v>
      </c>
      <c r="FA176" s="1504">
        <v>39814</v>
      </c>
      <c r="FB176" s="29"/>
      <c r="FC176" s="29"/>
      <c r="FD176" s="29"/>
      <c r="FE176" s="29"/>
      <c r="FF176" s="29"/>
      <c r="FG176" s="29"/>
      <c r="FH176" s="29"/>
      <c r="FI176" s="29"/>
      <c r="FJ176" s="29"/>
      <c r="FK176" s="29">
        <v>109</v>
      </c>
      <c r="FL176" s="1504">
        <v>39814</v>
      </c>
      <c r="FM176" s="19">
        <v>101.91098007853974</v>
      </c>
      <c r="FN176" s="93">
        <v>105.92153164874227</v>
      </c>
      <c r="FO176" s="93">
        <v>100.1205552704136</v>
      </c>
      <c r="FP176" s="93">
        <v>92.887239045583982</v>
      </c>
      <c r="FQ176" s="93">
        <v>108.42812638011887</v>
      </c>
      <c r="FR176" s="93">
        <v>82.932477112402665</v>
      </c>
      <c r="FS176" s="93">
        <v>79.423244488475447</v>
      </c>
      <c r="FT176" s="93">
        <v>107.92680743384354</v>
      </c>
      <c r="FU176" s="93">
        <v>114.4439537354227</v>
      </c>
      <c r="FV176" s="93">
        <v>76.845032764773805</v>
      </c>
      <c r="FW176" s="93">
        <v>107.35387149524318</v>
      </c>
      <c r="FX176" s="93">
        <v>117.73833538237479</v>
      </c>
      <c r="FY176" s="93">
        <v>85.797156805404484</v>
      </c>
      <c r="FZ176" s="29">
        <v>109</v>
      </c>
      <c r="GA176" s="1504">
        <v>39814</v>
      </c>
      <c r="GB176" s="733">
        <v>101.93409742120345</v>
      </c>
      <c r="GC176" s="570">
        <v>100.07163323782235</v>
      </c>
      <c r="GD176" s="570">
        <v>103.08022922636104</v>
      </c>
      <c r="GE176" s="570">
        <v>120.70200573065904</v>
      </c>
      <c r="GF176" s="570">
        <v>104.01146131805157</v>
      </c>
      <c r="GG176" s="570">
        <v>98.424068767908324</v>
      </c>
      <c r="GH176" s="93"/>
      <c r="GI176" s="93"/>
      <c r="GJ176" s="93"/>
      <c r="GK176" s="93"/>
      <c r="GL176" s="93"/>
      <c r="GM176" s="93"/>
      <c r="GN176" s="20"/>
      <c r="GO176" s="29">
        <v>109</v>
      </c>
      <c r="GP176" s="1504">
        <v>39814</v>
      </c>
      <c r="GQ176" s="19"/>
      <c r="GR176" s="93"/>
      <c r="GS176" s="93"/>
      <c r="GT176" s="93"/>
      <c r="GU176" s="93"/>
      <c r="GV176" s="20"/>
      <c r="GW176" s="19"/>
      <c r="GX176" s="93"/>
      <c r="GY176" s="93"/>
      <c r="GZ176" s="93"/>
      <c r="HA176" s="93"/>
      <c r="HB176" s="20"/>
      <c r="HC176" s="19"/>
      <c r="HD176" s="93"/>
      <c r="HE176" s="93"/>
      <c r="HF176" s="93"/>
      <c r="HG176" s="93"/>
      <c r="HH176" s="20"/>
      <c r="HI176" s="19"/>
      <c r="HJ176" s="93"/>
      <c r="HK176" s="93"/>
      <c r="HL176" s="93"/>
      <c r="HM176" s="93"/>
      <c r="HN176" s="20"/>
      <c r="HO176" s="219"/>
      <c r="HP176" s="20"/>
      <c r="HQ176" s="25"/>
      <c r="HR176" s="29">
        <v>109</v>
      </c>
      <c r="HS176" s="1504">
        <v>39814</v>
      </c>
      <c r="HT176" s="179">
        <v>157.37521171569824</v>
      </c>
      <c r="HU176" s="99">
        <v>208.68715209960936</v>
      </c>
      <c r="HV176" s="99">
        <v>154.01786422729492</v>
      </c>
      <c r="HW176" s="99">
        <v>149.67638142903647</v>
      </c>
      <c r="HX176" s="99">
        <v>142.50841674804687</v>
      </c>
      <c r="HY176" s="99">
        <v>152.60840606689453</v>
      </c>
      <c r="HZ176" s="99">
        <v>193.12177276611328</v>
      </c>
      <c r="IA176" s="132">
        <v>144.81955261230468</v>
      </c>
      <c r="IB176" s="179">
        <v>175.01424865722657</v>
      </c>
      <c r="IC176" s="99">
        <v>109.71502876281738</v>
      </c>
      <c r="ID176" s="99">
        <v>120.53571701049805</v>
      </c>
      <c r="IE176" s="99">
        <v>114.61039276123047</v>
      </c>
      <c r="IF176" s="99">
        <v>151.33334045410157</v>
      </c>
      <c r="IG176" s="132">
        <v>110.15228271484375</v>
      </c>
      <c r="IH176" s="179">
        <v>125.18319511413574</v>
      </c>
      <c r="II176" s="99">
        <v>178.38834228515626</v>
      </c>
      <c r="IJ176" s="99">
        <v>150.86206436157227</v>
      </c>
      <c r="IK176" s="99">
        <v>139.22503356933595</v>
      </c>
      <c r="IL176" s="99">
        <v>145.3252067565918</v>
      </c>
      <c r="IM176" s="99">
        <v>145.01633834838867</v>
      </c>
      <c r="IN176" s="93"/>
      <c r="IO176" s="132">
        <v>147.14856643676757</v>
      </c>
      <c r="IP176" s="29">
        <v>109</v>
      </c>
      <c r="IQ176" s="19"/>
      <c r="IR176" s="93"/>
      <c r="IS176" s="93"/>
      <c r="IT176" s="93"/>
      <c r="IU176" s="93"/>
      <c r="IV176" s="20"/>
      <c r="IW176" s="29">
        <v>109</v>
      </c>
      <c r="IX176" s="19"/>
      <c r="IY176" s="93"/>
      <c r="IZ176" s="93"/>
      <c r="JA176" s="93"/>
      <c r="JB176" s="93"/>
      <c r="JC176" s="93"/>
      <c r="JD176" s="93"/>
      <c r="JE176" s="20"/>
      <c r="JF176" s="29">
        <v>109</v>
      </c>
      <c r="JG176" s="19"/>
      <c r="JH176" s="93"/>
      <c r="JI176" s="93"/>
      <c r="JJ176" s="93"/>
      <c r="JK176" s="93"/>
      <c r="JL176" s="93"/>
      <c r="JM176" s="93"/>
      <c r="JN176" s="20"/>
      <c r="JO176" s="29">
        <v>109</v>
      </c>
      <c r="JP176" s="19"/>
      <c r="JQ176" s="93"/>
      <c r="JR176" s="93"/>
      <c r="JS176" s="93"/>
      <c r="JT176" s="93"/>
      <c r="JU176" s="20"/>
      <c r="JV176" s="29">
        <v>109</v>
      </c>
      <c r="JW176" s="1504">
        <v>39814</v>
      </c>
      <c r="JX176" s="19"/>
      <c r="JY176" s="93"/>
      <c r="JZ176" s="93"/>
      <c r="KA176" s="93"/>
      <c r="KB176" s="93"/>
      <c r="KC176" s="93"/>
      <c r="KD176" s="20"/>
      <c r="KE176" s="29">
        <v>109</v>
      </c>
      <c r="KF176" s="19"/>
      <c r="KG176" s="93"/>
      <c r="KH176" s="93"/>
      <c r="KI176" s="93"/>
      <c r="KJ176" s="93"/>
      <c r="KK176" s="20"/>
      <c r="KL176" s="29">
        <v>109</v>
      </c>
      <c r="KM176" s="19"/>
      <c r="KN176" s="93"/>
      <c r="KO176" s="93"/>
      <c r="KP176" s="93"/>
      <c r="KQ176" s="93"/>
      <c r="KR176" s="20"/>
      <c r="KS176" s="29">
        <v>109</v>
      </c>
      <c r="KT176" s="19"/>
      <c r="KU176" s="93"/>
      <c r="KV176" s="93"/>
      <c r="KW176" s="93"/>
      <c r="KX176" s="93"/>
      <c r="KY176" s="20"/>
      <c r="KZ176" s="29">
        <v>109</v>
      </c>
      <c r="LA176" s="1504">
        <v>39814</v>
      </c>
      <c r="LB176" s="19"/>
      <c r="LC176" s="93"/>
      <c r="LD176" s="93"/>
      <c r="LE176" s="93"/>
      <c r="LF176" s="93"/>
      <c r="LG176" s="93"/>
      <c r="LH176" s="20"/>
      <c r="LI176" s="29">
        <v>109</v>
      </c>
      <c r="LJ176" s="19"/>
      <c r="LK176" s="93"/>
      <c r="LL176" s="93"/>
      <c r="LM176" s="93"/>
      <c r="LN176" s="93"/>
      <c r="LO176" s="20"/>
      <c r="LP176" s="29">
        <v>109</v>
      </c>
      <c r="LQ176" s="19"/>
      <c r="LR176" s="93"/>
      <c r="LS176" s="93"/>
      <c r="LT176" s="93"/>
      <c r="LU176" s="93"/>
      <c r="LV176" s="93"/>
      <c r="LW176" s="93"/>
      <c r="LX176" s="93"/>
      <c r="LY176" s="93"/>
      <c r="LZ176" s="93"/>
      <c r="MA176" s="20"/>
      <c r="MB176" s="29">
        <v>109</v>
      </c>
      <c r="MC176" s="1504">
        <v>39814</v>
      </c>
      <c r="MD176" s="19">
        <v>40231.734547999993</v>
      </c>
      <c r="ME176" s="93">
        <v>39074.357567999999</v>
      </c>
      <c r="MF176" s="93">
        <v>39074.357553999995</v>
      </c>
      <c r="MG176" s="93">
        <v>37132.438536000001</v>
      </c>
      <c r="MH176" s="93">
        <v>9486.3413449999989</v>
      </c>
      <c r="MI176" s="93">
        <v>610.11739</v>
      </c>
      <c r="MJ176" s="93">
        <v>208.82323700000001</v>
      </c>
      <c r="MK176" s="93">
        <v>20300.393326999998</v>
      </c>
      <c r="ML176" s="93">
        <v>6196.5458480000007</v>
      </c>
      <c r="MM176" s="93">
        <v>330.21738899999997</v>
      </c>
      <c r="MN176" s="93">
        <v>1941.9190180000003</v>
      </c>
      <c r="MO176" s="93">
        <v>51.566925000000005</v>
      </c>
      <c r="MP176" s="93">
        <v>1134.4919170000001</v>
      </c>
      <c r="MQ176" s="93">
        <v>59.72786</v>
      </c>
      <c r="MR176" s="93">
        <v>3.813E-3</v>
      </c>
      <c r="MS176" s="93">
        <v>696.12850300000002</v>
      </c>
      <c r="MT176" s="93">
        <v>1.4E-5</v>
      </c>
      <c r="MU176" s="93">
        <v>1157.37698</v>
      </c>
      <c r="MV176" s="93">
        <v>1157.37698</v>
      </c>
      <c r="MW176" s="93">
        <v>0</v>
      </c>
      <c r="MX176" s="93">
        <v>61450.79408433332</v>
      </c>
      <c r="MY176" s="93">
        <v>64263.479619333324</v>
      </c>
      <c r="MZ176" s="93">
        <v>48841.54422233333</v>
      </c>
      <c r="NA176" s="93">
        <v>16869.32908333333</v>
      </c>
      <c r="NB176" s="93">
        <v>14079.048839999999</v>
      </c>
      <c r="NC176" s="93">
        <v>685.734195</v>
      </c>
      <c r="ND176" s="93">
        <v>0</v>
      </c>
      <c r="NE176" s="93">
        <v>685.734195</v>
      </c>
      <c r="NF176" s="93">
        <v>17207.432104</v>
      </c>
      <c r="NG176" s="93">
        <v>7012.8647799999999</v>
      </c>
      <c r="NH176" s="93">
        <v>49.699991000000004</v>
      </c>
      <c r="NI176" s="93">
        <v>0</v>
      </c>
      <c r="NJ176" s="93">
        <v>4337.4550039999995</v>
      </c>
      <c r="NK176" s="93">
        <v>15421.935396999999</v>
      </c>
      <c r="NL176" s="93">
        <v>10999.197419</v>
      </c>
      <c r="NM176" s="93">
        <v>900</v>
      </c>
      <c r="NN176" s="93">
        <v>3522.7379779999997</v>
      </c>
      <c r="NO176" s="93">
        <v>-2812.685535000001</v>
      </c>
      <c r="NP176" s="93">
        <v>-21219.05953633333</v>
      </c>
      <c r="NQ176" s="93">
        <v>-22376.436516333328</v>
      </c>
      <c r="NR176" s="93">
        <v>-18167.964343333326</v>
      </c>
      <c r="NS176" s="93">
        <v>-18853.698538333327</v>
      </c>
      <c r="NT176" s="93">
        <v>-763.03146292126928</v>
      </c>
      <c r="NU176" s="93">
        <v>-1920.408442921266</v>
      </c>
      <c r="NV176" s="93">
        <v>-1905.0111449999986</v>
      </c>
      <c r="NW176" s="93">
        <v>1044.2071729999996</v>
      </c>
      <c r="NX176" s="93">
        <v>2365.3609979999997</v>
      </c>
      <c r="NY176" s="93">
        <v>-1321.1538250000001</v>
      </c>
      <c r="NZ176" s="93">
        <v>0</v>
      </c>
      <c r="OA176" s="93">
        <v>-2949.2183179999979</v>
      </c>
      <c r="OB176" s="93">
        <v>66.826956000002099</v>
      </c>
      <c r="OC176" s="93">
        <v>-3016.0452740000001</v>
      </c>
      <c r="OD176" s="20">
        <v>0</v>
      </c>
      <c r="OE176" s="29">
        <v>109</v>
      </c>
      <c r="OF176" s="1504">
        <v>39814</v>
      </c>
      <c r="OG176" s="19"/>
      <c r="OH176" s="93">
        <v>224.62549999999999</v>
      </c>
      <c r="OI176" s="93">
        <v>329.83151506885127</v>
      </c>
      <c r="OJ176" s="93">
        <v>0.38583200699999998</v>
      </c>
      <c r="OK176" s="93">
        <v>272.5314830618513</v>
      </c>
      <c r="OL176" s="93">
        <v>56.914199999999994</v>
      </c>
      <c r="OM176" s="93">
        <v>554.45701506885121</v>
      </c>
      <c r="ON176" s="93">
        <v>324.63901538768397</v>
      </c>
      <c r="OO176" s="93">
        <v>879.09603045653512</v>
      </c>
      <c r="OP176" s="93"/>
      <c r="OQ176" s="93">
        <v>426.86678324005493</v>
      </c>
      <c r="OR176" s="93">
        <v>300.01849753799996</v>
      </c>
      <c r="OS176" s="93">
        <v>126.84828570205497</v>
      </c>
      <c r="OT176" s="93">
        <v>594.1321819854802</v>
      </c>
      <c r="OU176" s="93">
        <v>-125.00419366</v>
      </c>
      <c r="OV176" s="93">
        <v>-20.509193659999994</v>
      </c>
      <c r="OW176" s="93">
        <v>-104.495</v>
      </c>
      <c r="OX176" s="93">
        <v>719.13637564548026</v>
      </c>
      <c r="OY176" s="93">
        <v>2.3291628980000003</v>
      </c>
      <c r="OZ176" s="93">
        <v>716.80721274748021</v>
      </c>
      <c r="PA176" s="93">
        <v>156.70581699400009</v>
      </c>
      <c r="PB176" s="93">
        <v>-14.802882224999976</v>
      </c>
      <c r="PC176" s="20">
        <v>879.096030456535</v>
      </c>
      <c r="PD176" s="29">
        <v>109</v>
      </c>
      <c r="PE176" s="19"/>
      <c r="PF176" s="93">
        <v>300.01849753799996</v>
      </c>
      <c r="PG176" s="93">
        <v>433.95627874499996</v>
      </c>
      <c r="PH176" s="93">
        <v>133.937781207</v>
      </c>
      <c r="PI176" s="93">
        <v>44.635630986000002</v>
      </c>
      <c r="PJ176" s="93">
        <v>-20.509193659999994</v>
      </c>
      <c r="PK176" s="93">
        <v>41.416640147000003</v>
      </c>
      <c r="PL176" s="93">
        <v>61.925833806999997</v>
      </c>
      <c r="PM176" s="93">
        <v>2.3291628980000003</v>
      </c>
      <c r="PN176" s="93">
        <v>0</v>
      </c>
      <c r="PO176" s="93">
        <v>0</v>
      </c>
      <c r="PP176" s="93">
        <v>4.1736699999999998E-4</v>
      </c>
      <c r="PQ176" s="93">
        <v>2.3287455310000005</v>
      </c>
      <c r="PR176" s="93">
        <v>324.44107569999994</v>
      </c>
      <c r="PS176" s="93">
        <v>249.50649999999999</v>
      </c>
      <c r="PT176" s="93">
        <v>74.548743693000006</v>
      </c>
      <c r="PU176" s="93">
        <v>0.38583200699999998</v>
      </c>
      <c r="PV176" s="93">
        <v>0</v>
      </c>
      <c r="PW176" s="93">
        <v>0.26734501300000002</v>
      </c>
      <c r="PX176" s="93">
        <v>0</v>
      </c>
      <c r="PY176" s="93">
        <v>0</v>
      </c>
      <c r="PZ176" s="93">
        <v>0.26734501300000002</v>
      </c>
      <c r="QA176" s="93">
        <v>0</v>
      </c>
      <c r="QB176" s="93">
        <v>0</v>
      </c>
      <c r="QC176" s="93">
        <v>0</v>
      </c>
      <c r="QD176" s="93">
        <v>0.37747198099999996</v>
      </c>
      <c r="QE176" s="20">
        <v>1.388205068</v>
      </c>
      <c r="QF176" s="1739">
        <v>109</v>
      </c>
      <c r="QG176" s="19"/>
      <c r="QH176" s="1035">
        <v>126.84828570205497</v>
      </c>
      <c r="QI176" s="1035">
        <v>213.71078725251968</v>
      </c>
      <c r="QJ176" s="1035">
        <v>-86.862501550464714</v>
      </c>
      <c r="QK176" s="1035">
        <v>45.835000000000001</v>
      </c>
      <c r="QL176" s="1035">
        <v>24.881</v>
      </c>
      <c r="QM176" s="1035">
        <v>20.954000000000001</v>
      </c>
      <c r="QN176" s="1035">
        <v>0</v>
      </c>
      <c r="QO176" s="1035">
        <v>-104.495</v>
      </c>
      <c r="QP176" s="1035">
        <v>39.005000000000003</v>
      </c>
      <c r="QQ176" s="1035">
        <v>-143.5</v>
      </c>
      <c r="QR176" s="1035">
        <v>716.80721274748021</v>
      </c>
      <c r="QS176" s="1035">
        <v>6.312336107079112</v>
      </c>
      <c r="QT176" s="1035">
        <v>0</v>
      </c>
      <c r="QU176" s="1035">
        <v>0</v>
      </c>
      <c r="QV176" s="1035">
        <v>710.49487664040112</v>
      </c>
      <c r="QW176" s="93"/>
      <c r="QX176" s="93">
        <v>10.497</v>
      </c>
      <c r="QY176" s="93">
        <v>272.5314830618513</v>
      </c>
      <c r="QZ176" s="93">
        <v>324.63901538768397</v>
      </c>
      <c r="RA176" s="93">
        <v>0</v>
      </c>
      <c r="RB176" s="93">
        <v>27.748000000000001</v>
      </c>
      <c r="RC176" s="93">
        <v>1.202</v>
      </c>
      <c r="RD176" s="93">
        <v>11.462999999999999</v>
      </c>
      <c r="RE176" s="93">
        <v>0</v>
      </c>
      <c r="RF176" s="93">
        <v>0</v>
      </c>
      <c r="RG176" s="93">
        <v>115.6480000000001</v>
      </c>
      <c r="RH176" s="93">
        <v>21.26700000000001</v>
      </c>
      <c r="RI176" s="93"/>
      <c r="RJ176" s="93"/>
      <c r="RK176" s="93"/>
      <c r="RL176" s="93"/>
      <c r="RM176" s="20"/>
      <c r="RN176" s="29">
        <v>109</v>
      </c>
      <c r="RO176" s="19"/>
      <c r="RP176" s="20"/>
      <c r="RQ176" s="29">
        <v>109</v>
      </c>
      <c r="RR176" s="20"/>
      <c r="RS176" s="29">
        <v>109</v>
      </c>
      <c r="RT176" s="1504">
        <v>39814</v>
      </c>
      <c r="RU176" s="19"/>
      <c r="RV176" s="20"/>
      <c r="RW176" s="29">
        <v>109</v>
      </c>
      <c r="RX176" s="1504">
        <v>39814</v>
      </c>
      <c r="RY176" s="29"/>
      <c r="RZ176" s="20"/>
      <c r="SA176" s="29"/>
      <c r="SB176" s="29">
        <v>109</v>
      </c>
    </row>
    <row r="177" spans="1:496">
      <c r="A177" s="41">
        <f t="shared" si="191"/>
        <v>2009</v>
      </c>
      <c r="B177" s="1504">
        <v>39845</v>
      </c>
      <c r="C177" s="1813"/>
      <c r="D177" s="1814"/>
      <c r="E177" s="1814"/>
      <c r="F177" s="1815"/>
      <c r="G177" s="1814"/>
      <c r="H177" s="1814"/>
      <c r="I177" s="1814"/>
      <c r="J177" s="1816"/>
      <c r="K177" s="1807"/>
      <c r="L177" s="25">
        <v>110</v>
      </c>
      <c r="M177" s="97"/>
      <c r="N177" s="1504">
        <v>39845</v>
      </c>
      <c r="O177" s="19"/>
      <c r="P177" s="93"/>
      <c r="Q177" s="93"/>
      <c r="R177" s="93"/>
      <c r="S177" s="93"/>
      <c r="T177" s="93"/>
      <c r="U177" s="93"/>
      <c r="V177" s="93"/>
      <c r="W177" s="93"/>
      <c r="X177" s="93"/>
      <c r="Y177" s="93"/>
      <c r="Z177" s="93"/>
      <c r="AA177" s="93"/>
      <c r="AB177" s="20"/>
      <c r="AC177" s="25">
        <v>110</v>
      </c>
      <c r="AD177" s="97"/>
      <c r="AE177" s="1504">
        <v>39845</v>
      </c>
      <c r="AF177" s="19"/>
      <c r="AG177" s="93"/>
      <c r="AH177" s="93"/>
      <c r="AI177" s="93"/>
      <c r="AJ177" s="93"/>
      <c r="AK177" s="93"/>
      <c r="AL177" s="93"/>
      <c r="AM177" s="93"/>
      <c r="AN177" s="93"/>
      <c r="AO177" s="93"/>
      <c r="AP177" s="93"/>
      <c r="AQ177" s="93"/>
      <c r="AR177" s="93"/>
      <c r="AS177" s="20"/>
      <c r="AT177" s="25">
        <v>110</v>
      </c>
      <c r="AU177" s="97"/>
      <c r="AV177" s="1504">
        <v>39845</v>
      </c>
      <c r="AW177" s="19"/>
      <c r="AX177" s="93"/>
      <c r="AY177" s="93"/>
      <c r="AZ177" s="93"/>
      <c r="BA177" s="93"/>
      <c r="BB177" s="93"/>
      <c r="BC177" s="93"/>
      <c r="BD177" s="93"/>
      <c r="BE177" s="93"/>
      <c r="BF177" s="93"/>
      <c r="BG177" s="93"/>
      <c r="BH177" s="93"/>
      <c r="BI177" s="93"/>
      <c r="BJ177" s="20"/>
      <c r="BK177" s="25">
        <v>110</v>
      </c>
      <c r="BL177" s="97"/>
      <c r="BM177" s="1504">
        <v>39845</v>
      </c>
      <c r="BN177" s="19"/>
      <c r="BO177" s="93"/>
      <c r="BP177" s="93"/>
      <c r="BQ177" s="93"/>
      <c r="BR177" s="93"/>
      <c r="BS177" s="93"/>
      <c r="BT177" s="93"/>
      <c r="BU177" s="20"/>
      <c r="BV177" s="25">
        <v>110</v>
      </c>
      <c r="BW177" s="97"/>
      <c r="BX177" s="1504">
        <v>39845</v>
      </c>
      <c r="BY177" s="19"/>
      <c r="BZ177" s="99">
        <v>664.95699999999999</v>
      </c>
      <c r="CA177" s="93"/>
      <c r="CB177" s="93"/>
      <c r="CC177" s="93"/>
      <c r="CD177" s="25">
        <v>110</v>
      </c>
      <c r="CE177" s="97"/>
      <c r="CF177" s="1504">
        <v>39845</v>
      </c>
      <c r="CG177" s="19">
        <v>1.2169502400000001</v>
      </c>
      <c r="CH177" s="1626">
        <v>943</v>
      </c>
      <c r="CI177" s="219"/>
      <c r="CJ177" s="20"/>
      <c r="CK177" s="19"/>
      <c r="CL177" s="93"/>
      <c r="CM177" s="93"/>
      <c r="CN177" s="93"/>
      <c r="CO177" s="93"/>
      <c r="CP177" s="20"/>
      <c r="CQ177" s="219">
        <v>1543.24</v>
      </c>
      <c r="CR177" s="93">
        <v>2.1175000000000002</v>
      </c>
      <c r="CS177" s="93"/>
      <c r="CT177" s="93"/>
      <c r="CU177" s="93"/>
      <c r="CV177" s="214"/>
      <c r="CW177" s="29">
        <v>110</v>
      </c>
      <c r="CX177" s="41">
        <f t="shared" si="192"/>
        <v>2009</v>
      </c>
      <c r="CY177" s="1504">
        <v>39845</v>
      </c>
      <c r="CZ177" s="1916">
        <v>51.943746393419929</v>
      </c>
      <c r="DA177" s="1526">
        <v>31.169973393419927</v>
      </c>
      <c r="DB177" s="1526">
        <v>20.773772999999998</v>
      </c>
      <c r="DC177" s="182">
        <f t="shared" si="202"/>
        <v>338171</v>
      </c>
      <c r="DD177" s="182">
        <f t="shared" si="203"/>
        <v>337155</v>
      </c>
      <c r="DE177" s="182">
        <f t="shared" si="204"/>
        <v>1016</v>
      </c>
      <c r="DF177" s="29">
        <v>110</v>
      </c>
      <c r="DG177" s="1504">
        <v>39845</v>
      </c>
      <c r="DH177" s="19"/>
      <c r="DI177" s="93"/>
      <c r="DJ177" s="93"/>
      <c r="DK177" s="93"/>
      <c r="DL177" s="93"/>
      <c r="DM177" s="93"/>
      <c r="DN177" s="20"/>
      <c r="DO177" s="25"/>
      <c r="DP177" s="29">
        <v>110</v>
      </c>
      <c r="DQ177" s="1504">
        <v>39845</v>
      </c>
      <c r="DR177" s="19"/>
      <c r="DS177" s="93"/>
      <c r="DT177" s="93"/>
      <c r="DU177" s="93"/>
      <c r="DV177" s="93"/>
      <c r="DW177" s="93"/>
      <c r="DX177" s="20"/>
      <c r="DY177" s="29">
        <v>110</v>
      </c>
      <c r="DZ177" s="1504">
        <v>39845</v>
      </c>
      <c r="EA177" s="19"/>
      <c r="EB177" s="93"/>
      <c r="EC177" s="20"/>
      <c r="ED177" s="29">
        <v>110</v>
      </c>
      <c r="EE177" s="1504">
        <v>39845</v>
      </c>
      <c r="EF177" s="19"/>
      <c r="EG177" s="93"/>
      <c r="EH177" s="93"/>
      <c r="EI177" s="214"/>
      <c r="EJ177" s="93"/>
      <c r="EK177" s="93"/>
      <c r="EL177" s="93"/>
      <c r="EM177" s="93"/>
      <c r="EN177" s="20"/>
      <c r="EO177" s="29">
        <v>110</v>
      </c>
      <c r="EP177" s="1504">
        <v>39845</v>
      </c>
      <c r="EQ177" s="19"/>
      <c r="ER177" s="93"/>
      <c r="ES177" s="93"/>
      <c r="ET177" s="214"/>
      <c r="EU177" s="93"/>
      <c r="EV177" s="93"/>
      <c r="EW177" s="93"/>
      <c r="EX177" s="93"/>
      <c r="EY177" s="20"/>
      <c r="EZ177" s="29">
        <v>110</v>
      </c>
      <c r="FA177" s="1504">
        <v>39845</v>
      </c>
      <c r="FB177" s="29"/>
      <c r="FC177" s="29"/>
      <c r="FD177" s="29"/>
      <c r="FE177" s="29"/>
      <c r="FF177" s="29"/>
      <c r="FG177" s="29"/>
      <c r="FH177" s="29"/>
      <c r="FI177" s="29"/>
      <c r="FJ177" s="29"/>
      <c r="FK177" s="29">
        <v>110</v>
      </c>
      <c r="FL177" s="1504">
        <v>39845</v>
      </c>
      <c r="FM177" s="19">
        <v>102.41229902481504</v>
      </c>
      <c r="FN177" s="93">
        <v>106.78093555664282</v>
      </c>
      <c r="FO177" s="93">
        <v>104.91889375619164</v>
      </c>
      <c r="FP177" s="93">
        <v>93.889876938134634</v>
      </c>
      <c r="FQ177" s="93">
        <v>107.06740352594301</v>
      </c>
      <c r="FR177" s="93">
        <v>83.218945081702856</v>
      </c>
      <c r="FS177" s="93">
        <v>79.852946442425718</v>
      </c>
      <c r="FT177" s="93">
        <v>107.92680743384354</v>
      </c>
      <c r="FU177" s="93">
        <v>114.4439537354227</v>
      </c>
      <c r="FV177" s="93">
        <v>79.996180427075814</v>
      </c>
      <c r="FW177" s="93">
        <v>107.35387149524318</v>
      </c>
      <c r="FX177" s="93">
        <v>118.09642034400001</v>
      </c>
      <c r="FY177" s="93">
        <v>85.797156805404484</v>
      </c>
      <c r="FZ177" s="29">
        <v>110</v>
      </c>
      <c r="GA177" s="1504">
        <v>39845</v>
      </c>
      <c r="GB177" s="733">
        <v>102.4355300859599</v>
      </c>
      <c r="GC177" s="570">
        <v>100.4297994269341</v>
      </c>
      <c r="GD177" s="570">
        <v>103.65329512893983</v>
      </c>
      <c r="GE177" s="570">
        <v>119.1977077363897</v>
      </c>
      <c r="GF177" s="570">
        <v>102.07736389684814</v>
      </c>
      <c r="GG177" s="570">
        <v>99.92836676217766</v>
      </c>
      <c r="GH177" s="93"/>
      <c r="GI177" s="93"/>
      <c r="GJ177" s="93"/>
      <c r="GK177" s="93"/>
      <c r="GL177" s="93"/>
      <c r="GM177" s="93"/>
      <c r="GN177" s="20"/>
      <c r="GO177" s="29">
        <v>110</v>
      </c>
      <c r="GP177" s="1504">
        <v>39845</v>
      </c>
      <c r="GQ177" s="19"/>
      <c r="GR177" s="93"/>
      <c r="GS177" s="93"/>
      <c r="GT177" s="93"/>
      <c r="GU177" s="93"/>
      <c r="GV177" s="20"/>
      <c r="GW177" s="19"/>
      <c r="GX177" s="93"/>
      <c r="GY177" s="93"/>
      <c r="GZ177" s="93"/>
      <c r="HA177" s="93"/>
      <c r="HB177" s="20"/>
      <c r="HC177" s="19"/>
      <c r="HD177" s="93"/>
      <c r="HE177" s="93"/>
      <c r="HF177" s="93"/>
      <c r="HG177" s="93"/>
      <c r="HH177" s="20"/>
      <c r="HI177" s="19"/>
      <c r="HJ177" s="93"/>
      <c r="HK177" s="93"/>
      <c r="HL177" s="93"/>
      <c r="HM177" s="93"/>
      <c r="HN177" s="20"/>
      <c r="HO177" s="219"/>
      <c r="HP177" s="20"/>
      <c r="HQ177" s="25"/>
      <c r="HR177" s="29">
        <v>110</v>
      </c>
      <c r="HS177" s="1504">
        <v>39845</v>
      </c>
      <c r="HT177" s="179">
        <v>160.83216857910156</v>
      </c>
      <c r="HU177" s="99">
        <v>209.98264503479004</v>
      </c>
      <c r="HV177" s="99">
        <v>160.71429443359375</v>
      </c>
      <c r="HW177" s="99">
        <v>145.63107299804688</v>
      </c>
      <c r="HX177" s="99">
        <v>150.67340087890625</v>
      </c>
      <c r="HY177" s="99">
        <v>152.60840606689453</v>
      </c>
      <c r="HZ177" s="99">
        <v>186.74990272521973</v>
      </c>
      <c r="IA177" s="132">
        <v>141.50165176391602</v>
      </c>
      <c r="IB177" s="179">
        <v>198.57859802246094</v>
      </c>
      <c r="IC177" s="99">
        <v>119.17098490397136</v>
      </c>
      <c r="ID177" s="99">
        <v>139.88095601399741</v>
      </c>
      <c r="IE177" s="99">
        <v>114.85390090942383</v>
      </c>
      <c r="IF177" s="99">
        <v>170.32966995239258</v>
      </c>
      <c r="IG177" s="132">
        <v>119.92385482788086</v>
      </c>
      <c r="IH177" s="179">
        <v>135.26785850524902</v>
      </c>
      <c r="II177" s="99">
        <v>176.90578460693359</v>
      </c>
      <c r="IJ177" s="99">
        <v>155.17240905761719</v>
      </c>
      <c r="IK177" s="99">
        <v>143.51046371459961</v>
      </c>
      <c r="IL177" s="99">
        <v>152.14646911621094</v>
      </c>
      <c r="IM177" s="99">
        <v>149.59677505493164</v>
      </c>
      <c r="IN177" s="93"/>
      <c r="IO177" s="132">
        <v>173.44739151000977</v>
      </c>
      <c r="IP177" s="29">
        <v>110</v>
      </c>
      <c r="IQ177" s="19"/>
      <c r="IR177" s="93"/>
      <c r="IS177" s="93"/>
      <c r="IT177" s="93"/>
      <c r="IU177" s="93"/>
      <c r="IV177" s="20"/>
      <c r="IW177" s="29">
        <v>110</v>
      </c>
      <c r="IX177" s="19"/>
      <c r="IY177" s="93"/>
      <c r="IZ177" s="93"/>
      <c r="JA177" s="93"/>
      <c r="JB177" s="93"/>
      <c r="JC177" s="93"/>
      <c r="JD177" s="93"/>
      <c r="JE177" s="20"/>
      <c r="JF177" s="29">
        <v>110</v>
      </c>
      <c r="JG177" s="19"/>
      <c r="JH177" s="93"/>
      <c r="JI177" s="93"/>
      <c r="JJ177" s="93"/>
      <c r="JK177" s="93"/>
      <c r="JL177" s="93"/>
      <c r="JM177" s="93"/>
      <c r="JN177" s="20"/>
      <c r="JO177" s="29">
        <v>110</v>
      </c>
      <c r="JP177" s="19"/>
      <c r="JQ177" s="93"/>
      <c r="JR177" s="93"/>
      <c r="JS177" s="93"/>
      <c r="JT177" s="93"/>
      <c r="JU177" s="20"/>
      <c r="JV177" s="29">
        <v>110</v>
      </c>
      <c r="JW177" s="1504">
        <v>39845</v>
      </c>
      <c r="JX177" s="19"/>
      <c r="JY177" s="93"/>
      <c r="JZ177" s="93"/>
      <c r="KA177" s="93"/>
      <c r="KB177" s="93"/>
      <c r="KC177" s="93"/>
      <c r="KD177" s="20"/>
      <c r="KE177" s="29">
        <v>110</v>
      </c>
      <c r="KF177" s="19"/>
      <c r="KG177" s="93"/>
      <c r="KH177" s="93"/>
      <c r="KI177" s="93"/>
      <c r="KJ177" s="93"/>
      <c r="KK177" s="20"/>
      <c r="KL177" s="29">
        <v>110</v>
      </c>
      <c r="KM177" s="19"/>
      <c r="KN177" s="93"/>
      <c r="KO177" s="93"/>
      <c r="KP177" s="93"/>
      <c r="KQ177" s="93"/>
      <c r="KR177" s="20"/>
      <c r="KS177" s="29">
        <v>110</v>
      </c>
      <c r="KT177" s="19"/>
      <c r="KU177" s="93"/>
      <c r="KV177" s="93"/>
      <c r="KW177" s="93"/>
      <c r="KX177" s="93"/>
      <c r="KY177" s="20"/>
      <c r="KZ177" s="29">
        <v>110</v>
      </c>
      <c r="LA177" s="1504">
        <v>39845</v>
      </c>
      <c r="LB177" s="19"/>
      <c r="LC177" s="93"/>
      <c r="LD177" s="93"/>
      <c r="LE177" s="93"/>
      <c r="LF177" s="93"/>
      <c r="LG177" s="93"/>
      <c r="LH177" s="20"/>
      <c r="LI177" s="29">
        <v>110</v>
      </c>
      <c r="LJ177" s="19"/>
      <c r="LK177" s="93"/>
      <c r="LL177" s="93"/>
      <c r="LM177" s="93"/>
      <c r="LN177" s="93"/>
      <c r="LO177" s="20"/>
      <c r="LP177" s="29">
        <v>110</v>
      </c>
      <c r="LQ177" s="19"/>
      <c r="LR177" s="93"/>
      <c r="LS177" s="93"/>
      <c r="LT177" s="93"/>
      <c r="LU177" s="93"/>
      <c r="LV177" s="93"/>
      <c r="LW177" s="93"/>
      <c r="LX177" s="93"/>
      <c r="LY177" s="93"/>
      <c r="LZ177" s="93"/>
      <c r="MA177" s="20"/>
      <c r="MB177" s="29">
        <v>110</v>
      </c>
      <c r="MC177" s="1504">
        <v>39845</v>
      </c>
      <c r="MD177" s="19">
        <v>42988.323660999995</v>
      </c>
      <c r="ME177" s="93">
        <v>40488.527663000001</v>
      </c>
      <c r="MF177" s="93">
        <v>40488.527663000001</v>
      </c>
      <c r="MG177" s="93">
        <v>37320.276949999999</v>
      </c>
      <c r="MH177" s="93">
        <v>8134.5234730000011</v>
      </c>
      <c r="MI177" s="93">
        <v>452.62366100000003</v>
      </c>
      <c r="MJ177" s="93">
        <v>271.88289100000003</v>
      </c>
      <c r="MK177" s="93">
        <v>21564.089286999999</v>
      </c>
      <c r="ML177" s="93">
        <v>6424.4682280000006</v>
      </c>
      <c r="MM177" s="93">
        <v>472.68940999999995</v>
      </c>
      <c r="MN177" s="93">
        <v>3168.2507130000004</v>
      </c>
      <c r="MO177" s="93">
        <v>63.983359999999998</v>
      </c>
      <c r="MP177" s="93">
        <v>1264.5823710000004</v>
      </c>
      <c r="MQ177" s="93">
        <v>179.80326399999998</v>
      </c>
      <c r="MR177" s="93">
        <v>935.43497899999988</v>
      </c>
      <c r="MS177" s="93">
        <v>724.44673899999998</v>
      </c>
      <c r="MT177" s="93">
        <v>0</v>
      </c>
      <c r="MU177" s="93">
        <v>2499.7959979999996</v>
      </c>
      <c r="MV177" s="93">
        <v>2499.7959979999996</v>
      </c>
      <c r="MW177" s="93">
        <v>0</v>
      </c>
      <c r="MX177" s="93">
        <v>55017.633023833332</v>
      </c>
      <c r="MY177" s="93">
        <v>55195.708415833331</v>
      </c>
      <c r="MZ177" s="93">
        <v>40745.500013833327</v>
      </c>
      <c r="NA177" s="93">
        <v>19600.870962333334</v>
      </c>
      <c r="NB177" s="93">
        <v>6243.6998559999984</v>
      </c>
      <c r="NC177" s="93">
        <v>1054.699713</v>
      </c>
      <c r="ND177" s="93">
        <v>988.78490199999999</v>
      </c>
      <c r="NE177" s="93">
        <v>65.914810999999972</v>
      </c>
      <c r="NF177" s="93">
        <v>13846.229482500001</v>
      </c>
      <c r="NG177" s="93">
        <v>308.89790749999975</v>
      </c>
      <c r="NH177" s="93">
        <v>3546.038</v>
      </c>
      <c r="NI177" s="93">
        <v>0</v>
      </c>
      <c r="NJ177" s="93">
        <v>931.56325900000002</v>
      </c>
      <c r="NK177" s="93">
        <v>14450.208402</v>
      </c>
      <c r="NL177" s="93">
        <v>5371.9852200000005</v>
      </c>
      <c r="NM177" s="93">
        <v>32.25</v>
      </c>
      <c r="NN177" s="93">
        <v>9045.9731819999997</v>
      </c>
      <c r="NO177" s="93">
        <v>-178.07539199999852</v>
      </c>
      <c r="NP177" s="93">
        <v>-12029.309362833335</v>
      </c>
      <c r="NQ177" s="93">
        <v>-14529.105360833331</v>
      </c>
      <c r="NR177" s="93">
        <v>-4428.4324658333362</v>
      </c>
      <c r="NS177" s="93">
        <v>-5483.1321788333353</v>
      </c>
      <c r="NT177" s="93">
        <v>-30319.985004833346</v>
      </c>
      <c r="NU177" s="93">
        <v>-32819.781002833341</v>
      </c>
      <c r="NV177" s="93">
        <v>32803.323875000002</v>
      </c>
      <c r="NW177" s="93">
        <v>6508.7898040000009</v>
      </c>
      <c r="NX177" s="93">
        <v>6546.1771840000001</v>
      </c>
      <c r="NY177" s="93">
        <v>-37.387380000000007</v>
      </c>
      <c r="NZ177" s="93">
        <v>0</v>
      </c>
      <c r="OA177" s="93">
        <v>26294.534071000002</v>
      </c>
      <c r="OB177" s="93">
        <v>13700.905609000003</v>
      </c>
      <c r="OC177" s="93">
        <v>12593.628462000001</v>
      </c>
      <c r="OD177" s="20">
        <v>0</v>
      </c>
      <c r="OE177" s="29">
        <v>110</v>
      </c>
      <c r="OF177" s="1504">
        <v>39845</v>
      </c>
      <c r="OG177" s="19"/>
      <c r="OH177" s="93">
        <v>230.4648</v>
      </c>
      <c r="OI177" s="93">
        <v>330.70066812967724</v>
      </c>
      <c r="OJ177" s="93">
        <v>0.34281540699999996</v>
      </c>
      <c r="OK177" s="93">
        <v>273.44365272267726</v>
      </c>
      <c r="OL177" s="93">
        <v>56.914199999999994</v>
      </c>
      <c r="OM177" s="93">
        <v>561.16546812967727</v>
      </c>
      <c r="ON177" s="93">
        <v>336.80069951756678</v>
      </c>
      <c r="OO177" s="93">
        <v>897.96616764724399</v>
      </c>
      <c r="OP177" s="93"/>
      <c r="OQ177" s="93">
        <v>429.7633730389831</v>
      </c>
      <c r="OR177" s="93">
        <v>324.598812264</v>
      </c>
      <c r="OS177" s="93">
        <v>105.16456077498314</v>
      </c>
      <c r="OT177" s="93">
        <v>609.03196987026092</v>
      </c>
      <c r="OU177" s="93">
        <v>-129.70619404199999</v>
      </c>
      <c r="OV177" s="93">
        <v>-30.915194041999996</v>
      </c>
      <c r="OW177" s="93">
        <v>-98.790999999999997</v>
      </c>
      <c r="OX177" s="93">
        <v>738.73816391226092</v>
      </c>
      <c r="OY177" s="93">
        <v>2.3253724470000003</v>
      </c>
      <c r="OZ177" s="93">
        <v>736.41279146526097</v>
      </c>
      <c r="PA177" s="93">
        <v>154.20726172799999</v>
      </c>
      <c r="PB177" s="93">
        <v>-13.378086465999985</v>
      </c>
      <c r="PC177" s="20">
        <v>897.96616764724399</v>
      </c>
      <c r="PD177" s="29">
        <v>110</v>
      </c>
      <c r="PE177" s="19"/>
      <c r="PF177" s="93">
        <v>324.598812264</v>
      </c>
      <c r="PG177" s="93">
        <v>461.01713752799998</v>
      </c>
      <c r="PH177" s="93">
        <v>136.418325264</v>
      </c>
      <c r="PI177" s="93">
        <v>43.343630986000001</v>
      </c>
      <c r="PJ177" s="93">
        <v>-30.915194041999996</v>
      </c>
      <c r="PK177" s="93">
        <v>41.428534052000003</v>
      </c>
      <c r="PL177" s="93">
        <v>72.343728093999999</v>
      </c>
      <c r="PM177" s="93">
        <v>2.3253724470000003</v>
      </c>
      <c r="PN177" s="93">
        <v>0</v>
      </c>
      <c r="PO177" s="93">
        <v>0</v>
      </c>
      <c r="PP177" s="93">
        <v>2.3667600000000001E-4</v>
      </c>
      <c r="PQ177" s="93">
        <v>2.3251357710000002</v>
      </c>
      <c r="PR177" s="93">
        <v>340.49778610800001</v>
      </c>
      <c r="PS177" s="93">
        <v>255.2578</v>
      </c>
      <c r="PT177" s="93">
        <v>84.897170700999993</v>
      </c>
      <c r="PU177" s="93">
        <v>0.34281540699999996</v>
      </c>
      <c r="PV177" s="93">
        <v>0</v>
      </c>
      <c r="PW177" s="93">
        <v>0.42217870699999999</v>
      </c>
      <c r="PX177" s="93">
        <v>0</v>
      </c>
      <c r="PY177" s="93">
        <v>0</v>
      </c>
      <c r="PZ177" s="93">
        <v>0.42217870699999999</v>
      </c>
      <c r="QA177" s="93">
        <v>0</v>
      </c>
      <c r="QB177" s="93">
        <v>0</v>
      </c>
      <c r="QC177" s="93">
        <v>0</v>
      </c>
      <c r="QD177" s="93">
        <v>0.22908302099999997</v>
      </c>
      <c r="QE177" s="20">
        <v>-1.7964261810000002</v>
      </c>
      <c r="QF177" s="1739">
        <v>110</v>
      </c>
      <c r="QG177" s="19"/>
      <c r="QH177" s="1035">
        <v>105.16456077498314</v>
      </c>
      <c r="QI177" s="1035">
        <v>220.36420853473905</v>
      </c>
      <c r="QJ177" s="1035">
        <v>-115.1996477597559</v>
      </c>
      <c r="QK177" s="1035">
        <v>48.849000000000004</v>
      </c>
      <c r="QL177" s="1035">
        <v>24.792999999999999</v>
      </c>
      <c r="QM177" s="1035">
        <v>24.056000000000001</v>
      </c>
      <c r="QN177" s="1035">
        <v>0</v>
      </c>
      <c r="QO177" s="1035">
        <v>-98.790999999999997</v>
      </c>
      <c r="QP177" s="1035">
        <v>41.317</v>
      </c>
      <c r="QQ177" s="1035">
        <v>-140.108</v>
      </c>
      <c r="QR177" s="1035">
        <v>736.41279146526097</v>
      </c>
      <c r="QS177" s="1035">
        <v>6.4540920933377253</v>
      </c>
      <c r="QT177" s="1035">
        <v>0</v>
      </c>
      <c r="QU177" s="1035">
        <v>0</v>
      </c>
      <c r="QV177" s="1035">
        <v>729.95869937192322</v>
      </c>
      <c r="QW177" s="93"/>
      <c r="QX177" s="93">
        <v>8.9649999999999999</v>
      </c>
      <c r="QY177" s="93">
        <v>273.44365272267731</v>
      </c>
      <c r="QZ177" s="93">
        <v>336.80069951756678</v>
      </c>
      <c r="RA177" s="93">
        <v>0</v>
      </c>
      <c r="RB177" s="93">
        <v>26.555</v>
      </c>
      <c r="RC177" s="93">
        <v>1.202</v>
      </c>
      <c r="RD177" s="93">
        <v>9.6859999999999999</v>
      </c>
      <c r="RE177" s="93">
        <v>0</v>
      </c>
      <c r="RF177" s="93">
        <v>0</v>
      </c>
      <c r="RG177" s="93">
        <v>116.113</v>
      </c>
      <c r="RH177" s="93">
        <v>18.870000000000019</v>
      </c>
      <c r="RI177" s="93"/>
      <c r="RJ177" s="93"/>
      <c r="RK177" s="93"/>
      <c r="RL177" s="93"/>
      <c r="RM177" s="20"/>
      <c r="RN177" s="29">
        <v>110</v>
      </c>
      <c r="RO177" s="19"/>
      <c r="RP177" s="20"/>
      <c r="RQ177" s="29">
        <v>110</v>
      </c>
      <c r="RR177" s="20"/>
      <c r="RS177" s="29">
        <v>110</v>
      </c>
      <c r="RT177" s="1504">
        <v>39845</v>
      </c>
      <c r="RU177" s="19"/>
      <c r="RV177" s="20"/>
      <c r="RW177" s="29">
        <v>110</v>
      </c>
      <c r="RX177" s="1504">
        <v>39845</v>
      </c>
      <c r="RY177" s="29"/>
      <c r="RZ177" s="20"/>
      <c r="SA177" s="29"/>
      <c r="SB177" s="29">
        <v>110</v>
      </c>
    </row>
    <row r="178" spans="1:496">
      <c r="A178" s="41">
        <f t="shared" si="191"/>
        <v>2009</v>
      </c>
      <c r="B178" s="1504">
        <v>39873</v>
      </c>
      <c r="C178" s="1813"/>
      <c r="D178" s="1814"/>
      <c r="E178" s="1814"/>
      <c r="F178" s="1815"/>
      <c r="G178" s="1814"/>
      <c r="H178" s="1814"/>
      <c r="I178" s="1814"/>
      <c r="J178" s="1816"/>
      <c r="K178" s="1807"/>
      <c r="L178" s="25">
        <v>111</v>
      </c>
      <c r="M178" s="97"/>
      <c r="N178" s="1504">
        <v>39873</v>
      </c>
      <c r="O178" s="19"/>
      <c r="P178" s="93"/>
      <c r="Q178" s="93"/>
      <c r="R178" s="93"/>
      <c r="S178" s="93"/>
      <c r="T178" s="93"/>
      <c r="U178" s="93"/>
      <c r="V178" s="93"/>
      <c r="W178" s="93"/>
      <c r="X178" s="93"/>
      <c r="Y178" s="93"/>
      <c r="Z178" s="93"/>
      <c r="AA178" s="93"/>
      <c r="AB178" s="20"/>
      <c r="AC178" s="25">
        <v>111</v>
      </c>
      <c r="AD178" s="97"/>
      <c r="AE178" s="1504">
        <v>39873</v>
      </c>
      <c r="AF178" s="19"/>
      <c r="AG178" s="93"/>
      <c r="AH178" s="93"/>
      <c r="AI178" s="93"/>
      <c r="AJ178" s="93"/>
      <c r="AK178" s="93"/>
      <c r="AL178" s="93"/>
      <c r="AM178" s="93"/>
      <c r="AN178" s="93"/>
      <c r="AO178" s="93"/>
      <c r="AP178" s="93"/>
      <c r="AQ178" s="93"/>
      <c r="AR178" s="93"/>
      <c r="AS178" s="20"/>
      <c r="AT178" s="25">
        <v>111</v>
      </c>
      <c r="AU178" s="97"/>
      <c r="AV178" s="1504">
        <v>39873</v>
      </c>
      <c r="AW178" s="19"/>
      <c r="AX178" s="93"/>
      <c r="AY178" s="93"/>
      <c r="AZ178" s="93"/>
      <c r="BA178" s="93"/>
      <c r="BB178" s="93"/>
      <c r="BC178" s="93"/>
      <c r="BD178" s="93"/>
      <c r="BE178" s="93"/>
      <c r="BF178" s="93"/>
      <c r="BG178" s="93"/>
      <c r="BH178" s="93"/>
      <c r="BI178" s="93"/>
      <c r="BJ178" s="20"/>
      <c r="BK178" s="25">
        <v>111</v>
      </c>
      <c r="BL178" s="97"/>
      <c r="BM178" s="1504">
        <v>39873</v>
      </c>
      <c r="BN178" s="19"/>
      <c r="BO178" s="93"/>
      <c r="BP178" s="93"/>
      <c r="BQ178" s="93"/>
      <c r="BR178" s="93"/>
      <c r="BS178" s="93"/>
      <c r="BT178" s="93"/>
      <c r="BU178" s="20"/>
      <c r="BV178" s="25">
        <v>111</v>
      </c>
      <c r="BW178" s="97"/>
      <c r="BX178" s="1504">
        <v>39873</v>
      </c>
      <c r="BY178" s="19"/>
      <c r="BZ178" s="99">
        <v>664.95699999999999</v>
      </c>
      <c r="CA178" s="93"/>
      <c r="CB178" s="93"/>
      <c r="CC178" s="93"/>
      <c r="CD178" s="25">
        <v>111</v>
      </c>
      <c r="CE178" s="97"/>
      <c r="CF178" s="1504">
        <v>39873</v>
      </c>
      <c r="CG178" s="19">
        <v>1.1353793000000001</v>
      </c>
      <c r="CH178" s="1626">
        <v>924.27300000000002</v>
      </c>
      <c r="CI178" s="219"/>
      <c r="CJ178" s="20"/>
      <c r="CK178" s="19"/>
      <c r="CL178" s="93"/>
      <c r="CM178" s="93"/>
      <c r="CN178" s="93"/>
      <c r="CO178" s="93"/>
      <c r="CP178" s="20"/>
      <c r="CQ178" s="219">
        <v>1535.22</v>
      </c>
      <c r="CR178" s="93">
        <v>2.1379999999999999</v>
      </c>
      <c r="CS178" s="93"/>
      <c r="CT178" s="93"/>
      <c r="CU178" s="93"/>
      <c r="CV178" s="214"/>
      <c r="CW178" s="29">
        <v>111</v>
      </c>
      <c r="CX178" s="41">
        <f t="shared" si="192"/>
        <v>2009</v>
      </c>
      <c r="CY178" s="1504">
        <v>39873</v>
      </c>
      <c r="CZ178" s="1916">
        <v>59.324502653636657</v>
      </c>
      <c r="DA178" s="1526">
        <v>37.284129653636661</v>
      </c>
      <c r="DB178" s="1526">
        <v>22.040372999999999</v>
      </c>
      <c r="DC178" s="182">
        <f t="shared" si="202"/>
        <v>338171</v>
      </c>
      <c r="DD178" s="182">
        <f t="shared" si="203"/>
        <v>337155</v>
      </c>
      <c r="DE178" s="182">
        <f t="shared" si="204"/>
        <v>1016</v>
      </c>
      <c r="DF178" s="29">
        <v>111</v>
      </c>
      <c r="DG178" s="1504">
        <v>39873</v>
      </c>
      <c r="DH178" s="19"/>
      <c r="DI178" s="93"/>
      <c r="DJ178" s="93"/>
      <c r="DK178" s="93"/>
      <c r="DL178" s="93"/>
      <c r="DM178" s="93"/>
      <c r="DN178" s="20"/>
      <c r="DO178" s="25"/>
      <c r="DP178" s="29">
        <v>111</v>
      </c>
      <c r="DQ178" s="1504">
        <v>39873</v>
      </c>
      <c r="DR178" s="19"/>
      <c r="DS178" s="93"/>
      <c r="DT178" s="93"/>
      <c r="DU178" s="93"/>
      <c r="DV178" s="93"/>
      <c r="DW178" s="93"/>
      <c r="DX178" s="20"/>
      <c r="DY178" s="29">
        <v>111</v>
      </c>
      <c r="DZ178" s="1504">
        <v>39873</v>
      </c>
      <c r="EA178" s="19"/>
      <c r="EB178" s="93"/>
      <c r="EC178" s="20"/>
      <c r="ED178" s="29">
        <v>111</v>
      </c>
      <c r="EE178" s="1504">
        <v>39873</v>
      </c>
      <c r="EF178" s="19"/>
      <c r="EG178" s="93"/>
      <c r="EH178" s="93"/>
      <c r="EI178" s="214"/>
      <c r="EJ178" s="93"/>
      <c r="EK178" s="93"/>
      <c r="EL178" s="93"/>
      <c r="EM178" s="93"/>
      <c r="EN178" s="20"/>
      <c r="EO178" s="29">
        <v>111</v>
      </c>
      <c r="EP178" s="1504">
        <v>39873</v>
      </c>
      <c r="EQ178" s="19"/>
      <c r="ER178" s="93"/>
      <c r="ES178" s="93"/>
      <c r="ET178" s="214"/>
      <c r="EU178" s="93"/>
      <c r="EV178" s="93"/>
      <c r="EW178" s="93"/>
      <c r="EX178" s="93"/>
      <c r="EY178" s="20"/>
      <c r="EZ178" s="29">
        <v>111</v>
      </c>
      <c r="FA178" s="1504">
        <v>39873</v>
      </c>
      <c r="FB178" s="29"/>
      <c r="FC178" s="29"/>
      <c r="FD178" s="29"/>
      <c r="FE178" s="29"/>
      <c r="FF178" s="29"/>
      <c r="FG178" s="29"/>
      <c r="FH178" s="29"/>
      <c r="FI178" s="29"/>
      <c r="FJ178" s="29"/>
      <c r="FK178" s="29">
        <v>111</v>
      </c>
      <c r="FL178" s="1504">
        <v>39873</v>
      </c>
      <c r="FM178" s="19">
        <v>101.26642714761432</v>
      </c>
      <c r="FN178" s="93">
        <v>103.55817090201577</v>
      </c>
      <c r="FO178" s="93">
        <v>101.83936308621468</v>
      </c>
      <c r="FP178" s="93">
        <v>93.889876938134634</v>
      </c>
      <c r="FQ178" s="93">
        <v>105.92153164874227</v>
      </c>
      <c r="FR178" s="93">
        <v>83.218945081702856</v>
      </c>
      <c r="FS178" s="93">
        <v>79.852946442425718</v>
      </c>
      <c r="FT178" s="93">
        <v>107.92680743384354</v>
      </c>
      <c r="FU178" s="93">
        <v>114.4439537354227</v>
      </c>
      <c r="FV178" s="93">
        <v>79.996180427075814</v>
      </c>
      <c r="FW178" s="93">
        <v>107.35387149524318</v>
      </c>
      <c r="FX178" s="93">
        <v>118.23965432865009</v>
      </c>
      <c r="FY178" s="93">
        <v>85.797156805404484</v>
      </c>
      <c r="FZ178" s="29">
        <v>111</v>
      </c>
      <c r="GA178" s="1504">
        <v>39873</v>
      </c>
      <c r="GB178" s="733">
        <v>101.2893982808023</v>
      </c>
      <c r="GC178" s="570">
        <v>100</v>
      </c>
      <c r="GD178" s="570">
        <v>102.36389684813754</v>
      </c>
      <c r="GE178" s="570">
        <v>118.12320916905445</v>
      </c>
      <c r="GF178" s="570">
        <v>98.92550143266476</v>
      </c>
      <c r="GG178" s="570">
        <v>99.212034383954162</v>
      </c>
      <c r="GH178" s="93"/>
      <c r="GI178" s="93"/>
      <c r="GJ178" s="93"/>
      <c r="GK178" s="93"/>
      <c r="GL178" s="93"/>
      <c r="GM178" s="93"/>
      <c r="GN178" s="20"/>
      <c r="GO178" s="29">
        <v>111</v>
      </c>
      <c r="GP178" s="1504">
        <v>39873</v>
      </c>
      <c r="GQ178" s="19"/>
      <c r="GR178" s="93"/>
      <c r="GS178" s="93"/>
      <c r="GT178" s="93"/>
      <c r="GU178" s="93"/>
      <c r="GV178" s="20"/>
      <c r="GW178" s="19"/>
      <c r="GX178" s="93"/>
      <c r="GY178" s="93"/>
      <c r="GZ178" s="93"/>
      <c r="HA178" s="93"/>
      <c r="HB178" s="20"/>
      <c r="HC178" s="19"/>
      <c r="HD178" s="93"/>
      <c r="HE178" s="93"/>
      <c r="HF178" s="93"/>
      <c r="HG178" s="93"/>
      <c r="HH178" s="20"/>
      <c r="HI178" s="19"/>
      <c r="HJ178" s="93"/>
      <c r="HK178" s="93"/>
      <c r="HL178" s="93"/>
      <c r="HM178" s="93"/>
      <c r="HN178" s="20"/>
      <c r="HO178" s="219"/>
      <c r="HP178" s="20"/>
      <c r="HQ178" s="25"/>
      <c r="HR178" s="29">
        <v>111</v>
      </c>
      <c r="HS178" s="1504">
        <v>39873</v>
      </c>
      <c r="HT178" s="179">
        <v>159.41192626953125</v>
      </c>
      <c r="HU178" s="99">
        <v>197.04861450195313</v>
      </c>
      <c r="HV178" s="99">
        <v>160.71429443359375</v>
      </c>
      <c r="HW178" s="99">
        <v>145.63107299804688</v>
      </c>
      <c r="HX178" s="99">
        <v>154.46128082275391</v>
      </c>
      <c r="HY178" s="99">
        <v>162.30522346496582</v>
      </c>
      <c r="HZ178" s="99">
        <v>191.50441284179686</v>
      </c>
      <c r="IA178" s="132">
        <v>154.4554473876953</v>
      </c>
      <c r="IB178" s="179">
        <v>207.12945938110352</v>
      </c>
      <c r="IC178" s="99">
        <v>130.5699493408203</v>
      </c>
      <c r="ID178" s="99">
        <v>142.85714721679688</v>
      </c>
      <c r="IE178" s="99">
        <v>120.67100016276042</v>
      </c>
      <c r="IF178" s="99">
        <v>162.33333435058594</v>
      </c>
      <c r="IG178" s="132">
        <v>135.53298950195313</v>
      </c>
      <c r="IH178" s="179">
        <v>130.04436492919922</v>
      </c>
      <c r="II178" s="99">
        <v>176.66134834289551</v>
      </c>
      <c r="IJ178" s="99">
        <v>155.17240905761719</v>
      </c>
      <c r="IK178" s="99">
        <v>154.59364318847656</v>
      </c>
      <c r="IL178" s="99">
        <v>152.17084884643555</v>
      </c>
      <c r="IM178" s="99">
        <v>148.06452026367188</v>
      </c>
      <c r="IN178" s="93"/>
      <c r="IO178" s="132">
        <v>172.31761016845704</v>
      </c>
      <c r="IP178" s="29">
        <v>111</v>
      </c>
      <c r="IQ178" s="19"/>
      <c r="IR178" s="93"/>
      <c r="IS178" s="93"/>
      <c r="IT178" s="93"/>
      <c r="IU178" s="93"/>
      <c r="IV178" s="20"/>
      <c r="IW178" s="29">
        <v>111</v>
      </c>
      <c r="IX178" s="19"/>
      <c r="IY178" s="93"/>
      <c r="IZ178" s="93"/>
      <c r="JA178" s="93"/>
      <c r="JB178" s="93"/>
      <c r="JC178" s="93"/>
      <c r="JD178" s="93"/>
      <c r="JE178" s="20"/>
      <c r="JF178" s="29">
        <v>111</v>
      </c>
      <c r="JG178" s="19"/>
      <c r="JH178" s="93"/>
      <c r="JI178" s="93"/>
      <c r="JJ178" s="93"/>
      <c r="JK178" s="93"/>
      <c r="JL178" s="93"/>
      <c r="JM178" s="93"/>
      <c r="JN178" s="20"/>
      <c r="JO178" s="29">
        <v>111</v>
      </c>
      <c r="JP178" s="19"/>
      <c r="JQ178" s="93"/>
      <c r="JR178" s="93"/>
      <c r="JS178" s="93"/>
      <c r="JT178" s="93"/>
      <c r="JU178" s="20"/>
      <c r="JV178" s="29">
        <v>111</v>
      </c>
      <c r="JW178" s="1504">
        <v>39873</v>
      </c>
      <c r="JX178" s="19"/>
      <c r="JY178" s="93"/>
      <c r="JZ178" s="93"/>
      <c r="KA178" s="93"/>
      <c r="KB178" s="93"/>
      <c r="KC178" s="93"/>
      <c r="KD178" s="20"/>
      <c r="KE178" s="29">
        <v>111</v>
      </c>
      <c r="KF178" s="19"/>
      <c r="KG178" s="93"/>
      <c r="KH178" s="93"/>
      <c r="KI178" s="93"/>
      <c r="KJ178" s="93"/>
      <c r="KK178" s="20"/>
      <c r="KL178" s="29">
        <v>111</v>
      </c>
      <c r="KM178" s="19"/>
      <c r="KN178" s="93"/>
      <c r="KO178" s="93"/>
      <c r="KP178" s="93"/>
      <c r="KQ178" s="93"/>
      <c r="KR178" s="20"/>
      <c r="KS178" s="29">
        <v>111</v>
      </c>
      <c r="KT178" s="19"/>
      <c r="KU178" s="93"/>
      <c r="KV178" s="93"/>
      <c r="KW178" s="93"/>
      <c r="KX178" s="93"/>
      <c r="KY178" s="20"/>
      <c r="KZ178" s="29">
        <v>111</v>
      </c>
      <c r="LA178" s="1504">
        <v>39873</v>
      </c>
      <c r="LB178" s="19"/>
      <c r="LC178" s="93"/>
      <c r="LD178" s="93"/>
      <c r="LE178" s="93"/>
      <c r="LF178" s="93"/>
      <c r="LG178" s="93"/>
      <c r="LH178" s="20"/>
      <c r="LI178" s="29">
        <v>111</v>
      </c>
      <c r="LJ178" s="19"/>
      <c r="LK178" s="93"/>
      <c r="LL178" s="93"/>
      <c r="LM178" s="93"/>
      <c r="LN178" s="93"/>
      <c r="LO178" s="20"/>
      <c r="LP178" s="29">
        <v>111</v>
      </c>
      <c r="LQ178" s="19"/>
      <c r="LR178" s="93"/>
      <c r="LS178" s="93"/>
      <c r="LT178" s="93"/>
      <c r="LU178" s="93"/>
      <c r="LV178" s="93"/>
      <c r="LW178" s="93"/>
      <c r="LX178" s="93"/>
      <c r="LY178" s="93"/>
      <c r="LZ178" s="93"/>
      <c r="MA178" s="20"/>
      <c r="MB178" s="29">
        <v>111</v>
      </c>
      <c r="MC178" s="1504">
        <v>39873</v>
      </c>
      <c r="MD178" s="19">
        <v>44439.625747000006</v>
      </c>
      <c r="ME178" s="93">
        <v>37679.254738000003</v>
      </c>
      <c r="MF178" s="93">
        <v>37679.254546000004</v>
      </c>
      <c r="MG178" s="93">
        <v>35649.567207</v>
      </c>
      <c r="MH178" s="93">
        <v>7248.4856170000003</v>
      </c>
      <c r="MI178" s="93">
        <v>455.32720599999999</v>
      </c>
      <c r="MJ178" s="93">
        <v>277.79052900000005</v>
      </c>
      <c r="MK178" s="93">
        <v>20503.280440999999</v>
      </c>
      <c r="ML178" s="93">
        <v>6791.832362000001</v>
      </c>
      <c r="MM178" s="93">
        <v>372.85105200000004</v>
      </c>
      <c r="MN178" s="93">
        <v>2029.6873389999998</v>
      </c>
      <c r="MO178" s="93">
        <v>74.729936999999993</v>
      </c>
      <c r="MP178" s="93">
        <v>1184.1243119999999</v>
      </c>
      <c r="MQ178" s="93">
        <v>97.017860000000013</v>
      </c>
      <c r="MR178" s="93">
        <v>564.64587899999992</v>
      </c>
      <c r="MS178" s="93">
        <v>109.16935100000001</v>
      </c>
      <c r="MT178" s="93">
        <v>1.92E-4</v>
      </c>
      <c r="MU178" s="93">
        <v>6760.3710089999995</v>
      </c>
      <c r="MV178" s="93">
        <v>3172.0617769999999</v>
      </c>
      <c r="MW178" s="93">
        <v>3588.3092320000001</v>
      </c>
      <c r="MX178" s="93">
        <v>62914.860043233341</v>
      </c>
      <c r="MY178" s="93">
        <v>62152.656056233347</v>
      </c>
      <c r="MZ178" s="93">
        <v>37376.646970233342</v>
      </c>
      <c r="NA178" s="93">
        <v>16613.898083333337</v>
      </c>
      <c r="NB178" s="93">
        <v>3430.8247950000018</v>
      </c>
      <c r="NC178" s="93">
        <v>855.22340099999997</v>
      </c>
      <c r="ND178" s="93">
        <v>366.621151</v>
      </c>
      <c r="NE178" s="93">
        <v>488.60224999999997</v>
      </c>
      <c r="NF178" s="93">
        <v>16476.700690900005</v>
      </c>
      <c r="NG178" s="93">
        <v>534.6410448999992</v>
      </c>
      <c r="NH178" s="93">
        <v>4294.136512</v>
      </c>
      <c r="NI178" s="93">
        <v>0</v>
      </c>
      <c r="NJ178" s="93">
        <v>3018.5655660000002</v>
      </c>
      <c r="NK178" s="93">
        <v>24776.009086000002</v>
      </c>
      <c r="NL178" s="93">
        <v>11739.752235000002</v>
      </c>
      <c r="NM178" s="93">
        <v>1259.4475479999999</v>
      </c>
      <c r="NN178" s="93">
        <v>11776.809303</v>
      </c>
      <c r="NO178" s="93">
        <v>762.20398699999953</v>
      </c>
      <c r="NP178" s="93">
        <v>-18475.234296233335</v>
      </c>
      <c r="NQ178" s="93">
        <v>-25235.605305233337</v>
      </c>
      <c r="NR178" s="93">
        <v>-12603.572601233333</v>
      </c>
      <c r="NS178" s="93">
        <v>-13458.796002233341</v>
      </c>
      <c r="NT178" s="93">
        <v>21350.003089766695</v>
      </c>
      <c r="NU178" s="93">
        <v>14589.632080766693</v>
      </c>
      <c r="NV178" s="93">
        <v>-20996.472029</v>
      </c>
      <c r="NW178" s="93">
        <v>7896.8115260000004</v>
      </c>
      <c r="NX178" s="93">
        <v>8604.747526000001</v>
      </c>
      <c r="NY178" s="93">
        <v>-707.93600000000004</v>
      </c>
      <c r="NZ178" s="93">
        <v>0</v>
      </c>
      <c r="OA178" s="93">
        <v>-28893.283554999998</v>
      </c>
      <c r="OB178" s="93">
        <v>-28271.76885</v>
      </c>
      <c r="OC178" s="93">
        <v>-621.51470499999994</v>
      </c>
      <c r="OD178" s="20">
        <v>0</v>
      </c>
      <c r="OE178" s="29">
        <v>111</v>
      </c>
      <c r="OF178" s="1504">
        <v>39873</v>
      </c>
      <c r="OG178" s="19"/>
      <c r="OH178" s="93">
        <v>224.82769999999999</v>
      </c>
      <c r="OI178" s="93">
        <v>337.17167398328434</v>
      </c>
      <c r="OJ178" s="93">
        <v>0.420116816</v>
      </c>
      <c r="OK178" s="93">
        <v>277.03165716728432</v>
      </c>
      <c r="OL178" s="93">
        <v>59.719900000000003</v>
      </c>
      <c r="OM178" s="93">
        <v>561.99937398328439</v>
      </c>
      <c r="ON178" s="93">
        <v>346.01185878363128</v>
      </c>
      <c r="OO178" s="93">
        <v>908.01123276691567</v>
      </c>
      <c r="OP178" s="93"/>
      <c r="OQ178" s="93">
        <v>444.68312447405958</v>
      </c>
      <c r="OR178" s="93">
        <v>329.90813520100011</v>
      </c>
      <c r="OS178" s="93">
        <v>114.77498927305952</v>
      </c>
      <c r="OT178" s="93">
        <v>606.29355222685604</v>
      </c>
      <c r="OU178" s="93">
        <v>-126.86268204800001</v>
      </c>
      <c r="OV178" s="93">
        <v>-35.223682047999993</v>
      </c>
      <c r="OW178" s="93">
        <v>-91.63900000000001</v>
      </c>
      <c r="OX178" s="93">
        <v>733.15623427485605</v>
      </c>
      <c r="OY178" s="93">
        <v>2.406707597</v>
      </c>
      <c r="OZ178" s="93">
        <v>730.74952667785601</v>
      </c>
      <c r="PA178" s="93">
        <v>156.09767772800012</v>
      </c>
      <c r="PB178" s="93">
        <v>-13.132233794000001</v>
      </c>
      <c r="PC178" s="20">
        <v>908.01123276691533</v>
      </c>
      <c r="PD178" s="29">
        <v>111</v>
      </c>
      <c r="PE178" s="19"/>
      <c r="PF178" s="93">
        <v>329.90813520100011</v>
      </c>
      <c r="PG178" s="93">
        <v>466.63964205500008</v>
      </c>
      <c r="PH178" s="93">
        <v>136.73150685399997</v>
      </c>
      <c r="PI178" s="93">
        <v>31.49</v>
      </c>
      <c r="PJ178" s="93">
        <v>-35.223682047999993</v>
      </c>
      <c r="PK178" s="93">
        <v>41.437438999000001</v>
      </c>
      <c r="PL178" s="93">
        <v>76.661121046999995</v>
      </c>
      <c r="PM178" s="93">
        <v>2.406707597</v>
      </c>
      <c r="PN178" s="93">
        <v>0</v>
      </c>
      <c r="PO178" s="93">
        <v>0</v>
      </c>
      <c r="PP178" s="93">
        <v>5.6739900000000001E-4</v>
      </c>
      <c r="PQ178" s="93">
        <v>2.4061401980000001</v>
      </c>
      <c r="PR178" s="93">
        <v>328.08007516700002</v>
      </c>
      <c r="PS178" s="93">
        <v>251.45169999999999</v>
      </c>
      <c r="PT178" s="93">
        <v>76.208258350999998</v>
      </c>
      <c r="PU178" s="93">
        <v>0.420116816</v>
      </c>
      <c r="PV178" s="93">
        <v>0</v>
      </c>
      <c r="PW178" s="93">
        <v>0.77366896900000004</v>
      </c>
      <c r="PX178" s="93">
        <v>0</v>
      </c>
      <c r="PY178" s="93">
        <v>0</v>
      </c>
      <c r="PZ178" s="93">
        <v>0.77366896900000004</v>
      </c>
      <c r="QA178" s="93">
        <v>0</v>
      </c>
      <c r="QB178" s="93">
        <v>0</v>
      </c>
      <c r="QC178" s="93">
        <v>0</v>
      </c>
      <c r="QD178" s="93">
        <v>2.300875899999999E-2</v>
      </c>
      <c r="QE178" s="20">
        <v>-0.29559214500000008</v>
      </c>
      <c r="QF178" s="1739">
        <v>111</v>
      </c>
      <c r="QG178" s="19"/>
      <c r="QH178" s="1035">
        <v>114.77498927305952</v>
      </c>
      <c r="QI178" s="1035">
        <v>226.01047332214389</v>
      </c>
      <c r="QJ178" s="1035">
        <v>-111.23548404908438</v>
      </c>
      <c r="QK178" s="1035">
        <v>55.802</v>
      </c>
      <c r="QL178" s="1035">
        <v>26.623999999999999</v>
      </c>
      <c r="QM178" s="1035">
        <v>29.178000000000001</v>
      </c>
      <c r="QN178" s="1035">
        <v>0</v>
      </c>
      <c r="QO178" s="1035">
        <v>-91.63900000000001</v>
      </c>
      <c r="QP178" s="1035">
        <v>40.248999999999995</v>
      </c>
      <c r="QQ178" s="1035">
        <v>-131.88800000000001</v>
      </c>
      <c r="QR178" s="1035">
        <v>730.74952667785601</v>
      </c>
      <c r="QS178" s="1035">
        <v>6.4315052288782244</v>
      </c>
      <c r="QT178" s="1035">
        <v>0</v>
      </c>
      <c r="QU178" s="1035">
        <v>0</v>
      </c>
      <c r="QV178" s="1035">
        <v>724.31802144897779</v>
      </c>
      <c r="QW178" s="93"/>
      <c r="QX178" s="93">
        <v>8.98</v>
      </c>
      <c r="QY178" s="93">
        <v>277.03165716728432</v>
      </c>
      <c r="QZ178" s="93">
        <v>346.01185878363128</v>
      </c>
      <c r="RA178" s="93">
        <v>0</v>
      </c>
      <c r="RB178" s="93">
        <v>23.774999999999999</v>
      </c>
      <c r="RC178" s="93">
        <v>1.202</v>
      </c>
      <c r="RD178" s="93">
        <v>10.472999999999999</v>
      </c>
      <c r="RE178" s="93">
        <v>0</v>
      </c>
      <c r="RF178" s="93">
        <v>0</v>
      </c>
      <c r="RG178" s="93">
        <v>119.85100000000011</v>
      </c>
      <c r="RH178" s="93">
        <v>22.363</v>
      </c>
      <c r="RI178" s="93"/>
      <c r="RJ178" s="93"/>
      <c r="RK178" s="93"/>
      <c r="RL178" s="93"/>
      <c r="RM178" s="20"/>
      <c r="RN178" s="29">
        <v>111</v>
      </c>
      <c r="RO178" s="19"/>
      <c r="RP178" s="20"/>
      <c r="RQ178" s="29">
        <v>111</v>
      </c>
      <c r="RR178" s="20"/>
      <c r="RS178" s="29">
        <v>111</v>
      </c>
      <c r="RT178" s="1504">
        <v>39873</v>
      </c>
      <c r="RU178" s="19"/>
      <c r="RV178" s="20"/>
      <c r="RW178" s="29">
        <v>111</v>
      </c>
      <c r="RX178" s="1504">
        <v>39873</v>
      </c>
      <c r="RY178" s="29"/>
      <c r="RZ178" s="20"/>
      <c r="SA178" s="29"/>
      <c r="SB178" s="29">
        <v>111</v>
      </c>
    </row>
    <row r="179" spans="1:496">
      <c r="A179" s="41">
        <f t="shared" si="191"/>
        <v>2009</v>
      </c>
      <c r="B179" s="1504">
        <v>39904</v>
      </c>
      <c r="C179" s="1813"/>
      <c r="D179" s="1814"/>
      <c r="E179" s="1814"/>
      <c r="F179" s="1815"/>
      <c r="G179" s="1814"/>
      <c r="H179" s="1814"/>
      <c r="I179" s="1814"/>
      <c r="J179" s="1816"/>
      <c r="K179" s="1807"/>
      <c r="L179" s="25">
        <v>112</v>
      </c>
      <c r="M179" s="97"/>
      <c r="N179" s="1504">
        <v>39904</v>
      </c>
      <c r="O179" s="19"/>
      <c r="P179" s="93"/>
      <c r="Q179" s="93"/>
      <c r="R179" s="93"/>
      <c r="S179" s="93"/>
      <c r="T179" s="93"/>
      <c r="U179" s="93"/>
      <c r="V179" s="93"/>
      <c r="W179" s="93"/>
      <c r="X179" s="93"/>
      <c r="Y179" s="93"/>
      <c r="Z179" s="93"/>
      <c r="AA179" s="93"/>
      <c r="AB179" s="20"/>
      <c r="AC179" s="25">
        <v>112</v>
      </c>
      <c r="AD179" s="97"/>
      <c r="AE179" s="1504">
        <v>39904</v>
      </c>
      <c r="AF179" s="19"/>
      <c r="AG179" s="93"/>
      <c r="AH179" s="93"/>
      <c r="AI179" s="93"/>
      <c r="AJ179" s="93"/>
      <c r="AK179" s="93"/>
      <c r="AL179" s="93"/>
      <c r="AM179" s="93"/>
      <c r="AN179" s="93"/>
      <c r="AO179" s="93"/>
      <c r="AP179" s="93"/>
      <c r="AQ179" s="93"/>
      <c r="AR179" s="93"/>
      <c r="AS179" s="20"/>
      <c r="AT179" s="25">
        <v>112</v>
      </c>
      <c r="AU179" s="97"/>
      <c r="AV179" s="1504">
        <v>39904</v>
      </c>
      <c r="AW179" s="19"/>
      <c r="AX179" s="93"/>
      <c r="AY179" s="93"/>
      <c r="AZ179" s="93"/>
      <c r="BA179" s="93"/>
      <c r="BB179" s="93"/>
      <c r="BC179" s="93"/>
      <c r="BD179" s="93"/>
      <c r="BE179" s="93"/>
      <c r="BF179" s="93"/>
      <c r="BG179" s="93"/>
      <c r="BH179" s="93"/>
      <c r="BI179" s="93"/>
      <c r="BJ179" s="20"/>
      <c r="BK179" s="25">
        <v>112</v>
      </c>
      <c r="BL179" s="97"/>
      <c r="BM179" s="1504">
        <v>39904</v>
      </c>
      <c r="BN179" s="19"/>
      <c r="BO179" s="93"/>
      <c r="BP179" s="93"/>
      <c r="BQ179" s="93"/>
      <c r="BR179" s="93"/>
      <c r="BS179" s="93"/>
      <c r="BT179" s="93"/>
      <c r="BU179" s="20"/>
      <c r="BV179" s="25">
        <v>112</v>
      </c>
      <c r="BW179" s="97"/>
      <c r="BX179" s="1504">
        <v>39904</v>
      </c>
      <c r="BY179" s="19"/>
      <c r="BZ179" s="99">
        <v>664.95699999999999</v>
      </c>
      <c r="CA179" s="93"/>
      <c r="CB179" s="93"/>
      <c r="CC179" s="93"/>
      <c r="CD179" s="25">
        <v>112</v>
      </c>
      <c r="CE179" s="97"/>
      <c r="CF179" s="1504">
        <v>39904</v>
      </c>
      <c r="CG179" s="19">
        <v>1.2522241599999999</v>
      </c>
      <c r="CH179" s="1626">
        <v>890.2</v>
      </c>
      <c r="CI179" s="219"/>
      <c r="CJ179" s="20"/>
      <c r="CK179" s="19"/>
      <c r="CL179" s="93"/>
      <c r="CM179" s="93"/>
      <c r="CN179" s="93"/>
      <c r="CO179" s="93"/>
      <c r="CP179" s="20"/>
      <c r="CQ179" s="219">
        <v>1433</v>
      </c>
      <c r="CR179" s="93">
        <v>2.21</v>
      </c>
      <c r="CS179" s="93"/>
      <c r="CT179" s="93"/>
      <c r="CU179" s="93"/>
      <c r="CV179" s="214"/>
      <c r="CW179" s="29">
        <v>112</v>
      </c>
      <c r="CX179" s="41">
        <f t="shared" si="192"/>
        <v>2009</v>
      </c>
      <c r="CY179" s="1504">
        <v>39904</v>
      </c>
      <c r="CZ179" s="1916">
        <v>69.638597000000004</v>
      </c>
      <c r="DA179" s="1526">
        <v>43.873398999999999</v>
      </c>
      <c r="DB179" s="1526">
        <v>25.765198000000002</v>
      </c>
      <c r="DC179" s="182">
        <f t="shared" si="202"/>
        <v>338171</v>
      </c>
      <c r="DD179" s="182">
        <f t="shared" si="203"/>
        <v>337155</v>
      </c>
      <c r="DE179" s="182">
        <f t="shared" si="204"/>
        <v>1016</v>
      </c>
      <c r="DF179" s="29">
        <v>112</v>
      </c>
      <c r="DG179" s="1504">
        <v>39904</v>
      </c>
      <c r="DH179" s="19"/>
      <c r="DI179" s="93"/>
      <c r="DJ179" s="93"/>
      <c r="DK179" s="93"/>
      <c r="DL179" s="93"/>
      <c r="DM179" s="93"/>
      <c r="DN179" s="20"/>
      <c r="DO179" s="25"/>
      <c r="DP179" s="29">
        <v>112</v>
      </c>
      <c r="DQ179" s="1504">
        <v>39904</v>
      </c>
      <c r="DR179" s="19"/>
      <c r="DS179" s="93"/>
      <c r="DT179" s="93"/>
      <c r="DU179" s="93"/>
      <c r="DV179" s="93"/>
      <c r="DW179" s="93"/>
      <c r="DX179" s="20"/>
      <c r="DY179" s="29">
        <v>112</v>
      </c>
      <c r="DZ179" s="1504">
        <v>39904</v>
      </c>
      <c r="EA179" s="19"/>
      <c r="EB179" s="93"/>
      <c r="EC179" s="20"/>
      <c r="ED179" s="29">
        <v>112</v>
      </c>
      <c r="EE179" s="1504">
        <v>39904</v>
      </c>
      <c r="EF179" s="19"/>
      <c r="EG179" s="93"/>
      <c r="EH179" s="93"/>
      <c r="EI179" s="214"/>
      <c r="EJ179" s="93"/>
      <c r="EK179" s="93"/>
      <c r="EL179" s="93"/>
      <c r="EM179" s="93"/>
      <c r="EN179" s="20"/>
      <c r="EO179" s="29">
        <v>112</v>
      </c>
      <c r="EP179" s="1504">
        <v>39904</v>
      </c>
      <c r="EQ179" s="19"/>
      <c r="ER179" s="93"/>
      <c r="ES179" s="93"/>
      <c r="ET179" s="214"/>
      <c r="EU179" s="93"/>
      <c r="EV179" s="93"/>
      <c r="EW179" s="93"/>
      <c r="EX179" s="93"/>
      <c r="EY179" s="20"/>
      <c r="EZ179" s="29">
        <v>112</v>
      </c>
      <c r="FA179" s="1504">
        <v>39904</v>
      </c>
      <c r="FB179" s="29"/>
      <c r="FC179" s="29"/>
      <c r="FD179" s="29"/>
      <c r="FE179" s="29"/>
      <c r="FF179" s="29"/>
      <c r="FG179" s="29"/>
      <c r="FH179" s="29"/>
      <c r="FI179" s="29"/>
      <c r="FJ179" s="29"/>
      <c r="FK179" s="29">
        <v>112</v>
      </c>
      <c r="FL179" s="1504">
        <v>39904</v>
      </c>
      <c r="FM179" s="19">
        <v>101.33804413993936</v>
      </c>
      <c r="FN179" s="93">
        <v>104.84727676386659</v>
      </c>
      <c r="FO179" s="93">
        <v>103.27170293271558</v>
      </c>
      <c r="FP179" s="93">
        <v>93.889876938134634</v>
      </c>
      <c r="FQ179" s="93">
        <v>102.98523496341542</v>
      </c>
      <c r="FR179" s="93">
        <v>83.218945081702856</v>
      </c>
      <c r="FS179" s="93">
        <v>79.852946442425718</v>
      </c>
      <c r="FT179" s="93">
        <v>107.9984244261686</v>
      </c>
      <c r="FU179" s="93">
        <v>114.4439537354227</v>
      </c>
      <c r="FV179" s="93">
        <v>78.707074565225</v>
      </c>
      <c r="FW179" s="93">
        <v>107.35387149524318</v>
      </c>
      <c r="FX179" s="93">
        <v>118.45450530562523</v>
      </c>
      <c r="FY179" s="93">
        <v>85.797156805404484</v>
      </c>
      <c r="FZ179" s="29">
        <v>112</v>
      </c>
      <c r="GA179" s="1504">
        <v>39904</v>
      </c>
      <c r="GB179" s="733">
        <v>101.36103151862464</v>
      </c>
      <c r="GC179" s="570">
        <v>99.140401146131822</v>
      </c>
      <c r="GD179" s="570">
        <v>102.7220630372493</v>
      </c>
      <c r="GE179" s="570">
        <v>115.4727793696275</v>
      </c>
      <c r="GF179" s="570">
        <v>103.08022922636104</v>
      </c>
      <c r="GG179" s="570">
        <v>98.710601719197726</v>
      </c>
      <c r="GH179" s="93"/>
      <c r="GI179" s="93"/>
      <c r="GJ179" s="93"/>
      <c r="GK179" s="93"/>
      <c r="GL179" s="93"/>
      <c r="GM179" s="93"/>
      <c r="GN179" s="20"/>
      <c r="GO179" s="29">
        <v>112</v>
      </c>
      <c r="GP179" s="1504">
        <v>39904</v>
      </c>
      <c r="GQ179" s="19"/>
      <c r="GR179" s="93"/>
      <c r="GS179" s="93"/>
      <c r="GT179" s="93"/>
      <c r="GU179" s="93"/>
      <c r="GV179" s="20"/>
      <c r="GW179" s="19"/>
      <c r="GX179" s="93"/>
      <c r="GY179" s="93"/>
      <c r="GZ179" s="93"/>
      <c r="HA179" s="93"/>
      <c r="HB179" s="20"/>
      <c r="HC179" s="19"/>
      <c r="HD179" s="93"/>
      <c r="HE179" s="93"/>
      <c r="HF179" s="93"/>
      <c r="HG179" s="93"/>
      <c r="HH179" s="20"/>
      <c r="HI179" s="19"/>
      <c r="HJ179" s="93"/>
      <c r="HK179" s="93"/>
      <c r="HL179" s="93"/>
      <c r="HM179" s="93"/>
      <c r="HN179" s="20"/>
      <c r="HO179" s="219"/>
      <c r="HP179" s="20"/>
      <c r="HQ179" s="25"/>
      <c r="HR179" s="29">
        <v>112</v>
      </c>
      <c r="HS179" s="1504">
        <v>39904</v>
      </c>
      <c r="HT179" s="179">
        <v>159.74575805664063</v>
      </c>
      <c r="HU179" s="99">
        <v>201.14322662353516</v>
      </c>
      <c r="HV179" s="99">
        <v>156.55788040161133</v>
      </c>
      <c r="HW179" s="99">
        <v>145.63107299804688</v>
      </c>
      <c r="HX179" s="99">
        <v>152.35690307617188</v>
      </c>
      <c r="HY179" s="99">
        <v>165.65041351318359</v>
      </c>
      <c r="HZ179" s="99">
        <v>184.98892021179199</v>
      </c>
      <c r="IA179" s="132">
        <v>145.16129684448242</v>
      </c>
      <c r="IB179" s="179">
        <v>214.57489013671875</v>
      </c>
      <c r="IC179" s="99">
        <v>124.35233561197917</v>
      </c>
      <c r="ID179" s="99">
        <v>142.85714721679688</v>
      </c>
      <c r="IE179" s="99">
        <v>125</v>
      </c>
      <c r="IF179" s="99">
        <v>168.75000381469727</v>
      </c>
      <c r="IG179" s="132">
        <v>130.71065521240234</v>
      </c>
      <c r="IH179" s="179">
        <v>124.44196319580078</v>
      </c>
      <c r="II179" s="99">
        <v>178.00152969360352</v>
      </c>
      <c r="IJ179" s="99">
        <v>151.2931022644043</v>
      </c>
      <c r="IK179" s="99">
        <v>153.31011581420898</v>
      </c>
      <c r="IL179" s="99">
        <v>152.60840606689453</v>
      </c>
      <c r="IM179" s="99">
        <v>142.57187652587891</v>
      </c>
      <c r="IN179" s="93"/>
      <c r="IO179" s="132">
        <v>178.71113204956055</v>
      </c>
      <c r="IP179" s="29">
        <v>112</v>
      </c>
      <c r="IQ179" s="19"/>
      <c r="IR179" s="93"/>
      <c r="IS179" s="93"/>
      <c r="IT179" s="93"/>
      <c r="IU179" s="93"/>
      <c r="IV179" s="20"/>
      <c r="IW179" s="29">
        <v>112</v>
      </c>
      <c r="IX179" s="19"/>
      <c r="IY179" s="93"/>
      <c r="IZ179" s="93"/>
      <c r="JA179" s="93"/>
      <c r="JB179" s="93"/>
      <c r="JC179" s="93"/>
      <c r="JD179" s="93"/>
      <c r="JE179" s="20"/>
      <c r="JF179" s="29">
        <v>112</v>
      </c>
      <c r="JG179" s="19"/>
      <c r="JH179" s="93"/>
      <c r="JI179" s="93"/>
      <c r="JJ179" s="93"/>
      <c r="JK179" s="93"/>
      <c r="JL179" s="93"/>
      <c r="JM179" s="93"/>
      <c r="JN179" s="20"/>
      <c r="JO179" s="29">
        <v>112</v>
      </c>
      <c r="JP179" s="19"/>
      <c r="JQ179" s="93"/>
      <c r="JR179" s="93"/>
      <c r="JS179" s="93"/>
      <c r="JT179" s="93"/>
      <c r="JU179" s="20"/>
      <c r="JV179" s="29">
        <v>112</v>
      </c>
      <c r="JW179" s="1504">
        <v>39904</v>
      </c>
      <c r="JX179" s="19"/>
      <c r="JY179" s="93"/>
      <c r="JZ179" s="93"/>
      <c r="KA179" s="93"/>
      <c r="KB179" s="93"/>
      <c r="KC179" s="93"/>
      <c r="KD179" s="20"/>
      <c r="KE179" s="29">
        <v>112</v>
      </c>
      <c r="KF179" s="19"/>
      <c r="KG179" s="93"/>
      <c r="KH179" s="93"/>
      <c r="KI179" s="93"/>
      <c r="KJ179" s="93"/>
      <c r="KK179" s="20"/>
      <c r="KL179" s="29">
        <v>112</v>
      </c>
      <c r="KM179" s="19"/>
      <c r="KN179" s="93"/>
      <c r="KO179" s="93"/>
      <c r="KP179" s="93"/>
      <c r="KQ179" s="93"/>
      <c r="KR179" s="20"/>
      <c r="KS179" s="29">
        <v>112</v>
      </c>
      <c r="KT179" s="19"/>
      <c r="KU179" s="93"/>
      <c r="KV179" s="93"/>
      <c r="KW179" s="93"/>
      <c r="KX179" s="93"/>
      <c r="KY179" s="20"/>
      <c r="KZ179" s="29">
        <v>112</v>
      </c>
      <c r="LA179" s="1504">
        <v>39904</v>
      </c>
      <c r="LB179" s="19"/>
      <c r="LC179" s="93"/>
      <c r="LD179" s="93"/>
      <c r="LE179" s="93"/>
      <c r="LF179" s="93"/>
      <c r="LG179" s="93"/>
      <c r="LH179" s="20"/>
      <c r="LI179" s="29">
        <v>112</v>
      </c>
      <c r="LJ179" s="19"/>
      <c r="LK179" s="93"/>
      <c r="LL179" s="93"/>
      <c r="LM179" s="93"/>
      <c r="LN179" s="93"/>
      <c r="LO179" s="20"/>
      <c r="LP179" s="29">
        <v>112</v>
      </c>
      <c r="LQ179" s="19"/>
      <c r="LR179" s="93"/>
      <c r="LS179" s="93"/>
      <c r="LT179" s="93"/>
      <c r="LU179" s="93"/>
      <c r="LV179" s="93"/>
      <c r="LW179" s="93"/>
      <c r="LX179" s="93"/>
      <c r="LY179" s="93"/>
      <c r="LZ179" s="93"/>
      <c r="MA179" s="20"/>
      <c r="MB179" s="29">
        <v>112</v>
      </c>
      <c r="MC179" s="1504">
        <v>39904</v>
      </c>
      <c r="MD179" s="19">
        <v>68112.348698999995</v>
      </c>
      <c r="ME179" s="93">
        <v>60087.729782000002</v>
      </c>
      <c r="MF179" s="93">
        <v>60084.119656000003</v>
      </c>
      <c r="MG179" s="93">
        <v>52457.255452000005</v>
      </c>
      <c r="MH179" s="93">
        <v>20688.290172999998</v>
      </c>
      <c r="MI179" s="93">
        <v>501.01992700000005</v>
      </c>
      <c r="MJ179" s="93">
        <v>381.274585</v>
      </c>
      <c r="MK179" s="93">
        <v>23280.424573</v>
      </c>
      <c r="ML179" s="93">
        <v>7144.9596930000007</v>
      </c>
      <c r="MM179" s="93">
        <v>461.28650099999999</v>
      </c>
      <c r="MN179" s="93">
        <v>7626.8642039999995</v>
      </c>
      <c r="MO179" s="93">
        <v>634.13475800000003</v>
      </c>
      <c r="MP179" s="93">
        <v>1246.2767939999999</v>
      </c>
      <c r="MQ179" s="93">
        <v>395.87779700000004</v>
      </c>
      <c r="MR179" s="93">
        <v>4109.1785719999998</v>
      </c>
      <c r="MS179" s="93">
        <v>1241.3962829999998</v>
      </c>
      <c r="MT179" s="93">
        <v>3.6101260000000002</v>
      </c>
      <c r="MU179" s="93">
        <v>8024.6189170000007</v>
      </c>
      <c r="MV179" s="93">
        <v>8024.6189170000007</v>
      </c>
      <c r="MW179" s="93">
        <v>0</v>
      </c>
      <c r="MX179" s="93">
        <v>55845.344900333323</v>
      </c>
      <c r="MY179" s="93">
        <v>57486.652983333319</v>
      </c>
      <c r="MZ179" s="93">
        <v>35658.283149333321</v>
      </c>
      <c r="NA179" s="93">
        <v>16435.532871333322</v>
      </c>
      <c r="NB179" s="93">
        <v>6461.2002630000006</v>
      </c>
      <c r="NC179" s="93">
        <v>1965.0052260000002</v>
      </c>
      <c r="ND179" s="93">
        <v>922.87947200000008</v>
      </c>
      <c r="NE179" s="93">
        <v>1042.1257540000001</v>
      </c>
      <c r="NF179" s="93">
        <v>10796.544788999998</v>
      </c>
      <c r="NG179" s="93">
        <v>238.62526500000061</v>
      </c>
      <c r="NH179" s="93">
        <v>3092.0580169999998</v>
      </c>
      <c r="NI179" s="93">
        <v>0</v>
      </c>
      <c r="NJ179" s="93">
        <v>1054.8247490000001</v>
      </c>
      <c r="NK179" s="93">
        <v>21828.369833999997</v>
      </c>
      <c r="NL179" s="93">
        <v>10558.365206999999</v>
      </c>
      <c r="NM179" s="93">
        <v>0</v>
      </c>
      <c r="NN179" s="93">
        <v>11270.004627</v>
      </c>
      <c r="NO179" s="93">
        <v>-1641.3080829999999</v>
      </c>
      <c r="NP179" s="93">
        <v>12267.003798666678</v>
      </c>
      <c r="NQ179" s="93">
        <v>4242.3848816666823</v>
      </c>
      <c r="NR179" s="93">
        <v>17477.39473466669</v>
      </c>
      <c r="NS179" s="93">
        <v>15512.38950866668</v>
      </c>
      <c r="NT179" s="93">
        <v>-34220.13815033331</v>
      </c>
      <c r="NU179" s="93">
        <v>-42244.757067333303</v>
      </c>
      <c r="NV179" s="93">
        <v>34460.466393000002</v>
      </c>
      <c r="NW179" s="93">
        <v>2524.6170830000001</v>
      </c>
      <c r="NX179" s="93">
        <v>3245.38571</v>
      </c>
      <c r="NY179" s="93">
        <v>-720.76862699999992</v>
      </c>
      <c r="NZ179" s="93">
        <v>0</v>
      </c>
      <c r="OA179" s="93">
        <v>31935.849310000001</v>
      </c>
      <c r="OB179" s="93">
        <v>-2728.1960759999979</v>
      </c>
      <c r="OC179" s="93">
        <v>34664.045385999998</v>
      </c>
      <c r="OD179" s="20">
        <v>0</v>
      </c>
      <c r="OE179" s="29">
        <v>112</v>
      </c>
      <c r="OF179" s="1504">
        <v>39904</v>
      </c>
      <c r="OG179" s="19"/>
      <c r="OH179" s="93">
        <v>234.01330000000002</v>
      </c>
      <c r="OI179" s="93">
        <v>360.68789319726648</v>
      </c>
      <c r="OJ179" s="93">
        <v>0.37657864600000002</v>
      </c>
      <c r="OK179" s="93">
        <v>303.3971145512665</v>
      </c>
      <c r="OL179" s="93">
        <v>56.914199999999994</v>
      </c>
      <c r="OM179" s="93">
        <v>594.70119319726655</v>
      </c>
      <c r="ON179" s="93">
        <v>344.69942220113467</v>
      </c>
      <c r="OO179" s="93">
        <v>939.40061539840121</v>
      </c>
      <c r="OP179" s="93"/>
      <c r="OQ179" s="93">
        <v>473.73203919285601</v>
      </c>
      <c r="OR179" s="93">
        <v>333.62755506600001</v>
      </c>
      <c r="OS179" s="93">
        <v>140.10448412685599</v>
      </c>
      <c r="OT179" s="93">
        <v>608.7245054135451</v>
      </c>
      <c r="OU179" s="93">
        <v>-135.29417797900001</v>
      </c>
      <c r="OV179" s="93">
        <v>-42.381177978999993</v>
      </c>
      <c r="OW179" s="93">
        <v>-92.913000000000011</v>
      </c>
      <c r="OX179" s="93">
        <v>744.01868339254509</v>
      </c>
      <c r="OY179" s="93">
        <v>2.4356307670000001</v>
      </c>
      <c r="OZ179" s="93">
        <v>741.58305262554506</v>
      </c>
      <c r="PA179" s="93">
        <v>149.16524796999994</v>
      </c>
      <c r="PB179" s="93">
        <v>-6.1093187620000151</v>
      </c>
      <c r="PC179" s="20">
        <v>939.40061539840133</v>
      </c>
      <c r="PD179" s="29">
        <v>112</v>
      </c>
      <c r="PE179" s="19"/>
      <c r="PF179" s="93">
        <v>333.62755506600001</v>
      </c>
      <c r="PG179" s="93">
        <v>472.50938868600002</v>
      </c>
      <c r="PH179" s="93">
        <v>138.88183362000001</v>
      </c>
      <c r="PI179" s="93">
        <v>33.44</v>
      </c>
      <c r="PJ179" s="93">
        <v>-42.381177978999993</v>
      </c>
      <c r="PK179" s="93">
        <v>40.577657652999996</v>
      </c>
      <c r="PL179" s="93">
        <v>82.958835631999989</v>
      </c>
      <c r="PM179" s="93">
        <v>2.4356307670000001</v>
      </c>
      <c r="PN179" s="93">
        <v>0</v>
      </c>
      <c r="PO179" s="93">
        <v>0</v>
      </c>
      <c r="PP179" s="93">
        <v>4.6221800000000003E-4</v>
      </c>
      <c r="PQ179" s="93">
        <v>2.4351685490000001</v>
      </c>
      <c r="PR179" s="93">
        <v>328.36268646299999</v>
      </c>
      <c r="PS179" s="93">
        <v>258.4633</v>
      </c>
      <c r="PT179" s="93">
        <v>69.522807817</v>
      </c>
      <c r="PU179" s="93">
        <v>0.37657864600000002</v>
      </c>
      <c r="PV179" s="93">
        <v>0</v>
      </c>
      <c r="PW179" s="93">
        <v>0.27630165499999998</v>
      </c>
      <c r="PX179" s="93">
        <v>0</v>
      </c>
      <c r="PY179" s="93">
        <v>0</v>
      </c>
      <c r="PZ179" s="93">
        <v>0.27630165499999998</v>
      </c>
      <c r="QA179" s="93">
        <v>0</v>
      </c>
      <c r="QB179" s="93">
        <v>0</v>
      </c>
      <c r="QC179" s="93">
        <v>0</v>
      </c>
      <c r="QD179" s="93">
        <v>2.7946314999999999E-2</v>
      </c>
      <c r="QE179" s="20">
        <v>-1.5449265789999997</v>
      </c>
      <c r="QF179" s="1739">
        <v>112</v>
      </c>
      <c r="QG179" s="19"/>
      <c r="QH179" s="1035">
        <v>140.10448412685599</v>
      </c>
      <c r="QI179" s="1035">
        <v>243.74094737445483</v>
      </c>
      <c r="QJ179" s="1035">
        <v>-103.63646324759884</v>
      </c>
      <c r="QK179" s="1035">
        <v>39.998999999999995</v>
      </c>
      <c r="QL179" s="1035">
        <v>24.45</v>
      </c>
      <c r="QM179" s="1035">
        <v>15.548999999999999</v>
      </c>
      <c r="QN179" s="1035">
        <v>0</v>
      </c>
      <c r="QO179" s="1035">
        <v>-92.913000000000011</v>
      </c>
      <c r="QP179" s="1035">
        <v>43.202000000000005</v>
      </c>
      <c r="QQ179" s="1035">
        <v>-136.11500000000001</v>
      </c>
      <c r="QR179" s="1035">
        <v>741.58305262554506</v>
      </c>
      <c r="QS179" s="1035">
        <v>6.4983810781152602</v>
      </c>
      <c r="QT179" s="1035">
        <v>0</v>
      </c>
      <c r="QU179" s="1035">
        <v>0</v>
      </c>
      <c r="QV179" s="1035">
        <v>735.08467154742982</v>
      </c>
      <c r="QW179" s="93"/>
      <c r="QX179" s="93">
        <v>5.9770000000000003</v>
      </c>
      <c r="QY179" s="93">
        <v>303.3971145512665</v>
      </c>
      <c r="QZ179" s="93">
        <v>344.69942220113467</v>
      </c>
      <c r="RA179" s="93">
        <v>0</v>
      </c>
      <c r="RB179" s="93">
        <v>22.529</v>
      </c>
      <c r="RC179" s="93">
        <v>1.202</v>
      </c>
      <c r="RD179" s="93">
        <v>10.259</v>
      </c>
      <c r="RE179" s="93">
        <v>0</v>
      </c>
      <c r="RF179" s="93">
        <v>0</v>
      </c>
      <c r="RG179" s="93">
        <v>114.87099999999995</v>
      </c>
      <c r="RH179" s="93">
        <v>25.83899999999997</v>
      </c>
      <c r="RI179" s="93"/>
      <c r="RJ179" s="93"/>
      <c r="RK179" s="93"/>
      <c r="RL179" s="93"/>
      <c r="RM179" s="20"/>
      <c r="RN179" s="29">
        <v>112</v>
      </c>
      <c r="RO179" s="19"/>
      <c r="RP179" s="20"/>
      <c r="RQ179" s="29">
        <v>112</v>
      </c>
      <c r="RR179" s="20"/>
      <c r="RS179" s="29">
        <v>112</v>
      </c>
      <c r="RT179" s="1504">
        <v>39904</v>
      </c>
      <c r="RU179" s="19"/>
      <c r="RV179" s="20"/>
      <c r="RW179" s="29">
        <v>112</v>
      </c>
      <c r="RX179" s="1504">
        <v>39904</v>
      </c>
      <c r="RY179" s="29"/>
      <c r="RZ179" s="20"/>
      <c r="SA179" s="29"/>
      <c r="SB179" s="29">
        <v>112</v>
      </c>
    </row>
    <row r="180" spans="1:496">
      <c r="A180" s="41">
        <f t="shared" si="191"/>
        <v>2009</v>
      </c>
      <c r="B180" s="1504">
        <v>39934</v>
      </c>
      <c r="C180" s="1813"/>
      <c r="D180" s="1814"/>
      <c r="E180" s="1814"/>
      <c r="F180" s="1815"/>
      <c r="G180" s="1814"/>
      <c r="H180" s="1814"/>
      <c r="I180" s="1814"/>
      <c r="J180" s="1816"/>
      <c r="K180" s="1807"/>
      <c r="L180" s="25">
        <v>113</v>
      </c>
      <c r="M180" s="97"/>
      <c r="N180" s="1504">
        <v>39934</v>
      </c>
      <c r="O180" s="19"/>
      <c r="P180" s="93"/>
      <c r="Q180" s="93"/>
      <c r="R180" s="93"/>
      <c r="S180" s="93"/>
      <c r="T180" s="93"/>
      <c r="U180" s="93"/>
      <c r="V180" s="93"/>
      <c r="W180" s="93"/>
      <c r="X180" s="93"/>
      <c r="Y180" s="93"/>
      <c r="Z180" s="93"/>
      <c r="AA180" s="93"/>
      <c r="AB180" s="20"/>
      <c r="AC180" s="25">
        <v>113</v>
      </c>
      <c r="AD180" s="97"/>
      <c r="AE180" s="1504">
        <v>39934</v>
      </c>
      <c r="AF180" s="19"/>
      <c r="AG180" s="93"/>
      <c r="AH180" s="93"/>
      <c r="AI180" s="93"/>
      <c r="AJ180" s="93"/>
      <c r="AK180" s="93"/>
      <c r="AL180" s="93"/>
      <c r="AM180" s="93"/>
      <c r="AN180" s="93"/>
      <c r="AO180" s="93"/>
      <c r="AP180" s="93"/>
      <c r="AQ180" s="93"/>
      <c r="AR180" s="93"/>
      <c r="AS180" s="20"/>
      <c r="AT180" s="25">
        <v>113</v>
      </c>
      <c r="AU180" s="97"/>
      <c r="AV180" s="1504">
        <v>39934</v>
      </c>
      <c r="AW180" s="19"/>
      <c r="AX180" s="93"/>
      <c r="AY180" s="93"/>
      <c r="AZ180" s="93"/>
      <c r="BA180" s="93"/>
      <c r="BB180" s="93"/>
      <c r="BC180" s="93"/>
      <c r="BD180" s="93"/>
      <c r="BE180" s="93"/>
      <c r="BF180" s="93"/>
      <c r="BG180" s="93"/>
      <c r="BH180" s="93"/>
      <c r="BI180" s="93"/>
      <c r="BJ180" s="20"/>
      <c r="BK180" s="25">
        <v>113</v>
      </c>
      <c r="BL180" s="97"/>
      <c r="BM180" s="1504">
        <v>39934</v>
      </c>
      <c r="BN180" s="19"/>
      <c r="BO180" s="93"/>
      <c r="BP180" s="93"/>
      <c r="BQ180" s="93"/>
      <c r="BR180" s="93"/>
      <c r="BS180" s="93"/>
      <c r="BT180" s="93"/>
      <c r="BU180" s="20"/>
      <c r="BV180" s="25">
        <v>113</v>
      </c>
      <c r="BW180" s="97"/>
      <c r="BX180" s="1504">
        <v>39934</v>
      </c>
      <c r="BY180" s="19"/>
      <c r="BZ180" s="99">
        <v>664.95699999999999</v>
      </c>
      <c r="CA180" s="93"/>
      <c r="CB180" s="93"/>
      <c r="CC180" s="93"/>
      <c r="CD180" s="25">
        <v>113</v>
      </c>
      <c r="CE180" s="97"/>
      <c r="CF180" s="1504">
        <v>39934</v>
      </c>
      <c r="CG180" s="19">
        <v>1.36576209</v>
      </c>
      <c r="CH180" s="1626">
        <v>928.64499999999998</v>
      </c>
      <c r="CI180" s="219"/>
      <c r="CJ180" s="20"/>
      <c r="CK180" s="19"/>
      <c r="CL180" s="93"/>
      <c r="CM180" s="93"/>
      <c r="CN180" s="93"/>
      <c r="CO180" s="93"/>
      <c r="CP180" s="20"/>
      <c r="CQ180" s="219">
        <v>1406.55</v>
      </c>
      <c r="CR180" s="93">
        <v>2.2225000000000001</v>
      </c>
      <c r="CS180" s="93"/>
      <c r="CT180" s="93"/>
      <c r="CU180" s="93"/>
      <c r="CV180" s="214"/>
      <c r="CW180" s="29">
        <v>113</v>
      </c>
      <c r="CX180" s="41">
        <f t="shared" si="192"/>
        <v>2009</v>
      </c>
      <c r="CY180" s="1504">
        <v>39934</v>
      </c>
      <c r="CZ180" s="1916">
        <v>66.178310999999994</v>
      </c>
      <c r="DA180" s="1526">
        <v>40.756875999999998</v>
      </c>
      <c r="DB180" s="1526">
        <v>25.421434999999999</v>
      </c>
      <c r="DC180" s="182">
        <f t="shared" si="202"/>
        <v>338171</v>
      </c>
      <c r="DD180" s="182">
        <f t="shared" si="203"/>
        <v>337155</v>
      </c>
      <c r="DE180" s="182">
        <f t="shared" si="204"/>
        <v>1016</v>
      </c>
      <c r="DF180" s="29">
        <v>113</v>
      </c>
      <c r="DG180" s="1504">
        <v>39934</v>
      </c>
      <c r="DH180" s="19"/>
      <c r="DI180" s="93"/>
      <c r="DJ180" s="93"/>
      <c r="DK180" s="93"/>
      <c r="DL180" s="93"/>
      <c r="DM180" s="93"/>
      <c r="DN180" s="20"/>
      <c r="DO180" s="25"/>
      <c r="DP180" s="29">
        <v>113</v>
      </c>
      <c r="DQ180" s="1504">
        <v>39934</v>
      </c>
      <c r="DR180" s="19"/>
      <c r="DS180" s="93"/>
      <c r="DT180" s="93"/>
      <c r="DU180" s="93"/>
      <c r="DV180" s="93"/>
      <c r="DW180" s="93"/>
      <c r="DX180" s="20"/>
      <c r="DY180" s="29">
        <v>113</v>
      </c>
      <c r="DZ180" s="1504">
        <v>39934</v>
      </c>
      <c r="EA180" s="19"/>
      <c r="EB180" s="93"/>
      <c r="EC180" s="20"/>
      <c r="ED180" s="29">
        <v>113</v>
      </c>
      <c r="EE180" s="1504">
        <v>39934</v>
      </c>
      <c r="EF180" s="19"/>
      <c r="EG180" s="93"/>
      <c r="EH180" s="93"/>
      <c r="EI180" s="214"/>
      <c r="EJ180" s="93"/>
      <c r="EK180" s="93"/>
      <c r="EL180" s="93"/>
      <c r="EM180" s="93"/>
      <c r="EN180" s="20"/>
      <c r="EO180" s="29">
        <v>113</v>
      </c>
      <c r="EP180" s="1504">
        <v>39934</v>
      </c>
      <c r="EQ180" s="19"/>
      <c r="ER180" s="93"/>
      <c r="ES180" s="93"/>
      <c r="ET180" s="214"/>
      <c r="EU180" s="93"/>
      <c r="EV180" s="93"/>
      <c r="EW180" s="93"/>
      <c r="EX180" s="93"/>
      <c r="EY180" s="20"/>
      <c r="EZ180" s="29">
        <v>113</v>
      </c>
      <c r="FA180" s="1504">
        <v>39934</v>
      </c>
      <c r="FB180" s="29"/>
      <c r="FC180" s="29"/>
      <c r="FD180" s="29"/>
      <c r="FE180" s="29"/>
      <c r="FF180" s="29"/>
      <c r="FG180" s="29"/>
      <c r="FH180" s="29"/>
      <c r="FI180" s="29"/>
      <c r="FJ180" s="29"/>
      <c r="FK180" s="29">
        <v>113</v>
      </c>
      <c r="FL180" s="1504">
        <v>39934</v>
      </c>
      <c r="FM180" s="19">
        <v>103.05685195574046</v>
      </c>
      <c r="FN180" s="93">
        <v>109.71723224196968</v>
      </c>
      <c r="FO180" s="93">
        <v>102.34068203249001</v>
      </c>
      <c r="FP180" s="93">
        <v>93.889876938134634</v>
      </c>
      <c r="FQ180" s="93">
        <v>104.70404277921649</v>
      </c>
      <c r="FR180" s="93">
        <v>83.218945081702856</v>
      </c>
      <c r="FS180" s="93">
        <v>79.852946442425718</v>
      </c>
      <c r="FT180" s="93">
        <v>107.9984244261686</v>
      </c>
      <c r="FU180" s="93">
        <v>114.4439537354227</v>
      </c>
      <c r="FV180" s="93">
        <v>78.707074565225</v>
      </c>
      <c r="FW180" s="93">
        <v>107.35387149524318</v>
      </c>
      <c r="FX180" s="93">
        <v>118.16803733632506</v>
      </c>
      <c r="FY180" s="93">
        <v>85.797156805404484</v>
      </c>
      <c r="FZ180" s="29">
        <v>113</v>
      </c>
      <c r="GA180" s="1504">
        <v>39934</v>
      </c>
      <c r="GB180" s="733">
        <v>103.08022922636104</v>
      </c>
      <c r="GC180" s="570">
        <v>99.140401146131822</v>
      </c>
      <c r="GD180" s="570">
        <v>104.94269340974213</v>
      </c>
      <c r="GE180" s="570">
        <v>116.54727793696274</v>
      </c>
      <c r="GF180" s="570">
        <v>110.67335243553009</v>
      </c>
      <c r="GG180" s="570">
        <v>98.85386819484242</v>
      </c>
      <c r="GH180" s="93"/>
      <c r="GI180" s="93"/>
      <c r="GJ180" s="93"/>
      <c r="GK180" s="93"/>
      <c r="GL180" s="93"/>
      <c r="GM180" s="93"/>
      <c r="GN180" s="20"/>
      <c r="GO180" s="29">
        <v>113</v>
      </c>
      <c r="GP180" s="1504">
        <v>39934</v>
      </c>
      <c r="GQ180" s="19"/>
      <c r="GR180" s="93"/>
      <c r="GS180" s="93"/>
      <c r="GT180" s="93"/>
      <c r="GU180" s="93"/>
      <c r="GV180" s="20"/>
      <c r="GW180" s="19"/>
      <c r="GX180" s="93"/>
      <c r="GY180" s="93"/>
      <c r="GZ180" s="93"/>
      <c r="HA180" s="93"/>
      <c r="HB180" s="20"/>
      <c r="HC180" s="19"/>
      <c r="HD180" s="93"/>
      <c r="HE180" s="93"/>
      <c r="HF180" s="93"/>
      <c r="HG180" s="93"/>
      <c r="HH180" s="20"/>
      <c r="HI180" s="19"/>
      <c r="HJ180" s="93"/>
      <c r="HK180" s="93"/>
      <c r="HL180" s="93"/>
      <c r="HM180" s="93"/>
      <c r="HN180" s="20"/>
      <c r="HO180" s="219"/>
      <c r="HP180" s="20"/>
      <c r="HQ180" s="25"/>
      <c r="HR180" s="29">
        <v>113</v>
      </c>
      <c r="HS180" s="1504">
        <v>39934</v>
      </c>
      <c r="HT180" s="179">
        <v>161.76966857910156</v>
      </c>
      <c r="HU180" s="99">
        <v>190.68739929199219</v>
      </c>
      <c r="HV180" s="99">
        <v>153.44826965332032</v>
      </c>
      <c r="HW180" s="99">
        <v>141.58576456705728</v>
      </c>
      <c r="HX180" s="99">
        <v>161.26279830932617</v>
      </c>
      <c r="HY180" s="99">
        <v>164.6341522216797</v>
      </c>
      <c r="HZ180" s="99">
        <v>196.61794433593749</v>
      </c>
      <c r="IA180" s="132">
        <v>141.12903594970703</v>
      </c>
      <c r="IB180" s="179">
        <v>234.09090423583984</v>
      </c>
      <c r="IC180" s="99">
        <v>126.94300689697266</v>
      </c>
      <c r="ID180" s="99">
        <v>142.85714721679688</v>
      </c>
      <c r="IE180" s="99">
        <v>120.33515167236328</v>
      </c>
      <c r="IF180" s="99">
        <v>164.93609619140625</v>
      </c>
      <c r="IG180" s="132">
        <v>135.78679656982422</v>
      </c>
      <c r="IH180" s="179">
        <v>132.47126464843751</v>
      </c>
      <c r="II180" s="99">
        <v>172.36183929443359</v>
      </c>
      <c r="IJ180" s="99">
        <v>153.44826965332032</v>
      </c>
      <c r="IK180" s="99">
        <v>151.78572082519531</v>
      </c>
      <c r="IL180" s="99">
        <v>152.64228210449218</v>
      </c>
      <c r="IM180" s="99">
        <v>141.12903594970703</v>
      </c>
      <c r="IN180" s="93"/>
      <c r="IO180" s="132">
        <v>184.34681701660156</v>
      </c>
      <c r="IP180" s="29">
        <v>113</v>
      </c>
      <c r="IQ180" s="19"/>
      <c r="IR180" s="93"/>
      <c r="IS180" s="93"/>
      <c r="IT180" s="93"/>
      <c r="IU180" s="93"/>
      <c r="IV180" s="20"/>
      <c r="IW180" s="29">
        <v>113</v>
      </c>
      <c r="IX180" s="19"/>
      <c r="IY180" s="93"/>
      <c r="IZ180" s="93"/>
      <c r="JA180" s="93"/>
      <c r="JB180" s="93"/>
      <c r="JC180" s="93"/>
      <c r="JD180" s="93"/>
      <c r="JE180" s="20"/>
      <c r="JF180" s="29">
        <v>113</v>
      </c>
      <c r="JG180" s="19"/>
      <c r="JH180" s="93"/>
      <c r="JI180" s="93"/>
      <c r="JJ180" s="93"/>
      <c r="JK180" s="93"/>
      <c r="JL180" s="93"/>
      <c r="JM180" s="93"/>
      <c r="JN180" s="20"/>
      <c r="JO180" s="29">
        <v>113</v>
      </c>
      <c r="JP180" s="19"/>
      <c r="JQ180" s="93"/>
      <c r="JR180" s="93"/>
      <c r="JS180" s="93"/>
      <c r="JT180" s="93"/>
      <c r="JU180" s="20"/>
      <c r="JV180" s="29">
        <v>113</v>
      </c>
      <c r="JW180" s="1504">
        <v>39934</v>
      </c>
      <c r="JX180" s="19"/>
      <c r="JY180" s="93"/>
      <c r="JZ180" s="93"/>
      <c r="KA180" s="93"/>
      <c r="KB180" s="93"/>
      <c r="KC180" s="93"/>
      <c r="KD180" s="20"/>
      <c r="KE180" s="29">
        <v>113</v>
      </c>
      <c r="KF180" s="19"/>
      <c r="KG180" s="93"/>
      <c r="KH180" s="93"/>
      <c r="KI180" s="93"/>
      <c r="KJ180" s="93"/>
      <c r="KK180" s="20"/>
      <c r="KL180" s="29">
        <v>113</v>
      </c>
      <c r="KM180" s="19"/>
      <c r="KN180" s="93"/>
      <c r="KO180" s="93"/>
      <c r="KP180" s="93"/>
      <c r="KQ180" s="93"/>
      <c r="KR180" s="20"/>
      <c r="KS180" s="29">
        <v>113</v>
      </c>
      <c r="KT180" s="19"/>
      <c r="KU180" s="93"/>
      <c r="KV180" s="93"/>
      <c r="KW180" s="93"/>
      <c r="KX180" s="93"/>
      <c r="KY180" s="20"/>
      <c r="KZ180" s="29">
        <v>113</v>
      </c>
      <c r="LA180" s="1504">
        <v>39934</v>
      </c>
      <c r="LB180" s="19"/>
      <c r="LC180" s="93"/>
      <c r="LD180" s="93"/>
      <c r="LE180" s="93"/>
      <c r="LF180" s="93"/>
      <c r="LG180" s="93"/>
      <c r="LH180" s="20"/>
      <c r="LI180" s="29">
        <v>113</v>
      </c>
      <c r="LJ180" s="19"/>
      <c r="LK180" s="93"/>
      <c r="LL180" s="93"/>
      <c r="LM180" s="93"/>
      <c r="LN180" s="93"/>
      <c r="LO180" s="20"/>
      <c r="LP180" s="29">
        <v>113</v>
      </c>
      <c r="LQ180" s="19"/>
      <c r="LR180" s="93"/>
      <c r="LS180" s="93"/>
      <c r="LT180" s="93"/>
      <c r="LU180" s="93"/>
      <c r="LV180" s="93"/>
      <c r="LW180" s="93"/>
      <c r="LX180" s="93"/>
      <c r="LY180" s="93"/>
      <c r="LZ180" s="93"/>
      <c r="MA180" s="20"/>
      <c r="MB180" s="29">
        <v>113</v>
      </c>
      <c r="MC180" s="1504">
        <v>39934</v>
      </c>
      <c r="MD180" s="19">
        <v>45059.675600000002</v>
      </c>
      <c r="ME180" s="93">
        <v>41574.185596000003</v>
      </c>
      <c r="MF180" s="93">
        <v>41574.049594999997</v>
      </c>
      <c r="MG180" s="93">
        <v>38819.626508999994</v>
      </c>
      <c r="MH180" s="93">
        <v>10165.946255999999</v>
      </c>
      <c r="MI180" s="93">
        <v>472.79563299999995</v>
      </c>
      <c r="MJ180" s="93">
        <v>225.84989800000002</v>
      </c>
      <c r="MK180" s="93">
        <v>20143.085995000001</v>
      </c>
      <c r="ML180" s="93">
        <v>7352.976482</v>
      </c>
      <c r="MM180" s="93">
        <v>458.97224499999999</v>
      </c>
      <c r="MN180" s="93">
        <v>2754.4230860000002</v>
      </c>
      <c r="MO180" s="93">
        <v>87.681819000000019</v>
      </c>
      <c r="MP180" s="93">
        <v>1152.8212229999999</v>
      </c>
      <c r="MQ180" s="93">
        <v>374.72693299999992</v>
      </c>
      <c r="MR180" s="93">
        <v>73.703090000000088</v>
      </c>
      <c r="MS180" s="93">
        <v>1065.4900210000001</v>
      </c>
      <c r="MT180" s="93">
        <v>0.13600100000000001</v>
      </c>
      <c r="MU180" s="93">
        <v>3485.4900040000002</v>
      </c>
      <c r="MV180" s="93">
        <v>3485.4900040000002</v>
      </c>
      <c r="MW180" s="93">
        <v>0</v>
      </c>
      <c r="MX180" s="93">
        <v>72003.231387833337</v>
      </c>
      <c r="MY180" s="93">
        <v>72108.992050833345</v>
      </c>
      <c r="MZ180" s="93">
        <v>44905.795520833351</v>
      </c>
      <c r="NA180" s="93">
        <v>22720.701749333351</v>
      </c>
      <c r="NB180" s="93">
        <v>11653.312049999997</v>
      </c>
      <c r="NC180" s="93">
        <v>1396.639721</v>
      </c>
      <c r="ND180" s="93">
        <v>123.663072</v>
      </c>
      <c r="NE180" s="93">
        <v>1272.976649</v>
      </c>
      <c r="NF180" s="93">
        <v>9135.1420005000018</v>
      </c>
      <c r="NG180" s="93">
        <v>260.34124550000018</v>
      </c>
      <c r="NH180" s="93">
        <v>434.6378969999999</v>
      </c>
      <c r="NI180" s="93">
        <v>0</v>
      </c>
      <c r="NJ180" s="93">
        <v>0</v>
      </c>
      <c r="NK180" s="93">
        <v>27203.196530000001</v>
      </c>
      <c r="NL180" s="93">
        <v>11560.641391000003</v>
      </c>
      <c r="NM180" s="93">
        <v>262.66699999999997</v>
      </c>
      <c r="NN180" s="93">
        <v>15379.888139000001</v>
      </c>
      <c r="NO180" s="93">
        <v>-105.76066300000041</v>
      </c>
      <c r="NP180" s="93">
        <v>-26943.555787833342</v>
      </c>
      <c r="NQ180" s="93">
        <v>-30429.045791833341</v>
      </c>
      <c r="NR180" s="93">
        <v>-13652.517931833341</v>
      </c>
      <c r="NS180" s="93">
        <v>-15049.157652833343</v>
      </c>
      <c r="NT180" s="93">
        <v>-6511.6555968333487</v>
      </c>
      <c r="NU180" s="93">
        <v>-9997.1456008333498</v>
      </c>
      <c r="NV180" s="93">
        <v>7475.4807349999955</v>
      </c>
      <c r="NW180" s="93">
        <v>10200.458656999999</v>
      </c>
      <c r="NX180" s="93">
        <v>11894.398134999999</v>
      </c>
      <c r="NY180" s="93">
        <v>-1693.939478</v>
      </c>
      <c r="NZ180" s="93">
        <v>0</v>
      </c>
      <c r="OA180" s="93">
        <v>-2724.9779220000041</v>
      </c>
      <c r="OB180" s="93">
        <v>12117.971358999999</v>
      </c>
      <c r="OC180" s="93">
        <v>-14842.949281000003</v>
      </c>
      <c r="OD180" s="20">
        <v>0</v>
      </c>
      <c r="OE180" s="29">
        <v>113</v>
      </c>
      <c r="OF180" s="1504">
        <v>39934</v>
      </c>
      <c r="OG180" s="19"/>
      <c r="OH180" s="93">
        <v>244.11569999999998</v>
      </c>
      <c r="OI180" s="93">
        <v>357.10547923478407</v>
      </c>
      <c r="OJ180" s="93">
        <v>0.38765069799999996</v>
      </c>
      <c r="OK180" s="93">
        <v>296.35482853678405</v>
      </c>
      <c r="OL180" s="93">
        <v>60.363</v>
      </c>
      <c r="OM180" s="93">
        <v>601.22117923478402</v>
      </c>
      <c r="ON180" s="93">
        <v>366.61834828168071</v>
      </c>
      <c r="OO180" s="93">
        <v>967.83952751646473</v>
      </c>
      <c r="OP180" s="93"/>
      <c r="OQ180" s="93">
        <v>484.60693436507984</v>
      </c>
      <c r="OR180" s="93">
        <v>341.78004150300001</v>
      </c>
      <c r="OS180" s="93">
        <v>142.8268928620798</v>
      </c>
      <c r="OT180" s="93">
        <v>624.64719510338489</v>
      </c>
      <c r="OU180" s="93">
        <v>-114.001775483</v>
      </c>
      <c r="OV180" s="93">
        <v>-17.875775482999998</v>
      </c>
      <c r="OW180" s="93">
        <v>-96.126000000000005</v>
      </c>
      <c r="OX180" s="93">
        <v>738.64897058638485</v>
      </c>
      <c r="OY180" s="93">
        <v>2.5346866300000004</v>
      </c>
      <c r="OZ180" s="93">
        <v>736.11428395638495</v>
      </c>
      <c r="PA180" s="93">
        <v>154.73013392000044</v>
      </c>
      <c r="PB180" s="93">
        <v>-13.315531968000002</v>
      </c>
      <c r="PC180" s="20">
        <v>967.83952751646427</v>
      </c>
      <c r="PD180" s="29">
        <v>113</v>
      </c>
      <c r="PE180" s="19"/>
      <c r="PF180" s="93">
        <v>341.78004150300001</v>
      </c>
      <c r="PG180" s="93">
        <v>481.00487228100002</v>
      </c>
      <c r="PH180" s="93">
        <v>139.22483077800001</v>
      </c>
      <c r="PI180" s="93">
        <v>23.643999999999998</v>
      </c>
      <c r="PJ180" s="93">
        <v>-17.875775482999998</v>
      </c>
      <c r="PK180" s="93">
        <v>40.592114215999999</v>
      </c>
      <c r="PL180" s="93">
        <v>58.467889698999997</v>
      </c>
      <c r="PM180" s="93">
        <v>2.5346866300000004</v>
      </c>
      <c r="PN180" s="93">
        <v>0</v>
      </c>
      <c r="PO180" s="93">
        <v>0</v>
      </c>
      <c r="PP180" s="93">
        <v>6.6030199999999998E-4</v>
      </c>
      <c r="PQ180" s="93">
        <v>2.5340263280000004</v>
      </c>
      <c r="PR180" s="93">
        <v>350.51144835600002</v>
      </c>
      <c r="PS180" s="93">
        <v>269.90969999999999</v>
      </c>
      <c r="PT180" s="93">
        <v>80.214097658</v>
      </c>
      <c r="PU180" s="93">
        <v>0.38765069799999996</v>
      </c>
      <c r="PV180" s="93">
        <v>0</v>
      </c>
      <c r="PW180" s="93">
        <v>0.40151283399999999</v>
      </c>
      <c r="PX180" s="93">
        <v>0</v>
      </c>
      <c r="PY180" s="93">
        <v>0</v>
      </c>
      <c r="PZ180" s="93">
        <v>0.40151283399999999</v>
      </c>
      <c r="QA180" s="93">
        <v>0</v>
      </c>
      <c r="QB180" s="93">
        <v>0</v>
      </c>
      <c r="QC180" s="93">
        <v>0</v>
      </c>
      <c r="QD180" s="93">
        <v>-0.59837891399999998</v>
      </c>
      <c r="QE180" s="20">
        <v>-0.23162962599999987</v>
      </c>
      <c r="QF180" s="1739">
        <v>113</v>
      </c>
      <c r="QG180" s="19"/>
      <c r="QH180" s="1035">
        <v>142.8268928620798</v>
      </c>
      <c r="QI180" s="1035">
        <v>245.53271604361504</v>
      </c>
      <c r="QJ180" s="1035">
        <v>-102.70582318153524</v>
      </c>
      <c r="QK180" s="1035">
        <v>42.477000000000004</v>
      </c>
      <c r="QL180" s="1035">
        <v>25.794</v>
      </c>
      <c r="QM180" s="1035">
        <v>16.683</v>
      </c>
      <c r="QN180" s="1035">
        <v>0</v>
      </c>
      <c r="QO180" s="1035">
        <v>-96.126000000000005</v>
      </c>
      <c r="QP180" s="1035">
        <v>42.285999999999994</v>
      </c>
      <c r="QQ180" s="1035">
        <v>-138.41200000000001</v>
      </c>
      <c r="QR180" s="1035">
        <v>736.11428395638495</v>
      </c>
      <c r="QS180" s="1035">
        <v>6.4780250987020738</v>
      </c>
      <c r="QT180" s="1035">
        <v>0</v>
      </c>
      <c r="QU180" s="1035">
        <v>0</v>
      </c>
      <c r="QV180" s="1035">
        <v>729.63625885768283</v>
      </c>
      <c r="QW180" s="93"/>
      <c r="QX180" s="93">
        <v>9.0329999999999995</v>
      </c>
      <c r="QY180" s="93">
        <v>296.35482853678405</v>
      </c>
      <c r="QZ180" s="93">
        <v>366.61834828168077</v>
      </c>
      <c r="RA180" s="93">
        <v>0</v>
      </c>
      <c r="RB180" s="93">
        <v>23.627000000000002</v>
      </c>
      <c r="RC180" s="93">
        <v>1.202</v>
      </c>
      <c r="RD180" s="93">
        <v>11.992999999999999</v>
      </c>
      <c r="RE180" s="93">
        <v>0</v>
      </c>
      <c r="RF180" s="93">
        <v>0</v>
      </c>
      <c r="RG180" s="93">
        <v>118.10500000000044</v>
      </c>
      <c r="RH180" s="93">
        <v>-1.6410000000000053</v>
      </c>
      <c r="RI180" s="93"/>
      <c r="RJ180" s="93"/>
      <c r="RK180" s="93"/>
      <c r="RL180" s="93"/>
      <c r="RM180" s="20"/>
      <c r="RN180" s="29">
        <v>113</v>
      </c>
      <c r="RO180" s="19"/>
      <c r="RP180" s="20"/>
      <c r="RQ180" s="29">
        <v>113</v>
      </c>
      <c r="RR180" s="20"/>
      <c r="RS180" s="29">
        <v>113</v>
      </c>
      <c r="RT180" s="1504">
        <v>39934</v>
      </c>
      <c r="RU180" s="19"/>
      <c r="RV180" s="20"/>
      <c r="RW180" s="29">
        <v>113</v>
      </c>
      <c r="RX180" s="1504">
        <v>39934</v>
      </c>
      <c r="RY180" s="29"/>
      <c r="RZ180" s="20"/>
      <c r="SA180" s="29"/>
      <c r="SB180" s="29">
        <v>113</v>
      </c>
    </row>
    <row r="181" spans="1:496">
      <c r="A181" s="41">
        <f t="shared" si="191"/>
        <v>2009</v>
      </c>
      <c r="B181" s="1504">
        <v>39965</v>
      </c>
      <c r="C181" s="1813"/>
      <c r="D181" s="1814"/>
      <c r="E181" s="1814"/>
      <c r="F181" s="1815"/>
      <c r="G181" s="1814"/>
      <c r="H181" s="1814"/>
      <c r="I181" s="1814"/>
      <c r="J181" s="1816"/>
      <c r="K181" s="1807"/>
      <c r="L181" s="25">
        <v>114</v>
      </c>
      <c r="M181" s="97"/>
      <c r="N181" s="1504">
        <v>39965</v>
      </c>
      <c r="O181" s="19"/>
      <c r="P181" s="93"/>
      <c r="Q181" s="93"/>
      <c r="R181" s="93"/>
      <c r="S181" s="93"/>
      <c r="T181" s="93"/>
      <c r="U181" s="93"/>
      <c r="V181" s="93"/>
      <c r="W181" s="93"/>
      <c r="X181" s="93"/>
      <c r="Y181" s="93"/>
      <c r="Z181" s="93"/>
      <c r="AA181" s="93"/>
      <c r="AB181" s="20"/>
      <c r="AC181" s="25">
        <v>114</v>
      </c>
      <c r="AD181" s="97"/>
      <c r="AE181" s="1504">
        <v>39965</v>
      </c>
      <c r="AF181" s="19"/>
      <c r="AG181" s="93"/>
      <c r="AH181" s="93"/>
      <c r="AI181" s="93"/>
      <c r="AJ181" s="93"/>
      <c r="AK181" s="93"/>
      <c r="AL181" s="93"/>
      <c r="AM181" s="93"/>
      <c r="AN181" s="93"/>
      <c r="AO181" s="93"/>
      <c r="AP181" s="93"/>
      <c r="AQ181" s="93"/>
      <c r="AR181" s="93"/>
      <c r="AS181" s="20"/>
      <c r="AT181" s="25">
        <v>114</v>
      </c>
      <c r="AU181" s="97"/>
      <c r="AV181" s="1504">
        <v>39965</v>
      </c>
      <c r="AW181" s="19"/>
      <c r="AX181" s="93"/>
      <c r="AY181" s="93"/>
      <c r="AZ181" s="93"/>
      <c r="BA181" s="93"/>
      <c r="BB181" s="93"/>
      <c r="BC181" s="93"/>
      <c r="BD181" s="93"/>
      <c r="BE181" s="93"/>
      <c r="BF181" s="93"/>
      <c r="BG181" s="93"/>
      <c r="BH181" s="93"/>
      <c r="BI181" s="93"/>
      <c r="BJ181" s="20"/>
      <c r="BK181" s="25">
        <v>114</v>
      </c>
      <c r="BL181" s="97"/>
      <c r="BM181" s="1504">
        <v>39965</v>
      </c>
      <c r="BN181" s="19"/>
      <c r="BO181" s="93"/>
      <c r="BP181" s="93"/>
      <c r="BQ181" s="93"/>
      <c r="BR181" s="93"/>
      <c r="BS181" s="93"/>
      <c r="BT181" s="93"/>
      <c r="BU181" s="20"/>
      <c r="BV181" s="25">
        <v>114</v>
      </c>
      <c r="BW181" s="97"/>
      <c r="BX181" s="1504">
        <v>39965</v>
      </c>
      <c r="BY181" s="19"/>
      <c r="BZ181" s="99">
        <v>664.95699999999999</v>
      </c>
      <c r="CA181" s="93"/>
      <c r="CB181" s="93"/>
      <c r="CC181" s="93"/>
      <c r="CD181" s="25">
        <v>114</v>
      </c>
      <c r="CE181" s="97"/>
      <c r="CF181" s="1504">
        <v>39965</v>
      </c>
      <c r="CG181" s="19">
        <v>1.3536366799999999</v>
      </c>
      <c r="CH181" s="1626">
        <v>945.67</v>
      </c>
      <c r="CI181" s="219"/>
      <c r="CJ181" s="20"/>
      <c r="CK181" s="19"/>
      <c r="CL181" s="93"/>
      <c r="CM181" s="93"/>
      <c r="CN181" s="93"/>
      <c r="CO181" s="93"/>
      <c r="CP181" s="20"/>
      <c r="CQ181" s="219">
        <v>1338.81</v>
      </c>
      <c r="CR181" s="93">
        <v>2.4075000000000002</v>
      </c>
      <c r="CS181" s="93"/>
      <c r="CT181" s="93"/>
      <c r="CU181" s="93"/>
      <c r="CV181" s="214"/>
      <c r="CW181" s="29">
        <v>114</v>
      </c>
      <c r="CX181" s="41">
        <f t="shared" si="192"/>
        <v>2009</v>
      </c>
      <c r="CY181" s="1504">
        <v>39965</v>
      </c>
      <c r="CZ181" s="1916">
        <v>62.787694999999999</v>
      </c>
      <c r="DA181" s="1526">
        <v>39.194986999999998</v>
      </c>
      <c r="DB181" s="1526">
        <v>23.592707999999998</v>
      </c>
      <c r="DC181" s="182">
        <f t="shared" si="202"/>
        <v>338171</v>
      </c>
      <c r="DD181" s="182">
        <f t="shared" si="203"/>
        <v>337155</v>
      </c>
      <c r="DE181" s="182">
        <f t="shared" si="204"/>
        <v>1016</v>
      </c>
      <c r="DF181" s="29">
        <v>114</v>
      </c>
      <c r="DG181" s="1504">
        <v>39965</v>
      </c>
      <c r="DH181" s="19"/>
      <c r="DI181" s="93"/>
      <c r="DJ181" s="93"/>
      <c r="DK181" s="93"/>
      <c r="DL181" s="93"/>
      <c r="DM181" s="93"/>
      <c r="DN181" s="20"/>
      <c r="DO181" s="25"/>
      <c r="DP181" s="29">
        <v>114</v>
      </c>
      <c r="DQ181" s="1504">
        <v>39965</v>
      </c>
      <c r="DR181" s="19"/>
      <c r="DS181" s="93"/>
      <c r="DT181" s="93"/>
      <c r="DU181" s="93"/>
      <c r="DV181" s="93"/>
      <c r="DW181" s="93"/>
      <c r="DX181" s="20"/>
      <c r="DY181" s="29">
        <v>114</v>
      </c>
      <c r="DZ181" s="1504">
        <v>39965</v>
      </c>
      <c r="EA181" s="19"/>
      <c r="EB181" s="93"/>
      <c r="EC181" s="20"/>
      <c r="ED181" s="29">
        <v>114</v>
      </c>
      <c r="EE181" s="1504">
        <v>39965</v>
      </c>
      <c r="EF181" s="19"/>
      <c r="EG181" s="93"/>
      <c r="EH181" s="93"/>
      <c r="EI181" s="214"/>
      <c r="EJ181" s="93"/>
      <c r="EK181" s="93"/>
      <c r="EL181" s="93"/>
      <c r="EM181" s="93"/>
      <c r="EN181" s="20"/>
      <c r="EO181" s="29">
        <v>114</v>
      </c>
      <c r="EP181" s="1504">
        <v>39965</v>
      </c>
      <c r="EQ181" s="19"/>
      <c r="ER181" s="93"/>
      <c r="ES181" s="93"/>
      <c r="ET181" s="214"/>
      <c r="EU181" s="93"/>
      <c r="EV181" s="93"/>
      <c r="EW181" s="93"/>
      <c r="EX181" s="93"/>
      <c r="EY181" s="20"/>
      <c r="EZ181" s="29">
        <v>114</v>
      </c>
      <c r="FA181" s="1504">
        <v>39965</v>
      </c>
      <c r="FB181" s="29"/>
      <c r="FC181" s="29"/>
      <c r="FD181" s="29"/>
      <c r="FE181" s="29"/>
      <c r="FF181" s="29"/>
      <c r="FG181" s="29"/>
      <c r="FH181" s="29"/>
      <c r="FI181" s="29"/>
      <c r="FJ181" s="29"/>
      <c r="FK181" s="29">
        <v>114</v>
      </c>
      <c r="FL181" s="1504">
        <v>39965</v>
      </c>
      <c r="FM181" s="19">
        <v>103.41493691736568</v>
      </c>
      <c r="FN181" s="93">
        <v>110.36178517289508</v>
      </c>
      <c r="FO181" s="93">
        <v>102.48391601714009</v>
      </c>
      <c r="FP181" s="93">
        <v>93.746642953484539</v>
      </c>
      <c r="FQ181" s="93">
        <v>106.20799961804246</v>
      </c>
      <c r="FR181" s="93">
        <v>83.218945081702856</v>
      </c>
      <c r="FS181" s="93">
        <v>79.852946442425718</v>
      </c>
      <c r="FT181" s="93">
        <v>107.9984244261686</v>
      </c>
      <c r="FU181" s="93">
        <v>114.4439537354227</v>
      </c>
      <c r="FV181" s="93">
        <v>78.707074565225</v>
      </c>
      <c r="FW181" s="93">
        <v>107.35387149524318</v>
      </c>
      <c r="FX181" s="93">
        <v>118.16803733632506</v>
      </c>
      <c r="FY181" s="93">
        <v>85.797156805404484</v>
      </c>
      <c r="FZ181" s="29">
        <v>114</v>
      </c>
      <c r="GA181" s="1504">
        <v>39965</v>
      </c>
      <c r="GB181" s="733">
        <v>103.4383954154728</v>
      </c>
      <c r="GC181" s="570">
        <v>99.212034383954162</v>
      </c>
      <c r="GD181" s="570">
        <v>105.44412607449857</v>
      </c>
      <c r="GE181" s="570">
        <v>117.12034383954156</v>
      </c>
      <c r="GF181" s="570">
        <v>112.10601719197709</v>
      </c>
      <c r="GG181" s="570">
        <v>98.85386819484242</v>
      </c>
      <c r="GH181" s="93"/>
      <c r="GI181" s="93"/>
      <c r="GJ181" s="93"/>
      <c r="GK181" s="93"/>
      <c r="GL181" s="93"/>
      <c r="GM181" s="93"/>
      <c r="GN181" s="20"/>
      <c r="GO181" s="29">
        <v>114</v>
      </c>
      <c r="GP181" s="1504">
        <v>39965</v>
      </c>
      <c r="GQ181" s="19"/>
      <c r="GR181" s="93"/>
      <c r="GS181" s="93"/>
      <c r="GT181" s="93"/>
      <c r="GU181" s="93"/>
      <c r="GV181" s="20"/>
      <c r="GW181" s="19"/>
      <c r="GX181" s="93"/>
      <c r="GY181" s="93"/>
      <c r="GZ181" s="93"/>
      <c r="HA181" s="93"/>
      <c r="HB181" s="20"/>
      <c r="HC181" s="19"/>
      <c r="HD181" s="93"/>
      <c r="HE181" s="93"/>
      <c r="HF181" s="93"/>
      <c r="HG181" s="93"/>
      <c r="HH181" s="20"/>
      <c r="HI181" s="19"/>
      <c r="HJ181" s="93"/>
      <c r="HK181" s="93"/>
      <c r="HL181" s="93"/>
      <c r="HM181" s="93"/>
      <c r="HN181" s="20"/>
      <c r="HO181" s="219"/>
      <c r="HP181" s="20"/>
      <c r="HQ181" s="25"/>
      <c r="HR181" s="29">
        <v>114</v>
      </c>
      <c r="HS181" s="1504">
        <v>39965</v>
      </c>
      <c r="HT181" s="179">
        <v>172.30409240722656</v>
      </c>
      <c r="HU181" s="99">
        <v>195.39650344848633</v>
      </c>
      <c r="HV181" s="99">
        <v>147.80405426025391</v>
      </c>
      <c r="HW181" s="99">
        <v>133.49514770507813</v>
      </c>
      <c r="HX181" s="99">
        <v>160.4095573425293</v>
      </c>
      <c r="HY181" s="99">
        <v>174.34508005777994</v>
      </c>
      <c r="HZ181" s="99">
        <v>192.89422798156738</v>
      </c>
      <c r="IA181" s="132">
        <v>151.55228805541992</v>
      </c>
      <c r="IB181" s="179">
        <v>246.34147262573242</v>
      </c>
      <c r="IC181" s="99">
        <v>141.83938217163086</v>
      </c>
      <c r="ID181" s="99">
        <v>142.85714721679688</v>
      </c>
      <c r="IE181" s="99">
        <v>119.80830078125</v>
      </c>
      <c r="IF181" s="99">
        <v>179.33333129882811</v>
      </c>
      <c r="IG181" s="132">
        <v>138.07106018066406</v>
      </c>
      <c r="IH181" s="179">
        <v>138.90293121337891</v>
      </c>
      <c r="II181" s="99">
        <v>175.71059417724609</v>
      </c>
      <c r="IJ181" s="99">
        <v>155.17240905761719</v>
      </c>
      <c r="IK181" s="99">
        <v>151.78572082519531</v>
      </c>
      <c r="IL181" s="99">
        <v>152.60840606689453</v>
      </c>
      <c r="IM181" s="99">
        <v>151.61290740966797</v>
      </c>
      <c r="IN181" s="93"/>
      <c r="IO181" s="132">
        <v>173.78803443908691</v>
      </c>
      <c r="IP181" s="29">
        <v>114</v>
      </c>
      <c r="IQ181" s="19"/>
      <c r="IR181" s="93"/>
      <c r="IS181" s="93"/>
      <c r="IT181" s="93"/>
      <c r="IU181" s="93"/>
      <c r="IV181" s="20"/>
      <c r="IW181" s="29">
        <v>114</v>
      </c>
      <c r="IX181" s="19"/>
      <c r="IY181" s="93"/>
      <c r="IZ181" s="93"/>
      <c r="JA181" s="93"/>
      <c r="JB181" s="93"/>
      <c r="JC181" s="93"/>
      <c r="JD181" s="93"/>
      <c r="JE181" s="20"/>
      <c r="JF181" s="29">
        <v>114</v>
      </c>
      <c r="JG181" s="19"/>
      <c r="JH181" s="93"/>
      <c r="JI181" s="93"/>
      <c r="JJ181" s="93"/>
      <c r="JK181" s="93"/>
      <c r="JL181" s="93"/>
      <c r="JM181" s="93"/>
      <c r="JN181" s="20"/>
      <c r="JO181" s="29">
        <v>114</v>
      </c>
      <c r="JP181" s="19"/>
      <c r="JQ181" s="93"/>
      <c r="JR181" s="93"/>
      <c r="JS181" s="93"/>
      <c r="JT181" s="93"/>
      <c r="JU181" s="20"/>
      <c r="JV181" s="29">
        <v>114</v>
      </c>
      <c r="JW181" s="1504">
        <v>39965</v>
      </c>
      <c r="JX181" s="19"/>
      <c r="JY181" s="93"/>
      <c r="JZ181" s="93"/>
      <c r="KA181" s="93"/>
      <c r="KB181" s="93"/>
      <c r="KC181" s="93"/>
      <c r="KD181" s="20"/>
      <c r="KE181" s="29">
        <v>114</v>
      </c>
      <c r="KF181" s="19"/>
      <c r="KG181" s="93"/>
      <c r="KH181" s="93"/>
      <c r="KI181" s="93"/>
      <c r="KJ181" s="93"/>
      <c r="KK181" s="20"/>
      <c r="KL181" s="29">
        <v>114</v>
      </c>
      <c r="KM181" s="19"/>
      <c r="KN181" s="93"/>
      <c r="KO181" s="93"/>
      <c r="KP181" s="93"/>
      <c r="KQ181" s="93"/>
      <c r="KR181" s="20"/>
      <c r="KS181" s="29">
        <v>114</v>
      </c>
      <c r="KT181" s="19"/>
      <c r="KU181" s="93"/>
      <c r="KV181" s="93"/>
      <c r="KW181" s="93"/>
      <c r="KX181" s="93"/>
      <c r="KY181" s="20"/>
      <c r="KZ181" s="29">
        <v>114</v>
      </c>
      <c r="LA181" s="1504">
        <v>39965</v>
      </c>
      <c r="LB181" s="19"/>
      <c r="LC181" s="93"/>
      <c r="LD181" s="93"/>
      <c r="LE181" s="93"/>
      <c r="LF181" s="93"/>
      <c r="LG181" s="93"/>
      <c r="LH181" s="20"/>
      <c r="LI181" s="29">
        <v>114</v>
      </c>
      <c r="LJ181" s="19"/>
      <c r="LK181" s="93"/>
      <c r="LL181" s="93"/>
      <c r="LM181" s="93"/>
      <c r="LN181" s="93"/>
      <c r="LO181" s="20"/>
      <c r="LP181" s="29">
        <v>114</v>
      </c>
      <c r="LQ181" s="19"/>
      <c r="LR181" s="93"/>
      <c r="LS181" s="93"/>
      <c r="LT181" s="93"/>
      <c r="LU181" s="93"/>
      <c r="LV181" s="93"/>
      <c r="LW181" s="93"/>
      <c r="LX181" s="93"/>
      <c r="LY181" s="93"/>
      <c r="LZ181" s="93"/>
      <c r="MA181" s="20"/>
      <c r="MB181" s="29">
        <v>114</v>
      </c>
      <c r="MC181" s="1504">
        <v>39965</v>
      </c>
      <c r="MD181" s="19">
        <v>103101.95631299999</v>
      </c>
      <c r="ME181" s="93">
        <v>45301.888203999995</v>
      </c>
      <c r="MF181" s="93">
        <v>45301.888078999997</v>
      </c>
      <c r="MG181" s="93">
        <v>42769.258494999995</v>
      </c>
      <c r="MH181" s="93">
        <v>8299.9950910000007</v>
      </c>
      <c r="MI181" s="93">
        <v>561.22621100000003</v>
      </c>
      <c r="MJ181" s="93">
        <v>360.32934600000004</v>
      </c>
      <c r="MK181" s="93">
        <v>26150.832328999997</v>
      </c>
      <c r="ML181" s="93">
        <v>6915.1021969999974</v>
      </c>
      <c r="MM181" s="93">
        <v>481.77332100000012</v>
      </c>
      <c r="MN181" s="93">
        <v>2532.6295840000002</v>
      </c>
      <c r="MO181" s="93">
        <v>391.63443499999994</v>
      </c>
      <c r="MP181" s="93">
        <v>1151.9329330000003</v>
      </c>
      <c r="MQ181" s="93">
        <v>144.42175600000004</v>
      </c>
      <c r="MR181" s="93">
        <v>129.82641500000003</v>
      </c>
      <c r="MS181" s="93">
        <v>714.81404499999985</v>
      </c>
      <c r="MT181" s="93">
        <v>1.25E-4</v>
      </c>
      <c r="MU181" s="93">
        <v>57800.068109</v>
      </c>
      <c r="MV181" s="93">
        <v>28932.863225000001</v>
      </c>
      <c r="MW181" s="93">
        <v>28867.204883999999</v>
      </c>
      <c r="MX181" s="93">
        <v>101787.77477683334</v>
      </c>
      <c r="MY181" s="93">
        <v>101858.93443583333</v>
      </c>
      <c r="MZ181" s="93">
        <v>39249.761331833331</v>
      </c>
      <c r="NA181" s="93">
        <v>18496.341576333329</v>
      </c>
      <c r="NB181" s="93">
        <v>7186.4590390000049</v>
      </c>
      <c r="NC181" s="93">
        <v>992.79313700000012</v>
      </c>
      <c r="ND181" s="93">
        <v>232.33549400000001</v>
      </c>
      <c r="NE181" s="93">
        <v>760.45764300000008</v>
      </c>
      <c r="NF181" s="93">
        <v>12574.167579499994</v>
      </c>
      <c r="NG181" s="93">
        <v>344.75296750000024</v>
      </c>
      <c r="NH181" s="93">
        <v>3422.7396220000014</v>
      </c>
      <c r="NI181" s="93">
        <v>0</v>
      </c>
      <c r="NJ181" s="93">
        <v>639.55892500000004</v>
      </c>
      <c r="NK181" s="93">
        <v>62609.173103999994</v>
      </c>
      <c r="NL181" s="93">
        <v>25263.453716999993</v>
      </c>
      <c r="NM181" s="93">
        <v>0</v>
      </c>
      <c r="NN181" s="93">
        <v>37345.719387000005</v>
      </c>
      <c r="NO181" s="93">
        <v>-71.159659000000104</v>
      </c>
      <c r="NP181" s="93">
        <v>1314.1815361666531</v>
      </c>
      <c r="NQ181" s="93">
        <v>-56485.886572833348</v>
      </c>
      <c r="NR181" s="93">
        <v>-18147.37404883335</v>
      </c>
      <c r="NS181" s="93">
        <v>-19140.167185833343</v>
      </c>
      <c r="NT181" s="93">
        <v>19157.55053416665</v>
      </c>
      <c r="NU181" s="93">
        <v>-38642.517574833349</v>
      </c>
      <c r="NV181" s="93">
        <v>-15899.442567999993</v>
      </c>
      <c r="NW181" s="93">
        <v>5374.7219210000003</v>
      </c>
      <c r="NX181" s="93">
        <v>8412.856162</v>
      </c>
      <c r="NY181" s="93">
        <v>-3038.1342409999997</v>
      </c>
      <c r="NZ181" s="93">
        <v>0</v>
      </c>
      <c r="OA181" s="93">
        <v>-21274.164488999992</v>
      </c>
      <c r="OB181" s="93">
        <v>-41429.122849999992</v>
      </c>
      <c r="OC181" s="93">
        <v>20154.958361000001</v>
      </c>
      <c r="OD181" s="20">
        <v>0</v>
      </c>
      <c r="OE181" s="29">
        <v>114</v>
      </c>
      <c r="OF181" s="1504">
        <v>39965</v>
      </c>
      <c r="OG181" s="19"/>
      <c r="OH181" s="93">
        <v>241.67569999999998</v>
      </c>
      <c r="OI181" s="93">
        <v>350.72803151271376</v>
      </c>
      <c r="OJ181" s="93">
        <v>0.342752212</v>
      </c>
      <c r="OK181" s="93">
        <v>290.02227930071376</v>
      </c>
      <c r="OL181" s="93">
        <v>60.363</v>
      </c>
      <c r="OM181" s="93">
        <v>592.40373151271376</v>
      </c>
      <c r="ON181" s="93">
        <v>384.97646101452278</v>
      </c>
      <c r="OO181" s="93">
        <v>977.38019252723655</v>
      </c>
      <c r="OP181" s="93"/>
      <c r="OQ181" s="93">
        <v>529.8672956049918</v>
      </c>
      <c r="OR181" s="93">
        <v>380.42508288900012</v>
      </c>
      <c r="OS181" s="93">
        <v>149.44221271599173</v>
      </c>
      <c r="OT181" s="93">
        <v>585.0402549532447</v>
      </c>
      <c r="OU181" s="93">
        <v>-135.77198628600001</v>
      </c>
      <c r="OV181" s="93">
        <v>-58.470986286000006</v>
      </c>
      <c r="OW181" s="93">
        <v>-77.301000000000016</v>
      </c>
      <c r="OX181" s="93">
        <v>720.81224123924471</v>
      </c>
      <c r="OY181" s="93">
        <v>2.5687136399999999</v>
      </c>
      <c r="OZ181" s="93">
        <v>718.24352759924477</v>
      </c>
      <c r="PA181" s="93">
        <v>159.39240218999996</v>
      </c>
      <c r="PB181" s="93">
        <v>-21.865044159000028</v>
      </c>
      <c r="PC181" s="20">
        <v>977.38019252723643</v>
      </c>
      <c r="PD181" s="29">
        <v>114</v>
      </c>
      <c r="PE181" s="19"/>
      <c r="PF181" s="93">
        <v>380.42508288900012</v>
      </c>
      <c r="PG181" s="93">
        <v>521.44252839100011</v>
      </c>
      <c r="PH181" s="93">
        <v>141.01744550200002</v>
      </c>
      <c r="PI181" s="93">
        <v>13.59</v>
      </c>
      <c r="PJ181" s="93">
        <v>-58.470986286000006</v>
      </c>
      <c r="PK181" s="93">
        <v>41.339577829</v>
      </c>
      <c r="PL181" s="93">
        <v>99.810564115000005</v>
      </c>
      <c r="PM181" s="93">
        <v>2.5687136399999999</v>
      </c>
      <c r="PN181" s="93">
        <v>0</v>
      </c>
      <c r="PO181" s="93">
        <v>0</v>
      </c>
      <c r="PP181" s="93">
        <v>6.2956199999999996E-4</v>
      </c>
      <c r="PQ181" s="93">
        <v>2.568084078</v>
      </c>
      <c r="PR181" s="93">
        <v>340.03653606299997</v>
      </c>
      <c r="PS181" s="93">
        <v>268.88369999999998</v>
      </c>
      <c r="PT181" s="93">
        <v>70.810083851000002</v>
      </c>
      <c r="PU181" s="93">
        <v>0.342752212</v>
      </c>
      <c r="PV181" s="93">
        <v>0</v>
      </c>
      <c r="PW181" s="93">
        <v>0.70553370199999998</v>
      </c>
      <c r="PX181" s="93">
        <v>0</v>
      </c>
      <c r="PY181" s="93">
        <v>0</v>
      </c>
      <c r="PZ181" s="93">
        <v>0.70553370199999998</v>
      </c>
      <c r="QA181" s="93">
        <v>0</v>
      </c>
      <c r="QB181" s="93">
        <v>0</v>
      </c>
      <c r="QC181" s="93">
        <v>0</v>
      </c>
      <c r="QD181" s="93">
        <v>-0.73513151199999993</v>
      </c>
      <c r="QE181" s="20">
        <v>-1.89412801</v>
      </c>
      <c r="QF181" s="1739">
        <v>114</v>
      </c>
      <c r="QG181" s="19"/>
      <c r="QH181" s="1035">
        <v>149.44221271599173</v>
      </c>
      <c r="QI181" s="1035">
        <v>226.51747240075517</v>
      </c>
      <c r="QJ181" s="1035">
        <v>-77.075259684763424</v>
      </c>
      <c r="QK181" s="1035">
        <v>51.772999999999996</v>
      </c>
      <c r="QL181" s="1035">
        <v>27.207999999999998</v>
      </c>
      <c r="QM181" s="1035">
        <v>24.565000000000001</v>
      </c>
      <c r="QN181" s="1035">
        <v>0</v>
      </c>
      <c r="QO181" s="1035">
        <v>-77.301000000000016</v>
      </c>
      <c r="QP181" s="1035">
        <v>55.533999999999999</v>
      </c>
      <c r="QQ181" s="1035">
        <v>-132.83500000000001</v>
      </c>
      <c r="QR181" s="1035">
        <v>718.24352759924477</v>
      </c>
      <c r="QS181" s="1035">
        <v>6.1526696873550017</v>
      </c>
      <c r="QT181" s="1035">
        <v>0</v>
      </c>
      <c r="QU181" s="1035">
        <v>0</v>
      </c>
      <c r="QV181" s="1035">
        <v>712.09085791188977</v>
      </c>
      <c r="QW181" s="93"/>
      <c r="QX181" s="93">
        <v>2.5579999999999998</v>
      </c>
      <c r="QY181" s="93">
        <v>290.02227930071382</v>
      </c>
      <c r="QZ181" s="93">
        <v>384.97646101452278</v>
      </c>
      <c r="RA181" s="93">
        <v>0</v>
      </c>
      <c r="RB181" s="93">
        <v>20.608000000000001</v>
      </c>
      <c r="RC181" s="93">
        <v>1.6559999999999999</v>
      </c>
      <c r="RD181" s="93">
        <v>17.108999999999998</v>
      </c>
      <c r="RE181" s="93">
        <v>0</v>
      </c>
      <c r="RF181" s="93">
        <v>0</v>
      </c>
      <c r="RG181" s="93">
        <v>120.04899999999996</v>
      </c>
      <c r="RH181" s="93">
        <v>5.1789999999999736</v>
      </c>
      <c r="RI181" s="93"/>
      <c r="RJ181" s="93"/>
      <c r="RK181" s="93"/>
      <c r="RL181" s="93"/>
      <c r="RM181" s="20"/>
      <c r="RN181" s="29">
        <v>114</v>
      </c>
      <c r="RO181" s="19"/>
      <c r="RP181" s="20"/>
      <c r="RQ181" s="29">
        <v>114</v>
      </c>
      <c r="RR181" s="20"/>
      <c r="RS181" s="29">
        <v>114</v>
      </c>
      <c r="RT181" s="1504">
        <v>39965</v>
      </c>
      <c r="RU181" s="19"/>
      <c r="RV181" s="20"/>
      <c r="RW181" s="29">
        <v>114</v>
      </c>
      <c r="RX181" s="1504">
        <v>39965</v>
      </c>
      <c r="RY181" s="29"/>
      <c r="RZ181" s="20"/>
      <c r="SA181" s="29"/>
      <c r="SB181" s="29">
        <v>114</v>
      </c>
    </row>
    <row r="182" spans="1:496">
      <c r="A182" s="41">
        <f t="shared" si="191"/>
        <v>2009</v>
      </c>
      <c r="B182" s="1504">
        <v>39995</v>
      </c>
      <c r="C182" s="1813"/>
      <c r="D182" s="1814"/>
      <c r="E182" s="1814"/>
      <c r="F182" s="1815"/>
      <c r="G182" s="1814"/>
      <c r="H182" s="1814"/>
      <c r="I182" s="1814"/>
      <c r="J182" s="1816"/>
      <c r="K182" s="1807"/>
      <c r="L182" s="25">
        <v>115</v>
      </c>
      <c r="M182" s="97"/>
      <c r="N182" s="1504">
        <v>39995</v>
      </c>
      <c r="O182" s="19"/>
      <c r="P182" s="93"/>
      <c r="Q182" s="93"/>
      <c r="R182" s="93"/>
      <c r="S182" s="93"/>
      <c r="T182" s="93"/>
      <c r="U182" s="93"/>
      <c r="V182" s="93"/>
      <c r="W182" s="93"/>
      <c r="X182" s="93"/>
      <c r="Y182" s="93"/>
      <c r="Z182" s="93"/>
      <c r="AA182" s="93"/>
      <c r="AB182" s="20"/>
      <c r="AC182" s="25">
        <v>115</v>
      </c>
      <c r="AD182" s="97"/>
      <c r="AE182" s="1504">
        <v>39995</v>
      </c>
      <c r="AF182" s="19"/>
      <c r="AG182" s="93"/>
      <c r="AH182" s="93"/>
      <c r="AI182" s="93"/>
      <c r="AJ182" s="93"/>
      <c r="AK182" s="93"/>
      <c r="AL182" s="93"/>
      <c r="AM182" s="93"/>
      <c r="AN182" s="93"/>
      <c r="AO182" s="93"/>
      <c r="AP182" s="93"/>
      <c r="AQ182" s="93"/>
      <c r="AR182" s="93"/>
      <c r="AS182" s="20"/>
      <c r="AT182" s="25">
        <v>115</v>
      </c>
      <c r="AU182" s="97"/>
      <c r="AV182" s="1504">
        <v>39995</v>
      </c>
      <c r="AW182" s="19"/>
      <c r="AX182" s="93"/>
      <c r="AY182" s="93"/>
      <c r="AZ182" s="93"/>
      <c r="BA182" s="93"/>
      <c r="BB182" s="93"/>
      <c r="BC182" s="93"/>
      <c r="BD182" s="93"/>
      <c r="BE182" s="93"/>
      <c r="BF182" s="93"/>
      <c r="BG182" s="93"/>
      <c r="BH182" s="93"/>
      <c r="BI182" s="93"/>
      <c r="BJ182" s="20"/>
      <c r="BK182" s="25">
        <v>115</v>
      </c>
      <c r="BL182" s="97"/>
      <c r="BM182" s="1504">
        <v>39995</v>
      </c>
      <c r="BN182" s="19"/>
      <c r="BO182" s="93"/>
      <c r="BP182" s="93"/>
      <c r="BQ182" s="93"/>
      <c r="BR182" s="93"/>
      <c r="BS182" s="93"/>
      <c r="BT182" s="93"/>
      <c r="BU182" s="20"/>
      <c r="BV182" s="25">
        <v>115</v>
      </c>
      <c r="BW182" s="97"/>
      <c r="BX182" s="1504">
        <v>39995</v>
      </c>
      <c r="BY182" s="19"/>
      <c r="BZ182" s="99">
        <v>664.95699999999999</v>
      </c>
      <c r="CA182" s="93"/>
      <c r="CB182" s="93"/>
      <c r="CC182" s="93"/>
      <c r="CD182" s="25">
        <v>115</v>
      </c>
      <c r="CE182" s="97"/>
      <c r="CF182" s="1504">
        <v>39995</v>
      </c>
      <c r="CG182" s="19">
        <v>1.42859376</v>
      </c>
      <c r="CH182" s="1626">
        <v>934.22799999999995</v>
      </c>
      <c r="CI182" s="219"/>
      <c r="CJ182" s="20"/>
      <c r="CK182" s="19"/>
      <c r="CL182" s="93"/>
      <c r="CM182" s="93"/>
      <c r="CN182" s="93"/>
      <c r="CO182" s="93"/>
      <c r="CP182" s="20"/>
      <c r="CQ182" s="219">
        <v>1322.77</v>
      </c>
      <c r="CR182" s="93">
        <v>2.6724999999999999</v>
      </c>
      <c r="CS182" s="93"/>
      <c r="CT182" s="93"/>
      <c r="CU182" s="93"/>
      <c r="CV182" s="214"/>
      <c r="CW182" s="29">
        <v>115</v>
      </c>
      <c r="CX182" s="41">
        <f t="shared" si="192"/>
        <v>2009</v>
      </c>
      <c r="CY182" s="1504">
        <v>39995</v>
      </c>
      <c r="CZ182" s="1916">
        <v>60.626226000000003</v>
      </c>
      <c r="DA182" s="1526">
        <v>38.646666000000003</v>
      </c>
      <c r="DB182" s="1526">
        <v>21.979559999999999</v>
      </c>
      <c r="DC182" s="182">
        <f t="shared" si="202"/>
        <v>338171</v>
      </c>
      <c r="DD182" s="182">
        <f t="shared" si="203"/>
        <v>337155</v>
      </c>
      <c r="DE182" s="182">
        <f t="shared" si="204"/>
        <v>1016</v>
      </c>
      <c r="DF182" s="29">
        <v>115</v>
      </c>
      <c r="DG182" s="1504">
        <v>39995</v>
      </c>
      <c r="DH182" s="19"/>
      <c r="DI182" s="93"/>
      <c r="DJ182" s="93"/>
      <c r="DK182" s="93"/>
      <c r="DL182" s="93"/>
      <c r="DM182" s="93"/>
      <c r="DN182" s="20"/>
      <c r="DO182" s="25"/>
      <c r="DP182" s="29">
        <v>115</v>
      </c>
      <c r="DQ182" s="1504">
        <v>39995</v>
      </c>
      <c r="DR182" s="19"/>
      <c r="DS182" s="93"/>
      <c r="DT182" s="93"/>
      <c r="DU182" s="93"/>
      <c r="DV182" s="93"/>
      <c r="DW182" s="93"/>
      <c r="DX182" s="20"/>
      <c r="DY182" s="29">
        <v>115</v>
      </c>
      <c r="DZ182" s="1504">
        <v>39995</v>
      </c>
      <c r="EA182" s="19"/>
      <c r="EB182" s="93"/>
      <c r="EC182" s="20"/>
      <c r="ED182" s="29">
        <v>115</v>
      </c>
      <c r="EE182" s="1504">
        <v>39995</v>
      </c>
      <c r="EF182" s="19"/>
      <c r="EG182" s="93"/>
      <c r="EH182" s="93"/>
      <c r="EI182" s="214"/>
      <c r="EJ182" s="93"/>
      <c r="EK182" s="93"/>
      <c r="EL182" s="93"/>
      <c r="EM182" s="93"/>
      <c r="EN182" s="20"/>
      <c r="EO182" s="29">
        <v>115</v>
      </c>
      <c r="EP182" s="1504">
        <v>39995</v>
      </c>
      <c r="EQ182" s="19"/>
      <c r="ER182" s="93"/>
      <c r="ES182" s="93"/>
      <c r="ET182" s="214"/>
      <c r="EU182" s="93"/>
      <c r="EV182" s="93"/>
      <c r="EW182" s="93"/>
      <c r="EX182" s="93"/>
      <c r="EY182" s="20"/>
      <c r="EZ182" s="29">
        <v>115</v>
      </c>
      <c r="FA182" s="1504">
        <v>39995</v>
      </c>
      <c r="FB182" s="29"/>
      <c r="FC182" s="29"/>
      <c r="FD182" s="29"/>
      <c r="FE182" s="29"/>
      <c r="FF182" s="29"/>
      <c r="FG182" s="29"/>
      <c r="FH182" s="29"/>
      <c r="FI182" s="29"/>
      <c r="FJ182" s="29"/>
      <c r="FK182" s="29">
        <v>115</v>
      </c>
      <c r="FL182" s="1504">
        <v>39995</v>
      </c>
      <c r="FM182" s="19">
        <v>103.55817090201577</v>
      </c>
      <c r="FN182" s="93">
        <v>111.9373590040461</v>
      </c>
      <c r="FO182" s="93">
        <v>101.26642714761432</v>
      </c>
      <c r="FP182" s="93">
        <v>93.961493930459667</v>
      </c>
      <c r="FQ182" s="93">
        <v>103.77302187899092</v>
      </c>
      <c r="FR182" s="93">
        <v>83.147328089377808</v>
      </c>
      <c r="FS182" s="93">
        <v>79.852946442425718</v>
      </c>
      <c r="FT182" s="93">
        <v>107.8551904415185</v>
      </c>
      <c r="FU182" s="93">
        <v>114.4439537354227</v>
      </c>
      <c r="FV182" s="93">
        <v>78.563840580574904</v>
      </c>
      <c r="FW182" s="93">
        <v>107.35387149524318</v>
      </c>
      <c r="FX182" s="93">
        <v>117.66671839004974</v>
      </c>
      <c r="FY182" s="93">
        <v>85.653922820754403</v>
      </c>
      <c r="FZ182" s="29">
        <v>115</v>
      </c>
      <c r="GA182" s="1504">
        <v>39995</v>
      </c>
      <c r="GB182" s="733">
        <v>103.58166189111748</v>
      </c>
      <c r="GC182" s="570">
        <v>99.355300859598856</v>
      </c>
      <c r="GD182" s="570">
        <v>105.58739255014328</v>
      </c>
      <c r="GE182" s="570">
        <v>114.82808022922637</v>
      </c>
      <c r="GF182" s="570">
        <v>115.18624641833813</v>
      </c>
      <c r="GG182" s="570">
        <v>98.638968481375358</v>
      </c>
      <c r="GH182" s="93"/>
      <c r="GI182" s="93"/>
      <c r="GJ182" s="93"/>
      <c r="GK182" s="93"/>
      <c r="GL182" s="93"/>
      <c r="GM182" s="93"/>
      <c r="GN182" s="20"/>
      <c r="GO182" s="29">
        <v>115</v>
      </c>
      <c r="GP182" s="1504">
        <v>39995</v>
      </c>
      <c r="GQ182" s="19"/>
      <c r="GR182" s="93"/>
      <c r="GS182" s="93"/>
      <c r="GT182" s="93"/>
      <c r="GU182" s="93"/>
      <c r="GV182" s="20"/>
      <c r="GW182" s="19"/>
      <c r="GX182" s="93"/>
      <c r="GY182" s="93"/>
      <c r="GZ182" s="93"/>
      <c r="HA182" s="93"/>
      <c r="HB182" s="20"/>
      <c r="HC182" s="19"/>
      <c r="HD182" s="93"/>
      <c r="HE182" s="93"/>
      <c r="HF182" s="93"/>
      <c r="HG182" s="93"/>
      <c r="HH182" s="20"/>
      <c r="HI182" s="19"/>
      <c r="HJ182" s="93"/>
      <c r="HK182" s="93"/>
      <c r="HL182" s="93"/>
      <c r="HM182" s="93"/>
      <c r="HN182" s="20"/>
      <c r="HO182" s="219"/>
      <c r="HP182" s="20"/>
      <c r="HQ182" s="25"/>
      <c r="HR182" s="29">
        <v>115</v>
      </c>
      <c r="HS182" s="1504">
        <v>39995</v>
      </c>
      <c r="HT182" s="179">
        <v>181.41383934020996</v>
      </c>
      <c r="HU182" s="99">
        <v>219.28763580322266</v>
      </c>
      <c r="HV182" s="99">
        <v>179.18087768554688</v>
      </c>
      <c r="HW182" s="99">
        <v>155.33981018066407</v>
      </c>
      <c r="HX182" s="99">
        <v>178.83958740234374</v>
      </c>
      <c r="HY182" s="99">
        <v>187.37599754333496</v>
      </c>
      <c r="HZ182" s="99">
        <v>198.79610061645508</v>
      </c>
      <c r="IA182" s="132">
        <v>171.29033203124999</v>
      </c>
      <c r="IB182" s="179">
        <v>225.77778320312501</v>
      </c>
      <c r="IC182" s="99">
        <v>146.37306213378906</v>
      </c>
      <c r="ID182" s="99">
        <v>169.64285888671876</v>
      </c>
      <c r="IE182" s="99">
        <v>150.08223724365234</v>
      </c>
      <c r="IF182" s="99">
        <v>194.35483932495117</v>
      </c>
      <c r="IG182" s="132">
        <v>155.66835021972656</v>
      </c>
      <c r="IH182" s="179">
        <v>152.79017639160156</v>
      </c>
      <c r="II182" s="99">
        <v>189.63178253173828</v>
      </c>
      <c r="IJ182" s="99">
        <v>170.25861358642578</v>
      </c>
      <c r="IK182" s="99">
        <v>163.92857055664064</v>
      </c>
      <c r="IL182" s="99">
        <v>162.35207748413086</v>
      </c>
      <c r="IM182" s="99">
        <v>165.84967803955078</v>
      </c>
      <c r="IN182" s="93"/>
      <c r="IO182" s="132">
        <v>168.9837760925293</v>
      </c>
      <c r="IP182" s="29">
        <v>115</v>
      </c>
      <c r="IQ182" s="19"/>
      <c r="IR182" s="93"/>
      <c r="IS182" s="93"/>
      <c r="IT182" s="93"/>
      <c r="IU182" s="93"/>
      <c r="IV182" s="20"/>
      <c r="IW182" s="29">
        <v>115</v>
      </c>
      <c r="IX182" s="19"/>
      <c r="IY182" s="93"/>
      <c r="IZ182" s="93"/>
      <c r="JA182" s="93"/>
      <c r="JB182" s="93"/>
      <c r="JC182" s="93"/>
      <c r="JD182" s="93"/>
      <c r="JE182" s="20"/>
      <c r="JF182" s="29">
        <v>115</v>
      </c>
      <c r="JG182" s="19"/>
      <c r="JH182" s="93"/>
      <c r="JI182" s="93"/>
      <c r="JJ182" s="93"/>
      <c r="JK182" s="93"/>
      <c r="JL182" s="93"/>
      <c r="JM182" s="93"/>
      <c r="JN182" s="20"/>
      <c r="JO182" s="29">
        <v>115</v>
      </c>
      <c r="JP182" s="19"/>
      <c r="JQ182" s="93"/>
      <c r="JR182" s="93"/>
      <c r="JS182" s="93"/>
      <c r="JT182" s="93"/>
      <c r="JU182" s="20"/>
      <c r="JV182" s="29">
        <v>115</v>
      </c>
      <c r="JW182" s="1504">
        <v>39995</v>
      </c>
      <c r="JX182" s="19"/>
      <c r="JY182" s="93"/>
      <c r="JZ182" s="93"/>
      <c r="KA182" s="93"/>
      <c r="KB182" s="93"/>
      <c r="KC182" s="93"/>
      <c r="KD182" s="20"/>
      <c r="KE182" s="29">
        <v>115</v>
      </c>
      <c r="KF182" s="19"/>
      <c r="KG182" s="93"/>
      <c r="KH182" s="93"/>
      <c r="KI182" s="93"/>
      <c r="KJ182" s="93"/>
      <c r="KK182" s="20"/>
      <c r="KL182" s="29">
        <v>115</v>
      </c>
      <c r="KM182" s="19"/>
      <c r="KN182" s="93"/>
      <c r="KO182" s="93"/>
      <c r="KP182" s="93"/>
      <c r="KQ182" s="93"/>
      <c r="KR182" s="20"/>
      <c r="KS182" s="29">
        <v>115</v>
      </c>
      <c r="KT182" s="19"/>
      <c r="KU182" s="93"/>
      <c r="KV182" s="93"/>
      <c r="KW182" s="93"/>
      <c r="KX182" s="93"/>
      <c r="KY182" s="20"/>
      <c r="KZ182" s="29">
        <v>115</v>
      </c>
      <c r="LA182" s="1504">
        <v>39995</v>
      </c>
      <c r="LB182" s="19"/>
      <c r="LC182" s="93"/>
      <c r="LD182" s="93"/>
      <c r="LE182" s="93"/>
      <c r="LF182" s="93"/>
      <c r="LG182" s="93"/>
      <c r="LH182" s="20"/>
      <c r="LI182" s="29">
        <v>115</v>
      </c>
      <c r="LJ182" s="19"/>
      <c r="LK182" s="93"/>
      <c r="LL182" s="93"/>
      <c r="LM182" s="93"/>
      <c r="LN182" s="93"/>
      <c r="LO182" s="20"/>
      <c r="LP182" s="29">
        <v>115</v>
      </c>
      <c r="LQ182" s="19"/>
      <c r="LR182" s="93"/>
      <c r="LS182" s="93"/>
      <c r="LT182" s="93"/>
      <c r="LU182" s="93"/>
      <c r="LV182" s="93"/>
      <c r="LW182" s="93"/>
      <c r="LX182" s="93"/>
      <c r="LY182" s="93"/>
      <c r="LZ182" s="93"/>
      <c r="MA182" s="20"/>
      <c r="MB182" s="29">
        <v>115</v>
      </c>
      <c r="MC182" s="1504">
        <v>39995</v>
      </c>
      <c r="MD182" s="19">
        <v>67555.729087999993</v>
      </c>
      <c r="ME182" s="93">
        <v>50623.762391999997</v>
      </c>
      <c r="MF182" s="93">
        <v>50623.762391999997</v>
      </c>
      <c r="MG182" s="93">
        <v>42649.818570000003</v>
      </c>
      <c r="MH182" s="93">
        <v>7478.8741760000012</v>
      </c>
      <c r="MI182" s="93">
        <v>484.492727</v>
      </c>
      <c r="MJ182" s="93">
        <v>121.31001300000001</v>
      </c>
      <c r="MK182" s="93">
        <v>26305.969943</v>
      </c>
      <c r="ML182" s="93">
        <v>7902.5503730000009</v>
      </c>
      <c r="MM182" s="93">
        <v>356.62133799999998</v>
      </c>
      <c r="MN182" s="93">
        <v>7973.9438219999984</v>
      </c>
      <c r="MO182" s="93">
        <v>376.90657099999999</v>
      </c>
      <c r="MP182" s="93">
        <v>1240.5618470000002</v>
      </c>
      <c r="MQ182" s="93">
        <v>200.05757600000001</v>
      </c>
      <c r="MR182" s="93">
        <v>2922.6336609999994</v>
      </c>
      <c r="MS182" s="93">
        <v>3233.7841669999998</v>
      </c>
      <c r="MT182" s="93">
        <v>0</v>
      </c>
      <c r="MU182" s="93">
        <v>16931.966696</v>
      </c>
      <c r="MV182" s="93">
        <v>13507.966696</v>
      </c>
      <c r="MW182" s="93">
        <v>3424</v>
      </c>
      <c r="MX182" s="93">
        <v>76335.311871999977</v>
      </c>
      <c r="MY182" s="93">
        <v>76306.210507999989</v>
      </c>
      <c r="MZ182" s="93">
        <v>41423.330444999985</v>
      </c>
      <c r="NA182" s="93">
        <v>17285.124178666651</v>
      </c>
      <c r="NB182" s="93">
        <v>9288.4064403333359</v>
      </c>
      <c r="NC182" s="93">
        <v>4763.1439750000009</v>
      </c>
      <c r="ND182" s="93">
        <v>4567.5088540000006</v>
      </c>
      <c r="NE182" s="93">
        <v>195.63512100000005</v>
      </c>
      <c r="NF182" s="93">
        <v>10086.655850999996</v>
      </c>
      <c r="NG182" s="93">
        <v>207.3451049999986</v>
      </c>
      <c r="NH182" s="93">
        <v>875.65045799999871</v>
      </c>
      <c r="NI182" s="93">
        <v>0</v>
      </c>
      <c r="NJ182" s="93">
        <v>2640.7995449999999</v>
      </c>
      <c r="NK182" s="93">
        <v>34882.880063000011</v>
      </c>
      <c r="NL182" s="93">
        <v>11879.833254000008</v>
      </c>
      <c r="NM182" s="93">
        <v>0</v>
      </c>
      <c r="NN182" s="93">
        <v>23003.046808999999</v>
      </c>
      <c r="NO182" s="93">
        <v>29.101363999998661</v>
      </c>
      <c r="NP182" s="93">
        <v>-8779.5827839999802</v>
      </c>
      <c r="NQ182" s="93">
        <v>-25711.549479999983</v>
      </c>
      <c r="NR182" s="93">
        <v>2054.6413040000125</v>
      </c>
      <c r="NS182" s="93">
        <v>-2708.5026709999815</v>
      </c>
      <c r="NT182" s="93">
        <v>-18117.143354999964</v>
      </c>
      <c r="NU182" s="93">
        <v>-35049.110050999967</v>
      </c>
      <c r="NV182" s="93">
        <v>14391.554584000001</v>
      </c>
      <c r="NW182" s="93">
        <v>8506.3040779999992</v>
      </c>
      <c r="NX182" s="93">
        <v>9495.080113</v>
      </c>
      <c r="NY182" s="93">
        <v>-988.77603499999998</v>
      </c>
      <c r="NZ182" s="93">
        <v>0</v>
      </c>
      <c r="OA182" s="93">
        <v>5885.2505060000012</v>
      </c>
      <c r="OB182" s="93">
        <v>17185.379554000003</v>
      </c>
      <c r="OC182" s="93">
        <v>-11300.129048000001</v>
      </c>
      <c r="OD182" s="20">
        <v>0</v>
      </c>
      <c r="OE182" s="29">
        <v>115</v>
      </c>
      <c r="OF182" s="1504">
        <v>39995</v>
      </c>
      <c r="OG182" s="19"/>
      <c r="OH182" s="93">
        <v>246.07969999999997</v>
      </c>
      <c r="OI182" s="93">
        <v>343.47449880238003</v>
      </c>
      <c r="OJ182" s="93">
        <v>0.475889536</v>
      </c>
      <c r="OK182" s="93">
        <v>282.63560926638002</v>
      </c>
      <c r="OL182" s="93">
        <v>60.363</v>
      </c>
      <c r="OM182" s="93">
        <v>589.55419880238003</v>
      </c>
      <c r="ON182" s="93">
        <v>391.38494519504655</v>
      </c>
      <c r="OO182" s="93">
        <v>980.93914399742653</v>
      </c>
      <c r="OP182" s="93"/>
      <c r="OQ182" s="93">
        <v>511.67206180458845</v>
      </c>
      <c r="OR182" s="93">
        <v>357.26322879299994</v>
      </c>
      <c r="OS182" s="93">
        <v>154.40883301158854</v>
      </c>
      <c r="OT182" s="93">
        <v>609.27705430383799</v>
      </c>
      <c r="OU182" s="93">
        <v>-127.69223481</v>
      </c>
      <c r="OV182" s="93">
        <v>-36.866234810000002</v>
      </c>
      <c r="OW182" s="93">
        <v>-90.825999999999993</v>
      </c>
      <c r="OX182" s="93">
        <v>736.96928911383793</v>
      </c>
      <c r="OY182" s="93">
        <v>2.5805676639999997</v>
      </c>
      <c r="OZ182" s="93">
        <v>734.38872144983804</v>
      </c>
      <c r="PA182" s="93">
        <v>155.76060088399996</v>
      </c>
      <c r="PB182" s="93">
        <v>-15.75062877300001</v>
      </c>
      <c r="PC182" s="20">
        <v>980.93914399742664</v>
      </c>
      <c r="PD182" s="29">
        <v>115</v>
      </c>
      <c r="PE182" s="19"/>
      <c r="PF182" s="93">
        <v>357.26322879299994</v>
      </c>
      <c r="PG182" s="93">
        <v>497.82741047299999</v>
      </c>
      <c r="PH182" s="93">
        <v>140.56418168000002</v>
      </c>
      <c r="PI182" s="93">
        <v>22.59</v>
      </c>
      <c r="PJ182" s="93">
        <v>-36.866234810000002</v>
      </c>
      <c r="PK182" s="93">
        <v>40.467800622999995</v>
      </c>
      <c r="PL182" s="93">
        <v>77.334035432999997</v>
      </c>
      <c r="PM182" s="93">
        <v>2.5805676639999997</v>
      </c>
      <c r="PN182" s="93">
        <v>0</v>
      </c>
      <c r="PO182" s="93">
        <v>0</v>
      </c>
      <c r="PP182" s="93">
        <v>6.39122E-4</v>
      </c>
      <c r="PQ182" s="93">
        <v>2.5799285419999998</v>
      </c>
      <c r="PR182" s="93">
        <v>346.12487401199996</v>
      </c>
      <c r="PS182" s="93">
        <v>271.27569999999997</v>
      </c>
      <c r="PT182" s="93">
        <v>74.373284475999995</v>
      </c>
      <c r="PU182" s="93">
        <v>0.475889536</v>
      </c>
      <c r="PV182" s="93">
        <v>0</v>
      </c>
      <c r="PW182" s="93">
        <v>0.61028194300000005</v>
      </c>
      <c r="PX182" s="93">
        <v>0</v>
      </c>
      <c r="PY182" s="93">
        <v>0</v>
      </c>
      <c r="PZ182" s="93">
        <v>0.61028194300000005</v>
      </c>
      <c r="QA182" s="93">
        <v>0</v>
      </c>
      <c r="QB182" s="93">
        <v>0</v>
      </c>
      <c r="QC182" s="93">
        <v>0</v>
      </c>
      <c r="QD182" s="93">
        <v>-1.219681059</v>
      </c>
      <c r="QE182" s="20">
        <v>5.2086750999999876E-2</v>
      </c>
      <c r="QF182" s="1739">
        <v>115</v>
      </c>
      <c r="QG182" s="19"/>
      <c r="QH182" s="1035">
        <v>154.40883301158854</v>
      </c>
      <c r="QI182" s="1035">
        <v>222.8742785501619</v>
      </c>
      <c r="QJ182" s="1035">
        <v>-68.465445538573363</v>
      </c>
      <c r="QK182" s="1035">
        <v>43.653999999999996</v>
      </c>
      <c r="QL182" s="1035">
        <v>25.196000000000002</v>
      </c>
      <c r="QM182" s="1035">
        <v>18.457999999999998</v>
      </c>
      <c r="QN182" s="1035">
        <v>0</v>
      </c>
      <c r="QO182" s="1035">
        <v>-90.825999999999993</v>
      </c>
      <c r="QP182" s="1035">
        <v>46.151000000000003</v>
      </c>
      <c r="QQ182" s="1035">
        <v>-136.977</v>
      </c>
      <c r="QR182" s="1035">
        <v>734.38872144983804</v>
      </c>
      <c r="QS182" s="1035">
        <v>6.3560436362414414</v>
      </c>
      <c r="QT182" s="1035">
        <v>0</v>
      </c>
      <c r="QU182" s="1035">
        <v>0</v>
      </c>
      <c r="QV182" s="1035">
        <v>728.03267781359659</v>
      </c>
      <c r="QW182" s="93"/>
      <c r="QX182" s="93">
        <v>0.58399999999999996</v>
      </c>
      <c r="QY182" s="93">
        <v>282.63560926638002</v>
      </c>
      <c r="QZ182" s="93">
        <v>391.38494519504661</v>
      </c>
      <c r="RA182" s="93">
        <v>0</v>
      </c>
      <c r="RB182" s="93">
        <v>19.567999999999998</v>
      </c>
      <c r="RC182" s="93">
        <v>1.8069999999999999</v>
      </c>
      <c r="RD182" s="93">
        <v>13.504999999999999</v>
      </c>
      <c r="RE182" s="93">
        <v>0</v>
      </c>
      <c r="RF182" s="93">
        <v>0</v>
      </c>
      <c r="RG182" s="93">
        <v>121.48999999999995</v>
      </c>
      <c r="RH182" s="93">
        <v>10.650999999999996</v>
      </c>
      <c r="RI182" s="93"/>
      <c r="RJ182" s="93"/>
      <c r="RK182" s="93"/>
      <c r="RL182" s="93"/>
      <c r="RM182" s="20"/>
      <c r="RN182" s="29">
        <v>115</v>
      </c>
      <c r="RO182" s="19"/>
      <c r="RP182" s="20"/>
      <c r="RQ182" s="29">
        <v>115</v>
      </c>
      <c r="RR182" s="20"/>
      <c r="RS182" s="29">
        <v>115</v>
      </c>
      <c r="RT182" s="1504">
        <v>39995</v>
      </c>
      <c r="RU182" s="19"/>
      <c r="RV182" s="20"/>
      <c r="RW182" s="29">
        <v>115</v>
      </c>
      <c r="RX182" s="1504">
        <v>39995</v>
      </c>
      <c r="RY182" s="29"/>
      <c r="RZ182" s="20"/>
      <c r="SA182" s="29"/>
      <c r="SB182" s="29">
        <v>115</v>
      </c>
    </row>
    <row r="183" spans="1:496">
      <c r="A183" s="41">
        <f t="shared" si="191"/>
        <v>2009</v>
      </c>
      <c r="B183" s="1504">
        <v>40026</v>
      </c>
      <c r="C183" s="1813"/>
      <c r="D183" s="1814"/>
      <c r="E183" s="1814"/>
      <c r="F183" s="1815"/>
      <c r="G183" s="1814"/>
      <c r="H183" s="1814"/>
      <c r="I183" s="1814"/>
      <c r="J183" s="1816"/>
      <c r="K183" s="1807"/>
      <c r="L183" s="25">
        <v>116</v>
      </c>
      <c r="M183" s="97"/>
      <c r="N183" s="1504">
        <v>40026</v>
      </c>
      <c r="O183" s="19"/>
      <c r="P183" s="93"/>
      <c r="Q183" s="93"/>
      <c r="R183" s="93"/>
      <c r="S183" s="93"/>
      <c r="T183" s="93"/>
      <c r="U183" s="93"/>
      <c r="V183" s="93"/>
      <c r="W183" s="93"/>
      <c r="X183" s="93"/>
      <c r="Y183" s="93"/>
      <c r="Z183" s="93"/>
      <c r="AA183" s="93"/>
      <c r="AB183" s="20"/>
      <c r="AC183" s="25">
        <v>116</v>
      </c>
      <c r="AD183" s="97"/>
      <c r="AE183" s="1504">
        <v>40026</v>
      </c>
      <c r="AF183" s="19"/>
      <c r="AG183" s="93"/>
      <c r="AH183" s="93"/>
      <c r="AI183" s="93"/>
      <c r="AJ183" s="93"/>
      <c r="AK183" s="93"/>
      <c r="AL183" s="93"/>
      <c r="AM183" s="93"/>
      <c r="AN183" s="93"/>
      <c r="AO183" s="93"/>
      <c r="AP183" s="93"/>
      <c r="AQ183" s="93"/>
      <c r="AR183" s="93"/>
      <c r="AS183" s="20"/>
      <c r="AT183" s="25">
        <v>116</v>
      </c>
      <c r="AU183" s="97"/>
      <c r="AV183" s="1504">
        <v>40026</v>
      </c>
      <c r="AW183" s="19"/>
      <c r="AX183" s="93"/>
      <c r="AY183" s="93"/>
      <c r="AZ183" s="93"/>
      <c r="BA183" s="93"/>
      <c r="BB183" s="93"/>
      <c r="BC183" s="93"/>
      <c r="BD183" s="93"/>
      <c r="BE183" s="93"/>
      <c r="BF183" s="93"/>
      <c r="BG183" s="93"/>
      <c r="BH183" s="93"/>
      <c r="BI183" s="93"/>
      <c r="BJ183" s="20"/>
      <c r="BK183" s="25">
        <v>116</v>
      </c>
      <c r="BL183" s="97"/>
      <c r="BM183" s="1504">
        <v>40026</v>
      </c>
      <c r="BN183" s="19"/>
      <c r="BO183" s="93"/>
      <c r="BP183" s="93"/>
      <c r="BQ183" s="93"/>
      <c r="BR183" s="93"/>
      <c r="BS183" s="93"/>
      <c r="BT183" s="93"/>
      <c r="BU183" s="20"/>
      <c r="BV183" s="25">
        <v>116</v>
      </c>
      <c r="BW183" s="97"/>
      <c r="BX183" s="1504">
        <v>40026</v>
      </c>
      <c r="BY183" s="19"/>
      <c r="BZ183" s="99">
        <v>664.95699999999999</v>
      </c>
      <c r="CA183" s="93"/>
      <c r="CB183" s="93"/>
      <c r="CC183" s="93"/>
      <c r="CD183" s="25">
        <v>116</v>
      </c>
      <c r="CE183" s="97"/>
      <c r="CF183" s="1504">
        <v>40026</v>
      </c>
      <c r="CG183" s="19">
        <v>1.4164683499999999</v>
      </c>
      <c r="CH183" s="1626">
        <v>949.375</v>
      </c>
      <c r="CI183" s="219"/>
      <c r="CJ183" s="20"/>
      <c r="CK183" s="19"/>
      <c r="CL183" s="93"/>
      <c r="CM183" s="93"/>
      <c r="CN183" s="93"/>
      <c r="CO183" s="93"/>
      <c r="CP183" s="20"/>
      <c r="CQ183" s="219">
        <v>1310.18</v>
      </c>
      <c r="CR183" s="93">
        <v>2.8140000000000001</v>
      </c>
      <c r="CS183" s="93"/>
      <c r="CT183" s="93"/>
      <c r="CU183" s="93"/>
      <c r="CV183" s="214"/>
      <c r="CW183" s="29">
        <v>116</v>
      </c>
      <c r="CX183" s="41">
        <f t="shared" si="192"/>
        <v>2009</v>
      </c>
      <c r="CY183" s="1504">
        <v>40026</v>
      </c>
      <c r="CZ183" s="1916">
        <v>54.620581000000001</v>
      </c>
      <c r="DA183" s="1526">
        <v>33.857573000000002</v>
      </c>
      <c r="DB183" s="1526">
        <v>20.763007999999999</v>
      </c>
      <c r="DC183" s="182">
        <f t="shared" si="202"/>
        <v>338171</v>
      </c>
      <c r="DD183" s="182">
        <f t="shared" si="203"/>
        <v>337155</v>
      </c>
      <c r="DE183" s="182">
        <f t="shared" si="204"/>
        <v>1016</v>
      </c>
      <c r="DF183" s="29">
        <v>116</v>
      </c>
      <c r="DG183" s="1504">
        <v>40026</v>
      </c>
      <c r="DH183" s="19"/>
      <c r="DI183" s="93"/>
      <c r="DJ183" s="93"/>
      <c r="DK183" s="93"/>
      <c r="DL183" s="93"/>
      <c r="DM183" s="93"/>
      <c r="DN183" s="20"/>
      <c r="DO183" s="25"/>
      <c r="DP183" s="29">
        <v>116</v>
      </c>
      <c r="DQ183" s="1504">
        <v>40026</v>
      </c>
      <c r="DR183" s="19"/>
      <c r="DS183" s="93"/>
      <c r="DT183" s="93"/>
      <c r="DU183" s="93"/>
      <c r="DV183" s="93"/>
      <c r="DW183" s="93"/>
      <c r="DX183" s="20"/>
      <c r="DY183" s="29">
        <v>116</v>
      </c>
      <c r="DZ183" s="1504">
        <v>40026</v>
      </c>
      <c r="EA183" s="19"/>
      <c r="EB183" s="93"/>
      <c r="EC183" s="20"/>
      <c r="ED183" s="29">
        <v>116</v>
      </c>
      <c r="EE183" s="1504">
        <v>40026</v>
      </c>
      <c r="EF183" s="19"/>
      <c r="EG183" s="93"/>
      <c r="EH183" s="93"/>
      <c r="EI183" s="214"/>
      <c r="EJ183" s="93"/>
      <c r="EK183" s="93"/>
      <c r="EL183" s="93"/>
      <c r="EM183" s="93"/>
      <c r="EN183" s="20"/>
      <c r="EO183" s="29">
        <v>116</v>
      </c>
      <c r="EP183" s="1504">
        <v>40026</v>
      </c>
      <c r="EQ183" s="19"/>
      <c r="ER183" s="93"/>
      <c r="ES183" s="93"/>
      <c r="ET183" s="214"/>
      <c r="EU183" s="93"/>
      <c r="EV183" s="93"/>
      <c r="EW183" s="93"/>
      <c r="EX183" s="93"/>
      <c r="EY183" s="20"/>
      <c r="EZ183" s="29">
        <v>116</v>
      </c>
      <c r="FA183" s="1504">
        <v>40026</v>
      </c>
      <c r="FB183" s="29"/>
      <c r="FC183" s="29"/>
      <c r="FD183" s="29"/>
      <c r="FE183" s="29"/>
      <c r="FF183" s="29"/>
      <c r="FG183" s="29"/>
      <c r="FH183" s="29"/>
      <c r="FI183" s="29"/>
      <c r="FJ183" s="29"/>
      <c r="FK183" s="29">
        <v>116</v>
      </c>
      <c r="FL183" s="1504">
        <v>40026</v>
      </c>
      <c r="FM183" s="19">
        <v>103.20008594039054</v>
      </c>
      <c r="FN183" s="93">
        <v>110.86310411917042</v>
      </c>
      <c r="FO183" s="93">
        <v>100.47864023203883</v>
      </c>
      <c r="FP183" s="93">
        <v>93.961493930459667</v>
      </c>
      <c r="FQ183" s="93">
        <v>103.916255863641</v>
      </c>
      <c r="FR183" s="93">
        <v>83.147328089377808</v>
      </c>
      <c r="FS183" s="93">
        <v>79.852946442425718</v>
      </c>
      <c r="FT183" s="93">
        <v>107.8551904415185</v>
      </c>
      <c r="FU183" s="93">
        <v>114.4439537354227</v>
      </c>
      <c r="FV183" s="93">
        <v>78.563840580574904</v>
      </c>
      <c r="FW183" s="93">
        <v>107.35387149524318</v>
      </c>
      <c r="FX183" s="93">
        <v>117.88156936702487</v>
      </c>
      <c r="FY183" s="93">
        <v>85.653922820754403</v>
      </c>
      <c r="FZ183" s="29">
        <v>116</v>
      </c>
      <c r="GA183" s="1504">
        <v>40026</v>
      </c>
      <c r="GB183" s="733">
        <v>103.22349570200574</v>
      </c>
      <c r="GC183" s="570">
        <v>98.9971346704871</v>
      </c>
      <c r="GD183" s="570">
        <v>105.30085959885388</v>
      </c>
      <c r="GE183" s="570">
        <v>114.89971346704873</v>
      </c>
      <c r="GF183" s="570">
        <v>113.53868194842407</v>
      </c>
      <c r="GG183" s="570">
        <v>98.638968481375358</v>
      </c>
      <c r="GH183" s="93"/>
      <c r="GI183" s="93"/>
      <c r="GJ183" s="93"/>
      <c r="GK183" s="93"/>
      <c r="GL183" s="93"/>
      <c r="GM183" s="93"/>
      <c r="GN183" s="20"/>
      <c r="GO183" s="29">
        <v>116</v>
      </c>
      <c r="GP183" s="1504">
        <v>40026</v>
      </c>
      <c r="GQ183" s="19"/>
      <c r="GR183" s="93"/>
      <c r="GS183" s="93"/>
      <c r="GT183" s="93"/>
      <c r="GU183" s="93"/>
      <c r="GV183" s="20"/>
      <c r="GW183" s="19"/>
      <c r="GX183" s="93"/>
      <c r="GY183" s="93"/>
      <c r="GZ183" s="93"/>
      <c r="HA183" s="93"/>
      <c r="HB183" s="20"/>
      <c r="HC183" s="19"/>
      <c r="HD183" s="93"/>
      <c r="HE183" s="93"/>
      <c r="HF183" s="93"/>
      <c r="HG183" s="93"/>
      <c r="HH183" s="20"/>
      <c r="HI183" s="19"/>
      <c r="HJ183" s="93"/>
      <c r="HK183" s="93"/>
      <c r="HL183" s="93"/>
      <c r="HM183" s="93"/>
      <c r="HN183" s="20"/>
      <c r="HO183" s="219"/>
      <c r="HP183" s="20"/>
      <c r="HQ183" s="25"/>
      <c r="HR183" s="29">
        <v>116</v>
      </c>
      <c r="HS183" s="1504">
        <v>40026</v>
      </c>
      <c r="HT183" s="179">
        <v>184.82237091064454</v>
      </c>
      <c r="HU183" s="99">
        <v>229.16672325134277</v>
      </c>
      <c r="HV183" s="99">
        <v>174.41448974609375</v>
      </c>
      <c r="HW183" s="99">
        <v>200.24272155761719</v>
      </c>
      <c r="HX183" s="99">
        <v>187.71330261230469</v>
      </c>
      <c r="HY183" s="99">
        <v>192.80149536132814</v>
      </c>
      <c r="HZ183" s="99">
        <v>216.48009338378907</v>
      </c>
      <c r="IA183" s="132">
        <v>167.33871078491211</v>
      </c>
      <c r="IB183" s="179">
        <v>218.60268783569336</v>
      </c>
      <c r="IC183" s="99">
        <v>154.40415039062501</v>
      </c>
      <c r="ID183" s="99">
        <v>150.66964721679688</v>
      </c>
      <c r="IE183" s="99">
        <v>142.95731608072916</v>
      </c>
      <c r="IF183" s="99">
        <v>183.83301696777343</v>
      </c>
      <c r="IG183" s="132">
        <v>155.83755493164063</v>
      </c>
      <c r="IH183" s="179">
        <v>141.51905059814453</v>
      </c>
      <c r="II183" s="99">
        <v>198.32041168212891</v>
      </c>
      <c r="IJ183" s="99">
        <v>172.41378784179688</v>
      </c>
      <c r="IK183" s="99">
        <v>174.10713958740234</v>
      </c>
      <c r="IL183" s="99">
        <v>159.91265106201172</v>
      </c>
      <c r="IM183" s="99">
        <v>162.90323257446289</v>
      </c>
      <c r="IN183" s="93"/>
      <c r="IO183" s="132">
        <v>172.91680450439452</v>
      </c>
      <c r="IP183" s="29">
        <v>116</v>
      </c>
      <c r="IQ183" s="19"/>
      <c r="IR183" s="93"/>
      <c r="IS183" s="93"/>
      <c r="IT183" s="93"/>
      <c r="IU183" s="93"/>
      <c r="IV183" s="20"/>
      <c r="IW183" s="29">
        <v>116</v>
      </c>
      <c r="IX183" s="19"/>
      <c r="IY183" s="93"/>
      <c r="IZ183" s="93"/>
      <c r="JA183" s="93"/>
      <c r="JB183" s="93"/>
      <c r="JC183" s="93"/>
      <c r="JD183" s="93"/>
      <c r="JE183" s="20"/>
      <c r="JF183" s="29">
        <v>116</v>
      </c>
      <c r="JG183" s="19"/>
      <c r="JH183" s="93"/>
      <c r="JI183" s="93"/>
      <c r="JJ183" s="93"/>
      <c r="JK183" s="93"/>
      <c r="JL183" s="93"/>
      <c r="JM183" s="93"/>
      <c r="JN183" s="20"/>
      <c r="JO183" s="29">
        <v>116</v>
      </c>
      <c r="JP183" s="19"/>
      <c r="JQ183" s="93"/>
      <c r="JR183" s="93"/>
      <c r="JS183" s="93"/>
      <c r="JT183" s="93"/>
      <c r="JU183" s="20"/>
      <c r="JV183" s="29">
        <v>116</v>
      </c>
      <c r="JW183" s="1504">
        <v>40026</v>
      </c>
      <c r="JX183" s="19"/>
      <c r="JY183" s="93"/>
      <c r="JZ183" s="93"/>
      <c r="KA183" s="93"/>
      <c r="KB183" s="93"/>
      <c r="KC183" s="93"/>
      <c r="KD183" s="20"/>
      <c r="KE183" s="29">
        <v>116</v>
      </c>
      <c r="KF183" s="19"/>
      <c r="KG183" s="93"/>
      <c r="KH183" s="93"/>
      <c r="KI183" s="93"/>
      <c r="KJ183" s="93"/>
      <c r="KK183" s="20"/>
      <c r="KL183" s="29">
        <v>116</v>
      </c>
      <c r="KM183" s="19"/>
      <c r="KN183" s="93"/>
      <c r="KO183" s="93"/>
      <c r="KP183" s="93"/>
      <c r="KQ183" s="93"/>
      <c r="KR183" s="20"/>
      <c r="KS183" s="29">
        <v>116</v>
      </c>
      <c r="KT183" s="19"/>
      <c r="KU183" s="93"/>
      <c r="KV183" s="93"/>
      <c r="KW183" s="93"/>
      <c r="KX183" s="93"/>
      <c r="KY183" s="20"/>
      <c r="KZ183" s="29">
        <v>116</v>
      </c>
      <c r="LA183" s="1504">
        <v>40026</v>
      </c>
      <c r="LB183" s="19"/>
      <c r="LC183" s="93"/>
      <c r="LD183" s="93"/>
      <c r="LE183" s="93"/>
      <c r="LF183" s="93"/>
      <c r="LG183" s="93"/>
      <c r="LH183" s="20"/>
      <c r="LI183" s="29">
        <v>116</v>
      </c>
      <c r="LJ183" s="19"/>
      <c r="LK183" s="93"/>
      <c r="LL183" s="93"/>
      <c r="LM183" s="93"/>
      <c r="LN183" s="93"/>
      <c r="LO183" s="20"/>
      <c r="LP183" s="29">
        <v>116</v>
      </c>
      <c r="LQ183" s="19"/>
      <c r="LR183" s="93"/>
      <c r="LS183" s="93"/>
      <c r="LT183" s="93"/>
      <c r="LU183" s="93"/>
      <c r="LV183" s="93"/>
      <c r="LW183" s="93"/>
      <c r="LX183" s="93"/>
      <c r="LY183" s="93"/>
      <c r="LZ183" s="93"/>
      <c r="MA183" s="20"/>
      <c r="MB183" s="29">
        <v>116</v>
      </c>
      <c r="MC183" s="1504">
        <v>40026</v>
      </c>
      <c r="MD183" s="19">
        <v>55184.745367000003</v>
      </c>
      <c r="ME183" s="93">
        <v>39550.779888000005</v>
      </c>
      <c r="MF183" s="93">
        <v>39550.698888000006</v>
      </c>
      <c r="MG183" s="93">
        <v>37113.747340000002</v>
      </c>
      <c r="MH183" s="93">
        <v>7271.0734230000007</v>
      </c>
      <c r="MI183" s="93">
        <v>431.88641100000001</v>
      </c>
      <c r="MJ183" s="93">
        <v>107.22354</v>
      </c>
      <c r="MK183" s="93">
        <v>21432.184690000002</v>
      </c>
      <c r="ML183" s="93">
        <v>7420.8478809999997</v>
      </c>
      <c r="MM183" s="93">
        <v>450.53139500000003</v>
      </c>
      <c r="MN183" s="93">
        <v>2436.9515480000005</v>
      </c>
      <c r="MO183" s="93">
        <v>188.59409400000001</v>
      </c>
      <c r="MP183" s="93">
        <v>1134.7827870000001</v>
      </c>
      <c r="MQ183" s="93">
        <v>184.57661500000003</v>
      </c>
      <c r="MR183" s="93">
        <v>308.63534299999998</v>
      </c>
      <c r="MS183" s="93">
        <v>620.362709</v>
      </c>
      <c r="MT183" s="93">
        <v>8.1000000000000003E-2</v>
      </c>
      <c r="MU183" s="93">
        <v>15633.965479</v>
      </c>
      <c r="MV183" s="93">
        <v>14560.845947</v>
      </c>
      <c r="MW183" s="93">
        <v>1073.1195319999999</v>
      </c>
      <c r="MX183" s="93">
        <v>88343.783865799996</v>
      </c>
      <c r="MY183" s="93">
        <v>88247.631690800001</v>
      </c>
      <c r="MZ183" s="93">
        <v>35558.673106800008</v>
      </c>
      <c r="NA183" s="93">
        <v>19604.435998666675</v>
      </c>
      <c r="NB183" s="93">
        <v>5893.9859393333272</v>
      </c>
      <c r="NC183" s="93">
        <v>674.51398300000005</v>
      </c>
      <c r="ND183" s="93">
        <v>400.22457099999997</v>
      </c>
      <c r="NE183" s="93">
        <v>274.28941200000003</v>
      </c>
      <c r="NF183" s="93">
        <v>9385.7371858000079</v>
      </c>
      <c r="NG183" s="93">
        <v>223.67179980000108</v>
      </c>
      <c r="NH183" s="93">
        <v>3389.2069100000022</v>
      </c>
      <c r="NI183" s="93">
        <v>0</v>
      </c>
      <c r="NJ183" s="93">
        <v>753.57791799999995</v>
      </c>
      <c r="NK183" s="93">
        <v>52688.958583999993</v>
      </c>
      <c r="NL183" s="93">
        <v>22394.184023999987</v>
      </c>
      <c r="NM183" s="93">
        <v>1266.546824</v>
      </c>
      <c r="NN183" s="93">
        <v>29028.227736000001</v>
      </c>
      <c r="NO183" s="93">
        <v>96.152175000001279</v>
      </c>
      <c r="NP183" s="93">
        <v>-33159.038498799986</v>
      </c>
      <c r="NQ183" s="93">
        <v>-48793.003977799992</v>
      </c>
      <c r="NR183" s="93">
        <v>-19090.262258799994</v>
      </c>
      <c r="NS183" s="93">
        <v>-19764.776241799987</v>
      </c>
      <c r="NT183" s="93">
        <v>-28265.917412800005</v>
      </c>
      <c r="NU183" s="93">
        <v>-43899.882891800007</v>
      </c>
      <c r="NV183" s="93">
        <v>30933.669092</v>
      </c>
      <c r="NW183" s="93">
        <v>28248.012595</v>
      </c>
      <c r="NX183" s="93">
        <v>28947.238989999998</v>
      </c>
      <c r="NY183" s="93">
        <v>-699.22639500000002</v>
      </c>
      <c r="NZ183" s="93">
        <v>0</v>
      </c>
      <c r="OA183" s="93">
        <v>2685.6564970000004</v>
      </c>
      <c r="OB183" s="93">
        <v>3670.4213740000009</v>
      </c>
      <c r="OC183" s="93">
        <v>-984.76487700000007</v>
      </c>
      <c r="OD183" s="20">
        <v>0</v>
      </c>
      <c r="OE183" s="29">
        <v>116</v>
      </c>
      <c r="OF183" s="1504">
        <v>40026</v>
      </c>
      <c r="OG183" s="19"/>
      <c r="OH183" s="93">
        <v>250.7167</v>
      </c>
      <c r="OI183" s="93">
        <v>348.84028655149035</v>
      </c>
      <c r="OJ183" s="93">
        <v>0.445553331</v>
      </c>
      <c r="OK183" s="93">
        <v>288.03173322049037</v>
      </c>
      <c r="OL183" s="93">
        <v>60.363</v>
      </c>
      <c r="OM183" s="93">
        <v>599.55698655149035</v>
      </c>
      <c r="ON183" s="93">
        <v>399.6580770748796</v>
      </c>
      <c r="OO183" s="93">
        <v>999.21506362637001</v>
      </c>
      <c r="OP183" s="93"/>
      <c r="OQ183" s="93">
        <v>502.75159681591856</v>
      </c>
      <c r="OR183" s="93">
        <v>357.72467456900006</v>
      </c>
      <c r="OS183" s="93">
        <v>145.02692224691847</v>
      </c>
      <c r="OT183" s="93">
        <v>631.80727945745139</v>
      </c>
      <c r="OU183" s="93">
        <v>-131.33549962699999</v>
      </c>
      <c r="OV183" s="93">
        <v>-38.163499627</v>
      </c>
      <c r="OW183" s="93">
        <v>-93.171999999999997</v>
      </c>
      <c r="OX183" s="93">
        <v>763.14277908445138</v>
      </c>
      <c r="OY183" s="93">
        <v>2.5508910359999999</v>
      </c>
      <c r="OZ183" s="93">
        <v>760.59188804845144</v>
      </c>
      <c r="PA183" s="93">
        <v>162.51663891299995</v>
      </c>
      <c r="PB183" s="93">
        <v>-27.172826266000015</v>
      </c>
      <c r="PC183" s="20">
        <v>999.21506362637012</v>
      </c>
      <c r="PD183" s="29">
        <v>116</v>
      </c>
      <c r="PE183" s="19"/>
      <c r="PF183" s="93">
        <v>357.72467456900006</v>
      </c>
      <c r="PG183" s="93">
        <v>535.03711299300005</v>
      </c>
      <c r="PH183" s="93">
        <v>177.31243842399999</v>
      </c>
      <c r="PI183" s="93">
        <v>25.89</v>
      </c>
      <c r="PJ183" s="93">
        <v>-38.163499627</v>
      </c>
      <c r="PK183" s="93">
        <v>40.485867943999999</v>
      </c>
      <c r="PL183" s="93">
        <v>78.649367570999999</v>
      </c>
      <c r="PM183" s="93">
        <v>2.5508910359999999</v>
      </c>
      <c r="PN183" s="93">
        <v>0</v>
      </c>
      <c r="PO183" s="93">
        <v>0</v>
      </c>
      <c r="PP183" s="93">
        <v>5.3317600000000001E-4</v>
      </c>
      <c r="PQ183" s="93">
        <v>2.5503578600000001</v>
      </c>
      <c r="PR183" s="93">
        <v>351.35585134799999</v>
      </c>
      <c r="PS183" s="93">
        <v>276.3347</v>
      </c>
      <c r="PT183" s="93">
        <v>74.575598017000004</v>
      </c>
      <c r="PU183" s="93">
        <v>0.445553331</v>
      </c>
      <c r="PV183" s="93">
        <v>0</v>
      </c>
      <c r="PW183" s="93">
        <v>0.38244275799999999</v>
      </c>
      <c r="PX183" s="93">
        <v>0</v>
      </c>
      <c r="PY183" s="93">
        <v>0</v>
      </c>
      <c r="PZ183" s="93">
        <v>0.38244275799999999</v>
      </c>
      <c r="QA183" s="93">
        <v>0</v>
      </c>
      <c r="QB183" s="93">
        <v>0</v>
      </c>
      <c r="QC183" s="93">
        <v>0</v>
      </c>
      <c r="QD183" s="93">
        <v>-1.432803845</v>
      </c>
      <c r="QE183" s="20">
        <v>-2.3034242830000067</v>
      </c>
      <c r="QF183" s="1739">
        <v>116</v>
      </c>
      <c r="QG183" s="19"/>
      <c r="QH183" s="1035">
        <v>145.02692224691847</v>
      </c>
      <c r="QI183" s="1035">
        <v>229.76711195154849</v>
      </c>
      <c r="QJ183" s="1035">
        <v>-84.740189704630012</v>
      </c>
      <c r="QK183" s="1035">
        <v>51.090999999999994</v>
      </c>
      <c r="QL183" s="1035">
        <v>25.617999999999999</v>
      </c>
      <c r="QM183" s="1035">
        <v>25.472999999999999</v>
      </c>
      <c r="QN183" s="1035">
        <v>0</v>
      </c>
      <c r="QO183" s="1035">
        <v>-93.171999999999997</v>
      </c>
      <c r="QP183" s="1035">
        <v>47.911000000000001</v>
      </c>
      <c r="QQ183" s="1035">
        <v>-141.083</v>
      </c>
      <c r="QR183" s="1035">
        <v>760.59188804845144</v>
      </c>
      <c r="QS183" s="1035">
        <v>6.5425610558345015</v>
      </c>
      <c r="QT183" s="1035">
        <v>0</v>
      </c>
      <c r="QU183" s="1035">
        <v>0</v>
      </c>
      <c r="QV183" s="1035">
        <v>754.0493269926169</v>
      </c>
      <c r="QW183" s="93"/>
      <c r="QX183" s="93">
        <v>13.635</v>
      </c>
      <c r="QY183" s="93">
        <v>288.03173322049037</v>
      </c>
      <c r="QZ183" s="93">
        <v>399.6580770748796</v>
      </c>
      <c r="RA183" s="93">
        <v>0</v>
      </c>
      <c r="RB183" s="93">
        <v>20.047999999999998</v>
      </c>
      <c r="RC183" s="93">
        <v>3.5539999999999998</v>
      </c>
      <c r="RD183" s="93">
        <v>14.128</v>
      </c>
      <c r="RE183" s="93">
        <v>0</v>
      </c>
      <c r="RF183" s="93">
        <v>0</v>
      </c>
      <c r="RG183" s="93">
        <v>125.83699999999995</v>
      </c>
      <c r="RH183" s="93">
        <v>-1.3540000000000134</v>
      </c>
      <c r="RI183" s="93"/>
      <c r="RJ183" s="93"/>
      <c r="RK183" s="93"/>
      <c r="RL183" s="93"/>
      <c r="RM183" s="20"/>
      <c r="RN183" s="29">
        <v>116</v>
      </c>
      <c r="RO183" s="19"/>
      <c r="RP183" s="20"/>
      <c r="RQ183" s="29">
        <v>116</v>
      </c>
      <c r="RR183" s="20"/>
      <c r="RS183" s="29">
        <v>116</v>
      </c>
      <c r="RT183" s="1504">
        <v>40026</v>
      </c>
      <c r="RU183" s="19"/>
      <c r="RV183" s="20"/>
      <c r="RW183" s="29">
        <v>116</v>
      </c>
      <c r="RX183" s="1504">
        <v>40026</v>
      </c>
      <c r="RY183" s="29"/>
      <c r="RZ183" s="20"/>
      <c r="SA183" s="29"/>
      <c r="SB183" s="29">
        <v>116</v>
      </c>
    </row>
    <row r="184" spans="1:496">
      <c r="A184" s="41">
        <f t="shared" si="191"/>
        <v>2009</v>
      </c>
      <c r="B184" s="1504">
        <v>40057</v>
      </c>
      <c r="C184" s="1813"/>
      <c r="D184" s="1814"/>
      <c r="E184" s="1814"/>
      <c r="F184" s="1815"/>
      <c r="G184" s="1814"/>
      <c r="H184" s="1814"/>
      <c r="I184" s="1814"/>
      <c r="J184" s="1816"/>
      <c r="K184" s="1807"/>
      <c r="L184" s="25">
        <v>117</v>
      </c>
      <c r="M184" s="97"/>
      <c r="N184" s="1504">
        <v>40057</v>
      </c>
      <c r="O184" s="19"/>
      <c r="P184" s="93"/>
      <c r="Q184" s="93"/>
      <c r="R184" s="93"/>
      <c r="S184" s="93"/>
      <c r="T184" s="93"/>
      <c r="U184" s="93"/>
      <c r="V184" s="93"/>
      <c r="W184" s="93"/>
      <c r="X184" s="93"/>
      <c r="Y184" s="93"/>
      <c r="Z184" s="93"/>
      <c r="AA184" s="93"/>
      <c r="AB184" s="20"/>
      <c r="AC184" s="25">
        <v>117</v>
      </c>
      <c r="AD184" s="97"/>
      <c r="AE184" s="1504">
        <v>40057</v>
      </c>
      <c r="AF184" s="19"/>
      <c r="AG184" s="93"/>
      <c r="AH184" s="93"/>
      <c r="AI184" s="93"/>
      <c r="AJ184" s="93"/>
      <c r="AK184" s="93"/>
      <c r="AL184" s="93"/>
      <c r="AM184" s="93"/>
      <c r="AN184" s="93"/>
      <c r="AO184" s="93"/>
      <c r="AP184" s="93"/>
      <c r="AQ184" s="93"/>
      <c r="AR184" s="93"/>
      <c r="AS184" s="20"/>
      <c r="AT184" s="25">
        <v>117</v>
      </c>
      <c r="AU184" s="97"/>
      <c r="AV184" s="1504">
        <v>40057</v>
      </c>
      <c r="AW184" s="19"/>
      <c r="AX184" s="93"/>
      <c r="AY184" s="93"/>
      <c r="AZ184" s="93"/>
      <c r="BA184" s="93"/>
      <c r="BB184" s="93"/>
      <c r="BC184" s="93"/>
      <c r="BD184" s="93"/>
      <c r="BE184" s="93"/>
      <c r="BF184" s="93"/>
      <c r="BG184" s="93"/>
      <c r="BH184" s="93"/>
      <c r="BI184" s="93"/>
      <c r="BJ184" s="20"/>
      <c r="BK184" s="25">
        <v>117</v>
      </c>
      <c r="BL184" s="97"/>
      <c r="BM184" s="1504">
        <v>40057</v>
      </c>
      <c r="BN184" s="19"/>
      <c r="BO184" s="93"/>
      <c r="BP184" s="93"/>
      <c r="BQ184" s="93"/>
      <c r="BR184" s="93"/>
      <c r="BS184" s="93"/>
      <c r="BT184" s="93"/>
      <c r="BU184" s="20"/>
      <c r="BV184" s="25">
        <v>117</v>
      </c>
      <c r="BW184" s="97"/>
      <c r="BX184" s="1504">
        <v>40057</v>
      </c>
      <c r="BY184" s="19"/>
      <c r="BZ184" s="99">
        <v>664.95699999999999</v>
      </c>
      <c r="CA184" s="93"/>
      <c r="CB184" s="93"/>
      <c r="CC184" s="93"/>
      <c r="CD184" s="25">
        <v>117</v>
      </c>
      <c r="CE184" s="97"/>
      <c r="CF184" s="1504">
        <v>40057</v>
      </c>
      <c r="CG184" s="19">
        <v>1.41205911</v>
      </c>
      <c r="CH184" s="1626">
        <v>996.59100000000001</v>
      </c>
      <c r="CI184" s="219"/>
      <c r="CJ184" s="20"/>
      <c r="CK184" s="19"/>
      <c r="CL184" s="93"/>
      <c r="CM184" s="93"/>
      <c r="CN184" s="93"/>
      <c r="CO184" s="93"/>
      <c r="CP184" s="20"/>
      <c r="CQ184" s="219">
        <v>1232.58</v>
      </c>
      <c r="CR184" s="93">
        <v>2.9649999999999999</v>
      </c>
      <c r="CS184" s="93"/>
      <c r="CT184" s="93"/>
      <c r="CU184" s="93"/>
      <c r="CV184" s="214"/>
      <c r="CW184" s="29">
        <v>117</v>
      </c>
      <c r="CX184" s="41">
        <f t="shared" si="192"/>
        <v>2009</v>
      </c>
      <c r="CY184" s="1504">
        <v>40057</v>
      </c>
      <c r="CZ184" s="1916">
        <v>57.719498000000002</v>
      </c>
      <c r="DA184" s="1526">
        <v>38.903889999999997</v>
      </c>
      <c r="DB184" s="1526">
        <v>18.815608000000001</v>
      </c>
      <c r="DC184" s="182">
        <f t="shared" si="202"/>
        <v>338171</v>
      </c>
      <c r="DD184" s="182">
        <f t="shared" si="203"/>
        <v>337155</v>
      </c>
      <c r="DE184" s="182">
        <f t="shared" si="204"/>
        <v>1016</v>
      </c>
      <c r="DF184" s="29">
        <v>117</v>
      </c>
      <c r="DG184" s="1504">
        <v>40057</v>
      </c>
      <c r="DH184" s="19"/>
      <c r="DI184" s="93"/>
      <c r="DJ184" s="93"/>
      <c r="DK184" s="93"/>
      <c r="DL184" s="93"/>
      <c r="DM184" s="93"/>
      <c r="DN184" s="20"/>
      <c r="DO184" s="25"/>
      <c r="DP184" s="29">
        <v>117</v>
      </c>
      <c r="DQ184" s="1504">
        <v>40057</v>
      </c>
      <c r="DR184" s="19"/>
      <c r="DS184" s="93"/>
      <c r="DT184" s="93"/>
      <c r="DU184" s="93"/>
      <c r="DV184" s="93"/>
      <c r="DW184" s="93"/>
      <c r="DX184" s="20"/>
      <c r="DY184" s="29">
        <v>117</v>
      </c>
      <c r="DZ184" s="1504">
        <v>40057</v>
      </c>
      <c r="EA184" s="19"/>
      <c r="EB184" s="93"/>
      <c r="EC184" s="20"/>
      <c r="ED184" s="29">
        <v>117</v>
      </c>
      <c r="EE184" s="1504">
        <v>40057</v>
      </c>
      <c r="EF184" s="19"/>
      <c r="EG184" s="93"/>
      <c r="EH184" s="93"/>
      <c r="EI184" s="214"/>
      <c r="EJ184" s="93"/>
      <c r="EK184" s="93"/>
      <c r="EL184" s="93"/>
      <c r="EM184" s="93"/>
      <c r="EN184" s="20"/>
      <c r="EO184" s="29">
        <v>117</v>
      </c>
      <c r="EP184" s="1504">
        <v>40057</v>
      </c>
      <c r="EQ184" s="19"/>
      <c r="ER184" s="93"/>
      <c r="ES184" s="93"/>
      <c r="ET184" s="214"/>
      <c r="EU184" s="93"/>
      <c r="EV184" s="93"/>
      <c r="EW184" s="93"/>
      <c r="EX184" s="93"/>
      <c r="EY184" s="20"/>
      <c r="EZ184" s="29">
        <v>117</v>
      </c>
      <c r="FA184" s="1504">
        <v>40057</v>
      </c>
      <c r="FB184" s="29"/>
      <c r="FC184" s="29"/>
      <c r="FD184" s="29"/>
      <c r="FE184" s="29"/>
      <c r="FF184" s="29"/>
      <c r="FG184" s="29"/>
      <c r="FH184" s="29"/>
      <c r="FI184" s="29"/>
      <c r="FJ184" s="29"/>
      <c r="FK184" s="29">
        <v>117</v>
      </c>
      <c r="FL184" s="1504">
        <v>40057</v>
      </c>
      <c r="FM184" s="19">
        <v>103.05685195574046</v>
      </c>
      <c r="FN184" s="93">
        <v>109.57399825731959</v>
      </c>
      <c r="FO184" s="93">
        <v>98.688215423912681</v>
      </c>
      <c r="FP184" s="93">
        <v>93.961493930459667</v>
      </c>
      <c r="FQ184" s="93">
        <v>105.77829766409218</v>
      </c>
      <c r="FR184" s="93">
        <v>83.147328089377808</v>
      </c>
      <c r="FS184" s="93">
        <v>79.852946442425718</v>
      </c>
      <c r="FT184" s="93">
        <v>107.8551904415185</v>
      </c>
      <c r="FU184" s="93">
        <v>114.4439537354227</v>
      </c>
      <c r="FV184" s="93">
        <v>78.563840580574904</v>
      </c>
      <c r="FW184" s="93">
        <v>107.35387149524318</v>
      </c>
      <c r="FX184" s="93">
        <v>118.66935628260036</v>
      </c>
      <c r="FY184" s="93">
        <v>85.653922820754403</v>
      </c>
      <c r="FZ184" s="29">
        <v>117</v>
      </c>
      <c r="GA184" s="1504">
        <v>40057</v>
      </c>
      <c r="GB184" s="733">
        <v>103.08022922636104</v>
      </c>
      <c r="GC184" s="570">
        <v>98.92550143266476</v>
      </c>
      <c r="GD184" s="570">
        <v>105.08595988538681</v>
      </c>
      <c r="GE184" s="570">
        <v>116.76217765042981</v>
      </c>
      <c r="GF184" s="570">
        <v>110.74498567335245</v>
      </c>
      <c r="GG184" s="570">
        <v>98.85386819484242</v>
      </c>
      <c r="GH184" s="93"/>
      <c r="GI184" s="93"/>
      <c r="GJ184" s="93"/>
      <c r="GK184" s="93"/>
      <c r="GL184" s="93"/>
      <c r="GM184" s="93"/>
      <c r="GN184" s="20"/>
      <c r="GO184" s="29">
        <v>117</v>
      </c>
      <c r="GP184" s="1504">
        <v>40057</v>
      </c>
      <c r="GQ184" s="19"/>
      <c r="GR184" s="93"/>
      <c r="GS184" s="93"/>
      <c r="GT184" s="93"/>
      <c r="GU184" s="93"/>
      <c r="GV184" s="20"/>
      <c r="GW184" s="19"/>
      <c r="GX184" s="93"/>
      <c r="GY184" s="93"/>
      <c r="GZ184" s="93"/>
      <c r="HA184" s="93"/>
      <c r="HB184" s="20"/>
      <c r="HC184" s="19"/>
      <c r="HD184" s="93"/>
      <c r="HE184" s="93"/>
      <c r="HF184" s="93"/>
      <c r="HG184" s="93"/>
      <c r="HH184" s="20"/>
      <c r="HI184" s="19"/>
      <c r="HJ184" s="93"/>
      <c r="HK184" s="93"/>
      <c r="HL184" s="93"/>
      <c r="HM184" s="93"/>
      <c r="HN184" s="20"/>
      <c r="HO184" s="219"/>
      <c r="HP184" s="20"/>
      <c r="HQ184" s="25"/>
      <c r="HR184" s="29">
        <v>117</v>
      </c>
      <c r="HS184" s="1504">
        <v>40057</v>
      </c>
      <c r="HT184" s="179">
        <v>185.77127075195313</v>
      </c>
      <c r="HU184" s="99">
        <v>218.05416870117188</v>
      </c>
      <c r="HV184" s="99">
        <v>172.73681640625</v>
      </c>
      <c r="HW184" s="99">
        <v>182.03883361816406</v>
      </c>
      <c r="HX184" s="99">
        <v>157.81631469726563</v>
      </c>
      <c r="HY184" s="99">
        <v>193.25881195068359</v>
      </c>
      <c r="HZ184" s="99">
        <v>215.58445231119791</v>
      </c>
      <c r="IA184" s="132">
        <v>146.56549072265625</v>
      </c>
      <c r="IB184" s="179">
        <v>192.59259033203125</v>
      </c>
      <c r="IC184" s="99">
        <v>160.62176513671875</v>
      </c>
      <c r="ID184" s="99">
        <v>141.62561798095703</v>
      </c>
      <c r="IE184" s="99">
        <v>129.27916971842447</v>
      </c>
      <c r="IF184" s="99">
        <v>154.90226236979166</v>
      </c>
      <c r="IG184" s="132">
        <v>136.42131551106772</v>
      </c>
      <c r="IH184" s="179">
        <v>132.06437937418619</v>
      </c>
      <c r="II184" s="99">
        <v>190.03187561035156</v>
      </c>
      <c r="IJ184" s="99">
        <v>172.41378784179688</v>
      </c>
      <c r="IK184" s="99">
        <v>154.76191202799478</v>
      </c>
      <c r="IL184" s="99">
        <v>138.91006469726563</v>
      </c>
      <c r="IM184" s="99">
        <v>148.79032516479492</v>
      </c>
      <c r="IN184" s="93"/>
      <c r="IO184" s="132">
        <v>167.89658355712891</v>
      </c>
      <c r="IP184" s="29">
        <v>117</v>
      </c>
      <c r="IQ184" s="19"/>
      <c r="IR184" s="93"/>
      <c r="IS184" s="93"/>
      <c r="IT184" s="93"/>
      <c r="IU184" s="93"/>
      <c r="IV184" s="20"/>
      <c r="IW184" s="29">
        <v>117</v>
      </c>
      <c r="IX184" s="19"/>
      <c r="IY184" s="93"/>
      <c r="IZ184" s="93"/>
      <c r="JA184" s="93"/>
      <c r="JB184" s="93"/>
      <c r="JC184" s="93"/>
      <c r="JD184" s="93"/>
      <c r="JE184" s="20"/>
      <c r="JF184" s="29">
        <v>117</v>
      </c>
      <c r="JG184" s="19"/>
      <c r="JH184" s="93"/>
      <c r="JI184" s="93"/>
      <c r="JJ184" s="93"/>
      <c r="JK184" s="93"/>
      <c r="JL184" s="93"/>
      <c r="JM184" s="93"/>
      <c r="JN184" s="20"/>
      <c r="JO184" s="29">
        <v>117</v>
      </c>
      <c r="JP184" s="19"/>
      <c r="JQ184" s="93"/>
      <c r="JR184" s="93"/>
      <c r="JS184" s="93"/>
      <c r="JT184" s="93"/>
      <c r="JU184" s="20"/>
      <c r="JV184" s="29">
        <v>117</v>
      </c>
      <c r="JW184" s="1504">
        <v>40057</v>
      </c>
      <c r="JX184" s="19"/>
      <c r="JY184" s="93"/>
      <c r="JZ184" s="93"/>
      <c r="KA184" s="93"/>
      <c r="KB184" s="93"/>
      <c r="KC184" s="93"/>
      <c r="KD184" s="20"/>
      <c r="KE184" s="29">
        <v>117</v>
      </c>
      <c r="KF184" s="19"/>
      <c r="KG184" s="93"/>
      <c r="KH184" s="93"/>
      <c r="KI184" s="93"/>
      <c r="KJ184" s="93"/>
      <c r="KK184" s="20"/>
      <c r="KL184" s="29">
        <v>117</v>
      </c>
      <c r="KM184" s="19"/>
      <c r="KN184" s="93"/>
      <c r="KO184" s="93"/>
      <c r="KP184" s="93"/>
      <c r="KQ184" s="93"/>
      <c r="KR184" s="20"/>
      <c r="KS184" s="29">
        <v>117</v>
      </c>
      <c r="KT184" s="19"/>
      <c r="KU184" s="93"/>
      <c r="KV184" s="93"/>
      <c r="KW184" s="93"/>
      <c r="KX184" s="93"/>
      <c r="KY184" s="20"/>
      <c r="KZ184" s="29">
        <v>117</v>
      </c>
      <c r="LA184" s="1504">
        <v>40057</v>
      </c>
      <c r="LB184" s="19">
        <v>470</v>
      </c>
      <c r="LC184" s="93">
        <v>655</v>
      </c>
      <c r="LD184" s="93">
        <v>665</v>
      </c>
      <c r="LE184" s="93"/>
      <c r="LF184" s="93">
        <v>655</v>
      </c>
      <c r="LG184" s="93"/>
      <c r="LH184" s="20"/>
      <c r="LI184" s="29">
        <v>117</v>
      </c>
      <c r="LJ184" s="19"/>
      <c r="LK184" s="93"/>
      <c r="LL184" s="93"/>
      <c r="LM184" s="93"/>
      <c r="LN184" s="93"/>
      <c r="LO184" s="20"/>
      <c r="LP184" s="29">
        <v>117</v>
      </c>
      <c r="LQ184" s="19"/>
      <c r="LR184" s="93"/>
      <c r="LS184" s="93"/>
      <c r="LT184" s="93"/>
      <c r="LU184" s="93"/>
      <c r="LV184" s="93"/>
      <c r="LW184" s="93"/>
      <c r="LX184" s="93"/>
      <c r="LY184" s="93"/>
      <c r="LZ184" s="93"/>
      <c r="MA184" s="20"/>
      <c r="MB184" s="29">
        <v>117</v>
      </c>
      <c r="MC184" s="1504">
        <v>40057</v>
      </c>
      <c r="MD184" s="19">
        <v>98125.226385000016</v>
      </c>
      <c r="ME184" s="93">
        <v>37705.895630000014</v>
      </c>
      <c r="MF184" s="93">
        <v>37705.845465000013</v>
      </c>
      <c r="MG184" s="93">
        <v>35465.662269000008</v>
      </c>
      <c r="MH184" s="93">
        <v>6126.2037300000002</v>
      </c>
      <c r="MI184" s="93">
        <v>401.79175199999997</v>
      </c>
      <c r="MJ184" s="93">
        <v>329.38663700000006</v>
      </c>
      <c r="MK184" s="93">
        <v>20754.024348999999</v>
      </c>
      <c r="ML184" s="93">
        <v>7479.5100639999991</v>
      </c>
      <c r="MM184" s="93">
        <v>374.74573700000002</v>
      </c>
      <c r="MN184" s="93">
        <v>2240.1831959999995</v>
      </c>
      <c r="MO184" s="93">
        <v>152.27351899999999</v>
      </c>
      <c r="MP184" s="93">
        <v>975.93666499999983</v>
      </c>
      <c r="MQ184" s="93">
        <v>191.99202299999999</v>
      </c>
      <c r="MR184" s="93">
        <v>1.7140990000000003</v>
      </c>
      <c r="MS184" s="93">
        <v>918.26688999999988</v>
      </c>
      <c r="MT184" s="93">
        <v>5.0165000000000001E-2</v>
      </c>
      <c r="MU184" s="93">
        <v>60419.330755000003</v>
      </c>
      <c r="MV184" s="93">
        <v>3025.2281330000001</v>
      </c>
      <c r="MW184" s="93">
        <v>57394.102621999999</v>
      </c>
      <c r="MX184" s="93">
        <v>73565.206048700013</v>
      </c>
      <c r="MY184" s="93">
        <v>73739.455744700012</v>
      </c>
      <c r="MZ184" s="93">
        <v>38886.431434700004</v>
      </c>
      <c r="NA184" s="93">
        <v>18968.588331666677</v>
      </c>
      <c r="NB184" s="93">
        <v>5900.7589843333362</v>
      </c>
      <c r="NC184" s="93">
        <v>660.23789299999987</v>
      </c>
      <c r="ND184" s="93">
        <v>136.96679999999998</v>
      </c>
      <c r="NE184" s="93">
        <v>523.27109299999984</v>
      </c>
      <c r="NF184" s="93">
        <v>13356.84622569999</v>
      </c>
      <c r="NG184" s="93">
        <v>206.65956870000065</v>
      </c>
      <c r="NH184" s="93">
        <v>4937.7122829999998</v>
      </c>
      <c r="NI184" s="93">
        <v>0</v>
      </c>
      <c r="NJ184" s="93">
        <v>0</v>
      </c>
      <c r="NK184" s="93">
        <v>34853.024310000008</v>
      </c>
      <c r="NL184" s="93">
        <v>13166.588849000007</v>
      </c>
      <c r="NM184" s="93">
        <v>413.2</v>
      </c>
      <c r="NN184" s="93">
        <v>21273.235461000004</v>
      </c>
      <c r="NO184" s="93">
        <v>-174.24969600000094</v>
      </c>
      <c r="NP184" s="93">
        <v>24560.0203363</v>
      </c>
      <c r="NQ184" s="93">
        <v>-35859.310418700006</v>
      </c>
      <c r="NR184" s="93">
        <v>-13925.837064699999</v>
      </c>
      <c r="NS184" s="93">
        <v>-14586.074957700006</v>
      </c>
      <c r="NT184" s="93">
        <v>12108.538490300001</v>
      </c>
      <c r="NU184" s="93">
        <v>-48310.792264700009</v>
      </c>
      <c r="NV184" s="93">
        <v>-13122.467450999993</v>
      </c>
      <c r="NW184" s="93">
        <v>17408.943425000001</v>
      </c>
      <c r="NX184" s="93">
        <v>18248.007328000003</v>
      </c>
      <c r="NY184" s="93">
        <v>-839.06390300000021</v>
      </c>
      <c r="NZ184" s="93">
        <v>0</v>
      </c>
      <c r="OA184" s="93">
        <v>-30531.410875999994</v>
      </c>
      <c r="OB184" s="93">
        <v>-31882.576964999997</v>
      </c>
      <c r="OC184" s="93">
        <v>1351.1660890000001</v>
      </c>
      <c r="OD184" s="20">
        <v>-7.4505805969238283E-12</v>
      </c>
      <c r="OE184" s="29">
        <v>117</v>
      </c>
      <c r="OF184" s="1504">
        <v>40057</v>
      </c>
      <c r="OG184" s="19"/>
      <c r="OH184" s="93">
        <v>252.51670000000001</v>
      </c>
      <c r="OI184" s="93">
        <v>348.66272145774622</v>
      </c>
      <c r="OJ184" s="93">
        <v>0.34343056</v>
      </c>
      <c r="OK184" s="93">
        <v>287.95629089774621</v>
      </c>
      <c r="OL184" s="93">
        <v>60.363</v>
      </c>
      <c r="OM184" s="93">
        <v>601.17942145774623</v>
      </c>
      <c r="ON184" s="93">
        <v>383.51903080785831</v>
      </c>
      <c r="OO184" s="93">
        <v>984.6984522656046</v>
      </c>
      <c r="OP184" s="93"/>
      <c r="OQ184" s="93">
        <v>543.77942268965649</v>
      </c>
      <c r="OR184" s="93">
        <v>404.81734615399989</v>
      </c>
      <c r="OS184" s="93">
        <v>138.96207653565671</v>
      </c>
      <c r="OT184" s="93">
        <v>593.38727057294773</v>
      </c>
      <c r="OU184" s="93">
        <v>-175.20974357300003</v>
      </c>
      <c r="OV184" s="93">
        <v>-101.98774357300002</v>
      </c>
      <c r="OW184" s="93">
        <v>-73.222000000000008</v>
      </c>
      <c r="OX184" s="93">
        <v>768.59701414594781</v>
      </c>
      <c r="OY184" s="93">
        <v>2.5457689759999997</v>
      </c>
      <c r="OZ184" s="93">
        <v>766.05124516994783</v>
      </c>
      <c r="PA184" s="93">
        <v>159.15623187699993</v>
      </c>
      <c r="PB184" s="93">
        <v>-6.6879908800000152</v>
      </c>
      <c r="PC184" s="20">
        <v>984.69845226560426</v>
      </c>
      <c r="PD184" s="29">
        <v>117</v>
      </c>
      <c r="PE184" s="19"/>
      <c r="PF184" s="93">
        <v>404.81734615399989</v>
      </c>
      <c r="PG184" s="93">
        <v>574.71394576099988</v>
      </c>
      <c r="PH184" s="93">
        <v>169.89659960700001</v>
      </c>
      <c r="PI184" s="93">
        <v>50.39</v>
      </c>
      <c r="PJ184" s="93">
        <v>-101.98774357300002</v>
      </c>
      <c r="PK184" s="93">
        <v>72.372942499000004</v>
      </c>
      <c r="PL184" s="93">
        <v>174.36068607200002</v>
      </c>
      <c r="PM184" s="93">
        <v>2.5457689759999997</v>
      </c>
      <c r="PN184" s="93">
        <v>0</v>
      </c>
      <c r="PO184" s="93">
        <v>0</v>
      </c>
      <c r="PP184" s="93">
        <v>6.0618800000000002E-4</v>
      </c>
      <c r="PQ184" s="93">
        <v>2.5451627879999998</v>
      </c>
      <c r="PR184" s="93">
        <v>354.26883833400001</v>
      </c>
      <c r="PS184" s="93">
        <v>276.6567</v>
      </c>
      <c r="PT184" s="93">
        <v>77.268707774000006</v>
      </c>
      <c r="PU184" s="93">
        <v>0.34343056</v>
      </c>
      <c r="PV184" s="93">
        <v>0</v>
      </c>
      <c r="PW184" s="93">
        <v>0.21854762899999999</v>
      </c>
      <c r="PX184" s="93">
        <v>0</v>
      </c>
      <c r="PY184" s="93">
        <v>0</v>
      </c>
      <c r="PZ184" s="93">
        <v>0.21854762899999999</v>
      </c>
      <c r="QA184" s="93">
        <v>0</v>
      </c>
      <c r="QB184" s="93">
        <v>0</v>
      </c>
      <c r="QC184" s="93">
        <v>0</v>
      </c>
      <c r="QD184" s="93">
        <v>-1.5773157520000001</v>
      </c>
      <c r="QE184" s="20">
        <v>2.8553013460000001</v>
      </c>
      <c r="QF184" s="1739">
        <v>117</v>
      </c>
      <c r="QG184" s="19"/>
      <c r="QH184" s="1035">
        <v>138.96207653565671</v>
      </c>
      <c r="QI184" s="1035">
        <v>236.74575483005211</v>
      </c>
      <c r="QJ184" s="1035">
        <v>-97.783678294395386</v>
      </c>
      <c r="QK184" s="1035">
        <v>46.009</v>
      </c>
      <c r="QL184" s="1035">
        <v>24.14</v>
      </c>
      <c r="QM184" s="1035">
        <v>21.869</v>
      </c>
      <c r="QN184" s="1035">
        <v>0</v>
      </c>
      <c r="QO184" s="1035">
        <v>-73.222000000000008</v>
      </c>
      <c r="QP184" s="1035">
        <v>66.215000000000003</v>
      </c>
      <c r="QQ184" s="1035">
        <v>-139.43700000000001</v>
      </c>
      <c r="QR184" s="1035">
        <v>766.05124516994783</v>
      </c>
      <c r="QS184" s="1035">
        <v>6.3523178093749113</v>
      </c>
      <c r="QT184" s="1035">
        <v>0</v>
      </c>
      <c r="QU184" s="1035">
        <v>0</v>
      </c>
      <c r="QV184" s="1035">
        <v>759.69892736057295</v>
      </c>
      <c r="QW184" s="93"/>
      <c r="QX184" s="93">
        <v>13.577</v>
      </c>
      <c r="QY184" s="93">
        <v>287.95629089774621</v>
      </c>
      <c r="QZ184" s="93">
        <v>383.51903080785831</v>
      </c>
      <c r="RA184" s="93">
        <v>0</v>
      </c>
      <c r="RB184" s="93">
        <v>21.14</v>
      </c>
      <c r="RC184" s="93">
        <v>4.18</v>
      </c>
      <c r="RD184" s="93">
        <v>13.274000000000001</v>
      </c>
      <c r="RE184" s="93">
        <v>0</v>
      </c>
      <c r="RF184" s="93">
        <v>0</v>
      </c>
      <c r="RG184" s="93">
        <v>121.92099999999994</v>
      </c>
      <c r="RH184" s="93">
        <v>32.232999999999976</v>
      </c>
      <c r="RI184" s="93"/>
      <c r="RJ184" s="93"/>
      <c r="RK184" s="93"/>
      <c r="RL184" s="93"/>
      <c r="RM184" s="20"/>
      <c r="RN184" s="29">
        <v>117</v>
      </c>
      <c r="RO184" s="19"/>
      <c r="RP184" s="20"/>
      <c r="RQ184" s="29">
        <v>117</v>
      </c>
      <c r="RR184" s="20"/>
      <c r="RS184" s="29">
        <v>117</v>
      </c>
      <c r="RT184" s="1504">
        <v>40057</v>
      </c>
      <c r="RU184" s="19"/>
      <c r="RV184" s="20"/>
      <c r="RW184" s="29">
        <v>117</v>
      </c>
      <c r="RX184" s="1504">
        <v>40057</v>
      </c>
      <c r="RY184" s="29"/>
      <c r="RZ184" s="20"/>
      <c r="SA184" s="29"/>
      <c r="SB184" s="29">
        <v>117</v>
      </c>
    </row>
    <row r="185" spans="1:496">
      <c r="A185" s="41">
        <f t="shared" si="191"/>
        <v>2009</v>
      </c>
      <c r="B185" s="1504">
        <v>40087</v>
      </c>
      <c r="C185" s="1813"/>
      <c r="D185" s="1814"/>
      <c r="E185" s="1814"/>
      <c r="F185" s="1815"/>
      <c r="G185" s="1814"/>
      <c r="H185" s="1814"/>
      <c r="I185" s="1814"/>
      <c r="J185" s="1816"/>
      <c r="K185" s="1807"/>
      <c r="L185" s="25">
        <v>118</v>
      </c>
      <c r="M185" s="97"/>
      <c r="N185" s="1504">
        <v>40087</v>
      </c>
      <c r="O185" s="19"/>
      <c r="P185" s="93"/>
      <c r="Q185" s="93"/>
      <c r="R185" s="93"/>
      <c r="S185" s="93"/>
      <c r="T185" s="93"/>
      <c r="U185" s="93"/>
      <c r="V185" s="93"/>
      <c r="W185" s="93"/>
      <c r="X185" s="93"/>
      <c r="Y185" s="93"/>
      <c r="Z185" s="93"/>
      <c r="AA185" s="93"/>
      <c r="AB185" s="20"/>
      <c r="AC185" s="25">
        <v>118</v>
      </c>
      <c r="AD185" s="97"/>
      <c r="AE185" s="1504">
        <v>40087</v>
      </c>
      <c r="AF185" s="19"/>
      <c r="AG185" s="93"/>
      <c r="AH185" s="93"/>
      <c r="AI185" s="93"/>
      <c r="AJ185" s="93"/>
      <c r="AK185" s="93"/>
      <c r="AL185" s="93"/>
      <c r="AM185" s="93"/>
      <c r="AN185" s="93"/>
      <c r="AO185" s="93"/>
      <c r="AP185" s="93"/>
      <c r="AQ185" s="93"/>
      <c r="AR185" s="93"/>
      <c r="AS185" s="20"/>
      <c r="AT185" s="25">
        <v>118</v>
      </c>
      <c r="AU185" s="97"/>
      <c r="AV185" s="1504">
        <v>40087</v>
      </c>
      <c r="AW185" s="19"/>
      <c r="AX185" s="93"/>
      <c r="AY185" s="93"/>
      <c r="AZ185" s="93"/>
      <c r="BA185" s="93"/>
      <c r="BB185" s="93"/>
      <c r="BC185" s="93"/>
      <c r="BD185" s="93"/>
      <c r="BE185" s="93"/>
      <c r="BF185" s="93"/>
      <c r="BG185" s="93"/>
      <c r="BH185" s="93"/>
      <c r="BI185" s="93"/>
      <c r="BJ185" s="20"/>
      <c r="BK185" s="25">
        <v>118</v>
      </c>
      <c r="BL185" s="97"/>
      <c r="BM185" s="1504">
        <v>40087</v>
      </c>
      <c r="BN185" s="19"/>
      <c r="BO185" s="93"/>
      <c r="BP185" s="93"/>
      <c r="BQ185" s="93"/>
      <c r="BR185" s="93"/>
      <c r="BS185" s="93"/>
      <c r="BT185" s="93"/>
      <c r="BU185" s="20"/>
      <c r="BV185" s="25">
        <v>118</v>
      </c>
      <c r="BW185" s="97"/>
      <c r="BX185" s="1504">
        <v>40087</v>
      </c>
      <c r="BY185" s="19"/>
      <c r="BZ185" s="99">
        <v>664.95699999999999</v>
      </c>
      <c r="CA185" s="93"/>
      <c r="CB185" s="93"/>
      <c r="CC185" s="93"/>
      <c r="CD185" s="25">
        <v>118</v>
      </c>
      <c r="CE185" s="97"/>
      <c r="CF185" s="1504">
        <v>40087</v>
      </c>
      <c r="CG185" s="19">
        <v>1.4726861600000001</v>
      </c>
      <c r="CH185" s="1626">
        <v>1043.1590000000001</v>
      </c>
      <c r="CI185" s="219"/>
      <c r="CJ185" s="20"/>
      <c r="CK185" s="19"/>
      <c r="CL185" s="93"/>
      <c r="CM185" s="93"/>
      <c r="CN185" s="93"/>
      <c r="CO185" s="93"/>
      <c r="CP185" s="20"/>
      <c r="CQ185" s="219">
        <v>1155.42</v>
      </c>
      <c r="CR185" s="93">
        <v>2.6124999999999998</v>
      </c>
      <c r="CS185" s="93"/>
      <c r="CT185" s="93"/>
      <c r="CU185" s="93"/>
      <c r="CV185" s="214"/>
      <c r="CW185" s="29">
        <v>118</v>
      </c>
      <c r="CX185" s="41">
        <f t="shared" si="192"/>
        <v>2009</v>
      </c>
      <c r="CY185" s="1504">
        <v>40087</v>
      </c>
      <c r="CZ185" s="1916">
        <v>53.769420999999994</v>
      </c>
      <c r="DA185" s="1526">
        <v>35.034405999999997</v>
      </c>
      <c r="DB185" s="1526">
        <v>18.735015000000001</v>
      </c>
      <c r="DC185" s="182">
        <f t="shared" si="202"/>
        <v>338171</v>
      </c>
      <c r="DD185" s="182">
        <f t="shared" si="203"/>
        <v>337155</v>
      </c>
      <c r="DE185" s="182">
        <f t="shared" si="204"/>
        <v>1016</v>
      </c>
      <c r="DF185" s="29">
        <v>118</v>
      </c>
      <c r="DG185" s="1504">
        <v>40087</v>
      </c>
      <c r="DH185" s="19"/>
      <c r="DI185" s="93"/>
      <c r="DJ185" s="93"/>
      <c r="DK185" s="93"/>
      <c r="DL185" s="93"/>
      <c r="DM185" s="93"/>
      <c r="DN185" s="20"/>
      <c r="DO185" s="25"/>
      <c r="DP185" s="29">
        <v>118</v>
      </c>
      <c r="DQ185" s="1504">
        <v>40087</v>
      </c>
      <c r="DR185" s="19"/>
      <c r="DS185" s="93"/>
      <c r="DT185" s="93"/>
      <c r="DU185" s="93"/>
      <c r="DV185" s="93"/>
      <c r="DW185" s="93"/>
      <c r="DX185" s="20"/>
      <c r="DY185" s="29">
        <v>118</v>
      </c>
      <c r="DZ185" s="1504">
        <v>40087</v>
      </c>
      <c r="EA185" s="19"/>
      <c r="EB185" s="93"/>
      <c r="EC185" s="20"/>
      <c r="ED185" s="29">
        <v>118</v>
      </c>
      <c r="EE185" s="1504">
        <v>40087</v>
      </c>
      <c r="EF185" s="19"/>
      <c r="EG185" s="93"/>
      <c r="EH185" s="93"/>
      <c r="EI185" s="214"/>
      <c r="EJ185" s="93"/>
      <c r="EK185" s="93"/>
      <c r="EL185" s="93"/>
      <c r="EM185" s="93"/>
      <c r="EN185" s="20"/>
      <c r="EO185" s="29">
        <v>118</v>
      </c>
      <c r="EP185" s="1504">
        <v>40087</v>
      </c>
      <c r="EQ185" s="19"/>
      <c r="ER185" s="93"/>
      <c r="ES185" s="93"/>
      <c r="ET185" s="214"/>
      <c r="EU185" s="93"/>
      <c r="EV185" s="93"/>
      <c r="EW185" s="93"/>
      <c r="EX185" s="93"/>
      <c r="EY185" s="20"/>
      <c r="EZ185" s="29">
        <v>118</v>
      </c>
      <c r="FA185" s="1504">
        <v>40087</v>
      </c>
      <c r="FB185" s="29"/>
      <c r="FC185" s="29"/>
      <c r="FD185" s="29"/>
      <c r="FE185" s="29"/>
      <c r="FF185" s="29"/>
      <c r="FG185" s="29"/>
      <c r="FH185" s="29"/>
      <c r="FI185" s="29"/>
      <c r="FJ185" s="29"/>
      <c r="FK185" s="29">
        <v>118</v>
      </c>
      <c r="FL185" s="1504">
        <v>40087</v>
      </c>
      <c r="FM185" s="19">
        <v>102.55553300946512</v>
      </c>
      <c r="FN185" s="93">
        <v>107.35387149524318</v>
      </c>
      <c r="FO185" s="93">
        <v>98.115279485312314</v>
      </c>
      <c r="FP185" s="93">
        <v>93.961493930459667</v>
      </c>
      <c r="FQ185" s="93">
        <v>108.28489239546877</v>
      </c>
      <c r="FR185" s="93">
        <v>83.147328089377808</v>
      </c>
      <c r="FS185" s="93">
        <v>79.852946442425718</v>
      </c>
      <c r="FT185" s="93">
        <v>107.8551904415185</v>
      </c>
      <c r="FU185" s="93">
        <v>114.4439537354227</v>
      </c>
      <c r="FV185" s="93">
        <v>78.492223588249843</v>
      </c>
      <c r="FW185" s="93">
        <v>107.35387149524318</v>
      </c>
      <c r="FX185" s="93">
        <v>118.45450530562523</v>
      </c>
      <c r="FY185" s="93">
        <v>85.653922820754403</v>
      </c>
      <c r="FZ185" s="29">
        <v>118</v>
      </c>
      <c r="GA185" s="1504">
        <v>40087</v>
      </c>
      <c r="GB185" s="733">
        <v>102.57879656160458</v>
      </c>
      <c r="GC185" s="570">
        <v>98.710601719197726</v>
      </c>
      <c r="GD185" s="570">
        <v>104.44126074498568</v>
      </c>
      <c r="GE185" s="570">
        <v>119.12607449856735</v>
      </c>
      <c r="GF185" s="570">
        <v>107.16332378223495</v>
      </c>
      <c r="GG185" s="570">
        <v>98.710601719197726</v>
      </c>
      <c r="GH185" s="93"/>
      <c r="GI185" s="93"/>
      <c r="GJ185" s="93"/>
      <c r="GK185" s="93"/>
      <c r="GL185" s="93"/>
      <c r="GM185" s="93"/>
      <c r="GN185" s="20"/>
      <c r="GO185" s="29">
        <v>118</v>
      </c>
      <c r="GP185" s="1504">
        <v>40087</v>
      </c>
      <c r="GQ185" s="19"/>
      <c r="GR185" s="93"/>
      <c r="GS185" s="93"/>
      <c r="GT185" s="93"/>
      <c r="GU185" s="93"/>
      <c r="GV185" s="20"/>
      <c r="GW185" s="19"/>
      <c r="GX185" s="93"/>
      <c r="GY185" s="93"/>
      <c r="GZ185" s="93"/>
      <c r="HA185" s="93"/>
      <c r="HB185" s="20"/>
      <c r="HC185" s="19"/>
      <c r="HD185" s="93"/>
      <c r="HE185" s="93"/>
      <c r="HF185" s="93"/>
      <c r="HG185" s="93"/>
      <c r="HH185" s="20"/>
      <c r="HI185" s="19"/>
      <c r="HJ185" s="93"/>
      <c r="HK185" s="93"/>
      <c r="HL185" s="93"/>
      <c r="HM185" s="93"/>
      <c r="HN185" s="20"/>
      <c r="HO185" s="219"/>
      <c r="HP185" s="20"/>
      <c r="HQ185" s="25"/>
      <c r="HR185" s="29">
        <v>118</v>
      </c>
      <c r="HS185" s="1504">
        <v>40087</v>
      </c>
      <c r="HT185" s="179">
        <v>187.47003364562988</v>
      </c>
      <c r="HU185" s="99">
        <v>194.86024017333983</v>
      </c>
      <c r="HV185" s="99">
        <v>134.81939697265625</v>
      </c>
      <c r="HW185" s="99">
        <v>182.03883361816406</v>
      </c>
      <c r="HX185" s="99">
        <v>154.15244038899741</v>
      </c>
      <c r="HY185" s="99">
        <v>177.91328125000001</v>
      </c>
      <c r="HZ185" s="99">
        <v>190.61292266845703</v>
      </c>
      <c r="IA185" s="132">
        <v>127.41935920715332</v>
      </c>
      <c r="IB185" s="179">
        <v>227.27272033691406</v>
      </c>
      <c r="IC185" s="99">
        <v>147.9307861328125</v>
      </c>
      <c r="ID185" s="99">
        <v>133.92857360839844</v>
      </c>
      <c r="IE185" s="99">
        <v>112.1248836517334</v>
      </c>
      <c r="IF185" s="99">
        <v>163.36441802978516</v>
      </c>
      <c r="IG185" s="132">
        <v>117.5</v>
      </c>
      <c r="IH185" s="179">
        <v>104.02830219268799</v>
      </c>
      <c r="II185" s="99">
        <v>182.86341857910156</v>
      </c>
      <c r="IJ185" s="99">
        <v>154.38606262207031</v>
      </c>
      <c r="IK185" s="99">
        <v>145.83333841959634</v>
      </c>
      <c r="IL185" s="99">
        <v>122.51863479614258</v>
      </c>
      <c r="IM185" s="99">
        <v>123.79032707214355</v>
      </c>
      <c r="IN185" s="93"/>
      <c r="IO185" s="132">
        <v>151.13901519775391</v>
      </c>
      <c r="IP185" s="29">
        <v>118</v>
      </c>
      <c r="IQ185" s="19"/>
      <c r="IR185" s="93"/>
      <c r="IS185" s="93"/>
      <c r="IT185" s="93"/>
      <c r="IU185" s="93"/>
      <c r="IV185" s="20"/>
      <c r="IW185" s="29">
        <v>118</v>
      </c>
      <c r="IX185" s="19"/>
      <c r="IY185" s="93"/>
      <c r="IZ185" s="93"/>
      <c r="JA185" s="93"/>
      <c r="JB185" s="93"/>
      <c r="JC185" s="93"/>
      <c r="JD185" s="93"/>
      <c r="JE185" s="20"/>
      <c r="JF185" s="29">
        <v>118</v>
      </c>
      <c r="JG185" s="19"/>
      <c r="JH185" s="93"/>
      <c r="JI185" s="93"/>
      <c r="JJ185" s="93"/>
      <c r="JK185" s="93"/>
      <c r="JL185" s="93"/>
      <c r="JM185" s="93"/>
      <c r="JN185" s="20"/>
      <c r="JO185" s="29">
        <v>118</v>
      </c>
      <c r="JP185" s="19"/>
      <c r="JQ185" s="93"/>
      <c r="JR185" s="93"/>
      <c r="JS185" s="93"/>
      <c r="JT185" s="93"/>
      <c r="JU185" s="20"/>
      <c r="JV185" s="29">
        <v>118</v>
      </c>
      <c r="JW185" s="1504">
        <v>40087</v>
      </c>
      <c r="JX185" s="19"/>
      <c r="JY185" s="93"/>
      <c r="JZ185" s="93"/>
      <c r="KA185" s="93"/>
      <c r="KB185" s="93"/>
      <c r="KC185" s="93"/>
      <c r="KD185" s="20"/>
      <c r="KE185" s="29">
        <v>118</v>
      </c>
      <c r="KF185" s="19"/>
      <c r="KG185" s="93"/>
      <c r="KH185" s="93"/>
      <c r="KI185" s="93"/>
      <c r="KJ185" s="93"/>
      <c r="KK185" s="20"/>
      <c r="KL185" s="29">
        <v>118</v>
      </c>
      <c r="KM185" s="19"/>
      <c r="KN185" s="93"/>
      <c r="KO185" s="93"/>
      <c r="KP185" s="93"/>
      <c r="KQ185" s="93"/>
      <c r="KR185" s="20"/>
      <c r="KS185" s="29">
        <v>118</v>
      </c>
      <c r="KT185" s="19"/>
      <c r="KU185" s="93"/>
      <c r="KV185" s="93"/>
      <c r="KW185" s="93"/>
      <c r="KX185" s="93"/>
      <c r="KY185" s="20"/>
      <c r="KZ185" s="29">
        <v>118</v>
      </c>
      <c r="LA185" s="1504">
        <v>40087</v>
      </c>
      <c r="LB185" s="19">
        <v>470</v>
      </c>
      <c r="LC185" s="93">
        <v>655</v>
      </c>
      <c r="LD185" s="93">
        <v>665</v>
      </c>
      <c r="LE185" s="93"/>
      <c r="LF185" s="93">
        <v>655</v>
      </c>
      <c r="LG185" s="93"/>
      <c r="LH185" s="20"/>
      <c r="LI185" s="29">
        <v>118</v>
      </c>
      <c r="LJ185" s="19"/>
      <c r="LK185" s="93"/>
      <c r="LL185" s="93"/>
      <c r="LM185" s="93"/>
      <c r="LN185" s="93"/>
      <c r="LO185" s="20"/>
      <c r="LP185" s="29">
        <v>118</v>
      </c>
      <c r="LQ185" s="19"/>
      <c r="LR185" s="93"/>
      <c r="LS185" s="93"/>
      <c r="LT185" s="93"/>
      <c r="LU185" s="93"/>
      <c r="LV185" s="93"/>
      <c r="LW185" s="93"/>
      <c r="LX185" s="93"/>
      <c r="LY185" s="93"/>
      <c r="LZ185" s="93"/>
      <c r="MA185" s="20"/>
      <c r="MB185" s="29">
        <v>118</v>
      </c>
      <c r="MC185" s="1504">
        <v>40087</v>
      </c>
      <c r="MD185" s="19">
        <v>49247.769854000006</v>
      </c>
      <c r="ME185" s="93">
        <v>45461.181689000005</v>
      </c>
      <c r="MF185" s="93">
        <v>45461.145688000004</v>
      </c>
      <c r="MG185" s="93">
        <v>41643.899158</v>
      </c>
      <c r="MH185" s="93">
        <v>7285.7675909999989</v>
      </c>
      <c r="MI185" s="93">
        <v>862.722938</v>
      </c>
      <c r="MJ185" s="93">
        <v>239.93615199999999</v>
      </c>
      <c r="MK185" s="93">
        <v>24422.943594</v>
      </c>
      <c r="ML185" s="93">
        <v>8479.6650429999991</v>
      </c>
      <c r="MM185" s="93">
        <v>352.86383999999993</v>
      </c>
      <c r="MN185" s="93">
        <v>3817.2465300000003</v>
      </c>
      <c r="MO185" s="93">
        <v>289.35669199999995</v>
      </c>
      <c r="MP185" s="93">
        <v>1047.28712</v>
      </c>
      <c r="MQ185" s="93">
        <v>253.06586800000002</v>
      </c>
      <c r="MR185" s="93">
        <v>313.41916299999957</v>
      </c>
      <c r="MS185" s="93">
        <v>1914.1176870000006</v>
      </c>
      <c r="MT185" s="93">
        <v>3.6000999999999998E-2</v>
      </c>
      <c r="MU185" s="93">
        <v>3786.5881650000001</v>
      </c>
      <c r="MV185" s="93">
        <v>3786.5881650000001</v>
      </c>
      <c r="MW185" s="93">
        <v>0</v>
      </c>
      <c r="MX185" s="93">
        <v>70907.755438399996</v>
      </c>
      <c r="MY185" s="93">
        <v>71570.359958399989</v>
      </c>
      <c r="MZ185" s="93">
        <v>29968.192685399979</v>
      </c>
      <c r="NA185" s="93">
        <v>16966.62459866664</v>
      </c>
      <c r="NB185" s="93">
        <v>5418.9770003333242</v>
      </c>
      <c r="NC185" s="93">
        <v>1171.2859100000001</v>
      </c>
      <c r="ND185" s="93">
        <v>193.97022600000003</v>
      </c>
      <c r="NE185" s="93">
        <v>977.31568400000015</v>
      </c>
      <c r="NF185" s="93">
        <v>6411.3051764000174</v>
      </c>
      <c r="NG185" s="93">
        <v>311.3286133999992</v>
      </c>
      <c r="NH185" s="93">
        <v>1640.9794049999975</v>
      </c>
      <c r="NI185" s="93">
        <v>0</v>
      </c>
      <c r="NJ185" s="93">
        <v>0</v>
      </c>
      <c r="NK185" s="93">
        <v>41602.167273000014</v>
      </c>
      <c r="NL185" s="93">
        <v>26134.837970000015</v>
      </c>
      <c r="NM185" s="93">
        <v>417.56</v>
      </c>
      <c r="NN185" s="93">
        <v>15049.769302999999</v>
      </c>
      <c r="NO185" s="93">
        <v>-662.6045199999993</v>
      </c>
      <c r="NP185" s="93">
        <v>-21659.985584399998</v>
      </c>
      <c r="NQ185" s="93">
        <v>-25446.573749399999</v>
      </c>
      <c r="NR185" s="93">
        <v>-9225.5185363999972</v>
      </c>
      <c r="NS185" s="93">
        <v>-10396.804446399994</v>
      </c>
      <c r="NT185" s="93">
        <v>-24431.119902399994</v>
      </c>
      <c r="NU185" s="93">
        <v>-28217.708067399995</v>
      </c>
      <c r="NV185" s="93">
        <v>21910.065529</v>
      </c>
      <c r="NW185" s="93">
        <v>10538.373825999997</v>
      </c>
      <c r="NX185" s="93">
        <v>11263.181137999998</v>
      </c>
      <c r="NY185" s="93">
        <v>-724.80731200000002</v>
      </c>
      <c r="NZ185" s="93">
        <v>0</v>
      </c>
      <c r="OA185" s="93">
        <v>11371.691703000002</v>
      </c>
      <c r="OB185" s="93">
        <v>20064.748449999999</v>
      </c>
      <c r="OC185" s="93">
        <v>-8693.0567469999969</v>
      </c>
      <c r="OD185" s="20">
        <v>0</v>
      </c>
      <c r="OE185" s="29">
        <v>118</v>
      </c>
      <c r="OF185" s="1504">
        <v>40087</v>
      </c>
      <c r="OG185" s="19"/>
      <c r="OH185" s="93">
        <v>255.60719999999998</v>
      </c>
      <c r="OI185" s="93">
        <v>347.61787269191848</v>
      </c>
      <c r="OJ185" s="93">
        <v>0.40972648300000003</v>
      </c>
      <c r="OK185" s="93">
        <v>283.58024620891848</v>
      </c>
      <c r="OL185" s="93">
        <v>63.627900000000004</v>
      </c>
      <c r="OM185" s="93">
        <v>603.22507269191851</v>
      </c>
      <c r="ON185" s="93">
        <v>390.72003080785834</v>
      </c>
      <c r="OO185" s="93">
        <v>993.94510349977691</v>
      </c>
      <c r="OP185" s="93"/>
      <c r="OQ185" s="93">
        <v>543.90633036873601</v>
      </c>
      <c r="OR185" s="93">
        <v>410.53867263599983</v>
      </c>
      <c r="OS185" s="93">
        <v>133.36765773273623</v>
      </c>
      <c r="OT185" s="93">
        <v>613.36297975804064</v>
      </c>
      <c r="OU185" s="93">
        <v>-164.474174382</v>
      </c>
      <c r="OV185" s="93">
        <v>-88.111174381999987</v>
      </c>
      <c r="OW185" s="93">
        <v>-76.363</v>
      </c>
      <c r="OX185" s="93">
        <v>777.83715414004064</v>
      </c>
      <c r="OY185" s="93">
        <v>2.5585348559999996</v>
      </c>
      <c r="OZ185" s="93">
        <v>775.27861928404059</v>
      </c>
      <c r="PA185" s="93">
        <v>162.130413691</v>
      </c>
      <c r="PB185" s="93">
        <v>1.193792935999987</v>
      </c>
      <c r="PC185" s="20">
        <v>993.94510349977656</v>
      </c>
      <c r="PD185" s="29">
        <v>118</v>
      </c>
      <c r="PE185" s="19"/>
      <c r="PF185" s="93">
        <v>410.53867263599983</v>
      </c>
      <c r="PG185" s="93">
        <v>577.10197305199983</v>
      </c>
      <c r="PH185" s="93">
        <v>166.563300416</v>
      </c>
      <c r="PI185" s="93">
        <v>40.68</v>
      </c>
      <c r="PJ185" s="93">
        <v>-88.111174381999987</v>
      </c>
      <c r="PK185" s="93">
        <v>71.488491668000009</v>
      </c>
      <c r="PL185" s="93">
        <v>159.59966605</v>
      </c>
      <c r="PM185" s="93">
        <v>2.5585348559999996</v>
      </c>
      <c r="PN185" s="93">
        <v>0</v>
      </c>
      <c r="PO185" s="93">
        <v>0</v>
      </c>
      <c r="PP185" s="93">
        <v>2.9171399999999999E-4</v>
      </c>
      <c r="PQ185" s="93">
        <v>2.5582431419999998</v>
      </c>
      <c r="PR185" s="93">
        <v>366.83983993199996</v>
      </c>
      <c r="PS185" s="93">
        <v>281.69819999999999</v>
      </c>
      <c r="PT185" s="93">
        <v>84.731913449000004</v>
      </c>
      <c r="PU185" s="93">
        <v>0.40972648300000003</v>
      </c>
      <c r="PV185" s="93">
        <v>0</v>
      </c>
      <c r="PW185" s="93">
        <v>0.72197577800000001</v>
      </c>
      <c r="PX185" s="93">
        <v>0</v>
      </c>
      <c r="PY185" s="93">
        <v>0</v>
      </c>
      <c r="PZ185" s="93">
        <v>0.72197577800000001</v>
      </c>
      <c r="QA185" s="93">
        <v>0</v>
      </c>
      <c r="QB185" s="93">
        <v>0</v>
      </c>
      <c r="QC185" s="93">
        <v>0</v>
      </c>
      <c r="QD185" s="93">
        <v>-1.6285620870000002</v>
      </c>
      <c r="QE185" s="20">
        <v>-0.26722051299999999</v>
      </c>
      <c r="QF185" s="1739">
        <v>118</v>
      </c>
      <c r="QG185" s="19"/>
      <c r="QH185" s="1035">
        <v>133.36765773273623</v>
      </c>
      <c r="QI185" s="1035">
        <v>245.32938071595936</v>
      </c>
      <c r="QJ185" s="1035">
        <v>-111.96172298322314</v>
      </c>
      <c r="QK185" s="1035">
        <v>51.89</v>
      </c>
      <c r="QL185" s="1035">
        <v>26.091000000000001</v>
      </c>
      <c r="QM185" s="1035">
        <v>25.798999999999999</v>
      </c>
      <c r="QN185" s="1035">
        <v>0</v>
      </c>
      <c r="QO185" s="1035">
        <v>-76.363</v>
      </c>
      <c r="QP185" s="1035">
        <v>66.799000000000007</v>
      </c>
      <c r="QQ185" s="1035">
        <v>-143.16200000000001</v>
      </c>
      <c r="QR185" s="1035">
        <v>775.27861928404059</v>
      </c>
      <c r="QS185" s="1035">
        <v>6.5656420890259675</v>
      </c>
      <c r="QT185" s="1035">
        <v>0</v>
      </c>
      <c r="QU185" s="1035">
        <v>0</v>
      </c>
      <c r="QV185" s="1035">
        <v>768.71297719501467</v>
      </c>
      <c r="QW185" s="93"/>
      <c r="QX185" s="93">
        <v>10.53</v>
      </c>
      <c r="QY185" s="93">
        <v>283.58024620891854</v>
      </c>
      <c r="QZ185" s="93">
        <v>390.72003080785834</v>
      </c>
      <c r="RA185" s="93">
        <v>0</v>
      </c>
      <c r="RB185" s="93">
        <v>20.784000000000002</v>
      </c>
      <c r="RC185" s="93">
        <v>4.2210000000000001</v>
      </c>
      <c r="RD185" s="93">
        <v>12.582000000000001</v>
      </c>
      <c r="RE185" s="93">
        <v>0</v>
      </c>
      <c r="RF185" s="93">
        <v>0</v>
      </c>
      <c r="RG185" s="93">
        <v>125.45</v>
      </c>
      <c r="RH185" s="93">
        <v>36.305999999999983</v>
      </c>
      <c r="RI185" s="93"/>
      <c r="RJ185" s="93"/>
      <c r="RK185" s="93"/>
      <c r="RL185" s="93"/>
      <c r="RM185" s="20"/>
      <c r="RN185" s="29">
        <v>118</v>
      </c>
      <c r="RO185" s="19"/>
      <c r="RP185" s="20"/>
      <c r="RQ185" s="29">
        <v>118</v>
      </c>
      <c r="RR185" s="20"/>
      <c r="RS185" s="29">
        <v>118</v>
      </c>
      <c r="RT185" s="1504">
        <v>40087</v>
      </c>
      <c r="RU185" s="19"/>
      <c r="RV185" s="20"/>
      <c r="RW185" s="29">
        <v>118</v>
      </c>
      <c r="RX185" s="1504">
        <v>40087</v>
      </c>
      <c r="RY185" s="29"/>
      <c r="RZ185" s="20"/>
      <c r="SA185" s="29"/>
      <c r="SB185" s="29">
        <v>118</v>
      </c>
    </row>
    <row r="186" spans="1:496">
      <c r="A186" s="41">
        <f t="shared" si="191"/>
        <v>2009</v>
      </c>
      <c r="B186" s="1504">
        <v>40118</v>
      </c>
      <c r="C186" s="1813"/>
      <c r="D186" s="1814"/>
      <c r="E186" s="1814"/>
      <c r="F186" s="1815"/>
      <c r="G186" s="1814"/>
      <c r="H186" s="1814"/>
      <c r="I186" s="1814"/>
      <c r="J186" s="1816"/>
      <c r="K186" s="1807"/>
      <c r="L186" s="25">
        <v>119</v>
      </c>
      <c r="M186" s="97"/>
      <c r="N186" s="1504">
        <v>40118</v>
      </c>
      <c r="O186" s="19"/>
      <c r="P186" s="93"/>
      <c r="Q186" s="93"/>
      <c r="R186" s="93"/>
      <c r="S186" s="93"/>
      <c r="T186" s="93"/>
      <c r="U186" s="93"/>
      <c r="V186" s="93"/>
      <c r="W186" s="93"/>
      <c r="X186" s="93"/>
      <c r="Y186" s="93"/>
      <c r="Z186" s="93"/>
      <c r="AA186" s="93"/>
      <c r="AB186" s="20"/>
      <c r="AC186" s="25">
        <v>119</v>
      </c>
      <c r="AD186" s="97"/>
      <c r="AE186" s="1504">
        <v>40118</v>
      </c>
      <c r="AF186" s="19"/>
      <c r="AG186" s="93"/>
      <c r="AH186" s="93"/>
      <c r="AI186" s="93"/>
      <c r="AJ186" s="93"/>
      <c r="AK186" s="93"/>
      <c r="AL186" s="93"/>
      <c r="AM186" s="93"/>
      <c r="AN186" s="93"/>
      <c r="AO186" s="93"/>
      <c r="AP186" s="93"/>
      <c r="AQ186" s="93"/>
      <c r="AR186" s="93"/>
      <c r="AS186" s="20"/>
      <c r="AT186" s="25">
        <v>119</v>
      </c>
      <c r="AU186" s="97"/>
      <c r="AV186" s="1504">
        <v>40118</v>
      </c>
      <c r="AW186" s="19"/>
      <c r="AX186" s="93"/>
      <c r="AY186" s="93"/>
      <c r="AZ186" s="93"/>
      <c r="BA186" s="93"/>
      <c r="BB186" s="93"/>
      <c r="BC186" s="93"/>
      <c r="BD186" s="93"/>
      <c r="BE186" s="93"/>
      <c r="BF186" s="93"/>
      <c r="BG186" s="93"/>
      <c r="BH186" s="93"/>
      <c r="BI186" s="93"/>
      <c r="BJ186" s="20"/>
      <c r="BK186" s="25">
        <v>119</v>
      </c>
      <c r="BL186" s="97"/>
      <c r="BM186" s="1504">
        <v>40118</v>
      </c>
      <c r="BN186" s="19"/>
      <c r="BO186" s="93"/>
      <c r="BP186" s="93"/>
      <c r="BQ186" s="93"/>
      <c r="BR186" s="93"/>
      <c r="BS186" s="93"/>
      <c r="BT186" s="93"/>
      <c r="BU186" s="20"/>
      <c r="BV186" s="25">
        <v>119</v>
      </c>
      <c r="BW186" s="97"/>
      <c r="BX186" s="1504">
        <v>40118</v>
      </c>
      <c r="BY186" s="19"/>
      <c r="BZ186" s="99">
        <v>664.95699999999999</v>
      </c>
      <c r="CA186" s="93"/>
      <c r="CB186" s="93"/>
      <c r="CC186" s="93"/>
      <c r="CD186" s="25">
        <v>119</v>
      </c>
      <c r="CE186" s="97"/>
      <c r="CF186" s="1504">
        <v>40118</v>
      </c>
      <c r="CG186" s="19">
        <v>1.58291716</v>
      </c>
      <c r="CH186" s="1626">
        <v>1127.0360000000001</v>
      </c>
      <c r="CI186" s="219"/>
      <c r="CJ186" s="20"/>
      <c r="CK186" s="19"/>
      <c r="CL186" s="93"/>
      <c r="CM186" s="93"/>
      <c r="CN186" s="93"/>
      <c r="CO186" s="93"/>
      <c r="CP186" s="20"/>
      <c r="CQ186" s="219">
        <v>1151.6500000000001</v>
      </c>
      <c r="CR186" s="93">
        <v>2.9060000000000001</v>
      </c>
      <c r="CS186" s="93"/>
      <c r="CT186" s="93"/>
      <c r="CU186" s="93"/>
      <c r="CV186" s="214"/>
      <c r="CW186" s="29">
        <v>119</v>
      </c>
      <c r="CX186" s="41">
        <f t="shared" si="192"/>
        <v>2009</v>
      </c>
      <c r="CY186" s="1504">
        <v>40118</v>
      </c>
      <c r="CZ186" s="1916">
        <v>65.531453999999997</v>
      </c>
      <c r="DA186" s="1526">
        <v>38.410308999999998</v>
      </c>
      <c r="DB186" s="1526">
        <v>27.121144999999999</v>
      </c>
      <c r="DC186" s="182">
        <f t="shared" si="202"/>
        <v>338171</v>
      </c>
      <c r="DD186" s="182">
        <f t="shared" si="203"/>
        <v>337155</v>
      </c>
      <c r="DE186" s="182">
        <f t="shared" si="204"/>
        <v>1016</v>
      </c>
      <c r="DF186" s="29">
        <v>119</v>
      </c>
      <c r="DG186" s="1504">
        <v>40118</v>
      </c>
      <c r="DH186" s="19"/>
      <c r="DI186" s="93"/>
      <c r="DJ186" s="93"/>
      <c r="DK186" s="93"/>
      <c r="DL186" s="93"/>
      <c r="DM186" s="93"/>
      <c r="DN186" s="20"/>
      <c r="DO186" s="25"/>
      <c r="DP186" s="29">
        <v>119</v>
      </c>
      <c r="DQ186" s="1504">
        <v>40118</v>
      </c>
      <c r="DR186" s="19"/>
      <c r="DS186" s="93"/>
      <c r="DT186" s="93"/>
      <c r="DU186" s="93"/>
      <c r="DV186" s="93"/>
      <c r="DW186" s="93"/>
      <c r="DX186" s="20"/>
      <c r="DY186" s="29">
        <v>119</v>
      </c>
      <c r="DZ186" s="1504">
        <v>40118</v>
      </c>
      <c r="EA186" s="19"/>
      <c r="EB186" s="93"/>
      <c r="EC186" s="20"/>
      <c r="ED186" s="29">
        <v>119</v>
      </c>
      <c r="EE186" s="1504">
        <v>40118</v>
      </c>
      <c r="EF186" s="19"/>
      <c r="EG186" s="93"/>
      <c r="EH186" s="93"/>
      <c r="EI186" s="214"/>
      <c r="EJ186" s="93"/>
      <c r="EK186" s="93"/>
      <c r="EL186" s="93"/>
      <c r="EM186" s="93"/>
      <c r="EN186" s="20"/>
      <c r="EO186" s="29">
        <v>119</v>
      </c>
      <c r="EP186" s="1504">
        <v>40118</v>
      </c>
      <c r="EQ186" s="19"/>
      <c r="ER186" s="93"/>
      <c r="ES186" s="93"/>
      <c r="ET186" s="214"/>
      <c r="EU186" s="93"/>
      <c r="EV186" s="93"/>
      <c r="EW186" s="93"/>
      <c r="EX186" s="93"/>
      <c r="EY186" s="20"/>
      <c r="EZ186" s="29">
        <v>119</v>
      </c>
      <c r="FA186" s="1504">
        <v>40118</v>
      </c>
      <c r="FB186" s="29"/>
      <c r="FC186" s="29"/>
      <c r="FD186" s="29"/>
      <c r="FE186" s="29"/>
      <c r="FF186" s="29"/>
      <c r="FG186" s="29"/>
      <c r="FH186" s="29"/>
      <c r="FI186" s="29"/>
      <c r="FJ186" s="29"/>
      <c r="FK186" s="29">
        <v>119</v>
      </c>
      <c r="FL186" s="1504">
        <v>40118</v>
      </c>
      <c r="FM186" s="19">
        <v>103.34331992504065</v>
      </c>
      <c r="FN186" s="93">
        <v>108.49974337244392</v>
      </c>
      <c r="FO186" s="93">
        <v>101.98259707086477</v>
      </c>
      <c r="FP186" s="93">
        <v>93.961493930459667</v>
      </c>
      <c r="FQ186" s="93">
        <v>111.57927404242088</v>
      </c>
      <c r="FR186" s="93">
        <v>83.147328089377808</v>
      </c>
      <c r="FS186" s="93">
        <v>79.852946442425718</v>
      </c>
      <c r="FT186" s="93">
        <v>107.8551904415185</v>
      </c>
      <c r="FU186" s="93">
        <v>114.4439537354227</v>
      </c>
      <c r="FV186" s="93">
        <v>78.492223588249843</v>
      </c>
      <c r="FW186" s="93">
        <v>107.35387149524318</v>
      </c>
      <c r="FX186" s="93">
        <v>118.52612229795028</v>
      </c>
      <c r="FY186" s="93">
        <v>85.653922820754403</v>
      </c>
      <c r="FZ186" s="29">
        <v>119</v>
      </c>
      <c r="GA186" s="1504">
        <v>40118</v>
      </c>
      <c r="GB186" s="733">
        <v>103.36676217765044</v>
      </c>
      <c r="GC186" s="570">
        <v>98.92550143266476</v>
      </c>
      <c r="GD186" s="570">
        <v>105.44412607449857</v>
      </c>
      <c r="GE186" s="570">
        <v>122.27793696275072</v>
      </c>
      <c r="GF186" s="570">
        <v>110.67335243553009</v>
      </c>
      <c r="GG186" s="570">
        <v>98.424068767908324</v>
      </c>
      <c r="GH186" s="93"/>
      <c r="GI186" s="93"/>
      <c r="GJ186" s="93"/>
      <c r="GK186" s="93"/>
      <c r="GL186" s="93"/>
      <c r="GM186" s="93"/>
      <c r="GN186" s="20"/>
      <c r="GO186" s="29">
        <v>119</v>
      </c>
      <c r="GP186" s="1504">
        <v>40118</v>
      </c>
      <c r="GQ186" s="19"/>
      <c r="GR186" s="93"/>
      <c r="GS186" s="93"/>
      <c r="GT186" s="93"/>
      <c r="GU186" s="93"/>
      <c r="GV186" s="20"/>
      <c r="GW186" s="19"/>
      <c r="GX186" s="93"/>
      <c r="GY186" s="93"/>
      <c r="GZ186" s="93"/>
      <c r="HA186" s="93"/>
      <c r="HB186" s="20"/>
      <c r="HC186" s="19"/>
      <c r="HD186" s="93"/>
      <c r="HE186" s="93"/>
      <c r="HF186" s="93"/>
      <c r="HG186" s="93"/>
      <c r="HH186" s="20"/>
      <c r="HI186" s="19"/>
      <c r="HJ186" s="93"/>
      <c r="HK186" s="93"/>
      <c r="HL186" s="93"/>
      <c r="HM186" s="93"/>
      <c r="HN186" s="20"/>
      <c r="HO186" s="219"/>
      <c r="HP186" s="20"/>
      <c r="HQ186" s="25"/>
      <c r="HR186" s="29">
        <v>119</v>
      </c>
      <c r="HS186" s="1504">
        <v>40118</v>
      </c>
      <c r="HT186" s="179">
        <v>216.81160430908204</v>
      </c>
      <c r="HU186" s="99">
        <v>173.00295257568359</v>
      </c>
      <c r="HV186" s="99">
        <v>144.82757873535155</v>
      </c>
      <c r="HW186" s="99">
        <v>117.31391906738281</v>
      </c>
      <c r="HX186" s="99">
        <v>156.98653411865234</v>
      </c>
      <c r="HY186" s="99">
        <v>179.20054626464844</v>
      </c>
      <c r="HZ186" s="99">
        <v>192.41119537353515</v>
      </c>
      <c r="IA186" s="132">
        <v>136.58146476745605</v>
      </c>
      <c r="IB186" s="179"/>
      <c r="IC186" s="99">
        <v>131.39896850585939</v>
      </c>
      <c r="ID186" s="99">
        <v>129.31034342447916</v>
      </c>
      <c r="IE186" s="99"/>
      <c r="IF186" s="99">
        <v>157.75292358398437</v>
      </c>
      <c r="IG186" s="132">
        <v>117.5</v>
      </c>
      <c r="IH186" s="179">
        <v>97.300796508789063</v>
      </c>
      <c r="II186" s="99">
        <v>178.88000679016113</v>
      </c>
      <c r="IJ186" s="99">
        <v>133.33333587646484</v>
      </c>
      <c r="IK186" s="99">
        <v>133.92857360839844</v>
      </c>
      <c r="IL186" s="99">
        <v>116.08655548095703</v>
      </c>
      <c r="IM186" s="99">
        <v>127.01613235473633</v>
      </c>
      <c r="IN186" s="93"/>
      <c r="IO186" s="132">
        <v>149.30735778808594</v>
      </c>
      <c r="IP186" s="29">
        <v>119</v>
      </c>
      <c r="IQ186" s="19"/>
      <c r="IR186" s="93"/>
      <c r="IS186" s="93"/>
      <c r="IT186" s="93"/>
      <c r="IU186" s="93"/>
      <c r="IV186" s="20"/>
      <c r="IW186" s="29">
        <v>119</v>
      </c>
      <c r="IX186" s="19"/>
      <c r="IY186" s="93"/>
      <c r="IZ186" s="93"/>
      <c r="JA186" s="93"/>
      <c r="JB186" s="93"/>
      <c r="JC186" s="93"/>
      <c r="JD186" s="93"/>
      <c r="JE186" s="20"/>
      <c r="JF186" s="29">
        <v>119</v>
      </c>
      <c r="JG186" s="19"/>
      <c r="JH186" s="93"/>
      <c r="JI186" s="93"/>
      <c r="JJ186" s="93"/>
      <c r="JK186" s="93"/>
      <c r="JL186" s="93"/>
      <c r="JM186" s="93"/>
      <c r="JN186" s="20"/>
      <c r="JO186" s="29">
        <v>119</v>
      </c>
      <c r="JP186" s="19"/>
      <c r="JQ186" s="93"/>
      <c r="JR186" s="93"/>
      <c r="JS186" s="93"/>
      <c r="JT186" s="93"/>
      <c r="JU186" s="20"/>
      <c r="JV186" s="29">
        <v>119</v>
      </c>
      <c r="JW186" s="1504">
        <v>40118</v>
      </c>
      <c r="JX186" s="19"/>
      <c r="JY186" s="93"/>
      <c r="JZ186" s="93"/>
      <c r="KA186" s="93"/>
      <c r="KB186" s="93"/>
      <c r="KC186" s="93"/>
      <c r="KD186" s="20"/>
      <c r="KE186" s="29">
        <v>119</v>
      </c>
      <c r="KF186" s="19"/>
      <c r="KG186" s="93"/>
      <c r="KH186" s="93"/>
      <c r="KI186" s="93"/>
      <c r="KJ186" s="93"/>
      <c r="KK186" s="20"/>
      <c r="KL186" s="29">
        <v>119</v>
      </c>
      <c r="KM186" s="19"/>
      <c r="KN186" s="93"/>
      <c r="KO186" s="93"/>
      <c r="KP186" s="93"/>
      <c r="KQ186" s="93"/>
      <c r="KR186" s="20"/>
      <c r="KS186" s="29">
        <v>119</v>
      </c>
      <c r="KT186" s="19"/>
      <c r="KU186" s="93"/>
      <c r="KV186" s="93"/>
      <c r="KW186" s="93"/>
      <c r="KX186" s="93"/>
      <c r="KY186" s="20"/>
      <c r="KZ186" s="29">
        <v>119</v>
      </c>
      <c r="LA186" s="1504">
        <v>40118</v>
      </c>
      <c r="LB186" s="19">
        <v>470</v>
      </c>
      <c r="LC186" s="93">
        <v>655</v>
      </c>
      <c r="LD186" s="93">
        <v>665</v>
      </c>
      <c r="LE186" s="93"/>
      <c r="LF186" s="93">
        <v>655</v>
      </c>
      <c r="LG186" s="93"/>
      <c r="LH186" s="20"/>
      <c r="LI186" s="29">
        <v>119</v>
      </c>
      <c r="LJ186" s="19"/>
      <c r="LK186" s="93"/>
      <c r="LL186" s="93"/>
      <c r="LM186" s="93"/>
      <c r="LN186" s="93"/>
      <c r="LO186" s="20"/>
      <c r="LP186" s="29">
        <v>119</v>
      </c>
      <c r="LQ186" s="19"/>
      <c r="LR186" s="93"/>
      <c r="LS186" s="93"/>
      <c r="LT186" s="93"/>
      <c r="LU186" s="93"/>
      <c r="LV186" s="93"/>
      <c r="LW186" s="93"/>
      <c r="LX186" s="93"/>
      <c r="LY186" s="93"/>
      <c r="LZ186" s="93"/>
      <c r="MA186" s="20"/>
      <c r="MB186" s="29">
        <v>119</v>
      </c>
      <c r="MC186" s="1504">
        <v>40118</v>
      </c>
      <c r="MD186" s="19">
        <v>84112.677320999981</v>
      </c>
      <c r="ME186" s="93">
        <v>46023.267297999984</v>
      </c>
      <c r="MF186" s="93">
        <v>46023.264190999987</v>
      </c>
      <c r="MG186" s="93">
        <v>41342.230705999988</v>
      </c>
      <c r="MH186" s="93">
        <v>7016.7892329999913</v>
      </c>
      <c r="MI186" s="93">
        <v>442.73113400000102</v>
      </c>
      <c r="MJ186" s="93">
        <v>474.38302799999974</v>
      </c>
      <c r="MK186" s="93">
        <v>25217.824883000001</v>
      </c>
      <c r="ML186" s="93">
        <v>7764.864164999999</v>
      </c>
      <c r="MM186" s="93">
        <v>425.63826300000005</v>
      </c>
      <c r="MN186" s="93">
        <v>4681.0334849999999</v>
      </c>
      <c r="MO186" s="93">
        <v>338.97836199999995</v>
      </c>
      <c r="MP186" s="93">
        <v>1414.0437790000001</v>
      </c>
      <c r="MQ186" s="93">
        <v>464.37103700000006</v>
      </c>
      <c r="MR186" s="93">
        <v>101.68645100000001</v>
      </c>
      <c r="MS186" s="93">
        <v>2361.9538560000001</v>
      </c>
      <c r="MT186" s="93">
        <v>3.1069999999999995E-3</v>
      </c>
      <c r="MU186" s="93">
        <v>38089.410023000004</v>
      </c>
      <c r="MV186" s="93">
        <v>3089.4100450000001</v>
      </c>
      <c r="MW186" s="93">
        <v>34999.999978</v>
      </c>
      <c r="MX186" s="93">
        <v>69366.603884466691</v>
      </c>
      <c r="MY186" s="93">
        <v>70126.135445466702</v>
      </c>
      <c r="MZ186" s="93">
        <v>41317.712809466706</v>
      </c>
      <c r="NA186" s="93">
        <v>16830.78225633335</v>
      </c>
      <c r="NB186" s="93">
        <v>11842.186557333351</v>
      </c>
      <c r="NC186" s="93">
        <v>1939.9310230000003</v>
      </c>
      <c r="ND186" s="93">
        <v>23.767575000000001</v>
      </c>
      <c r="NE186" s="93">
        <v>1916.1634480000002</v>
      </c>
      <c r="NF186" s="93">
        <v>10704.812972799999</v>
      </c>
      <c r="NG186" s="93">
        <v>228.62653180000001</v>
      </c>
      <c r="NH186" s="93">
        <v>3900.0343340000027</v>
      </c>
      <c r="NI186" s="93">
        <v>0</v>
      </c>
      <c r="NJ186" s="93">
        <v>0</v>
      </c>
      <c r="NK186" s="93">
        <v>28808.422635999992</v>
      </c>
      <c r="NL186" s="93">
        <v>18076.053870999993</v>
      </c>
      <c r="NM186" s="93">
        <v>584.15800000000002</v>
      </c>
      <c r="NN186" s="93">
        <v>10148.210765</v>
      </c>
      <c r="NO186" s="93">
        <v>-759.53156099999887</v>
      </c>
      <c r="NP186" s="93">
        <v>14746.073436533286</v>
      </c>
      <c r="NQ186" s="93">
        <v>-23343.336586466707</v>
      </c>
      <c r="NR186" s="93">
        <v>-11255.194798466704</v>
      </c>
      <c r="NS186" s="93">
        <v>-13195.125821466707</v>
      </c>
      <c r="NT186" s="93">
        <v>25724.875101533278</v>
      </c>
      <c r="NU186" s="93">
        <v>-12364.534921466715</v>
      </c>
      <c r="NV186" s="93">
        <v>-24984.871019999995</v>
      </c>
      <c r="NW186" s="93">
        <v>5943.2222380000012</v>
      </c>
      <c r="NX186" s="93">
        <v>7058.8007200000011</v>
      </c>
      <c r="NY186" s="93">
        <v>-1115.5784819999999</v>
      </c>
      <c r="NZ186" s="93">
        <v>0</v>
      </c>
      <c r="OA186" s="93">
        <v>-30928.093257999997</v>
      </c>
      <c r="OB186" s="93">
        <v>-29397.541357999999</v>
      </c>
      <c r="OC186" s="93">
        <v>-1530.5518999999999</v>
      </c>
      <c r="OD186" s="20">
        <v>0</v>
      </c>
      <c r="OE186" s="29">
        <v>119</v>
      </c>
      <c r="OF186" s="1504">
        <v>40118</v>
      </c>
      <c r="OG186" s="19"/>
      <c r="OH186" s="93">
        <v>256.7004</v>
      </c>
      <c r="OI186" s="93">
        <v>352.46109633500305</v>
      </c>
      <c r="OJ186" s="93">
        <v>0.50711311999999997</v>
      </c>
      <c r="OK186" s="93">
        <v>288.32608321500305</v>
      </c>
      <c r="OL186" s="93">
        <v>63.627900000000004</v>
      </c>
      <c r="OM186" s="93">
        <v>609.16149633500299</v>
      </c>
      <c r="ON186" s="93">
        <v>398.71988696196826</v>
      </c>
      <c r="OO186" s="93">
        <v>1007.8813832969713</v>
      </c>
      <c r="OP186" s="93"/>
      <c r="OQ186" s="93">
        <v>582.98318705761039</v>
      </c>
      <c r="OR186" s="93">
        <v>429.58852449300014</v>
      </c>
      <c r="OS186" s="93">
        <v>153.39466256461023</v>
      </c>
      <c r="OT186" s="93">
        <v>588.88172391436115</v>
      </c>
      <c r="OU186" s="93">
        <v>-175.54998288199999</v>
      </c>
      <c r="OV186" s="93">
        <v>-101.433982882</v>
      </c>
      <c r="OW186" s="93">
        <v>-74.116000000000014</v>
      </c>
      <c r="OX186" s="93">
        <v>764.43170679636114</v>
      </c>
      <c r="OY186" s="93">
        <v>2.524399184</v>
      </c>
      <c r="OZ186" s="93">
        <v>761.90730761236102</v>
      </c>
      <c r="PA186" s="93">
        <v>164.85399329099994</v>
      </c>
      <c r="PB186" s="93">
        <v>-0.87046561600003969</v>
      </c>
      <c r="PC186" s="20">
        <v>1007.8813832969716</v>
      </c>
      <c r="PD186" s="29">
        <v>119</v>
      </c>
      <c r="PE186" s="19"/>
      <c r="PF186" s="93">
        <v>429.58852449300014</v>
      </c>
      <c r="PG186" s="93">
        <v>595.88871677900011</v>
      </c>
      <c r="PH186" s="93">
        <v>166.300192286</v>
      </c>
      <c r="PI186" s="93">
        <v>48.546999999999997</v>
      </c>
      <c r="PJ186" s="93">
        <v>-101.433982882</v>
      </c>
      <c r="PK186" s="93">
        <v>71.509867636999999</v>
      </c>
      <c r="PL186" s="93">
        <v>172.94385051899999</v>
      </c>
      <c r="PM186" s="93">
        <v>2.524399184</v>
      </c>
      <c r="PN186" s="93">
        <v>0</v>
      </c>
      <c r="PO186" s="93">
        <v>0</v>
      </c>
      <c r="PP186" s="93">
        <v>5.3702299999999997E-4</v>
      </c>
      <c r="PQ186" s="93">
        <v>2.5238621609999998</v>
      </c>
      <c r="PR186" s="93">
        <v>379.88276452499997</v>
      </c>
      <c r="PS186" s="93">
        <v>285.00439999999998</v>
      </c>
      <c r="PT186" s="93">
        <v>94.371251404999995</v>
      </c>
      <c r="PU186" s="93">
        <v>0.50711311999999997</v>
      </c>
      <c r="PV186" s="93">
        <v>0</v>
      </c>
      <c r="PW186" s="93">
        <v>0.76300569200000001</v>
      </c>
      <c r="PX186" s="93">
        <v>0</v>
      </c>
      <c r="PY186" s="93">
        <v>0</v>
      </c>
      <c r="PZ186" s="93">
        <v>0.76300569200000001</v>
      </c>
      <c r="QA186" s="93">
        <v>0</v>
      </c>
      <c r="QB186" s="93">
        <v>0</v>
      </c>
      <c r="QC186" s="93">
        <v>0</v>
      </c>
      <c r="QD186" s="93">
        <v>-2.2090124009999998</v>
      </c>
      <c r="QE186" s="20">
        <v>0.7891829789999999</v>
      </c>
      <c r="QF186" s="1739">
        <v>119</v>
      </c>
      <c r="QG186" s="19"/>
      <c r="QH186" s="1035">
        <v>153.39466256461023</v>
      </c>
      <c r="QI186" s="1035">
        <v>252.94169238763888</v>
      </c>
      <c r="QJ186" s="1035">
        <v>-99.547029823028652</v>
      </c>
      <c r="QK186" s="1035">
        <v>62.975999999999999</v>
      </c>
      <c r="QL186" s="1035">
        <v>28.303999999999998</v>
      </c>
      <c r="QM186" s="1035">
        <v>34.671999999999997</v>
      </c>
      <c r="QN186" s="1035">
        <v>0</v>
      </c>
      <c r="QO186" s="1035">
        <v>-74.116000000000014</v>
      </c>
      <c r="QP186" s="1035">
        <v>66.693999999999988</v>
      </c>
      <c r="QQ186" s="1035">
        <v>-140.81</v>
      </c>
      <c r="QR186" s="1035">
        <v>761.90730761236102</v>
      </c>
      <c r="QS186" s="1035">
        <v>6.3697129726227208</v>
      </c>
      <c r="QT186" s="1035">
        <v>0</v>
      </c>
      <c r="QU186" s="1035">
        <v>0</v>
      </c>
      <c r="QV186" s="1035">
        <v>755.53759463973836</v>
      </c>
      <c r="QW186" s="93"/>
      <c r="QX186" s="93">
        <v>8.5250000000000004</v>
      </c>
      <c r="QY186" s="93">
        <v>288.32608321500311</v>
      </c>
      <c r="QZ186" s="93">
        <v>398.71988696196826</v>
      </c>
      <c r="RA186" s="93">
        <v>0</v>
      </c>
      <c r="RB186" s="93">
        <v>23.038</v>
      </c>
      <c r="RC186" s="93">
        <v>4.2210000000000001</v>
      </c>
      <c r="RD186" s="93">
        <v>10.927</v>
      </c>
      <c r="RE186" s="93">
        <v>0</v>
      </c>
      <c r="RF186" s="93">
        <v>0</v>
      </c>
      <c r="RG186" s="93">
        <v>128.11399999999992</v>
      </c>
      <c r="RH186" s="93">
        <v>42.290999999999968</v>
      </c>
      <c r="RI186" s="93"/>
      <c r="RJ186" s="93"/>
      <c r="RK186" s="93"/>
      <c r="RL186" s="93"/>
      <c r="RM186" s="20"/>
      <c r="RN186" s="29">
        <v>119</v>
      </c>
      <c r="RO186" s="19"/>
      <c r="RP186" s="20"/>
      <c r="RQ186" s="29">
        <v>119</v>
      </c>
      <c r="RR186" s="20"/>
      <c r="RS186" s="29">
        <v>119</v>
      </c>
      <c r="RT186" s="1504">
        <v>40118</v>
      </c>
      <c r="RU186" s="19"/>
      <c r="RV186" s="20"/>
      <c r="RW186" s="29">
        <v>119</v>
      </c>
      <c r="RX186" s="1504">
        <v>40118</v>
      </c>
      <c r="RY186" s="29"/>
      <c r="RZ186" s="20"/>
      <c r="SA186" s="29"/>
      <c r="SB186" s="29">
        <v>119</v>
      </c>
    </row>
    <row r="187" spans="1:496">
      <c r="A187" s="41">
        <f t="shared" si="191"/>
        <v>2009</v>
      </c>
      <c r="B187" s="1504">
        <v>40148</v>
      </c>
      <c r="C187" s="1813"/>
      <c r="D187" s="1814"/>
      <c r="E187" s="1814"/>
      <c r="F187" s="1815"/>
      <c r="G187" s="1814"/>
      <c r="H187" s="1814"/>
      <c r="I187" s="1814"/>
      <c r="J187" s="1816"/>
      <c r="K187" s="1807"/>
      <c r="L187" s="25">
        <v>120</v>
      </c>
      <c r="M187" s="97"/>
      <c r="N187" s="1504">
        <v>40148</v>
      </c>
      <c r="O187" s="19"/>
      <c r="P187" s="93"/>
      <c r="Q187" s="93"/>
      <c r="R187" s="93"/>
      <c r="S187" s="93"/>
      <c r="T187" s="93"/>
      <c r="U187" s="93"/>
      <c r="V187" s="93"/>
      <c r="W187" s="93"/>
      <c r="X187" s="93"/>
      <c r="Y187" s="93"/>
      <c r="Z187" s="93"/>
      <c r="AA187" s="93"/>
      <c r="AB187" s="20"/>
      <c r="AC187" s="25">
        <v>120</v>
      </c>
      <c r="AD187" s="97"/>
      <c r="AE187" s="1504">
        <v>40148</v>
      </c>
      <c r="AF187" s="19"/>
      <c r="AG187" s="93"/>
      <c r="AH187" s="93"/>
      <c r="AI187" s="93"/>
      <c r="AJ187" s="93"/>
      <c r="AK187" s="93"/>
      <c r="AL187" s="93"/>
      <c r="AM187" s="93"/>
      <c r="AN187" s="93"/>
      <c r="AO187" s="93"/>
      <c r="AP187" s="93"/>
      <c r="AQ187" s="93"/>
      <c r="AR187" s="93"/>
      <c r="AS187" s="20"/>
      <c r="AT187" s="25">
        <v>120</v>
      </c>
      <c r="AU187" s="97"/>
      <c r="AV187" s="1504">
        <v>40148</v>
      </c>
      <c r="AW187" s="19"/>
      <c r="AX187" s="93"/>
      <c r="AY187" s="93"/>
      <c r="AZ187" s="93"/>
      <c r="BA187" s="93"/>
      <c r="BB187" s="93"/>
      <c r="BC187" s="93"/>
      <c r="BD187" s="93"/>
      <c r="BE187" s="93"/>
      <c r="BF187" s="93"/>
      <c r="BG187" s="93"/>
      <c r="BH187" s="93"/>
      <c r="BI187" s="93"/>
      <c r="BJ187" s="20"/>
      <c r="BK187" s="25">
        <v>120</v>
      </c>
      <c r="BL187" s="97"/>
      <c r="BM187" s="1504">
        <v>40148</v>
      </c>
      <c r="BN187" s="19"/>
      <c r="BO187" s="93"/>
      <c r="BP187" s="93"/>
      <c r="BQ187" s="93"/>
      <c r="BR187" s="93"/>
      <c r="BS187" s="93"/>
      <c r="BT187" s="93"/>
      <c r="BU187" s="20"/>
      <c r="BV187" s="25">
        <v>120</v>
      </c>
      <c r="BW187" s="97"/>
      <c r="BX187" s="1504">
        <v>40148</v>
      </c>
      <c r="BY187" s="19"/>
      <c r="BZ187" s="99">
        <v>664.95699999999999</v>
      </c>
      <c r="CA187" s="93"/>
      <c r="CB187" s="93"/>
      <c r="CC187" s="93"/>
      <c r="CD187" s="25">
        <v>120</v>
      </c>
      <c r="CE187" s="97"/>
      <c r="CF187" s="1504">
        <v>40148</v>
      </c>
      <c r="CG187" s="19">
        <v>1.6755112000000001</v>
      </c>
      <c r="CH187" s="1626">
        <v>1134.7239999999999</v>
      </c>
      <c r="CI187" s="219"/>
      <c r="CJ187" s="20"/>
      <c r="CK187" s="19"/>
      <c r="CL187" s="93"/>
      <c r="CM187" s="93"/>
      <c r="CN187" s="93"/>
      <c r="CO187" s="93"/>
      <c r="CP187" s="20"/>
      <c r="CQ187" s="219">
        <v>1181.8699999999999</v>
      </c>
      <c r="CR187" s="93">
        <v>2.9766666666666701</v>
      </c>
      <c r="CS187" s="93"/>
      <c r="CT187" s="93"/>
      <c r="CU187" s="93"/>
      <c r="CV187" s="214"/>
      <c r="CW187" s="29">
        <v>120</v>
      </c>
      <c r="CX187" s="41">
        <f t="shared" si="192"/>
        <v>2009</v>
      </c>
      <c r="CY187" s="1504">
        <v>40148</v>
      </c>
      <c r="CZ187" s="1916">
        <v>50.710870999999997</v>
      </c>
      <c r="DA187" s="1526">
        <v>33.105072</v>
      </c>
      <c r="DB187" s="1526">
        <v>17.605799000000001</v>
      </c>
      <c r="DC187" s="182">
        <v>338171</v>
      </c>
      <c r="DD187" s="182">
        <v>337155</v>
      </c>
      <c r="DE187" s="290">
        <v>1016</v>
      </c>
      <c r="DF187" s="29">
        <v>120</v>
      </c>
      <c r="DG187" s="1504">
        <v>40148</v>
      </c>
      <c r="DH187" s="19"/>
      <c r="DI187" s="93"/>
      <c r="DJ187" s="93"/>
      <c r="DK187" s="93"/>
      <c r="DL187" s="93"/>
      <c r="DM187" s="93"/>
      <c r="DN187" s="20"/>
      <c r="DO187" s="25"/>
      <c r="DP187" s="29">
        <v>120</v>
      </c>
      <c r="DQ187" s="1504">
        <v>40148</v>
      </c>
      <c r="DR187" s="19"/>
      <c r="DS187" s="93"/>
      <c r="DT187" s="93"/>
      <c r="DU187" s="93"/>
      <c r="DV187" s="93"/>
      <c r="DW187" s="93"/>
      <c r="DX187" s="20"/>
      <c r="DY187" s="29">
        <v>120</v>
      </c>
      <c r="DZ187" s="1504">
        <v>40148</v>
      </c>
      <c r="EA187" s="19"/>
      <c r="EB187" s="93"/>
      <c r="EC187" s="20"/>
      <c r="ED187" s="29">
        <v>120</v>
      </c>
      <c r="EE187" s="1504">
        <v>40148</v>
      </c>
      <c r="EF187" s="19"/>
      <c r="EG187" s="93"/>
      <c r="EH187" s="93"/>
      <c r="EI187" s="214"/>
      <c r="EJ187" s="93"/>
      <c r="EK187" s="93"/>
      <c r="EL187" s="93"/>
      <c r="EM187" s="93"/>
      <c r="EN187" s="20"/>
      <c r="EO187" s="29">
        <v>120</v>
      </c>
      <c r="EP187" s="1504">
        <v>40148</v>
      </c>
      <c r="EQ187" s="19"/>
      <c r="ER187" s="93"/>
      <c r="ES187" s="93"/>
      <c r="ET187" s="214"/>
      <c r="EU187" s="93"/>
      <c r="EV187" s="93"/>
      <c r="EW187" s="93"/>
      <c r="EX187" s="93"/>
      <c r="EY187" s="20"/>
      <c r="EZ187" s="29">
        <v>120</v>
      </c>
      <c r="FA187" s="1504">
        <v>40148</v>
      </c>
      <c r="FB187" s="29"/>
      <c r="FC187" s="29"/>
      <c r="FD187" s="29"/>
      <c r="FE187" s="29"/>
      <c r="FF187" s="29"/>
      <c r="FG187" s="29"/>
      <c r="FH187" s="29"/>
      <c r="FI187" s="29"/>
      <c r="FJ187" s="29"/>
      <c r="FK187" s="29">
        <v>120</v>
      </c>
      <c r="FL187" s="1504">
        <v>40148</v>
      </c>
      <c r="FM187" s="19">
        <v>102.12583105551487</v>
      </c>
      <c r="FN187" s="93">
        <v>105.6350636794421</v>
      </c>
      <c r="FO187" s="93">
        <v>98.186896477637362</v>
      </c>
      <c r="FP187" s="93">
        <v>94.104727915109777</v>
      </c>
      <c r="FQ187" s="93">
        <v>109.28753028801941</v>
      </c>
      <c r="FR187" s="93">
        <v>83.218945081702856</v>
      </c>
      <c r="FS187" s="93">
        <v>79.852946442425718</v>
      </c>
      <c r="FT187" s="93">
        <v>107.8551904415185</v>
      </c>
      <c r="FU187" s="93">
        <v>114.4439537354227</v>
      </c>
      <c r="FV187" s="93">
        <v>78.420606595924809</v>
      </c>
      <c r="FW187" s="93">
        <v>107.35387149524318</v>
      </c>
      <c r="FX187" s="93">
        <v>118.74097327492542</v>
      </c>
      <c r="FY187" s="93">
        <v>85.653922820754403</v>
      </c>
      <c r="FZ187" s="29">
        <v>120</v>
      </c>
      <c r="GA187" s="1504">
        <v>40148</v>
      </c>
      <c r="GB187" s="733">
        <v>102.14899713467049</v>
      </c>
      <c r="GC187" s="570">
        <v>98.85386819484242</v>
      </c>
      <c r="GD187" s="570">
        <v>103.86819484240688</v>
      </c>
      <c r="GE187" s="570">
        <v>119.62750716332378</v>
      </c>
      <c r="GF187" s="570">
        <v>103.29512893982807</v>
      </c>
      <c r="GG187" s="570">
        <v>99.068767908309468</v>
      </c>
      <c r="GH187" s="93"/>
      <c r="GI187" s="93"/>
      <c r="GJ187" s="93"/>
      <c r="GK187" s="93"/>
      <c r="GL187" s="93"/>
      <c r="GM187" s="93"/>
      <c r="GN187" s="20"/>
      <c r="GO187" s="29">
        <v>120</v>
      </c>
      <c r="GP187" s="1504">
        <v>40148</v>
      </c>
      <c r="GQ187" s="19"/>
      <c r="GR187" s="93"/>
      <c r="GS187" s="93"/>
      <c r="GT187" s="93"/>
      <c r="GU187" s="93"/>
      <c r="GV187" s="20"/>
      <c r="GW187" s="19"/>
      <c r="GX187" s="93"/>
      <c r="GY187" s="93"/>
      <c r="GZ187" s="93"/>
      <c r="HA187" s="93"/>
      <c r="HB187" s="20"/>
      <c r="HC187" s="19"/>
      <c r="HD187" s="93"/>
      <c r="HE187" s="93"/>
      <c r="HF187" s="93"/>
      <c r="HG187" s="93"/>
      <c r="HH187" s="20"/>
      <c r="HI187" s="19"/>
      <c r="HJ187" s="93"/>
      <c r="HK187" s="93"/>
      <c r="HL187" s="93"/>
      <c r="HM187" s="93"/>
      <c r="HN187" s="20"/>
      <c r="HO187" s="219"/>
      <c r="HP187" s="20"/>
      <c r="HQ187" s="25"/>
      <c r="HR187" s="29">
        <v>120</v>
      </c>
      <c r="HS187" s="1504">
        <v>40148</v>
      </c>
      <c r="HT187" s="179">
        <v>193.30131912231445</v>
      </c>
      <c r="HU187" s="99">
        <v>186.97916793823242</v>
      </c>
      <c r="HV187" s="99">
        <v>137.9310302734375</v>
      </c>
      <c r="HW187" s="99">
        <v>99.514564514160156</v>
      </c>
      <c r="HX187" s="99">
        <v>149.27048238118491</v>
      </c>
      <c r="HY187" s="99">
        <v>162.38991165161133</v>
      </c>
      <c r="HZ187" s="99">
        <v>200.16636085510254</v>
      </c>
      <c r="IA187" s="132">
        <v>137.41935729980469</v>
      </c>
      <c r="IB187" s="179">
        <v>256.84210510253905</v>
      </c>
      <c r="IC187" s="99">
        <v>106.21762084960938</v>
      </c>
      <c r="ID187" s="99"/>
      <c r="IE187" s="99">
        <v>102.99003601074219</v>
      </c>
      <c r="IF187" s="99">
        <v>166.77420043945313</v>
      </c>
      <c r="IG187" s="132">
        <v>117.5</v>
      </c>
      <c r="IH187" s="179">
        <v>114.10986995697021</v>
      </c>
      <c r="II187" s="99">
        <v>180.79779815673828</v>
      </c>
      <c r="IJ187" s="99">
        <v>131.46550750732422</v>
      </c>
      <c r="IK187" s="99">
        <v>136.16071701049805</v>
      </c>
      <c r="IL187" s="99">
        <v>127.11721134185791</v>
      </c>
      <c r="IM187" s="99">
        <v>130.96774597167968</v>
      </c>
      <c r="IN187" s="93"/>
      <c r="IO187" s="132">
        <v>155.25618553161621</v>
      </c>
      <c r="IP187" s="29">
        <v>120</v>
      </c>
      <c r="IQ187" s="19"/>
      <c r="IR187" s="93"/>
      <c r="IS187" s="93"/>
      <c r="IT187" s="93"/>
      <c r="IU187" s="93"/>
      <c r="IV187" s="20"/>
      <c r="IW187" s="29">
        <v>120</v>
      </c>
      <c r="IX187" s="19"/>
      <c r="IY187" s="93"/>
      <c r="IZ187" s="93"/>
      <c r="JA187" s="93"/>
      <c r="JB187" s="93"/>
      <c r="JC187" s="93"/>
      <c r="JD187" s="93"/>
      <c r="JE187" s="20"/>
      <c r="JF187" s="29">
        <v>120</v>
      </c>
      <c r="JG187" s="19"/>
      <c r="JH187" s="93"/>
      <c r="JI187" s="93"/>
      <c r="JJ187" s="93"/>
      <c r="JK187" s="93"/>
      <c r="JL187" s="93"/>
      <c r="JM187" s="93"/>
      <c r="JN187" s="20"/>
      <c r="JO187" s="29">
        <v>120</v>
      </c>
      <c r="JP187" s="19"/>
      <c r="JQ187" s="93"/>
      <c r="JR187" s="93"/>
      <c r="JS187" s="93"/>
      <c r="JT187" s="93"/>
      <c r="JU187" s="20"/>
      <c r="JV187" s="29">
        <v>120</v>
      </c>
      <c r="JW187" s="1504">
        <v>40148</v>
      </c>
      <c r="JX187" s="19"/>
      <c r="JY187" s="93"/>
      <c r="JZ187" s="93"/>
      <c r="KA187" s="93"/>
      <c r="KB187" s="93"/>
      <c r="KC187" s="93"/>
      <c r="KD187" s="20"/>
      <c r="KE187" s="29">
        <v>120</v>
      </c>
      <c r="KF187" s="19"/>
      <c r="KG187" s="93"/>
      <c r="KH187" s="93"/>
      <c r="KI187" s="93"/>
      <c r="KJ187" s="93"/>
      <c r="KK187" s="20"/>
      <c r="KL187" s="29">
        <v>120</v>
      </c>
      <c r="KM187" s="19"/>
      <c r="KN187" s="93"/>
      <c r="KO187" s="93"/>
      <c r="KP187" s="93"/>
      <c r="KQ187" s="93"/>
      <c r="KR187" s="20"/>
      <c r="KS187" s="29">
        <v>120</v>
      </c>
      <c r="KT187" s="19"/>
      <c r="KU187" s="93"/>
      <c r="KV187" s="93"/>
      <c r="KW187" s="93"/>
      <c r="KX187" s="93"/>
      <c r="KY187" s="20"/>
      <c r="KZ187" s="29">
        <v>120</v>
      </c>
      <c r="LA187" s="1504">
        <v>40148</v>
      </c>
      <c r="LB187" s="19">
        <v>470</v>
      </c>
      <c r="LC187" s="93">
        <v>655</v>
      </c>
      <c r="LD187" s="93">
        <v>665</v>
      </c>
      <c r="LE187" s="93"/>
      <c r="LF187" s="93">
        <v>655</v>
      </c>
      <c r="LG187" s="93"/>
      <c r="LH187" s="20"/>
      <c r="LI187" s="29">
        <v>120</v>
      </c>
      <c r="LJ187" s="19"/>
      <c r="LK187" s="93"/>
      <c r="LL187" s="93"/>
      <c r="LM187" s="93"/>
      <c r="LN187" s="93"/>
      <c r="LO187" s="20"/>
      <c r="LP187" s="29">
        <v>120</v>
      </c>
      <c r="LQ187" s="19"/>
      <c r="LR187" s="93"/>
      <c r="LS187" s="93"/>
      <c r="LT187" s="93"/>
      <c r="LU187" s="93"/>
      <c r="LV187" s="93"/>
      <c r="LW187" s="93"/>
      <c r="LX187" s="93"/>
      <c r="LY187" s="93"/>
      <c r="LZ187" s="93"/>
      <c r="MA187" s="20"/>
      <c r="MB187" s="29">
        <v>120</v>
      </c>
      <c r="MC187" s="1504">
        <v>40148</v>
      </c>
      <c r="MD187" s="19">
        <v>73363.829293000003</v>
      </c>
      <c r="ME187" s="93">
        <v>55524.425005999998</v>
      </c>
      <c r="MF187" s="93">
        <v>55524.425005999998</v>
      </c>
      <c r="MG187" s="93">
        <v>52215.003357999994</v>
      </c>
      <c r="MH187" s="93">
        <v>7484.0896699999994</v>
      </c>
      <c r="MI187" s="93">
        <v>566.51741800000002</v>
      </c>
      <c r="MJ187" s="93">
        <v>488.93584600000003</v>
      </c>
      <c r="MK187" s="93">
        <v>32867.688525999991</v>
      </c>
      <c r="ML187" s="93">
        <v>9855.7479519999997</v>
      </c>
      <c r="MM187" s="93">
        <v>952.02394599999991</v>
      </c>
      <c r="MN187" s="93">
        <v>3309.4216479999991</v>
      </c>
      <c r="MO187" s="93">
        <v>116.57673600000005</v>
      </c>
      <c r="MP187" s="93">
        <v>1495.2076810000003</v>
      </c>
      <c r="MQ187" s="93">
        <v>167.81683599999985</v>
      </c>
      <c r="MR187" s="93">
        <v>100.23796899999999</v>
      </c>
      <c r="MS187" s="93">
        <v>1429.582425999999</v>
      </c>
      <c r="MT187" s="93">
        <v>0</v>
      </c>
      <c r="MU187" s="93">
        <v>17839.404287000001</v>
      </c>
      <c r="MV187" s="93">
        <v>1682.1940099999997</v>
      </c>
      <c r="MW187" s="93">
        <v>16157.210276999998</v>
      </c>
      <c r="MX187" s="93">
        <v>172056.71178983332</v>
      </c>
      <c r="MY187" s="93">
        <v>163382.51779683333</v>
      </c>
      <c r="MZ187" s="93">
        <v>65142.690676833328</v>
      </c>
      <c r="NA187" s="93">
        <v>28043.903310000002</v>
      </c>
      <c r="NB187" s="93">
        <v>7721.2776943333301</v>
      </c>
      <c r="NC187" s="93">
        <v>711.75905099999977</v>
      </c>
      <c r="ND187" s="93">
        <v>165.013935</v>
      </c>
      <c r="NE187" s="93">
        <v>546.74511599999971</v>
      </c>
      <c r="NF187" s="93">
        <v>28665.750621499999</v>
      </c>
      <c r="NG187" s="93">
        <v>291.42502150000075</v>
      </c>
      <c r="NH187" s="93">
        <v>1149.4389839999974</v>
      </c>
      <c r="NI187" s="93">
        <v>0</v>
      </c>
      <c r="NJ187" s="93">
        <v>1235.799309</v>
      </c>
      <c r="NK187" s="93">
        <v>98239.827119999987</v>
      </c>
      <c r="NL187" s="93">
        <v>68461.389754999997</v>
      </c>
      <c r="NM187" s="93">
        <v>20287.883711999999</v>
      </c>
      <c r="NN187" s="93">
        <v>9490.553652999999</v>
      </c>
      <c r="NO187" s="93">
        <v>8674.193992999999</v>
      </c>
      <c r="NP187" s="93">
        <v>-98692.882496833336</v>
      </c>
      <c r="NQ187" s="93">
        <v>-116532.28678383333</v>
      </c>
      <c r="NR187" s="93">
        <v>-106329.97407983334</v>
      </c>
      <c r="NS187" s="93">
        <v>-107041.73313083334</v>
      </c>
      <c r="NT187" s="93">
        <v>-28309.319150833308</v>
      </c>
      <c r="NU187" s="93">
        <v>-46148.723437833309</v>
      </c>
      <c r="NV187" s="93">
        <v>28588.588726000013</v>
      </c>
      <c r="NW187" s="93">
        <v>5368.3475759999992</v>
      </c>
      <c r="NX187" s="93">
        <v>7808.3596429999989</v>
      </c>
      <c r="NY187" s="93">
        <v>-2440.0120670000001</v>
      </c>
      <c r="NZ187" s="93">
        <v>0</v>
      </c>
      <c r="OA187" s="93">
        <v>23220.241150000009</v>
      </c>
      <c r="OB187" s="93">
        <v>22868.609131000008</v>
      </c>
      <c r="OC187" s="93">
        <v>351.63201900000053</v>
      </c>
      <c r="OD187" s="20">
        <v>0</v>
      </c>
      <c r="OE187" s="29">
        <v>120</v>
      </c>
      <c r="OF187" s="1504">
        <v>40148</v>
      </c>
      <c r="OG187" s="19"/>
      <c r="OH187" s="93">
        <v>255.43409999999997</v>
      </c>
      <c r="OI187" s="93">
        <v>421.01397895643544</v>
      </c>
      <c r="OJ187" s="93">
        <v>0.44526644300000001</v>
      </c>
      <c r="OK187" s="93">
        <v>356.04831251343546</v>
      </c>
      <c r="OL187" s="93">
        <v>64.520399999999995</v>
      </c>
      <c r="OM187" s="93">
        <v>676.44807895643544</v>
      </c>
      <c r="ON187" s="93">
        <v>410.28256735853643</v>
      </c>
      <c r="OO187" s="93">
        <v>1086.7306463149719</v>
      </c>
      <c r="OP187" s="93"/>
      <c r="OQ187" s="93">
        <v>575.46560521535594</v>
      </c>
      <c r="OR187" s="93">
        <v>358.37888423999999</v>
      </c>
      <c r="OS187" s="93">
        <v>217.08672097535595</v>
      </c>
      <c r="OT187" s="93">
        <v>654.5405763906158</v>
      </c>
      <c r="OU187" s="93">
        <v>-80.586776880999992</v>
      </c>
      <c r="OV187" s="93">
        <v>-40.674776881</v>
      </c>
      <c r="OW187" s="93">
        <v>-39.911999999999992</v>
      </c>
      <c r="OX187" s="93">
        <v>735.12735327161579</v>
      </c>
      <c r="OY187" s="93">
        <v>2.6206943749999998</v>
      </c>
      <c r="OZ187" s="93">
        <v>732.50665889661582</v>
      </c>
      <c r="PA187" s="93">
        <v>148.76195463500017</v>
      </c>
      <c r="PB187" s="93">
        <v>-5.4864193439999909</v>
      </c>
      <c r="PC187" s="20">
        <v>1086.7306463149716</v>
      </c>
      <c r="PD187" s="29">
        <v>120</v>
      </c>
      <c r="PE187" s="19"/>
      <c r="PF187" s="93">
        <v>358.37888423999999</v>
      </c>
      <c r="PG187" s="93">
        <v>561.24182478299997</v>
      </c>
      <c r="PH187" s="93">
        <v>202.86294054299998</v>
      </c>
      <c r="PI187" s="93">
        <v>72.507673026999996</v>
      </c>
      <c r="PJ187" s="93">
        <v>-40.674776881</v>
      </c>
      <c r="PK187" s="93">
        <v>95.792890912999994</v>
      </c>
      <c r="PL187" s="93">
        <v>136.46766779399999</v>
      </c>
      <c r="PM187" s="93">
        <v>2.6206943749999998</v>
      </c>
      <c r="PN187" s="93">
        <v>0</v>
      </c>
      <c r="PO187" s="93">
        <v>0</v>
      </c>
      <c r="PP187" s="93">
        <v>9.1518000000000003E-4</v>
      </c>
      <c r="PQ187" s="93">
        <v>2.619779195</v>
      </c>
      <c r="PR187" s="93">
        <v>393.36740811599992</v>
      </c>
      <c r="PS187" s="93">
        <v>284.67809999999997</v>
      </c>
      <c r="PT187" s="93">
        <v>108.244041673</v>
      </c>
      <c r="PU187" s="93">
        <v>0.44526644300000001</v>
      </c>
      <c r="PV187" s="93">
        <v>0</v>
      </c>
      <c r="PW187" s="93">
        <v>0.39516346099999999</v>
      </c>
      <c r="PX187" s="93">
        <v>0</v>
      </c>
      <c r="PY187" s="93">
        <v>0</v>
      </c>
      <c r="PZ187" s="93">
        <v>0.39516346099999999</v>
      </c>
      <c r="QA187" s="93">
        <v>0</v>
      </c>
      <c r="QB187" s="93">
        <v>0</v>
      </c>
      <c r="QC187" s="93">
        <v>0</v>
      </c>
      <c r="QD187" s="93">
        <v>-2.9892088259999996</v>
      </c>
      <c r="QE187" s="20">
        <v>2.0591120099999998</v>
      </c>
      <c r="QF187" s="1739">
        <v>120</v>
      </c>
      <c r="QG187" s="19"/>
      <c r="QH187" s="1035">
        <v>217.08672097535595</v>
      </c>
      <c r="QI187" s="1035">
        <v>308.7708411033841</v>
      </c>
      <c r="QJ187" s="1035">
        <v>-91.684120128028141</v>
      </c>
      <c r="QK187" s="1035">
        <v>82.492000000000004</v>
      </c>
      <c r="QL187" s="1035">
        <v>29.244</v>
      </c>
      <c r="QM187" s="1035">
        <v>53.248000000000005</v>
      </c>
      <c r="QN187" s="1035">
        <v>0</v>
      </c>
      <c r="QO187" s="1035">
        <v>-39.911999999999992</v>
      </c>
      <c r="QP187" s="1035">
        <v>72.540000000000006</v>
      </c>
      <c r="QQ187" s="1035">
        <v>-112.452</v>
      </c>
      <c r="QR187" s="1035">
        <v>732.50665889661582</v>
      </c>
      <c r="QS187" s="1035">
        <v>8.4118019218581317</v>
      </c>
      <c r="QT187" s="1035">
        <v>0</v>
      </c>
      <c r="QU187" s="1035">
        <v>11.885</v>
      </c>
      <c r="QV187" s="1035">
        <v>712.20985697475771</v>
      </c>
      <c r="QW187" s="93"/>
      <c r="QX187" s="93">
        <v>65.727999999999994</v>
      </c>
      <c r="QY187" s="93">
        <v>356.04831251343546</v>
      </c>
      <c r="QZ187" s="93">
        <v>410.28256735853648</v>
      </c>
      <c r="RA187" s="93">
        <v>0</v>
      </c>
      <c r="RB187" s="93">
        <v>23.06</v>
      </c>
      <c r="RC187" s="93">
        <v>3.9059999999999997</v>
      </c>
      <c r="RD187" s="93">
        <v>9.7350000000000012</v>
      </c>
      <c r="RE187" s="93">
        <v>0</v>
      </c>
      <c r="RF187" s="93">
        <v>0</v>
      </c>
      <c r="RG187" s="93">
        <v>114.65500000000016</v>
      </c>
      <c r="RH187" s="93">
        <v>8.7585000000000122</v>
      </c>
      <c r="RI187" s="93"/>
      <c r="RJ187" s="93"/>
      <c r="RK187" s="93"/>
      <c r="RL187" s="93"/>
      <c r="RM187" s="20"/>
      <c r="RN187" s="29">
        <v>120</v>
      </c>
      <c r="RO187" s="19"/>
      <c r="RP187" s="20"/>
      <c r="RQ187" s="29">
        <v>120</v>
      </c>
      <c r="RR187" s="20"/>
      <c r="RS187" s="29">
        <v>120</v>
      </c>
      <c r="RT187" s="1504">
        <v>40148</v>
      </c>
      <c r="RU187" s="19"/>
      <c r="RV187" s="20"/>
      <c r="RW187" s="29">
        <v>120</v>
      </c>
      <c r="RX187" s="1504">
        <v>40148</v>
      </c>
      <c r="RY187" s="29"/>
      <c r="RZ187" s="20"/>
      <c r="SA187" s="29"/>
      <c r="SB187" s="29">
        <v>120</v>
      </c>
    </row>
    <row r="188" spans="1:496">
      <c r="A188" s="41">
        <f t="shared" si="191"/>
        <v>2010</v>
      </c>
      <c r="B188" s="1504">
        <v>40179</v>
      </c>
      <c r="C188" s="1813"/>
      <c r="D188" s="1814"/>
      <c r="E188" s="1814"/>
      <c r="F188" s="1815"/>
      <c r="G188" s="1814"/>
      <c r="H188" s="1814"/>
      <c r="I188" s="1814"/>
      <c r="J188" s="1816"/>
      <c r="K188" s="1807"/>
      <c r="L188" s="25">
        <v>121</v>
      </c>
      <c r="M188" s="97"/>
      <c r="N188" s="1504">
        <v>40179</v>
      </c>
      <c r="O188" s="19"/>
      <c r="P188" s="93"/>
      <c r="Q188" s="93"/>
      <c r="R188" s="93"/>
      <c r="S188" s="93"/>
      <c r="T188" s="93"/>
      <c r="U188" s="93"/>
      <c r="V188" s="93"/>
      <c r="W188" s="93"/>
      <c r="X188" s="93"/>
      <c r="Y188" s="93"/>
      <c r="Z188" s="93"/>
      <c r="AA188" s="93"/>
      <c r="AB188" s="20"/>
      <c r="AC188" s="25">
        <v>121</v>
      </c>
      <c r="AD188" s="97"/>
      <c r="AE188" s="1504">
        <v>40179</v>
      </c>
      <c r="AF188" s="19"/>
      <c r="AG188" s="93"/>
      <c r="AH188" s="93"/>
      <c r="AI188" s="93"/>
      <c r="AJ188" s="93"/>
      <c r="AK188" s="93"/>
      <c r="AL188" s="93"/>
      <c r="AM188" s="93"/>
      <c r="AN188" s="93"/>
      <c r="AO188" s="93"/>
      <c r="AP188" s="93"/>
      <c r="AQ188" s="93"/>
      <c r="AR188" s="93"/>
      <c r="AS188" s="20"/>
      <c r="AT188" s="25">
        <v>121</v>
      </c>
      <c r="AU188" s="97"/>
      <c r="AV188" s="1504">
        <v>40179</v>
      </c>
      <c r="AW188" s="19"/>
      <c r="AX188" s="93"/>
      <c r="AY188" s="93"/>
      <c r="AZ188" s="93"/>
      <c r="BA188" s="93"/>
      <c r="BB188" s="93"/>
      <c r="BC188" s="93"/>
      <c r="BD188" s="93"/>
      <c r="BE188" s="93"/>
      <c r="BF188" s="93"/>
      <c r="BG188" s="93"/>
      <c r="BH188" s="93"/>
      <c r="BI188" s="93"/>
      <c r="BJ188" s="20"/>
      <c r="BK188" s="25">
        <v>121</v>
      </c>
      <c r="BL188" s="97"/>
      <c r="BM188" s="1504">
        <v>40179</v>
      </c>
      <c r="BN188" s="19"/>
      <c r="BO188" s="93"/>
      <c r="BP188" s="93"/>
      <c r="BQ188" s="93"/>
      <c r="BR188" s="93"/>
      <c r="BS188" s="93"/>
      <c r="BT188" s="93"/>
      <c r="BU188" s="20"/>
      <c r="BV188" s="25">
        <v>121</v>
      </c>
      <c r="BW188" s="97"/>
      <c r="BX188" s="1504">
        <v>40179</v>
      </c>
      <c r="BY188" s="179">
        <v>459.60939119</v>
      </c>
      <c r="BZ188" s="99">
        <v>664.95699999999999</v>
      </c>
      <c r="CA188" s="93"/>
      <c r="CB188" s="93"/>
      <c r="CC188" s="99">
        <v>322.69638469638465</v>
      </c>
      <c r="CD188" s="25">
        <v>121</v>
      </c>
      <c r="CE188" s="97"/>
      <c r="CF188" s="1504">
        <v>40179</v>
      </c>
      <c r="CG188" s="179">
        <v>1.70637588</v>
      </c>
      <c r="CH188" s="99">
        <v>1117.963</v>
      </c>
      <c r="CI188" s="219"/>
      <c r="CJ188" s="20"/>
      <c r="CK188" s="19"/>
      <c r="CL188" s="93"/>
      <c r="CM188" s="93"/>
      <c r="CN188" s="93"/>
      <c r="CO188" s="93"/>
      <c r="CP188" s="20"/>
      <c r="CQ188" s="219">
        <v>1275.53</v>
      </c>
      <c r="CR188" s="93">
        <v>2.8450000000000002</v>
      </c>
      <c r="CS188" s="93"/>
      <c r="CT188" s="93"/>
      <c r="CU188" s="93"/>
      <c r="CV188" s="214"/>
      <c r="CW188" s="29">
        <v>121</v>
      </c>
      <c r="CX188" s="41">
        <f t="shared" si="192"/>
        <v>2010</v>
      </c>
      <c r="CY188" s="1504">
        <v>40179</v>
      </c>
      <c r="CZ188" s="1916">
        <v>63.854082300000002</v>
      </c>
      <c r="DA188" s="1526">
        <v>37.6466803</v>
      </c>
      <c r="DB188" s="1526">
        <v>26.207401999999998</v>
      </c>
      <c r="DC188" s="182">
        <f t="shared" ref="DC188:DC198" si="205">DC189</f>
        <v>362165</v>
      </c>
      <c r="DD188" s="182">
        <f t="shared" ref="DD188:DD198" si="206">DD189</f>
        <v>361092</v>
      </c>
      <c r="DE188" s="182">
        <f t="shared" ref="DE188:DE198" si="207">DE189</f>
        <v>1073</v>
      </c>
      <c r="DF188" s="29">
        <v>121</v>
      </c>
      <c r="DG188" s="1504">
        <v>40179</v>
      </c>
      <c r="DH188" s="19"/>
      <c r="DI188" s="93"/>
      <c r="DJ188" s="93"/>
      <c r="DK188" s="93"/>
      <c r="DL188" s="93"/>
      <c r="DM188" s="93"/>
      <c r="DN188" s="20"/>
      <c r="DO188" s="25"/>
      <c r="DP188" s="29">
        <v>121</v>
      </c>
      <c r="DQ188" s="1504">
        <v>40179</v>
      </c>
      <c r="DR188" s="19"/>
      <c r="DS188" s="93"/>
      <c r="DT188" s="93"/>
      <c r="DU188" s="93"/>
      <c r="DV188" s="93"/>
      <c r="DW188" s="93"/>
      <c r="DX188" s="20"/>
      <c r="DY188" s="29">
        <v>121</v>
      </c>
      <c r="DZ188" s="1504">
        <v>40179</v>
      </c>
      <c r="EA188" s="19"/>
      <c r="EB188" s="93"/>
      <c r="EC188" s="20"/>
      <c r="ED188" s="29">
        <v>121</v>
      </c>
      <c r="EE188" s="1504">
        <v>40179</v>
      </c>
      <c r="EF188" s="19"/>
      <c r="EG188" s="93"/>
      <c r="EH188" s="93"/>
      <c r="EI188" s="214"/>
      <c r="EJ188" s="93"/>
      <c r="EK188" s="93"/>
      <c r="EL188" s="93"/>
      <c r="EM188" s="93"/>
      <c r="EN188" s="20"/>
      <c r="EO188" s="29">
        <v>121</v>
      </c>
      <c r="EP188" s="1504">
        <v>40179</v>
      </c>
      <c r="EQ188" s="19"/>
      <c r="ER188" s="93"/>
      <c r="ES188" s="93"/>
      <c r="ET188" s="214"/>
      <c r="EU188" s="93"/>
      <c r="EV188" s="93"/>
      <c r="EW188" s="93"/>
      <c r="EX188" s="93"/>
      <c r="EY188" s="20"/>
      <c r="EZ188" s="29">
        <v>121</v>
      </c>
      <c r="FA188" s="1504">
        <v>40179</v>
      </c>
      <c r="FB188" s="29"/>
      <c r="FC188" s="29"/>
      <c r="FD188" s="29"/>
      <c r="FE188" s="29"/>
      <c r="FF188" s="29"/>
      <c r="FG188" s="29"/>
      <c r="FH188" s="29"/>
      <c r="FI188" s="29"/>
      <c r="FJ188" s="29"/>
      <c r="FK188" s="29">
        <v>121</v>
      </c>
      <c r="FL188" s="1504">
        <v>40179</v>
      </c>
      <c r="FM188" s="19">
        <v>99.829352732121066</v>
      </c>
      <c r="FN188" s="93">
        <v>101.41211961944366</v>
      </c>
      <c r="FO188" s="93">
        <v>97.484110849074227</v>
      </c>
      <c r="FP188" s="93">
        <v>99.892086627030977</v>
      </c>
      <c r="FQ188" s="93">
        <v>103.66838179554085</v>
      </c>
      <c r="FR188" s="93">
        <v>98.206143467805106</v>
      </c>
      <c r="FS188" s="93">
        <v>99.748979535509392</v>
      </c>
      <c r="FT188" s="93">
        <v>95.99806726000952</v>
      </c>
      <c r="FU188" s="93">
        <v>90.240686422095607</v>
      </c>
      <c r="FV188" s="93">
        <v>98.919312071390806</v>
      </c>
      <c r="FW188" s="93">
        <v>101.99334149199741</v>
      </c>
      <c r="FX188" s="93">
        <v>102.40746578262818</v>
      </c>
      <c r="FY188" s="93">
        <v>101.61773201172142</v>
      </c>
      <c r="FZ188" s="29">
        <v>121</v>
      </c>
      <c r="GA188" s="1504">
        <v>40179</v>
      </c>
      <c r="GB188" s="733">
        <v>99.829352732121066</v>
      </c>
      <c r="GC188" s="570">
        <v>100.32692017096903</v>
      </c>
      <c r="GD188" s="570">
        <v>99.508415789387513</v>
      </c>
      <c r="GE188" s="570">
        <v>107.07677043956861</v>
      </c>
      <c r="GF188" s="570">
        <v>102.50104814809021</v>
      </c>
      <c r="GG188" s="570">
        <v>98.519462164246576</v>
      </c>
      <c r="GH188" s="93"/>
      <c r="GI188" s="93"/>
      <c r="GJ188" s="93"/>
      <c r="GK188" s="93"/>
      <c r="GL188" s="93"/>
      <c r="GM188" s="93"/>
      <c r="GN188" s="20"/>
      <c r="GO188" s="29">
        <v>121</v>
      </c>
      <c r="GP188" s="1504">
        <v>40179</v>
      </c>
      <c r="GQ188" s="19"/>
      <c r="GR188" s="93"/>
      <c r="GS188" s="93"/>
      <c r="GT188" s="93"/>
      <c r="GU188" s="93"/>
      <c r="GV188" s="20"/>
      <c r="GW188" s="19"/>
      <c r="GX188" s="93"/>
      <c r="GY188" s="93"/>
      <c r="GZ188" s="93"/>
      <c r="HA188" s="93"/>
      <c r="HB188" s="20"/>
      <c r="HC188" s="19"/>
      <c r="HD188" s="93"/>
      <c r="HE188" s="93"/>
      <c r="HF188" s="93"/>
      <c r="HG188" s="93"/>
      <c r="HH188" s="20"/>
      <c r="HI188" s="19"/>
      <c r="HJ188" s="93"/>
      <c r="HK188" s="93"/>
      <c r="HL188" s="93"/>
      <c r="HM188" s="93"/>
      <c r="HN188" s="20"/>
      <c r="HO188" s="219"/>
      <c r="HP188" s="20"/>
      <c r="HQ188" s="25"/>
      <c r="HR188" s="29">
        <v>121</v>
      </c>
      <c r="HS188" s="1504">
        <v>40179</v>
      </c>
      <c r="HT188" s="179">
        <v>180.51925811767578</v>
      </c>
      <c r="HU188" s="99">
        <v>193.40194702148438</v>
      </c>
      <c r="HV188" s="99">
        <v>146.55860900878906</v>
      </c>
      <c r="HW188" s="99">
        <v>127.42718696594238</v>
      </c>
      <c r="HX188" s="99">
        <v>166.66667175292969</v>
      </c>
      <c r="HY188" s="99">
        <v>165.65041351318359</v>
      </c>
      <c r="HZ188" s="99">
        <v>196.34873390197754</v>
      </c>
      <c r="IA188" s="132">
        <v>151.96078491210938</v>
      </c>
      <c r="IB188" s="179">
        <v>209.78261566162109</v>
      </c>
      <c r="IC188" s="99">
        <v>115.36716651916504</v>
      </c>
      <c r="ID188" s="99"/>
      <c r="IE188" s="99">
        <v>124.01821390787761</v>
      </c>
      <c r="IF188" s="99">
        <v>172.86391830444336</v>
      </c>
      <c r="IG188" s="132">
        <v>129.44161987304688</v>
      </c>
      <c r="IH188" s="179">
        <v>120.27959442138672</v>
      </c>
      <c r="II188" s="99">
        <v>184.4315185546875</v>
      </c>
      <c r="IJ188" s="99">
        <v>137.9310302734375</v>
      </c>
      <c r="IK188" s="99">
        <v>151.78572082519531</v>
      </c>
      <c r="IL188" s="99">
        <v>138.04200744628906</v>
      </c>
      <c r="IM188" s="99">
        <v>134.58466339111328</v>
      </c>
      <c r="IN188" s="93"/>
      <c r="IO188" s="132">
        <v>164.72291946411133</v>
      </c>
      <c r="IP188" s="29">
        <v>121</v>
      </c>
      <c r="IQ188" s="19"/>
      <c r="IR188" s="93"/>
      <c r="IS188" s="93"/>
      <c r="IT188" s="93"/>
      <c r="IU188" s="93"/>
      <c r="IV188" s="20"/>
      <c r="IW188" s="29">
        <v>121</v>
      </c>
      <c r="IX188" s="19"/>
      <c r="IY188" s="93"/>
      <c r="IZ188" s="93"/>
      <c r="JA188" s="93"/>
      <c r="JB188" s="93"/>
      <c r="JC188" s="93"/>
      <c r="JD188" s="93"/>
      <c r="JE188" s="20"/>
      <c r="JF188" s="29">
        <v>121</v>
      </c>
      <c r="JG188" s="19"/>
      <c r="JH188" s="93"/>
      <c r="JI188" s="93"/>
      <c r="JJ188" s="93"/>
      <c r="JK188" s="93"/>
      <c r="JL188" s="93"/>
      <c r="JM188" s="93"/>
      <c r="JN188" s="20"/>
      <c r="JO188" s="29">
        <v>121</v>
      </c>
      <c r="JP188" s="19"/>
      <c r="JQ188" s="93"/>
      <c r="JR188" s="93"/>
      <c r="JS188" s="93"/>
      <c r="JT188" s="93"/>
      <c r="JU188" s="20"/>
      <c r="JV188" s="29">
        <v>121</v>
      </c>
      <c r="JW188" s="1504">
        <v>40179</v>
      </c>
      <c r="JX188" s="19"/>
      <c r="JY188" s="93"/>
      <c r="JZ188" s="93"/>
      <c r="KA188" s="93"/>
      <c r="KB188" s="93"/>
      <c r="KC188" s="93"/>
      <c r="KD188" s="20"/>
      <c r="KE188" s="29">
        <v>121</v>
      </c>
      <c r="KF188" s="19"/>
      <c r="KG188" s="93"/>
      <c r="KH188" s="93"/>
      <c r="KI188" s="93"/>
      <c r="KJ188" s="93"/>
      <c r="KK188" s="20"/>
      <c r="KL188" s="29">
        <v>121</v>
      </c>
      <c r="KM188" s="19"/>
      <c r="KN188" s="93"/>
      <c r="KO188" s="93"/>
      <c r="KP188" s="93"/>
      <c r="KQ188" s="93"/>
      <c r="KR188" s="20"/>
      <c r="KS188" s="29">
        <v>121</v>
      </c>
      <c r="KT188" s="19"/>
      <c r="KU188" s="93"/>
      <c r="KV188" s="93"/>
      <c r="KW188" s="93"/>
      <c r="KX188" s="93"/>
      <c r="KY188" s="20"/>
      <c r="KZ188" s="29">
        <v>121</v>
      </c>
      <c r="LA188" s="1504">
        <v>40179</v>
      </c>
      <c r="LB188" s="19">
        <v>460</v>
      </c>
      <c r="LC188" s="93">
        <v>650</v>
      </c>
      <c r="LD188" s="93">
        <v>642</v>
      </c>
      <c r="LE188" s="93"/>
      <c r="LF188" s="93">
        <v>575</v>
      </c>
      <c r="LG188" s="93"/>
      <c r="LH188" s="20"/>
      <c r="LI188" s="29">
        <v>121</v>
      </c>
      <c r="LJ188" s="19"/>
      <c r="LK188" s="93"/>
      <c r="LL188" s="93"/>
      <c r="LM188" s="93"/>
      <c r="LN188" s="93"/>
      <c r="LO188" s="20"/>
      <c r="LP188" s="29">
        <v>121</v>
      </c>
      <c r="LQ188" s="19"/>
      <c r="LR188" s="93"/>
      <c r="LS188" s="93"/>
      <c r="LT188" s="93"/>
      <c r="LU188" s="93"/>
      <c r="LV188" s="93"/>
      <c r="LW188" s="93"/>
      <c r="LX188" s="93"/>
      <c r="LY188" s="93"/>
      <c r="LZ188" s="93"/>
      <c r="MA188" s="20"/>
      <c r="MB188" s="29">
        <v>121</v>
      </c>
      <c r="MC188" s="1504">
        <v>40179</v>
      </c>
      <c r="MD188" s="19">
        <v>43923.186240999989</v>
      </c>
      <c r="ME188" s="93">
        <v>43182.139717999984</v>
      </c>
      <c r="MF188" s="93">
        <v>43182.139717999984</v>
      </c>
      <c r="MG188" s="93">
        <v>41033.62153199999</v>
      </c>
      <c r="MH188" s="93">
        <v>10187.887196999998</v>
      </c>
      <c r="MI188" s="93">
        <v>628.43298800000002</v>
      </c>
      <c r="MJ188" s="93">
        <v>188.138395</v>
      </c>
      <c r="MK188" s="93">
        <v>23628.429905999998</v>
      </c>
      <c r="ML188" s="93">
        <v>6014.4993590000004</v>
      </c>
      <c r="MM188" s="93">
        <v>18216.722733999999</v>
      </c>
      <c r="MN188" s="93">
        <v>2148.5181859999998</v>
      </c>
      <c r="MO188" s="93">
        <v>183.763329</v>
      </c>
      <c r="MP188" s="93">
        <v>1216.505987</v>
      </c>
      <c r="MQ188" s="93">
        <v>88.880557999999994</v>
      </c>
      <c r="MR188" s="93">
        <v>0.113</v>
      </c>
      <c r="MS188" s="93">
        <v>659.25531199999989</v>
      </c>
      <c r="MT188" s="93">
        <v>0</v>
      </c>
      <c r="MU188" s="93">
        <v>741.04652300000009</v>
      </c>
      <c r="MV188" s="93">
        <v>741.04652300000009</v>
      </c>
      <c r="MW188" s="93">
        <v>0</v>
      </c>
      <c r="MX188" s="93">
        <v>53095.500706999992</v>
      </c>
      <c r="MY188" s="93">
        <v>54169.975555999998</v>
      </c>
      <c r="MZ188" s="93">
        <v>28971.979670666668</v>
      </c>
      <c r="NA188" s="93">
        <v>17385.982155333335</v>
      </c>
      <c r="NB188" s="93">
        <v>8633.5319273333334</v>
      </c>
      <c r="NC188" s="93">
        <v>739.9308169999988</v>
      </c>
      <c r="ND188" s="93">
        <v>248.92354899999873</v>
      </c>
      <c r="NE188" s="93">
        <v>491.00726800000007</v>
      </c>
      <c r="NF188" s="93">
        <v>2212.5347710000001</v>
      </c>
      <c r="NG188" s="93">
        <v>182.51081500000001</v>
      </c>
      <c r="NH188" s="93">
        <v>47.341436000000002</v>
      </c>
      <c r="NI188" s="93">
        <v>0</v>
      </c>
      <c r="NJ188" s="93">
        <v>0</v>
      </c>
      <c r="NK188" s="93">
        <v>16045.828801</v>
      </c>
      <c r="NL188" s="93">
        <v>4213.5971820000004</v>
      </c>
      <c r="NM188" s="93">
        <v>0</v>
      </c>
      <c r="NN188" s="93">
        <v>11832.231618999998</v>
      </c>
      <c r="NO188" s="93">
        <v>-1074.4748489999999</v>
      </c>
      <c r="NP188" s="93">
        <v>-9172.3144660000053</v>
      </c>
      <c r="NQ188" s="93">
        <v>-9913.360989000008</v>
      </c>
      <c r="NR188" s="93">
        <v>2658.8014469999894</v>
      </c>
      <c r="NS188" s="93">
        <v>1918.8706299999878</v>
      </c>
      <c r="NT188" s="93">
        <v>-24107.323508666657</v>
      </c>
      <c r="NU188" s="93">
        <v>-24848.370031666658</v>
      </c>
      <c r="NV188" s="93">
        <v>36333.369804999995</v>
      </c>
      <c r="NW188" s="93">
        <v>10558.183767999999</v>
      </c>
      <c r="NX188" s="93">
        <v>11091.185095999999</v>
      </c>
      <c r="NY188" s="93">
        <v>-533.00132799999994</v>
      </c>
      <c r="NZ188" s="93">
        <v>0</v>
      </c>
      <c r="OA188" s="93">
        <v>25775.186036999996</v>
      </c>
      <c r="OB188" s="93">
        <v>21252.359887999995</v>
      </c>
      <c r="OC188" s="93">
        <v>4522.8261490000004</v>
      </c>
      <c r="OD188" s="20">
        <v>0</v>
      </c>
      <c r="OE188" s="29">
        <v>121</v>
      </c>
      <c r="OF188" s="1504">
        <v>40179</v>
      </c>
      <c r="OG188" s="19"/>
      <c r="OH188" s="93">
        <v>205.87</v>
      </c>
      <c r="OI188" s="93">
        <v>437.3712191890715</v>
      </c>
      <c r="OJ188" s="93">
        <v>0.415721746</v>
      </c>
      <c r="OK188" s="93">
        <v>372.43509744307153</v>
      </c>
      <c r="OL188" s="93">
        <v>64.520399999999995</v>
      </c>
      <c r="OM188" s="93">
        <v>643.24121918907144</v>
      </c>
      <c r="ON188" s="93">
        <v>420.39718321095449</v>
      </c>
      <c r="OO188" s="93">
        <v>1063.6384024000258</v>
      </c>
      <c r="OP188" s="93"/>
      <c r="OQ188" s="93">
        <v>603.99614532525788</v>
      </c>
      <c r="OR188" s="93">
        <v>413.13058844199998</v>
      </c>
      <c r="OS188" s="93">
        <v>190.86555688325791</v>
      </c>
      <c r="OT188" s="93">
        <v>611.08813545476823</v>
      </c>
      <c r="OU188" s="93">
        <v>-147.73009113900002</v>
      </c>
      <c r="OV188" s="93">
        <v>-113.87509113900001</v>
      </c>
      <c r="OW188" s="93">
        <v>-33.855000000000004</v>
      </c>
      <c r="OX188" s="93">
        <v>758.81822659376826</v>
      </c>
      <c r="OY188" s="93">
        <v>3.5415028230000001</v>
      </c>
      <c r="OZ188" s="93">
        <v>755.27672377076829</v>
      </c>
      <c r="PA188" s="93">
        <v>168.07475337899999</v>
      </c>
      <c r="PB188" s="93">
        <v>-16.628874999000011</v>
      </c>
      <c r="PC188" s="20">
        <v>1063.6384024000263</v>
      </c>
      <c r="PD188" s="29">
        <v>121</v>
      </c>
      <c r="PE188" s="19"/>
      <c r="PF188" s="93">
        <v>413.13058844199998</v>
      </c>
      <c r="PG188" s="93">
        <v>619.18118034700001</v>
      </c>
      <c r="PH188" s="93">
        <v>206.050591905</v>
      </c>
      <c r="PI188" s="93">
        <v>46.8</v>
      </c>
      <c r="PJ188" s="93">
        <v>-113.87509113900001</v>
      </c>
      <c r="PK188" s="93">
        <v>43.306040064000001</v>
      </c>
      <c r="PL188" s="93">
        <v>157.18113120300001</v>
      </c>
      <c r="PM188" s="93">
        <v>3.5415028230000001</v>
      </c>
      <c r="PN188" s="93">
        <v>0.96</v>
      </c>
      <c r="PO188" s="93">
        <v>0</v>
      </c>
      <c r="PP188" s="93">
        <v>7.6098500000000005E-4</v>
      </c>
      <c r="PQ188" s="93">
        <v>2.5807418380000002</v>
      </c>
      <c r="PR188" s="93">
        <v>347.06963224999998</v>
      </c>
      <c r="PS188" s="93">
        <v>233.82499999999999</v>
      </c>
      <c r="PT188" s="93">
        <v>112.82891050400001</v>
      </c>
      <c r="PU188" s="93">
        <v>0.415721746</v>
      </c>
      <c r="PV188" s="93">
        <v>0</v>
      </c>
      <c r="PW188" s="93">
        <v>0.28441996600000002</v>
      </c>
      <c r="PX188" s="93">
        <v>0</v>
      </c>
      <c r="PY188" s="93">
        <v>0</v>
      </c>
      <c r="PZ188" s="93">
        <v>0.28441996600000002</v>
      </c>
      <c r="QA188" s="93">
        <v>0</v>
      </c>
      <c r="QB188" s="93">
        <v>0</v>
      </c>
      <c r="QC188" s="93">
        <v>0</v>
      </c>
      <c r="QD188" s="93">
        <v>0.51933341300000002</v>
      </c>
      <c r="QE188" s="20">
        <v>1.7236144969999994</v>
      </c>
      <c r="QF188" s="1739">
        <v>121</v>
      </c>
      <c r="QG188" s="19"/>
      <c r="QH188" s="1035">
        <v>190.86555688325791</v>
      </c>
      <c r="QI188" s="1035">
        <v>279.2242762292318</v>
      </c>
      <c r="QJ188" s="1035">
        <v>-88.35871934597391</v>
      </c>
      <c r="QK188" s="1035">
        <v>137.56299999999999</v>
      </c>
      <c r="QL188" s="1035">
        <v>27.954999999999998</v>
      </c>
      <c r="QM188" s="1035">
        <v>109.608</v>
      </c>
      <c r="QN188" s="1035">
        <v>0</v>
      </c>
      <c r="QO188" s="1035">
        <v>-33.855000000000004</v>
      </c>
      <c r="QP188" s="1035">
        <v>86.123000000000005</v>
      </c>
      <c r="QQ188" s="1035">
        <v>-119.97800000000001</v>
      </c>
      <c r="QR188" s="1035">
        <v>755.27672377076829</v>
      </c>
      <c r="QS188" s="1035">
        <v>11.489733379383841</v>
      </c>
      <c r="QT188" s="1035">
        <v>0</v>
      </c>
      <c r="QU188" s="1035">
        <v>57.701000000000001</v>
      </c>
      <c r="QV188" s="1035">
        <v>686.08599039138448</v>
      </c>
      <c r="QW188" s="93"/>
      <c r="QX188" s="93">
        <v>44.548999999999999</v>
      </c>
      <c r="QY188" s="93">
        <v>372.43509744307153</v>
      </c>
      <c r="QZ188" s="93">
        <v>420.39718321095455</v>
      </c>
      <c r="RA188" s="93">
        <v>0</v>
      </c>
      <c r="RB188" s="93">
        <v>25.167999999999999</v>
      </c>
      <c r="RC188" s="93">
        <v>3.9060000000000001</v>
      </c>
      <c r="RD188" s="93">
        <v>10.614000000000001</v>
      </c>
      <c r="RE188" s="93">
        <v>0</v>
      </c>
      <c r="RF188" s="93">
        <v>0</v>
      </c>
      <c r="RG188" s="93">
        <v>127.583</v>
      </c>
      <c r="RH188" s="93">
        <v>45.197999999999979</v>
      </c>
      <c r="RI188" s="93"/>
      <c r="RJ188" s="93"/>
      <c r="RK188" s="93"/>
      <c r="RL188" s="93"/>
      <c r="RM188" s="734"/>
      <c r="RN188" s="29">
        <v>121</v>
      </c>
      <c r="RO188" s="19"/>
      <c r="RP188" s="20"/>
      <c r="RQ188" s="29">
        <v>121</v>
      </c>
      <c r="RR188" s="734">
        <v>1.057296</v>
      </c>
      <c r="RS188" s="29">
        <v>121</v>
      </c>
      <c r="RT188" s="1504">
        <v>40179</v>
      </c>
      <c r="RU188" s="19"/>
      <c r="RV188" s="20"/>
      <c r="RW188" s="29">
        <v>121</v>
      </c>
      <c r="RX188" s="1504">
        <v>40179</v>
      </c>
      <c r="RY188" s="29"/>
      <c r="RZ188" s="734"/>
      <c r="SA188" s="29"/>
      <c r="SB188" s="29">
        <v>121</v>
      </c>
    </row>
    <row r="189" spans="1:496">
      <c r="A189" s="41">
        <f t="shared" si="191"/>
        <v>2010</v>
      </c>
      <c r="B189" s="1504">
        <v>40210</v>
      </c>
      <c r="C189" s="1813"/>
      <c r="D189" s="1814"/>
      <c r="E189" s="1814"/>
      <c r="F189" s="1815"/>
      <c r="G189" s="1814"/>
      <c r="H189" s="1814"/>
      <c r="I189" s="1814"/>
      <c r="J189" s="1816"/>
      <c r="K189" s="1807"/>
      <c r="L189" s="25">
        <v>122</v>
      </c>
      <c r="M189" s="97"/>
      <c r="N189" s="1504">
        <v>40210</v>
      </c>
      <c r="O189" s="19"/>
      <c r="P189" s="93"/>
      <c r="Q189" s="93"/>
      <c r="R189" s="93"/>
      <c r="S189" s="93"/>
      <c r="T189" s="93"/>
      <c r="U189" s="93"/>
      <c r="V189" s="93"/>
      <c r="W189" s="93"/>
      <c r="X189" s="93"/>
      <c r="Y189" s="93"/>
      <c r="Z189" s="93"/>
      <c r="AA189" s="93"/>
      <c r="AB189" s="20"/>
      <c r="AC189" s="25">
        <v>122</v>
      </c>
      <c r="AD189" s="97"/>
      <c r="AE189" s="1504">
        <v>40210</v>
      </c>
      <c r="AF189" s="19"/>
      <c r="AG189" s="93"/>
      <c r="AH189" s="93"/>
      <c r="AI189" s="93"/>
      <c r="AJ189" s="93"/>
      <c r="AK189" s="93"/>
      <c r="AL189" s="93"/>
      <c r="AM189" s="93"/>
      <c r="AN189" s="93"/>
      <c r="AO189" s="93"/>
      <c r="AP189" s="93"/>
      <c r="AQ189" s="93"/>
      <c r="AR189" s="93"/>
      <c r="AS189" s="20"/>
      <c r="AT189" s="25">
        <v>122</v>
      </c>
      <c r="AU189" s="97"/>
      <c r="AV189" s="1504">
        <v>40210</v>
      </c>
      <c r="AW189" s="19"/>
      <c r="AX189" s="93"/>
      <c r="AY189" s="93"/>
      <c r="AZ189" s="93"/>
      <c r="BA189" s="93"/>
      <c r="BB189" s="93"/>
      <c r="BC189" s="93"/>
      <c r="BD189" s="93"/>
      <c r="BE189" s="93"/>
      <c r="BF189" s="93"/>
      <c r="BG189" s="93"/>
      <c r="BH189" s="93"/>
      <c r="BI189" s="93"/>
      <c r="BJ189" s="20"/>
      <c r="BK189" s="25">
        <v>122</v>
      </c>
      <c r="BL189" s="97"/>
      <c r="BM189" s="1504">
        <v>40210</v>
      </c>
      <c r="BN189" s="19"/>
      <c r="BO189" s="93"/>
      <c r="BP189" s="93"/>
      <c r="BQ189" s="93"/>
      <c r="BR189" s="93"/>
      <c r="BS189" s="93"/>
      <c r="BT189" s="93"/>
      <c r="BU189" s="20"/>
      <c r="BV189" s="25">
        <v>122</v>
      </c>
      <c r="BW189" s="97"/>
      <c r="BX189" s="1504">
        <v>40210</v>
      </c>
      <c r="BY189" s="179">
        <v>479.30122032999998</v>
      </c>
      <c r="BZ189" s="99">
        <v>664.95699999999999</v>
      </c>
      <c r="CA189" s="93"/>
      <c r="CB189" s="93"/>
      <c r="CC189" s="99">
        <v>336.05650588895122</v>
      </c>
      <c r="CD189" s="25">
        <v>122</v>
      </c>
      <c r="CE189" s="97"/>
      <c r="CF189" s="1504">
        <v>40210</v>
      </c>
      <c r="CG189" s="179">
        <v>1.76479831</v>
      </c>
      <c r="CH189" s="99">
        <v>1095.413</v>
      </c>
      <c r="CI189" s="219"/>
      <c r="CJ189" s="20"/>
      <c r="CK189" s="19"/>
      <c r="CL189" s="93"/>
      <c r="CM189" s="93"/>
      <c r="CN189" s="93"/>
      <c r="CO189" s="93"/>
      <c r="CP189" s="20"/>
      <c r="CQ189" s="219">
        <v>1287.5</v>
      </c>
      <c r="CR189" s="93">
        <v>2.9375</v>
      </c>
      <c r="CS189" s="93"/>
      <c r="CT189" s="93"/>
      <c r="CU189" s="93"/>
      <c r="CV189" s="214"/>
      <c r="CW189" s="29">
        <v>122</v>
      </c>
      <c r="CX189" s="41">
        <f t="shared" si="192"/>
        <v>2010</v>
      </c>
      <c r="CY189" s="1504">
        <v>40210</v>
      </c>
      <c r="CZ189" s="1916">
        <v>61.898650380693326</v>
      </c>
      <c r="DA189" s="1526">
        <v>34.446234380693326</v>
      </c>
      <c r="DB189" s="1526">
        <v>27.452415999999999</v>
      </c>
      <c r="DC189" s="182">
        <f t="shared" si="205"/>
        <v>362165</v>
      </c>
      <c r="DD189" s="182">
        <f t="shared" si="206"/>
        <v>361092</v>
      </c>
      <c r="DE189" s="182">
        <f t="shared" si="207"/>
        <v>1073</v>
      </c>
      <c r="DF189" s="29">
        <v>122</v>
      </c>
      <c r="DG189" s="1504">
        <v>40210</v>
      </c>
      <c r="DH189" s="19"/>
      <c r="DI189" s="93"/>
      <c r="DJ189" s="93"/>
      <c r="DK189" s="93"/>
      <c r="DL189" s="93"/>
      <c r="DM189" s="93"/>
      <c r="DN189" s="20"/>
      <c r="DO189" s="25"/>
      <c r="DP189" s="29">
        <v>122</v>
      </c>
      <c r="DQ189" s="1504">
        <v>40210</v>
      </c>
      <c r="DR189" s="19"/>
      <c r="DS189" s="93"/>
      <c r="DT189" s="93"/>
      <c r="DU189" s="93"/>
      <c r="DV189" s="93"/>
      <c r="DW189" s="93"/>
      <c r="DX189" s="20"/>
      <c r="DY189" s="29">
        <v>122</v>
      </c>
      <c r="DZ189" s="1504">
        <v>40210</v>
      </c>
      <c r="EA189" s="19"/>
      <c r="EB189" s="93"/>
      <c r="EC189" s="20"/>
      <c r="ED189" s="29">
        <v>122</v>
      </c>
      <c r="EE189" s="1504">
        <v>40210</v>
      </c>
      <c r="EF189" s="19"/>
      <c r="EG189" s="93"/>
      <c r="EH189" s="93"/>
      <c r="EI189" s="214"/>
      <c r="EJ189" s="93"/>
      <c r="EK189" s="93"/>
      <c r="EL189" s="93"/>
      <c r="EM189" s="93"/>
      <c r="EN189" s="20"/>
      <c r="EO189" s="29">
        <v>122</v>
      </c>
      <c r="EP189" s="1504">
        <v>40210</v>
      </c>
      <c r="EQ189" s="19"/>
      <c r="ER189" s="93"/>
      <c r="ES189" s="93"/>
      <c r="ET189" s="214"/>
      <c r="EU189" s="93"/>
      <c r="EV189" s="93"/>
      <c r="EW189" s="93"/>
      <c r="EX189" s="93"/>
      <c r="EY189" s="20"/>
      <c r="EZ189" s="29">
        <v>122</v>
      </c>
      <c r="FA189" s="1504">
        <v>40210</v>
      </c>
      <c r="FB189" s="29"/>
      <c r="FC189" s="29"/>
      <c r="FD189" s="29"/>
      <c r="FE189" s="29"/>
      <c r="FF189" s="29"/>
      <c r="FG189" s="29"/>
      <c r="FH189" s="29"/>
      <c r="FI189" s="29"/>
      <c r="FJ189" s="29"/>
      <c r="FK189" s="29">
        <v>122</v>
      </c>
      <c r="FL189" s="1504">
        <v>40210</v>
      </c>
      <c r="FM189" s="19">
        <v>99.891050737328811</v>
      </c>
      <c r="FN189" s="93">
        <v>101.96207720017134</v>
      </c>
      <c r="FO189" s="93">
        <v>97.156429771028201</v>
      </c>
      <c r="FP189" s="93">
        <v>100.10714154387937</v>
      </c>
      <c r="FQ189" s="93">
        <v>103.58575871959633</v>
      </c>
      <c r="FR189" s="93">
        <v>98.206143467805106</v>
      </c>
      <c r="FS189" s="93">
        <v>99.748979535509392</v>
      </c>
      <c r="FT189" s="93">
        <v>95.99806726000952</v>
      </c>
      <c r="FU189" s="93">
        <v>87.050625720187611</v>
      </c>
      <c r="FV189" s="93">
        <v>98.919312071390806</v>
      </c>
      <c r="FW189" s="93">
        <v>101.99334149199741</v>
      </c>
      <c r="FX189" s="93">
        <v>103.36627981101998</v>
      </c>
      <c r="FY189" s="93">
        <v>101.61773201172142</v>
      </c>
      <c r="FZ189" s="29">
        <v>122</v>
      </c>
      <c r="GA189" s="1504">
        <v>40210</v>
      </c>
      <c r="GB189" s="733">
        <v>99.891050737328811</v>
      </c>
      <c r="GC189" s="570">
        <v>100.7815858029778</v>
      </c>
      <c r="GD189" s="570">
        <v>99.317367562689043</v>
      </c>
      <c r="GE189" s="570">
        <v>106.90525671007195</v>
      </c>
      <c r="GF189" s="570">
        <v>102.89067993770121</v>
      </c>
      <c r="GG189" s="570">
        <v>98.492014582349853</v>
      </c>
      <c r="GH189" s="93"/>
      <c r="GI189" s="93"/>
      <c r="GJ189" s="93"/>
      <c r="GK189" s="93"/>
      <c r="GL189" s="93"/>
      <c r="GM189" s="93"/>
      <c r="GN189" s="20"/>
      <c r="GO189" s="29">
        <v>122</v>
      </c>
      <c r="GP189" s="1504">
        <v>40210</v>
      </c>
      <c r="GQ189" s="19"/>
      <c r="GR189" s="93"/>
      <c r="GS189" s="93"/>
      <c r="GT189" s="93"/>
      <c r="GU189" s="93"/>
      <c r="GV189" s="20"/>
      <c r="GW189" s="19"/>
      <c r="GX189" s="93"/>
      <c r="GY189" s="93"/>
      <c r="GZ189" s="93"/>
      <c r="HA189" s="93"/>
      <c r="HB189" s="20"/>
      <c r="HC189" s="19"/>
      <c r="HD189" s="93"/>
      <c r="HE189" s="93"/>
      <c r="HF189" s="93"/>
      <c r="HG189" s="93"/>
      <c r="HH189" s="20"/>
      <c r="HI189" s="19"/>
      <c r="HJ189" s="93"/>
      <c r="HK189" s="93"/>
      <c r="HL189" s="93"/>
      <c r="HM189" s="93"/>
      <c r="HN189" s="20"/>
      <c r="HO189" s="219"/>
      <c r="HP189" s="20"/>
      <c r="HQ189" s="25"/>
      <c r="HR189" s="29">
        <v>122</v>
      </c>
      <c r="HS189" s="1504">
        <v>40210</v>
      </c>
      <c r="HT189" s="179">
        <v>176.74039649963379</v>
      </c>
      <c r="HU189" s="99">
        <v>196.1805591583252</v>
      </c>
      <c r="HV189" s="99">
        <v>151.78572082519531</v>
      </c>
      <c r="HW189" s="99">
        <v>127.42718887329102</v>
      </c>
      <c r="HX189" s="99">
        <v>166.66667175292969</v>
      </c>
      <c r="HY189" s="99">
        <v>165.65041351318359</v>
      </c>
      <c r="HZ189" s="99">
        <v>217.64705657958984</v>
      </c>
      <c r="IA189" s="132">
        <v>145.42483520507813</v>
      </c>
      <c r="IB189" s="179">
        <v>209.91562271118164</v>
      </c>
      <c r="IC189" s="99">
        <v>121.11399078369141</v>
      </c>
      <c r="ID189" s="99"/>
      <c r="IE189" s="99">
        <v>124.85361328125001</v>
      </c>
      <c r="IF189" s="99">
        <v>177.77777608235678</v>
      </c>
      <c r="IG189" s="132">
        <v>124.85088729858398</v>
      </c>
      <c r="IH189" s="179">
        <v>121.68301391601563</v>
      </c>
      <c r="II189" s="99">
        <v>184.4315185546875</v>
      </c>
      <c r="IJ189" s="99">
        <v>137.9310302734375</v>
      </c>
      <c r="IK189" s="99">
        <v>147.32143402099609</v>
      </c>
      <c r="IL189" s="99">
        <v>138.04200744628906</v>
      </c>
      <c r="IM189" s="99">
        <v>133.8709716796875</v>
      </c>
      <c r="IN189" s="93"/>
      <c r="IO189" s="132">
        <v>165.39192199707031</v>
      </c>
      <c r="IP189" s="29">
        <v>122</v>
      </c>
      <c r="IQ189" s="19"/>
      <c r="IR189" s="93"/>
      <c r="IS189" s="93"/>
      <c r="IT189" s="93"/>
      <c r="IU189" s="93"/>
      <c r="IV189" s="20"/>
      <c r="IW189" s="29">
        <v>122</v>
      </c>
      <c r="IX189" s="19"/>
      <c r="IY189" s="93"/>
      <c r="IZ189" s="93"/>
      <c r="JA189" s="93"/>
      <c r="JB189" s="93"/>
      <c r="JC189" s="93"/>
      <c r="JD189" s="93"/>
      <c r="JE189" s="20"/>
      <c r="JF189" s="29">
        <v>122</v>
      </c>
      <c r="JG189" s="19"/>
      <c r="JH189" s="93"/>
      <c r="JI189" s="93"/>
      <c r="JJ189" s="93"/>
      <c r="JK189" s="93"/>
      <c r="JL189" s="93"/>
      <c r="JM189" s="93"/>
      <c r="JN189" s="20"/>
      <c r="JO189" s="29">
        <v>122</v>
      </c>
      <c r="JP189" s="19"/>
      <c r="JQ189" s="93"/>
      <c r="JR189" s="93"/>
      <c r="JS189" s="93"/>
      <c r="JT189" s="93"/>
      <c r="JU189" s="20"/>
      <c r="JV189" s="29">
        <v>122</v>
      </c>
      <c r="JW189" s="1504">
        <v>40210</v>
      </c>
      <c r="JX189" s="19"/>
      <c r="JY189" s="93"/>
      <c r="JZ189" s="93"/>
      <c r="KA189" s="93"/>
      <c r="KB189" s="93"/>
      <c r="KC189" s="93"/>
      <c r="KD189" s="20"/>
      <c r="KE189" s="29">
        <v>122</v>
      </c>
      <c r="KF189" s="19"/>
      <c r="KG189" s="93"/>
      <c r="KH189" s="93"/>
      <c r="KI189" s="93"/>
      <c r="KJ189" s="93"/>
      <c r="KK189" s="20"/>
      <c r="KL189" s="29">
        <v>122</v>
      </c>
      <c r="KM189" s="19"/>
      <c r="KN189" s="93"/>
      <c r="KO189" s="93"/>
      <c r="KP189" s="93"/>
      <c r="KQ189" s="93"/>
      <c r="KR189" s="20"/>
      <c r="KS189" s="29">
        <v>122</v>
      </c>
      <c r="KT189" s="19"/>
      <c r="KU189" s="93"/>
      <c r="KV189" s="93"/>
      <c r="KW189" s="93"/>
      <c r="KX189" s="93"/>
      <c r="KY189" s="20"/>
      <c r="KZ189" s="29">
        <v>122</v>
      </c>
      <c r="LA189" s="1504">
        <v>40210</v>
      </c>
      <c r="LB189" s="19">
        <v>460</v>
      </c>
      <c r="LC189" s="93">
        <v>650</v>
      </c>
      <c r="LD189" s="93">
        <v>642</v>
      </c>
      <c r="LE189" s="93"/>
      <c r="LF189" s="93">
        <v>575</v>
      </c>
      <c r="LG189" s="93"/>
      <c r="LH189" s="20"/>
      <c r="LI189" s="29">
        <v>122</v>
      </c>
      <c r="LJ189" s="19"/>
      <c r="LK189" s="93"/>
      <c r="LL189" s="93"/>
      <c r="LM189" s="93"/>
      <c r="LN189" s="93"/>
      <c r="LO189" s="20"/>
      <c r="LP189" s="29">
        <v>122</v>
      </c>
      <c r="LQ189" s="19"/>
      <c r="LR189" s="93"/>
      <c r="LS189" s="93"/>
      <c r="LT189" s="93"/>
      <c r="LU189" s="93"/>
      <c r="LV189" s="93"/>
      <c r="LW189" s="93"/>
      <c r="LX189" s="93"/>
      <c r="LY189" s="93"/>
      <c r="LZ189" s="93"/>
      <c r="MA189" s="20"/>
      <c r="MB189" s="29">
        <v>122</v>
      </c>
      <c r="MC189" s="1504">
        <v>40210</v>
      </c>
      <c r="MD189" s="19">
        <v>43503.309461000012</v>
      </c>
      <c r="ME189" s="93">
        <v>42404.067095000013</v>
      </c>
      <c r="MF189" s="93">
        <v>42404.03104200001</v>
      </c>
      <c r="MG189" s="93">
        <v>39865.020062000003</v>
      </c>
      <c r="MH189" s="93">
        <v>8269.1566810000004</v>
      </c>
      <c r="MI189" s="93">
        <v>470.45910900000001</v>
      </c>
      <c r="MJ189" s="93">
        <v>323.84533199999998</v>
      </c>
      <c r="MK189" s="93">
        <v>23444.450648000005</v>
      </c>
      <c r="ML189" s="93">
        <v>6918.6214350000009</v>
      </c>
      <c r="MM189" s="93">
        <v>17217.531915000003</v>
      </c>
      <c r="MN189" s="93">
        <v>2539.0109800000005</v>
      </c>
      <c r="MO189" s="93">
        <v>135.742715</v>
      </c>
      <c r="MP189" s="93">
        <v>1367.0227810000001</v>
      </c>
      <c r="MQ189" s="93">
        <v>230.42712899999998</v>
      </c>
      <c r="MR189" s="93">
        <v>0</v>
      </c>
      <c r="MS189" s="93">
        <v>805.818355</v>
      </c>
      <c r="MT189" s="93">
        <v>3.6052999999999995E-2</v>
      </c>
      <c r="MU189" s="93">
        <v>1099.2423659999999</v>
      </c>
      <c r="MV189" s="93">
        <v>1099.2423659999999</v>
      </c>
      <c r="MW189" s="93">
        <v>0</v>
      </c>
      <c r="MX189" s="93">
        <v>66756.747392666686</v>
      </c>
      <c r="MY189" s="93">
        <v>66968.798993666685</v>
      </c>
      <c r="MZ189" s="93">
        <v>42634.011162666662</v>
      </c>
      <c r="NA189" s="93">
        <v>18587.053116333333</v>
      </c>
      <c r="NB189" s="93">
        <v>9395.9363843333304</v>
      </c>
      <c r="NC189" s="93">
        <v>87.618081000000004</v>
      </c>
      <c r="ND189" s="93">
        <v>9.4820640000000012</v>
      </c>
      <c r="NE189" s="93">
        <v>78.13601700000001</v>
      </c>
      <c r="NF189" s="93">
        <v>14563.403581</v>
      </c>
      <c r="NG189" s="93">
        <v>287.90526</v>
      </c>
      <c r="NH189" s="93">
        <v>4179.5880269999998</v>
      </c>
      <c r="NI189" s="93">
        <v>0</v>
      </c>
      <c r="NJ189" s="93">
        <v>2559.887056</v>
      </c>
      <c r="NK189" s="93">
        <v>19486.556406</v>
      </c>
      <c r="NL189" s="93">
        <v>9797.9368730000006</v>
      </c>
      <c r="NM189" s="93">
        <v>0</v>
      </c>
      <c r="NN189" s="93">
        <v>9688.6195329999991</v>
      </c>
      <c r="NO189" s="93">
        <v>-212.05160099999978</v>
      </c>
      <c r="NP189" s="93">
        <v>-23253.437931666671</v>
      </c>
      <c r="NQ189" s="93">
        <v>-24352.68029766667</v>
      </c>
      <c r="NR189" s="93">
        <v>-14576.442683666668</v>
      </c>
      <c r="NS189" s="93">
        <v>-14664.060764666669</v>
      </c>
      <c r="NT189" s="93">
        <v>-47096.427344666692</v>
      </c>
      <c r="NU189" s="93">
        <v>-48195.669710666683</v>
      </c>
      <c r="NV189" s="93">
        <v>46281.497977999999</v>
      </c>
      <c r="NW189" s="93">
        <v>8053.7163339999997</v>
      </c>
      <c r="NX189" s="93">
        <v>8589.3771669999987</v>
      </c>
      <c r="NY189" s="93">
        <v>-535.66083300000003</v>
      </c>
      <c r="NZ189" s="93">
        <v>0</v>
      </c>
      <c r="OA189" s="93">
        <v>38227.781644000002</v>
      </c>
      <c r="OB189" s="93">
        <v>38602.853417999999</v>
      </c>
      <c r="OC189" s="93">
        <v>-375.07177400000006</v>
      </c>
      <c r="OD189" s="20">
        <v>0</v>
      </c>
      <c r="OE189" s="29">
        <v>122</v>
      </c>
      <c r="OF189" s="1504">
        <v>40210</v>
      </c>
      <c r="OG189" s="19"/>
      <c r="OH189" s="93">
        <v>216.90979999999999</v>
      </c>
      <c r="OI189" s="93">
        <v>442.72448018270211</v>
      </c>
      <c r="OJ189" s="93">
        <v>0.38753992199999998</v>
      </c>
      <c r="OK189" s="93">
        <v>377.81654026070214</v>
      </c>
      <c r="OL189" s="93">
        <v>64.520399999999995</v>
      </c>
      <c r="OM189" s="93">
        <v>659.63428018270213</v>
      </c>
      <c r="ON189" s="93">
        <v>415.74430337143747</v>
      </c>
      <c r="OO189" s="93">
        <v>1075.3785835541396</v>
      </c>
      <c r="OP189" s="93"/>
      <c r="OQ189" s="93">
        <v>603.55103492951935</v>
      </c>
      <c r="OR189" s="93">
        <v>383.27289193699994</v>
      </c>
      <c r="OS189" s="93">
        <v>220.27814299251949</v>
      </c>
      <c r="OT189" s="93">
        <v>652.79672586861989</v>
      </c>
      <c r="OU189" s="93">
        <v>-124.093379289</v>
      </c>
      <c r="OV189" s="93">
        <v>-75.790379288999986</v>
      </c>
      <c r="OW189" s="93">
        <v>-48.303000000000011</v>
      </c>
      <c r="OX189" s="93">
        <v>776.89010515761993</v>
      </c>
      <c r="OY189" s="93">
        <v>3.5794045179999996</v>
      </c>
      <c r="OZ189" s="93">
        <v>773.31070063961988</v>
      </c>
      <c r="PA189" s="93">
        <v>165.205712366</v>
      </c>
      <c r="PB189" s="93">
        <v>15.763464878000036</v>
      </c>
      <c r="PC189" s="20">
        <v>1075.3785835541394</v>
      </c>
      <c r="PD189" s="29">
        <v>122</v>
      </c>
      <c r="PE189" s="19"/>
      <c r="PF189" s="93">
        <v>383.27289193699994</v>
      </c>
      <c r="PG189" s="93">
        <v>595.79830726199998</v>
      </c>
      <c r="PH189" s="93">
        <v>212.52541532500001</v>
      </c>
      <c r="PI189" s="93">
        <v>55.8</v>
      </c>
      <c r="PJ189" s="93">
        <v>-73.242479288999988</v>
      </c>
      <c r="PK189" s="93">
        <v>43.321586740000001</v>
      </c>
      <c r="PL189" s="93">
        <v>116.56406602899999</v>
      </c>
      <c r="PM189" s="93">
        <v>3.5794045179999996</v>
      </c>
      <c r="PN189" s="93">
        <v>0.96</v>
      </c>
      <c r="PO189" s="93">
        <v>0</v>
      </c>
      <c r="PP189" s="93">
        <v>6.50284E-4</v>
      </c>
      <c r="PQ189" s="93">
        <v>2.6187542339999998</v>
      </c>
      <c r="PR189" s="93">
        <v>363.15289245699995</v>
      </c>
      <c r="PS189" s="93">
        <v>244.04069999999999</v>
      </c>
      <c r="PT189" s="93">
        <v>118.724652535</v>
      </c>
      <c r="PU189" s="93">
        <v>0.38753992199999998</v>
      </c>
      <c r="PV189" s="93">
        <v>0</v>
      </c>
      <c r="PW189" s="93">
        <v>1.5696555590000001</v>
      </c>
      <c r="PX189" s="93">
        <v>0</v>
      </c>
      <c r="PY189" s="93">
        <v>0</v>
      </c>
      <c r="PZ189" s="93">
        <v>1.5696555590000001</v>
      </c>
      <c r="QA189" s="93">
        <v>0</v>
      </c>
      <c r="QB189" s="93">
        <v>0</v>
      </c>
      <c r="QC189" s="93">
        <v>0</v>
      </c>
      <c r="QD189" s="93">
        <v>0.52705680700000002</v>
      </c>
      <c r="QE189" s="20">
        <v>4.1602123430000004</v>
      </c>
      <c r="QF189" s="1739">
        <v>122</v>
      </c>
      <c r="QG189" s="19"/>
      <c r="QH189" s="1035">
        <v>220.27814299251949</v>
      </c>
      <c r="QI189" s="1035">
        <v>314.44929936037994</v>
      </c>
      <c r="QJ189" s="1035">
        <v>-94.171156367860448</v>
      </c>
      <c r="QK189" s="1035">
        <v>124.071</v>
      </c>
      <c r="QL189" s="1035">
        <v>24.582999999999998</v>
      </c>
      <c r="QM189" s="1035">
        <v>99.488</v>
      </c>
      <c r="QN189" s="1035">
        <v>0</v>
      </c>
      <c r="QO189" s="1035">
        <v>-48.303000000000011</v>
      </c>
      <c r="QP189" s="1035">
        <v>86.548999999999992</v>
      </c>
      <c r="QQ189" s="1035">
        <v>-134.852</v>
      </c>
      <c r="QR189" s="1035">
        <v>773.31070063961988</v>
      </c>
      <c r="QS189" s="1035">
        <v>12.40441089835368</v>
      </c>
      <c r="QT189" s="1035">
        <v>0</v>
      </c>
      <c r="QU189" s="1035">
        <v>73.753999999999991</v>
      </c>
      <c r="QV189" s="1035">
        <v>687.15228974126626</v>
      </c>
      <c r="QW189" s="93"/>
      <c r="QX189" s="93">
        <v>56.082000000000001</v>
      </c>
      <c r="QY189" s="93">
        <v>377.81654026070214</v>
      </c>
      <c r="QZ189" s="93">
        <v>415.74430337143747</v>
      </c>
      <c r="RA189" s="93">
        <v>0</v>
      </c>
      <c r="RB189" s="93">
        <v>28.417999999999999</v>
      </c>
      <c r="RC189" s="93">
        <v>3.9060000000000001</v>
      </c>
      <c r="RD189" s="93">
        <v>9.17</v>
      </c>
      <c r="RE189" s="93">
        <v>0</v>
      </c>
      <c r="RF189" s="93">
        <v>0</v>
      </c>
      <c r="RG189" s="93">
        <v>121.61500000000001</v>
      </c>
      <c r="RH189" s="93">
        <v>56.605000000000018</v>
      </c>
      <c r="RI189" s="93"/>
      <c r="RJ189" s="93"/>
      <c r="RK189" s="93"/>
      <c r="RL189" s="93"/>
      <c r="RM189" s="734"/>
      <c r="RN189" s="29">
        <v>122</v>
      </c>
      <c r="RO189" s="19"/>
      <c r="RP189" s="20"/>
      <c r="RQ189" s="29">
        <v>122</v>
      </c>
      <c r="RR189" s="734">
        <v>1.4217500000000001</v>
      </c>
      <c r="RS189" s="29">
        <v>122</v>
      </c>
      <c r="RT189" s="1504">
        <v>40210</v>
      </c>
      <c r="RU189" s="19"/>
      <c r="RV189" s="20"/>
      <c r="RW189" s="29">
        <v>122</v>
      </c>
      <c r="RX189" s="1504">
        <v>40210</v>
      </c>
      <c r="RY189" s="29"/>
      <c r="RZ189" s="734"/>
      <c r="SA189" s="29"/>
      <c r="SB189" s="29">
        <v>122</v>
      </c>
    </row>
    <row r="190" spans="1:496">
      <c r="A190" s="41">
        <f t="shared" si="191"/>
        <v>2010</v>
      </c>
      <c r="B190" s="1504">
        <v>40238</v>
      </c>
      <c r="C190" s="1813"/>
      <c r="D190" s="1814"/>
      <c r="E190" s="1814"/>
      <c r="F190" s="1815"/>
      <c r="G190" s="1814"/>
      <c r="H190" s="1814"/>
      <c r="I190" s="1814"/>
      <c r="J190" s="1816"/>
      <c r="K190" s="1807"/>
      <c r="L190" s="25">
        <v>123</v>
      </c>
      <c r="M190" s="97"/>
      <c r="N190" s="1504">
        <v>40238</v>
      </c>
      <c r="O190" s="19"/>
      <c r="P190" s="93"/>
      <c r="Q190" s="93"/>
      <c r="R190" s="93"/>
      <c r="S190" s="93"/>
      <c r="T190" s="93"/>
      <c r="U190" s="93"/>
      <c r="V190" s="93"/>
      <c r="W190" s="93"/>
      <c r="X190" s="93"/>
      <c r="Y190" s="93"/>
      <c r="Z190" s="93"/>
      <c r="AA190" s="93"/>
      <c r="AB190" s="20"/>
      <c r="AC190" s="25">
        <v>123</v>
      </c>
      <c r="AD190" s="97"/>
      <c r="AE190" s="1504">
        <v>40238</v>
      </c>
      <c r="AF190" s="19"/>
      <c r="AG190" s="93"/>
      <c r="AH190" s="93"/>
      <c r="AI190" s="93"/>
      <c r="AJ190" s="93"/>
      <c r="AK190" s="93"/>
      <c r="AL190" s="93"/>
      <c r="AM190" s="93"/>
      <c r="AN190" s="93"/>
      <c r="AO190" s="93"/>
      <c r="AP190" s="93"/>
      <c r="AQ190" s="93"/>
      <c r="AR190" s="93"/>
      <c r="AS190" s="20"/>
      <c r="AT190" s="25">
        <v>123</v>
      </c>
      <c r="AU190" s="97"/>
      <c r="AV190" s="1504">
        <v>40238</v>
      </c>
      <c r="AW190" s="19"/>
      <c r="AX190" s="93"/>
      <c r="AY190" s="93"/>
      <c r="AZ190" s="93"/>
      <c r="BA190" s="93"/>
      <c r="BB190" s="93"/>
      <c r="BC190" s="93"/>
      <c r="BD190" s="93"/>
      <c r="BE190" s="93"/>
      <c r="BF190" s="93"/>
      <c r="BG190" s="93"/>
      <c r="BH190" s="93"/>
      <c r="BI190" s="93"/>
      <c r="BJ190" s="20"/>
      <c r="BK190" s="25">
        <v>123</v>
      </c>
      <c r="BL190" s="97"/>
      <c r="BM190" s="1504">
        <v>40238</v>
      </c>
      <c r="BN190" s="19"/>
      <c r="BO190" s="93"/>
      <c r="BP190" s="93"/>
      <c r="BQ190" s="93"/>
      <c r="BR190" s="93"/>
      <c r="BS190" s="93"/>
      <c r="BT190" s="93"/>
      <c r="BU190" s="20"/>
      <c r="BV190" s="25">
        <v>123</v>
      </c>
      <c r="BW190" s="97"/>
      <c r="BX190" s="1504">
        <v>40238</v>
      </c>
      <c r="BY190" s="179">
        <v>483.44030900000001</v>
      </c>
      <c r="BZ190" s="99">
        <v>664.95699999999999</v>
      </c>
      <c r="CA190" s="93"/>
      <c r="CB190" s="93"/>
      <c r="CC190" s="99">
        <v>340.08738548273431</v>
      </c>
      <c r="CD190" s="25">
        <v>123</v>
      </c>
      <c r="CE190" s="97"/>
      <c r="CF190" s="1504">
        <v>40238</v>
      </c>
      <c r="CG190" s="179">
        <v>1.89156396</v>
      </c>
      <c r="CH190" s="99">
        <v>1113.337</v>
      </c>
      <c r="CI190" s="219"/>
      <c r="CJ190" s="20"/>
      <c r="CK190" s="19"/>
      <c r="CL190" s="93"/>
      <c r="CM190" s="93"/>
      <c r="CN190" s="93"/>
      <c r="CO190" s="93"/>
      <c r="CP190" s="20"/>
      <c r="CQ190" s="219">
        <v>1317.02</v>
      </c>
      <c r="CR190" s="93">
        <v>2.8</v>
      </c>
      <c r="CS190" s="93"/>
      <c r="CT190" s="93"/>
      <c r="CU190" s="93"/>
      <c r="CV190" s="214"/>
      <c r="CW190" s="29">
        <v>123</v>
      </c>
      <c r="CX190" s="41">
        <f t="shared" si="192"/>
        <v>2010</v>
      </c>
      <c r="CY190" s="1504">
        <v>40238</v>
      </c>
      <c r="CZ190" s="1916">
        <v>64.616109899999998</v>
      </c>
      <c r="DA190" s="1526">
        <v>38.706402899999993</v>
      </c>
      <c r="DB190" s="1526">
        <v>25.909707000000001</v>
      </c>
      <c r="DC190" s="182">
        <f t="shared" si="205"/>
        <v>362165</v>
      </c>
      <c r="DD190" s="182">
        <f t="shared" si="206"/>
        <v>361092</v>
      </c>
      <c r="DE190" s="182">
        <f t="shared" si="207"/>
        <v>1073</v>
      </c>
      <c r="DF190" s="29">
        <v>123</v>
      </c>
      <c r="DG190" s="1504">
        <v>40238</v>
      </c>
      <c r="DH190" s="19"/>
      <c r="DI190" s="93"/>
      <c r="DJ190" s="93"/>
      <c r="DK190" s="93"/>
      <c r="DL190" s="93"/>
      <c r="DM190" s="93"/>
      <c r="DN190" s="20"/>
      <c r="DO190" s="25"/>
      <c r="DP190" s="29">
        <v>123</v>
      </c>
      <c r="DQ190" s="1504">
        <v>40238</v>
      </c>
      <c r="DR190" s="19"/>
      <c r="DS190" s="93"/>
      <c r="DT190" s="93"/>
      <c r="DU190" s="93"/>
      <c r="DV190" s="93"/>
      <c r="DW190" s="93"/>
      <c r="DX190" s="20"/>
      <c r="DY190" s="29">
        <v>123</v>
      </c>
      <c r="DZ190" s="1504">
        <v>40238</v>
      </c>
      <c r="EA190" s="19"/>
      <c r="EB190" s="93"/>
      <c r="EC190" s="20"/>
      <c r="ED190" s="29">
        <v>123</v>
      </c>
      <c r="EE190" s="1504">
        <v>40238</v>
      </c>
      <c r="EF190" s="19"/>
      <c r="EG190" s="93"/>
      <c r="EH190" s="93"/>
      <c r="EI190" s="214"/>
      <c r="EJ190" s="93"/>
      <c r="EK190" s="93"/>
      <c r="EL190" s="93"/>
      <c r="EM190" s="93"/>
      <c r="EN190" s="20"/>
      <c r="EO190" s="29">
        <v>123</v>
      </c>
      <c r="EP190" s="1504">
        <v>40238</v>
      </c>
      <c r="EQ190" s="19"/>
      <c r="ER190" s="93"/>
      <c r="ES190" s="93"/>
      <c r="ET190" s="214"/>
      <c r="EU190" s="93"/>
      <c r="EV190" s="93"/>
      <c r="EW190" s="93"/>
      <c r="EX190" s="93"/>
      <c r="EY190" s="20"/>
      <c r="EZ190" s="29">
        <v>123</v>
      </c>
      <c r="FA190" s="1504">
        <v>40238</v>
      </c>
      <c r="FB190" s="29"/>
      <c r="FC190" s="29"/>
      <c r="FD190" s="29"/>
      <c r="FE190" s="29"/>
      <c r="FF190" s="29"/>
      <c r="FG190" s="29"/>
      <c r="FH190" s="29"/>
      <c r="FI190" s="29"/>
      <c r="FJ190" s="29"/>
      <c r="FK190" s="29">
        <v>123</v>
      </c>
      <c r="FL190" s="1504">
        <v>40238</v>
      </c>
      <c r="FM190" s="19">
        <v>99.31769448510299</v>
      </c>
      <c r="FN190" s="93">
        <v>101.52604830380646</v>
      </c>
      <c r="FO190" s="93">
        <v>96.986001172862373</v>
      </c>
      <c r="FP190" s="93">
        <v>100.11589727997998</v>
      </c>
      <c r="FQ190" s="93">
        <v>102.05160065859052</v>
      </c>
      <c r="FR190" s="93">
        <v>98.206143467805106</v>
      </c>
      <c r="FS190" s="93">
        <v>99.749623701443369</v>
      </c>
      <c r="FT190" s="93">
        <v>95.99806726000952</v>
      </c>
      <c r="FU190" s="93">
        <v>84.615715807284033</v>
      </c>
      <c r="FV190" s="93">
        <v>98.884692780493594</v>
      </c>
      <c r="FW190" s="93">
        <v>101.99334149199741</v>
      </c>
      <c r="FX190" s="93">
        <v>102.39730411298426</v>
      </c>
      <c r="FY190" s="93">
        <v>101.6177854861449</v>
      </c>
      <c r="FZ190" s="29">
        <v>123</v>
      </c>
      <c r="GA190" s="1504">
        <v>40238</v>
      </c>
      <c r="GB190" s="733">
        <v>99.31769448510299</v>
      </c>
      <c r="GC190" s="570">
        <v>99.651230678235876</v>
      </c>
      <c r="GD190" s="570">
        <v>99.103100652951852</v>
      </c>
      <c r="GE190" s="570">
        <v>103.71926239840826</v>
      </c>
      <c r="GF190" s="570">
        <v>101.55820874263911</v>
      </c>
      <c r="GG190" s="570">
        <v>98.326148978791068</v>
      </c>
      <c r="GH190" s="93"/>
      <c r="GI190" s="93"/>
      <c r="GJ190" s="93"/>
      <c r="GK190" s="93"/>
      <c r="GL190" s="93"/>
      <c r="GM190" s="93"/>
      <c r="GN190" s="20"/>
      <c r="GO190" s="29">
        <v>123</v>
      </c>
      <c r="GP190" s="1504">
        <v>40238</v>
      </c>
      <c r="GQ190" s="19"/>
      <c r="GR190" s="93"/>
      <c r="GS190" s="93"/>
      <c r="GT190" s="93"/>
      <c r="GU190" s="93"/>
      <c r="GV190" s="20"/>
      <c r="GW190" s="19"/>
      <c r="GX190" s="93"/>
      <c r="GY190" s="93"/>
      <c r="GZ190" s="93"/>
      <c r="HA190" s="93"/>
      <c r="HB190" s="20"/>
      <c r="HC190" s="19"/>
      <c r="HD190" s="93"/>
      <c r="HE190" s="93"/>
      <c r="HF190" s="93"/>
      <c r="HG190" s="93"/>
      <c r="HH190" s="20"/>
      <c r="HI190" s="19"/>
      <c r="HJ190" s="93"/>
      <c r="HK190" s="93"/>
      <c r="HL190" s="93"/>
      <c r="HM190" s="93"/>
      <c r="HN190" s="20"/>
      <c r="HO190" s="219"/>
      <c r="HP190" s="20"/>
      <c r="HQ190" s="25"/>
      <c r="HR190" s="29">
        <v>123</v>
      </c>
      <c r="HS190" s="1504">
        <v>40238</v>
      </c>
      <c r="HT190" s="179">
        <v>173.5939998626709</v>
      </c>
      <c r="HU190" s="99">
        <v>197.91667175292969</v>
      </c>
      <c r="HV190" s="99">
        <v>141.66667175292969</v>
      </c>
      <c r="HW190" s="99">
        <v>121.35923004150391</v>
      </c>
      <c r="HX190" s="99">
        <v>164.0000030517578</v>
      </c>
      <c r="HY190" s="99">
        <v>165.65041351318359</v>
      </c>
      <c r="HZ190" s="99">
        <v>223.62509918212891</v>
      </c>
      <c r="IA190" s="132">
        <v>152.71564941406251</v>
      </c>
      <c r="IB190" s="179">
        <v>233.17073974609374</v>
      </c>
      <c r="IC190" s="99">
        <v>123.03665161132813</v>
      </c>
      <c r="ID190" s="99"/>
      <c r="IE190" s="99">
        <v>132.01319885253906</v>
      </c>
      <c r="IF190" s="99">
        <v>178.72239074707031</v>
      </c>
      <c r="IG190" s="132">
        <v>127.39593811035157</v>
      </c>
      <c r="IH190" s="179">
        <v>112.75490188598633</v>
      </c>
      <c r="II190" s="99">
        <v>184.4315185546875</v>
      </c>
      <c r="IJ190" s="99">
        <v>137.9310302734375</v>
      </c>
      <c r="IK190" s="99">
        <v>145.71429138183595</v>
      </c>
      <c r="IL190" s="99">
        <v>135.26846408843994</v>
      </c>
      <c r="IM190" s="99">
        <v>133.8709716796875</v>
      </c>
      <c r="IN190" s="93"/>
      <c r="IO190" s="132">
        <v>161.56698989868164</v>
      </c>
      <c r="IP190" s="29">
        <v>123</v>
      </c>
      <c r="IQ190" s="19"/>
      <c r="IR190" s="93"/>
      <c r="IS190" s="93"/>
      <c r="IT190" s="93"/>
      <c r="IU190" s="93"/>
      <c r="IV190" s="20"/>
      <c r="IW190" s="29">
        <v>123</v>
      </c>
      <c r="IX190" s="19"/>
      <c r="IY190" s="93"/>
      <c r="IZ190" s="93"/>
      <c r="JA190" s="93"/>
      <c r="JB190" s="93"/>
      <c r="JC190" s="93"/>
      <c r="JD190" s="93"/>
      <c r="JE190" s="20"/>
      <c r="JF190" s="29">
        <v>123</v>
      </c>
      <c r="JG190" s="19"/>
      <c r="JH190" s="93"/>
      <c r="JI190" s="93"/>
      <c r="JJ190" s="93"/>
      <c r="JK190" s="93"/>
      <c r="JL190" s="93"/>
      <c r="JM190" s="93"/>
      <c r="JN190" s="20"/>
      <c r="JO190" s="29">
        <v>123</v>
      </c>
      <c r="JP190" s="19"/>
      <c r="JQ190" s="93"/>
      <c r="JR190" s="93"/>
      <c r="JS190" s="93"/>
      <c r="JT190" s="93"/>
      <c r="JU190" s="20"/>
      <c r="JV190" s="29">
        <v>123</v>
      </c>
      <c r="JW190" s="1504">
        <v>40238</v>
      </c>
      <c r="JX190" s="19"/>
      <c r="JY190" s="93"/>
      <c r="JZ190" s="93"/>
      <c r="KA190" s="93"/>
      <c r="KB190" s="93"/>
      <c r="KC190" s="93"/>
      <c r="KD190" s="20"/>
      <c r="KE190" s="29">
        <v>123</v>
      </c>
      <c r="KF190" s="19"/>
      <c r="KG190" s="93"/>
      <c r="KH190" s="93"/>
      <c r="KI190" s="93"/>
      <c r="KJ190" s="93"/>
      <c r="KK190" s="20"/>
      <c r="KL190" s="29">
        <v>123</v>
      </c>
      <c r="KM190" s="19"/>
      <c r="KN190" s="93"/>
      <c r="KO190" s="93"/>
      <c r="KP190" s="93"/>
      <c r="KQ190" s="93"/>
      <c r="KR190" s="20"/>
      <c r="KS190" s="29">
        <v>123</v>
      </c>
      <c r="KT190" s="19"/>
      <c r="KU190" s="93"/>
      <c r="KV190" s="93"/>
      <c r="KW190" s="93"/>
      <c r="KX190" s="93"/>
      <c r="KY190" s="20"/>
      <c r="KZ190" s="29">
        <v>123</v>
      </c>
      <c r="LA190" s="1504">
        <v>40238</v>
      </c>
      <c r="LB190" s="19">
        <v>460</v>
      </c>
      <c r="LC190" s="93">
        <v>650</v>
      </c>
      <c r="LD190" s="93">
        <v>642</v>
      </c>
      <c r="LE190" s="93"/>
      <c r="LF190" s="93">
        <v>575</v>
      </c>
      <c r="LG190" s="93"/>
      <c r="LH190" s="20"/>
      <c r="LI190" s="29">
        <v>123</v>
      </c>
      <c r="LJ190" s="19"/>
      <c r="LK190" s="93"/>
      <c r="LL190" s="93"/>
      <c r="LM190" s="93"/>
      <c r="LN190" s="93"/>
      <c r="LO190" s="20"/>
      <c r="LP190" s="29">
        <v>123</v>
      </c>
      <c r="LQ190" s="19"/>
      <c r="LR190" s="93"/>
      <c r="LS190" s="93"/>
      <c r="LT190" s="93"/>
      <c r="LU190" s="93"/>
      <c r="LV190" s="93"/>
      <c r="LW190" s="93"/>
      <c r="LX190" s="93"/>
      <c r="LY190" s="93"/>
      <c r="LZ190" s="93"/>
      <c r="MA190" s="20"/>
      <c r="MB190" s="29">
        <v>123</v>
      </c>
      <c r="MC190" s="1504">
        <v>40238</v>
      </c>
      <c r="MD190" s="19">
        <v>62928.038865000002</v>
      </c>
      <c r="ME190" s="93">
        <v>47534.090829000001</v>
      </c>
      <c r="MF190" s="93">
        <v>47534.090829000001</v>
      </c>
      <c r="MG190" s="93">
        <v>43574.114952000004</v>
      </c>
      <c r="MH190" s="93">
        <v>7698.0764969999982</v>
      </c>
      <c r="MI190" s="93">
        <v>507.95001999999999</v>
      </c>
      <c r="MJ190" s="93">
        <v>277.62191200000001</v>
      </c>
      <c r="MK190" s="93">
        <v>25606.913621000003</v>
      </c>
      <c r="ML190" s="93">
        <v>8992.2556820000009</v>
      </c>
      <c r="MM190" s="93">
        <v>19230.658030000002</v>
      </c>
      <c r="MN190" s="93">
        <v>3959.9758769999999</v>
      </c>
      <c r="MO190" s="93">
        <v>306.26904400000001</v>
      </c>
      <c r="MP190" s="93">
        <v>2070.4217679999997</v>
      </c>
      <c r="MQ190" s="93">
        <v>236.74351700000003</v>
      </c>
      <c r="MR190" s="93">
        <v>0</v>
      </c>
      <c r="MS190" s="93">
        <v>1346.5415479999999</v>
      </c>
      <c r="MT190" s="93">
        <v>0</v>
      </c>
      <c r="MU190" s="93">
        <v>15393.948035999998</v>
      </c>
      <c r="MV190" s="93">
        <v>11803.235177999999</v>
      </c>
      <c r="MW190" s="93">
        <v>3590.7128579999999</v>
      </c>
      <c r="MX190" s="93">
        <v>114735.26941940821</v>
      </c>
      <c r="MY190" s="93">
        <v>114212.96488440823</v>
      </c>
      <c r="MZ190" s="93">
        <v>51444.788855741594</v>
      </c>
      <c r="NA190" s="93">
        <v>18045.828409333335</v>
      </c>
      <c r="NB190" s="93">
        <v>6327.4051743333375</v>
      </c>
      <c r="NC190" s="93">
        <v>1451.3235464749221</v>
      </c>
      <c r="ND190" s="93">
        <v>734.3993054749219</v>
      </c>
      <c r="NE190" s="93">
        <v>716.92424100000005</v>
      </c>
      <c r="NF190" s="93">
        <v>25620.231725599995</v>
      </c>
      <c r="NG190" s="93">
        <v>7083.2460576000003</v>
      </c>
      <c r="NH190" s="93">
        <v>4778.8697549999997</v>
      </c>
      <c r="NI190" s="93">
        <v>0</v>
      </c>
      <c r="NJ190" s="93">
        <v>205.49955300000002</v>
      </c>
      <c r="NK190" s="93">
        <v>40126.983928000001</v>
      </c>
      <c r="NL190" s="93">
        <v>16689.435672000003</v>
      </c>
      <c r="NM190" s="93">
        <v>12.25</v>
      </c>
      <c r="NN190" s="93">
        <v>23425.298255999998</v>
      </c>
      <c r="NO190" s="93">
        <v>522.30453500000033</v>
      </c>
      <c r="NP190" s="93">
        <v>-51807.230554408212</v>
      </c>
      <c r="NQ190" s="93">
        <v>-67201.178590408206</v>
      </c>
      <c r="NR190" s="93">
        <v>-42324.556787933296</v>
      </c>
      <c r="NS190" s="93">
        <v>-43775.880334408219</v>
      </c>
      <c r="NT190" s="93">
        <v>-33849.688280074901</v>
      </c>
      <c r="NU190" s="93">
        <v>-49243.636316074895</v>
      </c>
      <c r="NV190" s="93">
        <v>29514.933285525076</v>
      </c>
      <c r="NW190" s="93">
        <v>10677.441398999999</v>
      </c>
      <c r="NX190" s="93">
        <v>11622.063077999999</v>
      </c>
      <c r="NY190" s="93">
        <v>-944.62167899999997</v>
      </c>
      <c r="NZ190" s="93">
        <v>0</v>
      </c>
      <c r="OA190" s="93">
        <v>18837.491886525077</v>
      </c>
      <c r="OB190" s="93">
        <v>12991.473229496065</v>
      </c>
      <c r="OC190" s="93">
        <v>5846.0186570290116</v>
      </c>
      <c r="OD190" s="20">
        <v>0</v>
      </c>
      <c r="OE190" s="29">
        <v>123</v>
      </c>
      <c r="OF190" s="1504">
        <v>40238</v>
      </c>
      <c r="OG190" s="19"/>
      <c r="OH190" s="93">
        <v>227.83680000000001</v>
      </c>
      <c r="OI190" s="93">
        <v>474.87313019023645</v>
      </c>
      <c r="OJ190" s="93">
        <v>0.47125742999999998</v>
      </c>
      <c r="OK190" s="93">
        <v>409.88147276023648</v>
      </c>
      <c r="OL190" s="93">
        <v>64.520399999999995</v>
      </c>
      <c r="OM190" s="93">
        <v>702.70993019023649</v>
      </c>
      <c r="ON190" s="93">
        <v>448.19520072824798</v>
      </c>
      <c r="OO190" s="93">
        <v>1150.9051309184845</v>
      </c>
      <c r="OP190" s="93"/>
      <c r="OQ190" s="93">
        <v>630.36913885029276</v>
      </c>
      <c r="OR190" s="93">
        <v>392.477439602</v>
      </c>
      <c r="OS190" s="93">
        <v>237.89169924829275</v>
      </c>
      <c r="OT190" s="93">
        <v>687.94287515219162</v>
      </c>
      <c r="OU190" s="93">
        <v>-100.03664333399999</v>
      </c>
      <c r="OV190" s="93">
        <v>-65.187643334000001</v>
      </c>
      <c r="OW190" s="93">
        <v>-34.84899999999999</v>
      </c>
      <c r="OX190" s="93">
        <v>787.97951848619164</v>
      </c>
      <c r="OY190" s="93">
        <v>3.6315442460000003</v>
      </c>
      <c r="OZ190" s="93">
        <v>784.34797424019166</v>
      </c>
      <c r="PA190" s="93">
        <v>165.56334542499999</v>
      </c>
      <c r="PB190" s="93">
        <v>1.8435376590000061</v>
      </c>
      <c r="PC190" s="20">
        <v>1150.9051309184842</v>
      </c>
      <c r="PD190" s="29">
        <v>123</v>
      </c>
      <c r="PE190" s="19"/>
      <c r="PF190" s="93">
        <v>392.477439602</v>
      </c>
      <c r="PG190" s="93">
        <v>601.08877291800002</v>
      </c>
      <c r="PH190" s="93">
        <v>208.61133331600001</v>
      </c>
      <c r="PI190" s="93">
        <v>56.5</v>
      </c>
      <c r="PJ190" s="93">
        <v>-62.346543334000003</v>
      </c>
      <c r="PK190" s="93">
        <v>43.337395333000003</v>
      </c>
      <c r="PL190" s="93">
        <v>105.68393866700001</v>
      </c>
      <c r="PM190" s="93">
        <v>3.6315442460000003</v>
      </c>
      <c r="PN190" s="93">
        <v>0.96</v>
      </c>
      <c r="PO190" s="93">
        <v>0</v>
      </c>
      <c r="PP190" s="93">
        <v>5.6532999999999996E-4</v>
      </c>
      <c r="PQ190" s="93">
        <v>2.6709789160000001</v>
      </c>
      <c r="PR190" s="93">
        <v>390.94976018200003</v>
      </c>
      <c r="PS190" s="93">
        <v>258.83390000000003</v>
      </c>
      <c r="PT190" s="93">
        <v>131.644602752</v>
      </c>
      <c r="PU190" s="93">
        <v>0.47125742999999998</v>
      </c>
      <c r="PV190" s="93">
        <v>0</v>
      </c>
      <c r="PW190" s="93">
        <v>0.65678602600000002</v>
      </c>
      <c r="PX190" s="93">
        <v>0</v>
      </c>
      <c r="PY190" s="93">
        <v>0</v>
      </c>
      <c r="PZ190" s="93">
        <v>0.65678602600000002</v>
      </c>
      <c r="QA190" s="93">
        <v>0</v>
      </c>
      <c r="QB190" s="93">
        <v>0</v>
      </c>
      <c r="QC190" s="93">
        <v>0</v>
      </c>
      <c r="QD190" s="93">
        <v>0.52555939900000004</v>
      </c>
      <c r="QE190" s="20">
        <v>-1.8696650930000005</v>
      </c>
      <c r="QF190" s="1739">
        <v>123</v>
      </c>
      <c r="QG190" s="19"/>
      <c r="QH190" s="1035">
        <v>237.89169924829275</v>
      </c>
      <c r="QI190" s="1035">
        <v>336.23502575980825</v>
      </c>
      <c r="QJ190" s="1035">
        <v>-98.3433265115155</v>
      </c>
      <c r="QK190" s="1035">
        <v>154.011</v>
      </c>
      <c r="QL190" s="1035">
        <v>28.155999999999999</v>
      </c>
      <c r="QM190" s="1035">
        <v>125.855</v>
      </c>
      <c r="QN190" s="1035">
        <v>0</v>
      </c>
      <c r="QO190" s="1035">
        <v>-34.84899999999999</v>
      </c>
      <c r="QP190" s="1035">
        <v>85.994</v>
      </c>
      <c r="QQ190" s="1035">
        <v>-120.84299999999999</v>
      </c>
      <c r="QR190" s="1035">
        <v>784.34797424019166</v>
      </c>
      <c r="QS190" s="1035">
        <v>11.638202207720223</v>
      </c>
      <c r="QT190" s="1035">
        <v>0</v>
      </c>
      <c r="QU190" s="1035">
        <v>76.47</v>
      </c>
      <c r="QV190" s="1035">
        <v>696.23977203247148</v>
      </c>
      <c r="QW190" s="93"/>
      <c r="QX190" s="93">
        <v>56.896000000000001</v>
      </c>
      <c r="QY190" s="93">
        <v>409.88147276023653</v>
      </c>
      <c r="QZ190" s="93">
        <v>448.19520072824798</v>
      </c>
      <c r="RA190" s="93">
        <v>0</v>
      </c>
      <c r="RB190" s="93">
        <v>31.106000000000002</v>
      </c>
      <c r="RC190" s="93">
        <v>3.9060000000000001</v>
      </c>
      <c r="RD190" s="93">
        <v>15.785</v>
      </c>
      <c r="RE190" s="93">
        <v>0</v>
      </c>
      <c r="RF190" s="93">
        <v>0</v>
      </c>
      <c r="RG190" s="93">
        <v>113.584</v>
      </c>
      <c r="RH190" s="93">
        <v>62.048000000000002</v>
      </c>
      <c r="RI190" s="93"/>
      <c r="RJ190" s="93"/>
      <c r="RK190" s="93"/>
      <c r="RL190" s="93"/>
      <c r="RM190" s="734"/>
      <c r="RN190" s="29">
        <v>123</v>
      </c>
      <c r="RO190" s="19"/>
      <c r="RP190" s="20"/>
      <c r="RQ190" s="29">
        <v>123</v>
      </c>
      <c r="RR190" s="734">
        <v>1.4285669999999999</v>
      </c>
      <c r="RS190" s="29">
        <v>123</v>
      </c>
      <c r="RT190" s="1504">
        <v>40238</v>
      </c>
      <c r="RU190" s="19"/>
      <c r="RV190" s="20"/>
      <c r="RW190" s="29">
        <v>123</v>
      </c>
      <c r="RX190" s="1504">
        <v>40238</v>
      </c>
      <c r="RY190" s="29"/>
      <c r="RZ190" s="734"/>
      <c r="SA190" s="29"/>
      <c r="SB190" s="29">
        <v>123</v>
      </c>
    </row>
    <row r="191" spans="1:496">
      <c r="A191" s="41">
        <f t="shared" si="191"/>
        <v>2010</v>
      </c>
      <c r="B191" s="1504">
        <v>40269</v>
      </c>
      <c r="C191" s="1813"/>
      <c r="D191" s="1814"/>
      <c r="E191" s="1814"/>
      <c r="F191" s="1815"/>
      <c r="G191" s="1814"/>
      <c r="H191" s="1814"/>
      <c r="I191" s="1814"/>
      <c r="J191" s="1816"/>
      <c r="K191" s="1807"/>
      <c r="L191" s="25">
        <v>124</v>
      </c>
      <c r="M191" s="97"/>
      <c r="N191" s="1504">
        <v>40269</v>
      </c>
      <c r="O191" s="19"/>
      <c r="P191" s="93"/>
      <c r="Q191" s="93"/>
      <c r="R191" s="93"/>
      <c r="S191" s="93"/>
      <c r="T191" s="93"/>
      <c r="U191" s="93"/>
      <c r="V191" s="93"/>
      <c r="W191" s="93"/>
      <c r="X191" s="93"/>
      <c r="Y191" s="93"/>
      <c r="Z191" s="93"/>
      <c r="AA191" s="93"/>
      <c r="AB191" s="20"/>
      <c r="AC191" s="25">
        <v>124</v>
      </c>
      <c r="AD191" s="97"/>
      <c r="AE191" s="1504">
        <v>40269</v>
      </c>
      <c r="AF191" s="19"/>
      <c r="AG191" s="93"/>
      <c r="AH191" s="93"/>
      <c r="AI191" s="93"/>
      <c r="AJ191" s="93"/>
      <c r="AK191" s="93"/>
      <c r="AL191" s="93"/>
      <c r="AM191" s="93"/>
      <c r="AN191" s="93"/>
      <c r="AO191" s="93"/>
      <c r="AP191" s="93"/>
      <c r="AQ191" s="93"/>
      <c r="AR191" s="93"/>
      <c r="AS191" s="20"/>
      <c r="AT191" s="25">
        <v>124</v>
      </c>
      <c r="AU191" s="97"/>
      <c r="AV191" s="1504">
        <v>40269</v>
      </c>
      <c r="AW191" s="19"/>
      <c r="AX191" s="93"/>
      <c r="AY191" s="93"/>
      <c r="AZ191" s="93"/>
      <c r="BA191" s="93"/>
      <c r="BB191" s="93"/>
      <c r="BC191" s="93"/>
      <c r="BD191" s="93"/>
      <c r="BE191" s="93"/>
      <c r="BF191" s="93"/>
      <c r="BG191" s="93"/>
      <c r="BH191" s="93"/>
      <c r="BI191" s="93"/>
      <c r="BJ191" s="20"/>
      <c r="BK191" s="25">
        <v>124</v>
      </c>
      <c r="BL191" s="97"/>
      <c r="BM191" s="1504">
        <v>40269</v>
      </c>
      <c r="BN191" s="19"/>
      <c r="BO191" s="93"/>
      <c r="BP191" s="93"/>
      <c r="BQ191" s="93"/>
      <c r="BR191" s="93"/>
      <c r="BS191" s="93"/>
      <c r="BT191" s="93"/>
      <c r="BU191" s="20"/>
      <c r="BV191" s="25">
        <v>124</v>
      </c>
      <c r="BW191" s="97"/>
      <c r="BX191" s="1504">
        <v>40269</v>
      </c>
      <c r="BY191" s="179">
        <v>489.31112415000001</v>
      </c>
      <c r="BZ191" s="99">
        <v>664.95699999999999</v>
      </c>
      <c r="CA191" s="93"/>
      <c r="CB191" s="93"/>
      <c r="CC191" s="99">
        <v>345.19015028575461</v>
      </c>
      <c r="CD191" s="25">
        <v>124</v>
      </c>
      <c r="CE191" s="97"/>
      <c r="CF191" s="1504">
        <v>40269</v>
      </c>
      <c r="CG191" s="179">
        <v>1.9418292960000001</v>
      </c>
      <c r="CH191" s="99">
        <v>1148.6880000000001</v>
      </c>
      <c r="CI191" s="219"/>
      <c r="CJ191" s="20"/>
      <c r="CK191" s="19"/>
      <c r="CL191" s="93"/>
      <c r="CM191" s="93"/>
      <c r="CN191" s="93"/>
      <c r="CO191" s="93"/>
      <c r="CP191" s="20"/>
      <c r="CQ191" s="219">
        <v>1361.62</v>
      </c>
      <c r="CR191" s="93">
        <v>2.6033333333333299</v>
      </c>
      <c r="CS191" s="93"/>
      <c r="CT191" s="93"/>
      <c r="CU191" s="93"/>
      <c r="CV191" s="214"/>
      <c r="CW191" s="29">
        <v>124</v>
      </c>
      <c r="CX191" s="41">
        <f t="shared" si="192"/>
        <v>2010</v>
      </c>
      <c r="CY191" s="1504">
        <v>40269</v>
      </c>
      <c r="CZ191" s="1916">
        <v>72.801357727217749</v>
      </c>
      <c r="DA191" s="1526">
        <v>43.202776727217746</v>
      </c>
      <c r="DB191" s="1526">
        <v>29.598580999999999</v>
      </c>
      <c r="DC191" s="182">
        <f t="shared" si="205"/>
        <v>362165</v>
      </c>
      <c r="DD191" s="182">
        <f t="shared" si="206"/>
        <v>361092</v>
      </c>
      <c r="DE191" s="182">
        <f t="shared" si="207"/>
        <v>1073</v>
      </c>
      <c r="DF191" s="29">
        <v>124</v>
      </c>
      <c r="DG191" s="1504">
        <v>40269</v>
      </c>
      <c r="DH191" s="19"/>
      <c r="DI191" s="93"/>
      <c r="DJ191" s="93"/>
      <c r="DK191" s="93"/>
      <c r="DL191" s="93"/>
      <c r="DM191" s="93"/>
      <c r="DN191" s="20"/>
      <c r="DO191" s="25"/>
      <c r="DP191" s="29">
        <v>124</v>
      </c>
      <c r="DQ191" s="1504">
        <v>40269</v>
      </c>
      <c r="DR191" s="19"/>
      <c r="DS191" s="93"/>
      <c r="DT191" s="93"/>
      <c r="DU191" s="93"/>
      <c r="DV191" s="93"/>
      <c r="DW191" s="93"/>
      <c r="DX191" s="20"/>
      <c r="DY191" s="29">
        <v>124</v>
      </c>
      <c r="DZ191" s="1504">
        <v>40269</v>
      </c>
      <c r="EA191" s="19"/>
      <c r="EB191" s="93"/>
      <c r="EC191" s="20"/>
      <c r="ED191" s="29">
        <v>124</v>
      </c>
      <c r="EE191" s="1504">
        <v>40269</v>
      </c>
      <c r="EF191" s="19"/>
      <c r="EG191" s="93"/>
      <c r="EH191" s="93"/>
      <c r="EI191" s="214"/>
      <c r="EJ191" s="93"/>
      <c r="EK191" s="93"/>
      <c r="EL191" s="93"/>
      <c r="EM191" s="93"/>
      <c r="EN191" s="20"/>
      <c r="EO191" s="29">
        <v>124</v>
      </c>
      <c r="EP191" s="1504">
        <v>40269</v>
      </c>
      <c r="EQ191" s="19"/>
      <c r="ER191" s="93"/>
      <c r="ES191" s="93"/>
      <c r="ET191" s="214"/>
      <c r="EU191" s="93"/>
      <c r="EV191" s="93"/>
      <c r="EW191" s="93"/>
      <c r="EX191" s="93"/>
      <c r="EY191" s="20"/>
      <c r="EZ191" s="29">
        <v>124</v>
      </c>
      <c r="FA191" s="1504">
        <v>40269</v>
      </c>
      <c r="FB191" s="29"/>
      <c r="FC191" s="29"/>
      <c r="FD191" s="29"/>
      <c r="FE191" s="29"/>
      <c r="FF191" s="29"/>
      <c r="FG191" s="29"/>
      <c r="FH191" s="29"/>
      <c r="FI191" s="29"/>
      <c r="FJ191" s="29"/>
      <c r="FK191" s="29">
        <v>124</v>
      </c>
      <c r="FL191" s="1504">
        <v>40269</v>
      </c>
      <c r="FM191" s="19">
        <v>99.486891182402417</v>
      </c>
      <c r="FN191" s="93">
        <v>102.34884111070562</v>
      </c>
      <c r="FO191" s="93">
        <v>96.138280523681857</v>
      </c>
      <c r="FP191" s="93">
        <v>100.11589727997998</v>
      </c>
      <c r="FQ191" s="93">
        <v>100.74209702386247</v>
      </c>
      <c r="FR191" s="93">
        <v>98.206143467805106</v>
      </c>
      <c r="FS191" s="93">
        <v>99.749623701443369</v>
      </c>
      <c r="FT191" s="93">
        <v>95.99806726000952</v>
      </c>
      <c r="FU191" s="93">
        <v>84.699245749437452</v>
      </c>
      <c r="FV191" s="93">
        <v>98.884692780493594</v>
      </c>
      <c r="FW191" s="93">
        <v>101.99334149199741</v>
      </c>
      <c r="FX191" s="93">
        <v>102.41333285631529</v>
      </c>
      <c r="FY191" s="93">
        <v>101.6177854861449</v>
      </c>
      <c r="FZ191" s="29">
        <v>124</v>
      </c>
      <c r="GA191" s="1504">
        <v>40269</v>
      </c>
      <c r="GB191" s="733">
        <v>99.486891182402417</v>
      </c>
      <c r="GC191" s="570">
        <v>99.805362833828184</v>
      </c>
      <c r="GD191" s="570">
        <v>99.281559326861753</v>
      </c>
      <c r="GE191" s="570">
        <v>101.00222033329108</v>
      </c>
      <c r="GF191" s="570">
        <v>102.96901813679725</v>
      </c>
      <c r="GG191" s="570">
        <v>98.28563597428257</v>
      </c>
      <c r="GH191" s="93"/>
      <c r="GI191" s="93"/>
      <c r="GJ191" s="93"/>
      <c r="GK191" s="93"/>
      <c r="GL191" s="93"/>
      <c r="GM191" s="93"/>
      <c r="GN191" s="20"/>
      <c r="GO191" s="29">
        <v>124</v>
      </c>
      <c r="GP191" s="1504">
        <v>40269</v>
      </c>
      <c r="GQ191" s="19"/>
      <c r="GR191" s="93"/>
      <c r="GS191" s="93"/>
      <c r="GT191" s="93"/>
      <c r="GU191" s="93"/>
      <c r="GV191" s="20"/>
      <c r="GW191" s="19"/>
      <c r="GX191" s="93"/>
      <c r="GY191" s="93"/>
      <c r="GZ191" s="93"/>
      <c r="HA191" s="93"/>
      <c r="HB191" s="20"/>
      <c r="HC191" s="19"/>
      <c r="HD191" s="93"/>
      <c r="HE191" s="93"/>
      <c r="HF191" s="93"/>
      <c r="HG191" s="93"/>
      <c r="HH191" s="20"/>
      <c r="HI191" s="19"/>
      <c r="HJ191" s="93"/>
      <c r="HK191" s="93"/>
      <c r="HL191" s="93"/>
      <c r="HM191" s="93"/>
      <c r="HN191" s="20"/>
      <c r="HO191" s="219"/>
      <c r="HP191" s="20"/>
      <c r="HQ191" s="25"/>
      <c r="HR191" s="29">
        <v>124</v>
      </c>
      <c r="HS191" s="1504">
        <v>40269</v>
      </c>
      <c r="HT191" s="179">
        <v>173.48639869689941</v>
      </c>
      <c r="HU191" s="99">
        <v>197.91667175292969</v>
      </c>
      <c r="HV191" s="99">
        <v>152.02702331542969</v>
      </c>
      <c r="HW191" s="99">
        <v>123.78641357421876</v>
      </c>
      <c r="HX191" s="99">
        <v>159.93266296386719</v>
      </c>
      <c r="HY191" s="99">
        <v>165.65041351318359</v>
      </c>
      <c r="HZ191" s="99">
        <v>216.99987182617187</v>
      </c>
      <c r="IA191" s="132">
        <v>158.90523147583008</v>
      </c>
      <c r="IB191" s="179">
        <v>168.35017395019531</v>
      </c>
      <c r="IC191" s="99">
        <v>121.07330131530762</v>
      </c>
      <c r="ID191" s="99"/>
      <c r="IE191" s="99">
        <v>132.01319885253906</v>
      </c>
      <c r="IF191" s="99">
        <v>178.01857376098633</v>
      </c>
      <c r="IG191" s="132">
        <v>133.24872589111328</v>
      </c>
      <c r="IH191" s="179">
        <v>121.65048980712891</v>
      </c>
      <c r="II191" s="99">
        <v>181.29531860351563</v>
      </c>
      <c r="IJ191" s="99">
        <v>137.67482376098633</v>
      </c>
      <c r="IK191" s="99">
        <v>142.85714721679688</v>
      </c>
      <c r="IL191" s="99">
        <v>123.47561264038086</v>
      </c>
      <c r="IM191" s="99">
        <v>134.27419662475586</v>
      </c>
      <c r="IN191" s="93"/>
      <c r="IO191" s="132">
        <v>152.57416534423828</v>
      </c>
      <c r="IP191" s="29">
        <v>124</v>
      </c>
      <c r="IQ191" s="19"/>
      <c r="IR191" s="93"/>
      <c r="IS191" s="93"/>
      <c r="IT191" s="93"/>
      <c r="IU191" s="93"/>
      <c r="IV191" s="20"/>
      <c r="IW191" s="29">
        <v>124</v>
      </c>
      <c r="IX191" s="19"/>
      <c r="IY191" s="93"/>
      <c r="IZ191" s="93"/>
      <c r="JA191" s="93"/>
      <c r="JB191" s="93"/>
      <c r="JC191" s="93"/>
      <c r="JD191" s="93"/>
      <c r="JE191" s="20"/>
      <c r="JF191" s="29">
        <v>124</v>
      </c>
      <c r="JG191" s="19"/>
      <c r="JH191" s="93"/>
      <c r="JI191" s="93"/>
      <c r="JJ191" s="93"/>
      <c r="JK191" s="93"/>
      <c r="JL191" s="93"/>
      <c r="JM191" s="93"/>
      <c r="JN191" s="20"/>
      <c r="JO191" s="29">
        <v>124</v>
      </c>
      <c r="JP191" s="19"/>
      <c r="JQ191" s="93"/>
      <c r="JR191" s="93"/>
      <c r="JS191" s="93"/>
      <c r="JT191" s="93"/>
      <c r="JU191" s="20"/>
      <c r="JV191" s="29">
        <v>124</v>
      </c>
      <c r="JW191" s="1504">
        <v>40269</v>
      </c>
      <c r="JX191" s="19"/>
      <c r="JY191" s="93"/>
      <c r="JZ191" s="93"/>
      <c r="KA191" s="93"/>
      <c r="KB191" s="93"/>
      <c r="KC191" s="93"/>
      <c r="KD191" s="20"/>
      <c r="KE191" s="29">
        <v>124</v>
      </c>
      <c r="KF191" s="19"/>
      <c r="KG191" s="93"/>
      <c r="KH191" s="93"/>
      <c r="KI191" s="93"/>
      <c r="KJ191" s="93"/>
      <c r="KK191" s="20"/>
      <c r="KL191" s="29">
        <v>124</v>
      </c>
      <c r="KM191" s="19"/>
      <c r="KN191" s="93"/>
      <c r="KO191" s="93"/>
      <c r="KP191" s="93"/>
      <c r="KQ191" s="93"/>
      <c r="KR191" s="20"/>
      <c r="KS191" s="29">
        <v>124</v>
      </c>
      <c r="KT191" s="19"/>
      <c r="KU191" s="93"/>
      <c r="KV191" s="93"/>
      <c r="KW191" s="93"/>
      <c r="KX191" s="93"/>
      <c r="KY191" s="20"/>
      <c r="KZ191" s="29">
        <v>124</v>
      </c>
      <c r="LA191" s="1504">
        <v>40269</v>
      </c>
      <c r="LB191" s="19">
        <v>460</v>
      </c>
      <c r="LC191" s="93">
        <v>650</v>
      </c>
      <c r="LD191" s="93">
        <v>642</v>
      </c>
      <c r="LE191" s="93"/>
      <c r="LF191" s="93">
        <v>575</v>
      </c>
      <c r="LG191" s="93"/>
      <c r="LH191" s="20"/>
      <c r="LI191" s="29">
        <v>124</v>
      </c>
      <c r="LJ191" s="19"/>
      <c r="LK191" s="93"/>
      <c r="LL191" s="93"/>
      <c r="LM191" s="93"/>
      <c r="LN191" s="93"/>
      <c r="LO191" s="20"/>
      <c r="LP191" s="29">
        <v>124</v>
      </c>
      <c r="LQ191" s="19"/>
      <c r="LR191" s="93"/>
      <c r="LS191" s="93"/>
      <c r="LT191" s="93"/>
      <c r="LU191" s="93"/>
      <c r="LV191" s="93"/>
      <c r="LW191" s="93"/>
      <c r="LX191" s="93"/>
      <c r="LY191" s="93"/>
      <c r="LZ191" s="93"/>
      <c r="MA191" s="20"/>
      <c r="MB191" s="29">
        <v>124</v>
      </c>
      <c r="MC191" s="1504">
        <v>40269</v>
      </c>
      <c r="MD191" s="19">
        <v>87907.316023000007</v>
      </c>
      <c r="ME191" s="93">
        <v>74506.451086000001</v>
      </c>
      <c r="MF191" s="93">
        <v>74506.336085999996</v>
      </c>
      <c r="MG191" s="93">
        <v>70827.146154999995</v>
      </c>
      <c r="MH191" s="93">
        <v>35210.493973999997</v>
      </c>
      <c r="MI191" s="93">
        <v>585.63495399999999</v>
      </c>
      <c r="MJ191" s="93">
        <v>243.45999700000002</v>
      </c>
      <c r="MK191" s="93">
        <v>26352.631555</v>
      </c>
      <c r="ML191" s="93">
        <v>7878.2420490000004</v>
      </c>
      <c r="MM191" s="93">
        <v>19317.509675999998</v>
      </c>
      <c r="MN191" s="93">
        <v>3679.1899309999999</v>
      </c>
      <c r="MO191" s="93">
        <v>228.08132000000001</v>
      </c>
      <c r="MP191" s="93">
        <v>1457.8647289999999</v>
      </c>
      <c r="MQ191" s="93">
        <v>285.27836200000002</v>
      </c>
      <c r="MR191" s="93">
        <v>0.90998999999999997</v>
      </c>
      <c r="MS191" s="93">
        <v>1707.0555300000001</v>
      </c>
      <c r="MT191" s="93">
        <v>0.115</v>
      </c>
      <c r="MU191" s="93">
        <v>13400.864936999998</v>
      </c>
      <c r="MV191" s="93">
        <v>6092.5228029999989</v>
      </c>
      <c r="MW191" s="93">
        <v>7308.3421339999995</v>
      </c>
      <c r="MX191" s="93">
        <v>135101.94234286668</v>
      </c>
      <c r="MY191" s="93">
        <v>135727.8228078667</v>
      </c>
      <c r="MZ191" s="93">
        <v>59326.825983866671</v>
      </c>
      <c r="NA191" s="93">
        <v>18814.988796333335</v>
      </c>
      <c r="NB191" s="93">
        <v>13931.87554333333</v>
      </c>
      <c r="NC191" s="93">
        <v>1225.9177540000003</v>
      </c>
      <c r="ND191" s="93">
        <v>3.921624</v>
      </c>
      <c r="NE191" s="93">
        <v>1221.9961300000002</v>
      </c>
      <c r="NF191" s="93">
        <v>25354.043890200002</v>
      </c>
      <c r="NG191" s="93">
        <v>727.50995619999992</v>
      </c>
      <c r="NH191" s="93">
        <v>3777.2186629999987</v>
      </c>
      <c r="NI191" s="93">
        <v>191.33543499999999</v>
      </c>
      <c r="NJ191" s="93">
        <v>6691.6037369999995</v>
      </c>
      <c r="NK191" s="93">
        <v>45352.453856000007</v>
      </c>
      <c r="NL191" s="93">
        <v>17652.183876999999</v>
      </c>
      <c r="NM191" s="93">
        <v>434.387429</v>
      </c>
      <c r="NN191" s="93">
        <v>27265.882550000002</v>
      </c>
      <c r="NO191" s="93">
        <v>-625.8804649999995</v>
      </c>
      <c r="NP191" s="93">
        <v>-47194.626319866686</v>
      </c>
      <c r="NQ191" s="93">
        <v>-60595.491256866691</v>
      </c>
      <c r="NR191" s="93">
        <v>-32103.690952866702</v>
      </c>
      <c r="NS191" s="93">
        <v>-33329.608706866697</v>
      </c>
      <c r="NT191" s="93">
        <v>-32801.480238813332</v>
      </c>
      <c r="NU191" s="93">
        <v>-46202.345175813338</v>
      </c>
      <c r="NV191" s="93">
        <v>33171.398995000003</v>
      </c>
      <c r="NW191" s="93">
        <v>20364.685966000001</v>
      </c>
      <c r="NX191" s="93">
        <v>21173.359747000002</v>
      </c>
      <c r="NY191" s="93">
        <v>-808.67378100000008</v>
      </c>
      <c r="NZ191" s="93">
        <v>0</v>
      </c>
      <c r="OA191" s="93">
        <v>12806.713029</v>
      </c>
      <c r="OB191" s="93">
        <v>18449.742493000002</v>
      </c>
      <c r="OC191" s="93">
        <v>-5643.0294639999993</v>
      </c>
      <c r="OD191" s="20">
        <v>0</v>
      </c>
      <c r="OE191" s="29">
        <v>124</v>
      </c>
      <c r="OF191" s="1504">
        <v>40269</v>
      </c>
      <c r="OG191" s="19"/>
      <c r="OH191" s="93">
        <v>216.17869999999999</v>
      </c>
      <c r="OI191" s="93">
        <v>524.43656846493343</v>
      </c>
      <c r="OJ191" s="93">
        <v>0.52112533800000005</v>
      </c>
      <c r="OK191" s="93">
        <v>456.51254312693345</v>
      </c>
      <c r="OL191" s="93">
        <v>67.402899999999988</v>
      </c>
      <c r="OM191" s="93">
        <v>740.61526846493348</v>
      </c>
      <c r="ON191" s="93">
        <v>472.94524673556617</v>
      </c>
      <c r="OO191" s="93">
        <v>1213.5605152004996</v>
      </c>
      <c r="OP191" s="93"/>
      <c r="OQ191" s="93">
        <v>667.58201749608702</v>
      </c>
      <c r="OR191" s="93">
        <v>383.41251494500005</v>
      </c>
      <c r="OS191" s="93">
        <v>284.16950255108702</v>
      </c>
      <c r="OT191" s="93">
        <v>731.89928318741249</v>
      </c>
      <c r="OU191" s="93">
        <v>-55.691187103999994</v>
      </c>
      <c r="OV191" s="93">
        <v>-26.918187104000001</v>
      </c>
      <c r="OW191" s="93">
        <v>-28.772999999999996</v>
      </c>
      <c r="OX191" s="93">
        <v>787.59047029141254</v>
      </c>
      <c r="OY191" s="93">
        <v>3.9081829800000003</v>
      </c>
      <c r="OZ191" s="93">
        <v>783.68228731141255</v>
      </c>
      <c r="PA191" s="93">
        <v>162.10801555</v>
      </c>
      <c r="PB191" s="93">
        <v>23.812769932999998</v>
      </c>
      <c r="PC191" s="20">
        <v>1213.5605152004994</v>
      </c>
      <c r="PD191" s="29">
        <v>124</v>
      </c>
      <c r="PE191" s="19"/>
      <c r="PF191" s="93">
        <v>383.41251494500005</v>
      </c>
      <c r="PG191" s="93">
        <v>593.67497884500006</v>
      </c>
      <c r="PH191" s="93">
        <v>210.2624639</v>
      </c>
      <c r="PI191" s="93">
        <v>67.837999999999994</v>
      </c>
      <c r="PJ191" s="93">
        <v>-24.149687104000002</v>
      </c>
      <c r="PK191" s="93">
        <v>42.437529165999997</v>
      </c>
      <c r="PL191" s="93">
        <v>66.587216269999999</v>
      </c>
      <c r="PM191" s="93">
        <v>3.9081829800000003</v>
      </c>
      <c r="PN191" s="93">
        <v>1.21</v>
      </c>
      <c r="PO191" s="93">
        <v>0</v>
      </c>
      <c r="PP191" s="93">
        <v>4.6463899999999998E-4</v>
      </c>
      <c r="PQ191" s="93">
        <v>2.6977183410000003</v>
      </c>
      <c r="PR191" s="93">
        <v>425.60224979599997</v>
      </c>
      <c r="PS191" s="93">
        <v>245.43119999999999</v>
      </c>
      <c r="PT191" s="93">
        <v>179.64992445799999</v>
      </c>
      <c r="PU191" s="93">
        <v>0.52112533800000005</v>
      </c>
      <c r="PV191" s="93">
        <v>0</v>
      </c>
      <c r="PW191" s="93">
        <v>0.37547493500000001</v>
      </c>
      <c r="PX191" s="93">
        <v>0</v>
      </c>
      <c r="PY191" s="93">
        <v>0</v>
      </c>
      <c r="PZ191" s="93">
        <v>0.37547493500000001</v>
      </c>
      <c r="QA191" s="93">
        <v>0</v>
      </c>
      <c r="QB191" s="93">
        <v>0</v>
      </c>
      <c r="QC191" s="93">
        <v>0</v>
      </c>
      <c r="QD191" s="93">
        <v>0.52954061500000005</v>
      </c>
      <c r="QE191" s="20">
        <v>4.501745474999999</v>
      </c>
      <c r="QF191" s="1739">
        <v>124</v>
      </c>
      <c r="QG191" s="19"/>
      <c r="QH191" s="1035">
        <v>284.16950255108702</v>
      </c>
      <c r="QI191" s="1035">
        <v>358.36771268858746</v>
      </c>
      <c r="QJ191" s="1035">
        <v>-74.198210137500453</v>
      </c>
      <c r="QK191" s="1035">
        <v>193.04500000000002</v>
      </c>
      <c r="QL191" s="1035">
        <v>26.484000000000002</v>
      </c>
      <c r="QM191" s="1035">
        <v>166.56100000000001</v>
      </c>
      <c r="QN191" s="1035">
        <v>0</v>
      </c>
      <c r="QO191" s="1035">
        <v>-28.772999999999996</v>
      </c>
      <c r="QP191" s="1035">
        <v>84.472999999999999</v>
      </c>
      <c r="QQ191" s="1035">
        <v>-113.246</v>
      </c>
      <c r="QR191" s="1035">
        <v>783.68228731141255</v>
      </c>
      <c r="QS191" s="1035">
        <v>11.328459766886507</v>
      </c>
      <c r="QT191" s="1035">
        <v>0</v>
      </c>
      <c r="QU191" s="1035">
        <v>68.669999999999987</v>
      </c>
      <c r="QV191" s="1035">
        <v>703.68382754452603</v>
      </c>
      <c r="QW191" s="93"/>
      <c r="QX191" s="93">
        <v>68.254000000000005</v>
      </c>
      <c r="QY191" s="93">
        <v>456.51254312693339</v>
      </c>
      <c r="QZ191" s="93">
        <v>472.94524673556617</v>
      </c>
      <c r="RA191" s="93">
        <v>0</v>
      </c>
      <c r="RB191" s="93">
        <v>32.140999999999998</v>
      </c>
      <c r="RC191" s="93">
        <v>3.9060000000000001</v>
      </c>
      <c r="RD191" s="93">
        <v>12.802999999999999</v>
      </c>
      <c r="RE191" s="93">
        <v>0</v>
      </c>
      <c r="RF191" s="93">
        <v>0</v>
      </c>
      <c r="RG191" s="93">
        <v>112.35299999999999</v>
      </c>
      <c r="RH191" s="93">
        <v>73.208999999999989</v>
      </c>
      <c r="RI191" s="93"/>
      <c r="RJ191" s="93"/>
      <c r="RK191" s="93"/>
      <c r="RL191" s="93"/>
      <c r="RM191" s="734"/>
      <c r="RN191" s="29">
        <v>124</v>
      </c>
      <c r="RO191" s="19"/>
      <c r="RP191" s="20"/>
      <c r="RQ191" s="29">
        <v>124</v>
      </c>
      <c r="RR191" s="734">
        <v>1.6682600000000001</v>
      </c>
      <c r="RS191" s="29">
        <v>124</v>
      </c>
      <c r="RT191" s="1504">
        <v>40269</v>
      </c>
      <c r="RU191" s="19"/>
      <c r="RV191" s="20"/>
      <c r="RW191" s="29">
        <v>124</v>
      </c>
      <c r="RX191" s="1504">
        <v>40269</v>
      </c>
      <c r="RY191" s="29"/>
      <c r="RZ191" s="734"/>
      <c r="SA191" s="29"/>
      <c r="SB191" s="29">
        <v>124</v>
      </c>
    </row>
    <row r="192" spans="1:496">
      <c r="A192" s="41">
        <f t="shared" si="191"/>
        <v>2010</v>
      </c>
      <c r="B192" s="1504">
        <v>40299</v>
      </c>
      <c r="C192" s="1813"/>
      <c r="D192" s="1814"/>
      <c r="E192" s="1814"/>
      <c r="F192" s="1815"/>
      <c r="G192" s="1814"/>
      <c r="H192" s="1814"/>
      <c r="I192" s="1814"/>
      <c r="J192" s="1816"/>
      <c r="K192" s="1807"/>
      <c r="L192" s="25">
        <v>125</v>
      </c>
      <c r="M192" s="97"/>
      <c r="N192" s="1504">
        <v>40299</v>
      </c>
      <c r="O192" s="19"/>
      <c r="P192" s="93"/>
      <c r="Q192" s="93"/>
      <c r="R192" s="93"/>
      <c r="S192" s="93"/>
      <c r="T192" s="93"/>
      <c r="U192" s="93"/>
      <c r="V192" s="93"/>
      <c r="W192" s="93"/>
      <c r="X192" s="93"/>
      <c r="Y192" s="93"/>
      <c r="Z192" s="93"/>
      <c r="AA192" s="93"/>
      <c r="AB192" s="20"/>
      <c r="AC192" s="25">
        <v>125</v>
      </c>
      <c r="AD192" s="97"/>
      <c r="AE192" s="1504">
        <v>40299</v>
      </c>
      <c r="AF192" s="19"/>
      <c r="AG192" s="93"/>
      <c r="AH192" s="93"/>
      <c r="AI192" s="93"/>
      <c r="AJ192" s="93"/>
      <c r="AK192" s="93"/>
      <c r="AL192" s="93"/>
      <c r="AM192" s="93"/>
      <c r="AN192" s="93"/>
      <c r="AO192" s="93"/>
      <c r="AP192" s="93"/>
      <c r="AQ192" s="93"/>
      <c r="AR192" s="93"/>
      <c r="AS192" s="20"/>
      <c r="AT192" s="25">
        <v>125</v>
      </c>
      <c r="AU192" s="97"/>
      <c r="AV192" s="1504">
        <v>40299</v>
      </c>
      <c r="AW192" s="19"/>
      <c r="AX192" s="93"/>
      <c r="AY192" s="93"/>
      <c r="AZ192" s="93"/>
      <c r="BA192" s="93"/>
      <c r="BB192" s="93"/>
      <c r="BC192" s="93"/>
      <c r="BD192" s="93"/>
      <c r="BE192" s="93"/>
      <c r="BF192" s="93"/>
      <c r="BG192" s="93"/>
      <c r="BH192" s="93"/>
      <c r="BI192" s="93"/>
      <c r="BJ192" s="20"/>
      <c r="BK192" s="25">
        <v>125</v>
      </c>
      <c r="BL192" s="97"/>
      <c r="BM192" s="1504">
        <v>40299</v>
      </c>
      <c r="BN192" s="19"/>
      <c r="BO192" s="93"/>
      <c r="BP192" s="93"/>
      <c r="BQ192" s="93"/>
      <c r="BR192" s="93"/>
      <c r="BS192" s="93"/>
      <c r="BT192" s="93"/>
      <c r="BU192" s="20"/>
      <c r="BV192" s="25">
        <v>125</v>
      </c>
      <c r="BW192" s="97"/>
      <c r="BX192" s="1504">
        <v>40299</v>
      </c>
      <c r="BY192" s="179">
        <v>522.03681887999994</v>
      </c>
      <c r="BZ192" s="99">
        <v>664.95699999999999</v>
      </c>
      <c r="CA192" s="93"/>
      <c r="CB192" s="93"/>
      <c r="CC192" s="99">
        <v>368.18694487522902</v>
      </c>
      <c r="CD192" s="25">
        <v>125</v>
      </c>
      <c r="CE192" s="97"/>
      <c r="CF192" s="1504">
        <v>40299</v>
      </c>
      <c r="CG192" s="179">
        <v>1.985701234</v>
      </c>
      <c r="CH192" s="99">
        <v>1205.434</v>
      </c>
      <c r="CI192" s="219"/>
      <c r="CJ192" s="20"/>
      <c r="CK192" s="19"/>
      <c r="CL192" s="93"/>
      <c r="CM192" s="93"/>
      <c r="CN192" s="93"/>
      <c r="CO192" s="93"/>
      <c r="CP192" s="20"/>
      <c r="CQ192" s="219">
        <v>1366.87</v>
      </c>
      <c r="CR192" s="93">
        <v>2.33</v>
      </c>
      <c r="CS192" s="93"/>
      <c r="CT192" s="93"/>
      <c r="CU192" s="93"/>
      <c r="CV192" s="214"/>
      <c r="CW192" s="29">
        <v>125</v>
      </c>
      <c r="CX192" s="41">
        <f t="shared" si="192"/>
        <v>2010</v>
      </c>
      <c r="CY192" s="1504">
        <v>40299</v>
      </c>
      <c r="CZ192" s="1916">
        <v>73.216814982058253</v>
      </c>
      <c r="DA192" s="1526">
        <v>44.383393982058259</v>
      </c>
      <c r="DB192" s="1526">
        <v>28.833421000000001</v>
      </c>
      <c r="DC192" s="182">
        <f t="shared" si="205"/>
        <v>362165</v>
      </c>
      <c r="DD192" s="182">
        <f t="shared" si="206"/>
        <v>361092</v>
      </c>
      <c r="DE192" s="182">
        <f t="shared" si="207"/>
        <v>1073</v>
      </c>
      <c r="DF192" s="29">
        <v>125</v>
      </c>
      <c r="DG192" s="1504">
        <v>40299</v>
      </c>
      <c r="DH192" s="19"/>
      <c r="DI192" s="93"/>
      <c r="DJ192" s="93"/>
      <c r="DK192" s="93"/>
      <c r="DL192" s="93"/>
      <c r="DM192" s="93"/>
      <c r="DN192" s="20"/>
      <c r="DO192" s="25"/>
      <c r="DP192" s="29">
        <v>125</v>
      </c>
      <c r="DQ192" s="1504">
        <v>40299</v>
      </c>
      <c r="DR192" s="19"/>
      <c r="DS192" s="93"/>
      <c r="DT192" s="93"/>
      <c r="DU192" s="93"/>
      <c r="DV192" s="93"/>
      <c r="DW192" s="93"/>
      <c r="DX192" s="20"/>
      <c r="DY192" s="29">
        <v>125</v>
      </c>
      <c r="DZ192" s="1504">
        <v>40299</v>
      </c>
      <c r="EA192" s="19"/>
      <c r="EB192" s="93"/>
      <c r="EC192" s="20"/>
      <c r="ED192" s="29">
        <v>125</v>
      </c>
      <c r="EE192" s="1504">
        <v>40299</v>
      </c>
      <c r="EF192" s="19"/>
      <c r="EG192" s="93"/>
      <c r="EH192" s="93"/>
      <c r="EI192" s="214"/>
      <c r="EJ192" s="93"/>
      <c r="EK192" s="93"/>
      <c r="EL192" s="93"/>
      <c r="EM192" s="93"/>
      <c r="EN192" s="20"/>
      <c r="EO192" s="29">
        <v>125</v>
      </c>
      <c r="EP192" s="1504">
        <v>40299</v>
      </c>
      <c r="EQ192" s="19"/>
      <c r="ER192" s="93"/>
      <c r="ES192" s="93"/>
      <c r="ET192" s="214"/>
      <c r="EU192" s="93"/>
      <c r="EV192" s="93"/>
      <c r="EW192" s="93"/>
      <c r="EX192" s="93"/>
      <c r="EY192" s="20"/>
      <c r="EZ192" s="29">
        <v>125</v>
      </c>
      <c r="FA192" s="1504">
        <v>40299</v>
      </c>
      <c r="FB192" s="29"/>
      <c r="FC192" s="29"/>
      <c r="FD192" s="29"/>
      <c r="FE192" s="29"/>
      <c r="FF192" s="29"/>
      <c r="FG192" s="29"/>
      <c r="FH192" s="29"/>
      <c r="FI192" s="29"/>
      <c r="FJ192" s="29"/>
      <c r="FK192" s="29">
        <v>125</v>
      </c>
      <c r="FL192" s="1504">
        <v>40299</v>
      </c>
      <c r="FM192" s="19">
        <v>100.41074495177905</v>
      </c>
      <c r="FN192" s="93">
        <v>104.77486881584859</v>
      </c>
      <c r="FO192" s="93">
        <v>95.410230471544224</v>
      </c>
      <c r="FP192" s="93">
        <v>100.11589727997998</v>
      </c>
      <c r="FQ192" s="93">
        <v>100.30200576612819</v>
      </c>
      <c r="FR192" s="93">
        <v>98.206143467805106</v>
      </c>
      <c r="FS192" s="93">
        <v>99.766977266085235</v>
      </c>
      <c r="FT192" s="93">
        <v>95.99806726000952</v>
      </c>
      <c r="FU192" s="93">
        <v>87.358020930562887</v>
      </c>
      <c r="FV192" s="93">
        <v>98.834163241124998</v>
      </c>
      <c r="FW192" s="93">
        <v>101.99334149199741</v>
      </c>
      <c r="FX192" s="93">
        <v>101.2606372287662</v>
      </c>
      <c r="FY192" s="93">
        <v>101.6177854861449</v>
      </c>
      <c r="FZ192" s="29">
        <v>125</v>
      </c>
      <c r="GA192" s="1504">
        <v>40299</v>
      </c>
      <c r="GB192" s="733">
        <v>100.41074495177905</v>
      </c>
      <c r="GC192" s="570">
        <v>99.998169856976304</v>
      </c>
      <c r="GD192" s="570">
        <v>100.67730768406943</v>
      </c>
      <c r="GE192" s="570">
        <v>100.08865360789402</v>
      </c>
      <c r="GF192" s="570">
        <v>106.1256792977366</v>
      </c>
      <c r="GG192" s="570">
        <v>98.618444437881308</v>
      </c>
      <c r="GH192" s="93"/>
      <c r="GI192" s="93"/>
      <c r="GJ192" s="93"/>
      <c r="GK192" s="93"/>
      <c r="GL192" s="93"/>
      <c r="GM192" s="93"/>
      <c r="GN192" s="20"/>
      <c r="GO192" s="29">
        <v>125</v>
      </c>
      <c r="GP192" s="1504">
        <v>40299</v>
      </c>
      <c r="GQ192" s="19"/>
      <c r="GR192" s="93"/>
      <c r="GS192" s="93"/>
      <c r="GT192" s="93"/>
      <c r="GU192" s="93"/>
      <c r="GV192" s="20"/>
      <c r="GW192" s="19"/>
      <c r="GX192" s="93"/>
      <c r="GY192" s="93"/>
      <c r="GZ192" s="93"/>
      <c r="HA192" s="93"/>
      <c r="HB192" s="20"/>
      <c r="HC192" s="19"/>
      <c r="HD192" s="93"/>
      <c r="HE192" s="93"/>
      <c r="HF192" s="93"/>
      <c r="HG192" s="93"/>
      <c r="HH192" s="20"/>
      <c r="HI192" s="19"/>
      <c r="HJ192" s="93"/>
      <c r="HK192" s="93"/>
      <c r="HL192" s="93"/>
      <c r="HM192" s="93"/>
      <c r="HN192" s="20"/>
      <c r="HO192" s="219"/>
      <c r="HP192" s="20"/>
      <c r="HQ192" s="25"/>
      <c r="HR192" s="29">
        <v>125</v>
      </c>
      <c r="HS192" s="1504">
        <v>40299</v>
      </c>
      <c r="HT192" s="179">
        <v>172.60102386474608</v>
      </c>
      <c r="HU192" s="99">
        <v>197.91667175292969</v>
      </c>
      <c r="HV192" s="99">
        <v>145.27027282714843</v>
      </c>
      <c r="HW192" s="99">
        <v>130.46116828918457</v>
      </c>
      <c r="HX192" s="99">
        <v>159.93266296386719</v>
      </c>
      <c r="HY192" s="99">
        <v>165.65041351318359</v>
      </c>
      <c r="HZ192" s="99">
        <v>217.27360839843749</v>
      </c>
      <c r="IA192" s="132">
        <v>160.94771575927734</v>
      </c>
      <c r="IB192" s="179">
        <v>168.35017395019531</v>
      </c>
      <c r="IC192" s="99">
        <v>128.48167724609374</v>
      </c>
      <c r="ID192" s="99"/>
      <c r="IE192" s="99">
        <v>126.73267211914063</v>
      </c>
      <c r="IF192" s="99">
        <v>179.82455952962241</v>
      </c>
      <c r="IG192" s="132">
        <v>138.07106018066406</v>
      </c>
      <c r="IH192" s="179">
        <v>121.07676544189454</v>
      </c>
      <c r="II192" s="99">
        <v>181.29531860351563</v>
      </c>
      <c r="IJ192" s="99">
        <v>131.11888122558594</v>
      </c>
      <c r="IK192" s="99">
        <v>138.39286041259766</v>
      </c>
      <c r="IL192" s="99">
        <v>123.47561264038086</v>
      </c>
      <c r="IM192" s="99">
        <v>132.66129302978516</v>
      </c>
      <c r="IN192" s="93"/>
      <c r="IO192" s="132">
        <v>156.24620513916017</v>
      </c>
      <c r="IP192" s="29">
        <v>125</v>
      </c>
      <c r="IQ192" s="19"/>
      <c r="IR192" s="93"/>
      <c r="IS192" s="93"/>
      <c r="IT192" s="93"/>
      <c r="IU192" s="93"/>
      <c r="IV192" s="20"/>
      <c r="IW192" s="29">
        <v>125</v>
      </c>
      <c r="IX192" s="19"/>
      <c r="IY192" s="93"/>
      <c r="IZ192" s="93"/>
      <c r="JA192" s="93"/>
      <c r="JB192" s="93"/>
      <c r="JC192" s="93"/>
      <c r="JD192" s="93"/>
      <c r="JE192" s="20"/>
      <c r="JF192" s="29">
        <v>125</v>
      </c>
      <c r="JG192" s="19"/>
      <c r="JH192" s="93"/>
      <c r="JI192" s="93"/>
      <c r="JJ192" s="93"/>
      <c r="JK192" s="93"/>
      <c r="JL192" s="93"/>
      <c r="JM192" s="93"/>
      <c r="JN192" s="20"/>
      <c r="JO192" s="29">
        <v>125</v>
      </c>
      <c r="JP192" s="19"/>
      <c r="JQ192" s="93"/>
      <c r="JR192" s="93"/>
      <c r="JS192" s="93"/>
      <c r="JT192" s="93"/>
      <c r="JU192" s="20"/>
      <c r="JV192" s="29">
        <v>125</v>
      </c>
      <c r="JW192" s="1504">
        <v>40299</v>
      </c>
      <c r="JX192" s="19"/>
      <c r="JY192" s="93"/>
      <c r="JZ192" s="93"/>
      <c r="KA192" s="93"/>
      <c r="KB192" s="93"/>
      <c r="KC192" s="93"/>
      <c r="KD192" s="20"/>
      <c r="KE192" s="29">
        <v>125</v>
      </c>
      <c r="KF192" s="19"/>
      <c r="KG192" s="93"/>
      <c r="KH192" s="93"/>
      <c r="KI192" s="93"/>
      <c r="KJ192" s="93"/>
      <c r="KK192" s="20"/>
      <c r="KL192" s="29">
        <v>125</v>
      </c>
      <c r="KM192" s="19"/>
      <c r="KN192" s="93"/>
      <c r="KO192" s="93"/>
      <c r="KP192" s="93"/>
      <c r="KQ192" s="93"/>
      <c r="KR192" s="20"/>
      <c r="KS192" s="29">
        <v>125</v>
      </c>
      <c r="KT192" s="19"/>
      <c r="KU192" s="93"/>
      <c r="KV192" s="93"/>
      <c r="KW192" s="93"/>
      <c r="KX192" s="93"/>
      <c r="KY192" s="20"/>
      <c r="KZ192" s="29">
        <v>125</v>
      </c>
      <c r="LA192" s="1504">
        <v>40299</v>
      </c>
      <c r="LB192" s="19">
        <v>460</v>
      </c>
      <c r="LC192" s="93">
        <v>650</v>
      </c>
      <c r="LD192" s="93">
        <v>642</v>
      </c>
      <c r="LE192" s="93"/>
      <c r="LF192" s="93">
        <v>575</v>
      </c>
      <c r="LG192" s="93"/>
      <c r="LH192" s="20"/>
      <c r="LI192" s="29">
        <v>125</v>
      </c>
      <c r="LJ192" s="19"/>
      <c r="LK192" s="93"/>
      <c r="LL192" s="93"/>
      <c r="LM192" s="93"/>
      <c r="LN192" s="93"/>
      <c r="LO192" s="20"/>
      <c r="LP192" s="29">
        <v>125</v>
      </c>
      <c r="LQ192" s="19"/>
      <c r="LR192" s="93"/>
      <c r="LS192" s="93"/>
      <c r="LT192" s="93"/>
      <c r="LU192" s="93"/>
      <c r="LV192" s="93"/>
      <c r="LW192" s="93"/>
      <c r="LX192" s="93"/>
      <c r="LY192" s="93"/>
      <c r="LZ192" s="93"/>
      <c r="MA192" s="20"/>
      <c r="MB192" s="29">
        <v>125</v>
      </c>
      <c r="MC192" s="1504">
        <v>40299</v>
      </c>
      <c r="MD192" s="19">
        <v>77257.925569999992</v>
      </c>
      <c r="ME192" s="93">
        <v>72798.733756999995</v>
      </c>
      <c r="MF192" s="93">
        <v>72798.733668999994</v>
      </c>
      <c r="MG192" s="93">
        <v>43661.213346000004</v>
      </c>
      <c r="MH192" s="93">
        <v>10961.843319</v>
      </c>
      <c r="MI192" s="93">
        <v>514.95007999999996</v>
      </c>
      <c r="MJ192" s="93">
        <v>351.00749199999996</v>
      </c>
      <c r="MK192" s="93">
        <v>24071.319008000002</v>
      </c>
      <c r="ML192" s="93">
        <v>7327.7464519999994</v>
      </c>
      <c r="MM192" s="93">
        <v>17183.550911999999</v>
      </c>
      <c r="MN192" s="93">
        <v>29137.520323000004</v>
      </c>
      <c r="MO192" s="93">
        <v>308.38786600000003</v>
      </c>
      <c r="MP192" s="93">
        <v>26366.361315000002</v>
      </c>
      <c r="MQ192" s="93">
        <v>217.86615799999998</v>
      </c>
      <c r="MR192" s="93">
        <v>191.752804</v>
      </c>
      <c r="MS192" s="93">
        <v>2053.15218</v>
      </c>
      <c r="MT192" s="93">
        <v>8.7999999999999998E-5</v>
      </c>
      <c r="MU192" s="93">
        <v>4459.1918130000004</v>
      </c>
      <c r="MV192" s="93">
        <v>1835.3638130000002</v>
      </c>
      <c r="MW192" s="93">
        <v>2623.828</v>
      </c>
      <c r="MX192" s="93">
        <v>71128.229466966673</v>
      </c>
      <c r="MY192" s="93">
        <v>71518.390773966676</v>
      </c>
      <c r="MZ192" s="93">
        <v>44352.068376966672</v>
      </c>
      <c r="NA192" s="93">
        <v>19050.171615333333</v>
      </c>
      <c r="NB192" s="93">
        <v>11106.947898333334</v>
      </c>
      <c r="NC192" s="93">
        <v>1821.649645</v>
      </c>
      <c r="ND192" s="93">
        <v>256.97209900000001</v>
      </c>
      <c r="NE192" s="93">
        <v>1564.6775460000001</v>
      </c>
      <c r="NF192" s="93">
        <v>12373.299218300001</v>
      </c>
      <c r="NG192" s="93">
        <v>283.45084630000031</v>
      </c>
      <c r="NH192" s="93">
        <v>3796.1807360000016</v>
      </c>
      <c r="NI192" s="93">
        <v>4.3000980000000002</v>
      </c>
      <c r="NJ192" s="93">
        <v>1035.103233</v>
      </c>
      <c r="NK192" s="93">
        <v>27166.322397000007</v>
      </c>
      <c r="NL192" s="93">
        <v>19572.414076000005</v>
      </c>
      <c r="NM192" s="93">
        <v>0</v>
      </c>
      <c r="NN192" s="93">
        <v>7593.9083210000008</v>
      </c>
      <c r="NO192" s="93">
        <v>-390.16130699999894</v>
      </c>
      <c r="NP192" s="93">
        <v>6129.6961030333196</v>
      </c>
      <c r="NQ192" s="93">
        <v>1670.5042900333256</v>
      </c>
      <c r="NR192" s="93">
        <v>11086.062256033323</v>
      </c>
      <c r="NS192" s="93">
        <v>9264.4126110333273</v>
      </c>
      <c r="NT192" s="93">
        <v>10715.578108313308</v>
      </c>
      <c r="NU192" s="93">
        <v>6256.3862953133148</v>
      </c>
      <c r="NV192" s="93">
        <v>-7133.6973550000002</v>
      </c>
      <c r="NW192" s="93">
        <v>4383.2653550000005</v>
      </c>
      <c r="NX192" s="93">
        <v>5758.544508</v>
      </c>
      <c r="NY192" s="93">
        <v>-1375.279153</v>
      </c>
      <c r="NZ192" s="93">
        <v>0</v>
      </c>
      <c r="OA192" s="93">
        <v>-11516.962710000002</v>
      </c>
      <c r="OB192" s="93">
        <v>-22981.472570000002</v>
      </c>
      <c r="OC192" s="93">
        <v>11464.50986</v>
      </c>
      <c r="OD192" s="20">
        <v>0</v>
      </c>
      <c r="OE192" s="29">
        <v>125</v>
      </c>
      <c r="OF192" s="1504">
        <v>40299</v>
      </c>
      <c r="OG192" s="19"/>
      <c r="OH192" s="93">
        <v>203.02360000000002</v>
      </c>
      <c r="OI192" s="93">
        <v>526.19595762136817</v>
      </c>
      <c r="OJ192" s="93">
        <v>0.41456440300000003</v>
      </c>
      <c r="OK192" s="93">
        <v>459.35749321836818</v>
      </c>
      <c r="OL192" s="93">
        <v>66.423899999999989</v>
      </c>
      <c r="OM192" s="93">
        <v>729.21955762136815</v>
      </c>
      <c r="ON192" s="93">
        <v>490.23799544836726</v>
      </c>
      <c r="OO192" s="93">
        <v>1219.4575530697355</v>
      </c>
      <c r="OP192" s="93"/>
      <c r="OQ192" s="93">
        <v>718.0416425770519</v>
      </c>
      <c r="OR192" s="93">
        <v>440.79163550000004</v>
      </c>
      <c r="OS192" s="93">
        <v>277.25000707705192</v>
      </c>
      <c r="OT192" s="93">
        <v>688.83810735468319</v>
      </c>
      <c r="OU192" s="93">
        <v>-92.832558853000023</v>
      </c>
      <c r="OV192" s="93">
        <v>-87.616558853000015</v>
      </c>
      <c r="OW192" s="93">
        <v>-5.2160000000000082</v>
      </c>
      <c r="OX192" s="93">
        <v>781.67066620768321</v>
      </c>
      <c r="OY192" s="93">
        <v>3.9391846180000005</v>
      </c>
      <c r="OZ192" s="93">
        <v>777.73148158968331</v>
      </c>
      <c r="PA192" s="93">
        <v>161.38481744400002</v>
      </c>
      <c r="PB192" s="93">
        <v>26.037379417999986</v>
      </c>
      <c r="PC192" s="20">
        <v>1219.4575530697352</v>
      </c>
      <c r="PD192" s="29">
        <v>125</v>
      </c>
      <c r="PE192" s="19"/>
      <c r="PF192" s="93">
        <v>440.79163550000004</v>
      </c>
      <c r="PG192" s="93">
        <v>654.32778909600006</v>
      </c>
      <c r="PH192" s="93">
        <v>213.53615359600002</v>
      </c>
      <c r="PI192" s="93">
        <v>57</v>
      </c>
      <c r="PJ192" s="93">
        <v>-85.077858853000009</v>
      </c>
      <c r="PK192" s="93">
        <v>42.464557597999999</v>
      </c>
      <c r="PL192" s="93">
        <v>127.54241645100001</v>
      </c>
      <c r="PM192" s="93">
        <v>3.9391846180000005</v>
      </c>
      <c r="PN192" s="93">
        <v>1.21</v>
      </c>
      <c r="PO192" s="93">
        <v>0</v>
      </c>
      <c r="PP192" s="93">
        <v>2.25782E-4</v>
      </c>
      <c r="PQ192" s="93">
        <v>2.7289588360000003</v>
      </c>
      <c r="PR192" s="93">
        <v>412.74853760500002</v>
      </c>
      <c r="PS192" s="93">
        <v>236.51830000000001</v>
      </c>
      <c r="PT192" s="93">
        <v>175.815673202</v>
      </c>
      <c r="PU192" s="93">
        <v>0.41456440300000003</v>
      </c>
      <c r="PV192" s="93">
        <v>0</v>
      </c>
      <c r="PW192" s="93">
        <v>0.36232563200000001</v>
      </c>
      <c r="PX192" s="93">
        <v>0</v>
      </c>
      <c r="PY192" s="93">
        <v>0</v>
      </c>
      <c r="PZ192" s="93">
        <v>0.36232563200000001</v>
      </c>
      <c r="QA192" s="93">
        <v>0</v>
      </c>
      <c r="QB192" s="93">
        <v>0</v>
      </c>
      <c r="QC192" s="93">
        <v>0</v>
      </c>
      <c r="QD192" s="93">
        <v>0.55549181199999997</v>
      </c>
      <c r="QE192" s="20">
        <v>2.9866062159999998</v>
      </c>
      <c r="QF192" s="1739">
        <v>125</v>
      </c>
      <c r="QG192" s="19"/>
      <c r="QH192" s="1035">
        <v>277.25000707705192</v>
      </c>
      <c r="QI192" s="1035">
        <v>355.87851841031653</v>
      </c>
      <c r="QJ192" s="1035">
        <v>-78.628511333264598</v>
      </c>
      <c r="QK192" s="1035">
        <v>183.93600000000001</v>
      </c>
      <c r="QL192" s="1035">
        <v>30.956</v>
      </c>
      <c r="QM192" s="1035">
        <v>152.98000000000002</v>
      </c>
      <c r="QN192" s="1035">
        <v>0</v>
      </c>
      <c r="QO192" s="1035">
        <v>-5.2160000000000082</v>
      </c>
      <c r="QP192" s="1035">
        <v>98.706999999999994</v>
      </c>
      <c r="QQ192" s="1035">
        <v>-103.923</v>
      </c>
      <c r="QR192" s="1035">
        <v>777.73148158968331</v>
      </c>
      <c r="QS192" s="1035">
        <v>10.972349052440883</v>
      </c>
      <c r="QT192" s="1035">
        <v>0</v>
      </c>
      <c r="QU192" s="1035">
        <v>62.207000000000001</v>
      </c>
      <c r="QV192" s="1035">
        <v>704.55213253724241</v>
      </c>
      <c r="QW192" s="93"/>
      <c r="QX192" s="93">
        <v>50.728999999999999</v>
      </c>
      <c r="QY192" s="93">
        <v>459.35749321836818</v>
      </c>
      <c r="QZ192" s="93">
        <v>490.23799544836726</v>
      </c>
      <c r="RA192" s="93">
        <v>0</v>
      </c>
      <c r="RB192" s="93">
        <v>31.576000000000001</v>
      </c>
      <c r="RC192" s="93">
        <v>3.9060000000000001</v>
      </c>
      <c r="RD192" s="93">
        <v>10.243</v>
      </c>
      <c r="RE192" s="93">
        <v>0</v>
      </c>
      <c r="RF192" s="93">
        <v>0</v>
      </c>
      <c r="RG192" s="93">
        <v>114.742</v>
      </c>
      <c r="RH192" s="93">
        <v>72.91</v>
      </c>
      <c r="RI192" s="93"/>
      <c r="RJ192" s="93"/>
      <c r="RK192" s="93"/>
      <c r="RL192" s="93"/>
      <c r="RM192" s="734"/>
      <c r="RN192" s="29">
        <v>125</v>
      </c>
      <c r="RO192" s="19"/>
      <c r="RP192" s="20"/>
      <c r="RQ192" s="29">
        <v>125</v>
      </c>
      <c r="RR192" s="734">
        <v>1.326505</v>
      </c>
      <c r="RS192" s="29">
        <v>125</v>
      </c>
      <c r="RT192" s="1504">
        <v>40299</v>
      </c>
      <c r="RU192" s="19"/>
      <c r="RV192" s="20"/>
      <c r="RW192" s="29">
        <v>125</v>
      </c>
      <c r="RX192" s="1504">
        <v>40299</v>
      </c>
      <c r="RY192" s="29"/>
      <c r="RZ192" s="734"/>
      <c r="SA192" s="29"/>
      <c r="SB192" s="29">
        <v>125</v>
      </c>
    </row>
    <row r="193" spans="1:496">
      <c r="A193" s="41">
        <f t="shared" si="191"/>
        <v>2010</v>
      </c>
      <c r="B193" s="1504">
        <v>40330</v>
      </c>
      <c r="C193" s="1813"/>
      <c r="D193" s="1814"/>
      <c r="E193" s="1814"/>
      <c r="F193" s="1815"/>
      <c r="G193" s="1814"/>
      <c r="H193" s="1814"/>
      <c r="I193" s="1814"/>
      <c r="J193" s="1816"/>
      <c r="K193" s="1807"/>
      <c r="L193" s="25">
        <v>126</v>
      </c>
      <c r="M193" s="97"/>
      <c r="N193" s="1504">
        <v>40330</v>
      </c>
      <c r="O193" s="19"/>
      <c r="P193" s="93"/>
      <c r="Q193" s="93"/>
      <c r="R193" s="93"/>
      <c r="S193" s="93"/>
      <c r="T193" s="93"/>
      <c r="U193" s="93"/>
      <c r="V193" s="93"/>
      <c r="W193" s="93"/>
      <c r="X193" s="93"/>
      <c r="Y193" s="93"/>
      <c r="Z193" s="93"/>
      <c r="AA193" s="93"/>
      <c r="AB193" s="20"/>
      <c r="AC193" s="25">
        <v>126</v>
      </c>
      <c r="AD193" s="97"/>
      <c r="AE193" s="1504">
        <v>40330</v>
      </c>
      <c r="AF193" s="19"/>
      <c r="AG193" s="93"/>
      <c r="AH193" s="93"/>
      <c r="AI193" s="93"/>
      <c r="AJ193" s="93"/>
      <c r="AK193" s="93"/>
      <c r="AL193" s="93"/>
      <c r="AM193" s="93"/>
      <c r="AN193" s="93"/>
      <c r="AO193" s="93"/>
      <c r="AP193" s="93"/>
      <c r="AQ193" s="93"/>
      <c r="AR193" s="93"/>
      <c r="AS193" s="20"/>
      <c r="AT193" s="25">
        <v>126</v>
      </c>
      <c r="AU193" s="97"/>
      <c r="AV193" s="1504">
        <v>40330</v>
      </c>
      <c r="AW193" s="19"/>
      <c r="AX193" s="93"/>
      <c r="AY193" s="93"/>
      <c r="AZ193" s="93"/>
      <c r="BA193" s="93"/>
      <c r="BB193" s="93"/>
      <c r="BC193" s="93"/>
      <c r="BD193" s="93"/>
      <c r="BE193" s="93"/>
      <c r="BF193" s="93"/>
      <c r="BG193" s="93"/>
      <c r="BH193" s="93"/>
      <c r="BI193" s="93"/>
      <c r="BJ193" s="20"/>
      <c r="BK193" s="25">
        <v>126</v>
      </c>
      <c r="BL193" s="97"/>
      <c r="BM193" s="1504">
        <v>40330</v>
      </c>
      <c r="BN193" s="19"/>
      <c r="BO193" s="93"/>
      <c r="BP193" s="93"/>
      <c r="BQ193" s="93"/>
      <c r="BR193" s="93"/>
      <c r="BS193" s="93"/>
      <c r="BT193" s="93"/>
      <c r="BU193" s="20"/>
      <c r="BV193" s="25">
        <v>126</v>
      </c>
      <c r="BW193" s="97"/>
      <c r="BX193" s="1504">
        <v>40330</v>
      </c>
      <c r="BY193" s="179">
        <v>537.29437870000004</v>
      </c>
      <c r="BZ193" s="99">
        <v>664.95699999999999</v>
      </c>
      <c r="CA193" s="93"/>
      <c r="CB193" s="93"/>
      <c r="CC193" s="99">
        <v>377.54514157240214</v>
      </c>
      <c r="CD193" s="25">
        <v>126</v>
      </c>
      <c r="CE193" s="97"/>
      <c r="CF193" s="1504">
        <v>40330</v>
      </c>
      <c r="CG193" s="179">
        <v>2.0511784479999999</v>
      </c>
      <c r="CH193" s="99">
        <v>1232.92</v>
      </c>
      <c r="CI193" s="219"/>
      <c r="CJ193" s="20"/>
      <c r="CK193" s="19"/>
      <c r="CL193" s="93"/>
      <c r="CM193" s="93"/>
      <c r="CN193" s="93"/>
      <c r="CO193" s="93"/>
      <c r="CP193" s="20"/>
      <c r="CQ193" s="219">
        <v>1366.87</v>
      </c>
      <c r="CR193" s="93">
        <v>2.2349999999999999</v>
      </c>
      <c r="CS193" s="93"/>
      <c r="CT193" s="93"/>
      <c r="CU193" s="93"/>
      <c r="CV193" s="214"/>
      <c r="CW193" s="29">
        <v>126</v>
      </c>
      <c r="CX193" s="41">
        <f t="shared" si="192"/>
        <v>2010</v>
      </c>
      <c r="CY193" s="1504">
        <v>40330</v>
      </c>
      <c r="CZ193" s="1916">
        <v>71.248239100000006</v>
      </c>
      <c r="DA193" s="1526">
        <v>42.523853100000011</v>
      </c>
      <c r="DB193" s="1526">
        <v>28.724385999999999</v>
      </c>
      <c r="DC193" s="182">
        <f t="shared" si="205"/>
        <v>362165</v>
      </c>
      <c r="DD193" s="182">
        <f t="shared" si="206"/>
        <v>361092</v>
      </c>
      <c r="DE193" s="182">
        <f t="shared" si="207"/>
        <v>1073</v>
      </c>
      <c r="DF193" s="29">
        <v>126</v>
      </c>
      <c r="DG193" s="1504">
        <v>40330</v>
      </c>
      <c r="DH193" s="19"/>
      <c r="DI193" s="93"/>
      <c r="DJ193" s="93"/>
      <c r="DK193" s="93"/>
      <c r="DL193" s="93"/>
      <c r="DM193" s="93"/>
      <c r="DN193" s="20"/>
      <c r="DO193" s="25"/>
      <c r="DP193" s="29">
        <v>126</v>
      </c>
      <c r="DQ193" s="1504">
        <v>40330</v>
      </c>
      <c r="DR193" s="19"/>
      <c r="DS193" s="93"/>
      <c r="DT193" s="93"/>
      <c r="DU193" s="93"/>
      <c r="DV193" s="93"/>
      <c r="DW193" s="93"/>
      <c r="DX193" s="20"/>
      <c r="DY193" s="29">
        <v>126</v>
      </c>
      <c r="DZ193" s="1504">
        <v>40330</v>
      </c>
      <c r="EA193" s="19"/>
      <c r="EB193" s="93"/>
      <c r="EC193" s="20"/>
      <c r="ED193" s="29">
        <v>126</v>
      </c>
      <c r="EE193" s="1504">
        <v>40330</v>
      </c>
      <c r="EF193" s="19"/>
      <c r="EG193" s="93"/>
      <c r="EH193" s="93"/>
      <c r="EI193" s="214"/>
      <c r="EJ193" s="93"/>
      <c r="EK193" s="93"/>
      <c r="EL193" s="93"/>
      <c r="EM193" s="93"/>
      <c r="EN193" s="20"/>
      <c r="EO193" s="29">
        <v>126</v>
      </c>
      <c r="EP193" s="1504">
        <v>40330</v>
      </c>
      <c r="EQ193" s="19"/>
      <c r="ER193" s="93"/>
      <c r="ES193" s="93"/>
      <c r="ET193" s="214"/>
      <c r="EU193" s="93"/>
      <c r="EV193" s="93"/>
      <c r="EW193" s="93"/>
      <c r="EX193" s="93"/>
      <c r="EY193" s="20"/>
      <c r="EZ193" s="29">
        <v>126</v>
      </c>
      <c r="FA193" s="1504">
        <v>40330</v>
      </c>
      <c r="FB193" s="29"/>
      <c r="FC193" s="29"/>
      <c r="FD193" s="29"/>
      <c r="FE193" s="29"/>
      <c r="FF193" s="29"/>
      <c r="FG193" s="29"/>
      <c r="FH193" s="29"/>
      <c r="FI193" s="29"/>
      <c r="FJ193" s="29"/>
      <c r="FK193" s="29">
        <v>126</v>
      </c>
      <c r="FL193" s="1504">
        <v>40330</v>
      </c>
      <c r="FM193" s="19">
        <v>100.99624858569842</v>
      </c>
      <c r="FN193" s="93">
        <v>107.26088103259814</v>
      </c>
      <c r="FO193" s="93">
        <v>96.452892432454348</v>
      </c>
      <c r="FP193" s="93">
        <v>100.11589727997999</v>
      </c>
      <c r="FQ193" s="93">
        <v>99.916175438667096</v>
      </c>
      <c r="FR193" s="93">
        <v>98.204681728071847</v>
      </c>
      <c r="FS193" s="93">
        <v>99.780161434055202</v>
      </c>
      <c r="FT193" s="93">
        <v>96.001925482124847</v>
      </c>
      <c r="FU193" s="93">
        <v>83.504691680585296</v>
      </c>
      <c r="FV193" s="93">
        <v>98.82442289966005</v>
      </c>
      <c r="FW193" s="93">
        <v>101.99334149199743</v>
      </c>
      <c r="FX193" s="93">
        <v>100.80671848310109</v>
      </c>
      <c r="FY193" s="93">
        <v>101.71619696312131</v>
      </c>
      <c r="FZ193" s="29">
        <v>126</v>
      </c>
      <c r="GA193" s="1504">
        <v>40330</v>
      </c>
      <c r="GB193" s="733">
        <v>100.99624858569842</v>
      </c>
      <c r="GC193" s="570">
        <v>99.87819937635058</v>
      </c>
      <c r="GD193" s="570">
        <v>101.71831176731654</v>
      </c>
      <c r="GE193" s="570">
        <v>99.279440148095489</v>
      </c>
      <c r="GF193" s="570">
        <v>109.91849967838927</v>
      </c>
      <c r="GG193" s="570">
        <v>98.275530873382962</v>
      </c>
      <c r="GH193" s="93"/>
      <c r="GI193" s="93"/>
      <c r="GJ193" s="93"/>
      <c r="GK193" s="93"/>
      <c r="GL193" s="93"/>
      <c r="GM193" s="93"/>
      <c r="GN193" s="20"/>
      <c r="GO193" s="29">
        <v>126</v>
      </c>
      <c r="GP193" s="1504">
        <v>40330</v>
      </c>
      <c r="GQ193" s="19"/>
      <c r="GR193" s="93"/>
      <c r="GS193" s="93"/>
      <c r="GT193" s="93"/>
      <c r="GU193" s="93"/>
      <c r="GV193" s="20"/>
      <c r="GW193" s="19"/>
      <c r="GX193" s="93"/>
      <c r="GY193" s="93"/>
      <c r="GZ193" s="93"/>
      <c r="HA193" s="93"/>
      <c r="HB193" s="20"/>
      <c r="HC193" s="19"/>
      <c r="HD193" s="93"/>
      <c r="HE193" s="93"/>
      <c r="HF193" s="93"/>
      <c r="HG193" s="93"/>
      <c r="HH193" s="20"/>
      <c r="HI193" s="19"/>
      <c r="HJ193" s="93"/>
      <c r="HK193" s="93"/>
      <c r="HL193" s="93"/>
      <c r="HM193" s="93"/>
      <c r="HN193" s="20"/>
      <c r="HO193" s="219"/>
      <c r="HP193" s="20"/>
      <c r="HQ193" s="25"/>
      <c r="HR193" s="29">
        <v>126</v>
      </c>
      <c r="HS193" s="1504">
        <v>40330</v>
      </c>
      <c r="HT193" s="179">
        <v>171.42456436157227</v>
      </c>
      <c r="HU193" s="99">
        <v>197.91667175292969</v>
      </c>
      <c r="HV193" s="99">
        <v>152.02702331542969</v>
      </c>
      <c r="HW193" s="99">
        <v>121.35923004150391</v>
      </c>
      <c r="HX193" s="99">
        <v>167.5084228515625</v>
      </c>
      <c r="HY193" s="99">
        <v>165.65041351318359</v>
      </c>
      <c r="HZ193" s="99">
        <v>190.78603363037109</v>
      </c>
      <c r="IA193" s="132">
        <v>162.90323028564453</v>
      </c>
      <c r="IB193" s="179">
        <v>185.91714782714843</v>
      </c>
      <c r="IC193" s="99">
        <v>122.08718681335449</v>
      </c>
      <c r="ID193" s="99"/>
      <c r="IE193" s="99">
        <v>134.07590484619141</v>
      </c>
      <c r="IF193" s="99">
        <v>197.22222391764322</v>
      </c>
      <c r="IG193" s="132">
        <v>143.6842155456543</v>
      </c>
      <c r="IH193" s="179">
        <v>119.10870552062988</v>
      </c>
      <c r="II193" s="99">
        <v>181.29531860351563</v>
      </c>
      <c r="IJ193" s="99">
        <v>131.11888122558594</v>
      </c>
      <c r="IK193" s="99">
        <v>132.14285850524902</v>
      </c>
      <c r="IL193" s="99">
        <v>123.47561264038086</v>
      </c>
      <c r="IM193" s="99">
        <v>136.60130310058594</v>
      </c>
      <c r="IN193" s="93"/>
      <c r="IO193" s="132">
        <v>151.27887153625488</v>
      </c>
      <c r="IP193" s="29">
        <v>126</v>
      </c>
      <c r="IQ193" s="19"/>
      <c r="IR193" s="93"/>
      <c r="IS193" s="93"/>
      <c r="IT193" s="93"/>
      <c r="IU193" s="93"/>
      <c r="IV193" s="20"/>
      <c r="IW193" s="29">
        <v>126</v>
      </c>
      <c r="IX193" s="19"/>
      <c r="IY193" s="93"/>
      <c r="IZ193" s="93"/>
      <c r="JA193" s="93"/>
      <c r="JB193" s="93"/>
      <c r="JC193" s="93"/>
      <c r="JD193" s="93"/>
      <c r="JE193" s="20"/>
      <c r="JF193" s="29">
        <v>126</v>
      </c>
      <c r="JG193" s="19"/>
      <c r="JH193" s="93"/>
      <c r="JI193" s="93"/>
      <c r="JJ193" s="93"/>
      <c r="JK193" s="93"/>
      <c r="JL193" s="93"/>
      <c r="JM193" s="93"/>
      <c r="JN193" s="20"/>
      <c r="JO193" s="29">
        <v>126</v>
      </c>
      <c r="JP193" s="19"/>
      <c r="JQ193" s="93"/>
      <c r="JR193" s="93"/>
      <c r="JS193" s="93"/>
      <c r="JT193" s="93"/>
      <c r="JU193" s="20"/>
      <c r="JV193" s="29">
        <v>126</v>
      </c>
      <c r="JW193" s="1504">
        <v>40330</v>
      </c>
      <c r="JX193" s="19"/>
      <c r="JY193" s="93"/>
      <c r="JZ193" s="93"/>
      <c r="KA193" s="93"/>
      <c r="KB193" s="93"/>
      <c r="KC193" s="93"/>
      <c r="KD193" s="20"/>
      <c r="KE193" s="29">
        <v>126</v>
      </c>
      <c r="KF193" s="19"/>
      <c r="KG193" s="93"/>
      <c r="KH193" s="93"/>
      <c r="KI193" s="93"/>
      <c r="KJ193" s="93"/>
      <c r="KK193" s="20"/>
      <c r="KL193" s="29">
        <v>126</v>
      </c>
      <c r="KM193" s="19"/>
      <c r="KN193" s="93"/>
      <c r="KO193" s="93"/>
      <c r="KP193" s="93"/>
      <c r="KQ193" s="93"/>
      <c r="KR193" s="20"/>
      <c r="KS193" s="29">
        <v>126</v>
      </c>
      <c r="KT193" s="19"/>
      <c r="KU193" s="93"/>
      <c r="KV193" s="93"/>
      <c r="KW193" s="93"/>
      <c r="KX193" s="93"/>
      <c r="KY193" s="20"/>
      <c r="KZ193" s="29">
        <v>126</v>
      </c>
      <c r="LA193" s="1504">
        <v>40330</v>
      </c>
      <c r="LB193" s="19">
        <v>460</v>
      </c>
      <c r="LC193" s="93">
        <v>650</v>
      </c>
      <c r="LD193" s="93">
        <v>642</v>
      </c>
      <c r="LE193" s="93"/>
      <c r="LF193" s="93">
        <v>575</v>
      </c>
      <c r="LG193" s="93"/>
      <c r="LH193" s="20"/>
      <c r="LI193" s="29">
        <v>126</v>
      </c>
      <c r="LJ193" s="19"/>
      <c r="LK193" s="93"/>
      <c r="LL193" s="93"/>
      <c r="LM193" s="93"/>
      <c r="LN193" s="93"/>
      <c r="LO193" s="20"/>
      <c r="LP193" s="29">
        <v>126</v>
      </c>
      <c r="LQ193" s="19"/>
      <c r="LR193" s="93"/>
      <c r="LS193" s="93"/>
      <c r="LT193" s="93"/>
      <c r="LU193" s="93"/>
      <c r="LV193" s="93"/>
      <c r="LW193" s="93"/>
      <c r="LX193" s="93"/>
      <c r="LY193" s="93"/>
      <c r="LZ193" s="93"/>
      <c r="MA193" s="20"/>
      <c r="MB193" s="29">
        <v>126</v>
      </c>
      <c r="MC193" s="1504">
        <v>40330</v>
      </c>
      <c r="MD193" s="19">
        <v>80613.752691000002</v>
      </c>
      <c r="ME193" s="93">
        <v>61678.113947999998</v>
      </c>
      <c r="MF193" s="93">
        <v>61678.077947999998</v>
      </c>
      <c r="MG193" s="93">
        <v>47981.938245999998</v>
      </c>
      <c r="MH193" s="93">
        <v>9964.401477999998</v>
      </c>
      <c r="MI193" s="93">
        <v>507.48721400000005</v>
      </c>
      <c r="MJ193" s="93">
        <v>300.717218</v>
      </c>
      <c r="MK193" s="93">
        <v>28461.232396000007</v>
      </c>
      <c r="ML193" s="93">
        <v>8251.2517079999998</v>
      </c>
      <c r="MM193" s="93">
        <v>19285.443352000002</v>
      </c>
      <c r="MN193" s="93">
        <v>13696.139702</v>
      </c>
      <c r="MO193" s="93">
        <v>377.60756799999996</v>
      </c>
      <c r="MP193" s="93">
        <v>11620.749366</v>
      </c>
      <c r="MQ193" s="93">
        <v>227.01908</v>
      </c>
      <c r="MR193" s="93">
        <v>416.52206299999995</v>
      </c>
      <c r="MS193" s="93">
        <v>1054.2416250000001</v>
      </c>
      <c r="MT193" s="93">
        <v>3.5999999999999997E-2</v>
      </c>
      <c r="MU193" s="93">
        <v>18935.638743</v>
      </c>
      <c r="MV193" s="93">
        <v>3457.4127430000003</v>
      </c>
      <c r="MW193" s="93">
        <v>15478.226000000001</v>
      </c>
      <c r="MX193" s="93">
        <v>74892.170170854122</v>
      </c>
      <c r="MY193" s="93">
        <v>75215.558865854124</v>
      </c>
      <c r="MZ193" s="93">
        <v>36551.125158854134</v>
      </c>
      <c r="NA193" s="93">
        <v>18762.484409333334</v>
      </c>
      <c r="NB193" s="93">
        <v>3537.8711773333325</v>
      </c>
      <c r="NC193" s="93">
        <v>3476.9410579999994</v>
      </c>
      <c r="ND193" s="93">
        <v>2815.6506839999993</v>
      </c>
      <c r="NE193" s="93">
        <v>661.29037400000004</v>
      </c>
      <c r="NF193" s="93">
        <v>10773.828514187469</v>
      </c>
      <c r="NG193" s="93">
        <v>359.84181618747863</v>
      </c>
      <c r="NH193" s="93">
        <v>673.17095399999801</v>
      </c>
      <c r="NI193" s="93">
        <v>588.96041600000001</v>
      </c>
      <c r="NJ193" s="93">
        <v>3467.4822170000002</v>
      </c>
      <c r="NK193" s="93">
        <v>38664.433706999997</v>
      </c>
      <c r="NL193" s="93">
        <v>22213.835695999995</v>
      </c>
      <c r="NM193" s="93">
        <v>52.68</v>
      </c>
      <c r="NN193" s="93">
        <v>16397.918010999998</v>
      </c>
      <c r="NO193" s="93">
        <v>-323.38869500000146</v>
      </c>
      <c r="NP193" s="93">
        <v>5721.5825201458783</v>
      </c>
      <c r="NQ193" s="93">
        <v>-13214.056222854122</v>
      </c>
      <c r="NR193" s="93">
        <v>6660.8028461458762</v>
      </c>
      <c r="NS193" s="93">
        <v>3183.8617881458772</v>
      </c>
      <c r="NT193" s="93">
        <v>-9175.9792418541256</v>
      </c>
      <c r="NU193" s="93">
        <v>-28111.617984854125</v>
      </c>
      <c r="NV193" s="93">
        <v>-4074.813714525083</v>
      </c>
      <c r="NW193" s="93">
        <v>10233.034734999997</v>
      </c>
      <c r="NX193" s="93">
        <v>12940.505267999997</v>
      </c>
      <c r="NY193" s="93">
        <v>-2707.4705329999997</v>
      </c>
      <c r="NZ193" s="93">
        <v>0</v>
      </c>
      <c r="OA193" s="93">
        <v>-14307.848449525081</v>
      </c>
      <c r="OB193" s="93">
        <v>-3142.7563794960697</v>
      </c>
      <c r="OC193" s="93">
        <v>-11165.092070029012</v>
      </c>
      <c r="OD193" s="20">
        <v>0</v>
      </c>
      <c r="OE193" s="29">
        <v>126</v>
      </c>
      <c r="OF193" s="1504">
        <v>40330</v>
      </c>
      <c r="OG193" s="19"/>
      <c r="OH193" s="93">
        <v>191.12720000000002</v>
      </c>
      <c r="OI193" s="93">
        <v>520.10202280825308</v>
      </c>
      <c r="OJ193" s="93">
        <v>0.36831753500000003</v>
      </c>
      <c r="OK193" s="93">
        <v>453.10300527325307</v>
      </c>
      <c r="OL193" s="93">
        <v>66.63069999999999</v>
      </c>
      <c r="OM193" s="93">
        <v>711.2292228082531</v>
      </c>
      <c r="ON193" s="93">
        <v>519.17823099070779</v>
      </c>
      <c r="OO193" s="93">
        <v>1230.4074537989609</v>
      </c>
      <c r="OP193" s="93"/>
      <c r="OQ193" s="93">
        <v>652.13698632954618</v>
      </c>
      <c r="OR193" s="93">
        <v>380.06518874800008</v>
      </c>
      <c r="OS193" s="93">
        <v>272.07179758154609</v>
      </c>
      <c r="OT193" s="93">
        <v>736.15423361841488</v>
      </c>
      <c r="OU193" s="93">
        <v>-30.860740796999984</v>
      </c>
      <c r="OV193" s="93">
        <v>-24.108740797000003</v>
      </c>
      <c r="OW193" s="93">
        <v>-6.7519999999999811</v>
      </c>
      <c r="OX193" s="93">
        <v>767.01497441541483</v>
      </c>
      <c r="OY193" s="93">
        <v>3.9675357330000001</v>
      </c>
      <c r="OZ193" s="93">
        <v>763.04743868241474</v>
      </c>
      <c r="PA193" s="93">
        <v>163.05878187199988</v>
      </c>
      <c r="PB193" s="93">
        <v>-5.1750157230000511</v>
      </c>
      <c r="PC193" s="20">
        <v>1230.4074537989613</v>
      </c>
      <c r="PD193" s="29">
        <v>126</v>
      </c>
      <c r="PE193" s="19"/>
      <c r="PF193" s="93">
        <v>380.06518874800008</v>
      </c>
      <c r="PG193" s="93">
        <v>591.67517784100005</v>
      </c>
      <c r="PH193" s="93">
        <v>211.609989093</v>
      </c>
      <c r="PI193" s="93">
        <v>47.843000000000004</v>
      </c>
      <c r="PJ193" s="93">
        <v>-19.642340797000003</v>
      </c>
      <c r="PK193" s="93">
        <v>99.837772013999995</v>
      </c>
      <c r="PL193" s="93">
        <v>119.480112811</v>
      </c>
      <c r="PM193" s="93">
        <v>3.9675357330000001</v>
      </c>
      <c r="PN193" s="93">
        <v>1.21</v>
      </c>
      <c r="PO193" s="93">
        <v>0</v>
      </c>
      <c r="PP193" s="93">
        <v>5.2826000000000001E-4</v>
      </c>
      <c r="PQ193" s="93">
        <v>2.7570074730000003</v>
      </c>
      <c r="PR193" s="93">
        <v>411.23137231200002</v>
      </c>
      <c r="PS193" s="93">
        <v>225.07560000000001</v>
      </c>
      <c r="PT193" s="93">
        <v>185.78745477699999</v>
      </c>
      <c r="PU193" s="93">
        <v>0.36831753500000003</v>
      </c>
      <c r="PV193" s="93">
        <v>0</v>
      </c>
      <c r="PW193" s="93">
        <v>0.47541054999999999</v>
      </c>
      <c r="PX193" s="93">
        <v>0</v>
      </c>
      <c r="PY193" s="93">
        <v>0</v>
      </c>
      <c r="PZ193" s="93">
        <v>0.47541054999999999</v>
      </c>
      <c r="QA193" s="93">
        <v>0</v>
      </c>
      <c r="QB193" s="93">
        <v>0</v>
      </c>
      <c r="QC193" s="93">
        <v>0</v>
      </c>
      <c r="QD193" s="93">
        <v>2.1371322000000026E-2</v>
      </c>
      <c r="QE193" s="20">
        <v>0.50522949999999978</v>
      </c>
      <c r="QF193" s="1739">
        <v>126</v>
      </c>
      <c r="QG193" s="19"/>
      <c r="QH193" s="1035">
        <v>272.07179758154609</v>
      </c>
      <c r="QI193" s="1035">
        <v>363.14956131758527</v>
      </c>
      <c r="QJ193" s="1035">
        <v>-91.077763736039159</v>
      </c>
      <c r="QK193" s="1035">
        <v>211.892</v>
      </c>
      <c r="QL193" s="1035">
        <v>29.481999999999999</v>
      </c>
      <c r="QM193" s="1035">
        <v>182.41</v>
      </c>
      <c r="QN193" s="1035">
        <v>0</v>
      </c>
      <c r="QO193" s="1035">
        <v>-6.7519999999999811</v>
      </c>
      <c r="QP193" s="1035">
        <v>93.326000000000008</v>
      </c>
      <c r="QQ193" s="1035">
        <v>-100.07799999999999</v>
      </c>
      <c r="QR193" s="1035">
        <v>763.04743868241474</v>
      </c>
      <c r="QS193" s="1035">
        <v>10.856192633310402</v>
      </c>
      <c r="QT193" s="1035">
        <v>0</v>
      </c>
      <c r="QU193" s="1035">
        <v>61.194000000000003</v>
      </c>
      <c r="QV193" s="1035">
        <v>690.99724604910432</v>
      </c>
      <c r="QW193" s="93"/>
      <c r="QX193" s="93">
        <v>42.545999999999999</v>
      </c>
      <c r="QY193" s="93">
        <v>453.10300527325302</v>
      </c>
      <c r="QZ193" s="93">
        <v>519.17823099070779</v>
      </c>
      <c r="RA193" s="93">
        <v>0</v>
      </c>
      <c r="RB193" s="93">
        <v>31.196000000000002</v>
      </c>
      <c r="RC193" s="93">
        <v>3.306</v>
      </c>
      <c r="RD193" s="93">
        <v>7.7969999999999997</v>
      </c>
      <c r="RE193" s="93">
        <v>0</v>
      </c>
      <c r="RF193" s="93">
        <v>0</v>
      </c>
      <c r="RG193" s="93">
        <v>120.26299999999988</v>
      </c>
      <c r="RH193" s="93">
        <v>62.869999999999962</v>
      </c>
      <c r="RI193" s="93"/>
      <c r="RJ193" s="93"/>
      <c r="RK193" s="93"/>
      <c r="RL193" s="93"/>
      <c r="RM193" s="734"/>
      <c r="RN193" s="29">
        <v>126</v>
      </c>
      <c r="RO193" s="19"/>
      <c r="RP193" s="20"/>
      <c r="RQ193" s="29">
        <v>126</v>
      </c>
      <c r="RR193" s="734">
        <v>1.7885709999999999</v>
      </c>
      <c r="RS193" s="29">
        <v>126</v>
      </c>
      <c r="RT193" s="1504">
        <v>40330</v>
      </c>
      <c r="RU193" s="19"/>
      <c r="RV193" s="20"/>
      <c r="RW193" s="29">
        <v>126</v>
      </c>
      <c r="RX193" s="1504">
        <v>40330</v>
      </c>
      <c r="RY193" s="29"/>
      <c r="RZ193" s="734"/>
      <c r="SA193" s="29"/>
      <c r="SB193" s="29">
        <v>126</v>
      </c>
    </row>
    <row r="194" spans="1:496">
      <c r="A194" s="41">
        <f t="shared" si="191"/>
        <v>2010</v>
      </c>
      <c r="B194" s="1504">
        <v>40360</v>
      </c>
      <c r="C194" s="1813"/>
      <c r="D194" s="1814"/>
      <c r="E194" s="1814"/>
      <c r="F194" s="1815"/>
      <c r="G194" s="1814"/>
      <c r="H194" s="1814"/>
      <c r="I194" s="1814"/>
      <c r="J194" s="1816"/>
      <c r="K194" s="1807"/>
      <c r="L194" s="25">
        <v>127</v>
      </c>
      <c r="M194" s="97"/>
      <c r="N194" s="1504">
        <v>40360</v>
      </c>
      <c r="O194" s="19"/>
      <c r="P194" s="93"/>
      <c r="Q194" s="93"/>
      <c r="R194" s="93"/>
      <c r="S194" s="93"/>
      <c r="T194" s="93"/>
      <c r="U194" s="93"/>
      <c r="V194" s="93"/>
      <c r="W194" s="93"/>
      <c r="X194" s="93"/>
      <c r="Y194" s="93"/>
      <c r="Z194" s="93"/>
      <c r="AA194" s="93"/>
      <c r="AB194" s="20"/>
      <c r="AC194" s="25">
        <v>127</v>
      </c>
      <c r="AD194" s="97"/>
      <c r="AE194" s="1504">
        <v>40360</v>
      </c>
      <c r="AF194" s="19"/>
      <c r="AG194" s="93"/>
      <c r="AH194" s="93"/>
      <c r="AI194" s="93"/>
      <c r="AJ194" s="93"/>
      <c r="AK194" s="93"/>
      <c r="AL194" s="93"/>
      <c r="AM194" s="93"/>
      <c r="AN194" s="93"/>
      <c r="AO194" s="93"/>
      <c r="AP194" s="93"/>
      <c r="AQ194" s="93"/>
      <c r="AR194" s="93"/>
      <c r="AS194" s="20"/>
      <c r="AT194" s="25">
        <v>127</v>
      </c>
      <c r="AU194" s="97"/>
      <c r="AV194" s="1504">
        <v>40360</v>
      </c>
      <c r="AW194" s="19"/>
      <c r="AX194" s="93"/>
      <c r="AY194" s="93"/>
      <c r="AZ194" s="93"/>
      <c r="BA194" s="93"/>
      <c r="BB194" s="93"/>
      <c r="BC194" s="93"/>
      <c r="BD194" s="93"/>
      <c r="BE194" s="93"/>
      <c r="BF194" s="93"/>
      <c r="BG194" s="93"/>
      <c r="BH194" s="93"/>
      <c r="BI194" s="93"/>
      <c r="BJ194" s="20"/>
      <c r="BK194" s="25">
        <v>127</v>
      </c>
      <c r="BL194" s="97"/>
      <c r="BM194" s="1504">
        <v>40360</v>
      </c>
      <c r="BN194" s="19"/>
      <c r="BO194" s="93"/>
      <c r="BP194" s="93"/>
      <c r="BQ194" s="93"/>
      <c r="BR194" s="93"/>
      <c r="BS194" s="93"/>
      <c r="BT194" s="93"/>
      <c r="BU194" s="20"/>
      <c r="BV194" s="25">
        <v>127</v>
      </c>
      <c r="BW194" s="97"/>
      <c r="BX194" s="1504">
        <v>40360</v>
      </c>
      <c r="BY194" s="179">
        <v>513.67336712999997</v>
      </c>
      <c r="BZ194" s="99">
        <v>664.95699999999999</v>
      </c>
      <c r="CA194" s="93"/>
      <c r="CB194" s="93"/>
      <c r="CC194" s="99">
        <v>358.6780324203466</v>
      </c>
      <c r="CD194" s="25">
        <v>127</v>
      </c>
      <c r="CE194" s="97"/>
      <c r="CF194" s="1504">
        <v>40360</v>
      </c>
      <c r="CG194" s="179">
        <v>1.85538815</v>
      </c>
      <c r="CH194" s="99">
        <v>1192.9659999999999</v>
      </c>
      <c r="CI194" s="219"/>
      <c r="CJ194" s="20"/>
      <c r="CK194" s="19"/>
      <c r="CL194" s="93"/>
      <c r="CM194" s="93"/>
      <c r="CN194" s="93"/>
      <c r="CO194" s="93"/>
      <c r="CP194" s="20"/>
      <c r="CQ194" s="219">
        <v>1366.87</v>
      </c>
      <c r="CR194" s="93">
        <v>2.3149999999999999</v>
      </c>
      <c r="CS194" s="93"/>
      <c r="CT194" s="93"/>
      <c r="CU194" s="93"/>
      <c r="CV194" s="214"/>
      <c r="CW194" s="29">
        <v>127</v>
      </c>
      <c r="CX194" s="41">
        <f t="shared" si="192"/>
        <v>2010</v>
      </c>
      <c r="CY194" s="1504">
        <v>40360</v>
      </c>
      <c r="CZ194" s="1916">
        <v>69.918939300000005</v>
      </c>
      <c r="DA194" s="1526">
        <v>43.546550300000007</v>
      </c>
      <c r="DB194" s="1526">
        <v>26.372388999999998</v>
      </c>
      <c r="DC194" s="182">
        <f t="shared" si="205"/>
        <v>362165</v>
      </c>
      <c r="DD194" s="182">
        <f t="shared" si="206"/>
        <v>361092</v>
      </c>
      <c r="DE194" s="182">
        <f t="shared" si="207"/>
        <v>1073</v>
      </c>
      <c r="DF194" s="29">
        <v>127</v>
      </c>
      <c r="DG194" s="1504">
        <v>40360</v>
      </c>
      <c r="DH194" s="19"/>
      <c r="DI194" s="93"/>
      <c r="DJ194" s="93"/>
      <c r="DK194" s="93"/>
      <c r="DL194" s="93"/>
      <c r="DM194" s="93"/>
      <c r="DN194" s="20"/>
      <c r="DO194" s="25"/>
      <c r="DP194" s="29">
        <v>127</v>
      </c>
      <c r="DQ194" s="1504">
        <v>40360</v>
      </c>
      <c r="DR194" s="19"/>
      <c r="DS194" s="93"/>
      <c r="DT194" s="93"/>
      <c r="DU194" s="93"/>
      <c r="DV194" s="93"/>
      <c r="DW194" s="93"/>
      <c r="DX194" s="20"/>
      <c r="DY194" s="29">
        <v>127</v>
      </c>
      <c r="DZ194" s="1504">
        <v>40360</v>
      </c>
      <c r="EA194" s="19"/>
      <c r="EB194" s="93"/>
      <c r="EC194" s="20"/>
      <c r="ED194" s="29">
        <v>127</v>
      </c>
      <c r="EE194" s="1504">
        <v>40360</v>
      </c>
      <c r="EF194" s="19"/>
      <c r="EG194" s="93"/>
      <c r="EH194" s="93"/>
      <c r="EI194" s="214"/>
      <c r="EJ194" s="93"/>
      <c r="EK194" s="93"/>
      <c r="EL194" s="93"/>
      <c r="EM194" s="93"/>
      <c r="EN194" s="20"/>
      <c r="EO194" s="29">
        <v>127</v>
      </c>
      <c r="EP194" s="1504">
        <v>40360</v>
      </c>
      <c r="EQ194" s="19"/>
      <c r="ER194" s="93"/>
      <c r="ES194" s="93"/>
      <c r="ET194" s="214"/>
      <c r="EU194" s="93"/>
      <c r="EV194" s="93"/>
      <c r="EW194" s="93"/>
      <c r="EX194" s="93"/>
      <c r="EY194" s="20"/>
      <c r="EZ194" s="29">
        <v>127</v>
      </c>
      <c r="FA194" s="1504">
        <v>40360</v>
      </c>
      <c r="FB194" s="29"/>
      <c r="FC194" s="29"/>
      <c r="FD194" s="29"/>
      <c r="FE194" s="29"/>
      <c r="FF194" s="29"/>
      <c r="FG194" s="29"/>
      <c r="FH194" s="29"/>
      <c r="FI194" s="29"/>
      <c r="FJ194" s="29"/>
      <c r="FK194" s="29">
        <v>127</v>
      </c>
      <c r="FL194" s="1504">
        <v>40360</v>
      </c>
      <c r="FM194" s="19">
        <v>101.29536269637961</v>
      </c>
      <c r="FN194" s="93">
        <v>107.81735230460745</v>
      </c>
      <c r="FO194" s="93">
        <v>98.748590408444301</v>
      </c>
      <c r="FP194" s="93">
        <v>100.11589727997999</v>
      </c>
      <c r="FQ194" s="93">
        <v>100.77970603130792</v>
      </c>
      <c r="FR194" s="93">
        <v>98.204681728071847</v>
      </c>
      <c r="FS194" s="93">
        <v>99.780161434055202</v>
      </c>
      <c r="FT194" s="93">
        <v>95.99806726000952</v>
      </c>
      <c r="FU194" s="93">
        <v>82.052541513211153</v>
      </c>
      <c r="FV194" s="93">
        <v>98.741327650583628</v>
      </c>
      <c r="FW194" s="93">
        <v>101.99334149199743</v>
      </c>
      <c r="FX194" s="93">
        <v>101.63555716801406</v>
      </c>
      <c r="FY194" s="93">
        <v>101.71619696312131</v>
      </c>
      <c r="FZ194" s="29">
        <v>127</v>
      </c>
      <c r="GA194" s="1504">
        <v>40360</v>
      </c>
      <c r="GB194" s="733">
        <v>101.29536269637961</v>
      </c>
      <c r="GC194" s="570">
        <v>99.828958639962465</v>
      </c>
      <c r="GD194" s="570">
        <v>102.23883231805372</v>
      </c>
      <c r="GE194" s="570">
        <v>100.81849010069269</v>
      </c>
      <c r="GF194" s="570">
        <v>110.16945723088601</v>
      </c>
      <c r="GG194" s="570">
        <v>98.510811359670001</v>
      </c>
      <c r="GH194" s="93"/>
      <c r="GI194" s="93"/>
      <c r="GJ194" s="93"/>
      <c r="GK194" s="93"/>
      <c r="GL194" s="93"/>
      <c r="GM194" s="93"/>
      <c r="GN194" s="20"/>
      <c r="GO194" s="29">
        <v>127</v>
      </c>
      <c r="GP194" s="1504">
        <v>40360</v>
      </c>
      <c r="GQ194" s="19"/>
      <c r="GR194" s="93"/>
      <c r="GS194" s="93"/>
      <c r="GT194" s="93"/>
      <c r="GU194" s="93"/>
      <c r="GV194" s="20"/>
      <c r="GW194" s="19"/>
      <c r="GX194" s="93"/>
      <c r="GY194" s="93"/>
      <c r="GZ194" s="93"/>
      <c r="HA194" s="93"/>
      <c r="HB194" s="20"/>
      <c r="HC194" s="19"/>
      <c r="HD194" s="93"/>
      <c r="HE194" s="93"/>
      <c r="HF194" s="93"/>
      <c r="HG194" s="93"/>
      <c r="HH194" s="20"/>
      <c r="HI194" s="19"/>
      <c r="HJ194" s="93"/>
      <c r="HK194" s="93"/>
      <c r="HL194" s="93"/>
      <c r="HM194" s="93"/>
      <c r="HN194" s="20"/>
      <c r="HO194" s="219"/>
      <c r="HP194" s="20"/>
      <c r="HQ194" s="25"/>
      <c r="HR194" s="29">
        <v>127</v>
      </c>
      <c r="HS194" s="1504">
        <v>40360</v>
      </c>
      <c r="HT194" s="179">
        <v>180.38582611083984</v>
      </c>
      <c r="HU194" s="99">
        <v>203.7500030517578</v>
      </c>
      <c r="HV194" s="99">
        <v>163.71406555175781</v>
      </c>
      <c r="HW194" s="99">
        <v>127.42718887329102</v>
      </c>
      <c r="HX194" s="99">
        <v>166.24579620361328</v>
      </c>
      <c r="HY194" s="99">
        <v>184.51897277832032</v>
      </c>
      <c r="HZ194" s="99">
        <v>217.99657745361327</v>
      </c>
      <c r="IA194" s="132">
        <v>171.50538126627603</v>
      </c>
      <c r="IB194" s="179">
        <v>188.0184326171875</v>
      </c>
      <c r="IC194" s="99">
        <v>131.1336669921875</v>
      </c>
      <c r="ID194" s="99"/>
      <c r="IE194" s="99">
        <v>140.67656707763672</v>
      </c>
      <c r="IF194" s="99">
        <v>183.7060661315918</v>
      </c>
      <c r="IG194" s="132">
        <v>144.6700439453125</v>
      </c>
      <c r="IH194" s="179">
        <v>125.88101005554199</v>
      </c>
      <c r="II194" s="99">
        <v>179.91997375488282</v>
      </c>
      <c r="IJ194" s="99">
        <v>134.84446105957031</v>
      </c>
      <c r="IK194" s="99">
        <v>133.92857360839844</v>
      </c>
      <c r="IL194" s="99">
        <v>138.04200744628906</v>
      </c>
      <c r="IM194" s="99">
        <v>140.25054168701172</v>
      </c>
      <c r="IN194" s="93"/>
      <c r="IO194" s="132">
        <v>163.05726013183593</v>
      </c>
      <c r="IP194" s="29">
        <v>127</v>
      </c>
      <c r="IQ194" s="19"/>
      <c r="IR194" s="93"/>
      <c r="IS194" s="93"/>
      <c r="IT194" s="93"/>
      <c r="IU194" s="93"/>
      <c r="IV194" s="20"/>
      <c r="IW194" s="29">
        <v>127</v>
      </c>
      <c r="IX194" s="19"/>
      <c r="IY194" s="93"/>
      <c r="IZ194" s="93"/>
      <c r="JA194" s="93"/>
      <c r="JB194" s="93"/>
      <c r="JC194" s="93"/>
      <c r="JD194" s="93"/>
      <c r="JE194" s="20"/>
      <c r="JF194" s="29">
        <v>127</v>
      </c>
      <c r="JG194" s="19"/>
      <c r="JH194" s="93"/>
      <c r="JI194" s="93"/>
      <c r="JJ194" s="93"/>
      <c r="JK194" s="93"/>
      <c r="JL194" s="93"/>
      <c r="JM194" s="93"/>
      <c r="JN194" s="20"/>
      <c r="JO194" s="29">
        <v>127</v>
      </c>
      <c r="JP194" s="19"/>
      <c r="JQ194" s="93"/>
      <c r="JR194" s="93"/>
      <c r="JS194" s="93"/>
      <c r="JT194" s="93"/>
      <c r="JU194" s="20"/>
      <c r="JV194" s="29">
        <v>127</v>
      </c>
      <c r="JW194" s="1504">
        <v>40360</v>
      </c>
      <c r="JX194" s="19"/>
      <c r="JY194" s="93"/>
      <c r="JZ194" s="93"/>
      <c r="KA194" s="93"/>
      <c r="KB194" s="93"/>
      <c r="KC194" s="93"/>
      <c r="KD194" s="20"/>
      <c r="KE194" s="29">
        <v>127</v>
      </c>
      <c r="KF194" s="19"/>
      <c r="KG194" s="93"/>
      <c r="KH194" s="93"/>
      <c r="KI194" s="93"/>
      <c r="KJ194" s="93"/>
      <c r="KK194" s="20"/>
      <c r="KL194" s="29">
        <v>127</v>
      </c>
      <c r="KM194" s="19"/>
      <c r="KN194" s="93"/>
      <c r="KO194" s="93"/>
      <c r="KP194" s="93"/>
      <c r="KQ194" s="93"/>
      <c r="KR194" s="20"/>
      <c r="KS194" s="29">
        <v>127</v>
      </c>
      <c r="KT194" s="19"/>
      <c r="KU194" s="93"/>
      <c r="KV194" s="93"/>
      <c r="KW194" s="93"/>
      <c r="KX194" s="93"/>
      <c r="KY194" s="20"/>
      <c r="KZ194" s="29">
        <v>127</v>
      </c>
      <c r="LA194" s="1504">
        <v>40360</v>
      </c>
      <c r="LB194" s="19">
        <v>460</v>
      </c>
      <c r="LC194" s="93">
        <v>650</v>
      </c>
      <c r="LD194" s="93">
        <v>642</v>
      </c>
      <c r="LE194" s="93"/>
      <c r="LF194" s="93">
        <v>575</v>
      </c>
      <c r="LG194" s="93"/>
      <c r="LH194" s="20"/>
      <c r="LI194" s="29">
        <v>127</v>
      </c>
      <c r="LJ194" s="19"/>
      <c r="LK194" s="93"/>
      <c r="LL194" s="93"/>
      <c r="LM194" s="93"/>
      <c r="LN194" s="93"/>
      <c r="LO194" s="20"/>
      <c r="LP194" s="29">
        <v>127</v>
      </c>
      <c r="LQ194" s="19"/>
      <c r="LR194" s="93"/>
      <c r="LS194" s="93"/>
      <c r="LT194" s="93"/>
      <c r="LU194" s="93"/>
      <c r="LV194" s="93"/>
      <c r="LW194" s="93"/>
      <c r="LX194" s="93"/>
      <c r="LY194" s="93"/>
      <c r="LZ194" s="93"/>
      <c r="MA194" s="20"/>
      <c r="MB194" s="29">
        <v>127</v>
      </c>
      <c r="MC194" s="1504">
        <v>40360</v>
      </c>
      <c r="MD194" s="19">
        <v>59785.702341000004</v>
      </c>
      <c r="ME194" s="93">
        <v>50318.156162000007</v>
      </c>
      <c r="MF194" s="93">
        <v>50318.13816200001</v>
      </c>
      <c r="MG194" s="93">
        <v>46551.062392000007</v>
      </c>
      <c r="MH194" s="93">
        <v>9587.7746000000006</v>
      </c>
      <c r="MI194" s="93">
        <v>433.76556199999999</v>
      </c>
      <c r="MJ194" s="93">
        <v>442.39290999999997</v>
      </c>
      <c r="MK194" s="93">
        <v>27061.822318000002</v>
      </c>
      <c r="ML194" s="93">
        <v>8341.0822379999991</v>
      </c>
      <c r="MM194" s="93">
        <v>20192.720823000003</v>
      </c>
      <c r="MN194" s="93">
        <v>3767.0757699999999</v>
      </c>
      <c r="MO194" s="93">
        <v>159.53360000000001</v>
      </c>
      <c r="MP194" s="93">
        <v>1654.1346129999999</v>
      </c>
      <c r="MQ194" s="93">
        <v>172.77172500000003</v>
      </c>
      <c r="MR194" s="93">
        <v>683.77019000000007</v>
      </c>
      <c r="MS194" s="93">
        <v>1096.865642</v>
      </c>
      <c r="MT194" s="93">
        <v>1.7999999999999999E-2</v>
      </c>
      <c r="MU194" s="93">
        <v>9467.5461790000008</v>
      </c>
      <c r="MV194" s="93">
        <v>9467.5461790000008</v>
      </c>
      <c r="MW194" s="93">
        <v>0</v>
      </c>
      <c r="MX194" s="93">
        <v>86219.94975131251</v>
      </c>
      <c r="MY194" s="93">
        <v>86254.975725312514</v>
      </c>
      <c r="MZ194" s="93">
        <v>41598.610003312511</v>
      </c>
      <c r="NA194" s="93">
        <v>25104.032099666656</v>
      </c>
      <c r="NB194" s="93">
        <v>8388.6122143333323</v>
      </c>
      <c r="NC194" s="93">
        <v>2886.1561019999999</v>
      </c>
      <c r="ND194" s="93">
        <v>2671.0076800000002</v>
      </c>
      <c r="NE194" s="93">
        <v>215.14842199999995</v>
      </c>
      <c r="NF194" s="93">
        <v>5219.8095873125294</v>
      </c>
      <c r="NG194" s="93">
        <v>431.84997631252185</v>
      </c>
      <c r="NH194" s="93">
        <v>1101.3708540000021</v>
      </c>
      <c r="NI194" s="93">
        <v>120.737943</v>
      </c>
      <c r="NJ194" s="93">
        <v>455.83659600000004</v>
      </c>
      <c r="NK194" s="93">
        <v>44656.365722000002</v>
      </c>
      <c r="NL194" s="93">
        <v>19073.471970999999</v>
      </c>
      <c r="NM194" s="93">
        <v>546.00106499999993</v>
      </c>
      <c r="NN194" s="93">
        <v>25036.892686000003</v>
      </c>
      <c r="NO194" s="93">
        <v>-35.025974000001696</v>
      </c>
      <c r="NP194" s="93">
        <v>-26434.247410312502</v>
      </c>
      <c r="NQ194" s="93">
        <v>-35901.793589312503</v>
      </c>
      <c r="NR194" s="93">
        <v>-7978.7448013124986</v>
      </c>
      <c r="NS194" s="93">
        <v>-10864.900903312497</v>
      </c>
      <c r="NT194" s="93">
        <v>-31276.820509312489</v>
      </c>
      <c r="NU194" s="93">
        <v>-40744.366688312482</v>
      </c>
      <c r="NV194" s="93">
        <v>34652.829454999999</v>
      </c>
      <c r="NW194" s="93">
        <v>14950.547696</v>
      </c>
      <c r="NX194" s="93">
        <v>15569.346507000002</v>
      </c>
      <c r="NY194" s="93">
        <v>-618.79881099999989</v>
      </c>
      <c r="NZ194" s="93">
        <v>0</v>
      </c>
      <c r="OA194" s="93">
        <v>19702.281759000001</v>
      </c>
      <c r="OB194" s="93">
        <v>7607.4732799999974</v>
      </c>
      <c r="OC194" s="93">
        <v>12094.808479000003</v>
      </c>
      <c r="OD194" s="20">
        <v>0</v>
      </c>
      <c r="OE194" s="29">
        <v>127</v>
      </c>
      <c r="OF194" s="1504">
        <v>40360</v>
      </c>
      <c r="OG194" s="19"/>
      <c r="OH194" s="93">
        <v>185.38660000000002</v>
      </c>
      <c r="OI194" s="93">
        <v>513.19906909264773</v>
      </c>
      <c r="OJ194" s="93">
        <v>0.40749611000000002</v>
      </c>
      <c r="OK194" s="93">
        <v>438.66517298264779</v>
      </c>
      <c r="OL194" s="93">
        <v>74.12639999999999</v>
      </c>
      <c r="OM194" s="93">
        <v>698.58566909264778</v>
      </c>
      <c r="ON194" s="93">
        <v>524.39365428263955</v>
      </c>
      <c r="OO194" s="93">
        <v>1222.9793233752873</v>
      </c>
      <c r="OP194" s="93"/>
      <c r="OQ194" s="93">
        <v>634.49345218097517</v>
      </c>
      <c r="OR194" s="93">
        <v>348.588809486</v>
      </c>
      <c r="OS194" s="93">
        <v>285.90464269497522</v>
      </c>
      <c r="OT194" s="93">
        <v>757.17017138231199</v>
      </c>
      <c r="OU194" s="93">
        <v>-26.060615729000002</v>
      </c>
      <c r="OV194" s="93">
        <v>-20.981615728999994</v>
      </c>
      <c r="OW194" s="93">
        <v>-5.0790000000000077</v>
      </c>
      <c r="OX194" s="93">
        <v>783.230787111312</v>
      </c>
      <c r="OY194" s="93">
        <v>3.9386025409999998</v>
      </c>
      <c r="OZ194" s="93">
        <v>779.29218457031197</v>
      </c>
      <c r="PA194" s="93">
        <v>167.274269844</v>
      </c>
      <c r="PB194" s="93">
        <v>1.4100303440000346</v>
      </c>
      <c r="PC194" s="20">
        <v>1222.9793233752873</v>
      </c>
      <c r="PD194" s="29">
        <v>127</v>
      </c>
      <c r="PE194" s="19"/>
      <c r="PF194" s="93">
        <v>348.588809486</v>
      </c>
      <c r="PG194" s="93">
        <v>553.184437108</v>
      </c>
      <c r="PH194" s="93">
        <v>204.59562762199999</v>
      </c>
      <c r="PI194" s="93">
        <v>66.599999999999994</v>
      </c>
      <c r="PJ194" s="93">
        <v>-17.407915728999996</v>
      </c>
      <c r="PK194" s="93">
        <v>98.929640907000007</v>
      </c>
      <c r="PL194" s="93">
        <v>116.337556636</v>
      </c>
      <c r="PM194" s="93">
        <v>3.9386025409999998</v>
      </c>
      <c r="PN194" s="93">
        <v>1.21</v>
      </c>
      <c r="PO194" s="93">
        <v>0</v>
      </c>
      <c r="PP194" s="93">
        <v>4.1642799999999999E-4</v>
      </c>
      <c r="PQ194" s="93">
        <v>2.728186113</v>
      </c>
      <c r="PR194" s="93">
        <v>401.27406771599999</v>
      </c>
      <c r="PS194" s="93">
        <v>217.44130000000001</v>
      </c>
      <c r="PT194" s="93">
        <v>183.425271606</v>
      </c>
      <c r="PU194" s="93">
        <v>0.40749611000000002</v>
      </c>
      <c r="PV194" s="93">
        <v>0</v>
      </c>
      <c r="PW194" s="93">
        <v>0.56736941699999999</v>
      </c>
      <c r="PX194" s="93">
        <v>0</v>
      </c>
      <c r="PY194" s="93">
        <v>0</v>
      </c>
      <c r="PZ194" s="93">
        <v>0.56736941699999999</v>
      </c>
      <c r="QA194" s="93">
        <v>0</v>
      </c>
      <c r="QB194" s="93">
        <v>0</v>
      </c>
      <c r="QC194" s="93">
        <v>0</v>
      </c>
      <c r="QD194" s="93">
        <v>-0.3990995730000001</v>
      </c>
      <c r="QE194" s="20">
        <v>0.27715873799999929</v>
      </c>
      <c r="QF194" s="1739">
        <v>127</v>
      </c>
      <c r="QG194" s="19"/>
      <c r="QH194" s="1035">
        <v>285.90464269497522</v>
      </c>
      <c r="QI194" s="1035">
        <v>375.54981542968784</v>
      </c>
      <c r="QJ194" s="1035">
        <v>-89.645172734712645</v>
      </c>
      <c r="QK194" s="1035">
        <v>169.63399999999999</v>
      </c>
      <c r="QL194" s="1035">
        <v>28.481000000000002</v>
      </c>
      <c r="QM194" s="1035">
        <v>141.15299999999999</v>
      </c>
      <c r="QN194" s="1035">
        <v>0</v>
      </c>
      <c r="QO194" s="1035">
        <v>-5.0790000000000077</v>
      </c>
      <c r="QP194" s="1035">
        <v>99.301999999999992</v>
      </c>
      <c r="QQ194" s="1035">
        <v>-104.381</v>
      </c>
      <c r="QR194" s="1035">
        <v>779.29218457031197</v>
      </c>
      <c r="QS194" s="1035">
        <v>11.493076582899475</v>
      </c>
      <c r="QT194" s="1035">
        <v>0</v>
      </c>
      <c r="QU194" s="1035">
        <v>63.414999999999999</v>
      </c>
      <c r="QV194" s="1035">
        <v>704.38410798741256</v>
      </c>
      <c r="QW194" s="93"/>
      <c r="QX194" s="93">
        <v>61.805</v>
      </c>
      <c r="QY194" s="93">
        <v>438.66517298264779</v>
      </c>
      <c r="QZ194" s="93">
        <v>524.39365428263955</v>
      </c>
      <c r="RA194" s="93">
        <v>0</v>
      </c>
      <c r="RB194" s="93">
        <v>30.586999999999996</v>
      </c>
      <c r="RC194" s="93">
        <v>3.306</v>
      </c>
      <c r="RD194" s="93">
        <v>9.2669999999999995</v>
      </c>
      <c r="RE194" s="93">
        <v>0</v>
      </c>
      <c r="RF194" s="93">
        <v>0</v>
      </c>
      <c r="RG194" s="93">
        <v>123.946</v>
      </c>
      <c r="RH194" s="93">
        <v>37.782000000000011</v>
      </c>
      <c r="RI194" s="93"/>
      <c r="RJ194" s="93"/>
      <c r="RK194" s="93"/>
      <c r="RL194" s="93"/>
      <c r="RM194" s="734"/>
      <c r="RN194" s="29">
        <v>127</v>
      </c>
      <c r="RO194" s="19"/>
      <c r="RP194" s="20"/>
      <c r="RQ194" s="29">
        <v>127</v>
      </c>
      <c r="RR194" s="734">
        <v>1.7198</v>
      </c>
      <c r="RS194" s="29">
        <v>127</v>
      </c>
      <c r="RT194" s="1504">
        <v>40360</v>
      </c>
      <c r="RU194" s="19"/>
      <c r="RV194" s="20"/>
      <c r="RW194" s="29">
        <v>127</v>
      </c>
      <c r="RX194" s="1504">
        <v>40360</v>
      </c>
      <c r="RY194" s="29"/>
      <c r="RZ194" s="734"/>
      <c r="SA194" s="29"/>
      <c r="SB194" s="29">
        <v>127</v>
      </c>
    </row>
    <row r="195" spans="1:496">
      <c r="A195" s="41">
        <f t="shared" si="191"/>
        <v>2010</v>
      </c>
      <c r="B195" s="1504">
        <v>40391</v>
      </c>
      <c r="C195" s="1813"/>
      <c r="D195" s="1814"/>
      <c r="E195" s="1814"/>
      <c r="F195" s="1815"/>
      <c r="G195" s="1814"/>
      <c r="H195" s="1814"/>
      <c r="I195" s="1814"/>
      <c r="J195" s="1816"/>
      <c r="K195" s="1807"/>
      <c r="L195" s="25">
        <v>128</v>
      </c>
      <c r="M195" s="97"/>
      <c r="N195" s="1504">
        <v>40391</v>
      </c>
      <c r="O195" s="19"/>
      <c r="P195" s="93"/>
      <c r="Q195" s="93"/>
      <c r="R195" s="93"/>
      <c r="S195" s="93"/>
      <c r="T195" s="93"/>
      <c r="U195" s="93"/>
      <c r="V195" s="93"/>
      <c r="W195" s="93"/>
      <c r="X195" s="93"/>
      <c r="Y195" s="93"/>
      <c r="Z195" s="93"/>
      <c r="AA195" s="93"/>
      <c r="AB195" s="20"/>
      <c r="AC195" s="25">
        <v>128</v>
      </c>
      <c r="AD195" s="97"/>
      <c r="AE195" s="1504">
        <v>40391</v>
      </c>
      <c r="AF195" s="19"/>
      <c r="AG195" s="93"/>
      <c r="AH195" s="93"/>
      <c r="AI195" s="93"/>
      <c r="AJ195" s="93"/>
      <c r="AK195" s="93"/>
      <c r="AL195" s="93"/>
      <c r="AM195" s="93"/>
      <c r="AN195" s="93"/>
      <c r="AO195" s="93"/>
      <c r="AP195" s="93"/>
      <c r="AQ195" s="93"/>
      <c r="AR195" s="93"/>
      <c r="AS195" s="20"/>
      <c r="AT195" s="25">
        <v>128</v>
      </c>
      <c r="AU195" s="97"/>
      <c r="AV195" s="1504">
        <v>40391</v>
      </c>
      <c r="AW195" s="19"/>
      <c r="AX195" s="93"/>
      <c r="AY195" s="93"/>
      <c r="AZ195" s="93"/>
      <c r="BA195" s="93"/>
      <c r="BB195" s="93"/>
      <c r="BC195" s="93"/>
      <c r="BD195" s="93"/>
      <c r="BE195" s="93"/>
      <c r="BF195" s="93"/>
      <c r="BG195" s="93"/>
      <c r="BH195" s="93"/>
      <c r="BI195" s="93"/>
      <c r="BJ195" s="20"/>
      <c r="BK195" s="25">
        <v>128</v>
      </c>
      <c r="BL195" s="97"/>
      <c r="BM195" s="1504">
        <v>40391</v>
      </c>
      <c r="BN195" s="19"/>
      <c r="BO195" s="93"/>
      <c r="BP195" s="93"/>
      <c r="BQ195" s="93"/>
      <c r="BR195" s="93"/>
      <c r="BS195" s="93"/>
      <c r="BT195" s="93"/>
      <c r="BU195" s="20"/>
      <c r="BV195" s="25">
        <v>128</v>
      </c>
      <c r="BW195" s="97"/>
      <c r="BX195" s="1504">
        <v>40391</v>
      </c>
      <c r="BY195" s="179">
        <v>508.72089177999999</v>
      </c>
      <c r="BZ195" s="99">
        <v>664.95699999999999</v>
      </c>
      <c r="CA195" s="93"/>
      <c r="CB195" s="93"/>
      <c r="CC195" s="99">
        <v>355.37397862979259</v>
      </c>
      <c r="CD195" s="25">
        <v>128</v>
      </c>
      <c r="CE195" s="97"/>
      <c r="CF195" s="1504">
        <v>40391</v>
      </c>
      <c r="CG195" s="179">
        <v>1.99176918809524</v>
      </c>
      <c r="CH195" s="99">
        <v>1215.81</v>
      </c>
      <c r="CI195" s="219"/>
      <c r="CJ195" s="20"/>
      <c r="CK195" s="19"/>
      <c r="CL195" s="93"/>
      <c r="CM195" s="93"/>
      <c r="CN195" s="93"/>
      <c r="CO195" s="93"/>
      <c r="CP195" s="20"/>
      <c r="CQ195" s="219">
        <v>1383.9</v>
      </c>
      <c r="CR195" s="93">
        <v>2.508</v>
      </c>
      <c r="CS195" s="93"/>
      <c r="CT195" s="93"/>
      <c r="CU195" s="93"/>
      <c r="CV195" s="214"/>
      <c r="CW195" s="29">
        <v>128</v>
      </c>
      <c r="CX195" s="41">
        <f t="shared" si="192"/>
        <v>2010</v>
      </c>
      <c r="CY195" s="1504">
        <v>40391</v>
      </c>
      <c r="CZ195" s="1916">
        <v>62.161041999999995</v>
      </c>
      <c r="DA195" s="1526">
        <v>37.158904999999997</v>
      </c>
      <c r="DB195" s="1526">
        <v>25.002137000000001</v>
      </c>
      <c r="DC195" s="182">
        <f t="shared" si="205"/>
        <v>362165</v>
      </c>
      <c r="DD195" s="182">
        <f t="shared" si="206"/>
        <v>361092</v>
      </c>
      <c r="DE195" s="182">
        <f t="shared" si="207"/>
        <v>1073</v>
      </c>
      <c r="DF195" s="29">
        <v>128</v>
      </c>
      <c r="DG195" s="1504">
        <v>40391</v>
      </c>
      <c r="DH195" s="19"/>
      <c r="DI195" s="93"/>
      <c r="DJ195" s="93"/>
      <c r="DK195" s="93"/>
      <c r="DL195" s="93"/>
      <c r="DM195" s="93"/>
      <c r="DN195" s="20"/>
      <c r="DO195" s="25"/>
      <c r="DP195" s="29">
        <v>128</v>
      </c>
      <c r="DQ195" s="1504">
        <v>40391</v>
      </c>
      <c r="DR195" s="19"/>
      <c r="DS195" s="93"/>
      <c r="DT195" s="93"/>
      <c r="DU195" s="93"/>
      <c r="DV195" s="93"/>
      <c r="DW195" s="93"/>
      <c r="DX195" s="20"/>
      <c r="DY195" s="29">
        <v>128</v>
      </c>
      <c r="DZ195" s="1504">
        <v>40391</v>
      </c>
      <c r="EA195" s="19"/>
      <c r="EB195" s="93"/>
      <c r="EC195" s="20"/>
      <c r="ED195" s="29">
        <v>128</v>
      </c>
      <c r="EE195" s="1504">
        <v>40391</v>
      </c>
      <c r="EF195" s="19"/>
      <c r="EG195" s="93"/>
      <c r="EH195" s="93"/>
      <c r="EI195" s="214"/>
      <c r="EJ195" s="93"/>
      <c r="EK195" s="93"/>
      <c r="EL195" s="93"/>
      <c r="EM195" s="93"/>
      <c r="EN195" s="20"/>
      <c r="EO195" s="29">
        <v>128</v>
      </c>
      <c r="EP195" s="1504">
        <v>40391</v>
      </c>
      <c r="EQ195" s="19"/>
      <c r="ER195" s="93"/>
      <c r="ES195" s="93"/>
      <c r="ET195" s="214"/>
      <c r="EU195" s="93"/>
      <c r="EV195" s="93"/>
      <c r="EW195" s="93"/>
      <c r="EX195" s="93"/>
      <c r="EY195" s="20"/>
      <c r="EZ195" s="29">
        <v>128</v>
      </c>
      <c r="FA195" s="1504">
        <v>40391</v>
      </c>
      <c r="FB195" s="29"/>
      <c r="FC195" s="29"/>
      <c r="FD195" s="29"/>
      <c r="FE195" s="29"/>
      <c r="FF195" s="29"/>
      <c r="FG195" s="29"/>
      <c r="FH195" s="29"/>
      <c r="FI195" s="29"/>
      <c r="FJ195" s="29"/>
      <c r="FK195" s="29">
        <v>128</v>
      </c>
      <c r="FL195" s="1504">
        <v>40391</v>
      </c>
      <c r="FM195" s="19">
        <v>101.52894736432181</v>
      </c>
      <c r="FN195" s="93">
        <v>108.39367142541971</v>
      </c>
      <c r="FO195" s="93">
        <v>97.726583069402167</v>
      </c>
      <c r="FP195" s="93">
        <v>100.11589727997998</v>
      </c>
      <c r="FQ195" s="93">
        <v>101.03558305308331</v>
      </c>
      <c r="FR195" s="93">
        <v>98.204844539785952</v>
      </c>
      <c r="FS195" s="93">
        <v>99.780752162233853</v>
      </c>
      <c r="FT195" s="93">
        <v>98.384773389478767</v>
      </c>
      <c r="FU195" s="93">
        <v>74.664719767965977</v>
      </c>
      <c r="FV195" s="93">
        <v>98.573424147613522</v>
      </c>
      <c r="FW195" s="93">
        <v>101.99334149199741</v>
      </c>
      <c r="FX195" s="93">
        <v>104.22628396132156</v>
      </c>
      <c r="FY195" s="93">
        <v>101.71619696312132</v>
      </c>
      <c r="FZ195" s="29">
        <v>128</v>
      </c>
      <c r="GA195" s="1504">
        <v>40391</v>
      </c>
      <c r="GB195" s="733">
        <v>101.52894736432181</v>
      </c>
      <c r="GC195" s="570">
        <v>100.92358327925527</v>
      </c>
      <c r="GD195" s="570">
        <v>101.9203982754392</v>
      </c>
      <c r="GE195" s="570">
        <v>100.90890884114657</v>
      </c>
      <c r="GF195" s="570">
        <v>109.86004130525774</v>
      </c>
      <c r="GG195" s="570">
        <v>98.925776939455275</v>
      </c>
      <c r="GH195" s="93"/>
      <c r="GI195" s="93"/>
      <c r="GJ195" s="93"/>
      <c r="GK195" s="93"/>
      <c r="GL195" s="93"/>
      <c r="GM195" s="93"/>
      <c r="GN195" s="20"/>
      <c r="GO195" s="29">
        <v>128</v>
      </c>
      <c r="GP195" s="1504">
        <v>40391</v>
      </c>
      <c r="GQ195" s="19"/>
      <c r="GR195" s="93"/>
      <c r="GS195" s="93"/>
      <c r="GT195" s="93"/>
      <c r="GU195" s="93"/>
      <c r="GV195" s="20"/>
      <c r="GW195" s="19"/>
      <c r="GX195" s="93"/>
      <c r="GY195" s="93"/>
      <c r="GZ195" s="93"/>
      <c r="HA195" s="93"/>
      <c r="HB195" s="20"/>
      <c r="HC195" s="19"/>
      <c r="HD195" s="93"/>
      <c r="HE195" s="93"/>
      <c r="HF195" s="93"/>
      <c r="HG195" s="93"/>
      <c r="HH195" s="20"/>
      <c r="HI195" s="19"/>
      <c r="HJ195" s="93"/>
      <c r="HK195" s="93"/>
      <c r="HL195" s="93"/>
      <c r="HM195" s="93"/>
      <c r="HN195" s="20"/>
      <c r="HO195" s="219"/>
      <c r="HP195" s="20"/>
      <c r="HQ195" s="25"/>
      <c r="HR195" s="29">
        <v>128</v>
      </c>
      <c r="HS195" s="1504">
        <v>40391</v>
      </c>
      <c r="HT195" s="179">
        <v>184.42737579345703</v>
      </c>
      <c r="HU195" s="99">
        <v>210.48611450195313</v>
      </c>
      <c r="HV195" s="99">
        <v>176.67845153808594</v>
      </c>
      <c r="HW195" s="99">
        <v>133.49514770507813</v>
      </c>
      <c r="HX195" s="99">
        <v>176.76767730712891</v>
      </c>
      <c r="HY195" s="99">
        <v>183.47730827331543</v>
      </c>
      <c r="HZ195" s="99">
        <v>215.40680694580078</v>
      </c>
      <c r="IA195" s="132">
        <v>169.93464660644531</v>
      </c>
      <c r="IB195" s="179">
        <v>184.35251998901367</v>
      </c>
      <c r="IC195" s="99">
        <v>147.71572875976563</v>
      </c>
      <c r="ID195" s="99"/>
      <c r="IE195" s="99">
        <v>143.56435241699219</v>
      </c>
      <c r="IF195" s="99">
        <v>187.5</v>
      </c>
      <c r="IG195" s="132">
        <v>147.20811462402344</v>
      </c>
      <c r="IH195" s="179">
        <v>126.07323989868163</v>
      </c>
      <c r="II195" s="99">
        <v>189.79744466145834</v>
      </c>
      <c r="IJ195" s="99">
        <v>148.60140991210938</v>
      </c>
      <c r="IK195" s="99">
        <v>133.92857360839844</v>
      </c>
      <c r="IL195" s="99">
        <v>127.11721134185791</v>
      </c>
      <c r="IM195" s="99">
        <v>140.25558471679688</v>
      </c>
      <c r="IN195" s="93"/>
      <c r="IO195" s="132">
        <v>155.48777008056641</v>
      </c>
      <c r="IP195" s="29">
        <v>128</v>
      </c>
      <c r="IQ195" s="19"/>
      <c r="IR195" s="93"/>
      <c r="IS195" s="93"/>
      <c r="IT195" s="93"/>
      <c r="IU195" s="93"/>
      <c r="IV195" s="20"/>
      <c r="IW195" s="29">
        <v>128</v>
      </c>
      <c r="IX195" s="19"/>
      <c r="IY195" s="93"/>
      <c r="IZ195" s="93"/>
      <c r="JA195" s="93"/>
      <c r="JB195" s="93"/>
      <c r="JC195" s="93"/>
      <c r="JD195" s="93"/>
      <c r="JE195" s="20"/>
      <c r="JF195" s="29">
        <v>128</v>
      </c>
      <c r="JG195" s="19"/>
      <c r="JH195" s="93"/>
      <c r="JI195" s="93"/>
      <c r="JJ195" s="93"/>
      <c r="JK195" s="93"/>
      <c r="JL195" s="93"/>
      <c r="JM195" s="93"/>
      <c r="JN195" s="20"/>
      <c r="JO195" s="29">
        <v>128</v>
      </c>
      <c r="JP195" s="19"/>
      <c r="JQ195" s="93"/>
      <c r="JR195" s="93"/>
      <c r="JS195" s="93"/>
      <c r="JT195" s="93"/>
      <c r="JU195" s="20"/>
      <c r="JV195" s="29">
        <v>128</v>
      </c>
      <c r="JW195" s="1504">
        <v>40391</v>
      </c>
      <c r="JX195" s="19"/>
      <c r="JY195" s="93"/>
      <c r="JZ195" s="93"/>
      <c r="KA195" s="93"/>
      <c r="KB195" s="93"/>
      <c r="KC195" s="93"/>
      <c r="KD195" s="20"/>
      <c r="KE195" s="29">
        <v>128</v>
      </c>
      <c r="KF195" s="19"/>
      <c r="KG195" s="93"/>
      <c r="KH195" s="93"/>
      <c r="KI195" s="93"/>
      <c r="KJ195" s="93"/>
      <c r="KK195" s="20"/>
      <c r="KL195" s="29">
        <v>128</v>
      </c>
      <c r="KM195" s="19"/>
      <c r="KN195" s="93"/>
      <c r="KO195" s="93"/>
      <c r="KP195" s="93"/>
      <c r="KQ195" s="93"/>
      <c r="KR195" s="20"/>
      <c r="KS195" s="29">
        <v>128</v>
      </c>
      <c r="KT195" s="19"/>
      <c r="KU195" s="93"/>
      <c r="KV195" s="93"/>
      <c r="KW195" s="93"/>
      <c r="KX195" s="93"/>
      <c r="KY195" s="20"/>
      <c r="KZ195" s="29">
        <v>128</v>
      </c>
      <c r="LA195" s="1504">
        <v>40391</v>
      </c>
      <c r="LB195" s="19">
        <v>460</v>
      </c>
      <c r="LC195" s="93">
        <v>690</v>
      </c>
      <c r="LD195" s="93">
        <v>682</v>
      </c>
      <c r="LE195" s="93"/>
      <c r="LF195" s="93">
        <v>606</v>
      </c>
      <c r="LG195" s="93"/>
      <c r="LH195" s="20"/>
      <c r="LI195" s="29">
        <v>128</v>
      </c>
      <c r="LJ195" s="19"/>
      <c r="LK195" s="93"/>
      <c r="LL195" s="93"/>
      <c r="LM195" s="93"/>
      <c r="LN195" s="93"/>
      <c r="LO195" s="20"/>
      <c r="LP195" s="29">
        <v>128</v>
      </c>
      <c r="LQ195" s="19"/>
      <c r="LR195" s="93"/>
      <c r="LS195" s="93"/>
      <c r="LT195" s="93"/>
      <c r="LU195" s="93"/>
      <c r="LV195" s="93"/>
      <c r="LW195" s="93"/>
      <c r="LX195" s="93"/>
      <c r="LY195" s="93"/>
      <c r="LZ195" s="93"/>
      <c r="MA195" s="20"/>
      <c r="MB195" s="29">
        <v>128</v>
      </c>
      <c r="MC195" s="1504">
        <v>40391</v>
      </c>
      <c r="MD195" s="19">
        <v>79696.892429</v>
      </c>
      <c r="ME195" s="93">
        <v>46975.449293999998</v>
      </c>
      <c r="MF195" s="93">
        <v>46975.449293999998</v>
      </c>
      <c r="MG195" s="93">
        <v>42494.447975000003</v>
      </c>
      <c r="MH195" s="93">
        <v>8538.6414159999986</v>
      </c>
      <c r="MI195" s="93">
        <v>379.77288800000002</v>
      </c>
      <c r="MJ195" s="93">
        <v>350.99219099999993</v>
      </c>
      <c r="MK195" s="93">
        <v>24686.775484000002</v>
      </c>
      <c r="ML195" s="93">
        <v>8001.0644779999993</v>
      </c>
      <c r="MM195" s="93">
        <v>17694.785585000001</v>
      </c>
      <c r="MN195" s="93">
        <v>4481.001319</v>
      </c>
      <c r="MO195" s="93">
        <v>467.90197699999987</v>
      </c>
      <c r="MP195" s="93">
        <v>1280.0567529999998</v>
      </c>
      <c r="MQ195" s="93">
        <v>827.73628299999996</v>
      </c>
      <c r="MR195" s="93">
        <v>446.73947800000002</v>
      </c>
      <c r="MS195" s="93">
        <v>1458.5668280000002</v>
      </c>
      <c r="MT195" s="93">
        <v>0</v>
      </c>
      <c r="MU195" s="93">
        <v>32721.443135000001</v>
      </c>
      <c r="MV195" s="93">
        <v>1321.443135</v>
      </c>
      <c r="MW195" s="93">
        <v>31400</v>
      </c>
      <c r="MX195" s="93">
        <v>82506.776702333344</v>
      </c>
      <c r="MY195" s="93">
        <v>82883.008241333344</v>
      </c>
      <c r="MZ195" s="93">
        <v>43309.818153333348</v>
      </c>
      <c r="NA195" s="93">
        <v>22004.195222333343</v>
      </c>
      <c r="NB195" s="93">
        <v>2412.2210810000001</v>
      </c>
      <c r="NC195" s="93">
        <v>349.05986500000012</v>
      </c>
      <c r="ND195" s="93">
        <v>34.382953999999998</v>
      </c>
      <c r="NE195" s="93">
        <v>314.67691100000008</v>
      </c>
      <c r="NF195" s="93">
        <v>18544.341985000006</v>
      </c>
      <c r="NG195" s="93">
        <v>296.80110999999943</v>
      </c>
      <c r="NH195" s="93">
        <v>4127.2508460000008</v>
      </c>
      <c r="NI195" s="93">
        <v>5.5975630000000001</v>
      </c>
      <c r="NJ195" s="93">
        <v>945.70491900000002</v>
      </c>
      <c r="NK195" s="93">
        <v>39573.190088000003</v>
      </c>
      <c r="NL195" s="93">
        <v>19548.275147</v>
      </c>
      <c r="NM195" s="93">
        <v>852.68</v>
      </c>
      <c r="NN195" s="93">
        <v>19172.234940999999</v>
      </c>
      <c r="NO195" s="93">
        <v>-376.23153900000062</v>
      </c>
      <c r="NP195" s="93">
        <v>-2809.8842733333408</v>
      </c>
      <c r="NQ195" s="93">
        <v>-35531.327408333345</v>
      </c>
      <c r="NR195" s="93">
        <v>-16010.032602333353</v>
      </c>
      <c r="NS195" s="93">
        <v>-16359.092467333347</v>
      </c>
      <c r="NT195" s="93">
        <v>14.627125666637905</v>
      </c>
      <c r="NU195" s="93">
        <v>-32706.816009333368</v>
      </c>
      <c r="NV195" s="93">
        <v>-3971.4694640000052</v>
      </c>
      <c r="NW195" s="93">
        <v>17339.813577999998</v>
      </c>
      <c r="NX195" s="93">
        <v>17850.791805999997</v>
      </c>
      <c r="NY195" s="93">
        <v>-510.97822799999994</v>
      </c>
      <c r="NZ195" s="93">
        <v>0</v>
      </c>
      <c r="OA195" s="93">
        <v>-21311.283042000003</v>
      </c>
      <c r="OB195" s="93">
        <v>-20953.150498000003</v>
      </c>
      <c r="OC195" s="93">
        <v>-358.132544</v>
      </c>
      <c r="OD195" s="20">
        <v>0</v>
      </c>
      <c r="OE195" s="29">
        <v>128</v>
      </c>
      <c r="OF195" s="1504">
        <v>40391</v>
      </c>
      <c r="OG195" s="19"/>
      <c r="OH195" s="93">
        <v>182.09846999999999</v>
      </c>
      <c r="OI195" s="93">
        <v>488.75919836804252</v>
      </c>
      <c r="OJ195" s="93">
        <v>0.49055384400000002</v>
      </c>
      <c r="OK195" s="93">
        <v>416.39094452404254</v>
      </c>
      <c r="OL195" s="93">
        <v>71.877700000000019</v>
      </c>
      <c r="OM195" s="93">
        <v>670.85766836804248</v>
      </c>
      <c r="ON195" s="93">
        <v>547.54383080629441</v>
      </c>
      <c r="OO195" s="93">
        <v>1218.401499174337</v>
      </c>
      <c r="OP195" s="93"/>
      <c r="OQ195" s="93">
        <v>647.1978196556388</v>
      </c>
      <c r="OR195" s="93">
        <v>359.60578656600001</v>
      </c>
      <c r="OS195" s="93">
        <v>287.59203308963873</v>
      </c>
      <c r="OT195" s="93">
        <v>748.013659000698</v>
      </c>
      <c r="OU195" s="93">
        <v>-59.056458935999999</v>
      </c>
      <c r="OV195" s="93">
        <v>-46.61845893600001</v>
      </c>
      <c r="OW195" s="93">
        <v>-12.437999999999988</v>
      </c>
      <c r="OX195" s="93">
        <v>807.07011793669801</v>
      </c>
      <c r="OY195" s="93">
        <v>3.9053756960000001</v>
      </c>
      <c r="OZ195" s="93">
        <v>803.16474224069805</v>
      </c>
      <c r="PA195" s="93">
        <v>167.07291836200002</v>
      </c>
      <c r="PB195" s="93">
        <v>9.7370611199999786</v>
      </c>
      <c r="PC195" s="20">
        <v>1218.4014991743368</v>
      </c>
      <c r="PD195" s="29">
        <v>128</v>
      </c>
      <c r="PE195" s="19"/>
      <c r="PF195" s="93">
        <v>359.60578656600001</v>
      </c>
      <c r="PG195" s="93">
        <v>567.01750138800003</v>
      </c>
      <c r="PH195" s="93">
        <v>207.41171482199999</v>
      </c>
      <c r="PI195" s="93">
        <v>70.268000000000001</v>
      </c>
      <c r="PJ195" s="93">
        <v>-43.662828936000011</v>
      </c>
      <c r="PK195" s="93">
        <v>98.418169906000003</v>
      </c>
      <c r="PL195" s="93">
        <v>142.08099884200001</v>
      </c>
      <c r="PM195" s="93">
        <v>3.9053756960000001</v>
      </c>
      <c r="PN195" s="93">
        <v>1.21</v>
      </c>
      <c r="PO195" s="93">
        <v>0</v>
      </c>
      <c r="PP195" s="93">
        <v>3.1876400000000003E-4</v>
      </c>
      <c r="PQ195" s="93">
        <v>2.695056932</v>
      </c>
      <c r="PR195" s="93">
        <v>390.57496073399994</v>
      </c>
      <c r="PS195" s="93">
        <v>214.25110000000001</v>
      </c>
      <c r="PT195" s="93">
        <v>175.83330688999999</v>
      </c>
      <c r="PU195" s="93">
        <v>0.49055384400000002</v>
      </c>
      <c r="PV195" s="93">
        <v>0</v>
      </c>
      <c r="PW195" s="93">
        <v>0.34630628800000002</v>
      </c>
      <c r="PX195" s="93">
        <v>0</v>
      </c>
      <c r="PY195" s="93">
        <v>0</v>
      </c>
      <c r="PZ195" s="93">
        <v>0.34630628800000002</v>
      </c>
      <c r="QA195" s="93">
        <v>0</v>
      </c>
      <c r="QB195" s="93">
        <v>0</v>
      </c>
      <c r="QC195" s="93">
        <v>0</v>
      </c>
      <c r="QD195" s="93">
        <v>-1.034387926</v>
      </c>
      <c r="QE195" s="20">
        <v>0.22945422999999252</v>
      </c>
      <c r="QF195" s="1739">
        <v>128</v>
      </c>
      <c r="QG195" s="19"/>
      <c r="QH195" s="1035">
        <v>287.59203308963873</v>
      </c>
      <c r="QI195" s="1035">
        <v>371.56125775930184</v>
      </c>
      <c r="QJ195" s="1035">
        <v>-83.969224669663092</v>
      </c>
      <c r="QK195" s="1035">
        <v>194.44499999999999</v>
      </c>
      <c r="QL195" s="1035">
        <v>29.196999999999999</v>
      </c>
      <c r="QM195" s="1035">
        <v>165.24799999999999</v>
      </c>
      <c r="QN195" s="1035">
        <v>0</v>
      </c>
      <c r="QO195" s="1035">
        <v>-12.437999999999988</v>
      </c>
      <c r="QP195" s="1035">
        <v>99.174000000000007</v>
      </c>
      <c r="QQ195" s="1035">
        <v>-111.61199999999999</v>
      </c>
      <c r="QR195" s="1035">
        <v>803.16474224069805</v>
      </c>
      <c r="QS195" s="1035">
        <v>11.879169589211843</v>
      </c>
      <c r="QT195" s="1035">
        <v>0</v>
      </c>
      <c r="QU195" s="1035">
        <v>67.48899999999999</v>
      </c>
      <c r="QV195" s="1035">
        <v>723.79657265148626</v>
      </c>
      <c r="QW195" s="93"/>
      <c r="QX195" s="93">
        <v>64.599999999999994</v>
      </c>
      <c r="QY195" s="93">
        <v>416.39094452404254</v>
      </c>
      <c r="QZ195" s="93">
        <v>547.54383080629441</v>
      </c>
      <c r="RA195" s="93">
        <v>0</v>
      </c>
      <c r="RB195" s="93">
        <v>30.969000000000001</v>
      </c>
      <c r="RC195" s="93">
        <v>3.2040000000000002</v>
      </c>
      <c r="RD195" s="93">
        <v>7.9050000000000002</v>
      </c>
      <c r="RE195" s="93">
        <v>0</v>
      </c>
      <c r="RF195" s="93">
        <v>0</v>
      </c>
      <c r="RG195" s="93">
        <v>125.68300000000001</v>
      </c>
      <c r="RH195" s="93">
        <v>76.468000000000018</v>
      </c>
      <c r="RI195" s="93"/>
      <c r="RJ195" s="93"/>
      <c r="RK195" s="93"/>
      <c r="RL195" s="93"/>
      <c r="RM195" s="734"/>
      <c r="RN195" s="29">
        <v>128</v>
      </c>
      <c r="RO195" s="19"/>
      <c r="RP195" s="20"/>
      <c r="RQ195" s="29">
        <v>128</v>
      </c>
      <c r="RR195" s="734">
        <v>1.8345</v>
      </c>
      <c r="RS195" s="29">
        <v>128</v>
      </c>
      <c r="RT195" s="1504">
        <v>40391</v>
      </c>
      <c r="RU195" s="19"/>
      <c r="RV195" s="20"/>
      <c r="RW195" s="29">
        <v>128</v>
      </c>
      <c r="RX195" s="1504">
        <v>40391</v>
      </c>
      <c r="RY195" s="29"/>
      <c r="RZ195" s="734"/>
      <c r="SA195" s="29"/>
      <c r="SB195" s="29">
        <v>128</v>
      </c>
    </row>
    <row r="196" spans="1:496">
      <c r="A196" s="41">
        <f t="shared" si="191"/>
        <v>2010</v>
      </c>
      <c r="B196" s="1504">
        <v>40422</v>
      </c>
      <c r="C196" s="1813"/>
      <c r="D196" s="1814"/>
      <c r="E196" s="1814"/>
      <c r="F196" s="1815"/>
      <c r="G196" s="1814"/>
      <c r="H196" s="1814"/>
      <c r="I196" s="1814"/>
      <c r="J196" s="1816"/>
      <c r="K196" s="1807"/>
      <c r="L196" s="25">
        <v>129</v>
      </c>
      <c r="M196" s="97"/>
      <c r="N196" s="1504">
        <v>40422</v>
      </c>
      <c r="O196" s="19"/>
      <c r="P196" s="93"/>
      <c r="Q196" s="93"/>
      <c r="R196" s="93"/>
      <c r="S196" s="93"/>
      <c r="T196" s="93"/>
      <c r="U196" s="93"/>
      <c r="V196" s="93"/>
      <c r="W196" s="93"/>
      <c r="X196" s="93"/>
      <c r="Y196" s="93"/>
      <c r="Z196" s="93"/>
      <c r="AA196" s="93"/>
      <c r="AB196" s="20"/>
      <c r="AC196" s="25">
        <v>129</v>
      </c>
      <c r="AD196" s="97"/>
      <c r="AE196" s="1504">
        <v>40422</v>
      </c>
      <c r="AF196" s="19"/>
      <c r="AG196" s="93"/>
      <c r="AH196" s="93"/>
      <c r="AI196" s="93"/>
      <c r="AJ196" s="93"/>
      <c r="AK196" s="93"/>
      <c r="AL196" s="93"/>
      <c r="AM196" s="93"/>
      <c r="AN196" s="93"/>
      <c r="AO196" s="93"/>
      <c r="AP196" s="93"/>
      <c r="AQ196" s="93"/>
      <c r="AR196" s="93"/>
      <c r="AS196" s="20"/>
      <c r="AT196" s="25">
        <v>129</v>
      </c>
      <c r="AU196" s="97"/>
      <c r="AV196" s="1504">
        <v>40422</v>
      </c>
      <c r="AW196" s="19"/>
      <c r="AX196" s="93"/>
      <c r="AY196" s="93"/>
      <c r="AZ196" s="93"/>
      <c r="BA196" s="93"/>
      <c r="BB196" s="93"/>
      <c r="BC196" s="93"/>
      <c r="BD196" s="93"/>
      <c r="BE196" s="93"/>
      <c r="BF196" s="93"/>
      <c r="BG196" s="93"/>
      <c r="BH196" s="93"/>
      <c r="BI196" s="93"/>
      <c r="BJ196" s="20"/>
      <c r="BK196" s="25">
        <v>129</v>
      </c>
      <c r="BL196" s="97"/>
      <c r="BM196" s="1504">
        <v>40422</v>
      </c>
      <c r="BN196" s="19"/>
      <c r="BO196" s="93"/>
      <c r="BP196" s="93"/>
      <c r="BQ196" s="93"/>
      <c r="BR196" s="93"/>
      <c r="BS196" s="93"/>
      <c r="BT196" s="93"/>
      <c r="BU196" s="20"/>
      <c r="BV196" s="25">
        <v>129</v>
      </c>
      <c r="BW196" s="97"/>
      <c r="BX196" s="1504">
        <v>40422</v>
      </c>
      <c r="BY196" s="179">
        <v>501.99733252999999</v>
      </c>
      <c r="BZ196" s="99">
        <v>664.95699999999999</v>
      </c>
      <c r="CA196" s="93"/>
      <c r="CB196" s="93"/>
      <c r="CC196" s="99">
        <v>351.75555399817785</v>
      </c>
      <c r="CD196" s="25">
        <v>129</v>
      </c>
      <c r="CE196" s="97"/>
      <c r="CF196" s="1504">
        <v>40422</v>
      </c>
      <c r="CG196" s="179">
        <v>2.3088985260000001</v>
      </c>
      <c r="CH196" s="99">
        <v>1270.9770000000001</v>
      </c>
      <c r="CI196" s="219"/>
      <c r="CJ196" s="20"/>
      <c r="CK196" s="19"/>
      <c r="CL196" s="93"/>
      <c r="CM196" s="93"/>
      <c r="CN196" s="93"/>
      <c r="CO196" s="93"/>
      <c r="CP196" s="20"/>
      <c r="CQ196" s="219">
        <v>1426.71</v>
      </c>
      <c r="CR196" s="93">
        <v>2.4575</v>
      </c>
      <c r="CS196" s="93"/>
      <c r="CT196" s="93"/>
      <c r="CU196" s="93"/>
      <c r="CV196" s="214"/>
      <c r="CW196" s="29">
        <v>129</v>
      </c>
      <c r="CX196" s="41">
        <f t="shared" si="192"/>
        <v>2010</v>
      </c>
      <c r="CY196" s="1504">
        <v>40422</v>
      </c>
      <c r="CZ196" s="1916">
        <v>64.052525700264255</v>
      </c>
      <c r="DA196" s="1526">
        <v>41.768101700264246</v>
      </c>
      <c r="DB196" s="1526">
        <v>22.284424000000001</v>
      </c>
      <c r="DC196" s="182">
        <f t="shared" si="205"/>
        <v>362165</v>
      </c>
      <c r="DD196" s="182">
        <f t="shared" si="206"/>
        <v>361092</v>
      </c>
      <c r="DE196" s="182">
        <f t="shared" si="207"/>
        <v>1073</v>
      </c>
      <c r="DF196" s="29">
        <v>129</v>
      </c>
      <c r="DG196" s="1504">
        <v>40422</v>
      </c>
      <c r="DH196" s="19"/>
      <c r="DI196" s="93"/>
      <c r="DJ196" s="93"/>
      <c r="DK196" s="93"/>
      <c r="DL196" s="93"/>
      <c r="DM196" s="93"/>
      <c r="DN196" s="20"/>
      <c r="DO196" s="25"/>
      <c r="DP196" s="29">
        <v>129</v>
      </c>
      <c r="DQ196" s="1504">
        <v>40422</v>
      </c>
      <c r="DR196" s="19"/>
      <c r="DS196" s="93"/>
      <c r="DT196" s="93"/>
      <c r="DU196" s="93"/>
      <c r="DV196" s="93"/>
      <c r="DW196" s="93"/>
      <c r="DX196" s="20"/>
      <c r="DY196" s="29">
        <v>129</v>
      </c>
      <c r="DZ196" s="1504">
        <v>40422</v>
      </c>
      <c r="EA196" s="19"/>
      <c r="EB196" s="93"/>
      <c r="EC196" s="20"/>
      <c r="ED196" s="29">
        <v>129</v>
      </c>
      <c r="EE196" s="1504">
        <v>40422</v>
      </c>
      <c r="EF196" s="19"/>
      <c r="EG196" s="93"/>
      <c r="EH196" s="93"/>
      <c r="EI196" s="214"/>
      <c r="EJ196" s="93"/>
      <c r="EK196" s="93"/>
      <c r="EL196" s="93"/>
      <c r="EM196" s="93"/>
      <c r="EN196" s="20"/>
      <c r="EO196" s="29">
        <v>129</v>
      </c>
      <c r="EP196" s="1504">
        <v>40422</v>
      </c>
      <c r="EQ196" s="19"/>
      <c r="ER196" s="93"/>
      <c r="ES196" s="93"/>
      <c r="ET196" s="214"/>
      <c r="EU196" s="93"/>
      <c r="EV196" s="93"/>
      <c r="EW196" s="93"/>
      <c r="EX196" s="93"/>
      <c r="EY196" s="20"/>
      <c r="EZ196" s="29">
        <v>129</v>
      </c>
      <c r="FA196" s="1504">
        <v>40422</v>
      </c>
      <c r="FB196" s="29"/>
      <c r="FC196" s="29"/>
      <c r="FD196" s="29"/>
      <c r="FE196" s="29"/>
      <c r="FF196" s="29"/>
      <c r="FG196" s="29"/>
      <c r="FH196" s="29"/>
      <c r="FI196" s="29"/>
      <c r="FJ196" s="29"/>
      <c r="FK196" s="29">
        <v>129</v>
      </c>
      <c r="FL196" s="1504">
        <v>40422</v>
      </c>
      <c r="FM196" s="19">
        <v>99.874755766426716</v>
      </c>
      <c r="FN196" s="93">
        <v>106.72637529894477</v>
      </c>
      <c r="FO196" s="93">
        <v>97.754266821173516</v>
      </c>
      <c r="FP196" s="93">
        <v>100.133171511059</v>
      </c>
      <c r="FQ196" s="93">
        <v>101.85773952577486</v>
      </c>
      <c r="FR196" s="93">
        <v>98.14146524356336</v>
      </c>
      <c r="FS196" s="93">
        <v>99.780752162233853</v>
      </c>
      <c r="FT196" s="93">
        <v>98.649626382290336</v>
      </c>
      <c r="FU196" s="93">
        <v>59.599196811168838</v>
      </c>
      <c r="FV196" s="93">
        <v>98.926170571262389</v>
      </c>
      <c r="FW196" s="93">
        <v>101.99334149199743</v>
      </c>
      <c r="FX196" s="93">
        <v>103.36620670081285</v>
      </c>
      <c r="FY196" s="93">
        <v>101.61778548614491</v>
      </c>
      <c r="FZ196" s="29">
        <v>129</v>
      </c>
      <c r="GA196" s="1504">
        <v>40422</v>
      </c>
      <c r="GB196" s="733">
        <v>99.874755766426716</v>
      </c>
      <c r="GC196" s="570">
        <v>101.12265783058321</v>
      </c>
      <c r="GD196" s="570">
        <v>99.069506286701184</v>
      </c>
      <c r="GE196" s="570">
        <v>102.518706030564</v>
      </c>
      <c r="GF196" s="570">
        <v>107.18627436905123</v>
      </c>
      <c r="GG196" s="570">
        <v>97.3867610126008</v>
      </c>
      <c r="GH196" s="93"/>
      <c r="GI196" s="93"/>
      <c r="GJ196" s="93"/>
      <c r="GK196" s="93"/>
      <c r="GL196" s="93"/>
      <c r="GM196" s="93"/>
      <c r="GN196" s="20"/>
      <c r="GO196" s="29">
        <v>129</v>
      </c>
      <c r="GP196" s="1504">
        <v>40422</v>
      </c>
      <c r="GQ196" s="19"/>
      <c r="GR196" s="93"/>
      <c r="GS196" s="93"/>
      <c r="GT196" s="93"/>
      <c r="GU196" s="93"/>
      <c r="GV196" s="20"/>
      <c r="GW196" s="19"/>
      <c r="GX196" s="93"/>
      <c r="GY196" s="93"/>
      <c r="GZ196" s="93"/>
      <c r="HA196" s="93"/>
      <c r="HB196" s="20"/>
      <c r="HC196" s="19"/>
      <c r="HD196" s="93"/>
      <c r="HE196" s="93"/>
      <c r="HF196" s="93"/>
      <c r="HG196" s="93"/>
      <c r="HH196" s="20"/>
      <c r="HI196" s="19"/>
      <c r="HJ196" s="93"/>
      <c r="HK196" s="93"/>
      <c r="HL196" s="93"/>
      <c r="HM196" s="93"/>
      <c r="HN196" s="20"/>
      <c r="HO196" s="219"/>
      <c r="HP196" s="20"/>
      <c r="HQ196" s="25"/>
      <c r="HR196" s="29">
        <v>129</v>
      </c>
      <c r="HS196" s="1504">
        <v>40422</v>
      </c>
      <c r="HT196" s="179">
        <v>181.93680763244629</v>
      </c>
      <c r="HU196" s="99">
        <v>200.52083778381348</v>
      </c>
      <c r="HV196" s="99">
        <v>161.21908569335938</v>
      </c>
      <c r="HW196" s="99">
        <v>121.35922813415527</v>
      </c>
      <c r="HX196" s="99">
        <v>173.70370483398438</v>
      </c>
      <c r="HY196" s="99">
        <v>181.74119567871094</v>
      </c>
      <c r="HZ196" s="99">
        <v>213.26472473144531</v>
      </c>
      <c r="IA196" s="132">
        <v>162.09677505493164</v>
      </c>
      <c r="IB196" s="179">
        <v>177.16927719116211</v>
      </c>
      <c r="IC196" s="99">
        <v>119.54314422607422</v>
      </c>
      <c r="ID196" s="99"/>
      <c r="IE196" s="99">
        <v>114.23841094970703</v>
      </c>
      <c r="IF196" s="99">
        <v>175.63290710449218</v>
      </c>
      <c r="IG196" s="132">
        <v>123.73096084594727</v>
      </c>
      <c r="IH196" s="179">
        <v>105.80690956115723</v>
      </c>
      <c r="II196" s="99">
        <v>181.29531860351563</v>
      </c>
      <c r="IJ196" s="99">
        <v>142.04545593261719</v>
      </c>
      <c r="IK196" s="99">
        <v>130.35714416503907</v>
      </c>
      <c r="IL196" s="99">
        <v>123.47561264038086</v>
      </c>
      <c r="IM196" s="99">
        <v>141.74836349487305</v>
      </c>
      <c r="IN196" s="93"/>
      <c r="IO196" s="132">
        <v>144.31880187988281</v>
      </c>
      <c r="IP196" s="29">
        <v>129</v>
      </c>
      <c r="IQ196" s="19"/>
      <c r="IR196" s="93"/>
      <c r="IS196" s="93"/>
      <c r="IT196" s="93"/>
      <c r="IU196" s="93"/>
      <c r="IV196" s="20"/>
      <c r="IW196" s="29">
        <v>129</v>
      </c>
      <c r="IX196" s="19"/>
      <c r="IY196" s="93"/>
      <c r="IZ196" s="93"/>
      <c r="JA196" s="93"/>
      <c r="JB196" s="93"/>
      <c r="JC196" s="93"/>
      <c r="JD196" s="93"/>
      <c r="JE196" s="20"/>
      <c r="JF196" s="29">
        <v>129</v>
      </c>
      <c r="JG196" s="19"/>
      <c r="JH196" s="93"/>
      <c r="JI196" s="93"/>
      <c r="JJ196" s="93"/>
      <c r="JK196" s="93"/>
      <c r="JL196" s="93"/>
      <c r="JM196" s="93"/>
      <c r="JN196" s="20"/>
      <c r="JO196" s="29">
        <v>129</v>
      </c>
      <c r="JP196" s="19"/>
      <c r="JQ196" s="93"/>
      <c r="JR196" s="93"/>
      <c r="JS196" s="93"/>
      <c r="JT196" s="93"/>
      <c r="JU196" s="20"/>
      <c r="JV196" s="29">
        <v>129</v>
      </c>
      <c r="JW196" s="1504">
        <v>40422</v>
      </c>
      <c r="JX196" s="19"/>
      <c r="JY196" s="93"/>
      <c r="JZ196" s="93"/>
      <c r="KA196" s="93"/>
      <c r="KB196" s="93"/>
      <c r="KC196" s="93"/>
      <c r="KD196" s="20"/>
      <c r="KE196" s="29">
        <v>129</v>
      </c>
      <c r="KF196" s="19"/>
      <c r="KG196" s="93"/>
      <c r="KH196" s="93"/>
      <c r="KI196" s="93"/>
      <c r="KJ196" s="93"/>
      <c r="KK196" s="20"/>
      <c r="KL196" s="29">
        <v>129</v>
      </c>
      <c r="KM196" s="19"/>
      <c r="KN196" s="93"/>
      <c r="KO196" s="93"/>
      <c r="KP196" s="93"/>
      <c r="KQ196" s="93"/>
      <c r="KR196" s="20"/>
      <c r="KS196" s="29">
        <v>129</v>
      </c>
      <c r="KT196" s="19"/>
      <c r="KU196" s="93"/>
      <c r="KV196" s="93"/>
      <c r="KW196" s="93"/>
      <c r="KX196" s="93"/>
      <c r="KY196" s="20"/>
      <c r="KZ196" s="29">
        <v>129</v>
      </c>
      <c r="LA196" s="1504">
        <v>40422</v>
      </c>
      <c r="LB196" s="19">
        <v>510</v>
      </c>
      <c r="LC196" s="93">
        <v>740</v>
      </c>
      <c r="LD196" s="93">
        <v>732</v>
      </c>
      <c r="LE196" s="93"/>
      <c r="LF196" s="93">
        <v>656</v>
      </c>
      <c r="LG196" s="93"/>
      <c r="LH196" s="20"/>
      <c r="LI196" s="29">
        <v>129</v>
      </c>
      <c r="LJ196" s="19"/>
      <c r="LK196" s="93"/>
      <c r="LL196" s="93"/>
      <c r="LM196" s="93"/>
      <c r="LN196" s="93"/>
      <c r="LO196" s="20"/>
      <c r="LP196" s="29">
        <v>129</v>
      </c>
      <c r="LQ196" s="19"/>
      <c r="LR196" s="93"/>
      <c r="LS196" s="93"/>
      <c r="LT196" s="93"/>
      <c r="LU196" s="93"/>
      <c r="LV196" s="93"/>
      <c r="LW196" s="93"/>
      <c r="LX196" s="93"/>
      <c r="LY196" s="93"/>
      <c r="LZ196" s="93"/>
      <c r="MA196" s="20"/>
      <c r="MB196" s="29">
        <v>129</v>
      </c>
      <c r="MC196" s="1504">
        <v>40422</v>
      </c>
      <c r="MD196" s="19">
        <v>131163.21126099999</v>
      </c>
      <c r="ME196" s="93">
        <v>65330.709011999999</v>
      </c>
      <c r="MF196" s="93">
        <v>65330.709011999999</v>
      </c>
      <c r="MG196" s="93">
        <v>41351.530261</v>
      </c>
      <c r="MH196" s="93">
        <v>7099.8243630000006</v>
      </c>
      <c r="MI196" s="93">
        <v>320.560517</v>
      </c>
      <c r="MJ196" s="93">
        <v>673.5679520000001</v>
      </c>
      <c r="MK196" s="93">
        <v>24690.136201999998</v>
      </c>
      <c r="ML196" s="93">
        <v>8045.5302389999997</v>
      </c>
      <c r="MM196" s="93">
        <v>17657.528670000003</v>
      </c>
      <c r="MN196" s="93">
        <v>23979.178751000003</v>
      </c>
      <c r="MO196" s="93">
        <v>214.47523899999996</v>
      </c>
      <c r="MP196" s="93">
        <v>21405.476366999999</v>
      </c>
      <c r="MQ196" s="93">
        <v>177.98530200000002</v>
      </c>
      <c r="MR196" s="93">
        <v>402.91298799999998</v>
      </c>
      <c r="MS196" s="93">
        <v>1778.3288549999997</v>
      </c>
      <c r="MT196" s="93">
        <v>0</v>
      </c>
      <c r="MU196" s="93">
        <v>65832.502248999997</v>
      </c>
      <c r="MV196" s="93">
        <v>4750.2098489999998</v>
      </c>
      <c r="MW196" s="93">
        <v>61082.292399999991</v>
      </c>
      <c r="MX196" s="93">
        <v>80903.147047900027</v>
      </c>
      <c r="MY196" s="93">
        <v>82014.648927900023</v>
      </c>
      <c r="MZ196" s="93">
        <v>36912.019568149997</v>
      </c>
      <c r="NA196" s="93">
        <v>17314.684458916694</v>
      </c>
      <c r="NB196" s="93">
        <v>6486.0793733333203</v>
      </c>
      <c r="NC196" s="93">
        <v>4161.0948800000006</v>
      </c>
      <c r="ND196" s="93">
        <v>3510.5774990000009</v>
      </c>
      <c r="NE196" s="93">
        <v>650.517381</v>
      </c>
      <c r="NF196" s="93">
        <v>8950.1608558999851</v>
      </c>
      <c r="NG196" s="93">
        <v>243.85910589999892</v>
      </c>
      <c r="NH196" s="93">
        <v>1516.5122189999968</v>
      </c>
      <c r="NI196" s="93">
        <v>0</v>
      </c>
      <c r="NJ196" s="93">
        <v>2175.6506709999999</v>
      </c>
      <c r="NK196" s="93">
        <v>45102.629359750012</v>
      </c>
      <c r="NL196" s="93">
        <v>25367.095818750007</v>
      </c>
      <c r="NM196" s="93">
        <v>0</v>
      </c>
      <c r="NN196" s="93">
        <v>19735.533541000001</v>
      </c>
      <c r="NO196" s="93">
        <v>-1111.5018799999984</v>
      </c>
      <c r="NP196" s="93">
        <v>50260.064213099969</v>
      </c>
      <c r="NQ196" s="93">
        <v>-15572.438035900019</v>
      </c>
      <c r="NR196" s="93">
        <v>8324.190385099977</v>
      </c>
      <c r="NS196" s="93">
        <v>4163.0955050999819</v>
      </c>
      <c r="NT196" s="93">
        <v>48260.485851099962</v>
      </c>
      <c r="NU196" s="93">
        <v>-17572.016397900032</v>
      </c>
      <c r="NV196" s="93">
        <v>-45566.342472999997</v>
      </c>
      <c r="NW196" s="93">
        <v>14113.581086999999</v>
      </c>
      <c r="NX196" s="93">
        <v>14985.323692</v>
      </c>
      <c r="NY196" s="93">
        <v>-871.74260500000003</v>
      </c>
      <c r="NZ196" s="93">
        <v>0</v>
      </c>
      <c r="OA196" s="93">
        <v>-59679.923559999996</v>
      </c>
      <c r="OB196" s="93">
        <v>-64311.151689999999</v>
      </c>
      <c r="OC196" s="93">
        <v>4631.2281299999995</v>
      </c>
      <c r="OD196" s="20">
        <v>0</v>
      </c>
      <c r="OE196" s="29">
        <v>129</v>
      </c>
      <c r="OF196" s="1504">
        <v>40422</v>
      </c>
      <c r="OG196" s="19"/>
      <c r="OH196" s="93">
        <v>186.10531</v>
      </c>
      <c r="OI196" s="93">
        <v>488.18416766479771</v>
      </c>
      <c r="OJ196" s="93">
        <v>0.46216093499999999</v>
      </c>
      <c r="OK196" s="93">
        <v>417.01000672979774</v>
      </c>
      <c r="OL196" s="93">
        <v>70.712000000000003</v>
      </c>
      <c r="OM196" s="93">
        <v>674.28947766479769</v>
      </c>
      <c r="ON196" s="93">
        <v>533.09178721428111</v>
      </c>
      <c r="OO196" s="93">
        <v>1207.3812648790788</v>
      </c>
      <c r="OP196" s="93"/>
      <c r="OQ196" s="93">
        <v>692.32835012564612</v>
      </c>
      <c r="OR196" s="93">
        <v>386.53360953800006</v>
      </c>
      <c r="OS196" s="93">
        <v>305.79474058764606</v>
      </c>
      <c r="OT196" s="93">
        <v>693.90566620043285</v>
      </c>
      <c r="OU196" s="93">
        <v>-130.572329126</v>
      </c>
      <c r="OV196" s="93">
        <v>-109.01432912599999</v>
      </c>
      <c r="OW196" s="93">
        <v>-21.557999999999993</v>
      </c>
      <c r="OX196" s="93">
        <v>824.47799532643285</v>
      </c>
      <c r="OY196" s="93">
        <v>3.90794197</v>
      </c>
      <c r="OZ196" s="93">
        <v>820.57005335643271</v>
      </c>
      <c r="PA196" s="93">
        <v>163.23872146899998</v>
      </c>
      <c r="PB196" s="93">
        <v>15.614029978000019</v>
      </c>
      <c r="PC196" s="20">
        <v>1207.381264879079</v>
      </c>
      <c r="PD196" s="29">
        <v>129</v>
      </c>
      <c r="PE196" s="19"/>
      <c r="PF196" s="93">
        <v>386.53360953800006</v>
      </c>
      <c r="PG196" s="93">
        <v>601.89268840600005</v>
      </c>
      <c r="PH196" s="93">
        <v>215.35907886800001</v>
      </c>
      <c r="PI196" s="93">
        <v>71.3</v>
      </c>
      <c r="PJ196" s="93">
        <v>-106.930939126</v>
      </c>
      <c r="PK196" s="93">
        <v>98.431930316000006</v>
      </c>
      <c r="PL196" s="93">
        <v>205.362869442</v>
      </c>
      <c r="PM196" s="93">
        <v>3.90794197</v>
      </c>
      <c r="PN196" s="93">
        <v>1.21</v>
      </c>
      <c r="PO196" s="93">
        <v>0</v>
      </c>
      <c r="PP196" s="93">
        <v>7.7765699999999996E-4</v>
      </c>
      <c r="PQ196" s="93">
        <v>2.697164313</v>
      </c>
      <c r="PR196" s="93">
        <v>356.176279464</v>
      </c>
      <c r="PS196" s="93">
        <v>216.97470000000001</v>
      </c>
      <c r="PT196" s="93">
        <v>138.73941852900001</v>
      </c>
      <c r="PU196" s="93">
        <v>0.46216093499999999</v>
      </c>
      <c r="PV196" s="93">
        <v>0</v>
      </c>
      <c r="PW196" s="93">
        <v>7.3198426999999996E-2</v>
      </c>
      <c r="PX196" s="93">
        <v>0</v>
      </c>
      <c r="PY196" s="93">
        <v>0</v>
      </c>
      <c r="PZ196" s="93">
        <v>7.3198426999999996E-2</v>
      </c>
      <c r="QA196" s="93">
        <v>0</v>
      </c>
      <c r="QB196" s="93">
        <v>0</v>
      </c>
      <c r="QC196" s="93">
        <v>0</v>
      </c>
      <c r="QD196" s="93">
        <v>-0.94747695799999998</v>
      </c>
      <c r="QE196" s="20">
        <v>-0.49138855099999951</v>
      </c>
      <c r="QF196" s="1739">
        <v>129</v>
      </c>
      <c r="QG196" s="19"/>
      <c r="QH196" s="1035">
        <v>305.79474058764606</v>
      </c>
      <c r="QI196" s="1035">
        <v>383.30194664356719</v>
      </c>
      <c r="QJ196" s="1035">
        <v>-77.507206055921159</v>
      </c>
      <c r="QK196" s="1035">
        <v>155.072</v>
      </c>
      <c r="QL196" s="1035">
        <v>28.786000000000001</v>
      </c>
      <c r="QM196" s="1035">
        <v>126.286</v>
      </c>
      <c r="QN196" s="1035">
        <v>0</v>
      </c>
      <c r="QO196" s="1035">
        <v>-21.557999999999993</v>
      </c>
      <c r="QP196" s="1035">
        <v>108.755</v>
      </c>
      <c r="QQ196" s="1035">
        <v>-130.31299999999999</v>
      </c>
      <c r="QR196" s="1035">
        <v>820.57005335643271</v>
      </c>
      <c r="QS196" s="1035">
        <v>12.542399860329093</v>
      </c>
      <c r="QT196" s="1035">
        <v>0</v>
      </c>
      <c r="QU196" s="1035">
        <v>60.178000000000004</v>
      </c>
      <c r="QV196" s="1035">
        <v>747.84965349610366</v>
      </c>
      <c r="QW196" s="93"/>
      <c r="QX196" s="93">
        <v>65.197000000000003</v>
      </c>
      <c r="QY196" s="93">
        <v>417.01000672979774</v>
      </c>
      <c r="QZ196" s="93">
        <v>533.09178721428111</v>
      </c>
      <c r="RA196" s="93">
        <v>0</v>
      </c>
      <c r="RB196" s="93">
        <v>27.760999999999999</v>
      </c>
      <c r="RC196" s="93">
        <v>3.2040000000000002</v>
      </c>
      <c r="RD196" s="93">
        <v>6.2149999999999999</v>
      </c>
      <c r="RE196" s="93">
        <v>0</v>
      </c>
      <c r="RF196" s="93">
        <v>0</v>
      </c>
      <c r="RG196" s="93">
        <v>126.93299999999999</v>
      </c>
      <c r="RH196" s="93">
        <v>80.467000000000013</v>
      </c>
      <c r="RI196" s="93"/>
      <c r="RJ196" s="93"/>
      <c r="RK196" s="93"/>
      <c r="RL196" s="93"/>
      <c r="RM196" s="734"/>
      <c r="RN196" s="29">
        <v>129</v>
      </c>
      <c r="RO196" s="19"/>
      <c r="RP196" s="20"/>
      <c r="RQ196" s="29">
        <v>129</v>
      </c>
      <c r="RR196" s="734">
        <v>2.1929000000000003</v>
      </c>
      <c r="RS196" s="29">
        <v>129</v>
      </c>
      <c r="RT196" s="1504">
        <v>40422</v>
      </c>
      <c r="RU196" s="19"/>
      <c r="RV196" s="20"/>
      <c r="RW196" s="29">
        <v>129</v>
      </c>
      <c r="RX196" s="1504">
        <v>40422</v>
      </c>
      <c r="RY196" s="29"/>
      <c r="RZ196" s="734"/>
      <c r="SA196" s="29"/>
      <c r="SB196" s="29">
        <v>129</v>
      </c>
    </row>
    <row r="197" spans="1:496">
      <c r="A197" s="41">
        <f t="shared" ref="A197:A260" si="208">YEAR(B197)</f>
        <v>2010</v>
      </c>
      <c r="B197" s="1504">
        <v>40452</v>
      </c>
      <c r="C197" s="1813"/>
      <c r="D197" s="1814"/>
      <c r="E197" s="1814"/>
      <c r="F197" s="1815"/>
      <c r="G197" s="1814"/>
      <c r="H197" s="1814"/>
      <c r="I197" s="1814"/>
      <c r="J197" s="1816"/>
      <c r="K197" s="1807"/>
      <c r="L197" s="25">
        <v>130</v>
      </c>
      <c r="M197" s="97"/>
      <c r="N197" s="1504">
        <v>40452</v>
      </c>
      <c r="O197" s="19"/>
      <c r="P197" s="93"/>
      <c r="Q197" s="93"/>
      <c r="R197" s="93"/>
      <c r="S197" s="93"/>
      <c r="T197" s="93"/>
      <c r="U197" s="93"/>
      <c r="V197" s="93"/>
      <c r="W197" s="93"/>
      <c r="X197" s="93"/>
      <c r="Y197" s="93"/>
      <c r="Z197" s="93"/>
      <c r="AA197" s="93"/>
      <c r="AB197" s="20"/>
      <c r="AC197" s="25">
        <v>130</v>
      </c>
      <c r="AD197" s="97"/>
      <c r="AE197" s="1504">
        <v>40452</v>
      </c>
      <c r="AF197" s="19"/>
      <c r="AG197" s="93"/>
      <c r="AH197" s="93"/>
      <c r="AI197" s="93"/>
      <c r="AJ197" s="93"/>
      <c r="AK197" s="93"/>
      <c r="AL197" s="93"/>
      <c r="AM197" s="93"/>
      <c r="AN197" s="93"/>
      <c r="AO197" s="93"/>
      <c r="AP197" s="93"/>
      <c r="AQ197" s="93"/>
      <c r="AR197" s="93"/>
      <c r="AS197" s="20"/>
      <c r="AT197" s="25">
        <v>130</v>
      </c>
      <c r="AU197" s="97"/>
      <c r="AV197" s="1504">
        <v>40452</v>
      </c>
      <c r="AW197" s="19"/>
      <c r="AX197" s="93"/>
      <c r="AY197" s="93"/>
      <c r="AZ197" s="93"/>
      <c r="BA197" s="93"/>
      <c r="BB197" s="93"/>
      <c r="BC197" s="93"/>
      <c r="BD197" s="93"/>
      <c r="BE197" s="93"/>
      <c r="BF197" s="93"/>
      <c r="BG197" s="93"/>
      <c r="BH197" s="93"/>
      <c r="BI197" s="93"/>
      <c r="BJ197" s="20"/>
      <c r="BK197" s="25">
        <v>130</v>
      </c>
      <c r="BL197" s="97"/>
      <c r="BM197" s="1504">
        <v>40452</v>
      </c>
      <c r="BN197" s="19"/>
      <c r="BO197" s="93"/>
      <c r="BP197" s="93"/>
      <c r="BQ197" s="93"/>
      <c r="BR197" s="93"/>
      <c r="BS197" s="93"/>
      <c r="BT197" s="93"/>
      <c r="BU197" s="20"/>
      <c r="BV197" s="25">
        <v>130</v>
      </c>
      <c r="BW197" s="97"/>
      <c r="BX197" s="1504">
        <v>40452</v>
      </c>
      <c r="BY197" s="179">
        <v>471.98729977999994</v>
      </c>
      <c r="BZ197" s="99">
        <v>664.95699999999999</v>
      </c>
      <c r="CA197" s="93"/>
      <c r="CB197" s="93"/>
      <c r="CC197" s="99">
        <v>330.70132417851886</v>
      </c>
      <c r="CD197" s="25">
        <v>130</v>
      </c>
      <c r="CE197" s="97"/>
      <c r="CF197" s="1504">
        <v>40452</v>
      </c>
      <c r="CG197" s="179">
        <v>2.7899466099999999</v>
      </c>
      <c r="CH197" s="99">
        <v>1342.0239999999999</v>
      </c>
      <c r="CI197" s="219"/>
      <c r="CJ197" s="20"/>
      <c r="CK197" s="19"/>
      <c r="CL197" s="93"/>
      <c r="CM197" s="93"/>
      <c r="CN197" s="93"/>
      <c r="CO197" s="93"/>
      <c r="CP197" s="20"/>
      <c r="CQ197" s="219">
        <v>1471.32</v>
      </c>
      <c r="CR197" s="93">
        <v>2.4849999999999999</v>
      </c>
      <c r="CS197" s="93"/>
      <c r="CT197" s="93"/>
      <c r="CU197" s="93"/>
      <c r="CV197" s="214"/>
      <c r="CW197" s="29">
        <v>130</v>
      </c>
      <c r="CX197" s="41">
        <f t="shared" ref="CX197:CX260" si="209">YEAR(CY197)</f>
        <v>2010</v>
      </c>
      <c r="CY197" s="1504">
        <v>40452</v>
      </c>
      <c r="CZ197" s="1916">
        <v>63.569848843419948</v>
      </c>
      <c r="DA197" s="1526">
        <v>40.039163843419949</v>
      </c>
      <c r="DB197" s="1526">
        <v>23.530684999999998</v>
      </c>
      <c r="DC197" s="182">
        <f t="shared" si="205"/>
        <v>362165</v>
      </c>
      <c r="DD197" s="182">
        <f t="shared" si="206"/>
        <v>361092</v>
      </c>
      <c r="DE197" s="182">
        <f t="shared" si="207"/>
        <v>1073</v>
      </c>
      <c r="DF197" s="29">
        <v>130</v>
      </c>
      <c r="DG197" s="1504">
        <v>40452</v>
      </c>
      <c r="DH197" s="19"/>
      <c r="DI197" s="93"/>
      <c r="DJ197" s="93"/>
      <c r="DK197" s="93"/>
      <c r="DL197" s="93"/>
      <c r="DM197" s="93"/>
      <c r="DN197" s="20"/>
      <c r="DO197" s="25"/>
      <c r="DP197" s="29">
        <v>130</v>
      </c>
      <c r="DQ197" s="1504">
        <v>40452</v>
      </c>
      <c r="DR197" s="19"/>
      <c r="DS197" s="93"/>
      <c r="DT197" s="93"/>
      <c r="DU197" s="93"/>
      <c r="DV197" s="93"/>
      <c r="DW197" s="93"/>
      <c r="DX197" s="20"/>
      <c r="DY197" s="29">
        <v>130</v>
      </c>
      <c r="DZ197" s="1504">
        <v>40452</v>
      </c>
      <c r="EA197" s="19"/>
      <c r="EB197" s="93"/>
      <c r="EC197" s="20"/>
      <c r="ED197" s="29">
        <v>130</v>
      </c>
      <c r="EE197" s="1504">
        <v>40452</v>
      </c>
      <c r="EF197" s="19"/>
      <c r="EG197" s="93"/>
      <c r="EH197" s="93"/>
      <c r="EI197" s="214"/>
      <c r="EJ197" s="93"/>
      <c r="EK197" s="93"/>
      <c r="EL197" s="93"/>
      <c r="EM197" s="93"/>
      <c r="EN197" s="20"/>
      <c r="EO197" s="29">
        <v>130</v>
      </c>
      <c r="EP197" s="1504">
        <v>40452</v>
      </c>
      <c r="EQ197" s="19"/>
      <c r="ER197" s="93"/>
      <c r="ES197" s="93"/>
      <c r="ET197" s="214"/>
      <c r="EU197" s="93"/>
      <c r="EV197" s="93"/>
      <c r="EW197" s="93"/>
      <c r="EX197" s="93"/>
      <c r="EY197" s="20"/>
      <c r="EZ197" s="29">
        <v>130</v>
      </c>
      <c r="FA197" s="1504">
        <v>40452</v>
      </c>
      <c r="FB197" s="29"/>
      <c r="FC197" s="29"/>
      <c r="FD197" s="29"/>
      <c r="FE197" s="29"/>
      <c r="FF197" s="29"/>
      <c r="FG197" s="29"/>
      <c r="FH197" s="29"/>
      <c r="FI197" s="29"/>
      <c r="FJ197" s="29"/>
      <c r="FK197" s="29">
        <v>130</v>
      </c>
      <c r="FL197" s="1504">
        <v>40452</v>
      </c>
      <c r="FM197" s="19">
        <v>100.10781778964426</v>
      </c>
      <c r="FN197" s="93">
        <v>106.59483614046286</v>
      </c>
      <c r="FO197" s="93">
        <v>99.847515664787323</v>
      </c>
      <c r="FP197" s="93">
        <v>100.13317151105917</v>
      </c>
      <c r="FQ197" s="93">
        <v>102.46117086663376</v>
      </c>
      <c r="FR197" s="93">
        <v>98.14146524356336</v>
      </c>
      <c r="FS197" s="93">
        <v>99.780752162233853</v>
      </c>
      <c r="FT197" s="93">
        <v>98.617824807401973</v>
      </c>
      <c r="FU197" s="93">
        <v>62.504180791012935</v>
      </c>
      <c r="FV197" s="93">
        <v>98.87913548002814</v>
      </c>
      <c r="FW197" s="93">
        <v>102.49285068203132</v>
      </c>
      <c r="FX197" s="93">
        <v>103.00143308743183</v>
      </c>
      <c r="FY197" s="93">
        <v>101.61778548614491</v>
      </c>
      <c r="FZ197" s="29">
        <v>130</v>
      </c>
      <c r="GA197" s="1504">
        <v>40452</v>
      </c>
      <c r="GB197" s="733">
        <v>100.10781778964426</v>
      </c>
      <c r="GC197" s="570">
        <v>101.23430579245095</v>
      </c>
      <c r="GD197" s="570">
        <v>99.380914690249156</v>
      </c>
      <c r="GE197" s="570">
        <v>103.77134348786902</v>
      </c>
      <c r="GF197" s="570">
        <v>107.42390063145763</v>
      </c>
      <c r="GG197" s="570">
        <v>97.553324976802429</v>
      </c>
      <c r="GH197" s="93"/>
      <c r="GI197" s="93"/>
      <c r="GJ197" s="93"/>
      <c r="GK197" s="93"/>
      <c r="GL197" s="93"/>
      <c r="GM197" s="93"/>
      <c r="GN197" s="20"/>
      <c r="GO197" s="29">
        <v>130</v>
      </c>
      <c r="GP197" s="1504">
        <v>40452</v>
      </c>
      <c r="GQ197" s="19"/>
      <c r="GR197" s="93"/>
      <c r="GS197" s="93"/>
      <c r="GT197" s="93"/>
      <c r="GU197" s="93"/>
      <c r="GV197" s="20"/>
      <c r="GW197" s="19"/>
      <c r="GX197" s="93"/>
      <c r="GY197" s="93"/>
      <c r="GZ197" s="93"/>
      <c r="HA197" s="93"/>
      <c r="HB197" s="20"/>
      <c r="HC197" s="19"/>
      <c r="HD197" s="93"/>
      <c r="HE197" s="93"/>
      <c r="HF197" s="93"/>
      <c r="HG197" s="93"/>
      <c r="HH197" s="20"/>
      <c r="HI197" s="19"/>
      <c r="HJ197" s="93"/>
      <c r="HK197" s="93"/>
      <c r="HL197" s="93"/>
      <c r="HM197" s="93"/>
      <c r="HN197" s="20"/>
      <c r="HO197" s="219"/>
      <c r="HP197" s="20"/>
      <c r="HQ197" s="25"/>
      <c r="HR197" s="29">
        <v>130</v>
      </c>
      <c r="HS197" s="1504">
        <v>40452</v>
      </c>
      <c r="HT197" s="179">
        <v>173.94736785888671</v>
      </c>
      <c r="HU197" s="99">
        <v>172.91666717529296</v>
      </c>
      <c r="HV197" s="99">
        <v>148.40989685058594</v>
      </c>
      <c r="HW197" s="99">
        <v>109.22330474853516</v>
      </c>
      <c r="HX197" s="99">
        <v>166.66667175292969</v>
      </c>
      <c r="HY197" s="99">
        <v>168.25881347656249</v>
      </c>
      <c r="HZ197" s="99">
        <v>212.38113403320313</v>
      </c>
      <c r="IA197" s="132">
        <v>150.40322875976563</v>
      </c>
      <c r="IB197" s="179">
        <v>205.76130676269531</v>
      </c>
      <c r="IC197" s="99">
        <v>117.34693756103516</v>
      </c>
      <c r="ID197" s="99"/>
      <c r="IE197" s="99">
        <v>99.337748209635421</v>
      </c>
      <c r="IF197" s="99">
        <v>187.49999618530273</v>
      </c>
      <c r="IG197" s="132">
        <v>113.125</v>
      </c>
      <c r="IH197" s="179">
        <v>94.934210968017581</v>
      </c>
      <c r="II197" s="99">
        <v>174.13728027343751</v>
      </c>
      <c r="IJ197" s="99">
        <v>129.37062988281249</v>
      </c>
      <c r="IK197" s="99">
        <v>125</v>
      </c>
      <c r="IL197" s="99">
        <v>116.86992263793945</v>
      </c>
      <c r="IM197" s="99">
        <v>131.53594589233398</v>
      </c>
      <c r="IN197" s="93"/>
      <c r="IO197" s="132">
        <v>129.05527801513671</v>
      </c>
      <c r="IP197" s="29">
        <v>130</v>
      </c>
      <c r="IQ197" s="19"/>
      <c r="IR197" s="93"/>
      <c r="IS197" s="93"/>
      <c r="IT197" s="93"/>
      <c r="IU197" s="93"/>
      <c r="IV197" s="20"/>
      <c r="IW197" s="29">
        <v>130</v>
      </c>
      <c r="IX197" s="19"/>
      <c r="IY197" s="93"/>
      <c r="IZ197" s="93"/>
      <c r="JA197" s="93"/>
      <c r="JB197" s="93"/>
      <c r="JC197" s="93"/>
      <c r="JD197" s="93"/>
      <c r="JE197" s="20"/>
      <c r="JF197" s="29">
        <v>130</v>
      </c>
      <c r="JG197" s="19"/>
      <c r="JH197" s="93"/>
      <c r="JI197" s="93"/>
      <c r="JJ197" s="93"/>
      <c r="JK197" s="93"/>
      <c r="JL197" s="93"/>
      <c r="JM197" s="93"/>
      <c r="JN197" s="20"/>
      <c r="JO197" s="29">
        <v>130</v>
      </c>
      <c r="JP197" s="19"/>
      <c r="JQ197" s="93"/>
      <c r="JR197" s="93"/>
      <c r="JS197" s="93"/>
      <c r="JT197" s="93"/>
      <c r="JU197" s="20"/>
      <c r="JV197" s="29">
        <v>130</v>
      </c>
      <c r="JW197" s="1504">
        <v>40452</v>
      </c>
      <c r="JX197" s="19"/>
      <c r="JY197" s="93"/>
      <c r="JZ197" s="93"/>
      <c r="KA197" s="93"/>
      <c r="KB197" s="93"/>
      <c r="KC197" s="93"/>
      <c r="KD197" s="20"/>
      <c r="KE197" s="29">
        <v>130</v>
      </c>
      <c r="KF197" s="19"/>
      <c r="KG197" s="93"/>
      <c r="KH197" s="93"/>
      <c r="KI197" s="93"/>
      <c r="KJ197" s="93"/>
      <c r="KK197" s="20"/>
      <c r="KL197" s="29">
        <v>130</v>
      </c>
      <c r="KM197" s="19"/>
      <c r="KN197" s="93"/>
      <c r="KO197" s="93"/>
      <c r="KP197" s="93"/>
      <c r="KQ197" s="93"/>
      <c r="KR197" s="20"/>
      <c r="KS197" s="29">
        <v>130</v>
      </c>
      <c r="KT197" s="19"/>
      <c r="KU197" s="93"/>
      <c r="KV197" s="93"/>
      <c r="KW197" s="93"/>
      <c r="KX197" s="93"/>
      <c r="KY197" s="20"/>
      <c r="KZ197" s="29">
        <v>130</v>
      </c>
      <c r="LA197" s="1504">
        <v>40452</v>
      </c>
      <c r="LB197" s="19">
        <v>510</v>
      </c>
      <c r="LC197" s="93">
        <v>740</v>
      </c>
      <c r="LD197" s="93">
        <v>732</v>
      </c>
      <c r="LE197" s="93"/>
      <c r="LF197" s="93">
        <v>656</v>
      </c>
      <c r="LG197" s="93"/>
      <c r="LH197" s="20"/>
      <c r="LI197" s="29">
        <v>130</v>
      </c>
      <c r="LJ197" s="19"/>
      <c r="LK197" s="93"/>
      <c r="LL197" s="93"/>
      <c r="LM197" s="93"/>
      <c r="LN197" s="93"/>
      <c r="LO197" s="20"/>
      <c r="LP197" s="29">
        <v>130</v>
      </c>
      <c r="LQ197" s="19"/>
      <c r="LR197" s="93"/>
      <c r="LS197" s="93"/>
      <c r="LT197" s="93"/>
      <c r="LU197" s="93"/>
      <c r="LV197" s="93"/>
      <c r="LW197" s="93"/>
      <c r="LX197" s="93"/>
      <c r="LY197" s="93"/>
      <c r="LZ197" s="93"/>
      <c r="MA197" s="20"/>
      <c r="MB197" s="29">
        <v>130</v>
      </c>
      <c r="MC197" s="1504">
        <v>40452</v>
      </c>
      <c r="MD197" s="19">
        <v>49644.528528999996</v>
      </c>
      <c r="ME197" s="93">
        <v>48645.207459999998</v>
      </c>
      <c r="MF197" s="93">
        <v>48645.207426000001</v>
      </c>
      <c r="MG197" s="93">
        <v>42819.422501000001</v>
      </c>
      <c r="MH197" s="93">
        <v>7929.2140319999999</v>
      </c>
      <c r="MI197" s="93">
        <v>333.644699</v>
      </c>
      <c r="MJ197" s="93">
        <v>328.67546600000003</v>
      </c>
      <c r="MK197" s="93">
        <v>24882.941526000002</v>
      </c>
      <c r="ML197" s="93">
        <v>8590.0036999999993</v>
      </c>
      <c r="MM197" s="93">
        <v>18715.274954000004</v>
      </c>
      <c r="MN197" s="93">
        <v>5825.7849250000008</v>
      </c>
      <c r="MO197" s="93">
        <v>753.18854600000009</v>
      </c>
      <c r="MP197" s="93">
        <v>1413.1122639999999</v>
      </c>
      <c r="MQ197" s="93">
        <v>108.192768</v>
      </c>
      <c r="MR197" s="93">
        <v>816.46223900000007</v>
      </c>
      <c r="MS197" s="93">
        <v>2734.8291079999999</v>
      </c>
      <c r="MT197" s="93">
        <v>3.4E-5</v>
      </c>
      <c r="MU197" s="93">
        <v>999.32106900000008</v>
      </c>
      <c r="MV197" s="93">
        <v>996.32106900000008</v>
      </c>
      <c r="MW197" s="93">
        <v>3</v>
      </c>
      <c r="MX197" s="93">
        <v>76206.780916500022</v>
      </c>
      <c r="MY197" s="93">
        <v>77141.216549500023</v>
      </c>
      <c r="MZ197" s="93">
        <v>52293.96569875002</v>
      </c>
      <c r="NA197" s="93">
        <v>27794.488883749993</v>
      </c>
      <c r="NB197" s="93">
        <v>4954.9311356666985</v>
      </c>
      <c r="NC197" s="93">
        <v>1293.9476139999999</v>
      </c>
      <c r="ND197" s="93">
        <v>8.456631999999999</v>
      </c>
      <c r="NE197" s="93">
        <v>1285.4909819999998</v>
      </c>
      <c r="NF197" s="93">
        <v>18250.598065333324</v>
      </c>
      <c r="NG197" s="93">
        <v>270.36754000000099</v>
      </c>
      <c r="NH197" s="93">
        <v>6001.6928399999997</v>
      </c>
      <c r="NI197" s="93">
        <v>0</v>
      </c>
      <c r="NJ197" s="93">
        <v>547.17996699999992</v>
      </c>
      <c r="NK197" s="93">
        <v>24847.250850749999</v>
      </c>
      <c r="NL197" s="93">
        <v>16647.934776749997</v>
      </c>
      <c r="NM197" s="93">
        <v>0</v>
      </c>
      <c r="NN197" s="93">
        <v>8199.3160740000003</v>
      </c>
      <c r="NO197" s="93">
        <v>-934.43563300000119</v>
      </c>
      <c r="NP197" s="93">
        <v>-26562.252387500019</v>
      </c>
      <c r="NQ197" s="93">
        <v>-27561.573456500017</v>
      </c>
      <c r="NR197" s="93">
        <v>-18068.309768500021</v>
      </c>
      <c r="NS197" s="93">
        <v>-19362.257382500015</v>
      </c>
      <c r="NT197" s="93">
        <v>-25992.168696500008</v>
      </c>
      <c r="NU197" s="93">
        <v>-26991.489765500006</v>
      </c>
      <c r="NV197" s="93">
        <v>39615.739543999996</v>
      </c>
      <c r="NW197" s="93">
        <v>18788.876377000001</v>
      </c>
      <c r="NX197" s="93">
        <v>19849.968280000001</v>
      </c>
      <c r="NY197" s="93">
        <v>-1061.091903</v>
      </c>
      <c r="NZ197" s="93">
        <v>0</v>
      </c>
      <c r="OA197" s="93">
        <v>20826.863167000003</v>
      </c>
      <c r="OB197" s="93">
        <v>35139.941674000002</v>
      </c>
      <c r="OC197" s="93">
        <v>-14313.078507000002</v>
      </c>
      <c r="OD197" s="20">
        <v>0</v>
      </c>
      <c r="OE197" s="29">
        <v>130</v>
      </c>
      <c r="OF197" s="1504">
        <v>40452</v>
      </c>
      <c r="OG197" s="19"/>
      <c r="OH197" s="93">
        <v>187.78075999999999</v>
      </c>
      <c r="OI197" s="93">
        <v>493.17553314500071</v>
      </c>
      <c r="OJ197" s="93">
        <v>0.416933577</v>
      </c>
      <c r="OK197" s="93">
        <v>420.6539995680007</v>
      </c>
      <c r="OL197" s="93">
        <v>72.104600000000005</v>
      </c>
      <c r="OM197" s="93">
        <v>680.9562931450007</v>
      </c>
      <c r="ON197" s="93">
        <v>539.64837534300796</v>
      </c>
      <c r="OO197" s="93">
        <v>1220.6046684880087</v>
      </c>
      <c r="OP197" s="93"/>
      <c r="OQ197" s="93">
        <v>657.357664292511</v>
      </c>
      <c r="OR197" s="93">
        <v>350.09314305200002</v>
      </c>
      <c r="OS197" s="93">
        <v>307.26452124051099</v>
      </c>
      <c r="OT197" s="93">
        <v>767.11952752849766</v>
      </c>
      <c r="OU197" s="93">
        <v>-95.104055513999995</v>
      </c>
      <c r="OV197" s="93">
        <v>-71.174055513999988</v>
      </c>
      <c r="OW197" s="93">
        <v>-23.930000000000007</v>
      </c>
      <c r="OX197" s="93">
        <v>862.22358304249769</v>
      </c>
      <c r="OY197" s="93">
        <v>3.8407293720000002</v>
      </c>
      <c r="OZ197" s="93">
        <v>858.38285367049764</v>
      </c>
      <c r="PA197" s="93">
        <v>173.53608308700001</v>
      </c>
      <c r="PB197" s="93">
        <v>30.336440246000009</v>
      </c>
      <c r="PC197" s="20">
        <v>1220.6046684880087</v>
      </c>
      <c r="PD197" s="29">
        <v>130</v>
      </c>
      <c r="PE197" s="19"/>
      <c r="PF197" s="93">
        <v>350.09314305200002</v>
      </c>
      <c r="PG197" s="93">
        <v>571.66287628600003</v>
      </c>
      <c r="PH197" s="93">
        <v>221.56973323400001</v>
      </c>
      <c r="PI197" s="93">
        <v>78.599999999999994</v>
      </c>
      <c r="PJ197" s="93">
        <v>-68.837215513999993</v>
      </c>
      <c r="PK197" s="93">
        <v>97.531171520000001</v>
      </c>
      <c r="PL197" s="93">
        <v>166.36838703399999</v>
      </c>
      <c r="PM197" s="93">
        <v>3.8407293720000002</v>
      </c>
      <c r="PN197" s="93">
        <v>1.21</v>
      </c>
      <c r="PO197" s="93">
        <v>0</v>
      </c>
      <c r="PP197" s="93">
        <v>4.3339399999999998E-4</v>
      </c>
      <c r="PQ197" s="93">
        <v>2.6302959779999999</v>
      </c>
      <c r="PR197" s="93">
        <v>358.48337699299998</v>
      </c>
      <c r="PS197" s="93">
        <v>218.7336</v>
      </c>
      <c r="PT197" s="93">
        <v>139.332843416</v>
      </c>
      <c r="PU197" s="93">
        <v>0.416933577</v>
      </c>
      <c r="PV197" s="93">
        <v>0</v>
      </c>
      <c r="PW197" s="93">
        <v>5.0570476000000003E-2</v>
      </c>
      <c r="PX197" s="93">
        <v>0</v>
      </c>
      <c r="PY197" s="93">
        <v>0</v>
      </c>
      <c r="PZ197" s="93">
        <v>5.0570476000000003E-2</v>
      </c>
      <c r="QA197" s="93">
        <v>0</v>
      </c>
      <c r="QB197" s="93">
        <v>0</v>
      </c>
      <c r="QC197" s="93">
        <v>0</v>
      </c>
      <c r="QD197" s="93">
        <v>-0.58848738899999997</v>
      </c>
      <c r="QE197" s="20">
        <v>5.7511968299999996</v>
      </c>
      <c r="QF197" s="1739">
        <v>130</v>
      </c>
      <c r="QG197" s="19"/>
      <c r="QH197" s="1035">
        <v>307.26452124051099</v>
      </c>
      <c r="QI197" s="1035">
        <v>401.82314632950238</v>
      </c>
      <c r="QJ197" s="1035">
        <v>-94.558625088991406</v>
      </c>
      <c r="QK197" s="1035">
        <v>141.34800000000001</v>
      </c>
      <c r="QL197" s="1035">
        <v>28.616</v>
      </c>
      <c r="QM197" s="1035">
        <v>112.732</v>
      </c>
      <c r="QN197" s="1035">
        <v>0</v>
      </c>
      <c r="QO197" s="1035">
        <v>-23.930000000000007</v>
      </c>
      <c r="QP197" s="1035">
        <v>101.98699999999999</v>
      </c>
      <c r="QQ197" s="1035">
        <v>-125.917</v>
      </c>
      <c r="QR197" s="1035">
        <v>858.38285367049764</v>
      </c>
      <c r="QS197" s="1035">
        <v>11.270545825172229</v>
      </c>
      <c r="QT197" s="1035">
        <v>0</v>
      </c>
      <c r="QU197" s="1035">
        <v>61.180999999999997</v>
      </c>
      <c r="QV197" s="1035">
        <v>785.93130784532536</v>
      </c>
      <c r="QW197" s="93"/>
      <c r="QX197" s="93">
        <v>70.007000000000005</v>
      </c>
      <c r="QY197" s="93">
        <v>420.65399956800064</v>
      </c>
      <c r="QZ197" s="93">
        <v>539.64837534300796</v>
      </c>
      <c r="RA197" s="93">
        <v>0</v>
      </c>
      <c r="RB197" s="93">
        <v>26.247999999999998</v>
      </c>
      <c r="RC197" s="93">
        <v>3.2040000000000002</v>
      </c>
      <c r="RD197" s="93">
        <v>13.554</v>
      </c>
      <c r="RE197" s="93">
        <v>0</v>
      </c>
      <c r="RF197" s="93">
        <v>0</v>
      </c>
      <c r="RG197" s="93">
        <v>131.06800000000001</v>
      </c>
      <c r="RH197" s="93">
        <v>78.682000000000002</v>
      </c>
      <c r="RI197" s="93"/>
      <c r="RJ197" s="93"/>
      <c r="RK197" s="93"/>
      <c r="RL197" s="93"/>
      <c r="RM197" s="734"/>
      <c r="RN197" s="29">
        <v>130</v>
      </c>
      <c r="RO197" s="19"/>
      <c r="RP197" s="20"/>
      <c r="RQ197" s="29">
        <v>130</v>
      </c>
      <c r="RR197" s="734">
        <v>2.3544999999999998</v>
      </c>
      <c r="RS197" s="29">
        <v>130</v>
      </c>
      <c r="RT197" s="1504">
        <v>40452</v>
      </c>
      <c r="RU197" s="19"/>
      <c r="RV197" s="20"/>
      <c r="RW197" s="29">
        <v>130</v>
      </c>
      <c r="RX197" s="1504">
        <v>40452</v>
      </c>
      <c r="RY197" s="29"/>
      <c r="RZ197" s="734"/>
      <c r="SA197" s="29"/>
      <c r="SB197" s="29">
        <v>130</v>
      </c>
    </row>
    <row r="198" spans="1:496">
      <c r="A198" s="41">
        <f t="shared" si="208"/>
        <v>2010</v>
      </c>
      <c r="B198" s="1504">
        <v>40483</v>
      </c>
      <c r="C198" s="1813"/>
      <c r="D198" s="1814"/>
      <c r="E198" s="1814"/>
      <c r="F198" s="1815"/>
      <c r="G198" s="1814"/>
      <c r="H198" s="1814"/>
      <c r="I198" s="1814"/>
      <c r="J198" s="1816"/>
      <c r="K198" s="1807"/>
      <c r="L198" s="25">
        <v>131</v>
      </c>
      <c r="M198" s="97"/>
      <c r="N198" s="1504">
        <v>40483</v>
      </c>
      <c r="O198" s="19"/>
      <c r="P198" s="93"/>
      <c r="Q198" s="93"/>
      <c r="R198" s="93"/>
      <c r="S198" s="93"/>
      <c r="T198" s="93"/>
      <c r="U198" s="93"/>
      <c r="V198" s="93"/>
      <c r="W198" s="93"/>
      <c r="X198" s="93"/>
      <c r="Y198" s="93"/>
      <c r="Z198" s="93"/>
      <c r="AA198" s="93"/>
      <c r="AB198" s="20"/>
      <c r="AC198" s="25">
        <v>131</v>
      </c>
      <c r="AD198" s="97"/>
      <c r="AE198" s="1504">
        <v>40483</v>
      </c>
      <c r="AF198" s="19"/>
      <c r="AG198" s="93"/>
      <c r="AH198" s="93"/>
      <c r="AI198" s="93"/>
      <c r="AJ198" s="93"/>
      <c r="AK198" s="93"/>
      <c r="AL198" s="93"/>
      <c r="AM198" s="93"/>
      <c r="AN198" s="93"/>
      <c r="AO198" s="93"/>
      <c r="AP198" s="93"/>
      <c r="AQ198" s="93"/>
      <c r="AR198" s="93"/>
      <c r="AS198" s="20"/>
      <c r="AT198" s="25">
        <v>131</v>
      </c>
      <c r="AU198" s="97"/>
      <c r="AV198" s="1504">
        <v>40483</v>
      </c>
      <c r="AW198" s="19"/>
      <c r="AX198" s="93"/>
      <c r="AY198" s="93"/>
      <c r="AZ198" s="93"/>
      <c r="BA198" s="93"/>
      <c r="BB198" s="93"/>
      <c r="BC198" s="93"/>
      <c r="BD198" s="93"/>
      <c r="BE198" s="93"/>
      <c r="BF198" s="93"/>
      <c r="BG198" s="93"/>
      <c r="BH198" s="93"/>
      <c r="BI198" s="93"/>
      <c r="BJ198" s="20"/>
      <c r="BK198" s="25">
        <v>131</v>
      </c>
      <c r="BL198" s="97"/>
      <c r="BM198" s="1504">
        <v>40483</v>
      </c>
      <c r="BN198" s="19"/>
      <c r="BO198" s="93"/>
      <c r="BP198" s="93"/>
      <c r="BQ198" s="93"/>
      <c r="BR198" s="93"/>
      <c r="BS198" s="93"/>
      <c r="BT198" s="93"/>
      <c r="BU198" s="20"/>
      <c r="BV198" s="25">
        <v>131</v>
      </c>
      <c r="BW198" s="97"/>
      <c r="BX198" s="1504">
        <v>40483</v>
      </c>
      <c r="BY198" s="179">
        <v>480.16708357000005</v>
      </c>
      <c r="BZ198" s="99">
        <v>664.95699999999999</v>
      </c>
      <c r="CA198" s="93"/>
      <c r="CB198" s="93"/>
      <c r="CC198" s="99">
        <v>334.39827382195307</v>
      </c>
      <c r="CD198" s="25">
        <v>131</v>
      </c>
      <c r="CE198" s="97"/>
      <c r="CF198" s="1504">
        <v>40483</v>
      </c>
      <c r="CG198" s="179">
        <v>3.4097072847618999</v>
      </c>
      <c r="CH198" s="99">
        <v>1369.886</v>
      </c>
      <c r="CI198" s="219"/>
      <c r="CJ198" s="20"/>
      <c r="CK198" s="19"/>
      <c r="CL198" s="93"/>
      <c r="CM198" s="93"/>
      <c r="CN198" s="93"/>
      <c r="CO198" s="93"/>
      <c r="CP198" s="20"/>
      <c r="CQ198" s="219">
        <v>1543.24</v>
      </c>
      <c r="CR198" s="93">
        <v>2.5175000000000001</v>
      </c>
      <c r="CS198" s="93"/>
      <c r="CT198" s="93"/>
      <c r="CU198" s="93"/>
      <c r="CV198" s="214"/>
      <c r="CW198" s="29">
        <v>131</v>
      </c>
      <c r="CX198" s="41">
        <f t="shared" si="209"/>
        <v>2010</v>
      </c>
      <c r="CY198" s="1504">
        <v>40483</v>
      </c>
      <c r="CZ198" s="1916">
        <v>67.880326999999994</v>
      </c>
      <c r="DA198" s="1526">
        <v>41.879204999999999</v>
      </c>
      <c r="DB198" s="1526">
        <v>26.001121999999999</v>
      </c>
      <c r="DC198" s="182">
        <f t="shared" si="205"/>
        <v>362165</v>
      </c>
      <c r="DD198" s="182">
        <f t="shared" si="206"/>
        <v>361092</v>
      </c>
      <c r="DE198" s="182">
        <f t="shared" si="207"/>
        <v>1073</v>
      </c>
      <c r="DF198" s="29">
        <v>131</v>
      </c>
      <c r="DG198" s="1504">
        <v>40483</v>
      </c>
      <c r="DH198" s="19"/>
      <c r="DI198" s="93"/>
      <c r="DJ198" s="93"/>
      <c r="DK198" s="93"/>
      <c r="DL198" s="93"/>
      <c r="DM198" s="93"/>
      <c r="DN198" s="20"/>
      <c r="DO198" s="25"/>
      <c r="DP198" s="29">
        <v>131</v>
      </c>
      <c r="DQ198" s="1504">
        <v>40483</v>
      </c>
      <c r="DR198" s="19"/>
      <c r="DS198" s="93"/>
      <c r="DT198" s="93"/>
      <c r="DU198" s="93"/>
      <c r="DV198" s="93"/>
      <c r="DW198" s="93"/>
      <c r="DX198" s="20"/>
      <c r="DY198" s="29">
        <v>131</v>
      </c>
      <c r="DZ198" s="1504">
        <v>40483</v>
      </c>
      <c r="EA198" s="19"/>
      <c r="EB198" s="93"/>
      <c r="EC198" s="20"/>
      <c r="ED198" s="29">
        <v>131</v>
      </c>
      <c r="EE198" s="1504">
        <v>40483</v>
      </c>
      <c r="EF198" s="19"/>
      <c r="EG198" s="93"/>
      <c r="EH198" s="93"/>
      <c r="EI198" s="214"/>
      <c r="EJ198" s="93"/>
      <c r="EK198" s="93"/>
      <c r="EL198" s="93"/>
      <c r="EM198" s="93"/>
      <c r="EN198" s="20"/>
      <c r="EO198" s="29">
        <v>131</v>
      </c>
      <c r="EP198" s="1504">
        <v>40483</v>
      </c>
      <c r="EQ198" s="19"/>
      <c r="ER198" s="93"/>
      <c r="ES198" s="93"/>
      <c r="ET198" s="214"/>
      <c r="EU198" s="93"/>
      <c r="EV198" s="93"/>
      <c r="EW198" s="93"/>
      <c r="EX198" s="93"/>
      <c r="EY198" s="20"/>
      <c r="EZ198" s="29">
        <v>131</v>
      </c>
      <c r="FA198" s="1504">
        <v>40483</v>
      </c>
      <c r="FB198" s="29"/>
      <c r="FC198" s="29"/>
      <c r="FD198" s="29"/>
      <c r="FE198" s="29"/>
      <c r="FF198" s="29"/>
      <c r="FG198" s="29"/>
      <c r="FH198" s="29"/>
      <c r="FI198" s="29"/>
      <c r="FJ198" s="29"/>
      <c r="FK198" s="29">
        <v>131</v>
      </c>
      <c r="FL198" s="1504">
        <v>40483</v>
      </c>
      <c r="FM198" s="19">
        <v>99.962023483580595</v>
      </c>
      <c r="FN198" s="93">
        <v>105.27445139276399</v>
      </c>
      <c r="FO198" s="93">
        <v>99.569608656953307</v>
      </c>
      <c r="FP198" s="93">
        <v>100.13317151105917</v>
      </c>
      <c r="FQ198" s="93">
        <v>104.30618490644872</v>
      </c>
      <c r="FR198" s="93">
        <v>98.192085572172587</v>
      </c>
      <c r="FS198" s="93">
        <v>99.780948585769593</v>
      </c>
      <c r="FT198" s="93">
        <v>98.686821866067959</v>
      </c>
      <c r="FU198" s="93">
        <v>63.32069651624407</v>
      </c>
      <c r="FV198" s="93">
        <v>98.855637177332042</v>
      </c>
      <c r="FW198" s="93">
        <v>102.49285068203132</v>
      </c>
      <c r="FX198" s="93">
        <v>104.10924823365401</v>
      </c>
      <c r="FY198" s="93">
        <v>101.61778548614491</v>
      </c>
      <c r="FZ198" s="29">
        <v>131</v>
      </c>
      <c r="GA198" s="1504">
        <v>40483</v>
      </c>
      <c r="GB198" s="733">
        <v>99.962023483580595</v>
      </c>
      <c r="GC198" s="570">
        <v>101.33048053227691</v>
      </c>
      <c r="GD198" s="570">
        <v>99.079352337558262</v>
      </c>
      <c r="GE198" s="570">
        <v>107.96217981183578</v>
      </c>
      <c r="GF198" s="570">
        <v>106.03510409450517</v>
      </c>
      <c r="GG198" s="570">
        <v>97.525144284133717</v>
      </c>
      <c r="GH198" s="93"/>
      <c r="GI198" s="93"/>
      <c r="GJ198" s="93"/>
      <c r="GK198" s="93"/>
      <c r="GL198" s="93"/>
      <c r="GM198" s="93"/>
      <c r="GN198" s="20"/>
      <c r="GO198" s="29">
        <v>131</v>
      </c>
      <c r="GP198" s="1504">
        <v>40483</v>
      </c>
      <c r="GQ198" s="19"/>
      <c r="GR198" s="93"/>
      <c r="GS198" s="93"/>
      <c r="GT198" s="93"/>
      <c r="GU198" s="93"/>
      <c r="GV198" s="20"/>
      <c r="GW198" s="19"/>
      <c r="GX198" s="93"/>
      <c r="GY198" s="93"/>
      <c r="GZ198" s="93"/>
      <c r="HA198" s="93"/>
      <c r="HB198" s="20"/>
      <c r="HC198" s="19"/>
      <c r="HD198" s="93"/>
      <c r="HE198" s="93"/>
      <c r="HF198" s="93"/>
      <c r="HG198" s="93"/>
      <c r="HH198" s="20"/>
      <c r="HI198" s="19"/>
      <c r="HJ198" s="93"/>
      <c r="HK198" s="93"/>
      <c r="HL198" s="93"/>
      <c r="HM198" s="93"/>
      <c r="HN198" s="20"/>
      <c r="HO198" s="219"/>
      <c r="HP198" s="20"/>
      <c r="HQ198" s="25"/>
      <c r="HR198" s="29">
        <v>131</v>
      </c>
      <c r="HS198" s="1504">
        <v>40483</v>
      </c>
      <c r="HT198" s="179">
        <v>170.76367950439453</v>
      </c>
      <c r="HU198" s="99">
        <v>138.12755966186523</v>
      </c>
      <c r="HV198" s="99">
        <v>141.34275817871094</v>
      </c>
      <c r="HW198" s="99">
        <v>89.805828857421872</v>
      </c>
      <c r="HX198" s="99">
        <v>158.33333587646484</v>
      </c>
      <c r="HY198" s="99">
        <v>159.38347434997559</v>
      </c>
      <c r="HZ198" s="99">
        <v>195.10263061523438</v>
      </c>
      <c r="IA198" s="132">
        <v>145.75163269042969</v>
      </c>
      <c r="IB198" s="179">
        <v>205.76130676269531</v>
      </c>
      <c r="IC198" s="99">
        <v>125</v>
      </c>
      <c r="ID198" s="99"/>
      <c r="IE198" s="99"/>
      <c r="IF198" s="99">
        <v>176.61204020182294</v>
      </c>
      <c r="IG198" s="132">
        <v>112</v>
      </c>
      <c r="IH198" s="179">
        <v>89.936046600341797</v>
      </c>
      <c r="II198" s="99">
        <v>160.04000854492188</v>
      </c>
      <c r="IJ198" s="99">
        <v>115.82168197631836</v>
      </c>
      <c r="IK198" s="99">
        <v>118.30357551574707</v>
      </c>
      <c r="IL198" s="99">
        <v>110.43360900878906</v>
      </c>
      <c r="IM198" s="99">
        <v>125.48387603759765</v>
      </c>
      <c r="IN198" s="93"/>
      <c r="IO198" s="132">
        <v>125.48668670654297</v>
      </c>
      <c r="IP198" s="29">
        <v>131</v>
      </c>
      <c r="IQ198" s="19"/>
      <c r="IR198" s="93"/>
      <c r="IS198" s="93"/>
      <c r="IT198" s="93"/>
      <c r="IU198" s="93"/>
      <c r="IV198" s="20"/>
      <c r="IW198" s="29">
        <v>131</v>
      </c>
      <c r="IX198" s="19"/>
      <c r="IY198" s="93"/>
      <c r="IZ198" s="93"/>
      <c r="JA198" s="93"/>
      <c r="JB198" s="93"/>
      <c r="JC198" s="93"/>
      <c r="JD198" s="93"/>
      <c r="JE198" s="20"/>
      <c r="JF198" s="29">
        <v>131</v>
      </c>
      <c r="JG198" s="19"/>
      <c r="JH198" s="93"/>
      <c r="JI198" s="93"/>
      <c r="JJ198" s="93"/>
      <c r="JK198" s="93"/>
      <c r="JL198" s="93"/>
      <c r="JM198" s="93"/>
      <c r="JN198" s="20"/>
      <c r="JO198" s="29">
        <v>131</v>
      </c>
      <c r="JP198" s="19"/>
      <c r="JQ198" s="93"/>
      <c r="JR198" s="93"/>
      <c r="JS198" s="93"/>
      <c r="JT198" s="93"/>
      <c r="JU198" s="20"/>
      <c r="JV198" s="29">
        <v>131</v>
      </c>
      <c r="JW198" s="1504">
        <v>40483</v>
      </c>
      <c r="JX198" s="19"/>
      <c r="JY198" s="93"/>
      <c r="JZ198" s="93"/>
      <c r="KA198" s="93"/>
      <c r="KB198" s="93"/>
      <c r="KC198" s="93"/>
      <c r="KD198" s="20"/>
      <c r="KE198" s="29">
        <v>131</v>
      </c>
      <c r="KF198" s="19"/>
      <c r="KG198" s="93"/>
      <c r="KH198" s="93"/>
      <c r="KI198" s="93"/>
      <c r="KJ198" s="93"/>
      <c r="KK198" s="20"/>
      <c r="KL198" s="29">
        <v>131</v>
      </c>
      <c r="KM198" s="19"/>
      <c r="KN198" s="93"/>
      <c r="KO198" s="93"/>
      <c r="KP198" s="93"/>
      <c r="KQ198" s="93"/>
      <c r="KR198" s="20"/>
      <c r="KS198" s="29">
        <v>131</v>
      </c>
      <c r="KT198" s="19"/>
      <c r="KU198" s="93"/>
      <c r="KV198" s="93"/>
      <c r="KW198" s="93"/>
      <c r="KX198" s="93"/>
      <c r="KY198" s="20"/>
      <c r="KZ198" s="29">
        <v>131</v>
      </c>
      <c r="LA198" s="1504">
        <v>40483</v>
      </c>
      <c r="LB198" s="19">
        <v>510</v>
      </c>
      <c r="LC198" s="93">
        <v>740</v>
      </c>
      <c r="LD198" s="93">
        <v>732</v>
      </c>
      <c r="LE198" s="93"/>
      <c r="LF198" s="93">
        <v>656</v>
      </c>
      <c r="LG198" s="93"/>
      <c r="LH198" s="20"/>
      <c r="LI198" s="29">
        <v>131</v>
      </c>
      <c r="LJ198" s="19"/>
      <c r="LK198" s="93"/>
      <c r="LL198" s="93"/>
      <c r="LM198" s="93"/>
      <c r="LN198" s="93"/>
      <c r="LO198" s="20"/>
      <c r="LP198" s="29">
        <v>131</v>
      </c>
      <c r="LQ198" s="19"/>
      <c r="LR198" s="93"/>
      <c r="LS198" s="93"/>
      <c r="LT198" s="93"/>
      <c r="LU198" s="93"/>
      <c r="LV198" s="93"/>
      <c r="LW198" s="93"/>
      <c r="LX198" s="93"/>
      <c r="LY198" s="93"/>
      <c r="LZ198" s="93"/>
      <c r="MA198" s="20"/>
      <c r="MB198" s="29">
        <v>131</v>
      </c>
      <c r="MC198" s="1504">
        <v>40483</v>
      </c>
      <c r="MD198" s="19">
        <v>66579.713939203211</v>
      </c>
      <c r="ME198" s="93">
        <v>51510.703229203209</v>
      </c>
      <c r="MF198" s="93">
        <v>51510.702229203212</v>
      </c>
      <c r="MG198" s="93">
        <v>47209.460200000001</v>
      </c>
      <c r="MH198" s="93">
        <v>8083.8256340000016</v>
      </c>
      <c r="MI198" s="93">
        <v>381.11917399999999</v>
      </c>
      <c r="MJ198" s="93">
        <v>310.15766099999996</v>
      </c>
      <c r="MK198" s="93">
        <v>28891.287261000001</v>
      </c>
      <c r="ML198" s="93">
        <v>8818.0939020000005</v>
      </c>
      <c r="MM198" s="93">
        <v>21789.883245999998</v>
      </c>
      <c r="MN198" s="93">
        <v>4301.2420292032066</v>
      </c>
      <c r="MO198" s="93">
        <v>312.99672800000008</v>
      </c>
      <c r="MP198" s="93">
        <v>1399.6931612032065</v>
      </c>
      <c r="MQ198" s="93">
        <v>116.257092</v>
      </c>
      <c r="MR198" s="93">
        <v>1.4830920000000001</v>
      </c>
      <c r="MS198" s="93">
        <v>2470.8119560000005</v>
      </c>
      <c r="MT198" s="93">
        <v>1E-3</v>
      </c>
      <c r="MU198" s="93">
        <v>15069.01071</v>
      </c>
      <c r="MV198" s="93">
        <v>7600.9676879999997</v>
      </c>
      <c r="MW198" s="93">
        <v>7468.0430219999998</v>
      </c>
      <c r="MX198" s="93">
        <v>96627.661979583325</v>
      </c>
      <c r="MY198" s="93">
        <v>97903.83904258332</v>
      </c>
      <c r="MZ198" s="93">
        <v>43933.652732833325</v>
      </c>
      <c r="NA198" s="93">
        <v>22522.125122500001</v>
      </c>
      <c r="NB198" s="93">
        <v>8050.9846803333166</v>
      </c>
      <c r="NC198" s="93">
        <v>2961.5236609999997</v>
      </c>
      <c r="ND198" s="93">
        <v>523.03043099999934</v>
      </c>
      <c r="NE198" s="93">
        <v>2438.4932300000005</v>
      </c>
      <c r="NF198" s="93">
        <v>10399.019269000013</v>
      </c>
      <c r="NG198" s="93">
        <v>38</v>
      </c>
      <c r="NH198" s="93">
        <v>3033.306852000002</v>
      </c>
      <c r="NI198" s="93">
        <v>0</v>
      </c>
      <c r="NJ198" s="93">
        <v>0</v>
      </c>
      <c r="NK198" s="93">
        <v>53970.186309749988</v>
      </c>
      <c r="NL198" s="93">
        <v>30401.92190474999</v>
      </c>
      <c r="NM198" s="93">
        <v>1897.361363</v>
      </c>
      <c r="NN198" s="93">
        <v>21670.903041999998</v>
      </c>
      <c r="NO198" s="93">
        <v>-1276.1770629999996</v>
      </c>
      <c r="NP198" s="93">
        <v>-30047.948040380114</v>
      </c>
      <c r="NQ198" s="93">
        <v>-45116.958750380116</v>
      </c>
      <c r="NR198" s="93">
        <v>-20484.532047380118</v>
      </c>
      <c r="NS198" s="93">
        <v>-23446.055708380118</v>
      </c>
      <c r="NT198" s="93">
        <v>-34507.207657380131</v>
      </c>
      <c r="NU198" s="93">
        <v>-49576.218367380126</v>
      </c>
      <c r="NV198" s="93">
        <v>44063.667007000004</v>
      </c>
      <c r="NW198" s="93">
        <v>12341.337578000001</v>
      </c>
      <c r="NX198" s="93">
        <v>14069.935354000001</v>
      </c>
      <c r="NY198" s="93">
        <v>-1728.5977760000001</v>
      </c>
      <c r="NZ198" s="93">
        <v>0</v>
      </c>
      <c r="OA198" s="93">
        <v>31722.329429000005</v>
      </c>
      <c r="OB198" s="93">
        <v>20988.355230000005</v>
      </c>
      <c r="OC198" s="93">
        <v>10733.974198999998</v>
      </c>
      <c r="OD198" s="20">
        <v>0</v>
      </c>
      <c r="OE198" s="29">
        <v>131</v>
      </c>
      <c r="OF198" s="1504">
        <v>40483</v>
      </c>
      <c r="OG198" s="19"/>
      <c r="OH198" s="93">
        <v>193.14359999999996</v>
      </c>
      <c r="OI198" s="93">
        <v>520.34183008338027</v>
      </c>
      <c r="OJ198" s="93">
        <v>0.37218425799999999</v>
      </c>
      <c r="OK198" s="93">
        <v>447.57354582538022</v>
      </c>
      <c r="OL198" s="93">
        <v>72.396100000000004</v>
      </c>
      <c r="OM198" s="93">
        <v>713.48543008338027</v>
      </c>
      <c r="ON198" s="93">
        <v>544.09636656486691</v>
      </c>
      <c r="OO198" s="93">
        <v>1257.5817966482473</v>
      </c>
      <c r="OP198" s="93"/>
      <c r="OQ198" s="93">
        <v>655.81534297962958</v>
      </c>
      <c r="OR198" s="93">
        <v>298.21918656099996</v>
      </c>
      <c r="OS198" s="93">
        <v>357.5961564186295</v>
      </c>
      <c r="OT198" s="93">
        <v>767.05145643061769</v>
      </c>
      <c r="OU198" s="93">
        <v>-66.645195381999969</v>
      </c>
      <c r="OV198" s="93">
        <v>-60.545195381999974</v>
      </c>
      <c r="OW198" s="93">
        <v>-6.0999999999999943</v>
      </c>
      <c r="OX198" s="93">
        <v>833.69665181261769</v>
      </c>
      <c r="OY198" s="93">
        <v>3.7958958409999992</v>
      </c>
      <c r="OZ198" s="93">
        <v>829.90075597161763</v>
      </c>
      <c r="PA198" s="93">
        <v>170.654168481</v>
      </c>
      <c r="PB198" s="93">
        <v>-5.3691657190000228</v>
      </c>
      <c r="PC198" s="20">
        <v>1257.5817966482473</v>
      </c>
      <c r="PD198" s="29">
        <v>131</v>
      </c>
      <c r="PE198" s="19"/>
      <c r="PF198" s="93">
        <v>298.21918656099996</v>
      </c>
      <c r="PG198" s="93">
        <v>518.37707505699996</v>
      </c>
      <c r="PH198" s="93">
        <v>220.157888496</v>
      </c>
      <c r="PI198" s="93">
        <v>85.210999999999999</v>
      </c>
      <c r="PJ198" s="93">
        <v>-57.773395381999975</v>
      </c>
      <c r="PK198" s="93">
        <v>97.548188692000011</v>
      </c>
      <c r="PL198" s="93">
        <v>155.32158407399999</v>
      </c>
      <c r="PM198" s="93">
        <v>3.7958958409999992</v>
      </c>
      <c r="PN198" s="93">
        <v>1.21</v>
      </c>
      <c r="PO198" s="93">
        <v>0</v>
      </c>
      <c r="PP198" s="93">
        <v>3.2380400000000002E-4</v>
      </c>
      <c r="PQ198" s="93">
        <v>2.5855720369999995</v>
      </c>
      <c r="PR198" s="93">
        <v>329.05412150900003</v>
      </c>
      <c r="PS198" s="93">
        <v>224.17439999999999</v>
      </c>
      <c r="PT198" s="93">
        <v>104.507537251</v>
      </c>
      <c r="PU198" s="93">
        <v>0.37218425799999999</v>
      </c>
      <c r="PV198" s="93">
        <v>0</v>
      </c>
      <c r="PW198" s="93">
        <v>7.0400409999999997E-2</v>
      </c>
      <c r="PX198" s="93">
        <v>0</v>
      </c>
      <c r="PY198" s="93">
        <v>0</v>
      </c>
      <c r="PZ198" s="93">
        <v>7.0400409999999997E-2</v>
      </c>
      <c r="QA198" s="93">
        <v>0</v>
      </c>
      <c r="QB198" s="93">
        <v>0</v>
      </c>
      <c r="QC198" s="93">
        <v>0</v>
      </c>
      <c r="QD198" s="93">
        <v>-0.99423192900000013</v>
      </c>
      <c r="QE198" s="20">
        <v>1.3223970300000001</v>
      </c>
      <c r="QF198" s="1739">
        <v>131</v>
      </c>
      <c r="QG198" s="19"/>
      <c r="QH198" s="1035">
        <v>357.5961564186295</v>
      </c>
      <c r="QI198" s="1035">
        <v>436.04124402838232</v>
      </c>
      <c r="QJ198" s="1035">
        <v>-78.445087609752832</v>
      </c>
      <c r="QK198" s="1035">
        <v>135.79000000000002</v>
      </c>
      <c r="QL198" s="1035">
        <v>28.259</v>
      </c>
      <c r="QM198" s="1035">
        <v>107.53100000000001</v>
      </c>
      <c r="QN198" s="1035">
        <v>0</v>
      </c>
      <c r="QO198" s="1035">
        <v>-6.0999999999999943</v>
      </c>
      <c r="QP198" s="1035">
        <v>111.196</v>
      </c>
      <c r="QQ198" s="1035">
        <v>-117.29599999999999</v>
      </c>
      <c r="QR198" s="1035">
        <v>829.90075597161763</v>
      </c>
      <c r="QS198" s="1035">
        <v>10.814055547812034</v>
      </c>
      <c r="QT198" s="1035">
        <v>0</v>
      </c>
      <c r="QU198" s="1035">
        <v>59.771000000000001</v>
      </c>
      <c r="QV198" s="1035">
        <v>759.31570042380565</v>
      </c>
      <c r="QW198" s="93"/>
      <c r="QX198" s="93">
        <v>75.475999999999999</v>
      </c>
      <c r="QY198" s="93">
        <v>447.57354582538017</v>
      </c>
      <c r="QZ198" s="93">
        <v>544.09636656486691</v>
      </c>
      <c r="RA198" s="93">
        <v>0</v>
      </c>
      <c r="RB198" s="93">
        <v>27.038</v>
      </c>
      <c r="RC198" s="93">
        <v>3.2040000000000002</v>
      </c>
      <c r="RD198" s="93">
        <v>7.7320000000000002</v>
      </c>
      <c r="RE198" s="93">
        <v>0</v>
      </c>
      <c r="RF198" s="93">
        <v>0</v>
      </c>
      <c r="RG198" s="93">
        <v>133.60399999999998</v>
      </c>
      <c r="RH198" s="93">
        <v>78.46299999999998</v>
      </c>
      <c r="RI198" s="93"/>
      <c r="RJ198" s="93"/>
      <c r="RK198" s="93"/>
      <c r="RL198" s="93"/>
      <c r="RM198" s="734"/>
      <c r="RN198" s="29">
        <v>131</v>
      </c>
      <c r="RO198" s="19"/>
      <c r="RP198" s="20"/>
      <c r="RQ198" s="29">
        <v>131</v>
      </c>
      <c r="RR198" s="734">
        <v>2.4788000000000001</v>
      </c>
      <c r="RS198" s="29">
        <v>131</v>
      </c>
      <c r="RT198" s="1504">
        <v>40483</v>
      </c>
      <c r="RU198" s="19"/>
      <c r="RV198" s="20"/>
      <c r="RW198" s="29">
        <v>131</v>
      </c>
      <c r="RX198" s="1504">
        <v>40483</v>
      </c>
      <c r="RY198" s="29"/>
      <c r="RZ198" s="734"/>
      <c r="SA198" s="29"/>
      <c r="SB198" s="29">
        <v>131</v>
      </c>
    </row>
    <row r="199" spans="1:496">
      <c r="A199" s="41">
        <f t="shared" si="208"/>
        <v>2010</v>
      </c>
      <c r="B199" s="1504">
        <v>40513</v>
      </c>
      <c r="C199" s="1813"/>
      <c r="D199" s="1814"/>
      <c r="E199" s="1814"/>
      <c r="F199" s="1815"/>
      <c r="G199" s="1814"/>
      <c r="H199" s="1814"/>
      <c r="I199" s="1814"/>
      <c r="J199" s="1816"/>
      <c r="K199" s="1807"/>
      <c r="L199" s="25">
        <v>132</v>
      </c>
      <c r="M199" s="97"/>
      <c r="N199" s="1504">
        <v>40513</v>
      </c>
      <c r="O199" s="19"/>
      <c r="P199" s="93"/>
      <c r="Q199" s="93"/>
      <c r="R199" s="93"/>
      <c r="S199" s="93"/>
      <c r="T199" s="93"/>
      <c r="U199" s="93"/>
      <c r="V199" s="93"/>
      <c r="W199" s="93"/>
      <c r="X199" s="93"/>
      <c r="Y199" s="93"/>
      <c r="Z199" s="93"/>
      <c r="AA199" s="93"/>
      <c r="AB199" s="20"/>
      <c r="AC199" s="25">
        <v>132</v>
      </c>
      <c r="AD199" s="97"/>
      <c r="AE199" s="1504">
        <v>40513</v>
      </c>
      <c r="AF199" s="19"/>
      <c r="AG199" s="93"/>
      <c r="AH199" s="93"/>
      <c r="AI199" s="93"/>
      <c r="AJ199" s="93"/>
      <c r="AK199" s="93"/>
      <c r="AL199" s="93"/>
      <c r="AM199" s="93"/>
      <c r="AN199" s="93"/>
      <c r="AO199" s="93"/>
      <c r="AP199" s="93"/>
      <c r="AQ199" s="93"/>
      <c r="AR199" s="93"/>
      <c r="AS199" s="20"/>
      <c r="AT199" s="25">
        <v>132</v>
      </c>
      <c r="AU199" s="97"/>
      <c r="AV199" s="1504">
        <v>40513</v>
      </c>
      <c r="AW199" s="19"/>
      <c r="AX199" s="93"/>
      <c r="AY199" s="93"/>
      <c r="AZ199" s="93"/>
      <c r="BA199" s="93"/>
      <c r="BB199" s="93"/>
      <c r="BC199" s="93"/>
      <c r="BD199" s="93"/>
      <c r="BE199" s="93"/>
      <c r="BF199" s="93"/>
      <c r="BG199" s="93"/>
      <c r="BH199" s="93"/>
      <c r="BI199" s="93"/>
      <c r="BJ199" s="20"/>
      <c r="BK199" s="25">
        <v>132</v>
      </c>
      <c r="BL199" s="97"/>
      <c r="BM199" s="1504">
        <v>40513</v>
      </c>
      <c r="BN199" s="19"/>
      <c r="BO199" s="93"/>
      <c r="BP199" s="93"/>
      <c r="BQ199" s="93"/>
      <c r="BR199" s="93"/>
      <c r="BS199" s="93"/>
      <c r="BT199" s="93"/>
      <c r="BU199" s="20"/>
      <c r="BV199" s="25">
        <v>132</v>
      </c>
      <c r="BW199" s="97"/>
      <c r="BX199" s="1504">
        <v>40513</v>
      </c>
      <c r="BY199" s="179">
        <v>496.17899394</v>
      </c>
      <c r="BZ199" s="99">
        <v>664.95699999999999</v>
      </c>
      <c r="CA199" s="93"/>
      <c r="CB199" s="93"/>
      <c r="CC199" s="99">
        <v>333.2258930969648</v>
      </c>
      <c r="CD199" s="25">
        <v>132</v>
      </c>
      <c r="CE199" s="97"/>
      <c r="CF199" s="1504">
        <v>40513</v>
      </c>
      <c r="CG199" s="179">
        <v>3.7034088608000002</v>
      </c>
      <c r="CH199" s="99">
        <v>1390.5530000000001</v>
      </c>
      <c r="CI199" s="219"/>
      <c r="CJ199" s="20"/>
      <c r="CK199" s="19"/>
      <c r="CL199" s="93"/>
      <c r="CM199" s="93"/>
      <c r="CN199" s="93"/>
      <c r="CO199" s="93"/>
      <c r="CP199" s="20"/>
      <c r="CQ199" s="219">
        <v>1644.45</v>
      </c>
      <c r="CR199" s="93">
        <v>2.6866666666666701</v>
      </c>
      <c r="CS199" s="93"/>
      <c r="CT199" s="93"/>
      <c r="CU199" s="93"/>
      <c r="CV199" s="214"/>
      <c r="CW199" s="29">
        <v>132</v>
      </c>
      <c r="CX199" s="41">
        <f t="shared" si="209"/>
        <v>2010</v>
      </c>
      <c r="CY199" s="1504">
        <v>40513</v>
      </c>
      <c r="CZ199" s="1916">
        <v>66.092476593557549</v>
      </c>
      <c r="DA199" s="1526">
        <v>39.457664593557553</v>
      </c>
      <c r="DB199" s="1526">
        <v>26.634812</v>
      </c>
      <c r="DC199" s="182">
        <v>362165</v>
      </c>
      <c r="DD199" s="182">
        <v>361092</v>
      </c>
      <c r="DE199" s="290">
        <v>1073</v>
      </c>
      <c r="DF199" s="29">
        <v>132</v>
      </c>
      <c r="DG199" s="1504">
        <v>40513</v>
      </c>
      <c r="DH199" s="19"/>
      <c r="DI199" s="93"/>
      <c r="DJ199" s="93"/>
      <c r="DK199" s="93"/>
      <c r="DL199" s="93"/>
      <c r="DM199" s="93"/>
      <c r="DN199" s="20"/>
      <c r="DO199" s="25"/>
      <c r="DP199" s="29">
        <v>132</v>
      </c>
      <c r="DQ199" s="1504">
        <v>40513</v>
      </c>
      <c r="DR199" s="19"/>
      <c r="DS199" s="93"/>
      <c r="DT199" s="93"/>
      <c r="DU199" s="93"/>
      <c r="DV199" s="93"/>
      <c r="DW199" s="93"/>
      <c r="DX199" s="20"/>
      <c r="DY199" s="29">
        <v>132</v>
      </c>
      <c r="DZ199" s="1504">
        <v>40513</v>
      </c>
      <c r="EA199" s="19"/>
      <c r="EB199" s="93"/>
      <c r="EC199" s="20"/>
      <c r="ED199" s="29">
        <v>132</v>
      </c>
      <c r="EE199" s="1504">
        <v>40513</v>
      </c>
      <c r="EF199" s="19"/>
      <c r="EG199" s="93"/>
      <c r="EH199" s="93"/>
      <c r="EI199" s="214"/>
      <c r="EJ199" s="93"/>
      <c r="EK199" s="93"/>
      <c r="EL199" s="93"/>
      <c r="EM199" s="93"/>
      <c r="EN199" s="20"/>
      <c r="EO199" s="29">
        <v>132</v>
      </c>
      <c r="EP199" s="1504">
        <v>40513</v>
      </c>
      <c r="EQ199" s="19"/>
      <c r="ER199" s="93"/>
      <c r="ES199" s="93"/>
      <c r="ET199" s="214"/>
      <c r="EU199" s="93"/>
      <c r="EV199" s="93"/>
      <c r="EW199" s="93"/>
      <c r="EX199" s="93"/>
      <c r="EY199" s="20"/>
      <c r="EZ199" s="29">
        <v>132</v>
      </c>
      <c r="FA199" s="1504">
        <v>40513</v>
      </c>
      <c r="FB199" s="29"/>
      <c r="FC199" s="29"/>
      <c r="FD199" s="29"/>
      <c r="FE199" s="29"/>
      <c r="FF199" s="29"/>
      <c r="FG199" s="29"/>
      <c r="FH199" s="29"/>
      <c r="FI199" s="29"/>
      <c r="FJ199" s="29"/>
      <c r="FK199" s="29">
        <v>132</v>
      </c>
      <c r="FL199" s="1504">
        <v>40513</v>
      </c>
      <c r="FM199" s="19">
        <v>100.30307809287474</v>
      </c>
      <c r="FN199" s="93">
        <v>105.9128739731982</v>
      </c>
      <c r="FO199" s="93">
        <v>99.568240368516456</v>
      </c>
      <c r="FP199" s="93">
        <v>100.13317151105917</v>
      </c>
      <c r="FQ199" s="93">
        <v>105.47715969170318</v>
      </c>
      <c r="FR199" s="93">
        <v>98.192085572172587</v>
      </c>
      <c r="FS199" s="93">
        <v>99.780948585769593</v>
      </c>
      <c r="FT199" s="93">
        <v>98.686821866067959</v>
      </c>
      <c r="FU199" s="93">
        <v>64.463514991169149</v>
      </c>
      <c r="FV199" s="93">
        <v>98.855637177332042</v>
      </c>
      <c r="FW199" s="93">
        <v>102.49285068203132</v>
      </c>
      <c r="FX199" s="93">
        <v>103.12149600771622</v>
      </c>
      <c r="FY199" s="93">
        <v>101.64143910894141</v>
      </c>
      <c r="FZ199" s="29">
        <v>132</v>
      </c>
      <c r="GA199" s="1504">
        <v>40513</v>
      </c>
      <c r="GB199" s="733">
        <v>100.30307809287474</v>
      </c>
      <c r="GC199" s="570">
        <v>101.22868964630223</v>
      </c>
      <c r="GD199" s="570">
        <v>99.70579706960072</v>
      </c>
      <c r="GE199" s="570">
        <v>110.3929565684451</v>
      </c>
      <c r="GF199" s="570">
        <v>105.62911663781165</v>
      </c>
      <c r="GG199" s="570">
        <v>97.969843242396777</v>
      </c>
      <c r="GH199" s="93"/>
      <c r="GI199" s="93"/>
      <c r="GJ199" s="93"/>
      <c r="GK199" s="93"/>
      <c r="GL199" s="93"/>
      <c r="GM199" s="93"/>
      <c r="GN199" s="20"/>
      <c r="GO199" s="29">
        <v>132</v>
      </c>
      <c r="GP199" s="1504">
        <v>40513</v>
      </c>
      <c r="GQ199" s="19"/>
      <c r="GR199" s="93"/>
      <c r="GS199" s="93"/>
      <c r="GT199" s="93"/>
      <c r="GU199" s="93"/>
      <c r="GV199" s="20"/>
      <c r="GW199" s="19"/>
      <c r="GX199" s="93"/>
      <c r="GY199" s="93"/>
      <c r="GZ199" s="93"/>
      <c r="HA199" s="93"/>
      <c r="HB199" s="20"/>
      <c r="HC199" s="19"/>
      <c r="HD199" s="93"/>
      <c r="HE199" s="93"/>
      <c r="HF199" s="93"/>
      <c r="HG199" s="93"/>
      <c r="HH199" s="20"/>
      <c r="HI199" s="19"/>
      <c r="HJ199" s="93"/>
      <c r="HK199" s="93"/>
      <c r="HL199" s="93"/>
      <c r="HM199" s="93"/>
      <c r="HN199" s="20"/>
      <c r="HO199" s="219"/>
      <c r="HP199" s="20"/>
      <c r="HQ199" s="25"/>
      <c r="HR199" s="29">
        <v>132</v>
      </c>
      <c r="HS199" s="1504">
        <v>40513</v>
      </c>
      <c r="HT199" s="179">
        <v>174.76729011535645</v>
      </c>
      <c r="HU199" s="99">
        <v>142.12773132324219</v>
      </c>
      <c r="HV199" s="99">
        <v>143.2269172668457</v>
      </c>
      <c r="HW199" s="99">
        <v>88.996767679850265</v>
      </c>
      <c r="HX199" s="99">
        <v>158.33332824707031</v>
      </c>
      <c r="HY199" s="99">
        <v>152.60840606689453</v>
      </c>
      <c r="HZ199" s="99">
        <v>190.3881721496582</v>
      </c>
      <c r="IA199" s="132">
        <v>146.37096786499023</v>
      </c>
      <c r="IB199" s="179">
        <v>212.69842020670572</v>
      </c>
      <c r="IC199" s="99">
        <v>127.76226425170898</v>
      </c>
      <c r="ID199" s="99">
        <v>119.30740356445313</v>
      </c>
      <c r="IE199" s="99">
        <v>111.01973915100098</v>
      </c>
      <c r="IF199" s="99">
        <v>169.35484313964844</v>
      </c>
      <c r="IG199" s="132">
        <v>113.125</v>
      </c>
      <c r="IH199" s="179">
        <v>114.28389072418213</v>
      </c>
      <c r="II199" s="99">
        <v>153.71811485290527</v>
      </c>
      <c r="IJ199" s="99">
        <v>122.37762451171875</v>
      </c>
      <c r="IK199" s="99">
        <v>119.64286041259766</v>
      </c>
      <c r="IL199" s="99">
        <v>120.21511173248291</v>
      </c>
      <c r="IM199" s="99">
        <v>138.30645370483398</v>
      </c>
      <c r="IN199" s="93"/>
      <c r="IO199" s="132">
        <v>132.85136032104492</v>
      </c>
      <c r="IP199" s="29">
        <v>132</v>
      </c>
      <c r="IQ199" s="19"/>
      <c r="IR199" s="93"/>
      <c r="IS199" s="93"/>
      <c r="IT199" s="93"/>
      <c r="IU199" s="93"/>
      <c r="IV199" s="20"/>
      <c r="IW199" s="29">
        <v>132</v>
      </c>
      <c r="IX199" s="19"/>
      <c r="IY199" s="93"/>
      <c r="IZ199" s="93"/>
      <c r="JA199" s="93"/>
      <c r="JB199" s="93"/>
      <c r="JC199" s="93"/>
      <c r="JD199" s="93"/>
      <c r="JE199" s="20"/>
      <c r="JF199" s="29">
        <v>132</v>
      </c>
      <c r="JG199" s="19"/>
      <c r="JH199" s="93"/>
      <c r="JI199" s="93"/>
      <c r="JJ199" s="93"/>
      <c r="JK199" s="93"/>
      <c r="JL199" s="93"/>
      <c r="JM199" s="93"/>
      <c r="JN199" s="20"/>
      <c r="JO199" s="29">
        <v>132</v>
      </c>
      <c r="JP199" s="19"/>
      <c r="JQ199" s="93"/>
      <c r="JR199" s="93"/>
      <c r="JS199" s="93"/>
      <c r="JT199" s="93"/>
      <c r="JU199" s="20"/>
      <c r="JV199" s="29">
        <v>132</v>
      </c>
      <c r="JW199" s="1504">
        <v>40513</v>
      </c>
      <c r="JX199" s="19"/>
      <c r="JY199" s="93"/>
      <c r="JZ199" s="93"/>
      <c r="KA199" s="93"/>
      <c r="KB199" s="93"/>
      <c r="KC199" s="93"/>
      <c r="KD199" s="20"/>
      <c r="KE199" s="29">
        <v>132</v>
      </c>
      <c r="KF199" s="19"/>
      <c r="KG199" s="93"/>
      <c r="KH199" s="93"/>
      <c r="KI199" s="93"/>
      <c r="KJ199" s="93"/>
      <c r="KK199" s="20"/>
      <c r="KL199" s="29">
        <v>132</v>
      </c>
      <c r="KM199" s="19"/>
      <c r="KN199" s="93"/>
      <c r="KO199" s="93"/>
      <c r="KP199" s="93"/>
      <c r="KQ199" s="93"/>
      <c r="KR199" s="20"/>
      <c r="KS199" s="29">
        <v>132</v>
      </c>
      <c r="KT199" s="19"/>
      <c r="KU199" s="93"/>
      <c r="KV199" s="93"/>
      <c r="KW199" s="93"/>
      <c r="KX199" s="93"/>
      <c r="KY199" s="20"/>
      <c r="KZ199" s="29">
        <v>132</v>
      </c>
      <c r="LA199" s="1504">
        <v>40513</v>
      </c>
      <c r="LB199" s="19">
        <v>510</v>
      </c>
      <c r="LC199" s="93">
        <v>740</v>
      </c>
      <c r="LD199" s="93">
        <v>732</v>
      </c>
      <c r="LE199" s="93"/>
      <c r="LF199" s="93">
        <v>656</v>
      </c>
      <c r="LG199" s="93"/>
      <c r="LH199" s="20"/>
      <c r="LI199" s="29">
        <v>132</v>
      </c>
      <c r="LJ199" s="19"/>
      <c r="LK199" s="93"/>
      <c r="LL199" s="93"/>
      <c r="LM199" s="93"/>
      <c r="LN199" s="93"/>
      <c r="LO199" s="20"/>
      <c r="LP199" s="29">
        <v>132</v>
      </c>
      <c r="LQ199" s="19"/>
      <c r="LR199" s="93"/>
      <c r="LS199" s="93"/>
      <c r="LT199" s="93"/>
      <c r="LU199" s="93"/>
      <c r="LV199" s="93"/>
      <c r="LW199" s="93"/>
      <c r="LX199" s="93"/>
      <c r="LY199" s="93"/>
      <c r="LZ199" s="93"/>
      <c r="MA199" s="20"/>
      <c r="MB199" s="29">
        <v>132</v>
      </c>
      <c r="MC199" s="1504">
        <v>40513</v>
      </c>
      <c r="MD199" s="19">
        <v>91194.640945000006</v>
      </c>
      <c r="ME199" s="93">
        <v>70370.681245</v>
      </c>
      <c r="MF199" s="93">
        <v>70370.655166000011</v>
      </c>
      <c r="MG199" s="93">
        <v>58447.064060000004</v>
      </c>
      <c r="MH199" s="93">
        <v>10050.058618000001</v>
      </c>
      <c r="MI199" s="93">
        <v>415.70976299999995</v>
      </c>
      <c r="MJ199" s="93">
        <v>369.40309200000002</v>
      </c>
      <c r="MK199" s="93">
        <v>36836.911704999999</v>
      </c>
      <c r="ML199" s="93">
        <v>9581.335020999999</v>
      </c>
      <c r="MM199" s="93">
        <v>29704.213034</v>
      </c>
      <c r="MN199" s="93">
        <v>11923.591106</v>
      </c>
      <c r="MO199" s="93">
        <v>430.05068800000004</v>
      </c>
      <c r="MP199" s="93">
        <v>1704.0131669999998</v>
      </c>
      <c r="MQ199" s="93">
        <v>113.910844</v>
      </c>
      <c r="MR199" s="93">
        <v>37.348402999999998</v>
      </c>
      <c r="MS199" s="93">
        <v>9638.2680040000014</v>
      </c>
      <c r="MT199" s="93">
        <v>2.6079000000000001E-2</v>
      </c>
      <c r="MU199" s="93">
        <v>20823.959699999999</v>
      </c>
      <c r="MV199" s="93">
        <v>1961.9596999999997</v>
      </c>
      <c r="MW199" s="93">
        <v>18862</v>
      </c>
      <c r="MX199" s="93">
        <v>105739.66543758332</v>
      </c>
      <c r="MY199" s="93">
        <v>105826.72183658331</v>
      </c>
      <c r="MZ199" s="93">
        <v>36381.963084833311</v>
      </c>
      <c r="NA199" s="93">
        <v>18890.61771083331</v>
      </c>
      <c r="NB199" s="93">
        <v>3906.2074523333313</v>
      </c>
      <c r="NC199" s="93">
        <v>899.07663999999988</v>
      </c>
      <c r="ND199" s="93">
        <v>334.29613799999998</v>
      </c>
      <c r="NE199" s="93">
        <v>564.78050199999984</v>
      </c>
      <c r="NF199" s="93">
        <v>12686.061281666671</v>
      </c>
      <c r="NG199" s="93">
        <v>522.36078999999916</v>
      </c>
      <c r="NH199" s="93">
        <v>893.71485200000177</v>
      </c>
      <c r="NI199" s="93">
        <v>0</v>
      </c>
      <c r="NJ199" s="93">
        <v>0</v>
      </c>
      <c r="NK199" s="93">
        <v>69444.758751750007</v>
      </c>
      <c r="NL199" s="93">
        <v>55569.420007750006</v>
      </c>
      <c r="NM199" s="93">
        <v>0</v>
      </c>
      <c r="NN199" s="93">
        <v>13875.338743999999</v>
      </c>
      <c r="NO199" s="93">
        <v>-87.056399000000212</v>
      </c>
      <c r="NP199" s="93">
        <v>-14545.024492583305</v>
      </c>
      <c r="NQ199" s="93">
        <v>-35368.98419258331</v>
      </c>
      <c r="NR199" s="93">
        <v>-20594.568808583303</v>
      </c>
      <c r="NS199" s="93">
        <v>-21493.645448583306</v>
      </c>
      <c r="NT199" s="93">
        <v>-32036.261750083235</v>
      </c>
      <c r="NU199" s="93">
        <v>-52860.221450083242</v>
      </c>
      <c r="NV199" s="93">
        <v>7313.8200900000002</v>
      </c>
      <c r="NW199" s="93">
        <v>8871.9055419999986</v>
      </c>
      <c r="NX199" s="93">
        <v>11913.379043999999</v>
      </c>
      <c r="NY199" s="93">
        <v>-3041.4735020000003</v>
      </c>
      <c r="NZ199" s="93">
        <v>0</v>
      </c>
      <c r="OA199" s="93">
        <v>-1558.085452</v>
      </c>
      <c r="OB199" s="93">
        <v>-172.27350800000002</v>
      </c>
      <c r="OC199" s="93">
        <v>-1385.811944</v>
      </c>
      <c r="OD199" s="20">
        <v>0</v>
      </c>
      <c r="OE199" s="29">
        <v>132</v>
      </c>
      <c r="OF199" s="1504">
        <v>40513</v>
      </c>
      <c r="OG199" s="19"/>
      <c r="OH199" s="93">
        <v>215.07769999999999</v>
      </c>
      <c r="OI199" s="93">
        <v>512.0847966544261</v>
      </c>
      <c r="OJ199" s="93">
        <v>0.43558226999999999</v>
      </c>
      <c r="OK199" s="93">
        <v>438.72121438442605</v>
      </c>
      <c r="OL199" s="93">
        <v>72.927999999999997</v>
      </c>
      <c r="OM199" s="93">
        <v>727.16249665442615</v>
      </c>
      <c r="ON199" s="93">
        <v>554.70857607797439</v>
      </c>
      <c r="OO199" s="93">
        <v>1281.8710727324005</v>
      </c>
      <c r="OP199" s="93"/>
      <c r="OQ199" s="93">
        <v>676.30092064267785</v>
      </c>
      <c r="OR199" s="93">
        <v>299.32895009100002</v>
      </c>
      <c r="OS199" s="93">
        <v>376.97197055167783</v>
      </c>
      <c r="OT199" s="93">
        <v>814.14593202572269</v>
      </c>
      <c r="OU199" s="93">
        <v>-52.252535863000006</v>
      </c>
      <c r="OV199" s="93">
        <v>-49.493535862999991</v>
      </c>
      <c r="OW199" s="93">
        <v>-2.7590000000000146</v>
      </c>
      <c r="OX199" s="93">
        <v>866.39846788872273</v>
      </c>
      <c r="OY199" s="93">
        <v>3.7306479780000004</v>
      </c>
      <c r="OZ199" s="93">
        <v>862.66781991072264</v>
      </c>
      <c r="PA199" s="93">
        <v>179.335338283</v>
      </c>
      <c r="PB199" s="93">
        <v>29.240441653000019</v>
      </c>
      <c r="PC199" s="20">
        <v>1281.8710727324003</v>
      </c>
      <c r="PD199" s="29">
        <v>132</v>
      </c>
      <c r="PE199" s="19"/>
      <c r="PF199" s="93">
        <v>299.32895009100002</v>
      </c>
      <c r="PG199" s="93">
        <v>524.09896568600004</v>
      </c>
      <c r="PH199" s="93">
        <v>224.77001559499999</v>
      </c>
      <c r="PI199" s="93">
        <v>102.382535492</v>
      </c>
      <c r="PJ199" s="93">
        <v>-46.555635862999992</v>
      </c>
      <c r="PK199" s="93">
        <v>102.30780467</v>
      </c>
      <c r="PL199" s="93">
        <v>148.86344053299999</v>
      </c>
      <c r="PM199" s="93">
        <v>3.7306479780000004</v>
      </c>
      <c r="PN199" s="93">
        <v>1.21</v>
      </c>
      <c r="PO199" s="93">
        <v>0</v>
      </c>
      <c r="PP199" s="93">
        <v>0</v>
      </c>
      <c r="PQ199" s="93">
        <v>2.5206479780000004</v>
      </c>
      <c r="PR199" s="93">
        <v>357.18546525400001</v>
      </c>
      <c r="PS199" s="93">
        <v>250.37360000000001</v>
      </c>
      <c r="PT199" s="93">
        <v>106.376282984</v>
      </c>
      <c r="PU199" s="93">
        <v>0.43558226999999999</v>
      </c>
      <c r="PV199" s="93">
        <v>0</v>
      </c>
      <c r="PW199" s="93">
        <v>0.586358241</v>
      </c>
      <c r="PX199" s="93">
        <v>0</v>
      </c>
      <c r="PY199" s="93">
        <v>0</v>
      </c>
      <c r="PZ199" s="93">
        <v>0.586358241</v>
      </c>
      <c r="QA199" s="93">
        <v>0</v>
      </c>
      <c r="QB199" s="93">
        <v>0</v>
      </c>
      <c r="QC199" s="93">
        <v>0</v>
      </c>
      <c r="QD199" s="93">
        <v>-1.869019958</v>
      </c>
      <c r="QE199" s="20">
        <v>2.9836941610000003</v>
      </c>
      <c r="QF199" s="1739">
        <v>132</v>
      </c>
      <c r="QG199" s="19"/>
      <c r="QH199" s="1035">
        <v>376.97197055167783</v>
      </c>
      <c r="QI199" s="1035">
        <v>477.87118008927746</v>
      </c>
      <c r="QJ199" s="1035">
        <v>-100.89920953759965</v>
      </c>
      <c r="QK199" s="1035">
        <v>128.30500000000001</v>
      </c>
      <c r="QL199" s="1035">
        <v>32.357999999999997</v>
      </c>
      <c r="QM199" s="1035">
        <v>95.947000000000003</v>
      </c>
      <c r="QN199" s="1035">
        <v>0</v>
      </c>
      <c r="QO199" s="1035">
        <v>-2.7590000000000146</v>
      </c>
      <c r="QP199" s="1035">
        <v>104.58099999999999</v>
      </c>
      <c r="QQ199" s="1035">
        <v>-107.34</v>
      </c>
      <c r="QR199" s="1035">
        <v>862.66781991072264</v>
      </c>
      <c r="QS199" s="1035">
        <v>10.463032808459998</v>
      </c>
      <c r="QT199" s="1035">
        <v>0</v>
      </c>
      <c r="QU199" s="1035">
        <v>72.658000000000001</v>
      </c>
      <c r="QV199" s="1035">
        <v>779.54678710226267</v>
      </c>
      <c r="QW199" s="93"/>
      <c r="QX199" s="93">
        <v>101.34399999999999</v>
      </c>
      <c r="QY199" s="93">
        <v>438.72121438442605</v>
      </c>
      <c r="QZ199" s="93">
        <v>554.70857607797439</v>
      </c>
      <c r="RA199" s="93">
        <v>0</v>
      </c>
      <c r="RB199" s="93">
        <v>33.082000000000001</v>
      </c>
      <c r="RC199" s="93">
        <v>2.879</v>
      </c>
      <c r="RD199" s="93">
        <v>6.4080000000000004</v>
      </c>
      <c r="RE199" s="93">
        <v>0</v>
      </c>
      <c r="RF199" s="93">
        <v>0</v>
      </c>
      <c r="RG199" s="93">
        <v>138.249</v>
      </c>
      <c r="RH199" s="93">
        <v>89.794000000000025</v>
      </c>
      <c r="RI199" s="93"/>
      <c r="RJ199" s="93"/>
      <c r="RK199" s="93"/>
      <c r="RL199" s="93"/>
      <c r="RM199" s="734"/>
      <c r="RN199" s="29">
        <v>132</v>
      </c>
      <c r="RO199" s="19"/>
      <c r="RP199" s="20"/>
      <c r="RQ199" s="29">
        <v>132</v>
      </c>
      <c r="RR199" s="734">
        <v>3.0669</v>
      </c>
      <c r="RS199" s="29">
        <v>132</v>
      </c>
      <c r="RT199" s="1504">
        <v>40513</v>
      </c>
      <c r="RU199" s="19"/>
      <c r="RV199" s="20"/>
      <c r="RW199" s="29">
        <v>132</v>
      </c>
      <c r="RX199" s="1504">
        <v>40513</v>
      </c>
      <c r="RY199" s="29"/>
      <c r="RZ199" s="734"/>
      <c r="SA199" s="29"/>
      <c r="SB199" s="29">
        <v>132</v>
      </c>
    </row>
    <row r="200" spans="1:496">
      <c r="A200" s="41">
        <f t="shared" si="208"/>
        <v>2011</v>
      </c>
      <c r="B200" s="1504">
        <v>40544</v>
      </c>
      <c r="C200" s="1813"/>
      <c r="D200" s="1814"/>
      <c r="E200" s="1814"/>
      <c r="F200" s="1815"/>
      <c r="G200" s="1814"/>
      <c r="H200" s="1814"/>
      <c r="I200" s="1814"/>
      <c r="J200" s="1816"/>
      <c r="K200" s="1807"/>
      <c r="L200" s="25">
        <v>133</v>
      </c>
      <c r="M200" s="97"/>
      <c r="N200" s="1504">
        <v>40544</v>
      </c>
      <c r="O200" s="19"/>
      <c r="P200" s="93"/>
      <c r="Q200" s="93"/>
      <c r="R200" s="93"/>
      <c r="S200" s="93"/>
      <c r="T200" s="93"/>
      <c r="U200" s="93"/>
      <c r="V200" s="93"/>
      <c r="W200" s="93"/>
      <c r="X200" s="93"/>
      <c r="Y200" s="93"/>
      <c r="Z200" s="93"/>
      <c r="AA200" s="93"/>
      <c r="AB200" s="20"/>
      <c r="AC200" s="25">
        <v>133</v>
      </c>
      <c r="AD200" s="97"/>
      <c r="AE200" s="1504">
        <v>40544</v>
      </c>
      <c r="AF200" s="19"/>
      <c r="AG200" s="93"/>
      <c r="AH200" s="93"/>
      <c r="AI200" s="93"/>
      <c r="AJ200" s="93"/>
      <c r="AK200" s="93"/>
      <c r="AL200" s="93"/>
      <c r="AM200" s="93"/>
      <c r="AN200" s="93"/>
      <c r="AO200" s="93"/>
      <c r="AP200" s="93"/>
      <c r="AQ200" s="93"/>
      <c r="AR200" s="93"/>
      <c r="AS200" s="20"/>
      <c r="AT200" s="25">
        <v>133</v>
      </c>
      <c r="AU200" s="97"/>
      <c r="AV200" s="1504">
        <v>40544</v>
      </c>
      <c r="AW200" s="19"/>
      <c r="AX200" s="93"/>
      <c r="AY200" s="93"/>
      <c r="AZ200" s="93"/>
      <c r="BA200" s="93"/>
      <c r="BB200" s="93"/>
      <c r="BC200" s="93"/>
      <c r="BD200" s="93"/>
      <c r="BE200" s="93"/>
      <c r="BF200" s="93"/>
      <c r="BG200" s="93"/>
      <c r="BH200" s="93"/>
      <c r="BI200" s="93"/>
      <c r="BJ200" s="20"/>
      <c r="BK200" s="25">
        <v>133</v>
      </c>
      <c r="BL200" s="97"/>
      <c r="BM200" s="1504">
        <v>40544</v>
      </c>
      <c r="BN200" s="19"/>
      <c r="BO200" s="93"/>
      <c r="BP200" s="93"/>
      <c r="BQ200" s="93"/>
      <c r="BR200" s="93"/>
      <c r="BS200" s="93"/>
      <c r="BT200" s="93"/>
      <c r="BU200" s="20"/>
      <c r="BV200" s="25">
        <v>133</v>
      </c>
      <c r="BW200" s="97"/>
      <c r="BX200" s="1504">
        <v>40544</v>
      </c>
      <c r="BY200" s="179">
        <v>490.99693363999995</v>
      </c>
      <c r="BZ200" s="99">
        <v>664.95699999999999</v>
      </c>
      <c r="CA200" s="93"/>
      <c r="CB200" s="93"/>
      <c r="CC200" s="99">
        <v>331.52181937879806</v>
      </c>
      <c r="CD200" s="25">
        <v>133</v>
      </c>
      <c r="CE200" s="97"/>
      <c r="CF200" s="1504">
        <v>40544</v>
      </c>
      <c r="CG200" s="179">
        <v>3.9446714505</v>
      </c>
      <c r="CH200" s="99">
        <v>1360.46</v>
      </c>
      <c r="CI200" s="219"/>
      <c r="CJ200" s="20"/>
      <c r="CK200" s="19"/>
      <c r="CL200" s="93"/>
      <c r="CM200" s="93"/>
      <c r="CN200" s="93"/>
      <c r="CO200" s="93"/>
      <c r="CP200" s="20"/>
      <c r="CQ200" s="219">
        <v>1653.47</v>
      </c>
      <c r="CR200" s="93">
        <v>2.8919999999999999</v>
      </c>
      <c r="CS200" s="93"/>
      <c r="CT200" s="93"/>
      <c r="CU200" s="93"/>
      <c r="CV200" s="214"/>
      <c r="CW200" s="29">
        <v>133</v>
      </c>
      <c r="CX200" s="41">
        <f t="shared" si="209"/>
        <v>2011</v>
      </c>
      <c r="CY200" s="1504">
        <v>40544</v>
      </c>
      <c r="CZ200" s="1916">
        <v>66.87325106865228</v>
      </c>
      <c r="DA200" s="1526">
        <v>39.13931506865228</v>
      </c>
      <c r="DB200" s="1526">
        <v>27.733936</v>
      </c>
      <c r="DC200" s="182">
        <f t="shared" ref="DC200:DC210" si="210">DC201</f>
        <v>401476</v>
      </c>
      <c r="DD200" s="182">
        <f t="shared" ref="DD200:DD210" si="211">DD201</f>
        <v>400356</v>
      </c>
      <c r="DE200" s="182">
        <f t="shared" ref="DE200:DE210" si="212">DE201</f>
        <v>1120</v>
      </c>
      <c r="DF200" s="29">
        <v>133</v>
      </c>
      <c r="DG200" s="1504">
        <v>40544</v>
      </c>
      <c r="DH200" s="19"/>
      <c r="DI200" s="93"/>
      <c r="DJ200" s="93"/>
      <c r="DK200" s="93"/>
      <c r="DL200" s="93"/>
      <c r="DM200" s="93"/>
      <c r="DN200" s="20"/>
      <c r="DO200" s="25"/>
      <c r="DP200" s="29">
        <v>133</v>
      </c>
      <c r="DQ200" s="1504">
        <v>40544</v>
      </c>
      <c r="DR200" s="19"/>
      <c r="DS200" s="93"/>
      <c r="DT200" s="93"/>
      <c r="DU200" s="93"/>
      <c r="DV200" s="93"/>
      <c r="DW200" s="93"/>
      <c r="DX200" s="20"/>
      <c r="DY200" s="29">
        <v>133</v>
      </c>
      <c r="DZ200" s="1504">
        <v>40544</v>
      </c>
      <c r="EA200" s="19"/>
      <c r="EB200" s="93"/>
      <c r="EC200" s="20"/>
      <c r="ED200" s="29">
        <v>133</v>
      </c>
      <c r="EE200" s="1504">
        <v>40544</v>
      </c>
      <c r="EF200" s="19"/>
      <c r="EG200" s="93"/>
      <c r="EH200" s="93"/>
      <c r="EI200" s="214"/>
      <c r="EJ200" s="93"/>
      <c r="EK200" s="93"/>
      <c r="EL200" s="93"/>
      <c r="EM200" s="93"/>
      <c r="EN200" s="20"/>
      <c r="EO200" s="29">
        <v>133</v>
      </c>
      <c r="EP200" s="1504">
        <v>40544</v>
      </c>
      <c r="EQ200" s="19"/>
      <c r="ER200" s="93"/>
      <c r="ES200" s="93"/>
      <c r="ET200" s="214"/>
      <c r="EU200" s="93"/>
      <c r="EV200" s="93"/>
      <c r="EW200" s="93"/>
      <c r="EX200" s="93"/>
      <c r="EY200" s="20"/>
      <c r="EZ200" s="29">
        <v>133</v>
      </c>
      <c r="FA200" s="1504">
        <v>40544</v>
      </c>
      <c r="FB200" s="29"/>
      <c r="FC200" s="29"/>
      <c r="FD200" s="29"/>
      <c r="FE200" s="29"/>
      <c r="FF200" s="29"/>
      <c r="FG200" s="29"/>
      <c r="FH200" s="29"/>
      <c r="FI200" s="29"/>
      <c r="FJ200" s="29"/>
      <c r="FK200" s="29">
        <v>133</v>
      </c>
      <c r="FL200" s="1504">
        <v>40544</v>
      </c>
      <c r="FM200" s="19">
        <v>100.99250556176047</v>
      </c>
      <c r="FN200" s="93">
        <v>108.22756177277989</v>
      </c>
      <c r="FO200" s="93">
        <v>96.709429106785493</v>
      </c>
      <c r="FP200" s="93">
        <v>100.12441577495856</v>
      </c>
      <c r="FQ200" s="93">
        <v>103.37625918345761</v>
      </c>
      <c r="FR200" s="93">
        <v>98.259263723066127</v>
      </c>
      <c r="FS200" s="93">
        <v>99.767813062149258</v>
      </c>
      <c r="FT200" s="93">
        <v>98.696804295267583</v>
      </c>
      <c r="FU200" s="93">
        <v>65.266201405099977</v>
      </c>
      <c r="FV200" s="93">
        <v>98.988750213167947</v>
      </c>
      <c r="FW200" s="93">
        <v>102.49285068203132</v>
      </c>
      <c r="FX200" s="93">
        <v>103.42927271635851</v>
      </c>
      <c r="FY200" s="93">
        <v>101.64586795498435</v>
      </c>
      <c r="FZ200" s="29">
        <v>133</v>
      </c>
      <c r="GA200" s="1504">
        <v>40544</v>
      </c>
      <c r="GB200" s="733">
        <v>100.99250556176047</v>
      </c>
      <c r="GC200" s="570">
        <v>103.144581962692</v>
      </c>
      <c r="GD200" s="570">
        <v>99.604390571269519</v>
      </c>
      <c r="GE200" s="570">
        <v>106.23644341299416</v>
      </c>
      <c r="GF200" s="570">
        <v>108.51337533675924</v>
      </c>
      <c r="GG200" s="570">
        <v>98.272219383539891</v>
      </c>
      <c r="GH200" s="93"/>
      <c r="GI200" s="93"/>
      <c r="GJ200" s="93"/>
      <c r="GK200" s="93"/>
      <c r="GL200" s="93"/>
      <c r="GM200" s="93"/>
      <c r="GN200" s="20"/>
      <c r="GO200" s="29">
        <v>133</v>
      </c>
      <c r="GP200" s="1504">
        <v>40544</v>
      </c>
      <c r="GQ200" s="19"/>
      <c r="GR200" s="93"/>
      <c r="GS200" s="93"/>
      <c r="GT200" s="93"/>
      <c r="GU200" s="93"/>
      <c r="GV200" s="20"/>
      <c r="GW200" s="19"/>
      <c r="GX200" s="93"/>
      <c r="GY200" s="93"/>
      <c r="GZ200" s="93"/>
      <c r="HA200" s="93"/>
      <c r="HB200" s="20"/>
      <c r="HC200" s="19"/>
      <c r="HD200" s="93"/>
      <c r="HE200" s="93"/>
      <c r="HF200" s="93"/>
      <c r="HG200" s="93"/>
      <c r="HH200" s="20"/>
      <c r="HI200" s="19"/>
      <c r="HJ200" s="93"/>
      <c r="HK200" s="93"/>
      <c r="HL200" s="93"/>
      <c r="HM200" s="93"/>
      <c r="HN200" s="20"/>
      <c r="HO200" s="219"/>
      <c r="HP200" s="20"/>
      <c r="HQ200" s="25"/>
      <c r="HR200" s="29">
        <v>133</v>
      </c>
      <c r="HS200" s="1504">
        <v>40544</v>
      </c>
      <c r="HT200" s="179">
        <v>169.70787353515624</v>
      </c>
      <c r="HU200" s="99">
        <v>166.92281150817871</v>
      </c>
      <c r="HV200" s="99">
        <v>150.17668151855469</v>
      </c>
      <c r="HW200" s="99">
        <v>121.35922749837239</v>
      </c>
      <c r="HX200" s="99">
        <v>166.25000381469727</v>
      </c>
      <c r="HY200" s="99">
        <v>154.69173889160157</v>
      </c>
      <c r="HZ200" s="99">
        <v>206.73090972900391</v>
      </c>
      <c r="IA200" s="132">
        <v>152.36928176879883</v>
      </c>
      <c r="IB200" s="179">
        <v>162.92134094238281</v>
      </c>
      <c r="IC200" s="99">
        <v>112.69035339355469</v>
      </c>
      <c r="ID200" s="99"/>
      <c r="IE200" s="99">
        <v>114.75409698486328</v>
      </c>
      <c r="IF200" s="99">
        <v>175.78125</v>
      </c>
      <c r="IG200" s="132">
        <v>119.79695129394531</v>
      </c>
      <c r="IH200" s="179">
        <v>119.02467956542969</v>
      </c>
      <c r="II200" s="99">
        <v>163.94722938537598</v>
      </c>
      <c r="IJ200" s="99">
        <v>131.11888122558594</v>
      </c>
      <c r="IK200" s="99">
        <v>125</v>
      </c>
      <c r="IL200" s="99">
        <v>123.47561264038086</v>
      </c>
      <c r="IM200" s="99">
        <v>139.51613235473633</v>
      </c>
      <c r="IN200" s="93"/>
      <c r="IO200" s="132">
        <v>145.73839263916017</v>
      </c>
      <c r="IP200" s="29">
        <v>133</v>
      </c>
      <c r="IQ200" s="19"/>
      <c r="IR200" s="93"/>
      <c r="IS200" s="93"/>
      <c r="IT200" s="93"/>
      <c r="IU200" s="93"/>
      <c r="IV200" s="20"/>
      <c r="IW200" s="29">
        <v>133</v>
      </c>
      <c r="IX200" s="19"/>
      <c r="IY200" s="93"/>
      <c r="IZ200" s="93"/>
      <c r="JA200" s="93"/>
      <c r="JB200" s="93"/>
      <c r="JC200" s="93"/>
      <c r="JD200" s="93"/>
      <c r="JE200" s="20"/>
      <c r="JF200" s="29">
        <v>133</v>
      </c>
      <c r="JG200" s="19"/>
      <c r="JH200" s="93"/>
      <c r="JI200" s="93"/>
      <c r="JJ200" s="93"/>
      <c r="JK200" s="93"/>
      <c r="JL200" s="93"/>
      <c r="JM200" s="93"/>
      <c r="JN200" s="20"/>
      <c r="JO200" s="29">
        <v>133</v>
      </c>
      <c r="JP200" s="19"/>
      <c r="JQ200" s="93"/>
      <c r="JR200" s="93"/>
      <c r="JS200" s="93"/>
      <c r="JT200" s="93"/>
      <c r="JU200" s="20"/>
      <c r="JV200" s="29">
        <v>133</v>
      </c>
      <c r="JW200" s="1504">
        <v>40544</v>
      </c>
      <c r="JX200" s="19"/>
      <c r="JY200" s="93"/>
      <c r="JZ200" s="93"/>
      <c r="KA200" s="93"/>
      <c r="KB200" s="93"/>
      <c r="KC200" s="93"/>
      <c r="KD200" s="20"/>
      <c r="KE200" s="29">
        <v>133</v>
      </c>
      <c r="KF200" s="19"/>
      <c r="KG200" s="93"/>
      <c r="KH200" s="93"/>
      <c r="KI200" s="93"/>
      <c r="KJ200" s="93"/>
      <c r="KK200" s="20"/>
      <c r="KL200" s="29">
        <v>133</v>
      </c>
      <c r="KM200" s="19"/>
      <c r="KN200" s="93"/>
      <c r="KO200" s="93"/>
      <c r="KP200" s="93"/>
      <c r="KQ200" s="93"/>
      <c r="KR200" s="20"/>
      <c r="KS200" s="29">
        <v>133</v>
      </c>
      <c r="KT200" s="19"/>
      <c r="KU200" s="93"/>
      <c r="KV200" s="93"/>
      <c r="KW200" s="93"/>
      <c r="KX200" s="93"/>
      <c r="KY200" s="20"/>
      <c r="KZ200" s="29">
        <v>133</v>
      </c>
      <c r="LA200" s="1504">
        <v>40544</v>
      </c>
      <c r="LB200" s="19">
        <v>510</v>
      </c>
      <c r="LC200" s="93">
        <v>740</v>
      </c>
      <c r="LD200" s="93">
        <v>732</v>
      </c>
      <c r="LE200" s="93"/>
      <c r="LF200" s="93">
        <v>656</v>
      </c>
      <c r="LG200" s="93"/>
      <c r="LH200" s="20"/>
      <c r="LI200" s="29">
        <v>133</v>
      </c>
      <c r="LJ200" s="19"/>
      <c r="LK200" s="93"/>
      <c r="LL200" s="93"/>
      <c r="LM200" s="93"/>
      <c r="LN200" s="93"/>
      <c r="LO200" s="20"/>
      <c r="LP200" s="29">
        <v>133</v>
      </c>
      <c r="LQ200" s="19"/>
      <c r="LR200" s="93"/>
      <c r="LS200" s="93"/>
      <c r="LT200" s="93"/>
      <c r="LU200" s="93"/>
      <c r="LV200" s="93"/>
      <c r="LW200" s="93"/>
      <c r="LX200" s="93"/>
      <c r="LY200" s="93"/>
      <c r="LZ200" s="93"/>
      <c r="MA200" s="20"/>
      <c r="MB200" s="29">
        <v>133</v>
      </c>
      <c r="MC200" s="1504">
        <v>40544</v>
      </c>
      <c r="MD200" s="93">
        <v>50727.413049000003</v>
      </c>
      <c r="ME200" s="93">
        <v>48365.300326999997</v>
      </c>
      <c r="MF200" s="93">
        <v>48365.300326999997</v>
      </c>
      <c r="MG200" s="93">
        <v>45348.947359999998</v>
      </c>
      <c r="MH200" s="93">
        <v>10669.352504999999</v>
      </c>
      <c r="MI200" s="93">
        <v>485.49675999999999</v>
      </c>
      <c r="MJ200" s="93">
        <v>282.83947000000001</v>
      </c>
      <c r="MK200" s="93">
        <v>26089.127946999997</v>
      </c>
      <c r="ML200" s="93">
        <v>7285.4870809999993</v>
      </c>
      <c r="MM200" s="93">
        <v>536.64359700000011</v>
      </c>
      <c r="MN200" s="93">
        <v>3016.3529669999998</v>
      </c>
      <c r="MO200" s="93">
        <v>180.72710999999998</v>
      </c>
      <c r="MP200" s="93">
        <v>1429.092026</v>
      </c>
      <c r="MQ200" s="93">
        <v>117.114076</v>
      </c>
      <c r="MR200" s="93">
        <v>4.3152999999999997E-2</v>
      </c>
      <c r="MS200" s="93">
        <v>1289.376602</v>
      </c>
      <c r="MT200" s="93">
        <v>0</v>
      </c>
      <c r="MU200" s="93">
        <v>2362.1127219999998</v>
      </c>
      <c r="MV200" s="93">
        <v>2362.1127219999998</v>
      </c>
      <c r="MW200" s="93">
        <v>0</v>
      </c>
      <c r="MX200" s="93">
        <v>92859.131116166667</v>
      </c>
      <c r="MY200" s="93">
        <v>92899.320106166662</v>
      </c>
      <c r="MZ200" s="93">
        <v>23262.070030166662</v>
      </c>
      <c r="NA200" s="93">
        <v>20455.474666666665</v>
      </c>
      <c r="NB200">
        <v>1902.241182</v>
      </c>
      <c r="NC200">
        <v>524.68617299999949</v>
      </c>
      <c r="ND200">
        <v>321.32830599999954</v>
      </c>
      <c r="NE200">
        <v>203.357867</v>
      </c>
      <c r="NF200">
        <v>379.66800849999998</v>
      </c>
      <c r="NG200">
        <v>0</v>
      </c>
      <c r="NH200">
        <v>0</v>
      </c>
      <c r="NI200">
        <v>0</v>
      </c>
      <c r="NJ200">
        <v>0</v>
      </c>
      <c r="NK200">
        <v>23073.955166</v>
      </c>
      <c r="NL200">
        <v>13227.074352</v>
      </c>
      <c r="NM200">
        <v>0</v>
      </c>
      <c r="NN200">
        <v>9846.8808140000001</v>
      </c>
      <c r="NO200">
        <v>-40.188989999999997</v>
      </c>
      <c r="NP200">
        <v>-42131.718067166665</v>
      </c>
      <c r="NQ200">
        <v>-44493.83078916667</v>
      </c>
      <c r="NR200">
        <v>-34122.263802166679</v>
      </c>
      <c r="NS200">
        <v>-34646.949975166674</v>
      </c>
      <c r="NT200">
        <v>-23370.365744666709</v>
      </c>
      <c r="NU200">
        <v>-25732.478466666715</v>
      </c>
      <c r="NV200" s="93">
        <v>25877.70527699999</v>
      </c>
      <c r="NW200" s="93">
        <v>7033.304748999999</v>
      </c>
      <c r="NX200" s="93">
        <v>7484.7680919999993</v>
      </c>
      <c r="NY200" s="93">
        <v>-451.46334300000001</v>
      </c>
      <c r="NZ200" s="93">
        <v>0</v>
      </c>
      <c r="OA200" s="93">
        <v>18844.400527999995</v>
      </c>
      <c r="OB200" s="93">
        <v>-1963.1661450000029</v>
      </c>
      <c r="OC200" s="93">
        <v>20807.566672999998</v>
      </c>
      <c r="OD200" s="20">
        <v>0</v>
      </c>
      <c r="OE200" s="29">
        <v>133</v>
      </c>
      <c r="OF200" s="1504">
        <v>40544</v>
      </c>
      <c r="OG200" s="19"/>
      <c r="OH200" s="93">
        <v>200.97402</v>
      </c>
      <c r="OI200" s="93">
        <v>549.47047004711169</v>
      </c>
      <c r="OJ200" s="93">
        <v>0.42799464099999995</v>
      </c>
      <c r="OK200" s="93">
        <v>471.48257540611172</v>
      </c>
      <c r="OL200" s="93">
        <v>77.559899999999999</v>
      </c>
      <c r="OM200" s="93">
        <v>750.44449004711169</v>
      </c>
      <c r="ON200" s="93">
        <v>560.33392253523527</v>
      </c>
      <c r="OO200" s="93">
        <v>1310.7784125823468</v>
      </c>
      <c r="OP200" s="93"/>
      <c r="OQ200" s="93">
        <v>653.01230095152118</v>
      </c>
      <c r="OR200" s="93">
        <v>313.93101792299996</v>
      </c>
      <c r="OS200" s="93">
        <v>339.08128302852123</v>
      </c>
      <c r="OT200" s="93">
        <v>838.39423243882584</v>
      </c>
      <c r="OU200" s="93">
        <v>-63.340795151999998</v>
      </c>
      <c r="OV200" s="93">
        <v>-65.580795152000007</v>
      </c>
      <c r="OW200" s="93">
        <v>2.2400000000000091</v>
      </c>
      <c r="OX200" s="93">
        <v>901.73502759082578</v>
      </c>
      <c r="OY200" s="93">
        <v>3.7048126779999997</v>
      </c>
      <c r="OZ200" s="93">
        <v>898.03021491282584</v>
      </c>
      <c r="PA200" s="93">
        <v>177.98329449200003</v>
      </c>
      <c r="PB200" s="93">
        <v>2.6448263160000067</v>
      </c>
      <c r="PC200" s="20">
        <v>1310.7784125823468</v>
      </c>
      <c r="PD200" s="29">
        <v>133</v>
      </c>
      <c r="PE200" s="19"/>
      <c r="PF200" s="93">
        <v>313.93101792299996</v>
      </c>
      <c r="PG200" s="93">
        <v>540.02755702699994</v>
      </c>
      <c r="PH200" s="93">
        <v>226.09653910399999</v>
      </c>
      <c r="PI200" s="93">
        <v>117.3</v>
      </c>
      <c r="PJ200" s="93">
        <v>-61.893715152000013</v>
      </c>
      <c r="PK200" s="93">
        <v>101.31694838099999</v>
      </c>
      <c r="PL200" s="93">
        <v>163.210663533</v>
      </c>
      <c r="PM200" s="93">
        <v>3.7048126779999997</v>
      </c>
      <c r="PN200" s="93">
        <v>1.21</v>
      </c>
      <c r="PO200" s="93">
        <v>0</v>
      </c>
      <c r="PP200" s="93">
        <v>4.2119800000000002E-4</v>
      </c>
      <c r="PQ200" s="93">
        <v>2.49439148</v>
      </c>
      <c r="PR200" s="93">
        <v>369.25165454400002</v>
      </c>
      <c r="PS200" s="93">
        <v>236.99610000000001</v>
      </c>
      <c r="PT200" s="93">
        <v>131.82755990300001</v>
      </c>
      <c r="PU200" s="93">
        <v>0.42799464099999995</v>
      </c>
      <c r="PV200" s="93">
        <v>0</v>
      </c>
      <c r="PW200" s="93">
        <v>0.20462243999999999</v>
      </c>
      <c r="PX200" s="93">
        <v>0</v>
      </c>
      <c r="PY200" s="93">
        <v>0</v>
      </c>
      <c r="PZ200" s="93">
        <v>0.20462243999999999</v>
      </c>
      <c r="QA200" s="93">
        <v>0</v>
      </c>
      <c r="QB200" s="93">
        <v>0</v>
      </c>
      <c r="QC200" s="93">
        <v>0</v>
      </c>
      <c r="QD200" s="93">
        <v>0.457672052</v>
      </c>
      <c r="QE200" s="20">
        <v>3.1281664130000073</v>
      </c>
      <c r="QF200" s="1739">
        <v>133</v>
      </c>
      <c r="QG200" s="19"/>
      <c r="QH200" s="1035">
        <v>339.08128302852123</v>
      </c>
      <c r="QI200" s="1035">
        <v>444.41378508717423</v>
      </c>
      <c r="QJ200" s="1035">
        <v>-105.33250205865301</v>
      </c>
      <c r="QK200" s="1035">
        <v>169.834</v>
      </c>
      <c r="QL200" s="1035">
        <v>32.335000000000001</v>
      </c>
      <c r="QM200" s="1035">
        <v>137.499</v>
      </c>
      <c r="QN200" s="1035">
        <v>0</v>
      </c>
      <c r="QO200" s="1035">
        <v>2.2400000000000091</v>
      </c>
      <c r="QP200" s="1035">
        <v>112.48400000000001</v>
      </c>
      <c r="QQ200" s="1035">
        <v>-110.244</v>
      </c>
      <c r="QR200" s="1035">
        <v>898.03021491282584</v>
      </c>
      <c r="QS200" s="1035">
        <v>10.926359125503659</v>
      </c>
      <c r="QT200" s="1035">
        <v>0</v>
      </c>
      <c r="QU200" s="1035">
        <v>82.885999999999996</v>
      </c>
      <c r="QV200" s="1035">
        <v>804.21785578732215</v>
      </c>
      <c r="QW200" s="93"/>
      <c r="QX200" s="93">
        <v>117.64700000000001</v>
      </c>
      <c r="QY200" s="93">
        <v>471.48257540611166</v>
      </c>
      <c r="QZ200" s="93">
        <v>560.33392253523527</v>
      </c>
      <c r="RA200" s="93">
        <v>0</v>
      </c>
      <c r="RB200" s="93">
        <v>27.22</v>
      </c>
      <c r="RC200" s="93">
        <v>2.879</v>
      </c>
      <c r="RD200" s="93">
        <v>6.3819999999999997</v>
      </c>
      <c r="RE200" s="93">
        <v>0</v>
      </c>
      <c r="RF200" s="93">
        <v>0</v>
      </c>
      <c r="RG200" s="93">
        <v>140.84000000000003</v>
      </c>
      <c r="RH200" s="93">
        <v>82.400999999999982</v>
      </c>
      <c r="RI200" s="93"/>
      <c r="RJ200" s="93"/>
      <c r="RK200" s="93"/>
      <c r="RL200" s="93"/>
      <c r="RM200" s="734"/>
      <c r="RN200" s="29">
        <v>133</v>
      </c>
      <c r="RO200" s="19">
        <v>35</v>
      </c>
      <c r="RP200" s="20"/>
      <c r="RQ200" s="29">
        <v>133</v>
      </c>
      <c r="RR200" s="734">
        <v>2.8444830000000003</v>
      </c>
      <c r="RS200" s="29">
        <v>133</v>
      </c>
      <c r="RT200" s="1504">
        <v>40544</v>
      </c>
      <c r="RU200" s="19"/>
      <c r="RV200" s="20"/>
      <c r="RW200" s="29">
        <v>133</v>
      </c>
      <c r="RX200" s="1504">
        <v>40544</v>
      </c>
      <c r="RY200" s="29"/>
      <c r="RZ200" s="734"/>
      <c r="SA200" s="29"/>
      <c r="SB200" s="29">
        <v>133</v>
      </c>
    </row>
    <row r="201" spans="1:496">
      <c r="A201" s="41">
        <f t="shared" si="208"/>
        <v>2011</v>
      </c>
      <c r="B201" s="1504">
        <v>40575</v>
      </c>
      <c r="C201" s="1813"/>
      <c r="D201" s="1814"/>
      <c r="E201" s="1814"/>
      <c r="F201" s="1815"/>
      <c r="G201" s="1814"/>
      <c r="H201" s="1814"/>
      <c r="I201" s="1814"/>
      <c r="J201" s="1816"/>
      <c r="K201" s="1807"/>
      <c r="L201" s="25">
        <v>134</v>
      </c>
      <c r="M201" s="97"/>
      <c r="N201" s="1504">
        <v>40575</v>
      </c>
      <c r="O201" s="19"/>
      <c r="P201" s="93"/>
      <c r="Q201" s="93"/>
      <c r="R201" s="93"/>
      <c r="S201" s="93"/>
      <c r="T201" s="93"/>
      <c r="U201" s="93"/>
      <c r="V201" s="93"/>
      <c r="W201" s="93"/>
      <c r="X201" s="93"/>
      <c r="Y201" s="93"/>
      <c r="Z201" s="93"/>
      <c r="AA201" s="93"/>
      <c r="AB201" s="20"/>
      <c r="AC201" s="25">
        <v>134</v>
      </c>
      <c r="AD201" s="97"/>
      <c r="AE201" s="1504">
        <v>40575</v>
      </c>
      <c r="AF201" s="19"/>
      <c r="AG201" s="93"/>
      <c r="AH201" s="93"/>
      <c r="AI201" s="93"/>
      <c r="AJ201" s="93"/>
      <c r="AK201" s="93"/>
      <c r="AL201" s="93"/>
      <c r="AM201" s="93"/>
      <c r="AN201" s="93"/>
      <c r="AO201" s="93"/>
      <c r="AP201" s="93"/>
      <c r="AQ201" s="93"/>
      <c r="AR201" s="93"/>
      <c r="AS201" s="20"/>
      <c r="AT201" s="25">
        <v>134</v>
      </c>
      <c r="AU201" s="97"/>
      <c r="AV201" s="1504">
        <v>40575</v>
      </c>
      <c r="AW201" s="19"/>
      <c r="AX201" s="93"/>
      <c r="AY201" s="93"/>
      <c r="AZ201" s="93"/>
      <c r="BA201" s="93"/>
      <c r="BB201" s="93"/>
      <c r="BC201" s="93"/>
      <c r="BD201" s="93"/>
      <c r="BE201" s="93"/>
      <c r="BF201" s="93"/>
      <c r="BG201" s="93"/>
      <c r="BH201" s="93"/>
      <c r="BI201" s="93"/>
      <c r="BJ201" s="20"/>
      <c r="BK201" s="25">
        <v>134</v>
      </c>
      <c r="BL201" s="97"/>
      <c r="BM201" s="1504">
        <v>40575</v>
      </c>
      <c r="BN201" s="19"/>
      <c r="BO201" s="93"/>
      <c r="BP201" s="93"/>
      <c r="BQ201" s="93"/>
      <c r="BR201" s="93"/>
      <c r="BS201" s="93"/>
      <c r="BT201" s="93"/>
      <c r="BU201" s="20"/>
      <c r="BV201" s="25">
        <v>134</v>
      </c>
      <c r="BW201" s="97"/>
      <c r="BX201" s="1504">
        <v>40575</v>
      </c>
      <c r="BY201" s="179">
        <v>480.59345561999999</v>
      </c>
      <c r="BZ201" s="99">
        <v>664.95699999999999</v>
      </c>
      <c r="CA201" s="93"/>
      <c r="CB201" s="93"/>
      <c r="CC201" s="99">
        <v>320.51996925641879</v>
      </c>
      <c r="CD201" s="25">
        <v>134</v>
      </c>
      <c r="CE201" s="97"/>
      <c r="CF201" s="1504">
        <v>40575</v>
      </c>
      <c r="CG201" s="179">
        <v>4.6998089160000003</v>
      </c>
      <c r="CH201" s="99">
        <v>1374.68</v>
      </c>
      <c r="CI201" s="219"/>
      <c r="CJ201" s="20"/>
      <c r="CK201" s="19"/>
      <c r="CL201" s="93"/>
      <c r="CM201" s="93"/>
      <c r="CN201" s="93"/>
      <c r="CO201" s="93"/>
      <c r="CP201" s="20"/>
      <c r="CQ201" s="219">
        <v>1653.47</v>
      </c>
      <c r="CR201" s="93">
        <v>2.7875000000000001</v>
      </c>
      <c r="CS201" s="93"/>
      <c r="CT201" s="93"/>
      <c r="CU201" s="93"/>
      <c r="CV201" s="214"/>
      <c r="CW201" s="29">
        <v>134</v>
      </c>
      <c r="CX201" s="41">
        <f t="shared" si="209"/>
        <v>2011</v>
      </c>
      <c r="CY201" s="1504">
        <v>40575</v>
      </c>
      <c r="CZ201" s="1916">
        <v>62.526860735907718</v>
      </c>
      <c r="DA201" s="1526">
        <v>36.657966735907721</v>
      </c>
      <c r="DB201" s="1526">
        <v>25.868894000000001</v>
      </c>
      <c r="DC201" s="182">
        <f t="shared" si="210"/>
        <v>401476</v>
      </c>
      <c r="DD201" s="182">
        <f t="shared" si="211"/>
        <v>400356</v>
      </c>
      <c r="DE201" s="182">
        <f t="shared" si="212"/>
        <v>1120</v>
      </c>
      <c r="DF201" s="29">
        <v>134</v>
      </c>
      <c r="DG201" s="1504">
        <v>40575</v>
      </c>
      <c r="DH201" s="19"/>
      <c r="DI201" s="93"/>
      <c r="DJ201" s="93"/>
      <c r="DK201" s="93"/>
      <c r="DL201" s="93"/>
      <c r="DM201" s="93"/>
      <c r="DN201" s="20"/>
      <c r="DO201" s="25"/>
      <c r="DP201" s="29">
        <v>134</v>
      </c>
      <c r="DQ201" s="1504">
        <v>40575</v>
      </c>
      <c r="DR201" s="19"/>
      <c r="DS201" s="93"/>
      <c r="DT201" s="93"/>
      <c r="DU201" s="93"/>
      <c r="DV201" s="93"/>
      <c r="DW201" s="93"/>
      <c r="DX201" s="20"/>
      <c r="DY201" s="29">
        <v>134</v>
      </c>
      <c r="DZ201" s="1504">
        <v>40575</v>
      </c>
      <c r="EA201" s="19"/>
      <c r="EB201" s="93"/>
      <c r="EC201" s="20"/>
      <c r="ED201" s="29">
        <v>134</v>
      </c>
      <c r="EE201" s="1504">
        <v>40575</v>
      </c>
      <c r="EF201" s="19"/>
      <c r="EG201" s="93"/>
      <c r="EH201" s="93"/>
      <c r="EI201" s="214"/>
      <c r="EJ201" s="93"/>
      <c r="EK201" s="93"/>
      <c r="EL201" s="93"/>
      <c r="EM201" s="93"/>
      <c r="EN201" s="20"/>
      <c r="EO201" s="29">
        <v>134</v>
      </c>
      <c r="EP201" s="1504">
        <v>40575</v>
      </c>
      <c r="EQ201" s="19"/>
      <c r="ER201" s="93"/>
      <c r="ES201" s="93"/>
      <c r="ET201" s="214"/>
      <c r="EU201" s="93"/>
      <c r="EV201" s="93"/>
      <c r="EW201" s="93"/>
      <c r="EX201" s="93"/>
      <c r="EY201" s="20"/>
      <c r="EZ201" s="29">
        <v>134</v>
      </c>
      <c r="FA201" s="1504">
        <v>40575</v>
      </c>
      <c r="FB201" s="29"/>
      <c r="FC201" s="29"/>
      <c r="FD201" s="29"/>
      <c r="FE201" s="29"/>
      <c r="FF201" s="29"/>
      <c r="FG201" s="29"/>
      <c r="FH201" s="29"/>
      <c r="FI201" s="29"/>
      <c r="FJ201" s="29"/>
      <c r="FK201" s="29">
        <v>134</v>
      </c>
      <c r="FL201" s="1504">
        <v>40575</v>
      </c>
      <c r="FM201" s="19">
        <v>100.33027448475903</v>
      </c>
      <c r="FN201" s="93">
        <v>106.51135705756626</v>
      </c>
      <c r="FO201" s="93">
        <v>96.932375017322641</v>
      </c>
      <c r="FP201" s="93">
        <v>100.22092327639082</v>
      </c>
      <c r="FQ201" s="93">
        <v>102.53379983663781</v>
      </c>
      <c r="FR201" s="93">
        <v>98.266996330548253</v>
      </c>
      <c r="FS201" s="93">
        <v>100.47258919543849</v>
      </c>
      <c r="FT201" s="93">
        <v>99.03434178902188</v>
      </c>
      <c r="FU201" s="93">
        <v>63.619436526289483</v>
      </c>
      <c r="FV201" s="93">
        <v>98.988750213167947</v>
      </c>
      <c r="FW201" s="93">
        <v>102.49285068203132</v>
      </c>
      <c r="FX201" s="93">
        <v>104.30890556962359</v>
      </c>
      <c r="FY201" s="93">
        <v>102.03772961383602</v>
      </c>
      <c r="FZ201" s="29">
        <v>134</v>
      </c>
      <c r="GA201" s="1504">
        <v>40575</v>
      </c>
      <c r="GB201" s="733">
        <v>100.33027448475903</v>
      </c>
      <c r="GC201" s="570">
        <v>103.35821831388168</v>
      </c>
      <c r="GD201" s="570">
        <v>98.379671419783463</v>
      </c>
      <c r="GE201" s="570">
        <v>104.53287976120345</v>
      </c>
      <c r="GF201" s="570">
        <v>104.89588289432392</v>
      </c>
      <c r="GG201" s="570">
        <v>98.613873412051603</v>
      </c>
      <c r="GH201" s="93"/>
      <c r="GI201" s="93"/>
      <c r="GJ201" s="93"/>
      <c r="GK201" s="93"/>
      <c r="GL201" s="93"/>
      <c r="GM201" s="93"/>
      <c r="GN201" s="20"/>
      <c r="GO201" s="29">
        <v>134</v>
      </c>
      <c r="GP201" s="1504">
        <v>40575</v>
      </c>
      <c r="GQ201" s="19"/>
      <c r="GR201" s="93"/>
      <c r="GS201" s="93"/>
      <c r="GT201" s="93"/>
      <c r="GU201" s="93"/>
      <c r="GV201" s="20"/>
      <c r="GW201" s="19"/>
      <c r="GX201" s="93"/>
      <c r="GY201" s="93"/>
      <c r="GZ201" s="93"/>
      <c r="HA201" s="93"/>
      <c r="HB201" s="20"/>
      <c r="HC201" s="19"/>
      <c r="HD201" s="93"/>
      <c r="HE201" s="93"/>
      <c r="HF201" s="93"/>
      <c r="HG201" s="93"/>
      <c r="HH201" s="20"/>
      <c r="HI201" s="19"/>
      <c r="HJ201" s="93"/>
      <c r="HK201" s="93"/>
      <c r="HL201" s="93"/>
      <c r="HM201" s="93"/>
      <c r="HN201" s="20"/>
      <c r="HO201" s="219"/>
      <c r="HP201" s="20"/>
      <c r="HQ201" s="25"/>
      <c r="HR201" s="29">
        <v>134</v>
      </c>
      <c r="HS201" s="1504">
        <v>40575</v>
      </c>
      <c r="HT201" s="179">
        <v>174.87247085571289</v>
      </c>
      <c r="HU201" s="99">
        <v>191.65527852376303</v>
      </c>
      <c r="HV201" s="99">
        <v>155.47703552246094</v>
      </c>
      <c r="HW201" s="99">
        <v>121.35923004150391</v>
      </c>
      <c r="HX201" s="99">
        <v>166.66667175292969</v>
      </c>
      <c r="HY201" s="99">
        <v>159.99746322631836</v>
      </c>
      <c r="HZ201" s="99">
        <v>211.88088798522949</v>
      </c>
      <c r="IA201" s="132">
        <v>157.52688090006509</v>
      </c>
      <c r="IB201" s="179">
        <v>192</v>
      </c>
      <c r="IC201" s="99">
        <v>126.2690315246582</v>
      </c>
      <c r="ID201" s="99"/>
      <c r="IE201" s="99">
        <v>120.21201324462891</v>
      </c>
      <c r="IF201" s="99">
        <v>177.87298583984375</v>
      </c>
      <c r="IG201" s="132">
        <v>130.33662986755371</v>
      </c>
      <c r="IH201" s="179">
        <v>119.67248153686523</v>
      </c>
      <c r="II201" s="99">
        <v>181.29531860351563</v>
      </c>
      <c r="IJ201" s="99">
        <v>129.89510498046874</v>
      </c>
      <c r="IK201" s="99">
        <v>130.95238240559897</v>
      </c>
      <c r="IL201" s="99">
        <v>123.47561264038086</v>
      </c>
      <c r="IM201" s="99">
        <v>145.16129557291666</v>
      </c>
      <c r="IN201" s="93"/>
      <c r="IO201" s="132">
        <v>147.60154151916504</v>
      </c>
      <c r="IP201" s="29">
        <v>134</v>
      </c>
      <c r="IQ201" s="19"/>
      <c r="IR201" s="93"/>
      <c r="IS201" s="93"/>
      <c r="IT201" s="93"/>
      <c r="IU201" s="93"/>
      <c r="IV201" s="20"/>
      <c r="IW201" s="29">
        <v>134</v>
      </c>
      <c r="IX201" s="19"/>
      <c r="IY201" s="93"/>
      <c r="IZ201" s="93"/>
      <c r="JA201" s="93"/>
      <c r="JB201" s="93"/>
      <c r="JC201" s="93"/>
      <c r="JD201" s="93"/>
      <c r="JE201" s="20"/>
      <c r="JF201" s="29">
        <v>134</v>
      </c>
      <c r="JG201" s="19"/>
      <c r="JH201" s="93"/>
      <c r="JI201" s="93"/>
      <c r="JJ201" s="93"/>
      <c r="JK201" s="93"/>
      <c r="JL201" s="93"/>
      <c r="JM201" s="93"/>
      <c r="JN201" s="20"/>
      <c r="JO201" s="29">
        <v>134</v>
      </c>
      <c r="JP201" s="19"/>
      <c r="JQ201" s="93"/>
      <c r="JR201" s="93"/>
      <c r="JS201" s="93"/>
      <c r="JT201" s="93"/>
      <c r="JU201" s="20"/>
      <c r="JV201" s="29">
        <v>134</v>
      </c>
      <c r="JW201" s="1504">
        <v>40575</v>
      </c>
      <c r="JX201" s="19"/>
      <c r="JY201" s="93"/>
      <c r="JZ201" s="93"/>
      <c r="KA201" s="93"/>
      <c r="KB201" s="93"/>
      <c r="KC201" s="93"/>
      <c r="KD201" s="20"/>
      <c r="KE201" s="29">
        <v>134</v>
      </c>
      <c r="KF201" s="19"/>
      <c r="KG201" s="93"/>
      <c r="KH201" s="93"/>
      <c r="KI201" s="93"/>
      <c r="KJ201" s="93"/>
      <c r="KK201" s="20"/>
      <c r="KL201" s="29">
        <v>134</v>
      </c>
      <c r="KM201" s="19"/>
      <c r="KN201" s="93"/>
      <c r="KO201" s="93"/>
      <c r="KP201" s="93"/>
      <c r="KQ201" s="93"/>
      <c r="KR201" s="20"/>
      <c r="KS201" s="29">
        <v>134</v>
      </c>
      <c r="KT201" s="19"/>
      <c r="KU201" s="93"/>
      <c r="KV201" s="93"/>
      <c r="KW201" s="93"/>
      <c r="KX201" s="93"/>
      <c r="KY201" s="20"/>
      <c r="KZ201" s="29">
        <v>134</v>
      </c>
      <c r="LA201" s="1504">
        <v>40575</v>
      </c>
      <c r="LB201" s="19">
        <v>510</v>
      </c>
      <c r="LC201" s="93">
        <v>740</v>
      </c>
      <c r="LD201" s="93">
        <v>732</v>
      </c>
      <c r="LE201" s="93"/>
      <c r="LF201" s="93">
        <v>656</v>
      </c>
      <c r="LG201" s="93"/>
      <c r="LH201" s="20"/>
      <c r="LI201" s="29">
        <v>134</v>
      </c>
      <c r="LJ201" s="19"/>
      <c r="LK201" s="93"/>
      <c r="LL201" s="93"/>
      <c r="LM201" s="93"/>
      <c r="LN201" s="93"/>
      <c r="LO201" s="20"/>
      <c r="LP201" s="29">
        <v>134</v>
      </c>
      <c r="LQ201" s="19"/>
      <c r="LR201" s="93"/>
      <c r="LS201" s="93"/>
      <c r="LT201" s="93"/>
      <c r="LU201" s="93"/>
      <c r="LV201" s="93"/>
      <c r="LW201" s="93"/>
      <c r="LX201" s="93"/>
      <c r="LY201" s="93"/>
      <c r="LZ201" s="93"/>
      <c r="MA201" s="20"/>
      <c r="MB201" s="29">
        <v>134</v>
      </c>
      <c r="MC201" s="1504">
        <v>40575</v>
      </c>
      <c r="MD201" s="93">
        <v>48973.035932000006</v>
      </c>
      <c r="ME201" s="93">
        <v>47971.806494000004</v>
      </c>
      <c r="MF201" s="93">
        <v>47971.806494000004</v>
      </c>
      <c r="MG201" s="93">
        <v>44831.254333999997</v>
      </c>
      <c r="MH201" s="93">
        <v>7849.4750809999996</v>
      </c>
      <c r="MI201" s="93">
        <v>438.03357699999998</v>
      </c>
      <c r="MJ201" s="93">
        <v>374.16776299999998</v>
      </c>
      <c r="MK201" s="93">
        <v>26995.622933999999</v>
      </c>
      <c r="ML201" s="93">
        <v>8713.9618289999999</v>
      </c>
      <c r="MM201" s="93">
        <v>459.99315000000001</v>
      </c>
      <c r="MN201" s="93">
        <v>3140.5521600000002</v>
      </c>
      <c r="MO201" s="93">
        <v>427.58724800000005</v>
      </c>
      <c r="MP201" s="93">
        <v>1470.1913330000004</v>
      </c>
      <c r="MQ201" s="93">
        <v>171.62176299999999</v>
      </c>
      <c r="MR201" s="93">
        <v>5.9399E-2</v>
      </c>
      <c r="MS201" s="93">
        <v>1071.0924169999998</v>
      </c>
      <c r="MT201" s="93">
        <v>0</v>
      </c>
      <c r="MU201" s="93">
        <v>1001.229438</v>
      </c>
      <c r="MV201" s="93">
        <v>1001.229438</v>
      </c>
      <c r="MW201" s="93">
        <v>0</v>
      </c>
      <c r="MX201" s="93">
        <v>90419.663840466659</v>
      </c>
      <c r="MY201" s="93">
        <v>90434.267043466651</v>
      </c>
      <c r="MZ201" s="93">
        <v>57104.991135466662</v>
      </c>
      <c r="NA201" s="93">
        <v>22650.102166666664</v>
      </c>
      <c r="NB201">
        <v>15812.485439</v>
      </c>
      <c r="NC201">
        <v>342.25533599999994</v>
      </c>
      <c r="ND201">
        <v>2.8056380000000005</v>
      </c>
      <c r="NE201">
        <v>339.44969799999996</v>
      </c>
      <c r="NF201">
        <v>18300.1481938</v>
      </c>
      <c r="NG201">
        <v>0</v>
      </c>
      <c r="NH201">
        <v>7038.1738290000003</v>
      </c>
      <c r="NI201">
        <v>86.907352000000003</v>
      </c>
      <c r="NJ201">
        <v>439.60578999999996</v>
      </c>
      <c r="NK201">
        <v>33329.275908000003</v>
      </c>
      <c r="NL201">
        <v>21205.642438000003</v>
      </c>
      <c r="NM201">
        <v>0</v>
      </c>
      <c r="NN201">
        <v>12123.633469999999</v>
      </c>
      <c r="NO201">
        <v>-14.603202999998729</v>
      </c>
      <c r="NP201">
        <v>-41446.62790846666</v>
      </c>
      <c r="NQ201">
        <v>-42447.857346466662</v>
      </c>
      <c r="NR201">
        <v>-29981.968540466667</v>
      </c>
      <c r="NS201">
        <v>-30324.223876466662</v>
      </c>
      <c r="NT201">
        <v>-72019.986383966621</v>
      </c>
      <c r="NU201">
        <v>-73021.215821966631</v>
      </c>
      <c r="NV201" s="93">
        <v>88460.836387999996</v>
      </c>
      <c r="NW201" s="93">
        <v>10078.163693</v>
      </c>
      <c r="NX201" s="93">
        <v>11122.404032</v>
      </c>
      <c r="NY201" s="93">
        <v>-1044.2403389999999</v>
      </c>
      <c r="NZ201" s="93">
        <v>0</v>
      </c>
      <c r="OA201" s="93">
        <v>78382.672694999987</v>
      </c>
      <c r="OB201" s="93">
        <v>88013.937103000004</v>
      </c>
      <c r="OC201" s="93">
        <v>-9631.2644079999991</v>
      </c>
      <c r="OD201" s="20">
        <v>0</v>
      </c>
      <c r="OE201" s="29">
        <v>134</v>
      </c>
      <c r="OF201" s="1504">
        <v>40575</v>
      </c>
      <c r="OG201" s="19"/>
      <c r="OH201" s="93">
        <v>187.86867999999998</v>
      </c>
      <c r="OI201" s="93">
        <v>572.67533895694521</v>
      </c>
      <c r="OJ201" s="93">
        <v>0.55892118899999998</v>
      </c>
      <c r="OK201" s="93">
        <v>494.87631776794524</v>
      </c>
      <c r="OL201" s="93">
        <v>77.240099999999998</v>
      </c>
      <c r="OM201" s="93">
        <v>760.54401895694514</v>
      </c>
      <c r="ON201" s="93">
        <v>566.37841414989794</v>
      </c>
      <c r="OO201" s="93">
        <v>1326.9224331068431</v>
      </c>
      <c r="OP201" s="93"/>
      <c r="OQ201" s="93">
        <v>613.81215949444072</v>
      </c>
      <c r="OR201" s="93">
        <v>292.4769067520001</v>
      </c>
      <c r="OS201" s="93">
        <v>321.33525274244062</v>
      </c>
      <c r="OT201" s="93">
        <v>903.90575093640268</v>
      </c>
      <c r="OU201" s="93">
        <v>-17.904396342999991</v>
      </c>
      <c r="OV201" s="93">
        <v>-7.9583963429999924</v>
      </c>
      <c r="OW201" s="93">
        <v>-9.945999999999998</v>
      </c>
      <c r="OX201" s="93">
        <v>921.81014727940271</v>
      </c>
      <c r="OY201" s="93">
        <v>3.8426681039999999</v>
      </c>
      <c r="OZ201" s="93">
        <v>917.96747917540267</v>
      </c>
      <c r="PA201" s="93">
        <v>184.31865563900001</v>
      </c>
      <c r="PB201" s="93">
        <v>6.4768216850000329</v>
      </c>
      <c r="PC201" s="20">
        <v>1326.9224331068433</v>
      </c>
      <c r="PD201" s="29">
        <v>134</v>
      </c>
      <c r="PE201" s="19"/>
      <c r="PF201" s="93">
        <v>292.4769067520001</v>
      </c>
      <c r="PG201" s="93">
        <v>510.90116072600006</v>
      </c>
      <c r="PH201" s="93">
        <v>218.42425397399998</v>
      </c>
      <c r="PI201" s="93">
        <v>85.6</v>
      </c>
      <c r="PJ201" s="93">
        <v>-4.0138763429999926</v>
      </c>
      <c r="PK201" s="93">
        <v>100.80456789</v>
      </c>
      <c r="PL201" s="93">
        <v>104.81844423299999</v>
      </c>
      <c r="PM201" s="93">
        <v>3.8426681039999999</v>
      </c>
      <c r="PN201" s="93">
        <v>1.21</v>
      </c>
      <c r="PO201" s="93">
        <v>0</v>
      </c>
      <c r="PP201" s="93">
        <v>6.1157699999999998E-4</v>
      </c>
      <c r="PQ201" s="93">
        <v>2.632056527</v>
      </c>
      <c r="PR201" s="93">
        <v>369.71606954999999</v>
      </c>
      <c r="PS201" s="93">
        <v>225.44919999999999</v>
      </c>
      <c r="PT201" s="93">
        <v>143.70794836100001</v>
      </c>
      <c r="PU201" s="93">
        <v>0.55892118899999998</v>
      </c>
      <c r="PV201" s="93">
        <v>0</v>
      </c>
      <c r="PW201" s="93">
        <v>1.6204600360000001</v>
      </c>
      <c r="PX201" s="93">
        <v>0</v>
      </c>
      <c r="PY201" s="93">
        <v>0</v>
      </c>
      <c r="PZ201" s="93">
        <v>1.6204600360000001</v>
      </c>
      <c r="QA201" s="93">
        <v>0</v>
      </c>
      <c r="QB201" s="93">
        <v>0</v>
      </c>
      <c r="QC201" s="93">
        <v>0</v>
      </c>
      <c r="QD201" s="93">
        <v>0.45619560300000001</v>
      </c>
      <c r="QE201" s="20">
        <v>6.1129733240000066</v>
      </c>
      <c r="QF201" s="1739">
        <v>134</v>
      </c>
      <c r="QG201" s="19"/>
      <c r="QH201" s="1035">
        <v>321.33525274244062</v>
      </c>
      <c r="QI201" s="1035">
        <v>427.33152082459742</v>
      </c>
      <c r="QJ201" s="1035">
        <v>-105.9962680821568</v>
      </c>
      <c r="QK201" s="1035">
        <v>178.505</v>
      </c>
      <c r="QL201" s="1035">
        <v>33.636000000000003</v>
      </c>
      <c r="QM201" s="1035">
        <v>144.869</v>
      </c>
      <c r="QN201" s="1035">
        <v>0</v>
      </c>
      <c r="QO201" s="1035">
        <v>-9.945999999999998</v>
      </c>
      <c r="QP201" s="1035">
        <v>103.286</v>
      </c>
      <c r="QQ201" s="1035">
        <v>-113.232</v>
      </c>
      <c r="QR201" s="1035">
        <v>917.96747917540267</v>
      </c>
      <c r="QS201" s="1035">
        <v>10.397639724026122</v>
      </c>
      <c r="QT201" s="1035">
        <v>0</v>
      </c>
      <c r="QU201" s="1035">
        <v>85.582999999999998</v>
      </c>
      <c r="QV201" s="1035">
        <v>821.98683945137657</v>
      </c>
      <c r="QW201" s="93"/>
      <c r="QX201" s="93">
        <v>89.281000000000006</v>
      </c>
      <c r="QY201" s="93">
        <v>494.87631776794524</v>
      </c>
      <c r="QZ201" s="93">
        <v>566.37841414989794</v>
      </c>
      <c r="RA201" s="93">
        <v>0</v>
      </c>
      <c r="RB201" s="93">
        <v>28.43</v>
      </c>
      <c r="RC201" s="93">
        <v>2.879</v>
      </c>
      <c r="RD201" s="93">
        <v>8.1430000000000007</v>
      </c>
      <c r="RE201" s="93">
        <v>0</v>
      </c>
      <c r="RF201" s="93">
        <v>0</v>
      </c>
      <c r="RG201" s="93">
        <v>142.79000000000002</v>
      </c>
      <c r="RH201" s="93">
        <v>75.084000000000003</v>
      </c>
      <c r="RI201" s="93"/>
      <c r="RJ201" s="93"/>
      <c r="RK201" s="93"/>
      <c r="RL201" s="93"/>
      <c r="RM201" s="734"/>
      <c r="RN201" s="29">
        <v>134</v>
      </c>
      <c r="RO201" s="19">
        <v>57</v>
      </c>
      <c r="RP201" s="20"/>
      <c r="RQ201" s="29">
        <v>134</v>
      </c>
      <c r="RR201" s="734">
        <v>2.4134910000000001</v>
      </c>
      <c r="RS201" s="29">
        <v>134</v>
      </c>
      <c r="RT201" s="1504">
        <v>40575</v>
      </c>
      <c r="RU201" s="19"/>
      <c r="RV201" s="20"/>
      <c r="RW201" s="29">
        <v>134</v>
      </c>
      <c r="RX201" s="1504">
        <v>40575</v>
      </c>
      <c r="RY201" s="29"/>
      <c r="RZ201" s="734"/>
      <c r="SA201" s="29"/>
      <c r="SB201" s="29">
        <v>134</v>
      </c>
    </row>
    <row r="202" spans="1:496">
      <c r="A202" s="41">
        <f t="shared" si="208"/>
        <v>2011</v>
      </c>
      <c r="B202" s="1504">
        <v>40603</v>
      </c>
      <c r="C202" s="1813"/>
      <c r="D202" s="1814"/>
      <c r="E202" s="1814"/>
      <c r="F202" s="1815"/>
      <c r="G202" s="1814"/>
      <c r="H202" s="1814"/>
      <c r="I202" s="1814"/>
      <c r="J202" s="1816"/>
      <c r="K202" s="1807"/>
      <c r="L202" s="25">
        <v>135</v>
      </c>
      <c r="M202" s="97"/>
      <c r="N202" s="1504">
        <v>40603</v>
      </c>
      <c r="O202" s="19"/>
      <c r="P202" s="93"/>
      <c r="Q202" s="93"/>
      <c r="R202" s="93"/>
      <c r="S202" s="93"/>
      <c r="T202" s="93"/>
      <c r="U202" s="93"/>
      <c r="V202" s="93"/>
      <c r="W202" s="93"/>
      <c r="X202" s="93"/>
      <c r="Y202" s="93"/>
      <c r="Z202" s="93"/>
      <c r="AA202" s="93"/>
      <c r="AB202" s="20"/>
      <c r="AC202" s="25">
        <v>135</v>
      </c>
      <c r="AD202" s="97"/>
      <c r="AE202" s="1504">
        <v>40603</v>
      </c>
      <c r="AF202" s="19"/>
      <c r="AG202" s="93"/>
      <c r="AH202" s="93"/>
      <c r="AI202" s="93"/>
      <c r="AJ202" s="93"/>
      <c r="AK202" s="93"/>
      <c r="AL202" s="93"/>
      <c r="AM202" s="93"/>
      <c r="AN202" s="93"/>
      <c r="AO202" s="93"/>
      <c r="AP202" s="93"/>
      <c r="AQ202" s="93"/>
      <c r="AR202" s="93"/>
      <c r="AS202" s="20"/>
      <c r="AT202" s="25">
        <v>135</v>
      </c>
      <c r="AU202" s="97"/>
      <c r="AV202" s="1504">
        <v>40603</v>
      </c>
      <c r="AW202" s="19"/>
      <c r="AX202" s="93"/>
      <c r="AY202" s="93"/>
      <c r="AZ202" s="93"/>
      <c r="BA202" s="93"/>
      <c r="BB202" s="93"/>
      <c r="BC202" s="93"/>
      <c r="BD202" s="93"/>
      <c r="BE202" s="93"/>
      <c r="BF202" s="93"/>
      <c r="BG202" s="93"/>
      <c r="BH202" s="93"/>
      <c r="BI202" s="93"/>
      <c r="BJ202" s="20"/>
      <c r="BK202" s="25">
        <v>135</v>
      </c>
      <c r="BL202" s="97"/>
      <c r="BM202" s="1504">
        <v>40603</v>
      </c>
      <c r="BN202" s="19"/>
      <c r="BO202" s="93"/>
      <c r="BP202" s="93"/>
      <c r="BQ202" s="93"/>
      <c r="BR202" s="93"/>
      <c r="BS202" s="93"/>
      <c r="BT202" s="93"/>
      <c r="BU202" s="20"/>
      <c r="BV202" s="25">
        <v>135</v>
      </c>
      <c r="BW202" s="97"/>
      <c r="BX202" s="1504">
        <v>40603</v>
      </c>
      <c r="BY202" s="179">
        <v>468.56976380999998</v>
      </c>
      <c r="BZ202" s="99">
        <v>664.95699999999999</v>
      </c>
      <c r="CA202" s="93"/>
      <c r="CB202" s="93"/>
      <c r="CC202" s="99">
        <v>312.30426254749051</v>
      </c>
      <c r="CD202" s="25">
        <v>135</v>
      </c>
      <c r="CE202" s="97"/>
      <c r="CF202" s="1504">
        <v>40603</v>
      </c>
      <c r="CG202" s="179">
        <v>5.063350754</v>
      </c>
      <c r="CH202" s="99">
        <v>1423.26</v>
      </c>
      <c r="CI202" s="219"/>
      <c r="CJ202" s="20"/>
      <c r="CK202" s="19"/>
      <c r="CL202" s="93"/>
      <c r="CM202" s="93"/>
      <c r="CN202" s="93"/>
      <c r="CO202" s="93"/>
      <c r="CP202" s="20"/>
      <c r="CQ202" s="219">
        <v>1637.17</v>
      </c>
      <c r="CR202" s="93">
        <v>2.7374999999999998</v>
      </c>
      <c r="CS202" s="93"/>
      <c r="CT202" s="93"/>
      <c r="CU202" s="93"/>
      <c r="CV202" s="214"/>
      <c r="CW202" s="29">
        <v>135</v>
      </c>
      <c r="CX202" s="41">
        <f t="shared" si="209"/>
        <v>2011</v>
      </c>
      <c r="CY202" s="1504">
        <v>40603</v>
      </c>
      <c r="CZ202" s="1916">
        <v>63.11871143751614</v>
      </c>
      <c r="DA202" s="1526">
        <v>38.187753437516136</v>
      </c>
      <c r="DB202" s="1526">
        <v>24.930958</v>
      </c>
      <c r="DC202" s="182">
        <f t="shared" si="210"/>
        <v>401476</v>
      </c>
      <c r="DD202" s="182">
        <f t="shared" si="211"/>
        <v>400356</v>
      </c>
      <c r="DE202" s="182">
        <f t="shared" si="212"/>
        <v>1120</v>
      </c>
      <c r="DF202" s="29">
        <v>135</v>
      </c>
      <c r="DG202" s="1504">
        <v>40603</v>
      </c>
      <c r="DH202" s="19"/>
      <c r="DI202" s="93"/>
      <c r="DJ202" s="93"/>
      <c r="DK202" s="93"/>
      <c r="DL202" s="93"/>
      <c r="DM202" s="93"/>
      <c r="DN202" s="20"/>
      <c r="DO202" s="25"/>
      <c r="DP202" s="29">
        <v>135</v>
      </c>
      <c r="DQ202" s="1504">
        <v>40603</v>
      </c>
      <c r="DR202" s="19"/>
      <c r="DS202" s="93"/>
      <c r="DT202" s="93"/>
      <c r="DU202" s="93"/>
      <c r="DV202" s="93"/>
      <c r="DW202" s="93"/>
      <c r="DX202" s="20"/>
      <c r="DY202" s="29">
        <v>135</v>
      </c>
      <c r="DZ202" s="1504">
        <v>40603</v>
      </c>
      <c r="EA202" s="19"/>
      <c r="EB202" s="93"/>
      <c r="EC202" s="20"/>
      <c r="ED202" s="29">
        <v>135</v>
      </c>
      <c r="EE202" s="1504">
        <v>40603</v>
      </c>
      <c r="EF202" s="19"/>
      <c r="EG202" s="93"/>
      <c r="EH202" s="93"/>
      <c r="EI202" s="214"/>
      <c r="EJ202" s="93"/>
      <c r="EK202" s="93"/>
      <c r="EL202" s="93"/>
      <c r="EM202" s="93"/>
      <c r="EN202" s="20"/>
      <c r="EO202" s="29">
        <v>135</v>
      </c>
      <c r="EP202" s="1504">
        <v>40603</v>
      </c>
      <c r="EQ202" s="19"/>
      <c r="ER202" s="93"/>
      <c r="ES202" s="93"/>
      <c r="ET202" s="214"/>
      <c r="EU202" s="93"/>
      <c r="EV202" s="93"/>
      <c r="EW202" s="93"/>
      <c r="EX202" s="93"/>
      <c r="EY202" s="20"/>
      <c r="EZ202" s="29">
        <v>135</v>
      </c>
      <c r="FA202" s="1504">
        <v>40603</v>
      </c>
      <c r="FB202" s="29"/>
      <c r="FC202" s="29"/>
      <c r="FD202" s="29"/>
      <c r="FE202" s="29"/>
      <c r="FF202" s="29"/>
      <c r="FG202" s="29"/>
      <c r="FH202" s="29"/>
      <c r="FI202" s="29"/>
      <c r="FJ202" s="29"/>
      <c r="FK202" s="29">
        <v>135</v>
      </c>
      <c r="FL202" s="1504">
        <v>40603</v>
      </c>
      <c r="FM202" s="19">
        <v>100.58221447082599</v>
      </c>
      <c r="FN202" s="93">
        <v>106.64837049224315</v>
      </c>
      <c r="FO202" s="93">
        <v>97.972199481508795</v>
      </c>
      <c r="FP202" s="93">
        <v>100.26248448284859</v>
      </c>
      <c r="FQ202" s="93">
        <v>103.46097081518475</v>
      </c>
      <c r="FR202" s="93">
        <v>98.353954659778893</v>
      </c>
      <c r="FS202" s="93">
        <v>100.47265352146292</v>
      </c>
      <c r="FT202" s="93">
        <v>99.031041160987542</v>
      </c>
      <c r="FU202" s="93">
        <v>64.610853454458848</v>
      </c>
      <c r="FV202" s="93">
        <v>99.070986171933171</v>
      </c>
      <c r="FW202" s="93">
        <v>102.49285068203132</v>
      </c>
      <c r="FX202" s="93">
        <v>104.39187730513065</v>
      </c>
      <c r="FY202" s="93">
        <v>102.2197423368047</v>
      </c>
      <c r="FZ202" s="29">
        <v>135</v>
      </c>
      <c r="GA202" s="1504">
        <v>40603</v>
      </c>
      <c r="GB202" s="733">
        <v>100.58221447082599</v>
      </c>
      <c r="GC202" s="570">
        <v>103.47786654625878</v>
      </c>
      <c r="GD202" s="570">
        <v>98.718768875081878</v>
      </c>
      <c r="GE202" s="570">
        <v>106.19165966934158</v>
      </c>
      <c r="GF202" s="570">
        <v>104.73709306515131</v>
      </c>
      <c r="GG202" s="570">
        <v>98.90599759120235</v>
      </c>
      <c r="GH202" s="93"/>
      <c r="GI202" s="93"/>
      <c r="GJ202" s="93"/>
      <c r="GK202" s="93"/>
      <c r="GL202" s="93"/>
      <c r="GM202" s="93"/>
      <c r="GN202" s="20"/>
      <c r="GO202" s="29">
        <v>135</v>
      </c>
      <c r="GP202" s="1504">
        <v>40603</v>
      </c>
      <c r="GQ202" s="19"/>
      <c r="GR202" s="93"/>
      <c r="GS202" s="93"/>
      <c r="GT202" s="93"/>
      <c r="GU202" s="93"/>
      <c r="GV202" s="20"/>
      <c r="GW202" s="19"/>
      <c r="GX202" s="93"/>
      <c r="GY202" s="93"/>
      <c r="GZ202" s="93"/>
      <c r="HA202" s="93"/>
      <c r="HB202" s="20"/>
      <c r="HC202" s="19"/>
      <c r="HD202" s="93"/>
      <c r="HE202" s="93"/>
      <c r="HF202" s="93"/>
      <c r="HG202" s="93"/>
      <c r="HH202" s="20"/>
      <c r="HI202" s="19"/>
      <c r="HJ202" s="93"/>
      <c r="HK202" s="93"/>
      <c r="HL202" s="93"/>
      <c r="HM202" s="93"/>
      <c r="HN202" s="20"/>
      <c r="HO202" s="219"/>
      <c r="HP202" s="20"/>
      <c r="HQ202" s="25"/>
      <c r="HR202" s="29">
        <v>135</v>
      </c>
      <c r="HS202" s="1504">
        <v>40603</v>
      </c>
      <c r="HT202" s="179">
        <v>178.51542091369629</v>
      </c>
      <c r="HU202" s="99">
        <v>194.50136375427246</v>
      </c>
      <c r="HV202" s="99">
        <v>136.13861083984375</v>
      </c>
      <c r="HW202" s="99">
        <v>121.35923004150391</v>
      </c>
      <c r="HX202" s="99">
        <v>159</v>
      </c>
      <c r="HY202" s="99">
        <v>165.65041351318359</v>
      </c>
      <c r="HZ202" s="99">
        <v>205.84760093688965</v>
      </c>
      <c r="IA202" s="132">
        <v>152.82258224487305</v>
      </c>
      <c r="IB202" s="179">
        <v>171.42857666015624</v>
      </c>
      <c r="IC202" s="99">
        <v>135.15227890014648</v>
      </c>
      <c r="ID202" s="99"/>
      <c r="IE202" s="99">
        <v>117.49257469177246</v>
      </c>
      <c r="IF202" s="99">
        <v>171.875</v>
      </c>
      <c r="IG202" s="132">
        <v>129.60526657104492</v>
      </c>
      <c r="IH202" s="179">
        <v>119.92288208007813</v>
      </c>
      <c r="II202" s="99">
        <v>179.61521148681641</v>
      </c>
      <c r="IJ202" s="99">
        <v>120.83333206176758</v>
      </c>
      <c r="IK202" s="99">
        <v>133.92857360839844</v>
      </c>
      <c r="IL202" s="99">
        <v>123.47561264038086</v>
      </c>
      <c r="IM202" s="99">
        <v>145.96774291992188</v>
      </c>
      <c r="IN202" s="93"/>
      <c r="IO202" s="132">
        <v>147.21733856201172</v>
      </c>
      <c r="IP202" s="29">
        <v>135</v>
      </c>
      <c r="IQ202" s="19"/>
      <c r="IR202" s="93"/>
      <c r="IS202" s="93"/>
      <c r="IT202" s="93"/>
      <c r="IU202" s="93"/>
      <c r="IV202" s="20"/>
      <c r="IW202" s="29">
        <v>135</v>
      </c>
      <c r="IX202" s="19"/>
      <c r="IY202" s="93"/>
      <c r="IZ202" s="93"/>
      <c r="JA202" s="93"/>
      <c r="JB202" s="93"/>
      <c r="JC202" s="93"/>
      <c r="JD202" s="93"/>
      <c r="JE202" s="20"/>
      <c r="JF202" s="29">
        <v>135</v>
      </c>
      <c r="JG202" s="19"/>
      <c r="JH202" s="93"/>
      <c r="JI202" s="93"/>
      <c r="JJ202" s="93"/>
      <c r="JK202" s="93"/>
      <c r="JL202" s="93"/>
      <c r="JM202" s="93"/>
      <c r="JN202" s="20"/>
      <c r="JO202" s="29">
        <v>135</v>
      </c>
      <c r="JP202" s="19"/>
      <c r="JQ202" s="93"/>
      <c r="JR202" s="93"/>
      <c r="JS202" s="93"/>
      <c r="JT202" s="93"/>
      <c r="JU202" s="20"/>
      <c r="JV202" s="29">
        <v>135</v>
      </c>
      <c r="JW202" s="1504">
        <v>40603</v>
      </c>
      <c r="JX202" s="19"/>
      <c r="JY202" s="93"/>
      <c r="JZ202" s="93"/>
      <c r="KA202" s="93"/>
      <c r="KB202" s="93"/>
      <c r="KC202" s="93"/>
      <c r="KD202" s="20"/>
      <c r="KE202" s="29">
        <v>135</v>
      </c>
      <c r="KF202" s="19"/>
      <c r="KG202" s="93"/>
      <c r="KH202" s="93"/>
      <c r="KI202" s="93"/>
      <c r="KJ202" s="93"/>
      <c r="KK202" s="20"/>
      <c r="KL202" s="29">
        <v>135</v>
      </c>
      <c r="KM202" s="19"/>
      <c r="KN202" s="93"/>
      <c r="KO202" s="93"/>
      <c r="KP202" s="93"/>
      <c r="KQ202" s="93"/>
      <c r="KR202" s="20"/>
      <c r="KS202" s="29">
        <v>135</v>
      </c>
      <c r="KT202" s="19"/>
      <c r="KU202" s="93"/>
      <c r="KV202" s="93"/>
      <c r="KW202" s="93"/>
      <c r="KX202" s="93"/>
      <c r="KY202" s="20"/>
      <c r="KZ202" s="29">
        <v>135</v>
      </c>
      <c r="LA202" s="1504">
        <v>40603</v>
      </c>
      <c r="LB202" s="19">
        <v>510</v>
      </c>
      <c r="LC202" s="93">
        <v>740</v>
      </c>
      <c r="LD202" s="93">
        <v>732</v>
      </c>
      <c r="LE202" s="93"/>
      <c r="LF202" s="93">
        <v>656</v>
      </c>
      <c r="LG202" s="93"/>
      <c r="LH202" s="20"/>
      <c r="LI202" s="29">
        <v>135</v>
      </c>
      <c r="LJ202" s="19"/>
      <c r="LK202" s="93"/>
      <c r="LL202" s="93"/>
      <c r="LM202" s="93"/>
      <c r="LN202" s="93"/>
      <c r="LO202" s="20"/>
      <c r="LP202" s="29">
        <v>135</v>
      </c>
      <c r="LQ202" s="19"/>
      <c r="LR202" s="93"/>
      <c r="LS202" s="93"/>
      <c r="LT202" s="93"/>
      <c r="LU202" s="93"/>
      <c r="LV202" s="93"/>
      <c r="LW202" s="93"/>
      <c r="LX202" s="93"/>
      <c r="LY202" s="93"/>
      <c r="LZ202" s="93"/>
      <c r="MA202" s="20"/>
      <c r="MB202" s="29">
        <v>135</v>
      </c>
      <c r="MC202" s="1504">
        <v>40603</v>
      </c>
      <c r="MD202" s="93">
        <v>81164.486130999998</v>
      </c>
      <c r="ME202" s="93">
        <v>67505.116371999989</v>
      </c>
      <c r="MF202" s="93">
        <v>67505.099370999989</v>
      </c>
      <c r="MG202" s="93">
        <v>50822.212563999994</v>
      </c>
      <c r="MH202" s="93">
        <v>7388.330531999999</v>
      </c>
      <c r="MI202" s="93">
        <v>377.33537899999999</v>
      </c>
      <c r="MJ202" s="93">
        <v>358.313874</v>
      </c>
      <c r="MK202" s="93">
        <v>32848.921144</v>
      </c>
      <c r="ML202" s="93">
        <v>9425.4275689999977</v>
      </c>
      <c r="MM202" s="93">
        <v>423.88406600000002</v>
      </c>
      <c r="MN202" s="93">
        <v>16682.886806999999</v>
      </c>
      <c r="MO202" s="93">
        <v>484.07346799999999</v>
      </c>
      <c r="MP202" s="93">
        <v>10372.846519999999</v>
      </c>
      <c r="MQ202" s="93">
        <v>92.920160000000038</v>
      </c>
      <c r="MR202" s="93">
        <v>4.8655039999999996</v>
      </c>
      <c r="MS202" s="93">
        <v>5728.1811549999993</v>
      </c>
      <c r="MT202" s="93">
        <v>1.7001000000000002E-2</v>
      </c>
      <c r="MU202" s="93">
        <v>13659.369758999999</v>
      </c>
      <c r="MV202" s="93">
        <v>1327.7159180000001</v>
      </c>
      <c r="MW202" s="93">
        <v>12331.653840999999</v>
      </c>
      <c r="MX202" s="93">
        <v>101851.39657616669</v>
      </c>
      <c r="MY202" s="93">
        <v>103489.0722471667</v>
      </c>
      <c r="MZ202" s="93">
        <v>61371.62924116668</v>
      </c>
      <c r="NA202" s="93">
        <v>21401.991416666671</v>
      </c>
      <c r="NB202">
        <v>8394.0098190000026</v>
      </c>
      <c r="NC202">
        <v>1739.0972420000001</v>
      </c>
      <c r="ND202">
        <v>627.47202200000015</v>
      </c>
      <c r="NE202">
        <v>1111.6252199999999</v>
      </c>
      <c r="NF202">
        <v>29836.530763500006</v>
      </c>
      <c r="NG202">
        <v>7121.5667079999994</v>
      </c>
      <c r="NH202">
        <v>1369.9340089999996</v>
      </c>
      <c r="NI202">
        <v>418.68555499999997</v>
      </c>
      <c r="NJ202">
        <v>6513.713831</v>
      </c>
      <c r="NK202">
        <v>42117.443006000001</v>
      </c>
      <c r="NL202">
        <v>29892.062748000004</v>
      </c>
      <c r="NM202">
        <v>266.39999999999998</v>
      </c>
      <c r="NN202">
        <v>11958.980258</v>
      </c>
      <c r="NO202">
        <v>-1637.6756709999995</v>
      </c>
      <c r="NP202">
        <v>-20686.910445166694</v>
      </c>
      <c r="NQ202">
        <v>-34346.280204166695</v>
      </c>
      <c r="NR202">
        <v>-20648.202704166695</v>
      </c>
      <c r="NS202">
        <v>-22387.299946166695</v>
      </c>
      <c r="NT202">
        <v>-9906.2456916666542</v>
      </c>
      <c r="NU202">
        <v>-23565.615450666657</v>
      </c>
      <c r="NV202" s="93">
        <v>-3510.2608619999996</v>
      </c>
      <c r="NW202" s="93">
        <v>9328.6430729999993</v>
      </c>
      <c r="NX202" s="93">
        <v>10631.26434</v>
      </c>
      <c r="NY202" s="93">
        <v>-1302.621267</v>
      </c>
      <c r="NZ202" s="93">
        <v>0</v>
      </c>
      <c r="OA202" s="93">
        <v>-12838.903934999998</v>
      </c>
      <c r="OB202" s="93">
        <v>-29155.066068999997</v>
      </c>
      <c r="OC202" s="93">
        <v>16316.162134</v>
      </c>
      <c r="OD202" s="20">
        <v>0</v>
      </c>
      <c r="OE202" s="29">
        <v>135</v>
      </c>
      <c r="OF202" s="1504">
        <v>40603</v>
      </c>
      <c r="OG202" s="19"/>
      <c r="OH202" s="93">
        <v>194.30518999999998</v>
      </c>
      <c r="OI202" s="93">
        <v>577.72722425018594</v>
      </c>
      <c r="OJ202" s="93">
        <v>0.56337792099999995</v>
      </c>
      <c r="OK202" s="93">
        <v>500.17604632918597</v>
      </c>
      <c r="OL202" s="93">
        <v>76.987800000000007</v>
      </c>
      <c r="OM202" s="93">
        <v>772.03241425018587</v>
      </c>
      <c r="ON202" s="93">
        <v>571.01815785686131</v>
      </c>
      <c r="OO202" s="93">
        <v>1343.0505721070472</v>
      </c>
      <c r="OP202" s="93"/>
      <c r="OQ202" s="93">
        <v>639.6850041186417</v>
      </c>
      <c r="OR202" s="93">
        <v>279.34715796300009</v>
      </c>
      <c r="OS202" s="93">
        <v>360.33784615564161</v>
      </c>
      <c r="OT202" s="93">
        <v>898.03133966540554</v>
      </c>
      <c r="OU202" s="93">
        <v>-46.798633434999999</v>
      </c>
      <c r="OV202" s="93">
        <v>-40.645633435000008</v>
      </c>
      <c r="OW202" s="93">
        <v>-6.1529999999999916</v>
      </c>
      <c r="OX202" s="93">
        <v>944.8299731004056</v>
      </c>
      <c r="OY202" s="93">
        <v>4.0196150700000004</v>
      </c>
      <c r="OZ202" s="93">
        <v>940.81035803040561</v>
      </c>
      <c r="PA202" s="93">
        <v>182.323996596</v>
      </c>
      <c r="PB202" s="93">
        <v>12.34177508099998</v>
      </c>
      <c r="PC202" s="20">
        <v>1343.0505721070474</v>
      </c>
      <c r="PD202" s="29">
        <v>135</v>
      </c>
      <c r="PE202" s="19"/>
      <c r="PF202" s="93">
        <v>279.34715796300009</v>
      </c>
      <c r="PG202" s="93">
        <v>509.43874842600007</v>
      </c>
      <c r="PH202" s="93">
        <v>230.09159046299999</v>
      </c>
      <c r="PI202" s="93">
        <v>114.1</v>
      </c>
      <c r="PJ202" s="93">
        <v>-38.325523435000008</v>
      </c>
      <c r="PK202" s="93">
        <v>100.54520066000001</v>
      </c>
      <c r="PL202" s="93">
        <v>138.87072409500001</v>
      </c>
      <c r="PM202" s="93">
        <v>4.0196150700000004</v>
      </c>
      <c r="PN202" s="93">
        <v>1.21</v>
      </c>
      <c r="PO202" s="93">
        <v>0</v>
      </c>
      <c r="PP202" s="93">
        <v>4.2588100000000002E-4</v>
      </c>
      <c r="PQ202" s="93">
        <v>2.809189189</v>
      </c>
      <c r="PR202" s="93">
        <v>352.45251140400001</v>
      </c>
      <c r="PS202" s="93">
        <v>231.6223</v>
      </c>
      <c r="PT202" s="93">
        <v>120.266833483</v>
      </c>
      <c r="PU202" s="93">
        <v>0.56337792099999995</v>
      </c>
      <c r="PV202" s="93">
        <v>0</v>
      </c>
      <c r="PW202" s="93">
        <v>1.889262129</v>
      </c>
      <c r="PX202" s="93">
        <v>0</v>
      </c>
      <c r="PY202" s="93">
        <v>0</v>
      </c>
      <c r="PZ202" s="93">
        <v>1.889262129</v>
      </c>
      <c r="QA202" s="93">
        <v>0</v>
      </c>
      <c r="QB202" s="93">
        <v>0</v>
      </c>
      <c r="QC202" s="93">
        <v>0</v>
      </c>
      <c r="QD202" s="93">
        <v>0.44773446700000002</v>
      </c>
      <c r="QE202" s="20">
        <v>4.3517415980000003</v>
      </c>
      <c r="QF202" s="1739">
        <v>135</v>
      </c>
      <c r="QG202" s="19"/>
      <c r="QH202" s="1035">
        <v>360.33784615564161</v>
      </c>
      <c r="QI202" s="1035">
        <v>476.3406419695944</v>
      </c>
      <c r="QJ202" s="1035">
        <v>-116.00279581395279</v>
      </c>
      <c r="QK202" s="1035">
        <v>144.26999999999998</v>
      </c>
      <c r="QL202" s="1035">
        <v>34.997</v>
      </c>
      <c r="QM202" s="1035">
        <v>109.273</v>
      </c>
      <c r="QN202" s="1035">
        <v>0</v>
      </c>
      <c r="QO202" s="1035">
        <v>-6.1529999999999916</v>
      </c>
      <c r="QP202" s="1035">
        <v>99.024000000000001</v>
      </c>
      <c r="QQ202" s="1035">
        <v>-105.17699999999999</v>
      </c>
      <c r="QR202" s="1035">
        <v>940.81035803040561</v>
      </c>
      <c r="QS202" s="1035">
        <v>10.397653171977055</v>
      </c>
      <c r="QT202" s="1035">
        <v>0</v>
      </c>
      <c r="QU202" s="1035">
        <v>111.027</v>
      </c>
      <c r="QV202" s="1035">
        <v>819.38570485842854</v>
      </c>
      <c r="QW202" s="93"/>
      <c r="QX202" s="93">
        <v>129.88</v>
      </c>
      <c r="QY202" s="93">
        <v>500.17604632918597</v>
      </c>
      <c r="QZ202" s="93">
        <v>571.01815785686131</v>
      </c>
      <c r="RA202" s="93">
        <v>0</v>
      </c>
      <c r="RB202" s="93">
        <v>30.443999999999999</v>
      </c>
      <c r="RC202" s="93">
        <v>7.1790000000000003</v>
      </c>
      <c r="RD202" s="93">
        <v>8.5060000000000002</v>
      </c>
      <c r="RE202" s="93">
        <v>0</v>
      </c>
      <c r="RF202" s="93">
        <v>0</v>
      </c>
      <c r="RG202" s="93">
        <v>133.858</v>
      </c>
      <c r="RH202" s="93">
        <v>58.203999999999979</v>
      </c>
      <c r="RI202" s="93"/>
      <c r="RJ202" s="93"/>
      <c r="RK202" s="93"/>
      <c r="RL202" s="93"/>
      <c r="RM202" s="734"/>
      <c r="RN202" s="29">
        <v>135</v>
      </c>
      <c r="RO202" s="19">
        <v>71</v>
      </c>
      <c r="RP202" s="20"/>
      <c r="RQ202" s="29">
        <v>135</v>
      </c>
      <c r="RR202" s="734">
        <v>3.3659479999999999</v>
      </c>
      <c r="RS202" s="29">
        <v>135</v>
      </c>
      <c r="RT202" s="1504">
        <v>40603</v>
      </c>
      <c r="RU202" s="19"/>
      <c r="RV202" s="20"/>
      <c r="RW202" s="29">
        <v>135</v>
      </c>
      <c r="RX202" s="1504">
        <v>40603</v>
      </c>
      <c r="RY202" s="29"/>
      <c r="RZ202" s="734"/>
      <c r="SA202" s="29"/>
      <c r="SB202" s="29">
        <v>135</v>
      </c>
    </row>
    <row r="203" spans="1:496">
      <c r="A203" s="41">
        <f t="shared" si="208"/>
        <v>2011</v>
      </c>
      <c r="B203" s="1504">
        <v>40634</v>
      </c>
      <c r="C203" s="1813"/>
      <c r="D203" s="1814"/>
      <c r="E203" s="1814"/>
      <c r="F203" s="1815"/>
      <c r="G203" s="1814"/>
      <c r="H203" s="1814"/>
      <c r="I203" s="1814"/>
      <c r="J203" s="1816"/>
      <c r="K203" s="1807"/>
      <c r="L203" s="25">
        <v>136</v>
      </c>
      <c r="M203" s="97"/>
      <c r="N203" s="1504">
        <v>40634</v>
      </c>
      <c r="O203" s="19"/>
      <c r="P203" s="93"/>
      <c r="Q203" s="93"/>
      <c r="R203" s="93"/>
      <c r="S203" s="93"/>
      <c r="T203" s="93"/>
      <c r="U203" s="93"/>
      <c r="V203" s="93"/>
      <c r="W203" s="93"/>
      <c r="X203" s="93"/>
      <c r="Y203" s="93"/>
      <c r="Z203" s="93"/>
      <c r="AA203" s="93"/>
      <c r="AB203" s="20"/>
      <c r="AC203" s="25">
        <v>136</v>
      </c>
      <c r="AD203" s="97"/>
      <c r="AE203" s="1504">
        <v>40634</v>
      </c>
      <c r="AF203" s="19"/>
      <c r="AG203" s="93"/>
      <c r="AH203" s="93"/>
      <c r="AI203" s="93"/>
      <c r="AJ203" s="93"/>
      <c r="AK203" s="93"/>
      <c r="AL203" s="93"/>
      <c r="AM203" s="93"/>
      <c r="AN203" s="93"/>
      <c r="AO203" s="93"/>
      <c r="AP203" s="93"/>
      <c r="AQ203" s="93"/>
      <c r="AR203" s="93"/>
      <c r="AS203" s="20"/>
      <c r="AT203" s="25">
        <v>136</v>
      </c>
      <c r="AU203" s="97"/>
      <c r="AV203" s="1504">
        <v>40634</v>
      </c>
      <c r="AW203" s="19"/>
      <c r="AX203" s="93"/>
      <c r="AY203" s="93"/>
      <c r="AZ203" s="93"/>
      <c r="BA203" s="93"/>
      <c r="BB203" s="93"/>
      <c r="BC203" s="93"/>
      <c r="BD203" s="93"/>
      <c r="BE203" s="93"/>
      <c r="BF203" s="93"/>
      <c r="BG203" s="93"/>
      <c r="BH203" s="93"/>
      <c r="BI203" s="93"/>
      <c r="BJ203" s="20"/>
      <c r="BK203" s="25">
        <v>136</v>
      </c>
      <c r="BL203" s="97"/>
      <c r="BM203" s="1504">
        <v>40634</v>
      </c>
      <c r="BN203" s="19"/>
      <c r="BO203" s="93"/>
      <c r="BP203" s="93"/>
      <c r="BQ203" s="93"/>
      <c r="BR203" s="93"/>
      <c r="BS203" s="93"/>
      <c r="BT203" s="93"/>
      <c r="BU203" s="20"/>
      <c r="BV203" s="25">
        <v>136</v>
      </c>
      <c r="BW203" s="97"/>
      <c r="BX203" s="1504">
        <v>40634</v>
      </c>
      <c r="BY203" s="179">
        <v>454.20430550999998</v>
      </c>
      <c r="BZ203" s="99">
        <v>664.95699999999999</v>
      </c>
      <c r="CA203" s="93"/>
      <c r="CB203" s="93"/>
      <c r="CC203" s="99">
        <v>302.62834941364605</v>
      </c>
      <c r="CD203" s="25">
        <v>136</v>
      </c>
      <c r="CE203" s="97"/>
      <c r="CF203" s="1504">
        <v>40634</v>
      </c>
      <c r="CG203" s="179">
        <v>4.7755743566666604</v>
      </c>
      <c r="CH203" s="99">
        <v>1480.89</v>
      </c>
      <c r="CI203" s="219"/>
      <c r="CJ203" s="20"/>
      <c r="CK203" s="19"/>
      <c r="CL203" s="93"/>
      <c r="CM203" s="93"/>
      <c r="CN203" s="93"/>
      <c r="CO203" s="93"/>
      <c r="CP203" s="20"/>
      <c r="CQ203" s="219">
        <v>1631.42</v>
      </c>
      <c r="CR203" s="93">
        <v>2.6666666666666701</v>
      </c>
      <c r="CS203" s="93"/>
      <c r="CT203" s="93"/>
      <c r="CU203" s="93"/>
      <c r="CV203" s="214"/>
      <c r="CW203" s="29">
        <v>136</v>
      </c>
      <c r="CX203" s="41">
        <f t="shared" si="209"/>
        <v>2011</v>
      </c>
      <c r="CY203" s="1504">
        <v>40634</v>
      </c>
      <c r="CZ203" s="1916">
        <v>74.823236000000009</v>
      </c>
      <c r="DA203" s="1526">
        <v>45.513359000000001</v>
      </c>
      <c r="DB203" s="1526">
        <v>29.309877</v>
      </c>
      <c r="DC203" s="182">
        <f t="shared" si="210"/>
        <v>401476</v>
      </c>
      <c r="DD203" s="182">
        <f t="shared" si="211"/>
        <v>400356</v>
      </c>
      <c r="DE203" s="182">
        <f t="shared" si="212"/>
        <v>1120</v>
      </c>
      <c r="DF203" s="29">
        <v>136</v>
      </c>
      <c r="DG203" s="1504">
        <v>40634</v>
      </c>
      <c r="DH203" s="19"/>
      <c r="DI203" s="93"/>
      <c r="DJ203" s="93"/>
      <c r="DK203" s="93"/>
      <c r="DL203" s="93"/>
      <c r="DM203" s="93"/>
      <c r="DN203" s="20"/>
      <c r="DO203" s="25"/>
      <c r="DP203" s="29">
        <v>136</v>
      </c>
      <c r="DQ203" s="1504">
        <v>40634</v>
      </c>
      <c r="DR203" s="19"/>
      <c r="DS203" s="93"/>
      <c r="DT203" s="93"/>
      <c r="DU203" s="93"/>
      <c r="DV203" s="93"/>
      <c r="DW203" s="93"/>
      <c r="DX203" s="20"/>
      <c r="DY203" s="29">
        <v>136</v>
      </c>
      <c r="DZ203" s="1504">
        <v>40634</v>
      </c>
      <c r="EA203" s="19"/>
      <c r="EB203" s="93"/>
      <c r="EC203" s="20"/>
      <c r="ED203" s="29">
        <v>136</v>
      </c>
      <c r="EE203" s="1504">
        <v>40634</v>
      </c>
      <c r="EF203" s="19"/>
      <c r="EG203" s="93"/>
      <c r="EH203" s="93"/>
      <c r="EI203" s="214"/>
      <c r="EJ203" s="93"/>
      <c r="EK203" s="93"/>
      <c r="EL203" s="93"/>
      <c r="EM203" s="93"/>
      <c r="EN203" s="20"/>
      <c r="EO203" s="29">
        <v>136</v>
      </c>
      <c r="EP203" s="1504">
        <v>40634</v>
      </c>
      <c r="EQ203" s="19"/>
      <c r="ER203" s="93"/>
      <c r="ES203" s="93"/>
      <c r="ET203" s="214"/>
      <c r="EU203" s="93"/>
      <c r="EV203" s="93"/>
      <c r="EW203" s="93"/>
      <c r="EX203" s="93"/>
      <c r="EY203" s="20"/>
      <c r="EZ203" s="29">
        <v>136</v>
      </c>
      <c r="FA203" s="1504">
        <v>40634</v>
      </c>
      <c r="FB203" s="29"/>
      <c r="FC203" s="29"/>
      <c r="FD203" s="29"/>
      <c r="FE203" s="29"/>
      <c r="FF203" s="29"/>
      <c r="FG203" s="29"/>
      <c r="FH203" s="29"/>
      <c r="FI203" s="29"/>
      <c r="FJ203" s="29"/>
      <c r="FK203" s="29">
        <v>136</v>
      </c>
      <c r="FL203" s="1504">
        <v>40634</v>
      </c>
      <c r="FM203" s="19">
        <v>101.24460424767584</v>
      </c>
      <c r="FN203" s="93">
        <v>107.17096243320297</v>
      </c>
      <c r="FO203" s="93">
        <v>99.308896361271366</v>
      </c>
      <c r="FP203" s="93">
        <v>100.35023403373967</v>
      </c>
      <c r="FQ203" s="93">
        <v>106.54019151029608</v>
      </c>
      <c r="FR203" s="93">
        <v>98.353954659778893</v>
      </c>
      <c r="FS203" s="93">
        <v>100.47265352146292</v>
      </c>
      <c r="FT203" s="93">
        <v>99.099955221905262</v>
      </c>
      <c r="FU203" s="93">
        <v>63.159628723266387</v>
      </c>
      <c r="FV203" s="93">
        <v>99.070986171933171</v>
      </c>
      <c r="FW203" s="93">
        <v>102.49285068203132</v>
      </c>
      <c r="FX203" s="93">
        <v>107.02721498801743</v>
      </c>
      <c r="FY203" s="93">
        <v>102.2280131538806</v>
      </c>
      <c r="FZ203" s="29">
        <v>136</v>
      </c>
      <c r="GA203" s="1504">
        <v>40634</v>
      </c>
      <c r="GB203" s="733">
        <v>101.24460424767584</v>
      </c>
      <c r="GC203" s="570">
        <v>103.55059703295358</v>
      </c>
      <c r="GD203" s="570">
        <v>99.757835251610217</v>
      </c>
      <c r="GE203" s="570">
        <v>112.58616354165272</v>
      </c>
      <c r="GF203" s="570">
        <v>106.41412686834349</v>
      </c>
      <c r="GG203" s="570">
        <v>98.881159406693001</v>
      </c>
      <c r="GH203" s="93"/>
      <c r="GI203" s="93"/>
      <c r="GJ203" s="93"/>
      <c r="GK203" s="93"/>
      <c r="GL203" s="93"/>
      <c r="GM203" s="93"/>
      <c r="GN203" s="20"/>
      <c r="GO203" s="29">
        <v>136</v>
      </c>
      <c r="GP203" s="1504">
        <v>40634</v>
      </c>
      <c r="GQ203" s="19"/>
      <c r="GR203" s="93"/>
      <c r="GS203" s="93"/>
      <c r="GT203" s="93"/>
      <c r="GU203" s="93"/>
      <c r="GV203" s="20"/>
      <c r="GW203" s="19"/>
      <c r="GX203" s="93"/>
      <c r="GY203" s="93"/>
      <c r="GZ203" s="93"/>
      <c r="HA203" s="93"/>
      <c r="HB203" s="20"/>
      <c r="HC203" s="19"/>
      <c r="HD203" s="93"/>
      <c r="HE203" s="93"/>
      <c r="HF203" s="93"/>
      <c r="HG203" s="93"/>
      <c r="HH203" s="20"/>
      <c r="HI203" s="19"/>
      <c r="HJ203" s="93"/>
      <c r="HK203" s="93"/>
      <c r="HL203" s="93"/>
      <c r="HM203" s="93"/>
      <c r="HN203" s="20"/>
      <c r="HO203" s="219"/>
      <c r="HP203" s="20"/>
      <c r="HQ203" s="25"/>
      <c r="HR203" s="29">
        <v>136</v>
      </c>
      <c r="HS203" s="1504">
        <v>40634</v>
      </c>
      <c r="HT203" s="179">
        <v>179.52302551269531</v>
      </c>
      <c r="HU203" s="99">
        <v>186.68791198730469</v>
      </c>
      <c r="HV203" s="99">
        <v>143.91673278808594</v>
      </c>
      <c r="HW203" s="99">
        <v>121.35923004150391</v>
      </c>
      <c r="HX203" s="99">
        <v>166.66667175292969</v>
      </c>
      <c r="HY203" s="99">
        <v>164.65863800048828</v>
      </c>
      <c r="HZ203" s="99">
        <v>213.41373825073242</v>
      </c>
      <c r="IA203" s="132">
        <v>156.45161437988281</v>
      </c>
      <c r="IB203" s="179">
        <v>234.74177551269531</v>
      </c>
      <c r="IC203" s="99">
        <v>130.71065521240234</v>
      </c>
      <c r="ID203" s="99"/>
      <c r="IE203" s="99">
        <v>118.27957153320313</v>
      </c>
      <c r="IF203" s="99">
        <v>171.875</v>
      </c>
      <c r="IG203" s="132">
        <v>126.94300842285156</v>
      </c>
      <c r="IH203" s="179">
        <v>123.11966991424561</v>
      </c>
      <c r="II203" s="99">
        <v>181.29531860351563</v>
      </c>
      <c r="IJ203" s="99">
        <v>127.60416412353516</v>
      </c>
      <c r="IK203" s="99">
        <v>133.92857360839844</v>
      </c>
      <c r="IL203" s="99">
        <v>125.63587493896485</v>
      </c>
      <c r="IM203" s="99">
        <v>137.90322875976563</v>
      </c>
      <c r="IN203" s="93"/>
      <c r="IO203" s="132">
        <v>148.58335113525391</v>
      </c>
      <c r="IP203" s="29">
        <v>136</v>
      </c>
      <c r="IQ203" s="19"/>
      <c r="IR203" s="93"/>
      <c r="IS203" s="93"/>
      <c r="IT203" s="93"/>
      <c r="IU203" s="93"/>
      <c r="IV203" s="20"/>
      <c r="IW203" s="29">
        <v>136</v>
      </c>
      <c r="IX203" s="19"/>
      <c r="IY203" s="93"/>
      <c r="IZ203" s="93"/>
      <c r="JA203" s="93"/>
      <c r="JB203" s="93"/>
      <c r="JC203" s="93"/>
      <c r="JD203" s="93"/>
      <c r="JE203" s="20"/>
      <c r="JF203" s="29">
        <v>136</v>
      </c>
      <c r="JG203" s="19"/>
      <c r="JH203" s="93"/>
      <c r="JI203" s="93"/>
      <c r="JJ203" s="93"/>
      <c r="JK203" s="93"/>
      <c r="JL203" s="93"/>
      <c r="JM203" s="93"/>
      <c r="JN203" s="20"/>
      <c r="JO203" s="29">
        <v>136</v>
      </c>
      <c r="JP203" s="19"/>
      <c r="JQ203" s="93"/>
      <c r="JR203" s="93"/>
      <c r="JS203" s="93"/>
      <c r="JT203" s="93"/>
      <c r="JU203" s="20"/>
      <c r="JV203" s="29">
        <v>136</v>
      </c>
      <c r="JW203" s="1504">
        <v>40634</v>
      </c>
      <c r="JX203" s="19"/>
      <c r="JY203" s="93"/>
      <c r="JZ203" s="93"/>
      <c r="KA203" s="93"/>
      <c r="KB203" s="93"/>
      <c r="KC203" s="93"/>
      <c r="KD203" s="20"/>
      <c r="KE203" s="29">
        <v>136</v>
      </c>
      <c r="KF203" s="19"/>
      <c r="KG203" s="93"/>
      <c r="KH203" s="93"/>
      <c r="KI203" s="93"/>
      <c r="KJ203" s="93"/>
      <c r="KK203" s="20"/>
      <c r="KL203" s="29">
        <v>136</v>
      </c>
      <c r="KM203" s="19"/>
      <c r="KN203" s="93"/>
      <c r="KO203" s="93"/>
      <c r="KP203" s="93"/>
      <c r="KQ203" s="93"/>
      <c r="KR203" s="20"/>
      <c r="KS203" s="29">
        <v>136</v>
      </c>
      <c r="KT203" s="19"/>
      <c r="KU203" s="93"/>
      <c r="KV203" s="93"/>
      <c r="KW203" s="93"/>
      <c r="KX203" s="93"/>
      <c r="KY203" s="20"/>
      <c r="KZ203" s="29">
        <v>136</v>
      </c>
      <c r="LA203" s="1504">
        <v>40634</v>
      </c>
      <c r="LB203" s="19">
        <v>510</v>
      </c>
      <c r="LC203" s="93">
        <v>740</v>
      </c>
      <c r="LD203" s="93">
        <v>732</v>
      </c>
      <c r="LE203" s="93"/>
      <c r="LF203" s="93">
        <v>656</v>
      </c>
      <c r="LG203" s="93"/>
      <c r="LH203" s="20"/>
      <c r="LI203" s="29">
        <v>136</v>
      </c>
      <c r="LJ203" s="19"/>
      <c r="LK203" s="93"/>
      <c r="LL203" s="93"/>
      <c r="LM203" s="93"/>
      <c r="LN203" s="93"/>
      <c r="LO203" s="20"/>
      <c r="LP203" s="29">
        <v>136</v>
      </c>
      <c r="LQ203" s="19"/>
      <c r="LR203" s="93"/>
      <c r="LS203" s="93"/>
      <c r="LT203" s="93"/>
      <c r="LU203" s="93"/>
      <c r="LV203" s="93"/>
      <c r="LW203" s="93"/>
      <c r="LX203" s="93"/>
      <c r="LY203" s="93"/>
      <c r="LZ203" s="93"/>
      <c r="MA203" s="20"/>
      <c r="MB203" s="29">
        <v>136</v>
      </c>
      <c r="MC203" s="1504">
        <v>40634</v>
      </c>
      <c r="MD203" s="93">
        <v>93065.423082000008</v>
      </c>
      <c r="ME203" s="93">
        <v>90208.221544</v>
      </c>
      <c r="MF203" s="93">
        <v>90208.215544000006</v>
      </c>
      <c r="MG203" s="93">
        <v>84378.271846000003</v>
      </c>
      <c r="MH203" s="93">
        <v>47251.641649999998</v>
      </c>
      <c r="MI203" s="93">
        <v>397.72856899999999</v>
      </c>
      <c r="MJ203" s="93">
        <v>345.26524499999999</v>
      </c>
      <c r="MK203" s="93">
        <v>27971.009909</v>
      </c>
      <c r="ML203" s="93">
        <v>7836.6818670000002</v>
      </c>
      <c r="MM203" s="93">
        <v>575.94460600000002</v>
      </c>
      <c r="MN203" s="93">
        <v>5829.9436980000009</v>
      </c>
      <c r="MO203" s="93">
        <v>317.96470300000004</v>
      </c>
      <c r="MP203" s="93">
        <v>1400.578289</v>
      </c>
      <c r="MQ203" s="93">
        <v>66.021496999999968</v>
      </c>
      <c r="MR203" s="93">
        <v>7.767405000000001</v>
      </c>
      <c r="MS203" s="93">
        <v>4037.6118040000006</v>
      </c>
      <c r="MT203" s="93">
        <v>6.0000000000000001E-3</v>
      </c>
      <c r="MU203" s="93">
        <v>2857.2015379999998</v>
      </c>
      <c r="MV203" s="93">
        <v>2857.2015379999998</v>
      </c>
      <c r="MW203" s="93">
        <v>0</v>
      </c>
      <c r="MX203" s="93">
        <v>66563.537440666652</v>
      </c>
      <c r="MY203" s="93">
        <v>67086.769086666653</v>
      </c>
      <c r="MZ203" s="93">
        <v>39098.997560666648</v>
      </c>
      <c r="NA203" s="93">
        <v>25601.061666666657</v>
      </c>
      <c r="NB203">
        <v>6836.5416979999991</v>
      </c>
      <c r="NC203">
        <v>2078.5351859999996</v>
      </c>
      <c r="ND203">
        <v>1132.0301529999999</v>
      </c>
      <c r="NE203">
        <v>946.50503299999991</v>
      </c>
      <c r="NF203">
        <v>4582.8590099999965</v>
      </c>
      <c r="NG203">
        <v>0</v>
      </c>
      <c r="NH203">
        <v>1477.3702489999998</v>
      </c>
      <c r="NI203">
        <v>50.569969</v>
      </c>
      <c r="NJ203">
        <v>0</v>
      </c>
      <c r="NK203">
        <v>27987.771526</v>
      </c>
      <c r="NL203">
        <v>18590.802838</v>
      </c>
      <c r="NM203">
        <v>44.567999999999998</v>
      </c>
      <c r="NN203">
        <v>9352.4006880000015</v>
      </c>
      <c r="NO203">
        <v>-523.23164599999859</v>
      </c>
      <c r="NP203">
        <v>26501.885641333349</v>
      </c>
      <c r="NQ203">
        <v>23644.684103333348</v>
      </c>
      <c r="NR203">
        <v>35075.619977333343</v>
      </c>
      <c r="NS203">
        <v>32997.084791333349</v>
      </c>
      <c r="NT203">
        <v>27231.274531333322</v>
      </c>
      <c r="NU203">
        <v>24374.072993333317</v>
      </c>
      <c r="NV203" s="93">
        <v>-10862.281929000001</v>
      </c>
      <c r="NW203" s="93">
        <v>5696.4194170000001</v>
      </c>
      <c r="NX203" s="93">
        <v>6495.1991500000004</v>
      </c>
      <c r="NY203" s="93">
        <v>-798.77973299999985</v>
      </c>
      <c r="NZ203" s="93">
        <v>0</v>
      </c>
      <c r="OA203" s="93">
        <v>-16558.701346000002</v>
      </c>
      <c r="OB203" s="93">
        <v>4224.5442370000001</v>
      </c>
      <c r="OC203" s="93">
        <v>-20783.245583</v>
      </c>
      <c r="OD203" s="20">
        <v>2.9802322387695313E-11</v>
      </c>
      <c r="OE203" s="29">
        <v>136</v>
      </c>
      <c r="OF203" s="1504">
        <v>40634</v>
      </c>
      <c r="OG203" s="19"/>
      <c r="OH203" s="93">
        <v>215.53477000000001</v>
      </c>
      <c r="OI203" s="93">
        <v>606.99119825142316</v>
      </c>
      <c r="OJ203" s="93">
        <v>1.094160963</v>
      </c>
      <c r="OK203" s="93">
        <v>526.94273728842313</v>
      </c>
      <c r="OL203" s="93">
        <v>78.954300000000003</v>
      </c>
      <c r="OM203" s="93">
        <v>822.52596825142314</v>
      </c>
      <c r="ON203" s="93">
        <v>574.49522751059817</v>
      </c>
      <c r="OO203" s="93">
        <v>1397.0211957620213</v>
      </c>
      <c r="OP203" s="93"/>
      <c r="OQ203" s="93">
        <v>671.67213317902383</v>
      </c>
      <c r="OR203" s="93">
        <v>301.03188418500008</v>
      </c>
      <c r="OS203" s="93">
        <v>370.64024899402386</v>
      </c>
      <c r="OT203" s="93">
        <v>922.54683439499729</v>
      </c>
      <c r="OU203" s="93">
        <v>-11.850844227000007</v>
      </c>
      <c r="OV203" s="93">
        <v>-5.3118442270000061</v>
      </c>
      <c r="OW203" s="93">
        <v>-6.5390000000000015</v>
      </c>
      <c r="OX203" s="93">
        <v>934.39767862199733</v>
      </c>
      <c r="OY203" s="93">
        <v>4.1079628169999998</v>
      </c>
      <c r="OZ203" s="93">
        <v>930.2897158049974</v>
      </c>
      <c r="PA203" s="93">
        <v>172.84986932799973</v>
      </c>
      <c r="PB203" s="93">
        <v>24.347902484000045</v>
      </c>
      <c r="PC203" s="20">
        <v>1397.0211957620211</v>
      </c>
      <c r="PD203" s="29">
        <v>136</v>
      </c>
      <c r="PE203" s="19"/>
      <c r="PF203" s="93">
        <v>301.03188418500008</v>
      </c>
      <c r="PG203" s="93">
        <v>528.38707126100007</v>
      </c>
      <c r="PH203" s="93">
        <v>227.35518707600002</v>
      </c>
      <c r="PI203" s="93">
        <v>98.828999999999994</v>
      </c>
      <c r="PJ203" s="93">
        <v>-1.9216142270000063</v>
      </c>
      <c r="PK203" s="93">
        <v>99.614755635999998</v>
      </c>
      <c r="PL203" s="93">
        <v>101.536369863</v>
      </c>
      <c r="PM203" s="93">
        <v>4.1079628169999998</v>
      </c>
      <c r="PN203" s="93">
        <v>1.1599999999999999</v>
      </c>
      <c r="PO203" s="93">
        <v>0</v>
      </c>
      <c r="PP203" s="93">
        <v>3.2018500000000001E-4</v>
      </c>
      <c r="PQ203" s="93">
        <v>2.947642632</v>
      </c>
      <c r="PR203" s="93">
        <v>399.56799740000002</v>
      </c>
      <c r="PS203" s="93">
        <v>253.87700000000001</v>
      </c>
      <c r="PT203" s="93">
        <v>144.59683643700001</v>
      </c>
      <c r="PU203" s="93">
        <v>1.094160963</v>
      </c>
      <c r="PV203" s="93">
        <v>0</v>
      </c>
      <c r="PW203" s="93">
        <v>0.29923697399999999</v>
      </c>
      <c r="PX203" s="93">
        <v>0</v>
      </c>
      <c r="PY203" s="93">
        <v>0</v>
      </c>
      <c r="PZ203" s="93">
        <v>0.29923697399999999</v>
      </c>
      <c r="QA203" s="93">
        <v>0</v>
      </c>
      <c r="QB203" s="93">
        <v>0</v>
      </c>
      <c r="QC203" s="93">
        <v>0</v>
      </c>
      <c r="QD203" s="93">
        <v>0.437632354</v>
      </c>
      <c r="QE203" s="20">
        <v>1.7423660470000053</v>
      </c>
      <c r="QF203" s="1739">
        <v>136</v>
      </c>
      <c r="QG203" s="19"/>
      <c r="QH203" s="1035">
        <v>370.64024899402386</v>
      </c>
      <c r="QI203" s="1035">
        <v>489.58928419500268</v>
      </c>
      <c r="QJ203" s="1035">
        <v>-118.9490352009788</v>
      </c>
      <c r="QK203" s="1035">
        <v>167.85399999999998</v>
      </c>
      <c r="QL203" s="1035">
        <v>34.951999999999998</v>
      </c>
      <c r="QM203" s="1035">
        <v>132.90199999999999</v>
      </c>
      <c r="QN203" s="1035">
        <v>0</v>
      </c>
      <c r="QO203" s="1035">
        <v>-6.5390000000000015</v>
      </c>
      <c r="QP203" s="1035">
        <v>103.131</v>
      </c>
      <c r="QQ203" s="1035">
        <v>-109.67</v>
      </c>
      <c r="QR203" s="1035">
        <v>930.2897158049974</v>
      </c>
      <c r="QS203" s="1035">
        <v>16.349212913662672</v>
      </c>
      <c r="QT203" s="1035">
        <v>0</v>
      </c>
      <c r="QU203" s="1035">
        <v>89.709000000000003</v>
      </c>
      <c r="QV203" s="1035">
        <v>824.23150289133469</v>
      </c>
      <c r="QW203" s="93"/>
      <c r="QX203" s="93">
        <v>112.155</v>
      </c>
      <c r="QY203" s="93">
        <v>526.94273728842302</v>
      </c>
      <c r="QZ203" s="93">
        <v>574.49522751059817</v>
      </c>
      <c r="RA203" s="93">
        <v>0</v>
      </c>
      <c r="RB203" s="93">
        <v>29.123999999999999</v>
      </c>
      <c r="RC203" s="93">
        <v>7.1790000000000003</v>
      </c>
      <c r="RD203" s="93">
        <v>8.7319999999999993</v>
      </c>
      <c r="RE203" s="93">
        <v>0</v>
      </c>
      <c r="RF203" s="93">
        <v>0</v>
      </c>
      <c r="RG203" s="93">
        <v>127.07799999999973</v>
      </c>
      <c r="RH203" s="93">
        <v>76.539000000000016</v>
      </c>
      <c r="RI203" s="93"/>
      <c r="RJ203" s="93"/>
      <c r="RK203" s="93"/>
      <c r="RL203" s="93"/>
      <c r="RM203" s="734"/>
      <c r="RN203" s="29">
        <v>136</v>
      </c>
      <c r="RO203" s="19">
        <v>44</v>
      </c>
      <c r="RP203" s="20"/>
      <c r="RQ203" s="29">
        <v>136</v>
      </c>
      <c r="RR203" s="734">
        <v>2.4982178999999998</v>
      </c>
      <c r="RS203" s="29">
        <v>136</v>
      </c>
      <c r="RT203" s="1504">
        <v>40634</v>
      </c>
      <c r="RU203" s="19"/>
      <c r="RV203" s="20"/>
      <c r="RW203" s="29">
        <v>136</v>
      </c>
      <c r="RX203" s="1504">
        <v>40634</v>
      </c>
      <c r="RY203" s="29"/>
      <c r="RZ203" s="734"/>
      <c r="SA203" s="29"/>
      <c r="SB203" s="29">
        <v>136</v>
      </c>
    </row>
    <row r="204" spans="1:496">
      <c r="A204" s="41">
        <f t="shared" si="208"/>
        <v>2011</v>
      </c>
      <c r="B204" s="1504">
        <v>40664</v>
      </c>
      <c r="C204" s="1813"/>
      <c r="D204" s="1814"/>
      <c r="E204" s="1814"/>
      <c r="F204" s="1815"/>
      <c r="G204" s="1814"/>
      <c r="H204" s="1814"/>
      <c r="I204" s="1814"/>
      <c r="J204" s="1816"/>
      <c r="K204" s="1807"/>
      <c r="L204" s="25">
        <v>137</v>
      </c>
      <c r="M204" s="97"/>
      <c r="N204" s="1504">
        <v>40664</v>
      </c>
      <c r="O204" s="19"/>
      <c r="P204" s="93"/>
      <c r="Q204" s="93"/>
      <c r="R204" s="93"/>
      <c r="S204" s="93"/>
      <c r="T204" s="93"/>
      <c r="U204" s="93"/>
      <c r="V204" s="93"/>
      <c r="W204" s="93"/>
      <c r="X204" s="93"/>
      <c r="Y204" s="93"/>
      <c r="Z204" s="93"/>
      <c r="AA204" s="93"/>
      <c r="AB204" s="20"/>
      <c r="AC204" s="25">
        <v>137</v>
      </c>
      <c r="AD204" s="97"/>
      <c r="AE204" s="1504">
        <v>40664</v>
      </c>
      <c r="AF204" s="19"/>
      <c r="AG204" s="93"/>
      <c r="AH204" s="93"/>
      <c r="AI204" s="93"/>
      <c r="AJ204" s="93"/>
      <c r="AK204" s="93"/>
      <c r="AL204" s="93"/>
      <c r="AM204" s="93"/>
      <c r="AN204" s="93"/>
      <c r="AO204" s="93"/>
      <c r="AP204" s="93"/>
      <c r="AQ204" s="93"/>
      <c r="AR204" s="93"/>
      <c r="AS204" s="20"/>
      <c r="AT204" s="25">
        <v>137</v>
      </c>
      <c r="AU204" s="97"/>
      <c r="AV204" s="1504">
        <v>40664</v>
      </c>
      <c r="AW204" s="19"/>
      <c r="AX204" s="93"/>
      <c r="AY204" s="93"/>
      <c r="AZ204" s="93"/>
      <c r="BA204" s="93"/>
      <c r="BB204" s="93"/>
      <c r="BC204" s="93"/>
      <c r="BD204" s="93"/>
      <c r="BE204" s="93"/>
      <c r="BF204" s="93"/>
      <c r="BG204" s="93"/>
      <c r="BH204" s="93"/>
      <c r="BI204" s="93"/>
      <c r="BJ204" s="20"/>
      <c r="BK204" s="25">
        <v>137</v>
      </c>
      <c r="BL204" s="97"/>
      <c r="BM204" s="1504">
        <v>40664</v>
      </c>
      <c r="BN204" s="19"/>
      <c r="BO204" s="93"/>
      <c r="BP204" s="93"/>
      <c r="BQ204" s="93"/>
      <c r="BR204" s="93"/>
      <c r="BS204" s="93"/>
      <c r="BT204" s="93"/>
      <c r="BU204" s="20"/>
      <c r="BV204" s="25">
        <v>137</v>
      </c>
      <c r="BW204" s="97"/>
      <c r="BX204" s="1504">
        <v>40664</v>
      </c>
      <c r="BY204" s="179">
        <v>457.15611201000002</v>
      </c>
      <c r="BZ204" s="99">
        <v>664.95699999999999</v>
      </c>
      <c r="CA204" s="93"/>
      <c r="CB204" s="93"/>
      <c r="CC204" s="99">
        <v>301.9828461030383</v>
      </c>
      <c r="CD204" s="25">
        <v>137</v>
      </c>
      <c r="CE204" s="97"/>
      <c r="CF204" s="1504">
        <v>40664</v>
      </c>
      <c r="CG204" s="179">
        <v>3.649087024</v>
      </c>
      <c r="CH204" s="99">
        <v>1512.58</v>
      </c>
      <c r="CI204" s="219"/>
      <c r="CJ204" s="20"/>
      <c r="CK204" s="19"/>
      <c r="CL204" s="93"/>
      <c r="CM204" s="93"/>
      <c r="CN204" s="93"/>
      <c r="CO204" s="93"/>
      <c r="CP204" s="20"/>
      <c r="CQ204" s="219">
        <v>1632.47</v>
      </c>
      <c r="CR204" s="93">
        <v>2.6160000000000001</v>
      </c>
      <c r="CS204" s="93"/>
      <c r="CT204" s="93"/>
      <c r="CU204" s="93"/>
      <c r="CV204" s="214"/>
      <c r="CW204" s="29">
        <v>137</v>
      </c>
      <c r="CX204" s="41">
        <f t="shared" si="209"/>
        <v>2011</v>
      </c>
      <c r="CY204" s="1504">
        <v>40664</v>
      </c>
      <c r="CZ204" s="1916">
        <v>77.850273908131811</v>
      </c>
      <c r="DA204" s="1526">
        <v>49.027967908131814</v>
      </c>
      <c r="DB204" s="1526">
        <v>28.822306000000001</v>
      </c>
      <c r="DC204" s="182">
        <f t="shared" si="210"/>
        <v>401476</v>
      </c>
      <c r="DD204" s="182">
        <f t="shared" si="211"/>
        <v>400356</v>
      </c>
      <c r="DE204" s="182">
        <f t="shared" si="212"/>
        <v>1120</v>
      </c>
      <c r="DF204" s="29">
        <v>137</v>
      </c>
      <c r="DG204" s="1504">
        <v>40664</v>
      </c>
      <c r="DH204" s="19"/>
      <c r="DI204" s="93"/>
      <c r="DJ204" s="93"/>
      <c r="DK204" s="93"/>
      <c r="DL204" s="93"/>
      <c r="DM204" s="93"/>
      <c r="DN204" s="20"/>
      <c r="DO204" s="25"/>
      <c r="DP204" s="29">
        <v>137</v>
      </c>
      <c r="DQ204" s="1504">
        <v>40664</v>
      </c>
      <c r="DR204" s="19"/>
      <c r="DS204" s="93"/>
      <c r="DT204" s="93"/>
      <c r="DU204" s="93"/>
      <c r="DV204" s="93"/>
      <c r="DW204" s="93"/>
      <c r="DX204" s="20"/>
      <c r="DY204" s="29">
        <v>137</v>
      </c>
      <c r="DZ204" s="1504">
        <v>40664</v>
      </c>
      <c r="EA204" s="19"/>
      <c r="EB204" s="93"/>
      <c r="EC204" s="20"/>
      <c r="ED204" s="29">
        <v>137</v>
      </c>
      <c r="EE204" s="1504">
        <v>40664</v>
      </c>
      <c r="EF204" s="19"/>
      <c r="EG204" s="93"/>
      <c r="EH204" s="93"/>
      <c r="EI204" s="214"/>
      <c r="EJ204" s="93"/>
      <c r="EK204" s="93"/>
      <c r="EL204" s="93"/>
      <c r="EM204" s="93"/>
      <c r="EN204" s="20"/>
      <c r="EO204" s="29">
        <v>137</v>
      </c>
      <c r="EP204" s="1504">
        <v>40664</v>
      </c>
      <c r="EQ204" s="19"/>
      <c r="ER204" s="93"/>
      <c r="ES204" s="93"/>
      <c r="ET204" s="214"/>
      <c r="EU204" s="93"/>
      <c r="EV204" s="93"/>
      <c r="EW204" s="93"/>
      <c r="EX204" s="93"/>
      <c r="EY204" s="20"/>
      <c r="EZ204" s="29">
        <v>137</v>
      </c>
      <c r="FA204" s="1504">
        <v>40664</v>
      </c>
      <c r="FB204" s="29"/>
      <c r="FC204" s="29"/>
      <c r="FD204" s="29"/>
      <c r="FE204" s="29"/>
      <c r="FF204" s="29"/>
      <c r="FG204" s="29"/>
      <c r="FH204" s="29"/>
      <c r="FI204" s="29"/>
      <c r="FJ204" s="29"/>
      <c r="FK204" s="29">
        <v>137</v>
      </c>
      <c r="FL204" s="1504">
        <v>40664</v>
      </c>
      <c r="FM204" s="19">
        <v>102.08158189385468</v>
      </c>
      <c r="FN204" s="93">
        <v>108.7767666686821</v>
      </c>
      <c r="FO204" s="93">
        <v>101.42387724413544</v>
      </c>
      <c r="FP204" s="93">
        <v>100.38259653044807</v>
      </c>
      <c r="FQ204" s="93">
        <v>106.78539140769368</v>
      </c>
      <c r="FR204" s="93">
        <v>98.359111968815569</v>
      </c>
      <c r="FS204" s="93">
        <v>100.47266741525053</v>
      </c>
      <c r="FT204" s="93">
        <v>99.119366731359449</v>
      </c>
      <c r="FU204" s="93">
        <v>63.665125864624372</v>
      </c>
      <c r="FV204" s="93">
        <v>99.070986171933171</v>
      </c>
      <c r="FW204" s="93">
        <v>102.49285068203132</v>
      </c>
      <c r="FX204" s="93">
        <v>108.54695715597934</v>
      </c>
      <c r="FY204" s="93">
        <v>102.32318777538225</v>
      </c>
      <c r="FZ204" s="29">
        <v>137</v>
      </c>
      <c r="GA204" s="1504">
        <v>40664</v>
      </c>
      <c r="GB204" s="733">
        <v>102.08158189385468</v>
      </c>
      <c r="GC204" s="570">
        <v>103.74353131400069</v>
      </c>
      <c r="GD204" s="570">
        <v>101.00780457684773</v>
      </c>
      <c r="GE204" s="570">
        <v>113.09516358061391</v>
      </c>
      <c r="GF204" s="570">
        <v>107.84636825085093</v>
      </c>
      <c r="GG204" s="570">
        <v>99.550237166320684</v>
      </c>
      <c r="GH204" s="93"/>
      <c r="GI204" s="93"/>
      <c r="GJ204" s="93"/>
      <c r="GK204" s="93"/>
      <c r="GL204" s="93"/>
      <c r="GM204" s="93"/>
      <c r="GN204" s="20"/>
      <c r="GO204" s="29">
        <v>137</v>
      </c>
      <c r="GP204" s="1504">
        <v>40664</v>
      </c>
      <c r="GQ204" s="19"/>
      <c r="GR204" s="93"/>
      <c r="GS204" s="93"/>
      <c r="GT204" s="93"/>
      <c r="GU204" s="93"/>
      <c r="GV204" s="20"/>
      <c r="GW204" s="19"/>
      <c r="GX204" s="93"/>
      <c r="GY204" s="93"/>
      <c r="GZ204" s="93"/>
      <c r="HA204" s="93"/>
      <c r="HB204" s="20"/>
      <c r="HC204" s="19"/>
      <c r="HD204" s="93"/>
      <c r="HE204" s="93"/>
      <c r="HF204" s="93"/>
      <c r="HG204" s="93"/>
      <c r="HH204" s="20"/>
      <c r="HI204" s="19"/>
      <c r="HJ204" s="93"/>
      <c r="HK204" s="93"/>
      <c r="HL204" s="93"/>
      <c r="HM204" s="93"/>
      <c r="HN204" s="20"/>
      <c r="HO204" s="219"/>
      <c r="HP204" s="20"/>
      <c r="HQ204" s="25"/>
      <c r="HR204" s="29">
        <v>137</v>
      </c>
      <c r="HS204" s="1504">
        <v>40664</v>
      </c>
      <c r="HT204" s="179">
        <v>192.66706085205078</v>
      </c>
      <c r="HU204" s="99">
        <v>181.29531860351563</v>
      </c>
      <c r="HV204" s="99">
        <v>149.30555419921876</v>
      </c>
      <c r="HW204" s="99">
        <v>121.35923004150391</v>
      </c>
      <c r="HX204" s="99">
        <v>161.61616516113281</v>
      </c>
      <c r="HY204" s="99">
        <v>164.65863800048828</v>
      </c>
      <c r="HZ204" s="99">
        <v>208.61513519287109</v>
      </c>
      <c r="IA204" s="132">
        <v>152.25806579589843</v>
      </c>
      <c r="IB204" s="179">
        <v>237.87166341145834</v>
      </c>
      <c r="IC204" s="99">
        <v>132.4873046875</v>
      </c>
      <c r="ID204" s="99"/>
      <c r="IE204" s="99">
        <v>116.93548583984375</v>
      </c>
      <c r="IF204" s="99">
        <v>181.640625</v>
      </c>
      <c r="IG204" s="132">
        <v>129.53367614746094</v>
      </c>
      <c r="IH204" s="179">
        <v>133.35704040527344</v>
      </c>
      <c r="II204" s="99">
        <v>181.29531860351563</v>
      </c>
      <c r="IJ204" s="99">
        <v>135.41666259765626</v>
      </c>
      <c r="IK204" s="99">
        <v>133.92857360839844</v>
      </c>
      <c r="IL204" s="99">
        <v>129.97824287414551</v>
      </c>
      <c r="IM204" s="99">
        <v>139.35484008789064</v>
      </c>
      <c r="IN204" s="93"/>
      <c r="IO204" s="132">
        <v>152.93937072753906</v>
      </c>
      <c r="IP204" s="29">
        <v>137</v>
      </c>
      <c r="IQ204" s="19"/>
      <c r="IR204" s="93"/>
      <c r="IS204" s="93"/>
      <c r="IT204" s="93"/>
      <c r="IU204" s="93"/>
      <c r="IV204" s="20"/>
      <c r="IW204" s="29">
        <v>137</v>
      </c>
      <c r="IX204" s="19"/>
      <c r="IY204" s="93"/>
      <c r="IZ204" s="93"/>
      <c r="JA204" s="93"/>
      <c r="JB204" s="93"/>
      <c r="JC204" s="93"/>
      <c r="JD204" s="93"/>
      <c r="JE204" s="20"/>
      <c r="JF204" s="29">
        <v>137</v>
      </c>
      <c r="JG204" s="19"/>
      <c r="JH204" s="93"/>
      <c r="JI204" s="93"/>
      <c r="JJ204" s="93"/>
      <c r="JK204" s="93"/>
      <c r="JL204" s="93"/>
      <c r="JM204" s="93"/>
      <c r="JN204" s="20"/>
      <c r="JO204" s="29">
        <v>137</v>
      </c>
      <c r="JP204" s="19"/>
      <c r="JQ204" s="93"/>
      <c r="JR204" s="93"/>
      <c r="JS204" s="93"/>
      <c r="JT204" s="93"/>
      <c r="JU204" s="20"/>
      <c r="JV204" s="29">
        <v>137</v>
      </c>
      <c r="JW204" s="1504">
        <v>40664</v>
      </c>
      <c r="JX204" s="19"/>
      <c r="JY204" s="93"/>
      <c r="JZ204" s="93"/>
      <c r="KA204" s="93"/>
      <c r="KB204" s="93"/>
      <c r="KC204" s="93"/>
      <c r="KD204" s="20"/>
      <c r="KE204" s="29">
        <v>137</v>
      </c>
      <c r="KF204" s="19"/>
      <c r="KG204" s="93"/>
      <c r="KH204" s="93"/>
      <c r="KI204" s="93"/>
      <c r="KJ204" s="93"/>
      <c r="KK204" s="20"/>
      <c r="KL204" s="29">
        <v>137</v>
      </c>
      <c r="KM204" s="19"/>
      <c r="KN204" s="93"/>
      <c r="KO204" s="93"/>
      <c r="KP204" s="93"/>
      <c r="KQ204" s="93"/>
      <c r="KR204" s="20"/>
      <c r="KS204" s="29">
        <v>137</v>
      </c>
      <c r="KT204" s="19"/>
      <c r="KU204" s="93"/>
      <c r="KV204" s="93"/>
      <c r="KW204" s="93"/>
      <c r="KX204" s="93"/>
      <c r="KY204" s="20"/>
      <c r="KZ204" s="29">
        <v>137</v>
      </c>
      <c r="LA204" s="1504">
        <v>40664</v>
      </c>
      <c r="LB204" s="19">
        <v>510</v>
      </c>
      <c r="LC204" s="93">
        <v>740</v>
      </c>
      <c r="LD204" s="93">
        <v>732</v>
      </c>
      <c r="LE204" s="93"/>
      <c r="LF204" s="93">
        <v>656</v>
      </c>
      <c r="LG204" s="93"/>
      <c r="LH204" s="20"/>
      <c r="LI204" s="29">
        <v>137</v>
      </c>
      <c r="LJ204" s="19"/>
      <c r="LK204" s="93"/>
      <c r="LL204" s="93"/>
      <c r="LM204" s="93"/>
      <c r="LN204" s="93"/>
      <c r="LO204" s="20"/>
      <c r="LP204" s="29">
        <v>137</v>
      </c>
      <c r="LQ204" s="19"/>
      <c r="LR204" s="93"/>
      <c r="LS204" s="93"/>
      <c r="LT204" s="93"/>
      <c r="LU204" s="93"/>
      <c r="LV204" s="93"/>
      <c r="LW204" s="93"/>
      <c r="LX204" s="93"/>
      <c r="LY204" s="93"/>
      <c r="LZ204" s="93"/>
      <c r="MA204" s="20"/>
      <c r="MB204" s="29">
        <v>137</v>
      </c>
      <c r="MC204" s="1504">
        <v>40664</v>
      </c>
      <c r="MD204" s="93">
        <v>96605.326320999986</v>
      </c>
      <c r="ME204" s="93">
        <v>67339.312043999991</v>
      </c>
      <c r="MF204" s="93">
        <v>67339.225043999992</v>
      </c>
      <c r="MG204" s="93">
        <v>60480.60042599999</v>
      </c>
      <c r="MH204" s="93">
        <v>22675.956489999997</v>
      </c>
      <c r="MI204" s="93">
        <v>375.93103300000001</v>
      </c>
      <c r="MJ204" s="93">
        <v>425.24639799999994</v>
      </c>
      <c r="MK204" s="93">
        <v>27955.679002000001</v>
      </c>
      <c r="ML204" s="93">
        <v>8641.2224049999986</v>
      </c>
      <c r="MM204" s="93">
        <v>406.56509800000003</v>
      </c>
      <c r="MN204" s="93">
        <v>6858.6246179999989</v>
      </c>
      <c r="MO204" s="93">
        <v>559.62686699999995</v>
      </c>
      <c r="MP204" s="93">
        <v>1797.8767179999998</v>
      </c>
      <c r="MQ204" s="93">
        <v>153.94965000000002</v>
      </c>
      <c r="MR204" s="93">
        <v>143.40609900000001</v>
      </c>
      <c r="MS204" s="93">
        <v>4203.7652840000001</v>
      </c>
      <c r="MT204" s="93">
        <v>8.6999999999999994E-2</v>
      </c>
      <c r="MU204" s="93">
        <v>29266.014277000002</v>
      </c>
      <c r="MV204" s="93">
        <v>29266.014277000002</v>
      </c>
      <c r="MW204" s="93">
        <v>0</v>
      </c>
      <c r="MX204" s="93">
        <v>135509.49709066664</v>
      </c>
      <c r="MY204" s="93">
        <v>136283.12472366667</v>
      </c>
      <c r="MZ204" s="93">
        <v>58276.414931666674</v>
      </c>
      <c r="NA204" s="93">
        <v>23126.05166666667</v>
      </c>
      <c r="NB204">
        <v>8028.7308909999992</v>
      </c>
      <c r="NC204">
        <v>5361.7242339999993</v>
      </c>
      <c r="ND204">
        <v>3141.9309519999993</v>
      </c>
      <c r="NE204">
        <v>2219.7932820000001</v>
      </c>
      <c r="NF204">
        <v>21759.908140000003</v>
      </c>
      <c r="NG204">
        <v>0</v>
      </c>
      <c r="NH204">
        <v>3226.9605370000004</v>
      </c>
      <c r="NI204">
        <v>12.880917</v>
      </c>
      <c r="NJ204">
        <v>54.604500000000002</v>
      </c>
      <c r="NK204">
        <v>78006.709792000009</v>
      </c>
      <c r="NL204">
        <v>36625.832135000004</v>
      </c>
      <c r="NM204">
        <v>561.79528700000003</v>
      </c>
      <c r="NN204">
        <v>40819.082370000004</v>
      </c>
      <c r="NO204">
        <v>-773.62763300000177</v>
      </c>
      <c r="NP204">
        <v>-38904.170769666671</v>
      </c>
      <c r="NQ204">
        <v>-68170.185046666666</v>
      </c>
      <c r="NR204">
        <v>-21989.378442666664</v>
      </c>
      <c r="NS204">
        <v>-27351.102676666662</v>
      </c>
      <c r="NT204">
        <v>-21964.569565666683</v>
      </c>
      <c r="NU204">
        <v>-51230.583842666681</v>
      </c>
      <c r="NV204" s="93">
        <v>-9348.2118020000053</v>
      </c>
      <c r="NW204" s="93">
        <v>9654.4900979999966</v>
      </c>
      <c r="NX204" s="93">
        <v>11553.068092999998</v>
      </c>
      <c r="NY204" s="93">
        <v>-1898.5779950000001</v>
      </c>
      <c r="NZ204" s="93">
        <v>0</v>
      </c>
      <c r="OA204" s="93">
        <v>-19002.701900000004</v>
      </c>
      <c r="OB204" s="93">
        <v>-37190.640519</v>
      </c>
      <c r="OC204" s="93">
        <v>18187.938619</v>
      </c>
      <c r="OD204" s="20">
        <v>0</v>
      </c>
      <c r="OE204" s="29">
        <v>137</v>
      </c>
      <c r="OF204" s="1504">
        <v>40664</v>
      </c>
      <c r="OG204" s="19"/>
      <c r="OH204" s="93">
        <v>202.60112999999998</v>
      </c>
      <c r="OI204" s="93">
        <v>576.71469267932707</v>
      </c>
      <c r="OJ204" s="93">
        <v>0.99269540700000003</v>
      </c>
      <c r="OK204" s="93">
        <v>495.27829727232705</v>
      </c>
      <c r="OL204" s="93">
        <v>80.443699999999993</v>
      </c>
      <c r="OM204" s="93">
        <v>779.31582267932708</v>
      </c>
      <c r="ON204" s="93">
        <v>582.87858725842398</v>
      </c>
      <c r="OO204" s="93">
        <v>1362.1944099377511</v>
      </c>
      <c r="OP204" s="93"/>
      <c r="OQ204" s="93">
        <v>665.68342182432104</v>
      </c>
      <c r="OR204" s="93">
        <v>281.64520311199999</v>
      </c>
      <c r="OS204" s="93">
        <v>384.03821871232117</v>
      </c>
      <c r="OT204" s="93">
        <v>868.56795000743</v>
      </c>
      <c r="OU204" s="93">
        <v>-49.535371933000022</v>
      </c>
      <c r="OV204" s="93">
        <v>-52.208371933000024</v>
      </c>
      <c r="OW204" s="93">
        <v>2.6730000000000018</v>
      </c>
      <c r="OX204" s="93">
        <v>918.10332194042996</v>
      </c>
      <c r="OY204" s="93">
        <v>4.2216561219999997</v>
      </c>
      <c r="OZ204" s="93">
        <v>913.88166581842995</v>
      </c>
      <c r="PA204" s="93">
        <v>174.08026464700001</v>
      </c>
      <c r="PB204" s="93">
        <v>-2.0233027529999816</v>
      </c>
      <c r="PC204" s="20">
        <v>1362.1944099377511</v>
      </c>
      <c r="PD204" s="29">
        <v>137</v>
      </c>
      <c r="PE204" s="19"/>
      <c r="PF204" s="93">
        <v>281.64520311199999</v>
      </c>
      <c r="PG204" s="93">
        <v>493.06407843099998</v>
      </c>
      <c r="PH204" s="93">
        <v>211.41887531900002</v>
      </c>
      <c r="PI204" s="93">
        <v>118.349</v>
      </c>
      <c r="PJ204" s="93">
        <v>-49.358401933000025</v>
      </c>
      <c r="PK204" s="93">
        <v>102.15295493399999</v>
      </c>
      <c r="PL204" s="93">
        <v>151.51135686700002</v>
      </c>
      <c r="PM204" s="93">
        <v>4.2216561219999997</v>
      </c>
      <c r="PN204" s="93">
        <v>1.1599999999999999</v>
      </c>
      <c r="PO204" s="93">
        <v>0</v>
      </c>
      <c r="PP204" s="93">
        <v>5.1648899999999997E-4</v>
      </c>
      <c r="PQ204" s="93">
        <v>3.0611396329999998</v>
      </c>
      <c r="PR204" s="93">
        <v>352.83334316899999</v>
      </c>
      <c r="PS204" s="93">
        <v>239.37309999999999</v>
      </c>
      <c r="PT204" s="93">
        <v>112.467547762</v>
      </c>
      <c r="PU204" s="93">
        <v>0.99269540700000003</v>
      </c>
      <c r="PV204" s="93">
        <v>0</v>
      </c>
      <c r="PW204" s="93">
        <v>0.63681396999999995</v>
      </c>
      <c r="PX204" s="93">
        <v>0</v>
      </c>
      <c r="PY204" s="93">
        <v>0</v>
      </c>
      <c r="PZ204" s="93">
        <v>0.63681396999999995</v>
      </c>
      <c r="QA204" s="93">
        <v>0</v>
      </c>
      <c r="QB204" s="93">
        <v>0</v>
      </c>
      <c r="QC204" s="93">
        <v>0</v>
      </c>
      <c r="QD204" s="93">
        <v>0.44645067700000002</v>
      </c>
      <c r="QE204" s="20">
        <v>0.94084948500000654</v>
      </c>
      <c r="QF204" s="1739">
        <v>137</v>
      </c>
      <c r="QG204" s="19"/>
      <c r="QH204" s="1035">
        <v>384.03821871232117</v>
      </c>
      <c r="QI204" s="1035">
        <v>501.27433418157005</v>
      </c>
      <c r="QJ204" s="1035">
        <v>-117.23611546924889</v>
      </c>
      <c r="QK204" s="1035">
        <v>136.91300000000001</v>
      </c>
      <c r="QL204" s="1035">
        <v>33.921999999999997</v>
      </c>
      <c r="QM204" s="1035">
        <v>102.991</v>
      </c>
      <c r="QN204" s="1035">
        <v>0</v>
      </c>
      <c r="QO204" s="1035">
        <v>2.6730000000000018</v>
      </c>
      <c r="QP204" s="1035">
        <v>115.892</v>
      </c>
      <c r="QQ204" s="1035">
        <v>-113.21899999999999</v>
      </c>
      <c r="QR204" s="1035">
        <v>913.88166581842995</v>
      </c>
      <c r="QS204" s="1035">
        <v>10.277084162696628</v>
      </c>
      <c r="QT204" s="1035">
        <v>0</v>
      </c>
      <c r="QU204" s="1035">
        <v>94.926000000000002</v>
      </c>
      <c r="QV204" s="1035">
        <v>808.6785816557333</v>
      </c>
      <c r="QW204" s="93"/>
      <c r="QX204" s="93">
        <v>88.694999999999993</v>
      </c>
      <c r="QY204" s="93">
        <v>495.27829727232705</v>
      </c>
      <c r="QZ204" s="93">
        <v>582.87858725842398</v>
      </c>
      <c r="RA204" s="93">
        <v>0</v>
      </c>
      <c r="RB204" s="93">
        <v>29.759999999999998</v>
      </c>
      <c r="RC204" s="93">
        <v>7.9700000000000006</v>
      </c>
      <c r="RD204" s="93">
        <v>7.9</v>
      </c>
      <c r="RE204" s="93">
        <v>0</v>
      </c>
      <c r="RF204" s="93">
        <v>0</v>
      </c>
      <c r="RG204" s="93">
        <v>127.367</v>
      </c>
      <c r="RH204" s="93">
        <v>97.657000000000025</v>
      </c>
      <c r="RI204" s="93"/>
      <c r="RJ204" s="93"/>
      <c r="RK204" s="93"/>
      <c r="RL204" s="93"/>
      <c r="RM204" s="734"/>
      <c r="RN204" s="29">
        <v>137</v>
      </c>
      <c r="RO204" s="19">
        <v>69</v>
      </c>
      <c r="RP204" s="20"/>
      <c r="RQ204" s="29">
        <v>137</v>
      </c>
      <c r="RR204" s="734">
        <v>2.4095060000000004</v>
      </c>
      <c r="RS204" s="29">
        <v>137</v>
      </c>
      <c r="RT204" s="1504">
        <v>40664</v>
      </c>
      <c r="RU204" s="19"/>
      <c r="RV204" s="20"/>
      <c r="RW204" s="29">
        <v>137</v>
      </c>
      <c r="RX204" s="1504">
        <v>40664</v>
      </c>
      <c r="RY204" s="29"/>
      <c r="RZ204" s="734"/>
      <c r="SA204" s="29"/>
      <c r="SB204" s="29">
        <v>137</v>
      </c>
    </row>
    <row r="205" spans="1:496">
      <c r="A205" s="41">
        <f t="shared" si="208"/>
        <v>2011</v>
      </c>
      <c r="B205" s="1504">
        <v>40695</v>
      </c>
      <c r="C205" s="1813"/>
      <c r="D205" s="1814"/>
      <c r="E205" s="1814"/>
      <c r="F205" s="1815"/>
      <c r="G205" s="1814"/>
      <c r="H205" s="1814"/>
      <c r="I205" s="1814"/>
      <c r="J205" s="1816"/>
      <c r="K205" s="1807"/>
      <c r="L205" s="25">
        <v>138</v>
      </c>
      <c r="M205" s="97"/>
      <c r="N205" s="1504">
        <v>40695</v>
      </c>
      <c r="O205" s="19"/>
      <c r="P205" s="93"/>
      <c r="Q205" s="93"/>
      <c r="R205" s="93"/>
      <c r="S205" s="93"/>
      <c r="T205" s="93"/>
      <c r="U205" s="93"/>
      <c r="V205" s="93"/>
      <c r="W205" s="93"/>
      <c r="X205" s="93"/>
      <c r="Y205" s="93"/>
      <c r="Z205" s="93"/>
      <c r="AA205" s="93"/>
      <c r="AB205" s="20"/>
      <c r="AC205" s="25">
        <v>138</v>
      </c>
      <c r="AD205" s="97"/>
      <c r="AE205" s="1504">
        <v>40695</v>
      </c>
      <c r="AF205" s="19"/>
      <c r="AG205" s="93"/>
      <c r="AH205" s="93"/>
      <c r="AI205" s="93"/>
      <c r="AJ205" s="93"/>
      <c r="AK205" s="93"/>
      <c r="AL205" s="93"/>
      <c r="AM205" s="93"/>
      <c r="AN205" s="93"/>
      <c r="AO205" s="93"/>
      <c r="AP205" s="93"/>
      <c r="AQ205" s="93"/>
      <c r="AR205" s="93"/>
      <c r="AS205" s="20"/>
      <c r="AT205" s="25">
        <v>138</v>
      </c>
      <c r="AU205" s="97"/>
      <c r="AV205" s="1504">
        <v>40695</v>
      </c>
      <c r="AW205" s="19"/>
      <c r="AX205" s="93"/>
      <c r="AY205" s="93"/>
      <c r="AZ205" s="93"/>
      <c r="BA205" s="93"/>
      <c r="BB205" s="93"/>
      <c r="BC205" s="93"/>
      <c r="BD205" s="93"/>
      <c r="BE205" s="93"/>
      <c r="BF205" s="93"/>
      <c r="BG205" s="93"/>
      <c r="BH205" s="93"/>
      <c r="BI205" s="93"/>
      <c r="BJ205" s="20"/>
      <c r="BK205" s="25">
        <v>138</v>
      </c>
      <c r="BL205" s="97"/>
      <c r="BM205" s="1504">
        <v>40695</v>
      </c>
      <c r="BN205" s="19"/>
      <c r="BO205" s="93"/>
      <c r="BP205" s="93"/>
      <c r="BQ205" s="93"/>
      <c r="BR205" s="93"/>
      <c r="BS205" s="93"/>
      <c r="BT205" s="93"/>
      <c r="BU205" s="20"/>
      <c r="BV205" s="25">
        <v>138</v>
      </c>
      <c r="BW205" s="97"/>
      <c r="BX205" s="1504">
        <v>40695</v>
      </c>
      <c r="BY205" s="179">
        <v>455.89011499999998</v>
      </c>
      <c r="BZ205" s="99">
        <v>664.95699999999999</v>
      </c>
      <c r="CA205" s="93"/>
      <c r="CB205" s="93"/>
      <c r="CC205" s="99">
        <v>303.09502200151422</v>
      </c>
      <c r="CD205" s="25">
        <v>138</v>
      </c>
      <c r="CE205" s="97"/>
      <c r="CF205" s="1504">
        <v>40695</v>
      </c>
      <c r="CG205" s="179">
        <v>3.1775188060000001</v>
      </c>
      <c r="CH205" s="99">
        <v>1529.36</v>
      </c>
      <c r="CI205" s="219"/>
      <c r="CJ205" s="20"/>
      <c r="CK205" s="19"/>
      <c r="CL205" s="93"/>
      <c r="CM205" s="93"/>
      <c r="CN205" s="93"/>
      <c r="CO205" s="93"/>
      <c r="CP205" s="20"/>
      <c r="CQ205" s="219">
        <v>1700.57</v>
      </c>
      <c r="CR205" s="93">
        <v>2.7075</v>
      </c>
      <c r="CS205" s="93"/>
      <c r="CT205" s="93"/>
      <c r="CU205" s="93"/>
      <c r="CV205" s="214"/>
      <c r="CW205" s="29">
        <v>138</v>
      </c>
      <c r="CX205" s="41">
        <f t="shared" si="209"/>
        <v>2011</v>
      </c>
      <c r="CY205" s="1504">
        <v>40695</v>
      </c>
      <c r="CZ205" s="1916">
        <v>82.096999419190183</v>
      </c>
      <c r="DA205" s="1526">
        <v>52.349558419190188</v>
      </c>
      <c r="DB205" s="1526">
        <v>29.747440999999998</v>
      </c>
      <c r="DC205" s="182">
        <f t="shared" si="210"/>
        <v>401476</v>
      </c>
      <c r="DD205" s="182">
        <f t="shared" si="211"/>
        <v>400356</v>
      </c>
      <c r="DE205" s="182">
        <f t="shared" si="212"/>
        <v>1120</v>
      </c>
      <c r="DF205" s="29">
        <v>138</v>
      </c>
      <c r="DG205" s="1504">
        <v>40695</v>
      </c>
      <c r="DH205" s="19"/>
      <c r="DI205" s="93"/>
      <c r="DJ205" s="93"/>
      <c r="DK205" s="93"/>
      <c r="DL205" s="93"/>
      <c r="DM205" s="93"/>
      <c r="DN205" s="20"/>
      <c r="DO205" s="25"/>
      <c r="DP205" s="29">
        <v>138</v>
      </c>
      <c r="DQ205" s="1504">
        <v>40695</v>
      </c>
      <c r="DR205" s="19"/>
      <c r="DS205" s="93"/>
      <c r="DT205" s="93"/>
      <c r="DU205" s="93"/>
      <c r="DV205" s="93"/>
      <c r="DW205" s="93"/>
      <c r="DX205" s="20"/>
      <c r="DY205" s="29">
        <v>138</v>
      </c>
      <c r="DZ205" s="1504">
        <v>40695</v>
      </c>
      <c r="EA205" s="19"/>
      <c r="EB205" s="93"/>
      <c r="EC205" s="20"/>
      <c r="ED205" s="29">
        <v>138</v>
      </c>
      <c r="EE205" s="1504">
        <v>40695</v>
      </c>
      <c r="EF205" s="19"/>
      <c r="EG205" s="93"/>
      <c r="EH205" s="93"/>
      <c r="EI205" s="214"/>
      <c r="EJ205" s="93"/>
      <c r="EK205" s="93"/>
      <c r="EL205" s="93"/>
      <c r="EM205" s="93"/>
      <c r="EN205" s="20"/>
      <c r="EO205" s="29">
        <v>138</v>
      </c>
      <c r="EP205" s="1504">
        <v>40695</v>
      </c>
      <c r="EQ205" s="19"/>
      <c r="ER205" s="93"/>
      <c r="ES205" s="93"/>
      <c r="ET205" s="214"/>
      <c r="EU205" s="93"/>
      <c r="EV205" s="93"/>
      <c r="EW205" s="93"/>
      <c r="EX205" s="93"/>
      <c r="EY205" s="20"/>
      <c r="EZ205" s="29">
        <v>138</v>
      </c>
      <c r="FA205" s="1504">
        <v>40695</v>
      </c>
      <c r="FB205" s="29"/>
      <c r="FC205" s="29"/>
      <c r="FD205" s="29"/>
      <c r="FE205" s="29"/>
      <c r="FF205" s="29"/>
      <c r="FG205" s="29"/>
      <c r="FH205" s="29"/>
      <c r="FI205" s="29"/>
      <c r="FJ205" s="29"/>
      <c r="FK205" s="29">
        <v>138</v>
      </c>
      <c r="FL205" s="1504">
        <v>40695</v>
      </c>
      <c r="FM205" s="19">
        <v>103.52227800425638</v>
      </c>
      <c r="FN205" s="93">
        <v>112.49491633606932</v>
      </c>
      <c r="FO205" s="93">
        <v>101.92875236235342</v>
      </c>
      <c r="FP205" s="93">
        <v>100.38259653044807</v>
      </c>
      <c r="FQ205" s="93">
        <v>108.70322503750343</v>
      </c>
      <c r="FR205" s="93">
        <v>98.391406284215762</v>
      </c>
      <c r="FS205" s="93">
        <v>100.4614284323489</v>
      </c>
      <c r="FT205" s="93">
        <v>99.140623737461667</v>
      </c>
      <c r="FU205" s="93">
        <v>60.345653255666356</v>
      </c>
      <c r="FV205" s="93">
        <v>99.070986171933171</v>
      </c>
      <c r="FW205" s="93">
        <v>102.49285068203132</v>
      </c>
      <c r="FX205" s="93">
        <v>109.8988231025893</v>
      </c>
      <c r="FY205" s="93">
        <v>102.1286028502979</v>
      </c>
      <c r="FZ205" s="29">
        <v>138</v>
      </c>
      <c r="GA205" s="1504">
        <v>40695</v>
      </c>
      <c r="GB205" s="733">
        <v>103.52227800425638</v>
      </c>
      <c r="GC205" s="570">
        <v>103.77961241688035</v>
      </c>
      <c r="GD205" s="570">
        <v>103.35624616273273</v>
      </c>
      <c r="GE205" s="570">
        <v>117.07631284965838</v>
      </c>
      <c r="GF205" s="570">
        <v>113.10216994366615</v>
      </c>
      <c r="GG205" s="570">
        <v>99.616599152215912</v>
      </c>
      <c r="GH205" s="93"/>
      <c r="GI205" s="93"/>
      <c r="GJ205" s="93"/>
      <c r="GK205" s="93"/>
      <c r="GL205" s="93"/>
      <c r="GM205" s="93"/>
      <c r="GN205" s="20"/>
      <c r="GO205" s="29">
        <v>138</v>
      </c>
      <c r="GP205" s="1504">
        <v>40695</v>
      </c>
      <c r="GQ205" s="19"/>
      <c r="GR205" s="93"/>
      <c r="GS205" s="93"/>
      <c r="GT205" s="93"/>
      <c r="GU205" s="93"/>
      <c r="GV205" s="20"/>
      <c r="GW205" s="19"/>
      <c r="GX205" s="93"/>
      <c r="GY205" s="93"/>
      <c r="GZ205" s="93"/>
      <c r="HA205" s="93"/>
      <c r="HB205" s="20"/>
      <c r="HC205" s="19"/>
      <c r="HD205" s="93"/>
      <c r="HE205" s="93"/>
      <c r="HF205" s="93"/>
      <c r="HG205" s="93"/>
      <c r="HH205" s="20"/>
      <c r="HI205" s="19"/>
      <c r="HJ205" s="93"/>
      <c r="HK205" s="93"/>
      <c r="HL205" s="93"/>
      <c r="HM205" s="93"/>
      <c r="HN205" s="20"/>
      <c r="HO205" s="219"/>
      <c r="HP205" s="20"/>
      <c r="HQ205" s="25"/>
      <c r="HR205" s="29">
        <v>138</v>
      </c>
      <c r="HS205" s="1504">
        <v>40695</v>
      </c>
      <c r="HT205" s="179">
        <v>189.51560020446777</v>
      </c>
      <c r="HU205" s="99">
        <v>190.97222137451172</v>
      </c>
      <c r="HV205" s="99">
        <v>145.3993034362793</v>
      </c>
      <c r="HW205" s="99">
        <v>113.26861317952473</v>
      </c>
      <c r="HX205" s="99">
        <v>160.60606384277344</v>
      </c>
      <c r="HY205" s="99">
        <v>165.65041351318359</v>
      </c>
      <c r="HZ205" s="99">
        <v>213.69624710083008</v>
      </c>
      <c r="IA205" s="132">
        <v>158.46774291992188</v>
      </c>
      <c r="IB205" s="179">
        <v>192.614013671875</v>
      </c>
      <c r="IC205" s="99">
        <v>129.44161987304688</v>
      </c>
      <c r="ID205" s="99"/>
      <c r="IE205" s="99">
        <v>123.80086708068848</v>
      </c>
      <c r="IF205" s="99">
        <v>203.125</v>
      </c>
      <c r="IG205" s="132">
        <v>127.59067344665527</v>
      </c>
      <c r="IH205" s="179">
        <v>133.72425842285156</v>
      </c>
      <c r="II205" s="99">
        <v>181.29531860351563</v>
      </c>
      <c r="IJ205" s="99">
        <v>143.22916412353516</v>
      </c>
      <c r="IK205" s="99">
        <v>141.07143249511719</v>
      </c>
      <c r="IL205" s="99">
        <v>133.59688282012939</v>
      </c>
      <c r="IM205" s="99">
        <v>149.36102294921875</v>
      </c>
      <c r="IN205" s="93"/>
      <c r="IO205" s="132">
        <v>155.55459403991699</v>
      </c>
      <c r="IP205" s="29">
        <v>138</v>
      </c>
      <c r="IQ205" s="19"/>
      <c r="IR205" s="93"/>
      <c r="IS205" s="93"/>
      <c r="IT205" s="93"/>
      <c r="IU205" s="93"/>
      <c r="IV205" s="20"/>
      <c r="IW205" s="29">
        <v>138</v>
      </c>
      <c r="IX205" s="19"/>
      <c r="IY205" s="93"/>
      <c r="IZ205" s="93"/>
      <c r="JA205" s="93"/>
      <c r="JB205" s="93"/>
      <c r="JC205" s="93"/>
      <c r="JD205" s="93"/>
      <c r="JE205" s="20"/>
      <c r="JF205" s="29">
        <v>138</v>
      </c>
      <c r="JG205" s="19"/>
      <c r="JH205" s="93"/>
      <c r="JI205" s="93"/>
      <c r="JJ205" s="93"/>
      <c r="JK205" s="93"/>
      <c r="JL205" s="93"/>
      <c r="JM205" s="93"/>
      <c r="JN205" s="20"/>
      <c r="JO205" s="29">
        <v>138</v>
      </c>
      <c r="JP205" s="19"/>
      <c r="JQ205" s="93"/>
      <c r="JR205" s="93"/>
      <c r="JS205" s="93"/>
      <c r="JT205" s="93"/>
      <c r="JU205" s="20"/>
      <c r="JV205" s="29">
        <v>138</v>
      </c>
      <c r="JW205" s="1504">
        <v>40695</v>
      </c>
      <c r="JX205" s="19"/>
      <c r="JY205" s="93"/>
      <c r="JZ205" s="93"/>
      <c r="KA205" s="93"/>
      <c r="KB205" s="93"/>
      <c r="KC205" s="93"/>
      <c r="KD205" s="20"/>
      <c r="KE205" s="29">
        <v>138</v>
      </c>
      <c r="KF205" s="19"/>
      <c r="KG205" s="93"/>
      <c r="KH205" s="93"/>
      <c r="KI205" s="93"/>
      <c r="KJ205" s="93"/>
      <c r="KK205" s="20"/>
      <c r="KL205" s="29">
        <v>138</v>
      </c>
      <c r="KM205" s="19"/>
      <c r="KN205" s="93"/>
      <c r="KO205" s="93"/>
      <c r="KP205" s="93"/>
      <c r="KQ205" s="93"/>
      <c r="KR205" s="20"/>
      <c r="KS205" s="29">
        <v>138</v>
      </c>
      <c r="KT205" s="19"/>
      <c r="KU205" s="93"/>
      <c r="KV205" s="93"/>
      <c r="KW205" s="93"/>
      <c r="KX205" s="93"/>
      <c r="KY205" s="20"/>
      <c r="KZ205" s="29">
        <v>138</v>
      </c>
      <c r="LA205" s="1504">
        <v>40695</v>
      </c>
      <c r="LB205" s="19">
        <v>510</v>
      </c>
      <c r="LC205" s="93">
        <v>740</v>
      </c>
      <c r="LD205" s="93">
        <v>732</v>
      </c>
      <c r="LE205" s="93"/>
      <c r="LF205" s="93">
        <v>656</v>
      </c>
      <c r="LG205" s="93"/>
      <c r="LH205" s="20"/>
      <c r="LI205" s="29">
        <v>138</v>
      </c>
      <c r="LJ205" s="19"/>
      <c r="LK205" s="93"/>
      <c r="LL205" s="93"/>
      <c r="LM205" s="93"/>
      <c r="LN205" s="93"/>
      <c r="LO205" s="20"/>
      <c r="LP205" s="29">
        <v>138</v>
      </c>
      <c r="LQ205" s="19"/>
      <c r="LR205" s="93"/>
      <c r="LS205" s="93"/>
      <c r="LT205" s="93"/>
      <c r="LU205" s="93"/>
      <c r="LV205" s="93"/>
      <c r="LW205" s="93"/>
      <c r="LX205" s="93"/>
      <c r="LY205" s="93"/>
      <c r="LZ205" s="93"/>
      <c r="MA205" s="20"/>
      <c r="MB205" s="29">
        <v>138</v>
      </c>
      <c r="MC205" s="1504">
        <v>40695</v>
      </c>
      <c r="MD205" s="93">
        <v>70712.341431000008</v>
      </c>
      <c r="ME205" s="93">
        <v>65882.404074000005</v>
      </c>
      <c r="MF205" s="93">
        <v>65882.312002999999</v>
      </c>
      <c r="MG205" s="93">
        <v>59186.879205000005</v>
      </c>
      <c r="MH205" s="93">
        <v>13882.024212999999</v>
      </c>
      <c r="MI205" s="93">
        <v>432.362146</v>
      </c>
      <c r="MJ205" s="93">
        <v>463.48037800000003</v>
      </c>
      <c r="MK205" s="93">
        <v>34132.816993</v>
      </c>
      <c r="ML205" s="93">
        <v>9831.3109900000018</v>
      </c>
      <c r="MM205" s="93">
        <v>444.88448499999998</v>
      </c>
      <c r="MN205" s="93">
        <v>6695.4327980000007</v>
      </c>
      <c r="MO205" s="93">
        <v>934.55787100000009</v>
      </c>
      <c r="MP205" s="93">
        <v>1044.714285</v>
      </c>
      <c r="MQ205" s="93">
        <v>301.99255800000003</v>
      </c>
      <c r="MR205" s="93">
        <v>883.38943200000006</v>
      </c>
      <c r="MS205" s="93">
        <v>3530.778652</v>
      </c>
      <c r="MT205" s="93">
        <v>9.2071E-2</v>
      </c>
      <c r="MU205" s="93">
        <v>4829.9373569999998</v>
      </c>
      <c r="MV205" s="93">
        <v>2140.5136499999999</v>
      </c>
      <c r="MW205" s="93">
        <v>2689.4237069999999</v>
      </c>
      <c r="MX205" s="93">
        <v>59102.642148666659</v>
      </c>
      <c r="MY205" s="93">
        <v>59942.92408966666</v>
      </c>
      <c r="MZ205" s="93">
        <v>42618.761345666666</v>
      </c>
      <c r="NA205" s="93">
        <v>17839.800807666674</v>
      </c>
      <c r="NB205">
        <v>6817.7087389999997</v>
      </c>
      <c r="NC205">
        <v>3967.695984</v>
      </c>
      <c r="ND205">
        <v>2562.3363480000003</v>
      </c>
      <c r="NE205">
        <v>1405.3596359999999</v>
      </c>
      <c r="NF205">
        <v>13993.555814999996</v>
      </c>
      <c r="NG205">
        <v>7.1036000000005588</v>
      </c>
      <c r="NH205">
        <v>1428.9889450000003</v>
      </c>
      <c r="NI205">
        <v>34.557859999999998</v>
      </c>
      <c r="NJ205">
        <v>1413.3698319999999</v>
      </c>
      <c r="NK205">
        <v>17324.162743999987</v>
      </c>
      <c r="NL205">
        <v>6445.8248609999864</v>
      </c>
      <c r="NM205">
        <v>112</v>
      </c>
      <c r="NN205">
        <v>10766.337883000002</v>
      </c>
      <c r="NO205">
        <v>-840.28194099999962</v>
      </c>
      <c r="NP205">
        <v>11609.699282333351</v>
      </c>
      <c r="NQ205">
        <v>6779.7619253333505</v>
      </c>
      <c r="NR205">
        <v>21513.795792333349</v>
      </c>
      <c r="NS205">
        <v>17546.099808333351</v>
      </c>
      <c r="NT205">
        <v>-19597.898448666652</v>
      </c>
      <c r="NU205">
        <v>-24427.835805666651</v>
      </c>
      <c r="NV205" s="93">
        <v>16463.786193999993</v>
      </c>
      <c r="NW205" s="93">
        <v>5577.0820660000018</v>
      </c>
      <c r="NX205" s="93">
        <v>8625.8242330000012</v>
      </c>
      <c r="NY205" s="93">
        <v>-3048.7421669999999</v>
      </c>
      <c r="NZ205" s="93">
        <v>0</v>
      </c>
      <c r="OA205" s="93">
        <v>10886.70412799999</v>
      </c>
      <c r="OB205" s="93">
        <v>28556.532443999989</v>
      </c>
      <c r="OC205" s="93">
        <v>-17669.828315999999</v>
      </c>
      <c r="OD205" s="20">
        <v>-9.3132257461547854E-12</v>
      </c>
      <c r="OE205" s="29">
        <v>138</v>
      </c>
      <c r="OF205" s="1504">
        <v>40695</v>
      </c>
      <c r="OG205" s="19"/>
      <c r="OH205" s="93">
        <v>181.58459999999999</v>
      </c>
      <c r="OI205" s="93">
        <v>575.7790209249257</v>
      </c>
      <c r="OJ205" s="93">
        <v>0.81703133900000002</v>
      </c>
      <c r="OK205" s="93">
        <v>495.5709895859257</v>
      </c>
      <c r="OL205" s="93">
        <v>79.391000000000005</v>
      </c>
      <c r="OM205" s="93">
        <v>757.36362092492573</v>
      </c>
      <c r="ON205" s="93">
        <v>605.3634101828726</v>
      </c>
      <c r="OO205" s="93">
        <v>1362.7270311077982</v>
      </c>
      <c r="OP205" s="93"/>
      <c r="OQ205" s="93">
        <v>595.96936210529122</v>
      </c>
      <c r="OR205" s="93">
        <v>248.68278401600006</v>
      </c>
      <c r="OS205" s="93">
        <v>347.28657808929108</v>
      </c>
      <c r="OT205" s="93">
        <v>954.35864958350737</v>
      </c>
      <c r="OU205" s="93">
        <v>-4.5387171319999862</v>
      </c>
      <c r="OV205" s="93">
        <v>-10.310717131999992</v>
      </c>
      <c r="OW205" s="93">
        <v>5.7720000000000056</v>
      </c>
      <c r="OX205" s="93">
        <v>958.89736671550736</v>
      </c>
      <c r="OY205" s="93">
        <v>4.0045450360000006</v>
      </c>
      <c r="OZ205" s="93">
        <v>954.89282167950739</v>
      </c>
      <c r="PA205" s="93">
        <v>186.91176917899998</v>
      </c>
      <c r="PB205" s="93">
        <v>0.68921140199999797</v>
      </c>
      <c r="PC205" s="20">
        <v>1362.7270311077987</v>
      </c>
      <c r="PD205" s="29">
        <v>138</v>
      </c>
      <c r="PE205" s="19"/>
      <c r="PF205" s="93">
        <v>248.68278401600006</v>
      </c>
      <c r="PG205" s="93">
        <v>500.01709243400006</v>
      </c>
      <c r="PH205" s="93">
        <v>251.33430841800001</v>
      </c>
      <c r="PI205" s="93">
        <v>106.11</v>
      </c>
      <c r="PJ205" s="93">
        <v>-2.2901171319999918</v>
      </c>
      <c r="PK205" s="93">
        <v>102.176840603</v>
      </c>
      <c r="PL205" s="93">
        <v>104.46695773499999</v>
      </c>
      <c r="PM205" s="93">
        <v>4.0045450360000006</v>
      </c>
      <c r="PN205" s="93">
        <v>0.85</v>
      </c>
      <c r="PO205" s="93">
        <v>0</v>
      </c>
      <c r="PP205" s="93">
        <v>4.4983300000000001E-4</v>
      </c>
      <c r="PQ205" s="93">
        <v>3.1540952030000002</v>
      </c>
      <c r="PR205" s="93">
        <v>359.64881432799996</v>
      </c>
      <c r="PS205" s="93">
        <v>222.34819999999999</v>
      </c>
      <c r="PT205" s="93">
        <v>136.48358298900001</v>
      </c>
      <c r="PU205" s="93">
        <v>0.81703133900000002</v>
      </c>
      <c r="PV205" s="93">
        <v>0</v>
      </c>
      <c r="PW205" s="93">
        <v>1.009505039</v>
      </c>
      <c r="PX205" s="93">
        <v>0</v>
      </c>
      <c r="PY205" s="93">
        <v>0</v>
      </c>
      <c r="PZ205" s="93">
        <v>1.009505039</v>
      </c>
      <c r="QA205" s="93">
        <v>0</v>
      </c>
      <c r="QB205" s="93">
        <v>0</v>
      </c>
      <c r="QC205" s="93">
        <v>0</v>
      </c>
      <c r="QD205" s="93">
        <v>0.44426413999999997</v>
      </c>
      <c r="QE205" s="20">
        <v>-4.5953715869999954</v>
      </c>
      <c r="QF205" s="1739">
        <v>138</v>
      </c>
      <c r="QG205" s="19"/>
      <c r="QH205" s="1035">
        <v>347.28657808929108</v>
      </c>
      <c r="QI205" s="1035">
        <v>455.1471783204928</v>
      </c>
      <c r="QJ205" s="1035">
        <v>-107.86060023120172</v>
      </c>
      <c r="QK205" s="1035">
        <v>163.017</v>
      </c>
      <c r="QL205" s="1035">
        <v>32.743000000000002</v>
      </c>
      <c r="QM205" s="1035">
        <v>130.274</v>
      </c>
      <c r="QN205" s="1035">
        <v>0</v>
      </c>
      <c r="QO205" s="1035">
        <v>5.7720000000000056</v>
      </c>
      <c r="QP205" s="1035">
        <v>114.116</v>
      </c>
      <c r="QQ205" s="1035">
        <v>-108.34399999999999</v>
      </c>
      <c r="QR205" s="1035">
        <v>954.89282167950739</v>
      </c>
      <c r="QS205" s="1035">
        <v>10.824473496292908</v>
      </c>
      <c r="QT205" s="1035">
        <v>0</v>
      </c>
      <c r="QU205" s="1035">
        <v>72.352000000000004</v>
      </c>
      <c r="QV205" s="1035">
        <v>871.71634818321445</v>
      </c>
      <c r="QW205" s="93"/>
      <c r="QX205" s="93">
        <v>106.21</v>
      </c>
      <c r="QY205" s="93">
        <v>495.5709895859257</v>
      </c>
      <c r="QZ205" s="93">
        <v>605.3634101828726</v>
      </c>
      <c r="RA205" s="93">
        <v>0</v>
      </c>
      <c r="RB205" s="93">
        <v>27.562000000000001</v>
      </c>
      <c r="RC205" s="93">
        <v>7.3330000000000002</v>
      </c>
      <c r="RD205" s="93">
        <v>11.656000000000001</v>
      </c>
      <c r="RE205" s="93">
        <v>0</v>
      </c>
      <c r="RF205" s="93">
        <v>0</v>
      </c>
      <c r="RG205" s="93">
        <v>138.90699999999998</v>
      </c>
      <c r="RH205" s="93">
        <v>78.366</v>
      </c>
      <c r="RI205" s="93"/>
      <c r="RJ205" s="93"/>
      <c r="RK205" s="93"/>
      <c r="RL205" s="93"/>
      <c r="RM205" s="734"/>
      <c r="RN205" s="29">
        <v>138</v>
      </c>
      <c r="RO205" s="19">
        <v>52</v>
      </c>
      <c r="RP205" s="20"/>
      <c r="RQ205" s="29">
        <v>138</v>
      </c>
      <c r="RR205" s="734">
        <v>2.2681524199999998</v>
      </c>
      <c r="RS205" s="29">
        <v>138</v>
      </c>
      <c r="RT205" s="1504">
        <v>40695</v>
      </c>
      <c r="RU205" s="19"/>
      <c r="RV205" s="20"/>
      <c r="RW205" s="29">
        <v>138</v>
      </c>
      <c r="RX205" s="1504">
        <v>40695</v>
      </c>
      <c r="RY205" s="29"/>
      <c r="RZ205" s="734"/>
      <c r="SA205" s="29"/>
      <c r="SB205" s="29">
        <v>138</v>
      </c>
    </row>
    <row r="206" spans="1:496">
      <c r="A206" s="41">
        <f t="shared" si="208"/>
        <v>2011</v>
      </c>
      <c r="B206" s="1504">
        <v>40725</v>
      </c>
      <c r="C206" s="1813"/>
      <c r="D206" s="1814"/>
      <c r="E206" s="1814"/>
      <c r="F206" s="1815"/>
      <c r="G206" s="1814"/>
      <c r="H206" s="1814"/>
      <c r="I206" s="1814"/>
      <c r="J206" s="1816"/>
      <c r="K206" s="1807"/>
      <c r="L206" s="25">
        <v>139</v>
      </c>
      <c r="M206" s="97"/>
      <c r="N206" s="1504">
        <v>40725</v>
      </c>
      <c r="O206" s="19"/>
      <c r="P206" s="93"/>
      <c r="Q206" s="93"/>
      <c r="R206" s="93"/>
      <c r="S206" s="93"/>
      <c r="T206" s="93"/>
      <c r="U206" s="93"/>
      <c r="V206" s="93"/>
      <c r="W206" s="93"/>
      <c r="X206" s="93"/>
      <c r="Y206" s="93"/>
      <c r="Z206" s="93"/>
      <c r="AA206" s="93"/>
      <c r="AB206" s="20"/>
      <c r="AC206" s="25">
        <v>139</v>
      </c>
      <c r="AD206" s="97"/>
      <c r="AE206" s="1504">
        <v>40725</v>
      </c>
      <c r="AF206" s="19"/>
      <c r="AG206" s="93"/>
      <c r="AH206" s="93"/>
      <c r="AI206" s="93"/>
      <c r="AJ206" s="93"/>
      <c r="AK206" s="93"/>
      <c r="AL206" s="93"/>
      <c r="AM206" s="93"/>
      <c r="AN206" s="93"/>
      <c r="AO206" s="93"/>
      <c r="AP206" s="93"/>
      <c r="AQ206" s="93"/>
      <c r="AR206" s="93"/>
      <c r="AS206" s="20"/>
      <c r="AT206" s="25">
        <v>139</v>
      </c>
      <c r="AU206" s="97"/>
      <c r="AV206" s="1504">
        <v>40725</v>
      </c>
      <c r="AW206" s="19"/>
      <c r="AX206" s="93"/>
      <c r="AY206" s="93"/>
      <c r="AZ206" s="93"/>
      <c r="BA206" s="93"/>
      <c r="BB206" s="93"/>
      <c r="BC206" s="93"/>
      <c r="BD206" s="93"/>
      <c r="BE206" s="93"/>
      <c r="BF206" s="93"/>
      <c r="BG206" s="93"/>
      <c r="BH206" s="93"/>
      <c r="BI206" s="93"/>
      <c r="BJ206" s="20"/>
      <c r="BK206" s="25">
        <v>139</v>
      </c>
      <c r="BL206" s="97"/>
      <c r="BM206" s="1504">
        <v>40725</v>
      </c>
      <c r="BN206" s="19"/>
      <c r="BO206" s="93"/>
      <c r="BP206" s="93"/>
      <c r="BQ206" s="93"/>
      <c r="BR206" s="93"/>
      <c r="BS206" s="93"/>
      <c r="BT206" s="93"/>
      <c r="BU206" s="20"/>
      <c r="BV206" s="25">
        <v>139</v>
      </c>
      <c r="BW206" s="97"/>
      <c r="BX206" s="1504">
        <v>40725</v>
      </c>
      <c r="BY206" s="179">
        <v>459.85865484999994</v>
      </c>
      <c r="BZ206" s="99">
        <v>664.95699999999999</v>
      </c>
      <c r="CA206" s="93"/>
      <c r="CB206" s="93"/>
      <c r="CC206" s="99">
        <v>305.63745019920322</v>
      </c>
      <c r="CD206" s="25">
        <v>139</v>
      </c>
      <c r="CE206" s="97"/>
      <c r="CF206" s="1504">
        <v>40725</v>
      </c>
      <c r="CG206" s="179">
        <v>2.6896363999999999</v>
      </c>
      <c r="CH206" s="99">
        <v>1572.75</v>
      </c>
      <c r="CI206" s="219"/>
      <c r="CJ206" s="20"/>
      <c r="CK206" s="19"/>
      <c r="CL206" s="93"/>
      <c r="CM206" s="93"/>
      <c r="CN206" s="93"/>
      <c r="CO206" s="93"/>
      <c r="CP206" s="20"/>
      <c r="CQ206" s="219">
        <v>1945.58</v>
      </c>
      <c r="CR206" s="93">
        <v>2.7949999999999999</v>
      </c>
      <c r="CS206" s="93"/>
      <c r="CT206" s="93"/>
      <c r="CU206" s="93"/>
      <c r="CV206" s="214"/>
      <c r="CW206" s="29">
        <v>139</v>
      </c>
      <c r="CX206" s="41">
        <f t="shared" si="209"/>
        <v>2011</v>
      </c>
      <c r="CY206" s="1504">
        <v>40725</v>
      </c>
      <c r="CZ206" s="1916">
        <v>72.820040395268819</v>
      </c>
      <c r="DA206" s="1526">
        <v>44.386918395268815</v>
      </c>
      <c r="DB206" s="1526">
        <v>28.433122000000001</v>
      </c>
      <c r="DC206" s="182">
        <f t="shared" si="210"/>
        <v>401476</v>
      </c>
      <c r="DD206" s="182">
        <f t="shared" si="211"/>
        <v>400356</v>
      </c>
      <c r="DE206" s="182">
        <f t="shared" si="212"/>
        <v>1120</v>
      </c>
      <c r="DF206" s="29">
        <v>139</v>
      </c>
      <c r="DG206" s="1504">
        <v>40725</v>
      </c>
      <c r="DH206" s="19"/>
      <c r="DI206" s="93"/>
      <c r="DJ206" s="93"/>
      <c r="DK206" s="93"/>
      <c r="DL206" s="93"/>
      <c r="DM206" s="93"/>
      <c r="DN206" s="20"/>
      <c r="DO206" s="25"/>
      <c r="DP206" s="29">
        <v>139</v>
      </c>
      <c r="DQ206" s="1504">
        <v>40725</v>
      </c>
      <c r="DR206" s="19"/>
      <c r="DS206" s="93"/>
      <c r="DT206" s="93"/>
      <c r="DU206" s="93"/>
      <c r="DV206" s="93"/>
      <c r="DW206" s="93"/>
      <c r="DX206" s="20"/>
      <c r="DY206" s="29">
        <v>139</v>
      </c>
      <c r="DZ206" s="1504">
        <v>40725</v>
      </c>
      <c r="EA206" s="19"/>
      <c r="EB206" s="93"/>
      <c r="EC206" s="20"/>
      <c r="ED206" s="29">
        <v>139</v>
      </c>
      <c r="EE206" s="1504">
        <v>40725</v>
      </c>
      <c r="EF206" s="19"/>
      <c r="EG206" s="93"/>
      <c r="EH206" s="93"/>
      <c r="EI206" s="214"/>
      <c r="EJ206" s="93"/>
      <c r="EK206" s="93"/>
      <c r="EL206" s="93"/>
      <c r="EM206" s="93"/>
      <c r="EN206" s="20"/>
      <c r="EO206" s="29">
        <v>139</v>
      </c>
      <c r="EP206" s="1504">
        <v>40725</v>
      </c>
      <c r="EQ206" s="19"/>
      <c r="ER206" s="93"/>
      <c r="ES206" s="93"/>
      <c r="ET206" s="214"/>
      <c r="EU206" s="93"/>
      <c r="EV206" s="93"/>
      <c r="EW206" s="93"/>
      <c r="EX206" s="93"/>
      <c r="EY206" s="20"/>
      <c r="EZ206" s="29">
        <v>139</v>
      </c>
      <c r="FA206" s="1504">
        <v>40725</v>
      </c>
      <c r="FB206" s="29"/>
      <c r="FC206" s="29"/>
      <c r="FD206" s="29"/>
      <c r="FE206" s="29"/>
      <c r="FF206" s="29"/>
      <c r="FG206" s="29"/>
      <c r="FH206" s="29"/>
      <c r="FI206" s="29"/>
      <c r="FJ206" s="29"/>
      <c r="FK206" s="29">
        <v>139</v>
      </c>
      <c r="FL206" s="1504">
        <v>40725</v>
      </c>
      <c r="FM206" s="19">
        <v>104.04754368703298</v>
      </c>
      <c r="FN206" s="93">
        <v>113.41846354996302</v>
      </c>
      <c r="FO206" s="93">
        <v>100.62388350857947</v>
      </c>
      <c r="FP206" s="93">
        <v>100.70089855806803</v>
      </c>
      <c r="FQ206" s="93">
        <v>106.14916277993191</v>
      </c>
      <c r="FR206" s="93">
        <v>98.694223722538752</v>
      </c>
      <c r="FS206" s="93">
        <v>100.46745201344879</v>
      </c>
      <c r="FT206" s="93">
        <v>99.630945960188811</v>
      </c>
      <c r="FU206" s="93">
        <v>63.45191923869222</v>
      </c>
      <c r="FV206" s="93">
        <v>98.997323319139369</v>
      </c>
      <c r="FW206" s="93">
        <v>102.49285068203132</v>
      </c>
      <c r="FX206" s="93">
        <v>111.2848318267398</v>
      </c>
      <c r="FY206" s="93">
        <v>102.4047386991614</v>
      </c>
      <c r="FZ206" s="29">
        <v>139</v>
      </c>
      <c r="GA206" s="1504">
        <v>40725</v>
      </c>
      <c r="GB206" s="733">
        <v>104.04754368703298</v>
      </c>
      <c r="GC206" s="570">
        <v>104.09111367160575</v>
      </c>
      <c r="GD206" s="570">
        <v>104.01953840555073</v>
      </c>
      <c r="GE206" s="570">
        <v>111.33518193567174</v>
      </c>
      <c r="GF206" s="570">
        <v>113.75808916715545</v>
      </c>
      <c r="GG206" s="570">
        <v>100.50041217706196</v>
      </c>
      <c r="GH206" s="93"/>
      <c r="GI206" s="93"/>
      <c r="GJ206" s="93"/>
      <c r="GK206" s="93"/>
      <c r="GL206" s="93"/>
      <c r="GM206" s="93"/>
      <c r="GN206" s="20"/>
      <c r="GO206" s="29">
        <v>139</v>
      </c>
      <c r="GP206" s="1504">
        <v>40725</v>
      </c>
      <c r="GQ206" s="19"/>
      <c r="GR206" s="93"/>
      <c r="GS206" s="93"/>
      <c r="GT206" s="93"/>
      <c r="GU206" s="93"/>
      <c r="GV206" s="20"/>
      <c r="GW206" s="19"/>
      <c r="GX206" s="93"/>
      <c r="GY206" s="93"/>
      <c r="GZ206" s="93"/>
      <c r="HA206" s="93"/>
      <c r="HB206" s="20"/>
      <c r="HC206" s="19"/>
      <c r="HD206" s="93"/>
      <c r="HE206" s="93"/>
      <c r="HF206" s="93"/>
      <c r="HG206" s="93"/>
      <c r="HH206" s="20"/>
      <c r="HI206" s="19"/>
      <c r="HJ206" s="93"/>
      <c r="HK206" s="93"/>
      <c r="HL206" s="93"/>
      <c r="HM206" s="93"/>
      <c r="HN206" s="20"/>
      <c r="HO206" s="219"/>
      <c r="HP206" s="20"/>
      <c r="HQ206" s="25"/>
      <c r="HR206" s="29">
        <v>139</v>
      </c>
      <c r="HS206" s="1504">
        <v>40725</v>
      </c>
      <c r="HT206" s="179">
        <v>199.28878784179688</v>
      </c>
      <c r="HU206" s="99">
        <v>185.75242156982421</v>
      </c>
      <c r="HV206" s="99">
        <v>156.25</v>
      </c>
      <c r="HW206" s="99">
        <v>103.15534210205078</v>
      </c>
      <c r="HX206" s="99">
        <v>164.56229400634766</v>
      </c>
      <c r="HY206" s="99">
        <v>173.47561340332032</v>
      </c>
      <c r="HZ206" s="99">
        <v>213.52842712402344</v>
      </c>
      <c r="IA206" s="132">
        <v>159.67742411295572</v>
      </c>
      <c r="IB206" s="179">
        <v>238.09524536132813</v>
      </c>
      <c r="IC206" s="99">
        <v>159.39085998535157</v>
      </c>
      <c r="ID206" s="99"/>
      <c r="IE206" s="99">
        <v>134.80392265319824</v>
      </c>
      <c r="IF206" s="99">
        <v>226.5625</v>
      </c>
      <c r="IG206" s="132">
        <v>132.12435150146484</v>
      </c>
      <c r="IH206" s="179">
        <v>148.42891998291014</v>
      </c>
      <c r="II206" s="99">
        <v>181.29531860351563</v>
      </c>
      <c r="IJ206" s="99">
        <v>177.95138168334961</v>
      </c>
      <c r="IK206" s="99">
        <v>151.78572082519531</v>
      </c>
      <c r="IL206" s="99">
        <v>159.47122039794922</v>
      </c>
      <c r="IM206" s="99">
        <v>160.10512542724609</v>
      </c>
      <c r="IN206" s="93"/>
      <c r="IO206" s="132">
        <v>170.06005096435547</v>
      </c>
      <c r="IP206" s="29">
        <v>139</v>
      </c>
      <c r="IQ206" s="19"/>
      <c r="IR206" s="93"/>
      <c r="IS206" s="93"/>
      <c r="IT206" s="93"/>
      <c r="IU206" s="93"/>
      <c r="IV206" s="20"/>
      <c r="IW206" s="29">
        <v>139</v>
      </c>
      <c r="IX206" s="19"/>
      <c r="IY206" s="93"/>
      <c r="IZ206" s="93"/>
      <c r="JA206" s="93"/>
      <c r="JB206" s="93"/>
      <c r="JC206" s="93"/>
      <c r="JD206" s="93"/>
      <c r="JE206" s="20"/>
      <c r="JF206" s="29">
        <v>139</v>
      </c>
      <c r="JG206" s="19"/>
      <c r="JH206" s="93"/>
      <c r="JI206" s="93"/>
      <c r="JJ206" s="93"/>
      <c r="JK206" s="93"/>
      <c r="JL206" s="93"/>
      <c r="JM206" s="93"/>
      <c r="JN206" s="20"/>
      <c r="JO206" s="29">
        <v>139</v>
      </c>
      <c r="JP206" s="19"/>
      <c r="JQ206" s="93"/>
      <c r="JR206" s="93"/>
      <c r="JS206" s="93"/>
      <c r="JT206" s="93"/>
      <c r="JU206" s="20"/>
      <c r="JV206" s="29">
        <v>139</v>
      </c>
      <c r="JW206" s="1504">
        <v>40725</v>
      </c>
      <c r="JX206" s="19"/>
      <c r="JY206" s="93"/>
      <c r="JZ206" s="93"/>
      <c r="KA206" s="93"/>
      <c r="KB206" s="93"/>
      <c r="KC206" s="93"/>
      <c r="KD206" s="20"/>
      <c r="KE206" s="29">
        <v>139</v>
      </c>
      <c r="KF206" s="19"/>
      <c r="KG206" s="93"/>
      <c r="KH206" s="93"/>
      <c r="KI206" s="93"/>
      <c r="KJ206" s="93"/>
      <c r="KK206" s="20"/>
      <c r="KL206" s="29">
        <v>139</v>
      </c>
      <c r="KM206" s="19"/>
      <c r="KN206" s="93"/>
      <c r="KO206" s="93"/>
      <c r="KP206" s="93"/>
      <c r="KQ206" s="93"/>
      <c r="KR206" s="20"/>
      <c r="KS206" s="29">
        <v>139</v>
      </c>
      <c r="KT206" s="19"/>
      <c r="KU206" s="93"/>
      <c r="KV206" s="93"/>
      <c r="KW206" s="93"/>
      <c r="KX206" s="93"/>
      <c r="KY206" s="20"/>
      <c r="KZ206" s="29">
        <v>139</v>
      </c>
      <c r="LA206" s="1504">
        <v>40725</v>
      </c>
      <c r="LB206" s="19">
        <v>510</v>
      </c>
      <c r="LC206" s="93">
        <v>740</v>
      </c>
      <c r="LD206" s="93">
        <v>732</v>
      </c>
      <c r="LE206" s="93"/>
      <c r="LF206" s="93">
        <v>656</v>
      </c>
      <c r="LG206" s="93"/>
      <c r="LH206" s="20"/>
      <c r="LI206" s="29">
        <v>139</v>
      </c>
      <c r="LJ206" s="19"/>
      <c r="LK206" s="93"/>
      <c r="LL206" s="93"/>
      <c r="LM206" s="93"/>
      <c r="LN206" s="93"/>
      <c r="LO206" s="20"/>
      <c r="LP206" s="29">
        <v>139</v>
      </c>
      <c r="LQ206" s="19"/>
      <c r="LR206" s="93"/>
      <c r="LS206" s="93"/>
      <c r="LT206" s="93"/>
      <c r="LU206" s="93"/>
      <c r="LV206" s="93"/>
      <c r="LW206" s="93"/>
      <c r="LX206" s="93"/>
      <c r="LY206" s="93"/>
      <c r="LZ206" s="93"/>
      <c r="MA206" s="20"/>
      <c r="MB206" s="29">
        <v>139</v>
      </c>
      <c r="MC206" s="1504">
        <v>40725</v>
      </c>
      <c r="MD206" s="93">
        <v>125658.22889100001</v>
      </c>
      <c r="ME206" s="93">
        <v>76692.900674999997</v>
      </c>
      <c r="MF206" s="93">
        <v>76692.84967499999</v>
      </c>
      <c r="MG206" s="93">
        <v>64906.722179999997</v>
      </c>
      <c r="MH206" s="93">
        <v>24234.552635999997</v>
      </c>
      <c r="MI206" s="93">
        <v>27.440866999999997</v>
      </c>
      <c r="MJ206" s="93">
        <v>400.37837799999994</v>
      </c>
      <c r="MK206" s="93">
        <v>30402.326206000002</v>
      </c>
      <c r="ML206" s="93">
        <v>9393.7565109999996</v>
      </c>
      <c r="MM206" s="93">
        <v>448.267582</v>
      </c>
      <c r="MN206" s="93">
        <v>11786.127495000001</v>
      </c>
      <c r="MO206" s="93">
        <v>669.69627799999978</v>
      </c>
      <c r="MP206" s="93">
        <v>1852.660832</v>
      </c>
      <c r="MQ206" s="93">
        <v>1044.3213949999999</v>
      </c>
      <c r="MR206" s="93">
        <v>6282.7503980000001</v>
      </c>
      <c r="MS206" s="93">
        <v>1936.698592</v>
      </c>
      <c r="MT206" s="93">
        <v>5.0999999999999997E-2</v>
      </c>
      <c r="MU206" s="93">
        <v>48965.328216000002</v>
      </c>
      <c r="MV206" s="93">
        <v>11366.788924999999</v>
      </c>
      <c r="MW206" s="93">
        <v>37598.539291000001</v>
      </c>
      <c r="MX206" s="93">
        <v>106530.2769143334</v>
      </c>
      <c r="MY206" s="93">
        <v>106999.2885813334</v>
      </c>
      <c r="MZ206" s="93">
        <v>52954.878275333387</v>
      </c>
      <c r="NA206" s="93">
        <v>24096.407842333378</v>
      </c>
      <c r="NB206">
        <v>6715.118175999999</v>
      </c>
      <c r="NC206">
        <v>2824.6459279999999</v>
      </c>
      <c r="ND206">
        <v>2603.6705929999998</v>
      </c>
      <c r="NE206">
        <v>220.97533499999994</v>
      </c>
      <c r="NF206">
        <v>19318.706329000011</v>
      </c>
      <c r="NG206">
        <v>78.909765999999834</v>
      </c>
      <c r="NH206">
        <v>1882.3268100000005</v>
      </c>
      <c r="NI206">
        <v>0</v>
      </c>
      <c r="NJ206">
        <v>1071.2818160000002</v>
      </c>
      <c r="NK206">
        <v>54044.410306000012</v>
      </c>
      <c r="NL206">
        <v>17798.270554000006</v>
      </c>
      <c r="NM206">
        <v>499.48713500000002</v>
      </c>
      <c r="NN206">
        <v>35746.652617</v>
      </c>
      <c r="NO206">
        <v>-469.01166699999902</v>
      </c>
      <c r="NP206">
        <v>19127.951976666598</v>
      </c>
      <c r="NQ206">
        <v>-29837.376239333407</v>
      </c>
      <c r="NR206">
        <v>8733.922305666596</v>
      </c>
      <c r="NS206">
        <v>5909.2763776665925</v>
      </c>
      <c r="NT206">
        <v>5704.3768896665943</v>
      </c>
      <c r="NU206">
        <v>-43260.951326333408</v>
      </c>
      <c r="NV206" s="93">
        <v>-14402.736803999995</v>
      </c>
      <c r="NW206" s="93">
        <v>24116.132568000001</v>
      </c>
      <c r="NX206" s="93">
        <v>24379.863692000003</v>
      </c>
      <c r="NY206" s="93">
        <v>-263.73112399999997</v>
      </c>
      <c r="NZ206" s="93">
        <v>0</v>
      </c>
      <c r="OA206" s="93">
        <v>-38518.869371999994</v>
      </c>
      <c r="OB206" s="93">
        <v>-53364.058780999992</v>
      </c>
      <c r="OC206" s="93">
        <v>14845.189409000002</v>
      </c>
      <c r="OD206" s="20">
        <v>0</v>
      </c>
      <c r="OE206" s="29">
        <v>139</v>
      </c>
      <c r="OF206" s="1504">
        <v>40725</v>
      </c>
      <c r="OG206" s="19"/>
      <c r="OH206" s="93">
        <v>162.30914000000001</v>
      </c>
      <c r="OI206" s="93">
        <v>608.03403149540361</v>
      </c>
      <c r="OJ206" s="93">
        <v>0.80135196899999994</v>
      </c>
      <c r="OK206" s="93">
        <v>524.6113995264036</v>
      </c>
      <c r="OL206" s="93">
        <v>82.621279999999999</v>
      </c>
      <c r="OM206" s="93">
        <v>770.34317149540357</v>
      </c>
      <c r="ON206" s="93">
        <v>599.82172655939985</v>
      </c>
      <c r="OO206" s="93">
        <v>1370.1648980548034</v>
      </c>
      <c r="OP206" s="93"/>
      <c r="OQ206" s="93">
        <v>635.20199046634036</v>
      </c>
      <c r="OR206" s="93">
        <v>242.29646850300003</v>
      </c>
      <c r="OS206" s="93">
        <v>392.90552196334045</v>
      </c>
      <c r="OT206" s="93">
        <v>893.4325807364628</v>
      </c>
      <c r="OU206" s="93">
        <v>-40.47119558499999</v>
      </c>
      <c r="OV206" s="93">
        <v>-71.318195584999984</v>
      </c>
      <c r="OW206" s="93">
        <v>30.846999999999994</v>
      </c>
      <c r="OX206" s="93">
        <v>933.90377632146283</v>
      </c>
      <c r="OY206" s="93">
        <v>4.3061721990000006</v>
      </c>
      <c r="OZ206" s="93">
        <v>929.59760412246283</v>
      </c>
      <c r="PA206" s="93">
        <v>190.95140294300001</v>
      </c>
      <c r="PB206" s="93">
        <v>-32.481729794999993</v>
      </c>
      <c r="PC206" s="20">
        <v>1370.1648980548034</v>
      </c>
      <c r="PD206" s="29">
        <v>139</v>
      </c>
      <c r="PE206" s="19"/>
      <c r="PF206" s="93">
        <v>242.29646850300003</v>
      </c>
      <c r="PG206" s="93">
        <v>516.89729307900006</v>
      </c>
      <c r="PH206" s="93">
        <v>274.60082457600004</v>
      </c>
      <c r="PI206" s="93">
        <v>116.83</v>
      </c>
      <c r="PJ206" s="93">
        <v>-67.684435584999989</v>
      </c>
      <c r="PK206" s="93">
        <v>105.95530889</v>
      </c>
      <c r="PL206" s="93">
        <v>173.63974447499999</v>
      </c>
      <c r="PM206" s="93">
        <v>4.3061721990000006</v>
      </c>
      <c r="PN206" s="93">
        <v>1.1100000000000001</v>
      </c>
      <c r="PO206" s="93">
        <v>0</v>
      </c>
      <c r="PP206" s="93">
        <v>7.5953499999999998E-4</v>
      </c>
      <c r="PQ206" s="93">
        <v>3.195412664</v>
      </c>
      <c r="PR206" s="93">
        <v>301.76420449599999</v>
      </c>
      <c r="PS206" s="93">
        <v>195.9419</v>
      </c>
      <c r="PT206" s="93">
        <v>105.02095252700001</v>
      </c>
      <c r="PU206" s="93">
        <v>0.80135196899999994</v>
      </c>
      <c r="PV206" s="93">
        <v>0</v>
      </c>
      <c r="PW206" s="93">
        <v>0.44660293299999998</v>
      </c>
      <c r="PX206" s="93">
        <v>0</v>
      </c>
      <c r="PY206" s="93">
        <v>0</v>
      </c>
      <c r="PZ206" s="93">
        <v>0.44660293299999998</v>
      </c>
      <c r="QA206" s="93">
        <v>0</v>
      </c>
      <c r="QB206" s="93">
        <v>0</v>
      </c>
      <c r="QC206" s="93">
        <v>0</v>
      </c>
      <c r="QD206" s="93">
        <v>-0.31519998999999999</v>
      </c>
      <c r="QE206" s="20">
        <v>-6.1474023219999925</v>
      </c>
      <c r="QF206" s="1739">
        <v>139</v>
      </c>
      <c r="QG206" s="19"/>
      <c r="QH206" s="1035">
        <v>392.90552196334045</v>
      </c>
      <c r="QI206" s="1035">
        <v>525.15239587753706</v>
      </c>
      <c r="QJ206" s="1035">
        <v>-132.24687391419658</v>
      </c>
      <c r="QK206" s="1035">
        <v>130.66300000000001</v>
      </c>
      <c r="QL206" s="1035">
        <v>29.998999999999999</v>
      </c>
      <c r="QM206" s="1035">
        <v>100.664</v>
      </c>
      <c r="QN206" s="1035">
        <v>0</v>
      </c>
      <c r="QO206" s="1035">
        <v>30.846999999999994</v>
      </c>
      <c r="QP206" s="1035">
        <v>123.20699999999999</v>
      </c>
      <c r="QQ206" s="1035">
        <v>-92.36</v>
      </c>
      <c r="QR206" s="1035">
        <v>929.59760412246283</v>
      </c>
      <c r="QS206" s="1035">
        <v>10.306787588834535</v>
      </c>
      <c r="QT206" s="1035">
        <v>0</v>
      </c>
      <c r="QU206" s="1035">
        <v>90.391999999999996</v>
      </c>
      <c r="QV206" s="1035">
        <v>828.89881653362829</v>
      </c>
      <c r="QW206" s="93"/>
      <c r="QX206" s="93">
        <v>117.09699999999999</v>
      </c>
      <c r="QY206" s="93">
        <v>524.6113995264036</v>
      </c>
      <c r="QZ206" s="93">
        <v>599.82172655939974</v>
      </c>
      <c r="RA206" s="93">
        <v>0</v>
      </c>
      <c r="RB206" s="93">
        <v>27.311</v>
      </c>
      <c r="RC206" s="93">
        <v>7.3330000000000002</v>
      </c>
      <c r="RD206" s="93">
        <v>12.458</v>
      </c>
      <c r="RE206" s="93">
        <v>0</v>
      </c>
      <c r="RF206" s="93">
        <v>0</v>
      </c>
      <c r="RG206" s="93">
        <v>143.71800000000002</v>
      </c>
      <c r="RH206" s="93">
        <v>51.662999999999997</v>
      </c>
      <c r="RI206" s="93"/>
      <c r="RJ206" s="93"/>
      <c r="RK206" s="93"/>
      <c r="RL206" s="93"/>
      <c r="RM206" s="734"/>
      <c r="RN206" s="29">
        <v>139</v>
      </c>
      <c r="RO206" s="19">
        <v>37</v>
      </c>
      <c r="RP206" s="20"/>
      <c r="RQ206" s="29">
        <v>139</v>
      </c>
      <c r="RR206" s="734">
        <v>2.4805982400000004</v>
      </c>
      <c r="RS206" s="29">
        <v>139</v>
      </c>
      <c r="RT206" s="1504">
        <v>40725</v>
      </c>
      <c r="RU206" s="19"/>
      <c r="RV206" s="20"/>
      <c r="RW206" s="29">
        <v>139</v>
      </c>
      <c r="RX206" s="1504">
        <v>40725</v>
      </c>
      <c r="RY206" s="29"/>
      <c r="RZ206" s="734"/>
      <c r="SA206" s="29"/>
      <c r="SB206" s="29">
        <v>139</v>
      </c>
    </row>
    <row r="207" spans="1:496">
      <c r="A207" s="41">
        <f t="shared" si="208"/>
        <v>2011</v>
      </c>
      <c r="B207" s="1504">
        <v>40756</v>
      </c>
      <c r="C207" s="1813"/>
      <c r="D207" s="1814"/>
      <c r="E207" s="1814"/>
      <c r="F207" s="1815"/>
      <c r="G207" s="1814"/>
      <c r="H207" s="1814"/>
      <c r="I207" s="1814"/>
      <c r="J207" s="1816"/>
      <c r="K207" s="1807"/>
      <c r="L207" s="25">
        <v>140</v>
      </c>
      <c r="M207" s="97"/>
      <c r="N207" s="1504">
        <v>40756</v>
      </c>
      <c r="O207" s="19"/>
      <c r="P207" s="93"/>
      <c r="Q207" s="93"/>
      <c r="R207" s="93"/>
      <c r="S207" s="93"/>
      <c r="T207" s="93"/>
      <c r="U207" s="93"/>
      <c r="V207" s="93"/>
      <c r="W207" s="93"/>
      <c r="X207" s="93"/>
      <c r="Y207" s="93"/>
      <c r="Z207" s="93"/>
      <c r="AA207" s="93"/>
      <c r="AB207" s="20"/>
      <c r="AC207" s="25">
        <v>140</v>
      </c>
      <c r="AD207" s="97"/>
      <c r="AE207" s="1504">
        <v>40756</v>
      </c>
      <c r="AF207" s="19"/>
      <c r="AG207" s="93"/>
      <c r="AH207" s="93"/>
      <c r="AI207" s="93"/>
      <c r="AJ207" s="93"/>
      <c r="AK207" s="93"/>
      <c r="AL207" s="93"/>
      <c r="AM207" s="93"/>
      <c r="AN207" s="93"/>
      <c r="AO207" s="93"/>
      <c r="AP207" s="93"/>
      <c r="AQ207" s="93"/>
      <c r="AR207" s="93"/>
      <c r="AS207" s="20"/>
      <c r="AT207" s="25">
        <v>140</v>
      </c>
      <c r="AU207" s="97"/>
      <c r="AV207" s="1504">
        <v>40756</v>
      </c>
      <c r="AW207" s="19"/>
      <c r="AX207" s="93"/>
      <c r="AY207" s="93"/>
      <c r="AZ207" s="93"/>
      <c r="BA207" s="93"/>
      <c r="BB207" s="93"/>
      <c r="BC207" s="93"/>
      <c r="BD207" s="93"/>
      <c r="BE207" s="93"/>
      <c r="BF207" s="93"/>
      <c r="BG207" s="93"/>
      <c r="BH207" s="93"/>
      <c r="BI207" s="93"/>
      <c r="BJ207" s="20"/>
      <c r="BK207" s="25">
        <v>140</v>
      </c>
      <c r="BL207" s="97"/>
      <c r="BM207" s="1504">
        <v>40756</v>
      </c>
      <c r="BN207" s="19"/>
      <c r="BO207" s="93"/>
      <c r="BP207" s="93"/>
      <c r="BQ207" s="93"/>
      <c r="BR207" s="93"/>
      <c r="BS207" s="93"/>
      <c r="BT207" s="93"/>
      <c r="BU207" s="20"/>
      <c r="BV207" s="25">
        <v>140</v>
      </c>
      <c r="BW207" s="97"/>
      <c r="BX207" s="1504">
        <v>40756</v>
      </c>
      <c r="BY207" s="179">
        <v>457.32666082999998</v>
      </c>
      <c r="BZ207" s="99">
        <v>664.95699999999999</v>
      </c>
      <c r="CA207" s="93"/>
      <c r="CB207" s="93"/>
      <c r="CC207" s="99">
        <v>302.88278145695364</v>
      </c>
      <c r="CD207" s="25">
        <v>140</v>
      </c>
      <c r="CE207" s="97"/>
      <c r="CF207" s="1504">
        <v>40756</v>
      </c>
      <c r="CG207" s="179">
        <v>2.5154714199999999</v>
      </c>
      <c r="CH207" s="99">
        <v>1759.01</v>
      </c>
      <c r="CI207" s="219"/>
      <c r="CJ207" s="20"/>
      <c r="CK207" s="19"/>
      <c r="CL207" s="93"/>
      <c r="CM207" s="93"/>
      <c r="CN207" s="93"/>
      <c r="CO207" s="93"/>
      <c r="CP207" s="20"/>
      <c r="CQ207" s="219">
        <v>2076.1799999999998</v>
      </c>
      <c r="CR207" s="93">
        <v>2.7949999999999999</v>
      </c>
      <c r="CS207" s="93"/>
      <c r="CT207" s="93"/>
      <c r="CU207" s="93"/>
      <c r="CV207" s="214"/>
      <c r="CW207" s="29">
        <v>140</v>
      </c>
      <c r="CX207" s="41">
        <f t="shared" si="209"/>
        <v>2011</v>
      </c>
      <c r="CY207" s="1504">
        <v>40756</v>
      </c>
      <c r="CZ207" s="1916">
        <v>71.581689543463398</v>
      </c>
      <c r="DA207" s="1526">
        <v>45.143165543463404</v>
      </c>
      <c r="DB207" s="1526">
        <v>26.438524000000001</v>
      </c>
      <c r="DC207" s="182">
        <f t="shared" si="210"/>
        <v>401476</v>
      </c>
      <c r="DD207" s="182">
        <f t="shared" si="211"/>
        <v>400356</v>
      </c>
      <c r="DE207" s="182">
        <f t="shared" si="212"/>
        <v>1120</v>
      </c>
      <c r="DF207" s="29">
        <v>140</v>
      </c>
      <c r="DG207" s="1504">
        <v>40756</v>
      </c>
      <c r="DH207" s="19"/>
      <c r="DI207" s="93"/>
      <c r="DJ207" s="93"/>
      <c r="DK207" s="93"/>
      <c r="DL207" s="93"/>
      <c r="DM207" s="93"/>
      <c r="DN207" s="20"/>
      <c r="DO207" s="25"/>
      <c r="DP207" s="29">
        <v>140</v>
      </c>
      <c r="DQ207" s="1504">
        <v>40756</v>
      </c>
      <c r="DR207" s="19"/>
      <c r="DS207" s="93"/>
      <c r="DT207" s="93"/>
      <c r="DU207" s="93"/>
      <c r="DV207" s="93"/>
      <c r="DW207" s="93"/>
      <c r="DX207" s="20"/>
      <c r="DY207" s="29">
        <v>140</v>
      </c>
      <c r="DZ207" s="1504">
        <v>40756</v>
      </c>
      <c r="EA207" s="19"/>
      <c r="EB207" s="93"/>
      <c r="EC207" s="20"/>
      <c r="ED207" s="29">
        <v>140</v>
      </c>
      <c r="EE207" s="1504">
        <v>40756</v>
      </c>
      <c r="EF207" s="19"/>
      <c r="EG207" s="93"/>
      <c r="EH207" s="93"/>
      <c r="EI207" s="214"/>
      <c r="EJ207" s="93"/>
      <c r="EK207" s="93"/>
      <c r="EL207" s="93"/>
      <c r="EM207" s="93"/>
      <c r="EN207" s="20"/>
      <c r="EO207" s="29">
        <v>140</v>
      </c>
      <c r="EP207" s="1504">
        <v>40756</v>
      </c>
      <c r="EQ207" s="19"/>
      <c r="ER207" s="93"/>
      <c r="ES207" s="93"/>
      <c r="ET207" s="214"/>
      <c r="EU207" s="93"/>
      <c r="EV207" s="93"/>
      <c r="EW207" s="93"/>
      <c r="EX207" s="93"/>
      <c r="EY207" s="20"/>
      <c r="EZ207" s="29">
        <v>140</v>
      </c>
      <c r="FA207" s="1504">
        <v>40756</v>
      </c>
      <c r="FB207" s="29"/>
      <c r="FC207" s="29"/>
      <c r="FD207" s="29"/>
      <c r="FE207" s="29"/>
      <c r="FF207" s="29"/>
      <c r="FG207" s="29"/>
      <c r="FH207" s="29"/>
      <c r="FI207" s="29"/>
      <c r="FJ207" s="29"/>
      <c r="FK207" s="29">
        <v>140</v>
      </c>
      <c r="FL207" s="1504">
        <v>40756</v>
      </c>
      <c r="FM207" s="19">
        <v>104.42192336958892</v>
      </c>
      <c r="FN207" s="93">
        <v>114.20640511955878</v>
      </c>
      <c r="FO207" s="93">
        <v>99.786162592026443</v>
      </c>
      <c r="FP207" s="93">
        <v>101.12941855136965</v>
      </c>
      <c r="FQ207" s="93">
        <v>106.20539294681738</v>
      </c>
      <c r="FR207" s="93">
        <v>98.789710879150093</v>
      </c>
      <c r="FS207" s="93">
        <v>100.46745201344879</v>
      </c>
      <c r="FT207" s="93">
        <v>99.649152760868262</v>
      </c>
      <c r="FU207" s="93">
        <v>62.790575306899107</v>
      </c>
      <c r="FV207" s="93">
        <v>98.997323319139369</v>
      </c>
      <c r="FW207" s="93">
        <v>102.49285068203132</v>
      </c>
      <c r="FX207" s="93">
        <v>112.45694953979424</v>
      </c>
      <c r="FY207" s="93">
        <v>102.40473869916141</v>
      </c>
      <c r="FZ207" s="29">
        <v>140</v>
      </c>
      <c r="GA207" s="1504">
        <v>40756</v>
      </c>
      <c r="GB207" s="733">
        <v>104.42192336958892</v>
      </c>
      <c r="GC207" s="570">
        <v>104.29837257734502</v>
      </c>
      <c r="GD207" s="570">
        <v>104.50173859576923</v>
      </c>
      <c r="GE207" s="570">
        <v>111.44090750158327</v>
      </c>
      <c r="GF207" s="570">
        <v>114.19225246901152</v>
      </c>
      <c r="GG207" s="570">
        <v>100.87296725066035</v>
      </c>
      <c r="GH207" s="93"/>
      <c r="GI207" s="93"/>
      <c r="GJ207" s="93"/>
      <c r="GK207" s="93"/>
      <c r="GL207" s="93"/>
      <c r="GM207" s="93"/>
      <c r="GN207" s="20"/>
      <c r="GO207" s="29">
        <v>140</v>
      </c>
      <c r="GP207" s="1504">
        <v>40756</v>
      </c>
      <c r="GQ207" s="19"/>
      <c r="GR207" s="93"/>
      <c r="GS207" s="93"/>
      <c r="GT207" s="93"/>
      <c r="GU207" s="93"/>
      <c r="GV207" s="20"/>
      <c r="GW207" s="19"/>
      <c r="GX207" s="93"/>
      <c r="GY207" s="93"/>
      <c r="GZ207" s="93"/>
      <c r="HA207" s="93"/>
      <c r="HB207" s="20"/>
      <c r="HC207" s="19"/>
      <c r="HD207" s="93"/>
      <c r="HE207" s="93"/>
      <c r="HF207" s="93"/>
      <c r="HG207" s="93"/>
      <c r="HH207" s="20"/>
      <c r="HI207" s="19"/>
      <c r="HJ207" s="93"/>
      <c r="HK207" s="93"/>
      <c r="HL207" s="93"/>
      <c r="HM207" s="93"/>
      <c r="HN207" s="20"/>
      <c r="HO207" s="219"/>
      <c r="HP207" s="20"/>
      <c r="HQ207" s="25"/>
      <c r="HR207" s="29">
        <v>140</v>
      </c>
      <c r="HS207" s="1504">
        <v>40756</v>
      </c>
      <c r="HT207" s="179">
        <v>204.9867057800293</v>
      </c>
      <c r="HU207" s="99">
        <v>184.44747161865234</v>
      </c>
      <c r="HV207" s="99">
        <v>156.25</v>
      </c>
      <c r="HW207" s="99">
        <v>109.22330474853516</v>
      </c>
      <c r="HX207" s="99">
        <v>162.28956604003906</v>
      </c>
      <c r="HY207" s="99">
        <v>177.62717437744141</v>
      </c>
      <c r="HZ207" s="99">
        <v>215.60694122314453</v>
      </c>
      <c r="IA207" s="132">
        <v>166.45162353515624</v>
      </c>
      <c r="IB207" s="179">
        <v>256.41024780273438</v>
      </c>
      <c r="IC207" s="99">
        <v>143.40100860595703</v>
      </c>
      <c r="ID207" s="99"/>
      <c r="IE207" s="99">
        <v>136.60131072998047</v>
      </c>
      <c r="IF207" s="99">
        <v>215.625</v>
      </c>
      <c r="IG207" s="132">
        <v>143.71657562255859</v>
      </c>
      <c r="IH207" s="179">
        <v>154.43199920654297</v>
      </c>
      <c r="II207" s="99">
        <v>205.91085052490234</v>
      </c>
      <c r="IJ207" s="99">
        <v>185.185178120931</v>
      </c>
      <c r="IK207" s="99">
        <v>165</v>
      </c>
      <c r="IL207" s="99">
        <v>164.65863800048828</v>
      </c>
      <c r="IM207" s="99">
        <v>170.00000610351563</v>
      </c>
      <c r="IN207" s="93"/>
      <c r="IO207" s="132">
        <v>183.7574577331543</v>
      </c>
      <c r="IP207" s="29">
        <v>140</v>
      </c>
      <c r="IQ207" s="19"/>
      <c r="IR207" s="93"/>
      <c r="IS207" s="93"/>
      <c r="IT207" s="93"/>
      <c r="IU207" s="93"/>
      <c r="IV207" s="20"/>
      <c r="IW207" s="29">
        <v>140</v>
      </c>
      <c r="IX207" s="19"/>
      <c r="IY207" s="93"/>
      <c r="IZ207" s="93"/>
      <c r="JA207" s="93"/>
      <c r="JB207" s="93"/>
      <c r="JC207" s="93"/>
      <c r="JD207" s="93"/>
      <c r="JE207" s="20"/>
      <c r="JF207" s="29">
        <v>140</v>
      </c>
      <c r="JG207" s="19"/>
      <c r="JH207" s="93"/>
      <c r="JI207" s="93"/>
      <c r="JJ207" s="93"/>
      <c r="JK207" s="93"/>
      <c r="JL207" s="93"/>
      <c r="JM207" s="93"/>
      <c r="JN207" s="20"/>
      <c r="JO207" s="29">
        <v>140</v>
      </c>
      <c r="JP207" s="19"/>
      <c r="JQ207" s="93"/>
      <c r="JR207" s="93"/>
      <c r="JS207" s="93"/>
      <c r="JT207" s="93"/>
      <c r="JU207" s="20"/>
      <c r="JV207" s="29">
        <v>140</v>
      </c>
      <c r="JW207" s="1504">
        <v>40756</v>
      </c>
      <c r="JX207" s="19"/>
      <c r="JY207" s="93"/>
      <c r="JZ207" s="93"/>
      <c r="KA207" s="93"/>
      <c r="KB207" s="93"/>
      <c r="KC207" s="93"/>
      <c r="KD207" s="20"/>
      <c r="KE207" s="29">
        <v>140</v>
      </c>
      <c r="KF207" s="19"/>
      <c r="KG207" s="93"/>
      <c r="KH207" s="93"/>
      <c r="KI207" s="93"/>
      <c r="KJ207" s="93"/>
      <c r="KK207" s="20"/>
      <c r="KL207" s="29">
        <v>140</v>
      </c>
      <c r="KM207" s="19"/>
      <c r="KN207" s="93"/>
      <c r="KO207" s="93"/>
      <c r="KP207" s="93"/>
      <c r="KQ207" s="93"/>
      <c r="KR207" s="20"/>
      <c r="KS207" s="29">
        <v>140</v>
      </c>
      <c r="KT207" s="19"/>
      <c r="KU207" s="93"/>
      <c r="KV207" s="93"/>
      <c r="KW207" s="93"/>
      <c r="KX207" s="93"/>
      <c r="KY207" s="20"/>
      <c r="KZ207" s="29">
        <v>140</v>
      </c>
      <c r="LA207" s="1504">
        <v>40756</v>
      </c>
      <c r="LB207" s="19">
        <v>510</v>
      </c>
      <c r="LC207" s="93">
        <v>740</v>
      </c>
      <c r="LD207" s="93">
        <v>732</v>
      </c>
      <c r="LE207" s="93"/>
      <c r="LF207" s="93">
        <v>656</v>
      </c>
      <c r="LG207" s="93"/>
      <c r="LH207" s="20"/>
      <c r="LI207" s="29">
        <v>140</v>
      </c>
      <c r="LJ207" s="19"/>
      <c r="LK207" s="93"/>
      <c r="LL207" s="93"/>
      <c r="LM207" s="93"/>
      <c r="LN207" s="93"/>
      <c r="LO207" s="20"/>
      <c r="LP207" s="29">
        <v>140</v>
      </c>
      <c r="LQ207" s="19"/>
      <c r="LR207" s="93"/>
      <c r="LS207" s="93"/>
      <c r="LT207" s="93"/>
      <c r="LU207" s="93"/>
      <c r="LV207" s="93"/>
      <c r="LW207" s="93"/>
      <c r="LX207" s="93"/>
      <c r="LY207" s="93"/>
      <c r="LZ207" s="93"/>
      <c r="MA207" s="20"/>
      <c r="MB207" s="29">
        <v>140</v>
      </c>
      <c r="MC207" s="1504">
        <v>40756</v>
      </c>
      <c r="MD207" s="93">
        <v>100762.54452699999</v>
      </c>
      <c r="ME207" s="93">
        <v>61760.802553999994</v>
      </c>
      <c r="MF207" s="93">
        <v>61760.748553999998</v>
      </c>
      <c r="MG207" s="93">
        <v>55607.650565999997</v>
      </c>
      <c r="MH207" s="93">
        <v>11866.083207999998</v>
      </c>
      <c r="MI207" s="93">
        <v>444.00927300000001</v>
      </c>
      <c r="MJ207" s="93">
        <v>409.45464199999998</v>
      </c>
      <c r="MK207" s="93">
        <v>32170.393929000002</v>
      </c>
      <c r="ML207" s="93">
        <v>10072.946701999997</v>
      </c>
      <c r="MM207" s="93">
        <v>644.76281200000017</v>
      </c>
      <c r="MN207" s="93">
        <v>6153.0979879999995</v>
      </c>
      <c r="MO207" s="93">
        <v>431.73046800000009</v>
      </c>
      <c r="MP207" s="93">
        <v>1724.6596190000002</v>
      </c>
      <c r="MQ207" s="93">
        <v>159.8343540000001</v>
      </c>
      <c r="MR207" s="93">
        <v>559.87338599999953</v>
      </c>
      <c r="MS207" s="93">
        <v>3277.0001610000004</v>
      </c>
      <c r="MT207" s="93">
        <v>5.3999999999999999E-2</v>
      </c>
      <c r="MU207" s="93">
        <v>39001.741972999997</v>
      </c>
      <c r="MV207" s="93">
        <v>1247.6528080000001</v>
      </c>
      <c r="MW207" s="93">
        <v>37754.089164999998</v>
      </c>
      <c r="MX207" s="93">
        <v>91848.391274999973</v>
      </c>
      <c r="MY207" s="93">
        <v>82937.458613999959</v>
      </c>
      <c r="MZ207" s="93">
        <v>53422.448456999962</v>
      </c>
      <c r="NA207" s="93">
        <v>28577.182099999965</v>
      </c>
      <c r="NB207">
        <v>7955.6027920000033</v>
      </c>
      <c r="NC207">
        <v>189.78585200000003</v>
      </c>
      <c r="ND207">
        <v>8.4098489999999995</v>
      </c>
      <c r="NE207">
        <v>181.37600300000005</v>
      </c>
      <c r="NF207">
        <v>16699.877712999998</v>
      </c>
      <c r="NG207">
        <v>95.871453999999915</v>
      </c>
      <c r="NH207">
        <v>1428.857182</v>
      </c>
      <c r="NI207">
        <v>0</v>
      </c>
      <c r="NJ207">
        <v>517.04895099999999</v>
      </c>
      <c r="NK207">
        <v>29515.010156999997</v>
      </c>
      <c r="NL207">
        <v>17459.974291999995</v>
      </c>
      <c r="NM207">
        <v>0</v>
      </c>
      <c r="NN207">
        <v>12055.035865000002</v>
      </c>
      <c r="NO207">
        <v>8910.9326610000062</v>
      </c>
      <c r="NP207">
        <v>8914.1532520000183</v>
      </c>
      <c r="NQ207">
        <v>-30087.588720999978</v>
      </c>
      <c r="NR207">
        <v>-17842.767003999972</v>
      </c>
      <c r="NS207">
        <v>-18032.552855999969</v>
      </c>
      <c r="NT207">
        <v>15252.213014000017</v>
      </c>
      <c r="NU207">
        <v>-23749.528958999981</v>
      </c>
      <c r="NV207" s="93">
        <v>5994.1523920000009</v>
      </c>
      <c r="NW207" s="93">
        <v>10317.900621000001</v>
      </c>
      <c r="NX207" s="93">
        <v>10807.383057000003</v>
      </c>
      <c r="NY207" s="93">
        <v>-489.48243600000012</v>
      </c>
      <c r="NZ207" s="93">
        <v>0</v>
      </c>
      <c r="OA207" s="93">
        <v>-4323.7482290000007</v>
      </c>
      <c r="OB207" s="93">
        <v>14267.101973999997</v>
      </c>
      <c r="OC207" s="93">
        <v>-18590.850202999998</v>
      </c>
      <c r="OD207" s="20">
        <v>0</v>
      </c>
      <c r="OE207" s="29">
        <v>140</v>
      </c>
      <c r="OF207" s="1504">
        <v>40756</v>
      </c>
      <c r="OG207" s="19"/>
      <c r="OH207" s="93">
        <v>168.95539000000002</v>
      </c>
      <c r="OI207" s="93">
        <v>610.06866455813883</v>
      </c>
      <c r="OJ207" s="93">
        <v>0.71039210100000005</v>
      </c>
      <c r="OK207" s="93">
        <v>510.81587245713877</v>
      </c>
      <c r="OL207" s="93">
        <v>98.542400000000001</v>
      </c>
      <c r="OM207" s="93">
        <v>779.02405455813891</v>
      </c>
      <c r="ON207" s="93">
        <v>588.35797600268461</v>
      </c>
      <c r="OO207" s="93">
        <v>1367.3820305608235</v>
      </c>
      <c r="OP207" s="93"/>
      <c r="OQ207" s="93">
        <v>661.87798920654586</v>
      </c>
      <c r="OR207" s="93">
        <v>259.04963894799994</v>
      </c>
      <c r="OS207" s="93">
        <v>402.82835025854598</v>
      </c>
      <c r="OT207" s="93">
        <v>858.02100710727757</v>
      </c>
      <c r="OU207" s="93">
        <v>-82.153411264000027</v>
      </c>
      <c r="OV207" s="93">
        <v>-71.384411264000008</v>
      </c>
      <c r="OW207" s="93">
        <v>-10.76900000000002</v>
      </c>
      <c r="OX207" s="93">
        <v>940.17441837127762</v>
      </c>
      <c r="OY207" s="93">
        <v>4.29992017</v>
      </c>
      <c r="OZ207" s="93">
        <v>935.87449820127756</v>
      </c>
      <c r="PA207" s="93">
        <v>197.93043604099998</v>
      </c>
      <c r="PB207" s="93">
        <v>-45.413470288000006</v>
      </c>
      <c r="PC207" s="20">
        <v>1367.3820305608235</v>
      </c>
      <c r="PD207" s="29">
        <v>140</v>
      </c>
      <c r="PE207" s="19"/>
      <c r="PF207" s="93">
        <v>259.04963894799994</v>
      </c>
      <c r="PG207" s="93">
        <v>544.13825391799992</v>
      </c>
      <c r="PH207" s="93">
        <v>285.08861496999998</v>
      </c>
      <c r="PI207" s="93">
        <v>117.121</v>
      </c>
      <c r="PJ207" s="93">
        <v>-68.437901264000004</v>
      </c>
      <c r="PK207" s="93">
        <v>105.44669537999999</v>
      </c>
      <c r="PL207" s="93">
        <v>173.884596644</v>
      </c>
      <c r="PM207" s="93">
        <v>4.29992017</v>
      </c>
      <c r="PN207" s="93">
        <v>1.1100000000000001</v>
      </c>
      <c r="PO207" s="93">
        <v>0</v>
      </c>
      <c r="PP207" s="93">
        <v>5.6947300000000003E-4</v>
      </c>
      <c r="PQ207" s="93">
        <v>3.1893506970000001</v>
      </c>
      <c r="PR207" s="93">
        <v>312.18430441300006</v>
      </c>
      <c r="PS207" s="93">
        <v>205.26490000000001</v>
      </c>
      <c r="PT207" s="93">
        <v>106.209012312</v>
      </c>
      <c r="PU207" s="93">
        <v>0.71039210100000005</v>
      </c>
      <c r="PV207" s="93">
        <v>0</v>
      </c>
      <c r="PW207" s="93">
        <v>0.38260799600000001</v>
      </c>
      <c r="PX207" s="93">
        <v>0</v>
      </c>
      <c r="PY207" s="93">
        <v>0</v>
      </c>
      <c r="PZ207" s="93">
        <v>0.38260799600000001</v>
      </c>
      <c r="QA207" s="93">
        <v>0</v>
      </c>
      <c r="QB207" s="93">
        <v>0</v>
      </c>
      <c r="QC207" s="93">
        <v>0</v>
      </c>
      <c r="QD207" s="93">
        <v>0.44682804500000001</v>
      </c>
      <c r="QE207" s="20">
        <v>-0.98108260000000069</v>
      </c>
      <c r="QF207" s="1739">
        <v>140</v>
      </c>
      <c r="QG207" s="19"/>
      <c r="QH207" s="1035">
        <v>402.82835025854598</v>
      </c>
      <c r="QI207" s="1035">
        <v>518.55850179872255</v>
      </c>
      <c r="QJ207" s="1035">
        <v>-115.73015154017656</v>
      </c>
      <c r="QK207" s="1035">
        <v>142.494</v>
      </c>
      <c r="QL207" s="1035">
        <v>33.363</v>
      </c>
      <c r="QM207" s="1035">
        <v>109.131</v>
      </c>
      <c r="QN207" s="1035">
        <v>0</v>
      </c>
      <c r="QO207" s="1035">
        <v>-10.76900000000002</v>
      </c>
      <c r="QP207" s="1035">
        <v>106.566</v>
      </c>
      <c r="QQ207" s="1035">
        <v>-117.33500000000002</v>
      </c>
      <c r="QR207" s="1035">
        <v>935.87449820127756</v>
      </c>
      <c r="QS207" s="1035">
        <v>11.027107175742685</v>
      </c>
      <c r="QT207" s="1035">
        <v>0</v>
      </c>
      <c r="QU207" s="1035">
        <v>118.15</v>
      </c>
      <c r="QV207" s="1035">
        <v>806.6973910255349</v>
      </c>
      <c r="QW207" s="93"/>
      <c r="QX207" s="93">
        <v>117.39700000000001</v>
      </c>
      <c r="QY207" s="93">
        <v>510.81587245713877</v>
      </c>
      <c r="QZ207" s="93">
        <v>588.35797600268472</v>
      </c>
      <c r="RA207" s="93">
        <v>0</v>
      </c>
      <c r="RB207" s="93">
        <v>26.248000000000001</v>
      </c>
      <c r="RC207" s="93">
        <v>7.3879999999999999</v>
      </c>
      <c r="RD207" s="93">
        <v>8.3129999999999988</v>
      </c>
      <c r="RE207" s="93">
        <v>0</v>
      </c>
      <c r="RF207" s="93">
        <v>0</v>
      </c>
      <c r="RG207" s="93">
        <v>155.15199999999999</v>
      </c>
      <c r="RH207" s="93">
        <v>56.755999999999986</v>
      </c>
      <c r="RI207" s="93"/>
      <c r="RJ207" s="93"/>
      <c r="RK207" s="93"/>
      <c r="RL207" s="93"/>
      <c r="RM207" s="734"/>
      <c r="RN207" s="29">
        <v>140</v>
      </c>
      <c r="RO207" s="19">
        <v>54</v>
      </c>
      <c r="RP207" s="20"/>
      <c r="RQ207" s="29">
        <v>140</v>
      </c>
      <c r="RR207" s="734">
        <v>2.4713280799999997</v>
      </c>
      <c r="RS207" s="29">
        <v>140</v>
      </c>
      <c r="RT207" s="1504">
        <v>40756</v>
      </c>
      <c r="RU207" s="19"/>
      <c r="RV207" s="20"/>
      <c r="RW207" s="29">
        <v>140</v>
      </c>
      <c r="RX207" s="1504">
        <v>40756</v>
      </c>
      <c r="RY207" s="29"/>
      <c r="RZ207" s="734"/>
      <c r="SA207" s="29"/>
      <c r="SB207" s="29">
        <v>140</v>
      </c>
    </row>
    <row r="208" spans="1:496">
      <c r="A208" s="41">
        <f t="shared" si="208"/>
        <v>2011</v>
      </c>
      <c r="B208" s="1504">
        <v>40787</v>
      </c>
      <c r="C208" s="1813"/>
      <c r="D208" s="1814"/>
      <c r="E208" s="1814"/>
      <c r="F208" s="1815"/>
      <c r="G208" s="1814"/>
      <c r="H208" s="1814"/>
      <c r="I208" s="1814"/>
      <c r="J208" s="1816"/>
      <c r="K208" s="1807"/>
      <c r="L208" s="25">
        <v>141</v>
      </c>
      <c r="M208" s="97"/>
      <c r="N208" s="1504">
        <v>40787</v>
      </c>
      <c r="O208" s="19"/>
      <c r="P208" s="93"/>
      <c r="Q208" s="93"/>
      <c r="R208" s="93"/>
      <c r="S208" s="93"/>
      <c r="T208" s="93"/>
      <c r="U208" s="93"/>
      <c r="V208" s="93"/>
      <c r="W208" s="93"/>
      <c r="X208" s="93"/>
      <c r="Y208" s="93"/>
      <c r="Z208" s="93"/>
      <c r="AA208" s="93"/>
      <c r="AB208" s="20"/>
      <c r="AC208" s="25">
        <v>141</v>
      </c>
      <c r="AD208" s="97"/>
      <c r="AE208" s="1504">
        <v>40787</v>
      </c>
      <c r="AF208" s="19"/>
      <c r="AG208" s="93"/>
      <c r="AH208" s="93"/>
      <c r="AI208" s="93"/>
      <c r="AJ208" s="93"/>
      <c r="AK208" s="93"/>
      <c r="AL208" s="93"/>
      <c r="AM208" s="93"/>
      <c r="AN208" s="93"/>
      <c r="AO208" s="93"/>
      <c r="AP208" s="93"/>
      <c r="AQ208" s="93"/>
      <c r="AR208" s="93"/>
      <c r="AS208" s="20"/>
      <c r="AT208" s="25">
        <v>141</v>
      </c>
      <c r="AU208" s="97"/>
      <c r="AV208" s="1504">
        <v>40787</v>
      </c>
      <c r="AW208" s="19"/>
      <c r="AX208" s="93"/>
      <c r="AY208" s="93"/>
      <c r="AZ208" s="93"/>
      <c r="BA208" s="93"/>
      <c r="BB208" s="93"/>
      <c r="BC208" s="93"/>
      <c r="BD208" s="93"/>
      <c r="BE208" s="93"/>
      <c r="BF208" s="93"/>
      <c r="BG208" s="93"/>
      <c r="BH208" s="93"/>
      <c r="BI208" s="93"/>
      <c r="BJ208" s="20"/>
      <c r="BK208" s="25">
        <v>141</v>
      </c>
      <c r="BL208" s="97"/>
      <c r="BM208" s="1504">
        <v>40787</v>
      </c>
      <c r="BN208" s="19"/>
      <c r="BO208" s="93"/>
      <c r="BP208" s="93"/>
      <c r="BQ208" s="93"/>
      <c r="BR208" s="93"/>
      <c r="BS208" s="93"/>
      <c r="BT208" s="93"/>
      <c r="BU208" s="20"/>
      <c r="BV208" s="25">
        <v>141</v>
      </c>
      <c r="BW208" s="97"/>
      <c r="BX208" s="1504">
        <v>40787</v>
      </c>
      <c r="BY208" s="179">
        <v>476.36909254</v>
      </c>
      <c r="BZ208" s="99">
        <v>664.95699999999999</v>
      </c>
      <c r="CA208" s="93"/>
      <c r="CB208" s="93"/>
      <c r="CC208" s="99">
        <v>313.10951748960235</v>
      </c>
      <c r="CD208" s="25">
        <v>141</v>
      </c>
      <c r="CE208" s="97"/>
      <c r="CF208" s="1504">
        <v>40787</v>
      </c>
      <c r="CG208" s="179">
        <v>2.576318932</v>
      </c>
      <c r="CH208" s="99">
        <v>1772.14</v>
      </c>
      <c r="CI208" s="219"/>
      <c r="CJ208" s="20"/>
      <c r="CK208" s="19"/>
      <c r="CL208" s="93"/>
      <c r="CM208" s="93"/>
      <c r="CN208" s="93"/>
      <c r="CO208" s="93"/>
      <c r="CP208" s="20"/>
      <c r="CQ208" s="219">
        <v>2113.4299999999998</v>
      </c>
      <c r="CR208" s="93">
        <v>2.6675</v>
      </c>
      <c r="CS208" s="93"/>
      <c r="CT208" s="93"/>
      <c r="CU208" s="93"/>
      <c r="CV208" s="214"/>
      <c r="CW208" s="29">
        <v>141</v>
      </c>
      <c r="CX208" s="41">
        <f t="shared" si="209"/>
        <v>2011</v>
      </c>
      <c r="CY208" s="1504">
        <v>40787</v>
      </c>
      <c r="CZ208" s="1916">
        <v>67.313752245128398</v>
      </c>
      <c r="DA208" s="1526">
        <v>42.46746424512839</v>
      </c>
      <c r="DB208" s="1526">
        <v>24.846288000000001</v>
      </c>
      <c r="DC208" s="182">
        <f t="shared" si="210"/>
        <v>401476</v>
      </c>
      <c r="DD208" s="182">
        <f t="shared" si="211"/>
        <v>400356</v>
      </c>
      <c r="DE208" s="182">
        <f t="shared" si="212"/>
        <v>1120</v>
      </c>
      <c r="DF208" s="29">
        <v>141</v>
      </c>
      <c r="DG208" s="1504">
        <v>40787</v>
      </c>
      <c r="DH208" s="19"/>
      <c r="DI208" s="93"/>
      <c r="DJ208" s="93"/>
      <c r="DK208" s="93"/>
      <c r="DL208" s="93"/>
      <c r="DM208" s="93"/>
      <c r="DN208" s="20"/>
      <c r="DO208" s="25"/>
      <c r="DP208" s="29">
        <v>141</v>
      </c>
      <c r="DQ208" s="1504">
        <v>40787</v>
      </c>
      <c r="DR208" s="19"/>
      <c r="DS208" s="93"/>
      <c r="DT208" s="93"/>
      <c r="DU208" s="93"/>
      <c r="DV208" s="93"/>
      <c r="DW208" s="93"/>
      <c r="DX208" s="20"/>
      <c r="DY208" s="29">
        <v>141</v>
      </c>
      <c r="DZ208" s="1504">
        <v>40787</v>
      </c>
      <c r="EA208" s="19"/>
      <c r="EB208" s="93"/>
      <c r="EC208" s="20"/>
      <c r="ED208" s="29">
        <v>141</v>
      </c>
      <c r="EE208" s="1504">
        <v>40787</v>
      </c>
      <c r="EF208" s="19"/>
      <c r="EG208" s="93"/>
      <c r="EH208" s="93"/>
      <c r="EI208" s="214"/>
      <c r="EJ208" s="93"/>
      <c r="EK208" s="93"/>
      <c r="EL208" s="93"/>
      <c r="EM208" s="93"/>
      <c r="EN208" s="20"/>
      <c r="EO208" s="29">
        <v>141</v>
      </c>
      <c r="EP208" s="1504">
        <v>40787</v>
      </c>
      <c r="EQ208" s="19"/>
      <c r="ER208" s="93"/>
      <c r="ES208" s="93"/>
      <c r="ET208" s="214"/>
      <c r="EU208" s="93"/>
      <c r="EV208" s="93"/>
      <c r="EW208" s="93"/>
      <c r="EX208" s="93"/>
      <c r="EY208" s="20"/>
      <c r="EZ208" s="29">
        <v>141</v>
      </c>
      <c r="FA208" s="1504">
        <v>40787</v>
      </c>
      <c r="FB208" s="29"/>
      <c r="FC208" s="29"/>
      <c r="FD208" s="29"/>
      <c r="FE208" s="29"/>
      <c r="FF208" s="29"/>
      <c r="FG208" s="29"/>
      <c r="FH208" s="29"/>
      <c r="FI208" s="29"/>
      <c r="FJ208" s="29"/>
      <c r="FK208" s="29">
        <v>141</v>
      </c>
      <c r="FL208" s="1504">
        <v>40787</v>
      </c>
      <c r="FM208" s="19">
        <v>103.85124859210801</v>
      </c>
      <c r="FN208" s="93">
        <v>112.76806930945396</v>
      </c>
      <c r="FO208" s="93">
        <v>97.930383334787336</v>
      </c>
      <c r="FP208" s="93">
        <v>101.12941855136965</v>
      </c>
      <c r="FQ208" s="93">
        <v>107.36861909725407</v>
      </c>
      <c r="FR208" s="93">
        <v>98.797689759471496</v>
      </c>
      <c r="FS208" s="93">
        <v>100.46745201344879</v>
      </c>
      <c r="FT208" s="93">
        <v>99.649152760868262</v>
      </c>
      <c r="FU208" s="93">
        <v>60.545924520404292</v>
      </c>
      <c r="FV208" s="93">
        <v>98.973083052725613</v>
      </c>
      <c r="FW208" s="93">
        <v>102.49285068203132</v>
      </c>
      <c r="FX208" s="93">
        <v>112.79668257106302</v>
      </c>
      <c r="FY208" s="93">
        <v>102.74680556360789</v>
      </c>
      <c r="FZ208" s="29">
        <v>141</v>
      </c>
      <c r="GA208" s="1504">
        <v>40787</v>
      </c>
      <c r="GB208" s="733">
        <v>103.85124859210801</v>
      </c>
      <c r="GC208" s="570">
        <v>104.2039726258469</v>
      </c>
      <c r="GD208" s="570">
        <v>103.6238624342317</v>
      </c>
      <c r="GE208" s="570">
        <v>113.94034256407272</v>
      </c>
      <c r="GF208" s="570">
        <v>112.11684069314029</v>
      </c>
      <c r="GG208" s="570">
        <v>100.58388513432061</v>
      </c>
      <c r="GH208" s="93"/>
      <c r="GI208" s="93"/>
      <c r="GJ208" s="93"/>
      <c r="GK208" s="93"/>
      <c r="GL208" s="93"/>
      <c r="GM208" s="93"/>
      <c r="GN208" s="20"/>
      <c r="GO208" s="29">
        <v>141</v>
      </c>
      <c r="GP208" s="1504">
        <v>40787</v>
      </c>
      <c r="GQ208" s="19"/>
      <c r="GR208" s="93"/>
      <c r="GS208" s="93"/>
      <c r="GT208" s="93"/>
      <c r="GU208" s="93"/>
      <c r="GV208" s="20"/>
      <c r="GW208" s="19"/>
      <c r="GX208" s="93"/>
      <c r="GY208" s="93"/>
      <c r="GZ208" s="93"/>
      <c r="HA208" s="93"/>
      <c r="HB208" s="20"/>
      <c r="HC208" s="19"/>
      <c r="HD208" s="93"/>
      <c r="HE208" s="93"/>
      <c r="HF208" s="93"/>
      <c r="HG208" s="93"/>
      <c r="HH208" s="20"/>
      <c r="HI208" s="19"/>
      <c r="HJ208" s="93"/>
      <c r="HK208" s="93"/>
      <c r="HL208" s="93"/>
      <c r="HM208" s="93"/>
      <c r="HN208" s="20"/>
      <c r="HO208" s="219"/>
      <c r="HP208" s="20"/>
      <c r="HQ208" s="25"/>
      <c r="HR208" s="29">
        <v>141</v>
      </c>
      <c r="HS208" s="1504">
        <v>40787</v>
      </c>
      <c r="HT208" s="179">
        <v>205.71561431884766</v>
      </c>
      <c r="HU208" s="99">
        <v>187.68461151123046</v>
      </c>
      <c r="HV208" s="99">
        <v>142.59259033203125</v>
      </c>
      <c r="HW208" s="99">
        <v>103.15534210205078</v>
      </c>
      <c r="HX208" s="99">
        <v>168.35017395019531</v>
      </c>
      <c r="HY208" s="99">
        <v>165.65041351318359</v>
      </c>
      <c r="HZ208" s="99">
        <v>213.99893951416016</v>
      </c>
      <c r="IA208" s="132">
        <v>158.70405832926431</v>
      </c>
      <c r="IB208" s="179">
        <v>174.21603393554688</v>
      </c>
      <c r="IC208" s="99">
        <v>146.37306213378906</v>
      </c>
      <c r="ID208" s="99"/>
      <c r="IE208" s="99">
        <v>114.88075256347656</v>
      </c>
      <c r="IF208" s="99">
        <v>188.88889058430991</v>
      </c>
      <c r="IG208" s="132">
        <v>132.45614115397134</v>
      </c>
      <c r="IH208" s="179">
        <v>166.0361442565918</v>
      </c>
      <c r="II208" s="99">
        <v>210.61515197753906</v>
      </c>
      <c r="IJ208" s="99">
        <v>166.41641235351563</v>
      </c>
      <c r="IK208" s="99">
        <v>187.5</v>
      </c>
      <c r="IL208" s="99">
        <v>172.17141342163086</v>
      </c>
      <c r="IM208" s="99">
        <v>164.11291122436523</v>
      </c>
      <c r="IN208" s="93"/>
      <c r="IO208" s="132">
        <v>185.26808929443359</v>
      </c>
      <c r="IP208" s="29">
        <v>141</v>
      </c>
      <c r="IQ208" s="19"/>
      <c r="IR208" s="93"/>
      <c r="IS208" s="93"/>
      <c r="IT208" s="93"/>
      <c r="IU208" s="93"/>
      <c r="IV208" s="20"/>
      <c r="IW208" s="29">
        <v>141</v>
      </c>
      <c r="IX208" s="19"/>
      <c r="IY208" s="93"/>
      <c r="IZ208" s="93"/>
      <c r="JA208" s="93"/>
      <c r="JB208" s="93"/>
      <c r="JC208" s="93"/>
      <c r="JD208" s="93"/>
      <c r="JE208" s="20"/>
      <c r="JF208" s="29">
        <v>141</v>
      </c>
      <c r="JG208" s="19"/>
      <c r="JH208" s="93"/>
      <c r="JI208" s="93"/>
      <c r="JJ208" s="93"/>
      <c r="JK208" s="93"/>
      <c r="JL208" s="93"/>
      <c r="JM208" s="93"/>
      <c r="JN208" s="20"/>
      <c r="JO208" s="29">
        <v>141</v>
      </c>
      <c r="JP208" s="19"/>
      <c r="JQ208" s="93"/>
      <c r="JR208" s="93"/>
      <c r="JS208" s="93"/>
      <c r="JT208" s="93"/>
      <c r="JU208" s="20"/>
      <c r="JV208" s="29">
        <v>141</v>
      </c>
      <c r="JW208" s="1504">
        <v>40787</v>
      </c>
      <c r="JX208" s="19"/>
      <c r="JY208" s="93"/>
      <c r="JZ208" s="93"/>
      <c r="KA208" s="93"/>
      <c r="KB208" s="93"/>
      <c r="KC208" s="93"/>
      <c r="KD208" s="20"/>
      <c r="KE208" s="29">
        <v>141</v>
      </c>
      <c r="KF208" s="19"/>
      <c r="KG208" s="93"/>
      <c r="KH208" s="93"/>
      <c r="KI208" s="93"/>
      <c r="KJ208" s="93"/>
      <c r="KK208" s="20"/>
      <c r="KL208" s="29">
        <v>141</v>
      </c>
      <c r="KM208" s="19"/>
      <c r="KN208" s="93"/>
      <c r="KO208" s="93"/>
      <c r="KP208" s="93"/>
      <c r="KQ208" s="93"/>
      <c r="KR208" s="20"/>
      <c r="KS208" s="29">
        <v>141</v>
      </c>
      <c r="KT208" s="19"/>
      <c r="KU208" s="93"/>
      <c r="KV208" s="93"/>
      <c r="KW208" s="93"/>
      <c r="KX208" s="93"/>
      <c r="KY208" s="20"/>
      <c r="KZ208" s="29">
        <v>141</v>
      </c>
      <c r="LA208" s="1504">
        <v>40787</v>
      </c>
      <c r="LB208" s="19">
        <v>510</v>
      </c>
      <c r="LC208" s="93">
        <v>740</v>
      </c>
      <c r="LD208" s="93">
        <v>732</v>
      </c>
      <c r="LE208" s="93"/>
      <c r="LF208" s="93">
        <v>656</v>
      </c>
      <c r="LG208" s="93"/>
      <c r="LH208" s="20"/>
      <c r="LI208" s="29">
        <v>141</v>
      </c>
      <c r="LJ208" s="19"/>
      <c r="LK208" s="93"/>
      <c r="LL208" s="93"/>
      <c r="LM208" s="93"/>
      <c r="LN208" s="93"/>
      <c r="LO208" s="20"/>
      <c r="LP208" s="29">
        <v>141</v>
      </c>
      <c r="LQ208" s="19"/>
      <c r="LR208" s="93"/>
      <c r="LS208" s="93"/>
      <c r="LT208" s="93"/>
      <c r="LU208" s="93"/>
      <c r="LV208" s="93"/>
      <c r="LW208" s="93"/>
      <c r="LX208" s="93"/>
      <c r="LY208" s="93"/>
      <c r="LZ208" s="93"/>
      <c r="MA208" s="20"/>
      <c r="MB208" s="29">
        <v>141</v>
      </c>
      <c r="MC208" s="1504">
        <v>40787</v>
      </c>
      <c r="MD208" s="93">
        <v>62177.239986</v>
      </c>
      <c r="ME208" s="93">
        <v>54955.765247000003</v>
      </c>
      <c r="MF208" s="93">
        <v>54955.709246999999</v>
      </c>
      <c r="MG208" s="93">
        <v>49665.850789999997</v>
      </c>
      <c r="MH208" s="93">
        <v>8792.2401699999991</v>
      </c>
      <c r="MI208" s="93">
        <v>348.36166800000001</v>
      </c>
      <c r="MJ208" s="93">
        <v>398.40410400000002</v>
      </c>
      <c r="MK208" s="93">
        <v>28948.197912</v>
      </c>
      <c r="ML208" s="93">
        <v>10617.539446999999</v>
      </c>
      <c r="MM208" s="93">
        <v>561.1074890000001</v>
      </c>
      <c r="MN208" s="93">
        <v>5289.8584570000003</v>
      </c>
      <c r="MO208" s="93">
        <v>380.69968900000003</v>
      </c>
      <c r="MP208" s="93">
        <v>1621.5103480000005</v>
      </c>
      <c r="MQ208" s="93">
        <v>240.32487700000001</v>
      </c>
      <c r="MR208" s="93">
        <v>16.587263</v>
      </c>
      <c r="MS208" s="93">
        <v>3030.7362800000001</v>
      </c>
      <c r="MT208" s="93">
        <v>5.6000000000000001E-2</v>
      </c>
      <c r="MU208" s="93">
        <v>7221.4747390000002</v>
      </c>
      <c r="MV208" s="93">
        <v>4716.294089</v>
      </c>
      <c r="MW208" s="93">
        <v>2505.1806499999998</v>
      </c>
      <c r="MX208" s="93">
        <v>76824.805326500005</v>
      </c>
      <c r="MY208" s="93">
        <v>76486.610022499997</v>
      </c>
      <c r="MZ208" s="93">
        <v>50486.511470499987</v>
      </c>
      <c r="NA208" s="93">
        <v>23125.642583333312</v>
      </c>
      <c r="NB208">
        <v>7864.5906586666706</v>
      </c>
      <c r="NC208">
        <v>3855.677803</v>
      </c>
      <c r="ND208">
        <v>3614.8061150000003</v>
      </c>
      <c r="NE208">
        <v>240.87168799999972</v>
      </c>
      <c r="NF208">
        <v>15640.600425499999</v>
      </c>
      <c r="NG208">
        <v>57.850626000000162</v>
      </c>
      <c r="NH208">
        <v>2517.7780749999993</v>
      </c>
      <c r="NI208">
        <v>58.927324999999996</v>
      </c>
      <c r="NJ208">
        <v>393.32100799999944</v>
      </c>
      <c r="NK208">
        <v>26000.098552000007</v>
      </c>
      <c r="NL208">
        <v>11960.235476000011</v>
      </c>
      <c r="NM208">
        <v>0</v>
      </c>
      <c r="NN208">
        <v>14039.863076</v>
      </c>
      <c r="NO208">
        <v>338.19530399999849</v>
      </c>
      <c r="NP208">
        <v>-14647.565340499998</v>
      </c>
      <c r="NQ208">
        <v>-21869.040079499999</v>
      </c>
      <c r="NR208">
        <v>-3973.4992004999967</v>
      </c>
      <c r="NS208">
        <v>-7829.1770035</v>
      </c>
      <c r="NT208">
        <v>-8933.922939499982</v>
      </c>
      <c r="NU208">
        <v>-16155.397678499981</v>
      </c>
      <c r="NV208" s="93">
        <v>24161.181983999999</v>
      </c>
      <c r="NW208" s="93">
        <v>8879.1751039999981</v>
      </c>
      <c r="NX208" s="93">
        <v>9323.5689870000006</v>
      </c>
      <c r="NY208" s="93">
        <v>-444.39388300000036</v>
      </c>
      <c r="NZ208" s="93">
        <v>0</v>
      </c>
      <c r="OA208" s="93">
        <v>15282.006879999999</v>
      </c>
      <c r="OB208" s="93">
        <v>2232.3176899999994</v>
      </c>
      <c r="OC208" s="93">
        <v>13049.689189999999</v>
      </c>
      <c r="OD208" s="20">
        <v>0</v>
      </c>
      <c r="OE208" s="29">
        <v>141</v>
      </c>
      <c r="OF208" s="1504">
        <v>40787</v>
      </c>
      <c r="OG208" s="19"/>
      <c r="OH208" s="93">
        <v>173.66510000000002</v>
      </c>
      <c r="OI208" s="93">
        <v>610.44417321855087</v>
      </c>
      <c r="OJ208" s="93">
        <v>0.89785057099999999</v>
      </c>
      <c r="OK208" s="93">
        <v>522.45922264755086</v>
      </c>
      <c r="OL208" s="93">
        <v>87.087100000000007</v>
      </c>
      <c r="OM208" s="93">
        <v>784.10927321855092</v>
      </c>
      <c r="ON208" s="93">
        <v>596.47281778842876</v>
      </c>
      <c r="OO208" s="93">
        <v>1380.5820910069797</v>
      </c>
      <c r="OP208" s="93"/>
      <c r="OQ208" s="93">
        <v>691.40724442464193</v>
      </c>
      <c r="OR208" s="93">
        <v>239.35801042499997</v>
      </c>
      <c r="OS208" s="93">
        <v>452.0492339996419</v>
      </c>
      <c r="OT208" s="93">
        <v>883.06697881333764</v>
      </c>
      <c r="OU208" s="93">
        <v>-82.726576354000017</v>
      </c>
      <c r="OV208" s="93">
        <v>-85.44457635400002</v>
      </c>
      <c r="OW208" s="93">
        <v>2.7180000000000035</v>
      </c>
      <c r="OX208" s="93">
        <v>965.79355516733767</v>
      </c>
      <c r="OY208" s="93">
        <v>4.301748731</v>
      </c>
      <c r="OZ208" s="93">
        <v>961.4918064363377</v>
      </c>
      <c r="PA208" s="93">
        <v>194.251203</v>
      </c>
      <c r="PB208" s="93">
        <v>-0.35907076900004142</v>
      </c>
      <c r="PC208" s="20">
        <v>1380.5820910069795</v>
      </c>
      <c r="PD208" s="29">
        <v>141</v>
      </c>
      <c r="PE208" s="19"/>
      <c r="PF208" s="93">
        <v>239.35801042499997</v>
      </c>
      <c r="PG208" s="93">
        <v>565.40946915699999</v>
      </c>
      <c r="PH208" s="93">
        <v>326.05145873200001</v>
      </c>
      <c r="PI208" s="93">
        <v>146.36600000000001</v>
      </c>
      <c r="PJ208" s="93">
        <v>-82.890976354000017</v>
      </c>
      <c r="PK208" s="93">
        <v>104.9212232</v>
      </c>
      <c r="PL208" s="93">
        <v>187.81219955400002</v>
      </c>
      <c r="PM208" s="93">
        <v>4.301748731</v>
      </c>
      <c r="PN208" s="93">
        <v>1.1100000000000001</v>
      </c>
      <c r="PO208" s="93">
        <v>0</v>
      </c>
      <c r="PP208" s="93">
        <v>2.2492700000000001E-4</v>
      </c>
      <c r="PQ208" s="93">
        <v>3.191523804</v>
      </c>
      <c r="PR208" s="93">
        <v>308.086804933</v>
      </c>
      <c r="PS208" s="93">
        <v>210.7697</v>
      </c>
      <c r="PT208" s="93">
        <v>96.419254362000004</v>
      </c>
      <c r="PU208" s="93">
        <v>0.89785057099999999</v>
      </c>
      <c r="PV208" s="93">
        <v>0</v>
      </c>
      <c r="PW208" s="93">
        <v>0.564220265</v>
      </c>
      <c r="PX208" s="93">
        <v>0</v>
      </c>
      <c r="PY208" s="93">
        <v>0</v>
      </c>
      <c r="PZ208" s="93">
        <v>0.564220265</v>
      </c>
      <c r="QA208" s="93">
        <v>0</v>
      </c>
      <c r="QB208" s="93">
        <v>0</v>
      </c>
      <c r="QC208" s="93">
        <v>0</v>
      </c>
      <c r="QD208" s="93">
        <v>0.46398273499999998</v>
      </c>
      <c r="QE208" s="20">
        <v>-1.9802251309999996</v>
      </c>
      <c r="QF208" s="1739">
        <v>141</v>
      </c>
      <c r="QG208" s="19"/>
      <c r="QH208" s="1035">
        <v>452.0492339996419</v>
      </c>
      <c r="QI208" s="1035">
        <v>558.07019356366231</v>
      </c>
      <c r="QJ208" s="1035">
        <v>-106.02095956402042</v>
      </c>
      <c r="QK208" s="1035">
        <v>119.71900000000001</v>
      </c>
      <c r="QL208" s="1035">
        <v>34.551000000000002</v>
      </c>
      <c r="QM208" s="1035">
        <v>85.168000000000006</v>
      </c>
      <c r="QN208" s="1035">
        <v>0</v>
      </c>
      <c r="QO208" s="1035">
        <v>2.7180000000000035</v>
      </c>
      <c r="QP208" s="1035">
        <v>119.023</v>
      </c>
      <c r="QQ208" s="1035">
        <v>-116.30499999999999</v>
      </c>
      <c r="QR208" s="1035">
        <v>961.4918064363377</v>
      </c>
      <c r="QS208" s="1035">
        <v>11.013792430289662</v>
      </c>
      <c r="QT208" s="1035">
        <v>0</v>
      </c>
      <c r="QU208" s="1035">
        <v>134.43600000000001</v>
      </c>
      <c r="QV208" s="1035">
        <v>816.04201400604802</v>
      </c>
      <c r="QW208" s="93"/>
      <c r="QX208" s="93">
        <v>157.619</v>
      </c>
      <c r="QY208" s="93">
        <v>522.45922264755086</v>
      </c>
      <c r="QZ208" s="93">
        <v>596.47281778842876</v>
      </c>
      <c r="RA208" s="93">
        <v>0</v>
      </c>
      <c r="RB208" s="93">
        <v>28.816000000000003</v>
      </c>
      <c r="RC208" s="93">
        <v>7.4139999999999997</v>
      </c>
      <c r="RD208" s="93">
        <v>11.923</v>
      </c>
      <c r="RE208" s="93">
        <v>0</v>
      </c>
      <c r="RF208" s="93">
        <v>0</v>
      </c>
      <c r="RG208" s="93">
        <v>145.07</v>
      </c>
      <c r="RH208" s="93">
        <v>66.203999999999979</v>
      </c>
      <c r="RI208" s="93"/>
      <c r="RJ208" s="93"/>
      <c r="RK208" s="93"/>
      <c r="RL208" s="93"/>
      <c r="RM208" s="734"/>
      <c r="RN208" s="29">
        <v>141</v>
      </c>
      <c r="RO208" s="19">
        <v>44</v>
      </c>
      <c r="RP208" s="20"/>
      <c r="RQ208" s="29">
        <v>141</v>
      </c>
      <c r="RR208" s="734">
        <v>2.841078</v>
      </c>
      <c r="RS208" s="29">
        <v>141</v>
      </c>
      <c r="RT208" s="1504">
        <v>40787</v>
      </c>
      <c r="RU208" s="19"/>
      <c r="RV208" s="20"/>
      <c r="RW208" s="29">
        <v>141</v>
      </c>
      <c r="RX208" s="1504">
        <v>40787</v>
      </c>
      <c r="RY208" s="29"/>
      <c r="RZ208" s="734"/>
      <c r="SA208" s="29"/>
      <c r="SB208" s="29">
        <v>141</v>
      </c>
    </row>
    <row r="209" spans="1:496">
      <c r="A209" s="41">
        <f t="shared" si="208"/>
        <v>2011</v>
      </c>
      <c r="B209" s="1504">
        <v>40817</v>
      </c>
      <c r="C209" s="1813"/>
      <c r="D209" s="1814"/>
      <c r="E209" s="1814"/>
      <c r="F209" s="1815"/>
      <c r="G209" s="1814"/>
      <c r="H209" s="1814"/>
      <c r="I209" s="1814"/>
      <c r="J209" s="1816"/>
      <c r="K209" s="1807"/>
      <c r="L209" s="25">
        <v>142</v>
      </c>
      <c r="M209" s="97"/>
      <c r="N209" s="1504">
        <v>40817</v>
      </c>
      <c r="O209" s="19"/>
      <c r="P209" s="93"/>
      <c r="Q209" s="93"/>
      <c r="R209" s="93"/>
      <c r="S209" s="93"/>
      <c r="T209" s="93"/>
      <c r="U209" s="93"/>
      <c r="V209" s="93"/>
      <c r="W209" s="93"/>
      <c r="X209" s="93"/>
      <c r="Y209" s="93"/>
      <c r="Z209" s="93"/>
      <c r="AA209" s="93"/>
      <c r="AB209" s="20"/>
      <c r="AC209" s="25">
        <v>142</v>
      </c>
      <c r="AD209" s="97"/>
      <c r="AE209" s="1504">
        <v>40817</v>
      </c>
      <c r="AF209" s="19"/>
      <c r="AG209" s="93"/>
      <c r="AH209" s="93"/>
      <c r="AI209" s="93"/>
      <c r="AJ209" s="93"/>
      <c r="AK209" s="93"/>
      <c r="AL209" s="93"/>
      <c r="AM209" s="93"/>
      <c r="AN209" s="93"/>
      <c r="AO209" s="93"/>
      <c r="AP209" s="93"/>
      <c r="AQ209" s="93"/>
      <c r="AR209" s="93"/>
      <c r="AS209" s="20"/>
      <c r="AT209" s="25">
        <v>142</v>
      </c>
      <c r="AU209" s="97"/>
      <c r="AV209" s="1504">
        <v>40817</v>
      </c>
      <c r="AW209" s="19"/>
      <c r="AX209" s="93"/>
      <c r="AY209" s="93"/>
      <c r="AZ209" s="93"/>
      <c r="BA209" s="93"/>
      <c r="BB209" s="93"/>
      <c r="BC209" s="93"/>
      <c r="BD209" s="93"/>
      <c r="BE209" s="93"/>
      <c r="BF209" s="93"/>
      <c r="BG209" s="93"/>
      <c r="BH209" s="93"/>
      <c r="BI209" s="93"/>
      <c r="BJ209" s="20"/>
      <c r="BK209" s="25">
        <v>142</v>
      </c>
      <c r="BL209" s="97"/>
      <c r="BM209" s="1504">
        <v>40817</v>
      </c>
      <c r="BN209" s="19"/>
      <c r="BO209" s="93"/>
      <c r="BP209" s="93"/>
      <c r="BQ209" s="93"/>
      <c r="BR209" s="93"/>
      <c r="BS209" s="93"/>
      <c r="BT209" s="93"/>
      <c r="BU209" s="20"/>
      <c r="BV209" s="25">
        <v>142</v>
      </c>
      <c r="BW209" s="97"/>
      <c r="BX209" s="1504">
        <v>40817</v>
      </c>
      <c r="BY209" s="179">
        <v>478.57966762999996</v>
      </c>
      <c r="BZ209" s="99">
        <v>664.95699999999999</v>
      </c>
      <c r="CA209" s="93"/>
      <c r="CB209" s="93"/>
      <c r="CC209" s="99"/>
      <c r="CD209" s="25">
        <v>142</v>
      </c>
      <c r="CE209" s="97"/>
      <c r="CF209" s="1504">
        <v>40817</v>
      </c>
      <c r="CG209" s="179">
        <v>2.438530182</v>
      </c>
      <c r="CH209" s="99">
        <v>1666.43</v>
      </c>
      <c r="CI209" s="219"/>
      <c r="CJ209" s="20"/>
      <c r="CK209" s="19"/>
      <c r="CL209" s="93"/>
      <c r="CM209" s="93"/>
      <c r="CN209" s="93"/>
      <c r="CO209" s="93"/>
      <c r="CP209" s="20"/>
      <c r="CQ209" s="219">
        <v>2116.44</v>
      </c>
      <c r="CR209" s="93">
        <v>2.6920000000000002</v>
      </c>
      <c r="CS209" s="93"/>
      <c r="CT209" s="93"/>
      <c r="CU209" s="93"/>
      <c r="CV209" s="214"/>
      <c r="CW209" s="29">
        <v>142</v>
      </c>
      <c r="CX209" s="41">
        <f t="shared" si="209"/>
        <v>2011</v>
      </c>
      <c r="CY209" s="1504">
        <v>40817</v>
      </c>
      <c r="CZ209" s="1916">
        <v>71.028203213241198</v>
      </c>
      <c r="DA209" s="1526">
        <v>44.028583213241191</v>
      </c>
      <c r="DB209" s="1526">
        <v>26.99962</v>
      </c>
      <c r="DC209" s="182">
        <f t="shared" si="210"/>
        <v>401476</v>
      </c>
      <c r="DD209" s="182">
        <f t="shared" si="211"/>
        <v>400356</v>
      </c>
      <c r="DE209" s="182">
        <f t="shared" si="212"/>
        <v>1120</v>
      </c>
      <c r="DF209" s="29">
        <v>142</v>
      </c>
      <c r="DG209" s="1504">
        <v>40817</v>
      </c>
      <c r="DH209" s="19"/>
      <c r="DI209" s="93"/>
      <c r="DJ209" s="93"/>
      <c r="DK209" s="93"/>
      <c r="DL209" s="93"/>
      <c r="DM209" s="93"/>
      <c r="DN209" s="20"/>
      <c r="DO209" s="25"/>
      <c r="DP209" s="29">
        <v>142</v>
      </c>
      <c r="DQ209" s="1504">
        <v>40817</v>
      </c>
      <c r="DR209" s="19"/>
      <c r="DS209" s="93"/>
      <c r="DT209" s="93"/>
      <c r="DU209" s="93"/>
      <c r="DV209" s="93"/>
      <c r="DW209" s="93"/>
      <c r="DX209" s="20"/>
      <c r="DY209" s="29">
        <v>142</v>
      </c>
      <c r="DZ209" s="1504">
        <v>40817</v>
      </c>
      <c r="EA209" s="19"/>
      <c r="EB209" s="93"/>
      <c r="EC209" s="20"/>
      <c r="ED209" s="29">
        <v>142</v>
      </c>
      <c r="EE209" s="1504">
        <v>40817</v>
      </c>
      <c r="EF209" s="19"/>
      <c r="EG209" s="93"/>
      <c r="EH209" s="93"/>
      <c r="EI209" s="214"/>
      <c r="EJ209" s="93"/>
      <c r="EK209" s="93"/>
      <c r="EL209" s="93"/>
      <c r="EM209" s="93"/>
      <c r="EN209" s="20"/>
      <c r="EO209" s="29">
        <v>142</v>
      </c>
      <c r="EP209" s="1504">
        <v>40817</v>
      </c>
      <c r="EQ209" s="19"/>
      <c r="ER209" s="93"/>
      <c r="ES209" s="93"/>
      <c r="ET209" s="214"/>
      <c r="EU209" s="93"/>
      <c r="EV209" s="93"/>
      <c r="EW209" s="93"/>
      <c r="EX209" s="93"/>
      <c r="EY209" s="20"/>
      <c r="EZ209" s="29">
        <v>142</v>
      </c>
      <c r="FA209" s="1504">
        <v>40817</v>
      </c>
      <c r="FB209" s="29"/>
      <c r="FC209" s="29"/>
      <c r="FD209" s="29"/>
      <c r="FE209" s="29"/>
      <c r="FF209" s="29"/>
      <c r="FG209" s="29"/>
      <c r="FH209" s="29"/>
      <c r="FI209" s="29"/>
      <c r="FJ209" s="29"/>
      <c r="FK209" s="29">
        <v>142</v>
      </c>
      <c r="FL209" s="1504">
        <v>40817</v>
      </c>
      <c r="FM209" s="19">
        <v>104.93573684505193</v>
      </c>
      <c r="FN209" s="93">
        <v>115.5827133927191</v>
      </c>
      <c r="FO209" s="93">
        <v>100.77936598231011</v>
      </c>
      <c r="FP209" s="93">
        <v>101.12941855136965</v>
      </c>
      <c r="FQ209" s="93">
        <v>106.9420897034727</v>
      </c>
      <c r="FR209" s="93">
        <v>98.797689759471496</v>
      </c>
      <c r="FS209" s="93">
        <v>100.46745201344879</v>
      </c>
      <c r="FT209" s="93">
        <v>99.666303679823756</v>
      </c>
      <c r="FU209" s="93">
        <v>60.873375325154633</v>
      </c>
      <c r="FV209" s="93">
        <v>98.973083052725613</v>
      </c>
      <c r="FW209" s="93">
        <v>102.49285068203132</v>
      </c>
      <c r="FX209" s="93">
        <v>112.89377095923957</v>
      </c>
      <c r="FY209" s="93">
        <v>102.77565607247871</v>
      </c>
      <c r="FZ209" s="29">
        <v>142</v>
      </c>
      <c r="GA209" s="1504">
        <v>40817</v>
      </c>
      <c r="GB209" s="733">
        <v>104.93573684505193</v>
      </c>
      <c r="GC209" s="570">
        <v>104.2885882693944</v>
      </c>
      <c r="GD209" s="570">
        <v>105.35292596208998</v>
      </c>
      <c r="GE209" s="570">
        <v>113.22686112043012</v>
      </c>
      <c r="GF209" s="570">
        <v>114.02427830094382</v>
      </c>
      <c r="GG209" s="570">
        <v>101.52195925825434</v>
      </c>
      <c r="GH209" s="93"/>
      <c r="GI209" s="93"/>
      <c r="GJ209" s="93"/>
      <c r="GK209" s="93"/>
      <c r="GL209" s="93"/>
      <c r="GM209" s="93"/>
      <c r="GN209" s="20"/>
      <c r="GO209" s="29">
        <v>142</v>
      </c>
      <c r="GP209" s="1504">
        <v>40817</v>
      </c>
      <c r="GQ209" s="19"/>
      <c r="GR209" s="93"/>
      <c r="GS209" s="93"/>
      <c r="GT209" s="93"/>
      <c r="GU209" s="93"/>
      <c r="GV209" s="20"/>
      <c r="GW209" s="19"/>
      <c r="GX209" s="93"/>
      <c r="GY209" s="93"/>
      <c r="GZ209" s="93"/>
      <c r="HA209" s="93"/>
      <c r="HB209" s="20"/>
      <c r="HC209" s="19"/>
      <c r="HD209" s="93"/>
      <c r="HE209" s="93"/>
      <c r="HF209" s="93"/>
      <c r="HG209" s="93"/>
      <c r="HH209" s="20"/>
      <c r="HI209" s="19"/>
      <c r="HJ209" s="93"/>
      <c r="HK209" s="93"/>
      <c r="HL209" s="93"/>
      <c r="HM209" s="93"/>
      <c r="HN209" s="20"/>
      <c r="HO209" s="219"/>
      <c r="HP209" s="20"/>
      <c r="HQ209" s="25"/>
      <c r="HR209" s="29">
        <v>142</v>
      </c>
      <c r="HS209" s="1504">
        <v>40817</v>
      </c>
      <c r="HT209" s="179">
        <v>203.80548706054688</v>
      </c>
      <c r="HU209" s="99">
        <v>190.97222137451172</v>
      </c>
      <c r="HV209" s="99">
        <v>150</v>
      </c>
      <c r="HW209" s="99">
        <v>99.514564514160156</v>
      </c>
      <c r="HX209" s="99">
        <v>173.96184285481772</v>
      </c>
      <c r="HY209" s="99">
        <v>168.46206512451172</v>
      </c>
      <c r="HZ209" s="99">
        <v>213.62252960205078</v>
      </c>
      <c r="IA209" s="132">
        <v>156.86274719238281</v>
      </c>
      <c r="IB209" s="179">
        <v>174.21603393554688</v>
      </c>
      <c r="IC209" s="99">
        <v>143.52332458496093</v>
      </c>
      <c r="ID209" s="99"/>
      <c r="IE209" s="99">
        <v>124.31578979492187</v>
      </c>
      <c r="IF209" s="99">
        <v>171.875</v>
      </c>
      <c r="IG209" s="132">
        <v>145.26316223144531</v>
      </c>
      <c r="IH209" s="179">
        <v>138.67498245239258</v>
      </c>
      <c r="II209" s="99">
        <v>206.71834309895834</v>
      </c>
      <c r="IJ209" s="99">
        <v>185.81080627441406</v>
      </c>
      <c r="IK209" s="99">
        <v>202.38095601399741</v>
      </c>
      <c r="IL209" s="99">
        <v>166.95461120605469</v>
      </c>
      <c r="IM209" s="99">
        <v>161.29033203124999</v>
      </c>
      <c r="IN209" s="93"/>
      <c r="IO209" s="132">
        <v>197.80200958251953</v>
      </c>
      <c r="IP209" s="29">
        <v>142</v>
      </c>
      <c r="IQ209" s="19"/>
      <c r="IR209" s="93"/>
      <c r="IS209" s="93"/>
      <c r="IT209" s="93"/>
      <c r="IU209" s="93"/>
      <c r="IV209" s="20"/>
      <c r="IW209" s="29">
        <v>142</v>
      </c>
      <c r="IX209" s="19"/>
      <c r="IY209" s="93"/>
      <c r="IZ209" s="93"/>
      <c r="JA209" s="93"/>
      <c r="JB209" s="93"/>
      <c r="JC209" s="93"/>
      <c r="JD209" s="93"/>
      <c r="JE209" s="20"/>
      <c r="JF209" s="29">
        <v>142</v>
      </c>
      <c r="JG209" s="19"/>
      <c r="JH209" s="93"/>
      <c r="JI209" s="93"/>
      <c r="JJ209" s="93"/>
      <c r="JK209" s="93"/>
      <c r="JL209" s="93"/>
      <c r="JM209" s="93"/>
      <c r="JN209" s="20"/>
      <c r="JO209" s="29">
        <v>142</v>
      </c>
      <c r="JP209" s="19"/>
      <c r="JQ209" s="93"/>
      <c r="JR209" s="93"/>
      <c r="JS209" s="93"/>
      <c r="JT209" s="93"/>
      <c r="JU209" s="20"/>
      <c r="JV209" s="29">
        <v>142</v>
      </c>
      <c r="JW209" s="1504">
        <v>40817</v>
      </c>
      <c r="JX209" s="19"/>
      <c r="JY209" s="93"/>
      <c r="JZ209" s="93"/>
      <c r="KA209" s="93"/>
      <c r="KB209" s="93"/>
      <c r="KC209" s="93"/>
      <c r="KD209" s="20"/>
      <c r="KE209" s="29">
        <v>142</v>
      </c>
      <c r="KF209" s="19"/>
      <c r="KG209" s="93"/>
      <c r="KH209" s="93"/>
      <c r="KI209" s="93"/>
      <c r="KJ209" s="93"/>
      <c r="KK209" s="20"/>
      <c r="KL209" s="29">
        <v>142</v>
      </c>
      <c r="KM209" s="19"/>
      <c r="KN209" s="93"/>
      <c r="KO209" s="93"/>
      <c r="KP209" s="93"/>
      <c r="KQ209" s="93"/>
      <c r="KR209" s="20"/>
      <c r="KS209" s="29">
        <v>142</v>
      </c>
      <c r="KT209" s="19"/>
      <c r="KU209" s="93"/>
      <c r="KV209" s="93"/>
      <c r="KW209" s="93"/>
      <c r="KX209" s="93"/>
      <c r="KY209" s="20"/>
      <c r="KZ209" s="29">
        <v>142</v>
      </c>
      <c r="LA209" s="1504">
        <v>40817</v>
      </c>
      <c r="LB209" s="19">
        <v>510</v>
      </c>
      <c r="LC209" s="93">
        <v>740</v>
      </c>
      <c r="LD209" s="93">
        <v>732</v>
      </c>
      <c r="LE209" s="93"/>
      <c r="LF209" s="93">
        <v>656</v>
      </c>
      <c r="LG209" s="93"/>
      <c r="LH209" s="20"/>
      <c r="LI209" s="29">
        <v>142</v>
      </c>
      <c r="LJ209" s="19"/>
      <c r="LK209" s="93"/>
      <c r="LL209" s="93"/>
      <c r="LM209" s="93"/>
      <c r="LN209" s="93"/>
      <c r="LO209" s="20"/>
      <c r="LP209" s="29">
        <v>142</v>
      </c>
      <c r="LQ209" s="19"/>
      <c r="LR209" s="93"/>
      <c r="LS209" s="93"/>
      <c r="LT209" s="93"/>
      <c r="LU209" s="93"/>
      <c r="LV209" s="93"/>
      <c r="LW209" s="93"/>
      <c r="LX209" s="93"/>
      <c r="LY209" s="93"/>
      <c r="LZ209" s="93"/>
      <c r="MA209" s="20"/>
      <c r="MB209" s="29">
        <v>142</v>
      </c>
      <c r="MC209" s="1504">
        <v>40817</v>
      </c>
      <c r="MD209" s="93">
        <v>76718.818675000002</v>
      </c>
      <c r="ME209" s="93">
        <v>69076.282997999995</v>
      </c>
      <c r="MF209" s="93">
        <v>69076.230995999998</v>
      </c>
      <c r="MG209" s="93">
        <v>63807.570461999989</v>
      </c>
      <c r="MH209" s="93">
        <v>23776.793474999995</v>
      </c>
      <c r="MI209" s="93">
        <v>388.51383099999993</v>
      </c>
      <c r="MJ209" s="93">
        <v>477.51773099999997</v>
      </c>
      <c r="MK209" s="93">
        <v>29717.926714999998</v>
      </c>
      <c r="ML209" s="93">
        <v>8966.8144379999994</v>
      </c>
      <c r="MM209" s="93">
        <v>480.00427200000001</v>
      </c>
      <c r="MN209" s="93">
        <v>5268.6605339999996</v>
      </c>
      <c r="MO209" s="93">
        <v>365.16322400000001</v>
      </c>
      <c r="MP209" s="93">
        <v>1651.439318</v>
      </c>
      <c r="MQ209" s="93">
        <v>170.869821</v>
      </c>
      <c r="MR209" s="93">
        <v>8.2800449999999994</v>
      </c>
      <c r="MS209" s="93">
        <v>3072.9081259999998</v>
      </c>
      <c r="MT209" s="93">
        <v>5.2002E-2</v>
      </c>
      <c r="MU209" s="93">
        <v>7642.5356769999999</v>
      </c>
      <c r="MV209" s="93">
        <v>3380.5356770000003</v>
      </c>
      <c r="MW209" s="93">
        <v>4262</v>
      </c>
      <c r="MX209" s="93">
        <v>75952.832555999994</v>
      </c>
      <c r="MY209" s="93">
        <v>83407.150629999989</v>
      </c>
      <c r="MZ209" s="93">
        <v>59050.791310999986</v>
      </c>
      <c r="NA209" s="93">
        <v>22873.676582333355</v>
      </c>
      <c r="NB209">
        <v>6478.8176776666496</v>
      </c>
      <c r="NC209">
        <v>1534.3795270000005</v>
      </c>
      <c r="ND209">
        <v>151.89021499999998</v>
      </c>
      <c r="NE209">
        <v>1382.4893120000004</v>
      </c>
      <c r="NF209">
        <v>28163.917523999982</v>
      </c>
      <c r="NG209">
        <v>0</v>
      </c>
      <c r="NH209">
        <v>5562.9385329999996</v>
      </c>
      <c r="NI209">
        <v>66.540599</v>
      </c>
      <c r="NJ209">
        <v>4250.873582000002</v>
      </c>
      <c r="NK209">
        <v>24356.359318999999</v>
      </c>
      <c r="NL209">
        <v>15709.474710999995</v>
      </c>
      <c r="NM209">
        <v>0</v>
      </c>
      <c r="NN209">
        <v>8646.8846080000003</v>
      </c>
      <c r="NO209">
        <v>-7454.318073999998</v>
      </c>
      <c r="NP209">
        <v>765.98611900000276</v>
      </c>
      <c r="NQ209">
        <v>-6876.5495579999979</v>
      </c>
      <c r="NR209">
        <v>3304.7145769999997</v>
      </c>
      <c r="NS209">
        <v>1770.335049999997</v>
      </c>
      <c r="NT209">
        <v>-8797.3235800000693</v>
      </c>
      <c r="NU209">
        <v>-16439.859257000069</v>
      </c>
      <c r="NV209" s="93">
        <v>-156.35632879999932</v>
      </c>
      <c r="NW209" s="93">
        <v>4272.8459802000007</v>
      </c>
      <c r="NX209" s="93">
        <v>5266.3489310000004</v>
      </c>
      <c r="NY209" s="93">
        <v>-993.50295080000001</v>
      </c>
      <c r="NZ209" s="93">
        <v>0</v>
      </c>
      <c r="OA209" s="93">
        <v>-4429.2023090000002</v>
      </c>
      <c r="OB209" s="93">
        <v>10728.871136000002</v>
      </c>
      <c r="OC209" s="93">
        <v>-15158.073445000002</v>
      </c>
      <c r="OD209" s="20">
        <v>0</v>
      </c>
      <c r="OE209" s="29">
        <v>142</v>
      </c>
      <c r="OF209" s="1504">
        <v>40817</v>
      </c>
      <c r="OG209" s="19"/>
      <c r="OH209" s="93">
        <v>183.50149999999999</v>
      </c>
      <c r="OI209" s="93">
        <v>597.53841377799847</v>
      </c>
      <c r="OJ209" s="93">
        <v>0.62535858200000005</v>
      </c>
      <c r="OK209" s="93">
        <v>509.82595519599852</v>
      </c>
      <c r="OL209" s="93">
        <v>87.087100000000007</v>
      </c>
      <c r="OM209" s="93">
        <v>781.03991377799844</v>
      </c>
      <c r="ON209" s="93">
        <v>594.99899566908186</v>
      </c>
      <c r="OO209" s="93">
        <v>1376.0389094470802</v>
      </c>
      <c r="OP209" s="93"/>
      <c r="OQ209" s="93">
        <v>624.02213541596689</v>
      </c>
      <c r="OR209" s="93">
        <v>196.93483135899993</v>
      </c>
      <c r="OS209" s="93">
        <v>427.08730405696696</v>
      </c>
      <c r="OT209" s="93">
        <v>921.76715118511345</v>
      </c>
      <c r="OU209" s="93">
        <v>-58.845176023999976</v>
      </c>
      <c r="OV209" s="93">
        <v>-53.353176023999985</v>
      </c>
      <c r="OW209" s="93">
        <v>-5.4919999999999902</v>
      </c>
      <c r="OX209" s="93">
        <v>980.61232720911346</v>
      </c>
      <c r="OY209" s="93">
        <v>4.297680401</v>
      </c>
      <c r="OZ209" s="93">
        <v>976.31464680811348</v>
      </c>
      <c r="PA209" s="93">
        <v>201.99449670599998</v>
      </c>
      <c r="PB209" s="93">
        <v>-32.244119552000008</v>
      </c>
      <c r="PC209" s="20">
        <v>1376.0389094470802</v>
      </c>
      <c r="PD209" s="29">
        <v>142</v>
      </c>
      <c r="PE209" s="19"/>
      <c r="PF209" s="93">
        <v>196.93483135899993</v>
      </c>
      <c r="PG209" s="93">
        <v>572.84486921999996</v>
      </c>
      <c r="PH209" s="93">
        <v>375.91003786100003</v>
      </c>
      <c r="PI209" s="93">
        <v>161.292</v>
      </c>
      <c r="PJ209" s="93">
        <v>-50.464776023999988</v>
      </c>
      <c r="PK209" s="93">
        <v>103.97195653600001</v>
      </c>
      <c r="PL209" s="93">
        <v>154.43673256</v>
      </c>
      <c r="PM209" s="93">
        <v>4.297680401</v>
      </c>
      <c r="PN209" s="93">
        <v>1.06</v>
      </c>
      <c r="PO209" s="93">
        <v>0</v>
      </c>
      <c r="PP209" s="93">
        <v>8.5371399999999999E-4</v>
      </c>
      <c r="PQ209" s="93">
        <v>3.2368266870000002</v>
      </c>
      <c r="PR209" s="93">
        <v>312.73302098900001</v>
      </c>
      <c r="PS209" s="93">
        <v>217.16589999999999</v>
      </c>
      <c r="PT209" s="93">
        <v>94.941762406999999</v>
      </c>
      <c r="PU209" s="93">
        <v>0.62535858200000005</v>
      </c>
      <c r="PV209" s="93">
        <v>0</v>
      </c>
      <c r="PW209" s="93">
        <v>0.138058284</v>
      </c>
      <c r="PX209" s="93">
        <v>0</v>
      </c>
      <c r="PY209" s="93">
        <v>0</v>
      </c>
      <c r="PZ209" s="93">
        <v>0.138058284</v>
      </c>
      <c r="QA209" s="93">
        <v>0</v>
      </c>
      <c r="QB209" s="93">
        <v>0</v>
      </c>
      <c r="QC209" s="93">
        <v>0</v>
      </c>
      <c r="QD209" s="93">
        <v>0.45443842200000001</v>
      </c>
      <c r="QE209" s="20">
        <v>-1.2657819589999999</v>
      </c>
      <c r="QF209" s="1739">
        <v>142</v>
      </c>
      <c r="QG209" s="19"/>
      <c r="QH209" s="1035">
        <v>427.08730405696696</v>
      </c>
      <c r="QI209" s="1035">
        <v>549.18035319188652</v>
      </c>
      <c r="QJ209" s="1035">
        <v>-122.09304913491955</v>
      </c>
      <c r="QK209" s="1035">
        <v>114.80499999999999</v>
      </c>
      <c r="QL209" s="1035">
        <v>30.776</v>
      </c>
      <c r="QM209" s="1035">
        <v>84.028999999999996</v>
      </c>
      <c r="QN209" s="1035">
        <v>0</v>
      </c>
      <c r="QO209" s="1035">
        <v>-5.4919999999999902</v>
      </c>
      <c r="QP209" s="1035">
        <v>111.28999999999999</v>
      </c>
      <c r="QQ209" s="1035">
        <v>-116.78199999999998</v>
      </c>
      <c r="QR209" s="1035">
        <v>976.31464680811348</v>
      </c>
      <c r="QS209" s="1035">
        <v>11.128457812489238</v>
      </c>
      <c r="QT209" s="1035">
        <v>0</v>
      </c>
      <c r="QU209" s="1035">
        <v>126.3</v>
      </c>
      <c r="QV209" s="1035">
        <v>838.88618899562425</v>
      </c>
      <c r="QW209" s="93"/>
      <c r="QX209" s="93">
        <v>159.256</v>
      </c>
      <c r="QY209" s="93">
        <v>509.82595519599852</v>
      </c>
      <c r="QZ209" s="93">
        <v>594.99899566908186</v>
      </c>
      <c r="RA209" s="93">
        <v>0</v>
      </c>
      <c r="RB209" s="93">
        <v>28.330999999999996</v>
      </c>
      <c r="RC209" s="93">
        <v>7.4420000000000002</v>
      </c>
      <c r="RD209" s="93">
        <v>16.896000000000001</v>
      </c>
      <c r="RE209" s="93">
        <v>0</v>
      </c>
      <c r="RF209" s="93">
        <v>0</v>
      </c>
      <c r="RG209" s="93">
        <v>148.73299999999998</v>
      </c>
      <c r="RH209" s="93">
        <v>47.231999999999999</v>
      </c>
      <c r="RI209" s="93"/>
      <c r="RJ209" s="93"/>
      <c r="RK209" s="93"/>
      <c r="RL209" s="93"/>
      <c r="RM209" s="734"/>
      <c r="RN209" s="29">
        <v>142</v>
      </c>
      <c r="RO209" s="19">
        <v>23</v>
      </c>
      <c r="RP209" s="20"/>
      <c r="RQ209" s="29">
        <v>142</v>
      </c>
      <c r="RR209" s="734">
        <v>2.2669250000000001</v>
      </c>
      <c r="RS209" s="29">
        <v>142</v>
      </c>
      <c r="RT209" s="1504">
        <v>40817</v>
      </c>
      <c r="RU209" s="19"/>
      <c r="RV209" s="20"/>
      <c r="RW209" s="29">
        <v>142</v>
      </c>
      <c r="RX209" s="1504">
        <v>40817</v>
      </c>
      <c r="RY209" s="29"/>
      <c r="RZ209" s="734"/>
      <c r="SA209" s="29"/>
      <c r="SB209" s="29">
        <v>142</v>
      </c>
    </row>
    <row r="210" spans="1:496">
      <c r="A210" s="41">
        <f t="shared" si="208"/>
        <v>2011</v>
      </c>
      <c r="B210" s="1504">
        <v>40848</v>
      </c>
      <c r="C210" s="1813"/>
      <c r="D210" s="1814"/>
      <c r="E210" s="1814"/>
      <c r="F210" s="1815"/>
      <c r="G210" s="1814"/>
      <c r="H210" s="1814"/>
      <c r="I210" s="1814"/>
      <c r="J210" s="1816"/>
      <c r="K210" s="1807"/>
      <c r="L210" s="25">
        <v>143</v>
      </c>
      <c r="M210" s="97"/>
      <c r="N210" s="1504">
        <v>40848</v>
      </c>
      <c r="O210" s="19"/>
      <c r="P210" s="93"/>
      <c r="Q210" s="93"/>
      <c r="R210" s="93"/>
      <c r="S210" s="93"/>
      <c r="T210" s="93"/>
      <c r="U210" s="93"/>
      <c r="V210" s="93"/>
      <c r="W210" s="93"/>
      <c r="X210" s="93"/>
      <c r="Y210" s="93"/>
      <c r="Z210" s="93"/>
      <c r="AA210" s="93"/>
      <c r="AB210" s="20"/>
      <c r="AC210" s="25">
        <v>143</v>
      </c>
      <c r="AD210" s="97"/>
      <c r="AE210" s="1504">
        <v>40848</v>
      </c>
      <c r="AF210" s="19"/>
      <c r="AG210" s="93"/>
      <c r="AH210" s="93"/>
      <c r="AI210" s="93"/>
      <c r="AJ210" s="93"/>
      <c r="AK210" s="93"/>
      <c r="AL210" s="93"/>
      <c r="AM210" s="93"/>
      <c r="AN210" s="93"/>
      <c r="AO210" s="93"/>
      <c r="AP210" s="93"/>
      <c r="AQ210" s="93"/>
      <c r="AR210" s="93"/>
      <c r="AS210" s="20"/>
      <c r="AT210" s="25">
        <v>143</v>
      </c>
      <c r="AU210" s="97"/>
      <c r="AV210" s="1504">
        <v>40848</v>
      </c>
      <c r="AW210" s="19"/>
      <c r="AX210" s="93"/>
      <c r="AY210" s="93"/>
      <c r="AZ210" s="93"/>
      <c r="BA210" s="93"/>
      <c r="BB210" s="93"/>
      <c r="BC210" s="93"/>
      <c r="BD210" s="93"/>
      <c r="BE210" s="93"/>
      <c r="BF210" s="93"/>
      <c r="BG210" s="93"/>
      <c r="BH210" s="93"/>
      <c r="BI210" s="93"/>
      <c r="BJ210" s="20"/>
      <c r="BK210" s="25">
        <v>143</v>
      </c>
      <c r="BL210" s="97"/>
      <c r="BM210" s="1504">
        <v>40848</v>
      </c>
      <c r="BN210" s="19"/>
      <c r="BO210" s="93"/>
      <c r="BP210" s="93"/>
      <c r="BQ210" s="93"/>
      <c r="BR210" s="93"/>
      <c r="BS210" s="93"/>
      <c r="BT210" s="93"/>
      <c r="BU210" s="20"/>
      <c r="BV210" s="25">
        <v>143</v>
      </c>
      <c r="BW210" s="97"/>
      <c r="BX210" s="1504">
        <v>40848</v>
      </c>
      <c r="BY210" s="179">
        <v>483.89947890000002</v>
      </c>
      <c r="BZ210" s="99">
        <v>664.95699999999999</v>
      </c>
      <c r="CA210" s="93"/>
      <c r="CB210" s="93"/>
      <c r="CC210" s="99">
        <v>310.18571186833105</v>
      </c>
      <c r="CD210" s="25">
        <v>143</v>
      </c>
      <c r="CE210" s="97"/>
      <c r="CF210" s="1504">
        <v>40848</v>
      </c>
      <c r="CG210" s="179">
        <v>2.3077962159999998</v>
      </c>
      <c r="CH210" s="99">
        <v>1739</v>
      </c>
      <c r="CI210" s="219"/>
      <c r="CJ210" s="20"/>
      <c r="CK210" s="19"/>
      <c r="CL210" s="93"/>
      <c r="CM210" s="93"/>
      <c r="CN210" s="93"/>
      <c r="CO210" s="93"/>
      <c r="CP210" s="20"/>
      <c r="CQ210" s="219">
        <v>2116.44</v>
      </c>
      <c r="CR210" s="93">
        <v>2.6575000000000002</v>
      </c>
      <c r="CS210" s="93"/>
      <c r="CT210" s="93"/>
      <c r="CU210" s="93"/>
      <c r="CV210" s="214"/>
      <c r="CW210" s="29">
        <v>143</v>
      </c>
      <c r="CX210" s="41">
        <f t="shared" si="209"/>
        <v>2011</v>
      </c>
      <c r="CY210" s="1504">
        <v>40848</v>
      </c>
      <c r="CZ210" s="1916">
        <v>77.905418052297719</v>
      </c>
      <c r="DA210" s="1526">
        <v>50.455179052297716</v>
      </c>
      <c r="DB210" s="1526">
        <v>27.450239</v>
      </c>
      <c r="DC210" s="182">
        <f t="shared" si="210"/>
        <v>401476</v>
      </c>
      <c r="DD210" s="182">
        <f t="shared" si="211"/>
        <v>400356</v>
      </c>
      <c r="DE210" s="182">
        <f t="shared" si="212"/>
        <v>1120</v>
      </c>
      <c r="DF210" s="29">
        <v>143</v>
      </c>
      <c r="DG210" s="1504">
        <v>40848</v>
      </c>
      <c r="DH210" s="19"/>
      <c r="DI210" s="93"/>
      <c r="DJ210" s="93"/>
      <c r="DK210" s="93"/>
      <c r="DL210" s="93"/>
      <c r="DM210" s="93"/>
      <c r="DN210" s="20"/>
      <c r="DO210" s="25"/>
      <c r="DP210" s="29">
        <v>143</v>
      </c>
      <c r="DQ210" s="1504">
        <v>40848</v>
      </c>
      <c r="DR210" s="19"/>
      <c r="DS210" s="93"/>
      <c r="DT210" s="93"/>
      <c r="DU210" s="93"/>
      <c r="DV210" s="93"/>
      <c r="DW210" s="93"/>
      <c r="DX210" s="20"/>
      <c r="DY210" s="29">
        <v>143</v>
      </c>
      <c r="DZ210" s="1504">
        <v>40848</v>
      </c>
      <c r="EA210" s="19"/>
      <c r="EB210" s="93"/>
      <c r="EC210" s="20"/>
      <c r="ED210" s="29">
        <v>143</v>
      </c>
      <c r="EE210" s="1504">
        <v>40848</v>
      </c>
      <c r="EF210" s="19"/>
      <c r="EG210" s="93"/>
      <c r="EH210" s="93"/>
      <c r="EI210" s="214"/>
      <c r="EJ210" s="93"/>
      <c r="EK210" s="93"/>
      <c r="EL210" s="93"/>
      <c r="EM210" s="93"/>
      <c r="EN210" s="20"/>
      <c r="EO210" s="29">
        <v>143</v>
      </c>
      <c r="EP210" s="1504">
        <v>40848</v>
      </c>
      <c r="EQ210" s="19"/>
      <c r="ER210" s="93"/>
      <c r="ES210" s="93"/>
      <c r="ET210" s="214"/>
      <c r="EU210" s="93"/>
      <c r="EV210" s="93"/>
      <c r="EW210" s="93"/>
      <c r="EX210" s="93"/>
      <c r="EY210" s="20"/>
      <c r="EZ210" s="29">
        <v>143</v>
      </c>
      <c r="FA210" s="1504">
        <v>40848</v>
      </c>
      <c r="FB210" s="29"/>
      <c r="FC210" s="29"/>
      <c r="FD210" s="29"/>
      <c r="FE210" s="29"/>
      <c r="FF210" s="29"/>
      <c r="FG210" s="29"/>
      <c r="FH210" s="29"/>
      <c r="FI210" s="29"/>
      <c r="FJ210" s="29"/>
      <c r="FK210" s="29">
        <v>143</v>
      </c>
      <c r="FL210" s="1504">
        <v>40848</v>
      </c>
      <c r="FM210" s="19">
        <v>104.90964319911966</v>
      </c>
      <c r="FN210" s="93">
        <v>115.35547663414565</v>
      </c>
      <c r="FO210" s="93">
        <v>101.92191832048289</v>
      </c>
      <c r="FP210" s="93">
        <v>101.12941855136965</v>
      </c>
      <c r="FQ210" s="93">
        <v>108.11734580540592</v>
      </c>
      <c r="FR210" s="93">
        <v>98.797689759471496</v>
      </c>
      <c r="FS210" s="93">
        <v>100.46745201344879</v>
      </c>
      <c r="FT210" s="93">
        <v>99.666303679823756</v>
      </c>
      <c r="FU210" s="93">
        <v>60.739935618020716</v>
      </c>
      <c r="FV210" s="93">
        <v>98.973083052725613</v>
      </c>
      <c r="FW210" s="93">
        <v>102.49285068203132</v>
      </c>
      <c r="FX210" s="93">
        <v>112.1532430173457</v>
      </c>
      <c r="FY210" s="93">
        <v>102.77565607247872</v>
      </c>
      <c r="FZ210" s="29">
        <v>143</v>
      </c>
      <c r="GA210" s="1504">
        <v>40848</v>
      </c>
      <c r="GB210" s="733">
        <v>104.90964319911966</v>
      </c>
      <c r="GC210" s="570">
        <v>104.09659297168633</v>
      </c>
      <c r="GD210" s="570">
        <v>105.43356207859357</v>
      </c>
      <c r="GE210" s="570">
        <v>115.64176767846716</v>
      </c>
      <c r="GF210" s="570">
        <v>115.0494985663158</v>
      </c>
      <c r="GG210" s="570">
        <v>101.0063795551531</v>
      </c>
      <c r="GH210" s="93"/>
      <c r="GI210" s="93"/>
      <c r="GJ210" s="93"/>
      <c r="GK210" s="93"/>
      <c r="GL210" s="93"/>
      <c r="GM210" s="93"/>
      <c r="GN210" s="20"/>
      <c r="GO210" s="29">
        <v>143</v>
      </c>
      <c r="GP210" s="1504">
        <v>40848</v>
      </c>
      <c r="GQ210" s="19"/>
      <c r="GR210" s="93"/>
      <c r="GS210" s="93"/>
      <c r="GT210" s="93"/>
      <c r="GU210" s="93"/>
      <c r="GV210" s="20"/>
      <c r="GW210" s="19"/>
      <c r="GX210" s="93"/>
      <c r="GY210" s="93"/>
      <c r="GZ210" s="93"/>
      <c r="HA210" s="93"/>
      <c r="HB210" s="20"/>
      <c r="HC210" s="19"/>
      <c r="HD210" s="93"/>
      <c r="HE210" s="93"/>
      <c r="HF210" s="93"/>
      <c r="HG210" s="93"/>
      <c r="HH210" s="20"/>
      <c r="HI210" s="19"/>
      <c r="HJ210" s="93"/>
      <c r="HK210" s="93"/>
      <c r="HL210" s="93"/>
      <c r="HM210" s="93"/>
      <c r="HN210" s="20"/>
      <c r="HO210" s="219"/>
      <c r="HP210" s="20"/>
      <c r="HQ210" s="25"/>
      <c r="HR210" s="29">
        <v>143</v>
      </c>
      <c r="HS210" s="1504">
        <v>40848</v>
      </c>
      <c r="HT210" s="179">
        <v>225.41909790039063</v>
      </c>
      <c r="HU210" s="99">
        <v>196.90393575032553</v>
      </c>
      <c r="HV210" s="99">
        <v>150</v>
      </c>
      <c r="HW210" s="99">
        <v>109.22330474853516</v>
      </c>
      <c r="HX210" s="99">
        <v>168.35017395019531</v>
      </c>
      <c r="HY210" s="99">
        <v>196.37345695495605</v>
      </c>
      <c r="HZ210" s="99">
        <v>224.74391555786133</v>
      </c>
      <c r="IA210" s="132">
        <v>166.12200927734375</v>
      </c>
      <c r="IB210" s="179"/>
      <c r="IC210" s="99">
        <v>155.44042205810547</v>
      </c>
      <c r="ID210" s="99"/>
      <c r="IE210" s="99">
        <v>113.12636311848958</v>
      </c>
      <c r="IF210" s="99">
        <v>194.67905426025391</v>
      </c>
      <c r="IG210" s="132">
        <v>147.66839599609375</v>
      </c>
      <c r="IH210" s="179">
        <v>134.27192974090576</v>
      </c>
      <c r="II210" s="99">
        <v>202.86321512858072</v>
      </c>
      <c r="IJ210" s="99">
        <v>135.1351318359375</v>
      </c>
      <c r="IK210" s="99">
        <v>172.85714416503907</v>
      </c>
      <c r="IL210" s="99">
        <v>161.11111450195313</v>
      </c>
      <c r="IM210" s="99">
        <v>158.06451416015625</v>
      </c>
      <c r="IN210" s="93"/>
      <c r="IO210" s="132">
        <v>184.66512298583984</v>
      </c>
      <c r="IP210" s="29">
        <v>143</v>
      </c>
      <c r="IQ210" s="19"/>
      <c r="IR210" s="93"/>
      <c r="IS210" s="93"/>
      <c r="IT210" s="93"/>
      <c r="IU210" s="93"/>
      <c r="IV210" s="20"/>
      <c r="IW210" s="29">
        <v>143</v>
      </c>
      <c r="IX210" s="19"/>
      <c r="IY210" s="93"/>
      <c r="IZ210" s="93"/>
      <c r="JA210" s="93"/>
      <c r="JB210" s="93"/>
      <c r="JC210" s="93"/>
      <c r="JD210" s="93"/>
      <c r="JE210" s="20"/>
      <c r="JF210" s="29">
        <v>143</v>
      </c>
      <c r="JG210" s="19"/>
      <c r="JH210" s="93"/>
      <c r="JI210" s="93"/>
      <c r="JJ210" s="93"/>
      <c r="JK210" s="93"/>
      <c r="JL210" s="93"/>
      <c r="JM210" s="93"/>
      <c r="JN210" s="20"/>
      <c r="JO210" s="29">
        <v>143</v>
      </c>
      <c r="JP210" s="19"/>
      <c r="JQ210" s="93"/>
      <c r="JR210" s="93"/>
      <c r="JS210" s="93"/>
      <c r="JT210" s="93"/>
      <c r="JU210" s="20"/>
      <c r="JV210" s="29">
        <v>143</v>
      </c>
      <c r="JW210" s="1504">
        <v>40848</v>
      </c>
      <c r="JX210" s="19"/>
      <c r="JY210" s="93"/>
      <c r="JZ210" s="93"/>
      <c r="KA210" s="93"/>
      <c r="KB210" s="93"/>
      <c r="KC210" s="93"/>
      <c r="KD210" s="20"/>
      <c r="KE210" s="29">
        <v>143</v>
      </c>
      <c r="KF210" s="19"/>
      <c r="KG210" s="93"/>
      <c r="KH210" s="93"/>
      <c r="KI210" s="93"/>
      <c r="KJ210" s="93"/>
      <c r="KK210" s="20"/>
      <c r="KL210" s="29">
        <v>143</v>
      </c>
      <c r="KM210" s="19"/>
      <c r="KN210" s="93"/>
      <c r="KO210" s="93"/>
      <c r="KP210" s="93"/>
      <c r="KQ210" s="93"/>
      <c r="KR210" s="20"/>
      <c r="KS210" s="29">
        <v>143</v>
      </c>
      <c r="KT210" s="19"/>
      <c r="KU210" s="93"/>
      <c r="KV210" s="93"/>
      <c r="KW210" s="93"/>
      <c r="KX210" s="93"/>
      <c r="KY210" s="20"/>
      <c r="KZ210" s="29">
        <v>143</v>
      </c>
      <c r="LA210" s="1504">
        <v>40848</v>
      </c>
      <c r="LB210" s="19">
        <v>510</v>
      </c>
      <c r="LC210" s="93">
        <v>740</v>
      </c>
      <c r="LD210" s="93">
        <v>732</v>
      </c>
      <c r="LE210" s="93"/>
      <c r="LF210" s="93">
        <v>656</v>
      </c>
      <c r="LG210" s="93"/>
      <c r="LH210" s="20"/>
      <c r="LI210" s="29">
        <v>143</v>
      </c>
      <c r="LJ210" s="19"/>
      <c r="LK210" s="93"/>
      <c r="LL210" s="93"/>
      <c r="LM210" s="93"/>
      <c r="LN210" s="93"/>
      <c r="LO210" s="20"/>
      <c r="LP210" s="29">
        <v>143</v>
      </c>
      <c r="LQ210" s="19"/>
      <c r="LR210" s="93"/>
      <c r="LS210" s="93"/>
      <c r="LT210" s="93"/>
      <c r="LU210" s="93"/>
      <c r="LV210" s="93"/>
      <c r="LW210" s="93"/>
      <c r="LX210" s="93"/>
      <c r="LY210" s="93"/>
      <c r="LZ210" s="93"/>
      <c r="MA210" s="20"/>
      <c r="MB210" s="29">
        <v>143</v>
      </c>
      <c r="MC210" s="1504">
        <v>40848</v>
      </c>
      <c r="MD210" s="93">
        <v>142903.001441</v>
      </c>
      <c r="ME210" s="93">
        <v>61564.035814000003</v>
      </c>
      <c r="MF210" s="93">
        <v>61564.022814000004</v>
      </c>
      <c r="MG210" s="93">
        <v>53808.345433000002</v>
      </c>
      <c r="MH210" s="93">
        <v>9877.6253670000006</v>
      </c>
      <c r="MI210" s="93">
        <v>382.60781500000002</v>
      </c>
      <c r="MJ210" s="93">
        <v>504.04366300000004</v>
      </c>
      <c r="MK210" s="93">
        <v>32625.377263000006</v>
      </c>
      <c r="ML210" s="93">
        <v>9866.2726469999998</v>
      </c>
      <c r="MM210" s="93">
        <v>552.418678</v>
      </c>
      <c r="MN210" s="93">
        <v>7755.6773810000004</v>
      </c>
      <c r="MO210" s="93">
        <v>489.76627100000002</v>
      </c>
      <c r="MP210" s="93">
        <v>1573.0070980000005</v>
      </c>
      <c r="MQ210" s="93">
        <v>79.782589000000002</v>
      </c>
      <c r="MR210" s="93">
        <v>128.15640299999998</v>
      </c>
      <c r="MS210" s="93">
        <v>5484.9650199999996</v>
      </c>
      <c r="MT210" s="93">
        <v>1.2999999999999999E-2</v>
      </c>
      <c r="MU210" s="93">
        <v>81338.965626999998</v>
      </c>
      <c r="MV210" s="93">
        <v>2698.0556269999993</v>
      </c>
      <c r="MW210" s="93">
        <v>78640.91</v>
      </c>
      <c r="MX210" s="93">
        <v>93005.247466883331</v>
      </c>
      <c r="MY210" s="93">
        <v>101357.75894588334</v>
      </c>
      <c r="MZ210" s="93">
        <v>47339.523699883328</v>
      </c>
      <c r="NA210" s="93">
        <v>20884.419257999987</v>
      </c>
      <c r="NB210">
        <v>7708.523876083329</v>
      </c>
      <c r="NC210">
        <v>2030.0994969999997</v>
      </c>
      <c r="ND210">
        <v>24.009024</v>
      </c>
      <c r="NE210">
        <v>2006.0904729999997</v>
      </c>
      <c r="NF210">
        <v>16716.481068800014</v>
      </c>
      <c r="NG210">
        <v>0</v>
      </c>
      <c r="NH210">
        <v>1954.2377439999991</v>
      </c>
      <c r="NI210">
        <v>69.397234999999995</v>
      </c>
      <c r="NJ210">
        <v>1951.8828529999998</v>
      </c>
      <c r="NK210">
        <v>54018.235246000011</v>
      </c>
      <c r="NL210">
        <v>33667.555513000014</v>
      </c>
      <c r="NM210">
        <v>0</v>
      </c>
      <c r="NN210">
        <v>20350.679733000004</v>
      </c>
      <c r="NO210">
        <v>-8352.5114790000025</v>
      </c>
      <c r="NP210">
        <v>49897.753974116684</v>
      </c>
      <c r="NQ210">
        <v>-31441.211652883328</v>
      </c>
      <c r="NR210">
        <v>-9060.4324228833393</v>
      </c>
      <c r="NS210">
        <v>-11090.531919883319</v>
      </c>
      <c r="NT210">
        <v>47072.697077116754</v>
      </c>
      <c r="NU210">
        <v>-34266.268549883243</v>
      </c>
      <c r="NV210" s="93">
        <v>-27351.462084999996</v>
      </c>
      <c r="NW210" s="93">
        <v>14427.293099000004</v>
      </c>
      <c r="NX210" s="93">
        <v>17652.624106000003</v>
      </c>
      <c r="NY210" s="93">
        <v>-3225.3310070000002</v>
      </c>
      <c r="NZ210" s="93">
        <v>0</v>
      </c>
      <c r="OA210" s="93">
        <v>-41778.755184000001</v>
      </c>
      <c r="OB210" s="93">
        <v>-41632.177321999996</v>
      </c>
      <c r="OC210" s="93">
        <v>-146.57786199999998</v>
      </c>
      <c r="OD210" s="20">
        <v>0</v>
      </c>
      <c r="OE210" s="29">
        <v>143</v>
      </c>
      <c r="OF210" s="1504">
        <v>40848</v>
      </c>
      <c r="OG210" s="19"/>
      <c r="OH210" s="93">
        <v>175.70183999999998</v>
      </c>
      <c r="OI210" s="93">
        <v>592.52670690287005</v>
      </c>
      <c r="OJ210" s="93">
        <v>0.52568990799999993</v>
      </c>
      <c r="OK210" s="93">
        <v>501.61011699487005</v>
      </c>
      <c r="OL210" s="93">
        <v>90.390899999999988</v>
      </c>
      <c r="OM210" s="93">
        <v>768.22854690286999</v>
      </c>
      <c r="ON210" s="93">
        <v>593.84898183311839</v>
      </c>
      <c r="OO210" s="93">
        <v>1362.0775287359884</v>
      </c>
      <c r="OP210" s="93"/>
      <c r="OQ210" s="93">
        <v>683.06716676662586</v>
      </c>
      <c r="OR210" s="93">
        <v>243.63828348899995</v>
      </c>
      <c r="OS210" s="93">
        <v>439.42888327762586</v>
      </c>
      <c r="OT210" s="93">
        <v>867.20632427336238</v>
      </c>
      <c r="OU210" s="93">
        <v>-122.60001550400001</v>
      </c>
      <c r="OV210" s="93">
        <v>-108.03001550400002</v>
      </c>
      <c r="OW210" s="93">
        <v>-14.569999999999993</v>
      </c>
      <c r="OX210" s="93">
        <v>989.80633977736238</v>
      </c>
      <c r="OY210" s="93">
        <v>4.2991242270000001</v>
      </c>
      <c r="OZ210" s="93">
        <v>985.50721555036239</v>
      </c>
      <c r="PA210" s="93">
        <v>215.84822650899997</v>
      </c>
      <c r="PB210" s="93">
        <v>-27.652264204999959</v>
      </c>
      <c r="PC210" s="20">
        <v>1362.0775287359882</v>
      </c>
      <c r="PD210" s="29">
        <v>143</v>
      </c>
      <c r="PE210" s="19"/>
      <c r="PF210" s="93">
        <v>243.63828348899995</v>
      </c>
      <c r="PG210" s="93">
        <v>551.25844482799994</v>
      </c>
      <c r="PH210" s="93">
        <v>307.62016133899999</v>
      </c>
      <c r="PI210" s="93">
        <v>169</v>
      </c>
      <c r="PJ210" s="93">
        <v>-104.86371550400001</v>
      </c>
      <c r="PK210" s="93">
        <v>104.009080368</v>
      </c>
      <c r="PL210" s="93">
        <v>208.87279587200001</v>
      </c>
      <c r="PM210" s="93">
        <v>4.2991242270000001</v>
      </c>
      <c r="PN210" s="93">
        <v>1.06</v>
      </c>
      <c r="PO210" s="93">
        <v>0</v>
      </c>
      <c r="PP210" s="93">
        <v>6.37972E-4</v>
      </c>
      <c r="PQ210" s="93">
        <v>3.2384862550000002</v>
      </c>
      <c r="PR210" s="93">
        <v>314.749403777</v>
      </c>
      <c r="PS210" s="93">
        <v>209.97814</v>
      </c>
      <c r="PT210" s="93">
        <v>104.245573869</v>
      </c>
      <c r="PU210" s="93">
        <v>0.52568990799999993</v>
      </c>
      <c r="PV210" s="93">
        <v>0</v>
      </c>
      <c r="PW210" s="93">
        <v>0.13531594399999999</v>
      </c>
      <c r="PX210" s="93">
        <v>0</v>
      </c>
      <c r="PY210" s="93">
        <v>0</v>
      </c>
      <c r="PZ210" s="93">
        <v>0.13531594399999999</v>
      </c>
      <c r="QA210" s="93">
        <v>0</v>
      </c>
      <c r="QB210" s="93">
        <v>0</v>
      </c>
      <c r="QC210" s="93">
        <v>0</v>
      </c>
      <c r="QD210" s="93">
        <v>0.463910565</v>
      </c>
      <c r="QE210" s="20">
        <v>-3.274938074</v>
      </c>
      <c r="QF210" s="1739">
        <v>143</v>
      </c>
      <c r="QG210" s="19"/>
      <c r="QH210" s="1035">
        <v>439.42888327762586</v>
      </c>
      <c r="QI210" s="1035">
        <v>554.76778444963747</v>
      </c>
      <c r="QJ210" s="1035">
        <v>-115.3389011720116</v>
      </c>
      <c r="QK210" s="1035">
        <v>147.14400000000001</v>
      </c>
      <c r="QL210" s="1035">
        <v>31.11</v>
      </c>
      <c r="QM210" s="1035">
        <v>116.03400000000001</v>
      </c>
      <c r="QN210" s="1035">
        <v>0</v>
      </c>
      <c r="QO210" s="1035">
        <v>-14.569999999999993</v>
      </c>
      <c r="QP210" s="1035">
        <v>107.554</v>
      </c>
      <c r="QQ210" s="1035">
        <v>-122.124</v>
      </c>
      <c r="QR210" s="1035">
        <v>985.50721555036239</v>
      </c>
      <c r="QS210" s="1035">
        <v>11.183463502173655</v>
      </c>
      <c r="QT210" s="1035">
        <v>0</v>
      </c>
      <c r="QU210" s="1035">
        <v>130.666</v>
      </c>
      <c r="QV210" s="1035">
        <v>843.65775204818874</v>
      </c>
      <c r="QW210" s="93"/>
      <c r="QX210" s="93">
        <v>184.49100000000001</v>
      </c>
      <c r="QY210" s="93">
        <v>501.61011699487005</v>
      </c>
      <c r="QZ210" s="93">
        <v>593.84898183311839</v>
      </c>
      <c r="RA210" s="93">
        <v>0</v>
      </c>
      <c r="RB210" s="93">
        <v>32.340999999999994</v>
      </c>
      <c r="RC210" s="93">
        <v>7.4689999999999994</v>
      </c>
      <c r="RD210" s="93">
        <v>12.149999999999999</v>
      </c>
      <c r="RE210" s="93">
        <v>0</v>
      </c>
      <c r="RF210" s="93">
        <v>0</v>
      </c>
      <c r="RG210" s="93">
        <v>163.28899999999999</v>
      </c>
      <c r="RH210" s="93">
        <v>62.311000000000007</v>
      </c>
      <c r="RI210" s="93"/>
      <c r="RJ210" s="93"/>
      <c r="RK210" s="93"/>
      <c r="RL210" s="93"/>
      <c r="RM210" s="734"/>
      <c r="RN210" s="29">
        <v>143</v>
      </c>
      <c r="RO210" s="19">
        <v>37</v>
      </c>
      <c r="RP210" s="20"/>
      <c r="RQ210" s="29">
        <v>143</v>
      </c>
      <c r="RR210" s="734">
        <v>3.2866520000000001</v>
      </c>
      <c r="RS210" s="29">
        <v>143</v>
      </c>
      <c r="RT210" s="1504">
        <v>40848</v>
      </c>
      <c r="RU210" s="19"/>
      <c r="RV210" s="20"/>
      <c r="RW210" s="29">
        <v>143</v>
      </c>
      <c r="RX210" s="1504">
        <v>40848</v>
      </c>
      <c r="RY210" s="29"/>
      <c r="RZ210" s="734"/>
      <c r="SA210" s="29"/>
      <c r="SB210" s="29">
        <v>143</v>
      </c>
    </row>
    <row r="211" spans="1:496">
      <c r="A211" s="41">
        <f t="shared" si="208"/>
        <v>2011</v>
      </c>
      <c r="B211" s="1504">
        <v>40878</v>
      </c>
      <c r="C211" s="1813"/>
      <c r="D211" s="1814"/>
      <c r="E211" s="1814"/>
      <c r="F211" s="1815"/>
      <c r="G211" s="1814"/>
      <c r="H211" s="1814"/>
      <c r="I211" s="1814"/>
      <c r="J211" s="1816"/>
      <c r="K211" s="1807"/>
      <c r="L211" s="25">
        <v>144</v>
      </c>
      <c r="M211" s="97"/>
      <c r="N211" s="1504">
        <v>40878</v>
      </c>
      <c r="O211" s="19"/>
      <c r="P211" s="93"/>
      <c r="Q211" s="93"/>
      <c r="R211" s="93"/>
      <c r="S211" s="93"/>
      <c r="T211" s="93"/>
      <c r="U211" s="93"/>
      <c r="V211" s="93"/>
      <c r="W211" s="93"/>
      <c r="X211" s="93"/>
      <c r="Y211" s="93"/>
      <c r="Z211" s="93"/>
      <c r="AA211" s="93"/>
      <c r="AB211" s="20"/>
      <c r="AC211" s="25">
        <v>144</v>
      </c>
      <c r="AD211" s="97"/>
      <c r="AE211" s="1504">
        <v>40878</v>
      </c>
      <c r="AF211" s="19"/>
      <c r="AG211" s="93"/>
      <c r="AH211" s="93"/>
      <c r="AI211" s="93"/>
      <c r="AJ211" s="93"/>
      <c r="AK211" s="93"/>
      <c r="AL211" s="93"/>
      <c r="AM211" s="93"/>
      <c r="AN211" s="93"/>
      <c r="AO211" s="93"/>
      <c r="AP211" s="93"/>
      <c r="AQ211" s="93"/>
      <c r="AR211" s="93"/>
      <c r="AS211" s="20"/>
      <c r="AT211" s="25">
        <v>144</v>
      </c>
      <c r="AU211" s="97"/>
      <c r="AV211" s="1504">
        <v>40878</v>
      </c>
      <c r="AW211" s="19"/>
      <c r="AX211" s="93"/>
      <c r="AY211" s="93"/>
      <c r="AZ211" s="93"/>
      <c r="BA211" s="93"/>
      <c r="BB211" s="93"/>
      <c r="BC211" s="93"/>
      <c r="BD211" s="93"/>
      <c r="BE211" s="93"/>
      <c r="BF211" s="93"/>
      <c r="BG211" s="93"/>
      <c r="BH211" s="93"/>
      <c r="BI211" s="93"/>
      <c r="BJ211" s="20"/>
      <c r="BK211" s="25">
        <v>144</v>
      </c>
      <c r="BL211" s="97"/>
      <c r="BM211" s="1504">
        <v>40878</v>
      </c>
      <c r="BN211" s="19"/>
      <c r="BO211" s="93"/>
      <c r="BP211" s="93"/>
      <c r="BQ211" s="93"/>
      <c r="BR211" s="93"/>
      <c r="BS211" s="93"/>
      <c r="BT211" s="93"/>
      <c r="BU211" s="20"/>
      <c r="BV211" s="25">
        <v>144</v>
      </c>
      <c r="BW211" s="97"/>
      <c r="BX211" s="1504">
        <v>40878</v>
      </c>
      <c r="BY211" s="179">
        <v>497.72705245999998</v>
      </c>
      <c r="BZ211" s="99">
        <v>664.95699999999999</v>
      </c>
      <c r="CA211" s="93"/>
      <c r="CB211" s="93"/>
      <c r="CC211" s="99">
        <v>315.12868495443598</v>
      </c>
      <c r="CD211" s="25">
        <v>144</v>
      </c>
      <c r="CE211" s="97"/>
      <c r="CF211" s="1504">
        <v>40878</v>
      </c>
      <c r="CG211" s="179">
        <v>2.1043097899999998</v>
      </c>
      <c r="CH211" s="99">
        <v>1639.97</v>
      </c>
      <c r="CI211" s="219"/>
      <c r="CJ211" s="20"/>
      <c r="CK211" s="19"/>
      <c r="CL211" s="93"/>
      <c r="CM211" s="93"/>
      <c r="CN211" s="93"/>
      <c r="CO211" s="93"/>
      <c r="CP211" s="20"/>
      <c r="CQ211" s="219">
        <v>2116.44</v>
      </c>
      <c r="CR211" s="93">
        <v>2.6133333333333302</v>
      </c>
      <c r="CS211" s="93"/>
      <c r="CT211" s="93"/>
      <c r="CU211" s="93"/>
      <c r="CV211" s="214"/>
      <c r="CW211" s="29">
        <v>144</v>
      </c>
      <c r="CX211" s="41">
        <f t="shared" si="209"/>
        <v>2011</v>
      </c>
      <c r="CY211" s="1504">
        <v>40878</v>
      </c>
      <c r="CZ211" s="1916">
        <v>68.704464440809218</v>
      </c>
      <c r="DA211" s="1526">
        <v>40.775003440809215</v>
      </c>
      <c r="DB211" s="1526">
        <v>27.929461</v>
      </c>
      <c r="DC211" s="182">
        <v>401476</v>
      </c>
      <c r="DD211" s="182">
        <v>400356</v>
      </c>
      <c r="DE211" s="290">
        <v>1120</v>
      </c>
      <c r="DF211" s="29">
        <v>144</v>
      </c>
      <c r="DG211" s="1504">
        <v>40878</v>
      </c>
      <c r="DH211" s="19"/>
      <c r="DI211" s="93"/>
      <c r="DJ211" s="93"/>
      <c r="DK211" s="93"/>
      <c r="DL211" s="93"/>
      <c r="DM211" s="93"/>
      <c r="DN211" s="20"/>
      <c r="DO211" s="25"/>
      <c r="DP211" s="29">
        <v>144</v>
      </c>
      <c r="DQ211" s="1504">
        <v>40878</v>
      </c>
      <c r="DR211" s="19"/>
      <c r="DS211" s="93"/>
      <c r="DT211" s="93"/>
      <c r="DU211" s="93"/>
      <c r="DV211" s="93"/>
      <c r="DW211" s="93"/>
      <c r="DX211" s="20"/>
      <c r="DY211" s="29">
        <v>144</v>
      </c>
      <c r="DZ211" s="1504">
        <v>40878</v>
      </c>
      <c r="EA211" s="19"/>
      <c r="EB211" s="93"/>
      <c r="EC211" s="20"/>
      <c r="ED211" s="29">
        <v>144</v>
      </c>
      <c r="EE211" s="1504">
        <v>40878</v>
      </c>
      <c r="EF211" s="19"/>
      <c r="EG211" s="93"/>
      <c r="EH211" s="93"/>
      <c r="EI211" s="214"/>
      <c r="EJ211" s="93"/>
      <c r="EK211" s="93"/>
      <c r="EL211" s="93"/>
      <c r="EM211" s="93"/>
      <c r="EN211" s="20"/>
      <c r="EO211" s="29">
        <v>144</v>
      </c>
      <c r="EP211" s="1504">
        <v>40878</v>
      </c>
      <c r="EQ211" s="19"/>
      <c r="ER211" s="93"/>
      <c r="ES211" s="93"/>
      <c r="ET211" s="214"/>
      <c r="EU211" s="93"/>
      <c r="EV211" s="93"/>
      <c r="EW211" s="93"/>
      <c r="EX211" s="93"/>
      <c r="EY211" s="20"/>
      <c r="EZ211" s="29">
        <v>144</v>
      </c>
      <c r="FA211" s="1504">
        <v>40878</v>
      </c>
      <c r="FB211" s="29"/>
      <c r="FC211" s="29"/>
      <c r="FD211" s="29"/>
      <c r="FE211" s="29"/>
      <c r="FF211" s="29"/>
      <c r="FG211" s="29"/>
      <c r="FH211" s="29"/>
      <c r="FI211" s="29"/>
      <c r="FJ211" s="29"/>
      <c r="FK211" s="29">
        <v>144</v>
      </c>
      <c r="FL211" s="1504">
        <v>40878</v>
      </c>
      <c r="FM211" s="19">
        <v>105.37384922860534</v>
      </c>
      <c r="FN211" s="93">
        <v>116.15037459083464</v>
      </c>
      <c r="FO211" s="93">
        <v>99.27265760552875</v>
      </c>
      <c r="FP211" s="93">
        <v>101.12941855136965</v>
      </c>
      <c r="FQ211" s="93">
        <v>107.08764597079525</v>
      </c>
      <c r="FR211" s="93">
        <v>98.797689759471496</v>
      </c>
      <c r="FS211" s="93">
        <v>100.46745201344879</v>
      </c>
      <c r="FT211" s="93">
        <v>99.663281048325914</v>
      </c>
      <c r="FU211" s="93">
        <v>63.170344974729112</v>
      </c>
      <c r="FV211" s="93">
        <v>98.973083052725613</v>
      </c>
      <c r="FW211" s="93">
        <v>102.49285068203132</v>
      </c>
      <c r="FX211" s="93">
        <v>113.76665052463829</v>
      </c>
      <c r="FY211" s="93">
        <v>102.77565607247871</v>
      </c>
      <c r="FZ211" s="29">
        <v>144</v>
      </c>
      <c r="GA211" s="1504">
        <v>40878</v>
      </c>
      <c r="GB211" s="733">
        <v>105.37384922860534</v>
      </c>
      <c r="GC211" s="570">
        <v>104.0403258544806</v>
      </c>
      <c r="GD211" s="570">
        <v>106.2335149374197</v>
      </c>
      <c r="GE211" s="570">
        <v>113.89452851292965</v>
      </c>
      <c r="GF211" s="570">
        <v>116.60684244324759</v>
      </c>
      <c r="GG211" s="570">
        <v>101.26481332483492</v>
      </c>
      <c r="GH211" s="93"/>
      <c r="GI211" s="93"/>
      <c r="GJ211" s="93"/>
      <c r="GK211" s="93"/>
      <c r="GL211" s="93"/>
      <c r="GM211" s="93"/>
      <c r="GN211" s="20"/>
      <c r="GO211" s="29">
        <v>144</v>
      </c>
      <c r="GP211" s="1504">
        <v>40878</v>
      </c>
      <c r="GQ211" s="19"/>
      <c r="GR211" s="93"/>
      <c r="GS211" s="93"/>
      <c r="GT211" s="93"/>
      <c r="GU211" s="93"/>
      <c r="GV211" s="20"/>
      <c r="GW211" s="19"/>
      <c r="GX211" s="93"/>
      <c r="GY211" s="93"/>
      <c r="GZ211" s="93"/>
      <c r="HA211" s="93"/>
      <c r="HB211" s="20"/>
      <c r="HC211" s="19"/>
      <c r="HD211" s="93"/>
      <c r="HE211" s="93"/>
      <c r="HF211" s="93"/>
      <c r="HG211" s="93"/>
      <c r="HH211" s="20"/>
      <c r="HI211" s="19"/>
      <c r="HJ211" s="93"/>
      <c r="HK211" s="93"/>
      <c r="HL211" s="93"/>
      <c r="HM211" s="93"/>
      <c r="HN211" s="20"/>
      <c r="HO211" s="219"/>
      <c r="HP211" s="20"/>
      <c r="HQ211" s="25"/>
      <c r="HR211" s="29">
        <v>144</v>
      </c>
      <c r="HS211" s="1504">
        <v>40878</v>
      </c>
      <c r="HT211" s="179">
        <v>238.09712524414061</v>
      </c>
      <c r="HU211" s="99">
        <v>230.20833435058594</v>
      </c>
      <c r="HV211" s="99">
        <v>170</v>
      </c>
      <c r="HW211" s="99">
        <v>118.32524681091309</v>
      </c>
      <c r="HX211" s="99">
        <v>177.77777608235678</v>
      </c>
      <c r="HY211" s="99">
        <v>222.22222137451172</v>
      </c>
      <c r="HZ211" s="99">
        <v>246.30838317871093</v>
      </c>
      <c r="IA211" s="132">
        <v>174.37979634602866</v>
      </c>
      <c r="IB211" s="179"/>
      <c r="IC211" s="99">
        <v>171.19171142578125</v>
      </c>
      <c r="ID211" s="99"/>
      <c r="IE211" s="99">
        <v>120.96774291992188</v>
      </c>
      <c r="IF211" s="99">
        <v>174.05062866210938</v>
      </c>
      <c r="IG211" s="132">
        <v>153.49741744995117</v>
      </c>
      <c r="IH211" s="179">
        <v>153.27713012695313</v>
      </c>
      <c r="II211" s="99">
        <v>205.23880767822266</v>
      </c>
      <c r="IJ211" s="99">
        <v>168.91891479492188</v>
      </c>
      <c r="IK211" s="99">
        <v>178.57142639160156</v>
      </c>
      <c r="IL211" s="99">
        <v>167.70833587646484</v>
      </c>
      <c r="IM211" s="99">
        <v>163.97850036621094</v>
      </c>
      <c r="IN211" s="93"/>
      <c r="IO211" s="132">
        <v>205.80861968994139</v>
      </c>
      <c r="IP211" s="29">
        <v>144</v>
      </c>
      <c r="IQ211" s="19"/>
      <c r="IR211" s="93"/>
      <c r="IS211" s="93"/>
      <c r="IT211" s="93"/>
      <c r="IU211" s="93"/>
      <c r="IV211" s="20"/>
      <c r="IW211" s="29">
        <v>144</v>
      </c>
      <c r="IX211" s="19"/>
      <c r="IY211" s="93"/>
      <c r="IZ211" s="93"/>
      <c r="JA211" s="93"/>
      <c r="JB211" s="93"/>
      <c r="JC211" s="93"/>
      <c r="JD211" s="93"/>
      <c r="JE211" s="20"/>
      <c r="JF211" s="29">
        <v>144</v>
      </c>
      <c r="JG211" s="19"/>
      <c r="JH211" s="93"/>
      <c r="JI211" s="93"/>
      <c r="JJ211" s="93"/>
      <c r="JK211" s="93"/>
      <c r="JL211" s="93"/>
      <c r="JM211" s="93"/>
      <c r="JN211" s="20"/>
      <c r="JO211" s="29">
        <v>144</v>
      </c>
      <c r="JP211" s="19"/>
      <c r="JQ211" s="93"/>
      <c r="JR211" s="93"/>
      <c r="JS211" s="93"/>
      <c r="JT211" s="93"/>
      <c r="JU211" s="20"/>
      <c r="JV211" s="29">
        <v>144</v>
      </c>
      <c r="JW211" s="1504">
        <v>40878</v>
      </c>
      <c r="JX211" s="19"/>
      <c r="JY211" s="93"/>
      <c r="JZ211" s="93"/>
      <c r="KA211" s="93"/>
      <c r="KB211" s="93"/>
      <c r="KC211" s="93"/>
      <c r="KD211" s="20"/>
      <c r="KE211" s="29">
        <v>144</v>
      </c>
      <c r="KF211" s="19"/>
      <c r="KG211" s="93"/>
      <c r="KH211" s="93"/>
      <c r="KI211" s="93"/>
      <c r="KJ211" s="93"/>
      <c r="KK211" s="20"/>
      <c r="KL211" s="29">
        <v>144</v>
      </c>
      <c r="KM211" s="19"/>
      <c r="KN211" s="93"/>
      <c r="KO211" s="93"/>
      <c r="KP211" s="93"/>
      <c r="KQ211" s="93"/>
      <c r="KR211" s="20"/>
      <c r="KS211" s="29">
        <v>144</v>
      </c>
      <c r="KT211" s="19"/>
      <c r="KU211" s="93"/>
      <c r="KV211" s="93"/>
      <c r="KW211" s="93"/>
      <c r="KX211" s="93"/>
      <c r="KY211" s="20"/>
      <c r="KZ211" s="29">
        <v>144</v>
      </c>
      <c r="LA211" s="1504">
        <v>40878</v>
      </c>
      <c r="LB211" s="19">
        <v>510</v>
      </c>
      <c r="LC211" s="93">
        <v>740</v>
      </c>
      <c r="LD211" s="93">
        <v>732</v>
      </c>
      <c r="LE211" s="93"/>
      <c r="LF211" s="93">
        <v>656</v>
      </c>
      <c r="LG211" s="93"/>
      <c r="LH211" s="20"/>
      <c r="LI211" s="29">
        <v>144</v>
      </c>
      <c r="LJ211" s="19"/>
      <c r="LK211" s="93"/>
      <c r="LL211" s="93"/>
      <c r="LM211" s="93"/>
      <c r="LN211" s="93"/>
      <c r="LO211" s="20"/>
      <c r="LP211" s="29">
        <v>144</v>
      </c>
      <c r="LQ211" s="19"/>
      <c r="LR211" s="93"/>
      <c r="LS211" s="93"/>
      <c r="LT211" s="93"/>
      <c r="LU211" s="93"/>
      <c r="LV211" s="93"/>
      <c r="LW211" s="93"/>
      <c r="LX211" s="93"/>
      <c r="LY211" s="93"/>
      <c r="LZ211" s="93"/>
      <c r="MA211" s="20"/>
      <c r="MB211" s="29">
        <v>144</v>
      </c>
      <c r="MC211" s="1504">
        <v>40878</v>
      </c>
      <c r="MD211" s="93">
        <v>97818.727452999985</v>
      </c>
      <c r="ME211" s="93">
        <v>82294.357121999972</v>
      </c>
      <c r="MF211" s="93">
        <v>82294.304120999979</v>
      </c>
      <c r="MG211" s="93">
        <v>62789.555408999971</v>
      </c>
      <c r="MH211" s="93">
        <v>12760.376165999985</v>
      </c>
      <c r="MI211" s="93">
        <v>891.0704750000001</v>
      </c>
      <c r="MJ211" s="93">
        <v>458.96717400000006</v>
      </c>
      <c r="MK211" s="93">
        <v>36905.126651999992</v>
      </c>
      <c r="ML211" s="93">
        <v>11325.407783999997</v>
      </c>
      <c r="MM211" s="93">
        <v>448.60715800000003</v>
      </c>
      <c r="MN211" s="93">
        <v>19504.748712000004</v>
      </c>
      <c r="MO211" s="93">
        <v>399.64907300000004</v>
      </c>
      <c r="MP211" s="93">
        <v>2332.9384239999995</v>
      </c>
      <c r="MQ211" s="93">
        <v>120.07049699999989</v>
      </c>
      <c r="MR211" s="93">
        <v>6201.0418159999999</v>
      </c>
      <c r="MS211" s="93">
        <v>10451.048902000006</v>
      </c>
      <c r="MT211" s="93">
        <v>5.3000999999999979E-2</v>
      </c>
      <c r="MU211" s="93">
        <v>15524.370331000004</v>
      </c>
      <c r="MV211" s="93">
        <v>10735.885331000003</v>
      </c>
      <c r="MW211" s="93">
        <v>4788.4849999999997</v>
      </c>
      <c r="MX211" s="93">
        <v>175572.04863758339</v>
      </c>
      <c r="MY211" s="93">
        <v>162063.32633558335</v>
      </c>
      <c r="MZ211" s="93">
        <v>83266.926498583358</v>
      </c>
      <c r="NA211" s="93">
        <v>30754.353243000001</v>
      </c>
      <c r="NB211">
        <v>12630.05805158335</v>
      </c>
      <c r="NC211">
        <v>3842.9965740000002</v>
      </c>
      <c r="ND211">
        <v>1712.6286480000001</v>
      </c>
      <c r="NE211">
        <v>2130.3679259999999</v>
      </c>
      <c r="NF211">
        <v>36039.518630000013</v>
      </c>
      <c r="NG211">
        <v>50</v>
      </c>
      <c r="NH211">
        <v>1412.2370450000019</v>
      </c>
      <c r="NI211">
        <v>0</v>
      </c>
      <c r="NJ211">
        <v>15079.191999999999</v>
      </c>
      <c r="NK211">
        <v>78796.399837000004</v>
      </c>
      <c r="NL211">
        <v>59944.418081999989</v>
      </c>
      <c r="NM211">
        <v>2364.8346270000002</v>
      </c>
      <c r="NN211">
        <v>16487.147128000004</v>
      </c>
      <c r="NO211">
        <v>13508.722302000002</v>
      </c>
      <c r="NP211">
        <v>-77753.321184583401</v>
      </c>
      <c r="NQ211">
        <v>-93277.691515583399</v>
      </c>
      <c r="NR211">
        <v>-72947.547813583398</v>
      </c>
      <c r="NS211">
        <v>-76790.544387583403</v>
      </c>
      <c r="NT211">
        <v>-36237.313262583397</v>
      </c>
      <c r="NU211">
        <v>-51761.683593583395</v>
      </c>
      <c r="NV211" s="93">
        <v>9525.1534527999938</v>
      </c>
      <c r="NW211" s="93">
        <v>-580.77720820000116</v>
      </c>
      <c r="NX211" s="93">
        <v>5751.2617969999992</v>
      </c>
      <c r="NY211" s="93">
        <v>-6332.0390052000002</v>
      </c>
      <c r="NZ211" s="93">
        <v>0</v>
      </c>
      <c r="OA211" s="93">
        <v>10105.930660999997</v>
      </c>
      <c r="OB211" s="93">
        <v>6708.1650249999984</v>
      </c>
      <c r="OC211" s="93">
        <v>3397.7656359999978</v>
      </c>
      <c r="OD211" s="20">
        <v>0</v>
      </c>
      <c r="OE211" s="29">
        <v>144</v>
      </c>
      <c r="OF211" s="1504">
        <v>40878</v>
      </c>
      <c r="OG211" s="19"/>
      <c r="OH211" s="93">
        <v>189.53030000000001</v>
      </c>
      <c r="OI211" s="93">
        <v>679.02782565916687</v>
      </c>
      <c r="OJ211" s="93">
        <v>0.56292497200000002</v>
      </c>
      <c r="OK211" s="93">
        <v>593.58800068716687</v>
      </c>
      <c r="OL211" s="93">
        <v>84.876899999999992</v>
      </c>
      <c r="OM211" s="93">
        <v>868.55812565916688</v>
      </c>
      <c r="ON211" s="93">
        <v>597.71116451189084</v>
      </c>
      <c r="OO211" s="93">
        <v>1466.2692901710577</v>
      </c>
      <c r="OP211" s="93"/>
      <c r="OQ211" s="93">
        <v>720.66271644558333</v>
      </c>
      <c r="OR211" s="93">
        <v>271.05454604799996</v>
      </c>
      <c r="OS211" s="93">
        <v>449.60817039758342</v>
      </c>
      <c r="OT211" s="93">
        <v>938.60491853847429</v>
      </c>
      <c r="OU211" s="93">
        <v>-91.668534701000027</v>
      </c>
      <c r="OV211" s="93">
        <v>-80.240534701000016</v>
      </c>
      <c r="OW211" s="93">
        <v>-11.428000000000011</v>
      </c>
      <c r="OX211" s="93">
        <v>1030.2734532394743</v>
      </c>
      <c r="OY211" s="93">
        <v>4.2484584380000001</v>
      </c>
      <c r="OZ211" s="93">
        <v>1026.0249948014743</v>
      </c>
      <c r="PA211" s="93">
        <v>226.56002313400001</v>
      </c>
      <c r="PB211" s="93">
        <v>-33.561678320999967</v>
      </c>
      <c r="PC211" s="20">
        <v>1466.2692901710577</v>
      </c>
      <c r="PD211" s="29">
        <v>144</v>
      </c>
      <c r="PE211" s="19"/>
      <c r="PF211" s="93">
        <v>271.05454604799996</v>
      </c>
      <c r="PG211" s="93">
        <v>566.20959244599999</v>
      </c>
      <c r="PH211" s="93">
        <v>295.15504639800002</v>
      </c>
      <c r="PI211" s="93">
        <v>153.31090740100001</v>
      </c>
      <c r="PJ211" s="93">
        <v>-76.952834701000015</v>
      </c>
      <c r="PK211" s="93">
        <v>108.88339007899999</v>
      </c>
      <c r="PL211" s="93">
        <v>185.83622478000001</v>
      </c>
      <c r="PM211" s="93">
        <v>4.2484584380000001</v>
      </c>
      <c r="PN211" s="93">
        <v>1.06</v>
      </c>
      <c r="PO211" s="93">
        <v>0</v>
      </c>
      <c r="PP211" s="93">
        <v>0</v>
      </c>
      <c r="PQ211" s="93">
        <v>3.1884584379999996</v>
      </c>
      <c r="PR211" s="93">
        <v>351.61618278400005</v>
      </c>
      <c r="PS211" s="93">
        <v>228.67400000000001</v>
      </c>
      <c r="PT211" s="93">
        <v>122.37925781200001</v>
      </c>
      <c r="PU211" s="93">
        <v>0.56292497200000002</v>
      </c>
      <c r="PV211" s="93">
        <v>0</v>
      </c>
      <c r="PW211" s="93">
        <v>1.055540524</v>
      </c>
      <c r="PX211" s="93">
        <v>0</v>
      </c>
      <c r="PY211" s="93">
        <v>0</v>
      </c>
      <c r="PZ211" s="93">
        <v>1.055540524</v>
      </c>
      <c r="QA211" s="93">
        <v>0</v>
      </c>
      <c r="QB211" s="93">
        <v>0</v>
      </c>
      <c r="QC211" s="93">
        <v>0</v>
      </c>
      <c r="QD211" s="93">
        <v>0.49948260999999999</v>
      </c>
      <c r="QE211" s="20">
        <v>-1.510128731999993</v>
      </c>
      <c r="QF211" s="1739">
        <v>144</v>
      </c>
      <c r="QG211" s="19"/>
      <c r="QH211" s="1035">
        <v>449.60817039758342</v>
      </c>
      <c r="QI211" s="1035">
        <v>588.01400519852564</v>
      </c>
      <c r="QJ211" s="1035">
        <v>-138.40583480094222</v>
      </c>
      <c r="QK211" s="1035">
        <v>155.75800000000001</v>
      </c>
      <c r="QL211" s="1035">
        <v>35.856000000000002</v>
      </c>
      <c r="QM211" s="1035">
        <v>119.902</v>
      </c>
      <c r="QN211" s="1035">
        <v>0</v>
      </c>
      <c r="QO211" s="1035">
        <v>-11.428000000000011</v>
      </c>
      <c r="QP211" s="1035">
        <v>115.559</v>
      </c>
      <c r="QQ211" s="1035">
        <v>-126.98700000000001</v>
      </c>
      <c r="QR211" s="1035">
        <v>1026.0249948014743</v>
      </c>
      <c r="QS211" s="1035">
        <v>13.469099141507126</v>
      </c>
      <c r="QT211" s="1035">
        <v>0</v>
      </c>
      <c r="QU211" s="1035">
        <v>140.738</v>
      </c>
      <c r="QV211" s="1035">
        <v>871.81789565996723</v>
      </c>
      <c r="QW211" s="93"/>
      <c r="QX211" s="93">
        <v>153.60400000000001</v>
      </c>
      <c r="QY211" s="93">
        <v>593.58800068716687</v>
      </c>
      <c r="QZ211" s="93">
        <v>597.71116451189084</v>
      </c>
      <c r="RA211" s="93">
        <v>0</v>
      </c>
      <c r="RB211" s="93">
        <v>29.885000000000002</v>
      </c>
      <c r="RC211" s="93">
        <v>7.1429999999999998</v>
      </c>
      <c r="RD211" s="93">
        <v>8.9509999999999987</v>
      </c>
      <c r="RE211" s="93">
        <v>0</v>
      </c>
      <c r="RF211" s="93">
        <v>0</v>
      </c>
      <c r="RG211" s="93">
        <v>179.02600000000001</v>
      </c>
      <c r="RH211" s="93">
        <v>50.055000000000007</v>
      </c>
      <c r="RI211" s="93"/>
      <c r="RJ211" s="93"/>
      <c r="RK211" s="93"/>
      <c r="RL211" s="93"/>
      <c r="RM211" s="734"/>
      <c r="RN211" s="29">
        <v>144</v>
      </c>
      <c r="RO211" s="19">
        <v>36</v>
      </c>
      <c r="RP211" s="20"/>
      <c r="RQ211" s="29">
        <v>144</v>
      </c>
      <c r="RR211" s="734">
        <v>3.032397</v>
      </c>
      <c r="RS211" s="29">
        <v>144</v>
      </c>
      <c r="RT211" s="1504">
        <v>40878</v>
      </c>
      <c r="RU211" s="19"/>
      <c r="RV211" s="20"/>
      <c r="RW211" s="29">
        <v>144</v>
      </c>
      <c r="RX211" s="1504">
        <v>40878</v>
      </c>
      <c r="RY211" s="29"/>
      <c r="RZ211" s="734"/>
      <c r="SA211" s="29"/>
      <c r="SB211" s="29">
        <v>144</v>
      </c>
    </row>
    <row r="212" spans="1:496">
      <c r="A212" s="41">
        <f t="shared" si="208"/>
        <v>2012</v>
      </c>
      <c r="B212" s="1504">
        <v>40909</v>
      </c>
      <c r="C212" s="1813"/>
      <c r="D212" s="1814"/>
      <c r="E212" s="1814"/>
      <c r="F212" s="1815"/>
      <c r="G212" s="1814"/>
      <c r="H212" s="1814"/>
      <c r="I212" s="1814"/>
      <c r="J212" s="1816"/>
      <c r="K212" s="1807"/>
      <c r="L212" s="25">
        <v>145</v>
      </c>
      <c r="M212" s="97"/>
      <c r="N212" s="1504">
        <v>40909</v>
      </c>
      <c r="O212" s="19"/>
      <c r="P212" s="93"/>
      <c r="Q212" s="93"/>
      <c r="R212" s="93"/>
      <c r="S212" s="93"/>
      <c r="T212" s="93"/>
      <c r="U212" s="93"/>
      <c r="V212" s="93"/>
      <c r="W212" s="93"/>
      <c r="X212" s="93"/>
      <c r="Y212" s="93"/>
      <c r="Z212" s="93"/>
      <c r="AA212" s="93"/>
      <c r="AB212" s="20"/>
      <c r="AC212" s="25">
        <v>145</v>
      </c>
      <c r="AD212" s="97"/>
      <c r="AE212" s="1504">
        <v>40909</v>
      </c>
      <c r="AF212" s="19"/>
      <c r="AG212" s="93"/>
      <c r="AH212" s="93"/>
      <c r="AI212" s="93"/>
      <c r="AJ212" s="93"/>
      <c r="AK212" s="93"/>
      <c r="AL212" s="93"/>
      <c r="AM212" s="93"/>
      <c r="AN212" s="93"/>
      <c r="AO212" s="93"/>
      <c r="AP212" s="93"/>
      <c r="AQ212" s="93"/>
      <c r="AR212" s="93"/>
      <c r="AS212" s="20"/>
      <c r="AT212" s="25">
        <v>145</v>
      </c>
      <c r="AU212" s="97"/>
      <c r="AV212" s="1504">
        <v>40909</v>
      </c>
      <c r="AW212" s="19"/>
      <c r="AX212" s="93"/>
      <c r="AY212" s="93"/>
      <c r="AZ212" s="93"/>
      <c r="BA212" s="93"/>
      <c r="BB212" s="93"/>
      <c r="BC212" s="93"/>
      <c r="BD212" s="93"/>
      <c r="BE212" s="93"/>
      <c r="BF212" s="93"/>
      <c r="BG212" s="93"/>
      <c r="BH212" s="93"/>
      <c r="BI212" s="93"/>
      <c r="BJ212" s="20"/>
      <c r="BK212" s="25">
        <v>145</v>
      </c>
      <c r="BL212" s="97"/>
      <c r="BM212" s="1504">
        <v>40909</v>
      </c>
      <c r="BN212" s="19"/>
      <c r="BO212" s="93"/>
      <c r="BP212" s="93"/>
      <c r="BQ212" s="93"/>
      <c r="BR212" s="93"/>
      <c r="BS212" s="93"/>
      <c r="BT212" s="93"/>
      <c r="BU212" s="20"/>
      <c r="BV212" s="25">
        <v>145</v>
      </c>
      <c r="BW212" s="97"/>
      <c r="BX212" s="1504">
        <v>40909</v>
      </c>
      <c r="BY212" s="179">
        <v>508.30107930000003</v>
      </c>
      <c r="BZ212" s="99">
        <v>664.95699999999999</v>
      </c>
      <c r="CA212" s="93"/>
      <c r="CB212" s="93"/>
      <c r="CC212" s="99">
        <v>315.72642161603733</v>
      </c>
      <c r="CD212" s="25">
        <v>145</v>
      </c>
      <c r="CE212" s="97"/>
      <c r="CF212" s="1504">
        <v>40909</v>
      </c>
      <c r="CG212" s="179">
        <v>2.2290912820000002</v>
      </c>
      <c r="CH212" s="99">
        <v>1654.05</v>
      </c>
      <c r="CI212" s="219"/>
      <c r="CJ212" s="20"/>
      <c r="CK212" s="19"/>
      <c r="CL212" s="93"/>
      <c r="CM212" s="93"/>
      <c r="CN212" s="93"/>
      <c r="CO212" s="93"/>
      <c r="CP212" s="20"/>
      <c r="CQ212" s="219">
        <v>2116.44</v>
      </c>
      <c r="CR212" s="93">
        <v>2.6320000000000001</v>
      </c>
      <c r="CS212" s="93"/>
      <c r="CT212" s="93"/>
      <c r="CU212" s="93"/>
      <c r="CV212" s="214"/>
      <c r="CW212" s="29">
        <v>145</v>
      </c>
      <c r="CX212" s="41">
        <f t="shared" si="209"/>
        <v>2012</v>
      </c>
      <c r="CY212" s="1504">
        <v>40909</v>
      </c>
      <c r="CZ212" s="1916">
        <v>73.565021999999999</v>
      </c>
      <c r="DA212" s="1526">
        <v>43.830710000000003</v>
      </c>
      <c r="DB212" s="1526">
        <v>29.734311999999999</v>
      </c>
      <c r="DC212" s="182">
        <f t="shared" ref="DC212:DC222" si="213">DC213</f>
        <v>436250</v>
      </c>
      <c r="DD212" s="182">
        <f t="shared" ref="DD212:DD222" si="214">DD213</f>
        <v>435032</v>
      </c>
      <c r="DE212" s="182">
        <f t="shared" ref="DE212:DE222" si="215">DE213</f>
        <v>1218</v>
      </c>
      <c r="DF212" s="29">
        <v>145</v>
      </c>
      <c r="DG212" s="1504">
        <v>40909</v>
      </c>
      <c r="DH212" s="19"/>
      <c r="DI212" s="93"/>
      <c r="DJ212" s="93"/>
      <c r="DK212" s="93"/>
      <c r="DL212" s="93"/>
      <c r="DM212" s="93"/>
      <c r="DN212" s="20"/>
      <c r="DO212" s="25"/>
      <c r="DP212" s="29">
        <v>145</v>
      </c>
      <c r="DQ212" s="1504">
        <v>40909</v>
      </c>
      <c r="DR212" s="19"/>
      <c r="DS212" s="93"/>
      <c r="DT212" s="93"/>
      <c r="DU212" s="93"/>
      <c r="DV212" s="93"/>
      <c r="DW212" s="93"/>
      <c r="DX212" s="20"/>
      <c r="DY212" s="29">
        <v>145</v>
      </c>
      <c r="DZ212" s="1504">
        <v>40909</v>
      </c>
      <c r="EA212" s="19"/>
      <c r="EB212" s="93"/>
      <c r="EC212" s="20"/>
      <c r="ED212" s="29">
        <v>145</v>
      </c>
      <c r="EE212" s="1504">
        <v>40909</v>
      </c>
      <c r="EF212" s="19"/>
      <c r="EG212" s="93"/>
      <c r="EH212" s="93"/>
      <c r="EI212" s="214"/>
      <c r="EJ212" s="93"/>
      <c r="EK212" s="93"/>
      <c r="EL212" s="93"/>
      <c r="EM212" s="93"/>
      <c r="EN212" s="20"/>
      <c r="EO212" s="29">
        <v>145</v>
      </c>
      <c r="EP212" s="1504">
        <v>40909</v>
      </c>
      <c r="EQ212" s="19"/>
      <c r="ER212" s="93"/>
      <c r="ES212" s="93"/>
      <c r="ET212" s="214"/>
      <c r="EU212" s="93"/>
      <c r="EV212" s="93"/>
      <c r="EW212" s="93"/>
      <c r="EX212" s="93"/>
      <c r="EY212" s="20"/>
      <c r="EZ212" s="29">
        <v>145</v>
      </c>
      <c r="FA212" s="1504">
        <v>40909</v>
      </c>
      <c r="FB212" s="29"/>
      <c r="FC212" s="29"/>
      <c r="FD212" s="29"/>
      <c r="FE212" s="29"/>
      <c r="FF212" s="29"/>
      <c r="FG212" s="29"/>
      <c r="FH212" s="29"/>
      <c r="FI212" s="29"/>
      <c r="FJ212" s="29"/>
      <c r="FK212" s="29">
        <v>145</v>
      </c>
      <c r="FL212" s="1504">
        <v>40909</v>
      </c>
      <c r="FM212" s="19">
        <v>103.83634134065221</v>
      </c>
      <c r="FN212" s="93">
        <v>111.5146712863432</v>
      </c>
      <c r="FO212" s="93">
        <v>100.90150083708751</v>
      </c>
      <c r="FP212" s="93">
        <v>101.23920745828219</v>
      </c>
      <c r="FQ212" s="93">
        <v>107.95877406610578</v>
      </c>
      <c r="FR212" s="93">
        <v>98.802148295417979</v>
      </c>
      <c r="FS212" s="93">
        <v>100.4657108249869</v>
      </c>
      <c r="FT212" s="93">
        <v>99.702152642925995</v>
      </c>
      <c r="FU212" s="93">
        <v>63.680038672195543</v>
      </c>
      <c r="FV212" s="93">
        <v>98.918983512015942</v>
      </c>
      <c r="FW212" s="93">
        <v>102.49285068203132</v>
      </c>
      <c r="FX212" s="93">
        <v>113.76619256054312</v>
      </c>
      <c r="FY212" s="93">
        <v>102.9741879379405</v>
      </c>
      <c r="FZ212" s="29">
        <v>145</v>
      </c>
      <c r="GA212" s="1504">
        <v>40909</v>
      </c>
      <c r="GB212" s="733">
        <v>103.836341340652</v>
      </c>
      <c r="GC212" s="570">
        <v>102.77665726067461</v>
      </c>
      <c r="GD212" s="570">
        <v>104.52107824238732</v>
      </c>
      <c r="GE212" s="570">
        <v>105.21354584126118</v>
      </c>
      <c r="GF212" s="570">
        <v>109.59420813929073</v>
      </c>
      <c r="GG212" s="570">
        <v>101.5375894934277</v>
      </c>
      <c r="GH212" s="93"/>
      <c r="GI212" s="93"/>
      <c r="GJ212" s="93"/>
      <c r="GK212" s="93"/>
      <c r="GL212" s="93"/>
      <c r="GM212" s="93"/>
      <c r="GN212" s="20"/>
      <c r="GO212" s="29">
        <v>145</v>
      </c>
      <c r="GP212" s="1504">
        <v>40909</v>
      </c>
      <c r="GQ212" s="19"/>
      <c r="GR212" s="93"/>
      <c r="GS212" s="93"/>
      <c r="GT212" s="93"/>
      <c r="GU212" s="93"/>
      <c r="GV212" s="20"/>
      <c r="GW212" s="19"/>
      <c r="GX212" s="93"/>
      <c r="GY212" s="93"/>
      <c r="GZ212" s="93"/>
      <c r="HA212" s="93"/>
      <c r="HB212" s="20"/>
      <c r="HC212" s="19"/>
      <c r="HD212" s="93"/>
      <c r="HE212" s="93"/>
      <c r="HF212" s="93"/>
      <c r="HG212" s="93"/>
      <c r="HH212" s="20"/>
      <c r="HI212" s="19"/>
      <c r="HJ212" s="93"/>
      <c r="HK212" s="93"/>
      <c r="HL212" s="93"/>
      <c r="HM212" s="93"/>
      <c r="HN212" s="20"/>
      <c r="HO212" s="219"/>
      <c r="HP212" s="20"/>
      <c r="HQ212" s="25"/>
      <c r="HR212" s="29">
        <v>145</v>
      </c>
      <c r="HS212" s="1504">
        <v>40909</v>
      </c>
      <c r="HT212" s="179">
        <v>215.99477539062499</v>
      </c>
      <c r="HU212" s="99">
        <v>234.375</v>
      </c>
      <c r="HV212" s="99">
        <v>183.33332824707031</v>
      </c>
      <c r="HW212" s="99">
        <v>148.6650562286377</v>
      </c>
      <c r="HX212" s="99">
        <v>183.33332824707031</v>
      </c>
      <c r="HY212" s="99">
        <v>220.48611068725586</v>
      </c>
      <c r="HZ212" s="99">
        <v>243.77118072509765</v>
      </c>
      <c r="IA212" s="132">
        <v>168.95161819458008</v>
      </c>
      <c r="IB212" s="179">
        <v>175.95819473266602</v>
      </c>
      <c r="IC212" s="99">
        <v>165.15544128417969</v>
      </c>
      <c r="ID212" s="99"/>
      <c r="IE212" s="99">
        <v>141.96721801757812</v>
      </c>
      <c r="IF212" s="99">
        <v>200</v>
      </c>
      <c r="IG212" s="132">
        <v>171.65775146484376</v>
      </c>
      <c r="IH212" s="179">
        <v>142.36254425048827</v>
      </c>
      <c r="II212" s="99">
        <v>210.95117378234863</v>
      </c>
      <c r="IJ212" s="99">
        <v>168.91891479492188</v>
      </c>
      <c r="IK212" s="99">
        <v>178.57142639160156</v>
      </c>
      <c r="IL212" s="99">
        <v>167.70833587646484</v>
      </c>
      <c r="IM212" s="99">
        <v>152.82258605957031</v>
      </c>
      <c r="IN212" s="93"/>
      <c r="IO212" s="132">
        <v>198.51530303955079</v>
      </c>
      <c r="IP212" s="29">
        <v>145</v>
      </c>
      <c r="IQ212" s="19"/>
      <c r="IR212" s="93"/>
      <c r="IS212" s="93"/>
      <c r="IT212" s="93"/>
      <c r="IU212" s="93"/>
      <c r="IV212" s="20"/>
      <c r="IW212" s="29">
        <v>145</v>
      </c>
      <c r="IX212" s="19"/>
      <c r="IY212" s="93"/>
      <c r="IZ212" s="93"/>
      <c r="JA212" s="93"/>
      <c r="JB212" s="93"/>
      <c r="JC212" s="93"/>
      <c r="JD212" s="93"/>
      <c r="JE212" s="20"/>
      <c r="JF212" s="29">
        <v>145</v>
      </c>
      <c r="JG212" s="19"/>
      <c r="JH212" s="93"/>
      <c r="JI212" s="93"/>
      <c r="JJ212" s="93"/>
      <c r="JK212" s="93"/>
      <c r="JL212" s="93"/>
      <c r="JM212" s="93"/>
      <c r="JN212" s="20"/>
      <c r="JO212" s="29">
        <v>145</v>
      </c>
      <c r="JP212" s="19"/>
      <c r="JQ212" s="93"/>
      <c r="JR212" s="93"/>
      <c r="JS212" s="93"/>
      <c r="JT212" s="93"/>
      <c r="JU212" s="20"/>
      <c r="JV212" s="29">
        <v>145</v>
      </c>
      <c r="JW212" s="1504">
        <v>40909</v>
      </c>
      <c r="JX212" s="19"/>
      <c r="JY212" s="93"/>
      <c r="JZ212" s="93"/>
      <c r="KA212" s="93"/>
      <c r="KB212" s="93"/>
      <c r="KC212" s="93"/>
      <c r="KD212" s="20"/>
      <c r="KE212" s="29">
        <v>145</v>
      </c>
      <c r="KF212" s="19"/>
      <c r="KG212" s="93"/>
      <c r="KH212" s="93"/>
      <c r="KI212" s="93"/>
      <c r="KJ212" s="93"/>
      <c r="KK212" s="20"/>
      <c r="KL212" s="29">
        <v>145</v>
      </c>
      <c r="KM212" s="19"/>
      <c r="KN212" s="93"/>
      <c r="KO212" s="93"/>
      <c r="KP212" s="93"/>
      <c r="KQ212" s="93"/>
      <c r="KR212" s="20"/>
      <c r="KS212" s="29">
        <v>145</v>
      </c>
      <c r="KT212" s="19"/>
      <c r="KU212" s="93"/>
      <c r="KV212" s="93"/>
      <c r="KW212" s="93"/>
      <c r="KX212" s="93"/>
      <c r="KY212" s="20"/>
      <c r="KZ212" s="29">
        <v>145</v>
      </c>
      <c r="LA212" s="1504">
        <v>40909</v>
      </c>
      <c r="LB212" s="19">
        <v>510</v>
      </c>
      <c r="LC212" s="93">
        <v>740</v>
      </c>
      <c r="LD212" s="93">
        <v>732</v>
      </c>
      <c r="LE212" s="93"/>
      <c r="LF212" s="93">
        <v>656</v>
      </c>
      <c r="LG212" s="93"/>
      <c r="LH212" s="20"/>
      <c r="LI212" s="29">
        <v>145</v>
      </c>
      <c r="LJ212" s="19"/>
      <c r="LK212" s="93"/>
      <c r="LL212" s="93"/>
      <c r="LM212" s="93"/>
      <c r="LN212" s="93"/>
      <c r="LO212" s="20"/>
      <c r="LP212" s="29">
        <v>145</v>
      </c>
      <c r="LQ212" s="19"/>
      <c r="LR212" s="93"/>
      <c r="LS212" s="93"/>
      <c r="LT212" s="93"/>
      <c r="LU212" s="93"/>
      <c r="LV212" s="93"/>
      <c r="LW212" s="93"/>
      <c r="LX212" s="93"/>
      <c r="LY212" s="93"/>
      <c r="LZ212" s="93"/>
      <c r="MA212" s="20"/>
      <c r="MB212" s="29">
        <v>145</v>
      </c>
      <c r="MC212" s="1504">
        <v>40909</v>
      </c>
      <c r="MD212" s="19">
        <v>83774.891343999989</v>
      </c>
      <c r="ME212" s="93">
        <v>79483.790170999986</v>
      </c>
      <c r="MF212" s="93">
        <v>79483.783170999988</v>
      </c>
      <c r="MG212" s="93">
        <v>73422.029025999989</v>
      </c>
      <c r="MH212" s="93">
        <v>26316.486197999999</v>
      </c>
      <c r="MI212" s="93">
        <v>602.03792099999998</v>
      </c>
      <c r="MJ212" s="93">
        <v>477.85198500000007</v>
      </c>
      <c r="MK212" s="93">
        <v>35918.731661000005</v>
      </c>
      <c r="ML212" s="93">
        <v>9600.736429999999</v>
      </c>
      <c r="MM212" s="93">
        <v>506.18483100000003</v>
      </c>
      <c r="MN212" s="93">
        <v>6061.7541449999999</v>
      </c>
      <c r="MO212" s="93">
        <v>146.69850299999999</v>
      </c>
      <c r="MP212" s="93">
        <v>1871.0107200000004</v>
      </c>
      <c r="MQ212" s="93">
        <v>59.648874999999997</v>
      </c>
      <c r="MR212" s="93">
        <v>0.49960599999999999</v>
      </c>
      <c r="MS212" s="93">
        <v>3983.8964409999999</v>
      </c>
      <c r="MT212" s="93">
        <v>7.0000000000000001E-3</v>
      </c>
      <c r="MU212" s="93">
        <v>4291.101173</v>
      </c>
      <c r="MV212" s="93">
        <v>4291.101173</v>
      </c>
      <c r="MW212" s="93">
        <v>0</v>
      </c>
      <c r="MX212" s="93">
        <v>58666.13461733333</v>
      </c>
      <c r="MY212" s="93">
        <v>58873.450327333332</v>
      </c>
      <c r="MZ212" s="93">
        <v>36560.787296333328</v>
      </c>
      <c r="NA212" s="93">
        <v>22550.380333333331</v>
      </c>
      <c r="NB212" s="93">
        <v>2990.5871690000004</v>
      </c>
      <c r="NC212" s="93">
        <v>544.11449300000004</v>
      </c>
      <c r="ND212" s="93">
        <v>388.153032</v>
      </c>
      <c r="NE212" s="93">
        <v>155.96146100000001</v>
      </c>
      <c r="NF212" s="93">
        <v>10475.705300999998</v>
      </c>
      <c r="NG212" s="93">
        <v>0</v>
      </c>
      <c r="NH212" s="93">
        <v>90.756899999999987</v>
      </c>
      <c r="NI212" s="93">
        <v>231.27124600000002</v>
      </c>
      <c r="NJ212" s="93">
        <v>940.43167000000005</v>
      </c>
      <c r="NK212" s="93">
        <v>22312.663031</v>
      </c>
      <c r="NL212" s="93">
        <v>14486.777285</v>
      </c>
      <c r="NM212" s="93">
        <v>0</v>
      </c>
      <c r="NN212" s="93">
        <v>7825.8857459999999</v>
      </c>
      <c r="NO212" s="93">
        <v>-207.31571000000292</v>
      </c>
      <c r="NP212" s="93">
        <v>25108.756726666652</v>
      </c>
      <c r="NQ212" s="93">
        <v>20817.65555366666</v>
      </c>
      <c r="NR212" s="93">
        <v>29187.655792666657</v>
      </c>
      <c r="NS212" s="93">
        <v>28643.541299666656</v>
      </c>
      <c r="NT212" s="93">
        <v>-38231.308106333367</v>
      </c>
      <c r="NU212" s="93">
        <v>-42522.409279333362</v>
      </c>
      <c r="NV212" s="93">
        <v>22034.985928999991</v>
      </c>
      <c r="NW212" s="93">
        <v>3045.2454049999997</v>
      </c>
      <c r="NX212" s="93">
        <v>3534.7845729999999</v>
      </c>
      <c r="NY212" s="93">
        <v>-489.53916800000002</v>
      </c>
      <c r="NZ212" s="93">
        <v>0</v>
      </c>
      <c r="OA212" s="93">
        <v>18989.74052399999</v>
      </c>
      <c r="OB212" s="93">
        <v>18989.74052399999</v>
      </c>
      <c r="OC212" s="93">
        <v>0</v>
      </c>
      <c r="OD212" s="20">
        <v>0</v>
      </c>
      <c r="OE212" s="29">
        <v>145</v>
      </c>
      <c r="OF212" s="1504">
        <v>40909</v>
      </c>
      <c r="OG212" s="19"/>
      <c r="OH212" s="93">
        <v>145.40859999999998</v>
      </c>
      <c r="OI212" s="93">
        <v>633.59180788036292</v>
      </c>
      <c r="OJ212" s="93">
        <v>0.45964458499999999</v>
      </c>
      <c r="OK212" s="93">
        <v>546.88557329536297</v>
      </c>
      <c r="OL212" s="93">
        <v>86.246589999999998</v>
      </c>
      <c r="OM212" s="93">
        <v>779.0004078803629</v>
      </c>
      <c r="ON212" s="93">
        <v>607.40604962994507</v>
      </c>
      <c r="OO212" s="93">
        <v>1386.406457510308</v>
      </c>
      <c r="OP212" s="93"/>
      <c r="OQ212" s="93">
        <v>652.7911530508527</v>
      </c>
      <c r="OR212" s="93">
        <v>195.54965067100011</v>
      </c>
      <c r="OS212" s="93">
        <v>457.24150237985248</v>
      </c>
      <c r="OT212" s="93">
        <v>919.86517357945559</v>
      </c>
      <c r="OU212" s="93">
        <v>-125.253818448</v>
      </c>
      <c r="OV212" s="93">
        <v>-111.12581844799999</v>
      </c>
      <c r="OW212" s="93">
        <v>-14.128000000000014</v>
      </c>
      <c r="OX212" s="93">
        <v>1045.1189920274555</v>
      </c>
      <c r="OY212" s="93">
        <v>4.189871482</v>
      </c>
      <c r="OZ212" s="93">
        <v>1040.9291205454556</v>
      </c>
      <c r="PA212" s="93">
        <v>232.60289726099995</v>
      </c>
      <c r="PB212" s="93">
        <v>-46.353028141000024</v>
      </c>
      <c r="PC212" s="20">
        <v>1386.4064575103084</v>
      </c>
      <c r="PD212" s="29">
        <v>145</v>
      </c>
      <c r="PE212" s="19"/>
      <c r="PF212" s="93">
        <v>195.54965067100011</v>
      </c>
      <c r="PG212" s="93">
        <v>530.90068049600006</v>
      </c>
      <c r="PH212" s="93">
        <v>335.35102982499996</v>
      </c>
      <c r="PI212" s="93">
        <v>192.524</v>
      </c>
      <c r="PJ212" s="93">
        <v>-100.92771844799999</v>
      </c>
      <c r="PK212" s="93">
        <v>107.89508064900001</v>
      </c>
      <c r="PL212" s="93">
        <v>208.822799097</v>
      </c>
      <c r="PM212" s="93">
        <v>4.189871482</v>
      </c>
      <c r="PN212" s="93">
        <v>1.06</v>
      </c>
      <c r="PO212" s="93">
        <v>0</v>
      </c>
      <c r="PP212" s="93">
        <v>9.9430400000000011E-4</v>
      </c>
      <c r="PQ212" s="93">
        <v>3.1288771780000002</v>
      </c>
      <c r="PR212" s="93">
        <v>291.12139637899998</v>
      </c>
      <c r="PS212" s="93">
        <v>191.1927</v>
      </c>
      <c r="PT212" s="93">
        <v>99.469051793999995</v>
      </c>
      <c r="PU212" s="93">
        <v>0.45964458499999999</v>
      </c>
      <c r="PV212" s="93">
        <v>0</v>
      </c>
      <c r="PW212" s="93">
        <v>2.3586093520000002</v>
      </c>
      <c r="PX212" s="93">
        <v>0</v>
      </c>
      <c r="PY212" s="93">
        <v>0</v>
      </c>
      <c r="PZ212" s="93">
        <v>2.3586093520000002</v>
      </c>
      <c r="QA212" s="93">
        <v>0</v>
      </c>
      <c r="QB212" s="93">
        <v>0</v>
      </c>
      <c r="QC212" s="93">
        <v>0</v>
      </c>
      <c r="QD212" s="93">
        <v>0.47228790900000001</v>
      </c>
      <c r="QE212" s="20">
        <v>-2.616489935000001</v>
      </c>
      <c r="QF212" s="1739">
        <v>145</v>
      </c>
      <c r="QG212" s="19"/>
      <c r="QH212" s="1035">
        <v>457.24150237985248</v>
      </c>
      <c r="QI212" s="1035">
        <v>576.64587945454446</v>
      </c>
      <c r="QJ212" s="1035">
        <v>-119.40437707469198</v>
      </c>
      <c r="QK212" s="1035">
        <v>108.765</v>
      </c>
      <c r="QL212" s="1035">
        <v>35.585999999999999</v>
      </c>
      <c r="QM212" s="1035">
        <v>73.179000000000002</v>
      </c>
      <c r="QN212" s="1035">
        <v>0</v>
      </c>
      <c r="QO212" s="1035">
        <v>-14.128000000000014</v>
      </c>
      <c r="QP212" s="1035">
        <v>110.11499999999999</v>
      </c>
      <c r="QQ212" s="1035">
        <v>-124.24300000000001</v>
      </c>
      <c r="QR212" s="1035">
        <v>1040.9291205454556</v>
      </c>
      <c r="QS212" s="1035">
        <v>14.051041941620824</v>
      </c>
      <c r="QT212" s="1035">
        <v>0</v>
      </c>
      <c r="QU212" s="1035">
        <v>144.44499999999999</v>
      </c>
      <c r="QV212" s="1035">
        <v>882.4330786038347</v>
      </c>
      <c r="QW212" s="93"/>
      <c r="QX212" s="93">
        <v>161.065</v>
      </c>
      <c r="QY212" s="93">
        <v>546.88557329536297</v>
      </c>
      <c r="QZ212" s="93">
        <v>607.40604962994507</v>
      </c>
      <c r="RA212" s="93">
        <v>0</v>
      </c>
      <c r="RB212" s="93">
        <v>27.974999999999998</v>
      </c>
      <c r="RC212" s="93">
        <v>7.1709999999999994</v>
      </c>
      <c r="RD212" s="93">
        <v>10.186</v>
      </c>
      <c r="RE212" s="93">
        <v>0</v>
      </c>
      <c r="RF212" s="93">
        <v>0</v>
      </c>
      <c r="RG212" s="93">
        <v>184.43999999999997</v>
      </c>
      <c r="RH212" s="93">
        <v>47.678999999999988</v>
      </c>
      <c r="RI212" s="93"/>
      <c r="RJ212" s="93"/>
      <c r="RK212" s="93"/>
      <c r="RL212" s="93"/>
      <c r="RM212" s="734"/>
      <c r="RN212" s="29">
        <v>145</v>
      </c>
      <c r="RO212" s="19">
        <v>68</v>
      </c>
      <c r="RP212" s="20"/>
      <c r="RQ212" s="29">
        <v>145</v>
      </c>
      <c r="RR212" s="734">
        <v>2.4811996299999999</v>
      </c>
      <c r="RS212" s="29">
        <v>145</v>
      </c>
      <c r="RT212" s="1504">
        <v>40909</v>
      </c>
      <c r="RU212" s="19"/>
      <c r="RV212" s="20"/>
      <c r="RW212" s="29">
        <v>145</v>
      </c>
      <c r="RX212" s="1504">
        <v>40909</v>
      </c>
      <c r="RY212" s="29"/>
      <c r="RZ212" s="734"/>
      <c r="SA212" s="29"/>
      <c r="SB212" s="29">
        <v>145</v>
      </c>
    </row>
    <row r="213" spans="1:496">
      <c r="A213" s="41">
        <f t="shared" si="208"/>
        <v>2012</v>
      </c>
      <c r="B213" s="1504">
        <v>40940</v>
      </c>
      <c r="C213" s="1813"/>
      <c r="D213" s="1814"/>
      <c r="E213" s="1814"/>
      <c r="F213" s="1815"/>
      <c r="G213" s="1814"/>
      <c r="H213" s="1814"/>
      <c r="I213" s="1814"/>
      <c r="J213" s="1816"/>
      <c r="K213" s="1807"/>
      <c r="L213" s="25">
        <v>146</v>
      </c>
      <c r="M213" s="97"/>
      <c r="N213" s="1504">
        <v>40940</v>
      </c>
      <c r="O213" s="19"/>
      <c r="P213" s="93"/>
      <c r="Q213" s="93"/>
      <c r="R213" s="93"/>
      <c r="S213" s="93"/>
      <c r="T213" s="93"/>
      <c r="U213" s="93"/>
      <c r="V213" s="93"/>
      <c r="W213" s="93"/>
      <c r="X213" s="93"/>
      <c r="Y213" s="93"/>
      <c r="Z213" s="93"/>
      <c r="AA213" s="93"/>
      <c r="AB213" s="20"/>
      <c r="AC213" s="25">
        <v>146</v>
      </c>
      <c r="AD213" s="97"/>
      <c r="AE213" s="1504">
        <v>40940</v>
      </c>
      <c r="AF213" s="19"/>
      <c r="AG213" s="93"/>
      <c r="AH213" s="93"/>
      <c r="AI213" s="93"/>
      <c r="AJ213" s="93"/>
      <c r="AK213" s="93"/>
      <c r="AL213" s="93"/>
      <c r="AM213" s="93"/>
      <c r="AN213" s="93"/>
      <c r="AO213" s="93"/>
      <c r="AP213" s="93"/>
      <c r="AQ213" s="93"/>
      <c r="AR213" s="93"/>
      <c r="AS213" s="20"/>
      <c r="AT213" s="25">
        <v>146</v>
      </c>
      <c r="AU213" s="97"/>
      <c r="AV213" s="1504">
        <v>40940</v>
      </c>
      <c r="AW213" s="19"/>
      <c r="AX213" s="93"/>
      <c r="AY213" s="93"/>
      <c r="AZ213" s="93"/>
      <c r="BA213" s="93"/>
      <c r="BB213" s="93"/>
      <c r="BC213" s="93"/>
      <c r="BD213" s="93"/>
      <c r="BE213" s="93"/>
      <c r="BF213" s="93"/>
      <c r="BG213" s="93"/>
      <c r="BH213" s="93"/>
      <c r="BI213" s="93"/>
      <c r="BJ213" s="20"/>
      <c r="BK213" s="25">
        <v>146</v>
      </c>
      <c r="BL213" s="97"/>
      <c r="BM213" s="1504">
        <v>40940</v>
      </c>
      <c r="BN213" s="19"/>
      <c r="BO213" s="93"/>
      <c r="BP213" s="93"/>
      <c r="BQ213" s="93"/>
      <c r="BR213" s="93"/>
      <c r="BS213" s="93"/>
      <c r="BT213" s="93"/>
      <c r="BU213" s="20"/>
      <c r="BV213" s="25">
        <v>146</v>
      </c>
      <c r="BW213" s="97"/>
      <c r="BX213" s="1504">
        <v>40940</v>
      </c>
      <c r="BY213" s="179">
        <v>496.03468340000001</v>
      </c>
      <c r="BZ213" s="99">
        <v>664.95699999999999</v>
      </c>
      <c r="CA213" s="93"/>
      <c r="CB213" s="93"/>
      <c r="CC213" s="99">
        <v>296.97521299965229</v>
      </c>
      <c r="CD213" s="25">
        <v>146</v>
      </c>
      <c r="CE213" s="97"/>
      <c r="CF213" s="1504">
        <v>40940</v>
      </c>
      <c r="CG213" s="179">
        <v>2.2211546499999999</v>
      </c>
      <c r="CH213" s="99">
        <v>1744.82</v>
      </c>
      <c r="CI213" s="219"/>
      <c r="CJ213" s="20"/>
      <c r="CK213" s="19"/>
      <c r="CL213" s="93"/>
      <c r="CM213" s="93"/>
      <c r="CN213" s="93"/>
      <c r="CO213" s="93"/>
      <c r="CP213" s="20"/>
      <c r="CQ213" s="219">
        <v>2116.44</v>
      </c>
      <c r="CR213" s="93">
        <v>2.6375000000000002</v>
      </c>
      <c r="CS213" s="93"/>
      <c r="CT213" s="93"/>
      <c r="CU213" s="93"/>
      <c r="CV213" s="214"/>
      <c r="CW213" s="29">
        <v>146</v>
      </c>
      <c r="CX213" s="41">
        <f t="shared" si="209"/>
        <v>2012</v>
      </c>
      <c r="CY213" s="1504">
        <v>40940</v>
      </c>
      <c r="CZ213" s="1916">
        <v>70.574430000000007</v>
      </c>
      <c r="DA213" s="1526">
        <v>42.327547000000003</v>
      </c>
      <c r="DB213" s="1526">
        <v>28.246883</v>
      </c>
      <c r="DC213" s="182">
        <f t="shared" si="213"/>
        <v>436250</v>
      </c>
      <c r="DD213" s="182">
        <f t="shared" si="214"/>
        <v>435032</v>
      </c>
      <c r="DE213" s="182">
        <f t="shared" si="215"/>
        <v>1218</v>
      </c>
      <c r="DF213" s="29">
        <v>146</v>
      </c>
      <c r="DG213" s="1504">
        <v>40940</v>
      </c>
      <c r="DH213" s="19"/>
      <c r="DI213" s="93"/>
      <c r="DJ213" s="93"/>
      <c r="DK213" s="93"/>
      <c r="DL213" s="93"/>
      <c r="DM213" s="93"/>
      <c r="DN213" s="20"/>
      <c r="DO213" s="25"/>
      <c r="DP213" s="29">
        <v>146</v>
      </c>
      <c r="DQ213" s="1504">
        <v>40940</v>
      </c>
      <c r="DR213" s="19"/>
      <c r="DS213" s="93"/>
      <c r="DT213" s="93"/>
      <c r="DU213" s="93"/>
      <c r="DV213" s="93"/>
      <c r="DW213" s="93"/>
      <c r="DX213" s="20"/>
      <c r="DY213" s="29">
        <v>146</v>
      </c>
      <c r="DZ213" s="1504">
        <v>40940</v>
      </c>
      <c r="EA213" s="19"/>
      <c r="EB213" s="93"/>
      <c r="EC213" s="20"/>
      <c r="ED213" s="29">
        <v>146</v>
      </c>
      <c r="EE213" s="1504">
        <v>40940</v>
      </c>
      <c r="EF213" s="19"/>
      <c r="EG213" s="93"/>
      <c r="EH213" s="93"/>
      <c r="EI213" s="214"/>
      <c r="EJ213" s="93"/>
      <c r="EK213" s="93"/>
      <c r="EL213" s="93"/>
      <c r="EM213" s="93"/>
      <c r="EN213" s="20"/>
      <c r="EO213" s="29">
        <v>146</v>
      </c>
      <c r="EP213" s="1504">
        <v>40940</v>
      </c>
      <c r="EQ213" s="19"/>
      <c r="ER213" s="93"/>
      <c r="ES213" s="93"/>
      <c r="ET213" s="214"/>
      <c r="EU213" s="93"/>
      <c r="EV213" s="93"/>
      <c r="EW213" s="93"/>
      <c r="EX213" s="93"/>
      <c r="EY213" s="20"/>
      <c r="EZ213" s="29">
        <v>146</v>
      </c>
      <c r="FA213" s="1504">
        <v>40940</v>
      </c>
      <c r="FB213" s="29"/>
      <c r="FC213" s="29"/>
      <c r="FD213" s="29"/>
      <c r="FE213" s="29"/>
      <c r="FF213" s="29"/>
      <c r="FG213" s="29"/>
      <c r="FH213" s="29"/>
      <c r="FI213" s="29"/>
      <c r="FJ213" s="29"/>
      <c r="FK213" s="29">
        <v>146</v>
      </c>
      <c r="FL213" s="1504">
        <v>40940</v>
      </c>
      <c r="FM213" s="19">
        <v>104.09863567535034</v>
      </c>
      <c r="FN213" s="93">
        <v>111.40932636232183</v>
      </c>
      <c r="FO213" s="93">
        <v>101.56209814731986</v>
      </c>
      <c r="FP213" s="93">
        <v>101.22724644746471</v>
      </c>
      <c r="FQ213" s="93">
        <v>110.76731842599827</v>
      </c>
      <c r="FR213" s="93">
        <v>98.802148295417979</v>
      </c>
      <c r="FS213" s="93">
        <v>100.47980261316729</v>
      </c>
      <c r="FT213" s="93">
        <v>99.702152642925995</v>
      </c>
      <c r="FU213" s="93">
        <v>63.680038672195543</v>
      </c>
      <c r="FV213" s="93">
        <v>98.918983512015942</v>
      </c>
      <c r="FW213" s="93">
        <v>102.49285068203132</v>
      </c>
      <c r="FX213" s="93">
        <v>113.98143568527418</v>
      </c>
      <c r="FY213" s="93">
        <v>102.9816262992626</v>
      </c>
      <c r="FZ213" s="29">
        <v>146</v>
      </c>
      <c r="GA213" s="1504">
        <v>40940</v>
      </c>
      <c r="GB213" s="733">
        <v>104.09863567535034</v>
      </c>
      <c r="GC213" s="570">
        <v>102.81469403236508</v>
      </c>
      <c r="GD213" s="570">
        <v>104.92529641420498</v>
      </c>
      <c r="GE213" s="570">
        <v>107.4213407529047</v>
      </c>
      <c r="GF213" s="570">
        <v>108.02630310481537</v>
      </c>
      <c r="GG213" s="570">
        <v>102.08061464313145</v>
      </c>
      <c r="GH213" s="93"/>
      <c r="GI213" s="93"/>
      <c r="GJ213" s="93"/>
      <c r="GK213" s="93"/>
      <c r="GL213" s="93"/>
      <c r="GM213" s="93"/>
      <c r="GN213" s="20"/>
      <c r="GO213" s="29">
        <v>146</v>
      </c>
      <c r="GP213" s="1504">
        <v>40940</v>
      </c>
      <c r="GQ213" s="19"/>
      <c r="GR213" s="93"/>
      <c r="GS213" s="93"/>
      <c r="GT213" s="93"/>
      <c r="GU213" s="93"/>
      <c r="GV213" s="20"/>
      <c r="GW213" s="19"/>
      <c r="GX213" s="93"/>
      <c r="GY213" s="93"/>
      <c r="GZ213" s="93"/>
      <c r="HA213" s="93"/>
      <c r="HB213" s="20"/>
      <c r="HC213" s="19"/>
      <c r="HD213" s="93"/>
      <c r="HE213" s="93"/>
      <c r="HF213" s="93"/>
      <c r="HG213" s="93"/>
      <c r="HH213" s="20"/>
      <c r="HI213" s="19"/>
      <c r="HJ213" s="93"/>
      <c r="HK213" s="93"/>
      <c r="HL213" s="93"/>
      <c r="HM213" s="93"/>
      <c r="HN213" s="20"/>
      <c r="HO213" s="219"/>
      <c r="HP213" s="20"/>
      <c r="HQ213" s="25"/>
      <c r="HR213" s="29">
        <v>146</v>
      </c>
      <c r="HS213" s="1504">
        <v>40940</v>
      </c>
      <c r="HT213" s="179">
        <v>204.27806854248047</v>
      </c>
      <c r="HU213" s="99">
        <v>237.84722137451172</v>
      </c>
      <c r="HV213" s="99">
        <v>187.49999618530273</v>
      </c>
      <c r="HW213" s="99">
        <v>163.8349609375</v>
      </c>
      <c r="HX213" s="99">
        <v>183.33332824707031</v>
      </c>
      <c r="HY213" s="99">
        <v>213.58401870727539</v>
      </c>
      <c r="HZ213" s="99">
        <v>222.70114517211914</v>
      </c>
      <c r="IA213" s="132">
        <v>175.48387756347657</v>
      </c>
      <c r="IB213" s="179">
        <v>195.36019897460938</v>
      </c>
      <c r="IC213" s="99">
        <v>189.11917114257813</v>
      </c>
      <c r="ID213" s="99">
        <v>193.54838562011719</v>
      </c>
      <c r="IE213" s="99">
        <v>155.73770523071289</v>
      </c>
      <c r="IF213" s="99">
        <v>192.77000427246094</v>
      </c>
      <c r="IG213" s="132">
        <v>180.26315689086914</v>
      </c>
      <c r="IH213" s="179">
        <v>154.39721870422363</v>
      </c>
      <c r="II213" s="99">
        <v>209.27106475830078</v>
      </c>
      <c r="IJ213" s="99">
        <v>168.91891479492188</v>
      </c>
      <c r="IK213" s="99">
        <v>178.57142639160156</v>
      </c>
      <c r="IL213" s="99">
        <v>165.65041351318359</v>
      </c>
      <c r="IM213" s="99">
        <v>160.78431701660156</v>
      </c>
      <c r="IN213" s="93"/>
      <c r="IO213" s="132">
        <v>190.33142852783203</v>
      </c>
      <c r="IP213" s="29">
        <v>146</v>
      </c>
      <c r="IQ213" s="19"/>
      <c r="IR213" s="93"/>
      <c r="IS213" s="93"/>
      <c r="IT213" s="93"/>
      <c r="IU213" s="93"/>
      <c r="IV213" s="20"/>
      <c r="IW213" s="29">
        <v>146</v>
      </c>
      <c r="IX213" s="19"/>
      <c r="IY213" s="93"/>
      <c r="IZ213" s="93"/>
      <c r="JA213" s="93"/>
      <c r="JB213" s="93"/>
      <c r="JC213" s="93"/>
      <c r="JD213" s="93"/>
      <c r="JE213" s="20"/>
      <c r="JF213" s="29">
        <v>146</v>
      </c>
      <c r="JG213" s="19"/>
      <c r="JH213" s="93"/>
      <c r="JI213" s="93"/>
      <c r="JJ213" s="93"/>
      <c r="JK213" s="93"/>
      <c r="JL213" s="93"/>
      <c r="JM213" s="93"/>
      <c r="JN213" s="20"/>
      <c r="JO213" s="29">
        <v>146</v>
      </c>
      <c r="JP213" s="19"/>
      <c r="JQ213" s="93"/>
      <c r="JR213" s="93"/>
      <c r="JS213" s="93"/>
      <c r="JT213" s="93"/>
      <c r="JU213" s="20"/>
      <c r="JV213" s="29">
        <v>146</v>
      </c>
      <c r="JW213" s="1504">
        <v>40940</v>
      </c>
      <c r="JX213" s="19"/>
      <c r="JY213" s="93"/>
      <c r="JZ213" s="93"/>
      <c r="KA213" s="93"/>
      <c r="KB213" s="93"/>
      <c r="KC213" s="93"/>
      <c r="KD213" s="20"/>
      <c r="KE213" s="29">
        <v>146</v>
      </c>
      <c r="KF213" s="19"/>
      <c r="KG213" s="93"/>
      <c r="KH213" s="93"/>
      <c r="KI213" s="93"/>
      <c r="KJ213" s="93"/>
      <c r="KK213" s="20"/>
      <c r="KL213" s="29">
        <v>146</v>
      </c>
      <c r="KM213" s="19"/>
      <c r="KN213" s="93"/>
      <c r="KO213" s="93"/>
      <c r="KP213" s="93"/>
      <c r="KQ213" s="93"/>
      <c r="KR213" s="20"/>
      <c r="KS213" s="29">
        <v>146</v>
      </c>
      <c r="KT213" s="19"/>
      <c r="KU213" s="93"/>
      <c r="KV213" s="93"/>
      <c r="KW213" s="93"/>
      <c r="KX213" s="93"/>
      <c r="KY213" s="20"/>
      <c r="KZ213" s="29">
        <v>146</v>
      </c>
      <c r="LA213" s="1504">
        <v>40940</v>
      </c>
      <c r="LB213" s="19">
        <v>510</v>
      </c>
      <c r="LC213" s="93">
        <v>740</v>
      </c>
      <c r="LD213" s="93">
        <v>732</v>
      </c>
      <c r="LE213" s="93"/>
      <c r="LF213" s="93">
        <v>656</v>
      </c>
      <c r="LG213" s="93"/>
      <c r="LH213" s="20"/>
      <c r="LI213" s="29">
        <v>146</v>
      </c>
      <c r="LJ213" s="19"/>
      <c r="LK213" s="93"/>
      <c r="LL213" s="93"/>
      <c r="LM213" s="93"/>
      <c r="LN213" s="93"/>
      <c r="LO213" s="20"/>
      <c r="LP213" s="29">
        <v>146</v>
      </c>
      <c r="LQ213" s="19"/>
      <c r="LR213" s="93"/>
      <c r="LS213" s="93"/>
      <c r="LT213" s="93"/>
      <c r="LU213" s="93"/>
      <c r="LV213" s="93"/>
      <c r="LW213" s="93"/>
      <c r="LX213" s="93"/>
      <c r="LY213" s="93"/>
      <c r="LZ213" s="93"/>
      <c r="MA213" s="20"/>
      <c r="MB213" s="29">
        <v>146</v>
      </c>
      <c r="MC213" s="1504">
        <v>40940</v>
      </c>
      <c r="MD213" s="19">
        <v>80083.410721000007</v>
      </c>
      <c r="ME213" s="93">
        <v>71661.248581000007</v>
      </c>
      <c r="MF213" s="93">
        <v>71661.176581000007</v>
      </c>
      <c r="MG213" s="93">
        <v>65629.171711999996</v>
      </c>
      <c r="MH213" s="93">
        <v>9915.3245939999997</v>
      </c>
      <c r="MI213" s="93">
        <v>478.84744000000001</v>
      </c>
      <c r="MJ213" s="93">
        <v>419.22941099999997</v>
      </c>
      <c r="MK213" s="93">
        <v>42673.886938999996</v>
      </c>
      <c r="ML213" s="93">
        <v>11645.389626</v>
      </c>
      <c r="MM213" s="93">
        <v>496.49370199999998</v>
      </c>
      <c r="MN213" s="93">
        <v>6032.0048690000003</v>
      </c>
      <c r="MO213" s="93">
        <v>194.83518100000001</v>
      </c>
      <c r="MP213" s="93">
        <v>1815.8654079999997</v>
      </c>
      <c r="MQ213" s="93">
        <v>286.04306300000002</v>
      </c>
      <c r="MR213" s="93">
        <v>2.1521319999999999</v>
      </c>
      <c r="MS213" s="93">
        <v>3733.1090850000001</v>
      </c>
      <c r="MT213" s="93">
        <v>7.1999999999999995E-2</v>
      </c>
      <c r="MU213" s="93">
        <v>8422.1621400000004</v>
      </c>
      <c r="MV213" s="93">
        <v>8422.1621400000004</v>
      </c>
      <c r="MW213" s="93">
        <v>0</v>
      </c>
      <c r="MX213" s="93">
        <v>100142.90313633333</v>
      </c>
      <c r="MY213" s="93">
        <v>98276.61847833333</v>
      </c>
      <c r="MZ213" s="93">
        <v>46900.953756333329</v>
      </c>
      <c r="NA213" s="93">
        <v>22327.743333333332</v>
      </c>
      <c r="NB213" s="93">
        <v>8386.7299629999998</v>
      </c>
      <c r="NC213" s="93">
        <v>554.7297759999999</v>
      </c>
      <c r="ND213" s="93">
        <v>207.45902900000002</v>
      </c>
      <c r="NE213" s="93">
        <v>347.27074699999997</v>
      </c>
      <c r="NF213" s="93">
        <v>15631.750683999999</v>
      </c>
      <c r="NG213" s="93">
        <v>0</v>
      </c>
      <c r="NH213" s="93">
        <v>3937.37399</v>
      </c>
      <c r="NI213" s="93">
        <v>10.046972</v>
      </c>
      <c r="NJ213" s="93">
        <v>0</v>
      </c>
      <c r="NK213" s="93">
        <v>51375.664722000001</v>
      </c>
      <c r="NL213" s="93">
        <v>22159.145849000004</v>
      </c>
      <c r="NM213" s="93">
        <v>1051.4662069999999</v>
      </c>
      <c r="NN213" s="93">
        <v>28165.052666</v>
      </c>
      <c r="NO213" s="93">
        <v>1866.2846580000005</v>
      </c>
      <c r="NP213" s="93">
        <v>-20059.49241533333</v>
      </c>
      <c r="NQ213" s="93">
        <v>-28481.654555333331</v>
      </c>
      <c r="NR213" s="93">
        <v>238.12788666665554</v>
      </c>
      <c r="NS213" s="93">
        <v>-316.60188933333757</v>
      </c>
      <c r="NT213" s="93">
        <v>-20352.612658333321</v>
      </c>
      <c r="NU213" s="93">
        <v>-28774.774798333321</v>
      </c>
      <c r="NV213" s="93">
        <v>41261.771607000002</v>
      </c>
      <c r="NW213" s="93">
        <v>19349.48388</v>
      </c>
      <c r="NX213" s="93">
        <v>19742.890525999999</v>
      </c>
      <c r="NY213" s="93">
        <v>-393.40664600000002</v>
      </c>
      <c r="NZ213" s="93">
        <v>0</v>
      </c>
      <c r="OA213" s="93">
        <v>21912.287727000003</v>
      </c>
      <c r="OB213" s="93">
        <v>4444.8255390000004</v>
      </c>
      <c r="OC213" s="93">
        <v>17467.462188000001</v>
      </c>
      <c r="OD213" s="20">
        <v>0</v>
      </c>
      <c r="OE213" s="29">
        <v>146</v>
      </c>
      <c r="OF213" s="1504">
        <v>40940</v>
      </c>
      <c r="OG213" s="19"/>
      <c r="OH213" s="93">
        <v>139.56380000000001</v>
      </c>
      <c r="OI213" s="93">
        <v>671.4756069375253</v>
      </c>
      <c r="OJ213" s="93">
        <v>0.46338044699999997</v>
      </c>
      <c r="OK213" s="93">
        <v>580.62812649052535</v>
      </c>
      <c r="OL213" s="93">
        <v>90.384099999999989</v>
      </c>
      <c r="OM213" s="93">
        <v>811.03940693752531</v>
      </c>
      <c r="ON213" s="93">
        <v>623.72470874341468</v>
      </c>
      <c r="OO213" s="93">
        <v>1434.76411568094</v>
      </c>
      <c r="OP213" s="93"/>
      <c r="OQ213" s="93">
        <v>698.68728416716476</v>
      </c>
      <c r="OR213" s="93">
        <v>186.29098207600003</v>
      </c>
      <c r="OS213" s="93">
        <v>512.39630209116467</v>
      </c>
      <c r="OT213" s="93">
        <v>953.4636903297752</v>
      </c>
      <c r="OU213" s="93">
        <v>-104.582193911</v>
      </c>
      <c r="OV213" s="93">
        <v>-95.871193911000006</v>
      </c>
      <c r="OW213" s="93">
        <v>-8.7109999999999985</v>
      </c>
      <c r="OX213" s="93">
        <v>1058.0458842407752</v>
      </c>
      <c r="OY213" s="93">
        <v>4.2313510979999993</v>
      </c>
      <c r="OZ213" s="93">
        <v>1053.8145331427754</v>
      </c>
      <c r="PA213" s="93">
        <v>244.67465777199999</v>
      </c>
      <c r="PB213" s="93">
        <v>-27.287798956000024</v>
      </c>
      <c r="PC213" s="20">
        <v>1434.7641156809398</v>
      </c>
      <c r="PD213" s="29">
        <v>146</v>
      </c>
      <c r="PE213" s="19"/>
      <c r="PF213" s="93">
        <v>186.29098207600003</v>
      </c>
      <c r="PG213" s="93">
        <v>526.70578318000003</v>
      </c>
      <c r="PH213" s="93">
        <v>340.41480110399999</v>
      </c>
      <c r="PI213" s="93">
        <v>195.01</v>
      </c>
      <c r="PJ213" s="93">
        <v>-92.269293911000005</v>
      </c>
      <c r="PK213" s="93">
        <v>107.37901614899999</v>
      </c>
      <c r="PL213" s="93">
        <v>199.64831006</v>
      </c>
      <c r="PM213" s="93">
        <v>4.2313510979999993</v>
      </c>
      <c r="PN213" s="93">
        <v>1.06</v>
      </c>
      <c r="PO213" s="93">
        <v>0</v>
      </c>
      <c r="PP213" s="93">
        <v>8.8860800000000004E-4</v>
      </c>
      <c r="PQ213" s="93">
        <v>3.1704624899999998</v>
      </c>
      <c r="PR213" s="93">
        <v>290.45163213200004</v>
      </c>
      <c r="PS213" s="93">
        <v>181.2577</v>
      </c>
      <c r="PT213" s="93">
        <v>108.73055168499999</v>
      </c>
      <c r="PU213" s="93">
        <v>0.46338044699999997</v>
      </c>
      <c r="PV213" s="93">
        <v>0</v>
      </c>
      <c r="PW213" s="93">
        <v>1.8532738150000001</v>
      </c>
      <c r="PX213" s="93">
        <v>0</v>
      </c>
      <c r="PY213" s="93">
        <v>0</v>
      </c>
      <c r="PZ213" s="93">
        <v>1.8532738150000001</v>
      </c>
      <c r="QA213" s="93">
        <v>0</v>
      </c>
      <c r="QB213" s="93">
        <v>0</v>
      </c>
      <c r="QC213" s="93">
        <v>0</v>
      </c>
      <c r="QD213" s="93">
        <v>0.46438395700000001</v>
      </c>
      <c r="QE213" s="20">
        <v>0.4937493589999995</v>
      </c>
      <c r="QF213" s="1739">
        <v>146</v>
      </c>
      <c r="QG213" s="19"/>
      <c r="QH213" s="1035">
        <v>512.39630209116467</v>
      </c>
      <c r="QI213" s="1035">
        <v>620.58646685722454</v>
      </c>
      <c r="QJ213" s="1035">
        <v>-108.19016476605991</v>
      </c>
      <c r="QK213" s="1035">
        <v>125.52500000000001</v>
      </c>
      <c r="QL213" s="1035">
        <v>38.091999999999999</v>
      </c>
      <c r="QM213" s="1035">
        <v>87.433000000000007</v>
      </c>
      <c r="QN213" s="1035">
        <v>0</v>
      </c>
      <c r="QO213" s="1035">
        <v>-8.7109999999999985</v>
      </c>
      <c r="QP213" s="1035">
        <v>119.27</v>
      </c>
      <c r="QQ213" s="1035">
        <v>-127.98099999999999</v>
      </c>
      <c r="QR213" s="1035">
        <v>1053.8145331427754</v>
      </c>
      <c r="QS213" s="1035">
        <v>13.307364563354074</v>
      </c>
      <c r="QT213" s="1035">
        <v>0</v>
      </c>
      <c r="QU213" s="1035">
        <v>156.78100000000001</v>
      </c>
      <c r="QV213" s="1035">
        <v>883.72616857942126</v>
      </c>
      <c r="QW213" s="93"/>
      <c r="QX213" s="93">
        <v>195.58799999999999</v>
      </c>
      <c r="QY213" s="93">
        <v>580.62812649052535</v>
      </c>
      <c r="QZ213" s="93">
        <v>623.72470874341468</v>
      </c>
      <c r="RA213" s="93">
        <v>0</v>
      </c>
      <c r="RB213" s="93">
        <v>31.295999999999999</v>
      </c>
      <c r="RC213" s="93">
        <v>6.17</v>
      </c>
      <c r="RD213" s="93">
        <v>13.04</v>
      </c>
      <c r="RE213" s="93">
        <v>0</v>
      </c>
      <c r="RF213" s="93">
        <v>0</v>
      </c>
      <c r="RG213" s="93">
        <v>191.851</v>
      </c>
      <c r="RH213" s="93">
        <v>40.72699999999999</v>
      </c>
      <c r="RI213" s="93"/>
      <c r="RJ213" s="93"/>
      <c r="RK213" s="93"/>
      <c r="RL213" s="93"/>
      <c r="RM213" s="734"/>
      <c r="RN213" s="29">
        <v>146</v>
      </c>
      <c r="RO213" s="19">
        <v>58</v>
      </c>
      <c r="RP213" s="20"/>
      <c r="RQ213" s="29">
        <v>146</v>
      </c>
      <c r="RR213" s="734">
        <v>2.2649690000000002</v>
      </c>
      <c r="RS213" s="29">
        <v>146</v>
      </c>
      <c r="RT213" s="1504">
        <v>40940</v>
      </c>
      <c r="RU213" s="19"/>
      <c r="RV213" s="20"/>
      <c r="RW213" s="29">
        <v>146</v>
      </c>
      <c r="RX213" s="1504">
        <v>40940</v>
      </c>
      <c r="RY213" s="29"/>
      <c r="RZ213" s="734"/>
      <c r="SA213" s="29"/>
      <c r="SB213" s="29">
        <v>146</v>
      </c>
    </row>
    <row r="214" spans="1:496">
      <c r="A214" s="41">
        <f t="shared" si="208"/>
        <v>2012</v>
      </c>
      <c r="B214" s="1504">
        <v>40969</v>
      </c>
      <c r="C214" s="1813"/>
      <c r="D214" s="1814"/>
      <c r="E214" s="1814"/>
      <c r="F214" s="1815"/>
      <c r="G214" s="1814"/>
      <c r="H214" s="1814"/>
      <c r="I214" s="1814"/>
      <c r="J214" s="1816"/>
      <c r="K214" s="1807"/>
      <c r="L214" s="25">
        <v>147</v>
      </c>
      <c r="M214" s="97"/>
      <c r="N214" s="1504">
        <v>40969</v>
      </c>
      <c r="O214" s="19"/>
      <c r="P214" s="93"/>
      <c r="Q214" s="93"/>
      <c r="R214" s="93"/>
      <c r="S214" s="93"/>
      <c r="T214" s="93"/>
      <c r="U214" s="93"/>
      <c r="V214" s="93"/>
      <c r="W214" s="93"/>
      <c r="X214" s="93"/>
      <c r="Y214" s="93"/>
      <c r="Z214" s="93"/>
      <c r="AA214" s="93"/>
      <c r="AB214" s="20"/>
      <c r="AC214" s="25">
        <v>147</v>
      </c>
      <c r="AD214" s="97"/>
      <c r="AE214" s="1504">
        <v>40969</v>
      </c>
      <c r="AF214" s="19"/>
      <c r="AG214" s="93"/>
      <c r="AH214" s="93"/>
      <c r="AI214" s="93"/>
      <c r="AJ214" s="93"/>
      <c r="AK214" s="93"/>
      <c r="AL214" s="93"/>
      <c r="AM214" s="93"/>
      <c r="AN214" s="93"/>
      <c r="AO214" s="93"/>
      <c r="AP214" s="93"/>
      <c r="AQ214" s="93"/>
      <c r="AR214" s="93"/>
      <c r="AS214" s="20"/>
      <c r="AT214" s="25">
        <v>147</v>
      </c>
      <c r="AU214" s="97"/>
      <c r="AV214" s="1504">
        <v>40969</v>
      </c>
      <c r="AW214" s="19"/>
      <c r="AX214" s="93"/>
      <c r="AY214" s="93"/>
      <c r="AZ214" s="93"/>
      <c r="BA214" s="93"/>
      <c r="BB214" s="93"/>
      <c r="BC214" s="93"/>
      <c r="BD214" s="93"/>
      <c r="BE214" s="93"/>
      <c r="BF214" s="93"/>
      <c r="BG214" s="93"/>
      <c r="BH214" s="93"/>
      <c r="BI214" s="93"/>
      <c r="BJ214" s="20"/>
      <c r="BK214" s="25">
        <v>147</v>
      </c>
      <c r="BL214" s="97"/>
      <c r="BM214" s="1504">
        <v>40969</v>
      </c>
      <c r="BN214" s="19"/>
      <c r="BO214" s="93"/>
      <c r="BP214" s="93"/>
      <c r="BQ214" s="93"/>
      <c r="BR214" s="93"/>
      <c r="BS214" s="93"/>
      <c r="BT214" s="93"/>
      <c r="BU214" s="20"/>
      <c r="BV214" s="25">
        <v>147</v>
      </c>
      <c r="BW214" s="97"/>
      <c r="BX214" s="1504">
        <v>40969</v>
      </c>
      <c r="BY214" s="179">
        <v>496.90054663999996</v>
      </c>
      <c r="BZ214" s="99">
        <v>664.95699999999999</v>
      </c>
      <c r="CA214" s="93"/>
      <c r="CB214" s="93"/>
      <c r="CC214" s="99">
        <v>292.57080251079839</v>
      </c>
      <c r="CD214" s="25">
        <v>147</v>
      </c>
      <c r="CE214" s="97"/>
      <c r="CF214" s="1504">
        <v>40969</v>
      </c>
      <c r="CG214" s="179">
        <v>2.1935969000000002</v>
      </c>
      <c r="CH214" s="99">
        <v>1675.95</v>
      </c>
      <c r="CI214" s="219"/>
      <c r="CJ214" s="20"/>
      <c r="CK214" s="19"/>
      <c r="CL214" s="93"/>
      <c r="CM214" s="93"/>
      <c r="CN214" s="93"/>
      <c r="CO214" s="93"/>
      <c r="CP214" s="20"/>
      <c r="CQ214" s="219">
        <v>2138.48</v>
      </c>
      <c r="CR214" s="93">
        <v>2.7324999999999999</v>
      </c>
      <c r="CS214" s="93"/>
      <c r="CT214" s="93"/>
      <c r="CU214" s="93"/>
      <c r="CV214" s="214"/>
      <c r="CW214" s="29">
        <v>147</v>
      </c>
      <c r="CX214" s="41">
        <f t="shared" si="209"/>
        <v>2012</v>
      </c>
      <c r="CY214" s="1504">
        <v>40969</v>
      </c>
      <c r="CZ214" s="1916">
        <v>75.704846421925566</v>
      </c>
      <c r="DA214" s="1526">
        <v>44.793070421925563</v>
      </c>
      <c r="DB214" s="1526">
        <v>30.911776</v>
      </c>
      <c r="DC214" s="182">
        <f t="shared" si="213"/>
        <v>436250</v>
      </c>
      <c r="DD214" s="182">
        <f t="shared" si="214"/>
        <v>435032</v>
      </c>
      <c r="DE214" s="182">
        <f t="shared" si="215"/>
        <v>1218</v>
      </c>
      <c r="DF214" s="29">
        <v>147</v>
      </c>
      <c r="DG214" s="1504">
        <v>40969</v>
      </c>
      <c r="DH214" s="19"/>
      <c r="DI214" s="93"/>
      <c r="DJ214" s="93"/>
      <c r="DK214" s="93"/>
      <c r="DL214" s="93"/>
      <c r="DM214" s="93"/>
      <c r="DN214" s="20"/>
      <c r="DO214" s="25"/>
      <c r="DP214" s="29">
        <v>147</v>
      </c>
      <c r="DQ214" s="1504">
        <v>40969</v>
      </c>
      <c r="DR214" s="19"/>
      <c r="DS214" s="93"/>
      <c r="DT214" s="93"/>
      <c r="DU214" s="93"/>
      <c r="DV214" s="93"/>
      <c r="DW214" s="93"/>
      <c r="DX214" s="20"/>
      <c r="DY214" s="29">
        <v>147</v>
      </c>
      <c r="DZ214" s="1504">
        <v>40969</v>
      </c>
      <c r="EA214" s="19"/>
      <c r="EB214" s="93"/>
      <c r="EC214" s="20"/>
      <c r="ED214" s="29">
        <v>147</v>
      </c>
      <c r="EE214" s="1504">
        <v>40969</v>
      </c>
      <c r="EF214" s="19"/>
      <c r="EG214" s="93"/>
      <c r="EH214" s="93"/>
      <c r="EI214" s="214"/>
      <c r="EJ214" s="93"/>
      <c r="EK214" s="93"/>
      <c r="EL214" s="93"/>
      <c r="EM214" s="93"/>
      <c r="EN214" s="20"/>
      <c r="EO214" s="29">
        <v>147</v>
      </c>
      <c r="EP214" s="1504">
        <v>40969</v>
      </c>
      <c r="EQ214" s="19"/>
      <c r="ER214" s="93"/>
      <c r="ES214" s="93"/>
      <c r="ET214" s="214"/>
      <c r="EU214" s="93"/>
      <c r="EV214" s="93"/>
      <c r="EW214" s="93"/>
      <c r="EX214" s="93"/>
      <c r="EY214" s="20"/>
      <c r="EZ214" s="29">
        <v>147</v>
      </c>
      <c r="FA214" s="1504">
        <v>40969</v>
      </c>
      <c r="FB214" s="29"/>
      <c r="FC214" s="29"/>
      <c r="FD214" s="29"/>
      <c r="FE214" s="29"/>
      <c r="FF214" s="29"/>
      <c r="FG214" s="29"/>
      <c r="FH214" s="29"/>
      <c r="FI214" s="29"/>
      <c r="FJ214" s="29"/>
      <c r="FK214" s="29">
        <v>147</v>
      </c>
      <c r="FL214" s="1504">
        <v>40969</v>
      </c>
      <c r="FM214" s="19">
        <v>104.08491489251379</v>
      </c>
      <c r="FN214" s="93">
        <v>111.39130478249224</v>
      </c>
      <c r="FO214" s="93">
        <v>100.74588089393038</v>
      </c>
      <c r="FP214" s="93">
        <v>101.44688201689804</v>
      </c>
      <c r="FQ214" s="93">
        <v>110.31689120369656</v>
      </c>
      <c r="FR214" s="93">
        <v>98.348375763245215</v>
      </c>
      <c r="FS214" s="93">
        <v>100.47980261316729</v>
      </c>
      <c r="FT214" s="93">
        <v>99.74316712464109</v>
      </c>
      <c r="FU214" s="93">
        <v>63.555149054916882</v>
      </c>
      <c r="FV214" s="93">
        <v>98.774259753792251</v>
      </c>
      <c r="FW214" s="93">
        <v>102.49285068203132</v>
      </c>
      <c r="FX214" s="93">
        <v>114.61961790072029</v>
      </c>
      <c r="FY214" s="93">
        <v>103.01137893553326</v>
      </c>
      <c r="FZ214" s="29">
        <v>147</v>
      </c>
      <c r="GA214" s="1504">
        <v>40969</v>
      </c>
      <c r="GB214" s="733">
        <v>104.08491489251379</v>
      </c>
      <c r="GC214" s="570">
        <v>102.62206662707118</v>
      </c>
      <c r="GD214" s="570">
        <v>105.02557822374077</v>
      </c>
      <c r="GE214" s="570">
        <v>106.96051408145115</v>
      </c>
      <c r="GF214" s="570">
        <v>108.79797166840559</v>
      </c>
      <c r="GG214" s="570">
        <v>101.87265188379335</v>
      </c>
      <c r="GH214" s="93"/>
      <c r="GI214" s="93"/>
      <c r="GJ214" s="93"/>
      <c r="GK214" s="93"/>
      <c r="GL214" s="93"/>
      <c r="GM214" s="93"/>
      <c r="GN214" s="20"/>
      <c r="GO214" s="29">
        <v>147</v>
      </c>
      <c r="GP214" s="1504">
        <v>40969</v>
      </c>
      <c r="GQ214" s="19"/>
      <c r="GR214" s="93"/>
      <c r="GS214" s="93"/>
      <c r="GT214" s="93"/>
      <c r="GU214" s="93"/>
      <c r="GV214" s="20"/>
      <c r="GW214" s="19"/>
      <c r="GX214" s="93"/>
      <c r="GY214" s="93"/>
      <c r="GZ214" s="93"/>
      <c r="HA214" s="93"/>
      <c r="HB214" s="20"/>
      <c r="HC214" s="19"/>
      <c r="HD214" s="93"/>
      <c r="HE214" s="93"/>
      <c r="HF214" s="93"/>
      <c r="HG214" s="93"/>
      <c r="HH214" s="20"/>
      <c r="HI214" s="19"/>
      <c r="HJ214" s="93"/>
      <c r="HK214" s="93"/>
      <c r="HL214" s="93"/>
      <c r="HM214" s="93"/>
      <c r="HN214" s="20"/>
      <c r="HO214" s="219"/>
      <c r="HP214" s="20"/>
      <c r="HQ214" s="25"/>
      <c r="HR214" s="29">
        <v>147</v>
      </c>
      <c r="HS214" s="1504">
        <v>40969</v>
      </c>
      <c r="HT214" s="179">
        <v>238.12578582763672</v>
      </c>
      <c r="HU214" s="99">
        <v>266.66666564941409</v>
      </c>
      <c r="HV214" s="99">
        <v>212.50000381469727</v>
      </c>
      <c r="HW214" s="99">
        <v>182.03884124755859</v>
      </c>
      <c r="HX214" s="99">
        <v>221.25</v>
      </c>
      <c r="HY214" s="99">
        <v>243.69072341918945</v>
      </c>
      <c r="HZ214" s="99">
        <v>206.58130073547363</v>
      </c>
      <c r="IA214" s="132">
        <v>194.35484313964844</v>
      </c>
      <c r="IB214" s="179">
        <v>207.69231796264648</v>
      </c>
      <c r="IC214" s="99">
        <v>182.64248657226563</v>
      </c>
      <c r="ID214" s="99">
        <v>193.54838562011719</v>
      </c>
      <c r="IE214" s="99">
        <v>176.67439651489258</v>
      </c>
      <c r="IF214" s="99">
        <v>226.5625</v>
      </c>
      <c r="IG214" s="132">
        <v>209.2245979309082</v>
      </c>
      <c r="IH214" s="179">
        <v>160.76803283691407</v>
      </c>
      <c r="II214" s="99">
        <v>214.64741210937501</v>
      </c>
      <c r="IJ214" s="99">
        <v>185.81080627441406</v>
      </c>
      <c r="IK214" s="99">
        <v>187.5</v>
      </c>
      <c r="IL214" s="99">
        <v>176.50462913513184</v>
      </c>
      <c r="IM214" s="99">
        <v>166.66667175292969</v>
      </c>
      <c r="IN214" s="93"/>
      <c r="IO214" s="132">
        <v>195.45536804199219</v>
      </c>
      <c r="IP214" s="29">
        <v>147</v>
      </c>
      <c r="IQ214" s="19"/>
      <c r="IR214" s="93"/>
      <c r="IS214" s="93"/>
      <c r="IT214" s="93"/>
      <c r="IU214" s="93"/>
      <c r="IV214" s="20"/>
      <c r="IW214" s="29">
        <v>147</v>
      </c>
      <c r="IX214" s="19"/>
      <c r="IY214" s="93"/>
      <c r="IZ214" s="93"/>
      <c r="JA214" s="93"/>
      <c r="JB214" s="93"/>
      <c r="JC214" s="93"/>
      <c r="JD214" s="93"/>
      <c r="JE214" s="20"/>
      <c r="JF214" s="29">
        <v>147</v>
      </c>
      <c r="JG214" s="19"/>
      <c r="JH214" s="93"/>
      <c r="JI214" s="93"/>
      <c r="JJ214" s="93"/>
      <c r="JK214" s="93"/>
      <c r="JL214" s="93"/>
      <c r="JM214" s="93"/>
      <c r="JN214" s="20"/>
      <c r="JO214" s="29">
        <v>147</v>
      </c>
      <c r="JP214" s="19"/>
      <c r="JQ214" s="93"/>
      <c r="JR214" s="93"/>
      <c r="JS214" s="93"/>
      <c r="JT214" s="93"/>
      <c r="JU214" s="20"/>
      <c r="JV214" s="29">
        <v>147</v>
      </c>
      <c r="JW214" s="1504">
        <v>40969</v>
      </c>
      <c r="JX214" s="19"/>
      <c r="JY214" s="93"/>
      <c r="JZ214" s="93"/>
      <c r="KA214" s="93"/>
      <c r="KB214" s="93"/>
      <c r="KC214" s="93"/>
      <c r="KD214" s="20"/>
      <c r="KE214" s="29">
        <v>147</v>
      </c>
      <c r="KF214" s="19"/>
      <c r="KG214" s="93"/>
      <c r="KH214" s="93"/>
      <c r="KI214" s="93"/>
      <c r="KJ214" s="93"/>
      <c r="KK214" s="20"/>
      <c r="KL214" s="29">
        <v>147</v>
      </c>
      <c r="KM214" s="19"/>
      <c r="KN214" s="93"/>
      <c r="KO214" s="93"/>
      <c r="KP214" s="93"/>
      <c r="KQ214" s="93"/>
      <c r="KR214" s="20"/>
      <c r="KS214" s="29">
        <v>147</v>
      </c>
      <c r="KT214" s="19"/>
      <c r="KU214" s="93"/>
      <c r="KV214" s="93"/>
      <c r="KW214" s="93"/>
      <c r="KX214" s="93"/>
      <c r="KY214" s="20"/>
      <c r="KZ214" s="29">
        <v>147</v>
      </c>
      <c r="LA214" s="1504">
        <v>40969</v>
      </c>
      <c r="LB214" s="19">
        <v>510</v>
      </c>
      <c r="LC214" s="93">
        <v>740</v>
      </c>
      <c r="LD214" s="93">
        <v>732</v>
      </c>
      <c r="LE214" s="93"/>
      <c r="LF214" s="93">
        <v>656</v>
      </c>
      <c r="LG214" s="93"/>
      <c r="LH214" s="20"/>
      <c r="LI214" s="29">
        <v>147</v>
      </c>
      <c r="LJ214" s="19"/>
      <c r="LK214" s="93"/>
      <c r="LL214" s="93"/>
      <c r="LM214" s="93"/>
      <c r="LN214" s="93"/>
      <c r="LO214" s="20"/>
      <c r="LP214" s="29">
        <v>147</v>
      </c>
      <c r="LQ214" s="19"/>
      <c r="LR214" s="93"/>
      <c r="LS214" s="93"/>
      <c r="LT214" s="93"/>
      <c r="LU214" s="93"/>
      <c r="LV214" s="93"/>
      <c r="LW214" s="93"/>
      <c r="LX214" s="93"/>
      <c r="LY214" s="93"/>
      <c r="LZ214" s="93"/>
      <c r="MA214" s="20"/>
      <c r="MB214" s="29">
        <v>147</v>
      </c>
      <c r="MC214" s="1504">
        <v>40969</v>
      </c>
      <c r="MD214" s="19">
        <v>82897.919217999995</v>
      </c>
      <c r="ME214" s="93">
        <v>73982.933312999987</v>
      </c>
      <c r="MF214" s="93">
        <v>73982.834298999995</v>
      </c>
      <c r="MG214" s="93">
        <v>64281.625833999991</v>
      </c>
      <c r="MH214" s="93">
        <v>11205.652043</v>
      </c>
      <c r="MI214" s="93">
        <v>440.14794499999999</v>
      </c>
      <c r="MJ214" s="93">
        <v>498.65715800000004</v>
      </c>
      <c r="MK214" s="93">
        <v>38920.863115999993</v>
      </c>
      <c r="ML214" s="93">
        <v>12767.862433</v>
      </c>
      <c r="MM214" s="93">
        <v>448.44313899999997</v>
      </c>
      <c r="MN214" s="93">
        <v>9701.2084649999997</v>
      </c>
      <c r="MO214" s="93">
        <v>293.02426600000001</v>
      </c>
      <c r="MP214" s="93">
        <v>5718.9723130000002</v>
      </c>
      <c r="MQ214" s="93">
        <v>95.308981000000003</v>
      </c>
      <c r="MR214" s="93">
        <v>3.7361810000000002</v>
      </c>
      <c r="MS214" s="93">
        <v>3590.1667239999992</v>
      </c>
      <c r="MT214" s="93">
        <v>9.9013999999999991E-2</v>
      </c>
      <c r="MU214" s="93">
        <v>8914.9859049999995</v>
      </c>
      <c r="MV214" s="93">
        <v>6378.4567819999993</v>
      </c>
      <c r="MW214" s="93">
        <v>2536.5291230000003</v>
      </c>
      <c r="MX214" s="93">
        <v>122316.44324113334</v>
      </c>
      <c r="MY214" s="93">
        <v>119268.15261913334</v>
      </c>
      <c r="MZ214" s="93">
        <v>65622.484531133334</v>
      </c>
      <c r="NA214" s="93">
        <v>25700.070833333335</v>
      </c>
      <c r="NB214" s="93">
        <v>9008.8885200000004</v>
      </c>
      <c r="NC214" s="93">
        <v>1203.6940689999999</v>
      </c>
      <c r="ND214" s="93">
        <v>338.60483299999999</v>
      </c>
      <c r="NE214" s="93">
        <v>865.08923599999991</v>
      </c>
      <c r="NF214" s="93">
        <v>29709.831108800001</v>
      </c>
      <c r="NG214" s="93">
        <v>6819.991</v>
      </c>
      <c r="NH214" s="93">
        <v>5688.0103129999989</v>
      </c>
      <c r="NI214" s="93">
        <v>1398.514979</v>
      </c>
      <c r="NJ214" s="93">
        <v>3195.557022</v>
      </c>
      <c r="NK214" s="93">
        <v>53645.668087999999</v>
      </c>
      <c r="NL214" s="93">
        <v>32584.929211999999</v>
      </c>
      <c r="NM214" s="93">
        <v>81.788674</v>
      </c>
      <c r="NN214" s="93">
        <v>20978.950202</v>
      </c>
      <c r="NO214" s="93">
        <v>3048.2906220000064</v>
      </c>
      <c r="NP214" s="93">
        <v>-39418.524023133352</v>
      </c>
      <c r="NQ214" s="93">
        <v>-48333.509928133353</v>
      </c>
      <c r="NR214" s="93">
        <v>-26150.865657133341</v>
      </c>
      <c r="NS214" s="93">
        <v>-27354.559726133346</v>
      </c>
      <c r="NT214" s="93">
        <v>-27842.740565133321</v>
      </c>
      <c r="NU214" s="93">
        <v>-36757.726470133319</v>
      </c>
      <c r="NV214" s="93">
        <v>26359.933665000004</v>
      </c>
      <c r="NW214" s="93">
        <v>12465.023590999997</v>
      </c>
      <c r="NX214" s="93">
        <v>14600.493419999999</v>
      </c>
      <c r="NY214" s="93">
        <v>-2135.4698290000001</v>
      </c>
      <c r="NZ214" s="93">
        <v>0</v>
      </c>
      <c r="OA214" s="93">
        <v>13894.910074000005</v>
      </c>
      <c r="OB214" s="93">
        <v>33821.704333000001</v>
      </c>
      <c r="OC214" s="93">
        <v>-19926.794258999998</v>
      </c>
      <c r="OD214" s="20">
        <v>0</v>
      </c>
      <c r="OE214" s="29">
        <v>147</v>
      </c>
      <c r="OF214" s="1504">
        <v>40969</v>
      </c>
      <c r="OG214" s="19"/>
      <c r="OH214" s="93">
        <v>129.46217999999999</v>
      </c>
      <c r="OI214" s="93">
        <v>699.71399103225565</v>
      </c>
      <c r="OJ214" s="93">
        <v>0.52804410599999996</v>
      </c>
      <c r="OK214" s="93">
        <v>614.28704692625558</v>
      </c>
      <c r="OL214" s="93">
        <v>84.898899999999998</v>
      </c>
      <c r="OM214" s="93">
        <v>829.17617103225564</v>
      </c>
      <c r="ON214" s="93">
        <v>634.65922163467781</v>
      </c>
      <c r="OO214" s="93">
        <v>1463.8353926669333</v>
      </c>
      <c r="OP214" s="93"/>
      <c r="OQ214" s="93">
        <v>683.20616738130389</v>
      </c>
      <c r="OR214" s="93">
        <v>150.75440921299992</v>
      </c>
      <c r="OS214" s="93">
        <v>532.45175816830397</v>
      </c>
      <c r="OT214" s="93">
        <v>1004.4485533536293</v>
      </c>
      <c r="OU214" s="93">
        <v>-61.956284683000021</v>
      </c>
      <c r="OV214" s="93">
        <v>-57.089284683000002</v>
      </c>
      <c r="OW214" s="93">
        <v>-4.8670000000000186</v>
      </c>
      <c r="OX214" s="93">
        <v>1066.4048380366294</v>
      </c>
      <c r="OY214" s="93">
        <v>4.536327644</v>
      </c>
      <c r="OZ214" s="93">
        <v>1061.8685103926293</v>
      </c>
      <c r="PA214" s="93">
        <v>242.19034691899998</v>
      </c>
      <c r="PB214" s="93">
        <v>-18.371018851000017</v>
      </c>
      <c r="PC214" s="20">
        <v>1463.8353926669331</v>
      </c>
      <c r="PD214" s="29">
        <v>147</v>
      </c>
      <c r="PE214" s="19"/>
      <c r="PF214" s="93">
        <v>150.75440921299992</v>
      </c>
      <c r="PG214" s="93">
        <v>558.12870425599988</v>
      </c>
      <c r="PH214" s="93">
        <v>407.37429504299996</v>
      </c>
      <c r="PI214" s="93">
        <v>166.1</v>
      </c>
      <c r="PJ214" s="93">
        <v>-53.487384683000002</v>
      </c>
      <c r="PK214" s="93">
        <v>106.13407171199999</v>
      </c>
      <c r="PL214" s="93">
        <v>159.621456395</v>
      </c>
      <c r="PM214" s="93">
        <v>4.536327644</v>
      </c>
      <c r="PN214" s="93">
        <v>1.06</v>
      </c>
      <c r="PO214" s="93">
        <v>0</v>
      </c>
      <c r="PP214" s="93">
        <v>4.50631E-4</v>
      </c>
      <c r="PQ214" s="93">
        <v>3.4758770129999998</v>
      </c>
      <c r="PR214" s="93">
        <v>257.05164189599998</v>
      </c>
      <c r="PS214" s="93">
        <v>168.16507999999999</v>
      </c>
      <c r="PT214" s="93">
        <v>88.358517789999993</v>
      </c>
      <c r="PU214" s="93">
        <v>0.52804410599999996</v>
      </c>
      <c r="PV214" s="93">
        <v>0</v>
      </c>
      <c r="PW214" s="93">
        <v>2.1560241269999998</v>
      </c>
      <c r="PX214" s="93">
        <v>0</v>
      </c>
      <c r="PY214" s="93">
        <v>0</v>
      </c>
      <c r="PZ214" s="93">
        <v>2.1560241269999998</v>
      </c>
      <c r="QA214" s="93">
        <v>0</v>
      </c>
      <c r="QB214" s="93">
        <v>0</v>
      </c>
      <c r="QC214" s="93">
        <v>0</v>
      </c>
      <c r="QD214" s="93">
        <v>0.46532279199999999</v>
      </c>
      <c r="QE214" s="20">
        <v>8.2303633589999912</v>
      </c>
      <c r="QF214" s="1739">
        <v>147</v>
      </c>
      <c r="QG214" s="19"/>
      <c r="QH214" s="1035">
        <v>532.45175816830397</v>
      </c>
      <c r="QI214" s="1035">
        <v>635.57848960737044</v>
      </c>
      <c r="QJ214" s="1035">
        <v>-103.12673143906653</v>
      </c>
      <c r="QK214" s="1035">
        <v>115.666</v>
      </c>
      <c r="QL214" s="1035">
        <v>35.100999999999999</v>
      </c>
      <c r="QM214" s="1035">
        <v>80.564999999999998</v>
      </c>
      <c r="QN214" s="1035">
        <v>0</v>
      </c>
      <c r="QO214" s="1035">
        <v>-4.8670000000000186</v>
      </c>
      <c r="QP214" s="1035">
        <v>124.429</v>
      </c>
      <c r="QQ214" s="1035">
        <v>-129.29600000000002</v>
      </c>
      <c r="QR214" s="1035">
        <v>1061.8685103926293</v>
      </c>
      <c r="QS214" s="1035">
        <v>16.982038758065805</v>
      </c>
      <c r="QT214" s="1035">
        <v>0</v>
      </c>
      <c r="QU214" s="1035">
        <v>164.76</v>
      </c>
      <c r="QV214" s="1035">
        <v>880.12647163456359</v>
      </c>
      <c r="QW214" s="93"/>
      <c r="QX214" s="93">
        <v>166.72300000000001</v>
      </c>
      <c r="QY214" s="93">
        <v>614.28704692625558</v>
      </c>
      <c r="QZ214" s="93">
        <v>634.65922163467781</v>
      </c>
      <c r="RA214" s="93">
        <v>0</v>
      </c>
      <c r="RB214" s="93">
        <v>34.545999999999999</v>
      </c>
      <c r="RC214" s="93">
        <v>6.2279999999999998</v>
      </c>
      <c r="RD214" s="93">
        <v>14.194000000000001</v>
      </c>
      <c r="RE214" s="93">
        <v>0</v>
      </c>
      <c r="RF214" s="93">
        <v>0</v>
      </c>
      <c r="RG214" s="93">
        <v>184.60099999999997</v>
      </c>
      <c r="RH214" s="93">
        <v>49.880999999999986</v>
      </c>
      <c r="RI214" s="93"/>
      <c r="RJ214" s="93"/>
      <c r="RK214" s="93"/>
      <c r="RL214" s="93"/>
      <c r="RM214" s="734"/>
      <c r="RN214" s="29">
        <v>147</v>
      </c>
      <c r="RO214" s="19">
        <v>96</v>
      </c>
      <c r="RP214" s="20"/>
      <c r="RQ214" s="29">
        <v>147</v>
      </c>
      <c r="RR214" s="734">
        <v>2.7667138000000007</v>
      </c>
      <c r="RS214" s="29">
        <v>147</v>
      </c>
      <c r="RT214" s="1504">
        <v>40969</v>
      </c>
      <c r="RU214" s="19"/>
      <c r="RV214" s="20"/>
      <c r="RW214" s="29">
        <v>147</v>
      </c>
      <c r="RX214" s="1504">
        <v>40969</v>
      </c>
      <c r="RY214" s="29"/>
      <c r="RZ214" s="734"/>
      <c r="SA214" s="29"/>
      <c r="SB214" s="29">
        <v>147</v>
      </c>
    </row>
    <row r="215" spans="1:496">
      <c r="A215" s="41">
        <f t="shared" si="208"/>
        <v>2012</v>
      </c>
      <c r="B215" s="1504">
        <v>41000</v>
      </c>
      <c r="C215" s="1813"/>
      <c r="D215" s="1814"/>
      <c r="E215" s="1814"/>
      <c r="F215" s="1815"/>
      <c r="G215" s="1814"/>
      <c r="H215" s="1814"/>
      <c r="I215" s="1814"/>
      <c r="J215" s="1816"/>
      <c r="K215" s="1807"/>
      <c r="L215" s="25">
        <v>148</v>
      </c>
      <c r="M215" s="97"/>
      <c r="N215" s="1504">
        <v>41000</v>
      </c>
      <c r="O215" s="19"/>
      <c r="P215" s="93"/>
      <c r="Q215" s="93"/>
      <c r="R215" s="93"/>
      <c r="S215" s="93"/>
      <c r="T215" s="93"/>
      <c r="U215" s="93"/>
      <c r="V215" s="93"/>
      <c r="W215" s="93"/>
      <c r="X215" s="93"/>
      <c r="Y215" s="93"/>
      <c r="Z215" s="93"/>
      <c r="AA215" s="93"/>
      <c r="AB215" s="20"/>
      <c r="AC215" s="25">
        <v>148</v>
      </c>
      <c r="AD215" s="97"/>
      <c r="AE215" s="1504">
        <v>41000</v>
      </c>
      <c r="AF215" s="19"/>
      <c r="AG215" s="93"/>
      <c r="AH215" s="93"/>
      <c r="AI215" s="93"/>
      <c r="AJ215" s="93"/>
      <c r="AK215" s="93"/>
      <c r="AL215" s="93"/>
      <c r="AM215" s="93"/>
      <c r="AN215" s="93"/>
      <c r="AO215" s="93"/>
      <c r="AP215" s="93"/>
      <c r="AQ215" s="93"/>
      <c r="AR215" s="93"/>
      <c r="AS215" s="20"/>
      <c r="AT215" s="25">
        <v>148</v>
      </c>
      <c r="AU215" s="97"/>
      <c r="AV215" s="1504">
        <v>41000</v>
      </c>
      <c r="AW215" s="19"/>
      <c r="AX215" s="93"/>
      <c r="AY215" s="93"/>
      <c r="AZ215" s="93"/>
      <c r="BA215" s="93"/>
      <c r="BB215" s="93"/>
      <c r="BC215" s="93"/>
      <c r="BD215" s="93"/>
      <c r="BE215" s="93"/>
      <c r="BF215" s="93"/>
      <c r="BG215" s="93"/>
      <c r="BH215" s="93"/>
      <c r="BI215" s="93"/>
      <c r="BJ215" s="20"/>
      <c r="BK215" s="25">
        <v>148</v>
      </c>
      <c r="BL215" s="97"/>
      <c r="BM215" s="1504">
        <v>41000</v>
      </c>
      <c r="BN215" s="19"/>
      <c r="BO215" s="93"/>
      <c r="BP215" s="93"/>
      <c r="BQ215" s="93"/>
      <c r="BR215" s="93"/>
      <c r="BS215" s="93"/>
      <c r="BT215" s="93"/>
      <c r="BU215" s="20"/>
      <c r="BV215" s="25">
        <v>148</v>
      </c>
      <c r="BW215" s="97"/>
      <c r="BX215" s="1504">
        <v>41000</v>
      </c>
      <c r="BY215" s="179">
        <v>498.38300945999998</v>
      </c>
      <c r="BZ215" s="99">
        <v>664.95699999999999</v>
      </c>
      <c r="CA215" s="93"/>
      <c r="CB215" s="93"/>
      <c r="CC215" s="99">
        <v>284.39661485740714</v>
      </c>
      <c r="CD215" s="25">
        <v>148</v>
      </c>
      <c r="CE215" s="97"/>
      <c r="CF215" s="1504">
        <v>41000</v>
      </c>
      <c r="CG215" s="179">
        <v>2.2032972279999998</v>
      </c>
      <c r="CH215" s="99">
        <v>1649.2</v>
      </c>
      <c r="CI215" s="219"/>
      <c r="CJ215" s="20"/>
      <c r="CK215" s="19"/>
      <c r="CL215" s="93"/>
      <c r="CM215" s="93"/>
      <c r="CN215" s="93"/>
      <c r="CO215" s="93"/>
      <c r="CP215" s="20"/>
      <c r="CQ215" s="219">
        <v>2274.96</v>
      </c>
      <c r="CR215" s="93">
        <v>2.782</v>
      </c>
      <c r="CS215" s="93"/>
      <c r="CT215" s="93"/>
      <c r="CU215" s="93"/>
      <c r="CV215" s="214"/>
      <c r="CW215" s="29">
        <v>148</v>
      </c>
      <c r="CX215" s="41">
        <f t="shared" si="209"/>
        <v>2012</v>
      </c>
      <c r="CY215" s="1504">
        <v>41000</v>
      </c>
      <c r="CZ215" s="1916">
        <v>84.810978599999999</v>
      </c>
      <c r="DA215" s="1526">
        <v>50.542950600000005</v>
      </c>
      <c r="DB215" s="1526">
        <v>34.268028000000001</v>
      </c>
      <c r="DC215" s="182">
        <f t="shared" si="213"/>
        <v>436250</v>
      </c>
      <c r="DD215" s="182">
        <f t="shared" si="214"/>
        <v>435032</v>
      </c>
      <c r="DE215" s="182">
        <f t="shared" si="215"/>
        <v>1218</v>
      </c>
      <c r="DF215" s="29">
        <v>148</v>
      </c>
      <c r="DG215" s="1504">
        <v>41000</v>
      </c>
      <c r="DH215" s="19"/>
      <c r="DI215" s="93"/>
      <c r="DJ215" s="93"/>
      <c r="DK215" s="93"/>
      <c r="DL215" s="93"/>
      <c r="DM215" s="93"/>
      <c r="DN215" s="20"/>
      <c r="DO215" s="25"/>
      <c r="DP215" s="29">
        <v>148</v>
      </c>
      <c r="DQ215" s="1504">
        <v>41000</v>
      </c>
      <c r="DR215" s="19"/>
      <c r="DS215" s="93"/>
      <c r="DT215" s="93"/>
      <c r="DU215" s="93"/>
      <c r="DV215" s="93"/>
      <c r="DW215" s="93"/>
      <c r="DX215" s="20"/>
      <c r="DY215" s="29">
        <v>148</v>
      </c>
      <c r="DZ215" s="1504">
        <v>41000</v>
      </c>
      <c r="EA215" s="19"/>
      <c r="EB215" s="93"/>
      <c r="EC215" s="20"/>
      <c r="ED215" s="29">
        <v>148</v>
      </c>
      <c r="EE215" s="1504">
        <v>41000</v>
      </c>
      <c r="EF215" s="19"/>
      <c r="EG215" s="93"/>
      <c r="EH215" s="93"/>
      <c r="EI215" s="214"/>
      <c r="EJ215" s="93"/>
      <c r="EK215" s="93"/>
      <c r="EL215" s="93"/>
      <c r="EM215" s="93"/>
      <c r="EN215" s="20"/>
      <c r="EO215" s="29">
        <v>148</v>
      </c>
      <c r="EP215" s="1504">
        <v>41000</v>
      </c>
      <c r="EQ215" s="19"/>
      <c r="ER215" s="93"/>
      <c r="ES215" s="93"/>
      <c r="ET215" s="214"/>
      <c r="EU215" s="93"/>
      <c r="EV215" s="93"/>
      <c r="EW215" s="93"/>
      <c r="EX215" s="93"/>
      <c r="EY215" s="20"/>
      <c r="EZ215" s="29">
        <v>148</v>
      </c>
      <c r="FA215" s="1504">
        <v>41000</v>
      </c>
      <c r="FB215" s="29"/>
      <c r="FC215" s="29"/>
      <c r="FD215" s="29"/>
      <c r="FE215" s="29"/>
      <c r="FF215" s="29"/>
      <c r="FG215" s="29"/>
      <c r="FH215" s="29"/>
      <c r="FI215" s="29"/>
      <c r="FJ215" s="29"/>
      <c r="FK215" s="29">
        <v>148</v>
      </c>
      <c r="FL215" s="1504">
        <v>41000</v>
      </c>
      <c r="FM215" s="19">
        <v>104.97608950632312</v>
      </c>
      <c r="FN215" s="93">
        <v>112.28701633404127</v>
      </c>
      <c r="FO215" s="93">
        <v>100.14129297996406</v>
      </c>
      <c r="FP215" s="93">
        <v>101.72283475015455</v>
      </c>
      <c r="FQ215" s="93">
        <v>110.60031680558211</v>
      </c>
      <c r="FR215" s="93">
        <v>98.348375763245215</v>
      </c>
      <c r="FS215" s="93">
        <v>100.50731143893536</v>
      </c>
      <c r="FT215" s="93">
        <v>104.21377398756844</v>
      </c>
      <c r="FU215" s="93">
        <v>63.555149054916882</v>
      </c>
      <c r="FV215" s="93">
        <v>98.774259753792251</v>
      </c>
      <c r="FW215" s="93">
        <v>102.49285068203132</v>
      </c>
      <c r="FX215" s="93">
        <v>113.87084660511331</v>
      </c>
      <c r="FY215" s="93">
        <v>103.07043027380236</v>
      </c>
      <c r="FZ215" s="29">
        <v>148</v>
      </c>
      <c r="GA215" s="1504">
        <v>41000</v>
      </c>
      <c r="GB215" s="733">
        <v>104.97608950632312</v>
      </c>
      <c r="GC215" s="570">
        <v>104.0871766959492</v>
      </c>
      <c r="GD215" s="570">
        <v>105.54865282735983</v>
      </c>
      <c r="GE215" s="570">
        <v>112.02335636481514</v>
      </c>
      <c r="GF215" s="570">
        <v>108.99898934274802</v>
      </c>
      <c r="GG215" s="570">
        <v>102.22301293476205</v>
      </c>
      <c r="GH215" s="93"/>
      <c r="GI215" s="93"/>
      <c r="GJ215" s="93"/>
      <c r="GK215" s="93"/>
      <c r="GL215" s="93"/>
      <c r="GM215" s="93"/>
      <c r="GN215" s="20"/>
      <c r="GO215" s="29">
        <v>148</v>
      </c>
      <c r="GP215" s="1504">
        <v>41000</v>
      </c>
      <c r="GQ215" s="19"/>
      <c r="GR215" s="93"/>
      <c r="GS215" s="93"/>
      <c r="GT215" s="93"/>
      <c r="GU215" s="93"/>
      <c r="GV215" s="20"/>
      <c r="GW215" s="19"/>
      <c r="GX215" s="93"/>
      <c r="GY215" s="93"/>
      <c r="GZ215" s="93"/>
      <c r="HA215" s="93"/>
      <c r="HB215" s="20"/>
      <c r="HC215" s="19"/>
      <c r="HD215" s="93"/>
      <c r="HE215" s="93"/>
      <c r="HF215" s="93"/>
      <c r="HG215" s="93"/>
      <c r="HH215" s="20"/>
      <c r="HI215" s="19"/>
      <c r="HJ215" s="93"/>
      <c r="HK215" s="93"/>
      <c r="HL215" s="93"/>
      <c r="HM215" s="93"/>
      <c r="HN215" s="20"/>
      <c r="HO215" s="219"/>
      <c r="HP215" s="20"/>
      <c r="HQ215" s="25"/>
      <c r="HR215" s="29">
        <v>148</v>
      </c>
      <c r="HS215" s="1504">
        <v>41000</v>
      </c>
      <c r="HT215" s="179">
        <v>283.48776550292968</v>
      </c>
      <c r="HU215" s="99">
        <v>318.57639312744141</v>
      </c>
      <c r="HV215" s="99">
        <v>233.33332824707031</v>
      </c>
      <c r="HW215" s="99">
        <v>194.17475891113281</v>
      </c>
      <c r="HX215" s="99">
        <v>274.16666412353516</v>
      </c>
      <c r="HY215" s="99">
        <v>294.4896240234375</v>
      </c>
      <c r="HZ215" s="99">
        <v>249.99999237060547</v>
      </c>
      <c r="IA215" s="132">
        <v>229.03226470947266</v>
      </c>
      <c r="IB215" s="179">
        <v>216.50030136108398</v>
      </c>
      <c r="IC215" s="99">
        <v>227.97928365071616</v>
      </c>
      <c r="ID215" s="99">
        <v>209.67742919921875</v>
      </c>
      <c r="IE215" s="99">
        <v>196.14148864746093</v>
      </c>
      <c r="IF215" s="99">
        <v>225.00000762939453</v>
      </c>
      <c r="IG215" s="132">
        <v>266.66667175292969</v>
      </c>
      <c r="IH215" s="179">
        <v>181.70454254150391</v>
      </c>
      <c r="II215" s="99">
        <v>238.92691802978516</v>
      </c>
      <c r="IJ215" s="99">
        <v>195.94594116210936</v>
      </c>
      <c r="IK215" s="99">
        <v>204.91071701049805</v>
      </c>
      <c r="IL215" s="99">
        <v>194.44444274902344</v>
      </c>
      <c r="IM215" s="99">
        <v>183.99340057373047</v>
      </c>
      <c r="IN215" s="93"/>
      <c r="IO215" s="132">
        <v>204.77815246582031</v>
      </c>
      <c r="IP215" s="29">
        <v>148</v>
      </c>
      <c r="IQ215" s="19"/>
      <c r="IR215" s="93"/>
      <c r="IS215" s="93"/>
      <c r="IT215" s="93"/>
      <c r="IU215" s="93"/>
      <c r="IV215" s="20"/>
      <c r="IW215" s="29">
        <v>148</v>
      </c>
      <c r="IX215" s="19"/>
      <c r="IY215" s="93"/>
      <c r="IZ215" s="93"/>
      <c r="JA215" s="93"/>
      <c r="JB215" s="93"/>
      <c r="JC215" s="93"/>
      <c r="JD215" s="93"/>
      <c r="JE215" s="20"/>
      <c r="JF215" s="29">
        <v>148</v>
      </c>
      <c r="JG215" s="19"/>
      <c r="JH215" s="93"/>
      <c r="JI215" s="93"/>
      <c r="JJ215" s="93"/>
      <c r="JK215" s="93"/>
      <c r="JL215" s="93"/>
      <c r="JM215" s="93"/>
      <c r="JN215" s="20"/>
      <c r="JO215" s="29">
        <v>148</v>
      </c>
      <c r="JP215" s="19"/>
      <c r="JQ215" s="93"/>
      <c r="JR215" s="93"/>
      <c r="JS215" s="93"/>
      <c r="JT215" s="93"/>
      <c r="JU215" s="20"/>
      <c r="JV215" s="29">
        <v>148</v>
      </c>
      <c r="JW215" s="1504">
        <v>41000</v>
      </c>
      <c r="JX215" s="19"/>
      <c r="JY215" s="93"/>
      <c r="JZ215" s="93"/>
      <c r="KA215" s="93"/>
      <c r="KB215" s="93"/>
      <c r="KC215" s="93"/>
      <c r="KD215" s="20"/>
      <c r="KE215" s="29">
        <v>148</v>
      </c>
      <c r="KF215" s="19"/>
      <c r="KG215" s="93"/>
      <c r="KH215" s="93"/>
      <c r="KI215" s="93"/>
      <c r="KJ215" s="93"/>
      <c r="KK215" s="20"/>
      <c r="KL215" s="29">
        <v>148</v>
      </c>
      <c r="KM215" s="19"/>
      <c r="KN215" s="93"/>
      <c r="KO215" s="93"/>
      <c r="KP215" s="93"/>
      <c r="KQ215" s="93"/>
      <c r="KR215" s="20"/>
      <c r="KS215" s="29">
        <v>148</v>
      </c>
      <c r="KT215" s="19"/>
      <c r="KU215" s="93"/>
      <c r="KV215" s="93"/>
      <c r="KW215" s="93"/>
      <c r="KX215" s="93"/>
      <c r="KY215" s="20"/>
      <c r="KZ215" s="29">
        <v>148</v>
      </c>
      <c r="LA215" s="1504">
        <v>41000</v>
      </c>
      <c r="LB215" s="19">
        <v>510</v>
      </c>
      <c r="LC215" s="93">
        <v>740</v>
      </c>
      <c r="LD215" s="93">
        <v>732</v>
      </c>
      <c r="LE215" s="93"/>
      <c r="LF215" s="93">
        <v>656</v>
      </c>
      <c r="LG215" s="93"/>
      <c r="LH215" s="20"/>
      <c r="LI215" s="29">
        <v>148</v>
      </c>
      <c r="LJ215" s="19"/>
      <c r="LK215" s="93"/>
      <c r="LL215" s="93"/>
      <c r="LM215" s="93"/>
      <c r="LN215" s="93"/>
      <c r="LO215" s="20"/>
      <c r="LP215" s="29">
        <v>148</v>
      </c>
      <c r="LQ215" s="19"/>
      <c r="LR215" s="93"/>
      <c r="LS215" s="93"/>
      <c r="LT215" s="93"/>
      <c r="LU215" s="93"/>
      <c r="LV215" s="93"/>
      <c r="LW215" s="93"/>
      <c r="LX215" s="93"/>
      <c r="LY215" s="93"/>
      <c r="LZ215" s="93"/>
      <c r="MA215" s="20"/>
      <c r="MB215" s="29">
        <v>148</v>
      </c>
      <c r="MC215" s="1504">
        <v>41000</v>
      </c>
      <c r="MD215" s="19">
        <v>124430.37031419999</v>
      </c>
      <c r="ME215" s="93">
        <v>118845.62291999998</v>
      </c>
      <c r="MF215" s="93">
        <v>118798.251276</v>
      </c>
      <c r="MG215" s="93">
        <v>111212.56624299999</v>
      </c>
      <c r="MH215" s="93">
        <v>54778.511979000003</v>
      </c>
      <c r="MI215" s="93">
        <v>509.58927999999997</v>
      </c>
      <c r="MJ215" s="93">
        <v>455.15909399999998</v>
      </c>
      <c r="MK215" s="93">
        <v>42079.748780999988</v>
      </c>
      <c r="ML215" s="93">
        <v>12813.717938000002</v>
      </c>
      <c r="MM215" s="93">
        <v>575.83917100000008</v>
      </c>
      <c r="MN215" s="93">
        <v>7585.6850329999997</v>
      </c>
      <c r="MO215" s="93">
        <v>336.54589299999992</v>
      </c>
      <c r="MP215" s="93">
        <v>2367.1224730000004</v>
      </c>
      <c r="MQ215" s="93">
        <v>177.089415</v>
      </c>
      <c r="MR215" s="93">
        <v>1039.91777</v>
      </c>
      <c r="MS215" s="93">
        <v>3665.0094819999999</v>
      </c>
      <c r="MT215" s="93">
        <v>47.371644000000003</v>
      </c>
      <c r="MU215" s="93">
        <v>5584.7473941999988</v>
      </c>
      <c r="MV215" s="93">
        <v>4548.3353341999991</v>
      </c>
      <c r="MW215" s="93">
        <v>1036.4120600000001</v>
      </c>
      <c r="MX215" s="93">
        <v>107994.36906736666</v>
      </c>
      <c r="MY215" s="93">
        <v>108166.64525336666</v>
      </c>
      <c r="MZ215" s="93">
        <v>68619.696575166672</v>
      </c>
      <c r="NA215" s="93">
        <v>25221.155500000001</v>
      </c>
      <c r="NB215" s="93">
        <v>11558.275814666666</v>
      </c>
      <c r="NC215" s="93">
        <v>3144.4845240000013</v>
      </c>
      <c r="ND215" s="93">
        <v>1819.2390420000015</v>
      </c>
      <c r="NE215" s="93">
        <v>1325.2454819999998</v>
      </c>
      <c r="NF215" s="93">
        <v>28695.780736500001</v>
      </c>
      <c r="NG215" s="93">
        <v>25</v>
      </c>
      <c r="NH215" s="93">
        <v>7598.7451379999984</v>
      </c>
      <c r="NI215" s="93">
        <v>2484.0453229999998</v>
      </c>
      <c r="NJ215" s="93">
        <v>0</v>
      </c>
      <c r="NK215" s="93">
        <v>39546.948678199995</v>
      </c>
      <c r="NL215" s="93">
        <v>27749.498554999991</v>
      </c>
      <c r="NM215" s="93">
        <v>181.78867400000013</v>
      </c>
      <c r="NN215" s="93">
        <v>11615.661449200001</v>
      </c>
      <c r="NO215" s="93">
        <v>-172.27618599999755</v>
      </c>
      <c r="NP215" s="93">
        <v>16436.001246833326</v>
      </c>
      <c r="NQ215" s="93">
        <v>10851.253852633326</v>
      </c>
      <c r="NR215" s="93">
        <v>25611.399825833334</v>
      </c>
      <c r="NS215" s="93">
        <v>22466.915301833331</v>
      </c>
      <c r="NT215" s="93">
        <v>20297.381891833316</v>
      </c>
      <c r="NU215" s="93">
        <v>14712.634497633318</v>
      </c>
      <c r="NV215" s="93">
        <v>6559.9295560000064</v>
      </c>
      <c r="NW215" s="93">
        <v>6021.4106780000002</v>
      </c>
      <c r="NX215" s="93">
        <v>7067.3261149999998</v>
      </c>
      <c r="NY215" s="93">
        <v>-1045.9154369999999</v>
      </c>
      <c r="NZ215" s="93">
        <v>0</v>
      </c>
      <c r="OA215" s="93">
        <v>538.51887800000611</v>
      </c>
      <c r="OB215" s="93">
        <v>-18758.279293999993</v>
      </c>
      <c r="OC215" s="93">
        <v>19296.798171999999</v>
      </c>
      <c r="OD215" s="20">
        <v>0</v>
      </c>
      <c r="OE215" s="29">
        <v>148</v>
      </c>
      <c r="OF215" s="1504">
        <v>41000</v>
      </c>
      <c r="OG215" s="19"/>
      <c r="OH215" s="93">
        <v>149.28069999999997</v>
      </c>
      <c r="OI215" s="93">
        <v>750.80756728377196</v>
      </c>
      <c r="OJ215" s="93">
        <v>0.479929516</v>
      </c>
      <c r="OK215" s="93">
        <v>654.45833776777204</v>
      </c>
      <c r="OL215" s="93">
        <v>95.869299999999981</v>
      </c>
      <c r="OM215" s="93">
        <v>900.08826728377198</v>
      </c>
      <c r="ON215" s="93">
        <v>635.72180871809428</v>
      </c>
      <c r="OO215" s="93">
        <v>1535.8100760018663</v>
      </c>
      <c r="OP215" s="93"/>
      <c r="OQ215" s="93">
        <v>772.11957015695202</v>
      </c>
      <c r="OR215" s="93">
        <v>218.74048710399998</v>
      </c>
      <c r="OS215" s="93">
        <v>553.37908305295218</v>
      </c>
      <c r="OT215" s="93">
        <v>959.01489644391438</v>
      </c>
      <c r="OU215" s="93">
        <v>-85.046240620000006</v>
      </c>
      <c r="OV215" s="93">
        <v>-75.511240619999981</v>
      </c>
      <c r="OW215" s="93">
        <v>-9.535000000000025</v>
      </c>
      <c r="OX215" s="93">
        <v>1044.0611370639144</v>
      </c>
      <c r="OY215" s="93">
        <v>4.6090736310000002</v>
      </c>
      <c r="OZ215" s="93">
        <v>1039.4520634329144</v>
      </c>
      <c r="PA215" s="93">
        <v>244.54957973099999</v>
      </c>
      <c r="PB215" s="93">
        <v>-49.225189132000004</v>
      </c>
      <c r="PC215" s="20">
        <v>1535.8100760018663</v>
      </c>
      <c r="PD215" s="29">
        <v>148</v>
      </c>
      <c r="PE215" s="19"/>
      <c r="PF215" s="93">
        <v>218.74048710399998</v>
      </c>
      <c r="PG215" s="93">
        <v>429.57924920599999</v>
      </c>
      <c r="PH215" s="93">
        <v>210.838762102</v>
      </c>
      <c r="PI215" s="93">
        <v>149.66</v>
      </c>
      <c r="PJ215" s="93">
        <v>-74.432240619999988</v>
      </c>
      <c r="PK215" s="93">
        <v>105.169456905</v>
      </c>
      <c r="PL215" s="93">
        <v>179.60169752499999</v>
      </c>
      <c r="PM215" s="93">
        <v>4.6090736310000002</v>
      </c>
      <c r="PN215" s="93">
        <v>1.06</v>
      </c>
      <c r="PO215" s="93">
        <v>0</v>
      </c>
      <c r="PP215" s="93">
        <v>9.8112299999999998E-4</v>
      </c>
      <c r="PQ215" s="93">
        <v>3.5480925079999999</v>
      </c>
      <c r="PR215" s="93">
        <v>294.36103985599999</v>
      </c>
      <c r="PS215" s="93">
        <v>185.27869999999999</v>
      </c>
      <c r="PT215" s="93">
        <v>108.60241034000001</v>
      </c>
      <c r="PU215" s="93">
        <v>0.479929516</v>
      </c>
      <c r="PV215" s="93">
        <v>0</v>
      </c>
      <c r="PW215" s="93">
        <v>2.1308123050000001</v>
      </c>
      <c r="PX215" s="93">
        <v>0</v>
      </c>
      <c r="PY215" s="93">
        <v>0</v>
      </c>
      <c r="PZ215" s="93">
        <v>2.1308123050000001</v>
      </c>
      <c r="QA215" s="93">
        <v>0</v>
      </c>
      <c r="QB215" s="93">
        <v>0</v>
      </c>
      <c r="QC215" s="93">
        <v>0</v>
      </c>
      <c r="QD215" s="93">
        <v>0.47076742599999999</v>
      </c>
      <c r="QE215" s="20">
        <v>1.6147005280000073</v>
      </c>
      <c r="QF215" s="1739">
        <v>148</v>
      </c>
      <c r="QG215" s="19"/>
      <c r="QH215" s="1035">
        <v>553.37908305295218</v>
      </c>
      <c r="QI215" s="1035">
        <v>642.51593656708576</v>
      </c>
      <c r="QJ215" s="1035">
        <v>-89.136853514133634</v>
      </c>
      <c r="QK215" s="1035">
        <v>145.73000000000002</v>
      </c>
      <c r="QL215" s="1035">
        <v>34.918999999999997</v>
      </c>
      <c r="QM215" s="1035">
        <v>110.81100000000001</v>
      </c>
      <c r="QN215" s="1035">
        <v>0</v>
      </c>
      <c r="QO215" s="1035">
        <v>-9.535000000000025</v>
      </c>
      <c r="QP215" s="1035">
        <v>129.99099999999999</v>
      </c>
      <c r="QQ215" s="1035">
        <v>-139.52600000000001</v>
      </c>
      <c r="QR215" s="1035">
        <v>1039.4520634329144</v>
      </c>
      <c r="QS215" s="1035">
        <v>12.387652221222703</v>
      </c>
      <c r="QT215" s="1035">
        <v>0</v>
      </c>
      <c r="QU215" s="1035">
        <v>142.27500000000001</v>
      </c>
      <c r="QV215" s="1035">
        <v>884.78941121169169</v>
      </c>
      <c r="QW215" s="93"/>
      <c r="QX215" s="93">
        <v>150.28700000000001</v>
      </c>
      <c r="QY215" s="93">
        <v>654.45833776777204</v>
      </c>
      <c r="QZ215" s="93">
        <v>635.72180871809417</v>
      </c>
      <c r="RA215" s="93">
        <v>0</v>
      </c>
      <c r="RB215" s="93">
        <v>33.369</v>
      </c>
      <c r="RC215" s="93">
        <v>6.2279999999999998</v>
      </c>
      <c r="RD215" s="93">
        <v>16.728000000000002</v>
      </c>
      <c r="RE215" s="93">
        <v>0</v>
      </c>
      <c r="RF215" s="93">
        <v>0</v>
      </c>
      <c r="RG215" s="93">
        <v>185.62299999999999</v>
      </c>
      <c r="RH215" s="93">
        <v>46.610999999999962</v>
      </c>
      <c r="RI215" s="93"/>
      <c r="RJ215" s="93"/>
      <c r="RK215" s="93"/>
      <c r="RL215" s="93"/>
      <c r="RM215" s="734"/>
      <c r="RN215" s="29">
        <v>148</v>
      </c>
      <c r="RO215" s="19">
        <v>67</v>
      </c>
      <c r="RP215" s="20"/>
      <c r="RQ215" s="29">
        <v>148</v>
      </c>
      <c r="RR215" s="734">
        <v>2.3959530199999994</v>
      </c>
      <c r="RS215" s="29">
        <v>148</v>
      </c>
      <c r="RT215" s="1504">
        <v>41000</v>
      </c>
      <c r="RU215" s="19"/>
      <c r="RV215" s="20"/>
      <c r="RW215" s="29">
        <v>148</v>
      </c>
      <c r="RX215" s="1504">
        <v>41000</v>
      </c>
      <c r="RY215" s="29"/>
      <c r="RZ215" s="734"/>
      <c r="SA215" s="29"/>
      <c r="SB215" s="29">
        <v>148</v>
      </c>
    </row>
    <row r="216" spans="1:496">
      <c r="A216" s="41">
        <f t="shared" si="208"/>
        <v>2012</v>
      </c>
      <c r="B216" s="1504">
        <v>41030</v>
      </c>
      <c r="C216" s="1813"/>
      <c r="D216" s="1814"/>
      <c r="E216" s="1814"/>
      <c r="F216" s="1815"/>
      <c r="G216" s="1814"/>
      <c r="H216" s="1814"/>
      <c r="I216" s="1814"/>
      <c r="J216" s="1816"/>
      <c r="K216" s="1807"/>
      <c r="L216" s="25">
        <v>149</v>
      </c>
      <c r="M216" s="97"/>
      <c r="N216" s="1504">
        <v>41030</v>
      </c>
      <c r="O216" s="19"/>
      <c r="P216" s="93"/>
      <c r="Q216" s="93"/>
      <c r="R216" s="93"/>
      <c r="S216" s="93"/>
      <c r="T216" s="93"/>
      <c r="U216" s="93"/>
      <c r="V216" s="93"/>
      <c r="W216" s="93"/>
      <c r="X216" s="93"/>
      <c r="Y216" s="93"/>
      <c r="Z216" s="93"/>
      <c r="AA216" s="93"/>
      <c r="AB216" s="20"/>
      <c r="AC216" s="25">
        <v>149</v>
      </c>
      <c r="AD216" s="97"/>
      <c r="AE216" s="1504">
        <v>41030</v>
      </c>
      <c r="AF216" s="19"/>
      <c r="AG216" s="93"/>
      <c r="AH216" s="93"/>
      <c r="AI216" s="93"/>
      <c r="AJ216" s="93"/>
      <c r="AK216" s="93"/>
      <c r="AL216" s="93"/>
      <c r="AM216" s="93"/>
      <c r="AN216" s="93"/>
      <c r="AO216" s="93"/>
      <c r="AP216" s="93"/>
      <c r="AQ216" s="93"/>
      <c r="AR216" s="93"/>
      <c r="AS216" s="20"/>
      <c r="AT216" s="25">
        <v>149</v>
      </c>
      <c r="AU216" s="97"/>
      <c r="AV216" s="1504">
        <v>41030</v>
      </c>
      <c r="AW216" s="19"/>
      <c r="AX216" s="93"/>
      <c r="AY216" s="93"/>
      <c r="AZ216" s="93"/>
      <c r="BA216" s="93"/>
      <c r="BB216" s="93"/>
      <c r="BC216" s="93"/>
      <c r="BD216" s="93"/>
      <c r="BE216" s="93"/>
      <c r="BF216" s="93"/>
      <c r="BG216" s="93"/>
      <c r="BH216" s="93"/>
      <c r="BI216" s="93"/>
      <c r="BJ216" s="20"/>
      <c r="BK216" s="25">
        <v>149</v>
      </c>
      <c r="BL216" s="97"/>
      <c r="BM216" s="1504">
        <v>41030</v>
      </c>
      <c r="BN216" s="19"/>
      <c r="BO216" s="93"/>
      <c r="BP216" s="93"/>
      <c r="BQ216" s="93"/>
      <c r="BR216" s="93"/>
      <c r="BS216" s="93"/>
      <c r="BT216" s="93"/>
      <c r="BU216" s="20"/>
      <c r="BV216" s="25">
        <v>149</v>
      </c>
      <c r="BW216" s="97"/>
      <c r="BX216" s="1504">
        <v>41030</v>
      </c>
      <c r="BY216" s="179">
        <v>512.91245701000003</v>
      </c>
      <c r="BZ216" s="99">
        <v>664.95699999999999</v>
      </c>
      <c r="CA216" s="93"/>
      <c r="CB216" s="93"/>
      <c r="CC216" s="99">
        <v>279.99289853825843</v>
      </c>
      <c r="CD216" s="25">
        <v>149</v>
      </c>
      <c r="CE216" s="97"/>
      <c r="CF216" s="1504">
        <v>41030</v>
      </c>
      <c r="CG216" s="179">
        <v>1.9518402749999999</v>
      </c>
      <c r="CH216" s="99">
        <v>1589.04</v>
      </c>
      <c r="CI216" s="219"/>
      <c r="CJ216" s="20"/>
      <c r="CK216" s="19"/>
      <c r="CL216" s="93"/>
      <c r="CM216" s="93"/>
      <c r="CN216" s="93"/>
      <c r="CO216" s="93"/>
      <c r="CP216" s="20"/>
      <c r="CQ216" s="219">
        <v>2408.0500000000002</v>
      </c>
      <c r="CR216" s="93">
        <v>2.7974999999999999</v>
      </c>
      <c r="CS216" s="93"/>
      <c r="CT216" s="93"/>
      <c r="CU216" s="93"/>
      <c r="CV216" s="214"/>
      <c r="CW216" s="29">
        <v>149</v>
      </c>
      <c r="CX216" s="41">
        <f t="shared" si="209"/>
        <v>2012</v>
      </c>
      <c r="CY216" s="1504">
        <v>41030</v>
      </c>
      <c r="CZ216" s="1916">
        <v>89.567082999999997</v>
      </c>
      <c r="DA216" s="1526">
        <v>56.657083</v>
      </c>
      <c r="DB216" s="1526">
        <v>32.909999999999997</v>
      </c>
      <c r="DC216" s="182">
        <f t="shared" si="213"/>
        <v>436250</v>
      </c>
      <c r="DD216" s="182">
        <f t="shared" si="214"/>
        <v>435032</v>
      </c>
      <c r="DE216" s="182">
        <f t="shared" si="215"/>
        <v>1218</v>
      </c>
      <c r="DF216" s="29">
        <v>149</v>
      </c>
      <c r="DG216" s="1504">
        <v>41030</v>
      </c>
      <c r="DH216" s="19"/>
      <c r="DI216" s="93"/>
      <c r="DJ216" s="93"/>
      <c r="DK216" s="93"/>
      <c r="DL216" s="93"/>
      <c r="DM216" s="93"/>
      <c r="DN216" s="20"/>
      <c r="DO216" s="25"/>
      <c r="DP216" s="29">
        <v>149</v>
      </c>
      <c r="DQ216" s="1504">
        <v>41030</v>
      </c>
      <c r="DR216" s="19"/>
      <c r="DS216" s="93"/>
      <c r="DT216" s="93"/>
      <c r="DU216" s="93"/>
      <c r="DV216" s="93"/>
      <c r="DW216" s="93"/>
      <c r="DX216" s="20"/>
      <c r="DY216" s="29">
        <v>149</v>
      </c>
      <c r="DZ216" s="1504">
        <v>41030</v>
      </c>
      <c r="EA216" s="19"/>
      <c r="EB216" s="93"/>
      <c r="EC216" s="20"/>
      <c r="ED216" s="29">
        <v>149</v>
      </c>
      <c r="EE216" s="1504">
        <v>41030</v>
      </c>
      <c r="EF216" s="19"/>
      <c r="EG216" s="93"/>
      <c r="EH216" s="93"/>
      <c r="EI216" s="214"/>
      <c r="EJ216" s="93"/>
      <c r="EK216" s="93"/>
      <c r="EL216" s="93"/>
      <c r="EM216" s="93"/>
      <c r="EN216" s="20"/>
      <c r="EO216" s="29">
        <v>149</v>
      </c>
      <c r="EP216" s="1504">
        <v>41030</v>
      </c>
      <c r="EQ216" s="19"/>
      <c r="ER216" s="93"/>
      <c r="ES216" s="93"/>
      <c r="ET216" s="214"/>
      <c r="EU216" s="93"/>
      <c r="EV216" s="93"/>
      <c r="EW216" s="93"/>
      <c r="EX216" s="93"/>
      <c r="EY216" s="20"/>
      <c r="EZ216" s="29">
        <v>149</v>
      </c>
      <c r="FA216" s="1504">
        <v>41030</v>
      </c>
      <c r="FB216" s="29"/>
      <c r="FC216" s="29"/>
      <c r="FD216" s="29"/>
      <c r="FE216" s="29"/>
      <c r="FF216" s="29"/>
      <c r="FG216" s="29"/>
      <c r="FH216" s="29"/>
      <c r="FI216" s="29"/>
      <c r="FJ216" s="29"/>
      <c r="FK216" s="29">
        <v>149</v>
      </c>
      <c r="FL216" s="1504">
        <v>41030</v>
      </c>
      <c r="FM216" s="19">
        <v>106.40273493601491</v>
      </c>
      <c r="FN216" s="93">
        <v>115.79119469177004</v>
      </c>
      <c r="FO216" s="93">
        <v>102.56261861296854</v>
      </c>
      <c r="FP216" s="93">
        <v>101.70382314188551</v>
      </c>
      <c r="FQ216" s="93">
        <v>111.52094071859676</v>
      </c>
      <c r="FR216" s="93">
        <v>98.348375763245215</v>
      </c>
      <c r="FS216" s="93">
        <v>100.50731143893536</v>
      </c>
      <c r="FT216" s="93">
        <v>104.43083164967582</v>
      </c>
      <c r="FU216" s="93">
        <v>63.555149054916882</v>
      </c>
      <c r="FV216" s="93">
        <v>98.774259753792251</v>
      </c>
      <c r="FW216" s="93">
        <v>102.49285068203132</v>
      </c>
      <c r="FX216" s="93">
        <v>113.59713673089857</v>
      </c>
      <c r="FY216" s="93">
        <v>103.07043027380236</v>
      </c>
      <c r="FZ216" s="29">
        <v>149</v>
      </c>
      <c r="GA216" s="1504">
        <v>41030</v>
      </c>
      <c r="GB216" s="733">
        <v>106.40273493601491</v>
      </c>
      <c r="GC216" s="570">
        <v>103.98954901257493</v>
      </c>
      <c r="GD216" s="570">
        <v>107.96037299349749</v>
      </c>
      <c r="GE216" s="570">
        <v>111.85034339187494</v>
      </c>
      <c r="GF216" s="570">
        <v>112.94835421051917</v>
      </c>
      <c r="GG216" s="570">
        <v>103.05653132538161</v>
      </c>
      <c r="GH216" s="93"/>
      <c r="GI216" s="93"/>
      <c r="GJ216" s="93"/>
      <c r="GK216" s="93"/>
      <c r="GL216" s="93"/>
      <c r="GM216" s="93"/>
      <c r="GN216" s="20"/>
      <c r="GO216" s="29">
        <v>149</v>
      </c>
      <c r="GP216" s="1504">
        <v>41030</v>
      </c>
      <c r="GQ216" s="19"/>
      <c r="GR216" s="93"/>
      <c r="GS216" s="93"/>
      <c r="GT216" s="93"/>
      <c r="GU216" s="93"/>
      <c r="GV216" s="20"/>
      <c r="GW216" s="19"/>
      <c r="GX216" s="93"/>
      <c r="GY216" s="93"/>
      <c r="GZ216" s="93"/>
      <c r="HA216" s="93"/>
      <c r="HB216" s="20"/>
      <c r="HC216" s="19"/>
      <c r="HD216" s="93"/>
      <c r="HE216" s="93"/>
      <c r="HF216" s="93"/>
      <c r="HG216" s="93"/>
      <c r="HH216" s="20"/>
      <c r="HI216" s="19"/>
      <c r="HJ216" s="93"/>
      <c r="HK216" s="93"/>
      <c r="HL216" s="93"/>
      <c r="HM216" s="93"/>
      <c r="HN216" s="20"/>
      <c r="HO216" s="219"/>
      <c r="HP216" s="20"/>
      <c r="HQ216" s="25"/>
      <c r="HR216" s="29">
        <v>149</v>
      </c>
      <c r="HS216" s="1504">
        <v>41030</v>
      </c>
      <c r="HT216" s="179">
        <v>290.83206176757813</v>
      </c>
      <c r="HU216" s="99">
        <v>311.19792175292969</v>
      </c>
      <c r="HV216" s="99">
        <v>233.33332824707031</v>
      </c>
      <c r="HW216" s="99">
        <v>194.17475891113281</v>
      </c>
      <c r="HX216" s="99">
        <v>271.38046264648438</v>
      </c>
      <c r="HY216" s="99">
        <v>304.1582145690918</v>
      </c>
      <c r="HZ216" s="99">
        <v>284.56853230794269</v>
      </c>
      <c r="IA216" s="132">
        <v>210.48387908935547</v>
      </c>
      <c r="IB216" s="179"/>
      <c r="IC216" s="99">
        <v>236.39897155761719</v>
      </c>
      <c r="ID216" s="99">
        <v>223.21429443359375</v>
      </c>
      <c r="IE216" s="99">
        <v>195.26953125</v>
      </c>
      <c r="IF216" s="99">
        <v>236.55914306640625</v>
      </c>
      <c r="IG216" s="132">
        <v>256.9444465637207</v>
      </c>
      <c r="IH216" s="179">
        <v>184.8315486907959</v>
      </c>
      <c r="II216" s="99">
        <v>242.05270004272461</v>
      </c>
      <c r="IJ216" s="99">
        <v>194.25675201416016</v>
      </c>
      <c r="IK216" s="99">
        <v>209.74729003906251</v>
      </c>
      <c r="IL216" s="99">
        <v>194.44444274902344</v>
      </c>
      <c r="IM216" s="99">
        <v>174.03983688354492</v>
      </c>
      <c r="IN216" s="93"/>
      <c r="IO216" s="132">
        <v>202.70269775390625</v>
      </c>
      <c r="IP216" s="29">
        <v>149</v>
      </c>
      <c r="IQ216" s="19"/>
      <c r="IR216" s="93"/>
      <c r="IS216" s="93"/>
      <c r="IT216" s="93"/>
      <c r="IU216" s="93"/>
      <c r="IV216" s="20"/>
      <c r="IW216" s="29">
        <v>149</v>
      </c>
      <c r="IX216" s="19"/>
      <c r="IY216" s="93"/>
      <c r="IZ216" s="93"/>
      <c r="JA216" s="93"/>
      <c r="JB216" s="93"/>
      <c r="JC216" s="93"/>
      <c r="JD216" s="93"/>
      <c r="JE216" s="20"/>
      <c r="JF216" s="29">
        <v>149</v>
      </c>
      <c r="JG216" s="19"/>
      <c r="JH216" s="93"/>
      <c r="JI216" s="93"/>
      <c r="JJ216" s="93"/>
      <c r="JK216" s="93"/>
      <c r="JL216" s="93"/>
      <c r="JM216" s="93"/>
      <c r="JN216" s="20"/>
      <c r="JO216" s="29">
        <v>149</v>
      </c>
      <c r="JP216" s="19"/>
      <c r="JQ216" s="93"/>
      <c r="JR216" s="93"/>
      <c r="JS216" s="93"/>
      <c r="JT216" s="93"/>
      <c r="JU216" s="20"/>
      <c r="JV216" s="29">
        <v>149</v>
      </c>
      <c r="JW216" s="1504">
        <v>41030</v>
      </c>
      <c r="JX216" s="19"/>
      <c r="JY216" s="93"/>
      <c r="JZ216" s="93"/>
      <c r="KA216" s="93"/>
      <c r="KB216" s="93"/>
      <c r="KC216" s="93"/>
      <c r="KD216" s="20"/>
      <c r="KE216" s="29">
        <v>149</v>
      </c>
      <c r="KF216" s="19"/>
      <c r="KG216" s="93"/>
      <c r="KH216" s="93"/>
      <c r="KI216" s="93"/>
      <c r="KJ216" s="93"/>
      <c r="KK216" s="20"/>
      <c r="KL216" s="29">
        <v>149</v>
      </c>
      <c r="KM216" s="19"/>
      <c r="KN216" s="93"/>
      <c r="KO216" s="93"/>
      <c r="KP216" s="93"/>
      <c r="KQ216" s="93"/>
      <c r="KR216" s="20"/>
      <c r="KS216" s="29">
        <v>149</v>
      </c>
      <c r="KT216" s="19"/>
      <c r="KU216" s="93"/>
      <c r="KV216" s="93"/>
      <c r="KW216" s="93"/>
      <c r="KX216" s="93"/>
      <c r="KY216" s="20"/>
      <c r="KZ216" s="29">
        <v>149</v>
      </c>
      <c r="LA216" s="1504">
        <v>41030</v>
      </c>
      <c r="LB216" s="19">
        <v>510</v>
      </c>
      <c r="LC216" s="93">
        <v>740</v>
      </c>
      <c r="LD216" s="93">
        <v>732</v>
      </c>
      <c r="LE216" s="93"/>
      <c r="LF216" s="93">
        <v>656</v>
      </c>
      <c r="LG216" s="93"/>
      <c r="LH216" s="20"/>
      <c r="LI216" s="29">
        <v>149</v>
      </c>
      <c r="LJ216" s="19"/>
      <c r="LK216" s="93"/>
      <c r="LL216" s="93"/>
      <c r="LM216" s="93"/>
      <c r="LN216" s="93"/>
      <c r="LO216" s="20"/>
      <c r="LP216" s="29">
        <v>149</v>
      </c>
      <c r="LQ216" s="19"/>
      <c r="LR216" s="93"/>
      <c r="LS216" s="93"/>
      <c r="LT216" s="93"/>
      <c r="LU216" s="93"/>
      <c r="LV216" s="93"/>
      <c r="LW216" s="93"/>
      <c r="LX216" s="93"/>
      <c r="LY216" s="93"/>
      <c r="LZ216" s="93"/>
      <c r="MA216" s="20"/>
      <c r="MB216" s="29">
        <v>149</v>
      </c>
      <c r="MC216" s="1504">
        <v>41030</v>
      </c>
      <c r="MD216" s="19">
        <v>102317.85024500001</v>
      </c>
      <c r="ME216" s="93">
        <v>81681.938076000006</v>
      </c>
      <c r="MF216" s="93">
        <v>81681.900076000005</v>
      </c>
      <c r="MG216" s="93">
        <v>72469.678200000009</v>
      </c>
      <c r="MH216" s="93">
        <v>18098.693616</v>
      </c>
      <c r="MI216" s="93">
        <v>462.94969600000002</v>
      </c>
      <c r="MJ216" s="93">
        <v>430.42564699999997</v>
      </c>
      <c r="MK216" s="93">
        <v>38853.972960999999</v>
      </c>
      <c r="ML216" s="93">
        <v>13964.703951</v>
      </c>
      <c r="MM216" s="93">
        <v>658.93232899999987</v>
      </c>
      <c r="MN216" s="93">
        <v>9212.2218759999996</v>
      </c>
      <c r="MO216" s="93">
        <v>251.87888999999998</v>
      </c>
      <c r="MP216" s="93">
        <v>2280.4560779999997</v>
      </c>
      <c r="MQ216" s="93">
        <v>485.10344199999997</v>
      </c>
      <c r="MR216" s="93">
        <v>369.26612700000004</v>
      </c>
      <c r="MS216" s="93">
        <v>5825.5173390000009</v>
      </c>
      <c r="MT216" s="93">
        <v>3.7999999999999999E-2</v>
      </c>
      <c r="MU216" s="93">
        <v>20635.912168999999</v>
      </c>
      <c r="MV216" s="93">
        <v>2759.1931999999997</v>
      </c>
      <c r="MW216" s="93">
        <v>17876.718969000001</v>
      </c>
      <c r="MX216" s="93">
        <v>110308.2016095</v>
      </c>
      <c r="MY216" s="93">
        <v>110812.4569185</v>
      </c>
      <c r="MZ216" s="93">
        <v>79575.614768500003</v>
      </c>
      <c r="NA216" s="93">
        <v>27078.934000000001</v>
      </c>
      <c r="NB216" s="93">
        <v>12101.595963999998</v>
      </c>
      <c r="NC216" s="93">
        <v>6177.2571250000001</v>
      </c>
      <c r="ND216" s="93">
        <v>3272.5062990000001</v>
      </c>
      <c r="NE216" s="93">
        <v>2904.7508259999995</v>
      </c>
      <c r="NF216" s="93">
        <v>34217.827679499998</v>
      </c>
      <c r="NG216" s="93">
        <v>4225.4653279999993</v>
      </c>
      <c r="NH216" s="93">
        <v>2364.2655450000016</v>
      </c>
      <c r="NI216" s="93">
        <v>1170.009225</v>
      </c>
      <c r="NJ216" s="93">
        <v>970.48849399999995</v>
      </c>
      <c r="NK216" s="93">
        <v>31236.842149999997</v>
      </c>
      <c r="NL216" s="93">
        <v>22953.988765000002</v>
      </c>
      <c r="NM216" s="93">
        <v>0</v>
      </c>
      <c r="NN216" s="93">
        <v>8282.8533850000003</v>
      </c>
      <c r="NO216" s="93">
        <v>-504.25530900000257</v>
      </c>
      <c r="NP216" s="93">
        <v>-7990.3513645000012</v>
      </c>
      <c r="NQ216" s="93">
        <v>-28626.263533500001</v>
      </c>
      <c r="NR216" s="93">
        <v>-14166.153023499995</v>
      </c>
      <c r="NS216" s="93">
        <v>-20343.410148499996</v>
      </c>
      <c r="NT216" s="93">
        <v>2872.0439094999601</v>
      </c>
      <c r="NU216" s="93">
        <v>-17763.868259500043</v>
      </c>
      <c r="NV216" s="93">
        <v>-4930.8800329999049</v>
      </c>
      <c r="NW216" s="93">
        <v>-1037.9325409999992</v>
      </c>
      <c r="NX216" s="93">
        <v>5523.6601850000006</v>
      </c>
      <c r="NY216" s="93">
        <v>-6561.5927259999999</v>
      </c>
      <c r="NZ216" s="93">
        <v>0</v>
      </c>
      <c r="OA216" s="93">
        <v>-3892.9474919999057</v>
      </c>
      <c r="OB216" s="93">
        <v>15339.206414000095</v>
      </c>
      <c r="OC216" s="93">
        <v>-19232.153906</v>
      </c>
      <c r="OD216" s="20">
        <v>0</v>
      </c>
      <c r="OE216" s="29">
        <v>149</v>
      </c>
      <c r="OF216" s="1504">
        <v>41030</v>
      </c>
      <c r="OG216" s="19"/>
      <c r="OH216" s="93">
        <v>146.84279999999998</v>
      </c>
      <c r="OI216" s="93">
        <v>705.12764901335345</v>
      </c>
      <c r="OJ216" s="93">
        <v>0.52290141300000004</v>
      </c>
      <c r="OK216" s="93">
        <v>619.70584760035342</v>
      </c>
      <c r="OL216" s="93">
        <v>84.898899999999998</v>
      </c>
      <c r="OM216" s="93">
        <v>851.97044901335346</v>
      </c>
      <c r="ON216" s="93">
        <v>659.23787145709844</v>
      </c>
      <c r="OO216" s="93">
        <v>1511.2083204704518</v>
      </c>
      <c r="OP216" s="93"/>
      <c r="OQ216" s="93">
        <v>737.00056571587515</v>
      </c>
      <c r="OR216" s="93">
        <v>180.50107215700001</v>
      </c>
      <c r="OS216" s="93">
        <v>556.49949355887509</v>
      </c>
      <c r="OT216" s="93">
        <v>969.15061942257671</v>
      </c>
      <c r="OU216" s="93">
        <v>-91.782933492999959</v>
      </c>
      <c r="OV216" s="93">
        <v>-101.49093349299999</v>
      </c>
      <c r="OW216" s="93">
        <v>9.7080000000000268</v>
      </c>
      <c r="OX216" s="93">
        <v>1060.9335529155767</v>
      </c>
      <c r="OY216" s="93">
        <v>4.6873274169999997</v>
      </c>
      <c r="OZ216" s="93">
        <v>1056.2462254985767</v>
      </c>
      <c r="PA216" s="93">
        <v>244.50930183099999</v>
      </c>
      <c r="PB216" s="93">
        <v>-49.56643716300001</v>
      </c>
      <c r="PC216" s="20">
        <v>1511.208320470452</v>
      </c>
      <c r="PD216" s="29">
        <v>149</v>
      </c>
      <c r="PE216" s="19"/>
      <c r="PF216" s="93">
        <v>180.50107215700001</v>
      </c>
      <c r="PG216" s="93">
        <v>400.20386262200003</v>
      </c>
      <c r="PH216" s="93">
        <v>219.70279046500002</v>
      </c>
      <c r="PI216" s="93">
        <v>202.86</v>
      </c>
      <c r="PJ216" s="93">
        <v>-96.462533492999981</v>
      </c>
      <c r="PK216" s="93">
        <v>105.190009727</v>
      </c>
      <c r="PL216" s="93">
        <v>201.65254321999998</v>
      </c>
      <c r="PM216" s="93">
        <v>4.6873274169999997</v>
      </c>
      <c r="PN216" s="93">
        <v>1.1599999999999999</v>
      </c>
      <c r="PO216" s="93">
        <v>0</v>
      </c>
      <c r="PP216" s="93">
        <v>7.8664100000000003E-4</v>
      </c>
      <c r="PQ216" s="93">
        <v>3.526540776</v>
      </c>
      <c r="PR216" s="93">
        <v>289.00763725600001</v>
      </c>
      <c r="PS216" s="93">
        <v>189.08320000000001</v>
      </c>
      <c r="PT216" s="93">
        <v>99.401535843000005</v>
      </c>
      <c r="PU216" s="93">
        <v>0.52290141300000004</v>
      </c>
      <c r="PV216" s="93">
        <v>0</v>
      </c>
      <c r="PW216" s="93">
        <v>1.3467858349999999</v>
      </c>
      <c r="PX216" s="93">
        <v>0</v>
      </c>
      <c r="PY216" s="93">
        <v>0</v>
      </c>
      <c r="PZ216" s="93">
        <v>1.3467858349999999</v>
      </c>
      <c r="QA216" s="93">
        <v>0</v>
      </c>
      <c r="QB216" s="93">
        <v>0</v>
      </c>
      <c r="QC216" s="93">
        <v>0</v>
      </c>
      <c r="QD216" s="93">
        <v>0.48851599600000001</v>
      </c>
      <c r="QE216" s="20">
        <v>0.74292699400000628</v>
      </c>
      <c r="QF216" s="1739">
        <v>149</v>
      </c>
      <c r="QG216" s="19"/>
      <c r="QH216" s="1035">
        <v>556.49949355887509</v>
      </c>
      <c r="QI216" s="1035">
        <v>650.04077450142313</v>
      </c>
      <c r="QJ216" s="1035">
        <v>-93.541280942548084</v>
      </c>
      <c r="QK216" s="1035">
        <v>136.98599999999999</v>
      </c>
      <c r="QL216" s="1035">
        <v>37.212000000000003</v>
      </c>
      <c r="QM216" s="1035">
        <v>99.774000000000001</v>
      </c>
      <c r="QN216" s="1035">
        <v>0</v>
      </c>
      <c r="QO216" s="1035">
        <v>9.7080000000000268</v>
      </c>
      <c r="QP216" s="1035">
        <v>137.24600000000001</v>
      </c>
      <c r="QQ216" s="1035">
        <v>-127.53799999999998</v>
      </c>
      <c r="QR216" s="1035">
        <v>1056.2462254985767</v>
      </c>
      <c r="QS216" s="1035">
        <v>17.093274939160448</v>
      </c>
      <c r="QT216" s="1035">
        <v>0</v>
      </c>
      <c r="QU216" s="1035">
        <v>122.194</v>
      </c>
      <c r="QV216" s="1035">
        <v>916.95895055941617</v>
      </c>
      <c r="QW216" s="93"/>
      <c r="QX216" s="93">
        <v>203.309</v>
      </c>
      <c r="QY216" s="93">
        <v>619.70584760035342</v>
      </c>
      <c r="QZ216" s="93">
        <v>659.23787145709844</v>
      </c>
      <c r="RA216" s="93">
        <v>0</v>
      </c>
      <c r="RB216" s="93">
        <v>34.92</v>
      </c>
      <c r="RC216" s="93">
        <v>6.2519999999999998</v>
      </c>
      <c r="RD216" s="93">
        <v>11.612</v>
      </c>
      <c r="RE216" s="93">
        <v>0</v>
      </c>
      <c r="RF216" s="93">
        <v>0</v>
      </c>
      <c r="RG216" s="93">
        <v>189.89</v>
      </c>
      <c r="RH216" s="93">
        <v>34.512999999999991</v>
      </c>
      <c r="RI216" s="93"/>
      <c r="RJ216" s="93"/>
      <c r="RK216" s="93"/>
      <c r="RL216" s="93"/>
      <c r="RM216" s="734"/>
      <c r="RN216" s="29">
        <v>149</v>
      </c>
      <c r="RO216" s="19">
        <v>38</v>
      </c>
      <c r="RP216" s="20"/>
      <c r="RQ216" s="29">
        <v>149</v>
      </c>
      <c r="RR216" s="734">
        <v>2.5036993599999997</v>
      </c>
      <c r="RS216" s="29">
        <v>149</v>
      </c>
      <c r="RT216" s="1504">
        <v>41030</v>
      </c>
      <c r="RU216" s="19"/>
      <c r="RV216" s="20"/>
      <c r="RW216" s="29">
        <v>149</v>
      </c>
      <c r="RX216" s="1504">
        <v>41030</v>
      </c>
      <c r="RY216" s="29"/>
      <c r="RZ216" s="734"/>
      <c r="SA216" s="29"/>
      <c r="SB216" s="29">
        <v>149</v>
      </c>
    </row>
    <row r="217" spans="1:496">
      <c r="A217" s="41">
        <f t="shared" si="208"/>
        <v>2012</v>
      </c>
      <c r="B217" s="1504">
        <v>41061</v>
      </c>
      <c r="C217" s="1813"/>
      <c r="D217" s="1814"/>
      <c r="E217" s="1814"/>
      <c r="F217" s="1815"/>
      <c r="G217" s="1814"/>
      <c r="H217" s="1814"/>
      <c r="I217" s="1814"/>
      <c r="J217" s="1816"/>
      <c r="K217" s="1807"/>
      <c r="L217" s="25">
        <v>150</v>
      </c>
      <c r="M217" s="97"/>
      <c r="N217" s="1504">
        <v>41061</v>
      </c>
      <c r="O217" s="19"/>
      <c r="P217" s="93"/>
      <c r="Q217" s="93"/>
      <c r="R217" s="93"/>
      <c r="S217" s="93"/>
      <c r="T217" s="93"/>
      <c r="U217" s="93"/>
      <c r="V217" s="93"/>
      <c r="W217" s="93"/>
      <c r="X217" s="93"/>
      <c r="Y217" s="93"/>
      <c r="Z217" s="93"/>
      <c r="AA217" s="93"/>
      <c r="AB217" s="20"/>
      <c r="AC217" s="25">
        <v>150</v>
      </c>
      <c r="AD217" s="97"/>
      <c r="AE217" s="1504">
        <v>41061</v>
      </c>
      <c r="AF217" s="19"/>
      <c r="AG217" s="93"/>
      <c r="AH217" s="93"/>
      <c r="AI217" s="93"/>
      <c r="AJ217" s="93"/>
      <c r="AK217" s="93"/>
      <c r="AL217" s="93"/>
      <c r="AM217" s="93"/>
      <c r="AN217" s="93"/>
      <c r="AO217" s="93"/>
      <c r="AP217" s="93"/>
      <c r="AQ217" s="93"/>
      <c r="AR217" s="93"/>
      <c r="AS217" s="20"/>
      <c r="AT217" s="25">
        <v>150</v>
      </c>
      <c r="AU217" s="97"/>
      <c r="AV217" s="1504">
        <v>41061</v>
      </c>
      <c r="AW217" s="19"/>
      <c r="AX217" s="93"/>
      <c r="AY217" s="93"/>
      <c r="AZ217" s="93"/>
      <c r="BA217" s="93"/>
      <c r="BB217" s="93"/>
      <c r="BC217" s="93"/>
      <c r="BD217" s="93"/>
      <c r="BE217" s="93"/>
      <c r="BF217" s="93"/>
      <c r="BG217" s="93"/>
      <c r="BH217" s="93"/>
      <c r="BI217" s="93"/>
      <c r="BJ217" s="20"/>
      <c r="BK217" s="25">
        <v>150</v>
      </c>
      <c r="BL217" s="97"/>
      <c r="BM217" s="1504">
        <v>41061</v>
      </c>
      <c r="BN217" s="19"/>
      <c r="BO217" s="93"/>
      <c r="BP217" s="93"/>
      <c r="BQ217" s="93"/>
      <c r="BR217" s="93"/>
      <c r="BS217" s="93"/>
      <c r="BT217" s="93"/>
      <c r="BU217" s="20"/>
      <c r="BV217" s="25">
        <v>150</v>
      </c>
      <c r="BW217" s="97"/>
      <c r="BX217" s="1504">
        <v>41061</v>
      </c>
      <c r="BY217" s="179">
        <v>523.66359224000007</v>
      </c>
      <c r="BZ217" s="99">
        <v>664.95699999999999</v>
      </c>
      <c r="CA217" s="93"/>
      <c r="CB217" s="93"/>
      <c r="CC217" s="99">
        <v>277.86097151079281</v>
      </c>
      <c r="CD217" s="25">
        <v>150</v>
      </c>
      <c r="CE217" s="97"/>
      <c r="CF217" s="1504">
        <v>41061</v>
      </c>
      <c r="CG217" s="179">
        <v>1.8117567160000001</v>
      </c>
      <c r="CH217" s="99">
        <v>1598.76</v>
      </c>
      <c r="CI217" s="219"/>
      <c r="CJ217" s="20"/>
      <c r="CK217" s="19"/>
      <c r="CL217" s="93"/>
      <c r="CM217" s="93"/>
      <c r="CN217" s="93"/>
      <c r="CO217" s="93"/>
      <c r="CP217" s="20"/>
      <c r="CQ217" s="219">
        <v>2425.08</v>
      </c>
      <c r="CR217" s="93">
        <v>2.88</v>
      </c>
      <c r="CS217" s="93"/>
      <c r="CT217" s="93"/>
      <c r="CU217" s="93"/>
      <c r="CV217" s="214"/>
      <c r="CW217" s="29">
        <v>150</v>
      </c>
      <c r="CX217" s="41">
        <f t="shared" si="209"/>
        <v>2012</v>
      </c>
      <c r="CY217" s="1504">
        <v>41061</v>
      </c>
      <c r="CZ217" s="1916">
        <v>86.843658000000005</v>
      </c>
      <c r="DA217" s="1526">
        <v>53.722031999999999</v>
      </c>
      <c r="DB217" s="1526">
        <v>33.121625999999999</v>
      </c>
      <c r="DC217" s="182">
        <f t="shared" si="213"/>
        <v>436250</v>
      </c>
      <c r="DD217" s="182">
        <f t="shared" si="214"/>
        <v>435032</v>
      </c>
      <c r="DE217" s="182">
        <f t="shared" si="215"/>
        <v>1218</v>
      </c>
      <c r="DF217" s="29">
        <v>150</v>
      </c>
      <c r="DG217" s="1504">
        <v>41061</v>
      </c>
      <c r="DH217" s="19"/>
      <c r="DI217" s="93"/>
      <c r="DJ217" s="93"/>
      <c r="DK217" s="93"/>
      <c r="DL217" s="93"/>
      <c r="DM217" s="93"/>
      <c r="DN217" s="20"/>
      <c r="DO217" s="25"/>
      <c r="DP217" s="29">
        <v>150</v>
      </c>
      <c r="DQ217" s="1504">
        <v>41061</v>
      </c>
      <c r="DR217" s="19"/>
      <c r="DS217" s="93"/>
      <c r="DT217" s="93"/>
      <c r="DU217" s="93"/>
      <c r="DV217" s="93"/>
      <c r="DW217" s="93"/>
      <c r="DX217" s="20"/>
      <c r="DY217" s="29">
        <v>150</v>
      </c>
      <c r="DZ217" s="1504">
        <v>41061</v>
      </c>
      <c r="EA217" s="19"/>
      <c r="EB217" s="93"/>
      <c r="EC217" s="20"/>
      <c r="ED217" s="29">
        <v>150</v>
      </c>
      <c r="EE217" s="1504">
        <v>41061</v>
      </c>
      <c r="EF217" s="19"/>
      <c r="EG217" s="93"/>
      <c r="EH217" s="93"/>
      <c r="EI217" s="214"/>
      <c r="EJ217" s="93"/>
      <c r="EK217" s="93"/>
      <c r="EL217" s="93"/>
      <c r="EM217" s="93"/>
      <c r="EN217" s="20"/>
      <c r="EO217" s="29">
        <v>150</v>
      </c>
      <c r="EP217" s="1504">
        <v>41061</v>
      </c>
      <c r="EQ217" s="19"/>
      <c r="ER217" s="93"/>
      <c r="ES217" s="93"/>
      <c r="ET217" s="214"/>
      <c r="EU217" s="93"/>
      <c r="EV217" s="93"/>
      <c r="EW217" s="93"/>
      <c r="EX217" s="93"/>
      <c r="EY217" s="20"/>
      <c r="EZ217" s="29">
        <v>150</v>
      </c>
      <c r="FA217" s="1504">
        <v>41061</v>
      </c>
      <c r="FB217" s="29"/>
      <c r="FC217" s="29"/>
      <c r="FD217" s="29"/>
      <c r="FE217" s="29"/>
      <c r="FF217" s="29"/>
      <c r="FG217" s="29"/>
      <c r="FH217" s="29"/>
      <c r="FI217" s="29"/>
      <c r="FJ217" s="29"/>
      <c r="FK217" s="29">
        <v>150</v>
      </c>
      <c r="FL217" s="1504">
        <v>41061</v>
      </c>
      <c r="FM217" s="19">
        <v>107.09778216137948</v>
      </c>
      <c r="FN217" s="93">
        <v>116.84512502105386</v>
      </c>
      <c r="FO217" s="93">
        <v>107.18863930760236</v>
      </c>
      <c r="FP217" s="93">
        <v>101.70382314188551</v>
      </c>
      <c r="FQ217" s="93">
        <v>111.12559932583191</v>
      </c>
      <c r="FR217" s="93">
        <v>98.348375763245215</v>
      </c>
      <c r="FS217" s="93">
        <v>100.50731143893536</v>
      </c>
      <c r="FT217" s="93">
        <v>105.52941415508172</v>
      </c>
      <c r="FU217" s="93">
        <v>63.555149054916882</v>
      </c>
      <c r="FV217" s="93">
        <v>98.774259753792251</v>
      </c>
      <c r="FW217" s="93">
        <v>102.49285068203132</v>
      </c>
      <c r="FX217" s="93">
        <v>114.84420336432736</v>
      </c>
      <c r="FY217" s="93">
        <v>103.08038257109615</v>
      </c>
      <c r="FZ217" s="29">
        <v>150</v>
      </c>
      <c r="GA217" s="1504">
        <v>41061</v>
      </c>
      <c r="GB217" s="733">
        <v>107.09778216137948</v>
      </c>
      <c r="GC217" s="570">
        <v>104.34679855082079</v>
      </c>
      <c r="GD217" s="570">
        <v>108.87196860159089</v>
      </c>
      <c r="GE217" s="570">
        <v>111.53956577775824</v>
      </c>
      <c r="GF217" s="570">
        <v>115.43212218285872</v>
      </c>
      <c r="GG217" s="570">
        <v>103.30684782444717</v>
      </c>
      <c r="GH217" s="93"/>
      <c r="GI217" s="93"/>
      <c r="GJ217" s="93"/>
      <c r="GK217" s="93"/>
      <c r="GL217" s="93"/>
      <c r="GM217" s="93"/>
      <c r="GN217" s="20"/>
      <c r="GO217" s="29">
        <v>150</v>
      </c>
      <c r="GP217" s="1504">
        <v>41061</v>
      </c>
      <c r="GQ217" s="19"/>
      <c r="GR217" s="93"/>
      <c r="GS217" s="93"/>
      <c r="GT217" s="93"/>
      <c r="GU217" s="93"/>
      <c r="GV217" s="20"/>
      <c r="GW217" s="19"/>
      <c r="GX217" s="93"/>
      <c r="GY217" s="93"/>
      <c r="GZ217" s="93"/>
      <c r="HA217" s="93"/>
      <c r="HB217" s="20"/>
      <c r="HC217" s="19"/>
      <c r="HD217" s="93"/>
      <c r="HE217" s="93"/>
      <c r="HF217" s="93"/>
      <c r="HG217" s="93"/>
      <c r="HH217" s="20"/>
      <c r="HI217" s="19"/>
      <c r="HJ217" s="93"/>
      <c r="HK217" s="93"/>
      <c r="HL217" s="93"/>
      <c r="HM217" s="93"/>
      <c r="HN217" s="20"/>
      <c r="HO217" s="219"/>
      <c r="HP217" s="20"/>
      <c r="HQ217" s="25"/>
      <c r="HR217" s="29">
        <v>150</v>
      </c>
      <c r="HS217" s="1504">
        <v>41061</v>
      </c>
      <c r="HT217" s="179">
        <v>294.32295227050781</v>
      </c>
      <c r="HU217" s="99">
        <v>307.29167175292969</v>
      </c>
      <c r="HV217" s="99">
        <v>233.33332824707031</v>
      </c>
      <c r="HW217" s="99">
        <v>194.17475891113281</v>
      </c>
      <c r="HX217" s="99">
        <v>257.57575225830078</v>
      </c>
      <c r="HY217" s="99">
        <v>303.69242858886719</v>
      </c>
      <c r="HZ217" s="99">
        <v>280.4259084065755</v>
      </c>
      <c r="IA217" s="132">
        <v>227.41935729980469</v>
      </c>
      <c r="IB217" s="179">
        <v>225.92591857910156</v>
      </c>
      <c r="IC217" s="99">
        <v>233.1606273651123</v>
      </c>
      <c r="ID217" s="99">
        <v>214.28572082519531</v>
      </c>
      <c r="IE217" s="99">
        <v>196.7213134765625</v>
      </c>
      <c r="IF217" s="99">
        <v>247.31183878580728</v>
      </c>
      <c r="IG217" s="132">
        <v>250.00000508626303</v>
      </c>
      <c r="IH217" s="179">
        <v>190.55474090576172</v>
      </c>
      <c r="II217" s="99">
        <v>238.41897964477539</v>
      </c>
      <c r="IJ217" s="99">
        <v>185.81080627441406</v>
      </c>
      <c r="IK217" s="99">
        <v>198.55595397949219</v>
      </c>
      <c r="IL217" s="99">
        <v>201.00308609008789</v>
      </c>
      <c r="IM217" s="99">
        <v>192.81046295166016</v>
      </c>
      <c r="IN217" s="93"/>
      <c r="IO217" s="132">
        <v>198.61188888549805</v>
      </c>
      <c r="IP217" s="29">
        <v>150</v>
      </c>
      <c r="IQ217" s="19"/>
      <c r="IR217" s="93"/>
      <c r="IS217" s="93"/>
      <c r="IT217" s="93"/>
      <c r="IU217" s="93"/>
      <c r="IV217" s="20"/>
      <c r="IW217" s="29">
        <v>150</v>
      </c>
      <c r="IX217" s="19"/>
      <c r="IY217" s="93"/>
      <c r="IZ217" s="93"/>
      <c r="JA217" s="93"/>
      <c r="JB217" s="93"/>
      <c r="JC217" s="93"/>
      <c r="JD217" s="93"/>
      <c r="JE217" s="20"/>
      <c r="JF217" s="29">
        <v>150</v>
      </c>
      <c r="JG217" s="19"/>
      <c r="JH217" s="93"/>
      <c r="JI217" s="93"/>
      <c r="JJ217" s="93"/>
      <c r="JK217" s="93"/>
      <c r="JL217" s="93"/>
      <c r="JM217" s="93"/>
      <c r="JN217" s="20"/>
      <c r="JO217" s="29">
        <v>150</v>
      </c>
      <c r="JP217" s="19"/>
      <c r="JQ217" s="93"/>
      <c r="JR217" s="93"/>
      <c r="JS217" s="93"/>
      <c r="JT217" s="93"/>
      <c r="JU217" s="20"/>
      <c r="JV217" s="29">
        <v>150</v>
      </c>
      <c r="JW217" s="1504">
        <v>41061</v>
      </c>
      <c r="JX217" s="19"/>
      <c r="JY217" s="93"/>
      <c r="JZ217" s="93"/>
      <c r="KA217" s="93"/>
      <c r="KB217" s="93"/>
      <c r="KC217" s="93"/>
      <c r="KD217" s="20"/>
      <c r="KE217" s="29">
        <v>150</v>
      </c>
      <c r="KF217" s="19"/>
      <c r="KG217" s="93"/>
      <c r="KH217" s="93"/>
      <c r="KI217" s="93"/>
      <c r="KJ217" s="93"/>
      <c r="KK217" s="20"/>
      <c r="KL217" s="29">
        <v>150</v>
      </c>
      <c r="KM217" s="19"/>
      <c r="KN217" s="93"/>
      <c r="KO217" s="93"/>
      <c r="KP217" s="93"/>
      <c r="KQ217" s="93"/>
      <c r="KR217" s="20"/>
      <c r="KS217" s="29">
        <v>150</v>
      </c>
      <c r="KT217" s="19"/>
      <c r="KU217" s="93"/>
      <c r="KV217" s="93"/>
      <c r="KW217" s="93"/>
      <c r="KX217" s="93"/>
      <c r="KY217" s="20"/>
      <c r="KZ217" s="29">
        <v>150</v>
      </c>
      <c r="LA217" s="1504">
        <v>41061</v>
      </c>
      <c r="LB217" s="19">
        <v>510</v>
      </c>
      <c r="LC217" s="93">
        <v>740</v>
      </c>
      <c r="LD217" s="93">
        <v>732</v>
      </c>
      <c r="LE217" s="93"/>
      <c r="LF217" s="93">
        <v>656</v>
      </c>
      <c r="LG217" s="93"/>
      <c r="LH217" s="20"/>
      <c r="LI217" s="29">
        <v>150</v>
      </c>
      <c r="LJ217" s="19"/>
      <c r="LK217" s="93"/>
      <c r="LL217" s="93"/>
      <c r="LM217" s="93"/>
      <c r="LN217" s="93"/>
      <c r="LO217" s="20"/>
      <c r="LP217" s="29">
        <v>150</v>
      </c>
      <c r="LQ217" s="19"/>
      <c r="LR217" s="93"/>
      <c r="LS217" s="93"/>
      <c r="LT217" s="93"/>
      <c r="LU217" s="93"/>
      <c r="LV217" s="93"/>
      <c r="LW217" s="93"/>
      <c r="LX217" s="93"/>
      <c r="LY217" s="93"/>
      <c r="LZ217" s="93"/>
      <c r="MA217" s="20"/>
      <c r="MB217" s="29">
        <v>150</v>
      </c>
      <c r="MC217" s="1504">
        <v>41061</v>
      </c>
      <c r="MD217" s="19">
        <v>99894.546458999976</v>
      </c>
      <c r="ME217" s="93">
        <v>79775.985093999989</v>
      </c>
      <c r="MF217" s="93">
        <v>79775.985093999989</v>
      </c>
      <c r="MG217" s="93">
        <v>67727.195627999987</v>
      </c>
      <c r="MH217" s="93">
        <v>12123.685287999999</v>
      </c>
      <c r="MI217" s="93">
        <v>449.90540299999998</v>
      </c>
      <c r="MJ217" s="93">
        <v>481.45542600000005</v>
      </c>
      <c r="MK217" s="93">
        <v>40715.007738999993</v>
      </c>
      <c r="ML217" s="93">
        <v>13354.666998999999</v>
      </c>
      <c r="MM217" s="93">
        <v>602.47477300000003</v>
      </c>
      <c r="MN217" s="93">
        <v>12048.789465999998</v>
      </c>
      <c r="MO217" s="93">
        <v>844.62154999999996</v>
      </c>
      <c r="MP217" s="93">
        <v>2503.2403370000002</v>
      </c>
      <c r="MQ217" s="93">
        <v>193.77936899999989</v>
      </c>
      <c r="MR217" s="93">
        <v>4014.2382290000005</v>
      </c>
      <c r="MS217" s="93">
        <v>4492.9099809999989</v>
      </c>
      <c r="MT217" s="93">
        <v>0</v>
      </c>
      <c r="MU217" s="93">
        <v>20118.561364999998</v>
      </c>
      <c r="MV217" s="93">
        <v>19840.034447999999</v>
      </c>
      <c r="MW217" s="93">
        <v>278.52691700000003</v>
      </c>
      <c r="MX217" s="93">
        <v>108330.31208600003</v>
      </c>
      <c r="MY217" s="93">
        <v>103091.70633500004</v>
      </c>
      <c r="MZ217" s="93">
        <v>54065.298550000007</v>
      </c>
      <c r="NA217" s="93">
        <v>28180.688999999998</v>
      </c>
      <c r="NB217" s="93">
        <v>5598.3025790000038</v>
      </c>
      <c r="NC217" s="93">
        <v>2198.0788269999994</v>
      </c>
      <c r="ND217" s="93">
        <v>2120.4949359999996</v>
      </c>
      <c r="NE217" s="93">
        <v>77.583891000000023</v>
      </c>
      <c r="NF217" s="93">
        <v>18088.228144000001</v>
      </c>
      <c r="NG217" s="93">
        <v>15</v>
      </c>
      <c r="NH217" s="93">
        <v>3073.4011279999986</v>
      </c>
      <c r="NI217" s="93">
        <v>4340.990374</v>
      </c>
      <c r="NJ217" s="93">
        <v>490.76559100000003</v>
      </c>
      <c r="NK217" s="93">
        <v>49026.407785000025</v>
      </c>
      <c r="NL217" s="93">
        <v>17500.254467000024</v>
      </c>
      <c r="NM217" s="93">
        <v>323.26180000000005</v>
      </c>
      <c r="NN217" s="93">
        <v>31202.891518</v>
      </c>
      <c r="NO217" s="93">
        <v>5238.6057509999973</v>
      </c>
      <c r="NP217" s="93">
        <v>-8435.7656270000643</v>
      </c>
      <c r="NQ217" s="93">
        <v>-28554.326992000057</v>
      </c>
      <c r="NR217" s="93">
        <v>4846.6433529999558</v>
      </c>
      <c r="NS217" s="93">
        <v>2648.5645259999333</v>
      </c>
      <c r="NT217" s="93">
        <v>1502.9519349999316</v>
      </c>
      <c r="NU217" s="93">
        <v>-18615.609430000062</v>
      </c>
      <c r="NV217" s="93">
        <v>-27383.534778000096</v>
      </c>
      <c r="NW217" s="93">
        <v>12808.128713000002</v>
      </c>
      <c r="NX217" s="93">
        <v>12862.857070000002</v>
      </c>
      <c r="NY217" s="93">
        <v>-54.728357000000074</v>
      </c>
      <c r="NZ217" s="93">
        <v>0</v>
      </c>
      <c r="OA217" s="93">
        <v>-40191.663491000094</v>
      </c>
      <c r="OB217" s="93">
        <v>-51571.846825000095</v>
      </c>
      <c r="OC217" s="93">
        <v>11380.183333999999</v>
      </c>
      <c r="OD217" s="20">
        <v>0</v>
      </c>
      <c r="OE217" s="29">
        <v>150</v>
      </c>
      <c r="OF217" s="1504">
        <v>41061</v>
      </c>
      <c r="OG217" s="19"/>
      <c r="OH217" s="93">
        <v>169.68235000000001</v>
      </c>
      <c r="OI217" s="93">
        <v>704.7556343025085</v>
      </c>
      <c r="OJ217" s="93">
        <v>0.48041099799999998</v>
      </c>
      <c r="OK217" s="93">
        <v>619.37632330450845</v>
      </c>
      <c r="OL217" s="93">
        <v>84.898899999999998</v>
      </c>
      <c r="OM217" s="93">
        <v>874.43798430250854</v>
      </c>
      <c r="ON217" s="93">
        <v>661.16987224920388</v>
      </c>
      <c r="OO217" s="93">
        <v>1535.6078565517123</v>
      </c>
      <c r="OP217" s="93"/>
      <c r="OQ217" s="93">
        <v>787.35873818620757</v>
      </c>
      <c r="OR217" s="93">
        <v>186.456507655</v>
      </c>
      <c r="OS217" s="93">
        <v>600.90223053120746</v>
      </c>
      <c r="OT217" s="93">
        <v>967.57563668350474</v>
      </c>
      <c r="OU217" s="93">
        <v>-102.07558823900001</v>
      </c>
      <c r="OV217" s="93">
        <v>-92.380588238999991</v>
      </c>
      <c r="OW217" s="93">
        <v>-9.6950000000000216</v>
      </c>
      <c r="OX217" s="93">
        <v>1069.6512249225048</v>
      </c>
      <c r="OY217" s="93">
        <v>4.7042599000000003</v>
      </c>
      <c r="OZ217" s="93">
        <v>1064.9469650225049</v>
      </c>
      <c r="PA217" s="93">
        <v>246.50643745799999</v>
      </c>
      <c r="PB217" s="93">
        <v>-27.179919139999974</v>
      </c>
      <c r="PC217" s="20">
        <v>1535.6078565517125</v>
      </c>
      <c r="PD217" s="29">
        <v>150</v>
      </c>
      <c r="PE217" s="19"/>
      <c r="PF217" s="93">
        <v>186.456507655</v>
      </c>
      <c r="PG217" s="93">
        <v>428.657245617</v>
      </c>
      <c r="PH217" s="93">
        <v>242.20073796200001</v>
      </c>
      <c r="PI217" s="93">
        <v>231.2</v>
      </c>
      <c r="PJ217" s="93">
        <v>-87.352188238999986</v>
      </c>
      <c r="PK217" s="93">
        <v>129.34564714200002</v>
      </c>
      <c r="PL217" s="93">
        <v>216.697835381</v>
      </c>
      <c r="PM217" s="93">
        <v>4.7042599000000003</v>
      </c>
      <c r="PN217" s="93">
        <v>1.06</v>
      </c>
      <c r="PO217" s="93">
        <v>0</v>
      </c>
      <c r="PP217" s="93">
        <v>5.6102799999999998E-4</v>
      </c>
      <c r="PQ217" s="93">
        <v>3.6436988719999999</v>
      </c>
      <c r="PR217" s="93">
        <v>330.58712165500003</v>
      </c>
      <c r="PS217" s="93">
        <v>211.29275000000001</v>
      </c>
      <c r="PT217" s="93">
        <v>118.813960657</v>
      </c>
      <c r="PU217" s="93">
        <v>0.48041099799999998</v>
      </c>
      <c r="PV217" s="93">
        <v>0</v>
      </c>
      <c r="PW217" s="93">
        <v>1.184852333</v>
      </c>
      <c r="PX217" s="93">
        <v>0</v>
      </c>
      <c r="PY217" s="93">
        <v>0</v>
      </c>
      <c r="PZ217" s="93">
        <v>1.184852333</v>
      </c>
      <c r="QA217" s="93">
        <v>0</v>
      </c>
      <c r="QB217" s="93">
        <v>0</v>
      </c>
      <c r="QC217" s="93">
        <v>0</v>
      </c>
      <c r="QD217" s="93">
        <v>0.483585125</v>
      </c>
      <c r="QE217" s="20">
        <v>2.7530202029999988</v>
      </c>
      <c r="QF217" s="1739">
        <v>150</v>
      </c>
      <c r="QG217" s="19"/>
      <c r="QH217" s="1035">
        <v>600.90223053120746</v>
      </c>
      <c r="QI217" s="1035">
        <v>703.41103497749521</v>
      </c>
      <c r="QJ217" s="1035">
        <v>-102.5088044462877</v>
      </c>
      <c r="QK217" s="1035">
        <v>132.05600000000001</v>
      </c>
      <c r="QL217" s="1035">
        <v>36.582000000000001</v>
      </c>
      <c r="QM217" s="1035">
        <v>95.474000000000004</v>
      </c>
      <c r="QN217" s="1035">
        <v>0</v>
      </c>
      <c r="QO217" s="1035">
        <v>-9.6950000000000216</v>
      </c>
      <c r="QP217" s="1035">
        <v>134.947</v>
      </c>
      <c r="QQ217" s="1035">
        <v>-144.64200000000002</v>
      </c>
      <c r="QR217" s="1035">
        <v>1064.9469650225049</v>
      </c>
      <c r="QS217" s="1035">
        <v>16.597101096735411</v>
      </c>
      <c r="QT217" s="1035">
        <v>0</v>
      </c>
      <c r="QU217" s="1035">
        <v>123.997</v>
      </c>
      <c r="QV217" s="1035">
        <v>924.35286392576938</v>
      </c>
      <c r="QW217" s="93"/>
      <c r="QX217" s="93">
        <v>231.49</v>
      </c>
      <c r="QY217" s="93">
        <v>619.37632330450833</v>
      </c>
      <c r="QZ217" s="93">
        <v>661.16987224920388</v>
      </c>
      <c r="RA217" s="93">
        <v>0</v>
      </c>
      <c r="RB217" s="93">
        <v>38.432000000000002</v>
      </c>
      <c r="RC217" s="93">
        <v>5.5889999999999995</v>
      </c>
      <c r="RD217" s="93">
        <v>9.0850000000000009</v>
      </c>
      <c r="RE217" s="93">
        <v>0</v>
      </c>
      <c r="RF217" s="93">
        <v>0</v>
      </c>
      <c r="RG217" s="93">
        <v>191.732</v>
      </c>
      <c r="RH217" s="93">
        <v>31.335999999999999</v>
      </c>
      <c r="RI217" s="93"/>
      <c r="RJ217" s="93"/>
      <c r="RK217" s="93"/>
      <c r="RL217" s="93"/>
      <c r="RM217" s="734"/>
      <c r="RN217" s="29">
        <v>150</v>
      </c>
      <c r="RO217" s="19">
        <v>46</v>
      </c>
      <c r="RP217" s="20"/>
      <c r="RQ217" s="29">
        <v>150</v>
      </c>
      <c r="RR217" s="734">
        <v>2.3085560999999997</v>
      </c>
      <c r="RS217" s="29">
        <v>150</v>
      </c>
      <c r="RT217" s="1504">
        <v>41061</v>
      </c>
      <c r="RU217" s="19"/>
      <c r="RV217" s="20"/>
      <c r="RW217" s="29">
        <v>150</v>
      </c>
      <c r="RX217" s="1504">
        <v>41061</v>
      </c>
      <c r="RY217" s="29"/>
      <c r="RZ217" s="734"/>
      <c r="SA217" s="29"/>
      <c r="SB217" s="29">
        <v>150</v>
      </c>
    </row>
    <row r="218" spans="1:496">
      <c r="A218" s="41">
        <f t="shared" si="208"/>
        <v>2012</v>
      </c>
      <c r="B218" s="1504">
        <v>41091</v>
      </c>
      <c r="C218" s="1813"/>
      <c r="D218" s="1814"/>
      <c r="E218" s="1814"/>
      <c r="F218" s="1815"/>
      <c r="G218" s="1814"/>
      <c r="H218" s="1814"/>
      <c r="I218" s="1814"/>
      <c r="J218" s="1816"/>
      <c r="K218" s="1807"/>
      <c r="L218" s="25">
        <v>151</v>
      </c>
      <c r="M218" s="97"/>
      <c r="N218" s="1504">
        <v>41091</v>
      </c>
      <c r="O218" s="19"/>
      <c r="P218" s="93"/>
      <c r="Q218" s="93"/>
      <c r="R218" s="93"/>
      <c r="S218" s="93"/>
      <c r="T218" s="93"/>
      <c r="U218" s="93"/>
      <c r="V218" s="93"/>
      <c r="W218" s="93"/>
      <c r="X218" s="93"/>
      <c r="Y218" s="93"/>
      <c r="Z218" s="93"/>
      <c r="AA218" s="93"/>
      <c r="AB218" s="20"/>
      <c r="AC218" s="25">
        <v>151</v>
      </c>
      <c r="AD218" s="97"/>
      <c r="AE218" s="1504">
        <v>41091</v>
      </c>
      <c r="AF218" s="19"/>
      <c r="AG218" s="93"/>
      <c r="AH218" s="93"/>
      <c r="AI218" s="93"/>
      <c r="AJ218" s="93"/>
      <c r="AK218" s="93"/>
      <c r="AL218" s="93"/>
      <c r="AM218" s="93"/>
      <c r="AN218" s="93"/>
      <c r="AO218" s="93"/>
      <c r="AP218" s="93"/>
      <c r="AQ218" s="93"/>
      <c r="AR218" s="93"/>
      <c r="AS218" s="20"/>
      <c r="AT218" s="25">
        <v>151</v>
      </c>
      <c r="AU218" s="97"/>
      <c r="AV218" s="1504">
        <v>41091</v>
      </c>
      <c r="AW218" s="19"/>
      <c r="AX218" s="93"/>
      <c r="AY218" s="93"/>
      <c r="AZ218" s="93"/>
      <c r="BA218" s="93"/>
      <c r="BB218" s="93"/>
      <c r="BC218" s="93"/>
      <c r="BD218" s="93"/>
      <c r="BE218" s="93"/>
      <c r="BF218" s="93"/>
      <c r="BG218" s="93"/>
      <c r="BH218" s="93"/>
      <c r="BI218" s="93"/>
      <c r="BJ218" s="20"/>
      <c r="BK218" s="25">
        <v>151</v>
      </c>
      <c r="BL218" s="97"/>
      <c r="BM218" s="1504">
        <v>41091</v>
      </c>
      <c r="BN218" s="19"/>
      <c r="BO218" s="93"/>
      <c r="BP218" s="93"/>
      <c r="BQ218" s="93"/>
      <c r="BR218" s="93"/>
      <c r="BS218" s="93"/>
      <c r="BT218" s="93"/>
      <c r="BU218" s="20"/>
      <c r="BV218" s="25">
        <v>151</v>
      </c>
      <c r="BW218" s="97"/>
      <c r="BX218" s="1504">
        <v>41091</v>
      </c>
      <c r="BY218" s="179">
        <v>533.79812789000005</v>
      </c>
      <c r="BZ218" s="99">
        <v>664.95699999999999</v>
      </c>
      <c r="CA218" s="93"/>
      <c r="CB218" s="93"/>
      <c r="CC218" s="99">
        <v>278.80552277353365</v>
      </c>
      <c r="CD218" s="25">
        <v>151</v>
      </c>
      <c r="CE218" s="97"/>
      <c r="CF218" s="1504">
        <v>41091</v>
      </c>
      <c r="CG218" s="179">
        <v>1.851219414</v>
      </c>
      <c r="CH218" s="99">
        <v>1594.29</v>
      </c>
      <c r="CI218" s="219"/>
      <c r="CJ218" s="20"/>
      <c r="CK218" s="19"/>
      <c r="CL218" s="93"/>
      <c r="CM218" s="93"/>
      <c r="CN218" s="93"/>
      <c r="CO218" s="93"/>
      <c r="CP218" s="20"/>
      <c r="CQ218" s="219">
        <v>2450.2800000000002</v>
      </c>
      <c r="CR218" s="93">
        <v>2.988</v>
      </c>
      <c r="CS218" s="93"/>
      <c r="CT218" s="93"/>
      <c r="CU218" s="93"/>
      <c r="CV218" s="214"/>
      <c r="CW218" s="29">
        <v>151</v>
      </c>
      <c r="CX218" s="41">
        <f t="shared" si="209"/>
        <v>2012</v>
      </c>
      <c r="CY218" s="1504">
        <v>41091</v>
      </c>
      <c r="CZ218" s="1916">
        <v>80.710714999999993</v>
      </c>
      <c r="DA218" s="1526">
        <v>50.197082000000002</v>
      </c>
      <c r="DB218" s="1526">
        <v>30.513632999999999</v>
      </c>
      <c r="DC218" s="182">
        <f t="shared" si="213"/>
        <v>436250</v>
      </c>
      <c r="DD218" s="182">
        <f t="shared" si="214"/>
        <v>435032</v>
      </c>
      <c r="DE218" s="182">
        <f t="shared" si="215"/>
        <v>1218</v>
      </c>
      <c r="DF218" s="29">
        <v>151</v>
      </c>
      <c r="DG218" s="1504">
        <v>41091</v>
      </c>
      <c r="DH218" s="19"/>
      <c r="DI218" s="93"/>
      <c r="DJ218" s="93"/>
      <c r="DK218" s="93"/>
      <c r="DL218" s="93"/>
      <c r="DM218" s="93"/>
      <c r="DN218" s="20"/>
      <c r="DO218" s="25"/>
      <c r="DP218" s="29">
        <v>151</v>
      </c>
      <c r="DQ218" s="1504">
        <v>41091</v>
      </c>
      <c r="DR218" s="19"/>
      <c r="DS218" s="93"/>
      <c r="DT218" s="93"/>
      <c r="DU218" s="93"/>
      <c r="DV218" s="93"/>
      <c r="DW218" s="93"/>
      <c r="DX218" s="20"/>
      <c r="DY218" s="29">
        <v>151</v>
      </c>
      <c r="DZ218" s="1504">
        <v>41091</v>
      </c>
      <c r="EA218" s="19"/>
      <c r="EB218" s="93"/>
      <c r="EC218" s="20"/>
      <c r="ED218" s="29">
        <v>151</v>
      </c>
      <c r="EE218" s="1504">
        <v>41091</v>
      </c>
      <c r="EF218" s="19"/>
      <c r="EG218" s="93"/>
      <c r="EH218" s="93"/>
      <c r="EI218" s="214"/>
      <c r="EJ218" s="93"/>
      <c r="EK218" s="93"/>
      <c r="EL218" s="93"/>
      <c r="EM218" s="93"/>
      <c r="EN218" s="20"/>
      <c r="EO218" s="29">
        <v>151</v>
      </c>
      <c r="EP218" s="1504">
        <v>41091</v>
      </c>
      <c r="EQ218" s="19"/>
      <c r="ER218" s="93"/>
      <c r="ES218" s="93"/>
      <c r="ET218" s="214"/>
      <c r="EU218" s="93"/>
      <c r="EV218" s="93"/>
      <c r="EW218" s="93"/>
      <c r="EX218" s="93"/>
      <c r="EY218" s="20"/>
      <c r="EZ218" s="29">
        <v>151</v>
      </c>
      <c r="FA218" s="1504">
        <v>41091</v>
      </c>
      <c r="FB218" s="29"/>
      <c r="FC218" s="29"/>
      <c r="FD218" s="29"/>
      <c r="FE218" s="29"/>
      <c r="FF218" s="29"/>
      <c r="FG218" s="29"/>
      <c r="FH218" s="29"/>
      <c r="FI218" s="29"/>
      <c r="FJ218" s="29"/>
      <c r="FK218" s="29">
        <v>151</v>
      </c>
      <c r="FL218" s="1504">
        <v>41091</v>
      </c>
      <c r="FM218" s="19">
        <v>108.78086561951734</v>
      </c>
      <c r="FN218" s="93">
        <v>121.91975760175289</v>
      </c>
      <c r="FO218" s="93">
        <v>105.09285577240279</v>
      </c>
      <c r="FP218" s="93">
        <v>101.70382314188551</v>
      </c>
      <c r="FQ218" s="93">
        <v>110.0478138856525</v>
      </c>
      <c r="FR218" s="93">
        <v>98.348375763245215</v>
      </c>
      <c r="FS218" s="93">
        <v>100.50795562364824</v>
      </c>
      <c r="FT218" s="93">
        <v>105.45972934568591</v>
      </c>
      <c r="FU218" s="93">
        <v>63.555149054916882</v>
      </c>
      <c r="FV218" s="93">
        <v>98.754485210734245</v>
      </c>
      <c r="FW218" s="93">
        <v>102.49285068203132</v>
      </c>
      <c r="FX218" s="93">
        <v>114.47371041133283</v>
      </c>
      <c r="FY218" s="93">
        <v>103.0830200013441</v>
      </c>
      <c r="FZ218" s="29">
        <v>151</v>
      </c>
      <c r="GA218" s="1504">
        <v>41091</v>
      </c>
      <c r="GB218" s="733">
        <v>108.78086561951734</v>
      </c>
      <c r="GC218" s="570">
        <v>105.14475679082034</v>
      </c>
      <c r="GD218" s="570">
        <v>111.11901259231408</v>
      </c>
      <c r="GE218" s="570">
        <v>110.55231412796452</v>
      </c>
      <c r="GF218" s="570">
        <v>122.0189787766621</v>
      </c>
      <c r="GG218" s="570">
        <v>103.75429736064899</v>
      </c>
      <c r="GH218" s="93"/>
      <c r="GI218" s="93"/>
      <c r="GJ218" s="93"/>
      <c r="GK218" s="93"/>
      <c r="GL218" s="93"/>
      <c r="GM218" s="93"/>
      <c r="GN218" s="20"/>
      <c r="GO218" s="29">
        <v>151</v>
      </c>
      <c r="GP218" s="1504">
        <v>41091</v>
      </c>
      <c r="GQ218" s="19"/>
      <c r="GR218" s="93"/>
      <c r="GS218" s="93"/>
      <c r="GT218" s="93"/>
      <c r="GU218" s="93"/>
      <c r="GV218" s="20"/>
      <c r="GW218" s="19"/>
      <c r="GX218" s="93"/>
      <c r="GY218" s="93"/>
      <c r="GZ218" s="93"/>
      <c r="HA218" s="93"/>
      <c r="HB218" s="20"/>
      <c r="HC218" s="19"/>
      <c r="HD218" s="93"/>
      <c r="HE218" s="93"/>
      <c r="HF218" s="93"/>
      <c r="HG218" s="93"/>
      <c r="HH218" s="20"/>
      <c r="HI218" s="19"/>
      <c r="HJ218" s="93"/>
      <c r="HK218" s="93"/>
      <c r="HL218" s="93"/>
      <c r="HM218" s="93"/>
      <c r="HN218" s="20"/>
      <c r="HO218" s="219"/>
      <c r="HP218" s="20"/>
      <c r="HQ218" s="25"/>
      <c r="HR218" s="29">
        <v>151</v>
      </c>
      <c r="HS218" s="1504">
        <v>41091</v>
      </c>
      <c r="HT218" s="179">
        <v>293.8774353027344</v>
      </c>
      <c r="HU218" s="99">
        <v>307.29167175292969</v>
      </c>
      <c r="HV218" s="99">
        <v>233.33332824707031</v>
      </c>
      <c r="HW218" s="99">
        <v>194.17475891113281</v>
      </c>
      <c r="HX218" s="99">
        <v>265.15150833129883</v>
      </c>
      <c r="HY218" s="99">
        <v>303.69242858886719</v>
      </c>
      <c r="HZ218" s="99">
        <v>292.59328002929686</v>
      </c>
      <c r="IA218" s="132">
        <v>230.64516906738282</v>
      </c>
      <c r="IB218" s="179">
        <v>304.54544830322266</v>
      </c>
      <c r="IC218" s="99">
        <v>233.16062927246094</v>
      </c>
      <c r="ID218" s="99">
        <v>232.14286422729492</v>
      </c>
      <c r="IE218" s="99">
        <v>212.50000381469727</v>
      </c>
      <c r="IF218" s="99">
        <v>261.29031982421873</v>
      </c>
      <c r="IG218" s="132">
        <v>268.88889770507814</v>
      </c>
      <c r="IH218" s="179">
        <v>200.25991210937499</v>
      </c>
      <c r="II218" s="99">
        <v>233.61309051513672</v>
      </c>
      <c r="IJ218" s="99">
        <v>199.32431945800781</v>
      </c>
      <c r="IK218" s="99">
        <v>213.89892196655273</v>
      </c>
      <c r="IL218" s="99">
        <v>207.36882591247559</v>
      </c>
      <c r="IM218" s="99">
        <v>190.19608154296876</v>
      </c>
      <c r="IN218" s="93"/>
      <c r="IO218" s="132">
        <v>207.92079467773436</v>
      </c>
      <c r="IP218" s="29">
        <v>151</v>
      </c>
      <c r="IQ218" s="19"/>
      <c r="IR218" s="93"/>
      <c r="IS218" s="93"/>
      <c r="IT218" s="93"/>
      <c r="IU218" s="93"/>
      <c r="IV218" s="20"/>
      <c r="IW218" s="29">
        <v>151</v>
      </c>
      <c r="IX218" s="19"/>
      <c r="IY218" s="93"/>
      <c r="IZ218" s="93"/>
      <c r="JA218" s="93"/>
      <c r="JB218" s="93"/>
      <c r="JC218" s="93"/>
      <c r="JD218" s="93"/>
      <c r="JE218" s="20"/>
      <c r="JF218" s="29">
        <v>151</v>
      </c>
      <c r="JG218" s="19"/>
      <c r="JH218" s="93"/>
      <c r="JI218" s="93"/>
      <c r="JJ218" s="93"/>
      <c r="JK218" s="93"/>
      <c r="JL218" s="93"/>
      <c r="JM218" s="93"/>
      <c r="JN218" s="20"/>
      <c r="JO218" s="29">
        <v>151</v>
      </c>
      <c r="JP218" s="19"/>
      <c r="JQ218" s="93"/>
      <c r="JR218" s="93"/>
      <c r="JS218" s="93"/>
      <c r="JT218" s="93"/>
      <c r="JU218" s="20"/>
      <c r="JV218" s="29">
        <v>151</v>
      </c>
      <c r="JW218" s="1504">
        <v>41091</v>
      </c>
      <c r="JX218" s="19"/>
      <c r="JY218" s="93"/>
      <c r="JZ218" s="93"/>
      <c r="KA218" s="93"/>
      <c r="KB218" s="93"/>
      <c r="KC218" s="93"/>
      <c r="KD218" s="20"/>
      <c r="KE218" s="29">
        <v>151</v>
      </c>
      <c r="KF218" s="19"/>
      <c r="KG218" s="93"/>
      <c r="KH218" s="93"/>
      <c r="KI218" s="93"/>
      <c r="KJ218" s="93"/>
      <c r="KK218" s="20"/>
      <c r="KL218" s="29">
        <v>151</v>
      </c>
      <c r="KM218" s="19"/>
      <c r="KN218" s="93"/>
      <c r="KO218" s="93"/>
      <c r="KP218" s="93"/>
      <c r="KQ218" s="93"/>
      <c r="KR218" s="20"/>
      <c r="KS218" s="29">
        <v>151</v>
      </c>
      <c r="KT218" s="19"/>
      <c r="KU218" s="93"/>
      <c r="KV218" s="93"/>
      <c r="KW218" s="93"/>
      <c r="KX218" s="93"/>
      <c r="KY218" s="20"/>
      <c r="KZ218" s="29">
        <v>151</v>
      </c>
      <c r="LA218" s="1504">
        <v>41091</v>
      </c>
      <c r="LB218" s="19">
        <v>510</v>
      </c>
      <c r="LC218" s="93">
        <v>740</v>
      </c>
      <c r="LD218" s="93">
        <v>732</v>
      </c>
      <c r="LE218" s="93"/>
      <c r="LF218" s="93">
        <v>656</v>
      </c>
      <c r="LG218" s="93"/>
      <c r="LH218" s="20"/>
      <c r="LI218" s="29">
        <v>151</v>
      </c>
      <c r="LJ218" s="19"/>
      <c r="LK218" s="93"/>
      <c r="LL218" s="93"/>
      <c r="LM218" s="93"/>
      <c r="LN218" s="93"/>
      <c r="LO218" s="20"/>
      <c r="LP218" s="29">
        <v>151</v>
      </c>
      <c r="LQ218" s="19"/>
      <c r="LR218" s="93"/>
      <c r="LS218" s="93"/>
      <c r="LT218" s="93"/>
      <c r="LU218" s="93"/>
      <c r="LV218" s="93"/>
      <c r="LW218" s="93"/>
      <c r="LX218" s="93"/>
      <c r="LY218" s="93"/>
      <c r="LZ218" s="93"/>
      <c r="MA218" s="20"/>
      <c r="MB218" s="29">
        <v>151</v>
      </c>
      <c r="MC218" s="1504">
        <v>41091</v>
      </c>
      <c r="MD218" s="19">
        <v>123801.309178</v>
      </c>
      <c r="ME218" s="93">
        <v>104374.54681</v>
      </c>
      <c r="MF218" s="93">
        <v>104327.183168</v>
      </c>
      <c r="MG218" s="93">
        <v>94915.975065999999</v>
      </c>
      <c r="MH218" s="93">
        <v>36166.130334000001</v>
      </c>
      <c r="MI218" s="93">
        <v>486.99618200000003</v>
      </c>
      <c r="MJ218" s="93">
        <v>558.50741400000004</v>
      </c>
      <c r="MK218" s="93">
        <v>42654.520380999995</v>
      </c>
      <c r="ML218" s="93">
        <v>14469.167997</v>
      </c>
      <c r="MM218" s="93">
        <v>580.65275800000006</v>
      </c>
      <c r="MN218" s="93">
        <v>9411.2081020000005</v>
      </c>
      <c r="MO218" s="93">
        <v>220.18948400000002</v>
      </c>
      <c r="MP218" s="93">
        <v>1954.6295409999998</v>
      </c>
      <c r="MQ218" s="93">
        <v>132.66931399999999</v>
      </c>
      <c r="MR218" s="93">
        <v>3977.2308499999999</v>
      </c>
      <c r="MS218" s="93">
        <v>3126.4889130000001</v>
      </c>
      <c r="MT218" s="93">
        <v>47.363641999999999</v>
      </c>
      <c r="MU218" s="93">
        <v>19426.762368</v>
      </c>
      <c r="MV218" s="93">
        <v>5174.2538929999992</v>
      </c>
      <c r="MW218" s="93">
        <v>14252.508474999999</v>
      </c>
      <c r="MX218" s="93">
        <v>114569.51102604589</v>
      </c>
      <c r="MY218" s="93">
        <v>114579.0539560459</v>
      </c>
      <c r="MZ218" s="93">
        <v>65385.599586999982</v>
      </c>
      <c r="NA218" s="93">
        <v>28617.2215</v>
      </c>
      <c r="NB218" s="93">
        <v>10739.279141999998</v>
      </c>
      <c r="NC218" s="93">
        <v>3416.0254909999994</v>
      </c>
      <c r="ND218" s="93">
        <v>3053.7748849999998</v>
      </c>
      <c r="NE218" s="93">
        <v>362.25060599999989</v>
      </c>
      <c r="NF218" s="93">
        <v>22613.073453999987</v>
      </c>
      <c r="NG218" s="93">
        <v>4.2</v>
      </c>
      <c r="NH218" s="93">
        <v>3603.6298130000009</v>
      </c>
      <c r="NI218" s="93">
        <v>1740.923495</v>
      </c>
      <c r="NJ218" s="93">
        <v>0</v>
      </c>
      <c r="NK218" s="93">
        <v>49193.45436904591</v>
      </c>
      <c r="NL218" s="93">
        <v>39407.697505999982</v>
      </c>
      <c r="NM218" s="93">
        <v>0</v>
      </c>
      <c r="NN218" s="93">
        <v>9785.75686304593</v>
      </c>
      <c r="NO218" s="93">
        <v>-9.5429299999997017</v>
      </c>
      <c r="NP218" s="93">
        <v>9231.7981519541136</v>
      </c>
      <c r="NQ218" s="93">
        <v>-10194.964216045886</v>
      </c>
      <c r="NR218" s="93">
        <v>3006.8181380000415</v>
      </c>
      <c r="NS218" s="93">
        <v>-409.20735299995539</v>
      </c>
      <c r="NT218" s="93">
        <v>-21546.461005045912</v>
      </c>
      <c r="NU218" s="93">
        <v>-40973.223373045912</v>
      </c>
      <c r="NV218" s="93">
        <v>13985.616994045926</v>
      </c>
      <c r="NW218" s="93">
        <v>3259.5141930459308</v>
      </c>
      <c r="NX218" s="93">
        <v>4611.5029700459309</v>
      </c>
      <c r="NY218" s="93">
        <v>-1351.9887769999998</v>
      </c>
      <c r="NZ218" s="93">
        <v>0</v>
      </c>
      <c r="OA218" s="93">
        <v>10726.102800999995</v>
      </c>
      <c r="OB218" s="93">
        <v>30354.349018999994</v>
      </c>
      <c r="OC218" s="93">
        <v>-19628.246218</v>
      </c>
      <c r="OD218" s="20">
        <v>0</v>
      </c>
      <c r="OE218" s="29">
        <v>151</v>
      </c>
      <c r="OF218" s="1504">
        <v>41091</v>
      </c>
      <c r="OG218" s="19"/>
      <c r="OH218" s="93">
        <v>193.23589999999999</v>
      </c>
      <c r="OI218" s="93">
        <v>702.34464339141277</v>
      </c>
      <c r="OJ218" s="93">
        <v>0.54017410200000004</v>
      </c>
      <c r="OK218" s="93">
        <v>616.90556928941271</v>
      </c>
      <c r="OL218" s="93">
        <v>84.898899999999998</v>
      </c>
      <c r="OM218" s="93">
        <v>895.58054339141279</v>
      </c>
      <c r="ON218" s="93">
        <v>673.36049574369963</v>
      </c>
      <c r="OO218" s="93">
        <v>1568.9410391351125</v>
      </c>
      <c r="OP218" s="93"/>
      <c r="OQ218" s="93">
        <v>784.11594679096629</v>
      </c>
      <c r="OR218" s="93">
        <v>185.73958717899995</v>
      </c>
      <c r="OS218" s="93">
        <v>598.37635961196634</v>
      </c>
      <c r="OT218" s="93">
        <v>1029.2675250011462</v>
      </c>
      <c r="OU218" s="93">
        <v>-64.779628190000011</v>
      </c>
      <c r="OV218" s="93">
        <v>-41.254628189999998</v>
      </c>
      <c r="OW218" s="93">
        <v>-23.525000000000006</v>
      </c>
      <c r="OX218" s="93">
        <v>1094.0471531911462</v>
      </c>
      <c r="OY218" s="93">
        <v>4.75544777</v>
      </c>
      <c r="OZ218" s="93">
        <v>1089.2917054211462</v>
      </c>
      <c r="PA218" s="93">
        <v>248.95452407400001</v>
      </c>
      <c r="PB218" s="93">
        <v>-4.5120914169999935</v>
      </c>
      <c r="PC218" s="20">
        <v>1568.9410391351123</v>
      </c>
      <c r="PD218" s="29">
        <v>151</v>
      </c>
      <c r="PE218" s="19"/>
      <c r="PF218" s="93">
        <v>185.73958717899995</v>
      </c>
      <c r="PG218" s="93">
        <v>435.01458914799997</v>
      </c>
      <c r="PH218" s="93">
        <v>249.27500196900002</v>
      </c>
      <c r="PI218" s="93">
        <v>205.50700000000001</v>
      </c>
      <c r="PJ218" s="93">
        <v>-36.22622819</v>
      </c>
      <c r="PK218" s="93">
        <v>128.40247736200001</v>
      </c>
      <c r="PL218" s="93">
        <v>164.62870555200001</v>
      </c>
      <c r="PM218" s="93">
        <v>4.75544777</v>
      </c>
      <c r="PN218" s="93">
        <v>1.06</v>
      </c>
      <c r="PO218" s="93">
        <v>0</v>
      </c>
      <c r="PP218" s="93">
        <v>4.5989000000000002E-4</v>
      </c>
      <c r="PQ218" s="93">
        <v>3.6949878800000002</v>
      </c>
      <c r="PR218" s="93">
        <v>354.89846045899998</v>
      </c>
      <c r="PS218" s="93">
        <v>238.30629999999999</v>
      </c>
      <c r="PT218" s="93">
        <v>116.051986357</v>
      </c>
      <c r="PU218" s="93">
        <v>0.54017410200000004</v>
      </c>
      <c r="PV218" s="93">
        <v>0</v>
      </c>
      <c r="PW218" s="93">
        <v>1.260904112</v>
      </c>
      <c r="PX218" s="93">
        <v>0</v>
      </c>
      <c r="PY218" s="93">
        <v>0</v>
      </c>
      <c r="PZ218" s="93">
        <v>1.260904112</v>
      </c>
      <c r="QA218" s="93">
        <v>0</v>
      </c>
      <c r="QB218" s="93">
        <v>0</v>
      </c>
      <c r="QC218" s="93">
        <v>0</v>
      </c>
      <c r="QD218" s="93">
        <v>0.49261996200000002</v>
      </c>
      <c r="QE218" s="20">
        <v>3.1238222260000064</v>
      </c>
      <c r="QF218" s="1739">
        <v>151</v>
      </c>
      <c r="QG218" s="19"/>
      <c r="QH218" s="1035">
        <v>598.37635961196634</v>
      </c>
      <c r="QI218" s="1035">
        <v>698.70929457885393</v>
      </c>
      <c r="QJ218" s="1035">
        <v>-100.33293496688763</v>
      </c>
      <c r="QK218" s="1035">
        <v>131.12700000000001</v>
      </c>
      <c r="QL218" s="1035">
        <v>40.042000000000002</v>
      </c>
      <c r="QM218" s="1035">
        <v>91.084999999999994</v>
      </c>
      <c r="QN218" s="1035">
        <v>0</v>
      </c>
      <c r="QO218" s="1035">
        <v>-23.525000000000006</v>
      </c>
      <c r="QP218" s="1035">
        <v>128.66399999999999</v>
      </c>
      <c r="QQ218" s="1035">
        <v>-152.18899999999999</v>
      </c>
      <c r="QR218" s="1035">
        <v>1089.2917054211462</v>
      </c>
      <c r="QS218" s="1035">
        <v>16.397738590819294</v>
      </c>
      <c r="QT218" s="1035">
        <v>0</v>
      </c>
      <c r="QU218" s="1035">
        <v>139.89500000000001</v>
      </c>
      <c r="QV218" s="1035">
        <v>932.99896683032682</v>
      </c>
      <c r="QW218" s="93"/>
      <c r="QX218" s="93">
        <v>210.679</v>
      </c>
      <c r="QY218" s="93">
        <v>616.90556928941282</v>
      </c>
      <c r="QZ218" s="93">
        <v>673.36049574369963</v>
      </c>
      <c r="RA218" s="93">
        <v>0</v>
      </c>
      <c r="RB218" s="93">
        <v>38.325000000000003</v>
      </c>
      <c r="RC218" s="93">
        <v>5.6340000000000003</v>
      </c>
      <c r="RD218" s="93">
        <v>6.532</v>
      </c>
      <c r="RE218" s="93">
        <v>0</v>
      </c>
      <c r="RF218" s="93">
        <v>0</v>
      </c>
      <c r="RG218" s="93">
        <v>196.71</v>
      </c>
      <c r="RH218" s="93">
        <v>47.124000000000009</v>
      </c>
      <c r="RI218" s="93"/>
      <c r="RJ218" s="93"/>
      <c r="RK218" s="93"/>
      <c r="RL218" s="93"/>
      <c r="RM218" s="734"/>
      <c r="RN218" s="29">
        <v>151</v>
      </c>
      <c r="RO218" s="19">
        <v>64</v>
      </c>
      <c r="RP218" s="20"/>
      <c r="RQ218" s="29">
        <v>151</v>
      </c>
      <c r="RR218" s="734">
        <v>2.05591261</v>
      </c>
      <c r="RS218" s="29">
        <v>151</v>
      </c>
      <c r="RT218" s="1504">
        <v>41091</v>
      </c>
      <c r="RU218" s="19"/>
      <c r="RV218" s="20"/>
      <c r="RW218" s="29">
        <v>151</v>
      </c>
      <c r="RX218" s="1504">
        <v>41091</v>
      </c>
      <c r="RY218" s="29"/>
      <c r="RZ218" s="734"/>
      <c r="SA218" s="29"/>
      <c r="SB218" s="29">
        <v>151</v>
      </c>
    </row>
    <row r="219" spans="1:496">
      <c r="A219" s="41">
        <f t="shared" si="208"/>
        <v>2012</v>
      </c>
      <c r="B219" s="1504">
        <v>41122</v>
      </c>
      <c r="C219" s="1813"/>
      <c r="D219" s="1814"/>
      <c r="E219" s="1814"/>
      <c r="F219" s="1815"/>
      <c r="G219" s="1814"/>
      <c r="H219" s="1814"/>
      <c r="I219" s="1814"/>
      <c r="J219" s="1816"/>
      <c r="K219" s="1807"/>
      <c r="L219" s="25">
        <v>152</v>
      </c>
      <c r="M219" s="97"/>
      <c r="N219" s="1504">
        <v>41122</v>
      </c>
      <c r="O219" s="19"/>
      <c r="P219" s="93"/>
      <c r="Q219" s="93"/>
      <c r="R219" s="93"/>
      <c r="S219" s="93"/>
      <c r="T219" s="93"/>
      <c r="U219" s="93"/>
      <c r="V219" s="93"/>
      <c r="W219" s="93"/>
      <c r="X219" s="93"/>
      <c r="Y219" s="93"/>
      <c r="Z219" s="93"/>
      <c r="AA219" s="93"/>
      <c r="AB219" s="20"/>
      <c r="AC219" s="25">
        <v>152</v>
      </c>
      <c r="AD219" s="97"/>
      <c r="AE219" s="1504">
        <v>41122</v>
      </c>
      <c r="AF219" s="19"/>
      <c r="AG219" s="93"/>
      <c r="AH219" s="93"/>
      <c r="AI219" s="93"/>
      <c r="AJ219" s="93"/>
      <c r="AK219" s="93"/>
      <c r="AL219" s="93"/>
      <c r="AM219" s="93"/>
      <c r="AN219" s="93"/>
      <c r="AO219" s="93"/>
      <c r="AP219" s="93"/>
      <c r="AQ219" s="93"/>
      <c r="AR219" s="93"/>
      <c r="AS219" s="20"/>
      <c r="AT219" s="25">
        <v>152</v>
      </c>
      <c r="AU219" s="97"/>
      <c r="AV219" s="1504">
        <v>41122</v>
      </c>
      <c r="AW219" s="19"/>
      <c r="AX219" s="93"/>
      <c r="AY219" s="93"/>
      <c r="AZ219" s="93"/>
      <c r="BA219" s="93"/>
      <c r="BB219" s="93"/>
      <c r="BC219" s="93"/>
      <c r="BD219" s="93"/>
      <c r="BE219" s="93"/>
      <c r="BF219" s="93"/>
      <c r="BG219" s="93"/>
      <c r="BH219" s="93"/>
      <c r="BI219" s="93"/>
      <c r="BJ219" s="20"/>
      <c r="BK219" s="25">
        <v>152</v>
      </c>
      <c r="BL219" s="97"/>
      <c r="BM219" s="1504">
        <v>41122</v>
      </c>
      <c r="BN219" s="19"/>
      <c r="BO219" s="93"/>
      <c r="BP219" s="93"/>
      <c r="BQ219" s="93"/>
      <c r="BR219" s="93"/>
      <c r="BS219" s="93"/>
      <c r="BT219" s="93"/>
      <c r="BU219" s="20"/>
      <c r="BV219" s="25">
        <v>152</v>
      </c>
      <c r="BW219" s="97"/>
      <c r="BX219" s="1504">
        <v>41122</v>
      </c>
      <c r="BY219" s="179">
        <v>528.99652264999997</v>
      </c>
      <c r="BZ219" s="99">
        <v>664.95699999999999</v>
      </c>
      <c r="CA219" s="93"/>
      <c r="CB219" s="93"/>
      <c r="CC219" s="99">
        <v>274.84452945593364</v>
      </c>
      <c r="CD219" s="25">
        <v>152</v>
      </c>
      <c r="CE219" s="97"/>
      <c r="CF219" s="1504">
        <v>41122</v>
      </c>
      <c r="CG219" s="179">
        <v>1.86069928</v>
      </c>
      <c r="CH219" s="99">
        <v>1630.31</v>
      </c>
      <c r="CI219" s="219"/>
      <c r="CJ219" s="20"/>
      <c r="CK219" s="19"/>
      <c r="CL219" s="93"/>
      <c r="CM219" s="93"/>
      <c r="CN219" s="93"/>
      <c r="CO219" s="93"/>
      <c r="CP219" s="20"/>
      <c r="CQ219" s="219">
        <v>2469.1799999999998</v>
      </c>
      <c r="CR219" s="93">
        <v>3.0825</v>
      </c>
      <c r="CS219" s="93"/>
      <c r="CT219" s="93"/>
      <c r="CU219" s="93"/>
      <c r="CV219" s="214"/>
      <c r="CW219" s="29">
        <v>152</v>
      </c>
      <c r="CX219" s="41">
        <f t="shared" si="209"/>
        <v>2012</v>
      </c>
      <c r="CY219" s="1504">
        <v>41122</v>
      </c>
      <c r="CZ219" s="1916">
        <v>76.981938</v>
      </c>
      <c r="DA219" s="1526">
        <v>48.439909999999998</v>
      </c>
      <c r="DB219" s="1526">
        <v>28.542027999999998</v>
      </c>
      <c r="DC219" s="182">
        <f t="shared" si="213"/>
        <v>436250</v>
      </c>
      <c r="DD219" s="182">
        <f t="shared" si="214"/>
        <v>435032</v>
      </c>
      <c r="DE219" s="182">
        <f t="shared" si="215"/>
        <v>1218</v>
      </c>
      <c r="DF219" s="29">
        <v>152</v>
      </c>
      <c r="DG219" s="1504">
        <v>41122</v>
      </c>
      <c r="DH219" s="19"/>
      <c r="DI219" s="93"/>
      <c r="DJ219" s="93"/>
      <c r="DK219" s="93"/>
      <c r="DL219" s="93"/>
      <c r="DM219" s="93"/>
      <c r="DN219" s="20"/>
      <c r="DO219" s="25"/>
      <c r="DP219" s="29">
        <v>152</v>
      </c>
      <c r="DQ219" s="1504">
        <v>41122</v>
      </c>
      <c r="DR219" s="19"/>
      <c r="DS219" s="93"/>
      <c r="DT219" s="93"/>
      <c r="DU219" s="93"/>
      <c r="DV219" s="93"/>
      <c r="DW219" s="93"/>
      <c r="DX219" s="20"/>
      <c r="DY219" s="29">
        <v>152</v>
      </c>
      <c r="DZ219" s="1504">
        <v>41122</v>
      </c>
      <c r="EA219" s="19"/>
      <c r="EB219" s="93"/>
      <c r="EC219" s="20"/>
      <c r="ED219" s="29">
        <v>152</v>
      </c>
      <c r="EE219" s="1504">
        <v>41122</v>
      </c>
      <c r="EF219" s="19"/>
      <c r="EG219" s="93"/>
      <c r="EH219" s="93"/>
      <c r="EI219" s="214"/>
      <c r="EJ219" s="93"/>
      <c r="EK219" s="93"/>
      <c r="EL219" s="93"/>
      <c r="EM219" s="93"/>
      <c r="EN219" s="20"/>
      <c r="EO219" s="29">
        <v>152</v>
      </c>
      <c r="EP219" s="1504">
        <v>41122</v>
      </c>
      <c r="EQ219" s="19"/>
      <c r="ER219" s="93"/>
      <c r="ES219" s="93"/>
      <c r="ET219" s="214"/>
      <c r="EU219" s="93"/>
      <c r="EV219" s="93"/>
      <c r="EW219" s="93"/>
      <c r="EX219" s="93"/>
      <c r="EY219" s="20"/>
      <c r="EZ219" s="29">
        <v>152</v>
      </c>
      <c r="FA219" s="1504">
        <v>41122</v>
      </c>
      <c r="FB219" s="29"/>
      <c r="FC219" s="29"/>
      <c r="FD219" s="29"/>
      <c r="FE219" s="29"/>
      <c r="FF219" s="29"/>
      <c r="FG219" s="29"/>
      <c r="FH219" s="29"/>
      <c r="FI219" s="29"/>
      <c r="FJ219" s="29"/>
      <c r="FK219" s="29">
        <v>152</v>
      </c>
      <c r="FL219" s="1504">
        <v>41122</v>
      </c>
      <c r="FM219" s="19">
        <v>108.6110571541018</v>
      </c>
      <c r="FN219" s="93">
        <v>121.11798096779535</v>
      </c>
      <c r="FO219" s="93">
        <v>105.02390574432866</v>
      </c>
      <c r="FP219" s="93">
        <v>101.70382314188551</v>
      </c>
      <c r="FQ219" s="93">
        <v>111.23953386416797</v>
      </c>
      <c r="FR219" s="93">
        <v>98.348375763245215</v>
      </c>
      <c r="FS219" s="93">
        <v>100.50795562364824</v>
      </c>
      <c r="FT219" s="93">
        <v>105.44905061643048</v>
      </c>
      <c r="FU219" s="93">
        <v>63.555149054916882</v>
      </c>
      <c r="FV219" s="93">
        <v>98.754485210734245</v>
      </c>
      <c r="FW219" s="93">
        <v>102.49285068203132</v>
      </c>
      <c r="FX219" s="93">
        <v>114.43562306408433</v>
      </c>
      <c r="FY219" s="93">
        <v>103.54816492221632</v>
      </c>
      <c r="FZ219" s="29">
        <v>152</v>
      </c>
      <c r="GA219" s="1504">
        <v>41122</v>
      </c>
      <c r="GB219" s="733">
        <v>108.6110571541018</v>
      </c>
      <c r="GC219" s="570">
        <v>104.53840515022834</v>
      </c>
      <c r="GD219" s="570">
        <v>111.24645517222885</v>
      </c>
      <c r="GE219" s="570">
        <v>111.36862739328151</v>
      </c>
      <c r="GF219" s="570">
        <v>121.05858518536347</v>
      </c>
      <c r="GG219" s="570">
        <v>103.67908194587102</v>
      </c>
      <c r="GH219" s="93"/>
      <c r="GI219" s="93"/>
      <c r="GJ219" s="93"/>
      <c r="GK219" s="93"/>
      <c r="GL219" s="93"/>
      <c r="GM219" s="93"/>
      <c r="GN219" s="20"/>
      <c r="GO219" s="29">
        <v>152</v>
      </c>
      <c r="GP219" s="1504">
        <v>41122</v>
      </c>
      <c r="GQ219" s="19"/>
      <c r="GR219" s="93"/>
      <c r="GS219" s="93"/>
      <c r="GT219" s="93"/>
      <c r="GU219" s="93"/>
      <c r="GV219" s="20"/>
      <c r="GW219" s="19"/>
      <c r="GX219" s="93"/>
      <c r="GY219" s="93"/>
      <c r="GZ219" s="93"/>
      <c r="HA219" s="93"/>
      <c r="HB219" s="20"/>
      <c r="HC219" s="19"/>
      <c r="HD219" s="93"/>
      <c r="HE219" s="93"/>
      <c r="HF219" s="93"/>
      <c r="HG219" s="93"/>
      <c r="HH219" s="20"/>
      <c r="HI219" s="19"/>
      <c r="HJ219" s="93"/>
      <c r="HK219" s="93"/>
      <c r="HL219" s="93"/>
      <c r="HM219" s="93"/>
      <c r="HN219" s="20"/>
      <c r="HO219" s="219"/>
      <c r="HP219" s="20"/>
      <c r="HQ219" s="25"/>
      <c r="HR219" s="29">
        <v>152</v>
      </c>
      <c r="HS219" s="1504">
        <v>41122</v>
      </c>
      <c r="HT219" s="179">
        <v>290.5328369140625</v>
      </c>
      <c r="HU219" s="99">
        <v>310.06944885253904</v>
      </c>
      <c r="HV219" s="99">
        <v>239.9999969482422</v>
      </c>
      <c r="HW219" s="99">
        <v>226.53722635904947</v>
      </c>
      <c r="HX219" s="99">
        <v>280.0000061035156</v>
      </c>
      <c r="HY219" s="99">
        <v>304.07352447509766</v>
      </c>
      <c r="HZ219" s="99">
        <v>294.11764526367188</v>
      </c>
      <c r="IA219" s="132">
        <v>240.60457611083984</v>
      </c>
      <c r="IB219" s="179">
        <v>290</v>
      </c>
      <c r="IC219" s="99">
        <v>233.16062927246094</v>
      </c>
      <c r="ID219" s="99">
        <v>255.95238240559897</v>
      </c>
      <c r="IE219" s="99">
        <v>206.41025924682617</v>
      </c>
      <c r="IF219" s="99">
        <v>239.61660766601563</v>
      </c>
      <c r="IG219" s="132">
        <v>266.38889312744141</v>
      </c>
      <c r="IH219" s="179">
        <v>197.7255802154541</v>
      </c>
      <c r="II219" s="99">
        <v>240.60702514648438</v>
      </c>
      <c r="IJ219" s="99">
        <v>202.70269775390625</v>
      </c>
      <c r="IK219" s="99">
        <v>216.06499023437499</v>
      </c>
      <c r="IL219" s="99">
        <v>207.94753074645996</v>
      </c>
      <c r="IM219" s="99">
        <v>183.46775054931641</v>
      </c>
      <c r="IN219" s="93"/>
      <c r="IO219" s="132">
        <v>208.33333587646484</v>
      </c>
      <c r="IP219" s="29">
        <v>152</v>
      </c>
      <c r="IQ219" s="19"/>
      <c r="IR219" s="93"/>
      <c r="IS219" s="93"/>
      <c r="IT219" s="93"/>
      <c r="IU219" s="93"/>
      <c r="IV219" s="20"/>
      <c r="IW219" s="29">
        <v>152</v>
      </c>
      <c r="IX219" s="19"/>
      <c r="IY219" s="93"/>
      <c r="IZ219" s="93"/>
      <c r="JA219" s="93"/>
      <c r="JB219" s="93"/>
      <c r="JC219" s="93"/>
      <c r="JD219" s="93"/>
      <c r="JE219" s="20"/>
      <c r="JF219" s="29">
        <v>152</v>
      </c>
      <c r="JG219" s="19"/>
      <c r="JH219" s="93"/>
      <c r="JI219" s="93"/>
      <c r="JJ219" s="93"/>
      <c r="JK219" s="93"/>
      <c r="JL219" s="93"/>
      <c r="JM219" s="93"/>
      <c r="JN219" s="20"/>
      <c r="JO219" s="29">
        <v>152</v>
      </c>
      <c r="JP219" s="19"/>
      <c r="JQ219" s="93"/>
      <c r="JR219" s="93"/>
      <c r="JS219" s="93"/>
      <c r="JT219" s="93"/>
      <c r="JU219" s="20"/>
      <c r="JV219" s="29">
        <v>152</v>
      </c>
      <c r="JW219" s="1504">
        <v>41122</v>
      </c>
      <c r="JX219" s="19"/>
      <c r="JY219" s="93"/>
      <c r="JZ219" s="93"/>
      <c r="KA219" s="93"/>
      <c r="KB219" s="93"/>
      <c r="KC219" s="93"/>
      <c r="KD219" s="20"/>
      <c r="KE219" s="29">
        <v>152</v>
      </c>
      <c r="KF219" s="19"/>
      <c r="KG219" s="93"/>
      <c r="KH219" s="93"/>
      <c r="KI219" s="93"/>
      <c r="KJ219" s="93"/>
      <c r="KK219" s="20"/>
      <c r="KL219" s="29">
        <v>152</v>
      </c>
      <c r="KM219" s="19"/>
      <c r="KN219" s="93"/>
      <c r="KO219" s="93"/>
      <c r="KP219" s="93"/>
      <c r="KQ219" s="93"/>
      <c r="KR219" s="20"/>
      <c r="KS219" s="29">
        <v>152</v>
      </c>
      <c r="KT219" s="19"/>
      <c r="KU219" s="93"/>
      <c r="KV219" s="93"/>
      <c r="KW219" s="93"/>
      <c r="KX219" s="93"/>
      <c r="KY219" s="20"/>
      <c r="KZ219" s="29">
        <v>152</v>
      </c>
      <c r="LA219" s="1504">
        <v>41122</v>
      </c>
      <c r="LB219" s="19">
        <v>510</v>
      </c>
      <c r="LC219" s="93">
        <v>740</v>
      </c>
      <c r="LD219" s="93">
        <v>732</v>
      </c>
      <c r="LE219" s="93"/>
      <c r="LF219" s="93">
        <v>656</v>
      </c>
      <c r="LG219" s="93"/>
      <c r="LH219" s="20"/>
      <c r="LI219" s="29">
        <v>152</v>
      </c>
      <c r="LJ219" s="19"/>
      <c r="LK219" s="93"/>
      <c r="LL219" s="93"/>
      <c r="LM219" s="93"/>
      <c r="LN219" s="93"/>
      <c r="LO219" s="20"/>
      <c r="LP219" s="29">
        <v>152</v>
      </c>
      <c r="LQ219" s="19"/>
      <c r="LR219" s="93"/>
      <c r="LS219" s="93"/>
      <c r="LT219" s="93"/>
      <c r="LU219" s="93"/>
      <c r="LV219" s="93"/>
      <c r="LW219" s="93"/>
      <c r="LX219" s="93"/>
      <c r="LY219" s="93"/>
      <c r="LZ219" s="93"/>
      <c r="MA219" s="20"/>
      <c r="MB219" s="29">
        <v>152</v>
      </c>
      <c r="MC219" s="1504">
        <v>41122</v>
      </c>
      <c r="MD219" s="19">
        <v>108949.22545682502</v>
      </c>
      <c r="ME219" s="93">
        <v>72203.396305000002</v>
      </c>
      <c r="MF219" s="93">
        <v>72203.365305000014</v>
      </c>
      <c r="MG219" s="93">
        <v>62921.649638999996</v>
      </c>
      <c r="MH219" s="93">
        <v>13346.209214999999</v>
      </c>
      <c r="MI219" s="93">
        <v>459.91079300000001</v>
      </c>
      <c r="MJ219" s="93">
        <v>455.57559699999996</v>
      </c>
      <c r="MK219" s="93">
        <v>34833.729806999996</v>
      </c>
      <c r="ML219" s="93">
        <v>13139.435771000002</v>
      </c>
      <c r="MM219" s="93">
        <v>686.78845599999988</v>
      </c>
      <c r="MN219" s="93">
        <v>9281.7156660000019</v>
      </c>
      <c r="MO219" s="93">
        <v>312.20216499999998</v>
      </c>
      <c r="MP219" s="93">
        <v>4386.37518</v>
      </c>
      <c r="MQ219" s="93">
        <v>105.50205900000016</v>
      </c>
      <c r="MR219" s="93">
        <v>655.3394229999999</v>
      </c>
      <c r="MS219" s="93">
        <v>3822.2968390000015</v>
      </c>
      <c r="MT219" s="93">
        <v>3.1E-2</v>
      </c>
      <c r="MU219" s="93">
        <v>36745.829151825004</v>
      </c>
      <c r="MV219" s="93">
        <v>2924.7776169999997</v>
      </c>
      <c r="MW219" s="93">
        <v>33821.051534825005</v>
      </c>
      <c r="MX219" s="93">
        <v>106999.87400549998</v>
      </c>
      <c r="MY219" s="93">
        <v>107075.82728649997</v>
      </c>
      <c r="MZ219" s="93">
        <v>72385.579133499981</v>
      </c>
      <c r="NA219" s="93">
        <v>33457.629249999998</v>
      </c>
      <c r="NB219" s="93">
        <v>5457.5857250000017</v>
      </c>
      <c r="NC219" s="93">
        <v>1232.6480759999999</v>
      </c>
      <c r="ND219" s="93">
        <v>13.807568999999999</v>
      </c>
      <c r="NE219" s="93">
        <v>1218.8405069999999</v>
      </c>
      <c r="NF219" s="93">
        <v>32237.716082499988</v>
      </c>
      <c r="NG219" s="93">
        <v>0</v>
      </c>
      <c r="NH219" s="93">
        <v>5343.5961319999997</v>
      </c>
      <c r="NI219" s="93">
        <v>1214.472078</v>
      </c>
      <c r="NJ219" s="93">
        <v>3195.557022</v>
      </c>
      <c r="NK219" s="93">
        <v>34690.248152999993</v>
      </c>
      <c r="NL219" s="93">
        <v>25481.550935999989</v>
      </c>
      <c r="NM219" s="93">
        <v>0</v>
      </c>
      <c r="NN219" s="93">
        <v>9208.6972170000008</v>
      </c>
      <c r="NO219" s="93">
        <v>-75.953281000003216</v>
      </c>
      <c r="NP219" s="93">
        <v>1949.3514513250441</v>
      </c>
      <c r="NQ219" s="93">
        <v>-34796.477700499963</v>
      </c>
      <c r="NR219" s="93">
        <v>-24355.132407499968</v>
      </c>
      <c r="NS219" s="93">
        <v>-25587.780483499973</v>
      </c>
      <c r="NT219" s="93">
        <v>17857.848628325075</v>
      </c>
      <c r="NU219" s="93">
        <v>-18887.980523499937</v>
      </c>
      <c r="NV219" s="93">
        <v>-7575.2608760000066</v>
      </c>
      <c r="NW219" s="93">
        <v>4448.0878000000002</v>
      </c>
      <c r="NX219" s="93">
        <v>6283.9195999999993</v>
      </c>
      <c r="NY219" s="93">
        <v>-1835.8317999999997</v>
      </c>
      <c r="NZ219" s="93">
        <v>0</v>
      </c>
      <c r="OA219" s="93">
        <v>-12023.348676000007</v>
      </c>
      <c r="OB219" s="93">
        <v>-11876.764814000007</v>
      </c>
      <c r="OC219" s="93">
        <v>-146.58386199999998</v>
      </c>
      <c r="OD219" s="20">
        <v>0</v>
      </c>
      <c r="OE219" s="29">
        <v>152</v>
      </c>
      <c r="OF219" s="1504">
        <v>41122</v>
      </c>
      <c r="OG219" s="19"/>
      <c r="OH219" s="93">
        <v>198.30019999999999</v>
      </c>
      <c r="OI219" s="93">
        <v>705.72863614527432</v>
      </c>
      <c r="OJ219" s="93">
        <v>0.67290621499999992</v>
      </c>
      <c r="OK219" s="93">
        <v>623.0802299302743</v>
      </c>
      <c r="OL219" s="93">
        <v>81.975499999999997</v>
      </c>
      <c r="OM219" s="93">
        <v>904.02883614527434</v>
      </c>
      <c r="ON219" s="93">
        <v>672.77535642972771</v>
      </c>
      <c r="OO219" s="93">
        <v>1576.8041925750022</v>
      </c>
      <c r="OP219" s="93"/>
      <c r="OQ219" s="93">
        <v>768.3591219694365</v>
      </c>
      <c r="OR219" s="93">
        <v>222.32194975699997</v>
      </c>
      <c r="OS219" s="93">
        <v>546.03717221243653</v>
      </c>
      <c r="OT219" s="93">
        <v>1050.2230924545656</v>
      </c>
      <c r="OU219" s="93">
        <v>-83.765504888999999</v>
      </c>
      <c r="OV219" s="93">
        <v>-59.570504889000013</v>
      </c>
      <c r="OW219" s="93">
        <v>-24.194999999999993</v>
      </c>
      <c r="OX219" s="93">
        <v>1133.9885973435655</v>
      </c>
      <c r="OY219" s="93">
        <v>4.7731831959999997</v>
      </c>
      <c r="OZ219" s="93">
        <v>1129.2154141475655</v>
      </c>
      <c r="PA219" s="93">
        <v>255.37965196499999</v>
      </c>
      <c r="PB219" s="93">
        <v>-13.601630116000024</v>
      </c>
      <c r="PC219" s="20">
        <v>1576.8041925750022</v>
      </c>
      <c r="PD219" s="29">
        <v>152</v>
      </c>
      <c r="PE219" s="19"/>
      <c r="PF219" s="93">
        <v>222.32194975699997</v>
      </c>
      <c r="PG219" s="93">
        <v>479.75313149999999</v>
      </c>
      <c r="PH219" s="93">
        <v>257.43118174300002</v>
      </c>
      <c r="PI219" s="93">
        <v>189.93</v>
      </c>
      <c r="PJ219" s="93">
        <v>-55.811704889000012</v>
      </c>
      <c r="PK219" s="93">
        <v>127.890101702</v>
      </c>
      <c r="PL219" s="93">
        <v>183.70180659100001</v>
      </c>
      <c r="PM219" s="93">
        <v>4.7731831959999997</v>
      </c>
      <c r="PN219" s="93">
        <v>1.06</v>
      </c>
      <c r="PO219" s="93">
        <v>0</v>
      </c>
      <c r="PP219" s="93">
        <v>7.1078700000000005E-4</v>
      </c>
      <c r="PQ219" s="93">
        <v>3.7124724090000001</v>
      </c>
      <c r="PR219" s="93">
        <v>360.22269976799998</v>
      </c>
      <c r="PS219" s="93">
        <v>241.07900000000001</v>
      </c>
      <c r="PT219" s="93">
        <v>118.47079355299999</v>
      </c>
      <c r="PU219" s="93">
        <v>0.67290621499999992</v>
      </c>
      <c r="PV219" s="93">
        <v>0</v>
      </c>
      <c r="PW219" s="93">
        <v>0.59845277500000005</v>
      </c>
      <c r="PX219" s="93">
        <v>0</v>
      </c>
      <c r="PY219" s="93">
        <v>0</v>
      </c>
      <c r="PZ219" s="93">
        <v>0.59845277500000005</v>
      </c>
      <c r="QA219" s="93">
        <v>0</v>
      </c>
      <c r="QB219" s="93">
        <v>0</v>
      </c>
      <c r="QC219" s="93">
        <v>0</v>
      </c>
      <c r="QD219" s="93">
        <v>0.48419919</v>
      </c>
      <c r="QE219" s="20">
        <v>-9.1923669000004232E-2</v>
      </c>
      <c r="QF219" s="1739">
        <v>152</v>
      </c>
      <c r="QG219" s="19"/>
      <c r="QH219" s="1035">
        <v>546.03717221243653</v>
      </c>
      <c r="QI219" s="1035">
        <v>662.13258585243454</v>
      </c>
      <c r="QJ219" s="1035">
        <v>-116.09541363999797</v>
      </c>
      <c r="QK219" s="1035">
        <v>145.68</v>
      </c>
      <c r="QL219" s="1035">
        <v>39.020000000000003</v>
      </c>
      <c r="QM219" s="1035">
        <v>106.66</v>
      </c>
      <c r="QN219" s="1035">
        <v>0</v>
      </c>
      <c r="QO219" s="1035">
        <v>-24.194999999999993</v>
      </c>
      <c r="QP219" s="1035">
        <v>132.66200000000001</v>
      </c>
      <c r="QQ219" s="1035">
        <v>-156.857</v>
      </c>
      <c r="QR219" s="1035">
        <v>1129.2154141475655</v>
      </c>
      <c r="QS219" s="1035">
        <v>12.603696020180049</v>
      </c>
      <c r="QT219" s="1035">
        <v>0</v>
      </c>
      <c r="QU219" s="1035">
        <v>144.691</v>
      </c>
      <c r="QV219" s="1035">
        <v>971.9207181273855</v>
      </c>
      <c r="QW219" s="93"/>
      <c r="QX219" s="93">
        <v>186.13200000000001</v>
      </c>
      <c r="QY219" s="93">
        <v>623.0802299302743</v>
      </c>
      <c r="QZ219" s="93">
        <v>672.77535642972771</v>
      </c>
      <c r="RA219" s="93">
        <v>0</v>
      </c>
      <c r="RB219" s="93">
        <v>39.518000000000001</v>
      </c>
      <c r="RC219" s="93">
        <v>5.6579999999999995</v>
      </c>
      <c r="RD219" s="93">
        <v>8.359</v>
      </c>
      <c r="RE219" s="93">
        <v>0</v>
      </c>
      <c r="RF219" s="93">
        <v>0</v>
      </c>
      <c r="RG219" s="93">
        <v>200.762</v>
      </c>
      <c r="RH219" s="93">
        <v>60.452999999999989</v>
      </c>
      <c r="RI219" s="93"/>
      <c r="RJ219" s="93"/>
      <c r="RK219" s="93"/>
      <c r="RL219" s="93"/>
      <c r="RM219" s="734"/>
      <c r="RN219" s="29">
        <v>152</v>
      </c>
      <c r="RO219" s="19">
        <v>49</v>
      </c>
      <c r="RP219" s="20"/>
      <c r="RQ219" s="29">
        <v>152</v>
      </c>
      <c r="RR219" s="734">
        <v>2.5190206499999999</v>
      </c>
      <c r="RS219" s="29">
        <v>152</v>
      </c>
      <c r="RT219" s="1504">
        <v>41122</v>
      </c>
      <c r="RU219" s="19"/>
      <c r="RV219" s="20"/>
      <c r="RW219" s="29">
        <v>152</v>
      </c>
      <c r="RX219" s="1504">
        <v>41122</v>
      </c>
      <c r="RY219" s="29"/>
      <c r="RZ219" s="734"/>
      <c r="SA219" s="29"/>
      <c r="SB219" s="29">
        <v>152</v>
      </c>
    </row>
    <row r="220" spans="1:496">
      <c r="A220" s="41">
        <f t="shared" si="208"/>
        <v>2012</v>
      </c>
      <c r="B220" s="1504">
        <v>41153</v>
      </c>
      <c r="C220" s="1813"/>
      <c r="D220" s="1814"/>
      <c r="E220" s="1814"/>
      <c r="F220" s="1815"/>
      <c r="G220" s="1814"/>
      <c r="H220" s="1814"/>
      <c r="I220" s="1814"/>
      <c r="J220" s="1816"/>
      <c r="K220" s="1807"/>
      <c r="L220" s="25">
        <v>153</v>
      </c>
      <c r="M220" s="97"/>
      <c r="N220" s="1504">
        <v>41153</v>
      </c>
      <c r="O220" s="19"/>
      <c r="P220" s="93"/>
      <c r="Q220" s="93"/>
      <c r="R220" s="93"/>
      <c r="S220" s="93"/>
      <c r="T220" s="93"/>
      <c r="U220" s="93"/>
      <c r="V220" s="93"/>
      <c r="W220" s="93"/>
      <c r="X220" s="93"/>
      <c r="Y220" s="93"/>
      <c r="Z220" s="93"/>
      <c r="AA220" s="93"/>
      <c r="AB220" s="20"/>
      <c r="AC220" s="25">
        <v>153</v>
      </c>
      <c r="AD220" s="97"/>
      <c r="AE220" s="1504">
        <v>41153</v>
      </c>
      <c r="AF220" s="19"/>
      <c r="AG220" s="93"/>
      <c r="AH220" s="93"/>
      <c r="AI220" s="93"/>
      <c r="AJ220" s="93"/>
      <c r="AK220" s="93"/>
      <c r="AL220" s="93"/>
      <c r="AM220" s="93"/>
      <c r="AN220" s="93"/>
      <c r="AO220" s="93"/>
      <c r="AP220" s="93"/>
      <c r="AQ220" s="93"/>
      <c r="AR220" s="93"/>
      <c r="AS220" s="20"/>
      <c r="AT220" s="25">
        <v>153</v>
      </c>
      <c r="AU220" s="97"/>
      <c r="AV220" s="1504">
        <v>41153</v>
      </c>
      <c r="AW220" s="19"/>
      <c r="AX220" s="93"/>
      <c r="AY220" s="93"/>
      <c r="AZ220" s="93"/>
      <c r="BA220" s="93"/>
      <c r="BB220" s="93"/>
      <c r="BC220" s="93"/>
      <c r="BD220" s="93"/>
      <c r="BE220" s="93"/>
      <c r="BF220" s="93"/>
      <c r="BG220" s="93"/>
      <c r="BH220" s="93"/>
      <c r="BI220" s="93"/>
      <c r="BJ220" s="20"/>
      <c r="BK220" s="25">
        <v>153</v>
      </c>
      <c r="BL220" s="97"/>
      <c r="BM220" s="1504">
        <v>41153</v>
      </c>
      <c r="BN220" s="19"/>
      <c r="BO220" s="93"/>
      <c r="BP220" s="93"/>
      <c r="BQ220" s="93"/>
      <c r="BR220" s="93"/>
      <c r="BS220" s="93"/>
      <c r="BT220" s="93"/>
      <c r="BU220" s="20"/>
      <c r="BV220" s="25">
        <v>153</v>
      </c>
      <c r="BW220" s="97"/>
      <c r="BX220" s="1504">
        <v>41153</v>
      </c>
      <c r="BY220" s="179">
        <v>510.24927158999998</v>
      </c>
      <c r="BZ220" s="99">
        <v>664.95699999999999</v>
      </c>
      <c r="CA220" s="93"/>
      <c r="CB220" s="93"/>
      <c r="CC220" s="99">
        <v>267.34104357346695</v>
      </c>
      <c r="CD220" s="25">
        <v>153</v>
      </c>
      <c r="CE220" s="97"/>
      <c r="CF220" s="1504">
        <v>41153</v>
      </c>
      <c r="CG220" s="179">
        <v>1.8551877299999999</v>
      </c>
      <c r="CH220" s="99">
        <v>1744.81</v>
      </c>
      <c r="CI220" s="219"/>
      <c r="CJ220" s="20"/>
      <c r="CK220" s="19"/>
      <c r="CL220" s="93"/>
      <c r="CM220" s="93"/>
      <c r="CN220" s="93"/>
      <c r="CO220" s="93"/>
      <c r="CP220" s="20"/>
      <c r="CQ220" s="219">
        <v>2469.1799999999998</v>
      </c>
      <c r="CR220" s="93">
        <v>3.0350000000000001</v>
      </c>
      <c r="CS220" s="93"/>
      <c r="CT220" s="93"/>
      <c r="CU220" s="93"/>
      <c r="CV220" s="214"/>
      <c r="CW220" s="29">
        <v>153</v>
      </c>
      <c r="CX220" s="41">
        <f t="shared" si="209"/>
        <v>2012</v>
      </c>
      <c r="CY220" s="1504">
        <v>41153</v>
      </c>
      <c r="CZ220" s="1916">
        <v>71.695799000000008</v>
      </c>
      <c r="DA220" s="1526">
        <v>46.031943000000005</v>
      </c>
      <c r="DB220" s="1526">
        <v>25.663855999999999</v>
      </c>
      <c r="DC220" s="182">
        <f t="shared" si="213"/>
        <v>436250</v>
      </c>
      <c r="DD220" s="182">
        <f t="shared" si="214"/>
        <v>435032</v>
      </c>
      <c r="DE220" s="182">
        <f t="shared" si="215"/>
        <v>1218</v>
      </c>
      <c r="DF220" s="29">
        <v>153</v>
      </c>
      <c r="DG220" s="1504">
        <v>41153</v>
      </c>
      <c r="DH220" s="19"/>
      <c r="DI220" s="93"/>
      <c r="DJ220" s="93"/>
      <c r="DK220" s="93"/>
      <c r="DL220" s="93"/>
      <c r="DM220" s="93"/>
      <c r="DN220" s="20"/>
      <c r="DO220" s="25"/>
      <c r="DP220" s="29">
        <v>153</v>
      </c>
      <c r="DQ220" s="1504">
        <v>41153</v>
      </c>
      <c r="DR220" s="19"/>
      <c r="DS220" s="93"/>
      <c r="DT220" s="93"/>
      <c r="DU220" s="93"/>
      <c r="DV220" s="93"/>
      <c r="DW220" s="93"/>
      <c r="DX220" s="20"/>
      <c r="DY220" s="29">
        <v>153</v>
      </c>
      <c r="DZ220" s="1504">
        <v>41153</v>
      </c>
      <c r="EA220" s="19"/>
      <c r="EB220" s="93"/>
      <c r="EC220" s="20"/>
      <c r="ED220" s="29">
        <v>153</v>
      </c>
      <c r="EE220" s="1504">
        <v>41153</v>
      </c>
      <c r="EF220" s="19"/>
      <c r="EG220" s="93"/>
      <c r="EH220" s="93"/>
      <c r="EI220" s="214"/>
      <c r="EJ220" s="93"/>
      <c r="EK220" s="93"/>
      <c r="EL220" s="93"/>
      <c r="EM220" s="93"/>
      <c r="EN220" s="20"/>
      <c r="EO220" s="29">
        <v>153</v>
      </c>
      <c r="EP220" s="1504">
        <v>41153</v>
      </c>
      <c r="EQ220" s="19"/>
      <c r="ER220" s="93"/>
      <c r="ES220" s="93"/>
      <c r="ET220" s="214"/>
      <c r="EU220" s="93"/>
      <c r="EV220" s="93"/>
      <c r="EW220" s="93"/>
      <c r="EX220" s="93"/>
      <c r="EY220" s="20"/>
      <c r="EZ220" s="29">
        <v>153</v>
      </c>
      <c r="FA220" s="1504">
        <v>41153</v>
      </c>
      <c r="FB220" s="29"/>
      <c r="FC220" s="29"/>
      <c r="FD220" s="29"/>
      <c r="FE220" s="29"/>
      <c r="FF220" s="29"/>
      <c r="FG220" s="29"/>
      <c r="FH220" s="29"/>
      <c r="FI220" s="29"/>
      <c r="FJ220" s="29"/>
      <c r="FK220" s="29">
        <v>153</v>
      </c>
      <c r="FL220" s="1504">
        <v>41153</v>
      </c>
      <c r="FM220" s="19">
        <v>109.63842557247591</v>
      </c>
      <c r="FN220" s="93">
        <v>123.79824690450558</v>
      </c>
      <c r="FO220" s="93">
        <v>109.00946762770076</v>
      </c>
      <c r="FP220" s="93">
        <v>101.70382314188551</v>
      </c>
      <c r="FQ220" s="93">
        <v>110.25327778779175</v>
      </c>
      <c r="FR220" s="93">
        <v>98.387014671002092</v>
      </c>
      <c r="FS220" s="93">
        <v>100.50795562364824</v>
      </c>
      <c r="FT220" s="93">
        <v>105.46150960511744</v>
      </c>
      <c r="FU220" s="93">
        <v>63.37681419809072</v>
      </c>
      <c r="FV220" s="93">
        <v>98.081045106396758</v>
      </c>
      <c r="FW220" s="93">
        <v>102.49285068203132</v>
      </c>
      <c r="FX220" s="93">
        <v>115.38393932580405</v>
      </c>
      <c r="FY220" s="93">
        <v>103.56277019042376</v>
      </c>
      <c r="FZ220" s="29">
        <v>153</v>
      </c>
      <c r="GA220" s="1504">
        <v>41153</v>
      </c>
      <c r="GB220" s="733">
        <v>109.63842557247591</v>
      </c>
      <c r="GC220" s="570">
        <v>105.98941041875116</v>
      </c>
      <c r="GD220" s="570">
        <v>111.99079018750204</v>
      </c>
      <c r="GE220" s="570">
        <v>110.5933321271301</v>
      </c>
      <c r="GF220" s="570">
        <v>125.67312009024215</v>
      </c>
      <c r="GG220" s="570">
        <v>103.77419150874806</v>
      </c>
      <c r="GH220" s="93"/>
      <c r="GI220" s="93"/>
      <c r="GJ220" s="93"/>
      <c r="GK220" s="93"/>
      <c r="GL220" s="93"/>
      <c r="GM220" s="93"/>
      <c r="GN220" s="20"/>
      <c r="GO220" s="29">
        <v>153</v>
      </c>
      <c r="GP220" s="1504">
        <v>41153</v>
      </c>
      <c r="GQ220" s="19"/>
      <c r="GR220" s="93"/>
      <c r="GS220" s="93"/>
      <c r="GT220" s="93"/>
      <c r="GU220" s="93"/>
      <c r="GV220" s="20"/>
      <c r="GW220" s="19"/>
      <c r="GX220" s="93"/>
      <c r="GY220" s="93"/>
      <c r="GZ220" s="93"/>
      <c r="HA220" s="93"/>
      <c r="HB220" s="20"/>
      <c r="HC220" s="19"/>
      <c r="HD220" s="93"/>
      <c r="HE220" s="93"/>
      <c r="HF220" s="93"/>
      <c r="HG220" s="93"/>
      <c r="HH220" s="20"/>
      <c r="HI220" s="19"/>
      <c r="HJ220" s="93"/>
      <c r="HK220" s="93"/>
      <c r="HL220" s="93"/>
      <c r="HM220" s="93"/>
      <c r="HN220" s="20"/>
      <c r="HO220" s="219"/>
      <c r="HP220" s="20"/>
      <c r="HQ220" s="25"/>
      <c r="HR220" s="29">
        <v>153</v>
      </c>
      <c r="HS220" s="1504">
        <v>41153</v>
      </c>
      <c r="HT220" s="179">
        <v>306.69772644042968</v>
      </c>
      <c r="HU220" s="99">
        <v>302.08333969116211</v>
      </c>
      <c r="HV220" s="99">
        <v>239.9999969482422</v>
      </c>
      <c r="HW220" s="99">
        <v>242.71846008300781</v>
      </c>
      <c r="HX220" s="99">
        <v>283.33334350585938</v>
      </c>
      <c r="HY220" s="99">
        <v>303.69242858886719</v>
      </c>
      <c r="HZ220" s="99">
        <v>305.62265014648438</v>
      </c>
      <c r="IA220" s="132">
        <v>225.80645751953125</v>
      </c>
      <c r="IB220" s="179">
        <v>274.68660926818848</v>
      </c>
      <c r="IC220" s="99">
        <v>240</v>
      </c>
      <c r="ID220" s="99">
        <v>244.04762268066406</v>
      </c>
      <c r="IE220" s="99">
        <v>192.92605590820313</v>
      </c>
      <c r="IF220" s="99">
        <v>249.52076416015626</v>
      </c>
      <c r="IG220" s="132">
        <v>251.38888931274414</v>
      </c>
      <c r="IH220" s="179">
        <v>186.46967010498048</v>
      </c>
      <c r="II220" s="99">
        <v>222.71192932128906</v>
      </c>
      <c r="IJ220" s="99">
        <v>206.08107604980469</v>
      </c>
      <c r="IK220" s="99">
        <v>212.54512786865234</v>
      </c>
      <c r="IL220" s="99">
        <v>200.92592620849609</v>
      </c>
      <c r="IM220" s="99">
        <v>188.30645751953125</v>
      </c>
      <c r="IN220" s="93"/>
      <c r="IO220" s="132">
        <v>207.92079467773436</v>
      </c>
      <c r="IP220" s="29">
        <v>153</v>
      </c>
      <c r="IQ220" s="19"/>
      <c r="IR220" s="93"/>
      <c r="IS220" s="93"/>
      <c r="IT220" s="93"/>
      <c r="IU220" s="93"/>
      <c r="IV220" s="20"/>
      <c r="IW220" s="29">
        <v>153</v>
      </c>
      <c r="IX220" s="19"/>
      <c r="IY220" s="93"/>
      <c r="IZ220" s="93"/>
      <c r="JA220" s="93"/>
      <c r="JB220" s="93"/>
      <c r="JC220" s="93"/>
      <c r="JD220" s="93"/>
      <c r="JE220" s="20"/>
      <c r="JF220" s="29">
        <v>153</v>
      </c>
      <c r="JG220" s="19"/>
      <c r="JH220" s="93"/>
      <c r="JI220" s="93"/>
      <c r="JJ220" s="93"/>
      <c r="JK220" s="93"/>
      <c r="JL220" s="93"/>
      <c r="JM220" s="93"/>
      <c r="JN220" s="20"/>
      <c r="JO220" s="29">
        <v>153</v>
      </c>
      <c r="JP220" s="19"/>
      <c r="JQ220" s="93"/>
      <c r="JR220" s="93"/>
      <c r="JS220" s="93"/>
      <c r="JT220" s="93"/>
      <c r="JU220" s="20"/>
      <c r="JV220" s="29">
        <v>153</v>
      </c>
      <c r="JW220" s="1504">
        <v>41153</v>
      </c>
      <c r="JX220" s="19"/>
      <c r="JY220" s="93"/>
      <c r="JZ220" s="93"/>
      <c r="KA220" s="93"/>
      <c r="KB220" s="93"/>
      <c r="KC220" s="93"/>
      <c r="KD220" s="20"/>
      <c r="KE220" s="29">
        <v>153</v>
      </c>
      <c r="KF220" s="19"/>
      <c r="KG220" s="93"/>
      <c r="KH220" s="93"/>
      <c r="KI220" s="93"/>
      <c r="KJ220" s="93"/>
      <c r="KK220" s="20"/>
      <c r="KL220" s="29">
        <v>153</v>
      </c>
      <c r="KM220" s="19"/>
      <c r="KN220" s="93"/>
      <c r="KO220" s="93"/>
      <c r="KP220" s="93"/>
      <c r="KQ220" s="93"/>
      <c r="KR220" s="20"/>
      <c r="KS220" s="29">
        <v>153</v>
      </c>
      <c r="KT220" s="19"/>
      <c r="KU220" s="93"/>
      <c r="KV220" s="93"/>
      <c r="KW220" s="93"/>
      <c r="KX220" s="93"/>
      <c r="KY220" s="20"/>
      <c r="KZ220" s="29">
        <v>153</v>
      </c>
      <c r="LA220" s="1504">
        <v>41153</v>
      </c>
      <c r="LB220" s="19">
        <v>510</v>
      </c>
      <c r="LC220" s="93">
        <v>740</v>
      </c>
      <c r="LD220" s="93">
        <v>732</v>
      </c>
      <c r="LE220" s="93"/>
      <c r="LF220" s="93">
        <v>656</v>
      </c>
      <c r="LG220" s="93"/>
      <c r="LH220" s="20"/>
      <c r="LI220" s="29">
        <v>153</v>
      </c>
      <c r="LJ220" s="19"/>
      <c r="LK220" s="93"/>
      <c r="LL220" s="93"/>
      <c r="LM220" s="93"/>
      <c r="LN220" s="93"/>
      <c r="LO220" s="20"/>
      <c r="LP220" s="29">
        <v>153</v>
      </c>
      <c r="LQ220" s="19"/>
      <c r="LR220" s="93"/>
      <c r="LS220" s="93"/>
      <c r="LT220" s="93"/>
      <c r="LU220" s="93"/>
      <c r="LV220" s="93"/>
      <c r="LW220" s="93"/>
      <c r="LX220" s="93"/>
      <c r="LY220" s="93"/>
      <c r="LZ220" s="93"/>
      <c r="MA220" s="20"/>
      <c r="MB220" s="29">
        <v>153</v>
      </c>
      <c r="MC220" s="1504">
        <v>41153</v>
      </c>
      <c r="MD220" s="19">
        <v>100014.10724200001</v>
      </c>
      <c r="ME220" s="93">
        <v>72165.466027000017</v>
      </c>
      <c r="MF220" s="93">
        <v>72165.441027000008</v>
      </c>
      <c r="MG220" s="93">
        <v>59845.395322000004</v>
      </c>
      <c r="MH220" s="93">
        <v>12406.711176999999</v>
      </c>
      <c r="MI220" s="93">
        <v>446.97766200000001</v>
      </c>
      <c r="MJ220" s="93">
        <v>491.89526699999999</v>
      </c>
      <c r="MK220" s="93">
        <v>34342.748008000002</v>
      </c>
      <c r="ML220" s="93">
        <v>11573.540335</v>
      </c>
      <c r="MM220" s="93">
        <v>583.522873</v>
      </c>
      <c r="MN220" s="93">
        <v>12320.045704999999</v>
      </c>
      <c r="MO220" s="93">
        <v>286.97764200000012</v>
      </c>
      <c r="MP220" s="93">
        <v>2361.3559120000004</v>
      </c>
      <c r="MQ220" s="93">
        <v>164.06638599999994</v>
      </c>
      <c r="MR220" s="93">
        <v>4945.9795019999974</v>
      </c>
      <c r="MS220" s="93">
        <v>4561.6662630000001</v>
      </c>
      <c r="MT220" s="93">
        <v>2.5000000000000001E-2</v>
      </c>
      <c r="MU220" s="93">
        <v>27848.641215000003</v>
      </c>
      <c r="MV220" s="93">
        <v>5857.2119570000004</v>
      </c>
      <c r="MW220" s="93">
        <v>21991.429258</v>
      </c>
      <c r="MX220" s="93">
        <v>110562.56210908334</v>
      </c>
      <c r="MY220" s="93">
        <v>112757.00619608334</v>
      </c>
      <c r="MZ220" s="93">
        <v>72942.895875083326</v>
      </c>
      <c r="NA220" s="93">
        <v>35215.779510666667</v>
      </c>
      <c r="NB220" s="93">
        <v>10178.967291916668</v>
      </c>
      <c r="NC220" s="93">
        <v>12719.323177</v>
      </c>
      <c r="ND220" s="93">
        <v>12083.447222000001</v>
      </c>
      <c r="NE220" s="93">
        <v>635.87595500000009</v>
      </c>
      <c r="NF220" s="93">
        <v>14828.825895499996</v>
      </c>
      <c r="NG220" s="93">
        <v>0</v>
      </c>
      <c r="NH220" s="93">
        <v>5335.0158860000001</v>
      </c>
      <c r="NI220" s="93">
        <v>0</v>
      </c>
      <c r="NJ220" s="93">
        <v>0</v>
      </c>
      <c r="NK220" s="93">
        <v>39814.110321</v>
      </c>
      <c r="NL220" s="93">
        <v>26909.955574</v>
      </c>
      <c r="NM220" s="93">
        <v>212</v>
      </c>
      <c r="NN220" s="93">
        <v>12692.154747</v>
      </c>
      <c r="NO220" s="93">
        <v>-2194.4440870000003</v>
      </c>
      <c r="NP220" s="93">
        <v>-10548.454867083326</v>
      </c>
      <c r="NQ220" s="93">
        <v>-38397.096082083328</v>
      </c>
      <c r="NR220" s="93">
        <v>-12985.61815808332</v>
      </c>
      <c r="NS220" s="93">
        <v>-25704.941335083335</v>
      </c>
      <c r="NT220" s="93">
        <v>-17917.331569083311</v>
      </c>
      <c r="NU220" s="93">
        <v>-45765.972784083315</v>
      </c>
      <c r="NV220" s="93">
        <v>19734.657992000008</v>
      </c>
      <c r="NW220" s="93">
        <v>6736.8486060000005</v>
      </c>
      <c r="NX220" s="93">
        <v>6834.942790000001</v>
      </c>
      <c r="NY220" s="93">
        <v>-98.09418400000007</v>
      </c>
      <c r="NZ220" s="93">
        <v>0</v>
      </c>
      <c r="OA220" s="93">
        <v>12997.809386000008</v>
      </c>
      <c r="OB220" s="93">
        <v>29802.763441000006</v>
      </c>
      <c r="OC220" s="93">
        <v>-16804.954054999998</v>
      </c>
      <c r="OD220" s="20">
        <v>0</v>
      </c>
      <c r="OE220" s="29">
        <v>153</v>
      </c>
      <c r="OF220" s="1504">
        <v>41153</v>
      </c>
      <c r="OG220" s="19"/>
      <c r="OH220" s="93">
        <v>197.16140000000001</v>
      </c>
      <c r="OI220" s="93">
        <v>714.88942815780786</v>
      </c>
      <c r="OJ220" s="93">
        <v>0.59321761200000001</v>
      </c>
      <c r="OK220" s="93">
        <v>632.32071054580786</v>
      </c>
      <c r="OL220" s="93">
        <v>81.975499999999997</v>
      </c>
      <c r="OM220" s="93">
        <v>912.05082815780793</v>
      </c>
      <c r="ON220" s="93">
        <v>671.32275579604334</v>
      </c>
      <c r="OO220" s="93">
        <v>1583.3735839538513</v>
      </c>
      <c r="OP220" s="93"/>
      <c r="OQ220" s="93">
        <v>730.1870679494051</v>
      </c>
      <c r="OR220" s="93">
        <v>212.49327775899997</v>
      </c>
      <c r="OS220" s="93">
        <v>517.69379019040514</v>
      </c>
      <c r="OT220" s="93">
        <v>1068.1324989844461</v>
      </c>
      <c r="OU220" s="93">
        <v>-100.73073798800002</v>
      </c>
      <c r="OV220" s="93">
        <v>-54.889737988000007</v>
      </c>
      <c r="OW220" s="93">
        <v>-45.841000000000008</v>
      </c>
      <c r="OX220" s="93">
        <v>1168.8632369724462</v>
      </c>
      <c r="OY220" s="93">
        <v>4.7545608210000001</v>
      </c>
      <c r="OZ220" s="93">
        <v>1164.1086761514462</v>
      </c>
      <c r="PA220" s="93">
        <v>256.479317627</v>
      </c>
      <c r="PB220" s="93">
        <v>-41.533334646999911</v>
      </c>
      <c r="PC220" s="20">
        <v>1583.373583953851</v>
      </c>
      <c r="PD220" s="29">
        <v>153</v>
      </c>
      <c r="PE220" s="19"/>
      <c r="PF220" s="93">
        <v>212.49327775899997</v>
      </c>
      <c r="PG220" s="93">
        <v>465.62314536599996</v>
      </c>
      <c r="PH220" s="93">
        <v>253.12986760699999</v>
      </c>
      <c r="PI220" s="93">
        <v>183.15799999999999</v>
      </c>
      <c r="PJ220" s="93">
        <v>-50.614837988000005</v>
      </c>
      <c r="PK220" s="93">
        <v>126.64131326099999</v>
      </c>
      <c r="PL220" s="93">
        <v>177.256151249</v>
      </c>
      <c r="PM220" s="93">
        <v>4.7545608210000001</v>
      </c>
      <c r="PN220" s="93">
        <v>1.06</v>
      </c>
      <c r="PO220" s="93">
        <v>0</v>
      </c>
      <c r="PP220" s="93">
        <v>9.54552E-4</v>
      </c>
      <c r="PQ220" s="93">
        <v>3.693606269</v>
      </c>
      <c r="PR220" s="93">
        <v>346.08073190900001</v>
      </c>
      <c r="PS220" s="93">
        <v>237.5163</v>
      </c>
      <c r="PT220" s="93">
        <v>107.971214297</v>
      </c>
      <c r="PU220" s="93">
        <v>0.59321761200000001</v>
      </c>
      <c r="PV220" s="93">
        <v>0</v>
      </c>
      <c r="PW220" s="93">
        <v>0.35480282299999999</v>
      </c>
      <c r="PX220" s="93">
        <v>0</v>
      </c>
      <c r="PY220" s="93">
        <v>0</v>
      </c>
      <c r="PZ220" s="93">
        <v>0.35480282299999999</v>
      </c>
      <c r="QA220" s="93">
        <v>0</v>
      </c>
      <c r="QB220" s="93">
        <v>0</v>
      </c>
      <c r="QC220" s="93">
        <v>0</v>
      </c>
      <c r="QD220" s="93">
        <v>0.47851480400000002</v>
      </c>
      <c r="QE220" s="20">
        <v>2.8769510560000304</v>
      </c>
      <c r="QF220" s="1739">
        <v>153</v>
      </c>
      <c r="QG220" s="19"/>
      <c r="QH220" s="1035">
        <v>517.69379019040514</v>
      </c>
      <c r="QI220" s="1035">
        <v>629.75532384855387</v>
      </c>
      <c r="QJ220" s="1035">
        <v>-112.06153365814876</v>
      </c>
      <c r="QK220" s="1035">
        <v>141.38900000000001</v>
      </c>
      <c r="QL220" s="1035">
        <v>36.08</v>
      </c>
      <c r="QM220" s="1035">
        <v>105.309</v>
      </c>
      <c r="QN220" s="1035">
        <v>0</v>
      </c>
      <c r="QO220" s="1035">
        <v>-45.841000000000008</v>
      </c>
      <c r="QP220" s="1035">
        <v>114.369</v>
      </c>
      <c r="QQ220" s="1035">
        <v>-160.21</v>
      </c>
      <c r="QR220" s="1035">
        <v>1164.1086761514462</v>
      </c>
      <c r="QS220" s="1035">
        <v>13.638482913646421</v>
      </c>
      <c r="QT220" s="1035">
        <v>0</v>
      </c>
      <c r="QU220" s="1035">
        <v>158.26499999999999</v>
      </c>
      <c r="QV220" s="1035">
        <v>992.20519323779968</v>
      </c>
      <c r="QW220" s="93"/>
      <c r="QX220" s="93">
        <v>183.39</v>
      </c>
      <c r="QY220" s="93">
        <v>632.32071054580786</v>
      </c>
      <c r="QZ220" s="93">
        <v>671.32275579604334</v>
      </c>
      <c r="RA220" s="93">
        <v>0</v>
      </c>
      <c r="RB220" s="93">
        <v>36.670999999999999</v>
      </c>
      <c r="RC220" s="93">
        <v>5.6579999999999995</v>
      </c>
      <c r="RD220" s="93">
        <v>8.6589999999999989</v>
      </c>
      <c r="RE220" s="93">
        <v>0</v>
      </c>
      <c r="RF220" s="93">
        <v>0</v>
      </c>
      <c r="RG220" s="93">
        <v>204.65799999999999</v>
      </c>
      <c r="RH220" s="93">
        <v>34.671000000000035</v>
      </c>
      <c r="RI220" s="93"/>
      <c r="RJ220" s="93"/>
      <c r="RK220" s="93"/>
      <c r="RL220" s="93"/>
      <c r="RM220" s="734"/>
      <c r="RN220" s="29">
        <v>153</v>
      </c>
      <c r="RO220" s="19">
        <v>63</v>
      </c>
      <c r="RP220" s="20"/>
      <c r="RQ220" s="29">
        <v>153</v>
      </c>
      <c r="RR220" s="734">
        <v>2.1988209700000003</v>
      </c>
      <c r="RS220" s="29">
        <v>153</v>
      </c>
      <c r="RT220" s="1504">
        <v>41153</v>
      </c>
      <c r="RU220" s="19"/>
      <c r="RV220" s="20"/>
      <c r="RW220" s="29">
        <v>153</v>
      </c>
      <c r="RX220" s="1504">
        <v>41153</v>
      </c>
      <c r="RY220" s="29"/>
      <c r="RZ220" s="734"/>
      <c r="SA220" s="29"/>
      <c r="SB220" s="29">
        <v>153</v>
      </c>
    </row>
    <row r="221" spans="1:496">
      <c r="A221" s="41">
        <f t="shared" si="208"/>
        <v>2012</v>
      </c>
      <c r="B221" s="1504">
        <v>41183</v>
      </c>
      <c r="C221" s="1813"/>
      <c r="D221" s="1814"/>
      <c r="E221" s="1814"/>
      <c r="F221" s="1815"/>
      <c r="G221" s="1814"/>
      <c r="H221" s="1814"/>
      <c r="I221" s="1814"/>
      <c r="J221" s="1816"/>
      <c r="K221" s="1807"/>
      <c r="L221" s="25">
        <v>154</v>
      </c>
      <c r="M221" s="97"/>
      <c r="N221" s="1504">
        <v>41183</v>
      </c>
      <c r="O221" s="19"/>
      <c r="P221" s="93"/>
      <c r="Q221" s="93"/>
      <c r="R221" s="93"/>
      <c r="S221" s="93"/>
      <c r="T221" s="93"/>
      <c r="U221" s="93"/>
      <c r="V221" s="93"/>
      <c r="W221" s="93"/>
      <c r="X221" s="93"/>
      <c r="Y221" s="93"/>
      <c r="Z221" s="93"/>
      <c r="AA221" s="93"/>
      <c r="AB221" s="20"/>
      <c r="AC221" s="25">
        <v>154</v>
      </c>
      <c r="AD221" s="97"/>
      <c r="AE221" s="1504">
        <v>41183</v>
      </c>
      <c r="AF221" s="19"/>
      <c r="AG221" s="93"/>
      <c r="AH221" s="93"/>
      <c r="AI221" s="93"/>
      <c r="AJ221" s="93"/>
      <c r="AK221" s="93"/>
      <c r="AL221" s="93"/>
      <c r="AM221" s="93"/>
      <c r="AN221" s="93"/>
      <c r="AO221" s="93"/>
      <c r="AP221" s="93"/>
      <c r="AQ221" s="93"/>
      <c r="AR221" s="93"/>
      <c r="AS221" s="20"/>
      <c r="AT221" s="25">
        <v>154</v>
      </c>
      <c r="AU221" s="97"/>
      <c r="AV221" s="1504">
        <v>41183</v>
      </c>
      <c r="AW221" s="19"/>
      <c r="AX221" s="93"/>
      <c r="AY221" s="93"/>
      <c r="AZ221" s="93"/>
      <c r="BA221" s="93"/>
      <c r="BB221" s="93"/>
      <c r="BC221" s="93"/>
      <c r="BD221" s="93"/>
      <c r="BE221" s="93"/>
      <c r="BF221" s="93"/>
      <c r="BG221" s="93"/>
      <c r="BH221" s="93"/>
      <c r="BI221" s="93"/>
      <c r="BJ221" s="20"/>
      <c r="BK221" s="25">
        <v>154</v>
      </c>
      <c r="BL221" s="97"/>
      <c r="BM221" s="1504">
        <v>41183</v>
      </c>
      <c r="BN221" s="19"/>
      <c r="BO221" s="93"/>
      <c r="BP221" s="93"/>
      <c r="BQ221" s="93"/>
      <c r="BR221" s="93"/>
      <c r="BS221" s="93"/>
      <c r="BT221" s="93"/>
      <c r="BU221" s="20"/>
      <c r="BV221" s="25">
        <v>154</v>
      </c>
      <c r="BW221" s="97"/>
      <c r="BX221" s="1504">
        <v>41183</v>
      </c>
      <c r="BY221" s="179">
        <v>505.58541731999998</v>
      </c>
      <c r="BZ221" s="99">
        <v>664.95699999999999</v>
      </c>
      <c r="CA221" s="93"/>
      <c r="CB221" s="93"/>
      <c r="CC221" s="99">
        <v>267.18363225988827</v>
      </c>
      <c r="CD221" s="25">
        <v>154</v>
      </c>
      <c r="CE221" s="97"/>
      <c r="CF221" s="1504">
        <v>41183</v>
      </c>
      <c r="CG221" s="179">
        <v>1.8066860899999999</v>
      </c>
      <c r="CH221" s="99">
        <v>1746.58</v>
      </c>
      <c r="CI221" s="219"/>
      <c r="CJ221" s="20"/>
      <c r="CK221" s="19"/>
      <c r="CL221" s="93"/>
      <c r="CM221" s="93"/>
      <c r="CN221" s="93"/>
      <c r="CO221" s="93"/>
      <c r="CP221" s="20"/>
      <c r="CQ221" s="219">
        <v>2469.1799999999998</v>
      </c>
      <c r="CR221" s="93">
        <v>2.88</v>
      </c>
      <c r="CS221" s="93"/>
      <c r="CT221" s="93"/>
      <c r="CU221" s="93"/>
      <c r="CV221" s="214"/>
      <c r="CW221" s="29">
        <v>154</v>
      </c>
      <c r="CX221" s="41">
        <f t="shared" si="209"/>
        <v>2012</v>
      </c>
      <c r="CY221" s="1504">
        <v>41183</v>
      </c>
      <c r="CZ221" s="1916">
        <v>78.787595999999994</v>
      </c>
      <c r="DA221" s="1526">
        <v>51.450775999999998</v>
      </c>
      <c r="DB221" s="1526">
        <v>27.336819999999999</v>
      </c>
      <c r="DC221" s="182">
        <f t="shared" si="213"/>
        <v>436250</v>
      </c>
      <c r="DD221" s="182">
        <f t="shared" si="214"/>
        <v>435032</v>
      </c>
      <c r="DE221" s="182">
        <f t="shared" si="215"/>
        <v>1218</v>
      </c>
      <c r="DF221" s="29">
        <v>154</v>
      </c>
      <c r="DG221" s="1504">
        <v>41183</v>
      </c>
      <c r="DH221" s="19"/>
      <c r="DI221" s="93"/>
      <c r="DJ221" s="93"/>
      <c r="DK221" s="93"/>
      <c r="DL221" s="93"/>
      <c r="DM221" s="93"/>
      <c r="DN221" s="20"/>
      <c r="DO221" s="25"/>
      <c r="DP221" s="29">
        <v>154</v>
      </c>
      <c r="DQ221" s="1504">
        <v>41183</v>
      </c>
      <c r="DR221" s="19"/>
      <c r="DS221" s="93"/>
      <c r="DT221" s="93"/>
      <c r="DU221" s="93"/>
      <c r="DV221" s="93"/>
      <c r="DW221" s="93"/>
      <c r="DX221" s="20"/>
      <c r="DY221" s="29">
        <v>154</v>
      </c>
      <c r="DZ221" s="1504">
        <v>41183</v>
      </c>
      <c r="EA221" s="19"/>
      <c r="EB221" s="93"/>
      <c r="EC221" s="20"/>
      <c r="ED221" s="29">
        <v>154</v>
      </c>
      <c r="EE221" s="1504">
        <v>41183</v>
      </c>
      <c r="EF221" s="19"/>
      <c r="EG221" s="93"/>
      <c r="EH221" s="93"/>
      <c r="EI221" s="214"/>
      <c r="EJ221" s="93"/>
      <c r="EK221" s="93"/>
      <c r="EL221" s="93"/>
      <c r="EM221" s="93"/>
      <c r="EN221" s="20"/>
      <c r="EO221" s="29">
        <v>154</v>
      </c>
      <c r="EP221" s="1504">
        <v>41183</v>
      </c>
      <c r="EQ221" s="19"/>
      <c r="ER221" s="93"/>
      <c r="ES221" s="93"/>
      <c r="ET221" s="214"/>
      <c r="EU221" s="93"/>
      <c r="EV221" s="93"/>
      <c r="EW221" s="93"/>
      <c r="EX221" s="93"/>
      <c r="EY221" s="20"/>
      <c r="EZ221" s="29">
        <v>154</v>
      </c>
      <c r="FA221" s="1504">
        <v>41183</v>
      </c>
      <c r="FB221" s="29"/>
      <c r="FC221" s="29"/>
      <c r="FD221" s="29"/>
      <c r="FE221" s="29"/>
      <c r="FF221" s="29"/>
      <c r="FG221" s="29"/>
      <c r="FH221" s="29"/>
      <c r="FI221" s="29"/>
      <c r="FJ221" s="29"/>
      <c r="FK221" s="29">
        <v>154</v>
      </c>
      <c r="FL221" s="1504">
        <v>41183</v>
      </c>
      <c r="FM221" s="19">
        <v>109.50809145483294</v>
      </c>
      <c r="FN221" s="93">
        <v>122.53287344655089</v>
      </c>
      <c r="FO221" s="93">
        <v>110.96360254387946</v>
      </c>
      <c r="FP221" s="93">
        <v>101.89286795694056</v>
      </c>
      <c r="FQ221" s="93">
        <v>113.41233483208656</v>
      </c>
      <c r="FR221" s="93">
        <v>98.387014671002092</v>
      </c>
      <c r="FS221" s="93">
        <v>100.50795562364824</v>
      </c>
      <c r="FT221" s="93">
        <v>105.47820958429006</v>
      </c>
      <c r="FU221" s="93">
        <v>62.662126880226687</v>
      </c>
      <c r="FV221" s="93">
        <v>97.778305133926182</v>
      </c>
      <c r="FW221" s="93">
        <v>104.37383572273448</v>
      </c>
      <c r="FX221" s="93">
        <v>115.12969292563415</v>
      </c>
      <c r="FY221" s="93">
        <v>103.67134695379239</v>
      </c>
      <c r="FZ221" s="29">
        <v>154</v>
      </c>
      <c r="GA221" s="1504">
        <v>41183</v>
      </c>
      <c r="GB221" s="733">
        <v>109.50809145483294</v>
      </c>
      <c r="GC221" s="570">
        <v>106.16034630717238</v>
      </c>
      <c r="GD221" s="570">
        <v>111.6671461374803</v>
      </c>
      <c r="GE221" s="570">
        <v>113.06007846586259</v>
      </c>
      <c r="GF221" s="570">
        <v>125.0443364250885</v>
      </c>
      <c r="GG221" s="570">
        <v>103.32820816583177</v>
      </c>
      <c r="GH221" s="93"/>
      <c r="GI221" s="93"/>
      <c r="GJ221" s="93"/>
      <c r="GK221" s="93"/>
      <c r="GL221" s="93"/>
      <c r="GM221" s="93"/>
      <c r="GN221" s="20"/>
      <c r="GO221" s="29">
        <v>154</v>
      </c>
      <c r="GP221" s="1504">
        <v>41183</v>
      </c>
      <c r="GQ221" s="19"/>
      <c r="GR221" s="93"/>
      <c r="GS221" s="93"/>
      <c r="GT221" s="93"/>
      <c r="GU221" s="93"/>
      <c r="GV221" s="20"/>
      <c r="GW221" s="19"/>
      <c r="GX221" s="93"/>
      <c r="GY221" s="93"/>
      <c r="GZ221" s="93"/>
      <c r="HA221" s="93"/>
      <c r="HB221" s="20"/>
      <c r="HC221" s="19"/>
      <c r="HD221" s="93"/>
      <c r="HE221" s="93"/>
      <c r="HF221" s="93"/>
      <c r="HG221" s="93"/>
      <c r="HH221" s="20"/>
      <c r="HI221" s="19"/>
      <c r="HJ221" s="93"/>
      <c r="HK221" s="93"/>
      <c r="HL221" s="93"/>
      <c r="HM221" s="93"/>
      <c r="HN221" s="20"/>
      <c r="HO221" s="219"/>
      <c r="HP221" s="20"/>
      <c r="HQ221" s="25"/>
      <c r="HR221" s="29">
        <v>154</v>
      </c>
      <c r="HS221" s="1504">
        <v>41183</v>
      </c>
      <c r="HT221" s="179">
        <v>333.15972137451172</v>
      </c>
      <c r="HU221" s="99">
        <v>255.20833969116211</v>
      </c>
      <c r="HV221" s="99">
        <v>250</v>
      </c>
      <c r="HW221" s="99">
        <v>242.71846008300781</v>
      </c>
      <c r="HX221" s="99">
        <v>266.66666259765623</v>
      </c>
      <c r="HY221" s="99">
        <v>303.69242858886719</v>
      </c>
      <c r="HZ221" s="99">
        <v>325.61766052246094</v>
      </c>
      <c r="IA221" s="132">
        <v>214.19355468750001</v>
      </c>
      <c r="IB221" s="179">
        <v>336.41973876953125</v>
      </c>
      <c r="IC221" s="99">
        <v>259.06735229492188</v>
      </c>
      <c r="ID221" s="99">
        <v>214.28572082519531</v>
      </c>
      <c r="IE221" s="99">
        <v>197.5957145690918</v>
      </c>
      <c r="IF221" s="99">
        <v>235.64033813476561</v>
      </c>
      <c r="IG221" s="132">
        <v>256.66667175292969</v>
      </c>
      <c r="IH221" s="179">
        <v>147.84573745727539</v>
      </c>
      <c r="II221" s="99">
        <v>215.71799087524414</v>
      </c>
      <c r="IJ221" s="99">
        <v>160.47296905517578</v>
      </c>
      <c r="IK221" s="99">
        <v>198.55596008300782</v>
      </c>
      <c r="IL221" s="99">
        <v>162.39787546793619</v>
      </c>
      <c r="IM221" s="99">
        <v>160.96774597167968</v>
      </c>
      <c r="IN221" s="93"/>
      <c r="IO221" s="132">
        <v>195.55844497680664</v>
      </c>
      <c r="IP221" s="29">
        <v>154</v>
      </c>
      <c r="IQ221" s="19"/>
      <c r="IR221" s="93"/>
      <c r="IS221" s="93"/>
      <c r="IT221" s="93"/>
      <c r="IU221" s="93"/>
      <c r="IV221" s="20"/>
      <c r="IW221" s="29">
        <v>154</v>
      </c>
      <c r="IX221" s="19"/>
      <c r="IY221" s="93"/>
      <c r="IZ221" s="93"/>
      <c r="JA221" s="93"/>
      <c r="JB221" s="93"/>
      <c r="JC221" s="93"/>
      <c r="JD221" s="93"/>
      <c r="JE221" s="20"/>
      <c r="JF221" s="29">
        <v>154</v>
      </c>
      <c r="JG221" s="19"/>
      <c r="JH221" s="93"/>
      <c r="JI221" s="93"/>
      <c r="JJ221" s="93"/>
      <c r="JK221" s="93"/>
      <c r="JL221" s="93"/>
      <c r="JM221" s="93"/>
      <c r="JN221" s="20"/>
      <c r="JO221" s="29">
        <v>154</v>
      </c>
      <c r="JP221" s="19"/>
      <c r="JQ221" s="93"/>
      <c r="JR221" s="93"/>
      <c r="JS221" s="93"/>
      <c r="JT221" s="93"/>
      <c r="JU221" s="20"/>
      <c r="JV221" s="29">
        <v>154</v>
      </c>
      <c r="JW221" s="1504">
        <v>41183</v>
      </c>
      <c r="JX221" s="19"/>
      <c r="JY221" s="93"/>
      <c r="JZ221" s="93"/>
      <c r="KA221" s="93"/>
      <c r="KB221" s="93"/>
      <c r="KC221" s="93"/>
      <c r="KD221" s="20"/>
      <c r="KE221" s="29">
        <v>154</v>
      </c>
      <c r="KF221" s="19"/>
      <c r="KG221" s="93"/>
      <c r="KH221" s="93"/>
      <c r="KI221" s="93"/>
      <c r="KJ221" s="93"/>
      <c r="KK221" s="20"/>
      <c r="KL221" s="29">
        <v>154</v>
      </c>
      <c r="KM221" s="19"/>
      <c r="KN221" s="93"/>
      <c r="KO221" s="93"/>
      <c r="KP221" s="93"/>
      <c r="KQ221" s="93"/>
      <c r="KR221" s="20"/>
      <c r="KS221" s="29">
        <v>154</v>
      </c>
      <c r="KT221" s="19"/>
      <c r="KU221" s="93"/>
      <c r="KV221" s="93"/>
      <c r="KW221" s="93"/>
      <c r="KX221" s="93"/>
      <c r="KY221" s="20"/>
      <c r="KZ221" s="29">
        <v>154</v>
      </c>
      <c r="LA221" s="1504">
        <v>41183</v>
      </c>
      <c r="LB221" s="19">
        <v>510</v>
      </c>
      <c r="LC221" s="93">
        <v>740</v>
      </c>
      <c r="LD221" s="93">
        <v>732</v>
      </c>
      <c r="LE221" s="93"/>
      <c r="LF221" s="93">
        <v>656</v>
      </c>
      <c r="LG221" s="93"/>
      <c r="LH221" s="20"/>
      <c r="LI221" s="29">
        <v>154</v>
      </c>
      <c r="LJ221" s="19"/>
      <c r="LK221" s="93"/>
      <c r="LL221" s="93"/>
      <c r="LM221" s="93"/>
      <c r="LN221" s="93"/>
      <c r="LO221" s="20"/>
      <c r="LP221" s="29">
        <v>154</v>
      </c>
      <c r="LQ221" s="19"/>
      <c r="LR221" s="93"/>
      <c r="LS221" s="93"/>
      <c r="LT221" s="93"/>
      <c r="LU221" s="93"/>
      <c r="LV221" s="93"/>
      <c r="LW221" s="93"/>
      <c r="LX221" s="93"/>
      <c r="LY221" s="93"/>
      <c r="LZ221" s="93"/>
      <c r="MA221" s="20"/>
      <c r="MB221" s="29">
        <v>154</v>
      </c>
      <c r="MC221" s="1504">
        <v>41183</v>
      </c>
      <c r="MD221" s="19">
        <v>142759.06303678185</v>
      </c>
      <c r="ME221" s="93">
        <v>96110.294936000006</v>
      </c>
      <c r="MF221" s="93">
        <v>96110.288935000004</v>
      </c>
      <c r="MG221" s="93">
        <v>87215.586417999992</v>
      </c>
      <c r="MH221" s="93">
        <v>33619.073549000001</v>
      </c>
      <c r="MI221" s="93">
        <v>449.50236200000001</v>
      </c>
      <c r="MJ221" s="93">
        <v>624.72951099999989</v>
      </c>
      <c r="MK221" s="93">
        <v>39541.633715000004</v>
      </c>
      <c r="ML221" s="93">
        <v>12390.504755</v>
      </c>
      <c r="MM221" s="93">
        <v>590.14252599999998</v>
      </c>
      <c r="MN221" s="93">
        <v>8894.7025170000015</v>
      </c>
      <c r="MO221" s="93">
        <v>318.56382599999995</v>
      </c>
      <c r="MP221" s="93">
        <v>2976.6329389999992</v>
      </c>
      <c r="MQ221" s="93">
        <v>135.28314500000002</v>
      </c>
      <c r="MR221" s="93">
        <v>7.394715999999999</v>
      </c>
      <c r="MS221" s="93">
        <v>5456.8278910000017</v>
      </c>
      <c r="MT221" s="93">
        <v>6.0010000000000003E-3</v>
      </c>
      <c r="MU221" s="93">
        <v>46648.768100781854</v>
      </c>
      <c r="MV221" s="93">
        <v>1489.3633847818501</v>
      </c>
      <c r="MW221" s="93">
        <v>45159.404715999997</v>
      </c>
      <c r="MX221" s="93">
        <v>110213.45036022061</v>
      </c>
      <c r="MY221" s="93">
        <v>110393.32745922061</v>
      </c>
      <c r="MZ221" s="93">
        <v>59640.140234749975</v>
      </c>
      <c r="NA221" s="93">
        <v>27498.340358833313</v>
      </c>
      <c r="NB221" s="93">
        <v>8195.6266814166611</v>
      </c>
      <c r="NC221" s="93">
        <v>3004.5732980000002</v>
      </c>
      <c r="ND221" s="93">
        <v>374.53407099999998</v>
      </c>
      <c r="NE221" s="93">
        <v>2630.0392270000002</v>
      </c>
      <c r="NF221" s="93">
        <v>20941.5998965</v>
      </c>
      <c r="NG221" s="93">
        <v>65</v>
      </c>
      <c r="NH221" s="93">
        <v>4834.2896550000014</v>
      </c>
      <c r="NI221" s="93">
        <v>382.543722</v>
      </c>
      <c r="NJ221" s="93">
        <v>970.48849399999995</v>
      </c>
      <c r="NK221" s="93">
        <v>50753.187224470646</v>
      </c>
      <c r="NL221" s="93">
        <v>43224.316705000041</v>
      </c>
      <c r="NM221" s="93">
        <v>0</v>
      </c>
      <c r="NN221" s="93">
        <v>7528.8705194706008</v>
      </c>
      <c r="NO221" s="93">
        <v>-179.87709900000181</v>
      </c>
      <c r="NP221" s="93">
        <v>32545.612676561235</v>
      </c>
      <c r="NQ221" s="93">
        <v>-14103.155424220608</v>
      </c>
      <c r="NR221" s="93">
        <v>-3569.7116067499965</v>
      </c>
      <c r="NS221" s="93">
        <v>-6574.284904750004</v>
      </c>
      <c r="NT221" s="93">
        <v>36709.049007561138</v>
      </c>
      <c r="NU221" s="93">
        <v>-9939.7190932207031</v>
      </c>
      <c r="NV221" s="93">
        <v>-56848.882922311255</v>
      </c>
      <c r="NW221" s="93">
        <v>2059.2616346887498</v>
      </c>
      <c r="NX221" s="93">
        <v>6039.5071346887498</v>
      </c>
      <c r="NY221" s="93">
        <v>-3980.2455</v>
      </c>
      <c r="NZ221" s="93">
        <v>0</v>
      </c>
      <c r="OA221" s="93">
        <v>-58908.144557000007</v>
      </c>
      <c r="OB221" s="93">
        <v>-62966.834557000002</v>
      </c>
      <c r="OC221" s="93">
        <v>4058.69</v>
      </c>
      <c r="OD221" s="20">
        <v>-4.0000000596046445E-4</v>
      </c>
      <c r="OE221" s="29">
        <v>154</v>
      </c>
      <c r="OF221" s="1504">
        <v>41183</v>
      </c>
      <c r="OG221" s="19"/>
      <c r="OH221" s="93">
        <v>200.04820000000001</v>
      </c>
      <c r="OI221" s="93">
        <v>694.77403796428644</v>
      </c>
      <c r="OJ221" s="93">
        <v>1.002665965</v>
      </c>
      <c r="OK221" s="93">
        <v>609.79937199928645</v>
      </c>
      <c r="OL221" s="93">
        <v>83.971999999999994</v>
      </c>
      <c r="OM221" s="93">
        <v>894.82223796428639</v>
      </c>
      <c r="ON221" s="93">
        <v>681.91433143930692</v>
      </c>
      <c r="OO221" s="93">
        <v>1576.7365694035934</v>
      </c>
      <c r="OP221" s="93"/>
      <c r="OQ221" s="93">
        <v>759.25001801731685</v>
      </c>
      <c r="OR221" s="93">
        <v>249.60063394300002</v>
      </c>
      <c r="OS221" s="93">
        <v>509.6493840743168</v>
      </c>
      <c r="OT221" s="93">
        <v>1052.2714085482764</v>
      </c>
      <c r="OU221" s="93">
        <v>-140.95641505500004</v>
      </c>
      <c r="OV221" s="93">
        <v>-115.70141505500003</v>
      </c>
      <c r="OW221" s="93">
        <v>-25.254999999999995</v>
      </c>
      <c r="OX221" s="93">
        <v>1193.2278236032764</v>
      </c>
      <c r="OY221" s="93">
        <v>4.7615042390000006</v>
      </c>
      <c r="OZ221" s="93">
        <v>1188.4663193642764</v>
      </c>
      <c r="PA221" s="93">
        <v>273.17753442199995</v>
      </c>
      <c r="PB221" s="93">
        <v>-38.392677259999992</v>
      </c>
      <c r="PC221" s="20">
        <v>1576.7365694035932</v>
      </c>
      <c r="PD221" s="29">
        <v>154</v>
      </c>
      <c r="PE221" s="19"/>
      <c r="PF221" s="93">
        <v>249.60063394300002</v>
      </c>
      <c r="PG221" s="93">
        <v>504.29857622400004</v>
      </c>
      <c r="PH221" s="93">
        <v>254.69794228100002</v>
      </c>
      <c r="PI221" s="93">
        <v>194.39500000000001</v>
      </c>
      <c r="PJ221" s="93">
        <v>-111.42651505500002</v>
      </c>
      <c r="PK221" s="93">
        <v>125.63024159499999</v>
      </c>
      <c r="PL221" s="93">
        <v>237.05675665000001</v>
      </c>
      <c r="PM221" s="93">
        <v>4.7615042390000006</v>
      </c>
      <c r="PN221" s="93">
        <v>1.06</v>
      </c>
      <c r="PO221" s="93">
        <v>0</v>
      </c>
      <c r="PP221" s="93">
        <v>8.4342800000000002E-4</v>
      </c>
      <c r="PQ221" s="93">
        <v>3.7006608110000005</v>
      </c>
      <c r="PR221" s="93">
        <v>337.11252966400002</v>
      </c>
      <c r="PS221" s="93">
        <v>245.24610000000001</v>
      </c>
      <c r="PT221" s="93">
        <v>90.863763699000003</v>
      </c>
      <c r="PU221" s="93">
        <v>1.002665965</v>
      </c>
      <c r="PV221" s="93">
        <v>0</v>
      </c>
      <c r="PW221" s="93">
        <v>0.280839795</v>
      </c>
      <c r="PX221" s="93">
        <v>0</v>
      </c>
      <c r="PY221" s="93">
        <v>0</v>
      </c>
      <c r="PZ221" s="93">
        <v>0.280839795</v>
      </c>
      <c r="QA221" s="93">
        <v>0</v>
      </c>
      <c r="QB221" s="93">
        <v>0</v>
      </c>
      <c r="QC221" s="93">
        <v>0</v>
      </c>
      <c r="QD221" s="93">
        <v>0.47569462699999998</v>
      </c>
      <c r="QE221" s="20">
        <v>-0.538440958999993</v>
      </c>
      <c r="QF221" s="1739">
        <v>154</v>
      </c>
      <c r="QG221" s="19"/>
      <c r="QH221" s="1035">
        <v>509.6493840743168</v>
      </c>
      <c r="QI221" s="1035">
        <v>635.71068063572352</v>
      </c>
      <c r="QJ221" s="1035">
        <v>-126.06129656140669</v>
      </c>
      <c r="QK221" s="1035">
        <v>125.80500000000001</v>
      </c>
      <c r="QL221" s="1035">
        <v>40.923000000000002</v>
      </c>
      <c r="QM221" s="1035">
        <v>84.882000000000005</v>
      </c>
      <c r="QN221" s="1035">
        <v>0</v>
      </c>
      <c r="QO221" s="1035">
        <v>-25.254999999999995</v>
      </c>
      <c r="QP221" s="1035">
        <v>128.30000000000001</v>
      </c>
      <c r="QQ221" s="1035">
        <v>-153.55500000000001</v>
      </c>
      <c r="QR221" s="1035">
        <v>1188.4663193642764</v>
      </c>
      <c r="QS221" s="1035">
        <v>13.468221997911552</v>
      </c>
      <c r="QT221" s="1035">
        <v>0</v>
      </c>
      <c r="QU221" s="1035">
        <v>151.625</v>
      </c>
      <c r="QV221" s="1035">
        <v>1023.3730973663648</v>
      </c>
      <c r="QW221" s="93"/>
      <c r="QX221" s="93">
        <v>194.64</v>
      </c>
      <c r="QY221" s="93">
        <v>609.79937199928645</v>
      </c>
      <c r="QZ221" s="93">
        <v>681.91433143930692</v>
      </c>
      <c r="RA221" s="93">
        <v>0</v>
      </c>
      <c r="RB221" s="93">
        <v>34.638999999999996</v>
      </c>
      <c r="RC221" s="93">
        <v>7.4529999999999994</v>
      </c>
      <c r="RD221" s="93">
        <v>19.086000000000002</v>
      </c>
      <c r="RE221" s="93">
        <v>0</v>
      </c>
      <c r="RF221" s="93">
        <v>0</v>
      </c>
      <c r="RG221" s="93">
        <v>211.24299999999997</v>
      </c>
      <c r="RH221" s="93">
        <v>39.89100000000002</v>
      </c>
      <c r="RI221" s="93"/>
      <c r="RJ221" s="93"/>
      <c r="RK221" s="93"/>
      <c r="RL221" s="93"/>
      <c r="RM221" s="734"/>
      <c r="RN221" s="29">
        <v>154</v>
      </c>
      <c r="RO221" s="19">
        <v>39</v>
      </c>
      <c r="RP221" s="20"/>
      <c r="RQ221" s="29">
        <v>154</v>
      </c>
      <c r="RR221" s="734">
        <v>2.5247639500000001</v>
      </c>
      <c r="RS221" s="29">
        <v>154</v>
      </c>
      <c r="RT221" s="1504">
        <v>41183</v>
      </c>
      <c r="RU221" s="19"/>
      <c r="RV221" s="20"/>
      <c r="RW221" s="29">
        <v>154</v>
      </c>
      <c r="RX221" s="1504">
        <v>41183</v>
      </c>
      <c r="RY221" s="29"/>
      <c r="RZ221" s="734"/>
      <c r="SA221" s="29"/>
      <c r="SB221" s="29">
        <v>154</v>
      </c>
    </row>
    <row r="222" spans="1:496">
      <c r="A222" s="41">
        <f t="shared" si="208"/>
        <v>2012</v>
      </c>
      <c r="B222" s="1504">
        <v>41214</v>
      </c>
      <c r="C222" s="1813"/>
      <c r="D222" s="1814"/>
      <c r="E222" s="1814"/>
      <c r="F222" s="1815"/>
      <c r="G222" s="1814"/>
      <c r="H222" s="1814"/>
      <c r="I222" s="1814"/>
      <c r="J222" s="1816"/>
      <c r="K222" s="1807"/>
      <c r="L222" s="25">
        <v>155</v>
      </c>
      <c r="M222" s="97"/>
      <c r="N222" s="1504">
        <v>41214</v>
      </c>
      <c r="O222" s="19"/>
      <c r="P222" s="93"/>
      <c r="Q222" s="93"/>
      <c r="R222" s="93"/>
      <c r="S222" s="93"/>
      <c r="T222" s="93"/>
      <c r="U222" s="93"/>
      <c r="V222" s="93"/>
      <c r="W222" s="93"/>
      <c r="X222" s="93"/>
      <c r="Y222" s="93"/>
      <c r="Z222" s="93"/>
      <c r="AA222" s="93"/>
      <c r="AB222" s="20"/>
      <c r="AC222" s="25">
        <v>155</v>
      </c>
      <c r="AD222" s="97"/>
      <c r="AE222" s="1504">
        <v>41214</v>
      </c>
      <c r="AF222" s="19"/>
      <c r="AG222" s="93"/>
      <c r="AH222" s="93"/>
      <c r="AI222" s="93"/>
      <c r="AJ222" s="93"/>
      <c r="AK222" s="93"/>
      <c r="AL222" s="93"/>
      <c r="AM222" s="93"/>
      <c r="AN222" s="93"/>
      <c r="AO222" s="93"/>
      <c r="AP222" s="93"/>
      <c r="AQ222" s="93"/>
      <c r="AR222" s="93"/>
      <c r="AS222" s="20"/>
      <c r="AT222" s="25">
        <v>155</v>
      </c>
      <c r="AU222" s="97"/>
      <c r="AV222" s="1504">
        <v>41214</v>
      </c>
      <c r="AW222" s="19"/>
      <c r="AX222" s="93"/>
      <c r="AY222" s="93"/>
      <c r="AZ222" s="93"/>
      <c r="BA222" s="93"/>
      <c r="BB222" s="93"/>
      <c r="BC222" s="93"/>
      <c r="BD222" s="93"/>
      <c r="BE222" s="93"/>
      <c r="BF222" s="93"/>
      <c r="BG222" s="93"/>
      <c r="BH222" s="93"/>
      <c r="BI222" s="93"/>
      <c r="BJ222" s="20"/>
      <c r="BK222" s="25">
        <v>155</v>
      </c>
      <c r="BL222" s="97"/>
      <c r="BM222" s="1504">
        <v>41214</v>
      </c>
      <c r="BN222" s="19"/>
      <c r="BO222" s="93"/>
      <c r="BP222" s="93"/>
      <c r="BQ222" s="93"/>
      <c r="BR222" s="93"/>
      <c r="BS222" s="93"/>
      <c r="BT222" s="93"/>
      <c r="BU222" s="20"/>
      <c r="BV222" s="25">
        <v>155</v>
      </c>
      <c r="BW222" s="97"/>
      <c r="BX222" s="1504">
        <v>41214</v>
      </c>
      <c r="BY222" s="179">
        <v>511.35783892000001</v>
      </c>
      <c r="BZ222" s="99">
        <v>664.95699999999999</v>
      </c>
      <c r="CA222" s="93"/>
      <c r="CB222" s="93"/>
      <c r="CC222" s="99">
        <v>272.26909178866731</v>
      </c>
      <c r="CD222" s="25">
        <v>155</v>
      </c>
      <c r="CE222" s="97"/>
      <c r="CF222" s="1504">
        <v>41214</v>
      </c>
      <c r="CG222" s="179">
        <v>1.782876194</v>
      </c>
      <c r="CH222" s="99">
        <v>1721.64</v>
      </c>
      <c r="CI222" s="219"/>
      <c r="CJ222" s="20"/>
      <c r="CK222" s="19"/>
      <c r="CL222" s="93"/>
      <c r="CM222" s="93"/>
      <c r="CN222" s="93"/>
      <c r="CO222" s="93"/>
      <c r="CP222" s="20"/>
      <c r="CQ222" s="219">
        <v>2469.1799999999998</v>
      </c>
      <c r="CR222" s="93">
        <v>3.0425</v>
      </c>
      <c r="CS222" s="93"/>
      <c r="CT222" s="93"/>
      <c r="CU222" s="93"/>
      <c r="CV222" s="214"/>
      <c r="CW222" s="29">
        <v>155</v>
      </c>
      <c r="CX222" s="41">
        <f t="shared" si="209"/>
        <v>2012</v>
      </c>
      <c r="CY222" s="1504">
        <v>41214</v>
      </c>
      <c r="CZ222" s="1916">
        <v>82.690943239999996</v>
      </c>
      <c r="DA222" s="1526">
        <v>52.499303239999996</v>
      </c>
      <c r="DB222" s="1526">
        <v>30.19164</v>
      </c>
      <c r="DC222" s="182">
        <f t="shared" si="213"/>
        <v>436250</v>
      </c>
      <c r="DD222" s="182">
        <f t="shared" si="214"/>
        <v>435032</v>
      </c>
      <c r="DE222" s="182">
        <f t="shared" si="215"/>
        <v>1218</v>
      </c>
      <c r="DF222" s="29">
        <v>155</v>
      </c>
      <c r="DG222" s="1504">
        <v>41214</v>
      </c>
      <c r="DH222" s="19"/>
      <c r="DI222" s="93"/>
      <c r="DJ222" s="93"/>
      <c r="DK222" s="93"/>
      <c r="DL222" s="93"/>
      <c r="DM222" s="93"/>
      <c r="DN222" s="20"/>
      <c r="DO222" s="25"/>
      <c r="DP222" s="29">
        <v>155</v>
      </c>
      <c r="DQ222" s="1504">
        <v>41214</v>
      </c>
      <c r="DR222" s="19"/>
      <c r="DS222" s="93"/>
      <c r="DT222" s="93"/>
      <c r="DU222" s="93"/>
      <c r="DV222" s="93"/>
      <c r="DW222" s="93"/>
      <c r="DX222" s="20"/>
      <c r="DY222" s="29">
        <v>155</v>
      </c>
      <c r="DZ222" s="1504">
        <v>41214</v>
      </c>
      <c r="EA222" s="19"/>
      <c r="EB222" s="93"/>
      <c r="EC222" s="20"/>
      <c r="ED222" s="29">
        <v>155</v>
      </c>
      <c r="EE222" s="1504">
        <v>41214</v>
      </c>
      <c r="EF222" s="19"/>
      <c r="EG222" s="93"/>
      <c r="EH222" s="93"/>
      <c r="EI222" s="214"/>
      <c r="EJ222" s="93"/>
      <c r="EK222" s="93"/>
      <c r="EL222" s="93"/>
      <c r="EM222" s="93"/>
      <c r="EN222" s="20"/>
      <c r="EO222" s="29">
        <v>155</v>
      </c>
      <c r="EP222" s="1504">
        <v>41214</v>
      </c>
      <c r="EQ222" s="19"/>
      <c r="ER222" s="93"/>
      <c r="ES222" s="93"/>
      <c r="ET222" s="214"/>
      <c r="EU222" s="93"/>
      <c r="EV222" s="93"/>
      <c r="EW222" s="93"/>
      <c r="EX222" s="93"/>
      <c r="EY222" s="20"/>
      <c r="EZ222" s="29">
        <v>155</v>
      </c>
      <c r="FA222" s="1504">
        <v>41214</v>
      </c>
      <c r="FB222" s="29"/>
      <c r="FC222" s="29"/>
      <c r="FD222" s="29"/>
      <c r="FE222" s="29"/>
      <c r="FF222" s="29"/>
      <c r="FG222" s="29"/>
      <c r="FH222" s="29"/>
      <c r="FI222" s="29"/>
      <c r="FJ222" s="29"/>
      <c r="FK222" s="29">
        <v>155</v>
      </c>
      <c r="FL222" s="1504">
        <v>41214</v>
      </c>
      <c r="FM222" s="19">
        <v>109.29617335738479</v>
      </c>
      <c r="FN222" s="93">
        <v>122.71320008185305</v>
      </c>
      <c r="FO222" s="93">
        <v>108.13590809720691</v>
      </c>
      <c r="FP222" s="93">
        <v>101.89286795694056</v>
      </c>
      <c r="FQ222" s="93">
        <v>111.25587761124625</v>
      </c>
      <c r="FR222" s="93">
        <v>98.387014671002092</v>
      </c>
      <c r="FS222" s="93">
        <v>100.50795562364824</v>
      </c>
      <c r="FT222" s="93">
        <v>105.47820958429006</v>
      </c>
      <c r="FU222" s="93">
        <v>62.662126880226687</v>
      </c>
      <c r="FV222" s="93">
        <v>97.609237105268818</v>
      </c>
      <c r="FW222" s="93">
        <v>104.37383572273448</v>
      </c>
      <c r="FX222" s="93">
        <v>115.00779814896907</v>
      </c>
      <c r="FY222" s="93">
        <v>103.66397960476824</v>
      </c>
      <c r="FZ222" s="29">
        <v>155</v>
      </c>
      <c r="GA222" s="1504">
        <v>41214</v>
      </c>
      <c r="GB222" s="733">
        <v>109.29617335738479</v>
      </c>
      <c r="GC222" s="570">
        <v>106.09789427497066</v>
      </c>
      <c r="GD222" s="570">
        <v>111.35883318503764</v>
      </c>
      <c r="GE222" s="570">
        <v>111.33867577848775</v>
      </c>
      <c r="GF222" s="570">
        <v>124.73411606844832</v>
      </c>
      <c r="GG222" s="570">
        <v>103.43542315935611</v>
      </c>
      <c r="GH222" s="93"/>
      <c r="GI222" s="93"/>
      <c r="GJ222" s="93"/>
      <c r="GK222" s="93"/>
      <c r="GL222" s="93"/>
      <c r="GM222" s="93"/>
      <c r="GN222" s="20"/>
      <c r="GO222" s="29">
        <v>155</v>
      </c>
      <c r="GP222" s="1504">
        <v>41214</v>
      </c>
      <c r="GQ222" s="19"/>
      <c r="GR222" s="93"/>
      <c r="GS222" s="93"/>
      <c r="GT222" s="93"/>
      <c r="GU222" s="93"/>
      <c r="GV222" s="20"/>
      <c r="GW222" s="19"/>
      <c r="GX222" s="93"/>
      <c r="GY222" s="93"/>
      <c r="GZ222" s="93"/>
      <c r="HA222" s="93"/>
      <c r="HB222" s="20"/>
      <c r="HC222" s="19"/>
      <c r="HD222" s="93"/>
      <c r="HE222" s="93"/>
      <c r="HF222" s="93"/>
      <c r="HG222" s="93"/>
      <c r="HH222" s="20"/>
      <c r="HI222" s="19"/>
      <c r="HJ222" s="93"/>
      <c r="HK222" s="93"/>
      <c r="HL222" s="93"/>
      <c r="HM222" s="93"/>
      <c r="HN222" s="20"/>
      <c r="HO222" s="219"/>
      <c r="HP222" s="20"/>
      <c r="HQ222" s="25"/>
      <c r="HR222" s="29">
        <v>155</v>
      </c>
      <c r="HS222" s="1504">
        <v>41214</v>
      </c>
      <c r="HT222" s="179">
        <v>334.36599349975586</v>
      </c>
      <c r="HU222" s="99">
        <v>214.23611145019532</v>
      </c>
      <c r="HV222" s="99">
        <v>250</v>
      </c>
      <c r="HW222" s="99">
        <v>127.42718887329102</v>
      </c>
      <c r="HX222" s="99">
        <v>227.08333206176758</v>
      </c>
      <c r="HY222" s="99">
        <v>282.98612022399902</v>
      </c>
      <c r="HZ222" s="99">
        <v>331.96074676513672</v>
      </c>
      <c r="IA222" s="132">
        <v>217.74193954467773</v>
      </c>
      <c r="IB222" s="179"/>
      <c r="IC222" s="99">
        <v>136.25</v>
      </c>
      <c r="ID222" s="99">
        <v>250</v>
      </c>
      <c r="IE222" s="99">
        <v>185.30350646972656</v>
      </c>
      <c r="IF222" s="99">
        <v>238.28125</v>
      </c>
      <c r="IG222" s="132">
        <v>213.19445037841797</v>
      </c>
      <c r="IH222" s="179">
        <v>120.04732894897461</v>
      </c>
      <c r="II222" s="99">
        <v>193.39208984375</v>
      </c>
      <c r="IJ222" s="99">
        <v>135.1351318359375</v>
      </c>
      <c r="IK222" s="99">
        <v>168.47172292073569</v>
      </c>
      <c r="IL222" s="99">
        <v>137.21552276611328</v>
      </c>
      <c r="IM222" s="99">
        <v>152.41935729980469</v>
      </c>
      <c r="IN222" s="93"/>
      <c r="IO222" s="132">
        <v>175.63232040405273</v>
      </c>
      <c r="IP222" s="29">
        <v>155</v>
      </c>
      <c r="IQ222" s="19"/>
      <c r="IR222" s="93"/>
      <c r="IS222" s="93"/>
      <c r="IT222" s="93"/>
      <c r="IU222" s="93"/>
      <c r="IV222" s="20"/>
      <c r="IW222" s="29">
        <v>155</v>
      </c>
      <c r="IX222" s="19"/>
      <c r="IY222" s="93"/>
      <c r="IZ222" s="93"/>
      <c r="JA222" s="93"/>
      <c r="JB222" s="93"/>
      <c r="JC222" s="93"/>
      <c r="JD222" s="93"/>
      <c r="JE222" s="20"/>
      <c r="JF222" s="29">
        <v>155</v>
      </c>
      <c r="JG222" s="19"/>
      <c r="JH222" s="93"/>
      <c r="JI222" s="93"/>
      <c r="JJ222" s="93"/>
      <c r="JK222" s="93"/>
      <c r="JL222" s="93"/>
      <c r="JM222" s="93"/>
      <c r="JN222" s="20"/>
      <c r="JO222" s="29">
        <v>155</v>
      </c>
      <c r="JP222" s="19"/>
      <c r="JQ222" s="93"/>
      <c r="JR222" s="93"/>
      <c r="JS222" s="93"/>
      <c r="JT222" s="93"/>
      <c r="JU222" s="20"/>
      <c r="JV222" s="29">
        <v>155</v>
      </c>
      <c r="JW222" s="1504">
        <v>41214</v>
      </c>
      <c r="JX222" s="19"/>
      <c r="JY222" s="93"/>
      <c r="JZ222" s="93"/>
      <c r="KA222" s="93"/>
      <c r="KB222" s="93"/>
      <c r="KC222" s="93"/>
      <c r="KD222" s="20"/>
      <c r="KE222" s="29">
        <v>155</v>
      </c>
      <c r="KF222" s="19"/>
      <c r="KG222" s="93"/>
      <c r="KH222" s="93"/>
      <c r="KI222" s="93"/>
      <c r="KJ222" s="93"/>
      <c r="KK222" s="20"/>
      <c r="KL222" s="29">
        <v>155</v>
      </c>
      <c r="KM222" s="19"/>
      <c r="KN222" s="93"/>
      <c r="KO222" s="93"/>
      <c r="KP222" s="93"/>
      <c r="KQ222" s="93"/>
      <c r="KR222" s="20"/>
      <c r="KS222" s="29">
        <v>155</v>
      </c>
      <c r="KT222" s="19"/>
      <c r="KU222" s="93"/>
      <c r="KV222" s="93"/>
      <c r="KW222" s="93"/>
      <c r="KX222" s="93"/>
      <c r="KY222" s="20"/>
      <c r="KZ222" s="29">
        <v>155</v>
      </c>
      <c r="LA222" s="1504">
        <v>41214</v>
      </c>
      <c r="LB222" s="19">
        <v>510</v>
      </c>
      <c r="LC222" s="93">
        <v>740</v>
      </c>
      <c r="LD222" s="93">
        <v>732</v>
      </c>
      <c r="LE222" s="93"/>
      <c r="LF222" s="93">
        <v>656</v>
      </c>
      <c r="LG222" s="93"/>
      <c r="LH222" s="20"/>
      <c r="LI222" s="29">
        <v>155</v>
      </c>
      <c r="LJ222" s="19"/>
      <c r="LK222" s="93"/>
      <c r="LL222" s="93"/>
      <c r="LM222" s="93"/>
      <c r="LN222" s="93"/>
      <c r="LO222" s="20"/>
      <c r="LP222" s="29">
        <v>155</v>
      </c>
      <c r="LQ222" s="19"/>
      <c r="LR222" s="93"/>
      <c r="LS222" s="93"/>
      <c r="LT222" s="93"/>
      <c r="LU222" s="93"/>
      <c r="LV222" s="93"/>
      <c r="LW222" s="93"/>
      <c r="LX222" s="93"/>
      <c r="LY222" s="93"/>
      <c r="LZ222" s="93"/>
      <c r="MA222" s="20"/>
      <c r="MB222" s="29">
        <v>155</v>
      </c>
      <c r="MC222" s="1504">
        <v>41214</v>
      </c>
      <c r="MD222" s="19">
        <v>104575.11709401816</v>
      </c>
      <c r="ME222" s="93">
        <v>73787.280297000005</v>
      </c>
      <c r="MF222" s="93">
        <v>73739.924654000002</v>
      </c>
      <c r="MG222" s="93">
        <v>65836.508128999994</v>
      </c>
      <c r="MH222" s="93">
        <v>13234.728414000001</v>
      </c>
      <c r="MI222" s="93">
        <v>437.575402</v>
      </c>
      <c r="MJ222" s="93">
        <v>399.52765099999999</v>
      </c>
      <c r="MK222" s="93">
        <v>38641.014449000002</v>
      </c>
      <c r="ML222" s="93">
        <v>12537.574487</v>
      </c>
      <c r="MM222" s="93">
        <v>586.08772599999998</v>
      </c>
      <c r="MN222" s="93">
        <v>7903.4165250000005</v>
      </c>
      <c r="MO222" s="93">
        <v>478.10193200000003</v>
      </c>
      <c r="MP222" s="93">
        <v>2968.5080509999998</v>
      </c>
      <c r="MQ222" s="93">
        <v>195.967286</v>
      </c>
      <c r="MR222" s="93">
        <v>24.639199000000001</v>
      </c>
      <c r="MS222" s="93">
        <v>4236.200057</v>
      </c>
      <c r="MT222" s="93">
        <v>47.355642999999993</v>
      </c>
      <c r="MU222" s="93">
        <v>30787.836797018153</v>
      </c>
      <c r="MV222" s="93">
        <v>7224.669071018152</v>
      </c>
      <c r="MW222" s="93">
        <v>23563.167726</v>
      </c>
      <c r="MX222" s="93">
        <v>138836.09149053346</v>
      </c>
      <c r="MY222" s="93">
        <v>140385.85936953349</v>
      </c>
      <c r="MZ222" s="93">
        <v>93770.528999250018</v>
      </c>
      <c r="NA222" s="93">
        <v>29256.486270250021</v>
      </c>
      <c r="NB222" s="93">
        <v>11939.504789000004</v>
      </c>
      <c r="NC222" s="93">
        <v>2585.4243289999999</v>
      </c>
      <c r="ND222" s="93">
        <v>149.18356699999998</v>
      </c>
      <c r="NE222" s="93">
        <v>2436.2407619999999</v>
      </c>
      <c r="NF222" s="93">
        <v>49989.113611000001</v>
      </c>
      <c r="NG222" s="93">
        <v>29.997</v>
      </c>
      <c r="NH222" s="93">
        <v>6283.6599909999968</v>
      </c>
      <c r="NI222" s="93">
        <v>52.712231999998217</v>
      </c>
      <c r="NJ222" s="93">
        <v>3839.63</v>
      </c>
      <c r="NK222" s="93">
        <v>46615.330370283438</v>
      </c>
      <c r="NL222" s="93">
        <v>38444.306801999985</v>
      </c>
      <c r="NM222" s="93">
        <v>0</v>
      </c>
      <c r="NN222" s="93">
        <v>8171.0235682834518</v>
      </c>
      <c r="NO222" s="93">
        <v>-1549.7678790000016</v>
      </c>
      <c r="NP222" s="93">
        <v>-34260.97439651531</v>
      </c>
      <c r="NQ222" s="93">
        <v>-65048.811193533467</v>
      </c>
      <c r="NR222" s="93">
        <v>-54292.363296250012</v>
      </c>
      <c r="NS222" s="93">
        <v>-56877.787625250014</v>
      </c>
      <c r="NT222" s="93">
        <v>20146.149763484678</v>
      </c>
      <c r="NU222" s="93">
        <v>-10641.687033533477</v>
      </c>
      <c r="NV222" s="93">
        <v>-8103.5774887346815</v>
      </c>
      <c r="NW222" s="93">
        <v>-1793.2443867347004</v>
      </c>
      <c r="NX222" s="93">
        <v>946.35449726529976</v>
      </c>
      <c r="NY222" s="93">
        <v>-2739.598884</v>
      </c>
      <c r="NZ222" s="93">
        <v>0</v>
      </c>
      <c r="OA222" s="93">
        <v>-6310.3331019999805</v>
      </c>
      <c r="OB222" s="93">
        <v>-5879.8515019999804</v>
      </c>
      <c r="OC222" s="93">
        <v>-430.48159999999996</v>
      </c>
      <c r="OD222" s="20">
        <v>2.421438694000244E-11</v>
      </c>
      <c r="OE222" s="29">
        <v>155</v>
      </c>
      <c r="OF222" s="1504">
        <v>41214</v>
      </c>
      <c r="OG222" s="19"/>
      <c r="OH222" s="93">
        <v>202.89009999999999</v>
      </c>
      <c r="OI222" s="93">
        <v>756.58752626671651</v>
      </c>
      <c r="OJ222" s="93">
        <v>0.59557545999999995</v>
      </c>
      <c r="OK222" s="93">
        <v>672.01995080671657</v>
      </c>
      <c r="OL222" s="93">
        <v>83.971999999999994</v>
      </c>
      <c r="OM222" s="93">
        <v>959.47762626671647</v>
      </c>
      <c r="ON222" s="93">
        <v>683.1030105113673</v>
      </c>
      <c r="OO222" s="93">
        <v>1642.5806367780838</v>
      </c>
      <c r="OP222" s="93"/>
      <c r="OQ222" s="93">
        <v>772.6305895208684</v>
      </c>
      <c r="OR222" s="93">
        <v>230.84564216600006</v>
      </c>
      <c r="OS222" s="93">
        <v>541.78494735486822</v>
      </c>
      <c r="OT222" s="93">
        <v>1114.3405040952157</v>
      </c>
      <c r="OU222" s="93">
        <v>-119.10870969700002</v>
      </c>
      <c r="OV222" s="93">
        <v>-100.26270969700002</v>
      </c>
      <c r="OW222" s="93">
        <v>-18.846000000000004</v>
      </c>
      <c r="OX222" s="93">
        <v>1233.4492137922157</v>
      </c>
      <c r="OY222" s="93">
        <v>4.7741998290000005</v>
      </c>
      <c r="OZ222" s="93">
        <v>1228.6750139632156</v>
      </c>
      <c r="PA222" s="93">
        <v>273.87063726400004</v>
      </c>
      <c r="PB222" s="93">
        <v>-29.480180425999947</v>
      </c>
      <c r="PC222" s="20">
        <v>1642.5806367780842</v>
      </c>
      <c r="PD222" s="29">
        <v>155</v>
      </c>
      <c r="PE222" s="19"/>
      <c r="PF222" s="93">
        <v>230.84564216600006</v>
      </c>
      <c r="PG222" s="93">
        <v>492.00205186600004</v>
      </c>
      <c r="PH222" s="93">
        <v>261.15640969999998</v>
      </c>
      <c r="PI222" s="93">
        <v>227.5</v>
      </c>
      <c r="PJ222" s="93">
        <v>-95.476809697000022</v>
      </c>
      <c r="PK222" s="93">
        <v>125.646827538</v>
      </c>
      <c r="PL222" s="93">
        <v>221.12363723500002</v>
      </c>
      <c r="PM222" s="93">
        <v>4.7741998290000005</v>
      </c>
      <c r="PN222" s="93">
        <v>1.06</v>
      </c>
      <c r="PO222" s="93">
        <v>0</v>
      </c>
      <c r="PP222" s="93">
        <v>7.3773199999999995E-4</v>
      </c>
      <c r="PQ222" s="93">
        <v>3.7134620970000003</v>
      </c>
      <c r="PR222" s="93">
        <v>366.86876684400005</v>
      </c>
      <c r="PS222" s="93">
        <v>245.47499999999999</v>
      </c>
      <c r="PT222" s="93">
        <v>120.79819138400001</v>
      </c>
      <c r="PU222" s="93">
        <v>0.59557545999999995</v>
      </c>
      <c r="PV222" s="93">
        <v>0</v>
      </c>
      <c r="PW222" s="93">
        <v>1.3964655669999999</v>
      </c>
      <c r="PX222" s="93">
        <v>0</v>
      </c>
      <c r="PY222" s="93">
        <v>0</v>
      </c>
      <c r="PZ222" s="93">
        <v>1.3964655669999999</v>
      </c>
      <c r="QA222" s="93">
        <v>0</v>
      </c>
      <c r="QB222" s="93">
        <v>0</v>
      </c>
      <c r="QC222" s="93">
        <v>0</v>
      </c>
      <c r="QD222" s="93">
        <v>0.474171697</v>
      </c>
      <c r="QE222" s="20">
        <v>-1.0963718099999928</v>
      </c>
      <c r="QF222" s="1739">
        <v>155</v>
      </c>
      <c r="QG222" s="19"/>
      <c r="QH222" s="1035">
        <v>541.78494735486822</v>
      </c>
      <c r="QI222" s="1035">
        <v>666.62998603678443</v>
      </c>
      <c r="QJ222" s="1035">
        <v>-124.84503868191617</v>
      </c>
      <c r="QK222" s="1035">
        <v>149.25700000000001</v>
      </c>
      <c r="QL222" s="1035">
        <v>37.798999999999999</v>
      </c>
      <c r="QM222" s="1035">
        <v>111.458</v>
      </c>
      <c r="QN222" s="1035">
        <v>0</v>
      </c>
      <c r="QO222" s="1035">
        <v>-18.846000000000004</v>
      </c>
      <c r="QP222" s="1035">
        <v>137.04900000000001</v>
      </c>
      <c r="QQ222" s="1035">
        <v>-155.89500000000001</v>
      </c>
      <c r="QR222" s="1035">
        <v>1228.6750139632156</v>
      </c>
      <c r="QS222" s="1035">
        <v>16.461779965486809</v>
      </c>
      <c r="QT222" s="1035">
        <v>0</v>
      </c>
      <c r="QU222" s="1035">
        <v>168.42099999999999</v>
      </c>
      <c r="QV222" s="1035">
        <v>1043.7922339977288</v>
      </c>
      <c r="QW222" s="93"/>
      <c r="QX222" s="93">
        <v>225.15100000000001</v>
      </c>
      <c r="QY222" s="93">
        <v>672.01995080671657</v>
      </c>
      <c r="QZ222" s="93">
        <v>683.1030105113673</v>
      </c>
      <c r="RA222" s="93">
        <v>0</v>
      </c>
      <c r="RB222" s="93">
        <v>33.509</v>
      </c>
      <c r="RC222" s="93">
        <v>9.7189999999999994</v>
      </c>
      <c r="RD222" s="93">
        <v>14.11</v>
      </c>
      <c r="RE222" s="93">
        <v>0</v>
      </c>
      <c r="RF222" s="93">
        <v>0</v>
      </c>
      <c r="RG222" s="93">
        <v>214.66200000000001</v>
      </c>
      <c r="RH222" s="93">
        <v>48.597000000000023</v>
      </c>
      <c r="RI222" s="93"/>
      <c r="RJ222" s="93"/>
      <c r="RK222" s="93"/>
      <c r="RL222" s="93"/>
      <c r="RM222" s="734"/>
      <c r="RN222" s="29">
        <v>155</v>
      </c>
      <c r="RO222" s="19">
        <v>67</v>
      </c>
      <c r="RP222" s="20"/>
      <c r="RQ222" s="29">
        <v>155</v>
      </c>
      <c r="RR222" s="734">
        <v>2.7474476000000001</v>
      </c>
      <c r="RS222" s="29">
        <v>155</v>
      </c>
      <c r="RT222" s="1504">
        <v>41214</v>
      </c>
      <c r="RU222" s="19"/>
      <c r="RV222" s="20"/>
      <c r="RW222" s="29">
        <v>155</v>
      </c>
      <c r="RX222" s="1504">
        <v>41214</v>
      </c>
      <c r="RY222" s="29"/>
      <c r="RZ222" s="734"/>
      <c r="SA222" s="29"/>
      <c r="SB222" s="29">
        <v>155</v>
      </c>
    </row>
    <row r="223" spans="1:496">
      <c r="A223" s="41">
        <f t="shared" si="208"/>
        <v>2012</v>
      </c>
      <c r="B223" s="1504">
        <v>41244</v>
      </c>
      <c r="C223" s="1813"/>
      <c r="D223" s="1814"/>
      <c r="E223" s="1814"/>
      <c r="F223" s="1815"/>
      <c r="G223" s="1814"/>
      <c r="H223" s="1814"/>
      <c r="I223" s="1814"/>
      <c r="J223" s="1816"/>
      <c r="K223" s="1807"/>
      <c r="L223" s="25">
        <v>156</v>
      </c>
      <c r="M223" s="97"/>
      <c r="N223" s="1504">
        <v>41244</v>
      </c>
      <c r="O223" s="19"/>
      <c r="P223" s="93"/>
      <c r="Q223" s="93"/>
      <c r="R223" s="93"/>
      <c r="S223" s="93"/>
      <c r="T223" s="93"/>
      <c r="U223" s="93"/>
      <c r="V223" s="93"/>
      <c r="W223" s="93"/>
      <c r="X223" s="93"/>
      <c r="Y223" s="93"/>
      <c r="Z223" s="93"/>
      <c r="AA223" s="93"/>
      <c r="AB223" s="20"/>
      <c r="AC223" s="25">
        <v>156</v>
      </c>
      <c r="AD223" s="97"/>
      <c r="AE223" s="1504">
        <v>41244</v>
      </c>
      <c r="AF223" s="19"/>
      <c r="AG223" s="93"/>
      <c r="AH223" s="93"/>
      <c r="AI223" s="93"/>
      <c r="AJ223" s="93"/>
      <c r="AK223" s="93"/>
      <c r="AL223" s="93"/>
      <c r="AM223" s="93"/>
      <c r="AN223" s="93"/>
      <c r="AO223" s="93"/>
      <c r="AP223" s="93"/>
      <c r="AQ223" s="93"/>
      <c r="AR223" s="93"/>
      <c r="AS223" s="20"/>
      <c r="AT223" s="25">
        <v>156</v>
      </c>
      <c r="AU223" s="97"/>
      <c r="AV223" s="1504">
        <v>41244</v>
      </c>
      <c r="AW223" s="19"/>
      <c r="AX223" s="93"/>
      <c r="AY223" s="93"/>
      <c r="AZ223" s="93"/>
      <c r="BA223" s="93"/>
      <c r="BB223" s="93"/>
      <c r="BC223" s="93"/>
      <c r="BD223" s="93"/>
      <c r="BE223" s="93"/>
      <c r="BF223" s="93"/>
      <c r="BG223" s="93"/>
      <c r="BH223" s="93"/>
      <c r="BI223" s="93"/>
      <c r="BJ223" s="20"/>
      <c r="BK223" s="25">
        <v>156</v>
      </c>
      <c r="BL223" s="97"/>
      <c r="BM223" s="1504">
        <v>41244</v>
      </c>
      <c r="BN223" s="19"/>
      <c r="BO223" s="93"/>
      <c r="BP223" s="93"/>
      <c r="BQ223" s="93"/>
      <c r="BR223" s="93"/>
      <c r="BS223" s="93"/>
      <c r="BT223" s="93"/>
      <c r="BU223" s="20"/>
      <c r="BV223" s="25">
        <v>156</v>
      </c>
      <c r="BW223" s="97"/>
      <c r="BX223" s="1504">
        <v>41244</v>
      </c>
      <c r="BY223" s="179">
        <v>499.99010410999995</v>
      </c>
      <c r="BZ223" s="99">
        <v>664.95699999999999</v>
      </c>
      <c r="CA223" s="93"/>
      <c r="CB223" s="93"/>
      <c r="CC223" s="99">
        <v>265.20019144647631</v>
      </c>
      <c r="CD223" s="25">
        <v>156</v>
      </c>
      <c r="CE223" s="97"/>
      <c r="CF223" s="1504">
        <v>41244</v>
      </c>
      <c r="CG223" s="179">
        <v>1.8379916940000001</v>
      </c>
      <c r="CH223" s="99">
        <v>1684.7619999999999</v>
      </c>
      <c r="CI223" s="219"/>
      <c r="CJ223" s="20"/>
      <c r="CK223" s="19"/>
      <c r="CL223" s="93"/>
      <c r="CM223" s="93"/>
      <c r="CN223" s="93"/>
      <c r="CO223" s="93"/>
      <c r="CP223" s="20"/>
      <c r="CQ223" s="219">
        <v>2502.25</v>
      </c>
      <c r="CR223" s="93">
        <v>3.0766666666666702</v>
      </c>
      <c r="CS223" s="93"/>
      <c r="CT223" s="93"/>
      <c r="CU223" s="93"/>
      <c r="CV223" s="214"/>
      <c r="CW223" s="29">
        <v>156</v>
      </c>
      <c r="CX223" s="41">
        <f t="shared" si="209"/>
        <v>2012</v>
      </c>
      <c r="CY223" s="1504">
        <v>41244</v>
      </c>
      <c r="CZ223" s="1916">
        <v>80.156857000000002</v>
      </c>
      <c r="DA223" s="1526">
        <v>48.665842999999995</v>
      </c>
      <c r="DB223" s="1526">
        <v>31.491014</v>
      </c>
      <c r="DC223" s="182">
        <v>436250</v>
      </c>
      <c r="DD223" s="182">
        <v>435032</v>
      </c>
      <c r="DE223" s="290">
        <v>1218</v>
      </c>
      <c r="DF223" s="29">
        <v>156</v>
      </c>
      <c r="DG223" s="1504">
        <v>41244</v>
      </c>
      <c r="DH223" s="19"/>
      <c r="DI223" s="93"/>
      <c r="DJ223" s="93"/>
      <c r="DK223" s="93"/>
      <c r="DL223" s="93"/>
      <c r="DM223" s="93"/>
      <c r="DN223" s="20"/>
      <c r="DO223" s="25"/>
      <c r="DP223" s="29">
        <v>156</v>
      </c>
      <c r="DQ223" s="1504">
        <v>41244</v>
      </c>
      <c r="DR223" s="19"/>
      <c r="DS223" s="93"/>
      <c r="DT223" s="93"/>
      <c r="DU223" s="93"/>
      <c r="DV223" s="93"/>
      <c r="DW223" s="93"/>
      <c r="DX223" s="20"/>
      <c r="DY223" s="29">
        <v>156</v>
      </c>
      <c r="DZ223" s="1504">
        <v>41244</v>
      </c>
      <c r="EA223" s="19">
        <v>7973</v>
      </c>
      <c r="EB223" s="93">
        <v>65168</v>
      </c>
      <c r="EC223" s="20"/>
      <c r="ED223" s="29">
        <v>156</v>
      </c>
      <c r="EE223" s="1504">
        <v>41244</v>
      </c>
      <c r="EF223" s="19"/>
      <c r="EG223" s="93"/>
      <c r="EH223" s="93"/>
      <c r="EI223" s="214"/>
      <c r="EJ223" s="93"/>
      <c r="EK223" s="93"/>
      <c r="EL223" s="93"/>
      <c r="EM223" s="93"/>
      <c r="EN223" s="20"/>
      <c r="EO223" s="29">
        <v>156</v>
      </c>
      <c r="EP223" s="1504">
        <v>41244</v>
      </c>
      <c r="EQ223" s="19"/>
      <c r="ER223" s="93"/>
      <c r="ES223" s="93"/>
      <c r="ET223" s="214"/>
      <c r="EU223" s="93"/>
      <c r="EV223" s="93"/>
      <c r="EW223" s="93"/>
      <c r="EX223" s="93"/>
      <c r="EY223" s="20"/>
      <c r="EZ223" s="29">
        <v>156</v>
      </c>
      <c r="FA223" s="1504">
        <v>41244</v>
      </c>
      <c r="FB223" s="29"/>
      <c r="FC223" s="29"/>
      <c r="FD223" s="29"/>
      <c r="FE223" s="29"/>
      <c r="FF223" s="29"/>
      <c r="FG223" s="29"/>
      <c r="FH223" s="29"/>
      <c r="FI223" s="29"/>
      <c r="FJ223" s="29"/>
      <c r="FK223" s="29">
        <v>156</v>
      </c>
      <c r="FL223" s="1504">
        <v>41244</v>
      </c>
      <c r="FM223" s="19">
        <v>107.13770484851364</v>
      </c>
      <c r="FN223" s="93">
        <v>117.98232027811426</v>
      </c>
      <c r="FO223" s="93">
        <v>106.16227146654012</v>
      </c>
      <c r="FP223" s="93">
        <v>101.89286795694056</v>
      </c>
      <c r="FQ223" s="93">
        <v>107.04147145883618</v>
      </c>
      <c r="FR223" s="93">
        <v>98.387014671002092</v>
      </c>
      <c r="FS223" s="93">
        <v>100.48198342058986</v>
      </c>
      <c r="FT223" s="93">
        <v>105.52008643619479</v>
      </c>
      <c r="FU223" s="93">
        <v>62.662126880226687</v>
      </c>
      <c r="FV223" s="93">
        <v>97.609237105268818</v>
      </c>
      <c r="FW223" s="93">
        <v>104.37383572273448</v>
      </c>
      <c r="FX223" s="93">
        <v>115.08000382130793</v>
      </c>
      <c r="FY223" s="93">
        <v>104.03023975647417</v>
      </c>
      <c r="FZ223" s="29">
        <v>156</v>
      </c>
      <c r="GA223" s="1504">
        <v>41244</v>
      </c>
      <c r="GB223" s="733">
        <v>107.13770484851364</v>
      </c>
      <c r="GC223" s="570">
        <v>106.00731233922127</v>
      </c>
      <c r="GD223" s="570">
        <v>107.86672666253142</v>
      </c>
      <c r="GE223" s="570">
        <v>108.09793417253825</v>
      </c>
      <c r="GF223" s="570">
        <v>117.15543162866101</v>
      </c>
      <c r="GG223" s="570">
        <v>103.40341233090656</v>
      </c>
      <c r="GH223" s="93"/>
      <c r="GI223" s="93"/>
      <c r="GJ223" s="93"/>
      <c r="GK223" s="93"/>
      <c r="GL223" s="93"/>
      <c r="GM223" s="93"/>
      <c r="GN223" s="20"/>
      <c r="GO223" s="29">
        <v>156</v>
      </c>
      <c r="GP223" s="1504">
        <v>41244</v>
      </c>
      <c r="GQ223" s="19"/>
      <c r="GR223" s="93"/>
      <c r="GS223" s="93"/>
      <c r="GT223" s="93"/>
      <c r="GU223" s="93"/>
      <c r="GV223" s="20"/>
      <c r="GW223" s="19"/>
      <c r="GX223" s="93"/>
      <c r="GY223" s="93"/>
      <c r="GZ223" s="93"/>
      <c r="HA223" s="93"/>
      <c r="HB223" s="20"/>
      <c r="HC223" s="19"/>
      <c r="HD223" s="93"/>
      <c r="HE223" s="93"/>
      <c r="HF223" s="93"/>
      <c r="HG223" s="93"/>
      <c r="HH223" s="20"/>
      <c r="HI223" s="19"/>
      <c r="HJ223" s="93"/>
      <c r="HK223" s="93"/>
      <c r="HL223" s="93"/>
      <c r="HM223" s="93"/>
      <c r="HN223" s="20"/>
      <c r="HO223" s="219"/>
      <c r="HP223" s="20"/>
      <c r="HQ223" s="25"/>
      <c r="HR223" s="29">
        <v>156</v>
      </c>
      <c r="HS223" s="1504">
        <v>41244</v>
      </c>
      <c r="HT223" s="179">
        <v>286.51095428466795</v>
      </c>
      <c r="HU223" s="99">
        <v>203.12500381469727</v>
      </c>
      <c r="HV223" s="99">
        <v>205.55555725097656</v>
      </c>
      <c r="HW223" s="99">
        <v>145.63107299804688</v>
      </c>
      <c r="HX223" s="99">
        <v>203.75</v>
      </c>
      <c r="HY223" s="99">
        <v>226.38889617919921</v>
      </c>
      <c r="HZ223" s="99">
        <v>269.55292968750001</v>
      </c>
      <c r="IA223" s="132">
        <v>200.00000762939453</v>
      </c>
      <c r="IB223" s="179"/>
      <c r="IC223" s="99">
        <v>138.75</v>
      </c>
      <c r="ID223" s="99">
        <v>208.33333333333334</v>
      </c>
      <c r="IE223" s="99">
        <v>125.59322814941406</v>
      </c>
      <c r="IF223" s="99">
        <v>200.71679077148437</v>
      </c>
      <c r="IG223" s="132">
        <v>166.11111755371093</v>
      </c>
      <c r="IH223" s="179">
        <v>120.63987579345704</v>
      </c>
      <c r="II223" s="99">
        <v>189.69585418701172</v>
      </c>
      <c r="IJ223" s="99">
        <v>146.39639282226563</v>
      </c>
      <c r="IK223" s="99">
        <v>162.45487976074219</v>
      </c>
      <c r="IL223" s="99">
        <v>137.56107940673829</v>
      </c>
      <c r="IM223" s="99">
        <v>150.00000381469727</v>
      </c>
      <c r="IN223" s="93"/>
      <c r="IO223" s="132">
        <v>164.51613464355469</v>
      </c>
      <c r="IP223" s="29">
        <v>156</v>
      </c>
      <c r="IQ223" s="19"/>
      <c r="IR223" s="93"/>
      <c r="IS223" s="93"/>
      <c r="IT223" s="93"/>
      <c r="IU223" s="93"/>
      <c r="IV223" s="20"/>
      <c r="IW223" s="29">
        <v>156</v>
      </c>
      <c r="IX223" s="19"/>
      <c r="IY223" s="93"/>
      <c r="IZ223" s="93"/>
      <c r="JA223" s="93"/>
      <c r="JB223" s="93"/>
      <c r="JC223" s="93"/>
      <c r="JD223" s="93"/>
      <c r="JE223" s="20"/>
      <c r="JF223" s="29">
        <v>156</v>
      </c>
      <c r="JG223" s="19"/>
      <c r="JH223" s="93"/>
      <c r="JI223" s="93"/>
      <c r="JJ223" s="93"/>
      <c r="JK223" s="93"/>
      <c r="JL223" s="93"/>
      <c r="JM223" s="93"/>
      <c r="JN223" s="20"/>
      <c r="JO223" s="29">
        <v>156</v>
      </c>
      <c r="JP223" s="19"/>
      <c r="JQ223" s="93"/>
      <c r="JR223" s="93"/>
      <c r="JS223" s="93"/>
      <c r="JT223" s="93"/>
      <c r="JU223" s="20"/>
      <c r="JV223" s="29">
        <v>156</v>
      </c>
      <c r="JW223" s="1504">
        <v>41244</v>
      </c>
      <c r="JX223" s="19"/>
      <c r="JY223" s="93"/>
      <c r="JZ223" s="93"/>
      <c r="KA223" s="93"/>
      <c r="KB223" s="93"/>
      <c r="KC223" s="93"/>
      <c r="KD223" s="20"/>
      <c r="KE223" s="29">
        <v>156</v>
      </c>
      <c r="KF223" s="19"/>
      <c r="KG223" s="93"/>
      <c r="KH223" s="93"/>
      <c r="KI223" s="93"/>
      <c r="KJ223" s="93"/>
      <c r="KK223" s="20"/>
      <c r="KL223" s="29">
        <v>156</v>
      </c>
      <c r="KM223" s="19"/>
      <c r="KN223" s="93"/>
      <c r="KO223" s="93"/>
      <c r="KP223" s="93"/>
      <c r="KQ223" s="93"/>
      <c r="KR223" s="20"/>
      <c r="KS223" s="29">
        <v>156</v>
      </c>
      <c r="KT223" s="19"/>
      <c r="KU223" s="93"/>
      <c r="KV223" s="93"/>
      <c r="KW223" s="93"/>
      <c r="KX223" s="93"/>
      <c r="KY223" s="20"/>
      <c r="KZ223" s="29">
        <v>156</v>
      </c>
      <c r="LA223" s="1504">
        <v>41244</v>
      </c>
      <c r="LB223" s="19">
        <v>510</v>
      </c>
      <c r="LC223" s="93">
        <v>740</v>
      </c>
      <c r="LD223" s="93">
        <v>732</v>
      </c>
      <c r="LE223" s="93"/>
      <c r="LF223" s="93">
        <v>656</v>
      </c>
      <c r="LG223" s="93"/>
      <c r="LH223" s="20"/>
      <c r="LI223" s="29">
        <v>156</v>
      </c>
      <c r="LJ223" s="19"/>
      <c r="LK223" s="93"/>
      <c r="LL223" s="93"/>
      <c r="LM223" s="93"/>
      <c r="LN223" s="93"/>
      <c r="LO223" s="20"/>
      <c r="LP223" s="29">
        <v>156</v>
      </c>
      <c r="LQ223" s="19"/>
      <c r="LR223" s="93"/>
      <c r="LS223" s="93"/>
      <c r="LT223" s="93"/>
      <c r="LU223" s="93"/>
      <c r="LV223" s="93"/>
      <c r="LW223" s="93"/>
      <c r="LX223" s="93"/>
      <c r="LY223" s="93"/>
      <c r="LZ223" s="93"/>
      <c r="MA223" s="20"/>
      <c r="MB223" s="29">
        <v>156</v>
      </c>
      <c r="MC223" s="1504">
        <v>41244</v>
      </c>
      <c r="MD223" s="19">
        <v>96908.432359999933</v>
      </c>
      <c r="ME223" s="93">
        <v>81933.216999999931</v>
      </c>
      <c r="MF223" s="93">
        <v>81933.216999999931</v>
      </c>
      <c r="MG223" s="93">
        <v>72669.915999999925</v>
      </c>
      <c r="MH223" s="93">
        <v>22911.009708980298</v>
      </c>
      <c r="MI223" s="93">
        <v>270.17530067015304</v>
      </c>
      <c r="MJ223" s="93">
        <v>375.49632157871213</v>
      </c>
      <c r="MK223" s="93">
        <v>37376.453458638403</v>
      </c>
      <c r="ML223" s="93">
        <v>11408.933106171347</v>
      </c>
      <c r="MM223" s="93">
        <v>327.84810396100562</v>
      </c>
      <c r="MN223" s="93">
        <v>9263.3009999999995</v>
      </c>
      <c r="MO223" s="93">
        <v>1155.4573206010175</v>
      </c>
      <c r="MP223" s="93">
        <v>3102.28445196538</v>
      </c>
      <c r="MQ223" s="93">
        <v>13.20875061966469</v>
      </c>
      <c r="MR223" s="93">
        <v>10.211891591772154</v>
      </c>
      <c r="MS223" s="93">
        <v>4982.1385852221656</v>
      </c>
      <c r="MT223" s="93">
        <v>0</v>
      </c>
      <c r="MU223" s="93">
        <v>14975.215360000011</v>
      </c>
      <c r="MV223" s="93">
        <v>9599.3749590000098</v>
      </c>
      <c r="MW223" s="93">
        <v>5375.8404009999995</v>
      </c>
      <c r="MX223" s="93">
        <v>228842.44225895012</v>
      </c>
      <c r="MY223" s="93">
        <v>234978.84650195012</v>
      </c>
      <c r="MZ223" s="93">
        <v>112650.5683939501</v>
      </c>
      <c r="NA223" s="93">
        <v>27636.700270249999</v>
      </c>
      <c r="NB223" s="93">
        <v>27402.169361000098</v>
      </c>
      <c r="NC223" s="93">
        <v>4025.2613270000002</v>
      </c>
      <c r="ND223" s="93">
        <v>3992.6796730000001</v>
      </c>
      <c r="NE223" s="93">
        <v>32.581654</v>
      </c>
      <c r="NF223" s="93">
        <v>53586.437435699998</v>
      </c>
      <c r="NG223" s="93">
        <v>26.394871999999502</v>
      </c>
      <c r="NH223" s="93">
        <v>0</v>
      </c>
      <c r="NI223" s="93">
        <v>0</v>
      </c>
      <c r="NJ223" s="93">
        <v>0</v>
      </c>
      <c r="NK223" s="93">
        <v>122328.27810800001</v>
      </c>
      <c r="NL223" s="93">
        <v>105575.28814599999</v>
      </c>
      <c r="NM223" s="93">
        <v>4449.6950260000003</v>
      </c>
      <c r="NN223" s="93">
        <v>12303.294936000024</v>
      </c>
      <c r="NO223" s="93">
        <v>-6136.4042429999936</v>
      </c>
      <c r="NP223" s="93">
        <v>-131934.00989895017</v>
      </c>
      <c r="NQ223" s="93">
        <v>-146909.22525895017</v>
      </c>
      <c r="NR223" s="93">
        <v>-130580.66899595018</v>
      </c>
      <c r="NS223" s="93">
        <v>-134605.93032295018</v>
      </c>
      <c r="NT223" s="93">
        <v>-58695.172709950042</v>
      </c>
      <c r="NU223" s="93">
        <v>-73670.388069950044</v>
      </c>
      <c r="NV223" s="93">
        <v>59518.618549999999</v>
      </c>
      <c r="NW223" s="93">
        <v>1914.7893360000128</v>
      </c>
      <c r="NX223" s="93">
        <v>2966.3952890000128</v>
      </c>
      <c r="NY223" s="93">
        <v>-1051.6059530000002</v>
      </c>
      <c r="NZ223" s="93">
        <v>0</v>
      </c>
      <c r="OA223" s="93">
        <v>57603.829213999983</v>
      </c>
      <c r="OB223" s="93">
        <v>49084.708280999985</v>
      </c>
      <c r="OC223" s="93">
        <v>8519.1209330000002</v>
      </c>
      <c r="OD223" s="20">
        <v>0</v>
      </c>
      <c r="OE223" s="29">
        <v>156</v>
      </c>
      <c r="OF223" s="1504">
        <v>41244</v>
      </c>
      <c r="OG223" s="19"/>
      <c r="OH223" s="93">
        <v>230.10340000000002</v>
      </c>
      <c r="OI223" s="93">
        <v>758.8601825375714</v>
      </c>
      <c r="OJ223" s="93">
        <v>0.58480052900000001</v>
      </c>
      <c r="OK223" s="93">
        <v>674.30338200857148</v>
      </c>
      <c r="OL223" s="93">
        <v>83.971999999999994</v>
      </c>
      <c r="OM223" s="93">
        <v>988.96358253757148</v>
      </c>
      <c r="ON223" s="93">
        <v>705.45571828117068</v>
      </c>
      <c r="OO223" s="93">
        <v>1694.4193008187422</v>
      </c>
      <c r="OP223" s="93"/>
      <c r="OQ223" s="93">
        <v>773.58323551400599</v>
      </c>
      <c r="OR223" s="93">
        <v>229.93110881099994</v>
      </c>
      <c r="OS223" s="93">
        <v>543.65212670300605</v>
      </c>
      <c r="OT223" s="93">
        <v>1161.2051007597361</v>
      </c>
      <c r="OU223" s="93">
        <v>-101.104218059</v>
      </c>
      <c r="OV223" s="93">
        <v>-84.570218059000013</v>
      </c>
      <c r="OW223" s="93">
        <v>-16.533999999999992</v>
      </c>
      <c r="OX223" s="93">
        <v>1262.3093188187361</v>
      </c>
      <c r="OY223" s="93">
        <v>4.6383452320000007</v>
      </c>
      <c r="OZ223" s="93">
        <v>1257.6709735867362</v>
      </c>
      <c r="PA223" s="93">
        <v>271.73460710500001</v>
      </c>
      <c r="PB223" s="93">
        <v>-31.365571650000021</v>
      </c>
      <c r="PC223" s="20">
        <v>1694.4193008187419</v>
      </c>
      <c r="PD223" s="29">
        <v>156</v>
      </c>
      <c r="PE223" s="19"/>
      <c r="PF223" s="93">
        <v>229.93110881099994</v>
      </c>
      <c r="PG223" s="93">
        <v>505.16337952699996</v>
      </c>
      <c r="PH223" s="93">
        <v>275.23227071600002</v>
      </c>
      <c r="PI223" s="93">
        <v>219.775346278</v>
      </c>
      <c r="PJ223" s="93">
        <v>-79.994718059000007</v>
      </c>
      <c r="PK223" s="93">
        <v>138.60447900299999</v>
      </c>
      <c r="PL223" s="93">
        <v>218.599197062</v>
      </c>
      <c r="PM223" s="93">
        <v>4.6383452320000007</v>
      </c>
      <c r="PN223" s="93">
        <v>1.06</v>
      </c>
      <c r="PO223" s="93">
        <v>0</v>
      </c>
      <c r="PP223" s="93">
        <v>0</v>
      </c>
      <c r="PQ223" s="93">
        <v>3.5783452320000002</v>
      </c>
      <c r="PR223" s="93">
        <v>371.85621340800003</v>
      </c>
      <c r="PS223" s="93">
        <v>282.90890000000002</v>
      </c>
      <c r="PT223" s="93">
        <v>88.362512878999993</v>
      </c>
      <c r="PU223" s="93">
        <v>0.58480052900000001</v>
      </c>
      <c r="PV223" s="93">
        <v>0</v>
      </c>
      <c r="PW223" s="93">
        <v>0.27290745700000002</v>
      </c>
      <c r="PX223" s="93">
        <v>0</v>
      </c>
      <c r="PY223" s="93">
        <v>0</v>
      </c>
      <c r="PZ223" s="93">
        <v>0.27290745700000002</v>
      </c>
      <c r="QA223" s="93">
        <v>0</v>
      </c>
      <c r="QB223" s="93">
        <v>0</v>
      </c>
      <c r="QC223" s="93">
        <v>0</v>
      </c>
      <c r="QD223" s="93">
        <v>0.46769964800000002</v>
      </c>
      <c r="QE223" s="20">
        <v>1.7532617489999931</v>
      </c>
      <c r="QF223" s="1739">
        <v>156</v>
      </c>
      <c r="QG223" s="19"/>
      <c r="QH223" s="1035">
        <v>543.65212670300605</v>
      </c>
      <c r="QI223" s="1035">
        <v>696.2680264132639</v>
      </c>
      <c r="QJ223" s="1035">
        <v>-152.61589971025782</v>
      </c>
      <c r="QK223" s="1035">
        <v>147.36199999999999</v>
      </c>
      <c r="QL223" s="1035">
        <v>48.23</v>
      </c>
      <c r="QM223" s="1035">
        <v>99.132000000000005</v>
      </c>
      <c r="QN223" s="1035">
        <v>0</v>
      </c>
      <c r="QO223" s="1035">
        <v>-16.533999999999992</v>
      </c>
      <c r="QP223" s="1035">
        <v>139.137</v>
      </c>
      <c r="QQ223" s="1035">
        <v>-155.67099999999999</v>
      </c>
      <c r="QR223" s="1035">
        <v>1257.6709735867362</v>
      </c>
      <c r="QS223" s="1035">
        <v>16.619787813759121</v>
      </c>
      <c r="QT223" s="1035">
        <v>0</v>
      </c>
      <c r="QU223" s="1035">
        <v>177.33099999999999</v>
      </c>
      <c r="QV223" s="1035">
        <v>1063.7201857729769</v>
      </c>
      <c r="QW223" s="93"/>
      <c r="QX223" s="93">
        <v>219.947</v>
      </c>
      <c r="QY223" s="93">
        <v>674.30338200857136</v>
      </c>
      <c r="QZ223" s="93">
        <v>705.45571828117068</v>
      </c>
      <c r="RA223" s="93">
        <v>0</v>
      </c>
      <c r="RB223" s="93">
        <v>35.346000000000004</v>
      </c>
      <c r="RC223" s="93">
        <v>9.8179999999999996</v>
      </c>
      <c r="RD223" s="93">
        <v>17.266999999999999</v>
      </c>
      <c r="RE223" s="93">
        <v>0</v>
      </c>
      <c r="RF223" s="93">
        <v>0</v>
      </c>
      <c r="RG223" s="93">
        <v>208.56300000000002</v>
      </c>
      <c r="RH223" s="93">
        <v>61.451000000000008</v>
      </c>
      <c r="RI223" s="93"/>
      <c r="RJ223" s="93"/>
      <c r="RK223" s="93"/>
      <c r="RL223" s="93"/>
      <c r="RM223" s="734"/>
      <c r="RN223" s="29">
        <v>156</v>
      </c>
      <c r="RO223" s="19">
        <v>43</v>
      </c>
      <c r="RP223" s="20"/>
      <c r="RQ223" s="29">
        <v>156</v>
      </c>
      <c r="RR223" s="734">
        <v>2.4286770900000003</v>
      </c>
      <c r="RS223" s="29">
        <v>156</v>
      </c>
      <c r="RT223" s="1504">
        <v>41244</v>
      </c>
      <c r="RU223" s="19"/>
      <c r="RV223" s="20"/>
      <c r="RW223" s="29">
        <v>156</v>
      </c>
      <c r="RX223" s="1504">
        <v>41244</v>
      </c>
      <c r="RY223" s="29"/>
      <c r="RZ223" s="734"/>
      <c r="SA223" s="29"/>
      <c r="SB223" s="29">
        <v>156</v>
      </c>
    </row>
    <row r="224" spans="1:496">
      <c r="A224" s="41">
        <f t="shared" si="208"/>
        <v>2013</v>
      </c>
      <c r="B224" s="1504">
        <v>41275</v>
      </c>
      <c r="C224" s="1813">
        <v>1240</v>
      </c>
      <c r="D224" s="1814">
        <v>16993</v>
      </c>
      <c r="E224" s="1814">
        <v>76</v>
      </c>
      <c r="F224" s="1815">
        <v>440</v>
      </c>
      <c r="G224" s="1814">
        <v>71747</v>
      </c>
      <c r="H224" s="1814">
        <v>21</v>
      </c>
      <c r="I224" s="1814">
        <v>24952</v>
      </c>
      <c r="J224" s="1816">
        <v>15147</v>
      </c>
      <c r="K224" s="1807">
        <v>130616</v>
      </c>
      <c r="L224" s="25">
        <v>157</v>
      </c>
      <c r="M224" s="97"/>
      <c r="N224" s="1504">
        <v>41275</v>
      </c>
      <c r="O224" s="19"/>
      <c r="P224" s="93"/>
      <c r="Q224" s="93"/>
      <c r="R224" s="93"/>
      <c r="S224" s="93"/>
      <c r="T224" s="93"/>
      <c r="U224" s="93"/>
      <c r="V224" s="93"/>
      <c r="W224" s="93"/>
      <c r="X224" s="93"/>
      <c r="Y224" s="93"/>
      <c r="Z224" s="93"/>
      <c r="AA224" s="93"/>
      <c r="AB224" s="20"/>
      <c r="AC224" s="25">
        <v>157</v>
      </c>
      <c r="AD224" s="97"/>
      <c r="AE224" s="1504">
        <v>41275</v>
      </c>
      <c r="AF224" s="19"/>
      <c r="AG224" s="93"/>
      <c r="AH224" s="93"/>
      <c r="AI224" s="93"/>
      <c r="AJ224" s="93"/>
      <c r="AK224" s="93"/>
      <c r="AL224" s="93"/>
      <c r="AM224" s="93"/>
      <c r="AN224" s="93"/>
      <c r="AO224" s="93"/>
      <c r="AP224" s="93"/>
      <c r="AQ224" s="93"/>
      <c r="AR224" s="93"/>
      <c r="AS224" s="20"/>
      <c r="AT224" s="25">
        <v>157</v>
      </c>
      <c r="AU224" s="97"/>
      <c r="AV224" s="1504">
        <v>41275</v>
      </c>
      <c r="AW224" s="19"/>
      <c r="AX224" s="93"/>
      <c r="AY224" s="93"/>
      <c r="AZ224" s="93"/>
      <c r="BA224" s="93"/>
      <c r="BB224" s="93"/>
      <c r="BC224" s="93"/>
      <c r="BD224" s="93"/>
      <c r="BE224" s="93"/>
      <c r="BF224" s="93"/>
      <c r="BG224" s="93"/>
      <c r="BH224" s="93"/>
      <c r="BI224" s="93"/>
      <c r="BJ224" s="20"/>
      <c r="BK224" s="25">
        <v>157</v>
      </c>
      <c r="BL224" s="97"/>
      <c r="BM224" s="1504">
        <v>41275</v>
      </c>
      <c r="BN224" s="19"/>
      <c r="BO224" s="93"/>
      <c r="BP224" s="93"/>
      <c r="BQ224" s="93"/>
      <c r="BR224" s="93"/>
      <c r="BS224" s="93"/>
      <c r="BT224" s="93"/>
      <c r="BU224" s="20"/>
      <c r="BV224" s="25">
        <v>157</v>
      </c>
      <c r="BW224" s="97"/>
      <c r="BX224" s="1504">
        <v>41275</v>
      </c>
      <c r="BY224" s="179">
        <v>493.64699991999998</v>
      </c>
      <c r="BZ224" s="99">
        <v>664.95699999999999</v>
      </c>
      <c r="CA224" s="93"/>
      <c r="CB224" s="93"/>
      <c r="CC224" s="99">
        <v>260.46021694645538</v>
      </c>
      <c r="CD224" s="25">
        <v>157</v>
      </c>
      <c r="CE224" s="97"/>
      <c r="CF224" s="1504">
        <v>41275</v>
      </c>
      <c r="CG224" s="179">
        <v>1.8851705620000001</v>
      </c>
      <c r="CH224" s="99">
        <v>1671.8478260869599</v>
      </c>
      <c r="CI224" s="219"/>
      <c r="CJ224" s="20"/>
      <c r="CK224" s="19"/>
      <c r="CL224" s="93"/>
      <c r="CM224" s="93"/>
      <c r="CN224" s="93"/>
      <c r="CO224" s="93"/>
      <c r="CP224" s="20"/>
      <c r="CQ224" s="219">
        <v>2270.7600000000002</v>
      </c>
      <c r="CR224" s="93">
        <v>3.052</v>
      </c>
      <c r="CS224" s="93"/>
      <c r="CT224" s="93"/>
      <c r="CU224" s="93"/>
      <c r="CV224" s="214"/>
      <c r="CW224" s="29">
        <v>157</v>
      </c>
      <c r="CX224" s="41">
        <f t="shared" si="209"/>
        <v>2013</v>
      </c>
      <c r="CY224" s="1504">
        <v>41275</v>
      </c>
      <c r="CZ224" s="1916">
        <v>81.411712873558997</v>
      </c>
      <c r="DA224" s="1526">
        <v>48.13008587355899</v>
      </c>
      <c r="DB224" s="1526">
        <v>33.281627</v>
      </c>
      <c r="DC224" s="182">
        <f t="shared" ref="DC224:DC234" si="216">DC225</f>
        <v>472441</v>
      </c>
      <c r="DD224" s="182">
        <f t="shared" ref="DD224:DD234" si="217">DD225</f>
        <v>471097</v>
      </c>
      <c r="DE224" s="182">
        <f t="shared" ref="DE224:DE234" si="218">DE225</f>
        <v>1344</v>
      </c>
      <c r="DF224" s="29">
        <v>157</v>
      </c>
      <c r="DG224" s="1504">
        <v>41275</v>
      </c>
      <c r="DH224" s="19"/>
      <c r="DI224" s="93"/>
      <c r="DJ224" s="93"/>
      <c r="DK224" s="93"/>
      <c r="DL224" s="93"/>
      <c r="DM224" s="93"/>
      <c r="DN224" s="20"/>
      <c r="DO224" s="25"/>
      <c r="DP224" s="29">
        <v>157</v>
      </c>
      <c r="DQ224" s="1504">
        <v>41275</v>
      </c>
      <c r="DR224" s="19"/>
      <c r="DS224" s="93"/>
      <c r="DT224" s="93"/>
      <c r="DU224" s="93"/>
      <c r="DV224" s="93"/>
      <c r="DW224" s="93"/>
      <c r="DX224" s="20"/>
      <c r="DY224" s="29">
        <v>157</v>
      </c>
      <c r="DZ224" s="1504">
        <v>41275</v>
      </c>
      <c r="EA224" s="19"/>
      <c r="EB224" s="93"/>
      <c r="EC224" s="20"/>
      <c r="ED224" s="29">
        <v>157</v>
      </c>
      <c r="EE224" s="1504">
        <v>41275</v>
      </c>
      <c r="EF224" s="19"/>
      <c r="EG224" s="93"/>
      <c r="EH224" s="93"/>
      <c r="EI224" s="214"/>
      <c r="EJ224" s="93"/>
      <c r="EK224" s="93"/>
      <c r="EL224" s="93"/>
      <c r="EM224" s="93"/>
      <c r="EN224" s="20"/>
      <c r="EO224" s="29">
        <v>157</v>
      </c>
      <c r="EP224" s="1504">
        <v>41275</v>
      </c>
      <c r="EQ224" s="19"/>
      <c r="ER224" s="93"/>
      <c r="ES224" s="93"/>
      <c r="ET224" s="214"/>
      <c r="EU224" s="93"/>
      <c r="EV224" s="93"/>
      <c r="EW224" s="93"/>
      <c r="EX224" s="93"/>
      <c r="EY224" s="20"/>
      <c r="EZ224" s="29">
        <v>157</v>
      </c>
      <c r="FA224" s="1504">
        <v>41275</v>
      </c>
      <c r="FB224" s="29"/>
      <c r="FC224" s="29"/>
      <c r="FD224" s="29"/>
      <c r="FE224" s="29"/>
      <c r="FF224" s="29"/>
      <c r="FG224" s="29"/>
      <c r="FH224" s="29"/>
      <c r="FI224" s="29"/>
      <c r="FJ224" s="29"/>
      <c r="FK224" s="29">
        <v>157</v>
      </c>
      <c r="FL224" s="1504">
        <v>41275</v>
      </c>
      <c r="FM224" s="19">
        <v>106.32376685740691</v>
      </c>
      <c r="FN224" s="93">
        <v>114.96719276577272</v>
      </c>
      <c r="FO224" s="93">
        <v>102.04024111494304</v>
      </c>
      <c r="FP224" s="93">
        <v>101.93574218775622</v>
      </c>
      <c r="FQ224" s="93">
        <v>108.2619818694877</v>
      </c>
      <c r="FR224" s="93">
        <v>98.531910584666747</v>
      </c>
      <c r="FS224" s="93">
        <v>100.86008751144475</v>
      </c>
      <c r="FT224" s="93">
        <v>105.34616389297101</v>
      </c>
      <c r="FU224" s="93">
        <v>64.237148742748786</v>
      </c>
      <c r="FV224" s="93">
        <v>97.483667333484959</v>
      </c>
      <c r="FW224" s="93">
        <v>104.37383572273448</v>
      </c>
      <c r="FX224" s="93">
        <v>116.80054138678149</v>
      </c>
      <c r="FY224" s="93">
        <v>103.90787505571663</v>
      </c>
      <c r="FZ224" s="29">
        <v>157</v>
      </c>
      <c r="GA224" s="1504">
        <v>41275</v>
      </c>
      <c r="GB224" s="733">
        <v>106.32376685740691</v>
      </c>
      <c r="GC224" s="570">
        <v>105.71491441902594</v>
      </c>
      <c r="GD224" s="570">
        <v>106.71610336567947</v>
      </c>
      <c r="GE224" s="570">
        <v>108.26716682070821</v>
      </c>
      <c r="GF224" s="570">
        <v>111.67975293602335</v>
      </c>
      <c r="GG224" s="570">
        <v>104.05910301540811</v>
      </c>
      <c r="GH224" s="93"/>
      <c r="GI224" s="93"/>
      <c r="GJ224" s="93"/>
      <c r="GK224" s="93"/>
      <c r="GL224" s="93"/>
      <c r="GM224" s="93"/>
      <c r="GN224" s="20"/>
      <c r="GO224" s="29">
        <v>157</v>
      </c>
      <c r="GP224" s="1504">
        <v>41275</v>
      </c>
      <c r="GQ224" s="19"/>
      <c r="GR224" s="93"/>
      <c r="GS224" s="93"/>
      <c r="GT224" s="93"/>
      <c r="GU224" s="93"/>
      <c r="GV224" s="20"/>
      <c r="GW224" s="19"/>
      <c r="GX224" s="93"/>
      <c r="GY224" s="93"/>
      <c r="GZ224" s="93"/>
      <c r="HA224" s="93"/>
      <c r="HB224" s="20"/>
      <c r="HC224" s="19"/>
      <c r="HD224" s="93"/>
      <c r="HE224" s="93"/>
      <c r="HF224" s="93"/>
      <c r="HG224" s="93"/>
      <c r="HH224" s="20"/>
      <c r="HI224" s="19"/>
      <c r="HJ224" s="93"/>
      <c r="HK224" s="93"/>
      <c r="HL224" s="93"/>
      <c r="HM224" s="93"/>
      <c r="HN224" s="20"/>
      <c r="HO224" s="219"/>
      <c r="HP224" s="20"/>
      <c r="HQ224" s="25"/>
      <c r="HR224" s="29">
        <v>157</v>
      </c>
      <c r="HS224" s="1504">
        <v>41275</v>
      </c>
      <c r="HT224" s="179">
        <v>254.8573169708252</v>
      </c>
      <c r="HU224" s="99">
        <v>212.23958587646484</v>
      </c>
      <c r="HV224" s="99">
        <v>200</v>
      </c>
      <c r="HW224" s="99">
        <v>152.91262817382813</v>
      </c>
      <c r="HX224" s="99">
        <v>203.33333435058594</v>
      </c>
      <c r="HY224" s="99">
        <v>220.86721801757813</v>
      </c>
      <c r="HZ224" s="99">
        <v>253.10211435953775</v>
      </c>
      <c r="IA224" s="132">
        <v>187.09678649902344</v>
      </c>
      <c r="IB224" s="179">
        <v>186.20688781738281</v>
      </c>
      <c r="IC224" s="99">
        <v>125</v>
      </c>
      <c r="ID224" s="99">
        <v>205.35714721679688</v>
      </c>
      <c r="IE224" s="99">
        <v>157.76699447631836</v>
      </c>
      <c r="IF224" s="99">
        <v>218.64686584472656</v>
      </c>
      <c r="IG224" s="132">
        <v>175.00000762939453</v>
      </c>
      <c r="IH224" s="179">
        <v>127.91450500488281</v>
      </c>
      <c r="II224" s="99">
        <v>194.73617553710938</v>
      </c>
      <c r="IJ224" s="99">
        <v>153.5836181640625</v>
      </c>
      <c r="IK224" s="99">
        <v>164.83515930175781</v>
      </c>
      <c r="IL224" s="99">
        <v>138.91006469726563</v>
      </c>
      <c r="IM224" s="99">
        <v>152.58065185546874</v>
      </c>
      <c r="IN224" s="93"/>
      <c r="IO224" s="132">
        <v>162.17148590087891</v>
      </c>
      <c r="IP224" s="29">
        <v>157</v>
      </c>
      <c r="IQ224" s="19"/>
      <c r="IR224" s="93"/>
      <c r="IS224" s="93"/>
      <c r="IT224" s="93"/>
      <c r="IU224" s="93"/>
      <c r="IV224" s="20"/>
      <c r="IW224" s="29">
        <v>157</v>
      </c>
      <c r="IX224" s="19"/>
      <c r="IY224" s="93"/>
      <c r="IZ224" s="93"/>
      <c r="JA224" s="93"/>
      <c r="JB224" s="93"/>
      <c r="JC224" s="93"/>
      <c r="JD224" s="93"/>
      <c r="JE224" s="20"/>
      <c r="JF224" s="29">
        <v>157</v>
      </c>
      <c r="JG224" s="19"/>
      <c r="JH224" s="93"/>
      <c r="JI224" s="93"/>
      <c r="JJ224" s="93"/>
      <c r="JK224" s="93"/>
      <c r="JL224" s="93"/>
      <c r="JM224" s="93"/>
      <c r="JN224" s="20"/>
      <c r="JO224" s="29">
        <v>157</v>
      </c>
      <c r="JP224" s="19"/>
      <c r="JQ224" s="93"/>
      <c r="JR224" s="93"/>
      <c r="JS224" s="93"/>
      <c r="JT224" s="93"/>
      <c r="JU224" s="20"/>
      <c r="JV224" s="29">
        <v>157</v>
      </c>
      <c r="JW224" s="1504">
        <v>41275</v>
      </c>
      <c r="JX224" s="19"/>
      <c r="JY224" s="93"/>
      <c r="JZ224" s="93"/>
      <c r="KA224" s="93"/>
      <c r="KB224" s="93"/>
      <c r="KC224" s="93"/>
      <c r="KD224" s="20"/>
      <c r="KE224" s="29">
        <v>157</v>
      </c>
      <c r="KF224" s="19"/>
      <c r="KG224" s="93"/>
      <c r="KH224" s="93"/>
      <c r="KI224" s="93"/>
      <c r="KJ224" s="93"/>
      <c r="KK224" s="20"/>
      <c r="KL224" s="29">
        <v>157</v>
      </c>
      <c r="KM224" s="19"/>
      <c r="KN224" s="93"/>
      <c r="KO224" s="93"/>
      <c r="KP224" s="93"/>
      <c r="KQ224" s="93"/>
      <c r="KR224" s="20"/>
      <c r="KS224" s="29">
        <v>157</v>
      </c>
      <c r="KT224" s="19"/>
      <c r="KU224" s="93"/>
      <c r="KV224" s="93"/>
      <c r="KW224" s="93"/>
      <c r="KX224" s="93"/>
      <c r="KY224" s="20"/>
      <c r="KZ224" s="29">
        <v>157</v>
      </c>
      <c r="LA224" s="1504">
        <v>41275</v>
      </c>
      <c r="LB224" s="19">
        <v>510</v>
      </c>
      <c r="LC224" s="93">
        <v>740</v>
      </c>
      <c r="LD224" s="93">
        <v>732</v>
      </c>
      <c r="LE224" s="93"/>
      <c r="LF224" s="93">
        <v>656</v>
      </c>
      <c r="LG224" s="93"/>
      <c r="LH224" s="20"/>
      <c r="LI224" s="29">
        <v>157</v>
      </c>
      <c r="LJ224" s="19"/>
      <c r="LK224" s="93"/>
      <c r="LL224" s="93"/>
      <c r="LM224" s="93"/>
      <c r="LN224" s="93"/>
      <c r="LO224" s="20"/>
      <c r="LP224" s="29">
        <v>157</v>
      </c>
      <c r="LQ224" s="19"/>
      <c r="LR224" s="93"/>
      <c r="LS224" s="93"/>
      <c r="LT224" s="93"/>
      <c r="LU224" s="93"/>
      <c r="LV224" s="93"/>
      <c r="LW224" s="93"/>
      <c r="LX224" s="93"/>
      <c r="LY224" s="93"/>
      <c r="LZ224" s="93"/>
      <c r="MA224" s="20"/>
      <c r="MB224" s="29">
        <v>157</v>
      </c>
      <c r="MC224" s="1504">
        <v>41275</v>
      </c>
      <c r="MD224" s="19">
        <v>105958.86831302223</v>
      </c>
      <c r="ME224" s="93">
        <v>98715.960076000003</v>
      </c>
      <c r="MF224" s="93">
        <v>98668.628404000003</v>
      </c>
      <c r="MG224" s="93">
        <v>92311.274418000001</v>
      </c>
      <c r="MH224" s="93">
        <v>36397.005239999999</v>
      </c>
      <c r="MI224" s="93">
        <v>660.67346599999996</v>
      </c>
      <c r="MJ224" s="93">
        <v>383.27186899999998</v>
      </c>
      <c r="MK224" s="93">
        <v>42634.346774000005</v>
      </c>
      <c r="ML224" s="93">
        <v>11704.881127999999</v>
      </c>
      <c r="MM224" s="93">
        <v>531.09594100000004</v>
      </c>
      <c r="MN224" s="93">
        <v>6357.3539859999992</v>
      </c>
      <c r="MO224" s="93">
        <v>213.25044999999997</v>
      </c>
      <c r="MP224" s="93">
        <v>2136.1013130000001</v>
      </c>
      <c r="MQ224" s="93">
        <v>75.813747000000006</v>
      </c>
      <c r="MR224" s="93">
        <v>2.3210139999999999</v>
      </c>
      <c r="MS224" s="93">
        <v>3929.8674619999993</v>
      </c>
      <c r="MT224" s="93">
        <v>47.331671999999998</v>
      </c>
      <c r="MU224" s="93">
        <v>7242.9082370222304</v>
      </c>
      <c r="MV224" s="93">
        <v>7242.9082370222304</v>
      </c>
      <c r="MW224" s="93">
        <v>0</v>
      </c>
      <c r="MX224" s="93">
        <v>54274.722597308966</v>
      </c>
      <c r="MY224" s="93">
        <v>54373.958942308964</v>
      </c>
      <c r="MZ224" s="93">
        <v>34934.317050156205</v>
      </c>
      <c r="NA224" s="93">
        <v>20114.14899016665</v>
      </c>
      <c r="NB224" s="93">
        <v>4690.5208380000004</v>
      </c>
      <c r="NC224" s="93">
        <v>469.750418989563</v>
      </c>
      <c r="ND224" s="93">
        <v>68.648201999999998</v>
      </c>
      <c r="NE224" s="93">
        <v>401.10221698956303</v>
      </c>
      <c r="NF224" s="93">
        <v>9659.8968029999996</v>
      </c>
      <c r="NG224" s="93">
        <v>405.84571</v>
      </c>
      <c r="NH224" s="93">
        <v>1291.4945</v>
      </c>
      <c r="NI224" s="93">
        <v>2561.4082269999999</v>
      </c>
      <c r="NJ224" s="93">
        <v>1052.6602420000002</v>
      </c>
      <c r="NK224" s="93">
        <v>19439.641892152758</v>
      </c>
      <c r="NL224" s="93">
        <v>5131.383374</v>
      </c>
      <c r="NM224" s="93">
        <v>707.46620700000005</v>
      </c>
      <c r="NN224" s="93">
        <v>13600.79231115276</v>
      </c>
      <c r="NO224" s="93">
        <v>-99.236345000002274</v>
      </c>
      <c r="NP224" s="93">
        <v>51684.145715713275</v>
      </c>
      <c r="NQ224" s="93">
        <v>44441.237478691044</v>
      </c>
      <c r="NR224" s="93">
        <v>58511.78020883337</v>
      </c>
      <c r="NS224" s="93">
        <v>58042.0297898438</v>
      </c>
      <c r="NT224" s="93">
        <v>-13688.168631168708</v>
      </c>
      <c r="NU224" s="93">
        <v>-20931.076868190943</v>
      </c>
      <c r="NV224" s="93">
        <v>15829.704403445092</v>
      </c>
      <c r="NW224" s="93">
        <v>5043.0896204450892</v>
      </c>
      <c r="NX224" s="93">
        <v>6357.8840741305294</v>
      </c>
      <c r="NY224" s="93">
        <v>-1314.79445368544</v>
      </c>
      <c r="NZ224" s="93">
        <v>0</v>
      </c>
      <c r="OA224" s="93">
        <v>10786.614783000001</v>
      </c>
      <c r="OB224" s="93">
        <v>10786.614783000001</v>
      </c>
      <c r="OC224" s="93">
        <v>0</v>
      </c>
      <c r="OD224" s="20">
        <v>0</v>
      </c>
      <c r="OE224" s="29">
        <v>157</v>
      </c>
      <c r="OF224" s="1504">
        <v>41275</v>
      </c>
      <c r="OG224" s="19"/>
      <c r="OH224" s="93">
        <v>207.65129999999996</v>
      </c>
      <c r="OI224" s="93">
        <v>804.14353799436401</v>
      </c>
      <c r="OJ224" s="93">
        <v>0.61862872999999996</v>
      </c>
      <c r="OK224" s="93">
        <v>719.55290926436408</v>
      </c>
      <c r="OL224" s="93">
        <v>83.971999999999994</v>
      </c>
      <c r="OM224" s="93">
        <v>1011.794837994364</v>
      </c>
      <c r="ON224" s="93">
        <v>706.83264169970494</v>
      </c>
      <c r="OO224" s="93">
        <v>1718.6274796940688</v>
      </c>
      <c r="OP224" s="93"/>
      <c r="OQ224" s="93">
        <v>706.97637976510737</v>
      </c>
      <c r="OR224" s="93">
        <v>170.89455182500001</v>
      </c>
      <c r="OS224" s="93">
        <v>536.08182794010725</v>
      </c>
      <c r="OT224" s="93">
        <v>1237.6759923509619</v>
      </c>
      <c r="OU224" s="93">
        <v>-71.626353008000052</v>
      </c>
      <c r="OV224" s="93">
        <v>-58.313353008000028</v>
      </c>
      <c r="OW224" s="93">
        <v>-13.313000000000017</v>
      </c>
      <c r="OX224" s="93">
        <v>1309.3023453589619</v>
      </c>
      <c r="OY224" s="93">
        <v>4.6456223350000005</v>
      </c>
      <c r="OZ224" s="93">
        <v>1304.6567230239618</v>
      </c>
      <c r="PA224" s="93">
        <v>263.89473578999997</v>
      </c>
      <c r="PB224" s="93">
        <v>-37.869843368000019</v>
      </c>
      <c r="PC224" s="20">
        <v>1718.6274796940693</v>
      </c>
      <c r="PD224" s="29">
        <v>157</v>
      </c>
      <c r="PE224" s="19"/>
      <c r="PF224" s="93">
        <v>170.89455182500001</v>
      </c>
      <c r="PG224" s="93">
        <v>440.24099881199999</v>
      </c>
      <c r="PH224" s="93">
        <v>269.34644698699998</v>
      </c>
      <c r="PI224" s="93">
        <v>241.18100000000001</v>
      </c>
      <c r="PJ224" s="93">
        <v>-53.73785300800003</v>
      </c>
      <c r="PK224" s="93">
        <v>137.61193037299998</v>
      </c>
      <c r="PL224" s="93">
        <v>191.34978338100001</v>
      </c>
      <c r="PM224" s="93">
        <v>4.6456223350000005</v>
      </c>
      <c r="PN224" s="93">
        <v>1.06</v>
      </c>
      <c r="PO224" s="93">
        <v>0</v>
      </c>
      <c r="PP224" s="93">
        <v>8.9669599999999999E-4</v>
      </c>
      <c r="PQ224" s="93">
        <v>3.5847256390000002</v>
      </c>
      <c r="PR224" s="93">
        <v>366.38991848899997</v>
      </c>
      <c r="PS224" s="93">
        <v>256.00979999999998</v>
      </c>
      <c r="PT224" s="93">
        <v>109.761489759</v>
      </c>
      <c r="PU224" s="93">
        <v>0.61862872999999996</v>
      </c>
      <c r="PV224" s="93">
        <v>0</v>
      </c>
      <c r="PW224" s="93">
        <v>0.79455873099999996</v>
      </c>
      <c r="PX224" s="93">
        <v>0</v>
      </c>
      <c r="PY224" s="93">
        <v>0</v>
      </c>
      <c r="PZ224" s="93">
        <v>0.79455873099999996</v>
      </c>
      <c r="QA224" s="93">
        <v>0</v>
      </c>
      <c r="QB224" s="93">
        <v>0</v>
      </c>
      <c r="QC224" s="93">
        <v>0</v>
      </c>
      <c r="QD224" s="93">
        <v>0.522177059</v>
      </c>
      <c r="QE224" s="20">
        <v>-4.7233331270000001</v>
      </c>
      <c r="QF224" s="1739">
        <v>157</v>
      </c>
      <c r="QG224" s="19"/>
      <c r="QH224" s="1035">
        <v>536.08182794010725</v>
      </c>
      <c r="QI224" s="1035">
        <v>660.40727697603825</v>
      </c>
      <c r="QJ224" s="1035">
        <v>-124.32544903593099</v>
      </c>
      <c r="QK224" s="1035">
        <v>158.11099999999999</v>
      </c>
      <c r="QL224" s="1035">
        <v>43.783000000000001</v>
      </c>
      <c r="QM224" s="1035">
        <v>114.328</v>
      </c>
      <c r="QN224" s="1035">
        <v>0</v>
      </c>
      <c r="QO224" s="1035">
        <v>-13.313000000000017</v>
      </c>
      <c r="QP224" s="1035">
        <v>134.636</v>
      </c>
      <c r="QQ224" s="1035">
        <v>-147.94900000000001</v>
      </c>
      <c r="QR224" s="1035">
        <v>1304.6567230239618</v>
      </c>
      <c r="QS224" s="1035">
        <v>15.155182487466359</v>
      </c>
      <c r="QT224" s="1035">
        <v>0</v>
      </c>
      <c r="QU224" s="1035">
        <v>191.53100000000001</v>
      </c>
      <c r="QV224" s="1035">
        <v>1097.9705405364955</v>
      </c>
      <c r="QW224" s="93"/>
      <c r="QX224" s="93">
        <v>241.41399999999999</v>
      </c>
      <c r="QY224" s="93">
        <v>719.55290926436408</v>
      </c>
      <c r="QZ224" s="93">
        <v>706.83264169970494</v>
      </c>
      <c r="RA224" s="93">
        <v>0</v>
      </c>
      <c r="RB224" s="93">
        <v>28.036000000000001</v>
      </c>
      <c r="RC224" s="93">
        <v>9.8419999999999987</v>
      </c>
      <c r="RD224" s="93">
        <v>12.379</v>
      </c>
      <c r="RE224" s="93">
        <v>0</v>
      </c>
      <c r="RF224" s="93">
        <v>0</v>
      </c>
      <c r="RG224" s="93">
        <v>212.32099999999997</v>
      </c>
      <c r="RH224" s="93">
        <v>55.159000000000006</v>
      </c>
      <c r="RI224" s="93"/>
      <c r="RJ224" s="93"/>
      <c r="RK224" s="93"/>
      <c r="RL224" s="93"/>
      <c r="RM224" s="734"/>
      <c r="RN224" s="29">
        <v>157</v>
      </c>
      <c r="RO224" s="19">
        <v>43</v>
      </c>
      <c r="RP224" s="20"/>
      <c r="RQ224" s="29">
        <v>157</v>
      </c>
      <c r="RR224" s="734">
        <v>2.2527642000000001</v>
      </c>
      <c r="RS224" s="29">
        <v>157</v>
      </c>
      <c r="RT224" s="1504">
        <v>41275</v>
      </c>
      <c r="RU224" s="19"/>
      <c r="RV224" s="20"/>
      <c r="RW224" s="29">
        <v>157</v>
      </c>
      <c r="RX224" s="1504">
        <v>41275</v>
      </c>
      <c r="RY224" s="29"/>
      <c r="RZ224" s="734"/>
      <c r="SA224" s="29"/>
      <c r="SB224" s="29">
        <v>157</v>
      </c>
    </row>
    <row r="225" spans="1:496">
      <c r="A225" s="41">
        <f t="shared" si="208"/>
        <v>2013</v>
      </c>
      <c r="B225" s="1504">
        <v>41306</v>
      </c>
      <c r="C225" s="1813">
        <v>993</v>
      </c>
      <c r="D225" s="1814">
        <v>17873</v>
      </c>
      <c r="E225" s="1814">
        <v>67</v>
      </c>
      <c r="F225" s="1815">
        <v>629</v>
      </c>
      <c r="G225" s="1814">
        <v>68956</v>
      </c>
      <c r="H225" s="1814">
        <v>15</v>
      </c>
      <c r="I225" s="1814">
        <v>23842</v>
      </c>
      <c r="J225" s="1816">
        <v>14764</v>
      </c>
      <c r="K225" s="1807">
        <v>127139</v>
      </c>
      <c r="L225" s="25">
        <v>158</v>
      </c>
      <c r="M225" s="97"/>
      <c r="N225" s="1504">
        <v>41306</v>
      </c>
      <c r="O225" s="19"/>
      <c r="P225" s="93"/>
      <c r="Q225" s="93"/>
      <c r="R225" s="93"/>
      <c r="S225" s="93"/>
      <c r="T225" s="93"/>
      <c r="U225" s="93"/>
      <c r="V225" s="93"/>
      <c r="W225" s="93"/>
      <c r="X225" s="93"/>
      <c r="Y225" s="93"/>
      <c r="Z225" s="93"/>
      <c r="AA225" s="93"/>
      <c r="AB225" s="20"/>
      <c r="AC225" s="25">
        <v>158</v>
      </c>
      <c r="AD225" s="97"/>
      <c r="AE225" s="1504">
        <v>41306</v>
      </c>
      <c r="AF225" s="19"/>
      <c r="AG225" s="93"/>
      <c r="AH225" s="93"/>
      <c r="AI225" s="93"/>
      <c r="AJ225" s="93"/>
      <c r="AK225" s="93"/>
      <c r="AL225" s="93"/>
      <c r="AM225" s="93"/>
      <c r="AN225" s="93"/>
      <c r="AO225" s="93"/>
      <c r="AP225" s="93"/>
      <c r="AQ225" s="93"/>
      <c r="AR225" s="93"/>
      <c r="AS225" s="20"/>
      <c r="AT225" s="25">
        <v>158</v>
      </c>
      <c r="AU225" s="97"/>
      <c r="AV225" s="1504">
        <v>41306</v>
      </c>
      <c r="AW225" s="19"/>
      <c r="AX225" s="93"/>
      <c r="AY225" s="93"/>
      <c r="AZ225" s="93"/>
      <c r="BA225" s="93"/>
      <c r="BB225" s="93"/>
      <c r="BC225" s="93"/>
      <c r="BD225" s="93"/>
      <c r="BE225" s="93"/>
      <c r="BF225" s="93"/>
      <c r="BG225" s="93"/>
      <c r="BH225" s="93"/>
      <c r="BI225" s="93"/>
      <c r="BJ225" s="20"/>
      <c r="BK225" s="25">
        <v>158</v>
      </c>
      <c r="BL225" s="97"/>
      <c r="BM225" s="1504">
        <v>41306</v>
      </c>
      <c r="BN225" s="19"/>
      <c r="BO225" s="93"/>
      <c r="BP225" s="93"/>
      <c r="BQ225" s="93"/>
      <c r="BR225" s="93"/>
      <c r="BS225" s="93"/>
      <c r="BT225" s="93"/>
      <c r="BU225" s="20"/>
      <c r="BV225" s="25">
        <v>158</v>
      </c>
      <c r="BW225" s="97"/>
      <c r="BX225" s="1504">
        <v>41306</v>
      </c>
      <c r="BY225" s="179">
        <v>491.02317191999998</v>
      </c>
      <c r="BZ225" s="99">
        <v>664.95699999999999</v>
      </c>
      <c r="CA225" s="93"/>
      <c r="CB225" s="93"/>
      <c r="CC225" s="99">
        <v>257.82425950056569</v>
      </c>
      <c r="CD225" s="25">
        <v>158</v>
      </c>
      <c r="CE225" s="97"/>
      <c r="CF225" s="1504">
        <v>41306</v>
      </c>
      <c r="CG225" s="179">
        <v>1.9777646019999999</v>
      </c>
      <c r="CH225" s="99">
        <v>1627.57</v>
      </c>
      <c r="CI225" s="219"/>
      <c r="CJ225" s="20"/>
      <c r="CK225" s="19"/>
      <c r="CL225" s="93"/>
      <c r="CM225" s="93"/>
      <c r="CN225" s="93"/>
      <c r="CO225" s="93"/>
      <c r="CP225" s="20"/>
      <c r="CQ225" s="219">
        <v>1821.71</v>
      </c>
      <c r="CR225" s="93">
        <v>2.9125000000000001</v>
      </c>
      <c r="CS225" s="93"/>
      <c r="CT225" s="93"/>
      <c r="CU225" s="93"/>
      <c r="CV225" s="214"/>
      <c r="CW225" s="29">
        <v>158</v>
      </c>
      <c r="CX225" s="41">
        <f t="shared" si="209"/>
        <v>2013</v>
      </c>
      <c r="CY225" s="1504">
        <v>41306</v>
      </c>
      <c r="CZ225" s="1916">
        <v>78.313214850577324</v>
      </c>
      <c r="DA225" s="1526">
        <v>45.122097850577326</v>
      </c>
      <c r="DB225" s="1526">
        <v>33.191116999999998</v>
      </c>
      <c r="DC225" s="182">
        <f t="shared" si="216"/>
        <v>472441</v>
      </c>
      <c r="DD225" s="182">
        <f t="shared" si="217"/>
        <v>471097</v>
      </c>
      <c r="DE225" s="182">
        <f t="shared" si="218"/>
        <v>1344</v>
      </c>
      <c r="DF225" s="29">
        <v>158</v>
      </c>
      <c r="DG225" s="1504">
        <v>41306</v>
      </c>
      <c r="DH225" s="19"/>
      <c r="DI225" s="93"/>
      <c r="DJ225" s="93"/>
      <c r="DK225" s="93"/>
      <c r="DL225" s="93"/>
      <c r="DM225" s="93"/>
      <c r="DN225" s="20"/>
      <c r="DO225" s="25"/>
      <c r="DP225" s="29">
        <v>158</v>
      </c>
      <c r="DQ225" s="1504">
        <v>41306</v>
      </c>
      <c r="DR225" s="19"/>
      <c r="DS225" s="93"/>
      <c r="DT225" s="93"/>
      <c r="DU225" s="93"/>
      <c r="DV225" s="93"/>
      <c r="DW225" s="93"/>
      <c r="DX225" s="20"/>
      <c r="DY225" s="29">
        <v>158</v>
      </c>
      <c r="DZ225" s="1504">
        <v>41306</v>
      </c>
      <c r="EA225" s="19"/>
      <c r="EB225" s="93"/>
      <c r="EC225" s="20"/>
      <c r="ED225" s="29">
        <v>158</v>
      </c>
      <c r="EE225" s="1504">
        <v>41306</v>
      </c>
      <c r="EF225" s="19"/>
      <c r="EG225" s="93"/>
      <c r="EH225" s="93"/>
      <c r="EI225" s="214"/>
      <c r="EJ225" s="93"/>
      <c r="EK225" s="93"/>
      <c r="EL225" s="93"/>
      <c r="EM225" s="93"/>
      <c r="EN225" s="20"/>
      <c r="EO225" s="29">
        <v>158</v>
      </c>
      <c r="EP225" s="1504">
        <v>41306</v>
      </c>
      <c r="EQ225" s="19"/>
      <c r="ER225" s="93"/>
      <c r="ES225" s="93"/>
      <c r="ET225" s="214"/>
      <c r="EU225" s="93"/>
      <c r="EV225" s="93"/>
      <c r="EW225" s="93"/>
      <c r="EX225" s="93"/>
      <c r="EY225" s="20"/>
      <c r="EZ225" s="29">
        <v>158</v>
      </c>
      <c r="FA225" s="1504">
        <v>41306</v>
      </c>
      <c r="FB225" s="29"/>
      <c r="FC225" s="29"/>
      <c r="FD225" s="29"/>
      <c r="FE225" s="29"/>
      <c r="FF225" s="29"/>
      <c r="FG225" s="29"/>
      <c r="FH225" s="29"/>
      <c r="FI225" s="29"/>
      <c r="FJ225" s="29"/>
      <c r="FK225" s="29">
        <v>158</v>
      </c>
      <c r="FL225" s="1504">
        <v>41306</v>
      </c>
      <c r="FM225" s="19">
        <v>106.69688731205443</v>
      </c>
      <c r="FN225" s="93">
        <v>115.52892970365401</v>
      </c>
      <c r="FO225" s="93">
        <v>103.05782353252546</v>
      </c>
      <c r="FP225" s="93">
        <v>101.95196668338397</v>
      </c>
      <c r="FQ225" s="93">
        <v>110.60282721307014</v>
      </c>
      <c r="FR225" s="93">
        <v>98.515421808208629</v>
      </c>
      <c r="FS225" s="93">
        <v>100.86008751144475</v>
      </c>
      <c r="FT225" s="93">
        <v>105.50917278505356</v>
      </c>
      <c r="FU225" s="93">
        <v>63.287630644046835</v>
      </c>
      <c r="FV225" s="93">
        <v>97.463977183870398</v>
      </c>
      <c r="FW225" s="93">
        <v>104.37383572273448</v>
      </c>
      <c r="FX225" s="93">
        <v>116.15526997668348</v>
      </c>
      <c r="FY225" s="93">
        <v>103.92854526459888</v>
      </c>
      <c r="FZ225" s="29">
        <v>158</v>
      </c>
      <c r="GA225" s="1504">
        <v>41306</v>
      </c>
      <c r="GB225" s="733">
        <v>106.69688731205443</v>
      </c>
      <c r="GC225" s="570">
        <v>106.10174017573119</v>
      </c>
      <c r="GD225" s="570">
        <v>107.07700939125013</v>
      </c>
      <c r="GE225" s="570">
        <v>110.10730383698936</v>
      </c>
      <c r="GF225" s="570">
        <v>112.09473428997951</v>
      </c>
      <c r="GG225" s="570">
        <v>104.12057905156675</v>
      </c>
      <c r="GH225" s="93"/>
      <c r="GI225" s="93"/>
      <c r="GJ225" s="93"/>
      <c r="GK225" s="93"/>
      <c r="GL225" s="93"/>
      <c r="GM225" s="93"/>
      <c r="GN225" s="20"/>
      <c r="GO225" s="29">
        <v>158</v>
      </c>
      <c r="GP225" s="1504">
        <v>41306</v>
      </c>
      <c r="GQ225" s="19"/>
      <c r="GR225" s="93"/>
      <c r="GS225" s="93"/>
      <c r="GT225" s="93"/>
      <c r="GU225" s="93"/>
      <c r="GV225" s="20"/>
      <c r="GW225" s="19"/>
      <c r="GX225" s="93"/>
      <c r="GY225" s="93"/>
      <c r="GZ225" s="93"/>
      <c r="HA225" s="93"/>
      <c r="HB225" s="20"/>
      <c r="HC225" s="19"/>
      <c r="HD225" s="93"/>
      <c r="HE225" s="93"/>
      <c r="HF225" s="93"/>
      <c r="HG225" s="93"/>
      <c r="HH225" s="20"/>
      <c r="HI225" s="19"/>
      <c r="HJ225" s="93"/>
      <c r="HK225" s="93"/>
      <c r="HL225" s="93"/>
      <c r="HM225" s="93"/>
      <c r="HN225" s="20"/>
      <c r="HO225" s="219"/>
      <c r="HP225" s="20"/>
      <c r="HQ225" s="25"/>
      <c r="HR225" s="29">
        <v>158</v>
      </c>
      <c r="HS225" s="1504">
        <v>41306</v>
      </c>
      <c r="HT225" s="179">
        <v>252.51933966742624</v>
      </c>
      <c r="HU225" s="99">
        <v>223.37962849934897</v>
      </c>
      <c r="HV225" s="99">
        <v>200</v>
      </c>
      <c r="HW225" s="99">
        <v>157.76699829101563</v>
      </c>
      <c r="HX225" s="99">
        <v>200</v>
      </c>
      <c r="HY225" s="99">
        <v>218.25397491455078</v>
      </c>
      <c r="HZ225" s="99">
        <v>240.39346313476563</v>
      </c>
      <c r="IA225" s="132">
        <v>183.54429626464844</v>
      </c>
      <c r="IB225" s="179">
        <v>196.55171966552734</v>
      </c>
      <c r="IC225" s="99">
        <v>175</v>
      </c>
      <c r="ID225" s="99">
        <v>178.57142639160156</v>
      </c>
      <c r="IE225" s="99">
        <v>161.81230163574219</v>
      </c>
      <c r="IF225" s="99">
        <v>196.07843017578125</v>
      </c>
      <c r="IG225" s="132">
        <v>190.27778625488281</v>
      </c>
      <c r="IH225" s="179">
        <v>141.27220916748047</v>
      </c>
      <c r="II225" s="99">
        <v>194.73617553710938</v>
      </c>
      <c r="IJ225" s="99">
        <v>153.5836181640625</v>
      </c>
      <c r="IK225" s="99">
        <v>162.45487976074219</v>
      </c>
      <c r="IL225" s="99">
        <v>148.14814758300781</v>
      </c>
      <c r="IM225" s="99">
        <v>148.38710021972656</v>
      </c>
      <c r="IN225" s="93"/>
      <c r="IO225" s="132">
        <v>165.51876831054688</v>
      </c>
      <c r="IP225" s="29">
        <v>158</v>
      </c>
      <c r="IQ225" s="19"/>
      <c r="IR225" s="93"/>
      <c r="IS225" s="93"/>
      <c r="IT225" s="93"/>
      <c r="IU225" s="93"/>
      <c r="IV225" s="20"/>
      <c r="IW225" s="29">
        <v>158</v>
      </c>
      <c r="IX225" s="19"/>
      <c r="IY225" s="93"/>
      <c r="IZ225" s="93"/>
      <c r="JA225" s="93"/>
      <c r="JB225" s="93"/>
      <c r="JC225" s="93"/>
      <c r="JD225" s="93"/>
      <c r="JE225" s="20"/>
      <c r="JF225" s="29">
        <v>158</v>
      </c>
      <c r="JG225" s="19"/>
      <c r="JH225" s="93"/>
      <c r="JI225" s="93"/>
      <c r="JJ225" s="93"/>
      <c r="JK225" s="93"/>
      <c r="JL225" s="93"/>
      <c r="JM225" s="93"/>
      <c r="JN225" s="20"/>
      <c r="JO225" s="29">
        <v>158</v>
      </c>
      <c r="JP225" s="19"/>
      <c r="JQ225" s="93"/>
      <c r="JR225" s="93"/>
      <c r="JS225" s="93"/>
      <c r="JT225" s="93"/>
      <c r="JU225" s="20"/>
      <c r="JV225" s="29">
        <v>158</v>
      </c>
      <c r="JW225" s="1504">
        <v>41306</v>
      </c>
      <c r="JX225" s="19"/>
      <c r="JY225" s="93"/>
      <c r="JZ225" s="93"/>
      <c r="KA225" s="93"/>
      <c r="KB225" s="93"/>
      <c r="KC225" s="93"/>
      <c r="KD225" s="20"/>
      <c r="KE225" s="29">
        <v>158</v>
      </c>
      <c r="KF225" s="19"/>
      <c r="KG225" s="93"/>
      <c r="KH225" s="93"/>
      <c r="KI225" s="93"/>
      <c r="KJ225" s="93"/>
      <c r="KK225" s="20"/>
      <c r="KL225" s="29">
        <v>158</v>
      </c>
      <c r="KM225" s="19"/>
      <c r="KN225" s="93"/>
      <c r="KO225" s="93"/>
      <c r="KP225" s="93"/>
      <c r="KQ225" s="93"/>
      <c r="KR225" s="20"/>
      <c r="KS225" s="29">
        <v>158</v>
      </c>
      <c r="KT225" s="19"/>
      <c r="KU225" s="93"/>
      <c r="KV225" s="93"/>
      <c r="KW225" s="93"/>
      <c r="KX225" s="93"/>
      <c r="KY225" s="20"/>
      <c r="KZ225" s="29">
        <v>158</v>
      </c>
      <c r="LA225" s="1504">
        <v>41306</v>
      </c>
      <c r="LB225" s="19">
        <v>510</v>
      </c>
      <c r="LC225" s="93">
        <v>740</v>
      </c>
      <c r="LD225" s="93">
        <v>732</v>
      </c>
      <c r="LE225" s="93"/>
      <c r="LF225" s="93">
        <v>656</v>
      </c>
      <c r="LG225" s="93"/>
      <c r="LH225" s="20"/>
      <c r="LI225" s="29">
        <v>158</v>
      </c>
      <c r="LJ225" s="19"/>
      <c r="LK225" s="93"/>
      <c r="LL225" s="93"/>
      <c r="LM225" s="93"/>
      <c r="LN225" s="93"/>
      <c r="LO225" s="20"/>
      <c r="LP225" s="29">
        <v>158</v>
      </c>
      <c r="LQ225" s="19"/>
      <c r="LR225" s="93"/>
      <c r="LS225" s="93"/>
      <c r="LT225" s="93"/>
      <c r="LU225" s="93"/>
      <c r="LV225" s="93"/>
      <c r="LW225" s="93"/>
      <c r="LX225" s="93"/>
      <c r="LY225" s="93"/>
      <c r="LZ225" s="93"/>
      <c r="MA225" s="20"/>
      <c r="MB225" s="29">
        <v>158</v>
      </c>
      <c r="MC225" s="1504">
        <v>41306</v>
      </c>
      <c r="MD225" s="19">
        <v>87618.97236823001</v>
      </c>
      <c r="ME225" s="93">
        <v>80104.794696000012</v>
      </c>
      <c r="MF225" s="93">
        <v>80104.794634999998</v>
      </c>
      <c r="MG225" s="93">
        <v>68567.271425999992</v>
      </c>
      <c r="MH225" s="93">
        <v>12605.299086000001</v>
      </c>
      <c r="MI225" s="93">
        <v>525.16666300000009</v>
      </c>
      <c r="MJ225" s="93">
        <v>554.36032799999998</v>
      </c>
      <c r="MK225" s="93">
        <v>41407.403645999999</v>
      </c>
      <c r="ML225" s="93">
        <v>12886.703477000001</v>
      </c>
      <c r="MM225" s="93">
        <v>588.33822600000008</v>
      </c>
      <c r="MN225" s="93">
        <v>11537.523209000001</v>
      </c>
      <c r="MO225" s="93">
        <v>482.73131799999999</v>
      </c>
      <c r="MP225" s="93">
        <v>2000.6093349999999</v>
      </c>
      <c r="MQ225" s="93">
        <v>306.45549</v>
      </c>
      <c r="MR225" s="93">
        <v>4.4884949999999995</v>
      </c>
      <c r="MS225" s="93">
        <v>8743.2385709999999</v>
      </c>
      <c r="MT225" s="93">
        <v>6.0999999999999999E-5</v>
      </c>
      <c r="MU225" s="93">
        <v>7514.1776722300001</v>
      </c>
      <c r="MV225" s="93">
        <v>7514.1776722300001</v>
      </c>
      <c r="MW225" s="93">
        <v>0</v>
      </c>
      <c r="MX225" s="93">
        <v>98521.079278555946</v>
      </c>
      <c r="MY225" s="93">
        <v>97345.294688555936</v>
      </c>
      <c r="MZ225" s="93">
        <v>55762.150805325939</v>
      </c>
      <c r="NA225" s="93">
        <v>20468.474321515507</v>
      </c>
      <c r="NB225" s="93">
        <v>6282.9975279999999</v>
      </c>
      <c r="NC225" s="93">
        <v>1197.4100560104371</v>
      </c>
      <c r="ND225" s="93">
        <v>608.7314299999997</v>
      </c>
      <c r="NE225" s="93">
        <v>588.67862601043726</v>
      </c>
      <c r="NF225" s="93">
        <v>27813.268899799998</v>
      </c>
      <c r="NG225" s="93">
        <v>427.5908518</v>
      </c>
      <c r="NH225" s="93">
        <v>5193.2086920000002</v>
      </c>
      <c r="NI225" s="93">
        <v>8479.9218590000019</v>
      </c>
      <c r="NJ225" s="93">
        <v>7423.9217840000001</v>
      </c>
      <c r="NK225" s="93">
        <v>41583.143883229997</v>
      </c>
      <c r="NL225" s="93">
        <v>31372.072381000005</v>
      </c>
      <c r="NM225" s="93">
        <v>0</v>
      </c>
      <c r="NN225" s="93">
        <v>10211.071502229999</v>
      </c>
      <c r="NO225" s="93">
        <v>1175.7845899999968</v>
      </c>
      <c r="NP225" s="93">
        <v>-10902.106910325929</v>
      </c>
      <c r="NQ225" s="93">
        <v>-18416.284582555934</v>
      </c>
      <c r="NR225" s="93">
        <v>-7007.8030243154917</v>
      </c>
      <c r="NS225" s="93">
        <v>-8205.2130803259315</v>
      </c>
      <c r="NT225" s="93">
        <v>12609.28586467401</v>
      </c>
      <c r="NU225" s="93">
        <v>5095.1081924440041</v>
      </c>
      <c r="NV225" s="93">
        <v>-12171.629292314594</v>
      </c>
      <c r="NW225" s="93">
        <v>1638.575858685439</v>
      </c>
      <c r="NX225" s="93">
        <v>2696.8938299999995</v>
      </c>
      <c r="NY225" s="93">
        <v>-1058.3179713145605</v>
      </c>
      <c r="NZ225" s="93">
        <v>0</v>
      </c>
      <c r="OA225" s="93">
        <v>-13810.205151000035</v>
      </c>
      <c r="OB225" s="93">
        <v>-31640.846309000033</v>
      </c>
      <c r="OC225" s="93">
        <v>17830.641157999999</v>
      </c>
      <c r="OD225" s="20">
        <v>0</v>
      </c>
      <c r="OE225" s="29">
        <v>158</v>
      </c>
      <c r="OF225" s="1504">
        <v>41306</v>
      </c>
      <c r="OG225" s="19"/>
      <c r="OH225" s="93">
        <v>222.42739999999998</v>
      </c>
      <c r="OI225" s="93">
        <v>809.63101994794818</v>
      </c>
      <c r="OJ225" s="93">
        <v>0.575092728</v>
      </c>
      <c r="OK225" s="93">
        <v>725.08392721994824</v>
      </c>
      <c r="OL225" s="93">
        <v>83.971999999999994</v>
      </c>
      <c r="OM225" s="93">
        <v>1032.0584199479481</v>
      </c>
      <c r="ON225" s="93">
        <v>729.83745927413747</v>
      </c>
      <c r="OO225" s="93">
        <v>1761.8958792220856</v>
      </c>
      <c r="OP225" s="93"/>
      <c r="OQ225" s="93">
        <v>748.52620682121096</v>
      </c>
      <c r="OR225" s="93">
        <v>167.45845177899997</v>
      </c>
      <c r="OS225" s="93">
        <v>581.06775504221093</v>
      </c>
      <c r="OT225" s="93">
        <v>1267.8228689518746</v>
      </c>
      <c r="OU225" s="93">
        <v>-65.541399327999997</v>
      </c>
      <c r="OV225" s="93">
        <v>-61.924399328000007</v>
      </c>
      <c r="OW225" s="93">
        <v>-3.6169999999999902</v>
      </c>
      <c r="OX225" s="93">
        <v>1333.3642682798745</v>
      </c>
      <c r="OY225" s="93">
        <v>4.6126368280000003</v>
      </c>
      <c r="OZ225" s="93">
        <v>1328.7516314518746</v>
      </c>
      <c r="PA225" s="93">
        <v>276.98758596099998</v>
      </c>
      <c r="PB225" s="93">
        <v>-22.534389410000031</v>
      </c>
      <c r="PC225" s="20">
        <v>1761.8958792220858</v>
      </c>
      <c r="PD225" s="29">
        <v>158</v>
      </c>
      <c r="PE225" s="19"/>
      <c r="PF225" s="93">
        <v>167.45845177899997</v>
      </c>
      <c r="PG225" s="93">
        <v>400.01778349599999</v>
      </c>
      <c r="PH225" s="93">
        <v>232.55933171700002</v>
      </c>
      <c r="PI225" s="93">
        <v>266.35000000000002</v>
      </c>
      <c r="PJ225" s="93">
        <v>-57.137199328000008</v>
      </c>
      <c r="PK225" s="93">
        <v>137.101103045</v>
      </c>
      <c r="PL225" s="93">
        <v>194.23830237300001</v>
      </c>
      <c r="PM225" s="93">
        <v>4.6126368280000003</v>
      </c>
      <c r="PN225" s="93">
        <v>1.06</v>
      </c>
      <c r="PO225" s="93">
        <v>0</v>
      </c>
      <c r="PP225" s="93">
        <v>7.1807700000000002E-4</v>
      </c>
      <c r="PQ225" s="93">
        <v>3.5519187510000001</v>
      </c>
      <c r="PR225" s="93">
        <v>376.20025269499996</v>
      </c>
      <c r="PS225" s="93">
        <v>270.45659999999998</v>
      </c>
      <c r="PT225" s="93">
        <v>105.16855996699999</v>
      </c>
      <c r="PU225" s="93">
        <v>0.575092728</v>
      </c>
      <c r="PV225" s="93">
        <v>0</v>
      </c>
      <c r="PW225" s="93">
        <v>1.6278689200000001</v>
      </c>
      <c r="PX225" s="93">
        <v>0</v>
      </c>
      <c r="PY225" s="93">
        <v>0</v>
      </c>
      <c r="PZ225" s="93">
        <v>1.6278689200000001</v>
      </c>
      <c r="QA225" s="93">
        <v>0</v>
      </c>
      <c r="QB225" s="93">
        <v>0</v>
      </c>
      <c r="QC225" s="93">
        <v>0</v>
      </c>
      <c r="QD225" s="93">
        <v>0.85771704100000001</v>
      </c>
      <c r="QE225" s="20">
        <v>2.5980506230000073</v>
      </c>
      <c r="QF225" s="1739">
        <v>158</v>
      </c>
      <c r="QG225" s="19"/>
      <c r="QH225" s="1035">
        <v>581.06775504221093</v>
      </c>
      <c r="QI225" s="1035">
        <v>694.68136854812519</v>
      </c>
      <c r="QJ225" s="1035">
        <v>-113.61361350591427</v>
      </c>
      <c r="QK225" s="1035">
        <v>147.51499999999999</v>
      </c>
      <c r="QL225" s="1035">
        <v>43.241999999999997</v>
      </c>
      <c r="QM225" s="1035">
        <v>104.273</v>
      </c>
      <c r="QN225" s="1035">
        <v>0</v>
      </c>
      <c r="QO225" s="1035">
        <v>-3.6169999999999902</v>
      </c>
      <c r="QP225" s="1035">
        <v>157.45400000000001</v>
      </c>
      <c r="QQ225" s="1035">
        <v>-161.071</v>
      </c>
      <c r="QR225" s="1035">
        <v>1328.7516314518746</v>
      </c>
      <c r="QS225" s="1035">
        <v>14.937845854738901</v>
      </c>
      <c r="QT225" s="1035">
        <v>0</v>
      </c>
      <c r="QU225" s="1035">
        <v>231.84899999999999</v>
      </c>
      <c r="QV225" s="1035">
        <v>1081.9647855971357</v>
      </c>
      <c r="QW225" s="93"/>
      <c r="QX225" s="93">
        <v>266.64699999999999</v>
      </c>
      <c r="QY225" s="93">
        <v>725.08392721994812</v>
      </c>
      <c r="QZ225" s="93">
        <v>729.83745927413747</v>
      </c>
      <c r="RA225" s="93">
        <v>0</v>
      </c>
      <c r="RB225" s="93">
        <v>34.380000000000003</v>
      </c>
      <c r="RC225" s="93">
        <v>8.947000000000001</v>
      </c>
      <c r="RD225" s="93">
        <v>11.042</v>
      </c>
      <c r="RE225" s="93">
        <v>0</v>
      </c>
      <c r="RF225" s="93">
        <v>0</v>
      </c>
      <c r="RG225" s="93">
        <v>220.13299999999998</v>
      </c>
      <c r="RH225" s="93">
        <v>57.646999999999991</v>
      </c>
      <c r="RI225" s="93"/>
      <c r="RJ225" s="93"/>
      <c r="RK225" s="93"/>
      <c r="RL225" s="93"/>
      <c r="RM225" s="734"/>
      <c r="RN225" s="29">
        <v>158</v>
      </c>
      <c r="RO225" s="19">
        <v>69</v>
      </c>
      <c r="RP225" s="20"/>
      <c r="RQ225" s="29">
        <v>158</v>
      </c>
      <c r="RR225" s="734">
        <v>2.6568671099999999</v>
      </c>
      <c r="RS225" s="29">
        <v>158</v>
      </c>
      <c r="RT225" s="1504">
        <v>41306</v>
      </c>
      <c r="RU225" s="19"/>
      <c r="RV225" s="20"/>
      <c r="RW225" s="29">
        <v>158</v>
      </c>
      <c r="RX225" s="1504">
        <v>41306</v>
      </c>
      <c r="RY225" s="29"/>
      <c r="RZ225" s="734"/>
      <c r="SA225" s="29"/>
      <c r="SB225" s="29">
        <v>158</v>
      </c>
    </row>
    <row r="226" spans="1:496">
      <c r="A226" s="41">
        <f t="shared" si="208"/>
        <v>2013</v>
      </c>
      <c r="B226" s="1504">
        <v>41334</v>
      </c>
      <c r="C226" s="1813">
        <v>1076</v>
      </c>
      <c r="D226" s="1814">
        <v>16895</v>
      </c>
      <c r="E226" s="1814">
        <v>54</v>
      </c>
      <c r="F226" s="1815">
        <v>390</v>
      </c>
      <c r="G226" s="1814">
        <v>68151</v>
      </c>
      <c r="H226" s="1814">
        <v>22</v>
      </c>
      <c r="I226" s="1814">
        <v>24484</v>
      </c>
      <c r="J226" s="1816">
        <v>14137</v>
      </c>
      <c r="K226" s="1807">
        <v>125209</v>
      </c>
      <c r="L226" s="25">
        <v>159</v>
      </c>
      <c r="M226" s="97"/>
      <c r="N226" s="1504">
        <v>41334</v>
      </c>
      <c r="O226" s="19"/>
      <c r="P226" s="93"/>
      <c r="Q226" s="93"/>
      <c r="R226" s="93"/>
      <c r="S226" s="93"/>
      <c r="T226" s="93"/>
      <c r="U226" s="93"/>
      <c r="V226" s="93"/>
      <c r="W226" s="93"/>
      <c r="X226" s="93"/>
      <c r="Y226" s="93"/>
      <c r="Z226" s="93"/>
      <c r="AA226" s="93"/>
      <c r="AB226" s="20"/>
      <c r="AC226" s="25">
        <v>159</v>
      </c>
      <c r="AD226" s="97"/>
      <c r="AE226" s="1504">
        <v>41334</v>
      </c>
      <c r="AF226" s="19"/>
      <c r="AG226" s="93"/>
      <c r="AH226" s="93"/>
      <c r="AI226" s="93"/>
      <c r="AJ226" s="93"/>
      <c r="AK226" s="93"/>
      <c r="AL226" s="93"/>
      <c r="AM226" s="93"/>
      <c r="AN226" s="93"/>
      <c r="AO226" s="93"/>
      <c r="AP226" s="93"/>
      <c r="AQ226" s="93"/>
      <c r="AR226" s="93"/>
      <c r="AS226" s="20"/>
      <c r="AT226" s="25">
        <v>159</v>
      </c>
      <c r="AU226" s="97"/>
      <c r="AV226" s="1504">
        <v>41334</v>
      </c>
      <c r="AW226" s="19"/>
      <c r="AX226" s="93"/>
      <c r="AY226" s="93"/>
      <c r="AZ226" s="93"/>
      <c r="BA226" s="93"/>
      <c r="BB226" s="93"/>
      <c r="BC226" s="93"/>
      <c r="BD226" s="93"/>
      <c r="BE226" s="93"/>
      <c r="BF226" s="93"/>
      <c r="BG226" s="93"/>
      <c r="BH226" s="93"/>
      <c r="BI226" s="93"/>
      <c r="BJ226" s="20"/>
      <c r="BK226" s="25">
        <v>159</v>
      </c>
      <c r="BL226" s="97"/>
      <c r="BM226" s="1504">
        <v>41334</v>
      </c>
      <c r="BN226" s="19"/>
      <c r="BO226" s="93"/>
      <c r="BP226" s="93"/>
      <c r="BQ226" s="93"/>
      <c r="BR226" s="93"/>
      <c r="BS226" s="93"/>
      <c r="BT226" s="93"/>
      <c r="BU226" s="20"/>
      <c r="BV226" s="25">
        <v>159</v>
      </c>
      <c r="BW226" s="97"/>
      <c r="BX226" s="1504">
        <v>41334</v>
      </c>
      <c r="BY226" s="179">
        <v>505.99867023000002</v>
      </c>
      <c r="BZ226" s="99">
        <v>664.95699999999999</v>
      </c>
      <c r="CA226" s="93"/>
      <c r="CB226" s="93"/>
      <c r="CC226" s="99">
        <v>263.10934428322759</v>
      </c>
      <c r="CD226" s="25">
        <v>159</v>
      </c>
      <c r="CE226" s="97"/>
      <c r="CF226" s="1504">
        <v>41334</v>
      </c>
      <c r="CG226" s="179">
        <v>2.0822635900000002</v>
      </c>
      <c r="CH226" s="99">
        <v>1593.08619047619</v>
      </c>
      <c r="CI226" s="219"/>
      <c r="CJ226" s="20"/>
      <c r="CK226" s="19"/>
      <c r="CL226" s="93"/>
      <c r="CM226" s="93"/>
      <c r="CN226" s="93"/>
      <c r="CO226" s="93"/>
      <c r="CP226" s="20"/>
      <c r="CQ226" s="219">
        <v>1763.7</v>
      </c>
      <c r="CR226" s="93">
        <v>2.6549999999999998</v>
      </c>
      <c r="CS226" s="93"/>
      <c r="CT226" s="93"/>
      <c r="CU226" s="93"/>
      <c r="CV226" s="214"/>
      <c r="CW226" s="29">
        <v>159</v>
      </c>
      <c r="CX226" s="41">
        <f t="shared" si="209"/>
        <v>2013</v>
      </c>
      <c r="CY226" s="1504">
        <v>41334</v>
      </c>
      <c r="CZ226" s="1916">
        <v>86.009877218330203</v>
      </c>
      <c r="DA226" s="1526">
        <v>54.035592218330201</v>
      </c>
      <c r="DB226" s="1526">
        <v>31.974284999999998</v>
      </c>
      <c r="DC226" s="182">
        <f t="shared" si="216"/>
        <v>472441</v>
      </c>
      <c r="DD226" s="182">
        <f t="shared" si="217"/>
        <v>471097</v>
      </c>
      <c r="DE226" s="182">
        <f t="shared" si="218"/>
        <v>1344</v>
      </c>
      <c r="DF226" s="29">
        <v>159</v>
      </c>
      <c r="DG226" s="1504">
        <v>41334</v>
      </c>
      <c r="DH226" s="19"/>
      <c r="DI226" s="93"/>
      <c r="DJ226" s="93"/>
      <c r="DK226" s="93"/>
      <c r="DL226" s="93"/>
      <c r="DM226" s="93"/>
      <c r="DN226" s="20"/>
      <c r="DO226" s="25"/>
      <c r="DP226" s="29">
        <v>159</v>
      </c>
      <c r="DQ226" s="1504">
        <v>41334</v>
      </c>
      <c r="DR226" s="19"/>
      <c r="DS226" s="93"/>
      <c r="DT226" s="93"/>
      <c r="DU226" s="93"/>
      <c r="DV226" s="93"/>
      <c r="DW226" s="93"/>
      <c r="DX226" s="20"/>
      <c r="DY226" s="29">
        <v>159</v>
      </c>
      <c r="DZ226" s="1504">
        <v>41334</v>
      </c>
      <c r="EA226" s="19"/>
      <c r="EB226" s="93"/>
      <c r="EC226" s="20"/>
      <c r="ED226" s="29">
        <v>159</v>
      </c>
      <c r="EE226" s="1504">
        <v>41334</v>
      </c>
      <c r="EF226" s="19"/>
      <c r="EG226" s="93"/>
      <c r="EH226" s="93"/>
      <c r="EI226" s="214"/>
      <c r="EJ226" s="93"/>
      <c r="EK226" s="93"/>
      <c r="EL226" s="93"/>
      <c r="EM226" s="93"/>
      <c r="EN226" s="20"/>
      <c r="EO226" s="29">
        <v>159</v>
      </c>
      <c r="EP226" s="1504">
        <v>41334</v>
      </c>
      <c r="EQ226" s="19"/>
      <c r="ER226" s="93"/>
      <c r="ES226" s="93"/>
      <c r="ET226" s="214"/>
      <c r="EU226" s="93"/>
      <c r="EV226" s="93"/>
      <c r="EW226" s="93"/>
      <c r="EX226" s="93"/>
      <c r="EY226" s="20"/>
      <c r="EZ226" s="29">
        <v>159</v>
      </c>
      <c r="FA226" s="1504">
        <v>41334</v>
      </c>
      <c r="FB226" s="29"/>
      <c r="FC226" s="29"/>
      <c r="FD226" s="29"/>
      <c r="FE226" s="29"/>
      <c r="FF226" s="29"/>
      <c r="FG226" s="29"/>
      <c r="FH226" s="29"/>
      <c r="FI226" s="29"/>
      <c r="FJ226" s="29"/>
      <c r="FK226" s="29">
        <v>159</v>
      </c>
      <c r="FL226" s="1504">
        <v>41334</v>
      </c>
      <c r="FM226" s="19">
        <v>106.71223649355241</v>
      </c>
      <c r="FN226" s="93">
        <v>115.62157540087112</v>
      </c>
      <c r="FO226" s="93">
        <v>101.24698425015333</v>
      </c>
      <c r="FP226" s="93">
        <v>101.9359742707879</v>
      </c>
      <c r="FQ226" s="93">
        <v>110.57647695937949</v>
      </c>
      <c r="FR226" s="93">
        <v>98.515421808208629</v>
      </c>
      <c r="FS226" s="93">
        <v>100.86008751144475</v>
      </c>
      <c r="FT226" s="93">
        <v>105.93616749233729</v>
      </c>
      <c r="FU226" s="93">
        <v>63.113596427312793</v>
      </c>
      <c r="FV226" s="93">
        <v>97.461408814507109</v>
      </c>
      <c r="FW226" s="93">
        <v>104.37383572273448</v>
      </c>
      <c r="FX226" s="93">
        <v>116.1550409946359</v>
      </c>
      <c r="FY226" s="93">
        <v>103.93958799429646</v>
      </c>
      <c r="FZ226" s="29">
        <v>159</v>
      </c>
      <c r="GA226" s="1504">
        <v>41334</v>
      </c>
      <c r="GB226" s="733">
        <v>106.71223649355241</v>
      </c>
      <c r="GC226" s="570">
        <v>105.76524667427256</v>
      </c>
      <c r="GD226" s="570">
        <v>107.28922081980726</v>
      </c>
      <c r="GE226" s="570">
        <v>110.08658991954174</v>
      </c>
      <c r="GF226" s="570">
        <v>111.97438132555023</v>
      </c>
      <c r="GG226" s="570">
        <v>104.17548236454634</v>
      </c>
      <c r="GH226" s="93"/>
      <c r="GI226" s="93"/>
      <c r="GJ226" s="93"/>
      <c r="GK226" s="93"/>
      <c r="GL226" s="93"/>
      <c r="GM226" s="93"/>
      <c r="GN226" s="20"/>
      <c r="GO226" s="29">
        <v>159</v>
      </c>
      <c r="GP226" s="1504">
        <v>41334</v>
      </c>
      <c r="GQ226" s="19"/>
      <c r="GR226" s="93"/>
      <c r="GS226" s="93"/>
      <c r="GT226" s="93"/>
      <c r="GU226" s="93"/>
      <c r="GV226" s="20"/>
      <c r="GW226" s="19"/>
      <c r="GX226" s="93"/>
      <c r="GY226" s="93"/>
      <c r="GZ226" s="93"/>
      <c r="HA226" s="93"/>
      <c r="HB226" s="20"/>
      <c r="HC226" s="19"/>
      <c r="HD226" s="93"/>
      <c r="HE226" s="93"/>
      <c r="HF226" s="93"/>
      <c r="HG226" s="93"/>
      <c r="HH226" s="20"/>
      <c r="HI226" s="19"/>
      <c r="HJ226" s="93"/>
      <c r="HK226" s="93"/>
      <c r="HL226" s="93"/>
      <c r="HM226" s="93"/>
      <c r="HN226" s="20"/>
      <c r="HO226" s="219"/>
      <c r="HP226" s="20"/>
      <c r="HQ226" s="25"/>
      <c r="HR226" s="29">
        <v>159</v>
      </c>
      <c r="HS226" s="1504">
        <v>41334</v>
      </c>
      <c r="HT226" s="179">
        <v>250.44091796875</v>
      </c>
      <c r="HU226" s="99">
        <v>249.13194274902344</v>
      </c>
      <c r="HV226" s="99">
        <v>200</v>
      </c>
      <c r="HW226" s="99">
        <v>157.76699829101563</v>
      </c>
      <c r="HX226" s="99">
        <v>200</v>
      </c>
      <c r="HY226" s="99">
        <v>218.25397491455078</v>
      </c>
      <c r="HZ226" s="99">
        <v>242.34195251464843</v>
      </c>
      <c r="IA226" s="132">
        <v>185.72376251220703</v>
      </c>
      <c r="IB226" s="179">
        <v>205.95336532592773</v>
      </c>
      <c r="IC226" s="99">
        <v>150</v>
      </c>
      <c r="ID226" s="99">
        <v>214.28572082519531</v>
      </c>
      <c r="IE226" s="99">
        <v>149.92592620849609</v>
      </c>
      <c r="IF226" s="99">
        <v>191.40625</v>
      </c>
      <c r="IG226" s="132">
        <v>180.55555725097656</v>
      </c>
      <c r="IH226" s="179">
        <v>134.79870732625326</v>
      </c>
      <c r="II226" s="99">
        <v>191.37596130371094</v>
      </c>
      <c r="IJ226" s="99">
        <v>153.5836181640625</v>
      </c>
      <c r="IK226" s="99">
        <v>162.45487976074219</v>
      </c>
      <c r="IL226" s="99">
        <v>152.93210194905598</v>
      </c>
      <c r="IM226" s="99">
        <v>159.4692211151123</v>
      </c>
      <c r="IN226" s="93"/>
      <c r="IO226" s="132">
        <v>163.17975158691405</v>
      </c>
      <c r="IP226" s="29">
        <v>159</v>
      </c>
      <c r="IQ226" s="19"/>
      <c r="IR226" s="93"/>
      <c r="IS226" s="93"/>
      <c r="IT226" s="93"/>
      <c r="IU226" s="93"/>
      <c r="IV226" s="20"/>
      <c r="IW226" s="29">
        <v>159</v>
      </c>
      <c r="IX226" s="19"/>
      <c r="IY226" s="93"/>
      <c r="IZ226" s="93"/>
      <c r="JA226" s="93"/>
      <c r="JB226" s="93"/>
      <c r="JC226" s="93"/>
      <c r="JD226" s="93"/>
      <c r="JE226" s="20"/>
      <c r="JF226" s="29">
        <v>159</v>
      </c>
      <c r="JG226" s="19"/>
      <c r="JH226" s="93"/>
      <c r="JI226" s="93"/>
      <c r="JJ226" s="93"/>
      <c r="JK226" s="93"/>
      <c r="JL226" s="93"/>
      <c r="JM226" s="93"/>
      <c r="JN226" s="20"/>
      <c r="JO226" s="29">
        <v>159</v>
      </c>
      <c r="JP226" s="19"/>
      <c r="JQ226" s="93"/>
      <c r="JR226" s="93"/>
      <c r="JS226" s="93"/>
      <c r="JT226" s="93"/>
      <c r="JU226" s="20"/>
      <c r="JV226" s="29">
        <v>159</v>
      </c>
      <c r="JW226" s="1504">
        <v>41334</v>
      </c>
      <c r="JX226" s="19"/>
      <c r="JY226" s="93"/>
      <c r="JZ226" s="93"/>
      <c r="KA226" s="93"/>
      <c r="KB226" s="93"/>
      <c r="KC226" s="93"/>
      <c r="KD226" s="20"/>
      <c r="KE226" s="29">
        <v>159</v>
      </c>
      <c r="KF226" s="19"/>
      <c r="KG226" s="93"/>
      <c r="KH226" s="93"/>
      <c r="KI226" s="93"/>
      <c r="KJ226" s="93"/>
      <c r="KK226" s="20"/>
      <c r="KL226" s="29">
        <v>159</v>
      </c>
      <c r="KM226" s="19"/>
      <c r="KN226" s="93"/>
      <c r="KO226" s="93"/>
      <c r="KP226" s="93"/>
      <c r="KQ226" s="93"/>
      <c r="KR226" s="20"/>
      <c r="KS226" s="29">
        <v>159</v>
      </c>
      <c r="KT226" s="19"/>
      <c r="KU226" s="93"/>
      <c r="KV226" s="93"/>
      <c r="KW226" s="93"/>
      <c r="KX226" s="93"/>
      <c r="KY226" s="20"/>
      <c r="KZ226" s="29">
        <v>159</v>
      </c>
      <c r="LA226" s="1504">
        <v>41334</v>
      </c>
      <c r="LB226" s="19">
        <v>510</v>
      </c>
      <c r="LC226" s="93">
        <v>740</v>
      </c>
      <c r="LD226" s="93">
        <v>732</v>
      </c>
      <c r="LE226" s="93"/>
      <c r="LF226" s="93">
        <v>656</v>
      </c>
      <c r="LG226" s="93"/>
      <c r="LH226" s="20"/>
      <c r="LI226" s="29">
        <v>159</v>
      </c>
      <c r="LJ226" s="19"/>
      <c r="LK226" s="93"/>
      <c r="LL226" s="93"/>
      <c r="LM226" s="93"/>
      <c r="LN226" s="93"/>
      <c r="LO226" s="20"/>
      <c r="LP226" s="29">
        <v>159</v>
      </c>
      <c r="LQ226" s="19"/>
      <c r="LR226" s="93"/>
      <c r="LS226" s="93"/>
      <c r="LT226" s="93"/>
      <c r="LU226" s="93"/>
      <c r="LV226" s="93"/>
      <c r="LW226" s="93"/>
      <c r="LX226" s="93"/>
      <c r="LY226" s="93"/>
      <c r="LZ226" s="93"/>
      <c r="MA226" s="20"/>
      <c r="MB226" s="29">
        <v>159</v>
      </c>
      <c r="MC226" s="1504">
        <v>41334</v>
      </c>
      <c r="MD226" s="19">
        <v>109403.97603774999</v>
      </c>
      <c r="ME226" s="93">
        <v>80854.887846999991</v>
      </c>
      <c r="MF226" s="93">
        <v>80854.887846999991</v>
      </c>
      <c r="MG226" s="93">
        <v>73792.608074999982</v>
      </c>
      <c r="MH226" s="93">
        <v>11686.234277000001</v>
      </c>
      <c r="MI226" s="93">
        <v>569.294355</v>
      </c>
      <c r="MJ226" s="93">
        <v>609.84926999999993</v>
      </c>
      <c r="MK226" s="93">
        <v>46655.448202999993</v>
      </c>
      <c r="ML226" s="93">
        <v>13650.689919</v>
      </c>
      <c r="MM226" s="93">
        <v>621.09205099999997</v>
      </c>
      <c r="MN226" s="93">
        <v>7062.2797720000008</v>
      </c>
      <c r="MO226" s="93">
        <v>401.64078699999999</v>
      </c>
      <c r="MP226" s="93">
        <v>2534.4810680000001</v>
      </c>
      <c r="MQ226" s="93">
        <v>614.51729</v>
      </c>
      <c r="MR226" s="93">
        <v>4.5064009999999994</v>
      </c>
      <c r="MS226" s="93">
        <v>3507.1342260000006</v>
      </c>
      <c r="MT226" s="93">
        <v>0</v>
      </c>
      <c r="MU226" s="93">
        <v>28549.088190750004</v>
      </c>
      <c r="MV226" s="93">
        <v>28549.088190750004</v>
      </c>
      <c r="MW226" s="93">
        <v>0</v>
      </c>
      <c r="MX226" s="93">
        <v>163948.08148440928</v>
      </c>
      <c r="MY226" s="93">
        <v>164243.28019740927</v>
      </c>
      <c r="MZ226" s="93">
        <v>86004.66037531785</v>
      </c>
      <c r="NA226" s="93">
        <v>33168.442919317851</v>
      </c>
      <c r="NB226" s="93">
        <v>8168.8257019999992</v>
      </c>
      <c r="NC226" s="93">
        <v>1360.1219260000003</v>
      </c>
      <c r="ND226" s="93">
        <v>117.73505</v>
      </c>
      <c r="NE226" s="93">
        <v>1242.3868760000003</v>
      </c>
      <c r="NF226" s="93">
        <v>43307.269828000011</v>
      </c>
      <c r="NG226" s="93">
        <v>441.48940500000026</v>
      </c>
      <c r="NH226" s="93">
        <v>8131.7825600000006</v>
      </c>
      <c r="NI226" s="93">
        <v>1839.0568120000003</v>
      </c>
      <c r="NJ226" s="93">
        <v>1110.066689</v>
      </c>
      <c r="NK226" s="93">
        <v>78238.619822091408</v>
      </c>
      <c r="NL226" s="93">
        <v>14643.440840999998</v>
      </c>
      <c r="NM226" s="93">
        <v>30419.463335</v>
      </c>
      <c r="NN226" s="93">
        <v>33175.715646091412</v>
      </c>
      <c r="NO226" s="93">
        <v>-295.19871300000079</v>
      </c>
      <c r="NP226" s="93">
        <v>-54544.105446659283</v>
      </c>
      <c r="NQ226" s="93">
        <v>-83093.193637409291</v>
      </c>
      <c r="NR226" s="93">
        <v>-48557.356065317872</v>
      </c>
      <c r="NS226" s="93">
        <v>-49917.477991317872</v>
      </c>
      <c r="NT226" s="93">
        <v>-77167.541120322261</v>
      </c>
      <c r="NU226" s="93">
        <v>-105716.62931107226</v>
      </c>
      <c r="NV226" s="93">
        <v>73563.142437341405</v>
      </c>
      <c r="NW226" s="93">
        <v>2714.3430873414095</v>
      </c>
      <c r="NX226" s="93">
        <v>4626.6274553414096</v>
      </c>
      <c r="NY226" s="93">
        <v>-1912.2843680000003</v>
      </c>
      <c r="NZ226" s="93">
        <v>0</v>
      </c>
      <c r="OA226" s="93">
        <v>70848.799350000001</v>
      </c>
      <c r="OB226" s="93">
        <v>81689.767515</v>
      </c>
      <c r="OC226" s="93">
        <v>-10840.968164999998</v>
      </c>
      <c r="OD226" s="20">
        <v>0</v>
      </c>
      <c r="OE226" s="29">
        <v>159</v>
      </c>
      <c r="OF226" s="1504">
        <v>41334</v>
      </c>
      <c r="OG226" s="19"/>
      <c r="OH226" s="93">
        <v>199.97210000000001</v>
      </c>
      <c r="OI226" s="93">
        <v>861.63030092065424</v>
      </c>
      <c r="OJ226" s="93">
        <v>0.58194410900000004</v>
      </c>
      <c r="OK226" s="93">
        <v>775.95225681165425</v>
      </c>
      <c r="OL226" s="93">
        <v>85.096099999999993</v>
      </c>
      <c r="OM226" s="93">
        <v>1061.6024009206542</v>
      </c>
      <c r="ON226" s="93">
        <v>754.43108915746154</v>
      </c>
      <c r="OO226" s="93">
        <v>1816.0334900781158</v>
      </c>
      <c r="OP226" s="93"/>
      <c r="OQ226" s="93">
        <v>681.75370020865171</v>
      </c>
      <c r="OR226" s="93">
        <v>104.816359234</v>
      </c>
      <c r="OS226" s="93">
        <v>576.93734097465176</v>
      </c>
      <c r="OT226" s="93">
        <v>1341.2920145444641</v>
      </c>
      <c r="OU226" s="93">
        <v>-5.1560627059999788</v>
      </c>
      <c r="OV226" s="93">
        <v>-18.48406270600001</v>
      </c>
      <c r="OW226" s="93">
        <v>13.328000000000031</v>
      </c>
      <c r="OX226" s="93">
        <v>1346.4480772504642</v>
      </c>
      <c r="OY226" s="93">
        <v>4.6310722559999995</v>
      </c>
      <c r="OZ226" s="93">
        <v>1341.8170049944642</v>
      </c>
      <c r="PA226" s="93">
        <v>281.55588868200005</v>
      </c>
      <c r="PB226" s="93">
        <v>-74.54366400699999</v>
      </c>
      <c r="PC226" s="20">
        <v>1816.0334900781156</v>
      </c>
      <c r="PD226" s="29">
        <v>159</v>
      </c>
      <c r="PE226" s="19"/>
      <c r="PF226" s="93">
        <v>104.816359234</v>
      </c>
      <c r="PG226" s="93">
        <v>348.90515025100001</v>
      </c>
      <c r="PH226" s="93">
        <v>244.08879101700001</v>
      </c>
      <c r="PI226" s="93">
        <v>247</v>
      </c>
      <c r="PJ226" s="93">
        <v>-13.874662706000009</v>
      </c>
      <c r="PK226" s="93">
        <v>134.83485913300001</v>
      </c>
      <c r="PL226" s="93">
        <v>148.70952183900002</v>
      </c>
      <c r="PM226" s="93">
        <v>4.6310722559999995</v>
      </c>
      <c r="PN226" s="93">
        <v>1.06</v>
      </c>
      <c r="PO226" s="93">
        <v>0</v>
      </c>
      <c r="PP226" s="93">
        <v>7.0043600000000003E-4</v>
      </c>
      <c r="PQ226" s="93">
        <v>3.5703718199999996</v>
      </c>
      <c r="PR226" s="93">
        <v>341.38724751199999</v>
      </c>
      <c r="PS226" s="93">
        <v>249.3485</v>
      </c>
      <c r="PT226" s="93">
        <v>91.456803402999995</v>
      </c>
      <c r="PU226" s="93">
        <v>0.58194410900000004</v>
      </c>
      <c r="PV226" s="93">
        <v>0</v>
      </c>
      <c r="PW226" s="93">
        <v>1.777161392</v>
      </c>
      <c r="PX226" s="93">
        <v>0</v>
      </c>
      <c r="PY226" s="93">
        <v>0</v>
      </c>
      <c r="PZ226" s="93">
        <v>1.777161392</v>
      </c>
      <c r="QA226" s="93">
        <v>0</v>
      </c>
      <c r="QB226" s="93">
        <v>0</v>
      </c>
      <c r="QC226" s="93">
        <v>0</v>
      </c>
      <c r="QD226" s="93">
        <v>1.2997272900000001</v>
      </c>
      <c r="QE226" s="20">
        <v>-1.8913674099999929</v>
      </c>
      <c r="QF226" s="1739">
        <v>159</v>
      </c>
      <c r="QG226" s="19"/>
      <c r="QH226" s="1035">
        <v>576.93734097465176</v>
      </c>
      <c r="QI226" s="1035">
        <v>711.46399500553582</v>
      </c>
      <c r="QJ226" s="1035">
        <v>-134.52665403088406</v>
      </c>
      <c r="QK226" s="1035">
        <v>177.72499999999999</v>
      </c>
      <c r="QL226" s="1035">
        <v>44.767000000000003</v>
      </c>
      <c r="QM226" s="1035">
        <v>132.958</v>
      </c>
      <c r="QN226" s="1035">
        <v>0</v>
      </c>
      <c r="QO226" s="1035">
        <v>13.328000000000031</v>
      </c>
      <c r="QP226" s="1035">
        <v>161.43700000000001</v>
      </c>
      <c r="QQ226" s="1035">
        <v>-148.10899999999998</v>
      </c>
      <c r="QR226" s="1035">
        <v>1341.8170049944642</v>
      </c>
      <c r="QS226" s="1035">
        <v>15.653524335386422</v>
      </c>
      <c r="QT226" s="1035">
        <v>0</v>
      </c>
      <c r="QU226" s="1035">
        <v>203.417</v>
      </c>
      <c r="QV226" s="1035">
        <v>1122.7464806590779</v>
      </c>
      <c r="QW226" s="93"/>
      <c r="QX226" s="93">
        <v>247.27699999999999</v>
      </c>
      <c r="QY226" s="93">
        <v>775.95225681165425</v>
      </c>
      <c r="QZ226" s="93">
        <v>754.43108915746166</v>
      </c>
      <c r="RA226" s="93">
        <v>0</v>
      </c>
      <c r="RB226" s="93">
        <v>34.231999999999999</v>
      </c>
      <c r="RC226" s="93">
        <v>8.9730000000000008</v>
      </c>
      <c r="RD226" s="93">
        <v>10.78</v>
      </c>
      <c r="RE226" s="93">
        <v>0</v>
      </c>
      <c r="RF226" s="93">
        <v>0</v>
      </c>
      <c r="RG226" s="93">
        <v>224.49400000000003</v>
      </c>
      <c r="RH226" s="93">
        <v>53.667999999999992</v>
      </c>
      <c r="RI226" s="93"/>
      <c r="RJ226" s="93"/>
      <c r="RK226" s="93"/>
      <c r="RL226" s="93"/>
      <c r="RM226" s="734"/>
      <c r="RN226" s="29">
        <v>159</v>
      </c>
      <c r="RO226" s="19">
        <v>70</v>
      </c>
      <c r="RP226" s="20"/>
      <c r="RQ226" s="29">
        <v>159</v>
      </c>
      <c r="RR226" s="734">
        <v>2.74037234</v>
      </c>
      <c r="RS226" s="29">
        <v>159</v>
      </c>
      <c r="RT226" s="1504">
        <v>41334</v>
      </c>
      <c r="RU226" s="19"/>
      <c r="RV226" s="20"/>
      <c r="RW226" s="29">
        <v>159</v>
      </c>
      <c r="RX226" s="1504">
        <v>41334</v>
      </c>
      <c r="RY226" s="29"/>
      <c r="RZ226" s="734"/>
      <c r="SA226" s="29"/>
      <c r="SB226" s="29">
        <v>159</v>
      </c>
    </row>
    <row r="227" spans="1:496">
      <c r="A227" s="41">
        <f t="shared" si="208"/>
        <v>2013</v>
      </c>
      <c r="B227" s="1504">
        <v>41365</v>
      </c>
      <c r="C227" s="1813">
        <v>1242</v>
      </c>
      <c r="D227" s="1814">
        <v>18154</v>
      </c>
      <c r="E227" s="1814">
        <v>56</v>
      </c>
      <c r="F227" s="1815">
        <v>386</v>
      </c>
      <c r="G227" s="1814">
        <v>78487</v>
      </c>
      <c r="H227" s="1814">
        <v>28</v>
      </c>
      <c r="I227" s="1814">
        <v>27127</v>
      </c>
      <c r="J227" s="1816">
        <v>17382</v>
      </c>
      <c r="K227" s="1807">
        <v>142862</v>
      </c>
      <c r="L227" s="25">
        <v>160</v>
      </c>
      <c r="M227" s="97"/>
      <c r="N227" s="1504">
        <v>41365</v>
      </c>
      <c r="O227" s="19"/>
      <c r="P227" s="93"/>
      <c r="Q227" s="93"/>
      <c r="R227" s="93"/>
      <c r="S227" s="93"/>
      <c r="T227" s="93"/>
      <c r="U227" s="93"/>
      <c r="V227" s="93"/>
      <c r="W227" s="93"/>
      <c r="X227" s="93"/>
      <c r="Y227" s="93"/>
      <c r="Z227" s="93"/>
      <c r="AA227" s="93"/>
      <c r="AB227" s="20"/>
      <c r="AC227" s="25">
        <v>160</v>
      </c>
      <c r="AD227" s="97"/>
      <c r="AE227" s="1504">
        <v>41365</v>
      </c>
      <c r="AF227" s="19"/>
      <c r="AG227" s="93"/>
      <c r="AH227" s="93"/>
      <c r="AI227" s="93"/>
      <c r="AJ227" s="93"/>
      <c r="AK227" s="93"/>
      <c r="AL227" s="93"/>
      <c r="AM227" s="93"/>
      <c r="AN227" s="93"/>
      <c r="AO227" s="93"/>
      <c r="AP227" s="93"/>
      <c r="AQ227" s="93"/>
      <c r="AR227" s="93"/>
      <c r="AS227" s="20"/>
      <c r="AT227" s="25">
        <v>160</v>
      </c>
      <c r="AU227" s="97"/>
      <c r="AV227" s="1504">
        <v>41365</v>
      </c>
      <c r="AW227" s="19"/>
      <c r="AX227" s="93"/>
      <c r="AY227" s="93"/>
      <c r="AZ227" s="93"/>
      <c r="BA227" s="93"/>
      <c r="BB227" s="93"/>
      <c r="BC227" s="93"/>
      <c r="BD227" s="93"/>
      <c r="BE227" s="93"/>
      <c r="BF227" s="93"/>
      <c r="BG227" s="93"/>
      <c r="BH227" s="93"/>
      <c r="BI227" s="93"/>
      <c r="BJ227" s="20"/>
      <c r="BK227" s="25">
        <v>160</v>
      </c>
      <c r="BL227" s="97"/>
      <c r="BM227" s="1504">
        <v>41365</v>
      </c>
      <c r="BN227" s="19"/>
      <c r="BO227" s="93"/>
      <c r="BP227" s="93"/>
      <c r="BQ227" s="93"/>
      <c r="BR227" s="93"/>
      <c r="BS227" s="93"/>
      <c r="BT227" s="93"/>
      <c r="BU227" s="20"/>
      <c r="BV227" s="25">
        <v>160</v>
      </c>
      <c r="BW227" s="97"/>
      <c r="BX227" s="1504">
        <v>41365</v>
      </c>
      <c r="BY227" s="179">
        <v>503.57818890000004</v>
      </c>
      <c r="BZ227" s="99">
        <v>664.95699999999999</v>
      </c>
      <c r="CA227" s="93"/>
      <c r="CB227" s="93"/>
      <c r="CC227" s="99">
        <v>259.08469517570762</v>
      </c>
      <c r="CD227" s="25">
        <v>160</v>
      </c>
      <c r="CE227" s="97"/>
      <c r="CF227" s="1504">
        <v>41365</v>
      </c>
      <c r="CG227" s="179">
        <v>2.0344233360000001</v>
      </c>
      <c r="CH227" s="99">
        <v>1487.8572727272699</v>
      </c>
      <c r="CI227" s="219"/>
      <c r="CJ227" s="20"/>
      <c r="CK227" s="19"/>
      <c r="CL227" s="93"/>
      <c r="CM227" s="93"/>
      <c r="CN227" s="93"/>
      <c r="CO227" s="93"/>
      <c r="CP227" s="20"/>
      <c r="CQ227" s="219">
        <v>1763.7</v>
      </c>
      <c r="CR227" s="93">
        <v>2.3675000000000002</v>
      </c>
      <c r="CS227" s="93"/>
      <c r="CT227" s="93"/>
      <c r="CU227" s="93"/>
      <c r="CV227" s="214"/>
      <c r="CW227" s="29">
        <v>160</v>
      </c>
      <c r="CX227" s="41">
        <f t="shared" si="209"/>
        <v>2013</v>
      </c>
      <c r="CY227" s="1504">
        <v>41365</v>
      </c>
      <c r="CZ227" s="1916">
        <v>100.48976179572641</v>
      </c>
      <c r="DA227" s="1526">
        <v>62.896861795726409</v>
      </c>
      <c r="DB227" s="1526">
        <v>37.5929</v>
      </c>
      <c r="DC227" s="182">
        <f t="shared" si="216"/>
        <v>472441</v>
      </c>
      <c r="DD227" s="182">
        <f t="shared" si="217"/>
        <v>471097</v>
      </c>
      <c r="DE227" s="182">
        <f t="shared" si="218"/>
        <v>1344</v>
      </c>
      <c r="DF227" s="29">
        <v>160</v>
      </c>
      <c r="DG227" s="1504">
        <v>41365</v>
      </c>
      <c r="DH227" s="19"/>
      <c r="DI227" s="93"/>
      <c r="DJ227" s="93"/>
      <c r="DK227" s="93"/>
      <c r="DL227" s="93"/>
      <c r="DM227" s="93"/>
      <c r="DN227" s="20"/>
      <c r="DO227" s="25"/>
      <c r="DP227" s="29">
        <v>160</v>
      </c>
      <c r="DQ227" s="1504">
        <v>41365</v>
      </c>
      <c r="DR227" s="19"/>
      <c r="DS227" s="93"/>
      <c r="DT227" s="93"/>
      <c r="DU227" s="93"/>
      <c r="DV227" s="93"/>
      <c r="DW227" s="93"/>
      <c r="DX227" s="20"/>
      <c r="DY227" s="29">
        <v>160</v>
      </c>
      <c r="DZ227" s="1504">
        <v>41365</v>
      </c>
      <c r="EA227" s="19"/>
      <c r="EB227" s="93"/>
      <c r="EC227" s="20"/>
      <c r="ED227" s="29">
        <v>160</v>
      </c>
      <c r="EE227" s="1504">
        <v>41365</v>
      </c>
      <c r="EF227" s="19"/>
      <c r="EG227" s="93"/>
      <c r="EH227" s="93"/>
      <c r="EI227" s="214"/>
      <c r="EJ227" s="93"/>
      <c r="EK227" s="93"/>
      <c r="EL227" s="93"/>
      <c r="EM227" s="93"/>
      <c r="EN227" s="20"/>
      <c r="EO227" s="29">
        <v>160</v>
      </c>
      <c r="EP227" s="1504">
        <v>41365</v>
      </c>
      <c r="EQ227" s="19"/>
      <c r="ER227" s="93"/>
      <c r="ES227" s="93"/>
      <c r="ET227" s="214"/>
      <c r="EU227" s="93"/>
      <c r="EV227" s="93"/>
      <c r="EW227" s="93"/>
      <c r="EX227" s="93"/>
      <c r="EY227" s="20"/>
      <c r="EZ227" s="29">
        <v>160</v>
      </c>
      <c r="FA227" s="1504">
        <v>41365</v>
      </c>
      <c r="FB227" s="29"/>
      <c r="FC227" s="29"/>
      <c r="FD227" s="29"/>
      <c r="FE227" s="29"/>
      <c r="FF227" s="29"/>
      <c r="FG227" s="29"/>
      <c r="FH227" s="29"/>
      <c r="FI227" s="29"/>
      <c r="FJ227" s="29"/>
      <c r="FK227" s="29">
        <v>160</v>
      </c>
      <c r="FL227" s="1504">
        <v>41365</v>
      </c>
      <c r="FM227" s="19">
        <v>107.41591352096738</v>
      </c>
      <c r="FN227" s="93">
        <v>116.75121117971585</v>
      </c>
      <c r="FO227" s="93">
        <v>102.50204534677844</v>
      </c>
      <c r="FP227" s="93">
        <v>101.85111851177248</v>
      </c>
      <c r="FQ227" s="93">
        <v>113.57396121676287</v>
      </c>
      <c r="FR227" s="93">
        <v>98.515421808208629</v>
      </c>
      <c r="FS227" s="93">
        <v>100.86284936216892</v>
      </c>
      <c r="FT227" s="93">
        <v>105.93921771935004</v>
      </c>
      <c r="FU227" s="93">
        <v>62.497250291150166</v>
      </c>
      <c r="FV227" s="93">
        <v>97.461408814507109</v>
      </c>
      <c r="FW227" s="93">
        <v>104.37383572273448</v>
      </c>
      <c r="FX227" s="93">
        <v>116.43081170727892</v>
      </c>
      <c r="FY227" s="93">
        <v>103.9456018828116</v>
      </c>
      <c r="FZ227" s="29">
        <v>160</v>
      </c>
      <c r="GA227" s="1504">
        <v>41365</v>
      </c>
      <c r="GB227" s="733">
        <v>107.41591352096738</v>
      </c>
      <c r="GC227" s="570">
        <v>105.87625716445622</v>
      </c>
      <c r="GD227" s="570">
        <v>108.37844478348815</v>
      </c>
      <c r="GE227" s="570">
        <v>112.4429103628606</v>
      </c>
      <c r="GF227" s="570">
        <v>114.21399017221209</v>
      </c>
      <c r="GG227" s="570">
        <v>104.02157982877665</v>
      </c>
      <c r="GH227" s="93"/>
      <c r="GI227" s="93"/>
      <c r="GJ227" s="93"/>
      <c r="GK227" s="93"/>
      <c r="GL227" s="93"/>
      <c r="GM227" s="93"/>
      <c r="GN227" s="20"/>
      <c r="GO227" s="29">
        <v>160</v>
      </c>
      <c r="GP227" s="1504">
        <v>41365</v>
      </c>
      <c r="GQ227" s="19"/>
      <c r="GR227" s="93"/>
      <c r="GS227" s="93"/>
      <c r="GT227" s="93"/>
      <c r="GU227" s="93"/>
      <c r="GV227" s="20"/>
      <c r="GW227" s="19"/>
      <c r="GX227" s="93"/>
      <c r="GY227" s="93"/>
      <c r="GZ227" s="93"/>
      <c r="HA227" s="93"/>
      <c r="HB227" s="20"/>
      <c r="HC227" s="19"/>
      <c r="HD227" s="93"/>
      <c r="HE227" s="93"/>
      <c r="HF227" s="93"/>
      <c r="HG227" s="93"/>
      <c r="HH227" s="20"/>
      <c r="HI227" s="19"/>
      <c r="HJ227" s="93"/>
      <c r="HK227" s="93"/>
      <c r="HL227" s="93"/>
      <c r="HM227" s="93"/>
      <c r="HN227" s="20"/>
      <c r="HO227" s="219"/>
      <c r="HP227" s="20"/>
      <c r="HQ227" s="25"/>
      <c r="HR227" s="29">
        <v>160</v>
      </c>
      <c r="HS227" s="1504">
        <v>41365</v>
      </c>
      <c r="HT227" s="179">
        <v>250.661376953125</v>
      </c>
      <c r="HU227" s="99">
        <v>259.98263549804688</v>
      </c>
      <c r="HV227" s="99">
        <v>200</v>
      </c>
      <c r="HW227" s="99">
        <v>157.76699829101563</v>
      </c>
      <c r="HX227" s="99">
        <v>200</v>
      </c>
      <c r="HY227" s="99">
        <v>218.25397491455078</v>
      </c>
      <c r="HZ227" s="99">
        <v>244.59410858154297</v>
      </c>
      <c r="IA227" s="132">
        <v>190.76797103881836</v>
      </c>
      <c r="IB227" s="179">
        <v>195.81958516438803</v>
      </c>
      <c r="IC227" s="99">
        <v>166.66666666666666</v>
      </c>
      <c r="ID227" s="99">
        <v>190.47619120279947</v>
      </c>
      <c r="IE227" s="99">
        <v>156.25</v>
      </c>
      <c r="IF227" s="99">
        <v>191.69328308105469</v>
      </c>
      <c r="IG227" s="132">
        <v>173.02632141113281</v>
      </c>
      <c r="IH227" s="179">
        <v>140.67539405822754</v>
      </c>
      <c r="II227" s="99">
        <v>194.73617553710938</v>
      </c>
      <c r="IJ227" s="99">
        <v>152.02702331542969</v>
      </c>
      <c r="IK227" s="99">
        <v>154.78340148925781</v>
      </c>
      <c r="IL227" s="99">
        <v>152.77777862548828</v>
      </c>
      <c r="IM227" s="99">
        <v>151.20968627929688</v>
      </c>
      <c r="IN227" s="93"/>
      <c r="IO227" s="132">
        <v>162.30802154541016</v>
      </c>
      <c r="IP227" s="29">
        <v>160</v>
      </c>
      <c r="IQ227" s="19"/>
      <c r="IR227" s="93"/>
      <c r="IS227" s="93"/>
      <c r="IT227" s="93"/>
      <c r="IU227" s="93"/>
      <c r="IV227" s="20"/>
      <c r="IW227" s="29">
        <v>160</v>
      </c>
      <c r="IX227" s="19"/>
      <c r="IY227" s="93"/>
      <c r="IZ227" s="93"/>
      <c r="JA227" s="93"/>
      <c r="JB227" s="93"/>
      <c r="JC227" s="93"/>
      <c r="JD227" s="93"/>
      <c r="JE227" s="20"/>
      <c r="JF227" s="29">
        <v>160</v>
      </c>
      <c r="JG227" s="19"/>
      <c r="JH227" s="93"/>
      <c r="JI227" s="93"/>
      <c r="JJ227" s="93"/>
      <c r="JK227" s="93"/>
      <c r="JL227" s="93"/>
      <c r="JM227" s="93"/>
      <c r="JN227" s="20"/>
      <c r="JO227" s="29">
        <v>160</v>
      </c>
      <c r="JP227" s="19"/>
      <c r="JQ227" s="93"/>
      <c r="JR227" s="93"/>
      <c r="JS227" s="93"/>
      <c r="JT227" s="93"/>
      <c r="JU227" s="20"/>
      <c r="JV227" s="29">
        <v>160</v>
      </c>
      <c r="JW227" s="1504">
        <v>41365</v>
      </c>
      <c r="JX227" s="19"/>
      <c r="JY227" s="93"/>
      <c r="JZ227" s="93"/>
      <c r="KA227" s="93"/>
      <c r="KB227" s="93"/>
      <c r="KC227" s="93"/>
      <c r="KD227" s="20"/>
      <c r="KE227" s="29">
        <v>160</v>
      </c>
      <c r="KF227" s="19"/>
      <c r="KG227" s="93"/>
      <c r="KH227" s="93"/>
      <c r="KI227" s="93"/>
      <c r="KJ227" s="93"/>
      <c r="KK227" s="20"/>
      <c r="KL227" s="29">
        <v>160</v>
      </c>
      <c r="KM227" s="19"/>
      <c r="KN227" s="93"/>
      <c r="KO227" s="93"/>
      <c r="KP227" s="93"/>
      <c r="KQ227" s="93"/>
      <c r="KR227" s="20"/>
      <c r="KS227" s="29">
        <v>160</v>
      </c>
      <c r="KT227" s="19"/>
      <c r="KU227" s="93"/>
      <c r="KV227" s="93"/>
      <c r="KW227" s="93"/>
      <c r="KX227" s="93"/>
      <c r="KY227" s="20"/>
      <c r="KZ227" s="29">
        <v>160</v>
      </c>
      <c r="LA227" s="1504">
        <v>41365</v>
      </c>
      <c r="LB227" s="19">
        <v>510</v>
      </c>
      <c r="LC227" s="93">
        <v>740</v>
      </c>
      <c r="LD227" s="93">
        <v>732</v>
      </c>
      <c r="LE227" s="93"/>
      <c r="LF227" s="93">
        <v>656</v>
      </c>
      <c r="LG227" s="93"/>
      <c r="LH227" s="20"/>
      <c r="LI227" s="29">
        <v>160</v>
      </c>
      <c r="LJ227" s="19"/>
      <c r="LK227" s="93"/>
      <c r="LL227" s="93"/>
      <c r="LM227" s="93"/>
      <c r="LN227" s="93"/>
      <c r="LO227" s="20"/>
      <c r="LP227" s="29">
        <v>160</v>
      </c>
      <c r="LQ227" s="19"/>
      <c r="LR227" s="93"/>
      <c r="LS227" s="93"/>
      <c r="LT227" s="93"/>
      <c r="LU227" s="93"/>
      <c r="LV227" s="93"/>
      <c r="LW227" s="93"/>
      <c r="LX227" s="93"/>
      <c r="LY227" s="93"/>
      <c r="LZ227" s="93"/>
      <c r="MA227" s="20"/>
      <c r="MB227" s="29">
        <v>160</v>
      </c>
      <c r="MC227" s="1504">
        <v>41365</v>
      </c>
      <c r="MD227" s="19">
        <v>133818.721976</v>
      </c>
      <c r="ME227" s="93">
        <v>121717.76807799999</v>
      </c>
      <c r="MF227" s="93">
        <v>121717.684077</v>
      </c>
      <c r="MG227" s="93">
        <v>115339.71481599999</v>
      </c>
      <c r="MH227" s="93">
        <v>51565.526722999995</v>
      </c>
      <c r="MI227" s="93">
        <v>601.20336399999997</v>
      </c>
      <c r="MJ227" s="93">
        <v>656.72225900000012</v>
      </c>
      <c r="MK227" s="93">
        <v>47923.103592999993</v>
      </c>
      <c r="ML227" s="93">
        <v>13971.709901</v>
      </c>
      <c r="MM227" s="93">
        <v>621.4489759999999</v>
      </c>
      <c r="MN227" s="93">
        <v>6377.9692610000002</v>
      </c>
      <c r="MO227" s="93">
        <v>336.26987500000001</v>
      </c>
      <c r="MP227" s="93">
        <v>2410.7082999999998</v>
      </c>
      <c r="MQ227" s="93">
        <v>155.208641</v>
      </c>
      <c r="MR227" s="93">
        <v>8.092846999999999</v>
      </c>
      <c r="MS227" s="93">
        <v>3467.6895980000004</v>
      </c>
      <c r="MT227" s="93">
        <v>8.4001000000000006E-2</v>
      </c>
      <c r="MU227" s="93">
        <v>12100.953898</v>
      </c>
      <c r="MV227" s="93">
        <v>12049.454164000001</v>
      </c>
      <c r="MW227" s="93">
        <v>51.499733999999997</v>
      </c>
      <c r="MX227" s="93">
        <v>129756.67001436556</v>
      </c>
      <c r="MY227" s="93">
        <v>129912.20009836557</v>
      </c>
      <c r="MZ227" s="93">
        <v>70014.396579833308</v>
      </c>
      <c r="NA227" s="93">
        <v>30262.225446666642</v>
      </c>
      <c r="NB227" s="93">
        <v>14007.286394666664</v>
      </c>
      <c r="NC227" s="93">
        <v>2180.0651619999994</v>
      </c>
      <c r="ND227" s="93">
        <v>93.558979999999991</v>
      </c>
      <c r="NE227" s="93">
        <v>2086.5061819999996</v>
      </c>
      <c r="NF227" s="93">
        <v>23564.819576500002</v>
      </c>
      <c r="NG227" s="93">
        <v>450.66870250000011</v>
      </c>
      <c r="NH227" s="93">
        <v>4172.7868990000006</v>
      </c>
      <c r="NI227" s="93">
        <v>3314.6041009999999</v>
      </c>
      <c r="NJ227" s="93">
        <v>1455.785903</v>
      </c>
      <c r="NK227" s="93">
        <v>59897.803518532259</v>
      </c>
      <c r="NL227" s="93">
        <v>42607.528949</v>
      </c>
      <c r="NM227" s="93">
        <v>0</v>
      </c>
      <c r="NN227" s="93">
        <v>17290.274569532259</v>
      </c>
      <c r="NO227" s="93">
        <v>-155.53008399999939</v>
      </c>
      <c r="NP227" s="93">
        <v>4062.0519616344272</v>
      </c>
      <c r="NQ227" s="93">
        <v>-8038.9019363655743</v>
      </c>
      <c r="NR227" s="93">
        <v>11431.437795166687</v>
      </c>
      <c r="NS227" s="93">
        <v>9251.3726331666858</v>
      </c>
      <c r="NT227" s="93">
        <v>-7533.5091558206004</v>
      </c>
      <c r="NU227" s="93">
        <v>-19634.463053820604</v>
      </c>
      <c r="NV227" s="93">
        <v>10594.960182532275</v>
      </c>
      <c r="NW227" s="93">
        <v>2322.1107125322596</v>
      </c>
      <c r="NX227" s="93">
        <v>5240.8204055322594</v>
      </c>
      <c r="NY227" s="93">
        <v>-2918.7096929999998</v>
      </c>
      <c r="NZ227" s="93">
        <v>0</v>
      </c>
      <c r="OA227" s="93">
        <v>8272.8494700000156</v>
      </c>
      <c r="OB227" s="93">
        <v>8546.948820000016</v>
      </c>
      <c r="OC227" s="93">
        <v>-274.09934999999996</v>
      </c>
      <c r="OD227" s="20">
        <v>0</v>
      </c>
      <c r="OE227" s="29">
        <v>160</v>
      </c>
      <c r="OF227" s="1504">
        <v>41365</v>
      </c>
      <c r="OG227" s="19"/>
      <c r="OH227" s="93">
        <v>189.30510000000001</v>
      </c>
      <c r="OI227" s="93">
        <v>881.41166471375527</v>
      </c>
      <c r="OJ227" s="93">
        <v>0.62092784499999998</v>
      </c>
      <c r="OK227" s="93">
        <v>791.21353686875534</v>
      </c>
      <c r="OL227" s="93">
        <v>89.577200000000005</v>
      </c>
      <c r="OM227" s="93">
        <v>1070.7167647137553</v>
      </c>
      <c r="ON227" s="93">
        <v>761.82064165421832</v>
      </c>
      <c r="OO227" s="93">
        <v>1832.5374063679737</v>
      </c>
      <c r="OP227" s="93"/>
      <c r="OQ227" s="93">
        <v>691.49409124482554</v>
      </c>
      <c r="OR227" s="93">
        <v>144.790983883</v>
      </c>
      <c r="OS227" s="93">
        <v>546.70310736182546</v>
      </c>
      <c r="OT227" s="93">
        <v>1380.915921667148</v>
      </c>
      <c r="OU227" s="93">
        <v>18.040542466999987</v>
      </c>
      <c r="OV227" s="93">
        <v>-2.2614575330000042</v>
      </c>
      <c r="OW227" s="93">
        <v>20.301999999999992</v>
      </c>
      <c r="OX227" s="93">
        <v>1362.875379200148</v>
      </c>
      <c r="OY227" s="93">
        <v>4.5623080390000004</v>
      </c>
      <c r="OZ227" s="93">
        <v>1358.3130711611482</v>
      </c>
      <c r="PA227" s="93">
        <v>271.63157676900005</v>
      </c>
      <c r="PB227" s="93">
        <v>-31.758970225000041</v>
      </c>
      <c r="PC227" s="20">
        <v>1832.5374063679733</v>
      </c>
      <c r="PD227" s="29">
        <v>160</v>
      </c>
      <c r="PE227" s="19"/>
      <c r="PF227" s="93">
        <v>144.790983883</v>
      </c>
      <c r="PG227" s="93">
        <v>399.61450783399999</v>
      </c>
      <c r="PH227" s="93">
        <v>254.823523951</v>
      </c>
      <c r="PI227" s="93">
        <v>224.37200000000001</v>
      </c>
      <c r="PJ227" s="93">
        <v>2.3479424669999958</v>
      </c>
      <c r="PK227" s="93">
        <v>134.81965609899999</v>
      </c>
      <c r="PL227" s="93">
        <v>132.47171363199999</v>
      </c>
      <c r="PM227" s="93">
        <v>4.5623080390000004</v>
      </c>
      <c r="PN227" s="93">
        <v>1.06</v>
      </c>
      <c r="PO227" s="93">
        <v>0</v>
      </c>
      <c r="PP227" s="93">
        <v>5.3451799999999999E-4</v>
      </c>
      <c r="PQ227" s="93">
        <v>3.5017735210000001</v>
      </c>
      <c r="PR227" s="93">
        <v>369.07964634500001</v>
      </c>
      <c r="PS227" s="93">
        <v>237.3075</v>
      </c>
      <c r="PT227" s="93">
        <v>131.1512185</v>
      </c>
      <c r="PU227" s="93">
        <v>0.62092784499999998</v>
      </c>
      <c r="PV227" s="93">
        <v>0</v>
      </c>
      <c r="PW227" s="93">
        <v>1.2557393530000001</v>
      </c>
      <c r="PX227" s="93">
        <v>0</v>
      </c>
      <c r="PY227" s="93">
        <v>0</v>
      </c>
      <c r="PZ227" s="93">
        <v>1.2557393530000001</v>
      </c>
      <c r="QA227" s="93">
        <v>0</v>
      </c>
      <c r="QB227" s="93">
        <v>0</v>
      </c>
      <c r="QC227" s="93">
        <v>0</v>
      </c>
      <c r="QD227" s="93">
        <v>1.5878374159999999</v>
      </c>
      <c r="QE227" s="20">
        <v>4.1500112749999989</v>
      </c>
      <c r="QF227" s="1739">
        <v>160</v>
      </c>
      <c r="QG227" s="19"/>
      <c r="QH227" s="1035">
        <v>546.70310736182546</v>
      </c>
      <c r="QI227" s="1035">
        <v>683.40092883885177</v>
      </c>
      <c r="QJ227" s="1035">
        <v>-136.69782147702631</v>
      </c>
      <c r="QK227" s="1035">
        <v>166.779</v>
      </c>
      <c r="QL227" s="1035">
        <v>43.393000000000001</v>
      </c>
      <c r="QM227" s="1035">
        <v>123.386</v>
      </c>
      <c r="QN227" s="1035">
        <v>0</v>
      </c>
      <c r="QO227" s="1035">
        <v>20.301999999999992</v>
      </c>
      <c r="QP227" s="1035">
        <v>171.23499999999999</v>
      </c>
      <c r="QQ227" s="1035">
        <v>-150.93299999999999</v>
      </c>
      <c r="QR227" s="1035">
        <v>1358.3130711611482</v>
      </c>
      <c r="QS227" s="1035">
        <v>14.398978323327089</v>
      </c>
      <c r="QT227" s="1035">
        <v>0</v>
      </c>
      <c r="QU227" s="1035">
        <v>188.40299999999999</v>
      </c>
      <c r="QV227" s="1035">
        <v>1155.511092837821</v>
      </c>
      <c r="QW227" s="93"/>
      <c r="QX227" s="93">
        <v>213.17599999999999</v>
      </c>
      <c r="QY227" s="93">
        <v>791.21353686875545</v>
      </c>
      <c r="QZ227" s="93">
        <v>761.82064165421843</v>
      </c>
      <c r="RA227" s="93">
        <v>0</v>
      </c>
      <c r="RB227" s="93">
        <v>34.436999999999998</v>
      </c>
      <c r="RC227" s="93">
        <v>9.0050000000000008</v>
      </c>
      <c r="RD227" s="93">
        <v>17.072000000000003</v>
      </c>
      <c r="RE227" s="93">
        <v>0</v>
      </c>
      <c r="RF227" s="93">
        <v>0</v>
      </c>
      <c r="RG227" s="93">
        <v>208.274</v>
      </c>
      <c r="RH227" s="93">
        <v>57.09899999999999</v>
      </c>
      <c r="RI227" s="93"/>
      <c r="RJ227" s="93"/>
      <c r="RK227" s="93"/>
      <c r="RL227" s="93"/>
      <c r="RM227" s="734"/>
      <c r="RN227" s="29">
        <v>160</v>
      </c>
      <c r="RO227" s="19">
        <v>86</v>
      </c>
      <c r="RP227" s="20"/>
      <c r="RQ227" s="29">
        <v>160</v>
      </c>
      <c r="RR227" s="734">
        <v>2.4694790000000002</v>
      </c>
      <c r="RS227" s="29">
        <v>160</v>
      </c>
      <c r="RT227" s="1504">
        <v>41365</v>
      </c>
      <c r="RU227" s="19"/>
      <c r="RV227" s="20"/>
      <c r="RW227" s="29">
        <v>160</v>
      </c>
      <c r="RX227" s="1504">
        <v>41365</v>
      </c>
      <c r="RY227" s="29"/>
      <c r="RZ227" s="734"/>
      <c r="SA227" s="29"/>
      <c r="SB227" s="29">
        <v>160</v>
      </c>
    </row>
    <row r="228" spans="1:496">
      <c r="A228" s="41">
        <f t="shared" si="208"/>
        <v>2013</v>
      </c>
      <c r="B228" s="1504">
        <v>41395</v>
      </c>
      <c r="C228" s="1813">
        <v>1134</v>
      </c>
      <c r="D228" s="1814">
        <v>17738</v>
      </c>
      <c r="E228" s="1814">
        <v>77</v>
      </c>
      <c r="F228" s="1815">
        <v>907</v>
      </c>
      <c r="G228" s="1814">
        <v>98899</v>
      </c>
      <c r="H228" s="1814">
        <v>20</v>
      </c>
      <c r="I228" s="1814">
        <v>32483</v>
      </c>
      <c r="J228" s="1816">
        <v>19440</v>
      </c>
      <c r="K228" s="1807">
        <v>170698</v>
      </c>
      <c r="L228" s="25">
        <v>161</v>
      </c>
      <c r="M228" s="97"/>
      <c r="N228" s="1504">
        <v>41395</v>
      </c>
      <c r="O228" s="19"/>
      <c r="P228" s="93"/>
      <c r="Q228" s="93"/>
      <c r="R228" s="93"/>
      <c r="S228" s="93"/>
      <c r="T228" s="93"/>
      <c r="U228" s="93"/>
      <c r="V228" s="93"/>
      <c r="W228" s="93"/>
      <c r="X228" s="93"/>
      <c r="Y228" s="93"/>
      <c r="Z228" s="93"/>
      <c r="AA228" s="93"/>
      <c r="AB228" s="20"/>
      <c r="AC228" s="25">
        <v>161</v>
      </c>
      <c r="AD228" s="97"/>
      <c r="AE228" s="1504">
        <v>41395</v>
      </c>
      <c r="AF228" s="19"/>
      <c r="AG228" s="93"/>
      <c r="AH228" s="93"/>
      <c r="AI228" s="93"/>
      <c r="AJ228" s="93"/>
      <c r="AK228" s="93"/>
      <c r="AL228" s="93"/>
      <c r="AM228" s="93"/>
      <c r="AN228" s="93"/>
      <c r="AO228" s="93"/>
      <c r="AP228" s="93"/>
      <c r="AQ228" s="93"/>
      <c r="AR228" s="93"/>
      <c r="AS228" s="20"/>
      <c r="AT228" s="25">
        <v>161</v>
      </c>
      <c r="AU228" s="97"/>
      <c r="AV228" s="1504">
        <v>41395</v>
      </c>
      <c r="AW228" s="19"/>
      <c r="AX228" s="93"/>
      <c r="AY228" s="93"/>
      <c r="AZ228" s="93"/>
      <c r="BA228" s="93"/>
      <c r="BB228" s="93"/>
      <c r="BC228" s="93"/>
      <c r="BD228" s="93"/>
      <c r="BE228" s="93"/>
      <c r="BF228" s="93"/>
      <c r="BG228" s="93"/>
      <c r="BH228" s="93"/>
      <c r="BI228" s="93"/>
      <c r="BJ228" s="20"/>
      <c r="BK228" s="25">
        <v>161</v>
      </c>
      <c r="BL228" s="97"/>
      <c r="BM228" s="1504">
        <v>41395</v>
      </c>
      <c r="BN228" s="19"/>
      <c r="BO228" s="93"/>
      <c r="BP228" s="93"/>
      <c r="BQ228" s="93"/>
      <c r="BR228" s="93"/>
      <c r="BS228" s="93"/>
      <c r="BT228" s="93"/>
      <c r="BU228" s="20"/>
      <c r="BV228" s="25">
        <v>161</v>
      </c>
      <c r="BW228" s="97"/>
      <c r="BX228" s="1504">
        <v>41395</v>
      </c>
      <c r="BY228" s="179">
        <v>505.27711753</v>
      </c>
      <c r="BZ228" s="99">
        <v>664.95699999999999</v>
      </c>
      <c r="CA228" s="93"/>
      <c r="CB228" s="93"/>
      <c r="CC228" s="99">
        <v>257.51586843061847</v>
      </c>
      <c r="CD228" s="25">
        <v>161</v>
      </c>
      <c r="CE228" s="97"/>
      <c r="CF228" s="1504">
        <v>41395</v>
      </c>
      <c r="CG228" s="179">
        <v>2.043021354</v>
      </c>
      <c r="CH228" s="99">
        <v>1414.02695652174</v>
      </c>
      <c r="CI228" s="219"/>
      <c r="CJ228" s="20"/>
      <c r="CK228" s="19"/>
      <c r="CL228" s="93"/>
      <c r="CM228" s="93"/>
      <c r="CN228" s="93"/>
      <c r="CO228" s="93"/>
      <c r="CP228" s="20"/>
      <c r="CQ228" s="219">
        <v>1780.73</v>
      </c>
      <c r="CR228" s="93">
        <v>2.3875000000000002</v>
      </c>
      <c r="CS228" s="93"/>
      <c r="CT228" s="93"/>
      <c r="CU228" s="93"/>
      <c r="CV228" s="214"/>
      <c r="CW228" s="29">
        <v>161</v>
      </c>
      <c r="CX228" s="41">
        <f t="shared" si="209"/>
        <v>2013</v>
      </c>
      <c r="CY228" s="1504">
        <v>41395</v>
      </c>
      <c r="CZ228" s="1916">
        <v>101.65309283419558</v>
      </c>
      <c r="DA228" s="1526">
        <v>64.169283834195582</v>
      </c>
      <c r="DB228" s="1526">
        <v>37.483809000000001</v>
      </c>
      <c r="DC228" s="182">
        <f t="shared" si="216"/>
        <v>472441</v>
      </c>
      <c r="DD228" s="182">
        <f t="shared" si="217"/>
        <v>471097</v>
      </c>
      <c r="DE228" s="182">
        <f t="shared" si="218"/>
        <v>1344</v>
      </c>
      <c r="DF228" s="29">
        <v>161</v>
      </c>
      <c r="DG228" s="1504">
        <v>41395</v>
      </c>
      <c r="DH228" s="19"/>
      <c r="DI228" s="93"/>
      <c r="DJ228" s="93"/>
      <c r="DK228" s="93"/>
      <c r="DL228" s="93"/>
      <c r="DM228" s="93"/>
      <c r="DN228" s="20"/>
      <c r="DO228" s="25"/>
      <c r="DP228" s="29">
        <v>161</v>
      </c>
      <c r="DQ228" s="1504">
        <v>41395</v>
      </c>
      <c r="DR228" s="19"/>
      <c r="DS228" s="93"/>
      <c r="DT228" s="93"/>
      <c r="DU228" s="93"/>
      <c r="DV228" s="93"/>
      <c r="DW228" s="93"/>
      <c r="DX228" s="20"/>
      <c r="DY228" s="29">
        <v>161</v>
      </c>
      <c r="DZ228" s="1504">
        <v>41395</v>
      </c>
      <c r="EA228" s="19"/>
      <c r="EB228" s="93"/>
      <c r="EC228" s="20"/>
      <c r="ED228" s="29">
        <v>161</v>
      </c>
      <c r="EE228" s="1504">
        <v>41395</v>
      </c>
      <c r="EF228" s="19"/>
      <c r="EG228" s="93"/>
      <c r="EH228" s="93"/>
      <c r="EI228" s="214"/>
      <c r="EJ228" s="93"/>
      <c r="EK228" s="93"/>
      <c r="EL228" s="93"/>
      <c r="EM228" s="93"/>
      <c r="EN228" s="20"/>
      <c r="EO228" s="29">
        <v>161</v>
      </c>
      <c r="EP228" s="1504">
        <v>41395</v>
      </c>
      <c r="EQ228" s="19"/>
      <c r="ER228" s="93"/>
      <c r="ES228" s="93"/>
      <c r="ET228" s="214"/>
      <c r="EU228" s="93"/>
      <c r="EV228" s="93"/>
      <c r="EW228" s="93"/>
      <c r="EX228" s="93"/>
      <c r="EY228" s="20"/>
      <c r="EZ228" s="29">
        <v>161</v>
      </c>
      <c r="FA228" s="1504">
        <v>41395</v>
      </c>
      <c r="FB228" s="29"/>
      <c r="FC228" s="29"/>
      <c r="FD228" s="29"/>
      <c r="FE228" s="29"/>
      <c r="FF228" s="29"/>
      <c r="FG228" s="29"/>
      <c r="FH228" s="29"/>
      <c r="FI228" s="29"/>
      <c r="FJ228" s="29"/>
      <c r="FK228" s="29">
        <v>161</v>
      </c>
      <c r="FL228" s="1504">
        <v>41395</v>
      </c>
      <c r="FM228" s="19">
        <v>107.52257382596146</v>
      </c>
      <c r="FN228" s="93">
        <v>118.49770060132518</v>
      </c>
      <c r="FO228" s="93">
        <v>104.36302927568742</v>
      </c>
      <c r="FP228" s="93">
        <v>101.85111851177248</v>
      </c>
      <c r="FQ228" s="93">
        <v>107.97977956136455</v>
      </c>
      <c r="FR228" s="93">
        <v>98.515421808208629</v>
      </c>
      <c r="FS228" s="93">
        <v>100.86284936216892</v>
      </c>
      <c r="FT228" s="93">
        <v>105.93921771935004</v>
      </c>
      <c r="FU228" s="93">
        <v>63.094306624067258</v>
      </c>
      <c r="FV228" s="93">
        <v>97.461408814507109</v>
      </c>
      <c r="FW228" s="93">
        <v>104.37383572273448</v>
      </c>
      <c r="FX228" s="93">
        <v>115.57266332027493</v>
      </c>
      <c r="FY228" s="93">
        <v>103.9456018828116</v>
      </c>
      <c r="FZ228" s="29">
        <v>161</v>
      </c>
      <c r="GA228" s="1504">
        <v>41395</v>
      </c>
      <c r="GB228" s="733">
        <v>107.52257382596146</v>
      </c>
      <c r="GC228" s="570">
        <v>106.79543208229495</v>
      </c>
      <c r="GD228" s="570">
        <v>107.95519538504108</v>
      </c>
      <c r="GE228" s="570">
        <v>108.04532776812789</v>
      </c>
      <c r="GF228" s="570">
        <v>117.57598768026823</v>
      </c>
      <c r="GG228" s="570">
        <v>103.82215558909374</v>
      </c>
      <c r="GH228" s="93"/>
      <c r="GI228" s="93"/>
      <c r="GJ228" s="93"/>
      <c r="GK228" s="93"/>
      <c r="GL228" s="93"/>
      <c r="GM228" s="93"/>
      <c r="GN228" s="20"/>
      <c r="GO228" s="29">
        <v>161</v>
      </c>
      <c r="GP228" s="1504">
        <v>41395</v>
      </c>
      <c r="GQ228" s="19"/>
      <c r="GR228" s="93"/>
      <c r="GS228" s="93"/>
      <c r="GT228" s="93"/>
      <c r="GU228" s="93"/>
      <c r="GV228" s="20"/>
      <c r="GW228" s="19"/>
      <c r="GX228" s="93"/>
      <c r="GY228" s="93"/>
      <c r="GZ228" s="93"/>
      <c r="HA228" s="93"/>
      <c r="HB228" s="20"/>
      <c r="HC228" s="19"/>
      <c r="HD228" s="93"/>
      <c r="HE228" s="93"/>
      <c r="HF228" s="93"/>
      <c r="HG228" s="93"/>
      <c r="HH228" s="20"/>
      <c r="HI228" s="19"/>
      <c r="HJ228" s="93"/>
      <c r="HK228" s="93"/>
      <c r="HL228" s="93"/>
      <c r="HM228" s="93"/>
      <c r="HN228" s="20"/>
      <c r="HO228" s="219"/>
      <c r="HP228" s="20"/>
      <c r="HQ228" s="25"/>
      <c r="HR228" s="29">
        <v>161</v>
      </c>
      <c r="HS228" s="1504">
        <v>41395</v>
      </c>
      <c r="HT228" s="179">
        <v>247.49907112121582</v>
      </c>
      <c r="HU228" s="99">
        <v>252.77777709960938</v>
      </c>
      <c r="HV228" s="99">
        <v>200</v>
      </c>
      <c r="HW228" s="99">
        <v>157.76699829101563</v>
      </c>
      <c r="HX228" s="99">
        <v>200</v>
      </c>
      <c r="HY228" s="99">
        <v>218.25397491455078</v>
      </c>
      <c r="HZ228" s="99">
        <v>244.59410858154297</v>
      </c>
      <c r="IA228" s="132">
        <v>174.59678268432617</v>
      </c>
      <c r="IB228" s="179">
        <v>194.71947479248047</v>
      </c>
      <c r="IC228" s="99">
        <v>156.25</v>
      </c>
      <c r="ID228" s="99">
        <v>207.34127044677734</v>
      </c>
      <c r="IE228" s="99">
        <v>160.25640869140625</v>
      </c>
      <c r="IF228" s="99">
        <v>183.7060661315918</v>
      </c>
      <c r="IG228" s="132">
        <v>161.84210586547852</v>
      </c>
      <c r="IH228" s="179">
        <v>132.76098823547363</v>
      </c>
      <c r="II228" s="99">
        <v>202.00361824035645</v>
      </c>
      <c r="IJ228" s="99">
        <v>152.02702331542969</v>
      </c>
      <c r="IK228" s="99">
        <v>155.23466491699219</v>
      </c>
      <c r="IL228" s="99">
        <v>152.77777862548828</v>
      </c>
      <c r="IM228" s="99">
        <v>142.74193954467773</v>
      </c>
      <c r="IN228" s="93"/>
      <c r="IO228" s="132">
        <v>155.4533805847168</v>
      </c>
      <c r="IP228" s="29">
        <v>161</v>
      </c>
      <c r="IQ228" s="19"/>
      <c r="IR228" s="93"/>
      <c r="IS228" s="93"/>
      <c r="IT228" s="93"/>
      <c r="IU228" s="93"/>
      <c r="IV228" s="20"/>
      <c r="IW228" s="29">
        <v>161</v>
      </c>
      <c r="IX228" s="19"/>
      <c r="IY228" s="93"/>
      <c r="IZ228" s="93"/>
      <c r="JA228" s="93"/>
      <c r="JB228" s="93"/>
      <c r="JC228" s="93"/>
      <c r="JD228" s="93"/>
      <c r="JE228" s="20"/>
      <c r="JF228" s="29">
        <v>161</v>
      </c>
      <c r="JG228" s="19"/>
      <c r="JH228" s="93"/>
      <c r="JI228" s="93"/>
      <c r="JJ228" s="93"/>
      <c r="JK228" s="93"/>
      <c r="JL228" s="93"/>
      <c r="JM228" s="93"/>
      <c r="JN228" s="20"/>
      <c r="JO228" s="29">
        <v>161</v>
      </c>
      <c r="JP228" s="19"/>
      <c r="JQ228" s="93"/>
      <c r="JR228" s="93"/>
      <c r="JS228" s="93"/>
      <c r="JT228" s="93"/>
      <c r="JU228" s="20"/>
      <c r="JV228" s="29">
        <v>161</v>
      </c>
      <c r="JW228" s="1504">
        <v>41395</v>
      </c>
      <c r="JX228" s="19"/>
      <c r="JY228" s="93"/>
      <c r="JZ228" s="93"/>
      <c r="KA228" s="93"/>
      <c r="KB228" s="93"/>
      <c r="KC228" s="93"/>
      <c r="KD228" s="20"/>
      <c r="KE228" s="29">
        <v>161</v>
      </c>
      <c r="KF228" s="19"/>
      <c r="KG228" s="93"/>
      <c r="KH228" s="93"/>
      <c r="KI228" s="93"/>
      <c r="KJ228" s="93"/>
      <c r="KK228" s="20"/>
      <c r="KL228" s="29">
        <v>161</v>
      </c>
      <c r="KM228" s="19"/>
      <c r="KN228" s="93"/>
      <c r="KO228" s="93"/>
      <c r="KP228" s="93"/>
      <c r="KQ228" s="93"/>
      <c r="KR228" s="20"/>
      <c r="KS228" s="29">
        <v>161</v>
      </c>
      <c r="KT228" s="19"/>
      <c r="KU228" s="93"/>
      <c r="KV228" s="93"/>
      <c r="KW228" s="93"/>
      <c r="KX228" s="93"/>
      <c r="KY228" s="20"/>
      <c r="KZ228" s="29">
        <v>161</v>
      </c>
      <c r="LA228" s="1504">
        <v>41395</v>
      </c>
      <c r="LB228" s="19">
        <v>510</v>
      </c>
      <c r="LC228" s="93">
        <v>740</v>
      </c>
      <c r="LD228" s="93">
        <v>732</v>
      </c>
      <c r="LE228" s="93"/>
      <c r="LF228" s="93">
        <v>656</v>
      </c>
      <c r="LG228" s="93"/>
      <c r="LH228" s="20"/>
      <c r="LI228" s="29">
        <v>161</v>
      </c>
      <c r="LJ228" s="19"/>
      <c r="LK228" s="93"/>
      <c r="LL228" s="93"/>
      <c r="LM228" s="93"/>
      <c r="LN228" s="93"/>
      <c r="LO228" s="20"/>
      <c r="LP228" s="29">
        <v>161</v>
      </c>
      <c r="LQ228" s="19"/>
      <c r="LR228" s="93">
        <v>188</v>
      </c>
      <c r="LS228" s="93">
        <v>445</v>
      </c>
      <c r="LT228" s="93">
        <v>535</v>
      </c>
      <c r="LU228" s="93">
        <v>1070</v>
      </c>
      <c r="LV228" s="93"/>
      <c r="LW228" s="93">
        <v>5</v>
      </c>
      <c r="LX228" s="93">
        <v>10</v>
      </c>
      <c r="LY228" s="93">
        <v>60</v>
      </c>
      <c r="LZ228" s="93"/>
      <c r="MA228" s="20">
        <v>1070</v>
      </c>
      <c r="MB228" s="29">
        <v>161</v>
      </c>
      <c r="MC228" s="1504">
        <v>41395</v>
      </c>
      <c r="MD228" s="19">
        <v>108868.27662900001</v>
      </c>
      <c r="ME228" s="93">
        <v>88931.255453000005</v>
      </c>
      <c r="MF228" s="93">
        <v>88931.193453000014</v>
      </c>
      <c r="MG228" s="93">
        <v>78969.56485000001</v>
      </c>
      <c r="MH228" s="93">
        <v>13912.931630000001</v>
      </c>
      <c r="MI228" s="93">
        <v>650.17391599999996</v>
      </c>
      <c r="MJ228" s="93">
        <v>583.60944199999994</v>
      </c>
      <c r="MK228" s="93">
        <v>47583.165526000012</v>
      </c>
      <c r="ML228" s="93">
        <v>15449.89208</v>
      </c>
      <c r="MM228" s="93">
        <v>789.79225599999995</v>
      </c>
      <c r="MN228" s="93">
        <v>9961.6286029999974</v>
      </c>
      <c r="MO228" s="93">
        <v>304.60577799999999</v>
      </c>
      <c r="MP228" s="93">
        <v>8406.2440249999981</v>
      </c>
      <c r="MQ228" s="93">
        <v>674.78229799999997</v>
      </c>
      <c r="MR228" s="93">
        <v>87.611369999999994</v>
      </c>
      <c r="MS228" s="93">
        <v>488.385132</v>
      </c>
      <c r="MT228" s="93">
        <v>6.2E-2</v>
      </c>
      <c r="MU228" s="93">
        <v>19937.021175999998</v>
      </c>
      <c r="MV228" s="93">
        <v>7342.712372</v>
      </c>
      <c r="MW228" s="93">
        <v>12594.308804</v>
      </c>
      <c r="MX228" s="93">
        <v>103870.10042716669</v>
      </c>
      <c r="MY228" s="93">
        <v>103975.60611816669</v>
      </c>
      <c r="MZ228" s="93">
        <v>64774.248475166685</v>
      </c>
      <c r="NA228" s="93">
        <v>25829.390448666676</v>
      </c>
      <c r="NB228" s="93">
        <v>8679.0564410000115</v>
      </c>
      <c r="NC228" s="93">
        <v>4392.3167950000006</v>
      </c>
      <c r="ND228" s="93">
        <v>3332.0950480000006</v>
      </c>
      <c r="NE228" s="93">
        <v>1060.2217470000003</v>
      </c>
      <c r="NF228" s="93">
        <v>25873.484790499992</v>
      </c>
      <c r="NG228" s="93">
        <v>427.79739750000022</v>
      </c>
      <c r="NH228" s="93">
        <v>2639.6170549999997</v>
      </c>
      <c r="NI228" s="93">
        <v>590.2156040000001</v>
      </c>
      <c r="NJ228" s="93">
        <v>0</v>
      </c>
      <c r="NK228" s="93">
        <v>39201.357642999988</v>
      </c>
      <c r="NL228" s="93">
        <v>24916.30919399999</v>
      </c>
      <c r="NM228" s="93">
        <v>3192</v>
      </c>
      <c r="NN228" s="93">
        <v>11093.048449</v>
      </c>
      <c r="NO228" s="93">
        <v>-105.50569099999785</v>
      </c>
      <c r="NP228" s="93">
        <v>4998.1762018333229</v>
      </c>
      <c r="NQ228" s="93">
        <v>-14938.844974166677</v>
      </c>
      <c r="NR228" s="93">
        <v>546.52026983332632</v>
      </c>
      <c r="NS228" s="93">
        <v>-3845.7965251666756</v>
      </c>
      <c r="NT228" s="93">
        <v>23708.716937833309</v>
      </c>
      <c r="NU228" s="93">
        <v>3771.6957618333099</v>
      </c>
      <c r="NV228" s="93">
        <v>-33012.487312999998</v>
      </c>
      <c r="NW228" s="93">
        <v>2641.5491149999998</v>
      </c>
      <c r="NX228" s="93">
        <v>3750.3360769999995</v>
      </c>
      <c r="NY228" s="93">
        <v>-1108.7869619999999</v>
      </c>
      <c r="NZ228" s="93">
        <v>0</v>
      </c>
      <c r="OA228" s="93">
        <v>-35654.036427999992</v>
      </c>
      <c r="OB228" s="93">
        <v>-27260.217892999997</v>
      </c>
      <c r="OC228" s="93">
        <v>-8393.8185349999985</v>
      </c>
      <c r="OD228" s="20">
        <v>0</v>
      </c>
      <c r="OE228" s="29">
        <v>161</v>
      </c>
      <c r="OF228" s="1504">
        <v>41395</v>
      </c>
      <c r="OG228" s="19"/>
      <c r="OH228" s="93">
        <v>170.12979999999999</v>
      </c>
      <c r="OI228" s="93">
        <v>879.60493054742642</v>
      </c>
      <c r="OJ228" s="93">
        <v>0.51621217600000002</v>
      </c>
      <c r="OK228" s="93">
        <v>788.29651837142649</v>
      </c>
      <c r="OL228" s="93">
        <v>90.792200000000008</v>
      </c>
      <c r="OM228" s="93">
        <v>1049.7347305474264</v>
      </c>
      <c r="ON228" s="93">
        <v>767.41824124259233</v>
      </c>
      <c r="OO228" s="93">
        <v>1817.1529717900187</v>
      </c>
      <c r="OP228" s="93"/>
      <c r="OQ228" s="93">
        <v>700.86933687177157</v>
      </c>
      <c r="OR228" s="93">
        <v>111.50202650999995</v>
      </c>
      <c r="OS228" s="93">
        <v>589.36731036177162</v>
      </c>
      <c r="OT228" s="93">
        <v>1340.0480760802473</v>
      </c>
      <c r="OU228" s="93">
        <v>-26.703981065999976</v>
      </c>
      <c r="OV228" s="93">
        <v>-32.876981066000006</v>
      </c>
      <c r="OW228" s="93">
        <v>6.1730000000000302</v>
      </c>
      <c r="OX228" s="93">
        <v>1366.7520571462471</v>
      </c>
      <c r="OY228" s="93">
        <v>4.5046078940000003</v>
      </c>
      <c r="OZ228" s="93">
        <v>1362.2474492522472</v>
      </c>
      <c r="PA228" s="93">
        <v>273.70921583399996</v>
      </c>
      <c r="PB228" s="93">
        <v>-49.944774672000023</v>
      </c>
      <c r="PC228" s="20">
        <v>1817.1529717900189</v>
      </c>
      <c r="PD228" s="29">
        <v>161</v>
      </c>
      <c r="PE228" s="19"/>
      <c r="PF228" s="93">
        <v>111.50202650999995</v>
      </c>
      <c r="PG228" s="93">
        <v>361.39522881699997</v>
      </c>
      <c r="PH228" s="93">
        <v>249.89320230700002</v>
      </c>
      <c r="PI228" s="93">
        <v>233.77</v>
      </c>
      <c r="PJ228" s="93">
        <v>-27.678181066000008</v>
      </c>
      <c r="PK228" s="93">
        <v>134.83364482299999</v>
      </c>
      <c r="PL228" s="93">
        <v>162.51182588899999</v>
      </c>
      <c r="PM228" s="93">
        <v>4.5046078940000003</v>
      </c>
      <c r="PN228" s="93">
        <v>1.06</v>
      </c>
      <c r="PO228" s="93">
        <v>0</v>
      </c>
      <c r="PP228" s="93">
        <v>5.3451799999999999E-4</v>
      </c>
      <c r="PQ228" s="93">
        <v>3.444073376</v>
      </c>
      <c r="PR228" s="93">
        <v>318.56529157799997</v>
      </c>
      <c r="PS228" s="93">
        <v>223.04259999999999</v>
      </c>
      <c r="PT228" s="93">
        <v>95.006479401999997</v>
      </c>
      <c r="PU228" s="93">
        <v>0.51621217600000002</v>
      </c>
      <c r="PV228" s="93">
        <v>0</v>
      </c>
      <c r="PW228" s="93">
        <v>1.5939030949999999</v>
      </c>
      <c r="PX228" s="93">
        <v>0</v>
      </c>
      <c r="PY228" s="93">
        <v>0</v>
      </c>
      <c r="PZ228" s="93">
        <v>1.5939030949999999</v>
      </c>
      <c r="QA228" s="93">
        <v>0</v>
      </c>
      <c r="QB228" s="93">
        <v>0</v>
      </c>
      <c r="QC228" s="93">
        <v>0</v>
      </c>
      <c r="QD228" s="93">
        <v>1.2433127389999998</v>
      </c>
      <c r="QE228" s="20">
        <v>0.69594592599999294</v>
      </c>
      <c r="QF228" s="1739">
        <v>161</v>
      </c>
      <c r="QG228" s="19"/>
      <c r="QH228" s="1035">
        <v>589.36731036177162</v>
      </c>
      <c r="QI228" s="1035">
        <v>734.15155074775294</v>
      </c>
      <c r="QJ228" s="1035">
        <v>-144.78424038598126</v>
      </c>
      <c r="QK228" s="1035">
        <v>141.59699999999998</v>
      </c>
      <c r="QL228" s="1035">
        <v>47.713999999999999</v>
      </c>
      <c r="QM228" s="1035">
        <v>93.882999999999996</v>
      </c>
      <c r="QN228" s="1035">
        <v>0</v>
      </c>
      <c r="QO228" s="1035">
        <v>6.1730000000000302</v>
      </c>
      <c r="QP228" s="1035">
        <v>171.21</v>
      </c>
      <c r="QQ228" s="1035">
        <v>-165.03699999999998</v>
      </c>
      <c r="QR228" s="1035">
        <v>1362.2474492522472</v>
      </c>
      <c r="QS228" s="1035">
        <v>12.60056827860001</v>
      </c>
      <c r="QT228" s="1035">
        <v>0</v>
      </c>
      <c r="QU228" s="1035">
        <v>170.99299999999999</v>
      </c>
      <c r="QV228" s="1035">
        <v>1178.6538809736471</v>
      </c>
      <c r="QW228" s="93"/>
      <c r="QX228" s="93">
        <v>234.072</v>
      </c>
      <c r="QY228" s="93">
        <v>788.29651837142649</v>
      </c>
      <c r="QZ228" s="93">
        <v>767.41824124259233</v>
      </c>
      <c r="RA228" s="93">
        <v>0</v>
      </c>
      <c r="RB228" s="93">
        <v>34.637999999999998</v>
      </c>
      <c r="RC228" s="93">
        <v>9.0389999999999997</v>
      </c>
      <c r="RD228" s="93">
        <v>14.991999999999997</v>
      </c>
      <c r="RE228" s="93">
        <v>0</v>
      </c>
      <c r="RF228" s="93">
        <v>0</v>
      </c>
      <c r="RG228" s="93">
        <v>212.20299999999997</v>
      </c>
      <c r="RH228" s="93">
        <v>38.725999999999985</v>
      </c>
      <c r="RI228" s="93"/>
      <c r="RJ228" s="93"/>
      <c r="RK228" s="93"/>
      <c r="RL228" s="93"/>
      <c r="RM228" s="734"/>
      <c r="RN228" s="29">
        <v>161</v>
      </c>
      <c r="RO228" s="19">
        <v>84</v>
      </c>
      <c r="RP228" s="20"/>
      <c r="RQ228" s="29">
        <v>161</v>
      </c>
      <c r="RR228" s="734">
        <v>2.8426660000000004</v>
      </c>
      <c r="RS228" s="29">
        <v>161</v>
      </c>
      <c r="RT228" s="1504">
        <v>41395</v>
      </c>
      <c r="RU228" s="19"/>
      <c r="RV228" s="20"/>
      <c r="RW228" s="29">
        <v>161</v>
      </c>
      <c r="RX228" s="1504">
        <v>41395</v>
      </c>
      <c r="RY228" s="29"/>
      <c r="RZ228" s="734"/>
      <c r="SA228" s="29"/>
      <c r="SB228" s="29">
        <v>161</v>
      </c>
    </row>
    <row r="229" spans="1:496">
      <c r="A229" s="41">
        <f t="shared" si="208"/>
        <v>2013</v>
      </c>
      <c r="B229" s="1504">
        <v>41426</v>
      </c>
      <c r="C229" s="1813">
        <v>1062</v>
      </c>
      <c r="D229" s="1814">
        <v>18007</v>
      </c>
      <c r="E229" s="1814">
        <v>56</v>
      </c>
      <c r="F229" s="1815">
        <v>229</v>
      </c>
      <c r="G229" s="1814">
        <v>99713</v>
      </c>
      <c r="H229" s="1814">
        <v>16</v>
      </c>
      <c r="I229" s="1814">
        <v>33539</v>
      </c>
      <c r="J229" s="1816">
        <v>21441</v>
      </c>
      <c r="K229" s="1807">
        <v>174063</v>
      </c>
      <c r="L229" s="25">
        <v>162</v>
      </c>
      <c r="M229" s="97"/>
      <c r="N229" s="1504">
        <v>41426</v>
      </c>
      <c r="O229" s="19"/>
      <c r="P229" s="93"/>
      <c r="Q229" s="93"/>
      <c r="R229" s="93"/>
      <c r="S229" s="93"/>
      <c r="T229" s="93"/>
      <c r="U229" s="93"/>
      <c r="V229" s="93"/>
      <c r="W229" s="93"/>
      <c r="X229" s="93"/>
      <c r="Y229" s="93"/>
      <c r="Z229" s="93"/>
      <c r="AA229" s="93"/>
      <c r="AB229" s="20"/>
      <c r="AC229" s="25">
        <v>162</v>
      </c>
      <c r="AD229" s="97"/>
      <c r="AE229" s="1504">
        <v>41426</v>
      </c>
      <c r="AF229" s="19"/>
      <c r="AG229" s="93"/>
      <c r="AH229" s="93"/>
      <c r="AI229" s="93"/>
      <c r="AJ229" s="93"/>
      <c r="AK229" s="93"/>
      <c r="AL229" s="93"/>
      <c r="AM229" s="93"/>
      <c r="AN229" s="93"/>
      <c r="AO229" s="93"/>
      <c r="AP229" s="93"/>
      <c r="AQ229" s="93"/>
      <c r="AR229" s="93"/>
      <c r="AS229" s="20"/>
      <c r="AT229" s="25">
        <v>162</v>
      </c>
      <c r="AU229" s="97"/>
      <c r="AV229" s="1504">
        <v>41426</v>
      </c>
      <c r="AW229" s="19"/>
      <c r="AX229" s="93"/>
      <c r="AY229" s="93"/>
      <c r="AZ229" s="93"/>
      <c r="BA229" s="93"/>
      <c r="BB229" s="93"/>
      <c r="BC229" s="93"/>
      <c r="BD229" s="93"/>
      <c r="BE229" s="93"/>
      <c r="BF229" s="93"/>
      <c r="BG229" s="93"/>
      <c r="BH229" s="93"/>
      <c r="BI229" s="93"/>
      <c r="BJ229" s="20"/>
      <c r="BK229" s="25">
        <v>162</v>
      </c>
      <c r="BL229" s="97"/>
      <c r="BM229" s="1504">
        <v>41426</v>
      </c>
      <c r="BN229" s="19"/>
      <c r="BO229" s="93"/>
      <c r="BP229" s="93"/>
      <c r="BQ229" s="93"/>
      <c r="BR229" s="93"/>
      <c r="BS229" s="93"/>
      <c r="BT229" s="93"/>
      <c r="BU229" s="20"/>
      <c r="BV229" s="25">
        <v>162</v>
      </c>
      <c r="BW229" s="97"/>
      <c r="BX229" s="1504">
        <v>41426</v>
      </c>
      <c r="BY229" s="179">
        <v>497.35971654000002</v>
      </c>
      <c r="BZ229" s="99">
        <v>664.95699999999999</v>
      </c>
      <c r="CA229" s="93"/>
      <c r="CB229" s="93"/>
      <c r="CC229" s="99">
        <v>250.54700798009321</v>
      </c>
      <c r="CD229" s="25">
        <v>162</v>
      </c>
      <c r="CE229" s="97"/>
      <c r="CF229" s="1504">
        <v>41426</v>
      </c>
      <c r="CG229" s="179">
        <v>2.0520602960000001</v>
      </c>
      <c r="CH229" s="99">
        <v>1343.35</v>
      </c>
      <c r="CI229" s="219"/>
      <c r="CJ229" s="20"/>
      <c r="CK229" s="19"/>
      <c r="CL229" s="93"/>
      <c r="CM229" s="93"/>
      <c r="CN229" s="93"/>
      <c r="CO229" s="93"/>
      <c r="CP229" s="20"/>
      <c r="CQ229" s="219">
        <v>1807.79</v>
      </c>
      <c r="CR229" s="93">
        <v>2.3075000000000001</v>
      </c>
      <c r="CS229" s="93"/>
      <c r="CT229" s="93"/>
      <c r="CU229" s="93"/>
      <c r="CV229" s="214"/>
      <c r="CW229" s="29">
        <v>162</v>
      </c>
      <c r="CX229" s="41">
        <f t="shared" si="209"/>
        <v>2013</v>
      </c>
      <c r="CY229" s="1504">
        <v>41426</v>
      </c>
      <c r="CZ229" s="1916">
        <v>92.371611526290536</v>
      </c>
      <c r="DA229" s="1526">
        <v>55.101941526290545</v>
      </c>
      <c r="DB229" s="1526">
        <v>37.269669999999998</v>
      </c>
      <c r="DC229" s="182">
        <f t="shared" si="216"/>
        <v>472441</v>
      </c>
      <c r="DD229" s="182">
        <f t="shared" si="217"/>
        <v>471097</v>
      </c>
      <c r="DE229" s="182">
        <f t="shared" si="218"/>
        <v>1344</v>
      </c>
      <c r="DF229" s="29">
        <v>162</v>
      </c>
      <c r="DG229" s="1504">
        <v>41426</v>
      </c>
      <c r="DH229" s="19"/>
      <c r="DI229" s="93"/>
      <c r="DJ229" s="93"/>
      <c r="DK229" s="93"/>
      <c r="DL229" s="93"/>
      <c r="DM229" s="93"/>
      <c r="DN229" s="20"/>
      <c r="DO229" s="25"/>
      <c r="DP229" s="29">
        <v>162</v>
      </c>
      <c r="DQ229" s="1504">
        <v>41426</v>
      </c>
      <c r="DR229" s="19"/>
      <c r="DS229" s="93"/>
      <c r="DT229" s="93"/>
      <c r="DU229" s="93"/>
      <c r="DV229" s="93"/>
      <c r="DW229" s="93"/>
      <c r="DX229" s="20"/>
      <c r="DY229" s="29">
        <v>162</v>
      </c>
      <c r="DZ229" s="1504">
        <v>41426</v>
      </c>
      <c r="EA229" s="19"/>
      <c r="EB229" s="93"/>
      <c r="EC229" s="20"/>
      <c r="ED229" s="29">
        <v>162</v>
      </c>
      <c r="EE229" s="1504">
        <v>41426</v>
      </c>
      <c r="EF229" s="19"/>
      <c r="EG229" s="93"/>
      <c r="EH229" s="93"/>
      <c r="EI229" s="214"/>
      <c r="EJ229" s="93"/>
      <c r="EK229" s="93"/>
      <c r="EL229" s="93"/>
      <c r="EM229" s="93"/>
      <c r="EN229" s="20"/>
      <c r="EO229" s="29">
        <v>162</v>
      </c>
      <c r="EP229" s="1504">
        <v>41426</v>
      </c>
      <c r="EQ229" s="19"/>
      <c r="ER229" s="93"/>
      <c r="ES229" s="93"/>
      <c r="ET229" s="214"/>
      <c r="EU229" s="93"/>
      <c r="EV229" s="93"/>
      <c r="EW229" s="93"/>
      <c r="EX229" s="93"/>
      <c r="EY229" s="20"/>
      <c r="EZ229" s="29">
        <v>162</v>
      </c>
      <c r="FA229" s="1504">
        <v>41426</v>
      </c>
      <c r="FB229" s="29"/>
      <c r="FC229" s="29"/>
      <c r="FD229" s="29"/>
      <c r="FE229" s="29"/>
      <c r="FF229" s="29"/>
      <c r="FG229" s="29"/>
      <c r="FH229" s="29"/>
      <c r="FI229" s="29"/>
      <c r="FJ229" s="29"/>
      <c r="FK229" s="29">
        <v>162</v>
      </c>
      <c r="FL229" s="1504">
        <v>41426</v>
      </c>
      <c r="FM229" s="19">
        <v>109.05827129077791</v>
      </c>
      <c r="FN229" s="93">
        <v>121.28597061209052</v>
      </c>
      <c r="FO229" s="93">
        <v>102.72049565359175</v>
      </c>
      <c r="FP229" s="93">
        <v>101.86786049313677</v>
      </c>
      <c r="FQ229" s="93">
        <v>112.90807244122891</v>
      </c>
      <c r="FR229" s="93">
        <v>98.579202267436159</v>
      </c>
      <c r="FS229" s="93">
        <v>100.86405773508461</v>
      </c>
      <c r="FT229" s="93">
        <v>105.94965760682322</v>
      </c>
      <c r="FU229" s="93">
        <v>63.925199719620707</v>
      </c>
      <c r="FV229" s="93">
        <v>97.461408814507109</v>
      </c>
      <c r="FW229" s="93">
        <v>104.37383572273448</v>
      </c>
      <c r="FX229" s="93">
        <v>115.57212902883056</v>
      </c>
      <c r="FY229" s="93">
        <v>103.9456018828116</v>
      </c>
      <c r="FZ229" s="29">
        <v>162</v>
      </c>
      <c r="GA229" s="1504">
        <v>41426</v>
      </c>
      <c r="GB229" s="733">
        <v>109.05827129077791</v>
      </c>
      <c r="GC229" s="570">
        <v>106.67723396387765</v>
      </c>
      <c r="GD229" s="570">
        <v>110.56666499037892</v>
      </c>
      <c r="GE229" s="570">
        <v>111.90166641047325</v>
      </c>
      <c r="GF229" s="570">
        <v>122.10877694209729</v>
      </c>
      <c r="GG229" s="570">
        <v>103.85459459474652</v>
      </c>
      <c r="GH229" s="93"/>
      <c r="GI229" s="93"/>
      <c r="GJ229" s="93"/>
      <c r="GK229" s="93"/>
      <c r="GL229" s="93"/>
      <c r="GM229" s="93"/>
      <c r="GN229" s="20"/>
      <c r="GO229" s="29">
        <v>162</v>
      </c>
      <c r="GP229" s="1504">
        <v>41426</v>
      </c>
      <c r="GQ229" s="19"/>
      <c r="GR229" s="93"/>
      <c r="GS229" s="93"/>
      <c r="GT229" s="93"/>
      <c r="GU229" s="93"/>
      <c r="GV229" s="20"/>
      <c r="GW229" s="19"/>
      <c r="GX229" s="93"/>
      <c r="GY229" s="93"/>
      <c r="GZ229" s="93"/>
      <c r="HA229" s="93"/>
      <c r="HB229" s="20"/>
      <c r="HC229" s="19"/>
      <c r="HD229" s="93"/>
      <c r="HE229" s="93"/>
      <c r="HF229" s="93"/>
      <c r="HG229" s="93"/>
      <c r="HH229" s="20"/>
      <c r="HI229" s="19"/>
      <c r="HJ229" s="93"/>
      <c r="HK229" s="93"/>
      <c r="HL229" s="93"/>
      <c r="HM229" s="93"/>
      <c r="HN229" s="20"/>
      <c r="HO229" s="219"/>
      <c r="HP229" s="20"/>
      <c r="HQ229" s="25"/>
      <c r="HR229" s="29">
        <v>162</v>
      </c>
      <c r="HS229" s="1504">
        <v>41426</v>
      </c>
      <c r="HT229" s="179">
        <v>250.30876464843749</v>
      </c>
      <c r="HU229" s="99">
        <v>253.47222137451172</v>
      </c>
      <c r="HV229" s="99">
        <v>200</v>
      </c>
      <c r="HW229" s="99">
        <v>129.44984436035156</v>
      </c>
      <c r="HX229" s="99">
        <v>200</v>
      </c>
      <c r="HY229" s="99">
        <v>218.25397491455078</v>
      </c>
      <c r="HZ229" s="99">
        <v>242.46721038818359</v>
      </c>
      <c r="IA229" s="132">
        <v>184.23202896118164</v>
      </c>
      <c r="IB229" s="179">
        <v>214.28572082519531</v>
      </c>
      <c r="IC229" s="99">
        <v>142.5</v>
      </c>
      <c r="ID229" s="99">
        <v>196.42857360839844</v>
      </c>
      <c r="IE229" s="99">
        <v>163.93443298339844</v>
      </c>
      <c r="IF229" s="99">
        <v>203.67411422729492</v>
      </c>
      <c r="IG229" s="132">
        <v>161.11111831665039</v>
      </c>
      <c r="IH229" s="179">
        <v>133.4328598022461</v>
      </c>
      <c r="II229" s="99">
        <v>194.73617553710938</v>
      </c>
      <c r="IJ229" s="99">
        <v>152.02702331542969</v>
      </c>
      <c r="IK229" s="99">
        <v>153.42961120605469</v>
      </c>
      <c r="IL229" s="99">
        <v>152.77777862548828</v>
      </c>
      <c r="IM229" s="99">
        <v>144.19934463500977</v>
      </c>
      <c r="IN229" s="93"/>
      <c r="IO229" s="132">
        <v>158.81079864501953</v>
      </c>
      <c r="IP229" s="29">
        <v>162</v>
      </c>
      <c r="IQ229" s="19"/>
      <c r="IR229" s="93"/>
      <c r="IS229" s="93"/>
      <c r="IT229" s="93"/>
      <c r="IU229" s="93"/>
      <c r="IV229" s="20"/>
      <c r="IW229" s="29">
        <v>162</v>
      </c>
      <c r="IX229" s="19"/>
      <c r="IY229" s="93"/>
      <c r="IZ229" s="93"/>
      <c r="JA229" s="93"/>
      <c r="JB229" s="93"/>
      <c r="JC229" s="93"/>
      <c r="JD229" s="93"/>
      <c r="JE229" s="20"/>
      <c r="JF229" s="29">
        <v>162</v>
      </c>
      <c r="JG229" s="19"/>
      <c r="JH229" s="93"/>
      <c r="JI229" s="93"/>
      <c r="JJ229" s="93"/>
      <c r="JK229" s="93"/>
      <c r="JL229" s="93"/>
      <c r="JM229" s="93"/>
      <c r="JN229" s="20"/>
      <c r="JO229" s="29">
        <v>162</v>
      </c>
      <c r="JP229" s="19"/>
      <c r="JQ229" s="93"/>
      <c r="JR229" s="93"/>
      <c r="JS229" s="93"/>
      <c r="JT229" s="93"/>
      <c r="JU229" s="20"/>
      <c r="JV229" s="29">
        <v>162</v>
      </c>
      <c r="JW229" s="1504">
        <v>41426</v>
      </c>
      <c r="JX229" s="19"/>
      <c r="JY229" s="93"/>
      <c r="JZ229" s="93"/>
      <c r="KA229" s="93"/>
      <c r="KB229" s="93"/>
      <c r="KC229" s="93"/>
      <c r="KD229" s="20"/>
      <c r="KE229" s="29">
        <v>162</v>
      </c>
      <c r="KF229" s="19"/>
      <c r="KG229" s="93"/>
      <c r="KH229" s="93"/>
      <c r="KI229" s="93"/>
      <c r="KJ229" s="93"/>
      <c r="KK229" s="20"/>
      <c r="KL229" s="29">
        <v>162</v>
      </c>
      <c r="KM229" s="19"/>
      <c r="KN229" s="93"/>
      <c r="KO229" s="93"/>
      <c r="KP229" s="93"/>
      <c r="KQ229" s="93"/>
      <c r="KR229" s="20"/>
      <c r="KS229" s="29">
        <v>162</v>
      </c>
      <c r="KT229" s="19"/>
      <c r="KU229" s="93"/>
      <c r="KV229" s="93"/>
      <c r="KW229" s="93"/>
      <c r="KX229" s="93"/>
      <c r="KY229" s="20"/>
      <c r="KZ229" s="29">
        <v>162</v>
      </c>
      <c r="LA229" s="1504">
        <v>41426</v>
      </c>
      <c r="LB229" s="19">
        <v>510</v>
      </c>
      <c r="LC229" s="93">
        <v>740</v>
      </c>
      <c r="LD229" s="93">
        <v>732</v>
      </c>
      <c r="LE229" s="93"/>
      <c r="LF229" s="93">
        <v>656</v>
      </c>
      <c r="LG229" s="93"/>
      <c r="LH229" s="20"/>
      <c r="LI229" s="29">
        <v>162</v>
      </c>
      <c r="LJ229" s="19"/>
      <c r="LK229" s="93"/>
      <c r="LL229" s="93"/>
      <c r="LM229" s="93"/>
      <c r="LN229" s="93"/>
      <c r="LO229" s="20"/>
      <c r="LP229" s="29">
        <v>162</v>
      </c>
      <c r="LQ229" s="19"/>
      <c r="LR229" s="93">
        <v>188</v>
      </c>
      <c r="LS229" s="93">
        <v>445</v>
      </c>
      <c r="LT229" s="93">
        <v>535</v>
      </c>
      <c r="LU229" s="93">
        <v>1070</v>
      </c>
      <c r="LV229" s="93"/>
      <c r="LW229" s="93">
        <v>5</v>
      </c>
      <c r="LX229" s="93">
        <v>10</v>
      </c>
      <c r="LY229" s="93">
        <v>60</v>
      </c>
      <c r="LZ229" s="93"/>
      <c r="MA229" s="20">
        <v>1070</v>
      </c>
      <c r="MB229" s="29">
        <v>162</v>
      </c>
      <c r="MC229" s="1504">
        <v>41426</v>
      </c>
      <c r="MD229" s="19">
        <v>111257.56854699999</v>
      </c>
      <c r="ME229" s="93">
        <v>86832.826429999986</v>
      </c>
      <c r="MF229" s="93">
        <v>86832.795425999997</v>
      </c>
      <c r="MG229" s="93">
        <v>72880.101789000008</v>
      </c>
      <c r="MH229" s="93">
        <v>14722.105440000001</v>
      </c>
      <c r="MI229" s="93">
        <v>674.37217699999997</v>
      </c>
      <c r="MJ229" s="93">
        <v>608.14791200000002</v>
      </c>
      <c r="MK229" s="93">
        <v>42120.893365000004</v>
      </c>
      <c r="ML229" s="93">
        <v>13880.369989999999</v>
      </c>
      <c r="MM229" s="93">
        <v>874.21290499999998</v>
      </c>
      <c r="MN229" s="93">
        <v>13952.693637</v>
      </c>
      <c r="MO229" s="93">
        <v>334.19734399999999</v>
      </c>
      <c r="MP229" s="93">
        <v>6337.0196870000009</v>
      </c>
      <c r="MQ229" s="93">
        <v>189.346901</v>
      </c>
      <c r="MR229" s="93">
        <v>6638.9075950000006</v>
      </c>
      <c r="MS229" s="93">
        <v>453.22210999999999</v>
      </c>
      <c r="MT229" s="93">
        <v>3.1004E-2</v>
      </c>
      <c r="MU229" s="93">
        <v>24424.742117000002</v>
      </c>
      <c r="MV229" s="93">
        <v>13692.181030000002</v>
      </c>
      <c r="MW229" s="93">
        <v>10732.561087000002</v>
      </c>
      <c r="MX229" s="93">
        <v>96384.522538200006</v>
      </c>
      <c r="MY229" s="93">
        <v>96524.418961200005</v>
      </c>
      <c r="MZ229" s="93">
        <v>59036.114212199987</v>
      </c>
      <c r="NA229" s="93">
        <v>32167.295878666668</v>
      </c>
      <c r="NB229" s="93">
        <v>9908.693402333327</v>
      </c>
      <c r="NC229" s="93">
        <v>1954.7882159999999</v>
      </c>
      <c r="ND229" s="93">
        <v>1452.1471710000001</v>
      </c>
      <c r="NE229" s="93">
        <v>502.64104499999991</v>
      </c>
      <c r="NF229" s="93">
        <v>15005.336715199996</v>
      </c>
      <c r="NG229" s="93">
        <v>178.56402619999926</v>
      </c>
      <c r="NH229" s="93">
        <v>3360.2109759999998</v>
      </c>
      <c r="NI229" s="93">
        <v>0</v>
      </c>
      <c r="NJ229" s="93">
        <v>0</v>
      </c>
      <c r="NK229" s="93">
        <v>37488.30474900001</v>
      </c>
      <c r="NL229" s="93">
        <v>19164.359448000014</v>
      </c>
      <c r="NM229" s="93">
        <v>0</v>
      </c>
      <c r="NN229" s="93">
        <v>18323.945301</v>
      </c>
      <c r="NO229" s="93">
        <v>-139.89642299999912</v>
      </c>
      <c r="NP229" s="93">
        <v>14873.046008799985</v>
      </c>
      <c r="NQ229" s="93">
        <v>-9551.6961082000144</v>
      </c>
      <c r="NR229" s="93">
        <v>10727.037408799992</v>
      </c>
      <c r="NS229" s="93">
        <v>8772.2491927999854</v>
      </c>
      <c r="NT229" s="93">
        <v>25349.68062979999</v>
      </c>
      <c r="NU229" s="93">
        <v>924.93851279999501</v>
      </c>
      <c r="NV229" s="93">
        <v>-21594.99591700004</v>
      </c>
      <c r="NW229" s="93">
        <v>1454.1768039999995</v>
      </c>
      <c r="NX229" s="93">
        <v>4631.764271</v>
      </c>
      <c r="NY229" s="93">
        <v>-3177.5874670000003</v>
      </c>
      <c r="NZ229" s="93">
        <v>0</v>
      </c>
      <c r="OA229" s="93">
        <v>-23049.172721000043</v>
      </c>
      <c r="OB229" s="93">
        <v>-23049.172721000043</v>
      </c>
      <c r="OC229" s="93">
        <v>0</v>
      </c>
      <c r="OD229" s="20">
        <v>0</v>
      </c>
      <c r="OE229" s="29">
        <v>162</v>
      </c>
      <c r="OF229" s="1504">
        <v>41426</v>
      </c>
      <c r="OG229" s="19"/>
      <c r="OH229" s="93">
        <v>168.79660000000001</v>
      </c>
      <c r="OI229" s="93">
        <v>883.57761615046911</v>
      </c>
      <c r="OJ229" s="93">
        <v>0.51660572900000001</v>
      </c>
      <c r="OK229" s="93">
        <v>792.18241042146906</v>
      </c>
      <c r="OL229" s="93">
        <v>90.878600000000006</v>
      </c>
      <c r="OM229" s="93">
        <v>1052.3742161504692</v>
      </c>
      <c r="ON229" s="93">
        <v>759.82687247641661</v>
      </c>
      <c r="OO229" s="93">
        <v>1812.2010886268858</v>
      </c>
      <c r="OP229" s="93"/>
      <c r="OQ229" s="93">
        <v>686.59669212641325</v>
      </c>
      <c r="OR229" s="93">
        <v>126.32820461199998</v>
      </c>
      <c r="OS229" s="93">
        <v>560.26848751441332</v>
      </c>
      <c r="OT229" s="93">
        <v>1362.5887665744722</v>
      </c>
      <c r="OU229" s="93">
        <v>-32.832683422000017</v>
      </c>
      <c r="OV229" s="93">
        <v>-28.070683422000013</v>
      </c>
      <c r="OW229" s="93">
        <v>-4.7620000000000005</v>
      </c>
      <c r="OX229" s="93">
        <v>1395.4214499964721</v>
      </c>
      <c r="OY229" s="93">
        <v>4.5566546130000001</v>
      </c>
      <c r="OZ229" s="93">
        <v>1390.8647953834723</v>
      </c>
      <c r="PA229" s="93">
        <v>271.55655397700002</v>
      </c>
      <c r="PB229" s="93">
        <v>-34.572183902999981</v>
      </c>
      <c r="PC229" s="20">
        <v>1812.2010886268856</v>
      </c>
      <c r="PD229" s="29">
        <v>162</v>
      </c>
      <c r="PE229" s="19"/>
      <c r="PF229" s="93">
        <v>126.32820461199998</v>
      </c>
      <c r="PG229" s="93">
        <v>379.69433858399998</v>
      </c>
      <c r="PH229" s="93">
        <v>253.366133972</v>
      </c>
      <c r="PI229" s="93">
        <v>227.95</v>
      </c>
      <c r="PJ229" s="93">
        <v>-23.505083422000013</v>
      </c>
      <c r="PK229" s="93">
        <v>133.80984112199999</v>
      </c>
      <c r="PL229" s="93">
        <v>157.31492454400001</v>
      </c>
      <c r="PM229" s="93">
        <v>4.5566546130000001</v>
      </c>
      <c r="PN229" s="93">
        <v>1.048</v>
      </c>
      <c r="PO229" s="93">
        <v>0</v>
      </c>
      <c r="PP229" s="93">
        <v>5.2318999999999998E-4</v>
      </c>
      <c r="PQ229" s="93">
        <v>3.508131423</v>
      </c>
      <c r="PR229" s="93">
        <v>325.66107238299998</v>
      </c>
      <c r="PS229" s="93">
        <v>218.0042</v>
      </c>
      <c r="PT229" s="93">
        <v>107.140266654</v>
      </c>
      <c r="PU229" s="93">
        <v>0.51660572900000001</v>
      </c>
      <c r="PV229" s="93">
        <v>0</v>
      </c>
      <c r="PW229" s="93">
        <v>1.1089809690000001</v>
      </c>
      <c r="PX229" s="93">
        <v>0</v>
      </c>
      <c r="PY229" s="93">
        <v>0</v>
      </c>
      <c r="PZ229" s="93">
        <v>1.1089809690000001</v>
      </c>
      <c r="QA229" s="93">
        <v>0</v>
      </c>
      <c r="QB229" s="93">
        <v>0</v>
      </c>
      <c r="QC229" s="93">
        <v>0</v>
      </c>
      <c r="QD229" s="93">
        <v>1.5185730080000002</v>
      </c>
      <c r="QE229" s="20">
        <v>7.0411494430000072</v>
      </c>
      <c r="QF229" s="1739">
        <v>162</v>
      </c>
      <c r="QG229" s="19"/>
      <c r="QH229" s="1035">
        <v>560.26848751441332</v>
      </c>
      <c r="QI229" s="1035">
        <v>741.04720461652755</v>
      </c>
      <c r="QJ229" s="1035">
        <v>-180.77871710211423</v>
      </c>
      <c r="QK229" s="1035">
        <v>144.60400000000001</v>
      </c>
      <c r="QL229" s="1035">
        <v>44.642000000000003</v>
      </c>
      <c r="QM229" s="1035">
        <v>99.962000000000003</v>
      </c>
      <c r="QN229" s="1035">
        <v>0</v>
      </c>
      <c r="QO229" s="1035">
        <v>-4.7620000000000005</v>
      </c>
      <c r="QP229" s="1035">
        <v>162.93</v>
      </c>
      <c r="QQ229" s="1035">
        <v>-167.69200000000001</v>
      </c>
      <c r="QR229" s="1035">
        <v>1390.8647953834723</v>
      </c>
      <c r="QS229" s="1035">
        <v>13.153364573470656</v>
      </c>
      <c r="QT229" s="1035">
        <v>0</v>
      </c>
      <c r="QU229" s="1035">
        <v>163.637</v>
      </c>
      <c r="QV229" s="1035">
        <v>1214.0744308100016</v>
      </c>
      <c r="QW229" s="93"/>
      <c r="QX229" s="93">
        <v>228.399</v>
      </c>
      <c r="QY229" s="93">
        <v>792.18241042146917</v>
      </c>
      <c r="QZ229" s="93">
        <v>759.82687247641661</v>
      </c>
      <c r="RA229" s="93">
        <v>0</v>
      </c>
      <c r="RB229" s="93">
        <v>33.469000000000001</v>
      </c>
      <c r="RC229" s="93">
        <v>8.4350000000000005</v>
      </c>
      <c r="RD229" s="93">
        <v>14.961</v>
      </c>
      <c r="RE229" s="93">
        <v>0</v>
      </c>
      <c r="RF229" s="93">
        <v>0</v>
      </c>
      <c r="RG229" s="93">
        <v>212.06399999999999</v>
      </c>
      <c r="RH229" s="93">
        <v>41.638000000000005</v>
      </c>
      <c r="RI229" s="93"/>
      <c r="RJ229" s="93"/>
      <c r="RK229" s="93"/>
      <c r="RL229" s="93"/>
      <c r="RM229" s="734"/>
      <c r="RN229" s="29">
        <v>162</v>
      </c>
      <c r="RO229" s="19">
        <v>70</v>
      </c>
      <c r="RP229" s="20"/>
      <c r="RQ229" s="29">
        <v>162</v>
      </c>
      <c r="RR229" s="734">
        <v>3.026538</v>
      </c>
      <c r="RS229" s="29">
        <v>162</v>
      </c>
      <c r="RT229" s="1504">
        <v>41426</v>
      </c>
      <c r="RU229" s="19"/>
      <c r="RV229" s="20"/>
      <c r="RW229" s="29">
        <v>162</v>
      </c>
      <c r="RX229" s="1504">
        <v>41426</v>
      </c>
      <c r="RY229" s="29"/>
      <c r="RZ229" s="734"/>
      <c r="SA229" s="29"/>
      <c r="SB229" s="29">
        <v>162</v>
      </c>
    </row>
    <row r="230" spans="1:496">
      <c r="A230" s="41">
        <f t="shared" si="208"/>
        <v>2013</v>
      </c>
      <c r="B230" s="1504">
        <v>41456</v>
      </c>
      <c r="C230" s="1813">
        <v>941</v>
      </c>
      <c r="D230" s="1814">
        <v>16789</v>
      </c>
      <c r="E230" s="1814">
        <v>27</v>
      </c>
      <c r="F230" s="1815">
        <v>444</v>
      </c>
      <c r="G230" s="1814">
        <v>107815</v>
      </c>
      <c r="H230" s="1814">
        <v>6</v>
      </c>
      <c r="I230" s="1814">
        <v>33349</v>
      </c>
      <c r="J230" s="1816">
        <v>19797</v>
      </c>
      <c r="K230" s="1807">
        <v>179168</v>
      </c>
      <c r="L230" s="25">
        <v>163</v>
      </c>
      <c r="M230" s="97"/>
      <c r="N230" s="1504">
        <v>41456</v>
      </c>
      <c r="O230" s="19"/>
      <c r="P230" s="93"/>
      <c r="Q230" s="93"/>
      <c r="R230" s="93"/>
      <c r="S230" s="93"/>
      <c r="T230" s="93"/>
      <c r="U230" s="93"/>
      <c r="V230" s="93"/>
      <c r="W230" s="93"/>
      <c r="X230" s="93"/>
      <c r="Y230" s="93"/>
      <c r="Z230" s="93"/>
      <c r="AA230" s="93"/>
      <c r="AB230" s="20"/>
      <c r="AC230" s="25">
        <v>163</v>
      </c>
      <c r="AD230" s="97"/>
      <c r="AE230" s="1504">
        <v>41456</v>
      </c>
      <c r="AF230" s="19"/>
      <c r="AG230" s="93"/>
      <c r="AH230" s="93"/>
      <c r="AI230" s="93"/>
      <c r="AJ230" s="93"/>
      <c r="AK230" s="93"/>
      <c r="AL230" s="93"/>
      <c r="AM230" s="93"/>
      <c r="AN230" s="93"/>
      <c r="AO230" s="93"/>
      <c r="AP230" s="93"/>
      <c r="AQ230" s="93"/>
      <c r="AR230" s="93"/>
      <c r="AS230" s="20"/>
      <c r="AT230" s="25">
        <v>163</v>
      </c>
      <c r="AU230" s="97"/>
      <c r="AV230" s="1504">
        <v>41456</v>
      </c>
      <c r="AW230" s="19"/>
      <c r="AX230" s="93"/>
      <c r="AY230" s="93"/>
      <c r="AZ230" s="93"/>
      <c r="BA230" s="93"/>
      <c r="BB230" s="93"/>
      <c r="BC230" s="93"/>
      <c r="BD230" s="93"/>
      <c r="BE230" s="93"/>
      <c r="BF230" s="93"/>
      <c r="BG230" s="93"/>
      <c r="BH230" s="93"/>
      <c r="BI230" s="93"/>
      <c r="BJ230" s="20"/>
      <c r="BK230" s="25">
        <v>163</v>
      </c>
      <c r="BL230" s="97"/>
      <c r="BM230" s="1504">
        <v>41456</v>
      </c>
      <c r="BN230" s="19"/>
      <c r="BO230" s="93"/>
      <c r="BP230" s="93"/>
      <c r="BQ230" s="93"/>
      <c r="BR230" s="93"/>
      <c r="BS230" s="93"/>
      <c r="BT230" s="93"/>
      <c r="BU230" s="20"/>
      <c r="BV230" s="25">
        <v>163</v>
      </c>
      <c r="BW230" s="97"/>
      <c r="BX230" s="1504">
        <v>41456</v>
      </c>
      <c r="BY230" s="179">
        <v>501.49224563999996</v>
      </c>
      <c r="BZ230" s="99">
        <v>664.95699999999999</v>
      </c>
      <c r="CA230" s="93"/>
      <c r="CB230" s="93"/>
      <c r="CC230" s="99">
        <v>251.87381861870679</v>
      </c>
      <c r="CD230" s="25">
        <v>163</v>
      </c>
      <c r="CE230" s="97"/>
      <c r="CF230" s="1504">
        <v>41456</v>
      </c>
      <c r="CG230" s="1508">
        <v>2.0419190440000001</v>
      </c>
      <c r="CH230" s="568">
        <v>1285.51565217391</v>
      </c>
      <c r="CI230" s="1708">
        <v>105.25790513834001</v>
      </c>
      <c r="CJ230" s="1509">
        <v>107.71608695652201</v>
      </c>
      <c r="CK230" s="1508">
        <v>461.8</v>
      </c>
      <c r="CL230" s="568">
        <v>279.51280000000003</v>
      </c>
      <c r="CM230" s="568">
        <v>0.37118786100000001</v>
      </c>
      <c r="CN230" s="568">
        <v>0.42762819026087001</v>
      </c>
      <c r="CO230" s="568">
        <v>304.60502430000003</v>
      </c>
      <c r="CP230" s="1509">
        <v>3.9377820130000001</v>
      </c>
      <c r="CQ230" s="1708">
        <v>1816.31</v>
      </c>
      <c r="CR230" s="568">
        <v>2.2839999999999998</v>
      </c>
      <c r="CS230" s="568">
        <v>2.5630999999999999</v>
      </c>
      <c r="CT230" s="568">
        <v>115</v>
      </c>
      <c r="CU230" s="568">
        <v>127.19130434782601</v>
      </c>
      <c r="CV230" s="1709">
        <v>1837.6195652173899</v>
      </c>
      <c r="CW230" s="29">
        <v>163</v>
      </c>
      <c r="CX230" s="41">
        <f t="shared" si="209"/>
        <v>2013</v>
      </c>
      <c r="CY230" s="1504">
        <v>41456</v>
      </c>
      <c r="CZ230" s="1916">
        <v>90.022729999999996</v>
      </c>
      <c r="DA230" s="1526">
        <v>56.205575000000003</v>
      </c>
      <c r="DB230" s="1526">
        <v>33.817155</v>
      </c>
      <c r="DC230" s="182">
        <f t="shared" si="216"/>
        <v>472441</v>
      </c>
      <c r="DD230" s="182">
        <f t="shared" si="217"/>
        <v>471097</v>
      </c>
      <c r="DE230" s="182">
        <f t="shared" si="218"/>
        <v>1344</v>
      </c>
      <c r="DF230" s="29">
        <v>163</v>
      </c>
      <c r="DG230" s="1504">
        <v>41456</v>
      </c>
      <c r="DH230" s="19"/>
      <c r="DI230" s="93"/>
      <c r="DJ230" s="93"/>
      <c r="DK230" s="93"/>
      <c r="DL230" s="93"/>
      <c r="DM230" s="93"/>
      <c r="DN230" s="20"/>
      <c r="DO230" s="25"/>
      <c r="DP230" s="29">
        <v>163</v>
      </c>
      <c r="DQ230" s="1504">
        <v>41456</v>
      </c>
      <c r="DR230" s="19"/>
      <c r="DS230" s="93"/>
      <c r="DT230" s="93"/>
      <c r="DU230" s="93"/>
      <c r="DV230" s="93"/>
      <c r="DW230" s="93"/>
      <c r="DX230" s="20"/>
      <c r="DY230" s="29">
        <v>163</v>
      </c>
      <c r="DZ230" s="1504">
        <v>41456</v>
      </c>
      <c r="EA230" s="19"/>
      <c r="EB230" s="93"/>
      <c r="EC230" s="20"/>
      <c r="ED230" s="29">
        <v>163</v>
      </c>
      <c r="EE230" s="1504">
        <v>41456</v>
      </c>
      <c r="EF230" s="19"/>
      <c r="EG230" s="93"/>
      <c r="EH230" s="93"/>
      <c r="EI230" s="214"/>
      <c r="EJ230" s="93"/>
      <c r="EK230" s="93"/>
      <c r="EL230" s="93"/>
      <c r="EM230" s="93"/>
      <c r="EN230" s="20"/>
      <c r="EO230" s="29">
        <v>163</v>
      </c>
      <c r="EP230" s="1504">
        <v>41456</v>
      </c>
      <c r="EQ230" s="19"/>
      <c r="ER230" s="93"/>
      <c r="ES230" s="93"/>
      <c r="ET230" s="214"/>
      <c r="EU230" s="93"/>
      <c r="EV230" s="93"/>
      <c r="EW230" s="93"/>
      <c r="EX230" s="93"/>
      <c r="EY230" s="20"/>
      <c r="EZ230" s="29">
        <v>163</v>
      </c>
      <c r="FA230" s="1504">
        <v>41456</v>
      </c>
      <c r="FB230" s="29"/>
      <c r="FC230" s="29"/>
      <c r="FD230" s="29"/>
      <c r="FE230" s="29"/>
      <c r="FF230" s="29"/>
      <c r="FG230" s="29"/>
      <c r="FH230" s="29"/>
      <c r="FI230" s="29"/>
      <c r="FJ230" s="29"/>
      <c r="FK230" s="29">
        <v>163</v>
      </c>
      <c r="FL230" s="1504">
        <v>41456</v>
      </c>
      <c r="FM230" s="19">
        <v>109.59721934249458</v>
      </c>
      <c r="FN230" s="93">
        <v>119.70278417255435</v>
      </c>
      <c r="FO230" s="93">
        <v>102.73177342691331</v>
      </c>
      <c r="FP230" s="93">
        <v>101.86786049313677</v>
      </c>
      <c r="FQ230" s="93">
        <v>124.63127786855833</v>
      </c>
      <c r="FR230" s="93">
        <v>98.579202267436159</v>
      </c>
      <c r="FS230" s="93">
        <v>100.86405773508461</v>
      </c>
      <c r="FT230" s="93">
        <v>105.94965760682322</v>
      </c>
      <c r="FU230" s="93">
        <v>63.419867564078949</v>
      </c>
      <c r="FV230" s="93">
        <v>97.461408814507109</v>
      </c>
      <c r="FW230" s="93">
        <v>104.37383572273448</v>
      </c>
      <c r="FX230" s="93">
        <v>115.93071491535059</v>
      </c>
      <c r="FY230" s="93">
        <v>103.9456018828116</v>
      </c>
      <c r="FZ230" s="29">
        <v>163</v>
      </c>
      <c r="GA230" s="1504">
        <v>41456</v>
      </c>
      <c r="GB230" s="733">
        <v>109.59721934249458</v>
      </c>
      <c r="GC230" s="570">
        <v>106.54855391783575</v>
      </c>
      <c r="GD230" s="570">
        <v>111.53369758408729</v>
      </c>
      <c r="GE230" s="570">
        <v>121.08627691489087</v>
      </c>
      <c r="GF230" s="570">
        <v>120.03717839755973</v>
      </c>
      <c r="GG230" s="570">
        <v>103.68988938039126</v>
      </c>
      <c r="GH230" s="93"/>
      <c r="GI230" s="93"/>
      <c r="GJ230" s="93"/>
      <c r="GK230" s="93"/>
      <c r="GL230" s="93"/>
      <c r="GM230" s="93"/>
      <c r="GN230" s="20"/>
      <c r="GO230" s="29">
        <v>163</v>
      </c>
      <c r="GP230" s="1504">
        <v>41456</v>
      </c>
      <c r="GQ230" s="19"/>
      <c r="GR230" s="93"/>
      <c r="GS230" s="93"/>
      <c r="GT230" s="93"/>
      <c r="GU230" s="93"/>
      <c r="GV230" s="20"/>
      <c r="GW230" s="19"/>
      <c r="GX230" s="93"/>
      <c r="GY230" s="93"/>
      <c r="GZ230" s="93"/>
      <c r="HA230" s="93"/>
      <c r="HB230" s="20"/>
      <c r="HC230" s="19"/>
      <c r="HD230" s="93"/>
      <c r="HE230" s="93"/>
      <c r="HF230" s="93"/>
      <c r="HG230" s="93"/>
      <c r="HH230" s="20"/>
      <c r="HI230" s="19"/>
      <c r="HJ230" s="93"/>
      <c r="HK230" s="93"/>
      <c r="HL230" s="93"/>
      <c r="HM230" s="93"/>
      <c r="HN230" s="20"/>
      <c r="HO230" s="219"/>
      <c r="HP230" s="20"/>
      <c r="HQ230" s="25"/>
      <c r="HR230" s="29">
        <v>163</v>
      </c>
      <c r="HS230" s="1504">
        <v>41456</v>
      </c>
      <c r="HT230" s="179">
        <v>256.77111053466797</v>
      </c>
      <c r="HU230" s="99">
        <v>259.98263549804688</v>
      </c>
      <c r="HV230" s="99">
        <v>200</v>
      </c>
      <c r="HW230" s="99">
        <v>126.21359863281251</v>
      </c>
      <c r="HX230" s="99">
        <v>200</v>
      </c>
      <c r="HY230" s="99">
        <v>218.25397491455078</v>
      </c>
      <c r="HZ230" s="99">
        <v>237.26332664489746</v>
      </c>
      <c r="IA230" s="132">
        <v>191.61290893554687</v>
      </c>
      <c r="IB230" s="179">
        <v>214.28572082519531</v>
      </c>
      <c r="IC230" s="99">
        <v>162.5</v>
      </c>
      <c r="ID230" s="99">
        <v>205.35714721679688</v>
      </c>
      <c r="IE230" s="99">
        <v>162.58065185546874</v>
      </c>
      <c r="IF230" s="99">
        <v>221.77420043945313</v>
      </c>
      <c r="IG230" s="132">
        <v>175.55556030273436</v>
      </c>
      <c r="IH230" s="179">
        <v>140.7142219543457</v>
      </c>
      <c r="II230" s="99">
        <v>194.73617553710938</v>
      </c>
      <c r="IJ230" s="99">
        <v>160.47296905517578</v>
      </c>
      <c r="IK230" s="99">
        <v>159.20578308105468</v>
      </c>
      <c r="IL230" s="99">
        <v>152.77777862548828</v>
      </c>
      <c r="IM230" s="99">
        <v>152.25806579589843</v>
      </c>
      <c r="IN230" s="93"/>
      <c r="IO230" s="132">
        <v>160.51741600036621</v>
      </c>
      <c r="IP230" s="29">
        <v>163</v>
      </c>
      <c r="IQ230" s="19"/>
      <c r="IR230" s="93"/>
      <c r="IS230" s="93"/>
      <c r="IT230" s="93"/>
      <c r="IU230" s="93"/>
      <c r="IV230" s="20"/>
      <c r="IW230" s="29">
        <v>163</v>
      </c>
      <c r="IX230" s="19"/>
      <c r="IY230" s="93"/>
      <c r="IZ230" s="93"/>
      <c r="JA230" s="93"/>
      <c r="JB230" s="93"/>
      <c r="JC230" s="93"/>
      <c r="JD230" s="93"/>
      <c r="JE230" s="20"/>
      <c r="JF230" s="29">
        <v>163</v>
      </c>
      <c r="JG230" s="19"/>
      <c r="JH230" s="93"/>
      <c r="JI230" s="93"/>
      <c r="JJ230" s="93"/>
      <c r="JK230" s="93"/>
      <c r="JL230" s="93"/>
      <c r="JM230" s="93"/>
      <c r="JN230" s="20"/>
      <c r="JO230" s="29">
        <v>163</v>
      </c>
      <c r="JP230" s="19"/>
      <c r="JQ230" s="93"/>
      <c r="JR230" s="93"/>
      <c r="JS230" s="93"/>
      <c r="JT230" s="93"/>
      <c r="JU230" s="20"/>
      <c r="JV230" s="29">
        <v>163</v>
      </c>
      <c r="JW230" s="1504">
        <v>41456</v>
      </c>
      <c r="JX230" s="19"/>
      <c r="JY230" s="93"/>
      <c r="JZ230" s="93"/>
      <c r="KA230" s="93"/>
      <c r="KB230" s="93"/>
      <c r="KC230" s="93"/>
      <c r="KD230" s="20"/>
      <c r="KE230" s="29">
        <v>163</v>
      </c>
      <c r="KF230" s="19"/>
      <c r="KG230" s="93"/>
      <c r="KH230" s="93"/>
      <c r="KI230" s="93"/>
      <c r="KJ230" s="93"/>
      <c r="KK230" s="20"/>
      <c r="KL230" s="29">
        <v>163</v>
      </c>
      <c r="KM230" s="19"/>
      <c r="KN230" s="93"/>
      <c r="KO230" s="93"/>
      <c r="KP230" s="93"/>
      <c r="KQ230" s="93"/>
      <c r="KR230" s="20"/>
      <c r="KS230" s="29">
        <v>163</v>
      </c>
      <c r="KT230" s="19"/>
      <c r="KU230" s="93"/>
      <c r="KV230" s="93"/>
      <c r="KW230" s="93"/>
      <c r="KX230" s="93"/>
      <c r="KY230" s="20"/>
      <c r="KZ230" s="29">
        <v>163</v>
      </c>
      <c r="LA230" s="1504">
        <v>41456</v>
      </c>
      <c r="LB230" s="19">
        <v>510</v>
      </c>
      <c r="LC230" s="93">
        <v>740</v>
      </c>
      <c r="LD230" s="93">
        <v>732</v>
      </c>
      <c r="LE230" s="93"/>
      <c r="LF230" s="93">
        <v>656</v>
      </c>
      <c r="LG230" s="93"/>
      <c r="LH230" s="20"/>
      <c r="LI230" s="29">
        <v>163</v>
      </c>
      <c r="LJ230" s="19"/>
      <c r="LK230" s="93"/>
      <c r="LL230" s="93"/>
      <c r="LM230" s="93"/>
      <c r="LN230" s="93"/>
      <c r="LO230" s="20"/>
      <c r="LP230" s="29">
        <v>163</v>
      </c>
      <c r="LQ230" s="19"/>
      <c r="LR230" s="93">
        <v>188</v>
      </c>
      <c r="LS230" s="93">
        <v>445</v>
      </c>
      <c r="LT230" s="93">
        <v>535</v>
      </c>
      <c r="LU230" s="93">
        <v>1070</v>
      </c>
      <c r="LV230" s="93"/>
      <c r="LW230" s="93">
        <v>5</v>
      </c>
      <c r="LX230" s="93">
        <v>10</v>
      </c>
      <c r="LY230" s="93">
        <v>60</v>
      </c>
      <c r="LZ230" s="93"/>
      <c r="MA230" s="20">
        <v>1070</v>
      </c>
      <c r="MB230" s="29">
        <v>163</v>
      </c>
      <c r="MC230" s="1504">
        <v>41456</v>
      </c>
      <c r="MD230" s="19">
        <v>165650.82516661298</v>
      </c>
      <c r="ME230" s="93">
        <v>115400.80412999999</v>
      </c>
      <c r="MF230" s="93">
        <v>115400.73400700001</v>
      </c>
      <c r="MG230" s="93">
        <v>102454.53959999999</v>
      </c>
      <c r="MH230" s="93">
        <v>44080.415786999998</v>
      </c>
      <c r="MI230" s="93">
        <v>595.76442600000007</v>
      </c>
      <c r="MJ230" s="93">
        <v>721.93904899999995</v>
      </c>
      <c r="MK230" s="93">
        <v>40979.457405000001</v>
      </c>
      <c r="ML230" s="93">
        <v>14757.535634</v>
      </c>
      <c r="MM230" s="93">
        <v>1319.4272990000002</v>
      </c>
      <c r="MN230" s="93">
        <v>12946.194407000001</v>
      </c>
      <c r="MO230" s="93">
        <v>284.12339099999997</v>
      </c>
      <c r="MP230" s="93">
        <v>2742.1203329999998</v>
      </c>
      <c r="MQ230" s="93">
        <v>265.02631500000001</v>
      </c>
      <c r="MR230" s="93">
        <v>5802.3797690000001</v>
      </c>
      <c r="MS230" s="93">
        <v>3852.5445990000003</v>
      </c>
      <c r="MT230" s="93">
        <v>7.0123000000000005E-2</v>
      </c>
      <c r="MU230" s="93">
        <v>50250.021036613005</v>
      </c>
      <c r="MV230" s="93">
        <v>5931.0066120000001</v>
      </c>
      <c r="MW230" s="93">
        <v>44319.014424613</v>
      </c>
      <c r="MX230" s="93">
        <v>133182.55997766674</v>
      </c>
      <c r="MY230" s="93">
        <v>133739.08137566675</v>
      </c>
      <c r="MZ230" s="93">
        <v>77480.455145666725</v>
      </c>
      <c r="NA230" s="93">
        <v>25967.135364666701</v>
      </c>
      <c r="NB230" s="93">
        <v>16859.103660000004</v>
      </c>
      <c r="NC230" s="93">
        <v>2208.5628469999997</v>
      </c>
      <c r="ND230" s="93">
        <v>1881.4784149999998</v>
      </c>
      <c r="NE230" s="93">
        <v>327.08443199999982</v>
      </c>
      <c r="NF230" s="93">
        <v>32445.653274000004</v>
      </c>
      <c r="NG230" s="93">
        <v>143.65931799999996</v>
      </c>
      <c r="NH230" s="93">
        <v>4287.4358090000005</v>
      </c>
      <c r="NI230" s="93">
        <v>0</v>
      </c>
      <c r="NJ230" s="93">
        <v>0</v>
      </c>
      <c r="NK230" s="93">
        <v>56258.626230000009</v>
      </c>
      <c r="NL230" s="93">
        <v>42275.202518000006</v>
      </c>
      <c r="NM230" s="93">
        <v>166.6666669999999</v>
      </c>
      <c r="NN230" s="93">
        <v>13816.757045</v>
      </c>
      <c r="NO230" s="93">
        <v>-556.52139800000191</v>
      </c>
      <c r="NP230" s="93">
        <v>32468.265188946247</v>
      </c>
      <c r="NQ230" s="93">
        <v>-17781.75584766674</v>
      </c>
      <c r="NR230" s="93">
        <v>-1756.4359556667357</v>
      </c>
      <c r="NS230" s="93">
        <v>-3964.9988026667388</v>
      </c>
      <c r="NT230" s="93">
        <v>60657.088925946293</v>
      </c>
      <c r="NU230" s="93">
        <v>10407.067889333308</v>
      </c>
      <c r="NV230" s="93">
        <v>-53343.61499799999</v>
      </c>
      <c r="NW230" s="93">
        <v>6476.2319079999997</v>
      </c>
      <c r="NX230" s="93">
        <v>7885.7504330000002</v>
      </c>
      <c r="NY230" s="93">
        <v>-1409.518525</v>
      </c>
      <c r="NZ230" s="93">
        <v>0</v>
      </c>
      <c r="OA230" s="93">
        <v>-59819.846905999992</v>
      </c>
      <c r="OB230" s="93">
        <v>-71217.036766999983</v>
      </c>
      <c r="OC230" s="93">
        <v>11397.189860999999</v>
      </c>
      <c r="OD230" s="20">
        <v>0</v>
      </c>
      <c r="OE230" s="29">
        <v>163</v>
      </c>
      <c r="OF230" s="1504">
        <v>41456</v>
      </c>
      <c r="OG230" s="19"/>
      <c r="OH230" s="93">
        <v>185.10430000000002</v>
      </c>
      <c r="OI230" s="93">
        <v>827.97733553402884</v>
      </c>
      <c r="OJ230" s="93">
        <v>0.46068628899999997</v>
      </c>
      <c r="OK230" s="93">
        <v>736.57414924502882</v>
      </c>
      <c r="OL230" s="93">
        <v>90.942499999999995</v>
      </c>
      <c r="OM230" s="93">
        <v>1013.0816355340289</v>
      </c>
      <c r="ON230" s="93">
        <v>793.99261026813633</v>
      </c>
      <c r="OO230" s="93">
        <v>1807.0742458021653</v>
      </c>
      <c r="OP230" s="93"/>
      <c r="OQ230" s="93">
        <v>687.36350571992512</v>
      </c>
      <c r="OR230" s="93">
        <v>142.13886784399995</v>
      </c>
      <c r="OS230" s="93">
        <v>545.22463787592505</v>
      </c>
      <c r="OT230" s="93">
        <v>1346.6746771982398</v>
      </c>
      <c r="OU230" s="93">
        <v>-98.083007464000005</v>
      </c>
      <c r="OV230" s="93">
        <v>-92.492007463999997</v>
      </c>
      <c r="OW230" s="93">
        <v>-5.5910000000000082</v>
      </c>
      <c r="OX230" s="93">
        <v>1444.7576846622399</v>
      </c>
      <c r="OY230" s="93">
        <v>4.504902275000001</v>
      </c>
      <c r="OZ230" s="93">
        <v>1440.2527823872399</v>
      </c>
      <c r="PA230" s="93">
        <v>273.310973956</v>
      </c>
      <c r="PB230" s="93">
        <v>-46.347036839999916</v>
      </c>
      <c r="PC230" s="20">
        <v>1807.0742458021648</v>
      </c>
      <c r="PD230" s="29">
        <v>163</v>
      </c>
      <c r="PE230" s="19"/>
      <c r="PF230" s="93">
        <v>142.13886784399995</v>
      </c>
      <c r="PG230" s="93">
        <v>399.31666025899995</v>
      </c>
      <c r="PH230" s="93">
        <v>257.177792415</v>
      </c>
      <c r="PI230" s="93">
        <v>280.75799999999998</v>
      </c>
      <c r="PJ230" s="93">
        <v>-87.926407463999993</v>
      </c>
      <c r="PK230" s="93">
        <v>136.035676067</v>
      </c>
      <c r="PL230" s="93">
        <v>223.96208353099999</v>
      </c>
      <c r="PM230" s="93">
        <v>4.504902275000001</v>
      </c>
      <c r="PN230" s="93">
        <v>0.98799999999999999</v>
      </c>
      <c r="PO230" s="93">
        <v>0</v>
      </c>
      <c r="PP230" s="93">
        <v>5.2318999999999998E-4</v>
      </c>
      <c r="PQ230" s="93">
        <v>3.5163790850000005</v>
      </c>
      <c r="PR230" s="93">
        <v>334.893177342</v>
      </c>
      <c r="PS230" s="93">
        <v>230.91290000000001</v>
      </c>
      <c r="PT230" s="93">
        <v>94.253251802999998</v>
      </c>
      <c r="PU230" s="93">
        <v>9.7270255389999996</v>
      </c>
      <c r="PV230" s="93">
        <v>0</v>
      </c>
      <c r="PW230" s="93">
        <v>1.0450239240000001</v>
      </c>
      <c r="PX230" s="93">
        <v>0</v>
      </c>
      <c r="PY230" s="93">
        <v>0</v>
      </c>
      <c r="PZ230" s="93">
        <v>1.0450239240000001</v>
      </c>
      <c r="QA230" s="93">
        <v>0</v>
      </c>
      <c r="QB230" s="93">
        <v>0</v>
      </c>
      <c r="QC230" s="93">
        <v>0</v>
      </c>
      <c r="QD230" s="93">
        <v>1.369950032</v>
      </c>
      <c r="QE230" s="20">
        <v>2.1672113569999998</v>
      </c>
      <c r="QF230" s="1739">
        <v>163</v>
      </c>
      <c r="QG230" s="19"/>
      <c r="QH230" s="1035">
        <v>545.22463787592505</v>
      </c>
      <c r="QI230" s="1035">
        <v>706.63021761276002</v>
      </c>
      <c r="QJ230" s="1035">
        <v>-161.40557973683491</v>
      </c>
      <c r="QK230" s="1035">
        <v>138.125</v>
      </c>
      <c r="QL230" s="1035">
        <v>41.243000000000002</v>
      </c>
      <c r="QM230" s="1035">
        <v>96.882000000000005</v>
      </c>
      <c r="QN230" s="1035">
        <v>0</v>
      </c>
      <c r="QO230" s="1035">
        <v>-5.5910000000000082</v>
      </c>
      <c r="QP230" s="1035">
        <v>164.60300000000001</v>
      </c>
      <c r="QQ230" s="1035">
        <v>-170.19400000000002</v>
      </c>
      <c r="QR230" s="1035">
        <v>1440.2527823872399</v>
      </c>
      <c r="QS230" s="1035">
        <v>13.71985960869184</v>
      </c>
      <c r="QT230" s="1035">
        <v>0</v>
      </c>
      <c r="QU230" s="1035">
        <v>168.322</v>
      </c>
      <c r="QV230" s="1035">
        <v>1258.2109227785481</v>
      </c>
      <c r="QW230" s="93"/>
      <c r="QX230" s="93">
        <v>280.88400000000001</v>
      </c>
      <c r="QY230" s="93">
        <v>736.57414924502882</v>
      </c>
      <c r="QZ230" s="93">
        <v>784.72627101813634</v>
      </c>
      <c r="RA230" s="93">
        <v>0</v>
      </c>
      <c r="RB230" s="93">
        <v>33.622999999999998</v>
      </c>
      <c r="RC230" s="93">
        <v>8.4589999999999996</v>
      </c>
      <c r="RD230" s="93">
        <v>13.017999999999999</v>
      </c>
      <c r="RE230" s="93">
        <v>0</v>
      </c>
      <c r="RF230" s="93">
        <v>0</v>
      </c>
      <c r="RG230" s="93">
        <v>215.79599999999999</v>
      </c>
      <c r="RH230" s="93">
        <v>44.93100000000004</v>
      </c>
      <c r="RI230" s="93"/>
      <c r="RJ230" s="93"/>
      <c r="RK230" s="93"/>
      <c r="RL230" s="93"/>
      <c r="RM230" s="734"/>
      <c r="RN230" s="29">
        <v>163</v>
      </c>
      <c r="RO230" s="19">
        <v>93</v>
      </c>
      <c r="RP230" s="20"/>
      <c r="RQ230" s="29">
        <v>163</v>
      </c>
      <c r="RR230" s="734">
        <v>2.7259910000000001</v>
      </c>
      <c r="RS230" s="29">
        <v>163</v>
      </c>
      <c r="RT230" s="1504">
        <v>41456</v>
      </c>
      <c r="RU230" s="19"/>
      <c r="RV230" s="20"/>
      <c r="RW230" s="29">
        <v>163</v>
      </c>
      <c r="RX230" s="1504">
        <v>41456</v>
      </c>
      <c r="RY230" s="29"/>
      <c r="RZ230" s="734"/>
      <c r="SA230" s="29"/>
      <c r="SB230" s="29">
        <v>163</v>
      </c>
    </row>
    <row r="231" spans="1:496">
      <c r="A231" s="41">
        <f t="shared" si="208"/>
        <v>2013</v>
      </c>
      <c r="B231" s="1504">
        <v>41487</v>
      </c>
      <c r="C231" s="1813">
        <v>894</v>
      </c>
      <c r="D231" s="1814">
        <v>17299</v>
      </c>
      <c r="E231" s="1814">
        <v>40</v>
      </c>
      <c r="F231" s="1815">
        <v>295</v>
      </c>
      <c r="G231" s="1814">
        <v>106606</v>
      </c>
      <c r="H231" s="1814">
        <v>7</v>
      </c>
      <c r="I231" s="1814">
        <v>32849</v>
      </c>
      <c r="J231" s="1816">
        <v>14326</v>
      </c>
      <c r="K231" s="1807">
        <v>172316</v>
      </c>
      <c r="L231" s="25">
        <v>164</v>
      </c>
      <c r="M231" s="97"/>
      <c r="N231" s="1504">
        <v>41487</v>
      </c>
      <c r="O231" s="19"/>
      <c r="P231" s="93"/>
      <c r="Q231" s="93"/>
      <c r="R231" s="93"/>
      <c r="S231" s="93"/>
      <c r="T231" s="93"/>
      <c r="U231" s="93"/>
      <c r="V231" s="93"/>
      <c r="W231" s="93"/>
      <c r="X231" s="93"/>
      <c r="Y231" s="93"/>
      <c r="Z231" s="93"/>
      <c r="AA231" s="93"/>
      <c r="AB231" s="20"/>
      <c r="AC231" s="25">
        <v>164</v>
      </c>
      <c r="AD231" s="97"/>
      <c r="AE231" s="1504">
        <v>41487</v>
      </c>
      <c r="AF231" s="19"/>
      <c r="AG231" s="93"/>
      <c r="AH231" s="93"/>
      <c r="AI231" s="93"/>
      <c r="AJ231" s="93"/>
      <c r="AK231" s="93"/>
      <c r="AL231" s="93"/>
      <c r="AM231" s="93"/>
      <c r="AN231" s="93"/>
      <c r="AO231" s="93"/>
      <c r="AP231" s="93"/>
      <c r="AQ231" s="93"/>
      <c r="AR231" s="93"/>
      <c r="AS231" s="20"/>
      <c r="AT231" s="25">
        <v>164</v>
      </c>
      <c r="AU231" s="97"/>
      <c r="AV231" s="1504">
        <v>41487</v>
      </c>
      <c r="AW231" s="19"/>
      <c r="AX231" s="93"/>
      <c r="AY231" s="93"/>
      <c r="AZ231" s="93"/>
      <c r="BA231" s="93"/>
      <c r="BB231" s="93"/>
      <c r="BC231" s="93"/>
      <c r="BD231" s="93"/>
      <c r="BE231" s="93"/>
      <c r="BF231" s="93"/>
      <c r="BG231" s="93"/>
      <c r="BH231" s="93"/>
      <c r="BI231" s="93"/>
      <c r="BJ231" s="20"/>
      <c r="BK231" s="25">
        <v>164</v>
      </c>
      <c r="BL231" s="97"/>
      <c r="BM231" s="1504">
        <v>41487</v>
      </c>
      <c r="BN231" s="19"/>
      <c r="BO231" s="93"/>
      <c r="BP231" s="93"/>
      <c r="BQ231" s="93"/>
      <c r="BR231" s="93"/>
      <c r="BS231" s="93"/>
      <c r="BT231" s="93"/>
      <c r="BU231" s="20"/>
      <c r="BV231" s="25">
        <v>164</v>
      </c>
      <c r="BW231" s="97"/>
      <c r="BX231" s="1504">
        <v>41487</v>
      </c>
      <c r="BY231" s="179">
        <v>492.84673237999999</v>
      </c>
      <c r="BZ231" s="99">
        <v>664.95699999999999</v>
      </c>
      <c r="CA231" s="93"/>
      <c r="CB231" s="93"/>
      <c r="CC231" s="99">
        <v>246.77372304744102</v>
      </c>
      <c r="CD231" s="25">
        <v>164</v>
      </c>
      <c r="CE231" s="97"/>
      <c r="CF231" s="1504">
        <v>41487</v>
      </c>
      <c r="CG231" s="1508">
        <v>2.0447850500000002</v>
      </c>
      <c r="CH231" s="568">
        <v>1351.74181818182</v>
      </c>
      <c r="CI231" s="1708">
        <v>108.157636363636</v>
      </c>
      <c r="CJ231" s="1509">
        <v>110.964545454545</v>
      </c>
      <c r="CK231" s="1508">
        <v>428.25</v>
      </c>
      <c r="CL231" s="568">
        <v>238.735604545455</v>
      </c>
      <c r="CM231" s="568">
        <v>0.37548686999999997</v>
      </c>
      <c r="CN231" s="568">
        <v>0.43495417018181798</v>
      </c>
      <c r="CO231" s="568">
        <v>305.33989769999999</v>
      </c>
      <c r="CP231" s="1509">
        <v>3.9490255749999998</v>
      </c>
      <c r="CQ231" s="1708">
        <v>1807.79</v>
      </c>
      <c r="CR231" s="568">
        <v>2.2799999999999998</v>
      </c>
      <c r="CS231" s="568">
        <v>2.569</v>
      </c>
      <c r="CT231" s="568">
        <v>115</v>
      </c>
      <c r="CU231" s="568">
        <v>137.05500000000001</v>
      </c>
      <c r="CV231" s="1709">
        <v>1898.8181818181799</v>
      </c>
      <c r="CW231" s="29">
        <v>164</v>
      </c>
      <c r="CX231" s="41">
        <f t="shared" si="209"/>
        <v>2013</v>
      </c>
      <c r="CY231" s="1504">
        <v>41487</v>
      </c>
      <c r="CZ231" s="1916">
        <v>86.766433000000006</v>
      </c>
      <c r="DA231" s="1526">
        <v>55.045946999999998</v>
      </c>
      <c r="DB231" s="1526">
        <v>31.720486000000001</v>
      </c>
      <c r="DC231" s="182">
        <f t="shared" si="216"/>
        <v>472441</v>
      </c>
      <c r="DD231" s="182">
        <f t="shared" si="217"/>
        <v>471097</v>
      </c>
      <c r="DE231" s="182">
        <f t="shared" si="218"/>
        <v>1344</v>
      </c>
      <c r="DF231" s="29">
        <v>164</v>
      </c>
      <c r="DG231" s="1504">
        <v>41487</v>
      </c>
      <c r="DH231" s="19"/>
      <c r="DI231" s="93"/>
      <c r="DJ231" s="93"/>
      <c r="DK231" s="93"/>
      <c r="DL231" s="93"/>
      <c r="DM231" s="93"/>
      <c r="DN231" s="20"/>
      <c r="DO231" s="25"/>
      <c r="DP231" s="29">
        <v>164</v>
      </c>
      <c r="DQ231" s="1504">
        <v>41487</v>
      </c>
      <c r="DR231" s="19"/>
      <c r="DS231" s="93"/>
      <c r="DT231" s="93"/>
      <c r="DU231" s="93"/>
      <c r="DV231" s="93"/>
      <c r="DW231" s="93"/>
      <c r="DX231" s="20"/>
      <c r="DY231" s="29">
        <v>164</v>
      </c>
      <c r="DZ231" s="1504">
        <v>41487</v>
      </c>
      <c r="EA231" s="19"/>
      <c r="EB231" s="93"/>
      <c r="EC231" s="20"/>
      <c r="ED231" s="29">
        <v>164</v>
      </c>
      <c r="EE231" s="1504">
        <v>41487</v>
      </c>
      <c r="EF231" s="19"/>
      <c r="EG231" s="93"/>
      <c r="EH231" s="93"/>
      <c r="EI231" s="214"/>
      <c r="EJ231" s="93"/>
      <c r="EK231" s="93"/>
      <c r="EL231" s="93"/>
      <c r="EM231" s="93"/>
      <c r="EN231" s="20"/>
      <c r="EO231" s="29">
        <v>164</v>
      </c>
      <c r="EP231" s="1504">
        <v>41487</v>
      </c>
      <c r="EQ231" s="19"/>
      <c r="ER231" s="93"/>
      <c r="ES231" s="93"/>
      <c r="ET231" s="214"/>
      <c r="EU231" s="93"/>
      <c r="EV231" s="93"/>
      <c r="EW231" s="93"/>
      <c r="EX231" s="93"/>
      <c r="EY231" s="20"/>
      <c r="EZ231" s="29">
        <v>164</v>
      </c>
      <c r="FA231" s="1504">
        <v>41487</v>
      </c>
      <c r="FB231" s="29"/>
      <c r="FC231" s="29"/>
      <c r="FD231" s="29"/>
      <c r="FE231" s="29"/>
      <c r="FF231" s="29"/>
      <c r="FG231" s="29"/>
      <c r="FH231" s="29"/>
      <c r="FI231" s="29"/>
      <c r="FJ231" s="29"/>
      <c r="FK231" s="29">
        <v>164</v>
      </c>
      <c r="FL231" s="1504">
        <v>41487</v>
      </c>
      <c r="FM231" s="19">
        <v>107.82927594169408</v>
      </c>
      <c r="FN231" s="93">
        <v>117.03492528642414</v>
      </c>
      <c r="FO231" s="93">
        <v>100.95890104382195</v>
      </c>
      <c r="FP231" s="93">
        <v>101.86786049313677</v>
      </c>
      <c r="FQ231" s="93">
        <v>116.9129735607178</v>
      </c>
      <c r="FR231" s="93">
        <v>98.579202267436159</v>
      </c>
      <c r="FS231" s="93">
        <v>100.86405773508461</v>
      </c>
      <c r="FT231" s="93">
        <v>105.96113652523017</v>
      </c>
      <c r="FU231" s="93">
        <v>63.619608962306451</v>
      </c>
      <c r="FV231" s="93">
        <v>97.461408814507109</v>
      </c>
      <c r="FW231" s="93">
        <v>104.37383572273448</v>
      </c>
      <c r="FX231" s="93">
        <v>115.65608911294551</v>
      </c>
      <c r="FY231" s="93">
        <v>103.9456018828116</v>
      </c>
      <c r="FZ231" s="29">
        <v>164</v>
      </c>
      <c r="GA231" s="1504">
        <v>41487</v>
      </c>
      <c r="GB231" s="733">
        <v>107.82927594169408</v>
      </c>
      <c r="GC231" s="570">
        <v>106.4773114367264</v>
      </c>
      <c r="GD231" s="570">
        <v>108.67188099758268</v>
      </c>
      <c r="GE231" s="570">
        <v>115.01892287173847</v>
      </c>
      <c r="GF231" s="570">
        <v>114.74030186022979</v>
      </c>
      <c r="GG231" s="570">
        <v>103.98669786772255</v>
      </c>
      <c r="GH231" s="93"/>
      <c r="GI231" s="93"/>
      <c r="GJ231" s="93"/>
      <c r="GK231" s="93"/>
      <c r="GL231" s="93"/>
      <c r="GM231" s="93"/>
      <c r="GN231" s="20"/>
      <c r="GO231" s="29">
        <v>164</v>
      </c>
      <c r="GP231" s="1504">
        <v>41487</v>
      </c>
      <c r="GQ231" s="19"/>
      <c r="GR231" s="93"/>
      <c r="GS231" s="93"/>
      <c r="GT231" s="93"/>
      <c r="GU231" s="93"/>
      <c r="GV231" s="20"/>
      <c r="GW231" s="19"/>
      <c r="GX231" s="93"/>
      <c r="GY231" s="93"/>
      <c r="GZ231" s="93"/>
      <c r="HA231" s="93"/>
      <c r="HB231" s="20"/>
      <c r="HC231" s="19"/>
      <c r="HD231" s="93"/>
      <c r="HE231" s="93"/>
      <c r="HF231" s="93"/>
      <c r="HG231" s="93"/>
      <c r="HH231" s="20"/>
      <c r="HI231" s="19"/>
      <c r="HJ231" s="93"/>
      <c r="HK231" s="93"/>
      <c r="HL231" s="93"/>
      <c r="HM231" s="93"/>
      <c r="HN231" s="20"/>
      <c r="HO231" s="219"/>
      <c r="HP231" s="20"/>
      <c r="HQ231" s="25"/>
      <c r="HR231" s="29">
        <v>164</v>
      </c>
      <c r="HS231" s="1504">
        <v>41487</v>
      </c>
      <c r="HT231" s="179">
        <v>241.97424221038818</v>
      </c>
      <c r="HU231" s="99">
        <v>260.30465698242188</v>
      </c>
      <c r="HV231" s="99">
        <v>200</v>
      </c>
      <c r="HW231" s="99">
        <v>124.39320945739746</v>
      </c>
      <c r="HX231" s="99">
        <v>200</v>
      </c>
      <c r="HY231" s="99">
        <v>218.25397491455078</v>
      </c>
      <c r="HZ231" s="99">
        <v>222.98602199554443</v>
      </c>
      <c r="IA231" s="132">
        <v>188.72549057006836</v>
      </c>
      <c r="IB231" s="179">
        <v>214.09574508666992</v>
      </c>
      <c r="IC231" s="99">
        <v>150</v>
      </c>
      <c r="ID231" s="99">
        <v>217.85715026855468</v>
      </c>
      <c r="IE231" s="99">
        <v>161.29032897949219</v>
      </c>
      <c r="IF231" s="99">
        <v>175.78125</v>
      </c>
      <c r="IG231" s="132">
        <v>179.16667175292969</v>
      </c>
      <c r="IH231" s="179">
        <v>137.09580230712891</v>
      </c>
      <c r="II231" s="99">
        <v>194.73617553710938</v>
      </c>
      <c r="IJ231" s="99">
        <v>160.47296905517578</v>
      </c>
      <c r="IK231" s="99">
        <v>162.45487976074219</v>
      </c>
      <c r="IL231" s="99">
        <v>152.77777862548828</v>
      </c>
      <c r="IM231" s="99">
        <v>142.33871078491211</v>
      </c>
      <c r="IN231" s="93"/>
      <c r="IO231" s="132">
        <v>159.96826362609863</v>
      </c>
      <c r="IP231" s="29">
        <v>164</v>
      </c>
      <c r="IQ231" s="19"/>
      <c r="IR231" s="93"/>
      <c r="IS231" s="93"/>
      <c r="IT231" s="93"/>
      <c r="IU231" s="93"/>
      <c r="IV231" s="20"/>
      <c r="IW231" s="29">
        <v>164</v>
      </c>
      <c r="IX231" s="19"/>
      <c r="IY231" s="93"/>
      <c r="IZ231" s="93"/>
      <c r="JA231" s="93"/>
      <c r="JB231" s="93"/>
      <c r="JC231" s="93"/>
      <c r="JD231" s="93"/>
      <c r="JE231" s="20"/>
      <c r="JF231" s="29">
        <v>164</v>
      </c>
      <c r="JG231" s="19"/>
      <c r="JH231" s="93"/>
      <c r="JI231" s="93"/>
      <c r="JJ231" s="93"/>
      <c r="JK231" s="93"/>
      <c r="JL231" s="93"/>
      <c r="JM231" s="93"/>
      <c r="JN231" s="20"/>
      <c r="JO231" s="29">
        <v>164</v>
      </c>
      <c r="JP231" s="19"/>
      <c r="JQ231" s="93"/>
      <c r="JR231" s="93"/>
      <c r="JS231" s="93"/>
      <c r="JT231" s="93"/>
      <c r="JU231" s="20"/>
      <c r="JV231" s="29">
        <v>164</v>
      </c>
      <c r="JW231" s="1504">
        <v>41487</v>
      </c>
      <c r="JX231" s="19"/>
      <c r="JY231" s="93"/>
      <c r="JZ231" s="93"/>
      <c r="KA231" s="93"/>
      <c r="KB231" s="93"/>
      <c r="KC231" s="93"/>
      <c r="KD231" s="20"/>
      <c r="KE231" s="29">
        <v>164</v>
      </c>
      <c r="KF231" s="19"/>
      <c r="KG231" s="93"/>
      <c r="KH231" s="93"/>
      <c r="KI231" s="93"/>
      <c r="KJ231" s="93"/>
      <c r="KK231" s="20"/>
      <c r="KL231" s="29">
        <v>164</v>
      </c>
      <c r="KM231" s="19"/>
      <c r="KN231" s="93"/>
      <c r="KO231" s="93"/>
      <c r="KP231" s="93"/>
      <c r="KQ231" s="93"/>
      <c r="KR231" s="20"/>
      <c r="KS231" s="29">
        <v>164</v>
      </c>
      <c r="KT231" s="19"/>
      <c r="KU231" s="93"/>
      <c r="KV231" s="93"/>
      <c r="KW231" s="93"/>
      <c r="KX231" s="93"/>
      <c r="KY231" s="20"/>
      <c r="KZ231" s="29">
        <v>164</v>
      </c>
      <c r="LA231" s="1504">
        <v>41487</v>
      </c>
      <c r="LB231" s="19">
        <v>510</v>
      </c>
      <c r="LC231" s="93">
        <v>740</v>
      </c>
      <c r="LD231" s="93">
        <v>732</v>
      </c>
      <c r="LE231" s="93"/>
      <c r="LF231" s="93">
        <v>656</v>
      </c>
      <c r="LG231" s="93"/>
      <c r="LH231" s="20"/>
      <c r="LI231" s="29">
        <v>164</v>
      </c>
      <c r="LJ231" s="19"/>
      <c r="LK231" s="93"/>
      <c r="LL231" s="93"/>
      <c r="LM231" s="93"/>
      <c r="LN231" s="93"/>
      <c r="LO231" s="20"/>
      <c r="LP231" s="29">
        <v>164</v>
      </c>
      <c r="LQ231" s="19"/>
      <c r="LR231" s="93">
        <v>188</v>
      </c>
      <c r="LS231" s="93">
        <v>445</v>
      </c>
      <c r="LT231" s="93">
        <v>535</v>
      </c>
      <c r="LU231" s="93">
        <v>1070</v>
      </c>
      <c r="LV231" s="93"/>
      <c r="LW231" s="93">
        <v>5</v>
      </c>
      <c r="LX231" s="93">
        <v>10</v>
      </c>
      <c r="LY231" s="93">
        <v>60</v>
      </c>
      <c r="LZ231" s="93"/>
      <c r="MA231" s="20">
        <v>1070</v>
      </c>
      <c r="MB231" s="29">
        <v>164</v>
      </c>
      <c r="MC231" s="1504">
        <v>41487</v>
      </c>
      <c r="MD231" s="19">
        <v>113912.24721599999</v>
      </c>
      <c r="ME231" s="93">
        <v>76644.480976999999</v>
      </c>
      <c r="MF231" s="93">
        <v>76644.428977000003</v>
      </c>
      <c r="MG231" s="93">
        <v>69512.027921999994</v>
      </c>
      <c r="MH231" s="93">
        <v>11672.964737999999</v>
      </c>
      <c r="MI231" s="93">
        <v>724.83558999999991</v>
      </c>
      <c r="MJ231" s="93">
        <v>566.63398899999993</v>
      </c>
      <c r="MK231" s="93">
        <v>41207.741071999997</v>
      </c>
      <c r="ML231" s="93">
        <v>14740.273161000001</v>
      </c>
      <c r="MM231" s="93">
        <v>599.57937200000003</v>
      </c>
      <c r="MN231" s="93">
        <v>7132.4010549999994</v>
      </c>
      <c r="MO231" s="93">
        <v>295.43645699999996</v>
      </c>
      <c r="MP231" s="93">
        <v>2171.3333870000001</v>
      </c>
      <c r="MQ231" s="93">
        <v>183.26073299999999</v>
      </c>
      <c r="MR231" s="93">
        <v>1236.113922</v>
      </c>
      <c r="MS231" s="93">
        <v>3246.2565559999998</v>
      </c>
      <c r="MT231" s="93">
        <v>5.1999999999999998E-2</v>
      </c>
      <c r="MU231" s="93">
        <v>37267.766238999997</v>
      </c>
      <c r="MV231" s="93">
        <v>34373.946515000003</v>
      </c>
      <c r="MW231" s="93">
        <v>2893.819724</v>
      </c>
      <c r="MX231" s="93">
        <v>153825.04039949997</v>
      </c>
      <c r="MY231" s="93">
        <v>172557.35029349994</v>
      </c>
      <c r="MZ231" s="93">
        <v>65450.359608499959</v>
      </c>
      <c r="NA231" s="93">
        <v>25742.638910999955</v>
      </c>
      <c r="NB231" s="93">
        <v>6421.4226719999906</v>
      </c>
      <c r="NC231" s="93">
        <v>3032.2115040000003</v>
      </c>
      <c r="ND231" s="93">
        <v>2673.9637379999999</v>
      </c>
      <c r="NE231" s="93">
        <v>358.24776600000018</v>
      </c>
      <c r="NF231" s="93">
        <v>30254.086521500009</v>
      </c>
      <c r="NG231" s="93">
        <v>309.20494849999994</v>
      </c>
      <c r="NH231" s="93">
        <v>8060.2762689999972</v>
      </c>
      <c r="NI231" s="93">
        <v>0</v>
      </c>
      <c r="NJ231" s="93">
        <v>0</v>
      </c>
      <c r="NK231" s="93">
        <v>107106.990685</v>
      </c>
      <c r="NL231" s="93">
        <v>41017.382164999988</v>
      </c>
      <c r="NM231" s="93">
        <v>26105.123</v>
      </c>
      <c r="NN231" s="93">
        <v>39984.485520000002</v>
      </c>
      <c r="NO231" s="93">
        <v>-18732.309893999998</v>
      </c>
      <c r="NP231" s="93">
        <v>-39912.793183499962</v>
      </c>
      <c r="NQ231" s="93">
        <v>-77180.559422499951</v>
      </c>
      <c r="NR231" s="93">
        <v>-34163.862398499936</v>
      </c>
      <c r="NS231" s="93">
        <v>-37196.073902499942</v>
      </c>
      <c r="NT231" s="93">
        <v>-36882.875772499989</v>
      </c>
      <c r="NU231" s="93">
        <v>-74150.642011499993</v>
      </c>
      <c r="NV231" s="93">
        <v>31527.334397000002</v>
      </c>
      <c r="NW231" s="93">
        <v>5463.9824269999999</v>
      </c>
      <c r="NX231" s="93">
        <v>5610.5390049999996</v>
      </c>
      <c r="NY231" s="93">
        <v>-146.55657799999997</v>
      </c>
      <c r="NZ231" s="93">
        <v>0</v>
      </c>
      <c r="OA231" s="93">
        <v>26063.351970000003</v>
      </c>
      <c r="OB231" s="93">
        <v>37490.218678000005</v>
      </c>
      <c r="OC231" s="93">
        <v>-11426.866708000001</v>
      </c>
      <c r="OD231" s="20">
        <v>0</v>
      </c>
      <c r="OE231" s="29">
        <v>164</v>
      </c>
      <c r="OF231" s="1504">
        <v>41487</v>
      </c>
      <c r="OG231" s="19"/>
      <c r="OH231" s="93">
        <v>156.89097999999998</v>
      </c>
      <c r="OI231" s="93">
        <v>824.17044424909614</v>
      </c>
      <c r="OJ231" s="93">
        <v>0.44063952099999998</v>
      </c>
      <c r="OK231" s="93">
        <v>730.2187047280961</v>
      </c>
      <c r="OL231" s="93">
        <v>93.511099999999999</v>
      </c>
      <c r="OM231" s="93">
        <v>981.06142424909615</v>
      </c>
      <c r="ON231" s="93">
        <v>810.1125932575876</v>
      </c>
      <c r="OO231" s="93">
        <v>1791.1740175066839</v>
      </c>
      <c r="OP231" s="93"/>
      <c r="OQ231" s="93">
        <v>643.85927455781416</v>
      </c>
      <c r="OR231" s="93">
        <v>127.21226855200001</v>
      </c>
      <c r="OS231" s="93">
        <v>516.64700600581409</v>
      </c>
      <c r="OT231" s="93">
        <v>1368.8994020478694</v>
      </c>
      <c r="OU231" s="93">
        <v>-62.28700802500002</v>
      </c>
      <c r="OV231" s="93">
        <v>-50.786008024999987</v>
      </c>
      <c r="OW231" s="93">
        <v>-11.501000000000033</v>
      </c>
      <c r="OX231" s="93">
        <v>1431.1864100728694</v>
      </c>
      <c r="OY231" s="93">
        <v>4.5351180929999995</v>
      </c>
      <c r="OZ231" s="93">
        <v>1426.6512919798695</v>
      </c>
      <c r="PA231" s="93">
        <v>268.72941209100003</v>
      </c>
      <c r="PB231" s="93">
        <v>-47.144752992000015</v>
      </c>
      <c r="PC231" s="20">
        <v>1791.1740175066836</v>
      </c>
      <c r="PD231" s="29">
        <v>164</v>
      </c>
      <c r="PE231" s="19"/>
      <c r="PF231" s="93">
        <v>127.21226855200001</v>
      </c>
      <c r="PG231" s="93">
        <v>388.49703757100002</v>
      </c>
      <c r="PH231" s="93">
        <v>261.28476901900001</v>
      </c>
      <c r="PI231" s="93">
        <v>236.08500000000001</v>
      </c>
      <c r="PJ231" s="93">
        <v>-46.169208024999989</v>
      </c>
      <c r="PK231" s="93">
        <v>135.52599423000001</v>
      </c>
      <c r="PL231" s="93">
        <v>181.695202255</v>
      </c>
      <c r="PM231" s="93">
        <v>4.5351180929999995</v>
      </c>
      <c r="PN231" s="93">
        <v>0.98799999999999999</v>
      </c>
      <c r="PO231" s="93">
        <v>0</v>
      </c>
      <c r="PP231" s="93">
        <v>5.2318999999999998E-4</v>
      </c>
      <c r="PQ231" s="93">
        <v>3.5465949029999999</v>
      </c>
      <c r="PR231" s="93">
        <v>317.45327204500001</v>
      </c>
      <c r="PS231" s="93">
        <v>208.03378000000001</v>
      </c>
      <c r="PT231" s="93">
        <v>108.978852524</v>
      </c>
      <c r="PU231" s="93">
        <v>0.44063952099999998</v>
      </c>
      <c r="PV231" s="93">
        <v>0</v>
      </c>
      <c r="PW231" s="93">
        <v>1.4397759269999999</v>
      </c>
      <c r="PX231" s="93">
        <v>0</v>
      </c>
      <c r="PY231" s="93">
        <v>0</v>
      </c>
      <c r="PZ231" s="93">
        <v>1.4397759269999999</v>
      </c>
      <c r="QA231" s="93">
        <v>0</v>
      </c>
      <c r="QB231" s="93">
        <v>0</v>
      </c>
      <c r="QC231" s="93">
        <v>0</v>
      </c>
      <c r="QD231" s="93">
        <v>1.5736361640000001</v>
      </c>
      <c r="QE231" s="20">
        <v>1.1964944839999929</v>
      </c>
      <c r="QF231" s="1739">
        <v>164</v>
      </c>
      <c r="QG231" s="19"/>
      <c r="QH231" s="1035">
        <v>516.64700600581409</v>
      </c>
      <c r="QI231" s="1035">
        <v>665.05770802013046</v>
      </c>
      <c r="QJ231" s="1035">
        <v>-148.41070201431631</v>
      </c>
      <c r="QK231" s="1035">
        <v>156.62899999999999</v>
      </c>
      <c r="QL231" s="1035">
        <v>46.526000000000003</v>
      </c>
      <c r="QM231" s="1035">
        <v>110.10299999999999</v>
      </c>
      <c r="QN231" s="1035">
        <v>0</v>
      </c>
      <c r="QO231" s="1035">
        <v>-11.501000000000033</v>
      </c>
      <c r="QP231" s="1035">
        <v>154.48999999999998</v>
      </c>
      <c r="QQ231" s="1035">
        <v>-165.99100000000001</v>
      </c>
      <c r="QR231" s="1035">
        <v>1426.6512919798695</v>
      </c>
      <c r="QS231" s="1035">
        <v>13.657178271908506</v>
      </c>
      <c r="QT231" s="1035">
        <v>0</v>
      </c>
      <c r="QU231" s="1035">
        <v>152.41800000000001</v>
      </c>
      <c r="QV231" s="1035">
        <v>1260.576113707961</v>
      </c>
      <c r="QW231" s="93"/>
      <c r="QX231" s="93">
        <v>236.387</v>
      </c>
      <c r="QY231" s="93">
        <v>730.21870472809599</v>
      </c>
      <c r="QZ231" s="93">
        <v>810.11259325758772</v>
      </c>
      <c r="RA231" s="93">
        <v>0</v>
      </c>
      <c r="RB231" s="93">
        <v>31.956999999999997</v>
      </c>
      <c r="RC231" s="93">
        <v>8.5080000000000009</v>
      </c>
      <c r="RD231" s="93">
        <v>11.681000000000001</v>
      </c>
      <c r="RE231" s="93">
        <v>0</v>
      </c>
      <c r="RF231" s="93">
        <v>0</v>
      </c>
      <c r="RG231" s="93">
        <v>213.57000000000005</v>
      </c>
      <c r="RH231" s="93">
        <v>45.99199999999999</v>
      </c>
      <c r="RI231" s="93"/>
      <c r="RJ231" s="93"/>
      <c r="RK231" s="93"/>
      <c r="RL231" s="93"/>
      <c r="RM231" s="734"/>
      <c r="RN231" s="29">
        <v>164</v>
      </c>
      <c r="RO231" s="19">
        <v>76</v>
      </c>
      <c r="RP231" s="20"/>
      <c r="RQ231" s="29">
        <v>164</v>
      </c>
      <c r="RR231" s="734">
        <v>2.9356940000000002</v>
      </c>
      <c r="RS231" s="29">
        <v>164</v>
      </c>
      <c r="RT231" s="1504">
        <v>41487</v>
      </c>
      <c r="RU231" s="19"/>
      <c r="RV231" s="20"/>
      <c r="RW231" s="29">
        <v>164</v>
      </c>
      <c r="RX231" s="1504">
        <v>41487</v>
      </c>
      <c r="RY231" s="29"/>
      <c r="RZ231" s="734"/>
      <c r="SA231" s="29"/>
      <c r="SB231" s="29">
        <v>164</v>
      </c>
    </row>
    <row r="232" spans="1:496">
      <c r="A232" s="41">
        <f t="shared" si="208"/>
        <v>2013</v>
      </c>
      <c r="B232" s="1504">
        <v>41518</v>
      </c>
      <c r="C232" s="1813">
        <v>1464</v>
      </c>
      <c r="D232" s="1814">
        <v>17724</v>
      </c>
      <c r="E232" s="1814">
        <v>33</v>
      </c>
      <c r="F232" s="1815">
        <v>523</v>
      </c>
      <c r="G232" s="1814">
        <v>98992</v>
      </c>
      <c r="H232" s="1814">
        <v>10</v>
      </c>
      <c r="I232" s="1814">
        <v>33748</v>
      </c>
      <c r="J232" s="1816">
        <v>12776</v>
      </c>
      <c r="K232" s="1807">
        <v>165270</v>
      </c>
      <c r="L232" s="25">
        <v>165</v>
      </c>
      <c r="M232" s="97"/>
      <c r="N232" s="1504">
        <v>41518</v>
      </c>
      <c r="O232" s="19"/>
      <c r="P232" s="93"/>
      <c r="Q232" s="93"/>
      <c r="R232" s="93"/>
      <c r="S232" s="93"/>
      <c r="T232" s="93"/>
      <c r="U232" s="93"/>
      <c r="V232" s="93"/>
      <c r="W232" s="93"/>
      <c r="X232" s="93"/>
      <c r="Y232" s="93"/>
      <c r="Z232" s="93"/>
      <c r="AA232" s="93"/>
      <c r="AB232" s="20"/>
      <c r="AC232" s="25">
        <v>165</v>
      </c>
      <c r="AD232" s="97"/>
      <c r="AE232" s="1504">
        <v>41518</v>
      </c>
      <c r="AF232" s="19"/>
      <c r="AG232" s="93"/>
      <c r="AH232" s="93"/>
      <c r="AI232" s="93"/>
      <c r="AJ232" s="93"/>
      <c r="AK232" s="93"/>
      <c r="AL232" s="93"/>
      <c r="AM232" s="93"/>
      <c r="AN232" s="93"/>
      <c r="AO232" s="93"/>
      <c r="AP232" s="93"/>
      <c r="AQ232" s="93"/>
      <c r="AR232" s="93"/>
      <c r="AS232" s="20"/>
      <c r="AT232" s="25">
        <v>165</v>
      </c>
      <c r="AU232" s="97"/>
      <c r="AV232" s="1504">
        <v>41518</v>
      </c>
      <c r="AW232" s="19"/>
      <c r="AX232" s="93"/>
      <c r="AY232" s="93"/>
      <c r="AZ232" s="93"/>
      <c r="BA232" s="93"/>
      <c r="BB232" s="93"/>
      <c r="BC232" s="93"/>
      <c r="BD232" s="93"/>
      <c r="BE232" s="93"/>
      <c r="BF232" s="93"/>
      <c r="BG232" s="93"/>
      <c r="BH232" s="93"/>
      <c r="BI232" s="93"/>
      <c r="BJ232" s="20"/>
      <c r="BK232" s="25">
        <v>165</v>
      </c>
      <c r="BL232" s="97"/>
      <c r="BM232" s="1504">
        <v>41518</v>
      </c>
      <c r="BN232" s="19"/>
      <c r="BO232" s="93"/>
      <c r="BP232" s="93"/>
      <c r="BQ232" s="93"/>
      <c r="BR232" s="93"/>
      <c r="BS232" s="93"/>
      <c r="BT232" s="93"/>
      <c r="BU232" s="20"/>
      <c r="BV232" s="25">
        <v>165</v>
      </c>
      <c r="BW232" s="97"/>
      <c r="BX232" s="1504">
        <v>41518</v>
      </c>
      <c r="BY232" s="179">
        <v>491.42986525999999</v>
      </c>
      <c r="BZ232" s="99">
        <v>664.95699999999999</v>
      </c>
      <c r="CA232" s="93"/>
      <c r="CB232" s="93"/>
      <c r="CC232" s="99">
        <v>246.01553632567274</v>
      </c>
      <c r="CD232" s="25">
        <v>165</v>
      </c>
      <c r="CE232" s="97"/>
      <c r="CF232" s="1504">
        <v>41518</v>
      </c>
      <c r="CG232" s="1508">
        <v>1.986142158</v>
      </c>
      <c r="CH232" s="568">
        <v>1348.6</v>
      </c>
      <c r="CI232" s="1708">
        <v>108.75773015873</v>
      </c>
      <c r="CJ232" s="1509">
        <v>111.62142857142901</v>
      </c>
      <c r="CK232" s="1508">
        <v>431.47619047619003</v>
      </c>
      <c r="CL232" s="568">
        <v>207.40538699999999</v>
      </c>
      <c r="CM232" s="568">
        <v>0.3835928569</v>
      </c>
      <c r="CN232" s="568">
        <v>0.43634169676190498</v>
      </c>
      <c r="CO232" s="568">
        <v>307.50777423</v>
      </c>
      <c r="CP232" s="1509">
        <v>3.9873859629999999</v>
      </c>
      <c r="CQ232" s="1708">
        <v>1797.87</v>
      </c>
      <c r="CR232" s="568">
        <v>2.12</v>
      </c>
      <c r="CS232" s="568">
        <v>2.6381000000000001</v>
      </c>
      <c r="CT232" s="568">
        <v>97.5</v>
      </c>
      <c r="CU232" s="568">
        <v>134.185714285714</v>
      </c>
      <c r="CV232" s="1709">
        <v>1846.88095238095</v>
      </c>
      <c r="CW232" s="29">
        <v>165</v>
      </c>
      <c r="CX232" s="41">
        <f t="shared" si="209"/>
        <v>2013</v>
      </c>
      <c r="CY232" s="1504">
        <v>41518</v>
      </c>
      <c r="CZ232" s="1916">
        <v>74.239772000000002</v>
      </c>
      <c r="DA232" s="1526">
        <v>48.001193000000001</v>
      </c>
      <c r="DB232" s="1526">
        <v>26.238579000000001</v>
      </c>
      <c r="DC232" s="182">
        <f t="shared" si="216"/>
        <v>472441</v>
      </c>
      <c r="DD232" s="182">
        <f t="shared" si="217"/>
        <v>471097</v>
      </c>
      <c r="DE232" s="182">
        <f t="shared" si="218"/>
        <v>1344</v>
      </c>
      <c r="DF232" s="29">
        <v>165</v>
      </c>
      <c r="DG232" s="1504">
        <v>41518</v>
      </c>
      <c r="DH232" s="19"/>
      <c r="DI232" s="93"/>
      <c r="DJ232" s="93"/>
      <c r="DK232" s="93"/>
      <c r="DL232" s="93"/>
      <c r="DM232" s="93"/>
      <c r="DN232" s="20"/>
      <c r="DO232" s="25"/>
      <c r="DP232" s="29">
        <v>165</v>
      </c>
      <c r="DQ232" s="1504">
        <v>41518</v>
      </c>
      <c r="DR232" s="19"/>
      <c r="DS232" s="93"/>
      <c r="DT232" s="93"/>
      <c r="DU232" s="93"/>
      <c r="DV232" s="93"/>
      <c r="DW232" s="93"/>
      <c r="DX232" s="20"/>
      <c r="DY232" s="29">
        <v>165</v>
      </c>
      <c r="DZ232" s="1504">
        <v>41518</v>
      </c>
      <c r="EA232" s="179">
        <v>1498.5299999999988</v>
      </c>
      <c r="EB232" s="99">
        <v>64326.499999999985</v>
      </c>
      <c r="EC232" s="20"/>
      <c r="ED232" s="29">
        <v>165</v>
      </c>
      <c r="EE232" s="1504">
        <v>41518</v>
      </c>
      <c r="EF232" s="179">
        <v>15906</v>
      </c>
      <c r="EG232" s="99">
        <v>24750</v>
      </c>
      <c r="EH232" s="99">
        <v>40656</v>
      </c>
      <c r="EI232" s="221">
        <v>9219</v>
      </c>
      <c r="EJ232" s="99">
        <v>420.52</v>
      </c>
      <c r="EK232" s="99">
        <v>58.21</v>
      </c>
      <c r="EL232" s="99">
        <v>7.8109999999999999</v>
      </c>
      <c r="EM232" s="99">
        <v>5.569</v>
      </c>
      <c r="EN232" s="132">
        <v>492.10999999999996</v>
      </c>
      <c r="EO232" s="29">
        <v>165</v>
      </c>
      <c r="EP232" s="1504">
        <v>41518</v>
      </c>
      <c r="EQ232" s="19">
        <v>15539</v>
      </c>
      <c r="ER232" s="93">
        <v>22926</v>
      </c>
      <c r="ES232" s="93">
        <v>38465</v>
      </c>
      <c r="ET232" s="214">
        <v>8791</v>
      </c>
      <c r="EU232" s="93">
        <v>420.52</v>
      </c>
      <c r="EV232" s="93">
        <v>58.21</v>
      </c>
      <c r="EW232" s="93">
        <v>7.8109999999999999</v>
      </c>
      <c r="EX232" s="93">
        <v>5.569</v>
      </c>
      <c r="EY232" s="20">
        <v>492.11</v>
      </c>
      <c r="EZ232" s="29">
        <v>165</v>
      </c>
      <c r="FA232" s="1504">
        <v>41518</v>
      </c>
      <c r="FB232" s="29"/>
      <c r="FC232" s="29"/>
      <c r="FD232" s="29"/>
      <c r="FE232" s="29"/>
      <c r="FF232" s="29"/>
      <c r="FG232" s="29"/>
      <c r="FH232" s="29"/>
      <c r="FI232" s="29"/>
      <c r="FJ232" s="29"/>
      <c r="FK232" s="29">
        <v>165</v>
      </c>
      <c r="FL232" s="1504">
        <v>41518</v>
      </c>
      <c r="FM232" s="19">
        <v>107.09304692939172</v>
      </c>
      <c r="FN232" s="93">
        <v>117.5207279975281</v>
      </c>
      <c r="FO232" s="93">
        <v>99.778135823640682</v>
      </c>
      <c r="FP232" s="93">
        <v>101.84266866836458</v>
      </c>
      <c r="FQ232" s="93">
        <v>107.13411090402498</v>
      </c>
      <c r="FR232" s="93">
        <v>98.579202267436159</v>
      </c>
      <c r="FS232" s="93">
        <v>100.86526743671104</v>
      </c>
      <c r="FT232" s="93">
        <v>105.96113652523017</v>
      </c>
      <c r="FU232" s="93">
        <v>63.619608962306451</v>
      </c>
      <c r="FV232" s="93">
        <v>96.199719475480833</v>
      </c>
      <c r="FW232" s="93">
        <v>104.37383572273448</v>
      </c>
      <c r="FX232" s="93">
        <v>116.52103063402789</v>
      </c>
      <c r="FY232" s="93">
        <v>103.9456018828116</v>
      </c>
      <c r="FZ232" s="29">
        <v>165</v>
      </c>
      <c r="GA232" s="1504">
        <v>41518</v>
      </c>
      <c r="GB232" s="733">
        <v>107.09304692939172</v>
      </c>
      <c r="GC232" s="570">
        <v>106.24521438738699</v>
      </c>
      <c r="GD232" s="570">
        <v>107.60538232916036</v>
      </c>
      <c r="GE232" s="570">
        <v>107.33176523826111</v>
      </c>
      <c r="GF232" s="570">
        <v>114.75612683556717</v>
      </c>
      <c r="GG232" s="570">
        <v>104.29427236461609</v>
      </c>
      <c r="GH232" s="93"/>
      <c r="GI232" s="93"/>
      <c r="GJ232" s="93"/>
      <c r="GK232" s="93"/>
      <c r="GL232" s="93"/>
      <c r="GM232" s="93"/>
      <c r="GN232" s="20"/>
      <c r="GO232" s="29">
        <v>165</v>
      </c>
      <c r="GP232" s="1504">
        <v>41518</v>
      </c>
      <c r="GQ232" s="19"/>
      <c r="GR232" s="93"/>
      <c r="GS232" s="93"/>
      <c r="GT232" s="93"/>
      <c r="GU232" s="93"/>
      <c r="GV232" s="20"/>
      <c r="GW232" s="19"/>
      <c r="GX232" s="93"/>
      <c r="GY232" s="93"/>
      <c r="GZ232" s="93"/>
      <c r="HA232" s="93"/>
      <c r="HB232" s="20"/>
      <c r="HC232" s="19"/>
      <c r="HD232" s="93"/>
      <c r="HE232" s="93"/>
      <c r="HF232" s="93"/>
      <c r="HG232" s="93"/>
      <c r="HH232" s="20"/>
      <c r="HI232" s="19"/>
      <c r="HJ232" s="93"/>
      <c r="HK232" s="93"/>
      <c r="HL232" s="93"/>
      <c r="HM232" s="93"/>
      <c r="HN232" s="20"/>
      <c r="HO232" s="219"/>
      <c r="HP232" s="20"/>
      <c r="HQ232" s="25"/>
      <c r="HR232" s="29">
        <v>165</v>
      </c>
      <c r="HS232" s="1504">
        <v>41518</v>
      </c>
      <c r="HT232" s="179">
        <v>247.30084838867188</v>
      </c>
      <c r="HU232" s="99">
        <v>262.15277481079102</v>
      </c>
      <c r="HV232" s="99">
        <v>200</v>
      </c>
      <c r="HW232" s="99">
        <v>133.49514770507813</v>
      </c>
      <c r="HX232" s="99">
        <v>200</v>
      </c>
      <c r="HY232" s="99">
        <v>218.25397491455078</v>
      </c>
      <c r="HZ232" s="99">
        <v>218.58528289794921</v>
      </c>
      <c r="IA232" s="132">
        <v>185.48388290405273</v>
      </c>
      <c r="IB232" s="179">
        <v>212.76596069335938</v>
      </c>
      <c r="IC232" s="99">
        <v>150</v>
      </c>
      <c r="ID232" s="99">
        <v>236.60715103149414</v>
      </c>
      <c r="IE232" s="99">
        <v>149.6176586151123</v>
      </c>
      <c r="IF232" s="99">
        <v>189.51612854003906</v>
      </c>
      <c r="IG232" s="132">
        <v>175.54644775390625</v>
      </c>
      <c r="IH232" s="179">
        <v>134.24355010986329</v>
      </c>
      <c r="II232" s="99">
        <v>194.73617553710938</v>
      </c>
      <c r="IJ232" s="99">
        <v>152.02702331542969</v>
      </c>
      <c r="IK232" s="99">
        <v>152.52708053588867</v>
      </c>
      <c r="IL232" s="99">
        <v>146.0262336730957</v>
      </c>
      <c r="IM232" s="99">
        <v>142.74193572998047</v>
      </c>
      <c r="IN232" s="93"/>
      <c r="IO232" s="132">
        <v>153.65154113769532</v>
      </c>
      <c r="IP232" s="29">
        <v>165</v>
      </c>
      <c r="IQ232" s="19"/>
      <c r="IR232" s="93"/>
      <c r="IS232" s="93"/>
      <c r="IT232" s="93"/>
      <c r="IU232" s="93"/>
      <c r="IV232" s="20"/>
      <c r="IW232" s="29">
        <v>165</v>
      </c>
      <c r="IX232" s="19"/>
      <c r="IY232" s="93"/>
      <c r="IZ232" s="93"/>
      <c r="JA232" s="93"/>
      <c r="JB232" s="93"/>
      <c r="JC232" s="93"/>
      <c r="JD232" s="93"/>
      <c r="JE232" s="20"/>
      <c r="JF232" s="29">
        <v>165</v>
      </c>
      <c r="JG232" s="19"/>
      <c r="JH232" s="93"/>
      <c r="JI232" s="93"/>
      <c r="JJ232" s="93"/>
      <c r="JK232" s="93"/>
      <c r="JL232" s="93"/>
      <c r="JM232" s="93"/>
      <c r="JN232" s="20"/>
      <c r="JO232" s="29">
        <v>165</v>
      </c>
      <c r="JP232" s="19"/>
      <c r="JQ232" s="93"/>
      <c r="JR232" s="93"/>
      <c r="JS232" s="93"/>
      <c r="JT232" s="93"/>
      <c r="JU232" s="20"/>
      <c r="JV232" s="29">
        <v>165</v>
      </c>
      <c r="JW232" s="1504">
        <v>41518</v>
      </c>
      <c r="JX232" s="19"/>
      <c r="JY232" s="93"/>
      <c r="JZ232" s="93"/>
      <c r="KA232" s="93"/>
      <c r="KB232" s="93"/>
      <c r="KC232" s="93"/>
      <c r="KD232" s="20"/>
      <c r="KE232" s="29">
        <v>165</v>
      </c>
      <c r="KF232" s="19"/>
      <c r="KG232" s="93"/>
      <c r="KH232" s="93"/>
      <c r="KI232" s="93"/>
      <c r="KJ232" s="93"/>
      <c r="KK232" s="20"/>
      <c r="KL232" s="29">
        <v>165</v>
      </c>
      <c r="KM232" s="19"/>
      <c r="KN232" s="93"/>
      <c r="KO232" s="93"/>
      <c r="KP232" s="93"/>
      <c r="KQ232" s="93"/>
      <c r="KR232" s="20"/>
      <c r="KS232" s="29">
        <v>165</v>
      </c>
      <c r="KT232" s="19"/>
      <c r="KU232" s="93"/>
      <c r="KV232" s="93"/>
      <c r="KW232" s="93"/>
      <c r="KX232" s="93"/>
      <c r="KY232" s="20"/>
      <c r="KZ232" s="29">
        <v>165</v>
      </c>
      <c r="LA232" s="1504">
        <v>41518</v>
      </c>
      <c r="LB232" s="19">
        <v>510</v>
      </c>
      <c r="LC232" s="93">
        <v>740</v>
      </c>
      <c r="LD232" s="93">
        <v>732</v>
      </c>
      <c r="LE232" s="93"/>
      <c r="LF232" s="93">
        <v>656</v>
      </c>
      <c r="LG232" s="93"/>
      <c r="LH232" s="20"/>
      <c r="LI232" s="29">
        <v>165</v>
      </c>
      <c r="LJ232" s="19"/>
      <c r="LK232" s="93"/>
      <c r="LL232" s="93"/>
      <c r="LM232" s="93"/>
      <c r="LN232" s="93"/>
      <c r="LO232" s="20"/>
      <c r="LP232" s="29">
        <v>165</v>
      </c>
      <c r="LQ232" s="19"/>
      <c r="LR232" s="93">
        <v>188</v>
      </c>
      <c r="LS232" s="93">
        <v>445</v>
      </c>
      <c r="LT232" s="93">
        <v>535</v>
      </c>
      <c r="LU232" s="93">
        <v>1070</v>
      </c>
      <c r="LV232" s="93"/>
      <c r="LW232" s="93">
        <v>5</v>
      </c>
      <c r="LX232" s="93">
        <v>10</v>
      </c>
      <c r="LY232" s="93">
        <v>60</v>
      </c>
      <c r="LZ232" s="93"/>
      <c r="MA232" s="20">
        <v>1070</v>
      </c>
      <c r="MB232" s="29">
        <v>165</v>
      </c>
      <c r="MC232" s="1504">
        <v>41518</v>
      </c>
      <c r="MD232" s="19">
        <v>144890.198167</v>
      </c>
      <c r="ME232" s="93">
        <v>76004.182499000002</v>
      </c>
      <c r="MF232" s="93">
        <v>76004.140465000004</v>
      </c>
      <c r="MG232" s="93">
        <v>63457.223151999999</v>
      </c>
      <c r="MH232" s="93">
        <v>13222.198592000001</v>
      </c>
      <c r="MI232" s="93">
        <v>516.56427399999995</v>
      </c>
      <c r="MJ232" s="93">
        <v>643.53615500000001</v>
      </c>
      <c r="MK232" s="93">
        <v>34959.973408999998</v>
      </c>
      <c r="ML232" s="93">
        <v>13276.588786</v>
      </c>
      <c r="MM232" s="93">
        <v>838.36193600000013</v>
      </c>
      <c r="MN232" s="93">
        <v>12546.917313000002</v>
      </c>
      <c r="MO232" s="93">
        <v>582.85339800000008</v>
      </c>
      <c r="MP232" s="93">
        <v>5064.7768340000002</v>
      </c>
      <c r="MQ232" s="93">
        <v>165.42937900000001</v>
      </c>
      <c r="MR232" s="93">
        <v>3012.611742</v>
      </c>
      <c r="MS232" s="93">
        <v>3721.2459599999997</v>
      </c>
      <c r="MT232" s="93">
        <v>4.2034000000000002E-2</v>
      </c>
      <c r="MU232" s="93">
        <v>68886.015667999993</v>
      </c>
      <c r="MV232" s="93">
        <v>27580.818704000001</v>
      </c>
      <c r="MW232" s="93">
        <v>41305.196964000002</v>
      </c>
      <c r="MX232" s="93">
        <v>147343.21625450003</v>
      </c>
      <c r="MY232" s="93">
        <v>147625.90032750004</v>
      </c>
      <c r="MZ232" s="93">
        <v>66701.572008500036</v>
      </c>
      <c r="NA232" s="93">
        <v>39089.425773000032</v>
      </c>
      <c r="NB232" s="93">
        <v>12808.746299999997</v>
      </c>
      <c r="NC232" s="93">
        <v>2398.6780429999985</v>
      </c>
      <c r="ND232" s="93">
        <v>1106.3296169999992</v>
      </c>
      <c r="NE232" s="93">
        <v>1292.3484259999998</v>
      </c>
      <c r="NF232" s="93">
        <v>12404.721892500005</v>
      </c>
      <c r="NG232" s="93">
        <v>70.000000500000084</v>
      </c>
      <c r="NH232" s="93">
        <v>3429.8790850000009</v>
      </c>
      <c r="NI232" s="93">
        <v>0</v>
      </c>
      <c r="NJ232" s="93">
        <v>0</v>
      </c>
      <c r="NK232" s="93">
        <v>80924.328319000007</v>
      </c>
      <c r="NL232" s="93">
        <v>46992.610164000005</v>
      </c>
      <c r="NM232" s="93">
        <v>0</v>
      </c>
      <c r="NN232" s="93">
        <v>33931.718155000002</v>
      </c>
      <c r="NO232" s="93">
        <v>-282.68407300000018</v>
      </c>
      <c r="NP232" s="93">
        <v>-2453.0180875000356</v>
      </c>
      <c r="NQ232" s="93">
        <v>-71339.03375550003</v>
      </c>
      <c r="NR232" s="93">
        <v>-35008.63755750002</v>
      </c>
      <c r="NS232" s="93">
        <v>-37407.315600500035</v>
      </c>
      <c r="NT232" s="93">
        <v>-23550.52153049998</v>
      </c>
      <c r="NU232" s="93">
        <v>-92436.53719849998</v>
      </c>
      <c r="NV232" s="93">
        <v>28264.648968999998</v>
      </c>
      <c r="NW232" s="93">
        <v>5127.0336230000012</v>
      </c>
      <c r="NX232" s="93">
        <v>6350.8994510000011</v>
      </c>
      <c r="NY232" s="93">
        <v>-1223.865828</v>
      </c>
      <c r="NZ232" s="93">
        <v>0</v>
      </c>
      <c r="OA232" s="93">
        <v>23137.615345999995</v>
      </c>
      <c r="OB232" s="93">
        <v>12205.458977999993</v>
      </c>
      <c r="OC232" s="93">
        <v>10932.156368</v>
      </c>
      <c r="OD232" s="20">
        <v>0</v>
      </c>
      <c r="OE232" s="29">
        <v>165</v>
      </c>
      <c r="OF232" s="1504">
        <v>41518</v>
      </c>
      <c r="OG232" s="19"/>
      <c r="OH232" s="93">
        <v>149.90860000000001</v>
      </c>
      <c r="OI232" s="93">
        <v>816.464327925097</v>
      </c>
      <c r="OJ232" s="93">
        <v>0.46758568300000003</v>
      </c>
      <c r="OK232" s="93">
        <v>722.4856422420969</v>
      </c>
      <c r="OL232" s="93">
        <v>93.511099999999999</v>
      </c>
      <c r="OM232" s="93">
        <v>966.37292792509697</v>
      </c>
      <c r="ON232" s="93">
        <v>808.26906308274181</v>
      </c>
      <c r="OO232" s="93">
        <v>1774.6419910078389</v>
      </c>
      <c r="OP232" s="93"/>
      <c r="OQ232" s="93">
        <v>632.72404798703565</v>
      </c>
      <c r="OR232" s="93">
        <v>132.48248956900005</v>
      </c>
      <c r="OS232" s="93">
        <v>500.24155841803542</v>
      </c>
      <c r="OT232" s="93">
        <v>1371.6879709718032</v>
      </c>
      <c r="OU232" s="93">
        <v>-76.020713815000022</v>
      </c>
      <c r="OV232" s="93">
        <v>-66.273713815000008</v>
      </c>
      <c r="OW232" s="93">
        <v>-9.7470000000000141</v>
      </c>
      <c r="OX232" s="93">
        <v>1447.7086847868034</v>
      </c>
      <c r="OY232" s="93">
        <v>4.55253788</v>
      </c>
      <c r="OZ232" s="93">
        <v>1443.1561469068033</v>
      </c>
      <c r="PA232" s="93">
        <v>278.52153248799999</v>
      </c>
      <c r="PB232" s="93">
        <v>-48.751504536999967</v>
      </c>
      <c r="PC232" s="20">
        <v>1774.6419910078389</v>
      </c>
      <c r="PD232" s="29">
        <v>165</v>
      </c>
      <c r="PE232" s="19"/>
      <c r="PF232" s="93">
        <v>132.48248956900005</v>
      </c>
      <c r="PG232" s="93">
        <v>396.76350512400006</v>
      </c>
      <c r="PH232" s="93">
        <v>264.28101555500001</v>
      </c>
      <c r="PI232" s="93">
        <v>225.92</v>
      </c>
      <c r="PJ232" s="93">
        <v>-61.751413815000006</v>
      </c>
      <c r="PK232" s="93">
        <v>133.22490317399999</v>
      </c>
      <c r="PL232" s="93">
        <v>194.976316989</v>
      </c>
      <c r="PM232" s="93">
        <v>4.55253788</v>
      </c>
      <c r="PN232" s="93">
        <v>1.028</v>
      </c>
      <c r="PO232" s="93">
        <v>0</v>
      </c>
      <c r="PP232" s="93">
        <v>5.0844400000000004E-4</v>
      </c>
      <c r="PQ232" s="93">
        <v>3.5240294360000002</v>
      </c>
      <c r="PR232" s="93">
        <v>301.10996476999998</v>
      </c>
      <c r="PS232" s="93">
        <v>195.49889999999999</v>
      </c>
      <c r="PT232" s="93">
        <v>105.143479087</v>
      </c>
      <c r="PU232" s="93">
        <v>0.46758568300000003</v>
      </c>
      <c r="PV232" s="93">
        <v>0</v>
      </c>
      <c r="PW232" s="93">
        <v>1.4417992690000001</v>
      </c>
      <c r="PX232" s="93">
        <v>0</v>
      </c>
      <c r="PY232" s="93">
        <v>0</v>
      </c>
      <c r="PZ232" s="93">
        <v>1.4417992690000001</v>
      </c>
      <c r="QA232" s="93">
        <v>0</v>
      </c>
      <c r="QB232" s="93">
        <v>0</v>
      </c>
      <c r="QC232" s="93">
        <v>0</v>
      </c>
      <c r="QD232" s="93">
        <v>0.45573321900000002</v>
      </c>
      <c r="QE232" s="20">
        <v>-1.8038836239999991</v>
      </c>
      <c r="QF232" s="1739">
        <v>165</v>
      </c>
      <c r="QG232" s="19"/>
      <c r="QH232" s="1035">
        <v>500.24155841803542</v>
      </c>
      <c r="QI232" s="1035">
        <v>690.81585309319667</v>
      </c>
      <c r="QJ232" s="1035">
        <v>-190.57429467516124</v>
      </c>
      <c r="QK232" s="1035">
        <v>129.13799999999998</v>
      </c>
      <c r="QL232" s="1035">
        <v>41.067999999999998</v>
      </c>
      <c r="QM232" s="1035">
        <v>88.07</v>
      </c>
      <c r="QN232" s="1035">
        <v>0</v>
      </c>
      <c r="QO232" s="1035">
        <v>-9.7470000000000141</v>
      </c>
      <c r="QP232" s="1035">
        <v>156.50799999999998</v>
      </c>
      <c r="QQ232" s="1035">
        <v>-166.255</v>
      </c>
      <c r="QR232" s="1035">
        <v>1443.1561469068033</v>
      </c>
      <c r="QS232" s="1035">
        <v>17.645865341689472</v>
      </c>
      <c r="QT232" s="1035">
        <v>0</v>
      </c>
      <c r="QU232" s="1035">
        <v>153.83199999999999</v>
      </c>
      <c r="QV232" s="1035">
        <v>1271.6782815651138</v>
      </c>
      <c r="QW232" s="93"/>
      <c r="QX232" s="93">
        <v>207.37100000000001</v>
      </c>
      <c r="QY232" s="93">
        <v>722.48564224209679</v>
      </c>
      <c r="QZ232" s="93">
        <v>808.2690630827417</v>
      </c>
      <c r="RA232" s="93">
        <v>0</v>
      </c>
      <c r="RB232" s="93">
        <v>31.383999999999997</v>
      </c>
      <c r="RC232" s="93">
        <v>8.5579999999999998</v>
      </c>
      <c r="RD232" s="93">
        <v>15.434000000000001</v>
      </c>
      <c r="RE232" s="93">
        <v>0</v>
      </c>
      <c r="RF232" s="93">
        <v>0</v>
      </c>
      <c r="RG232" s="93">
        <v>221.24800000000002</v>
      </c>
      <c r="RH232" s="93">
        <v>48.039000000000001</v>
      </c>
      <c r="RI232" s="93"/>
      <c r="RJ232" s="93"/>
      <c r="RK232" s="93"/>
      <c r="RL232" s="93"/>
      <c r="RM232" s="734"/>
      <c r="RN232" s="29">
        <v>165</v>
      </c>
      <c r="RO232" s="19">
        <v>96</v>
      </c>
      <c r="RP232" s="20"/>
      <c r="RQ232" s="29">
        <v>165</v>
      </c>
      <c r="RR232" s="734">
        <v>2.4122220000000003</v>
      </c>
      <c r="RS232" s="29">
        <v>165</v>
      </c>
      <c r="RT232" s="1504">
        <v>41518</v>
      </c>
      <c r="RU232" s="19"/>
      <c r="RV232" s="20"/>
      <c r="RW232" s="29">
        <v>165</v>
      </c>
      <c r="RX232" s="1504">
        <v>41518</v>
      </c>
      <c r="RY232" s="29"/>
      <c r="RZ232" s="734"/>
      <c r="SA232" s="29"/>
      <c r="SB232" s="29">
        <v>165</v>
      </c>
    </row>
    <row r="233" spans="1:496">
      <c r="A233" s="41">
        <f t="shared" si="208"/>
        <v>2013</v>
      </c>
      <c r="B233" s="1504">
        <v>41548</v>
      </c>
      <c r="C233" s="1813">
        <v>1171</v>
      </c>
      <c r="D233" s="1814">
        <v>18524</v>
      </c>
      <c r="E233" s="1814">
        <v>29</v>
      </c>
      <c r="F233" s="1815">
        <v>493</v>
      </c>
      <c r="G233" s="1814">
        <v>91753</v>
      </c>
      <c r="H233" s="1814">
        <v>24</v>
      </c>
      <c r="I233" s="1814">
        <v>36543</v>
      </c>
      <c r="J233" s="1816">
        <v>12876</v>
      </c>
      <c r="K233" s="1807">
        <v>161413</v>
      </c>
      <c r="L233" s="25">
        <v>166</v>
      </c>
      <c r="M233" s="97"/>
      <c r="N233" s="1504">
        <v>41548</v>
      </c>
      <c r="O233" s="19"/>
      <c r="P233" s="93"/>
      <c r="Q233" s="93"/>
      <c r="R233" s="93"/>
      <c r="S233" s="93"/>
      <c r="T233" s="93"/>
      <c r="U233" s="93"/>
      <c r="V233" s="93"/>
      <c r="W233" s="93"/>
      <c r="X233" s="93"/>
      <c r="Y233" s="93"/>
      <c r="Z233" s="93"/>
      <c r="AA233" s="93"/>
      <c r="AB233" s="20"/>
      <c r="AC233" s="25">
        <v>166</v>
      </c>
      <c r="AD233" s="97"/>
      <c r="AE233" s="1504">
        <v>41548</v>
      </c>
      <c r="AF233" s="19"/>
      <c r="AG233" s="93"/>
      <c r="AH233" s="93"/>
      <c r="AI233" s="93"/>
      <c r="AJ233" s="93"/>
      <c r="AK233" s="93"/>
      <c r="AL233" s="93"/>
      <c r="AM233" s="93"/>
      <c r="AN233" s="93"/>
      <c r="AO233" s="93"/>
      <c r="AP233" s="93"/>
      <c r="AQ233" s="93"/>
      <c r="AR233" s="93"/>
      <c r="AS233" s="20"/>
      <c r="AT233" s="25">
        <v>166</v>
      </c>
      <c r="AU233" s="97"/>
      <c r="AV233" s="1504">
        <v>41548</v>
      </c>
      <c r="AW233" s="19"/>
      <c r="AX233" s="93"/>
      <c r="AY233" s="93"/>
      <c r="AZ233" s="93"/>
      <c r="BA233" s="93"/>
      <c r="BB233" s="93"/>
      <c r="BC233" s="93"/>
      <c r="BD233" s="93"/>
      <c r="BE233" s="93"/>
      <c r="BF233" s="93"/>
      <c r="BG233" s="93"/>
      <c r="BH233" s="93"/>
      <c r="BI233" s="93"/>
      <c r="BJ233" s="20"/>
      <c r="BK233" s="25">
        <v>166</v>
      </c>
      <c r="BL233" s="97"/>
      <c r="BM233" s="1504">
        <v>41548</v>
      </c>
      <c r="BN233" s="19"/>
      <c r="BO233" s="93"/>
      <c r="BP233" s="93"/>
      <c r="BQ233" s="93"/>
      <c r="BR233" s="93"/>
      <c r="BS233" s="93"/>
      <c r="BT233" s="93"/>
      <c r="BU233" s="20"/>
      <c r="BV233" s="25">
        <v>166</v>
      </c>
      <c r="BW233" s="97"/>
      <c r="BX233" s="1504">
        <v>41548</v>
      </c>
      <c r="BY233" s="179">
        <v>481.08542337</v>
      </c>
      <c r="BZ233" s="99">
        <v>664.95699999999999</v>
      </c>
      <c r="CA233" s="93"/>
      <c r="CB233" s="93"/>
      <c r="CC233" s="99">
        <v>240.08083696892666</v>
      </c>
      <c r="CD233" s="25">
        <v>166</v>
      </c>
      <c r="CE233" s="97"/>
      <c r="CF233" s="1504">
        <v>41548</v>
      </c>
      <c r="CG233" s="1508">
        <v>1.9702688939999999</v>
      </c>
      <c r="CH233" s="568">
        <v>1316.58</v>
      </c>
      <c r="CI233" s="1708">
        <v>105.427134387352</v>
      </c>
      <c r="CJ233" s="1509">
        <v>109.478695652174</v>
      </c>
      <c r="CK233" s="1508">
        <v>420.43478260869603</v>
      </c>
      <c r="CL233" s="568">
        <v>201.725210909091</v>
      </c>
      <c r="CM233" s="568">
        <v>0.41145877443478301</v>
      </c>
      <c r="CN233" s="568">
        <v>0.445395184</v>
      </c>
      <c r="CO233" s="568">
        <v>325.68670496250002</v>
      </c>
      <c r="CP233" s="1509">
        <v>4.0393047639999997</v>
      </c>
      <c r="CQ233" s="1708">
        <v>1764.66</v>
      </c>
      <c r="CR233" s="568">
        <v>2</v>
      </c>
      <c r="CS233" s="568">
        <v>2.5345</v>
      </c>
      <c r="CT233" s="568">
        <v>84.375</v>
      </c>
      <c r="CU233" s="568">
        <v>132.57272727272701</v>
      </c>
      <c r="CV233" s="1709">
        <v>1884.8369565217399</v>
      </c>
      <c r="CW233" s="29">
        <v>166</v>
      </c>
      <c r="CX233" s="41">
        <f t="shared" si="209"/>
        <v>2013</v>
      </c>
      <c r="CY233" s="1504">
        <v>41548</v>
      </c>
      <c r="CZ233" s="1916">
        <v>83.622018999999995</v>
      </c>
      <c r="DA233" s="1526">
        <v>53.793697999999999</v>
      </c>
      <c r="DB233" s="1526">
        <v>29.828320999999999</v>
      </c>
      <c r="DC233" s="182">
        <f t="shared" si="216"/>
        <v>472441</v>
      </c>
      <c r="DD233" s="182">
        <f t="shared" si="217"/>
        <v>471097</v>
      </c>
      <c r="DE233" s="182">
        <f t="shared" si="218"/>
        <v>1344</v>
      </c>
      <c r="DF233" s="29">
        <v>166</v>
      </c>
      <c r="DG233" s="1504">
        <v>41548</v>
      </c>
      <c r="DH233" s="19"/>
      <c r="DI233" s="93"/>
      <c r="DJ233" s="93"/>
      <c r="DK233" s="93"/>
      <c r="DL233" s="93"/>
      <c r="DM233" s="93"/>
      <c r="DN233" s="20"/>
      <c r="DO233" s="25"/>
      <c r="DP233" s="29">
        <v>166</v>
      </c>
      <c r="DQ233" s="1504">
        <v>41548</v>
      </c>
      <c r="DR233" s="19"/>
      <c r="DS233" s="93"/>
      <c r="DT233" s="93"/>
      <c r="DU233" s="93"/>
      <c r="DV233" s="93"/>
      <c r="DW233" s="93"/>
      <c r="DX233" s="20"/>
      <c r="DY233" s="29">
        <v>166</v>
      </c>
      <c r="DZ233" s="1504">
        <v>41548</v>
      </c>
      <c r="EA233" s="179">
        <v>2441.5</v>
      </c>
      <c r="EB233" s="99">
        <v>58620.200000000004</v>
      </c>
      <c r="EC233" s="20"/>
      <c r="ED233" s="29">
        <v>166</v>
      </c>
      <c r="EE233" s="1504">
        <v>41548</v>
      </c>
      <c r="EF233" s="179">
        <v>23032</v>
      </c>
      <c r="EG233" s="99">
        <v>15786</v>
      </c>
      <c r="EH233" s="99">
        <v>38818</v>
      </c>
      <c r="EI233" s="221">
        <v>6366</v>
      </c>
      <c r="EJ233" s="99">
        <v>469.52199999999999</v>
      </c>
      <c r="EK233" s="99">
        <v>89.813000000000002</v>
      </c>
      <c r="EL233" s="99">
        <v>17.146000000000001</v>
      </c>
      <c r="EM233" s="99">
        <v>9.6289999999999996</v>
      </c>
      <c r="EN233" s="132">
        <v>586.11</v>
      </c>
      <c r="EO233" s="29">
        <v>166</v>
      </c>
      <c r="EP233" s="1504">
        <v>41548</v>
      </c>
      <c r="EQ233" s="19">
        <v>21188</v>
      </c>
      <c r="ER233" s="93">
        <v>15493</v>
      </c>
      <c r="ES233" s="93">
        <v>36681</v>
      </c>
      <c r="ET233" s="214">
        <v>6019</v>
      </c>
      <c r="EU233" s="93">
        <v>469.52199999999999</v>
      </c>
      <c r="EV233" s="93">
        <v>89.79</v>
      </c>
      <c r="EW233" s="93">
        <v>17.146000000000001</v>
      </c>
      <c r="EX233" s="93">
        <v>9.6289999999999996</v>
      </c>
      <c r="EY233" s="20">
        <v>586.08699999999999</v>
      </c>
      <c r="EZ233" s="29">
        <v>166</v>
      </c>
      <c r="FA233" s="1504">
        <v>41548</v>
      </c>
      <c r="FB233" s="29"/>
      <c r="FC233" s="29"/>
      <c r="FD233" s="29"/>
      <c r="FE233" s="29"/>
      <c r="FF233" s="29"/>
      <c r="FG233" s="29"/>
      <c r="FH233" s="29"/>
      <c r="FI233" s="29"/>
      <c r="FJ233" s="29"/>
      <c r="FK233" s="29">
        <v>166</v>
      </c>
      <c r="FL233" s="1504">
        <v>41548</v>
      </c>
      <c r="FM233" s="19">
        <v>106.88356273301554</v>
      </c>
      <c r="FN233" s="93">
        <v>115.9947083046591</v>
      </c>
      <c r="FO233" s="93">
        <v>100.6343054447738</v>
      </c>
      <c r="FP233" s="93">
        <v>101.84266866836458</v>
      </c>
      <c r="FQ233" s="93">
        <v>111.98646564969825</v>
      </c>
      <c r="FR233" s="93">
        <v>98.579202267436159</v>
      </c>
      <c r="FS233" s="93">
        <v>100.86961129769</v>
      </c>
      <c r="FT233" s="93">
        <v>105.96113652523017</v>
      </c>
      <c r="FU233" s="93">
        <v>65.287848301361933</v>
      </c>
      <c r="FV233" s="93">
        <v>96.199719475480833</v>
      </c>
      <c r="FW233" s="93">
        <v>104.37383572273448</v>
      </c>
      <c r="FX233" s="93">
        <v>113.77309340829473</v>
      </c>
      <c r="FY233" s="93">
        <v>103.9456018828116</v>
      </c>
      <c r="FZ233" s="29">
        <v>166</v>
      </c>
      <c r="GA233" s="1504">
        <v>41548</v>
      </c>
      <c r="GB233" s="733">
        <v>106.88356273301554</v>
      </c>
      <c r="GC233" s="570">
        <v>106.48300783239161</v>
      </c>
      <c r="GD233" s="570">
        <v>107.10440794966981</v>
      </c>
      <c r="GE233" s="570">
        <v>111.14619817725051</v>
      </c>
      <c r="GF233" s="570">
        <v>114.23802583877274</v>
      </c>
      <c r="GG233" s="570">
        <v>103.43591539495723</v>
      </c>
      <c r="GH233" s="93"/>
      <c r="GI233" s="93"/>
      <c r="GJ233" s="93"/>
      <c r="GK233" s="93"/>
      <c r="GL233" s="93"/>
      <c r="GM233" s="93"/>
      <c r="GN233" s="20"/>
      <c r="GO233" s="29">
        <v>166</v>
      </c>
      <c r="GP233" s="1504">
        <v>41548</v>
      </c>
      <c r="GQ233" s="19"/>
      <c r="GR233" s="93"/>
      <c r="GS233" s="93"/>
      <c r="GT233" s="93"/>
      <c r="GU233" s="93"/>
      <c r="GV233" s="20"/>
      <c r="GW233" s="19"/>
      <c r="GX233" s="93"/>
      <c r="GY233" s="93"/>
      <c r="GZ233" s="93"/>
      <c r="HA233" s="93"/>
      <c r="HB233" s="20"/>
      <c r="HC233" s="19"/>
      <c r="HD233" s="93"/>
      <c r="HE233" s="93"/>
      <c r="HF233" s="93"/>
      <c r="HG233" s="93"/>
      <c r="HH233" s="20"/>
      <c r="HI233" s="19"/>
      <c r="HJ233" s="93"/>
      <c r="HK233" s="93"/>
      <c r="HL233" s="93"/>
      <c r="HM233" s="93"/>
      <c r="HN233" s="20"/>
      <c r="HO233" s="219"/>
      <c r="HP233" s="20"/>
      <c r="HQ233" s="25"/>
      <c r="HR233" s="29">
        <v>166</v>
      </c>
      <c r="HS233" s="1504">
        <v>41548</v>
      </c>
      <c r="HT233" s="179">
        <v>241.21409797668457</v>
      </c>
      <c r="HU233" s="99">
        <v>240.01736068725586</v>
      </c>
      <c r="HV233" s="99">
        <v>195.83333206176758</v>
      </c>
      <c r="HW233" s="99">
        <v>145.63107299804688</v>
      </c>
      <c r="HX233" s="99">
        <v>196.66666564941406</v>
      </c>
      <c r="HY233" s="99">
        <v>214.84375762939453</v>
      </c>
      <c r="HZ233" s="99">
        <v>217.55545806884766</v>
      </c>
      <c r="IA233" s="132">
        <v>164.37909240722655</v>
      </c>
      <c r="IB233" s="179">
        <v>212.76596069335938</v>
      </c>
      <c r="IC233" s="99">
        <v>166.66666666666666</v>
      </c>
      <c r="ID233" s="99">
        <v>214.28572082519531</v>
      </c>
      <c r="IE233" s="99">
        <v>145.63107299804688</v>
      </c>
      <c r="IF233" s="99">
        <v>156.58394241333008</v>
      </c>
      <c r="IG233" s="132">
        <v>167.3497200012207</v>
      </c>
      <c r="IH233" s="179">
        <v>127.76225280761719</v>
      </c>
      <c r="II233" s="99">
        <v>191.37596130371094</v>
      </c>
      <c r="IJ233" s="99">
        <v>152.02702331542969</v>
      </c>
      <c r="IK233" s="99">
        <v>149.81949768066406</v>
      </c>
      <c r="IL233" s="99">
        <v>138.88888549804688</v>
      </c>
      <c r="IM233" s="99">
        <v>132.25806884765626</v>
      </c>
      <c r="IN233" s="93"/>
      <c r="IO233" s="132">
        <v>144.51225280761719</v>
      </c>
      <c r="IP233" s="29">
        <v>166</v>
      </c>
      <c r="IQ233" s="19"/>
      <c r="IR233" s="93"/>
      <c r="IS233" s="93"/>
      <c r="IT233" s="93"/>
      <c r="IU233" s="93"/>
      <c r="IV233" s="20"/>
      <c r="IW233" s="29">
        <v>166</v>
      </c>
      <c r="IX233" s="19"/>
      <c r="IY233" s="93"/>
      <c r="IZ233" s="93"/>
      <c r="JA233" s="93"/>
      <c r="JB233" s="93"/>
      <c r="JC233" s="93"/>
      <c r="JD233" s="93"/>
      <c r="JE233" s="20"/>
      <c r="JF233" s="29">
        <v>166</v>
      </c>
      <c r="JG233" s="19"/>
      <c r="JH233" s="93"/>
      <c r="JI233" s="93"/>
      <c r="JJ233" s="93"/>
      <c r="JK233" s="93"/>
      <c r="JL233" s="93"/>
      <c r="JM233" s="93"/>
      <c r="JN233" s="20"/>
      <c r="JO233" s="29">
        <v>166</v>
      </c>
      <c r="JP233" s="19"/>
      <c r="JQ233" s="93"/>
      <c r="JR233" s="93"/>
      <c r="JS233" s="93"/>
      <c r="JT233" s="93"/>
      <c r="JU233" s="20"/>
      <c r="JV233" s="29">
        <v>166</v>
      </c>
      <c r="JW233" s="1504">
        <v>41548</v>
      </c>
      <c r="JX233" s="19"/>
      <c r="JY233" s="93"/>
      <c r="JZ233" s="93"/>
      <c r="KA233" s="93"/>
      <c r="KB233" s="93"/>
      <c r="KC233" s="93"/>
      <c r="KD233" s="20"/>
      <c r="KE233" s="29">
        <v>166</v>
      </c>
      <c r="KF233" s="19"/>
      <c r="KG233" s="93"/>
      <c r="KH233" s="93"/>
      <c r="KI233" s="93"/>
      <c r="KJ233" s="93"/>
      <c r="KK233" s="20"/>
      <c r="KL233" s="29">
        <v>166</v>
      </c>
      <c r="KM233" s="19"/>
      <c r="KN233" s="93"/>
      <c r="KO233" s="93"/>
      <c r="KP233" s="93"/>
      <c r="KQ233" s="93"/>
      <c r="KR233" s="20"/>
      <c r="KS233" s="29">
        <v>166</v>
      </c>
      <c r="KT233" s="19"/>
      <c r="KU233" s="93"/>
      <c r="KV233" s="93"/>
      <c r="KW233" s="93"/>
      <c r="KX233" s="93"/>
      <c r="KY233" s="20"/>
      <c r="KZ233" s="29">
        <v>166</v>
      </c>
      <c r="LA233" s="1504">
        <v>41548</v>
      </c>
      <c r="LB233" s="19">
        <v>510</v>
      </c>
      <c r="LC233" s="93">
        <v>740</v>
      </c>
      <c r="LD233" s="93">
        <v>732</v>
      </c>
      <c r="LE233" s="93"/>
      <c r="LF233" s="93">
        <v>656</v>
      </c>
      <c r="LG233" s="93"/>
      <c r="LH233" s="20"/>
      <c r="LI233" s="29">
        <v>166</v>
      </c>
      <c r="LJ233" s="19"/>
      <c r="LK233" s="93"/>
      <c r="LL233" s="93"/>
      <c r="LM233" s="93"/>
      <c r="LN233" s="93"/>
      <c r="LO233" s="20"/>
      <c r="LP233" s="29">
        <v>166</v>
      </c>
      <c r="LQ233" s="19"/>
      <c r="LR233" s="93">
        <v>188</v>
      </c>
      <c r="LS233" s="93">
        <v>445</v>
      </c>
      <c r="LT233" s="93">
        <v>535</v>
      </c>
      <c r="LU233" s="93">
        <v>1070</v>
      </c>
      <c r="LV233" s="93"/>
      <c r="LW233" s="93">
        <v>5</v>
      </c>
      <c r="LX233" s="93">
        <v>10</v>
      </c>
      <c r="LY233" s="93">
        <v>60</v>
      </c>
      <c r="LZ233" s="93"/>
      <c r="MA233" s="20">
        <v>1070</v>
      </c>
      <c r="MB233" s="29">
        <v>166</v>
      </c>
      <c r="MC233" s="1504">
        <v>41548</v>
      </c>
      <c r="MD233" s="19">
        <v>124692.65527900001</v>
      </c>
      <c r="ME233" s="93">
        <v>102352.79649000001</v>
      </c>
      <c r="MF233" s="93">
        <v>102352.77948300001</v>
      </c>
      <c r="MG233" s="93">
        <v>91484.183919000017</v>
      </c>
      <c r="MH233" s="93">
        <v>37188.823495000004</v>
      </c>
      <c r="MI233" s="93">
        <v>642.636303</v>
      </c>
      <c r="MJ233" s="93">
        <v>565.16349700000001</v>
      </c>
      <c r="MK233" s="93">
        <v>39681.208639999997</v>
      </c>
      <c r="ML233" s="93">
        <v>12783.179113</v>
      </c>
      <c r="MM233" s="93">
        <v>623.17287099999987</v>
      </c>
      <c r="MN233" s="93">
        <v>10868.595564000001</v>
      </c>
      <c r="MO233" s="93">
        <v>445.02264200000002</v>
      </c>
      <c r="MP233" s="93">
        <v>2245.1933150000009</v>
      </c>
      <c r="MQ233" s="93">
        <v>221.83453299999999</v>
      </c>
      <c r="MR233" s="93">
        <v>4174.920032</v>
      </c>
      <c r="MS233" s="93">
        <v>3781.6250420000001</v>
      </c>
      <c r="MT233" s="93">
        <v>1.7007000000000001E-2</v>
      </c>
      <c r="MU233" s="93">
        <v>22339.858788999998</v>
      </c>
      <c r="MV233" s="93">
        <v>16414.554439</v>
      </c>
      <c r="MW233" s="93">
        <v>5925.3043499999994</v>
      </c>
      <c r="MX233" s="93">
        <v>139940.37268683332</v>
      </c>
      <c r="MY233" s="93">
        <v>139980.91260683333</v>
      </c>
      <c r="MZ233" s="93">
        <v>62187.255323833328</v>
      </c>
      <c r="NA233" s="93">
        <v>28455.94356033334</v>
      </c>
      <c r="NB233" s="93">
        <v>12352.030221000001</v>
      </c>
      <c r="NC233" s="93">
        <v>7831.0347920000004</v>
      </c>
      <c r="ND233" s="93">
        <v>5146.7861700000003</v>
      </c>
      <c r="NE233" s="93">
        <v>2684.2486220000005</v>
      </c>
      <c r="NF233" s="93">
        <v>13548.246750499979</v>
      </c>
      <c r="NG233" s="93">
        <v>149.61027249999995</v>
      </c>
      <c r="NH233" s="93">
        <v>4504.4733180000039</v>
      </c>
      <c r="NI233" s="93">
        <v>0</v>
      </c>
      <c r="NJ233" s="93">
        <v>0</v>
      </c>
      <c r="NK233" s="93">
        <v>77793.657283000008</v>
      </c>
      <c r="NL233" s="93">
        <v>55970.134631000015</v>
      </c>
      <c r="NM233" s="93">
        <v>500</v>
      </c>
      <c r="NN233" s="93">
        <v>21323.522652</v>
      </c>
      <c r="NO233" s="93">
        <v>-40.539920000001786</v>
      </c>
      <c r="NP233" s="93">
        <v>-15247.717407833308</v>
      </c>
      <c r="NQ233" s="93">
        <v>-37587.57619683331</v>
      </c>
      <c r="NR233" s="93">
        <v>-8433.0187528333208</v>
      </c>
      <c r="NS233" s="93">
        <v>-16264.053544833318</v>
      </c>
      <c r="NT233" s="93">
        <v>9793.1855141666383</v>
      </c>
      <c r="NU233" s="93">
        <v>-12546.673274833367</v>
      </c>
      <c r="NV233" s="93">
        <v>-12211.803377000006</v>
      </c>
      <c r="NW233" s="93">
        <v>-1050.5777840000001</v>
      </c>
      <c r="NX233" s="93">
        <v>4908.9682129999992</v>
      </c>
      <c r="NY233" s="93">
        <v>-5959.5459969999993</v>
      </c>
      <c r="NZ233" s="93">
        <v>0</v>
      </c>
      <c r="OA233" s="93">
        <v>-11161.225593000006</v>
      </c>
      <c r="OB233" s="93">
        <v>604.11221399999408</v>
      </c>
      <c r="OC233" s="93">
        <v>-11765.337807</v>
      </c>
      <c r="OD233" s="20">
        <v>0</v>
      </c>
      <c r="OE233" s="29">
        <v>166</v>
      </c>
      <c r="OF233" s="1504">
        <v>41548</v>
      </c>
      <c r="OG233" s="19"/>
      <c r="OH233" s="93">
        <v>146.85189999999997</v>
      </c>
      <c r="OI233" s="93">
        <v>837.61264219369673</v>
      </c>
      <c r="OJ233" s="93">
        <v>0.50838412300000002</v>
      </c>
      <c r="OK233" s="93">
        <v>744.13595807069669</v>
      </c>
      <c r="OL233" s="93">
        <v>92.968299999999999</v>
      </c>
      <c r="OM233" s="93">
        <v>984.46454219369673</v>
      </c>
      <c r="ON233" s="93">
        <v>813.54838373148414</v>
      </c>
      <c r="OO233" s="93">
        <v>1798.0129259251808</v>
      </c>
      <c r="OP233" s="93"/>
      <c r="OQ233" s="93">
        <v>622.07433312535693</v>
      </c>
      <c r="OR233" s="93">
        <v>104.65737944299997</v>
      </c>
      <c r="OS233" s="93">
        <v>517.41695368235696</v>
      </c>
      <c r="OT233" s="93">
        <v>1409.5806403838237</v>
      </c>
      <c r="OU233" s="93">
        <v>-75.728416528000025</v>
      </c>
      <c r="OV233" s="93">
        <v>-32.922416528000014</v>
      </c>
      <c r="OW233" s="93">
        <v>-42.806000000000012</v>
      </c>
      <c r="OX233" s="93">
        <v>1485.3090569118237</v>
      </c>
      <c r="OY233" s="93">
        <v>4.4356687919999995</v>
      </c>
      <c r="OZ233" s="93">
        <v>1480.8733881198239</v>
      </c>
      <c r="PA233" s="93">
        <v>284.443181751</v>
      </c>
      <c r="PB233" s="93">
        <v>-50.801134167000058</v>
      </c>
      <c r="PC233" s="20">
        <v>1798.012925925181</v>
      </c>
      <c r="PD233" s="29">
        <v>166</v>
      </c>
      <c r="PE233" s="19"/>
      <c r="PF233" s="93">
        <v>104.65737944299997</v>
      </c>
      <c r="PG233" s="93">
        <v>367.28751852799996</v>
      </c>
      <c r="PH233" s="93">
        <v>262.630139085</v>
      </c>
      <c r="PI233" s="93">
        <v>245.43</v>
      </c>
      <c r="PJ233" s="93">
        <v>-28.400116528000012</v>
      </c>
      <c r="PK233" s="93">
        <v>133.21158588699998</v>
      </c>
      <c r="PL233" s="93">
        <v>161.611702415</v>
      </c>
      <c r="PM233" s="93">
        <v>4.4356687919999995</v>
      </c>
      <c r="PN233" s="93">
        <v>0.91800000000000004</v>
      </c>
      <c r="PO233" s="93">
        <v>0</v>
      </c>
      <c r="PP233" s="93">
        <v>8.90444E-4</v>
      </c>
      <c r="PQ233" s="93">
        <v>3.5167783479999999</v>
      </c>
      <c r="PR233" s="93">
        <v>324.07106387499999</v>
      </c>
      <c r="PS233" s="93">
        <v>193.29419999999999</v>
      </c>
      <c r="PT233" s="93">
        <v>130.26847975199999</v>
      </c>
      <c r="PU233" s="93">
        <v>0.50838412300000002</v>
      </c>
      <c r="PV233" s="93">
        <v>0</v>
      </c>
      <c r="PW233" s="93">
        <v>1.0578283399999999</v>
      </c>
      <c r="PX233" s="93">
        <v>0</v>
      </c>
      <c r="PY233" s="93">
        <v>0</v>
      </c>
      <c r="PZ233" s="93">
        <v>1.0578283399999999</v>
      </c>
      <c r="QA233" s="93">
        <v>0</v>
      </c>
      <c r="QB233" s="93">
        <v>0</v>
      </c>
      <c r="QC233" s="93">
        <v>0</v>
      </c>
      <c r="QD233" s="93">
        <v>0.45235341099999998</v>
      </c>
      <c r="QE233" s="20">
        <v>0.54168608100000704</v>
      </c>
      <c r="QF233" s="1739">
        <v>166</v>
      </c>
      <c r="QG233" s="19"/>
      <c r="QH233" s="1035">
        <v>517.41695368235696</v>
      </c>
      <c r="QI233" s="1035">
        <v>695.70561188017609</v>
      </c>
      <c r="QJ233" s="1035">
        <v>-178.28865819781913</v>
      </c>
      <c r="QK233" s="1035">
        <v>167.90300000000002</v>
      </c>
      <c r="QL233" s="1035">
        <v>41.92</v>
      </c>
      <c r="QM233" s="1035">
        <v>125.983</v>
      </c>
      <c r="QN233" s="1035">
        <v>0</v>
      </c>
      <c r="QO233" s="1035">
        <v>-42.806000000000012</v>
      </c>
      <c r="QP233" s="1035">
        <v>138.62</v>
      </c>
      <c r="QQ233" s="1035">
        <v>-181.42600000000002</v>
      </c>
      <c r="QR233" s="1035">
        <v>1480.8733881198239</v>
      </c>
      <c r="QS233" s="1035">
        <v>15.559181033034637</v>
      </c>
      <c r="QT233" s="1035">
        <v>0</v>
      </c>
      <c r="QU233" s="1035">
        <v>143.11699999999999</v>
      </c>
      <c r="QV233" s="1035">
        <v>1322.1972070867891</v>
      </c>
      <c r="QW233" s="93"/>
      <c r="QX233" s="93">
        <v>245.83799999999999</v>
      </c>
      <c r="QY233" s="93">
        <v>744.13595807069669</v>
      </c>
      <c r="QZ233" s="93">
        <v>813.54838373148414</v>
      </c>
      <c r="RA233" s="93">
        <v>0</v>
      </c>
      <c r="RB233" s="93">
        <v>31.201000000000001</v>
      </c>
      <c r="RC233" s="93">
        <v>7.6490000000000009</v>
      </c>
      <c r="RD233" s="93">
        <v>14.898</v>
      </c>
      <c r="RE233" s="93">
        <v>0</v>
      </c>
      <c r="RF233" s="93">
        <v>0</v>
      </c>
      <c r="RG233" s="93">
        <v>229.185</v>
      </c>
      <c r="RH233" s="93">
        <v>36.93199999999996</v>
      </c>
      <c r="RI233" s="93"/>
      <c r="RJ233" s="93"/>
      <c r="RK233" s="93"/>
      <c r="RL233" s="93"/>
      <c r="RM233" s="734"/>
      <c r="RN233" s="29">
        <v>166</v>
      </c>
      <c r="RO233" s="19">
        <v>53</v>
      </c>
      <c r="RP233" s="20"/>
      <c r="RQ233" s="29">
        <v>166</v>
      </c>
      <c r="RR233" s="734">
        <v>2.6959539999999995</v>
      </c>
      <c r="RS233" s="29">
        <v>166</v>
      </c>
      <c r="RT233" s="1504">
        <v>41548</v>
      </c>
      <c r="RU233" s="19"/>
      <c r="RV233" s="20"/>
      <c r="RW233" s="29">
        <v>166</v>
      </c>
      <c r="RX233" s="1504">
        <v>41548</v>
      </c>
      <c r="RY233" s="29"/>
      <c r="RZ233" s="734"/>
      <c r="SA233" s="29"/>
      <c r="SB233" s="29">
        <v>166</v>
      </c>
    </row>
    <row r="234" spans="1:496">
      <c r="A234" s="41">
        <f t="shared" si="208"/>
        <v>2013</v>
      </c>
      <c r="B234" s="1504">
        <v>41579</v>
      </c>
      <c r="C234" s="1813">
        <v>1123</v>
      </c>
      <c r="D234" s="1814">
        <v>19711</v>
      </c>
      <c r="E234" s="1814">
        <v>76</v>
      </c>
      <c r="F234" s="1815">
        <v>442</v>
      </c>
      <c r="G234" s="1814">
        <v>84025</v>
      </c>
      <c r="H234" s="1814">
        <v>22</v>
      </c>
      <c r="I234" s="1814">
        <v>35588</v>
      </c>
      <c r="J234" s="1816">
        <v>9807</v>
      </c>
      <c r="K234" s="1807">
        <v>150794</v>
      </c>
      <c r="L234" s="25">
        <v>167</v>
      </c>
      <c r="M234" s="97"/>
      <c r="N234" s="1504">
        <v>41579</v>
      </c>
      <c r="O234" s="19"/>
      <c r="P234" s="93"/>
      <c r="Q234" s="93"/>
      <c r="R234" s="93"/>
      <c r="S234" s="93"/>
      <c r="T234" s="93"/>
      <c r="U234" s="93"/>
      <c r="V234" s="93"/>
      <c r="W234" s="93"/>
      <c r="X234" s="93"/>
      <c r="Y234" s="93"/>
      <c r="Z234" s="93"/>
      <c r="AA234" s="93"/>
      <c r="AB234" s="20"/>
      <c r="AC234" s="25">
        <v>167</v>
      </c>
      <c r="AD234" s="97"/>
      <c r="AE234" s="1504">
        <v>41579</v>
      </c>
      <c r="AF234" s="19"/>
      <c r="AG234" s="93"/>
      <c r="AH234" s="93"/>
      <c r="AI234" s="93"/>
      <c r="AJ234" s="93"/>
      <c r="AK234" s="93"/>
      <c r="AL234" s="93"/>
      <c r="AM234" s="93"/>
      <c r="AN234" s="93"/>
      <c r="AO234" s="93"/>
      <c r="AP234" s="93"/>
      <c r="AQ234" s="93"/>
      <c r="AR234" s="93"/>
      <c r="AS234" s="20"/>
      <c r="AT234" s="25">
        <v>167</v>
      </c>
      <c r="AU234" s="97"/>
      <c r="AV234" s="1504">
        <v>41579</v>
      </c>
      <c r="AW234" s="19"/>
      <c r="AX234" s="93"/>
      <c r="AY234" s="93"/>
      <c r="AZ234" s="93"/>
      <c r="BA234" s="93"/>
      <c r="BB234" s="93"/>
      <c r="BC234" s="93"/>
      <c r="BD234" s="93"/>
      <c r="BE234" s="93"/>
      <c r="BF234" s="93"/>
      <c r="BG234" s="93"/>
      <c r="BH234" s="93"/>
      <c r="BI234" s="93"/>
      <c r="BJ234" s="20"/>
      <c r="BK234" s="25">
        <v>167</v>
      </c>
      <c r="BL234" s="97"/>
      <c r="BM234" s="1504">
        <v>41579</v>
      </c>
      <c r="BN234" s="19"/>
      <c r="BO234" s="93"/>
      <c r="BP234" s="93"/>
      <c r="BQ234" s="93"/>
      <c r="BR234" s="93"/>
      <c r="BS234" s="93"/>
      <c r="BT234" s="93"/>
      <c r="BU234" s="20"/>
      <c r="BV234" s="25">
        <v>167</v>
      </c>
      <c r="BW234" s="97"/>
      <c r="BX234" s="1504">
        <v>41579</v>
      </c>
      <c r="BY234" s="179">
        <v>486.14941140999997</v>
      </c>
      <c r="BZ234" s="99">
        <v>664.95699999999999</v>
      </c>
      <c r="CA234" s="93"/>
      <c r="CB234" s="93"/>
      <c r="CC234" s="99">
        <v>235.88596251703979</v>
      </c>
      <c r="CD234" s="25">
        <v>167</v>
      </c>
      <c r="CE234" s="97"/>
      <c r="CF234" s="1504">
        <v>41579</v>
      </c>
      <c r="CG234" s="1508">
        <v>1.8657699059999999</v>
      </c>
      <c r="CH234" s="568">
        <v>1275.8599999999999</v>
      </c>
      <c r="CI234" s="1708">
        <v>102.62649122806999</v>
      </c>
      <c r="CJ234" s="1509">
        <v>108.07619047619001</v>
      </c>
      <c r="CK234" s="1508">
        <v>414.3</v>
      </c>
      <c r="CL234" s="568">
        <v>199.13473999999999</v>
      </c>
      <c r="CM234" s="568">
        <v>0.38937788476190499</v>
      </c>
      <c r="CN234" s="568">
        <v>0.44078291276190501</v>
      </c>
      <c r="CO234" s="568">
        <v>306.75162817894699</v>
      </c>
      <c r="CP234" s="1509">
        <v>4.137410354</v>
      </c>
      <c r="CQ234" s="1708">
        <v>1754.88</v>
      </c>
      <c r="CR234" s="568">
        <v>2.09</v>
      </c>
      <c r="CS234" s="568">
        <v>2.4895999999999998</v>
      </c>
      <c r="CT234" s="568">
        <v>87.5</v>
      </c>
      <c r="CU234" s="568">
        <v>136.32380952381001</v>
      </c>
      <c r="CV234" s="1709">
        <v>1866.4166666666699</v>
      </c>
      <c r="CW234" s="29">
        <v>167</v>
      </c>
      <c r="CX234" s="41">
        <f t="shared" si="209"/>
        <v>2013</v>
      </c>
      <c r="CY234" s="1504">
        <v>41579</v>
      </c>
      <c r="CZ234" s="1916">
        <v>95.210326133217649</v>
      </c>
      <c r="DA234" s="1526">
        <v>62.240789133217653</v>
      </c>
      <c r="DB234" s="1526">
        <v>32.969537000000003</v>
      </c>
      <c r="DC234" s="182">
        <f t="shared" si="216"/>
        <v>472441</v>
      </c>
      <c r="DD234" s="182">
        <f t="shared" si="217"/>
        <v>471097</v>
      </c>
      <c r="DE234" s="182">
        <f t="shared" si="218"/>
        <v>1344</v>
      </c>
      <c r="DF234" s="29">
        <v>167</v>
      </c>
      <c r="DG234" s="1504">
        <v>41579</v>
      </c>
      <c r="DH234" s="19"/>
      <c r="DI234" s="93"/>
      <c r="DJ234" s="93"/>
      <c r="DK234" s="93"/>
      <c r="DL234" s="93"/>
      <c r="DM234" s="93"/>
      <c r="DN234" s="20"/>
      <c r="DO234" s="25"/>
      <c r="DP234" s="29">
        <v>167</v>
      </c>
      <c r="DQ234" s="1504">
        <v>41579</v>
      </c>
      <c r="DR234" s="19"/>
      <c r="DS234" s="93"/>
      <c r="DT234" s="93"/>
      <c r="DU234" s="93"/>
      <c r="DV234" s="93"/>
      <c r="DW234" s="93"/>
      <c r="DX234" s="20"/>
      <c r="DY234" s="29">
        <v>167</v>
      </c>
      <c r="DZ234" s="1504">
        <v>41579</v>
      </c>
      <c r="EA234" s="179">
        <v>2098.5</v>
      </c>
      <c r="EB234" s="99">
        <v>58938.3</v>
      </c>
      <c r="EC234" s="20"/>
      <c r="ED234" s="29">
        <v>167</v>
      </c>
      <c r="EE234" s="1504">
        <v>41579</v>
      </c>
      <c r="EF234" s="179">
        <v>12968</v>
      </c>
      <c r="EG234" s="99">
        <v>14301</v>
      </c>
      <c r="EH234" s="99">
        <v>27269</v>
      </c>
      <c r="EI234" s="221">
        <v>3027</v>
      </c>
      <c r="EJ234" s="99">
        <v>546.32399999999996</v>
      </c>
      <c r="EK234" s="99">
        <v>94.899000000000001</v>
      </c>
      <c r="EL234" s="99">
        <v>6.9720000000000004</v>
      </c>
      <c r="EM234" s="99">
        <v>11.039</v>
      </c>
      <c r="EN234" s="132">
        <v>659.23399999999992</v>
      </c>
      <c r="EO234" s="29">
        <v>167</v>
      </c>
      <c r="EP234" s="1504">
        <v>41579</v>
      </c>
      <c r="EQ234" s="19">
        <v>12704</v>
      </c>
      <c r="ER234" s="93">
        <v>14204</v>
      </c>
      <c r="ES234" s="93">
        <v>26908</v>
      </c>
      <c r="ET234" s="214">
        <v>2732</v>
      </c>
      <c r="EU234" s="93">
        <v>546.32399999999996</v>
      </c>
      <c r="EV234" s="93">
        <v>94.899000000000001</v>
      </c>
      <c r="EW234" s="93">
        <v>6.9720000000000004</v>
      </c>
      <c r="EX234" s="93">
        <v>11.039</v>
      </c>
      <c r="EY234" s="20">
        <v>659.23400000000004</v>
      </c>
      <c r="EZ234" s="29">
        <v>167</v>
      </c>
      <c r="FA234" s="1504">
        <v>41579</v>
      </c>
      <c r="FB234" s="29"/>
      <c r="FC234" s="29"/>
      <c r="FD234" s="29"/>
      <c r="FE234" s="29"/>
      <c r="FF234" s="29"/>
      <c r="FG234" s="29"/>
      <c r="FH234" s="29"/>
      <c r="FI234" s="29"/>
      <c r="FJ234" s="29"/>
      <c r="FK234" s="29">
        <v>167</v>
      </c>
      <c r="FL234" s="1504">
        <v>41579</v>
      </c>
      <c r="FM234" s="19">
        <v>107.85338720402744</v>
      </c>
      <c r="FN234" s="93">
        <v>116.61104176356132</v>
      </c>
      <c r="FO234" s="93">
        <v>108.18401801930389</v>
      </c>
      <c r="FP234" s="93">
        <v>101.84266866836458</v>
      </c>
      <c r="FQ234" s="93">
        <v>118.48890141372109</v>
      </c>
      <c r="FR234" s="93">
        <v>98.579202267436159</v>
      </c>
      <c r="FS234" s="93">
        <v>100.86961129769</v>
      </c>
      <c r="FT234" s="93">
        <v>105.96113652523017</v>
      </c>
      <c r="FU234" s="93">
        <v>64.614974662081366</v>
      </c>
      <c r="FV234" s="93">
        <v>96.199719475480833</v>
      </c>
      <c r="FW234" s="93">
        <v>104.37383572273448</v>
      </c>
      <c r="FX234" s="93">
        <v>114.04397917058924</v>
      </c>
      <c r="FY234" s="93">
        <v>103.9456018828116</v>
      </c>
      <c r="FZ234" s="29">
        <v>167</v>
      </c>
      <c r="GA234" s="1504">
        <v>41579</v>
      </c>
      <c r="GB234" s="733">
        <v>107.85338720402744</v>
      </c>
      <c r="GC234" s="570">
        <v>106.46469826788322</v>
      </c>
      <c r="GD234" s="570">
        <v>108.7170178274359</v>
      </c>
      <c r="GE234" s="570">
        <v>116.25775874154512</v>
      </c>
      <c r="GF234" s="570">
        <v>115.35724636164444</v>
      </c>
      <c r="GG234" s="570">
        <v>103.57030359842148</v>
      </c>
      <c r="GH234" s="93"/>
      <c r="GI234" s="93"/>
      <c r="GJ234" s="93"/>
      <c r="GK234" s="93"/>
      <c r="GL234" s="93"/>
      <c r="GM234" s="93"/>
      <c r="GN234" s="20"/>
      <c r="GO234" s="29">
        <v>167</v>
      </c>
      <c r="GP234" s="1504">
        <v>41579</v>
      </c>
      <c r="GQ234" s="19"/>
      <c r="GR234" s="93"/>
      <c r="GS234" s="93"/>
      <c r="GT234" s="93"/>
      <c r="GU234" s="93"/>
      <c r="GV234" s="20"/>
      <c r="GW234" s="19"/>
      <c r="GX234" s="93"/>
      <c r="GY234" s="93"/>
      <c r="GZ234" s="93"/>
      <c r="HA234" s="93"/>
      <c r="HB234" s="20"/>
      <c r="HC234" s="19"/>
      <c r="HD234" s="93"/>
      <c r="HE234" s="93"/>
      <c r="HF234" s="93"/>
      <c r="HG234" s="93"/>
      <c r="HH234" s="20"/>
      <c r="HI234" s="19"/>
      <c r="HJ234" s="93"/>
      <c r="HK234" s="93"/>
      <c r="HL234" s="93"/>
      <c r="HM234" s="93"/>
      <c r="HN234" s="20"/>
      <c r="HO234" s="219"/>
      <c r="HP234" s="20"/>
      <c r="HQ234" s="25"/>
      <c r="HR234" s="29">
        <v>167</v>
      </c>
      <c r="HS234" s="1504">
        <v>41579</v>
      </c>
      <c r="HT234" s="179">
        <v>234.34103393554688</v>
      </c>
      <c r="HU234" s="99">
        <v>218.75</v>
      </c>
      <c r="HV234" s="99">
        <v>200</v>
      </c>
      <c r="HW234" s="99">
        <v>139.56311225891113</v>
      </c>
      <c r="HX234" s="99">
        <v>183.33332824707031</v>
      </c>
      <c r="HY234" s="99">
        <v>209.05077209472657</v>
      </c>
      <c r="HZ234" s="99">
        <v>210.17521476745605</v>
      </c>
      <c r="IA234" s="132">
        <v>181.45162200927734</v>
      </c>
      <c r="IB234" s="179">
        <v>216.60650634765625</v>
      </c>
      <c r="IC234" s="99">
        <v>175</v>
      </c>
      <c r="ID234" s="99">
        <v>202.38095601399741</v>
      </c>
      <c r="IE234" s="99">
        <v>138.33333206176758</v>
      </c>
      <c r="IF234" s="99">
        <v>176.59795379638672</v>
      </c>
      <c r="IG234" s="132">
        <v>174.30555725097656</v>
      </c>
      <c r="IH234" s="179">
        <v>118.69205760955811</v>
      </c>
      <c r="II234" s="99">
        <v>189.35983276367188</v>
      </c>
      <c r="IJ234" s="99">
        <v>143.58107757568359</v>
      </c>
      <c r="IK234" s="99">
        <v>144.40432739257813</v>
      </c>
      <c r="IL234" s="99">
        <v>138.21954040527345</v>
      </c>
      <c r="IM234" s="99">
        <v>136.84640502929688</v>
      </c>
      <c r="IN234" s="93"/>
      <c r="IO234" s="132">
        <v>144.14110565185547</v>
      </c>
      <c r="IP234" s="29">
        <v>167</v>
      </c>
      <c r="IQ234" s="19"/>
      <c r="IR234" s="93"/>
      <c r="IS234" s="93"/>
      <c r="IT234" s="93"/>
      <c r="IU234" s="93"/>
      <c r="IV234" s="20"/>
      <c r="IW234" s="29">
        <v>167</v>
      </c>
      <c r="IX234" s="19"/>
      <c r="IY234" s="93"/>
      <c r="IZ234" s="93"/>
      <c r="JA234" s="93"/>
      <c r="JB234" s="93"/>
      <c r="JC234" s="93"/>
      <c r="JD234" s="93"/>
      <c r="JE234" s="20"/>
      <c r="JF234" s="29">
        <v>167</v>
      </c>
      <c r="JG234" s="19"/>
      <c r="JH234" s="93"/>
      <c r="JI234" s="93"/>
      <c r="JJ234" s="93"/>
      <c r="JK234" s="93"/>
      <c r="JL234" s="93"/>
      <c r="JM234" s="93"/>
      <c r="JN234" s="20"/>
      <c r="JO234" s="29">
        <v>167</v>
      </c>
      <c r="JP234" s="19"/>
      <c r="JQ234" s="93"/>
      <c r="JR234" s="93"/>
      <c r="JS234" s="93"/>
      <c r="JT234" s="93"/>
      <c r="JU234" s="20"/>
      <c r="JV234" s="29">
        <v>167</v>
      </c>
      <c r="JW234" s="1504">
        <v>41579</v>
      </c>
      <c r="JX234" s="19"/>
      <c r="JY234" s="93"/>
      <c r="JZ234" s="93"/>
      <c r="KA234" s="93"/>
      <c r="KB234" s="93"/>
      <c r="KC234" s="93"/>
      <c r="KD234" s="20"/>
      <c r="KE234" s="29">
        <v>167</v>
      </c>
      <c r="KF234" s="19"/>
      <c r="KG234" s="93"/>
      <c r="KH234" s="93"/>
      <c r="KI234" s="93"/>
      <c r="KJ234" s="93"/>
      <c r="KK234" s="20"/>
      <c r="KL234" s="29">
        <v>167</v>
      </c>
      <c r="KM234" s="19"/>
      <c r="KN234" s="93"/>
      <c r="KO234" s="93"/>
      <c r="KP234" s="93"/>
      <c r="KQ234" s="93"/>
      <c r="KR234" s="20"/>
      <c r="KS234" s="29">
        <v>167</v>
      </c>
      <c r="KT234" s="19"/>
      <c r="KU234" s="93"/>
      <c r="KV234" s="93"/>
      <c r="KW234" s="93"/>
      <c r="KX234" s="93"/>
      <c r="KY234" s="20"/>
      <c r="KZ234" s="29">
        <v>167</v>
      </c>
      <c r="LA234" s="1504">
        <v>41579</v>
      </c>
      <c r="LB234" s="19">
        <v>510</v>
      </c>
      <c r="LC234" s="93">
        <v>740</v>
      </c>
      <c r="LD234" s="93">
        <v>732</v>
      </c>
      <c r="LE234" s="93"/>
      <c r="LF234" s="93">
        <v>656</v>
      </c>
      <c r="LG234" s="93"/>
      <c r="LH234" s="20"/>
      <c r="LI234" s="29">
        <v>167</v>
      </c>
      <c r="LJ234" s="19"/>
      <c r="LK234" s="93"/>
      <c r="LL234" s="93"/>
      <c r="LM234" s="93"/>
      <c r="LN234" s="93"/>
      <c r="LO234" s="20"/>
      <c r="LP234" s="29">
        <v>167</v>
      </c>
      <c r="LQ234" s="19"/>
      <c r="LR234" s="93">
        <v>188</v>
      </c>
      <c r="LS234" s="93">
        <v>445</v>
      </c>
      <c r="LT234" s="93">
        <v>535</v>
      </c>
      <c r="LU234" s="93">
        <v>1070</v>
      </c>
      <c r="LV234" s="93"/>
      <c r="LW234" s="93">
        <v>5</v>
      </c>
      <c r="LX234" s="93">
        <v>10</v>
      </c>
      <c r="LY234" s="93">
        <v>60</v>
      </c>
      <c r="LZ234" s="93"/>
      <c r="MA234" s="20">
        <v>1070</v>
      </c>
      <c r="MB234" s="29">
        <v>167</v>
      </c>
      <c r="MC234" s="1504">
        <v>41579</v>
      </c>
      <c r="MD234" s="19">
        <v>93188.253249000016</v>
      </c>
      <c r="ME234" s="93">
        <v>86966.978254000001</v>
      </c>
      <c r="MF234" s="93">
        <v>86903.840063000011</v>
      </c>
      <c r="MG234" s="93">
        <v>76327.481341000006</v>
      </c>
      <c r="MH234" s="93">
        <v>15840.012169999998</v>
      </c>
      <c r="MI234" s="93">
        <v>584.50870599999996</v>
      </c>
      <c r="MJ234" s="93">
        <v>569.56245100000001</v>
      </c>
      <c r="MK234" s="93">
        <v>44001.428429</v>
      </c>
      <c r="ML234" s="93">
        <v>14530.582098000001</v>
      </c>
      <c r="MM234" s="93">
        <v>801.38748700000008</v>
      </c>
      <c r="MN234" s="93">
        <v>10576.358721999999</v>
      </c>
      <c r="MO234" s="93">
        <v>492.47990300000004</v>
      </c>
      <c r="MP234" s="93">
        <v>4895.5553670000008</v>
      </c>
      <c r="MQ234" s="93">
        <v>143.35547100000002</v>
      </c>
      <c r="MR234" s="93">
        <v>584.29657300000008</v>
      </c>
      <c r="MS234" s="93">
        <v>4460.6714080000002</v>
      </c>
      <c r="MT234" s="93">
        <v>63.138190999999999</v>
      </c>
      <c r="MU234" s="93">
        <v>6221.2749950000007</v>
      </c>
      <c r="MV234" s="93">
        <v>6221.2749950000007</v>
      </c>
      <c r="MW234" s="93">
        <v>0</v>
      </c>
      <c r="MX234" s="93">
        <v>184188.25250442498</v>
      </c>
      <c r="MY234" s="93">
        <v>190523.43931442499</v>
      </c>
      <c r="MZ234" s="93">
        <v>91230.312342424993</v>
      </c>
      <c r="NA234" s="93">
        <v>39356.371125999984</v>
      </c>
      <c r="NB234" s="93">
        <v>9603.0515404250018</v>
      </c>
      <c r="NC234" s="93">
        <v>2841.157393</v>
      </c>
      <c r="ND234" s="93">
        <v>1232.7023370000002</v>
      </c>
      <c r="NE234" s="93">
        <v>1608.4550559999998</v>
      </c>
      <c r="NF234" s="93">
        <v>39429.732283000005</v>
      </c>
      <c r="NG234" s="93">
        <v>0</v>
      </c>
      <c r="NH234" s="93">
        <v>4188.6276449999959</v>
      </c>
      <c r="NI234" s="93">
        <v>0</v>
      </c>
      <c r="NJ234" s="93">
        <v>0</v>
      </c>
      <c r="NK234" s="93">
        <v>99293.126971999998</v>
      </c>
      <c r="NL234" s="93">
        <v>60259.804694000006</v>
      </c>
      <c r="NM234" s="93">
        <v>30670.325799999999</v>
      </c>
      <c r="NN234" s="93">
        <v>8362.9964780000009</v>
      </c>
      <c r="NO234" s="93">
        <v>-6335.186810000002</v>
      </c>
      <c r="NP234" s="93">
        <v>-90999.999255424977</v>
      </c>
      <c r="NQ234" s="93">
        <v>-97221.274250424976</v>
      </c>
      <c r="NR234" s="93">
        <v>-86017.12037942496</v>
      </c>
      <c r="NS234" s="93">
        <v>-88858.277772424961</v>
      </c>
      <c r="NT234" s="93">
        <v>-48718.654100425047</v>
      </c>
      <c r="NU234" s="93">
        <v>-54939.929095425054</v>
      </c>
      <c r="NV234" s="93">
        <v>54226.317532000023</v>
      </c>
      <c r="NW234" s="93">
        <v>-2640.3289980000004</v>
      </c>
      <c r="NX234" s="93">
        <v>2141.7214829999998</v>
      </c>
      <c r="NY234" s="93">
        <v>-4782.0504810000002</v>
      </c>
      <c r="NZ234" s="93">
        <v>0</v>
      </c>
      <c r="OA234" s="93">
        <v>56866.64653000002</v>
      </c>
      <c r="OB234" s="93">
        <v>56866.64653000002</v>
      </c>
      <c r="OC234" s="93">
        <v>0</v>
      </c>
      <c r="OD234" s="20">
        <v>0</v>
      </c>
      <c r="OE234" s="29">
        <v>167</v>
      </c>
      <c r="OF234" s="1504">
        <v>41579</v>
      </c>
      <c r="OG234" s="19"/>
      <c r="OH234" s="93">
        <v>153.57070000000002</v>
      </c>
      <c r="OI234" s="93">
        <v>908.90695598193099</v>
      </c>
      <c r="OJ234" s="93">
        <v>0.446696502</v>
      </c>
      <c r="OK234" s="93">
        <v>815.54145947993095</v>
      </c>
      <c r="OL234" s="93">
        <v>92.918800000000005</v>
      </c>
      <c r="OM234" s="93">
        <v>1062.4776559819311</v>
      </c>
      <c r="ON234" s="93">
        <v>798.17546535127804</v>
      </c>
      <c r="OO234" s="93">
        <v>1860.6531213332091</v>
      </c>
      <c r="OP234" s="93"/>
      <c r="OQ234" s="93">
        <v>609.94560460537525</v>
      </c>
      <c r="OR234" s="93">
        <v>75.973813050999922</v>
      </c>
      <c r="OS234" s="93">
        <v>533.97179155437539</v>
      </c>
      <c r="OT234" s="93">
        <v>1491.0144759958337</v>
      </c>
      <c r="OU234" s="93">
        <v>-8.6287600370000455</v>
      </c>
      <c r="OV234" s="93">
        <v>16.573239962999981</v>
      </c>
      <c r="OW234" s="93">
        <v>-25.202000000000027</v>
      </c>
      <c r="OX234" s="93">
        <v>1499.6432360328338</v>
      </c>
      <c r="OY234" s="93">
        <v>4.3751027560000004</v>
      </c>
      <c r="OZ234" s="93">
        <v>1495.2681332768336</v>
      </c>
      <c r="PA234" s="93">
        <v>292.29671495500003</v>
      </c>
      <c r="PB234" s="93">
        <v>-51.989755686999963</v>
      </c>
      <c r="PC234" s="20">
        <v>1860.6531213332091</v>
      </c>
      <c r="PD234" s="29">
        <v>167</v>
      </c>
      <c r="PE234" s="19"/>
      <c r="PF234" s="93">
        <v>75.973813050999922</v>
      </c>
      <c r="PG234" s="93">
        <v>329.83373974399996</v>
      </c>
      <c r="PH234" s="93">
        <v>253.85992669300003</v>
      </c>
      <c r="PI234" s="93">
        <v>266.42099999999999</v>
      </c>
      <c r="PJ234" s="93">
        <v>21.246739962999982</v>
      </c>
      <c r="PK234" s="93">
        <v>133.23333975199998</v>
      </c>
      <c r="PL234" s="93">
        <v>111.986599789</v>
      </c>
      <c r="PM234" s="93">
        <v>4.3751027560000004</v>
      </c>
      <c r="PN234" s="93">
        <v>0.89800000000000002</v>
      </c>
      <c r="PO234" s="93">
        <v>0</v>
      </c>
      <c r="PP234" s="93">
        <v>5.6973699999999996E-4</v>
      </c>
      <c r="PQ234" s="93">
        <v>3.4765330190000001</v>
      </c>
      <c r="PR234" s="93">
        <v>365.84524717700003</v>
      </c>
      <c r="PS234" s="93">
        <v>200.19220000000001</v>
      </c>
      <c r="PT234" s="93">
        <v>165.20635067500001</v>
      </c>
      <c r="PU234" s="93">
        <v>0.446696502</v>
      </c>
      <c r="PV234" s="93">
        <v>0</v>
      </c>
      <c r="PW234" s="93">
        <v>0.53170099400000004</v>
      </c>
      <c r="PX234" s="93">
        <v>0</v>
      </c>
      <c r="PY234" s="93">
        <v>0</v>
      </c>
      <c r="PZ234" s="93">
        <v>0.53170099400000004</v>
      </c>
      <c r="QA234" s="93">
        <v>0</v>
      </c>
      <c r="QB234" s="93">
        <v>0</v>
      </c>
      <c r="QC234" s="93">
        <v>0</v>
      </c>
      <c r="QD234" s="93">
        <v>0.45301396100000002</v>
      </c>
      <c r="QE234" s="20">
        <v>1.1866936379999999</v>
      </c>
      <c r="QF234" s="1739">
        <v>167</v>
      </c>
      <c r="QG234" s="19"/>
      <c r="QH234" s="1035">
        <v>533.97179155437539</v>
      </c>
      <c r="QI234" s="1035">
        <v>725.76786672316632</v>
      </c>
      <c r="QJ234" s="1035">
        <v>-191.79607516879091</v>
      </c>
      <c r="QK234" s="1035">
        <v>218.506</v>
      </c>
      <c r="QL234" s="1035">
        <v>41.948</v>
      </c>
      <c r="QM234" s="1035">
        <v>176.55799999999999</v>
      </c>
      <c r="QN234" s="1035">
        <v>0</v>
      </c>
      <c r="QO234" s="1035">
        <v>-25.202000000000027</v>
      </c>
      <c r="QP234" s="1035">
        <v>174.18699999999998</v>
      </c>
      <c r="QQ234" s="1035">
        <v>-199.38900000000001</v>
      </c>
      <c r="QR234" s="1035">
        <v>1495.2681332768336</v>
      </c>
      <c r="QS234" s="1035">
        <v>16.027176724531948</v>
      </c>
      <c r="QT234" s="1035">
        <v>0</v>
      </c>
      <c r="QU234" s="1035">
        <v>133.95500000000001</v>
      </c>
      <c r="QV234" s="1035">
        <v>1345.2859565523017</v>
      </c>
      <c r="QW234" s="93"/>
      <c r="QX234" s="93">
        <v>267.01</v>
      </c>
      <c r="QY234" s="93">
        <v>815.54145947993095</v>
      </c>
      <c r="QZ234" s="93">
        <v>798.17546535127804</v>
      </c>
      <c r="RA234" s="93">
        <v>0</v>
      </c>
      <c r="RB234" s="93">
        <v>35.191000000000003</v>
      </c>
      <c r="RC234" s="93">
        <v>7.6539999999999999</v>
      </c>
      <c r="RD234" s="93">
        <v>15.282</v>
      </c>
      <c r="RE234" s="93">
        <v>0</v>
      </c>
      <c r="RF234" s="93">
        <v>0</v>
      </c>
      <c r="RG234" s="93">
        <v>233.18500000000003</v>
      </c>
      <c r="RH234" s="93">
        <v>50.505000000000024</v>
      </c>
      <c r="RI234" s="93"/>
      <c r="RJ234" s="93"/>
      <c r="RK234" s="93"/>
      <c r="RL234" s="93"/>
      <c r="RM234" s="734"/>
      <c r="RN234" s="29">
        <v>167</v>
      </c>
      <c r="RO234" s="19">
        <v>38</v>
      </c>
      <c r="RP234" s="20"/>
      <c r="RQ234" s="29">
        <v>167</v>
      </c>
      <c r="RR234" s="734">
        <v>2.5188120000000001</v>
      </c>
      <c r="RS234" s="29">
        <v>167</v>
      </c>
      <c r="RT234" s="1504">
        <v>41579</v>
      </c>
      <c r="RU234" s="19"/>
      <c r="RV234" s="20"/>
      <c r="RW234" s="29">
        <v>167</v>
      </c>
      <c r="RX234" s="1504">
        <v>41579</v>
      </c>
      <c r="RY234" s="29"/>
      <c r="RZ234" s="734"/>
      <c r="SA234" s="29"/>
      <c r="SB234" s="29">
        <v>167</v>
      </c>
    </row>
    <row r="235" spans="1:496">
      <c r="A235" s="41">
        <f t="shared" si="208"/>
        <v>2013</v>
      </c>
      <c r="B235" s="1504">
        <v>41609</v>
      </c>
      <c r="C235" s="1813">
        <v>1457</v>
      </c>
      <c r="D235" s="1814">
        <v>25342</v>
      </c>
      <c r="E235" s="1814">
        <v>63</v>
      </c>
      <c r="F235" s="1815">
        <v>590</v>
      </c>
      <c r="G235" s="1814">
        <v>95748</v>
      </c>
      <c r="H235" s="1814">
        <v>24</v>
      </c>
      <c r="I235" s="1814">
        <v>38357</v>
      </c>
      <c r="J235" s="1816">
        <v>17376</v>
      </c>
      <c r="K235" s="1807">
        <v>178957</v>
      </c>
      <c r="L235" s="25">
        <v>168</v>
      </c>
      <c r="M235" s="97"/>
      <c r="N235" s="1504">
        <v>41609</v>
      </c>
      <c r="O235" s="19"/>
      <c r="P235" s="93"/>
      <c r="Q235" s="93"/>
      <c r="R235" s="93"/>
      <c r="S235" s="93"/>
      <c r="T235" s="93"/>
      <c r="U235" s="93"/>
      <c r="V235" s="93"/>
      <c r="W235" s="93"/>
      <c r="X235" s="93"/>
      <c r="Y235" s="93"/>
      <c r="Z235" s="93"/>
      <c r="AA235" s="93"/>
      <c r="AB235" s="20"/>
      <c r="AC235" s="25">
        <v>168</v>
      </c>
      <c r="AD235" s="97"/>
      <c r="AE235" s="1504">
        <v>41609</v>
      </c>
      <c r="AF235" s="19"/>
      <c r="AG235" s="93"/>
      <c r="AH235" s="93"/>
      <c r="AI235" s="93"/>
      <c r="AJ235" s="93"/>
      <c r="AK235" s="93"/>
      <c r="AL235" s="93"/>
      <c r="AM235" s="93"/>
      <c r="AN235" s="93"/>
      <c r="AO235" s="93"/>
      <c r="AP235" s="93"/>
      <c r="AQ235" s="93"/>
      <c r="AR235" s="93"/>
      <c r="AS235" s="20"/>
      <c r="AT235" s="25">
        <v>168</v>
      </c>
      <c r="AU235" s="97"/>
      <c r="AV235" s="1504">
        <v>41609</v>
      </c>
      <c r="AW235" s="19"/>
      <c r="AX235" s="93"/>
      <c r="AY235" s="93"/>
      <c r="AZ235" s="93"/>
      <c r="BA235" s="93"/>
      <c r="BB235" s="93"/>
      <c r="BC235" s="93"/>
      <c r="BD235" s="93"/>
      <c r="BE235" s="93"/>
      <c r="BF235" s="93"/>
      <c r="BG235" s="93"/>
      <c r="BH235" s="93"/>
      <c r="BI235" s="93"/>
      <c r="BJ235" s="20"/>
      <c r="BK235" s="25">
        <v>168</v>
      </c>
      <c r="BL235" s="97"/>
      <c r="BM235" s="1504">
        <v>41609</v>
      </c>
      <c r="BN235" s="19"/>
      <c r="BO235" s="93"/>
      <c r="BP235" s="93"/>
      <c r="BQ235" s="93"/>
      <c r="BR235" s="93"/>
      <c r="BS235" s="93"/>
      <c r="BT235" s="93"/>
      <c r="BU235" s="20"/>
      <c r="BV235" s="25">
        <v>168</v>
      </c>
      <c r="BW235" s="97"/>
      <c r="BX235" s="1504">
        <v>41609</v>
      </c>
      <c r="BY235" s="179">
        <v>478.67806118000004</v>
      </c>
      <c r="BZ235" s="99">
        <v>664.95699999999999</v>
      </c>
      <c r="CA235" s="93"/>
      <c r="CB235" s="93"/>
      <c r="CC235" s="99">
        <v>226.616542576515</v>
      </c>
      <c r="CD235" s="25">
        <v>168</v>
      </c>
      <c r="CE235" s="97"/>
      <c r="CF235" s="1504">
        <v>41609</v>
      </c>
      <c r="CG235" s="1508">
        <v>1.9287669224999999</v>
      </c>
      <c r="CH235" s="568">
        <v>1221.5119047619</v>
      </c>
      <c r="CI235" s="1708">
        <v>105.481650793651</v>
      </c>
      <c r="CJ235" s="1509">
        <v>110.67400000000001</v>
      </c>
      <c r="CK235" s="1508">
        <v>400.76190476190499</v>
      </c>
      <c r="CL235" s="568">
        <v>197.39115200000001</v>
      </c>
      <c r="CM235" s="568">
        <v>0.36489610457142901</v>
      </c>
      <c r="CN235" s="568">
        <v>0.44749630072727298</v>
      </c>
      <c r="CO235" s="568">
        <v>291.556647203571</v>
      </c>
      <c r="CP235" s="1509">
        <v>4.1756605110000002</v>
      </c>
      <c r="CQ235" s="1708">
        <v>1697.56</v>
      </c>
      <c r="CR235" s="568">
        <v>2.33</v>
      </c>
      <c r="CS235" s="568">
        <v>2.5585</v>
      </c>
      <c r="CT235" s="568">
        <v>96.875</v>
      </c>
      <c r="CU235" s="568">
        <v>135.790476190476</v>
      </c>
      <c r="CV235" s="1709">
        <v>1974.9749999999999</v>
      </c>
      <c r="CW235" s="29">
        <v>168</v>
      </c>
      <c r="CX235" s="41">
        <f t="shared" si="209"/>
        <v>2013</v>
      </c>
      <c r="CY235" s="1504">
        <v>41609</v>
      </c>
      <c r="CZ235" s="1916">
        <v>81.502949000000001</v>
      </c>
      <c r="DA235" s="1526">
        <v>46.874464000000003</v>
      </c>
      <c r="DB235" s="1526">
        <v>34.628484999999998</v>
      </c>
      <c r="DC235" s="182">
        <v>472441</v>
      </c>
      <c r="DD235" s="182">
        <v>471097</v>
      </c>
      <c r="DE235" s="290">
        <v>1344</v>
      </c>
      <c r="DF235" s="29">
        <v>168</v>
      </c>
      <c r="DG235" s="1504">
        <v>41609</v>
      </c>
      <c r="DH235" s="19"/>
      <c r="DI235" s="93"/>
      <c r="DJ235" s="93"/>
      <c r="DK235" s="93"/>
      <c r="DL235" s="93"/>
      <c r="DM235" s="93"/>
      <c r="DN235" s="20"/>
      <c r="DO235" s="25"/>
      <c r="DP235" s="29">
        <v>168</v>
      </c>
      <c r="DQ235" s="1504">
        <v>41609</v>
      </c>
      <c r="DR235" s="19"/>
      <c r="DS235" s="93"/>
      <c r="DT235" s="93"/>
      <c r="DU235" s="93"/>
      <c r="DV235" s="93"/>
      <c r="DW235" s="93"/>
      <c r="DX235" s="20"/>
      <c r="DY235" s="29">
        <v>168</v>
      </c>
      <c r="DZ235" s="1504">
        <v>41609</v>
      </c>
      <c r="EA235" s="179">
        <v>4508.18</v>
      </c>
      <c r="EB235" s="99">
        <v>67167.100000000006</v>
      </c>
      <c r="EC235" s="20"/>
      <c r="ED235" s="29">
        <v>168</v>
      </c>
      <c r="EE235" s="1504">
        <v>41609</v>
      </c>
      <c r="EF235" s="179">
        <v>17136</v>
      </c>
      <c r="EG235" s="99">
        <v>15307</v>
      </c>
      <c r="EH235" s="99">
        <v>32443</v>
      </c>
      <c r="EI235" s="221">
        <v>5299</v>
      </c>
      <c r="EJ235" s="99">
        <v>419.43900000000002</v>
      </c>
      <c r="EK235" s="99">
        <v>249.214</v>
      </c>
      <c r="EL235" s="99">
        <v>11.442</v>
      </c>
      <c r="EM235" s="99">
        <v>4.0229999999999997</v>
      </c>
      <c r="EN235" s="132">
        <v>684.11800000000005</v>
      </c>
      <c r="EO235" s="29">
        <v>168</v>
      </c>
      <c r="EP235" s="1504">
        <v>41609</v>
      </c>
      <c r="EQ235" s="19">
        <v>16782</v>
      </c>
      <c r="ER235" s="93">
        <v>14975</v>
      </c>
      <c r="ES235" s="93">
        <v>31757</v>
      </c>
      <c r="ET235" s="214">
        <v>4953</v>
      </c>
      <c r="EU235" s="93">
        <v>419.43900000000002</v>
      </c>
      <c r="EV235" s="93">
        <v>249.214</v>
      </c>
      <c r="EW235" s="93">
        <v>11.442</v>
      </c>
      <c r="EX235" s="93">
        <v>4.0229999999999997</v>
      </c>
      <c r="EY235" s="20">
        <v>684.11800000000005</v>
      </c>
      <c r="EZ235" s="29">
        <v>168</v>
      </c>
      <c r="FA235" s="1504">
        <v>41609</v>
      </c>
      <c r="FB235" s="29"/>
      <c r="FC235" s="29"/>
      <c r="FD235" s="29"/>
      <c r="FE235" s="29"/>
      <c r="FF235" s="29"/>
      <c r="FG235" s="29"/>
      <c r="FH235" s="29"/>
      <c r="FI235" s="29"/>
      <c r="FJ235" s="29"/>
      <c r="FK235" s="29">
        <v>168</v>
      </c>
      <c r="FL235" s="1504">
        <v>41609</v>
      </c>
      <c r="FM235" s="19">
        <v>107.26996061475766</v>
      </c>
      <c r="FN235" s="93">
        <v>114.74214654888983</v>
      </c>
      <c r="FO235" s="93">
        <v>111.68673719793547</v>
      </c>
      <c r="FP235" s="93">
        <v>101.84266866836458</v>
      </c>
      <c r="FQ235" s="93">
        <v>119.39239260597337</v>
      </c>
      <c r="FR235" s="93">
        <v>98.579202267436159</v>
      </c>
      <c r="FS235" s="93">
        <v>100.86961129769</v>
      </c>
      <c r="FT235" s="93">
        <v>105.96113652523017</v>
      </c>
      <c r="FU235" s="93">
        <v>64.041707225726569</v>
      </c>
      <c r="FV235" s="93">
        <v>96.199719475480833</v>
      </c>
      <c r="FW235" s="93">
        <v>104.37383572273448</v>
      </c>
      <c r="FX235" s="93">
        <v>113.98482547496279</v>
      </c>
      <c r="FY235" s="93">
        <v>103.9456018828116</v>
      </c>
      <c r="FZ235" s="29">
        <v>168</v>
      </c>
      <c r="GA235" s="1504">
        <v>41609</v>
      </c>
      <c r="GB235" s="733">
        <v>107.26996061475766</v>
      </c>
      <c r="GC235" s="570">
        <v>106.29588858037673</v>
      </c>
      <c r="GD235" s="570">
        <v>107.86446492842035</v>
      </c>
      <c r="GE235" s="570">
        <v>116.96799258561575</v>
      </c>
      <c r="GF235" s="570">
        <v>111.94263662675294</v>
      </c>
      <c r="GG235" s="570">
        <v>103.74885816179287</v>
      </c>
      <c r="GH235" s="93"/>
      <c r="GI235" s="93"/>
      <c r="GJ235" s="93"/>
      <c r="GK235" s="93"/>
      <c r="GL235" s="93"/>
      <c r="GM235" s="93"/>
      <c r="GN235" s="20"/>
      <c r="GO235" s="29">
        <v>168</v>
      </c>
      <c r="GP235" s="1504">
        <v>41609</v>
      </c>
      <c r="GQ235" s="19"/>
      <c r="GR235" s="93"/>
      <c r="GS235" s="93"/>
      <c r="GT235" s="93"/>
      <c r="GU235" s="93"/>
      <c r="GV235" s="20"/>
      <c r="GW235" s="19"/>
      <c r="GX235" s="93"/>
      <c r="GY235" s="93"/>
      <c r="GZ235" s="93"/>
      <c r="HA235" s="93"/>
      <c r="HB235" s="20"/>
      <c r="HC235" s="19"/>
      <c r="HD235" s="93"/>
      <c r="HE235" s="93"/>
      <c r="HF235" s="93"/>
      <c r="HG235" s="93"/>
      <c r="HH235" s="20"/>
      <c r="HI235" s="19"/>
      <c r="HJ235" s="93"/>
      <c r="HK235" s="93"/>
      <c r="HL235" s="93"/>
      <c r="HM235" s="93"/>
      <c r="HN235" s="20"/>
      <c r="HO235" s="219"/>
      <c r="HP235" s="20"/>
      <c r="HQ235" s="25"/>
      <c r="HR235" s="29">
        <v>168</v>
      </c>
      <c r="HS235" s="1504">
        <v>41609</v>
      </c>
      <c r="HT235" s="179">
        <v>213.35334432389996</v>
      </c>
      <c r="HU235" s="99">
        <v>195.38885885874433</v>
      </c>
      <c r="HV235" s="99">
        <v>165.26323339674209</v>
      </c>
      <c r="HW235" s="99">
        <v>115.35868782467314</v>
      </c>
      <c r="HX235" s="99">
        <v>162.53974750306872</v>
      </c>
      <c r="HY235" s="99">
        <v>186.86604804992677</v>
      </c>
      <c r="HZ235" s="99">
        <v>217.54249337514241</v>
      </c>
      <c r="IA235" s="132">
        <v>162.73758051130508</v>
      </c>
      <c r="IB235" s="179">
        <v>224.69672978719075</v>
      </c>
      <c r="IC235" s="99">
        <v>132.07157103220621</v>
      </c>
      <c r="ID235" s="99">
        <v>154.20467265446982</v>
      </c>
      <c r="IE235" s="99">
        <v>117.21486623552111</v>
      </c>
      <c r="IF235" s="99">
        <v>167.89202588399252</v>
      </c>
      <c r="IG235" s="132">
        <v>134.75779012044271</v>
      </c>
      <c r="IH235" s="179">
        <v>120.75702035692005</v>
      </c>
      <c r="II235" s="99">
        <v>181.91569964090982</v>
      </c>
      <c r="IJ235" s="99">
        <v>140.46784744262695</v>
      </c>
      <c r="IK235" s="99">
        <v>142.36362806955972</v>
      </c>
      <c r="IL235" s="99">
        <v>133.23636061350504</v>
      </c>
      <c r="IM235" s="99">
        <v>139.8843942006429</v>
      </c>
      <c r="IN235" s="93"/>
      <c r="IO235" s="132">
        <v>153.36301110585532</v>
      </c>
      <c r="IP235" s="29">
        <v>168</v>
      </c>
      <c r="IQ235" s="19"/>
      <c r="IR235" s="93"/>
      <c r="IS235" s="93"/>
      <c r="IT235" s="93"/>
      <c r="IU235" s="93"/>
      <c r="IV235" s="20"/>
      <c r="IW235" s="29">
        <v>168</v>
      </c>
      <c r="IX235" s="19"/>
      <c r="IY235" s="93"/>
      <c r="IZ235" s="93"/>
      <c r="JA235" s="93"/>
      <c r="JB235" s="93"/>
      <c r="JC235" s="93"/>
      <c r="JD235" s="93"/>
      <c r="JE235" s="20"/>
      <c r="JF235" s="29">
        <v>168</v>
      </c>
      <c r="JG235" s="19"/>
      <c r="JH235" s="93"/>
      <c r="JI235" s="93"/>
      <c r="JJ235" s="93"/>
      <c r="JK235" s="93"/>
      <c r="JL235" s="93"/>
      <c r="JM235" s="93"/>
      <c r="JN235" s="20"/>
      <c r="JO235" s="29">
        <v>168</v>
      </c>
      <c r="JP235" s="19"/>
      <c r="JQ235" s="93"/>
      <c r="JR235" s="93"/>
      <c r="JS235" s="93"/>
      <c r="JT235" s="93"/>
      <c r="JU235" s="20"/>
      <c r="JV235" s="29">
        <v>168</v>
      </c>
      <c r="JW235" s="1504">
        <v>41609</v>
      </c>
      <c r="JX235" s="19"/>
      <c r="JY235" s="93"/>
      <c r="JZ235" s="93"/>
      <c r="KA235" s="93"/>
      <c r="KB235" s="93"/>
      <c r="KC235" s="93"/>
      <c r="KD235" s="20"/>
      <c r="KE235" s="29">
        <v>168</v>
      </c>
      <c r="KF235" s="19"/>
      <c r="KG235" s="93"/>
      <c r="KH235" s="93"/>
      <c r="KI235" s="93"/>
      <c r="KJ235" s="93"/>
      <c r="KK235" s="20"/>
      <c r="KL235" s="29">
        <v>168</v>
      </c>
      <c r="KM235" s="19"/>
      <c r="KN235" s="93"/>
      <c r="KO235" s="93"/>
      <c r="KP235" s="93"/>
      <c r="KQ235" s="93"/>
      <c r="KR235" s="20"/>
      <c r="KS235" s="29">
        <v>168</v>
      </c>
      <c r="KT235" s="19"/>
      <c r="KU235" s="93"/>
      <c r="KV235" s="93"/>
      <c r="KW235" s="93"/>
      <c r="KX235" s="93"/>
      <c r="KY235" s="20"/>
      <c r="KZ235" s="29">
        <v>168</v>
      </c>
      <c r="LA235" s="1504">
        <v>41609</v>
      </c>
      <c r="LB235" s="19">
        <v>510</v>
      </c>
      <c r="LC235" s="93">
        <v>740</v>
      </c>
      <c r="LD235" s="93">
        <v>732</v>
      </c>
      <c r="LE235" s="93"/>
      <c r="LF235" s="93">
        <v>656</v>
      </c>
      <c r="LG235" s="93"/>
      <c r="LH235" s="20"/>
      <c r="LI235" s="29">
        <v>168</v>
      </c>
      <c r="LJ235" s="19"/>
      <c r="LK235" s="93"/>
      <c r="LL235" s="93"/>
      <c r="LM235" s="93"/>
      <c r="LN235" s="93"/>
      <c r="LO235" s="20"/>
      <c r="LP235" s="29">
        <v>168</v>
      </c>
      <c r="LQ235" s="19"/>
      <c r="LR235" s="93">
        <v>188</v>
      </c>
      <c r="LS235" s="93">
        <v>445</v>
      </c>
      <c r="LT235" s="93">
        <v>535</v>
      </c>
      <c r="LU235" s="93">
        <v>1070</v>
      </c>
      <c r="LV235" s="93"/>
      <c r="LW235" s="93">
        <v>5</v>
      </c>
      <c r="LX235" s="93">
        <v>10</v>
      </c>
      <c r="LY235" s="93">
        <v>60</v>
      </c>
      <c r="LZ235" s="93"/>
      <c r="MA235" s="20">
        <v>1070</v>
      </c>
      <c r="MB235" s="29">
        <v>168</v>
      </c>
      <c r="MC235" s="1504">
        <v>41609</v>
      </c>
      <c r="MD235" s="19">
        <v>142171.49432199995</v>
      </c>
      <c r="ME235" s="93">
        <v>102541.58172099998</v>
      </c>
      <c r="MF235" s="93">
        <v>102541.56372099998</v>
      </c>
      <c r="MG235" s="93">
        <v>87200.197994999995</v>
      </c>
      <c r="MH235" s="93">
        <v>14270.639325000002</v>
      </c>
      <c r="MI235" s="93">
        <v>540.49340300000006</v>
      </c>
      <c r="MJ235" s="93">
        <v>618.39317700000004</v>
      </c>
      <c r="MK235" s="93">
        <v>54079.741910000004</v>
      </c>
      <c r="ML235" s="93">
        <v>16993.904644999999</v>
      </c>
      <c r="MM235" s="93">
        <v>697.02553499999999</v>
      </c>
      <c r="MN235" s="93">
        <v>15341.365726</v>
      </c>
      <c r="MO235" s="93">
        <v>499.60738199999997</v>
      </c>
      <c r="MP235" s="93">
        <v>5162.4995309999995</v>
      </c>
      <c r="MQ235" s="93">
        <v>165.522111</v>
      </c>
      <c r="MR235" s="93">
        <v>20.537272000000002</v>
      </c>
      <c r="MS235" s="93">
        <v>9493.1994300000024</v>
      </c>
      <c r="MT235" s="93">
        <v>1.7999999999999999E-2</v>
      </c>
      <c r="MU235" s="93">
        <v>39629.912600999996</v>
      </c>
      <c r="MV235" s="93">
        <v>38317.998600999999</v>
      </c>
      <c r="MW235" s="93">
        <v>1311.914</v>
      </c>
      <c r="MX235" s="93">
        <v>247421.34951607502</v>
      </c>
      <c r="MY235" s="93">
        <v>246612.19401207499</v>
      </c>
      <c r="MZ235" s="93">
        <v>85396.284767074991</v>
      </c>
      <c r="NA235" s="93">
        <v>34902.349832000014</v>
      </c>
      <c r="NB235" s="93">
        <v>8814.464567574978</v>
      </c>
      <c r="NC235" s="93">
        <v>4889.180851000001</v>
      </c>
      <c r="ND235" s="93">
        <v>4220.7683999999999</v>
      </c>
      <c r="NE235" s="93">
        <v>668.41245100000015</v>
      </c>
      <c r="NF235" s="93">
        <v>36790.289516499986</v>
      </c>
      <c r="NG235" s="93">
        <v>620.43192750000026</v>
      </c>
      <c r="NH235" s="93">
        <v>4407.4137190000047</v>
      </c>
      <c r="NI235" s="93">
        <v>0</v>
      </c>
      <c r="NJ235" s="93">
        <v>0</v>
      </c>
      <c r="NK235" s="93">
        <v>161215.90924500002</v>
      </c>
      <c r="NL235" s="93">
        <v>112628.113338</v>
      </c>
      <c r="NM235" s="93">
        <v>4000.0000000000036</v>
      </c>
      <c r="NN235" s="93">
        <v>44587.795907</v>
      </c>
      <c r="NO235" s="93">
        <v>809.15550400000063</v>
      </c>
      <c r="NP235" s="93">
        <v>-105249.85519407505</v>
      </c>
      <c r="NQ235" s="93">
        <v>-144879.76779507502</v>
      </c>
      <c r="NR235" s="93">
        <v>-95402.791037075018</v>
      </c>
      <c r="NS235" s="93">
        <v>-100291.97188807503</v>
      </c>
      <c r="NT235" s="93">
        <v>-84978.198849075066</v>
      </c>
      <c r="NU235" s="93">
        <v>-124608.11145007504</v>
      </c>
      <c r="NV235" s="93">
        <v>80788.821433999998</v>
      </c>
      <c r="NW235" s="93">
        <v>5255.3950149999991</v>
      </c>
      <c r="NX235" s="93">
        <v>6269.7973059999986</v>
      </c>
      <c r="NY235" s="93">
        <v>-1014.4022909999998</v>
      </c>
      <c r="NZ235" s="93">
        <v>0</v>
      </c>
      <c r="OA235" s="93">
        <v>75533.426418999996</v>
      </c>
      <c r="OB235" s="93">
        <v>43440.349021000002</v>
      </c>
      <c r="OC235" s="93">
        <v>32093.077397999994</v>
      </c>
      <c r="OD235" s="20">
        <v>1.4901161193847657E-11</v>
      </c>
      <c r="OE235" s="29">
        <v>168</v>
      </c>
      <c r="OF235" s="1504">
        <v>41609</v>
      </c>
      <c r="OG235" s="19"/>
      <c r="OH235" s="93">
        <v>204.72139999999999</v>
      </c>
      <c r="OI235" s="93">
        <v>863.85353574860937</v>
      </c>
      <c r="OJ235" s="93">
        <v>0.47072339400000002</v>
      </c>
      <c r="OK235" s="93">
        <v>770.02791235460938</v>
      </c>
      <c r="OL235" s="93">
        <v>93.354900000000015</v>
      </c>
      <c r="OM235" s="93">
        <v>1068.5749357486093</v>
      </c>
      <c r="ON235" s="93">
        <v>809.74230847452623</v>
      </c>
      <c r="OO235" s="93">
        <v>1878.3172442231355</v>
      </c>
      <c r="OP235" s="93"/>
      <c r="OQ235" s="93">
        <v>557.72343838965639</v>
      </c>
      <c r="OR235" s="93">
        <v>39.097458574000029</v>
      </c>
      <c r="OS235" s="93">
        <v>518.62597981565659</v>
      </c>
      <c r="OT235" s="93">
        <v>1528.0606794394789</v>
      </c>
      <c r="OU235" s="93">
        <v>-34.778596777999994</v>
      </c>
      <c r="OV235" s="93">
        <v>-7.2975967780000008</v>
      </c>
      <c r="OW235" s="93">
        <v>-27.480999999999995</v>
      </c>
      <c r="OX235" s="93">
        <v>1562.839276217479</v>
      </c>
      <c r="OY235" s="93">
        <v>4.2310352040000003</v>
      </c>
      <c r="OZ235" s="93">
        <v>1558.6082410134791</v>
      </c>
      <c r="PA235" s="93">
        <v>283.19945366400003</v>
      </c>
      <c r="PB235" s="93">
        <v>-75.732580057999996</v>
      </c>
      <c r="PC235" s="20">
        <v>1878.3172442231355</v>
      </c>
      <c r="PD235" s="29">
        <v>168</v>
      </c>
      <c r="PE235" s="19"/>
      <c r="PF235" s="93">
        <v>39.097458574000029</v>
      </c>
      <c r="PG235" s="93">
        <v>291.610149116</v>
      </c>
      <c r="PH235" s="93">
        <v>252.51269054199997</v>
      </c>
      <c r="PI235" s="93">
        <v>314.55831538199999</v>
      </c>
      <c r="PJ235" s="93">
        <v>-1.0266967780000016</v>
      </c>
      <c r="PK235" s="93">
        <v>134.34783982299999</v>
      </c>
      <c r="PL235" s="93">
        <v>135.37453660099999</v>
      </c>
      <c r="PM235" s="93">
        <v>4.2310352040000003</v>
      </c>
      <c r="PN235" s="93">
        <v>0.83799999999999997</v>
      </c>
      <c r="PO235" s="93">
        <v>0</v>
      </c>
      <c r="PP235" s="93">
        <v>0</v>
      </c>
      <c r="PQ235" s="93">
        <v>3.3930352040000002</v>
      </c>
      <c r="PR235" s="93">
        <v>357.83313872900004</v>
      </c>
      <c r="PS235" s="93">
        <v>260.96030000000002</v>
      </c>
      <c r="PT235" s="93">
        <v>96.402115335000005</v>
      </c>
      <c r="PU235" s="93">
        <v>0.47072339400000002</v>
      </c>
      <c r="PV235" s="93">
        <v>0</v>
      </c>
      <c r="PW235" s="93">
        <v>1.483355175</v>
      </c>
      <c r="PX235" s="93">
        <v>0</v>
      </c>
      <c r="PY235" s="93">
        <v>0</v>
      </c>
      <c r="PZ235" s="93">
        <v>1.483355175</v>
      </c>
      <c r="QA235" s="93">
        <v>0</v>
      </c>
      <c r="QB235" s="93">
        <v>0</v>
      </c>
      <c r="QC235" s="93">
        <v>0</v>
      </c>
      <c r="QD235" s="93">
        <v>0.82209848900000004</v>
      </c>
      <c r="QE235" s="20">
        <v>-3.2784800110000001</v>
      </c>
      <c r="QF235" s="1739">
        <v>168</v>
      </c>
      <c r="QG235" s="19"/>
      <c r="QH235" s="1035">
        <v>518.62597981565659</v>
      </c>
      <c r="QI235" s="1035">
        <v>735.23575898652086</v>
      </c>
      <c r="QJ235" s="1035">
        <v>-216.60977917086433</v>
      </c>
      <c r="QK235" s="1035">
        <v>155.054</v>
      </c>
      <c r="QL235" s="1035">
        <v>49.968000000000004</v>
      </c>
      <c r="QM235" s="1035">
        <v>105.086</v>
      </c>
      <c r="QN235" s="1035">
        <v>0</v>
      </c>
      <c r="QO235" s="1035">
        <v>-27.480999999999995</v>
      </c>
      <c r="QP235" s="1035">
        <v>168.851</v>
      </c>
      <c r="QQ235" s="1035">
        <v>-196.33199999999999</v>
      </c>
      <c r="QR235" s="1035">
        <v>1558.6082410134791</v>
      </c>
      <c r="QS235" s="1035">
        <v>17.822255080833557</v>
      </c>
      <c r="QT235" s="1035">
        <v>0</v>
      </c>
      <c r="QU235" s="1035">
        <v>161.63399999999999</v>
      </c>
      <c r="QV235" s="1035">
        <v>1379.1519859326454</v>
      </c>
      <c r="QW235" s="93"/>
      <c r="QX235" s="93">
        <v>309.36099999999999</v>
      </c>
      <c r="QY235" s="93">
        <v>770.02791235460938</v>
      </c>
      <c r="QZ235" s="93">
        <v>809.74230847452623</v>
      </c>
      <c r="RA235" s="93">
        <v>0</v>
      </c>
      <c r="RB235" s="93">
        <v>34.290999999999997</v>
      </c>
      <c r="RC235" s="93">
        <v>7.6890000000000001</v>
      </c>
      <c r="RD235" s="93">
        <v>13.512</v>
      </c>
      <c r="RE235" s="93">
        <v>0</v>
      </c>
      <c r="RF235" s="93">
        <v>0</v>
      </c>
      <c r="RG235" s="93">
        <v>225.40200000000002</v>
      </c>
      <c r="RH235" s="93">
        <v>34.782000000000011</v>
      </c>
      <c r="RI235" s="93"/>
      <c r="RJ235" s="93"/>
      <c r="RK235" s="93"/>
      <c r="RL235" s="93"/>
      <c r="RM235" s="734"/>
      <c r="RN235" s="29">
        <v>168</v>
      </c>
      <c r="RO235" s="19">
        <v>88</v>
      </c>
      <c r="RP235" s="20"/>
      <c r="RQ235" s="29">
        <v>168</v>
      </c>
      <c r="RR235" s="734">
        <v>3.2499390000000004</v>
      </c>
      <c r="RS235" s="29">
        <v>168</v>
      </c>
      <c r="RT235" s="1504">
        <v>41609</v>
      </c>
      <c r="RU235" s="19"/>
      <c r="RV235" s="20"/>
      <c r="RW235" s="29">
        <v>168</v>
      </c>
      <c r="RX235" s="1504">
        <v>41609</v>
      </c>
      <c r="RY235" s="29"/>
      <c r="RZ235" s="734"/>
      <c r="SA235" s="29"/>
      <c r="SB235" s="29">
        <v>168</v>
      </c>
    </row>
    <row r="236" spans="1:496">
      <c r="A236" s="41">
        <f t="shared" si="208"/>
        <v>2014</v>
      </c>
      <c r="B236" s="1504">
        <v>41640</v>
      </c>
      <c r="C236" s="1813">
        <v>1111</v>
      </c>
      <c r="D236" s="1814">
        <v>19028</v>
      </c>
      <c r="E236" s="1814">
        <v>109</v>
      </c>
      <c r="F236" s="1815">
        <v>461</v>
      </c>
      <c r="G236" s="1814">
        <v>83540</v>
      </c>
      <c r="H236" s="1814">
        <v>22</v>
      </c>
      <c r="I236" s="1814">
        <v>28528</v>
      </c>
      <c r="J236" s="1816">
        <v>14568</v>
      </c>
      <c r="K236" s="1807">
        <v>147367</v>
      </c>
      <c r="L236" s="25">
        <v>169</v>
      </c>
      <c r="M236" s="97"/>
      <c r="N236" s="1504">
        <v>41640</v>
      </c>
      <c r="O236" s="19"/>
      <c r="P236" s="93"/>
      <c r="Q236" s="93"/>
      <c r="R236" s="93"/>
      <c r="S236" s="93"/>
      <c r="T236" s="93"/>
      <c r="U236" s="93"/>
      <c r="V236" s="93"/>
      <c r="W236" s="93"/>
      <c r="X236" s="93"/>
      <c r="Y236" s="93"/>
      <c r="Z236" s="93"/>
      <c r="AA236" s="93"/>
      <c r="AB236" s="20"/>
      <c r="AC236" s="25">
        <v>169</v>
      </c>
      <c r="AD236" s="97"/>
      <c r="AE236" s="1504">
        <v>41640</v>
      </c>
      <c r="AF236" s="19"/>
      <c r="AG236" s="93"/>
      <c r="AH236" s="93"/>
      <c r="AI236" s="93"/>
      <c r="AJ236" s="93"/>
      <c r="AK236" s="93"/>
      <c r="AL236" s="93"/>
      <c r="AM236" s="93"/>
      <c r="AN236" s="93"/>
      <c r="AO236" s="93"/>
      <c r="AP236" s="93"/>
      <c r="AQ236" s="93"/>
      <c r="AR236" s="93"/>
      <c r="AS236" s="20"/>
      <c r="AT236" s="25">
        <v>169</v>
      </c>
      <c r="AU236" s="97"/>
      <c r="AV236" s="1504">
        <v>41640</v>
      </c>
      <c r="AW236" s="19"/>
      <c r="AX236" s="93"/>
      <c r="AY236" s="93"/>
      <c r="AZ236" s="93"/>
      <c r="BA236" s="93"/>
      <c r="BB236" s="93"/>
      <c r="BC236" s="93"/>
      <c r="BD236" s="93"/>
      <c r="BE236" s="93"/>
      <c r="BF236" s="93"/>
      <c r="BG236" s="93"/>
      <c r="BH236" s="93"/>
      <c r="BI236" s="93"/>
      <c r="BJ236" s="20"/>
      <c r="BK236" s="25">
        <v>169</v>
      </c>
      <c r="BL236" s="97"/>
      <c r="BM236" s="1504">
        <v>41640</v>
      </c>
      <c r="BN236" s="19"/>
      <c r="BO236" s="93"/>
      <c r="BP236" s="93"/>
      <c r="BQ236" s="93"/>
      <c r="BR236" s="93"/>
      <c r="BS236" s="93"/>
      <c r="BT236" s="93"/>
      <c r="BU236" s="20"/>
      <c r="BV236" s="25">
        <v>169</v>
      </c>
      <c r="BW236" s="97"/>
      <c r="BX236" s="1504">
        <v>41640</v>
      </c>
      <c r="BY236" s="179">
        <v>481.95784617999999</v>
      </c>
      <c r="BZ236" s="99">
        <v>664.95699999999999</v>
      </c>
      <c r="CA236" s="93"/>
      <c r="CB236" s="93"/>
      <c r="CC236" s="99">
        <v>210.95</v>
      </c>
      <c r="CD236" s="25">
        <v>169</v>
      </c>
      <c r="CE236" s="97"/>
      <c r="CF236" s="1504">
        <v>41640</v>
      </c>
      <c r="CG236" s="1508">
        <v>2.0053223519999999</v>
      </c>
      <c r="CH236" s="568">
        <v>1244.27</v>
      </c>
      <c r="CI236" s="1708">
        <v>102.09666666666701</v>
      </c>
      <c r="CJ236" s="1509">
        <v>107.42</v>
      </c>
      <c r="CK236" s="1508">
        <v>405</v>
      </c>
      <c r="CL236" s="568">
        <v>198.06434479999999</v>
      </c>
      <c r="CM236" s="568">
        <v>0.344582106</v>
      </c>
      <c r="CN236" s="568">
        <v>0.44484571130434802</v>
      </c>
      <c r="CO236" s="568">
        <v>275.57752499999998</v>
      </c>
      <c r="CP236" s="1509">
        <v>4.1807311370000004</v>
      </c>
      <c r="CQ236" s="1708">
        <v>1560.64</v>
      </c>
      <c r="CR236" s="568">
        <v>2.5625</v>
      </c>
      <c r="CS236" s="568">
        <v>2.3445999999999998</v>
      </c>
      <c r="CT236" s="568">
        <v>97.5</v>
      </c>
      <c r="CU236" s="568">
        <v>128.119</v>
      </c>
      <c r="CV236" s="1709">
        <v>2036.93</v>
      </c>
      <c r="CW236" s="29">
        <v>169</v>
      </c>
      <c r="CX236" s="41">
        <f t="shared" si="209"/>
        <v>2014</v>
      </c>
      <c r="CY236" s="1504">
        <v>41640</v>
      </c>
      <c r="CZ236" s="1916">
        <v>86.743396000000004</v>
      </c>
      <c r="DA236" s="1526">
        <v>51.182782000000003</v>
      </c>
      <c r="DB236" s="1526">
        <v>35.560614000000001</v>
      </c>
      <c r="DC236" s="182">
        <f t="shared" ref="DC236:DC246" si="219">DC237</f>
        <v>508499</v>
      </c>
      <c r="DD236" s="182">
        <f t="shared" ref="DD236:DD246" si="220">DD237</f>
        <v>507074</v>
      </c>
      <c r="DE236" s="182">
        <f t="shared" ref="DE236:DE246" si="221">DE237</f>
        <v>1425</v>
      </c>
      <c r="DF236" s="29">
        <v>169</v>
      </c>
      <c r="DG236" s="1504">
        <v>41640</v>
      </c>
      <c r="DH236" s="19"/>
      <c r="DI236" s="93"/>
      <c r="DJ236" s="93"/>
      <c r="DK236" s="93"/>
      <c r="DL236" s="93"/>
      <c r="DM236" s="93"/>
      <c r="DN236" s="20"/>
      <c r="DO236" s="25"/>
      <c r="DP236" s="29">
        <v>169</v>
      </c>
      <c r="DQ236" s="1504">
        <v>41640</v>
      </c>
      <c r="DR236" s="19"/>
      <c r="DS236" s="93"/>
      <c r="DT236" s="93"/>
      <c r="DU236" s="93"/>
      <c r="DV236" s="93"/>
      <c r="DW236" s="93"/>
      <c r="DX236" s="20"/>
      <c r="DY236" s="29">
        <v>169</v>
      </c>
      <c r="DZ236" s="1504">
        <v>41640</v>
      </c>
      <c r="EA236" s="19"/>
      <c r="EB236" s="93"/>
      <c r="EC236" s="20"/>
      <c r="ED236" s="29"/>
      <c r="EE236" s="1504">
        <v>41640</v>
      </c>
      <c r="EF236" s="419">
        <f>(((EF235/EF234-1)+(EF234/EF233-1))^1/2+1)*EF235</f>
        <v>16145.961279738685</v>
      </c>
      <c r="EG236" s="100">
        <f t="shared" ref="EG236:EN236" si="222">(((EG235/EG234-1)+(EG234/EG233-1))^1/2+1)*EG235</f>
        <v>15125.413331347203</v>
      </c>
      <c r="EH236" s="100">
        <f t="shared" si="222"/>
        <v>30694.689690424373</v>
      </c>
      <c r="EI236" s="420">
        <f t="shared" si="222"/>
        <v>5897.9802714152584</v>
      </c>
      <c r="EJ236" s="100">
        <f t="shared" si="222"/>
        <v>405.03600579768317</v>
      </c>
      <c r="EK236" s="100">
        <f t="shared" si="222"/>
        <v>458.89343771832148</v>
      </c>
      <c r="EL236" s="100">
        <f t="shared" si="222"/>
        <v>11.715243109345614</v>
      </c>
      <c r="EM236" s="100">
        <f t="shared" si="222"/>
        <v>3.0391106515348376</v>
      </c>
      <c r="EN236" s="306">
        <f t="shared" si="222"/>
        <v>739.70546183640647</v>
      </c>
      <c r="EO236" s="29">
        <v>169</v>
      </c>
      <c r="EP236" s="1504">
        <v>41640</v>
      </c>
      <c r="EQ236" s="419">
        <f t="shared" ref="EQ236:EY240" si="223">(((EQ235/EQ234-1)+(EQ234/EQ233-1))^1/2+1)*EQ235</f>
        <v>16115.636538748229</v>
      </c>
      <c r="ER236" s="100">
        <f t="shared" si="223"/>
        <v>14758.473632501669</v>
      </c>
      <c r="ES236" s="100">
        <f t="shared" si="223"/>
        <v>30387.867082498244</v>
      </c>
      <c r="ET236" s="420">
        <f t="shared" si="223"/>
        <v>5613.8627825879348</v>
      </c>
      <c r="EU236" s="100">
        <f t="shared" si="223"/>
        <v>405.03600579768317</v>
      </c>
      <c r="EV236" s="100">
        <f t="shared" si="223"/>
        <v>458.92716371069514</v>
      </c>
      <c r="EW236" s="100">
        <f t="shared" si="223"/>
        <v>11.715243109345614</v>
      </c>
      <c r="EX236" s="100">
        <f t="shared" si="223"/>
        <v>3.0391106515348376</v>
      </c>
      <c r="EY236" s="306">
        <f t="shared" si="223"/>
        <v>739.72056010809683</v>
      </c>
      <c r="EZ236" s="29">
        <v>169</v>
      </c>
      <c r="FA236" s="1504">
        <v>41640</v>
      </c>
      <c r="FB236" s="29"/>
      <c r="FC236" s="29"/>
      <c r="FD236" s="29"/>
      <c r="FE236" s="29"/>
      <c r="FF236" s="29"/>
      <c r="FG236" s="29"/>
      <c r="FH236" s="29"/>
      <c r="FI236" s="29"/>
      <c r="FJ236" s="29"/>
      <c r="FK236" s="29">
        <v>169</v>
      </c>
      <c r="FL236" s="1504">
        <v>41640</v>
      </c>
      <c r="FM236" s="19">
        <v>106.35148023791686</v>
      </c>
      <c r="FN236" s="93">
        <v>113.5364896627806</v>
      </c>
      <c r="FO236" s="93">
        <v>105.53776257158859</v>
      </c>
      <c r="FP236" s="93">
        <v>101.84396866784725</v>
      </c>
      <c r="FQ236" s="93">
        <v>114.81666931955201</v>
      </c>
      <c r="FR236" s="93">
        <v>98.67672042276908</v>
      </c>
      <c r="FS236" s="93">
        <v>100.86961129769</v>
      </c>
      <c r="FT236" s="93">
        <v>106.06666240405443</v>
      </c>
      <c r="FU236" s="93">
        <v>65.287848301361933</v>
      </c>
      <c r="FV236" s="93">
        <v>96.196255425336787</v>
      </c>
      <c r="FW236" s="93">
        <v>104.37383572273448</v>
      </c>
      <c r="FX236" s="93">
        <v>113.68775943189426</v>
      </c>
      <c r="FY236" s="93">
        <v>103.98017542629509</v>
      </c>
      <c r="FZ236" s="29">
        <v>169</v>
      </c>
      <c r="GA236" s="1504">
        <v>41640</v>
      </c>
      <c r="GB236" s="19">
        <v>106.4</v>
      </c>
      <c r="GC236" s="93">
        <v>106.2</v>
      </c>
      <c r="GD236" s="93">
        <v>106.4</v>
      </c>
      <c r="GE236" s="93">
        <v>113.5</v>
      </c>
      <c r="GF236" s="93">
        <v>108.9</v>
      </c>
      <c r="GG236" s="93">
        <v>106.4</v>
      </c>
      <c r="GH236" s="93"/>
      <c r="GI236" s="93"/>
      <c r="GJ236" s="93"/>
      <c r="GK236" s="93"/>
      <c r="GL236" s="93"/>
      <c r="GM236" s="93"/>
      <c r="GN236" s="20"/>
      <c r="GO236" s="29">
        <v>169</v>
      </c>
      <c r="GP236" s="1504">
        <v>41640</v>
      </c>
      <c r="GQ236" s="19"/>
      <c r="GR236" s="93"/>
      <c r="GS236" s="93"/>
      <c r="GT236" s="93"/>
      <c r="GU236" s="93"/>
      <c r="GV236" s="20"/>
      <c r="GW236" s="19"/>
      <c r="GX236" s="93"/>
      <c r="GY236" s="93"/>
      <c r="GZ236" s="93"/>
      <c r="HA236" s="93"/>
      <c r="HB236" s="20"/>
      <c r="HC236" s="19"/>
      <c r="HD236" s="93"/>
      <c r="HE236" s="93"/>
      <c r="HF236" s="93"/>
      <c r="HG236" s="93"/>
      <c r="HH236" s="20"/>
      <c r="HI236" s="19"/>
      <c r="HJ236" s="93"/>
      <c r="HK236" s="93"/>
      <c r="HL236" s="93"/>
      <c r="HM236" s="93"/>
      <c r="HN236" s="20"/>
      <c r="HO236" s="219"/>
      <c r="HP236" s="20"/>
      <c r="HQ236" s="25"/>
      <c r="HR236" s="29">
        <v>169</v>
      </c>
      <c r="HS236" s="1504">
        <v>41640</v>
      </c>
      <c r="HT236" s="179">
        <v>227.99276924133301</v>
      </c>
      <c r="HU236" s="99">
        <v>242.1875</v>
      </c>
      <c r="HV236" s="99">
        <v>200</v>
      </c>
      <c r="HW236" s="99">
        <v>154.73301696777344</v>
      </c>
      <c r="HX236" s="99">
        <v>183.33332824707031</v>
      </c>
      <c r="HY236" s="99">
        <v>219.54484558105469</v>
      </c>
      <c r="HZ236" s="99">
        <v>212.63529586791992</v>
      </c>
      <c r="IA236" s="132">
        <v>169.93464660644531</v>
      </c>
      <c r="IB236" s="179">
        <v>205.05415039062501</v>
      </c>
      <c r="IC236" s="99">
        <v>150</v>
      </c>
      <c r="ID236" s="99">
        <v>151.78572082519531</v>
      </c>
      <c r="IE236" s="99">
        <v>155.33980941772461</v>
      </c>
      <c r="IF236" s="99">
        <v>166.13923645019531</v>
      </c>
      <c r="IG236" s="132">
        <v>161.09626007080078</v>
      </c>
      <c r="IH236" s="179">
        <v>117.88194561004639</v>
      </c>
      <c r="II236" s="99">
        <v>207.0830135345459</v>
      </c>
      <c r="IJ236" s="99">
        <v>152.02702331542969</v>
      </c>
      <c r="IK236" s="99">
        <v>144.40432739257813</v>
      </c>
      <c r="IL236" s="99">
        <v>137.21552276611328</v>
      </c>
      <c r="IM236" s="99">
        <v>123.3871021270752</v>
      </c>
      <c r="IN236" s="93"/>
      <c r="IO236" s="132">
        <v>144.51225280761719</v>
      </c>
      <c r="IP236" s="29">
        <v>169</v>
      </c>
      <c r="IQ236" s="19"/>
      <c r="IR236" s="93"/>
      <c r="IS236" s="93"/>
      <c r="IT236" s="93"/>
      <c r="IU236" s="93"/>
      <c r="IV236" s="20"/>
      <c r="IW236" s="29">
        <v>169</v>
      </c>
      <c r="IX236" s="19"/>
      <c r="IY236" s="93"/>
      <c r="IZ236" s="93"/>
      <c r="JA236" s="93"/>
      <c r="JB236" s="93"/>
      <c r="JC236" s="93"/>
      <c r="JD236" s="93"/>
      <c r="JE236" s="20"/>
      <c r="JF236" s="29">
        <v>169</v>
      </c>
      <c r="JG236" s="19"/>
      <c r="JH236" s="93"/>
      <c r="JI236" s="93"/>
      <c r="JJ236" s="93"/>
      <c r="JK236" s="93"/>
      <c r="JL236" s="93"/>
      <c r="JM236" s="93"/>
      <c r="JN236" s="20"/>
      <c r="JO236" s="29">
        <v>169</v>
      </c>
      <c r="JP236" s="19"/>
      <c r="JQ236" s="93"/>
      <c r="JR236" s="93"/>
      <c r="JS236" s="93"/>
      <c r="JT236" s="93"/>
      <c r="JU236" s="20"/>
      <c r="JV236" s="29">
        <v>169</v>
      </c>
      <c r="JW236" s="1504">
        <v>41640</v>
      </c>
      <c r="JX236" s="19"/>
      <c r="JY236" s="93"/>
      <c r="JZ236" s="93"/>
      <c r="KA236" s="93"/>
      <c r="KB236" s="93"/>
      <c r="KC236" s="93"/>
      <c r="KD236" s="20"/>
      <c r="KE236" s="29">
        <v>169</v>
      </c>
      <c r="KF236" s="19"/>
      <c r="KG236" s="93"/>
      <c r="KH236" s="93"/>
      <c r="KI236" s="93"/>
      <c r="KJ236" s="93"/>
      <c r="KK236" s="20"/>
      <c r="KL236" s="29">
        <v>169</v>
      </c>
      <c r="KM236" s="19"/>
      <c r="KN236" s="93"/>
      <c r="KO236" s="93"/>
      <c r="KP236" s="93"/>
      <c r="KQ236" s="93"/>
      <c r="KR236" s="20"/>
      <c r="KS236" s="29">
        <v>169</v>
      </c>
      <c r="KT236" s="19"/>
      <c r="KU236" s="93"/>
      <c r="KV236" s="93"/>
      <c r="KW236" s="93"/>
      <c r="KX236" s="93"/>
      <c r="KY236" s="20"/>
      <c r="KZ236" s="29">
        <v>169</v>
      </c>
      <c r="LA236" s="1504">
        <v>41640</v>
      </c>
      <c r="LB236" s="19">
        <v>510</v>
      </c>
      <c r="LC236" s="93">
        <v>740</v>
      </c>
      <c r="LD236" s="93">
        <v>732</v>
      </c>
      <c r="LE236" s="93"/>
      <c r="LF236" s="93">
        <v>656</v>
      </c>
      <c r="LG236" s="93"/>
      <c r="LH236" s="20"/>
      <c r="LI236" s="29">
        <v>169</v>
      </c>
      <c r="LJ236" s="19"/>
      <c r="LK236" s="93"/>
      <c r="LL236" s="93"/>
      <c r="LM236" s="93"/>
      <c r="LN236" s="93"/>
      <c r="LO236" s="20"/>
      <c r="LP236" s="29">
        <v>169</v>
      </c>
      <c r="LQ236" s="19"/>
      <c r="LR236" s="93">
        <v>188</v>
      </c>
      <c r="LS236" s="93">
        <v>445</v>
      </c>
      <c r="LT236" s="93">
        <v>535</v>
      </c>
      <c r="LU236" s="93">
        <v>1070</v>
      </c>
      <c r="LV236" s="93"/>
      <c r="LW236" s="93">
        <v>5</v>
      </c>
      <c r="LX236" s="93">
        <v>10</v>
      </c>
      <c r="LY236" s="93">
        <v>60</v>
      </c>
      <c r="LZ236" s="93"/>
      <c r="MA236" s="20">
        <v>1070</v>
      </c>
      <c r="MB236" s="29">
        <v>169</v>
      </c>
      <c r="MC236" s="1504">
        <v>41640</v>
      </c>
      <c r="MD236" s="19"/>
      <c r="ME236" s="93"/>
      <c r="MF236" s="93"/>
      <c r="MG236" s="93"/>
      <c r="MH236" s="93"/>
      <c r="MI236" s="93"/>
      <c r="MJ236" s="93"/>
      <c r="MK236" s="93"/>
      <c r="ML236" s="93"/>
      <c r="MM236" s="93"/>
      <c r="MN236" s="93"/>
      <c r="MO236" s="93"/>
      <c r="MP236" s="93"/>
      <c r="MQ236" s="93"/>
      <c r="MR236" s="93"/>
      <c r="MS236" s="93"/>
      <c r="MT236" s="93"/>
      <c r="MU236" s="93"/>
      <c r="MV236" s="93"/>
      <c r="MW236" s="93"/>
      <c r="MX236" s="93"/>
      <c r="MY236" s="93"/>
      <c r="MZ236" s="93"/>
      <c r="NA236" s="93"/>
      <c r="NB236" s="93"/>
      <c r="NC236" s="93"/>
      <c r="ND236" s="93"/>
      <c r="NE236" s="93"/>
      <c r="NF236" s="93"/>
      <c r="NG236" s="93"/>
      <c r="NH236" s="93"/>
      <c r="NI236" s="93"/>
      <c r="NJ236" s="93"/>
      <c r="NK236" s="93"/>
      <c r="NL236" s="93"/>
      <c r="NM236" s="93"/>
      <c r="NN236" s="93"/>
      <c r="NO236" s="93"/>
      <c r="NP236" s="93"/>
      <c r="NQ236" s="93"/>
      <c r="NR236" s="93"/>
      <c r="NS236" s="93"/>
      <c r="NT236" s="93"/>
      <c r="NU236" s="93"/>
      <c r="NV236" s="93"/>
      <c r="NW236" s="93"/>
      <c r="NX236" s="93"/>
      <c r="NY236" s="93"/>
      <c r="NZ236" s="93"/>
      <c r="OA236" s="93"/>
      <c r="OB236" s="93"/>
      <c r="OC236" s="93"/>
      <c r="OD236" s="20"/>
      <c r="OE236" s="29">
        <v>169</v>
      </c>
      <c r="OF236" s="1504">
        <v>41640</v>
      </c>
      <c r="OG236" s="19"/>
      <c r="OH236" s="93">
        <v>175.0898</v>
      </c>
      <c r="OI236" s="93">
        <v>866.0368615417658</v>
      </c>
      <c r="OJ236" s="93">
        <v>0.51317104400000002</v>
      </c>
      <c r="OK236" s="93">
        <v>732.59019049776578</v>
      </c>
      <c r="OL236" s="93">
        <v>132.93350000000001</v>
      </c>
      <c r="OM236" s="93">
        <v>1041.1266615417658</v>
      </c>
      <c r="ON236" s="93">
        <v>824.15557968782537</v>
      </c>
      <c r="OO236" s="93">
        <v>1865.2822412295911</v>
      </c>
      <c r="OP236" s="93"/>
      <c r="OQ236" s="93">
        <v>571.81438653508133</v>
      </c>
      <c r="OR236" s="93">
        <v>53.076532870000051</v>
      </c>
      <c r="OS236" s="93">
        <v>518.73785366508116</v>
      </c>
      <c r="OT236" s="93">
        <v>1492.0200676545098</v>
      </c>
      <c r="OU236" s="93">
        <v>-91.685997716000031</v>
      </c>
      <c r="OV236" s="93">
        <v>-69.169997716000012</v>
      </c>
      <c r="OW236" s="93">
        <v>-22.51600000000002</v>
      </c>
      <c r="OX236" s="93">
        <v>1583.7060653705098</v>
      </c>
      <c r="OY236" s="93">
        <v>4.1881488500000001</v>
      </c>
      <c r="OZ236" s="93">
        <v>1579.51791652051</v>
      </c>
      <c r="PA236" s="93">
        <v>296.147069907</v>
      </c>
      <c r="PB236" s="93">
        <v>-97.594856946999982</v>
      </c>
      <c r="PC236" s="20">
        <v>1865.2822412295911</v>
      </c>
      <c r="PD236" s="29">
        <v>169</v>
      </c>
      <c r="PE236" s="19"/>
      <c r="PF236" s="93">
        <v>53.076532870000051</v>
      </c>
      <c r="PG236" s="93">
        <v>305.16797231800001</v>
      </c>
      <c r="PH236" s="93">
        <v>252.09143944799996</v>
      </c>
      <c r="PI236" s="93">
        <v>331.63</v>
      </c>
      <c r="PJ236" s="93">
        <v>-64.594497716000006</v>
      </c>
      <c r="PK236" s="93">
        <v>135.714142928</v>
      </c>
      <c r="PL236" s="93">
        <v>200.30864064400001</v>
      </c>
      <c r="PM236" s="93">
        <v>4.1881488500000001</v>
      </c>
      <c r="PN236" s="93">
        <v>0.82799999999999996</v>
      </c>
      <c r="PO236" s="93">
        <v>0</v>
      </c>
      <c r="PP236" s="93">
        <v>8.1622400000000005E-4</v>
      </c>
      <c r="PQ236" s="93">
        <v>3.359332626</v>
      </c>
      <c r="PR236" s="93">
        <v>321.07241484699995</v>
      </c>
      <c r="PS236" s="93">
        <v>228.62129999999999</v>
      </c>
      <c r="PT236" s="93">
        <v>91.937943802999996</v>
      </c>
      <c r="PU236" s="93">
        <v>0.51317104400000002</v>
      </c>
      <c r="PV236" s="93">
        <v>0</v>
      </c>
      <c r="PW236" s="93">
        <v>1.3228326379999999</v>
      </c>
      <c r="PX236" s="93">
        <v>0</v>
      </c>
      <c r="PY236" s="93">
        <v>0</v>
      </c>
      <c r="PZ236" s="93">
        <v>1.3228326379999999</v>
      </c>
      <c r="QA236" s="93">
        <v>0</v>
      </c>
      <c r="QB236" s="93">
        <v>0</v>
      </c>
      <c r="QC236" s="93">
        <v>0</v>
      </c>
      <c r="QD236" s="93">
        <v>0.65523726900000001</v>
      </c>
      <c r="QE236" s="20">
        <v>1.2496992500000077</v>
      </c>
      <c r="QF236" s="1739">
        <v>169</v>
      </c>
      <c r="QG236" s="19"/>
      <c r="QH236" s="1035">
        <v>518.73785366508116</v>
      </c>
      <c r="QI236" s="1035">
        <v>738.25708347949001</v>
      </c>
      <c r="QJ236" s="1035">
        <v>-219.51922981440885</v>
      </c>
      <c r="QK236" s="1035">
        <v>154.01900000000001</v>
      </c>
      <c r="QL236" s="1035">
        <v>48.956000000000003</v>
      </c>
      <c r="QM236" s="1035">
        <v>105.063</v>
      </c>
      <c r="QN236" s="1035">
        <v>0</v>
      </c>
      <c r="QO236" s="1035">
        <v>-22.51600000000002</v>
      </c>
      <c r="QP236" s="1035">
        <v>183.202</v>
      </c>
      <c r="QQ236" s="1035">
        <v>-205.71800000000002</v>
      </c>
      <c r="QR236" s="1035">
        <v>1579.51791652051</v>
      </c>
      <c r="QS236" s="1035">
        <v>16.663572595696156</v>
      </c>
      <c r="QT236" s="1035">
        <v>0</v>
      </c>
      <c r="QU236" s="1035">
        <v>176.19499999999999</v>
      </c>
      <c r="QV236" s="1035">
        <v>1386.6593439248138</v>
      </c>
      <c r="QW236" s="93"/>
      <c r="QX236" s="93">
        <v>332.22199999999998</v>
      </c>
      <c r="QY236" s="93">
        <v>732.59019049776578</v>
      </c>
      <c r="QZ236" s="93">
        <v>824.15557968782537</v>
      </c>
      <c r="RA236" s="93">
        <v>0</v>
      </c>
      <c r="RB236" s="93">
        <v>35.78</v>
      </c>
      <c r="RC236" s="93">
        <v>7.73</v>
      </c>
      <c r="RD236" s="93">
        <v>10.317</v>
      </c>
      <c r="RE236" s="93">
        <v>0</v>
      </c>
      <c r="RF236" s="93">
        <v>0</v>
      </c>
      <c r="RG236" s="93">
        <v>240.34200000000001</v>
      </c>
      <c r="RH236" s="93">
        <v>46.622000000000028</v>
      </c>
      <c r="RI236" s="93"/>
      <c r="RJ236" s="93"/>
      <c r="RK236" s="93"/>
      <c r="RL236" s="93"/>
      <c r="RM236" s="734"/>
      <c r="RN236" s="29">
        <v>169</v>
      </c>
      <c r="RO236" s="19">
        <v>75</v>
      </c>
      <c r="RP236" s="20"/>
      <c r="RQ236" s="29">
        <v>169</v>
      </c>
      <c r="RR236" s="734">
        <v>2.7234220000000002</v>
      </c>
      <c r="RS236" s="29">
        <v>169</v>
      </c>
      <c r="RT236" s="1504">
        <v>41640</v>
      </c>
      <c r="RU236" s="19"/>
      <c r="RV236" s="20"/>
      <c r="RW236" s="29">
        <v>169</v>
      </c>
      <c r="RX236" s="1504">
        <v>41640</v>
      </c>
      <c r="RY236" s="29"/>
      <c r="RZ236" s="734"/>
      <c r="SA236" s="29"/>
      <c r="SB236" s="29">
        <v>169</v>
      </c>
    </row>
    <row r="237" spans="1:496">
      <c r="A237" s="41">
        <f t="shared" si="208"/>
        <v>2014</v>
      </c>
      <c r="B237" s="1504">
        <v>41671</v>
      </c>
      <c r="C237" s="1813">
        <v>1003</v>
      </c>
      <c r="D237" s="1814">
        <v>18444</v>
      </c>
      <c r="E237" s="1814">
        <v>80</v>
      </c>
      <c r="F237" s="1815">
        <v>445</v>
      </c>
      <c r="G237" s="1814">
        <v>79534</v>
      </c>
      <c r="H237" s="1814">
        <v>33</v>
      </c>
      <c r="I237" s="1814">
        <v>28134</v>
      </c>
      <c r="J237" s="1816">
        <v>14225</v>
      </c>
      <c r="K237" s="1807">
        <v>141898</v>
      </c>
      <c r="L237" s="25">
        <v>170</v>
      </c>
      <c r="M237" s="97"/>
      <c r="N237" s="1504">
        <v>41671</v>
      </c>
      <c r="O237" s="19"/>
      <c r="P237" s="93"/>
      <c r="Q237" s="93"/>
      <c r="R237" s="93"/>
      <c r="S237" s="93"/>
      <c r="T237" s="93"/>
      <c r="U237" s="93"/>
      <c r="V237" s="93"/>
      <c r="W237" s="93"/>
      <c r="X237" s="93"/>
      <c r="Y237" s="93"/>
      <c r="Z237" s="93"/>
      <c r="AA237" s="93"/>
      <c r="AB237" s="20"/>
      <c r="AC237" s="25">
        <v>170</v>
      </c>
      <c r="AD237" s="97"/>
      <c r="AE237" s="1504">
        <v>41671</v>
      </c>
      <c r="AF237" s="19"/>
      <c r="AG237" s="93"/>
      <c r="AH237" s="93"/>
      <c r="AI237" s="93"/>
      <c r="AJ237" s="93"/>
      <c r="AK237" s="93"/>
      <c r="AL237" s="93"/>
      <c r="AM237" s="93"/>
      <c r="AN237" s="93"/>
      <c r="AO237" s="93"/>
      <c r="AP237" s="93"/>
      <c r="AQ237" s="93"/>
      <c r="AR237" s="93"/>
      <c r="AS237" s="20"/>
      <c r="AT237" s="25">
        <v>170</v>
      </c>
      <c r="AU237" s="97"/>
      <c r="AV237" s="1504">
        <v>41671</v>
      </c>
      <c r="AW237" s="19"/>
      <c r="AX237" s="93"/>
      <c r="AY237" s="93"/>
      <c r="AZ237" s="93"/>
      <c r="BA237" s="93"/>
      <c r="BB237" s="93"/>
      <c r="BC237" s="93"/>
      <c r="BD237" s="93"/>
      <c r="BE237" s="93"/>
      <c r="BF237" s="93"/>
      <c r="BG237" s="93"/>
      <c r="BH237" s="93"/>
      <c r="BI237" s="93"/>
      <c r="BJ237" s="20"/>
      <c r="BK237" s="25">
        <v>170</v>
      </c>
      <c r="BL237" s="97"/>
      <c r="BM237" s="1504">
        <v>41671</v>
      </c>
      <c r="BN237" s="19"/>
      <c r="BO237" s="93"/>
      <c r="BP237" s="93"/>
      <c r="BQ237" s="93"/>
      <c r="BR237" s="93"/>
      <c r="BS237" s="93"/>
      <c r="BT237" s="93"/>
      <c r="BU237" s="20"/>
      <c r="BV237" s="25">
        <v>170</v>
      </c>
      <c r="BW237" s="97"/>
      <c r="BX237" s="1504">
        <v>41671</v>
      </c>
      <c r="BY237" s="179">
        <v>480.25235798</v>
      </c>
      <c r="BZ237" s="99">
        <v>664.95699999999999</v>
      </c>
      <c r="CA237" s="93"/>
      <c r="CB237" s="93"/>
      <c r="CC237" s="99">
        <v>196.42</v>
      </c>
      <c r="CD237" s="25">
        <v>170</v>
      </c>
      <c r="CE237" s="97"/>
      <c r="CF237" s="1504">
        <v>41671</v>
      </c>
      <c r="CG237" s="1508">
        <v>2.0734451100000002</v>
      </c>
      <c r="CH237" s="568">
        <v>1299.58</v>
      </c>
      <c r="CI237" s="1708">
        <v>104.82666666666699</v>
      </c>
      <c r="CJ237" s="1509">
        <v>108.81</v>
      </c>
      <c r="CK237" s="1508">
        <v>449.85</v>
      </c>
      <c r="CL237" s="568">
        <v>209.3235928</v>
      </c>
      <c r="CM237" s="568">
        <v>0.36618738200000001</v>
      </c>
      <c r="CN237" s="568">
        <v>0.44611361599999999</v>
      </c>
      <c r="CO237" s="568">
        <v>292.11217649999998</v>
      </c>
      <c r="CP237" s="1509">
        <v>4.2808208849999998</v>
      </c>
      <c r="CQ237" s="1708">
        <v>1409.8</v>
      </c>
      <c r="CR237" s="568">
        <v>2.222</v>
      </c>
      <c r="CS237" s="568">
        <v>2.1657999999999999</v>
      </c>
      <c r="CT237" s="568">
        <v>97.5</v>
      </c>
      <c r="CU237" s="568">
        <v>121.37</v>
      </c>
      <c r="CV237" s="1709">
        <v>2034.53</v>
      </c>
      <c r="CW237" s="29">
        <v>170</v>
      </c>
      <c r="CX237" s="41">
        <f t="shared" si="209"/>
        <v>2014</v>
      </c>
      <c r="CY237" s="1504">
        <v>41671</v>
      </c>
      <c r="CZ237" s="1916">
        <v>85.743706000000003</v>
      </c>
      <c r="DA237" s="1526">
        <v>52.067461000000002</v>
      </c>
      <c r="DB237" s="1526">
        <v>33.676245000000002</v>
      </c>
      <c r="DC237" s="182">
        <f t="shared" si="219"/>
        <v>508499</v>
      </c>
      <c r="DD237" s="182">
        <f t="shared" si="220"/>
        <v>507074</v>
      </c>
      <c r="DE237" s="182">
        <f t="shared" si="221"/>
        <v>1425</v>
      </c>
      <c r="DF237" s="29">
        <v>170</v>
      </c>
      <c r="DG237" s="1504">
        <v>41671</v>
      </c>
      <c r="DH237" s="19"/>
      <c r="DI237" s="93"/>
      <c r="DJ237" s="93"/>
      <c r="DK237" s="93"/>
      <c r="DL237" s="93"/>
      <c r="DM237" s="93"/>
      <c r="DN237" s="20"/>
      <c r="DO237" s="25"/>
      <c r="DP237" s="29">
        <v>170</v>
      </c>
      <c r="DQ237" s="1504">
        <v>41671</v>
      </c>
      <c r="DR237" s="19"/>
      <c r="DS237" s="93"/>
      <c r="DT237" s="93"/>
      <c r="DU237" s="93"/>
      <c r="DV237" s="93"/>
      <c r="DW237" s="93"/>
      <c r="DX237" s="20"/>
      <c r="DY237" s="29">
        <v>170</v>
      </c>
      <c r="DZ237" s="1504">
        <v>41671</v>
      </c>
      <c r="EA237" s="19"/>
      <c r="EB237" s="93"/>
      <c r="EC237" s="20"/>
      <c r="ED237" s="29"/>
      <c r="EE237" s="1504">
        <v>41671</v>
      </c>
      <c r="EF237" s="419">
        <f>(((EF236/EF235-1)+(EF235/EF234-1))^1/2+1)*EF236</f>
        <v>18274.250613991153</v>
      </c>
      <c r="EG237" s="100">
        <f t="shared" ref="EG237:EN240" si="224">(((EG236/EG235-1)+(EG235/EG234-1))^1/2+1)*EG236</f>
        <v>15567.693643800463</v>
      </c>
      <c r="EH237" s="100">
        <f t="shared" si="224"/>
        <v>32779.635520291762</v>
      </c>
      <c r="EI237" s="420">
        <f t="shared" si="224"/>
        <v>8444.7712177426747</v>
      </c>
      <c r="EJ237" s="100">
        <f t="shared" si="224"/>
        <v>351.0465289082664</v>
      </c>
      <c r="EK237" s="100">
        <f t="shared" si="224"/>
        <v>1025.0440880302735</v>
      </c>
      <c r="EL237" s="100">
        <f t="shared" si="224"/>
        <v>15.610659175815364</v>
      </c>
      <c r="EM237" s="100">
        <f t="shared" si="224"/>
        <v>1.7017030584141037</v>
      </c>
      <c r="EN237" s="306">
        <f t="shared" si="224"/>
        <v>783.71832184535594</v>
      </c>
      <c r="EO237" s="29">
        <v>170</v>
      </c>
      <c r="EP237" s="1504">
        <v>41671</v>
      </c>
      <c r="EQ237" s="419">
        <f t="shared" si="223"/>
        <v>18382.254279614139</v>
      </c>
      <c r="ER237" s="100">
        <f t="shared" si="223"/>
        <v>15052.324395347901</v>
      </c>
      <c r="ES237" s="100">
        <f t="shared" si="223"/>
        <v>32470.861754594625</v>
      </c>
      <c r="ET237" s="420">
        <f t="shared" si="223"/>
        <v>8270.2986060684962</v>
      </c>
      <c r="EU237" s="100">
        <f t="shared" si="223"/>
        <v>351.0465289082664</v>
      </c>
      <c r="EV237" s="100">
        <f t="shared" si="223"/>
        <v>1025.150475974091</v>
      </c>
      <c r="EW237" s="100">
        <f t="shared" si="223"/>
        <v>15.610659175815364</v>
      </c>
      <c r="EX237" s="100">
        <f t="shared" si="223"/>
        <v>1.7017030584141037</v>
      </c>
      <c r="EY237" s="306">
        <f t="shared" si="223"/>
        <v>783.74248117352829</v>
      </c>
      <c r="EZ237" s="29">
        <v>170</v>
      </c>
      <c r="FA237" s="1504">
        <v>41671</v>
      </c>
      <c r="FB237" s="29"/>
      <c r="FC237" s="29"/>
      <c r="FD237" s="29"/>
      <c r="FE237" s="29"/>
      <c r="FF237" s="29"/>
      <c r="FG237" s="29"/>
      <c r="FH237" s="29"/>
      <c r="FI237" s="29"/>
      <c r="FJ237" s="29"/>
      <c r="FK237" s="29">
        <v>170</v>
      </c>
      <c r="FL237" s="1504">
        <v>41671</v>
      </c>
      <c r="FM237" s="19">
        <v>105.896016804917</v>
      </c>
      <c r="FN237" s="93">
        <v>112.28867110139947</v>
      </c>
      <c r="FO237" s="93">
        <v>100.24769011363293</v>
      </c>
      <c r="FP237" s="93">
        <v>101.84396866784725</v>
      </c>
      <c r="FQ237" s="93">
        <v>117.0375407725228</v>
      </c>
      <c r="FR237" s="93">
        <v>98.67672042276908</v>
      </c>
      <c r="FS237" s="93">
        <v>100.90568781872146</v>
      </c>
      <c r="FT237" s="93">
        <v>106.15902848536787</v>
      </c>
      <c r="FU237" s="93">
        <v>64.18015722389913</v>
      </c>
      <c r="FV237" s="93">
        <v>96.196255425336787</v>
      </c>
      <c r="FW237" s="93">
        <v>104.37383572273448</v>
      </c>
      <c r="FX237" s="93">
        <v>113.21323230194639</v>
      </c>
      <c r="FY237" s="93">
        <v>103.98017542629509</v>
      </c>
      <c r="FZ237" s="29">
        <v>170</v>
      </c>
      <c r="GA237" s="1504">
        <v>41671</v>
      </c>
      <c r="GB237" s="19">
        <v>105.9</v>
      </c>
      <c r="GC237" s="93">
        <v>106.2</v>
      </c>
      <c r="GD237" s="93">
        <v>105.7</v>
      </c>
      <c r="GE237" s="93">
        <v>115.3</v>
      </c>
      <c r="GF237" s="93">
        <v>107.1</v>
      </c>
      <c r="GG237" s="93">
        <v>105.9</v>
      </c>
      <c r="GH237" s="93"/>
      <c r="GI237" s="93"/>
      <c r="GJ237" s="93"/>
      <c r="GK237" s="93"/>
      <c r="GL237" s="93"/>
      <c r="GM237" s="93"/>
      <c r="GN237" s="20"/>
      <c r="GO237" s="29">
        <v>170</v>
      </c>
      <c r="GP237" s="1504">
        <v>41671</v>
      </c>
      <c r="GQ237" s="19"/>
      <c r="GR237" s="93"/>
      <c r="GS237" s="93"/>
      <c r="GT237" s="93"/>
      <c r="GU237" s="93"/>
      <c r="GV237" s="20"/>
      <c r="GW237" s="19"/>
      <c r="GX237" s="93"/>
      <c r="GY237" s="93"/>
      <c r="GZ237" s="93"/>
      <c r="HA237" s="93"/>
      <c r="HB237" s="20"/>
      <c r="HC237" s="19"/>
      <c r="HD237" s="93"/>
      <c r="HE237" s="93"/>
      <c r="HF237" s="93"/>
      <c r="HG237" s="93"/>
      <c r="HH237" s="20"/>
      <c r="HI237" s="19"/>
      <c r="HJ237" s="93"/>
      <c r="HK237" s="93"/>
      <c r="HL237" s="93"/>
      <c r="HM237" s="93"/>
      <c r="HN237" s="20"/>
      <c r="HO237" s="219"/>
      <c r="HP237" s="20"/>
      <c r="HQ237" s="25"/>
      <c r="HR237" s="29">
        <v>170</v>
      </c>
      <c r="HS237" s="1504">
        <v>41671</v>
      </c>
      <c r="HT237" s="179">
        <v>213.71134948730469</v>
      </c>
      <c r="HU237" s="99">
        <v>245.13888854980468</v>
      </c>
      <c r="HV237" s="99">
        <v>188.88889058430991</v>
      </c>
      <c r="HW237" s="99">
        <v>154.73301696777344</v>
      </c>
      <c r="HX237" s="99">
        <v>191.66666412353516</v>
      </c>
      <c r="HY237" s="99">
        <v>205.82329177856445</v>
      </c>
      <c r="HZ237" s="99">
        <v>215.09537696838379</v>
      </c>
      <c r="IA237" s="132">
        <v>172.38562774658203</v>
      </c>
      <c r="IB237" s="179">
        <v>218.41155242919922</v>
      </c>
      <c r="IC237" s="99">
        <v>159.375</v>
      </c>
      <c r="ID237" s="99">
        <v>151.78572082519531</v>
      </c>
      <c r="IE237" s="99">
        <v>136.73139190673828</v>
      </c>
      <c r="IF237" s="99">
        <v>166.13923645019531</v>
      </c>
      <c r="IG237" s="132">
        <v>153.07486724853516</v>
      </c>
      <c r="IH237" s="179">
        <v>113.65011215209961</v>
      </c>
      <c r="II237" s="99">
        <v>197.65357208251953</v>
      </c>
      <c r="IJ237" s="99">
        <v>140.76576232910156</v>
      </c>
      <c r="IK237" s="99">
        <v>144.40432739257813</v>
      </c>
      <c r="IL237" s="99">
        <v>129.97824287414551</v>
      </c>
      <c r="IM237" s="99">
        <v>126.61290740966797</v>
      </c>
      <c r="IN237" s="93"/>
      <c r="IO237" s="132">
        <v>144.88339996337891</v>
      </c>
      <c r="IP237" s="29">
        <v>170</v>
      </c>
      <c r="IQ237" s="19"/>
      <c r="IR237" s="93"/>
      <c r="IS237" s="93"/>
      <c r="IT237" s="93"/>
      <c r="IU237" s="93"/>
      <c r="IV237" s="20"/>
      <c r="IW237" s="29">
        <v>170</v>
      </c>
      <c r="IX237" s="19"/>
      <c r="IY237" s="93"/>
      <c r="IZ237" s="93"/>
      <c r="JA237" s="93"/>
      <c r="JB237" s="93"/>
      <c r="JC237" s="93"/>
      <c r="JD237" s="93"/>
      <c r="JE237" s="20"/>
      <c r="JF237" s="29">
        <v>170</v>
      </c>
      <c r="JG237" s="19"/>
      <c r="JH237" s="93"/>
      <c r="JI237" s="93"/>
      <c r="JJ237" s="93"/>
      <c r="JK237" s="93"/>
      <c r="JL237" s="93"/>
      <c r="JM237" s="93"/>
      <c r="JN237" s="20"/>
      <c r="JO237" s="29">
        <v>170</v>
      </c>
      <c r="JP237" s="19"/>
      <c r="JQ237" s="93"/>
      <c r="JR237" s="93"/>
      <c r="JS237" s="93"/>
      <c r="JT237" s="93"/>
      <c r="JU237" s="20"/>
      <c r="JV237" s="29">
        <v>170</v>
      </c>
      <c r="JW237" s="1504">
        <v>41671</v>
      </c>
      <c r="JX237" s="19"/>
      <c r="JY237" s="93"/>
      <c r="JZ237" s="93"/>
      <c r="KA237" s="93"/>
      <c r="KB237" s="93"/>
      <c r="KC237" s="93"/>
      <c r="KD237" s="20"/>
      <c r="KE237" s="29">
        <v>170</v>
      </c>
      <c r="KF237" s="19"/>
      <c r="KG237" s="93"/>
      <c r="KH237" s="93"/>
      <c r="KI237" s="93"/>
      <c r="KJ237" s="93"/>
      <c r="KK237" s="20"/>
      <c r="KL237" s="29">
        <v>170</v>
      </c>
      <c r="KM237" s="19"/>
      <c r="KN237" s="93"/>
      <c r="KO237" s="93"/>
      <c r="KP237" s="93"/>
      <c r="KQ237" s="93"/>
      <c r="KR237" s="20"/>
      <c r="KS237" s="29">
        <v>170</v>
      </c>
      <c r="KT237" s="19"/>
      <c r="KU237" s="93"/>
      <c r="KV237" s="93"/>
      <c r="KW237" s="93"/>
      <c r="KX237" s="93"/>
      <c r="KY237" s="20"/>
      <c r="KZ237" s="29">
        <v>170</v>
      </c>
      <c r="LA237" s="1504">
        <v>41671</v>
      </c>
      <c r="LB237" s="19">
        <v>510</v>
      </c>
      <c r="LC237" s="93">
        <v>740</v>
      </c>
      <c r="LD237" s="93">
        <v>732</v>
      </c>
      <c r="LE237" s="93"/>
      <c r="LF237" s="93">
        <v>656</v>
      </c>
      <c r="LG237" s="93"/>
      <c r="LH237" s="20"/>
      <c r="LI237" s="29">
        <v>170</v>
      </c>
      <c r="LJ237" s="19"/>
      <c r="LK237" s="93"/>
      <c r="LL237" s="93"/>
      <c r="LM237" s="93"/>
      <c r="LN237" s="93"/>
      <c r="LO237" s="20"/>
      <c r="LP237" s="29">
        <v>170</v>
      </c>
      <c r="LQ237" s="19"/>
      <c r="LR237" s="93">
        <v>188</v>
      </c>
      <c r="LS237" s="93">
        <v>445</v>
      </c>
      <c r="LT237" s="93">
        <v>535</v>
      </c>
      <c r="LU237" s="93">
        <v>1070</v>
      </c>
      <c r="LV237" s="93"/>
      <c r="LW237" s="93">
        <v>5</v>
      </c>
      <c r="LX237" s="93">
        <v>10</v>
      </c>
      <c r="LY237" s="93">
        <v>60</v>
      </c>
      <c r="LZ237" s="93"/>
      <c r="MA237" s="20">
        <v>1070</v>
      </c>
      <c r="MB237" s="29">
        <v>170</v>
      </c>
      <c r="MC237" s="1504">
        <v>41671</v>
      </c>
      <c r="MD237" s="19"/>
      <c r="ME237" s="93"/>
      <c r="MF237" s="93"/>
      <c r="MG237" s="93"/>
      <c r="MH237" s="93"/>
      <c r="MI237" s="93"/>
      <c r="MJ237" s="93"/>
      <c r="MK237" s="93"/>
      <c r="ML237" s="93"/>
      <c r="MM237" s="93"/>
      <c r="MN237" s="93"/>
      <c r="MO237" s="93"/>
      <c r="MP237" s="93"/>
      <c r="MQ237" s="93"/>
      <c r="MR237" s="93"/>
      <c r="MS237" s="93"/>
      <c r="MT237" s="93"/>
      <c r="MU237" s="93"/>
      <c r="MV237" s="93"/>
      <c r="MW237" s="93"/>
      <c r="MX237" s="93"/>
      <c r="MY237" s="93"/>
      <c r="MZ237" s="93"/>
      <c r="NA237" s="93"/>
      <c r="NB237" s="93"/>
      <c r="NC237" s="93"/>
      <c r="ND237" s="93"/>
      <c r="NE237" s="93"/>
      <c r="NF237" s="93"/>
      <c r="NG237" s="93"/>
      <c r="NH237" s="93"/>
      <c r="NI237" s="93"/>
      <c r="NJ237" s="93"/>
      <c r="NK237" s="93"/>
      <c r="NL237" s="93"/>
      <c r="NM237" s="93"/>
      <c r="NN237" s="93"/>
      <c r="NO237" s="93"/>
      <c r="NP237" s="93"/>
      <c r="NQ237" s="93"/>
      <c r="NR237" s="93"/>
      <c r="NS237" s="93"/>
      <c r="NT237" s="93"/>
      <c r="NU237" s="93"/>
      <c r="NV237" s="93"/>
      <c r="NW237" s="93"/>
      <c r="NX237" s="93"/>
      <c r="NY237" s="93"/>
      <c r="NZ237" s="93"/>
      <c r="OA237" s="93"/>
      <c r="OB237" s="93"/>
      <c r="OC237" s="93"/>
      <c r="OD237" s="20"/>
      <c r="OE237" s="29">
        <v>170</v>
      </c>
      <c r="OF237" s="1504">
        <v>41671</v>
      </c>
      <c r="OG237" s="19"/>
      <c r="OH237" s="93">
        <v>109.1664</v>
      </c>
      <c r="OI237" s="93">
        <v>925.84495738186979</v>
      </c>
      <c r="OJ237" s="93">
        <v>0.49618732600000004</v>
      </c>
      <c r="OK237" s="93">
        <v>792.97887005586972</v>
      </c>
      <c r="OL237" s="93">
        <v>132.3699</v>
      </c>
      <c r="OM237" s="93">
        <v>1035.0113573818699</v>
      </c>
      <c r="ON237" s="93">
        <v>828.37247997934696</v>
      </c>
      <c r="OO237" s="93">
        <v>1863.3838373612168</v>
      </c>
      <c r="OP237" s="93"/>
      <c r="OQ237" s="93">
        <v>533.43345293440416</v>
      </c>
      <c r="OR237" s="93">
        <v>-65.462510886000018</v>
      </c>
      <c r="OS237" s="93">
        <v>598.89596382040418</v>
      </c>
      <c r="OT237" s="93">
        <v>1570.7497202388124</v>
      </c>
      <c r="OU237" s="93">
        <v>-31.054974445000042</v>
      </c>
      <c r="OV237" s="93">
        <v>-9.4959744450000461</v>
      </c>
      <c r="OW237" s="93">
        <v>-21.558999999999997</v>
      </c>
      <c r="OX237" s="93">
        <v>1601.8046946838124</v>
      </c>
      <c r="OY237" s="93">
        <v>4.2013084690000007</v>
      </c>
      <c r="OZ237" s="93">
        <v>1597.6033862148124</v>
      </c>
      <c r="PA237" s="93">
        <v>308.262473849</v>
      </c>
      <c r="PB237" s="93">
        <v>-67.463138036999993</v>
      </c>
      <c r="PC237" s="20">
        <v>1863.3838373612164</v>
      </c>
      <c r="PD237" s="29">
        <v>170</v>
      </c>
      <c r="PE237" s="19"/>
      <c r="PF237" s="93">
        <v>-65.462510886000018</v>
      </c>
      <c r="PG237" s="93">
        <v>200.26172766799999</v>
      </c>
      <c r="PH237" s="93">
        <v>265.72423855400001</v>
      </c>
      <c r="PI237" s="93">
        <v>337.72</v>
      </c>
      <c r="PJ237" s="93">
        <v>-5.1702744450000466</v>
      </c>
      <c r="PK237" s="93">
        <v>135.20061966199998</v>
      </c>
      <c r="PL237" s="93">
        <v>140.37089410700003</v>
      </c>
      <c r="PM237" s="93">
        <v>4.2013084690000007</v>
      </c>
      <c r="PN237" s="93">
        <v>0.81799999999999995</v>
      </c>
      <c r="PO237" s="93">
        <v>0</v>
      </c>
      <c r="PP237" s="93">
        <v>6.1918100000000001E-4</v>
      </c>
      <c r="PQ237" s="93">
        <v>3.3826892880000003</v>
      </c>
      <c r="PR237" s="93">
        <v>265.02981160999997</v>
      </c>
      <c r="PS237" s="93">
        <v>160.73609999999999</v>
      </c>
      <c r="PT237" s="93">
        <v>103.797524284</v>
      </c>
      <c r="PU237" s="93">
        <v>0.49618732600000004</v>
      </c>
      <c r="PV237" s="93">
        <v>0</v>
      </c>
      <c r="PW237" s="93">
        <v>1.966415451</v>
      </c>
      <c r="PX237" s="93">
        <v>0</v>
      </c>
      <c r="PY237" s="93">
        <v>0</v>
      </c>
      <c r="PZ237" s="93">
        <v>1.966415451</v>
      </c>
      <c r="QA237" s="93">
        <v>0</v>
      </c>
      <c r="QB237" s="93">
        <v>0</v>
      </c>
      <c r="QC237" s="93">
        <v>0</v>
      </c>
      <c r="QD237" s="93">
        <v>0.65705839799999999</v>
      </c>
      <c r="QE237" s="20">
        <v>3.6352376789999932</v>
      </c>
      <c r="QF237" s="1739">
        <v>170</v>
      </c>
      <c r="QG237" s="19"/>
      <c r="QH237" s="1035">
        <v>598.89596382040418</v>
      </c>
      <c r="QI237" s="1035">
        <v>758.23061378518742</v>
      </c>
      <c r="QJ237" s="1035">
        <v>-159.33464996478324</v>
      </c>
      <c r="QK237" s="1035">
        <v>156.26300000000001</v>
      </c>
      <c r="QL237" s="1035">
        <v>47.244</v>
      </c>
      <c r="QM237" s="1035">
        <v>109.01900000000001</v>
      </c>
      <c r="QN237" s="1035">
        <v>0</v>
      </c>
      <c r="QO237" s="1035">
        <v>-21.558999999999997</v>
      </c>
      <c r="QP237" s="1035">
        <v>185.19400000000002</v>
      </c>
      <c r="QQ237" s="1035">
        <v>-206.75300000000001</v>
      </c>
      <c r="QR237" s="1035">
        <v>1597.6033862148124</v>
      </c>
      <c r="QS237" s="1035">
        <v>17.77469889600134</v>
      </c>
      <c r="QT237" s="1035">
        <v>0</v>
      </c>
      <c r="QU237" s="1035">
        <v>177.09100000000001</v>
      </c>
      <c r="QV237" s="1035">
        <v>1402.7376873188111</v>
      </c>
      <c r="QW237" s="93"/>
      <c r="QX237" s="93">
        <v>338.51400000000001</v>
      </c>
      <c r="QY237" s="93">
        <v>792.97887005586972</v>
      </c>
      <c r="QZ237" s="93">
        <v>828.37247997934696</v>
      </c>
      <c r="RA237" s="93">
        <v>0</v>
      </c>
      <c r="RB237" s="93">
        <v>39.414000000000001</v>
      </c>
      <c r="RC237" s="93">
        <v>6.8330000000000002</v>
      </c>
      <c r="RD237" s="93">
        <v>11.585000000000001</v>
      </c>
      <c r="RE237" s="93">
        <v>0</v>
      </c>
      <c r="RF237" s="93">
        <v>0</v>
      </c>
      <c r="RG237" s="93">
        <v>247.80700000000002</v>
      </c>
      <c r="RH237" s="93">
        <v>65.699000000000012</v>
      </c>
      <c r="RI237" s="93"/>
      <c r="RJ237" s="93"/>
      <c r="RK237" s="93"/>
      <c r="RL237" s="93"/>
      <c r="RM237" s="734"/>
      <c r="RN237" s="29">
        <v>170</v>
      </c>
      <c r="RO237" s="19">
        <v>113</v>
      </c>
      <c r="RP237" s="20"/>
      <c r="RQ237" s="29">
        <v>170</v>
      </c>
      <c r="RR237" s="734">
        <v>2.5249859299999997</v>
      </c>
      <c r="RS237" s="29">
        <v>170</v>
      </c>
      <c r="RT237" s="1504">
        <v>41671</v>
      </c>
      <c r="RU237" s="19"/>
      <c r="RV237" s="20"/>
      <c r="RW237" s="29">
        <v>170</v>
      </c>
      <c r="RX237" s="1504">
        <v>41671</v>
      </c>
      <c r="RY237" s="29"/>
      <c r="RZ237" s="734"/>
      <c r="SA237" s="29"/>
      <c r="SB237" s="29">
        <v>170</v>
      </c>
    </row>
    <row r="238" spans="1:496">
      <c r="A238" s="41">
        <f t="shared" si="208"/>
        <v>2014</v>
      </c>
      <c r="B238" s="1504">
        <v>41699</v>
      </c>
      <c r="C238" s="1813">
        <v>1280</v>
      </c>
      <c r="D238" s="1814">
        <v>18180</v>
      </c>
      <c r="E238" s="1814">
        <v>85</v>
      </c>
      <c r="F238" s="1815">
        <v>306</v>
      </c>
      <c r="G238" s="1814">
        <v>84347</v>
      </c>
      <c r="H238" s="1814">
        <v>51</v>
      </c>
      <c r="I238" s="1814">
        <v>29031</v>
      </c>
      <c r="J238" s="1816">
        <v>14002</v>
      </c>
      <c r="K238" s="1807">
        <v>147282</v>
      </c>
      <c r="L238" s="25">
        <v>171</v>
      </c>
      <c r="M238" s="97"/>
      <c r="N238" s="1504">
        <v>41699</v>
      </c>
      <c r="O238" s="19"/>
      <c r="P238" s="93"/>
      <c r="Q238" s="93"/>
      <c r="R238" s="93"/>
      <c r="S238" s="93"/>
      <c r="T238" s="93"/>
      <c r="U238" s="93"/>
      <c r="V238" s="93"/>
      <c r="W238" s="93"/>
      <c r="X238" s="93"/>
      <c r="Y238" s="93"/>
      <c r="Z238" s="93"/>
      <c r="AA238" s="93"/>
      <c r="AB238" s="20"/>
      <c r="AC238" s="25">
        <v>171</v>
      </c>
      <c r="AD238" s="97"/>
      <c r="AE238" s="1504">
        <v>41699</v>
      </c>
      <c r="AF238" s="19"/>
      <c r="AG238" s="93"/>
      <c r="AH238" s="93"/>
      <c r="AI238" s="93"/>
      <c r="AJ238" s="93"/>
      <c r="AK238" s="93"/>
      <c r="AL238" s="93"/>
      <c r="AM238" s="93"/>
      <c r="AN238" s="93"/>
      <c r="AO238" s="93"/>
      <c r="AP238" s="93"/>
      <c r="AQ238" s="93"/>
      <c r="AR238" s="93"/>
      <c r="AS238" s="20"/>
      <c r="AT238" s="25">
        <v>171</v>
      </c>
      <c r="AU238" s="97"/>
      <c r="AV238" s="1504">
        <v>41699</v>
      </c>
      <c r="AW238" s="19"/>
      <c r="AX238" s="93"/>
      <c r="AY238" s="93"/>
      <c r="AZ238" s="93"/>
      <c r="BA238" s="93"/>
      <c r="BB238" s="93"/>
      <c r="BC238" s="93"/>
      <c r="BD238" s="93"/>
      <c r="BE238" s="93"/>
      <c r="BF238" s="93"/>
      <c r="BG238" s="93"/>
      <c r="BH238" s="93"/>
      <c r="BI238" s="93"/>
      <c r="BJ238" s="20"/>
      <c r="BK238" s="25">
        <v>171</v>
      </c>
      <c r="BL238" s="97"/>
      <c r="BM238" s="1504">
        <v>41699</v>
      </c>
      <c r="BN238" s="19"/>
      <c r="BO238" s="93"/>
      <c r="BP238" s="93"/>
      <c r="BQ238" s="93"/>
      <c r="BR238" s="93"/>
      <c r="BS238" s="93"/>
      <c r="BT238" s="93"/>
      <c r="BU238" s="20"/>
      <c r="BV238" s="25">
        <v>171</v>
      </c>
      <c r="BW238" s="97"/>
      <c r="BX238" s="1504">
        <v>41699</v>
      </c>
      <c r="BY238" s="179">
        <v>474.56302426666656</v>
      </c>
      <c r="BZ238" s="99">
        <v>664.95699999999999</v>
      </c>
      <c r="CA238" s="93"/>
      <c r="CB238" s="93"/>
      <c r="CC238" s="99">
        <v>183.92455950524408</v>
      </c>
      <c r="CD238" s="25">
        <v>171</v>
      </c>
      <c r="CE238" s="97"/>
      <c r="CF238" s="1504">
        <v>41699</v>
      </c>
      <c r="CG238" s="1508">
        <v>2.13737909</v>
      </c>
      <c r="CH238" s="568">
        <v>1336.08</v>
      </c>
      <c r="CI238" s="1708">
        <v>104.04</v>
      </c>
      <c r="CJ238" s="1509">
        <v>107.4</v>
      </c>
      <c r="CK238" s="1508">
        <v>425.1</v>
      </c>
      <c r="CL238" s="568">
        <v>222.33078</v>
      </c>
      <c r="CM238" s="568">
        <v>0.39462698000000002</v>
      </c>
      <c r="CN238" s="568">
        <v>0.45140388799999998</v>
      </c>
      <c r="CO238" s="568">
        <v>323.71173270000003</v>
      </c>
      <c r="CP238" s="1509">
        <v>4.4710795909999996</v>
      </c>
      <c r="CQ238" s="1708">
        <v>1366.87</v>
      </c>
      <c r="CR238" s="568">
        <v>2.09</v>
      </c>
      <c r="CS238" s="568">
        <v>2.2852999999999999</v>
      </c>
      <c r="CT238" s="568">
        <v>106.6</v>
      </c>
      <c r="CU238" s="568">
        <v>111.833</v>
      </c>
      <c r="CV238" s="1709">
        <v>2007.9</v>
      </c>
      <c r="CW238" s="29">
        <v>171</v>
      </c>
      <c r="CX238" s="41">
        <f t="shared" si="209"/>
        <v>2014</v>
      </c>
      <c r="CY238" s="1504">
        <v>41699</v>
      </c>
      <c r="CZ238" s="1916">
        <v>86.788736</v>
      </c>
      <c r="DA238" s="1526">
        <v>51.035246999999998</v>
      </c>
      <c r="DB238" s="1526">
        <v>35.753489000000002</v>
      </c>
      <c r="DC238" s="182">
        <f t="shared" si="219"/>
        <v>508499</v>
      </c>
      <c r="DD238" s="182">
        <f t="shared" si="220"/>
        <v>507074</v>
      </c>
      <c r="DE238" s="182">
        <f t="shared" si="221"/>
        <v>1425</v>
      </c>
      <c r="DF238" s="29">
        <v>171</v>
      </c>
      <c r="DG238" s="1504">
        <v>41699</v>
      </c>
      <c r="DH238" s="19"/>
      <c r="DI238" s="93"/>
      <c r="DJ238" s="93"/>
      <c r="DK238" s="93"/>
      <c r="DL238" s="93"/>
      <c r="DM238" s="93"/>
      <c r="DN238" s="20"/>
      <c r="DO238" s="25"/>
      <c r="DP238" s="29">
        <v>171</v>
      </c>
      <c r="DQ238" s="1504">
        <v>41699</v>
      </c>
      <c r="DR238" s="19">
        <v>27.062000000000001</v>
      </c>
      <c r="DS238" s="93">
        <v>1.151</v>
      </c>
      <c r="DT238" s="93">
        <v>42.718000000000004</v>
      </c>
      <c r="DU238" s="93">
        <v>8.061731</v>
      </c>
      <c r="DV238" s="93">
        <v>12.276035</v>
      </c>
      <c r="DW238" s="93">
        <v>3.6695000000000002</v>
      </c>
      <c r="DX238" s="1719">
        <v>7.3699179301000006</v>
      </c>
      <c r="DY238" s="29">
        <v>171</v>
      </c>
      <c r="DZ238" s="1504">
        <v>41699</v>
      </c>
      <c r="EA238" s="19"/>
      <c r="EB238" s="93"/>
      <c r="EC238" s="20"/>
      <c r="ED238" s="29"/>
      <c r="EE238" s="1504">
        <v>41699</v>
      </c>
      <c r="EF238" s="419">
        <f>(((EF237/EF236-1)+(EF236/EF235-1))^1/2+1)*EF237</f>
        <v>18950.765348469748</v>
      </c>
      <c r="EG238" s="100">
        <f t="shared" si="224"/>
        <v>15702.960495219062</v>
      </c>
      <c r="EH238" s="100">
        <f t="shared" si="224"/>
        <v>33009.693138746079</v>
      </c>
      <c r="EI238" s="420">
        <f t="shared" si="224"/>
        <v>10745.311731797574</v>
      </c>
      <c r="EJ238" s="100">
        <f t="shared" si="224"/>
        <v>321.62282513635057</v>
      </c>
      <c r="EK238" s="100">
        <f t="shared" si="224"/>
        <v>2088.5750470982807</v>
      </c>
      <c r="EL238" s="100">
        <f t="shared" si="224"/>
        <v>18.392393208311212</v>
      </c>
      <c r="EM238" s="100">
        <f t="shared" si="224"/>
        <v>1.1191832732830231</v>
      </c>
      <c r="EN238" s="306">
        <f t="shared" si="224"/>
        <v>838.87434911944217</v>
      </c>
      <c r="EO238" s="29">
        <v>171</v>
      </c>
      <c r="EP238" s="1504">
        <v>41699</v>
      </c>
      <c r="EQ238" s="419">
        <f t="shared" si="223"/>
        <v>19310.007362969085</v>
      </c>
      <c r="ER238" s="100">
        <f t="shared" si="223"/>
        <v>15093.35294841255</v>
      </c>
      <c r="ES238" s="100">
        <f t="shared" si="223"/>
        <v>32883.795779251312</v>
      </c>
      <c r="ET238" s="420">
        <f t="shared" si="223"/>
        <v>10778.758419985581</v>
      </c>
      <c r="EU238" s="100">
        <f t="shared" si="223"/>
        <v>321.62282513635057</v>
      </c>
      <c r="EV238" s="100">
        <f t="shared" si="223"/>
        <v>2088.8958672702929</v>
      </c>
      <c r="EW238" s="100">
        <f t="shared" si="223"/>
        <v>18.392393208311212</v>
      </c>
      <c r="EX238" s="100">
        <f t="shared" si="223"/>
        <v>1.1191832732830231</v>
      </c>
      <c r="EY238" s="306">
        <f t="shared" si="223"/>
        <v>838.91318143215108</v>
      </c>
      <c r="EZ238" s="29">
        <v>171</v>
      </c>
      <c r="FA238" s="1504">
        <v>41699</v>
      </c>
      <c r="FB238" s="29"/>
      <c r="FC238" s="29"/>
      <c r="FD238" s="29"/>
      <c r="FE238" s="29"/>
      <c r="FF238" s="29"/>
      <c r="FG238" s="29"/>
      <c r="FH238" s="29"/>
      <c r="FI238" s="29"/>
      <c r="FJ238" s="29"/>
      <c r="FK238" s="29">
        <v>171</v>
      </c>
      <c r="FL238" s="1504">
        <v>41699</v>
      </c>
      <c r="FM238" s="19">
        <v>106.63</v>
      </c>
      <c r="FN238" s="93">
        <v>112.04</v>
      </c>
      <c r="FO238" s="93">
        <v>101.82</v>
      </c>
      <c r="FP238" s="93">
        <v>101.84</v>
      </c>
      <c r="FQ238" s="93">
        <v>113.89</v>
      </c>
      <c r="FR238" s="93">
        <v>98.79</v>
      </c>
      <c r="FS238" s="93">
        <v>100.9</v>
      </c>
      <c r="FT238" s="93">
        <v>114.16</v>
      </c>
      <c r="FU238" s="93">
        <v>64.16</v>
      </c>
      <c r="FV238" s="93">
        <v>96.27</v>
      </c>
      <c r="FW238" s="93">
        <v>104.38</v>
      </c>
      <c r="FX238" s="93">
        <v>113.21</v>
      </c>
      <c r="FY238" s="93">
        <v>105.01</v>
      </c>
      <c r="FZ238" s="29">
        <v>171</v>
      </c>
      <c r="GA238" s="1504">
        <v>41699</v>
      </c>
      <c r="GB238" s="19">
        <v>106.6</v>
      </c>
      <c r="GC238" s="93">
        <v>108.3</v>
      </c>
      <c r="GD238" s="93">
        <v>105.8</v>
      </c>
      <c r="GE238" s="93">
        <v>112.7</v>
      </c>
      <c r="GF238" s="93">
        <v>106.3</v>
      </c>
      <c r="GG238" s="93">
        <v>106.6</v>
      </c>
      <c r="GH238" s="93"/>
      <c r="GI238" s="93"/>
      <c r="GJ238" s="93"/>
      <c r="GK238" s="93"/>
      <c r="GL238" s="93"/>
      <c r="GM238" s="93"/>
      <c r="GN238" s="20"/>
      <c r="GO238" s="29">
        <v>171</v>
      </c>
      <c r="GP238" s="1504">
        <v>41699</v>
      </c>
      <c r="GQ238" s="19"/>
      <c r="GR238" s="93"/>
      <c r="GS238" s="93"/>
      <c r="GT238" s="93"/>
      <c r="GU238" s="93"/>
      <c r="GV238" s="20"/>
      <c r="GW238" s="19"/>
      <c r="GX238" s="93"/>
      <c r="GY238" s="93"/>
      <c r="GZ238" s="93"/>
      <c r="HA238" s="93"/>
      <c r="HB238" s="20"/>
      <c r="HC238" s="19"/>
      <c r="HD238" s="93"/>
      <c r="HE238" s="93"/>
      <c r="HF238" s="93"/>
      <c r="HG238" s="93"/>
      <c r="HH238" s="20"/>
      <c r="HI238" s="19"/>
      <c r="HJ238" s="93"/>
      <c r="HK238" s="93"/>
      <c r="HL238" s="93"/>
      <c r="HM238" s="93"/>
      <c r="HN238" s="20"/>
      <c r="HO238" s="219"/>
      <c r="HP238" s="20"/>
      <c r="HQ238" s="25"/>
      <c r="HR238" s="29">
        <v>171</v>
      </c>
      <c r="HS238" s="1504">
        <v>41699</v>
      </c>
      <c r="HT238" s="179">
        <v>207.52687835693359</v>
      </c>
      <c r="HU238" s="99">
        <v>245.65972137451172</v>
      </c>
      <c r="HV238" s="99">
        <v>187.91945800781249</v>
      </c>
      <c r="HW238" s="99">
        <v>122.94623374938965</v>
      </c>
      <c r="HX238" s="99">
        <v>200</v>
      </c>
      <c r="HY238" s="99">
        <v>192.10173797607422</v>
      </c>
      <c r="HZ238" s="99">
        <v>226.28325500488282</v>
      </c>
      <c r="IA238" s="132">
        <v>177.28759002685547</v>
      </c>
      <c r="IB238" s="179">
        <v>203.63966751098633</v>
      </c>
      <c r="IC238" s="99">
        <v>150.90909118652343</v>
      </c>
      <c r="ID238" s="99">
        <v>151.78572082519531</v>
      </c>
      <c r="IE238" s="99">
        <v>143.20388793945313</v>
      </c>
      <c r="IF238" s="99">
        <v>155.65603637695313</v>
      </c>
      <c r="IG238" s="132">
        <v>149.06417083740234</v>
      </c>
      <c r="IH238" s="179">
        <v>112.86592483520508</v>
      </c>
      <c r="II238" s="99">
        <v>223.80594635009766</v>
      </c>
      <c r="IJ238" s="99">
        <v>135.1351318359375</v>
      </c>
      <c r="IK238" s="99">
        <v>144.40432739257813</v>
      </c>
      <c r="IL238" s="99">
        <v>122.74096298217773</v>
      </c>
      <c r="IM238" s="99">
        <v>133.06451797485352</v>
      </c>
      <c r="IN238" s="93"/>
      <c r="IO238" s="132">
        <v>150.0971710205078</v>
      </c>
      <c r="IP238" s="29">
        <v>171</v>
      </c>
      <c r="IQ238" s="19"/>
      <c r="IR238" s="93"/>
      <c r="IS238" s="93"/>
      <c r="IT238" s="93"/>
      <c r="IU238" s="93"/>
      <c r="IV238" s="20"/>
      <c r="IW238" s="29">
        <v>171</v>
      </c>
      <c r="IX238" s="19"/>
      <c r="IY238" s="93"/>
      <c r="IZ238" s="93"/>
      <c r="JA238" s="93"/>
      <c r="JB238" s="93"/>
      <c r="JC238" s="93"/>
      <c r="JD238" s="93"/>
      <c r="JE238" s="20"/>
      <c r="JF238" s="29">
        <v>171</v>
      </c>
      <c r="JG238" s="19"/>
      <c r="JH238" s="93"/>
      <c r="JI238" s="93"/>
      <c r="JJ238" s="93"/>
      <c r="JK238" s="93"/>
      <c r="JL238" s="93"/>
      <c r="JM238" s="93"/>
      <c r="JN238" s="20"/>
      <c r="JO238" s="29">
        <v>171</v>
      </c>
      <c r="JP238" s="19"/>
      <c r="JQ238" s="93"/>
      <c r="JR238" s="93"/>
      <c r="JS238" s="93"/>
      <c r="JT238" s="93"/>
      <c r="JU238" s="20"/>
      <c r="JV238" s="29">
        <v>171</v>
      </c>
      <c r="JW238" s="1504">
        <v>41699</v>
      </c>
      <c r="JX238" s="19"/>
      <c r="JY238" s="93"/>
      <c r="JZ238" s="93"/>
      <c r="KA238" s="93"/>
      <c r="KB238" s="93"/>
      <c r="KC238" s="93"/>
      <c r="KD238" s="20"/>
      <c r="KE238" s="29">
        <v>171</v>
      </c>
      <c r="KF238" s="19"/>
      <c r="KG238" s="93"/>
      <c r="KH238" s="93"/>
      <c r="KI238" s="93"/>
      <c r="KJ238" s="93"/>
      <c r="KK238" s="20"/>
      <c r="KL238" s="29">
        <v>171</v>
      </c>
      <c r="KM238" s="19"/>
      <c r="KN238" s="93"/>
      <c r="KO238" s="93"/>
      <c r="KP238" s="93"/>
      <c r="KQ238" s="93"/>
      <c r="KR238" s="20"/>
      <c r="KS238" s="29">
        <v>171</v>
      </c>
      <c r="KT238" s="19"/>
      <c r="KU238" s="93"/>
      <c r="KV238" s="93"/>
      <c r="KW238" s="93"/>
      <c r="KX238" s="93"/>
      <c r="KY238" s="20"/>
      <c r="KZ238" s="29">
        <v>171</v>
      </c>
      <c r="LA238" s="1504">
        <v>41699</v>
      </c>
      <c r="LB238" s="19">
        <v>510</v>
      </c>
      <c r="LC238" s="93">
        <v>740</v>
      </c>
      <c r="LD238" s="93">
        <v>732</v>
      </c>
      <c r="LE238" s="93"/>
      <c r="LF238" s="93">
        <v>656</v>
      </c>
      <c r="LG238" s="93"/>
      <c r="LH238" s="20"/>
      <c r="LI238" s="29">
        <v>171</v>
      </c>
      <c r="LJ238" s="19"/>
      <c r="LK238" s="93"/>
      <c r="LL238" s="93"/>
      <c r="LM238" s="93"/>
      <c r="LN238" s="93"/>
      <c r="LO238" s="20"/>
      <c r="LP238" s="29">
        <v>171</v>
      </c>
      <c r="LQ238" s="19"/>
      <c r="LR238" s="93">
        <v>188</v>
      </c>
      <c r="LS238" s="93">
        <v>445</v>
      </c>
      <c r="LT238" s="93">
        <v>535</v>
      </c>
      <c r="LU238" s="93">
        <v>1070</v>
      </c>
      <c r="LV238" s="93"/>
      <c r="LW238" s="93">
        <v>5</v>
      </c>
      <c r="LX238" s="93">
        <v>10</v>
      </c>
      <c r="LY238" s="93">
        <v>60</v>
      </c>
      <c r="LZ238" s="93"/>
      <c r="MA238" s="20">
        <v>1070</v>
      </c>
      <c r="MB238" s="29">
        <v>171</v>
      </c>
      <c r="MC238" s="1504">
        <v>41699</v>
      </c>
      <c r="MD238" s="19"/>
      <c r="ME238" s="93"/>
      <c r="MF238" s="93"/>
      <c r="MG238" s="93"/>
      <c r="MH238" s="93"/>
      <c r="MI238" s="93"/>
      <c r="MJ238" s="93"/>
      <c r="MK238" s="93"/>
      <c r="ML238" s="93"/>
      <c r="MM238" s="93"/>
      <c r="MN238" s="93"/>
      <c r="MO238" s="93"/>
      <c r="MP238" s="93"/>
      <c r="MQ238" s="93"/>
      <c r="MR238" s="93"/>
      <c r="MS238" s="93"/>
      <c r="MT238" s="93"/>
      <c r="MU238" s="93"/>
      <c r="MV238" s="93"/>
      <c r="MW238" s="93"/>
      <c r="MX238" s="93"/>
      <c r="MY238" s="93"/>
      <c r="MZ238" s="93"/>
      <c r="NA238" s="93"/>
      <c r="NB238" s="93"/>
      <c r="NC238" s="93"/>
      <c r="ND238" s="93"/>
      <c r="NE238" s="93"/>
      <c r="NF238" s="93"/>
      <c r="NG238" s="93"/>
      <c r="NH238" s="93"/>
      <c r="NI238" s="93"/>
      <c r="NJ238" s="93"/>
      <c r="NK238" s="93"/>
      <c r="NL238" s="93"/>
      <c r="NM238" s="93"/>
      <c r="NN238" s="93"/>
      <c r="NO238" s="93"/>
      <c r="NP238" s="93"/>
      <c r="NQ238" s="93"/>
      <c r="NR238" s="93"/>
      <c r="NS238" s="93"/>
      <c r="NT238" s="93"/>
      <c r="NU238" s="93"/>
      <c r="NV238" s="93"/>
      <c r="NW238" s="93"/>
      <c r="NX238" s="93"/>
      <c r="NY238" s="93"/>
      <c r="NZ238" s="93"/>
      <c r="OA238" s="93"/>
      <c r="OB238" s="93"/>
      <c r="OC238" s="93"/>
      <c r="OD238" s="20"/>
      <c r="OE238" s="29">
        <v>171</v>
      </c>
      <c r="OF238" s="1504">
        <v>41699</v>
      </c>
      <c r="OG238" s="19"/>
      <c r="OH238" s="93">
        <v>100.07250000000001</v>
      </c>
      <c r="OI238" s="93">
        <v>954.37695075201793</v>
      </c>
      <c r="OJ238" s="93">
        <v>0.62872485099999997</v>
      </c>
      <c r="OK238" s="93">
        <v>819.21212590101788</v>
      </c>
      <c r="OL238" s="93">
        <v>134.5361</v>
      </c>
      <c r="OM238" s="93">
        <v>1054.449450752018</v>
      </c>
      <c r="ON238" s="93">
        <v>854.29795618033336</v>
      </c>
      <c r="OO238" s="93">
        <v>1908.7474069323514</v>
      </c>
      <c r="OP238" s="93"/>
      <c r="OQ238" s="93">
        <v>561.03619605891083</v>
      </c>
      <c r="OR238" s="93">
        <v>-53.058112122000011</v>
      </c>
      <c r="OS238" s="93">
        <v>614.09430818091084</v>
      </c>
      <c r="OT238" s="93">
        <v>1627.3891505914407</v>
      </c>
      <c r="OU238" s="93">
        <v>-7.2698752129999527</v>
      </c>
      <c r="OV238" s="93">
        <v>-8.7248752129999652</v>
      </c>
      <c r="OW238" s="93">
        <v>1.4550000000000125</v>
      </c>
      <c r="OX238" s="93">
        <v>1634.6590258044407</v>
      </c>
      <c r="OY238" s="93">
        <v>4.264251904</v>
      </c>
      <c r="OZ238" s="93">
        <v>1630.3947739004407</v>
      </c>
      <c r="PA238" s="93">
        <v>309.38788858600003</v>
      </c>
      <c r="PB238" s="93">
        <v>-29.709948867999941</v>
      </c>
      <c r="PC238" s="20">
        <v>1908.7474069323514</v>
      </c>
      <c r="PD238" s="29">
        <v>171</v>
      </c>
      <c r="PE238" s="19"/>
      <c r="PF238" s="93">
        <v>-53.058112122000011</v>
      </c>
      <c r="PG238" s="93">
        <v>187.89509635100001</v>
      </c>
      <c r="PH238" s="93">
        <v>240.95320847300002</v>
      </c>
      <c r="PI238" s="93">
        <v>351.83</v>
      </c>
      <c r="PJ238" s="93">
        <v>-3.7951752129999647</v>
      </c>
      <c r="PK238" s="93">
        <v>132.88500161300001</v>
      </c>
      <c r="PL238" s="93">
        <v>136.68017682599998</v>
      </c>
      <c r="PM238" s="93">
        <v>4.264251904</v>
      </c>
      <c r="PN238" s="93">
        <v>0.81799999999999995</v>
      </c>
      <c r="PO238" s="93">
        <v>0</v>
      </c>
      <c r="PP238" s="93">
        <v>4.6567499999999998E-4</v>
      </c>
      <c r="PQ238" s="93">
        <v>3.4457862290000003</v>
      </c>
      <c r="PR238" s="93">
        <v>290.65890362700003</v>
      </c>
      <c r="PS238" s="93">
        <v>151.71420000000001</v>
      </c>
      <c r="PT238" s="93">
        <v>138.31597877600001</v>
      </c>
      <c r="PU238" s="93">
        <v>0.62872485099999997</v>
      </c>
      <c r="PV238" s="93">
        <v>0</v>
      </c>
      <c r="PW238" s="93">
        <v>1.8403470820000001</v>
      </c>
      <c r="PX238" s="93">
        <v>0</v>
      </c>
      <c r="PY238" s="93">
        <v>0</v>
      </c>
      <c r="PZ238" s="93">
        <v>1.8403470820000001</v>
      </c>
      <c r="QA238" s="93">
        <v>0</v>
      </c>
      <c r="QB238" s="93">
        <v>0</v>
      </c>
      <c r="QC238" s="93">
        <v>0</v>
      </c>
      <c r="QD238" s="93">
        <v>1.1495415039999999</v>
      </c>
      <c r="QE238" s="20">
        <v>5.5921723559999998</v>
      </c>
      <c r="QF238" s="1739">
        <v>171</v>
      </c>
      <c r="QG238" s="19"/>
      <c r="QH238" s="1035">
        <v>614.09430818091084</v>
      </c>
      <c r="QI238" s="1035">
        <v>758.80422609955951</v>
      </c>
      <c r="QJ238" s="1035">
        <v>-144.70991791864864</v>
      </c>
      <c r="QK238" s="1035">
        <v>171.785</v>
      </c>
      <c r="QL238" s="1035">
        <v>46.712000000000003</v>
      </c>
      <c r="QM238" s="1035">
        <v>125.07299999999999</v>
      </c>
      <c r="QN238" s="1035">
        <v>0</v>
      </c>
      <c r="QO238" s="1035">
        <v>1.4550000000000125</v>
      </c>
      <c r="QP238" s="1035">
        <v>201.35300000000001</v>
      </c>
      <c r="QQ238" s="1035">
        <v>-199.898</v>
      </c>
      <c r="QR238" s="1035">
        <v>1630.3947739004407</v>
      </c>
      <c r="QS238" s="1035">
        <v>20.610248473465539</v>
      </c>
      <c r="QT238" s="1035">
        <v>0</v>
      </c>
      <c r="QU238" s="1035">
        <v>162.79</v>
      </c>
      <c r="QV238" s="1035">
        <v>1446.9945254269751</v>
      </c>
      <c r="QW238" s="93"/>
      <c r="QX238" s="93">
        <v>352.726</v>
      </c>
      <c r="QY238" s="93">
        <v>819.21212590101788</v>
      </c>
      <c r="QZ238" s="93">
        <v>854.29795618033336</v>
      </c>
      <c r="RA238" s="93">
        <v>0</v>
      </c>
      <c r="RB238" s="93">
        <v>40.752999999999993</v>
      </c>
      <c r="RC238" s="93">
        <v>6.8540000000000001</v>
      </c>
      <c r="RD238" s="93">
        <v>10.885999999999999</v>
      </c>
      <c r="RE238" s="93">
        <v>0</v>
      </c>
      <c r="RF238" s="93">
        <v>0</v>
      </c>
      <c r="RG238" s="93">
        <v>247.905</v>
      </c>
      <c r="RH238" s="93">
        <v>85.095000000000013</v>
      </c>
      <c r="RI238" s="93"/>
      <c r="RJ238" s="93"/>
      <c r="RK238" s="93"/>
      <c r="RL238" s="93"/>
      <c r="RM238" s="734"/>
      <c r="RN238" s="29">
        <v>171</v>
      </c>
      <c r="RO238" s="19">
        <v>107</v>
      </c>
      <c r="RP238" s="20"/>
      <c r="RQ238" s="29">
        <v>171</v>
      </c>
      <c r="RR238" s="734">
        <v>2.9512057000000005</v>
      </c>
      <c r="RS238" s="29">
        <v>171</v>
      </c>
      <c r="RT238" s="1504">
        <v>41699</v>
      </c>
      <c r="RU238" s="19"/>
      <c r="RV238" s="20"/>
      <c r="RW238" s="29">
        <v>171</v>
      </c>
      <c r="RX238" s="1504">
        <v>41699</v>
      </c>
      <c r="RY238" s="29"/>
      <c r="RZ238" s="734"/>
      <c r="SA238" s="29"/>
      <c r="SB238" s="29">
        <v>171</v>
      </c>
    </row>
    <row r="239" spans="1:496">
      <c r="A239" s="41">
        <f t="shared" si="208"/>
        <v>2014</v>
      </c>
      <c r="B239" s="1504">
        <v>41730</v>
      </c>
      <c r="C239" s="1813">
        <v>1188</v>
      </c>
      <c r="D239" s="1814">
        <v>19896</v>
      </c>
      <c r="E239" s="1814">
        <v>121</v>
      </c>
      <c r="F239" s="1815">
        <v>287</v>
      </c>
      <c r="G239" s="1814">
        <v>96097</v>
      </c>
      <c r="H239" s="1814">
        <v>34</v>
      </c>
      <c r="I239" s="1814">
        <v>31478</v>
      </c>
      <c r="J239" s="1816">
        <v>16264</v>
      </c>
      <c r="K239" s="1807">
        <v>165365</v>
      </c>
      <c r="L239" s="25">
        <v>172</v>
      </c>
      <c r="M239" s="97"/>
      <c r="N239" s="1504">
        <v>41730</v>
      </c>
      <c r="O239" s="19"/>
      <c r="P239" s="93"/>
      <c r="Q239" s="93"/>
      <c r="R239" s="93"/>
      <c r="S239" s="93"/>
      <c r="T239" s="93"/>
      <c r="U239" s="93"/>
      <c r="V239" s="93"/>
      <c r="W239" s="93"/>
      <c r="X239" s="93"/>
      <c r="Y239" s="93"/>
      <c r="Z239" s="93"/>
      <c r="AA239" s="93"/>
      <c r="AB239" s="20"/>
      <c r="AC239" s="25">
        <v>172</v>
      </c>
      <c r="AD239" s="97"/>
      <c r="AE239" s="1504">
        <v>41730</v>
      </c>
      <c r="AF239" s="19"/>
      <c r="AG239" s="93"/>
      <c r="AH239" s="93"/>
      <c r="AI239" s="93"/>
      <c r="AJ239" s="93"/>
      <c r="AK239" s="93"/>
      <c r="AL239" s="93"/>
      <c r="AM239" s="93"/>
      <c r="AN239" s="93"/>
      <c r="AO239" s="93"/>
      <c r="AP239" s="93"/>
      <c r="AQ239" s="93"/>
      <c r="AR239" s="93"/>
      <c r="AS239" s="20"/>
      <c r="AT239" s="25">
        <v>172</v>
      </c>
      <c r="AU239" s="97"/>
      <c r="AV239" s="1504">
        <v>41730</v>
      </c>
      <c r="AW239" s="19"/>
      <c r="AX239" s="93"/>
      <c r="AY239" s="93"/>
      <c r="AZ239" s="93"/>
      <c r="BA239" s="93"/>
      <c r="BB239" s="93"/>
      <c r="BC239" s="93"/>
      <c r="BD239" s="93"/>
      <c r="BE239" s="93"/>
      <c r="BF239" s="93"/>
      <c r="BG239" s="93"/>
      <c r="BH239" s="93"/>
      <c r="BI239" s="93"/>
      <c r="BJ239" s="20"/>
      <c r="BK239" s="25">
        <v>172</v>
      </c>
      <c r="BL239" s="97"/>
      <c r="BM239" s="1504">
        <v>41730</v>
      </c>
      <c r="BN239" s="19"/>
      <c r="BO239" s="93"/>
      <c r="BP239" s="93"/>
      <c r="BQ239" s="93"/>
      <c r="BR239" s="93"/>
      <c r="BS239" s="93"/>
      <c r="BT239" s="93"/>
      <c r="BU239" s="20"/>
      <c r="BV239" s="25">
        <v>172</v>
      </c>
      <c r="BW239" s="97"/>
      <c r="BX239" s="1504">
        <v>41730</v>
      </c>
      <c r="BY239" s="179">
        <v>474.78</v>
      </c>
      <c r="BZ239" s="99">
        <v>664.95699999999999</v>
      </c>
      <c r="CA239" s="93"/>
      <c r="CB239" s="93"/>
      <c r="CC239" s="99">
        <v>173.19</v>
      </c>
      <c r="CD239" s="25">
        <v>172</v>
      </c>
      <c r="CE239" s="97"/>
      <c r="CF239" s="1504">
        <v>41730</v>
      </c>
      <c r="CG239" s="1508">
        <v>2.0767520400000001</v>
      </c>
      <c r="CH239" s="568">
        <v>1298.45</v>
      </c>
      <c r="CI239" s="1708">
        <v>104.866666666667</v>
      </c>
      <c r="CJ239" s="1509">
        <v>107.79</v>
      </c>
      <c r="CK239" s="1508">
        <v>399.29</v>
      </c>
      <c r="CL239" s="568">
        <v>222.3583376</v>
      </c>
      <c r="CM239" s="568">
        <v>0.39132004999999997</v>
      </c>
      <c r="CN239" s="568">
        <v>0.45114263999999998</v>
      </c>
      <c r="CO239" s="568">
        <v>324.81404279999998</v>
      </c>
      <c r="CP239" s="1509">
        <v>4.3514789560000002</v>
      </c>
      <c r="CQ239" s="1708">
        <v>1366.87</v>
      </c>
      <c r="CR239" s="568">
        <v>2.08666666666667</v>
      </c>
      <c r="CS239" s="568">
        <v>2.1541999999999999</v>
      </c>
      <c r="CT239" s="568">
        <v>111.5</v>
      </c>
      <c r="CU239" s="568">
        <v>114.581</v>
      </c>
      <c r="CV239" s="1709">
        <v>2027.21</v>
      </c>
      <c r="CW239" s="29">
        <v>172</v>
      </c>
      <c r="CX239" s="41">
        <f t="shared" si="209"/>
        <v>2014</v>
      </c>
      <c r="CY239" s="1504">
        <v>41730</v>
      </c>
      <c r="CZ239" s="1916">
        <v>103.696144</v>
      </c>
      <c r="DA239" s="1526">
        <v>63.683067999999999</v>
      </c>
      <c r="DB239" s="1526">
        <v>40.013075999999998</v>
      </c>
      <c r="DC239" s="182">
        <f t="shared" si="219"/>
        <v>508499</v>
      </c>
      <c r="DD239" s="182">
        <f t="shared" si="220"/>
        <v>507074</v>
      </c>
      <c r="DE239" s="182">
        <f t="shared" si="221"/>
        <v>1425</v>
      </c>
      <c r="DF239" s="29">
        <v>172</v>
      </c>
      <c r="DG239" s="1504">
        <v>41730</v>
      </c>
      <c r="DH239" s="19"/>
      <c r="DI239" s="93"/>
      <c r="DJ239" s="93"/>
      <c r="DK239" s="93"/>
      <c r="DL239" s="93"/>
      <c r="DM239" s="93"/>
      <c r="DN239" s="20"/>
      <c r="DO239" s="25"/>
      <c r="DP239" s="29">
        <v>172</v>
      </c>
      <c r="DQ239" s="1504">
        <v>41730</v>
      </c>
      <c r="DR239" s="19">
        <v>28.161999999999999</v>
      </c>
      <c r="DS239" s="93">
        <v>0.86599999999999999</v>
      </c>
      <c r="DT239" s="93">
        <v>41.970500000000001</v>
      </c>
      <c r="DU239" s="93">
        <v>9.3792240000000007</v>
      </c>
      <c r="DV239" s="93">
        <v>20.759656</v>
      </c>
      <c r="DW239" s="93">
        <v>3.4809999999999999</v>
      </c>
      <c r="DX239" s="1719">
        <v>6.9795127809000022</v>
      </c>
      <c r="DY239" s="29">
        <v>172</v>
      </c>
      <c r="DZ239" s="1504">
        <v>41730</v>
      </c>
      <c r="EA239" s="19"/>
      <c r="EB239" s="93"/>
      <c r="EC239" s="20"/>
      <c r="ED239" s="29"/>
      <c r="EE239" s="1504">
        <v>41730</v>
      </c>
      <c r="EF239" s="419">
        <f>(((EF238/EF237-1)+(EF237/EF236-1))^1/2+1)*EF238</f>
        <v>20550.548151966432</v>
      </c>
      <c r="EG239" s="100">
        <f t="shared" si="224"/>
        <v>16000.765732405674</v>
      </c>
      <c r="EH239" s="100">
        <f t="shared" si="224"/>
        <v>34246.625815896332</v>
      </c>
      <c r="EI239" s="420">
        <f t="shared" si="224"/>
        <v>14528.892815577177</v>
      </c>
      <c r="EJ239" s="100">
        <f t="shared" si="224"/>
        <v>286.70864044911127</v>
      </c>
      <c r="EK239" s="100">
        <f t="shared" si="224"/>
        <v>4460.4409251717352</v>
      </c>
      <c r="EL239" s="100">
        <f t="shared" si="224"/>
        <v>23.088917203776912</v>
      </c>
      <c r="EM239" s="100">
        <f t="shared" si="224"/>
        <v>0.68136928902807947</v>
      </c>
      <c r="EN239" s="306">
        <f t="shared" si="224"/>
        <v>893.34996078913832</v>
      </c>
      <c r="EO239" s="29">
        <v>172</v>
      </c>
      <c r="EP239" s="1504">
        <v>41730</v>
      </c>
      <c r="EQ239" s="419">
        <f t="shared" si="223"/>
        <v>21155.244157954909</v>
      </c>
      <c r="ER239" s="100">
        <f t="shared" si="223"/>
        <v>15264.182354690682</v>
      </c>
      <c r="ES239" s="100">
        <f t="shared" si="223"/>
        <v>34219.929893278808</v>
      </c>
      <c r="ET239" s="420">
        <f t="shared" si="223"/>
        <v>14963.620082387899</v>
      </c>
      <c r="EU239" s="100">
        <f t="shared" si="223"/>
        <v>286.70864044911127</v>
      </c>
      <c r="EV239" s="100">
        <f t="shared" si="223"/>
        <v>4461.3027617273865</v>
      </c>
      <c r="EW239" s="100">
        <f t="shared" si="223"/>
        <v>23.088917203776912</v>
      </c>
      <c r="EX239" s="100">
        <f t="shared" si="223"/>
        <v>0.68136928902807947</v>
      </c>
      <c r="EY239" s="306">
        <f t="shared" si="223"/>
        <v>893.40288642688097</v>
      </c>
      <c r="EZ239" s="29">
        <v>172</v>
      </c>
      <c r="FA239" s="1504">
        <v>41730</v>
      </c>
      <c r="FB239" s="29"/>
      <c r="FC239" s="29"/>
      <c r="FD239" s="29"/>
      <c r="FE239" s="29"/>
      <c r="FF239" s="29"/>
      <c r="FG239" s="29"/>
      <c r="FH239" s="29"/>
      <c r="FI239" s="29"/>
      <c r="FJ239" s="29"/>
      <c r="FK239" s="29">
        <v>172</v>
      </c>
      <c r="FL239" s="1504">
        <v>41730</v>
      </c>
      <c r="FM239" s="19">
        <v>105.26</v>
      </c>
      <c r="FN239" s="93">
        <v>108.33</v>
      </c>
      <c r="FO239" s="93">
        <v>98.72</v>
      </c>
      <c r="FP239" s="93">
        <v>101.84</v>
      </c>
      <c r="FQ239" s="93">
        <v>113.8</v>
      </c>
      <c r="FR239" s="93">
        <v>98.79</v>
      </c>
      <c r="FS239" s="93">
        <v>100.9</v>
      </c>
      <c r="FT239" s="93">
        <v>114.59</v>
      </c>
      <c r="FU239" s="93">
        <v>64.16</v>
      </c>
      <c r="FV239" s="93">
        <v>96.27</v>
      </c>
      <c r="FW239" s="93">
        <v>104.38</v>
      </c>
      <c r="FX239" s="93">
        <v>113.21</v>
      </c>
      <c r="FY239" s="93">
        <v>105.01</v>
      </c>
      <c r="FZ239" s="29">
        <v>172</v>
      </c>
      <c r="GA239" s="1504">
        <v>41730</v>
      </c>
      <c r="GB239" s="19">
        <v>105.3</v>
      </c>
      <c r="GC239" s="93">
        <v>107.7</v>
      </c>
      <c r="GD239" s="93">
        <v>103.8</v>
      </c>
      <c r="GE239" s="93">
        <v>112.7</v>
      </c>
      <c r="GF239" s="93">
        <v>102.5</v>
      </c>
      <c r="GG239" s="93">
        <v>105.3</v>
      </c>
      <c r="GH239" s="93"/>
      <c r="GI239" s="93"/>
      <c r="GJ239" s="93"/>
      <c r="GK239" s="93"/>
      <c r="GL239" s="93"/>
      <c r="GM239" s="93"/>
      <c r="GN239" s="20"/>
      <c r="GO239" s="29">
        <v>172</v>
      </c>
      <c r="GP239" s="1504">
        <v>41730</v>
      </c>
      <c r="GQ239" s="19"/>
      <c r="GR239" s="93"/>
      <c r="GS239" s="93"/>
      <c r="GT239" s="93"/>
      <c r="GU239" s="93"/>
      <c r="GV239" s="20"/>
      <c r="GW239" s="19"/>
      <c r="GX239" s="93"/>
      <c r="GY239" s="93"/>
      <c r="GZ239" s="93"/>
      <c r="HA239" s="93"/>
      <c r="HB239" s="20"/>
      <c r="HC239" s="19"/>
      <c r="HD239" s="93"/>
      <c r="HE239" s="93"/>
      <c r="HF239" s="93"/>
      <c r="HG239" s="93"/>
      <c r="HH239" s="20"/>
      <c r="HI239" s="19"/>
      <c r="HJ239" s="93"/>
      <c r="HK239" s="93"/>
      <c r="HL239" s="93"/>
      <c r="HM239" s="93"/>
      <c r="HN239" s="20"/>
      <c r="HO239" s="219"/>
      <c r="HP239" s="20"/>
      <c r="HQ239" s="25"/>
      <c r="HR239" s="29">
        <v>172</v>
      </c>
      <c r="HS239" s="1504">
        <v>41730</v>
      </c>
      <c r="HT239" s="179">
        <v>212.82790374755859</v>
      </c>
      <c r="HU239" s="99">
        <v>250</v>
      </c>
      <c r="HV239" s="99">
        <v>184.56375122070313</v>
      </c>
      <c r="HW239" s="99">
        <v>115.38462066650391</v>
      </c>
      <c r="HX239" s="99">
        <v>185</v>
      </c>
      <c r="HY239" s="99">
        <v>183.43164110183716</v>
      </c>
      <c r="HZ239" s="99">
        <v>206.42201995849609</v>
      </c>
      <c r="IA239" s="132">
        <v>174.01961517333984</v>
      </c>
      <c r="IB239" s="179">
        <v>198.85057067871094</v>
      </c>
      <c r="IC239" s="99">
        <v>151.51515197753906</v>
      </c>
      <c r="ID239" s="99">
        <v>142.85714721679688</v>
      </c>
      <c r="IE239" s="99">
        <v>140.42403157552084</v>
      </c>
      <c r="IF239" s="99">
        <v>161.91950378417968</v>
      </c>
      <c r="IG239" s="132">
        <v>162.16650390625</v>
      </c>
      <c r="IH239" s="179">
        <v>115.69707870483398</v>
      </c>
      <c r="II239" s="99">
        <v>214.35045623779297</v>
      </c>
      <c r="IJ239" s="99">
        <v>147.44485982259116</v>
      </c>
      <c r="IK239" s="99">
        <v>142.59927368164063</v>
      </c>
      <c r="IL239" s="99">
        <v>122.74096298217773</v>
      </c>
      <c r="IM239" s="99">
        <v>127.41936111450195</v>
      </c>
      <c r="IN239" s="93"/>
      <c r="IO239" s="132">
        <v>140.625</v>
      </c>
      <c r="IP239" s="29">
        <v>172</v>
      </c>
      <c r="IQ239" s="19"/>
      <c r="IR239" s="93"/>
      <c r="IS239" s="93"/>
      <c r="IT239" s="93"/>
      <c r="IU239" s="93"/>
      <c r="IV239" s="20"/>
      <c r="IW239" s="29">
        <v>172</v>
      </c>
      <c r="IX239" s="19"/>
      <c r="IY239" s="93"/>
      <c r="IZ239" s="93"/>
      <c r="JA239" s="93"/>
      <c r="JB239" s="93"/>
      <c r="JC239" s="93"/>
      <c r="JD239" s="93"/>
      <c r="JE239" s="20"/>
      <c r="JF239" s="29">
        <v>172</v>
      </c>
      <c r="JG239" s="19"/>
      <c r="JH239" s="93"/>
      <c r="JI239" s="93"/>
      <c r="JJ239" s="93"/>
      <c r="JK239" s="93"/>
      <c r="JL239" s="93"/>
      <c r="JM239" s="93"/>
      <c r="JN239" s="20"/>
      <c r="JO239" s="29">
        <v>172</v>
      </c>
      <c r="JP239" s="19"/>
      <c r="JQ239" s="93"/>
      <c r="JR239" s="93"/>
      <c r="JS239" s="93"/>
      <c r="JT239" s="93"/>
      <c r="JU239" s="20"/>
      <c r="JV239" s="29">
        <v>172</v>
      </c>
      <c r="JW239" s="1504">
        <v>41730</v>
      </c>
      <c r="JX239" s="19"/>
      <c r="JY239" s="93"/>
      <c r="JZ239" s="93"/>
      <c r="KA239" s="93"/>
      <c r="KB239" s="93"/>
      <c r="KC239" s="93"/>
      <c r="KD239" s="20"/>
      <c r="KE239" s="29">
        <v>172</v>
      </c>
      <c r="KF239" s="19"/>
      <c r="KG239" s="93"/>
      <c r="KH239" s="93"/>
      <c r="KI239" s="93"/>
      <c r="KJ239" s="93"/>
      <c r="KK239" s="20"/>
      <c r="KL239" s="29">
        <v>172</v>
      </c>
      <c r="KM239" s="19"/>
      <c r="KN239" s="93"/>
      <c r="KO239" s="93"/>
      <c r="KP239" s="93"/>
      <c r="KQ239" s="93"/>
      <c r="KR239" s="20"/>
      <c r="KS239" s="29">
        <v>172</v>
      </c>
      <c r="KT239" s="19"/>
      <c r="KU239" s="93"/>
      <c r="KV239" s="93"/>
      <c r="KW239" s="93"/>
      <c r="KX239" s="93"/>
      <c r="KY239" s="20"/>
      <c r="KZ239" s="29">
        <v>172</v>
      </c>
      <c r="LA239" s="1504">
        <v>41730</v>
      </c>
      <c r="LB239" s="19">
        <v>510</v>
      </c>
      <c r="LC239" s="93">
        <v>740</v>
      </c>
      <c r="LD239" s="93">
        <v>732</v>
      </c>
      <c r="LE239" s="93"/>
      <c r="LF239" s="93">
        <v>656</v>
      </c>
      <c r="LG239" s="93"/>
      <c r="LH239" s="20"/>
      <c r="LI239" s="29">
        <v>172</v>
      </c>
      <c r="LJ239" s="19"/>
      <c r="LK239" s="93"/>
      <c r="LL239" s="93"/>
      <c r="LM239" s="93"/>
      <c r="LN239" s="93"/>
      <c r="LO239" s="20"/>
      <c r="LP239" s="29">
        <v>172</v>
      </c>
      <c r="LQ239" s="19"/>
      <c r="LR239" s="93">
        <v>188</v>
      </c>
      <c r="LS239" s="93">
        <v>445</v>
      </c>
      <c r="LT239" s="93">
        <v>535</v>
      </c>
      <c r="LU239" s="93">
        <v>1070</v>
      </c>
      <c r="LV239" s="93"/>
      <c r="LW239" s="93">
        <v>5</v>
      </c>
      <c r="LX239" s="93">
        <v>10</v>
      </c>
      <c r="LY239" s="93">
        <v>60</v>
      </c>
      <c r="LZ239" s="93"/>
      <c r="MA239" s="20">
        <v>1070</v>
      </c>
      <c r="MB239" s="29">
        <v>172</v>
      </c>
      <c r="MC239" s="1504">
        <v>41730</v>
      </c>
      <c r="MD239" s="19"/>
      <c r="ME239" s="93"/>
      <c r="MF239" s="93"/>
      <c r="MG239" s="93"/>
      <c r="MH239" s="93"/>
      <c r="MI239" s="93"/>
      <c r="MJ239" s="93"/>
      <c r="MK239" s="93"/>
      <c r="ML239" s="93"/>
      <c r="MM239" s="93"/>
      <c r="MN239" s="93"/>
      <c r="MO239" s="93"/>
      <c r="MP239" s="93"/>
      <c r="MQ239" s="93"/>
      <c r="MR239" s="93"/>
      <c r="MS239" s="93"/>
      <c r="MT239" s="93"/>
      <c r="MU239" s="93"/>
      <c r="MV239" s="93"/>
      <c r="MW239" s="93"/>
      <c r="MX239" s="93"/>
      <c r="MY239" s="93"/>
      <c r="MZ239" s="93"/>
      <c r="NA239" s="93"/>
      <c r="NB239" s="93"/>
      <c r="NC239" s="93"/>
      <c r="ND239" s="93"/>
      <c r="NE239" s="93"/>
      <c r="NF239" s="93"/>
      <c r="NG239" s="93"/>
      <c r="NH239" s="93"/>
      <c r="NI239" s="93"/>
      <c r="NJ239" s="93"/>
      <c r="NK239" s="93"/>
      <c r="NL239" s="93"/>
      <c r="NM239" s="93"/>
      <c r="NN239" s="93"/>
      <c r="NO239" s="93"/>
      <c r="NP239" s="93"/>
      <c r="NQ239" s="93"/>
      <c r="NR239" s="93"/>
      <c r="NS239" s="93"/>
      <c r="NT239" s="93"/>
      <c r="NU239" s="93"/>
      <c r="NV239" s="93"/>
      <c r="NW239" s="93"/>
      <c r="NX239" s="93"/>
      <c r="NY239" s="93"/>
      <c r="NZ239" s="93"/>
      <c r="OA239" s="93"/>
      <c r="OB239" s="93"/>
      <c r="OC239" s="93"/>
      <c r="OD239" s="20"/>
      <c r="OE239" s="29">
        <v>172</v>
      </c>
      <c r="OF239" s="1504">
        <v>41730</v>
      </c>
      <c r="OG239" s="19"/>
      <c r="OH239" s="93">
        <v>77.503199999999993</v>
      </c>
      <c r="OI239" s="93">
        <v>980.61126079287328</v>
      </c>
      <c r="OJ239" s="93">
        <v>0.66223397500000003</v>
      </c>
      <c r="OK239" s="93">
        <v>843.39292681787322</v>
      </c>
      <c r="OL239" s="93">
        <v>136.55610000000001</v>
      </c>
      <c r="OM239" s="93">
        <v>1058.1144607928732</v>
      </c>
      <c r="ON239" s="93">
        <v>842.14797801532859</v>
      </c>
      <c r="OO239" s="93">
        <v>1900.2624388082018</v>
      </c>
      <c r="OP239" s="93"/>
      <c r="OQ239" s="93">
        <v>527.47319314479705</v>
      </c>
      <c r="OR239" s="93">
        <v>-119.64169923400001</v>
      </c>
      <c r="OS239" s="93">
        <v>647.11489237879709</v>
      </c>
      <c r="OT239" s="93">
        <v>1604.9859548214044</v>
      </c>
      <c r="OU239" s="93">
        <v>-42.01075562799997</v>
      </c>
      <c r="OV239" s="93">
        <v>7.5092443720000146</v>
      </c>
      <c r="OW239" s="93">
        <v>-49.519999999999982</v>
      </c>
      <c r="OX239" s="93">
        <v>1646.9967104494044</v>
      </c>
      <c r="OY239" s="93">
        <v>4.2966979950000006</v>
      </c>
      <c r="OZ239" s="93">
        <v>1642.7000124544045</v>
      </c>
      <c r="PA239" s="93">
        <v>293.47325669700001</v>
      </c>
      <c r="PB239" s="93">
        <v>-61.276547538999949</v>
      </c>
      <c r="PC239" s="20">
        <v>1900.2624388082011</v>
      </c>
      <c r="PD239" s="29">
        <v>172</v>
      </c>
      <c r="PE239" s="19"/>
      <c r="PF239" s="93">
        <v>-119.64169923400001</v>
      </c>
      <c r="PG239" s="93">
        <v>120.88225673299999</v>
      </c>
      <c r="PH239" s="93">
        <v>240.52395596700001</v>
      </c>
      <c r="PI239" s="93">
        <v>345.16199999999998</v>
      </c>
      <c r="PJ239" s="93">
        <v>11.950244372000014</v>
      </c>
      <c r="PK239" s="93">
        <v>132.87138548900001</v>
      </c>
      <c r="PL239" s="93">
        <v>120.92114111699999</v>
      </c>
      <c r="PM239" s="93">
        <v>4.2966979950000006</v>
      </c>
      <c r="PN239" s="93">
        <v>0.79800000000000004</v>
      </c>
      <c r="PO239" s="93">
        <v>0</v>
      </c>
      <c r="PP239" s="93">
        <v>2.3448300000000001E-4</v>
      </c>
      <c r="PQ239" s="93">
        <v>3.4984635120000003</v>
      </c>
      <c r="PR239" s="93">
        <v>261.21832866199998</v>
      </c>
      <c r="PS239" s="93">
        <v>129.63919999999999</v>
      </c>
      <c r="PT239" s="93">
        <v>130.916894687</v>
      </c>
      <c r="PU239" s="93">
        <v>0.66223397500000003</v>
      </c>
      <c r="PV239" s="93">
        <v>0</v>
      </c>
      <c r="PW239" s="93">
        <v>1.12025832</v>
      </c>
      <c r="PX239" s="93">
        <v>0</v>
      </c>
      <c r="PY239" s="93">
        <v>0</v>
      </c>
      <c r="PZ239" s="93">
        <v>1.12025832</v>
      </c>
      <c r="QA239" s="93">
        <v>0</v>
      </c>
      <c r="QB239" s="93">
        <v>0</v>
      </c>
      <c r="QC239" s="93">
        <v>0</v>
      </c>
      <c r="QD239" s="93">
        <v>2.0779983770000001</v>
      </c>
      <c r="QE239" s="20">
        <v>-22.649342226000009</v>
      </c>
      <c r="QF239" s="1739">
        <v>172</v>
      </c>
      <c r="QG239" s="19"/>
      <c r="QH239" s="1035">
        <v>647.11489237879709</v>
      </c>
      <c r="QI239" s="1035">
        <v>801.34498754559536</v>
      </c>
      <c r="QJ239" s="1035">
        <v>-154.23009516679821</v>
      </c>
      <c r="QK239" s="1035">
        <v>176.70099999999999</v>
      </c>
      <c r="QL239" s="1035">
        <v>47.695</v>
      </c>
      <c r="QM239" s="1035">
        <v>129.006</v>
      </c>
      <c r="QN239" s="1035">
        <v>0</v>
      </c>
      <c r="QO239" s="1035">
        <v>-49.519999999999982</v>
      </c>
      <c r="QP239" s="1035">
        <v>196.79000000000002</v>
      </c>
      <c r="QQ239" s="1035">
        <v>-246.31</v>
      </c>
      <c r="QR239" s="1035">
        <v>1642.7000124544045</v>
      </c>
      <c r="QS239" s="1035">
        <v>24.804320426388934</v>
      </c>
      <c r="QT239" s="1035">
        <v>0</v>
      </c>
      <c r="QU239" s="1035">
        <v>167.619</v>
      </c>
      <c r="QV239" s="1035">
        <v>1450.2766920280155</v>
      </c>
      <c r="QW239" s="93"/>
      <c r="QX239" s="93">
        <v>339.86</v>
      </c>
      <c r="QY239" s="93">
        <v>843.39292681787322</v>
      </c>
      <c r="QZ239" s="93">
        <v>842.14797801532859</v>
      </c>
      <c r="RA239" s="93">
        <v>0</v>
      </c>
      <c r="RB239" s="93">
        <v>40.872</v>
      </c>
      <c r="RC239" s="93">
        <v>6.8919999999999995</v>
      </c>
      <c r="RD239" s="93">
        <v>17.224</v>
      </c>
      <c r="RE239" s="93">
        <v>0</v>
      </c>
      <c r="RF239" s="93">
        <v>0</v>
      </c>
      <c r="RG239" s="93">
        <v>225.28700000000003</v>
      </c>
      <c r="RH239" s="93">
        <v>101.32000000000004</v>
      </c>
      <c r="RI239" s="93"/>
      <c r="RJ239" s="93"/>
      <c r="RK239" s="93"/>
      <c r="RL239" s="93"/>
      <c r="RM239" s="734"/>
      <c r="RN239" s="29">
        <v>172</v>
      </c>
      <c r="RO239" s="19">
        <v>100</v>
      </c>
      <c r="RP239" s="20"/>
      <c r="RQ239" s="29">
        <v>172</v>
      </c>
      <c r="RR239" s="734">
        <v>2.6505298000000002</v>
      </c>
      <c r="RS239" s="29">
        <v>172</v>
      </c>
      <c r="RT239" s="1504">
        <v>41730</v>
      </c>
      <c r="RU239" s="19"/>
      <c r="RV239" s="20"/>
      <c r="RW239" s="29">
        <v>172</v>
      </c>
      <c r="RX239" s="1504">
        <v>41730</v>
      </c>
      <c r="RY239" s="29"/>
      <c r="RZ239" s="734"/>
      <c r="SA239" s="29"/>
      <c r="SB239" s="29">
        <v>172</v>
      </c>
    </row>
    <row r="240" spans="1:496">
      <c r="A240" s="41">
        <f t="shared" si="208"/>
        <v>2014</v>
      </c>
      <c r="B240" s="1504">
        <v>41760</v>
      </c>
      <c r="C240" s="1813">
        <v>1182</v>
      </c>
      <c r="D240" s="1814">
        <v>21298</v>
      </c>
      <c r="E240" s="1814">
        <v>111</v>
      </c>
      <c r="F240" s="1815">
        <v>782</v>
      </c>
      <c r="G240" s="1814">
        <v>108179</v>
      </c>
      <c r="H240" s="1814">
        <v>30</v>
      </c>
      <c r="I240" s="1814">
        <v>36189</v>
      </c>
      <c r="J240" s="1816">
        <v>17446</v>
      </c>
      <c r="K240" s="1807">
        <v>185217</v>
      </c>
      <c r="L240" s="25">
        <v>173</v>
      </c>
      <c r="M240" s="97"/>
      <c r="N240" s="1504">
        <v>41760</v>
      </c>
      <c r="O240" s="19"/>
      <c r="P240" s="93"/>
      <c r="Q240" s="93"/>
      <c r="R240" s="93"/>
      <c r="S240" s="93"/>
      <c r="T240" s="93"/>
      <c r="U240" s="93"/>
      <c r="V240" s="93"/>
      <c r="W240" s="93"/>
      <c r="X240" s="93"/>
      <c r="Y240" s="93"/>
      <c r="Z240" s="93"/>
      <c r="AA240" s="93"/>
      <c r="AB240" s="20"/>
      <c r="AC240" s="25">
        <v>173</v>
      </c>
      <c r="AD240" s="97"/>
      <c r="AE240" s="1504">
        <v>41760</v>
      </c>
      <c r="AF240" s="19"/>
      <c r="AG240" s="93"/>
      <c r="AH240" s="93"/>
      <c r="AI240" s="93"/>
      <c r="AJ240" s="93"/>
      <c r="AK240" s="93"/>
      <c r="AL240" s="93"/>
      <c r="AM240" s="93"/>
      <c r="AN240" s="93"/>
      <c r="AO240" s="93"/>
      <c r="AP240" s="93"/>
      <c r="AQ240" s="93"/>
      <c r="AR240" s="93"/>
      <c r="AS240" s="20"/>
      <c r="AT240" s="25">
        <v>173</v>
      </c>
      <c r="AU240" s="97"/>
      <c r="AV240" s="1504">
        <v>41760</v>
      </c>
      <c r="AW240" s="19"/>
      <c r="AX240" s="93"/>
      <c r="AY240" s="93"/>
      <c r="AZ240" s="93"/>
      <c r="BA240" s="93"/>
      <c r="BB240" s="93"/>
      <c r="BC240" s="93"/>
      <c r="BD240" s="93"/>
      <c r="BE240" s="93"/>
      <c r="BF240" s="93"/>
      <c r="BG240" s="93"/>
      <c r="BH240" s="93"/>
      <c r="BI240" s="93"/>
      <c r="BJ240" s="20"/>
      <c r="BK240" s="25">
        <v>173</v>
      </c>
      <c r="BL240" s="97"/>
      <c r="BM240" s="1504">
        <v>41760</v>
      </c>
      <c r="BN240" s="19"/>
      <c r="BO240" s="93"/>
      <c r="BP240" s="93"/>
      <c r="BQ240" s="93"/>
      <c r="BR240" s="93"/>
      <c r="BS240" s="93"/>
      <c r="BT240" s="93"/>
      <c r="BU240" s="20"/>
      <c r="BV240" s="25">
        <v>173</v>
      </c>
      <c r="BW240" s="97"/>
      <c r="BX240" s="1504">
        <v>41760</v>
      </c>
      <c r="BY240" s="179">
        <v>477.5</v>
      </c>
      <c r="BZ240" s="99">
        <v>664.95699999999999</v>
      </c>
      <c r="CA240" s="93"/>
      <c r="CB240" s="93"/>
      <c r="CC240" s="99">
        <v>167.09</v>
      </c>
      <c r="CD240" s="25">
        <v>173</v>
      </c>
      <c r="CE240" s="97"/>
      <c r="CF240" s="1504">
        <v>41760</v>
      </c>
      <c r="CG240" s="1508">
        <v>2.0439032020000001</v>
      </c>
      <c r="CH240" s="568">
        <v>1288.74</v>
      </c>
      <c r="CI240" s="1708">
        <v>105.713333333333</v>
      </c>
      <c r="CJ240" s="1509">
        <v>109.68</v>
      </c>
      <c r="CK240" s="1508">
        <v>391.55</v>
      </c>
      <c r="CL240" s="568">
        <v>217.29561279999999</v>
      </c>
      <c r="CM240" s="568">
        <v>0.40278407399999999</v>
      </c>
      <c r="CN240" s="568">
        <v>0.44869344</v>
      </c>
      <c r="CO240" s="568">
        <v>334.73483370000002</v>
      </c>
      <c r="CP240" s="1509">
        <v>4.382233405</v>
      </c>
      <c r="CQ240" s="1708">
        <v>1366.87</v>
      </c>
      <c r="CR240" s="568">
        <v>1.9624999999999999</v>
      </c>
      <c r="CS240" s="568">
        <v>2.0215000000000001</v>
      </c>
      <c r="CT240" s="568">
        <v>112.625</v>
      </c>
      <c r="CU240" s="568">
        <v>100.56</v>
      </c>
      <c r="CV240" s="1709">
        <v>2058.9699999999998</v>
      </c>
      <c r="CW240" s="29">
        <v>173</v>
      </c>
      <c r="CX240" s="41">
        <f t="shared" si="209"/>
        <v>2014</v>
      </c>
      <c r="CY240" s="1504">
        <v>41760</v>
      </c>
      <c r="CZ240" s="1916">
        <v>106.82654600000001</v>
      </c>
      <c r="DA240" s="1526">
        <v>68.353819000000001</v>
      </c>
      <c r="DB240" s="1526">
        <v>38.472726999999999</v>
      </c>
      <c r="DC240" s="182">
        <f t="shared" si="219"/>
        <v>508499</v>
      </c>
      <c r="DD240" s="182">
        <f t="shared" si="220"/>
        <v>507074</v>
      </c>
      <c r="DE240" s="182">
        <f t="shared" si="221"/>
        <v>1425</v>
      </c>
      <c r="DF240" s="29">
        <v>173</v>
      </c>
      <c r="DG240" s="1504">
        <v>41760</v>
      </c>
      <c r="DH240" s="19"/>
      <c r="DI240" s="93"/>
      <c r="DJ240" s="93"/>
      <c r="DK240" s="93"/>
      <c r="DL240" s="93"/>
      <c r="DM240" s="93"/>
      <c r="DN240" s="20"/>
      <c r="DO240" s="25"/>
      <c r="DP240" s="29">
        <v>173</v>
      </c>
      <c r="DQ240" s="1504">
        <v>41760</v>
      </c>
      <c r="DR240" s="19">
        <v>28.037500000000001</v>
      </c>
      <c r="DS240" s="93">
        <v>0.65800000000000003</v>
      </c>
      <c r="DT240" s="93">
        <v>38.158499999999997</v>
      </c>
      <c r="DU240" s="93">
        <v>11.970658</v>
      </c>
      <c r="DV240" s="93">
        <v>28.927276999999997</v>
      </c>
      <c r="DW240" s="93">
        <v>3.5960000000000001</v>
      </c>
      <c r="DX240" s="1719">
        <v>7.6796521719000017</v>
      </c>
      <c r="DY240" s="29">
        <v>173</v>
      </c>
      <c r="DZ240" s="1504">
        <v>41760</v>
      </c>
      <c r="EA240" s="19"/>
      <c r="EB240" s="93"/>
      <c r="EC240" s="20"/>
      <c r="ED240" s="29"/>
      <c r="EE240" s="1504">
        <v>41760</v>
      </c>
      <c r="EF240" s="419">
        <f>(((EF239/EF238-1)+(EF238/EF237-1))^1/2+1)*EF239</f>
        <v>21798.356421203702</v>
      </c>
      <c r="EG240" s="100">
        <f t="shared" si="224"/>
        <v>16222.007171536727</v>
      </c>
      <c r="EH240" s="100">
        <f t="shared" si="224"/>
        <v>35008.443907491586</v>
      </c>
      <c r="EI240" s="420">
        <f t="shared" si="224"/>
        <v>19065.804618648664</v>
      </c>
      <c r="EJ240" s="100">
        <f t="shared" si="224"/>
        <v>259.1310813923551</v>
      </c>
      <c r="EK240" s="100">
        <f t="shared" si="224"/>
        <v>9307.1223172121299</v>
      </c>
      <c r="EL240" s="100">
        <f t="shared" si="224"/>
        <v>28.093970615322554</v>
      </c>
      <c r="EM240" s="100">
        <f t="shared" si="224"/>
        <v>0.43147493118528485</v>
      </c>
      <c r="EN240" s="306">
        <f t="shared" si="224"/>
        <v>953.7923672373546</v>
      </c>
      <c r="EO240" s="29">
        <v>173</v>
      </c>
      <c r="EP240" s="1504">
        <v>41760</v>
      </c>
      <c r="EQ240" s="419">
        <f t="shared" si="223"/>
        <v>22699.87964996932</v>
      </c>
      <c r="ER240" s="100">
        <f t="shared" si="223"/>
        <v>15371.36680769377</v>
      </c>
      <c r="ES240" s="100">
        <f t="shared" si="223"/>
        <v>35132.730363337796</v>
      </c>
      <c r="ET240" s="420">
        <f t="shared" si="223"/>
        <v>20137.742645994891</v>
      </c>
      <c r="EU240" s="100">
        <f t="shared" si="223"/>
        <v>259.1310813923551</v>
      </c>
      <c r="EV240" s="100">
        <f t="shared" si="223"/>
        <v>9309.3356939735786</v>
      </c>
      <c r="EW240" s="100">
        <f t="shared" si="223"/>
        <v>28.093970615322554</v>
      </c>
      <c r="EX240" s="100">
        <f t="shared" si="223"/>
        <v>0.43147493118528485</v>
      </c>
      <c r="EY240" s="306">
        <f t="shared" si="223"/>
        <v>953.86242924870362</v>
      </c>
      <c r="EZ240" s="29">
        <v>173</v>
      </c>
      <c r="FA240" s="1504">
        <v>41760</v>
      </c>
      <c r="FB240" s="29"/>
      <c r="FC240" s="29"/>
      <c r="FD240" s="29"/>
      <c r="FE240" s="29"/>
      <c r="FF240" s="29"/>
      <c r="FG240" s="29"/>
      <c r="FH240" s="29"/>
      <c r="FI240" s="29"/>
      <c r="FJ240" s="29"/>
      <c r="FK240" s="29">
        <v>173</v>
      </c>
      <c r="FL240" s="1504">
        <v>41760</v>
      </c>
      <c r="FM240" s="19">
        <v>107.35</v>
      </c>
      <c r="FN240" s="93">
        <v>112.81</v>
      </c>
      <c r="FO240" s="93">
        <v>98.77</v>
      </c>
      <c r="FP240" s="93">
        <v>101.84</v>
      </c>
      <c r="FQ240" s="93">
        <v>118.4</v>
      </c>
      <c r="FR240" s="93">
        <v>98.79</v>
      </c>
      <c r="FS240" s="93">
        <v>100.9</v>
      </c>
      <c r="FT240" s="93">
        <v>114.59</v>
      </c>
      <c r="FU240" s="93">
        <v>64.16</v>
      </c>
      <c r="FV240" s="93">
        <v>96.27</v>
      </c>
      <c r="FW240" s="93">
        <v>104.38</v>
      </c>
      <c r="FX240" s="93">
        <v>113.21</v>
      </c>
      <c r="FY240" s="93">
        <v>105.01</v>
      </c>
      <c r="FZ240" s="29">
        <v>173</v>
      </c>
      <c r="GA240" s="1504">
        <v>41760</v>
      </c>
      <c r="GB240" s="19">
        <v>107.35</v>
      </c>
      <c r="GC240" s="93">
        <v>109.05</v>
      </c>
      <c r="GD240" s="93">
        <v>106.41</v>
      </c>
      <c r="GE240" s="93">
        <v>116.28</v>
      </c>
      <c r="GF240" s="93">
        <v>110.74</v>
      </c>
      <c r="GG240" s="93">
        <v>107.35</v>
      </c>
      <c r="GH240" s="93"/>
      <c r="GI240" s="93"/>
      <c r="GJ240" s="93"/>
      <c r="GK240" s="93"/>
      <c r="GL240" s="93"/>
      <c r="GM240" s="93"/>
      <c r="GN240" s="20"/>
      <c r="GO240" s="29">
        <v>173</v>
      </c>
      <c r="GP240" s="1504">
        <v>41760</v>
      </c>
      <c r="GQ240" s="19"/>
      <c r="GR240" s="93"/>
      <c r="GS240" s="93"/>
      <c r="GT240" s="93"/>
      <c r="GU240" s="93"/>
      <c r="GV240" s="20"/>
      <c r="GW240" s="19"/>
      <c r="GX240" s="93"/>
      <c r="GY240" s="93"/>
      <c r="GZ240" s="93"/>
      <c r="HA240" s="93"/>
      <c r="HB240" s="20"/>
      <c r="HC240" s="19"/>
      <c r="HD240" s="93"/>
      <c r="HE240" s="93"/>
      <c r="HF240" s="93"/>
      <c r="HG240" s="93"/>
      <c r="HH240" s="20"/>
      <c r="HI240" s="19"/>
      <c r="HJ240" s="93"/>
      <c r="HK240" s="93"/>
      <c r="HL240" s="93"/>
      <c r="HM240" s="93"/>
      <c r="HN240" s="20"/>
      <c r="HO240" s="219"/>
      <c r="HP240" s="20"/>
      <c r="HQ240" s="25"/>
      <c r="HR240" s="29">
        <v>173</v>
      </c>
      <c r="HS240" s="1504">
        <v>41760</v>
      </c>
      <c r="HT240" s="179">
        <v>218.61891555786133</v>
      </c>
      <c r="HU240" s="99">
        <v>250</v>
      </c>
      <c r="HV240" s="99">
        <v>184.56375885009766</v>
      </c>
      <c r="HW240" s="99">
        <v>120.19231224060059</v>
      </c>
      <c r="HX240" s="99">
        <v>183.33332824707031</v>
      </c>
      <c r="HY240" s="99">
        <v>192.10173797607422</v>
      </c>
      <c r="HZ240" s="99">
        <v>217.31458854675293</v>
      </c>
      <c r="IA240" s="132">
        <v>176.47059631347656</v>
      </c>
      <c r="IB240" s="179">
        <v>200.68965148925781</v>
      </c>
      <c r="IC240" s="99">
        <v>151.51515197753906</v>
      </c>
      <c r="ID240" s="99">
        <v>160.71429443359375</v>
      </c>
      <c r="IE240" s="99">
        <v>153.78548049926758</v>
      </c>
      <c r="IF240" s="99">
        <v>179.47634887695313</v>
      </c>
      <c r="IG240" s="132">
        <v>168.03278350830078</v>
      </c>
      <c r="IH240" s="179">
        <v>122.51165008544922</v>
      </c>
      <c r="II240" s="99">
        <v>207.52062377929687</v>
      </c>
      <c r="IJ240" s="99">
        <v>145.80905532836914</v>
      </c>
      <c r="IK240" s="99">
        <v>135.37905883789063</v>
      </c>
      <c r="IL240" s="99">
        <v>122.74096298217773</v>
      </c>
      <c r="IM240" s="99">
        <v>126.61290740966797</v>
      </c>
      <c r="IN240" s="93"/>
      <c r="IO240" s="132">
        <v>145.26565933227539</v>
      </c>
      <c r="IP240" s="29">
        <v>173</v>
      </c>
      <c r="IQ240" s="19"/>
      <c r="IR240" s="93"/>
      <c r="IS240" s="93"/>
      <c r="IT240" s="93"/>
      <c r="IU240" s="93"/>
      <c r="IV240" s="20"/>
      <c r="IW240" s="29">
        <v>173</v>
      </c>
      <c r="IX240" s="19"/>
      <c r="IY240" s="93"/>
      <c r="IZ240" s="93"/>
      <c r="JA240" s="93"/>
      <c r="JB240" s="93"/>
      <c r="JC240" s="93"/>
      <c r="JD240" s="93"/>
      <c r="JE240" s="20"/>
      <c r="JF240" s="29">
        <v>173</v>
      </c>
      <c r="JG240" s="19"/>
      <c r="JH240" s="93"/>
      <c r="JI240" s="93"/>
      <c r="JJ240" s="93"/>
      <c r="JK240" s="93"/>
      <c r="JL240" s="93"/>
      <c r="JM240" s="93"/>
      <c r="JN240" s="20"/>
      <c r="JO240" s="29">
        <v>173</v>
      </c>
      <c r="JP240" s="19"/>
      <c r="JQ240" s="93"/>
      <c r="JR240" s="93"/>
      <c r="JS240" s="93"/>
      <c r="JT240" s="93"/>
      <c r="JU240" s="20"/>
      <c r="JV240" s="29">
        <v>173</v>
      </c>
      <c r="JW240" s="1504">
        <v>41760</v>
      </c>
      <c r="JX240" s="19"/>
      <c r="JY240" s="93"/>
      <c r="JZ240" s="93"/>
      <c r="KA240" s="93"/>
      <c r="KB240" s="93"/>
      <c r="KC240" s="93"/>
      <c r="KD240" s="20"/>
      <c r="KE240" s="29">
        <v>173</v>
      </c>
      <c r="KF240" s="19"/>
      <c r="KG240" s="93"/>
      <c r="KH240" s="93"/>
      <c r="KI240" s="93"/>
      <c r="KJ240" s="93"/>
      <c r="KK240" s="20"/>
      <c r="KL240" s="29">
        <v>173</v>
      </c>
      <c r="KM240" s="19"/>
      <c r="KN240" s="93"/>
      <c r="KO240" s="93"/>
      <c r="KP240" s="93"/>
      <c r="KQ240" s="93"/>
      <c r="KR240" s="20"/>
      <c r="KS240" s="29">
        <v>173</v>
      </c>
      <c r="KT240" s="19"/>
      <c r="KU240" s="93"/>
      <c r="KV240" s="93"/>
      <c r="KW240" s="93"/>
      <c r="KX240" s="93"/>
      <c r="KY240" s="20"/>
      <c r="KZ240" s="29">
        <v>173</v>
      </c>
      <c r="LA240" s="1504">
        <v>41760</v>
      </c>
      <c r="LB240" s="19">
        <v>510</v>
      </c>
      <c r="LC240" s="93">
        <v>740</v>
      </c>
      <c r="LD240" s="93">
        <v>732</v>
      </c>
      <c r="LE240" s="93"/>
      <c r="LF240" s="93">
        <v>656</v>
      </c>
      <c r="LG240" s="93"/>
      <c r="LH240" s="20"/>
      <c r="LI240" s="29">
        <v>173</v>
      </c>
      <c r="LJ240" s="19"/>
      <c r="LK240" s="93"/>
      <c r="LL240" s="93"/>
      <c r="LM240" s="93"/>
      <c r="LN240" s="93"/>
      <c r="LO240" s="20"/>
      <c r="LP240" s="29">
        <v>173</v>
      </c>
      <c r="LQ240" s="19"/>
      <c r="LR240" s="93">
        <v>188</v>
      </c>
      <c r="LS240" s="93">
        <v>445</v>
      </c>
      <c r="LT240" s="93">
        <v>535</v>
      </c>
      <c r="LU240" s="93">
        <v>1070</v>
      </c>
      <c r="LV240" s="93"/>
      <c r="LW240" s="93">
        <v>5</v>
      </c>
      <c r="LX240" s="93">
        <v>10</v>
      </c>
      <c r="LY240" s="93">
        <v>60</v>
      </c>
      <c r="LZ240" s="93"/>
      <c r="MA240" s="20">
        <v>1070</v>
      </c>
      <c r="MB240" s="29">
        <v>173</v>
      </c>
      <c r="MC240" s="1504">
        <v>41760</v>
      </c>
      <c r="MD240" s="19"/>
      <c r="ME240" s="93"/>
      <c r="MF240" s="93"/>
      <c r="MG240" s="93"/>
      <c r="MH240" s="93"/>
      <c r="MI240" s="93"/>
      <c r="MJ240" s="93"/>
      <c r="MK240" s="93"/>
      <c r="ML240" s="93"/>
      <c r="MM240" s="93"/>
      <c r="MN240" s="93"/>
      <c r="MO240" s="93"/>
      <c r="MP240" s="93"/>
      <c r="MQ240" s="93"/>
      <c r="MR240" s="93"/>
      <c r="MS240" s="93"/>
      <c r="MT240" s="93"/>
      <c r="MU240" s="93"/>
      <c r="MV240" s="93"/>
      <c r="MW240" s="93"/>
      <c r="MX240" s="93"/>
      <c r="MY240" s="93"/>
      <c r="MZ240" s="93"/>
      <c r="NA240" s="93"/>
      <c r="NB240" s="93"/>
      <c r="NC240" s="93"/>
      <c r="ND240" s="93"/>
      <c r="NE240" s="93"/>
      <c r="NF240" s="93"/>
      <c r="NG240" s="93"/>
      <c r="NH240" s="93"/>
      <c r="NI240" s="93"/>
      <c r="NJ240" s="93"/>
      <c r="NK240" s="93"/>
      <c r="NL240" s="93"/>
      <c r="NM240" s="93"/>
      <c r="NN240" s="93"/>
      <c r="NO240" s="93"/>
      <c r="NP240" s="93"/>
      <c r="NQ240" s="93"/>
      <c r="NR240" s="93"/>
      <c r="NS240" s="93"/>
      <c r="NT240" s="93"/>
      <c r="NU240" s="93"/>
      <c r="NV240" s="93"/>
      <c r="NW240" s="93"/>
      <c r="NX240" s="93"/>
      <c r="NY240" s="93"/>
      <c r="NZ240" s="93"/>
      <c r="OA240" s="93"/>
      <c r="OB240" s="93"/>
      <c r="OC240" s="93"/>
      <c r="OD240" s="20"/>
      <c r="OE240" s="29">
        <v>173</v>
      </c>
      <c r="OF240" s="1504">
        <v>41760</v>
      </c>
      <c r="OG240" s="19"/>
      <c r="OH240" s="93">
        <v>116.21119999999999</v>
      </c>
      <c r="OI240" s="93">
        <v>982.30616134197203</v>
      </c>
      <c r="OJ240" s="93">
        <v>0.50279250399999997</v>
      </c>
      <c r="OK240" s="93">
        <v>845.19526883797198</v>
      </c>
      <c r="OL240" s="93">
        <v>136.60810000000001</v>
      </c>
      <c r="OM240" s="93">
        <v>1098.517361341972</v>
      </c>
      <c r="ON240" s="93">
        <v>876.62979160324153</v>
      </c>
      <c r="OO240" s="93">
        <v>1975.1471529452135</v>
      </c>
      <c r="OP240" s="93"/>
      <c r="OQ240" s="93">
        <v>511.42044226223175</v>
      </c>
      <c r="OR240" s="93">
        <v>-131.98454816500004</v>
      </c>
      <c r="OS240" s="93">
        <v>643.40499042723172</v>
      </c>
      <c r="OT240" s="93">
        <v>1686.5254068889815</v>
      </c>
      <c r="OU240" s="93">
        <v>13.900890645999997</v>
      </c>
      <c r="OV240" s="93">
        <v>7.0388906460000014</v>
      </c>
      <c r="OW240" s="93">
        <v>6.8619999999999948</v>
      </c>
      <c r="OX240" s="93">
        <v>1672.6245162429814</v>
      </c>
      <c r="OY240" s="93">
        <v>4.2394462289999995</v>
      </c>
      <c r="OZ240" s="93">
        <v>1668.3850700139815</v>
      </c>
      <c r="PA240" s="93">
        <v>294.60877092299995</v>
      </c>
      <c r="PB240" s="93">
        <v>-71.810074716999935</v>
      </c>
      <c r="PC240" s="20">
        <v>1975.1471529452131</v>
      </c>
      <c r="PD240" s="29">
        <v>173</v>
      </c>
      <c r="PE240" s="19"/>
      <c r="PF240" s="93">
        <v>-131.98454816500004</v>
      </c>
      <c r="PG240" s="93">
        <v>167.24827122099998</v>
      </c>
      <c r="PH240" s="93">
        <v>299.23281938600002</v>
      </c>
      <c r="PI240" s="93">
        <v>399.5</v>
      </c>
      <c r="PJ240" s="93">
        <v>11.479890646000001</v>
      </c>
      <c r="PK240" s="93">
        <v>132.885591363</v>
      </c>
      <c r="PL240" s="93">
        <v>121.405700717</v>
      </c>
      <c r="PM240" s="93">
        <v>4.2394462289999995</v>
      </c>
      <c r="PN240" s="93">
        <v>0.78800000000000003</v>
      </c>
      <c r="PO240" s="93">
        <v>0</v>
      </c>
      <c r="PP240" s="93">
        <v>2.3448300000000001E-4</v>
      </c>
      <c r="PQ240" s="93">
        <v>3.4512117459999998</v>
      </c>
      <c r="PR240" s="93">
        <v>280.07797852300001</v>
      </c>
      <c r="PS240" s="93">
        <v>170.1422</v>
      </c>
      <c r="PT240" s="93">
        <v>109.432986019</v>
      </c>
      <c r="PU240" s="93">
        <v>0.50279250399999997</v>
      </c>
      <c r="PV240" s="93">
        <v>0</v>
      </c>
      <c r="PW240" s="93">
        <v>0.61644009</v>
      </c>
      <c r="PX240" s="93">
        <v>0</v>
      </c>
      <c r="PY240" s="93">
        <v>0</v>
      </c>
      <c r="PZ240" s="93">
        <v>0.61644009</v>
      </c>
      <c r="QA240" s="93">
        <v>0</v>
      </c>
      <c r="QB240" s="93">
        <v>0</v>
      </c>
      <c r="QC240" s="93">
        <v>0</v>
      </c>
      <c r="QD240" s="93">
        <v>2.319330833</v>
      </c>
      <c r="QE240" s="20">
        <v>0.22103926400001433</v>
      </c>
      <c r="QF240" s="1739">
        <v>173</v>
      </c>
      <c r="QG240" s="19"/>
      <c r="QH240" s="1035">
        <v>643.40499042723172</v>
      </c>
      <c r="QI240" s="1035">
        <v>799.80392998601837</v>
      </c>
      <c r="QJ240" s="1035">
        <v>-156.39893955878659</v>
      </c>
      <c r="QK240" s="1035">
        <v>174.15899999999999</v>
      </c>
      <c r="QL240" s="1035">
        <v>49.49</v>
      </c>
      <c r="QM240" s="1035">
        <v>124.669</v>
      </c>
      <c r="QN240" s="1035">
        <v>0</v>
      </c>
      <c r="QO240" s="1035">
        <v>6.8619999999999948</v>
      </c>
      <c r="QP240" s="1035">
        <v>231.1</v>
      </c>
      <c r="QQ240" s="1035">
        <v>-224.238</v>
      </c>
      <c r="QR240" s="1035">
        <v>1668.3850700139815</v>
      </c>
      <c r="QS240" s="1035">
        <v>23.974212903140018</v>
      </c>
      <c r="QT240" s="1035">
        <v>0</v>
      </c>
      <c r="QU240" s="1035">
        <v>169.13800000000001</v>
      </c>
      <c r="QV240" s="1035">
        <v>1475.2728571108414</v>
      </c>
      <c r="QW240" s="93"/>
      <c r="QX240" s="93">
        <v>400.44600000000003</v>
      </c>
      <c r="QY240" s="93">
        <v>845.19526883797198</v>
      </c>
      <c r="QZ240" s="93">
        <v>876.62979160324153</v>
      </c>
      <c r="RA240" s="93">
        <v>0</v>
      </c>
      <c r="RB240" s="93">
        <v>39.480000000000004</v>
      </c>
      <c r="RC240" s="93">
        <v>6.93</v>
      </c>
      <c r="RD240" s="93">
        <v>17.215</v>
      </c>
      <c r="RE240" s="93">
        <v>0</v>
      </c>
      <c r="RF240" s="93">
        <v>0</v>
      </c>
      <c r="RG240" s="93">
        <v>228.04799999999997</v>
      </c>
      <c r="RH240" s="93">
        <v>78.867000000000019</v>
      </c>
      <c r="RI240" s="93"/>
      <c r="RJ240" s="93"/>
      <c r="RK240" s="93"/>
      <c r="RL240" s="93"/>
      <c r="RM240" s="734"/>
      <c r="RN240" s="29">
        <v>173</v>
      </c>
      <c r="RO240" s="19">
        <v>69</v>
      </c>
      <c r="RP240" s="20"/>
      <c r="RQ240" s="29">
        <v>173</v>
      </c>
      <c r="RR240" s="734">
        <v>3.5258746999999997</v>
      </c>
      <c r="RS240" s="29">
        <v>173</v>
      </c>
      <c r="RT240" s="1504">
        <v>41760</v>
      </c>
      <c r="RU240" s="19"/>
      <c r="RV240" s="20"/>
      <c r="RW240" s="29">
        <v>173</v>
      </c>
      <c r="RX240" s="1504">
        <v>41760</v>
      </c>
      <c r="RY240" s="29"/>
      <c r="RZ240" s="734"/>
      <c r="SA240" s="29"/>
      <c r="SB240" s="29">
        <v>173</v>
      </c>
    </row>
    <row r="241" spans="1:496">
      <c r="A241" s="41">
        <f t="shared" si="208"/>
        <v>2014</v>
      </c>
      <c r="B241" s="1504">
        <v>41791</v>
      </c>
      <c r="C241" s="1813">
        <v>1126</v>
      </c>
      <c r="D241" s="1814">
        <v>21017</v>
      </c>
      <c r="E241" s="1814">
        <v>47</v>
      </c>
      <c r="F241" s="1815">
        <v>409</v>
      </c>
      <c r="G241" s="1814">
        <v>113497</v>
      </c>
      <c r="H241" s="1814">
        <v>21</v>
      </c>
      <c r="I241" s="1814">
        <v>38970</v>
      </c>
      <c r="J241" s="1816">
        <v>17490</v>
      </c>
      <c r="K241" s="1807">
        <v>192577</v>
      </c>
      <c r="L241" s="25">
        <v>174</v>
      </c>
      <c r="M241" s="97"/>
      <c r="N241" s="1504">
        <v>41791</v>
      </c>
      <c r="O241" s="19"/>
      <c r="P241" s="93"/>
      <c r="Q241" s="93"/>
      <c r="R241" s="93"/>
      <c r="S241" s="93"/>
      <c r="T241" s="93"/>
      <c r="U241" s="93"/>
      <c r="V241" s="93"/>
      <c r="W241" s="93"/>
      <c r="X241" s="93"/>
      <c r="Y241" s="93"/>
      <c r="Z241" s="93"/>
      <c r="AA241" s="93"/>
      <c r="AB241" s="20"/>
      <c r="AC241" s="25">
        <v>174</v>
      </c>
      <c r="AD241" s="97"/>
      <c r="AE241" s="1504">
        <v>41791</v>
      </c>
      <c r="AF241" s="19"/>
      <c r="AG241" s="93"/>
      <c r="AH241" s="93"/>
      <c r="AI241" s="93"/>
      <c r="AJ241" s="93"/>
      <c r="AK241" s="93"/>
      <c r="AL241" s="93"/>
      <c r="AM241" s="93"/>
      <c r="AN241" s="93"/>
      <c r="AO241" s="93"/>
      <c r="AP241" s="93"/>
      <c r="AQ241" s="93"/>
      <c r="AR241" s="93"/>
      <c r="AS241" s="20"/>
      <c r="AT241" s="25">
        <v>174</v>
      </c>
      <c r="AU241" s="97"/>
      <c r="AV241" s="1504">
        <v>41791</v>
      </c>
      <c r="AW241" s="19"/>
      <c r="AX241" s="93"/>
      <c r="AY241" s="93"/>
      <c r="AZ241" s="93"/>
      <c r="BA241" s="93"/>
      <c r="BB241" s="93"/>
      <c r="BC241" s="93"/>
      <c r="BD241" s="93"/>
      <c r="BE241" s="93"/>
      <c r="BF241" s="93"/>
      <c r="BG241" s="93"/>
      <c r="BH241" s="93"/>
      <c r="BI241" s="93"/>
      <c r="BJ241" s="20"/>
      <c r="BK241" s="25">
        <v>174</v>
      </c>
      <c r="BL241" s="97"/>
      <c r="BM241" s="1504">
        <v>41791</v>
      </c>
      <c r="BN241" s="19"/>
      <c r="BO241" s="93"/>
      <c r="BP241" s="93"/>
      <c r="BQ241" s="93"/>
      <c r="BR241" s="93"/>
      <c r="BS241" s="93"/>
      <c r="BT241" s="93"/>
      <c r="BU241" s="20"/>
      <c r="BV241" s="25">
        <v>174</v>
      </c>
      <c r="BW241" s="97"/>
      <c r="BX241" s="1504">
        <v>41791</v>
      </c>
      <c r="BY241" s="179">
        <v>482.6</v>
      </c>
      <c r="BZ241" s="99">
        <v>664.95699999999999</v>
      </c>
      <c r="CA241" s="93"/>
      <c r="CB241" s="93"/>
      <c r="CC241" s="99">
        <v>161.84</v>
      </c>
      <c r="CD241" s="25">
        <v>174</v>
      </c>
      <c r="CE241" s="97"/>
      <c r="CF241" s="1504">
        <v>41791</v>
      </c>
      <c r="CG241" s="1508">
        <v>2.0039995799999999</v>
      </c>
      <c r="CH241" s="568">
        <v>1279.0999999999999</v>
      </c>
      <c r="CI241" s="1708">
        <v>108.37333333333299</v>
      </c>
      <c r="CJ241" s="1509">
        <v>111.87</v>
      </c>
      <c r="CK241" s="1508">
        <v>402.57</v>
      </c>
      <c r="CL241" s="568">
        <v>202.39482480000001</v>
      </c>
      <c r="CM241" s="568">
        <v>0.400579454</v>
      </c>
      <c r="CN241" s="568">
        <v>0.44382769599999999</v>
      </c>
      <c r="CO241" s="568">
        <v>306.44220780000001</v>
      </c>
      <c r="CP241" s="1509">
        <v>4.5439422819999997</v>
      </c>
      <c r="CQ241" s="1708">
        <v>1366.87</v>
      </c>
      <c r="CR241" s="568">
        <v>1.905</v>
      </c>
      <c r="CS241" s="568">
        <v>2.0394000000000001</v>
      </c>
      <c r="CT241" s="568">
        <v>111.4</v>
      </c>
      <c r="CU241" s="568">
        <v>92.742999999999995</v>
      </c>
      <c r="CV241" s="1709">
        <v>2128.1</v>
      </c>
      <c r="CW241" s="29">
        <v>174</v>
      </c>
      <c r="CX241" s="41">
        <f t="shared" si="209"/>
        <v>2014</v>
      </c>
      <c r="CY241" s="1504">
        <v>41791</v>
      </c>
      <c r="CZ241" s="1916">
        <v>98.035572000000002</v>
      </c>
      <c r="DA241" s="1526">
        <v>63.32517</v>
      </c>
      <c r="DB241" s="1526">
        <v>34.710402000000002</v>
      </c>
      <c r="DC241" s="182">
        <f t="shared" si="219"/>
        <v>508499</v>
      </c>
      <c r="DD241" s="182">
        <f t="shared" si="220"/>
        <v>507074</v>
      </c>
      <c r="DE241" s="182">
        <f t="shared" si="221"/>
        <v>1425</v>
      </c>
      <c r="DF241" s="29">
        <v>174</v>
      </c>
      <c r="DG241" s="1504">
        <v>41791</v>
      </c>
      <c r="DH241" s="19"/>
      <c r="DI241" s="93"/>
      <c r="DJ241" s="93"/>
      <c r="DK241" s="93"/>
      <c r="DL241" s="93"/>
      <c r="DM241" s="93"/>
      <c r="DN241" s="20"/>
      <c r="DO241" s="25"/>
      <c r="DP241" s="29">
        <v>174</v>
      </c>
      <c r="DQ241" s="1504">
        <v>41791</v>
      </c>
      <c r="DR241" s="19">
        <v>25.652000000000001</v>
      </c>
      <c r="DS241" s="93">
        <v>0.65900000000000003</v>
      </c>
      <c r="DT241" s="93">
        <v>29.671500000000002</v>
      </c>
      <c r="DU241" s="93">
        <v>2.9702030000000001</v>
      </c>
      <c r="DV241" s="93">
        <v>9.9463480000000004</v>
      </c>
      <c r="DW241" s="93">
        <v>0.79500000000000004</v>
      </c>
      <c r="DX241" s="1719">
        <v>8.1243990981999996</v>
      </c>
      <c r="DY241" s="29">
        <v>174</v>
      </c>
      <c r="DZ241" s="1504">
        <v>41791</v>
      </c>
      <c r="EA241" s="19"/>
      <c r="EB241" s="93"/>
      <c r="EC241" s="20"/>
      <c r="ED241" s="29"/>
      <c r="EE241" s="1504">
        <v>41791</v>
      </c>
      <c r="EF241" s="179">
        <v>17194</v>
      </c>
      <c r="EG241" s="99">
        <v>18757</v>
      </c>
      <c r="EH241" s="99">
        <v>35951</v>
      </c>
      <c r="EI241" s="221">
        <v>6895</v>
      </c>
      <c r="EJ241" s="99">
        <v>569.75099999999998</v>
      </c>
      <c r="EK241" s="99">
        <v>177.41900000000001</v>
      </c>
      <c r="EL241" s="99">
        <v>7.2480000000000002</v>
      </c>
      <c r="EM241" s="99">
        <v>5.0609999999999999</v>
      </c>
      <c r="EN241" s="132">
        <v>759.47900000000004</v>
      </c>
      <c r="EO241" s="29">
        <v>174</v>
      </c>
      <c r="EP241" s="1504">
        <v>41791</v>
      </c>
      <c r="EQ241" s="19">
        <v>16843</v>
      </c>
      <c r="ER241" s="93">
        <v>18469</v>
      </c>
      <c r="ES241" s="93">
        <v>35312</v>
      </c>
      <c r="ET241" s="214">
        <v>6453</v>
      </c>
      <c r="EU241" s="93">
        <v>569.75099999999998</v>
      </c>
      <c r="EV241" s="93">
        <v>177.41900000000001</v>
      </c>
      <c r="EW241" s="93">
        <v>7.2480000000000002</v>
      </c>
      <c r="EX241" s="93">
        <v>5.0609999999999999</v>
      </c>
      <c r="EY241" s="20">
        <v>759.47900000000004</v>
      </c>
      <c r="EZ241" s="29">
        <v>174</v>
      </c>
      <c r="FA241" s="1504">
        <v>41791</v>
      </c>
      <c r="FB241" s="29"/>
      <c r="FC241" s="29"/>
      <c r="FD241" s="29"/>
      <c r="FE241" s="29"/>
      <c r="FF241" s="29"/>
      <c r="FG241" s="29"/>
      <c r="FH241" s="29"/>
      <c r="FI241" s="29"/>
      <c r="FJ241" s="29"/>
      <c r="FK241" s="29">
        <v>174</v>
      </c>
      <c r="FL241" s="1504">
        <v>41791</v>
      </c>
      <c r="FM241" s="19">
        <v>108.6</v>
      </c>
      <c r="FN241" s="93">
        <v>115.26</v>
      </c>
      <c r="FO241" s="93">
        <v>101.24</v>
      </c>
      <c r="FP241" s="93">
        <v>101.84</v>
      </c>
      <c r="FQ241" s="93">
        <v>121.14</v>
      </c>
      <c r="FR241" s="93">
        <v>98.79</v>
      </c>
      <c r="FS241" s="93">
        <v>100.9</v>
      </c>
      <c r="FT241" s="93">
        <v>114.59</v>
      </c>
      <c r="FU241" s="93">
        <v>64.16</v>
      </c>
      <c r="FV241" s="93">
        <v>96.27</v>
      </c>
      <c r="FW241" s="93">
        <v>104.38</v>
      </c>
      <c r="FX241" s="93">
        <v>113.21</v>
      </c>
      <c r="FY241" s="93">
        <v>105.01</v>
      </c>
      <c r="FZ241" s="29">
        <v>174</v>
      </c>
      <c r="GA241" s="1504">
        <v>41791</v>
      </c>
      <c r="GB241" s="19">
        <v>108.6</v>
      </c>
      <c r="GC241" s="93">
        <v>109.11</v>
      </c>
      <c r="GD241" s="93">
        <v>108.7</v>
      </c>
      <c r="GE241" s="93">
        <v>118.43</v>
      </c>
      <c r="GF241" s="93">
        <v>115.52</v>
      </c>
      <c r="GG241" s="93">
        <v>108.6</v>
      </c>
      <c r="GH241" s="93"/>
      <c r="GI241" s="93"/>
      <c r="GJ241" s="93"/>
      <c r="GK241" s="93"/>
      <c r="GL241" s="93"/>
      <c r="GM241" s="93"/>
      <c r="GN241" s="20"/>
      <c r="GO241" s="29">
        <v>174</v>
      </c>
      <c r="GP241" s="1504">
        <v>41791</v>
      </c>
      <c r="GQ241" s="19"/>
      <c r="GR241" s="93"/>
      <c r="GS241" s="93"/>
      <c r="GT241" s="93"/>
      <c r="GU241" s="93"/>
      <c r="GV241" s="20"/>
      <c r="GW241" s="19"/>
      <c r="GX241" s="93"/>
      <c r="GY241" s="93"/>
      <c r="GZ241" s="93"/>
      <c r="HA241" s="93"/>
      <c r="HB241" s="20"/>
      <c r="HC241" s="19"/>
      <c r="HD241" s="93"/>
      <c r="HE241" s="93"/>
      <c r="HF241" s="93"/>
      <c r="HG241" s="93"/>
      <c r="HH241" s="20"/>
      <c r="HI241" s="19"/>
      <c r="HJ241" s="93"/>
      <c r="HK241" s="93"/>
      <c r="HL241" s="93"/>
      <c r="HM241" s="93"/>
      <c r="HN241" s="20"/>
      <c r="HO241" s="219"/>
      <c r="HP241" s="20"/>
      <c r="HQ241" s="25"/>
      <c r="HR241" s="29">
        <v>174</v>
      </c>
      <c r="HS241" s="1504">
        <v>41791</v>
      </c>
      <c r="HT241" s="179">
        <v>212.15158691406251</v>
      </c>
      <c r="HU241" s="99">
        <v>247.82986068725586</v>
      </c>
      <c r="HV241" s="99">
        <v>201.34228515625</v>
      </c>
      <c r="HW241" s="99">
        <v>115.38462066650391</v>
      </c>
      <c r="HX241" s="99">
        <v>183.33332824707031</v>
      </c>
      <c r="HY241" s="99">
        <v>206.76456069946289</v>
      </c>
      <c r="HZ241" s="99">
        <v>221.31554794311523</v>
      </c>
      <c r="IA241" s="132">
        <v>175.65360260009766</v>
      </c>
      <c r="IB241" s="179">
        <v>199.1379280090332</v>
      </c>
      <c r="IC241" s="99">
        <v>151.51515197753906</v>
      </c>
      <c r="ID241" s="99">
        <v>172.61904907226563</v>
      </c>
      <c r="IE241" s="99">
        <v>153.43869018554688</v>
      </c>
      <c r="IF241" s="99">
        <v>187.92229461669922</v>
      </c>
      <c r="IG241" s="132">
        <v>165.300537109375</v>
      </c>
      <c r="IH241" s="179">
        <v>122.56288223266601</v>
      </c>
      <c r="II241" s="99">
        <v>207.0830135345459</v>
      </c>
      <c r="IJ241" s="99">
        <v>144.82757568359375</v>
      </c>
      <c r="IK241" s="99">
        <v>135.37905883789063</v>
      </c>
      <c r="IL241" s="99">
        <v>128.24213314056396</v>
      </c>
      <c r="IM241" s="99">
        <v>125.00000381469727</v>
      </c>
      <c r="IN241" s="93"/>
      <c r="IO241" s="132">
        <v>145.70298004150391</v>
      </c>
      <c r="IP241" s="29">
        <v>174</v>
      </c>
      <c r="IQ241" s="19"/>
      <c r="IR241" s="93"/>
      <c r="IS241" s="93"/>
      <c r="IT241" s="93"/>
      <c r="IU241" s="93"/>
      <c r="IV241" s="20"/>
      <c r="IW241" s="29">
        <v>174</v>
      </c>
      <c r="IX241" s="19"/>
      <c r="IY241" s="93"/>
      <c r="IZ241" s="93"/>
      <c r="JA241" s="93"/>
      <c r="JB241" s="93"/>
      <c r="JC241" s="93"/>
      <c r="JD241" s="93"/>
      <c r="JE241" s="20"/>
      <c r="JF241" s="29">
        <v>174</v>
      </c>
      <c r="JG241" s="19"/>
      <c r="JH241" s="93"/>
      <c r="JI241" s="93"/>
      <c r="JJ241" s="93"/>
      <c r="JK241" s="93"/>
      <c r="JL241" s="93"/>
      <c r="JM241" s="93"/>
      <c r="JN241" s="20"/>
      <c r="JO241" s="29">
        <v>174</v>
      </c>
      <c r="JP241" s="19"/>
      <c r="JQ241" s="93"/>
      <c r="JR241" s="93"/>
      <c r="JS241" s="93"/>
      <c r="JT241" s="93"/>
      <c r="JU241" s="20"/>
      <c r="JV241" s="29">
        <v>174</v>
      </c>
      <c r="JW241" s="1504">
        <v>41791</v>
      </c>
      <c r="JX241" s="19"/>
      <c r="JY241" s="93"/>
      <c r="JZ241" s="93"/>
      <c r="KA241" s="93"/>
      <c r="KB241" s="93"/>
      <c r="KC241" s="93"/>
      <c r="KD241" s="20"/>
      <c r="KE241" s="29">
        <v>174</v>
      </c>
      <c r="KF241" s="19"/>
      <c r="KG241" s="93"/>
      <c r="KH241" s="93"/>
      <c r="KI241" s="93"/>
      <c r="KJ241" s="93"/>
      <c r="KK241" s="20"/>
      <c r="KL241" s="29">
        <v>174</v>
      </c>
      <c r="KM241" s="19"/>
      <c r="KN241" s="93"/>
      <c r="KO241" s="93"/>
      <c r="KP241" s="93"/>
      <c r="KQ241" s="93"/>
      <c r="KR241" s="20"/>
      <c r="KS241" s="29">
        <v>174</v>
      </c>
      <c r="KT241" s="19"/>
      <c r="KU241" s="93"/>
      <c r="KV241" s="93"/>
      <c r="KW241" s="93"/>
      <c r="KX241" s="93"/>
      <c r="KY241" s="20"/>
      <c r="KZ241" s="29">
        <v>174</v>
      </c>
      <c r="LA241" s="1504">
        <v>41791</v>
      </c>
      <c r="LB241" s="19">
        <v>510</v>
      </c>
      <c r="LC241" s="93">
        <v>740</v>
      </c>
      <c r="LD241" s="93">
        <v>732</v>
      </c>
      <c r="LE241" s="93"/>
      <c r="LF241" s="93">
        <v>656</v>
      </c>
      <c r="LG241" s="93"/>
      <c r="LH241" s="20"/>
      <c r="LI241" s="29">
        <v>174</v>
      </c>
      <c r="LJ241" s="19"/>
      <c r="LK241" s="93"/>
      <c r="LL241" s="93"/>
      <c r="LM241" s="93"/>
      <c r="LN241" s="93"/>
      <c r="LO241" s="20"/>
      <c r="LP241" s="29">
        <v>174</v>
      </c>
      <c r="LQ241" s="19"/>
      <c r="LR241" s="93">
        <v>188</v>
      </c>
      <c r="LS241" s="93">
        <v>445</v>
      </c>
      <c r="LT241" s="93">
        <v>535</v>
      </c>
      <c r="LU241" s="93">
        <v>1070</v>
      </c>
      <c r="LV241" s="93"/>
      <c r="LW241" s="93">
        <v>5</v>
      </c>
      <c r="LX241" s="93">
        <v>10</v>
      </c>
      <c r="LY241" s="93">
        <v>60</v>
      </c>
      <c r="LZ241" s="93"/>
      <c r="MA241" s="20">
        <v>1070</v>
      </c>
      <c r="MB241" s="29">
        <v>174</v>
      </c>
      <c r="MC241" s="1504">
        <v>41791</v>
      </c>
      <c r="MD241" s="19"/>
      <c r="ME241" s="93"/>
      <c r="MF241" s="93"/>
      <c r="MG241" s="93"/>
      <c r="MH241" s="93"/>
      <c r="MI241" s="93"/>
      <c r="MJ241" s="93"/>
      <c r="MK241" s="93"/>
      <c r="ML241" s="93"/>
      <c r="MM241" s="93"/>
      <c r="MN241" s="93"/>
      <c r="MO241" s="93"/>
      <c r="MP241" s="93"/>
      <c r="MQ241" s="93"/>
      <c r="MR241" s="93"/>
      <c r="MS241" s="93"/>
      <c r="MT241" s="93"/>
      <c r="MU241" s="93"/>
      <c r="MV241" s="93"/>
      <c r="MW241" s="93"/>
      <c r="MX241" s="93"/>
      <c r="MY241" s="93"/>
      <c r="MZ241" s="93"/>
      <c r="NA241" s="93"/>
      <c r="NB241" s="93"/>
      <c r="NC241" s="93"/>
      <c r="ND241" s="93"/>
      <c r="NE241" s="93"/>
      <c r="NF241" s="93"/>
      <c r="NG241" s="93"/>
      <c r="NH241" s="93"/>
      <c r="NI241" s="93"/>
      <c r="NJ241" s="93"/>
      <c r="NK241" s="93"/>
      <c r="NL241" s="93"/>
      <c r="NM241" s="93"/>
      <c r="NN241" s="93"/>
      <c r="NO241" s="93"/>
      <c r="NP241" s="93"/>
      <c r="NQ241" s="93"/>
      <c r="NR241" s="93"/>
      <c r="NS241" s="93"/>
      <c r="NT241" s="93"/>
      <c r="NU241" s="93"/>
      <c r="NV241" s="93"/>
      <c r="NW241" s="93"/>
      <c r="NX241" s="93"/>
      <c r="NY241" s="93"/>
      <c r="NZ241" s="93"/>
      <c r="OA241" s="93"/>
      <c r="OB241" s="93"/>
      <c r="OC241" s="93"/>
      <c r="OD241" s="20"/>
      <c r="OE241" s="29">
        <v>174</v>
      </c>
      <c r="OF241" s="1504">
        <v>41791</v>
      </c>
      <c r="OG241" s="19"/>
      <c r="OH241" s="93">
        <v>162.61359999999999</v>
      </c>
      <c r="OI241" s="93">
        <v>992.93029274808589</v>
      </c>
      <c r="OJ241" s="93">
        <v>0.48956427000000002</v>
      </c>
      <c r="OK241" s="93">
        <v>854.54462847808588</v>
      </c>
      <c r="OL241" s="93">
        <v>137.89610000000002</v>
      </c>
      <c r="OM241" s="93">
        <v>1155.5438927480859</v>
      </c>
      <c r="ON241" s="93">
        <v>888.65944913899818</v>
      </c>
      <c r="OO241" s="93">
        <v>2044.2033418870842</v>
      </c>
      <c r="OP241" s="93"/>
      <c r="OQ241" s="93">
        <v>545.29945271062672</v>
      </c>
      <c r="OR241" s="93">
        <v>-42.337501962999966</v>
      </c>
      <c r="OS241" s="93">
        <v>587.63695467362675</v>
      </c>
      <c r="OT241" s="93">
        <v>1729.9872925934576</v>
      </c>
      <c r="OU241" s="93">
        <v>41.252803796999977</v>
      </c>
      <c r="OV241" s="93">
        <v>40.149803796999997</v>
      </c>
      <c r="OW241" s="93">
        <v>1.1029999999999802</v>
      </c>
      <c r="OX241" s="93">
        <v>1688.7344887964575</v>
      </c>
      <c r="OY241" s="93">
        <v>3.4333658530000002</v>
      </c>
      <c r="OZ241" s="93">
        <v>1685.3011229434574</v>
      </c>
      <c r="PA241" s="93">
        <v>291.01658923799999</v>
      </c>
      <c r="PB241" s="93">
        <v>-59.933185821000038</v>
      </c>
      <c r="PC241" s="20">
        <v>2044.2033418870844</v>
      </c>
      <c r="PD241" s="29">
        <v>174</v>
      </c>
      <c r="PE241" s="19"/>
      <c r="PF241" s="93">
        <v>-42.337501962999966</v>
      </c>
      <c r="PG241" s="93">
        <v>242.225886054</v>
      </c>
      <c r="PH241" s="93">
        <v>284.56338801699997</v>
      </c>
      <c r="PI241" s="93">
        <v>343.38799999999998</v>
      </c>
      <c r="PJ241" s="93">
        <v>44.138803796999994</v>
      </c>
      <c r="PK241" s="93">
        <v>131.55155098899999</v>
      </c>
      <c r="PL241" s="93">
        <v>87.412747191999998</v>
      </c>
      <c r="PM241" s="93">
        <v>3.4333658530000002</v>
      </c>
      <c r="PN241" s="93">
        <v>0</v>
      </c>
      <c r="PO241" s="93">
        <v>0</v>
      </c>
      <c r="PP241" s="93">
        <v>5.2221199999999998E-4</v>
      </c>
      <c r="PQ241" s="93">
        <v>3.4328436410000003</v>
      </c>
      <c r="PR241" s="93">
        <v>339.99214592300001</v>
      </c>
      <c r="PS241" s="93">
        <v>207.9676</v>
      </c>
      <c r="PT241" s="93">
        <v>131.53498165299999</v>
      </c>
      <c r="PU241" s="93">
        <v>0.48956427000000002</v>
      </c>
      <c r="PV241" s="93">
        <v>0</v>
      </c>
      <c r="PW241" s="93">
        <v>1.0530311210000001</v>
      </c>
      <c r="PX241" s="93">
        <v>0</v>
      </c>
      <c r="PY241" s="93">
        <v>0</v>
      </c>
      <c r="PZ241" s="93">
        <v>1.0530311210000001</v>
      </c>
      <c r="QA241" s="93">
        <v>0</v>
      </c>
      <c r="QB241" s="93">
        <v>0</v>
      </c>
      <c r="QC241" s="93">
        <v>0</v>
      </c>
      <c r="QD241" s="93">
        <v>2.8545581169999998</v>
      </c>
      <c r="QE241" s="20">
        <v>4.7229325260000001</v>
      </c>
      <c r="QF241" s="1739">
        <v>174</v>
      </c>
      <c r="QG241" s="19"/>
      <c r="QH241" s="1035">
        <v>587.63695467362675</v>
      </c>
      <c r="QI241" s="1035">
        <v>795.56087705654261</v>
      </c>
      <c r="QJ241" s="1035">
        <v>-207.92392238291583</v>
      </c>
      <c r="QK241" s="1035">
        <v>166.684</v>
      </c>
      <c r="QL241" s="1035">
        <v>41.365000000000002</v>
      </c>
      <c r="QM241" s="1035">
        <v>125.319</v>
      </c>
      <c r="QN241" s="1035">
        <v>0</v>
      </c>
      <c r="QO241" s="1035">
        <v>1.1029999999999802</v>
      </c>
      <c r="QP241" s="1035">
        <v>218.58799999999999</v>
      </c>
      <c r="QQ241" s="1035">
        <v>-217.48500000000001</v>
      </c>
      <c r="QR241" s="1035">
        <v>1685.3011229434574</v>
      </c>
      <c r="QS241" s="1035">
        <v>25.856578570484224</v>
      </c>
      <c r="QT241" s="1035">
        <v>0</v>
      </c>
      <c r="QU241" s="1035">
        <v>161.9</v>
      </c>
      <c r="QV241" s="1035">
        <v>1497.5445443729732</v>
      </c>
      <c r="QW241" s="93"/>
      <c r="QX241" s="93">
        <v>326.52499999999998</v>
      </c>
      <c r="QY241" s="93">
        <v>854.54462847808588</v>
      </c>
      <c r="QZ241" s="93">
        <v>888.65944913899818</v>
      </c>
      <c r="RA241" s="93">
        <v>0</v>
      </c>
      <c r="RB241" s="93">
        <v>35.902000000000001</v>
      </c>
      <c r="RC241" s="93">
        <v>6.3279999999999994</v>
      </c>
      <c r="RD241" s="93">
        <v>15.200000000000001</v>
      </c>
      <c r="RE241" s="93">
        <v>0</v>
      </c>
      <c r="RF241" s="93">
        <v>0</v>
      </c>
      <c r="RG241" s="93">
        <v>229.67899999999997</v>
      </c>
      <c r="RH241" s="93">
        <v>83.887000000000015</v>
      </c>
      <c r="RI241" s="93"/>
      <c r="RJ241" s="93"/>
      <c r="RK241" s="93"/>
      <c r="RL241" s="93"/>
      <c r="RM241" s="734"/>
      <c r="RN241" s="29">
        <v>174</v>
      </c>
      <c r="RO241" s="19">
        <v>70</v>
      </c>
      <c r="RP241" s="20"/>
      <c r="RQ241" s="29">
        <v>174</v>
      </c>
      <c r="RR241" s="734">
        <v>3.6076638900000009</v>
      </c>
      <c r="RS241" s="29">
        <v>174</v>
      </c>
      <c r="RT241" s="1504">
        <v>41791</v>
      </c>
      <c r="RU241" s="19"/>
      <c r="RV241" s="20"/>
      <c r="RW241" s="29">
        <v>174</v>
      </c>
      <c r="RX241" s="1504">
        <v>41791</v>
      </c>
      <c r="RY241" s="29"/>
      <c r="RZ241" s="734"/>
      <c r="SA241" s="29"/>
      <c r="SB241" s="29">
        <v>174</v>
      </c>
    </row>
    <row r="242" spans="1:496">
      <c r="A242" s="41">
        <f t="shared" si="208"/>
        <v>2014</v>
      </c>
      <c r="B242" s="1504">
        <v>41821</v>
      </c>
      <c r="C242" s="1813">
        <v>937</v>
      </c>
      <c r="D242" s="1814">
        <v>19017</v>
      </c>
      <c r="E242" s="1814">
        <v>45</v>
      </c>
      <c r="F242" s="1815">
        <v>273</v>
      </c>
      <c r="G242" s="1814">
        <v>125964</v>
      </c>
      <c r="H242" s="1814">
        <v>16</v>
      </c>
      <c r="I242" s="1814">
        <v>36485</v>
      </c>
      <c r="J242" s="1816">
        <v>17182</v>
      </c>
      <c r="K242" s="1807">
        <v>199919</v>
      </c>
      <c r="L242" s="25">
        <v>175</v>
      </c>
      <c r="M242" s="97"/>
      <c r="N242" s="1504">
        <v>41821</v>
      </c>
      <c r="O242" s="19"/>
      <c r="P242" s="93"/>
      <c r="Q242" s="93"/>
      <c r="R242" s="93"/>
      <c r="S242" s="93"/>
      <c r="T242" s="93"/>
      <c r="U242" s="93"/>
      <c r="V242" s="93"/>
      <c r="W242" s="93"/>
      <c r="X242" s="93"/>
      <c r="Y242" s="93"/>
      <c r="Z242" s="93"/>
      <c r="AA242" s="93"/>
      <c r="AB242" s="20"/>
      <c r="AC242" s="25">
        <v>175</v>
      </c>
      <c r="AD242" s="97"/>
      <c r="AE242" s="1504">
        <v>41821</v>
      </c>
      <c r="AF242" s="19"/>
      <c r="AG242" s="93"/>
      <c r="AH242" s="93"/>
      <c r="AI242" s="93"/>
      <c r="AJ242" s="93"/>
      <c r="AK242" s="93"/>
      <c r="AL242" s="93"/>
      <c r="AM242" s="93"/>
      <c r="AN242" s="93"/>
      <c r="AO242" s="93"/>
      <c r="AP242" s="93"/>
      <c r="AQ242" s="93"/>
      <c r="AR242" s="93"/>
      <c r="AS242" s="20"/>
      <c r="AT242" s="25">
        <v>175</v>
      </c>
      <c r="AU242" s="97"/>
      <c r="AV242" s="1504">
        <v>41821</v>
      </c>
      <c r="AW242" s="19"/>
      <c r="AX242" s="93"/>
      <c r="AY242" s="93"/>
      <c r="AZ242" s="93"/>
      <c r="BA242" s="93"/>
      <c r="BB242" s="93"/>
      <c r="BC242" s="93"/>
      <c r="BD242" s="93"/>
      <c r="BE242" s="93"/>
      <c r="BF242" s="93"/>
      <c r="BG242" s="93"/>
      <c r="BH242" s="93"/>
      <c r="BI242" s="93"/>
      <c r="BJ242" s="20"/>
      <c r="BK242" s="25">
        <v>175</v>
      </c>
      <c r="BL242" s="97"/>
      <c r="BM242" s="1504">
        <v>41821</v>
      </c>
      <c r="BN242" s="19"/>
      <c r="BO242" s="93"/>
      <c r="BP242" s="93"/>
      <c r="BQ242" s="93"/>
      <c r="BR242" s="93"/>
      <c r="BS242" s="93"/>
      <c r="BT242" s="93"/>
      <c r="BU242" s="20"/>
      <c r="BV242" s="25">
        <v>175</v>
      </c>
      <c r="BW242" s="97"/>
      <c r="BX242" s="1504">
        <v>41821</v>
      </c>
      <c r="BY242" s="179">
        <v>484.5</v>
      </c>
      <c r="BZ242" s="99">
        <v>664.95699999999999</v>
      </c>
      <c r="CA242" s="93"/>
      <c r="CB242" s="93"/>
      <c r="CC242" s="99">
        <v>160.19999999999999</v>
      </c>
      <c r="CD242" s="25">
        <v>175</v>
      </c>
      <c r="CE242" s="97"/>
      <c r="CF242" s="1504">
        <v>41821</v>
      </c>
      <c r="CG242" s="1508">
        <v>1.8483534079999999</v>
      </c>
      <c r="CH242" s="568">
        <v>1310.5899999999999</v>
      </c>
      <c r="CI242" s="1708">
        <v>105.226666666667</v>
      </c>
      <c r="CJ242" s="1509">
        <v>106.98</v>
      </c>
      <c r="CK242" s="1508">
        <v>435.39</v>
      </c>
      <c r="CL242" s="568">
        <v>182.726572</v>
      </c>
      <c r="CM242" s="568">
        <v>0.40256361200000002</v>
      </c>
      <c r="CN242" s="568">
        <v>0.44226020799999999</v>
      </c>
      <c r="CO242" s="568">
        <v>280.35420210000001</v>
      </c>
      <c r="CP242" s="1509">
        <v>5.1703850549999997</v>
      </c>
      <c r="CQ242" s="1708">
        <v>1373.38</v>
      </c>
      <c r="CR242" s="568">
        <v>2.0950000000000002</v>
      </c>
      <c r="CS242" s="568">
        <v>1.9985999999999999</v>
      </c>
      <c r="CT242" s="568">
        <v>111</v>
      </c>
      <c r="CU242" s="568">
        <v>96.05</v>
      </c>
      <c r="CV242" s="1709">
        <v>2310.62</v>
      </c>
      <c r="CW242" s="29">
        <v>175</v>
      </c>
      <c r="CX242" s="41">
        <f t="shared" si="209"/>
        <v>2014</v>
      </c>
      <c r="CY242" s="1504">
        <v>41821</v>
      </c>
      <c r="CZ242" s="1916">
        <v>97.822629733255297</v>
      </c>
      <c r="DA242" s="1526">
        <v>63.6485387332553</v>
      </c>
      <c r="DB242" s="1526">
        <v>34.174090999999997</v>
      </c>
      <c r="DC242" s="182">
        <f t="shared" si="219"/>
        <v>508499</v>
      </c>
      <c r="DD242" s="182">
        <f t="shared" si="220"/>
        <v>507074</v>
      </c>
      <c r="DE242" s="182">
        <f t="shared" si="221"/>
        <v>1425</v>
      </c>
      <c r="DF242" s="29">
        <v>175</v>
      </c>
      <c r="DG242" s="1504">
        <v>41821</v>
      </c>
      <c r="DH242" s="19"/>
      <c r="DI242" s="93"/>
      <c r="DJ242" s="93"/>
      <c r="DK242" s="93"/>
      <c r="DL242" s="93"/>
      <c r="DM242" s="93"/>
      <c r="DN242" s="20"/>
      <c r="DO242" s="25"/>
      <c r="DP242" s="29">
        <v>175</v>
      </c>
      <c r="DQ242" s="1504">
        <v>41821</v>
      </c>
      <c r="DR242" s="19"/>
      <c r="DS242" s="93"/>
      <c r="DT242" s="93"/>
      <c r="DU242" s="93"/>
      <c r="DV242" s="93"/>
      <c r="DW242" s="93"/>
      <c r="DX242" s="1719"/>
      <c r="DY242" s="29">
        <v>175</v>
      </c>
      <c r="DZ242" s="1504">
        <v>41821</v>
      </c>
      <c r="EA242" s="19"/>
      <c r="EB242" s="93"/>
      <c r="EC242" s="20"/>
      <c r="ED242" s="29"/>
      <c r="EE242" s="1504">
        <v>41821</v>
      </c>
      <c r="EF242" s="179">
        <v>18766</v>
      </c>
      <c r="EG242" s="99">
        <v>19553</v>
      </c>
      <c r="EH242" s="99">
        <v>38319</v>
      </c>
      <c r="EI242" s="221">
        <v>8151</v>
      </c>
      <c r="EJ242" s="99">
        <v>617.79200000000003</v>
      </c>
      <c r="EK242" s="99">
        <v>75.638999999999996</v>
      </c>
      <c r="EL242" s="99">
        <v>8.0109999999999992</v>
      </c>
      <c r="EM242" s="99">
        <v>6.13</v>
      </c>
      <c r="EN242" s="132">
        <v>707.572</v>
      </c>
      <c r="EO242" s="29">
        <v>175</v>
      </c>
      <c r="EP242" s="1504">
        <v>41821</v>
      </c>
      <c r="EQ242" s="19">
        <v>18474</v>
      </c>
      <c r="ER242" s="93">
        <v>19240</v>
      </c>
      <c r="ES242" s="93">
        <v>37714</v>
      </c>
      <c r="ET242" s="214">
        <v>7730</v>
      </c>
      <c r="EU242" s="93">
        <v>617.61</v>
      </c>
      <c r="EV242" s="93">
        <v>75.638999999999996</v>
      </c>
      <c r="EW242" s="93">
        <v>8.0109999999999992</v>
      </c>
      <c r="EX242" s="93">
        <v>6.13</v>
      </c>
      <c r="EY242" s="20">
        <v>707.39</v>
      </c>
      <c r="EZ242" s="29">
        <v>175</v>
      </c>
      <c r="FA242" s="1504">
        <v>41821</v>
      </c>
      <c r="FB242" s="29"/>
      <c r="FC242" s="29"/>
      <c r="FD242" s="29"/>
      <c r="FE242" s="29"/>
      <c r="FF242" s="29"/>
      <c r="FG242" s="29"/>
      <c r="FH242" s="29"/>
      <c r="FI242" s="29"/>
      <c r="FJ242" s="29"/>
      <c r="FK242" s="29">
        <v>175</v>
      </c>
      <c r="FL242" s="1504">
        <v>41821</v>
      </c>
      <c r="FM242" s="19">
        <v>108.4</v>
      </c>
      <c r="FN242" s="93">
        <v>116.29</v>
      </c>
      <c r="FO242" s="93">
        <v>101.25</v>
      </c>
      <c r="FP242" s="93">
        <v>101.83</v>
      </c>
      <c r="FQ242" s="93">
        <v>115.21</v>
      </c>
      <c r="FR242" s="93">
        <v>98.79</v>
      </c>
      <c r="FS242" s="93">
        <v>100.9</v>
      </c>
      <c r="FT242" s="93">
        <v>114.57</v>
      </c>
      <c r="FU242" s="93">
        <v>64.16</v>
      </c>
      <c r="FV242" s="93">
        <v>96.24</v>
      </c>
      <c r="FW242" s="93">
        <v>104.38</v>
      </c>
      <c r="FX242" s="93">
        <v>113.61</v>
      </c>
      <c r="FY242" s="93">
        <v>104.94</v>
      </c>
      <c r="FZ242" s="29">
        <v>175</v>
      </c>
      <c r="GA242" s="1504">
        <v>41821</v>
      </c>
      <c r="GB242" s="19">
        <v>108.4</v>
      </c>
      <c r="GC242" s="93">
        <v>109.08</v>
      </c>
      <c r="GD242" s="93">
        <v>108.52</v>
      </c>
      <c r="GE242" s="93">
        <v>113.74</v>
      </c>
      <c r="GF242" s="93">
        <v>116.22</v>
      </c>
      <c r="GG242" s="93">
        <v>108.4</v>
      </c>
      <c r="GH242" s="93"/>
      <c r="GI242" s="93"/>
      <c r="GJ242" s="93"/>
      <c r="GK242" s="93"/>
      <c r="GL242" s="93"/>
      <c r="GM242" s="93"/>
      <c r="GN242" s="20"/>
      <c r="GO242" s="29">
        <v>175</v>
      </c>
      <c r="GP242" s="1504">
        <v>41821</v>
      </c>
      <c r="GQ242" s="19"/>
      <c r="GR242" s="93"/>
      <c r="GS242" s="93"/>
      <c r="GT242" s="93"/>
      <c r="GU242" s="93"/>
      <c r="GV242" s="20"/>
      <c r="GW242" s="19"/>
      <c r="GX242" s="93"/>
      <c r="GY242" s="93"/>
      <c r="GZ242" s="93"/>
      <c r="HA242" s="93"/>
      <c r="HB242" s="20"/>
      <c r="HC242" s="19"/>
      <c r="HD242" s="93"/>
      <c r="HE242" s="93"/>
      <c r="HF242" s="93"/>
      <c r="HG242" s="93"/>
      <c r="HH242" s="20"/>
      <c r="HI242" s="19"/>
      <c r="HJ242" s="93"/>
      <c r="HK242" s="93"/>
      <c r="HL242" s="93"/>
      <c r="HM242" s="93"/>
      <c r="HN242" s="20"/>
      <c r="HO242" s="219"/>
      <c r="HP242" s="20"/>
      <c r="HQ242" s="25"/>
      <c r="HR242" s="29">
        <v>175</v>
      </c>
      <c r="HS242" s="1504">
        <v>41821</v>
      </c>
      <c r="HT242" s="179">
        <v>213.20621490478516</v>
      </c>
      <c r="HU242" s="99">
        <v>255.04032135009766</v>
      </c>
      <c r="HV242" s="99">
        <v>201.34228515625</v>
      </c>
      <c r="HW242" s="99">
        <v>115.38462066650391</v>
      </c>
      <c r="HX242" s="99">
        <v>196.66666564941406</v>
      </c>
      <c r="HY242" s="99">
        <v>206.65997823079428</v>
      </c>
      <c r="HZ242" s="99">
        <v>225.48851521809897</v>
      </c>
      <c r="IA242" s="132">
        <v>195.09804687499999</v>
      </c>
      <c r="IB242" s="179">
        <v>202.29884338378906</v>
      </c>
      <c r="IC242" s="99">
        <v>151.51515197753906</v>
      </c>
      <c r="ID242" s="99">
        <v>173.80953216552734</v>
      </c>
      <c r="IE242" s="99">
        <v>166.93811416625977</v>
      </c>
      <c r="IF242" s="99">
        <v>196.36824035644531</v>
      </c>
      <c r="IG242" s="132">
        <v>168.98907089233398</v>
      </c>
      <c r="IH242" s="179">
        <v>122.66230392456055</v>
      </c>
      <c r="II242" s="99">
        <v>214.35045623779297</v>
      </c>
      <c r="IJ242" s="99">
        <v>142.24137115478516</v>
      </c>
      <c r="IK242" s="99">
        <v>135.37905883789063</v>
      </c>
      <c r="IL242" s="99">
        <v>123.49397532145183</v>
      </c>
      <c r="IM242" s="99">
        <v>125.16129455566406</v>
      </c>
      <c r="IN242" s="93"/>
      <c r="IO242" s="132">
        <v>161.67397499084473</v>
      </c>
      <c r="IP242" s="29">
        <v>175</v>
      </c>
      <c r="IQ242" s="19"/>
      <c r="IR242" s="93"/>
      <c r="IS242" s="93"/>
      <c r="IT242" s="93"/>
      <c r="IU242" s="93"/>
      <c r="IV242" s="20"/>
      <c r="IW242" s="29">
        <v>175</v>
      </c>
      <c r="IX242" s="19"/>
      <c r="IY242" s="93"/>
      <c r="IZ242" s="93"/>
      <c r="JA242" s="93"/>
      <c r="JB242" s="93"/>
      <c r="JC242" s="93"/>
      <c r="JD242" s="93"/>
      <c r="JE242" s="20"/>
      <c r="JF242" s="29">
        <v>175</v>
      </c>
      <c r="JG242" s="19"/>
      <c r="JH242" s="93"/>
      <c r="JI242" s="93"/>
      <c r="JJ242" s="93"/>
      <c r="JK242" s="93"/>
      <c r="JL242" s="93"/>
      <c r="JM242" s="93"/>
      <c r="JN242" s="20"/>
      <c r="JO242" s="29">
        <v>175</v>
      </c>
      <c r="JP242" s="19"/>
      <c r="JQ242" s="93"/>
      <c r="JR242" s="93"/>
      <c r="JS242" s="93"/>
      <c r="JT242" s="93"/>
      <c r="JU242" s="20"/>
      <c r="JV242" s="29">
        <v>175</v>
      </c>
      <c r="JW242" s="1504">
        <v>41821</v>
      </c>
      <c r="JX242" s="19"/>
      <c r="JY242" s="93"/>
      <c r="JZ242" s="93"/>
      <c r="KA242" s="93"/>
      <c r="KB242" s="93"/>
      <c r="KC242" s="93"/>
      <c r="KD242" s="20"/>
      <c r="KE242" s="29">
        <v>175</v>
      </c>
      <c r="KF242" s="19"/>
      <c r="KG242" s="93"/>
      <c r="KH242" s="93"/>
      <c r="KI242" s="93"/>
      <c r="KJ242" s="93"/>
      <c r="KK242" s="20"/>
      <c r="KL242" s="29">
        <v>175</v>
      </c>
      <c r="KM242" s="19"/>
      <c r="KN242" s="93"/>
      <c r="KO242" s="93"/>
      <c r="KP242" s="93"/>
      <c r="KQ242" s="93"/>
      <c r="KR242" s="20"/>
      <c r="KS242" s="29">
        <v>175</v>
      </c>
      <c r="KT242" s="19"/>
      <c r="KU242" s="93"/>
      <c r="KV242" s="93"/>
      <c r="KW242" s="93"/>
      <c r="KX242" s="93"/>
      <c r="KY242" s="20"/>
      <c r="KZ242" s="29">
        <v>175</v>
      </c>
      <c r="LA242" s="1504">
        <v>41821</v>
      </c>
      <c r="LB242" s="19">
        <v>510</v>
      </c>
      <c r="LC242" s="93">
        <v>740</v>
      </c>
      <c r="LD242" s="93">
        <v>732</v>
      </c>
      <c r="LE242" s="93"/>
      <c r="LF242" s="93">
        <v>656</v>
      </c>
      <c r="LG242" s="93"/>
      <c r="LH242" s="20"/>
      <c r="LI242" s="29">
        <v>175</v>
      </c>
      <c r="LJ242" s="19"/>
      <c r="LK242" s="93"/>
      <c r="LL242" s="93"/>
      <c r="LM242" s="93"/>
      <c r="LN242" s="93"/>
      <c r="LO242" s="20"/>
      <c r="LP242" s="29">
        <v>175</v>
      </c>
      <c r="LQ242" s="19"/>
      <c r="LR242" s="93">
        <v>188</v>
      </c>
      <c r="LS242" s="93">
        <v>445</v>
      </c>
      <c r="LT242" s="93">
        <v>535</v>
      </c>
      <c r="LU242" s="93">
        <v>1070</v>
      </c>
      <c r="LV242" s="93"/>
      <c r="LW242" s="93">
        <v>5</v>
      </c>
      <c r="LX242" s="93">
        <v>10</v>
      </c>
      <c r="LY242" s="93">
        <v>60</v>
      </c>
      <c r="LZ242" s="93"/>
      <c r="MA242" s="20">
        <v>1070</v>
      </c>
      <c r="MB242" s="29">
        <v>175</v>
      </c>
      <c r="MC242" s="1504">
        <v>41821</v>
      </c>
      <c r="MD242" s="19"/>
      <c r="ME242" s="93"/>
      <c r="MF242" s="93"/>
      <c r="MG242" s="93"/>
      <c r="MH242" s="93"/>
      <c r="MI242" s="93"/>
      <c r="MJ242" s="93"/>
      <c r="MK242" s="93"/>
      <c r="ML242" s="93"/>
      <c r="MM242" s="93"/>
      <c r="MN242" s="93"/>
      <c r="MO242" s="93"/>
      <c r="MP242" s="93"/>
      <c r="MQ242" s="93"/>
      <c r="MR242" s="93"/>
      <c r="MS242" s="93"/>
      <c r="MT242" s="93"/>
      <c r="MU242" s="93"/>
      <c r="MV242" s="93"/>
      <c r="MW242" s="93"/>
      <c r="MX242" s="93"/>
      <c r="MY242" s="93"/>
      <c r="MZ242" s="93"/>
      <c r="NA242" s="93"/>
      <c r="NB242" s="93"/>
      <c r="NC242" s="93"/>
      <c r="ND242" s="93"/>
      <c r="NE242" s="93"/>
      <c r="NF242" s="93"/>
      <c r="NG242" s="93"/>
      <c r="NH242" s="93"/>
      <c r="NI242" s="93"/>
      <c r="NJ242" s="93"/>
      <c r="NK242" s="93"/>
      <c r="NL242" s="93"/>
      <c r="NM242" s="93"/>
      <c r="NN242" s="93"/>
      <c r="NO242" s="93"/>
      <c r="NP242" s="93"/>
      <c r="NQ242" s="93"/>
      <c r="NR242" s="93"/>
      <c r="NS242" s="93"/>
      <c r="NT242" s="93"/>
      <c r="NU242" s="93"/>
      <c r="NV242" s="93"/>
      <c r="NW242" s="93"/>
      <c r="NX242" s="93"/>
      <c r="NY242" s="93"/>
      <c r="NZ242" s="93"/>
      <c r="OA242" s="93"/>
      <c r="OB242" s="93"/>
      <c r="OC242" s="93"/>
      <c r="OD242" s="20"/>
      <c r="OE242" s="29">
        <v>175</v>
      </c>
      <c r="OF242" s="1504">
        <v>41821</v>
      </c>
      <c r="OG242" s="19"/>
      <c r="OH242" s="93">
        <v>209.83959999999999</v>
      </c>
      <c r="OI242" s="93">
        <v>943.77731893971736</v>
      </c>
      <c r="OJ242" s="93">
        <v>0.50120379500000001</v>
      </c>
      <c r="OK242" s="93">
        <v>803.49511514471726</v>
      </c>
      <c r="OL242" s="93">
        <v>139.78100000000001</v>
      </c>
      <c r="OM242" s="93">
        <v>1153.6169189397174</v>
      </c>
      <c r="ON242" s="93">
        <v>896.24398941649292</v>
      </c>
      <c r="OO242" s="93">
        <v>2049.8609083562105</v>
      </c>
      <c r="OP242" s="93"/>
      <c r="OQ242" s="93">
        <v>563.81944989882891</v>
      </c>
      <c r="OR242" s="93">
        <v>-33.129087671000036</v>
      </c>
      <c r="OS242" s="93">
        <v>596.948537569829</v>
      </c>
      <c r="OT242" s="93">
        <v>1731.611290504381</v>
      </c>
      <c r="OU242" s="93">
        <v>32.153530543999985</v>
      </c>
      <c r="OV242" s="93">
        <v>6.3615305440000105</v>
      </c>
      <c r="OW242" s="93">
        <v>25.791999999999973</v>
      </c>
      <c r="OX242" s="93">
        <v>1699.4577599603811</v>
      </c>
      <c r="OY242" s="93">
        <v>3.524192969</v>
      </c>
      <c r="OZ242" s="93">
        <v>1695.933566991381</v>
      </c>
      <c r="PA242" s="93">
        <v>294.47252392400003</v>
      </c>
      <c r="PB242" s="93">
        <v>-48.902691876999967</v>
      </c>
      <c r="PC242" s="20">
        <v>2049.8609083562096</v>
      </c>
      <c r="PD242" s="29">
        <v>175</v>
      </c>
      <c r="PE242" s="19"/>
      <c r="PF242" s="93">
        <v>-33.129087671000036</v>
      </c>
      <c r="PG242" s="93">
        <v>289.65821454399997</v>
      </c>
      <c r="PH242" s="93">
        <v>322.78730221500001</v>
      </c>
      <c r="PI242" s="93">
        <v>420.89940000000001</v>
      </c>
      <c r="PJ242" s="93">
        <v>13.84373054400001</v>
      </c>
      <c r="PK242" s="93">
        <v>132.94605730200001</v>
      </c>
      <c r="PL242" s="93">
        <v>119.102326758</v>
      </c>
      <c r="PM242" s="93">
        <v>3.524192969</v>
      </c>
      <c r="PN242" s="93">
        <v>5.9999999999999995E-4</v>
      </c>
      <c r="PO242" s="93">
        <v>0</v>
      </c>
      <c r="PP242" s="93">
        <v>4.0274400000000002E-4</v>
      </c>
      <c r="PQ242" s="93">
        <v>3.523190225</v>
      </c>
      <c r="PR242" s="93">
        <v>397.86670201499999</v>
      </c>
      <c r="PS242" s="93">
        <v>262.6318</v>
      </c>
      <c r="PT242" s="93">
        <v>134.73369822000001</v>
      </c>
      <c r="PU242" s="93">
        <v>0.50120379500000001</v>
      </c>
      <c r="PV242" s="93">
        <v>0</v>
      </c>
      <c r="PW242" s="93">
        <v>1.0381708789999999</v>
      </c>
      <c r="PX242" s="93">
        <v>0</v>
      </c>
      <c r="PY242" s="93">
        <v>0</v>
      </c>
      <c r="PZ242" s="93">
        <v>1.0381708789999999</v>
      </c>
      <c r="QA242" s="93">
        <v>0</v>
      </c>
      <c r="QB242" s="93">
        <v>0</v>
      </c>
      <c r="QC242" s="93">
        <v>0</v>
      </c>
      <c r="QD242" s="93">
        <v>3.0013530450000001</v>
      </c>
      <c r="QE242" s="20">
        <v>3.2320099030000069</v>
      </c>
      <c r="QF242" s="1739">
        <v>175</v>
      </c>
      <c r="QG242" s="19"/>
      <c r="QH242" s="1035">
        <v>596.948537569829</v>
      </c>
      <c r="QI242" s="1035">
        <v>775.02943300861887</v>
      </c>
      <c r="QJ242" s="1035">
        <v>-178.08089543878987</v>
      </c>
      <c r="QK242" s="1035">
        <v>168.97200000000001</v>
      </c>
      <c r="QL242" s="1035">
        <v>45.31</v>
      </c>
      <c r="QM242" s="1035">
        <v>123.66200000000001</v>
      </c>
      <c r="QN242" s="1035">
        <v>0</v>
      </c>
      <c r="QO242" s="1035">
        <v>25.791999999999973</v>
      </c>
      <c r="QP242" s="1035">
        <v>243.64499999999998</v>
      </c>
      <c r="QQ242" s="1035">
        <v>-217.85300000000001</v>
      </c>
      <c r="QR242" s="1035">
        <v>1695.933566991381</v>
      </c>
      <c r="QS242" s="1035">
        <v>22.983241980943749</v>
      </c>
      <c r="QT242" s="1035">
        <v>0</v>
      </c>
      <c r="QU242" s="1035">
        <v>161.41900000000001</v>
      </c>
      <c r="QV242" s="1035">
        <v>1511.5313250104373</v>
      </c>
      <c r="QW242" s="93"/>
      <c r="QX242" s="93">
        <v>420.57900000000001</v>
      </c>
      <c r="QY242" s="93">
        <v>803.49511514471715</v>
      </c>
      <c r="QZ242" s="93">
        <v>896.24398941649292</v>
      </c>
      <c r="RA242" s="93">
        <v>0</v>
      </c>
      <c r="RB242" s="93">
        <v>35.75</v>
      </c>
      <c r="RC242" s="93">
        <v>6.37</v>
      </c>
      <c r="RD242" s="93">
        <v>13.449000000000002</v>
      </c>
      <c r="RE242" s="93">
        <v>0</v>
      </c>
      <c r="RF242" s="93">
        <v>0</v>
      </c>
      <c r="RG242" s="93">
        <v>234.864</v>
      </c>
      <c r="RH242" s="93">
        <v>76.89500000000001</v>
      </c>
      <c r="RI242" s="93"/>
      <c r="RJ242" s="93"/>
      <c r="RK242" s="93"/>
      <c r="RL242" s="93"/>
      <c r="RM242" s="734"/>
      <c r="RN242" s="29">
        <v>175</v>
      </c>
      <c r="RO242" s="19">
        <v>73</v>
      </c>
      <c r="RP242" s="20"/>
      <c r="RQ242" s="29">
        <v>175</v>
      </c>
      <c r="RR242" s="734">
        <v>3.4627593000000001</v>
      </c>
      <c r="RS242" s="29">
        <v>175</v>
      </c>
      <c r="RT242" s="1504">
        <v>41821</v>
      </c>
      <c r="RU242" s="19"/>
      <c r="RV242" s="20"/>
      <c r="RW242" s="29">
        <v>175</v>
      </c>
      <c r="RX242" s="1504">
        <v>41821</v>
      </c>
      <c r="RY242" s="29"/>
      <c r="RZ242" s="734"/>
      <c r="SA242" s="29"/>
      <c r="SB242" s="29">
        <v>175</v>
      </c>
    </row>
    <row r="243" spans="1:496">
      <c r="A243" s="41">
        <f t="shared" si="208"/>
        <v>2014</v>
      </c>
      <c r="B243" s="1504">
        <v>41852</v>
      </c>
      <c r="C243" s="1813">
        <v>985</v>
      </c>
      <c r="D243" s="1814">
        <v>18100</v>
      </c>
      <c r="E243" s="1814">
        <v>31</v>
      </c>
      <c r="F243" s="1815">
        <v>297</v>
      </c>
      <c r="G243" s="1814">
        <v>111304</v>
      </c>
      <c r="H243" s="1814">
        <v>9</v>
      </c>
      <c r="I243" s="1814">
        <v>36562</v>
      </c>
      <c r="J243" s="1816">
        <v>13693</v>
      </c>
      <c r="K243" s="1807">
        <v>180981</v>
      </c>
      <c r="L243" s="25">
        <v>176</v>
      </c>
      <c r="M243" s="97"/>
      <c r="N243" s="1504">
        <v>41852</v>
      </c>
      <c r="O243" s="19"/>
      <c r="P243" s="93"/>
      <c r="Q243" s="93"/>
      <c r="R243" s="93"/>
      <c r="S243" s="93"/>
      <c r="T243" s="93"/>
      <c r="U243" s="93"/>
      <c r="V243" s="93"/>
      <c r="W243" s="93"/>
      <c r="X243" s="93"/>
      <c r="Y243" s="93"/>
      <c r="Z243" s="93"/>
      <c r="AA243" s="93"/>
      <c r="AB243" s="20"/>
      <c r="AC243" s="25">
        <v>176</v>
      </c>
      <c r="AD243" s="97"/>
      <c r="AE243" s="1504">
        <v>41852</v>
      </c>
      <c r="AF243" s="19"/>
      <c r="AG243" s="93"/>
      <c r="AH243" s="93"/>
      <c r="AI243" s="93"/>
      <c r="AJ243" s="93"/>
      <c r="AK243" s="93"/>
      <c r="AL243" s="93"/>
      <c r="AM243" s="93"/>
      <c r="AN243" s="93"/>
      <c r="AO243" s="93"/>
      <c r="AP243" s="93"/>
      <c r="AQ243" s="93"/>
      <c r="AR243" s="93"/>
      <c r="AS243" s="20"/>
      <c r="AT243" s="25">
        <v>176</v>
      </c>
      <c r="AU243" s="97"/>
      <c r="AV243" s="1504">
        <v>41852</v>
      </c>
      <c r="AW243" s="19"/>
      <c r="AX243" s="93"/>
      <c r="AY243" s="93"/>
      <c r="AZ243" s="93"/>
      <c r="BA243" s="93"/>
      <c r="BB243" s="93"/>
      <c r="BC243" s="93"/>
      <c r="BD243" s="93"/>
      <c r="BE243" s="93"/>
      <c r="BF243" s="93"/>
      <c r="BG243" s="93"/>
      <c r="BH243" s="93"/>
      <c r="BI243" s="93"/>
      <c r="BJ243" s="20"/>
      <c r="BK243" s="25">
        <v>176</v>
      </c>
      <c r="BL243" s="97"/>
      <c r="BM243" s="1504">
        <v>41852</v>
      </c>
      <c r="BN243" s="19">
        <v>54.671999999999962</v>
      </c>
      <c r="BO243" s="93">
        <v>2052.1930000000152</v>
      </c>
      <c r="BP243" s="93">
        <v>7.2960000000000012</v>
      </c>
      <c r="BQ243" s="93">
        <v>764.12000000000069</v>
      </c>
      <c r="BR243" s="93">
        <v>1.53</v>
      </c>
      <c r="BS243" s="93">
        <v>292.08599999999984</v>
      </c>
      <c r="BT243" s="93">
        <v>275.20800000000065</v>
      </c>
      <c r="BU243" s="20">
        <v>3447.1050000000164</v>
      </c>
      <c r="BV243" s="25">
        <v>176</v>
      </c>
      <c r="BW243" s="97"/>
      <c r="BX243" s="1504">
        <v>41852</v>
      </c>
      <c r="BY243" s="179">
        <v>492.6</v>
      </c>
      <c r="BZ243" s="99">
        <v>664.95699999999999</v>
      </c>
      <c r="CA243" s="93"/>
      <c r="CB243" s="93"/>
      <c r="CC243" s="99">
        <v>160.99</v>
      </c>
      <c r="CD243" s="25">
        <v>176</v>
      </c>
      <c r="CE243" s="97"/>
      <c r="CF243" s="1504">
        <v>41852</v>
      </c>
      <c r="CG243" s="1508">
        <v>1.6314188000000001</v>
      </c>
      <c r="CH243" s="568">
        <v>1295.1300000000001</v>
      </c>
      <c r="CI243" s="1708">
        <v>100.05</v>
      </c>
      <c r="CJ243" s="1509">
        <v>101.92</v>
      </c>
      <c r="CK243" s="1508">
        <v>460.57</v>
      </c>
      <c r="CL243" s="568">
        <v>176.42375519999999</v>
      </c>
      <c r="CM243" s="568">
        <v>0.37963556399999998</v>
      </c>
      <c r="CN243" s="568">
        <v>0.43487995200000001</v>
      </c>
      <c r="CO243" s="568">
        <v>263.45211389999997</v>
      </c>
      <c r="CP243" s="1509">
        <v>5.7931902050000001</v>
      </c>
      <c r="CQ243" s="1708">
        <v>1388.91</v>
      </c>
      <c r="CR243" s="568">
        <v>2.0299999999999998</v>
      </c>
      <c r="CS243" s="568">
        <v>1.86</v>
      </c>
      <c r="CT243" s="568">
        <v>111</v>
      </c>
      <c r="CU243" s="568">
        <v>92.614000000000004</v>
      </c>
      <c r="CV243" s="1709">
        <v>2326.9899999999998</v>
      </c>
      <c r="CW243" s="29">
        <v>176</v>
      </c>
      <c r="CX243" s="41">
        <f t="shared" si="209"/>
        <v>2014</v>
      </c>
      <c r="CY243" s="1504">
        <v>41852</v>
      </c>
      <c r="CZ243" s="1916">
        <v>91.78948299999999</v>
      </c>
      <c r="DA243" s="1526">
        <v>63.007393999999998</v>
      </c>
      <c r="DB243" s="1526">
        <v>28.782088999999999</v>
      </c>
      <c r="DC243" s="182">
        <f t="shared" si="219"/>
        <v>508499</v>
      </c>
      <c r="DD243" s="182">
        <f t="shared" si="220"/>
        <v>507074</v>
      </c>
      <c r="DE243" s="182">
        <f t="shared" si="221"/>
        <v>1425</v>
      </c>
      <c r="DF243" s="29">
        <v>176</v>
      </c>
      <c r="DG243" s="1504">
        <v>41852</v>
      </c>
      <c r="DH243" s="19"/>
      <c r="DI243" s="93"/>
      <c r="DJ243" s="93"/>
      <c r="DK243" s="93"/>
      <c r="DL243" s="93"/>
      <c r="DM243" s="93"/>
      <c r="DN243" s="20"/>
      <c r="DO243" s="25"/>
      <c r="DP243" s="29">
        <v>176</v>
      </c>
      <c r="DQ243" s="1504">
        <v>41852</v>
      </c>
      <c r="DR243" s="19"/>
      <c r="DS243" s="93"/>
      <c r="DT243" s="93"/>
      <c r="DU243" s="93"/>
      <c r="DV243" s="93"/>
      <c r="DW243" s="93"/>
      <c r="DX243" s="1719"/>
      <c r="DY243" s="29">
        <v>176</v>
      </c>
      <c r="DZ243" s="1504">
        <v>41852</v>
      </c>
      <c r="EA243" s="19"/>
      <c r="EB243" s="93"/>
      <c r="EC243" s="20"/>
      <c r="ED243" s="29"/>
      <c r="EE243" s="1504">
        <v>41852</v>
      </c>
      <c r="EF243" s="179">
        <v>19376</v>
      </c>
      <c r="EG243" s="99">
        <v>21742</v>
      </c>
      <c r="EH243" s="99">
        <v>41118</v>
      </c>
      <c r="EI243" s="221">
        <v>7342</v>
      </c>
      <c r="EJ243" s="99">
        <v>571.74099999999999</v>
      </c>
      <c r="EK243" s="99">
        <v>68.459000000000003</v>
      </c>
      <c r="EL243" s="99">
        <v>11.992000000000001</v>
      </c>
      <c r="EM243" s="99">
        <v>4.5049999999999999</v>
      </c>
      <c r="EN243" s="132">
        <v>656.697</v>
      </c>
      <c r="EO243" s="29">
        <v>176</v>
      </c>
      <c r="EP243" s="1504">
        <v>41852</v>
      </c>
      <c r="EQ243" s="19">
        <v>19044</v>
      </c>
      <c r="ER243" s="93">
        <v>21431</v>
      </c>
      <c r="ES243" s="93">
        <v>40475</v>
      </c>
      <c r="ET243" s="214">
        <v>6748</v>
      </c>
      <c r="EU243" s="93">
        <v>571.74</v>
      </c>
      <c r="EV243" s="93">
        <v>68.459000000000003</v>
      </c>
      <c r="EW243" s="93">
        <v>11.992000000000001</v>
      </c>
      <c r="EX243" s="93">
        <v>4.5049999999999999</v>
      </c>
      <c r="EY243" s="20">
        <v>656.69600000000003</v>
      </c>
      <c r="EZ243" s="29">
        <v>176</v>
      </c>
      <c r="FA243" s="1504">
        <v>41852</v>
      </c>
      <c r="FB243" s="29"/>
      <c r="FC243" s="29"/>
      <c r="FD243" s="29"/>
      <c r="FE243" s="29"/>
      <c r="FF243" s="29"/>
      <c r="FG243" s="29"/>
      <c r="FH243" s="29"/>
      <c r="FI243" s="29"/>
      <c r="FJ243" s="29"/>
      <c r="FK243" s="29">
        <v>176</v>
      </c>
      <c r="FL243" s="1504">
        <v>41852</v>
      </c>
      <c r="FM243" s="19">
        <v>108.06</v>
      </c>
      <c r="FN243" s="93">
        <v>115.1</v>
      </c>
      <c r="FO243" s="93">
        <v>99.65</v>
      </c>
      <c r="FP243" s="93">
        <v>101.84</v>
      </c>
      <c r="FQ243" s="93">
        <v>116.4</v>
      </c>
      <c r="FR243" s="93">
        <v>98.78</v>
      </c>
      <c r="FS243" s="93">
        <v>100.9</v>
      </c>
      <c r="FT243" s="93">
        <v>114.62</v>
      </c>
      <c r="FU243" s="93">
        <v>64.16</v>
      </c>
      <c r="FV243" s="93">
        <v>96.28</v>
      </c>
      <c r="FW243" s="93">
        <v>104.38</v>
      </c>
      <c r="FX243" s="93">
        <v>113.61</v>
      </c>
      <c r="FY243" s="93">
        <v>104.94</v>
      </c>
      <c r="FZ243" s="29">
        <v>176</v>
      </c>
      <c r="GA243" s="1504">
        <v>41852</v>
      </c>
      <c r="GB243" s="19">
        <v>108.06</v>
      </c>
      <c r="GC243" s="93">
        <v>109.99</v>
      </c>
      <c r="GD243" s="93">
        <v>106.98</v>
      </c>
      <c r="GE243" s="93">
        <v>114.68</v>
      </c>
      <c r="GF243" s="93">
        <v>113.86</v>
      </c>
      <c r="GG243" s="93">
        <v>108.06</v>
      </c>
      <c r="GH243" s="93"/>
      <c r="GI243" s="93"/>
      <c r="GJ243" s="93"/>
      <c r="GK243" s="93"/>
      <c r="GL243" s="93"/>
      <c r="GM243" s="93"/>
      <c r="GN243" s="20"/>
      <c r="GO243" s="29">
        <v>176</v>
      </c>
      <c r="GP243" s="1504">
        <v>41852</v>
      </c>
      <c r="GQ243" s="19"/>
      <c r="GR243" s="93"/>
      <c r="GS243" s="93"/>
      <c r="GT243" s="93"/>
      <c r="GU243" s="93"/>
      <c r="GV243" s="20"/>
      <c r="GW243" s="19"/>
      <c r="GX243" s="93"/>
      <c r="GY243" s="93"/>
      <c r="GZ243" s="93"/>
      <c r="HA243" s="93"/>
      <c r="HB243" s="20"/>
      <c r="HC243" s="19"/>
      <c r="HD243" s="93"/>
      <c r="HE243" s="93"/>
      <c r="HF243" s="93"/>
      <c r="HG243" s="93"/>
      <c r="HH243" s="20"/>
      <c r="HI243" s="19"/>
      <c r="HJ243" s="93"/>
      <c r="HK243" s="93"/>
      <c r="HL243" s="93"/>
      <c r="HM243" s="93"/>
      <c r="HN243" s="20"/>
      <c r="HO243" s="219"/>
      <c r="HP243" s="20"/>
      <c r="HQ243" s="25"/>
      <c r="HR243" s="29">
        <v>176</v>
      </c>
      <c r="HS243" s="1504">
        <v>41852</v>
      </c>
      <c r="HT243" s="179">
        <v>214.76871490478516</v>
      </c>
      <c r="HU243" s="99">
        <v>243.48118286132814</v>
      </c>
      <c r="HV243" s="99">
        <v>201.34228515625</v>
      </c>
      <c r="HW243" s="99">
        <v>122.59615898132324</v>
      </c>
      <c r="HX243" s="99">
        <v>195.83333206176758</v>
      </c>
      <c r="HY243" s="99">
        <v>205.82329559326172</v>
      </c>
      <c r="HZ243" s="99">
        <v>224.25190429687501</v>
      </c>
      <c r="IA243" s="132">
        <v>178.49463399251303</v>
      </c>
      <c r="IB243" s="179">
        <v>196.55171585083008</v>
      </c>
      <c r="IC243" s="99">
        <v>154.67171859741211</v>
      </c>
      <c r="ID243" s="99">
        <v>156.25000762939453</v>
      </c>
      <c r="IE243" s="99">
        <v>143.86536661783853</v>
      </c>
      <c r="IF243" s="99">
        <v>202.73902893066406</v>
      </c>
      <c r="IG243" s="132">
        <v>186.47541046142578</v>
      </c>
      <c r="IH243" s="179">
        <v>122.66230392456055</v>
      </c>
      <c r="II243" s="99">
        <v>199.89371871948242</v>
      </c>
      <c r="IJ243" s="99">
        <v>137.9310302734375</v>
      </c>
      <c r="IK243" s="99">
        <v>135.37905883789063</v>
      </c>
      <c r="IL243" s="99">
        <v>122.74096298217773</v>
      </c>
      <c r="IM243" s="99">
        <v>126.34409077962239</v>
      </c>
      <c r="IN243" s="93"/>
      <c r="IO243" s="132">
        <v>154.98544464111328</v>
      </c>
      <c r="IP243" s="29">
        <v>176</v>
      </c>
      <c r="IQ243" s="19"/>
      <c r="IR243" s="93"/>
      <c r="IS243" s="93"/>
      <c r="IT243" s="93"/>
      <c r="IU243" s="93"/>
      <c r="IV243" s="20"/>
      <c r="IW243" s="29">
        <v>176</v>
      </c>
      <c r="IX243" s="19"/>
      <c r="IY243" s="93"/>
      <c r="IZ243" s="93"/>
      <c r="JA243" s="93"/>
      <c r="JB243" s="93"/>
      <c r="JC243" s="93"/>
      <c r="JD243" s="93"/>
      <c r="JE243" s="20"/>
      <c r="JF243" s="29">
        <v>176</v>
      </c>
      <c r="JG243" s="19"/>
      <c r="JH243" s="93"/>
      <c r="JI243" s="93"/>
      <c r="JJ243" s="93"/>
      <c r="JK243" s="93"/>
      <c r="JL243" s="93"/>
      <c r="JM243" s="93"/>
      <c r="JN243" s="20"/>
      <c r="JO243" s="29">
        <v>176</v>
      </c>
      <c r="JP243" s="19"/>
      <c r="JQ243" s="93"/>
      <c r="JR243" s="93"/>
      <c r="JS243" s="93"/>
      <c r="JT243" s="93"/>
      <c r="JU243" s="20"/>
      <c r="JV243" s="29">
        <v>176</v>
      </c>
      <c r="JW243" s="1504">
        <v>41852</v>
      </c>
      <c r="JX243" s="19"/>
      <c r="JY243" s="93"/>
      <c r="JZ243" s="93"/>
      <c r="KA243" s="93"/>
      <c r="KB243" s="93"/>
      <c r="KC243" s="93"/>
      <c r="KD243" s="20"/>
      <c r="KE243" s="29">
        <v>176</v>
      </c>
      <c r="KF243" s="19"/>
      <c r="KG243" s="93"/>
      <c r="KH243" s="93"/>
      <c r="KI243" s="93"/>
      <c r="KJ243" s="93"/>
      <c r="KK243" s="20"/>
      <c r="KL243" s="29">
        <v>176</v>
      </c>
      <c r="KM243" s="19"/>
      <c r="KN243" s="93"/>
      <c r="KO243" s="93"/>
      <c r="KP243" s="93"/>
      <c r="KQ243" s="93"/>
      <c r="KR243" s="20"/>
      <c r="KS243" s="29">
        <v>176</v>
      </c>
      <c r="KT243" s="19"/>
      <c r="KU243" s="93"/>
      <c r="KV243" s="93"/>
      <c r="KW243" s="93"/>
      <c r="KX243" s="93"/>
      <c r="KY243" s="20"/>
      <c r="KZ243" s="29">
        <v>176</v>
      </c>
      <c r="LA243" s="1504">
        <v>41852</v>
      </c>
      <c r="LB243" s="19">
        <v>510</v>
      </c>
      <c r="LC243" s="93">
        <v>740</v>
      </c>
      <c r="LD243" s="93">
        <v>732</v>
      </c>
      <c r="LE243" s="93"/>
      <c r="LF243" s="93">
        <v>656</v>
      </c>
      <c r="LG243" s="93"/>
      <c r="LH243" s="20"/>
      <c r="LI243" s="29">
        <v>176</v>
      </c>
      <c r="LJ243" s="19"/>
      <c r="LK243" s="93"/>
      <c r="LL243" s="93"/>
      <c r="LM243" s="93"/>
      <c r="LN243" s="93"/>
      <c r="LO243" s="20"/>
      <c r="LP243" s="29">
        <v>176</v>
      </c>
      <c r="LQ243" s="19"/>
      <c r="LR243" s="93">
        <v>188</v>
      </c>
      <c r="LS243" s="93">
        <v>445</v>
      </c>
      <c r="LT243" s="93">
        <v>535</v>
      </c>
      <c r="LU243" s="93">
        <v>1070</v>
      </c>
      <c r="LV243" s="93"/>
      <c r="LW243" s="93">
        <v>5</v>
      </c>
      <c r="LX243" s="93">
        <v>10</v>
      </c>
      <c r="LY243" s="93">
        <v>60</v>
      </c>
      <c r="LZ243" s="93"/>
      <c r="MA243" s="20">
        <v>1070</v>
      </c>
      <c r="MB243" s="29">
        <v>176</v>
      </c>
      <c r="MC243" s="1504">
        <v>41852</v>
      </c>
      <c r="MD243" s="19"/>
      <c r="ME243" s="93"/>
      <c r="MF243" s="93"/>
      <c r="MG243" s="93"/>
      <c r="MH243" s="93"/>
      <c r="MI243" s="93"/>
      <c r="MJ243" s="93"/>
      <c r="MK243" s="93"/>
      <c r="ML243" s="93"/>
      <c r="MM243" s="93"/>
      <c r="MN243" s="93"/>
      <c r="MO243" s="93"/>
      <c r="MP243" s="93"/>
      <c r="MQ243" s="93"/>
      <c r="MR243" s="93"/>
      <c r="MS243" s="93"/>
      <c r="MT243" s="93"/>
      <c r="MU243" s="93"/>
      <c r="MV243" s="93"/>
      <c r="MW243" s="93"/>
      <c r="MX243" s="93"/>
      <c r="MY243" s="93"/>
      <c r="MZ243" s="93"/>
      <c r="NA243" s="93"/>
      <c r="NB243" s="93"/>
      <c r="NC243" s="93"/>
      <c r="ND243" s="93"/>
      <c r="NE243" s="93"/>
      <c r="NF243" s="93"/>
      <c r="NG243" s="93"/>
      <c r="NH243" s="93"/>
      <c r="NI243" s="93"/>
      <c r="NJ243" s="93"/>
      <c r="NK243" s="93"/>
      <c r="NL243" s="93"/>
      <c r="NM243" s="93"/>
      <c r="NN243" s="93"/>
      <c r="NO243" s="93"/>
      <c r="NP243" s="93"/>
      <c r="NQ243" s="93"/>
      <c r="NR243" s="93"/>
      <c r="NS243" s="93"/>
      <c r="NT243" s="93"/>
      <c r="NU243" s="93"/>
      <c r="NV243" s="93"/>
      <c r="NW243" s="93"/>
      <c r="NX243" s="93"/>
      <c r="NY243" s="93"/>
      <c r="NZ243" s="93"/>
      <c r="OA243" s="93"/>
      <c r="OB243" s="93"/>
      <c r="OC243" s="93"/>
      <c r="OD243" s="20"/>
      <c r="OE243" s="29">
        <v>176</v>
      </c>
      <c r="OF243" s="1504">
        <v>41852</v>
      </c>
      <c r="OG243" s="19"/>
      <c r="OH243" s="93">
        <v>200.22099999999998</v>
      </c>
      <c r="OI243" s="93">
        <v>920.51031482187591</v>
      </c>
      <c r="OJ243" s="93">
        <v>0.48087391699999998</v>
      </c>
      <c r="OK243" s="93">
        <v>779.50434090487579</v>
      </c>
      <c r="OL243" s="93">
        <v>140.52510000000001</v>
      </c>
      <c r="OM243" s="93">
        <v>1120.7313148218759</v>
      </c>
      <c r="ON243" s="93">
        <v>903.66153581661479</v>
      </c>
      <c r="OO243" s="93">
        <v>2024.3928506384907</v>
      </c>
      <c r="OP243" s="93"/>
      <c r="OQ243" s="93">
        <v>529.08914674409345</v>
      </c>
      <c r="OR243" s="93">
        <v>-74.227748129999952</v>
      </c>
      <c r="OS243" s="93">
        <v>603.31689487409346</v>
      </c>
      <c r="OT243" s="93">
        <v>1732.5822905353971</v>
      </c>
      <c r="OU243" s="93">
        <v>22.954413103000018</v>
      </c>
      <c r="OV243" s="93">
        <v>10.445413103000003</v>
      </c>
      <c r="OW243" s="93">
        <v>12.509000000000015</v>
      </c>
      <c r="OX243" s="93">
        <v>1709.6278774323971</v>
      </c>
      <c r="OY243" s="93">
        <v>3.5128955849999999</v>
      </c>
      <c r="OZ243" s="93">
        <v>1706.1149818473971</v>
      </c>
      <c r="PA243" s="93">
        <v>298.23928866599999</v>
      </c>
      <c r="PB243" s="93">
        <v>-60.960702025000018</v>
      </c>
      <c r="PC243" s="20">
        <v>2024.3928506384905</v>
      </c>
      <c r="PD243" s="29">
        <v>176</v>
      </c>
      <c r="PE243" s="19"/>
      <c r="PF243" s="93">
        <v>-74.227748129999952</v>
      </c>
      <c r="PG243" s="93">
        <v>315.29761759900003</v>
      </c>
      <c r="PH243" s="93">
        <v>389.52536572899999</v>
      </c>
      <c r="PI243" s="93">
        <v>406.67399999999998</v>
      </c>
      <c r="PJ243" s="93">
        <v>15.149513103000004</v>
      </c>
      <c r="PK243" s="93">
        <v>132.44562224800001</v>
      </c>
      <c r="PL243" s="93">
        <v>117.296109145</v>
      </c>
      <c r="PM243" s="93">
        <v>3.5128955849999999</v>
      </c>
      <c r="PN243" s="93">
        <v>0</v>
      </c>
      <c r="PO243" s="93">
        <v>0</v>
      </c>
      <c r="PP243" s="93">
        <v>3.14786E-4</v>
      </c>
      <c r="PQ243" s="93">
        <v>3.5125807989999998</v>
      </c>
      <c r="PR243" s="93">
        <v>347.467630488</v>
      </c>
      <c r="PS243" s="93">
        <v>250.37209999999999</v>
      </c>
      <c r="PT243" s="93">
        <v>96.614656570999998</v>
      </c>
      <c r="PU243" s="93">
        <v>0.48087391699999998</v>
      </c>
      <c r="PV243" s="93">
        <v>0</v>
      </c>
      <c r="PW243" s="93">
        <v>0.60652483700000004</v>
      </c>
      <c r="PX243" s="93">
        <v>0</v>
      </c>
      <c r="PY243" s="93">
        <v>0</v>
      </c>
      <c r="PZ243" s="93">
        <v>0.60652483700000004</v>
      </c>
      <c r="QA243" s="93">
        <v>0</v>
      </c>
      <c r="QB243" s="93">
        <v>0</v>
      </c>
      <c r="QC243" s="93">
        <v>0</v>
      </c>
      <c r="QD243" s="93">
        <v>3.3677638290000003</v>
      </c>
      <c r="QE243" s="20">
        <v>-0.33325859599999991</v>
      </c>
      <c r="QF243" s="1739">
        <v>176</v>
      </c>
      <c r="QG243" s="19"/>
      <c r="QH243" s="1035">
        <v>603.31689487409346</v>
      </c>
      <c r="QI243" s="1035">
        <v>790.54501815260301</v>
      </c>
      <c r="QJ243" s="1035">
        <v>-187.22812327850954</v>
      </c>
      <c r="QK243" s="1035">
        <v>160.42400000000001</v>
      </c>
      <c r="QL243" s="1035">
        <v>45.447000000000003</v>
      </c>
      <c r="QM243" s="1035">
        <v>114.977</v>
      </c>
      <c r="QN243" s="1035">
        <v>0</v>
      </c>
      <c r="QO243" s="1035">
        <v>12.509000000000015</v>
      </c>
      <c r="QP243" s="1035">
        <v>230.608</v>
      </c>
      <c r="QQ243" s="1035">
        <v>-218.09899999999999</v>
      </c>
      <c r="QR243" s="1035">
        <v>1706.1149818473971</v>
      </c>
      <c r="QS243" s="1035">
        <v>23.179612195615245</v>
      </c>
      <c r="QT243" s="1035">
        <v>0</v>
      </c>
      <c r="QU243" s="1035">
        <v>155.26599999999999</v>
      </c>
      <c r="QV243" s="1035">
        <v>1527.6693696517818</v>
      </c>
      <c r="QW243" s="93"/>
      <c r="QX243" s="93">
        <v>406.55799999999999</v>
      </c>
      <c r="QY243" s="93">
        <v>779.50434090487568</v>
      </c>
      <c r="QZ243" s="93">
        <v>903.66153581661479</v>
      </c>
      <c r="RA243" s="93">
        <v>0</v>
      </c>
      <c r="RB243" s="93">
        <v>36.664000000000009</v>
      </c>
      <c r="RC243" s="93">
        <v>6.3970000000000002</v>
      </c>
      <c r="RD243" s="93">
        <v>11.605</v>
      </c>
      <c r="RE243" s="93">
        <v>0</v>
      </c>
      <c r="RF243" s="93">
        <v>0</v>
      </c>
      <c r="RG243" s="93">
        <v>239.59899999999999</v>
      </c>
      <c r="RH243" s="93">
        <v>98.376000000000005</v>
      </c>
      <c r="RI243" s="93"/>
      <c r="RJ243" s="93"/>
      <c r="RK243" s="93"/>
      <c r="RL243" s="93"/>
      <c r="RM243" s="734"/>
      <c r="RN243" s="29">
        <v>176</v>
      </c>
      <c r="RO243" s="19">
        <v>85</v>
      </c>
      <c r="RP243" s="20"/>
      <c r="RQ243" s="29">
        <v>176</v>
      </c>
      <c r="RR243" s="734">
        <v>2.9584176000000002</v>
      </c>
      <c r="RS243" s="29">
        <v>176</v>
      </c>
      <c r="RT243" s="1504">
        <v>41852</v>
      </c>
      <c r="RU243" s="19"/>
      <c r="RV243" s="20"/>
      <c r="RW243" s="29">
        <v>176</v>
      </c>
      <c r="RX243" s="1504">
        <v>41852</v>
      </c>
      <c r="RY243" s="29"/>
      <c r="RZ243" s="734"/>
      <c r="SA243" s="29"/>
      <c r="SB243" s="29">
        <v>176</v>
      </c>
    </row>
    <row r="244" spans="1:496">
      <c r="A244" s="41">
        <f t="shared" si="208"/>
        <v>2014</v>
      </c>
      <c r="B244" s="1504">
        <v>41883</v>
      </c>
      <c r="C244" s="1813">
        <v>1461</v>
      </c>
      <c r="D244" s="1814">
        <v>19893</v>
      </c>
      <c r="E244" s="1814">
        <v>28</v>
      </c>
      <c r="F244" s="1815">
        <v>314</v>
      </c>
      <c r="G244" s="1814">
        <v>112788</v>
      </c>
      <c r="H244" s="1814">
        <v>17</v>
      </c>
      <c r="I244" s="1814">
        <v>37976</v>
      </c>
      <c r="J244" s="1816">
        <v>12264</v>
      </c>
      <c r="K244" s="1807">
        <v>184741</v>
      </c>
      <c r="L244" s="25">
        <v>177</v>
      </c>
      <c r="M244" s="97"/>
      <c r="N244" s="1504">
        <v>41883</v>
      </c>
      <c r="O244" s="19">
        <v>381</v>
      </c>
      <c r="P244" s="93">
        <v>675</v>
      </c>
      <c r="Q244" s="93">
        <v>7195</v>
      </c>
      <c r="R244" s="93">
        <v>1768</v>
      </c>
      <c r="S244" s="93">
        <v>550</v>
      </c>
      <c r="T244" s="93">
        <v>437</v>
      </c>
      <c r="U244" s="93">
        <v>238</v>
      </c>
      <c r="V244" s="93">
        <v>1490</v>
      </c>
      <c r="W244" s="93">
        <v>3512</v>
      </c>
      <c r="X244" s="93">
        <v>573</v>
      </c>
      <c r="Y244" s="93">
        <v>220</v>
      </c>
      <c r="Z244" s="93">
        <v>775</v>
      </c>
      <c r="AA244" s="93">
        <v>347</v>
      </c>
      <c r="AB244" s="20">
        <v>18161</v>
      </c>
      <c r="AC244" s="25">
        <v>177</v>
      </c>
      <c r="AD244" s="97"/>
      <c r="AE244" s="1504">
        <v>41883</v>
      </c>
      <c r="AF244" s="19"/>
      <c r="AG244" s="93"/>
      <c r="AH244" s="93"/>
      <c r="AI244" s="93"/>
      <c r="AJ244" s="93"/>
      <c r="AK244" s="93"/>
      <c r="AL244" s="93"/>
      <c r="AM244" s="93"/>
      <c r="AN244" s="93"/>
      <c r="AO244" s="93"/>
      <c r="AP244" s="93"/>
      <c r="AQ244" s="93"/>
      <c r="AR244" s="93"/>
      <c r="AS244" s="20">
        <v>0</v>
      </c>
      <c r="AT244" s="25">
        <v>177</v>
      </c>
      <c r="AU244" s="97"/>
      <c r="AV244" s="1504">
        <v>41883</v>
      </c>
      <c r="AW244" s="19">
        <v>9004</v>
      </c>
      <c r="AX244" s="93">
        <v>2928</v>
      </c>
      <c r="AY244" s="93">
        <v>5411</v>
      </c>
      <c r="AZ244" s="93">
        <v>11808</v>
      </c>
      <c r="BA244" s="93">
        <v>7867</v>
      </c>
      <c r="BB244" s="93">
        <v>6300</v>
      </c>
      <c r="BC244" s="93">
        <v>6239</v>
      </c>
      <c r="BD244" s="93">
        <v>9671</v>
      </c>
      <c r="BE244" s="93">
        <v>10129</v>
      </c>
      <c r="BF244" s="93">
        <v>8045</v>
      </c>
      <c r="BG244" s="93">
        <v>5115</v>
      </c>
      <c r="BH244" s="93">
        <v>10137</v>
      </c>
      <c r="BI244" s="93">
        <v>2861</v>
      </c>
      <c r="BJ244" s="20">
        <v>95515</v>
      </c>
      <c r="BK244" s="25">
        <v>177</v>
      </c>
      <c r="BL244" s="97"/>
      <c r="BM244" s="1504">
        <v>41883</v>
      </c>
      <c r="BN244" s="19">
        <v>65.942999999999998</v>
      </c>
      <c r="BO244" s="93">
        <v>2832.0060000000153</v>
      </c>
      <c r="BP244" s="93">
        <v>5.9520000000000008</v>
      </c>
      <c r="BQ244" s="93">
        <v>764.04000000000065</v>
      </c>
      <c r="BR244" s="93">
        <v>2.907</v>
      </c>
      <c r="BS244" s="93">
        <v>323.29799999999955</v>
      </c>
      <c r="BT244" s="93">
        <v>339.36000000000104</v>
      </c>
      <c r="BU244" s="132">
        <v>4333.5060000000176</v>
      </c>
      <c r="BV244" s="25">
        <v>177</v>
      </c>
      <c r="BW244" s="97"/>
      <c r="BX244" s="1504">
        <v>41883</v>
      </c>
      <c r="BY244" s="179">
        <v>508.5</v>
      </c>
      <c r="BZ244" s="99">
        <v>664.95699999999999</v>
      </c>
      <c r="CA244" s="99">
        <v>543.20501043989998</v>
      </c>
      <c r="CB244" s="99">
        <v>46.331950064445181</v>
      </c>
      <c r="CC244" s="99">
        <v>159.46</v>
      </c>
      <c r="CD244" s="25">
        <v>177</v>
      </c>
      <c r="CE244" s="97"/>
      <c r="CF244" s="1504">
        <v>41883</v>
      </c>
      <c r="CG244" s="1508">
        <v>1.6177501560000001</v>
      </c>
      <c r="CH244" s="568">
        <v>1236.55</v>
      </c>
      <c r="CI244" s="1708">
        <v>95.85</v>
      </c>
      <c r="CJ244" s="1509">
        <v>97.34</v>
      </c>
      <c r="CK244" s="1508">
        <v>449.91</v>
      </c>
      <c r="CL244" s="568">
        <v>163.0583192</v>
      </c>
      <c r="CM244" s="568">
        <v>0.35340058600000002</v>
      </c>
      <c r="CN244" s="568">
        <v>0.42155630399999999</v>
      </c>
      <c r="CO244" s="568">
        <v>243.6105321</v>
      </c>
      <c r="CP244" s="1509">
        <v>6.1745894650000004</v>
      </c>
      <c r="CQ244" s="1708">
        <v>1388.91</v>
      </c>
      <c r="CR244" s="568">
        <v>1.8919999999999999</v>
      </c>
      <c r="CS244" s="568">
        <v>1.6704000000000001</v>
      </c>
      <c r="CT244" s="568">
        <v>111.375</v>
      </c>
      <c r="CU244" s="568">
        <v>82.379545454545493</v>
      </c>
      <c r="CV244" s="1709">
        <v>2294.59</v>
      </c>
      <c r="CW244" s="29">
        <v>177</v>
      </c>
      <c r="CX244" s="41">
        <f t="shared" si="209"/>
        <v>2014</v>
      </c>
      <c r="CY244" s="1504">
        <v>41883</v>
      </c>
      <c r="CZ244" s="1916">
        <v>83.532846460000002</v>
      </c>
      <c r="DA244" s="1526">
        <v>55.043515460000002</v>
      </c>
      <c r="DB244" s="1526">
        <v>28.489331</v>
      </c>
      <c r="DC244" s="182">
        <f t="shared" si="219"/>
        <v>508499</v>
      </c>
      <c r="DD244" s="182">
        <f t="shared" si="220"/>
        <v>507074</v>
      </c>
      <c r="DE244" s="182">
        <f t="shared" si="221"/>
        <v>1425</v>
      </c>
      <c r="DF244" s="29">
        <v>177</v>
      </c>
      <c r="DG244" s="1504">
        <v>41883</v>
      </c>
      <c r="DH244" s="181">
        <v>289779</v>
      </c>
      <c r="DI244" s="182"/>
      <c r="DJ244" s="182"/>
      <c r="DK244" s="182"/>
      <c r="DL244" s="182"/>
      <c r="DM244" s="182"/>
      <c r="DN244" s="290"/>
      <c r="DO244" s="295"/>
      <c r="DP244" s="29">
        <v>177</v>
      </c>
      <c r="DQ244" s="1504">
        <v>41883</v>
      </c>
      <c r="DR244" s="19"/>
      <c r="DS244" s="93"/>
      <c r="DT244" s="93"/>
      <c r="DU244" s="93"/>
      <c r="DV244" s="93"/>
      <c r="DW244" s="93"/>
      <c r="DX244" s="1719"/>
      <c r="DY244" s="29">
        <v>177</v>
      </c>
      <c r="DZ244" s="1504">
        <v>41883</v>
      </c>
      <c r="EA244" s="19"/>
      <c r="EB244" s="93"/>
      <c r="EC244" s="20"/>
      <c r="ED244" s="29"/>
      <c r="EE244" s="1504">
        <v>41883</v>
      </c>
      <c r="EF244" s="179">
        <v>12735</v>
      </c>
      <c r="EG244" s="99">
        <v>21349</v>
      </c>
      <c r="EH244" s="99">
        <v>34084</v>
      </c>
      <c r="EI244" s="221">
        <v>4811</v>
      </c>
      <c r="EJ244" s="99">
        <v>228.58799999999999</v>
      </c>
      <c r="EK244" s="99">
        <v>32.119</v>
      </c>
      <c r="EL244" s="99">
        <v>6.0869999999999997</v>
      </c>
      <c r="EM244" s="99">
        <v>2.718</v>
      </c>
      <c r="EN244" s="132">
        <v>269.512</v>
      </c>
      <c r="EO244" s="29">
        <v>177</v>
      </c>
      <c r="EP244" s="1504">
        <v>41883</v>
      </c>
      <c r="EQ244" s="19">
        <v>12482</v>
      </c>
      <c r="ER244" s="93">
        <v>19690</v>
      </c>
      <c r="ES244" s="93">
        <v>32172</v>
      </c>
      <c r="ET244" s="214">
        <v>4584</v>
      </c>
      <c r="EU244" s="93">
        <v>228.58799999999999</v>
      </c>
      <c r="EV244" s="93">
        <v>32.119</v>
      </c>
      <c r="EW244" s="93">
        <v>6.0869999999999997</v>
      </c>
      <c r="EX244" s="93">
        <v>2.718</v>
      </c>
      <c r="EY244" s="20">
        <v>269.512</v>
      </c>
      <c r="EZ244" s="29">
        <v>177</v>
      </c>
      <c r="FA244" s="1504">
        <v>41883</v>
      </c>
      <c r="FB244" s="29"/>
      <c r="FC244" s="29"/>
      <c r="FD244" s="29"/>
      <c r="FE244" s="29"/>
      <c r="FF244" s="29"/>
      <c r="FG244" s="29"/>
      <c r="FH244" s="29"/>
      <c r="FI244" s="29"/>
      <c r="FJ244" s="29"/>
      <c r="FK244" s="29">
        <v>177</v>
      </c>
      <c r="FL244" s="1504">
        <v>41883</v>
      </c>
      <c r="FM244" s="19">
        <v>108.11</v>
      </c>
      <c r="FN244" s="93">
        <v>114.79</v>
      </c>
      <c r="FO244" s="93">
        <v>99.78</v>
      </c>
      <c r="FP244" s="93">
        <v>101.84</v>
      </c>
      <c r="FQ244" s="93">
        <v>118.16</v>
      </c>
      <c r="FR244" s="93">
        <v>98.78</v>
      </c>
      <c r="FS244" s="93">
        <v>100.9</v>
      </c>
      <c r="FT244" s="93">
        <v>114.62</v>
      </c>
      <c r="FU244" s="93">
        <v>64.16</v>
      </c>
      <c r="FV244" s="93">
        <v>96.28</v>
      </c>
      <c r="FW244" s="93">
        <v>104.38</v>
      </c>
      <c r="FX244" s="93">
        <v>113.61</v>
      </c>
      <c r="FY244" s="93">
        <v>104.94</v>
      </c>
      <c r="FZ244" s="29">
        <v>177</v>
      </c>
      <c r="GA244" s="1504">
        <v>41883</v>
      </c>
      <c r="GB244" s="19">
        <v>108.11</v>
      </c>
      <c r="GC244" s="93">
        <v>109.16</v>
      </c>
      <c r="GD244" s="93">
        <v>107.64</v>
      </c>
      <c r="GE244" s="93">
        <v>115.51</v>
      </c>
      <c r="GF244" s="93">
        <v>111.74</v>
      </c>
      <c r="GG244" s="99">
        <v>105.43</v>
      </c>
      <c r="GH244" s="93">
        <v>119.32</v>
      </c>
      <c r="GI244" s="93">
        <v>108.97</v>
      </c>
      <c r="GJ244" s="93">
        <v>98.03</v>
      </c>
      <c r="GK244" s="93">
        <v>128</v>
      </c>
      <c r="GL244" s="93">
        <v>114.19</v>
      </c>
      <c r="GM244" s="93">
        <v>100.94</v>
      </c>
      <c r="GN244" s="20">
        <v>98.03</v>
      </c>
      <c r="GO244" s="29">
        <v>177</v>
      </c>
      <c r="GP244" s="1504">
        <v>41883</v>
      </c>
      <c r="GQ244" s="181">
        <v>254.66873361119099</v>
      </c>
      <c r="GR244" s="182">
        <v>228.05578747299899</v>
      </c>
      <c r="GS244" s="182">
        <v>230.81926843597699</v>
      </c>
      <c r="GT244" s="182">
        <v>177.95850854363101</v>
      </c>
      <c r="GU244" s="182">
        <v>417.20568746575799</v>
      </c>
      <c r="GV244" s="290">
        <v>784.27675367796496</v>
      </c>
      <c r="GW244" s="181">
        <v>357.754704381811</v>
      </c>
      <c r="GX244" s="182">
        <v>354.54086209105799</v>
      </c>
      <c r="GY244" s="182">
        <v>354.72089265627602</v>
      </c>
      <c r="GZ244" s="182">
        <v>478.22795832237102</v>
      </c>
      <c r="HA244" s="182">
        <v>388.46401653309402</v>
      </c>
      <c r="HB244" s="290">
        <v>307.36858741208698</v>
      </c>
      <c r="HC244" s="181">
        <v>1928.9352971233</v>
      </c>
      <c r="HD244" s="182">
        <v>2055.3342523862002</v>
      </c>
      <c r="HE244" s="182">
        <v>2344.1455102968998</v>
      </c>
      <c r="HF244" s="182">
        <v>831.25</v>
      </c>
      <c r="HG244" s="182">
        <v>2670.9468468995601</v>
      </c>
      <c r="HH244" s="290">
        <v>2985.6520942035399</v>
      </c>
      <c r="HI244" s="19"/>
      <c r="HJ244" s="182">
        <v>908.29350013757801</v>
      </c>
      <c r="HK244" s="182">
        <v>1102.2032827354999</v>
      </c>
      <c r="HL244" s="182">
        <v>918.65775278329602</v>
      </c>
      <c r="HM244" s="182">
        <v>900</v>
      </c>
      <c r="HN244" s="290">
        <v>1715.9526556395799</v>
      </c>
      <c r="HO244" s="324">
        <v>126.05399417821199</v>
      </c>
      <c r="HP244" s="290">
        <v>91.969658867572207</v>
      </c>
      <c r="HQ244" s="295">
        <v>148.62009635759799</v>
      </c>
      <c r="HR244" s="29">
        <v>177</v>
      </c>
      <c r="HS244" s="1504">
        <v>41883</v>
      </c>
      <c r="HT244" s="179">
        <v>221.28492736816406</v>
      </c>
      <c r="HU244" s="99">
        <v>261.76074981689453</v>
      </c>
      <c r="HV244" s="99">
        <v>201.34228515625</v>
      </c>
      <c r="HW244" s="99">
        <v>173.07693481445313</v>
      </c>
      <c r="HX244" s="99">
        <v>200</v>
      </c>
      <c r="HY244" s="99">
        <v>205.82329559326172</v>
      </c>
      <c r="HZ244" s="99">
        <v>221.18693542480469</v>
      </c>
      <c r="IA244" s="132">
        <v>174.19355392456055</v>
      </c>
      <c r="IB244" s="100"/>
      <c r="IC244" s="99">
        <v>151.51515197753906</v>
      </c>
      <c r="ID244" s="99">
        <v>160.71429443359375</v>
      </c>
      <c r="IE244" s="99">
        <v>134.36482620239258</v>
      </c>
      <c r="IF244" s="99">
        <v>183.46774291992188</v>
      </c>
      <c r="IG244" s="132">
        <v>176.95810699462891</v>
      </c>
      <c r="IH244" s="179">
        <v>122.66230392456055</v>
      </c>
      <c r="II244" s="99">
        <v>208.52868843078613</v>
      </c>
      <c r="IJ244" s="99">
        <v>146.55171585083008</v>
      </c>
      <c r="IK244" s="99">
        <v>135.37905883789063</v>
      </c>
      <c r="IL244" s="99">
        <v>122.74096298217773</v>
      </c>
      <c r="IM244" s="99">
        <v>125.8064546585083</v>
      </c>
      <c r="IN244" s="99">
        <v>150.17668151855401</v>
      </c>
      <c r="IO244" s="132">
        <v>137.71237087249756</v>
      </c>
      <c r="IP244" s="29">
        <v>177</v>
      </c>
      <c r="IQ244" s="179">
        <v>163.54556274414063</v>
      </c>
      <c r="IR244" s="99">
        <v>76.142127990722656</v>
      </c>
      <c r="IS244" s="99">
        <v>97.916666030883789</v>
      </c>
      <c r="IT244" s="99">
        <v>100.5794677734375</v>
      </c>
      <c r="IU244" s="99">
        <v>139.77635192871094</v>
      </c>
      <c r="IV244" s="132">
        <v>116.91176223754883</v>
      </c>
      <c r="IW244" s="29">
        <v>177</v>
      </c>
      <c r="IX244" s="179">
        <v>397.84946187337238</v>
      </c>
      <c r="IY244" s="99">
        <v>379.73398208618164</v>
      </c>
      <c r="IZ244" s="100">
        <f>(((IZ245/IZ246-1)+(IZ246/IZ247-1))/2+1)*IZ245</f>
        <v>422.76495645365236</v>
      </c>
      <c r="JA244" s="99">
        <v>375</v>
      </c>
      <c r="JB244" s="99">
        <v>380</v>
      </c>
      <c r="JC244" s="99">
        <v>400</v>
      </c>
      <c r="JD244" s="100">
        <f>(((JD245/JD246-1)+(JD246/JD247-1))/2+1)*JD245</f>
        <v>403.35616438356163</v>
      </c>
      <c r="JE244" s="132">
        <v>400</v>
      </c>
      <c r="JF244" s="29">
        <v>177</v>
      </c>
      <c r="JG244" s="179">
        <v>178.82314300537109</v>
      </c>
      <c r="JH244" s="99">
        <v>213.8425178527832</v>
      </c>
      <c r="JI244" s="99">
        <v>170.45455169677734</v>
      </c>
      <c r="JJ244" s="99">
        <v>187.5</v>
      </c>
      <c r="JK244" s="99">
        <v>168.35017395019531</v>
      </c>
      <c r="JL244" s="99">
        <v>163.63636016845703</v>
      </c>
      <c r="JM244" s="99">
        <v>174.91749572753906</v>
      </c>
      <c r="JN244" s="132">
        <v>215.04084968566895</v>
      </c>
      <c r="JO244" s="29">
        <v>177</v>
      </c>
      <c r="JP244" s="179">
        <v>207.40740458170572</v>
      </c>
      <c r="JQ244" s="99">
        <v>118.75</v>
      </c>
      <c r="JR244" s="99">
        <v>147.22222391764322</v>
      </c>
      <c r="JS244" s="100"/>
      <c r="JT244" s="99">
        <v>162.53870391845703</v>
      </c>
      <c r="JU244" s="132">
        <v>133.68983459472656</v>
      </c>
      <c r="JV244" s="29">
        <v>177</v>
      </c>
      <c r="JW244" s="1504">
        <v>41883</v>
      </c>
      <c r="JX244" s="179">
        <v>220.16666666666666</v>
      </c>
      <c r="JY244" s="99">
        <v>286.66666666666669</v>
      </c>
      <c r="JZ244" s="99">
        <v>298.74358974358972</v>
      </c>
      <c r="KA244" s="99">
        <v>358.33333333333331</v>
      </c>
      <c r="KB244" s="99">
        <v>312.77777777777777</v>
      </c>
      <c r="KC244" s="99">
        <v>404.58333333333331</v>
      </c>
      <c r="KD244" s="132">
        <v>404.23076923076923</v>
      </c>
      <c r="KE244" s="29">
        <v>177</v>
      </c>
      <c r="KF244" s="179">
        <v>38.5</v>
      </c>
      <c r="KG244" s="99">
        <v>39.07692307692308</v>
      </c>
      <c r="KH244" s="99">
        <v>69.5</v>
      </c>
      <c r="KI244" s="99">
        <v>61</v>
      </c>
      <c r="KJ244" s="99">
        <v>56.916666666666664</v>
      </c>
      <c r="KK244" s="132">
        <v>72.230769230769226</v>
      </c>
      <c r="KL244" s="29">
        <v>177</v>
      </c>
      <c r="KM244" s="179">
        <v>20</v>
      </c>
      <c r="KN244" s="99">
        <v>15.846153846153847</v>
      </c>
      <c r="KO244" s="99">
        <v>35.333333333333336</v>
      </c>
      <c r="KP244" s="99">
        <v>39.777777777777779</v>
      </c>
      <c r="KQ244" s="99">
        <v>30.833333333333332</v>
      </c>
      <c r="KR244" s="132">
        <v>36.846153846153847</v>
      </c>
      <c r="KS244" s="29">
        <v>177</v>
      </c>
      <c r="KT244" s="179">
        <v>27.416666666666668</v>
      </c>
      <c r="KU244" s="99">
        <v>22.53846153846154</v>
      </c>
      <c r="KV244" s="99">
        <v>31.333333333333332</v>
      </c>
      <c r="KW244" s="99">
        <v>31.333333333333332</v>
      </c>
      <c r="KX244" s="99">
        <v>19.75</v>
      </c>
      <c r="KY244" s="132">
        <v>27.115384615384617</v>
      </c>
      <c r="KZ244" s="29">
        <v>177</v>
      </c>
      <c r="LA244" s="1504">
        <v>41883</v>
      </c>
      <c r="LB244" s="19">
        <v>510</v>
      </c>
      <c r="LC244" s="93">
        <v>740</v>
      </c>
      <c r="LD244" s="93">
        <v>732</v>
      </c>
      <c r="LE244" s="93">
        <v>3600</v>
      </c>
      <c r="LF244" s="93">
        <v>656</v>
      </c>
      <c r="LG244" s="93">
        <v>5000</v>
      </c>
      <c r="LH244" s="20">
        <v>2000</v>
      </c>
      <c r="LI244" s="29">
        <v>177</v>
      </c>
      <c r="LJ244" s="19"/>
      <c r="LK244" s="93"/>
      <c r="LL244" s="93"/>
      <c r="LM244" s="93"/>
      <c r="LN244" s="93"/>
      <c r="LO244" s="20"/>
      <c r="LP244" s="29">
        <v>177</v>
      </c>
      <c r="LQ244" s="19"/>
      <c r="LR244" s="93">
        <v>188</v>
      </c>
      <c r="LS244" s="93">
        <v>445</v>
      </c>
      <c r="LT244" s="93">
        <v>535</v>
      </c>
      <c r="LU244" s="93">
        <v>1070</v>
      </c>
      <c r="LV244" s="93"/>
      <c r="LW244" s="93">
        <v>5</v>
      </c>
      <c r="LX244" s="93">
        <v>10</v>
      </c>
      <c r="LY244" s="93">
        <v>60</v>
      </c>
      <c r="LZ244" s="93"/>
      <c r="MA244" s="20">
        <v>1070</v>
      </c>
      <c r="MB244" s="29">
        <v>177</v>
      </c>
      <c r="MC244" s="1504">
        <v>41883</v>
      </c>
      <c r="MD244" s="19">
        <v>1050.155758415882</v>
      </c>
      <c r="ME244" s="93">
        <v>820.65113280100002</v>
      </c>
      <c r="MF244" s="93">
        <v>820.63956241999995</v>
      </c>
      <c r="MG244" s="93">
        <v>720.95856806999996</v>
      </c>
      <c r="MH244" s="93">
        <v>207.81928964599999</v>
      </c>
      <c r="MI244" s="93">
        <v>5.6484104030000006</v>
      </c>
      <c r="MJ244" s="93">
        <v>6.7662608759999996</v>
      </c>
      <c r="MK244" s="93">
        <v>385.76396932800003</v>
      </c>
      <c r="ML244" s="93">
        <v>108.79981686400001</v>
      </c>
      <c r="MM244" s="93">
        <v>6.160820953</v>
      </c>
      <c r="MN244" s="93">
        <v>99.680994350000006</v>
      </c>
      <c r="MO244" s="93">
        <v>4.2226702850000004</v>
      </c>
      <c r="MP244" s="93">
        <v>20.834944475</v>
      </c>
      <c r="MQ244" s="93">
        <v>3.4711710949999999</v>
      </c>
      <c r="MR244" s="93">
        <v>29.845442239</v>
      </c>
      <c r="MS244" s="93">
        <v>41.306766255999996</v>
      </c>
      <c r="MT244" s="93">
        <v>1.1570380999999999E-2</v>
      </c>
      <c r="MU244" s="93">
        <v>229.50462561488206</v>
      </c>
      <c r="MV244" s="93">
        <v>131.69494925826905</v>
      </c>
      <c r="MW244" s="93">
        <v>97.809676356613011</v>
      </c>
      <c r="MX244" s="93">
        <v>1130.9587383785019</v>
      </c>
      <c r="MY244" s="93">
        <v>1135.779318147502</v>
      </c>
      <c r="MZ244" s="93">
        <v>668.7894556903334</v>
      </c>
      <c r="NA244" s="93">
        <v>327.53775161999999</v>
      </c>
      <c r="NB244" s="93">
        <v>86.347136896333325</v>
      </c>
      <c r="NC244" s="93">
        <v>24.059479168999999</v>
      </c>
      <c r="ND244" s="93">
        <v>15.668082220000001</v>
      </c>
      <c r="NE244" s="93">
        <v>8.3913969490000007</v>
      </c>
      <c r="NF244" s="93">
        <v>230.84508800500001</v>
      </c>
      <c r="NG244" s="93">
        <v>10.692284703</v>
      </c>
      <c r="NH244" s="93">
        <v>64.427439749000001</v>
      </c>
      <c r="NI244" s="93">
        <v>10.89263253</v>
      </c>
      <c r="NJ244" s="93">
        <v>23.630862603999997</v>
      </c>
      <c r="NK244" s="93">
        <v>466.98986245716861</v>
      </c>
      <c r="NL244" s="93">
        <v>286.146611323</v>
      </c>
      <c r="NM244" s="93">
        <v>5.6198069779999988</v>
      </c>
      <c r="NN244" s="93">
        <v>175.2234441561686</v>
      </c>
      <c r="NO244" s="93">
        <v>-4.8205797690000018</v>
      </c>
      <c r="NP244" s="93">
        <v>-80.802979962619887</v>
      </c>
      <c r="NQ244" s="93">
        <v>-310.30760557750193</v>
      </c>
      <c r="NR244" s="93">
        <v>-111.02468225233333</v>
      </c>
      <c r="NS244" s="93">
        <v>-135.08416142133333</v>
      </c>
      <c r="NT244" s="93">
        <v>-51.038801104619935</v>
      </c>
      <c r="NU244" s="93">
        <v>-280.54342671950201</v>
      </c>
      <c r="NV244" s="93">
        <v>56.416620828899546</v>
      </c>
      <c r="NW244" s="93">
        <v>51.061634371899558</v>
      </c>
      <c r="NX244" s="93">
        <v>67.548069082899545</v>
      </c>
      <c r="NY244" s="93">
        <v>-16.486434710999998</v>
      </c>
      <c r="NZ244" s="93">
        <v>0</v>
      </c>
      <c r="OA244" s="93">
        <v>5.3549864570000025</v>
      </c>
      <c r="OB244" s="93">
        <v>-4.5283408429999872</v>
      </c>
      <c r="OC244" s="93">
        <v>9.8833273000000013</v>
      </c>
      <c r="OD244" s="20">
        <v>0</v>
      </c>
      <c r="OE244" s="29">
        <v>177</v>
      </c>
      <c r="OF244" s="1504">
        <v>41883</v>
      </c>
      <c r="OG244" s="19"/>
      <c r="OH244" s="93">
        <v>215.58470000000003</v>
      </c>
      <c r="OI244" s="93">
        <v>942.69786090148523</v>
      </c>
      <c r="OJ244" s="93">
        <v>0.46369438800000001</v>
      </c>
      <c r="OK244" s="93">
        <v>802.00026651348526</v>
      </c>
      <c r="OL244" s="93">
        <v>140.23390000000001</v>
      </c>
      <c r="OM244" s="93">
        <v>1158.2825609014853</v>
      </c>
      <c r="ON244" s="93">
        <v>914.62512869797433</v>
      </c>
      <c r="OO244" s="93">
        <v>2072.9076895994594</v>
      </c>
      <c r="OP244" s="93"/>
      <c r="OQ244" s="93">
        <v>538.0651431058252</v>
      </c>
      <c r="OR244" s="93">
        <v>-71.376932322000016</v>
      </c>
      <c r="OS244" s="93">
        <v>609.44207542782522</v>
      </c>
      <c r="OT244" s="93">
        <v>1801.2335254756347</v>
      </c>
      <c r="OU244" s="93">
        <v>47.122463886000034</v>
      </c>
      <c r="OV244" s="93">
        <v>20.902463886000007</v>
      </c>
      <c r="OW244" s="93">
        <v>26.220000000000027</v>
      </c>
      <c r="OX244" s="93">
        <v>1754.1110615896346</v>
      </c>
      <c r="OY244" s="93">
        <v>4.0757418059999999</v>
      </c>
      <c r="OZ244" s="93">
        <v>1750.0353197836346</v>
      </c>
      <c r="PA244" s="93">
        <v>310.54352277300001</v>
      </c>
      <c r="PB244" s="93">
        <v>-44.152543790999971</v>
      </c>
      <c r="PC244" s="20">
        <v>2072.9076895994599</v>
      </c>
      <c r="PD244" s="29">
        <v>177</v>
      </c>
      <c r="PE244" s="19"/>
      <c r="PF244" s="93">
        <v>-71.376932322000016</v>
      </c>
      <c r="PG244" s="93">
        <v>329.571767803</v>
      </c>
      <c r="PH244" s="93">
        <v>400.94870012500002</v>
      </c>
      <c r="PI244" s="93">
        <v>413.75</v>
      </c>
      <c r="PJ244" s="93">
        <v>25.654163886000006</v>
      </c>
      <c r="PK244" s="93">
        <v>130.033857893</v>
      </c>
      <c r="PL244" s="93">
        <v>104.379694007</v>
      </c>
      <c r="PM244" s="93">
        <v>4.0757418059999999</v>
      </c>
      <c r="PN244" s="93">
        <v>0.6</v>
      </c>
      <c r="PO244" s="93">
        <v>0</v>
      </c>
      <c r="PP244" s="93">
        <v>3.5767399999999999E-4</v>
      </c>
      <c r="PQ244" s="93">
        <v>3.4753841320000003</v>
      </c>
      <c r="PR244" s="93">
        <v>367.70882192700003</v>
      </c>
      <c r="PS244" s="93">
        <v>264.16640000000001</v>
      </c>
      <c r="PT244" s="93">
        <v>103.078727539</v>
      </c>
      <c r="PU244" s="93">
        <v>0.46369438800000001</v>
      </c>
      <c r="PV244" s="93">
        <v>0</v>
      </c>
      <c r="PW244" s="93">
        <v>0.46020925600000001</v>
      </c>
      <c r="PX244" s="93">
        <v>0</v>
      </c>
      <c r="PY244" s="93">
        <v>0</v>
      </c>
      <c r="PZ244" s="93">
        <v>0.46020925600000001</v>
      </c>
      <c r="QA244" s="93">
        <v>0</v>
      </c>
      <c r="QB244" s="93">
        <v>0</v>
      </c>
      <c r="QC244" s="93">
        <v>0</v>
      </c>
      <c r="QD244" s="93">
        <v>4.1943135169999994</v>
      </c>
      <c r="QE244" s="20">
        <v>-0.26037133000000673</v>
      </c>
      <c r="QF244" s="1739">
        <v>177</v>
      </c>
      <c r="QG244" s="19"/>
      <c r="QH244" s="1035">
        <v>609.44207542782522</v>
      </c>
      <c r="QI244" s="1035">
        <v>793.21468021636554</v>
      </c>
      <c r="QJ244" s="1035">
        <v>-183.77260478854032</v>
      </c>
      <c r="QK244" s="1035">
        <v>157.93900000000002</v>
      </c>
      <c r="QL244" s="1035">
        <v>43.83</v>
      </c>
      <c r="QM244" s="1035">
        <v>114.10900000000001</v>
      </c>
      <c r="QN244" s="1035">
        <v>0</v>
      </c>
      <c r="QO244" s="1035">
        <v>26.220000000000027</v>
      </c>
      <c r="QP244" s="1035">
        <v>247.16300000000001</v>
      </c>
      <c r="QQ244" s="1035">
        <v>-220.94299999999998</v>
      </c>
      <c r="QR244" s="1035">
        <v>1750.0353197836346</v>
      </c>
      <c r="QS244" s="1035">
        <v>25.025283327818634</v>
      </c>
      <c r="QT244" s="1035">
        <v>0</v>
      </c>
      <c r="QU244" s="1035">
        <v>164.99</v>
      </c>
      <c r="QV244" s="1035">
        <v>1560.0200364558159</v>
      </c>
      <c r="QW244" s="93"/>
      <c r="QX244" s="93">
        <v>414.33699999999999</v>
      </c>
      <c r="QY244" s="93">
        <v>802.00026651348526</v>
      </c>
      <c r="QZ244" s="93">
        <v>914.62512869797433</v>
      </c>
      <c r="RA244" s="93">
        <v>0</v>
      </c>
      <c r="RB244" s="93">
        <v>39.670999999999999</v>
      </c>
      <c r="RC244" s="93">
        <v>6.431</v>
      </c>
      <c r="RD244" s="93">
        <v>13.655000000000001</v>
      </c>
      <c r="RE244" s="93">
        <v>0</v>
      </c>
      <c r="RF244" s="93">
        <v>0</v>
      </c>
      <c r="RG244" s="93">
        <v>246.13200000000001</v>
      </c>
      <c r="RH244" s="93">
        <v>106.78500000000004</v>
      </c>
      <c r="RI244" s="93"/>
      <c r="RJ244" s="93"/>
      <c r="RK244" s="93"/>
      <c r="RL244" s="93"/>
      <c r="RM244" s="734"/>
      <c r="RN244" s="29">
        <v>177</v>
      </c>
      <c r="RO244" s="19">
        <v>70</v>
      </c>
      <c r="RP244" s="20"/>
      <c r="RQ244" s="29">
        <v>177</v>
      </c>
      <c r="RR244" s="734">
        <v>3.1095832900000002</v>
      </c>
      <c r="RS244" s="29">
        <v>177</v>
      </c>
      <c r="RT244" s="1504">
        <v>41883</v>
      </c>
      <c r="RU244" s="19"/>
      <c r="RV244" s="20"/>
      <c r="RW244" s="29">
        <v>177</v>
      </c>
      <c r="RX244" s="1504">
        <v>41883</v>
      </c>
      <c r="RY244" s="29"/>
      <c r="RZ244" s="734"/>
      <c r="SA244" s="29"/>
      <c r="SB244" s="29">
        <v>177</v>
      </c>
    </row>
    <row r="245" spans="1:496">
      <c r="A245" s="41">
        <f t="shared" si="208"/>
        <v>2014</v>
      </c>
      <c r="B245" s="1504">
        <v>41913</v>
      </c>
      <c r="C245" s="1813">
        <v>1189</v>
      </c>
      <c r="D245" s="1814">
        <v>21104</v>
      </c>
      <c r="E245" s="1814">
        <v>29</v>
      </c>
      <c r="F245" s="1815">
        <v>374</v>
      </c>
      <c r="G245" s="1814">
        <v>90270</v>
      </c>
      <c r="H245" s="1814">
        <v>15</v>
      </c>
      <c r="I245" s="1814">
        <v>35804</v>
      </c>
      <c r="J245" s="1816">
        <v>11825</v>
      </c>
      <c r="K245" s="1807">
        <v>160610</v>
      </c>
      <c r="L245" s="25">
        <v>178</v>
      </c>
      <c r="M245" s="97"/>
      <c r="N245" s="1504">
        <v>41913</v>
      </c>
      <c r="O245" s="19">
        <v>501</v>
      </c>
      <c r="P245" s="93">
        <v>635</v>
      </c>
      <c r="Q245" s="93">
        <v>10352</v>
      </c>
      <c r="R245" s="93">
        <v>2336</v>
      </c>
      <c r="S245" s="93">
        <v>847</v>
      </c>
      <c r="T245" s="93">
        <v>736</v>
      </c>
      <c r="U245" s="93">
        <v>342</v>
      </c>
      <c r="V245" s="93">
        <v>1880</v>
      </c>
      <c r="W245" s="93">
        <v>4610</v>
      </c>
      <c r="X245" s="93">
        <v>826</v>
      </c>
      <c r="Y245" s="93">
        <v>397</v>
      </c>
      <c r="Z245" s="93">
        <v>1081</v>
      </c>
      <c r="AA245" s="93">
        <v>519</v>
      </c>
      <c r="AB245" s="132">
        <v>25062</v>
      </c>
      <c r="AC245" s="25">
        <v>178</v>
      </c>
      <c r="AD245" s="97"/>
      <c r="AE245" s="1504">
        <v>41913</v>
      </c>
      <c r="AF245" s="19"/>
      <c r="AG245" s="93"/>
      <c r="AH245" s="93"/>
      <c r="AI245" s="93"/>
      <c r="AJ245" s="93"/>
      <c r="AK245" s="93"/>
      <c r="AL245" s="93"/>
      <c r="AM245" s="93"/>
      <c r="AN245" s="93"/>
      <c r="AO245" s="93"/>
      <c r="AP245" s="93"/>
      <c r="AQ245" s="93"/>
      <c r="AR245" s="93"/>
      <c r="AS245" s="20">
        <v>0</v>
      </c>
      <c r="AT245" s="25">
        <v>178</v>
      </c>
      <c r="AU245" s="97"/>
      <c r="AV245" s="1504">
        <v>41913</v>
      </c>
      <c r="AW245" s="19">
        <v>9726</v>
      </c>
      <c r="AX245" s="93">
        <v>1914</v>
      </c>
      <c r="AY245" s="93">
        <v>4345</v>
      </c>
      <c r="AZ245" s="93">
        <v>13050</v>
      </c>
      <c r="BA245" s="93">
        <v>8936</v>
      </c>
      <c r="BB245" s="93">
        <v>6139</v>
      </c>
      <c r="BC245" s="93">
        <v>4909</v>
      </c>
      <c r="BD245" s="93">
        <v>9681</v>
      </c>
      <c r="BE245" s="93">
        <v>10542</v>
      </c>
      <c r="BF245" s="93">
        <v>8168</v>
      </c>
      <c r="BG245" s="93">
        <v>5921</v>
      </c>
      <c r="BH245" s="93">
        <v>9551</v>
      </c>
      <c r="BI245" s="93">
        <v>2623</v>
      </c>
      <c r="BJ245" s="20">
        <v>95505</v>
      </c>
      <c r="BK245" s="25">
        <v>178</v>
      </c>
      <c r="BL245" s="97"/>
      <c r="BM245" s="1504">
        <v>41913</v>
      </c>
      <c r="BN245" s="19">
        <v>65.024999999999991</v>
      </c>
      <c r="BO245" s="93">
        <v>2287.34600000001</v>
      </c>
      <c r="BP245" s="93">
        <v>15.552000000000001</v>
      </c>
      <c r="BQ245" s="93">
        <v>681.00000000000045</v>
      </c>
      <c r="BR245" s="93">
        <v>3.2130000000000001</v>
      </c>
      <c r="BS245" s="93">
        <v>310.36499999999967</v>
      </c>
      <c r="BT245" s="93">
        <v>278.52000000000055</v>
      </c>
      <c r="BU245" s="132">
        <v>3641.0210000000111</v>
      </c>
      <c r="BV245" s="25">
        <v>178</v>
      </c>
      <c r="BW245" s="97"/>
      <c r="BX245" s="1504">
        <v>41913</v>
      </c>
      <c r="BY245" s="179">
        <v>517.61566870000001</v>
      </c>
      <c r="BZ245" s="99">
        <v>664.95699999999999</v>
      </c>
      <c r="CA245" s="99">
        <v>543.09480966389992</v>
      </c>
      <c r="CB245" s="99">
        <v>46.765144166571254</v>
      </c>
      <c r="CC245" s="99">
        <v>162.61880000000005</v>
      </c>
      <c r="CD245" s="25">
        <v>178</v>
      </c>
      <c r="CE245" s="97"/>
      <c r="CF245" s="1504">
        <v>41913</v>
      </c>
      <c r="CG245" s="1508">
        <v>1.550729708</v>
      </c>
      <c r="CH245" s="568">
        <v>1222.49</v>
      </c>
      <c r="CI245" s="1708">
        <v>86.08</v>
      </c>
      <c r="CJ245" s="1509">
        <v>87.27</v>
      </c>
      <c r="CK245" s="1508">
        <v>437.57</v>
      </c>
      <c r="CL245" s="568">
        <v>163.121308</v>
      </c>
      <c r="CM245" s="568">
        <v>0.36927385000000001</v>
      </c>
      <c r="CN245" s="568">
        <v>0.413784176</v>
      </c>
      <c r="CO245" s="568">
        <v>245.44771560000001</v>
      </c>
      <c r="CP245" s="1509">
        <v>5.9530251549999997</v>
      </c>
      <c r="CQ245" s="1708">
        <v>1388.91</v>
      </c>
      <c r="CR245" s="568">
        <v>1.9125000000000001</v>
      </c>
      <c r="CS245" s="568">
        <v>1.6332</v>
      </c>
      <c r="CT245" s="568">
        <v>116</v>
      </c>
      <c r="CU245" s="568">
        <v>81.06</v>
      </c>
      <c r="CV245" s="1709">
        <v>2276.83</v>
      </c>
      <c r="CW245" s="29">
        <v>178</v>
      </c>
      <c r="CX245" s="41">
        <f t="shared" si="209"/>
        <v>2014</v>
      </c>
      <c r="CY245" s="1504">
        <v>41913</v>
      </c>
      <c r="CZ245" s="1916">
        <v>89.072672682685578</v>
      </c>
      <c r="DA245" s="1526">
        <v>58.464255682685582</v>
      </c>
      <c r="DB245" s="1526">
        <v>30.608416999999999</v>
      </c>
      <c r="DC245" s="182">
        <f t="shared" si="219"/>
        <v>508499</v>
      </c>
      <c r="DD245" s="182">
        <f t="shared" si="220"/>
        <v>507074</v>
      </c>
      <c r="DE245" s="182">
        <f t="shared" si="221"/>
        <v>1425</v>
      </c>
      <c r="DF245" s="29">
        <v>178</v>
      </c>
      <c r="DG245" s="1504">
        <v>41913</v>
      </c>
      <c r="DH245" s="181">
        <v>291877</v>
      </c>
      <c r="DI245" s="182"/>
      <c r="DJ245" s="182"/>
      <c r="DK245" s="182"/>
      <c r="DL245" s="182"/>
      <c r="DM245" s="182"/>
      <c r="DN245" s="290"/>
      <c r="DO245" s="295"/>
      <c r="DP245" s="29">
        <v>178</v>
      </c>
      <c r="DQ245" s="1504">
        <v>41913</v>
      </c>
      <c r="DR245" s="19"/>
      <c r="DS245" s="93"/>
      <c r="DT245" s="93"/>
      <c r="DU245" s="93"/>
      <c r="DV245" s="93"/>
      <c r="DW245" s="93"/>
      <c r="DX245" s="1719"/>
      <c r="DY245" s="29">
        <v>178</v>
      </c>
      <c r="DZ245" s="1504">
        <v>41913</v>
      </c>
      <c r="EA245" s="19"/>
      <c r="EB245" s="93"/>
      <c r="EC245" s="20"/>
      <c r="ED245" s="29"/>
      <c r="EE245" s="1504">
        <v>41913</v>
      </c>
      <c r="EF245" s="179">
        <v>22469</v>
      </c>
      <c r="EG245" s="99">
        <v>15687</v>
      </c>
      <c r="EH245" s="99">
        <v>38156</v>
      </c>
      <c r="EI245" s="221">
        <v>6985</v>
      </c>
      <c r="EJ245" s="99">
        <v>571.98299999999995</v>
      </c>
      <c r="EK245" s="99">
        <v>103.512</v>
      </c>
      <c r="EL245" s="99">
        <v>12.824</v>
      </c>
      <c r="EM245" s="99">
        <v>5.0330000000000004</v>
      </c>
      <c r="EN245" s="132">
        <v>693.35199999999986</v>
      </c>
      <c r="EO245" s="29">
        <v>178</v>
      </c>
      <c r="EP245" s="1504">
        <v>41913</v>
      </c>
      <c r="EQ245" s="19">
        <v>20824</v>
      </c>
      <c r="ER245" s="93">
        <v>15587</v>
      </c>
      <c r="ES245" s="93">
        <v>36411</v>
      </c>
      <c r="ET245" s="214">
        <v>6909</v>
      </c>
      <c r="EU245" s="93">
        <v>571.98299999999995</v>
      </c>
      <c r="EV245" s="93">
        <v>103.512</v>
      </c>
      <c r="EW245" s="93">
        <v>12.824</v>
      </c>
      <c r="EX245" s="93">
        <v>5.0330000000000004</v>
      </c>
      <c r="EY245" s="20">
        <v>693.35199999999986</v>
      </c>
      <c r="EZ245" s="29">
        <v>178</v>
      </c>
      <c r="FA245" s="1504">
        <v>41913</v>
      </c>
      <c r="FB245" s="29"/>
      <c r="FC245" s="29"/>
      <c r="FD245" s="29"/>
      <c r="FE245" s="29"/>
      <c r="FF245" s="29"/>
      <c r="FG245" s="29"/>
      <c r="FH245" s="29"/>
      <c r="FI245" s="29"/>
      <c r="FJ245" s="29"/>
      <c r="FK245" s="29">
        <v>178</v>
      </c>
      <c r="FL245" s="1504">
        <v>41913</v>
      </c>
      <c r="FM245" s="19">
        <v>107.7</v>
      </c>
      <c r="FN245" s="93">
        <v>113.13</v>
      </c>
      <c r="FO245" s="93">
        <v>99.62</v>
      </c>
      <c r="FP245" s="93">
        <v>101.84</v>
      </c>
      <c r="FQ245" s="93">
        <v>118.39</v>
      </c>
      <c r="FR245" s="93">
        <v>98.58</v>
      </c>
      <c r="FS245" s="93">
        <v>100.9</v>
      </c>
      <c r="FT245" s="93">
        <v>114.62</v>
      </c>
      <c r="FU245" s="93">
        <v>64.16</v>
      </c>
      <c r="FV245" s="93">
        <v>96.31</v>
      </c>
      <c r="FW245" s="93">
        <v>108.12</v>
      </c>
      <c r="FX245" s="93">
        <v>114.77</v>
      </c>
      <c r="FY245" s="93">
        <v>104.94</v>
      </c>
      <c r="FZ245" s="29">
        <v>178</v>
      </c>
      <c r="GA245" s="1504">
        <v>41913</v>
      </c>
      <c r="GB245" s="19">
        <v>107.7</v>
      </c>
      <c r="GC245" s="93">
        <v>108.98</v>
      </c>
      <c r="GD245" s="93">
        <v>107.08</v>
      </c>
      <c r="GE245" s="93">
        <v>115.69</v>
      </c>
      <c r="GF245" s="93">
        <v>110.29</v>
      </c>
      <c r="GG245" s="99">
        <v>105.53</v>
      </c>
      <c r="GH245" s="93">
        <v>117.43</v>
      </c>
      <c r="GI245" s="93">
        <v>108.94</v>
      </c>
      <c r="GJ245" s="93">
        <v>98.42</v>
      </c>
      <c r="GK245" s="93">
        <v>127.99</v>
      </c>
      <c r="GL245" s="93">
        <v>113.2</v>
      </c>
      <c r="GM245" s="93">
        <v>100.94</v>
      </c>
      <c r="GN245" s="20">
        <v>98.42</v>
      </c>
      <c r="GO245" s="29">
        <v>178</v>
      </c>
      <c r="GP245" s="1504">
        <v>41913</v>
      </c>
      <c r="GQ245" s="181">
        <v>250.539802530716</v>
      </c>
      <c r="GR245" s="182">
        <v>215.66904266098101</v>
      </c>
      <c r="GS245" s="182">
        <v>229.94733961671801</v>
      </c>
      <c r="GT245" s="182">
        <v>166.43426743455299</v>
      </c>
      <c r="GU245" s="182">
        <v>416.06786119853803</v>
      </c>
      <c r="GV245" s="290">
        <v>852.56755780952096</v>
      </c>
      <c r="GW245" s="181">
        <v>337.52656951810599</v>
      </c>
      <c r="GX245" s="182">
        <v>391.87062768127902</v>
      </c>
      <c r="GY245" s="182">
        <v>357.36892498680101</v>
      </c>
      <c r="GZ245" s="182">
        <v>614.06748390467601</v>
      </c>
      <c r="HA245" s="182">
        <v>321.83991419644002</v>
      </c>
      <c r="HB245" s="290">
        <v>335.62659862568199</v>
      </c>
      <c r="HC245" s="181">
        <v>1758.26217465184</v>
      </c>
      <c r="HD245" s="182">
        <v>2000.6425881637399</v>
      </c>
      <c r="HE245" s="182">
        <v>2234.9496957317901</v>
      </c>
      <c r="HF245" s="182">
        <v>3150</v>
      </c>
      <c r="HG245" s="182">
        <v>2600.10651150485</v>
      </c>
      <c r="HH245" s="290">
        <v>2821.01632431391</v>
      </c>
      <c r="HI245" s="19"/>
      <c r="HJ245" s="182">
        <v>833.05024686994796</v>
      </c>
      <c r="HK245" s="182">
        <v>1222.8818358077599</v>
      </c>
      <c r="HL245" s="182">
        <v>958.11916747186206</v>
      </c>
      <c r="HM245" s="182">
        <v>900</v>
      </c>
      <c r="HN245" s="290">
        <v>1738.6860553644201</v>
      </c>
      <c r="HO245" s="324">
        <v>130.93773426080199</v>
      </c>
      <c r="HP245" s="290">
        <v>92.865627423778605</v>
      </c>
      <c r="HQ245" s="295">
        <v>149.08367924160001</v>
      </c>
      <c r="HR245" s="29">
        <v>178</v>
      </c>
      <c r="HS245" s="1504">
        <v>41913</v>
      </c>
      <c r="HT245" s="179">
        <v>227.63157844543457</v>
      </c>
      <c r="HU245" s="99">
        <v>234.97984008789064</v>
      </c>
      <c r="HV245" s="99">
        <v>201.34228515625</v>
      </c>
      <c r="HW245" s="99">
        <v>146.63462257385254</v>
      </c>
      <c r="HX245" s="99">
        <v>196.66666564941406</v>
      </c>
      <c r="HY245" s="99">
        <v>205.82329559326172</v>
      </c>
      <c r="HZ245" s="99">
        <v>221.32201385498047</v>
      </c>
      <c r="IA245" s="132">
        <v>177.41936111450195</v>
      </c>
      <c r="IB245" s="179">
        <v>177.58620452880859</v>
      </c>
      <c r="IC245" s="99">
        <v>154.67171859741211</v>
      </c>
      <c r="ID245" s="99">
        <v>158.92857666015624</v>
      </c>
      <c r="IE245" s="99">
        <v>145.16129684448242</v>
      </c>
      <c r="IF245" s="99">
        <v>175.48387145996094</v>
      </c>
      <c r="IG245" s="132">
        <v>155.05464172363281</v>
      </c>
      <c r="IH245" s="179">
        <v>118.61088943481445</v>
      </c>
      <c r="II245" s="99">
        <v>202.86320800781249</v>
      </c>
      <c r="IJ245" s="99">
        <v>143.67815653483072</v>
      </c>
      <c r="IK245" s="99">
        <v>138.98916625976563</v>
      </c>
      <c r="IL245" s="99">
        <v>122.74096298217773</v>
      </c>
      <c r="IM245" s="99">
        <v>122.58064842224121</v>
      </c>
      <c r="IN245" s="99">
        <v>147.96820068359375</v>
      </c>
      <c r="IO245" s="132">
        <v>143.28207778930664</v>
      </c>
      <c r="IP245" s="29">
        <v>178</v>
      </c>
      <c r="IQ245" s="179">
        <v>129.5880126953125</v>
      </c>
      <c r="IR245" s="99">
        <v>66.624362945556641</v>
      </c>
      <c r="IS245" s="99">
        <v>88.333334350585943</v>
      </c>
      <c r="IT245" s="99">
        <v>83.606559753417969</v>
      </c>
      <c r="IU245" s="99">
        <v>123.4375</v>
      </c>
      <c r="IV245" s="132">
        <v>83.823526382446289</v>
      </c>
      <c r="IW245" s="29">
        <v>178</v>
      </c>
      <c r="IX245" s="179">
        <v>399.67741902669269</v>
      </c>
      <c r="IY245" s="99">
        <v>382.20491027832031</v>
      </c>
      <c r="IZ245" s="99">
        <v>433.33333333333331</v>
      </c>
      <c r="JA245" s="99">
        <v>375</v>
      </c>
      <c r="JB245" s="99">
        <v>380</v>
      </c>
      <c r="JC245" s="99">
        <v>400</v>
      </c>
      <c r="JD245" s="99">
        <v>390</v>
      </c>
      <c r="JE245" s="132">
        <v>387.5</v>
      </c>
      <c r="JF245" s="29">
        <v>178</v>
      </c>
      <c r="JG245" s="179">
        <v>180.38564300537109</v>
      </c>
      <c r="JH245" s="99">
        <v>202.86320800781249</v>
      </c>
      <c r="JI245" s="99">
        <v>183.56643676757813</v>
      </c>
      <c r="JJ245" s="99">
        <v>162.5</v>
      </c>
      <c r="JK245" s="99">
        <v>168.35017395019531</v>
      </c>
      <c r="JL245" s="99">
        <v>157.67045211791992</v>
      </c>
      <c r="JM245" s="99">
        <v>187.29373168945313</v>
      </c>
      <c r="JN245" s="132">
        <v>208.24406433105469</v>
      </c>
      <c r="JO245" s="29">
        <v>178</v>
      </c>
      <c r="JP245" s="179">
        <v>211.11110839843749</v>
      </c>
      <c r="JQ245" s="99">
        <v>112.5</v>
      </c>
      <c r="JR245" s="99">
        <v>145.51724395751953</v>
      </c>
      <c r="JS245" s="100"/>
      <c r="JT245" s="99">
        <v>132.8125</v>
      </c>
      <c r="JU245" s="132">
        <v>103.60962677001953</v>
      </c>
      <c r="JV245" s="29">
        <v>178</v>
      </c>
      <c r="JW245" s="1504">
        <v>41913</v>
      </c>
      <c r="JX245" s="179">
        <v>259</v>
      </c>
      <c r="JY245" s="99">
        <v>254</v>
      </c>
      <c r="JZ245" s="99">
        <v>255</v>
      </c>
      <c r="KA245" s="99">
        <v>287</v>
      </c>
      <c r="KB245" s="99">
        <v>295</v>
      </c>
      <c r="KC245" s="99">
        <v>305</v>
      </c>
      <c r="KD245" s="132">
        <v>357</v>
      </c>
      <c r="KE245" s="29">
        <v>178</v>
      </c>
      <c r="KF245" s="179">
        <v>37</v>
      </c>
      <c r="KG245" s="99">
        <v>32</v>
      </c>
      <c r="KH245" s="99">
        <v>68</v>
      </c>
      <c r="KI245" s="99">
        <v>68</v>
      </c>
      <c r="KJ245" s="99">
        <v>54</v>
      </c>
      <c r="KK245" s="132">
        <v>71</v>
      </c>
      <c r="KL245" s="29">
        <v>178</v>
      </c>
      <c r="KM245" s="179">
        <v>15</v>
      </c>
      <c r="KN245" s="99">
        <v>13</v>
      </c>
      <c r="KO245" s="99">
        <v>34</v>
      </c>
      <c r="KP245" s="99">
        <v>38</v>
      </c>
      <c r="KQ245" s="99">
        <v>29</v>
      </c>
      <c r="KR245" s="132">
        <v>30</v>
      </c>
      <c r="KS245" s="29">
        <v>178</v>
      </c>
      <c r="KT245" s="179">
        <v>24</v>
      </c>
      <c r="KU245" s="99">
        <v>18</v>
      </c>
      <c r="KV245" s="99">
        <v>25</v>
      </c>
      <c r="KW245" s="99">
        <v>28</v>
      </c>
      <c r="KX245" s="99">
        <v>19</v>
      </c>
      <c r="KY245" s="132">
        <v>27</v>
      </c>
      <c r="KZ245" s="29">
        <v>178</v>
      </c>
      <c r="LA245" s="1504">
        <v>41913</v>
      </c>
      <c r="LB245" s="19">
        <v>510</v>
      </c>
      <c r="LC245" s="93">
        <v>740</v>
      </c>
      <c r="LD245" s="93">
        <v>732</v>
      </c>
      <c r="LE245" s="93">
        <v>3600</v>
      </c>
      <c r="LF245" s="93">
        <v>656</v>
      </c>
      <c r="LG245" s="93">
        <v>5000</v>
      </c>
      <c r="LH245" s="20">
        <v>2000</v>
      </c>
      <c r="LI245" s="29">
        <v>178</v>
      </c>
      <c r="LJ245" s="19"/>
      <c r="LK245" s="93"/>
      <c r="LL245" s="93"/>
      <c r="LM245" s="93"/>
      <c r="LN245" s="93"/>
      <c r="LO245" s="20"/>
      <c r="LP245" s="29">
        <v>178</v>
      </c>
      <c r="LQ245" s="19"/>
      <c r="LR245" s="93">
        <v>188</v>
      </c>
      <c r="LS245" s="93">
        <v>445</v>
      </c>
      <c r="LT245" s="93">
        <v>535</v>
      </c>
      <c r="LU245" s="93">
        <v>1070</v>
      </c>
      <c r="LV245" s="93"/>
      <c r="LW245" s="93">
        <v>5</v>
      </c>
      <c r="LX245" s="93">
        <v>10</v>
      </c>
      <c r="LY245" s="93">
        <v>60</v>
      </c>
      <c r="LZ245" s="93"/>
      <c r="MA245" s="20">
        <v>1070</v>
      </c>
      <c r="MB245" s="29">
        <v>178</v>
      </c>
      <c r="MC245" s="1504">
        <v>41913</v>
      </c>
      <c r="MD245" s="19">
        <v>1149.1888334267683</v>
      </c>
      <c r="ME245" s="93">
        <v>914.43520262200002</v>
      </c>
      <c r="MF245" s="93">
        <v>914.42363224099995</v>
      </c>
      <c r="MG245" s="93">
        <v>807.36127215199997</v>
      </c>
      <c r="MH245" s="93">
        <v>239.902054459</v>
      </c>
      <c r="MI245" s="93">
        <v>6.1565827860000013</v>
      </c>
      <c r="MJ245" s="93">
        <v>7.6007742649999983</v>
      </c>
      <c r="MK245" s="93">
        <v>427.38412027100003</v>
      </c>
      <c r="ML245" s="93">
        <v>119.57548159900001</v>
      </c>
      <c r="MM245" s="93">
        <v>6.7422587719999996</v>
      </c>
      <c r="MN245" s="93">
        <v>107.06236008900002</v>
      </c>
      <c r="MO245" s="93">
        <v>4.625774004000001</v>
      </c>
      <c r="MP245" s="93">
        <v>22.702135643000002</v>
      </c>
      <c r="MQ245" s="93">
        <v>3.5649474059999999</v>
      </c>
      <c r="MR245" s="93">
        <v>29.865795883000001</v>
      </c>
      <c r="MS245" s="93">
        <v>46.303707152999998</v>
      </c>
      <c r="MT245" s="93">
        <v>1.1570380999999999E-2</v>
      </c>
      <c r="MU245" s="93">
        <v>234.75363080476845</v>
      </c>
      <c r="MV245" s="93">
        <v>136.49332158615545</v>
      </c>
      <c r="MW245" s="93">
        <v>98.260309218613017</v>
      </c>
      <c r="MX245" s="93">
        <v>1198.2482095083785</v>
      </c>
      <c r="MY245" s="93">
        <v>1204.2313254103785</v>
      </c>
      <c r="MZ245" s="93">
        <v>720.18615910883341</v>
      </c>
      <c r="NA245" s="93">
        <v>363.72475587000002</v>
      </c>
      <c r="NB245" s="93">
        <v>89.923947941333324</v>
      </c>
      <c r="NC245" s="93">
        <v>28.322966016999999</v>
      </c>
      <c r="ND245" s="93">
        <v>18.851393751000003</v>
      </c>
      <c r="NE245" s="93">
        <v>9.4715722660000008</v>
      </c>
      <c r="NF245" s="93">
        <v>238.2144892805</v>
      </c>
      <c r="NG245" s="93">
        <v>11.379325100500001</v>
      </c>
      <c r="NH245" s="93">
        <v>69.768508046000008</v>
      </c>
      <c r="NI245" s="93">
        <v>10.89263253</v>
      </c>
      <c r="NJ245" s="93">
        <v>23.630862603999997</v>
      </c>
      <c r="NK245" s="93">
        <v>484.04516630154512</v>
      </c>
      <c r="NL245" s="93">
        <v>295.15812308700004</v>
      </c>
      <c r="NM245" s="93">
        <v>5.6198069779999988</v>
      </c>
      <c r="NN245" s="93">
        <v>183.26723623654507</v>
      </c>
      <c r="NO245" s="93">
        <v>-5.9831159020000007</v>
      </c>
      <c r="NP245" s="93">
        <v>-49.059376081609976</v>
      </c>
      <c r="NQ245" s="93">
        <v>-283.81300688637845</v>
      </c>
      <c r="NR245" s="93">
        <v>-72.222804632833331</v>
      </c>
      <c r="NS245" s="93">
        <v>-100.54577064983336</v>
      </c>
      <c r="NT245" s="93">
        <v>-24.968499392610056</v>
      </c>
      <c r="NU245" s="93">
        <v>-259.72213019737853</v>
      </c>
      <c r="NV245" s="93">
        <v>28.654552962189637</v>
      </c>
      <c r="NW245" s="93">
        <v>50.380717661389646</v>
      </c>
      <c r="NX245" s="93">
        <v>70.793488835389624</v>
      </c>
      <c r="NY245" s="93">
        <v>-20.412771174</v>
      </c>
      <c r="NZ245" s="93">
        <v>0</v>
      </c>
      <c r="OA245" s="93">
        <v>-21.726164699199998</v>
      </c>
      <c r="OB245" s="93">
        <v>-30.979061638999987</v>
      </c>
      <c r="OC245" s="93">
        <v>9.2528969398000012</v>
      </c>
      <c r="OD245" s="20">
        <v>0</v>
      </c>
      <c r="OE245" s="29">
        <v>178</v>
      </c>
      <c r="OF245" s="1504">
        <v>41913</v>
      </c>
      <c r="OG245" s="19"/>
      <c r="OH245" s="93">
        <v>204.76660000000001</v>
      </c>
      <c r="OI245" s="93">
        <v>926.65919540705943</v>
      </c>
      <c r="OJ245" s="93">
        <v>0.46079905500000001</v>
      </c>
      <c r="OK245" s="93">
        <v>793.25919635205935</v>
      </c>
      <c r="OL245" s="93">
        <v>132.9392</v>
      </c>
      <c r="OM245" s="93">
        <v>1131.4257954070595</v>
      </c>
      <c r="ON245" s="93">
        <v>900.84580379651106</v>
      </c>
      <c r="OO245" s="93">
        <v>2032.2715992035705</v>
      </c>
      <c r="OP245" s="93"/>
      <c r="OQ245" s="93">
        <v>515.50331508215834</v>
      </c>
      <c r="OR245" s="93">
        <v>-81.090704984000013</v>
      </c>
      <c r="OS245" s="93">
        <v>596.59402006615846</v>
      </c>
      <c r="OT245" s="93">
        <v>1805.6711297764118</v>
      </c>
      <c r="OU245" s="93">
        <v>32.387833703000005</v>
      </c>
      <c r="OV245" s="93">
        <v>5.8858337029999985</v>
      </c>
      <c r="OW245" s="93">
        <v>26.50200000000001</v>
      </c>
      <c r="OX245" s="93">
        <v>1773.2832960734117</v>
      </c>
      <c r="OY245" s="93">
        <v>3.9773159910000002</v>
      </c>
      <c r="OZ245" s="93">
        <v>1769.3059800824119</v>
      </c>
      <c r="PA245" s="93">
        <v>320.84644913800003</v>
      </c>
      <c r="PB245" s="93">
        <v>-31.94360348299999</v>
      </c>
      <c r="PC245" s="20">
        <v>2032.2715992035701</v>
      </c>
      <c r="PD245" s="29">
        <v>178</v>
      </c>
      <c r="PE245" s="19"/>
      <c r="PF245" s="93">
        <v>-81.090704984000013</v>
      </c>
      <c r="PG245" s="93">
        <v>341.01384055899996</v>
      </c>
      <c r="PH245" s="93">
        <v>422.10454554299997</v>
      </c>
      <c r="PI245" s="93">
        <v>449.58</v>
      </c>
      <c r="PJ245" s="93">
        <v>11.711033702999998</v>
      </c>
      <c r="PK245" s="93">
        <v>130.02119423900001</v>
      </c>
      <c r="PL245" s="93">
        <v>118.31016053600001</v>
      </c>
      <c r="PM245" s="93">
        <v>3.9773159910000002</v>
      </c>
      <c r="PN245" s="93">
        <v>0.6</v>
      </c>
      <c r="PO245" s="93">
        <v>0</v>
      </c>
      <c r="PP245" s="93">
        <v>2.6846999999999998E-4</v>
      </c>
      <c r="PQ245" s="93">
        <v>3.3770475210000002</v>
      </c>
      <c r="PR245" s="93">
        <v>374.52935909199999</v>
      </c>
      <c r="PS245" s="93">
        <v>250.7158</v>
      </c>
      <c r="PT245" s="93">
        <v>123.352760037</v>
      </c>
      <c r="PU245" s="93">
        <v>0.46079905500000001</v>
      </c>
      <c r="PV245" s="93">
        <v>0</v>
      </c>
      <c r="PW245" s="93">
        <v>0.69465587500000003</v>
      </c>
      <c r="PX245" s="93">
        <v>0</v>
      </c>
      <c r="PY245" s="93">
        <v>0</v>
      </c>
      <c r="PZ245" s="93">
        <v>0.69465587500000003</v>
      </c>
      <c r="QA245" s="93">
        <v>0</v>
      </c>
      <c r="QB245" s="93">
        <v>0</v>
      </c>
      <c r="QC245" s="93">
        <v>0</v>
      </c>
      <c r="QD245" s="93">
        <v>4.5727932630000003</v>
      </c>
      <c r="QE245" s="20">
        <v>4.3808364800000001</v>
      </c>
      <c r="QF245" s="1739">
        <v>178</v>
      </c>
      <c r="QG245" s="19"/>
      <c r="QH245" s="1035">
        <v>596.59402006615846</v>
      </c>
      <c r="QI245" s="1035">
        <v>816.56801991758789</v>
      </c>
      <c r="QJ245" s="1035">
        <v>-219.97399985142943</v>
      </c>
      <c r="QK245" s="1035">
        <v>165.08500000000001</v>
      </c>
      <c r="QL245" s="1035">
        <v>40.124000000000002</v>
      </c>
      <c r="QM245" s="1035">
        <v>124.96100000000001</v>
      </c>
      <c r="QN245" s="1035">
        <v>0</v>
      </c>
      <c r="QO245" s="1035">
        <v>26.50200000000001</v>
      </c>
      <c r="QP245" s="1035">
        <v>254.90600000000001</v>
      </c>
      <c r="QQ245" s="1035">
        <v>-228.404</v>
      </c>
      <c r="QR245" s="1035">
        <v>1769.3059800824119</v>
      </c>
      <c r="QS245" s="1035">
        <v>20.58304505223218</v>
      </c>
      <c r="QT245" s="1035">
        <v>0</v>
      </c>
      <c r="QU245" s="1035">
        <v>180.399</v>
      </c>
      <c r="QV245" s="1035">
        <v>1568.3239350301797</v>
      </c>
      <c r="QW245" s="93"/>
      <c r="QX245" s="93">
        <v>450.58600000000001</v>
      </c>
      <c r="QY245" s="93">
        <v>793.25919635205935</v>
      </c>
      <c r="QZ245" s="93">
        <v>900.84580379651118</v>
      </c>
      <c r="RA245" s="93">
        <v>0</v>
      </c>
      <c r="RB245" s="93">
        <v>41.327000000000005</v>
      </c>
      <c r="RC245" s="93">
        <v>5.468</v>
      </c>
      <c r="RD245" s="93">
        <v>14.545</v>
      </c>
      <c r="RE245" s="93">
        <v>0</v>
      </c>
      <c r="RF245" s="93">
        <v>0</v>
      </c>
      <c r="RG245" s="93">
        <v>254.239</v>
      </c>
      <c r="RH245" s="93">
        <v>97.216999999999999</v>
      </c>
      <c r="RI245" s="93"/>
      <c r="RJ245" s="93"/>
      <c r="RK245" s="93"/>
      <c r="RL245" s="93"/>
      <c r="RM245" s="734"/>
      <c r="RN245" s="29">
        <v>178</v>
      </c>
      <c r="RO245" s="19">
        <v>45</v>
      </c>
      <c r="RP245" s="20"/>
      <c r="RQ245" s="29">
        <v>178</v>
      </c>
      <c r="RR245" s="734">
        <v>2.9197861999999999</v>
      </c>
      <c r="RS245" s="29">
        <v>178</v>
      </c>
      <c r="RT245" s="1504">
        <v>41913</v>
      </c>
      <c r="RU245" s="19"/>
      <c r="RV245" s="20"/>
      <c r="RW245" s="29">
        <v>178</v>
      </c>
      <c r="RX245" s="1504">
        <v>41913</v>
      </c>
      <c r="RY245" s="29"/>
      <c r="RZ245" s="734"/>
      <c r="SA245" s="29"/>
      <c r="SB245" s="29">
        <v>178</v>
      </c>
    </row>
    <row r="246" spans="1:496">
      <c r="A246" s="41">
        <f t="shared" si="208"/>
        <v>2014</v>
      </c>
      <c r="B246" s="1504">
        <v>41944</v>
      </c>
      <c r="C246" s="1813">
        <v>1415</v>
      </c>
      <c r="D246" s="1814">
        <v>20633</v>
      </c>
      <c r="E246" s="1814">
        <v>54</v>
      </c>
      <c r="F246" s="1815">
        <v>387</v>
      </c>
      <c r="G246" s="1814">
        <v>93011</v>
      </c>
      <c r="H246" s="1814">
        <v>27</v>
      </c>
      <c r="I246" s="1814">
        <v>40059</v>
      </c>
      <c r="J246" s="1816">
        <v>13067</v>
      </c>
      <c r="K246" s="1807">
        <v>168653</v>
      </c>
      <c r="L246" s="25">
        <v>179</v>
      </c>
      <c r="M246" s="97"/>
      <c r="N246" s="1504">
        <v>41944</v>
      </c>
      <c r="O246" s="19">
        <v>357</v>
      </c>
      <c r="P246" s="93">
        <v>653</v>
      </c>
      <c r="Q246" s="93">
        <v>8335</v>
      </c>
      <c r="R246" s="93">
        <v>1791</v>
      </c>
      <c r="S246" s="93">
        <v>1389</v>
      </c>
      <c r="T246" s="93">
        <v>650</v>
      </c>
      <c r="U246" s="93">
        <v>206</v>
      </c>
      <c r="V246" s="93">
        <v>1428</v>
      </c>
      <c r="W246" s="93">
        <v>3414</v>
      </c>
      <c r="X246" s="93">
        <v>608</v>
      </c>
      <c r="Y246" s="93">
        <v>171</v>
      </c>
      <c r="Z246" s="93">
        <v>845</v>
      </c>
      <c r="AA246" s="93">
        <v>395</v>
      </c>
      <c r="AB246" s="132">
        <v>20242</v>
      </c>
      <c r="AC246" s="25">
        <v>179</v>
      </c>
      <c r="AD246" s="97"/>
      <c r="AE246" s="1504">
        <v>41944</v>
      </c>
      <c r="AF246" s="19"/>
      <c r="AG246" s="93"/>
      <c r="AH246" s="93"/>
      <c r="AI246" s="93"/>
      <c r="AJ246" s="93"/>
      <c r="AK246" s="93"/>
      <c r="AL246" s="93"/>
      <c r="AM246" s="93"/>
      <c r="AN246" s="93"/>
      <c r="AO246" s="93"/>
      <c r="AP246" s="93"/>
      <c r="AQ246" s="93"/>
      <c r="AR246" s="93"/>
      <c r="AS246" s="20">
        <v>0</v>
      </c>
      <c r="AT246" s="25">
        <v>179</v>
      </c>
      <c r="AU246" s="97"/>
      <c r="AV246" s="1504">
        <v>41944</v>
      </c>
      <c r="AW246" s="19">
        <v>9154</v>
      </c>
      <c r="AX246" s="93">
        <v>2669</v>
      </c>
      <c r="AY246" s="93">
        <v>4644</v>
      </c>
      <c r="AZ246" s="93">
        <v>10807</v>
      </c>
      <c r="BA246" s="93">
        <v>7338</v>
      </c>
      <c r="BB246" s="93">
        <v>5361</v>
      </c>
      <c r="BC246" s="93">
        <v>3787</v>
      </c>
      <c r="BD246" s="93">
        <v>8035</v>
      </c>
      <c r="BE246" s="93">
        <v>9495</v>
      </c>
      <c r="BF246" s="93">
        <v>7360</v>
      </c>
      <c r="BG246" s="93">
        <v>5125</v>
      </c>
      <c r="BH246" s="93">
        <v>9301</v>
      </c>
      <c r="BI246" s="93">
        <v>2049</v>
      </c>
      <c r="BJ246" s="20">
        <v>85125</v>
      </c>
      <c r="BK246" s="25">
        <v>179</v>
      </c>
      <c r="BL246" s="97"/>
      <c r="BM246" s="1504">
        <v>41944</v>
      </c>
      <c r="BN246" s="19">
        <v>63.545999999999992</v>
      </c>
      <c r="BO246" s="93">
        <v>2325.7660000000092</v>
      </c>
      <c r="BP246" s="93">
        <v>12.864000000000001</v>
      </c>
      <c r="BQ246" s="93">
        <v>595.97600000000034</v>
      </c>
      <c r="BR246" s="93">
        <v>1.9890000000000001</v>
      </c>
      <c r="BS246" s="93">
        <v>265.63499999999999</v>
      </c>
      <c r="BT246" s="93">
        <v>300.19200000000041</v>
      </c>
      <c r="BU246" s="132">
        <v>3565.9680000000094</v>
      </c>
      <c r="BV246" s="25">
        <v>179</v>
      </c>
      <c r="BW246" s="97"/>
      <c r="BX246" s="1504">
        <v>41944</v>
      </c>
      <c r="BY246" s="179">
        <v>525.93320346000007</v>
      </c>
      <c r="BZ246" s="99">
        <v>664.95699999999999</v>
      </c>
      <c r="CA246" s="99">
        <v>545.39006880260001</v>
      </c>
      <c r="CB246" s="99">
        <v>47.409661869617054</v>
      </c>
      <c r="CC246" s="99">
        <v>164.15999999999997</v>
      </c>
      <c r="CD246" s="25">
        <v>179</v>
      </c>
      <c r="CE246" s="97"/>
      <c r="CF246" s="1504">
        <v>41944</v>
      </c>
      <c r="CG246" s="1508">
        <v>1.488559424</v>
      </c>
      <c r="CH246" s="568">
        <v>1175.33</v>
      </c>
      <c r="CI246" s="1708">
        <v>76.993333333333297</v>
      </c>
      <c r="CJ246" s="1509">
        <v>78.44</v>
      </c>
      <c r="CK246" s="1508">
        <v>423.8</v>
      </c>
      <c r="CL246" s="568">
        <v>178.74253039999999</v>
      </c>
      <c r="CM246" s="568">
        <v>0.35692797799999998</v>
      </c>
      <c r="CN246" s="568">
        <v>0.40735094399999999</v>
      </c>
      <c r="CO246" s="568">
        <v>258.6754368</v>
      </c>
      <c r="CP246" s="1509">
        <v>5.840148611</v>
      </c>
      <c r="CQ246" s="1708">
        <v>1388.91</v>
      </c>
      <c r="CR246" s="568">
        <v>1.9025000000000001</v>
      </c>
      <c r="CS246" s="568">
        <v>1.6369</v>
      </c>
      <c r="CT246" s="568">
        <v>119.5</v>
      </c>
      <c r="CU246" s="568">
        <v>73.73</v>
      </c>
      <c r="CV246" s="1709">
        <v>2253.2199999999998</v>
      </c>
      <c r="CW246" s="29">
        <v>179</v>
      </c>
      <c r="CX246" s="41">
        <f t="shared" si="209"/>
        <v>2014</v>
      </c>
      <c r="CY246" s="1504">
        <v>41944</v>
      </c>
      <c r="CZ246" s="1916">
        <v>99.414686000000003</v>
      </c>
      <c r="DA246" s="1526">
        <v>64.548269000000005</v>
      </c>
      <c r="DB246" s="1526">
        <v>34.866416999999998</v>
      </c>
      <c r="DC246" s="182">
        <f t="shared" si="219"/>
        <v>508499</v>
      </c>
      <c r="DD246" s="182">
        <f t="shared" si="220"/>
        <v>507074</v>
      </c>
      <c r="DE246" s="182">
        <f t="shared" si="221"/>
        <v>1425</v>
      </c>
      <c r="DF246" s="29">
        <v>179</v>
      </c>
      <c r="DG246" s="1504">
        <v>41944</v>
      </c>
      <c r="DH246" s="181">
        <v>294212</v>
      </c>
      <c r="DI246" s="182"/>
      <c r="DJ246" s="182"/>
      <c r="DK246" s="182"/>
      <c r="DL246" s="182"/>
      <c r="DM246" s="182"/>
      <c r="DN246" s="290"/>
      <c r="DO246" s="295"/>
      <c r="DP246" s="29">
        <v>179</v>
      </c>
      <c r="DQ246" s="1504">
        <v>41944</v>
      </c>
      <c r="DR246" s="19"/>
      <c r="DS246" s="93"/>
      <c r="DT246" s="93"/>
      <c r="DU246" s="93"/>
      <c r="DV246" s="93"/>
      <c r="DW246" s="93"/>
      <c r="DX246" s="1719"/>
      <c r="DY246" s="29">
        <v>179</v>
      </c>
      <c r="DZ246" s="1504">
        <v>41944</v>
      </c>
      <c r="EA246" s="19"/>
      <c r="EB246" s="93"/>
      <c r="EC246" s="20"/>
      <c r="ED246" s="29"/>
      <c r="EE246" s="1504">
        <v>41944</v>
      </c>
      <c r="EF246" s="179">
        <v>18632</v>
      </c>
      <c r="EG246" s="99">
        <v>19599</v>
      </c>
      <c r="EH246" s="99">
        <v>38231</v>
      </c>
      <c r="EI246" s="221">
        <v>1364</v>
      </c>
      <c r="EJ246" s="99">
        <v>568.78700000000003</v>
      </c>
      <c r="EK246" s="99">
        <v>198.45599999999999</v>
      </c>
      <c r="EL246" s="99">
        <v>9.0399999999999991</v>
      </c>
      <c r="EM246" s="99">
        <v>5.2270000000000003</v>
      </c>
      <c r="EN246" s="132">
        <v>781.51</v>
      </c>
      <c r="EO246" s="29">
        <v>179</v>
      </c>
      <c r="EP246" s="1504">
        <v>41944</v>
      </c>
      <c r="EQ246" s="19">
        <v>18207</v>
      </c>
      <c r="ER246" s="93">
        <v>19240</v>
      </c>
      <c r="ES246" s="93">
        <v>37447</v>
      </c>
      <c r="ET246" s="214">
        <v>789</v>
      </c>
      <c r="EU246" s="93">
        <v>568.78700000000003</v>
      </c>
      <c r="EV246" s="93">
        <v>198.45599999999999</v>
      </c>
      <c r="EW246" s="93">
        <v>9.0399999999999991</v>
      </c>
      <c r="EX246" s="93">
        <v>5.2270000000000003</v>
      </c>
      <c r="EY246" s="20">
        <v>781.51</v>
      </c>
      <c r="EZ246" s="29">
        <v>179</v>
      </c>
      <c r="FA246" s="1504">
        <v>41944</v>
      </c>
      <c r="FB246" s="29"/>
      <c r="FC246" s="29"/>
      <c r="FD246" s="29"/>
      <c r="FE246" s="29"/>
      <c r="FF246" s="29"/>
      <c r="FG246" s="29"/>
      <c r="FH246" s="29"/>
      <c r="FI246" s="29"/>
      <c r="FJ246" s="29"/>
      <c r="FK246" s="29">
        <v>179</v>
      </c>
      <c r="FL246" s="1504">
        <v>41944</v>
      </c>
      <c r="FM246" s="19">
        <v>107.47</v>
      </c>
      <c r="FN246" s="93">
        <v>113.74</v>
      </c>
      <c r="FO246" s="93">
        <v>99.76</v>
      </c>
      <c r="FP246" s="93">
        <v>101.84</v>
      </c>
      <c r="FQ246" s="93">
        <v>116.28</v>
      </c>
      <c r="FR246" s="93">
        <v>98.58</v>
      </c>
      <c r="FS246" s="93">
        <v>100.9</v>
      </c>
      <c r="FT246" s="93">
        <v>114.68</v>
      </c>
      <c r="FU246" s="93">
        <v>64.16</v>
      </c>
      <c r="FV246" s="93">
        <v>96.37</v>
      </c>
      <c r="FW246" s="93">
        <v>108.12</v>
      </c>
      <c r="FX246" s="93">
        <v>111.59</v>
      </c>
      <c r="FY246" s="93">
        <v>104.95</v>
      </c>
      <c r="FZ246" s="29">
        <v>179</v>
      </c>
      <c r="GA246" s="1504">
        <v>41944</v>
      </c>
      <c r="GB246" s="19">
        <v>107.47</v>
      </c>
      <c r="GC246" s="93">
        <v>108.85</v>
      </c>
      <c r="GD246" s="93">
        <v>106.81</v>
      </c>
      <c r="GE246" s="93">
        <v>114.06</v>
      </c>
      <c r="GF246" s="93">
        <v>111.03</v>
      </c>
      <c r="GG246" s="99">
        <v>105.23</v>
      </c>
      <c r="GH246" s="93">
        <v>117.33</v>
      </c>
      <c r="GI246" s="93">
        <v>108.38</v>
      </c>
      <c r="GJ246" s="93">
        <v>98.51</v>
      </c>
      <c r="GK246" s="93">
        <v>127.99</v>
      </c>
      <c r="GL246" s="93">
        <v>112.74</v>
      </c>
      <c r="GM246" s="93">
        <v>100.89</v>
      </c>
      <c r="GN246" s="20">
        <v>98.51</v>
      </c>
      <c r="GO246" s="29">
        <v>179</v>
      </c>
      <c r="GP246" s="1504">
        <v>41944</v>
      </c>
      <c r="GQ246" s="181">
        <v>254.38091110733001</v>
      </c>
      <c r="GR246" s="182">
        <v>213.58248379232899</v>
      </c>
      <c r="GS246" s="182">
        <v>231.489724674641</v>
      </c>
      <c r="GT246" s="182">
        <v>166.84127001262101</v>
      </c>
      <c r="GU246" s="182">
        <v>406.92624783781901</v>
      </c>
      <c r="GV246" s="290">
        <v>785.41964677102203</v>
      </c>
      <c r="GW246" s="181">
        <v>349.05296178052799</v>
      </c>
      <c r="GX246" s="182">
        <v>439.48310833300297</v>
      </c>
      <c r="GY246" s="182">
        <v>405.41283877527599</v>
      </c>
      <c r="GZ246" s="182">
        <v>709.99694637104903</v>
      </c>
      <c r="HA246" s="182">
        <v>230.737788371486</v>
      </c>
      <c r="HB246" s="290">
        <v>700.31536981388297</v>
      </c>
      <c r="HC246" s="181">
        <v>1832.5867614725701</v>
      </c>
      <c r="HD246" s="182">
        <v>1879.88268151599</v>
      </c>
      <c r="HE246" s="182">
        <v>2007.3910192245501</v>
      </c>
      <c r="HF246" s="182">
        <v>3150</v>
      </c>
      <c r="HG246" s="182">
        <v>2498.3880066073998</v>
      </c>
      <c r="HH246" s="290">
        <v>2860.6126794183401</v>
      </c>
      <c r="HI246" s="19"/>
      <c r="HJ246" s="182">
        <v>842.05457181663598</v>
      </c>
      <c r="HK246" s="182">
        <v>1401.0532231858599</v>
      </c>
      <c r="HL246" s="182">
        <v>932.798593154066</v>
      </c>
      <c r="HM246" s="182">
        <v>900</v>
      </c>
      <c r="HN246" s="290">
        <v>1977.7597598139801</v>
      </c>
      <c r="HO246" s="324">
        <v>128.588361888196</v>
      </c>
      <c r="HP246" s="290">
        <v>84.2327695655338</v>
      </c>
      <c r="HQ246" s="295">
        <v>153.357152501347</v>
      </c>
      <c r="HR246" s="29">
        <v>179</v>
      </c>
      <c r="HS246" s="1504">
        <v>41944</v>
      </c>
      <c r="HT246" s="179">
        <v>223.56316986083985</v>
      </c>
      <c r="HU246" s="99">
        <v>223.79032389322916</v>
      </c>
      <c r="HV246" s="99">
        <v>201.34228515625</v>
      </c>
      <c r="HW246" s="99">
        <v>115.38462066650391</v>
      </c>
      <c r="HX246" s="99">
        <v>191.66666412353516</v>
      </c>
      <c r="HY246" s="99">
        <v>196.21820831298828</v>
      </c>
      <c r="HZ246" s="99">
        <v>216.83114166259764</v>
      </c>
      <c r="IA246" s="132">
        <v>165.92742443084717</v>
      </c>
      <c r="IB246" s="179">
        <v>201.72412872314453</v>
      </c>
      <c r="IC246" s="99">
        <v>151.51515197753906</v>
      </c>
      <c r="ID246" s="99">
        <v>165.17857360839844</v>
      </c>
      <c r="IE246" s="99">
        <v>157.25807189941406</v>
      </c>
      <c r="IF246" s="99">
        <v>200.00000381469727</v>
      </c>
      <c r="IG246" s="132">
        <v>149.59016036987305</v>
      </c>
      <c r="IH246" s="179">
        <v>103.74551315307617</v>
      </c>
      <c r="II246" s="99">
        <v>201.50870259602866</v>
      </c>
      <c r="IJ246" s="99">
        <v>137.9310302734375</v>
      </c>
      <c r="IK246" s="99">
        <v>141.01985359191895</v>
      </c>
      <c r="IL246" s="99">
        <v>111.81057586669922</v>
      </c>
      <c r="IM246" s="99">
        <v>117.7419376373291</v>
      </c>
      <c r="IN246" s="99">
        <v>144.87632751464844</v>
      </c>
      <c r="IO246" s="132">
        <v>143.39579264322919</v>
      </c>
      <c r="IP246" s="29">
        <v>179</v>
      </c>
      <c r="IQ246" s="179">
        <v>126.40449142456055</v>
      </c>
      <c r="IR246" s="99">
        <v>63.451774597167969</v>
      </c>
      <c r="IS246" s="99">
        <v>89.583332061767578</v>
      </c>
      <c r="IT246" s="99">
        <v>94.75084114074707</v>
      </c>
      <c r="IU246" s="99">
        <v>122.39583333333333</v>
      </c>
      <c r="IV246" s="132">
        <v>77.941177368164063</v>
      </c>
      <c r="IW246" s="29">
        <v>179</v>
      </c>
      <c r="IX246" s="179">
        <v>409.77822875976563</v>
      </c>
      <c r="IY246" s="99">
        <v>374.93746948242188</v>
      </c>
      <c r="IZ246" s="100">
        <f>(((IZ247/IZ248-1)+(IZ248/IZ249-1))/2+1)*IZ247</f>
        <v>458.61919595240619</v>
      </c>
      <c r="JA246" s="99">
        <v>375</v>
      </c>
      <c r="JB246" s="99">
        <v>380</v>
      </c>
      <c r="JC246" s="99">
        <v>400</v>
      </c>
      <c r="JD246" s="99">
        <v>390</v>
      </c>
      <c r="JE246" s="132">
        <v>350</v>
      </c>
      <c r="JF246" s="29">
        <v>179</v>
      </c>
      <c r="JG246" s="179">
        <v>173.93617248535156</v>
      </c>
      <c r="JH246" s="99">
        <v>201.50870259602866</v>
      </c>
      <c r="JI246" s="99">
        <v>174.82518005371094</v>
      </c>
      <c r="JJ246" s="99">
        <v>125</v>
      </c>
      <c r="JK246" s="99">
        <v>168.35017395019531</v>
      </c>
      <c r="JL246" s="99">
        <v>151.70454406738281</v>
      </c>
      <c r="JM246" s="99">
        <v>172.71726989746094</v>
      </c>
      <c r="JN246" s="132">
        <v>220.54303487141928</v>
      </c>
      <c r="JO246" s="29">
        <v>179</v>
      </c>
      <c r="JP246" s="179">
        <v>214.81481170654297</v>
      </c>
      <c r="JQ246" s="99">
        <v>90</v>
      </c>
      <c r="JR246" s="99">
        <v>143.75</v>
      </c>
      <c r="JS246" s="100"/>
      <c r="JT246" s="99">
        <v>132.8125</v>
      </c>
      <c r="JU246" s="132">
        <v>93.5828857421875</v>
      </c>
      <c r="JV246" s="29">
        <v>179</v>
      </c>
      <c r="JW246" s="1504">
        <v>41944</v>
      </c>
      <c r="JX246" s="179">
        <v>241</v>
      </c>
      <c r="JY246" s="99">
        <v>259</v>
      </c>
      <c r="JZ246" s="99">
        <v>286</v>
      </c>
      <c r="KA246" s="99">
        <v>279</v>
      </c>
      <c r="KB246" s="99">
        <v>284</v>
      </c>
      <c r="KC246" s="99">
        <v>319</v>
      </c>
      <c r="KD246" s="132">
        <v>352</v>
      </c>
      <c r="KE246" s="29">
        <v>179</v>
      </c>
      <c r="KF246" s="179">
        <v>31</v>
      </c>
      <c r="KG246" s="99">
        <v>32</v>
      </c>
      <c r="KH246" s="99">
        <v>61</v>
      </c>
      <c r="KI246" s="99">
        <v>66</v>
      </c>
      <c r="KJ246" s="99">
        <v>46</v>
      </c>
      <c r="KK246" s="132">
        <v>70</v>
      </c>
      <c r="KL246" s="29">
        <v>179</v>
      </c>
      <c r="KM246" s="179">
        <v>15</v>
      </c>
      <c r="KN246" s="99">
        <v>12</v>
      </c>
      <c r="KO246" s="99">
        <v>37</v>
      </c>
      <c r="KP246" s="99">
        <v>39</v>
      </c>
      <c r="KQ246" s="99">
        <v>26</v>
      </c>
      <c r="KR246" s="132">
        <v>35</v>
      </c>
      <c r="KS246" s="29">
        <v>179</v>
      </c>
      <c r="KT246" s="179">
        <v>22</v>
      </c>
      <c r="KU246" s="99">
        <v>18</v>
      </c>
      <c r="KV246" s="99">
        <v>25</v>
      </c>
      <c r="KW246" s="99">
        <v>28</v>
      </c>
      <c r="KX246" s="99">
        <v>18</v>
      </c>
      <c r="KY246" s="132">
        <v>27</v>
      </c>
      <c r="KZ246" s="29">
        <v>179</v>
      </c>
      <c r="LA246" s="1504">
        <v>41944</v>
      </c>
      <c r="LB246" s="19">
        <v>510</v>
      </c>
      <c r="LC246" s="93">
        <v>740</v>
      </c>
      <c r="LD246" s="93">
        <v>732</v>
      </c>
      <c r="LE246" s="93">
        <v>3600</v>
      </c>
      <c r="LF246" s="93">
        <v>656</v>
      </c>
      <c r="LG246" s="93">
        <v>5000</v>
      </c>
      <c r="LH246" s="20">
        <v>2000</v>
      </c>
      <c r="LI246" s="29">
        <v>179</v>
      </c>
      <c r="LJ246" s="19"/>
      <c r="LK246" s="93"/>
      <c r="LL246" s="93"/>
      <c r="LM246" s="93"/>
      <c r="LN246" s="93"/>
      <c r="LO246" s="20"/>
      <c r="LP246" s="29">
        <v>179</v>
      </c>
      <c r="LQ246" s="19"/>
      <c r="LR246" s="93">
        <v>188</v>
      </c>
      <c r="LS246" s="93">
        <v>445</v>
      </c>
      <c r="LT246" s="93">
        <v>535</v>
      </c>
      <c r="LU246" s="93">
        <v>1070</v>
      </c>
      <c r="LV246" s="93"/>
      <c r="LW246" s="93">
        <v>5</v>
      </c>
      <c r="LX246" s="93">
        <v>10</v>
      </c>
      <c r="LY246" s="93">
        <v>60</v>
      </c>
      <c r="LZ246" s="93"/>
      <c r="MA246" s="20">
        <v>1070</v>
      </c>
      <c r="MB246" s="29">
        <v>179</v>
      </c>
      <c r="MC246" s="1504">
        <v>41944</v>
      </c>
      <c r="MD246" s="19">
        <v>1237.3943428500577</v>
      </c>
      <c r="ME246" s="93">
        <v>990.06254604199989</v>
      </c>
      <c r="MF246" s="93">
        <v>990.0509755029999</v>
      </c>
      <c r="MG246" s="93">
        <v>874.4026169089999</v>
      </c>
      <c r="MH246" s="93">
        <v>250.67667540599999</v>
      </c>
      <c r="MI246" s="93">
        <v>6.7319657460000011</v>
      </c>
      <c r="MJ246" s="93">
        <v>8.4290439579999994</v>
      </c>
      <c r="MK246" s="93">
        <v>469.26617265500005</v>
      </c>
      <c r="ML246" s="93">
        <v>131.974646675</v>
      </c>
      <c r="MM246" s="93">
        <v>7.3241124689999992</v>
      </c>
      <c r="MN246" s="93">
        <v>115.64835859400002</v>
      </c>
      <c r="MO246" s="93">
        <v>4.9645376610000005</v>
      </c>
      <c r="MP246" s="93">
        <v>24.898067396000002</v>
      </c>
      <c r="MQ246" s="93">
        <v>3.8540182299999999</v>
      </c>
      <c r="MR246" s="93">
        <v>29.924114341000003</v>
      </c>
      <c r="MS246" s="93">
        <v>52.007620965999998</v>
      </c>
      <c r="MT246" s="93">
        <v>1.1570538999999999E-2</v>
      </c>
      <c r="MU246" s="93">
        <v>247.33179680805785</v>
      </c>
      <c r="MV246" s="93">
        <v>149.07148758944484</v>
      </c>
      <c r="MW246" s="93">
        <v>98.260309218613017</v>
      </c>
      <c r="MX246" s="93">
        <v>1312.6325993524706</v>
      </c>
      <c r="MY246" s="93">
        <v>1318.6940110234707</v>
      </c>
      <c r="MZ246" s="93">
        <v>811.77030419286928</v>
      </c>
      <c r="NA246" s="93">
        <v>395.56821625499998</v>
      </c>
      <c r="NB246" s="93">
        <v>90.273047638333338</v>
      </c>
      <c r="NC246" s="93">
        <v>39.14527955653584</v>
      </c>
      <c r="ND246" s="93">
        <v>27.661310797000002</v>
      </c>
      <c r="NE246" s="93">
        <v>11.483968759535841</v>
      </c>
      <c r="NF246" s="93">
        <v>286.78376074299996</v>
      </c>
      <c r="NG246" s="93">
        <v>11.841987858</v>
      </c>
      <c r="NH246" s="93">
        <v>71.749154148000002</v>
      </c>
      <c r="NI246" s="93">
        <v>10.89263253</v>
      </c>
      <c r="NJ246" s="93">
        <v>23.630862603999997</v>
      </c>
      <c r="NK246" s="93">
        <v>506.92370683060153</v>
      </c>
      <c r="NL246" s="93">
        <v>299.74994505299998</v>
      </c>
      <c r="NM246" s="93">
        <v>5.6198069779999988</v>
      </c>
      <c r="NN246" s="93">
        <v>201.55395479960148</v>
      </c>
      <c r="NO246" s="93">
        <v>-6.0614116709999983</v>
      </c>
      <c r="NP246" s="93">
        <v>-75.238256502412781</v>
      </c>
      <c r="NQ246" s="93">
        <v>-322.57005331047071</v>
      </c>
      <c r="NR246" s="93">
        <v>-81.870818954333302</v>
      </c>
      <c r="NS246" s="93">
        <v>-121.01609851086916</v>
      </c>
      <c r="NT246" s="93">
        <v>1.5870573815872184</v>
      </c>
      <c r="NU246" s="93">
        <v>-245.74473942647066</v>
      </c>
      <c r="NV246" s="93">
        <v>2.5938594821763559</v>
      </c>
      <c r="NW246" s="93">
        <v>51.785004457376353</v>
      </c>
      <c r="NX246" s="93">
        <v>76.502041395156624</v>
      </c>
      <c r="NY246" s="93">
        <v>-24.717036937780289</v>
      </c>
      <c r="NZ246" s="93">
        <v>0</v>
      </c>
      <c r="OA246" s="93">
        <v>-49.191144975199983</v>
      </c>
      <c r="OB246" s="93">
        <v>-54.998545082999975</v>
      </c>
      <c r="OC246" s="93">
        <v>5.8074001078000013</v>
      </c>
      <c r="OD246" s="20">
        <v>0</v>
      </c>
      <c r="OE246" s="29">
        <v>179</v>
      </c>
      <c r="OF246" s="1504">
        <v>41944</v>
      </c>
      <c r="OG246" s="19"/>
      <c r="OH246" s="93">
        <v>201.75799999999998</v>
      </c>
      <c r="OI246" s="93">
        <v>932.14242894080576</v>
      </c>
      <c r="OJ246" s="93">
        <v>0.456753187</v>
      </c>
      <c r="OK246" s="93">
        <v>799.37567575380581</v>
      </c>
      <c r="OL246" s="93">
        <v>132.31</v>
      </c>
      <c r="OM246" s="93">
        <v>1133.9004289408058</v>
      </c>
      <c r="ON246" s="93">
        <v>923.27389151294005</v>
      </c>
      <c r="OO246" s="93">
        <v>2057.1743204537461</v>
      </c>
      <c r="OP246" s="93"/>
      <c r="OQ246" s="93">
        <v>477.22893248809123</v>
      </c>
      <c r="OR246" s="93">
        <v>-129.94654895000002</v>
      </c>
      <c r="OS246" s="93">
        <v>607.17548143809108</v>
      </c>
      <c r="OT246" s="93">
        <v>1856.1217973256548</v>
      </c>
      <c r="OU246" s="93">
        <v>73.821816158000019</v>
      </c>
      <c r="OV246" s="93">
        <v>30.876816158000022</v>
      </c>
      <c r="OW246" s="93">
        <v>42.944999999999993</v>
      </c>
      <c r="OX246" s="93">
        <v>1782.2999811676548</v>
      </c>
      <c r="OY246" s="93">
        <v>3.322895339</v>
      </c>
      <c r="OZ246" s="93">
        <v>1778.9770858286547</v>
      </c>
      <c r="PA246" s="93">
        <v>326.997939793</v>
      </c>
      <c r="PB246" s="93">
        <v>-50.82153043299995</v>
      </c>
      <c r="PC246" s="20">
        <v>2057.1743204537461</v>
      </c>
      <c r="PD246" s="29">
        <v>179</v>
      </c>
      <c r="PE246" s="19"/>
      <c r="PF246" s="93">
        <v>-129.94654895000002</v>
      </c>
      <c r="PG246" s="93">
        <v>375.36258956499995</v>
      </c>
      <c r="PH246" s="93">
        <v>505.30913851499997</v>
      </c>
      <c r="PI246" s="93">
        <v>457.71379999999999</v>
      </c>
      <c r="PJ246" s="93">
        <v>36.702016158000021</v>
      </c>
      <c r="PK246" s="93">
        <v>130.03624022600002</v>
      </c>
      <c r="PL246" s="93">
        <v>93.334224067999997</v>
      </c>
      <c r="PM246" s="93">
        <v>3.322895339</v>
      </c>
      <c r="PN246" s="93">
        <v>0</v>
      </c>
      <c r="PO246" s="93">
        <v>0</v>
      </c>
      <c r="PP246" s="93">
        <v>1.7649300000000001E-4</v>
      </c>
      <c r="PQ246" s="93">
        <v>3.3227188459999999</v>
      </c>
      <c r="PR246" s="93">
        <v>360.33977001300002</v>
      </c>
      <c r="PS246" s="93">
        <v>250.97919999999999</v>
      </c>
      <c r="PT246" s="93">
        <v>108.903816826</v>
      </c>
      <c r="PU246" s="93">
        <v>0.456753187</v>
      </c>
      <c r="PV246" s="93">
        <v>0</v>
      </c>
      <c r="PW246" s="93">
        <v>0.80178131399999997</v>
      </c>
      <c r="PX246" s="93">
        <v>0</v>
      </c>
      <c r="PY246" s="93">
        <v>0</v>
      </c>
      <c r="PZ246" s="93">
        <v>0.80178131399999997</v>
      </c>
      <c r="QA246" s="93">
        <v>0</v>
      </c>
      <c r="QB246" s="93">
        <v>0</v>
      </c>
      <c r="QC246" s="93">
        <v>0</v>
      </c>
      <c r="QD246" s="93">
        <v>5.0231584790000001</v>
      </c>
      <c r="QE246" s="20">
        <v>1.6274527409999999</v>
      </c>
      <c r="QF246" s="1739">
        <v>179</v>
      </c>
      <c r="QG246" s="19"/>
      <c r="QH246" s="1035">
        <v>607.17548143809108</v>
      </c>
      <c r="QI246" s="1035">
        <v>858.13891417134528</v>
      </c>
      <c r="QJ246" s="1035">
        <v>-250.96343273325414</v>
      </c>
      <c r="QK246" s="1035">
        <v>162.83600000000001</v>
      </c>
      <c r="QL246" s="1035">
        <v>43.396000000000001</v>
      </c>
      <c r="QM246" s="1035">
        <v>119.44000000000001</v>
      </c>
      <c r="QN246" s="1035">
        <v>0</v>
      </c>
      <c r="QO246" s="1035">
        <v>42.944999999999993</v>
      </c>
      <c r="QP246" s="1035">
        <v>244.87199999999999</v>
      </c>
      <c r="QQ246" s="1035">
        <v>-201.92699999999999</v>
      </c>
      <c r="QR246" s="1035">
        <v>1778.9770858286547</v>
      </c>
      <c r="QS246" s="1035">
        <v>24.77816250223518</v>
      </c>
      <c r="QT246" s="1035">
        <v>0</v>
      </c>
      <c r="QU246" s="1035">
        <v>182.99199999999999</v>
      </c>
      <c r="QV246" s="1035">
        <v>1571.2069233264197</v>
      </c>
      <c r="QW246" s="93"/>
      <c r="QX246" s="93">
        <v>458.26499999999999</v>
      </c>
      <c r="QY246" s="93">
        <v>799.37567575380569</v>
      </c>
      <c r="QZ246" s="93">
        <v>923.27389151294005</v>
      </c>
      <c r="RA246" s="93">
        <v>0</v>
      </c>
      <c r="RB246" s="93">
        <v>40.709000000000003</v>
      </c>
      <c r="RC246" s="93">
        <v>3.097</v>
      </c>
      <c r="RD246" s="93">
        <v>14.323999999999998</v>
      </c>
      <c r="RE246" s="93">
        <v>0</v>
      </c>
      <c r="RF246" s="93">
        <v>0</v>
      </c>
      <c r="RG246" s="93">
        <v>263.04300000000001</v>
      </c>
      <c r="RH246" s="93">
        <v>89.846000000000032</v>
      </c>
      <c r="RI246" s="93"/>
      <c r="RJ246" s="93"/>
      <c r="RK246" s="93"/>
      <c r="RL246" s="93"/>
      <c r="RM246" s="734"/>
      <c r="RN246" s="29">
        <v>179</v>
      </c>
      <c r="RO246" s="19">
        <v>100</v>
      </c>
      <c r="RP246" s="20"/>
      <c r="RQ246" s="29">
        <v>179</v>
      </c>
      <c r="RR246" s="734">
        <v>3.1182094</v>
      </c>
      <c r="RS246" s="29">
        <v>179</v>
      </c>
      <c r="RT246" s="1504">
        <v>41944</v>
      </c>
      <c r="RU246" s="19"/>
      <c r="RV246" s="20"/>
      <c r="RW246" s="29">
        <v>179</v>
      </c>
      <c r="RX246" s="1504">
        <v>41944</v>
      </c>
      <c r="RY246" s="29"/>
      <c r="RZ246" s="734"/>
      <c r="SA246" s="29"/>
      <c r="SB246" s="29">
        <v>179</v>
      </c>
    </row>
    <row r="247" spans="1:496">
      <c r="A247" s="41">
        <f t="shared" si="208"/>
        <v>2014</v>
      </c>
      <c r="B247" s="1504">
        <v>41974</v>
      </c>
      <c r="C247" s="1813">
        <v>1297</v>
      </c>
      <c r="D247" s="1814">
        <v>21591</v>
      </c>
      <c r="E247" s="1814">
        <v>50</v>
      </c>
      <c r="F247" s="1815">
        <v>344</v>
      </c>
      <c r="G247" s="1814">
        <v>96625</v>
      </c>
      <c r="H247" s="1814">
        <v>32</v>
      </c>
      <c r="I247" s="1814">
        <v>37624</v>
      </c>
      <c r="J247" s="1816">
        <v>13368</v>
      </c>
      <c r="K247" s="1807">
        <v>170931</v>
      </c>
      <c r="L247" s="25">
        <v>180</v>
      </c>
      <c r="M247" s="97"/>
      <c r="N247" s="1504">
        <v>41974</v>
      </c>
      <c r="O247" s="19">
        <v>445</v>
      </c>
      <c r="P247" s="93">
        <v>511</v>
      </c>
      <c r="Q247" s="93">
        <v>8582</v>
      </c>
      <c r="R247" s="93">
        <v>1629</v>
      </c>
      <c r="S247" s="93">
        <v>1448</v>
      </c>
      <c r="T247" s="93">
        <v>524</v>
      </c>
      <c r="U247" s="93">
        <v>226</v>
      </c>
      <c r="V247" s="93">
        <v>1458</v>
      </c>
      <c r="W247" s="93">
        <v>3802</v>
      </c>
      <c r="X247" s="93">
        <v>628</v>
      </c>
      <c r="Y247" s="93">
        <v>193</v>
      </c>
      <c r="Z247" s="93">
        <v>846</v>
      </c>
      <c r="AA247" s="93">
        <v>290</v>
      </c>
      <c r="AB247" s="132">
        <v>20582</v>
      </c>
      <c r="AC247" s="25">
        <v>180</v>
      </c>
      <c r="AD247" s="97"/>
      <c r="AE247" s="1504">
        <v>41974</v>
      </c>
      <c r="AF247" s="19"/>
      <c r="AG247" s="93"/>
      <c r="AH247" s="93"/>
      <c r="AI247" s="93"/>
      <c r="AJ247" s="93"/>
      <c r="AK247" s="93"/>
      <c r="AL247" s="93"/>
      <c r="AM247" s="93"/>
      <c r="AN247" s="93"/>
      <c r="AO247" s="93"/>
      <c r="AP247" s="93"/>
      <c r="AQ247" s="93"/>
      <c r="AR247" s="93"/>
      <c r="AS247" s="20">
        <v>0</v>
      </c>
      <c r="AT247" s="25">
        <v>180</v>
      </c>
      <c r="AU247" s="97"/>
      <c r="AV247" s="1504">
        <v>41974</v>
      </c>
      <c r="AW247" s="19">
        <v>6566</v>
      </c>
      <c r="AX247" s="93">
        <v>1281</v>
      </c>
      <c r="AY247" s="93">
        <v>2947</v>
      </c>
      <c r="AZ247" s="93">
        <v>8550</v>
      </c>
      <c r="BA247" s="93">
        <v>15107</v>
      </c>
      <c r="BB247" s="93">
        <v>3976</v>
      </c>
      <c r="BC247" s="93">
        <v>2793</v>
      </c>
      <c r="BD247" s="93">
        <v>7046</v>
      </c>
      <c r="BE247" s="93">
        <v>6379</v>
      </c>
      <c r="BF247" s="93">
        <v>7033</v>
      </c>
      <c r="BG247" s="93">
        <v>3461</v>
      </c>
      <c r="BH247" s="93">
        <v>8051</v>
      </c>
      <c r="BI247" s="93">
        <v>1307</v>
      </c>
      <c r="BJ247" s="20">
        <v>74497</v>
      </c>
      <c r="BK247" s="25">
        <v>180</v>
      </c>
      <c r="BL247" s="97"/>
      <c r="BM247" s="1504">
        <v>41974</v>
      </c>
      <c r="BN247" s="19">
        <v>85.272000000000006</v>
      </c>
      <c r="BO247" s="93">
        <v>2814.0390000000002</v>
      </c>
      <c r="BP247" s="93">
        <v>13.632000000000001</v>
      </c>
      <c r="BQ247" s="93">
        <v>889.48</v>
      </c>
      <c r="BR247" s="93">
        <v>5.0490000000000004</v>
      </c>
      <c r="BS247" s="93">
        <v>287.30699999999996</v>
      </c>
      <c r="BT247" s="93">
        <v>392.18399999999997</v>
      </c>
      <c r="BU247" s="132">
        <v>4486.9629999999997</v>
      </c>
      <c r="BV247" s="25">
        <v>180</v>
      </c>
      <c r="BW247" s="97"/>
      <c r="BX247" s="1504">
        <v>41974</v>
      </c>
      <c r="BY247" s="179">
        <v>531.94176958000003</v>
      </c>
      <c r="BZ247" s="99">
        <v>664.95699999999999</v>
      </c>
      <c r="CA247" s="99">
        <v>545.4639951565</v>
      </c>
      <c r="CB247" s="99">
        <v>46.33041201878369</v>
      </c>
      <c r="CC247" s="99">
        <v>166.36451612903224</v>
      </c>
      <c r="CD247" s="25">
        <v>180</v>
      </c>
      <c r="CE247" s="97"/>
      <c r="CF247" s="1504">
        <v>41974</v>
      </c>
      <c r="CG247" s="1508">
        <v>1.50575546</v>
      </c>
      <c r="CH247" s="568">
        <v>1200.6199999999999</v>
      </c>
      <c r="CI247" s="1708">
        <v>60.703333333333298</v>
      </c>
      <c r="CJ247" s="1509">
        <v>62.33</v>
      </c>
      <c r="CK247" s="1508">
        <v>421.18</v>
      </c>
      <c r="CL247" s="568">
        <v>178.73465680000001</v>
      </c>
      <c r="CM247" s="568">
        <v>0.33796824600000003</v>
      </c>
      <c r="CN247" s="568">
        <v>0.40228926399999998</v>
      </c>
      <c r="CO247" s="568">
        <v>269.6985378</v>
      </c>
      <c r="CP247" s="1509">
        <v>5.463819977</v>
      </c>
      <c r="CQ247" s="1708">
        <v>1372.88</v>
      </c>
      <c r="CR247" s="568">
        <v>1.88</v>
      </c>
      <c r="CS247" s="568">
        <v>1.6080000000000001</v>
      </c>
      <c r="CT247" s="568">
        <v>119.5</v>
      </c>
      <c r="CU247" s="568">
        <v>68.39</v>
      </c>
      <c r="CV247" s="1709">
        <v>2175.7600000000002</v>
      </c>
      <c r="CW247" s="29">
        <v>180</v>
      </c>
      <c r="CX247" s="41">
        <f t="shared" si="209"/>
        <v>2014</v>
      </c>
      <c r="CY247" s="1504">
        <v>41974</v>
      </c>
      <c r="CZ247" s="1916">
        <v>95.548249285893917</v>
      </c>
      <c r="DA247" s="1526">
        <v>56.58640828589391</v>
      </c>
      <c r="DB247" s="1526">
        <v>38.961841</v>
      </c>
      <c r="DC247" s="182">
        <v>508499</v>
      </c>
      <c r="DD247" s="182">
        <v>507074</v>
      </c>
      <c r="DE247" s="290">
        <v>1425</v>
      </c>
      <c r="DF247" s="29">
        <v>180</v>
      </c>
      <c r="DG247" s="1504">
        <v>41974</v>
      </c>
      <c r="DH247" s="181">
        <v>296370</v>
      </c>
      <c r="DI247" s="182"/>
      <c r="DJ247" s="182"/>
      <c r="DK247" s="182"/>
      <c r="DL247" s="182"/>
      <c r="DM247" s="182"/>
      <c r="DN247" s="290"/>
      <c r="DO247" s="295"/>
      <c r="DP247" s="29">
        <v>180</v>
      </c>
      <c r="DQ247" s="1504">
        <v>41974</v>
      </c>
      <c r="DR247" s="19"/>
      <c r="DS247" s="93"/>
      <c r="DT247" s="93"/>
      <c r="DU247" s="93"/>
      <c r="DV247" s="93"/>
      <c r="DW247" s="93"/>
      <c r="DX247" s="1719"/>
      <c r="DY247" s="29">
        <v>180</v>
      </c>
      <c r="DZ247" s="1504">
        <v>41974</v>
      </c>
      <c r="EA247" s="19"/>
      <c r="EB247" s="93"/>
      <c r="EC247" s="20"/>
      <c r="ED247" s="29"/>
      <c r="EE247" s="1504">
        <v>41974</v>
      </c>
      <c r="EF247" s="179">
        <v>17852</v>
      </c>
      <c r="EG247" s="99">
        <v>19636</v>
      </c>
      <c r="EH247" s="99">
        <v>37488</v>
      </c>
      <c r="EI247" s="221">
        <v>9123</v>
      </c>
      <c r="EJ247" s="99">
        <v>70.203999999999994</v>
      </c>
      <c r="EK247" s="99">
        <v>19.375</v>
      </c>
      <c r="EL247" s="99">
        <v>9.0350000000000001</v>
      </c>
      <c r="EM247" s="99">
        <v>5.2240000000000002</v>
      </c>
      <c r="EN247" s="132">
        <v>103.83799999999999</v>
      </c>
      <c r="EO247" s="29">
        <v>180</v>
      </c>
      <c r="EP247" s="1504">
        <v>41974</v>
      </c>
      <c r="EQ247" s="19">
        <v>17432</v>
      </c>
      <c r="ER247" s="93">
        <v>19234</v>
      </c>
      <c r="ES247" s="93">
        <v>36666</v>
      </c>
      <c r="ET247" s="214">
        <v>8534</v>
      </c>
      <c r="EU247" s="93">
        <v>70.203999999999994</v>
      </c>
      <c r="EV247" s="93">
        <v>19.375</v>
      </c>
      <c r="EW247" s="93">
        <v>9.0350000000000001</v>
      </c>
      <c r="EX247" s="93">
        <v>5.2240000000000002</v>
      </c>
      <c r="EY247" s="20">
        <v>103.83799999999999</v>
      </c>
      <c r="EZ247" s="29">
        <v>180</v>
      </c>
      <c r="FA247" s="1504">
        <v>41974</v>
      </c>
      <c r="FB247" s="29"/>
      <c r="FC247" s="29"/>
      <c r="FD247" s="29"/>
      <c r="FE247" s="29"/>
      <c r="FF247" s="29"/>
      <c r="FG247" s="29"/>
      <c r="FH247" s="29"/>
      <c r="FI247" s="29"/>
      <c r="FJ247" s="29"/>
      <c r="FK247" s="29">
        <v>180</v>
      </c>
      <c r="FL247" s="1504">
        <v>41974</v>
      </c>
      <c r="FM247" s="19">
        <v>107.11</v>
      </c>
      <c r="FN247" s="93">
        <v>112.4</v>
      </c>
      <c r="FO247" s="93">
        <v>97.93</v>
      </c>
      <c r="FP247" s="93">
        <v>101.84</v>
      </c>
      <c r="FQ247" s="93">
        <v>117.69</v>
      </c>
      <c r="FR247" s="93">
        <v>98.61</v>
      </c>
      <c r="FS247" s="93">
        <v>100.9</v>
      </c>
      <c r="FT247" s="93">
        <v>114.68</v>
      </c>
      <c r="FU247" s="93">
        <v>64.16</v>
      </c>
      <c r="FV247" s="93">
        <v>96.37</v>
      </c>
      <c r="FW247" s="93">
        <v>108.12</v>
      </c>
      <c r="FX247" s="93">
        <v>111.9</v>
      </c>
      <c r="FY247" s="93">
        <v>104.95</v>
      </c>
      <c r="FZ247" s="29">
        <v>180</v>
      </c>
      <c r="GA247" s="1504">
        <v>41974</v>
      </c>
      <c r="GB247" s="19">
        <v>107.11</v>
      </c>
      <c r="GC247" s="93">
        <v>108.91</v>
      </c>
      <c r="GD247" s="93">
        <v>106.08</v>
      </c>
      <c r="GE247" s="93">
        <v>115.14</v>
      </c>
      <c r="GF247" s="93">
        <v>108.9</v>
      </c>
      <c r="GG247" s="99">
        <v>105.13</v>
      </c>
      <c r="GH247" s="93">
        <v>116.69</v>
      </c>
      <c r="GI247" s="93">
        <v>107.75</v>
      </c>
      <c r="GJ247" s="93">
        <v>98.54</v>
      </c>
      <c r="GK247" s="93">
        <v>127.98</v>
      </c>
      <c r="GL247" s="93">
        <v>111.94</v>
      </c>
      <c r="GM247" s="93">
        <v>100.95</v>
      </c>
      <c r="GN247" s="20">
        <v>98.54</v>
      </c>
      <c r="GO247" s="29">
        <v>180</v>
      </c>
      <c r="GP247" s="1504">
        <v>41974</v>
      </c>
      <c r="GQ247" s="181">
        <v>267.72115931738801</v>
      </c>
      <c r="GR247" s="182">
        <v>224.38434880816001</v>
      </c>
      <c r="GS247" s="182">
        <v>230.11805779055601</v>
      </c>
      <c r="GT247" s="182">
        <v>154.960954378141</v>
      </c>
      <c r="GU247" s="182">
        <v>390.95193097122501</v>
      </c>
      <c r="GV247" s="290">
        <v>769.10397475893103</v>
      </c>
      <c r="GW247" s="181">
        <v>350.14950687615902</v>
      </c>
      <c r="GX247" s="182">
        <v>378.58839390748898</v>
      </c>
      <c r="GY247" s="182">
        <v>377.04132202364002</v>
      </c>
      <c r="GZ247" s="182">
        <v>579.912708466862</v>
      </c>
      <c r="HA247" s="182">
        <v>227.00339156681699</v>
      </c>
      <c r="HB247" s="290">
        <v>716.16727204884796</v>
      </c>
      <c r="HC247" s="181">
        <v>1944.0717024021301</v>
      </c>
      <c r="HD247" s="182">
        <v>1964.25865152503</v>
      </c>
      <c r="HE247" s="182">
        <v>2375.7459466145401</v>
      </c>
      <c r="HF247" s="182">
        <v>3150</v>
      </c>
      <c r="HG247" s="182">
        <v>2398.76791256462</v>
      </c>
      <c r="HH247" s="290">
        <v>2696.5035912646799</v>
      </c>
      <c r="HI247" s="19"/>
      <c r="HJ247" s="182">
        <v>867.41649544337099</v>
      </c>
      <c r="HK247" s="182">
        <v>1411.14180576937</v>
      </c>
      <c r="HL247" s="182">
        <v>818.807871646487</v>
      </c>
      <c r="HM247" s="182">
        <v>900</v>
      </c>
      <c r="HN247" s="290">
        <v>2661.7024468587001</v>
      </c>
      <c r="HO247" s="324">
        <v>128.87176218684701</v>
      </c>
      <c r="HP247" s="290">
        <v>89.993576573033593</v>
      </c>
      <c r="HQ247" s="295">
        <v>150.11733763468001</v>
      </c>
      <c r="HR247" s="29">
        <v>180</v>
      </c>
      <c r="HS247" s="1504">
        <v>41974</v>
      </c>
      <c r="HT247" s="179">
        <v>232.73621368408203</v>
      </c>
      <c r="HU247" s="99">
        <v>225.69052505493164</v>
      </c>
      <c r="HV247" s="99">
        <v>205.671142578125</v>
      </c>
      <c r="HW247" s="99">
        <v>160.00000190734863</v>
      </c>
      <c r="HX247" s="99">
        <v>201.66666412353516</v>
      </c>
      <c r="HY247" s="99">
        <v>181.69821275983537</v>
      </c>
      <c r="HZ247" s="99">
        <v>212.35719013214111</v>
      </c>
      <c r="IA247" s="132">
        <v>175.12423366970486</v>
      </c>
      <c r="IB247" s="179">
        <v>187.93102645874023</v>
      </c>
      <c r="IC247" s="99">
        <v>135.73232269287109</v>
      </c>
      <c r="ID247" s="99">
        <v>204.61248016357422</v>
      </c>
      <c r="IE247" s="99">
        <v>156.41935729980469</v>
      </c>
      <c r="IF247" s="99">
        <v>169.97916717529296</v>
      </c>
      <c r="IG247" s="132">
        <v>144.12567901611328</v>
      </c>
      <c r="IH247" s="179">
        <v>101.58405113220215</v>
      </c>
      <c r="II247" s="99">
        <v>184.98718070983887</v>
      </c>
      <c r="IJ247" s="99">
        <v>151.99353218078613</v>
      </c>
      <c r="IK247" s="99">
        <v>142.68952941894531</v>
      </c>
      <c r="IL247" s="99">
        <v>106.27363681793213</v>
      </c>
      <c r="IM247" s="99">
        <v>123.16277694702148</v>
      </c>
      <c r="IN247" s="99">
        <v>142.67137908935547</v>
      </c>
      <c r="IO247" s="132">
        <v>124.68641376495361</v>
      </c>
      <c r="IP247" s="29">
        <v>180</v>
      </c>
      <c r="IQ247" s="179">
        <v>123.59550094604492</v>
      </c>
      <c r="IR247" s="99">
        <v>72.969539642333984</v>
      </c>
      <c r="IS247" s="99">
        <v>111.12388186984592</v>
      </c>
      <c r="IT247" s="99">
        <v>114.6158950805664</v>
      </c>
      <c r="IU247" s="99">
        <v>137.54166564941406</v>
      </c>
      <c r="IV247" s="132">
        <v>84.46078236897786</v>
      </c>
      <c r="IW247" s="29">
        <v>180</v>
      </c>
      <c r="IX247" s="179">
        <v>380</v>
      </c>
      <c r="IY247" s="99">
        <v>365.35615539550781</v>
      </c>
      <c r="IZ247" s="100">
        <f>(((IZ248/IZ249-1)+(IZ249/IZ250-1))/2+1)*IZ248</f>
        <v>455.72187885888138</v>
      </c>
      <c r="JA247" s="99">
        <v>355.5</v>
      </c>
      <c r="JB247" s="99">
        <v>373.75</v>
      </c>
      <c r="JC247" s="99">
        <v>405</v>
      </c>
      <c r="JD247" s="99">
        <v>365</v>
      </c>
      <c r="JE247" s="132">
        <v>362.5</v>
      </c>
      <c r="JF247" s="29">
        <v>180</v>
      </c>
      <c r="JG247" s="179">
        <v>177.63298034667969</v>
      </c>
      <c r="JH247" s="99">
        <v>187.48718070983887</v>
      </c>
      <c r="JI247" s="99">
        <v>174.91259002685547</v>
      </c>
      <c r="JJ247" s="99">
        <v>151.25</v>
      </c>
      <c r="JK247" s="99">
        <v>184.17508697509766</v>
      </c>
      <c r="JL247" s="99">
        <v>135.86397552490234</v>
      </c>
      <c r="JM247" s="99">
        <v>183.65420989990236</v>
      </c>
      <c r="JN247" s="132">
        <v>201.8086576461792</v>
      </c>
      <c r="JO247" s="29">
        <v>180</v>
      </c>
      <c r="JP247" s="179">
        <v>187.96295928955078</v>
      </c>
      <c r="JQ247" s="99">
        <v>87.5</v>
      </c>
      <c r="JR247" s="99">
        <v>142.45976867675782</v>
      </c>
      <c r="JS247" s="100"/>
      <c r="JT247" s="99">
        <v>143.10996704101564</v>
      </c>
      <c r="JU247" s="132">
        <v>104.43048095703125</v>
      </c>
      <c r="JV247" s="29">
        <v>180</v>
      </c>
      <c r="JW247" s="1504">
        <v>41974</v>
      </c>
      <c r="JX247" s="179">
        <v>233</v>
      </c>
      <c r="JY247" s="99">
        <v>267</v>
      </c>
      <c r="JZ247" s="99">
        <v>262</v>
      </c>
      <c r="KA247" s="99">
        <v>274</v>
      </c>
      <c r="KB247" s="99">
        <v>290</v>
      </c>
      <c r="KC247" s="99">
        <v>323</v>
      </c>
      <c r="KD247" s="132">
        <v>358</v>
      </c>
      <c r="KE247" s="29">
        <v>180</v>
      </c>
      <c r="KF247" s="179">
        <v>32</v>
      </c>
      <c r="KG247" s="99">
        <v>32</v>
      </c>
      <c r="KH247" s="99">
        <v>58</v>
      </c>
      <c r="KI247" s="99">
        <v>56</v>
      </c>
      <c r="KJ247" s="99">
        <v>41</v>
      </c>
      <c r="KK247" s="132">
        <v>70</v>
      </c>
      <c r="KL247" s="29">
        <v>180</v>
      </c>
      <c r="KM247" s="179">
        <v>14</v>
      </c>
      <c r="KN247" s="99">
        <v>13</v>
      </c>
      <c r="KO247" s="99">
        <v>35</v>
      </c>
      <c r="KP247" s="99">
        <v>37</v>
      </c>
      <c r="KQ247" s="99">
        <v>23</v>
      </c>
      <c r="KR247" s="132">
        <v>31</v>
      </c>
      <c r="KS247" s="29">
        <v>180</v>
      </c>
      <c r="KT247" s="179">
        <v>23</v>
      </c>
      <c r="KU247" s="99">
        <v>21</v>
      </c>
      <c r="KV247" s="99">
        <v>27</v>
      </c>
      <c r="KW247" s="99">
        <v>28</v>
      </c>
      <c r="KX247" s="99">
        <v>18</v>
      </c>
      <c r="KY247" s="132">
        <v>28</v>
      </c>
      <c r="KZ247" s="29">
        <v>180</v>
      </c>
      <c r="LA247" s="1504">
        <v>41974</v>
      </c>
      <c r="LB247" s="19">
        <v>510</v>
      </c>
      <c r="LC247" s="93">
        <v>740</v>
      </c>
      <c r="LD247" s="93">
        <v>732</v>
      </c>
      <c r="LE247" s="93">
        <v>3600</v>
      </c>
      <c r="LF247" s="93">
        <v>656</v>
      </c>
      <c r="LG247" s="93">
        <v>5000</v>
      </c>
      <c r="LH247" s="20">
        <v>2000</v>
      </c>
      <c r="LI247" s="29">
        <v>180</v>
      </c>
      <c r="LJ247" s="19"/>
      <c r="LK247" s="93"/>
      <c r="LL247" s="93"/>
      <c r="LM247" s="93"/>
      <c r="LN247" s="93"/>
      <c r="LO247" s="20"/>
      <c r="LP247" s="29">
        <v>180</v>
      </c>
      <c r="LQ247" s="19"/>
      <c r="LR247" s="93">
        <v>188</v>
      </c>
      <c r="LS247" s="93">
        <v>445</v>
      </c>
      <c r="LT247" s="93">
        <v>535</v>
      </c>
      <c r="LU247" s="93">
        <v>1070</v>
      </c>
      <c r="LV247" s="93"/>
      <c r="LW247" s="93">
        <v>5</v>
      </c>
      <c r="LX247" s="93">
        <v>10</v>
      </c>
      <c r="LY247" s="93">
        <v>60</v>
      </c>
      <c r="LZ247" s="93"/>
      <c r="MA247" s="20">
        <v>1070</v>
      </c>
      <c r="MB247" s="29">
        <v>180</v>
      </c>
      <c r="MC247" s="1504">
        <v>41974</v>
      </c>
      <c r="MD247" s="19">
        <v>1321.1502848990576</v>
      </c>
      <c r="ME247" s="93">
        <v>1064.7034622399999</v>
      </c>
      <c r="MF247" s="93">
        <v>1064.6918917009998</v>
      </c>
      <c r="MG247" s="93">
        <v>940.68161270199994</v>
      </c>
      <c r="MH247" s="93">
        <v>262.61398456399996</v>
      </c>
      <c r="MI247" s="93">
        <v>7.4071293130000013</v>
      </c>
      <c r="MJ247" s="93">
        <v>9.4240973189999977</v>
      </c>
      <c r="MK247" s="93">
        <v>509.61385328900002</v>
      </c>
      <c r="ML247" s="93">
        <v>143.73793661900001</v>
      </c>
      <c r="MM247" s="93">
        <v>7.8846115979999993</v>
      </c>
      <c r="MN247" s="93">
        <v>124.01027899900001</v>
      </c>
      <c r="MO247" s="93">
        <v>5.174744842</v>
      </c>
      <c r="MP247" s="93">
        <v>27.880988916</v>
      </c>
      <c r="MQ247" s="93">
        <v>4.0965590619999999</v>
      </c>
      <c r="MR247" s="93">
        <v>29.960160069000001</v>
      </c>
      <c r="MS247" s="93">
        <v>56.897826109999997</v>
      </c>
      <c r="MT247" s="93">
        <v>1.1570538999999999E-2</v>
      </c>
      <c r="MU247" s="93">
        <v>256.44682265905783</v>
      </c>
      <c r="MV247" s="93">
        <v>157.51043154844484</v>
      </c>
      <c r="MW247" s="93">
        <v>98.936391110613016</v>
      </c>
      <c r="MX247" s="93">
        <v>1432.2803327666015</v>
      </c>
      <c r="MY247" s="93">
        <v>1438.4144700376014</v>
      </c>
      <c r="MZ247" s="93">
        <v>883.46346036000011</v>
      </c>
      <c r="NA247" s="93">
        <v>437.290600396</v>
      </c>
      <c r="NB247" s="93">
        <v>101.37971481700001</v>
      </c>
      <c r="NC247" s="93">
        <v>44.011188207000004</v>
      </c>
      <c r="ND247" s="93">
        <v>29.312024150999999</v>
      </c>
      <c r="NE247" s="93">
        <v>14.699164056000003</v>
      </c>
      <c r="NF247" s="93">
        <v>300.78195693999999</v>
      </c>
      <c r="NG247" s="93">
        <v>12.345662808</v>
      </c>
      <c r="NH247" s="93">
        <v>76.824511697999995</v>
      </c>
      <c r="NI247" s="93">
        <v>10.89263253</v>
      </c>
      <c r="NJ247" s="93">
        <v>23.630862603999997</v>
      </c>
      <c r="NK247" s="93">
        <v>554.95100967760141</v>
      </c>
      <c r="NL247" s="93">
        <v>330.116741854</v>
      </c>
      <c r="NM247" s="93">
        <v>9.1223277599999992</v>
      </c>
      <c r="NN247" s="93">
        <v>215.7119400636015</v>
      </c>
      <c r="NO247" s="93">
        <v>-6.1341372709999966</v>
      </c>
      <c r="NP247" s="93">
        <v>-111.13004786754367</v>
      </c>
      <c r="NQ247" s="93">
        <v>-367.57687052660157</v>
      </c>
      <c r="NR247" s="93">
        <v>-107.85374225600003</v>
      </c>
      <c r="NS247" s="93">
        <v>-151.86493046300006</v>
      </c>
      <c r="NT247" s="93">
        <v>-34.639061253543851</v>
      </c>
      <c r="NU247" s="93">
        <v>-291.08588391260173</v>
      </c>
      <c r="NV247" s="93">
        <v>38.307845258501047</v>
      </c>
      <c r="NW247" s="93">
        <v>51.414484691701055</v>
      </c>
      <c r="NX247" s="93">
        <v>82.221082700156629</v>
      </c>
      <c r="NY247" s="93">
        <v>-30.806598008455584</v>
      </c>
      <c r="NZ247" s="93">
        <v>0</v>
      </c>
      <c r="OA247" s="93">
        <v>-13.106639433200002</v>
      </c>
      <c r="OB247" s="93">
        <v>-24.918889540999995</v>
      </c>
      <c r="OC247" s="93">
        <v>11.812250107800001</v>
      </c>
      <c r="OD247" s="20">
        <v>0</v>
      </c>
      <c r="OE247" s="29">
        <v>180</v>
      </c>
      <c r="OF247" s="1504">
        <v>41974</v>
      </c>
      <c r="OG247" s="19"/>
      <c r="OH247" s="93">
        <v>227.9272</v>
      </c>
      <c r="OI247" s="93">
        <v>937.54660017831122</v>
      </c>
      <c r="OJ247" s="93">
        <v>0.48905921399999996</v>
      </c>
      <c r="OK247" s="93">
        <v>803.83694096431122</v>
      </c>
      <c r="OL247" s="93">
        <v>133.22060000000002</v>
      </c>
      <c r="OM247" s="93">
        <v>1165.4738001783112</v>
      </c>
      <c r="ON247" s="93">
        <v>919.7915602161504</v>
      </c>
      <c r="OO247" s="93">
        <v>2085.2653603944618</v>
      </c>
      <c r="OP247" s="93"/>
      <c r="OQ247" s="93">
        <v>455.23366628848271</v>
      </c>
      <c r="OR247" s="93">
        <v>-123.11441483199997</v>
      </c>
      <c r="OS247" s="93">
        <v>578.34808112048268</v>
      </c>
      <c r="OT247" s="93">
        <v>1873.6026176049788</v>
      </c>
      <c r="OU247" s="93">
        <v>44.345263255000049</v>
      </c>
      <c r="OV247" s="93">
        <v>-17.222736744999992</v>
      </c>
      <c r="OW247" s="93">
        <v>61.56800000000004</v>
      </c>
      <c r="OX247" s="93">
        <v>1829.2573543499789</v>
      </c>
      <c r="OY247" s="93">
        <v>3.2179342899999996</v>
      </c>
      <c r="OZ247" s="93">
        <v>1826.039420059979</v>
      </c>
      <c r="PA247" s="93">
        <v>345.16269059400003</v>
      </c>
      <c r="PB247" s="93">
        <v>-101.59176709500019</v>
      </c>
      <c r="PC247" s="20">
        <v>2085.2653603944618</v>
      </c>
      <c r="PD247" s="29">
        <v>180</v>
      </c>
      <c r="PE247" s="19"/>
      <c r="PF247" s="93">
        <v>-123.11441483199997</v>
      </c>
      <c r="PG247" s="93">
        <v>349.85708326300005</v>
      </c>
      <c r="PH247" s="93">
        <v>472.97149809500002</v>
      </c>
      <c r="PI247" s="93">
        <v>519.89271555200003</v>
      </c>
      <c r="PJ247" s="93">
        <v>-11.553236744999992</v>
      </c>
      <c r="PK247" s="93">
        <v>128.30774153300001</v>
      </c>
      <c r="PL247" s="93">
        <v>139.860978278</v>
      </c>
      <c r="PM247" s="93">
        <v>3.2179342899999996</v>
      </c>
      <c r="PN247" s="93">
        <v>0</v>
      </c>
      <c r="PO247" s="93">
        <v>0</v>
      </c>
      <c r="PP247" s="93">
        <v>0</v>
      </c>
      <c r="PQ247" s="93">
        <v>3.2179342899999996</v>
      </c>
      <c r="PR247" s="93">
        <v>379.38267097400001</v>
      </c>
      <c r="PS247" s="93">
        <v>285.19569999999999</v>
      </c>
      <c r="PT247" s="93">
        <v>93.697911759999997</v>
      </c>
      <c r="PU247" s="93">
        <v>0.48905921399999996</v>
      </c>
      <c r="PV247" s="93">
        <v>0</v>
      </c>
      <c r="PW247" s="93">
        <v>0.88893658499999995</v>
      </c>
      <c r="PX247" s="93">
        <v>0</v>
      </c>
      <c r="PY247" s="93">
        <v>0</v>
      </c>
      <c r="PZ247" s="93">
        <v>0.88893658499999995</v>
      </c>
      <c r="QA247" s="93">
        <v>0</v>
      </c>
      <c r="QB247" s="93">
        <v>0</v>
      </c>
      <c r="QC247" s="93">
        <v>0</v>
      </c>
      <c r="QD247" s="93">
        <v>5.2317540090000003</v>
      </c>
      <c r="QE247" s="20">
        <v>2.9396366970000001</v>
      </c>
      <c r="QF247" s="1739">
        <v>180</v>
      </c>
      <c r="QG247" s="19"/>
      <c r="QH247" s="1035">
        <v>578.34808112048268</v>
      </c>
      <c r="QI247" s="1035">
        <v>897.57857994002097</v>
      </c>
      <c r="QJ247" s="1035">
        <v>-319.23049881953835</v>
      </c>
      <c r="QK247" s="1035">
        <v>156.928</v>
      </c>
      <c r="QL247" s="1035">
        <v>51.598999999999997</v>
      </c>
      <c r="QM247" s="1035">
        <v>105.32900000000001</v>
      </c>
      <c r="QN247" s="1035">
        <v>0</v>
      </c>
      <c r="QO247" s="1035">
        <v>61.56800000000004</v>
      </c>
      <c r="QP247" s="1035">
        <v>263.58500000000004</v>
      </c>
      <c r="QQ247" s="1035">
        <v>-202.017</v>
      </c>
      <c r="QR247" s="1035">
        <v>1826.039420059979</v>
      </c>
      <c r="QS247" s="1035">
        <v>19.525127420483809</v>
      </c>
      <c r="QT247" s="1035">
        <v>0</v>
      </c>
      <c r="QU247" s="1035">
        <v>198.381</v>
      </c>
      <c r="QV247" s="1035">
        <v>1608.1332926394953</v>
      </c>
      <c r="QW247" s="93"/>
      <c r="QX247" s="93">
        <v>520.10299999999995</v>
      </c>
      <c r="QY247" s="93">
        <v>803.83694096431122</v>
      </c>
      <c r="QZ247" s="93">
        <v>919.7915602161504</v>
      </c>
      <c r="RA247" s="93">
        <v>0</v>
      </c>
      <c r="RB247" s="93">
        <v>44.791999999999994</v>
      </c>
      <c r="RC247" s="93">
        <v>5.5250000000000004</v>
      </c>
      <c r="RD247" s="93">
        <v>14.113</v>
      </c>
      <c r="RE247" s="93">
        <v>0</v>
      </c>
      <c r="RF247" s="93">
        <v>0</v>
      </c>
      <c r="RG247" s="93">
        <v>274.61200000000002</v>
      </c>
      <c r="RH247" s="93">
        <v>40.109999999999957</v>
      </c>
      <c r="RI247" s="93"/>
      <c r="RJ247" s="93"/>
      <c r="RK247" s="93"/>
      <c r="RL247" s="93"/>
      <c r="RM247" s="734"/>
      <c r="RN247" s="29">
        <v>180</v>
      </c>
      <c r="RO247" s="19">
        <v>34</v>
      </c>
      <c r="RP247" s="20"/>
      <c r="RQ247" s="29">
        <v>180</v>
      </c>
      <c r="RR247" s="734">
        <v>2.7389322000000003</v>
      </c>
      <c r="RS247" s="29">
        <v>180</v>
      </c>
      <c r="RT247" s="1504">
        <v>41974</v>
      </c>
      <c r="RU247" s="19"/>
      <c r="RV247" s="20"/>
      <c r="RW247" s="29">
        <v>180</v>
      </c>
      <c r="RX247" s="1504">
        <v>41974</v>
      </c>
      <c r="RY247" s="29"/>
      <c r="RZ247" s="734"/>
      <c r="SA247" s="29"/>
      <c r="SB247" s="29">
        <v>180</v>
      </c>
    </row>
    <row r="248" spans="1:496">
      <c r="A248" s="41">
        <f t="shared" si="208"/>
        <v>2015</v>
      </c>
      <c r="B248" s="1504">
        <v>42005</v>
      </c>
      <c r="C248" s="1813">
        <v>1496</v>
      </c>
      <c r="D248" s="1814">
        <v>22509</v>
      </c>
      <c r="E248" s="1814">
        <v>65</v>
      </c>
      <c r="F248" s="1815">
        <v>331</v>
      </c>
      <c r="G248" s="1814">
        <v>109679</v>
      </c>
      <c r="H248" s="1814">
        <v>26</v>
      </c>
      <c r="I248" s="1814">
        <v>30880</v>
      </c>
      <c r="J248" s="1816">
        <v>14575</v>
      </c>
      <c r="K248" s="1807">
        <v>179561</v>
      </c>
      <c r="L248" s="25">
        <v>181</v>
      </c>
      <c r="M248" s="97"/>
      <c r="N248" s="1504">
        <v>42005</v>
      </c>
      <c r="O248" s="19">
        <v>780</v>
      </c>
      <c r="P248" s="93">
        <v>766</v>
      </c>
      <c r="Q248" s="93">
        <v>10116</v>
      </c>
      <c r="R248" s="93">
        <v>2394</v>
      </c>
      <c r="S248" s="93">
        <v>1305</v>
      </c>
      <c r="T248" s="93">
        <v>1006</v>
      </c>
      <c r="U248" s="93">
        <v>355</v>
      </c>
      <c r="V248" s="93">
        <v>1554</v>
      </c>
      <c r="W248" s="93">
        <v>3985</v>
      </c>
      <c r="X248" s="93">
        <v>812</v>
      </c>
      <c r="Y248" s="93">
        <v>256</v>
      </c>
      <c r="Z248" s="93">
        <v>813</v>
      </c>
      <c r="AA248" s="93">
        <v>761</v>
      </c>
      <c r="AB248" s="132">
        <v>24903</v>
      </c>
      <c r="AC248" s="25">
        <v>181</v>
      </c>
      <c r="AD248" s="97"/>
      <c r="AE248" s="1504">
        <v>42005</v>
      </c>
      <c r="AF248" s="19">
        <v>2560</v>
      </c>
      <c r="AG248" s="93">
        <v>590</v>
      </c>
      <c r="AH248" s="93">
        <v>6125</v>
      </c>
      <c r="AI248" s="93">
        <v>3563</v>
      </c>
      <c r="AJ248" s="93">
        <v>2662</v>
      </c>
      <c r="AK248" s="93">
        <v>2198</v>
      </c>
      <c r="AL248" s="93">
        <v>1009</v>
      </c>
      <c r="AM248" s="93">
        <v>1848</v>
      </c>
      <c r="AN248" s="93">
        <v>5170</v>
      </c>
      <c r="AO248" s="93">
        <v>2144</v>
      </c>
      <c r="AP248" s="93">
        <v>789</v>
      </c>
      <c r="AQ248" s="93">
        <v>2314</v>
      </c>
      <c r="AR248" s="93">
        <v>951</v>
      </c>
      <c r="AS248" s="20">
        <v>31923</v>
      </c>
      <c r="AT248" s="25">
        <v>181</v>
      </c>
      <c r="AU248" s="97"/>
      <c r="AV248" s="1504">
        <v>42005</v>
      </c>
      <c r="AW248" s="19">
        <v>8773</v>
      </c>
      <c r="AX248" s="93">
        <v>2501</v>
      </c>
      <c r="AY248" s="93">
        <v>4373</v>
      </c>
      <c r="AZ248" s="93">
        <v>28584</v>
      </c>
      <c r="BA248" s="93">
        <v>9472</v>
      </c>
      <c r="BB248" s="93">
        <v>7660</v>
      </c>
      <c r="BC248" s="93">
        <v>4064</v>
      </c>
      <c r="BD248" s="93">
        <v>11244</v>
      </c>
      <c r="BE248" s="93">
        <v>10915</v>
      </c>
      <c r="BF248" s="93">
        <v>6307</v>
      </c>
      <c r="BG248" s="93">
        <v>3801</v>
      </c>
      <c r="BH248" s="93">
        <v>10186</v>
      </c>
      <c r="BI248" s="93">
        <v>3305</v>
      </c>
      <c r="BJ248" s="20">
        <v>111185</v>
      </c>
      <c r="BK248" s="25">
        <v>181</v>
      </c>
      <c r="BL248" s="97"/>
      <c r="BM248" s="1504">
        <v>42005</v>
      </c>
      <c r="BN248" s="19">
        <v>72.471000000000004</v>
      </c>
      <c r="BO248" s="93">
        <v>2315.2570000000001</v>
      </c>
      <c r="BP248" s="93">
        <v>15.168000000000001</v>
      </c>
      <c r="BQ248" s="93">
        <v>720.15200000000004</v>
      </c>
      <c r="BR248" s="93">
        <v>4.4370000000000003</v>
      </c>
      <c r="BS248" s="93">
        <v>266.15699999999998</v>
      </c>
      <c r="BT248" s="93">
        <v>370.48800000000006</v>
      </c>
      <c r="BU248" s="132">
        <v>3764.13</v>
      </c>
      <c r="BV248" s="25">
        <v>181</v>
      </c>
      <c r="BW248" s="97"/>
      <c r="BX248" s="1504">
        <v>42005</v>
      </c>
      <c r="BY248" s="179">
        <v>563.6</v>
      </c>
      <c r="BZ248" s="99">
        <v>664.95699999999999</v>
      </c>
      <c r="CA248" s="99">
        <v>617.75793446629996</v>
      </c>
      <c r="CB248" s="99">
        <v>48.728999999999999</v>
      </c>
      <c r="CC248" s="99">
        <v>175.15</v>
      </c>
      <c r="CD248" s="25">
        <v>181</v>
      </c>
      <c r="CE248" s="97"/>
      <c r="CF248" s="1504">
        <v>42005</v>
      </c>
      <c r="CG248" s="1508">
        <v>1.48481157</v>
      </c>
      <c r="CH248" s="568">
        <v>1250.75</v>
      </c>
      <c r="CI248" s="1708">
        <v>47.106666666666698</v>
      </c>
      <c r="CJ248" s="1509">
        <v>48.07</v>
      </c>
      <c r="CK248" s="1508">
        <v>418.55</v>
      </c>
      <c r="CL248" s="568">
        <v>174.70731040000001</v>
      </c>
      <c r="CM248" s="568">
        <v>0.338188708</v>
      </c>
      <c r="CN248" s="568">
        <v>0.38031177599999999</v>
      </c>
      <c r="CO248" s="1710">
        <v>248.3872092</v>
      </c>
      <c r="CP248" s="1509">
        <v>5.2979223219999998</v>
      </c>
      <c r="CQ248" s="1708">
        <v>1350.33</v>
      </c>
      <c r="CR248" s="568">
        <v>2.3199999999999998</v>
      </c>
      <c r="CS248" s="568">
        <v>1.6633</v>
      </c>
      <c r="CT248" s="568">
        <v>119.5</v>
      </c>
      <c r="CU248" s="568">
        <v>68.23</v>
      </c>
      <c r="CV248" s="1709">
        <v>2113.0500000000002</v>
      </c>
      <c r="CW248" s="29">
        <v>181</v>
      </c>
      <c r="CX248" s="41">
        <f t="shared" si="209"/>
        <v>2015</v>
      </c>
      <c r="CY248" s="1504">
        <v>42005</v>
      </c>
      <c r="CZ248" s="1916">
        <v>93.475638664108018</v>
      </c>
      <c r="DA248" s="1526">
        <v>56.923431664108016</v>
      </c>
      <c r="DB248" s="1526">
        <v>36.552207000000003</v>
      </c>
      <c r="DC248" s="182">
        <f t="shared" ref="DC248:DC258" si="225">DC249</f>
        <v>544825</v>
      </c>
      <c r="DD248" s="182">
        <f t="shared" ref="DD248:DD258" si="226">DD249</f>
        <v>543327</v>
      </c>
      <c r="DE248" s="182">
        <f t="shared" ref="DE248:DE258" si="227">DE249</f>
        <v>1498</v>
      </c>
      <c r="DF248" s="29">
        <v>181</v>
      </c>
      <c r="DG248" s="1504">
        <v>42005</v>
      </c>
      <c r="DH248" s="181">
        <v>298974</v>
      </c>
      <c r="DI248" s="182"/>
      <c r="DJ248" s="182"/>
      <c r="DK248" s="182"/>
      <c r="DL248" s="182"/>
      <c r="DM248" s="182"/>
      <c r="DN248" s="290"/>
      <c r="DO248" s="295"/>
      <c r="DP248" s="29">
        <v>181</v>
      </c>
      <c r="DQ248" s="1504">
        <v>42005</v>
      </c>
      <c r="DR248" s="19"/>
      <c r="DS248" s="93"/>
      <c r="DT248" s="93"/>
      <c r="DU248" s="93"/>
      <c r="DV248" s="93"/>
      <c r="DW248" s="93"/>
      <c r="DX248" s="1719"/>
      <c r="DY248" s="29">
        <v>181</v>
      </c>
      <c r="DZ248" s="1504">
        <v>42005</v>
      </c>
      <c r="EA248" s="19"/>
      <c r="EB248" s="93"/>
      <c r="EC248" s="20"/>
      <c r="ED248" s="29"/>
      <c r="EE248" s="1504">
        <v>42005</v>
      </c>
      <c r="EF248" s="179">
        <v>15913</v>
      </c>
      <c r="EG248" s="99">
        <v>18973</v>
      </c>
      <c r="EH248" s="99">
        <v>34886</v>
      </c>
      <c r="EI248" s="221">
        <v>7131</v>
      </c>
      <c r="EJ248" s="99">
        <v>411.76</v>
      </c>
      <c r="EK248" s="99">
        <v>299.90899999999999</v>
      </c>
      <c r="EL248" s="99">
        <v>4.8339999999999996</v>
      </c>
      <c r="EM248" s="99">
        <v>3.0710000000000002</v>
      </c>
      <c r="EN248" s="132">
        <v>719.57399999999996</v>
      </c>
      <c r="EO248" s="29">
        <v>181</v>
      </c>
      <c r="EP248" s="1504">
        <v>42005</v>
      </c>
      <c r="EQ248" s="19">
        <v>15714</v>
      </c>
      <c r="ER248" s="93">
        <v>18789</v>
      </c>
      <c r="ES248" s="93">
        <v>34503</v>
      </c>
      <c r="ET248" s="214">
        <v>7131</v>
      </c>
      <c r="EU248" s="93">
        <v>411.76</v>
      </c>
      <c r="EV248" s="93">
        <v>299.90899999999999</v>
      </c>
      <c r="EW248" s="93">
        <v>4.8339999999999996</v>
      </c>
      <c r="EX248" s="93">
        <v>3.0710000000000002</v>
      </c>
      <c r="EY248" s="20">
        <v>719.57399999999996</v>
      </c>
      <c r="EZ248" s="29">
        <v>181</v>
      </c>
      <c r="FA248" s="1504">
        <v>42005</v>
      </c>
      <c r="FB248" s="29"/>
      <c r="FC248" s="29"/>
      <c r="FD248" s="29"/>
      <c r="FE248" s="29"/>
      <c r="FF248" s="29"/>
      <c r="FG248" s="29"/>
      <c r="FH248" s="29"/>
      <c r="FI248" s="29"/>
      <c r="FJ248" s="29"/>
      <c r="FK248" s="29">
        <v>181</v>
      </c>
      <c r="FL248" s="1504">
        <v>42005</v>
      </c>
      <c r="FM248" s="19">
        <v>99.78</v>
      </c>
      <c r="FN248" s="93">
        <v>99.07</v>
      </c>
      <c r="FO248" s="93">
        <v>101.27</v>
      </c>
      <c r="FP248" s="93">
        <v>101.37</v>
      </c>
      <c r="FQ248" s="93">
        <v>99.3</v>
      </c>
      <c r="FR248" s="93">
        <v>100.1</v>
      </c>
      <c r="FS248" s="93">
        <v>100.05</v>
      </c>
      <c r="FT248" s="93">
        <v>99.87</v>
      </c>
      <c r="FU248" s="93">
        <v>99.91</v>
      </c>
      <c r="FV248" s="93">
        <v>99.84</v>
      </c>
      <c r="FW248" s="93">
        <v>101.34</v>
      </c>
      <c r="FX248" s="93">
        <v>98.57</v>
      </c>
      <c r="FY248" s="93">
        <v>100.59</v>
      </c>
      <c r="FZ248" s="29">
        <v>181</v>
      </c>
      <c r="GA248" s="1504">
        <v>42005</v>
      </c>
      <c r="GB248" s="19">
        <v>99.78</v>
      </c>
      <c r="GC248" s="93">
        <v>101.13</v>
      </c>
      <c r="GD248" s="93">
        <v>99.44</v>
      </c>
      <c r="GE248" s="93">
        <v>99.1</v>
      </c>
      <c r="GF248" s="93">
        <v>99.48</v>
      </c>
      <c r="GG248" s="99">
        <v>100.04</v>
      </c>
      <c r="GH248" s="93">
        <v>98.69</v>
      </c>
      <c r="GI248" s="93">
        <v>100.5</v>
      </c>
      <c r="GJ248" s="93">
        <v>100.14</v>
      </c>
      <c r="GK248" s="93">
        <v>100.19</v>
      </c>
      <c r="GL248" s="93">
        <v>99.58</v>
      </c>
      <c r="GM248" s="93">
        <v>100.72</v>
      </c>
      <c r="GN248" s="20">
        <v>100.14</v>
      </c>
      <c r="GO248" s="29">
        <v>181</v>
      </c>
      <c r="GP248" s="1504">
        <v>42005</v>
      </c>
      <c r="GQ248" s="181">
        <v>235.87500949375499</v>
      </c>
      <c r="GR248" s="182">
        <v>202.12537847936801</v>
      </c>
      <c r="GS248" s="182">
        <v>199.565306226969</v>
      </c>
      <c r="GT248" s="182">
        <v>160.57433003972699</v>
      </c>
      <c r="GU248" s="182">
        <v>373.06497426676901</v>
      </c>
      <c r="GV248" s="290">
        <v>835.90400087882097</v>
      </c>
      <c r="GW248" s="181">
        <v>308.56651105025702</v>
      </c>
      <c r="GX248" s="182">
        <v>336.703346177546</v>
      </c>
      <c r="GY248" s="182">
        <v>266.757687223392</v>
      </c>
      <c r="GZ248" s="182">
        <v>447.76142896391701</v>
      </c>
      <c r="HA248" s="182">
        <v>184.54631533530201</v>
      </c>
      <c r="HB248" s="290">
        <v>950.05050564327996</v>
      </c>
      <c r="HC248" s="181">
        <v>1664.6503151192801</v>
      </c>
      <c r="HD248" s="182">
        <v>2338.6044715565699</v>
      </c>
      <c r="HE248" s="182">
        <v>2299.0980881410801</v>
      </c>
      <c r="HF248" s="182">
        <v>3150</v>
      </c>
      <c r="HG248" s="182">
        <v>2487.7389295442299</v>
      </c>
      <c r="HH248" s="290">
        <v>2800.5381204291798</v>
      </c>
      <c r="HI248" s="19"/>
      <c r="HJ248" s="182">
        <v>777.44179809987099</v>
      </c>
      <c r="HK248" s="182">
        <v>1439.1887685710701</v>
      </c>
      <c r="HL248" s="182">
        <v>951.32921021887398</v>
      </c>
      <c r="HM248" s="182">
        <v>839.58333333333303</v>
      </c>
      <c r="HN248" s="290">
        <v>1958.7041385448199</v>
      </c>
      <c r="HO248" s="324">
        <v>118.629473505679</v>
      </c>
      <c r="HP248" s="290">
        <v>90.087563354136293</v>
      </c>
      <c r="HQ248" s="295">
        <v>189.50379616852601</v>
      </c>
      <c r="HR248" s="29">
        <v>181</v>
      </c>
      <c r="HS248" s="1504">
        <v>42005</v>
      </c>
      <c r="HT248" s="179">
        <v>208.85457833607992</v>
      </c>
      <c r="HU248" s="99">
        <v>209.04330117361886</v>
      </c>
      <c r="HV248" s="99">
        <v>173.50044389204547</v>
      </c>
      <c r="HW248" s="99">
        <v>142.59709320068359</v>
      </c>
      <c r="HX248" s="99">
        <v>181.74242401123047</v>
      </c>
      <c r="HY248" s="99">
        <v>192.9683390530673</v>
      </c>
      <c r="HZ248" s="99">
        <v>221.32156735374815</v>
      </c>
      <c r="IA248" s="132">
        <v>167.06425040108817</v>
      </c>
      <c r="IB248" s="179">
        <v>189.20254480271112</v>
      </c>
      <c r="IC248" s="99">
        <v>133.44958937795539</v>
      </c>
      <c r="ID248" s="99">
        <v>178.57143402099609</v>
      </c>
      <c r="IE248" s="99">
        <v>140.97790728117289</v>
      </c>
      <c r="IF248" s="99">
        <v>186.35746903852984</v>
      </c>
      <c r="IG248" s="132">
        <v>150.88295745849609</v>
      </c>
      <c r="IH248" s="179">
        <v>125.99097331364949</v>
      </c>
      <c r="II248" s="99">
        <v>191.71458930969237</v>
      </c>
      <c r="IJ248" s="99">
        <v>148.37528610229492</v>
      </c>
      <c r="IK248" s="99">
        <v>153.07391010631216</v>
      </c>
      <c r="IL248" s="99">
        <v>140.13289971785113</v>
      </c>
      <c r="IM248" s="99">
        <v>141.14977119082496</v>
      </c>
      <c r="IN248" s="99">
        <v>161.05232238769531</v>
      </c>
      <c r="IO248" s="132">
        <v>164.03445834205263</v>
      </c>
      <c r="IP248" s="29">
        <v>181</v>
      </c>
      <c r="IQ248" s="179">
        <v>157.47535497492009</v>
      </c>
      <c r="IR248" s="99">
        <v>97.521230998792149</v>
      </c>
      <c r="IS248" s="99">
        <v>113.1465482711792</v>
      </c>
      <c r="IT248" s="99">
        <v>118.71147651672364</v>
      </c>
      <c r="IU248" s="99">
        <v>151.22472554987127</v>
      </c>
      <c r="IV248" s="132">
        <v>119.75494731556286</v>
      </c>
      <c r="IW248" s="29">
        <v>181</v>
      </c>
      <c r="IX248" s="179">
        <v>368.45878092447919</v>
      </c>
      <c r="IY248" s="99">
        <v>389.95699652526605</v>
      </c>
      <c r="IZ248" s="99">
        <v>450</v>
      </c>
      <c r="JA248" s="99">
        <v>375</v>
      </c>
      <c r="JB248" s="99">
        <v>380</v>
      </c>
      <c r="JC248" s="99">
        <v>400</v>
      </c>
      <c r="JD248" s="99">
        <v>390</v>
      </c>
      <c r="JE248" s="132">
        <v>400</v>
      </c>
      <c r="JF248" s="29">
        <v>181</v>
      </c>
      <c r="JG248" s="179">
        <v>151.17568639119466</v>
      </c>
      <c r="JH248" s="99">
        <v>176.475660778227</v>
      </c>
      <c r="JI248" s="99">
        <v>148.96186174665178</v>
      </c>
      <c r="JJ248" s="99">
        <v>114.62882118225097</v>
      </c>
      <c r="JK248" s="99">
        <v>155.86473614236584</v>
      </c>
      <c r="JL248" s="99">
        <v>141.24297714233398</v>
      </c>
      <c r="JM248" s="99">
        <v>156.18655039469402</v>
      </c>
      <c r="JN248" s="132">
        <v>199.78251751986417</v>
      </c>
      <c r="JO248" s="29">
        <v>181</v>
      </c>
      <c r="JP248" s="179">
        <v>186.05459317294034</v>
      </c>
      <c r="JQ248" s="99">
        <v>100.05962181091309</v>
      </c>
      <c r="JR248" s="99">
        <v>151.34098815917969</v>
      </c>
      <c r="JS248" s="99">
        <v>120.36853899274554</v>
      </c>
      <c r="JT248" s="99">
        <v>149.12149533358487</v>
      </c>
      <c r="JU248" s="132">
        <v>116.82615956393155</v>
      </c>
      <c r="JV248" s="29">
        <v>181</v>
      </c>
      <c r="JW248" s="1504">
        <v>42005</v>
      </c>
      <c r="JX248" s="419">
        <f>(((JX247/JX246-1)+(JX246/JX245-1))^1/2+1)*JX247</f>
        <v>221.03625498646247</v>
      </c>
      <c r="JY248" s="100">
        <f t="shared" ref="JY248:KD248" si="228">(((JY247/JY246-1)+(JY246/JY245-1))^1/2+1)*JY247</f>
        <v>273.75150487945763</v>
      </c>
      <c r="JZ248" s="100">
        <f t="shared" si="228"/>
        <v>266.93248320307146</v>
      </c>
      <c r="KA248" s="100">
        <f t="shared" si="228"/>
        <v>267.72598753637305</v>
      </c>
      <c r="KB248" s="100">
        <f t="shared" si="228"/>
        <v>287.6566006206732</v>
      </c>
      <c r="KC248" s="100">
        <f t="shared" si="228"/>
        <v>332.43819312400433</v>
      </c>
      <c r="KD248" s="306">
        <f t="shared" si="228"/>
        <v>358.54413356251592</v>
      </c>
      <c r="KE248" s="29">
        <v>181</v>
      </c>
      <c r="KF248" s="100">
        <f t="shared" ref="KF248:KK249" si="229">(((KF247/KF246-1)+(KF246/KF245-1))^1/2+1)*KF247</f>
        <v>29.921534437663468</v>
      </c>
      <c r="KG248" s="100">
        <f t="shared" si="229"/>
        <v>32</v>
      </c>
      <c r="KH248" s="100">
        <f t="shared" si="229"/>
        <v>53.588476374156222</v>
      </c>
      <c r="KI248" s="100">
        <f t="shared" si="229"/>
        <v>50.934046345811055</v>
      </c>
      <c r="KJ248" s="100">
        <f t="shared" si="229"/>
        <v>35.734702093397743</v>
      </c>
      <c r="KK248" s="306">
        <f t="shared" si="229"/>
        <v>69.507042253521121</v>
      </c>
      <c r="KL248" s="29">
        <v>181</v>
      </c>
      <c r="KM248" s="100">
        <f>(((KM247/KM246-1)+(KM246/KM245-1))^1/2+1)*KM247</f>
        <v>13.533333333333333</v>
      </c>
      <c r="KN248" s="100">
        <f t="shared" ref="KN248:KT249" si="230">(((KN247/KN246-1)+(KN246/KN245-1))^1/2+1)*KN247</f>
        <v>13.041666666666666</v>
      </c>
      <c r="KO248" s="100">
        <f t="shared" si="230"/>
        <v>35.598171701112875</v>
      </c>
      <c r="KP248" s="100">
        <f t="shared" si="230"/>
        <v>36.538124156545209</v>
      </c>
      <c r="KQ248" s="100">
        <f t="shared" si="230"/>
        <v>20.48342175066313</v>
      </c>
      <c r="KR248" s="306">
        <f t="shared" si="230"/>
        <v>31.81190476190476</v>
      </c>
      <c r="KS248" s="29">
        <v>181</v>
      </c>
      <c r="KT248" s="100">
        <f t="shared" si="230"/>
        <v>22.564393939393938</v>
      </c>
      <c r="KU248" s="100">
        <f t="shared" ref="KU248:KY249" si="231">(((KU247/KU246-1)+(KU246/KU245-1))^1/2+1)*KU247</f>
        <v>22.750000000000004</v>
      </c>
      <c r="KV248" s="100">
        <f t="shared" si="231"/>
        <v>28.080000000000002</v>
      </c>
      <c r="KW248" s="100">
        <f t="shared" si="231"/>
        <v>28</v>
      </c>
      <c r="KX248" s="100">
        <f t="shared" si="231"/>
        <v>17.526315789473681</v>
      </c>
      <c r="KY248" s="100">
        <f t="shared" si="231"/>
        <v>28.518518518518519</v>
      </c>
      <c r="KZ248" s="29">
        <v>181</v>
      </c>
      <c r="LA248" s="1504">
        <v>42005</v>
      </c>
      <c r="LB248" s="19">
        <v>485</v>
      </c>
      <c r="LC248" s="93">
        <v>715</v>
      </c>
      <c r="LD248" s="93">
        <v>707</v>
      </c>
      <c r="LE248" s="93">
        <v>3600</v>
      </c>
      <c r="LF248" s="93">
        <v>631</v>
      </c>
      <c r="LG248" s="93">
        <v>5000</v>
      </c>
      <c r="LH248" s="20">
        <v>2000</v>
      </c>
      <c r="LI248" s="29">
        <v>181</v>
      </c>
      <c r="LJ248" s="19"/>
      <c r="LK248" s="93"/>
      <c r="LL248" s="93"/>
      <c r="LM248" s="93"/>
      <c r="LN248" s="93"/>
      <c r="LO248" s="20"/>
      <c r="LP248" s="29">
        <v>181</v>
      </c>
      <c r="LQ248" s="19"/>
      <c r="LR248" s="93">
        <v>188</v>
      </c>
      <c r="LS248" s="93">
        <v>445</v>
      </c>
      <c r="LT248" s="93">
        <v>535</v>
      </c>
      <c r="LU248" s="93">
        <v>1070</v>
      </c>
      <c r="LV248" s="93"/>
      <c r="LW248" s="93">
        <v>5</v>
      </c>
      <c r="LX248" s="93">
        <v>10</v>
      </c>
      <c r="LY248" s="93">
        <v>60</v>
      </c>
      <c r="LZ248" s="93"/>
      <c r="MA248" s="20">
        <v>1070</v>
      </c>
      <c r="MB248" s="29">
        <v>181</v>
      </c>
      <c r="MC248" s="1504">
        <v>42005</v>
      </c>
      <c r="MD248" s="19">
        <v>100.13175129887055</v>
      </c>
      <c r="ME248" s="93">
        <v>96.524561656999992</v>
      </c>
      <c r="MF248" s="93">
        <v>96.524561656999992</v>
      </c>
      <c r="MG248" s="93">
        <v>91.259036436999992</v>
      </c>
      <c r="MH248" s="93">
        <v>37.621762419</v>
      </c>
      <c r="MI248" s="93">
        <v>0.75188390399999994</v>
      </c>
      <c r="MJ248" s="93">
        <v>0.56279428700000012</v>
      </c>
      <c r="MK248" s="93">
        <v>41.552595492999998</v>
      </c>
      <c r="ML248" s="93">
        <v>10.148857894999999</v>
      </c>
      <c r="MM248" s="93">
        <v>0.62114243899999988</v>
      </c>
      <c r="MN248" s="93">
        <v>5.2655252200000007</v>
      </c>
      <c r="MO248" s="93">
        <v>0.38006513600000003</v>
      </c>
      <c r="MP248" s="93">
        <v>2.2698930490000007</v>
      </c>
      <c r="MQ248" s="93">
        <v>5.4171042000000003E-2</v>
      </c>
      <c r="MR248" s="93">
        <v>7.2765500000000001E-4</v>
      </c>
      <c r="MS248" s="93">
        <v>2.5606683380000002</v>
      </c>
      <c r="MT248" s="93">
        <v>0</v>
      </c>
      <c r="MU248" s="93">
        <v>3.6071896418705602</v>
      </c>
      <c r="MV248" s="93">
        <v>0.98336164187055985</v>
      </c>
      <c r="MW248" s="93">
        <v>2.623828</v>
      </c>
      <c r="MX248" s="93">
        <v>55.645812818323215</v>
      </c>
      <c r="MY248" s="93">
        <v>57.465789450323214</v>
      </c>
      <c r="MZ248" s="93">
        <v>52.360684980000002</v>
      </c>
      <c r="NA248" s="93">
        <v>35.030414182999998</v>
      </c>
      <c r="NB248" s="93">
        <v>6.4850021490000005</v>
      </c>
      <c r="NC248" s="93">
        <v>0.40787944199999998</v>
      </c>
      <c r="ND248" s="93">
        <v>0</v>
      </c>
      <c r="NE248" s="93">
        <v>0.40787944199999998</v>
      </c>
      <c r="NF248" s="93">
        <v>10.437389206000001</v>
      </c>
      <c r="NG248" s="93">
        <v>0</v>
      </c>
      <c r="NH248" s="93">
        <v>2.35E-2</v>
      </c>
      <c r="NI248" s="93">
        <v>0</v>
      </c>
      <c r="NJ248" s="93">
        <v>0</v>
      </c>
      <c r="NK248" s="93">
        <v>5.1051044703232105</v>
      </c>
      <c r="NL248" s="93">
        <v>1.1914018040000001</v>
      </c>
      <c r="NM248" s="93">
        <v>0</v>
      </c>
      <c r="NN248" s="93">
        <v>3.9137026663232102</v>
      </c>
      <c r="NO248" s="93">
        <v>-1.8199766320000026</v>
      </c>
      <c r="NP248" s="93">
        <v>44.485938480547333</v>
      </c>
      <c r="NQ248" s="93">
        <v>40.878748838676771</v>
      </c>
      <c r="NR248" s="93">
        <v>45.200330946999983</v>
      </c>
      <c r="NS248" s="93">
        <v>44.792451504999981</v>
      </c>
      <c r="NT248" s="93">
        <v>-23.448342007452645</v>
      </c>
      <c r="NU248" s="93">
        <v>-27.055531649323203</v>
      </c>
      <c r="NV248" s="93">
        <v>22.33500777745266</v>
      </c>
      <c r="NW248" s="93">
        <v>2.2719443614526504</v>
      </c>
      <c r="NX248" s="93">
        <v>2.9303410244526504</v>
      </c>
      <c r="NY248" s="93">
        <v>-0.65839666299999999</v>
      </c>
      <c r="NZ248" s="93">
        <v>0</v>
      </c>
      <c r="OA248" s="93">
        <v>20.063063416000009</v>
      </c>
      <c r="OB248" s="93">
        <v>16.511980316000006</v>
      </c>
      <c r="OC248" s="93">
        <v>3.5510830999999996</v>
      </c>
      <c r="OD248" s="20">
        <v>0</v>
      </c>
      <c r="OE248" s="29">
        <v>181</v>
      </c>
      <c r="OF248" s="1504">
        <v>42005</v>
      </c>
      <c r="OG248" s="19"/>
      <c r="OH248" s="93">
        <v>205.40639293800001</v>
      </c>
      <c r="OI248" s="93">
        <v>920.48933916876376</v>
      </c>
      <c r="OJ248" s="93">
        <v>0.50888911999999997</v>
      </c>
      <c r="OK248" s="93">
        <v>779.05922600776375</v>
      </c>
      <c r="OL248" s="93">
        <v>140.92122404100002</v>
      </c>
      <c r="OM248" s="93">
        <v>1125.8957321067637</v>
      </c>
      <c r="ON248" s="93">
        <v>931.87517945792524</v>
      </c>
      <c r="OO248" s="93">
        <v>2057.770911564689</v>
      </c>
      <c r="OP248" s="93"/>
      <c r="OQ248" s="93">
        <v>423.44495021019839</v>
      </c>
      <c r="OR248" s="93">
        <v>-164.022817514</v>
      </c>
      <c r="OS248" s="93">
        <v>587.46776772419821</v>
      </c>
      <c r="OT248" s="93">
        <v>1891.7938332254914</v>
      </c>
      <c r="OU248" s="93">
        <v>33.227284192999981</v>
      </c>
      <c r="OV248" s="93">
        <v>-19.06471580700002</v>
      </c>
      <c r="OW248" s="93">
        <v>52.292000000000002</v>
      </c>
      <c r="OX248" s="93">
        <v>1858.5665490324914</v>
      </c>
      <c r="OY248" s="93">
        <v>3.9739112909999998</v>
      </c>
      <c r="OZ248" s="93">
        <v>1854.5926377414912</v>
      </c>
      <c r="PA248" s="93">
        <v>347.01617886600002</v>
      </c>
      <c r="PB248" s="93">
        <v>-89.548306995000132</v>
      </c>
      <c r="PC248" s="20">
        <v>2057.7709115646899</v>
      </c>
      <c r="PD248" s="29">
        <v>181</v>
      </c>
      <c r="PE248" s="19"/>
      <c r="PF248" s="93">
        <v>-164.022817514</v>
      </c>
      <c r="PG248" s="93">
        <v>345.09115803099996</v>
      </c>
      <c r="PH248" s="93">
        <v>509.11397554499996</v>
      </c>
      <c r="PI248" s="93">
        <v>531.37456250000002</v>
      </c>
      <c r="PJ248" s="93">
        <v>-13.395208745000019</v>
      </c>
      <c r="PK248" s="93">
        <v>127.80377317</v>
      </c>
      <c r="PL248" s="93">
        <v>141.19898191500002</v>
      </c>
      <c r="PM248" s="93">
        <v>3.9739112909999998</v>
      </c>
      <c r="PN248" s="93">
        <v>0.6</v>
      </c>
      <c r="PO248" s="93">
        <v>0</v>
      </c>
      <c r="PP248" s="93">
        <v>8.8861300000000001E-4</v>
      </c>
      <c r="PQ248" s="93">
        <v>3.3730226779999999</v>
      </c>
      <c r="PR248" s="93">
        <v>355.389400932</v>
      </c>
      <c r="PS248" s="93">
        <v>260.52390000000003</v>
      </c>
      <c r="PT248" s="93">
        <v>94.356611811999997</v>
      </c>
      <c r="PU248" s="93">
        <v>0.50888911999999997</v>
      </c>
      <c r="PV248" s="93">
        <v>0</v>
      </c>
      <c r="PW248" s="93">
        <v>4.3806148489999996</v>
      </c>
      <c r="PX248" s="93">
        <v>0</v>
      </c>
      <c r="PY248" s="93">
        <v>0</v>
      </c>
      <c r="PZ248" s="93">
        <v>4.3806148489999996</v>
      </c>
      <c r="QA248" s="93">
        <v>0</v>
      </c>
      <c r="QB248" s="93">
        <v>0</v>
      </c>
      <c r="QC248" s="93">
        <v>0</v>
      </c>
      <c r="QD248" s="93">
        <v>-1.103435983</v>
      </c>
      <c r="QE248" s="20">
        <v>-0.7361322659999926</v>
      </c>
      <c r="QF248" s="1739">
        <v>181</v>
      </c>
      <c r="QG248" s="19"/>
      <c r="QH248" s="1035">
        <v>587.46776772419821</v>
      </c>
      <c r="QI248" s="1035">
        <v>869.38936225850898</v>
      </c>
      <c r="QJ248" s="1035">
        <v>-281.92159453431071</v>
      </c>
      <c r="QK248" s="1035">
        <v>141.745</v>
      </c>
      <c r="QL248" s="1035">
        <v>49.448</v>
      </c>
      <c r="QM248" s="1035">
        <v>92.297000000000011</v>
      </c>
      <c r="QN248" s="1035">
        <v>0</v>
      </c>
      <c r="QO248" s="1035">
        <v>52.292000000000002</v>
      </c>
      <c r="QP248" s="1035">
        <v>239.98499999999999</v>
      </c>
      <c r="QQ248" s="1035">
        <v>-187.69299999999998</v>
      </c>
      <c r="QR248" s="1035">
        <v>1854.5926377414912</v>
      </c>
      <c r="QS248" s="1035">
        <v>19.69613314284652</v>
      </c>
      <c r="QT248" s="1035">
        <v>0</v>
      </c>
      <c r="QU248" s="1035">
        <v>209.17400000000001</v>
      </c>
      <c r="QV248" s="1035">
        <v>1625.7225045986447</v>
      </c>
      <c r="QW248" s="93"/>
      <c r="QX248" s="93">
        <v>532.37699999999995</v>
      </c>
      <c r="QY248" s="93">
        <v>779.05922600776387</v>
      </c>
      <c r="QZ248" s="93">
        <v>931.87517945792524</v>
      </c>
      <c r="RA248" s="93">
        <v>0</v>
      </c>
      <c r="RB248" s="93">
        <v>44.091999999999999</v>
      </c>
      <c r="RC248" s="93">
        <v>5.556</v>
      </c>
      <c r="RD248" s="93">
        <v>16.484000000000002</v>
      </c>
      <c r="RE248" s="93">
        <v>0</v>
      </c>
      <c r="RF248" s="93">
        <v>0</v>
      </c>
      <c r="RG248" s="93">
        <v>277.60700000000003</v>
      </c>
      <c r="RH248" s="93">
        <v>49.046999999999997</v>
      </c>
      <c r="RI248" s="93"/>
      <c r="RJ248" s="93"/>
      <c r="RK248" s="93"/>
      <c r="RL248" s="93"/>
      <c r="RM248" s="734"/>
      <c r="RN248" s="29">
        <v>181</v>
      </c>
      <c r="RO248" s="19">
        <v>45</v>
      </c>
      <c r="RP248" s="20"/>
      <c r="RQ248" s="29">
        <v>181</v>
      </c>
      <c r="RR248" s="734">
        <v>2.8539306500000001</v>
      </c>
      <c r="RS248" s="29">
        <v>181</v>
      </c>
      <c r="RT248" s="1504">
        <v>42005</v>
      </c>
      <c r="RU248" s="19"/>
      <c r="RV248" s="20"/>
      <c r="RW248" s="29">
        <v>181</v>
      </c>
      <c r="RX248" s="1504">
        <v>42005</v>
      </c>
      <c r="RY248" s="29"/>
      <c r="RZ248" s="734"/>
      <c r="SA248" s="29"/>
      <c r="SB248" s="29">
        <v>181</v>
      </c>
    </row>
    <row r="249" spans="1:496">
      <c r="A249" s="41">
        <f t="shared" si="208"/>
        <v>2015</v>
      </c>
      <c r="B249" s="1504">
        <v>42036</v>
      </c>
      <c r="C249" s="1813">
        <v>1200</v>
      </c>
      <c r="D249" s="1814">
        <v>18346</v>
      </c>
      <c r="E249" s="1814">
        <v>75</v>
      </c>
      <c r="F249" s="1815">
        <v>308</v>
      </c>
      <c r="G249" s="1814">
        <v>88979</v>
      </c>
      <c r="H249" s="1814">
        <v>27</v>
      </c>
      <c r="I249" s="1814">
        <v>28410</v>
      </c>
      <c r="J249" s="1816">
        <v>13921</v>
      </c>
      <c r="K249" s="1807">
        <v>151266</v>
      </c>
      <c r="L249" s="25">
        <v>182</v>
      </c>
      <c r="M249" s="97"/>
      <c r="N249" s="1504">
        <v>42036</v>
      </c>
      <c r="O249" s="19">
        <v>685</v>
      </c>
      <c r="P249" s="93">
        <v>851</v>
      </c>
      <c r="Q249" s="93">
        <v>7325</v>
      </c>
      <c r="R249" s="93">
        <v>1886</v>
      </c>
      <c r="S249" s="93">
        <v>1332</v>
      </c>
      <c r="T249" s="93">
        <v>704</v>
      </c>
      <c r="U249" s="93">
        <v>313</v>
      </c>
      <c r="V249" s="93">
        <v>1337</v>
      </c>
      <c r="W249" s="93">
        <v>3544</v>
      </c>
      <c r="X249" s="93">
        <v>678</v>
      </c>
      <c r="Y249" s="93">
        <v>178</v>
      </c>
      <c r="Z249" s="93">
        <v>1002</v>
      </c>
      <c r="AA249" s="93">
        <v>654</v>
      </c>
      <c r="AB249" s="132">
        <v>20489</v>
      </c>
      <c r="AC249" s="25">
        <v>182</v>
      </c>
      <c r="AD249" s="97"/>
      <c r="AE249" s="1504">
        <v>42036</v>
      </c>
      <c r="AF249" s="19">
        <v>2355</v>
      </c>
      <c r="AG249" s="93">
        <v>684</v>
      </c>
      <c r="AH249" s="93">
        <v>5024</v>
      </c>
      <c r="AI249" s="93">
        <v>3545</v>
      </c>
      <c r="AJ249" s="93">
        <v>2271</v>
      </c>
      <c r="AK249" s="93">
        <v>1664</v>
      </c>
      <c r="AL249" s="93">
        <v>890</v>
      </c>
      <c r="AM249" s="93">
        <v>1950</v>
      </c>
      <c r="AN249" s="93">
        <v>4820</v>
      </c>
      <c r="AO249" s="93">
        <v>1791</v>
      </c>
      <c r="AP249" s="93">
        <v>927</v>
      </c>
      <c r="AQ249" s="93">
        <v>2848</v>
      </c>
      <c r="AR249" s="93">
        <v>804</v>
      </c>
      <c r="AS249" s="20">
        <v>29573</v>
      </c>
      <c r="AT249" s="25">
        <v>182</v>
      </c>
      <c r="AU249" s="97"/>
      <c r="AV249" s="1504">
        <v>42036</v>
      </c>
      <c r="AW249" s="19">
        <v>8069</v>
      </c>
      <c r="AX249" s="93">
        <v>2630</v>
      </c>
      <c r="AY249" s="93">
        <v>4919</v>
      </c>
      <c r="AZ249" s="93">
        <v>11199</v>
      </c>
      <c r="BA249" s="93">
        <v>10027</v>
      </c>
      <c r="BB249" s="93">
        <v>5388</v>
      </c>
      <c r="BC249" s="93">
        <v>3488</v>
      </c>
      <c r="BD249" s="93">
        <v>10803</v>
      </c>
      <c r="BE249" s="93">
        <v>10132</v>
      </c>
      <c r="BF249" s="93">
        <v>4745</v>
      </c>
      <c r="BG249" s="93">
        <v>3567</v>
      </c>
      <c r="BH249" s="93">
        <v>11895</v>
      </c>
      <c r="BI249" s="93">
        <v>3157</v>
      </c>
      <c r="BJ249" s="20">
        <v>90019</v>
      </c>
      <c r="BK249" s="25">
        <v>182</v>
      </c>
      <c r="BL249" s="97"/>
      <c r="BM249" s="1504">
        <v>42036</v>
      </c>
      <c r="BN249" s="19">
        <v>78.284999999999997</v>
      </c>
      <c r="BO249" s="93">
        <v>2375.0340000000001</v>
      </c>
      <c r="BP249" s="93">
        <v>23.616</v>
      </c>
      <c r="BQ249" s="93">
        <v>733.43200000000002</v>
      </c>
      <c r="BR249" s="93">
        <v>10.250999999999999</v>
      </c>
      <c r="BS249" s="93">
        <v>278.37899999999991</v>
      </c>
      <c r="BT249" s="93">
        <v>360.74400000000003</v>
      </c>
      <c r="BU249" s="132">
        <v>3859.7410000000004</v>
      </c>
      <c r="BV249" s="25">
        <v>182</v>
      </c>
      <c r="BW249" s="97"/>
      <c r="BX249" s="1504">
        <v>42036</v>
      </c>
      <c r="BY249" s="179">
        <v>578</v>
      </c>
      <c r="BZ249" s="99">
        <v>664.95699999999999</v>
      </c>
      <c r="CA249" s="99">
        <v>599.56877162190005</v>
      </c>
      <c r="CB249" s="99">
        <v>49.929000000000002</v>
      </c>
      <c r="CC249" s="99">
        <v>171.9</v>
      </c>
      <c r="CD249" s="25">
        <v>182</v>
      </c>
      <c r="CE249" s="97"/>
      <c r="CF249" s="1504">
        <v>42036</v>
      </c>
      <c r="CG249" s="1508">
        <v>1.5397066079999999</v>
      </c>
      <c r="CH249" s="568">
        <v>1227.08</v>
      </c>
      <c r="CI249" s="1708">
        <v>54.79</v>
      </c>
      <c r="CJ249" s="1509">
        <v>57.93</v>
      </c>
      <c r="CK249" s="1508">
        <v>417</v>
      </c>
      <c r="CL249" s="568">
        <v>173.6955528</v>
      </c>
      <c r="CM249" s="568">
        <v>0.32165405800000002</v>
      </c>
      <c r="CN249" s="568">
        <v>0.37087419199999999</v>
      </c>
      <c r="CO249" s="1710">
        <v>236.99667149999999</v>
      </c>
      <c r="CP249" s="1509">
        <v>4.8835639930000001</v>
      </c>
      <c r="CQ249" s="1708">
        <v>1344.82</v>
      </c>
      <c r="CR249" s="568">
        <v>2.4175</v>
      </c>
      <c r="CS249" s="568">
        <v>1.8166</v>
      </c>
      <c r="CT249" s="568">
        <v>121.25</v>
      </c>
      <c r="CU249" s="568">
        <v>62.75</v>
      </c>
      <c r="CV249" s="1709">
        <v>2097.7600000000002</v>
      </c>
      <c r="CW249" s="29">
        <v>182</v>
      </c>
      <c r="CX249" s="41">
        <f t="shared" si="209"/>
        <v>2015</v>
      </c>
      <c r="CY249" s="1504">
        <v>42036</v>
      </c>
      <c r="CZ249" s="1916">
        <v>90.651885340633399</v>
      </c>
      <c r="DA249" s="1526">
        <v>55.616533340633396</v>
      </c>
      <c r="DB249" s="1526">
        <v>35.035352000000003</v>
      </c>
      <c r="DC249" s="182">
        <f t="shared" si="225"/>
        <v>544825</v>
      </c>
      <c r="DD249" s="182">
        <f t="shared" si="226"/>
        <v>543327</v>
      </c>
      <c r="DE249" s="182">
        <f t="shared" si="227"/>
        <v>1498</v>
      </c>
      <c r="DF249" s="29">
        <v>182</v>
      </c>
      <c r="DG249" s="1504">
        <v>42036</v>
      </c>
      <c r="DH249" s="181">
        <v>304247</v>
      </c>
      <c r="DI249" s="182"/>
      <c r="DJ249" s="182"/>
      <c r="DK249" s="182"/>
      <c r="DL249" s="182"/>
      <c r="DM249" s="182"/>
      <c r="DN249" s="290"/>
      <c r="DO249" s="295"/>
      <c r="DP249" s="29">
        <v>182</v>
      </c>
      <c r="DQ249" s="1504">
        <v>42036</v>
      </c>
      <c r="DR249" s="19"/>
      <c r="DS249" s="93"/>
      <c r="DT249" s="93"/>
      <c r="DU249" s="93"/>
      <c r="DV249" s="93"/>
      <c r="DW249" s="93"/>
      <c r="DX249" s="1719"/>
      <c r="DY249" s="29">
        <v>182</v>
      </c>
      <c r="DZ249" s="1504">
        <v>42036</v>
      </c>
      <c r="EA249" s="19"/>
      <c r="EB249" s="93"/>
      <c r="EC249" s="20"/>
      <c r="ED249" s="29"/>
      <c r="EE249" s="1504">
        <v>42036</v>
      </c>
      <c r="EF249" s="179">
        <v>16188</v>
      </c>
      <c r="EG249" s="99">
        <v>16771</v>
      </c>
      <c r="EH249" s="99">
        <v>32959</v>
      </c>
      <c r="EI249" s="221">
        <v>13620</v>
      </c>
      <c r="EJ249" s="99">
        <v>466.29599999999999</v>
      </c>
      <c r="EK249" s="99">
        <v>231.059</v>
      </c>
      <c r="EL249" s="99">
        <v>7.6829999999999998</v>
      </c>
      <c r="EM249" s="99">
        <v>4.8810000000000002</v>
      </c>
      <c r="EN249" s="132">
        <v>709.91899999999998</v>
      </c>
      <c r="EO249" s="29">
        <v>182</v>
      </c>
      <c r="EP249" s="1504">
        <v>42036</v>
      </c>
      <c r="EQ249" s="19">
        <v>15914</v>
      </c>
      <c r="ER249" s="93">
        <v>16489</v>
      </c>
      <c r="ES249" s="93">
        <v>32403</v>
      </c>
      <c r="ET249" s="214">
        <v>13620</v>
      </c>
      <c r="EU249" s="93">
        <v>466.29599999999999</v>
      </c>
      <c r="EV249" s="93">
        <v>231.059</v>
      </c>
      <c r="EW249" s="93">
        <v>7.6829999999999998</v>
      </c>
      <c r="EX249" s="93">
        <v>4.8810000000000002</v>
      </c>
      <c r="EY249" s="20">
        <v>709.91899999999998</v>
      </c>
      <c r="EZ249" s="29">
        <v>182</v>
      </c>
      <c r="FA249" s="1504">
        <v>42036</v>
      </c>
      <c r="FB249" s="29"/>
      <c r="FC249" s="29"/>
      <c r="FD249" s="29"/>
      <c r="FE249" s="29"/>
      <c r="FF249" s="29"/>
      <c r="FG249" s="29"/>
      <c r="FH249" s="29"/>
      <c r="FI249" s="29"/>
      <c r="FJ249" s="29"/>
      <c r="FK249" s="29">
        <v>182</v>
      </c>
      <c r="FL249" s="1504">
        <v>42036</v>
      </c>
      <c r="FM249" s="19">
        <v>99.86</v>
      </c>
      <c r="FN249" s="93">
        <v>99.92</v>
      </c>
      <c r="FO249" s="93">
        <v>95.59</v>
      </c>
      <c r="FP249" s="93">
        <v>100.11</v>
      </c>
      <c r="FQ249" s="93">
        <v>99.45</v>
      </c>
      <c r="FR249" s="93">
        <v>100.12</v>
      </c>
      <c r="FS249" s="93">
        <v>100.05</v>
      </c>
      <c r="FT249" s="93">
        <v>99.44</v>
      </c>
      <c r="FU249" s="93">
        <v>99.91</v>
      </c>
      <c r="FV249" s="93">
        <v>99.83</v>
      </c>
      <c r="FW249" s="93">
        <v>101.34</v>
      </c>
      <c r="FX249" s="93">
        <v>98.56</v>
      </c>
      <c r="FY249" s="93">
        <v>100.1</v>
      </c>
      <c r="FZ249" s="29">
        <v>182</v>
      </c>
      <c r="GA249" s="1504">
        <v>42036</v>
      </c>
      <c r="GB249" s="19">
        <v>99.86</v>
      </c>
      <c r="GC249" s="93">
        <v>100.08</v>
      </c>
      <c r="GD249" s="93">
        <v>100.05</v>
      </c>
      <c r="GE249" s="93">
        <v>98.71</v>
      </c>
      <c r="GF249" s="93">
        <v>99.64</v>
      </c>
      <c r="GG249" s="99">
        <v>100.16</v>
      </c>
      <c r="GH249" s="93">
        <v>99.38</v>
      </c>
      <c r="GI249" s="93">
        <v>100.31</v>
      </c>
      <c r="GJ249" s="93">
        <v>100.04</v>
      </c>
      <c r="GK249" s="93">
        <v>100.22</v>
      </c>
      <c r="GL249" s="93">
        <v>99.91</v>
      </c>
      <c r="GM249" s="93">
        <v>100.05</v>
      </c>
      <c r="GN249" s="20">
        <v>100.04</v>
      </c>
      <c r="GO249" s="29">
        <v>182</v>
      </c>
      <c r="GP249" s="1504">
        <v>42036</v>
      </c>
      <c r="GQ249" s="181">
        <v>244.69068124667999</v>
      </c>
      <c r="GR249" s="182">
        <v>213.27268209848401</v>
      </c>
      <c r="GS249" s="182">
        <v>220.18929905679099</v>
      </c>
      <c r="GT249" s="182">
        <v>160.70729730903301</v>
      </c>
      <c r="GU249" s="182">
        <v>393.37024991284301</v>
      </c>
      <c r="GV249" s="290">
        <v>740.01129515851403</v>
      </c>
      <c r="GW249" s="181">
        <v>336.565625542335</v>
      </c>
      <c r="GX249" s="182">
        <v>378.74857994544902</v>
      </c>
      <c r="GY249" s="182">
        <v>353.50500514090999</v>
      </c>
      <c r="GZ249" s="182">
        <v>329.992871428206</v>
      </c>
      <c r="HA249" s="182">
        <v>197.40914846016599</v>
      </c>
      <c r="HB249" s="290">
        <v>881.84656216905398</v>
      </c>
      <c r="HC249" s="181">
        <v>1974.4708400104</v>
      </c>
      <c r="HD249" s="182">
        <v>1984.24485533606</v>
      </c>
      <c r="HE249" s="182">
        <v>2331.9864865905902</v>
      </c>
      <c r="HF249" s="182">
        <v>3150</v>
      </c>
      <c r="HG249" s="182">
        <v>2643.3274273949601</v>
      </c>
      <c r="HH249" s="290">
        <v>2666.5363792561702</v>
      </c>
      <c r="HI249" s="19"/>
      <c r="HJ249" s="182">
        <v>825.17046543204503</v>
      </c>
      <c r="HK249" s="182">
        <v>1324.7805042313801</v>
      </c>
      <c r="HL249" s="182">
        <v>870.10227391941999</v>
      </c>
      <c r="HM249" s="182">
        <v>800</v>
      </c>
      <c r="HN249" s="290">
        <v>1989.4652370142601</v>
      </c>
      <c r="HO249" s="324">
        <v>130.05679565942501</v>
      </c>
      <c r="HP249" s="290">
        <v>99.369298413738093</v>
      </c>
      <c r="HQ249" s="295">
        <v>191.58690465424701</v>
      </c>
      <c r="HR249" s="29">
        <v>182</v>
      </c>
      <c r="HS249" s="1504">
        <v>42036</v>
      </c>
      <c r="HT249" s="179">
        <v>213.01727294921875</v>
      </c>
      <c r="HU249" s="99">
        <v>250</v>
      </c>
      <c r="HV249" s="99">
        <v>187.10190200805664</v>
      </c>
      <c r="HW249" s="99">
        <v>120.19231414794922</v>
      </c>
      <c r="HX249" s="99">
        <v>183.33332824707031</v>
      </c>
      <c r="HY249" s="99">
        <v>195.65972137451172</v>
      </c>
      <c r="HZ249" s="99">
        <v>201.23838806152344</v>
      </c>
      <c r="IA249" s="132">
        <v>166.07632827758789</v>
      </c>
      <c r="IB249" s="179">
        <v>186.20689392089844</v>
      </c>
      <c r="IC249" s="99">
        <v>125</v>
      </c>
      <c r="ID249" s="99">
        <v>160.71429443359375</v>
      </c>
      <c r="IE249" s="99">
        <v>132.89036560058594</v>
      </c>
      <c r="IF249" s="99">
        <v>162.109375</v>
      </c>
      <c r="IG249" s="132">
        <v>133.0555534362793</v>
      </c>
      <c r="IH249" s="179">
        <v>105.86592483520508</v>
      </c>
      <c r="II249" s="99">
        <v>209.27106094360352</v>
      </c>
      <c r="IJ249" s="99">
        <v>141.94915008544922</v>
      </c>
      <c r="IK249" s="99">
        <v>144.40432739257813</v>
      </c>
      <c r="IL249" s="99">
        <v>111.80555725097656</v>
      </c>
      <c r="IM249" s="99">
        <v>125.40323066711426</v>
      </c>
      <c r="IN249" s="99">
        <v>141.34275817871094</v>
      </c>
      <c r="IO249" s="132">
        <v>126.18296051025391</v>
      </c>
      <c r="IP249" s="29">
        <v>182</v>
      </c>
      <c r="IQ249" s="179">
        <v>147.00374221801758</v>
      </c>
      <c r="IR249" s="99">
        <v>75.757575988769531</v>
      </c>
      <c r="IS249" s="99">
        <v>120.68965148925781</v>
      </c>
      <c r="IT249" s="99">
        <v>101.01010131835938</v>
      </c>
      <c r="IU249" s="99">
        <v>143.14516830444336</v>
      </c>
      <c r="IV249" s="132">
        <v>86.7052001953125</v>
      </c>
      <c r="IW249" s="29">
        <v>182</v>
      </c>
      <c r="IX249" s="179">
        <v>387.5</v>
      </c>
      <c r="IY249" s="99">
        <v>405.38195037841797</v>
      </c>
      <c r="IZ249" s="99">
        <v>450</v>
      </c>
      <c r="JA249" s="99">
        <v>375</v>
      </c>
      <c r="JB249" s="99">
        <v>380</v>
      </c>
      <c r="JC249" s="99">
        <v>400</v>
      </c>
      <c r="JD249" s="99">
        <v>390</v>
      </c>
      <c r="JE249" s="132">
        <v>400</v>
      </c>
      <c r="JF249" s="29">
        <v>182</v>
      </c>
      <c r="JG249" s="179">
        <v>159.80905342102051</v>
      </c>
      <c r="JH249" s="99">
        <v>194.73617553710938</v>
      </c>
      <c r="JI249" s="99">
        <v>160.77171325683594</v>
      </c>
      <c r="JJ249" s="99">
        <v>137.5</v>
      </c>
      <c r="JK249" s="99">
        <v>168.35017395019531</v>
      </c>
      <c r="JL249" s="99">
        <v>147.31122303009033</v>
      </c>
      <c r="JM249" s="99">
        <v>171.16013717651367</v>
      </c>
      <c r="JN249" s="132">
        <v>185.75851440429688</v>
      </c>
      <c r="JO249" s="29">
        <v>182</v>
      </c>
      <c r="JP249" s="179">
        <v>190.74073791503906</v>
      </c>
      <c r="JQ249" s="99">
        <v>87.5</v>
      </c>
      <c r="JR249" s="99">
        <v>150</v>
      </c>
      <c r="JS249" s="100"/>
      <c r="JT249" s="99">
        <v>150.92879486083984</v>
      </c>
      <c r="JU249" s="132">
        <v>106.95187377929688</v>
      </c>
      <c r="JV249" s="29">
        <v>182</v>
      </c>
      <c r="JW249" s="1504">
        <v>42036</v>
      </c>
      <c r="JX249" s="419">
        <f>(((JX248/JX247-1)+(JX247/JX246-1))^1/2+1)*JX248</f>
        <v>211.69287943123439</v>
      </c>
      <c r="JY249" s="100">
        <f t="shared" ref="JY249:KD249" si="232">(((JY248/JY247-1)+(JY247/JY246-1))^1/2+1)*JY248</f>
        <v>281.44044087102145</v>
      </c>
      <c r="JZ249" s="100">
        <f t="shared" si="232"/>
        <v>258.24519060904305</v>
      </c>
      <c r="KA249" s="100">
        <f t="shared" si="232"/>
        <v>262.26183363766415</v>
      </c>
      <c r="KB249" s="100">
        <f t="shared" si="232"/>
        <v>289.53299513295775</v>
      </c>
      <c r="KC249" s="100">
        <f t="shared" si="232"/>
        <v>339.3794356270252</v>
      </c>
      <c r="KD249" s="306">
        <f t="shared" si="232"/>
        <v>361.87238773077951</v>
      </c>
      <c r="KE249" s="29">
        <v>182</v>
      </c>
      <c r="KF249" s="100">
        <f t="shared" si="229"/>
        <v>29.432407348991983</v>
      </c>
      <c r="KG249" s="100">
        <f t="shared" si="229"/>
        <v>32</v>
      </c>
      <c r="KH249" s="100">
        <f t="shared" si="229"/>
        <v>50.23273704479579</v>
      </c>
      <c r="KI249" s="100">
        <f t="shared" si="229"/>
        <v>44.7715714871267</v>
      </c>
      <c r="KJ249" s="100">
        <f t="shared" si="229"/>
        <v>31.498039546495313</v>
      </c>
      <c r="KK249" s="306">
        <f t="shared" si="229"/>
        <v>69.262299146994636</v>
      </c>
      <c r="KL249" s="29">
        <v>182</v>
      </c>
      <c r="KM249" s="100">
        <f>(((KM248/KM247-1)+(KM247/KM246-1))^1/2+1)*KM248</f>
        <v>12.856666666666666</v>
      </c>
      <c r="KN249" s="99"/>
      <c r="KO249" s="99"/>
      <c r="KP249" s="99"/>
      <c r="KQ249" s="99"/>
      <c r="KR249" s="132"/>
      <c r="KS249" s="29">
        <v>182</v>
      </c>
      <c r="KT249" s="100">
        <f t="shared" si="230"/>
        <v>22.863543101469233</v>
      </c>
      <c r="KU249" s="100">
        <f t="shared" si="231"/>
        <v>25.593750000000004</v>
      </c>
      <c r="KV249" s="100">
        <f t="shared" si="231"/>
        <v>29.764800000000005</v>
      </c>
      <c r="KW249" s="100">
        <f t="shared" si="231"/>
        <v>28</v>
      </c>
      <c r="KX249" s="100">
        <f t="shared" si="231"/>
        <v>17.29570637119113</v>
      </c>
      <c r="KY249" s="100">
        <f t="shared" si="231"/>
        <v>29.310699588477362</v>
      </c>
      <c r="KZ249" s="29">
        <v>182</v>
      </c>
      <c r="LA249" s="1504">
        <v>42036</v>
      </c>
      <c r="LB249" s="19">
        <v>485</v>
      </c>
      <c r="LC249" s="93">
        <v>715</v>
      </c>
      <c r="LD249" s="93">
        <v>707</v>
      </c>
      <c r="LE249" s="93">
        <v>3600</v>
      </c>
      <c r="LF249" s="93">
        <v>631</v>
      </c>
      <c r="LG249" s="93">
        <v>5000</v>
      </c>
      <c r="LH249" s="20">
        <v>2000</v>
      </c>
      <c r="LI249" s="29">
        <v>182</v>
      </c>
      <c r="LJ249" s="19"/>
      <c r="LK249" s="93"/>
      <c r="LL249" s="93"/>
      <c r="LM249" s="93"/>
      <c r="LN249" s="93"/>
      <c r="LO249" s="20"/>
      <c r="LP249" s="29">
        <v>182</v>
      </c>
      <c r="LQ249" s="19"/>
      <c r="LR249" s="93"/>
      <c r="LS249" s="93"/>
      <c r="LT249" s="93"/>
      <c r="LU249" s="93"/>
      <c r="LV249" s="93"/>
      <c r="LW249" s="93"/>
      <c r="LX249" s="93"/>
      <c r="LY249" s="93"/>
      <c r="LZ249" s="93"/>
      <c r="MA249" s="20"/>
      <c r="MB249" s="29">
        <v>182</v>
      </c>
      <c r="MC249" s="1504">
        <v>42036</v>
      </c>
      <c r="MD249" s="19">
        <v>75.625213243675034</v>
      </c>
      <c r="ME249" s="93">
        <v>71.290949513000001</v>
      </c>
      <c r="MF249" s="93">
        <v>71.290949513000001</v>
      </c>
      <c r="MG249" s="93">
        <v>62.280144857999993</v>
      </c>
      <c r="MH249" s="93">
        <v>10.822925149</v>
      </c>
      <c r="MI249" s="93">
        <v>0.58831326900000014</v>
      </c>
      <c r="MJ249" s="93">
        <v>0.660605997</v>
      </c>
      <c r="MK249" s="93">
        <v>38.944883335999997</v>
      </c>
      <c r="ML249" s="93">
        <v>10.712814185000001</v>
      </c>
      <c r="MM249" s="93">
        <v>0.55060292200000005</v>
      </c>
      <c r="MN249" s="93">
        <v>9.0108046550000012</v>
      </c>
      <c r="MO249" s="93">
        <v>0.42755937600000005</v>
      </c>
      <c r="MP249" s="93">
        <v>1.8457648930000001</v>
      </c>
      <c r="MQ249" s="93">
        <v>1.6033183310000001</v>
      </c>
      <c r="MR249" s="93">
        <v>1.4531628000000001E-2</v>
      </c>
      <c r="MS249" s="93">
        <v>5.1196304269999997</v>
      </c>
      <c r="MT249" s="93">
        <v>0</v>
      </c>
      <c r="MU249" s="93">
        <v>4.3342637306750396</v>
      </c>
      <c r="MV249" s="93">
        <v>2.8747594056750398</v>
      </c>
      <c r="MW249" s="93">
        <v>1.4595043249999999</v>
      </c>
      <c r="MX249" s="93">
        <v>86.219297818008371</v>
      </c>
      <c r="MY249" s="93">
        <v>86.307123869008379</v>
      </c>
      <c r="MZ249" s="93">
        <v>66.115733425333332</v>
      </c>
      <c r="NA249" s="93">
        <v>36.685483150333333</v>
      </c>
      <c r="NB249" s="93">
        <v>8.4204128110000003</v>
      </c>
      <c r="NC249" s="93">
        <v>3.463472603</v>
      </c>
      <c r="ND249" s="93">
        <v>2.6823206060000002</v>
      </c>
      <c r="NE249" s="93">
        <v>0.78115199699999993</v>
      </c>
      <c r="NF249" s="93">
        <v>17.546364861000001</v>
      </c>
      <c r="NG249" s="93">
        <v>0</v>
      </c>
      <c r="NH249" s="93">
        <v>8.7861642290000006</v>
      </c>
      <c r="NI249" s="93">
        <v>0</v>
      </c>
      <c r="NJ249" s="93">
        <v>0</v>
      </c>
      <c r="NK249" s="93">
        <v>20.19139044367504</v>
      </c>
      <c r="NL249" s="93">
        <v>14.592793196000001</v>
      </c>
      <c r="NM249" s="93">
        <v>3.3687218999999997E-2</v>
      </c>
      <c r="NN249" s="93">
        <v>5.5649100286750395</v>
      </c>
      <c r="NO249" s="93">
        <v>-8.7826050999997504E-2</v>
      </c>
      <c r="NP249" s="93">
        <v>-10.59408457433334</v>
      </c>
      <c r="NQ249" s="93">
        <v>-14.928348305008381</v>
      </c>
      <c r="NR249" s="93">
        <v>-5.8999656733333472</v>
      </c>
      <c r="NS249" s="93">
        <v>-9.3634382763333477</v>
      </c>
      <c r="NT249" s="93">
        <v>-72.948881868333444</v>
      </c>
      <c r="NU249" s="93">
        <v>-77.283145599008492</v>
      </c>
      <c r="NV249" s="93">
        <v>76.587151904999999</v>
      </c>
      <c r="NW249" s="93">
        <v>0.6042657339999995</v>
      </c>
      <c r="NX249" s="93">
        <v>2.6901506229999996</v>
      </c>
      <c r="NY249" s="93">
        <v>-2.0858848890000004</v>
      </c>
      <c r="NZ249" s="93">
        <v>0</v>
      </c>
      <c r="OA249" s="93">
        <v>75.982886171000004</v>
      </c>
      <c r="OB249" s="93">
        <v>76.195735303000006</v>
      </c>
      <c r="OC249" s="93">
        <v>-0.21284913200000002</v>
      </c>
      <c r="OD249" s="20">
        <v>0</v>
      </c>
      <c r="OE249" s="29">
        <v>182</v>
      </c>
      <c r="OF249" s="1504">
        <v>42036</v>
      </c>
      <c r="OG249" s="19"/>
      <c r="OH249" s="93">
        <v>195.245800312</v>
      </c>
      <c r="OI249" s="93">
        <v>995.69748204219354</v>
      </c>
      <c r="OJ249" s="93">
        <v>0.49589254500000002</v>
      </c>
      <c r="OK249" s="93">
        <v>850.72574180619358</v>
      </c>
      <c r="OL249" s="93">
        <v>144.47584769100001</v>
      </c>
      <c r="OM249" s="93">
        <v>1190.9432823541936</v>
      </c>
      <c r="ON249" s="93">
        <v>952.62001592614376</v>
      </c>
      <c r="OO249" s="93">
        <v>2143.5632982803372</v>
      </c>
      <c r="OP249" s="93"/>
      <c r="OQ249" s="93">
        <v>424.72837160612607</v>
      </c>
      <c r="OR249" s="93">
        <v>-151.78103219799999</v>
      </c>
      <c r="OS249" s="93">
        <v>576.50940380412612</v>
      </c>
      <c r="OT249" s="93">
        <v>1978.2799330402113</v>
      </c>
      <c r="OU249" s="93">
        <v>108.093547254</v>
      </c>
      <c r="OV249" s="93">
        <v>45.669547253999994</v>
      </c>
      <c r="OW249" s="93">
        <v>62.424000000000007</v>
      </c>
      <c r="OX249" s="93">
        <v>1870.1863857862113</v>
      </c>
      <c r="OY249" s="93">
        <v>4.0210318580000006</v>
      </c>
      <c r="OZ249" s="93">
        <v>1866.1653539282113</v>
      </c>
      <c r="PA249" s="93">
        <v>356.757619508</v>
      </c>
      <c r="PB249" s="93">
        <v>-97.312613142000032</v>
      </c>
      <c r="PC249" s="20">
        <v>2143.5632982803372</v>
      </c>
      <c r="PD249" s="29">
        <v>182</v>
      </c>
      <c r="PE249" s="19"/>
      <c r="PF249" s="93">
        <v>-151.78103219799999</v>
      </c>
      <c r="PG249" s="93">
        <v>330.774034035</v>
      </c>
      <c r="PH249" s="93">
        <v>482.55506623299999</v>
      </c>
      <c r="PI249" s="93">
        <v>525.87456250000002</v>
      </c>
      <c r="PJ249" s="93">
        <v>49.969046941999991</v>
      </c>
      <c r="PK249" s="93">
        <v>127.30023932099999</v>
      </c>
      <c r="PL249" s="93">
        <v>77.331192379000001</v>
      </c>
      <c r="PM249" s="93">
        <v>4.0210318580000006</v>
      </c>
      <c r="PN249" s="93">
        <v>0.6</v>
      </c>
      <c r="PO249" s="93">
        <v>0</v>
      </c>
      <c r="PP249" s="93">
        <v>8.8704400000000003E-4</v>
      </c>
      <c r="PQ249" s="93">
        <v>3.4201448140000004</v>
      </c>
      <c r="PR249" s="93">
        <v>426.794094874</v>
      </c>
      <c r="PS249" s="93">
        <v>247.6953</v>
      </c>
      <c r="PT249" s="93">
        <v>178.60290232899999</v>
      </c>
      <c r="PU249" s="93">
        <v>0.49589254500000002</v>
      </c>
      <c r="PV249" s="93">
        <v>0</v>
      </c>
      <c r="PW249" s="93">
        <v>1.480114873</v>
      </c>
      <c r="PX249" s="93">
        <v>0</v>
      </c>
      <c r="PY249" s="93">
        <v>0</v>
      </c>
      <c r="PZ249" s="93">
        <v>1.480114873</v>
      </c>
      <c r="QA249" s="93">
        <v>0</v>
      </c>
      <c r="QB249" s="93">
        <v>0</v>
      </c>
      <c r="QC249" s="93">
        <v>0</v>
      </c>
      <c r="QD249" s="93">
        <v>-0.20049536500000009</v>
      </c>
      <c r="QE249" s="20">
        <v>9.8947200000000304E-3</v>
      </c>
      <c r="QF249" s="1739">
        <v>182</v>
      </c>
      <c r="QG249" s="19"/>
      <c r="QH249" s="1035">
        <v>576.50940380412612</v>
      </c>
      <c r="QI249" s="1035">
        <v>872.16864607178866</v>
      </c>
      <c r="QJ249" s="1035">
        <v>-295.65924226766259</v>
      </c>
      <c r="QK249" s="1035">
        <v>232.929</v>
      </c>
      <c r="QL249" s="1035">
        <v>48.15</v>
      </c>
      <c r="QM249" s="1035">
        <v>184.779</v>
      </c>
      <c r="QN249" s="1035">
        <v>0</v>
      </c>
      <c r="QO249" s="1035">
        <v>62.424000000000007</v>
      </c>
      <c r="QP249" s="1035">
        <v>243.363</v>
      </c>
      <c r="QQ249" s="1035">
        <v>-180.93899999999999</v>
      </c>
      <c r="QR249" s="1035">
        <v>1866.1653539282113</v>
      </c>
      <c r="QS249" s="1035">
        <v>19.47054474920721</v>
      </c>
      <c r="QT249" s="1035">
        <v>0</v>
      </c>
      <c r="QU249" s="1035">
        <v>200.99299999999999</v>
      </c>
      <c r="QV249" s="1035">
        <v>1645.7018091790042</v>
      </c>
      <c r="QW249" s="93"/>
      <c r="QX249" s="93">
        <v>526.74199999999996</v>
      </c>
      <c r="QY249" s="93">
        <v>850.72574180619358</v>
      </c>
      <c r="QZ249" s="93">
        <v>952.62001592614388</v>
      </c>
      <c r="RA249" s="93">
        <v>0</v>
      </c>
      <c r="RB249" s="93">
        <v>43.55</v>
      </c>
      <c r="RC249" s="93">
        <v>4.8730000000000002</v>
      </c>
      <c r="RD249" s="93">
        <v>20.116</v>
      </c>
      <c r="RE249" s="93">
        <v>0</v>
      </c>
      <c r="RF249" s="93">
        <v>0</v>
      </c>
      <c r="RG249" s="93">
        <v>286.93900000000002</v>
      </c>
      <c r="RH249" s="93">
        <v>52.462000000000018</v>
      </c>
      <c r="RI249" s="93"/>
      <c r="RJ249" s="93"/>
      <c r="RK249" s="93"/>
      <c r="RL249" s="93"/>
      <c r="RM249" s="734"/>
      <c r="RN249" s="29">
        <v>182</v>
      </c>
      <c r="RO249" s="19">
        <v>67</v>
      </c>
      <c r="RP249" s="20"/>
      <c r="RQ249" s="29">
        <v>182</v>
      </c>
      <c r="RR249" s="734">
        <v>3.0463207000000003</v>
      </c>
      <c r="RS249" s="29">
        <v>182</v>
      </c>
      <c r="RT249" s="1504">
        <v>42036</v>
      </c>
      <c r="RU249" s="19"/>
      <c r="RV249" s="20"/>
      <c r="RW249" s="29">
        <v>182</v>
      </c>
      <c r="RX249" s="1504">
        <v>42036</v>
      </c>
      <c r="RY249" s="29"/>
      <c r="RZ249" s="734"/>
      <c r="SA249" s="29"/>
      <c r="SB249" s="29">
        <v>182</v>
      </c>
    </row>
    <row r="250" spans="1:496">
      <c r="A250" s="41">
        <f t="shared" si="208"/>
        <v>2015</v>
      </c>
      <c r="B250" s="1504">
        <v>42064</v>
      </c>
      <c r="C250" s="1813">
        <v>1294</v>
      </c>
      <c r="D250" s="1814">
        <v>18881</v>
      </c>
      <c r="E250" s="1814">
        <v>119</v>
      </c>
      <c r="F250" s="1815">
        <v>291</v>
      </c>
      <c r="G250" s="1814">
        <v>90196</v>
      </c>
      <c r="H250" s="1814">
        <v>66</v>
      </c>
      <c r="I250" s="1814">
        <v>29478</v>
      </c>
      <c r="J250" s="1816">
        <v>14274</v>
      </c>
      <c r="K250" s="1807">
        <v>154599</v>
      </c>
      <c r="L250" s="25">
        <v>183</v>
      </c>
      <c r="M250" s="97"/>
      <c r="N250" s="1504">
        <v>42064</v>
      </c>
      <c r="O250" s="19">
        <v>679</v>
      </c>
      <c r="P250" s="93">
        <v>663</v>
      </c>
      <c r="Q250" s="93">
        <v>7926</v>
      </c>
      <c r="R250" s="93">
        <v>1733</v>
      </c>
      <c r="S250" s="93">
        <v>1253</v>
      </c>
      <c r="T250" s="93">
        <v>646</v>
      </c>
      <c r="U250" s="93">
        <v>266</v>
      </c>
      <c r="V250" s="93">
        <v>1336</v>
      </c>
      <c r="W250" s="93">
        <v>3929</v>
      </c>
      <c r="X250" s="93">
        <v>644</v>
      </c>
      <c r="Y250" s="93">
        <v>159</v>
      </c>
      <c r="Z250" s="93">
        <v>1092</v>
      </c>
      <c r="AA250" s="93">
        <v>692</v>
      </c>
      <c r="AB250" s="132">
        <v>21018</v>
      </c>
      <c r="AC250" s="25">
        <v>183</v>
      </c>
      <c r="AD250" s="97"/>
      <c r="AE250" s="1504">
        <v>42064</v>
      </c>
      <c r="AF250" s="19">
        <v>2552</v>
      </c>
      <c r="AG250" s="93">
        <v>515</v>
      </c>
      <c r="AH250" s="93">
        <v>5420</v>
      </c>
      <c r="AI250" s="93">
        <v>3320</v>
      </c>
      <c r="AJ250" s="93">
        <v>2394</v>
      </c>
      <c r="AK250" s="93">
        <v>1882</v>
      </c>
      <c r="AL250" s="93">
        <v>815</v>
      </c>
      <c r="AM250" s="93">
        <v>1896</v>
      </c>
      <c r="AN250" s="93">
        <v>5297</v>
      </c>
      <c r="AO250" s="93">
        <v>2470</v>
      </c>
      <c r="AP250" s="93">
        <v>797</v>
      </c>
      <c r="AQ250" s="93">
        <v>2734</v>
      </c>
      <c r="AR250" s="93">
        <v>839</v>
      </c>
      <c r="AS250" s="20">
        <v>30931</v>
      </c>
      <c r="AT250" s="25">
        <v>183</v>
      </c>
      <c r="AU250" s="97"/>
      <c r="AV250" s="1504">
        <v>42064</v>
      </c>
      <c r="AW250" s="19">
        <v>8372</v>
      </c>
      <c r="AX250" s="93">
        <v>2031</v>
      </c>
      <c r="AY250" s="93">
        <v>4613</v>
      </c>
      <c r="AZ250" s="93">
        <v>9733</v>
      </c>
      <c r="BA250" s="93">
        <v>10691</v>
      </c>
      <c r="BB250" s="93">
        <v>5036</v>
      </c>
      <c r="BC250" s="93">
        <v>3401</v>
      </c>
      <c r="BD250" s="93">
        <v>12235</v>
      </c>
      <c r="BE250" s="93">
        <v>11352</v>
      </c>
      <c r="BF250" s="93">
        <v>6071</v>
      </c>
      <c r="BG250" s="93">
        <v>3029</v>
      </c>
      <c r="BH250" s="93">
        <v>12318</v>
      </c>
      <c r="BI250" s="93">
        <v>2797</v>
      </c>
      <c r="BJ250" s="20">
        <v>91679</v>
      </c>
      <c r="BK250" s="25">
        <v>183</v>
      </c>
      <c r="BL250" s="97"/>
      <c r="BM250" s="1504">
        <v>42064</v>
      </c>
      <c r="BN250" s="19">
        <v>94.298999999999992</v>
      </c>
      <c r="BO250" s="93">
        <v>2921.6149999999998</v>
      </c>
      <c r="BP250" s="93">
        <v>18.240000000000002</v>
      </c>
      <c r="BQ250" s="93">
        <v>809.04000000000019</v>
      </c>
      <c r="BR250" s="93">
        <v>6.4260000000000002</v>
      </c>
      <c r="BS250" s="93">
        <v>313.209</v>
      </c>
      <c r="BT250" s="93">
        <v>423.16799999999995</v>
      </c>
      <c r="BU250" s="132">
        <v>4585.9969999999994</v>
      </c>
      <c r="BV250" s="25">
        <v>183</v>
      </c>
      <c r="BW250" s="97"/>
      <c r="BX250" s="1504">
        <v>42064</v>
      </c>
      <c r="BY250" s="179">
        <v>605.46023749090909</v>
      </c>
      <c r="BZ250" s="99">
        <v>664.95699999999999</v>
      </c>
      <c r="CA250" s="99">
        <v>618.35544569759998</v>
      </c>
      <c r="CB250" s="99">
        <v>50.185689921662835</v>
      </c>
      <c r="CC250" s="99">
        <v>168.82394976900994</v>
      </c>
      <c r="CD250" s="25">
        <v>183</v>
      </c>
      <c r="CE250" s="97"/>
      <c r="CF250" s="1504">
        <v>42064</v>
      </c>
      <c r="CG250" s="1508">
        <v>1.52890397</v>
      </c>
      <c r="CH250" s="568">
        <v>1178.6300000000001</v>
      </c>
      <c r="CI250" s="1708">
        <v>52.826666666666704</v>
      </c>
      <c r="CJ250" s="1509">
        <v>55.79</v>
      </c>
      <c r="CK250" s="1508">
        <v>411</v>
      </c>
      <c r="CL250" s="568">
        <v>174.22702079999999</v>
      </c>
      <c r="CM250" s="568">
        <v>0.290127992</v>
      </c>
      <c r="CN250" s="568">
        <v>0.35379510400000003</v>
      </c>
      <c r="CO250" s="1710">
        <v>230.75024759999999</v>
      </c>
      <c r="CP250" s="1509">
        <v>4.7159026419999996</v>
      </c>
      <c r="CQ250" s="1708">
        <v>1344.82</v>
      </c>
      <c r="CR250" s="568">
        <v>2.7240000000000002</v>
      </c>
      <c r="CS250" s="568">
        <v>1.7441</v>
      </c>
      <c r="CT250" s="568">
        <v>123</v>
      </c>
      <c r="CU250" s="568">
        <v>58.05</v>
      </c>
      <c r="CV250" s="1709">
        <v>2028.73</v>
      </c>
      <c r="CW250" s="29">
        <v>183</v>
      </c>
      <c r="CX250" s="41">
        <f t="shared" si="209"/>
        <v>2015</v>
      </c>
      <c r="CY250" s="1504">
        <v>42064</v>
      </c>
      <c r="CZ250" s="1916">
        <v>97.04651693223218</v>
      </c>
      <c r="DA250" s="1526">
        <v>58.124305932232176</v>
      </c>
      <c r="DB250" s="1526">
        <v>38.922210999999997</v>
      </c>
      <c r="DC250" s="182">
        <f t="shared" si="225"/>
        <v>544825</v>
      </c>
      <c r="DD250" s="182">
        <f t="shared" si="226"/>
        <v>543327</v>
      </c>
      <c r="DE250" s="182">
        <f t="shared" si="227"/>
        <v>1498</v>
      </c>
      <c r="DF250" s="29">
        <v>183</v>
      </c>
      <c r="DG250" s="1504">
        <v>42064</v>
      </c>
      <c r="DH250" s="181">
        <v>305285</v>
      </c>
      <c r="DI250" s="182"/>
      <c r="DJ250" s="182"/>
      <c r="DK250" s="182"/>
      <c r="DL250" s="182"/>
      <c r="DM250" s="182"/>
      <c r="DN250" s="290"/>
      <c r="DO250" s="295"/>
      <c r="DP250" s="29">
        <v>183</v>
      </c>
      <c r="DQ250" s="1504">
        <v>42064</v>
      </c>
      <c r="DR250" s="19"/>
      <c r="DS250" s="93"/>
      <c r="DT250" s="93"/>
      <c r="DU250" s="93"/>
      <c r="DV250" s="93"/>
      <c r="DW250" s="93"/>
      <c r="DX250" s="1719"/>
      <c r="DY250" s="29">
        <v>183</v>
      </c>
      <c r="DZ250" s="1504">
        <v>42064</v>
      </c>
      <c r="EA250" s="19"/>
      <c r="EB250" s="93"/>
      <c r="EC250" s="20"/>
      <c r="ED250" s="29"/>
      <c r="EE250" s="1504">
        <v>42064</v>
      </c>
      <c r="EF250" s="179">
        <v>16285</v>
      </c>
      <c r="EG250" s="99">
        <v>19151</v>
      </c>
      <c r="EH250" s="99">
        <v>35436</v>
      </c>
      <c r="EI250" s="221">
        <v>6416</v>
      </c>
      <c r="EJ250" s="99">
        <v>649.99599999999998</v>
      </c>
      <c r="EK250" s="99">
        <v>285.20400000000001</v>
      </c>
      <c r="EL250" s="99">
        <v>14.712999999999999</v>
      </c>
      <c r="EM250" s="99">
        <v>6.899</v>
      </c>
      <c r="EN250" s="132">
        <v>956.81200000000001</v>
      </c>
      <c r="EO250" s="29">
        <v>183</v>
      </c>
      <c r="EP250" s="1504">
        <v>42064</v>
      </c>
      <c r="EQ250" s="19">
        <v>15949</v>
      </c>
      <c r="ER250" s="93">
        <v>18824</v>
      </c>
      <c r="ES250" s="93">
        <v>34773</v>
      </c>
      <c r="ET250" s="214">
        <v>6416</v>
      </c>
      <c r="EU250" s="93">
        <v>649.99599999999998</v>
      </c>
      <c r="EV250" s="93">
        <v>285.20400000000001</v>
      </c>
      <c r="EW250" s="93">
        <v>14.712999999999999</v>
      </c>
      <c r="EX250" s="93">
        <v>6.899</v>
      </c>
      <c r="EY250" s="20">
        <v>956.81200000000001</v>
      </c>
      <c r="EZ250" s="29">
        <v>183</v>
      </c>
      <c r="FA250" s="1504">
        <v>42064</v>
      </c>
      <c r="FB250" s="29"/>
      <c r="FC250" s="29"/>
      <c r="FD250" s="29"/>
      <c r="FE250" s="29"/>
      <c r="FF250" s="29"/>
      <c r="FG250" s="29"/>
      <c r="FH250" s="29"/>
      <c r="FI250" s="29"/>
      <c r="FJ250" s="29"/>
      <c r="FK250" s="29">
        <v>183</v>
      </c>
      <c r="FL250" s="1504">
        <v>42064</v>
      </c>
      <c r="FM250" s="19">
        <v>99.85</v>
      </c>
      <c r="FN250" s="93">
        <v>99.73</v>
      </c>
      <c r="FO250" s="93">
        <v>97.56</v>
      </c>
      <c r="FP250" s="93">
        <v>99.61</v>
      </c>
      <c r="FQ250" s="93">
        <v>99.5</v>
      </c>
      <c r="FR250" s="93">
        <v>100.08</v>
      </c>
      <c r="FS250" s="93">
        <v>100.05</v>
      </c>
      <c r="FT250" s="93">
        <v>98.86</v>
      </c>
      <c r="FU250" s="93">
        <v>99.91</v>
      </c>
      <c r="FV250" s="93">
        <v>99.61</v>
      </c>
      <c r="FW250" s="93">
        <v>101.34</v>
      </c>
      <c r="FX250" s="93">
        <v>98.58</v>
      </c>
      <c r="FY250" s="93">
        <v>100</v>
      </c>
      <c r="FZ250" s="29">
        <v>183</v>
      </c>
      <c r="GA250" s="1504">
        <v>42064</v>
      </c>
      <c r="GB250" s="19">
        <v>99.85</v>
      </c>
      <c r="GC250" s="93">
        <v>99.85</v>
      </c>
      <c r="GD250" s="93">
        <v>100.04</v>
      </c>
      <c r="GE250" s="93">
        <v>97.99</v>
      </c>
      <c r="GF250" s="93">
        <v>99.26</v>
      </c>
      <c r="GG250" s="99">
        <v>100.16</v>
      </c>
      <c r="GH250" s="93">
        <v>99.36</v>
      </c>
      <c r="GI250" s="93">
        <v>99.99</v>
      </c>
      <c r="GJ250" s="93">
        <v>100</v>
      </c>
      <c r="GK250" s="93">
        <v>100.22</v>
      </c>
      <c r="GL250" s="93">
        <v>99.77</v>
      </c>
      <c r="GM250" s="93">
        <v>99.81</v>
      </c>
      <c r="GN250" s="20">
        <v>100</v>
      </c>
      <c r="GO250" s="29">
        <v>183</v>
      </c>
      <c r="GP250" s="1504">
        <v>42064</v>
      </c>
      <c r="GQ250" s="181">
        <v>249.408130358443</v>
      </c>
      <c r="GR250" s="182">
        <v>200.87088844628499</v>
      </c>
      <c r="GS250" s="182">
        <v>224.53536401680901</v>
      </c>
      <c r="GT250" s="182">
        <v>164.56465899055399</v>
      </c>
      <c r="GU250" s="182">
        <v>398.30622939265402</v>
      </c>
      <c r="GV250" s="290">
        <v>755.63584676578205</v>
      </c>
      <c r="GW250" s="181">
        <v>343.50797501250003</v>
      </c>
      <c r="GX250" s="182">
        <v>483.324368164031</v>
      </c>
      <c r="GY250" s="182">
        <v>331.311865457078</v>
      </c>
      <c r="GZ250" s="182">
        <v>252.293810388758</v>
      </c>
      <c r="HA250" s="182">
        <v>197.203307799616</v>
      </c>
      <c r="HB250" s="290">
        <v>774.34978400836906</v>
      </c>
      <c r="HC250" s="181">
        <v>1894.8460657958699</v>
      </c>
      <c r="HD250" s="182">
        <v>2118.45025255888</v>
      </c>
      <c r="HE250" s="182">
        <v>2287.8849467448299</v>
      </c>
      <c r="HF250" s="182">
        <v>3150</v>
      </c>
      <c r="HG250" s="182">
        <v>2366.0368852627598</v>
      </c>
      <c r="HH250" s="290">
        <v>2735.0427144181999</v>
      </c>
      <c r="HI250" s="19"/>
      <c r="HJ250" s="182">
        <v>808.16797523907803</v>
      </c>
      <c r="HK250" s="182">
        <v>1358.74748531865</v>
      </c>
      <c r="HL250" s="182">
        <v>894.68785875640697</v>
      </c>
      <c r="HM250" s="182">
        <v>800</v>
      </c>
      <c r="HN250" s="290">
        <v>1682.91861230982</v>
      </c>
      <c r="HO250" s="324">
        <v>141.47253103979401</v>
      </c>
      <c r="HP250" s="290">
        <v>92.637810766993198</v>
      </c>
      <c r="HQ250" s="295">
        <v>169.92225878011499</v>
      </c>
      <c r="HR250" s="29">
        <v>183</v>
      </c>
      <c r="HS250" s="1504">
        <v>42064</v>
      </c>
      <c r="HT250" s="179">
        <v>211.21349334716797</v>
      </c>
      <c r="HU250" s="99">
        <v>238.28125</v>
      </c>
      <c r="HV250" s="99">
        <v>165.60508422851564</v>
      </c>
      <c r="HW250" s="99">
        <v>131.41026051839194</v>
      </c>
      <c r="HX250" s="99">
        <v>183.33332824707031</v>
      </c>
      <c r="HY250" s="99">
        <v>195.65972137451172</v>
      </c>
      <c r="HZ250" s="99">
        <v>201.28520202636719</v>
      </c>
      <c r="IA250" s="132">
        <v>159.67742538452148</v>
      </c>
      <c r="IB250" s="179">
        <v>191.37930297851563</v>
      </c>
      <c r="IC250" s="99">
        <v>125</v>
      </c>
      <c r="ID250" s="99">
        <v>160.71429443359375</v>
      </c>
      <c r="IE250" s="99">
        <v>161.12957000732422</v>
      </c>
      <c r="IF250" s="99">
        <v>168.11708450317383</v>
      </c>
      <c r="IG250" s="132">
        <v>138.88888549804688</v>
      </c>
      <c r="IH250" s="179">
        <v>105.86592483520508</v>
      </c>
      <c r="II250" s="99">
        <v>205.91084861755371</v>
      </c>
      <c r="IJ250" s="99">
        <v>140.67796325683594</v>
      </c>
      <c r="IK250" s="99">
        <v>144.40432739257813</v>
      </c>
      <c r="IL250" s="99">
        <v>111.80555725097656</v>
      </c>
      <c r="IM250" s="99">
        <v>129.03226280212402</v>
      </c>
      <c r="IN250" s="99">
        <v>143.10954284667969</v>
      </c>
      <c r="IO250" s="132">
        <v>126.18296051025391</v>
      </c>
      <c r="IP250" s="29">
        <v>183</v>
      </c>
      <c r="IQ250" s="179">
        <v>147.00374221801758</v>
      </c>
      <c r="IR250" s="99">
        <v>75.757575988769531</v>
      </c>
      <c r="IS250" s="99">
        <v>120.68965148925781</v>
      </c>
      <c r="IT250" s="99">
        <v>113.63636016845703</v>
      </c>
      <c r="IU250" s="99">
        <v>139.453125</v>
      </c>
      <c r="IV250" s="132">
        <v>90.588233947753906</v>
      </c>
      <c r="IW250" s="29">
        <v>183</v>
      </c>
      <c r="IX250" s="179">
        <v>425</v>
      </c>
      <c r="IY250" s="99">
        <v>413.19445037841797</v>
      </c>
      <c r="IZ250" s="100">
        <f>(((IZ251/IZ252-1)+(IZ252/IZ253-1))/2+1)*IZ251</f>
        <v>438.84004629629629</v>
      </c>
      <c r="JA250" s="99">
        <v>375</v>
      </c>
      <c r="JB250" s="99">
        <v>380</v>
      </c>
      <c r="JC250" s="99">
        <v>400</v>
      </c>
      <c r="JD250" s="99">
        <v>390</v>
      </c>
      <c r="JE250" s="132">
        <v>383.33333333333331</v>
      </c>
      <c r="JF250" s="29">
        <v>183</v>
      </c>
      <c r="JG250" s="179">
        <v>167.29050292968751</v>
      </c>
      <c r="JH250" s="99">
        <v>194.73617553710938</v>
      </c>
      <c r="JI250" s="99">
        <v>160.77171325683594</v>
      </c>
      <c r="JJ250" s="99">
        <v>137.5</v>
      </c>
      <c r="JK250" s="99">
        <v>168.35017395019531</v>
      </c>
      <c r="JL250" s="99">
        <v>157.13197326660156</v>
      </c>
      <c r="JM250" s="99">
        <v>157.67974090576172</v>
      </c>
      <c r="JN250" s="132">
        <v>185.75851440429688</v>
      </c>
      <c r="JO250" s="29">
        <v>183</v>
      </c>
      <c r="JP250" s="179">
        <v>188.88888549804688</v>
      </c>
      <c r="JQ250" s="99">
        <v>97.5</v>
      </c>
      <c r="JR250" s="99">
        <v>141.66667175292969</v>
      </c>
      <c r="JS250" s="100"/>
      <c r="JT250" s="99">
        <v>150.92879486083984</v>
      </c>
      <c r="JU250" s="132">
        <v>111.47540664672852</v>
      </c>
      <c r="JV250" s="29">
        <v>183</v>
      </c>
      <c r="JW250" s="1504">
        <v>42064</v>
      </c>
      <c r="JX250" s="179">
        <v>301.66666666666669</v>
      </c>
      <c r="JY250" s="99">
        <v>339.86111111111109</v>
      </c>
      <c r="JZ250" s="99">
        <v>331.5625</v>
      </c>
      <c r="KA250" s="99">
        <v>336.25</v>
      </c>
      <c r="KB250" s="99">
        <v>382</v>
      </c>
      <c r="KC250" s="99">
        <v>399.16666666666669</v>
      </c>
      <c r="KD250" s="132">
        <v>394.61538461538464</v>
      </c>
      <c r="KE250" s="29">
        <v>183</v>
      </c>
      <c r="KF250" s="179">
        <v>40.458333333333336</v>
      </c>
      <c r="KG250" s="99">
        <v>41.042857142857144</v>
      </c>
      <c r="KH250" s="99">
        <v>69.375</v>
      </c>
      <c r="KI250" s="99">
        <v>56.916666666666664</v>
      </c>
      <c r="KJ250" s="99">
        <v>52.166666666666664</v>
      </c>
      <c r="KK250" s="132">
        <v>74.660256410256409</v>
      </c>
      <c r="KL250" s="29">
        <v>183</v>
      </c>
      <c r="KM250" s="179">
        <v>21</v>
      </c>
      <c r="KN250" s="99">
        <v>16.835526315789473</v>
      </c>
      <c r="KO250" s="99">
        <v>34.583333333333336</v>
      </c>
      <c r="KP250" s="99">
        <v>39.483333333333334</v>
      </c>
      <c r="KQ250" s="99">
        <v>29.208333333333332</v>
      </c>
      <c r="KR250" s="132">
        <v>29.756410256410255</v>
      </c>
      <c r="KS250" s="29">
        <v>183</v>
      </c>
      <c r="KT250" s="179">
        <v>31.222222222222221</v>
      </c>
      <c r="KU250" s="99">
        <v>24.884615384615383</v>
      </c>
      <c r="KV250" s="99">
        <v>32.291666666666664</v>
      </c>
      <c r="KW250" s="99">
        <v>30.616666666666667</v>
      </c>
      <c r="KX250" s="99">
        <v>19.75</v>
      </c>
      <c r="KY250" s="132">
        <v>26.948717948717949</v>
      </c>
      <c r="KZ250" s="29">
        <v>183</v>
      </c>
      <c r="LA250" s="1504">
        <v>42064</v>
      </c>
      <c r="LB250" s="19">
        <v>460</v>
      </c>
      <c r="LC250" s="93">
        <v>690</v>
      </c>
      <c r="LD250" s="93">
        <v>682</v>
      </c>
      <c r="LE250" s="93">
        <v>3600</v>
      </c>
      <c r="LF250" s="93">
        <v>606</v>
      </c>
      <c r="LG250" s="93">
        <v>5000</v>
      </c>
      <c r="LH250" s="20">
        <v>2000</v>
      </c>
      <c r="LI250" s="29">
        <v>183</v>
      </c>
      <c r="LJ250" s="19"/>
      <c r="LK250" s="93"/>
      <c r="LL250" s="93"/>
      <c r="LM250" s="93"/>
      <c r="LN250" s="93"/>
      <c r="LO250" s="20"/>
      <c r="LP250" s="29">
        <v>183</v>
      </c>
      <c r="LQ250" s="19"/>
      <c r="LR250" s="93"/>
      <c r="LS250" s="93"/>
      <c r="LT250" s="93"/>
      <c r="LU250" s="93"/>
      <c r="LV250" s="93"/>
      <c r="LW250" s="93"/>
      <c r="LX250" s="93"/>
      <c r="LY250" s="93"/>
      <c r="LZ250" s="93"/>
      <c r="MA250" s="20"/>
      <c r="MB250" s="29">
        <v>183</v>
      </c>
      <c r="MC250" s="1504">
        <v>42064</v>
      </c>
      <c r="MD250" s="19">
        <v>87.890019829113328</v>
      </c>
      <c r="ME250" s="93">
        <v>79.060665222999987</v>
      </c>
      <c r="MF250" s="93">
        <v>79.060648422999989</v>
      </c>
      <c r="MG250" s="93">
        <v>70.697034012999993</v>
      </c>
      <c r="MH250" s="93">
        <v>13.935615296</v>
      </c>
      <c r="MI250" s="93">
        <v>0.67894796499999999</v>
      </c>
      <c r="MJ250" s="93">
        <v>0.630388897</v>
      </c>
      <c r="MK250" s="93">
        <v>43.787327115000011</v>
      </c>
      <c r="ML250" s="93">
        <v>11.083446398</v>
      </c>
      <c r="MM250" s="93">
        <v>0.58130834199999992</v>
      </c>
      <c r="MN250" s="93">
        <v>8.3636144100000003</v>
      </c>
      <c r="MO250" s="93">
        <v>0.44250546399999996</v>
      </c>
      <c r="MP250" s="93">
        <v>2.28190749</v>
      </c>
      <c r="MQ250" s="93">
        <v>0.171230882</v>
      </c>
      <c r="MR250" s="93">
        <v>7.7313290000000007E-2</v>
      </c>
      <c r="MS250" s="93">
        <v>5.3906572839999987</v>
      </c>
      <c r="MT250" s="93">
        <v>1.6800000000000002E-5</v>
      </c>
      <c r="MU250" s="93">
        <v>8.8293546061133394</v>
      </c>
      <c r="MV250" s="93">
        <v>8.8293546061133394</v>
      </c>
      <c r="MW250" s="93">
        <v>0</v>
      </c>
      <c r="MX250" s="93">
        <v>130.65529268977826</v>
      </c>
      <c r="MY250" s="93">
        <v>131.58294977077827</v>
      </c>
      <c r="MZ250" s="93">
        <v>84.205623703666674</v>
      </c>
      <c r="NA250" s="93">
        <v>43.60326250366667</v>
      </c>
      <c r="NB250" s="93">
        <v>12.061052660999998</v>
      </c>
      <c r="NC250" s="93">
        <v>2.1772617759999995</v>
      </c>
      <c r="ND250" s="93">
        <v>1.227727343</v>
      </c>
      <c r="NE250" s="93">
        <v>0.94953443299999996</v>
      </c>
      <c r="NF250" s="93">
        <v>26.364046763000005</v>
      </c>
      <c r="NG250" s="93">
        <v>0</v>
      </c>
      <c r="NH250" s="93">
        <v>9.1479778749999987</v>
      </c>
      <c r="NI250" s="93">
        <v>0</v>
      </c>
      <c r="NJ250" s="93">
        <v>0</v>
      </c>
      <c r="NK250" s="93">
        <v>47.377326067111589</v>
      </c>
      <c r="NL250" s="93">
        <v>29.734862530000001</v>
      </c>
      <c r="NM250" s="93">
        <v>0.41021278100000003</v>
      </c>
      <c r="NN250" s="93">
        <v>17.23225075611159</v>
      </c>
      <c r="NO250" s="93">
        <v>-0.92765708100000044</v>
      </c>
      <c r="NP250" s="93">
        <v>-42.765272860664936</v>
      </c>
      <c r="NQ250" s="93">
        <v>-51.594627466778277</v>
      </c>
      <c r="NR250" s="93">
        <v>-32.185114934666693</v>
      </c>
      <c r="NS250" s="93">
        <v>-34.362376710666688</v>
      </c>
      <c r="NT250" s="93">
        <v>-2.260462128664896</v>
      </c>
      <c r="NU250" s="93">
        <v>-11.089816734778241</v>
      </c>
      <c r="NV250" s="93">
        <v>-1.6070156600017538</v>
      </c>
      <c r="NW250" s="93">
        <v>6.3613163829982495</v>
      </c>
      <c r="NX250" s="93">
        <v>8.4028961499982486</v>
      </c>
      <c r="NY250" s="93">
        <v>-2.041579767</v>
      </c>
      <c r="NZ250" s="93">
        <v>0</v>
      </c>
      <c r="OA250" s="93">
        <v>-7.9683320430000038</v>
      </c>
      <c r="OB250" s="93">
        <v>-23.933544116000004</v>
      </c>
      <c r="OC250" s="93">
        <v>15.965212073</v>
      </c>
      <c r="OD250" s="20">
        <v>0</v>
      </c>
      <c r="OE250" s="29">
        <v>183</v>
      </c>
      <c r="OF250" s="1504">
        <v>42064</v>
      </c>
      <c r="OG250" s="19"/>
      <c r="OH250" s="93">
        <v>194.74387264699999</v>
      </c>
      <c r="OI250" s="93">
        <v>1032.5706149485356</v>
      </c>
      <c r="OJ250" s="93">
        <v>0.45487632</v>
      </c>
      <c r="OK250" s="93">
        <v>884.76612971953568</v>
      </c>
      <c r="OL250" s="93">
        <v>147.34960890900001</v>
      </c>
      <c r="OM250" s="93">
        <v>1227.3144875955356</v>
      </c>
      <c r="ON250" s="93">
        <v>972.77785103736403</v>
      </c>
      <c r="OO250" s="93">
        <v>2200.0923386328996</v>
      </c>
      <c r="OP250" s="93"/>
      <c r="OQ250" s="93">
        <v>523.2044059549047</v>
      </c>
      <c r="OR250" s="93">
        <v>-133.64913209300005</v>
      </c>
      <c r="OS250" s="93">
        <v>656.85353804790475</v>
      </c>
      <c r="OT250" s="93">
        <v>1921.3418151199949</v>
      </c>
      <c r="OU250" s="93">
        <v>41.523615687999957</v>
      </c>
      <c r="OV250" s="93">
        <v>42.665615687999981</v>
      </c>
      <c r="OW250" s="93">
        <v>-1.1420000000000243</v>
      </c>
      <c r="OX250" s="93">
        <v>1879.8181994319948</v>
      </c>
      <c r="OY250" s="93">
        <v>3.950756723</v>
      </c>
      <c r="OZ250" s="93">
        <v>1875.867442708995</v>
      </c>
      <c r="PA250" s="93">
        <v>360.04891642700005</v>
      </c>
      <c r="PB250" s="93">
        <v>-115.59503398499999</v>
      </c>
      <c r="PC250" s="20">
        <v>2200.0923386328996</v>
      </c>
      <c r="PD250" s="29">
        <v>183</v>
      </c>
      <c r="PE250" s="19"/>
      <c r="PF250" s="93">
        <v>-133.64913209300005</v>
      </c>
      <c r="PG250" s="93">
        <v>371.07466033999998</v>
      </c>
      <c r="PH250" s="93">
        <v>504.72379243300003</v>
      </c>
      <c r="PI250" s="93">
        <v>457.36043749999999</v>
      </c>
      <c r="PJ250" s="93">
        <v>47.768443040999983</v>
      </c>
      <c r="PK250" s="93">
        <v>124.86796321099999</v>
      </c>
      <c r="PL250" s="93">
        <v>77.099520170000005</v>
      </c>
      <c r="PM250" s="93">
        <v>3.950756723</v>
      </c>
      <c r="PN250" s="93">
        <v>0.6</v>
      </c>
      <c r="PO250" s="93">
        <v>0</v>
      </c>
      <c r="PP250" s="93">
        <v>6.6807800000000001E-4</v>
      </c>
      <c r="PQ250" s="93">
        <v>3.350088645</v>
      </c>
      <c r="PR250" s="93">
        <v>380.40539997999997</v>
      </c>
      <c r="PS250" s="93">
        <v>250.91569999999999</v>
      </c>
      <c r="PT250" s="93">
        <v>129.03482366</v>
      </c>
      <c r="PU250" s="93">
        <v>0.45487632</v>
      </c>
      <c r="PV250" s="93">
        <v>0</v>
      </c>
      <c r="PW250" s="93">
        <v>1.57773992</v>
      </c>
      <c r="PX250" s="93">
        <v>0</v>
      </c>
      <c r="PY250" s="93">
        <v>0</v>
      </c>
      <c r="PZ250" s="93">
        <v>1.57773992</v>
      </c>
      <c r="QA250" s="93">
        <v>0</v>
      </c>
      <c r="QB250" s="93">
        <v>0</v>
      </c>
      <c r="QC250" s="93">
        <v>0</v>
      </c>
      <c r="QD250" s="93">
        <v>2.9891765069999998</v>
      </c>
      <c r="QE250" s="20">
        <v>-9.5418112360000062</v>
      </c>
      <c r="QF250" s="1739">
        <v>183</v>
      </c>
      <c r="QG250" s="19"/>
      <c r="QH250" s="1035">
        <v>656.85353804790475</v>
      </c>
      <c r="QI250" s="1035">
        <v>917.18955729100503</v>
      </c>
      <c r="QJ250" s="1035">
        <v>-260.33601924310034</v>
      </c>
      <c r="QK250" s="1035">
        <v>188.85300000000001</v>
      </c>
      <c r="QL250" s="1035">
        <v>51.069000000000003</v>
      </c>
      <c r="QM250" s="1035">
        <v>137.78400000000002</v>
      </c>
      <c r="QN250" s="1035">
        <v>0</v>
      </c>
      <c r="QO250" s="1035">
        <v>-1.1420000000000243</v>
      </c>
      <c r="QP250" s="1035">
        <v>183.49199999999999</v>
      </c>
      <c r="QQ250" s="1035">
        <v>-184.63400000000001</v>
      </c>
      <c r="QR250" s="1035">
        <v>1875.867442708995</v>
      </c>
      <c r="QS250" s="1035">
        <v>22.147354072870964</v>
      </c>
      <c r="QT250" s="1035">
        <v>0</v>
      </c>
      <c r="QU250" s="1035">
        <v>192.23599999999999</v>
      </c>
      <c r="QV250" s="1035">
        <v>1661.4840886361239</v>
      </c>
      <c r="QW250" s="93"/>
      <c r="QX250" s="93">
        <v>458.17099999999999</v>
      </c>
      <c r="QY250" s="93">
        <v>884.76612971953568</v>
      </c>
      <c r="QZ250" s="93">
        <v>972.77785103736403</v>
      </c>
      <c r="RA250" s="93">
        <v>0</v>
      </c>
      <c r="RB250" s="93">
        <v>44.427</v>
      </c>
      <c r="RC250" s="93">
        <v>4.7119999999999997</v>
      </c>
      <c r="RD250" s="93">
        <v>16.724</v>
      </c>
      <c r="RE250" s="93">
        <v>0</v>
      </c>
      <c r="RF250" s="93">
        <v>0</v>
      </c>
      <c r="RG250" s="93">
        <v>289.61900000000003</v>
      </c>
      <c r="RH250" s="93">
        <v>49.234999999999985</v>
      </c>
      <c r="RI250" s="93"/>
      <c r="RJ250" s="93"/>
      <c r="RK250" s="93"/>
      <c r="RL250" s="93"/>
      <c r="RM250" s="734"/>
      <c r="RN250" s="29">
        <v>183</v>
      </c>
      <c r="RO250" s="19">
        <v>17</v>
      </c>
      <c r="RP250" s="20"/>
      <c r="RQ250" s="29">
        <v>183</v>
      </c>
      <c r="RR250" s="734">
        <v>3.2973423199999998</v>
      </c>
      <c r="RS250" s="29">
        <v>183</v>
      </c>
      <c r="RT250" s="1504">
        <v>42064</v>
      </c>
      <c r="RU250" s="19"/>
      <c r="RV250" s="20"/>
      <c r="RW250" s="29">
        <v>183</v>
      </c>
      <c r="RX250" s="1504">
        <v>42064</v>
      </c>
      <c r="RY250" s="29"/>
      <c r="RZ250" s="734"/>
      <c r="SA250" s="29"/>
      <c r="SB250" s="29">
        <v>183</v>
      </c>
    </row>
    <row r="251" spans="1:496">
      <c r="A251" s="41">
        <f t="shared" si="208"/>
        <v>2015</v>
      </c>
      <c r="B251" s="1504">
        <v>42095</v>
      </c>
      <c r="C251" s="1813">
        <v>1570</v>
      </c>
      <c r="D251" s="1814">
        <v>22951</v>
      </c>
      <c r="E251" s="1814">
        <v>87</v>
      </c>
      <c r="F251" s="1815">
        <v>382</v>
      </c>
      <c r="G251" s="1814">
        <v>100115</v>
      </c>
      <c r="H251" s="1814">
        <v>41</v>
      </c>
      <c r="I251" s="1814">
        <v>33327</v>
      </c>
      <c r="J251" s="1816">
        <v>16812</v>
      </c>
      <c r="K251" s="1807">
        <v>175285</v>
      </c>
      <c r="L251" s="25">
        <v>184</v>
      </c>
      <c r="M251" s="97"/>
      <c r="N251" s="1504">
        <v>42095</v>
      </c>
      <c r="O251" s="19">
        <v>784</v>
      </c>
      <c r="P251" s="93">
        <v>1282</v>
      </c>
      <c r="Q251" s="93">
        <v>9485</v>
      </c>
      <c r="R251" s="93">
        <v>2414</v>
      </c>
      <c r="S251" s="93">
        <v>1281</v>
      </c>
      <c r="T251" s="93">
        <v>942</v>
      </c>
      <c r="U251" s="93">
        <v>349</v>
      </c>
      <c r="V251" s="93">
        <v>1383</v>
      </c>
      <c r="W251" s="93">
        <v>4632</v>
      </c>
      <c r="X251" s="93">
        <v>748</v>
      </c>
      <c r="Y251" s="93">
        <v>156</v>
      </c>
      <c r="Z251" s="93">
        <v>1216</v>
      </c>
      <c r="AA251" s="93">
        <v>1183</v>
      </c>
      <c r="AB251" s="132">
        <v>25855</v>
      </c>
      <c r="AC251" s="25">
        <v>184</v>
      </c>
      <c r="AD251" s="97"/>
      <c r="AE251" s="1504">
        <v>42095</v>
      </c>
      <c r="AF251" s="19">
        <v>2696</v>
      </c>
      <c r="AG251" s="93">
        <v>732</v>
      </c>
      <c r="AH251" s="93">
        <v>6460</v>
      </c>
      <c r="AI251" s="93">
        <v>3579</v>
      </c>
      <c r="AJ251" s="93">
        <v>3029</v>
      </c>
      <c r="AK251" s="93">
        <v>2350</v>
      </c>
      <c r="AL251" s="93">
        <v>1023</v>
      </c>
      <c r="AM251" s="93">
        <v>2028</v>
      </c>
      <c r="AN251" s="93">
        <v>6083</v>
      </c>
      <c r="AO251" s="93">
        <v>2392</v>
      </c>
      <c r="AP251" s="93">
        <v>850</v>
      </c>
      <c r="AQ251" s="93">
        <v>2706</v>
      </c>
      <c r="AR251" s="93">
        <v>873</v>
      </c>
      <c r="AS251" s="20">
        <v>34801</v>
      </c>
      <c r="AT251" s="25">
        <v>184</v>
      </c>
      <c r="AU251" s="97"/>
      <c r="AV251" s="1504">
        <v>42095</v>
      </c>
      <c r="AW251" s="19">
        <v>8996</v>
      </c>
      <c r="AX251" s="93">
        <v>2693</v>
      </c>
      <c r="AY251" s="93">
        <v>4811</v>
      </c>
      <c r="AZ251" s="93">
        <v>13351</v>
      </c>
      <c r="BA251" s="93">
        <v>11116</v>
      </c>
      <c r="BB251" s="93">
        <v>5673</v>
      </c>
      <c r="BC251" s="93">
        <v>3555</v>
      </c>
      <c r="BD251" s="93">
        <v>13315</v>
      </c>
      <c r="BE251" s="93">
        <v>11424</v>
      </c>
      <c r="BF251" s="93">
        <v>6497</v>
      </c>
      <c r="BG251" s="93">
        <v>3713</v>
      </c>
      <c r="BH251" s="93">
        <v>12734</v>
      </c>
      <c r="BI251" s="93">
        <v>3252</v>
      </c>
      <c r="BJ251" s="20">
        <v>101130</v>
      </c>
      <c r="BK251" s="25">
        <v>184</v>
      </c>
      <c r="BL251" s="97"/>
      <c r="BM251" s="1504">
        <v>42095</v>
      </c>
      <c r="BN251" s="19">
        <v>92.564999999999998</v>
      </c>
      <c r="BO251" s="93">
        <v>3226.15</v>
      </c>
      <c r="BP251" s="93">
        <v>16.704000000000001</v>
      </c>
      <c r="BQ251" s="93">
        <v>851.46399999999983</v>
      </c>
      <c r="BR251" s="93">
        <v>6.8849999999999998</v>
      </c>
      <c r="BS251" s="93">
        <v>313.79400000000004</v>
      </c>
      <c r="BT251" s="93">
        <v>437.976</v>
      </c>
      <c r="BU251" s="132">
        <v>4945.5379999999996</v>
      </c>
      <c r="BV251" s="25">
        <v>184</v>
      </c>
      <c r="BW251" s="97"/>
      <c r="BX251" s="1504">
        <v>42095</v>
      </c>
      <c r="BY251" s="179">
        <v>608.39117263181811</v>
      </c>
      <c r="BZ251" s="99">
        <v>664.95699999999999</v>
      </c>
      <c r="CA251" s="99">
        <v>631.97967258760002</v>
      </c>
      <c r="CB251" s="99">
        <v>50.64409301798495</v>
      </c>
      <c r="CC251" s="99">
        <v>159.75057168040826</v>
      </c>
      <c r="CD251" s="25">
        <v>184</v>
      </c>
      <c r="CE251" s="97"/>
      <c r="CF251" s="1504">
        <v>42095</v>
      </c>
      <c r="CG251" s="1508">
        <v>1.5807125399999999</v>
      </c>
      <c r="CH251" s="568">
        <v>1198.93</v>
      </c>
      <c r="CI251" s="1708">
        <v>57.543333333333301</v>
      </c>
      <c r="CJ251" s="1509">
        <v>59.39</v>
      </c>
      <c r="CK251" s="1508">
        <v>400.26</v>
      </c>
      <c r="CL251" s="568">
        <v>172.0539072</v>
      </c>
      <c r="CM251" s="568">
        <v>0.28836429600000002</v>
      </c>
      <c r="CN251" s="568">
        <v>0.35245620799999999</v>
      </c>
      <c r="CO251" s="568">
        <v>223.40151359999999</v>
      </c>
      <c r="CP251" s="1509">
        <v>4.8159923899999999</v>
      </c>
      <c r="CQ251" s="1708">
        <v>1344.82</v>
      </c>
      <c r="CR251" s="568">
        <v>2.7675000000000001</v>
      </c>
      <c r="CS251" s="568">
        <v>1.7002999999999999</v>
      </c>
      <c r="CT251" s="568">
        <v>114.125</v>
      </c>
      <c r="CU251" s="568">
        <v>52.28</v>
      </c>
      <c r="CV251" s="1709">
        <v>2212.7199999999998</v>
      </c>
      <c r="CW251" s="29">
        <v>184</v>
      </c>
      <c r="CX251" s="41">
        <f t="shared" si="209"/>
        <v>2015</v>
      </c>
      <c r="CY251" s="1504">
        <v>42095</v>
      </c>
      <c r="CZ251" s="1916">
        <v>108.42133641286082</v>
      </c>
      <c r="DA251" s="1526">
        <v>65.634351412860823</v>
      </c>
      <c r="DB251" s="1526">
        <v>42.786985000000001</v>
      </c>
      <c r="DC251" s="182">
        <f t="shared" si="225"/>
        <v>544825</v>
      </c>
      <c r="DD251" s="182">
        <f t="shared" si="226"/>
        <v>543327</v>
      </c>
      <c r="DE251" s="182">
        <f t="shared" si="227"/>
        <v>1498</v>
      </c>
      <c r="DF251" s="29">
        <v>184</v>
      </c>
      <c r="DG251" s="1504">
        <v>42095</v>
      </c>
      <c r="DH251" s="181">
        <v>309063</v>
      </c>
      <c r="DI251" s="182"/>
      <c r="DJ251" s="182"/>
      <c r="DK251" s="182"/>
      <c r="DL251" s="182"/>
      <c r="DM251" s="182"/>
      <c r="DN251" s="290"/>
      <c r="DO251" s="295"/>
      <c r="DP251" s="29">
        <v>184</v>
      </c>
      <c r="DQ251" s="1504">
        <v>42095</v>
      </c>
      <c r="DR251" s="19"/>
      <c r="DS251" s="93"/>
      <c r="DT251" s="93"/>
      <c r="DU251" s="93"/>
      <c r="DV251" s="93"/>
      <c r="DW251" s="93"/>
      <c r="DX251" s="1719"/>
      <c r="DY251" s="29">
        <v>184</v>
      </c>
      <c r="DZ251" s="1504">
        <v>42095</v>
      </c>
      <c r="EA251" s="19"/>
      <c r="EB251" s="93"/>
      <c r="EC251" s="20"/>
      <c r="ED251" s="29"/>
      <c r="EE251" s="1504">
        <v>42095</v>
      </c>
      <c r="EF251" s="419">
        <f t="shared" ref="EF251:EN255" si="233">(((EF250/EF249-1)+(EF249/EF248-1))^1/2+1)*EF250</f>
        <v>16474.504969550737</v>
      </c>
      <c r="EG251" s="100">
        <f t="shared" si="233"/>
        <v>19398.545533407607</v>
      </c>
      <c r="EH251" s="100">
        <f t="shared" si="233"/>
        <v>35788.888012314659</v>
      </c>
      <c r="EI251" s="420">
        <f t="shared" si="233"/>
        <v>7638.3843532334158</v>
      </c>
      <c r="EJ251" s="100">
        <f t="shared" si="233"/>
        <v>821.07555029281093</v>
      </c>
      <c r="EK251" s="100">
        <f t="shared" si="233"/>
        <v>285.88342034238207</v>
      </c>
      <c r="EL251" s="100">
        <f t="shared" si="233"/>
        <v>25.779928379494546</v>
      </c>
      <c r="EM251" s="100">
        <f t="shared" si="233"/>
        <v>10.358242885660818</v>
      </c>
      <c r="EN251" s="306">
        <f t="shared" si="233"/>
        <v>1116.771176944721</v>
      </c>
      <c r="EO251" s="29">
        <v>184</v>
      </c>
      <c r="EP251" s="1504">
        <v>42095</v>
      </c>
      <c r="EQ251" s="419">
        <f t="shared" ref="EQ251:EY252" si="234">(((EQ250/EQ249-1)+(EQ249/EQ248-1))^1/2+1)*EQ250</f>
        <v>16068.033969859694</v>
      </c>
      <c r="ER251" s="100">
        <f t="shared" si="234"/>
        <v>19004.6869479651</v>
      </c>
      <c r="ES251" s="100">
        <f t="shared" si="234"/>
        <v>34986.455853510553</v>
      </c>
      <c r="ET251" s="420">
        <f t="shared" si="234"/>
        <v>7638.3843532334158</v>
      </c>
      <c r="EU251" s="100">
        <f t="shared" si="234"/>
        <v>821.07555029281093</v>
      </c>
      <c r="EV251" s="100">
        <f t="shared" si="234"/>
        <v>285.88342034238207</v>
      </c>
      <c r="EW251" s="100">
        <f t="shared" si="234"/>
        <v>25.779928379494546</v>
      </c>
      <c r="EX251" s="100">
        <f t="shared" si="234"/>
        <v>10.358242885660818</v>
      </c>
      <c r="EY251" s="306">
        <f t="shared" si="234"/>
        <v>1116.771176944721</v>
      </c>
      <c r="EZ251" s="29">
        <v>184</v>
      </c>
      <c r="FA251" s="1504">
        <v>42095</v>
      </c>
      <c r="FB251" s="29"/>
      <c r="FC251" s="29"/>
      <c r="FD251" s="29"/>
      <c r="FE251" s="29"/>
      <c r="FF251" s="29"/>
      <c r="FG251" s="29"/>
      <c r="FH251" s="29"/>
      <c r="FI251" s="29"/>
      <c r="FJ251" s="29"/>
      <c r="FK251" s="29">
        <v>184</v>
      </c>
      <c r="FL251" s="1504">
        <v>42095</v>
      </c>
      <c r="FM251" s="19">
        <v>99.81</v>
      </c>
      <c r="FN251" s="93">
        <v>100.41</v>
      </c>
      <c r="FO251" s="93">
        <v>98.4</v>
      </c>
      <c r="FP251" s="93">
        <v>99.84</v>
      </c>
      <c r="FQ251" s="93">
        <v>95.96</v>
      </c>
      <c r="FR251" s="93">
        <v>100.1</v>
      </c>
      <c r="FS251" s="93">
        <v>100.05</v>
      </c>
      <c r="FT251" s="93">
        <v>98.56</v>
      </c>
      <c r="FU251" s="93">
        <v>99.91</v>
      </c>
      <c r="FV251" s="93">
        <v>99.82</v>
      </c>
      <c r="FW251" s="93">
        <v>101.34</v>
      </c>
      <c r="FX251" s="93">
        <v>100.03</v>
      </c>
      <c r="FY251" s="93">
        <v>100.01</v>
      </c>
      <c r="FZ251" s="29">
        <v>184</v>
      </c>
      <c r="GA251" s="1504">
        <v>42095</v>
      </c>
      <c r="GB251" s="19">
        <v>99.81</v>
      </c>
      <c r="GC251" s="93">
        <v>99.57</v>
      </c>
      <c r="GD251" s="93">
        <v>100.23</v>
      </c>
      <c r="GE251" s="93">
        <v>93.55</v>
      </c>
      <c r="GF251" s="93">
        <v>100.11</v>
      </c>
      <c r="GG251" s="99">
        <v>100.61</v>
      </c>
      <c r="GH251" s="93">
        <v>99.92</v>
      </c>
      <c r="GI251" s="93">
        <v>100</v>
      </c>
      <c r="GJ251" s="93">
        <v>100.31</v>
      </c>
      <c r="GK251" s="93">
        <v>100.23</v>
      </c>
      <c r="GL251" s="93">
        <v>99.9</v>
      </c>
      <c r="GM251" s="93">
        <v>99.69</v>
      </c>
      <c r="GN251" s="20">
        <v>100.31</v>
      </c>
      <c r="GO251" s="29">
        <v>184</v>
      </c>
      <c r="GP251" s="1504">
        <v>42095</v>
      </c>
      <c r="GQ251" s="181">
        <v>258.77979610650499</v>
      </c>
      <c r="GR251" s="182">
        <v>233.15218045316101</v>
      </c>
      <c r="GS251" s="182">
        <v>236.567445554644</v>
      </c>
      <c r="GT251" s="182">
        <v>172.123238840585</v>
      </c>
      <c r="GU251" s="182">
        <v>385.37174815583501</v>
      </c>
      <c r="GV251" s="290">
        <v>813.27819731709997</v>
      </c>
      <c r="GW251" s="181">
        <v>365.83988708198302</v>
      </c>
      <c r="GX251" s="182">
        <v>541.009702217067</v>
      </c>
      <c r="GY251" s="182">
        <v>334.08341997560899</v>
      </c>
      <c r="GZ251" s="182">
        <v>247.35703713018901</v>
      </c>
      <c r="HA251" s="182">
        <v>252.14264965304901</v>
      </c>
      <c r="HB251" s="290">
        <v>709.96153765020495</v>
      </c>
      <c r="HC251" s="181">
        <v>1672.95461464495</v>
      </c>
      <c r="HD251" s="182">
        <v>2351.0807648170198</v>
      </c>
      <c r="HE251" s="182">
        <v>2528.1100691919801</v>
      </c>
      <c r="HF251" s="182">
        <v>3150</v>
      </c>
      <c r="HG251" s="182">
        <v>2587.8493220857299</v>
      </c>
      <c r="HH251" s="290">
        <v>2828.9692596599498</v>
      </c>
      <c r="HI251" s="19"/>
      <c r="HJ251" s="182">
        <v>844.00475232606198</v>
      </c>
      <c r="HK251" s="182">
        <v>1330.74771741682</v>
      </c>
      <c r="HL251" s="182">
        <v>938.05450273671499</v>
      </c>
      <c r="HM251" s="182">
        <v>800</v>
      </c>
      <c r="HN251" s="290">
        <v>1902.34205134594</v>
      </c>
      <c r="HO251" s="324">
        <v>118.978530552256</v>
      </c>
      <c r="HP251" s="290">
        <v>94.454834665381199</v>
      </c>
      <c r="HQ251" s="295">
        <v>144.46455998799399</v>
      </c>
      <c r="HR251" s="29">
        <v>184</v>
      </c>
      <c r="HS251" s="1504">
        <v>42095</v>
      </c>
      <c r="HT251" s="179">
        <v>206.21349334716797</v>
      </c>
      <c r="HU251" s="99">
        <v>230.46875</v>
      </c>
      <c r="HV251" s="99">
        <v>170.1831111907959</v>
      </c>
      <c r="HW251" s="99">
        <v>134.61538696289063</v>
      </c>
      <c r="HX251" s="99">
        <v>183.33332824707031</v>
      </c>
      <c r="HY251" s="99">
        <v>190.26173210144043</v>
      </c>
      <c r="HZ251" s="99">
        <v>201.23838806152344</v>
      </c>
      <c r="IA251" s="132">
        <v>170.96774291992188</v>
      </c>
      <c r="IB251" s="179">
        <v>177.58620452880859</v>
      </c>
      <c r="IC251" s="99">
        <v>134.375</v>
      </c>
      <c r="ID251" s="99">
        <v>165.17857360839844</v>
      </c>
      <c r="IE251" s="99">
        <v>160.25640869140625</v>
      </c>
      <c r="IF251" s="99">
        <v>184.89583333333334</v>
      </c>
      <c r="IG251" s="132">
        <v>140.37037150065103</v>
      </c>
      <c r="IH251" s="179">
        <v>123.96997451782227</v>
      </c>
      <c r="II251" s="99">
        <v>212.90478324890137</v>
      </c>
      <c r="IJ251" s="99">
        <v>138.41807556152344</v>
      </c>
      <c r="IK251" s="99">
        <v>144.40432739257813</v>
      </c>
      <c r="IL251" s="99">
        <v>123.53962326049805</v>
      </c>
      <c r="IM251" s="99">
        <v>137.66339492797852</v>
      </c>
      <c r="IN251" s="99">
        <v>141.34275817871094</v>
      </c>
      <c r="IO251" s="132">
        <v>141.95582580566406</v>
      </c>
      <c r="IP251" s="29">
        <v>184</v>
      </c>
      <c r="IQ251" s="179">
        <v>151.68538665771484</v>
      </c>
      <c r="IR251" s="99">
        <v>82.070705413818359</v>
      </c>
      <c r="IS251" s="99">
        <v>124.99999046325684</v>
      </c>
      <c r="IT251" s="99">
        <v>115.89404296875</v>
      </c>
      <c r="IU251" s="99">
        <v>139.31887817382813</v>
      </c>
      <c r="IV251" s="132">
        <v>96.470586140950516</v>
      </c>
      <c r="IW251" s="29">
        <v>184</v>
      </c>
      <c r="IX251" s="179">
        <v>422.27822875976563</v>
      </c>
      <c r="IY251" s="99">
        <v>418.40278244018555</v>
      </c>
      <c r="IZ251" s="100">
        <f>(((IZ252/IZ253-1)+(IZ253/IZ254-1))/2+1)*IZ252</f>
        <v>442.52777777777777</v>
      </c>
      <c r="JA251" s="99">
        <v>375</v>
      </c>
      <c r="JB251" s="99">
        <v>380</v>
      </c>
      <c r="JC251" s="99">
        <v>400</v>
      </c>
      <c r="JD251" s="99">
        <v>390</v>
      </c>
      <c r="JE251" s="132">
        <v>350</v>
      </c>
      <c r="JF251" s="29">
        <v>184</v>
      </c>
      <c r="JG251" s="179">
        <v>182.00873184204102</v>
      </c>
      <c r="JH251" s="99">
        <v>194.73617553710938</v>
      </c>
      <c r="JI251" s="99">
        <v>152.73312377929688</v>
      </c>
      <c r="JJ251" s="99">
        <v>137.5</v>
      </c>
      <c r="JK251" s="99">
        <v>168.35017395019531</v>
      </c>
      <c r="JL251" s="99">
        <v>158.05234718322754</v>
      </c>
      <c r="JM251" s="99">
        <v>171.02397155761719</v>
      </c>
      <c r="JN251" s="132">
        <v>185.75851440429688</v>
      </c>
      <c r="JO251" s="29">
        <v>184</v>
      </c>
      <c r="JP251" s="179">
        <v>185.1851806640625</v>
      </c>
      <c r="JQ251" s="99">
        <v>100</v>
      </c>
      <c r="JR251" s="99">
        <v>147.91666793823242</v>
      </c>
      <c r="JS251" s="99">
        <v>113.63636779785156</v>
      </c>
      <c r="JT251" s="99">
        <v>147.6793212890625</v>
      </c>
      <c r="JU251" s="132">
        <v>116.93988800048828</v>
      </c>
      <c r="JV251" s="29">
        <v>184</v>
      </c>
      <c r="JW251" s="1504">
        <v>42095</v>
      </c>
      <c r="JX251" s="179">
        <v>290</v>
      </c>
      <c r="JY251" s="99">
        <v>305.83333333333331</v>
      </c>
      <c r="JZ251" s="99">
        <v>336.66666666666669</v>
      </c>
      <c r="KA251" s="99">
        <v>335.66666666666669</v>
      </c>
      <c r="KB251" s="99">
        <v>383.33333333333331</v>
      </c>
      <c r="KC251" s="99">
        <v>391.25</v>
      </c>
      <c r="KD251" s="132">
        <v>412.91666666666669</v>
      </c>
      <c r="KE251" s="29">
        <v>184</v>
      </c>
      <c r="KF251" s="179">
        <v>37.888888888888886</v>
      </c>
      <c r="KG251" s="99">
        <v>40.236111111111114</v>
      </c>
      <c r="KH251" s="99">
        <v>63.833333333333336</v>
      </c>
      <c r="KI251" s="99">
        <v>63.020833333333336</v>
      </c>
      <c r="KJ251" s="99">
        <v>51.791666666666664</v>
      </c>
      <c r="KK251" s="132">
        <v>73.902777777777771</v>
      </c>
      <c r="KL251" s="29">
        <v>184</v>
      </c>
      <c r="KM251" s="179">
        <v>22.777777777777779</v>
      </c>
      <c r="KN251" s="99">
        <v>14.585714285714285</v>
      </c>
      <c r="KO251" s="99">
        <v>32.466666666666669</v>
      </c>
      <c r="KP251" s="99">
        <v>46.104166666666664</v>
      </c>
      <c r="KQ251" s="99">
        <v>29.708333333333332</v>
      </c>
      <c r="KR251" s="132">
        <v>29.791666666666668</v>
      </c>
      <c r="KS251" s="29">
        <v>184</v>
      </c>
      <c r="KT251" s="179">
        <v>30.055555555555557</v>
      </c>
      <c r="KU251" s="99">
        <v>24.055555555555557</v>
      </c>
      <c r="KV251" s="99">
        <v>31.533333333333335</v>
      </c>
      <c r="KW251" s="99">
        <v>35.770833333333336</v>
      </c>
      <c r="KX251" s="99">
        <v>20.9375</v>
      </c>
      <c r="KY251" s="132">
        <v>27.680555555555557</v>
      </c>
      <c r="KZ251" s="29">
        <v>184</v>
      </c>
      <c r="LA251" s="1504">
        <v>42095</v>
      </c>
      <c r="LB251" s="19">
        <v>460</v>
      </c>
      <c r="LC251" s="93">
        <v>690</v>
      </c>
      <c r="LD251" s="93">
        <v>682</v>
      </c>
      <c r="LE251" s="93"/>
      <c r="LF251" s="93">
        <v>606</v>
      </c>
      <c r="LG251" s="93"/>
      <c r="LH251" s="20"/>
      <c r="LI251" s="29">
        <v>184</v>
      </c>
      <c r="LJ251" s="19"/>
      <c r="LK251" s="93"/>
      <c r="LL251" s="93"/>
      <c r="LM251" s="93"/>
      <c r="LN251" s="93"/>
      <c r="LO251" s="20"/>
      <c r="LP251" s="29">
        <v>184</v>
      </c>
      <c r="LQ251" s="19"/>
      <c r="LR251" s="93"/>
      <c r="LS251" s="93"/>
      <c r="LT251" s="93"/>
      <c r="LU251" s="93"/>
      <c r="LV251" s="93"/>
      <c r="LW251" s="93"/>
      <c r="LX251" s="93"/>
      <c r="LY251" s="93"/>
      <c r="LZ251" s="93"/>
      <c r="MA251" s="20"/>
      <c r="MB251" s="29">
        <v>184</v>
      </c>
      <c r="MC251" s="1504">
        <v>42095</v>
      </c>
      <c r="MD251" s="19">
        <v>386.6104124548167</v>
      </c>
      <c r="ME251" s="93">
        <v>350.59216073799996</v>
      </c>
      <c r="MF251" s="93">
        <v>350.59208813800001</v>
      </c>
      <c r="MG251" s="93">
        <v>314.13493636599992</v>
      </c>
      <c r="MH251" s="93">
        <v>90.829773805000002</v>
      </c>
      <c r="MI251" s="93">
        <v>2.7340968369999996</v>
      </c>
      <c r="MJ251" s="93">
        <v>2.4601144150000001</v>
      </c>
      <c r="MK251" s="93">
        <v>171.67676809900001</v>
      </c>
      <c r="ML251" s="93">
        <v>44.023404968999998</v>
      </c>
      <c r="MM251" s="93">
        <v>2.410778241</v>
      </c>
      <c r="MN251" s="93">
        <v>36.457151772000003</v>
      </c>
      <c r="MO251" s="93">
        <v>1.651678022</v>
      </c>
      <c r="MP251" s="93">
        <v>8.9634844690000008</v>
      </c>
      <c r="MQ251" s="93">
        <v>1.8969922579999998</v>
      </c>
      <c r="MR251" s="93">
        <v>3.5441677179999997</v>
      </c>
      <c r="MS251" s="93">
        <v>20.400829304999998</v>
      </c>
      <c r="MT251" s="93">
        <v>7.2599999999999989E-5</v>
      </c>
      <c r="MU251" s="93">
        <v>36.018251716816742</v>
      </c>
      <c r="MV251" s="93">
        <v>21.456014188816749</v>
      </c>
      <c r="MW251" s="93">
        <v>14.562237528000001</v>
      </c>
      <c r="MX251" s="93">
        <v>391.04032332660097</v>
      </c>
      <c r="MY251" s="93">
        <v>399.96215869760096</v>
      </c>
      <c r="MZ251" s="93">
        <v>289.85075400333335</v>
      </c>
      <c r="NA251" s="93">
        <v>154.3512624913333</v>
      </c>
      <c r="NB251" s="93">
        <v>42.311369608</v>
      </c>
      <c r="NC251" s="93">
        <v>8.0991049789999998</v>
      </c>
      <c r="ND251" s="93">
        <v>4.8637365600000004</v>
      </c>
      <c r="NE251" s="93">
        <v>3.2353684190000003</v>
      </c>
      <c r="NF251" s="93">
        <v>85.08901692500001</v>
      </c>
      <c r="NG251" s="93">
        <v>0</v>
      </c>
      <c r="NH251" s="93">
        <v>19.319328741</v>
      </c>
      <c r="NI251" s="93">
        <v>0</v>
      </c>
      <c r="NJ251" s="93">
        <v>0</v>
      </c>
      <c r="NK251" s="93">
        <v>110.11140469426766</v>
      </c>
      <c r="NL251" s="93">
        <v>72.011285434000001</v>
      </c>
      <c r="NM251" s="93">
        <v>0.44516559700000002</v>
      </c>
      <c r="NN251" s="93">
        <v>37.654953663267648</v>
      </c>
      <c r="NO251" s="93">
        <v>-8.9218353710000038</v>
      </c>
      <c r="NP251" s="93">
        <v>-4.4299108717842328</v>
      </c>
      <c r="NQ251" s="93">
        <v>-40.448162588600987</v>
      </c>
      <c r="NR251" s="93">
        <v>5.3058960536666664</v>
      </c>
      <c r="NS251" s="93">
        <v>-2.7932089253333361</v>
      </c>
      <c r="NT251" s="93">
        <v>-102.32335621878426</v>
      </c>
      <c r="NU251" s="93">
        <v>-138.34160793560099</v>
      </c>
      <c r="NV251" s="93">
        <v>107.86200791845091</v>
      </c>
      <c r="NW251" s="93">
        <v>17.377959449450895</v>
      </c>
      <c r="NX251" s="93">
        <v>24.704929401450901</v>
      </c>
      <c r="NY251" s="93">
        <v>-7.3269699519999998</v>
      </c>
      <c r="NZ251" s="93">
        <v>0</v>
      </c>
      <c r="OA251" s="93">
        <v>90.484048469000001</v>
      </c>
      <c r="OB251" s="93">
        <v>69.597772781000003</v>
      </c>
      <c r="OC251" s="93">
        <v>20.886275688000008</v>
      </c>
      <c r="OD251" s="20">
        <v>-1.8626451492309569E-15</v>
      </c>
      <c r="OE251" s="29">
        <v>184</v>
      </c>
      <c r="OF251" s="1504">
        <v>42095</v>
      </c>
      <c r="OG251" s="19"/>
      <c r="OH251" s="93">
        <v>187.82424123999999</v>
      </c>
      <c r="OI251" s="93">
        <v>1052.6127145785733</v>
      </c>
      <c r="OJ251" s="93">
        <v>0.51212526399999991</v>
      </c>
      <c r="OK251" s="93">
        <v>901.30888460257324</v>
      </c>
      <c r="OL251" s="93">
        <v>150.79170471199998</v>
      </c>
      <c r="OM251" s="93">
        <v>1240.4369558185733</v>
      </c>
      <c r="ON251" s="93">
        <v>976.35260002936252</v>
      </c>
      <c r="OO251" s="93">
        <v>2216.7895558479358</v>
      </c>
      <c r="OP251" s="93"/>
      <c r="OQ251" s="93">
        <v>559.98358548376996</v>
      </c>
      <c r="OR251" s="93">
        <v>-149.31824742700002</v>
      </c>
      <c r="OS251" s="93">
        <v>709.30183291076992</v>
      </c>
      <c r="OT251" s="93">
        <v>1960.7032537471659</v>
      </c>
      <c r="OU251" s="93">
        <v>37.079322729999994</v>
      </c>
      <c r="OV251" s="93">
        <v>30.36232273000001</v>
      </c>
      <c r="OW251" s="93">
        <v>6.7169999999999845</v>
      </c>
      <c r="OX251" s="93">
        <v>1923.6239310171659</v>
      </c>
      <c r="OY251" s="93">
        <v>3.9662792959999997</v>
      </c>
      <c r="OZ251" s="93">
        <v>1919.6576517211661</v>
      </c>
      <c r="PA251" s="93">
        <v>351.76411762499998</v>
      </c>
      <c r="PB251" s="93">
        <v>-47.866834241999982</v>
      </c>
      <c r="PC251" s="20">
        <v>2216.7895558479363</v>
      </c>
      <c r="PD251" s="29">
        <v>184</v>
      </c>
      <c r="PE251" s="19"/>
      <c r="PF251" s="93">
        <v>-149.31824742700002</v>
      </c>
      <c r="PG251" s="93">
        <v>306.24372008</v>
      </c>
      <c r="PH251" s="93">
        <v>455.56196750700002</v>
      </c>
      <c r="PI251" s="93">
        <v>495.20943749999998</v>
      </c>
      <c r="PJ251" s="93">
        <v>35.720381490000008</v>
      </c>
      <c r="PK251" s="93">
        <v>124.85072944700001</v>
      </c>
      <c r="PL251" s="93">
        <v>89.130347956999998</v>
      </c>
      <c r="PM251" s="93">
        <v>3.9662792959999997</v>
      </c>
      <c r="PN251" s="93">
        <v>0.6</v>
      </c>
      <c r="PO251" s="93">
        <v>0</v>
      </c>
      <c r="PP251" s="93">
        <v>4.8614699999999998E-4</v>
      </c>
      <c r="PQ251" s="93">
        <v>3.3657931489999999</v>
      </c>
      <c r="PR251" s="93">
        <v>375.55789437200002</v>
      </c>
      <c r="PS251" s="93">
        <v>241.81729999999999</v>
      </c>
      <c r="PT251" s="93">
        <v>133.22846910800001</v>
      </c>
      <c r="PU251" s="93">
        <v>0.51212526399999991</v>
      </c>
      <c r="PV251" s="93">
        <v>0</v>
      </c>
      <c r="PW251" s="93">
        <v>1.493818058</v>
      </c>
      <c r="PX251" s="93">
        <v>0</v>
      </c>
      <c r="PY251" s="93">
        <v>0</v>
      </c>
      <c r="PZ251" s="93">
        <v>1.493818058</v>
      </c>
      <c r="QA251" s="93">
        <v>0</v>
      </c>
      <c r="QB251" s="93">
        <v>0</v>
      </c>
      <c r="QC251" s="93">
        <v>0</v>
      </c>
      <c r="QD251" s="93">
        <v>3.4802995669999999</v>
      </c>
      <c r="QE251" s="20">
        <v>5.0458388620000001</v>
      </c>
      <c r="QF251" s="1739">
        <v>184</v>
      </c>
      <c r="QG251" s="19"/>
      <c r="QH251" s="1035">
        <v>709.30183291076992</v>
      </c>
      <c r="QI251" s="1035">
        <v>962.16534827883413</v>
      </c>
      <c r="QJ251" s="1035">
        <v>-252.86351536806424</v>
      </c>
      <c r="QK251" s="1035">
        <v>176.99199999999999</v>
      </c>
      <c r="QL251" s="1035">
        <v>48.634999999999998</v>
      </c>
      <c r="QM251" s="1035">
        <v>128.357</v>
      </c>
      <c r="QN251" s="1035">
        <v>0</v>
      </c>
      <c r="QO251" s="1035">
        <v>6.7169999999999845</v>
      </c>
      <c r="QP251" s="1035">
        <v>198.56299999999999</v>
      </c>
      <c r="QQ251" s="1035">
        <v>-191.846</v>
      </c>
      <c r="QR251" s="1035">
        <v>1919.6576517211661</v>
      </c>
      <c r="QS251" s="1035">
        <v>28.575200548562474</v>
      </c>
      <c r="QT251" s="1035">
        <v>0</v>
      </c>
      <c r="QU251" s="1035">
        <v>206.37899999999999</v>
      </c>
      <c r="QV251" s="1035">
        <v>1684.7034511726035</v>
      </c>
      <c r="QW251" s="93"/>
      <c r="QX251" s="93">
        <v>496.22300000000001</v>
      </c>
      <c r="QY251" s="93">
        <v>901.30888460257324</v>
      </c>
      <c r="QZ251" s="93">
        <v>976.35260002936252</v>
      </c>
      <c r="RA251" s="93">
        <v>0</v>
      </c>
      <c r="RB251" s="93">
        <v>51.086000000000006</v>
      </c>
      <c r="RC251" s="93">
        <v>4.7350000000000003</v>
      </c>
      <c r="RD251" s="93">
        <v>17.751999999999999</v>
      </c>
      <c r="RE251" s="93">
        <v>0</v>
      </c>
      <c r="RF251" s="93">
        <v>0</v>
      </c>
      <c r="RG251" s="93">
        <v>273.21699999999998</v>
      </c>
      <c r="RH251" s="93">
        <v>91.993999999999986</v>
      </c>
      <c r="RI251" s="93"/>
      <c r="RJ251" s="93"/>
      <c r="RK251" s="93"/>
      <c r="RL251" s="93"/>
      <c r="RM251" s="734"/>
      <c r="RN251" s="29">
        <v>184</v>
      </c>
      <c r="RO251" s="19">
        <v>81</v>
      </c>
      <c r="RP251" s="20"/>
      <c r="RQ251" s="29">
        <v>184</v>
      </c>
      <c r="RR251" s="734">
        <v>2.9338249999999997</v>
      </c>
      <c r="RS251" s="29">
        <v>184</v>
      </c>
      <c r="RT251" s="1504">
        <v>42095</v>
      </c>
      <c r="RU251" s="19"/>
      <c r="RV251" s="20"/>
      <c r="RW251" s="29">
        <v>184</v>
      </c>
      <c r="RX251" s="1504">
        <v>42095</v>
      </c>
      <c r="RY251" s="29"/>
      <c r="RZ251" s="734"/>
      <c r="SA251" s="29"/>
      <c r="SB251" s="29">
        <v>184</v>
      </c>
    </row>
    <row r="252" spans="1:496">
      <c r="A252" s="41">
        <f t="shared" si="208"/>
        <v>2015</v>
      </c>
      <c r="B252" s="1504">
        <v>42125</v>
      </c>
      <c r="C252" s="1813">
        <v>1554</v>
      </c>
      <c r="D252" s="1814">
        <v>25365</v>
      </c>
      <c r="E252" s="1814">
        <v>83</v>
      </c>
      <c r="F252" s="1815">
        <v>341</v>
      </c>
      <c r="G252" s="1814">
        <v>104797</v>
      </c>
      <c r="H252" s="1814">
        <v>42</v>
      </c>
      <c r="I252" s="1814">
        <v>33505</v>
      </c>
      <c r="J252" s="1816">
        <v>16700</v>
      </c>
      <c r="K252" s="1807">
        <v>182387</v>
      </c>
      <c r="L252" s="25">
        <v>185</v>
      </c>
      <c r="M252" s="97"/>
      <c r="N252" s="1504">
        <v>42125</v>
      </c>
      <c r="O252" s="19">
        <v>1181</v>
      </c>
      <c r="P252" s="93">
        <v>1655</v>
      </c>
      <c r="Q252" s="93">
        <v>9515</v>
      </c>
      <c r="R252" s="93">
        <v>2414</v>
      </c>
      <c r="S252" s="93">
        <v>1125</v>
      </c>
      <c r="T252" s="93">
        <v>1005</v>
      </c>
      <c r="U252" s="93">
        <v>438</v>
      </c>
      <c r="V252" s="93">
        <v>2028</v>
      </c>
      <c r="W252" s="93">
        <v>6141</v>
      </c>
      <c r="X252" s="93">
        <v>811</v>
      </c>
      <c r="Y252" s="93">
        <v>214</v>
      </c>
      <c r="Z252" s="93">
        <v>1054</v>
      </c>
      <c r="AA252" s="93">
        <v>969</v>
      </c>
      <c r="AB252" s="132">
        <v>28550</v>
      </c>
      <c r="AC252" s="25">
        <v>185</v>
      </c>
      <c r="AD252" s="97"/>
      <c r="AE252" s="1504">
        <v>42125</v>
      </c>
      <c r="AF252" s="19">
        <v>2579</v>
      </c>
      <c r="AG252" s="93">
        <v>548</v>
      </c>
      <c r="AH252" s="93">
        <v>5862</v>
      </c>
      <c r="AI252" s="93">
        <v>4053</v>
      </c>
      <c r="AJ252" s="93">
        <v>3134</v>
      </c>
      <c r="AK252" s="93">
        <v>2194</v>
      </c>
      <c r="AL252" s="93">
        <v>1047</v>
      </c>
      <c r="AM252" s="93">
        <v>2125</v>
      </c>
      <c r="AN252" s="93">
        <v>6585</v>
      </c>
      <c r="AO252" s="93">
        <v>2475</v>
      </c>
      <c r="AP252" s="93">
        <v>1065</v>
      </c>
      <c r="AQ252" s="93">
        <v>2702</v>
      </c>
      <c r="AR252" s="93">
        <v>497</v>
      </c>
      <c r="AS252" s="20">
        <v>34866</v>
      </c>
      <c r="AT252" s="25">
        <v>185</v>
      </c>
      <c r="AU252" s="97"/>
      <c r="AV252" s="1504">
        <v>42125</v>
      </c>
      <c r="AW252" s="19">
        <v>9357</v>
      </c>
      <c r="AX252" s="93">
        <v>2427</v>
      </c>
      <c r="AY252" s="93">
        <v>4456</v>
      </c>
      <c r="AZ252" s="93">
        <v>12495</v>
      </c>
      <c r="BA252" s="93">
        <v>11651</v>
      </c>
      <c r="BB252" s="93">
        <v>5145</v>
      </c>
      <c r="BC252" s="93">
        <v>3839</v>
      </c>
      <c r="BD252" s="93">
        <v>15539</v>
      </c>
      <c r="BE252" s="93">
        <v>12715</v>
      </c>
      <c r="BF252" s="93">
        <v>7130</v>
      </c>
      <c r="BG252" s="93">
        <v>4586</v>
      </c>
      <c r="BH252" s="93">
        <v>13797</v>
      </c>
      <c r="BI252" s="93">
        <v>3296</v>
      </c>
      <c r="BJ252" s="20">
        <v>106433</v>
      </c>
      <c r="BK252" s="25">
        <v>185</v>
      </c>
      <c r="BL252" s="97"/>
      <c r="BM252" s="1504">
        <v>42125</v>
      </c>
      <c r="BN252" s="19">
        <v>105.62100000000002</v>
      </c>
      <c r="BO252" s="93">
        <v>3646.7360000000003</v>
      </c>
      <c r="BP252" s="93">
        <v>11.135999999999999</v>
      </c>
      <c r="BQ252" s="93">
        <v>947.07199999999989</v>
      </c>
      <c r="BR252" s="93">
        <v>6.4260000000000002</v>
      </c>
      <c r="BS252" s="93">
        <v>334.52099999999996</v>
      </c>
      <c r="BT252" s="93">
        <v>506.80800000000005</v>
      </c>
      <c r="BU252" s="132">
        <v>5558.3200000000006</v>
      </c>
      <c r="BV252" s="25">
        <v>185</v>
      </c>
      <c r="BW252" s="97"/>
      <c r="BX252" s="1504">
        <v>42125</v>
      </c>
      <c r="BY252" s="179">
        <v>588.27160841428565</v>
      </c>
      <c r="BZ252" s="99">
        <v>664.95699999999999</v>
      </c>
      <c r="CA252" s="99">
        <v>631.25897263169998</v>
      </c>
      <c r="CB252" s="99">
        <v>49.181165227039372</v>
      </c>
      <c r="CC252" s="99">
        <v>151.09679008490676</v>
      </c>
      <c r="CD252" s="25">
        <v>185</v>
      </c>
      <c r="CE252" s="97"/>
      <c r="CF252" s="1504">
        <v>42125</v>
      </c>
      <c r="CG252" s="1508">
        <v>1.6062861319999999</v>
      </c>
      <c r="CH252" s="568">
        <v>1198.6300000000001</v>
      </c>
      <c r="CI252" s="1708">
        <v>62.506666666666703</v>
      </c>
      <c r="CJ252" s="1509">
        <v>64.56</v>
      </c>
      <c r="CK252" s="1508">
        <v>386.53</v>
      </c>
      <c r="CL252" s="568">
        <v>166.2943688</v>
      </c>
      <c r="CM252" s="568">
        <v>0.29409630799999997</v>
      </c>
      <c r="CN252" s="568">
        <v>0.36460424000000002</v>
      </c>
      <c r="CO252" s="568">
        <v>215.31790620000001</v>
      </c>
      <c r="CP252" s="1509">
        <v>4.4974248000000001</v>
      </c>
      <c r="CQ252" s="1708">
        <v>1344.82</v>
      </c>
      <c r="CR252" s="568">
        <v>3.0924999999999998</v>
      </c>
      <c r="CS252" s="568">
        <v>1.8391</v>
      </c>
      <c r="CT252" s="568">
        <v>110.5</v>
      </c>
      <c r="CU252" s="568">
        <v>60.3</v>
      </c>
      <c r="CV252" s="1709">
        <v>2281.8000000000002</v>
      </c>
      <c r="CW252" s="29">
        <v>185</v>
      </c>
      <c r="CX252" s="41">
        <f t="shared" si="209"/>
        <v>2015</v>
      </c>
      <c r="CY252" s="1504">
        <v>42125</v>
      </c>
      <c r="CZ252" s="1916">
        <v>110.00018541166381</v>
      </c>
      <c r="DA252" s="1526">
        <v>66.964756911663798</v>
      </c>
      <c r="DB252" s="1526">
        <v>43.035428500000002</v>
      </c>
      <c r="DC252" s="182">
        <f t="shared" si="225"/>
        <v>544825</v>
      </c>
      <c r="DD252" s="182">
        <f t="shared" si="226"/>
        <v>543327</v>
      </c>
      <c r="DE252" s="182">
        <f t="shared" si="227"/>
        <v>1498</v>
      </c>
      <c r="DF252" s="29">
        <v>185</v>
      </c>
      <c r="DG252" s="1504">
        <v>42125</v>
      </c>
      <c r="DH252" s="181">
        <v>315017</v>
      </c>
      <c r="DI252" s="182"/>
      <c r="DJ252" s="182"/>
      <c r="DK252" s="182"/>
      <c r="DL252" s="182"/>
      <c r="DM252" s="182"/>
      <c r="DN252" s="290"/>
      <c r="DO252" s="295"/>
      <c r="DP252" s="29">
        <v>185</v>
      </c>
      <c r="DQ252" s="1504">
        <v>42125</v>
      </c>
      <c r="DR252" s="19"/>
      <c r="DS252" s="93"/>
      <c r="DT252" s="93"/>
      <c r="DU252" s="93"/>
      <c r="DV252" s="93"/>
      <c r="DW252" s="93"/>
      <c r="DX252" s="1719"/>
      <c r="DY252" s="29">
        <v>185</v>
      </c>
      <c r="DZ252" s="1504">
        <v>42125</v>
      </c>
      <c r="EA252" s="19"/>
      <c r="EB252" s="93"/>
      <c r="EC252" s="20"/>
      <c r="ED252" s="29"/>
      <c r="EE252" s="1504">
        <v>42125</v>
      </c>
      <c r="EF252" s="419">
        <f t="shared" si="233"/>
        <v>16619.718450386201</v>
      </c>
      <c r="EG252" s="100">
        <f t="shared" si="233"/>
        <v>20900.357823948303</v>
      </c>
      <c r="EH252" s="100">
        <f t="shared" si="233"/>
        <v>37311.927801556303</v>
      </c>
      <c r="EI252" s="420">
        <f t="shared" si="233"/>
        <v>6345.9437695336856</v>
      </c>
      <c r="EJ252" s="100">
        <f t="shared" si="233"/>
        <v>1090.8631991864786</v>
      </c>
      <c r="EK252" s="100">
        <f t="shared" si="233"/>
        <v>319.72005504580642</v>
      </c>
      <c r="EL252" s="100">
        <f t="shared" si="233"/>
        <v>47.270002300582611</v>
      </c>
      <c r="EM252" s="100">
        <f t="shared" si="233"/>
        <v>15.096372941090344</v>
      </c>
      <c r="EN252" s="306">
        <f t="shared" si="233"/>
        <v>1404.3149698942939</v>
      </c>
      <c r="EO252" s="29">
        <v>185</v>
      </c>
      <c r="EP252" s="1504">
        <v>42125</v>
      </c>
      <c r="EQ252" s="419">
        <f t="shared" si="234"/>
        <v>16145.664539712818</v>
      </c>
      <c r="ER252" s="100">
        <f t="shared" si="234"/>
        <v>20441.520264984534</v>
      </c>
      <c r="ES252" s="100">
        <f t="shared" si="234"/>
        <v>36373.317692867735</v>
      </c>
      <c r="ET252" s="420">
        <f t="shared" si="234"/>
        <v>6345.9437695336856</v>
      </c>
      <c r="EU252" s="100">
        <f t="shared" si="234"/>
        <v>1090.8631991864786</v>
      </c>
      <c r="EV252" s="100">
        <f t="shared" si="234"/>
        <v>319.72005504580642</v>
      </c>
      <c r="EW252" s="100">
        <f t="shared" si="234"/>
        <v>47.270002300582611</v>
      </c>
      <c r="EX252" s="100">
        <f t="shared" si="234"/>
        <v>15.096372941090344</v>
      </c>
      <c r="EY252" s="306">
        <f t="shared" si="234"/>
        <v>1404.3149698942939</v>
      </c>
      <c r="EZ252" s="29">
        <v>185</v>
      </c>
      <c r="FA252" s="1504">
        <v>42125</v>
      </c>
      <c r="FB252" s="29"/>
      <c r="FC252" s="29"/>
      <c r="FD252" s="29"/>
      <c r="FE252" s="29"/>
      <c r="FF252" s="29"/>
      <c r="FG252" s="29"/>
      <c r="FH252" s="29"/>
      <c r="FI252" s="29"/>
      <c r="FJ252" s="29"/>
      <c r="FK252" s="29">
        <v>185</v>
      </c>
      <c r="FL252" s="1504">
        <v>42125</v>
      </c>
      <c r="FM252" s="19">
        <v>100.79</v>
      </c>
      <c r="FN252" s="93">
        <v>101.81</v>
      </c>
      <c r="FO252" s="93">
        <v>98.3</v>
      </c>
      <c r="FP252" s="93">
        <v>99.44</v>
      </c>
      <c r="FQ252" s="93">
        <v>98.96</v>
      </c>
      <c r="FR252" s="93">
        <v>100.08</v>
      </c>
      <c r="FS252" s="93">
        <v>100.05</v>
      </c>
      <c r="FT252" s="93">
        <v>98.5</v>
      </c>
      <c r="FU252" s="93">
        <v>99.91</v>
      </c>
      <c r="FV252" s="93">
        <v>99.6</v>
      </c>
      <c r="FW252" s="93">
        <v>101.34</v>
      </c>
      <c r="FX252" s="93">
        <v>100.04</v>
      </c>
      <c r="FY252" s="93">
        <v>99.99</v>
      </c>
      <c r="FZ252" s="29">
        <v>185</v>
      </c>
      <c r="GA252" s="1504">
        <v>42125</v>
      </c>
      <c r="GB252" s="19">
        <v>100.79</v>
      </c>
      <c r="GC252" s="93">
        <v>99.16</v>
      </c>
      <c r="GD252" s="93">
        <v>101.76</v>
      </c>
      <c r="GE252" s="93">
        <v>97.26</v>
      </c>
      <c r="GF252" s="93">
        <v>102.36</v>
      </c>
      <c r="GG252" s="99">
        <v>100.67</v>
      </c>
      <c r="GH252" s="93">
        <v>102.28</v>
      </c>
      <c r="GI252" s="93">
        <v>100.16</v>
      </c>
      <c r="GJ252" s="93">
        <v>100.3</v>
      </c>
      <c r="GK252" s="93">
        <v>100.15</v>
      </c>
      <c r="GL252" s="93">
        <v>101.39</v>
      </c>
      <c r="GM252" s="93">
        <v>99.5</v>
      </c>
      <c r="GN252" s="20">
        <v>100.29</v>
      </c>
      <c r="GO252" s="29">
        <v>185</v>
      </c>
      <c r="GP252" s="1504">
        <v>42125</v>
      </c>
      <c r="GQ252" s="181">
        <v>241.70336357095999</v>
      </c>
      <c r="GR252" s="182">
        <v>214.61912852323599</v>
      </c>
      <c r="GS252" s="182">
        <v>242.72862877345301</v>
      </c>
      <c r="GT252" s="182">
        <v>164.634015632049</v>
      </c>
      <c r="GU252" s="182">
        <v>426.32516893407598</v>
      </c>
      <c r="GV252" s="290">
        <v>769.474718749712</v>
      </c>
      <c r="GW252" s="181">
        <v>348.65930303229101</v>
      </c>
      <c r="GX252" s="182">
        <v>378.20560755164598</v>
      </c>
      <c r="GY252" s="182">
        <v>273.82508529635498</v>
      </c>
      <c r="GZ252" s="182">
        <v>280.45007289539598</v>
      </c>
      <c r="HA252" s="182">
        <v>350.51851662046698</v>
      </c>
      <c r="HB252" s="290">
        <v>666.853378479497</v>
      </c>
      <c r="HC252" s="181">
        <v>1819.9836164257799</v>
      </c>
      <c r="HD252" s="182">
        <v>2234.3950114805598</v>
      </c>
      <c r="HE252" s="182">
        <v>2072.5067175795898</v>
      </c>
      <c r="HF252" s="182">
        <v>3150</v>
      </c>
      <c r="HG252" s="182">
        <v>2323.9865833270501</v>
      </c>
      <c r="HH252" s="290">
        <v>2892.1156864008099</v>
      </c>
      <c r="HI252" s="19"/>
      <c r="HJ252" s="182">
        <v>837.57971129514794</v>
      </c>
      <c r="HK252" s="182">
        <v>1186.7860221123001</v>
      </c>
      <c r="HL252" s="182">
        <v>951.53595158979795</v>
      </c>
      <c r="HM252" s="182">
        <v>875</v>
      </c>
      <c r="HN252" s="290">
        <v>1927.0406607747</v>
      </c>
      <c r="HO252" s="324">
        <v>125.51111070446601</v>
      </c>
      <c r="HP252" s="290">
        <v>94.845095063387205</v>
      </c>
      <c r="HQ252" s="295">
        <v>151.78493311176001</v>
      </c>
      <c r="HR252" s="29">
        <v>185</v>
      </c>
      <c r="HS252" s="1504">
        <v>42125</v>
      </c>
      <c r="HT252" s="179">
        <v>224.17949981689452</v>
      </c>
      <c r="HU252" s="99">
        <v>218.75</v>
      </c>
      <c r="HV252" s="99">
        <v>175.15922546386719</v>
      </c>
      <c r="HW252" s="99">
        <v>141.82692718505859</v>
      </c>
      <c r="HX252" s="99">
        <v>191.66666412353516</v>
      </c>
      <c r="HY252" s="99">
        <v>193.8470428466797</v>
      </c>
      <c r="HZ252" s="99">
        <v>195.77214813232422</v>
      </c>
      <c r="IA252" s="132">
        <v>175.80645751953125</v>
      </c>
      <c r="IB252" s="179">
        <v>206.89654541015625</v>
      </c>
      <c r="IC252" s="99">
        <v>143.66161499023437</v>
      </c>
      <c r="ID252" s="99">
        <v>185.71428527832032</v>
      </c>
      <c r="IE252" s="99">
        <v>162.33766174316406</v>
      </c>
      <c r="IF252" s="99">
        <v>191.40625</v>
      </c>
      <c r="IG252" s="132">
        <v>155.00000762939453</v>
      </c>
      <c r="IH252" s="179">
        <v>137.33240509033203</v>
      </c>
      <c r="II252" s="99">
        <v>194.73617553710938</v>
      </c>
      <c r="IJ252" s="99">
        <v>155.93219909667968</v>
      </c>
      <c r="IK252" s="99">
        <v>153.42960357666016</v>
      </c>
      <c r="IL252" s="99">
        <v>146.15871124267579</v>
      </c>
      <c r="IM252" s="99">
        <v>149.50980377197266</v>
      </c>
      <c r="IN252" s="99">
        <v>148.21429138183595</v>
      </c>
      <c r="IO252" s="132">
        <v>138.81341247558595</v>
      </c>
      <c r="IP252" s="29">
        <v>185</v>
      </c>
      <c r="IQ252" s="419">
        <f>(((IQ251/IQ250-1)+(IQ250/IQ249-1))^1/2+1)*IQ251</f>
        <v>154.10075730173639</v>
      </c>
      <c r="IR252" s="99">
        <v>87.673847198486328</v>
      </c>
      <c r="IS252" s="99">
        <v>139.65516662597656</v>
      </c>
      <c r="IT252" s="99">
        <v>94.936710357666016</v>
      </c>
      <c r="IU252" s="99">
        <v>158.66873168945313</v>
      </c>
      <c r="IV252" s="132">
        <v>110.29411506652832</v>
      </c>
      <c r="IW252" s="29">
        <v>185</v>
      </c>
      <c r="IX252" s="179">
        <v>416.66666666666669</v>
      </c>
      <c r="IY252" s="99">
        <v>424.44444885253904</v>
      </c>
      <c r="IZ252" s="99">
        <v>445</v>
      </c>
      <c r="JA252" s="99">
        <v>375</v>
      </c>
      <c r="JB252" s="99">
        <v>390</v>
      </c>
      <c r="JC252" s="99">
        <v>400</v>
      </c>
      <c r="JD252" s="99">
        <v>390</v>
      </c>
      <c r="JE252" s="132">
        <v>360</v>
      </c>
      <c r="JF252" s="29">
        <v>185</v>
      </c>
      <c r="JG252" s="179">
        <v>185.50977935791016</v>
      </c>
      <c r="JH252" s="99">
        <v>196.08026275634765</v>
      </c>
      <c r="JI252" s="99">
        <v>160.77171325683594</v>
      </c>
      <c r="JJ252" s="99">
        <v>165.625</v>
      </c>
      <c r="JK252" s="99">
        <v>176.76767730712891</v>
      </c>
      <c r="JL252" s="99">
        <v>158.35913848876953</v>
      </c>
      <c r="JM252" s="99">
        <v>171.56863403320313</v>
      </c>
      <c r="JN252" s="132">
        <v>190.04072723388671</v>
      </c>
      <c r="JO252" s="29">
        <v>185</v>
      </c>
      <c r="JP252" s="179">
        <v>203.70370483398438</v>
      </c>
      <c r="JQ252" s="99">
        <v>110</v>
      </c>
      <c r="JR252" s="99">
        <v>166.20689086914064</v>
      </c>
      <c r="JS252" s="100"/>
      <c r="JT252" s="99">
        <v>158.22784423828125</v>
      </c>
      <c r="JU252" s="132">
        <v>129.78141593933105</v>
      </c>
      <c r="JV252" s="29">
        <v>185</v>
      </c>
      <c r="JW252" s="1504">
        <v>42125</v>
      </c>
      <c r="JX252" s="179">
        <v>291.66666666666669</v>
      </c>
      <c r="JY252" s="99">
        <v>319.46428571428572</v>
      </c>
      <c r="JZ252" s="99">
        <v>300</v>
      </c>
      <c r="KA252" s="99">
        <v>329.16666666666669</v>
      </c>
      <c r="KB252" s="99">
        <v>392.66666666666669</v>
      </c>
      <c r="KC252" s="99">
        <v>387.08333333333331</v>
      </c>
      <c r="KD252" s="132">
        <v>404.74358974358972</v>
      </c>
      <c r="KE252" s="29">
        <v>185</v>
      </c>
      <c r="KF252" s="179">
        <v>37.458333333333336</v>
      </c>
      <c r="KG252" s="99">
        <v>40.884615384615387</v>
      </c>
      <c r="KH252" s="99">
        <v>62.5</v>
      </c>
      <c r="KI252" s="99">
        <v>63.9</v>
      </c>
      <c r="KJ252" s="99">
        <v>60.416666666666664</v>
      </c>
      <c r="KK252" s="132">
        <v>75.357142857142861</v>
      </c>
      <c r="KL252" s="29">
        <v>185</v>
      </c>
      <c r="KM252" s="179">
        <v>22.25</v>
      </c>
      <c r="KN252" s="99">
        <v>15.170731707317072</v>
      </c>
      <c r="KO252" s="99">
        <v>32.166666666666664</v>
      </c>
      <c r="KP252" s="99">
        <v>42.4</v>
      </c>
      <c r="KQ252" s="99">
        <v>30.875</v>
      </c>
      <c r="KR252" s="132">
        <v>31.458333333333332</v>
      </c>
      <c r="KS252" s="29">
        <v>185</v>
      </c>
      <c r="KT252" s="179">
        <v>29.458333333333332</v>
      </c>
      <c r="KU252" s="99">
        <v>22.75</v>
      </c>
      <c r="KV252" s="99">
        <v>30.583333333333332</v>
      </c>
      <c r="KW252" s="99">
        <v>37.35</v>
      </c>
      <c r="KX252" s="99">
        <v>20.208333333333332</v>
      </c>
      <c r="KY252" s="132">
        <v>28.404761904761905</v>
      </c>
      <c r="KZ252" s="29">
        <v>185</v>
      </c>
      <c r="LA252" s="1504">
        <v>42125</v>
      </c>
      <c r="LB252" s="19">
        <v>460</v>
      </c>
      <c r="LC252" s="93">
        <v>690</v>
      </c>
      <c r="LD252" s="93">
        <v>682</v>
      </c>
      <c r="LE252" s="93"/>
      <c r="LF252" s="93">
        <v>606</v>
      </c>
      <c r="LG252" s="93"/>
      <c r="LH252" s="20"/>
      <c r="LI252" s="29">
        <v>185</v>
      </c>
      <c r="LJ252" s="19"/>
      <c r="LK252" s="93"/>
      <c r="LL252" s="93"/>
      <c r="LM252" s="93"/>
      <c r="LN252" s="93"/>
      <c r="LO252" s="20"/>
      <c r="LP252" s="29">
        <v>185</v>
      </c>
      <c r="LQ252" s="19"/>
      <c r="LR252" s="93"/>
      <c r="LS252" s="93"/>
      <c r="LT252" s="93"/>
      <c r="LU252" s="93"/>
      <c r="LV252" s="93"/>
      <c r="LW252" s="93"/>
      <c r="LX252" s="93"/>
      <c r="LY252" s="93"/>
      <c r="LZ252" s="93"/>
      <c r="MA252" s="20"/>
      <c r="MB252" s="29">
        <v>185</v>
      </c>
      <c r="MC252" s="1504">
        <v>42125</v>
      </c>
      <c r="MD252" s="19">
        <v>494.62285509064463</v>
      </c>
      <c r="ME252" s="93">
        <v>430.154055959</v>
      </c>
      <c r="MF252" s="93">
        <v>430.15398335900005</v>
      </c>
      <c r="MG252" s="93">
        <v>385.2221045849999</v>
      </c>
      <c r="MH252" s="93">
        <v>105.20198863700001</v>
      </c>
      <c r="MI252" s="93">
        <v>3.5373746509999999</v>
      </c>
      <c r="MJ252" s="93">
        <v>2.9505703269999999</v>
      </c>
      <c r="MK252" s="93">
        <v>215.00018770200003</v>
      </c>
      <c r="ML252" s="93">
        <v>55.360134218999995</v>
      </c>
      <c r="MM252" s="93">
        <v>3.171849049</v>
      </c>
      <c r="MN252" s="93">
        <v>44.931878774000005</v>
      </c>
      <c r="MO252" s="93">
        <v>1.9917806140000001</v>
      </c>
      <c r="MP252" s="93">
        <v>11.944666987000002</v>
      </c>
      <c r="MQ252" s="93">
        <v>2.5650830239999998</v>
      </c>
      <c r="MR252" s="93">
        <v>4.8833019059999998</v>
      </c>
      <c r="MS252" s="93">
        <v>23.547046243</v>
      </c>
      <c r="MT252" s="93">
        <v>7.2599999999999989E-5</v>
      </c>
      <c r="MU252" s="93">
        <v>64.468799131644715</v>
      </c>
      <c r="MV252" s="93">
        <v>45.473295720644714</v>
      </c>
      <c r="MW252" s="93">
        <v>18.995503411000001</v>
      </c>
      <c r="MX252" s="93">
        <v>547.93588037151073</v>
      </c>
      <c r="MY252" s="93">
        <v>556.94228351151071</v>
      </c>
      <c r="MZ252" s="93">
        <v>376.28103717200003</v>
      </c>
      <c r="NA252" s="93">
        <v>197.23605010499998</v>
      </c>
      <c r="NB252" s="93">
        <v>53.142388273000002</v>
      </c>
      <c r="NC252" s="93">
        <v>18.011789635000003</v>
      </c>
      <c r="ND252" s="93">
        <v>11.988854574000001</v>
      </c>
      <c r="NE252" s="93">
        <v>6.022935061000001</v>
      </c>
      <c r="NF252" s="93">
        <v>107.89080915900001</v>
      </c>
      <c r="NG252" s="93">
        <v>2.6330279575</v>
      </c>
      <c r="NH252" s="93">
        <v>24.706621525999999</v>
      </c>
      <c r="NI252" s="93">
        <v>3.4055293779999998</v>
      </c>
      <c r="NJ252" s="93">
        <v>0.89295081399999998</v>
      </c>
      <c r="NK252" s="93">
        <v>180.66124633951074</v>
      </c>
      <c r="NL252" s="93">
        <v>113.921676902</v>
      </c>
      <c r="NM252" s="93">
        <v>0.44516559700000002</v>
      </c>
      <c r="NN252" s="93">
        <v>66.294403840510725</v>
      </c>
      <c r="NO252" s="93">
        <v>-9.0064031399999998</v>
      </c>
      <c r="NP252" s="93">
        <v>-53.313025280866036</v>
      </c>
      <c r="NQ252" s="93">
        <v>-117.78182441251076</v>
      </c>
      <c r="NR252" s="93">
        <v>-33.475630937000034</v>
      </c>
      <c r="NS252" s="93">
        <v>-51.487420572000026</v>
      </c>
      <c r="NT252" s="93">
        <v>-108.33518888386607</v>
      </c>
      <c r="NU252" s="93">
        <v>-172.80398801551075</v>
      </c>
      <c r="NV252" s="93">
        <v>112.67360451886603</v>
      </c>
      <c r="NW252" s="93">
        <v>18.250123483866002</v>
      </c>
      <c r="NX252" s="93">
        <v>29.327098046866009</v>
      </c>
      <c r="NY252" s="93">
        <v>-11.076974563</v>
      </c>
      <c r="NZ252" s="93">
        <v>0</v>
      </c>
      <c r="OA252" s="93">
        <v>94.423481035000009</v>
      </c>
      <c r="OB252" s="93">
        <v>57.267643233000008</v>
      </c>
      <c r="OC252" s="93">
        <v>37.155837802000008</v>
      </c>
      <c r="OD252" s="20">
        <v>-1.8626451492309569E-15</v>
      </c>
      <c r="OE252" s="29">
        <v>185</v>
      </c>
      <c r="OF252" s="1504">
        <v>42125</v>
      </c>
      <c r="OG252" s="19"/>
      <c r="OH252" s="93">
        <v>166.279354711</v>
      </c>
      <c r="OI252" s="93">
        <v>1035.4575242636797</v>
      </c>
      <c r="OJ252" s="93">
        <v>0.51569876999999997</v>
      </c>
      <c r="OK252" s="93">
        <v>882.60927537367979</v>
      </c>
      <c r="OL252" s="93">
        <v>152.33255012000001</v>
      </c>
      <c r="OM252" s="93">
        <v>1201.7368789746797</v>
      </c>
      <c r="ON252" s="93">
        <v>991.89415070169946</v>
      </c>
      <c r="OO252" s="93">
        <v>2193.6310296763791</v>
      </c>
      <c r="OP252" s="93"/>
      <c r="OQ252" s="93">
        <v>518.8708046412371</v>
      </c>
      <c r="OR252" s="93">
        <v>-150.36835441300008</v>
      </c>
      <c r="OS252" s="93">
        <v>669.23915905423712</v>
      </c>
      <c r="OT252" s="93">
        <v>1948.097553209142</v>
      </c>
      <c r="OU252" s="93">
        <v>24.91109748200001</v>
      </c>
      <c r="OV252" s="93">
        <v>12.595097482000005</v>
      </c>
      <c r="OW252" s="93">
        <v>12.316000000000003</v>
      </c>
      <c r="OX252" s="93">
        <v>1923.1864557271419</v>
      </c>
      <c r="OY252" s="93">
        <v>3.9851887059999997</v>
      </c>
      <c r="OZ252" s="93">
        <v>1919.201267021142</v>
      </c>
      <c r="PA252" s="93">
        <v>351.90127439499997</v>
      </c>
      <c r="PB252" s="93">
        <v>-78.563946220999981</v>
      </c>
      <c r="PC252" s="20">
        <v>2193.6310296763795</v>
      </c>
      <c r="PD252" s="29">
        <v>185</v>
      </c>
      <c r="PE252" s="19"/>
      <c r="PF252" s="93">
        <v>-150.36835441300008</v>
      </c>
      <c r="PG252" s="93">
        <v>330.62714824699998</v>
      </c>
      <c r="PH252" s="93">
        <v>480.99550266000006</v>
      </c>
      <c r="PI252" s="93">
        <v>528.02143750000005</v>
      </c>
      <c r="PJ252" s="93">
        <v>25.551242771000005</v>
      </c>
      <c r="PK252" s="93">
        <v>124.870547403</v>
      </c>
      <c r="PL252" s="93">
        <v>99.319304631999998</v>
      </c>
      <c r="PM252" s="93">
        <v>3.9851887059999997</v>
      </c>
      <c r="PN252" s="93">
        <v>0.6</v>
      </c>
      <c r="PO252" s="93">
        <v>0</v>
      </c>
      <c r="PP252" s="93">
        <v>4.8614699999999998E-4</v>
      </c>
      <c r="PQ252" s="93">
        <v>3.3847025589999999</v>
      </c>
      <c r="PR252" s="93">
        <v>398.689017788</v>
      </c>
      <c r="PS252" s="93">
        <v>235.7825</v>
      </c>
      <c r="PT252" s="93">
        <v>152.390819018</v>
      </c>
      <c r="PU252" s="93">
        <v>10.51569877</v>
      </c>
      <c r="PV252" s="93">
        <v>0</v>
      </c>
      <c r="PW252" s="93">
        <v>0.49357304299999999</v>
      </c>
      <c r="PX252" s="93">
        <v>0</v>
      </c>
      <c r="PY252" s="93">
        <v>0</v>
      </c>
      <c r="PZ252" s="93">
        <v>0.49357304299999999</v>
      </c>
      <c r="QA252" s="93">
        <v>0</v>
      </c>
      <c r="QB252" s="93">
        <v>0</v>
      </c>
      <c r="QC252" s="93">
        <v>0</v>
      </c>
      <c r="QD252" s="93">
        <v>4.2647013520000003</v>
      </c>
      <c r="QE252" s="20">
        <v>3.7422223810000004</v>
      </c>
      <c r="QF252" s="1739">
        <v>185</v>
      </c>
      <c r="QG252" s="19"/>
      <c r="QH252" s="1035">
        <v>669.23915905423712</v>
      </c>
      <c r="QI252" s="1035">
        <v>963.48973297885789</v>
      </c>
      <c r="QJ252" s="1035">
        <v>-294.25057392462077</v>
      </c>
      <c r="QK252" s="1035">
        <v>208.934</v>
      </c>
      <c r="QL252" s="1035">
        <v>56.546999999999997</v>
      </c>
      <c r="QM252" s="1035">
        <v>152.387</v>
      </c>
      <c r="QN252" s="1035">
        <v>0</v>
      </c>
      <c r="QO252" s="1035">
        <v>12.316000000000003</v>
      </c>
      <c r="QP252" s="1035">
        <v>219.172</v>
      </c>
      <c r="QQ252" s="1035">
        <v>-206.85599999999999</v>
      </c>
      <c r="QR252" s="1035">
        <v>1919.201267021142</v>
      </c>
      <c r="QS252" s="1035">
        <v>21.237043476978744</v>
      </c>
      <c r="QT252" s="1035">
        <v>0</v>
      </c>
      <c r="QU252" s="1035">
        <v>199.38800000000001</v>
      </c>
      <c r="QV252" s="1035">
        <v>1698.5762235441632</v>
      </c>
      <c r="QW252" s="93"/>
      <c r="QX252" s="93">
        <v>529.27</v>
      </c>
      <c r="QY252" s="93">
        <v>882.60927537367979</v>
      </c>
      <c r="QZ252" s="93">
        <v>981.89415070169935</v>
      </c>
      <c r="RA252" s="93">
        <v>0</v>
      </c>
      <c r="RB252" s="93">
        <v>54.254000000000005</v>
      </c>
      <c r="RC252" s="93">
        <v>4.7650000000000006</v>
      </c>
      <c r="RD252" s="93">
        <v>14.625</v>
      </c>
      <c r="RE252" s="93">
        <v>0</v>
      </c>
      <c r="RF252" s="93">
        <v>0</v>
      </c>
      <c r="RG252" s="93">
        <v>273.49900000000002</v>
      </c>
      <c r="RH252" s="93">
        <v>68.774000000000029</v>
      </c>
      <c r="RI252" s="93"/>
      <c r="RJ252" s="93"/>
      <c r="RK252" s="93"/>
      <c r="RL252" s="93"/>
      <c r="RM252" s="734"/>
      <c r="RN252" s="29">
        <v>185</v>
      </c>
      <c r="RO252" s="19">
        <v>59</v>
      </c>
      <c r="RP252" s="20"/>
      <c r="RQ252" s="29">
        <v>185</v>
      </c>
      <c r="RR252" s="734">
        <v>2.8197730999999999</v>
      </c>
      <c r="RS252" s="29">
        <v>185</v>
      </c>
      <c r="RT252" s="1504">
        <v>42125</v>
      </c>
      <c r="RU252" s="19"/>
      <c r="RV252" s="20"/>
      <c r="RW252" s="29">
        <v>185</v>
      </c>
      <c r="RX252" s="1504">
        <v>42125</v>
      </c>
      <c r="RY252" s="29"/>
      <c r="RZ252" s="734"/>
      <c r="SA252" s="29"/>
      <c r="SB252" s="29">
        <v>185</v>
      </c>
    </row>
    <row r="253" spans="1:496">
      <c r="A253" s="41">
        <f t="shared" si="208"/>
        <v>2015</v>
      </c>
      <c r="B253" s="1504">
        <v>42156</v>
      </c>
      <c r="C253" s="1813">
        <v>1806</v>
      </c>
      <c r="D253" s="1814">
        <v>28456</v>
      </c>
      <c r="E253" s="1814">
        <v>55</v>
      </c>
      <c r="F253" s="1815">
        <v>637</v>
      </c>
      <c r="G253" s="1814">
        <v>117004</v>
      </c>
      <c r="H253" s="1814">
        <v>39</v>
      </c>
      <c r="I253" s="1814">
        <v>35849</v>
      </c>
      <c r="J253" s="1816">
        <v>19611</v>
      </c>
      <c r="K253" s="1807">
        <v>203457</v>
      </c>
      <c r="L253" s="25">
        <v>186</v>
      </c>
      <c r="M253" s="97"/>
      <c r="N253" s="1504">
        <v>42156</v>
      </c>
      <c r="O253" s="19">
        <v>1711</v>
      </c>
      <c r="P253" s="93">
        <v>1102</v>
      </c>
      <c r="Q253" s="93">
        <v>9922</v>
      </c>
      <c r="R253" s="93">
        <v>2915</v>
      </c>
      <c r="S253" s="93">
        <v>1654</v>
      </c>
      <c r="T253" s="93">
        <v>1322</v>
      </c>
      <c r="U253" s="93">
        <v>463</v>
      </c>
      <c r="V253" s="93">
        <v>3249</v>
      </c>
      <c r="W253" s="93">
        <v>5907</v>
      </c>
      <c r="X253" s="93">
        <v>955</v>
      </c>
      <c r="Y253" s="93">
        <v>299</v>
      </c>
      <c r="Z253" s="93">
        <v>1800</v>
      </c>
      <c r="AA253" s="93">
        <v>973</v>
      </c>
      <c r="AB253" s="132">
        <v>32272</v>
      </c>
      <c r="AC253" s="25">
        <v>186</v>
      </c>
      <c r="AD253" s="97"/>
      <c r="AE253" s="1504">
        <v>42156</v>
      </c>
      <c r="AF253" s="19">
        <v>2710</v>
      </c>
      <c r="AG253" s="93">
        <v>902</v>
      </c>
      <c r="AH253" s="93">
        <v>5764</v>
      </c>
      <c r="AI253" s="93">
        <v>4525</v>
      </c>
      <c r="AJ253" s="93">
        <v>3469</v>
      </c>
      <c r="AK253" s="93">
        <v>2371</v>
      </c>
      <c r="AL253" s="93">
        <v>1137</v>
      </c>
      <c r="AM253" s="93">
        <v>2204</v>
      </c>
      <c r="AN253" s="93">
        <v>6153</v>
      </c>
      <c r="AO253" s="93">
        <v>2581</v>
      </c>
      <c r="AP253" s="93">
        <v>1022</v>
      </c>
      <c r="AQ253" s="93">
        <v>3335</v>
      </c>
      <c r="AR253" s="93">
        <v>996</v>
      </c>
      <c r="AS253" s="20">
        <v>37169</v>
      </c>
      <c r="AT253" s="25">
        <v>186</v>
      </c>
      <c r="AU253" s="97"/>
      <c r="AV253" s="1504">
        <v>42156</v>
      </c>
      <c r="AW253" s="19">
        <v>10520</v>
      </c>
      <c r="AX253" s="93">
        <v>3634</v>
      </c>
      <c r="AY253" s="93">
        <v>5777</v>
      </c>
      <c r="AZ253" s="93">
        <v>14171</v>
      </c>
      <c r="BA253" s="93">
        <v>12393</v>
      </c>
      <c r="BB253" s="93">
        <v>5557</v>
      </c>
      <c r="BC253" s="93">
        <v>4555</v>
      </c>
      <c r="BD253" s="93">
        <v>14395</v>
      </c>
      <c r="BE253" s="93">
        <v>13901</v>
      </c>
      <c r="BF253" s="93">
        <v>8746</v>
      </c>
      <c r="BG253" s="93">
        <v>4613</v>
      </c>
      <c r="BH253" s="93">
        <v>14842</v>
      </c>
      <c r="BI253" s="93">
        <v>5280</v>
      </c>
      <c r="BJ253" s="20">
        <v>118384</v>
      </c>
      <c r="BK253" s="25">
        <v>186</v>
      </c>
      <c r="BL253" s="97"/>
      <c r="BM253" s="1504">
        <v>42156</v>
      </c>
      <c r="BN253" s="19">
        <v>85.884</v>
      </c>
      <c r="BO253" s="93">
        <v>3481.982</v>
      </c>
      <c r="BP253" s="93">
        <v>8.64</v>
      </c>
      <c r="BQ253" s="93">
        <v>1020.5840000000003</v>
      </c>
      <c r="BR253" s="93">
        <v>1.6830000000000001</v>
      </c>
      <c r="BS253" s="93">
        <v>346.40100000000001</v>
      </c>
      <c r="BT253" s="93">
        <v>489.4559999999999</v>
      </c>
      <c r="BU253" s="132">
        <v>5434.63</v>
      </c>
      <c r="BV253" s="25">
        <v>186</v>
      </c>
      <c r="BW253" s="97"/>
      <c r="BX253" s="1504">
        <v>42156</v>
      </c>
      <c r="BY253" s="179">
        <v>585</v>
      </c>
      <c r="BZ253" s="99">
        <v>664.95699999999999</v>
      </c>
      <c r="CA253" s="99">
        <v>627.42365764839997</v>
      </c>
      <c r="CB253" s="99">
        <v>47.533000000000001</v>
      </c>
      <c r="CC253" s="99">
        <v>139.55000000000001</v>
      </c>
      <c r="CD253" s="25">
        <v>186</v>
      </c>
      <c r="CE253" s="97"/>
      <c r="CF253" s="1504">
        <v>42156</v>
      </c>
      <c r="CG253" s="1508">
        <v>1.5950425699999999</v>
      </c>
      <c r="CH253" s="568">
        <v>1181.5</v>
      </c>
      <c r="CI253" s="1708">
        <v>61.3066666666667</v>
      </c>
      <c r="CJ253" s="1509">
        <v>62.34</v>
      </c>
      <c r="CK253" s="1508">
        <v>375.95</v>
      </c>
      <c r="CL253" s="568">
        <v>166.7195432</v>
      </c>
      <c r="CM253" s="568">
        <v>0.27469565200000001</v>
      </c>
      <c r="CN253" s="568">
        <v>0.36617172799999997</v>
      </c>
      <c r="CO253" s="568">
        <v>209.80635570000001</v>
      </c>
      <c r="CP253" s="1509">
        <v>4.4387819080000002</v>
      </c>
      <c r="CQ253" s="1708">
        <v>1365.86</v>
      </c>
      <c r="CR253" s="568">
        <v>3.2679999999999998</v>
      </c>
      <c r="CS253" s="568">
        <v>1.8241000000000001</v>
      </c>
      <c r="CT253" s="568">
        <v>118.9</v>
      </c>
      <c r="CU253" s="568">
        <v>62.63</v>
      </c>
      <c r="CV253" s="1709">
        <v>2082.09</v>
      </c>
      <c r="CW253" s="29">
        <v>186</v>
      </c>
      <c r="CX253" s="41">
        <f t="shared" si="209"/>
        <v>2015</v>
      </c>
      <c r="CY253" s="1504">
        <v>42156</v>
      </c>
      <c r="CZ253" s="1916">
        <v>105.29117165682757</v>
      </c>
      <c r="DA253" s="1526">
        <v>65.099808656827562</v>
      </c>
      <c r="DB253" s="1526">
        <v>40.191363000000003</v>
      </c>
      <c r="DC253" s="182">
        <f t="shared" si="225"/>
        <v>544825</v>
      </c>
      <c r="DD253" s="182">
        <f t="shared" si="226"/>
        <v>543327</v>
      </c>
      <c r="DE253" s="182">
        <f t="shared" si="227"/>
        <v>1498</v>
      </c>
      <c r="DF253" s="29">
        <v>186</v>
      </c>
      <c r="DG253" s="1504">
        <v>42156</v>
      </c>
      <c r="DH253" s="181">
        <v>317044</v>
      </c>
      <c r="DI253" s="182"/>
      <c r="DJ253" s="182"/>
      <c r="DK253" s="182"/>
      <c r="DL253" s="182"/>
      <c r="DM253" s="182"/>
      <c r="DN253" s="290"/>
      <c r="DO253" s="295"/>
      <c r="DP253" s="29">
        <v>186</v>
      </c>
      <c r="DQ253" s="1504">
        <v>42156</v>
      </c>
      <c r="DR253" s="19"/>
      <c r="DS253" s="93"/>
      <c r="DT253" s="93"/>
      <c r="DU253" s="93"/>
      <c r="DV253" s="93"/>
      <c r="DW253" s="93"/>
      <c r="DX253" s="1719"/>
      <c r="DY253" s="29">
        <v>186</v>
      </c>
      <c r="DZ253" s="1504">
        <v>42156</v>
      </c>
      <c r="EA253" s="19"/>
      <c r="EB253" s="93"/>
      <c r="EC253" s="20"/>
      <c r="ED253" s="29"/>
      <c r="EE253" s="1504">
        <v>42156</v>
      </c>
      <c r="EF253" s="419">
        <f t="shared" si="233"/>
        <v>16789.665185654078</v>
      </c>
      <c r="EG253" s="100">
        <f t="shared" si="233"/>
        <v>21844.477081574503</v>
      </c>
      <c r="EH253" s="100">
        <f t="shared" si="233"/>
        <v>38291.639787065826</v>
      </c>
      <c r="EI253" s="420">
        <f t="shared" si="233"/>
        <v>6413.5847228198172</v>
      </c>
      <c r="EJ253" s="100">
        <f t="shared" si="233"/>
        <v>1413.6383168756006</v>
      </c>
      <c r="EK253" s="100">
        <f t="shared" si="233"/>
        <v>339.02161594667621</v>
      </c>
      <c r="EL253" s="100">
        <f t="shared" si="233"/>
        <v>84.750013366140735</v>
      </c>
      <c r="EM253" s="100">
        <f t="shared" si="233"/>
        <v>22.333862923156275</v>
      </c>
      <c r="EN253" s="306">
        <f t="shared" si="233"/>
        <v>1702.4911478737345</v>
      </c>
      <c r="EO253" s="29">
        <v>186</v>
      </c>
      <c r="EP253" s="1504">
        <v>42156</v>
      </c>
      <c r="EQ253" s="19">
        <v>15836</v>
      </c>
      <c r="ER253" s="93">
        <v>16751</v>
      </c>
      <c r="ES253" s="93">
        <v>32587</v>
      </c>
      <c r="ET253" s="214">
        <v>6975</v>
      </c>
      <c r="EU253" s="93">
        <v>586.14800000000002</v>
      </c>
      <c r="EV253" s="93">
        <v>170.952</v>
      </c>
      <c r="EW253" s="93">
        <v>8.3369999999999997</v>
      </c>
      <c r="EX253" s="93">
        <v>4.3620000000000001</v>
      </c>
      <c r="EY253" s="20">
        <v>769.79899999999998</v>
      </c>
      <c r="EZ253" s="29">
        <v>186</v>
      </c>
      <c r="FA253" s="1504">
        <v>42156</v>
      </c>
      <c r="FB253" s="29"/>
      <c r="FC253" s="29"/>
      <c r="FD253" s="29"/>
      <c r="FE253" s="29"/>
      <c r="FF253" s="29"/>
      <c r="FG253" s="29"/>
      <c r="FH253" s="29"/>
      <c r="FI253" s="29"/>
      <c r="FJ253" s="29"/>
      <c r="FK253" s="29">
        <v>186</v>
      </c>
      <c r="FL253" s="1504">
        <v>42156</v>
      </c>
      <c r="FM253" s="19">
        <v>103.07</v>
      </c>
      <c r="FN253" s="93">
        <v>105.65</v>
      </c>
      <c r="FO253" s="93">
        <v>103.57</v>
      </c>
      <c r="FP253" s="93">
        <v>99.44</v>
      </c>
      <c r="FQ253" s="93">
        <v>101.27</v>
      </c>
      <c r="FR253" s="93">
        <v>100.09</v>
      </c>
      <c r="FS253" s="93">
        <v>100.05</v>
      </c>
      <c r="FT253" s="93">
        <v>98.44</v>
      </c>
      <c r="FU253" s="93">
        <v>99.91</v>
      </c>
      <c r="FV253" s="93">
        <v>99.71</v>
      </c>
      <c r="FW253" s="93">
        <v>101.34</v>
      </c>
      <c r="FX253" s="93">
        <v>98.95</v>
      </c>
      <c r="FY253" s="93">
        <v>99.99</v>
      </c>
      <c r="FZ253" s="29">
        <v>186</v>
      </c>
      <c r="GA253" s="1504">
        <v>42156</v>
      </c>
      <c r="GB253" s="19">
        <v>103.07</v>
      </c>
      <c r="GC253" s="93">
        <v>100.04</v>
      </c>
      <c r="GD253" s="93">
        <v>104.73</v>
      </c>
      <c r="GE253" s="93">
        <v>100.32</v>
      </c>
      <c r="GF253" s="93">
        <v>108.28</v>
      </c>
      <c r="GG253" s="99">
        <v>101.3</v>
      </c>
      <c r="GH253" s="93">
        <v>107.83</v>
      </c>
      <c r="GI253" s="93">
        <v>100.73</v>
      </c>
      <c r="GJ253" s="93">
        <v>100.34</v>
      </c>
      <c r="GK253" s="93">
        <v>99.94</v>
      </c>
      <c r="GL253" s="93">
        <v>104.9</v>
      </c>
      <c r="GM253" s="93">
        <v>99.52</v>
      </c>
      <c r="GN253" s="20">
        <v>100.34</v>
      </c>
      <c r="GO253" s="29">
        <v>186</v>
      </c>
      <c r="GP253" s="1504">
        <v>42156</v>
      </c>
      <c r="GQ253" s="181">
        <v>250.547527549379</v>
      </c>
      <c r="GR253" s="182">
        <v>213.59328193869499</v>
      </c>
      <c r="GS253" s="182">
        <v>220.571007663226</v>
      </c>
      <c r="GT253" s="182">
        <v>185.80485601794899</v>
      </c>
      <c r="GU253" s="182">
        <v>437.56343731242401</v>
      </c>
      <c r="GV253" s="290">
        <v>717.84154941849397</v>
      </c>
      <c r="GW253" s="181">
        <v>352.64432051056099</v>
      </c>
      <c r="GX253" s="182">
        <v>516.093774851783</v>
      </c>
      <c r="GY253" s="182">
        <v>690.55362656456305</v>
      </c>
      <c r="GZ253" s="182">
        <v>353.74974716102798</v>
      </c>
      <c r="HA253" s="182">
        <v>458.83057516128201</v>
      </c>
      <c r="HB253" s="290">
        <v>901.51124966624002</v>
      </c>
      <c r="HC253" s="181">
        <v>1632.3453708813699</v>
      </c>
      <c r="HD253" s="182">
        <v>2153.25279097882</v>
      </c>
      <c r="HE253" s="182">
        <v>2251.5099658511599</v>
      </c>
      <c r="HF253" s="182">
        <v>3150</v>
      </c>
      <c r="HG253" s="182">
        <v>2432.9582137377502</v>
      </c>
      <c r="HH253" s="290">
        <v>2665.4958438445501</v>
      </c>
      <c r="HI253" s="19"/>
      <c r="HJ253" s="182">
        <v>899.56510992564199</v>
      </c>
      <c r="HK253" s="182">
        <v>1321.1183445079901</v>
      </c>
      <c r="HL253" s="182">
        <v>982.65736868694</v>
      </c>
      <c r="HM253" s="182">
        <v>803.125</v>
      </c>
      <c r="HN253" s="290">
        <v>2062.0438801734699</v>
      </c>
      <c r="HO253" s="324">
        <v>153.42360515797401</v>
      </c>
      <c r="HP253" s="290">
        <v>119.62418274614301</v>
      </c>
      <c r="HQ253" s="295">
        <v>148.961303959422</v>
      </c>
      <c r="HR253" s="29">
        <v>186</v>
      </c>
      <c r="HS253" s="1504">
        <v>42156</v>
      </c>
      <c r="HT253" s="179">
        <v>223.97437477111816</v>
      </c>
      <c r="HU253" s="99">
        <v>230.03472137451172</v>
      </c>
      <c r="HV253" s="99">
        <v>191.08279418945313</v>
      </c>
      <c r="HW253" s="99">
        <v>134.61538696289063</v>
      </c>
      <c r="HX253" s="99">
        <v>200</v>
      </c>
      <c r="HY253" s="99">
        <v>201.92400360107422</v>
      </c>
      <c r="HZ253" s="99">
        <v>204.00593566894531</v>
      </c>
      <c r="IA253" s="132">
        <v>178.49462890625</v>
      </c>
      <c r="IB253" s="179">
        <v>206.89654541015625</v>
      </c>
      <c r="IC253" s="99">
        <v>154.67171859741211</v>
      </c>
      <c r="ID253" s="99">
        <v>210.71429138183595</v>
      </c>
      <c r="IE253" s="99">
        <v>162.866455078125</v>
      </c>
      <c r="IF253" s="99">
        <v>189.453125</v>
      </c>
      <c r="IG253" s="132">
        <v>165.55556106567383</v>
      </c>
      <c r="IH253" s="179">
        <v>132.33240509033203</v>
      </c>
      <c r="II253" s="99">
        <v>199.81557083129883</v>
      </c>
      <c r="IJ253" s="99">
        <v>169.49151611328125</v>
      </c>
      <c r="IK253" s="99">
        <v>162.45487467447916</v>
      </c>
      <c r="IL253" s="99">
        <v>155.3721923828125</v>
      </c>
      <c r="IM253" s="99">
        <v>156.04575347900391</v>
      </c>
      <c r="IN253" s="99">
        <v>178.57142639160156</v>
      </c>
      <c r="IO253" s="132">
        <v>146.83735656738281</v>
      </c>
      <c r="IP253" s="29">
        <v>186</v>
      </c>
      <c r="IQ253" s="419">
        <f>(((IQ252/IQ251-1)+(IQ251/IQ250-1))^1/2+1)*IQ252</f>
        <v>157.78150519983168</v>
      </c>
      <c r="IR253" s="99">
        <v>100.50251007080078</v>
      </c>
      <c r="IS253" s="99">
        <v>159.32882308959961</v>
      </c>
      <c r="IT253" s="99">
        <v>148.02632141113281</v>
      </c>
      <c r="IU253" s="99">
        <v>170.27864074707031</v>
      </c>
      <c r="IV253" s="132">
        <v>131.17646598815918</v>
      </c>
      <c r="IW253" s="29">
        <v>186</v>
      </c>
      <c r="IX253" s="179">
        <v>404.6370964050293</v>
      </c>
      <c r="IY253" s="99">
        <v>396.29630025227863</v>
      </c>
      <c r="IZ253" s="99">
        <v>450</v>
      </c>
      <c r="JA253" s="99">
        <v>375</v>
      </c>
      <c r="JB253" s="99">
        <v>390</v>
      </c>
      <c r="JC253" s="99">
        <v>400</v>
      </c>
      <c r="JD253" s="99">
        <v>390</v>
      </c>
      <c r="JE253" s="132">
        <v>400</v>
      </c>
      <c r="JF253" s="29">
        <v>186</v>
      </c>
      <c r="JG253" s="179">
        <v>193.26117706298828</v>
      </c>
      <c r="JH253" s="99">
        <v>198.09639167785645</v>
      </c>
      <c r="JI253" s="99">
        <v>160.77171325683594</v>
      </c>
      <c r="JJ253" s="99">
        <v>150</v>
      </c>
      <c r="JK253" s="99">
        <v>185.1851806640625</v>
      </c>
      <c r="JL253" s="99">
        <v>170.8204345703125</v>
      </c>
      <c r="JM253" s="99">
        <v>176.47059631347656</v>
      </c>
      <c r="JN253" s="132">
        <v>187.49999618530273</v>
      </c>
      <c r="JO253" s="29">
        <v>186</v>
      </c>
      <c r="JP253" s="179">
        <v>222.22221374511719</v>
      </c>
      <c r="JQ253" s="99">
        <v>115.625</v>
      </c>
      <c r="JR253" s="99">
        <v>168.96550903320312</v>
      </c>
      <c r="JS253" s="100"/>
      <c r="JT253" s="99">
        <v>152.95358276367188</v>
      </c>
      <c r="JU253" s="132">
        <v>136.61201477050781</v>
      </c>
      <c r="JV253" s="29">
        <v>186</v>
      </c>
      <c r="JW253" s="1504">
        <v>42156</v>
      </c>
      <c r="JX253" s="179">
        <v>279.33333333333331</v>
      </c>
      <c r="JY253" s="99">
        <v>345.38461538461536</v>
      </c>
      <c r="JZ253" s="99">
        <v>345.25</v>
      </c>
      <c r="KA253" s="99">
        <v>324.16666666666669</v>
      </c>
      <c r="KB253" s="99">
        <v>393.88888888888891</v>
      </c>
      <c r="KC253" s="99">
        <v>378</v>
      </c>
      <c r="KD253" s="132">
        <v>408.46153846153845</v>
      </c>
      <c r="KE253" s="29">
        <v>186</v>
      </c>
      <c r="KF253" s="179">
        <v>33.56666666666667</v>
      </c>
      <c r="KG253" s="99">
        <v>39.569444444444443</v>
      </c>
      <c r="KH253" s="99">
        <v>64.166666666666671</v>
      </c>
      <c r="KI253" s="99">
        <v>66.638888888888886</v>
      </c>
      <c r="KJ253" s="99">
        <v>55.133333333333333</v>
      </c>
      <c r="KK253" s="132">
        <v>74.980769230769226</v>
      </c>
      <c r="KL253" s="29">
        <v>186</v>
      </c>
      <c r="KM253" s="179">
        <v>19.833333333333332</v>
      </c>
      <c r="KN253" s="99">
        <v>14.552631578947368</v>
      </c>
      <c r="KO253" s="99">
        <v>33.416666666666664</v>
      </c>
      <c r="KP253" s="99">
        <v>45.527777777777779</v>
      </c>
      <c r="KQ253" s="99">
        <v>28.733333333333334</v>
      </c>
      <c r="KR253" s="132">
        <v>30.884615384615383</v>
      </c>
      <c r="KS253" s="29">
        <v>186</v>
      </c>
      <c r="KT253" s="179">
        <v>25.566666666666666</v>
      </c>
      <c r="KU253" s="99">
        <v>23.282051282051281</v>
      </c>
      <c r="KV253" s="99">
        <v>30.875</v>
      </c>
      <c r="KW253" s="99">
        <v>33.722222222222221</v>
      </c>
      <c r="KX253" s="99">
        <v>19.899999999999999</v>
      </c>
      <c r="KY253" s="132">
        <v>27.705128205128204</v>
      </c>
      <c r="KZ253" s="29">
        <v>186</v>
      </c>
      <c r="LA253" s="1504">
        <v>42156</v>
      </c>
      <c r="LB253" s="19">
        <v>460</v>
      </c>
      <c r="LC253" s="93">
        <v>690</v>
      </c>
      <c r="LD253" s="93">
        <v>682</v>
      </c>
      <c r="LE253" s="93"/>
      <c r="LF253" s="93">
        <v>606</v>
      </c>
      <c r="LG253" s="93"/>
      <c r="LH253" s="20"/>
      <c r="LI253" s="29">
        <v>186</v>
      </c>
      <c r="LJ253" s="19"/>
      <c r="LK253" s="93"/>
      <c r="LL253" s="93"/>
      <c r="LM253" s="93"/>
      <c r="LN253" s="93"/>
      <c r="LO253" s="20"/>
      <c r="LP253" s="29">
        <v>186</v>
      </c>
      <c r="LQ253" s="19"/>
      <c r="LR253" s="93"/>
      <c r="LS253" s="93"/>
      <c r="LT253" s="93"/>
      <c r="LU253" s="93"/>
      <c r="LV253" s="93"/>
      <c r="LW253" s="93"/>
      <c r="LX253" s="93"/>
      <c r="LY253" s="93"/>
      <c r="LZ253" s="93"/>
      <c r="MA253" s="20"/>
      <c r="MB253" s="29">
        <v>186</v>
      </c>
      <c r="MC253" s="1504">
        <v>42156</v>
      </c>
      <c r="MD253" s="19">
        <v>600.41875370017078</v>
      </c>
      <c r="ME253" s="93">
        <v>520.93439968610096</v>
      </c>
      <c r="MF253" s="93">
        <v>520.93432708610101</v>
      </c>
      <c r="MG253" s="93">
        <v>460.76968552410091</v>
      </c>
      <c r="MH253" s="93">
        <v>118.530314563</v>
      </c>
      <c r="MI253" s="93">
        <v>4.2273960729999995</v>
      </c>
      <c r="MJ253" s="93">
        <v>3.5505074050000003</v>
      </c>
      <c r="MK253" s="93">
        <v>262.424898188101</v>
      </c>
      <c r="ML253" s="93">
        <v>68.237805820999995</v>
      </c>
      <c r="MM253" s="93">
        <v>3.7987634740000003</v>
      </c>
      <c r="MN253" s="93">
        <v>60.164641562000007</v>
      </c>
      <c r="MO253" s="93">
        <v>2.4496773000000003</v>
      </c>
      <c r="MP253" s="93">
        <v>14.334157296000003</v>
      </c>
      <c r="MQ253" s="93">
        <v>3.4637900319999995</v>
      </c>
      <c r="MR253" s="93">
        <v>10.426667839</v>
      </c>
      <c r="MS253" s="93">
        <v>29.490349094999999</v>
      </c>
      <c r="MT253" s="93">
        <v>7.2599999999999989E-5</v>
      </c>
      <c r="MU253" s="93">
        <v>79.484354014069822</v>
      </c>
      <c r="MV253" s="93">
        <v>54.82969355106983</v>
      </c>
      <c r="MW253" s="93">
        <v>24.654660463000003</v>
      </c>
      <c r="MX253" s="93">
        <v>680.35606779493969</v>
      </c>
      <c r="MY253" s="93">
        <v>689.47661066693956</v>
      </c>
      <c r="MZ253" s="93">
        <v>463.54457329900004</v>
      </c>
      <c r="NA253" s="93">
        <v>233.68530584799998</v>
      </c>
      <c r="NB253" s="93">
        <v>62.886249810000002</v>
      </c>
      <c r="NC253" s="93">
        <v>19.256886208999997</v>
      </c>
      <c r="ND253" s="93">
        <v>12.352532151999998</v>
      </c>
      <c r="NE253" s="93">
        <v>6.9043540569999999</v>
      </c>
      <c r="NF253" s="93">
        <v>147.716131432</v>
      </c>
      <c r="NG253" s="93">
        <v>3.2379143725000001</v>
      </c>
      <c r="NH253" s="93">
        <v>27.726334127000001</v>
      </c>
      <c r="NI253" s="93">
        <v>16.626666708000002</v>
      </c>
      <c r="NJ253" s="93">
        <v>11.664736276999999</v>
      </c>
      <c r="NK253" s="93">
        <v>225.93203736793959</v>
      </c>
      <c r="NL253" s="93">
        <v>144.394759319</v>
      </c>
      <c r="NM253" s="93">
        <v>0.44516559700000002</v>
      </c>
      <c r="NN253" s="93">
        <v>81.092112451939556</v>
      </c>
      <c r="NO253" s="93">
        <v>-9.1205428719999979</v>
      </c>
      <c r="NP253" s="93">
        <v>-79.937314094768766</v>
      </c>
      <c r="NQ253" s="93">
        <v>-159.42166810883862</v>
      </c>
      <c r="NR253" s="93">
        <v>-59.072669447899059</v>
      </c>
      <c r="NS253" s="93">
        <v>-78.329555656899046</v>
      </c>
      <c r="NT253" s="93">
        <v>-94.986926601768786</v>
      </c>
      <c r="NU253" s="93">
        <v>-174.47128061583859</v>
      </c>
      <c r="NV253" s="93">
        <v>98.065512276869754</v>
      </c>
      <c r="NW253" s="93">
        <v>21.981542473869712</v>
      </c>
      <c r="NX253" s="93">
        <v>34.76840882786972</v>
      </c>
      <c r="NY253" s="93">
        <v>-12.786866354000001</v>
      </c>
      <c r="NZ253" s="93">
        <v>0</v>
      </c>
      <c r="OA253" s="93">
        <v>76.083969803000031</v>
      </c>
      <c r="OB253" s="93">
        <v>26.23282577200003</v>
      </c>
      <c r="OC253" s="93">
        <v>49.851144031000011</v>
      </c>
      <c r="OD253" s="20">
        <v>-1.8626451492309569E-15</v>
      </c>
      <c r="OE253" s="29">
        <v>186</v>
      </c>
      <c r="OF253" s="1504">
        <v>42156</v>
      </c>
      <c r="OG253" s="19"/>
      <c r="OH253" s="93">
        <v>209.87679320699999</v>
      </c>
      <c r="OI253" s="93">
        <v>1037.5050825518929</v>
      </c>
      <c r="OJ253" s="93">
        <v>0.46757948199999999</v>
      </c>
      <c r="OK253" s="93">
        <v>881.76574291689292</v>
      </c>
      <c r="OL253" s="93">
        <v>155.271760153</v>
      </c>
      <c r="OM253" s="93">
        <v>1247.3818757588929</v>
      </c>
      <c r="ON253" s="93">
        <v>1014.1649874426172</v>
      </c>
      <c r="OO253" s="93">
        <v>2261.54686320151</v>
      </c>
      <c r="OP253" s="93"/>
      <c r="OQ253" s="93">
        <v>491.08956981790129</v>
      </c>
      <c r="OR253" s="93">
        <v>-81.893259354000008</v>
      </c>
      <c r="OS253" s="93">
        <v>572.98282917190136</v>
      </c>
      <c r="OT253" s="93">
        <v>1961.0121917116089</v>
      </c>
      <c r="OU253" s="93">
        <v>14.844508336000015</v>
      </c>
      <c r="OV253" s="93">
        <v>9.8215083360000186</v>
      </c>
      <c r="OW253" s="93">
        <v>5.0229999999999961</v>
      </c>
      <c r="OX253" s="93">
        <v>1946.1676833756089</v>
      </c>
      <c r="OY253" s="93">
        <v>4.0307821879999999</v>
      </c>
      <c r="OZ253" s="93">
        <v>1942.1369011876088</v>
      </c>
      <c r="PA253" s="93">
        <v>358.77724268899999</v>
      </c>
      <c r="PB253" s="93">
        <v>-168.22234436100001</v>
      </c>
      <c r="PC253" s="20">
        <v>2261.5468632015104</v>
      </c>
      <c r="PD253" s="29">
        <v>186</v>
      </c>
      <c r="PE253" s="19"/>
      <c r="PF253" s="93">
        <v>-81.893259354000008</v>
      </c>
      <c r="PG253" s="93">
        <v>411.38872086499998</v>
      </c>
      <c r="PH253" s="93">
        <v>493.28198021899999</v>
      </c>
      <c r="PI253" s="93">
        <v>461.6004375</v>
      </c>
      <c r="PJ253" s="93">
        <v>15.143815129000018</v>
      </c>
      <c r="PK253" s="93">
        <v>139.82739178100002</v>
      </c>
      <c r="PL253" s="93">
        <v>124.683576652</v>
      </c>
      <c r="PM253" s="93">
        <v>4.0307821879999999</v>
      </c>
      <c r="PN253" s="93">
        <v>0.6</v>
      </c>
      <c r="PO253" s="93">
        <v>0</v>
      </c>
      <c r="PP253" s="93">
        <v>2.7611699999999999E-4</v>
      </c>
      <c r="PQ253" s="93">
        <v>3.4305060710000004</v>
      </c>
      <c r="PR253" s="93">
        <v>398.08502293599997</v>
      </c>
      <c r="PS253" s="93">
        <v>266.7901</v>
      </c>
      <c r="PT253" s="93">
        <v>130.82734345399999</v>
      </c>
      <c r="PU253" s="93">
        <v>0.46757948199999999</v>
      </c>
      <c r="PV253" s="93">
        <v>0</v>
      </c>
      <c r="PW253" s="93">
        <v>1.1028457030000001</v>
      </c>
      <c r="PX253" s="93">
        <v>0</v>
      </c>
      <c r="PY253" s="93">
        <v>0</v>
      </c>
      <c r="PZ253" s="93">
        <v>1.1028457030000001</v>
      </c>
      <c r="QA253" s="93">
        <v>0</v>
      </c>
      <c r="QB253" s="93">
        <v>0</v>
      </c>
      <c r="QC253" s="93">
        <v>0</v>
      </c>
      <c r="QD253" s="93">
        <v>5.2033969860000004</v>
      </c>
      <c r="QE253" s="20">
        <v>-5.5094901620000067</v>
      </c>
      <c r="QF253" s="1739">
        <v>186</v>
      </c>
      <c r="QG253" s="19"/>
      <c r="QH253" s="1035">
        <v>572.98282917190136</v>
      </c>
      <c r="QI253" s="1035">
        <v>974.56309881239122</v>
      </c>
      <c r="QJ253" s="1035">
        <v>-401.5802696404898</v>
      </c>
      <c r="QK253" s="1035">
        <v>192.10599999999999</v>
      </c>
      <c r="QL253" s="1035">
        <v>51.591000000000001</v>
      </c>
      <c r="QM253" s="1035">
        <v>140.51499999999999</v>
      </c>
      <c r="QN253" s="1035">
        <v>0</v>
      </c>
      <c r="QO253" s="1035">
        <v>5.0229999999999961</v>
      </c>
      <c r="QP253" s="1035">
        <v>220.81399999999999</v>
      </c>
      <c r="QQ253" s="1035">
        <v>-215.791</v>
      </c>
      <c r="QR253" s="1035">
        <v>1942.1369011876088</v>
      </c>
      <c r="QS253" s="1035">
        <v>22.664830133583973</v>
      </c>
      <c r="QT253" s="1035">
        <v>0</v>
      </c>
      <c r="QU253" s="1035">
        <v>211.56200000000001</v>
      </c>
      <c r="QV253" s="1035">
        <v>1707.9100710540249</v>
      </c>
      <c r="QW253" s="93"/>
      <c r="QX253" s="93">
        <v>397.01900000000001</v>
      </c>
      <c r="QY253" s="93">
        <v>881.76574291689292</v>
      </c>
      <c r="QZ253" s="93">
        <v>1014.1649874426172</v>
      </c>
      <c r="RA253" s="93">
        <v>0</v>
      </c>
      <c r="RB253" s="93">
        <v>54.036999999999999</v>
      </c>
      <c r="RC253" s="93">
        <v>4.7940000000000005</v>
      </c>
      <c r="RD253" s="93">
        <v>16.914999999999999</v>
      </c>
      <c r="RE253" s="93">
        <v>0</v>
      </c>
      <c r="RF253" s="93">
        <v>0</v>
      </c>
      <c r="RG253" s="93">
        <v>276.72500000000002</v>
      </c>
      <c r="RH253" s="93">
        <v>66.827999999999975</v>
      </c>
      <c r="RI253" s="93"/>
      <c r="RJ253" s="93"/>
      <c r="RK253" s="93"/>
      <c r="RL253" s="93"/>
      <c r="RM253" s="734"/>
      <c r="RN253" s="29">
        <v>186</v>
      </c>
      <c r="RO253" s="19">
        <v>66</v>
      </c>
      <c r="RP253" s="20"/>
      <c r="RQ253" s="29">
        <v>186</v>
      </c>
      <c r="RR253" s="734">
        <v>3.101226</v>
      </c>
      <c r="RS253" s="29">
        <v>186</v>
      </c>
      <c r="RT253" s="1504">
        <v>42156</v>
      </c>
      <c r="RU253" s="19">
        <v>118</v>
      </c>
      <c r="RV253" s="20">
        <v>5</v>
      </c>
      <c r="RW253" s="29">
        <v>186</v>
      </c>
      <c r="RX253" s="1504">
        <v>42156</v>
      </c>
      <c r="RY253" s="29"/>
      <c r="RZ253" s="734"/>
      <c r="SA253" s="29"/>
      <c r="SB253" s="29">
        <v>186</v>
      </c>
    </row>
    <row r="254" spans="1:496">
      <c r="A254" s="41">
        <f t="shared" si="208"/>
        <v>2015</v>
      </c>
      <c r="B254" s="1504">
        <v>42186</v>
      </c>
      <c r="C254" s="1813">
        <v>1421</v>
      </c>
      <c r="D254" s="1814">
        <v>27538</v>
      </c>
      <c r="E254" s="1814">
        <v>38</v>
      </c>
      <c r="F254" s="1815">
        <v>374</v>
      </c>
      <c r="G254" s="1814">
        <v>126028</v>
      </c>
      <c r="H254" s="1814">
        <v>7</v>
      </c>
      <c r="I254" s="1814">
        <v>37268</v>
      </c>
      <c r="J254" s="1816">
        <v>19557</v>
      </c>
      <c r="K254" s="1807">
        <v>212231</v>
      </c>
      <c r="L254" s="25">
        <v>187</v>
      </c>
      <c r="M254" s="97"/>
      <c r="N254" s="1504">
        <v>42186</v>
      </c>
      <c r="O254" s="19">
        <v>1341</v>
      </c>
      <c r="P254" s="93">
        <v>907</v>
      </c>
      <c r="Q254" s="93">
        <v>11911</v>
      </c>
      <c r="R254" s="93">
        <v>2520</v>
      </c>
      <c r="S254" s="93">
        <v>1738</v>
      </c>
      <c r="T254" s="93">
        <v>1377</v>
      </c>
      <c r="U254" s="93">
        <v>257</v>
      </c>
      <c r="V254" s="93">
        <v>2310</v>
      </c>
      <c r="W254" s="93">
        <v>5292</v>
      </c>
      <c r="X254" s="93">
        <v>915</v>
      </c>
      <c r="Y254" s="93">
        <v>310</v>
      </c>
      <c r="Z254" s="93">
        <v>1375</v>
      </c>
      <c r="AA254" s="93">
        <v>561</v>
      </c>
      <c r="AB254" s="132">
        <v>30814</v>
      </c>
      <c r="AC254" s="25">
        <v>187</v>
      </c>
      <c r="AD254" s="97"/>
      <c r="AE254" s="1504">
        <v>42186</v>
      </c>
      <c r="AF254" s="19">
        <v>2063</v>
      </c>
      <c r="AG254" s="93">
        <v>682</v>
      </c>
      <c r="AH254" s="93">
        <v>7763</v>
      </c>
      <c r="AI254" s="93">
        <v>4052</v>
      </c>
      <c r="AJ254" s="93">
        <v>3565</v>
      </c>
      <c r="AK254" s="93">
        <v>3083</v>
      </c>
      <c r="AL254" s="93">
        <v>1258</v>
      </c>
      <c r="AM254" s="93">
        <v>2162</v>
      </c>
      <c r="AN254" s="93">
        <v>7145</v>
      </c>
      <c r="AO254" s="93">
        <v>2489</v>
      </c>
      <c r="AP254" s="93">
        <v>1249</v>
      </c>
      <c r="AQ254" s="93">
        <v>2180</v>
      </c>
      <c r="AR254" s="93">
        <v>798</v>
      </c>
      <c r="AS254" s="20">
        <v>38489</v>
      </c>
      <c r="AT254" s="25">
        <v>187</v>
      </c>
      <c r="AU254" s="97"/>
      <c r="AV254" s="1504">
        <v>42186</v>
      </c>
      <c r="AW254" s="19">
        <v>10838</v>
      </c>
      <c r="AX254" s="93">
        <v>3731</v>
      </c>
      <c r="AY254" s="93">
        <v>6293</v>
      </c>
      <c r="AZ254" s="93">
        <v>17619</v>
      </c>
      <c r="BA254" s="93">
        <v>12329</v>
      </c>
      <c r="BB254" s="93">
        <v>8478</v>
      </c>
      <c r="BC254" s="93">
        <v>5243</v>
      </c>
      <c r="BD254" s="93">
        <v>14314</v>
      </c>
      <c r="BE254" s="93">
        <v>16007</v>
      </c>
      <c r="BF254" s="93">
        <v>8581</v>
      </c>
      <c r="BG254" s="93">
        <v>5156</v>
      </c>
      <c r="BH254" s="93">
        <v>13372</v>
      </c>
      <c r="BI254" s="93">
        <v>5612</v>
      </c>
      <c r="BJ254" s="20">
        <v>127573</v>
      </c>
      <c r="BK254" s="25">
        <v>187</v>
      </c>
      <c r="BL254" s="97"/>
      <c r="BM254" s="1504">
        <v>42186</v>
      </c>
      <c r="BN254" s="19">
        <v>78.131999999999991</v>
      </c>
      <c r="BO254" s="93">
        <v>2634.0299999999997</v>
      </c>
      <c r="BP254" s="93">
        <v>12.48</v>
      </c>
      <c r="BQ254" s="93">
        <v>951.28800000000035</v>
      </c>
      <c r="BR254" s="93">
        <v>3.3660000000000001</v>
      </c>
      <c r="BS254" s="93">
        <v>307.05300000000005</v>
      </c>
      <c r="BT254" s="93">
        <v>378.21599999999989</v>
      </c>
      <c r="BU254" s="132">
        <v>4364.5650000000005</v>
      </c>
      <c r="BV254" s="25">
        <v>187</v>
      </c>
      <c r="BW254" s="97"/>
      <c r="BX254" s="1504">
        <v>42186</v>
      </c>
      <c r="BY254" s="179">
        <v>596.6</v>
      </c>
      <c r="BZ254" s="99">
        <v>664.95699999999999</v>
      </c>
      <c r="CA254" s="99">
        <v>625.21039313469998</v>
      </c>
      <c r="CB254" s="99">
        <v>47.908000000000001</v>
      </c>
      <c r="CC254" s="99">
        <v>169.66</v>
      </c>
      <c r="CD254" s="25">
        <v>187</v>
      </c>
      <c r="CE254" s="97"/>
      <c r="CF254" s="1504">
        <v>42186</v>
      </c>
      <c r="CG254" s="1508">
        <v>1.5950425699999999</v>
      </c>
      <c r="CH254" s="568">
        <v>1128.31</v>
      </c>
      <c r="CI254" s="1708">
        <v>54.34</v>
      </c>
      <c r="CJ254" s="1509">
        <v>55.87</v>
      </c>
      <c r="CK254" s="1508">
        <v>389.86</v>
      </c>
      <c r="CL254" s="568">
        <v>179.59681599999999</v>
      </c>
      <c r="CM254" s="568">
        <v>0.28285274599999999</v>
      </c>
      <c r="CN254" s="568">
        <v>0.359346624</v>
      </c>
      <c r="CO254" s="568">
        <v>197.31350789999999</v>
      </c>
      <c r="CP254" s="1509">
        <v>4.6462366499999996</v>
      </c>
      <c r="CQ254" s="1708">
        <v>1388.91</v>
      </c>
      <c r="CR254" s="568">
        <v>3.3925000000000001</v>
      </c>
      <c r="CS254" s="568">
        <v>1.6425000000000001</v>
      </c>
      <c r="CT254" s="568">
        <v>121</v>
      </c>
      <c r="CU254" s="568">
        <v>52.39</v>
      </c>
      <c r="CV254" s="1709">
        <v>2000.68</v>
      </c>
      <c r="CW254" s="29">
        <v>187</v>
      </c>
      <c r="CX254" s="41">
        <f t="shared" si="209"/>
        <v>2015</v>
      </c>
      <c r="CY254" s="1504">
        <v>42186</v>
      </c>
      <c r="CZ254" s="1916">
        <v>107.34191413912868</v>
      </c>
      <c r="DA254" s="1526">
        <v>67.180412139128677</v>
      </c>
      <c r="DB254" s="1526">
        <v>40.161501999999999</v>
      </c>
      <c r="DC254" s="182">
        <f t="shared" si="225"/>
        <v>544825</v>
      </c>
      <c r="DD254" s="182">
        <f t="shared" si="226"/>
        <v>543327</v>
      </c>
      <c r="DE254" s="182">
        <f t="shared" si="227"/>
        <v>1498</v>
      </c>
      <c r="DF254" s="29">
        <v>187</v>
      </c>
      <c r="DG254" s="1504">
        <v>42186</v>
      </c>
      <c r="DH254" s="369">
        <f>(((DH253/DH252-1)+(DH252/DH251-1))^1/2+1)*DH253</f>
        <v>321117.89714830165</v>
      </c>
      <c r="DI254" s="182"/>
      <c r="DJ254" s="182"/>
      <c r="DK254" s="182"/>
      <c r="DL254" s="182"/>
      <c r="DM254" s="182"/>
      <c r="DN254" s="290"/>
      <c r="DO254" s="295"/>
      <c r="DP254" s="29">
        <v>187</v>
      </c>
      <c r="DQ254" s="1504">
        <v>42186</v>
      </c>
      <c r="DR254" s="19"/>
      <c r="DS254" s="93"/>
      <c r="DT254" s="93"/>
      <c r="DU254" s="93"/>
      <c r="DV254" s="93"/>
      <c r="DW254" s="93"/>
      <c r="DX254" s="1719"/>
      <c r="DY254" s="29">
        <v>187</v>
      </c>
      <c r="DZ254" s="1504">
        <v>42186</v>
      </c>
      <c r="EA254" s="19"/>
      <c r="EB254" s="93"/>
      <c r="EC254" s="20"/>
      <c r="ED254" s="29"/>
      <c r="EE254" s="1504">
        <v>42186</v>
      </c>
      <c r="EF254" s="419">
        <f t="shared" si="233"/>
        <v>16949.503177985225</v>
      </c>
      <c r="EG254" s="100">
        <f t="shared" si="233"/>
        <v>23183.447474155706</v>
      </c>
      <c r="EH254" s="100">
        <f t="shared" si="233"/>
        <v>39609.131817416972</v>
      </c>
      <c r="EI254" s="420">
        <f t="shared" si="233"/>
        <v>5905.1655269538478</v>
      </c>
      <c r="EJ254" s="100">
        <f t="shared" si="233"/>
        <v>1855.0242544403611</v>
      </c>
      <c r="EK254" s="100">
        <f t="shared" si="233"/>
        <v>369.31800265609053</v>
      </c>
      <c r="EL254" s="100">
        <f t="shared" si="233"/>
        <v>153.67250442827796</v>
      </c>
      <c r="EM254" s="100">
        <f t="shared" si="233"/>
        <v>32.795548760316024</v>
      </c>
      <c r="EN254" s="306">
        <f t="shared" si="233"/>
        <v>2102.4117395215949</v>
      </c>
      <c r="EO254" s="29">
        <v>187</v>
      </c>
      <c r="EP254" s="1504">
        <v>42186</v>
      </c>
      <c r="EQ254" s="19">
        <v>19689</v>
      </c>
      <c r="ER254" s="93">
        <v>20523</v>
      </c>
      <c r="ES254" s="93">
        <v>40212</v>
      </c>
      <c r="ET254" s="214">
        <v>8244</v>
      </c>
      <c r="EU254" s="93">
        <v>602.24099999999999</v>
      </c>
      <c r="EV254" s="93">
        <v>121.705</v>
      </c>
      <c r="EW254" s="93">
        <v>10.875999999999999</v>
      </c>
      <c r="EX254" s="93">
        <v>4.734</v>
      </c>
      <c r="EY254" s="20">
        <v>739.55600000000004</v>
      </c>
      <c r="EZ254" s="29">
        <v>187</v>
      </c>
      <c r="FA254" s="1504">
        <v>42186</v>
      </c>
      <c r="FB254" s="29"/>
      <c r="FC254" s="29"/>
      <c r="FD254" s="29"/>
      <c r="FE254" s="29"/>
      <c r="FF254" s="29"/>
      <c r="FG254" s="29"/>
      <c r="FH254" s="29"/>
      <c r="FI254" s="29"/>
      <c r="FJ254" s="29"/>
      <c r="FK254" s="29">
        <v>187</v>
      </c>
      <c r="FL254" s="1504">
        <v>42186</v>
      </c>
      <c r="FM254" s="19">
        <v>103.14</v>
      </c>
      <c r="FN254" s="93">
        <v>105.98</v>
      </c>
      <c r="FO254" s="93">
        <v>102.21</v>
      </c>
      <c r="FP254" s="93">
        <v>98.67</v>
      </c>
      <c r="FQ254" s="93">
        <v>102.73</v>
      </c>
      <c r="FR254" s="93">
        <v>100.2</v>
      </c>
      <c r="FS254" s="93">
        <v>100.16</v>
      </c>
      <c r="FT254" s="93">
        <v>98.45</v>
      </c>
      <c r="FU254" s="93">
        <v>99.96</v>
      </c>
      <c r="FV254" s="93">
        <v>103.98</v>
      </c>
      <c r="FW254" s="93">
        <v>101.3</v>
      </c>
      <c r="FX254" s="93">
        <v>99.8</v>
      </c>
      <c r="FY254" s="93">
        <v>98.51</v>
      </c>
      <c r="FZ254" s="29">
        <v>187</v>
      </c>
      <c r="GA254" s="1504">
        <v>42186</v>
      </c>
      <c r="GB254" s="19">
        <v>103.14</v>
      </c>
      <c r="GC254" s="93">
        <v>99.98</v>
      </c>
      <c r="GD254" s="93">
        <v>104.87</v>
      </c>
      <c r="GE254" s="93">
        <v>101.54</v>
      </c>
      <c r="GF254" s="93">
        <v>109.17</v>
      </c>
      <c r="GG254" s="99">
        <v>101.18</v>
      </c>
      <c r="GH254" s="93">
        <v>108.68</v>
      </c>
      <c r="GI254" s="93">
        <v>100.48</v>
      </c>
      <c r="GJ254" s="93">
        <v>100.19</v>
      </c>
      <c r="GK254" s="93">
        <v>99.79</v>
      </c>
      <c r="GL254" s="93">
        <v>105.01</v>
      </c>
      <c r="GM254" s="93">
        <v>99.8</v>
      </c>
      <c r="GN254" s="20">
        <v>100.19</v>
      </c>
      <c r="GO254" s="29">
        <v>187</v>
      </c>
      <c r="GP254" s="1504">
        <v>42186</v>
      </c>
      <c r="GQ254" s="181">
        <v>256.920881836094</v>
      </c>
      <c r="GR254" s="182">
        <v>230.59215301115901</v>
      </c>
      <c r="GS254" s="182">
        <v>220.78449651633699</v>
      </c>
      <c r="GT254" s="182">
        <v>181.89229531168201</v>
      </c>
      <c r="GU254" s="182">
        <v>390.98937715186202</v>
      </c>
      <c r="GV254" s="290">
        <v>748.84098337709997</v>
      </c>
      <c r="GW254" s="181">
        <v>340.79683139864801</v>
      </c>
      <c r="GX254" s="182">
        <v>460.12732300975898</v>
      </c>
      <c r="GY254" s="182">
        <v>725.704240893617</v>
      </c>
      <c r="GZ254" s="182">
        <v>370.44755669026102</v>
      </c>
      <c r="HA254" s="182">
        <v>656.45124650828097</v>
      </c>
      <c r="HB254" s="290">
        <v>770.82982729103003</v>
      </c>
      <c r="HC254" s="181">
        <v>1887.7301117915099</v>
      </c>
      <c r="HD254" s="182">
        <v>2183.7295526161902</v>
      </c>
      <c r="HE254" s="182">
        <v>2410.91826483667</v>
      </c>
      <c r="HF254" s="182">
        <v>3150</v>
      </c>
      <c r="HG254" s="182">
        <v>2519.9219624401899</v>
      </c>
      <c r="HH254" s="290">
        <v>2708.9531163335701</v>
      </c>
      <c r="HI254" s="19"/>
      <c r="HJ254" s="182">
        <v>812.77504637321795</v>
      </c>
      <c r="HK254" s="182">
        <v>1292.3657439762201</v>
      </c>
      <c r="HL254" s="182">
        <v>858.89034814649006</v>
      </c>
      <c r="HM254" s="182">
        <v>812.5</v>
      </c>
      <c r="HN254" s="290">
        <v>2174.89209286085</v>
      </c>
      <c r="HO254" s="324">
        <v>138.73451684175899</v>
      </c>
      <c r="HP254" s="290">
        <v>94.279570883128201</v>
      </c>
      <c r="HQ254" s="295">
        <v>147.13167470674401</v>
      </c>
      <c r="HR254" s="29">
        <v>187</v>
      </c>
      <c r="HS254" s="1504">
        <v>42186</v>
      </c>
      <c r="HT254" s="179">
        <v>207.34561347961426</v>
      </c>
      <c r="HU254" s="99">
        <v>224.30555419921876</v>
      </c>
      <c r="HV254" s="99">
        <v>191.08279418945313</v>
      </c>
      <c r="HW254" s="99">
        <v>134.61538696289063</v>
      </c>
      <c r="HX254" s="99">
        <v>200</v>
      </c>
      <c r="HY254" s="99">
        <v>201.92400360107422</v>
      </c>
      <c r="HZ254" s="99">
        <v>201.3456916809082</v>
      </c>
      <c r="IA254" s="132">
        <v>186.29033279418945</v>
      </c>
      <c r="IB254" s="179">
        <v>206.20689086914064</v>
      </c>
      <c r="IC254" s="99">
        <v>151.51515197753906</v>
      </c>
      <c r="ID254" s="99">
        <v>208.74383926391602</v>
      </c>
      <c r="IE254" s="99">
        <v>162.86645126342773</v>
      </c>
      <c r="IF254" s="99">
        <v>210.9375</v>
      </c>
      <c r="IG254" s="132">
        <v>158.61111831665039</v>
      </c>
      <c r="IH254" s="179">
        <v>133.65644264221191</v>
      </c>
      <c r="II254" s="99">
        <v>194.73617553710938</v>
      </c>
      <c r="IJ254" s="99">
        <v>169.49151611328125</v>
      </c>
      <c r="IK254" s="99">
        <v>169.67509460449219</v>
      </c>
      <c r="IL254" s="99">
        <v>162.00842666625977</v>
      </c>
      <c r="IM254" s="99">
        <v>156.86274719238281</v>
      </c>
      <c r="IN254" s="99">
        <v>178.57142639160156</v>
      </c>
      <c r="IO254" s="132">
        <v>143.64475250244141</v>
      </c>
      <c r="IP254" s="29">
        <v>187</v>
      </c>
      <c r="IQ254" s="179">
        <v>165.79275004069009</v>
      </c>
      <c r="IR254" s="99">
        <v>100.50251007080078</v>
      </c>
      <c r="IS254" s="99">
        <v>167.41071319580078</v>
      </c>
      <c r="IT254" s="99">
        <v>131.57894897460938</v>
      </c>
      <c r="IU254" s="99">
        <v>170.27864074707031</v>
      </c>
      <c r="IV254" s="132">
        <v>127.0588207244873</v>
      </c>
      <c r="IW254" s="29">
        <v>187</v>
      </c>
      <c r="IX254" s="179">
        <v>396.1290313720703</v>
      </c>
      <c r="IY254" s="99">
        <v>411.94444885253904</v>
      </c>
      <c r="IZ254" s="99">
        <v>450</v>
      </c>
      <c r="JA254" s="99">
        <v>375</v>
      </c>
      <c r="JB254" s="99">
        <v>375</v>
      </c>
      <c r="JC254" s="99">
        <v>400</v>
      </c>
      <c r="JD254" s="99">
        <v>390</v>
      </c>
      <c r="JE254" s="132">
        <v>387.5</v>
      </c>
      <c r="JF254" s="29">
        <v>187</v>
      </c>
      <c r="JG254" s="179">
        <v>184.32538032531738</v>
      </c>
      <c r="JH254" s="99">
        <v>190.67265930175782</v>
      </c>
      <c r="JI254" s="99">
        <v>160.77171325683594</v>
      </c>
      <c r="JJ254" s="99">
        <v>150</v>
      </c>
      <c r="JK254" s="99">
        <v>185.1851806640625</v>
      </c>
      <c r="JL254" s="99">
        <v>170.8204345703125</v>
      </c>
      <c r="JM254" s="99">
        <v>186.27451324462891</v>
      </c>
      <c r="JN254" s="132">
        <v>183.50839996337891</v>
      </c>
      <c r="JO254" s="29">
        <v>187</v>
      </c>
      <c r="JP254" s="179">
        <v>210.37036743164063</v>
      </c>
      <c r="JQ254" s="99">
        <v>120.83333333333333</v>
      </c>
      <c r="JR254" s="99">
        <v>158.33332824707031</v>
      </c>
      <c r="JS254" s="100"/>
      <c r="JT254" s="99">
        <v>167.72151489257811</v>
      </c>
      <c r="JU254" s="132">
        <v>126.36611557006836</v>
      </c>
      <c r="JV254" s="29">
        <v>187</v>
      </c>
      <c r="JW254" s="1504">
        <v>42186</v>
      </c>
      <c r="JX254" s="179">
        <v>253.0952380952381</v>
      </c>
      <c r="JY254" s="99">
        <v>311.82692307692304</v>
      </c>
      <c r="JZ254" s="99">
        <v>328.7162162162162</v>
      </c>
      <c r="KA254" s="99">
        <v>313.14814814814815</v>
      </c>
      <c r="KB254" s="99">
        <v>344.58333333333331</v>
      </c>
      <c r="KC254" s="99">
        <v>366.88888888888886</v>
      </c>
      <c r="KD254" s="132">
        <v>401.7045454545455</v>
      </c>
      <c r="KE254" s="29">
        <v>187</v>
      </c>
      <c r="KF254" s="179">
        <v>37.875</v>
      </c>
      <c r="KG254" s="99">
        <v>41.328947368421055</v>
      </c>
      <c r="KH254" s="99">
        <v>70.729166666666671</v>
      </c>
      <c r="KI254" s="99">
        <v>61.111111111111107</v>
      </c>
      <c r="KJ254" s="99">
        <v>72.958333333333329</v>
      </c>
      <c r="KK254" s="132">
        <v>77.060897435897431</v>
      </c>
      <c r="KL254" s="29">
        <v>187</v>
      </c>
      <c r="KM254" s="179">
        <v>18.479166666666668</v>
      </c>
      <c r="KN254" s="99">
        <v>15.081081081081082</v>
      </c>
      <c r="KO254" s="99">
        <v>33.450000000000003</v>
      </c>
      <c r="KP254" s="99">
        <v>35.729166666666664</v>
      </c>
      <c r="KQ254" s="99">
        <v>29</v>
      </c>
      <c r="KR254" s="132">
        <v>31.064102564102562</v>
      </c>
      <c r="KS254" s="29">
        <v>187</v>
      </c>
      <c r="KT254" s="179">
        <v>25.458333333333332</v>
      </c>
      <c r="KU254" s="99">
        <v>23.07</v>
      </c>
      <c r="KV254" s="99">
        <v>31.648148148148149</v>
      </c>
      <c r="KW254" s="99">
        <v>29.333333333333332</v>
      </c>
      <c r="KX254" s="99">
        <v>21.25925925925926</v>
      </c>
      <c r="KY254" s="132">
        <v>27.692810457516341</v>
      </c>
      <c r="KZ254" s="29">
        <v>187</v>
      </c>
      <c r="LA254" s="1504">
        <v>42186</v>
      </c>
      <c r="LB254" s="19">
        <v>460</v>
      </c>
      <c r="LC254" s="93">
        <v>690</v>
      </c>
      <c r="LD254" s="93">
        <v>682</v>
      </c>
      <c r="LE254" s="93"/>
      <c r="LF254" s="93">
        <v>606</v>
      </c>
      <c r="LG254" s="93"/>
      <c r="LH254" s="20"/>
      <c r="LI254" s="29">
        <v>187</v>
      </c>
      <c r="LJ254" s="19"/>
      <c r="LK254" s="93"/>
      <c r="LL254" s="93"/>
      <c r="LM254" s="93"/>
      <c r="LN254" s="93"/>
      <c r="LO254" s="20"/>
      <c r="LP254" s="29">
        <v>187</v>
      </c>
      <c r="LQ254" s="19"/>
      <c r="LR254" s="93"/>
      <c r="LS254" s="93"/>
      <c r="LT254" s="93"/>
      <c r="LU254" s="93"/>
      <c r="LV254" s="93"/>
      <c r="LW254" s="93"/>
      <c r="LX254" s="93"/>
      <c r="LY254" s="93"/>
      <c r="LZ254" s="93"/>
      <c r="MA254" s="20"/>
      <c r="MB254" s="29">
        <v>187</v>
      </c>
      <c r="MC254" s="1504">
        <v>42186</v>
      </c>
      <c r="MD254" s="19">
        <v>796.3911602673104</v>
      </c>
      <c r="ME254" s="93">
        <v>637.59620138984747</v>
      </c>
      <c r="MF254" s="93">
        <v>637.59612878984763</v>
      </c>
      <c r="MG254" s="93">
        <v>566.74410762084744</v>
      </c>
      <c r="MH254" s="93">
        <v>156.30405647799998</v>
      </c>
      <c r="MI254" s="93">
        <v>4.8786602020000007</v>
      </c>
      <c r="MJ254" s="93">
        <v>4.3077556630476197</v>
      </c>
      <c r="MK254" s="93">
        <v>313.78025437780002</v>
      </c>
      <c r="ML254" s="93">
        <v>83.048818972999996</v>
      </c>
      <c r="MM254" s="93">
        <v>4.4245619270000001</v>
      </c>
      <c r="MN254" s="93">
        <v>70.852021168999997</v>
      </c>
      <c r="MO254" s="93">
        <v>3.2206786900000006</v>
      </c>
      <c r="MP254" s="93">
        <v>16.912534869000002</v>
      </c>
      <c r="MQ254" s="93">
        <v>3.6828433669999998</v>
      </c>
      <c r="MR254" s="93">
        <v>13.472587947999999</v>
      </c>
      <c r="MS254" s="93">
        <v>33.563376295000005</v>
      </c>
      <c r="MT254" s="93">
        <v>7.2599999999999989E-5</v>
      </c>
      <c r="MU254" s="93">
        <v>158.79495887746293</v>
      </c>
      <c r="MV254" s="93">
        <v>65.341233883462948</v>
      </c>
      <c r="MW254" s="93">
        <v>93.453724993999998</v>
      </c>
      <c r="MX254" s="93">
        <v>832.65702777433273</v>
      </c>
      <c r="MY254" s="93">
        <v>841.99438839533275</v>
      </c>
      <c r="MZ254" s="93">
        <v>556.384972232</v>
      </c>
      <c r="NA254" s="93">
        <v>273.04268556649998</v>
      </c>
      <c r="NB254" s="93">
        <v>68.945536793000002</v>
      </c>
      <c r="NC254" s="93">
        <v>20.765064819999996</v>
      </c>
      <c r="ND254" s="93">
        <v>13.344054717000001</v>
      </c>
      <c r="NE254" s="93">
        <v>7.4210101030000004</v>
      </c>
      <c r="NF254" s="93">
        <v>193.63168505250002</v>
      </c>
      <c r="NG254" s="93">
        <v>3.8129923694999999</v>
      </c>
      <c r="NH254" s="93">
        <v>41.714260873999997</v>
      </c>
      <c r="NI254" s="93">
        <v>16.626666708000002</v>
      </c>
      <c r="NJ254" s="93">
        <v>11.664736276999999</v>
      </c>
      <c r="NK254" s="93">
        <v>285.6094161633327</v>
      </c>
      <c r="NL254" s="93">
        <v>187.47961415099999</v>
      </c>
      <c r="NM254" s="93">
        <v>3.3546323569999998</v>
      </c>
      <c r="NN254" s="93">
        <v>94.775169655332661</v>
      </c>
      <c r="NO254" s="93">
        <v>-9.3373606209999949</v>
      </c>
      <c r="NP254" s="93">
        <v>-36.265867507022172</v>
      </c>
      <c r="NQ254" s="93">
        <v>-195.0608263844851</v>
      </c>
      <c r="NR254" s="93">
        <v>-79.520591909152458</v>
      </c>
      <c r="NS254" s="93">
        <v>-100.28565672915244</v>
      </c>
      <c r="NT254" s="93">
        <v>-79.153749306022192</v>
      </c>
      <c r="NU254" s="93">
        <v>-237.94870818348508</v>
      </c>
      <c r="NV254" s="93">
        <v>82.079834488869736</v>
      </c>
      <c r="NW254" s="93">
        <v>53.562791500869714</v>
      </c>
      <c r="NX254" s="93">
        <v>67.437321648869727</v>
      </c>
      <c r="NY254" s="93">
        <v>-13.874530148</v>
      </c>
      <c r="NZ254" s="93">
        <v>0</v>
      </c>
      <c r="OA254" s="93">
        <v>28.517042988000028</v>
      </c>
      <c r="OB254" s="93">
        <v>-20.59746667100001</v>
      </c>
      <c r="OC254" s="93">
        <v>49.114509659000007</v>
      </c>
      <c r="OD254" s="20">
        <v>-9.3132257461547859E-15</v>
      </c>
      <c r="OE254" s="29">
        <v>187</v>
      </c>
      <c r="OF254" s="1504">
        <v>42186</v>
      </c>
      <c r="OG254" s="19"/>
      <c r="OH254" s="93">
        <v>192.815853731</v>
      </c>
      <c r="OI254" s="93">
        <v>1023.9189295793482</v>
      </c>
      <c r="OJ254" s="93">
        <v>0.68510815799999991</v>
      </c>
      <c r="OK254" s="93">
        <v>866.07474146034815</v>
      </c>
      <c r="OL254" s="93">
        <v>157.159079961</v>
      </c>
      <c r="OM254" s="93">
        <v>1216.7347833103481</v>
      </c>
      <c r="ON254" s="93">
        <v>1014.6544942112531</v>
      </c>
      <c r="OO254" s="93">
        <v>2231.3892775216013</v>
      </c>
      <c r="OP254" s="93"/>
      <c r="OQ254" s="93">
        <v>631.20751971665322</v>
      </c>
      <c r="OR254" s="93">
        <v>-72.882122391999985</v>
      </c>
      <c r="OS254" s="93">
        <v>704.08964210865315</v>
      </c>
      <c r="OT254" s="93">
        <v>1871.2250169589483</v>
      </c>
      <c r="OU254" s="93">
        <v>-25.522233197000013</v>
      </c>
      <c r="OV254" s="93">
        <v>-49.420233197000037</v>
      </c>
      <c r="OW254" s="93">
        <v>23.898000000000025</v>
      </c>
      <c r="OX254" s="93">
        <v>1896.7472501559484</v>
      </c>
      <c r="OY254" s="93">
        <v>4.0636565930000002</v>
      </c>
      <c r="OZ254" s="93">
        <v>1892.6835935629483</v>
      </c>
      <c r="PA254" s="93">
        <v>370.47243284799998</v>
      </c>
      <c r="PB254" s="93">
        <v>-99.429173693999985</v>
      </c>
      <c r="PC254" s="20">
        <v>2231.3892775216013</v>
      </c>
      <c r="PD254" s="29">
        <v>187</v>
      </c>
      <c r="PE254" s="19"/>
      <c r="PF254" s="93">
        <v>-72.882122391999985</v>
      </c>
      <c r="PG254" s="93">
        <v>419.00744873399998</v>
      </c>
      <c r="PH254" s="93">
        <v>491.88957112599996</v>
      </c>
      <c r="PI254" s="93">
        <v>514.40043749999995</v>
      </c>
      <c r="PJ254" s="93">
        <v>-44.040486928000036</v>
      </c>
      <c r="PK254" s="93">
        <v>139.32216340099998</v>
      </c>
      <c r="PL254" s="93">
        <v>183.36265032900002</v>
      </c>
      <c r="PM254" s="93">
        <v>4.0636565930000002</v>
      </c>
      <c r="PN254" s="93">
        <v>0.6</v>
      </c>
      <c r="PO254" s="93">
        <v>0</v>
      </c>
      <c r="PP254" s="93">
        <v>2.7611699999999999E-4</v>
      </c>
      <c r="PQ254" s="93">
        <v>3.4633804760000002</v>
      </c>
      <c r="PR254" s="93">
        <v>398.97723395200001</v>
      </c>
      <c r="PS254" s="93">
        <v>249.6816</v>
      </c>
      <c r="PT254" s="93">
        <v>148.61052579400001</v>
      </c>
      <c r="PU254" s="93">
        <v>0.68510815799999991</v>
      </c>
      <c r="PV254" s="93">
        <v>0</v>
      </c>
      <c r="PW254" s="93">
        <v>1.54051614</v>
      </c>
      <c r="PX254" s="93">
        <v>0</v>
      </c>
      <c r="PY254" s="93">
        <v>0</v>
      </c>
      <c r="PZ254" s="93">
        <v>1.54051614</v>
      </c>
      <c r="QA254" s="93">
        <v>0</v>
      </c>
      <c r="QB254" s="93">
        <v>0</v>
      </c>
      <c r="QC254" s="93">
        <v>0</v>
      </c>
      <c r="QD254" s="93">
        <v>5.5669167079999999</v>
      </c>
      <c r="QE254" s="20">
        <v>-4.5431820269999932</v>
      </c>
      <c r="QF254" s="1739">
        <v>187</v>
      </c>
      <c r="QG254" s="19"/>
      <c r="QH254" s="1035">
        <v>704.08964210865315</v>
      </c>
      <c r="QI254" s="1035">
        <v>1031.9274064370518</v>
      </c>
      <c r="QJ254" s="1035">
        <v>-327.83776432839863</v>
      </c>
      <c r="QK254" s="1035">
        <v>206.285</v>
      </c>
      <c r="QL254" s="1035">
        <v>51.485999999999997</v>
      </c>
      <c r="QM254" s="1035">
        <v>154.79900000000001</v>
      </c>
      <c r="QN254" s="1035">
        <v>0</v>
      </c>
      <c r="QO254" s="1035">
        <v>23.898000000000025</v>
      </c>
      <c r="QP254" s="1035">
        <v>247.87400000000002</v>
      </c>
      <c r="QQ254" s="1035">
        <v>-223.976</v>
      </c>
      <c r="QR254" s="1035">
        <v>1892.6835935629483</v>
      </c>
      <c r="QS254" s="1035">
        <v>18.741013941779418</v>
      </c>
      <c r="QT254" s="1035">
        <v>0</v>
      </c>
      <c r="QU254" s="1035">
        <v>197.547</v>
      </c>
      <c r="QV254" s="1035">
        <v>1676.395579621169</v>
      </c>
      <c r="QW254" s="93"/>
      <c r="QX254" s="93">
        <v>515.59699999999998</v>
      </c>
      <c r="QY254" s="93">
        <v>866.07474146034826</v>
      </c>
      <c r="QZ254" s="93">
        <v>1014.6544942112532</v>
      </c>
      <c r="RA254" s="93">
        <v>0</v>
      </c>
      <c r="RB254" s="93">
        <v>51.74</v>
      </c>
      <c r="RC254" s="93">
        <v>4.82</v>
      </c>
      <c r="RD254" s="93">
        <v>21.72</v>
      </c>
      <c r="RE254" s="93">
        <v>0</v>
      </c>
      <c r="RF254" s="93">
        <v>0</v>
      </c>
      <c r="RG254" s="93">
        <v>285.08499999999998</v>
      </c>
      <c r="RH254" s="93">
        <v>67.265000000000015</v>
      </c>
      <c r="RI254" s="93"/>
      <c r="RJ254" s="93"/>
      <c r="RK254" s="93"/>
      <c r="RL254" s="93"/>
      <c r="RM254" s="734"/>
      <c r="RN254" s="29">
        <v>187</v>
      </c>
      <c r="RO254" s="19">
        <v>78</v>
      </c>
      <c r="RP254" s="20"/>
      <c r="RQ254" s="29">
        <v>187</v>
      </c>
      <c r="RR254" s="734">
        <v>3.1936943600000003</v>
      </c>
      <c r="RS254" s="29">
        <v>187</v>
      </c>
      <c r="RT254" s="1504">
        <v>42186</v>
      </c>
      <c r="RU254" s="19">
        <v>581</v>
      </c>
      <c r="RV254" s="20">
        <v>23</v>
      </c>
      <c r="RW254" s="29">
        <v>187</v>
      </c>
      <c r="RX254" s="1504">
        <v>42186</v>
      </c>
      <c r="RY254" s="29"/>
      <c r="RZ254" s="734"/>
      <c r="SA254" s="29"/>
      <c r="SB254" s="29">
        <v>187</v>
      </c>
    </row>
    <row r="255" spans="1:496">
      <c r="A255" s="41">
        <f t="shared" si="208"/>
        <v>2015</v>
      </c>
      <c r="B255" s="1504">
        <v>42217</v>
      </c>
      <c r="C255" s="1813">
        <v>1343</v>
      </c>
      <c r="D255" s="1814">
        <v>20593</v>
      </c>
      <c r="E255" s="1814">
        <v>62</v>
      </c>
      <c r="F255" s="1815">
        <v>1579</v>
      </c>
      <c r="G255" s="1814">
        <v>118198</v>
      </c>
      <c r="H255" s="1814">
        <v>22</v>
      </c>
      <c r="I255" s="1814">
        <v>32874</v>
      </c>
      <c r="J255" s="1816">
        <v>14967</v>
      </c>
      <c r="K255" s="1807">
        <v>189638</v>
      </c>
      <c r="L255" s="25">
        <v>188</v>
      </c>
      <c r="M255" s="97"/>
      <c r="N255" s="1504">
        <v>42217</v>
      </c>
      <c r="O255" s="19">
        <v>852</v>
      </c>
      <c r="P255" s="93">
        <v>858</v>
      </c>
      <c r="Q255" s="93">
        <v>8944</v>
      </c>
      <c r="R255" s="93">
        <v>2256</v>
      </c>
      <c r="S255" s="93">
        <v>1174</v>
      </c>
      <c r="T255" s="93">
        <v>743</v>
      </c>
      <c r="U255" s="93">
        <v>214</v>
      </c>
      <c r="V255" s="93">
        <v>1459</v>
      </c>
      <c r="W255" s="93">
        <v>4433</v>
      </c>
      <c r="X255" s="93">
        <v>664</v>
      </c>
      <c r="Y255" s="93">
        <v>188</v>
      </c>
      <c r="Z255" s="93">
        <v>1021</v>
      </c>
      <c r="AA255" s="93">
        <v>504</v>
      </c>
      <c r="AB255" s="132">
        <v>23310</v>
      </c>
      <c r="AC255" s="25">
        <v>188</v>
      </c>
      <c r="AD255" s="97"/>
      <c r="AE255" s="1504">
        <v>42217</v>
      </c>
      <c r="AF255" s="19">
        <v>2419</v>
      </c>
      <c r="AG255" s="93">
        <v>700</v>
      </c>
      <c r="AH255" s="93">
        <v>5655</v>
      </c>
      <c r="AI255" s="93">
        <v>4868</v>
      </c>
      <c r="AJ255" s="93">
        <v>3144</v>
      </c>
      <c r="AK255" s="93">
        <v>1084</v>
      </c>
      <c r="AL255" s="93">
        <v>961</v>
      </c>
      <c r="AM255" s="93">
        <v>1855</v>
      </c>
      <c r="AN255" s="93">
        <v>6561</v>
      </c>
      <c r="AO255" s="93">
        <v>2685</v>
      </c>
      <c r="AP255" s="93">
        <v>823</v>
      </c>
      <c r="AQ255" s="93">
        <v>2685</v>
      </c>
      <c r="AR255" s="93">
        <v>677</v>
      </c>
      <c r="AS255" s="20">
        <v>34117</v>
      </c>
      <c r="AT255" s="25">
        <v>188</v>
      </c>
      <c r="AU255" s="97"/>
      <c r="AV255" s="1504">
        <v>42217</v>
      </c>
      <c r="AW255" s="19">
        <v>10029</v>
      </c>
      <c r="AX255" s="93">
        <v>3360</v>
      </c>
      <c r="AY255" s="93">
        <v>6018</v>
      </c>
      <c r="AZ255" s="93">
        <v>20365</v>
      </c>
      <c r="BA255" s="93">
        <v>8697</v>
      </c>
      <c r="BB255" s="93">
        <v>5293</v>
      </c>
      <c r="BC255" s="93">
        <v>5728</v>
      </c>
      <c r="BD255" s="93">
        <v>14606</v>
      </c>
      <c r="BE255" s="93">
        <v>13987</v>
      </c>
      <c r="BF255" s="93">
        <v>8194</v>
      </c>
      <c r="BG255" s="93">
        <v>5874</v>
      </c>
      <c r="BH255" s="93">
        <v>11781</v>
      </c>
      <c r="BI255" s="93">
        <v>4979</v>
      </c>
      <c r="BJ255" s="20">
        <v>118911</v>
      </c>
      <c r="BK255" s="25">
        <v>188</v>
      </c>
      <c r="BL255" s="97"/>
      <c r="BM255" s="1504">
        <v>42217</v>
      </c>
      <c r="BN255" s="19">
        <v>78.64200000000001</v>
      </c>
      <c r="BO255" s="93">
        <v>2288.25</v>
      </c>
      <c r="BP255" s="93">
        <v>11.328000000000001</v>
      </c>
      <c r="BQ255" s="93">
        <v>867.71199999999976</v>
      </c>
      <c r="BR255" s="93">
        <v>3.8250000000000002</v>
      </c>
      <c r="BS255" s="93">
        <v>309.80700000000002</v>
      </c>
      <c r="BT255" s="93">
        <v>344.18400000000003</v>
      </c>
      <c r="BU255" s="132">
        <v>3903.7479999999996</v>
      </c>
      <c r="BV255" s="25">
        <v>188</v>
      </c>
      <c r="BW255" s="97"/>
      <c r="BX255" s="1504">
        <v>42217</v>
      </c>
      <c r="BY255" s="179">
        <v>589</v>
      </c>
      <c r="BZ255" s="99">
        <v>664.95699999999999</v>
      </c>
      <c r="CA255" s="99">
        <v>608.66381221400002</v>
      </c>
      <c r="CB255" s="99">
        <v>45.62</v>
      </c>
      <c r="CC255" s="99">
        <v>151.79</v>
      </c>
      <c r="CD255" s="25">
        <v>188</v>
      </c>
      <c r="CE255" s="97"/>
      <c r="CF255" s="1504">
        <v>42217</v>
      </c>
      <c r="CG255" s="1508">
        <v>1.5833580840000001</v>
      </c>
      <c r="CH255" s="568">
        <v>1117.93</v>
      </c>
      <c r="CI255" s="1708">
        <v>45.69</v>
      </c>
      <c r="CJ255" s="1509">
        <v>46.99</v>
      </c>
      <c r="CK255" s="1508">
        <v>377.5</v>
      </c>
      <c r="CL255" s="568">
        <v>162.5937768</v>
      </c>
      <c r="CM255" s="568">
        <v>0.25353130000000001</v>
      </c>
      <c r="CN255" s="568">
        <v>0.36368987200000003</v>
      </c>
      <c r="CO255" s="568">
        <v>179.67654630000001</v>
      </c>
      <c r="CP255" s="1509">
        <v>4.7666089019999998</v>
      </c>
      <c r="CQ255" s="1708">
        <v>1392.06</v>
      </c>
      <c r="CR255" s="568">
        <v>3.17</v>
      </c>
      <c r="CS255" s="568">
        <v>1.4489000000000001</v>
      </c>
      <c r="CT255" s="568">
        <v>121</v>
      </c>
      <c r="CU255" s="568">
        <v>56.19</v>
      </c>
      <c r="CV255" s="1709">
        <v>1807.64</v>
      </c>
      <c r="CW255" s="29">
        <v>188</v>
      </c>
      <c r="CX255" s="41">
        <f t="shared" si="209"/>
        <v>2015</v>
      </c>
      <c r="CY255" s="1504">
        <v>42217</v>
      </c>
      <c r="CZ255" s="1916">
        <v>99.134534000000002</v>
      </c>
      <c r="DA255" s="1526">
        <v>62.647840000000002</v>
      </c>
      <c r="DB255" s="1526">
        <v>36.486694</v>
      </c>
      <c r="DC255" s="182">
        <f t="shared" si="225"/>
        <v>544825</v>
      </c>
      <c r="DD255" s="182">
        <f t="shared" si="226"/>
        <v>543327</v>
      </c>
      <c r="DE255" s="182">
        <f t="shared" si="227"/>
        <v>1498</v>
      </c>
      <c r="DF255" s="29">
        <v>188</v>
      </c>
      <c r="DG255" s="1504">
        <v>42217</v>
      </c>
      <c r="DH255" s="369">
        <f>(((DH254/DH253-1)+(DH253/DH252-1))^1/2+1)*DH254</f>
        <v>324214.14808705379</v>
      </c>
      <c r="DI255" s="182"/>
      <c r="DJ255" s="182"/>
      <c r="DK255" s="182"/>
      <c r="DL255" s="182"/>
      <c r="DM255" s="182"/>
      <c r="DN255" s="290"/>
      <c r="DO255" s="295"/>
      <c r="DP255" s="29">
        <v>188</v>
      </c>
      <c r="DQ255" s="1504">
        <v>42217</v>
      </c>
      <c r="DR255" s="19"/>
      <c r="DS255" s="93"/>
      <c r="DT255" s="93"/>
      <c r="DU255" s="93"/>
      <c r="DV255" s="93"/>
      <c r="DW255" s="93"/>
      <c r="DX255" s="1719"/>
      <c r="DY255" s="29">
        <v>188</v>
      </c>
      <c r="DZ255" s="1504">
        <v>42217</v>
      </c>
      <c r="EA255" s="19"/>
      <c r="EB255" s="93"/>
      <c r="EC255" s="20"/>
      <c r="ED255" s="29"/>
      <c r="EE255" s="1504">
        <v>42217</v>
      </c>
      <c r="EF255" s="419">
        <f t="shared" si="233"/>
        <v>17116.842497202826</v>
      </c>
      <c r="EG255" s="100">
        <f t="shared" si="233"/>
        <v>24417.595113838517</v>
      </c>
      <c r="EH255" s="100">
        <f t="shared" si="233"/>
        <v>40810.558388433026</v>
      </c>
      <c r="EI255" s="420">
        <f t="shared" si="233"/>
        <v>5702.5790570499557</v>
      </c>
      <c r="EJ255" s="100">
        <f t="shared" si="233"/>
        <v>2419.066298336641</v>
      </c>
      <c r="EK255" s="100">
        <f t="shared" si="233"/>
        <v>396.96780104325427</v>
      </c>
      <c r="EL255" s="100">
        <f t="shared" si="233"/>
        <v>277.08202878092197</v>
      </c>
      <c r="EM255" s="100">
        <f t="shared" si="233"/>
        <v>48.338043376236385</v>
      </c>
      <c r="EN255" s="306">
        <f t="shared" si="233"/>
        <v>2572.5443761036481</v>
      </c>
      <c r="EO255" s="29">
        <v>188</v>
      </c>
      <c r="EP255" s="1504">
        <v>42217</v>
      </c>
      <c r="EQ255" s="19">
        <v>18248</v>
      </c>
      <c r="ER255" s="93">
        <v>20972</v>
      </c>
      <c r="ES255" s="93">
        <v>39220</v>
      </c>
      <c r="ET255" s="214">
        <v>7908</v>
      </c>
      <c r="EU255" s="93">
        <v>495.416</v>
      </c>
      <c r="EV255" s="93">
        <v>76.215999999999994</v>
      </c>
      <c r="EW255" s="93">
        <v>5.9349999999999996</v>
      </c>
      <c r="EX255" s="93">
        <v>4.6210000000000004</v>
      </c>
      <c r="EY255" s="20">
        <v>582.18799999999987</v>
      </c>
      <c r="EZ255" s="29">
        <v>188</v>
      </c>
      <c r="FA255" s="1504">
        <v>42217</v>
      </c>
      <c r="FB255" s="29"/>
      <c r="FC255" s="29"/>
      <c r="FD255" s="29"/>
      <c r="FE255" s="29"/>
      <c r="FF255" s="29"/>
      <c r="FG255" s="29"/>
      <c r="FH255" s="29"/>
      <c r="FI255" s="29"/>
      <c r="FJ255" s="29"/>
      <c r="FK255" s="29">
        <v>188</v>
      </c>
      <c r="FL255" s="1504">
        <v>42217</v>
      </c>
      <c r="FM255" s="19">
        <v>103.41</v>
      </c>
      <c r="FN255" s="93">
        <v>106.54</v>
      </c>
      <c r="FO255" s="93">
        <v>102.99</v>
      </c>
      <c r="FP255" s="93">
        <v>98.59</v>
      </c>
      <c r="FQ255" s="93">
        <v>101.75</v>
      </c>
      <c r="FR255" s="93">
        <v>100.14</v>
      </c>
      <c r="FS255" s="93">
        <v>100.17</v>
      </c>
      <c r="FT255" s="93">
        <v>98.17</v>
      </c>
      <c r="FU255" s="93">
        <v>99.96</v>
      </c>
      <c r="FV255" s="93">
        <v>103.84</v>
      </c>
      <c r="FW255" s="93">
        <v>101.3</v>
      </c>
      <c r="FX255" s="93">
        <v>99.77</v>
      </c>
      <c r="FY255" s="93">
        <v>98.51</v>
      </c>
      <c r="FZ255" s="29">
        <v>188</v>
      </c>
      <c r="GA255" s="1504">
        <v>42217</v>
      </c>
      <c r="GB255" s="19">
        <v>103.41</v>
      </c>
      <c r="GC255" s="93">
        <v>99.68</v>
      </c>
      <c r="GD255" s="93">
        <v>105.37</v>
      </c>
      <c r="GE255" s="93">
        <v>99.98</v>
      </c>
      <c r="GF255" s="93">
        <v>107.3</v>
      </c>
      <c r="GG255" s="99">
        <v>102.03</v>
      </c>
      <c r="GH255" s="93">
        <v>107.6</v>
      </c>
      <c r="GI255" s="93">
        <v>101.7</v>
      </c>
      <c r="GJ255" s="93">
        <v>100.14</v>
      </c>
      <c r="GK255" s="93">
        <v>99.78</v>
      </c>
      <c r="GL255" s="93">
        <v>105.44</v>
      </c>
      <c r="GM255" s="93">
        <v>99.69</v>
      </c>
      <c r="GN255" s="20">
        <v>100.14</v>
      </c>
      <c r="GO255" s="29">
        <v>188</v>
      </c>
      <c r="GP255" s="1504">
        <v>42217</v>
      </c>
      <c r="GQ255" s="181">
        <v>219.322709579617</v>
      </c>
      <c r="GR255" s="182">
        <v>216.07267521854001</v>
      </c>
      <c r="GS255" s="182">
        <v>226.14946554517499</v>
      </c>
      <c r="GT255" s="182">
        <v>182.34898116099399</v>
      </c>
      <c r="GU255" s="182">
        <v>376.08107008296702</v>
      </c>
      <c r="GV255" s="290">
        <v>704.84943761925899</v>
      </c>
      <c r="GW255" s="181">
        <v>388.44341426476501</v>
      </c>
      <c r="GX255" s="182">
        <v>399.041611223394</v>
      </c>
      <c r="GY255" s="182">
        <v>502.66328132861798</v>
      </c>
      <c r="GZ255" s="182">
        <v>386.96001756452102</v>
      </c>
      <c r="HA255" s="182">
        <v>404.39613329414999</v>
      </c>
      <c r="HB255" s="290">
        <v>571.50429980171396</v>
      </c>
      <c r="HC255" s="181">
        <v>1688.69191036814</v>
      </c>
      <c r="HD255" s="182">
        <v>1878.22129929735</v>
      </c>
      <c r="HE255" s="182">
        <v>1861.83977856915</v>
      </c>
      <c r="HF255" s="182">
        <v>3150</v>
      </c>
      <c r="HG255" s="182">
        <v>2381.55596847996</v>
      </c>
      <c r="HH255" s="290">
        <v>2704.89345550802</v>
      </c>
      <c r="HI255" s="19"/>
      <c r="HJ255" s="182">
        <v>830.08613886043599</v>
      </c>
      <c r="HK255" s="182">
        <v>1419.9521471548501</v>
      </c>
      <c r="HL255" s="182">
        <v>1047.32683111953</v>
      </c>
      <c r="HM255" s="182">
        <v>800</v>
      </c>
      <c r="HN255" s="290">
        <v>2407.6008244206801</v>
      </c>
      <c r="HO255" s="324">
        <v>164.59727605252201</v>
      </c>
      <c r="HP255" s="290">
        <v>100.19361697873499</v>
      </c>
      <c r="HQ255" s="295">
        <v>156.21130160910101</v>
      </c>
      <c r="HR255" s="29">
        <v>188</v>
      </c>
      <c r="HS255" s="1504">
        <v>42217</v>
      </c>
      <c r="HT255" s="179">
        <v>207.46349334716797</v>
      </c>
      <c r="HU255" s="99">
        <v>263.3101806640625</v>
      </c>
      <c r="HV255" s="99">
        <v>191.08279418945313</v>
      </c>
      <c r="HW255" s="99">
        <v>144.23077392578125</v>
      </c>
      <c r="HX255" s="99">
        <v>200</v>
      </c>
      <c r="HY255" s="99">
        <v>201.92400360107422</v>
      </c>
      <c r="HZ255" s="99">
        <v>204.67835998535156</v>
      </c>
      <c r="IA255" s="132">
        <v>182.82469940185547</v>
      </c>
      <c r="IB255" s="179">
        <v>200.86206436157227</v>
      </c>
      <c r="IC255" s="99">
        <v>150.90604553222656</v>
      </c>
      <c r="ID255" s="99">
        <v>210.59113311767578</v>
      </c>
      <c r="IE255" s="99">
        <v>144.48052215576172</v>
      </c>
      <c r="IF255" s="99">
        <v>199.21875</v>
      </c>
      <c r="IG255" s="132">
        <v>147.08334350585938</v>
      </c>
      <c r="IH255" s="179">
        <v>135.20845642089844</v>
      </c>
      <c r="II255" s="99">
        <v>194.73617553710938</v>
      </c>
      <c r="IJ255" s="99">
        <v>169.49151611328125</v>
      </c>
      <c r="IK255" s="99">
        <v>162.45487976074219</v>
      </c>
      <c r="IL255" s="99">
        <v>160.99367980957032</v>
      </c>
      <c r="IM255" s="99">
        <v>156.45425033569336</v>
      </c>
      <c r="IN255" s="99">
        <v>171.875</v>
      </c>
      <c r="IO255" s="132">
        <v>145.34883117675781</v>
      </c>
      <c r="IP255" s="29">
        <v>188</v>
      </c>
      <c r="IQ255" s="179">
        <v>173.22096633911133</v>
      </c>
      <c r="IR255" s="99">
        <v>92.827772521972662</v>
      </c>
      <c r="IS255" s="99">
        <v>169.64285786946616</v>
      </c>
      <c r="IT255" s="99">
        <v>137.00108337402344</v>
      </c>
      <c r="IU255" s="99">
        <v>181.51815795898438</v>
      </c>
      <c r="IV255" s="132">
        <v>122.35293579101563</v>
      </c>
      <c r="IW255" s="29">
        <v>188</v>
      </c>
      <c r="IX255" s="179">
        <v>416.66666666666669</v>
      </c>
      <c r="IY255" s="99">
        <v>410.76389312744141</v>
      </c>
      <c r="IZ255" s="99">
        <v>446</v>
      </c>
      <c r="JA255" s="99">
        <v>375</v>
      </c>
      <c r="JB255" s="99">
        <v>375</v>
      </c>
      <c r="JC255" s="99">
        <v>400</v>
      </c>
      <c r="JD255" s="99">
        <v>366</v>
      </c>
      <c r="JE255" s="132">
        <v>366.66666666666669</v>
      </c>
      <c r="JF255" s="29">
        <v>188</v>
      </c>
      <c r="JG255" s="179">
        <v>183.70721435546875</v>
      </c>
      <c r="JH255" s="99">
        <v>194.73617553710938</v>
      </c>
      <c r="JI255" s="99">
        <v>160.77171325683594</v>
      </c>
      <c r="JJ255" s="99">
        <v>175</v>
      </c>
      <c r="JK255" s="99">
        <v>185.1851806640625</v>
      </c>
      <c r="JL255" s="99">
        <v>165.83591613769531</v>
      </c>
      <c r="JM255" s="99">
        <v>180.55556488037109</v>
      </c>
      <c r="JN255" s="132">
        <v>187.86126708984375</v>
      </c>
      <c r="JO255" s="29">
        <v>188</v>
      </c>
      <c r="JP255" s="179">
        <v>200</v>
      </c>
      <c r="JQ255" s="99">
        <v>125</v>
      </c>
      <c r="JR255" s="99">
        <v>168.10343933105469</v>
      </c>
      <c r="JS255" s="100"/>
      <c r="JT255" s="99">
        <v>156.73374557495117</v>
      </c>
      <c r="JU255" s="132">
        <v>121.85791778564453</v>
      </c>
      <c r="JV255" s="29">
        <v>188</v>
      </c>
      <c r="JW255" s="1504">
        <v>42217</v>
      </c>
      <c r="JX255" s="179">
        <v>242.77777777777777</v>
      </c>
      <c r="JY255" s="99">
        <v>313.38461538461536</v>
      </c>
      <c r="JZ255" s="99">
        <v>321.95512820512818</v>
      </c>
      <c r="KA255" s="99">
        <v>329.81481481481484</v>
      </c>
      <c r="KB255" s="99">
        <v>312.22222222222223</v>
      </c>
      <c r="KC255" s="99">
        <v>390.03703703703701</v>
      </c>
      <c r="KD255" s="132">
        <v>398.13333333333333</v>
      </c>
      <c r="KE255" s="29">
        <v>188</v>
      </c>
      <c r="KF255" s="179">
        <v>37.583333333333336</v>
      </c>
      <c r="KG255" s="99">
        <v>39.875</v>
      </c>
      <c r="KH255" s="99">
        <v>60.05</v>
      </c>
      <c r="KI255" s="99">
        <v>58.708333333333336</v>
      </c>
      <c r="KJ255" s="99">
        <v>54.277777777777779</v>
      </c>
      <c r="KK255" s="132">
        <v>75.537499999999994</v>
      </c>
      <c r="KL255" s="29">
        <v>188</v>
      </c>
      <c r="KM255" s="179">
        <v>18.703703703703706</v>
      </c>
      <c r="KN255" s="99">
        <v>14.587662337662337</v>
      </c>
      <c r="KO255" s="99">
        <v>33.351851851851855</v>
      </c>
      <c r="KP255" s="99">
        <v>36.208333333333336</v>
      </c>
      <c r="KQ255" s="99">
        <v>28.574074074074073</v>
      </c>
      <c r="KR255" s="132">
        <v>31.568750000000001</v>
      </c>
      <c r="KS255" s="29">
        <v>188</v>
      </c>
      <c r="KT255" s="179">
        <v>25.888888888888889</v>
      </c>
      <c r="KU255" s="99">
        <v>21.966666666666669</v>
      </c>
      <c r="KV255" s="99">
        <v>29.777777777777779</v>
      </c>
      <c r="KW255" s="99">
        <v>32.4375</v>
      </c>
      <c r="KX255" s="99">
        <v>21.666666666666668</v>
      </c>
      <c r="KY255" s="132">
        <v>27.953125</v>
      </c>
      <c r="KZ255" s="29">
        <v>188</v>
      </c>
      <c r="LA255" s="1504">
        <v>42217</v>
      </c>
      <c r="LB255" s="19">
        <v>460</v>
      </c>
      <c r="LC255" s="93">
        <v>690</v>
      </c>
      <c r="LD255" s="93">
        <v>682</v>
      </c>
      <c r="LE255" s="93"/>
      <c r="LF255" s="93">
        <v>606</v>
      </c>
      <c r="LG255" s="93"/>
      <c r="LH255" s="20"/>
      <c r="LI255" s="29">
        <v>188</v>
      </c>
      <c r="LJ255" s="19"/>
      <c r="LK255" s="93"/>
      <c r="LL255" s="93"/>
      <c r="LM255" s="93"/>
      <c r="LN255" s="93"/>
      <c r="LO255" s="20"/>
      <c r="LP255" s="29">
        <v>188</v>
      </c>
      <c r="LQ255" s="19"/>
      <c r="LR255" s="93"/>
      <c r="LS255" s="93"/>
      <c r="LT255" s="93"/>
      <c r="LU255" s="93"/>
      <c r="LV255" s="93"/>
      <c r="LW255" s="93"/>
      <c r="LX255" s="93"/>
      <c r="LY255" s="93"/>
      <c r="LZ255" s="93"/>
      <c r="MA255" s="20"/>
      <c r="MB255" s="29">
        <v>188</v>
      </c>
      <c r="MC255" s="1504">
        <v>42217</v>
      </c>
      <c r="MD255" s="19">
        <v>902.57982004117946</v>
      </c>
      <c r="ME255" s="93">
        <v>716.89470731684753</v>
      </c>
      <c r="MF255" s="93">
        <v>716.89463471684769</v>
      </c>
      <c r="MG255" s="93">
        <v>636.58357926384747</v>
      </c>
      <c r="MH255" s="93">
        <v>167.24838549399999</v>
      </c>
      <c r="MI255" s="93">
        <v>5.4823625370000002</v>
      </c>
      <c r="MJ255" s="93">
        <v>4.8562824550476202</v>
      </c>
      <c r="MK255" s="93">
        <v>357.99074851680007</v>
      </c>
      <c r="ML255" s="93">
        <v>95.933180804999992</v>
      </c>
      <c r="MM255" s="93">
        <v>5.072619456</v>
      </c>
      <c r="MN255" s="93">
        <v>80.311055453000009</v>
      </c>
      <c r="MO255" s="93">
        <v>3.3650070220000003</v>
      </c>
      <c r="MP255" s="93">
        <v>19.348012458000003</v>
      </c>
      <c r="MQ255" s="93">
        <v>4.5229233589999991</v>
      </c>
      <c r="MR255" s="93">
        <v>15.224657083999999</v>
      </c>
      <c r="MS255" s="93">
        <v>37.850455529999998</v>
      </c>
      <c r="MT255" s="93">
        <v>7.2599999999999989E-5</v>
      </c>
      <c r="MU255" s="93">
        <v>185.68511272433204</v>
      </c>
      <c r="MV255" s="93">
        <v>70.295799304332064</v>
      </c>
      <c r="MW255" s="93">
        <v>115.38931342000001</v>
      </c>
      <c r="MX255" s="93">
        <v>923.52317074642519</v>
      </c>
      <c r="MY255" s="93">
        <v>933.70388185642514</v>
      </c>
      <c r="MZ255" s="93">
        <v>627.65417150233327</v>
      </c>
      <c r="NA255" s="93">
        <v>310.18554265383335</v>
      </c>
      <c r="NB255" s="93">
        <v>76.822328305999989</v>
      </c>
      <c r="NC255" s="93">
        <v>23.981478467999999</v>
      </c>
      <c r="ND255" s="93">
        <v>15.771925951000002</v>
      </c>
      <c r="NE255" s="93">
        <v>8.2095525170000005</v>
      </c>
      <c r="NF255" s="93">
        <v>216.66482207450002</v>
      </c>
      <c r="NG255" s="93">
        <v>4.3960622795000006</v>
      </c>
      <c r="NH255" s="93">
        <v>47.663451475000002</v>
      </c>
      <c r="NI255" s="93">
        <v>17.412218284000001</v>
      </c>
      <c r="NJ255" s="93">
        <v>11.664736276999999</v>
      </c>
      <c r="NK255" s="93">
        <v>306.04971035409176</v>
      </c>
      <c r="NL255" s="93">
        <v>198.502613384</v>
      </c>
      <c r="NM255" s="93">
        <v>4.2318390729999997</v>
      </c>
      <c r="NN255" s="93">
        <v>103.31525789709173</v>
      </c>
      <c r="NO255" s="93">
        <v>-10.180711110000003</v>
      </c>
      <c r="NP255" s="93">
        <v>-20.943350705245496</v>
      </c>
      <c r="NQ255" s="93">
        <v>-206.62846342957752</v>
      </c>
      <c r="NR255" s="93">
        <v>-79.331727064485818</v>
      </c>
      <c r="NS255" s="93">
        <v>-103.3132055324858</v>
      </c>
      <c r="NT255" s="93">
        <v>-80.764764438245521</v>
      </c>
      <c r="NU255" s="93">
        <v>-266.44987716257754</v>
      </c>
      <c r="NV255" s="93">
        <v>82.03234876330535</v>
      </c>
      <c r="NW255" s="93">
        <v>54.709382696305376</v>
      </c>
      <c r="NX255" s="93">
        <v>71.02284446975969</v>
      </c>
      <c r="NY255" s="93">
        <v>-16.313461773454293</v>
      </c>
      <c r="NZ255" s="93">
        <v>0</v>
      </c>
      <c r="OA255" s="93">
        <v>27.322966066999967</v>
      </c>
      <c r="OB255" s="93">
        <v>-50.421503205000072</v>
      </c>
      <c r="OC255" s="93">
        <v>77.744469272000018</v>
      </c>
      <c r="OD255" s="20">
        <v>-9.3132257461547859E-15</v>
      </c>
      <c r="OE255" s="29">
        <v>188</v>
      </c>
      <c r="OF255" s="1504">
        <v>42217</v>
      </c>
      <c r="OG255" s="19"/>
      <c r="OH255" s="93">
        <v>244.01347176499996</v>
      </c>
      <c r="OI255" s="93">
        <v>1022.2509990481686</v>
      </c>
      <c r="OJ255" s="93">
        <v>0.55373175599999991</v>
      </c>
      <c r="OK255" s="93">
        <v>863.30881728016857</v>
      </c>
      <c r="OL255" s="93">
        <v>158.38845001199999</v>
      </c>
      <c r="OM255" s="93">
        <v>1266.2644708131686</v>
      </c>
      <c r="ON255" s="93">
        <v>1025.6047678138648</v>
      </c>
      <c r="OO255" s="93">
        <v>2291.8692386270332</v>
      </c>
      <c r="OP255" s="93"/>
      <c r="OQ255" s="93">
        <v>717.80777560819092</v>
      </c>
      <c r="OR255" s="93">
        <v>17.600834398000075</v>
      </c>
      <c r="OS255" s="93">
        <v>700.20694121019073</v>
      </c>
      <c r="OT255" s="93">
        <v>1827.8371080618426</v>
      </c>
      <c r="OU255" s="93">
        <v>-75.43855176400001</v>
      </c>
      <c r="OV255" s="93">
        <v>-97.57155176400002</v>
      </c>
      <c r="OW255" s="93">
        <v>22.13300000000001</v>
      </c>
      <c r="OX255" s="93">
        <v>1903.2756598258427</v>
      </c>
      <c r="OY255" s="93">
        <v>4.0890159419999996</v>
      </c>
      <c r="OZ255" s="93">
        <v>1899.1866438838426</v>
      </c>
      <c r="PA255" s="93">
        <v>372.28836756499993</v>
      </c>
      <c r="PB255" s="93">
        <v>-118.51272252199996</v>
      </c>
      <c r="PC255" s="20">
        <v>2291.8692386270336</v>
      </c>
      <c r="PD255" s="29">
        <v>188</v>
      </c>
      <c r="PE255" s="19"/>
      <c r="PF255" s="93">
        <v>17.600834398000075</v>
      </c>
      <c r="PG255" s="93">
        <v>505.77097017100004</v>
      </c>
      <c r="PH255" s="93">
        <v>488.17013577299997</v>
      </c>
      <c r="PI255" s="93">
        <v>489.40043850000001</v>
      </c>
      <c r="PJ255" s="93">
        <v>-92.157823529000012</v>
      </c>
      <c r="PK255" s="93">
        <v>139.34342703299998</v>
      </c>
      <c r="PL255" s="93">
        <v>231.501250562</v>
      </c>
      <c r="PM255" s="93">
        <v>4.0890159419999996</v>
      </c>
      <c r="PN255" s="93">
        <v>0.6</v>
      </c>
      <c r="PO255" s="93">
        <v>0</v>
      </c>
      <c r="PP255" s="93">
        <v>2.7611699999999999E-4</v>
      </c>
      <c r="PQ255" s="93">
        <v>3.4887398250000001</v>
      </c>
      <c r="PR255" s="93">
        <v>409.57767104999999</v>
      </c>
      <c r="PS255" s="93">
        <v>296.33819999999997</v>
      </c>
      <c r="PT255" s="93">
        <v>112.685739294</v>
      </c>
      <c r="PU255" s="93">
        <v>0.55373175599999991</v>
      </c>
      <c r="PV255" s="93">
        <v>0</v>
      </c>
      <c r="PW255" s="93">
        <v>1.0228457419999999</v>
      </c>
      <c r="PX255" s="93">
        <v>0</v>
      </c>
      <c r="PY255" s="93">
        <v>0</v>
      </c>
      <c r="PZ255" s="93">
        <v>1.0228457419999999</v>
      </c>
      <c r="QA255" s="93">
        <v>0</v>
      </c>
      <c r="QB255" s="93">
        <v>0</v>
      </c>
      <c r="QC255" s="93">
        <v>0</v>
      </c>
      <c r="QD255" s="93">
        <v>6.3135218230000003</v>
      </c>
      <c r="QE255" s="20">
        <v>2.0184266959999997</v>
      </c>
      <c r="QF255" s="1739">
        <v>188</v>
      </c>
      <c r="QG255" s="19"/>
      <c r="QH255" s="1035">
        <v>700.20694121019073</v>
      </c>
      <c r="QI255" s="1035">
        <v>1003.9623561161575</v>
      </c>
      <c r="QJ255" s="1035">
        <v>-303.75541490596669</v>
      </c>
      <c r="QK255" s="1035">
        <v>181.84100000000001</v>
      </c>
      <c r="QL255" s="1035">
        <v>46.911000000000001</v>
      </c>
      <c r="QM255" s="1035">
        <v>134.93</v>
      </c>
      <c r="QN255" s="1035">
        <v>0</v>
      </c>
      <c r="QO255" s="1035">
        <v>22.13300000000001</v>
      </c>
      <c r="QP255" s="1035">
        <v>250.733</v>
      </c>
      <c r="QQ255" s="1035">
        <v>-228.6</v>
      </c>
      <c r="QR255" s="1035">
        <v>1899.1866438838426</v>
      </c>
      <c r="QS255" s="1035">
        <v>19.280930464752782</v>
      </c>
      <c r="QT255" s="1035">
        <v>0</v>
      </c>
      <c r="QU255" s="1035">
        <v>192.554</v>
      </c>
      <c r="QV255" s="1035">
        <v>1687.3517134190899</v>
      </c>
      <c r="QW255" s="93"/>
      <c r="QX255" s="93">
        <v>489.55399999999997</v>
      </c>
      <c r="QY255" s="93">
        <v>863.30881728016857</v>
      </c>
      <c r="QZ255" s="93">
        <v>1025.6047678138648</v>
      </c>
      <c r="RA255" s="93">
        <v>0</v>
      </c>
      <c r="RB255" s="93">
        <v>49.571000000000005</v>
      </c>
      <c r="RC255" s="93">
        <v>4.8469999999999995</v>
      </c>
      <c r="RD255" s="93">
        <v>18.437000000000001</v>
      </c>
      <c r="RE255" s="93">
        <v>0</v>
      </c>
      <c r="RF255" s="93">
        <v>0</v>
      </c>
      <c r="RG255" s="93">
        <v>292.09699999999998</v>
      </c>
      <c r="RH255" s="93">
        <v>59.948000000000036</v>
      </c>
      <c r="RI255" s="93"/>
      <c r="RJ255" s="93"/>
      <c r="RK255" s="93"/>
      <c r="RL255" s="93"/>
      <c r="RM255" s="734"/>
      <c r="RN255" s="29">
        <v>188</v>
      </c>
      <c r="RO255" s="19">
        <v>34</v>
      </c>
      <c r="RP255" s="20"/>
      <c r="RQ255" s="29">
        <v>188</v>
      </c>
      <c r="RR255" s="734">
        <v>2.4855827700000002</v>
      </c>
      <c r="RS255" s="29">
        <v>188</v>
      </c>
      <c r="RT255" s="1504">
        <v>42217</v>
      </c>
      <c r="RU255" s="19">
        <v>803</v>
      </c>
      <c r="RV255" s="20">
        <v>16</v>
      </c>
      <c r="RW255" s="29">
        <v>188</v>
      </c>
      <c r="RX255" s="1504">
        <v>42217</v>
      </c>
      <c r="RY255" s="29"/>
      <c r="RZ255" s="734"/>
      <c r="SA255" s="29"/>
      <c r="SB255" s="29">
        <v>188</v>
      </c>
    </row>
    <row r="256" spans="1:496">
      <c r="A256" s="41">
        <f t="shared" si="208"/>
        <v>2015</v>
      </c>
      <c r="B256" s="1504">
        <v>42248</v>
      </c>
      <c r="C256" s="1813">
        <v>1326</v>
      </c>
      <c r="D256" s="1814">
        <v>17935</v>
      </c>
      <c r="E256" s="1814">
        <v>46</v>
      </c>
      <c r="F256" s="1815">
        <v>1516</v>
      </c>
      <c r="G256" s="1814">
        <v>107749</v>
      </c>
      <c r="H256" s="1814">
        <v>25</v>
      </c>
      <c r="I256" s="1814">
        <v>33235</v>
      </c>
      <c r="J256" s="1816">
        <v>13528</v>
      </c>
      <c r="K256" s="1807">
        <v>175360</v>
      </c>
      <c r="L256" s="25">
        <v>189</v>
      </c>
      <c r="M256" s="97"/>
      <c r="N256" s="1504">
        <v>42248</v>
      </c>
      <c r="O256" s="19">
        <v>851</v>
      </c>
      <c r="P256" s="93">
        <v>694</v>
      </c>
      <c r="Q256" s="93">
        <v>7580</v>
      </c>
      <c r="R256" s="93">
        <v>1623</v>
      </c>
      <c r="S256" s="93">
        <v>1159</v>
      </c>
      <c r="T256" s="93">
        <v>686</v>
      </c>
      <c r="U256" s="93">
        <v>245</v>
      </c>
      <c r="V256" s="93">
        <v>1242</v>
      </c>
      <c r="W256" s="93">
        <v>3804</v>
      </c>
      <c r="X256" s="93">
        <v>721</v>
      </c>
      <c r="Y256" s="93">
        <v>169</v>
      </c>
      <c r="Z256" s="93">
        <v>977</v>
      </c>
      <c r="AA256" s="93">
        <v>499</v>
      </c>
      <c r="AB256" s="132">
        <v>20250</v>
      </c>
      <c r="AC256" s="25">
        <v>189</v>
      </c>
      <c r="AD256" s="97"/>
      <c r="AE256" s="1504">
        <v>42248</v>
      </c>
      <c r="AF256" s="19">
        <v>2779</v>
      </c>
      <c r="AG256" s="93">
        <v>622</v>
      </c>
      <c r="AH256" s="93">
        <v>5477</v>
      </c>
      <c r="AI256" s="93">
        <v>3095</v>
      </c>
      <c r="AJ256" s="93">
        <v>4067</v>
      </c>
      <c r="AK256" s="93">
        <v>2123</v>
      </c>
      <c r="AL256" s="93">
        <v>1031</v>
      </c>
      <c r="AM256" s="93">
        <v>2341</v>
      </c>
      <c r="AN256" s="93">
        <v>4626</v>
      </c>
      <c r="AO256" s="93">
        <v>3306</v>
      </c>
      <c r="AP256" s="93">
        <v>967</v>
      </c>
      <c r="AQ256" s="93">
        <v>3344</v>
      </c>
      <c r="AR256" s="93">
        <v>645</v>
      </c>
      <c r="AS256" s="20">
        <v>34423</v>
      </c>
      <c r="AT256" s="25">
        <v>189</v>
      </c>
      <c r="AU256" s="97"/>
      <c r="AV256" s="1504">
        <v>42248</v>
      </c>
      <c r="AW256" s="19">
        <v>12158</v>
      </c>
      <c r="AX256" s="93">
        <v>3146</v>
      </c>
      <c r="AY256" s="93">
        <v>6835</v>
      </c>
      <c r="AZ256" s="93">
        <v>14439</v>
      </c>
      <c r="BA256" s="93">
        <v>10171</v>
      </c>
      <c r="BB256" s="93">
        <v>7038</v>
      </c>
      <c r="BC256" s="93">
        <v>4946</v>
      </c>
      <c r="BD256" s="93">
        <v>13396</v>
      </c>
      <c r="BE256" s="93">
        <v>10053</v>
      </c>
      <c r="BF256" s="93">
        <v>7948</v>
      </c>
      <c r="BG256" s="93">
        <v>5518</v>
      </c>
      <c r="BH256" s="93">
        <v>9588</v>
      </c>
      <c r="BI256" s="93">
        <v>3228</v>
      </c>
      <c r="BJ256" s="20">
        <v>108464</v>
      </c>
      <c r="BK256" s="25">
        <v>189</v>
      </c>
      <c r="BL256" s="97"/>
      <c r="BM256" s="1504">
        <v>42248</v>
      </c>
      <c r="BN256" s="19">
        <v>93.126000000000019</v>
      </c>
      <c r="BO256" s="93">
        <v>2721.6050000000005</v>
      </c>
      <c r="BP256" s="93">
        <v>15.167999999999999</v>
      </c>
      <c r="BQ256" s="93">
        <v>804.43999999999994</v>
      </c>
      <c r="BR256" s="93">
        <v>2.448</v>
      </c>
      <c r="BS256" s="93">
        <v>305.64</v>
      </c>
      <c r="BT256" s="93">
        <v>350.42400000000009</v>
      </c>
      <c r="BU256" s="132">
        <v>4292.8510000000006</v>
      </c>
      <c r="BV256" s="25">
        <v>189</v>
      </c>
      <c r="BW256" s="97"/>
      <c r="BX256" s="1504">
        <v>42248</v>
      </c>
      <c r="BY256" s="179">
        <v>584.58000000000004</v>
      </c>
      <c r="BZ256" s="99">
        <v>664.95699999999999</v>
      </c>
      <c r="CA256" s="99">
        <v>601.08626254569992</v>
      </c>
      <c r="CB256" s="99">
        <v>42.854800248260538</v>
      </c>
      <c r="CC256" s="99">
        <v>150.76795666666666</v>
      </c>
      <c r="CD256" s="25">
        <v>189</v>
      </c>
      <c r="CE256" s="97"/>
      <c r="CF256" s="1504">
        <v>42248</v>
      </c>
      <c r="CG256" s="1508">
        <v>1.5154557879999999</v>
      </c>
      <c r="CH256" s="568">
        <v>1124.77</v>
      </c>
      <c r="CI256" s="1708">
        <v>46.28</v>
      </c>
      <c r="CJ256" s="1509">
        <v>47.24</v>
      </c>
      <c r="CK256" s="1508">
        <v>360</v>
      </c>
      <c r="CL256" s="568">
        <v>165.62117599999999</v>
      </c>
      <c r="CM256" s="568">
        <v>0.26146793200000001</v>
      </c>
      <c r="CN256" s="568">
        <v>0.36669422400000001</v>
      </c>
      <c r="CO256" s="568">
        <v>172.69524899999999</v>
      </c>
      <c r="CP256" s="1509">
        <v>4.5819719770000003</v>
      </c>
      <c r="CQ256" s="1708">
        <v>1399.94</v>
      </c>
      <c r="CR256" s="568">
        <v>3.1025</v>
      </c>
      <c r="CS256" s="568">
        <v>1.3466</v>
      </c>
      <c r="CT256" s="568">
        <v>124</v>
      </c>
      <c r="CU256" s="568">
        <v>56.95</v>
      </c>
      <c r="CV256" s="1709">
        <v>1720.23</v>
      </c>
      <c r="CW256" s="29">
        <v>189</v>
      </c>
      <c r="CX256" s="41">
        <f t="shared" si="209"/>
        <v>2015</v>
      </c>
      <c r="CY256" s="1504">
        <v>42248</v>
      </c>
      <c r="CZ256" s="1916">
        <v>97.568646000000001</v>
      </c>
      <c r="DA256" s="1526">
        <v>62.331764999999997</v>
      </c>
      <c r="DB256" s="1526">
        <v>35.236880999999997</v>
      </c>
      <c r="DC256" s="182">
        <f t="shared" si="225"/>
        <v>544825</v>
      </c>
      <c r="DD256" s="182">
        <f t="shared" si="226"/>
        <v>543327</v>
      </c>
      <c r="DE256" s="182">
        <f t="shared" si="227"/>
        <v>1498</v>
      </c>
      <c r="DF256" s="29">
        <v>189</v>
      </c>
      <c r="DG256" s="1504">
        <v>42248</v>
      </c>
      <c r="DH256" s="181">
        <v>321248</v>
      </c>
      <c r="DI256" s="182"/>
      <c r="DJ256" s="182"/>
      <c r="DK256" s="182"/>
      <c r="DL256" s="182"/>
      <c r="DM256" s="182"/>
      <c r="DN256" s="290"/>
      <c r="DO256" s="295"/>
      <c r="DP256" s="29">
        <v>189</v>
      </c>
      <c r="DQ256" s="1504">
        <v>42248</v>
      </c>
      <c r="DR256" s="19"/>
      <c r="DS256" s="93"/>
      <c r="DT256" s="93"/>
      <c r="DU256" s="93"/>
      <c r="DV256" s="93"/>
      <c r="DW256" s="93"/>
      <c r="DX256" s="1719"/>
      <c r="DY256" s="29">
        <v>189</v>
      </c>
      <c r="DZ256" s="1504">
        <v>42248</v>
      </c>
      <c r="EA256" s="19"/>
      <c r="EB256" s="93"/>
      <c r="EC256" s="20"/>
      <c r="ED256" s="29"/>
      <c r="EE256" s="1504">
        <v>42248</v>
      </c>
      <c r="EF256" s="179">
        <v>19385</v>
      </c>
      <c r="EG256" s="99">
        <v>19998</v>
      </c>
      <c r="EH256" s="99">
        <v>39383</v>
      </c>
      <c r="EI256" s="221">
        <v>7707</v>
      </c>
      <c r="EJ256" s="99">
        <v>599.37800000000004</v>
      </c>
      <c r="EK256" s="99">
        <v>86.542000000000002</v>
      </c>
      <c r="EL256" s="99">
        <v>5.4169999999999998</v>
      </c>
      <c r="EM256" s="99">
        <v>5.0579999999999998</v>
      </c>
      <c r="EN256" s="132">
        <v>696.3950000000001</v>
      </c>
      <c r="EO256" s="29">
        <v>189</v>
      </c>
      <c r="EP256" s="1504">
        <v>42248</v>
      </c>
      <c r="EQ256" s="19">
        <v>18765</v>
      </c>
      <c r="ER256" s="93">
        <v>18148</v>
      </c>
      <c r="ES256" s="93">
        <v>36913</v>
      </c>
      <c r="ET256" s="214">
        <v>11427</v>
      </c>
      <c r="EU256" s="93">
        <v>603.63800000000003</v>
      </c>
      <c r="EV256" s="93">
        <v>86.542000000000002</v>
      </c>
      <c r="EW256" s="93">
        <v>9.6769999999999996</v>
      </c>
      <c r="EX256" s="93">
        <v>5.0579999999999998</v>
      </c>
      <c r="EY256" s="20">
        <v>704.91500000000008</v>
      </c>
      <c r="EZ256" s="29">
        <v>189</v>
      </c>
      <c r="FA256" s="1504">
        <v>42248</v>
      </c>
      <c r="FB256" s="29"/>
      <c r="FC256" s="29"/>
      <c r="FD256" s="29"/>
      <c r="FE256" s="29"/>
      <c r="FF256" s="29"/>
      <c r="FG256" s="29"/>
      <c r="FH256" s="29"/>
      <c r="FI256" s="29"/>
      <c r="FJ256" s="29"/>
      <c r="FK256" s="29">
        <v>189</v>
      </c>
      <c r="FL256" s="1504">
        <v>42248</v>
      </c>
      <c r="FM256" s="19">
        <v>101.83</v>
      </c>
      <c r="FN256" s="93">
        <v>104.49</v>
      </c>
      <c r="FO256" s="93">
        <v>94.52</v>
      </c>
      <c r="FP256" s="93">
        <v>98.24</v>
      </c>
      <c r="FQ256" s="93">
        <v>98.99</v>
      </c>
      <c r="FR256" s="93">
        <v>100.14</v>
      </c>
      <c r="FS256" s="93">
        <v>100.17</v>
      </c>
      <c r="FT256" s="93">
        <v>98.46</v>
      </c>
      <c r="FU256" s="93">
        <v>99.96</v>
      </c>
      <c r="FV256" s="93">
        <v>103.84</v>
      </c>
      <c r="FW256" s="93">
        <v>101.3</v>
      </c>
      <c r="FX256" s="93">
        <v>100.3</v>
      </c>
      <c r="FY256" s="93">
        <v>98.5</v>
      </c>
      <c r="FZ256" s="29">
        <v>189</v>
      </c>
      <c r="GA256" s="1504">
        <v>42248</v>
      </c>
      <c r="GB256" s="19">
        <v>101.83</v>
      </c>
      <c r="GC256" s="93">
        <v>99.58</v>
      </c>
      <c r="GD256" s="93">
        <v>103.01</v>
      </c>
      <c r="GE256" s="93">
        <v>96.95</v>
      </c>
      <c r="GF256" s="93">
        <v>104.97</v>
      </c>
      <c r="GG256" s="99">
        <v>101.1</v>
      </c>
      <c r="GH256" s="93">
        <v>104.52</v>
      </c>
      <c r="GI256" s="93">
        <v>100.7</v>
      </c>
      <c r="GJ256" s="93">
        <v>100.16</v>
      </c>
      <c r="GK256" s="93">
        <v>99.78</v>
      </c>
      <c r="GL256" s="93">
        <v>103.01</v>
      </c>
      <c r="GM256" s="93">
        <v>99.43</v>
      </c>
      <c r="GN256" s="20">
        <v>100.16</v>
      </c>
      <c r="GO256" s="29">
        <v>189</v>
      </c>
      <c r="GP256" s="1504">
        <v>42248</v>
      </c>
      <c r="GQ256" s="181">
        <v>266.44054226313102</v>
      </c>
      <c r="GR256" s="182">
        <v>233.10420690172899</v>
      </c>
      <c r="GS256" s="182">
        <v>222.67926896442</v>
      </c>
      <c r="GT256" s="182">
        <v>187.40923301862</v>
      </c>
      <c r="GU256" s="182">
        <v>416.90997608747301</v>
      </c>
      <c r="GV256" s="290">
        <v>825.78236738300996</v>
      </c>
      <c r="GW256" s="181">
        <v>399.92376282845498</v>
      </c>
      <c r="GX256" s="182">
        <v>384.31232703834598</v>
      </c>
      <c r="GY256" s="182">
        <v>405.73933195299497</v>
      </c>
      <c r="GZ256" s="182">
        <v>429.98732619685001</v>
      </c>
      <c r="HA256" s="182">
        <v>340.75109548184099</v>
      </c>
      <c r="HB256" s="290">
        <v>448.00177931875999</v>
      </c>
      <c r="HC256" s="181">
        <v>1983.7485694703701</v>
      </c>
      <c r="HD256" s="182">
        <v>1944.71712786067</v>
      </c>
      <c r="HE256" s="182">
        <v>2037.2893131659</v>
      </c>
      <c r="HF256" s="182">
        <v>3150</v>
      </c>
      <c r="HG256" s="182">
        <v>2338.6797088538601</v>
      </c>
      <c r="HH256" s="290">
        <v>2816.7183810606998</v>
      </c>
      <c r="HI256" s="19"/>
      <c r="HJ256" s="182">
        <v>859.51612149657103</v>
      </c>
      <c r="HK256" s="182">
        <v>1413.53607474202</v>
      </c>
      <c r="HL256" s="182">
        <v>1077.7331820798199</v>
      </c>
      <c r="HM256" s="182">
        <v>800</v>
      </c>
      <c r="HN256" s="290">
        <v>2350.6561918020202</v>
      </c>
      <c r="HO256" s="324">
        <v>123.616336799378</v>
      </c>
      <c r="HP256" s="290">
        <v>104.96529838648399</v>
      </c>
      <c r="HQ256" s="295">
        <v>143.35773890156301</v>
      </c>
      <c r="HR256" s="29">
        <v>189</v>
      </c>
      <c r="HS256" s="1504">
        <v>42248</v>
      </c>
      <c r="HT256" s="179">
        <v>218.84293874104819</v>
      </c>
      <c r="HU256" s="99">
        <v>260.41666412353516</v>
      </c>
      <c r="HV256" s="99">
        <v>191.08279418945313</v>
      </c>
      <c r="HW256" s="99">
        <v>144.23077392578125</v>
      </c>
      <c r="HX256" s="99">
        <v>200</v>
      </c>
      <c r="HY256" s="99">
        <v>206.19689178466797</v>
      </c>
      <c r="HZ256" s="99">
        <v>204.67835998535156</v>
      </c>
      <c r="IA256" s="132">
        <v>172.54902648925781</v>
      </c>
      <c r="IB256" s="179">
        <v>222.82678985595703</v>
      </c>
      <c r="IC256" s="99">
        <v>138.19095420837402</v>
      </c>
      <c r="ID256" s="99">
        <v>214.28572082519531</v>
      </c>
      <c r="IE256" s="99">
        <v>134.40860493977866</v>
      </c>
      <c r="IF256" s="99">
        <v>195.3125</v>
      </c>
      <c r="IG256" s="132">
        <v>146.94445419311523</v>
      </c>
      <c r="IH256" s="179">
        <v>137.12582397460938</v>
      </c>
      <c r="II256" s="99">
        <v>219.42985153198242</v>
      </c>
      <c r="IJ256" s="99">
        <v>173.72880554199219</v>
      </c>
      <c r="IK256" s="99">
        <v>162.45487976074219</v>
      </c>
      <c r="IL256" s="99">
        <v>154.15698750813803</v>
      </c>
      <c r="IM256" s="99">
        <v>169.93464660644531</v>
      </c>
      <c r="IN256" s="99">
        <v>177.30944315592447</v>
      </c>
      <c r="IO256" s="132">
        <v>145.34883117675781</v>
      </c>
      <c r="IP256" s="29">
        <v>189</v>
      </c>
      <c r="IQ256" s="179">
        <v>181.30645751953125</v>
      </c>
      <c r="IR256" s="99">
        <v>102.27272415161133</v>
      </c>
      <c r="IS256" s="99">
        <v>160.71429443359375</v>
      </c>
      <c r="IT256" s="99">
        <v>133.225461324056</v>
      </c>
      <c r="IU256" s="99">
        <v>188.11881713867189</v>
      </c>
      <c r="IV256" s="132">
        <v>117.64705657958984</v>
      </c>
      <c r="IW256" s="29">
        <v>189</v>
      </c>
      <c r="IX256" s="179">
        <v>423.3870964050293</v>
      </c>
      <c r="IY256" s="99">
        <v>418.40278244018555</v>
      </c>
      <c r="IZ256" s="99">
        <v>435</v>
      </c>
      <c r="JA256" s="99">
        <v>375</v>
      </c>
      <c r="JB256" s="99">
        <v>375</v>
      </c>
      <c r="JC256" s="99">
        <v>400</v>
      </c>
      <c r="JD256" s="99">
        <v>340</v>
      </c>
      <c r="JE256" s="132">
        <v>366.66666666666669</v>
      </c>
      <c r="JF256" s="29">
        <v>189</v>
      </c>
      <c r="JG256" s="179">
        <v>186.96809132893881</v>
      </c>
      <c r="JH256" s="99">
        <v>194.73617553710938</v>
      </c>
      <c r="JI256" s="99">
        <v>160.77171325683594</v>
      </c>
      <c r="JJ256" s="99">
        <v>175</v>
      </c>
      <c r="JK256" s="99">
        <v>185.1851806640625</v>
      </c>
      <c r="JL256" s="99">
        <v>157.74353790283203</v>
      </c>
      <c r="JM256" s="99">
        <v>174.83660888671875</v>
      </c>
      <c r="JN256" s="132">
        <v>187.86126708984375</v>
      </c>
      <c r="JO256" s="29">
        <v>189</v>
      </c>
      <c r="JP256" s="179">
        <v>212.96296310424805</v>
      </c>
      <c r="JQ256" s="99">
        <v>121.875</v>
      </c>
      <c r="JR256" s="99">
        <v>172.41378784179688</v>
      </c>
      <c r="JS256" s="100"/>
      <c r="JT256" s="99">
        <v>165.4411792755127</v>
      </c>
      <c r="JU256" s="132">
        <v>122.95081329345703</v>
      </c>
      <c r="JV256" s="29">
        <v>189</v>
      </c>
      <c r="JW256" s="1504">
        <v>42248</v>
      </c>
      <c r="JX256" s="179">
        <v>227.39583333333334</v>
      </c>
      <c r="JY256" s="99">
        <v>293.72435897435901</v>
      </c>
      <c r="JZ256" s="99">
        <v>291.2</v>
      </c>
      <c r="KA256" s="99">
        <v>344.79166666666669</v>
      </c>
      <c r="KB256" s="99">
        <v>312.77777777777777</v>
      </c>
      <c r="KC256" s="99">
        <v>386.91666666666669</v>
      </c>
      <c r="KD256" s="132">
        <v>392.05128205128204</v>
      </c>
      <c r="KE256" s="29">
        <v>189</v>
      </c>
      <c r="KF256" s="179">
        <v>36.296296296296298</v>
      </c>
      <c r="KG256" s="99">
        <v>36.359459459459458</v>
      </c>
      <c r="KH256" s="99">
        <v>59.24074074074074</v>
      </c>
      <c r="KI256" s="99">
        <v>57.916666666666664</v>
      </c>
      <c r="KJ256" s="99">
        <v>52.592592592592588</v>
      </c>
      <c r="KK256" s="132">
        <v>73.766025641025635</v>
      </c>
      <c r="KL256" s="29">
        <v>189</v>
      </c>
      <c r="KM256" s="179">
        <v>18.25</v>
      </c>
      <c r="KN256" s="99">
        <v>14.970779220779221</v>
      </c>
      <c r="KO256" s="99">
        <v>32.4791666666667</v>
      </c>
      <c r="KP256" s="99">
        <v>40</v>
      </c>
      <c r="KQ256" s="99">
        <v>28.5833333333333</v>
      </c>
      <c r="KR256" s="132">
        <v>29.551282051282101</v>
      </c>
      <c r="KS256" s="29">
        <v>189</v>
      </c>
      <c r="KT256" s="179">
        <v>24.979166666666668</v>
      </c>
      <c r="KU256" s="99">
        <v>22.21153846153846</v>
      </c>
      <c r="KV256" s="99">
        <v>30.285714285714285</v>
      </c>
      <c r="KW256" s="99">
        <v>31.333333333333332</v>
      </c>
      <c r="KX256" s="99">
        <v>23.3125</v>
      </c>
      <c r="KY256" s="132">
        <v>28.392307692307693</v>
      </c>
      <c r="KZ256" s="29">
        <v>189</v>
      </c>
      <c r="LA256" s="1504">
        <v>42248</v>
      </c>
      <c r="LB256" s="19">
        <v>460</v>
      </c>
      <c r="LC256" s="93">
        <v>690</v>
      </c>
      <c r="LD256" s="93">
        <v>682</v>
      </c>
      <c r="LE256" s="93"/>
      <c r="LF256" s="93">
        <v>606</v>
      </c>
      <c r="LG256" s="93"/>
      <c r="LH256" s="20"/>
      <c r="LI256" s="29">
        <v>189</v>
      </c>
      <c r="LJ256" s="19"/>
      <c r="LK256" s="93"/>
      <c r="LL256" s="93"/>
      <c r="LM256" s="93"/>
      <c r="LN256" s="93"/>
      <c r="LO256" s="20"/>
      <c r="LP256" s="29">
        <v>189</v>
      </c>
      <c r="LQ256" s="19"/>
      <c r="LR256" s="93"/>
      <c r="LS256" s="93"/>
      <c r="LT256" s="93"/>
      <c r="LU256" s="93"/>
      <c r="LV256" s="93"/>
      <c r="LW256" s="93"/>
      <c r="LX256" s="93"/>
      <c r="LY256" s="93"/>
      <c r="LZ256" s="93"/>
      <c r="MA256" s="20"/>
      <c r="MB256" s="29">
        <v>189</v>
      </c>
      <c r="MC256" s="1504">
        <v>42248</v>
      </c>
      <c r="MD256" s="19">
        <v>964.22334985215787</v>
      </c>
      <c r="ME256" s="93">
        <v>772.71785442099997</v>
      </c>
      <c r="MF256" s="93">
        <v>772.71778142100015</v>
      </c>
      <c r="MG256" s="93">
        <v>682.32187289299986</v>
      </c>
      <c r="MH256" s="93">
        <v>175.22780016600001</v>
      </c>
      <c r="MI256" s="93">
        <v>6.0472388290000003</v>
      </c>
      <c r="MJ256" s="93">
        <v>5.2803356939999997</v>
      </c>
      <c r="MK256" s="93">
        <v>385.85040389200009</v>
      </c>
      <c r="ML256" s="93">
        <v>104.26284058399997</v>
      </c>
      <c r="MM256" s="93">
        <v>5.6532537280000001</v>
      </c>
      <c r="MN256" s="93">
        <v>90.395908527999993</v>
      </c>
      <c r="MO256" s="93">
        <v>3.870703674</v>
      </c>
      <c r="MP256" s="93">
        <v>20.722216680000002</v>
      </c>
      <c r="MQ256" s="93">
        <v>5.4020714389999993</v>
      </c>
      <c r="MR256" s="93">
        <v>19.563668667000002</v>
      </c>
      <c r="MS256" s="93">
        <v>40.837248067999994</v>
      </c>
      <c r="MT256" s="93">
        <v>7.2999999999999999E-5</v>
      </c>
      <c r="MU256" s="93">
        <v>191.50549543115787</v>
      </c>
      <c r="MV256" s="93">
        <v>76.116182011157889</v>
      </c>
      <c r="MW256" s="93">
        <v>115.38931342000001</v>
      </c>
      <c r="MX256" s="93">
        <v>1018.2533572497508</v>
      </c>
      <c r="MY256" s="93">
        <v>1028.444433957751</v>
      </c>
      <c r="MZ256" s="93">
        <v>678.31966598883321</v>
      </c>
      <c r="NA256" s="93">
        <v>346.56886314033329</v>
      </c>
      <c r="NB256" s="93">
        <v>85.459580470000006</v>
      </c>
      <c r="NC256" s="93">
        <v>25.579746011000001</v>
      </c>
      <c r="ND256" s="93">
        <v>16.837005951000002</v>
      </c>
      <c r="NE256" s="93">
        <v>8.7427400600000009</v>
      </c>
      <c r="NF256" s="93">
        <v>220.71147636750001</v>
      </c>
      <c r="NG256" s="93">
        <v>4.6897018894999993</v>
      </c>
      <c r="NH256" s="93">
        <v>54.565347971000001</v>
      </c>
      <c r="NI256" s="93">
        <v>17.412218284000001</v>
      </c>
      <c r="NJ256" s="93">
        <v>11.664736276999999</v>
      </c>
      <c r="NK256" s="93">
        <v>350.12476796891758</v>
      </c>
      <c r="NL256" s="93">
        <v>235.85535456600002</v>
      </c>
      <c r="NM256" s="93">
        <v>4.2318390729999997</v>
      </c>
      <c r="NN256" s="93">
        <v>110.03757432991755</v>
      </c>
      <c r="NO256" s="93">
        <v>-10.191076708000002</v>
      </c>
      <c r="NP256" s="93">
        <v>-54.030007397593039</v>
      </c>
      <c r="NQ256" s="93">
        <v>-245.53550282875091</v>
      </c>
      <c r="NR256" s="93">
        <v>-109.91818248783338</v>
      </c>
      <c r="NS256" s="93">
        <v>-135.49792849883335</v>
      </c>
      <c r="NT256" s="93">
        <v>-110.43548634059303</v>
      </c>
      <c r="NU256" s="93">
        <v>-301.9409817717509</v>
      </c>
      <c r="NV256" s="93">
        <v>113.93510559875971</v>
      </c>
      <c r="NW256" s="93">
        <v>55.103204820759672</v>
      </c>
      <c r="NX256" s="93">
        <v>71.924778195759686</v>
      </c>
      <c r="NY256" s="93">
        <v>-16.821573375</v>
      </c>
      <c r="NZ256" s="93">
        <v>0</v>
      </c>
      <c r="OA256" s="93">
        <v>58.831900778000026</v>
      </c>
      <c r="OB256" s="93">
        <v>-20.055916928999974</v>
      </c>
      <c r="OC256" s="93">
        <v>78.887817707000011</v>
      </c>
      <c r="OD256" s="20">
        <v>0</v>
      </c>
      <c r="OE256" s="29">
        <v>189</v>
      </c>
      <c r="OF256" s="1504">
        <v>42248</v>
      </c>
      <c r="OG256" s="19"/>
      <c r="OH256" s="93">
        <v>251.59141227000001</v>
      </c>
      <c r="OI256" s="93">
        <v>1033.4687187186692</v>
      </c>
      <c r="OJ256" s="93">
        <v>0.63726771399999993</v>
      </c>
      <c r="OK256" s="93">
        <v>875.20752999566912</v>
      </c>
      <c r="OL256" s="93">
        <v>157.62392100900001</v>
      </c>
      <c r="OM256" s="93">
        <v>1285.0601309886692</v>
      </c>
      <c r="ON256" s="93">
        <v>1029.8828701366033</v>
      </c>
      <c r="OO256" s="93">
        <v>2314.9430011252725</v>
      </c>
      <c r="OP256" s="93"/>
      <c r="OQ256" s="93">
        <v>650.98189194319286</v>
      </c>
      <c r="OR256" s="93">
        <v>2.259052975999964</v>
      </c>
      <c r="OS256" s="93">
        <v>648.72283896719296</v>
      </c>
      <c r="OT256" s="93">
        <v>1870.5762354640799</v>
      </c>
      <c r="OU256" s="93">
        <v>-33.00151539899997</v>
      </c>
      <c r="OV256" s="93">
        <v>-58.853515399000003</v>
      </c>
      <c r="OW256" s="93">
        <v>25.852000000000032</v>
      </c>
      <c r="OX256" s="93">
        <v>1903.5777508630799</v>
      </c>
      <c r="OY256" s="93">
        <v>4.1242837749999994</v>
      </c>
      <c r="OZ256" s="93">
        <v>1899.4534670880798</v>
      </c>
      <c r="PA256" s="93">
        <v>379.979883282</v>
      </c>
      <c r="PB256" s="93">
        <v>-173.36475700000003</v>
      </c>
      <c r="PC256" s="20">
        <v>2314.9430011252725</v>
      </c>
      <c r="PD256" s="29">
        <v>189</v>
      </c>
      <c r="PE256" s="19"/>
      <c r="PF256" s="93">
        <v>2.259052975999964</v>
      </c>
      <c r="PG256" s="93">
        <v>509.57278858299998</v>
      </c>
      <c r="PH256" s="93">
        <v>507.31373560700001</v>
      </c>
      <c r="PI256" s="93">
        <v>487.11043849999999</v>
      </c>
      <c r="PJ256" s="93">
        <v>-54.783027669000006</v>
      </c>
      <c r="PK256" s="93">
        <v>136.89675141199999</v>
      </c>
      <c r="PL256" s="93">
        <v>191.67977908099999</v>
      </c>
      <c r="PM256" s="93">
        <v>4.1242837749999994</v>
      </c>
      <c r="PN256" s="93">
        <v>0.6</v>
      </c>
      <c r="PO256" s="93">
        <v>0</v>
      </c>
      <c r="PP256" s="93">
        <v>1.8461199999999999E-4</v>
      </c>
      <c r="PQ256" s="93">
        <v>3.5240991629999998</v>
      </c>
      <c r="PR256" s="93">
        <v>432.83701739700001</v>
      </c>
      <c r="PS256" s="93">
        <v>309.73590000000002</v>
      </c>
      <c r="PT256" s="93">
        <v>122.197755606</v>
      </c>
      <c r="PU256" s="93">
        <v>0.90336179099999991</v>
      </c>
      <c r="PV256" s="93">
        <v>0</v>
      </c>
      <c r="PW256" s="93">
        <v>0.34577327200000002</v>
      </c>
      <c r="PX256" s="93">
        <v>0</v>
      </c>
      <c r="PY256" s="93">
        <v>0</v>
      </c>
      <c r="PZ256" s="93">
        <v>0.34577327200000002</v>
      </c>
      <c r="QA256" s="93">
        <v>0</v>
      </c>
      <c r="QB256" s="93">
        <v>0</v>
      </c>
      <c r="QC256" s="93">
        <v>0</v>
      </c>
      <c r="QD256" s="93">
        <v>7.2511100099999997</v>
      </c>
      <c r="QE256" s="20">
        <v>-1.7231530970000137</v>
      </c>
      <c r="QF256" s="1739">
        <v>189</v>
      </c>
      <c r="QG256" s="19"/>
      <c r="QH256" s="1035">
        <v>648.72283896719296</v>
      </c>
      <c r="QI256" s="1035">
        <v>1044.4765329119205</v>
      </c>
      <c r="QJ256" s="1035">
        <v>-395.7536939447275</v>
      </c>
      <c r="QK256" s="1035">
        <v>188.87799999999999</v>
      </c>
      <c r="QL256" s="1035">
        <v>54.073999999999998</v>
      </c>
      <c r="QM256" s="1035">
        <v>134.804</v>
      </c>
      <c r="QN256" s="1035">
        <v>0</v>
      </c>
      <c r="QO256" s="1035">
        <v>25.852000000000032</v>
      </c>
      <c r="QP256" s="1035">
        <v>250.07500000000002</v>
      </c>
      <c r="QQ256" s="1035">
        <v>-224.22299999999998</v>
      </c>
      <c r="QR256" s="1035">
        <v>1899.4534670880798</v>
      </c>
      <c r="QS256" s="1035">
        <v>21.947745735555891</v>
      </c>
      <c r="QT256" s="1035">
        <v>0</v>
      </c>
      <c r="QU256" s="1035">
        <v>204.084</v>
      </c>
      <c r="QV256" s="1035">
        <v>1673.4217213525239</v>
      </c>
      <c r="QW256" s="93"/>
      <c r="QX256" s="93">
        <v>488.642</v>
      </c>
      <c r="QY256" s="93">
        <v>875.20752999566901</v>
      </c>
      <c r="QZ256" s="93">
        <v>1029.6167760596034</v>
      </c>
      <c r="RA256" s="93">
        <v>0</v>
      </c>
      <c r="RB256" s="93">
        <v>50.774999999999999</v>
      </c>
      <c r="RC256" s="93">
        <v>4.8920000000000003</v>
      </c>
      <c r="RD256" s="93">
        <v>18.791999999999998</v>
      </c>
      <c r="RE256" s="93">
        <v>0</v>
      </c>
      <c r="RF256" s="93">
        <v>0</v>
      </c>
      <c r="RG256" s="93">
        <v>297.92400000000004</v>
      </c>
      <c r="RH256" s="93">
        <v>-2.9430000000000121</v>
      </c>
      <c r="RI256" s="93"/>
      <c r="RJ256" s="93"/>
      <c r="RK256" s="93"/>
      <c r="RL256" s="93"/>
      <c r="RM256" s="734"/>
      <c r="RN256" s="29">
        <v>189</v>
      </c>
      <c r="RO256" s="19">
        <v>41</v>
      </c>
      <c r="RP256" s="20"/>
      <c r="RQ256" s="29">
        <v>189</v>
      </c>
      <c r="RR256" s="734">
        <v>2.6257434900000005</v>
      </c>
      <c r="RS256" s="29">
        <v>189</v>
      </c>
      <c r="RT256" s="1504">
        <v>42248</v>
      </c>
      <c r="RU256" s="19">
        <v>488</v>
      </c>
      <c r="RV256" s="20">
        <v>4</v>
      </c>
      <c r="RW256" s="29">
        <v>189</v>
      </c>
      <c r="RX256" s="1504">
        <v>42248</v>
      </c>
      <c r="RY256" s="29"/>
      <c r="RZ256" s="734"/>
      <c r="SA256" s="29"/>
      <c r="SB256" s="29">
        <v>189</v>
      </c>
    </row>
    <row r="257" spans="1:496">
      <c r="A257" s="41">
        <f t="shared" si="208"/>
        <v>2015</v>
      </c>
      <c r="B257" s="1504">
        <v>42278</v>
      </c>
      <c r="C257" s="1813">
        <v>1641</v>
      </c>
      <c r="D257" s="1814">
        <v>21695</v>
      </c>
      <c r="E257" s="1814">
        <v>73</v>
      </c>
      <c r="F257" s="1815">
        <v>641</v>
      </c>
      <c r="G257" s="1814">
        <v>99402</v>
      </c>
      <c r="H257" s="1814">
        <v>14</v>
      </c>
      <c r="I257" s="1814">
        <v>32467</v>
      </c>
      <c r="J257" s="1816">
        <v>13793</v>
      </c>
      <c r="K257" s="1807">
        <v>169726</v>
      </c>
      <c r="L257" s="25">
        <v>190</v>
      </c>
      <c r="M257" s="97"/>
      <c r="N257" s="1504">
        <v>42278</v>
      </c>
      <c r="O257" s="19">
        <v>738</v>
      </c>
      <c r="P257" s="93">
        <v>698</v>
      </c>
      <c r="Q257" s="93">
        <v>10159</v>
      </c>
      <c r="R257" s="93">
        <v>2327</v>
      </c>
      <c r="S257" s="93">
        <v>1298</v>
      </c>
      <c r="T257" s="93">
        <v>596</v>
      </c>
      <c r="U257" s="93">
        <v>283</v>
      </c>
      <c r="V257" s="93">
        <v>1277</v>
      </c>
      <c r="W257" s="93">
        <v>4178</v>
      </c>
      <c r="X257" s="93">
        <v>809</v>
      </c>
      <c r="Y257" s="93">
        <v>201</v>
      </c>
      <c r="Z257" s="93">
        <v>1055</v>
      </c>
      <c r="AA257" s="93">
        <v>466</v>
      </c>
      <c r="AB257" s="132">
        <v>24085</v>
      </c>
      <c r="AC257" s="25">
        <v>190</v>
      </c>
      <c r="AD257" s="97"/>
      <c r="AE257" s="1504">
        <v>42278</v>
      </c>
      <c r="AF257" s="19">
        <v>2938</v>
      </c>
      <c r="AG257" s="93">
        <v>533</v>
      </c>
      <c r="AH257" s="93">
        <v>5689</v>
      </c>
      <c r="AI257" s="93">
        <v>3314</v>
      </c>
      <c r="AJ257" s="93">
        <v>3973</v>
      </c>
      <c r="AK257" s="93">
        <v>1694</v>
      </c>
      <c r="AL257" s="93">
        <v>1023</v>
      </c>
      <c r="AM257" s="93">
        <v>2268</v>
      </c>
      <c r="AN257" s="93">
        <v>5729</v>
      </c>
      <c r="AO257" s="93">
        <v>2462</v>
      </c>
      <c r="AP257" s="93">
        <v>1244</v>
      </c>
      <c r="AQ257" s="93">
        <v>2415</v>
      </c>
      <c r="AR257" s="93">
        <v>678</v>
      </c>
      <c r="AS257" s="20">
        <v>33960</v>
      </c>
      <c r="AT257" s="25">
        <v>190</v>
      </c>
      <c r="AU257" s="97"/>
      <c r="AV257" s="1504">
        <v>42278</v>
      </c>
      <c r="AW257" s="19">
        <v>10124</v>
      </c>
      <c r="AX257" s="93">
        <v>2563</v>
      </c>
      <c r="AY257" s="93">
        <v>5024</v>
      </c>
      <c r="AZ257" s="93">
        <v>16155</v>
      </c>
      <c r="BA257" s="93">
        <v>10500</v>
      </c>
      <c r="BB257" s="93">
        <v>5756</v>
      </c>
      <c r="BC257" s="93">
        <v>4138</v>
      </c>
      <c r="BD257" s="93">
        <v>11354</v>
      </c>
      <c r="BE257" s="93">
        <v>12048</v>
      </c>
      <c r="BF257" s="93">
        <v>6657</v>
      </c>
      <c r="BG257" s="93">
        <v>5094</v>
      </c>
      <c r="BH257" s="93">
        <v>8275</v>
      </c>
      <c r="BI257" s="93">
        <v>2867</v>
      </c>
      <c r="BJ257" s="20">
        <v>100555</v>
      </c>
      <c r="BK257" s="25">
        <v>190</v>
      </c>
      <c r="BL257" s="97"/>
      <c r="BM257" s="1504">
        <v>42278</v>
      </c>
      <c r="BN257" s="19">
        <v>107.712</v>
      </c>
      <c r="BO257" s="93">
        <v>2937.5479999999998</v>
      </c>
      <c r="BP257" s="93">
        <v>14.399999999999999</v>
      </c>
      <c r="BQ257" s="93">
        <v>758.12799999999993</v>
      </c>
      <c r="BR257" s="93">
        <v>7.3439999999999994</v>
      </c>
      <c r="BS257" s="93">
        <v>329.48100000000005</v>
      </c>
      <c r="BT257" s="93">
        <v>312.024</v>
      </c>
      <c r="BU257" s="132">
        <v>4466.6369999999997</v>
      </c>
      <c r="BV257" s="25">
        <v>190</v>
      </c>
      <c r="BW257" s="97"/>
      <c r="BX257" s="1504">
        <v>42278</v>
      </c>
      <c r="BY257" s="179">
        <v>583.85</v>
      </c>
      <c r="BZ257" s="99">
        <v>664.95699999999999</v>
      </c>
      <c r="CA257" s="99">
        <v>602.7758765863</v>
      </c>
      <c r="CB257" s="99">
        <v>43.274925946206274</v>
      </c>
      <c r="CC257" s="99">
        <v>154.2555419354839</v>
      </c>
      <c r="CD257" s="25">
        <v>190</v>
      </c>
      <c r="CE257" s="97"/>
      <c r="CF257" s="1504">
        <v>42278</v>
      </c>
      <c r="CG257" s="1508">
        <v>1.5218491860000001</v>
      </c>
      <c r="CH257" s="568">
        <v>1159.25</v>
      </c>
      <c r="CI257" s="1708">
        <v>46.956666666666699</v>
      </c>
      <c r="CJ257" s="1509">
        <v>48.12</v>
      </c>
      <c r="CK257" s="568">
        <v>369.27</v>
      </c>
      <c r="CL257" s="568">
        <v>171.388588</v>
      </c>
      <c r="CM257" s="568">
        <v>0.30666264199999999</v>
      </c>
      <c r="CN257" s="568">
        <v>0.366955472</v>
      </c>
      <c r="CO257" s="568">
        <v>172.709946468</v>
      </c>
      <c r="CP257" s="568">
        <v>4.2358466369999999</v>
      </c>
      <c r="CQ257" s="568">
        <v>1399.94</v>
      </c>
      <c r="CR257" s="568">
        <v>3.24</v>
      </c>
      <c r="CS257" s="568">
        <v>1.3275999999999999</v>
      </c>
      <c r="CT257" s="568">
        <v>123.5</v>
      </c>
      <c r="CU257" s="568">
        <v>53.12</v>
      </c>
      <c r="CV257" s="568">
        <v>1724.34</v>
      </c>
      <c r="CW257" s="29">
        <v>190</v>
      </c>
      <c r="CX257" s="41">
        <f t="shared" si="209"/>
        <v>2015</v>
      </c>
      <c r="CY257" s="1504">
        <v>42278</v>
      </c>
      <c r="CZ257" s="1916">
        <v>92.972103000000004</v>
      </c>
      <c r="DA257" s="1526">
        <v>62.658804000000003</v>
      </c>
      <c r="DB257" s="1526">
        <v>30.313299000000001</v>
      </c>
      <c r="DC257" s="182">
        <f t="shared" si="225"/>
        <v>544825</v>
      </c>
      <c r="DD257" s="182">
        <f t="shared" si="226"/>
        <v>543327</v>
      </c>
      <c r="DE257" s="182">
        <f t="shared" si="227"/>
        <v>1498</v>
      </c>
      <c r="DF257" s="29">
        <v>190</v>
      </c>
      <c r="DG257" s="1504">
        <v>42278</v>
      </c>
      <c r="DH257" s="181">
        <v>323594</v>
      </c>
      <c r="DI257" s="182"/>
      <c r="DJ257" s="182"/>
      <c r="DK257" s="182"/>
      <c r="DL257" s="182"/>
      <c r="DM257" s="182"/>
      <c r="DN257" s="290"/>
      <c r="DO257" s="295"/>
      <c r="DP257" s="29">
        <v>190</v>
      </c>
      <c r="DQ257" s="1504">
        <v>42278</v>
      </c>
      <c r="DR257" s="19"/>
      <c r="DS257" s="93"/>
      <c r="DT257" s="93"/>
      <c r="DU257" s="93"/>
      <c r="DV257" s="93"/>
      <c r="DW257" s="93"/>
      <c r="DX257" s="1719"/>
      <c r="DY257" s="29">
        <v>190</v>
      </c>
      <c r="DZ257" s="1504">
        <v>42278</v>
      </c>
      <c r="EA257" s="19"/>
      <c r="EB257" s="93"/>
      <c r="EC257" s="20"/>
      <c r="ED257" s="29"/>
      <c r="EE257" s="1504">
        <v>42278</v>
      </c>
      <c r="EF257" s="179">
        <v>26608</v>
      </c>
      <c r="EG257" s="99">
        <v>19948</v>
      </c>
      <c r="EH257" s="99">
        <v>46556</v>
      </c>
      <c r="EI257" s="221">
        <v>6945</v>
      </c>
      <c r="EJ257" s="99">
        <v>600.79999999999995</v>
      </c>
      <c r="EK257" s="99">
        <v>69.688000000000002</v>
      </c>
      <c r="EL257" s="99">
        <v>7.22</v>
      </c>
      <c r="EM257" s="99">
        <v>5.8339999999999996</v>
      </c>
      <c r="EN257" s="132">
        <v>683.54199999999992</v>
      </c>
      <c r="EO257" s="29">
        <v>190</v>
      </c>
      <c r="EP257" s="1504">
        <v>42278</v>
      </c>
      <c r="EQ257" s="19">
        <v>24729</v>
      </c>
      <c r="ER257" s="93">
        <v>19557</v>
      </c>
      <c r="ES257" s="93">
        <v>44286</v>
      </c>
      <c r="ET257" s="214">
        <v>6515</v>
      </c>
      <c r="EU257" s="93">
        <v>600.79999999999995</v>
      </c>
      <c r="EV257" s="93">
        <v>69.688000000000002</v>
      </c>
      <c r="EW257" s="93">
        <v>7.22</v>
      </c>
      <c r="EX257" s="93">
        <v>5.8339999999999996</v>
      </c>
      <c r="EY257" s="20">
        <v>683.54199999999992</v>
      </c>
      <c r="EZ257" s="29">
        <v>190</v>
      </c>
      <c r="FA257" s="1504">
        <v>42278</v>
      </c>
      <c r="FB257" s="29"/>
      <c r="FC257" s="29"/>
      <c r="FD257" s="29"/>
      <c r="FE257" s="29"/>
      <c r="FF257" s="29"/>
      <c r="FG257" s="29"/>
      <c r="FH257" s="29"/>
      <c r="FI257" s="29"/>
      <c r="FJ257" s="29"/>
      <c r="FK257" s="29">
        <v>190</v>
      </c>
      <c r="FL257" s="1504">
        <v>42278</v>
      </c>
      <c r="FM257" s="19">
        <v>103.14</v>
      </c>
      <c r="FN257" s="93">
        <v>105.8</v>
      </c>
      <c r="FO257" s="93">
        <v>99.11</v>
      </c>
      <c r="FP257" s="93">
        <v>98.99</v>
      </c>
      <c r="FQ257" s="93">
        <v>103.46</v>
      </c>
      <c r="FR257" s="93">
        <v>100.38</v>
      </c>
      <c r="FS257" s="93">
        <v>100.07</v>
      </c>
      <c r="FT257" s="93">
        <v>98.76</v>
      </c>
      <c r="FU257" s="93">
        <v>99.96</v>
      </c>
      <c r="FV257" s="93">
        <v>103.84</v>
      </c>
      <c r="FW257" s="93">
        <v>101.4</v>
      </c>
      <c r="FX257" s="93">
        <v>100.29</v>
      </c>
      <c r="FY257" s="93">
        <v>101.1</v>
      </c>
      <c r="FZ257" s="29">
        <v>190</v>
      </c>
      <c r="GA257" s="1504">
        <v>42278</v>
      </c>
      <c r="GB257" s="19">
        <v>103.14</v>
      </c>
      <c r="GC257" s="93">
        <v>99.87</v>
      </c>
      <c r="GD257" s="93">
        <v>104.87</v>
      </c>
      <c r="GE257" s="93">
        <v>103.33</v>
      </c>
      <c r="GF257" s="93">
        <v>107.59</v>
      </c>
      <c r="GG257" s="99">
        <v>101.89</v>
      </c>
      <c r="GH257" s="93">
        <v>108.09</v>
      </c>
      <c r="GI257" s="93">
        <v>101.11</v>
      </c>
      <c r="GJ257" s="93">
        <v>100.9</v>
      </c>
      <c r="GK257" s="93">
        <v>99.79</v>
      </c>
      <c r="GL257" s="93">
        <v>104.86</v>
      </c>
      <c r="GM257" s="93">
        <v>99.96</v>
      </c>
      <c r="GN257" s="20">
        <v>100.9</v>
      </c>
      <c r="GO257" s="29">
        <v>190</v>
      </c>
      <c r="GP257" s="1504">
        <v>42278</v>
      </c>
      <c r="GQ257" s="181">
        <v>251.72101894787599</v>
      </c>
      <c r="GR257" s="182">
        <v>225.924533986819</v>
      </c>
      <c r="GS257" s="182">
        <v>226.12625486907299</v>
      </c>
      <c r="GT257" s="182">
        <v>198.86217442403</v>
      </c>
      <c r="GU257" s="182">
        <v>364.67608849793498</v>
      </c>
      <c r="GV257" s="290">
        <v>750.92441462914405</v>
      </c>
      <c r="GW257" s="181">
        <v>383.94628452808502</v>
      </c>
      <c r="GX257" s="182">
        <v>349.86887362320499</v>
      </c>
      <c r="GY257" s="182">
        <v>425.48225380081499</v>
      </c>
      <c r="GZ257" s="182">
        <v>559.05556162420396</v>
      </c>
      <c r="HA257" s="182">
        <v>341.42438900447797</v>
      </c>
      <c r="HB257" s="290">
        <v>574.994128938416</v>
      </c>
      <c r="HC257" s="181">
        <v>1985.01562724015</v>
      </c>
      <c r="HD257" s="182">
        <v>2427.2015572932301</v>
      </c>
      <c r="HE257" s="182">
        <v>2925.4995504084</v>
      </c>
      <c r="HF257" s="182">
        <v>3150</v>
      </c>
      <c r="HG257" s="182">
        <v>2516.45098044414</v>
      </c>
      <c r="HH257" s="290">
        <v>2647.6357032153201</v>
      </c>
      <c r="HI257" s="19"/>
      <c r="HJ257" s="182">
        <v>862.05766004884401</v>
      </c>
      <c r="HK257" s="182">
        <v>1454.8532442926601</v>
      </c>
      <c r="HL257" s="182">
        <v>1040.4438883262801</v>
      </c>
      <c r="HM257" s="182">
        <v>800</v>
      </c>
      <c r="HN257" s="290">
        <v>2390.94672688423</v>
      </c>
      <c r="HO257" s="324">
        <v>118.016063529833</v>
      </c>
      <c r="HP257" s="290">
        <v>109.118572125348</v>
      </c>
      <c r="HQ257" s="295">
        <v>167.44922252402901</v>
      </c>
      <c r="HR257" s="29">
        <v>190</v>
      </c>
      <c r="HS257" s="1504">
        <v>42278</v>
      </c>
      <c r="HT257" s="179">
        <v>212.46349334716797</v>
      </c>
      <c r="HU257" s="99">
        <v>220.48611145019532</v>
      </c>
      <c r="HV257" s="99">
        <v>180.46708170572916</v>
      </c>
      <c r="HW257" s="99">
        <v>115.38462066650391</v>
      </c>
      <c r="HX257" s="99">
        <v>200</v>
      </c>
      <c r="HY257" s="99">
        <v>202.77777862548828</v>
      </c>
      <c r="HZ257" s="99">
        <v>209.75055694580078</v>
      </c>
      <c r="IA257" s="132">
        <v>175.65360260009766</v>
      </c>
      <c r="IB257" s="179">
        <v>224.33458862304687</v>
      </c>
      <c r="IC257" s="99">
        <v>150.75376892089844</v>
      </c>
      <c r="ID257" s="99">
        <v>208.33333841959634</v>
      </c>
      <c r="IE257" s="99">
        <v>153.22581481933594</v>
      </c>
      <c r="IF257" s="99">
        <v>191.40625</v>
      </c>
      <c r="IG257" s="132">
        <v>151.66667556762695</v>
      </c>
      <c r="IH257" s="179">
        <v>135.73910522460938</v>
      </c>
      <c r="II257" s="99">
        <v>220.88767395019531</v>
      </c>
      <c r="IJ257" s="99">
        <v>186.440673828125</v>
      </c>
      <c r="IK257" s="99">
        <v>162.45487976074219</v>
      </c>
      <c r="IL257" s="99">
        <v>157.22221984863282</v>
      </c>
      <c r="IM257" s="99">
        <v>174.01961517333984</v>
      </c>
      <c r="IN257" s="99">
        <v>171.37809753417969</v>
      </c>
      <c r="IO257" s="132">
        <v>155.26512654622397</v>
      </c>
      <c r="IP257" s="29">
        <v>190</v>
      </c>
      <c r="IQ257" s="179">
        <v>154.50980834960939</v>
      </c>
      <c r="IR257" s="99">
        <v>91.540401458740234</v>
      </c>
      <c r="IS257" s="99">
        <v>148.80952962239584</v>
      </c>
      <c r="IT257" s="99">
        <v>101.13268661499023</v>
      </c>
      <c r="IU257" s="99">
        <v>185.64356994628906</v>
      </c>
      <c r="IV257" s="132">
        <v>104.11764526367188</v>
      </c>
      <c r="IW257" s="29">
        <v>190</v>
      </c>
      <c r="IX257" s="179">
        <v>261.29032135009766</v>
      </c>
      <c r="IY257" s="99">
        <v>399.44444885253904</v>
      </c>
      <c r="IZ257" s="99">
        <v>450</v>
      </c>
      <c r="JA257" s="99">
        <v>375</v>
      </c>
      <c r="JB257" s="99">
        <v>375</v>
      </c>
      <c r="JC257" s="99">
        <v>400</v>
      </c>
      <c r="JD257" s="99">
        <v>340</v>
      </c>
      <c r="JE257" s="132">
        <v>383.33333333333331</v>
      </c>
      <c r="JF257" s="29">
        <v>190</v>
      </c>
      <c r="JG257" s="179">
        <v>190.15958023071289</v>
      </c>
      <c r="JH257" s="99">
        <v>194.73617553710938</v>
      </c>
      <c r="JI257" s="99">
        <v>168.81029510498047</v>
      </c>
      <c r="JJ257" s="99">
        <v>137.5</v>
      </c>
      <c r="JK257" s="99">
        <v>185.1851806640625</v>
      </c>
      <c r="JL257" s="99">
        <v>164.87147674560546</v>
      </c>
      <c r="JM257" s="99">
        <v>173.20262145996094</v>
      </c>
      <c r="JN257" s="132">
        <v>194.57476043701172</v>
      </c>
      <c r="JO257" s="29">
        <v>190</v>
      </c>
      <c r="JP257" s="179">
        <v>203.28703613281249</v>
      </c>
      <c r="JQ257" s="99">
        <v>99.431816101074219</v>
      </c>
      <c r="JR257" s="99">
        <v>169.54022216796875</v>
      </c>
      <c r="JS257" s="100"/>
      <c r="JT257" s="99">
        <v>165.11868286132813</v>
      </c>
      <c r="JU257" s="132">
        <v>100.18214670817058</v>
      </c>
      <c r="JV257" s="29">
        <v>190</v>
      </c>
      <c r="JW257" s="1504">
        <v>42278</v>
      </c>
      <c r="JX257" s="179">
        <v>235.33333333333334</v>
      </c>
      <c r="JY257" s="99">
        <v>264.19444444444446</v>
      </c>
      <c r="JZ257" s="99">
        <v>295.57692307692309</v>
      </c>
      <c r="KA257" s="99">
        <v>267.91666666666669</v>
      </c>
      <c r="KB257" s="99">
        <v>313.33333333333331</v>
      </c>
      <c r="KC257" s="99">
        <v>341</v>
      </c>
      <c r="KD257" s="132">
        <v>369.02777777777777</v>
      </c>
      <c r="KE257" s="29">
        <v>190</v>
      </c>
      <c r="KF257" s="179">
        <v>37.075757575757578</v>
      </c>
      <c r="KG257" s="99">
        <v>38.418918918918919</v>
      </c>
      <c r="KH257" s="99">
        <v>66.25</v>
      </c>
      <c r="KI257" s="99">
        <v>57.906632653061223</v>
      </c>
      <c r="KJ257" s="99">
        <v>54.472222222222221</v>
      </c>
      <c r="KK257" s="132">
        <v>74.516203703703709</v>
      </c>
      <c r="KL257" s="29">
        <v>190</v>
      </c>
      <c r="KM257" s="179">
        <v>17.433333333333334</v>
      </c>
      <c r="KN257" s="99">
        <v>13.98076923076923</v>
      </c>
      <c r="KO257" s="99">
        <v>31.916666666666668</v>
      </c>
      <c r="KP257" s="99">
        <v>40</v>
      </c>
      <c r="KQ257" s="99">
        <v>30.875</v>
      </c>
      <c r="KR257" s="132">
        <v>32</v>
      </c>
      <c r="KS257" s="29">
        <v>190</v>
      </c>
      <c r="KT257" s="179">
        <v>22.611111111111111</v>
      </c>
      <c r="KU257" s="99">
        <v>21.98076923076923</v>
      </c>
      <c r="KV257" s="99">
        <v>31.9</v>
      </c>
      <c r="KW257" s="99">
        <v>27.993589743589745</v>
      </c>
      <c r="KX257" s="99">
        <v>19.333333333333332</v>
      </c>
      <c r="KY257" s="132">
        <v>26.045918367346939</v>
      </c>
      <c r="KZ257" s="29">
        <v>190</v>
      </c>
      <c r="LA257" s="1504">
        <v>42278</v>
      </c>
      <c r="LB257" s="19">
        <v>460</v>
      </c>
      <c r="LC257" s="93">
        <v>690</v>
      </c>
      <c r="LD257" s="93">
        <v>682</v>
      </c>
      <c r="LE257" s="93"/>
      <c r="LF257" s="93">
        <v>606</v>
      </c>
      <c r="LG257" s="93"/>
      <c r="LH257" s="20"/>
      <c r="LI257" s="29">
        <v>190</v>
      </c>
      <c r="LJ257" s="19"/>
      <c r="LK257" s="93"/>
      <c r="LL257" s="93"/>
      <c r="LM257" s="93"/>
      <c r="LN257" s="93"/>
      <c r="LO257" s="20"/>
      <c r="LP257" s="29">
        <v>190</v>
      </c>
      <c r="LQ257" s="19"/>
      <c r="LR257" s="93"/>
      <c r="LS257" s="93"/>
      <c r="LT257" s="93"/>
      <c r="LU257" s="93"/>
      <c r="LV257" s="93"/>
      <c r="LW257" s="93"/>
      <c r="LX257" s="93"/>
      <c r="LY257" s="93"/>
      <c r="LZ257" s="93"/>
      <c r="MA257" s="20"/>
      <c r="MB257" s="29">
        <v>190</v>
      </c>
      <c r="MC257" s="1504">
        <v>42278</v>
      </c>
      <c r="MD257" s="19">
        <v>1079.4775921794055</v>
      </c>
      <c r="ME257" s="93">
        <v>883.04707650324758</v>
      </c>
      <c r="MF257" s="93">
        <v>883.04699410224771</v>
      </c>
      <c r="MG257" s="93">
        <v>781.25277321424744</v>
      </c>
      <c r="MH257" s="93">
        <v>207.89912610900004</v>
      </c>
      <c r="MI257" s="93">
        <v>6.6596001759999996</v>
      </c>
      <c r="MJ257" s="93">
        <v>5.8240137800476202</v>
      </c>
      <c r="MK257" s="93">
        <v>435.74013280820009</v>
      </c>
      <c r="ML257" s="93">
        <v>118.94152959099996</v>
      </c>
      <c r="MM257" s="93">
        <v>6.1883707499999998</v>
      </c>
      <c r="MN257" s="93">
        <v>101.794220888</v>
      </c>
      <c r="MO257" s="93">
        <v>4.1195873499999998</v>
      </c>
      <c r="MP257" s="93">
        <v>24.116587561000003</v>
      </c>
      <c r="MQ257" s="93">
        <v>6.0348621939999996</v>
      </c>
      <c r="MR257" s="93">
        <v>19.569256514000003</v>
      </c>
      <c r="MS257" s="93">
        <v>47.95392726899999</v>
      </c>
      <c r="MT257" s="93">
        <v>8.2401000000000013E-5</v>
      </c>
      <c r="MU257" s="93">
        <v>196.43051567615785</v>
      </c>
      <c r="MV257" s="93">
        <v>79.949856388157883</v>
      </c>
      <c r="MW257" s="93">
        <v>116.480659288</v>
      </c>
      <c r="MX257" s="93">
        <v>1134.8959870565754</v>
      </c>
      <c r="MY257" s="93">
        <v>1145.4791524875757</v>
      </c>
      <c r="MZ257" s="93">
        <v>765.74058308849987</v>
      </c>
      <c r="NA257" s="93">
        <v>385.86968811100002</v>
      </c>
      <c r="NB257" s="93">
        <v>94.097822211999997</v>
      </c>
      <c r="NC257" s="93">
        <v>30.940701042000001</v>
      </c>
      <c r="ND257" s="93">
        <v>18.846506072</v>
      </c>
      <c r="NE257" s="93">
        <v>12.09419497</v>
      </c>
      <c r="NF257" s="93">
        <v>254.83237172350002</v>
      </c>
      <c r="NG257" s="93">
        <v>5.2867634545</v>
      </c>
      <c r="NH257" s="93">
        <v>59.294012291000001</v>
      </c>
      <c r="NI257" s="93">
        <v>17.897039993</v>
      </c>
      <c r="NJ257" s="93">
        <v>11.791156721999998</v>
      </c>
      <c r="NK257" s="93">
        <v>379.73856939907569</v>
      </c>
      <c r="NL257" s="93">
        <v>258.42719503400002</v>
      </c>
      <c r="NM257" s="93">
        <v>4.2318390729999997</v>
      </c>
      <c r="NN257" s="93">
        <v>117.07953529207562</v>
      </c>
      <c r="NO257" s="93">
        <v>-10.583165431000005</v>
      </c>
      <c r="NP257" s="93">
        <v>-55.418394877170208</v>
      </c>
      <c r="NQ257" s="93">
        <v>-251.8489105533281</v>
      </c>
      <c r="NR257" s="93">
        <v>-103.82867421925248</v>
      </c>
      <c r="NS257" s="93">
        <v>-134.76937526125246</v>
      </c>
      <c r="NT257" s="93">
        <v>-82.717821841170249</v>
      </c>
      <c r="NU257" s="93">
        <v>-279.14833751732812</v>
      </c>
      <c r="NV257" s="93">
        <v>82.410136086917788</v>
      </c>
      <c r="NW257" s="93">
        <v>50.911973526917741</v>
      </c>
      <c r="NX257" s="93">
        <v>75.133064780917749</v>
      </c>
      <c r="NY257" s="93">
        <v>-24.221091254000001</v>
      </c>
      <c r="NZ257" s="93">
        <v>0</v>
      </c>
      <c r="OA257" s="93">
        <v>31.498162560000033</v>
      </c>
      <c r="OB257" s="93">
        <v>-51.567859415999962</v>
      </c>
      <c r="OC257" s="93">
        <v>83.066021976000016</v>
      </c>
      <c r="OD257" s="20">
        <v>0</v>
      </c>
      <c r="OE257" s="29">
        <v>190</v>
      </c>
      <c r="OF257" s="1504">
        <v>42278</v>
      </c>
      <c r="OG257" s="19"/>
      <c r="OH257" s="93">
        <v>259.67840008299999</v>
      </c>
      <c r="OI257" s="93">
        <v>1009.4448474496562</v>
      </c>
      <c r="OJ257" s="93">
        <v>0.545178194</v>
      </c>
      <c r="OK257" s="93">
        <v>851.24423316865625</v>
      </c>
      <c r="OL257" s="93">
        <v>157.65543608699997</v>
      </c>
      <c r="OM257" s="93">
        <v>1269.1232475326563</v>
      </c>
      <c r="ON257" s="93">
        <v>1039.2615880155538</v>
      </c>
      <c r="OO257" s="93">
        <v>2308.38483554821</v>
      </c>
      <c r="OP257" s="93"/>
      <c r="OQ257" s="93">
        <v>653.57875080728468</v>
      </c>
      <c r="OR257" s="93">
        <v>-78.582743023000035</v>
      </c>
      <c r="OS257" s="93">
        <v>732.16149383028471</v>
      </c>
      <c r="OT257" s="93">
        <v>1922.4636985979259</v>
      </c>
      <c r="OU257" s="93">
        <v>-37.399164086999917</v>
      </c>
      <c r="OV257" s="93">
        <v>-75.221164086999977</v>
      </c>
      <c r="OW257" s="93">
        <v>37.82200000000006</v>
      </c>
      <c r="OX257" s="93">
        <v>1959.8628626849259</v>
      </c>
      <c r="OY257" s="93">
        <v>4.2326294080000002</v>
      </c>
      <c r="OZ257" s="93">
        <v>1955.6302332769258</v>
      </c>
      <c r="PA257" s="93">
        <v>380.66671841000004</v>
      </c>
      <c r="PB257" s="93">
        <v>-113.00910455299999</v>
      </c>
      <c r="PC257" s="20">
        <v>2308.38483554821</v>
      </c>
      <c r="PD257" s="29">
        <v>190</v>
      </c>
      <c r="PE257" s="19"/>
      <c r="PF257" s="93">
        <v>-78.582743023000035</v>
      </c>
      <c r="PG257" s="93">
        <v>591.09023609199994</v>
      </c>
      <c r="PH257" s="93">
        <v>669.67297911499998</v>
      </c>
      <c r="PI257" s="93">
        <v>567.17043850000005</v>
      </c>
      <c r="PJ257" s="93">
        <v>-70.11926416999998</v>
      </c>
      <c r="PK257" s="93">
        <v>136.93286465400001</v>
      </c>
      <c r="PL257" s="93">
        <v>207.05212882399999</v>
      </c>
      <c r="PM257" s="93">
        <v>4.2326294080000002</v>
      </c>
      <c r="PN257" s="93">
        <v>0.6</v>
      </c>
      <c r="PO257" s="93">
        <v>0</v>
      </c>
      <c r="PP257" s="93">
        <v>2.5044899999999997E-4</v>
      </c>
      <c r="PQ257" s="93">
        <v>3.632378959</v>
      </c>
      <c r="PR257" s="93">
        <v>433.62571938300005</v>
      </c>
      <c r="PS257" s="93">
        <v>314.80430000000001</v>
      </c>
      <c r="PT257" s="93">
        <v>118.010147112</v>
      </c>
      <c r="PU257" s="93">
        <v>0.81127227099999999</v>
      </c>
      <c r="PV257" s="93">
        <v>0</v>
      </c>
      <c r="PW257" s="93">
        <v>0.75306912999999998</v>
      </c>
      <c r="PX257" s="93">
        <v>0</v>
      </c>
      <c r="PY257" s="93">
        <v>0</v>
      </c>
      <c r="PZ257" s="93">
        <v>0.75306912999999998</v>
      </c>
      <c r="QA257" s="93">
        <v>0</v>
      </c>
      <c r="QB257" s="93">
        <v>0</v>
      </c>
      <c r="QC257" s="93">
        <v>0</v>
      </c>
      <c r="QD257" s="93">
        <v>7.4956492800000003</v>
      </c>
      <c r="QE257" s="20">
        <v>-19.173377077999994</v>
      </c>
      <c r="QF257" s="1739">
        <v>190</v>
      </c>
      <c r="QG257" s="19"/>
      <c r="QH257" s="1035">
        <v>732.16149383028471</v>
      </c>
      <c r="QI257" s="1035">
        <v>1095.9207667230746</v>
      </c>
      <c r="QJ257" s="1035">
        <v>-363.75927289278991</v>
      </c>
      <c r="QK257" s="1035">
        <v>162.43700000000001</v>
      </c>
      <c r="QL257" s="1035">
        <v>50.024000000000001</v>
      </c>
      <c r="QM257" s="1035">
        <v>112.413</v>
      </c>
      <c r="QN257" s="1035">
        <v>0</v>
      </c>
      <c r="QO257" s="1035">
        <v>37.82200000000006</v>
      </c>
      <c r="QP257" s="1035">
        <v>265.43600000000004</v>
      </c>
      <c r="QQ257" s="1035">
        <v>-227.61399999999998</v>
      </c>
      <c r="QR257" s="1035">
        <v>1955.6302332769258</v>
      </c>
      <c r="QS257" s="1035">
        <v>19.917057288729289</v>
      </c>
      <c r="QT257" s="1035">
        <v>0</v>
      </c>
      <c r="QU257" s="1035">
        <v>199.75300000000001</v>
      </c>
      <c r="QV257" s="1035">
        <v>1735.9601759881964</v>
      </c>
      <c r="QW257" s="93"/>
      <c r="QX257" s="93">
        <v>569.13</v>
      </c>
      <c r="QY257" s="93">
        <v>851.24423316865625</v>
      </c>
      <c r="QZ257" s="93">
        <v>1038.9954939385539</v>
      </c>
      <c r="RA257" s="93">
        <v>0</v>
      </c>
      <c r="RB257" s="93">
        <v>46.280999999999999</v>
      </c>
      <c r="RC257" s="93">
        <v>3.9889999999999999</v>
      </c>
      <c r="RD257" s="93">
        <v>20.116</v>
      </c>
      <c r="RE257" s="93">
        <v>0</v>
      </c>
      <c r="RF257" s="93">
        <v>0</v>
      </c>
      <c r="RG257" s="93">
        <v>302.03200000000004</v>
      </c>
      <c r="RH257" s="93">
        <v>56.263000000000005</v>
      </c>
      <c r="RI257" s="93"/>
      <c r="RJ257" s="93"/>
      <c r="RK257" s="93"/>
      <c r="RL257" s="93"/>
      <c r="RM257" s="734"/>
      <c r="RN257" s="29">
        <v>190</v>
      </c>
      <c r="RO257" s="19">
        <v>60</v>
      </c>
      <c r="RP257" s="20"/>
      <c r="RQ257" s="29">
        <v>190</v>
      </c>
      <c r="RR257" s="734">
        <v>3.7341034000000004</v>
      </c>
      <c r="RS257" s="29">
        <v>190</v>
      </c>
      <c r="RT257" s="1504">
        <v>42278</v>
      </c>
      <c r="RU257" s="19">
        <v>719</v>
      </c>
      <c r="RV257" s="20">
        <v>14</v>
      </c>
      <c r="RW257" s="29">
        <v>190</v>
      </c>
      <c r="RX257" s="1504">
        <v>42278</v>
      </c>
      <c r="RY257" s="29"/>
      <c r="RZ257" s="734"/>
      <c r="SA257" s="29"/>
      <c r="SB257" s="29">
        <v>190</v>
      </c>
    </row>
    <row r="258" spans="1:496">
      <c r="A258" s="41">
        <f t="shared" si="208"/>
        <v>2015</v>
      </c>
      <c r="B258" s="1504">
        <v>42309</v>
      </c>
      <c r="C258" s="1813">
        <v>1856</v>
      </c>
      <c r="D258" s="1814">
        <v>23600</v>
      </c>
      <c r="E258" s="1814">
        <v>68</v>
      </c>
      <c r="F258" s="1815">
        <v>304</v>
      </c>
      <c r="G258" s="1814">
        <v>93280</v>
      </c>
      <c r="H258" s="1814">
        <v>46</v>
      </c>
      <c r="I258" s="1814">
        <v>35245</v>
      </c>
      <c r="J258" s="1816">
        <v>12307</v>
      </c>
      <c r="K258" s="1807">
        <v>166706</v>
      </c>
      <c r="L258" s="25">
        <v>191</v>
      </c>
      <c r="M258" s="97"/>
      <c r="N258" s="1504">
        <v>42309</v>
      </c>
      <c r="O258" s="19">
        <v>847</v>
      </c>
      <c r="P258" s="93">
        <v>767</v>
      </c>
      <c r="Q258" s="93">
        <v>10403</v>
      </c>
      <c r="R258" s="93">
        <v>2517</v>
      </c>
      <c r="S258" s="93">
        <v>1939</v>
      </c>
      <c r="T258" s="93">
        <v>785</v>
      </c>
      <c r="U258" s="93">
        <v>346</v>
      </c>
      <c r="V258" s="93">
        <v>1636</v>
      </c>
      <c r="W258" s="93">
        <v>3904</v>
      </c>
      <c r="X258" s="93">
        <v>809</v>
      </c>
      <c r="Y258" s="93">
        <v>223</v>
      </c>
      <c r="Z258" s="93">
        <v>1321</v>
      </c>
      <c r="AA258" s="93">
        <v>499</v>
      </c>
      <c r="AB258" s="132">
        <v>25996</v>
      </c>
      <c r="AC258" s="25">
        <v>191</v>
      </c>
      <c r="AD258" s="97"/>
      <c r="AE258" s="1504">
        <v>42309</v>
      </c>
      <c r="AF258" s="19">
        <v>2650</v>
      </c>
      <c r="AG258" s="93">
        <v>905</v>
      </c>
      <c r="AH258" s="93">
        <v>5897</v>
      </c>
      <c r="AI258" s="93">
        <v>4702</v>
      </c>
      <c r="AJ258" s="93">
        <v>4125</v>
      </c>
      <c r="AK258" s="93">
        <v>2060</v>
      </c>
      <c r="AL258" s="93">
        <v>1396</v>
      </c>
      <c r="AM258" s="93">
        <v>2373</v>
      </c>
      <c r="AN258" s="93">
        <v>4968</v>
      </c>
      <c r="AO258" s="93">
        <v>2428</v>
      </c>
      <c r="AP258" s="93">
        <v>1299</v>
      </c>
      <c r="AQ258" s="93">
        <v>3183</v>
      </c>
      <c r="AR258" s="93">
        <v>623</v>
      </c>
      <c r="AS258" s="20">
        <v>36609</v>
      </c>
      <c r="AT258" s="25">
        <v>191</v>
      </c>
      <c r="AU258" s="97"/>
      <c r="AV258" s="1504">
        <v>42309</v>
      </c>
      <c r="AW258" s="19">
        <v>9698</v>
      </c>
      <c r="AX258" s="93">
        <v>2381</v>
      </c>
      <c r="AY258" s="93">
        <v>5281</v>
      </c>
      <c r="AZ258" s="93">
        <v>11799</v>
      </c>
      <c r="BA258" s="93">
        <v>9393</v>
      </c>
      <c r="BB258" s="93">
        <v>6277</v>
      </c>
      <c r="BC258" s="93">
        <v>4023</v>
      </c>
      <c r="BD258" s="93">
        <v>10314</v>
      </c>
      <c r="BE258" s="93">
        <v>11160</v>
      </c>
      <c r="BF258" s="93">
        <v>6902</v>
      </c>
      <c r="BG258" s="93">
        <v>4617</v>
      </c>
      <c r="BH258" s="93">
        <v>10339</v>
      </c>
      <c r="BI258" s="93">
        <v>2582</v>
      </c>
      <c r="BJ258" s="20">
        <v>94766</v>
      </c>
      <c r="BK258" s="25">
        <v>191</v>
      </c>
      <c r="BL258" s="97"/>
      <c r="BM258" s="1504">
        <v>42309</v>
      </c>
      <c r="BN258" s="19">
        <v>115.464</v>
      </c>
      <c r="BO258" s="93">
        <v>2991.2229999999995</v>
      </c>
      <c r="BP258" s="93">
        <v>18.816000000000003</v>
      </c>
      <c r="BQ258" s="93">
        <v>700.88799999999992</v>
      </c>
      <c r="BR258" s="93">
        <v>4.1310000000000002</v>
      </c>
      <c r="BS258" s="93">
        <v>287.04599999999999</v>
      </c>
      <c r="BT258" s="93">
        <v>351.4319999999999</v>
      </c>
      <c r="BU258" s="132">
        <v>4468.9999999999991</v>
      </c>
      <c r="BV258" s="25">
        <v>191</v>
      </c>
      <c r="BW258" s="97"/>
      <c r="BX258" s="1504">
        <v>42309</v>
      </c>
      <c r="BY258" s="179">
        <v>610.99</v>
      </c>
      <c r="BZ258" s="99">
        <v>664.95699999999999</v>
      </c>
      <c r="CA258" s="99">
        <v>605.52295890659991</v>
      </c>
      <c r="CB258" s="99">
        <v>43.22815549975946</v>
      </c>
      <c r="CC258" s="99">
        <v>160.14535666666669</v>
      </c>
      <c r="CD258" s="25">
        <v>191</v>
      </c>
      <c r="CE258" s="97"/>
      <c r="CF258" s="1504">
        <v>42309</v>
      </c>
      <c r="CG258" s="1508">
        <v>1.5260379639999999</v>
      </c>
      <c r="CH258" s="568">
        <v>1086.44</v>
      </c>
      <c r="CI258" s="1708">
        <v>43.113333333333301</v>
      </c>
      <c r="CJ258" s="1509">
        <v>44.42</v>
      </c>
      <c r="CK258" s="568">
        <v>366.24</v>
      </c>
      <c r="CL258" s="568">
        <v>166.1565808</v>
      </c>
      <c r="CM258" s="568">
        <v>0.32077221</v>
      </c>
      <c r="CN258" s="568">
        <v>0.35069278399999998</v>
      </c>
      <c r="CO258" s="568">
        <v>177.10448940000001</v>
      </c>
      <c r="CP258" s="568">
        <v>4.0292737430000001</v>
      </c>
      <c r="CQ258" s="568">
        <v>1413.16</v>
      </c>
      <c r="CR258" s="568">
        <v>3.0550000000000002</v>
      </c>
      <c r="CS258" s="568">
        <v>1.2366999999999999</v>
      </c>
      <c r="CT258" s="568">
        <v>123.5</v>
      </c>
      <c r="CU258" s="568">
        <v>46.86</v>
      </c>
      <c r="CV258" s="568">
        <v>1583.31</v>
      </c>
      <c r="CW258" s="29">
        <v>191</v>
      </c>
      <c r="CX258" s="41">
        <f t="shared" si="209"/>
        <v>2015</v>
      </c>
      <c r="CY258" s="1504">
        <v>42309</v>
      </c>
      <c r="CZ258" s="1916">
        <v>103.95114</v>
      </c>
      <c r="DA258" s="1526">
        <v>64.456802999999994</v>
      </c>
      <c r="DB258" s="1526">
        <v>39.494337000000002</v>
      </c>
      <c r="DC258" s="182">
        <f t="shared" si="225"/>
        <v>544825</v>
      </c>
      <c r="DD258" s="182">
        <f t="shared" si="226"/>
        <v>543327</v>
      </c>
      <c r="DE258" s="182">
        <f t="shared" si="227"/>
        <v>1498</v>
      </c>
      <c r="DF258" s="29">
        <v>191</v>
      </c>
      <c r="DG258" s="1504">
        <v>42309</v>
      </c>
      <c r="DH258" s="181">
        <v>326184</v>
      </c>
      <c r="DI258" s="182"/>
      <c r="DJ258" s="182"/>
      <c r="DK258" s="182"/>
      <c r="DL258" s="182"/>
      <c r="DM258" s="182"/>
      <c r="DN258" s="290"/>
      <c r="DO258" s="295"/>
      <c r="DP258" s="29">
        <v>191</v>
      </c>
      <c r="DQ258" s="1504">
        <v>42309</v>
      </c>
      <c r="DR258" s="19"/>
      <c r="DS258" s="93"/>
      <c r="DT258" s="93"/>
      <c r="DU258" s="93"/>
      <c r="DV258" s="93"/>
      <c r="DW258" s="93"/>
      <c r="DX258" s="1719"/>
      <c r="DY258" s="29">
        <v>191</v>
      </c>
      <c r="DZ258" s="1504">
        <v>42309</v>
      </c>
      <c r="EA258" s="19"/>
      <c r="EB258" s="93"/>
      <c r="EC258" s="20"/>
      <c r="ED258" s="29"/>
      <c r="EE258" s="1504">
        <v>42309</v>
      </c>
      <c r="EF258" s="179">
        <v>19031</v>
      </c>
      <c r="EG258" s="99">
        <v>19751</v>
      </c>
      <c r="EH258" s="99">
        <v>38782</v>
      </c>
      <c r="EI258" s="221">
        <v>4952</v>
      </c>
      <c r="EJ258" s="99">
        <v>967.61900000000003</v>
      </c>
      <c r="EK258" s="99">
        <v>373.00799999999998</v>
      </c>
      <c r="EL258" s="99">
        <v>13.526</v>
      </c>
      <c r="EM258" s="99">
        <v>14.323</v>
      </c>
      <c r="EN258" s="132">
        <v>1368.4760000000001</v>
      </c>
      <c r="EO258" s="29">
        <v>191</v>
      </c>
      <c r="EP258" s="1504">
        <v>42309</v>
      </c>
      <c r="EQ258" s="19">
        <v>18448</v>
      </c>
      <c r="ER258" s="93">
        <v>19226</v>
      </c>
      <c r="ES258" s="93">
        <v>37674</v>
      </c>
      <c r="ET258" s="214">
        <v>4483</v>
      </c>
      <c r="EU258" s="93">
        <v>967.61900000000003</v>
      </c>
      <c r="EV258" s="93">
        <v>373.00799999999998</v>
      </c>
      <c r="EW258" s="93">
        <v>13.526</v>
      </c>
      <c r="EX258" s="93">
        <v>14.323</v>
      </c>
      <c r="EY258" s="20">
        <v>1368.4760000000001</v>
      </c>
      <c r="EZ258" s="29">
        <v>191</v>
      </c>
      <c r="FA258" s="1504">
        <v>42309</v>
      </c>
      <c r="FB258" s="29"/>
      <c r="FC258" s="29"/>
      <c r="FD258" s="29"/>
      <c r="FE258" s="29"/>
      <c r="FF258" s="29"/>
      <c r="FG258" s="29"/>
      <c r="FH258" s="29"/>
      <c r="FI258" s="29"/>
      <c r="FJ258" s="29"/>
      <c r="FK258" s="29">
        <v>191</v>
      </c>
      <c r="FL258" s="1504">
        <v>42309</v>
      </c>
      <c r="FM258" s="19">
        <v>102.42</v>
      </c>
      <c r="FN258" s="93">
        <v>104.72</v>
      </c>
      <c r="FO258" s="93">
        <v>97.9</v>
      </c>
      <c r="FP258" s="93">
        <v>99.37</v>
      </c>
      <c r="FQ258" s="93">
        <v>102.68</v>
      </c>
      <c r="FR258" s="93">
        <v>100.5</v>
      </c>
      <c r="FS258" s="93">
        <v>100.07</v>
      </c>
      <c r="FT258" s="93">
        <v>97.92</v>
      </c>
      <c r="FU258" s="93">
        <v>99.96</v>
      </c>
      <c r="FV258" s="93">
        <v>104.02</v>
      </c>
      <c r="FW258" s="93">
        <v>101.4</v>
      </c>
      <c r="FX258" s="93">
        <v>100.64</v>
      </c>
      <c r="FY258" s="93">
        <v>101.11</v>
      </c>
      <c r="FZ258" s="29">
        <v>191</v>
      </c>
      <c r="GA258" s="1504">
        <v>42309</v>
      </c>
      <c r="GB258" s="19">
        <v>102.42</v>
      </c>
      <c r="GC258" s="93">
        <v>99.61</v>
      </c>
      <c r="GD258" s="93">
        <v>104.02</v>
      </c>
      <c r="GE258" s="93">
        <v>101.1</v>
      </c>
      <c r="GF258" s="93">
        <v>106.24</v>
      </c>
      <c r="GG258" s="99">
        <v>101.72</v>
      </c>
      <c r="GH258" s="93">
        <v>105.93</v>
      </c>
      <c r="GI258" s="93">
        <v>101.41</v>
      </c>
      <c r="GJ258" s="93">
        <v>100.92</v>
      </c>
      <c r="GK258" s="93">
        <v>99.96</v>
      </c>
      <c r="GL258" s="93">
        <v>103.78</v>
      </c>
      <c r="GM258" s="93">
        <v>100.25</v>
      </c>
      <c r="GN258" s="20">
        <v>100.92</v>
      </c>
      <c r="GO258" s="29">
        <v>191</v>
      </c>
      <c r="GP258" s="1504">
        <v>42309</v>
      </c>
      <c r="GQ258" s="181">
        <v>255.93801580559</v>
      </c>
      <c r="GR258" s="182">
        <v>213.601732842004</v>
      </c>
      <c r="GS258" s="182">
        <v>216.83016658704301</v>
      </c>
      <c r="GT258" s="182">
        <v>189.16989516688599</v>
      </c>
      <c r="GU258" s="182">
        <v>392.50835274930603</v>
      </c>
      <c r="GV258" s="290">
        <v>774.87553898558099</v>
      </c>
      <c r="GW258" s="181">
        <v>352.64646851479</v>
      </c>
      <c r="GX258" s="182">
        <v>408.07466621471502</v>
      </c>
      <c r="GY258" s="182">
        <v>438.56820780242299</v>
      </c>
      <c r="GZ258" s="182">
        <v>813.000472846962</v>
      </c>
      <c r="HA258" s="182">
        <v>408.17003657726298</v>
      </c>
      <c r="HB258" s="290">
        <v>787.898817783651</v>
      </c>
      <c r="HC258" s="181">
        <v>2123.6601299428999</v>
      </c>
      <c r="HD258" s="182">
        <v>2132.3585337184099</v>
      </c>
      <c r="HE258" s="182">
        <v>2608.8764287379499</v>
      </c>
      <c r="HF258" s="182">
        <v>3150</v>
      </c>
      <c r="HG258" s="182">
        <v>2446.36508740305</v>
      </c>
      <c r="HH258" s="290">
        <v>2764.4072350695001</v>
      </c>
      <c r="HI258" s="19"/>
      <c r="HJ258" s="182">
        <v>856.43467154674602</v>
      </c>
      <c r="HK258" s="182">
        <v>1495.5449256735001</v>
      </c>
      <c r="HL258" s="182">
        <v>963.54408748201104</v>
      </c>
      <c r="HM258" s="182">
        <v>800</v>
      </c>
      <c r="HN258" s="290">
        <v>2416.7108932734</v>
      </c>
      <c r="HO258" s="324">
        <v>126.58124686333601</v>
      </c>
      <c r="HP258" s="290">
        <v>106.23742352427401</v>
      </c>
      <c r="HQ258" s="295">
        <v>140.21273364672501</v>
      </c>
      <c r="HR258" s="29">
        <v>191</v>
      </c>
      <c r="HS258" s="1504">
        <v>42309</v>
      </c>
      <c r="HT258" s="179">
        <v>211.21349334716797</v>
      </c>
      <c r="HU258" s="99">
        <v>219.96527862548828</v>
      </c>
      <c r="HV258" s="99">
        <v>168.7897979736328</v>
      </c>
      <c r="HW258" s="99">
        <v>114.10256703694661</v>
      </c>
      <c r="HX258" s="99">
        <v>200</v>
      </c>
      <c r="HY258" s="99">
        <v>194.44444274902344</v>
      </c>
      <c r="HZ258" s="99">
        <v>206.70723876953124</v>
      </c>
      <c r="IA258" s="132">
        <v>173.20262145996094</v>
      </c>
      <c r="IB258" s="179">
        <v>220.53230794270834</v>
      </c>
      <c r="IC258" s="99">
        <v>140.70351867675782</v>
      </c>
      <c r="ID258" s="99">
        <v>187.50000381469727</v>
      </c>
      <c r="IE258" s="99">
        <v>161.29032897949219</v>
      </c>
      <c r="IF258" s="99">
        <v>203.125</v>
      </c>
      <c r="IG258" s="132">
        <v>140</v>
      </c>
      <c r="IH258" s="179">
        <v>124.87997741699219</v>
      </c>
      <c r="II258" s="99">
        <v>210</v>
      </c>
      <c r="IJ258" s="99">
        <v>179.6610107421875</v>
      </c>
      <c r="IK258" s="99">
        <v>157.94224548339844</v>
      </c>
      <c r="IL258" s="99">
        <v>138.88888549804688</v>
      </c>
      <c r="IM258" s="99">
        <v>165.03268432617188</v>
      </c>
      <c r="IN258" s="99">
        <v>165.63604736328125</v>
      </c>
      <c r="IO258" s="132">
        <v>140.05241966247559</v>
      </c>
      <c r="IP258" s="29">
        <v>191</v>
      </c>
      <c r="IQ258" s="179">
        <v>143.79084777832031</v>
      </c>
      <c r="IR258" s="99">
        <v>75.757575988769531</v>
      </c>
      <c r="IS258" s="99">
        <v>119.64286041259766</v>
      </c>
      <c r="IT258" s="99">
        <v>107.20064735412598</v>
      </c>
      <c r="IU258" s="99">
        <v>177.8052864074707</v>
      </c>
      <c r="IV258" s="132">
        <v>89.411762237548828</v>
      </c>
      <c r="IW258" s="29">
        <v>191</v>
      </c>
      <c r="IX258" s="179">
        <v>396.77419281005859</v>
      </c>
      <c r="IY258" s="99">
        <v>387.32639312744141</v>
      </c>
      <c r="IZ258" s="99">
        <v>440</v>
      </c>
      <c r="JA258" s="99">
        <v>375</v>
      </c>
      <c r="JB258" s="99">
        <v>375</v>
      </c>
      <c r="JC258" s="99">
        <v>400</v>
      </c>
      <c r="JD258" s="99">
        <v>340</v>
      </c>
      <c r="JE258" s="132">
        <v>360</v>
      </c>
      <c r="JF258" s="29">
        <v>191</v>
      </c>
      <c r="JG258" s="179">
        <v>170.26596374511718</v>
      </c>
      <c r="JH258" s="99">
        <v>189.69585418701172</v>
      </c>
      <c r="JI258" s="99">
        <v>144.69453430175781</v>
      </c>
      <c r="JJ258" s="99">
        <v>120.83333333333333</v>
      </c>
      <c r="JK258" s="99">
        <v>168.35017395019531</v>
      </c>
      <c r="JL258" s="99">
        <v>157.43573760986328</v>
      </c>
      <c r="JM258" s="99">
        <v>168.3006591796875</v>
      </c>
      <c r="JN258" s="132">
        <v>186.36615219116212</v>
      </c>
      <c r="JO258" s="29">
        <v>191</v>
      </c>
      <c r="JP258" s="179">
        <v>192.59259033203125</v>
      </c>
      <c r="JQ258" s="99">
        <v>79.545455932617188</v>
      </c>
      <c r="JR258" s="99">
        <v>155.17240600585939</v>
      </c>
      <c r="JS258" s="100"/>
      <c r="JT258" s="99">
        <v>162.53870391845703</v>
      </c>
      <c r="JU258" s="132">
        <v>94.171216328938797</v>
      </c>
      <c r="JV258" s="29">
        <v>191</v>
      </c>
      <c r="JW258" s="1504">
        <v>42309</v>
      </c>
      <c r="JX258" s="179">
        <v>214.16666666666666</v>
      </c>
      <c r="JY258" s="99">
        <v>277.19696969696969</v>
      </c>
      <c r="JZ258" s="99">
        <v>263.07692307692309</v>
      </c>
      <c r="KA258" s="99">
        <v>268.33333333333331</v>
      </c>
      <c r="KB258" s="99">
        <v>317.22222222222223</v>
      </c>
      <c r="KC258" s="99">
        <v>340.25</v>
      </c>
      <c r="KD258" s="132">
        <v>320.27777777777777</v>
      </c>
      <c r="KE258" s="29">
        <v>191</v>
      </c>
      <c r="KF258" s="179">
        <v>34.974358974358971</v>
      </c>
      <c r="KG258" s="99">
        <v>37.410377358490564</v>
      </c>
      <c r="KH258" s="99">
        <v>62.166666666666664</v>
      </c>
      <c r="KI258" s="99">
        <v>61.16018907563025</v>
      </c>
      <c r="KJ258" s="99">
        <v>52.44047619047619</v>
      </c>
      <c r="KK258" s="132">
        <v>74.516203703703709</v>
      </c>
      <c r="KL258" s="29">
        <v>191</v>
      </c>
      <c r="KM258" s="179">
        <v>16.5</v>
      </c>
      <c r="KN258" s="99">
        <v>14.052631578947368</v>
      </c>
      <c r="KO258" s="99">
        <v>35.625</v>
      </c>
      <c r="KP258" s="99">
        <v>45.194444444444443</v>
      </c>
      <c r="KQ258" s="99">
        <v>28.791666666666668</v>
      </c>
      <c r="KR258" s="132">
        <v>30.458333333333332</v>
      </c>
      <c r="KS258" s="29">
        <v>191</v>
      </c>
      <c r="KT258" s="179">
        <v>24</v>
      </c>
      <c r="KU258" s="99">
        <v>22.388888888888889</v>
      </c>
      <c r="KV258" s="99">
        <v>29.133333333333333</v>
      </c>
      <c r="KW258" s="99">
        <v>32.8125</v>
      </c>
      <c r="KX258" s="99">
        <v>18.766666666666666</v>
      </c>
      <c r="KY258" s="132">
        <v>28.712962962962962</v>
      </c>
      <c r="KZ258" s="29">
        <v>191</v>
      </c>
      <c r="LA258" s="1504">
        <v>42309</v>
      </c>
      <c r="LB258" s="19">
        <v>460</v>
      </c>
      <c r="LC258" s="93">
        <v>690</v>
      </c>
      <c r="LD258" s="93">
        <v>682</v>
      </c>
      <c r="LE258" s="93"/>
      <c r="LF258" s="93">
        <v>606</v>
      </c>
      <c r="LG258" s="93"/>
      <c r="LH258" s="20"/>
      <c r="LI258" s="29">
        <v>191</v>
      </c>
      <c r="LJ258" s="19"/>
      <c r="LK258" s="93"/>
      <c r="LL258" s="93"/>
      <c r="LM258" s="93"/>
      <c r="LN258" s="93"/>
      <c r="LO258" s="20"/>
      <c r="LP258" s="29">
        <v>191</v>
      </c>
      <c r="LQ258" s="19"/>
      <c r="LR258" s="93"/>
      <c r="LS258" s="93"/>
      <c r="LT258" s="93"/>
      <c r="LU258" s="93"/>
      <c r="LV258" s="93"/>
      <c r="LW258" s="93"/>
      <c r="LX258" s="93"/>
      <c r="LY258" s="93"/>
      <c r="LZ258" s="93"/>
      <c r="MA258" s="20"/>
      <c r="MB258" s="29">
        <v>191</v>
      </c>
      <c r="MC258" s="1504">
        <v>42309</v>
      </c>
      <c r="MD258" s="19">
        <v>1169.0547462508393</v>
      </c>
      <c r="ME258" s="93">
        <v>967.58689698924752</v>
      </c>
      <c r="MF258" s="93">
        <v>967.5868141872478</v>
      </c>
      <c r="MG258" s="93">
        <v>858.9711405692475</v>
      </c>
      <c r="MH258" s="93">
        <v>218.66120589800002</v>
      </c>
      <c r="MI258" s="93">
        <v>7.2325157039999999</v>
      </c>
      <c r="MJ258" s="93">
        <v>6.4933962580476194</v>
      </c>
      <c r="MK258" s="93">
        <v>487.96561078020005</v>
      </c>
      <c r="ML258" s="93">
        <v>131.78443719899997</v>
      </c>
      <c r="MM258" s="93">
        <v>6.8339747300000004</v>
      </c>
      <c r="MN258" s="93">
        <v>108.615673618</v>
      </c>
      <c r="MO258" s="93">
        <v>4.4478956280000004</v>
      </c>
      <c r="MP258" s="93">
        <v>26.405566614000005</v>
      </c>
      <c r="MQ258" s="93">
        <v>6.2832854109999996</v>
      </c>
      <c r="MR258" s="93">
        <v>19.755935247</v>
      </c>
      <c r="MS258" s="93">
        <v>51.722990717999991</v>
      </c>
      <c r="MT258" s="93">
        <v>8.2802000000000011E-5</v>
      </c>
      <c r="MU258" s="93">
        <v>201.46784926159165</v>
      </c>
      <c r="MV258" s="93">
        <v>84.987189973591654</v>
      </c>
      <c r="MW258" s="93">
        <v>116.480659288</v>
      </c>
      <c r="MX258" s="93">
        <v>1251.2579257222519</v>
      </c>
      <c r="MY258" s="93">
        <v>1261.7865714462521</v>
      </c>
      <c r="MZ258" s="93">
        <v>844.25338713549991</v>
      </c>
      <c r="NA258" s="93">
        <v>426.94204845050001</v>
      </c>
      <c r="NB258" s="93">
        <v>103.096117177</v>
      </c>
      <c r="NC258" s="93">
        <v>37.072640511000003</v>
      </c>
      <c r="ND258" s="93">
        <v>22.798506072000002</v>
      </c>
      <c r="NE258" s="93">
        <v>14.274134438999999</v>
      </c>
      <c r="NF258" s="93">
        <v>277.14258099700004</v>
      </c>
      <c r="NG258" s="93">
        <v>5.8655194170000007</v>
      </c>
      <c r="NH258" s="93">
        <v>65.132609891000001</v>
      </c>
      <c r="NI258" s="93">
        <v>18.131814541000001</v>
      </c>
      <c r="NJ258" s="93">
        <v>11.865140803999999</v>
      </c>
      <c r="NK258" s="93">
        <v>417.53318431075212</v>
      </c>
      <c r="NL258" s="93">
        <v>285.51567567000001</v>
      </c>
      <c r="NM258" s="93">
        <v>4.6788390729999998</v>
      </c>
      <c r="NN258" s="93">
        <v>127.33866956775204</v>
      </c>
      <c r="NO258" s="93">
        <v>-10.528645723999999</v>
      </c>
      <c r="NP258" s="93">
        <v>-82.203179471412881</v>
      </c>
      <c r="NQ258" s="93">
        <v>-283.67102873300456</v>
      </c>
      <c r="NR258" s="93">
        <v>-119.25971865425251</v>
      </c>
      <c r="NS258" s="93">
        <v>-156.33235916525251</v>
      </c>
      <c r="NT258" s="93">
        <v>-142.81852337841283</v>
      </c>
      <c r="NU258" s="93">
        <v>-344.28637264000452</v>
      </c>
      <c r="NV258" s="93">
        <v>147.87416709716041</v>
      </c>
      <c r="NW258" s="93">
        <v>60.357824871160375</v>
      </c>
      <c r="NX258" s="93">
        <v>88.666102060160384</v>
      </c>
      <c r="NY258" s="93">
        <v>-28.308277189000002</v>
      </c>
      <c r="NZ258" s="93">
        <v>0</v>
      </c>
      <c r="OA258" s="93">
        <v>87.516342226000006</v>
      </c>
      <c r="OB258" s="93">
        <v>4.724419600000016</v>
      </c>
      <c r="OC258" s="93">
        <v>82.791922626000016</v>
      </c>
      <c r="OD258" s="20">
        <v>0</v>
      </c>
      <c r="OE258" s="29">
        <v>191</v>
      </c>
      <c r="OF258" s="1504">
        <v>42309</v>
      </c>
      <c r="OG258" s="19"/>
      <c r="OH258" s="93">
        <v>274.466075961</v>
      </c>
      <c r="OI258" s="93">
        <v>1031.7848807208377</v>
      </c>
      <c r="OJ258" s="93">
        <v>0.48346727099999998</v>
      </c>
      <c r="OK258" s="93">
        <v>874.94363620883769</v>
      </c>
      <c r="OL258" s="93">
        <v>156.35777724100001</v>
      </c>
      <c r="OM258" s="93">
        <v>1306.2509566818376</v>
      </c>
      <c r="ON258" s="93">
        <v>1049.9256220438187</v>
      </c>
      <c r="OO258" s="93">
        <v>2356.1765787256563</v>
      </c>
      <c r="OP258" s="93"/>
      <c r="OQ258" s="93">
        <v>673.07108670302932</v>
      </c>
      <c r="OR258" s="93">
        <v>-103.30285127500008</v>
      </c>
      <c r="OS258" s="93">
        <v>776.37393797802952</v>
      </c>
      <c r="OT258" s="93">
        <v>1982.2230068366266</v>
      </c>
      <c r="OU258" s="93">
        <v>14.048835156000024</v>
      </c>
      <c r="OV258" s="93">
        <v>-16.005164844000006</v>
      </c>
      <c r="OW258" s="93">
        <v>30.05400000000003</v>
      </c>
      <c r="OX258" s="93">
        <v>1968.1741716806266</v>
      </c>
      <c r="OY258" s="93">
        <v>4.1599454829999996</v>
      </c>
      <c r="OZ258" s="93">
        <v>1964.0142261976266</v>
      </c>
      <c r="PA258" s="93">
        <v>398.04716454400062</v>
      </c>
      <c r="PB258" s="93">
        <v>-98.929649730000051</v>
      </c>
      <c r="PC258" s="20">
        <v>2356.1765787256554</v>
      </c>
      <c r="PD258" s="29">
        <v>191</v>
      </c>
      <c r="PE258" s="19"/>
      <c r="PF258" s="93">
        <v>-103.30285127500008</v>
      </c>
      <c r="PG258" s="93">
        <v>586.11736803899998</v>
      </c>
      <c r="PH258" s="93">
        <v>689.42021931400006</v>
      </c>
      <c r="PI258" s="93">
        <v>576.31543850000003</v>
      </c>
      <c r="PJ258" s="93">
        <v>-11.357340805000007</v>
      </c>
      <c r="PK258" s="93">
        <v>136.901807488</v>
      </c>
      <c r="PL258" s="93">
        <v>148.25914829300001</v>
      </c>
      <c r="PM258" s="93">
        <v>4.1599454829999996</v>
      </c>
      <c r="PN258" s="93">
        <v>0.6</v>
      </c>
      <c r="PO258" s="93">
        <v>0</v>
      </c>
      <c r="PP258" s="93">
        <v>8.2012E-5</v>
      </c>
      <c r="PQ258" s="93">
        <v>3.5598634709999999</v>
      </c>
      <c r="PR258" s="93">
        <v>462.83168485599998</v>
      </c>
      <c r="PS258" s="93">
        <v>328.71289999999999</v>
      </c>
      <c r="PT258" s="93">
        <v>133.369223508</v>
      </c>
      <c r="PU258" s="93">
        <v>0.74956134799999996</v>
      </c>
      <c r="PV258" s="93">
        <v>0</v>
      </c>
      <c r="PW258" s="93">
        <v>0.44698346900000002</v>
      </c>
      <c r="PX258" s="93">
        <v>0</v>
      </c>
      <c r="PY258" s="93">
        <v>0</v>
      </c>
      <c r="PZ258" s="93">
        <v>0.44698346900000002</v>
      </c>
      <c r="QA258" s="93">
        <v>0</v>
      </c>
      <c r="QB258" s="93">
        <v>0</v>
      </c>
      <c r="QC258" s="93">
        <v>0</v>
      </c>
      <c r="QD258" s="93">
        <v>8.2791810750000003</v>
      </c>
      <c r="QE258" s="20">
        <v>-5.7426574970000006</v>
      </c>
      <c r="QF258" s="1739">
        <v>191</v>
      </c>
      <c r="QG258" s="19"/>
      <c r="QH258" s="1035">
        <v>776.37393797802952</v>
      </c>
      <c r="QI258" s="1035">
        <v>1106.282773802373</v>
      </c>
      <c r="QJ258" s="1035">
        <v>-329.9088358243435</v>
      </c>
      <c r="QK258" s="1035">
        <v>173.881</v>
      </c>
      <c r="QL258" s="1035">
        <v>49.598999999999997</v>
      </c>
      <c r="QM258" s="1035">
        <v>124.282</v>
      </c>
      <c r="QN258" s="1035">
        <v>0</v>
      </c>
      <c r="QO258" s="1035">
        <v>30.05400000000003</v>
      </c>
      <c r="QP258" s="1035">
        <v>263.27100000000002</v>
      </c>
      <c r="QQ258" s="1035">
        <v>-233.21699999999998</v>
      </c>
      <c r="QR258" s="1035">
        <v>1964.0142261976266</v>
      </c>
      <c r="QS258" s="1035">
        <v>19.680646362442921</v>
      </c>
      <c r="QT258" s="1035">
        <v>0</v>
      </c>
      <c r="QU258" s="1035">
        <v>211.39000000000001</v>
      </c>
      <c r="QV258" s="1035">
        <v>1732.9435798351838</v>
      </c>
      <c r="QW258" s="93"/>
      <c r="QX258" s="93">
        <v>578.42200000000003</v>
      </c>
      <c r="QY258" s="93">
        <v>874.94363620883769</v>
      </c>
      <c r="QZ258" s="93">
        <v>1049.6595279668188</v>
      </c>
      <c r="RA258" s="93">
        <v>0</v>
      </c>
      <c r="RB258" s="93">
        <v>60.769000000000005</v>
      </c>
      <c r="RC258" s="93">
        <v>3.9770000000000003</v>
      </c>
      <c r="RD258" s="93">
        <v>15.909000000000001</v>
      </c>
      <c r="RE258" s="93">
        <v>0</v>
      </c>
      <c r="RF258" s="93">
        <v>0</v>
      </c>
      <c r="RG258" s="93">
        <v>308.66600000000062</v>
      </c>
      <c r="RH258" s="93">
        <v>51.977000000000004</v>
      </c>
      <c r="RI258" s="93"/>
      <c r="RJ258" s="93"/>
      <c r="RK258" s="93"/>
      <c r="RL258" s="93"/>
      <c r="RM258" s="734"/>
      <c r="RN258" s="29">
        <v>191</v>
      </c>
      <c r="RO258" s="19">
        <v>32</v>
      </c>
      <c r="RP258" s="20"/>
      <c r="RQ258" s="29">
        <v>191</v>
      </c>
      <c r="RR258" s="734">
        <v>2.9386401399999995</v>
      </c>
      <c r="RS258" s="29">
        <v>191</v>
      </c>
      <c r="RT258" s="1504">
        <v>42309</v>
      </c>
      <c r="RU258" s="19">
        <v>508</v>
      </c>
      <c r="RV258" s="20">
        <v>14</v>
      </c>
      <c r="RW258" s="29">
        <v>191</v>
      </c>
      <c r="RX258" s="1504">
        <v>42309</v>
      </c>
      <c r="RY258" s="29"/>
      <c r="RZ258" s="734"/>
      <c r="SA258" s="29"/>
      <c r="SB258" s="29">
        <v>191</v>
      </c>
    </row>
    <row r="259" spans="1:496">
      <c r="A259" s="41">
        <f t="shared" si="208"/>
        <v>2015</v>
      </c>
      <c r="B259" s="1504">
        <v>42339</v>
      </c>
      <c r="C259" s="1813">
        <v>1921</v>
      </c>
      <c r="D259" s="1814">
        <v>24118</v>
      </c>
      <c r="E259" s="1814">
        <v>89</v>
      </c>
      <c r="F259" s="1815">
        <v>383</v>
      </c>
      <c r="G259" s="1814">
        <v>86044</v>
      </c>
      <c r="H259" s="1814">
        <v>26</v>
      </c>
      <c r="I259" s="1814">
        <v>30842</v>
      </c>
      <c r="J259" s="1816">
        <v>13860</v>
      </c>
      <c r="K259" s="1807">
        <v>157283</v>
      </c>
      <c r="L259" s="25">
        <v>192</v>
      </c>
      <c r="M259" s="97"/>
      <c r="N259" s="1504">
        <v>42339</v>
      </c>
      <c r="O259" s="19">
        <v>854</v>
      </c>
      <c r="P259" s="93">
        <v>691</v>
      </c>
      <c r="Q259" s="93">
        <v>11128</v>
      </c>
      <c r="R259" s="93">
        <v>2474</v>
      </c>
      <c r="S259" s="93">
        <v>1659</v>
      </c>
      <c r="T259" s="93">
        <v>456</v>
      </c>
      <c r="U259" s="93">
        <v>282</v>
      </c>
      <c r="V259" s="93">
        <v>1790</v>
      </c>
      <c r="W259" s="93">
        <v>4345</v>
      </c>
      <c r="X259" s="93">
        <v>798</v>
      </c>
      <c r="Y259" s="93">
        <v>229</v>
      </c>
      <c r="Z259" s="93">
        <v>1227</v>
      </c>
      <c r="AA259" s="93">
        <v>538</v>
      </c>
      <c r="AB259" s="132">
        <v>26471</v>
      </c>
      <c r="AC259" s="25">
        <v>192</v>
      </c>
      <c r="AD259" s="97"/>
      <c r="AE259" s="1504">
        <v>42339</v>
      </c>
      <c r="AF259" s="19">
        <v>2779</v>
      </c>
      <c r="AG259" s="93">
        <v>913</v>
      </c>
      <c r="AH259" s="93">
        <v>6603</v>
      </c>
      <c r="AI259" s="93">
        <v>3372</v>
      </c>
      <c r="AJ259" s="93">
        <v>3606</v>
      </c>
      <c r="AK259" s="93">
        <v>1906</v>
      </c>
      <c r="AL259" s="93">
        <v>1179</v>
      </c>
      <c r="AM259" s="93">
        <v>2418</v>
      </c>
      <c r="AN259" s="93">
        <v>3200</v>
      </c>
      <c r="AO259" s="93">
        <v>2182</v>
      </c>
      <c r="AP259" s="93">
        <v>713</v>
      </c>
      <c r="AQ259" s="93">
        <v>2233</v>
      </c>
      <c r="AR259" s="93">
        <v>790</v>
      </c>
      <c r="AS259" s="20">
        <v>31894</v>
      </c>
      <c r="AT259" s="25">
        <v>192</v>
      </c>
      <c r="AU259" s="97"/>
      <c r="AV259" s="1504">
        <v>42339</v>
      </c>
      <c r="AW259" s="19">
        <v>8829</v>
      </c>
      <c r="AX259" s="93">
        <v>2213</v>
      </c>
      <c r="AY259" s="93">
        <v>4032</v>
      </c>
      <c r="AZ259" s="93">
        <v>14487</v>
      </c>
      <c r="BA259" s="93">
        <v>10662</v>
      </c>
      <c r="BB259" s="93">
        <v>5076</v>
      </c>
      <c r="BC259" s="93">
        <v>3689</v>
      </c>
      <c r="BD259" s="93">
        <v>10218</v>
      </c>
      <c r="BE259" s="93">
        <v>7077</v>
      </c>
      <c r="BF259" s="93">
        <v>7110</v>
      </c>
      <c r="BG259" s="93">
        <v>3023</v>
      </c>
      <c r="BH259" s="93">
        <v>8811</v>
      </c>
      <c r="BI259" s="93">
        <v>2384</v>
      </c>
      <c r="BJ259" s="20">
        <v>87611</v>
      </c>
      <c r="BK259" s="25">
        <v>192</v>
      </c>
      <c r="BL259" s="97"/>
      <c r="BM259" s="1504">
        <v>42339</v>
      </c>
      <c r="BN259" s="19">
        <v>135.71099999999996</v>
      </c>
      <c r="BO259" s="93">
        <v>2220.1110000000022</v>
      </c>
      <c r="BP259" s="93">
        <v>6.3360000000000003</v>
      </c>
      <c r="BQ259" s="93">
        <v>734.32799999999997</v>
      </c>
      <c r="BR259" s="93">
        <v>3.5190000000000001</v>
      </c>
      <c r="BS259" s="93">
        <v>257.54399999999998</v>
      </c>
      <c r="BT259" s="93">
        <v>387</v>
      </c>
      <c r="BU259" s="132">
        <v>3744.5490000000013</v>
      </c>
      <c r="BV259" s="25">
        <v>192</v>
      </c>
      <c r="BW259" s="97"/>
      <c r="BX259" s="1504">
        <v>42339</v>
      </c>
      <c r="BY259" s="179">
        <v>603.06794152799489</v>
      </c>
      <c r="BZ259" s="99">
        <v>664.95699999999999</v>
      </c>
      <c r="CA259" s="99">
        <v>605.85296019211228</v>
      </c>
      <c r="CB259" s="99">
        <v>40.190980944795044</v>
      </c>
      <c r="CC259" s="99">
        <v>157.87902580645158</v>
      </c>
      <c r="CD259" s="25">
        <v>192</v>
      </c>
      <c r="CE259" s="97"/>
      <c r="CF259" s="1504">
        <v>42339</v>
      </c>
      <c r="CG259" s="1508">
        <v>1.551832018</v>
      </c>
      <c r="CH259" s="568">
        <v>1075.74</v>
      </c>
      <c r="CI259" s="1708">
        <v>36.573333333333302</v>
      </c>
      <c r="CJ259" s="1509">
        <v>37.72</v>
      </c>
      <c r="CK259" s="1508">
        <v>360.24</v>
      </c>
      <c r="CL259" s="568">
        <v>163.948036</v>
      </c>
      <c r="CM259" s="568">
        <v>0.32275636800000002</v>
      </c>
      <c r="CN259" s="568">
        <v>0.35506868800000002</v>
      </c>
      <c r="CO259" s="568">
        <v>189.22990050000001</v>
      </c>
      <c r="CP259" s="1509">
        <v>3.800434187</v>
      </c>
      <c r="CQ259" s="1708">
        <v>1446.03</v>
      </c>
      <c r="CR259" s="568">
        <v>3.0266666666666699</v>
      </c>
      <c r="CS259" s="568">
        <v>1.2661</v>
      </c>
      <c r="CT259" s="568">
        <v>123.5</v>
      </c>
      <c r="CU259" s="568">
        <v>40.5</v>
      </c>
      <c r="CV259" s="1709">
        <v>1527.79</v>
      </c>
      <c r="CW259" s="29">
        <v>192</v>
      </c>
      <c r="CX259" s="41">
        <f t="shared" si="209"/>
        <v>2015</v>
      </c>
      <c r="CY259" s="1504">
        <v>42339</v>
      </c>
      <c r="CZ259" s="1916">
        <v>94.517721000000009</v>
      </c>
      <c r="DA259" s="1526">
        <v>56.554565000000011</v>
      </c>
      <c r="DB259" s="1526">
        <v>37.963155999999998</v>
      </c>
      <c r="DC259" s="182">
        <v>544825</v>
      </c>
      <c r="DD259" s="182">
        <v>543327</v>
      </c>
      <c r="DE259" s="290">
        <v>1498</v>
      </c>
      <c r="DF259" s="29">
        <v>192</v>
      </c>
      <c r="DG259" s="1504">
        <v>42339</v>
      </c>
      <c r="DH259" s="181">
        <v>328780</v>
      </c>
      <c r="DI259" s="182"/>
      <c r="DJ259" s="182"/>
      <c r="DK259" s="182"/>
      <c r="DL259" s="182"/>
      <c r="DM259" s="182"/>
      <c r="DN259" s="290"/>
      <c r="DO259" s="295"/>
      <c r="DP259" s="29">
        <v>192</v>
      </c>
      <c r="DQ259" s="1504">
        <v>42339</v>
      </c>
      <c r="DR259" s="19">
        <v>31127</v>
      </c>
      <c r="DS259" s="93">
        <v>802</v>
      </c>
      <c r="DT259" s="93">
        <v>44989</v>
      </c>
      <c r="DU259" s="93">
        <v>1586</v>
      </c>
      <c r="DV259" s="93">
        <v>6431</v>
      </c>
      <c r="DW259" s="93">
        <v>2758</v>
      </c>
      <c r="DX259" s="1719">
        <v>5817</v>
      </c>
      <c r="DY259" s="29">
        <v>192</v>
      </c>
      <c r="DZ259" s="1504">
        <v>42339</v>
      </c>
      <c r="EA259" s="19"/>
      <c r="EB259" s="93"/>
      <c r="EC259" s="20"/>
      <c r="ED259" s="29"/>
      <c r="EE259" s="1504">
        <v>42339</v>
      </c>
      <c r="EF259" s="179">
        <v>21936</v>
      </c>
      <c r="EG259" s="99">
        <v>19791</v>
      </c>
      <c r="EH259" s="99">
        <v>41727</v>
      </c>
      <c r="EI259" s="221">
        <v>6709</v>
      </c>
      <c r="EJ259" s="99">
        <v>699.64499999999998</v>
      </c>
      <c r="EK259" s="99">
        <v>222.09899999999999</v>
      </c>
      <c r="EL259" s="99">
        <v>5.9169999999999998</v>
      </c>
      <c r="EM259" s="99">
        <v>4.2649999999999997</v>
      </c>
      <c r="EN259" s="132">
        <v>931.92599999999993</v>
      </c>
      <c r="EO259" s="29">
        <v>192</v>
      </c>
      <c r="EP259" s="1504">
        <v>42339</v>
      </c>
      <c r="EQ259" s="19">
        <v>21251</v>
      </c>
      <c r="ER259" s="93">
        <v>19096</v>
      </c>
      <c r="ES259" s="93">
        <v>40347</v>
      </c>
      <c r="ET259" s="214">
        <v>6292</v>
      </c>
      <c r="EU259" s="93">
        <v>699.64499999999998</v>
      </c>
      <c r="EV259" s="93">
        <v>222.09899999999999</v>
      </c>
      <c r="EW259" s="93">
        <v>5.9169999999999998</v>
      </c>
      <c r="EX259" s="93">
        <v>4.2649999999999997</v>
      </c>
      <c r="EY259" s="20">
        <v>931.92599999999993</v>
      </c>
      <c r="EZ259" s="29">
        <v>192</v>
      </c>
      <c r="FA259" s="1504">
        <v>42339</v>
      </c>
      <c r="FB259" s="29"/>
      <c r="FC259" s="29"/>
      <c r="FD259" s="29"/>
      <c r="FE259" s="29"/>
      <c r="FF259" s="29"/>
      <c r="FG259" s="29"/>
      <c r="FH259" s="29"/>
      <c r="FI259" s="29"/>
      <c r="FJ259" s="29"/>
      <c r="FK259" s="29">
        <v>192</v>
      </c>
      <c r="FL259" s="1504">
        <v>42339</v>
      </c>
      <c r="FM259" s="19">
        <v>102.74</v>
      </c>
      <c r="FN259" s="93">
        <v>103.73</v>
      </c>
      <c r="FO259" s="93">
        <v>95.08</v>
      </c>
      <c r="FP259" s="93">
        <v>99.62</v>
      </c>
      <c r="FQ259" s="93">
        <v>112.68</v>
      </c>
      <c r="FR259" s="93">
        <v>100.33</v>
      </c>
      <c r="FS259" s="93">
        <v>100.07</v>
      </c>
      <c r="FT259" s="93">
        <v>98.01</v>
      </c>
      <c r="FU259" s="93">
        <v>100.55</v>
      </c>
      <c r="FV259" s="93">
        <v>104.45</v>
      </c>
      <c r="FW259" s="93">
        <v>101.4</v>
      </c>
      <c r="FX259" s="93">
        <v>100.15</v>
      </c>
      <c r="FY259" s="93">
        <v>101.15</v>
      </c>
      <c r="FZ259" s="29">
        <v>192</v>
      </c>
      <c r="GA259" s="1504">
        <v>42339</v>
      </c>
      <c r="GB259" s="19">
        <v>102.74</v>
      </c>
      <c r="GC259" s="93">
        <v>99.47</v>
      </c>
      <c r="GD259" s="93">
        <v>104.69</v>
      </c>
      <c r="GE259" s="93">
        <v>113.11</v>
      </c>
      <c r="GF259" s="93">
        <v>104.61</v>
      </c>
      <c r="GG259" s="99">
        <v>101.63</v>
      </c>
      <c r="GH259" s="93">
        <v>108.23</v>
      </c>
      <c r="GI259" s="93">
        <v>100.47</v>
      </c>
      <c r="GJ259" s="93">
        <v>101.09</v>
      </c>
      <c r="GK259" s="93">
        <v>99.9</v>
      </c>
      <c r="GL259" s="93">
        <v>104.31</v>
      </c>
      <c r="GM259" s="93">
        <v>100.32</v>
      </c>
      <c r="GN259" s="20">
        <v>101.09</v>
      </c>
      <c r="GO259" s="29">
        <v>192</v>
      </c>
      <c r="GP259" s="1504">
        <v>42339</v>
      </c>
      <c r="GQ259" s="181">
        <v>218.15922573926201</v>
      </c>
      <c r="GR259" s="182">
        <v>186.858724464331</v>
      </c>
      <c r="GS259" s="182">
        <v>194.549328969393</v>
      </c>
      <c r="GT259" s="182">
        <v>159.390559876607</v>
      </c>
      <c r="GU259" s="182">
        <v>325.30914433312199</v>
      </c>
      <c r="GV259" s="290">
        <v>729.61419278513097</v>
      </c>
      <c r="GW259" s="181">
        <v>335.835934470052</v>
      </c>
      <c r="GX259" s="182">
        <v>349.74585315435598</v>
      </c>
      <c r="GY259" s="182">
        <v>592.883811954527</v>
      </c>
      <c r="GZ259" s="182">
        <v>869.32226530711398</v>
      </c>
      <c r="HA259" s="182">
        <v>286.73766134418298</v>
      </c>
      <c r="HB259" s="290">
        <v>830.51516539390695</v>
      </c>
      <c r="HC259" s="181">
        <v>1973.1338200504699</v>
      </c>
      <c r="HD259" s="182">
        <v>1961.90684773729</v>
      </c>
      <c r="HE259" s="182">
        <v>2167.51081316404</v>
      </c>
      <c r="HF259" s="182">
        <v>2818.75</v>
      </c>
      <c r="HG259" s="182">
        <v>2828.7094121084001</v>
      </c>
      <c r="HH259" s="290">
        <v>2855.3145137309398</v>
      </c>
      <c r="HI259" s="19"/>
      <c r="HJ259" s="182">
        <v>851.80471371128897</v>
      </c>
      <c r="HK259" s="182">
        <v>1507.3442044102901</v>
      </c>
      <c r="HL259" s="182">
        <v>900.41692441072098</v>
      </c>
      <c r="HM259" s="182">
        <v>800</v>
      </c>
      <c r="HN259" s="290">
        <v>2198.5913392163402</v>
      </c>
      <c r="HO259" s="324">
        <v>122.71546924458001</v>
      </c>
      <c r="HP259" s="290">
        <v>105.15795119685301</v>
      </c>
      <c r="HQ259" s="295">
        <v>145.58323462163</v>
      </c>
      <c r="HR259" s="29">
        <v>192</v>
      </c>
      <c r="HS259" s="1504">
        <v>42339</v>
      </c>
      <c r="HT259" s="179">
        <v>207.77599334716797</v>
      </c>
      <c r="HU259" s="99">
        <v>212.84722391764322</v>
      </c>
      <c r="HV259" s="99">
        <v>175.15922546386719</v>
      </c>
      <c r="HW259" s="99">
        <v>115.38462066650391</v>
      </c>
      <c r="HX259" s="99">
        <v>188.88888549804688</v>
      </c>
      <c r="HY259" s="99">
        <v>194.44444274902344</v>
      </c>
      <c r="HZ259" s="99">
        <v>190.0584716796875</v>
      </c>
      <c r="IA259" s="132">
        <v>181.37255859375</v>
      </c>
      <c r="IB259" s="179">
        <v>195.437255859375</v>
      </c>
      <c r="IC259" s="99">
        <v>131.9095458984375</v>
      </c>
      <c r="ID259" s="99">
        <v>196.42857360839844</v>
      </c>
      <c r="IE259" s="99">
        <v>129.03225708007813</v>
      </c>
      <c r="IF259" s="99">
        <v>183.59375</v>
      </c>
      <c r="IG259" s="132">
        <v>120.55555725097656</v>
      </c>
      <c r="IH259" s="179">
        <v>122.16519546508789</v>
      </c>
      <c r="II259" s="99">
        <v>179.73242568969727</v>
      </c>
      <c r="IJ259" s="99">
        <v>169.49151611328125</v>
      </c>
      <c r="IK259" s="99">
        <v>153.42961120605469</v>
      </c>
      <c r="IL259" s="99">
        <v>138.88888549804688</v>
      </c>
      <c r="IM259" s="99">
        <v>160.13072204589844</v>
      </c>
      <c r="IN259" s="99">
        <v>167.84452819824219</v>
      </c>
      <c r="IO259" s="132">
        <v>145.34883117675781</v>
      </c>
      <c r="IP259" s="29">
        <v>192</v>
      </c>
      <c r="IQ259" s="179">
        <v>141.17647094726561</v>
      </c>
      <c r="IR259" s="99">
        <v>75.757575988769531</v>
      </c>
      <c r="IS259" s="99">
        <v>125</v>
      </c>
      <c r="IT259" s="99">
        <v>113.26860809326172</v>
      </c>
      <c r="IU259" s="99">
        <v>179.45545196533203</v>
      </c>
      <c r="IV259" s="132">
        <v>90.588233947753906</v>
      </c>
      <c r="IW259" s="29">
        <v>192</v>
      </c>
      <c r="IX259" s="179">
        <v>400</v>
      </c>
      <c r="IY259" s="99">
        <v>409.72222900390625</v>
      </c>
      <c r="IZ259" s="99">
        <v>425</v>
      </c>
      <c r="JA259" s="99">
        <v>375</v>
      </c>
      <c r="JB259" s="99">
        <v>400</v>
      </c>
      <c r="JC259" s="99">
        <v>400</v>
      </c>
      <c r="JD259" s="99">
        <v>340</v>
      </c>
      <c r="JE259" s="132">
        <v>400</v>
      </c>
      <c r="JF259" s="29">
        <v>192</v>
      </c>
      <c r="JG259" s="179">
        <v>179.92021942138672</v>
      </c>
      <c r="JH259" s="99">
        <v>185.41092936197916</v>
      </c>
      <c r="JI259" s="99">
        <v>152.73312377929688</v>
      </c>
      <c r="JJ259" s="99">
        <v>137.5</v>
      </c>
      <c r="JK259" s="99">
        <v>168.35017395019531</v>
      </c>
      <c r="JL259" s="99">
        <v>157.43573760986328</v>
      </c>
      <c r="JM259" s="99">
        <v>170.75164031982422</v>
      </c>
      <c r="JN259" s="132">
        <v>187.86126708984375</v>
      </c>
      <c r="JO259" s="29">
        <v>192</v>
      </c>
      <c r="JP259" s="179">
        <v>193.33333129882811</v>
      </c>
      <c r="JQ259" s="99">
        <v>79.545455932617188</v>
      </c>
      <c r="JR259" s="99">
        <v>146.55171203613281</v>
      </c>
      <c r="JS259" s="100"/>
      <c r="JT259" s="99">
        <v>162.53870010375977</v>
      </c>
      <c r="JU259" s="132">
        <v>95.628410339355469</v>
      </c>
      <c r="JV259" s="29">
        <v>192</v>
      </c>
      <c r="JW259" s="1504">
        <v>42339</v>
      </c>
      <c r="JX259" s="179">
        <v>238.75</v>
      </c>
      <c r="JY259" s="99">
        <v>284.88095238095241</v>
      </c>
      <c r="JZ259" s="99">
        <v>285.64102564102564</v>
      </c>
      <c r="KA259" s="99">
        <v>275.83333333333331</v>
      </c>
      <c r="KB259" s="99">
        <v>298</v>
      </c>
      <c r="KC259" s="99">
        <v>369.16666666666669</v>
      </c>
      <c r="KD259" s="132">
        <v>378.71794871794873</v>
      </c>
      <c r="KE259" s="29">
        <v>192</v>
      </c>
      <c r="KF259" s="179">
        <v>34.86904761904762</v>
      </c>
      <c r="KG259" s="99">
        <v>37.459821428571431</v>
      </c>
      <c r="KH259" s="99">
        <v>54.551282051282051</v>
      </c>
      <c r="KI259" s="99">
        <v>59.601851851851855</v>
      </c>
      <c r="KJ259" s="99">
        <v>48.346153846153847</v>
      </c>
      <c r="KK259" s="132">
        <v>71.727272727272734</v>
      </c>
      <c r="KL259" s="29">
        <v>192</v>
      </c>
      <c r="KM259" s="179">
        <v>16.722222222222221</v>
      </c>
      <c r="KN259" s="99">
        <v>14.115384615384615</v>
      </c>
      <c r="KO259" s="99">
        <v>34.866666666666667</v>
      </c>
      <c r="KP259" s="99">
        <v>43.983333333333334</v>
      </c>
      <c r="KQ259" s="99">
        <v>24.916666666666668</v>
      </c>
      <c r="KR259" s="132">
        <v>30.410256410256409</v>
      </c>
      <c r="KS259" s="29">
        <v>192</v>
      </c>
      <c r="KT259" s="179">
        <v>26.916666666666668</v>
      </c>
      <c r="KU259" s="99">
        <v>23.402777777777779</v>
      </c>
      <c r="KV259" s="99">
        <v>33.708333333333336</v>
      </c>
      <c r="KW259" s="99">
        <v>34.125</v>
      </c>
      <c r="KX259" s="99">
        <v>21.166666666666668</v>
      </c>
      <c r="KY259" s="132">
        <v>29.631944444444443</v>
      </c>
      <c r="KZ259" s="29">
        <v>192</v>
      </c>
      <c r="LA259" s="1504">
        <v>42339</v>
      </c>
      <c r="LB259" s="19">
        <v>460</v>
      </c>
      <c r="LC259" s="93">
        <v>690</v>
      </c>
      <c r="LD259" s="93">
        <v>682</v>
      </c>
      <c r="LE259" s="93"/>
      <c r="LF259" s="93">
        <v>606</v>
      </c>
      <c r="LG259" s="93"/>
      <c r="LH259" s="20"/>
      <c r="LI259" s="29">
        <v>192</v>
      </c>
      <c r="LJ259" s="19"/>
      <c r="LK259" s="93"/>
      <c r="LL259" s="93"/>
      <c r="LM259" s="93"/>
      <c r="LN259" s="93"/>
      <c r="LO259" s="20"/>
      <c r="LP259" s="29">
        <v>192</v>
      </c>
      <c r="LQ259" s="19"/>
      <c r="LR259" s="93"/>
      <c r="LS259" s="93"/>
      <c r="LT259" s="93"/>
      <c r="LU259" s="93"/>
      <c r="LV259" s="93"/>
      <c r="LW259" s="93"/>
      <c r="LX259" s="93"/>
      <c r="LY259" s="93"/>
      <c r="LZ259" s="93"/>
      <c r="MA259" s="20"/>
      <c r="MB259" s="29">
        <v>192</v>
      </c>
      <c r="MC259" s="1504">
        <v>42339</v>
      </c>
      <c r="MD259" s="19">
        <v>1286.2236266417967</v>
      </c>
      <c r="ME259" s="93">
        <v>1056.1821369238476</v>
      </c>
      <c r="MF259" s="93">
        <v>1056.1820541218478</v>
      </c>
      <c r="MG259" s="93">
        <v>937.66403056884758</v>
      </c>
      <c r="MH259" s="93">
        <v>234.43809384400004</v>
      </c>
      <c r="MI259" s="93">
        <v>7.8865433359999999</v>
      </c>
      <c r="MJ259" s="93">
        <v>7.4804441090476192</v>
      </c>
      <c r="MK259" s="93">
        <v>535.3436588958001</v>
      </c>
      <c r="ML259" s="93">
        <v>145.02004015999998</v>
      </c>
      <c r="MM259" s="93">
        <v>7.4952502240000003</v>
      </c>
      <c r="MN259" s="93">
        <v>118.51802355300001</v>
      </c>
      <c r="MO259" s="93">
        <v>5.1195693030000005</v>
      </c>
      <c r="MP259" s="93">
        <v>29.126015485000003</v>
      </c>
      <c r="MQ259" s="93">
        <v>6.8932887909999989</v>
      </c>
      <c r="MR259" s="93">
        <v>19.757423476</v>
      </c>
      <c r="MS259" s="93">
        <v>57.621726497999994</v>
      </c>
      <c r="MT259" s="93">
        <v>8.2802000000000011E-5</v>
      </c>
      <c r="MU259" s="93">
        <v>230.04148971794933</v>
      </c>
      <c r="MV259" s="93">
        <v>105.21138131594935</v>
      </c>
      <c r="MW259" s="93">
        <v>124.83010840200001</v>
      </c>
      <c r="MX259" s="93">
        <v>1371.5724958095959</v>
      </c>
      <c r="MY259" s="93">
        <v>1384.133719698596</v>
      </c>
      <c r="MZ259" s="93">
        <v>926.90707921399996</v>
      </c>
      <c r="NA259" s="93">
        <v>472.04962936100003</v>
      </c>
      <c r="NB259" s="93">
        <v>110.316920211</v>
      </c>
      <c r="NC259" s="93">
        <v>44.110018254999993</v>
      </c>
      <c r="ND259" s="93">
        <v>28.597964015999999</v>
      </c>
      <c r="NE259" s="93">
        <v>15.512054238999999</v>
      </c>
      <c r="NF259" s="93">
        <v>300.43051138700002</v>
      </c>
      <c r="NG259" s="93">
        <v>13.593303520999999</v>
      </c>
      <c r="NH259" s="93">
        <v>74.738813581000002</v>
      </c>
      <c r="NI259" s="93">
        <v>18.131814541000001</v>
      </c>
      <c r="NJ259" s="93">
        <v>11.865140803999999</v>
      </c>
      <c r="NK259" s="93">
        <v>457.22664048459615</v>
      </c>
      <c r="NL259" s="93">
        <v>300.9787053</v>
      </c>
      <c r="NM259" s="93">
        <v>4.6788390729999998</v>
      </c>
      <c r="NN259" s="93">
        <v>151.56909611159605</v>
      </c>
      <c r="NO259" s="93">
        <v>-12.561223889000006</v>
      </c>
      <c r="NP259" s="93">
        <v>-129.8348076483465</v>
      </c>
      <c r="NQ259" s="93">
        <v>-356.26910772442517</v>
      </c>
      <c r="NR259" s="93">
        <v>-164.91157546615244</v>
      </c>
      <c r="NS259" s="93">
        <v>-208.61371427915239</v>
      </c>
      <c r="NT259" s="93">
        <v>-188.35833551779913</v>
      </c>
      <c r="NU259" s="93">
        <v>-418.39982523574855</v>
      </c>
      <c r="NV259" s="93">
        <v>191.17461075864674</v>
      </c>
      <c r="NW259" s="93">
        <v>90.369215673646693</v>
      </c>
      <c r="NX259" s="93">
        <v>122.08084101064671</v>
      </c>
      <c r="NY259" s="93">
        <v>-31.711625336999997</v>
      </c>
      <c r="NZ259" s="93">
        <v>0</v>
      </c>
      <c r="OA259" s="93">
        <v>100.80539508500001</v>
      </c>
      <c r="OB259" s="93">
        <v>9.73970347200002</v>
      </c>
      <c r="OC259" s="93">
        <v>91.065691613000027</v>
      </c>
      <c r="OD259" s="20">
        <v>0</v>
      </c>
      <c r="OE259" s="29">
        <v>192</v>
      </c>
      <c r="OF259" s="1504">
        <v>42339</v>
      </c>
      <c r="OG259" s="19"/>
      <c r="OH259" s="93">
        <v>299.16585148599995</v>
      </c>
      <c r="OI259" s="93">
        <v>1130.6913948919098</v>
      </c>
      <c r="OJ259" s="93">
        <v>0.5645789200000001</v>
      </c>
      <c r="OK259" s="93">
        <v>968.7470627599098</v>
      </c>
      <c r="OL259" s="93">
        <v>161.379753212</v>
      </c>
      <c r="OM259" s="93">
        <v>1429.8572463779096</v>
      </c>
      <c r="ON259" s="93">
        <v>1060.2708073716069</v>
      </c>
      <c r="OO259" s="93">
        <v>2490.1280537495168</v>
      </c>
      <c r="OP259" s="93"/>
      <c r="OQ259" s="93">
        <v>737.75407879126396</v>
      </c>
      <c r="OR259" s="93">
        <v>-136.05306034600005</v>
      </c>
      <c r="OS259" s="93">
        <v>873.8071391372639</v>
      </c>
      <c r="OT259" s="93">
        <v>2036.1243578712526</v>
      </c>
      <c r="OU259" s="93">
        <v>17.871258429999983</v>
      </c>
      <c r="OV259" s="93">
        <v>-14.083741570000001</v>
      </c>
      <c r="OW259" s="93">
        <v>31.954999999999984</v>
      </c>
      <c r="OX259" s="93">
        <v>2018.2530994412527</v>
      </c>
      <c r="OY259" s="93">
        <v>3.5684625240000001</v>
      </c>
      <c r="OZ259" s="93">
        <v>2014.6846369172526</v>
      </c>
      <c r="PA259" s="93">
        <v>394.72472733499995</v>
      </c>
      <c r="PB259" s="93">
        <v>-110.97434442200013</v>
      </c>
      <c r="PC259" s="20">
        <v>2490.1280537495172</v>
      </c>
      <c r="PD259" s="29">
        <v>192</v>
      </c>
      <c r="PE259" s="19"/>
      <c r="PF259" s="93">
        <v>-136.05306034600005</v>
      </c>
      <c r="PG259" s="93">
        <v>558.52934947799997</v>
      </c>
      <c r="PH259" s="93">
        <v>694.58240982400002</v>
      </c>
      <c r="PI259" s="93">
        <v>657.17446041100004</v>
      </c>
      <c r="PJ259" s="93">
        <v>-7.8990911449999999</v>
      </c>
      <c r="PK259" s="93">
        <v>132.08268386099999</v>
      </c>
      <c r="PL259" s="93">
        <v>139.98177500599999</v>
      </c>
      <c r="PM259" s="93">
        <v>3.5684625240000001</v>
      </c>
      <c r="PN259" s="93">
        <v>0</v>
      </c>
      <c r="PO259" s="93">
        <v>0</v>
      </c>
      <c r="PP259" s="93">
        <v>0</v>
      </c>
      <c r="PQ259" s="93">
        <v>3.5684625240000001</v>
      </c>
      <c r="PR259" s="93">
        <v>504.36069793500002</v>
      </c>
      <c r="PS259" s="93">
        <v>366.91550191099998</v>
      </c>
      <c r="PT259" s="93">
        <v>136.61452302699999</v>
      </c>
      <c r="PU259" s="93">
        <v>0.83067299700000008</v>
      </c>
      <c r="PV259" s="93">
        <v>0</v>
      </c>
      <c r="PW259" s="93">
        <v>0.61894960099999996</v>
      </c>
      <c r="PX259" s="93">
        <v>0</v>
      </c>
      <c r="PY259" s="93">
        <v>0</v>
      </c>
      <c r="PZ259" s="93">
        <v>0.61894960099999996</v>
      </c>
      <c r="QA259" s="93">
        <v>0</v>
      </c>
      <c r="QB259" s="93">
        <v>0</v>
      </c>
      <c r="QC259" s="93">
        <v>0</v>
      </c>
      <c r="QD259" s="93">
        <v>8.7337777340000002</v>
      </c>
      <c r="QE259" s="20">
        <v>3.0773461739999997</v>
      </c>
      <c r="QF259" s="1739">
        <v>192</v>
      </c>
      <c r="QG259" s="19"/>
      <c r="QH259" s="1035">
        <v>873.8071391372639</v>
      </c>
      <c r="QI259" s="1035">
        <v>1204.2573630827471</v>
      </c>
      <c r="QJ259" s="1035">
        <v>-330.45022394548317</v>
      </c>
      <c r="QK259" s="1035">
        <v>186.19299999999998</v>
      </c>
      <c r="QL259" s="1035">
        <v>61.564999999999998</v>
      </c>
      <c r="QM259" s="1035">
        <v>124.628</v>
      </c>
      <c r="QN259" s="1035">
        <v>0</v>
      </c>
      <c r="QO259" s="1035">
        <v>31.954999999999984</v>
      </c>
      <c r="QP259" s="1035">
        <v>270.68</v>
      </c>
      <c r="QQ259" s="1035">
        <v>-238.72500000000002</v>
      </c>
      <c r="QR259" s="1035">
        <v>2014.6846369172526</v>
      </c>
      <c r="QS259" s="1035">
        <v>20.02918114398976</v>
      </c>
      <c r="QT259" s="1035">
        <v>0</v>
      </c>
      <c r="QU259" s="1035">
        <v>246.75399999999999</v>
      </c>
      <c r="QV259" s="1035">
        <v>1747.901455773263</v>
      </c>
      <c r="QW259" s="93"/>
      <c r="QX259" s="93">
        <v>656.52099999999996</v>
      </c>
      <c r="QY259" s="93">
        <v>968.7470627599098</v>
      </c>
      <c r="QZ259" s="93">
        <v>1060.0047132946067</v>
      </c>
      <c r="RA259" s="93">
        <v>0</v>
      </c>
      <c r="RB259" s="93">
        <v>61.584999999999994</v>
      </c>
      <c r="RC259" s="93">
        <v>4.0819999999999999</v>
      </c>
      <c r="RD259" s="93">
        <v>15.237</v>
      </c>
      <c r="RE259" s="93">
        <v>0</v>
      </c>
      <c r="RF259" s="93">
        <v>0</v>
      </c>
      <c r="RG259" s="93">
        <v>304.46799999999996</v>
      </c>
      <c r="RH259" s="93">
        <v>35.994999999999976</v>
      </c>
      <c r="RI259" s="93"/>
      <c r="RJ259" s="93"/>
      <c r="RK259" s="93"/>
      <c r="RL259" s="93"/>
      <c r="RM259" s="734"/>
      <c r="RN259" s="29">
        <v>192</v>
      </c>
      <c r="RO259" s="19">
        <v>30</v>
      </c>
      <c r="RP259" s="20"/>
      <c r="RQ259" s="29">
        <v>192</v>
      </c>
      <c r="RR259" s="734">
        <v>3.1429991899999994</v>
      </c>
      <c r="RS259" s="29">
        <v>192</v>
      </c>
      <c r="RT259" s="1504">
        <v>42339</v>
      </c>
      <c r="RU259" s="19">
        <v>664</v>
      </c>
      <c r="RV259" s="20">
        <v>6</v>
      </c>
      <c r="RW259" s="29">
        <v>192</v>
      </c>
      <c r="RX259" s="1504">
        <v>42339</v>
      </c>
      <c r="RY259" s="29"/>
      <c r="RZ259" s="734"/>
      <c r="SA259" s="29"/>
      <c r="SB259" s="29">
        <v>192</v>
      </c>
    </row>
    <row r="260" spans="1:496">
      <c r="A260" s="41">
        <f t="shared" si="208"/>
        <v>2016</v>
      </c>
      <c r="B260" s="1504">
        <v>42370</v>
      </c>
      <c r="C260" s="1813">
        <v>2374</v>
      </c>
      <c r="D260" s="1814">
        <v>29060</v>
      </c>
      <c r="E260" s="1814">
        <v>89</v>
      </c>
      <c r="F260" s="1815">
        <v>283</v>
      </c>
      <c r="G260" s="1814">
        <v>91074</v>
      </c>
      <c r="H260" s="1814">
        <v>31</v>
      </c>
      <c r="I260" s="1814">
        <v>34429</v>
      </c>
      <c r="J260" s="1816">
        <v>15834</v>
      </c>
      <c r="K260" s="1807">
        <v>173174</v>
      </c>
      <c r="L260" s="25">
        <v>193</v>
      </c>
      <c r="M260" s="97"/>
      <c r="N260" s="1504">
        <v>42370</v>
      </c>
      <c r="O260" s="19">
        <v>686</v>
      </c>
      <c r="P260" s="93">
        <v>610</v>
      </c>
      <c r="Q260" s="93">
        <v>3324</v>
      </c>
      <c r="R260" s="93">
        <v>2741</v>
      </c>
      <c r="S260" s="93">
        <v>1672</v>
      </c>
      <c r="T260" s="93">
        <v>801</v>
      </c>
      <c r="U260" s="93">
        <v>307</v>
      </c>
      <c r="V260" s="93">
        <v>1464</v>
      </c>
      <c r="W260" s="93">
        <v>5110</v>
      </c>
      <c r="X260" s="93">
        <v>732</v>
      </c>
      <c r="Y260" s="93">
        <v>363</v>
      </c>
      <c r="Z260" s="93">
        <v>1281</v>
      </c>
      <c r="AA260" s="93">
        <v>556</v>
      </c>
      <c r="AB260" s="132">
        <v>19647</v>
      </c>
      <c r="AC260" s="25">
        <v>193</v>
      </c>
      <c r="AD260" s="97"/>
      <c r="AE260" s="1504">
        <v>42370</v>
      </c>
      <c r="AF260" s="19">
        <v>2400</v>
      </c>
      <c r="AG260" s="93">
        <v>814</v>
      </c>
      <c r="AH260" s="93">
        <v>2060</v>
      </c>
      <c r="AI260" s="93">
        <v>2441</v>
      </c>
      <c r="AJ260" s="93">
        <v>2815</v>
      </c>
      <c r="AK260" s="93">
        <v>2182</v>
      </c>
      <c r="AL260" s="93">
        <v>867</v>
      </c>
      <c r="AM260" s="93">
        <v>2057</v>
      </c>
      <c r="AN260" s="93">
        <v>6947</v>
      </c>
      <c r="AO260" s="93">
        <v>1916</v>
      </c>
      <c r="AP260" s="93">
        <v>754</v>
      </c>
      <c r="AQ260" s="93">
        <v>2497</v>
      </c>
      <c r="AR260" s="93">
        <v>866</v>
      </c>
      <c r="AS260" s="20">
        <v>28616</v>
      </c>
      <c r="AT260" s="25">
        <v>193</v>
      </c>
      <c r="AU260" s="97"/>
      <c r="AV260" s="1504">
        <v>42370</v>
      </c>
      <c r="AW260" s="19">
        <v>7555</v>
      </c>
      <c r="AX260" s="93">
        <v>2628</v>
      </c>
      <c r="AY260" s="93">
        <v>4175</v>
      </c>
      <c r="AZ260" s="93">
        <v>12170</v>
      </c>
      <c r="BA260" s="93">
        <v>9061</v>
      </c>
      <c r="BB260" s="93">
        <v>7491</v>
      </c>
      <c r="BC260" s="93">
        <v>3299</v>
      </c>
      <c r="BD260" s="93">
        <v>8746</v>
      </c>
      <c r="BE260" s="93">
        <v>12109</v>
      </c>
      <c r="BF260" s="93">
        <v>6213</v>
      </c>
      <c r="BG260" s="93">
        <v>4138</v>
      </c>
      <c r="BH260" s="93">
        <v>10976</v>
      </c>
      <c r="BI260" s="93">
        <v>3230</v>
      </c>
      <c r="BJ260" s="20">
        <v>91791</v>
      </c>
      <c r="BK260" s="25">
        <v>193</v>
      </c>
      <c r="BL260" s="97"/>
      <c r="BM260" s="1504">
        <v>42370</v>
      </c>
      <c r="BN260" s="19">
        <v>130.15199999999999</v>
      </c>
      <c r="BO260" s="93">
        <v>1985.8620000000003</v>
      </c>
      <c r="BP260" s="93">
        <v>14.208000000000002</v>
      </c>
      <c r="BQ260" s="93">
        <v>655.19200000000001</v>
      </c>
      <c r="BR260" s="93">
        <v>4.7430000000000003</v>
      </c>
      <c r="BS260" s="93">
        <v>225.17099999999996</v>
      </c>
      <c r="BT260" s="93">
        <v>407.80799999999994</v>
      </c>
      <c r="BU260" s="132">
        <v>3423.136</v>
      </c>
      <c r="BV260" s="25">
        <v>193</v>
      </c>
      <c r="BW260" s="97"/>
      <c r="BX260" s="1504">
        <v>42370</v>
      </c>
      <c r="BY260" s="179">
        <v>604.01197053406997</v>
      </c>
      <c r="BZ260" s="99">
        <v>664.95699999999999</v>
      </c>
      <c r="CA260" s="99">
        <v>599.54026140206565</v>
      </c>
      <c r="CB260" s="99">
        <v>36.936179557637729</v>
      </c>
      <c r="CC260" s="99">
        <v>155.5823870967742</v>
      </c>
      <c r="CD260" s="25">
        <v>193</v>
      </c>
      <c r="CE260" s="97"/>
      <c r="CF260" s="1504">
        <v>42370</v>
      </c>
      <c r="CG260" s="1508">
        <v>1.5156762500000001</v>
      </c>
      <c r="CH260" s="568">
        <v>1097.9100000000001</v>
      </c>
      <c r="CI260" s="1708">
        <v>29.78</v>
      </c>
      <c r="CJ260" s="1509">
        <v>30.8</v>
      </c>
      <c r="CK260" s="1508">
        <v>366.19</v>
      </c>
      <c r="CL260" s="568">
        <v>161.0269304</v>
      </c>
      <c r="CM260" s="568">
        <v>0.30974910999999999</v>
      </c>
      <c r="CN260" s="568">
        <v>0.35474212799999999</v>
      </c>
      <c r="CO260" s="568">
        <v>193.27170419999999</v>
      </c>
      <c r="CP260" s="1509">
        <v>3.6332137599999998</v>
      </c>
      <c r="CQ260" s="1708">
        <v>1359.9</v>
      </c>
      <c r="CR260" s="568">
        <v>2.7225000000000001</v>
      </c>
      <c r="CS260" s="568">
        <v>1.2338</v>
      </c>
      <c r="CT260" s="568">
        <v>122.6</v>
      </c>
      <c r="CU260" s="568">
        <v>41.88</v>
      </c>
      <c r="CV260" s="1709">
        <v>1520.36</v>
      </c>
      <c r="CW260" s="29">
        <v>193</v>
      </c>
      <c r="CX260" s="41">
        <f t="shared" si="209"/>
        <v>2016</v>
      </c>
      <c r="CY260" s="1504">
        <v>42370</v>
      </c>
      <c r="CZ260" s="1916">
        <v>93.967916938197959</v>
      </c>
      <c r="DA260" s="1526">
        <v>56.736591938197954</v>
      </c>
      <c r="DB260" s="1526">
        <v>37.231324999999998</v>
      </c>
      <c r="DC260" s="182">
        <f t="shared" ref="DC260:DC270" si="235">DC261</f>
        <v>585634</v>
      </c>
      <c r="DD260" s="182">
        <f t="shared" ref="DD260:DD270" si="236">DD261</f>
        <v>583970</v>
      </c>
      <c r="DE260" s="182">
        <f t="shared" ref="DE260:DE270" si="237">DE261</f>
        <v>1664</v>
      </c>
      <c r="DF260" s="29">
        <v>193</v>
      </c>
      <c r="DG260" s="1504">
        <v>42370</v>
      </c>
      <c r="DH260" s="181">
        <v>334090</v>
      </c>
      <c r="DI260" s="182"/>
      <c r="DJ260" s="182"/>
      <c r="DK260" s="182"/>
      <c r="DL260" s="182"/>
      <c r="DM260" s="182"/>
      <c r="DN260" s="290"/>
      <c r="DO260" s="295"/>
      <c r="DP260" s="29">
        <v>193</v>
      </c>
      <c r="DQ260" s="1504">
        <v>42370</v>
      </c>
      <c r="DR260" s="19"/>
      <c r="DS260" s="93"/>
      <c r="DT260" s="93"/>
      <c r="DU260" s="93"/>
      <c r="DV260" s="93"/>
      <c r="DW260" s="93"/>
      <c r="DX260" s="1719"/>
      <c r="DY260" s="29">
        <v>193</v>
      </c>
      <c r="DZ260" s="1504">
        <v>42370</v>
      </c>
      <c r="EA260" s="19"/>
      <c r="EB260" s="93"/>
      <c r="EC260" s="20"/>
      <c r="ED260" s="29"/>
      <c r="EE260" s="1504">
        <v>42370</v>
      </c>
      <c r="EF260" s="179">
        <v>21274</v>
      </c>
      <c r="EG260" s="99">
        <v>22452</v>
      </c>
      <c r="EH260" s="99">
        <v>43726</v>
      </c>
      <c r="EI260" s="221">
        <v>5584</v>
      </c>
      <c r="EJ260" s="99">
        <v>615.56700000000001</v>
      </c>
      <c r="EK260" s="99">
        <v>209.25899999999999</v>
      </c>
      <c r="EL260" s="99">
        <v>6.5139999999999993</v>
      </c>
      <c r="EM260" s="99">
        <v>3.766</v>
      </c>
      <c r="EN260" s="132">
        <v>835.10599999999988</v>
      </c>
      <c r="EO260" s="29">
        <v>193</v>
      </c>
      <c r="EP260" s="1504">
        <v>42370</v>
      </c>
      <c r="EQ260" s="19">
        <v>20178</v>
      </c>
      <c r="ER260" s="93">
        <v>21339</v>
      </c>
      <c r="ES260" s="93">
        <v>41517</v>
      </c>
      <c r="ET260" s="214">
        <v>5232</v>
      </c>
      <c r="EU260" s="93">
        <v>615.43299999999999</v>
      </c>
      <c r="EV260" s="93">
        <v>209.25899999999999</v>
      </c>
      <c r="EW260" s="93">
        <v>6.5119999999999996</v>
      </c>
      <c r="EX260" s="93">
        <v>3.766</v>
      </c>
      <c r="EY260" s="20">
        <v>834.96999999999991</v>
      </c>
      <c r="EZ260" s="29">
        <v>193</v>
      </c>
      <c r="FA260" s="1504">
        <v>42370</v>
      </c>
      <c r="FB260" s="29"/>
      <c r="FC260" s="29"/>
      <c r="FD260" s="29"/>
      <c r="FE260" s="29"/>
      <c r="FF260" s="29"/>
      <c r="FG260" s="29"/>
      <c r="FH260" s="29"/>
      <c r="FI260" s="29"/>
      <c r="FJ260" s="29"/>
      <c r="FK260" s="29">
        <v>193</v>
      </c>
      <c r="FL260" s="1504">
        <v>42370</v>
      </c>
      <c r="FM260" s="19">
        <v>99.99</v>
      </c>
      <c r="FN260" s="93">
        <v>99.81</v>
      </c>
      <c r="FO260" s="93">
        <v>104.5</v>
      </c>
      <c r="FP260" s="93">
        <v>99.3</v>
      </c>
      <c r="FQ260" s="93">
        <v>100.08</v>
      </c>
      <c r="FR260" s="93">
        <v>100.54</v>
      </c>
      <c r="FS260" s="93">
        <v>100.1</v>
      </c>
      <c r="FT260" s="93">
        <v>98.01</v>
      </c>
      <c r="FU260" s="93">
        <v>100.55</v>
      </c>
      <c r="FV260" s="93">
        <v>104.48</v>
      </c>
      <c r="FW260" s="93">
        <v>101.4</v>
      </c>
      <c r="FX260" s="93">
        <v>100.91</v>
      </c>
      <c r="FY260" s="93">
        <v>101.15</v>
      </c>
      <c r="FZ260" s="29">
        <v>193</v>
      </c>
      <c r="GA260" s="1504">
        <v>42370</v>
      </c>
      <c r="GB260" s="19">
        <v>99.99</v>
      </c>
      <c r="GC260" s="93">
        <v>100.48</v>
      </c>
      <c r="GD260" s="93">
        <v>100.12</v>
      </c>
      <c r="GE260" s="93">
        <v>96.94</v>
      </c>
      <c r="GF260" s="93">
        <v>98.42</v>
      </c>
      <c r="GG260" s="99">
        <v>101.61</v>
      </c>
      <c r="GH260" s="93">
        <v>99.78</v>
      </c>
      <c r="GI260" s="93">
        <v>100.47</v>
      </c>
      <c r="GJ260" s="93">
        <v>101.08</v>
      </c>
      <c r="GK260" s="93">
        <v>99.9</v>
      </c>
      <c r="GL260" s="93">
        <v>99.91</v>
      </c>
      <c r="GM260" s="93">
        <v>100.18</v>
      </c>
      <c r="GN260" s="20">
        <v>101.08</v>
      </c>
      <c r="GO260" s="29">
        <v>193</v>
      </c>
      <c r="GP260" s="1504">
        <v>42370</v>
      </c>
      <c r="GQ260" s="181">
        <v>234.397937410955</v>
      </c>
      <c r="GR260" s="182">
        <v>211.52173771704</v>
      </c>
      <c r="GS260" s="182">
        <v>210.51586911206101</v>
      </c>
      <c r="GT260" s="182">
        <v>179.92994360276001</v>
      </c>
      <c r="GU260" s="182">
        <v>389.13056995346199</v>
      </c>
      <c r="GV260" s="290">
        <v>784.257739039282</v>
      </c>
      <c r="GW260" s="181">
        <v>379.638716215567</v>
      </c>
      <c r="GX260" s="182">
        <v>414.075918595622</v>
      </c>
      <c r="GY260" s="182">
        <v>222.30973036808001</v>
      </c>
      <c r="GZ260" s="182">
        <v>279.93948869512002</v>
      </c>
      <c r="HA260" s="182">
        <v>237.18928618031001</v>
      </c>
      <c r="HB260" s="290">
        <v>868.00046463637602</v>
      </c>
      <c r="HC260" s="181">
        <v>1921.6867663206399</v>
      </c>
      <c r="HD260" s="182">
        <v>2011.45224005817</v>
      </c>
      <c r="HE260" s="182">
        <v>2103.0908800644702</v>
      </c>
      <c r="HF260" s="182">
        <v>3150</v>
      </c>
      <c r="HG260" s="182">
        <v>2426.0368003428498</v>
      </c>
      <c r="HH260" s="290">
        <v>2534.4497059417999</v>
      </c>
      <c r="HI260" s="19"/>
      <c r="HJ260" s="182">
        <v>821.38226549207002</v>
      </c>
      <c r="HK260" s="182">
        <v>1445.48156493242</v>
      </c>
      <c r="HL260" s="182">
        <v>896.66585921267199</v>
      </c>
      <c r="HM260" s="182">
        <v>800</v>
      </c>
      <c r="HN260" s="290">
        <v>2205.2788068413001</v>
      </c>
      <c r="HO260" s="324">
        <v>117.636634547829</v>
      </c>
      <c r="HP260" s="290">
        <v>97.091770891968295</v>
      </c>
      <c r="HQ260" s="295">
        <v>154.17400247629101</v>
      </c>
      <c r="HR260" s="29">
        <v>193</v>
      </c>
      <c r="HS260" s="1504">
        <v>42370</v>
      </c>
      <c r="HT260" s="179">
        <v>195.74748077392579</v>
      </c>
      <c r="HU260" s="99">
        <v>234.375</v>
      </c>
      <c r="HV260" s="99">
        <v>159.23565673828125</v>
      </c>
      <c r="HW260" s="99">
        <v>115.38462066650391</v>
      </c>
      <c r="HX260" s="99">
        <v>183.33332824707031</v>
      </c>
      <c r="HY260" s="99">
        <v>194.44444274902344</v>
      </c>
      <c r="HZ260" s="99">
        <v>194.00541381835939</v>
      </c>
      <c r="IA260" s="132">
        <v>172.79412460327148</v>
      </c>
      <c r="IB260" s="179">
        <v>211.02660751342773</v>
      </c>
      <c r="IC260" s="99">
        <v>120.60301513671875</v>
      </c>
      <c r="ID260" s="99">
        <v>160.71429443359375</v>
      </c>
      <c r="IE260" s="99">
        <v>129.03225708007813</v>
      </c>
      <c r="IF260" s="99">
        <v>194.44444783528647</v>
      </c>
      <c r="IG260" s="132">
        <v>125</v>
      </c>
      <c r="IH260" s="179">
        <v>120.08315022786459</v>
      </c>
      <c r="II260" s="99">
        <v>223.80594635009766</v>
      </c>
      <c r="IJ260" s="99">
        <v>162.71185913085938</v>
      </c>
      <c r="IK260" s="99">
        <v>146.66064834594727</v>
      </c>
      <c r="IL260" s="99">
        <v>138.88888549804688</v>
      </c>
      <c r="IM260" s="99">
        <v>156.45425033569336</v>
      </c>
      <c r="IN260" s="99">
        <v>159.01060485839844</v>
      </c>
      <c r="IO260" s="132">
        <v>149.39218292236328</v>
      </c>
      <c r="IP260" s="29">
        <v>193</v>
      </c>
      <c r="IQ260" s="179">
        <v>152.94117736816406</v>
      </c>
      <c r="IR260" s="99">
        <v>75.757575988769531</v>
      </c>
      <c r="IS260" s="99">
        <v>133.62068176269531</v>
      </c>
      <c r="IT260" s="99">
        <v>120.1456356048584</v>
      </c>
      <c r="IU260" s="99">
        <v>164.0625</v>
      </c>
      <c r="IV260" s="132">
        <v>101.37254842122395</v>
      </c>
      <c r="IW260" s="29">
        <v>193</v>
      </c>
      <c r="IX260" s="179">
        <v>352.68817138671875</v>
      </c>
      <c r="IY260" s="99">
        <v>398.379633585612</v>
      </c>
      <c r="IZ260" s="99">
        <v>436.66666666666669</v>
      </c>
      <c r="JA260" s="99">
        <v>375</v>
      </c>
      <c r="JB260" s="99">
        <v>375</v>
      </c>
      <c r="JC260" s="99">
        <v>400</v>
      </c>
      <c r="JD260" s="99">
        <v>340</v>
      </c>
      <c r="JE260" s="132">
        <v>387.5</v>
      </c>
      <c r="JF260" s="29">
        <v>193</v>
      </c>
      <c r="JG260" s="179">
        <v>149.60106506347657</v>
      </c>
      <c r="JH260" s="99">
        <v>194.73617553710938</v>
      </c>
      <c r="JI260" s="99">
        <v>160.77171325683594</v>
      </c>
      <c r="JJ260" s="99">
        <v>134.375</v>
      </c>
      <c r="JK260" s="99">
        <v>168.35017395019531</v>
      </c>
      <c r="JL260" s="99">
        <v>157.43573760986328</v>
      </c>
      <c r="JM260" s="99">
        <v>174.83660888671875</v>
      </c>
      <c r="JN260" s="132">
        <v>189.51886749267578</v>
      </c>
      <c r="JO260" s="29">
        <v>193</v>
      </c>
      <c r="JP260" s="179">
        <v>185.1851806640625</v>
      </c>
      <c r="JQ260" s="99">
        <v>79.545455932617188</v>
      </c>
      <c r="JR260" s="99">
        <v>139.58333206176758</v>
      </c>
      <c r="JS260" s="100"/>
      <c r="JT260" s="99">
        <v>156.25</v>
      </c>
      <c r="JU260" s="132">
        <v>95.628410339355469</v>
      </c>
      <c r="JV260" s="29">
        <v>193</v>
      </c>
      <c r="JW260" s="1504">
        <v>42370</v>
      </c>
      <c r="JX260" s="179">
        <v>238.54166666666666</v>
      </c>
      <c r="JY260" s="99">
        <v>302.05681818181819</v>
      </c>
      <c r="JZ260" s="99">
        <v>307.64999999999998</v>
      </c>
      <c r="KA260" s="99">
        <v>276.11111111111109</v>
      </c>
      <c r="KB260" s="99">
        <v>271.20833333333331</v>
      </c>
      <c r="KC260" s="99">
        <v>249.56896551724137</v>
      </c>
      <c r="KD260" s="132">
        <v>311.98275862068965</v>
      </c>
      <c r="KE260" s="29">
        <v>193</v>
      </c>
      <c r="KF260" s="179">
        <v>33.095238095238095</v>
      </c>
      <c r="KG260" s="99">
        <v>40.39473684210526</v>
      </c>
      <c r="KH260" s="99">
        <v>50.882352941176471</v>
      </c>
      <c r="KI260" s="99">
        <v>68.944444444444443</v>
      </c>
      <c r="KJ260" s="99">
        <v>31.15</v>
      </c>
      <c r="KK260" s="132">
        <v>58.696428571428569</v>
      </c>
      <c r="KL260" s="29">
        <v>193</v>
      </c>
      <c r="KM260" s="179">
        <v>18.166666666666668</v>
      </c>
      <c r="KN260" s="99">
        <v>17.767857142857142</v>
      </c>
      <c r="KO260" s="99">
        <v>27.777777777777779</v>
      </c>
      <c r="KP260" s="99">
        <v>37</v>
      </c>
      <c r="KQ260" s="99">
        <v>20.083333333333332</v>
      </c>
      <c r="KR260" s="132">
        <v>26.570588235294117</v>
      </c>
      <c r="KS260" s="29">
        <v>193</v>
      </c>
      <c r="KT260" s="179">
        <v>25.083333333333332</v>
      </c>
      <c r="KU260" s="99">
        <v>23.897435897435898</v>
      </c>
      <c r="KV260" s="99">
        <v>23.805555555555557</v>
      </c>
      <c r="KW260" s="99">
        <v>27.305555555555557</v>
      </c>
      <c r="KX260" s="99">
        <v>15.226190476190476</v>
      </c>
      <c r="KY260" s="132">
        <v>22.966463414634145</v>
      </c>
      <c r="KZ260" s="29">
        <v>193</v>
      </c>
      <c r="LA260" s="1504">
        <v>42370</v>
      </c>
      <c r="LB260" s="19">
        <v>430</v>
      </c>
      <c r="LC260" s="93">
        <v>660</v>
      </c>
      <c r="LD260" s="93">
        <v>652</v>
      </c>
      <c r="LE260" s="93"/>
      <c r="LF260" s="93">
        <v>576</v>
      </c>
      <c r="LG260" s="93"/>
      <c r="LH260" s="20"/>
      <c r="LI260" s="29">
        <v>193</v>
      </c>
      <c r="LJ260" s="19"/>
      <c r="LK260" s="93"/>
      <c r="LL260" s="93"/>
      <c r="LM260" s="93"/>
      <c r="LN260" s="93"/>
      <c r="LO260" s="20"/>
      <c r="LP260" s="29">
        <v>193</v>
      </c>
      <c r="LQ260" s="19"/>
      <c r="LR260" s="93"/>
      <c r="LS260" s="93"/>
      <c r="LT260" s="93"/>
      <c r="LU260" s="93"/>
      <c r="LV260" s="93"/>
      <c r="LW260" s="93"/>
      <c r="LX260" s="93"/>
      <c r="LY260" s="93"/>
      <c r="LZ260" s="93"/>
      <c r="MA260" s="20"/>
      <c r="MB260" s="29">
        <v>193</v>
      </c>
      <c r="MC260" s="1504">
        <v>42370</v>
      </c>
      <c r="MD260" s="19">
        <v>107.92941699300003</v>
      </c>
      <c r="ME260" s="93">
        <v>101.35438631000002</v>
      </c>
      <c r="MF260" s="93">
        <v>101.32421331000003</v>
      </c>
      <c r="MG260" s="93">
        <v>94.604048322000025</v>
      </c>
      <c r="MH260" s="93">
        <v>32.495251492000001</v>
      </c>
      <c r="MI260" s="93">
        <v>0.81300521199999987</v>
      </c>
      <c r="MJ260" s="93">
        <v>0.53868915499999992</v>
      </c>
      <c r="MK260" s="93">
        <v>49.11989907000001</v>
      </c>
      <c r="ML260" s="93">
        <v>10.946546105999998</v>
      </c>
      <c r="MM260" s="93">
        <v>0.69065728700000006</v>
      </c>
      <c r="MN260" s="93">
        <v>6.7201649879999996</v>
      </c>
      <c r="MO260" s="93">
        <v>0.45948222699999997</v>
      </c>
      <c r="MP260" s="93">
        <v>2.2743653360000007</v>
      </c>
      <c r="MQ260" s="93">
        <v>0.20938668499999999</v>
      </c>
      <c r="MR260" s="93">
        <v>5.1025495999999997E-2</v>
      </c>
      <c r="MS260" s="93">
        <v>3.7259052440000002</v>
      </c>
      <c r="MT260" s="93">
        <v>3.0172999999999998E-2</v>
      </c>
      <c r="MU260" s="93">
        <v>6.5750306829999987</v>
      </c>
      <c r="MV260" s="93">
        <v>6.5750306829999987</v>
      </c>
      <c r="MW260" s="93">
        <v>0</v>
      </c>
      <c r="MX260" s="93">
        <v>54.690576960500003</v>
      </c>
      <c r="MY260" s="93">
        <v>54.737620728499998</v>
      </c>
      <c r="MZ260" s="93">
        <v>46.263829365500001</v>
      </c>
      <c r="NA260" s="93">
        <v>39.719982913000003</v>
      </c>
      <c r="NB260" s="93">
        <v>0</v>
      </c>
      <c r="NC260" s="93">
        <v>0.67472619699999992</v>
      </c>
      <c r="ND260" s="93">
        <v>0</v>
      </c>
      <c r="NE260" s="93">
        <v>0.67472619699999992</v>
      </c>
      <c r="NF260" s="93">
        <v>5.8691202555000004</v>
      </c>
      <c r="NG260" s="93">
        <v>0.53115627749999994</v>
      </c>
      <c r="NH260" s="93">
        <v>0</v>
      </c>
      <c r="NI260" s="93">
        <v>0</v>
      </c>
      <c r="NJ260" s="93">
        <v>0</v>
      </c>
      <c r="NK260" s="93">
        <v>8.4737913630000001</v>
      </c>
      <c r="NL260" s="93">
        <v>0</v>
      </c>
      <c r="NM260" s="93">
        <v>0</v>
      </c>
      <c r="NN260" s="93">
        <v>8.4737913630000001</v>
      </c>
      <c r="NO260" s="93">
        <v>-4.7043767999999708E-2</v>
      </c>
      <c r="NP260" s="93">
        <v>53.238840032500029</v>
      </c>
      <c r="NQ260" s="93">
        <v>46.663809349500028</v>
      </c>
      <c r="NR260" s="93">
        <v>55.81232690950003</v>
      </c>
      <c r="NS260" s="93">
        <v>55.137600712500024</v>
      </c>
      <c r="NT260" s="93">
        <v>17.276383630500064</v>
      </c>
      <c r="NU260" s="93">
        <v>10.701352947500066</v>
      </c>
      <c r="NV260" s="93">
        <v>-8.2414489970000115</v>
      </c>
      <c r="NW260" s="93">
        <v>0.59527660300000018</v>
      </c>
      <c r="NX260" s="93">
        <v>1.8987606800000001</v>
      </c>
      <c r="NY260" s="93">
        <v>-1.303484077</v>
      </c>
      <c r="NZ260" s="93">
        <v>0</v>
      </c>
      <c r="OA260" s="93">
        <v>-8.8367256000000118</v>
      </c>
      <c r="OB260" s="93">
        <v>-32.520960275000014</v>
      </c>
      <c r="OC260" s="93">
        <v>23.684234674999999</v>
      </c>
      <c r="OD260" s="20">
        <v>-9.0349346335000504</v>
      </c>
      <c r="OE260" s="29">
        <v>193</v>
      </c>
      <c r="OF260" s="1504">
        <v>42370</v>
      </c>
      <c r="OG260" s="19"/>
      <c r="OH260" s="93">
        <v>299.43943783999998</v>
      </c>
      <c r="OI260" s="93">
        <v>1109.3215624789652</v>
      </c>
      <c r="OJ260" s="93">
        <v>0.52286980400000005</v>
      </c>
      <c r="OK260" s="93">
        <v>944.44615988796522</v>
      </c>
      <c r="OL260" s="93">
        <v>164.352532787</v>
      </c>
      <c r="OM260" s="93">
        <v>1408.7610003189652</v>
      </c>
      <c r="ON260" s="93">
        <v>1073.1712069976254</v>
      </c>
      <c r="OO260" s="93">
        <v>2481.9322073165904</v>
      </c>
      <c r="OP260" s="93"/>
      <c r="OQ260" s="93">
        <v>745.90025919406082</v>
      </c>
      <c r="OR260" s="93">
        <v>-137.64523415500003</v>
      </c>
      <c r="OS260" s="93">
        <v>883.54549334906085</v>
      </c>
      <c r="OT260" s="93">
        <v>1973.3343446695294</v>
      </c>
      <c r="OU260" s="93">
        <v>-18.720559709999989</v>
      </c>
      <c r="OV260" s="93">
        <v>-57.412559709999996</v>
      </c>
      <c r="OW260" s="93">
        <v>38.692000000000007</v>
      </c>
      <c r="OX260" s="93">
        <v>1992.0549043795295</v>
      </c>
      <c r="OY260" s="93">
        <v>3.5791249199999999</v>
      </c>
      <c r="OZ260" s="93">
        <v>1988.4757794595296</v>
      </c>
      <c r="PA260" s="93">
        <v>377.78092597699998</v>
      </c>
      <c r="PB260" s="93">
        <v>-140.47852942999987</v>
      </c>
      <c r="PC260" s="20">
        <v>2481.9322073165899</v>
      </c>
      <c r="PD260" s="29">
        <v>193</v>
      </c>
      <c r="PE260" s="19"/>
      <c r="PF260" s="93">
        <v>-137.64523415500003</v>
      </c>
      <c r="PG260" s="93">
        <v>586.45431001199995</v>
      </c>
      <c r="PH260" s="93">
        <v>724.09954416699998</v>
      </c>
      <c r="PI260" s="93">
        <v>644.93605084499995</v>
      </c>
      <c r="PJ260" s="93">
        <v>-51.243347749999998</v>
      </c>
      <c r="PK260" s="93">
        <v>131.569596034</v>
      </c>
      <c r="PL260" s="93">
        <v>182.812943784</v>
      </c>
      <c r="PM260" s="93">
        <v>3.5791249199999999</v>
      </c>
      <c r="PN260" s="93">
        <v>0</v>
      </c>
      <c r="PO260" s="93">
        <v>0</v>
      </c>
      <c r="PP260" s="93">
        <v>4.2000000000000002E-4</v>
      </c>
      <c r="PQ260" s="93">
        <v>3.5787049199999998</v>
      </c>
      <c r="PR260" s="93">
        <v>449.65371441899993</v>
      </c>
      <c r="PS260" s="93">
        <v>359.45164979999998</v>
      </c>
      <c r="PT260" s="93">
        <v>89.413100737999997</v>
      </c>
      <c r="PU260" s="93">
        <v>0.78896388100000003</v>
      </c>
      <c r="PV260" s="93">
        <v>0</v>
      </c>
      <c r="PW260" s="93">
        <v>0.72069452000000001</v>
      </c>
      <c r="PX260" s="93">
        <v>0</v>
      </c>
      <c r="PY260" s="93">
        <v>0</v>
      </c>
      <c r="PZ260" s="93">
        <v>0.72069452000000001</v>
      </c>
      <c r="QA260" s="93">
        <v>0</v>
      </c>
      <c r="QB260" s="93">
        <v>0</v>
      </c>
      <c r="QC260" s="93">
        <v>0</v>
      </c>
      <c r="QD260" s="93">
        <v>1.2322314569999999</v>
      </c>
      <c r="QE260" s="20">
        <v>8.0199534640000003</v>
      </c>
      <c r="QF260" s="1739">
        <v>193</v>
      </c>
      <c r="QG260" s="19"/>
      <c r="QH260" s="1035">
        <v>883.54549334906085</v>
      </c>
      <c r="QI260" s="1035">
        <v>1175.03322054047</v>
      </c>
      <c r="QJ260" s="1035">
        <v>-291.48772719140914</v>
      </c>
      <c r="QK260" s="1035">
        <v>159.08500000000001</v>
      </c>
      <c r="QL260" s="1035">
        <v>53.843000000000004</v>
      </c>
      <c r="QM260" s="1035">
        <v>105.242</v>
      </c>
      <c r="QN260" s="1035">
        <v>0</v>
      </c>
      <c r="QO260" s="1035">
        <v>38.692000000000007</v>
      </c>
      <c r="QP260" s="1035">
        <v>283.447</v>
      </c>
      <c r="QQ260" s="1035">
        <v>-244.755</v>
      </c>
      <c r="QR260" s="1035">
        <v>1988.4757794595296</v>
      </c>
      <c r="QS260" s="1035">
        <v>36.387827355390314</v>
      </c>
      <c r="QT260" s="1035">
        <v>0</v>
      </c>
      <c r="QU260" s="1035">
        <v>214.517</v>
      </c>
      <c r="QV260" s="1035">
        <v>1737.5709521041392</v>
      </c>
      <c r="QW260" s="93"/>
      <c r="QX260" s="93">
        <v>639.39800000000002</v>
      </c>
      <c r="QY260" s="93">
        <v>944.44615988796522</v>
      </c>
      <c r="QZ260" s="93">
        <v>1072.9051129206255</v>
      </c>
      <c r="RA260" s="93">
        <v>0</v>
      </c>
      <c r="RB260" s="93">
        <v>55.945</v>
      </c>
      <c r="RC260" s="93">
        <v>4.0069999999999997</v>
      </c>
      <c r="RD260" s="93">
        <v>12.891999999999999</v>
      </c>
      <c r="RE260" s="93">
        <v>0</v>
      </c>
      <c r="RF260" s="93">
        <v>0</v>
      </c>
      <c r="RG260" s="93">
        <v>302.98399999999998</v>
      </c>
      <c r="RH260" s="93">
        <v>37.221000000000004</v>
      </c>
      <c r="RI260" s="93"/>
      <c r="RJ260" s="93"/>
      <c r="RK260" s="93"/>
      <c r="RL260" s="93"/>
      <c r="RM260" s="734"/>
      <c r="RN260" s="29">
        <v>193</v>
      </c>
      <c r="RO260" s="19">
        <v>53</v>
      </c>
      <c r="RP260" s="20"/>
      <c r="RQ260" s="29">
        <v>193</v>
      </c>
      <c r="RR260" s="734">
        <v>2.5832514</v>
      </c>
      <c r="RS260" s="29">
        <v>193</v>
      </c>
      <c r="RT260" s="1504">
        <v>42370</v>
      </c>
      <c r="RU260" s="19">
        <v>595</v>
      </c>
      <c r="RV260" s="20">
        <v>7</v>
      </c>
      <c r="RW260" s="29">
        <v>193</v>
      </c>
      <c r="RX260" s="1504">
        <v>42370</v>
      </c>
      <c r="RY260" s="29"/>
      <c r="RZ260" s="734"/>
      <c r="SA260" s="29"/>
      <c r="SB260" s="29">
        <v>193</v>
      </c>
    </row>
    <row r="261" spans="1:496">
      <c r="A261" s="41">
        <f t="shared" ref="A261:A351" si="238">YEAR(B261)</f>
        <v>2016</v>
      </c>
      <c r="B261" s="1504">
        <v>42401</v>
      </c>
      <c r="C261" s="1813">
        <v>2314</v>
      </c>
      <c r="D261" s="1814">
        <v>23989</v>
      </c>
      <c r="E261" s="1814">
        <v>113</v>
      </c>
      <c r="F261" s="1815">
        <v>685</v>
      </c>
      <c r="G261" s="1814">
        <v>81461</v>
      </c>
      <c r="H261" s="1814">
        <v>41</v>
      </c>
      <c r="I261" s="1814">
        <v>30977</v>
      </c>
      <c r="J261" s="1816">
        <v>16692</v>
      </c>
      <c r="K261" s="1807">
        <v>156272</v>
      </c>
      <c r="L261" s="25">
        <v>194</v>
      </c>
      <c r="M261" s="97"/>
      <c r="N261" s="1504">
        <v>42401</v>
      </c>
      <c r="O261" s="19">
        <v>661</v>
      </c>
      <c r="P261" s="93">
        <v>543</v>
      </c>
      <c r="Q261" s="93">
        <v>2881</v>
      </c>
      <c r="R261" s="93">
        <v>2210</v>
      </c>
      <c r="S261" s="93">
        <v>1639</v>
      </c>
      <c r="T261" s="93">
        <v>627</v>
      </c>
      <c r="U261" s="93">
        <v>315</v>
      </c>
      <c r="V261" s="93">
        <v>1438</v>
      </c>
      <c r="W261" s="93">
        <v>4499</v>
      </c>
      <c r="X261" s="93">
        <v>763</v>
      </c>
      <c r="Y261" s="93">
        <v>272</v>
      </c>
      <c r="Z261" s="93">
        <v>1161</v>
      </c>
      <c r="AA261" s="93">
        <v>565</v>
      </c>
      <c r="AB261" s="132">
        <v>17574</v>
      </c>
      <c r="AC261" s="25">
        <v>194</v>
      </c>
      <c r="AD261" s="97"/>
      <c r="AE261" s="1504">
        <v>42401</v>
      </c>
      <c r="AF261" s="19">
        <v>2041</v>
      </c>
      <c r="AG261" s="93">
        <v>806</v>
      </c>
      <c r="AH261" s="93">
        <v>1490</v>
      </c>
      <c r="AI261" s="93">
        <v>2092</v>
      </c>
      <c r="AJ261" s="93">
        <v>2754</v>
      </c>
      <c r="AK261" s="93">
        <v>1843</v>
      </c>
      <c r="AL261" s="93">
        <v>666</v>
      </c>
      <c r="AM261" s="93">
        <v>1839</v>
      </c>
      <c r="AN261" s="93">
        <v>6466</v>
      </c>
      <c r="AO261" s="93">
        <v>1811</v>
      </c>
      <c r="AP261" s="93">
        <v>743</v>
      </c>
      <c r="AQ261" s="93">
        <v>1818</v>
      </c>
      <c r="AR261" s="93">
        <v>650</v>
      </c>
      <c r="AS261" s="20">
        <v>25019</v>
      </c>
      <c r="AT261" s="25">
        <v>194</v>
      </c>
      <c r="AU261" s="97"/>
      <c r="AV261" s="1504">
        <v>42401</v>
      </c>
      <c r="AW261" s="19">
        <v>7913</v>
      </c>
      <c r="AX261" s="93">
        <v>2725</v>
      </c>
      <c r="AY261" s="93">
        <v>2982</v>
      </c>
      <c r="AZ261" s="93">
        <v>9342</v>
      </c>
      <c r="BA261" s="93">
        <v>8489</v>
      </c>
      <c r="BB261" s="93">
        <v>6011</v>
      </c>
      <c r="BC261" s="93">
        <v>2933</v>
      </c>
      <c r="BD261" s="93">
        <v>8280</v>
      </c>
      <c r="BE261" s="93">
        <v>11223</v>
      </c>
      <c r="BF261" s="93">
        <v>5895</v>
      </c>
      <c r="BG261" s="93">
        <v>3219</v>
      </c>
      <c r="BH261" s="93">
        <v>9636</v>
      </c>
      <c r="BI261" s="93">
        <v>3251</v>
      </c>
      <c r="BJ261" s="20">
        <v>81899</v>
      </c>
      <c r="BK261" s="25">
        <v>194</v>
      </c>
      <c r="BL261" s="97"/>
      <c r="BM261" s="1504">
        <v>42401</v>
      </c>
      <c r="BN261" s="19">
        <v>136.374</v>
      </c>
      <c r="BO261" s="93">
        <v>1963.1490000000001</v>
      </c>
      <c r="BP261" s="93">
        <v>9.4080000000000013</v>
      </c>
      <c r="BQ261" s="93">
        <v>637.63999999999987</v>
      </c>
      <c r="BR261" s="93">
        <v>4.4369999999999994</v>
      </c>
      <c r="BS261" s="93">
        <v>221.78700000000003</v>
      </c>
      <c r="BT261" s="93">
        <v>378.88799999999998</v>
      </c>
      <c r="BU261" s="132">
        <v>3351.683</v>
      </c>
      <c r="BV261" s="25">
        <v>194</v>
      </c>
      <c r="BW261" s="97"/>
      <c r="BX261" s="1504">
        <v>42401</v>
      </c>
      <c r="BY261" s="179">
        <v>591.32516001081763</v>
      </c>
      <c r="BZ261" s="99">
        <v>664.95699999999999</v>
      </c>
      <c r="CA261" s="99">
        <v>595.35033581412233</v>
      </c>
      <c r="CB261" s="99">
        <v>37.486041820249504</v>
      </c>
      <c r="CC261" s="99">
        <v>149.47606206896552</v>
      </c>
      <c r="CD261" s="25">
        <v>194</v>
      </c>
      <c r="CE261" s="97"/>
      <c r="CF261" s="1504">
        <v>42401</v>
      </c>
      <c r="CG261" s="1508">
        <v>1.4676155340000001</v>
      </c>
      <c r="CH261" s="568">
        <v>1199.5</v>
      </c>
      <c r="CI261" s="1708">
        <v>31.03</v>
      </c>
      <c r="CJ261" s="1509">
        <v>33.200000000000003</v>
      </c>
      <c r="CK261" s="1508">
        <v>377.38</v>
      </c>
      <c r="CL261" s="568">
        <v>159.67660799999999</v>
      </c>
      <c r="CM261" s="568">
        <v>0.292773536</v>
      </c>
      <c r="CN261" s="568">
        <v>0.36241628799999998</v>
      </c>
      <c r="CO261" s="568">
        <v>187.02528029999999</v>
      </c>
      <c r="CP261" s="1509">
        <v>3.8630453949999999</v>
      </c>
      <c r="CQ261" s="1708">
        <v>1317.26</v>
      </c>
      <c r="CR261" s="568">
        <v>2.48</v>
      </c>
      <c r="CS261" s="568">
        <v>1.2696000000000001</v>
      </c>
      <c r="CT261" s="568">
        <v>114.5</v>
      </c>
      <c r="CU261" s="568">
        <v>46.83</v>
      </c>
      <c r="CV261" s="1709">
        <v>1709.85</v>
      </c>
      <c r="CW261" s="29">
        <v>194</v>
      </c>
      <c r="CX261" s="41">
        <f t="shared" ref="CX261:CX324" si="239">YEAR(CY261)</f>
        <v>2016</v>
      </c>
      <c r="CY261" s="1504">
        <v>42401</v>
      </c>
      <c r="CZ261" s="1916">
        <v>92.847638396209348</v>
      </c>
      <c r="DA261" s="1526">
        <v>52.832315396209346</v>
      </c>
      <c r="DB261" s="1526">
        <v>40.015323000000002</v>
      </c>
      <c r="DC261" s="182">
        <f t="shared" si="235"/>
        <v>585634</v>
      </c>
      <c r="DD261" s="182">
        <f t="shared" si="236"/>
        <v>583970</v>
      </c>
      <c r="DE261" s="182">
        <f t="shared" si="237"/>
        <v>1664</v>
      </c>
      <c r="DF261" s="29">
        <v>194</v>
      </c>
      <c r="DG261" s="1504">
        <v>42401</v>
      </c>
      <c r="DH261" s="181">
        <v>336238</v>
      </c>
      <c r="DI261" s="182"/>
      <c r="DJ261" s="182"/>
      <c r="DK261" s="182"/>
      <c r="DL261" s="182"/>
      <c r="DM261" s="182"/>
      <c r="DN261" s="290"/>
      <c r="DO261" s="295"/>
      <c r="DP261" s="29">
        <v>194</v>
      </c>
      <c r="DQ261" s="1504">
        <v>42401</v>
      </c>
      <c r="DR261" s="19"/>
      <c r="DS261" s="93"/>
      <c r="DT261" s="93"/>
      <c r="DU261" s="93"/>
      <c r="DV261" s="93"/>
      <c r="DW261" s="93"/>
      <c r="DX261" s="1719"/>
      <c r="DY261" s="29">
        <v>194</v>
      </c>
      <c r="DZ261" s="1504">
        <v>42401</v>
      </c>
      <c r="EA261" s="19"/>
      <c r="EB261" s="93"/>
      <c r="EC261" s="20"/>
      <c r="ED261" s="29"/>
      <c r="EE261" s="1504">
        <v>42401</v>
      </c>
      <c r="EF261" s="179">
        <v>20426</v>
      </c>
      <c r="EG261" s="99">
        <v>20612</v>
      </c>
      <c r="EH261" s="99">
        <v>41038</v>
      </c>
      <c r="EI261" s="221">
        <v>4880</v>
      </c>
      <c r="EJ261" s="99">
        <v>525.30200000000002</v>
      </c>
      <c r="EK261" s="99">
        <v>329.54</v>
      </c>
      <c r="EL261" s="99">
        <v>6.8140000000000001</v>
      </c>
      <c r="EM261" s="99">
        <v>10.404999999999999</v>
      </c>
      <c r="EN261" s="132">
        <v>872.06100000000004</v>
      </c>
      <c r="EO261" s="29">
        <v>194</v>
      </c>
      <c r="EP261" s="1504">
        <v>42401</v>
      </c>
      <c r="EQ261" s="19">
        <v>19197</v>
      </c>
      <c r="ER261" s="93">
        <v>19252</v>
      </c>
      <c r="ES261" s="93">
        <v>38449</v>
      </c>
      <c r="ET261" s="214">
        <v>4469</v>
      </c>
      <c r="EU261" s="93">
        <v>525.30200000000002</v>
      </c>
      <c r="EV261" s="93">
        <v>329.54</v>
      </c>
      <c r="EW261" s="93">
        <v>6.8120000000000003</v>
      </c>
      <c r="EX261" s="93">
        <v>10.404999999999999</v>
      </c>
      <c r="EY261" s="20">
        <v>872.05900000000008</v>
      </c>
      <c r="EZ261" s="29">
        <v>194</v>
      </c>
      <c r="FA261" s="1504">
        <v>42401</v>
      </c>
      <c r="FB261" s="29"/>
      <c r="FC261" s="29"/>
      <c r="FD261" s="29"/>
      <c r="FE261" s="29"/>
      <c r="FF261" s="29"/>
      <c r="FG261" s="29"/>
      <c r="FH261" s="29"/>
      <c r="FI261" s="29"/>
      <c r="FJ261" s="29"/>
      <c r="FK261" s="29">
        <v>194</v>
      </c>
      <c r="FL261" s="1504">
        <v>42401</v>
      </c>
      <c r="FM261" s="19">
        <v>100.55</v>
      </c>
      <c r="FN261" s="93">
        <v>101.28</v>
      </c>
      <c r="FO261" s="93">
        <v>98.48</v>
      </c>
      <c r="FP261" s="93">
        <v>99.3</v>
      </c>
      <c r="FQ261" s="93">
        <v>99.84</v>
      </c>
      <c r="FR261" s="93">
        <v>100.5</v>
      </c>
      <c r="FS261" s="93">
        <v>100.1</v>
      </c>
      <c r="FT261" s="93">
        <v>98.01</v>
      </c>
      <c r="FU261" s="93">
        <v>100.55</v>
      </c>
      <c r="FV261" s="93">
        <v>104.48</v>
      </c>
      <c r="FW261" s="93">
        <v>101.4</v>
      </c>
      <c r="FX261" s="93">
        <v>100.51</v>
      </c>
      <c r="FY261" s="93">
        <v>101.09</v>
      </c>
      <c r="FZ261" s="29">
        <v>194</v>
      </c>
      <c r="GA261" s="1504">
        <v>42401</v>
      </c>
      <c r="GB261" s="19">
        <v>100.55</v>
      </c>
      <c r="GC261" s="93">
        <v>99.56</v>
      </c>
      <c r="GD261" s="93">
        <v>101.34</v>
      </c>
      <c r="GE261" s="93">
        <v>96.96</v>
      </c>
      <c r="GF261" s="93">
        <v>99.99</v>
      </c>
      <c r="GG261" s="99">
        <v>101.47</v>
      </c>
      <c r="GH261" s="93">
        <v>100.35</v>
      </c>
      <c r="GI261" s="93">
        <v>100.92</v>
      </c>
      <c r="GJ261" s="93">
        <v>101.09</v>
      </c>
      <c r="GK261" s="93">
        <v>99.9</v>
      </c>
      <c r="GL261" s="93">
        <v>100.68</v>
      </c>
      <c r="GM261" s="93">
        <v>99.97</v>
      </c>
      <c r="GN261" s="20">
        <v>101.09</v>
      </c>
      <c r="GO261" s="29">
        <v>194</v>
      </c>
      <c r="GP261" s="1504">
        <v>42401</v>
      </c>
      <c r="GQ261" s="181">
        <v>249.87152604506801</v>
      </c>
      <c r="GR261" s="182">
        <v>209.54422829746301</v>
      </c>
      <c r="GS261" s="182">
        <v>214.72242256061199</v>
      </c>
      <c r="GT261" s="182">
        <v>186.39097520030199</v>
      </c>
      <c r="GU261" s="182">
        <v>402.15553431265499</v>
      </c>
      <c r="GV261" s="290">
        <v>748.86134118287202</v>
      </c>
      <c r="GW261" s="181">
        <v>388.831548260707</v>
      </c>
      <c r="GX261" s="182">
        <v>457.22831506971397</v>
      </c>
      <c r="GY261" s="182">
        <v>233.75472893403801</v>
      </c>
      <c r="GZ261" s="182">
        <v>250.37069327738601</v>
      </c>
      <c r="HA261" s="182">
        <v>135.83943553544</v>
      </c>
      <c r="HB261" s="290">
        <v>754.39725655637699</v>
      </c>
      <c r="HC261" s="181">
        <v>1823.07312080412</v>
      </c>
      <c r="HD261" s="182">
        <v>1976.93146277707</v>
      </c>
      <c r="HE261" s="182">
        <v>2032.4606597373299</v>
      </c>
      <c r="HF261" s="182">
        <v>3150</v>
      </c>
      <c r="HG261" s="182">
        <v>2395.9189737206498</v>
      </c>
      <c r="HH261" s="290">
        <v>2662.90924367752</v>
      </c>
      <c r="HI261" s="19"/>
      <c r="HJ261" s="182">
        <v>884.49422409411</v>
      </c>
      <c r="HK261" s="182">
        <v>1349.4040435110301</v>
      </c>
      <c r="HL261" s="182">
        <v>938.67012261321702</v>
      </c>
      <c r="HM261" s="182">
        <v>800</v>
      </c>
      <c r="HN261" s="290">
        <v>2588.1646324354801</v>
      </c>
      <c r="HO261" s="324">
        <v>127.496803524123</v>
      </c>
      <c r="HP261" s="290">
        <v>101.70266538174801</v>
      </c>
      <c r="HQ261" s="295">
        <v>148.899253594225</v>
      </c>
      <c r="HR261" s="29">
        <v>194</v>
      </c>
      <c r="HS261" s="1504">
        <v>42401</v>
      </c>
      <c r="HT261" s="179">
        <v>180.64674472808838</v>
      </c>
      <c r="HU261" s="99">
        <v>234.80902862548828</v>
      </c>
      <c r="HV261" s="99">
        <v>159.23565673828125</v>
      </c>
      <c r="HW261" s="99">
        <v>115.38462066650391</v>
      </c>
      <c r="HX261" s="99">
        <v>183.33332824707031</v>
      </c>
      <c r="HY261" s="99">
        <v>194.44444274902344</v>
      </c>
      <c r="HZ261" s="99">
        <v>193.96385192871094</v>
      </c>
      <c r="IA261" s="132">
        <v>174.83660888671875</v>
      </c>
      <c r="IB261" s="179">
        <v>205.32318496704102</v>
      </c>
      <c r="IC261" s="99">
        <v>119.34673309326172</v>
      </c>
      <c r="ID261" s="99">
        <v>154.76191202799478</v>
      </c>
      <c r="IE261" s="99">
        <v>129.03225708007813</v>
      </c>
      <c r="IF261" s="99">
        <v>186.66666564941406</v>
      </c>
      <c r="IG261" s="132">
        <v>130.55555419921876</v>
      </c>
      <c r="IH261" s="179">
        <v>122.16519546508789</v>
      </c>
      <c r="II261" s="99">
        <v>209.27106094360352</v>
      </c>
      <c r="IJ261" s="99">
        <v>165.25423049926758</v>
      </c>
      <c r="IK261" s="99">
        <v>153.42961120605469</v>
      </c>
      <c r="IL261" s="99">
        <v>138.88888549804688</v>
      </c>
      <c r="IM261" s="99">
        <v>156.86274719238281</v>
      </c>
      <c r="IN261" s="99">
        <v>159.01060485839844</v>
      </c>
      <c r="IO261" s="132">
        <v>155.11586952209473</v>
      </c>
      <c r="IP261" s="29">
        <v>194</v>
      </c>
      <c r="IQ261" s="179">
        <v>160.78431701660156</v>
      </c>
      <c r="IR261" s="99">
        <v>79.671716690063477</v>
      </c>
      <c r="IS261" s="99">
        <v>140.42145284016928</v>
      </c>
      <c r="IT261" s="99">
        <v>128.47897033691407</v>
      </c>
      <c r="IU261" s="99">
        <v>170.3125</v>
      </c>
      <c r="IV261" s="132">
        <v>105.88235168457031</v>
      </c>
      <c r="IW261" s="29">
        <v>194</v>
      </c>
      <c r="IX261" s="179">
        <v>345.80645141601565</v>
      </c>
      <c r="IY261" s="99">
        <v>397.56945037841797</v>
      </c>
      <c r="IZ261" s="99">
        <v>432</v>
      </c>
      <c r="JA261" s="99">
        <v>375</v>
      </c>
      <c r="JB261" s="99">
        <v>375</v>
      </c>
      <c r="JC261" s="99">
        <v>400</v>
      </c>
      <c r="JD261" s="99">
        <v>340</v>
      </c>
      <c r="JE261" s="132">
        <v>400</v>
      </c>
      <c r="JF261" s="29">
        <v>194</v>
      </c>
      <c r="JG261" s="179">
        <v>154.78723907470703</v>
      </c>
      <c r="JH261" s="99">
        <v>194.73617553710938</v>
      </c>
      <c r="JI261" s="99">
        <v>160.77171325683594</v>
      </c>
      <c r="JJ261" s="99">
        <v>137.5</v>
      </c>
      <c r="JK261" s="99">
        <v>151.51515197753906</v>
      </c>
      <c r="JL261" s="99">
        <v>157.43573760986328</v>
      </c>
      <c r="JM261" s="99">
        <v>167.75599670410156</v>
      </c>
      <c r="JN261" s="132">
        <v>186.4205436706543</v>
      </c>
      <c r="JO261" s="29">
        <v>194</v>
      </c>
      <c r="JP261" s="179">
        <v>185.1851806640625</v>
      </c>
      <c r="JQ261" s="99">
        <v>79.545455932617188</v>
      </c>
      <c r="JR261" s="99">
        <v>153.44827270507813</v>
      </c>
      <c r="JS261" s="100"/>
      <c r="JT261" s="99">
        <v>187.5</v>
      </c>
      <c r="JU261" s="132">
        <v>100.21857452392578</v>
      </c>
      <c r="JV261" s="29">
        <v>194</v>
      </c>
      <c r="JW261" s="1504">
        <v>42401</v>
      </c>
      <c r="JX261" s="179">
        <v>234.16666666666666</v>
      </c>
      <c r="JY261" s="99">
        <v>292.94871794871796</v>
      </c>
      <c r="JZ261" s="99">
        <v>287.09677419354841</v>
      </c>
      <c r="KA261" s="99">
        <v>267.77777777777777</v>
      </c>
      <c r="KB261" s="99">
        <v>265</v>
      </c>
      <c r="KC261" s="99">
        <v>236.61363636363637</v>
      </c>
      <c r="KD261" s="132">
        <v>311.780303030303</v>
      </c>
      <c r="KE261" s="29">
        <v>194</v>
      </c>
      <c r="KF261" s="179">
        <v>32.9</v>
      </c>
      <c r="KG261" s="99">
        <v>38.200000000000003</v>
      </c>
      <c r="KH261" s="99">
        <v>50.416666666666664</v>
      </c>
      <c r="KI261" s="99">
        <v>59.8125</v>
      </c>
      <c r="KJ261" s="99">
        <v>29.020833333333332</v>
      </c>
      <c r="KK261" s="132">
        <v>58.166666666666664</v>
      </c>
      <c r="KL261" s="29">
        <v>194</v>
      </c>
      <c r="KM261" s="179">
        <v>18.383333333333333</v>
      </c>
      <c r="KN261" s="99">
        <v>15.903846153846153</v>
      </c>
      <c r="KO261" s="99">
        <v>28.147058823529413</v>
      </c>
      <c r="KP261" s="99">
        <v>35.205882352941174</v>
      </c>
      <c r="KQ261" s="99">
        <v>19.760869565217391</v>
      </c>
      <c r="KR261" s="132">
        <v>26.765151515151516</v>
      </c>
      <c r="KS261" s="29">
        <v>194</v>
      </c>
      <c r="KT261" s="179">
        <v>22.770833333333332</v>
      </c>
      <c r="KU261" s="99">
        <v>24.179487179487179</v>
      </c>
      <c r="KV261" s="99">
        <v>24.041666666666668</v>
      </c>
      <c r="KW261" s="99">
        <v>26.354166666666668</v>
      </c>
      <c r="KX261" s="99">
        <v>15.046296296296296</v>
      </c>
      <c r="KY261" s="132">
        <v>22.643939393939394</v>
      </c>
      <c r="KZ261" s="29">
        <v>194</v>
      </c>
      <c r="LA261" s="1504">
        <v>42401</v>
      </c>
      <c r="LB261" s="19">
        <v>430</v>
      </c>
      <c r="LC261" s="93">
        <v>660</v>
      </c>
      <c r="LD261" s="93">
        <v>652</v>
      </c>
      <c r="LE261" s="93"/>
      <c r="LF261" s="93">
        <v>576</v>
      </c>
      <c r="LG261" s="93"/>
      <c r="LH261" s="20"/>
      <c r="LI261" s="29">
        <v>194</v>
      </c>
      <c r="LJ261" s="19"/>
      <c r="LK261" s="93"/>
      <c r="LL261" s="93"/>
      <c r="LM261" s="93"/>
      <c r="LN261" s="93"/>
      <c r="LO261" s="20"/>
      <c r="LP261" s="29">
        <v>194</v>
      </c>
      <c r="LQ261" s="19"/>
      <c r="LR261" s="93"/>
      <c r="LS261" s="93"/>
      <c r="LT261" s="93"/>
      <c r="LU261" s="93"/>
      <c r="LV261" s="93"/>
      <c r="LW261" s="93"/>
      <c r="LX261" s="93"/>
      <c r="LY261" s="93"/>
      <c r="LZ261" s="93"/>
      <c r="MA261" s="20"/>
      <c r="MB261" s="29">
        <v>194</v>
      </c>
      <c r="MC261" s="1504">
        <v>42401</v>
      </c>
      <c r="MD261" s="19">
        <v>196.78686359634199</v>
      </c>
      <c r="ME261" s="93">
        <v>183.37360980100004</v>
      </c>
      <c r="MF261" s="93">
        <v>183.34343680100002</v>
      </c>
      <c r="MG261" s="93">
        <v>169.00066944700004</v>
      </c>
      <c r="MH261" s="93">
        <v>44.885296166000003</v>
      </c>
      <c r="MI261" s="93">
        <v>1.5366261949999998</v>
      </c>
      <c r="MJ261" s="93">
        <v>1.1051564959999998</v>
      </c>
      <c r="MK261" s="93">
        <v>95.804594809000022</v>
      </c>
      <c r="ML261" s="93">
        <v>24.272404904999998</v>
      </c>
      <c r="MM261" s="93">
        <v>1.3965908760000003</v>
      </c>
      <c r="MN261" s="93">
        <v>14.342767353999998</v>
      </c>
      <c r="MO261" s="93">
        <v>0.87080049599999998</v>
      </c>
      <c r="MP261" s="93">
        <v>4.6185843980000003</v>
      </c>
      <c r="MQ261" s="93">
        <v>0.440866223</v>
      </c>
      <c r="MR261" s="93">
        <v>5.1025495999999997E-2</v>
      </c>
      <c r="MS261" s="93">
        <v>8.361490740999999</v>
      </c>
      <c r="MT261" s="93">
        <v>3.0172999999999998E-2</v>
      </c>
      <c r="MU261" s="93">
        <v>13.41325379534192</v>
      </c>
      <c r="MV261" s="93">
        <v>13.41325379534192</v>
      </c>
      <c r="MW261" s="93">
        <v>0</v>
      </c>
      <c r="MX261" s="93">
        <v>136.58343317812404</v>
      </c>
      <c r="MY261" s="93">
        <v>136.63372906212405</v>
      </c>
      <c r="MZ261" s="93">
        <v>108.90326661900001</v>
      </c>
      <c r="NA261" s="93">
        <v>84.529182520999996</v>
      </c>
      <c r="NB261" s="93">
        <v>5.2052206179999994</v>
      </c>
      <c r="NC261" s="93">
        <v>0.8318025309999999</v>
      </c>
      <c r="ND261" s="93">
        <v>1.6245032999999999E-2</v>
      </c>
      <c r="NE261" s="93">
        <v>0.81555749799999999</v>
      </c>
      <c r="NF261" s="93">
        <v>18.337060949000001</v>
      </c>
      <c r="NG261" s="93">
        <v>1.12566374</v>
      </c>
      <c r="NH261" s="93">
        <v>5.0027723340000003</v>
      </c>
      <c r="NI261" s="93">
        <v>0</v>
      </c>
      <c r="NJ261" s="93">
        <v>0</v>
      </c>
      <c r="NK261" s="93">
        <v>27.73046244312404</v>
      </c>
      <c r="NL261" s="93">
        <v>1.9310876569999997</v>
      </c>
      <c r="NM261" s="93">
        <v>0</v>
      </c>
      <c r="NN261" s="93">
        <v>25.799374786124037</v>
      </c>
      <c r="NO261" s="93">
        <v>-5.0295884000003815E-2</v>
      </c>
      <c r="NP261" s="93">
        <v>60.203430418217913</v>
      </c>
      <c r="NQ261" s="93">
        <v>46.79017662287599</v>
      </c>
      <c r="NR261" s="93">
        <v>73.421353940000031</v>
      </c>
      <c r="NS261" s="93">
        <v>72.589551409000023</v>
      </c>
      <c r="NT261" s="93">
        <v>-30.119495901782052</v>
      </c>
      <c r="NU261" s="93">
        <v>-43.532749697123975</v>
      </c>
      <c r="NV261" s="93">
        <v>31.08340774978209</v>
      </c>
      <c r="NW261" s="93">
        <v>10.143669563782119</v>
      </c>
      <c r="NX261" s="93">
        <v>12.386120990782119</v>
      </c>
      <c r="NY261" s="93">
        <v>-2.2424514269999998</v>
      </c>
      <c r="NZ261" s="93">
        <v>0</v>
      </c>
      <c r="OA261" s="93">
        <v>20.939738185999971</v>
      </c>
      <c r="OB261" s="93">
        <v>6.7752232949999716</v>
      </c>
      <c r="OC261" s="93">
        <v>14.164514891</v>
      </c>
      <c r="OD261" s="20">
        <v>-0.96391184800003837</v>
      </c>
      <c r="OE261" s="29">
        <v>194</v>
      </c>
      <c r="OF261" s="1504">
        <v>42401</v>
      </c>
      <c r="OG261" s="19"/>
      <c r="OH261" s="93">
        <v>309.14316342400002</v>
      </c>
      <c r="OI261" s="93">
        <v>1124.5049835972397</v>
      </c>
      <c r="OJ261" s="93">
        <v>1.0612946089999999</v>
      </c>
      <c r="OK261" s="93">
        <v>957.36371206523972</v>
      </c>
      <c r="OL261" s="93">
        <v>166.07997692299998</v>
      </c>
      <c r="OM261" s="93">
        <v>1433.6481470212398</v>
      </c>
      <c r="ON261" s="93">
        <v>1088.1184500065954</v>
      </c>
      <c r="OO261" s="93">
        <v>2521.7665970278349</v>
      </c>
      <c r="OP261" s="93"/>
      <c r="OQ261" s="93">
        <v>742.83065835082766</v>
      </c>
      <c r="OR261" s="93">
        <v>-148.94028216000015</v>
      </c>
      <c r="OS261" s="93">
        <v>891.7709405108277</v>
      </c>
      <c r="OT261" s="93">
        <v>2052.2027244430074</v>
      </c>
      <c r="OU261" s="93">
        <v>34.539178912000025</v>
      </c>
      <c r="OV261" s="93">
        <v>-12.002821088000005</v>
      </c>
      <c r="OW261" s="93">
        <v>46.54200000000003</v>
      </c>
      <c r="OX261" s="93">
        <v>2017.6635455310075</v>
      </c>
      <c r="OY261" s="93">
        <v>4.2774180470000003</v>
      </c>
      <c r="OZ261" s="93">
        <v>2013.3861274840074</v>
      </c>
      <c r="PA261" s="93">
        <v>381.45406901299998</v>
      </c>
      <c r="PB261" s="93">
        <v>-108.18728324699993</v>
      </c>
      <c r="PC261" s="20">
        <v>2521.7665970278349</v>
      </c>
      <c r="PD261" s="29">
        <v>194</v>
      </c>
      <c r="PE261" s="19"/>
      <c r="PF261" s="93">
        <v>-148.94028216000015</v>
      </c>
      <c r="PG261" s="93">
        <v>626.65600985799995</v>
      </c>
      <c r="PH261" s="93">
        <v>775.5962920180001</v>
      </c>
      <c r="PI261" s="93">
        <v>676.83005084499996</v>
      </c>
      <c r="PJ261" s="93">
        <v>-5.0619434200000057</v>
      </c>
      <c r="PK261" s="93">
        <v>131.59054021400001</v>
      </c>
      <c r="PL261" s="93">
        <v>136.65248363400002</v>
      </c>
      <c r="PM261" s="93">
        <v>4.2774180470000003</v>
      </c>
      <c r="PN261" s="93">
        <v>0.6</v>
      </c>
      <c r="PO261" s="93">
        <v>0</v>
      </c>
      <c r="PP261" s="93">
        <v>4.1014699999999997E-4</v>
      </c>
      <c r="PQ261" s="93">
        <v>3.6770079</v>
      </c>
      <c r="PR261" s="93">
        <v>522.66725241199993</v>
      </c>
      <c r="PS261" s="93">
        <v>367.51304109199998</v>
      </c>
      <c r="PT261" s="93">
        <v>153.826822634</v>
      </c>
      <c r="PU261" s="93">
        <v>1.3273886859999999</v>
      </c>
      <c r="PV261" s="93">
        <v>0</v>
      </c>
      <c r="PW261" s="93">
        <v>0.55084027099999999</v>
      </c>
      <c r="PX261" s="93">
        <v>0</v>
      </c>
      <c r="PY261" s="93">
        <v>0</v>
      </c>
      <c r="PZ261" s="93">
        <v>0.55084027099999999</v>
      </c>
      <c r="QA261" s="93">
        <v>0</v>
      </c>
      <c r="QB261" s="93">
        <v>0</v>
      </c>
      <c r="QC261" s="93">
        <v>0</v>
      </c>
      <c r="QD261" s="93">
        <v>1.9832287419999999</v>
      </c>
      <c r="QE261" s="20">
        <v>1.9039218869999714</v>
      </c>
      <c r="QF261" s="1739">
        <v>194</v>
      </c>
      <c r="QG261" s="19"/>
      <c r="QH261" s="1035">
        <v>891.7709405108277</v>
      </c>
      <c r="QI261" s="1035">
        <v>1180.6098725159925</v>
      </c>
      <c r="QJ261" s="1035">
        <v>-288.83893200516479</v>
      </c>
      <c r="QK261" s="1035">
        <v>192.935</v>
      </c>
      <c r="QL261" s="1035">
        <v>51.429000000000002</v>
      </c>
      <c r="QM261" s="1035">
        <v>141.506</v>
      </c>
      <c r="QN261" s="1035">
        <v>0</v>
      </c>
      <c r="QO261" s="1035">
        <v>46.54200000000003</v>
      </c>
      <c r="QP261" s="1035">
        <v>310.71600000000001</v>
      </c>
      <c r="QQ261" s="1035">
        <v>-264.17399999999998</v>
      </c>
      <c r="QR261" s="1035">
        <v>2013.3861274840074</v>
      </c>
      <c r="QS261" s="1035">
        <v>19.089909503054887</v>
      </c>
      <c r="QT261" s="1035">
        <v>0</v>
      </c>
      <c r="QU261" s="1035">
        <v>226.84800000000001</v>
      </c>
      <c r="QV261" s="1035">
        <v>1767.4482179809524</v>
      </c>
      <c r="QW261" s="93"/>
      <c r="QX261" s="93">
        <v>672.22900000000004</v>
      </c>
      <c r="QY261" s="93">
        <v>957.36371206523972</v>
      </c>
      <c r="QZ261" s="93">
        <v>1087.8523559295954</v>
      </c>
      <c r="RA261" s="93">
        <v>0</v>
      </c>
      <c r="RB261" s="93">
        <v>53.445</v>
      </c>
      <c r="RC261" s="93">
        <v>3.1859999999999999</v>
      </c>
      <c r="RD261" s="93">
        <v>15.017000000000001</v>
      </c>
      <c r="RE261" s="93">
        <v>0</v>
      </c>
      <c r="RF261" s="93">
        <v>0</v>
      </c>
      <c r="RG261" s="93">
        <v>307.27199999999999</v>
      </c>
      <c r="RH261" s="93">
        <v>48.268999999999977</v>
      </c>
      <c r="RI261" s="93"/>
      <c r="RJ261" s="93"/>
      <c r="RK261" s="93"/>
      <c r="RL261" s="93"/>
      <c r="RM261" s="734"/>
      <c r="RN261" s="29">
        <v>194</v>
      </c>
      <c r="RO261" s="19">
        <v>75</v>
      </c>
      <c r="RP261" s="20"/>
      <c r="RQ261" s="29">
        <v>194</v>
      </c>
      <c r="RR261" s="734">
        <v>2.5214145800000001</v>
      </c>
      <c r="RS261" s="29">
        <v>194</v>
      </c>
      <c r="RT261" s="1504">
        <v>42401</v>
      </c>
      <c r="RU261" s="19">
        <v>1148</v>
      </c>
      <c r="RV261" s="20">
        <v>21</v>
      </c>
      <c r="RW261" s="29">
        <v>194</v>
      </c>
      <c r="RX261" s="1504">
        <v>42401</v>
      </c>
      <c r="RY261" s="29"/>
      <c r="RZ261" s="734"/>
      <c r="SA261" s="29"/>
      <c r="SB261" s="29">
        <v>194</v>
      </c>
    </row>
    <row r="262" spans="1:496">
      <c r="A262" s="41">
        <f t="shared" si="238"/>
        <v>2016</v>
      </c>
      <c r="B262" s="1504">
        <v>42430</v>
      </c>
      <c r="C262" s="1813">
        <v>2459</v>
      </c>
      <c r="D262" s="1814">
        <v>25633</v>
      </c>
      <c r="E262" s="1814">
        <v>111</v>
      </c>
      <c r="F262" s="1815">
        <v>575</v>
      </c>
      <c r="G262" s="1814">
        <v>78713</v>
      </c>
      <c r="H262" s="1814">
        <v>36</v>
      </c>
      <c r="I262" s="1814">
        <v>32071</v>
      </c>
      <c r="J262" s="1816">
        <v>16170</v>
      </c>
      <c r="K262" s="1807">
        <v>155768</v>
      </c>
      <c r="L262" s="25">
        <v>195</v>
      </c>
      <c r="M262" s="97"/>
      <c r="N262" s="1504">
        <v>42430</v>
      </c>
      <c r="O262" s="19">
        <v>673</v>
      </c>
      <c r="P262" s="93">
        <v>697</v>
      </c>
      <c r="Q262" s="93">
        <v>2881</v>
      </c>
      <c r="R262" s="93">
        <v>2020</v>
      </c>
      <c r="S262" s="93">
        <v>2515</v>
      </c>
      <c r="T262" s="93">
        <v>538</v>
      </c>
      <c r="U262" s="93">
        <v>225</v>
      </c>
      <c r="V262" s="93">
        <v>1318</v>
      </c>
      <c r="W262" s="93">
        <v>3739</v>
      </c>
      <c r="X262" s="93">
        <v>786</v>
      </c>
      <c r="Y262" s="93">
        <v>219</v>
      </c>
      <c r="Z262" s="93">
        <v>1178</v>
      </c>
      <c r="AA262" s="93">
        <v>584</v>
      </c>
      <c r="AB262" s="132">
        <v>17373</v>
      </c>
      <c r="AC262" s="25">
        <v>195</v>
      </c>
      <c r="AD262" s="97"/>
      <c r="AE262" s="1504">
        <v>42430</v>
      </c>
      <c r="AF262" s="19">
        <v>1820</v>
      </c>
      <c r="AG262" s="93">
        <v>1007</v>
      </c>
      <c r="AH262" s="93">
        <v>1974</v>
      </c>
      <c r="AI262" s="93">
        <v>2262</v>
      </c>
      <c r="AJ262" s="93">
        <v>2265</v>
      </c>
      <c r="AK262" s="93">
        <v>1546</v>
      </c>
      <c r="AL262" s="93">
        <v>647</v>
      </c>
      <c r="AM262" s="93">
        <v>1808</v>
      </c>
      <c r="AN262" s="93">
        <v>5330</v>
      </c>
      <c r="AO262" s="93">
        <v>1894</v>
      </c>
      <c r="AP262" s="93">
        <v>1240</v>
      </c>
      <c r="AQ262" s="93">
        <v>2332</v>
      </c>
      <c r="AR262" s="93">
        <v>518</v>
      </c>
      <c r="AS262" s="20">
        <v>24643</v>
      </c>
      <c r="AT262" s="25">
        <v>195</v>
      </c>
      <c r="AU262" s="97"/>
      <c r="AV262" s="1504">
        <v>42430</v>
      </c>
      <c r="AW262" s="19">
        <v>8077</v>
      </c>
      <c r="AX262" s="93">
        <v>2573</v>
      </c>
      <c r="AY262" s="93">
        <v>3193</v>
      </c>
      <c r="AZ262" s="93">
        <v>9191</v>
      </c>
      <c r="BA262" s="93">
        <v>8346</v>
      </c>
      <c r="BB262" s="93">
        <v>5374</v>
      </c>
      <c r="BC262" s="93">
        <v>2922</v>
      </c>
      <c r="BD262" s="93">
        <v>8646</v>
      </c>
      <c r="BE262" s="93">
        <v>9769</v>
      </c>
      <c r="BF262" s="93">
        <v>5485</v>
      </c>
      <c r="BG262" s="93">
        <v>2972</v>
      </c>
      <c r="BH262" s="93">
        <v>9724</v>
      </c>
      <c r="BI262" s="93">
        <v>3433</v>
      </c>
      <c r="BJ262" s="20">
        <v>79705</v>
      </c>
      <c r="BK262" s="25">
        <v>195</v>
      </c>
      <c r="BL262" s="97"/>
      <c r="BM262" s="1504">
        <v>42430</v>
      </c>
      <c r="BN262" s="19">
        <v>144.17700000000002</v>
      </c>
      <c r="BO262" s="93">
        <v>2389.7239999999997</v>
      </c>
      <c r="BP262" s="93">
        <v>6.1440000000000001</v>
      </c>
      <c r="BQ262" s="93">
        <v>823.04800000000023</v>
      </c>
      <c r="BR262" s="93">
        <v>5.0489999999999995</v>
      </c>
      <c r="BS262" s="93">
        <v>260.58600000000007</v>
      </c>
      <c r="BT262" s="93">
        <v>496.94400000000002</v>
      </c>
      <c r="BU262" s="132">
        <v>4125.6720000000005</v>
      </c>
      <c r="BV262" s="25">
        <v>195</v>
      </c>
      <c r="BW262" s="97"/>
      <c r="BX262" s="1504">
        <v>42430</v>
      </c>
      <c r="BY262" s="179">
        <v>590.95225225225215</v>
      </c>
      <c r="BZ262" s="99">
        <v>664.95699999999999</v>
      </c>
      <c r="CA262" s="99">
        <v>600.69322344322336</v>
      </c>
      <c r="CB262" s="99">
        <v>38.310322271670699</v>
      </c>
      <c r="CC262" s="99">
        <v>157.87902580645158</v>
      </c>
      <c r="CD262" s="25">
        <v>195</v>
      </c>
      <c r="CE262" s="97"/>
      <c r="CF262" s="1504">
        <v>42430</v>
      </c>
      <c r="CG262" s="1508">
        <v>1.443144252</v>
      </c>
      <c r="CH262" s="568">
        <v>1245.1400000000001</v>
      </c>
      <c r="CI262" s="1708">
        <v>37.340000000000003</v>
      </c>
      <c r="CJ262" s="1509">
        <v>39.07</v>
      </c>
      <c r="CK262" s="1508">
        <v>374.9</v>
      </c>
      <c r="CL262" s="568">
        <v>159.13726639999999</v>
      </c>
      <c r="CM262" s="568">
        <v>0.340393328</v>
      </c>
      <c r="CN262" s="568">
        <v>0.36284081600000001</v>
      </c>
      <c r="CO262" s="568">
        <v>191.06708399999999</v>
      </c>
      <c r="CP262" s="1509">
        <v>4.0334625209999997</v>
      </c>
      <c r="CQ262" s="1708">
        <v>1300.73</v>
      </c>
      <c r="CR262" s="568">
        <v>2.3025000000000002</v>
      </c>
      <c r="CS262" s="568">
        <v>1.4562999999999999</v>
      </c>
      <c r="CT262" s="568">
        <v>114.5</v>
      </c>
      <c r="CU262" s="568">
        <v>56.2</v>
      </c>
      <c r="CV262" s="1709">
        <v>1801.69</v>
      </c>
      <c r="CW262" s="29">
        <v>195</v>
      </c>
      <c r="CX262" s="41">
        <f t="shared" si="239"/>
        <v>2016</v>
      </c>
      <c r="CY262" s="1504">
        <v>42430</v>
      </c>
      <c r="CZ262" s="1916">
        <v>104.16013717855886</v>
      </c>
      <c r="DA262" s="1526">
        <v>61.777933178558854</v>
      </c>
      <c r="DB262" s="1526">
        <v>42.382204000000002</v>
      </c>
      <c r="DC262" s="182">
        <f t="shared" si="235"/>
        <v>585634</v>
      </c>
      <c r="DD262" s="182">
        <f t="shared" si="236"/>
        <v>583970</v>
      </c>
      <c r="DE262" s="182">
        <f t="shared" si="237"/>
        <v>1664</v>
      </c>
      <c r="DF262" s="29">
        <v>195</v>
      </c>
      <c r="DG262" s="1504">
        <v>42430</v>
      </c>
      <c r="DH262" s="181">
        <v>338333</v>
      </c>
      <c r="DI262" s="182"/>
      <c r="DJ262" s="182"/>
      <c r="DK262" s="182"/>
      <c r="DL262" s="182"/>
      <c r="DM262" s="182"/>
      <c r="DN262" s="290"/>
      <c r="DO262" s="295"/>
      <c r="DP262" s="29">
        <v>195</v>
      </c>
      <c r="DQ262" s="1504">
        <v>42430</v>
      </c>
      <c r="DR262" s="19"/>
      <c r="DS262" s="93"/>
      <c r="DT262" s="93"/>
      <c r="DU262" s="93"/>
      <c r="DV262" s="93"/>
      <c r="DW262" s="93"/>
      <c r="DX262" s="1719"/>
      <c r="DY262" s="29">
        <v>195</v>
      </c>
      <c r="DZ262" s="1504">
        <v>42430</v>
      </c>
      <c r="EA262" s="19"/>
      <c r="EB262" s="93"/>
      <c r="EC262" s="20"/>
      <c r="ED262" s="29"/>
      <c r="EE262" s="1504">
        <v>42430</v>
      </c>
      <c r="EF262" s="179">
        <v>18859</v>
      </c>
      <c r="EG262" s="99">
        <v>22966</v>
      </c>
      <c r="EH262" s="99">
        <v>41825</v>
      </c>
      <c r="EI262" s="221">
        <v>5962</v>
      </c>
      <c r="EJ262" s="99">
        <v>564.99800000000005</v>
      </c>
      <c r="EK262" s="99">
        <v>291.08999999999997</v>
      </c>
      <c r="EL262" s="99">
        <v>14.856999999999999</v>
      </c>
      <c r="EM262" s="99">
        <v>3.1320000000000001</v>
      </c>
      <c r="EN262" s="132">
        <v>874.07699999999988</v>
      </c>
      <c r="EO262" s="29">
        <v>195</v>
      </c>
      <c r="EP262" s="1504">
        <v>42430</v>
      </c>
      <c r="EQ262" s="19">
        <v>17376</v>
      </c>
      <c r="ER262" s="93">
        <v>21456</v>
      </c>
      <c r="ES262" s="93">
        <v>38832</v>
      </c>
      <c r="ET262" s="214">
        <v>5444</v>
      </c>
      <c r="EU262" s="93">
        <v>564.99800000000005</v>
      </c>
      <c r="EV262" s="93">
        <v>291.08999999999997</v>
      </c>
      <c r="EW262" s="93">
        <v>14.856999999999999</v>
      </c>
      <c r="EX262" s="93">
        <v>3.1320000000000001</v>
      </c>
      <c r="EY262" s="20">
        <v>874.07699999999988</v>
      </c>
      <c r="EZ262" s="29">
        <v>195</v>
      </c>
      <c r="FA262" s="1504">
        <v>42430</v>
      </c>
      <c r="FB262" s="29"/>
      <c r="FC262" s="29"/>
      <c r="FD262" s="29"/>
      <c r="FE262" s="29"/>
      <c r="FF262" s="29"/>
      <c r="FG262" s="29"/>
      <c r="FH262" s="29"/>
      <c r="FI262" s="29"/>
      <c r="FJ262" s="29"/>
      <c r="FK262" s="29">
        <v>195</v>
      </c>
      <c r="FL262" s="1504">
        <v>42430</v>
      </c>
      <c r="FM262" s="19">
        <v>100.89</v>
      </c>
      <c r="FN262" s="93">
        <v>101.67</v>
      </c>
      <c r="FO262" s="93">
        <v>97.63</v>
      </c>
      <c r="FP262" s="93">
        <v>99.33</v>
      </c>
      <c r="FQ262" s="93">
        <v>104.13</v>
      </c>
      <c r="FR262" s="93">
        <v>100.51</v>
      </c>
      <c r="FS262" s="93">
        <v>100.07</v>
      </c>
      <c r="FT262" s="93">
        <v>98.03</v>
      </c>
      <c r="FU262" s="93">
        <v>99.43</v>
      </c>
      <c r="FV262" s="93">
        <v>104.51</v>
      </c>
      <c r="FW262" s="93">
        <v>101.4</v>
      </c>
      <c r="FX262" s="93">
        <v>99.76</v>
      </c>
      <c r="FY262" s="93">
        <v>101.16</v>
      </c>
      <c r="FZ262" s="29">
        <v>195</v>
      </c>
      <c r="GA262" s="1504">
        <v>42430</v>
      </c>
      <c r="GB262" s="19">
        <v>100.89</v>
      </c>
      <c r="GC262" s="93">
        <v>99.76</v>
      </c>
      <c r="GD262" s="93">
        <v>101.73</v>
      </c>
      <c r="GE262" s="93">
        <v>102.2</v>
      </c>
      <c r="GF262" s="93">
        <v>100.89</v>
      </c>
      <c r="GG262" s="99">
        <v>101.34</v>
      </c>
      <c r="GH262" s="93">
        <v>102.43</v>
      </c>
      <c r="GI262" s="93">
        <v>100.45</v>
      </c>
      <c r="GJ262" s="93">
        <v>100.96</v>
      </c>
      <c r="GK262" s="93">
        <v>99.86</v>
      </c>
      <c r="GL262" s="93">
        <v>101.31</v>
      </c>
      <c r="GM262" s="93">
        <v>100.03</v>
      </c>
      <c r="GN262" s="20">
        <v>100.96</v>
      </c>
      <c r="GO262" s="29">
        <v>195</v>
      </c>
      <c r="GP262" s="1504">
        <v>42430</v>
      </c>
      <c r="GQ262" s="181">
        <v>249.19990899240099</v>
      </c>
      <c r="GR262" s="182">
        <v>218.82638226743501</v>
      </c>
      <c r="GS262" s="182">
        <v>215.74793617882401</v>
      </c>
      <c r="GT262" s="182">
        <v>183.559899836119</v>
      </c>
      <c r="GU262" s="182">
        <v>396.35130953795402</v>
      </c>
      <c r="GV262" s="290">
        <v>815.896339786167</v>
      </c>
      <c r="GW262" s="181">
        <v>412.79931389127898</v>
      </c>
      <c r="GX262" s="182">
        <v>455.96546965492303</v>
      </c>
      <c r="GY262" s="182">
        <v>237.072607884886</v>
      </c>
      <c r="GZ262" s="182">
        <v>227.24331061581401</v>
      </c>
      <c r="HA262" s="182">
        <v>147.55490904739301</v>
      </c>
      <c r="HB262" s="290">
        <v>769.29169028531101</v>
      </c>
      <c r="HC262" s="181">
        <v>1943.42678092813</v>
      </c>
      <c r="HD262" s="182">
        <v>2271.5781253816699</v>
      </c>
      <c r="HE262" s="182">
        <v>2196.7356184970399</v>
      </c>
      <c r="HF262" s="182">
        <v>3150</v>
      </c>
      <c r="HG262" s="182">
        <v>2386.6551275751799</v>
      </c>
      <c r="HH262" s="290">
        <v>2650.1003867108898</v>
      </c>
      <c r="HI262" s="19"/>
      <c r="HJ262" s="182">
        <v>850.10608690216804</v>
      </c>
      <c r="HK262" s="182">
        <v>1357.8999332907999</v>
      </c>
      <c r="HL262" s="182">
        <v>877.53987580190199</v>
      </c>
      <c r="HM262" s="182">
        <v>800</v>
      </c>
      <c r="HN262" s="290">
        <v>2664.9100802746698</v>
      </c>
      <c r="HO262" s="324">
        <v>129.95032956085399</v>
      </c>
      <c r="HP262" s="290">
        <v>103.806742050548</v>
      </c>
      <c r="HQ262" s="295">
        <v>155.51044164907901</v>
      </c>
      <c r="HR262" s="29">
        <v>195</v>
      </c>
      <c r="HS262" s="1504">
        <v>42430</v>
      </c>
      <c r="HT262" s="179">
        <v>206.21349334716797</v>
      </c>
      <c r="HU262" s="99">
        <v>247.22222328186035</v>
      </c>
      <c r="HV262" s="99">
        <v>159.23565673828125</v>
      </c>
      <c r="HW262" s="99">
        <v>138.46154327392577</v>
      </c>
      <c r="HX262" s="99">
        <v>186.66666259765626</v>
      </c>
      <c r="HY262" s="99">
        <v>194.44444274902344</v>
      </c>
      <c r="HZ262" s="99">
        <v>195.83396911621094</v>
      </c>
      <c r="IA262" s="132">
        <v>181.69934997558593</v>
      </c>
      <c r="IB262" s="179">
        <v>217.99745178222656</v>
      </c>
      <c r="IC262" s="99">
        <v>125.62814331054688</v>
      </c>
      <c r="ID262" s="99">
        <v>178.57142639160156</v>
      </c>
      <c r="IE262" s="99">
        <v>137.09677886962891</v>
      </c>
      <c r="IF262" s="99">
        <v>197.91666793823242</v>
      </c>
      <c r="IG262" s="132">
        <v>135.51911926269531</v>
      </c>
      <c r="IH262" s="179">
        <v>135.63510227203369</v>
      </c>
      <c r="II262" s="99">
        <v>202.00361824035645</v>
      </c>
      <c r="IJ262" s="99">
        <v>169.49151611328125</v>
      </c>
      <c r="IK262" s="99">
        <v>158.84477233886719</v>
      </c>
      <c r="IL262" s="99">
        <v>142.55401039123535</v>
      </c>
      <c r="IM262" s="99">
        <v>169.60784606933595</v>
      </c>
      <c r="IN262" s="99">
        <v>159.01060485839844</v>
      </c>
      <c r="IO262" s="132">
        <v>153.91563034057617</v>
      </c>
      <c r="IP262" s="29">
        <v>195</v>
      </c>
      <c r="IQ262" s="179">
        <v>168.62745666503906</v>
      </c>
      <c r="IR262" s="99">
        <v>88.383834838867188</v>
      </c>
      <c r="IS262" s="99">
        <v>147.22222391764322</v>
      </c>
      <c r="IT262" s="99">
        <v>129.44984436035156</v>
      </c>
      <c r="IU262" s="99">
        <v>169.921875</v>
      </c>
      <c r="IV262" s="132">
        <v>116.47058486938477</v>
      </c>
      <c r="IW262" s="29">
        <v>195</v>
      </c>
      <c r="IX262" s="179">
        <v>406.25</v>
      </c>
      <c r="IY262" s="99">
        <v>412.84722900390625</v>
      </c>
      <c r="IZ262" s="99">
        <v>430</v>
      </c>
      <c r="JA262" s="99">
        <v>375</v>
      </c>
      <c r="JB262" s="99">
        <v>375</v>
      </c>
      <c r="JC262" s="99">
        <v>400</v>
      </c>
      <c r="JD262" s="99">
        <v>340</v>
      </c>
      <c r="JE262" s="132">
        <v>400</v>
      </c>
      <c r="JF262" s="29">
        <v>195</v>
      </c>
      <c r="JG262" s="179">
        <v>159.57447242736816</v>
      </c>
      <c r="JH262" s="99">
        <v>194.73617553710938</v>
      </c>
      <c r="JI262" s="99">
        <v>160.77171325683594</v>
      </c>
      <c r="JJ262" s="99">
        <v>147.5</v>
      </c>
      <c r="JK262" s="99">
        <v>158.24916076660156</v>
      </c>
      <c r="JL262" s="99">
        <v>157.43573760986328</v>
      </c>
      <c r="JM262" s="99">
        <v>176.87909317016602</v>
      </c>
      <c r="JN262" s="132">
        <v>193.70441436767578</v>
      </c>
      <c r="JO262" s="29">
        <v>195</v>
      </c>
      <c r="JP262" s="179">
        <v>203.39505513509116</v>
      </c>
      <c r="JQ262" s="99">
        <v>82.386363983154297</v>
      </c>
      <c r="JR262" s="99">
        <v>155.17240905761719</v>
      </c>
      <c r="JS262" s="100"/>
      <c r="JT262" s="99">
        <v>177.734375</v>
      </c>
      <c r="JU262" s="132">
        <v>111.36363792419434</v>
      </c>
      <c r="JV262" s="29">
        <v>195</v>
      </c>
      <c r="JW262" s="1504">
        <v>42430</v>
      </c>
      <c r="JX262" s="179">
        <v>234.58333333333334</v>
      </c>
      <c r="JY262" s="99">
        <v>289.28571428571428</v>
      </c>
      <c r="JZ262" s="99">
        <v>268.81944444444446</v>
      </c>
      <c r="KA262" s="99">
        <v>263.125</v>
      </c>
      <c r="KB262" s="99">
        <v>260.83333333333331</v>
      </c>
      <c r="KC262" s="99">
        <v>224.97916666666666</v>
      </c>
      <c r="KD262" s="132">
        <v>291.93333333333334</v>
      </c>
      <c r="KE262" s="29">
        <v>195</v>
      </c>
      <c r="KF262" s="179">
        <v>33.299999999999997</v>
      </c>
      <c r="KG262" s="99">
        <v>38.256756756756758</v>
      </c>
      <c r="KH262" s="99">
        <v>48.694444444444443</v>
      </c>
      <c r="KI262" s="99">
        <v>54.145833333333336</v>
      </c>
      <c r="KJ262" s="99">
        <v>26.854166666666668</v>
      </c>
      <c r="KK262" s="132">
        <v>57.487179487179489</v>
      </c>
      <c r="KL262" s="29">
        <v>195</v>
      </c>
      <c r="KM262" s="179">
        <v>17.277777777777779</v>
      </c>
      <c r="KN262" s="99">
        <v>15.565789473684211</v>
      </c>
      <c r="KO262" s="99">
        <v>27.3125</v>
      </c>
      <c r="KP262" s="99">
        <v>32.694444444444443</v>
      </c>
      <c r="KQ262" s="99">
        <v>18.191666666666666</v>
      </c>
      <c r="KR262" s="132">
        <v>26.128205128205128</v>
      </c>
      <c r="KS262" s="29">
        <v>195</v>
      </c>
      <c r="KT262" s="179">
        <v>23.416666666666668</v>
      </c>
      <c r="KU262" s="99">
        <v>23.05952380952381</v>
      </c>
      <c r="KV262" s="99">
        <v>22.833333333333332</v>
      </c>
      <c r="KW262" s="99">
        <v>22.444444444444443</v>
      </c>
      <c r="KX262" s="99">
        <v>14.011363636363637</v>
      </c>
      <c r="KY262" s="132">
        <v>22.253333333333334</v>
      </c>
      <c r="KZ262" s="29">
        <v>195</v>
      </c>
      <c r="LA262" s="1504">
        <v>42430</v>
      </c>
      <c r="LB262" s="19">
        <v>430</v>
      </c>
      <c r="LC262" s="93">
        <v>660</v>
      </c>
      <c r="LD262" s="93">
        <v>652</v>
      </c>
      <c r="LE262" s="93"/>
      <c r="LF262" s="93">
        <v>576</v>
      </c>
      <c r="LG262" s="93"/>
      <c r="LH262" s="20"/>
      <c r="LI262" s="29">
        <v>195</v>
      </c>
      <c r="LJ262" s="19"/>
      <c r="LK262" s="93"/>
      <c r="LL262" s="93"/>
      <c r="LM262" s="93"/>
      <c r="LN262" s="93"/>
      <c r="LO262" s="20"/>
      <c r="LP262" s="29">
        <v>195</v>
      </c>
      <c r="LQ262" s="19"/>
      <c r="LR262" s="93"/>
      <c r="LS262" s="93"/>
      <c r="LT262" s="93"/>
      <c r="LU262" s="93"/>
      <c r="LV262" s="93"/>
      <c r="LW262" s="93"/>
      <c r="LX262" s="93"/>
      <c r="LY262" s="93"/>
      <c r="LZ262" s="93"/>
      <c r="MA262" s="20"/>
      <c r="MB262" s="29">
        <v>195</v>
      </c>
      <c r="MC262" s="1504">
        <v>42430</v>
      </c>
      <c r="MD262" s="19">
        <v>287.33536042664588</v>
      </c>
      <c r="ME262" s="93">
        <v>271.54602670956194</v>
      </c>
      <c r="MF262" s="93">
        <v>271.51585370956195</v>
      </c>
      <c r="MG262" s="93">
        <v>249.20380185356194</v>
      </c>
      <c r="MH262" s="93">
        <v>58.560749663000003</v>
      </c>
      <c r="MI262" s="93">
        <v>2.2456010619999995</v>
      </c>
      <c r="MJ262" s="93">
        <v>2.138435191761904</v>
      </c>
      <c r="MK262" s="93">
        <v>147.48343554280001</v>
      </c>
      <c r="ML262" s="93">
        <v>36.667880294</v>
      </c>
      <c r="MM262" s="93">
        <v>2.1077001000000002</v>
      </c>
      <c r="MN262" s="93">
        <v>22.312051855999997</v>
      </c>
      <c r="MO262" s="93">
        <v>1.3462833289999998</v>
      </c>
      <c r="MP262" s="93">
        <v>6.8784816610000004</v>
      </c>
      <c r="MQ262" s="93">
        <v>0.64074221900000006</v>
      </c>
      <c r="MR262" s="93">
        <v>5.7525392999999994E-2</v>
      </c>
      <c r="MS262" s="93">
        <v>13.389019254000001</v>
      </c>
      <c r="MT262" s="93">
        <v>3.0172999999999998E-2</v>
      </c>
      <c r="MU262" s="93">
        <v>15.789333717083931</v>
      </c>
      <c r="MV262" s="93">
        <v>15.789333717083931</v>
      </c>
      <c r="MW262" s="93">
        <v>0</v>
      </c>
      <c r="MX262" s="93">
        <v>222.05386099936604</v>
      </c>
      <c r="MY262" s="93">
        <v>222.67592014636605</v>
      </c>
      <c r="MZ262" s="93">
        <v>178.57449047549997</v>
      </c>
      <c r="NA262" s="93">
        <v>125.622822617</v>
      </c>
      <c r="NB262" s="93">
        <v>7.463770351</v>
      </c>
      <c r="NC262" s="93">
        <v>4.0529130359999996</v>
      </c>
      <c r="ND262" s="93">
        <v>1.9553845400000001</v>
      </c>
      <c r="NE262" s="93">
        <v>2.0975284959999998</v>
      </c>
      <c r="NF262" s="93">
        <v>41.434984471499995</v>
      </c>
      <c r="NG262" s="93">
        <v>1.7588385325</v>
      </c>
      <c r="NH262" s="93">
        <v>9.0984958910000007</v>
      </c>
      <c r="NI262" s="93">
        <v>0</v>
      </c>
      <c r="NJ262" s="93">
        <v>0</v>
      </c>
      <c r="NK262" s="93">
        <v>44.101429670866047</v>
      </c>
      <c r="NL262" s="93">
        <v>8.7621961339999999</v>
      </c>
      <c r="NM262" s="93">
        <v>1.8626669669999998</v>
      </c>
      <c r="NN262" s="93">
        <v>33.476566569866044</v>
      </c>
      <c r="NO262" s="93">
        <v>-0.62205914700000442</v>
      </c>
      <c r="NP262" s="93">
        <v>65.281499427279797</v>
      </c>
      <c r="NQ262" s="93">
        <v>49.49216571019587</v>
      </c>
      <c r="NR262" s="93">
        <v>87.021645316061907</v>
      </c>
      <c r="NS262" s="93">
        <v>82.968732280061914</v>
      </c>
      <c r="NT262" s="93">
        <v>-37.372181749220189</v>
      </c>
      <c r="NU262" s="93">
        <v>-53.161515466304117</v>
      </c>
      <c r="NV262" s="93">
        <v>38.110851735782113</v>
      </c>
      <c r="NW262" s="93">
        <v>13.432701579782121</v>
      </c>
      <c r="NX262" s="93">
        <v>17.68723285278212</v>
      </c>
      <c r="NY262" s="93">
        <v>-4.2545312729999996</v>
      </c>
      <c r="NZ262" s="93">
        <v>0</v>
      </c>
      <c r="OA262" s="93">
        <v>24.678150155999994</v>
      </c>
      <c r="OB262" s="93">
        <v>13.224347826999992</v>
      </c>
      <c r="OC262" s="93">
        <v>11.453802329</v>
      </c>
      <c r="OD262" s="20">
        <v>-0.73866998656192329</v>
      </c>
      <c r="OE262" s="29">
        <v>195</v>
      </c>
      <c r="OF262" s="1504">
        <v>42430</v>
      </c>
      <c r="OG262" s="19"/>
      <c r="OH262" s="93">
        <v>323.85781388900006</v>
      </c>
      <c r="OI262" s="93">
        <v>1176.251222170431</v>
      </c>
      <c r="OJ262" s="93">
        <v>0.31157468999999999</v>
      </c>
      <c r="OK262" s="93">
        <v>1007.6974373394308</v>
      </c>
      <c r="OL262" s="93">
        <v>168.24221014099999</v>
      </c>
      <c r="OM262" s="93">
        <v>1500.109036059431</v>
      </c>
      <c r="ON262" s="93">
        <v>1105.7701335845816</v>
      </c>
      <c r="OO262" s="93">
        <v>2605.8791696440126</v>
      </c>
      <c r="OP262" s="93"/>
      <c r="OQ262" s="93">
        <v>823.58451706976825</v>
      </c>
      <c r="OR262" s="93">
        <v>-135.50939624600016</v>
      </c>
      <c r="OS262" s="93">
        <v>959.09391331576853</v>
      </c>
      <c r="OT262" s="93">
        <v>2033.6743651472434</v>
      </c>
      <c r="OU262" s="93">
        <v>35.218995739999997</v>
      </c>
      <c r="OV262" s="93">
        <v>-22.365004260000006</v>
      </c>
      <c r="OW262" s="93">
        <v>57.584000000000003</v>
      </c>
      <c r="OX262" s="93">
        <v>1998.4553694072433</v>
      </c>
      <c r="OY262" s="93">
        <v>3.543805876</v>
      </c>
      <c r="OZ262" s="93">
        <v>1994.9115635312435</v>
      </c>
      <c r="PA262" s="93">
        <v>379.99496468500001</v>
      </c>
      <c r="PB262" s="93">
        <v>-128.61525211199998</v>
      </c>
      <c r="PC262" s="20">
        <v>2605.8791696440117</v>
      </c>
      <c r="PD262" s="29">
        <v>195</v>
      </c>
      <c r="PE262" s="19"/>
      <c r="PF262" s="93">
        <v>-135.50939624600016</v>
      </c>
      <c r="PG262" s="93">
        <v>665.75329952799996</v>
      </c>
      <c r="PH262" s="93">
        <v>801.26269577400012</v>
      </c>
      <c r="PI262" s="93">
        <v>679.73005384500004</v>
      </c>
      <c r="PJ262" s="93">
        <v>-18.299996238000006</v>
      </c>
      <c r="PK262" s="93">
        <v>129.399907826</v>
      </c>
      <c r="PL262" s="93">
        <v>147.69990406400001</v>
      </c>
      <c r="PM262" s="93">
        <v>3.543805876</v>
      </c>
      <c r="PN262" s="93">
        <v>0</v>
      </c>
      <c r="PO262" s="93">
        <v>0</v>
      </c>
      <c r="PP262" s="93">
        <v>1.00733E-4</v>
      </c>
      <c r="PQ262" s="93">
        <v>3.5437051429999999</v>
      </c>
      <c r="PR262" s="93">
        <v>524.88540785099997</v>
      </c>
      <c r="PS262" s="93">
        <v>388.101821911</v>
      </c>
      <c r="PT262" s="93">
        <v>136.20591717299999</v>
      </c>
      <c r="PU262" s="93">
        <v>0.57766876700000003</v>
      </c>
      <c r="PV262" s="93">
        <v>0</v>
      </c>
      <c r="PW262" s="93">
        <v>0.22365547899999999</v>
      </c>
      <c r="PX262" s="93">
        <v>0</v>
      </c>
      <c r="PY262" s="93">
        <v>0</v>
      </c>
      <c r="PZ262" s="93">
        <v>0.22365547899999999</v>
      </c>
      <c r="QA262" s="93">
        <v>0</v>
      </c>
      <c r="QB262" s="93">
        <v>0</v>
      </c>
      <c r="QC262" s="93">
        <v>0</v>
      </c>
      <c r="QD262" s="93">
        <v>4.2393092059999997</v>
      </c>
      <c r="QE262" s="20">
        <v>0.11609470099999976</v>
      </c>
      <c r="QF262" s="1739">
        <v>195</v>
      </c>
      <c r="QG262" s="19"/>
      <c r="QH262" s="1035">
        <v>959.09391331576853</v>
      </c>
      <c r="QI262" s="1035">
        <v>1224.6824364687559</v>
      </c>
      <c r="QJ262" s="1035">
        <v>-265.58852315298736</v>
      </c>
      <c r="QK262" s="1035">
        <v>198.69899999999998</v>
      </c>
      <c r="QL262" s="1035">
        <v>60.179000000000002</v>
      </c>
      <c r="QM262" s="1035">
        <v>138.51999999999998</v>
      </c>
      <c r="QN262" s="1035">
        <v>0</v>
      </c>
      <c r="QO262" s="1035">
        <v>57.584000000000003</v>
      </c>
      <c r="QP262" s="1035">
        <v>317.56200000000001</v>
      </c>
      <c r="QQ262" s="1035">
        <v>-259.97800000000001</v>
      </c>
      <c r="QR262" s="1035">
        <v>1994.9115635312435</v>
      </c>
      <c r="QS262" s="1035">
        <v>19.123682414141911</v>
      </c>
      <c r="QT262" s="1035">
        <v>0</v>
      </c>
      <c r="QU262" s="1035">
        <v>187.15700000000001</v>
      </c>
      <c r="QV262" s="1035">
        <v>1788.6308811171016</v>
      </c>
      <c r="QW262" s="93"/>
      <c r="QX262" s="93">
        <v>669.16700000000003</v>
      </c>
      <c r="QY262" s="93">
        <v>1007.6974373394308</v>
      </c>
      <c r="QZ262" s="93">
        <v>1105.5040395075816</v>
      </c>
      <c r="RA262" s="93">
        <v>0</v>
      </c>
      <c r="RB262" s="93">
        <v>57.475999999999999</v>
      </c>
      <c r="RC262" s="93">
        <v>3.2050000000000001</v>
      </c>
      <c r="RD262" s="93">
        <v>15.167</v>
      </c>
      <c r="RE262" s="93">
        <v>0</v>
      </c>
      <c r="RF262" s="93">
        <v>0</v>
      </c>
      <c r="RG262" s="93">
        <v>299.68400000000003</v>
      </c>
      <c r="RH262" s="93">
        <v>52.388000000000005</v>
      </c>
      <c r="RI262" s="93"/>
      <c r="RJ262" s="93"/>
      <c r="RK262" s="93"/>
      <c r="RL262" s="93"/>
      <c r="RM262" s="734"/>
      <c r="RN262" s="29">
        <v>195</v>
      </c>
      <c r="RO262" s="19">
        <v>90</v>
      </c>
      <c r="RP262" s="20"/>
      <c r="RQ262" s="29">
        <v>195</v>
      </c>
      <c r="RR262" s="734">
        <v>2.9454752100000006</v>
      </c>
      <c r="RS262" s="29">
        <v>195</v>
      </c>
      <c r="RT262" s="1504">
        <v>42430</v>
      </c>
      <c r="RU262" s="19">
        <v>682</v>
      </c>
      <c r="RV262" s="20">
        <v>16</v>
      </c>
      <c r="RW262" s="29">
        <v>195</v>
      </c>
      <c r="RX262" s="1504">
        <v>42430</v>
      </c>
      <c r="RY262" s="29"/>
      <c r="RZ262" s="734"/>
      <c r="SA262" s="29"/>
      <c r="SB262" s="29">
        <v>195</v>
      </c>
    </row>
    <row r="263" spans="1:496">
      <c r="A263" s="41">
        <f t="shared" si="238"/>
        <v>2016</v>
      </c>
      <c r="B263" s="1504">
        <v>42461</v>
      </c>
      <c r="C263" s="1813">
        <v>2554</v>
      </c>
      <c r="D263" s="1814">
        <v>35331</v>
      </c>
      <c r="E263" s="1814">
        <v>86</v>
      </c>
      <c r="F263" s="1815">
        <v>368</v>
      </c>
      <c r="G263" s="1814">
        <v>102292</v>
      </c>
      <c r="H263" s="1814">
        <v>43</v>
      </c>
      <c r="I263" s="1814">
        <v>35935</v>
      </c>
      <c r="J263" s="1816">
        <v>20459</v>
      </c>
      <c r="K263" s="1807">
        <v>197068</v>
      </c>
      <c r="L263" s="25">
        <v>196</v>
      </c>
      <c r="M263" s="97"/>
      <c r="N263" s="1504">
        <v>42461</v>
      </c>
      <c r="O263" s="19">
        <v>644</v>
      </c>
      <c r="P263" s="93">
        <v>931</v>
      </c>
      <c r="Q263" s="93">
        <v>2914</v>
      </c>
      <c r="R263" s="93">
        <v>2026</v>
      </c>
      <c r="S263" s="93">
        <v>1524</v>
      </c>
      <c r="T263" s="93">
        <v>593</v>
      </c>
      <c r="U263" s="93">
        <v>308</v>
      </c>
      <c r="V263" s="93">
        <v>1433</v>
      </c>
      <c r="W263" s="93">
        <v>8156</v>
      </c>
      <c r="X263" s="93">
        <v>794</v>
      </c>
      <c r="Y263" s="93">
        <v>255</v>
      </c>
      <c r="Z263" s="93">
        <v>878</v>
      </c>
      <c r="AA263" s="93">
        <v>692</v>
      </c>
      <c r="AB263" s="132">
        <v>21148</v>
      </c>
      <c r="AC263" s="25">
        <v>196</v>
      </c>
      <c r="AD263" s="97"/>
      <c r="AE263" s="1504">
        <v>42461</v>
      </c>
      <c r="AF263" s="19">
        <v>2119</v>
      </c>
      <c r="AG263" s="93">
        <v>661</v>
      </c>
      <c r="AH263" s="93">
        <v>1890</v>
      </c>
      <c r="AI263" s="93">
        <v>2373</v>
      </c>
      <c r="AJ263" s="93">
        <v>2674</v>
      </c>
      <c r="AK263" s="93">
        <v>1554</v>
      </c>
      <c r="AL263" s="93">
        <v>684</v>
      </c>
      <c r="AM263" s="93">
        <v>1612</v>
      </c>
      <c r="AN263" s="93">
        <v>10551</v>
      </c>
      <c r="AO263" s="93">
        <v>1673</v>
      </c>
      <c r="AP263" s="93">
        <v>674</v>
      </c>
      <c r="AQ263" s="93">
        <v>1837</v>
      </c>
      <c r="AR263" s="93">
        <v>652</v>
      </c>
      <c r="AS263" s="20">
        <v>28954</v>
      </c>
      <c r="AT263" s="25">
        <v>196</v>
      </c>
      <c r="AU263" s="97"/>
      <c r="AV263" s="1504">
        <v>42461</v>
      </c>
      <c r="AW263" s="19">
        <v>8950</v>
      </c>
      <c r="AX263" s="93">
        <v>3542</v>
      </c>
      <c r="AY263" s="93">
        <v>3838</v>
      </c>
      <c r="AZ263" s="93">
        <v>10314</v>
      </c>
      <c r="BA263" s="93">
        <v>10174</v>
      </c>
      <c r="BB263" s="93">
        <v>6074</v>
      </c>
      <c r="BC263" s="93">
        <v>3661</v>
      </c>
      <c r="BD263" s="93">
        <v>12528</v>
      </c>
      <c r="BE263" s="93">
        <v>21279</v>
      </c>
      <c r="BF263" s="93">
        <v>5320</v>
      </c>
      <c r="BG263" s="93">
        <v>3675</v>
      </c>
      <c r="BH263" s="93">
        <v>9610</v>
      </c>
      <c r="BI263" s="93">
        <v>3916</v>
      </c>
      <c r="BJ263" s="20">
        <v>102881</v>
      </c>
      <c r="BK263" s="25">
        <v>196</v>
      </c>
      <c r="BL263" s="97"/>
      <c r="BM263" s="1504">
        <v>42461</v>
      </c>
      <c r="BN263" s="19">
        <v>168.09600000000003</v>
      </c>
      <c r="BO263" s="93">
        <v>2019.875</v>
      </c>
      <c r="BP263" s="93">
        <v>10.752000000000002</v>
      </c>
      <c r="BQ263" s="93">
        <v>806.66399999999999</v>
      </c>
      <c r="BR263" s="93">
        <v>3.8250000000000002</v>
      </c>
      <c r="BS263" s="93">
        <v>243.71100000000007</v>
      </c>
      <c r="BT263" s="93">
        <v>453.16800000000001</v>
      </c>
      <c r="BU263" s="132">
        <v>3706.0909999999999</v>
      </c>
      <c r="BV263" s="25">
        <v>196</v>
      </c>
      <c r="BW263" s="97"/>
      <c r="BX263" s="1504">
        <v>42461</v>
      </c>
      <c r="BY263" s="179">
        <v>578.49634006526151</v>
      </c>
      <c r="BZ263" s="99">
        <v>664.95699999999999</v>
      </c>
      <c r="CA263" s="99">
        <v>600.14364135407141</v>
      </c>
      <c r="CB263" s="99">
        <v>39.588219318627594</v>
      </c>
      <c r="CC263" s="99">
        <v>155.5823870967742</v>
      </c>
      <c r="CD263" s="25">
        <v>196</v>
      </c>
      <c r="CE263" s="97"/>
      <c r="CF263" s="1504">
        <v>42461</v>
      </c>
      <c r="CG263" s="1508">
        <v>1.5273607360000001</v>
      </c>
      <c r="CH263" s="568">
        <v>1242.26</v>
      </c>
      <c r="CI263" s="1708">
        <v>40.75</v>
      </c>
      <c r="CJ263" s="1509">
        <v>42.25</v>
      </c>
      <c r="CK263" s="568">
        <v>383.53</v>
      </c>
      <c r="CL263" s="568">
        <v>164.4125784</v>
      </c>
      <c r="CM263" s="568">
        <v>0.33576362599999998</v>
      </c>
      <c r="CN263" s="568">
        <v>0.37015576</v>
      </c>
      <c r="CO263" s="568">
        <v>187.392717</v>
      </c>
      <c r="CP263" s="568">
        <v>3.9631351430000001</v>
      </c>
      <c r="CQ263" s="568">
        <v>1314.38</v>
      </c>
      <c r="CR263" s="568">
        <v>2.1124999999999998</v>
      </c>
      <c r="CS263" s="568">
        <v>1.7074</v>
      </c>
      <c r="CT263" s="568">
        <v>114.125</v>
      </c>
      <c r="CU263" s="568">
        <v>60.92</v>
      </c>
      <c r="CV263" s="568">
        <v>1855.37</v>
      </c>
      <c r="CW263" s="29">
        <v>196</v>
      </c>
      <c r="CX263" s="41">
        <f t="shared" si="239"/>
        <v>2016</v>
      </c>
      <c r="CY263" s="1504">
        <v>42461</v>
      </c>
      <c r="CZ263" s="1916">
        <v>125.03971300857812</v>
      </c>
      <c r="DA263" s="1526">
        <v>77.124670008578121</v>
      </c>
      <c r="DB263" s="1526">
        <v>47.915042999999997</v>
      </c>
      <c r="DC263" s="182">
        <f t="shared" si="235"/>
        <v>585634</v>
      </c>
      <c r="DD263" s="182">
        <f t="shared" si="236"/>
        <v>583970</v>
      </c>
      <c r="DE263" s="182">
        <f t="shared" si="237"/>
        <v>1664</v>
      </c>
      <c r="DF263" s="29">
        <v>196</v>
      </c>
      <c r="DG263" s="1504">
        <v>42461</v>
      </c>
      <c r="DH263" s="369">
        <f>(((DH262/DH261-1)+(DH261/DH260-1))^1/2+1)*DH262</f>
        <v>340474.66664738674</v>
      </c>
      <c r="DI263" s="182"/>
      <c r="DJ263" s="182"/>
      <c r="DK263" s="182"/>
      <c r="DL263" s="182"/>
      <c r="DM263" s="182"/>
      <c r="DN263" s="290"/>
      <c r="DO263" s="295"/>
      <c r="DP263" s="29">
        <v>196</v>
      </c>
      <c r="DQ263" s="1504">
        <v>42461</v>
      </c>
      <c r="DR263" s="19"/>
      <c r="DS263" s="93"/>
      <c r="DT263" s="93"/>
      <c r="DU263" s="93"/>
      <c r="DV263" s="93"/>
      <c r="DW263" s="93"/>
      <c r="DX263" s="1719"/>
      <c r="DY263" s="29">
        <v>196</v>
      </c>
      <c r="DZ263" s="1504">
        <v>42461</v>
      </c>
      <c r="EA263" s="19"/>
      <c r="EB263" s="93"/>
      <c r="EC263" s="20"/>
      <c r="ED263" s="29"/>
      <c r="EE263" s="1504">
        <v>42461</v>
      </c>
      <c r="EF263" s="179">
        <v>17576</v>
      </c>
      <c r="EG263" s="99">
        <v>18510</v>
      </c>
      <c r="EH263" s="99">
        <v>36086</v>
      </c>
      <c r="EI263" s="221">
        <v>5981</v>
      </c>
      <c r="EJ263" s="99">
        <v>626.274</v>
      </c>
      <c r="EK263" s="99">
        <v>192.03899999999999</v>
      </c>
      <c r="EL263" s="99">
        <v>7.0339999999999998</v>
      </c>
      <c r="EM263" s="99">
        <v>7.4279999999999999</v>
      </c>
      <c r="EN263" s="132">
        <v>832.51126399999998</v>
      </c>
      <c r="EO263" s="29">
        <v>196</v>
      </c>
      <c r="EP263" s="1504">
        <v>42461</v>
      </c>
      <c r="EQ263" s="19">
        <v>16957</v>
      </c>
      <c r="ER263" s="93">
        <v>17820</v>
      </c>
      <c r="ES263" s="93">
        <v>34777</v>
      </c>
      <c r="ET263" s="214">
        <v>5535</v>
      </c>
      <c r="EU263" s="93">
        <v>626.11</v>
      </c>
      <c r="EV263" s="93">
        <v>192.03899999999999</v>
      </c>
      <c r="EW263" s="93">
        <v>6.9340000000000002</v>
      </c>
      <c r="EX263" s="93">
        <v>7.4279999999999999</v>
      </c>
      <c r="EY263" s="20">
        <v>832.51099999999997</v>
      </c>
      <c r="EZ263" s="29">
        <v>196</v>
      </c>
      <c r="FA263" s="1504">
        <v>42461</v>
      </c>
      <c r="FB263" s="29"/>
      <c r="FC263" s="29"/>
      <c r="FD263" s="29"/>
      <c r="FE263" s="29"/>
      <c r="FF263" s="29"/>
      <c r="FG263" s="29"/>
      <c r="FH263" s="29"/>
      <c r="FI263" s="29"/>
      <c r="FJ263" s="29"/>
      <c r="FK263" s="29">
        <v>196</v>
      </c>
      <c r="FL263" s="1504">
        <v>42461</v>
      </c>
      <c r="FM263" s="179">
        <v>101.25</v>
      </c>
      <c r="FN263" s="99">
        <v>104.45</v>
      </c>
      <c r="FO263" s="99">
        <v>98.28</v>
      </c>
      <c r="FP263" s="99">
        <v>94.21</v>
      </c>
      <c r="FQ263" s="99">
        <v>93.31</v>
      </c>
      <c r="FR263" s="99">
        <v>100.64</v>
      </c>
      <c r="FS263" s="99">
        <v>99.4</v>
      </c>
      <c r="FT263" s="99">
        <v>97.48</v>
      </c>
      <c r="FU263" s="99">
        <v>111.57</v>
      </c>
      <c r="FV263" s="99">
        <v>104.85</v>
      </c>
      <c r="FW263" s="99">
        <v>101.4</v>
      </c>
      <c r="FX263" s="99">
        <v>98.27</v>
      </c>
      <c r="FY263" s="99">
        <v>100.63</v>
      </c>
      <c r="FZ263" s="29">
        <v>196</v>
      </c>
      <c r="GA263" s="1504">
        <v>42461</v>
      </c>
      <c r="GB263" s="419">
        <v>101.25</v>
      </c>
      <c r="GC263" s="100">
        <v>98.18</v>
      </c>
      <c r="GD263" s="100">
        <v>103</v>
      </c>
      <c r="GE263" s="100">
        <v>91.37</v>
      </c>
      <c r="GF263" s="100">
        <v>105.32</v>
      </c>
      <c r="GG263" s="100">
        <v>100.72</v>
      </c>
      <c r="GH263" s="100">
        <v>105.7</v>
      </c>
      <c r="GI263" s="100">
        <v>98.49</v>
      </c>
      <c r="GJ263" s="100">
        <v>101.42</v>
      </c>
      <c r="GK263" s="100">
        <v>99.72</v>
      </c>
      <c r="GL263" s="100">
        <v>102.79</v>
      </c>
      <c r="GM263" s="100">
        <v>96.3</v>
      </c>
      <c r="GN263" s="306">
        <v>101.42</v>
      </c>
      <c r="GO263" s="29">
        <v>196</v>
      </c>
      <c r="GP263" s="1504">
        <v>42461</v>
      </c>
      <c r="GQ263" s="318">
        <f t="shared" ref="GQ263:GZ264" si="240">(((GQ262/GQ261-1)+(GQ261/GQ260-1))^1/2+1)*GQ262</f>
        <v>257.09036742570999</v>
      </c>
      <c r="GR263" s="511">
        <f t="shared" si="240"/>
        <v>222.65014430343822</v>
      </c>
      <c r="GS263" s="511">
        <f t="shared" si="240"/>
        <v>218.41869253422828</v>
      </c>
      <c r="GT263" s="511">
        <f t="shared" si="240"/>
        <v>185.46155173972505</v>
      </c>
      <c r="GU263" s="511">
        <f t="shared" si="240"/>
        <v>400.12441106436847</v>
      </c>
      <c r="GV263" s="512">
        <f t="shared" si="240"/>
        <v>834.00200691564294</v>
      </c>
      <c r="GW263" s="513">
        <f t="shared" si="240"/>
        <v>430.51979180949093</v>
      </c>
      <c r="GX263" s="511">
        <f t="shared" si="240"/>
        <v>479.09472235453683</v>
      </c>
      <c r="GY263" s="511">
        <f t="shared" si="240"/>
        <v>244.85760623507235</v>
      </c>
      <c r="GZ263" s="511">
        <f t="shared" si="240"/>
        <v>204.74642388146248</v>
      </c>
      <c r="HA263" s="511">
        <f t="shared" ref="HA263:HH264" si="241">(((HA262/HA261-1)+(HA261/HA260-1))^1/2+1)*HA262</f>
        <v>122.39309195403234</v>
      </c>
      <c r="HB263" s="512">
        <f t="shared" si="241"/>
        <v>726.54379995688373</v>
      </c>
      <c r="HC263" s="513">
        <f t="shared" si="241"/>
        <v>1957.7116694306167</v>
      </c>
      <c r="HD263" s="511">
        <f t="shared" si="241"/>
        <v>2421.3663394995842</v>
      </c>
      <c r="HE263" s="511">
        <f t="shared" si="241"/>
        <v>2248.6243202603646</v>
      </c>
      <c r="HF263" s="511">
        <f t="shared" si="241"/>
        <v>3150</v>
      </c>
      <c r="HG263" s="511">
        <f t="shared" si="241"/>
        <v>2367.226650777342</v>
      </c>
      <c r="HH263" s="512">
        <f t="shared" si="241"/>
        <v>2710.8874321826852</v>
      </c>
      <c r="HI263" s="19"/>
      <c r="HJ263" s="511">
        <v>866.23999939635905</v>
      </c>
      <c r="HK263" s="511">
        <v>1317.0465279714588</v>
      </c>
      <c r="HL263" s="511">
        <v>869.51943893194004</v>
      </c>
      <c r="HM263" s="511">
        <v>800</v>
      </c>
      <c r="HN263" s="512">
        <v>2935.7647078105106</v>
      </c>
      <c r="HO263" s="514">
        <v>136.64684463765482</v>
      </c>
      <c r="HP263" s="512">
        <v>107.34543994372621</v>
      </c>
      <c r="HQ263" s="1510">
        <v>156.30256919928127</v>
      </c>
      <c r="HR263" s="29">
        <v>196</v>
      </c>
      <c r="HS263" s="1504">
        <v>42461</v>
      </c>
      <c r="HT263" s="419">
        <v>208.89131736755371</v>
      </c>
      <c r="HU263" s="100">
        <v>242.1875</v>
      </c>
      <c r="HV263" s="100">
        <v>159.23565673828125</v>
      </c>
      <c r="HW263" s="100">
        <v>144.23077392578125</v>
      </c>
      <c r="HX263" s="100">
        <v>183.33332824707031</v>
      </c>
      <c r="HY263" s="100">
        <v>194.44444274902344</v>
      </c>
      <c r="HZ263" s="100">
        <v>202.3630485534668</v>
      </c>
      <c r="IA263" s="306">
        <v>186.27451070149741</v>
      </c>
      <c r="IB263" s="419">
        <v>228.13687133789063</v>
      </c>
      <c r="IC263" s="100">
        <v>131.9095458984375</v>
      </c>
      <c r="ID263" s="100">
        <v>178.57142639160156</v>
      </c>
      <c r="IE263" s="100">
        <v>145.16130065917969</v>
      </c>
      <c r="IF263" s="100">
        <v>200</v>
      </c>
      <c r="IG263" s="306">
        <v>144.26229349772134</v>
      </c>
      <c r="IH263" s="419">
        <v>153.28409194946289</v>
      </c>
      <c r="II263" s="100">
        <v>202.00361824035645</v>
      </c>
      <c r="IJ263" s="100">
        <v>169.49151611328125</v>
      </c>
      <c r="IK263" s="100">
        <v>168.47172546386719</v>
      </c>
      <c r="IL263" s="100">
        <v>153.54938507080078</v>
      </c>
      <c r="IM263" s="100">
        <v>174.83660888671875</v>
      </c>
      <c r="IN263" s="100">
        <f t="shared" ref="IN263:IY264" si="242">(((IN262/IN261-1)+(IN261/IN260-1))^1/2+1)*IN262</f>
        <v>159.01060485839844</v>
      </c>
      <c r="IO263" s="306">
        <v>148.40847587585449</v>
      </c>
      <c r="IP263" s="29">
        <v>196</v>
      </c>
      <c r="IQ263" s="419">
        <f t="shared" si="242"/>
        <v>177.06410486697456</v>
      </c>
      <c r="IR263" s="100">
        <f t="shared" si="242"/>
        <v>95.499478487835773</v>
      </c>
      <c r="IS263" s="100">
        <f t="shared" si="242"/>
        <v>154.53381224327424</v>
      </c>
      <c r="IT263" s="100">
        <f t="shared" si="242"/>
        <v>134.42828828329263</v>
      </c>
      <c r="IU263" s="100">
        <f t="shared" si="242"/>
        <v>172.96361760730667</v>
      </c>
      <c r="IV263" s="306">
        <f t="shared" si="242"/>
        <v>124.88485100717405</v>
      </c>
      <c r="IW263" s="29">
        <v>196</v>
      </c>
      <c r="IX263" s="419">
        <f t="shared" si="242"/>
        <v>437.79082724680347</v>
      </c>
      <c r="IY263" s="100">
        <f t="shared" si="242"/>
        <v>420.35986221517294</v>
      </c>
      <c r="IZ263" s="100">
        <f t="shared" ref="IZ263:JN264" si="243">(((IZ262/IZ261-1)+(IZ261/IZ260-1))^1/2+1)*IZ262</f>
        <v>426.70691970596545</v>
      </c>
      <c r="JA263" s="100">
        <f t="shared" si="243"/>
        <v>375</v>
      </c>
      <c r="JB263" s="100">
        <f t="shared" si="243"/>
        <v>375</v>
      </c>
      <c r="JC263" s="100">
        <f t="shared" si="243"/>
        <v>400</v>
      </c>
      <c r="JD263" s="100">
        <f t="shared" si="243"/>
        <v>340</v>
      </c>
      <c r="JE263" s="306">
        <f t="shared" si="243"/>
        <v>406.45161290322579</v>
      </c>
      <c r="JF263" s="29">
        <v>196</v>
      </c>
      <c r="JG263" s="419">
        <f t="shared" si="243"/>
        <v>164.80807799747839</v>
      </c>
      <c r="JH263" s="100">
        <f t="shared" si="243"/>
        <v>194.73617553710938</v>
      </c>
      <c r="JI263" s="100">
        <f t="shared" si="243"/>
        <v>160.77171325683594</v>
      </c>
      <c r="JJ263" s="100">
        <f t="shared" si="243"/>
        <v>154.57875264270615</v>
      </c>
      <c r="JK263" s="100">
        <f t="shared" si="243"/>
        <v>153.85334965628169</v>
      </c>
      <c r="JL263" s="100">
        <f t="shared" si="243"/>
        <v>157.43573760986328</v>
      </c>
      <c r="JM263" s="100">
        <f t="shared" si="243"/>
        <v>178.10704786345832</v>
      </c>
      <c r="JN263" s="306">
        <f t="shared" si="243"/>
        <v>195.9052729992579</v>
      </c>
      <c r="JO263" s="29">
        <v>196</v>
      </c>
      <c r="JP263" s="419">
        <f t="shared" ref="JP263:JU263" si="244">(((JP262/JP261-1)+(JP261/JP260-1))^1/2+1)*JP262</f>
        <v>213.39531111874055</v>
      </c>
      <c r="JQ263" s="100">
        <f t="shared" si="244"/>
        <v>83.857548489862566</v>
      </c>
      <c r="JR263" s="100">
        <f t="shared" si="244"/>
        <v>163.75087237792005</v>
      </c>
      <c r="JS263" s="100"/>
      <c r="JT263" s="100">
        <f t="shared" si="244"/>
        <v>190.87931315104166</v>
      </c>
      <c r="JU263" s="306">
        <f t="shared" si="244"/>
        <v>120.22860488671736</v>
      </c>
      <c r="JV263" s="29">
        <v>196</v>
      </c>
      <c r="JW263" s="1504">
        <v>42461</v>
      </c>
      <c r="JX263" s="419">
        <f>(((JX262/JX261-1)+(JX261/JX260-1))^1/2+1)*JX262</f>
        <v>232.64083649318562</v>
      </c>
      <c r="JY263" s="100">
        <f t="shared" ref="JY263:KD263" si="245">(((JY262/JY261-1)+(JY261/JY260-1))^1/2+1)*JY262</f>
        <v>283.11561064125152</v>
      </c>
      <c r="JZ263" s="100">
        <f t="shared" si="245"/>
        <v>251.28303767785386</v>
      </c>
      <c r="KA263" s="100">
        <f t="shared" si="245"/>
        <v>256.86833412951779</v>
      </c>
      <c r="KB263" s="100">
        <f t="shared" si="245"/>
        <v>255.79733918654154</v>
      </c>
      <c r="KC263" s="100">
        <f t="shared" si="245"/>
        <v>213.60854332203257</v>
      </c>
      <c r="KD263" s="306">
        <f t="shared" si="245"/>
        <v>282.54682439660257</v>
      </c>
      <c r="KE263" s="29">
        <v>196</v>
      </c>
      <c r="KF263" s="100">
        <f t="shared" ref="KF263:KK264" si="246">(((KF262/KF261-1)+(KF261/KF260-1))^1/2+1)*KF262</f>
        <v>33.404208589359513</v>
      </c>
      <c r="KG263" s="100">
        <f t="shared" si="246"/>
        <v>37.245889509714928</v>
      </c>
      <c r="KH263" s="100">
        <f t="shared" si="246"/>
        <v>47.639917667213382</v>
      </c>
      <c r="KI263" s="100">
        <f t="shared" si="246"/>
        <v>47.995024368255933</v>
      </c>
      <c r="KJ263" s="100">
        <f t="shared" si="246"/>
        <v>24.933945122157517</v>
      </c>
      <c r="KK263" s="306">
        <f t="shared" si="246"/>
        <v>56.891980748140959</v>
      </c>
      <c r="KL263" s="29">
        <v>196</v>
      </c>
      <c r="KM263" s="100">
        <f t="shared" ref="KM263:KR264" si="247">(((KM262/KM261-1)+(KM261/KM260-1))^1/2+1)*KM262</f>
        <v>16.861276130739107</v>
      </c>
      <c r="KN263" s="100">
        <f t="shared" si="247"/>
        <v>14.583857089629735</v>
      </c>
      <c r="KO263" s="100">
        <f t="shared" si="247"/>
        <v>27.089140695110334</v>
      </c>
      <c r="KP263" s="100">
        <f t="shared" si="247"/>
        <v>30.735631791717672</v>
      </c>
      <c r="KQ263" s="100">
        <f t="shared" si="247"/>
        <v>17.323324798216134</v>
      </c>
      <c r="KR263" s="306">
        <f t="shared" si="247"/>
        <v>25.912972796156119</v>
      </c>
      <c r="KS263" s="29">
        <v>196</v>
      </c>
      <c r="KT263" s="100">
        <f t="shared" ref="KT263:KY264" si="248">(((KT262/KT261-1)+(KT261/KT260-1))^1/2+1)*KT262</f>
        <v>22.669319237035442</v>
      </c>
      <c r="KU263" s="100">
        <f t="shared" si="248"/>
        <v>22.661560651231309</v>
      </c>
      <c r="KV263" s="100">
        <f t="shared" si="248"/>
        <v>22.372766212527811</v>
      </c>
      <c r="KW263" s="100">
        <f t="shared" si="248"/>
        <v>20.388584780382292</v>
      </c>
      <c r="KX263" s="100">
        <f t="shared" si="248"/>
        <v>13.446719674685255</v>
      </c>
      <c r="KY263" s="100">
        <f t="shared" si="248"/>
        <v>21.905144589250444</v>
      </c>
      <c r="KZ263" s="29">
        <v>196</v>
      </c>
      <c r="LA263" s="1504">
        <v>42461</v>
      </c>
      <c r="LB263" s="19">
        <v>430</v>
      </c>
      <c r="LC263" s="93">
        <v>660</v>
      </c>
      <c r="LD263" s="93">
        <v>652</v>
      </c>
      <c r="LE263" s="93"/>
      <c r="LF263" s="93">
        <v>576</v>
      </c>
      <c r="LG263" s="93"/>
      <c r="LH263" s="20"/>
      <c r="LI263" s="29">
        <v>196</v>
      </c>
      <c r="LJ263" s="19"/>
      <c r="LK263" s="93"/>
      <c r="LL263" s="93"/>
      <c r="LM263" s="93"/>
      <c r="LN263" s="93"/>
      <c r="LO263" s="20"/>
      <c r="LP263" s="29">
        <v>196</v>
      </c>
      <c r="LQ263" s="19"/>
      <c r="LR263" s="93"/>
      <c r="LS263" s="93"/>
      <c r="LT263" s="93"/>
      <c r="LU263" s="93"/>
      <c r="LV263" s="93"/>
      <c r="LW263" s="93"/>
      <c r="LX263" s="93"/>
      <c r="LY263" s="93"/>
      <c r="LZ263" s="93"/>
      <c r="MA263" s="20"/>
      <c r="MB263" s="29">
        <v>196</v>
      </c>
      <c r="MC263" s="1504">
        <v>42461</v>
      </c>
      <c r="MD263" s="19"/>
      <c r="ME263" s="93"/>
      <c r="MF263" s="93"/>
      <c r="MG263" s="93"/>
      <c r="MH263" s="93"/>
      <c r="MI263" s="93"/>
      <c r="MJ263" s="93"/>
      <c r="MK263" s="93"/>
      <c r="ML263" s="93"/>
      <c r="MM263" s="93"/>
      <c r="MN263" s="93"/>
      <c r="MO263" s="93"/>
      <c r="MP263" s="93"/>
      <c r="MQ263" s="93"/>
      <c r="MR263" s="93"/>
      <c r="MS263" s="93"/>
      <c r="MT263" s="93"/>
      <c r="MU263" s="93"/>
      <c r="MV263" s="93"/>
      <c r="MW263" s="93"/>
      <c r="MX263" s="93"/>
      <c r="MY263" s="93"/>
      <c r="MZ263" s="93"/>
      <c r="NA263" s="93"/>
      <c r="NB263" s="93"/>
      <c r="NC263" s="93"/>
      <c r="ND263" s="93"/>
      <c r="NE263" s="93"/>
      <c r="NF263" s="93"/>
      <c r="NG263" s="93"/>
      <c r="NH263" s="93"/>
      <c r="NI263" s="93"/>
      <c r="NJ263" s="93"/>
      <c r="NK263" s="93"/>
      <c r="NL263" s="93"/>
      <c r="NM263" s="93"/>
      <c r="NN263" s="93"/>
      <c r="NO263" s="93"/>
      <c r="NP263" s="93"/>
      <c r="NQ263" s="93"/>
      <c r="NR263" s="93"/>
      <c r="NS263" s="93"/>
      <c r="NT263" s="93"/>
      <c r="NU263" s="93"/>
      <c r="NV263" s="93"/>
      <c r="NW263" s="93"/>
      <c r="NX263" s="93"/>
      <c r="NY263" s="93"/>
      <c r="NZ263" s="93"/>
      <c r="OA263" s="93"/>
      <c r="OB263" s="93"/>
      <c r="OC263" s="93"/>
      <c r="OD263" s="20"/>
      <c r="OE263" s="29">
        <v>196</v>
      </c>
      <c r="OF263" s="1504">
        <v>42461</v>
      </c>
      <c r="OG263" s="19"/>
      <c r="OH263" s="93">
        <v>327.12748847099994</v>
      </c>
      <c r="OI263" s="93">
        <v>1158.8469545568437</v>
      </c>
      <c r="OJ263" s="93">
        <v>0.47603532500000001</v>
      </c>
      <c r="OK263" s="93">
        <v>988.22132658884379</v>
      </c>
      <c r="OL263" s="93">
        <v>170.14959264300001</v>
      </c>
      <c r="OM263" s="93">
        <v>1485.9744430278436</v>
      </c>
      <c r="ON263" s="93">
        <v>1115.0504539801188</v>
      </c>
      <c r="OO263" s="93">
        <v>2601.0248970079624</v>
      </c>
      <c r="OP263" s="93"/>
      <c r="OQ263" s="93">
        <v>834.20862182667997</v>
      </c>
      <c r="OR263" s="93">
        <v>-134.30882126899996</v>
      </c>
      <c r="OS263" s="93">
        <v>968.51744309567982</v>
      </c>
      <c r="OT263" s="93">
        <v>2027.7556193092828</v>
      </c>
      <c r="OU263" s="93">
        <v>20.424483127999959</v>
      </c>
      <c r="OV263" s="93">
        <v>-15.274516871999996</v>
      </c>
      <c r="OW263" s="93">
        <v>35.698999999999955</v>
      </c>
      <c r="OX263" s="93">
        <v>2007.3311361812828</v>
      </c>
      <c r="OY263" s="93">
        <v>4.2108927850000004</v>
      </c>
      <c r="OZ263" s="93">
        <v>2003.1202433962826</v>
      </c>
      <c r="PA263" s="93">
        <v>372.48328018800004</v>
      </c>
      <c r="PB263" s="93">
        <v>-111.54393606000001</v>
      </c>
      <c r="PC263" s="20">
        <v>2601.0248970079624</v>
      </c>
      <c r="PD263" s="29">
        <v>196</v>
      </c>
      <c r="PE263" s="19"/>
      <c r="PF263" s="93">
        <v>-134.30882126899996</v>
      </c>
      <c r="PG263" s="93">
        <v>674.02467147100003</v>
      </c>
      <c r="PH263" s="93">
        <v>808.33349274</v>
      </c>
      <c r="PI263" s="93">
        <v>683.63005384500002</v>
      </c>
      <c r="PJ263" s="93">
        <v>-9.5524679039999967</v>
      </c>
      <c r="PK263" s="93">
        <v>129.396533003</v>
      </c>
      <c r="PL263" s="93">
        <v>138.949000907</v>
      </c>
      <c r="PM263" s="93">
        <v>4.2108927850000004</v>
      </c>
      <c r="PN263" s="93">
        <v>0.6</v>
      </c>
      <c r="PO263" s="93">
        <v>0</v>
      </c>
      <c r="PP263" s="93">
        <v>8.0073299999999998E-4</v>
      </c>
      <c r="PQ263" s="93">
        <v>3.6100920520000002</v>
      </c>
      <c r="PR263" s="93">
        <v>536.59618818600006</v>
      </c>
      <c r="PS263" s="93">
        <v>388.68953743899999</v>
      </c>
      <c r="PT263" s="93">
        <v>147.164521345</v>
      </c>
      <c r="PU263" s="93">
        <v>0.74212940199999999</v>
      </c>
      <c r="PV263" s="93">
        <v>0</v>
      </c>
      <c r="PW263" s="93">
        <v>0.47618840400000001</v>
      </c>
      <c r="PX263" s="93">
        <v>0</v>
      </c>
      <c r="PY263" s="93">
        <v>0</v>
      </c>
      <c r="PZ263" s="93">
        <v>0.47618840400000001</v>
      </c>
      <c r="QA263" s="93">
        <v>0</v>
      </c>
      <c r="QB263" s="93">
        <v>0</v>
      </c>
      <c r="QC263" s="93">
        <v>0</v>
      </c>
      <c r="QD263" s="93">
        <v>5.4350917839999999</v>
      </c>
      <c r="QE263" s="20">
        <v>1.472189083</v>
      </c>
      <c r="QF263" s="1739">
        <v>196</v>
      </c>
      <c r="QG263" s="19"/>
      <c r="QH263" s="1035">
        <v>968.51744309567982</v>
      </c>
      <c r="QI263" s="1035">
        <v>1251.8447566037171</v>
      </c>
      <c r="QJ263" s="1035">
        <v>-283.32731350803726</v>
      </c>
      <c r="QK263" s="1035">
        <v>188.042</v>
      </c>
      <c r="QL263" s="1035">
        <v>55.84</v>
      </c>
      <c r="QM263" s="1035">
        <v>132.202</v>
      </c>
      <c r="QN263" s="1035">
        <v>0</v>
      </c>
      <c r="QO263" s="1035">
        <v>35.698999999999955</v>
      </c>
      <c r="QP263" s="1035">
        <v>301.70599999999996</v>
      </c>
      <c r="QQ263" s="1035">
        <v>-266.00700000000001</v>
      </c>
      <c r="QR263" s="1035">
        <v>2003.1202433962826</v>
      </c>
      <c r="QS263" s="1035">
        <v>18.489378501772556</v>
      </c>
      <c r="QT263" s="1035">
        <v>0</v>
      </c>
      <c r="QU263" s="1035">
        <v>200.03100000000001</v>
      </c>
      <c r="QV263" s="1035">
        <v>1784.5998648945101</v>
      </c>
      <c r="QW263" s="93"/>
      <c r="QX263" s="93">
        <v>619.048</v>
      </c>
      <c r="QY263" s="93">
        <v>988.22132658884379</v>
      </c>
      <c r="QZ263" s="93">
        <v>1114.7843599031189</v>
      </c>
      <c r="RA263" s="93">
        <v>0</v>
      </c>
      <c r="RB263" s="93">
        <v>59.021000000000001</v>
      </c>
      <c r="RC263" s="93">
        <v>3.2229999999999999</v>
      </c>
      <c r="RD263" s="93">
        <v>17.549999999999997</v>
      </c>
      <c r="RE263" s="93">
        <v>0</v>
      </c>
      <c r="RF263" s="93">
        <v>0</v>
      </c>
      <c r="RG263" s="93">
        <v>286.77800000000002</v>
      </c>
      <c r="RH263" s="93">
        <v>106.75299999999999</v>
      </c>
      <c r="RI263" s="93"/>
      <c r="RJ263" s="93"/>
      <c r="RK263" s="93"/>
      <c r="RL263" s="93"/>
      <c r="RM263" s="734"/>
      <c r="RN263" s="29">
        <v>196</v>
      </c>
      <c r="RO263" s="19">
        <v>97</v>
      </c>
      <c r="RP263" s="20"/>
      <c r="RQ263" s="29">
        <v>196</v>
      </c>
      <c r="RR263" s="734">
        <v>2.5812670500000006</v>
      </c>
      <c r="RS263" s="29">
        <v>196</v>
      </c>
      <c r="RT263" s="1504">
        <v>42461</v>
      </c>
      <c r="RU263" s="19">
        <v>949</v>
      </c>
      <c r="RV263" s="20">
        <v>25</v>
      </c>
      <c r="RW263" s="29">
        <v>196</v>
      </c>
      <c r="RX263" s="1504">
        <v>42461</v>
      </c>
      <c r="RY263" s="29"/>
      <c r="RZ263" s="734"/>
      <c r="SA263" s="29"/>
      <c r="SB263" s="29">
        <v>196</v>
      </c>
    </row>
    <row r="264" spans="1:496">
      <c r="A264" s="41">
        <f t="shared" si="238"/>
        <v>2016</v>
      </c>
      <c r="B264" s="1504">
        <v>42491</v>
      </c>
      <c r="C264" s="1813">
        <v>2916</v>
      </c>
      <c r="D264" s="1814">
        <v>27726</v>
      </c>
      <c r="E264" s="1814">
        <v>121</v>
      </c>
      <c r="F264" s="1815">
        <v>310</v>
      </c>
      <c r="G264" s="1814">
        <v>100085</v>
      </c>
      <c r="H264" s="1814">
        <v>29</v>
      </c>
      <c r="I264" s="1814">
        <v>35074</v>
      </c>
      <c r="J264" s="1816">
        <v>19176</v>
      </c>
      <c r="K264" s="1807">
        <v>185437</v>
      </c>
      <c r="L264" s="25">
        <v>197</v>
      </c>
      <c r="M264" s="97"/>
      <c r="N264" s="1504">
        <v>42491</v>
      </c>
      <c r="O264" s="19">
        <v>752</v>
      </c>
      <c r="P264" s="93">
        <v>985</v>
      </c>
      <c r="Q264" s="93">
        <v>2976</v>
      </c>
      <c r="R264" s="93">
        <v>2169</v>
      </c>
      <c r="S264" s="93">
        <v>1606</v>
      </c>
      <c r="T264" s="93">
        <v>532</v>
      </c>
      <c r="U264" s="93">
        <v>275</v>
      </c>
      <c r="V264" s="93">
        <v>1296</v>
      </c>
      <c r="W264" s="93">
        <v>4503</v>
      </c>
      <c r="X264" s="93">
        <v>642</v>
      </c>
      <c r="Y264" s="93">
        <v>233</v>
      </c>
      <c r="Z264" s="93">
        <v>1216</v>
      </c>
      <c r="AA264" s="93">
        <v>690</v>
      </c>
      <c r="AB264" s="132">
        <v>17875</v>
      </c>
      <c r="AC264" s="25">
        <v>197</v>
      </c>
      <c r="AD264" s="97"/>
      <c r="AE264" s="1504">
        <v>42491</v>
      </c>
      <c r="AF264" s="19">
        <v>2123</v>
      </c>
      <c r="AG264" s="93">
        <v>690</v>
      </c>
      <c r="AH264" s="93">
        <v>1851</v>
      </c>
      <c r="AI264" s="93">
        <v>2997</v>
      </c>
      <c r="AJ264" s="93">
        <v>2331</v>
      </c>
      <c r="AK264" s="93">
        <v>1675</v>
      </c>
      <c r="AL264" s="93">
        <v>756</v>
      </c>
      <c r="AM264" s="93">
        <v>2132</v>
      </c>
      <c r="AN264" s="93">
        <v>6857</v>
      </c>
      <c r="AO264" s="93">
        <v>1884</v>
      </c>
      <c r="AP264" s="93">
        <v>719</v>
      </c>
      <c r="AQ264" s="93">
        <v>2485</v>
      </c>
      <c r="AR264" s="93">
        <v>579</v>
      </c>
      <c r="AS264" s="20">
        <v>27079</v>
      </c>
      <c r="AT264" s="25">
        <v>197</v>
      </c>
      <c r="AU264" s="97"/>
      <c r="AV264" s="1504">
        <v>42491</v>
      </c>
      <c r="AW264" s="19">
        <v>9863</v>
      </c>
      <c r="AX264" s="93">
        <v>3202</v>
      </c>
      <c r="AY264" s="93">
        <v>4319</v>
      </c>
      <c r="AZ264" s="93">
        <v>12945</v>
      </c>
      <c r="BA264" s="93">
        <v>10374</v>
      </c>
      <c r="BB264" s="93">
        <v>6165</v>
      </c>
      <c r="BC264" s="93">
        <v>3890</v>
      </c>
      <c r="BD264" s="93">
        <v>12512</v>
      </c>
      <c r="BE264" s="93">
        <v>12734</v>
      </c>
      <c r="BF264" s="93">
        <v>5918</v>
      </c>
      <c r="BG264" s="93">
        <v>3047</v>
      </c>
      <c r="BH264" s="93">
        <v>12447</v>
      </c>
      <c r="BI264" s="93">
        <v>3417</v>
      </c>
      <c r="BJ264" s="20">
        <v>100833</v>
      </c>
      <c r="BK264" s="25">
        <v>197</v>
      </c>
      <c r="BL264" s="97"/>
      <c r="BM264" s="1504">
        <v>42491</v>
      </c>
      <c r="BN264" s="19">
        <v>232.04999999999998</v>
      </c>
      <c r="BO264" s="93">
        <v>1944.3910000000003</v>
      </c>
      <c r="BP264" s="93">
        <v>11.712</v>
      </c>
      <c r="BQ264" s="93">
        <v>1015.5439999999999</v>
      </c>
      <c r="BR264" s="93">
        <v>0.61199999999999999</v>
      </c>
      <c r="BS264" s="93">
        <v>265.29300000000001</v>
      </c>
      <c r="BT264" s="93">
        <v>491.44800000000004</v>
      </c>
      <c r="BU264" s="132">
        <v>3961.05</v>
      </c>
      <c r="BV264" s="25">
        <v>197</v>
      </c>
      <c r="BW264" s="97"/>
      <c r="BX264" s="1504">
        <v>42491</v>
      </c>
      <c r="BY264" s="179">
        <v>579.92838829458049</v>
      </c>
      <c r="BZ264" s="99">
        <v>664.95699999999999</v>
      </c>
      <c r="CA264" s="99">
        <v>593.14314133285097</v>
      </c>
      <c r="CB264" s="99">
        <v>37.838506665436064</v>
      </c>
      <c r="CC264" s="99">
        <v>149.47606206896552</v>
      </c>
      <c r="CD264" s="25">
        <v>197</v>
      </c>
      <c r="CE264" s="97"/>
      <c r="CF264" s="1504">
        <v>42491</v>
      </c>
      <c r="CG264" s="1508">
        <v>1.549406936</v>
      </c>
      <c r="CH264" s="568">
        <v>1260.95</v>
      </c>
      <c r="CI264" s="1708">
        <v>45.936666666666703</v>
      </c>
      <c r="CJ264" s="1509">
        <v>47.13</v>
      </c>
      <c r="CK264" s="568">
        <v>414.38</v>
      </c>
      <c r="CL264" s="568">
        <v>168.9556456</v>
      </c>
      <c r="CM264" s="568">
        <v>0.37500586200000002</v>
      </c>
      <c r="CN264" s="568">
        <v>0.36930670399999999</v>
      </c>
      <c r="CO264" s="568">
        <v>171.96037559999999</v>
      </c>
      <c r="CP264" s="568">
        <v>4.0418400769999998</v>
      </c>
      <c r="CQ264" s="568">
        <v>1322.77</v>
      </c>
      <c r="CR264" s="568">
        <v>2.2120000000000002</v>
      </c>
      <c r="CS264" s="568">
        <v>1.6287</v>
      </c>
      <c r="CT264" s="568">
        <v>110.5</v>
      </c>
      <c r="CU264" s="568">
        <v>55.13</v>
      </c>
      <c r="CV264" s="568">
        <v>1869.03</v>
      </c>
      <c r="CW264" s="29">
        <v>197</v>
      </c>
      <c r="CX264" s="41">
        <f t="shared" si="239"/>
        <v>2016</v>
      </c>
      <c r="CY264" s="1504">
        <v>42491</v>
      </c>
      <c r="CZ264" s="1916">
        <v>124.90095044206134</v>
      </c>
      <c r="DA264" s="1526">
        <v>78.141564442061352</v>
      </c>
      <c r="DB264" s="1526">
        <v>46.759385999999999</v>
      </c>
      <c r="DC264" s="182">
        <f t="shared" si="235"/>
        <v>585634</v>
      </c>
      <c r="DD264" s="182">
        <f t="shared" si="236"/>
        <v>583970</v>
      </c>
      <c r="DE264" s="182">
        <f t="shared" si="237"/>
        <v>1664</v>
      </c>
      <c r="DF264" s="29">
        <v>197</v>
      </c>
      <c r="DG264" s="1504">
        <v>42491</v>
      </c>
      <c r="DH264" s="369">
        <f>(((DH263/DH262-1)+(DH262/DH261-1))^1/2+1)*DH263</f>
        <v>342612.97711675527</v>
      </c>
      <c r="DI264" s="182"/>
      <c r="DJ264" s="182"/>
      <c r="DK264" s="182"/>
      <c r="DL264" s="182"/>
      <c r="DM264" s="182"/>
      <c r="DN264" s="290"/>
      <c r="DO264" s="295"/>
      <c r="DP264" s="29">
        <v>197</v>
      </c>
      <c r="DQ264" s="1504">
        <v>42491</v>
      </c>
      <c r="DR264" s="19"/>
      <c r="DS264" s="93"/>
      <c r="DT264" s="93"/>
      <c r="DU264" s="93"/>
      <c r="DV264" s="93"/>
      <c r="DW264" s="93"/>
      <c r="DX264" s="1719"/>
      <c r="DY264" s="29">
        <v>197</v>
      </c>
      <c r="DZ264" s="1504">
        <v>42491</v>
      </c>
      <c r="EA264" s="19"/>
      <c r="EB264" s="93"/>
      <c r="EC264" s="20"/>
      <c r="ED264" s="29"/>
      <c r="EE264" s="1504">
        <v>42491</v>
      </c>
      <c r="EF264" s="179">
        <v>17860</v>
      </c>
      <c r="EG264" s="99">
        <v>17660</v>
      </c>
      <c r="EH264" s="99">
        <v>35520</v>
      </c>
      <c r="EI264" s="221">
        <v>6107</v>
      </c>
      <c r="EJ264" s="99">
        <v>677.93700000000001</v>
      </c>
      <c r="EK264" s="99">
        <v>218.74100000000001</v>
      </c>
      <c r="EL264" s="99">
        <v>5.3529999999999998</v>
      </c>
      <c r="EM264" s="99">
        <v>7.4909999999999997</v>
      </c>
      <c r="EN264" s="132">
        <v>909.52199999999993</v>
      </c>
      <c r="EO264" s="29">
        <v>197</v>
      </c>
      <c r="EP264" s="1504">
        <v>42491</v>
      </c>
      <c r="EQ264" s="19">
        <v>17378</v>
      </c>
      <c r="ER264" s="93">
        <v>17179</v>
      </c>
      <c r="ES264" s="93">
        <v>34557</v>
      </c>
      <c r="ET264" s="214">
        <v>5695</v>
      </c>
      <c r="EU264" s="93">
        <v>677.93700000000001</v>
      </c>
      <c r="EV264" s="93">
        <v>218.74100000000001</v>
      </c>
      <c r="EW264" s="93">
        <v>5.3529999999999998</v>
      </c>
      <c r="EX264" s="93">
        <v>7.4909999999999997</v>
      </c>
      <c r="EY264" s="20">
        <v>909.52199999999993</v>
      </c>
      <c r="EZ264" s="29">
        <v>197</v>
      </c>
      <c r="FA264" s="1504">
        <v>42491</v>
      </c>
      <c r="FB264" s="29"/>
      <c r="FC264" s="29"/>
      <c r="FD264" s="29"/>
      <c r="FE264" s="29"/>
      <c r="FF264" s="29"/>
      <c r="FG264" s="29"/>
      <c r="FH264" s="29"/>
      <c r="FI264" s="29"/>
      <c r="FJ264" s="29"/>
      <c r="FK264" s="29">
        <v>197</v>
      </c>
      <c r="FL264" s="1504">
        <v>42491</v>
      </c>
      <c r="FM264" s="179">
        <v>101.92</v>
      </c>
      <c r="FN264" s="99">
        <v>105.68</v>
      </c>
      <c r="FO264" s="99">
        <v>106.35</v>
      </c>
      <c r="FP264" s="99">
        <v>94.21</v>
      </c>
      <c r="FQ264" s="99">
        <v>92.24</v>
      </c>
      <c r="FR264" s="99">
        <v>100.68</v>
      </c>
      <c r="FS264" s="99">
        <v>99.23</v>
      </c>
      <c r="FT264" s="99">
        <v>96.59</v>
      </c>
      <c r="FU264" s="99">
        <v>111.57</v>
      </c>
      <c r="FV264" s="99">
        <v>104.85</v>
      </c>
      <c r="FW264" s="99">
        <v>101.4</v>
      </c>
      <c r="FX264" s="99">
        <v>99.26</v>
      </c>
      <c r="FY264" s="99">
        <v>100.63</v>
      </c>
      <c r="FZ264" s="29">
        <v>197</v>
      </c>
      <c r="GA264" s="1504">
        <v>42491</v>
      </c>
      <c r="GB264" s="419">
        <v>101.92</v>
      </c>
      <c r="GC264" s="100">
        <v>97.85</v>
      </c>
      <c r="GD264" s="100">
        <v>104.24</v>
      </c>
      <c r="GE264" s="100">
        <v>88.77</v>
      </c>
      <c r="GF264" s="100">
        <v>108.31</v>
      </c>
      <c r="GG264" s="100">
        <v>100.99</v>
      </c>
      <c r="GH264" s="100">
        <v>107.32</v>
      </c>
      <c r="GI264" s="100">
        <v>98.96</v>
      </c>
      <c r="GJ264" s="100">
        <v>101.49</v>
      </c>
      <c r="GK264" s="100">
        <v>99.91</v>
      </c>
      <c r="GL264" s="100">
        <v>103.94</v>
      </c>
      <c r="GM264" s="100">
        <v>96.23</v>
      </c>
      <c r="GN264" s="306">
        <v>101.49</v>
      </c>
      <c r="GO264" s="29">
        <v>197</v>
      </c>
      <c r="GP264" s="1504">
        <v>42491</v>
      </c>
      <c r="GQ264" s="318">
        <f t="shared" si="240"/>
        <v>260.81500498958587</v>
      </c>
      <c r="GR264" s="511">
        <f t="shared" si="240"/>
        <v>229.52678597184195</v>
      </c>
      <c r="GS264" s="511">
        <f t="shared" si="240"/>
        <v>220.29218493273063</v>
      </c>
      <c r="GT264" s="511">
        <f t="shared" si="240"/>
        <v>185.01374888153998</v>
      </c>
      <c r="GU264" s="511">
        <f t="shared" si="240"/>
        <v>399.14146601154266</v>
      </c>
      <c r="GV264" s="512">
        <f t="shared" si="240"/>
        <v>880.58395420318868</v>
      </c>
      <c r="GW264" s="513">
        <f t="shared" si="240"/>
        <v>453.02910404868334</v>
      </c>
      <c r="GX264" s="511">
        <f t="shared" si="240"/>
        <v>490.58435487199023</v>
      </c>
      <c r="GY264" s="511">
        <f t="shared" si="240"/>
        <v>250.61566317875477</v>
      </c>
      <c r="GZ264" s="511">
        <f t="shared" si="240"/>
        <v>185.15509047830645</v>
      </c>
      <c r="HA264" s="511">
        <f t="shared" si="241"/>
        <v>117.23544095680346</v>
      </c>
      <c r="HB264" s="512">
        <f t="shared" si="241"/>
        <v>713.52981377381172</v>
      </c>
      <c r="HC264" s="513">
        <f t="shared" si="241"/>
        <v>2029.5276539824354</v>
      </c>
      <c r="HD264" s="511">
        <f t="shared" si="241"/>
        <v>2681.642133168612</v>
      </c>
      <c r="HE264" s="511">
        <f t="shared" si="241"/>
        <v>2366.0547618659748</v>
      </c>
      <c r="HF264" s="511">
        <f t="shared" si="241"/>
        <v>3150</v>
      </c>
      <c r="HG264" s="511">
        <f t="shared" si="241"/>
        <v>2353.0150372856524</v>
      </c>
      <c r="HH264" s="512">
        <f t="shared" si="241"/>
        <v>2735.4582921646834</v>
      </c>
      <c r="HI264" s="19"/>
      <c r="HJ264" s="511">
        <v>857.62083925620084</v>
      </c>
      <c r="HK264" s="511">
        <v>1301.3804604192965</v>
      </c>
      <c r="HL264" s="511">
        <v>837.23244460122646</v>
      </c>
      <c r="HM264" s="511">
        <v>800</v>
      </c>
      <c r="HN264" s="512">
        <v>3128.4828290627474</v>
      </c>
      <c r="HO264" s="514">
        <v>141.4824462939213</v>
      </c>
      <c r="HP264" s="512">
        <v>110.28551337058089</v>
      </c>
      <c r="HQ264" s="1510">
        <v>160.17059956983852</v>
      </c>
      <c r="HR264" s="29">
        <v>197</v>
      </c>
      <c r="HS264" s="1504">
        <v>42491</v>
      </c>
      <c r="HT264" s="419">
        <v>208.95059204101563</v>
      </c>
      <c r="HU264" s="100">
        <v>250</v>
      </c>
      <c r="HV264" s="100">
        <v>171.97451171874999</v>
      </c>
      <c r="HW264" s="100">
        <v>144.23077392578125</v>
      </c>
      <c r="HX264" s="100">
        <v>183.33332824707031</v>
      </c>
      <c r="HY264" s="100">
        <v>199.07407188415527</v>
      </c>
      <c r="HZ264" s="100">
        <v>203.9999984741211</v>
      </c>
      <c r="IA264" s="306">
        <v>204.90196228027344</v>
      </c>
      <c r="IB264" s="419">
        <v>228.13687133789063</v>
      </c>
      <c r="IC264" s="100">
        <v>138.19094848632813</v>
      </c>
      <c r="ID264" s="100">
        <v>187.5</v>
      </c>
      <c r="IE264" s="100">
        <v>161.29032897949219</v>
      </c>
      <c r="IF264" s="100">
        <v>208.33333587646484</v>
      </c>
      <c r="IG264" s="306">
        <v>165.79234924316407</v>
      </c>
      <c r="IH264" s="419">
        <v>156.93943786621094</v>
      </c>
      <c r="II264" s="100">
        <v>194.73617553710938</v>
      </c>
      <c r="IJ264" s="100">
        <v>169.49151611328125</v>
      </c>
      <c r="IK264" s="100">
        <v>171.48014831542969</v>
      </c>
      <c r="IL264" s="100">
        <v>166.66666412353516</v>
      </c>
      <c r="IM264" s="100">
        <v>172.75564575195313</v>
      </c>
      <c r="IN264" s="100">
        <f t="shared" si="242"/>
        <v>159.01060485839844</v>
      </c>
      <c r="IO264" s="306">
        <v>161.71013488769532</v>
      </c>
      <c r="IP264" s="29">
        <v>197</v>
      </c>
      <c r="IQ264" s="419">
        <f t="shared" si="242"/>
        <v>185.81211507334277</v>
      </c>
      <c r="IR264" s="100">
        <f t="shared" si="242"/>
        <v>104.5651784892593</v>
      </c>
      <c r="IS264" s="100">
        <f t="shared" si="242"/>
        <v>162.11329073930469</v>
      </c>
      <c r="IT264" s="100">
        <f t="shared" si="242"/>
        <v>137.52115747894013</v>
      </c>
      <c r="IU264" s="100">
        <f t="shared" si="242"/>
        <v>174.31336099721952</v>
      </c>
      <c r="IV264" s="306">
        <f t="shared" si="242"/>
        <v>135.6401643211567</v>
      </c>
      <c r="IW264" s="29">
        <v>197</v>
      </c>
      <c r="IX264" s="419">
        <f t="shared" si="242"/>
        <v>493.04639336973321</v>
      </c>
      <c r="IY264" s="100">
        <f t="shared" si="242"/>
        <v>432.2613166952965</v>
      </c>
      <c r="IZ264" s="100">
        <f t="shared" si="243"/>
        <v>424.08524180128342</v>
      </c>
      <c r="JA264" s="100">
        <f t="shared" si="243"/>
        <v>375</v>
      </c>
      <c r="JB264" s="100">
        <f t="shared" si="243"/>
        <v>375</v>
      </c>
      <c r="JC264" s="100">
        <f t="shared" si="243"/>
        <v>400</v>
      </c>
      <c r="JD264" s="100">
        <f t="shared" si="243"/>
        <v>340</v>
      </c>
      <c r="JE264" s="306">
        <f t="shared" si="243"/>
        <v>409.72944849115504</v>
      </c>
      <c r="JF264" s="29">
        <v>197</v>
      </c>
      <c r="JG264" s="419">
        <f t="shared" si="243"/>
        <v>170.05928282122565</v>
      </c>
      <c r="JH264" s="100">
        <f t="shared" si="243"/>
        <v>194.73617553710938</v>
      </c>
      <c r="JI264" s="100">
        <f t="shared" si="243"/>
        <v>160.77171325683594</v>
      </c>
      <c r="JJ264" s="100">
        <f t="shared" si="243"/>
        <v>163.90903464682722</v>
      </c>
      <c r="JK264" s="100">
        <f t="shared" si="243"/>
        <v>155.13546140698099</v>
      </c>
      <c r="JL264" s="100">
        <f t="shared" si="243"/>
        <v>157.43573760986328</v>
      </c>
      <c r="JM264" s="100">
        <f t="shared" si="243"/>
        <v>183.56829717158109</v>
      </c>
      <c r="JN264" s="306">
        <f t="shared" si="243"/>
        <v>200.84543555264625</v>
      </c>
      <c r="JO264" s="29">
        <v>197</v>
      </c>
      <c r="JP264" s="419">
        <f t="shared" ref="JP264:JU264" si="249">(((JP263/JP262-1)+(JP262/JP261-1))^1/2+1)*JP263</f>
        <v>229.13321390708913</v>
      </c>
      <c r="JQ264" s="100">
        <f t="shared" si="249"/>
        <v>86.103731962664853</v>
      </c>
      <c r="JR264" s="100">
        <f t="shared" si="249"/>
        <v>169.19717538268685</v>
      </c>
      <c r="JS264" s="100"/>
      <c r="JT264" s="100">
        <f t="shared" si="249"/>
        <v>192.96705563863119</v>
      </c>
      <c r="JU264" s="306">
        <f t="shared" si="249"/>
        <v>131.69909587721295</v>
      </c>
      <c r="JV264" s="29">
        <v>197</v>
      </c>
      <c r="JW264" s="1504">
        <v>42491</v>
      </c>
      <c r="JX264" s="419">
        <f>(((JX263/JX262-1)+(JX262/JX261-1))^1/2+1)*JX263</f>
        <v>231.88460645117314</v>
      </c>
      <c r="JY264" s="100">
        <f t="shared" ref="JY264:KD264" si="250">(((JY263/JY262-1)+(JY262/JY261-1))^1/2+1)*JY263</f>
        <v>278.32633342883526</v>
      </c>
      <c r="JZ264" s="100">
        <f t="shared" si="250"/>
        <v>235.08816015583082</v>
      </c>
      <c r="KA264" s="100">
        <f t="shared" si="250"/>
        <v>251.58277737344875</v>
      </c>
      <c r="KB264" s="100">
        <f t="shared" si="250"/>
        <v>251.3169725320478</v>
      </c>
      <c r="KC264" s="100">
        <f t="shared" si="250"/>
        <v>202.95892573388161</v>
      </c>
      <c r="KD264" s="306">
        <f t="shared" si="250"/>
        <v>269.0114433250377</v>
      </c>
      <c r="KE264" s="29">
        <v>197</v>
      </c>
      <c r="KF264" s="100">
        <f t="shared" si="246"/>
        <v>33.659541036352877</v>
      </c>
      <c r="KG264" s="100">
        <f t="shared" si="246"/>
        <v>36.78148065697377</v>
      </c>
      <c r="KH264" s="100">
        <f t="shared" si="246"/>
        <v>46.310388149154385</v>
      </c>
      <c r="KI264" s="100">
        <f t="shared" si="246"/>
        <v>42.995440369847181</v>
      </c>
      <c r="KJ264" s="100">
        <f t="shared" si="246"/>
        <v>23.111715763191757</v>
      </c>
      <c r="KK264" s="306">
        <f t="shared" si="246"/>
        <v>56.265164278107299</v>
      </c>
      <c r="KL264" s="29">
        <v>197</v>
      </c>
      <c r="KM264" s="100">
        <f t="shared" si="247"/>
        <v>16.151035176735444</v>
      </c>
      <c r="KN264" s="100">
        <f t="shared" si="247"/>
        <v>13.968863073377692</v>
      </c>
      <c r="KO264" s="100">
        <f t="shared" si="247"/>
        <v>26.576778546229157</v>
      </c>
      <c r="KP264" s="100">
        <f t="shared" si="247"/>
        <v>28.718629725864677</v>
      </c>
      <c r="KQ264" s="100">
        <f t="shared" si="247"/>
        <v>16.22205890985035</v>
      </c>
      <c r="KR264" s="306">
        <f t="shared" si="247"/>
        <v>25.497909834359007</v>
      </c>
      <c r="KS264" s="29">
        <v>197</v>
      </c>
      <c r="KT264" s="100">
        <f t="shared" si="248"/>
        <v>22.629048470600914</v>
      </c>
      <c r="KU264" s="100">
        <f t="shared" si="248"/>
        <v>21.941185649345943</v>
      </c>
      <c r="KV264" s="100">
        <f t="shared" si="248"/>
        <v>21.584900433839849</v>
      </c>
      <c r="KW264" s="100">
        <f t="shared" si="248"/>
        <v>17.942456125308642</v>
      </c>
      <c r="KX264" s="100">
        <f t="shared" si="248"/>
        <v>12.713320670521089</v>
      </c>
      <c r="KY264" s="100">
        <f t="shared" si="248"/>
        <v>21.544843244157754</v>
      </c>
      <c r="KZ264" s="29">
        <v>197</v>
      </c>
      <c r="LA264" s="1504">
        <v>42491</v>
      </c>
      <c r="LB264" s="19">
        <v>380</v>
      </c>
      <c r="LC264" s="93">
        <v>610</v>
      </c>
      <c r="LD264" s="93">
        <v>602</v>
      </c>
      <c r="LE264" s="93"/>
      <c r="LF264" s="93">
        <v>526</v>
      </c>
      <c r="LG264" s="93"/>
      <c r="LH264" s="20"/>
      <c r="LI264" s="29">
        <v>197</v>
      </c>
      <c r="LJ264" s="19"/>
      <c r="LK264" s="93"/>
      <c r="LL264" s="93"/>
      <c r="LM264" s="93"/>
      <c r="LN264" s="93"/>
      <c r="LO264" s="20"/>
      <c r="LP264" s="29">
        <v>197</v>
      </c>
      <c r="LQ264" s="19"/>
      <c r="LR264" s="93"/>
      <c r="LS264" s="93"/>
      <c r="LT264" s="93"/>
      <c r="LU264" s="93"/>
      <c r="LV264" s="93"/>
      <c r="LW264" s="93"/>
      <c r="LX264" s="93"/>
      <c r="LY264" s="93"/>
      <c r="LZ264" s="93"/>
      <c r="MA264" s="20"/>
      <c r="MB264" s="29">
        <v>197</v>
      </c>
      <c r="MC264" s="1504">
        <v>42491</v>
      </c>
      <c r="MD264" s="19"/>
      <c r="ME264" s="93"/>
      <c r="MF264" s="93"/>
      <c r="MG264" s="93"/>
      <c r="MH264" s="93"/>
      <c r="MI264" s="93"/>
      <c r="MJ264" s="93"/>
      <c r="MK264" s="93"/>
      <c r="ML264" s="93"/>
      <c r="MM264" s="93"/>
      <c r="MN264" s="93"/>
      <c r="MO264" s="93"/>
      <c r="MP264" s="93"/>
      <c r="MQ264" s="93"/>
      <c r="MR264" s="93"/>
      <c r="MS264" s="93"/>
      <c r="MT264" s="93"/>
      <c r="MU264" s="93"/>
      <c r="MV264" s="93"/>
      <c r="MW264" s="93"/>
      <c r="MX264" s="93"/>
      <c r="MY264" s="93"/>
      <c r="MZ264" s="93"/>
      <c r="NA264" s="93"/>
      <c r="NB264" s="93"/>
      <c r="NC264" s="93"/>
      <c r="ND264" s="93"/>
      <c r="NE264" s="93"/>
      <c r="NF264" s="93"/>
      <c r="NG264" s="93"/>
      <c r="NH264" s="93"/>
      <c r="NI264" s="93"/>
      <c r="NJ264" s="93"/>
      <c r="NK264" s="93"/>
      <c r="NL264" s="93"/>
      <c r="NM264" s="93"/>
      <c r="NN264" s="93"/>
      <c r="NO264" s="93"/>
      <c r="NP264" s="93"/>
      <c r="NQ264" s="93"/>
      <c r="NR264" s="93"/>
      <c r="NS264" s="93"/>
      <c r="NT264" s="93"/>
      <c r="NU264" s="93"/>
      <c r="NV264" s="93"/>
      <c r="NW264" s="93"/>
      <c r="NX264" s="93"/>
      <c r="NY264" s="93"/>
      <c r="NZ264" s="93"/>
      <c r="OA264" s="93"/>
      <c r="OB264" s="93"/>
      <c r="OC264" s="93"/>
      <c r="OD264" s="20"/>
      <c r="OE264" s="29">
        <v>197</v>
      </c>
      <c r="OF264" s="1504">
        <v>42491</v>
      </c>
      <c r="OG264" s="19"/>
      <c r="OH264" s="93">
        <v>299.98442998599995</v>
      </c>
      <c r="OI264" s="93">
        <v>1201.9842386406804</v>
      </c>
      <c r="OJ264" s="93">
        <v>0.36761502400000001</v>
      </c>
      <c r="OK264" s="93">
        <v>1031.2301617456803</v>
      </c>
      <c r="OL264" s="93">
        <v>170.38646187099999</v>
      </c>
      <c r="OM264" s="93">
        <v>1501.9686686266803</v>
      </c>
      <c r="ON264" s="93">
        <v>1146.7702750346609</v>
      </c>
      <c r="OO264" s="93">
        <v>2648.7389436613412</v>
      </c>
      <c r="OP264" s="93"/>
      <c r="OQ264" s="93">
        <v>782.95230764098551</v>
      </c>
      <c r="OR264" s="93">
        <v>-130.01416139899993</v>
      </c>
      <c r="OS264" s="93">
        <v>912.96646903998544</v>
      </c>
      <c r="OT264" s="93">
        <v>2132.4578953333557</v>
      </c>
      <c r="OU264" s="93">
        <v>21.966848249999991</v>
      </c>
      <c r="OV264" s="93">
        <v>-41.349151749999983</v>
      </c>
      <c r="OW264" s="93">
        <v>63.315999999999974</v>
      </c>
      <c r="OX264" s="93">
        <v>2110.4910470833556</v>
      </c>
      <c r="OY264" s="93">
        <v>4.1841734199999996</v>
      </c>
      <c r="OZ264" s="93">
        <v>2106.3068736633559</v>
      </c>
      <c r="PA264" s="93">
        <v>387.76748473100002</v>
      </c>
      <c r="PB264" s="93">
        <v>-121.09622541799997</v>
      </c>
      <c r="PC264" s="20">
        <v>2648.7389436613412</v>
      </c>
      <c r="PD264" s="29">
        <v>197</v>
      </c>
      <c r="PE264" s="19"/>
      <c r="PF264" s="93">
        <v>-130.01416139899993</v>
      </c>
      <c r="PG264" s="93">
        <v>673.42080939799996</v>
      </c>
      <c r="PH264" s="93">
        <v>803.43497079699989</v>
      </c>
      <c r="PI264" s="93">
        <v>651.81705384500003</v>
      </c>
      <c r="PJ264" s="93">
        <v>-36.12776286899998</v>
      </c>
      <c r="PK264" s="93">
        <v>129.41829135</v>
      </c>
      <c r="PL264" s="93">
        <v>165.54605421899998</v>
      </c>
      <c r="PM264" s="93">
        <v>4.1841734199999996</v>
      </c>
      <c r="PN264" s="93">
        <v>0.6</v>
      </c>
      <c r="PO264" s="93">
        <v>0</v>
      </c>
      <c r="PP264" s="93">
        <v>6.9885200000000002E-4</v>
      </c>
      <c r="PQ264" s="93">
        <v>3.5834745679999997</v>
      </c>
      <c r="PR264" s="93">
        <v>501.16489192899996</v>
      </c>
      <c r="PS264" s="93">
        <v>363.06281886699998</v>
      </c>
      <c r="PT264" s="93">
        <v>137.46836396099999</v>
      </c>
      <c r="PU264" s="93">
        <v>0.633709101</v>
      </c>
      <c r="PV264" s="93">
        <v>0</v>
      </c>
      <c r="PW264" s="93">
        <v>1.343507029</v>
      </c>
      <c r="PX264" s="93">
        <v>0</v>
      </c>
      <c r="PY264" s="93">
        <v>0</v>
      </c>
      <c r="PZ264" s="93">
        <v>1.343507029</v>
      </c>
      <c r="QA264" s="93">
        <v>0</v>
      </c>
      <c r="QB264" s="93">
        <v>0</v>
      </c>
      <c r="QC264" s="93">
        <v>0</v>
      </c>
      <c r="QD264" s="93">
        <v>7.0919777020000003</v>
      </c>
      <c r="QE264" s="20">
        <v>-19.741073662999995</v>
      </c>
      <c r="QF264" s="1739">
        <v>197</v>
      </c>
      <c r="QG264" s="19"/>
      <c r="QH264" s="1035">
        <v>912.96646903998544</v>
      </c>
      <c r="QI264" s="1035">
        <v>1258.582126336644</v>
      </c>
      <c r="QJ264" s="1035">
        <v>-345.61565729665858</v>
      </c>
      <c r="QK264" s="1035">
        <v>224.001</v>
      </c>
      <c r="QL264" s="1035">
        <v>57.856999999999999</v>
      </c>
      <c r="QM264" s="1035">
        <v>166.14400000000001</v>
      </c>
      <c r="QN264" s="1035">
        <v>0</v>
      </c>
      <c r="QO264" s="1035">
        <v>63.315999999999974</v>
      </c>
      <c r="QP264" s="1035">
        <v>314.89</v>
      </c>
      <c r="QQ264" s="1035">
        <v>-251.57400000000001</v>
      </c>
      <c r="QR264" s="1035">
        <v>2106.3068736633559</v>
      </c>
      <c r="QS264" s="1035">
        <v>21.377960066272358</v>
      </c>
      <c r="QT264" s="1035">
        <v>0</v>
      </c>
      <c r="QU264" s="1035">
        <v>202.84</v>
      </c>
      <c r="QV264" s="1035">
        <v>1882.0889135970835</v>
      </c>
      <c r="QW264" s="93"/>
      <c r="QX264" s="93">
        <v>686.81200000000001</v>
      </c>
      <c r="QY264" s="93">
        <v>1031.2301617456803</v>
      </c>
      <c r="QZ264" s="93">
        <v>1146.504180957661</v>
      </c>
      <c r="RA264" s="93">
        <v>0</v>
      </c>
      <c r="RB264" s="93">
        <v>59.801000000000002</v>
      </c>
      <c r="RC264" s="93">
        <v>3.24</v>
      </c>
      <c r="RD264" s="93">
        <v>17.218999999999998</v>
      </c>
      <c r="RE264" s="93">
        <v>0</v>
      </c>
      <c r="RF264" s="93">
        <v>0</v>
      </c>
      <c r="RG264" s="93">
        <v>299.072</v>
      </c>
      <c r="RH264" s="93">
        <v>62.712000000000018</v>
      </c>
      <c r="RI264" s="93"/>
      <c r="RJ264" s="93"/>
      <c r="RK264" s="93"/>
      <c r="RL264" s="93"/>
      <c r="RM264" s="734"/>
      <c r="RN264" s="29">
        <v>197</v>
      </c>
      <c r="RO264" s="19">
        <v>101</v>
      </c>
      <c r="RP264" s="20"/>
      <c r="RQ264" s="29">
        <v>197</v>
      </c>
      <c r="RR264" s="734">
        <v>2.7246580000000002</v>
      </c>
      <c r="RS264" s="29">
        <v>197</v>
      </c>
      <c r="RT264" s="1504">
        <v>42491</v>
      </c>
      <c r="RU264" s="19">
        <v>798</v>
      </c>
      <c r="RV264" s="20">
        <v>22</v>
      </c>
      <c r="RW264" s="29">
        <v>197</v>
      </c>
      <c r="RX264" s="1504">
        <v>42491</v>
      </c>
      <c r="RY264" s="29"/>
      <c r="RZ264" s="734"/>
      <c r="SA264" s="29"/>
      <c r="SB264" s="29">
        <v>197</v>
      </c>
    </row>
    <row r="265" spans="1:496">
      <c r="A265" s="41">
        <f t="shared" si="238"/>
        <v>2016</v>
      </c>
      <c r="B265" s="1504">
        <v>42522</v>
      </c>
      <c r="C265" s="1813">
        <v>4281</v>
      </c>
      <c r="D265" s="1814">
        <v>30887</v>
      </c>
      <c r="E265" s="1814">
        <v>90</v>
      </c>
      <c r="F265" s="1815">
        <v>376</v>
      </c>
      <c r="G265" s="1814">
        <v>127445</v>
      </c>
      <c r="H265" s="1814">
        <v>13</v>
      </c>
      <c r="I265" s="1814">
        <v>37871</v>
      </c>
      <c r="J265" s="1816">
        <v>22012</v>
      </c>
      <c r="K265" s="1807">
        <v>222975</v>
      </c>
      <c r="L265" s="25">
        <v>198</v>
      </c>
      <c r="M265" s="97"/>
      <c r="N265" s="1504">
        <v>42522</v>
      </c>
      <c r="O265" s="19">
        <v>888</v>
      </c>
      <c r="P265" s="93">
        <v>847</v>
      </c>
      <c r="Q265" s="93">
        <v>3074</v>
      </c>
      <c r="R265" s="93">
        <v>1853</v>
      </c>
      <c r="S265" s="93">
        <v>1595</v>
      </c>
      <c r="T265" s="93">
        <v>567</v>
      </c>
      <c r="U265" s="93">
        <v>301</v>
      </c>
      <c r="V265" s="93">
        <v>1514</v>
      </c>
      <c r="W265" s="93">
        <v>3645</v>
      </c>
      <c r="X265" s="93">
        <v>858</v>
      </c>
      <c r="Y265" s="93">
        <v>135</v>
      </c>
      <c r="Z265" s="93">
        <v>1280</v>
      </c>
      <c r="AA265" s="93">
        <v>650</v>
      </c>
      <c r="AB265" s="132">
        <v>17207</v>
      </c>
      <c r="AC265" s="25">
        <v>198</v>
      </c>
      <c r="AD265" s="97"/>
      <c r="AE265" s="1504">
        <v>42522</v>
      </c>
      <c r="AF265" s="19">
        <v>1925</v>
      </c>
      <c r="AG265" s="93">
        <v>688</v>
      </c>
      <c r="AH265" s="93">
        <v>2214</v>
      </c>
      <c r="AI265" s="93">
        <v>4951</v>
      </c>
      <c r="AJ265" s="93">
        <v>2637</v>
      </c>
      <c r="AK265" s="93">
        <v>1931</v>
      </c>
      <c r="AL265" s="93">
        <v>1063</v>
      </c>
      <c r="AM265" s="93">
        <v>2522</v>
      </c>
      <c r="AN265" s="93">
        <v>5966</v>
      </c>
      <c r="AO265" s="93">
        <v>2111</v>
      </c>
      <c r="AP265" s="93">
        <v>636</v>
      </c>
      <c r="AQ265" s="93">
        <v>2196</v>
      </c>
      <c r="AR265" s="93">
        <v>637</v>
      </c>
      <c r="AS265" s="20">
        <v>29477</v>
      </c>
      <c r="AT265" s="25">
        <v>198</v>
      </c>
      <c r="AU265" s="97"/>
      <c r="AV265" s="1504">
        <v>42522</v>
      </c>
      <c r="AW265" s="19">
        <v>13068</v>
      </c>
      <c r="AX265" s="93">
        <v>3481</v>
      </c>
      <c r="AY265" s="93">
        <v>5545</v>
      </c>
      <c r="AZ265" s="93">
        <v>25805</v>
      </c>
      <c r="BA265" s="93">
        <v>12310</v>
      </c>
      <c r="BB265" s="93">
        <v>6666</v>
      </c>
      <c r="BC265" s="93">
        <v>4478</v>
      </c>
      <c r="BD265" s="93">
        <v>13484</v>
      </c>
      <c r="BE265" s="93">
        <v>13787</v>
      </c>
      <c r="BF265" s="93">
        <v>7142</v>
      </c>
      <c r="BG265" s="93">
        <v>3794</v>
      </c>
      <c r="BH265" s="93">
        <v>12432</v>
      </c>
      <c r="BI265" s="93">
        <v>4951</v>
      </c>
      <c r="BJ265" s="20">
        <v>126943</v>
      </c>
      <c r="BK265" s="25">
        <v>198</v>
      </c>
      <c r="BL265" s="97"/>
      <c r="BM265" s="1504">
        <v>42522</v>
      </c>
      <c r="BN265" s="19">
        <v>139.33199999999999</v>
      </c>
      <c r="BO265" s="93">
        <v>1903.9369999999994</v>
      </c>
      <c r="BP265" s="93">
        <v>5.76</v>
      </c>
      <c r="BQ265" s="93">
        <v>882.09599999999989</v>
      </c>
      <c r="BR265" s="93">
        <v>1.53</v>
      </c>
      <c r="BS265" s="93">
        <v>247.25699999999995</v>
      </c>
      <c r="BT265" s="93">
        <v>417.98399999999992</v>
      </c>
      <c r="BU265" s="132">
        <v>3597.8959999999997</v>
      </c>
      <c r="BV265" s="25">
        <v>198</v>
      </c>
      <c r="BW265" s="97"/>
      <c r="BX265" s="1504">
        <v>42522</v>
      </c>
      <c r="BY265" s="179">
        <v>584.1633270994746</v>
      </c>
      <c r="BZ265" s="99">
        <v>664.95699999999999</v>
      </c>
      <c r="CA265" s="99">
        <v>602.12685882136964</v>
      </c>
      <c r="CB265" s="99">
        <v>38.729003194171369</v>
      </c>
      <c r="CC265" s="99">
        <v>153.08563666666666</v>
      </c>
      <c r="CD265" s="25">
        <v>198</v>
      </c>
      <c r="CE265" s="97"/>
      <c r="CF265" s="1504">
        <v>42522</v>
      </c>
      <c r="CG265" s="1508">
        <v>1.6336234199999999</v>
      </c>
      <c r="CH265" s="568">
        <v>1276.4000000000001</v>
      </c>
      <c r="CI265" s="1708">
        <v>47.686666666666703</v>
      </c>
      <c r="CJ265" s="1509">
        <v>48.48</v>
      </c>
      <c r="CK265" s="1508">
        <v>426.79</v>
      </c>
      <c r="CL265" s="568">
        <v>179.87239199999999</v>
      </c>
      <c r="CM265" s="568">
        <v>0.42879858999999998</v>
      </c>
      <c r="CN265" s="568">
        <v>0.36682484799999998</v>
      </c>
      <c r="CO265" s="568">
        <v>173.0626857</v>
      </c>
      <c r="CP265" s="1509">
        <v>4.1051126709999997</v>
      </c>
      <c r="CQ265" s="1708">
        <v>1365.86</v>
      </c>
      <c r="CR265" s="568">
        <v>2.4075000000000002</v>
      </c>
      <c r="CS265" s="568">
        <v>1.4944</v>
      </c>
      <c r="CT265" s="568">
        <v>110.5</v>
      </c>
      <c r="CU265" s="568">
        <v>51.98</v>
      </c>
      <c r="CV265" s="1709">
        <v>2026.19</v>
      </c>
      <c r="CW265" s="29">
        <v>198</v>
      </c>
      <c r="CX265" s="41">
        <f t="shared" si="239"/>
        <v>2016</v>
      </c>
      <c r="CY265" s="1504">
        <v>42522</v>
      </c>
      <c r="CZ265" s="1916">
        <v>118.3582887488395</v>
      </c>
      <c r="DA265" s="1526">
        <v>73.336277748839493</v>
      </c>
      <c r="DB265" s="1526">
        <v>45.022010999999999</v>
      </c>
      <c r="DC265" s="182">
        <f t="shared" si="235"/>
        <v>585634</v>
      </c>
      <c r="DD265" s="182">
        <f t="shared" si="236"/>
        <v>583970</v>
      </c>
      <c r="DE265" s="182">
        <f t="shared" si="237"/>
        <v>1664</v>
      </c>
      <c r="DF265" s="29">
        <v>198</v>
      </c>
      <c r="DG265" s="1504">
        <v>42522</v>
      </c>
      <c r="DH265" s="181">
        <v>341732</v>
      </c>
      <c r="DI265" s="182"/>
      <c r="DJ265" s="182"/>
      <c r="DK265" s="182"/>
      <c r="DL265" s="182"/>
      <c r="DM265" s="182"/>
      <c r="DN265" s="290"/>
      <c r="DO265" s="295"/>
      <c r="DP265" s="29">
        <v>198</v>
      </c>
      <c r="DQ265" s="1504">
        <v>42522</v>
      </c>
      <c r="DR265" s="19"/>
      <c r="DS265" s="93"/>
      <c r="DT265" s="93"/>
      <c r="DU265" s="93"/>
      <c r="DV265" s="93"/>
      <c r="DW265" s="93"/>
      <c r="DX265" s="1719"/>
      <c r="DY265" s="29">
        <v>198</v>
      </c>
      <c r="DZ265" s="1504">
        <v>42522</v>
      </c>
      <c r="EA265" s="19"/>
      <c r="EB265" s="93"/>
      <c r="EC265" s="20"/>
      <c r="ED265" s="29"/>
      <c r="EE265" s="1504">
        <v>42522</v>
      </c>
      <c r="EF265" s="179">
        <v>16966</v>
      </c>
      <c r="EG265" s="99">
        <v>18347</v>
      </c>
      <c r="EH265" s="99">
        <v>35313</v>
      </c>
      <c r="EI265" s="221">
        <v>5822</v>
      </c>
      <c r="EJ265" s="99">
        <v>593.32399999999996</v>
      </c>
      <c r="EK265" s="99">
        <v>95.183999999999997</v>
      </c>
      <c r="EL265" s="99">
        <v>6.0709999999999997</v>
      </c>
      <c r="EM265" s="99">
        <v>4.8230000000000004</v>
      </c>
      <c r="EN265" s="132">
        <v>699.40199999999993</v>
      </c>
      <c r="EO265" s="29">
        <v>198</v>
      </c>
      <c r="EP265" s="1504">
        <v>42522</v>
      </c>
      <c r="EQ265" s="19">
        <v>16429</v>
      </c>
      <c r="ER265" s="93">
        <v>17822</v>
      </c>
      <c r="ES265" s="93">
        <v>34251</v>
      </c>
      <c r="ET265" s="214">
        <v>5371</v>
      </c>
      <c r="EU265" s="93">
        <v>593.32399999999996</v>
      </c>
      <c r="EV265" s="93">
        <v>95.183999999999997</v>
      </c>
      <c r="EW265" s="93">
        <v>6.0709999999999997</v>
      </c>
      <c r="EX265" s="93">
        <v>4.8230000000000004</v>
      </c>
      <c r="EY265" s="20">
        <v>699.40199999999993</v>
      </c>
      <c r="EZ265" s="29">
        <v>198</v>
      </c>
      <c r="FA265" s="1504">
        <v>42522</v>
      </c>
      <c r="FB265" s="29"/>
      <c r="FC265" s="29"/>
      <c r="FD265" s="29"/>
      <c r="FE265" s="29"/>
      <c r="FF265" s="29"/>
      <c r="FG265" s="29"/>
      <c r="FH265" s="29"/>
      <c r="FI265" s="29"/>
      <c r="FJ265" s="29"/>
      <c r="FK265" s="29">
        <v>198</v>
      </c>
      <c r="FL265" s="1504">
        <v>42522</v>
      </c>
      <c r="FM265" s="19">
        <v>102.05</v>
      </c>
      <c r="FN265" s="93">
        <v>106.97</v>
      </c>
      <c r="FO265" s="93">
        <v>97.73</v>
      </c>
      <c r="FP265" s="93">
        <v>94.02</v>
      </c>
      <c r="FQ265" s="93">
        <v>90.49</v>
      </c>
      <c r="FR265" s="93">
        <v>100.65</v>
      </c>
      <c r="FS265" s="93">
        <v>99.22</v>
      </c>
      <c r="FT265" s="93">
        <v>95.12</v>
      </c>
      <c r="FU265" s="93">
        <v>111.57</v>
      </c>
      <c r="FV265" s="93">
        <v>104.85</v>
      </c>
      <c r="FW265" s="93">
        <v>101.4</v>
      </c>
      <c r="FX265" s="93">
        <v>99.45</v>
      </c>
      <c r="FY265" s="93">
        <v>100.73</v>
      </c>
      <c r="FZ265" s="29">
        <v>198</v>
      </c>
      <c r="GA265" s="1504">
        <v>42522</v>
      </c>
      <c r="GB265" s="19">
        <v>102.05</v>
      </c>
      <c r="GC265" s="100">
        <v>97.45</v>
      </c>
      <c r="GD265" s="100">
        <v>104.74</v>
      </c>
      <c r="GE265" s="93">
        <v>86.03</v>
      </c>
      <c r="GF265" s="93">
        <v>111.15</v>
      </c>
      <c r="GG265" s="100">
        <v>100.61</v>
      </c>
      <c r="GH265" s="93">
        <v>109.1</v>
      </c>
      <c r="GI265" s="93">
        <v>98.53</v>
      </c>
      <c r="GJ265" s="93">
        <v>101.21</v>
      </c>
      <c r="GK265" s="93">
        <v>99.82</v>
      </c>
      <c r="GL265" s="93">
        <v>104.53</v>
      </c>
      <c r="GM265" s="93">
        <v>95.83</v>
      </c>
      <c r="GN265" s="20">
        <v>101.21</v>
      </c>
      <c r="GO265" s="29">
        <v>198</v>
      </c>
      <c r="GP265" s="1504">
        <v>42522</v>
      </c>
      <c r="GQ265" s="181">
        <v>265.52838144416</v>
      </c>
      <c r="GR265" s="182">
        <v>225.03508334223901</v>
      </c>
      <c r="GS265" s="182">
        <v>254.97411505035501</v>
      </c>
      <c r="GT265" s="182">
        <v>195.92354031139601</v>
      </c>
      <c r="GU265" s="182">
        <v>420.40179484069</v>
      </c>
      <c r="GV265" s="290">
        <v>793.72650208862899</v>
      </c>
      <c r="GW265" s="181">
        <v>466.87767798870999</v>
      </c>
      <c r="GX265" s="182">
        <v>460.28178622593998</v>
      </c>
      <c r="GY265" s="182">
        <v>922.26927066446603</v>
      </c>
      <c r="GZ265" s="182">
        <v>239.638368673721</v>
      </c>
      <c r="HA265" s="182">
        <v>600.03024576758003</v>
      </c>
      <c r="HB265" s="290">
        <v>637.62149979634398</v>
      </c>
      <c r="HC265" s="181">
        <v>1677.00074951184</v>
      </c>
      <c r="HD265" s="182">
        <v>2305.5273240340598</v>
      </c>
      <c r="HE265" s="182">
        <v>2401.1264361674798</v>
      </c>
      <c r="HF265" s="182">
        <v>3150</v>
      </c>
      <c r="HG265" s="182">
        <v>2386.03145216654</v>
      </c>
      <c r="HH265" s="290">
        <v>2907.5458624708099</v>
      </c>
      <c r="HI265" s="19"/>
      <c r="HJ265" s="182">
        <v>902.32465627336705</v>
      </c>
      <c r="HK265" s="182">
        <v>1299.4289486120399</v>
      </c>
      <c r="HL265" s="182">
        <v>913.70151648440003</v>
      </c>
      <c r="HM265" s="182">
        <v>800</v>
      </c>
      <c r="HN265" s="290">
        <v>2721.4637696408599</v>
      </c>
      <c r="HO265" s="324">
        <v>127.179189486124</v>
      </c>
      <c r="HP265" s="290">
        <v>101.123534647345</v>
      </c>
      <c r="HQ265" s="295">
        <v>167.75813672284201</v>
      </c>
      <c r="HR265" s="29">
        <v>198</v>
      </c>
      <c r="HS265" s="1504">
        <v>42522</v>
      </c>
      <c r="HT265" s="179">
        <v>213.95059204101563</v>
      </c>
      <c r="HU265" s="99">
        <v>250</v>
      </c>
      <c r="HV265" s="99">
        <v>175.15922546386719</v>
      </c>
      <c r="HW265" s="99">
        <v>144.23077392578125</v>
      </c>
      <c r="HX265" s="99">
        <v>183.33332824707031</v>
      </c>
      <c r="HY265" s="99">
        <v>194.44444274902344</v>
      </c>
      <c r="HZ265" s="99">
        <v>198.19444274902344</v>
      </c>
      <c r="IA265" s="132">
        <v>205.06536102294922</v>
      </c>
      <c r="IB265" s="179">
        <v>219.01139526367189</v>
      </c>
      <c r="IC265" s="99">
        <v>141.3316535949707</v>
      </c>
      <c r="ID265" s="99">
        <v>178.57142639160156</v>
      </c>
      <c r="IE265" s="99">
        <v>151.61291122436523</v>
      </c>
      <c r="IF265" s="99">
        <v>218.33333435058594</v>
      </c>
      <c r="IG265" s="132">
        <v>143.44261932373047</v>
      </c>
      <c r="IH265" s="179">
        <v>155.29470062255859</v>
      </c>
      <c r="II265" s="99">
        <v>194.73617553710938</v>
      </c>
      <c r="IJ265" s="99">
        <v>169.49151611328125</v>
      </c>
      <c r="IK265" s="99">
        <v>171.48014831542969</v>
      </c>
      <c r="IL265" s="99">
        <v>166.66666412353516</v>
      </c>
      <c r="IM265" s="99">
        <v>172.17742538452148</v>
      </c>
      <c r="IN265" s="99">
        <v>176.67845153808594</v>
      </c>
      <c r="IO265" s="132">
        <v>154.51497268676758</v>
      </c>
      <c r="IP265" s="29">
        <v>198</v>
      </c>
      <c r="IQ265" s="179">
        <v>180.39216003417968</v>
      </c>
      <c r="IR265" s="99">
        <v>101.01010131835938</v>
      </c>
      <c r="IS265" s="99">
        <v>150</v>
      </c>
      <c r="IT265" s="99">
        <v>137.13592147827148</v>
      </c>
      <c r="IU265" s="99">
        <v>179.6875</v>
      </c>
      <c r="IV265" s="132">
        <v>118.82352638244629</v>
      </c>
      <c r="IW265" s="29">
        <v>198</v>
      </c>
      <c r="IX265" s="179">
        <v>400</v>
      </c>
      <c r="IY265" s="99">
        <v>378.47222900390625</v>
      </c>
      <c r="IZ265" s="99">
        <v>426.66666666666669</v>
      </c>
      <c r="JA265" s="99">
        <v>375</v>
      </c>
      <c r="JB265" s="99">
        <v>375</v>
      </c>
      <c r="JC265" s="99">
        <v>400</v>
      </c>
      <c r="JD265" s="99">
        <v>340</v>
      </c>
      <c r="JE265" s="132">
        <v>400</v>
      </c>
      <c r="JF265" s="29">
        <v>198</v>
      </c>
      <c r="JG265" s="179">
        <v>173.56362915039063</v>
      </c>
      <c r="JH265" s="99">
        <v>194.73617553710938</v>
      </c>
      <c r="JI265" s="99">
        <v>160.77171325683594</v>
      </c>
      <c r="JJ265" s="99">
        <v>150</v>
      </c>
      <c r="JK265" s="99">
        <v>168.35017395019531</v>
      </c>
      <c r="JL265" s="99">
        <v>157.43573760986328</v>
      </c>
      <c r="JM265" s="99">
        <v>171.02397155761719</v>
      </c>
      <c r="JN265" s="132">
        <v>178.62028884887695</v>
      </c>
      <c r="JO265" s="29">
        <v>198</v>
      </c>
      <c r="JP265" s="179">
        <v>193.33333129882811</v>
      </c>
      <c r="JQ265" s="99">
        <v>102.27272796630859</v>
      </c>
      <c r="JR265" s="99">
        <v>168.10343933105469</v>
      </c>
      <c r="JS265" s="99"/>
      <c r="JT265" s="99">
        <v>187.5</v>
      </c>
      <c r="JU265" s="132">
        <v>112.56684494018555</v>
      </c>
      <c r="JV265" s="29">
        <v>198</v>
      </c>
      <c r="JW265" s="1504">
        <v>42522</v>
      </c>
      <c r="JX265" s="179">
        <v>272.29166666666669</v>
      </c>
      <c r="JY265" s="99">
        <v>321.5</v>
      </c>
      <c r="JZ265" s="99">
        <v>334.4736842105263</v>
      </c>
      <c r="KA265" s="99">
        <v>262.60416666666669</v>
      </c>
      <c r="KB265" s="99">
        <v>258.33333333333331</v>
      </c>
      <c r="KC265" s="99">
        <v>209.67241379310346</v>
      </c>
      <c r="KD265" s="132">
        <v>343.83333333333331</v>
      </c>
      <c r="KE265" s="29">
        <v>198</v>
      </c>
      <c r="KF265" s="179">
        <v>34.225000000000001</v>
      </c>
      <c r="KG265" s="99">
        <v>43.154545454545456</v>
      </c>
      <c r="KH265" s="99">
        <v>49.774999999999999</v>
      </c>
      <c r="KI265" s="99">
        <v>64.590978593272197</v>
      </c>
      <c r="KJ265" s="99">
        <v>31.329545454545453</v>
      </c>
      <c r="KK265" s="132">
        <v>62.421428571428571</v>
      </c>
      <c r="KL265" s="29">
        <v>198</v>
      </c>
      <c r="KM265" s="179">
        <v>19.2</v>
      </c>
      <c r="KN265" s="99">
        <v>15.555084745762711</v>
      </c>
      <c r="KO265" s="99">
        <v>28.05</v>
      </c>
      <c r="KP265" s="99">
        <v>34.352941199999997</v>
      </c>
      <c r="KQ265" s="99">
        <v>22.697916666666668</v>
      </c>
      <c r="KR265" s="132">
        <v>28.071428571428573</v>
      </c>
      <c r="KS265" s="29">
        <v>198</v>
      </c>
      <c r="KT265" s="179">
        <v>24.55</v>
      </c>
      <c r="KU265" s="99">
        <v>23.701754385964911</v>
      </c>
      <c r="KV265" s="99">
        <v>25.512499999999999</v>
      </c>
      <c r="KW265" s="99">
        <v>23.538787878787879</v>
      </c>
      <c r="KX265" s="99">
        <v>15.642000000000001</v>
      </c>
      <c r="KY265" s="132">
        <v>24.15625</v>
      </c>
      <c r="KZ265" s="29">
        <v>198</v>
      </c>
      <c r="LA265" s="1504">
        <v>42522</v>
      </c>
      <c r="LB265" s="19">
        <v>380</v>
      </c>
      <c r="LC265" s="93">
        <v>610</v>
      </c>
      <c r="LD265" s="93">
        <v>602</v>
      </c>
      <c r="LE265" s="93"/>
      <c r="LF265" s="93">
        <v>526</v>
      </c>
      <c r="LG265" s="93"/>
      <c r="LH265" s="20"/>
      <c r="LI265" s="29">
        <v>198</v>
      </c>
      <c r="LJ265" s="19"/>
      <c r="LK265" s="93"/>
      <c r="LL265" s="93"/>
      <c r="LM265" s="93"/>
      <c r="LN265" s="93"/>
      <c r="LO265" s="20"/>
      <c r="LP265" s="29">
        <v>198</v>
      </c>
      <c r="LQ265" s="19"/>
      <c r="LR265" s="93"/>
      <c r="LS265" s="93"/>
      <c r="LT265" s="93"/>
      <c r="LU265" s="93"/>
      <c r="LV265" s="93"/>
      <c r="LW265" s="93"/>
      <c r="LX265" s="93"/>
      <c r="LY265" s="93"/>
      <c r="LZ265" s="93"/>
      <c r="MA265" s="20"/>
      <c r="MB265" s="29">
        <v>198</v>
      </c>
      <c r="MC265" s="1504">
        <v>42522</v>
      </c>
      <c r="MD265" s="19">
        <v>652.96037375645574</v>
      </c>
      <c r="ME265" s="93">
        <v>609.51516099376204</v>
      </c>
      <c r="MF265" s="93">
        <v>609.48498799376205</v>
      </c>
      <c r="MG265" s="93">
        <v>541.29754788876198</v>
      </c>
      <c r="MH265" s="93">
        <v>144.66035413499998</v>
      </c>
      <c r="MI265" s="93">
        <v>4.476341799000001</v>
      </c>
      <c r="MJ265" s="93">
        <v>4.7339612047619051</v>
      </c>
      <c r="MK265" s="93">
        <v>301.82073640099998</v>
      </c>
      <c r="ML265" s="93">
        <v>81.103623539000012</v>
      </c>
      <c r="MM265" s="93">
        <v>4.5025308100000005</v>
      </c>
      <c r="MN265" s="93">
        <v>68.187440104999993</v>
      </c>
      <c r="MO265" s="93">
        <v>2.6803910039999996</v>
      </c>
      <c r="MP265" s="93">
        <v>15.355790890999998</v>
      </c>
      <c r="MQ265" s="93">
        <v>1.4621447650000001</v>
      </c>
      <c r="MR265" s="93">
        <v>19.025589172</v>
      </c>
      <c r="MS265" s="93">
        <v>29.663524273</v>
      </c>
      <c r="MT265" s="93">
        <v>3.0172999999999998E-2</v>
      </c>
      <c r="MU265" s="93">
        <v>43.445212762693806</v>
      </c>
      <c r="MV265" s="93">
        <v>43.445212762693806</v>
      </c>
      <c r="MW265" s="93">
        <v>0</v>
      </c>
      <c r="MX265" s="93">
        <v>716.57792541184097</v>
      </c>
      <c r="MY265" s="93">
        <v>717.53195295584078</v>
      </c>
      <c r="MZ265" s="93">
        <v>516.75403174836504</v>
      </c>
      <c r="NA265" s="93">
        <v>256.88404556299997</v>
      </c>
      <c r="NB265" s="93">
        <v>61.916794244000002</v>
      </c>
      <c r="NC265" s="93">
        <v>26.840648456864955</v>
      </c>
      <c r="ND265" s="93">
        <v>19.676487499</v>
      </c>
      <c r="NE265" s="93">
        <v>7.1641609578649534</v>
      </c>
      <c r="NF265" s="93">
        <v>171.11254348449998</v>
      </c>
      <c r="NG265" s="93">
        <v>4.7779930000000004</v>
      </c>
      <c r="NH265" s="93">
        <v>58.002018081999999</v>
      </c>
      <c r="NI265" s="93">
        <v>3.1691390000000001E-3</v>
      </c>
      <c r="NJ265" s="93">
        <v>0</v>
      </c>
      <c r="NK265" s="93">
        <v>200.77792120747597</v>
      </c>
      <c r="NL265" s="93">
        <v>109.661099448</v>
      </c>
      <c r="NM265" s="93">
        <v>5.4387939279999999</v>
      </c>
      <c r="NN265" s="93">
        <v>85.678027831475916</v>
      </c>
      <c r="NO265" s="93">
        <v>-0.95402754400001011</v>
      </c>
      <c r="NP265" s="93">
        <v>-63.617551655385164</v>
      </c>
      <c r="NQ265" s="93">
        <v>-107.06276441807897</v>
      </c>
      <c r="NR265" s="93">
        <v>5.4559118702618923</v>
      </c>
      <c r="NS265" s="93">
        <v>-21.384736586603047</v>
      </c>
      <c r="NT265" s="93">
        <v>-74.81258851938513</v>
      </c>
      <c r="NU265" s="93">
        <v>-118.25780128207893</v>
      </c>
      <c r="NV265" s="93">
        <v>73.684235162488434</v>
      </c>
      <c r="NW265" s="93">
        <v>28.410691348488427</v>
      </c>
      <c r="NX265" s="93">
        <v>42.232815068782124</v>
      </c>
      <c r="NY265" s="93">
        <v>-13.822123720293696</v>
      </c>
      <c r="NZ265" s="93">
        <v>0</v>
      </c>
      <c r="OA265" s="93">
        <v>45.273543813999986</v>
      </c>
      <c r="OB265" s="93">
        <v>5.7776631639999918</v>
      </c>
      <c r="OC265" s="93">
        <v>39.495880649999997</v>
      </c>
      <c r="OD265" s="20">
        <v>0</v>
      </c>
      <c r="OE265" s="29">
        <v>198</v>
      </c>
      <c r="OF265" s="1504">
        <v>42522</v>
      </c>
      <c r="OG265" s="19"/>
      <c r="OH265" s="93">
        <v>304.71336664399996</v>
      </c>
      <c r="OI265" s="93">
        <v>1165.2206898897855</v>
      </c>
      <c r="OJ265" s="93">
        <v>0.288446588</v>
      </c>
      <c r="OK265" s="93">
        <v>993.62203762378545</v>
      </c>
      <c r="OL265" s="93">
        <v>171.31020567799999</v>
      </c>
      <c r="OM265" s="93">
        <v>1469.9340565337855</v>
      </c>
      <c r="ON265" s="93">
        <v>1138.9443694321119</v>
      </c>
      <c r="OO265" s="93">
        <v>2608.8784259658973</v>
      </c>
      <c r="OP265" s="93"/>
      <c r="OQ265" s="93">
        <v>830.54150418713607</v>
      </c>
      <c r="OR265" s="93">
        <v>-108.78433889700011</v>
      </c>
      <c r="OS265" s="93">
        <v>939.3258430841363</v>
      </c>
      <c r="OT265" s="93">
        <v>2079.0300702707614</v>
      </c>
      <c r="OU265" s="93">
        <v>-3.4380817659999536</v>
      </c>
      <c r="OV265" s="93">
        <v>-63.27108176599998</v>
      </c>
      <c r="OW265" s="93">
        <v>59.833000000000027</v>
      </c>
      <c r="OX265" s="93">
        <v>2082.4681520367612</v>
      </c>
      <c r="OY265" s="93">
        <v>4.2576821420000002</v>
      </c>
      <c r="OZ265" s="93">
        <v>2078.2104698947614</v>
      </c>
      <c r="PA265" s="93">
        <v>394.607343077</v>
      </c>
      <c r="PB265" s="93">
        <v>-93.91419458499999</v>
      </c>
      <c r="PC265" s="20">
        <v>2608.8784259658973</v>
      </c>
      <c r="PD265" s="29">
        <v>198</v>
      </c>
      <c r="PE265" s="19"/>
      <c r="PF265" s="93">
        <v>-108.78433889700011</v>
      </c>
      <c r="PG265" s="93">
        <v>712.74095502399996</v>
      </c>
      <c r="PH265" s="93">
        <v>821.52529392100007</v>
      </c>
      <c r="PI265" s="93">
        <v>706.66005384499999</v>
      </c>
      <c r="PJ265" s="93">
        <v>-58.055629542999981</v>
      </c>
      <c r="PK265" s="93">
        <v>139.57482808600002</v>
      </c>
      <c r="PL265" s="93">
        <v>197.63045762900001</v>
      </c>
      <c r="PM265" s="93">
        <v>4.2576821420000002</v>
      </c>
      <c r="PN265" s="93">
        <v>0.6</v>
      </c>
      <c r="PO265" s="93">
        <v>0</v>
      </c>
      <c r="PP265" s="93">
        <v>6.1885200000000003E-4</v>
      </c>
      <c r="PQ265" s="93">
        <v>3.65706329</v>
      </c>
      <c r="PR265" s="93">
        <v>531.3466275479999</v>
      </c>
      <c r="PS265" s="93">
        <v>363.06281886699998</v>
      </c>
      <c r="PT265" s="93">
        <v>167.72926801599999</v>
      </c>
      <c r="PU265" s="93">
        <v>0.55454066499999999</v>
      </c>
      <c r="PV265" s="93">
        <v>0</v>
      </c>
      <c r="PW265" s="93">
        <v>0.65777567199999998</v>
      </c>
      <c r="PX265" s="93">
        <v>0</v>
      </c>
      <c r="PY265" s="93">
        <v>0</v>
      </c>
      <c r="PZ265" s="93">
        <v>0.65777567199999998</v>
      </c>
      <c r="QA265" s="93">
        <v>0</v>
      </c>
      <c r="QB265" s="93">
        <v>0</v>
      </c>
      <c r="QC265" s="93">
        <v>0</v>
      </c>
      <c r="QD265" s="93">
        <v>8.5795674049999988</v>
      </c>
      <c r="QE265" s="20">
        <v>3.493796922</v>
      </c>
      <c r="QF265" s="1739">
        <v>198</v>
      </c>
      <c r="QG265" s="19"/>
      <c r="QH265" s="1035">
        <v>939.3258430841363</v>
      </c>
      <c r="QI265" s="1035">
        <v>1291.8365301052388</v>
      </c>
      <c r="QJ265" s="1035">
        <v>-352.51068702110257</v>
      </c>
      <c r="QK265" s="1035">
        <v>201.30500000000001</v>
      </c>
      <c r="QL265" s="1035">
        <v>53.134</v>
      </c>
      <c r="QM265" s="1035">
        <v>148.17100000000002</v>
      </c>
      <c r="QN265" s="1035">
        <v>0</v>
      </c>
      <c r="QO265" s="1035">
        <v>59.833000000000027</v>
      </c>
      <c r="QP265" s="1035">
        <v>313.85200000000003</v>
      </c>
      <c r="QQ265" s="1035">
        <v>-254.01900000000001</v>
      </c>
      <c r="QR265" s="1035">
        <v>2078.2104698947614</v>
      </c>
      <c r="QS265" s="1035">
        <v>22.153529331499048</v>
      </c>
      <c r="QT265" s="1035">
        <v>0</v>
      </c>
      <c r="QU265" s="1035">
        <v>194.149</v>
      </c>
      <c r="QV265" s="1035">
        <v>1861.9079405632622</v>
      </c>
      <c r="QW265" s="93"/>
      <c r="QX265" s="93">
        <v>709.52700000000004</v>
      </c>
      <c r="QY265" s="93">
        <v>993.62203762378545</v>
      </c>
      <c r="QZ265" s="93">
        <v>1138.678275355112</v>
      </c>
      <c r="RA265" s="93">
        <v>0</v>
      </c>
      <c r="RB265" s="93">
        <v>60.092999999999996</v>
      </c>
      <c r="RC265" s="93">
        <v>3.26</v>
      </c>
      <c r="RD265" s="93">
        <v>21.01</v>
      </c>
      <c r="RE265" s="93">
        <v>0</v>
      </c>
      <c r="RF265" s="93">
        <v>0</v>
      </c>
      <c r="RG265" s="93">
        <v>301.00700000000001</v>
      </c>
      <c r="RH265" s="93">
        <v>51.477000000000004</v>
      </c>
      <c r="RI265" s="93"/>
      <c r="RJ265" s="93"/>
      <c r="RK265" s="93"/>
      <c r="RL265" s="93"/>
      <c r="RM265" s="734"/>
      <c r="RN265" s="29">
        <v>198</v>
      </c>
      <c r="RO265" s="19">
        <v>97</v>
      </c>
      <c r="RP265" s="20">
        <v>374</v>
      </c>
      <c r="RQ265" s="29">
        <v>198</v>
      </c>
      <c r="RR265" s="734">
        <v>3.2151105399999991</v>
      </c>
      <c r="RS265" s="29">
        <v>198</v>
      </c>
      <c r="RT265" s="1504">
        <v>42522</v>
      </c>
      <c r="RU265" s="19">
        <v>919</v>
      </c>
      <c r="RV265" s="20">
        <v>21</v>
      </c>
      <c r="RW265" s="29">
        <v>198</v>
      </c>
      <c r="RX265" s="1504">
        <v>42522</v>
      </c>
      <c r="RY265" s="29"/>
      <c r="RZ265" s="734"/>
      <c r="SA265" s="29"/>
      <c r="SB265" s="29">
        <v>198</v>
      </c>
    </row>
    <row r="266" spans="1:496">
      <c r="A266" s="41">
        <f t="shared" si="238"/>
        <v>2016</v>
      </c>
      <c r="B266" s="1504">
        <v>42552</v>
      </c>
      <c r="C266" s="1813">
        <v>2531</v>
      </c>
      <c r="D266" s="1814">
        <v>27689</v>
      </c>
      <c r="E266" s="1814">
        <v>51</v>
      </c>
      <c r="F266" s="1815">
        <v>293</v>
      </c>
      <c r="G266" s="1814">
        <v>111165</v>
      </c>
      <c r="H266" s="1814">
        <v>15</v>
      </c>
      <c r="I266" s="1814">
        <v>36387</v>
      </c>
      <c r="J266" s="1816">
        <v>19258</v>
      </c>
      <c r="K266" s="1807">
        <v>197389</v>
      </c>
      <c r="L266" s="25">
        <v>199</v>
      </c>
      <c r="M266" s="97"/>
      <c r="N266" s="1504">
        <v>42552</v>
      </c>
      <c r="O266" s="19">
        <v>831</v>
      </c>
      <c r="P266" s="93">
        <v>694</v>
      </c>
      <c r="Q266" s="93">
        <v>2956</v>
      </c>
      <c r="R266" s="93">
        <v>1890</v>
      </c>
      <c r="S266" s="93">
        <v>1465</v>
      </c>
      <c r="T266" s="93">
        <v>545</v>
      </c>
      <c r="U266" s="93">
        <v>212</v>
      </c>
      <c r="V266" s="93">
        <v>1683</v>
      </c>
      <c r="W266" s="93">
        <v>3666</v>
      </c>
      <c r="X266" s="93">
        <v>703</v>
      </c>
      <c r="Y266" s="93">
        <v>235</v>
      </c>
      <c r="Z266" s="93">
        <v>1340</v>
      </c>
      <c r="AA266" s="93">
        <v>629</v>
      </c>
      <c r="AB266" s="132">
        <v>16849</v>
      </c>
      <c r="AC266" s="25">
        <v>199</v>
      </c>
      <c r="AD266" s="97"/>
      <c r="AE266" s="1504">
        <v>42552</v>
      </c>
      <c r="AF266" s="19">
        <v>1658</v>
      </c>
      <c r="AG266" s="93">
        <v>580</v>
      </c>
      <c r="AH266" s="93">
        <v>2255</v>
      </c>
      <c r="AI266" s="93">
        <v>2887</v>
      </c>
      <c r="AJ266" s="93">
        <v>2799</v>
      </c>
      <c r="AK266" s="93">
        <v>2452</v>
      </c>
      <c r="AL266" s="93">
        <v>916</v>
      </c>
      <c r="AM266" s="93">
        <v>2436</v>
      </c>
      <c r="AN266" s="93">
        <v>5810</v>
      </c>
      <c r="AO266" s="93">
        <v>2074</v>
      </c>
      <c r="AP266" s="93">
        <v>733</v>
      </c>
      <c r="AQ266" s="93">
        <v>2013</v>
      </c>
      <c r="AR266" s="93">
        <v>860</v>
      </c>
      <c r="AS266" s="20">
        <v>27473</v>
      </c>
      <c r="AT266" s="25">
        <v>199</v>
      </c>
      <c r="AU266" s="97"/>
      <c r="AV266" s="1504">
        <v>42552</v>
      </c>
      <c r="AW266" s="19">
        <v>10790</v>
      </c>
      <c r="AX266" s="93">
        <v>3453</v>
      </c>
      <c r="AY266" s="93">
        <v>6070</v>
      </c>
      <c r="AZ266" s="93">
        <v>16343</v>
      </c>
      <c r="BA266" s="93">
        <v>9797</v>
      </c>
      <c r="BB266" s="93">
        <v>6547</v>
      </c>
      <c r="BC266" s="93">
        <v>4943</v>
      </c>
      <c r="BD266" s="93">
        <v>13455</v>
      </c>
      <c r="BE266" s="93">
        <v>12354</v>
      </c>
      <c r="BF266" s="93">
        <v>5588</v>
      </c>
      <c r="BG266" s="93">
        <v>4944</v>
      </c>
      <c r="BH266" s="93">
        <v>10866</v>
      </c>
      <c r="BI266" s="93">
        <v>5112</v>
      </c>
      <c r="BJ266" s="20">
        <v>110262</v>
      </c>
      <c r="BK266" s="25">
        <v>199</v>
      </c>
      <c r="BL266" s="97"/>
      <c r="BM266" s="1504">
        <v>42552</v>
      </c>
      <c r="BN266" s="19">
        <v>121.73700000000001</v>
      </c>
      <c r="BO266" s="93">
        <v>1780.5409999999997</v>
      </c>
      <c r="BP266" s="93">
        <v>7.4879999999999995</v>
      </c>
      <c r="BQ266" s="93">
        <v>975.71199999999999</v>
      </c>
      <c r="BR266" s="93">
        <v>1.224</v>
      </c>
      <c r="BS266" s="93">
        <v>247.16699999999994</v>
      </c>
      <c r="BT266" s="93">
        <v>383.97599999999994</v>
      </c>
      <c r="BU266" s="132">
        <v>3517.8450000000003</v>
      </c>
      <c r="BV266" s="25">
        <v>199</v>
      </c>
      <c r="BW266" s="97"/>
      <c r="BX266" s="1504">
        <v>42552</v>
      </c>
      <c r="BY266" s="179">
        <v>592.60728159725363</v>
      </c>
      <c r="BZ266" s="99">
        <v>664.95699999999999</v>
      </c>
      <c r="CA266" s="99">
        <v>603.62289500322072</v>
      </c>
      <c r="CB266" s="99">
        <v>41.13898487917767</v>
      </c>
      <c r="CC266" s="100">
        <f>AVERAGE(CC263:CC265)</f>
        <v>152.71469527746879</v>
      </c>
      <c r="CD266" s="25">
        <v>199</v>
      </c>
      <c r="CE266" s="97"/>
      <c r="CF266" s="1504">
        <v>42552</v>
      </c>
      <c r="CG266" s="1508">
        <v>1.787064972</v>
      </c>
      <c r="CH266" s="568">
        <v>1336.66</v>
      </c>
      <c r="CI266" s="1708">
        <v>44.126666666666701</v>
      </c>
      <c r="CJ266" s="1509">
        <v>45.07</v>
      </c>
      <c r="CK266" s="1508">
        <v>417.89</v>
      </c>
      <c r="CL266" s="568">
        <v>161.75917519999999</v>
      </c>
      <c r="CM266" s="568">
        <v>0.43210552000000002</v>
      </c>
      <c r="CN266" s="568">
        <v>0.36140395199999997</v>
      </c>
      <c r="CO266" s="568">
        <v>151.75135710000001</v>
      </c>
      <c r="CP266" s="1509">
        <v>4.2554677549999997</v>
      </c>
      <c r="CQ266" s="1708">
        <v>1415.37</v>
      </c>
      <c r="CR266" s="568">
        <v>2.4325000000000001</v>
      </c>
      <c r="CS266" s="568">
        <v>1.5931999999999999</v>
      </c>
      <c r="CT266" s="568">
        <v>110.5</v>
      </c>
      <c r="CU266" s="568">
        <v>57.26</v>
      </c>
      <c r="CV266" s="1709">
        <v>2183.25</v>
      </c>
      <c r="CW266" s="29">
        <v>199</v>
      </c>
      <c r="CX266" s="41">
        <f t="shared" si="239"/>
        <v>2016</v>
      </c>
      <c r="CY266" s="1504">
        <v>42552</v>
      </c>
      <c r="CZ266" s="1916">
        <v>114.97994399999999</v>
      </c>
      <c r="DA266" s="1526">
        <v>70.779854999999998</v>
      </c>
      <c r="DB266" s="1526">
        <v>44.200088999999998</v>
      </c>
      <c r="DC266" s="182">
        <f t="shared" si="235"/>
        <v>585634</v>
      </c>
      <c r="DD266" s="182">
        <f t="shared" si="236"/>
        <v>583970</v>
      </c>
      <c r="DE266" s="182">
        <f t="shared" si="237"/>
        <v>1664</v>
      </c>
      <c r="DF266" s="29">
        <v>199</v>
      </c>
      <c r="DG266" s="1504">
        <v>42552</v>
      </c>
      <c r="DH266" s="181">
        <v>343084</v>
      </c>
      <c r="DI266" s="182"/>
      <c r="DJ266" s="182"/>
      <c r="DK266" s="182"/>
      <c r="DL266" s="182"/>
      <c r="DM266" s="182"/>
      <c r="DN266" s="290"/>
      <c r="DO266" s="295"/>
      <c r="DP266" s="29">
        <v>199</v>
      </c>
      <c r="DQ266" s="1504">
        <v>42552</v>
      </c>
      <c r="DR266" s="19"/>
      <c r="DS266" s="93"/>
      <c r="DT266" s="93"/>
      <c r="DU266" s="93"/>
      <c r="DV266" s="93"/>
      <c r="DW266" s="93"/>
      <c r="DX266" s="1719"/>
      <c r="DY266" s="29">
        <v>199</v>
      </c>
      <c r="DZ266" s="1504">
        <v>42552</v>
      </c>
      <c r="EA266" s="19"/>
      <c r="EB266" s="93"/>
      <c r="EC266" s="20"/>
      <c r="ED266" s="29"/>
      <c r="EE266" s="1504">
        <v>42552</v>
      </c>
      <c r="EF266" s="419">
        <f t="shared" ref="EF266:EN267" si="251">(((EF265/EF264-1)+(EF264/EF263-1))^1/2+1)*EF265</f>
        <v>16678.446716661885</v>
      </c>
      <c r="EG266" s="100">
        <f t="shared" si="251"/>
        <v>18282.605227302065</v>
      </c>
      <c r="EH266" s="100">
        <f t="shared" si="251"/>
        <v>34933.165324298956</v>
      </c>
      <c r="EI266" s="420">
        <f t="shared" si="251"/>
        <v>5747.475352014636</v>
      </c>
      <c r="EJ266" s="100">
        <f t="shared" si="251"/>
        <v>580.77018812542758</v>
      </c>
      <c r="EK266" s="100">
        <f t="shared" si="251"/>
        <v>74.918823517179945</v>
      </c>
      <c r="EL266" s="100">
        <f t="shared" si="251"/>
        <v>5.7527226864009409</v>
      </c>
      <c r="EM266" s="100">
        <f t="shared" si="251"/>
        <v>3.9845713570608914</v>
      </c>
      <c r="EN266" s="306">
        <f t="shared" si="251"/>
        <v>650.96200771319764</v>
      </c>
      <c r="EO266" s="29">
        <v>199</v>
      </c>
      <c r="EP266" s="1504">
        <v>42552</v>
      </c>
      <c r="EQ266" s="419">
        <f t="shared" ref="EQ266:EY267" si="252">(((EQ265/EQ264-1)+(EQ264/EQ263-1))^1/2+1)*EQ265</f>
        <v>16184.357640223228</v>
      </c>
      <c r="ER266" s="100">
        <f t="shared" si="252"/>
        <v>17834.997587595037</v>
      </c>
      <c r="ES266" s="100">
        <f t="shared" si="252"/>
        <v>33991.01854838321</v>
      </c>
      <c r="ET266" s="420">
        <f t="shared" si="252"/>
        <v>5295.84613533639</v>
      </c>
      <c r="EU266" s="100">
        <f t="shared" si="252"/>
        <v>580.85430441029314</v>
      </c>
      <c r="EV266" s="100">
        <f t="shared" si="252"/>
        <v>74.918823517179945</v>
      </c>
      <c r="EW266" s="100">
        <f t="shared" si="252"/>
        <v>5.7860377985280449</v>
      </c>
      <c r="EX266" s="100">
        <f t="shared" si="252"/>
        <v>3.9845713570608914</v>
      </c>
      <c r="EY266" s="306">
        <f t="shared" si="252"/>
        <v>650.96212886612454</v>
      </c>
      <c r="EZ266" s="29">
        <v>199</v>
      </c>
      <c r="FA266" s="1504">
        <v>42552</v>
      </c>
      <c r="FB266" s="29"/>
      <c r="FC266" s="29"/>
      <c r="FD266" s="29"/>
      <c r="FE266" s="29"/>
      <c r="FF266" s="29"/>
      <c r="FG266" s="29"/>
      <c r="FH266" s="29"/>
      <c r="FI266" s="29"/>
      <c r="FJ266" s="29"/>
      <c r="FK266" s="29">
        <v>199</v>
      </c>
      <c r="FL266" s="1504">
        <v>42552</v>
      </c>
      <c r="FM266" s="19">
        <v>101.96</v>
      </c>
      <c r="FN266" s="93">
        <v>105.65</v>
      </c>
      <c r="FO266" s="93">
        <v>101.17</v>
      </c>
      <c r="FP266" s="93">
        <v>94.01</v>
      </c>
      <c r="FQ266" s="93">
        <v>94.97</v>
      </c>
      <c r="FR266" s="93">
        <v>100.64</v>
      </c>
      <c r="FS266" s="93">
        <v>99.06</v>
      </c>
      <c r="FT266" s="93">
        <v>95.06</v>
      </c>
      <c r="FU266" s="93">
        <v>111.57</v>
      </c>
      <c r="FV266" s="93">
        <v>104.85</v>
      </c>
      <c r="FW266" s="93">
        <v>100.5</v>
      </c>
      <c r="FX266" s="93">
        <v>99.2</v>
      </c>
      <c r="FY266" s="93">
        <v>100.74</v>
      </c>
      <c r="FZ266" s="29">
        <v>199</v>
      </c>
      <c r="GA266" s="1504">
        <v>42552</v>
      </c>
      <c r="GB266" s="19">
        <v>101.96</v>
      </c>
      <c r="GC266" s="100">
        <v>97.86</v>
      </c>
      <c r="GD266" s="100">
        <v>104.18</v>
      </c>
      <c r="GE266" s="93">
        <v>92.43</v>
      </c>
      <c r="GF266" s="93">
        <v>109.06</v>
      </c>
      <c r="GG266" s="100">
        <v>100.34</v>
      </c>
      <c r="GH266" s="93">
        <v>108.28</v>
      </c>
      <c r="GI266" s="93">
        <v>98.3</v>
      </c>
      <c r="GJ266" s="93">
        <v>101.16</v>
      </c>
      <c r="GK266" s="93">
        <v>99.83</v>
      </c>
      <c r="GL266" s="93">
        <v>104.06</v>
      </c>
      <c r="GM266" s="93">
        <v>95.77</v>
      </c>
      <c r="GN266" s="20">
        <v>101.16</v>
      </c>
      <c r="GO266" s="29">
        <v>199</v>
      </c>
      <c r="GP266" s="1504">
        <v>42552</v>
      </c>
      <c r="GQ266" s="181">
        <v>250.259942766129</v>
      </c>
      <c r="GR266" s="182">
        <v>211.756508386815</v>
      </c>
      <c r="GS266" s="182">
        <v>227.20672802997299</v>
      </c>
      <c r="GT266" s="182">
        <v>207.74230661955301</v>
      </c>
      <c r="GU266" s="182">
        <v>402.240915779516</v>
      </c>
      <c r="GV266" s="290">
        <v>780.70960606232597</v>
      </c>
      <c r="GW266" s="181">
        <v>439.127471788744</v>
      </c>
      <c r="GX266" s="182">
        <v>458.07709254782799</v>
      </c>
      <c r="GY266" s="182">
        <v>895.60574525437301</v>
      </c>
      <c r="GZ266" s="182">
        <v>360.50877938580402</v>
      </c>
      <c r="HA266" s="182">
        <v>388.45556403812799</v>
      </c>
      <c r="HB266" s="290">
        <v>615.36344349996602</v>
      </c>
      <c r="HC266" s="181">
        <v>1865.4422730167901</v>
      </c>
      <c r="HD266" s="182">
        <v>2184.8170533898501</v>
      </c>
      <c r="HE266" s="182">
        <v>2229.44697560748</v>
      </c>
      <c r="HF266" s="182">
        <v>3125</v>
      </c>
      <c r="HG266" s="182">
        <v>2366.2005896659798</v>
      </c>
      <c r="HH266" s="290">
        <v>2688.69709407343</v>
      </c>
      <c r="HI266" s="19"/>
      <c r="HJ266" s="182">
        <v>861.98042508406604</v>
      </c>
      <c r="HK266" s="182">
        <v>1342.85028521763</v>
      </c>
      <c r="HL266" s="182">
        <v>930.35084108354704</v>
      </c>
      <c r="HM266" s="182">
        <v>809.375</v>
      </c>
      <c r="HN266" s="290">
        <v>2460.8370506808101</v>
      </c>
      <c r="HO266" s="324">
        <v>139.66354952411001</v>
      </c>
      <c r="HP266" s="290">
        <v>99.781669339224294</v>
      </c>
      <c r="HQ266" s="295">
        <v>148.16321080698799</v>
      </c>
      <c r="HR266" s="29">
        <v>199</v>
      </c>
      <c r="HS266" s="1504">
        <v>42552</v>
      </c>
      <c r="HT266" s="179">
        <v>211.45059204101599</v>
      </c>
      <c r="HU266" s="99">
        <v>250</v>
      </c>
      <c r="HV266" s="99">
        <v>171.97451171874999</v>
      </c>
      <c r="HW266" s="99">
        <v>144.23077392578099</v>
      </c>
      <c r="HX266" s="99">
        <v>183.33332824707</v>
      </c>
      <c r="HY266" s="99">
        <v>196.604936218262</v>
      </c>
      <c r="HZ266" s="99">
        <v>195.33333282470701</v>
      </c>
      <c r="IA266" s="132">
        <v>200.57189941406301</v>
      </c>
      <c r="IB266" s="179">
        <v>226.23572921752901</v>
      </c>
      <c r="IC266" s="99">
        <v>128.140704345703</v>
      </c>
      <c r="ID266" s="99">
        <v>178.57142639160199</v>
      </c>
      <c r="IE266" s="99">
        <v>152.68817647298201</v>
      </c>
      <c r="IF266" s="99">
        <v>216.66667175293</v>
      </c>
      <c r="IG266" s="132">
        <v>137.70491027832</v>
      </c>
      <c r="IH266" s="179">
        <v>144.68833923339801</v>
      </c>
      <c r="II266" s="99">
        <v>194.73617553710901</v>
      </c>
      <c r="IJ266" s="99">
        <v>169.49151611328099</v>
      </c>
      <c r="IK266" s="99">
        <v>171.48014831543</v>
      </c>
      <c r="IL266" s="99">
        <v>168.518516540527</v>
      </c>
      <c r="IM266" s="99">
        <v>170.96774291992199</v>
      </c>
      <c r="IN266" s="99">
        <v>176.67845153808599</v>
      </c>
      <c r="IO266" s="132">
        <v>161.20419616699201</v>
      </c>
      <c r="IP266" s="29">
        <v>199</v>
      </c>
      <c r="IQ266" s="179">
        <v>196.07843017578099</v>
      </c>
      <c r="IR266" s="99">
        <v>108.585856628418</v>
      </c>
      <c r="IS266" s="99">
        <v>147.22222391764299</v>
      </c>
      <c r="IT266" s="99">
        <v>130.52858988444001</v>
      </c>
      <c r="IU266" s="99">
        <v>187.5</v>
      </c>
      <c r="IV266" s="132">
        <v>117.64705657959</v>
      </c>
      <c r="IW266" s="29">
        <v>199</v>
      </c>
      <c r="IX266" s="179">
        <v>400</v>
      </c>
      <c r="IY266" s="99">
        <v>388.47222900390602</v>
      </c>
      <c r="IZ266" s="99">
        <v>413.75</v>
      </c>
      <c r="JA266" s="99">
        <v>375</v>
      </c>
      <c r="JB266" s="99">
        <v>380</v>
      </c>
      <c r="JC266" s="99">
        <v>400</v>
      </c>
      <c r="JD266" s="99">
        <v>340</v>
      </c>
      <c r="JE266" s="132">
        <v>400</v>
      </c>
      <c r="JF266" s="29">
        <v>199</v>
      </c>
      <c r="JG266" s="179">
        <v>153.25478057861301</v>
      </c>
      <c r="JH266" s="99">
        <v>194.73617553710901</v>
      </c>
      <c r="JI266" s="99">
        <v>160.77171325683599</v>
      </c>
      <c r="JJ266" s="99">
        <v>150</v>
      </c>
      <c r="JK266" s="99">
        <v>168.350173950195</v>
      </c>
      <c r="JL266" s="99">
        <v>159.17992401123001</v>
      </c>
      <c r="JM266" s="99">
        <v>171.56863403320301</v>
      </c>
      <c r="JN266" s="132">
        <v>182.88234405517599</v>
      </c>
      <c r="JO266" s="29">
        <v>199</v>
      </c>
      <c r="JP266" s="179">
        <v>198.14814758300801</v>
      </c>
      <c r="JQ266" s="99">
        <v>101.136363983154</v>
      </c>
      <c r="JR266" s="99">
        <v>158.045969645182</v>
      </c>
      <c r="JS266" s="99"/>
      <c r="JT266" s="99">
        <v>187.5</v>
      </c>
      <c r="JU266" s="132">
        <v>106.951873779297</v>
      </c>
      <c r="JV266" s="29">
        <v>199</v>
      </c>
      <c r="JW266" s="1504">
        <v>42552</v>
      </c>
      <c r="JX266" s="179">
        <v>248.33333333333334</v>
      </c>
      <c r="JY266" s="99">
        <v>270.25974025974028</v>
      </c>
      <c r="JZ266" s="99">
        <v>312.44444444444446</v>
      </c>
      <c r="KA266" s="99">
        <v>215.41666666666666</v>
      </c>
      <c r="KB266" s="99">
        <v>231.38888888888889</v>
      </c>
      <c r="KC266" s="99">
        <v>270.03947368421052</v>
      </c>
      <c r="KD266" s="132">
        <v>312.60869565217388</v>
      </c>
      <c r="KE266" s="29">
        <v>199</v>
      </c>
      <c r="KF266" s="179">
        <v>34.125</v>
      </c>
      <c r="KG266" s="99">
        <v>39.658333333333339</v>
      </c>
      <c r="KH266" s="99">
        <v>44.066666666666663</v>
      </c>
      <c r="KI266" s="99">
        <v>49.166666666666664</v>
      </c>
      <c r="KJ266" s="99">
        <v>38.640625</v>
      </c>
      <c r="KK266" s="132">
        <v>65.646586345381522</v>
      </c>
      <c r="KL266" s="29">
        <v>199</v>
      </c>
      <c r="KM266" s="179">
        <v>22.867647058823529</v>
      </c>
      <c r="KN266" s="99">
        <v>19.35144927536232</v>
      </c>
      <c r="KO266" s="99">
        <v>30.008333333333333</v>
      </c>
      <c r="KP266" s="99">
        <v>30.52941176470588</v>
      </c>
      <c r="KQ266" s="99">
        <v>22.216666666666669</v>
      </c>
      <c r="KR266" s="132">
        <v>31.759649122807019</v>
      </c>
      <c r="KS266" s="29">
        <v>199</v>
      </c>
      <c r="KT266" s="179">
        <v>24.458333333333332</v>
      </c>
      <c r="KU266" s="99">
        <v>22.215517241379313</v>
      </c>
      <c r="KV266" s="99">
        <v>28.483333333333331</v>
      </c>
      <c r="KW266" s="99">
        <v>27.25</v>
      </c>
      <c r="KX266" s="99">
        <v>18.2653169014085</v>
      </c>
      <c r="KY266" s="132">
        <v>25.252118644067796</v>
      </c>
      <c r="KZ266" s="29">
        <v>199</v>
      </c>
      <c r="LA266" s="1504">
        <v>42552</v>
      </c>
      <c r="LB266" s="19">
        <v>380</v>
      </c>
      <c r="LC266" s="93">
        <v>610</v>
      </c>
      <c r="LD266" s="93">
        <v>602</v>
      </c>
      <c r="LE266" s="93"/>
      <c r="LF266" s="93">
        <v>526</v>
      </c>
      <c r="LG266" s="93"/>
      <c r="LH266" s="20"/>
      <c r="LI266" s="29">
        <v>199</v>
      </c>
      <c r="LJ266" s="19"/>
      <c r="LK266" s="93"/>
      <c r="LL266" s="93"/>
      <c r="LM266" s="93"/>
      <c r="LN266" s="93"/>
      <c r="LO266" s="20"/>
      <c r="LP266" s="29">
        <v>199</v>
      </c>
      <c r="LQ266" s="19"/>
      <c r="LR266" s="93"/>
      <c r="LS266" s="93"/>
      <c r="LT266" s="93"/>
      <c r="LU266" s="93"/>
      <c r="LV266" s="93"/>
      <c r="LW266" s="93"/>
      <c r="LX266" s="93"/>
      <c r="LY266" s="93"/>
      <c r="LZ266" s="93"/>
      <c r="MA266" s="20"/>
      <c r="MB266" s="29">
        <v>199</v>
      </c>
      <c r="MC266" s="1504">
        <v>42552</v>
      </c>
      <c r="MD266" s="19">
        <v>762.16641534219468</v>
      </c>
      <c r="ME266" s="93">
        <v>712.30775200356197</v>
      </c>
      <c r="MF266" s="93">
        <v>712.27757900356198</v>
      </c>
      <c r="MG266" s="93">
        <v>636.26993539256205</v>
      </c>
      <c r="MH266" s="93">
        <v>182.89358672500001</v>
      </c>
      <c r="MI266" s="93">
        <v>5.1681875440000011</v>
      </c>
      <c r="MJ266" s="93">
        <v>5.663110882761905</v>
      </c>
      <c r="MK266" s="93">
        <v>345.20118777979997</v>
      </c>
      <c r="ML266" s="93">
        <v>92.456053462000014</v>
      </c>
      <c r="MM266" s="93">
        <v>4.8878089990000007</v>
      </c>
      <c r="MN266" s="93">
        <v>76.007643610999992</v>
      </c>
      <c r="MO266" s="93">
        <v>3.0703157649999997</v>
      </c>
      <c r="MP266" s="93">
        <v>19.017967008999999</v>
      </c>
      <c r="MQ266" s="93">
        <v>1.596157249</v>
      </c>
      <c r="MR266" s="93">
        <v>19.029904974000001</v>
      </c>
      <c r="MS266" s="93">
        <v>33.293298614000001</v>
      </c>
      <c r="MT266" s="93">
        <v>3.0172999999999998E-2</v>
      </c>
      <c r="MU266" s="93">
        <v>49.858663338632688</v>
      </c>
      <c r="MV266" s="93">
        <v>49.858663338632688</v>
      </c>
      <c r="MW266" s="93">
        <v>0</v>
      </c>
      <c r="MX266" s="93">
        <v>857.72794568167183</v>
      </c>
      <c r="MY266" s="93">
        <v>858.82645462967184</v>
      </c>
      <c r="MZ266" s="93">
        <v>617.26214561697532</v>
      </c>
      <c r="NA266" s="93">
        <v>303.57262726233341</v>
      </c>
      <c r="NB266" s="93">
        <v>72.600641852999999</v>
      </c>
      <c r="NC266" s="93">
        <v>28.938442979641884</v>
      </c>
      <c r="ND266" s="93">
        <v>20.816583821000002</v>
      </c>
      <c r="NE266" s="93">
        <v>8.1218591586418825</v>
      </c>
      <c r="NF266" s="93">
        <v>212.15043352200001</v>
      </c>
      <c r="NG266" s="93">
        <v>8.9229046089999997</v>
      </c>
      <c r="NH266" s="93">
        <v>72.597580268000002</v>
      </c>
      <c r="NI266" s="93">
        <v>3.1691390000000001E-3</v>
      </c>
      <c r="NJ266" s="93">
        <v>0</v>
      </c>
      <c r="NK266" s="93">
        <v>241.56430901269655</v>
      </c>
      <c r="NL266" s="93">
        <v>134.41815639199999</v>
      </c>
      <c r="NM266" s="93">
        <v>5.4387939279999999</v>
      </c>
      <c r="NN266" s="93">
        <v>101.70735869269653</v>
      </c>
      <c r="NO266" s="93">
        <v>-1.0985089480000059</v>
      </c>
      <c r="NP266" s="93">
        <v>-95.561530339477244</v>
      </c>
      <c r="NQ266" s="93">
        <v>-145.42019367810994</v>
      </c>
      <c r="NR266" s="93">
        <v>-14.774392005771517</v>
      </c>
      <c r="NS266" s="93">
        <v>-43.712834985413387</v>
      </c>
      <c r="NT266" s="93">
        <v>-50.068753219477252</v>
      </c>
      <c r="NU266" s="93">
        <v>-99.92741655810994</v>
      </c>
      <c r="NV266" s="93">
        <v>54.977943095625641</v>
      </c>
      <c r="NW266" s="93">
        <v>33.389419401625609</v>
      </c>
      <c r="NX266" s="93">
        <v>51.848695354063857</v>
      </c>
      <c r="NY266" s="93">
        <v>-18.459275952438247</v>
      </c>
      <c r="NZ266" s="93">
        <v>0</v>
      </c>
      <c r="OA266" s="93">
        <v>21.588523694000013</v>
      </c>
      <c r="OB266" s="93">
        <v>-5.2323156729999836</v>
      </c>
      <c r="OC266" s="93">
        <v>26.820839366999998</v>
      </c>
      <c r="OD266" s="20">
        <v>0</v>
      </c>
      <c r="OE266" s="29">
        <v>199</v>
      </c>
      <c r="OF266" s="1504">
        <v>42552</v>
      </c>
      <c r="OG266" s="19"/>
      <c r="OH266" s="93">
        <v>261.43370783899996</v>
      </c>
      <c r="OI266" s="93">
        <v>1146.9550321194217</v>
      </c>
      <c r="OJ266" s="93">
        <v>0.39210922999999998</v>
      </c>
      <c r="OK266" s="93">
        <v>974.47526757642186</v>
      </c>
      <c r="OL266" s="93">
        <v>172.087655313</v>
      </c>
      <c r="OM266" s="93">
        <v>1408.3887399584216</v>
      </c>
      <c r="ON266" s="93">
        <v>1140.541669076953</v>
      </c>
      <c r="OO266" s="93">
        <v>2548.9304090353744</v>
      </c>
      <c r="OP266" s="93"/>
      <c r="OQ266" s="93">
        <v>804.29016402838852</v>
      </c>
      <c r="OR266" s="93">
        <v>-166.30242031799992</v>
      </c>
      <c r="OS266" s="93">
        <v>970.59258434638855</v>
      </c>
      <c r="OT266" s="93">
        <v>2005.7084037399859</v>
      </c>
      <c r="OU266" s="93">
        <v>-43.826710791000039</v>
      </c>
      <c r="OV266" s="93">
        <v>-80.382710791000022</v>
      </c>
      <c r="OW266" s="93">
        <v>36.555999999999983</v>
      </c>
      <c r="OX266" s="93">
        <v>2049.535114530986</v>
      </c>
      <c r="OY266" s="93">
        <v>4.2508563009999998</v>
      </c>
      <c r="OZ266" s="93">
        <v>2045.2842582299861</v>
      </c>
      <c r="PA266" s="93">
        <v>400.416610983</v>
      </c>
      <c r="PB266" s="93">
        <v>-139.34845224999995</v>
      </c>
      <c r="PC266" s="20">
        <v>2548.9304090353744</v>
      </c>
      <c r="PD266" s="29">
        <v>199</v>
      </c>
      <c r="PE266" s="19"/>
      <c r="PF266" s="93">
        <v>-166.30242031799992</v>
      </c>
      <c r="PG266" s="93">
        <v>606.88603312900011</v>
      </c>
      <c r="PH266" s="93">
        <v>773.18845344700003</v>
      </c>
      <c r="PI266" s="93">
        <v>723.448053845</v>
      </c>
      <c r="PJ266" s="93">
        <v>-74.192117476000021</v>
      </c>
      <c r="PK266" s="93">
        <v>139.06898027299999</v>
      </c>
      <c r="PL266" s="93">
        <v>213.26109774900002</v>
      </c>
      <c r="PM266" s="93">
        <v>4.2508563009999998</v>
      </c>
      <c r="PN266" s="93">
        <v>0.6</v>
      </c>
      <c r="PO266" s="93">
        <v>0</v>
      </c>
      <c r="PP266" s="93">
        <v>5.7125600000000002E-4</v>
      </c>
      <c r="PQ266" s="93">
        <v>3.650285045</v>
      </c>
      <c r="PR266" s="93">
        <v>472.94230172999994</v>
      </c>
      <c r="PS266" s="93">
        <v>323.21530115399997</v>
      </c>
      <c r="PT266" s="93">
        <v>149.06879726899999</v>
      </c>
      <c r="PU266" s="93">
        <v>0.65820330699999996</v>
      </c>
      <c r="PV266" s="93">
        <v>0</v>
      </c>
      <c r="PW266" s="93">
        <v>1.9790994689999999</v>
      </c>
      <c r="PX266" s="93">
        <v>0</v>
      </c>
      <c r="PY266" s="93">
        <v>0</v>
      </c>
      <c r="PZ266" s="93">
        <v>1.9790994689999999</v>
      </c>
      <c r="QA266" s="93">
        <v>0</v>
      </c>
      <c r="QB266" s="93">
        <v>0</v>
      </c>
      <c r="QC266" s="93">
        <v>0</v>
      </c>
      <c r="QD266" s="93">
        <v>9.8845115139999997</v>
      </c>
      <c r="QE266" s="20">
        <v>2.3984596389999715</v>
      </c>
      <c r="QF266" s="1739">
        <v>199</v>
      </c>
      <c r="QG266" s="19"/>
      <c r="QH266" s="1035">
        <v>970.59258434638855</v>
      </c>
      <c r="QI266" s="1035">
        <v>1344.1917417700136</v>
      </c>
      <c r="QJ266" s="1035">
        <v>-373.599157423625</v>
      </c>
      <c r="QK266" s="1035">
        <v>214.84100000000001</v>
      </c>
      <c r="QL266" s="1035">
        <v>55.591000000000001</v>
      </c>
      <c r="QM266" s="1035">
        <v>159.25</v>
      </c>
      <c r="QN266" s="1035">
        <v>0</v>
      </c>
      <c r="QO266" s="1035">
        <v>36.555999999999983</v>
      </c>
      <c r="QP266" s="1035">
        <v>294.733</v>
      </c>
      <c r="QQ266" s="1035">
        <v>-258.17700000000002</v>
      </c>
      <c r="QR266" s="1035">
        <v>2045.2842582299861</v>
      </c>
      <c r="QS266" s="1035">
        <v>34.024805680308305</v>
      </c>
      <c r="QT266" s="1035">
        <v>0</v>
      </c>
      <c r="QU266" s="1035">
        <v>166.614</v>
      </c>
      <c r="QV266" s="1035">
        <v>1844.6454525496779</v>
      </c>
      <c r="QW266" s="93"/>
      <c r="QX266" s="93">
        <v>725.41200000000003</v>
      </c>
      <c r="QY266" s="93">
        <v>974.47526757642186</v>
      </c>
      <c r="QZ266" s="93">
        <v>1140.2755749999531</v>
      </c>
      <c r="RA266" s="93">
        <v>0</v>
      </c>
      <c r="RB266" s="93">
        <v>59.231000000000002</v>
      </c>
      <c r="RC266" s="93">
        <v>3.2770000000000001</v>
      </c>
      <c r="RD266" s="93">
        <v>18.661999999999999</v>
      </c>
      <c r="RE266" s="93">
        <v>0</v>
      </c>
      <c r="RF266" s="93">
        <v>0</v>
      </c>
      <c r="RG266" s="93">
        <v>307.38299999999998</v>
      </c>
      <c r="RH266" s="93">
        <v>38.558000000000021</v>
      </c>
      <c r="RI266" s="93"/>
      <c r="RJ266" s="93"/>
      <c r="RK266" s="93"/>
      <c r="RL266" s="93"/>
      <c r="RM266" s="734"/>
      <c r="RN266" s="29">
        <v>199</v>
      </c>
      <c r="RO266" s="19">
        <v>82</v>
      </c>
      <c r="RP266" s="20">
        <v>438</v>
      </c>
      <c r="RQ266" s="29">
        <v>199</v>
      </c>
      <c r="RR266" s="734">
        <v>3.1585079299999999</v>
      </c>
      <c r="RS266" s="29">
        <v>199</v>
      </c>
      <c r="RT266" s="1504">
        <v>42552</v>
      </c>
      <c r="RU266" s="19">
        <v>532</v>
      </c>
      <c r="RV266" s="20">
        <v>8</v>
      </c>
      <c r="RW266" s="29">
        <v>199</v>
      </c>
      <c r="RX266" s="1504">
        <v>42552</v>
      </c>
      <c r="RY266" s="29"/>
      <c r="RZ266" s="734"/>
      <c r="SA266" s="29"/>
      <c r="SB266" s="29">
        <v>199</v>
      </c>
    </row>
    <row r="267" spans="1:496">
      <c r="A267" s="41">
        <f t="shared" si="238"/>
        <v>2016</v>
      </c>
      <c r="B267" s="1504">
        <v>42583</v>
      </c>
      <c r="C267" s="1813">
        <v>2241</v>
      </c>
      <c r="D267" s="1814">
        <v>24395</v>
      </c>
      <c r="E267" s="1814">
        <v>48</v>
      </c>
      <c r="F267" s="1815">
        <v>393</v>
      </c>
      <c r="G267" s="1814">
        <v>122209</v>
      </c>
      <c r="H267" s="1814">
        <v>19</v>
      </c>
      <c r="I267" s="1814">
        <v>36356</v>
      </c>
      <c r="J267" s="1816">
        <v>16278</v>
      </c>
      <c r="K267" s="1807">
        <v>201939</v>
      </c>
      <c r="L267" s="25">
        <v>200</v>
      </c>
      <c r="M267" s="97"/>
      <c r="N267" s="1504">
        <v>42583</v>
      </c>
      <c r="O267" s="19">
        <v>661</v>
      </c>
      <c r="P267" s="93">
        <v>626</v>
      </c>
      <c r="Q267" s="93">
        <v>2749</v>
      </c>
      <c r="R267" s="93">
        <v>1973</v>
      </c>
      <c r="S267" s="93">
        <v>1156</v>
      </c>
      <c r="T267" s="93">
        <v>498</v>
      </c>
      <c r="U267" s="93">
        <v>244</v>
      </c>
      <c r="V267" s="93">
        <v>1702</v>
      </c>
      <c r="W267" s="93">
        <v>3502</v>
      </c>
      <c r="X267" s="93">
        <v>770</v>
      </c>
      <c r="Y267" s="93">
        <v>114</v>
      </c>
      <c r="Z267" s="93">
        <v>1110</v>
      </c>
      <c r="AA267" s="93">
        <v>652</v>
      </c>
      <c r="AB267" s="132">
        <v>15757</v>
      </c>
      <c r="AC267" s="25">
        <v>200</v>
      </c>
      <c r="AD267" s="97"/>
      <c r="AE267" s="1504">
        <v>42583</v>
      </c>
      <c r="AF267" s="19">
        <v>1947</v>
      </c>
      <c r="AG267" s="93">
        <v>549</v>
      </c>
      <c r="AH267" s="93">
        <v>2294</v>
      </c>
      <c r="AI267" s="93">
        <v>2929</v>
      </c>
      <c r="AJ267" s="93">
        <v>2462</v>
      </c>
      <c r="AK267" s="93">
        <v>2583</v>
      </c>
      <c r="AL267" s="93">
        <v>780</v>
      </c>
      <c r="AM267" s="93">
        <v>2662</v>
      </c>
      <c r="AN267" s="93">
        <v>5456</v>
      </c>
      <c r="AO267" s="93">
        <v>2126</v>
      </c>
      <c r="AP267" s="93">
        <v>514</v>
      </c>
      <c r="AQ267" s="93">
        <v>2399</v>
      </c>
      <c r="AR267" s="93">
        <v>762</v>
      </c>
      <c r="AS267" s="20">
        <v>27463</v>
      </c>
      <c r="AT267" s="25">
        <v>200</v>
      </c>
      <c r="AU267" s="97"/>
      <c r="AV267" s="1504">
        <v>42583</v>
      </c>
      <c r="AW267" s="19">
        <v>12009</v>
      </c>
      <c r="AX267" s="93">
        <v>2806</v>
      </c>
      <c r="AY267" s="93">
        <v>6901</v>
      </c>
      <c r="AZ267" s="93">
        <v>18589</v>
      </c>
      <c r="BA267" s="93">
        <v>9460</v>
      </c>
      <c r="BB267" s="93">
        <v>9375</v>
      </c>
      <c r="BC267" s="93">
        <v>5374</v>
      </c>
      <c r="BD267" s="93">
        <v>16750</v>
      </c>
      <c r="BE267" s="93">
        <v>13091</v>
      </c>
      <c r="BF267" s="93">
        <v>6913</v>
      </c>
      <c r="BG267" s="93">
        <v>4616</v>
      </c>
      <c r="BH267" s="93">
        <v>11295</v>
      </c>
      <c r="BI267" s="93">
        <v>4785</v>
      </c>
      <c r="BJ267" s="20">
        <v>121964</v>
      </c>
      <c r="BK267" s="25">
        <v>200</v>
      </c>
      <c r="BL267" s="97"/>
      <c r="BM267" s="1504">
        <v>42583</v>
      </c>
      <c r="BN267" s="19">
        <v>123.726</v>
      </c>
      <c r="BO267" s="93">
        <v>1877.9470000000001</v>
      </c>
      <c r="BP267" s="93">
        <v>6.1440000000000001</v>
      </c>
      <c r="BQ267" s="93">
        <v>826.18400000000008</v>
      </c>
      <c r="BR267" s="93">
        <v>2.1419999999999999</v>
      </c>
      <c r="BS267" s="93">
        <v>266.81400000000008</v>
      </c>
      <c r="BT267" s="93">
        <v>355.20000000000005</v>
      </c>
      <c r="BU267" s="132">
        <v>3458.1570000000002</v>
      </c>
      <c r="BV267" s="25">
        <v>200</v>
      </c>
      <c r="BW267" s="97"/>
      <c r="BX267" s="1504">
        <v>42583</v>
      </c>
      <c r="BY267" s="179">
        <v>585.04905458437395</v>
      </c>
      <c r="BZ267" s="99">
        <v>664.95699999999999</v>
      </c>
      <c r="CA267" s="99">
        <v>602.84624574947156</v>
      </c>
      <c r="CB267" s="99">
        <v>42.539916211624018</v>
      </c>
      <c r="CC267" s="100">
        <f>AVERAGE(CC264:CC266)</f>
        <v>151.75879800436698</v>
      </c>
      <c r="CD267" s="25">
        <v>200</v>
      </c>
      <c r="CE267" s="97"/>
      <c r="CF267" s="1504">
        <v>42583</v>
      </c>
      <c r="CG267" s="1508">
        <v>1.7694280120000001</v>
      </c>
      <c r="CH267" s="568">
        <v>1340.17</v>
      </c>
      <c r="CI267" s="1708">
        <v>44.876666666666701</v>
      </c>
      <c r="CJ267" s="1509">
        <v>46.14</v>
      </c>
      <c r="CK267" s="1508">
        <v>393.78</v>
      </c>
      <c r="CL267" s="568">
        <v>150.15348879999999</v>
      </c>
      <c r="CM267" s="568">
        <v>0.44379000600000001</v>
      </c>
      <c r="CN267" s="568">
        <v>0.36604110400000001</v>
      </c>
      <c r="CO267" s="568">
        <v>149.1793002</v>
      </c>
      <c r="CP267" s="1509">
        <v>4.2394842600000002</v>
      </c>
      <c r="CQ267" s="1708">
        <v>1433</v>
      </c>
      <c r="CR267" s="568">
        <v>2.31</v>
      </c>
      <c r="CS267" s="568">
        <v>1.5519000000000001</v>
      </c>
      <c r="CT267" s="568">
        <v>109.75</v>
      </c>
      <c r="CU267" s="568">
        <v>60.89</v>
      </c>
      <c r="CV267" s="1709">
        <v>2279.14</v>
      </c>
      <c r="CW267" s="29">
        <v>200</v>
      </c>
      <c r="CX267" s="41">
        <f t="shared" si="239"/>
        <v>2016</v>
      </c>
      <c r="CY267" s="1504">
        <v>42583</v>
      </c>
      <c r="CZ267" s="1916">
        <v>106.68387452609505</v>
      </c>
      <c r="DA267" s="1526">
        <v>62.095245526095056</v>
      </c>
      <c r="DB267" s="1526">
        <v>44.588628999999997</v>
      </c>
      <c r="DC267" s="182">
        <f t="shared" si="235"/>
        <v>585634</v>
      </c>
      <c r="DD267" s="182">
        <f t="shared" si="236"/>
        <v>583970</v>
      </c>
      <c r="DE267" s="182">
        <f t="shared" si="237"/>
        <v>1664</v>
      </c>
      <c r="DF267" s="29">
        <v>200</v>
      </c>
      <c r="DG267" s="1504">
        <v>42583</v>
      </c>
      <c r="DH267" s="181">
        <v>347516</v>
      </c>
      <c r="DI267" s="182"/>
      <c r="DJ267" s="182"/>
      <c r="DK267" s="182"/>
      <c r="DL267" s="182"/>
      <c r="DM267" s="182"/>
      <c r="DN267" s="290"/>
      <c r="DO267" s="295"/>
      <c r="DP267" s="29">
        <v>200</v>
      </c>
      <c r="DQ267" s="1504">
        <v>42583</v>
      </c>
      <c r="DR267" s="19"/>
      <c r="DS267" s="93"/>
      <c r="DT267" s="93"/>
      <c r="DU267" s="93"/>
      <c r="DV267" s="93"/>
      <c r="DW267" s="93"/>
      <c r="DX267" s="1719"/>
      <c r="DY267" s="29">
        <v>200</v>
      </c>
      <c r="DZ267" s="1504">
        <v>42583</v>
      </c>
      <c r="EA267" s="19"/>
      <c r="EB267" s="93"/>
      <c r="EC267" s="20"/>
      <c r="ED267" s="29"/>
      <c r="EE267" s="1504">
        <v>42583</v>
      </c>
      <c r="EF267" s="419">
        <f t="shared" si="251"/>
        <v>16119.678826333069</v>
      </c>
      <c r="EG267" s="100">
        <f t="shared" si="251"/>
        <v>18606.130978155637</v>
      </c>
      <c r="EH267" s="100">
        <f t="shared" si="251"/>
        <v>34643.50072962862</v>
      </c>
      <c r="EI267" s="420">
        <f t="shared" si="251"/>
        <v>5576.5791099663229</v>
      </c>
      <c r="EJ267" s="100">
        <f t="shared" si="251"/>
        <v>538.38326392276099</v>
      </c>
      <c r="EK267" s="100">
        <f t="shared" si="251"/>
        <v>45.784371835462437</v>
      </c>
      <c r="EL267" s="100">
        <f t="shared" si="251"/>
        <v>5.9877344891249535</v>
      </c>
      <c r="EM267" s="100">
        <f t="shared" si="251"/>
        <v>2.9286591933929786</v>
      </c>
      <c r="EN267" s="306">
        <f t="shared" si="251"/>
        <v>553.22604939890903</v>
      </c>
      <c r="EO267" s="29">
        <v>200</v>
      </c>
      <c r="EP267" s="1504">
        <v>42583</v>
      </c>
      <c r="EQ267" s="419">
        <f t="shared" si="252"/>
        <v>15621.949903625506</v>
      </c>
      <c r="ER267" s="100">
        <f t="shared" si="252"/>
        <v>18175.277925458511</v>
      </c>
      <c r="ES267" s="100">
        <f t="shared" si="252"/>
        <v>33711.520378854337</v>
      </c>
      <c r="ET267" s="420">
        <f t="shared" si="252"/>
        <v>5108.1493321967082</v>
      </c>
      <c r="EU267" s="100">
        <f t="shared" si="252"/>
        <v>538.502415286006</v>
      </c>
      <c r="EV267" s="100">
        <f t="shared" si="252"/>
        <v>45.784371835462437</v>
      </c>
      <c r="EW267" s="100">
        <f t="shared" si="252"/>
        <v>6.0382862786343692</v>
      </c>
      <c r="EX267" s="100">
        <f t="shared" si="252"/>
        <v>2.9286591933929786</v>
      </c>
      <c r="EY267" s="306">
        <f t="shared" si="252"/>
        <v>553.22620874283746</v>
      </c>
      <c r="EZ267" s="29">
        <v>200</v>
      </c>
      <c r="FA267" s="1504">
        <v>42583</v>
      </c>
      <c r="FB267" s="29"/>
      <c r="FC267" s="29"/>
      <c r="FD267" s="29"/>
      <c r="FE267" s="29"/>
      <c r="FF267" s="29"/>
      <c r="FG267" s="29"/>
      <c r="FH267" s="29"/>
      <c r="FI267" s="29"/>
      <c r="FJ267" s="29"/>
      <c r="FK267" s="29">
        <v>200</v>
      </c>
      <c r="FL267" s="1504">
        <v>42583</v>
      </c>
      <c r="FM267" s="19">
        <v>102.6</v>
      </c>
      <c r="FN267" s="93">
        <v>105.73</v>
      </c>
      <c r="FO267" s="93">
        <v>104.65</v>
      </c>
      <c r="FP267" s="93">
        <v>98.83</v>
      </c>
      <c r="FQ267" s="93">
        <v>96.23</v>
      </c>
      <c r="FR267" s="93">
        <v>100.62</v>
      </c>
      <c r="FS267" s="93">
        <v>99.23</v>
      </c>
      <c r="FT267" s="93">
        <v>94.59</v>
      </c>
      <c r="FU267" s="93">
        <v>110.74</v>
      </c>
      <c r="FV267" s="93">
        <v>104.72</v>
      </c>
      <c r="FW267" s="93">
        <v>101.76</v>
      </c>
      <c r="FX267" s="93">
        <v>100.37</v>
      </c>
      <c r="FY267" s="93">
        <v>99.44</v>
      </c>
      <c r="FZ267" s="29">
        <v>200</v>
      </c>
      <c r="GA267" s="1504">
        <v>42583</v>
      </c>
      <c r="GB267" s="19">
        <v>102.6</v>
      </c>
      <c r="GC267" s="100">
        <v>99.29</v>
      </c>
      <c r="GD267" s="100">
        <v>104.46</v>
      </c>
      <c r="GE267" s="93">
        <v>92.53</v>
      </c>
      <c r="GF267" s="93">
        <v>107.01</v>
      </c>
      <c r="GG267" s="100">
        <v>102.01</v>
      </c>
      <c r="GH267" s="93">
        <v>107.9</v>
      </c>
      <c r="GI267" s="93">
        <v>99.91</v>
      </c>
      <c r="GJ267" s="93">
        <v>101.39</v>
      </c>
      <c r="GK267" s="93">
        <v>100.74</v>
      </c>
      <c r="GL267" s="93">
        <v>104.17</v>
      </c>
      <c r="GM267" s="93">
        <v>99.02</v>
      </c>
      <c r="GN267" s="20">
        <v>101.39</v>
      </c>
      <c r="GO267" s="29">
        <v>200</v>
      </c>
      <c r="GP267" s="1504">
        <v>42583</v>
      </c>
      <c r="GQ267" s="181">
        <v>250.259942766129</v>
      </c>
      <c r="GR267" s="182">
        <v>211.756508386815</v>
      </c>
      <c r="GS267" s="182">
        <v>227.20672802997299</v>
      </c>
      <c r="GT267" s="182">
        <v>207.74230661955301</v>
      </c>
      <c r="GU267" s="182">
        <v>402.240915779516</v>
      </c>
      <c r="GV267" s="290">
        <v>780.70960606232597</v>
      </c>
      <c r="GW267" s="181">
        <v>439.127471788744</v>
      </c>
      <c r="GX267" s="182">
        <v>458.07709254782799</v>
      </c>
      <c r="GY267" s="182">
        <v>895.60574525437301</v>
      </c>
      <c r="GZ267" s="182">
        <v>360.50877938580402</v>
      </c>
      <c r="HA267" s="182">
        <v>388.45556403812799</v>
      </c>
      <c r="HB267" s="290">
        <v>615.36344349996602</v>
      </c>
      <c r="HC267" s="181">
        <v>1865.4422730167901</v>
      </c>
      <c r="HD267" s="182">
        <v>2184.8170533898501</v>
      </c>
      <c r="HE267" s="182">
        <v>2229.44697560748</v>
      </c>
      <c r="HF267" s="182">
        <v>3125</v>
      </c>
      <c r="HG267" s="182">
        <v>2366.2005896659798</v>
      </c>
      <c r="HH267" s="290">
        <v>2688.69709407343</v>
      </c>
      <c r="HI267" s="19"/>
      <c r="HJ267" s="182">
        <v>861.98042508406604</v>
      </c>
      <c r="HK267" s="182">
        <v>1342.85028521763</v>
      </c>
      <c r="HL267" s="182">
        <v>930.35084108354704</v>
      </c>
      <c r="HM267" s="182">
        <v>809.375</v>
      </c>
      <c r="HN267" s="290">
        <v>2460.8370506808101</v>
      </c>
      <c r="HO267" s="324">
        <v>139.66354952411001</v>
      </c>
      <c r="HP267" s="290">
        <v>99.781669339224294</v>
      </c>
      <c r="HQ267" s="295">
        <v>148.16321080698799</v>
      </c>
      <c r="HR267" s="29">
        <v>200</v>
      </c>
      <c r="HS267" s="1504">
        <v>42583</v>
      </c>
      <c r="HT267" s="179">
        <v>207.70059204101563</v>
      </c>
      <c r="HU267" s="99">
        <v>250</v>
      </c>
      <c r="HV267" s="99">
        <v>175.15922546386719</v>
      </c>
      <c r="HW267" s="99">
        <v>144.23077392578125</v>
      </c>
      <c r="HX267" s="99">
        <v>183.33332824707031</v>
      </c>
      <c r="HY267" s="99">
        <v>194.44444274902344</v>
      </c>
      <c r="HZ267" s="99">
        <v>202.83745956420898</v>
      </c>
      <c r="IA267" s="132">
        <v>193.40607833862305</v>
      </c>
      <c r="IB267" s="179">
        <v>226.2357292175293</v>
      </c>
      <c r="IC267" s="99">
        <v>137.22713851928711</v>
      </c>
      <c r="ID267" s="99"/>
      <c r="IE267" s="99">
        <v>161.29032897949219</v>
      </c>
      <c r="IF267" s="99">
        <v>206.25</v>
      </c>
      <c r="IG267" s="132">
        <v>138.79780578613281</v>
      </c>
      <c r="IH267" s="179">
        <v>141.62556457519531</v>
      </c>
      <c r="II267" s="99">
        <v>194.73617553710938</v>
      </c>
      <c r="IJ267" s="99">
        <v>169.49151611328125</v>
      </c>
      <c r="IK267" s="99">
        <v>171.48014831542969</v>
      </c>
      <c r="IL267" s="99">
        <v>166.66666412353516</v>
      </c>
      <c r="IM267" s="99">
        <v>176.32037353515625</v>
      </c>
      <c r="IN267" s="99">
        <v>176.67845153808594</v>
      </c>
      <c r="IO267" s="132">
        <v>164.31344223022461</v>
      </c>
      <c r="IP267" s="29">
        <v>200</v>
      </c>
      <c r="IQ267" s="179">
        <v>195.09803771972656</v>
      </c>
      <c r="IR267" s="99">
        <v>123.21246147155762</v>
      </c>
      <c r="IS267" s="99"/>
      <c r="IT267" s="99">
        <v>129.44984436035156</v>
      </c>
      <c r="IU267" s="99">
        <v>187.5</v>
      </c>
      <c r="IV267" s="132">
        <v>130.58823013305664</v>
      </c>
      <c r="IW267" s="29">
        <v>200</v>
      </c>
      <c r="IX267" s="179">
        <v>395.16128921508789</v>
      </c>
      <c r="IY267" s="99">
        <v>409.72222900390625</v>
      </c>
      <c r="IZ267" s="99">
        <v>420</v>
      </c>
      <c r="JA267" s="99">
        <v>375</v>
      </c>
      <c r="JB267" s="99">
        <v>375</v>
      </c>
      <c r="JC267" s="99">
        <v>400</v>
      </c>
      <c r="JD267" s="99">
        <v>340</v>
      </c>
      <c r="JE267" s="132">
        <v>400</v>
      </c>
      <c r="JF267" s="29">
        <v>200</v>
      </c>
      <c r="JG267" s="179">
        <v>148.02177429199219</v>
      </c>
      <c r="JH267" s="99">
        <v>194.73617553710938</v>
      </c>
      <c r="JI267" s="99">
        <v>176.84888458251953</v>
      </c>
      <c r="JJ267" s="99">
        <v>150</v>
      </c>
      <c r="JK267" s="99">
        <v>167.2979850769043</v>
      </c>
      <c r="JL267" s="99">
        <v>157.43573760986328</v>
      </c>
      <c r="JM267" s="99">
        <v>174.01961517333984</v>
      </c>
      <c r="JN267" s="132">
        <v>185.80094146728516</v>
      </c>
      <c r="JO267" s="29">
        <v>200</v>
      </c>
      <c r="JP267" s="179">
        <v>197.22222137451172</v>
      </c>
      <c r="JQ267" s="99">
        <v>107.80502510070801</v>
      </c>
      <c r="JR267" s="99"/>
      <c r="JS267" s="99"/>
      <c r="JT267" s="99">
        <v>187.5</v>
      </c>
      <c r="JU267" s="132">
        <v>111.22994995117188</v>
      </c>
      <c r="JV267" s="29">
        <v>200</v>
      </c>
      <c r="JW267" s="1504">
        <v>42583</v>
      </c>
      <c r="JX267" s="179">
        <v>247.16666666666666</v>
      </c>
      <c r="JY267" s="99">
        <v>287.53205128205133</v>
      </c>
      <c r="JZ267" s="99">
        <v>283.95754716981133</v>
      </c>
      <c r="KA267" s="99">
        <v>244.43548387096772</v>
      </c>
      <c r="KB267" s="99">
        <v>238.75</v>
      </c>
      <c r="KC267" s="99">
        <v>259.57142857142856</v>
      </c>
      <c r="KD267" s="132">
        <v>318.23333333333329</v>
      </c>
      <c r="KE267" s="29">
        <v>200</v>
      </c>
      <c r="KF267" s="179">
        <v>38.083333333333336</v>
      </c>
      <c r="KG267" s="99">
        <v>42.607692307692304</v>
      </c>
      <c r="KH267" s="99">
        <v>51.15625</v>
      </c>
      <c r="KI267" s="99">
        <v>47.805555555555557</v>
      </c>
      <c r="KJ267" s="99">
        <v>42.975609756097562</v>
      </c>
      <c r="KK267" s="132">
        <v>64.733333333333334</v>
      </c>
      <c r="KL267" s="29">
        <v>200</v>
      </c>
      <c r="KM267" s="179">
        <v>22.695121951219512</v>
      </c>
      <c r="KN267" s="99">
        <v>17.313186813186814</v>
      </c>
      <c r="KO267" s="99">
        <v>34.861538461538458</v>
      </c>
      <c r="KP267" s="99">
        <v>25.5</v>
      </c>
      <c r="KQ267" s="99">
        <v>21.896428571428572</v>
      </c>
      <c r="KR267" s="132">
        <v>31.299645390070921</v>
      </c>
      <c r="KS267" s="29">
        <v>200</v>
      </c>
      <c r="KT267" s="179">
        <v>25.816666666666666</v>
      </c>
      <c r="KU267" s="99">
        <v>22.9758064516129</v>
      </c>
      <c r="KV267" s="99">
        <v>22.984848484848484</v>
      </c>
      <c r="KW267" s="99">
        <v>23.555555555555554</v>
      </c>
      <c r="KX267" s="99">
        <v>17.496031746031697</v>
      </c>
      <c r="KY267" s="132">
        <v>25.081140350877195</v>
      </c>
      <c r="KZ267" s="29">
        <v>200</v>
      </c>
      <c r="LA267" s="1504">
        <v>42583</v>
      </c>
      <c r="LB267" s="19">
        <v>380</v>
      </c>
      <c r="LC267" s="93">
        <v>610</v>
      </c>
      <c r="LD267" s="93">
        <v>602</v>
      </c>
      <c r="LE267" s="93"/>
      <c r="LF267" s="93">
        <v>526</v>
      </c>
      <c r="LG267" s="93"/>
      <c r="LH267" s="20"/>
      <c r="LI267" s="29">
        <v>200</v>
      </c>
      <c r="LJ267" s="19"/>
      <c r="LK267" s="93"/>
      <c r="LL267" s="93"/>
      <c r="LM267" s="93"/>
      <c r="LN267" s="93"/>
      <c r="LO267" s="20"/>
      <c r="LP267" s="29">
        <v>200</v>
      </c>
      <c r="LQ267" s="19"/>
      <c r="LR267" s="93"/>
      <c r="LS267" s="93"/>
      <c r="LT267" s="93"/>
      <c r="LU267" s="93"/>
      <c r="LV267" s="93"/>
      <c r="LW267" s="93"/>
      <c r="LX267" s="93"/>
      <c r="LY267" s="93"/>
      <c r="LZ267" s="93"/>
      <c r="MA267" s="20"/>
      <c r="MB267" s="29">
        <v>200</v>
      </c>
      <c r="MC267" s="1504">
        <v>42583</v>
      </c>
      <c r="MD267" s="19">
        <v>906.65345420126437</v>
      </c>
      <c r="ME267" s="93">
        <v>809.89428625756193</v>
      </c>
      <c r="MF267" s="93">
        <v>809.86411325756194</v>
      </c>
      <c r="MG267" s="93">
        <v>716.477040349562</v>
      </c>
      <c r="MH267" s="93">
        <v>198.585631535</v>
      </c>
      <c r="MI267" s="93">
        <v>5.9391680730000012</v>
      </c>
      <c r="MJ267" s="93">
        <v>6.4077736967619048</v>
      </c>
      <c r="MK267" s="93">
        <v>393.2272713047999</v>
      </c>
      <c r="ML267" s="93">
        <v>106.68837483800002</v>
      </c>
      <c r="MM267" s="93">
        <v>5.6288209020000011</v>
      </c>
      <c r="MN267" s="93">
        <v>93.387072907999993</v>
      </c>
      <c r="MO267" s="93">
        <v>3.4376897579999994</v>
      </c>
      <c r="MP267" s="93">
        <v>21.52318902</v>
      </c>
      <c r="MQ267" s="93">
        <v>1.8355017030000003</v>
      </c>
      <c r="MR267" s="93">
        <v>23.531370038999999</v>
      </c>
      <c r="MS267" s="93">
        <v>43.059322387999998</v>
      </c>
      <c r="MT267" s="93">
        <v>3.0172999999999998E-2</v>
      </c>
      <c r="MU267" s="93">
        <v>96.759167943702337</v>
      </c>
      <c r="MV267" s="93">
        <v>59.263110109702346</v>
      </c>
      <c r="MW267" s="93">
        <v>37.496057833999998</v>
      </c>
      <c r="MX267" s="93">
        <v>1032.5781685546021</v>
      </c>
      <c r="MY267" s="93">
        <v>1039.978281796602</v>
      </c>
      <c r="MZ267" s="93">
        <v>753.99880003783585</v>
      </c>
      <c r="NA267" s="93">
        <v>347.62102913266665</v>
      </c>
      <c r="NB267" s="93">
        <v>86.291051158000002</v>
      </c>
      <c r="NC267" s="93">
        <v>35.575122853169233</v>
      </c>
      <c r="ND267" s="93">
        <v>26.380303026</v>
      </c>
      <c r="NE267" s="93">
        <v>9.1948198271692352</v>
      </c>
      <c r="NF267" s="93">
        <v>284.51159689399998</v>
      </c>
      <c r="NG267" s="93">
        <v>9.5379776439999997</v>
      </c>
      <c r="NH267" s="93">
        <v>87.517977931999994</v>
      </c>
      <c r="NI267" s="93">
        <v>3.1691390000000001E-3</v>
      </c>
      <c r="NJ267" s="93">
        <v>24.559766247000002</v>
      </c>
      <c r="NK267" s="93">
        <v>285.97948175876621</v>
      </c>
      <c r="NL267" s="93">
        <v>163.88143231999999</v>
      </c>
      <c r="NM267" s="93">
        <v>5.9282078480000004</v>
      </c>
      <c r="NN267" s="93">
        <v>116.1698415907662</v>
      </c>
      <c r="NO267" s="93">
        <v>-7.4001132420000095</v>
      </c>
      <c r="NP267" s="93">
        <v>-125.92471435333782</v>
      </c>
      <c r="NQ267" s="93">
        <v>-222.68388229704018</v>
      </c>
      <c r="NR267" s="93">
        <v>-70.938917853104769</v>
      </c>
      <c r="NS267" s="93">
        <v>-106.51404070627399</v>
      </c>
      <c r="NT267" s="93">
        <v>-83.187372687337842</v>
      </c>
      <c r="NU267" s="93">
        <v>-179.94654063104022</v>
      </c>
      <c r="NV267" s="93">
        <v>92.352942883871762</v>
      </c>
      <c r="NW267" s="93">
        <v>36.491826291871774</v>
      </c>
      <c r="NX267" s="93">
        <v>56.906731481063851</v>
      </c>
      <c r="NY267" s="93">
        <v>-20.414905189192087</v>
      </c>
      <c r="NZ267" s="93">
        <v>0</v>
      </c>
      <c r="OA267" s="93">
        <v>55.861116591999981</v>
      </c>
      <c r="OB267" s="93">
        <v>-4.2234412480000181</v>
      </c>
      <c r="OC267" s="93">
        <v>60.084557840000002</v>
      </c>
      <c r="OD267" s="20">
        <v>0</v>
      </c>
      <c r="OE267" s="29">
        <v>200</v>
      </c>
      <c r="OF267" s="1504">
        <v>42583</v>
      </c>
      <c r="OG267" s="19"/>
      <c r="OH267" s="93">
        <v>250.49132426</v>
      </c>
      <c r="OI267" s="93">
        <v>1154.7162513168496</v>
      </c>
      <c r="OJ267" s="93">
        <v>0.34025705300000003</v>
      </c>
      <c r="OK267" s="93">
        <v>981.25601468184959</v>
      </c>
      <c r="OL267" s="93">
        <v>173.11997958200001</v>
      </c>
      <c r="OM267" s="93">
        <v>1405.2075755768496</v>
      </c>
      <c r="ON267" s="93">
        <v>1141.6961319873744</v>
      </c>
      <c r="OO267" s="93">
        <v>2546.9037075642241</v>
      </c>
      <c r="OP267" s="93"/>
      <c r="OQ267" s="93">
        <v>859.69587498756277</v>
      </c>
      <c r="OR267" s="93">
        <v>-137.12748439000006</v>
      </c>
      <c r="OS267" s="93">
        <v>996.82335937756284</v>
      </c>
      <c r="OT267" s="93">
        <v>1991.4642811936615</v>
      </c>
      <c r="OU267" s="93">
        <v>-39.413518226000036</v>
      </c>
      <c r="OV267" s="93">
        <v>-97.909518226000017</v>
      </c>
      <c r="OW267" s="93">
        <v>58.495999999999981</v>
      </c>
      <c r="OX267" s="93">
        <v>2030.8777994196614</v>
      </c>
      <c r="OY267" s="93">
        <v>4.2921062050000005</v>
      </c>
      <c r="OZ267" s="93">
        <v>2026.5856932146614</v>
      </c>
      <c r="PA267" s="93">
        <v>404.61039947299997</v>
      </c>
      <c r="PB267" s="93">
        <v>-100.35395085600004</v>
      </c>
      <c r="PC267" s="20">
        <v>2546.9037075642241</v>
      </c>
      <c r="PD267" s="29">
        <v>200</v>
      </c>
      <c r="PE267" s="19"/>
      <c r="PF267" s="93">
        <v>-137.12748439000006</v>
      </c>
      <c r="PG267" s="93">
        <v>566.53899498299995</v>
      </c>
      <c r="PH267" s="93">
        <v>703.66647937300002</v>
      </c>
      <c r="PI267" s="93">
        <v>698.24005384500003</v>
      </c>
      <c r="PJ267" s="93">
        <v>-93.395222290000021</v>
      </c>
      <c r="PK267" s="93">
        <v>139.09463888299999</v>
      </c>
      <c r="PL267" s="93">
        <v>232.48986117300001</v>
      </c>
      <c r="PM267" s="93">
        <v>4.2921062050000005</v>
      </c>
      <c r="PN267" s="93">
        <v>0.6</v>
      </c>
      <c r="PO267" s="93">
        <v>0</v>
      </c>
      <c r="PP267" s="93">
        <v>5.7125600000000002E-4</v>
      </c>
      <c r="PQ267" s="93">
        <v>3.6915349490000002</v>
      </c>
      <c r="PR267" s="93">
        <v>456.86027438799999</v>
      </c>
      <c r="PS267" s="93">
        <v>307.380620196</v>
      </c>
      <c r="PT267" s="93">
        <v>148.87330306199999</v>
      </c>
      <c r="PU267" s="93">
        <v>0.60635112999999996</v>
      </c>
      <c r="PV267" s="93">
        <v>0</v>
      </c>
      <c r="PW267" s="93">
        <v>0.43126599999999998</v>
      </c>
      <c r="PX267" s="93">
        <v>0</v>
      </c>
      <c r="PY267" s="93">
        <v>0</v>
      </c>
      <c r="PZ267" s="93">
        <v>0.43126599999999998</v>
      </c>
      <c r="QA267" s="93">
        <v>0</v>
      </c>
      <c r="QB267" s="93">
        <v>0</v>
      </c>
      <c r="QC267" s="93">
        <v>0</v>
      </c>
      <c r="QD267" s="93">
        <v>11.624133473000001</v>
      </c>
      <c r="QE267" s="20">
        <v>3.0937795090000026</v>
      </c>
      <c r="QF267" s="1739">
        <v>200</v>
      </c>
      <c r="QG267" s="19"/>
      <c r="QH267" s="1035">
        <v>996.82335937756284</v>
      </c>
      <c r="QI267" s="1035">
        <v>1376.9313067853386</v>
      </c>
      <c r="QJ267" s="1035">
        <v>-380.10794740777584</v>
      </c>
      <c r="QK267" s="1035">
        <v>190.173</v>
      </c>
      <c r="QL267" s="1035">
        <v>52.375</v>
      </c>
      <c r="QM267" s="1035">
        <v>137.798</v>
      </c>
      <c r="QN267" s="1035">
        <v>0</v>
      </c>
      <c r="QO267" s="1035">
        <v>58.495999999999981</v>
      </c>
      <c r="QP267" s="1035">
        <v>318.16399999999999</v>
      </c>
      <c r="QQ267" s="1035">
        <v>-259.66800000000001</v>
      </c>
      <c r="QR267" s="1035">
        <v>2026.5856932146614</v>
      </c>
      <c r="QS267" s="1035">
        <v>21.02705961782106</v>
      </c>
      <c r="QT267" s="1035">
        <v>0</v>
      </c>
      <c r="QU267" s="1035">
        <v>152.726</v>
      </c>
      <c r="QV267" s="1035">
        <v>1852.8326335968404</v>
      </c>
      <c r="QW267" s="93"/>
      <c r="QX267" s="93">
        <v>700.46199999999999</v>
      </c>
      <c r="QY267" s="93">
        <v>981.25601468184959</v>
      </c>
      <c r="QZ267" s="93">
        <v>1141.4300379103745</v>
      </c>
      <c r="RA267" s="93">
        <v>0</v>
      </c>
      <c r="RB267" s="93">
        <v>58.030999999999999</v>
      </c>
      <c r="RC267" s="93">
        <v>3.294</v>
      </c>
      <c r="RD267" s="93">
        <v>20.640999999999998</v>
      </c>
      <c r="RE267" s="93">
        <v>0</v>
      </c>
      <c r="RF267" s="93">
        <v>0</v>
      </c>
      <c r="RG267" s="93">
        <v>310.58899999999994</v>
      </c>
      <c r="RH267" s="93">
        <v>56.375000000000028</v>
      </c>
      <c r="RI267" s="93"/>
      <c r="RJ267" s="93"/>
      <c r="RK267" s="93"/>
      <c r="RL267" s="93"/>
      <c r="RM267" s="734"/>
      <c r="RN267" s="29">
        <v>200</v>
      </c>
      <c r="RO267" s="19">
        <v>81</v>
      </c>
      <c r="RP267" s="20">
        <v>487</v>
      </c>
      <c r="RQ267" s="29">
        <v>200</v>
      </c>
      <c r="RR267" s="734">
        <v>3.8573771399999996</v>
      </c>
      <c r="RS267" s="29">
        <v>200</v>
      </c>
      <c r="RT267" s="1504">
        <v>42583</v>
      </c>
      <c r="RU267" s="19">
        <v>796</v>
      </c>
      <c r="RV267" s="20">
        <v>23</v>
      </c>
      <c r="RW267" s="29">
        <v>200</v>
      </c>
      <c r="RX267" s="1504">
        <v>42583</v>
      </c>
      <c r="RY267" s="29"/>
      <c r="RZ267" s="734"/>
      <c r="SA267" s="29"/>
      <c r="SB267" s="29">
        <v>200</v>
      </c>
    </row>
    <row r="268" spans="1:496">
      <c r="A268" s="41">
        <f t="shared" si="238"/>
        <v>2016</v>
      </c>
      <c r="B268" s="1504">
        <v>42614</v>
      </c>
      <c r="C268" s="1813">
        <v>2220</v>
      </c>
      <c r="D268" s="1814">
        <v>29134</v>
      </c>
      <c r="E268" s="1814">
        <v>55</v>
      </c>
      <c r="F268" s="1815">
        <v>429</v>
      </c>
      <c r="G268" s="1814">
        <v>102828</v>
      </c>
      <c r="H268" s="1814">
        <v>17</v>
      </c>
      <c r="I268" s="1814">
        <v>36788</v>
      </c>
      <c r="J268" s="1816">
        <v>15059</v>
      </c>
      <c r="K268" s="1807">
        <v>186530</v>
      </c>
      <c r="L268" s="25">
        <v>201</v>
      </c>
      <c r="M268" s="97"/>
      <c r="N268" s="1504">
        <v>42614</v>
      </c>
      <c r="O268" s="19">
        <v>670</v>
      </c>
      <c r="P268" s="93">
        <v>667</v>
      </c>
      <c r="Q268" s="93">
        <v>2956</v>
      </c>
      <c r="R268" s="93">
        <v>2162</v>
      </c>
      <c r="S268" s="93">
        <v>1234</v>
      </c>
      <c r="T268" s="93">
        <v>708</v>
      </c>
      <c r="U268" s="93">
        <v>248</v>
      </c>
      <c r="V268" s="93">
        <v>1869</v>
      </c>
      <c r="W268" s="93">
        <v>3345</v>
      </c>
      <c r="X268" s="93">
        <v>906</v>
      </c>
      <c r="Y268" s="93">
        <v>229</v>
      </c>
      <c r="Z268" s="93">
        <v>1026</v>
      </c>
      <c r="AA268" s="93">
        <v>599</v>
      </c>
      <c r="AB268" s="132">
        <v>16619</v>
      </c>
      <c r="AC268" s="25">
        <v>201</v>
      </c>
      <c r="AD268" s="97"/>
      <c r="AE268" s="1504">
        <v>42614</v>
      </c>
      <c r="AF268" s="19">
        <v>2321</v>
      </c>
      <c r="AG268" s="93">
        <v>753</v>
      </c>
      <c r="AH268" s="93">
        <v>2255</v>
      </c>
      <c r="AI268" s="93">
        <v>2967</v>
      </c>
      <c r="AJ268" s="93">
        <v>3040</v>
      </c>
      <c r="AK268" s="93">
        <v>2557</v>
      </c>
      <c r="AL268" s="93">
        <v>1017</v>
      </c>
      <c r="AM268" s="93">
        <v>2539</v>
      </c>
      <c r="AN268" s="93">
        <v>6243</v>
      </c>
      <c r="AO268" s="93">
        <v>2353</v>
      </c>
      <c r="AP268" s="93">
        <v>598</v>
      </c>
      <c r="AQ268" s="93">
        <v>2320</v>
      </c>
      <c r="AR268" s="93">
        <v>683</v>
      </c>
      <c r="AS268" s="20">
        <v>29646</v>
      </c>
      <c r="AT268" s="25">
        <v>201</v>
      </c>
      <c r="AU268" s="97"/>
      <c r="AV268" s="1504">
        <v>42614</v>
      </c>
      <c r="AW268" s="19">
        <v>10777</v>
      </c>
      <c r="AX268" s="93">
        <v>2968</v>
      </c>
      <c r="AY268" s="93">
        <v>6070</v>
      </c>
      <c r="AZ268" s="93">
        <v>14849</v>
      </c>
      <c r="BA268" s="93">
        <v>9371</v>
      </c>
      <c r="BB268" s="93">
        <v>8094</v>
      </c>
      <c r="BC268" s="93">
        <v>4802</v>
      </c>
      <c r="BD268" s="93">
        <v>12177</v>
      </c>
      <c r="BE268" s="93">
        <v>10738</v>
      </c>
      <c r="BF268" s="93">
        <v>5713</v>
      </c>
      <c r="BG268" s="93">
        <v>4586</v>
      </c>
      <c r="BH268" s="93">
        <v>9862</v>
      </c>
      <c r="BI268" s="93">
        <v>3266</v>
      </c>
      <c r="BJ268" s="20">
        <v>103273</v>
      </c>
      <c r="BK268" s="25">
        <v>201</v>
      </c>
      <c r="BL268" s="97"/>
      <c r="BM268" s="1504">
        <v>42614</v>
      </c>
      <c r="BN268" s="19">
        <v>140.81099999999995</v>
      </c>
      <c r="BO268" s="93">
        <v>2240.2249999999995</v>
      </c>
      <c r="BP268" s="93">
        <v>7.2960000000000003</v>
      </c>
      <c r="BQ268" s="93">
        <v>813.75199999999984</v>
      </c>
      <c r="BR268" s="93">
        <v>2.448</v>
      </c>
      <c r="BS268" s="93">
        <v>295.24500000000006</v>
      </c>
      <c r="BT268" s="93">
        <v>378.16799999999995</v>
      </c>
      <c r="BU268" s="132">
        <v>3877.9449999999993</v>
      </c>
      <c r="BV268" s="25">
        <v>201</v>
      </c>
      <c r="BW268" s="97"/>
      <c r="BX268" s="1504">
        <v>42614</v>
      </c>
      <c r="BY268" s="179">
        <v>585.04905458437395</v>
      </c>
      <c r="BZ268" s="99">
        <v>664.95699999999999</v>
      </c>
      <c r="CA268" s="99">
        <v>600.74823701804189</v>
      </c>
      <c r="CB268" s="99">
        <v>41.699691681764733</v>
      </c>
      <c r="CC268" s="99">
        <v>146.58810666666668</v>
      </c>
      <c r="CD268" s="25">
        <v>201</v>
      </c>
      <c r="CE268" s="97"/>
      <c r="CF268" s="1504">
        <v>42614</v>
      </c>
      <c r="CG268" s="1508">
        <v>1.7165171319999999</v>
      </c>
      <c r="CH268" s="568">
        <v>1326.61</v>
      </c>
      <c r="CI268" s="1708">
        <v>45.043333333333301</v>
      </c>
      <c r="CJ268" s="1509">
        <v>46.19</v>
      </c>
      <c r="CK268" s="1508">
        <v>365.27</v>
      </c>
      <c r="CL268" s="568">
        <v>148.42523360000001</v>
      </c>
      <c r="CM268" s="568">
        <v>0.47465468599999999</v>
      </c>
      <c r="CN268" s="568">
        <v>0.36613907200000001</v>
      </c>
      <c r="CO268" s="568">
        <v>150.649047</v>
      </c>
      <c r="CP268" s="1509">
        <v>4.117899467</v>
      </c>
      <c r="CQ268" s="1708">
        <v>1433</v>
      </c>
      <c r="CR268" s="568">
        <v>2.33</v>
      </c>
      <c r="CS268" s="568">
        <v>1.5727</v>
      </c>
      <c r="CT268" s="568">
        <v>109</v>
      </c>
      <c r="CU268" s="568">
        <v>57.79</v>
      </c>
      <c r="CV268" s="1709">
        <v>2292.31</v>
      </c>
      <c r="CW268" s="29">
        <v>201</v>
      </c>
      <c r="CX268" s="41">
        <f t="shared" si="239"/>
        <v>2016</v>
      </c>
      <c r="CY268" s="1504">
        <v>42614</v>
      </c>
      <c r="CZ268" s="1916">
        <v>103.66224026025505</v>
      </c>
      <c r="DA268" s="1526">
        <v>63.958724260255046</v>
      </c>
      <c r="DB268" s="1526">
        <v>39.703516</v>
      </c>
      <c r="DC268" s="182">
        <f t="shared" si="235"/>
        <v>585634</v>
      </c>
      <c r="DD268" s="182">
        <f t="shared" si="236"/>
        <v>583970</v>
      </c>
      <c r="DE268" s="182">
        <f t="shared" si="237"/>
        <v>1664</v>
      </c>
      <c r="DF268" s="29">
        <v>201</v>
      </c>
      <c r="DG268" s="1504">
        <v>42614</v>
      </c>
      <c r="DH268" s="181">
        <v>349411</v>
      </c>
      <c r="DI268" s="182"/>
      <c r="DJ268" s="182"/>
      <c r="DK268" s="182"/>
      <c r="DL268" s="182"/>
      <c r="DM268" s="182"/>
      <c r="DN268" s="290"/>
      <c r="DO268" s="295"/>
      <c r="DP268" s="29">
        <v>201</v>
      </c>
      <c r="DQ268" s="1504">
        <v>42614</v>
      </c>
      <c r="DR268" s="19">
        <v>31464</v>
      </c>
      <c r="DS268" s="93">
        <v>297</v>
      </c>
      <c r="DT268" s="93">
        <v>40731</v>
      </c>
      <c r="DU268" s="93">
        <v>3377</v>
      </c>
      <c r="DV268" s="93">
        <v>15909</v>
      </c>
      <c r="DW268" s="93">
        <v>1868</v>
      </c>
      <c r="DX268" s="1719">
        <v>6859</v>
      </c>
      <c r="DY268" s="29">
        <v>201</v>
      </c>
      <c r="DZ268" s="1504">
        <v>42614</v>
      </c>
      <c r="EA268" s="19"/>
      <c r="EB268" s="93"/>
      <c r="EC268" s="20"/>
      <c r="ED268" s="29"/>
      <c r="EE268" s="1504">
        <v>42614</v>
      </c>
      <c r="EF268" s="179">
        <v>20979</v>
      </c>
      <c r="EG268" s="99">
        <v>20235</v>
      </c>
      <c r="EH268" s="99">
        <v>41214</v>
      </c>
      <c r="EI268" s="221">
        <v>6863</v>
      </c>
      <c r="EJ268" s="99">
        <v>627.00400000000002</v>
      </c>
      <c r="EK268" s="99">
        <v>50.698999999999998</v>
      </c>
      <c r="EL268" s="99">
        <v>7.0090000000000003</v>
      </c>
      <c r="EM268" s="99">
        <v>8.7420000000000009</v>
      </c>
      <c r="EN268" s="132">
        <v>693.45399999999995</v>
      </c>
      <c r="EO268" s="29">
        <v>201</v>
      </c>
      <c r="EP268" s="1504">
        <v>42614</v>
      </c>
      <c r="EQ268" s="19">
        <v>18150</v>
      </c>
      <c r="ER268" s="93">
        <v>19567</v>
      </c>
      <c r="ES268" s="93">
        <v>37717</v>
      </c>
      <c r="ET268" s="214">
        <v>6431</v>
      </c>
      <c r="EU268" s="93">
        <v>627.00400000000002</v>
      </c>
      <c r="EV268" s="93">
        <v>50.698999999999998</v>
      </c>
      <c r="EW268" s="93">
        <v>7.0090000000000003</v>
      </c>
      <c r="EX268" s="93">
        <v>8.7420000000000009</v>
      </c>
      <c r="EY268" s="20">
        <v>693.45399999999995</v>
      </c>
      <c r="EZ268" s="29">
        <v>201</v>
      </c>
      <c r="FA268" s="1504">
        <v>42614</v>
      </c>
      <c r="FB268" s="29"/>
      <c r="FC268" s="29"/>
      <c r="FD268" s="29"/>
      <c r="FE268" s="29"/>
      <c r="FF268" s="29"/>
      <c r="FG268" s="29"/>
      <c r="FH268" s="29"/>
      <c r="FI268" s="29"/>
      <c r="FJ268" s="29"/>
      <c r="FK268" s="29">
        <v>201</v>
      </c>
      <c r="FL268" s="1504">
        <v>42614</v>
      </c>
      <c r="FM268" s="19">
        <v>104.8</v>
      </c>
      <c r="FN268" s="93">
        <v>108.91</v>
      </c>
      <c r="FO268" s="93">
        <v>112.65</v>
      </c>
      <c r="FP268" s="93">
        <v>98.86</v>
      </c>
      <c r="FQ268" s="93">
        <v>96.66</v>
      </c>
      <c r="FR268" s="93">
        <v>100.62</v>
      </c>
      <c r="FS268" s="93">
        <v>99.23</v>
      </c>
      <c r="FT268" s="93">
        <v>96.34</v>
      </c>
      <c r="FU268" s="93">
        <v>110.74</v>
      </c>
      <c r="FV268" s="93">
        <v>104.61</v>
      </c>
      <c r="FW268" s="93">
        <v>101.76</v>
      </c>
      <c r="FX268" s="93">
        <v>100.5</v>
      </c>
      <c r="FY268" s="93">
        <v>99.44</v>
      </c>
      <c r="FZ268" s="29">
        <v>201</v>
      </c>
      <c r="GA268" s="1504">
        <v>42614</v>
      </c>
      <c r="GB268" s="19">
        <v>104.8</v>
      </c>
      <c r="GC268" s="100">
        <v>101.83</v>
      </c>
      <c r="GD268" s="100">
        <v>106.52</v>
      </c>
      <c r="GE268" s="93">
        <v>92.91</v>
      </c>
      <c r="GF268" s="93">
        <v>116.64</v>
      </c>
      <c r="GG268" s="100">
        <v>100.95</v>
      </c>
      <c r="GH268" s="93">
        <v>114.06</v>
      </c>
      <c r="GI268" s="93">
        <v>98.91</v>
      </c>
      <c r="GJ268" s="93">
        <v>101.41</v>
      </c>
      <c r="GK268" s="93">
        <v>100.74</v>
      </c>
      <c r="GL268" s="93">
        <v>107.32</v>
      </c>
      <c r="GM268" s="93">
        <v>100.32</v>
      </c>
      <c r="GN268" s="20">
        <v>101.41</v>
      </c>
      <c r="GO268" s="29">
        <v>201</v>
      </c>
      <c r="GP268" s="1504">
        <v>42614</v>
      </c>
      <c r="GQ268" s="181">
        <v>259.60567751571898</v>
      </c>
      <c r="GR268" s="182">
        <v>224.91869378446799</v>
      </c>
      <c r="GS268" s="182">
        <v>237.62077695557599</v>
      </c>
      <c r="GT268" s="182">
        <v>198.74488253632401</v>
      </c>
      <c r="GU268" s="182">
        <v>393.92686780727098</v>
      </c>
      <c r="GV268" s="290">
        <v>813.27182274842198</v>
      </c>
      <c r="GW268" s="181">
        <v>438.77078306101998</v>
      </c>
      <c r="GX268" s="182">
        <v>435.26904174561298</v>
      </c>
      <c r="GY268" s="182">
        <v>522.46090096290902</v>
      </c>
      <c r="GZ268" s="182">
        <v>498.31965889724802</v>
      </c>
      <c r="HA268" s="182">
        <v>373.20178626748401</v>
      </c>
      <c r="HB268" s="290">
        <v>338.82431417134597</v>
      </c>
      <c r="HC268" s="181">
        <v>1989.0423258043099</v>
      </c>
      <c r="HD268" s="182">
        <v>2071.1585186502002</v>
      </c>
      <c r="HE268" s="182">
        <v>2211.5913132247001</v>
      </c>
      <c r="HF268" s="182">
        <v>3150</v>
      </c>
      <c r="HG268" s="182">
        <v>2619.8991067708098</v>
      </c>
      <c r="HH268" s="290">
        <v>2717.5270653197399</v>
      </c>
      <c r="HI268" s="19"/>
      <c r="HJ268" s="182">
        <v>903.92122301591996</v>
      </c>
      <c r="HK268" s="182">
        <v>1370.8726138438301</v>
      </c>
      <c r="HL268" s="182">
        <v>907.19387599508502</v>
      </c>
      <c r="HM268" s="182">
        <v>800</v>
      </c>
      <c r="HN268" s="290">
        <v>2460.3186647457501</v>
      </c>
      <c r="HO268" s="324">
        <v>144.00993834705901</v>
      </c>
      <c r="HP268" s="290">
        <v>98.802748588825693</v>
      </c>
      <c r="HQ268" s="295">
        <v>139.809629615174</v>
      </c>
      <c r="HR268" s="29">
        <v>201</v>
      </c>
      <c r="HS268" s="1504">
        <v>42614</v>
      </c>
      <c r="HT268" s="179">
        <v>207.70059204101563</v>
      </c>
      <c r="HU268" s="99">
        <v>247.22222290039062</v>
      </c>
      <c r="HV268" s="99">
        <v>191.08279418945313</v>
      </c>
      <c r="HW268" s="99">
        <v>144.23077392578125</v>
      </c>
      <c r="HX268" s="99">
        <v>183.33332824707031</v>
      </c>
      <c r="HY268" s="99">
        <v>208.33333587646484</v>
      </c>
      <c r="HZ268" s="99">
        <v>207.58814239501953</v>
      </c>
      <c r="IA268" s="132">
        <v>200.64305877685547</v>
      </c>
      <c r="IB268" s="179">
        <v>215.96957092285157</v>
      </c>
      <c r="IC268" s="99">
        <v>149.30556106567383</v>
      </c>
      <c r="ID268" s="99">
        <v>153.01723480224609</v>
      </c>
      <c r="IE268" s="99">
        <v>145.16130065917969</v>
      </c>
      <c r="IF268" s="99">
        <v>214.58333587646484</v>
      </c>
      <c r="IG268" s="132">
        <v>137.70491027832031</v>
      </c>
      <c r="IH268" s="179">
        <v>141.75337409973145</v>
      </c>
      <c r="II268" s="99">
        <v>194.73617553710938</v>
      </c>
      <c r="IJ268" s="99">
        <v>169.49151611328125</v>
      </c>
      <c r="IK268" s="99">
        <v>171.48014831542969</v>
      </c>
      <c r="IL268" s="99">
        <v>166.66666412353516</v>
      </c>
      <c r="IM268" s="99">
        <v>169.79496765136719</v>
      </c>
      <c r="IN268" s="99">
        <v>173.14488220214844</v>
      </c>
      <c r="IO268" s="132">
        <v>166.51570129394531</v>
      </c>
      <c r="IP268" s="29">
        <v>201</v>
      </c>
      <c r="IQ268" s="179">
        <v>182.74510192871094</v>
      </c>
      <c r="IR268" s="99">
        <v>124.30939483642578</v>
      </c>
      <c r="IS268" s="99">
        <v>142.24137115478516</v>
      </c>
      <c r="IT268" s="99">
        <v>122.97735023498535</v>
      </c>
      <c r="IU268" s="99">
        <v>185.48387145996094</v>
      </c>
      <c r="IV268" s="132">
        <v>117.64705657958984</v>
      </c>
      <c r="IW268" s="29">
        <v>201</v>
      </c>
      <c r="IX268" s="179">
        <v>400</v>
      </c>
      <c r="IY268" s="99">
        <v>409.72222900390625</v>
      </c>
      <c r="IZ268" s="99">
        <v>425</v>
      </c>
      <c r="JA268" s="99">
        <v>375</v>
      </c>
      <c r="JB268" s="99">
        <v>375</v>
      </c>
      <c r="JC268" s="99">
        <v>400</v>
      </c>
      <c r="JD268" s="99">
        <v>340</v>
      </c>
      <c r="JE268" s="132">
        <v>400</v>
      </c>
      <c r="JF268" s="29">
        <v>201</v>
      </c>
      <c r="JG268" s="179">
        <v>138.35551643371582</v>
      </c>
      <c r="JH268" s="99">
        <v>194.73617553710938</v>
      </c>
      <c r="JI268" s="99">
        <v>192.92605590820313</v>
      </c>
      <c r="JJ268" s="99">
        <v>150</v>
      </c>
      <c r="JK268" s="99">
        <v>167.2979850769043</v>
      </c>
      <c r="JL268" s="99">
        <v>157.43573760986328</v>
      </c>
      <c r="JM268" s="99">
        <v>170.4954833984375</v>
      </c>
      <c r="JN268" s="132">
        <v>189.45869064331055</v>
      </c>
      <c r="JO268" s="29">
        <v>201</v>
      </c>
      <c r="JP268" s="179">
        <v>200.74074096679686</v>
      </c>
      <c r="JQ268" s="99">
        <v>120.96774291992188</v>
      </c>
      <c r="JR268" s="99">
        <v>150</v>
      </c>
      <c r="JS268" s="99"/>
      <c r="JT268" s="99">
        <v>195.3125</v>
      </c>
      <c r="JU268" s="132">
        <v>112.43315696716309</v>
      </c>
      <c r="JV268" s="29">
        <v>201</v>
      </c>
      <c r="JW268" s="1504">
        <v>42614</v>
      </c>
      <c r="JX268" s="179">
        <v>265.26666666666671</v>
      </c>
      <c r="JY268" s="99">
        <v>300</v>
      </c>
      <c r="JZ268" s="99">
        <v>285.61688311688312</v>
      </c>
      <c r="KA268" s="99">
        <v>252.03947368421052</v>
      </c>
      <c r="KB268" s="99">
        <v>223.69444444444443</v>
      </c>
      <c r="KC268" s="99">
        <v>287.5</v>
      </c>
      <c r="KD268" s="132">
        <v>288.75</v>
      </c>
      <c r="KE268" s="29">
        <v>201</v>
      </c>
      <c r="KF268" s="179">
        <v>36.516666666666666</v>
      </c>
      <c r="KG268" s="99">
        <v>44.772727272727273</v>
      </c>
      <c r="KH268" s="99">
        <v>51.065789473684212</v>
      </c>
      <c r="KI268" s="99">
        <v>55.9375</v>
      </c>
      <c r="KJ268" s="99">
        <v>38.63636363636364</v>
      </c>
      <c r="KK268" s="132">
        <v>70.373831775700936</v>
      </c>
      <c r="KL268" s="29">
        <v>201</v>
      </c>
      <c r="KM268" s="179">
        <v>21.837499999999999</v>
      </c>
      <c r="KN268" s="99">
        <v>16.652985074626862</v>
      </c>
      <c r="KO268" s="99">
        <v>39.125</v>
      </c>
      <c r="KP268" s="99">
        <v>31.814814814814813</v>
      </c>
      <c r="KQ268" s="99">
        <v>26.25</v>
      </c>
      <c r="KR268" s="132">
        <v>31.773469387755103</v>
      </c>
      <c r="KS268" s="29">
        <v>201</v>
      </c>
      <c r="KT268" s="179">
        <v>26.033333333333331</v>
      </c>
      <c r="KU268" s="99">
        <v>22.706140350877195</v>
      </c>
      <c r="KV268" s="99">
        <v>23.836842105263155</v>
      </c>
      <c r="KW268" s="99">
        <v>23.125</v>
      </c>
      <c r="KX268" s="99">
        <v>19.710359408033799</v>
      </c>
      <c r="KY268" s="132">
        <v>25.874396135265698</v>
      </c>
      <c r="KZ268" s="29">
        <v>201</v>
      </c>
      <c r="LA268" s="1504">
        <v>42614</v>
      </c>
      <c r="LB268" s="19">
        <v>380</v>
      </c>
      <c r="LC268" s="93">
        <v>610</v>
      </c>
      <c r="LD268" s="93">
        <v>602</v>
      </c>
      <c r="LE268" s="93"/>
      <c r="LF268" s="93">
        <v>526</v>
      </c>
      <c r="LG268" s="93"/>
      <c r="LH268" s="20"/>
      <c r="LI268" s="29">
        <v>201</v>
      </c>
      <c r="LJ268" s="19"/>
      <c r="LK268" s="93"/>
      <c r="LL268" s="93"/>
      <c r="LM268" s="93"/>
      <c r="LN268" s="93"/>
      <c r="LO268" s="20"/>
      <c r="LP268" s="29">
        <v>201</v>
      </c>
      <c r="LQ268" s="19"/>
      <c r="LR268" s="93"/>
      <c r="LS268" s="93"/>
      <c r="LT268" s="93"/>
      <c r="LU268" s="93"/>
      <c r="LV268" s="93"/>
      <c r="LW268" s="93"/>
      <c r="LX268" s="93"/>
      <c r="LY268" s="93"/>
      <c r="LZ268" s="93"/>
      <c r="MA268" s="20"/>
      <c r="MB268" s="29">
        <v>201</v>
      </c>
      <c r="MC268" s="1504">
        <v>42614</v>
      </c>
      <c r="MD268" s="19">
        <v>1013.3506332929778</v>
      </c>
      <c r="ME268" s="93">
        <v>899.61731015736189</v>
      </c>
      <c r="MF268" s="93">
        <v>899.58713715736189</v>
      </c>
      <c r="MG268" s="93">
        <v>791.67318703036199</v>
      </c>
      <c r="MH268" s="93">
        <v>212.84649112399998</v>
      </c>
      <c r="MI268" s="93">
        <v>6.5905723310000015</v>
      </c>
      <c r="MJ268" s="93">
        <v>7.2827865907619058</v>
      </c>
      <c r="MK268" s="93">
        <v>440.19114309259993</v>
      </c>
      <c r="ML268" s="93">
        <v>118.36761107600002</v>
      </c>
      <c r="MM268" s="93">
        <v>6.3945828160000007</v>
      </c>
      <c r="MN268" s="93">
        <v>107.91395012699999</v>
      </c>
      <c r="MO268" s="93">
        <v>3.8949147849999992</v>
      </c>
      <c r="MP268" s="93">
        <v>24.333087331000002</v>
      </c>
      <c r="MQ268" s="93">
        <v>1.9937099930000002</v>
      </c>
      <c r="MR268" s="93">
        <v>28.855475170999995</v>
      </c>
      <c r="MS268" s="93">
        <v>48.836762846999996</v>
      </c>
      <c r="MT268" s="93">
        <v>3.0172999999999998E-2</v>
      </c>
      <c r="MU268" s="93">
        <v>113.73332313561581</v>
      </c>
      <c r="MV268" s="93">
        <v>76.237265301615821</v>
      </c>
      <c r="MW268" s="93">
        <v>37.496057833999998</v>
      </c>
      <c r="MX268" s="93">
        <v>1183.3022531055983</v>
      </c>
      <c r="MY268" s="93">
        <v>1190.9284221515979</v>
      </c>
      <c r="MZ268" s="93">
        <v>846.5853351039184</v>
      </c>
      <c r="NA268" s="93">
        <v>408.782818357</v>
      </c>
      <c r="NB268" s="93">
        <v>98.983509523999999</v>
      </c>
      <c r="NC268" s="93">
        <v>37.307781616918504</v>
      </c>
      <c r="ND268" s="93">
        <v>27.678325615999999</v>
      </c>
      <c r="NE268" s="93">
        <v>9.6294560009185055</v>
      </c>
      <c r="NF268" s="93">
        <v>301.51122560599998</v>
      </c>
      <c r="NG268" s="93">
        <v>10.092064799000001</v>
      </c>
      <c r="NH268" s="93">
        <v>94.163818173999999</v>
      </c>
      <c r="NI268" s="93">
        <v>1.7130019399999998</v>
      </c>
      <c r="NJ268" s="93">
        <v>26.588370694000002</v>
      </c>
      <c r="NK268" s="93">
        <v>344.34308704767972</v>
      </c>
      <c r="NL268" s="93">
        <v>195.126281366</v>
      </c>
      <c r="NM268" s="93">
        <v>6.050535848</v>
      </c>
      <c r="NN268" s="93">
        <v>143.16626983367968</v>
      </c>
      <c r="NO268" s="93">
        <v>-7.6261690460000038</v>
      </c>
      <c r="NP268" s="93">
        <v>-169.95161981262046</v>
      </c>
      <c r="NQ268" s="93">
        <v>-283.68494294823631</v>
      </c>
      <c r="NR268" s="93">
        <v>-103.21089149763813</v>
      </c>
      <c r="NS268" s="93">
        <v>-140.51867311455661</v>
      </c>
      <c r="NT268" s="93">
        <v>-128.77666494162045</v>
      </c>
      <c r="NU268" s="93">
        <v>-242.5099880772363</v>
      </c>
      <c r="NV268" s="93">
        <v>133.03726788352188</v>
      </c>
      <c r="NW268" s="93">
        <v>45.676980899521894</v>
      </c>
      <c r="NX268" s="93">
        <v>66.929004532063843</v>
      </c>
      <c r="NY268" s="93">
        <v>-21.252023632541963</v>
      </c>
      <c r="NZ268" s="93">
        <v>0</v>
      </c>
      <c r="OA268" s="93">
        <v>87.36028698399997</v>
      </c>
      <c r="OB268" s="93">
        <v>8.2982639539999798</v>
      </c>
      <c r="OC268" s="93">
        <v>79.062023030000006</v>
      </c>
      <c r="OD268" s="20">
        <v>0</v>
      </c>
      <c r="OE268" s="29">
        <v>201</v>
      </c>
      <c r="OF268" s="1504">
        <v>42614</v>
      </c>
      <c r="OG268" s="19"/>
      <c r="OH268" s="93">
        <v>252.16774623000001</v>
      </c>
      <c r="OI268" s="93">
        <v>1183.3942332799463</v>
      </c>
      <c r="OJ268" s="93">
        <v>0.37074391000000001</v>
      </c>
      <c r="OK268" s="93">
        <v>1011.2225902959464</v>
      </c>
      <c r="OL268" s="93">
        <v>171.800899074</v>
      </c>
      <c r="OM268" s="93">
        <v>1435.5619795099462</v>
      </c>
      <c r="ON268" s="93">
        <v>1148.2170314737946</v>
      </c>
      <c r="OO268" s="93">
        <v>2583.7790109837406</v>
      </c>
      <c r="OP268" s="93"/>
      <c r="OQ268" s="93">
        <v>925.42490973062309</v>
      </c>
      <c r="OR268" s="93">
        <v>-133.28973059099997</v>
      </c>
      <c r="OS268" s="93">
        <v>1058.7146403216232</v>
      </c>
      <c r="OT268" s="93">
        <v>1999.0192095841178</v>
      </c>
      <c r="OU268" s="93">
        <v>-12.477470770000068</v>
      </c>
      <c r="OV268" s="93">
        <v>-85.72947077000002</v>
      </c>
      <c r="OW268" s="93">
        <v>73.251999999999953</v>
      </c>
      <c r="OX268" s="93">
        <v>2011.4966803541179</v>
      </c>
      <c r="OY268" s="93">
        <v>4.3587929829999998</v>
      </c>
      <c r="OZ268" s="93">
        <v>2007.1378873711176</v>
      </c>
      <c r="PA268" s="93">
        <v>420.71912774500004</v>
      </c>
      <c r="PB268" s="93">
        <v>-80.05401941400001</v>
      </c>
      <c r="PC268" s="20">
        <v>2583.7790109837406</v>
      </c>
      <c r="PD268" s="29">
        <v>201</v>
      </c>
      <c r="PE268" s="19"/>
      <c r="PF268" s="93">
        <v>-133.28973059099997</v>
      </c>
      <c r="PG268" s="93">
        <v>568.94784906799998</v>
      </c>
      <c r="PH268" s="93">
        <v>702.23757965899995</v>
      </c>
      <c r="PI268" s="93">
        <v>676.37305384499996</v>
      </c>
      <c r="PJ268" s="93">
        <v>-81.467496531000023</v>
      </c>
      <c r="PK268" s="93">
        <v>137.16424110299999</v>
      </c>
      <c r="PL268" s="93">
        <v>218.63173763400002</v>
      </c>
      <c r="PM268" s="93">
        <v>4.3587929829999998</v>
      </c>
      <c r="PN268" s="93">
        <v>0.6</v>
      </c>
      <c r="PO268" s="93">
        <v>0</v>
      </c>
      <c r="PP268" s="93">
        <v>5.4354399999999997E-4</v>
      </c>
      <c r="PQ268" s="93">
        <v>3.7582494389999996</v>
      </c>
      <c r="PR268" s="93">
        <v>447.77387410599999</v>
      </c>
      <c r="PS268" s="93">
        <v>307.35772046900001</v>
      </c>
      <c r="PT268" s="93">
        <v>139.77931565</v>
      </c>
      <c r="PU268" s="93">
        <v>0.63683798700000005</v>
      </c>
      <c r="PV268" s="93">
        <v>0</v>
      </c>
      <c r="PW268" s="93">
        <v>0.47821258999999999</v>
      </c>
      <c r="PX268" s="93">
        <v>0</v>
      </c>
      <c r="PY268" s="93">
        <v>0</v>
      </c>
      <c r="PZ268" s="93">
        <v>0.47821258999999999</v>
      </c>
      <c r="QA268" s="93">
        <v>0</v>
      </c>
      <c r="QB268" s="93">
        <v>0</v>
      </c>
      <c r="QC268" s="93">
        <v>0</v>
      </c>
      <c r="QD268" s="93">
        <v>13.058915154999999</v>
      </c>
      <c r="QE268" s="20">
        <v>4.6636178550000142</v>
      </c>
      <c r="QF268" s="1739">
        <v>201</v>
      </c>
      <c r="QG268" s="19"/>
      <c r="QH268" s="1035">
        <v>1058.7146403216232</v>
      </c>
      <c r="QI268" s="1035">
        <v>1408.8531126288822</v>
      </c>
      <c r="QJ268" s="1035">
        <v>-350.13847230725895</v>
      </c>
      <c r="QK268" s="1035">
        <v>176.559</v>
      </c>
      <c r="QL268" s="1035">
        <v>50.927999999999997</v>
      </c>
      <c r="QM268" s="1035">
        <v>125.631</v>
      </c>
      <c r="QN268" s="1035">
        <v>0</v>
      </c>
      <c r="QO268" s="1035">
        <v>73.251999999999953</v>
      </c>
      <c r="QP268" s="1035">
        <v>330.93799999999999</v>
      </c>
      <c r="QQ268" s="1035">
        <v>-257.68600000000004</v>
      </c>
      <c r="QR268" s="1035">
        <v>2007.1378873711176</v>
      </c>
      <c r="QS268" s="1035">
        <v>21.199385225290293</v>
      </c>
      <c r="QT268" s="1035">
        <v>0</v>
      </c>
      <c r="QU268" s="1035">
        <v>130.80500000000001</v>
      </c>
      <c r="QV268" s="1035">
        <v>1855.1335021458274</v>
      </c>
      <c r="QW268" s="93"/>
      <c r="QX268" s="93">
        <v>671.08699999999999</v>
      </c>
      <c r="QY268" s="93">
        <v>1011.2225902959464</v>
      </c>
      <c r="QZ268" s="93">
        <v>1147.9509373967946</v>
      </c>
      <c r="RA268" s="93">
        <v>0</v>
      </c>
      <c r="RB268" s="93">
        <v>59.843999999999994</v>
      </c>
      <c r="RC268" s="93">
        <v>3.3109999999999999</v>
      </c>
      <c r="RD268" s="93">
        <v>27.397000000000002</v>
      </c>
      <c r="RE268" s="93">
        <v>0</v>
      </c>
      <c r="RF268" s="93">
        <v>0</v>
      </c>
      <c r="RG268" s="93">
        <v>316.63</v>
      </c>
      <c r="RH268" s="93">
        <v>78.220999999999975</v>
      </c>
      <c r="RI268" s="93"/>
      <c r="RJ268" s="93"/>
      <c r="RK268" s="93"/>
      <c r="RL268" s="93"/>
      <c r="RM268" s="734"/>
      <c r="RN268" s="29">
        <v>201</v>
      </c>
      <c r="RO268" s="19">
        <v>68</v>
      </c>
      <c r="RP268" s="20">
        <v>278</v>
      </c>
      <c r="RQ268" s="29">
        <v>201</v>
      </c>
      <c r="RR268" s="734">
        <v>3.5223144299999998</v>
      </c>
      <c r="RS268" s="29">
        <v>201</v>
      </c>
      <c r="RT268" s="1504">
        <v>42614</v>
      </c>
      <c r="RU268" s="19">
        <v>724</v>
      </c>
      <c r="RV268" s="20">
        <v>12</v>
      </c>
      <c r="RW268" s="29">
        <v>201</v>
      </c>
      <c r="RX268" s="1504">
        <v>42614</v>
      </c>
      <c r="RY268" s="29"/>
      <c r="RZ268" s="734"/>
      <c r="SA268" s="29"/>
      <c r="SB268" s="29">
        <v>201</v>
      </c>
    </row>
    <row r="269" spans="1:496">
      <c r="A269" s="41">
        <f t="shared" si="238"/>
        <v>2016</v>
      </c>
      <c r="B269" s="1504">
        <v>42644</v>
      </c>
      <c r="C269" s="1813">
        <v>2574</v>
      </c>
      <c r="D269" s="1814">
        <v>31234</v>
      </c>
      <c r="E269" s="1814">
        <v>51</v>
      </c>
      <c r="F269" s="1815">
        <v>285</v>
      </c>
      <c r="G269" s="1814">
        <v>101489</v>
      </c>
      <c r="H269" s="1814">
        <v>29</v>
      </c>
      <c r="I269" s="1814">
        <v>40725</v>
      </c>
      <c r="J269" s="1816">
        <v>16184</v>
      </c>
      <c r="K269" s="1807">
        <v>192571</v>
      </c>
      <c r="L269" s="25">
        <v>202</v>
      </c>
      <c r="M269" s="97"/>
      <c r="N269" s="1504">
        <v>42644</v>
      </c>
      <c r="O269" s="19">
        <v>609</v>
      </c>
      <c r="P269" s="93">
        <v>734</v>
      </c>
      <c r="Q269" s="93">
        <v>2361</v>
      </c>
      <c r="R269" s="93">
        <v>2288</v>
      </c>
      <c r="S269" s="93">
        <v>929</v>
      </c>
      <c r="T269" s="93">
        <v>467</v>
      </c>
      <c r="U269" s="93">
        <v>376</v>
      </c>
      <c r="V269" s="93">
        <v>1784</v>
      </c>
      <c r="W269" s="93">
        <v>7665</v>
      </c>
      <c r="X269" s="93">
        <v>709</v>
      </c>
      <c r="Y269" s="93">
        <v>152</v>
      </c>
      <c r="Z269" s="93">
        <v>1119</v>
      </c>
      <c r="AA269" s="93">
        <v>632</v>
      </c>
      <c r="AB269" s="132">
        <v>19825</v>
      </c>
      <c r="AC269" s="25">
        <v>202</v>
      </c>
      <c r="AD269" s="97"/>
      <c r="AE269" s="1504">
        <v>42644</v>
      </c>
      <c r="AF269" s="19">
        <v>2459</v>
      </c>
      <c r="AG269" s="93">
        <v>741</v>
      </c>
      <c r="AH269" s="93">
        <v>2151</v>
      </c>
      <c r="AI269" s="93">
        <v>2755</v>
      </c>
      <c r="AJ269" s="93">
        <v>2676</v>
      </c>
      <c r="AK269" s="93">
        <v>2003</v>
      </c>
      <c r="AL269" s="93">
        <v>1080</v>
      </c>
      <c r="AM269" s="93">
        <v>2427</v>
      </c>
      <c r="AN269" s="93">
        <v>10807</v>
      </c>
      <c r="AO269" s="93">
        <v>2043</v>
      </c>
      <c r="AP269" s="93">
        <v>692</v>
      </c>
      <c r="AQ269" s="93">
        <v>2201</v>
      </c>
      <c r="AR269" s="93">
        <v>770</v>
      </c>
      <c r="AS269" s="20">
        <v>32805</v>
      </c>
      <c r="AT269" s="25">
        <v>202</v>
      </c>
      <c r="AU269" s="97"/>
      <c r="AV269" s="1504">
        <v>42644</v>
      </c>
      <c r="AW269" s="19">
        <v>10730</v>
      </c>
      <c r="AX269" s="93">
        <v>3010</v>
      </c>
      <c r="AY269" s="93">
        <v>3073</v>
      </c>
      <c r="AZ269" s="93">
        <v>11941</v>
      </c>
      <c r="BA269" s="93">
        <v>7300</v>
      </c>
      <c r="BB269" s="93">
        <v>7418</v>
      </c>
      <c r="BC269" s="93">
        <v>4118</v>
      </c>
      <c r="BD269" s="93">
        <v>11796</v>
      </c>
      <c r="BE269" s="93">
        <v>20588</v>
      </c>
      <c r="BF269" s="93">
        <v>6898</v>
      </c>
      <c r="BG269" s="93">
        <v>3176</v>
      </c>
      <c r="BH269" s="93">
        <v>9130</v>
      </c>
      <c r="BI269" s="93">
        <v>2541</v>
      </c>
      <c r="BJ269" s="20">
        <v>101719</v>
      </c>
      <c r="BK269" s="25">
        <v>202</v>
      </c>
      <c r="BL269" s="97"/>
      <c r="BM269" s="1504">
        <v>42644</v>
      </c>
      <c r="BN269" s="19">
        <v>123.87900000000002</v>
      </c>
      <c r="BO269" s="93">
        <v>2114.3429999999994</v>
      </c>
      <c r="BP269" s="93">
        <v>3.456</v>
      </c>
      <c r="BQ269" s="93">
        <v>752.14400000000023</v>
      </c>
      <c r="BR269" s="93">
        <v>3.2129999999999996</v>
      </c>
      <c r="BS269" s="93">
        <v>281.20499999999998</v>
      </c>
      <c r="BT269" s="93">
        <v>330.21600000000001</v>
      </c>
      <c r="BU269" s="132">
        <v>3608.4559999999997</v>
      </c>
      <c r="BV269" s="25">
        <v>202</v>
      </c>
      <c r="BW269" s="97"/>
      <c r="BX269" s="1504">
        <v>42644</v>
      </c>
      <c r="BY269" s="179">
        <v>594.91837475058946</v>
      </c>
      <c r="BZ269" s="99">
        <v>664.95699999999999</v>
      </c>
      <c r="CA269" s="99">
        <v>602.51400753191876</v>
      </c>
      <c r="CB269" s="99">
        <v>42.70748015860098</v>
      </c>
      <c r="CC269" s="99">
        <v>151.11458709677419</v>
      </c>
      <c r="CD269" s="25">
        <v>202</v>
      </c>
      <c r="CE269" s="97"/>
      <c r="CF269" s="1504">
        <v>42644</v>
      </c>
      <c r="CG269" s="1508">
        <v>1.731067624</v>
      </c>
      <c r="CH269" s="568">
        <v>1266.55</v>
      </c>
      <c r="CI269" s="1708">
        <v>49.293333333333301</v>
      </c>
      <c r="CJ269" s="1509">
        <v>49.73</v>
      </c>
      <c r="CK269" s="1508">
        <v>349.9</v>
      </c>
      <c r="CL269" s="568">
        <v>152.25967679999999</v>
      </c>
      <c r="CM269" s="568">
        <v>0.489866564</v>
      </c>
      <c r="CN269" s="568">
        <v>0.360163024</v>
      </c>
      <c r="CO269" s="568">
        <v>151.75135710000001</v>
      </c>
      <c r="CP269" s="1509">
        <v>4.0365489889999999</v>
      </c>
      <c r="CQ269" s="1708">
        <v>1433</v>
      </c>
      <c r="CR269" s="568">
        <v>2.3940000000000001</v>
      </c>
      <c r="CS269" s="568">
        <v>1.6576</v>
      </c>
      <c r="CT269" s="568">
        <v>109</v>
      </c>
      <c r="CU269" s="568">
        <v>59.09</v>
      </c>
      <c r="CV269" s="1709">
        <v>2311.5</v>
      </c>
      <c r="CW269" s="29">
        <v>202</v>
      </c>
      <c r="CX269" s="41">
        <f t="shared" si="239"/>
        <v>2016</v>
      </c>
      <c r="CY269" s="1504">
        <v>42644</v>
      </c>
      <c r="CZ269" s="1916">
        <v>105.909645</v>
      </c>
      <c r="DA269" s="1526">
        <v>65.298597999999998</v>
      </c>
      <c r="DB269" s="1526">
        <v>40.611046999999999</v>
      </c>
      <c r="DC269" s="182">
        <f t="shared" si="235"/>
        <v>585634</v>
      </c>
      <c r="DD269" s="182">
        <f t="shared" si="236"/>
        <v>583970</v>
      </c>
      <c r="DE269" s="182">
        <f t="shared" si="237"/>
        <v>1664</v>
      </c>
      <c r="DF269" s="29">
        <v>202</v>
      </c>
      <c r="DG269" s="1504">
        <v>42644</v>
      </c>
      <c r="DH269" s="181">
        <v>346987</v>
      </c>
      <c r="DI269" s="182"/>
      <c r="DJ269" s="182"/>
      <c r="DK269" s="182"/>
      <c r="DL269" s="182"/>
      <c r="DM269" s="182"/>
      <c r="DN269" s="290"/>
      <c r="DO269" s="295"/>
      <c r="DP269" s="29">
        <v>202</v>
      </c>
      <c r="DQ269" s="1504">
        <v>42644</v>
      </c>
      <c r="DR269" s="19">
        <v>30795</v>
      </c>
      <c r="DS269" s="93">
        <v>309</v>
      </c>
      <c r="DT269" s="93">
        <v>40517</v>
      </c>
      <c r="DU269" s="93">
        <v>2500</v>
      </c>
      <c r="DV269" s="93">
        <v>8162</v>
      </c>
      <c r="DW269" s="93">
        <v>3130</v>
      </c>
      <c r="DX269" s="1719">
        <v>6046</v>
      </c>
      <c r="DY269" s="29">
        <v>202</v>
      </c>
      <c r="DZ269" s="1504">
        <v>42644</v>
      </c>
      <c r="EA269" s="19"/>
      <c r="EB269" s="93"/>
      <c r="EC269" s="20"/>
      <c r="ED269" s="29"/>
      <c r="EE269" s="1504">
        <v>42644</v>
      </c>
      <c r="EF269" s="179">
        <v>19408</v>
      </c>
      <c r="EG269" s="99">
        <v>19548</v>
      </c>
      <c r="EH269" s="99">
        <v>38956</v>
      </c>
      <c r="EI269" s="221">
        <v>6220</v>
      </c>
      <c r="EJ269" s="99">
        <v>522.548</v>
      </c>
      <c r="EK269" s="99">
        <v>102.666</v>
      </c>
      <c r="EL269" s="99">
        <v>7.74</v>
      </c>
      <c r="EM269" s="99">
        <v>6.4130000000000003</v>
      </c>
      <c r="EN269" s="132">
        <v>639.36699999999996</v>
      </c>
      <c r="EO269" s="29">
        <v>202</v>
      </c>
      <c r="EP269" s="1504">
        <v>42644</v>
      </c>
      <c r="EQ269" s="19">
        <v>18805</v>
      </c>
      <c r="ER269" s="93">
        <v>18914</v>
      </c>
      <c r="ES269" s="93">
        <v>37719</v>
      </c>
      <c r="ET269" s="214">
        <v>5737</v>
      </c>
      <c r="EU269" s="93">
        <v>522.548</v>
      </c>
      <c r="EV269" s="93">
        <v>102.666</v>
      </c>
      <c r="EW269" s="93">
        <v>7.74</v>
      </c>
      <c r="EX269" s="93">
        <v>6.4130000000000003</v>
      </c>
      <c r="EY269" s="20">
        <v>639.36699999999996</v>
      </c>
      <c r="EZ269" s="29">
        <v>202</v>
      </c>
      <c r="FA269" s="1504">
        <v>42644</v>
      </c>
      <c r="FB269" s="29"/>
      <c r="FC269" s="29"/>
      <c r="FD269" s="29"/>
      <c r="FE269" s="29"/>
      <c r="FF269" s="29"/>
      <c r="FG269" s="29"/>
      <c r="FH269" s="29"/>
      <c r="FI269" s="29"/>
      <c r="FJ269" s="29"/>
      <c r="FK269" s="29">
        <v>202</v>
      </c>
      <c r="FL269" s="1504">
        <v>42644</v>
      </c>
      <c r="FM269" s="19">
        <v>103.65</v>
      </c>
      <c r="FN269" s="93">
        <v>104.48</v>
      </c>
      <c r="FO269" s="93">
        <v>110.11</v>
      </c>
      <c r="FP269" s="93">
        <v>98.86</v>
      </c>
      <c r="FQ269" s="93">
        <v>113.77</v>
      </c>
      <c r="FR269" s="93">
        <v>100.34</v>
      </c>
      <c r="FS269" s="93">
        <v>99.38</v>
      </c>
      <c r="FT269" s="93">
        <v>96.34</v>
      </c>
      <c r="FU269" s="93">
        <v>110.81</v>
      </c>
      <c r="FV269" s="93">
        <v>104.48</v>
      </c>
      <c r="FW269" s="93">
        <v>101.76</v>
      </c>
      <c r="FX269" s="93">
        <v>100.08</v>
      </c>
      <c r="FY269" s="93">
        <v>99.8</v>
      </c>
      <c r="FZ269" s="29">
        <v>202</v>
      </c>
      <c r="GA269" s="1504">
        <v>42644</v>
      </c>
      <c r="GB269" s="19">
        <v>103.65</v>
      </c>
      <c r="GC269" s="93">
        <v>104.22</v>
      </c>
      <c r="GD269" s="93">
        <v>103.76</v>
      </c>
      <c r="GE269" s="93">
        <v>93.47</v>
      </c>
      <c r="GF269" s="93">
        <v>107.97</v>
      </c>
      <c r="GG269" s="99">
        <v>103.14</v>
      </c>
      <c r="GH269" s="93">
        <v>107.75</v>
      </c>
      <c r="GI269" s="93">
        <v>102.87</v>
      </c>
      <c r="GJ269" s="93">
        <v>101.44</v>
      </c>
      <c r="GK269" s="93">
        <v>100.87</v>
      </c>
      <c r="GL269" s="93">
        <v>103.54</v>
      </c>
      <c r="GM269" s="93">
        <v>111.11</v>
      </c>
      <c r="GN269" s="20">
        <v>101.44</v>
      </c>
      <c r="GO269" s="29">
        <v>202</v>
      </c>
      <c r="GP269" s="1504">
        <v>42644</v>
      </c>
      <c r="GQ269" s="181">
        <v>261.39684629763798</v>
      </c>
      <c r="GR269" s="182">
        <v>212.585295380405</v>
      </c>
      <c r="GS269" s="182">
        <v>226.62372649618399</v>
      </c>
      <c r="GT269" s="182">
        <v>183.87997664452701</v>
      </c>
      <c r="GU269" s="182">
        <v>411.37240074035299</v>
      </c>
      <c r="GV269" s="290">
        <v>852.35658164510301</v>
      </c>
      <c r="GW269" s="181">
        <v>405.23202127205599</v>
      </c>
      <c r="GX269" s="182">
        <v>408.56662716471101</v>
      </c>
      <c r="GY269" s="182">
        <v>590.493664605449</v>
      </c>
      <c r="GZ269" s="182">
        <v>702.99441520662003</v>
      </c>
      <c r="HA269" s="182">
        <v>559.43392936610701</v>
      </c>
      <c r="HB269" s="290">
        <v>577.64527808304695</v>
      </c>
      <c r="HC269" s="181">
        <v>1873.2352691098799</v>
      </c>
      <c r="HD269" s="182">
        <v>2248.0267178168401</v>
      </c>
      <c r="HE269" s="182">
        <v>2325.8752658281201</v>
      </c>
      <c r="HF269" s="182">
        <v>3150</v>
      </c>
      <c r="HG269" s="182">
        <v>2501.93485891402</v>
      </c>
      <c r="HH269" s="290">
        <v>2600.6027027033601</v>
      </c>
      <c r="HI269" s="19"/>
      <c r="HJ269" s="182">
        <v>881.864397707075</v>
      </c>
      <c r="HK269" s="182">
        <v>1285.19570173121</v>
      </c>
      <c r="HL269" s="182">
        <v>878.86684473718606</v>
      </c>
      <c r="HM269" s="182">
        <v>800</v>
      </c>
      <c r="HN269" s="290">
        <v>2983.5996372454902</v>
      </c>
      <c r="HO269" s="324">
        <v>149.13484201396699</v>
      </c>
      <c r="HP269" s="290">
        <v>100.822255917693</v>
      </c>
      <c r="HQ269" s="295">
        <v>143.80615981585501</v>
      </c>
      <c r="HR269" s="29">
        <v>202</v>
      </c>
      <c r="HS269" s="1504">
        <v>42644</v>
      </c>
      <c r="HT269" s="179">
        <v>229.52814178466798</v>
      </c>
      <c r="HU269" s="99">
        <v>216.14583587646484</v>
      </c>
      <c r="HV269" s="99">
        <v>178.34393920898438</v>
      </c>
      <c r="HW269" s="99">
        <v>105.76923370361328</v>
      </c>
      <c r="HX269" s="99">
        <v>183.33332824707031</v>
      </c>
      <c r="HY269" s="99">
        <v>219.44444427490234</v>
      </c>
      <c r="HZ269" s="99">
        <v>202.26420745849609</v>
      </c>
      <c r="IA269" s="132">
        <v>182.35294494628906</v>
      </c>
      <c r="IB269" s="179">
        <v>223.3840217590332</v>
      </c>
      <c r="IC269" s="99">
        <v>154.89418334960936</v>
      </c>
      <c r="ID269" s="99">
        <v>150.00000610351563</v>
      </c>
      <c r="IE269" s="99">
        <v>152.75081481933594</v>
      </c>
      <c r="IF269" s="99">
        <v>206.25</v>
      </c>
      <c r="IG269" s="132">
        <v>160.65574035644531</v>
      </c>
      <c r="IH269" s="179">
        <v>137.47948150634767</v>
      </c>
      <c r="II269" s="99">
        <v>194.73617553710938</v>
      </c>
      <c r="IJ269" s="99">
        <v>166.1016876220703</v>
      </c>
      <c r="IK269" s="99">
        <v>171.48014831542969</v>
      </c>
      <c r="IL269" s="99">
        <v>148.76542968749999</v>
      </c>
      <c r="IM269" s="99">
        <v>146.12904052734376</v>
      </c>
      <c r="IN269" s="99">
        <v>176.67845153808594</v>
      </c>
      <c r="IO269" s="132">
        <v>149.96799468994141</v>
      </c>
      <c r="IP269" s="29">
        <v>202</v>
      </c>
      <c r="IQ269" s="179">
        <v>141.114990234375</v>
      </c>
      <c r="IR269" s="99">
        <v>91.6181640625</v>
      </c>
      <c r="IS269" s="99">
        <v>139.28571777343751</v>
      </c>
      <c r="IT269" s="99">
        <v>102.40497589111328</v>
      </c>
      <c r="IU269" s="99">
        <v>165.32258605957031</v>
      </c>
      <c r="IV269" s="132">
        <v>96.708599853515622</v>
      </c>
      <c r="IW269" s="29">
        <v>202</v>
      </c>
      <c r="IX269" s="179">
        <v>400</v>
      </c>
      <c r="IY269" s="99">
        <v>409.72222900390602</v>
      </c>
      <c r="IZ269" s="99">
        <v>426</v>
      </c>
      <c r="JA269" s="99">
        <v>375</v>
      </c>
      <c r="JB269" s="99">
        <v>385</v>
      </c>
      <c r="JC269" s="99">
        <v>400</v>
      </c>
      <c r="JD269" s="99">
        <v>340</v>
      </c>
      <c r="JE269" s="132">
        <v>410</v>
      </c>
      <c r="JF269" s="29">
        <v>202</v>
      </c>
      <c r="JG269" s="179">
        <v>153.70817871093749</v>
      </c>
      <c r="JH269" s="99">
        <v>184.65553283691406</v>
      </c>
      <c r="JI269" s="99">
        <v>160.77171020507814</v>
      </c>
      <c r="JJ269" s="99">
        <v>125</v>
      </c>
      <c r="JK269" s="99">
        <v>162.03704071044922</v>
      </c>
      <c r="JL269" s="99">
        <v>157.43573760986328</v>
      </c>
      <c r="JM269" s="99">
        <v>181.10561370849609</v>
      </c>
      <c r="JN269" s="132">
        <v>187.54179534912109</v>
      </c>
      <c r="JO269" s="29">
        <v>202</v>
      </c>
      <c r="JP269" s="179">
        <v>173.13664245605469</v>
      </c>
      <c r="JQ269" s="99">
        <v>107.52688598632813</v>
      </c>
      <c r="JR269" s="99">
        <v>162.06896057128907</v>
      </c>
      <c r="JS269" s="99"/>
      <c r="JT269" s="99">
        <v>187.5</v>
      </c>
      <c r="JU269" s="132">
        <v>106.09625854492188</v>
      </c>
      <c r="JV269" s="29">
        <v>202</v>
      </c>
      <c r="JW269" s="1504">
        <v>42644</v>
      </c>
      <c r="JX269" s="419">
        <f>(((JX268/JX267-1)+(JX267/JX266-1))^1/2+1)*JX268</f>
        <v>274.35628799775537</v>
      </c>
      <c r="JY269" s="99">
        <v>292.38095238095241</v>
      </c>
      <c r="JZ269" s="100">
        <f>(((JZ268/JZ267-1)+(JZ267/JZ266-1))^1/2+1)*JZ268</f>
        <v>273.43094250024984</v>
      </c>
      <c r="KA269" s="99">
        <v>231.875</v>
      </c>
      <c r="KB269" s="99">
        <v>168.12</v>
      </c>
      <c r="KC269" s="99">
        <v>329.33333333333331</v>
      </c>
      <c r="KD269" s="132">
        <v>279.2628205128205</v>
      </c>
      <c r="KE269" s="29">
        <v>202</v>
      </c>
      <c r="KF269" s="179"/>
      <c r="KG269" s="99">
        <v>43.047619047619051</v>
      </c>
      <c r="KH269" s="99">
        <v>37.4375</v>
      </c>
      <c r="KI269" s="99">
        <v>42.074074074074076</v>
      </c>
      <c r="KJ269" s="99">
        <v>36.529411764705898</v>
      </c>
      <c r="KK269" s="132">
        <v>68.692307692307693</v>
      </c>
      <c r="KL269" s="29">
        <v>202</v>
      </c>
      <c r="KM269" s="100">
        <f t="shared" ref="KM269:KM295" si="253">(((KM268/KM267-1)+(KM267/KM266-1))^1/2+1)*KM268</f>
        <v>21.342516708231908</v>
      </c>
      <c r="KN269" s="99">
        <v>17.431034482758619</v>
      </c>
      <c r="KO269" s="99">
        <v>33.475000000000001</v>
      </c>
      <c r="KP269" s="99">
        <v>30.125</v>
      </c>
      <c r="KQ269" s="99">
        <v>27.369565217391305</v>
      </c>
      <c r="KR269" s="132">
        <v>34.012820512820511</v>
      </c>
      <c r="KS269" s="29">
        <v>202</v>
      </c>
      <c r="KT269" s="100">
        <f t="shared" ref="KT269:KT295" si="254">(((KT268/KT267-1)+(KT267/KT266-1))^1/2+1)*KT268</f>
        <v>26.865477615754003</v>
      </c>
      <c r="KU269" s="99">
        <v>22.556818181818183</v>
      </c>
      <c r="KV269" s="99">
        <v>26.875</v>
      </c>
      <c r="KW269" s="99">
        <v>22.777777777777779</v>
      </c>
      <c r="KX269" s="99">
        <v>21.3</v>
      </c>
      <c r="KY269" s="132">
        <v>30.160256410256409</v>
      </c>
      <c r="KZ269" s="29">
        <v>202</v>
      </c>
      <c r="LA269" s="1504">
        <v>42644</v>
      </c>
      <c r="LB269" s="19">
        <v>380</v>
      </c>
      <c r="LC269" s="93">
        <v>610</v>
      </c>
      <c r="LD269" s="93">
        <v>602</v>
      </c>
      <c r="LE269" s="93"/>
      <c r="LF269" s="93">
        <v>526</v>
      </c>
      <c r="LG269" s="93"/>
      <c r="LH269" s="20"/>
      <c r="LI269" s="29">
        <v>202</v>
      </c>
      <c r="LJ269" s="19"/>
      <c r="LK269" s="93"/>
      <c r="LL269" s="93"/>
      <c r="LM269" s="93"/>
      <c r="LN269" s="93"/>
      <c r="LO269" s="20"/>
      <c r="LP269" s="29">
        <v>202</v>
      </c>
      <c r="LQ269" s="19"/>
      <c r="LR269" s="93"/>
      <c r="LS269" s="93"/>
      <c r="LT269" s="93"/>
      <c r="LU269" s="93"/>
      <c r="LV269" s="93"/>
      <c r="LW269" s="93"/>
      <c r="LX269" s="93"/>
      <c r="LY269" s="93"/>
      <c r="LZ269" s="93"/>
      <c r="MA269" s="20"/>
      <c r="MB269" s="29">
        <v>202</v>
      </c>
      <c r="MC269" s="1504">
        <v>42644</v>
      </c>
      <c r="MD269" s="19">
        <v>1136.3467061553738</v>
      </c>
      <c r="ME269" s="93">
        <v>1020.946755431562</v>
      </c>
      <c r="MF269" s="93">
        <v>1020.9164608315621</v>
      </c>
      <c r="MG269" s="93">
        <v>900.51879007756202</v>
      </c>
      <c r="MH269" s="93">
        <v>253.31543270099996</v>
      </c>
      <c r="MI269" s="93">
        <v>7.2666258340000009</v>
      </c>
      <c r="MJ269" s="93">
        <v>8.0780467357619052</v>
      </c>
      <c r="MK269" s="93">
        <v>493.00138943079992</v>
      </c>
      <c r="ML269" s="93">
        <v>131.70276664900001</v>
      </c>
      <c r="MM269" s="93">
        <v>7.1545287270000006</v>
      </c>
      <c r="MN269" s="93">
        <v>120.39767075399999</v>
      </c>
      <c r="MO269" s="93">
        <v>4.4966873449999989</v>
      </c>
      <c r="MP269" s="93">
        <v>27.778206377</v>
      </c>
      <c r="MQ269" s="93">
        <v>2.1734972920000004</v>
      </c>
      <c r="MR269" s="93">
        <v>29.512423494999997</v>
      </c>
      <c r="MS269" s="93">
        <v>56.436856244999994</v>
      </c>
      <c r="MT269" s="93">
        <v>3.0294599999999998E-2</v>
      </c>
      <c r="MU269" s="93">
        <v>115.39995072381183</v>
      </c>
      <c r="MV269" s="93">
        <v>77.108112089811812</v>
      </c>
      <c r="MW269" s="93">
        <v>38.291838634000001</v>
      </c>
      <c r="MX269" s="93">
        <v>1307.301186166515</v>
      </c>
      <c r="MY269" s="93">
        <v>1315.2326013015147</v>
      </c>
      <c r="MZ269" s="93">
        <v>943.118590299723</v>
      </c>
      <c r="NA269" s="93">
        <v>463.74388584799999</v>
      </c>
      <c r="NB269" s="93">
        <v>111.299228795</v>
      </c>
      <c r="NC269" s="93">
        <v>41.492307210723162</v>
      </c>
      <c r="ND269" s="93">
        <v>29.191868965000001</v>
      </c>
      <c r="NE269" s="93">
        <v>12.300438245723166</v>
      </c>
      <c r="NF269" s="93">
        <v>326.583168446</v>
      </c>
      <c r="NG269" s="93">
        <v>10.708621403999999</v>
      </c>
      <c r="NH269" s="93">
        <v>103.55190033</v>
      </c>
      <c r="NI269" s="93">
        <v>1.7130019399999998</v>
      </c>
      <c r="NJ269" s="93">
        <v>27.070334256000002</v>
      </c>
      <c r="NK269" s="93">
        <v>372.11401100179171</v>
      </c>
      <c r="NL269" s="93">
        <v>218.97963091299999</v>
      </c>
      <c r="NM269" s="93">
        <v>6.550535848</v>
      </c>
      <c r="NN269" s="93">
        <v>146.58384424079171</v>
      </c>
      <c r="NO269" s="93">
        <v>-7.9314151350000017</v>
      </c>
      <c r="NP269" s="93">
        <v>-170.95448001114113</v>
      </c>
      <c r="NQ269" s="93">
        <v>-286.35443073495293</v>
      </c>
      <c r="NR269" s="93">
        <v>-98.278279283438096</v>
      </c>
      <c r="NS269" s="93">
        <v>-139.77058649416125</v>
      </c>
      <c r="NT269" s="93">
        <v>-105.36299176014104</v>
      </c>
      <c r="NU269" s="93">
        <v>-220.76294248395286</v>
      </c>
      <c r="NV269" s="93">
        <v>109.00536732132687</v>
      </c>
      <c r="NW269" s="93">
        <v>42.4436002613269</v>
      </c>
      <c r="NX269" s="93">
        <v>69.47573215097988</v>
      </c>
      <c r="NY269" s="93">
        <v>-27.032131889652987</v>
      </c>
      <c r="NZ269" s="93">
        <v>0</v>
      </c>
      <c r="OA269" s="93">
        <v>66.561767059999951</v>
      </c>
      <c r="OB269" s="93">
        <v>-28.990189075000046</v>
      </c>
      <c r="OC269" s="93">
        <v>95.551956135000012</v>
      </c>
      <c r="OD269" s="20">
        <v>0</v>
      </c>
      <c r="OE269" s="29">
        <v>202</v>
      </c>
      <c r="OF269" s="1504">
        <v>42644</v>
      </c>
      <c r="OG269" s="19"/>
      <c r="OH269" s="93">
        <v>240.524909374</v>
      </c>
      <c r="OI269" s="93">
        <v>1159.6450793501385</v>
      </c>
      <c r="OJ269" s="93">
        <v>0.39385831700000001</v>
      </c>
      <c r="OK269" s="93">
        <v>986.20972913413868</v>
      </c>
      <c r="OL269" s="93">
        <v>173.04149189899999</v>
      </c>
      <c r="OM269" s="93">
        <v>1400.1699887241384</v>
      </c>
      <c r="ON269" s="93">
        <v>1150.579634529282</v>
      </c>
      <c r="OO269" s="93">
        <v>2550.7496232534204</v>
      </c>
      <c r="OP269" s="93"/>
      <c r="OQ269" s="93">
        <v>871.40471790801803</v>
      </c>
      <c r="OR269" s="93">
        <v>-190.99111126699995</v>
      </c>
      <c r="OS269" s="93">
        <v>1062.395829175018</v>
      </c>
      <c r="OT269" s="93">
        <v>1993.0468990064028</v>
      </c>
      <c r="OU269" s="93">
        <v>-41.308974867000003</v>
      </c>
      <c r="OV269" s="93">
        <v>-111.14697486700003</v>
      </c>
      <c r="OW269" s="93">
        <v>69.838000000000022</v>
      </c>
      <c r="OX269" s="93">
        <v>2034.3558738734027</v>
      </c>
      <c r="OY269" s="93">
        <v>4.3574334620000004</v>
      </c>
      <c r="OZ269" s="93">
        <v>2029.9984404114027</v>
      </c>
      <c r="PA269" s="93">
        <v>419.81314606699993</v>
      </c>
      <c r="PB269" s="93">
        <v>-106.1111524060001</v>
      </c>
      <c r="PC269" s="20">
        <v>2550.7496232534209</v>
      </c>
      <c r="PD269" s="29">
        <v>202</v>
      </c>
      <c r="PE269" s="19"/>
      <c r="PF269" s="93">
        <v>-190.99111126699995</v>
      </c>
      <c r="PG269" s="93">
        <v>573.43370457700007</v>
      </c>
      <c r="PH269" s="93">
        <v>764.42481584400002</v>
      </c>
      <c r="PI269" s="93">
        <v>769.07605384500005</v>
      </c>
      <c r="PJ269" s="93">
        <v>-106.03902398300002</v>
      </c>
      <c r="PK269" s="93">
        <v>137.14831451799998</v>
      </c>
      <c r="PL269" s="93">
        <v>243.187338501</v>
      </c>
      <c r="PM269" s="93">
        <v>4.3574334620000004</v>
      </c>
      <c r="PN269" s="93">
        <v>0.6</v>
      </c>
      <c r="PO269" s="93">
        <v>0</v>
      </c>
      <c r="PP269" s="93">
        <v>4.4299399999999999E-4</v>
      </c>
      <c r="PQ269" s="93">
        <v>3.7569904680000001</v>
      </c>
      <c r="PR269" s="93">
        <v>450.283318237</v>
      </c>
      <c r="PS269" s="93">
        <v>292.97586025800001</v>
      </c>
      <c r="PT269" s="93">
        <v>156.647505585</v>
      </c>
      <c r="PU269" s="93">
        <v>0.65995239400000005</v>
      </c>
      <c r="PV269" s="93">
        <v>0</v>
      </c>
      <c r="PW269" s="93">
        <v>0.43373983500000002</v>
      </c>
      <c r="PX269" s="93">
        <v>0</v>
      </c>
      <c r="PY269" s="93">
        <v>0</v>
      </c>
      <c r="PZ269" s="93">
        <v>0.43373983500000002</v>
      </c>
      <c r="QA269" s="93">
        <v>0</v>
      </c>
      <c r="QB269" s="93">
        <v>0</v>
      </c>
      <c r="QC269" s="93">
        <v>0</v>
      </c>
      <c r="QD269" s="93">
        <v>13.940406232000001</v>
      </c>
      <c r="QE269" s="20">
        <v>11.745887752999987</v>
      </c>
      <c r="QF269" s="1739">
        <v>202</v>
      </c>
      <c r="QG269" s="19"/>
      <c r="QH269" s="1035">
        <v>1062.395829175018</v>
      </c>
      <c r="QI269" s="1035">
        <v>1458.3005595885973</v>
      </c>
      <c r="QJ269" s="1035">
        <v>-395.90473041357922</v>
      </c>
      <c r="QK269" s="1035">
        <v>206.76400000000001</v>
      </c>
      <c r="QL269" s="1035">
        <v>47.343000000000004</v>
      </c>
      <c r="QM269" s="1035">
        <v>159.42099999999999</v>
      </c>
      <c r="QN269" s="1035">
        <v>0</v>
      </c>
      <c r="QO269" s="1035">
        <v>69.838000000000022</v>
      </c>
      <c r="QP269" s="1035">
        <v>325.49</v>
      </c>
      <c r="QQ269" s="1035">
        <v>-255.65199999999999</v>
      </c>
      <c r="QR269" s="1035">
        <v>2029.9984404114027</v>
      </c>
      <c r="QS269" s="1035">
        <v>20.438483944279639</v>
      </c>
      <c r="QT269" s="1035">
        <v>0</v>
      </c>
      <c r="QU269" s="1035">
        <v>151.21899999999999</v>
      </c>
      <c r="QV269" s="1035">
        <v>1858.3409564671231</v>
      </c>
      <c r="QW269" s="93"/>
      <c r="QX269" s="93">
        <v>770.34</v>
      </c>
      <c r="QY269" s="93">
        <v>986.20972913413868</v>
      </c>
      <c r="QZ269" s="93">
        <v>1150.313540452282</v>
      </c>
      <c r="RA269" s="93">
        <v>0</v>
      </c>
      <c r="RB269" s="93">
        <v>58.807000000000002</v>
      </c>
      <c r="RC269" s="93">
        <v>2.427</v>
      </c>
      <c r="RD269" s="93">
        <v>22.46</v>
      </c>
      <c r="RE269" s="93">
        <v>0</v>
      </c>
      <c r="RF269" s="93">
        <v>0</v>
      </c>
      <c r="RG269" s="93">
        <v>321.74499999999995</v>
      </c>
      <c r="RH269" s="93">
        <v>56.693999999999988</v>
      </c>
      <c r="RI269" s="93"/>
      <c r="RJ269" s="93"/>
      <c r="RK269" s="93"/>
      <c r="RL269" s="93"/>
      <c r="RM269" s="734"/>
      <c r="RN269" s="29">
        <v>202</v>
      </c>
      <c r="RO269" s="19">
        <v>83</v>
      </c>
      <c r="RP269" s="20">
        <v>821</v>
      </c>
      <c r="RQ269" s="29">
        <v>202</v>
      </c>
      <c r="RR269" s="734">
        <v>3.2658701000000003</v>
      </c>
      <c r="RS269" s="29">
        <v>202</v>
      </c>
      <c r="RT269" s="1504">
        <v>42644</v>
      </c>
      <c r="RU269" s="19">
        <v>942</v>
      </c>
      <c r="RV269" s="20">
        <v>13</v>
      </c>
      <c r="RW269" s="29">
        <v>202</v>
      </c>
      <c r="RX269" s="1504">
        <v>42644</v>
      </c>
      <c r="RY269" s="29"/>
      <c r="RZ269" s="734"/>
      <c r="SA269" s="29"/>
      <c r="SB269" s="29">
        <v>202</v>
      </c>
    </row>
    <row r="270" spans="1:496">
      <c r="A270" s="41">
        <f t="shared" si="238"/>
        <v>2016</v>
      </c>
      <c r="B270" s="1504">
        <v>42675</v>
      </c>
      <c r="C270" s="1813">
        <v>2185</v>
      </c>
      <c r="D270" s="1814">
        <v>29329</v>
      </c>
      <c r="E270" s="1814">
        <v>38</v>
      </c>
      <c r="F270" s="1815">
        <v>342</v>
      </c>
      <c r="G270" s="1814">
        <v>93755</v>
      </c>
      <c r="H270" s="1814">
        <v>36</v>
      </c>
      <c r="I270" s="1814">
        <v>38792</v>
      </c>
      <c r="J270" s="1816">
        <v>14024</v>
      </c>
      <c r="K270" s="1807">
        <v>178501</v>
      </c>
      <c r="L270" s="25">
        <v>203</v>
      </c>
      <c r="M270" s="97"/>
      <c r="N270" s="1504">
        <v>42675</v>
      </c>
      <c r="O270" s="19">
        <v>663</v>
      </c>
      <c r="P270" s="93">
        <v>811</v>
      </c>
      <c r="Q270" s="93">
        <v>3611</v>
      </c>
      <c r="R270" s="93">
        <v>2542</v>
      </c>
      <c r="S270" s="93">
        <v>1466</v>
      </c>
      <c r="T270" s="93">
        <v>863</v>
      </c>
      <c r="U270" s="93">
        <v>412</v>
      </c>
      <c r="V270" s="93">
        <v>1746</v>
      </c>
      <c r="W270" s="93">
        <v>3390</v>
      </c>
      <c r="X270" s="93">
        <v>912</v>
      </c>
      <c r="Y270" s="93">
        <v>190</v>
      </c>
      <c r="Z270" s="93">
        <v>1262</v>
      </c>
      <c r="AA270" s="93">
        <v>843</v>
      </c>
      <c r="AB270" s="132">
        <v>18711</v>
      </c>
      <c r="AC270" s="25">
        <v>203</v>
      </c>
      <c r="AD270" s="97"/>
      <c r="AE270" s="1504">
        <v>42675</v>
      </c>
      <c r="AF270" s="19">
        <v>3335</v>
      </c>
      <c r="AG270" s="93">
        <v>666</v>
      </c>
      <c r="AH270" s="93">
        <v>3012</v>
      </c>
      <c r="AI270" s="93">
        <v>2921</v>
      </c>
      <c r="AJ270" s="93">
        <v>3215</v>
      </c>
      <c r="AK270" s="93">
        <v>2896</v>
      </c>
      <c r="AL270" s="93">
        <v>1352</v>
      </c>
      <c r="AM270" s="93">
        <v>2540</v>
      </c>
      <c r="AN270" s="93">
        <v>4585</v>
      </c>
      <c r="AO270" s="93">
        <v>2448</v>
      </c>
      <c r="AP270" s="93">
        <v>913</v>
      </c>
      <c r="AQ270" s="93">
        <v>2449</v>
      </c>
      <c r="AR270" s="93">
        <v>913</v>
      </c>
      <c r="AS270" s="20">
        <v>31245</v>
      </c>
      <c r="AT270" s="25">
        <v>203</v>
      </c>
      <c r="AU270" s="97"/>
      <c r="AV270" s="1504">
        <v>42675</v>
      </c>
      <c r="AW270" s="19">
        <v>9154</v>
      </c>
      <c r="AX270" s="93">
        <v>2971</v>
      </c>
      <c r="AY270" s="93">
        <v>5753</v>
      </c>
      <c r="AZ270" s="93">
        <v>12519</v>
      </c>
      <c r="BA270" s="93">
        <v>8766</v>
      </c>
      <c r="BB270" s="93">
        <v>8763</v>
      </c>
      <c r="BC270" s="93">
        <v>4151</v>
      </c>
      <c r="BD270" s="93">
        <v>9391</v>
      </c>
      <c r="BE270" s="93">
        <v>9935</v>
      </c>
      <c r="BF270" s="93">
        <v>6925</v>
      </c>
      <c r="BG270" s="93">
        <v>3763</v>
      </c>
      <c r="BH270" s="93">
        <v>9181</v>
      </c>
      <c r="BI270" s="93">
        <v>2746</v>
      </c>
      <c r="BJ270" s="20">
        <v>94018</v>
      </c>
      <c r="BK270" s="25">
        <v>203</v>
      </c>
      <c r="BL270" s="97"/>
      <c r="BM270" s="1504">
        <v>42675</v>
      </c>
      <c r="BN270" s="19">
        <v>129.43800000000002</v>
      </c>
      <c r="BO270" s="93">
        <v>2193.5559999999996</v>
      </c>
      <c r="BP270" s="93">
        <v>8.4479999999999986</v>
      </c>
      <c r="BQ270" s="93">
        <v>739.99199999999996</v>
      </c>
      <c r="BR270" s="93">
        <v>2.907</v>
      </c>
      <c r="BS270" s="93">
        <v>277.59600000000006</v>
      </c>
      <c r="BT270" s="93">
        <v>374.08800000000008</v>
      </c>
      <c r="BU270" s="132">
        <v>3726.0249999999996</v>
      </c>
      <c r="BV270" s="25">
        <v>203</v>
      </c>
      <c r="BW270" s="97"/>
      <c r="BX270" s="1504">
        <v>42675</v>
      </c>
      <c r="BY270" s="179">
        <v>607.42383554032767</v>
      </c>
      <c r="BZ270" s="99">
        <v>664.95699999999999</v>
      </c>
      <c r="CA270" s="99">
        <v>609.73879903327747</v>
      </c>
      <c r="CB270" s="99">
        <v>43.628376266203752</v>
      </c>
      <c r="CC270" s="99">
        <v>150.64180666666667</v>
      </c>
      <c r="CD270" s="25">
        <v>203</v>
      </c>
      <c r="CE270" s="97"/>
      <c r="CF270" s="1504">
        <v>42675</v>
      </c>
      <c r="CG270" s="1508">
        <v>1.739886104</v>
      </c>
      <c r="CH270" s="568">
        <v>1238.3499999999999</v>
      </c>
      <c r="CI270" s="1708">
        <v>45.26</v>
      </c>
      <c r="CJ270" s="1509">
        <v>46.44</v>
      </c>
      <c r="CK270" s="1508">
        <v>339.59</v>
      </c>
      <c r="CL270" s="568">
        <v>151.80300800000001</v>
      </c>
      <c r="CM270" s="568">
        <v>0.44621508799999998</v>
      </c>
      <c r="CN270" s="568">
        <v>0.35297870399999998</v>
      </c>
      <c r="CO270" s="568">
        <v>150.649047</v>
      </c>
      <c r="CP270" s="1509">
        <v>4.2984578449999997</v>
      </c>
      <c r="CQ270" s="1708">
        <v>1433</v>
      </c>
      <c r="CR270" s="568">
        <v>2.68</v>
      </c>
      <c r="CS270" s="568">
        <v>1.8706</v>
      </c>
      <c r="CT270" s="568">
        <v>103</v>
      </c>
      <c r="CU270" s="568">
        <v>73.099999999999994</v>
      </c>
      <c r="CV270" s="1709">
        <v>2566.1999999999998</v>
      </c>
      <c r="CW270" s="29">
        <v>203</v>
      </c>
      <c r="CX270" s="41">
        <f t="shared" si="239"/>
        <v>2016</v>
      </c>
      <c r="CY270" s="1504">
        <v>42675</v>
      </c>
      <c r="CZ270" s="1916">
        <v>115.88796225033235</v>
      </c>
      <c r="DA270" s="1526">
        <v>70.53142425033235</v>
      </c>
      <c r="DB270" s="1526">
        <v>45.356538</v>
      </c>
      <c r="DC270" s="182">
        <f t="shared" si="235"/>
        <v>585634</v>
      </c>
      <c r="DD270" s="182">
        <f t="shared" si="236"/>
        <v>583970</v>
      </c>
      <c r="DE270" s="182">
        <f t="shared" si="237"/>
        <v>1664</v>
      </c>
      <c r="DF270" s="29">
        <v>203</v>
      </c>
      <c r="DG270" s="1504">
        <v>42675</v>
      </c>
      <c r="DH270" s="181">
        <v>348391</v>
      </c>
      <c r="DI270" s="182"/>
      <c r="DJ270" s="182"/>
      <c r="DK270" s="182"/>
      <c r="DL270" s="182"/>
      <c r="DM270" s="182"/>
      <c r="DN270" s="290"/>
      <c r="DO270" s="295"/>
      <c r="DP270" s="29">
        <v>203</v>
      </c>
      <c r="DQ270" s="1504">
        <v>42675</v>
      </c>
      <c r="DR270" s="19">
        <v>29935</v>
      </c>
      <c r="DS270" s="93">
        <v>515</v>
      </c>
      <c r="DT270" s="93">
        <v>42650</v>
      </c>
      <c r="DU270" s="93">
        <v>4252</v>
      </c>
      <c r="DV270" s="93">
        <v>15658</v>
      </c>
      <c r="DW270" s="93">
        <v>3012</v>
      </c>
      <c r="DX270" s="1719">
        <v>6447</v>
      </c>
      <c r="DY270" s="29">
        <v>203</v>
      </c>
      <c r="DZ270" s="1504">
        <v>42675</v>
      </c>
      <c r="EA270" s="19"/>
      <c r="EB270" s="93"/>
      <c r="EC270" s="20"/>
      <c r="ED270" s="29"/>
      <c r="EE270" s="1504">
        <v>42675</v>
      </c>
      <c r="EF270" s="179">
        <v>20683</v>
      </c>
      <c r="EG270" s="99">
        <v>19943</v>
      </c>
      <c r="EH270" s="99">
        <v>40626</v>
      </c>
      <c r="EI270" s="221">
        <v>6065</v>
      </c>
      <c r="EJ270" s="99">
        <v>745.678</v>
      </c>
      <c r="EK270" s="99">
        <v>107.292</v>
      </c>
      <c r="EL270" s="99">
        <v>6.3479999999999999</v>
      </c>
      <c r="EM270" s="99">
        <v>7.2759999999999998</v>
      </c>
      <c r="EN270" s="132">
        <v>866.56403</v>
      </c>
      <c r="EO270" s="29">
        <v>203</v>
      </c>
      <c r="EP270" s="1504">
        <v>42675</v>
      </c>
      <c r="EQ270" s="19">
        <v>20123</v>
      </c>
      <c r="ER270" s="93">
        <v>19361</v>
      </c>
      <c r="ES270" s="93">
        <v>39484</v>
      </c>
      <c r="ET270" s="214">
        <v>5552</v>
      </c>
      <c r="EU270" s="93">
        <v>745.64800000000002</v>
      </c>
      <c r="EV270" s="93">
        <v>107.292</v>
      </c>
      <c r="EW270" s="93">
        <v>6.3479999999999999</v>
      </c>
      <c r="EX270" s="93">
        <v>7.2759999999999998</v>
      </c>
      <c r="EY270" s="20">
        <v>866.56399999999996</v>
      </c>
      <c r="EZ270" s="29">
        <v>203</v>
      </c>
      <c r="FA270" s="1504">
        <v>42675</v>
      </c>
      <c r="FB270" s="29"/>
      <c r="FC270" s="29"/>
      <c r="FD270" s="29"/>
      <c r="FE270" s="29"/>
      <c r="FF270" s="29"/>
      <c r="FG270" s="29"/>
      <c r="FH270" s="29"/>
      <c r="FI270" s="29"/>
      <c r="FJ270" s="29"/>
      <c r="FK270" s="29">
        <v>203</v>
      </c>
      <c r="FL270" s="1504">
        <v>42675</v>
      </c>
      <c r="FM270" s="19">
        <v>103.13</v>
      </c>
      <c r="FN270" s="93">
        <v>104.72</v>
      </c>
      <c r="FO270" s="93">
        <v>114.84</v>
      </c>
      <c r="FP270" s="93">
        <v>99.52</v>
      </c>
      <c r="FQ270" s="93">
        <v>100.47</v>
      </c>
      <c r="FR270" s="93">
        <v>100.62</v>
      </c>
      <c r="FS270" s="93">
        <v>98.61</v>
      </c>
      <c r="FT270" s="93">
        <v>95.17</v>
      </c>
      <c r="FU270" s="93">
        <v>118.6</v>
      </c>
      <c r="FV270" s="93">
        <v>109.94</v>
      </c>
      <c r="FW270" s="93">
        <v>101.76</v>
      </c>
      <c r="FX270" s="93">
        <v>100.46</v>
      </c>
      <c r="FY270" s="93">
        <v>101.5</v>
      </c>
      <c r="FZ270" s="29">
        <v>203</v>
      </c>
      <c r="GA270" s="1504">
        <v>42675</v>
      </c>
      <c r="GB270" s="19">
        <v>103.13</v>
      </c>
      <c r="GC270" s="93">
        <v>102.18</v>
      </c>
      <c r="GD270" s="93">
        <v>103.81</v>
      </c>
      <c r="GE270" s="93">
        <v>92.41</v>
      </c>
      <c r="GF270" s="93">
        <v>107.11</v>
      </c>
      <c r="GG270" s="99">
        <v>102.58</v>
      </c>
      <c r="GH270" s="93">
        <v>106.39</v>
      </c>
      <c r="GI270" s="93">
        <v>101.63</v>
      </c>
      <c r="GJ270" s="93">
        <v>102.5</v>
      </c>
      <c r="GK270" s="93">
        <v>99.61</v>
      </c>
      <c r="GL270" s="93">
        <v>103.93</v>
      </c>
      <c r="GM270" s="93">
        <v>102.33</v>
      </c>
      <c r="GN270" s="20">
        <v>102.5</v>
      </c>
      <c r="GO270" s="29">
        <v>203</v>
      </c>
      <c r="GP270" s="1504">
        <v>42675</v>
      </c>
      <c r="GQ270" s="181">
        <v>266.11452497963899</v>
      </c>
      <c r="GR270" s="182">
        <v>213.95458583264499</v>
      </c>
      <c r="GS270" s="182">
        <v>245.87776211925299</v>
      </c>
      <c r="GT270" s="182">
        <v>185.04594188024399</v>
      </c>
      <c r="GU270" s="182">
        <v>398.17921790959002</v>
      </c>
      <c r="GV270" s="290">
        <v>869.27807436439195</v>
      </c>
      <c r="GW270" s="181">
        <v>394.15489029032602</v>
      </c>
      <c r="GX270" s="182">
        <v>414.70803411186301</v>
      </c>
      <c r="GY270" s="182">
        <v>507.60981583885598</v>
      </c>
      <c r="GZ270" s="182">
        <v>543.89261667142205</v>
      </c>
      <c r="HA270" s="182">
        <v>339.40015696806</v>
      </c>
      <c r="HB270" s="290">
        <v>845.33746305233001</v>
      </c>
      <c r="HC270" s="181">
        <v>1729.72982327626</v>
      </c>
      <c r="HD270" s="182">
        <v>2158.5829609891398</v>
      </c>
      <c r="HE270" s="182">
        <v>2355.4852497837001</v>
      </c>
      <c r="HF270" s="182">
        <v>3150</v>
      </c>
      <c r="HG270" s="182">
        <v>2409.7801949170198</v>
      </c>
      <c r="HH270" s="290">
        <v>2529.05491559539</v>
      </c>
      <c r="HI270" s="19"/>
      <c r="HJ270" s="182">
        <v>832.49003899255399</v>
      </c>
      <c r="HK270" s="182">
        <v>1449.2602385646101</v>
      </c>
      <c r="HL270" s="182">
        <v>901.77671688743499</v>
      </c>
      <c r="HM270" s="182">
        <v>800</v>
      </c>
      <c r="HN270" s="290">
        <v>3137.4007936508101</v>
      </c>
      <c r="HO270" s="324">
        <v>154.96428252868799</v>
      </c>
      <c r="HP270" s="290">
        <v>100.658778960459</v>
      </c>
      <c r="HQ270" s="295">
        <v>144.44350085349501</v>
      </c>
      <c r="HR270" s="29">
        <v>203</v>
      </c>
      <c r="HS270" s="1504">
        <v>42675</v>
      </c>
      <c r="HT270" s="179">
        <v>244.84131240844727</v>
      </c>
      <c r="HU270" s="99">
        <v>234.375</v>
      </c>
      <c r="HV270" s="99">
        <v>175.15922546386719</v>
      </c>
      <c r="HW270" s="99">
        <v>105.76923370361328</v>
      </c>
      <c r="HX270" s="99">
        <v>186.66666564941406</v>
      </c>
      <c r="HY270" s="99">
        <v>222.22222137451172</v>
      </c>
      <c r="HZ270" s="99">
        <v>200.78496360778809</v>
      </c>
      <c r="IA270" s="132">
        <v>185.45751953125</v>
      </c>
      <c r="IB270" s="179">
        <v>231.93915176391602</v>
      </c>
      <c r="IC270" s="99">
        <v>167.3497200012207</v>
      </c>
      <c r="ID270" s="99">
        <v>148.80952962239584</v>
      </c>
      <c r="IE270" s="99"/>
      <c r="IF270" s="99">
        <v>212.4999984741211</v>
      </c>
      <c r="IG270" s="132">
        <v>163.33333587646484</v>
      </c>
      <c r="IH270" s="179">
        <v>122.31319427490234</v>
      </c>
      <c r="II270" s="99">
        <v>190.13141632080078</v>
      </c>
      <c r="IJ270" s="99">
        <v>148.30508041381836</v>
      </c>
      <c r="IK270" s="99">
        <v>159.74729766845704</v>
      </c>
      <c r="IL270" s="99">
        <v>138.88888549804688</v>
      </c>
      <c r="IM270" s="99">
        <v>138.30645370483398</v>
      </c>
      <c r="IN270" s="99">
        <v>176.67845153808594</v>
      </c>
      <c r="IO270" s="132">
        <v>153.91434860229492</v>
      </c>
      <c r="IP270" s="29">
        <v>203</v>
      </c>
      <c r="IQ270" s="179">
        <v>148.43206481933595</v>
      </c>
      <c r="IR270" s="99">
        <v>76.923072814941406</v>
      </c>
      <c r="IS270" s="99">
        <v>118.53447532653809</v>
      </c>
      <c r="IT270" s="99">
        <v>105.80065536499023</v>
      </c>
      <c r="IU270" s="99">
        <v>158.06452331542968</v>
      </c>
      <c r="IV270" s="132">
        <v>101.15606689453125</v>
      </c>
      <c r="IW270" s="29">
        <v>203</v>
      </c>
      <c r="IX270" s="179">
        <v>395.69892374674481</v>
      </c>
      <c r="IY270" s="99">
        <v>409.72222900390625</v>
      </c>
      <c r="IZ270" s="99">
        <v>425</v>
      </c>
      <c r="JA270" s="99">
        <v>375</v>
      </c>
      <c r="JB270" s="99">
        <v>390</v>
      </c>
      <c r="JC270" s="99">
        <v>400</v>
      </c>
      <c r="JD270" s="99">
        <v>340</v>
      </c>
      <c r="JE270" s="132">
        <v>400</v>
      </c>
      <c r="JF270" s="29">
        <v>203</v>
      </c>
      <c r="JG270" s="179">
        <v>169.51175117492676</v>
      </c>
      <c r="JH270" s="99">
        <v>190.13141632080078</v>
      </c>
      <c r="JI270" s="99">
        <v>136.65595245361328</v>
      </c>
      <c r="JJ270" s="99">
        <v>103.125</v>
      </c>
      <c r="JK270" s="99">
        <v>161.61616516113281</v>
      </c>
      <c r="JL270" s="99">
        <v>157.43573760986328</v>
      </c>
      <c r="JM270" s="99">
        <v>177.39274215698242</v>
      </c>
      <c r="JN270" s="132">
        <v>187.85077476501465</v>
      </c>
      <c r="JO270" s="29">
        <v>203</v>
      </c>
      <c r="JP270" s="179">
        <v>167.70185852050781</v>
      </c>
      <c r="JQ270" s="99">
        <v>98.684213638305664</v>
      </c>
      <c r="JR270" s="99">
        <v>168.10344314575195</v>
      </c>
      <c r="JS270" s="99"/>
      <c r="JT270" s="99">
        <v>162.5</v>
      </c>
      <c r="JU270" s="132">
        <v>97.058822631835938</v>
      </c>
      <c r="JV270" s="29">
        <v>203</v>
      </c>
      <c r="JW270" s="1504">
        <v>42675</v>
      </c>
      <c r="JX270" s="419">
        <f>(((JX269/JX268-1)+(JX268/JX267-1))^1/2+1)*JX269</f>
        <v>289.10237819815882</v>
      </c>
      <c r="JY270" s="99">
        <v>280.55555555555554</v>
      </c>
      <c r="JZ270" s="100">
        <f>(((JZ269/JZ268-1)+(JZ268/JZ267-1))^1/2+1)*JZ269</f>
        <v>268.39684213434316</v>
      </c>
      <c r="KA270" s="99">
        <v>215.5</v>
      </c>
      <c r="KB270" s="99">
        <v>223</v>
      </c>
      <c r="KC270" s="99">
        <v>321.66666666666669</v>
      </c>
      <c r="KD270" s="132">
        <v>257.99382716049382</v>
      </c>
      <c r="KE270" s="29">
        <v>203</v>
      </c>
      <c r="KF270" s="179"/>
      <c r="KG270" s="99">
        <v>42.416666666666664</v>
      </c>
      <c r="KH270" s="99">
        <v>39.274999999999999</v>
      </c>
      <c r="KI270" s="99">
        <v>39.472222222222221</v>
      </c>
      <c r="KJ270" s="99">
        <v>34.7916666666667</v>
      </c>
      <c r="KK270" s="132">
        <v>69.295454545454504</v>
      </c>
      <c r="KL270" s="29">
        <v>203</v>
      </c>
      <c r="KM270" s="100">
        <f t="shared" si="253"/>
        <v>20.69738057710941</v>
      </c>
      <c r="KN270" s="99">
        <v>17.73076923076923</v>
      </c>
      <c r="KO270" s="99">
        <v>27.65</v>
      </c>
      <c r="KP270" s="99">
        <v>31.208333333333332</v>
      </c>
      <c r="KQ270" s="99">
        <v>30.166666666666668</v>
      </c>
      <c r="KR270" s="132">
        <v>33.560606060606062</v>
      </c>
      <c r="KS270" s="29">
        <v>203</v>
      </c>
      <c r="KT270" s="100">
        <f t="shared" si="254"/>
        <v>27.407583735878553</v>
      </c>
      <c r="KU270" s="99">
        <v>22.833333333333332</v>
      </c>
      <c r="KV270" s="99">
        <v>23.875</v>
      </c>
      <c r="KW270" s="99">
        <v>21.78125</v>
      </c>
      <c r="KX270" s="99">
        <v>24.833333333333332</v>
      </c>
      <c r="KY270" s="132">
        <v>30.008333333333333</v>
      </c>
      <c r="KZ270" s="29">
        <v>203</v>
      </c>
      <c r="LA270" s="1504">
        <v>42675</v>
      </c>
      <c r="LB270" s="19">
        <v>380</v>
      </c>
      <c r="LC270" s="93">
        <v>610</v>
      </c>
      <c r="LD270" s="93">
        <v>602</v>
      </c>
      <c r="LE270" s="93"/>
      <c r="LF270" s="93">
        <v>526</v>
      </c>
      <c r="LG270" s="93"/>
      <c r="LH270" s="20"/>
      <c r="LI270" s="29">
        <v>203</v>
      </c>
      <c r="LJ270" s="19"/>
      <c r="LK270" s="93"/>
      <c r="LL270" s="93"/>
      <c r="LM270" s="93"/>
      <c r="LN270" s="93"/>
      <c r="LO270" s="20"/>
      <c r="LP270" s="29">
        <v>203</v>
      </c>
      <c r="LQ270" s="19"/>
      <c r="LR270" s="93"/>
      <c r="LS270" s="93"/>
      <c r="LT270" s="93"/>
      <c r="LU270" s="93"/>
      <c r="LV270" s="93"/>
      <c r="LW270" s="93"/>
      <c r="LX270" s="93"/>
      <c r="LY270" s="93"/>
      <c r="LZ270" s="93"/>
      <c r="MA270" s="20"/>
      <c r="MB270" s="29">
        <v>203</v>
      </c>
      <c r="MC270" s="1504">
        <v>42675</v>
      </c>
      <c r="MD270" s="19">
        <v>1223.1025185222982</v>
      </c>
      <c r="ME270" s="93">
        <v>1103.345983434562</v>
      </c>
      <c r="MF270" s="93">
        <v>1103.3156843345621</v>
      </c>
      <c r="MG270" s="93">
        <v>973.08850954856189</v>
      </c>
      <c r="MH270" s="93">
        <v>265.17320806699996</v>
      </c>
      <c r="MI270" s="93">
        <v>7.8960023300000008</v>
      </c>
      <c r="MJ270" s="93">
        <v>8.9117010877619052</v>
      </c>
      <c r="MK270" s="93">
        <v>538.84894096879998</v>
      </c>
      <c r="ML270" s="93">
        <v>144.27650686300001</v>
      </c>
      <c r="MM270" s="93">
        <v>7.9821502320000004</v>
      </c>
      <c r="MN270" s="93">
        <v>130.22717478599998</v>
      </c>
      <c r="MO270" s="93">
        <v>5.0337308579999993</v>
      </c>
      <c r="MP270" s="93">
        <v>30.166300509999999</v>
      </c>
      <c r="MQ270" s="93">
        <v>2.2794984700000001</v>
      </c>
      <c r="MR270" s="93">
        <v>29.517208968999995</v>
      </c>
      <c r="MS270" s="93">
        <v>63.230435978999992</v>
      </c>
      <c r="MT270" s="93">
        <v>3.0299099999999999E-2</v>
      </c>
      <c r="MU270" s="93">
        <v>119.75653508773622</v>
      </c>
      <c r="MV270" s="93">
        <v>79.685071009736205</v>
      </c>
      <c r="MW270" s="93">
        <v>40.071464077999998</v>
      </c>
      <c r="MX270" s="93">
        <v>1481.6719538809482</v>
      </c>
      <c r="MY270" s="93">
        <v>1489.972766794948</v>
      </c>
      <c r="MZ270" s="93">
        <v>1030.8474208490002</v>
      </c>
      <c r="NA270" s="93">
        <v>510.45346865700003</v>
      </c>
      <c r="NB270" s="93">
        <v>117.72684367399999</v>
      </c>
      <c r="NC270" s="93">
        <v>49.868383555000392</v>
      </c>
      <c r="ND270" s="93">
        <v>35.324222311000007</v>
      </c>
      <c r="NE270" s="93">
        <v>14.544161244000398</v>
      </c>
      <c r="NF270" s="93">
        <v>352.79872496299998</v>
      </c>
      <c r="NG270" s="93">
        <v>11.263769899</v>
      </c>
      <c r="NH270" s="93">
        <v>108.233696319</v>
      </c>
      <c r="NI270" s="93">
        <v>8.4223858180000004</v>
      </c>
      <c r="NJ270" s="93">
        <v>27.070334256000002</v>
      </c>
      <c r="NK270" s="93">
        <v>459.12534594594803</v>
      </c>
      <c r="NL270" s="93">
        <v>300.36161655500001</v>
      </c>
      <c r="NM270" s="93">
        <v>6.550535848</v>
      </c>
      <c r="NN270" s="93">
        <v>152.21319354294795</v>
      </c>
      <c r="NO270" s="93">
        <v>-8.3008129140000033</v>
      </c>
      <c r="NP270" s="93">
        <v>-258.5694353586502</v>
      </c>
      <c r="NQ270" s="93">
        <v>-378.32597044638646</v>
      </c>
      <c r="NR270" s="93">
        <v>-176.24439334843814</v>
      </c>
      <c r="NS270" s="93">
        <v>-226.11277690343852</v>
      </c>
      <c r="NT270" s="93">
        <v>-181.60363293065024</v>
      </c>
      <c r="NU270" s="93">
        <v>-301.3601680183865</v>
      </c>
      <c r="NV270" s="93">
        <v>188.67005027968258</v>
      </c>
      <c r="NW270" s="93">
        <v>40.04808797068258</v>
      </c>
      <c r="NX270" s="93">
        <v>72.528122533211715</v>
      </c>
      <c r="NY270" s="93">
        <v>-32.480034562529141</v>
      </c>
      <c r="NZ270" s="93">
        <v>0</v>
      </c>
      <c r="OA270" s="93">
        <v>148.62196230900003</v>
      </c>
      <c r="OB270" s="93">
        <v>56.791255483999997</v>
      </c>
      <c r="OC270" s="93">
        <v>91.830706825000007</v>
      </c>
      <c r="OD270" s="20">
        <v>0</v>
      </c>
      <c r="OE270" s="29">
        <v>203</v>
      </c>
      <c r="OF270" s="1504">
        <v>42675</v>
      </c>
      <c r="OG270" s="19"/>
      <c r="OH270" s="93">
        <v>254.60619780100006</v>
      </c>
      <c r="OI270" s="93">
        <v>1262.6154661894789</v>
      </c>
      <c r="OJ270" s="93">
        <v>0.37074871599999998</v>
      </c>
      <c r="OK270" s="93">
        <v>1088.9706669274788</v>
      </c>
      <c r="OL270" s="93">
        <v>173.27405054600001</v>
      </c>
      <c r="OM270" s="93">
        <v>1517.2216639904789</v>
      </c>
      <c r="ON270" s="93">
        <v>1158.5339735264117</v>
      </c>
      <c r="OO270" s="93">
        <v>2675.7556375168906</v>
      </c>
      <c r="OP270" s="93"/>
      <c r="OQ270" s="93">
        <v>925.70521319569298</v>
      </c>
      <c r="OR270" s="93">
        <v>-226.39131581699996</v>
      </c>
      <c r="OS270" s="93">
        <v>1152.0965290126926</v>
      </c>
      <c r="OT270" s="93">
        <v>2069.8125741751983</v>
      </c>
      <c r="OU270" s="93">
        <v>12.529201395000015</v>
      </c>
      <c r="OV270" s="93">
        <v>-48.779798605000011</v>
      </c>
      <c r="OW270" s="93">
        <v>61.309000000000026</v>
      </c>
      <c r="OX270" s="93">
        <v>2057.2833727801981</v>
      </c>
      <c r="OY270" s="93">
        <v>4.3403554159999995</v>
      </c>
      <c r="OZ270" s="93">
        <v>2052.9430173641981</v>
      </c>
      <c r="PA270" s="93">
        <v>433.09189092600002</v>
      </c>
      <c r="PB270" s="93">
        <v>-113.32974107199999</v>
      </c>
      <c r="PC270" s="20">
        <v>2675.7556375168915</v>
      </c>
      <c r="PD270" s="29">
        <v>203</v>
      </c>
      <c r="PE270" s="19"/>
      <c r="PF270" s="93">
        <v>-226.39131581699996</v>
      </c>
      <c r="PG270" s="93">
        <v>617.39568590299996</v>
      </c>
      <c r="PH270" s="93">
        <v>843.78700171999992</v>
      </c>
      <c r="PI270" s="93">
        <v>779.268011</v>
      </c>
      <c r="PJ270" s="93">
        <v>-38.95509946300001</v>
      </c>
      <c r="PK270" s="93">
        <v>137.17533701099998</v>
      </c>
      <c r="PL270" s="93">
        <v>176.13043647399999</v>
      </c>
      <c r="PM270" s="93">
        <v>4.3403554159999995</v>
      </c>
      <c r="PN270" s="93">
        <v>0.6</v>
      </c>
      <c r="PO270" s="93">
        <v>0</v>
      </c>
      <c r="PP270" s="93">
        <v>3.1058700000000003E-4</v>
      </c>
      <c r="PQ270" s="93">
        <v>3.7400448289999999</v>
      </c>
      <c r="PR270" s="93">
        <v>497.15191882700003</v>
      </c>
      <c r="PS270" s="93">
        <v>313.05689694300003</v>
      </c>
      <c r="PT270" s="93">
        <v>183.45817909100001</v>
      </c>
      <c r="PU270" s="93">
        <v>0.63684279300000002</v>
      </c>
      <c r="PV270" s="93">
        <v>0</v>
      </c>
      <c r="PW270" s="93">
        <v>1.3614318590000001</v>
      </c>
      <c r="PX270" s="93">
        <v>0</v>
      </c>
      <c r="PY270" s="93">
        <v>0</v>
      </c>
      <c r="PZ270" s="93">
        <v>1.3614318590000001</v>
      </c>
      <c r="QA270" s="93">
        <v>0</v>
      </c>
      <c r="QB270" s="93">
        <v>0</v>
      </c>
      <c r="QC270" s="93">
        <v>0</v>
      </c>
      <c r="QD270" s="93">
        <v>16.474459067000002</v>
      </c>
      <c r="QE270" s="20">
        <v>3.274141382999999</v>
      </c>
      <c r="QF270" s="1739">
        <v>203</v>
      </c>
      <c r="QG270" s="19"/>
      <c r="QH270" s="1035">
        <v>1152.0965290126926</v>
      </c>
      <c r="QI270" s="1035">
        <v>1534.348982635802</v>
      </c>
      <c r="QJ270" s="1035">
        <v>-382.25245362310943</v>
      </c>
      <c r="QK270" s="1035">
        <v>239.71199999999999</v>
      </c>
      <c r="QL270" s="1035">
        <v>48.625999999999998</v>
      </c>
      <c r="QM270" s="1035">
        <v>191.08599999999998</v>
      </c>
      <c r="QN270" s="1035">
        <v>0</v>
      </c>
      <c r="QO270" s="1035">
        <v>61.309000000000026</v>
      </c>
      <c r="QP270" s="1035">
        <v>330.14300000000003</v>
      </c>
      <c r="QQ270" s="1035">
        <v>-268.834</v>
      </c>
      <c r="QR270" s="1035">
        <v>2052.9430173641981</v>
      </c>
      <c r="QS270" s="1035">
        <v>20.958985591232157</v>
      </c>
      <c r="QT270" s="1035">
        <v>0</v>
      </c>
      <c r="QU270" s="1035">
        <v>147.71799999999999</v>
      </c>
      <c r="QV270" s="1035">
        <v>1884.266031772966</v>
      </c>
      <c r="QW270" s="93"/>
      <c r="QX270" s="93">
        <v>782.12099999999998</v>
      </c>
      <c r="QY270" s="93">
        <v>1088.9706669274788</v>
      </c>
      <c r="QZ270" s="93">
        <v>1158.2678794494118</v>
      </c>
      <c r="RA270" s="93">
        <v>0</v>
      </c>
      <c r="RB270" s="93">
        <v>59.475000000000001</v>
      </c>
      <c r="RC270" s="93">
        <v>2.444</v>
      </c>
      <c r="RD270" s="93">
        <v>23.391999999999999</v>
      </c>
      <c r="RE270" s="93">
        <v>0</v>
      </c>
      <c r="RF270" s="93">
        <v>0</v>
      </c>
      <c r="RG270" s="93">
        <v>329.94500000000005</v>
      </c>
      <c r="RH270" s="93">
        <v>61.445000000000022</v>
      </c>
      <c r="RI270" s="93"/>
      <c r="RJ270" s="93"/>
      <c r="RK270" s="93"/>
      <c r="RL270" s="93"/>
      <c r="RM270" s="734"/>
      <c r="RN270" s="29">
        <v>203</v>
      </c>
      <c r="RO270" s="19">
        <v>96</v>
      </c>
      <c r="RP270" s="20">
        <v>658</v>
      </c>
      <c r="RQ270" s="29">
        <v>203</v>
      </c>
      <c r="RR270" s="734">
        <v>3.7009851299999998</v>
      </c>
      <c r="RS270" s="29">
        <v>203</v>
      </c>
      <c r="RT270" s="1504">
        <v>42675</v>
      </c>
      <c r="RU270" s="19">
        <v>845</v>
      </c>
      <c r="RV270" s="20">
        <v>11</v>
      </c>
      <c r="RW270" s="29">
        <v>203</v>
      </c>
      <c r="RX270" s="1504">
        <v>42675</v>
      </c>
      <c r="RY270" s="29"/>
      <c r="RZ270" s="734"/>
      <c r="SA270" s="29"/>
      <c r="SB270" s="29">
        <v>203</v>
      </c>
    </row>
    <row r="271" spans="1:496">
      <c r="A271" s="41">
        <f t="shared" si="238"/>
        <v>2016</v>
      </c>
      <c r="B271" s="1504">
        <v>42705</v>
      </c>
      <c r="C271" s="1813">
        <v>2326</v>
      </c>
      <c r="D271" s="1814">
        <v>24927</v>
      </c>
      <c r="E271" s="1814">
        <v>80</v>
      </c>
      <c r="F271" s="1815">
        <v>802</v>
      </c>
      <c r="G271" s="1814">
        <v>92462</v>
      </c>
      <c r="H271" s="1814">
        <v>20</v>
      </c>
      <c r="I271" s="1814">
        <v>40802</v>
      </c>
      <c r="J271" s="1816">
        <v>16176</v>
      </c>
      <c r="K271" s="1807">
        <v>177595</v>
      </c>
      <c r="L271" s="25">
        <v>204</v>
      </c>
      <c r="M271" s="97"/>
      <c r="N271" s="1504">
        <v>42705</v>
      </c>
      <c r="O271" s="19">
        <v>750</v>
      </c>
      <c r="P271" s="93">
        <v>805</v>
      </c>
      <c r="Q271" s="93">
        <v>3641</v>
      </c>
      <c r="R271" s="93">
        <v>2144</v>
      </c>
      <c r="S271" s="93">
        <v>1674</v>
      </c>
      <c r="T271" s="93">
        <v>910</v>
      </c>
      <c r="U271" s="93">
        <v>485</v>
      </c>
      <c r="V271" s="93">
        <v>1768</v>
      </c>
      <c r="W271" s="93">
        <v>4079</v>
      </c>
      <c r="X271" s="93">
        <v>668</v>
      </c>
      <c r="Y271" s="93">
        <v>262</v>
      </c>
      <c r="Z271" s="93">
        <v>1382</v>
      </c>
      <c r="AA271" s="93">
        <v>844</v>
      </c>
      <c r="AB271" s="132">
        <v>19412</v>
      </c>
      <c r="AC271" s="25">
        <v>204</v>
      </c>
      <c r="AD271" s="97"/>
      <c r="AE271" s="1504">
        <v>42705</v>
      </c>
      <c r="AF271" s="19">
        <v>2850</v>
      </c>
      <c r="AG271" s="93">
        <v>698</v>
      </c>
      <c r="AH271" s="93">
        <v>2299</v>
      </c>
      <c r="AI271" s="93">
        <v>3483</v>
      </c>
      <c r="AJ271" s="93">
        <v>3193</v>
      </c>
      <c r="AK271" s="93">
        <v>2973</v>
      </c>
      <c r="AL271" s="93">
        <v>835</v>
      </c>
      <c r="AM271" s="93">
        <v>2623</v>
      </c>
      <c r="AN271" s="93">
        <v>5834</v>
      </c>
      <c r="AO271" s="93">
        <v>2196</v>
      </c>
      <c r="AP271" s="93">
        <v>704</v>
      </c>
      <c r="AQ271" s="93">
        <v>2211</v>
      </c>
      <c r="AR271" s="93">
        <v>945</v>
      </c>
      <c r="AS271" s="20">
        <v>30844</v>
      </c>
      <c r="AT271" s="25">
        <v>204</v>
      </c>
      <c r="AU271" s="97"/>
      <c r="AV271" s="1504">
        <v>42705</v>
      </c>
      <c r="AW271" s="19">
        <v>8602</v>
      </c>
      <c r="AX271" s="93">
        <v>2927</v>
      </c>
      <c r="AY271" s="93">
        <v>4143</v>
      </c>
      <c r="AZ271" s="93">
        <v>12288</v>
      </c>
      <c r="BA271" s="93">
        <v>8325</v>
      </c>
      <c r="BB271" s="93">
        <v>9738</v>
      </c>
      <c r="BC271" s="93">
        <v>3431</v>
      </c>
      <c r="BD271" s="93">
        <v>8920</v>
      </c>
      <c r="BE271" s="93">
        <v>10635</v>
      </c>
      <c r="BF271" s="93">
        <v>7276</v>
      </c>
      <c r="BG271" s="93">
        <v>3259</v>
      </c>
      <c r="BH271" s="93">
        <v>9934</v>
      </c>
      <c r="BI271" s="93">
        <v>3021</v>
      </c>
      <c r="BJ271" s="20">
        <v>92499</v>
      </c>
      <c r="BK271" s="25">
        <v>204</v>
      </c>
      <c r="BL271" s="97"/>
      <c r="BM271" s="1504">
        <v>42705</v>
      </c>
      <c r="BN271" s="19">
        <v>136.27199999999999</v>
      </c>
      <c r="BO271" s="93">
        <v>2202.7089999999998</v>
      </c>
      <c r="BP271" s="93">
        <v>11.904</v>
      </c>
      <c r="BQ271" s="93">
        <v>738.53600000000006</v>
      </c>
      <c r="BR271" s="93">
        <v>3.06</v>
      </c>
      <c r="BS271" s="93">
        <v>250.05599999999998</v>
      </c>
      <c r="BT271" s="93">
        <v>384.96000000000009</v>
      </c>
      <c r="BU271" s="132">
        <v>3727.4969999999998</v>
      </c>
      <c r="BV271" s="25">
        <v>204</v>
      </c>
      <c r="BW271" s="97"/>
      <c r="BX271" s="1504">
        <v>42705</v>
      </c>
      <c r="BY271" s="179">
        <v>622.17300578582945</v>
      </c>
      <c r="BZ271" s="99">
        <v>664.95699999999999</v>
      </c>
      <c r="CA271" s="99">
        <v>610.19255813953487</v>
      </c>
      <c r="CB271" s="99">
        <v>44.88490646083946</v>
      </c>
      <c r="CC271" s="99">
        <v>146.80591612903223</v>
      </c>
      <c r="CD271" s="25">
        <v>204</v>
      </c>
      <c r="CE271" s="97"/>
      <c r="CF271" s="1504">
        <v>42705</v>
      </c>
      <c r="CG271" s="1508">
        <v>1.7526729000000001</v>
      </c>
      <c r="CH271" s="568">
        <v>1157.3599999999999</v>
      </c>
      <c r="CI271" s="1708">
        <v>52.62</v>
      </c>
      <c r="CJ271" s="1509">
        <v>54.07</v>
      </c>
      <c r="CK271" s="1508">
        <v>354.42</v>
      </c>
      <c r="CL271" s="568">
        <v>152.44864319999999</v>
      </c>
      <c r="CM271" s="568">
        <v>0.40763423799999998</v>
      </c>
      <c r="CN271" s="568">
        <v>0.34452080000000002</v>
      </c>
      <c r="CO271" s="568">
        <v>141.83056619999999</v>
      </c>
      <c r="CP271" s="1509">
        <v>4.1430321350000003</v>
      </c>
      <c r="CQ271" s="1708">
        <v>1439.3</v>
      </c>
      <c r="CR271" s="568">
        <v>2.6733333333333298</v>
      </c>
      <c r="CS271" s="568">
        <v>2.226</v>
      </c>
      <c r="CT271" s="568">
        <v>97.5</v>
      </c>
      <c r="CU271" s="568">
        <v>80.02</v>
      </c>
      <c r="CV271" s="1709">
        <v>2664.81</v>
      </c>
      <c r="CW271" s="29">
        <v>204</v>
      </c>
      <c r="CX271" s="41">
        <f t="shared" si="239"/>
        <v>2016</v>
      </c>
      <c r="CY271" s="1504">
        <v>42705</v>
      </c>
      <c r="CZ271" s="1916">
        <v>110.67661572150462</v>
      </c>
      <c r="DA271" s="1526">
        <v>62.327846721504628</v>
      </c>
      <c r="DB271" s="1526">
        <v>48.348768999999997</v>
      </c>
      <c r="DC271" s="182">
        <v>585634</v>
      </c>
      <c r="DD271" s="182">
        <v>583970</v>
      </c>
      <c r="DE271" s="290">
        <v>1664</v>
      </c>
      <c r="DF271" s="29">
        <v>204</v>
      </c>
      <c r="DG271" s="1504">
        <v>42705</v>
      </c>
      <c r="DH271" s="181">
        <v>353830</v>
      </c>
      <c r="DI271" s="182"/>
      <c r="DJ271" s="182"/>
      <c r="DK271" s="182"/>
      <c r="DL271" s="182"/>
      <c r="DM271" s="182"/>
      <c r="DN271" s="290"/>
      <c r="DO271" s="295"/>
      <c r="DP271" s="29">
        <v>204</v>
      </c>
      <c r="DQ271" s="1504">
        <v>42705</v>
      </c>
      <c r="DR271" s="19">
        <v>35096</v>
      </c>
      <c r="DS271" s="93">
        <v>1012</v>
      </c>
      <c r="DT271" s="93">
        <v>47765</v>
      </c>
      <c r="DU271" s="93">
        <v>4288</v>
      </c>
      <c r="DV271" s="93">
        <v>17976</v>
      </c>
      <c r="DW271" s="93">
        <v>2322</v>
      </c>
      <c r="DX271" s="1719">
        <v>7117</v>
      </c>
      <c r="DY271" s="29">
        <v>204</v>
      </c>
      <c r="DZ271" s="1504">
        <v>42705</v>
      </c>
      <c r="EA271" s="19"/>
      <c r="EB271" s="93"/>
      <c r="EC271" s="20"/>
      <c r="ED271" s="29"/>
      <c r="EE271" s="1504">
        <v>42705</v>
      </c>
      <c r="EF271" s="179">
        <v>23211</v>
      </c>
      <c r="EG271" s="99">
        <v>20138</v>
      </c>
      <c r="EH271" s="99">
        <v>43349</v>
      </c>
      <c r="EI271" s="221">
        <v>6709</v>
      </c>
      <c r="EJ271" s="99">
        <v>699.64499999999998</v>
      </c>
      <c r="EK271" s="99">
        <v>222.09899999999999</v>
      </c>
      <c r="EL271" s="99">
        <v>5.9169999999999998</v>
      </c>
      <c r="EM271" s="99">
        <v>4.2649999999999997</v>
      </c>
      <c r="EN271" s="132">
        <v>931.92599999999993</v>
      </c>
      <c r="EO271" s="29">
        <v>204</v>
      </c>
      <c r="EP271" s="1504">
        <v>42705</v>
      </c>
      <c r="EQ271" s="19">
        <v>22474</v>
      </c>
      <c r="ER271" s="93">
        <v>19400</v>
      </c>
      <c r="ES271" s="93">
        <v>41874</v>
      </c>
      <c r="ET271" s="214">
        <v>6292</v>
      </c>
      <c r="EU271" s="93">
        <v>699.64499999999998</v>
      </c>
      <c r="EV271" s="93">
        <v>222.09899999999999</v>
      </c>
      <c r="EW271" s="93">
        <v>5.9169999999999998</v>
      </c>
      <c r="EX271" s="93">
        <v>4.2649999999999997</v>
      </c>
      <c r="EY271" s="20">
        <v>931.92599999999993</v>
      </c>
      <c r="EZ271" s="29">
        <v>204</v>
      </c>
      <c r="FA271" s="1504">
        <v>42705</v>
      </c>
      <c r="FB271" s="29">
        <v>737</v>
      </c>
      <c r="FC271" s="29">
        <v>738</v>
      </c>
      <c r="FD271" s="29">
        <v>1475</v>
      </c>
      <c r="FE271" s="29">
        <v>417</v>
      </c>
      <c r="FF271" s="29">
        <v>0</v>
      </c>
      <c r="FG271" s="29">
        <v>0</v>
      </c>
      <c r="FH271" s="29">
        <v>0</v>
      </c>
      <c r="FI271" s="29">
        <v>0</v>
      </c>
      <c r="FJ271" s="29">
        <v>0</v>
      </c>
      <c r="FK271" s="29">
        <v>204</v>
      </c>
      <c r="FL271" s="1504">
        <v>42705</v>
      </c>
      <c r="FM271" s="19">
        <v>102.43</v>
      </c>
      <c r="FN271" s="93">
        <v>100.55</v>
      </c>
      <c r="FO271" s="93">
        <v>111.43</v>
      </c>
      <c r="FP271" s="93">
        <v>98.92</v>
      </c>
      <c r="FQ271" s="93">
        <v>121.95</v>
      </c>
      <c r="FR271" s="93">
        <v>100.72</v>
      </c>
      <c r="FS271" s="93">
        <v>99.23</v>
      </c>
      <c r="FT271" s="93">
        <v>96.32</v>
      </c>
      <c r="FU271" s="93">
        <v>110.74</v>
      </c>
      <c r="FV271" s="93">
        <v>104.6</v>
      </c>
      <c r="FW271" s="93">
        <v>101.76</v>
      </c>
      <c r="FX271" s="93">
        <v>100.41</v>
      </c>
      <c r="FY271" s="93">
        <v>99.51</v>
      </c>
      <c r="FZ271" s="29">
        <v>204</v>
      </c>
      <c r="GA271" s="1504">
        <v>42705</v>
      </c>
      <c r="GB271" s="19">
        <v>102.43</v>
      </c>
      <c r="GC271" s="93">
        <v>100.63</v>
      </c>
      <c r="GD271" s="93">
        <v>103.68</v>
      </c>
      <c r="GE271" s="93">
        <v>127.07</v>
      </c>
      <c r="GF271" s="93">
        <v>100.18</v>
      </c>
      <c r="GG271" s="99">
        <v>101.7</v>
      </c>
      <c r="GH271" s="93">
        <v>107.06</v>
      </c>
      <c r="GI271" s="93">
        <v>99.98</v>
      </c>
      <c r="GJ271" s="93">
        <v>101.43</v>
      </c>
      <c r="GK271" s="93">
        <v>100.68</v>
      </c>
      <c r="GL271" s="93">
        <v>103.79</v>
      </c>
      <c r="GM271" s="93">
        <v>100.55</v>
      </c>
      <c r="GN271" s="20">
        <v>101.43</v>
      </c>
      <c r="GO271" s="29">
        <v>204</v>
      </c>
      <c r="GP271" s="1504">
        <v>42705</v>
      </c>
      <c r="GQ271" s="181">
        <v>245.958717359509</v>
      </c>
      <c r="GR271" s="182">
        <v>210.27700932517499</v>
      </c>
      <c r="GS271" s="182">
        <v>215.952315678091</v>
      </c>
      <c r="GT271" s="182">
        <v>180.483456334941</v>
      </c>
      <c r="GU271" s="182">
        <v>376.44191229553201</v>
      </c>
      <c r="GV271" s="290">
        <v>768.945031884272</v>
      </c>
      <c r="GW271" s="181">
        <v>381.03537789379402</v>
      </c>
      <c r="GX271" s="182">
        <v>421.84242071861797</v>
      </c>
      <c r="GY271" s="182">
        <v>425.04431279153101</v>
      </c>
      <c r="GZ271" s="182">
        <v>353.06284848425202</v>
      </c>
      <c r="HA271" s="182">
        <v>218.0059047407</v>
      </c>
      <c r="HB271" s="290">
        <v>800.34799373511703</v>
      </c>
      <c r="HC271" s="181">
        <v>1922.86635191966</v>
      </c>
      <c r="HD271" s="182">
        <v>2185.1193555292298</v>
      </c>
      <c r="HE271" s="182">
        <v>2233.49479895788</v>
      </c>
      <c r="HF271" s="182">
        <v>3150</v>
      </c>
      <c r="HG271" s="182">
        <v>2395.36945052287</v>
      </c>
      <c r="HH271" s="290">
        <v>2623.9194178807702</v>
      </c>
      <c r="HI271" s="19"/>
      <c r="HJ271" s="182">
        <v>798.821366265807</v>
      </c>
      <c r="HK271" s="182">
        <v>1445.1657538776401</v>
      </c>
      <c r="HL271" s="182">
        <v>889.49673642859102</v>
      </c>
      <c r="HM271" s="182">
        <v>800</v>
      </c>
      <c r="HN271" s="290">
        <v>2963.4208865979899</v>
      </c>
      <c r="HO271" s="324">
        <v>140.71231573687899</v>
      </c>
      <c r="HP271" s="290">
        <v>100.22058706865199</v>
      </c>
      <c r="HQ271" s="295">
        <v>157.798747303494</v>
      </c>
      <c r="HR271" s="29">
        <v>204</v>
      </c>
      <c r="HS271" s="1504">
        <v>42705</v>
      </c>
      <c r="HT271" s="179">
        <v>220.54616737365723</v>
      </c>
      <c r="HU271" s="99">
        <v>228.47222290039062</v>
      </c>
      <c r="HV271" s="99">
        <v>136.94267272949219</v>
      </c>
      <c r="HW271" s="99">
        <v>105.76923370361328</v>
      </c>
      <c r="HX271" s="99">
        <v>195.83333206176758</v>
      </c>
      <c r="HY271" s="99">
        <v>194.44444274902344</v>
      </c>
      <c r="HZ271" s="99">
        <v>196.38925018310547</v>
      </c>
      <c r="IA271" s="132">
        <v>178.10458374023438</v>
      </c>
      <c r="IB271" s="179">
        <v>213.87831497192383</v>
      </c>
      <c r="IC271" s="99">
        <v>147.05882263183594</v>
      </c>
      <c r="ID271" s="99">
        <v>146.42857666015624</v>
      </c>
      <c r="IE271" s="99">
        <v>122.05402374267578</v>
      </c>
      <c r="IF271" s="99">
        <v>175.00000381469727</v>
      </c>
      <c r="IG271" s="132">
        <v>144.16666793823242</v>
      </c>
      <c r="IH271" s="179">
        <v>121.8568639755249</v>
      </c>
      <c r="II271" s="99">
        <v>188.59649658203125</v>
      </c>
      <c r="IJ271" s="99">
        <v>125.42372589111328</v>
      </c>
      <c r="IK271" s="99">
        <v>153.42961120605469</v>
      </c>
      <c r="IL271" s="99">
        <v>138.88888549804688</v>
      </c>
      <c r="IM271" s="99">
        <v>136.69355392456055</v>
      </c>
      <c r="IN271" s="99">
        <v>159.01060485839844</v>
      </c>
      <c r="IO271" s="132">
        <v>134.57260208129884</v>
      </c>
      <c r="IP271" s="29">
        <v>204</v>
      </c>
      <c r="IQ271" s="179">
        <v>132.4041862487793</v>
      </c>
      <c r="IR271" s="99">
        <v>86.021502685546878</v>
      </c>
      <c r="IS271" s="99">
        <v>118.96551361083985</v>
      </c>
      <c r="IT271" s="99">
        <v>109.63261985778809</v>
      </c>
      <c r="IU271" s="99">
        <v>147.17742919921875</v>
      </c>
      <c r="IV271" s="132">
        <v>108.52600860595703</v>
      </c>
      <c r="IW271" s="29">
        <v>204</v>
      </c>
      <c r="IX271" s="179">
        <v>400</v>
      </c>
      <c r="IY271" s="99">
        <v>409.72222900390625</v>
      </c>
      <c r="IZ271" s="99">
        <v>425</v>
      </c>
      <c r="JA271" s="99">
        <v>375</v>
      </c>
      <c r="JB271" s="99">
        <v>390</v>
      </c>
      <c r="JC271" s="99">
        <v>400</v>
      </c>
      <c r="JD271" s="99">
        <v>340</v>
      </c>
      <c r="JE271" s="132">
        <v>400</v>
      </c>
      <c r="JF271" s="29">
        <v>204</v>
      </c>
      <c r="JG271" s="179">
        <v>152.68529891967773</v>
      </c>
      <c r="JH271" s="99">
        <v>185.30702209472656</v>
      </c>
      <c r="JI271" s="99">
        <v>118.9710678100586</v>
      </c>
      <c r="JJ271" s="99">
        <v>116.66666666666667</v>
      </c>
      <c r="JK271" s="99">
        <v>159.93266296386719</v>
      </c>
      <c r="JL271" s="99">
        <v>157.43573760986328</v>
      </c>
      <c r="JM271" s="99">
        <v>178.21782302856445</v>
      </c>
      <c r="JN271" s="132">
        <v>184.62999877929687</v>
      </c>
      <c r="JO271" s="29">
        <v>204</v>
      </c>
      <c r="JP271" s="179">
        <v>164.59626770019531</v>
      </c>
      <c r="JQ271" s="99">
        <v>102.04081726074219</v>
      </c>
      <c r="JR271" s="99">
        <v>139.65516662597656</v>
      </c>
      <c r="JS271" s="99"/>
      <c r="JT271" s="99">
        <v>156.25</v>
      </c>
      <c r="JU271" s="132">
        <v>102.1390380859375</v>
      </c>
      <c r="JV271" s="29">
        <v>204</v>
      </c>
      <c r="JW271" s="1504">
        <v>42705</v>
      </c>
      <c r="JX271" s="419">
        <f>(((JX270/JX269-1)+(JX269/JX268-1))^1/2+1)*JX270</f>
        <v>301.82489704512233</v>
      </c>
      <c r="JY271" s="99">
        <v>290.83333333333331</v>
      </c>
      <c r="JZ271" s="100">
        <f>(((JZ270/JZ269-1)+(JZ269/JZ268-1))^1/2+1)*JZ270</f>
        <v>260.20051214321097</v>
      </c>
      <c r="KA271" s="99">
        <v>222.77777777777777</v>
      </c>
      <c r="KB271" s="99">
        <v>184.57402597402597</v>
      </c>
      <c r="KC271" s="99">
        <v>318.66666666666669</v>
      </c>
      <c r="KD271" s="132">
        <v>260.625</v>
      </c>
      <c r="KE271" s="29">
        <v>204</v>
      </c>
      <c r="KF271" s="179"/>
      <c r="KG271" s="99">
        <v>45.083333333333336</v>
      </c>
      <c r="KH271" s="99">
        <v>38.458333333333336</v>
      </c>
      <c r="KI271" s="99">
        <v>42.027777777777779</v>
      </c>
      <c r="KJ271" s="99">
        <v>41</v>
      </c>
      <c r="KK271" s="132">
        <v>76.099999999999994</v>
      </c>
      <c r="KL271" s="29">
        <v>204</v>
      </c>
      <c r="KM271" s="100">
        <f t="shared" si="253"/>
        <v>20.149992722943086</v>
      </c>
      <c r="KN271" s="99">
        <v>17.225409836065573</v>
      </c>
      <c r="KO271" s="99">
        <v>29.98</v>
      </c>
      <c r="KP271" s="99">
        <v>31.3125</v>
      </c>
      <c r="KQ271" s="99">
        <v>34.5</v>
      </c>
      <c r="KR271" s="132">
        <v>40.456521739130437</v>
      </c>
      <c r="KS271" s="29">
        <v>204</v>
      </c>
      <c r="KT271" s="100">
        <f t="shared" si="254"/>
        <v>28.122142053201884</v>
      </c>
      <c r="KU271" s="99">
        <v>23.666666666666668</v>
      </c>
      <c r="KV271" s="99">
        <v>25.208333333333332</v>
      </c>
      <c r="KW271" s="99">
        <v>23.25</v>
      </c>
      <c r="KX271" s="99">
        <v>25.166666666666668</v>
      </c>
      <c r="KY271" s="132">
        <v>31.583333333333332</v>
      </c>
      <c r="KZ271" s="29">
        <v>204</v>
      </c>
      <c r="LA271" s="1504">
        <v>42705</v>
      </c>
      <c r="LB271" s="19">
        <v>380</v>
      </c>
      <c r="LC271" s="93">
        <v>610</v>
      </c>
      <c r="LD271" s="93">
        <v>602</v>
      </c>
      <c r="LE271" s="93"/>
      <c r="LF271" s="93">
        <v>526</v>
      </c>
      <c r="LG271" s="93"/>
      <c r="LH271" s="20"/>
      <c r="LI271" s="29">
        <v>204</v>
      </c>
      <c r="LJ271" s="19"/>
      <c r="LK271" s="93"/>
      <c r="LL271" s="93"/>
      <c r="LM271" s="93"/>
      <c r="LN271" s="93"/>
      <c r="LO271" s="20"/>
      <c r="LP271" s="29">
        <v>204</v>
      </c>
      <c r="LQ271" s="19"/>
      <c r="LR271" s="93"/>
      <c r="LS271" s="93"/>
      <c r="LT271" s="93"/>
      <c r="LU271" s="93"/>
      <c r="LV271" s="93"/>
      <c r="LW271" s="93"/>
      <c r="LX271" s="93"/>
      <c r="LY271" s="93"/>
      <c r="LZ271" s="93"/>
      <c r="MA271" s="20"/>
      <c r="MB271" s="29">
        <v>204</v>
      </c>
      <c r="MC271" s="1504">
        <v>42705</v>
      </c>
      <c r="MD271" s="19">
        <v>1409.881659055726</v>
      </c>
      <c r="ME271" s="93">
        <v>1229.691274869562</v>
      </c>
      <c r="MF271" s="93">
        <v>1229.6609757695619</v>
      </c>
      <c r="MG271" s="93">
        <v>1074.593566698562</v>
      </c>
      <c r="MH271" s="93">
        <v>285.74247886099994</v>
      </c>
      <c r="MI271" s="93">
        <v>8.7437921580000015</v>
      </c>
      <c r="MJ271" s="93">
        <v>10.692974986761905</v>
      </c>
      <c r="MK271" s="93">
        <v>600.94279121379998</v>
      </c>
      <c r="ML271" s="93">
        <v>159.130301678</v>
      </c>
      <c r="MM271" s="93">
        <v>9.3412278010000005</v>
      </c>
      <c r="MN271" s="93">
        <v>155.06740907099999</v>
      </c>
      <c r="MO271" s="93">
        <v>5.6439949719999989</v>
      </c>
      <c r="MP271" s="93">
        <v>34.725720416999998</v>
      </c>
      <c r="MQ271" s="93">
        <v>17.449939349000001</v>
      </c>
      <c r="MR271" s="93">
        <v>29.521969102999996</v>
      </c>
      <c r="MS271" s="93">
        <v>67.725785229999985</v>
      </c>
      <c r="MT271" s="93">
        <v>3.0299099999999999E-2</v>
      </c>
      <c r="MU271" s="93">
        <v>180.19038418616421</v>
      </c>
      <c r="MV271" s="93">
        <v>98.992300082164206</v>
      </c>
      <c r="MW271" s="93">
        <v>81.198084104000003</v>
      </c>
      <c r="MX271" s="93">
        <v>1629.8379944582464</v>
      </c>
      <c r="MY271" s="93">
        <v>1638.5012851802464</v>
      </c>
      <c r="MZ271" s="93">
        <v>1112.3010970874384</v>
      </c>
      <c r="NA271" s="93">
        <v>554.47440868799993</v>
      </c>
      <c r="NB271" s="93">
        <v>128.515666157</v>
      </c>
      <c r="NC271" s="93">
        <v>59.793390518238631</v>
      </c>
      <c r="ND271" s="93">
        <v>43.226332941000003</v>
      </c>
      <c r="NE271" s="93">
        <v>16.567057577238639</v>
      </c>
      <c r="NF271" s="93">
        <v>369.51763172419999</v>
      </c>
      <c r="NG271" s="93">
        <v>11.967411566200001</v>
      </c>
      <c r="NH271" s="93">
        <v>111.673743985</v>
      </c>
      <c r="NI271" s="93">
        <v>9.7593073910000001</v>
      </c>
      <c r="NJ271" s="93">
        <v>27.421256767000003</v>
      </c>
      <c r="NK271" s="93">
        <v>526.20018809280805</v>
      </c>
      <c r="NL271" s="93">
        <v>338.38998894000002</v>
      </c>
      <c r="NM271" s="93">
        <v>6.9884356480000003</v>
      </c>
      <c r="NN271" s="93">
        <v>180.82176350480799</v>
      </c>
      <c r="NO271" s="93">
        <v>-8.6632907220000028</v>
      </c>
      <c r="NP271" s="93">
        <v>-219.95633540252044</v>
      </c>
      <c r="NQ271" s="93">
        <v>-400.14671958868468</v>
      </c>
      <c r="NR271" s="93">
        <v>-159.53156556563812</v>
      </c>
      <c r="NS271" s="93">
        <v>-219.32495608387674</v>
      </c>
      <c r="NT271" s="93">
        <v>-134.35076391352032</v>
      </c>
      <c r="NU271" s="93">
        <v>-314.54114809968462</v>
      </c>
      <c r="NV271" s="93">
        <v>136.69919326464316</v>
      </c>
      <c r="NW271" s="93">
        <v>102.88724661064323</v>
      </c>
      <c r="NX271" s="93">
        <v>144.80133542264372</v>
      </c>
      <c r="NY271" s="93">
        <v>-41.914088812000522</v>
      </c>
      <c r="NZ271" s="93">
        <v>0</v>
      </c>
      <c r="OA271" s="93">
        <v>33.811946653999954</v>
      </c>
      <c r="OB271" s="93">
        <v>-67.276676758000065</v>
      </c>
      <c r="OC271" s="93">
        <v>101.088623412</v>
      </c>
      <c r="OD271" s="20">
        <v>0</v>
      </c>
      <c r="OE271" s="29">
        <v>204</v>
      </c>
      <c r="OF271" s="1504">
        <v>42705</v>
      </c>
      <c r="OG271" s="19"/>
      <c r="OH271" s="93">
        <v>280.60299587099996</v>
      </c>
      <c r="OI271" s="93">
        <v>1333.2101895123162</v>
      </c>
      <c r="OJ271" s="93">
        <v>0.55865610099999996</v>
      </c>
      <c r="OK271" s="93">
        <v>1153.7245386403163</v>
      </c>
      <c r="OL271" s="93">
        <v>178.92699477100001</v>
      </c>
      <c r="OM271" s="93">
        <v>1613.8131853833161</v>
      </c>
      <c r="ON271" s="93">
        <v>1166.8155620798632</v>
      </c>
      <c r="OO271" s="93">
        <v>2780.628747463179</v>
      </c>
      <c r="OP271" s="93"/>
      <c r="OQ271" s="93">
        <v>1052.7629037723555</v>
      </c>
      <c r="OR271" s="93">
        <v>-136.60231978799993</v>
      </c>
      <c r="OS271" s="93">
        <v>1189.3652235603556</v>
      </c>
      <c r="OT271" s="93">
        <v>2055.8370954678235</v>
      </c>
      <c r="OU271" s="93">
        <v>-88.478374844000058</v>
      </c>
      <c r="OV271" s="93">
        <v>-149.77337484400002</v>
      </c>
      <c r="OW271" s="93">
        <v>61.294999999999959</v>
      </c>
      <c r="OX271" s="93">
        <v>2144.3154703118234</v>
      </c>
      <c r="OY271" s="93">
        <v>4.2281609199999997</v>
      </c>
      <c r="OZ271" s="93">
        <v>2140.0873093918235</v>
      </c>
      <c r="PA271" s="93">
        <v>487.006033011</v>
      </c>
      <c r="PB271" s="93">
        <v>-159.03478123400004</v>
      </c>
      <c r="PC271" s="20">
        <v>2780.628747463179</v>
      </c>
      <c r="PD271" s="29">
        <v>204</v>
      </c>
      <c r="PE271" s="19"/>
      <c r="PF271" s="93">
        <v>-136.60231978799993</v>
      </c>
      <c r="PG271" s="93">
        <v>621.80969339500007</v>
      </c>
      <c r="PH271" s="93">
        <v>758.412013183</v>
      </c>
      <c r="PI271" s="93">
        <v>776.14123295299999</v>
      </c>
      <c r="PJ271" s="93">
        <v>-141.78972330300002</v>
      </c>
      <c r="PK271" s="93">
        <v>135.58372971</v>
      </c>
      <c r="PL271" s="93">
        <v>277.37345301300002</v>
      </c>
      <c r="PM271" s="93">
        <v>4.2281609199999997</v>
      </c>
      <c r="PN271" s="93">
        <v>0.6</v>
      </c>
      <c r="PO271" s="93">
        <v>0</v>
      </c>
      <c r="PP271" s="93">
        <v>0</v>
      </c>
      <c r="PQ271" s="93">
        <v>3.62816092</v>
      </c>
      <c r="PR271" s="93">
        <v>478.16496640500003</v>
      </c>
      <c r="PS271" s="93">
        <v>351.19464741199999</v>
      </c>
      <c r="PT271" s="93">
        <v>126.08509512400001</v>
      </c>
      <c r="PU271" s="93">
        <v>0.88522386899999994</v>
      </c>
      <c r="PV271" s="93">
        <v>0</v>
      </c>
      <c r="PW271" s="93">
        <v>0.22724683300000001</v>
      </c>
      <c r="PX271" s="93">
        <v>0</v>
      </c>
      <c r="PY271" s="93">
        <v>0</v>
      </c>
      <c r="PZ271" s="93">
        <v>0.22724683300000001</v>
      </c>
      <c r="QA271" s="93">
        <v>0</v>
      </c>
      <c r="QB271" s="93">
        <v>0</v>
      </c>
      <c r="QC271" s="93">
        <v>0</v>
      </c>
      <c r="QD271" s="93">
        <v>17.945786177999999</v>
      </c>
      <c r="QE271" s="20">
        <v>5.6393513659999863</v>
      </c>
      <c r="QF271" s="1739">
        <v>204</v>
      </c>
      <c r="QG271" s="19"/>
      <c r="QH271" s="1035">
        <v>1189.3652235603556</v>
      </c>
      <c r="QI271" s="1035">
        <v>1645.4276906081761</v>
      </c>
      <c r="QJ271" s="1035">
        <v>-456.06246704782046</v>
      </c>
      <c r="QK271" s="1035">
        <v>186.167</v>
      </c>
      <c r="QL271" s="1035">
        <v>62.607999999999997</v>
      </c>
      <c r="QM271" s="1035">
        <v>123.559</v>
      </c>
      <c r="QN271" s="1035">
        <v>0</v>
      </c>
      <c r="QO271" s="1035">
        <v>61.294999999999959</v>
      </c>
      <c r="QP271" s="1035">
        <v>345.82799999999997</v>
      </c>
      <c r="QQ271" s="1035">
        <v>-284.53300000000002</v>
      </c>
      <c r="QR271" s="1035">
        <v>2140.0873093918235</v>
      </c>
      <c r="QS271" s="1035">
        <v>22.105360997008503</v>
      </c>
      <c r="QT271" s="1035">
        <v>0</v>
      </c>
      <c r="QU271" s="1035">
        <v>158.732</v>
      </c>
      <c r="QV271" s="1035">
        <v>1959.249948394815</v>
      </c>
      <c r="QW271" s="93"/>
      <c r="QX271" s="93">
        <v>778.36699999999996</v>
      </c>
      <c r="QY271" s="93">
        <v>1153.724538640316</v>
      </c>
      <c r="QZ271" s="93">
        <v>1166.4889943118633</v>
      </c>
      <c r="RA271" s="93">
        <v>0</v>
      </c>
      <c r="RB271" s="93">
        <v>61.149000000000001</v>
      </c>
      <c r="RC271" s="93">
        <v>2.4500000000000002</v>
      </c>
      <c r="RD271" s="93">
        <v>26.687999999999999</v>
      </c>
      <c r="RE271" s="93">
        <v>0</v>
      </c>
      <c r="RF271" s="93">
        <v>0</v>
      </c>
      <c r="RG271" s="93">
        <v>378.54599999999999</v>
      </c>
      <c r="RH271" s="93">
        <v>9.5010000000000048</v>
      </c>
      <c r="RI271" s="93"/>
      <c r="RJ271" s="93"/>
      <c r="RK271" s="93"/>
      <c r="RL271" s="93"/>
      <c r="RM271" s="734"/>
      <c r="RN271" s="29">
        <v>204</v>
      </c>
      <c r="RO271" s="19">
        <v>58</v>
      </c>
      <c r="RP271" s="20">
        <v>610</v>
      </c>
      <c r="RQ271" s="29">
        <v>204</v>
      </c>
      <c r="RR271" s="734">
        <v>4.2498288400000002</v>
      </c>
      <c r="RS271" s="29">
        <v>204</v>
      </c>
      <c r="RT271" s="1504">
        <v>42705</v>
      </c>
      <c r="RU271" s="19">
        <v>698</v>
      </c>
      <c r="RV271" s="20">
        <v>10</v>
      </c>
      <c r="RW271" s="29">
        <v>204</v>
      </c>
      <c r="RX271" s="1504">
        <v>42705</v>
      </c>
      <c r="RY271" s="29"/>
      <c r="RZ271" s="734"/>
      <c r="SA271" s="29"/>
      <c r="SB271" s="29">
        <v>204</v>
      </c>
    </row>
    <row r="272" spans="1:496">
      <c r="A272" s="41">
        <f t="shared" si="238"/>
        <v>2017</v>
      </c>
      <c r="B272" s="1504">
        <v>42736</v>
      </c>
      <c r="C272" s="1813">
        <v>2695</v>
      </c>
      <c r="D272" s="1814">
        <v>29310</v>
      </c>
      <c r="E272" s="1814">
        <v>143</v>
      </c>
      <c r="F272" s="1815">
        <v>466</v>
      </c>
      <c r="G272" s="1814">
        <v>96233</v>
      </c>
      <c r="H272" s="1814">
        <v>32</v>
      </c>
      <c r="I272" s="1814">
        <v>38204</v>
      </c>
      <c r="J272" s="1816">
        <v>18665</v>
      </c>
      <c r="K272" s="1807">
        <v>185748</v>
      </c>
      <c r="L272" s="25">
        <v>205</v>
      </c>
      <c r="M272" s="97"/>
      <c r="N272" s="1504">
        <v>42736</v>
      </c>
      <c r="O272" s="19">
        <v>781</v>
      </c>
      <c r="P272" s="93">
        <v>927</v>
      </c>
      <c r="Q272" s="93">
        <v>3801</v>
      </c>
      <c r="R272" s="93">
        <v>2424</v>
      </c>
      <c r="S272" s="93">
        <v>1720</v>
      </c>
      <c r="T272" s="93">
        <v>945</v>
      </c>
      <c r="U272" s="93"/>
      <c r="V272" s="93">
        <v>1752</v>
      </c>
      <c r="W272" s="93">
        <v>3423</v>
      </c>
      <c r="X272" s="93">
        <v>1022</v>
      </c>
      <c r="Y272" s="93">
        <v>286</v>
      </c>
      <c r="Z272" s="93">
        <v>1624</v>
      </c>
      <c r="AA272" s="93">
        <v>788</v>
      </c>
      <c r="AB272" s="132">
        <v>19493</v>
      </c>
      <c r="AC272" s="25">
        <v>205</v>
      </c>
      <c r="AD272" s="97"/>
      <c r="AE272" s="1504">
        <v>42736</v>
      </c>
      <c r="AF272" s="19">
        <v>2334</v>
      </c>
      <c r="AG272" s="93">
        <v>852</v>
      </c>
      <c r="AH272" s="93">
        <v>2793</v>
      </c>
      <c r="AI272" s="93">
        <v>2964</v>
      </c>
      <c r="AJ272" s="93">
        <v>2505</v>
      </c>
      <c r="AK272" s="93">
        <v>3664</v>
      </c>
      <c r="AL272" s="93"/>
      <c r="AM272" s="93">
        <v>2535</v>
      </c>
      <c r="AN272" s="93">
        <v>4453</v>
      </c>
      <c r="AO272" s="93">
        <v>1897</v>
      </c>
      <c r="AP272" s="93">
        <v>703</v>
      </c>
      <c r="AQ272" s="93">
        <v>2522</v>
      </c>
      <c r="AR272" s="93">
        <v>562</v>
      </c>
      <c r="AS272" s="20">
        <v>27784</v>
      </c>
      <c r="AT272" s="25">
        <v>205</v>
      </c>
      <c r="AU272" s="97"/>
      <c r="AV272" s="1504">
        <v>42736</v>
      </c>
      <c r="AW272" s="19">
        <v>9620</v>
      </c>
      <c r="AX272" s="93">
        <v>3319</v>
      </c>
      <c r="AY272" s="93">
        <v>6108</v>
      </c>
      <c r="AZ272" s="93">
        <v>13014</v>
      </c>
      <c r="BA272" s="93">
        <v>7803</v>
      </c>
      <c r="BB272" s="93">
        <v>9701</v>
      </c>
      <c r="BC272" s="93"/>
      <c r="BD272" s="93">
        <v>10786</v>
      </c>
      <c r="BE272" s="93">
        <v>9108</v>
      </c>
      <c r="BF272" s="93">
        <v>4625</v>
      </c>
      <c r="BG272" s="93">
        <v>3853</v>
      </c>
      <c r="BH272" s="93">
        <v>11539</v>
      </c>
      <c r="BI272" s="93">
        <v>2841</v>
      </c>
      <c r="BJ272" s="20">
        <v>92317</v>
      </c>
      <c r="BK272" s="25">
        <v>205</v>
      </c>
      <c r="BL272" s="97"/>
      <c r="BM272" s="1504">
        <v>42736</v>
      </c>
      <c r="BN272" s="19">
        <v>141.01499999999999</v>
      </c>
      <c r="BO272" s="93">
        <v>1974.7879999999996</v>
      </c>
      <c r="BP272" s="93">
        <v>10.175999999999998</v>
      </c>
      <c r="BQ272" s="93">
        <v>652.52799999999979</v>
      </c>
      <c r="BR272" s="93">
        <v>7.65</v>
      </c>
      <c r="BS272" s="93">
        <v>220.91399999999999</v>
      </c>
      <c r="BT272" s="93">
        <v>405.76799999999997</v>
      </c>
      <c r="BU272" s="132">
        <v>3412.838999999999</v>
      </c>
      <c r="BV272" s="25">
        <v>205</v>
      </c>
      <c r="BW272" s="97"/>
      <c r="BX272" s="1504">
        <v>42736</v>
      </c>
      <c r="BY272" s="179">
        <v>618.01111739212365</v>
      </c>
      <c r="BZ272" s="99">
        <v>664.95699999999999</v>
      </c>
      <c r="CA272" s="99">
        <v>612.24285980959496</v>
      </c>
      <c r="CB272" s="99">
        <v>45.548773713301671</v>
      </c>
      <c r="CC272" s="99">
        <v>144.42887096774191</v>
      </c>
      <c r="CD272" s="25">
        <v>205</v>
      </c>
      <c r="CE272" s="97"/>
      <c r="CF272" s="1504">
        <v>42736</v>
      </c>
      <c r="CG272" s="1508">
        <v>1.815063646</v>
      </c>
      <c r="CH272" s="568">
        <v>1192.0999999999999</v>
      </c>
      <c r="CI272" s="1708">
        <v>53.59</v>
      </c>
      <c r="CJ272" s="1509">
        <v>54.89</v>
      </c>
      <c r="CK272" s="1508">
        <v>355.91</v>
      </c>
      <c r="CL272" s="568">
        <v>159.98761519999999</v>
      </c>
      <c r="CM272" s="568">
        <v>0.448199246</v>
      </c>
      <c r="CN272" s="568">
        <v>0.34670875200000001</v>
      </c>
      <c r="CO272" s="568">
        <v>153.2211039</v>
      </c>
      <c r="CP272" s="1509">
        <v>4.074909377</v>
      </c>
      <c r="CQ272" s="1708">
        <v>1427.78</v>
      </c>
      <c r="CR272" s="568">
        <v>3.0459999999999998</v>
      </c>
      <c r="CS272" s="568">
        <v>2.5583999999999998</v>
      </c>
      <c r="CT272" s="568">
        <v>96.875</v>
      </c>
      <c r="CU272" s="568">
        <v>80.41</v>
      </c>
      <c r="CV272" s="1709">
        <v>2714.8</v>
      </c>
      <c r="CW272" s="29">
        <v>205</v>
      </c>
      <c r="CX272" s="41">
        <f t="shared" si="239"/>
        <v>2017</v>
      </c>
      <c r="CY272" s="1504">
        <v>42736</v>
      </c>
      <c r="CZ272" s="1916">
        <v>111.247811</v>
      </c>
      <c r="DA272" s="1526">
        <v>63.301276000000001</v>
      </c>
      <c r="DB272" s="1526">
        <v>47.946534999999997</v>
      </c>
      <c r="DC272" s="182">
        <f t="shared" ref="DC272:DC282" si="255">DC273</f>
        <v>628111</v>
      </c>
      <c r="DD272" s="182">
        <f t="shared" ref="DD272:DD282" si="256">DD273</f>
        <v>626374</v>
      </c>
      <c r="DE272" s="182">
        <f t="shared" ref="DE272:DE282" si="257">DE273</f>
        <v>1737</v>
      </c>
      <c r="DF272" s="29">
        <v>205</v>
      </c>
      <c r="DG272" s="1504">
        <v>42736</v>
      </c>
      <c r="DH272" s="181">
        <v>355537</v>
      </c>
      <c r="DI272" s="182"/>
      <c r="DJ272" s="182"/>
      <c r="DK272" s="182"/>
      <c r="DL272" s="182"/>
      <c r="DM272" s="182"/>
      <c r="DN272" s="290"/>
      <c r="DO272" s="295"/>
      <c r="DP272" s="29">
        <v>205</v>
      </c>
      <c r="DQ272" s="1504">
        <v>42736</v>
      </c>
      <c r="DR272" s="19"/>
      <c r="DS272" s="93"/>
      <c r="DT272" s="93"/>
      <c r="DU272" s="93"/>
      <c r="DV272" s="93"/>
      <c r="DW272" s="93"/>
      <c r="DX272" s="1719"/>
      <c r="DY272" s="29">
        <v>205</v>
      </c>
      <c r="DZ272" s="1504">
        <v>42736</v>
      </c>
      <c r="EA272" s="19"/>
      <c r="EB272" s="93"/>
      <c r="EC272" s="20"/>
      <c r="ED272" s="29"/>
      <c r="EE272" s="1504">
        <v>42736</v>
      </c>
      <c r="EF272" s="179">
        <v>21274</v>
      </c>
      <c r="EG272" s="99">
        <v>22452</v>
      </c>
      <c r="EH272" s="99">
        <v>43726</v>
      </c>
      <c r="EI272" s="221">
        <v>5584</v>
      </c>
      <c r="EJ272" s="99">
        <v>615.56700000000001</v>
      </c>
      <c r="EK272" s="99">
        <v>209.25899999999999</v>
      </c>
      <c r="EL272" s="99">
        <v>6.5139999999999993</v>
      </c>
      <c r="EM272" s="99">
        <v>3.766</v>
      </c>
      <c r="EN272" s="132">
        <v>835.10599999999988</v>
      </c>
      <c r="EO272" s="29">
        <v>205</v>
      </c>
      <c r="EP272" s="1504">
        <v>42736</v>
      </c>
      <c r="EQ272" s="19">
        <v>20178</v>
      </c>
      <c r="ER272" s="93">
        <v>21339</v>
      </c>
      <c r="ES272" s="93">
        <v>41517</v>
      </c>
      <c r="ET272" s="214">
        <v>5232</v>
      </c>
      <c r="EU272" s="93">
        <v>615.43299999999999</v>
      </c>
      <c r="EV272" s="93">
        <v>209.25899999999999</v>
      </c>
      <c r="EW272" s="93">
        <v>6.5119999999999996</v>
      </c>
      <c r="EX272" s="93">
        <v>3.766</v>
      </c>
      <c r="EY272" s="20">
        <v>834.96999999999991</v>
      </c>
      <c r="EZ272" s="29">
        <v>205</v>
      </c>
      <c r="FA272" s="1504">
        <v>42736</v>
      </c>
      <c r="FB272" s="29">
        <v>1096</v>
      </c>
      <c r="FC272" s="29">
        <v>1113</v>
      </c>
      <c r="FD272" s="29">
        <v>2209</v>
      </c>
      <c r="FE272" s="29">
        <v>352</v>
      </c>
      <c r="FF272" s="29">
        <v>0.13400000000000001</v>
      </c>
      <c r="FG272" s="29">
        <v>0</v>
      </c>
      <c r="FH272" s="29">
        <v>2E-3</v>
      </c>
      <c r="FI272" s="29">
        <v>0</v>
      </c>
      <c r="FJ272" s="29">
        <v>0.13600000000000001</v>
      </c>
      <c r="FK272" s="29">
        <v>205</v>
      </c>
      <c r="FL272" s="1504">
        <v>42736</v>
      </c>
      <c r="FM272" s="19">
        <v>101.66</v>
      </c>
      <c r="FN272" s="93">
        <v>100.33</v>
      </c>
      <c r="FO272" s="93">
        <v>111.72</v>
      </c>
      <c r="FP272" s="93">
        <v>99.52</v>
      </c>
      <c r="FQ272" s="93">
        <v>112.83</v>
      </c>
      <c r="FR272" s="93">
        <v>99.66</v>
      </c>
      <c r="FS272" s="93">
        <v>100.26</v>
      </c>
      <c r="FT272" s="93">
        <v>96.31</v>
      </c>
      <c r="FU272" s="93">
        <v>110.74</v>
      </c>
      <c r="FV272" s="93">
        <v>104.2</v>
      </c>
      <c r="FW272" s="93">
        <v>101.76</v>
      </c>
      <c r="FX272" s="93">
        <v>101.06</v>
      </c>
      <c r="FY272" s="93">
        <v>99.83</v>
      </c>
      <c r="FZ272" s="29">
        <v>205</v>
      </c>
      <c r="GA272" s="1504">
        <v>42736</v>
      </c>
      <c r="GB272" s="19">
        <v>101.66</v>
      </c>
      <c r="GC272" s="93">
        <v>104.35</v>
      </c>
      <c r="GD272" s="93">
        <v>100.89</v>
      </c>
      <c r="GE272" s="93">
        <v>91.87</v>
      </c>
      <c r="GF272" s="93">
        <v>99.88</v>
      </c>
      <c r="GG272" s="99">
        <v>104.06</v>
      </c>
      <c r="GH272" s="93">
        <v>100.99</v>
      </c>
      <c r="GI272" s="93">
        <v>104.05</v>
      </c>
      <c r="GJ272" s="93">
        <v>101.52</v>
      </c>
      <c r="GK272" s="93">
        <v>99.99</v>
      </c>
      <c r="GL272" s="93">
        <v>100.46</v>
      </c>
      <c r="GM272" s="93">
        <v>111.36</v>
      </c>
      <c r="GN272" s="20">
        <v>101.52</v>
      </c>
      <c r="GO272" s="29">
        <v>205</v>
      </c>
      <c r="GP272" s="1504">
        <v>42736</v>
      </c>
      <c r="GQ272" s="181">
        <v>256.99021626883098</v>
      </c>
      <c r="GR272" s="182">
        <v>214.93894741117299</v>
      </c>
      <c r="GS272" s="182">
        <v>223.17286311404601</v>
      </c>
      <c r="GT272" s="182">
        <v>185.64474272645</v>
      </c>
      <c r="GU272" s="182">
        <v>404.42771364390899</v>
      </c>
      <c r="GV272" s="290">
        <v>776.35793524663097</v>
      </c>
      <c r="GW272" s="181">
        <v>415.44483487283401</v>
      </c>
      <c r="GX272" s="182">
        <v>434.577941450737</v>
      </c>
      <c r="GY272" s="182">
        <v>271.34894003573999</v>
      </c>
      <c r="GZ272" s="182">
        <v>299.26677247528397</v>
      </c>
      <c r="HA272" s="182">
        <v>150.12809092984</v>
      </c>
      <c r="HB272" s="290">
        <v>1008.9030704197</v>
      </c>
      <c r="HC272" s="181">
        <v>1780.1564246614</v>
      </c>
      <c r="HD272" s="182">
        <v>2146.5069537817099</v>
      </c>
      <c r="HE272" s="182">
        <v>2240.93322405042</v>
      </c>
      <c r="HF272" s="182">
        <v>3150</v>
      </c>
      <c r="HG272" s="182">
        <v>2283.2459415951298</v>
      </c>
      <c r="HH272" s="290">
        <v>2620.26824638163</v>
      </c>
      <c r="HI272" s="19"/>
      <c r="HJ272" s="182">
        <v>892.65317774805806</v>
      </c>
      <c r="HK272" s="182">
        <v>1568.41972662688</v>
      </c>
      <c r="HL272" s="182">
        <v>904.37137465531896</v>
      </c>
      <c r="HM272" s="182">
        <v>800</v>
      </c>
      <c r="HN272" s="290">
        <v>2654.49340510616</v>
      </c>
      <c r="HO272" s="324">
        <v>133.33456377168301</v>
      </c>
      <c r="HP272" s="290">
        <v>100.364513553771</v>
      </c>
      <c r="HQ272" s="295">
        <v>168.88620787962299</v>
      </c>
      <c r="HR272" s="29">
        <v>205</v>
      </c>
      <c r="HS272" s="1504">
        <v>42736</v>
      </c>
      <c r="HT272" s="179">
        <v>207.52687835693359</v>
      </c>
      <c r="HU272" s="99">
        <v>234.375</v>
      </c>
      <c r="HV272" s="99">
        <v>155.25476837158203</v>
      </c>
      <c r="HW272" s="99">
        <v>105.76923370361328</v>
      </c>
      <c r="HX272" s="99">
        <v>200</v>
      </c>
      <c r="HY272" s="99">
        <v>194.44444274902344</v>
      </c>
      <c r="HZ272" s="99">
        <v>189.07563018798828</v>
      </c>
      <c r="IA272" s="132">
        <v>180.96406173706055</v>
      </c>
      <c r="IB272" s="179">
        <v>210.0760383605957</v>
      </c>
      <c r="IC272" s="99">
        <v>147.05882263183594</v>
      </c>
      <c r="ID272" s="99">
        <v>162.94643402099609</v>
      </c>
      <c r="IE272" s="99">
        <v>121.75325012207031</v>
      </c>
      <c r="IF272" s="99">
        <v>197.91666793823242</v>
      </c>
      <c r="IG272" s="132">
        <v>133.88889312744141</v>
      </c>
      <c r="IH272" s="179">
        <v>121.46841430664063</v>
      </c>
      <c r="II272" s="99">
        <v>188.59649658203125</v>
      </c>
      <c r="IJ272" s="99">
        <v>131.35592842102051</v>
      </c>
      <c r="IK272" s="99">
        <v>153.42961120605469</v>
      </c>
      <c r="IL272" s="99">
        <v>138.88888549804688</v>
      </c>
      <c r="IM272" s="99">
        <v>135.08064651489258</v>
      </c>
      <c r="IN272" s="99">
        <v>159.01060485839844</v>
      </c>
      <c r="IO272" s="132">
        <v>141.64306640625</v>
      </c>
      <c r="IP272" s="29">
        <v>205</v>
      </c>
      <c r="IQ272" s="179">
        <v>133.27527046203613</v>
      </c>
      <c r="IR272" s="99">
        <v>94.086021423339844</v>
      </c>
      <c r="IS272" s="99">
        <v>124.99999237060547</v>
      </c>
      <c r="IT272" s="99">
        <v>108.8709716796875</v>
      </c>
      <c r="IU272" s="99">
        <v>147.17742919921875</v>
      </c>
      <c r="IV272" s="132">
        <v>115.60693359375</v>
      </c>
      <c r="IW272" s="29">
        <v>205</v>
      </c>
      <c r="IX272" s="179">
        <v>398.3870964050293</v>
      </c>
      <c r="IY272" s="99">
        <v>379.34028625488281</v>
      </c>
      <c r="IZ272" s="100">
        <f>(((IZ271/IZ270-1)+(IZ270/IZ269-1))^1/2+1)*IZ271</f>
        <v>424.50117370892019</v>
      </c>
      <c r="JA272" s="99">
        <v>375</v>
      </c>
      <c r="JB272" s="99">
        <v>390</v>
      </c>
      <c r="JC272" s="99">
        <v>400</v>
      </c>
      <c r="JD272" s="100">
        <f t="shared" ref="JD272:JD277" si="258">(((JD271/JD270-1)+(JD270/JD269-1))^1/2+1)*JD271</f>
        <v>340</v>
      </c>
      <c r="JE272" s="132">
        <v>400</v>
      </c>
      <c r="JF272" s="29">
        <v>205</v>
      </c>
      <c r="JG272" s="179">
        <v>156.08107757568359</v>
      </c>
      <c r="JH272" s="99">
        <v>179.33723449707031</v>
      </c>
      <c r="JI272" s="99">
        <v>124.59807777404785</v>
      </c>
      <c r="JJ272" s="99">
        <v>112.5</v>
      </c>
      <c r="JK272" s="99">
        <v>159.93266296386719</v>
      </c>
      <c r="JL272" s="99">
        <v>157.43573760986328</v>
      </c>
      <c r="JM272" s="99">
        <v>177.39274215698242</v>
      </c>
      <c r="JN272" s="132">
        <v>174.88239288330078</v>
      </c>
      <c r="JO272" s="29">
        <v>205</v>
      </c>
      <c r="JP272" s="179">
        <v>157.60868835449219</v>
      </c>
      <c r="JQ272" s="99">
        <v>102.04081726074219</v>
      </c>
      <c r="JR272" s="99">
        <v>155.17240524291992</v>
      </c>
      <c r="JS272" s="99"/>
      <c r="JT272" s="99">
        <v>175.78125</v>
      </c>
      <c r="JU272" s="132">
        <v>106.95187377929688</v>
      </c>
      <c r="JV272" s="29">
        <v>205</v>
      </c>
      <c r="JW272" s="1504">
        <v>42736</v>
      </c>
      <c r="JX272" s="179">
        <v>290</v>
      </c>
      <c r="JY272" s="100">
        <f t="shared" ref="JY272:JY277" si="259">(((JY271/JY270-1)+(JY270/JY269-1))^1/2+1)*JY271</f>
        <v>290.27907699157532</v>
      </c>
      <c r="JZ272" s="99">
        <v>274.2592592592593</v>
      </c>
      <c r="KA272" s="99">
        <v>228.125</v>
      </c>
      <c r="KB272" s="99">
        <v>246.14705882352939</v>
      </c>
      <c r="KC272" s="99">
        <v>319.44444444444446</v>
      </c>
      <c r="KD272" s="132">
        <v>266.73913043478257</v>
      </c>
      <c r="KE272" s="29">
        <v>205</v>
      </c>
      <c r="KF272" s="179"/>
      <c r="KG272" s="99">
        <v>43.04</v>
      </c>
      <c r="KH272" s="99">
        <v>37.5</v>
      </c>
      <c r="KI272" s="99">
        <v>45.944444444444443</v>
      </c>
      <c r="KJ272" s="99">
        <v>54.2</v>
      </c>
      <c r="KK272" s="132">
        <v>83.756944444444443</v>
      </c>
      <c r="KL272" s="29">
        <v>205</v>
      </c>
      <c r="KM272" s="100">
        <f t="shared" si="253"/>
        <v>19.578992824388266</v>
      </c>
      <c r="KN272" s="99">
        <v>18.821428571428573</v>
      </c>
      <c r="KO272" s="99">
        <v>25.677083333333332</v>
      </c>
      <c r="KP272" s="99">
        <v>32.152777777777779</v>
      </c>
      <c r="KQ272" s="99">
        <v>30.842857142857142</v>
      </c>
      <c r="KR272" s="132">
        <v>34.028037383177569</v>
      </c>
      <c r="KS272" s="29">
        <v>205</v>
      </c>
      <c r="KT272" s="100">
        <f t="shared" si="254"/>
        <v>28.772467921973806</v>
      </c>
      <c r="KU272" s="99">
        <v>22.555555555555554</v>
      </c>
      <c r="KV272" s="99">
        <v>23.5625</v>
      </c>
      <c r="KW272" s="99">
        <v>22.5</v>
      </c>
      <c r="KX272" s="99">
        <v>22.694444444444446</v>
      </c>
      <c r="KY272" s="132">
        <v>30.416666666666668</v>
      </c>
      <c r="KZ272" s="29">
        <v>205</v>
      </c>
      <c r="LA272" s="1504">
        <v>42736</v>
      </c>
      <c r="LB272" s="19">
        <v>380</v>
      </c>
      <c r="LC272" s="93">
        <v>610</v>
      </c>
      <c r="LD272" s="93">
        <v>602</v>
      </c>
      <c r="LE272" s="93"/>
      <c r="LF272" s="93">
        <v>526</v>
      </c>
      <c r="LG272" s="93"/>
      <c r="LH272" s="20"/>
      <c r="LI272" s="29">
        <v>205</v>
      </c>
      <c r="LJ272" s="19"/>
      <c r="LK272" s="93"/>
      <c r="LL272" s="93"/>
      <c r="LM272" s="93"/>
      <c r="LN272" s="93"/>
      <c r="LO272" s="20"/>
      <c r="LP272" s="29">
        <v>205</v>
      </c>
      <c r="LQ272" s="19"/>
      <c r="LR272" s="93"/>
      <c r="LS272" s="93"/>
      <c r="LT272" s="93"/>
      <c r="LU272" s="93"/>
      <c r="LV272" s="93"/>
      <c r="LW272" s="93"/>
      <c r="LX272" s="93"/>
      <c r="LY272" s="93"/>
      <c r="LZ272" s="93"/>
      <c r="MA272" s="20"/>
      <c r="MB272" s="29">
        <v>205</v>
      </c>
      <c r="MC272" s="1504">
        <v>42736</v>
      </c>
      <c r="MD272" s="19">
        <v>116.07405041887324</v>
      </c>
      <c r="ME272" s="93">
        <v>114.32675286479999</v>
      </c>
      <c r="MF272" s="93">
        <v>114.32675286479999</v>
      </c>
      <c r="MG272" s="93">
        <v>106.66000543179999</v>
      </c>
      <c r="MH272" s="93">
        <v>40.292984592000003</v>
      </c>
      <c r="MI272" s="93">
        <v>0.89942120599999997</v>
      </c>
      <c r="MJ272" s="93">
        <v>0.92877668400000002</v>
      </c>
      <c r="MK272" s="93">
        <v>50.909663299800002</v>
      </c>
      <c r="ML272" s="93">
        <v>12.311215148999995</v>
      </c>
      <c r="MM272" s="93">
        <v>1.3179445009999999</v>
      </c>
      <c r="MN272" s="93">
        <v>7.6667474330000003</v>
      </c>
      <c r="MO272" s="93">
        <v>0.19326297999999997</v>
      </c>
      <c r="MP272" s="93">
        <v>2.3860717410000003</v>
      </c>
      <c r="MQ272" s="93">
        <v>9.2654098000000004E-2</v>
      </c>
      <c r="MR272" s="93">
        <v>4.1032590000000006E-3</v>
      </c>
      <c r="MS272" s="93">
        <v>4.9906553550000003</v>
      </c>
      <c r="MT272" s="93">
        <v>0</v>
      </c>
      <c r="MU272" s="93">
        <v>1.74729755407326</v>
      </c>
      <c r="MV272" s="93">
        <v>1.74729755407326</v>
      </c>
      <c r="MW272" s="93">
        <v>0</v>
      </c>
      <c r="MX272" s="93">
        <v>59.040934661073258</v>
      </c>
      <c r="MY272" s="93">
        <v>59.042219966073262</v>
      </c>
      <c r="MZ272" s="93">
        <v>51.616286682999998</v>
      </c>
      <c r="NA272" s="93">
        <v>46.714318204999998</v>
      </c>
      <c r="NB272" s="93">
        <v>0.71596597999999989</v>
      </c>
      <c r="NC272" s="93">
        <v>0.42024277300000007</v>
      </c>
      <c r="ND272" s="93">
        <v>0</v>
      </c>
      <c r="NE272" s="93">
        <v>0.42024277300000007</v>
      </c>
      <c r="NF272" s="93">
        <v>3.7657597249999997</v>
      </c>
      <c r="NG272" s="93">
        <v>0</v>
      </c>
      <c r="NH272" s="93">
        <v>0</v>
      </c>
      <c r="NI272" s="93">
        <v>0</v>
      </c>
      <c r="NJ272" s="93">
        <v>0</v>
      </c>
      <c r="NK272" s="93">
        <v>7.4259332830732605</v>
      </c>
      <c r="NL272" s="93">
        <v>1.0999999999999999E-2</v>
      </c>
      <c r="NM272" s="93">
        <v>0</v>
      </c>
      <c r="NN272" s="93">
        <v>7.4149332830732604</v>
      </c>
      <c r="NO272" s="93">
        <v>-1.2853049999997019E-3</v>
      </c>
      <c r="NP272" s="93">
        <v>57.03311575779999</v>
      </c>
      <c r="NQ272" s="93">
        <v>55.285818203726734</v>
      </c>
      <c r="NR272" s="93">
        <v>63.1209942598</v>
      </c>
      <c r="NS272" s="93">
        <v>62.700751486799994</v>
      </c>
      <c r="NT272" s="93">
        <v>-40.728530827200075</v>
      </c>
      <c r="NU272" s="93">
        <v>-42.475828381273338</v>
      </c>
      <c r="NV272" s="93">
        <v>45.497646918000001</v>
      </c>
      <c r="NW272" s="93">
        <v>4.9731796860000008</v>
      </c>
      <c r="NX272" s="93">
        <v>5.6676357290000006</v>
      </c>
      <c r="NY272" s="93">
        <v>-0.69445604299999997</v>
      </c>
      <c r="NZ272" s="93">
        <v>0</v>
      </c>
      <c r="OA272" s="93">
        <v>40.524467231999992</v>
      </c>
      <c r="OB272" s="93">
        <v>40.524467231999992</v>
      </c>
      <c r="OC272" s="93">
        <v>0</v>
      </c>
      <c r="OD272" s="20">
        <v>0</v>
      </c>
      <c r="OE272" s="29">
        <v>205</v>
      </c>
      <c r="OF272" s="1504">
        <v>42736</v>
      </c>
      <c r="OG272" s="19"/>
      <c r="OH272" s="93">
        <v>267.82942532800001</v>
      </c>
      <c r="OI272" s="93">
        <v>1296.6336426812118</v>
      </c>
      <c r="OJ272" s="93">
        <v>0.498113368</v>
      </c>
      <c r="OK272" s="93">
        <v>1113.5094989472118</v>
      </c>
      <c r="OL272" s="93">
        <v>182.62603036599998</v>
      </c>
      <c r="OM272" s="93">
        <v>1564.4630680092118</v>
      </c>
      <c r="ON272" s="93">
        <v>1194.997281004124</v>
      </c>
      <c r="OO272" s="93">
        <v>2759.4603490133359</v>
      </c>
      <c r="OP272" s="93"/>
      <c r="OQ272" s="93">
        <v>925.67964595162471</v>
      </c>
      <c r="OR272" s="93">
        <v>-194.69075469200004</v>
      </c>
      <c r="OS272" s="93">
        <v>1120.3704006436249</v>
      </c>
      <c r="OT272" s="93">
        <v>2101.6625192667107</v>
      </c>
      <c r="OU272" s="93">
        <v>-67.813989691000018</v>
      </c>
      <c r="OV272" s="93">
        <v>-144.21298969100002</v>
      </c>
      <c r="OW272" s="93">
        <v>76.399000000000001</v>
      </c>
      <c r="OX272" s="93">
        <v>2169.4765089577108</v>
      </c>
      <c r="OY272" s="93">
        <v>4.2696974179999998</v>
      </c>
      <c r="OZ272" s="93">
        <v>2165.206811539711</v>
      </c>
      <c r="PA272" s="93">
        <v>475.96506255000003</v>
      </c>
      <c r="PB272" s="93">
        <v>-208.08324634499999</v>
      </c>
      <c r="PC272" s="20">
        <v>2759.4603490133354</v>
      </c>
      <c r="PD272" s="29">
        <v>205</v>
      </c>
      <c r="PE272" s="19"/>
      <c r="PF272" s="93">
        <v>-194.69075469200004</v>
      </c>
      <c r="PG272" s="93">
        <v>640.80695479099995</v>
      </c>
      <c r="PH272" s="93">
        <v>835.49770948299999</v>
      </c>
      <c r="PI272" s="93">
        <v>851.525960016</v>
      </c>
      <c r="PJ272" s="93">
        <v>-136.04505787800002</v>
      </c>
      <c r="PK272" s="93">
        <v>134.60212120599999</v>
      </c>
      <c r="PL272" s="93">
        <v>270.64717908400002</v>
      </c>
      <c r="PM272" s="93">
        <v>4.2696974179999998</v>
      </c>
      <c r="PN272" s="93">
        <v>0.6</v>
      </c>
      <c r="PO272" s="93">
        <v>0</v>
      </c>
      <c r="PP272" s="93">
        <v>4.0856200000000001E-4</v>
      </c>
      <c r="PQ272" s="93">
        <v>3.6692888560000001</v>
      </c>
      <c r="PR272" s="93">
        <v>509.05170203</v>
      </c>
      <c r="PS272" s="93">
        <v>332.94435714100001</v>
      </c>
      <c r="PT272" s="93">
        <v>175.28266375300001</v>
      </c>
      <c r="PU272" s="93">
        <v>0.82468113599999993</v>
      </c>
      <c r="PV272" s="93">
        <v>0</v>
      </c>
      <c r="PW272" s="93">
        <v>1.29989906</v>
      </c>
      <c r="PX272" s="93">
        <v>0</v>
      </c>
      <c r="PY272" s="93">
        <v>0</v>
      </c>
      <c r="PZ272" s="93">
        <v>1.29989906</v>
      </c>
      <c r="QA272" s="93">
        <v>0</v>
      </c>
      <c r="QB272" s="93">
        <v>0</v>
      </c>
      <c r="QC272" s="93">
        <v>0</v>
      </c>
      <c r="QD272" s="93">
        <v>2.2131634900000003</v>
      </c>
      <c r="QE272" s="20">
        <v>12.495080283999986</v>
      </c>
      <c r="QF272" s="1739">
        <v>205</v>
      </c>
      <c r="QG272" s="19"/>
      <c r="QH272" s="1035">
        <v>1120.3704006436249</v>
      </c>
      <c r="QI272" s="1035">
        <v>1592.1611884602889</v>
      </c>
      <c r="QJ272" s="1035">
        <v>-471.79078781666414</v>
      </c>
      <c r="QK272" s="1035">
        <v>228.583</v>
      </c>
      <c r="QL272" s="1035">
        <v>56.947000000000003</v>
      </c>
      <c r="QM272" s="1035">
        <v>171.636</v>
      </c>
      <c r="QN272" s="1035">
        <v>0</v>
      </c>
      <c r="QO272" s="1035">
        <v>76.399000000000001</v>
      </c>
      <c r="QP272" s="1035">
        <v>366.12200000000001</v>
      </c>
      <c r="QQ272" s="1035">
        <v>-289.72300000000001</v>
      </c>
      <c r="QR272" s="1035">
        <v>2165.206811539711</v>
      </c>
      <c r="QS272" s="1035">
        <v>26.32520907476837</v>
      </c>
      <c r="QT272" s="1035">
        <v>0</v>
      </c>
      <c r="QU272" s="1035">
        <v>165.50300000000001</v>
      </c>
      <c r="QV272" s="1035">
        <v>1973.3786024649426</v>
      </c>
      <c r="QW272" s="93"/>
      <c r="QX272" s="93">
        <v>773.26900000000001</v>
      </c>
      <c r="QY272" s="93">
        <v>1113.5094989472118</v>
      </c>
      <c r="QZ272" s="93">
        <v>1194.6707132361241</v>
      </c>
      <c r="RA272" s="93">
        <v>0</v>
      </c>
      <c r="RB272" s="93">
        <v>59.832999999999998</v>
      </c>
      <c r="RC272" s="93">
        <v>2.4670000000000001</v>
      </c>
      <c r="RD272" s="93">
        <v>23.615000000000002</v>
      </c>
      <c r="RE272" s="93">
        <v>0</v>
      </c>
      <c r="RF272" s="93">
        <v>0</v>
      </c>
      <c r="RG272" s="93">
        <v>386.53700000000003</v>
      </c>
      <c r="RH272" s="93">
        <v>36.658000000000015</v>
      </c>
      <c r="RI272" s="93"/>
      <c r="RJ272" s="93"/>
      <c r="RK272" s="93"/>
      <c r="RL272" s="93"/>
      <c r="RM272" s="734"/>
      <c r="RN272" s="29">
        <v>205</v>
      </c>
      <c r="RO272" s="19">
        <v>53</v>
      </c>
      <c r="RP272" s="20">
        <v>262</v>
      </c>
      <c r="RQ272" s="29">
        <v>205</v>
      </c>
      <c r="RR272" s="734">
        <v>3.3532337699999997</v>
      </c>
      <c r="RS272" s="29">
        <v>205</v>
      </c>
      <c r="RT272" s="1504">
        <v>42736</v>
      </c>
      <c r="RU272" s="19">
        <v>720</v>
      </c>
      <c r="RV272" s="20">
        <v>19</v>
      </c>
      <c r="RW272" s="29">
        <v>205</v>
      </c>
      <c r="RX272" s="1504">
        <v>42736</v>
      </c>
      <c r="RY272" s="29"/>
      <c r="RZ272" s="734"/>
      <c r="SA272" s="29"/>
      <c r="SB272" s="29">
        <v>205</v>
      </c>
    </row>
    <row r="273" spans="1:496">
      <c r="A273" s="41">
        <f t="shared" si="238"/>
        <v>2017</v>
      </c>
      <c r="B273" s="1504">
        <v>42767</v>
      </c>
      <c r="C273" s="1813">
        <v>2559</v>
      </c>
      <c r="D273" s="1814">
        <v>31514</v>
      </c>
      <c r="E273" s="1814">
        <v>155</v>
      </c>
      <c r="F273" s="1815">
        <v>363</v>
      </c>
      <c r="G273" s="1814">
        <v>82243</v>
      </c>
      <c r="H273" s="1814">
        <v>63</v>
      </c>
      <c r="I273" s="1814">
        <v>35300</v>
      </c>
      <c r="J273" s="1816">
        <v>18261</v>
      </c>
      <c r="K273" s="1807">
        <v>170458</v>
      </c>
      <c r="L273" s="25">
        <v>206</v>
      </c>
      <c r="M273" s="97"/>
      <c r="N273" s="1504">
        <v>42767</v>
      </c>
      <c r="O273" s="19">
        <v>741</v>
      </c>
      <c r="P273" s="93">
        <v>871</v>
      </c>
      <c r="Q273" s="93">
        <v>3114</v>
      </c>
      <c r="R273" s="93">
        <v>2275</v>
      </c>
      <c r="S273" s="93">
        <v>1312</v>
      </c>
      <c r="T273" s="93">
        <v>803</v>
      </c>
      <c r="U273" s="93">
        <v>473</v>
      </c>
      <c r="V273" s="93">
        <v>1443</v>
      </c>
      <c r="W273" s="93">
        <v>3262</v>
      </c>
      <c r="X273" s="93">
        <v>800</v>
      </c>
      <c r="Y273" s="93">
        <v>213</v>
      </c>
      <c r="Z273" s="93">
        <v>1486</v>
      </c>
      <c r="AA273" s="93">
        <v>683</v>
      </c>
      <c r="AB273" s="132">
        <v>17476</v>
      </c>
      <c r="AC273" s="25">
        <v>206</v>
      </c>
      <c r="AD273" s="97"/>
      <c r="AE273" s="1504">
        <v>42767</v>
      </c>
      <c r="AF273" s="19">
        <v>1909</v>
      </c>
      <c r="AG273" s="93">
        <v>912</v>
      </c>
      <c r="AH273" s="93">
        <v>1980</v>
      </c>
      <c r="AI273" s="93">
        <v>3025</v>
      </c>
      <c r="AJ273" s="93">
        <v>2252</v>
      </c>
      <c r="AK273" s="93">
        <v>2007</v>
      </c>
      <c r="AL273" s="93">
        <v>740</v>
      </c>
      <c r="AM273" s="93">
        <v>2058</v>
      </c>
      <c r="AN273" s="93">
        <v>3794</v>
      </c>
      <c r="AO273" s="93">
        <v>1811</v>
      </c>
      <c r="AP273" s="93">
        <v>663</v>
      </c>
      <c r="AQ273" s="93">
        <v>2707</v>
      </c>
      <c r="AR273" s="93">
        <v>688</v>
      </c>
      <c r="AS273" s="20">
        <v>24546</v>
      </c>
      <c r="AT273" s="25">
        <v>206</v>
      </c>
      <c r="AU273" s="97"/>
      <c r="AV273" s="1504">
        <v>42767</v>
      </c>
      <c r="AW273" s="19">
        <v>8781</v>
      </c>
      <c r="AX273" s="93">
        <v>3168</v>
      </c>
      <c r="AY273" s="93">
        <v>3454</v>
      </c>
      <c r="AZ273" s="93">
        <v>10691</v>
      </c>
      <c r="BA273" s="93">
        <v>7538</v>
      </c>
      <c r="BB273" s="93">
        <v>6550</v>
      </c>
      <c r="BC273" s="93">
        <v>2843</v>
      </c>
      <c r="BD273" s="93">
        <v>7888</v>
      </c>
      <c r="BE273" s="93">
        <v>9464</v>
      </c>
      <c r="BF273" s="93">
        <v>5637</v>
      </c>
      <c r="BG273" s="93">
        <v>3066</v>
      </c>
      <c r="BH273" s="93">
        <v>10116</v>
      </c>
      <c r="BI273" s="93">
        <v>2370</v>
      </c>
      <c r="BJ273" s="20">
        <v>81566</v>
      </c>
      <c r="BK273" s="25">
        <v>206</v>
      </c>
      <c r="BL273" s="97"/>
      <c r="BM273" s="1504">
        <v>42767</v>
      </c>
      <c r="BN273" s="19">
        <v>96.64500000000001</v>
      </c>
      <c r="BO273" s="93">
        <v>1577.8189999999997</v>
      </c>
      <c r="BP273" s="93">
        <v>7.6800000000000006</v>
      </c>
      <c r="BQ273" s="93">
        <v>591.85600000000011</v>
      </c>
      <c r="BR273" s="93">
        <v>4.8959999999999999</v>
      </c>
      <c r="BS273" s="93">
        <v>221.553</v>
      </c>
      <c r="BT273" s="93">
        <v>374.20800000000003</v>
      </c>
      <c r="BU273" s="132">
        <v>2874.6570000000002</v>
      </c>
      <c r="BV273" s="25">
        <v>206</v>
      </c>
      <c r="BW273" s="97"/>
      <c r="BX273" s="1504">
        <v>42767</v>
      </c>
      <c r="BY273" s="179">
        <v>616.32716339377987</v>
      </c>
      <c r="BZ273" s="99">
        <v>664.95699999999999</v>
      </c>
      <c r="CA273" s="99">
        <v>615.34427767354589</v>
      </c>
      <c r="CB273" s="99">
        <v>47.490099547511313</v>
      </c>
      <c r="CC273" s="99">
        <v>137.95894285714286</v>
      </c>
      <c r="CD273" s="25">
        <v>206</v>
      </c>
      <c r="CE273" s="97"/>
      <c r="CF273" s="1504">
        <v>42767</v>
      </c>
      <c r="CG273" s="1508">
        <v>1.8772339300000001</v>
      </c>
      <c r="CH273" s="568">
        <v>1234.2</v>
      </c>
      <c r="CI273" s="1708">
        <v>54.353333333333303</v>
      </c>
      <c r="CJ273" s="1509">
        <v>55.49</v>
      </c>
      <c r="CK273" s="1508">
        <v>348.75</v>
      </c>
      <c r="CL273" s="568">
        <v>162.8575424</v>
      </c>
      <c r="CM273" s="568">
        <v>0.44731739799999998</v>
      </c>
      <c r="CN273" s="568">
        <v>0.34749249599999998</v>
      </c>
      <c r="CO273" s="568">
        <v>155.05828740000001</v>
      </c>
      <c r="CP273" s="1509">
        <v>4.2262565399999996</v>
      </c>
      <c r="CQ273" s="1708">
        <v>1366.87</v>
      </c>
      <c r="CR273" s="568">
        <v>3.06</v>
      </c>
      <c r="CS273" s="568">
        <v>2.7088999999999999</v>
      </c>
      <c r="CT273" s="568">
        <v>95</v>
      </c>
      <c r="CU273" s="568">
        <v>89.44</v>
      </c>
      <c r="CV273" s="1709">
        <v>2845.55</v>
      </c>
      <c r="CW273" s="29">
        <v>206</v>
      </c>
      <c r="CX273" s="41">
        <f t="shared" si="239"/>
        <v>2017</v>
      </c>
      <c r="CY273" s="1504">
        <v>42767</v>
      </c>
      <c r="CZ273" s="1916">
        <v>107.22360379858121</v>
      </c>
      <c r="DA273" s="1526">
        <v>58.768616798581206</v>
      </c>
      <c r="DB273" s="1526">
        <v>48.454987000000003</v>
      </c>
      <c r="DC273" s="182">
        <f t="shared" si="255"/>
        <v>628111</v>
      </c>
      <c r="DD273" s="182">
        <f t="shared" si="256"/>
        <v>626374</v>
      </c>
      <c r="DE273" s="182">
        <f t="shared" si="257"/>
        <v>1737</v>
      </c>
      <c r="DF273" s="29">
        <v>206</v>
      </c>
      <c r="DG273" s="1504">
        <v>42767</v>
      </c>
      <c r="DH273" s="181">
        <v>358626</v>
      </c>
      <c r="DI273" s="182"/>
      <c r="DJ273" s="182"/>
      <c r="DK273" s="182"/>
      <c r="DL273" s="182"/>
      <c r="DM273" s="182"/>
      <c r="DN273" s="290"/>
      <c r="DO273" s="295"/>
      <c r="DP273" s="29">
        <v>206</v>
      </c>
      <c r="DQ273" s="1504">
        <v>42767</v>
      </c>
      <c r="DR273" s="19"/>
      <c r="DS273" s="93"/>
      <c r="DT273" s="93"/>
      <c r="DU273" s="93"/>
      <c r="DV273" s="93"/>
      <c r="DW273" s="93"/>
      <c r="DX273" s="1719"/>
      <c r="DY273" s="29">
        <v>206</v>
      </c>
      <c r="DZ273" s="1504">
        <v>42767</v>
      </c>
      <c r="EA273" s="19"/>
      <c r="EB273" s="93"/>
      <c r="EC273" s="20"/>
      <c r="ED273" s="29"/>
      <c r="EE273" s="1504">
        <v>42767</v>
      </c>
      <c r="EF273" s="179">
        <v>20426</v>
      </c>
      <c r="EG273" s="99">
        <v>20612</v>
      </c>
      <c r="EH273" s="99">
        <v>41038</v>
      </c>
      <c r="EI273" s="221">
        <v>4880</v>
      </c>
      <c r="EJ273" s="99">
        <v>525.30200000000002</v>
      </c>
      <c r="EK273" s="99">
        <v>329.54</v>
      </c>
      <c r="EL273" s="99">
        <v>6.8140000000000001</v>
      </c>
      <c r="EM273" s="99">
        <v>10.404999999999999</v>
      </c>
      <c r="EN273" s="132">
        <v>872.06100000000004</v>
      </c>
      <c r="EO273" s="29">
        <v>206</v>
      </c>
      <c r="EP273" s="1504">
        <v>42767</v>
      </c>
      <c r="EQ273" s="19">
        <v>19197</v>
      </c>
      <c r="ER273" s="93">
        <v>19252</v>
      </c>
      <c r="ES273" s="93">
        <v>38449</v>
      </c>
      <c r="ET273" s="214">
        <v>4469</v>
      </c>
      <c r="EU273" s="93">
        <v>525.30200000000002</v>
      </c>
      <c r="EV273" s="93">
        <v>329.54</v>
      </c>
      <c r="EW273" s="93">
        <v>6.8120000000000003</v>
      </c>
      <c r="EX273" s="93">
        <v>10.404999999999999</v>
      </c>
      <c r="EY273" s="20">
        <v>872.05900000000008</v>
      </c>
      <c r="EZ273" s="29">
        <v>206</v>
      </c>
      <c r="FA273" s="1504">
        <v>42767</v>
      </c>
      <c r="FB273" s="29">
        <v>1229</v>
      </c>
      <c r="FC273" s="29">
        <v>1360</v>
      </c>
      <c r="FD273" s="29">
        <v>2589</v>
      </c>
      <c r="FE273" s="29">
        <v>411</v>
      </c>
      <c r="FF273" s="29">
        <v>0</v>
      </c>
      <c r="FG273" s="29">
        <v>0</v>
      </c>
      <c r="FH273" s="29">
        <v>2E-3</v>
      </c>
      <c r="FI273" s="29">
        <v>0</v>
      </c>
      <c r="FJ273" s="29">
        <v>2E-3</v>
      </c>
      <c r="FK273" s="29">
        <v>206</v>
      </c>
      <c r="FL273" s="1504">
        <v>42767</v>
      </c>
      <c r="FM273" s="19">
        <v>101.19</v>
      </c>
      <c r="FN273" s="93">
        <v>100.33</v>
      </c>
      <c r="FO273" s="93">
        <v>107.14</v>
      </c>
      <c r="FP273" s="93">
        <v>99.52</v>
      </c>
      <c r="FQ273" s="93">
        <v>111.49</v>
      </c>
      <c r="FR273" s="93">
        <v>99.66</v>
      </c>
      <c r="FS273" s="93">
        <v>100.26</v>
      </c>
      <c r="FT273" s="93">
        <v>96.3</v>
      </c>
      <c r="FU273" s="93">
        <v>110.74</v>
      </c>
      <c r="FV273" s="93">
        <v>104.2</v>
      </c>
      <c r="FW273" s="93">
        <v>101.76</v>
      </c>
      <c r="FX273" s="93">
        <v>99.89</v>
      </c>
      <c r="FY273" s="93">
        <v>99.83</v>
      </c>
      <c r="FZ273" s="29">
        <v>206</v>
      </c>
      <c r="GA273" s="1504">
        <v>42767</v>
      </c>
      <c r="GB273" s="19">
        <v>101.19</v>
      </c>
      <c r="GC273" s="93">
        <v>103.93</v>
      </c>
      <c r="GD273" s="93">
        <v>100.43</v>
      </c>
      <c r="GE273" s="93">
        <v>90.18</v>
      </c>
      <c r="GF273" s="93">
        <v>100.26</v>
      </c>
      <c r="GG273" s="99">
        <v>103.43</v>
      </c>
      <c r="GH273" s="93">
        <v>100.69</v>
      </c>
      <c r="GI273" s="93">
        <v>103.26</v>
      </c>
      <c r="GJ273" s="93">
        <v>101.52</v>
      </c>
      <c r="GK273" s="93">
        <v>99.98</v>
      </c>
      <c r="GL273" s="93">
        <v>99.87</v>
      </c>
      <c r="GM273" s="93">
        <v>111.36</v>
      </c>
      <c r="GN273" s="20">
        <v>101.52</v>
      </c>
      <c r="GO273" s="29">
        <v>206</v>
      </c>
      <c r="GP273" s="1504">
        <v>42767</v>
      </c>
      <c r="GQ273" s="181">
        <v>260.65687649173901</v>
      </c>
      <c r="GR273" s="182">
        <v>216.399688948164</v>
      </c>
      <c r="GS273" s="182">
        <v>237.54666538994701</v>
      </c>
      <c r="GT273" s="182">
        <v>183.57466220043</v>
      </c>
      <c r="GU273" s="182">
        <v>408.01226480865</v>
      </c>
      <c r="GV273" s="290">
        <v>802.10649364283404</v>
      </c>
      <c r="GW273" s="181">
        <v>415.86585964166102</v>
      </c>
      <c r="GX273" s="182">
        <v>426.96027052388001</v>
      </c>
      <c r="GY273" s="182">
        <v>351.13684776270298</v>
      </c>
      <c r="GZ273" s="182">
        <v>251.843685626564</v>
      </c>
      <c r="HA273" s="182">
        <v>169.44644255899101</v>
      </c>
      <c r="HB273" s="290">
        <v>888.88577627023994</v>
      </c>
      <c r="HC273" s="181">
        <v>1932.92812998979</v>
      </c>
      <c r="HD273" s="182">
        <v>2024.4054948518101</v>
      </c>
      <c r="HE273" s="182">
        <v>2009.1910199167601</v>
      </c>
      <c r="HF273" s="182">
        <v>3150</v>
      </c>
      <c r="HG273" s="182">
        <v>2418.3535862418798</v>
      </c>
      <c r="HH273" s="290">
        <v>2653.0726263467</v>
      </c>
      <c r="HI273" s="19"/>
      <c r="HJ273" s="182">
        <v>831.326136574153</v>
      </c>
      <c r="HK273" s="182">
        <v>1465.08841510456</v>
      </c>
      <c r="HL273" s="182">
        <v>836.26278610997701</v>
      </c>
      <c r="HM273" s="182">
        <v>800</v>
      </c>
      <c r="HN273" s="290">
        <v>2837.8214185505999</v>
      </c>
      <c r="HO273" s="324">
        <v>140.21928845657001</v>
      </c>
      <c r="HP273" s="290">
        <v>100.17743463654899</v>
      </c>
      <c r="HQ273" s="295">
        <v>160.649830989733</v>
      </c>
      <c r="HR273" s="29">
        <v>206</v>
      </c>
      <c r="HS273" s="1504">
        <v>42767</v>
      </c>
      <c r="HT273" s="179">
        <v>207.52687835693359</v>
      </c>
      <c r="HU273" s="99">
        <v>234.375</v>
      </c>
      <c r="HV273" s="99">
        <v>171.1783332824707</v>
      </c>
      <c r="HW273" s="99">
        <v>105.76923370361328</v>
      </c>
      <c r="HX273" s="99">
        <v>188.88888549804688</v>
      </c>
      <c r="HY273" s="99">
        <v>197.91666603088379</v>
      </c>
      <c r="HZ273" s="99">
        <v>201.26900100708008</v>
      </c>
      <c r="IA273" s="132">
        <v>186.27451171875001</v>
      </c>
      <c r="IB273" s="179">
        <v>185.76902008056641</v>
      </c>
      <c r="IC273" s="99">
        <v>142.95212650299072</v>
      </c>
      <c r="ID273" s="99">
        <v>172.61904907226563</v>
      </c>
      <c r="IE273" s="99">
        <v>145.76676940917969</v>
      </c>
      <c r="IF273" s="99">
        <v>197.22222391764322</v>
      </c>
      <c r="IG273" s="132">
        <v>144.16666793823242</v>
      </c>
      <c r="IH273" s="179">
        <v>121.46841430664063</v>
      </c>
      <c r="II273" s="99">
        <v>188.59649658203125</v>
      </c>
      <c r="IJ273" s="99">
        <v>135.1351318359375</v>
      </c>
      <c r="IK273" s="99">
        <v>153.42961120605469</v>
      </c>
      <c r="IL273" s="99">
        <v>138.88888549804688</v>
      </c>
      <c r="IM273" s="99">
        <v>134.19354858398438</v>
      </c>
      <c r="IN273" s="99">
        <v>159.01060485839844</v>
      </c>
      <c r="IO273" s="132">
        <v>149.76407241821289</v>
      </c>
      <c r="IP273" s="29">
        <v>206</v>
      </c>
      <c r="IQ273" s="179">
        <v>153.76681518554688</v>
      </c>
      <c r="IR273" s="99">
        <v>99.637680053710938</v>
      </c>
      <c r="IS273" s="99">
        <v>127.1551628112793</v>
      </c>
      <c r="IT273" s="99">
        <v>106.79611778259277</v>
      </c>
      <c r="IU273" s="99">
        <v>152.34375</v>
      </c>
      <c r="IV273" s="132">
        <v>115.60693359375</v>
      </c>
      <c r="IW273" s="29">
        <v>206</v>
      </c>
      <c r="IX273" s="179">
        <v>370.96774291992188</v>
      </c>
      <c r="IY273" s="99">
        <v>364.58334350585938</v>
      </c>
      <c r="IZ273" s="99">
        <v>425</v>
      </c>
      <c r="JA273" s="99">
        <v>375</v>
      </c>
      <c r="JB273" s="99">
        <v>390</v>
      </c>
      <c r="JC273" s="99">
        <v>400</v>
      </c>
      <c r="JD273" s="100">
        <f t="shared" si="258"/>
        <v>340</v>
      </c>
      <c r="JE273" s="132">
        <v>400</v>
      </c>
      <c r="JF273" s="29">
        <v>206</v>
      </c>
      <c r="JG273" s="179">
        <v>143.07432174682617</v>
      </c>
      <c r="JH273" s="99">
        <v>188.59649658203125</v>
      </c>
      <c r="JI273" s="99">
        <v>136.65595245361328</v>
      </c>
      <c r="JJ273" s="99">
        <v>120</v>
      </c>
      <c r="JK273" s="99">
        <v>167.22783915201822</v>
      </c>
      <c r="JL273" s="99">
        <v>157.43573760986328</v>
      </c>
      <c r="JM273" s="99">
        <v>175.74257278442383</v>
      </c>
      <c r="JN273" s="132">
        <v>185.11065673828125</v>
      </c>
      <c r="JO273" s="29">
        <v>206</v>
      </c>
      <c r="JP273" s="179">
        <v>175.07764053344727</v>
      </c>
      <c r="JQ273" s="99">
        <v>101.52284240722656</v>
      </c>
      <c r="JR273" s="99">
        <v>165.94826507568359</v>
      </c>
      <c r="JS273" s="99"/>
      <c r="JT273" s="99">
        <v>166.66666666666666</v>
      </c>
      <c r="JU273" s="132">
        <v>117.11229705810547</v>
      </c>
      <c r="JV273" s="29">
        <v>206</v>
      </c>
      <c r="JW273" s="1504">
        <v>42767</v>
      </c>
      <c r="JX273" s="179"/>
      <c r="JY273" s="100">
        <f t="shared" si="259"/>
        <v>295.31946995279111</v>
      </c>
      <c r="JZ273" s="99">
        <v>276.14583333333331</v>
      </c>
      <c r="KA273" s="99">
        <v>251.875</v>
      </c>
      <c r="KB273" s="99">
        <v>204.21666666666667</v>
      </c>
      <c r="KC273" s="99">
        <v>303.75</v>
      </c>
      <c r="KD273" s="132">
        <v>267.26666666666671</v>
      </c>
      <c r="KE273" s="29">
        <v>206</v>
      </c>
      <c r="KF273" s="179"/>
      <c r="KG273" s="99">
        <v>43.184210526315788</v>
      </c>
      <c r="KH273" s="99">
        <v>41.34375</v>
      </c>
      <c r="KI273" s="99">
        <v>43.266666666666666</v>
      </c>
      <c r="KJ273" s="99">
        <v>58.208333333333336</v>
      </c>
      <c r="KK273" s="132">
        <v>79.201388888888886</v>
      </c>
      <c r="KL273" s="29">
        <v>206</v>
      </c>
      <c r="KM273" s="100">
        <f t="shared" si="253"/>
        <v>19.042678410203116</v>
      </c>
      <c r="KN273" s="99">
        <v>17.68181818181818</v>
      </c>
      <c r="KO273" s="99">
        <v>28.9375</v>
      </c>
      <c r="KP273" s="99">
        <v>35.663265306122447</v>
      </c>
      <c r="KQ273" s="99">
        <v>32.975000000000001</v>
      </c>
      <c r="KR273" s="132">
        <v>33.572916666666664</v>
      </c>
      <c r="KS273" s="29">
        <v>206</v>
      </c>
      <c r="KT273" s="100">
        <f t="shared" si="254"/>
        <v>29.480221749628669</v>
      </c>
      <c r="KU273" s="99">
        <v>23.270833333333332</v>
      </c>
      <c r="KV273" s="99">
        <v>25.8125</v>
      </c>
      <c r="KW273" s="99">
        <v>25.604166666666668</v>
      </c>
      <c r="KX273" s="99">
        <v>25.166666666666668</v>
      </c>
      <c r="KY273" s="132">
        <v>29.893939393939391</v>
      </c>
      <c r="KZ273" s="29">
        <v>206</v>
      </c>
      <c r="LA273" s="1504">
        <v>42767</v>
      </c>
      <c r="LB273" s="19">
        <v>380</v>
      </c>
      <c r="LC273" s="93">
        <v>610</v>
      </c>
      <c r="LD273" s="93">
        <v>602</v>
      </c>
      <c r="LE273" s="93"/>
      <c r="LF273" s="93">
        <v>526</v>
      </c>
      <c r="LG273" s="93"/>
      <c r="LH273" s="20"/>
      <c r="LI273" s="29">
        <v>206</v>
      </c>
      <c r="LJ273" s="19"/>
      <c r="LK273" s="93"/>
      <c r="LL273" s="93"/>
      <c r="LM273" s="93"/>
      <c r="LN273" s="93"/>
      <c r="LO273" s="20"/>
      <c r="LP273" s="29">
        <v>206</v>
      </c>
      <c r="LQ273" s="19"/>
      <c r="LR273" s="93"/>
      <c r="LS273" s="93"/>
      <c r="LT273" s="93"/>
      <c r="LU273" s="93"/>
      <c r="LV273" s="93"/>
      <c r="LW273" s="93"/>
      <c r="LX273" s="93"/>
      <c r="LY273" s="93"/>
      <c r="LZ273" s="93"/>
      <c r="MA273" s="20"/>
      <c r="MB273" s="29">
        <v>206</v>
      </c>
      <c r="MC273" s="1504">
        <v>42767</v>
      </c>
      <c r="MD273" s="19">
        <v>208.99343718725075</v>
      </c>
      <c r="ME273" s="93">
        <v>203.621522825</v>
      </c>
      <c r="MF273" s="93">
        <v>203.621522825</v>
      </c>
      <c r="MG273" s="93">
        <v>186.50950068999998</v>
      </c>
      <c r="MH273" s="93">
        <v>53.285389758000008</v>
      </c>
      <c r="MI273" s="93">
        <v>1.6345043579999998</v>
      </c>
      <c r="MJ273" s="93">
        <v>1.557087457</v>
      </c>
      <c r="MK273" s="93">
        <v>102.88318517000002</v>
      </c>
      <c r="ML273" s="93">
        <v>24.557546266999999</v>
      </c>
      <c r="MM273" s="93">
        <v>2.5917876799999999</v>
      </c>
      <c r="MN273" s="93">
        <v>17.112022135</v>
      </c>
      <c r="MO273" s="93">
        <v>0.55134761199999993</v>
      </c>
      <c r="MP273" s="93">
        <v>5.9534279889999997</v>
      </c>
      <c r="MQ273" s="93">
        <v>0.18087639100000003</v>
      </c>
      <c r="MR273" s="93">
        <v>4.1032590000000006E-3</v>
      </c>
      <c r="MS273" s="93">
        <v>10.422266883999999</v>
      </c>
      <c r="MT273" s="93">
        <v>0</v>
      </c>
      <c r="MU273" s="93">
        <v>5.3719143622507604</v>
      </c>
      <c r="MV273" s="93">
        <v>5.3719143622507604</v>
      </c>
      <c r="MW273" s="93">
        <v>0</v>
      </c>
      <c r="MX273" s="93">
        <v>126.9230656815006</v>
      </c>
      <c r="MY273" s="93">
        <v>126.92760310250061</v>
      </c>
      <c r="MZ273" s="93">
        <v>108.97803066224985</v>
      </c>
      <c r="NA273" s="93">
        <v>91.714318204999998</v>
      </c>
      <c r="NB273" s="93">
        <v>1.418263184</v>
      </c>
      <c r="NC273" s="93">
        <v>1.1467650052498528</v>
      </c>
      <c r="ND273" s="93">
        <v>0</v>
      </c>
      <c r="NE273" s="93">
        <v>1.1467650052498528</v>
      </c>
      <c r="NF273" s="93">
        <v>14.698684267999999</v>
      </c>
      <c r="NG273" s="93">
        <v>0</v>
      </c>
      <c r="NH273" s="93">
        <v>0.3</v>
      </c>
      <c r="NI273" s="93">
        <v>5.4316115289999987</v>
      </c>
      <c r="NJ273" s="93">
        <v>0</v>
      </c>
      <c r="NK273" s="93">
        <v>17.949572440250758</v>
      </c>
      <c r="NL273" s="93">
        <v>1.6239741000000001</v>
      </c>
      <c r="NM273" s="93">
        <v>0</v>
      </c>
      <c r="NN273" s="93">
        <v>16.32559834025076</v>
      </c>
      <c r="NO273" s="93">
        <v>-4.5374210000038145E-3</v>
      </c>
      <c r="NP273" s="93">
        <v>82.07037150575016</v>
      </c>
      <c r="NQ273" s="93">
        <v>76.698457143499397</v>
      </c>
      <c r="NR273" s="93">
        <v>94.170820489000022</v>
      </c>
      <c r="NS273" s="93">
        <v>93.024055483750175</v>
      </c>
      <c r="NT273" s="93">
        <v>-96.58710388224992</v>
      </c>
      <c r="NU273" s="93">
        <v>-101.95901824450067</v>
      </c>
      <c r="NV273" s="93">
        <v>108.72019780756858</v>
      </c>
      <c r="NW273" s="93">
        <v>7.7111157605685596</v>
      </c>
      <c r="NX273" s="93">
        <v>10.953683978000001</v>
      </c>
      <c r="NY273" s="93">
        <v>-3.2425682174314421</v>
      </c>
      <c r="NZ273" s="93">
        <v>0</v>
      </c>
      <c r="OA273" s="93">
        <v>101.00908204700002</v>
      </c>
      <c r="OB273" s="93">
        <v>92.76381561700002</v>
      </c>
      <c r="OC273" s="93">
        <v>8.2452664299999991</v>
      </c>
      <c r="OD273" s="20">
        <v>0</v>
      </c>
      <c r="OE273" s="29">
        <v>206</v>
      </c>
      <c r="OF273" s="1504">
        <v>42767</v>
      </c>
      <c r="OG273" s="19"/>
      <c r="OH273" s="93">
        <v>335.25467592487905</v>
      </c>
      <c r="OI273" s="93">
        <v>1336.0210260600559</v>
      </c>
      <c r="OJ273" s="93">
        <v>0.33139541</v>
      </c>
      <c r="OK273" s="93">
        <v>1149.034689561056</v>
      </c>
      <c r="OL273" s="93">
        <v>186.654941089</v>
      </c>
      <c r="OM273" s="93">
        <v>1671.275701984935</v>
      </c>
      <c r="ON273" s="93">
        <v>1251.5053333482858</v>
      </c>
      <c r="OO273" s="93">
        <v>2922.7810353332206</v>
      </c>
      <c r="OP273" s="93"/>
      <c r="OQ273" s="93">
        <v>1078.5645821663361</v>
      </c>
      <c r="OR273" s="93">
        <v>-148.29685204212115</v>
      </c>
      <c r="OS273" s="93">
        <v>1226.8614342084575</v>
      </c>
      <c r="OT273" s="93">
        <v>2166.7044665748845</v>
      </c>
      <c r="OU273" s="93">
        <v>-6.3047001769999866</v>
      </c>
      <c r="OV273" s="93">
        <v>-101.18470017699998</v>
      </c>
      <c r="OW273" s="93">
        <v>94.88</v>
      </c>
      <c r="OX273" s="93">
        <v>2173.0091667518845</v>
      </c>
      <c r="OY273" s="93">
        <v>4.4461458189999998</v>
      </c>
      <c r="OZ273" s="93">
        <v>2168.5630209328842</v>
      </c>
      <c r="PA273" s="93">
        <v>479.85301201300001</v>
      </c>
      <c r="PB273" s="93">
        <v>-157.36499860500001</v>
      </c>
      <c r="PC273" s="20">
        <v>2922.7810353332206</v>
      </c>
      <c r="PD273" s="29">
        <v>206</v>
      </c>
      <c r="PE273" s="19"/>
      <c r="PF273" s="93">
        <v>-148.29685204212115</v>
      </c>
      <c r="PG273" s="93">
        <v>683.35760097487901</v>
      </c>
      <c r="PH273" s="93">
        <v>831.65445301700015</v>
      </c>
      <c r="PI273" s="93">
        <v>848.86496001600005</v>
      </c>
      <c r="PJ273" s="93">
        <v>-91.60921464499998</v>
      </c>
      <c r="PK273" s="93">
        <v>134.61984381900001</v>
      </c>
      <c r="PL273" s="93">
        <v>226.22905846399999</v>
      </c>
      <c r="PM273" s="93">
        <v>4.4461458189999998</v>
      </c>
      <c r="PN273" s="93">
        <v>0.6</v>
      </c>
      <c r="PO273" s="93">
        <v>0</v>
      </c>
      <c r="PP273" s="93">
        <v>2.0938200000000001E-4</v>
      </c>
      <c r="PQ273" s="93">
        <v>3.8459364369999998</v>
      </c>
      <c r="PR273" s="93">
        <v>598.96828317787913</v>
      </c>
      <c r="PS273" s="93">
        <v>399.35516145687905</v>
      </c>
      <c r="PT273" s="93">
        <v>198.95515854300001</v>
      </c>
      <c r="PU273" s="93">
        <v>0.65796317799999993</v>
      </c>
      <c r="PV273" s="93">
        <v>0</v>
      </c>
      <c r="PW273" s="93">
        <v>0.54217027500000003</v>
      </c>
      <c r="PX273" s="93">
        <v>0</v>
      </c>
      <c r="PY273" s="93">
        <v>0</v>
      </c>
      <c r="PZ273" s="93">
        <v>0.54217027500000003</v>
      </c>
      <c r="QA273" s="93">
        <v>0</v>
      </c>
      <c r="QB273" s="93">
        <v>0</v>
      </c>
      <c r="QC273" s="93">
        <v>0</v>
      </c>
      <c r="QD273" s="93">
        <v>4.7218417379999993</v>
      </c>
      <c r="QE273" s="20">
        <v>9.1727439570000016</v>
      </c>
      <c r="QF273" s="1739">
        <v>206</v>
      </c>
      <c r="QG273" s="19"/>
      <c r="QH273" s="1035">
        <v>1226.8614342084575</v>
      </c>
      <c r="QI273" s="1035">
        <v>1642.5419790671156</v>
      </c>
      <c r="QJ273" s="1035">
        <v>-415.6805448586581</v>
      </c>
      <c r="QK273" s="1035">
        <v>255.79900000000001</v>
      </c>
      <c r="QL273" s="1035">
        <v>54.524999999999999</v>
      </c>
      <c r="QM273" s="1035">
        <v>201.274</v>
      </c>
      <c r="QN273" s="1035">
        <v>0</v>
      </c>
      <c r="QO273" s="1035">
        <v>94.88</v>
      </c>
      <c r="QP273" s="1035">
        <v>366.29899999999998</v>
      </c>
      <c r="QQ273" s="1035">
        <v>-271.41899999999998</v>
      </c>
      <c r="QR273" s="1035">
        <v>2168.5630209328842</v>
      </c>
      <c r="QS273" s="1035">
        <v>23.45529011283821</v>
      </c>
      <c r="QT273" s="1035">
        <v>0</v>
      </c>
      <c r="QU273" s="1035">
        <v>173.96</v>
      </c>
      <c r="QV273" s="1035">
        <v>1971.147730820046</v>
      </c>
      <c r="QW273" s="93"/>
      <c r="QX273" s="93">
        <v>851.149</v>
      </c>
      <c r="QY273" s="93">
        <v>1149.0346895610558</v>
      </c>
      <c r="QZ273" s="93">
        <v>1251.1787655802859</v>
      </c>
      <c r="RA273" s="93">
        <v>0</v>
      </c>
      <c r="RB273" s="93">
        <v>70.042000000000002</v>
      </c>
      <c r="RC273" s="93">
        <v>1.6850000000000001</v>
      </c>
      <c r="RD273" s="93">
        <v>15.347000000000001</v>
      </c>
      <c r="RE273" s="93">
        <v>0</v>
      </c>
      <c r="RF273" s="93">
        <v>0</v>
      </c>
      <c r="RG273" s="93">
        <v>387.51499999999999</v>
      </c>
      <c r="RH273" s="93">
        <v>20.152000000000015</v>
      </c>
      <c r="RI273" s="93"/>
      <c r="RJ273" s="93"/>
      <c r="RK273" s="93"/>
      <c r="RL273" s="93"/>
      <c r="RM273" s="734"/>
      <c r="RN273" s="29">
        <v>206</v>
      </c>
      <c r="RO273" s="19">
        <v>84</v>
      </c>
      <c r="RP273" s="20">
        <v>394</v>
      </c>
      <c r="RQ273" s="29">
        <v>206</v>
      </c>
      <c r="RR273" s="734">
        <v>3.39557764</v>
      </c>
      <c r="RS273" s="29">
        <v>206</v>
      </c>
      <c r="RT273" s="1504">
        <v>42767</v>
      </c>
      <c r="RU273" s="19">
        <v>825</v>
      </c>
      <c r="RV273" s="20">
        <v>14</v>
      </c>
      <c r="RW273" s="29">
        <v>206</v>
      </c>
      <c r="RX273" s="1504">
        <v>42767</v>
      </c>
      <c r="RY273" s="29"/>
      <c r="RZ273" s="734"/>
      <c r="SA273" s="29"/>
      <c r="SB273" s="29">
        <v>206</v>
      </c>
    </row>
    <row r="274" spans="1:496">
      <c r="A274" s="41">
        <f t="shared" si="238"/>
        <v>2017</v>
      </c>
      <c r="B274" s="1504">
        <v>42795</v>
      </c>
      <c r="C274" s="1813">
        <v>1677</v>
      </c>
      <c r="D274" s="1814">
        <v>28277</v>
      </c>
      <c r="E274" s="1814">
        <v>166</v>
      </c>
      <c r="F274" s="1815">
        <v>394</v>
      </c>
      <c r="G274" s="1814">
        <v>74553</v>
      </c>
      <c r="H274" s="1814">
        <v>48</v>
      </c>
      <c r="I274" s="1814">
        <v>36777</v>
      </c>
      <c r="J274" s="1816">
        <v>16894</v>
      </c>
      <c r="K274" s="1807">
        <v>158786</v>
      </c>
      <c r="L274" s="25">
        <v>207</v>
      </c>
      <c r="M274" s="97"/>
      <c r="N274" s="1504">
        <v>42795</v>
      </c>
      <c r="O274" s="19">
        <v>639</v>
      </c>
      <c r="P274" s="93">
        <v>796</v>
      </c>
      <c r="Q274" s="93"/>
      <c r="R274" s="93">
        <v>1945</v>
      </c>
      <c r="S274" s="93">
        <v>1603</v>
      </c>
      <c r="T274" s="93">
        <v>696</v>
      </c>
      <c r="U274" s="93">
        <v>341</v>
      </c>
      <c r="V274" s="93">
        <v>1134</v>
      </c>
      <c r="W274" s="93">
        <v>3647</v>
      </c>
      <c r="X274" s="93">
        <v>864</v>
      </c>
      <c r="Y274" s="93">
        <v>255</v>
      </c>
      <c r="Z274" s="93">
        <v>1242</v>
      </c>
      <c r="AA274" s="93">
        <v>801</v>
      </c>
      <c r="AB274" s="132">
        <v>13963</v>
      </c>
      <c r="AC274" s="25">
        <v>207</v>
      </c>
      <c r="AD274" s="97"/>
      <c r="AE274" s="1504">
        <v>42795</v>
      </c>
      <c r="AF274" s="19">
        <v>2108</v>
      </c>
      <c r="AG274" s="93">
        <v>840</v>
      </c>
      <c r="AH274" s="93"/>
      <c r="AI274" s="93">
        <v>2850</v>
      </c>
      <c r="AJ274" s="93">
        <v>2323</v>
      </c>
      <c r="AK274" s="93">
        <v>1844</v>
      </c>
      <c r="AL274" s="93">
        <v>650</v>
      </c>
      <c r="AM274" s="93">
        <v>1978</v>
      </c>
      <c r="AN274" s="93">
        <v>6624</v>
      </c>
      <c r="AO274" s="93">
        <v>1647</v>
      </c>
      <c r="AP274" s="93">
        <v>576</v>
      </c>
      <c r="AQ274" s="93">
        <v>2488</v>
      </c>
      <c r="AR274" s="93">
        <v>689</v>
      </c>
      <c r="AS274" s="20">
        <v>24617</v>
      </c>
      <c r="AT274" s="25">
        <v>207</v>
      </c>
      <c r="AU274" s="97"/>
      <c r="AV274" s="1504">
        <v>42795</v>
      </c>
      <c r="AW274" s="19">
        <v>8331</v>
      </c>
      <c r="AX274" s="93">
        <v>2914</v>
      </c>
      <c r="AY274" s="93"/>
      <c r="AZ274" s="93">
        <v>8882</v>
      </c>
      <c r="BA274" s="93">
        <v>7512</v>
      </c>
      <c r="BB274" s="93">
        <v>5042</v>
      </c>
      <c r="BC274" s="93">
        <v>2676</v>
      </c>
      <c r="BD274" s="93">
        <v>9858</v>
      </c>
      <c r="BE274" s="93">
        <v>8811</v>
      </c>
      <c r="BF274" s="93">
        <v>5049</v>
      </c>
      <c r="BG274" s="93">
        <v>2366</v>
      </c>
      <c r="BH274" s="93">
        <v>9982</v>
      </c>
      <c r="BI274" s="93">
        <v>2559</v>
      </c>
      <c r="BJ274" s="20">
        <v>73982</v>
      </c>
      <c r="BK274" s="25">
        <v>207</v>
      </c>
      <c r="BL274" s="97"/>
      <c r="BM274" s="1504">
        <v>42795</v>
      </c>
      <c r="BN274" s="19">
        <v>128.46899999999999</v>
      </c>
      <c r="BO274" s="93">
        <v>2365.6549999999993</v>
      </c>
      <c r="BP274" s="93">
        <v>18.624000000000002</v>
      </c>
      <c r="BQ274" s="93">
        <v>782.68000000000018</v>
      </c>
      <c r="BR274" s="93">
        <v>6.7319999999999993</v>
      </c>
      <c r="BS274" s="93">
        <v>281.33100000000002</v>
      </c>
      <c r="BT274" s="93">
        <v>450.93600000000004</v>
      </c>
      <c r="BU274" s="132">
        <v>4034.4269999999997</v>
      </c>
      <c r="BV274" s="25">
        <v>207</v>
      </c>
      <c r="BW274" s="97"/>
      <c r="BX274" s="1504">
        <v>42795</v>
      </c>
      <c r="BY274" s="179">
        <v>613.9045390734675</v>
      </c>
      <c r="BZ274" s="99">
        <v>664.95699999999999</v>
      </c>
      <c r="CA274" s="99">
        <v>612.7003549411545</v>
      </c>
      <c r="CB274" s="99">
        <v>47.490099547511313</v>
      </c>
      <c r="CC274" s="99">
        <v>136.02179677419358</v>
      </c>
      <c r="CD274" s="25">
        <v>207</v>
      </c>
      <c r="CE274" s="97"/>
      <c r="CF274" s="1504">
        <v>42795</v>
      </c>
      <c r="CG274" s="1508">
        <v>1.9131692360000001</v>
      </c>
      <c r="CH274" s="568">
        <v>1231.42</v>
      </c>
      <c r="CI274" s="1708">
        <v>50.9033333333333</v>
      </c>
      <c r="CJ274" s="1509">
        <v>51.97</v>
      </c>
      <c r="CK274" s="1508">
        <v>358.43</v>
      </c>
      <c r="CL274" s="568">
        <v>158.96404720000001</v>
      </c>
      <c r="CM274" s="568">
        <v>0.39859529599999999</v>
      </c>
      <c r="CN274" s="568">
        <v>0.34899467200000001</v>
      </c>
      <c r="CO274" s="568">
        <v>154.32341400000001</v>
      </c>
      <c r="CP274" s="1509">
        <v>4.3461878680000003</v>
      </c>
      <c r="CQ274" s="1708">
        <v>1398.98</v>
      </c>
      <c r="CR274" s="568">
        <v>2.9224999999999999</v>
      </c>
      <c r="CS274" s="568">
        <v>2.3496999999999999</v>
      </c>
      <c r="CT274" s="568">
        <v>97.5</v>
      </c>
      <c r="CU274" s="568">
        <v>87.65</v>
      </c>
      <c r="CV274" s="1709">
        <v>2776.88</v>
      </c>
      <c r="CW274" s="29">
        <v>207</v>
      </c>
      <c r="CX274" s="41">
        <f t="shared" si="239"/>
        <v>2017</v>
      </c>
      <c r="CY274" s="1504">
        <v>42795</v>
      </c>
      <c r="CZ274" s="1916">
        <v>116.69479157628643</v>
      </c>
      <c r="DA274" s="1526">
        <v>66.924821576286433</v>
      </c>
      <c r="DB274" s="1526">
        <v>49.769970000000001</v>
      </c>
      <c r="DC274" s="182">
        <f t="shared" si="255"/>
        <v>628111</v>
      </c>
      <c r="DD274" s="182">
        <f t="shared" si="256"/>
        <v>626374</v>
      </c>
      <c r="DE274" s="182">
        <f t="shared" si="257"/>
        <v>1737</v>
      </c>
      <c r="DF274" s="29">
        <v>207</v>
      </c>
      <c r="DG274" s="1504">
        <v>42795</v>
      </c>
      <c r="DH274" s="181">
        <v>360767</v>
      </c>
      <c r="DI274" s="182"/>
      <c r="DJ274" s="182"/>
      <c r="DK274" s="182"/>
      <c r="DL274" s="182"/>
      <c r="DM274" s="182"/>
      <c r="DN274" s="290"/>
      <c r="DO274" s="295"/>
      <c r="DP274" s="29">
        <v>207</v>
      </c>
      <c r="DQ274" s="1504">
        <v>42795</v>
      </c>
      <c r="DR274" s="19"/>
      <c r="DS274" s="93"/>
      <c r="DT274" s="93"/>
      <c r="DU274" s="93"/>
      <c r="DV274" s="93"/>
      <c r="DW274" s="93"/>
      <c r="DX274" s="1719"/>
      <c r="DY274" s="29">
        <v>207</v>
      </c>
      <c r="DZ274" s="1504">
        <v>42795</v>
      </c>
      <c r="EA274" s="19"/>
      <c r="EB274" s="93"/>
      <c r="EC274" s="20"/>
      <c r="ED274" s="29"/>
      <c r="EE274" s="1504">
        <v>42795</v>
      </c>
      <c r="EF274" s="179">
        <v>18859</v>
      </c>
      <c r="EG274" s="99">
        <v>22966</v>
      </c>
      <c r="EH274" s="99">
        <v>41825</v>
      </c>
      <c r="EI274" s="221">
        <v>5962</v>
      </c>
      <c r="EJ274" s="99">
        <v>564.99800000000005</v>
      </c>
      <c r="EK274" s="99">
        <v>291.08999999999997</v>
      </c>
      <c r="EL274" s="99">
        <v>14.856999999999999</v>
      </c>
      <c r="EM274" s="99">
        <v>3.1320000000000001</v>
      </c>
      <c r="EN274" s="132">
        <v>874.07699999999988</v>
      </c>
      <c r="EO274" s="29">
        <v>207</v>
      </c>
      <c r="EP274" s="1504">
        <v>42795</v>
      </c>
      <c r="EQ274" s="19">
        <v>17376</v>
      </c>
      <c r="ER274" s="93">
        <v>21456</v>
      </c>
      <c r="ES274" s="93">
        <v>38832</v>
      </c>
      <c r="ET274" s="214">
        <v>5444</v>
      </c>
      <c r="EU274" s="93">
        <v>564.99800000000005</v>
      </c>
      <c r="EV274" s="93">
        <v>291.08999999999997</v>
      </c>
      <c r="EW274" s="93">
        <v>14.856999999999999</v>
      </c>
      <c r="EX274" s="93">
        <v>3.1320000000000001</v>
      </c>
      <c r="EY274" s="20">
        <v>874.07699999999988</v>
      </c>
      <c r="EZ274" s="29">
        <v>207</v>
      </c>
      <c r="FA274" s="1504">
        <v>42795</v>
      </c>
      <c r="FB274" s="29">
        <v>1483</v>
      </c>
      <c r="FC274" s="29">
        <v>1510</v>
      </c>
      <c r="FD274" s="29">
        <v>2993</v>
      </c>
      <c r="FE274" s="29">
        <v>518</v>
      </c>
      <c r="FF274" s="29">
        <v>0</v>
      </c>
      <c r="FG274" s="29">
        <v>0</v>
      </c>
      <c r="FH274" s="29">
        <v>0</v>
      </c>
      <c r="FI274" s="29">
        <v>0</v>
      </c>
      <c r="FJ274" s="29">
        <v>0</v>
      </c>
      <c r="FK274" s="29">
        <v>207</v>
      </c>
      <c r="FL274" s="1504">
        <v>42795</v>
      </c>
      <c r="FM274" s="19">
        <v>102.76</v>
      </c>
      <c r="FN274" s="93">
        <v>102.62</v>
      </c>
      <c r="FO274" s="93">
        <v>116.6</v>
      </c>
      <c r="FP274" s="93">
        <v>99.52</v>
      </c>
      <c r="FQ274" s="93">
        <v>111.24</v>
      </c>
      <c r="FR274" s="93">
        <v>99.63</v>
      </c>
      <c r="FS274" s="93">
        <v>100.26</v>
      </c>
      <c r="FT274" s="93">
        <v>96.29</v>
      </c>
      <c r="FU274" s="93">
        <v>110.74</v>
      </c>
      <c r="FV274" s="93">
        <v>104.23</v>
      </c>
      <c r="FW274" s="93">
        <v>101.76</v>
      </c>
      <c r="FX274" s="93">
        <v>100.09</v>
      </c>
      <c r="FY274" s="93">
        <v>99.52</v>
      </c>
      <c r="FZ274" s="29">
        <v>207</v>
      </c>
      <c r="GA274" s="1504">
        <v>42795</v>
      </c>
      <c r="GB274" s="19">
        <v>102.76</v>
      </c>
      <c r="GC274" s="93">
        <v>105.47</v>
      </c>
      <c r="GD274" s="93">
        <v>102.06</v>
      </c>
      <c r="GE274" s="93">
        <v>89.91</v>
      </c>
      <c r="GF274" s="93">
        <v>104.25</v>
      </c>
      <c r="GG274" s="99">
        <v>104</v>
      </c>
      <c r="GH274" s="93">
        <v>104.53</v>
      </c>
      <c r="GI274" s="93">
        <v>103.48</v>
      </c>
      <c r="GJ274" s="93">
        <v>101.57</v>
      </c>
      <c r="GK274" s="93">
        <v>99.97</v>
      </c>
      <c r="GL274" s="93">
        <v>102.24</v>
      </c>
      <c r="GM274" s="93">
        <v>111.33</v>
      </c>
      <c r="GN274" s="20">
        <v>101.57</v>
      </c>
      <c r="GO274" s="29">
        <v>207</v>
      </c>
      <c r="GP274" s="1504">
        <v>42795</v>
      </c>
      <c r="GQ274" s="181">
        <v>263.97015124768598</v>
      </c>
      <c r="GR274" s="182">
        <v>227.03352550726001</v>
      </c>
      <c r="GS274" s="182">
        <v>224.50948221495901</v>
      </c>
      <c r="GT274" s="182">
        <v>166.42124793982501</v>
      </c>
      <c r="GU274" s="182">
        <v>433.97679864660302</v>
      </c>
      <c r="GV274" s="290">
        <v>791.33392950525501</v>
      </c>
      <c r="GW274" s="181">
        <v>394.42557668689898</v>
      </c>
      <c r="GX274" s="182">
        <v>417.77983938138902</v>
      </c>
      <c r="GY274" s="182">
        <v>647.91078065815304</v>
      </c>
      <c r="GZ274" s="182">
        <v>223.31688213557501</v>
      </c>
      <c r="HA274" s="182">
        <v>214.89968138116899</v>
      </c>
      <c r="HB274" s="290">
        <v>756.68639254729601</v>
      </c>
      <c r="HC274" s="181">
        <v>1901.4388816283399</v>
      </c>
      <c r="HD274" s="182">
        <v>2418.2780032502801</v>
      </c>
      <c r="HE274" s="182">
        <v>2506.9030101977501</v>
      </c>
      <c r="HF274" s="182">
        <v>3150</v>
      </c>
      <c r="HG274" s="182">
        <v>2489.7503473277702</v>
      </c>
      <c r="HH274" s="290">
        <v>2608.8987096485698</v>
      </c>
      <c r="HI274" s="19"/>
      <c r="HJ274" s="182">
        <v>893.69628665192795</v>
      </c>
      <c r="HK274" s="182">
        <v>1231.5858659376199</v>
      </c>
      <c r="HL274" s="182">
        <v>839.28385485001502</v>
      </c>
      <c r="HM274" s="182">
        <v>900</v>
      </c>
      <c r="HN274" s="290">
        <v>2937.4995210626398</v>
      </c>
      <c r="HO274" s="324">
        <v>143.137884757264</v>
      </c>
      <c r="HP274" s="290">
        <v>100.170343000776</v>
      </c>
      <c r="HQ274" s="295">
        <v>151.89030206554099</v>
      </c>
      <c r="HR274" s="29">
        <v>207</v>
      </c>
      <c r="HS274" s="1504">
        <v>42795</v>
      </c>
      <c r="HT274" s="179">
        <v>223.73991775512695</v>
      </c>
      <c r="HU274" s="99">
        <v>240.625</v>
      </c>
      <c r="HV274" s="99">
        <v>191.08279418945313</v>
      </c>
      <c r="HW274" s="99">
        <v>105.76923370361328</v>
      </c>
      <c r="HX274" s="99">
        <v>200</v>
      </c>
      <c r="HY274" s="99">
        <v>211.80555725097656</v>
      </c>
      <c r="HZ274" s="99">
        <v>211.66133499145508</v>
      </c>
      <c r="IA274" s="132">
        <v>185.45752334594727</v>
      </c>
      <c r="IB274" s="179">
        <v>182.71604919433594</v>
      </c>
      <c r="IC274" s="99">
        <v>159.574462890625</v>
      </c>
      <c r="ID274" s="99">
        <v>178.57142639160156</v>
      </c>
      <c r="IE274" s="99">
        <v>158.14695739746094</v>
      </c>
      <c r="IF274" s="99">
        <v>208.33333587646484</v>
      </c>
      <c r="IG274" s="132">
        <v>158.1944465637207</v>
      </c>
      <c r="IH274" s="179">
        <v>124.84253692626953</v>
      </c>
      <c r="II274" s="99">
        <v>188.59649658203125</v>
      </c>
      <c r="IJ274" s="99">
        <v>139.35810852050781</v>
      </c>
      <c r="IK274" s="99">
        <v>157.03971862792969</v>
      </c>
      <c r="IL274" s="99">
        <v>142.55401039123535</v>
      </c>
      <c r="IM274" s="99">
        <v>143.14516448974609</v>
      </c>
      <c r="IN274" s="99">
        <v>159.01060485839844</v>
      </c>
      <c r="IO274" s="132">
        <v>149.84226226806641</v>
      </c>
      <c r="IP274" s="29">
        <v>207</v>
      </c>
      <c r="IQ274" s="179">
        <v>163.19443969726564</v>
      </c>
      <c r="IR274" s="99">
        <v>108.2549934387207</v>
      </c>
      <c r="IS274" s="99">
        <v>133.62068176269531</v>
      </c>
      <c r="IT274" s="99">
        <v>114.48220062255859</v>
      </c>
      <c r="IU274" s="99">
        <v>158.203125</v>
      </c>
      <c r="IV274" s="132">
        <v>121.24277114868164</v>
      </c>
      <c r="IW274" s="29">
        <v>207</v>
      </c>
      <c r="IX274" s="179">
        <v>380</v>
      </c>
      <c r="IY274" s="99">
        <v>364.58334350585938</v>
      </c>
      <c r="IZ274" s="99">
        <v>425</v>
      </c>
      <c r="JA274" s="99">
        <v>375</v>
      </c>
      <c r="JB274" s="99">
        <v>392.5</v>
      </c>
      <c r="JC274" s="99">
        <v>412.5</v>
      </c>
      <c r="JD274" s="100">
        <f t="shared" si="258"/>
        <v>340</v>
      </c>
      <c r="JE274" s="132">
        <v>400</v>
      </c>
      <c r="JF274" s="29">
        <v>207</v>
      </c>
      <c r="JG274" s="179">
        <v>162.58445739746094</v>
      </c>
      <c r="JH274" s="99">
        <v>188.59649658203125</v>
      </c>
      <c r="JI274" s="99">
        <v>144.69453430175781</v>
      </c>
      <c r="JJ274" s="99">
        <v>125</v>
      </c>
      <c r="JK274" s="99">
        <v>168.35017395019531</v>
      </c>
      <c r="JL274" s="99">
        <v>163.63218688964844</v>
      </c>
      <c r="JM274" s="99">
        <v>182.34323501586914</v>
      </c>
      <c r="JN274" s="132">
        <v>181.7160758972168</v>
      </c>
      <c r="JO274" s="29">
        <v>207</v>
      </c>
      <c r="JP274" s="179">
        <v>209.16667175292969</v>
      </c>
      <c r="JQ274" s="99">
        <v>120.55837249755859</v>
      </c>
      <c r="JR274" s="99">
        <v>172.41378784179688</v>
      </c>
      <c r="JS274" s="99"/>
      <c r="JT274" s="99">
        <v>181.640625</v>
      </c>
      <c r="JU274" s="132">
        <v>123.79678916931152</v>
      </c>
      <c r="JV274" s="29">
        <v>207</v>
      </c>
      <c r="JW274" s="1504">
        <v>42795</v>
      </c>
      <c r="JX274" s="179"/>
      <c r="JY274" s="100">
        <f t="shared" si="259"/>
        <v>297.6020241089775</v>
      </c>
      <c r="JZ274" s="99">
        <v>294.62962962962962</v>
      </c>
      <c r="KA274" s="99">
        <v>247.25</v>
      </c>
      <c r="KB274" s="99">
        <v>207.51428571428571</v>
      </c>
      <c r="KC274" s="99">
        <v>377.08333333333331</v>
      </c>
      <c r="KD274" s="132">
        <v>295.5128205128205</v>
      </c>
      <c r="KE274" s="29">
        <v>207</v>
      </c>
      <c r="KF274" s="179"/>
      <c r="KG274" s="99">
        <v>43.541666666666664</v>
      </c>
      <c r="KH274" s="99">
        <v>39.875</v>
      </c>
      <c r="KI274" s="99">
        <v>46.962962962962962</v>
      </c>
      <c r="KJ274" s="99">
        <v>57.5</v>
      </c>
      <c r="KK274" s="132">
        <v>82.49404761904762</v>
      </c>
      <c r="KL274" s="29">
        <v>207</v>
      </c>
      <c r="KM274" s="100">
        <f t="shared" si="253"/>
        <v>18.512055952404239</v>
      </c>
      <c r="KN274" s="99">
        <v>20.14</v>
      </c>
      <c r="KO274" s="99">
        <v>29.116666666666667</v>
      </c>
      <c r="KP274" s="99">
        <v>31.5703125</v>
      </c>
      <c r="KQ274" s="99">
        <v>36.299999999999997</v>
      </c>
      <c r="KR274" s="132">
        <v>34.429824561403514</v>
      </c>
      <c r="KS274" s="29">
        <v>207</v>
      </c>
      <c r="KT274" s="100">
        <f t="shared" si="254"/>
        <v>30.183669197395858</v>
      </c>
      <c r="KU274" s="99">
        <v>23.731481481481481</v>
      </c>
      <c r="KV274" s="99">
        <v>26.4</v>
      </c>
      <c r="KW274" s="99">
        <v>25.527777777777779</v>
      </c>
      <c r="KX274" s="99">
        <v>25.041666666666668</v>
      </c>
      <c r="KY274" s="132">
        <v>30.481012658227851</v>
      </c>
      <c r="KZ274" s="29">
        <v>207</v>
      </c>
      <c r="LA274" s="1504">
        <v>42795</v>
      </c>
      <c r="LB274" s="19">
        <v>380</v>
      </c>
      <c r="LC274" s="93">
        <v>610</v>
      </c>
      <c r="LD274" s="93">
        <v>602</v>
      </c>
      <c r="LE274" s="93"/>
      <c r="LF274" s="93">
        <v>526</v>
      </c>
      <c r="LG274" s="93"/>
      <c r="LH274" s="20"/>
      <c r="LI274" s="29">
        <v>207</v>
      </c>
      <c r="LJ274" s="19"/>
      <c r="LK274" s="93"/>
      <c r="LL274" s="93"/>
      <c r="LM274" s="93"/>
      <c r="LN274" s="93"/>
      <c r="LO274" s="20"/>
      <c r="LP274" s="29">
        <v>207</v>
      </c>
      <c r="LQ274" s="19"/>
      <c r="LR274" s="93"/>
      <c r="LS274" s="93"/>
      <c r="LT274" s="93"/>
      <c r="LU274" s="93"/>
      <c r="LV274" s="93"/>
      <c r="LW274" s="93"/>
      <c r="LX274" s="93"/>
      <c r="LY274" s="93"/>
      <c r="LZ274" s="93"/>
      <c r="MA274" s="20"/>
      <c r="MB274" s="29">
        <v>207</v>
      </c>
      <c r="MC274" s="1504">
        <v>42795</v>
      </c>
      <c r="MD274" s="19">
        <v>307.84772107721773</v>
      </c>
      <c r="ME274" s="93">
        <v>283.85891878399997</v>
      </c>
      <c r="MF274" s="93">
        <v>283.85891878399997</v>
      </c>
      <c r="MG274" s="93">
        <v>257.84872560600002</v>
      </c>
      <c r="MH274" s="93">
        <v>61.163224106000008</v>
      </c>
      <c r="MI274" s="93">
        <v>2.2874320539999999</v>
      </c>
      <c r="MJ274" s="93">
        <v>2.0291121409999997</v>
      </c>
      <c r="MK274" s="93">
        <v>148.75812690699999</v>
      </c>
      <c r="ML274" s="93">
        <v>40.411712151999993</v>
      </c>
      <c r="MM274" s="93">
        <v>3.1991182459999998</v>
      </c>
      <c r="MN274" s="93">
        <v>26.010193177999994</v>
      </c>
      <c r="MO274" s="93">
        <v>1.029175594</v>
      </c>
      <c r="MP274" s="93">
        <v>8.7923086149999996</v>
      </c>
      <c r="MQ274" s="93">
        <v>0.25561322399999997</v>
      </c>
      <c r="MR274" s="93">
        <v>1.177244E-2</v>
      </c>
      <c r="MS274" s="93">
        <v>15.921323305</v>
      </c>
      <c r="MT274" s="93">
        <v>0</v>
      </c>
      <c r="MU274" s="93">
        <v>23.988802293217702</v>
      </c>
      <c r="MV274" s="93">
        <v>23.988802293217702</v>
      </c>
      <c r="MW274" s="93">
        <v>0</v>
      </c>
      <c r="MX274" s="93">
        <v>365.76015956384447</v>
      </c>
      <c r="MY274" s="93">
        <v>365.76469698484448</v>
      </c>
      <c r="MZ274" s="93">
        <v>264.46868283962675</v>
      </c>
      <c r="NA274" s="93">
        <v>143.981180421</v>
      </c>
      <c r="NB274" s="93">
        <v>14.531224957000001</v>
      </c>
      <c r="NC274" s="93">
        <v>3.3447636346267382</v>
      </c>
      <c r="ND274" s="93">
        <v>0.27594578000000003</v>
      </c>
      <c r="NE274" s="93">
        <v>3.0688178546267384</v>
      </c>
      <c r="NF274" s="93">
        <v>102.61151382699998</v>
      </c>
      <c r="NG274" s="93">
        <v>0</v>
      </c>
      <c r="NH274" s="93">
        <v>27.374852964999999</v>
      </c>
      <c r="NI274" s="93">
        <v>10.930667949999998</v>
      </c>
      <c r="NJ274" s="93">
        <v>7.6691809999999997E-3</v>
      </c>
      <c r="NK274" s="93">
        <v>101.2960141452177</v>
      </c>
      <c r="NL274" s="93">
        <v>59.021148531000009</v>
      </c>
      <c r="NM274" s="93">
        <v>0</v>
      </c>
      <c r="NN274" s="93">
        <v>42.274865614217696</v>
      </c>
      <c r="NO274" s="93">
        <v>-4.5374210000038145E-3</v>
      </c>
      <c r="NP274" s="93">
        <v>-57.912438486626741</v>
      </c>
      <c r="NQ274" s="93">
        <v>-81.901240779844429</v>
      </c>
      <c r="NR274" s="93">
        <v>-36.281611530999989</v>
      </c>
      <c r="NS274" s="93">
        <v>-39.626375165626733</v>
      </c>
      <c r="NT274" s="93">
        <v>-159.61541842762682</v>
      </c>
      <c r="NU274" s="93">
        <v>-183.60422072084452</v>
      </c>
      <c r="NV274" s="93">
        <v>169.16673401549767</v>
      </c>
      <c r="NW274" s="93">
        <v>10.423780383497682</v>
      </c>
      <c r="NX274" s="93">
        <v>18.286063320999997</v>
      </c>
      <c r="NY274" s="93">
        <v>-7.862282937502318</v>
      </c>
      <c r="NZ274" s="93">
        <v>0</v>
      </c>
      <c r="OA274" s="93">
        <v>158.742953632</v>
      </c>
      <c r="OB274" s="93">
        <v>150.54210410600001</v>
      </c>
      <c r="OC274" s="93">
        <v>8.2008495259999972</v>
      </c>
      <c r="OD274" s="20">
        <v>0</v>
      </c>
      <c r="OE274" s="29">
        <v>207</v>
      </c>
      <c r="OF274" s="1504">
        <v>42795</v>
      </c>
      <c r="OG274" s="19"/>
      <c r="OH274" s="93">
        <v>282.88850064899998</v>
      </c>
      <c r="OI274" s="93">
        <v>1394.1349562599707</v>
      </c>
      <c r="OJ274" s="93">
        <v>0.38604696700000002</v>
      </c>
      <c r="OK274" s="93">
        <v>1204.2277096639707</v>
      </c>
      <c r="OL274" s="93">
        <v>189.52119962900002</v>
      </c>
      <c r="OM274" s="93">
        <v>1677.0234569089707</v>
      </c>
      <c r="ON274" s="93">
        <v>1255.2819100108675</v>
      </c>
      <c r="OO274" s="93">
        <v>2932.305366919838</v>
      </c>
      <c r="OP274" s="93"/>
      <c r="OQ274" s="93">
        <v>1125.4047199810218</v>
      </c>
      <c r="OR274" s="93">
        <v>-232.63005314100008</v>
      </c>
      <c r="OS274" s="93">
        <v>1358.0347731220222</v>
      </c>
      <c r="OT274" s="93">
        <v>2153.1102394728164</v>
      </c>
      <c r="OU274" s="93">
        <v>-19.762168720000062</v>
      </c>
      <c r="OV274" s="93">
        <v>-98.188168719999993</v>
      </c>
      <c r="OW274" s="93">
        <v>78.425999999999931</v>
      </c>
      <c r="OX274" s="93">
        <v>2172.8724081928162</v>
      </c>
      <c r="OY274" s="93">
        <v>4.4581294080000005</v>
      </c>
      <c r="OZ274" s="93">
        <v>2168.4142787848164</v>
      </c>
      <c r="PA274" s="93">
        <v>481.59625178599998</v>
      </c>
      <c r="PB274" s="93">
        <v>-135.38665925199999</v>
      </c>
      <c r="PC274" s="20">
        <v>2932.305366919838</v>
      </c>
      <c r="PD274" s="29">
        <v>207</v>
      </c>
      <c r="PE274" s="19"/>
      <c r="PF274" s="93">
        <v>-232.63005314100008</v>
      </c>
      <c r="PG274" s="93">
        <v>611.14843351099989</v>
      </c>
      <c r="PH274" s="93">
        <v>843.77848665199997</v>
      </c>
      <c r="PI274" s="93">
        <v>799.28296001599995</v>
      </c>
      <c r="PJ274" s="93">
        <v>-93.37250324499999</v>
      </c>
      <c r="PK274" s="93">
        <v>133.38271163900001</v>
      </c>
      <c r="PL274" s="93">
        <v>226.755214884</v>
      </c>
      <c r="PM274" s="93">
        <v>4.4581294080000005</v>
      </c>
      <c r="PN274" s="93">
        <v>0.6</v>
      </c>
      <c r="PO274" s="93">
        <v>0</v>
      </c>
      <c r="PP274" s="93">
        <v>1.18585E-4</v>
      </c>
      <c r="PQ274" s="93">
        <v>3.8580108230000003</v>
      </c>
      <c r="PR274" s="93">
        <v>453.40094893799994</v>
      </c>
      <c r="PS274" s="93">
        <v>347.17516612399999</v>
      </c>
      <c r="PT274" s="93">
        <v>105.513168079</v>
      </c>
      <c r="PU274" s="93">
        <v>0.71261473500000005</v>
      </c>
      <c r="PV274" s="93">
        <v>0</v>
      </c>
      <c r="PW274" s="93">
        <v>1.0171007889999999</v>
      </c>
      <c r="PX274" s="93">
        <v>0</v>
      </c>
      <c r="PY274" s="93">
        <v>0</v>
      </c>
      <c r="PZ274" s="93">
        <v>1.0171007889999999</v>
      </c>
      <c r="QA274" s="93">
        <v>0</v>
      </c>
      <c r="QB274" s="93">
        <v>0</v>
      </c>
      <c r="QC274" s="93">
        <v>0</v>
      </c>
      <c r="QD274" s="93">
        <v>7.0651509969999999</v>
      </c>
      <c r="QE274" s="20">
        <v>16.255332313999983</v>
      </c>
      <c r="QF274" s="1739">
        <v>207</v>
      </c>
      <c r="QG274" s="19"/>
      <c r="QH274" s="1035">
        <v>1358.0347731220222</v>
      </c>
      <c r="QI274" s="1035">
        <v>1795.8777212151838</v>
      </c>
      <c r="QJ274" s="1035">
        <v>-437.84294809316162</v>
      </c>
      <c r="QK274" s="1035">
        <v>175.47300000000001</v>
      </c>
      <c r="QL274" s="1035">
        <v>59.470999999999997</v>
      </c>
      <c r="QM274" s="1035">
        <v>116.00200000000001</v>
      </c>
      <c r="QN274" s="1035">
        <v>0</v>
      </c>
      <c r="QO274" s="1035">
        <v>78.425999999999931</v>
      </c>
      <c r="QP274" s="1035">
        <v>371.66499999999996</v>
      </c>
      <c r="QQ274" s="1035">
        <v>-293.23900000000003</v>
      </c>
      <c r="QR274" s="1035">
        <v>2168.4142787848164</v>
      </c>
      <c r="QS274" s="1035">
        <v>22.807691305079658</v>
      </c>
      <c r="QT274" s="1035">
        <v>0</v>
      </c>
      <c r="QU274" s="1035">
        <v>154.13999999999999</v>
      </c>
      <c r="QV274" s="1035">
        <v>1991.4665874797365</v>
      </c>
      <c r="QW274" s="93"/>
      <c r="QX274" s="93">
        <v>797.51400000000001</v>
      </c>
      <c r="QY274" s="93">
        <v>1204.2277096639705</v>
      </c>
      <c r="QZ274" s="93">
        <v>1254.9553422428676</v>
      </c>
      <c r="RA274" s="93">
        <v>0</v>
      </c>
      <c r="RB274" s="93">
        <v>73.02</v>
      </c>
      <c r="RC274" s="93">
        <v>1.6970000000000001</v>
      </c>
      <c r="RD274" s="93">
        <v>17.450999999999997</v>
      </c>
      <c r="RE274" s="93">
        <v>0</v>
      </c>
      <c r="RF274" s="93">
        <v>0</v>
      </c>
      <c r="RG274" s="93">
        <v>381.346</v>
      </c>
      <c r="RH274" s="93">
        <v>50.137000000000029</v>
      </c>
      <c r="RI274" s="93"/>
      <c r="RJ274" s="93"/>
      <c r="RK274" s="93"/>
      <c r="RL274" s="93"/>
      <c r="RM274" s="734"/>
      <c r="RN274" s="29">
        <v>207</v>
      </c>
      <c r="RO274" s="19">
        <v>104</v>
      </c>
      <c r="RP274" s="20">
        <v>815</v>
      </c>
      <c r="RQ274" s="29">
        <v>207</v>
      </c>
      <c r="RR274" s="734">
        <v>4.6608873800000001</v>
      </c>
      <c r="RS274" s="29">
        <v>207</v>
      </c>
      <c r="RT274" s="1504">
        <v>42795</v>
      </c>
      <c r="RU274" s="19">
        <v>701</v>
      </c>
      <c r="RV274" s="20">
        <v>22</v>
      </c>
      <c r="RW274" s="29">
        <v>207</v>
      </c>
      <c r="RX274" s="1504">
        <v>42795</v>
      </c>
      <c r="RY274" s="29"/>
      <c r="RZ274" s="734"/>
      <c r="SA274" s="29"/>
      <c r="SB274" s="29">
        <v>207</v>
      </c>
    </row>
    <row r="275" spans="1:496">
      <c r="A275" s="41">
        <f t="shared" si="238"/>
        <v>2017</v>
      </c>
      <c r="B275" s="1504">
        <v>42826</v>
      </c>
      <c r="C275" s="1813">
        <v>2268</v>
      </c>
      <c r="D275" s="1814">
        <v>41194</v>
      </c>
      <c r="E275" s="1814">
        <v>226</v>
      </c>
      <c r="F275" s="1815">
        <v>408</v>
      </c>
      <c r="G275" s="1814">
        <v>93457</v>
      </c>
      <c r="H275" s="1814">
        <v>53</v>
      </c>
      <c r="I275" s="1814">
        <v>43077</v>
      </c>
      <c r="J275" s="1816">
        <v>19054</v>
      </c>
      <c r="K275" s="1807">
        <v>199737</v>
      </c>
      <c r="L275" s="25">
        <v>208</v>
      </c>
      <c r="M275" s="97"/>
      <c r="N275" s="1504">
        <v>42826</v>
      </c>
      <c r="O275" s="19">
        <v>735</v>
      </c>
      <c r="P275" s="93">
        <v>1215</v>
      </c>
      <c r="Q275" s="93">
        <v>3550</v>
      </c>
      <c r="R275" s="93">
        <v>2980</v>
      </c>
      <c r="S275" s="93">
        <v>1697</v>
      </c>
      <c r="T275" s="93">
        <v>903</v>
      </c>
      <c r="U275" s="93">
        <v>384</v>
      </c>
      <c r="V275" s="93">
        <v>1379</v>
      </c>
      <c r="W275" s="93">
        <v>4222</v>
      </c>
      <c r="X275" s="93">
        <v>922</v>
      </c>
      <c r="Y275" s="93">
        <v>252</v>
      </c>
      <c r="Z275" s="93">
        <v>1464</v>
      </c>
      <c r="AA275" s="93">
        <v>1232</v>
      </c>
      <c r="AB275" s="132">
        <v>20935</v>
      </c>
      <c r="AC275" s="25">
        <v>208</v>
      </c>
      <c r="AD275" s="97"/>
      <c r="AE275" s="1504">
        <v>42826</v>
      </c>
      <c r="AF275" s="19">
        <v>2554</v>
      </c>
      <c r="AG275" s="93">
        <v>832</v>
      </c>
      <c r="AH275" s="93">
        <v>2018</v>
      </c>
      <c r="AI275" s="93">
        <v>4604</v>
      </c>
      <c r="AJ275" s="93">
        <v>2506</v>
      </c>
      <c r="AK275" s="93">
        <v>2253</v>
      </c>
      <c r="AL275" s="93">
        <v>671</v>
      </c>
      <c r="AM275" s="93">
        <v>2071</v>
      </c>
      <c r="AN275" s="93">
        <v>7758</v>
      </c>
      <c r="AO275" s="93">
        <v>1779</v>
      </c>
      <c r="AP275" s="93">
        <v>720</v>
      </c>
      <c r="AQ275" s="93">
        <v>2308</v>
      </c>
      <c r="AR275" s="93">
        <v>1185</v>
      </c>
      <c r="AS275" s="20">
        <v>31259</v>
      </c>
      <c r="AT275" s="25">
        <v>208</v>
      </c>
      <c r="AU275" s="97"/>
      <c r="AV275" s="1504">
        <v>42826</v>
      </c>
      <c r="AW275" s="19">
        <v>9496</v>
      </c>
      <c r="AX275" s="93">
        <v>3224</v>
      </c>
      <c r="AY275" s="93">
        <v>3866</v>
      </c>
      <c r="AZ275" s="93">
        <v>12807</v>
      </c>
      <c r="BA275" s="93">
        <v>9559</v>
      </c>
      <c r="BB275" s="93">
        <v>7350</v>
      </c>
      <c r="BC275" s="93">
        <v>3337</v>
      </c>
      <c r="BD275" s="93">
        <v>12251</v>
      </c>
      <c r="BE275" s="93">
        <v>8722</v>
      </c>
      <c r="BF275" s="93">
        <v>5858</v>
      </c>
      <c r="BG275" s="93">
        <v>3635</v>
      </c>
      <c r="BH275" s="93">
        <v>12763</v>
      </c>
      <c r="BI275" s="93">
        <v>4967</v>
      </c>
      <c r="BJ275" s="20">
        <v>97835</v>
      </c>
      <c r="BK275" s="25">
        <v>208</v>
      </c>
      <c r="BL275" s="97"/>
      <c r="BM275" s="1504">
        <v>42826</v>
      </c>
      <c r="BN275" s="19">
        <v>115.87200000000001</v>
      </c>
      <c r="BO275" s="93">
        <v>2236.043999999999</v>
      </c>
      <c r="BP275" s="93">
        <v>17.28</v>
      </c>
      <c r="BQ275" s="93">
        <v>770.42399999999998</v>
      </c>
      <c r="BR275" s="93">
        <v>5.0489999999999995</v>
      </c>
      <c r="BS275" s="93">
        <v>279.78300000000002</v>
      </c>
      <c r="BT275" s="93">
        <v>445.63200000000012</v>
      </c>
      <c r="BU275" s="132">
        <v>3870.0839999999989</v>
      </c>
      <c r="BV275" s="25">
        <v>208</v>
      </c>
      <c r="BW275" s="97"/>
      <c r="BX275" s="1504">
        <v>42826</v>
      </c>
      <c r="BY275" s="179">
        <v>611.72899375174859</v>
      </c>
      <c r="BZ275" s="99">
        <v>664.95699999999999</v>
      </c>
      <c r="CA275" s="99">
        <v>611.50088561573591</v>
      </c>
      <c r="CB275" s="99">
        <v>45.431418993794324</v>
      </c>
      <c r="CC275" s="99">
        <v>146.19839999999996</v>
      </c>
      <c r="CD275" s="25">
        <v>208</v>
      </c>
      <c r="CE275" s="97"/>
      <c r="CF275" s="1504">
        <v>42826</v>
      </c>
      <c r="CG275" s="1508">
        <v>1.9189012480000001</v>
      </c>
      <c r="CH275" s="568">
        <v>1266.8800000000001</v>
      </c>
      <c r="CI275" s="1708">
        <v>52.163333333333298</v>
      </c>
      <c r="CJ275" s="1509">
        <v>52.98</v>
      </c>
      <c r="CK275" s="1508">
        <v>358.53</v>
      </c>
      <c r="CL275" s="568">
        <v>156.44055839999999</v>
      </c>
      <c r="CM275" s="568">
        <v>0.36288045200000002</v>
      </c>
      <c r="CN275" s="568">
        <v>0.34984372800000002</v>
      </c>
      <c r="CO275" s="568">
        <v>166.08138840000001</v>
      </c>
      <c r="CP275" s="1509">
        <v>4.4103423099999999</v>
      </c>
      <c r="CQ275" s="1708">
        <v>1421.4</v>
      </c>
      <c r="CR275" s="568">
        <v>2.8725000000000001</v>
      </c>
      <c r="CS275" s="568">
        <v>2.2094999999999998</v>
      </c>
      <c r="CT275" s="568">
        <v>95.625</v>
      </c>
      <c r="CU275" s="568">
        <v>70.22</v>
      </c>
      <c r="CV275" s="1709">
        <v>2614.92</v>
      </c>
      <c r="CW275" s="29">
        <v>208</v>
      </c>
      <c r="CX275" s="41">
        <f t="shared" si="239"/>
        <v>2017</v>
      </c>
      <c r="CY275" s="1504">
        <v>42826</v>
      </c>
      <c r="CZ275" s="1916">
        <v>136.32361890333334</v>
      </c>
      <c r="DA275" s="1526">
        <v>79.301194569999993</v>
      </c>
      <c r="DB275" s="1526">
        <v>57.022424333333333</v>
      </c>
      <c r="DC275" s="182">
        <f t="shared" si="255"/>
        <v>628111</v>
      </c>
      <c r="DD275" s="182">
        <f t="shared" si="256"/>
        <v>626374</v>
      </c>
      <c r="DE275" s="182">
        <f t="shared" si="257"/>
        <v>1737</v>
      </c>
      <c r="DF275" s="29">
        <v>208</v>
      </c>
      <c r="DG275" s="1504">
        <v>42826</v>
      </c>
      <c r="DH275" s="181">
        <v>359919</v>
      </c>
      <c r="DI275" s="182"/>
      <c r="DJ275" s="182"/>
      <c r="DK275" s="182"/>
      <c r="DL275" s="182"/>
      <c r="DM275" s="182"/>
      <c r="DN275" s="290"/>
      <c r="DO275" s="295"/>
      <c r="DP275" s="29">
        <v>208</v>
      </c>
      <c r="DQ275" s="1504">
        <v>42826</v>
      </c>
      <c r="DR275" s="19"/>
      <c r="DS275" s="93"/>
      <c r="DT275" s="93"/>
      <c r="DU275" s="93"/>
      <c r="DV275" s="93"/>
      <c r="DW275" s="93"/>
      <c r="DX275" s="1719"/>
      <c r="DY275" s="29">
        <v>208</v>
      </c>
      <c r="DZ275" s="1504">
        <v>42826</v>
      </c>
      <c r="EA275" s="19"/>
      <c r="EB275" s="93"/>
      <c r="EC275" s="20"/>
      <c r="ED275" s="29"/>
      <c r="EE275" s="1504">
        <v>42826</v>
      </c>
      <c r="EF275" s="179">
        <v>17576</v>
      </c>
      <c r="EG275" s="99">
        <v>18510</v>
      </c>
      <c r="EH275" s="99">
        <v>36086</v>
      </c>
      <c r="EI275" s="221">
        <v>5981</v>
      </c>
      <c r="EJ275" s="99">
        <v>626.274</v>
      </c>
      <c r="EK275" s="99">
        <v>192.03899999999999</v>
      </c>
      <c r="EL275" s="99">
        <v>7.0339999999999998</v>
      </c>
      <c r="EM275" s="99">
        <v>7.4279999999999999</v>
      </c>
      <c r="EN275" s="132">
        <v>832.51126399999998</v>
      </c>
      <c r="EO275" s="29">
        <v>208</v>
      </c>
      <c r="EP275" s="1504">
        <v>42826</v>
      </c>
      <c r="EQ275" s="19">
        <v>16957</v>
      </c>
      <c r="ER275" s="93">
        <v>17820</v>
      </c>
      <c r="ES275" s="93">
        <v>34777</v>
      </c>
      <c r="ET275" s="214">
        <v>5535</v>
      </c>
      <c r="EU275" s="93">
        <v>626.11</v>
      </c>
      <c r="EV275" s="93">
        <v>192.03899999999999</v>
      </c>
      <c r="EW275" s="93">
        <v>6.9340000000000002</v>
      </c>
      <c r="EX275" s="93">
        <v>7.4279999999999999</v>
      </c>
      <c r="EY275" s="20">
        <v>832.51099999999997</v>
      </c>
      <c r="EZ275" s="29">
        <v>208</v>
      </c>
      <c r="FA275" s="1504">
        <v>42826</v>
      </c>
      <c r="FB275" s="29">
        <v>619</v>
      </c>
      <c r="FC275" s="29">
        <v>690</v>
      </c>
      <c r="FD275" s="29">
        <v>1309</v>
      </c>
      <c r="FE275" s="29">
        <v>446</v>
      </c>
      <c r="FF275" s="29">
        <v>0.16400000000000001</v>
      </c>
      <c r="FG275" s="29">
        <v>0</v>
      </c>
      <c r="FH275" s="29">
        <v>0.1</v>
      </c>
      <c r="FI275" s="29">
        <v>0</v>
      </c>
      <c r="FJ275" s="29">
        <v>2.6400000000000002E-4</v>
      </c>
      <c r="FK275" s="29">
        <v>208</v>
      </c>
      <c r="FL275" s="1504">
        <v>42826</v>
      </c>
      <c r="FM275" s="19">
        <v>102.96</v>
      </c>
      <c r="FN275" s="93">
        <v>103.4</v>
      </c>
      <c r="FO275" s="93">
        <v>118.56</v>
      </c>
      <c r="FP275" s="93">
        <v>99.52</v>
      </c>
      <c r="FQ275" s="93">
        <v>110.29</v>
      </c>
      <c r="FR275" s="93">
        <v>99.63</v>
      </c>
      <c r="FS275" s="93">
        <v>100.26</v>
      </c>
      <c r="FT275" s="93">
        <v>96.29</v>
      </c>
      <c r="FU275" s="93">
        <v>110.79</v>
      </c>
      <c r="FV275" s="93">
        <v>104.23</v>
      </c>
      <c r="FW275" s="93">
        <v>101.76</v>
      </c>
      <c r="FX275" s="93">
        <v>100.8</v>
      </c>
      <c r="FY275" s="93">
        <v>99.52</v>
      </c>
      <c r="FZ275" s="29">
        <v>208</v>
      </c>
      <c r="GA275" s="1504">
        <v>42826</v>
      </c>
      <c r="GB275" s="19">
        <v>102.96</v>
      </c>
      <c r="GC275" s="93">
        <v>105.62</v>
      </c>
      <c r="GD275" s="93">
        <v>102.27</v>
      </c>
      <c r="GE275" s="93">
        <v>88.79</v>
      </c>
      <c r="GF275" s="93">
        <v>106.08</v>
      </c>
      <c r="GG275" s="99">
        <v>103.69</v>
      </c>
      <c r="GH275" s="93">
        <v>104.62</v>
      </c>
      <c r="GI275" s="93">
        <v>104.02</v>
      </c>
      <c r="GJ275" s="93">
        <v>101.57</v>
      </c>
      <c r="GK275" s="93">
        <v>99.97</v>
      </c>
      <c r="GL275" s="93">
        <v>102.6</v>
      </c>
      <c r="GM275" s="93">
        <v>111.26</v>
      </c>
      <c r="GN275" s="20">
        <v>101.57</v>
      </c>
      <c r="GO275" s="29">
        <v>208</v>
      </c>
      <c r="GP275" s="1504">
        <v>42826</v>
      </c>
      <c r="GQ275" s="181">
        <v>266.05393450987401</v>
      </c>
      <c r="GR275" s="182">
        <v>216.286543816868</v>
      </c>
      <c r="GS275" s="182">
        <v>215.95913794881901</v>
      </c>
      <c r="GT275" s="182">
        <v>188.72740316537499</v>
      </c>
      <c r="GU275" s="182">
        <v>403.79162960043197</v>
      </c>
      <c r="GV275" s="290">
        <v>799.81179043569603</v>
      </c>
      <c r="GW275" s="181">
        <v>423.188020819629</v>
      </c>
      <c r="GX275" s="182">
        <v>434.70104791123202</v>
      </c>
      <c r="GY275" s="182">
        <v>453.503722946062</v>
      </c>
      <c r="GZ275" s="182">
        <v>230.39823771848</v>
      </c>
      <c r="HA275" s="182">
        <v>312.169872958837</v>
      </c>
      <c r="HB275" s="290">
        <v>638.58565802273995</v>
      </c>
      <c r="HC275" s="181">
        <v>2417.6302325198899</v>
      </c>
      <c r="HD275" s="182">
        <v>2806.44512586071</v>
      </c>
      <c r="HE275" s="182">
        <v>2367.34279178527</v>
      </c>
      <c r="HF275" s="182">
        <v>3150</v>
      </c>
      <c r="HG275" s="182">
        <v>2453.20858584505</v>
      </c>
      <c r="HH275" s="290">
        <v>2536.5497962428999</v>
      </c>
      <c r="HI275" s="19"/>
      <c r="HJ275" s="182">
        <v>881.13045437276605</v>
      </c>
      <c r="HK275" s="182">
        <v>1343.6953817308299</v>
      </c>
      <c r="HL275" s="182">
        <v>838.75476756201101</v>
      </c>
      <c r="HM275" s="182">
        <v>900</v>
      </c>
      <c r="HN275" s="290">
        <v>2778.1104408708702</v>
      </c>
      <c r="HO275" s="324">
        <v>147.039954032043</v>
      </c>
      <c r="HP275" s="290">
        <v>99.639776829292998</v>
      </c>
      <c r="HQ275" s="295">
        <v>136.18523317364699</v>
      </c>
      <c r="HR275" s="29">
        <v>208</v>
      </c>
      <c r="HS275" s="1504">
        <v>42826</v>
      </c>
      <c r="HT275" s="179">
        <v>230.96774291992188</v>
      </c>
      <c r="HU275" s="99">
        <v>262.73148091634113</v>
      </c>
      <c r="HV275" s="99">
        <v>194.26750793457032</v>
      </c>
      <c r="HW275" s="99">
        <v>129.80769729614258</v>
      </c>
      <c r="HX275" s="99">
        <v>206.25</v>
      </c>
      <c r="HY275" s="99">
        <v>222.22222137451172</v>
      </c>
      <c r="HZ275" s="99">
        <v>222.96755828857422</v>
      </c>
      <c r="IA275" s="132">
        <v>197.16775512695313</v>
      </c>
      <c r="IB275" s="179">
        <v>203.63831329345703</v>
      </c>
      <c r="IC275" s="99">
        <v>170.2127685546875</v>
      </c>
      <c r="ID275" s="99">
        <v>178.57142639160156</v>
      </c>
      <c r="IE275" s="99">
        <v>167.73162078857422</v>
      </c>
      <c r="IF275" s="99">
        <v>212.50000381469727</v>
      </c>
      <c r="IG275" s="132">
        <v>172.08334350585938</v>
      </c>
      <c r="IH275" s="179">
        <v>141.10841064453126</v>
      </c>
      <c r="II275" s="99">
        <v>205.36062622070313</v>
      </c>
      <c r="IJ275" s="99">
        <v>155.40540466308593</v>
      </c>
      <c r="IK275" s="99">
        <v>162.45487976074219</v>
      </c>
      <c r="IL275" s="99">
        <v>153.54938507080078</v>
      </c>
      <c r="IM275" s="99">
        <v>150.00000508626303</v>
      </c>
      <c r="IN275" s="99">
        <v>166.07774353027344</v>
      </c>
      <c r="IO275" s="132">
        <v>158.6466064453125</v>
      </c>
      <c r="IP275" s="29">
        <v>208</v>
      </c>
      <c r="IQ275" s="179">
        <v>173.61109924316406</v>
      </c>
      <c r="IR275" s="99">
        <v>110.81081085205078</v>
      </c>
      <c r="IS275" s="99">
        <v>137.9310302734375</v>
      </c>
      <c r="IT275" s="99">
        <v>120.14563751220703</v>
      </c>
      <c r="IU275" s="99">
        <v>162.109375</v>
      </c>
      <c r="IV275" s="132">
        <v>130.05780029296875</v>
      </c>
      <c r="IW275" s="29">
        <v>208</v>
      </c>
      <c r="IX275" s="419">
        <f>(((IX274/IX273-1)+(IX273/IX272-1))^1/2+1)*IX274</f>
        <v>371.54916399656543</v>
      </c>
      <c r="IY275" s="99">
        <v>365.74074978298609</v>
      </c>
      <c r="IZ275" s="99">
        <v>381.25</v>
      </c>
      <c r="JA275" s="99">
        <v>375</v>
      </c>
      <c r="JB275" s="99">
        <v>390</v>
      </c>
      <c r="JC275" s="99">
        <v>420</v>
      </c>
      <c r="JD275" s="100">
        <f t="shared" si="258"/>
        <v>340</v>
      </c>
      <c r="JE275" s="132">
        <v>400</v>
      </c>
      <c r="JF275" s="29">
        <v>208</v>
      </c>
      <c r="JG275" s="179">
        <v>179.49324493408204</v>
      </c>
      <c r="JH275" s="99">
        <v>197.61208852132162</v>
      </c>
      <c r="JI275" s="99">
        <v>154.34084167480469</v>
      </c>
      <c r="JJ275" s="99">
        <v>143.75</v>
      </c>
      <c r="JK275" s="99">
        <v>172.55892562866211</v>
      </c>
      <c r="JL275" s="99">
        <v>173.29023361206055</v>
      </c>
      <c r="JM275" s="99">
        <v>182.61826070149741</v>
      </c>
      <c r="JN275" s="132">
        <v>193.19514007568358</v>
      </c>
      <c r="JO275" s="29">
        <v>208</v>
      </c>
      <c r="JP275" s="179">
        <v>221.42857360839844</v>
      </c>
      <c r="JQ275" s="99">
        <v>126.90354919433594</v>
      </c>
      <c r="JR275" s="99">
        <v>172.41378784179688</v>
      </c>
      <c r="JS275" s="99"/>
      <c r="JT275" s="99">
        <v>187.5</v>
      </c>
      <c r="JU275" s="132">
        <v>133.82352638244629</v>
      </c>
      <c r="JV275" s="29">
        <v>208</v>
      </c>
      <c r="JW275" s="1504">
        <v>42826</v>
      </c>
      <c r="JX275" s="179"/>
      <c r="JY275" s="100">
        <f t="shared" si="259"/>
        <v>301.33589637780506</v>
      </c>
      <c r="JZ275" s="99">
        <v>231.78571428571428</v>
      </c>
      <c r="KA275" s="99">
        <v>230</v>
      </c>
      <c r="KB275" s="99">
        <v>211.444444444444</v>
      </c>
      <c r="KC275" s="99">
        <v>342.22222222222223</v>
      </c>
      <c r="KD275" s="132">
        <v>310.444444444444</v>
      </c>
      <c r="KE275" s="29">
        <v>208</v>
      </c>
      <c r="KF275" s="179"/>
      <c r="KG275" s="99">
        <v>40.653846153846153</v>
      </c>
      <c r="KH275" s="99">
        <v>46.708333333333336</v>
      </c>
      <c r="KI275" s="99">
        <v>47.814814814814802</v>
      </c>
      <c r="KJ275" s="99">
        <v>55.074074074074076</v>
      </c>
      <c r="KK275" s="132">
        <v>83.1</v>
      </c>
      <c r="KL275" s="29">
        <v>208</v>
      </c>
      <c r="KM275" s="100">
        <f t="shared" si="253"/>
        <v>18.000593337453346</v>
      </c>
      <c r="KN275" s="99">
        <v>23.291666666666668</v>
      </c>
      <c r="KO275" s="99">
        <v>26</v>
      </c>
      <c r="KP275" s="99">
        <v>33.1666666666667</v>
      </c>
      <c r="KQ275" s="99">
        <v>34.481481481481481</v>
      </c>
      <c r="KR275" s="132">
        <v>35.659999999999997</v>
      </c>
      <c r="KS275" s="29">
        <v>208</v>
      </c>
      <c r="KT275" s="100">
        <f t="shared" si="254"/>
        <v>30.915019128928506</v>
      </c>
      <c r="KU275" s="99">
        <v>23.326923076923077</v>
      </c>
      <c r="KV275" s="99">
        <v>33.055555555555557</v>
      </c>
      <c r="KW275" s="99">
        <v>31.055555555555554</v>
      </c>
      <c r="KX275" s="99">
        <v>26.342592592592592</v>
      </c>
      <c r="KY275" s="132">
        <v>29.896666666666668</v>
      </c>
      <c r="KZ275" s="29">
        <v>208</v>
      </c>
      <c r="LA275" s="1504">
        <v>42826</v>
      </c>
      <c r="LB275" s="19">
        <v>380</v>
      </c>
      <c r="LC275" s="93">
        <v>610</v>
      </c>
      <c r="LD275" s="93">
        <v>602</v>
      </c>
      <c r="LE275" s="93"/>
      <c r="LF275" s="93">
        <v>526</v>
      </c>
      <c r="LG275" s="93">
        <v>5000</v>
      </c>
      <c r="LH275" s="20">
        <v>2000</v>
      </c>
      <c r="LI275" s="29">
        <v>208</v>
      </c>
      <c r="LJ275" s="19"/>
      <c r="LK275" s="93"/>
      <c r="LL275" s="93"/>
      <c r="LM275" s="93"/>
      <c r="LN275" s="93"/>
      <c r="LO275" s="20"/>
      <c r="LP275" s="29">
        <v>208</v>
      </c>
      <c r="LQ275" s="19"/>
      <c r="LR275" s="93"/>
      <c r="LS275" s="93"/>
      <c r="LT275" s="93"/>
      <c r="LU275" s="93"/>
      <c r="LV275" s="93"/>
      <c r="LW275" s="93"/>
      <c r="LX275" s="93"/>
      <c r="LY275" s="93"/>
      <c r="LZ275" s="93"/>
      <c r="MA275" s="20"/>
      <c r="MB275" s="29">
        <v>208</v>
      </c>
      <c r="MC275" s="1504">
        <v>42826</v>
      </c>
      <c r="MD275" s="19">
        <v>453.89128235329457</v>
      </c>
      <c r="ME275" s="93">
        <v>423.34288793840005</v>
      </c>
      <c r="MF275" s="93">
        <v>423.34288793840005</v>
      </c>
      <c r="MG275" s="93">
        <v>386.57684613740003</v>
      </c>
      <c r="MH275" s="93">
        <v>105.658353909</v>
      </c>
      <c r="MI275" s="93">
        <v>3.2612575669999995</v>
      </c>
      <c r="MJ275" s="93">
        <v>2.4696373419999995</v>
      </c>
      <c r="MK275" s="93">
        <v>217.05401941240001</v>
      </c>
      <c r="ML275" s="93">
        <v>54.095093006999996</v>
      </c>
      <c r="MM275" s="93">
        <v>4.0384849000000003</v>
      </c>
      <c r="MN275" s="93">
        <v>36.766041801</v>
      </c>
      <c r="MO275" s="93">
        <v>1.843292419</v>
      </c>
      <c r="MP275" s="93">
        <v>12.657957016000001</v>
      </c>
      <c r="MQ275" s="93">
        <v>0.334870901</v>
      </c>
      <c r="MR275" s="93">
        <v>6.1329689E-2</v>
      </c>
      <c r="MS275" s="93">
        <v>21.868591776000002</v>
      </c>
      <c r="MT275" s="93">
        <v>0</v>
      </c>
      <c r="MU275" s="93">
        <v>30.548394414894524</v>
      </c>
      <c r="MV275" s="93">
        <v>30.548394414894524</v>
      </c>
      <c r="MW275" s="93">
        <v>0</v>
      </c>
      <c r="MX275" s="93">
        <v>526.1730590968948</v>
      </c>
      <c r="MY275" s="93">
        <v>526.34742695489479</v>
      </c>
      <c r="MZ275" s="93">
        <v>340.09165354210865</v>
      </c>
      <c r="NA275" s="93">
        <v>194.55854252466668</v>
      </c>
      <c r="NB275" s="93">
        <v>34.245055454000003</v>
      </c>
      <c r="NC275" s="93">
        <v>11.321350881442005</v>
      </c>
      <c r="ND275" s="93">
        <v>3.9388619240000002</v>
      </c>
      <c r="NE275" s="93">
        <v>7.3824889574420016</v>
      </c>
      <c r="NF275" s="93">
        <v>99.966704682</v>
      </c>
      <c r="NG275" s="93">
        <v>0</v>
      </c>
      <c r="NH275" s="93">
        <v>30.656334480999998</v>
      </c>
      <c r="NI275" s="93">
        <v>0</v>
      </c>
      <c r="NJ275" s="93">
        <v>0</v>
      </c>
      <c r="NK275" s="93">
        <v>186.25577341278614</v>
      </c>
      <c r="NL275" s="93">
        <v>129.63090227800001</v>
      </c>
      <c r="NM275" s="93">
        <v>0</v>
      </c>
      <c r="NN275" s="93">
        <v>56.624871134786162</v>
      </c>
      <c r="NO275" s="93">
        <v>-0.17436785800000279</v>
      </c>
      <c r="NP275" s="93">
        <v>-72.281776743600275</v>
      </c>
      <c r="NQ275" s="93">
        <v>-102.83017115849482</v>
      </c>
      <c r="NR275" s="93">
        <v>-34.883949142266644</v>
      </c>
      <c r="NS275" s="93">
        <v>-46.205300023708659</v>
      </c>
      <c r="NT275" s="93">
        <v>-105.04045061260035</v>
      </c>
      <c r="NU275" s="93">
        <v>-135.58884502749493</v>
      </c>
      <c r="NV275" s="93">
        <v>107.91402993773794</v>
      </c>
      <c r="NW275" s="93">
        <v>12.33325660973787</v>
      </c>
      <c r="NX275" s="93">
        <v>26.076476719891637</v>
      </c>
      <c r="NY275" s="93">
        <v>-13.743220110153771</v>
      </c>
      <c r="NZ275" s="93">
        <v>0</v>
      </c>
      <c r="OA275" s="93">
        <v>95.580773328000049</v>
      </c>
      <c r="OB275" s="93">
        <v>89.921918126000079</v>
      </c>
      <c r="OC275" s="93">
        <v>5.6588552019999954</v>
      </c>
      <c r="OD275" s="20">
        <v>-2.8735793251375683</v>
      </c>
      <c r="OE275" s="29">
        <v>208</v>
      </c>
      <c r="OF275" s="1504">
        <v>42826</v>
      </c>
      <c r="OG275" s="19"/>
      <c r="OH275" s="93">
        <v>285.22181559199998</v>
      </c>
      <c r="OI275" s="93">
        <v>1356.3190311233229</v>
      </c>
      <c r="OJ275" s="93">
        <v>0.40560426499999996</v>
      </c>
      <c r="OK275" s="93">
        <v>1164.355966163323</v>
      </c>
      <c r="OL275" s="93">
        <v>191.55746069499997</v>
      </c>
      <c r="OM275" s="93">
        <v>1641.5408467153229</v>
      </c>
      <c r="ON275" s="93">
        <v>1272.3805378035706</v>
      </c>
      <c r="OO275" s="93">
        <v>2913.9213845188933</v>
      </c>
      <c r="OP275" s="93"/>
      <c r="OQ275" s="93">
        <v>1128.1835295197081</v>
      </c>
      <c r="OR275" s="93">
        <v>-229.32665080200013</v>
      </c>
      <c r="OS275" s="93">
        <v>1357.510180321708</v>
      </c>
      <c r="OT275" s="93">
        <v>2153.377802903186</v>
      </c>
      <c r="OU275" s="93">
        <v>-41.066484185000064</v>
      </c>
      <c r="OV275" s="93">
        <v>-119.81148418500001</v>
      </c>
      <c r="OW275" s="93">
        <v>78.744999999999948</v>
      </c>
      <c r="OX275" s="93">
        <v>2194.4442870881862</v>
      </c>
      <c r="OY275" s="93">
        <v>4.3875312109999998</v>
      </c>
      <c r="OZ275" s="93">
        <v>2190.0567558771859</v>
      </c>
      <c r="PA275" s="93">
        <v>464.76048516800006</v>
      </c>
      <c r="PB275" s="93">
        <v>-97.120537263999964</v>
      </c>
      <c r="PC275" s="20">
        <v>2913.9213845188947</v>
      </c>
      <c r="PD275" s="29">
        <v>208</v>
      </c>
      <c r="PE275" s="19"/>
      <c r="PF275" s="93">
        <v>-229.32665080200013</v>
      </c>
      <c r="PG275" s="93">
        <v>630.83120527099993</v>
      </c>
      <c r="PH275" s="93">
        <v>860.15785607300006</v>
      </c>
      <c r="PI275" s="93">
        <v>840.62796001599997</v>
      </c>
      <c r="PJ275" s="93">
        <v>-112.33664147900001</v>
      </c>
      <c r="PK275" s="93">
        <v>133.369523394</v>
      </c>
      <c r="PL275" s="93">
        <v>245.70616487300001</v>
      </c>
      <c r="PM275" s="93">
        <v>4.3875312109999998</v>
      </c>
      <c r="PN275" s="93">
        <v>0.6</v>
      </c>
      <c r="PO275" s="93">
        <v>0</v>
      </c>
      <c r="PP275" s="93">
        <v>1.18585E-4</v>
      </c>
      <c r="PQ275" s="93">
        <v>3.7874126259999996</v>
      </c>
      <c r="PR275" s="93">
        <v>488.67181311399997</v>
      </c>
      <c r="PS275" s="93">
        <v>352.77265829800001</v>
      </c>
      <c r="PT275" s="93">
        <v>135.16698278300001</v>
      </c>
      <c r="PU275" s="93">
        <v>0.73217203299999989</v>
      </c>
      <c r="PV275" s="93">
        <v>0</v>
      </c>
      <c r="PW275" s="93">
        <v>0.86738355600000006</v>
      </c>
      <c r="PX275" s="93">
        <v>0</v>
      </c>
      <c r="PY275" s="93">
        <v>0</v>
      </c>
      <c r="PZ275" s="93">
        <v>0.86738355600000006</v>
      </c>
      <c r="QA275" s="93">
        <v>0</v>
      </c>
      <c r="QB275" s="93">
        <v>0</v>
      </c>
      <c r="QC275" s="93">
        <v>0</v>
      </c>
      <c r="QD275" s="93">
        <v>7.2601016120000006</v>
      </c>
      <c r="QE275" s="20">
        <v>6.5529006640000018</v>
      </c>
      <c r="QF275" s="1739">
        <v>208</v>
      </c>
      <c r="QG275" s="19"/>
      <c r="QH275" s="1035">
        <v>1357.510180321708</v>
      </c>
      <c r="QI275" s="1035">
        <v>1833.8402441228143</v>
      </c>
      <c r="QJ275" s="1035">
        <v>-476.33006380110618</v>
      </c>
      <c r="QK275" s="1035">
        <v>189.21</v>
      </c>
      <c r="QL275" s="1035">
        <v>60.076000000000001</v>
      </c>
      <c r="QM275" s="1035">
        <v>129.13400000000001</v>
      </c>
      <c r="QN275" s="1035">
        <v>0</v>
      </c>
      <c r="QO275" s="1035">
        <v>78.744999999999948</v>
      </c>
      <c r="QP275" s="1035">
        <v>375.37699999999995</v>
      </c>
      <c r="QQ275" s="1035">
        <v>-296.63200000000001</v>
      </c>
      <c r="QR275" s="1035">
        <v>2190.0567558771859</v>
      </c>
      <c r="QS275" s="1035">
        <v>23.250785774989215</v>
      </c>
      <c r="QT275" s="1035">
        <v>0</v>
      </c>
      <c r="QU275" s="1035">
        <v>146.042</v>
      </c>
      <c r="QV275" s="1035">
        <v>2020.7639701021967</v>
      </c>
      <c r="QW275" s="93"/>
      <c r="QX275" s="93">
        <v>844.10199999999998</v>
      </c>
      <c r="QY275" s="93">
        <v>1164.355966163323</v>
      </c>
      <c r="QZ275" s="93">
        <v>1272.053970035571</v>
      </c>
      <c r="RA275" s="93">
        <v>0</v>
      </c>
      <c r="RB275" s="93">
        <v>71.241</v>
      </c>
      <c r="RC275" s="93">
        <v>1.71</v>
      </c>
      <c r="RD275" s="93">
        <v>18.294</v>
      </c>
      <c r="RE275" s="93">
        <v>0</v>
      </c>
      <c r="RF275" s="93">
        <v>0</v>
      </c>
      <c r="RG275" s="93">
        <v>365.38800000000003</v>
      </c>
      <c r="RH275" s="93">
        <v>78.377000000000038</v>
      </c>
      <c r="RI275" s="93"/>
      <c r="RJ275" s="93"/>
      <c r="RK275" s="93"/>
      <c r="RL275" s="93"/>
      <c r="RM275" s="734"/>
      <c r="RN275" s="29">
        <v>208</v>
      </c>
      <c r="RO275" s="19">
        <v>116</v>
      </c>
      <c r="RP275" s="20">
        <v>433</v>
      </c>
      <c r="RQ275" s="29">
        <v>208</v>
      </c>
      <c r="RR275" s="734">
        <v>3.4157253800000005</v>
      </c>
      <c r="RS275" s="29">
        <v>208</v>
      </c>
      <c r="RT275" s="1504">
        <v>42826</v>
      </c>
      <c r="RU275" s="19">
        <v>670</v>
      </c>
      <c r="RV275" s="20">
        <v>10</v>
      </c>
      <c r="RW275" s="29">
        <v>208</v>
      </c>
      <c r="RX275" s="1504">
        <v>42826</v>
      </c>
      <c r="RY275" s="29"/>
      <c r="RZ275" s="734"/>
      <c r="SA275" s="29"/>
      <c r="SB275" s="29">
        <v>208</v>
      </c>
    </row>
    <row r="276" spans="1:496">
      <c r="A276" s="41">
        <f t="shared" si="238"/>
        <v>2017</v>
      </c>
      <c r="B276" s="1504">
        <v>42856</v>
      </c>
      <c r="C276" s="1813">
        <v>2263</v>
      </c>
      <c r="D276" s="1814">
        <v>36483</v>
      </c>
      <c r="E276" s="1814">
        <v>242</v>
      </c>
      <c r="F276" s="1815">
        <v>378</v>
      </c>
      <c r="G276" s="1814">
        <v>101143</v>
      </c>
      <c r="H276" s="1814">
        <v>56</v>
      </c>
      <c r="I276" s="1814">
        <v>46418</v>
      </c>
      <c r="J276" s="1816">
        <v>22162</v>
      </c>
      <c r="K276" s="1807">
        <v>209145</v>
      </c>
      <c r="L276" s="25">
        <v>209</v>
      </c>
      <c r="M276" s="97"/>
      <c r="N276" s="1504">
        <v>42856</v>
      </c>
      <c r="O276" s="19">
        <v>865</v>
      </c>
      <c r="P276" s="93">
        <v>1113</v>
      </c>
      <c r="Q276" s="93">
        <v>3631</v>
      </c>
      <c r="R276" s="93">
        <v>2338</v>
      </c>
      <c r="S276" s="93">
        <v>1475</v>
      </c>
      <c r="T276" s="93">
        <v>868</v>
      </c>
      <c r="U276" s="93"/>
      <c r="V276" s="93">
        <v>1591</v>
      </c>
      <c r="W276" s="93">
        <v>4208</v>
      </c>
      <c r="X276" s="93">
        <v>949</v>
      </c>
      <c r="Y276" s="93">
        <v>231</v>
      </c>
      <c r="Z276" s="93">
        <v>1515</v>
      </c>
      <c r="AA276" s="93">
        <v>1004</v>
      </c>
      <c r="AB276" s="132">
        <v>19788</v>
      </c>
      <c r="AC276" s="25">
        <v>209</v>
      </c>
      <c r="AD276" s="97"/>
      <c r="AE276" s="1504">
        <v>42856</v>
      </c>
      <c r="AF276" s="19">
        <v>2422</v>
      </c>
      <c r="AG276" s="93">
        <v>872</v>
      </c>
      <c r="AH276" s="93">
        <v>2233</v>
      </c>
      <c r="AI276" s="93">
        <v>3157</v>
      </c>
      <c r="AJ276" s="93">
        <v>2471</v>
      </c>
      <c r="AK276" s="93">
        <v>1811</v>
      </c>
      <c r="AL276" s="93"/>
      <c r="AM276" s="93">
        <v>2143</v>
      </c>
      <c r="AN276" s="93">
        <v>9918</v>
      </c>
      <c r="AO276" s="93">
        <v>1892</v>
      </c>
      <c r="AP276" s="93">
        <v>588</v>
      </c>
      <c r="AQ276" s="93">
        <v>2243</v>
      </c>
      <c r="AR276" s="93">
        <v>1337</v>
      </c>
      <c r="AS276" s="20">
        <v>31087</v>
      </c>
      <c r="AT276" s="25">
        <v>209</v>
      </c>
      <c r="AU276" s="97"/>
      <c r="AV276" s="1504">
        <v>42856</v>
      </c>
      <c r="AW276" s="19">
        <v>11153</v>
      </c>
      <c r="AX276" s="93">
        <v>3132</v>
      </c>
      <c r="AY276" s="93">
        <v>3970</v>
      </c>
      <c r="AZ276" s="93">
        <v>12408</v>
      </c>
      <c r="BA276" s="93">
        <v>10173</v>
      </c>
      <c r="BB276" s="93">
        <v>6252</v>
      </c>
      <c r="BC276" s="93"/>
      <c r="BD276" s="93">
        <v>11435</v>
      </c>
      <c r="BE276" s="93">
        <v>8774</v>
      </c>
      <c r="BF276" s="93">
        <v>6119</v>
      </c>
      <c r="BG276" s="93">
        <v>3208</v>
      </c>
      <c r="BH276" s="93">
        <v>13516</v>
      </c>
      <c r="BI276" s="93">
        <v>6163</v>
      </c>
      <c r="BJ276" s="20">
        <v>96303</v>
      </c>
      <c r="BK276" s="25">
        <v>209</v>
      </c>
      <c r="BL276" s="97"/>
      <c r="BM276" s="1504">
        <v>42856</v>
      </c>
      <c r="BN276" s="19">
        <v>160.08899999999994</v>
      </c>
      <c r="BO276" s="93">
        <v>2200.3359999999998</v>
      </c>
      <c r="BP276" s="93">
        <v>14.4</v>
      </c>
      <c r="BQ276" s="93">
        <v>911.75999999999954</v>
      </c>
      <c r="BR276" s="93">
        <v>2.907</v>
      </c>
      <c r="BS276" s="93">
        <v>338.58000000000004</v>
      </c>
      <c r="BT276" s="93">
        <v>548.95200000000011</v>
      </c>
      <c r="BU276" s="132">
        <v>4177.0239999999994</v>
      </c>
      <c r="BV276" s="25">
        <v>209</v>
      </c>
      <c r="BW276" s="97"/>
      <c r="BX276" s="1504">
        <v>42856</v>
      </c>
      <c r="BY276" s="179">
        <v>593.1967806113222</v>
      </c>
      <c r="BZ276" s="99">
        <v>664.95699999999999</v>
      </c>
      <c r="CA276" s="99">
        <v>601.57465150403516</v>
      </c>
      <c r="CB276" s="99">
        <v>44.724849146013028</v>
      </c>
      <c r="CC276" s="99">
        <v>139.53950967741935</v>
      </c>
      <c r="CD276" s="25">
        <v>209</v>
      </c>
      <c r="CE276" s="97"/>
      <c r="CF276" s="1504">
        <v>42856</v>
      </c>
      <c r="CG276" s="1508">
        <v>1.9541751679999999</v>
      </c>
      <c r="CH276" s="568">
        <v>1246.04</v>
      </c>
      <c r="CI276" s="1708">
        <v>49.893333333333302</v>
      </c>
      <c r="CJ276" s="1509">
        <v>50.87</v>
      </c>
      <c r="CK276" s="1508">
        <v>394.95</v>
      </c>
      <c r="CL276" s="568">
        <v>158.5900512</v>
      </c>
      <c r="CM276" s="568">
        <v>0.354061972</v>
      </c>
      <c r="CN276" s="568">
        <v>0.36084880000000003</v>
      </c>
      <c r="CO276" s="568">
        <v>180.41141970000001</v>
      </c>
      <c r="CP276" s="1509">
        <v>4.6041284080000002</v>
      </c>
      <c r="CQ276" s="1708">
        <v>1453.05</v>
      </c>
      <c r="CR276" s="568">
        <v>2.94</v>
      </c>
      <c r="CS276" s="568">
        <v>2.0971000000000002</v>
      </c>
      <c r="CT276" s="568">
        <v>92.5</v>
      </c>
      <c r="CU276" s="568">
        <v>62.43</v>
      </c>
      <c r="CV276" s="1709">
        <v>2590.21</v>
      </c>
      <c r="CW276" s="29">
        <v>209</v>
      </c>
      <c r="CX276" s="41">
        <f t="shared" si="239"/>
        <v>2017</v>
      </c>
      <c r="CY276" s="1504">
        <v>42856</v>
      </c>
      <c r="CZ276" s="1916">
        <v>131.76225005000001</v>
      </c>
      <c r="DA276" s="1526">
        <v>77.894531049999998</v>
      </c>
      <c r="DB276" s="1526">
        <v>53.867719000000001</v>
      </c>
      <c r="DC276" s="182">
        <f t="shared" si="255"/>
        <v>628111</v>
      </c>
      <c r="DD276" s="182">
        <f t="shared" si="256"/>
        <v>626374</v>
      </c>
      <c r="DE276" s="182">
        <f t="shared" si="257"/>
        <v>1737</v>
      </c>
      <c r="DF276" s="29">
        <v>209</v>
      </c>
      <c r="DG276" s="1504">
        <v>42856</v>
      </c>
      <c r="DH276" s="181">
        <v>363669</v>
      </c>
      <c r="DI276" s="182"/>
      <c r="DJ276" s="182"/>
      <c r="DK276" s="182"/>
      <c r="DL276" s="182"/>
      <c r="DM276" s="182"/>
      <c r="DN276" s="290"/>
      <c r="DO276" s="295"/>
      <c r="DP276" s="29">
        <v>209</v>
      </c>
      <c r="DQ276" s="1504">
        <v>42856</v>
      </c>
      <c r="DR276" s="19"/>
      <c r="DS276" s="93"/>
      <c r="DT276" s="93"/>
      <c r="DU276" s="93"/>
      <c r="DV276" s="93"/>
      <c r="DW276" s="93"/>
      <c r="DX276" s="1719"/>
      <c r="DY276" s="29">
        <v>209</v>
      </c>
      <c r="DZ276" s="1504">
        <v>42856</v>
      </c>
      <c r="EA276" s="19"/>
      <c r="EB276" s="93"/>
      <c r="EC276" s="20"/>
      <c r="ED276" s="29"/>
      <c r="EE276" s="1504">
        <v>42856</v>
      </c>
      <c r="EF276" s="179">
        <v>17860</v>
      </c>
      <c r="EG276" s="99">
        <v>17660</v>
      </c>
      <c r="EH276" s="99">
        <v>35520</v>
      </c>
      <c r="EI276" s="221">
        <v>6107</v>
      </c>
      <c r="EJ276" s="99">
        <v>677.93700000000001</v>
      </c>
      <c r="EK276" s="99">
        <v>218.74100000000001</v>
      </c>
      <c r="EL276" s="99">
        <v>5.3529999999999998</v>
      </c>
      <c r="EM276" s="99">
        <v>7.4909999999999997</v>
      </c>
      <c r="EN276" s="132">
        <v>909.52199999999993</v>
      </c>
      <c r="EO276" s="29">
        <v>209</v>
      </c>
      <c r="EP276" s="1504">
        <v>42856</v>
      </c>
      <c r="EQ276" s="19">
        <v>17378</v>
      </c>
      <c r="ER276" s="93">
        <v>17179</v>
      </c>
      <c r="ES276" s="93">
        <v>34557</v>
      </c>
      <c r="ET276" s="214">
        <v>5695</v>
      </c>
      <c r="EU276" s="93">
        <v>677.93700000000001</v>
      </c>
      <c r="EV276" s="93">
        <v>218.74100000000001</v>
      </c>
      <c r="EW276" s="93">
        <v>5.3529999999999998</v>
      </c>
      <c r="EX276" s="93">
        <v>7.4909999999999997</v>
      </c>
      <c r="EY276" s="20">
        <v>909.52199999999993</v>
      </c>
      <c r="EZ276" s="29">
        <v>209</v>
      </c>
      <c r="FA276" s="1504">
        <v>42856</v>
      </c>
      <c r="FB276" s="29">
        <v>482</v>
      </c>
      <c r="FC276" s="29">
        <v>481</v>
      </c>
      <c r="FD276" s="29">
        <v>963</v>
      </c>
      <c r="FE276" s="29">
        <v>412</v>
      </c>
      <c r="FF276" s="29">
        <v>0</v>
      </c>
      <c r="FG276" s="29">
        <v>0</v>
      </c>
      <c r="FH276" s="29">
        <v>0</v>
      </c>
      <c r="FI276" s="29">
        <v>0</v>
      </c>
      <c r="FJ276" s="29">
        <v>0</v>
      </c>
      <c r="FK276" s="29">
        <v>209</v>
      </c>
      <c r="FL276" s="1504">
        <v>42856</v>
      </c>
      <c r="FM276" s="19">
        <v>104.12</v>
      </c>
      <c r="FN276" s="93">
        <v>105.09</v>
      </c>
      <c r="FO276" s="93">
        <v>118.4</v>
      </c>
      <c r="FP276" s="93">
        <v>99.5</v>
      </c>
      <c r="FQ276" s="93">
        <v>112.22</v>
      </c>
      <c r="FR276" s="93">
        <v>99.6</v>
      </c>
      <c r="FS276" s="93">
        <v>100.26</v>
      </c>
      <c r="FT276" s="93">
        <v>96.3</v>
      </c>
      <c r="FU276" s="93">
        <v>110.79</v>
      </c>
      <c r="FV276" s="93">
        <v>104.23</v>
      </c>
      <c r="FW276" s="93">
        <v>101.76</v>
      </c>
      <c r="FX276" s="93">
        <v>100.81</v>
      </c>
      <c r="FY276" s="93">
        <v>99.52</v>
      </c>
      <c r="FZ276" s="29">
        <v>209</v>
      </c>
      <c r="GA276" s="1504">
        <v>42856</v>
      </c>
      <c r="GB276" s="19">
        <v>104.12</v>
      </c>
      <c r="GC276" s="93">
        <v>105.68</v>
      </c>
      <c r="GD276" s="93">
        <v>103.78</v>
      </c>
      <c r="GE276" s="93">
        <v>91.44</v>
      </c>
      <c r="GF276" s="93">
        <v>108.86</v>
      </c>
      <c r="GG276" s="99">
        <v>103.86</v>
      </c>
      <c r="GH276" s="93">
        <v>107.17</v>
      </c>
      <c r="GI276" s="93">
        <v>104.08</v>
      </c>
      <c r="GJ276" s="93">
        <v>101.58</v>
      </c>
      <c r="GK276" s="93">
        <v>99.97</v>
      </c>
      <c r="GL276" s="93">
        <v>104.23</v>
      </c>
      <c r="GM276" s="93">
        <v>111.25</v>
      </c>
      <c r="GN276" s="20">
        <v>101.58</v>
      </c>
      <c r="GO276" s="29">
        <v>209</v>
      </c>
      <c r="GP276" s="1504">
        <v>42856</v>
      </c>
      <c r="GQ276" s="181">
        <v>271.33461810580599</v>
      </c>
      <c r="GR276" s="182">
        <v>222.124100016368</v>
      </c>
      <c r="GS276" s="182">
        <v>218.55030551335901</v>
      </c>
      <c r="GT276" s="182">
        <v>183.37219985713099</v>
      </c>
      <c r="GU276" s="182">
        <v>416.093701850755</v>
      </c>
      <c r="GV276" s="290">
        <v>792.41002708215399</v>
      </c>
      <c r="GW276" s="181">
        <v>418.65309413642598</v>
      </c>
      <c r="GX276" s="182">
        <v>438.67397532581703</v>
      </c>
      <c r="GY276" s="182">
        <v>370.157709129002</v>
      </c>
      <c r="GZ276" s="182">
        <v>291.047558501541</v>
      </c>
      <c r="HA276" s="182">
        <v>321.25605542078699</v>
      </c>
      <c r="HB276" s="290">
        <v>746.61752158044601</v>
      </c>
      <c r="HC276" s="181">
        <v>1968.1955133650199</v>
      </c>
      <c r="HD276" s="182">
        <v>2235.6227744737198</v>
      </c>
      <c r="HE276" s="182">
        <v>2490.9138207657902</v>
      </c>
      <c r="HF276" s="182">
        <v>3150</v>
      </c>
      <c r="HG276" s="182">
        <v>2549.9961289948701</v>
      </c>
      <c r="HH276" s="290">
        <v>2648.7891979866499</v>
      </c>
      <c r="HI276" s="19"/>
      <c r="HJ276" s="182">
        <v>855.14691179671797</v>
      </c>
      <c r="HK276" s="182">
        <v>1278.75521602704</v>
      </c>
      <c r="HL276" s="182">
        <v>869.18537673474395</v>
      </c>
      <c r="HM276" s="182">
        <v>900</v>
      </c>
      <c r="HN276" s="290">
        <v>2513.1733139545699</v>
      </c>
      <c r="HO276" s="324">
        <v>137.173276111641</v>
      </c>
      <c r="HP276" s="290">
        <v>100.35949586643299</v>
      </c>
      <c r="HQ276" s="295">
        <v>140.628398727046</v>
      </c>
      <c r="HR276" s="29">
        <v>209</v>
      </c>
      <c r="HS276" s="1504">
        <v>42856</v>
      </c>
      <c r="HT276" s="179">
        <v>244.81686782836914</v>
      </c>
      <c r="HU276" s="99">
        <v>263.88888549804688</v>
      </c>
      <c r="HV276" s="99">
        <v>201.03502464294434</v>
      </c>
      <c r="HW276" s="99">
        <v>137.01923370361328</v>
      </c>
      <c r="HX276" s="99">
        <v>229.16666412353516</v>
      </c>
      <c r="HY276" s="99">
        <v>232.0601806640625</v>
      </c>
      <c r="HZ276" s="99">
        <v>236.59304809570313</v>
      </c>
      <c r="IA276" s="132">
        <v>207.51634216308594</v>
      </c>
      <c r="IB276" s="179">
        <v>196.9477653503418</v>
      </c>
      <c r="IC276" s="99">
        <v>182.84574508666992</v>
      </c>
      <c r="ID276" s="99">
        <v>196.42857360839844</v>
      </c>
      <c r="IE276" s="99">
        <v>175.71884155273438</v>
      </c>
      <c r="IF276" s="99">
        <v>216.66666793823242</v>
      </c>
      <c r="IG276" s="132">
        <v>173.75000762939453</v>
      </c>
      <c r="IH276" s="179">
        <v>146.77433395385742</v>
      </c>
      <c r="II276" s="99">
        <v>192.06871795654297</v>
      </c>
      <c r="IJ276" s="99">
        <v>168.91891479492188</v>
      </c>
      <c r="IK276" s="99">
        <v>162.45487976074219</v>
      </c>
      <c r="IL276" s="99">
        <v>153.54938507080078</v>
      </c>
      <c r="IM276" s="99">
        <v>149.51612854003906</v>
      </c>
      <c r="IN276" s="99">
        <v>176.67845153808594</v>
      </c>
      <c r="IO276" s="132">
        <v>158.73014831542969</v>
      </c>
      <c r="IP276" s="29">
        <v>209</v>
      </c>
      <c r="IQ276" s="179">
        <v>175.91161346435547</v>
      </c>
      <c r="IR276" s="99">
        <v>124.99999809265137</v>
      </c>
      <c r="IS276" s="99">
        <v>140.08620071411133</v>
      </c>
      <c r="IT276" s="99">
        <v>128.64078140258789</v>
      </c>
      <c r="IU276" s="99">
        <v>171.875</v>
      </c>
      <c r="IV276" s="132">
        <v>135.69363784790039</v>
      </c>
      <c r="IW276" s="29">
        <v>209</v>
      </c>
      <c r="IX276" s="419">
        <f>(((IX275/IX274-1)+(IX274/IX273-1))^1/2+1)*IX275</f>
        <v>371.94092195261646</v>
      </c>
      <c r="IY276" s="99">
        <v>364.58334350585938</v>
      </c>
      <c r="IZ276" s="99">
        <v>378.22580718994141</v>
      </c>
      <c r="JA276" s="99">
        <v>375</v>
      </c>
      <c r="JB276" s="99">
        <v>390</v>
      </c>
      <c r="JC276" s="99">
        <v>400</v>
      </c>
      <c r="JD276" s="100">
        <f t="shared" si="258"/>
        <v>340</v>
      </c>
      <c r="JE276" s="132">
        <v>400</v>
      </c>
      <c r="JF276" s="29">
        <v>209</v>
      </c>
      <c r="JG276" s="179">
        <v>172.33952713012695</v>
      </c>
      <c r="JH276" s="99">
        <v>210.52631568908691</v>
      </c>
      <c r="JI276" s="99">
        <v>160.77171325683594</v>
      </c>
      <c r="JJ276" s="99">
        <v>150</v>
      </c>
      <c r="JK276" s="99">
        <v>185.1851806640625</v>
      </c>
      <c r="JL276" s="99">
        <v>183.67502593994141</v>
      </c>
      <c r="JM276" s="99">
        <v>181.51815414428711</v>
      </c>
      <c r="JN276" s="132">
        <v>212.23984146118164</v>
      </c>
      <c r="JO276" s="29">
        <v>209</v>
      </c>
      <c r="JP276" s="179">
        <v>191.60824584960938</v>
      </c>
      <c r="JQ276" s="99">
        <v>126.90354919433594</v>
      </c>
      <c r="JR276" s="99">
        <v>187.49999237060547</v>
      </c>
      <c r="JS276" s="99"/>
      <c r="JT276" s="99">
        <v>191.40625</v>
      </c>
      <c r="JU276" s="132">
        <v>133.68983459472656</v>
      </c>
      <c r="JV276" s="29">
        <v>209</v>
      </c>
      <c r="JW276" s="1504">
        <v>42856</v>
      </c>
      <c r="JX276" s="179"/>
      <c r="JY276" s="100">
        <f t="shared" si="259"/>
        <v>304.39078394291067</v>
      </c>
      <c r="JZ276" s="99">
        <v>243.8</v>
      </c>
      <c r="KA276" s="99">
        <v>220</v>
      </c>
      <c r="KB276" s="99">
        <v>230.625</v>
      </c>
      <c r="KC276" s="99">
        <v>367.39130434782612</v>
      </c>
      <c r="KD276" s="132">
        <v>314</v>
      </c>
      <c r="KE276" s="29">
        <v>209</v>
      </c>
      <c r="KF276" s="179"/>
      <c r="KG276" s="99">
        <v>43.858974358974358</v>
      </c>
      <c r="KH276" s="99">
        <v>44.2</v>
      </c>
      <c r="KI276" s="99">
        <v>46.1666666666667</v>
      </c>
      <c r="KJ276" s="99">
        <v>51.333333333333336</v>
      </c>
      <c r="KK276" s="132">
        <v>82.935897435897431</v>
      </c>
      <c r="KL276" s="29">
        <v>209</v>
      </c>
      <c r="KM276" s="100">
        <f t="shared" si="253"/>
        <v>17.501135106641897</v>
      </c>
      <c r="KN276" s="99">
        <v>24.133333333333333</v>
      </c>
      <c r="KO276" s="99">
        <v>36.4375</v>
      </c>
      <c r="KP276" s="99">
        <v>35</v>
      </c>
      <c r="KQ276" s="99">
        <v>26.366666666666667</v>
      </c>
      <c r="KR276" s="132">
        <v>36</v>
      </c>
      <c r="KS276" s="29">
        <v>209</v>
      </c>
      <c r="KT276" s="100">
        <f t="shared" si="254"/>
        <v>31.658396452307684</v>
      </c>
      <c r="KU276" s="99">
        <v>24.076923076923077</v>
      </c>
      <c r="KV276" s="99">
        <v>34.5625</v>
      </c>
      <c r="KW276" s="99">
        <v>27.708333333333332</v>
      </c>
      <c r="KX276" s="99">
        <v>20.666666666666668</v>
      </c>
      <c r="KY276" s="132">
        <v>30.032051282051281</v>
      </c>
      <c r="KZ276" s="29">
        <v>209</v>
      </c>
      <c r="LA276" s="1504">
        <v>42856</v>
      </c>
      <c r="LB276" s="19">
        <v>380</v>
      </c>
      <c r="LC276" s="93">
        <v>610</v>
      </c>
      <c r="LD276" s="93">
        <v>602</v>
      </c>
      <c r="LE276" s="93"/>
      <c r="LF276" s="93">
        <v>526</v>
      </c>
      <c r="LG276" s="93">
        <v>5000</v>
      </c>
      <c r="LH276" s="20">
        <v>2000</v>
      </c>
      <c r="LI276" s="29">
        <v>209</v>
      </c>
      <c r="LJ276" s="19"/>
      <c r="LK276" s="93"/>
      <c r="LL276" s="93"/>
      <c r="LM276" s="93"/>
      <c r="LN276" s="93"/>
      <c r="LO276" s="20"/>
      <c r="LP276" s="29">
        <v>209</v>
      </c>
      <c r="LQ276" s="19"/>
      <c r="LR276" s="93"/>
      <c r="LS276" s="93"/>
      <c r="LT276" s="93"/>
      <c r="LU276" s="93"/>
      <c r="LV276" s="93"/>
      <c r="LW276" s="93"/>
      <c r="LX276" s="93"/>
      <c r="LY276" s="93"/>
      <c r="LZ276" s="93"/>
      <c r="MA276" s="20"/>
      <c r="MB276" s="29">
        <v>209</v>
      </c>
      <c r="MC276" s="1504">
        <v>42856</v>
      </c>
      <c r="MD276" s="19">
        <v>574.13362422109719</v>
      </c>
      <c r="ME276" s="93">
        <v>541.37091598479992</v>
      </c>
      <c r="MF276" s="93">
        <v>541.37091598479992</v>
      </c>
      <c r="MG276" s="93">
        <v>486.98247424480007</v>
      </c>
      <c r="MH276" s="93">
        <v>129.70365942999999</v>
      </c>
      <c r="MI276" s="93">
        <v>4.0890591350000003</v>
      </c>
      <c r="MJ276" s="93">
        <v>2.9805217389999998</v>
      </c>
      <c r="MK276" s="93">
        <v>275.75329627280001</v>
      </c>
      <c r="ML276" s="93">
        <v>69.151017431999989</v>
      </c>
      <c r="MM276" s="93">
        <v>5.3049202360000001</v>
      </c>
      <c r="MN276" s="93">
        <v>54.388441739999998</v>
      </c>
      <c r="MO276" s="93">
        <v>2.198319884</v>
      </c>
      <c r="MP276" s="93">
        <v>14.943032845000001</v>
      </c>
      <c r="MQ276" s="93">
        <v>0.40316530099999998</v>
      </c>
      <c r="MR276" s="93">
        <v>10.919120852000001</v>
      </c>
      <c r="MS276" s="93">
        <v>25.924802858</v>
      </c>
      <c r="MT276" s="93">
        <v>0</v>
      </c>
      <c r="MU276" s="93">
        <v>32.762708236297179</v>
      </c>
      <c r="MV276" s="93">
        <v>32.762708236297179</v>
      </c>
      <c r="MW276" s="93">
        <v>0</v>
      </c>
      <c r="MX276" s="93">
        <v>778.38500423370658</v>
      </c>
      <c r="MY276" s="93">
        <v>778.6042838797066</v>
      </c>
      <c r="MZ276" s="93">
        <v>519.11571718458174</v>
      </c>
      <c r="NA276" s="93">
        <v>243.80633848033335</v>
      </c>
      <c r="NB276" s="93">
        <v>45.011366068000001</v>
      </c>
      <c r="NC276" s="93">
        <v>20.584827323248462</v>
      </c>
      <c r="ND276" s="93">
        <v>12.007523422</v>
      </c>
      <c r="NE276" s="93">
        <v>8.5773039012484595</v>
      </c>
      <c r="NF276" s="93">
        <v>209.71318531300003</v>
      </c>
      <c r="NG276" s="93">
        <v>0</v>
      </c>
      <c r="NH276" s="93">
        <v>39.681009904</v>
      </c>
      <c r="NI276" s="93">
        <v>0</v>
      </c>
      <c r="NJ276" s="93">
        <v>50</v>
      </c>
      <c r="NK276" s="93">
        <v>259.4885666951248</v>
      </c>
      <c r="NL276" s="93">
        <v>199.925624118</v>
      </c>
      <c r="NM276" s="93">
        <v>0</v>
      </c>
      <c r="NN276" s="93">
        <v>59.562942577124815</v>
      </c>
      <c r="NO276" s="93">
        <v>-0.2192796460000053</v>
      </c>
      <c r="NP276" s="93">
        <v>-204.25138001260942</v>
      </c>
      <c r="NQ276" s="93">
        <v>-237.0140882489066</v>
      </c>
      <c r="NR276" s="93">
        <v>-156.86631834853333</v>
      </c>
      <c r="NS276" s="93">
        <v>-177.45114567178183</v>
      </c>
      <c r="NT276" s="93">
        <v>-73.529408228276168</v>
      </c>
      <c r="NU276" s="93">
        <v>-106.29211646457337</v>
      </c>
      <c r="NV276" s="93">
        <v>71.952070763694437</v>
      </c>
      <c r="NW276" s="93">
        <v>7.9056558536943742</v>
      </c>
      <c r="NX276" s="93">
        <v>26.800234340827629</v>
      </c>
      <c r="NY276" s="93">
        <v>-18.894578487133259</v>
      </c>
      <c r="NZ276" s="93">
        <v>0</v>
      </c>
      <c r="OA276" s="93">
        <v>64.046414910000038</v>
      </c>
      <c r="OB276" s="93">
        <v>33.36520516800006</v>
      </c>
      <c r="OC276" s="93">
        <v>30.681209741999997</v>
      </c>
      <c r="OD276" s="20">
        <v>1.5773374645817522</v>
      </c>
      <c r="OE276" s="29">
        <v>209</v>
      </c>
      <c r="OF276" s="1504">
        <v>42856</v>
      </c>
      <c r="OG276" s="19"/>
      <c r="OH276" s="93">
        <v>442.84778346117002</v>
      </c>
      <c r="OI276" s="93">
        <v>1412.6888334497116</v>
      </c>
      <c r="OJ276" s="93">
        <v>0.92789637699999994</v>
      </c>
      <c r="OK276" s="93">
        <v>1219.2223658977116</v>
      </c>
      <c r="OL276" s="93">
        <v>192.53857117500002</v>
      </c>
      <c r="OM276" s="93">
        <v>1855.5366169108815</v>
      </c>
      <c r="ON276" s="93">
        <v>1260.8153075787557</v>
      </c>
      <c r="OO276" s="93">
        <v>3116.351924489637</v>
      </c>
      <c r="OP276" s="93"/>
      <c r="OQ276" s="93">
        <v>1289.9405932929981</v>
      </c>
      <c r="OR276" s="93">
        <v>-29.012201569829926</v>
      </c>
      <c r="OS276" s="93">
        <v>1318.9527948628281</v>
      </c>
      <c r="OT276" s="93">
        <v>2187.8946204696394</v>
      </c>
      <c r="OU276" s="93">
        <v>-70.50423609799995</v>
      </c>
      <c r="OV276" s="93">
        <v>-149.538236098</v>
      </c>
      <c r="OW276" s="93">
        <v>79.034000000000049</v>
      </c>
      <c r="OX276" s="93">
        <v>2258.3988565676395</v>
      </c>
      <c r="OY276" s="93">
        <v>4.5205457220000005</v>
      </c>
      <c r="OZ276" s="93">
        <v>2253.8783108456396</v>
      </c>
      <c r="PA276" s="93">
        <v>476.21448313499997</v>
      </c>
      <c r="PB276" s="93">
        <v>-114.73119386199994</v>
      </c>
      <c r="PC276" s="20">
        <v>3116.3519244896374</v>
      </c>
      <c r="PD276" s="29">
        <v>209</v>
      </c>
      <c r="PE276" s="19"/>
      <c r="PF276" s="93">
        <v>-29.012201569829926</v>
      </c>
      <c r="PG276" s="93">
        <v>879.87156756016998</v>
      </c>
      <c r="PH276" s="93">
        <v>908.88376912999991</v>
      </c>
      <c r="PI276" s="93">
        <v>868.57796001600002</v>
      </c>
      <c r="PJ276" s="93">
        <v>-142.34405230799999</v>
      </c>
      <c r="PK276" s="93">
        <v>133.390050151</v>
      </c>
      <c r="PL276" s="93">
        <v>275.73410245899998</v>
      </c>
      <c r="PM276" s="93">
        <v>4.5205457220000005</v>
      </c>
      <c r="PN276" s="93">
        <v>0.6</v>
      </c>
      <c r="PO276" s="93">
        <v>0</v>
      </c>
      <c r="PP276" s="93">
        <v>6.4814199999999999E-4</v>
      </c>
      <c r="PQ276" s="93">
        <v>3.9198975800000002</v>
      </c>
      <c r="PR276" s="93">
        <v>690.48981676417009</v>
      </c>
      <c r="PS276" s="93">
        <v>509.42296725117001</v>
      </c>
      <c r="PT276" s="93">
        <v>179.81238536800001</v>
      </c>
      <c r="PU276" s="93">
        <v>1.254464145</v>
      </c>
      <c r="PV276" s="93">
        <v>0</v>
      </c>
      <c r="PW276" s="93">
        <v>1.3778146920000001</v>
      </c>
      <c r="PX276" s="93">
        <v>0</v>
      </c>
      <c r="PY276" s="93">
        <v>0</v>
      </c>
      <c r="PZ276" s="93">
        <v>1.3778146920000001</v>
      </c>
      <c r="QA276" s="93">
        <v>0</v>
      </c>
      <c r="QB276" s="93">
        <v>0</v>
      </c>
      <c r="QC276" s="93">
        <v>0</v>
      </c>
      <c r="QD276" s="93">
        <v>8.7346684430000003</v>
      </c>
      <c r="QE276" s="20">
        <v>1.1399519609999857</v>
      </c>
      <c r="QF276" s="1739">
        <v>209</v>
      </c>
      <c r="QG276" s="19"/>
      <c r="QH276" s="1035">
        <v>1318.9527948628281</v>
      </c>
      <c r="QI276" s="1035">
        <v>1850.6956891543605</v>
      </c>
      <c r="QJ276" s="1035">
        <v>-531.74289429153237</v>
      </c>
      <c r="QK276" s="1035">
        <v>248.99699999999999</v>
      </c>
      <c r="QL276" s="1035">
        <v>59.381</v>
      </c>
      <c r="QM276" s="1035">
        <v>189.61599999999999</v>
      </c>
      <c r="QN276" s="1035">
        <v>0</v>
      </c>
      <c r="QO276" s="1035">
        <v>79.034000000000049</v>
      </c>
      <c r="QP276" s="1035">
        <v>380.79900000000004</v>
      </c>
      <c r="QQ276" s="1035">
        <v>-301.76499999999999</v>
      </c>
      <c r="QR276" s="1035">
        <v>2253.8783108456396</v>
      </c>
      <c r="QS276" s="1035">
        <v>26.3336866274229</v>
      </c>
      <c r="QT276" s="1035">
        <v>0</v>
      </c>
      <c r="QU276" s="1035">
        <v>151.18899999999999</v>
      </c>
      <c r="QV276" s="1035">
        <v>2076.3556242182167</v>
      </c>
      <c r="QW276" s="93"/>
      <c r="QX276" s="93">
        <v>872.61400000000003</v>
      </c>
      <c r="QY276" s="93">
        <v>1219.2223658977116</v>
      </c>
      <c r="QZ276" s="93">
        <v>1260.4887398107558</v>
      </c>
      <c r="RA276" s="93">
        <v>0</v>
      </c>
      <c r="RB276" s="93">
        <v>71.747</v>
      </c>
      <c r="RC276" s="93">
        <v>1.7050000000000001</v>
      </c>
      <c r="RD276" s="93">
        <v>18.084</v>
      </c>
      <c r="RE276" s="93">
        <v>0</v>
      </c>
      <c r="RF276" s="93">
        <v>0</v>
      </c>
      <c r="RG276" s="93">
        <v>374.56599999999997</v>
      </c>
      <c r="RH276" s="93">
        <v>82.435000000000031</v>
      </c>
      <c r="RI276" s="93"/>
      <c r="RJ276" s="93"/>
      <c r="RK276" s="93"/>
      <c r="RL276" s="93"/>
      <c r="RM276" s="734"/>
      <c r="RN276" s="29">
        <v>209</v>
      </c>
      <c r="RO276" s="19">
        <v>96</v>
      </c>
      <c r="RP276" s="20">
        <v>415</v>
      </c>
      <c r="RQ276" s="29">
        <v>209</v>
      </c>
      <c r="RR276" s="734">
        <v>3.8232180399999995</v>
      </c>
      <c r="RS276" s="29">
        <v>209</v>
      </c>
      <c r="RT276" s="1504">
        <v>42856</v>
      </c>
      <c r="RU276" s="19">
        <v>782</v>
      </c>
      <c r="RV276" s="20">
        <v>15</v>
      </c>
      <c r="RW276" s="29">
        <v>209</v>
      </c>
      <c r="RX276" s="1504">
        <v>42856</v>
      </c>
      <c r="RY276" s="29"/>
      <c r="RZ276" s="734"/>
      <c r="SA276" s="29"/>
      <c r="SB276" s="29">
        <v>209</v>
      </c>
    </row>
    <row r="277" spans="1:496">
      <c r="A277" s="41">
        <f t="shared" si="238"/>
        <v>2017</v>
      </c>
      <c r="B277" s="1504">
        <v>42887</v>
      </c>
      <c r="C277" s="1813">
        <v>2988</v>
      </c>
      <c r="D277" s="1814">
        <v>41004</v>
      </c>
      <c r="E277" s="1814">
        <v>152</v>
      </c>
      <c r="F277" s="1815">
        <v>432</v>
      </c>
      <c r="G277" s="1814">
        <v>115542</v>
      </c>
      <c r="H277" s="1814">
        <v>28</v>
      </c>
      <c r="I277" s="1814">
        <v>52794</v>
      </c>
      <c r="J277" s="1816">
        <v>25317</v>
      </c>
      <c r="K277" s="1807">
        <v>238257</v>
      </c>
      <c r="L277" s="25">
        <v>210</v>
      </c>
      <c r="M277" s="97"/>
      <c r="N277" s="1504">
        <v>42887</v>
      </c>
      <c r="O277" s="19">
        <v>817</v>
      </c>
      <c r="P277" s="93">
        <v>821</v>
      </c>
      <c r="Q277" s="93">
        <v>3847</v>
      </c>
      <c r="R277" s="93">
        <v>2307</v>
      </c>
      <c r="S277" s="93">
        <v>1629</v>
      </c>
      <c r="T277" s="93">
        <v>760</v>
      </c>
      <c r="U277" s="93">
        <v>418</v>
      </c>
      <c r="V277" s="93">
        <v>1555</v>
      </c>
      <c r="W277" s="93">
        <v>3597</v>
      </c>
      <c r="X277" s="93">
        <v>1113</v>
      </c>
      <c r="Y277" s="93">
        <v>248</v>
      </c>
      <c r="Z277" s="93">
        <v>1517</v>
      </c>
      <c r="AA277" s="93">
        <v>843</v>
      </c>
      <c r="AB277" s="132">
        <v>19472</v>
      </c>
      <c r="AC277" s="25">
        <v>210</v>
      </c>
      <c r="AD277" s="97"/>
      <c r="AE277" s="1504">
        <v>42887</v>
      </c>
      <c r="AF277" s="19">
        <v>2230</v>
      </c>
      <c r="AG277" s="93">
        <v>768</v>
      </c>
      <c r="AH277" s="93">
        <v>2999</v>
      </c>
      <c r="AI277" s="93">
        <v>3865</v>
      </c>
      <c r="AJ277" s="93">
        <v>2691</v>
      </c>
      <c r="AK277" s="93">
        <v>2111</v>
      </c>
      <c r="AL277" s="93">
        <v>1068</v>
      </c>
      <c r="AM277" s="93">
        <v>2206</v>
      </c>
      <c r="AN277" s="93">
        <v>13052</v>
      </c>
      <c r="AO277" s="93">
        <v>2027</v>
      </c>
      <c r="AP277" s="93">
        <v>733</v>
      </c>
      <c r="AQ277" s="93">
        <v>2774</v>
      </c>
      <c r="AR277" s="93">
        <v>1096</v>
      </c>
      <c r="AS277" s="20">
        <v>37620</v>
      </c>
      <c r="AT277" s="25">
        <v>210</v>
      </c>
      <c r="AU277" s="97"/>
      <c r="AV277" s="1504">
        <v>42887</v>
      </c>
      <c r="AW277" s="19">
        <v>11606</v>
      </c>
      <c r="AX277" s="93">
        <v>3452</v>
      </c>
      <c r="AY277" s="93">
        <v>4774</v>
      </c>
      <c r="AZ277" s="93">
        <v>16491</v>
      </c>
      <c r="BA277" s="93">
        <v>11687</v>
      </c>
      <c r="BB277" s="93">
        <v>8246</v>
      </c>
      <c r="BC277" s="93">
        <v>4404</v>
      </c>
      <c r="BD277" s="93">
        <v>15259</v>
      </c>
      <c r="BE277" s="93">
        <v>6454</v>
      </c>
      <c r="BF277" s="93">
        <v>7431</v>
      </c>
      <c r="BG277" s="93">
        <v>3644</v>
      </c>
      <c r="BH277" s="93">
        <v>13236</v>
      </c>
      <c r="BI277" s="93">
        <v>7286</v>
      </c>
      <c r="BJ277" s="20">
        <v>113970</v>
      </c>
      <c r="BK277" s="25">
        <v>210</v>
      </c>
      <c r="BL277" s="97"/>
      <c r="BM277" s="1504">
        <v>42887</v>
      </c>
      <c r="BN277" s="19">
        <v>69.717000000000013</v>
      </c>
      <c r="BO277" s="93">
        <v>2062.8149999999996</v>
      </c>
      <c r="BP277" s="93">
        <v>8.8320000000000007</v>
      </c>
      <c r="BQ277" s="93">
        <v>874.95199999999988</v>
      </c>
      <c r="BR277" s="93">
        <v>3.6719999999999997</v>
      </c>
      <c r="BS277" s="93">
        <v>288.35099999999994</v>
      </c>
      <c r="BT277" s="93">
        <v>428.66399999999999</v>
      </c>
      <c r="BU277" s="132">
        <v>3737.0029999999997</v>
      </c>
      <c r="BV277" s="25">
        <v>210</v>
      </c>
      <c r="BW277" s="97"/>
      <c r="BX277" s="1504">
        <v>42887</v>
      </c>
      <c r="BY277" s="179">
        <v>584.1633270994746</v>
      </c>
      <c r="BZ277" s="99">
        <v>664.95699999999999</v>
      </c>
      <c r="CA277" s="99">
        <v>603.23432039727788</v>
      </c>
      <c r="CB277" s="99">
        <v>45.230615411136014</v>
      </c>
      <c r="CC277" s="99">
        <v>133.71889333333334</v>
      </c>
      <c r="CD277" s="25">
        <v>210</v>
      </c>
      <c r="CE277" s="97"/>
      <c r="CF277" s="1504">
        <v>42887</v>
      </c>
      <c r="CG277" s="1508">
        <v>1.868635912</v>
      </c>
      <c r="CH277" s="568">
        <v>1260.26</v>
      </c>
      <c r="CI277" s="1708">
        <v>46.1666666666667</v>
      </c>
      <c r="CJ277" s="1509">
        <v>46.89</v>
      </c>
      <c r="CK277" s="1508">
        <v>440.86</v>
      </c>
      <c r="CL277" s="568">
        <v>157.93260559999999</v>
      </c>
      <c r="CM277" s="568">
        <v>0.30644218000000001</v>
      </c>
      <c r="CN277" s="568">
        <v>0.36662891199999997</v>
      </c>
      <c r="CO277" s="568">
        <v>189.5973372</v>
      </c>
      <c r="CP277" s="1509">
        <v>4.6783138710000003</v>
      </c>
      <c r="CQ277" s="1708">
        <v>1463.07</v>
      </c>
      <c r="CR277" s="568">
        <v>3.1375000000000002</v>
      </c>
      <c r="CS277" s="568">
        <v>1.7195</v>
      </c>
      <c r="CT277" s="568">
        <v>92.5</v>
      </c>
      <c r="CU277" s="568">
        <v>57.48</v>
      </c>
      <c r="CV277" s="1709">
        <v>2573.4</v>
      </c>
      <c r="CW277" s="29">
        <v>210</v>
      </c>
      <c r="CX277" s="41">
        <f t="shared" si="239"/>
        <v>2017</v>
      </c>
      <c r="CY277" s="1504">
        <v>42887</v>
      </c>
      <c r="CZ277" s="1916">
        <v>132.45224764</v>
      </c>
      <c r="DA277" s="1526">
        <v>79.59724464</v>
      </c>
      <c r="DB277" s="1526">
        <v>52.855003000000004</v>
      </c>
      <c r="DC277" s="182">
        <f t="shared" si="255"/>
        <v>628111</v>
      </c>
      <c r="DD277" s="182">
        <f t="shared" si="256"/>
        <v>626374</v>
      </c>
      <c r="DE277" s="182">
        <f t="shared" si="257"/>
        <v>1737</v>
      </c>
      <c r="DF277" s="29">
        <v>210</v>
      </c>
      <c r="DG277" s="1504">
        <v>42887</v>
      </c>
      <c r="DH277" s="181">
        <v>369973</v>
      </c>
      <c r="DI277" s="182"/>
      <c r="DJ277" s="182"/>
      <c r="DK277" s="182"/>
      <c r="DL277" s="182"/>
      <c r="DM277" s="182"/>
      <c r="DN277" s="290"/>
      <c r="DO277" s="295"/>
      <c r="DP277" s="29">
        <v>210</v>
      </c>
      <c r="DQ277" s="1504">
        <v>42887</v>
      </c>
      <c r="DR277" s="19">
        <v>42004</v>
      </c>
      <c r="DS277" s="93">
        <v>429</v>
      </c>
      <c r="DT277" s="93">
        <v>51784</v>
      </c>
      <c r="DU277" s="93">
        <v>7581</v>
      </c>
      <c r="DV277" s="93">
        <v>26514</v>
      </c>
      <c r="DW277" s="93">
        <v>2663</v>
      </c>
      <c r="DX277" s="1719">
        <v>11321</v>
      </c>
      <c r="DY277" s="29">
        <v>210</v>
      </c>
      <c r="DZ277" s="1504">
        <v>42887</v>
      </c>
      <c r="EA277" s="19"/>
      <c r="EB277" s="93"/>
      <c r="EC277" s="20"/>
      <c r="ED277" s="29"/>
      <c r="EE277" s="1504">
        <v>42887</v>
      </c>
      <c r="EF277" s="179">
        <v>17775</v>
      </c>
      <c r="EG277" s="99">
        <v>18656</v>
      </c>
      <c r="EH277" s="99">
        <v>36431</v>
      </c>
      <c r="EI277" s="221">
        <v>5847</v>
      </c>
      <c r="EJ277" s="99">
        <v>597.79600000000005</v>
      </c>
      <c r="EK277" s="99">
        <v>95.605000000000004</v>
      </c>
      <c r="EL277" s="99">
        <v>10.324</v>
      </c>
      <c r="EM277" s="99">
        <v>4.8230000000000004</v>
      </c>
      <c r="EN277" s="132">
        <v>708.548</v>
      </c>
      <c r="EO277" s="29">
        <v>210</v>
      </c>
      <c r="EP277" s="1504">
        <v>42887</v>
      </c>
      <c r="EQ277" s="19">
        <v>17158</v>
      </c>
      <c r="ER277" s="93">
        <v>18066</v>
      </c>
      <c r="ES277" s="93">
        <v>35224</v>
      </c>
      <c r="ET277" s="214">
        <v>5387</v>
      </c>
      <c r="EU277" s="93">
        <v>597.79600000000005</v>
      </c>
      <c r="EV277" s="93">
        <v>95.605000000000004</v>
      </c>
      <c r="EW277" s="93">
        <v>10.324</v>
      </c>
      <c r="EX277" s="93">
        <v>4.8230000000000004</v>
      </c>
      <c r="EY277" s="20">
        <v>708.548</v>
      </c>
      <c r="EZ277" s="29">
        <v>210</v>
      </c>
      <c r="FA277" s="1504">
        <v>42887</v>
      </c>
      <c r="FB277" s="29">
        <v>617</v>
      </c>
      <c r="FC277" s="29">
        <v>590</v>
      </c>
      <c r="FD277" s="29">
        <v>1207</v>
      </c>
      <c r="FE277" s="29">
        <v>460</v>
      </c>
      <c r="FF277" s="29">
        <v>0</v>
      </c>
      <c r="FG277" s="29">
        <v>0</v>
      </c>
      <c r="FH277" s="29">
        <v>0</v>
      </c>
      <c r="FI277" s="29">
        <v>0</v>
      </c>
      <c r="FJ277" s="29">
        <v>0</v>
      </c>
      <c r="FK277" s="29">
        <v>210</v>
      </c>
      <c r="FL277" s="1504">
        <v>42887</v>
      </c>
      <c r="FM277" s="19">
        <v>103.44</v>
      </c>
      <c r="FN277" s="93">
        <v>106.54</v>
      </c>
      <c r="FO277" s="93">
        <v>110.23</v>
      </c>
      <c r="FP277" s="93">
        <v>100.73</v>
      </c>
      <c r="FQ277" s="93">
        <v>96.16</v>
      </c>
      <c r="FR277" s="93">
        <v>100.01</v>
      </c>
      <c r="FS277" s="93">
        <v>100.26</v>
      </c>
      <c r="FT277" s="93">
        <v>96.32</v>
      </c>
      <c r="FU277" s="93">
        <v>110.79</v>
      </c>
      <c r="FV277" s="93">
        <v>104.01</v>
      </c>
      <c r="FW277" s="93">
        <v>101.76</v>
      </c>
      <c r="FX277" s="93">
        <v>102.72</v>
      </c>
      <c r="FY277" s="93">
        <v>99.51</v>
      </c>
      <c r="FZ277" s="29">
        <v>210</v>
      </c>
      <c r="GA277" s="1504">
        <v>42887</v>
      </c>
      <c r="GB277" s="19">
        <v>103.44</v>
      </c>
      <c r="GC277" s="93">
        <v>100.72</v>
      </c>
      <c r="GD277" s="93">
        <v>105.23</v>
      </c>
      <c r="GE277" s="93">
        <v>91.84</v>
      </c>
      <c r="GF277" s="93">
        <v>111.66</v>
      </c>
      <c r="GG277" s="99">
        <v>102</v>
      </c>
      <c r="GH277" s="93">
        <v>109.35</v>
      </c>
      <c r="GI277" s="93">
        <v>100.75</v>
      </c>
      <c r="GJ277" s="93">
        <v>102.25</v>
      </c>
      <c r="GK277" s="93">
        <v>99.8</v>
      </c>
      <c r="GL277" s="93">
        <v>105.2</v>
      </c>
      <c r="GM277" s="93">
        <v>101.33</v>
      </c>
      <c r="GN277" s="20">
        <v>102.25</v>
      </c>
      <c r="GO277" s="29">
        <v>210</v>
      </c>
      <c r="GP277" s="1504">
        <v>42887</v>
      </c>
      <c r="GQ277" s="181">
        <v>310.93798630740298</v>
      </c>
      <c r="GR277" s="182">
        <v>214.33501413393699</v>
      </c>
      <c r="GS277" s="182">
        <v>224.78072900515301</v>
      </c>
      <c r="GT277" s="182">
        <v>181.77119871776901</v>
      </c>
      <c r="GU277" s="182">
        <v>418.97722620819502</v>
      </c>
      <c r="GV277" s="290">
        <v>806.06228246880005</v>
      </c>
      <c r="GW277" s="181">
        <v>422.94317366581299</v>
      </c>
      <c r="GX277" s="182">
        <v>450.32736937393202</v>
      </c>
      <c r="GY277" s="182">
        <v>370.635219425039</v>
      </c>
      <c r="GZ277" s="182">
        <v>318.59905577095998</v>
      </c>
      <c r="HA277" s="182">
        <v>393.764158490098</v>
      </c>
      <c r="HB277" s="290">
        <v>885.47839480323</v>
      </c>
      <c r="HC277" s="181">
        <v>2066.4214774503898</v>
      </c>
      <c r="HD277" s="182">
        <v>2319.26759981347</v>
      </c>
      <c r="HE277" s="182">
        <v>2398.4048153597901</v>
      </c>
      <c r="HF277" s="182">
        <v>3150</v>
      </c>
      <c r="HG277" s="182">
        <v>2642.3148282697098</v>
      </c>
      <c r="HH277" s="290">
        <v>2685.0804944070601</v>
      </c>
      <c r="HI277" s="19"/>
      <c r="HJ277" s="182">
        <v>847.20403439868198</v>
      </c>
      <c r="HK277" s="182">
        <v>1337.7157687276101</v>
      </c>
      <c r="HL277" s="182">
        <v>764.03238389705803</v>
      </c>
      <c r="HM277" s="182">
        <v>900</v>
      </c>
      <c r="HN277" s="290">
        <v>2626.0872615039402</v>
      </c>
      <c r="HO277" s="324">
        <v>134.224003668351</v>
      </c>
      <c r="HP277" s="290">
        <v>99.802033419425001</v>
      </c>
      <c r="HQ277" s="295">
        <v>136.42663562800601</v>
      </c>
      <c r="HR277" s="29">
        <v>210</v>
      </c>
      <c r="HS277" s="1504">
        <v>42887</v>
      </c>
      <c r="HT277" s="179">
        <v>259.40859985351563</v>
      </c>
      <c r="HU277" s="99">
        <v>261.11110839843752</v>
      </c>
      <c r="HV277" s="99">
        <v>222.929931640625</v>
      </c>
      <c r="HW277" s="99">
        <v>147.43590291341147</v>
      </c>
      <c r="HX277" s="99">
        <v>233.33332824707031</v>
      </c>
      <c r="HY277" s="99">
        <v>246.33486938476563</v>
      </c>
      <c r="HZ277" s="99">
        <v>232.71216201782227</v>
      </c>
      <c r="IA277" s="132">
        <v>216.09477615356445</v>
      </c>
      <c r="IB277" s="179">
        <v>214.33225097656251</v>
      </c>
      <c r="IC277" s="99">
        <v>179.52127838134766</v>
      </c>
      <c r="ID277" s="99">
        <v>191.96428680419922</v>
      </c>
      <c r="IE277" s="99">
        <v>178.11500549316406</v>
      </c>
      <c r="IF277" s="99">
        <v>229.16666412353516</v>
      </c>
      <c r="IG277" s="132">
        <v>189.44445419311523</v>
      </c>
      <c r="IH277" s="179">
        <v>139.46373494466147</v>
      </c>
      <c r="II277" s="99">
        <v>188.59649658203125</v>
      </c>
      <c r="IJ277" s="99">
        <v>168.91891479492188</v>
      </c>
      <c r="IK277" s="99">
        <v>162.45487976074219</v>
      </c>
      <c r="IL277" s="99">
        <v>153.54938507080078</v>
      </c>
      <c r="IM277" s="99">
        <v>151.20968246459961</v>
      </c>
      <c r="IN277" s="99">
        <v>176.67845153808594</v>
      </c>
      <c r="IO277" s="132">
        <v>158.6257209777832</v>
      </c>
      <c r="IP277" s="29">
        <v>210</v>
      </c>
      <c r="IQ277" s="179">
        <v>174.55830993652344</v>
      </c>
      <c r="IR277" s="99">
        <v>121.62162017822266</v>
      </c>
      <c r="IS277" s="99">
        <v>140.80459086100259</v>
      </c>
      <c r="IT277" s="99">
        <v>118.52750968933105</v>
      </c>
      <c r="IU277" s="99">
        <v>179.6875</v>
      </c>
      <c r="IV277" s="132">
        <v>128.32369613647461</v>
      </c>
      <c r="IW277" s="29">
        <v>210</v>
      </c>
      <c r="IX277" s="419">
        <f>(((IX276/IX275-1)+(IX275/IX274-1))^1/2+1)*IX276</f>
        <v>368.00120254993226</v>
      </c>
      <c r="IY277" s="99">
        <v>353.47222290039065</v>
      </c>
      <c r="IZ277" s="99">
        <v>396.77419281005859</v>
      </c>
      <c r="JA277" s="99">
        <v>375</v>
      </c>
      <c r="JB277" s="99">
        <v>390</v>
      </c>
      <c r="JC277" s="99">
        <v>400</v>
      </c>
      <c r="JD277" s="100">
        <f t="shared" si="258"/>
        <v>340</v>
      </c>
      <c r="JE277" s="306">
        <f>(((JE276/JE275-1)+(JE275/JE274-1))^1/2+1)*JE276</f>
        <v>400</v>
      </c>
      <c r="JF277" s="29">
        <v>210</v>
      </c>
      <c r="JG277" s="179">
        <v>173.42342503865561</v>
      </c>
      <c r="JH277" s="99">
        <v>193.85965576171876</v>
      </c>
      <c r="JI277" s="99">
        <v>172.82958602905273</v>
      </c>
      <c r="JJ277" s="99">
        <v>158.33333333333334</v>
      </c>
      <c r="JK277" s="99">
        <v>185.1851806640625</v>
      </c>
      <c r="JL277" s="99">
        <v>183.67502593994141</v>
      </c>
      <c r="JM277" s="99">
        <v>182.34323501586914</v>
      </c>
      <c r="JN277" s="132">
        <v>207.03125</v>
      </c>
      <c r="JO277" s="29">
        <v>210</v>
      </c>
      <c r="JP277" s="179">
        <v>180.98159790039063</v>
      </c>
      <c r="JQ277" s="99">
        <v>126.90354919433594</v>
      </c>
      <c r="JR277" s="99">
        <v>183.90803527832031</v>
      </c>
      <c r="JS277" s="99"/>
      <c r="JT277" s="99">
        <v>187.5</v>
      </c>
      <c r="JU277" s="132">
        <v>135.42780303955078</v>
      </c>
      <c r="JV277" s="29">
        <v>210</v>
      </c>
      <c r="JW277" s="1504">
        <v>42887</v>
      </c>
      <c r="JX277" s="179"/>
      <c r="JY277" s="100">
        <f t="shared" si="259"/>
        <v>307.84323648661444</v>
      </c>
      <c r="JZ277" s="99">
        <v>215</v>
      </c>
      <c r="KA277" s="99">
        <v>223.166666666667</v>
      </c>
      <c r="KB277" s="99">
        <v>203.333333333333</v>
      </c>
      <c r="KC277" s="100">
        <f>(((KC276/KC275-1)+(KC275/KC274-1))^1/2+1)*KC276</f>
        <v>363.91884366995077</v>
      </c>
      <c r="KD277" s="132">
        <v>303.33333333333331</v>
      </c>
      <c r="KE277" s="29">
        <v>210</v>
      </c>
      <c r="KF277" s="179"/>
      <c r="KG277" s="99">
        <v>43.3</v>
      </c>
      <c r="KH277" s="99">
        <v>39</v>
      </c>
      <c r="KI277" s="99">
        <v>48.125</v>
      </c>
      <c r="KJ277" s="100">
        <f t="shared" ref="KG277:KK279" si="260">(((KJ276/KJ275-1)+(KJ275/KJ274-1))^1/2+1)*KJ276</f>
        <v>48.507125161671333</v>
      </c>
      <c r="KK277" s="132">
        <v>81.371212121212125</v>
      </c>
      <c r="KL277" s="29">
        <v>210</v>
      </c>
      <c r="KM277" s="100">
        <f t="shared" si="253"/>
        <v>17.01656903427406</v>
      </c>
      <c r="KN277" s="99">
        <v>15.233333333333334</v>
      </c>
      <c r="KO277" s="99">
        <v>36.266666666666666</v>
      </c>
      <c r="KP277" s="99">
        <v>39.291666666666664</v>
      </c>
      <c r="KQ277" s="99"/>
      <c r="KR277" s="132">
        <v>36.090909090909086</v>
      </c>
      <c r="KS277" s="29">
        <v>210</v>
      </c>
      <c r="KT277" s="100">
        <f t="shared" si="254"/>
        <v>32.422563954061886</v>
      </c>
      <c r="KU277" s="99">
        <v>24.233333333333331</v>
      </c>
      <c r="KV277" s="99">
        <v>34.366666666666667</v>
      </c>
      <c r="KW277" s="99">
        <v>29.166666666666668</v>
      </c>
      <c r="KX277" s="99"/>
      <c r="KY277" s="132">
        <v>30.457070707070706</v>
      </c>
      <c r="KZ277" s="29">
        <v>210</v>
      </c>
      <c r="LA277" s="1504">
        <v>42887</v>
      </c>
      <c r="LB277" s="19">
        <v>380</v>
      </c>
      <c r="LC277" s="93">
        <v>610</v>
      </c>
      <c r="LD277" s="93">
        <v>602</v>
      </c>
      <c r="LE277" s="93"/>
      <c r="LF277" s="93">
        <v>526</v>
      </c>
      <c r="LG277" s="93">
        <v>5000</v>
      </c>
      <c r="LH277" s="20">
        <v>2000</v>
      </c>
      <c r="LI277" s="29">
        <v>210</v>
      </c>
      <c r="LJ277" s="19"/>
      <c r="LK277" s="93"/>
      <c r="LL277" s="93"/>
      <c r="LM277" s="93"/>
      <c r="LN277" s="93"/>
      <c r="LO277" s="20"/>
      <c r="LP277" s="29">
        <v>210</v>
      </c>
      <c r="LQ277" s="19"/>
      <c r="LR277" s="93"/>
      <c r="LS277" s="93"/>
      <c r="LT277" s="93"/>
      <c r="LU277" s="93"/>
      <c r="LV277" s="93"/>
      <c r="LW277" s="93"/>
      <c r="LX277" s="93"/>
      <c r="LY277" s="93"/>
      <c r="LZ277" s="93"/>
      <c r="MA277" s="20"/>
      <c r="MB277" s="29">
        <v>210</v>
      </c>
      <c r="MC277" s="1504">
        <v>42887</v>
      </c>
      <c r="MD277" s="19">
        <v>719.22881663126088</v>
      </c>
      <c r="ME277" s="93">
        <v>667.39997718819995</v>
      </c>
      <c r="MF277" s="93">
        <v>667.39997718819995</v>
      </c>
      <c r="MG277" s="93">
        <v>588.52742336520009</v>
      </c>
      <c r="MH277" s="93">
        <v>149.55123942699998</v>
      </c>
      <c r="MI277" s="93">
        <v>5.0021537069999997</v>
      </c>
      <c r="MJ277" s="93">
        <v>3.5176490909999996</v>
      </c>
      <c r="MK277" s="93">
        <v>338.83518700720003</v>
      </c>
      <c r="ML277" s="93">
        <v>85.481081830999997</v>
      </c>
      <c r="MM277" s="93">
        <v>6.1401123019999995</v>
      </c>
      <c r="MN277" s="93">
        <v>78.87255382299999</v>
      </c>
      <c r="MO277" s="93">
        <v>2.6842291010000006</v>
      </c>
      <c r="MP277" s="93">
        <v>17.768576419000002</v>
      </c>
      <c r="MQ277" s="93">
        <v>0.82586642200000004</v>
      </c>
      <c r="MR277" s="93">
        <v>21.481355044000001</v>
      </c>
      <c r="MS277" s="93">
        <v>36.112526836999997</v>
      </c>
      <c r="MT277" s="93">
        <v>0</v>
      </c>
      <c r="MU277" s="93">
        <v>51.828839443060751</v>
      </c>
      <c r="MV277" s="93">
        <v>40.372136796060744</v>
      </c>
      <c r="MW277" s="93">
        <v>11.456702647</v>
      </c>
      <c r="MX277" s="93">
        <v>1013.0925837671869</v>
      </c>
      <c r="MY277" s="93">
        <v>1014.3591356181869</v>
      </c>
      <c r="MZ277" s="93">
        <v>678.91352927521712</v>
      </c>
      <c r="NA277" s="93">
        <v>298.38402315666673</v>
      </c>
      <c r="NB277" s="93">
        <v>64.774189092</v>
      </c>
      <c r="NC277" s="93">
        <v>27.094011306550449</v>
      </c>
      <c r="ND277" s="93">
        <v>16.849596351999999</v>
      </c>
      <c r="NE277" s="93">
        <v>10.244414954550443</v>
      </c>
      <c r="NF277" s="93">
        <v>288.66130572000003</v>
      </c>
      <c r="NG277" s="93">
        <v>0</v>
      </c>
      <c r="NH277" s="93">
        <v>43.107283885999998</v>
      </c>
      <c r="NI277" s="93">
        <v>0</v>
      </c>
      <c r="NJ277" s="93">
        <v>50</v>
      </c>
      <c r="NK277" s="93">
        <v>335.44560634296977</v>
      </c>
      <c r="NL277" s="93">
        <v>263.26915212</v>
      </c>
      <c r="NM277" s="93">
        <v>0</v>
      </c>
      <c r="NN277" s="93">
        <v>72.176454222969767</v>
      </c>
      <c r="NO277" s="93">
        <v>-1.2665518510000002</v>
      </c>
      <c r="NP277" s="93">
        <v>-293.86376713592614</v>
      </c>
      <c r="NQ277" s="93">
        <v>-345.69260657898684</v>
      </c>
      <c r="NR277" s="93">
        <v>-246.42214104946666</v>
      </c>
      <c r="NS277" s="93">
        <v>-273.51615235601707</v>
      </c>
      <c r="NT277" s="93">
        <v>-212.76649072592619</v>
      </c>
      <c r="NU277" s="93">
        <v>-264.595330168987</v>
      </c>
      <c r="NV277" s="93">
        <v>209.12845860672613</v>
      </c>
      <c r="NW277" s="93">
        <v>6.250243170726125</v>
      </c>
      <c r="NX277" s="93">
        <v>31.80431742690903</v>
      </c>
      <c r="NY277" s="93">
        <v>-25.554074256182908</v>
      </c>
      <c r="NZ277" s="93">
        <v>0</v>
      </c>
      <c r="OA277" s="93">
        <v>202.878215436</v>
      </c>
      <c r="OB277" s="93">
        <v>184.170881022</v>
      </c>
      <c r="OC277" s="93">
        <v>18.707334413999998</v>
      </c>
      <c r="OD277" s="20">
        <v>3.6380321192000751</v>
      </c>
      <c r="OE277" s="29">
        <v>210</v>
      </c>
      <c r="OF277" s="1504">
        <v>42887</v>
      </c>
      <c r="OG277" s="19"/>
      <c r="OH277" s="93">
        <v>332.20080301199999</v>
      </c>
      <c r="OI277" s="93">
        <v>1456.8871976531518</v>
      </c>
      <c r="OJ277" s="93">
        <v>0.45726683700000004</v>
      </c>
      <c r="OK277" s="93">
        <v>1264.517122284152</v>
      </c>
      <c r="OL277" s="93">
        <v>191.91280853199999</v>
      </c>
      <c r="OM277" s="93">
        <v>1789.0880006651519</v>
      </c>
      <c r="ON277" s="93">
        <v>1278.0264498339368</v>
      </c>
      <c r="OO277" s="93">
        <v>3067.1144504990889</v>
      </c>
      <c r="OP277" s="93"/>
      <c r="OQ277" s="93">
        <v>1182.612644385099</v>
      </c>
      <c r="OR277" s="93">
        <v>-146.20323957999994</v>
      </c>
      <c r="OS277" s="93">
        <v>1328.8158839650989</v>
      </c>
      <c r="OT277" s="93">
        <v>2269.3503666219904</v>
      </c>
      <c r="OU277" s="93">
        <v>-19.947977449000007</v>
      </c>
      <c r="OV277" s="93">
        <v>-112.58497744900001</v>
      </c>
      <c r="OW277" s="93">
        <v>92.637</v>
      </c>
      <c r="OX277" s="93">
        <v>2289.2983440709904</v>
      </c>
      <c r="OY277" s="93">
        <v>4.5032236860000001</v>
      </c>
      <c r="OZ277" s="93">
        <v>2284.7951203849907</v>
      </c>
      <c r="PA277" s="93">
        <v>503.6404388200001</v>
      </c>
      <c r="PB277" s="93">
        <v>-118.79187831200012</v>
      </c>
      <c r="PC277" s="20">
        <v>3067.1144504990898</v>
      </c>
      <c r="PD277" s="29">
        <v>210</v>
      </c>
      <c r="PE277" s="19"/>
      <c r="PF277" s="93">
        <v>-146.20323957999994</v>
      </c>
      <c r="PG277" s="93">
        <v>824.87900812400005</v>
      </c>
      <c r="PH277" s="93">
        <v>971.082247704</v>
      </c>
      <c r="PI277" s="93">
        <v>859.67796001600004</v>
      </c>
      <c r="PJ277" s="93">
        <v>-103.880594214</v>
      </c>
      <c r="PK277" s="93">
        <v>127.766280436</v>
      </c>
      <c r="PL277" s="93">
        <v>231.64687465</v>
      </c>
      <c r="PM277" s="93">
        <v>4.5032236860000001</v>
      </c>
      <c r="PN277" s="93">
        <v>0.6</v>
      </c>
      <c r="PO277" s="93">
        <v>0</v>
      </c>
      <c r="PP277" s="93">
        <v>6.4814199999999999E-4</v>
      </c>
      <c r="PQ277" s="93">
        <v>3.9025755440000003</v>
      </c>
      <c r="PR277" s="93">
        <v>596.18975868300004</v>
      </c>
      <c r="PS277" s="93">
        <v>403.57118624700001</v>
      </c>
      <c r="PT277" s="93">
        <v>191.83473783100001</v>
      </c>
      <c r="PU277" s="93">
        <v>0.78383460500000002</v>
      </c>
      <c r="PV277" s="93">
        <v>0</v>
      </c>
      <c r="PW277" s="93">
        <v>2.68105576</v>
      </c>
      <c r="PX277" s="93">
        <v>0</v>
      </c>
      <c r="PY277" s="93">
        <v>0</v>
      </c>
      <c r="PZ277" s="93">
        <v>2.68105576</v>
      </c>
      <c r="QA277" s="93">
        <v>0</v>
      </c>
      <c r="QB277" s="93">
        <v>0</v>
      </c>
      <c r="QC277" s="93">
        <v>0</v>
      </c>
      <c r="QD277" s="93">
        <v>11.823383059999999</v>
      </c>
      <c r="QE277" s="20">
        <v>3.4031524050000002</v>
      </c>
      <c r="QF277" s="1739">
        <v>210</v>
      </c>
      <c r="QG277" s="19"/>
      <c r="QH277" s="1035">
        <v>1328.8158839650989</v>
      </c>
      <c r="QI277" s="1035">
        <v>1863.3678796150098</v>
      </c>
      <c r="QJ277" s="1035">
        <v>-534.55199564991085</v>
      </c>
      <c r="QK277" s="1035">
        <v>258.529</v>
      </c>
      <c r="QL277" s="1035">
        <v>62.665999999999997</v>
      </c>
      <c r="QM277" s="1035">
        <v>195.863</v>
      </c>
      <c r="QN277" s="1035">
        <v>0</v>
      </c>
      <c r="QO277" s="1035">
        <v>92.637</v>
      </c>
      <c r="QP277" s="1035">
        <v>392.084</v>
      </c>
      <c r="QQ277" s="1035">
        <v>-299.447</v>
      </c>
      <c r="QR277" s="1035">
        <v>2284.7951203849907</v>
      </c>
      <c r="QS277" s="1035">
        <v>25.500979639149595</v>
      </c>
      <c r="QT277" s="1035">
        <v>0</v>
      </c>
      <c r="QU277" s="1035">
        <v>159.179</v>
      </c>
      <c r="QV277" s="1035">
        <v>2100.115140745841</v>
      </c>
      <c r="QW277" s="93"/>
      <c r="QX277" s="93">
        <v>866.75</v>
      </c>
      <c r="QY277" s="93">
        <v>1264.517122284152</v>
      </c>
      <c r="QZ277" s="93">
        <v>1277.6998820659369</v>
      </c>
      <c r="RA277" s="93">
        <v>0</v>
      </c>
      <c r="RB277" s="93">
        <v>67.581000000000003</v>
      </c>
      <c r="RC277" s="93">
        <v>1.7080000000000002</v>
      </c>
      <c r="RD277" s="93">
        <v>26.559000000000001</v>
      </c>
      <c r="RE277" s="93">
        <v>0</v>
      </c>
      <c r="RF277" s="93">
        <v>0</v>
      </c>
      <c r="RG277" s="93">
        <v>393.28800000000007</v>
      </c>
      <c r="RH277" s="93">
        <v>66.673999999999978</v>
      </c>
      <c r="RI277" s="93"/>
      <c r="RJ277" s="93"/>
      <c r="RK277" s="93"/>
      <c r="RL277" s="93"/>
      <c r="RM277" s="734"/>
      <c r="RN277" s="29">
        <v>210</v>
      </c>
      <c r="RO277" s="19">
        <v>113</v>
      </c>
      <c r="RP277" s="20">
        <v>469</v>
      </c>
      <c r="RQ277" s="29">
        <v>210</v>
      </c>
      <c r="RR277" s="734">
        <v>4.2085421299999997</v>
      </c>
      <c r="RS277" s="29">
        <v>210</v>
      </c>
      <c r="RT277" s="1504">
        <v>42887</v>
      </c>
      <c r="RU277" s="19">
        <v>748</v>
      </c>
      <c r="RV277" s="20">
        <v>22</v>
      </c>
      <c r="RW277" s="29">
        <v>210</v>
      </c>
      <c r="RX277" s="1504">
        <v>42887</v>
      </c>
      <c r="RY277" s="29"/>
      <c r="RZ277" s="734"/>
      <c r="SA277" s="29"/>
      <c r="SB277" s="29">
        <v>210</v>
      </c>
    </row>
    <row r="278" spans="1:496">
      <c r="A278" s="41">
        <f t="shared" si="238"/>
        <v>2017</v>
      </c>
      <c r="B278" s="1504">
        <v>42917</v>
      </c>
      <c r="C278" s="1813">
        <v>1339</v>
      </c>
      <c r="D278" s="1814">
        <v>36293</v>
      </c>
      <c r="E278" s="1814">
        <v>112</v>
      </c>
      <c r="F278" s="1815">
        <v>472</v>
      </c>
      <c r="G278" s="1814">
        <v>116889</v>
      </c>
      <c r="H278" s="1814">
        <v>36</v>
      </c>
      <c r="I278" s="1814">
        <v>49824</v>
      </c>
      <c r="J278" s="1816">
        <v>22218</v>
      </c>
      <c r="K278" s="1807">
        <v>227183</v>
      </c>
      <c r="L278" s="25">
        <v>211</v>
      </c>
      <c r="M278" s="97"/>
      <c r="N278" s="1504">
        <v>42917</v>
      </c>
      <c r="O278" s="19">
        <v>785</v>
      </c>
      <c r="P278" s="93">
        <v>791</v>
      </c>
      <c r="Q278" s="93">
        <v>3291</v>
      </c>
      <c r="R278" s="93">
        <v>2655</v>
      </c>
      <c r="S278" s="93">
        <v>1324</v>
      </c>
      <c r="T278" s="93">
        <v>750</v>
      </c>
      <c r="U278" s="93"/>
      <c r="V278" s="93">
        <v>1727</v>
      </c>
      <c r="W278" s="93">
        <v>3718</v>
      </c>
      <c r="X278" s="93">
        <v>799</v>
      </c>
      <c r="Y278" s="93">
        <v>263</v>
      </c>
      <c r="Z278" s="93">
        <v>1360</v>
      </c>
      <c r="AA278" s="93">
        <v>792</v>
      </c>
      <c r="AB278" s="132">
        <v>18255</v>
      </c>
      <c r="AC278" s="25">
        <v>211</v>
      </c>
      <c r="AD278" s="97"/>
      <c r="AE278" s="1504">
        <v>42917</v>
      </c>
      <c r="AF278" s="19">
        <v>1838</v>
      </c>
      <c r="AG278" s="93">
        <v>587</v>
      </c>
      <c r="AH278" s="93">
        <v>2796</v>
      </c>
      <c r="AI278" s="93">
        <v>4314</v>
      </c>
      <c r="AJ278" s="93">
        <v>2416</v>
      </c>
      <c r="AK278" s="93">
        <v>1914</v>
      </c>
      <c r="AL278" s="93"/>
      <c r="AM278" s="93">
        <v>2257</v>
      </c>
      <c r="AN278" s="93">
        <v>10328</v>
      </c>
      <c r="AO278" s="93">
        <v>1752</v>
      </c>
      <c r="AP278" s="93">
        <v>659</v>
      </c>
      <c r="AQ278" s="93">
        <v>2116</v>
      </c>
      <c r="AR278" s="93">
        <v>1062</v>
      </c>
      <c r="AS278" s="20">
        <v>32039</v>
      </c>
      <c r="AT278" s="25">
        <v>211</v>
      </c>
      <c r="AU278" s="97"/>
      <c r="AV278" s="1504">
        <v>42917</v>
      </c>
      <c r="AW278" s="19">
        <v>11228</v>
      </c>
      <c r="AX278" s="93">
        <v>3055</v>
      </c>
      <c r="AY278" s="93">
        <v>4907</v>
      </c>
      <c r="AZ278" s="93">
        <v>19378</v>
      </c>
      <c r="BA278" s="93">
        <v>10578</v>
      </c>
      <c r="BB278" s="93">
        <v>7924</v>
      </c>
      <c r="BC278" s="93"/>
      <c r="BD278" s="93">
        <v>14208</v>
      </c>
      <c r="BE278" s="93">
        <v>8745</v>
      </c>
      <c r="BF278" s="93">
        <v>6842</v>
      </c>
      <c r="BG278" s="93">
        <v>4331</v>
      </c>
      <c r="BH278" s="93">
        <v>12004</v>
      </c>
      <c r="BI278" s="93">
        <v>6169</v>
      </c>
      <c r="BJ278" s="20">
        <v>109369</v>
      </c>
      <c r="BK278" s="25">
        <v>211</v>
      </c>
      <c r="BL278" s="97"/>
      <c r="BM278" s="1504">
        <v>42917</v>
      </c>
      <c r="BN278" s="19">
        <v>75.786000000000016</v>
      </c>
      <c r="BO278" s="93">
        <v>2033.8870000000004</v>
      </c>
      <c r="BP278" s="93">
        <v>10.368</v>
      </c>
      <c r="BQ278" s="93">
        <v>854.66399999999999</v>
      </c>
      <c r="BR278" s="93">
        <v>3.06</v>
      </c>
      <c r="BS278" s="93">
        <v>295.36200000000002</v>
      </c>
      <c r="BT278" s="93">
        <v>399.55199999999996</v>
      </c>
      <c r="BU278" s="132">
        <v>3672.6790000000001</v>
      </c>
      <c r="BV278" s="25">
        <v>211</v>
      </c>
      <c r="BW278" s="97"/>
      <c r="BX278" s="1504">
        <v>42917</v>
      </c>
      <c r="BY278" s="179">
        <v>569.85231517678744</v>
      </c>
      <c r="BZ278" s="99">
        <v>664.95699999999999</v>
      </c>
      <c r="CA278" s="99">
        <v>593.14314133285097</v>
      </c>
      <c r="CB278" s="99">
        <v>43.340116682413722</v>
      </c>
      <c r="CC278" s="99">
        <v>129.87125483870963</v>
      </c>
      <c r="CD278" s="25">
        <v>211</v>
      </c>
      <c r="CE278" s="97"/>
      <c r="CF278" s="1504">
        <v>42917</v>
      </c>
      <c r="CG278" s="1508">
        <v>1.853864958</v>
      </c>
      <c r="CH278" s="568">
        <v>1236.8399999999999</v>
      </c>
      <c r="CI278" s="1708">
        <v>47.656666666666702</v>
      </c>
      <c r="CJ278" s="1509">
        <v>48.69</v>
      </c>
      <c r="CK278" s="1508">
        <v>397.43</v>
      </c>
      <c r="CL278" s="568">
        <v>157.511368</v>
      </c>
      <c r="CM278" s="568">
        <v>0.32231544400000001</v>
      </c>
      <c r="CN278" s="568">
        <v>0.37577259200000002</v>
      </c>
      <c r="CO278" s="568">
        <v>202.4576217</v>
      </c>
      <c r="CP278" s="1509">
        <v>4.6660782300000001</v>
      </c>
      <c r="CQ278" s="1708">
        <v>1496.94</v>
      </c>
      <c r="CR278" s="568">
        <v>2.9860000000000002</v>
      </c>
      <c r="CS278" s="568">
        <v>1.7493000000000001</v>
      </c>
      <c r="CT278" s="568">
        <v>92.5</v>
      </c>
      <c r="CU278" s="568">
        <v>67.739999999999995</v>
      </c>
      <c r="CV278" s="1709">
        <v>2787.19</v>
      </c>
      <c r="CW278" s="29">
        <v>211</v>
      </c>
      <c r="CX278" s="41">
        <f t="shared" si="239"/>
        <v>2017</v>
      </c>
      <c r="CY278" s="1504">
        <v>42917</v>
      </c>
      <c r="CZ278" s="1916">
        <v>120.45729212000001</v>
      </c>
      <c r="DA278" s="1526">
        <v>70.905380120000004</v>
      </c>
      <c r="DB278" s="1526">
        <v>49.551912000000002</v>
      </c>
      <c r="DC278" s="182">
        <f t="shared" si="255"/>
        <v>628111</v>
      </c>
      <c r="DD278" s="182">
        <f t="shared" si="256"/>
        <v>626374</v>
      </c>
      <c r="DE278" s="182">
        <f t="shared" si="257"/>
        <v>1737</v>
      </c>
      <c r="DF278" s="29">
        <v>211</v>
      </c>
      <c r="DG278" s="1504">
        <v>42917</v>
      </c>
      <c r="DH278" s="369">
        <f t="shared" ref="DH278:DH283" si="261">(((DH277/DH276-1)+(DH276/DH275-1))^1/2+1)*DH277</f>
        <v>375107.01453624055</v>
      </c>
      <c r="DI278" s="93"/>
      <c r="DJ278" s="93"/>
      <c r="DK278" s="93"/>
      <c r="DL278" s="93"/>
      <c r="DM278" s="93"/>
      <c r="DN278" s="20"/>
      <c r="DO278" s="25"/>
      <c r="DP278" s="29">
        <v>211</v>
      </c>
      <c r="DQ278" s="1504">
        <v>42917</v>
      </c>
      <c r="DR278" s="19">
        <v>38348</v>
      </c>
      <c r="DS278" s="93">
        <v>416</v>
      </c>
      <c r="DT278" s="93">
        <v>48596</v>
      </c>
      <c r="DU278" s="93">
        <v>5006</v>
      </c>
      <c r="DV278" s="93">
        <v>20497</v>
      </c>
      <c r="DW278" s="93">
        <v>2713</v>
      </c>
      <c r="DX278" s="1719">
        <v>13258</v>
      </c>
      <c r="DY278" s="29">
        <v>211</v>
      </c>
      <c r="DZ278" s="1504">
        <v>42917</v>
      </c>
      <c r="EA278" s="19"/>
      <c r="EB278" s="93"/>
      <c r="EC278" s="20"/>
      <c r="ED278" s="29"/>
      <c r="EE278" s="1504">
        <v>42917</v>
      </c>
      <c r="EF278" s="179">
        <v>25715</v>
      </c>
      <c r="EG278" s="99">
        <v>25023</v>
      </c>
      <c r="EH278" s="99">
        <v>50738</v>
      </c>
      <c r="EI278" s="221">
        <v>7817</v>
      </c>
      <c r="EJ278" s="99">
        <v>621.77099999999996</v>
      </c>
      <c r="EK278" s="99">
        <v>112.935</v>
      </c>
      <c r="EL278" s="99">
        <v>5.4</v>
      </c>
      <c r="EM278" s="99">
        <v>4.7439999999999998</v>
      </c>
      <c r="EN278" s="132">
        <v>744.84999999999991</v>
      </c>
      <c r="EO278" s="29">
        <v>211</v>
      </c>
      <c r="EP278" s="1504">
        <v>42917</v>
      </c>
      <c r="EQ278" s="19">
        <v>24966</v>
      </c>
      <c r="ER278" s="93">
        <v>24319</v>
      </c>
      <c r="ES278" s="93">
        <v>49285</v>
      </c>
      <c r="ET278" s="214">
        <v>7390</v>
      </c>
      <c r="EU278" s="93">
        <v>621.77099999999996</v>
      </c>
      <c r="EV278" s="93">
        <v>112.935</v>
      </c>
      <c r="EW278" s="93">
        <v>5.4</v>
      </c>
      <c r="EX278" s="93">
        <v>4.7439999999999998</v>
      </c>
      <c r="EY278" s="20">
        <v>744.84999999999991</v>
      </c>
      <c r="EZ278" s="29">
        <v>211</v>
      </c>
      <c r="FA278" s="1504">
        <v>42917</v>
      </c>
      <c r="FB278" s="29">
        <v>749</v>
      </c>
      <c r="FC278" s="29">
        <v>704</v>
      </c>
      <c r="FD278" s="29">
        <v>1453</v>
      </c>
      <c r="FE278" s="29">
        <v>427</v>
      </c>
      <c r="FF278" s="29">
        <v>0</v>
      </c>
      <c r="FG278" s="29">
        <v>0</v>
      </c>
      <c r="FH278" s="29">
        <v>0</v>
      </c>
      <c r="FI278" s="29">
        <v>0</v>
      </c>
      <c r="FJ278" s="29">
        <v>0</v>
      </c>
      <c r="FK278" s="29">
        <v>211</v>
      </c>
      <c r="FL278" s="1504">
        <v>42917</v>
      </c>
      <c r="FM278" s="179">
        <v>105.11</v>
      </c>
      <c r="FN278" s="99">
        <v>109.08</v>
      </c>
      <c r="FO278" s="99">
        <v>111.4</v>
      </c>
      <c r="FP278" s="99">
        <v>100.51</v>
      </c>
      <c r="FQ278" s="99">
        <v>98.57</v>
      </c>
      <c r="FR278" s="99">
        <v>99.73</v>
      </c>
      <c r="FS278" s="99">
        <v>100.26</v>
      </c>
      <c r="FT278" s="99">
        <v>96.32</v>
      </c>
      <c r="FU278" s="99">
        <v>110.79</v>
      </c>
      <c r="FV278" s="99">
        <v>104.01</v>
      </c>
      <c r="FW278" s="99">
        <v>101.76</v>
      </c>
      <c r="FX278" s="99">
        <v>102.71</v>
      </c>
      <c r="FY278" s="99">
        <v>99.51</v>
      </c>
      <c r="FZ278" s="29">
        <v>211</v>
      </c>
      <c r="GA278" s="1504">
        <v>42917</v>
      </c>
      <c r="GB278" s="419">
        <v>105.11</v>
      </c>
      <c r="GC278" s="100">
        <v>101.2</v>
      </c>
      <c r="GD278" s="100">
        <v>107.32</v>
      </c>
      <c r="GE278" s="100">
        <v>94.44</v>
      </c>
      <c r="GF278" s="100">
        <v>114.57</v>
      </c>
      <c r="GG278" s="100">
        <v>102.81</v>
      </c>
      <c r="GH278" s="100">
        <v>111.43</v>
      </c>
      <c r="GI278" s="100">
        <v>102.78</v>
      </c>
      <c r="GJ278" s="100">
        <v>102.25</v>
      </c>
      <c r="GK278" s="100">
        <v>99.8</v>
      </c>
      <c r="GL278" s="100">
        <v>107.52</v>
      </c>
      <c r="GM278" s="100">
        <v>101.21</v>
      </c>
      <c r="GN278" s="306">
        <v>102.25</v>
      </c>
      <c r="GO278" s="29">
        <v>211</v>
      </c>
      <c r="GP278" s="1504">
        <v>42917</v>
      </c>
      <c r="GQ278" s="318">
        <f t="shared" ref="GQ278:GZ279" si="262">(((GQ277/GQ276-1)+(GQ276/GQ275-1))^1/2+1)*GQ277</f>
        <v>336.71565298154684</v>
      </c>
      <c r="GR278" s="511">
        <f t="shared" si="262"/>
        <v>213.46948096273468</v>
      </c>
      <c r="GS278" s="511">
        <f t="shared" si="262"/>
        <v>229.33325542633591</v>
      </c>
      <c r="GT278" s="511">
        <f t="shared" si="262"/>
        <v>178.39877788654741</v>
      </c>
      <c r="GU278" s="511">
        <f t="shared" si="262"/>
        <v>426.81134104187879</v>
      </c>
      <c r="GV278" s="512">
        <f t="shared" si="262"/>
        <v>809.27621209629956</v>
      </c>
      <c r="GW278" s="513">
        <f t="shared" si="262"/>
        <v>422.84404293894988</v>
      </c>
      <c r="GX278" s="511">
        <f t="shared" si="262"/>
        <v>458.36672454843807</v>
      </c>
      <c r="GY278" s="511">
        <f t="shared" si="262"/>
        <v>336.81616291758951</v>
      </c>
      <c r="GZ278" s="511">
        <f t="shared" si="262"/>
        <v>375.61237695590597</v>
      </c>
      <c r="HA278" s="511">
        <f t="shared" ref="HA278:HH279" si="263">(((HA277/HA276-1)+(HA276/HA275-1))^1/2+1)*HA277</f>
        <v>443.9313730296949</v>
      </c>
      <c r="HB278" s="512">
        <f t="shared" si="263"/>
        <v>1042.7217679220671</v>
      </c>
      <c r="HC278" s="513">
        <f t="shared" si="263"/>
        <v>1925.912816997637</v>
      </c>
      <c r="HD278" s="511">
        <f t="shared" si="263"/>
        <v>2126.7888126998346</v>
      </c>
      <c r="HE278" s="511">
        <f t="shared" si="263"/>
        <v>2416.4643445917659</v>
      </c>
      <c r="HF278" s="511">
        <f t="shared" si="263"/>
        <v>3150</v>
      </c>
      <c r="HG278" s="511">
        <f t="shared" si="263"/>
        <v>2742.269524821043</v>
      </c>
      <c r="HH278" s="512">
        <f t="shared" si="263"/>
        <v>2762.8806146368916</v>
      </c>
      <c r="HI278" s="19"/>
      <c r="HJ278" s="511">
        <v>830.77793831788767</v>
      </c>
      <c r="HK278" s="511">
        <v>1336.2297279995523</v>
      </c>
      <c r="HL278" s="511">
        <v>731.6763426916981</v>
      </c>
      <c r="HM278" s="511">
        <v>900</v>
      </c>
      <c r="HN278" s="512">
        <v>2559.8611349087869</v>
      </c>
      <c r="HO278" s="514">
        <v>128.27772174872325</v>
      </c>
      <c r="HP278" s="512">
        <v>99.885295977189941</v>
      </c>
      <c r="HQ278" s="1510">
        <v>136.61404599298075</v>
      </c>
      <c r="HR278" s="29">
        <v>211</v>
      </c>
      <c r="HS278" s="1504">
        <v>42917</v>
      </c>
      <c r="HT278" s="419">
        <v>256.81451416015625</v>
      </c>
      <c r="HU278" s="100">
        <v>271.26736068725586</v>
      </c>
      <c r="HV278" s="100">
        <v>222.929931640625</v>
      </c>
      <c r="HW278" s="100">
        <v>150.64103190104166</v>
      </c>
      <c r="HX278" s="100">
        <v>233.33332824707031</v>
      </c>
      <c r="HY278" s="100">
        <v>249.99999237060547</v>
      </c>
      <c r="HZ278" s="100">
        <v>235.57035827636719</v>
      </c>
      <c r="IA278" s="306">
        <v>211.11111755371093</v>
      </c>
      <c r="IB278" s="419">
        <v>204.12595621744791</v>
      </c>
      <c r="IC278" s="100">
        <v>177.65957641601563</v>
      </c>
      <c r="ID278" s="100">
        <v>200.89286041259766</v>
      </c>
      <c r="IE278" s="100">
        <v>188.49839274088541</v>
      </c>
      <c r="IF278" s="100">
        <v>216.53645706176758</v>
      </c>
      <c r="IG278" s="306">
        <v>173.88890075683594</v>
      </c>
      <c r="IH278" s="419">
        <v>137.66420288085936</v>
      </c>
      <c r="II278" s="100">
        <v>188.59649658203125</v>
      </c>
      <c r="IJ278" s="100">
        <v>168.91891479492188</v>
      </c>
      <c r="IK278" s="100">
        <v>162.45487976074219</v>
      </c>
      <c r="IL278" s="100">
        <v>153.54938507080078</v>
      </c>
      <c r="IM278" s="100">
        <v>146.45161437988281</v>
      </c>
      <c r="IN278" s="100">
        <f>(((IN277/IN276-1)+(IN276/IN275-1))^1/2+1)*IN277</f>
        <v>182.31712604141063</v>
      </c>
      <c r="IO278" s="306">
        <v>157.19110412597655</v>
      </c>
      <c r="IP278" s="29">
        <v>211</v>
      </c>
      <c r="IQ278" s="419">
        <f t="shared" ref="IQ278:IV278" si="264">(((IQ277/IQ276-1)+(IQ276/IQ275-1))^1/2+1)*IQ277</f>
        <v>175.04339655162855</v>
      </c>
      <c r="IR278" s="100">
        <f t="shared" si="264"/>
        <v>127.76483397117659</v>
      </c>
      <c r="IS278" s="100">
        <f t="shared" si="264"/>
        <v>142.26566285141985</v>
      </c>
      <c r="IT278" s="100">
        <f t="shared" si="264"/>
        <v>118.05877362645938</v>
      </c>
      <c r="IU278" s="100">
        <f t="shared" si="264"/>
        <v>189.18358091456739</v>
      </c>
      <c r="IV278" s="306">
        <f t="shared" si="264"/>
        <v>127.61921398399441</v>
      </c>
      <c r="IW278" s="29">
        <v>211</v>
      </c>
      <c r="IX278" s="419">
        <f t="shared" ref="IX278:JE278" si="265">(((IX277/IX276-1)+(IX276/IX275-1))^1/2+1)*IX277</f>
        <v>366.24621675359401</v>
      </c>
      <c r="IY278" s="100">
        <f t="shared" si="265"/>
        <v>347.52668411967585</v>
      </c>
      <c r="IZ278" s="100">
        <f t="shared" si="265"/>
        <v>404.92952899200293</v>
      </c>
      <c r="JA278" s="100">
        <f t="shared" si="265"/>
        <v>375</v>
      </c>
      <c r="JB278" s="100">
        <f t="shared" si="265"/>
        <v>390</v>
      </c>
      <c r="JC278" s="100">
        <f t="shared" si="265"/>
        <v>390.47619047619048</v>
      </c>
      <c r="JD278" s="100">
        <f t="shared" si="265"/>
        <v>340</v>
      </c>
      <c r="JE278" s="306">
        <f t="shared" si="265"/>
        <v>400</v>
      </c>
      <c r="JF278" s="29">
        <v>211</v>
      </c>
      <c r="JG278" s="419">
        <f t="shared" ref="JG278:JN278" si="266">(((JG277/JG276-1)+(JG276/JG275-1))^1/2+1)*JG277</f>
        <v>170.5128801612781</v>
      </c>
      <c r="JH278" s="100">
        <f t="shared" si="266"/>
        <v>192.52054769880965</v>
      </c>
      <c r="JI278" s="100">
        <f t="shared" si="266"/>
        <v>182.91131058500883</v>
      </c>
      <c r="JJ278" s="100">
        <f t="shared" si="266"/>
        <v>166.17351046698874</v>
      </c>
      <c r="JK278" s="100">
        <f t="shared" si="266"/>
        <v>191.96024405566251</v>
      </c>
      <c r="JL278" s="100">
        <f t="shared" si="266"/>
        <v>189.17858768270679</v>
      </c>
      <c r="JM278" s="100">
        <f t="shared" si="266"/>
        <v>182.20842574113405</v>
      </c>
      <c r="JN278" s="306">
        <f t="shared" si="266"/>
        <v>214.69518197981304</v>
      </c>
      <c r="JO278" s="29">
        <v>211</v>
      </c>
      <c r="JP278" s="419">
        <f t="shared" ref="JP278:JU278" si="267">(((JP277/JP276-1)+(JP276/JP275-1))^1/2+1)*JP277</f>
        <v>163.7763350974692</v>
      </c>
      <c r="JQ278" s="100">
        <f t="shared" si="267"/>
        <v>126.90354919433594</v>
      </c>
      <c r="JR278" s="100">
        <f t="shared" si="267"/>
        <v>190.19243800842582</v>
      </c>
      <c r="JS278" s="100"/>
      <c r="JT278" s="100">
        <f t="shared" si="267"/>
        <v>187.53985969387753</v>
      </c>
      <c r="JU278" s="306">
        <f t="shared" si="267"/>
        <v>136.2404368181756</v>
      </c>
      <c r="JV278" s="29">
        <v>211</v>
      </c>
      <c r="JW278" s="1504">
        <v>42917</v>
      </c>
      <c r="JX278" s="179"/>
      <c r="JY278" s="100">
        <f t="shared" ref="JY278:KD278" si="268">(((JY277/JY276-1)+(JY276/JY275-1))^1/2+1)*JY277</f>
        <v>311.14947080086085</v>
      </c>
      <c r="JZ278" s="100">
        <f t="shared" si="268"/>
        <v>207.87317738781567</v>
      </c>
      <c r="KA278" s="100">
        <f t="shared" si="268"/>
        <v>219.92134112867859</v>
      </c>
      <c r="KB278" s="100">
        <f t="shared" si="268"/>
        <v>200.52470866457051</v>
      </c>
      <c r="KC278" s="100">
        <f t="shared" si="268"/>
        <v>375.58141473551916</v>
      </c>
      <c r="KD278" s="306">
        <f t="shared" si="268"/>
        <v>299.9182304007021</v>
      </c>
      <c r="KE278" s="29">
        <v>211</v>
      </c>
      <c r="KF278" s="179"/>
      <c r="KG278" s="100">
        <f t="shared" si="260"/>
        <v>44.730949634821783</v>
      </c>
      <c r="KH278" s="100">
        <f t="shared" si="260"/>
        <v>35.658692344020565</v>
      </c>
      <c r="KI278" s="100">
        <f t="shared" si="260"/>
        <v>48.316281691563653</v>
      </c>
      <c r="KJ278" s="100">
        <f t="shared" si="260"/>
        <v>45.524470689845415</v>
      </c>
      <c r="KK278" s="306">
        <f t="shared" si="260"/>
        <v>80.523284986335966</v>
      </c>
      <c r="KL278" s="29">
        <v>211</v>
      </c>
      <c r="KM278" s="100">
        <f t="shared" si="253"/>
        <v>16.544916886718351</v>
      </c>
      <c r="KN278" s="100">
        <f t="shared" ref="KN278:KR279" si="269">(((KN277/KN276-1)+(KN276/KN275-1))^1/2+1)*KN277</f>
        <v>12.699660033208474</v>
      </c>
      <c r="KO278" s="100">
        <f t="shared" si="269"/>
        <v>43.46113764642066</v>
      </c>
      <c r="KP278" s="100">
        <f t="shared" si="269"/>
        <v>42.786570625947178</v>
      </c>
      <c r="KQ278" s="100">
        <f t="shared" si="269"/>
        <v>0</v>
      </c>
      <c r="KR278" s="306">
        <f t="shared" si="269"/>
        <v>36.308532670301645</v>
      </c>
      <c r="KS278" s="29">
        <v>211</v>
      </c>
      <c r="KT278" s="100">
        <f t="shared" si="254"/>
        <v>33.20368415354482</v>
      </c>
      <c r="KU278" s="100">
        <f t="shared" ref="KU278:KY279" si="270">(((KU277/KU276-1)+(KU276/KU275-1))^1/2+1)*KU277</f>
        <v>24.701617814172049</v>
      </c>
      <c r="KV278" s="100">
        <f t="shared" si="270"/>
        <v>35.052662645226867</v>
      </c>
      <c r="KW278" s="100">
        <f t="shared" si="270"/>
        <v>28.36239329316135</v>
      </c>
      <c r="KX278" s="100">
        <f t="shared" si="270"/>
        <v>0</v>
      </c>
      <c r="KY278" s="100">
        <f t="shared" si="270"/>
        <v>30.741549077998695</v>
      </c>
      <c r="KZ278" s="29">
        <v>211</v>
      </c>
      <c r="LA278" s="1504">
        <v>42917</v>
      </c>
      <c r="LB278" s="19">
        <v>380</v>
      </c>
      <c r="LC278" s="93">
        <v>610</v>
      </c>
      <c r="LD278" s="93">
        <v>602</v>
      </c>
      <c r="LE278" s="93"/>
      <c r="LF278" s="93">
        <v>526</v>
      </c>
      <c r="LG278" s="93">
        <v>5000</v>
      </c>
      <c r="LH278" s="20">
        <v>2000</v>
      </c>
      <c r="LI278" s="29">
        <v>211</v>
      </c>
      <c r="LJ278" s="19"/>
      <c r="LK278" s="93"/>
      <c r="LL278" s="93"/>
      <c r="LM278" s="93"/>
      <c r="LN278" s="93"/>
      <c r="LO278" s="20"/>
      <c r="LP278" s="29">
        <v>211</v>
      </c>
      <c r="LQ278" s="19"/>
      <c r="LR278" s="93"/>
      <c r="LS278" s="93"/>
      <c r="LT278" s="93"/>
      <c r="LU278" s="93"/>
      <c r="LV278" s="93"/>
      <c r="LW278" s="93"/>
      <c r="LX278" s="93"/>
      <c r="LY278" s="93"/>
      <c r="LZ278" s="93"/>
      <c r="MA278" s="20"/>
      <c r="MB278" s="29">
        <v>211</v>
      </c>
      <c r="MC278" s="1504">
        <v>42917</v>
      </c>
      <c r="MD278" s="19">
        <v>857.26767427810023</v>
      </c>
      <c r="ME278" s="93">
        <v>800.40958546879995</v>
      </c>
      <c r="MF278" s="93">
        <v>800.40958546879995</v>
      </c>
      <c r="MG278" s="93">
        <v>711.49220618080005</v>
      </c>
      <c r="MH278" s="93">
        <v>198.998441208</v>
      </c>
      <c r="MI278" s="93">
        <v>5.8252596419999989</v>
      </c>
      <c r="MJ278" s="93">
        <v>4.2664747569999992</v>
      </c>
      <c r="MK278" s="93">
        <v>394.99282367079996</v>
      </c>
      <c r="ML278" s="93">
        <v>100.437446174</v>
      </c>
      <c r="MM278" s="93">
        <v>6.9717607289999997</v>
      </c>
      <c r="MN278" s="93">
        <v>88.917379288000006</v>
      </c>
      <c r="MO278" s="93">
        <v>2.9875659250000002</v>
      </c>
      <c r="MP278" s="93">
        <v>21.654715313000001</v>
      </c>
      <c r="MQ278" s="93">
        <v>1.3719219870000001</v>
      </c>
      <c r="MR278" s="93">
        <v>21.759921030000001</v>
      </c>
      <c r="MS278" s="93">
        <v>41.143255033000003</v>
      </c>
      <c r="MT278" s="93">
        <v>0</v>
      </c>
      <c r="MU278" s="93">
        <v>56.858088809300057</v>
      </c>
      <c r="MV278" s="93">
        <v>45.401386162300057</v>
      </c>
      <c r="MW278" s="93">
        <v>11.456702647</v>
      </c>
      <c r="MX278" s="93">
        <v>1142.7359648356285</v>
      </c>
      <c r="MY278" s="93">
        <v>1144.0074504396284</v>
      </c>
      <c r="MZ278" s="93">
        <v>727.66822090863934</v>
      </c>
      <c r="NA278" s="93">
        <v>347.87730574466661</v>
      </c>
      <c r="NB278" s="93">
        <v>73.358852110000001</v>
      </c>
      <c r="NC278" s="93">
        <v>28.677072619972691</v>
      </c>
      <c r="ND278" s="93">
        <v>18.045545202</v>
      </c>
      <c r="NE278" s="93">
        <v>10.631527417972695</v>
      </c>
      <c r="NF278" s="93">
        <v>277.75499043399998</v>
      </c>
      <c r="NG278" s="93">
        <v>0</v>
      </c>
      <c r="NH278" s="93">
        <v>52.080278601000003</v>
      </c>
      <c r="NI278" s="93">
        <v>0</v>
      </c>
      <c r="NJ278" s="93">
        <v>50</v>
      </c>
      <c r="NK278" s="93">
        <v>416.33922953098903</v>
      </c>
      <c r="NL278" s="93">
        <v>319.82862647600001</v>
      </c>
      <c r="NM278" s="93">
        <v>11.114505447000001</v>
      </c>
      <c r="NN278" s="93">
        <v>85.396097607989091</v>
      </c>
      <c r="NO278" s="93">
        <v>-1.2714856040000064</v>
      </c>
      <c r="NP278" s="93">
        <v>-285.46829055752829</v>
      </c>
      <c r="NQ278" s="93">
        <v>-342.32637936682841</v>
      </c>
      <c r="NR278" s="93">
        <v>-228.25320913886659</v>
      </c>
      <c r="NS278" s="93">
        <v>-256.93028175883933</v>
      </c>
      <c r="NT278" s="93">
        <v>-161.30072390652836</v>
      </c>
      <c r="NU278" s="93">
        <v>-218.15881271582845</v>
      </c>
      <c r="NV278" s="93">
        <v>161.6749280934057</v>
      </c>
      <c r="NW278" s="93">
        <v>13.753283384405638</v>
      </c>
      <c r="NX278" s="93">
        <v>39.994711445689035</v>
      </c>
      <c r="NY278" s="93">
        <v>-26.241428061283401</v>
      </c>
      <c r="NZ278" s="93">
        <v>0</v>
      </c>
      <c r="OA278" s="93">
        <v>147.92164470900008</v>
      </c>
      <c r="OB278" s="93">
        <v>112.60871700400007</v>
      </c>
      <c r="OC278" s="93">
        <v>35.312927705</v>
      </c>
      <c r="OD278" s="20">
        <v>0</v>
      </c>
      <c r="OE278" s="29">
        <v>211</v>
      </c>
      <c r="OF278" s="1504">
        <v>42917</v>
      </c>
      <c r="OG278" s="19"/>
      <c r="OH278" s="93">
        <v>370.47084328199998</v>
      </c>
      <c r="OI278" s="93">
        <v>1483.0051150961424</v>
      </c>
      <c r="OJ278" s="93">
        <v>0.40566448999999999</v>
      </c>
      <c r="OK278" s="93">
        <v>1288.9621889251425</v>
      </c>
      <c r="OL278" s="93">
        <v>193.63726168100001</v>
      </c>
      <c r="OM278" s="93">
        <v>1853.4759583781424</v>
      </c>
      <c r="ON278" s="93">
        <v>1279.1784910431356</v>
      </c>
      <c r="OO278" s="93">
        <v>3132.6544494212781</v>
      </c>
      <c r="OP278" s="93"/>
      <c r="OQ278" s="93">
        <v>1272.1959856919721</v>
      </c>
      <c r="OR278" s="93">
        <v>37.980832432999932</v>
      </c>
      <c r="OS278" s="93">
        <v>1234.2151532589724</v>
      </c>
      <c r="OT278" s="93">
        <v>2262.7193068913061</v>
      </c>
      <c r="OU278" s="93">
        <v>5.6714347589999932</v>
      </c>
      <c r="OV278" s="93">
        <v>-100.25456524099999</v>
      </c>
      <c r="OW278" s="93">
        <v>105.92599999999999</v>
      </c>
      <c r="OX278" s="93">
        <v>2257.0478721323061</v>
      </c>
      <c r="OY278" s="93">
        <v>4.5539131909999995</v>
      </c>
      <c r="OZ278" s="93">
        <v>2252.4939589413057</v>
      </c>
      <c r="PA278" s="93">
        <v>504.67827017999997</v>
      </c>
      <c r="PB278" s="93">
        <v>-102.4174270180001</v>
      </c>
      <c r="PC278" s="20">
        <v>3132.6544494212785</v>
      </c>
      <c r="PD278" s="29">
        <v>211</v>
      </c>
      <c r="PE278" s="19"/>
      <c r="PF278" s="93">
        <v>37.980832432999932</v>
      </c>
      <c r="PG278" s="93">
        <v>906.08240937100004</v>
      </c>
      <c r="PH278" s="93">
        <v>868.10157693800011</v>
      </c>
      <c r="PI278" s="93">
        <v>724.227960016</v>
      </c>
      <c r="PJ278" s="93">
        <v>-92.758903314999998</v>
      </c>
      <c r="PK278" s="93">
        <v>130.33136202200001</v>
      </c>
      <c r="PL278" s="93">
        <v>223.09026533700001</v>
      </c>
      <c r="PM278" s="93">
        <v>4.5539131909999995</v>
      </c>
      <c r="PN278" s="93">
        <v>0.6</v>
      </c>
      <c r="PO278" s="93">
        <v>0</v>
      </c>
      <c r="PP278" s="93">
        <v>6.4814199999999999E-4</v>
      </c>
      <c r="PQ278" s="93">
        <v>3.9532650489999996</v>
      </c>
      <c r="PR278" s="93">
        <v>663.03019515999995</v>
      </c>
      <c r="PS278" s="93">
        <v>436.48750520800002</v>
      </c>
      <c r="PT278" s="93">
        <v>225.81045769400001</v>
      </c>
      <c r="PU278" s="93">
        <v>0.73223225800000002</v>
      </c>
      <c r="PV278" s="93">
        <v>0</v>
      </c>
      <c r="PW278" s="93">
        <v>0.75965444800000004</v>
      </c>
      <c r="PX278" s="93">
        <v>0</v>
      </c>
      <c r="PY278" s="93">
        <v>0</v>
      </c>
      <c r="PZ278" s="93">
        <v>0.75965444800000004</v>
      </c>
      <c r="QA278" s="93">
        <v>0</v>
      </c>
      <c r="QB278" s="93">
        <v>0</v>
      </c>
      <c r="QC278" s="93">
        <v>0</v>
      </c>
      <c r="QD278" s="93">
        <v>13.048615732</v>
      </c>
      <c r="QE278" s="20">
        <v>-2.8346630149999856</v>
      </c>
      <c r="QF278" s="1739">
        <v>211</v>
      </c>
      <c r="QG278" s="19"/>
      <c r="QH278" s="1035">
        <v>1234.2151532589724</v>
      </c>
      <c r="QI278" s="1035">
        <v>1800.8010410586937</v>
      </c>
      <c r="QJ278" s="1035">
        <v>-566.58588779972149</v>
      </c>
      <c r="QK278" s="1035">
        <v>287.04300000000001</v>
      </c>
      <c r="QL278" s="1035">
        <v>58.521000000000001</v>
      </c>
      <c r="QM278" s="1035">
        <v>228.52200000000002</v>
      </c>
      <c r="QN278" s="1035">
        <v>0</v>
      </c>
      <c r="QO278" s="1035">
        <v>105.92599999999999</v>
      </c>
      <c r="QP278" s="1035">
        <v>431.67399999999998</v>
      </c>
      <c r="QQ278" s="1035">
        <v>-325.74799999999999</v>
      </c>
      <c r="QR278" s="1035">
        <v>2252.4939589413057</v>
      </c>
      <c r="QS278" s="1035">
        <v>28.736141917210773</v>
      </c>
      <c r="QT278" s="1035">
        <v>0</v>
      </c>
      <c r="QU278" s="1035">
        <v>149.006</v>
      </c>
      <c r="QV278" s="1035">
        <v>2074.7518170240951</v>
      </c>
      <c r="QW278" s="93"/>
      <c r="QX278" s="93">
        <v>631.38099999999997</v>
      </c>
      <c r="QY278" s="93">
        <v>1288.9621889251428</v>
      </c>
      <c r="QZ278" s="93">
        <v>1278.8519232751357</v>
      </c>
      <c r="RA278" s="93">
        <v>0</v>
      </c>
      <c r="RB278" s="93">
        <v>71.255999999999986</v>
      </c>
      <c r="RC278" s="93">
        <v>1.7120000000000002</v>
      </c>
      <c r="RD278" s="93">
        <v>17.84</v>
      </c>
      <c r="RE278" s="93">
        <v>0</v>
      </c>
      <c r="RF278" s="93">
        <v>0</v>
      </c>
      <c r="RG278" s="93">
        <v>400.06200000000001</v>
      </c>
      <c r="RH278" s="93">
        <v>189.613</v>
      </c>
      <c r="RI278" s="93"/>
      <c r="RJ278" s="93"/>
      <c r="RK278" s="93"/>
      <c r="RL278" s="93"/>
      <c r="RM278" s="734"/>
      <c r="RN278" s="29">
        <v>211</v>
      </c>
      <c r="RO278" s="19">
        <v>129</v>
      </c>
      <c r="RP278" s="20">
        <v>349</v>
      </c>
      <c r="RQ278" s="29">
        <v>211</v>
      </c>
      <c r="RR278" s="734">
        <v>3.0278828799999995</v>
      </c>
      <c r="RS278" s="29">
        <v>211</v>
      </c>
      <c r="RT278" s="1504">
        <v>42917</v>
      </c>
      <c r="RU278" s="19">
        <v>695</v>
      </c>
      <c r="RV278" s="20">
        <v>16</v>
      </c>
      <c r="RW278" s="29">
        <v>211</v>
      </c>
      <c r="RX278" s="1504">
        <v>42917</v>
      </c>
      <c r="RY278" s="29"/>
      <c r="RZ278" s="734"/>
      <c r="SA278" s="29"/>
      <c r="SB278" s="29">
        <v>211</v>
      </c>
    </row>
    <row r="279" spans="1:496">
      <c r="A279" s="41">
        <f t="shared" si="238"/>
        <v>2017</v>
      </c>
      <c r="B279" s="1504">
        <v>42948</v>
      </c>
      <c r="C279" s="1813">
        <v>1425</v>
      </c>
      <c r="D279" s="1814">
        <v>34813</v>
      </c>
      <c r="E279" s="1814">
        <v>142</v>
      </c>
      <c r="F279" s="1815">
        <v>493</v>
      </c>
      <c r="G279" s="1814">
        <v>113042</v>
      </c>
      <c r="H279" s="1814">
        <v>38</v>
      </c>
      <c r="I279" s="1814">
        <v>49131</v>
      </c>
      <c r="J279" s="1816">
        <v>19539</v>
      </c>
      <c r="K279" s="1807">
        <v>218623</v>
      </c>
      <c r="L279" s="25">
        <v>212</v>
      </c>
      <c r="M279" s="97"/>
      <c r="N279" s="1504">
        <v>42948</v>
      </c>
      <c r="O279" s="19">
        <v>588</v>
      </c>
      <c r="P279" s="93">
        <v>823</v>
      </c>
      <c r="Q279" s="93">
        <v>3813</v>
      </c>
      <c r="R279" s="93">
        <v>2112</v>
      </c>
      <c r="S279" s="93">
        <v>1375</v>
      </c>
      <c r="T279" s="93">
        <v>666</v>
      </c>
      <c r="U279" s="93"/>
      <c r="V279" s="93">
        <v>1933</v>
      </c>
      <c r="W279" s="93">
        <v>3572</v>
      </c>
      <c r="X279" s="93">
        <v>834</v>
      </c>
      <c r="Y279" s="93">
        <v>233</v>
      </c>
      <c r="Z279" s="93">
        <v>1102</v>
      </c>
      <c r="AA279" s="93">
        <v>948</v>
      </c>
      <c r="AB279" s="132">
        <v>17999</v>
      </c>
      <c r="AC279" s="25">
        <v>212</v>
      </c>
      <c r="AD279" s="97"/>
      <c r="AE279" s="1504">
        <v>42948</v>
      </c>
      <c r="AF279" s="19">
        <v>2328</v>
      </c>
      <c r="AG279" s="93">
        <v>508</v>
      </c>
      <c r="AH279" s="93">
        <v>2814</v>
      </c>
      <c r="AI279" s="93">
        <v>3261</v>
      </c>
      <c r="AJ279" s="93">
        <v>2944</v>
      </c>
      <c r="AK279" s="93">
        <v>2188</v>
      </c>
      <c r="AL279" s="93"/>
      <c r="AM279" s="93">
        <v>2478</v>
      </c>
      <c r="AN279" s="93">
        <v>9981</v>
      </c>
      <c r="AO279" s="93">
        <v>1880</v>
      </c>
      <c r="AP279" s="93">
        <v>787</v>
      </c>
      <c r="AQ279" s="93">
        <v>2444</v>
      </c>
      <c r="AR279" s="93">
        <v>1205</v>
      </c>
      <c r="AS279" s="20">
        <v>32818</v>
      </c>
      <c r="AT279" s="25">
        <v>212</v>
      </c>
      <c r="AU279" s="97"/>
      <c r="AV279" s="1504">
        <v>42948</v>
      </c>
      <c r="AW279" s="19">
        <v>12769</v>
      </c>
      <c r="AX279" s="93">
        <v>2676</v>
      </c>
      <c r="AY279" s="93">
        <v>5031</v>
      </c>
      <c r="AZ279" s="93">
        <v>17528</v>
      </c>
      <c r="BA279" s="93">
        <v>9743</v>
      </c>
      <c r="BB279" s="93">
        <v>7946</v>
      </c>
      <c r="BC279" s="93"/>
      <c r="BD279" s="93">
        <v>13810</v>
      </c>
      <c r="BE279" s="93">
        <v>8350</v>
      </c>
      <c r="BF279" s="93">
        <v>6908</v>
      </c>
      <c r="BG279" s="93">
        <v>3998</v>
      </c>
      <c r="BH279" s="93">
        <v>12211</v>
      </c>
      <c r="BI279" s="93">
        <v>5863</v>
      </c>
      <c r="BJ279" s="20">
        <v>106833</v>
      </c>
      <c r="BK279" s="25">
        <v>212</v>
      </c>
      <c r="BL279" s="97"/>
      <c r="BM279" s="1504">
        <v>42948</v>
      </c>
      <c r="BN279" s="19">
        <v>81.957000000000022</v>
      </c>
      <c r="BO279" s="93">
        <v>2084.85</v>
      </c>
      <c r="BP279" s="93">
        <v>11.520000000000001</v>
      </c>
      <c r="BQ279" s="93">
        <v>774.43999999999983</v>
      </c>
      <c r="BR279" s="93">
        <v>3.06</v>
      </c>
      <c r="BS279" s="93">
        <v>258.60599999999999</v>
      </c>
      <c r="BT279" s="93">
        <v>366</v>
      </c>
      <c r="BU279" s="132">
        <v>3580.433</v>
      </c>
      <c r="BV279" s="25">
        <v>212</v>
      </c>
      <c r="BW279" s="97"/>
      <c r="BX279" s="1504">
        <v>42948</v>
      </c>
      <c r="BY279" s="179">
        <v>555.56618954857288</v>
      </c>
      <c r="BZ279" s="99">
        <v>664.95699999999999</v>
      </c>
      <c r="CA279" s="99">
        <v>575.50184242849627</v>
      </c>
      <c r="CB279" s="99">
        <v>41.96513338877871</v>
      </c>
      <c r="CC279" s="99">
        <v>125.63139677419355</v>
      </c>
      <c r="CD279" s="25">
        <v>212</v>
      </c>
      <c r="CE279" s="97"/>
      <c r="CF279" s="1504">
        <v>42948</v>
      </c>
      <c r="CG279" s="1508">
        <v>1.749145508</v>
      </c>
      <c r="CH279" s="568">
        <v>1283.04</v>
      </c>
      <c r="CI279" s="1708">
        <v>49.9433333333333</v>
      </c>
      <c r="CJ279" s="1509">
        <v>51.37</v>
      </c>
      <c r="CK279" s="1508">
        <v>376.14</v>
      </c>
      <c r="CL279" s="568">
        <v>148.49609599999999</v>
      </c>
      <c r="CM279" s="568">
        <v>0.31680389399999997</v>
      </c>
      <c r="CN279" s="568">
        <v>0.38556939200000001</v>
      </c>
      <c r="CO279" s="568">
        <v>171.22550219999999</v>
      </c>
      <c r="CP279" s="1509">
        <v>4.4739455970000002</v>
      </c>
      <c r="CQ279" s="1708">
        <v>1510.17</v>
      </c>
      <c r="CR279" s="568">
        <v>2.8966666666666701</v>
      </c>
      <c r="CS279" s="568">
        <v>1.8368</v>
      </c>
      <c r="CT279" s="568">
        <v>88.75</v>
      </c>
      <c r="CU279" s="568">
        <v>76.069999999999993</v>
      </c>
      <c r="CV279" s="1709">
        <v>2980.73</v>
      </c>
      <c r="CW279" s="29">
        <v>212</v>
      </c>
      <c r="CX279" s="41">
        <f t="shared" si="239"/>
        <v>2017</v>
      </c>
      <c r="CY279" s="1504">
        <v>42948</v>
      </c>
      <c r="CZ279" s="1916">
        <v>122.87761419</v>
      </c>
      <c r="DA279" s="1526">
        <v>68.361934189999999</v>
      </c>
      <c r="DB279" s="1526">
        <v>54.515680000000003</v>
      </c>
      <c r="DC279" s="182">
        <f t="shared" si="255"/>
        <v>628111</v>
      </c>
      <c r="DD279" s="182">
        <f t="shared" si="256"/>
        <v>626374</v>
      </c>
      <c r="DE279" s="182">
        <f t="shared" si="257"/>
        <v>1737</v>
      </c>
      <c r="DF279" s="29">
        <v>212</v>
      </c>
      <c r="DG279" s="1504">
        <v>42948</v>
      </c>
      <c r="DH279" s="369">
        <f t="shared" si="261"/>
        <v>380960.77927750023</v>
      </c>
      <c r="DI279" s="93"/>
      <c r="DJ279" s="93"/>
      <c r="DK279" s="93"/>
      <c r="DL279" s="93"/>
      <c r="DM279" s="93"/>
      <c r="DN279" s="20"/>
      <c r="DO279" s="25"/>
      <c r="DP279" s="29">
        <v>212</v>
      </c>
      <c r="DQ279" s="1504">
        <v>42948</v>
      </c>
      <c r="DR279" s="19">
        <v>42087</v>
      </c>
      <c r="DS279" s="93">
        <v>375</v>
      </c>
      <c r="DT279" s="93">
        <v>45299</v>
      </c>
      <c r="DU279" s="93">
        <v>2624</v>
      </c>
      <c r="DV279" s="93">
        <v>11321</v>
      </c>
      <c r="DW279" s="93">
        <v>2837</v>
      </c>
      <c r="DX279" s="1719">
        <v>11951</v>
      </c>
      <c r="DY279" s="29">
        <v>212</v>
      </c>
      <c r="DZ279" s="1504">
        <v>42948</v>
      </c>
      <c r="EA279" s="19"/>
      <c r="EB279" s="93"/>
      <c r="EC279" s="20"/>
      <c r="ED279" s="29"/>
      <c r="EE279" s="1504">
        <v>42948</v>
      </c>
      <c r="EF279" s="179">
        <v>22502</v>
      </c>
      <c r="EG279" s="99">
        <v>31631</v>
      </c>
      <c r="EH279" s="99">
        <v>54133</v>
      </c>
      <c r="EI279" s="221">
        <v>8275</v>
      </c>
      <c r="EJ279" s="99">
        <v>550.13699999999994</v>
      </c>
      <c r="EK279" s="99">
        <v>156.81700000000001</v>
      </c>
      <c r="EL279" s="99">
        <v>5.9969999999999999</v>
      </c>
      <c r="EM279" s="99">
        <v>4.2779999999999996</v>
      </c>
      <c r="EN279" s="132">
        <v>717.19902999999999</v>
      </c>
      <c r="EO279" s="29">
        <v>212</v>
      </c>
      <c r="EP279" s="1504">
        <v>42948</v>
      </c>
      <c r="EQ279" s="19">
        <v>21563</v>
      </c>
      <c r="ER279" s="93">
        <v>28507</v>
      </c>
      <c r="ES279" s="93">
        <v>50070</v>
      </c>
      <c r="ET279" s="214">
        <v>7747</v>
      </c>
      <c r="EU279" s="93">
        <v>550.10699999999997</v>
      </c>
      <c r="EV279" s="93">
        <v>156.81700000000001</v>
      </c>
      <c r="EW279" s="93">
        <v>5.9969999999999999</v>
      </c>
      <c r="EX279" s="93">
        <v>4.2779999999999996</v>
      </c>
      <c r="EY279" s="20">
        <v>717.19899999999996</v>
      </c>
      <c r="EZ279" s="29">
        <v>212</v>
      </c>
      <c r="FA279" s="1504">
        <v>42948</v>
      </c>
      <c r="FB279" s="29">
        <v>939</v>
      </c>
      <c r="FC279" s="29">
        <v>3124</v>
      </c>
      <c r="FD279" s="29">
        <v>4063</v>
      </c>
      <c r="FE279" s="29">
        <v>528</v>
      </c>
      <c r="FF279" s="29">
        <v>0.03</v>
      </c>
      <c r="FG279" s="29">
        <v>0</v>
      </c>
      <c r="FH279" s="29">
        <v>0</v>
      </c>
      <c r="FI279" s="29">
        <v>0</v>
      </c>
      <c r="FJ279" s="29">
        <v>2.9999999999999997E-5</v>
      </c>
      <c r="FK279" s="29">
        <v>212</v>
      </c>
      <c r="FL279" s="1504">
        <v>42948</v>
      </c>
      <c r="FM279" s="179">
        <v>104.7</v>
      </c>
      <c r="FN279" s="99">
        <v>108.06</v>
      </c>
      <c r="FO279" s="99">
        <v>111.28</v>
      </c>
      <c r="FP279" s="99">
        <v>100.65</v>
      </c>
      <c r="FQ279" s="99">
        <v>98.76</v>
      </c>
      <c r="FR279" s="99">
        <v>99.82</v>
      </c>
      <c r="FS279" s="99">
        <v>100.26</v>
      </c>
      <c r="FT279" s="99">
        <v>96.34</v>
      </c>
      <c r="FU279" s="99">
        <v>110.79</v>
      </c>
      <c r="FV279" s="99">
        <v>104.07</v>
      </c>
      <c r="FW279" s="99">
        <v>101.76</v>
      </c>
      <c r="FX279" s="99">
        <v>102.82</v>
      </c>
      <c r="FY279" s="99">
        <v>99.53</v>
      </c>
      <c r="FZ279" s="29">
        <v>212</v>
      </c>
      <c r="GA279" s="1504">
        <v>42948</v>
      </c>
      <c r="GB279" s="419">
        <v>104.7</v>
      </c>
      <c r="GC279" s="100">
        <v>100.98</v>
      </c>
      <c r="GD279" s="100">
        <v>106.63</v>
      </c>
      <c r="GE279" s="100">
        <v>94.97</v>
      </c>
      <c r="GF279" s="100">
        <v>113.74</v>
      </c>
      <c r="GG279" s="100">
        <v>101.82</v>
      </c>
      <c r="GH279" s="100">
        <v>111.09</v>
      </c>
      <c r="GI279" s="100">
        <v>100.96</v>
      </c>
      <c r="GJ279" s="100">
        <v>102.27</v>
      </c>
      <c r="GK279" s="100">
        <v>99.86</v>
      </c>
      <c r="GL279" s="100">
        <v>106.57</v>
      </c>
      <c r="GM279" s="100">
        <v>101.32</v>
      </c>
      <c r="GN279" s="306">
        <v>102.27</v>
      </c>
      <c r="GO279" s="29">
        <v>212</v>
      </c>
      <c r="GP279" s="1504">
        <v>42948</v>
      </c>
      <c r="GQ279" s="318">
        <f t="shared" si="262"/>
        <v>375.24612402720396</v>
      </c>
      <c r="GR279" s="511">
        <f t="shared" si="262"/>
        <v>209.29566208215959</v>
      </c>
      <c r="GS279" s="511">
        <f t="shared" si="262"/>
        <v>234.92453192561717</v>
      </c>
      <c r="GT279" s="511">
        <f t="shared" si="262"/>
        <v>175.96506252814103</v>
      </c>
      <c r="GU279" s="511">
        <f t="shared" si="262"/>
        <v>432.28053906785163</v>
      </c>
      <c r="GV279" s="512">
        <f t="shared" si="262"/>
        <v>817.86100375711067</v>
      </c>
      <c r="GW279" s="513">
        <f t="shared" si="262"/>
        <v>424.96100199079871</v>
      </c>
      <c r="GX279" s="511">
        <f t="shared" si="262"/>
        <v>468.5464288227019</v>
      </c>
      <c r="GY279" s="511">
        <f t="shared" si="262"/>
        <v>321.66681445537154</v>
      </c>
      <c r="GZ279" s="511">
        <f t="shared" si="262"/>
        <v>426.99864364600018</v>
      </c>
      <c r="HA279" s="511">
        <f t="shared" si="263"/>
        <v>522.30881551321568</v>
      </c>
      <c r="HB279" s="512">
        <f t="shared" si="263"/>
        <v>1232.2712555823434</v>
      </c>
      <c r="HC279" s="513">
        <f t="shared" si="263"/>
        <v>1908.4933982850521</v>
      </c>
      <c r="HD279" s="511">
        <f t="shared" si="263"/>
        <v>2078.3228670053413</v>
      </c>
      <c r="HE279" s="511">
        <f t="shared" si="263"/>
        <v>2380.6900728653677</v>
      </c>
      <c r="HF279" s="511">
        <f t="shared" si="263"/>
        <v>3150</v>
      </c>
      <c r="HG279" s="511">
        <f t="shared" si="263"/>
        <v>2843.7772704905587</v>
      </c>
      <c r="HH279" s="512">
        <f t="shared" si="263"/>
        <v>2821.8350392662178</v>
      </c>
      <c r="HI279" s="19"/>
      <c r="HJ279" s="511">
        <v>818.86586444330521</v>
      </c>
      <c r="HK279" s="511">
        <v>1366.2928202107023</v>
      </c>
      <c r="HL279" s="511">
        <v>671.9247874723028</v>
      </c>
      <c r="HM279" s="511">
        <v>900</v>
      </c>
      <c r="HN279" s="512">
        <v>2585.088923688118</v>
      </c>
      <c r="HO279" s="514">
        <v>124.05728695749504</v>
      </c>
      <c r="HP279" s="512">
        <v>99.649547773155646</v>
      </c>
      <c r="HQ279" s="1510">
        <v>134.66696973273403</v>
      </c>
      <c r="HR279" s="29">
        <v>212</v>
      </c>
      <c r="HS279" s="1504">
        <v>42948</v>
      </c>
      <c r="HT279" s="419">
        <v>259.40859985351563</v>
      </c>
      <c r="HU279" s="100">
        <v>298.61111831665039</v>
      </c>
      <c r="HV279" s="100">
        <v>234.87260818481445</v>
      </c>
      <c r="HW279" s="100">
        <v>161.53846740722656</v>
      </c>
      <c r="HX279" s="100">
        <v>246.66666259765626</v>
      </c>
      <c r="HY279" s="100">
        <v>277.77777099609375</v>
      </c>
      <c r="HZ279" s="100">
        <v>250.44365310668945</v>
      </c>
      <c r="IA279" s="306">
        <v>233.66013717651367</v>
      </c>
      <c r="IB279" s="419">
        <v>205.21173095703125</v>
      </c>
      <c r="IC279" s="100">
        <v>189.49468231201172</v>
      </c>
      <c r="ID279" s="100">
        <v>214.28572082519531</v>
      </c>
      <c r="IE279" s="100">
        <v>190.09584045410156</v>
      </c>
      <c r="IF279" s="100">
        <v>234.375</v>
      </c>
      <c r="IG279" s="306">
        <v>192.91667175292969</v>
      </c>
      <c r="IH279" s="419">
        <v>134.96490478515625</v>
      </c>
      <c r="II279" s="100">
        <v>195.35819053649902</v>
      </c>
      <c r="IJ279" s="100">
        <v>168.91891479492188</v>
      </c>
      <c r="IK279" s="100">
        <v>167.87004089355469</v>
      </c>
      <c r="IL279" s="100">
        <v>167.05246734619141</v>
      </c>
      <c r="IM279" s="100">
        <v>164.19355163574218</v>
      </c>
      <c r="IN279" s="100">
        <f>(((IN278/IN277-1)+(IN277/IN276-1))^1/2+1)*IN278</f>
        <v>185.22644214979732</v>
      </c>
      <c r="IO279" s="306">
        <v>171.875</v>
      </c>
      <c r="IP279" s="29">
        <v>212</v>
      </c>
      <c r="IQ279" s="419">
        <f t="shared" ref="IQ279:IV279" si="271">(((IQ278/IQ277-1)+(IQ277/IQ276-1))^1/2+1)*IQ278</f>
        <v>174.61330174250162</v>
      </c>
      <c r="IR279" s="100">
        <f t="shared" si="271"/>
        <v>129.26503880329201</v>
      </c>
      <c r="IS279" s="100">
        <f t="shared" si="271"/>
        <v>143.36856275465684</v>
      </c>
      <c r="IT279" s="100">
        <f t="shared" si="271"/>
        <v>113.18465612205148</v>
      </c>
      <c r="IU279" s="100">
        <f t="shared" si="271"/>
        <v>198.48217148799699</v>
      </c>
      <c r="IV279" s="306">
        <f t="shared" si="271"/>
        <v>123.80320929771426</v>
      </c>
      <c r="IW279" s="29">
        <v>212</v>
      </c>
      <c r="IX279" s="419">
        <f t="shared" ref="IX279:JE279" si="272">(((IX278/IX277-1)+(IX277/IX276-1))^1/2+1)*IX278</f>
        <v>363.4332089754875</v>
      </c>
      <c r="IY279" s="100">
        <f t="shared" si="272"/>
        <v>339.30826876645517</v>
      </c>
      <c r="IZ279" s="100">
        <f t="shared" si="272"/>
        <v>419.01998472581613</v>
      </c>
      <c r="JA279" s="100">
        <f t="shared" si="272"/>
        <v>375</v>
      </c>
      <c r="JB279" s="100">
        <f t="shared" si="272"/>
        <v>390</v>
      </c>
      <c r="JC279" s="100">
        <f t="shared" si="272"/>
        <v>385.82766439909301</v>
      </c>
      <c r="JD279" s="100">
        <f t="shared" si="272"/>
        <v>340</v>
      </c>
      <c r="JE279" s="306">
        <f t="shared" si="272"/>
        <v>400</v>
      </c>
      <c r="JF279" s="29">
        <v>212</v>
      </c>
      <c r="JG279" s="419">
        <f t="shared" ref="JG279:JN279" si="273">(((JG278/JG277-1)+(JG277/JG276-1))^1/2+1)*JG278</f>
        <v>169.61823616159276</v>
      </c>
      <c r="JH279" s="100">
        <f t="shared" si="273"/>
        <v>184.23501675424629</v>
      </c>
      <c r="JI279" s="100">
        <f t="shared" si="273"/>
        <v>195.10539401667157</v>
      </c>
      <c r="JJ279" s="100">
        <f t="shared" si="273"/>
        <v>174.90364054587042</v>
      </c>
      <c r="JK279" s="100">
        <f t="shared" si="273"/>
        <v>195.47170976118079</v>
      </c>
      <c r="JL279" s="100">
        <f t="shared" si="273"/>
        <v>192.01282176649937</v>
      </c>
      <c r="JM279" s="100">
        <f t="shared" si="273"/>
        <v>182.55518016883738</v>
      </c>
      <c r="JN279" s="306">
        <f t="shared" si="273"/>
        <v>216.03457653219536</v>
      </c>
      <c r="JO279" s="29">
        <v>212</v>
      </c>
      <c r="JP279" s="419">
        <f t="shared" ref="JP279:JU279" si="274">(((JP278/JP277-1)+(JP277/JP276-1))^1/2+1)*JP278</f>
        <v>151.44998347880752</v>
      </c>
      <c r="JQ279" s="100">
        <f t="shared" si="274"/>
        <v>126.90354919433594</v>
      </c>
      <c r="JR279" s="100">
        <f t="shared" si="274"/>
        <v>191.62024464624795</v>
      </c>
      <c r="JS279" s="100"/>
      <c r="JT279" s="100">
        <f t="shared" si="274"/>
        <v>185.64612173991085</v>
      </c>
      <c r="JU279" s="306">
        <f t="shared" si="274"/>
        <v>137.53475495226286</v>
      </c>
      <c r="JV279" s="29">
        <v>212</v>
      </c>
      <c r="JW279" s="1504">
        <v>42948</v>
      </c>
      <c r="JX279" s="179"/>
      <c r="JY279" s="100">
        <f t="shared" ref="JY279:KD279" si="275">(((JY278/JY277-1)+(JY277/JY276-1))^1/2+1)*JY278</f>
        <v>314.58489779061563</v>
      </c>
      <c r="JZ279" s="100">
        <f t="shared" si="275"/>
        <v>192.14989693457323</v>
      </c>
      <c r="KA279" s="100">
        <f t="shared" si="275"/>
        <v>219.90504261031458</v>
      </c>
      <c r="KB279" s="100">
        <f t="shared" si="275"/>
        <v>187.27496251540853</v>
      </c>
      <c r="KC279" s="100">
        <f t="shared" si="275"/>
        <v>379.82464105784709</v>
      </c>
      <c r="KD279" s="306">
        <f t="shared" si="275"/>
        <v>293.13575100770129</v>
      </c>
      <c r="KE279" s="29">
        <v>212</v>
      </c>
      <c r="KF279" s="179"/>
      <c r="KG279" s="100">
        <f t="shared" si="260"/>
        <v>45.185025228961408</v>
      </c>
      <c r="KH279" s="100">
        <f t="shared" si="260"/>
        <v>32.033600901889677</v>
      </c>
      <c r="KI279" s="100">
        <f t="shared" si="260"/>
        <v>49.437061361619165</v>
      </c>
      <c r="KJ279" s="100">
        <f t="shared" si="260"/>
        <v>42.871645964546225</v>
      </c>
      <c r="KK279" s="306">
        <f t="shared" si="260"/>
        <v>79.344155081427985</v>
      </c>
      <c r="KL279" s="29">
        <v>212</v>
      </c>
      <c r="KM279" s="100">
        <f t="shared" si="253"/>
        <v>16.086581960847127</v>
      </c>
      <c r="KN279" s="100">
        <f t="shared" si="269"/>
        <v>9.3018100045737491</v>
      </c>
      <c r="KO279" s="100">
        <f t="shared" si="269"/>
        <v>47.670100312230062</v>
      </c>
      <c r="KP279" s="100">
        <f t="shared" si="269"/>
        <v>47.312678736356162</v>
      </c>
      <c r="KQ279" s="100" t="e">
        <f t="shared" si="269"/>
        <v>#DIV/0!</v>
      </c>
      <c r="KR279" s="306">
        <f t="shared" si="269"/>
        <v>36.463844688120723</v>
      </c>
      <c r="KS279" s="29">
        <v>212</v>
      </c>
      <c r="KT279" s="100">
        <f t="shared" si="254"/>
        <v>34.004387334535124</v>
      </c>
      <c r="KU279" s="100">
        <f t="shared" si="270"/>
        <v>25.02051883674039</v>
      </c>
      <c r="KV279" s="100">
        <f t="shared" si="270"/>
        <v>35.303201933666152</v>
      </c>
      <c r="KW279" s="100">
        <f t="shared" si="270"/>
        <v>28.717724331441296</v>
      </c>
      <c r="KX279" s="100" t="e">
        <f t="shared" si="270"/>
        <v>#DIV/0!</v>
      </c>
      <c r="KY279" s="100">
        <f t="shared" si="270"/>
        <v>31.102647008872019</v>
      </c>
      <c r="KZ279" s="29">
        <v>212</v>
      </c>
      <c r="LA279" s="1504">
        <v>42948</v>
      </c>
      <c r="LB279" s="19">
        <v>380</v>
      </c>
      <c r="LC279" s="93">
        <v>610</v>
      </c>
      <c r="LD279" s="93">
        <v>602</v>
      </c>
      <c r="LE279" s="93"/>
      <c r="LF279" s="93">
        <v>526</v>
      </c>
      <c r="LG279" s="93">
        <v>5000</v>
      </c>
      <c r="LH279" s="20">
        <v>2000</v>
      </c>
      <c r="LI279" s="29">
        <v>212</v>
      </c>
      <c r="LJ279" s="19"/>
      <c r="LK279" s="93"/>
      <c r="LL279" s="93"/>
      <c r="LM279" s="93"/>
      <c r="LN279" s="93"/>
      <c r="LO279" s="20"/>
      <c r="LP279" s="29">
        <v>212</v>
      </c>
      <c r="LQ279" s="19"/>
      <c r="LR279" s="93"/>
      <c r="LS279" s="93"/>
      <c r="LT279" s="93"/>
      <c r="LU279" s="93"/>
      <c r="LV279" s="93"/>
      <c r="LW279" s="93"/>
      <c r="LX279" s="93"/>
      <c r="LY279" s="93"/>
      <c r="LZ279" s="93"/>
      <c r="MA279" s="20"/>
      <c r="MB279" s="29">
        <v>212</v>
      </c>
      <c r="MC279" s="1504">
        <v>42948</v>
      </c>
      <c r="MD279" s="19">
        <v>975.60539112081403</v>
      </c>
      <c r="ME279" s="93">
        <v>913.68852892220002</v>
      </c>
      <c r="MF279" s="93">
        <v>913.68852892220002</v>
      </c>
      <c r="MG279" s="93">
        <v>815.17410548220005</v>
      </c>
      <c r="MH279" s="93">
        <v>217.91800189899999</v>
      </c>
      <c r="MI279" s="93">
        <v>6.6188059069999987</v>
      </c>
      <c r="MJ279" s="93">
        <v>5.0535663429999991</v>
      </c>
      <c r="MK279" s="93">
        <v>458.33228307419995</v>
      </c>
      <c r="ML279" s="93">
        <v>118.97605688599999</v>
      </c>
      <c r="MM279" s="93">
        <v>8.2753913729999997</v>
      </c>
      <c r="MN279" s="93">
        <v>98.514423440000002</v>
      </c>
      <c r="MO279" s="93">
        <v>3.3767942290000001</v>
      </c>
      <c r="MP279" s="93">
        <v>24.314904317000003</v>
      </c>
      <c r="MQ279" s="93">
        <v>1.4169295630000001</v>
      </c>
      <c r="MR279" s="93">
        <v>23.620113497999998</v>
      </c>
      <c r="MS279" s="93">
        <v>45.785681832999998</v>
      </c>
      <c r="MT279" s="93">
        <v>0</v>
      </c>
      <c r="MU279" s="93">
        <v>61.916862198613941</v>
      </c>
      <c r="MV279" s="93">
        <v>50.460159551613941</v>
      </c>
      <c r="MW279" s="93">
        <v>11.456702647</v>
      </c>
      <c r="MX279" s="93">
        <v>1306.2449152331867</v>
      </c>
      <c r="MY279" s="93">
        <v>1307.5195801241869</v>
      </c>
      <c r="MZ279" s="93">
        <v>829.48027836288384</v>
      </c>
      <c r="NA279" s="93">
        <v>400.57263539233338</v>
      </c>
      <c r="NB279" s="93">
        <v>88.438156438999997</v>
      </c>
      <c r="NC279" s="93">
        <v>29.172537369550437</v>
      </c>
      <c r="ND279" s="93">
        <v>18.045545202</v>
      </c>
      <c r="NE279" s="93">
        <v>11.126992167550442</v>
      </c>
      <c r="NF279" s="93">
        <v>311.29694916199992</v>
      </c>
      <c r="NG279" s="93">
        <v>0</v>
      </c>
      <c r="NH279" s="93">
        <v>71.660411863000007</v>
      </c>
      <c r="NI279" s="93">
        <v>0</v>
      </c>
      <c r="NJ279" s="93">
        <v>50</v>
      </c>
      <c r="NK279" s="93">
        <v>478.03930176130291</v>
      </c>
      <c r="NL279" s="93">
        <v>371.280594307</v>
      </c>
      <c r="NM279" s="93">
        <v>11.114505447000001</v>
      </c>
      <c r="NN279" s="93">
        <v>95.644202007302965</v>
      </c>
      <c r="NO279" s="93">
        <v>-1.2746648909999994</v>
      </c>
      <c r="NP279" s="93">
        <v>-330.63952411237284</v>
      </c>
      <c r="NQ279" s="93">
        <v>-392.55638631098674</v>
      </c>
      <c r="NR279" s="93">
        <v>-267.73964693413336</v>
      </c>
      <c r="NS279" s="93">
        <v>-296.91218430368383</v>
      </c>
      <c r="NT279" s="93">
        <v>-213.85612896937286</v>
      </c>
      <c r="NU279" s="93">
        <v>-275.77299116798685</v>
      </c>
      <c r="NV279" s="93">
        <v>210.53475423450612</v>
      </c>
      <c r="NW279" s="93">
        <v>17.148986615506132</v>
      </c>
      <c r="NX279" s="93">
        <v>45.184042455689038</v>
      </c>
      <c r="NY279" s="93">
        <v>-28.035055840182906</v>
      </c>
      <c r="NZ279" s="93">
        <v>0</v>
      </c>
      <c r="OA279" s="93">
        <v>193.38576761900001</v>
      </c>
      <c r="OB279" s="93">
        <v>158.07283991400004</v>
      </c>
      <c r="OC279" s="93">
        <v>35.312927705</v>
      </c>
      <c r="OD279" s="20">
        <v>0</v>
      </c>
      <c r="OE279" s="29">
        <v>212</v>
      </c>
      <c r="OF279" s="1504">
        <v>42948</v>
      </c>
      <c r="OG279" s="19"/>
      <c r="OH279" s="93">
        <v>383.140696248425</v>
      </c>
      <c r="OI279" s="93">
        <v>1389.1792660684418</v>
      </c>
      <c r="OJ279" s="93">
        <v>0.35761968900000002</v>
      </c>
      <c r="OK279" s="93">
        <v>1194.1216003324416</v>
      </c>
      <c r="OL279" s="93">
        <v>194.700046047</v>
      </c>
      <c r="OM279" s="93">
        <v>1772.3199623168668</v>
      </c>
      <c r="ON279" s="93">
        <v>1300.0501589282483</v>
      </c>
      <c r="OO279" s="93">
        <v>3072.3701212451151</v>
      </c>
      <c r="OP279" s="93"/>
      <c r="OQ279" s="93">
        <v>1256.1074337078369</v>
      </c>
      <c r="OR279" s="93">
        <v>24.929191752424799</v>
      </c>
      <c r="OS279" s="93">
        <v>1231.178241955412</v>
      </c>
      <c r="OT279" s="93">
        <v>2205.7952405882784</v>
      </c>
      <c r="OU279" s="93">
        <v>-39.274681554000011</v>
      </c>
      <c r="OV279" s="93">
        <v>-145.06568155400001</v>
      </c>
      <c r="OW279" s="93">
        <v>105.791</v>
      </c>
      <c r="OX279" s="93">
        <v>2245.0699221422783</v>
      </c>
      <c r="OY279" s="93">
        <v>4.5529726049999999</v>
      </c>
      <c r="OZ279" s="93">
        <v>2240.5169495372784</v>
      </c>
      <c r="PA279" s="93">
        <v>526.50471518500001</v>
      </c>
      <c r="PB279" s="93">
        <v>-136.972162134</v>
      </c>
      <c r="PC279" s="20">
        <v>3072.3701212451151</v>
      </c>
      <c r="PD279" s="29">
        <v>212</v>
      </c>
      <c r="PE279" s="19"/>
      <c r="PF279" s="93">
        <v>24.929191752424799</v>
      </c>
      <c r="PG279" s="93">
        <v>904.97994835542499</v>
      </c>
      <c r="PH279" s="93">
        <v>880.0507566030002</v>
      </c>
      <c r="PI279" s="93">
        <v>701.477960016</v>
      </c>
      <c r="PJ279" s="93">
        <v>-138.97871606300001</v>
      </c>
      <c r="PK279" s="93">
        <v>130.35058174000002</v>
      </c>
      <c r="PL279" s="93">
        <v>269.32929780300003</v>
      </c>
      <c r="PM279" s="93">
        <v>4.5529726049999999</v>
      </c>
      <c r="PN279" s="93">
        <v>0.6</v>
      </c>
      <c r="PO279" s="93">
        <v>0</v>
      </c>
      <c r="PP279" s="93">
        <v>4.3579699999999997E-4</v>
      </c>
      <c r="PQ279" s="93">
        <v>3.9525368080000001</v>
      </c>
      <c r="PR279" s="93">
        <v>581.44571165542493</v>
      </c>
      <c r="PS279" s="93">
        <v>446.55766173942499</v>
      </c>
      <c r="PT279" s="93">
        <v>134.20386245899999</v>
      </c>
      <c r="PU279" s="93">
        <v>0.68418745699999994</v>
      </c>
      <c r="PV279" s="93">
        <v>0</v>
      </c>
      <c r="PW279" s="93">
        <v>1.286102133</v>
      </c>
      <c r="PX279" s="93">
        <v>0</v>
      </c>
      <c r="PY279" s="93">
        <v>0</v>
      </c>
      <c r="PZ279" s="93">
        <v>1.286102133</v>
      </c>
      <c r="QA279" s="93">
        <v>0</v>
      </c>
      <c r="QB279" s="93">
        <v>0</v>
      </c>
      <c r="QC279" s="93">
        <v>0</v>
      </c>
      <c r="QD279" s="93">
        <v>14.669613052000001</v>
      </c>
      <c r="QE279" s="20">
        <v>-5.420018529999985</v>
      </c>
      <c r="QF279" s="1739">
        <v>212</v>
      </c>
      <c r="QG279" s="19"/>
      <c r="QH279" s="1035">
        <v>1231.178241955412</v>
      </c>
      <c r="QI279" s="1035">
        <v>1781.3730504627222</v>
      </c>
      <c r="QJ279" s="1035">
        <v>-550.19480850731009</v>
      </c>
      <c r="QK279" s="1035">
        <v>197.97800000000001</v>
      </c>
      <c r="QL279" s="1035">
        <v>57.33</v>
      </c>
      <c r="QM279" s="1035">
        <v>140.64800000000002</v>
      </c>
      <c r="QN279" s="1035">
        <v>0</v>
      </c>
      <c r="QO279" s="1035">
        <v>105.791</v>
      </c>
      <c r="QP279" s="1035">
        <v>425.40800000000002</v>
      </c>
      <c r="QQ279" s="1035">
        <v>-319.61700000000002</v>
      </c>
      <c r="QR279" s="1035">
        <v>2240.5169495372784</v>
      </c>
      <c r="QS279" s="1035">
        <v>29.942343397329772</v>
      </c>
      <c r="QT279" s="1035">
        <v>0</v>
      </c>
      <c r="QU279" s="1035">
        <v>141.767</v>
      </c>
      <c r="QV279" s="1035">
        <v>2068.8076061399488</v>
      </c>
      <c r="QW279" s="93"/>
      <c r="QX279" s="93">
        <v>706.08199999999999</v>
      </c>
      <c r="QY279" s="93">
        <v>1194.1216003324419</v>
      </c>
      <c r="QZ279" s="93">
        <v>1299.7235911602481</v>
      </c>
      <c r="RA279" s="93">
        <v>0</v>
      </c>
      <c r="RB279" s="93">
        <v>72.789000000000001</v>
      </c>
      <c r="RC279" s="93">
        <v>1.7170000000000001</v>
      </c>
      <c r="RD279" s="93">
        <v>19.937000000000001</v>
      </c>
      <c r="RE279" s="93">
        <v>0</v>
      </c>
      <c r="RF279" s="93">
        <v>0</v>
      </c>
      <c r="RG279" s="93">
        <v>416.10599999999999</v>
      </c>
      <c r="RH279" s="93">
        <v>64.988000000000028</v>
      </c>
      <c r="RI279" s="93"/>
      <c r="RJ279" s="93"/>
      <c r="RK279" s="93"/>
      <c r="RL279" s="93"/>
      <c r="RM279" s="734"/>
      <c r="RN279" s="29">
        <v>212</v>
      </c>
      <c r="RO279" s="19">
        <v>84</v>
      </c>
      <c r="RP279" s="20">
        <v>1318</v>
      </c>
      <c r="RQ279" s="29">
        <v>212</v>
      </c>
      <c r="RR279" s="734">
        <v>3.8564358099999998</v>
      </c>
      <c r="RS279" s="29">
        <v>212</v>
      </c>
      <c r="RT279" s="1504">
        <v>42948</v>
      </c>
      <c r="RU279" s="19">
        <v>832</v>
      </c>
      <c r="RV279" s="20">
        <v>23</v>
      </c>
      <c r="RW279" s="29">
        <v>212</v>
      </c>
      <c r="RX279" s="1504">
        <v>42948</v>
      </c>
      <c r="RY279" s="29"/>
      <c r="RZ279" s="734"/>
      <c r="SA279" s="29"/>
      <c r="SB279" s="29">
        <v>212</v>
      </c>
    </row>
    <row r="280" spans="1:496">
      <c r="A280" s="41">
        <f t="shared" si="238"/>
        <v>2017</v>
      </c>
      <c r="B280" s="1504">
        <v>42979</v>
      </c>
      <c r="C280" s="1813">
        <v>1589</v>
      </c>
      <c r="D280" s="1814">
        <v>39584</v>
      </c>
      <c r="E280" s="1814">
        <v>128</v>
      </c>
      <c r="F280" s="1815">
        <v>650</v>
      </c>
      <c r="G280" s="1814">
        <v>101710</v>
      </c>
      <c r="H280" s="1814">
        <v>37</v>
      </c>
      <c r="I280" s="1814">
        <v>41893</v>
      </c>
      <c r="J280" s="1816">
        <v>17338</v>
      </c>
      <c r="K280" s="1807">
        <v>202929</v>
      </c>
      <c r="L280" s="25">
        <v>213</v>
      </c>
      <c r="M280" s="97"/>
      <c r="N280" s="1504">
        <v>42979</v>
      </c>
      <c r="O280" s="19">
        <v>704</v>
      </c>
      <c r="P280" s="93">
        <v>903</v>
      </c>
      <c r="Q280" s="93">
        <v>3977</v>
      </c>
      <c r="R280" s="93">
        <v>2194</v>
      </c>
      <c r="S280" s="93">
        <v>1405</v>
      </c>
      <c r="T280" s="93">
        <v>1413</v>
      </c>
      <c r="U280" s="93"/>
      <c r="V280" s="93">
        <v>1347</v>
      </c>
      <c r="W280" s="93">
        <v>3011</v>
      </c>
      <c r="X280" s="93">
        <v>1185</v>
      </c>
      <c r="Y280" s="93">
        <v>342</v>
      </c>
      <c r="Z280" s="93">
        <v>1130</v>
      </c>
      <c r="AA280" s="93">
        <v>839</v>
      </c>
      <c r="AB280" s="132">
        <v>18450</v>
      </c>
      <c r="AC280" s="25">
        <v>213</v>
      </c>
      <c r="AD280" s="97"/>
      <c r="AE280" s="1504">
        <v>42979</v>
      </c>
      <c r="AF280" s="19">
        <v>2323</v>
      </c>
      <c r="AG280" s="93">
        <v>730</v>
      </c>
      <c r="AH280" s="93">
        <v>2484</v>
      </c>
      <c r="AI280" s="93">
        <v>3247</v>
      </c>
      <c r="AJ280" s="93">
        <v>3360</v>
      </c>
      <c r="AK280" s="93">
        <v>2765</v>
      </c>
      <c r="AL280" s="93"/>
      <c r="AM280" s="93">
        <v>2252</v>
      </c>
      <c r="AN280" s="93">
        <v>5459</v>
      </c>
      <c r="AO280" s="93">
        <v>2054</v>
      </c>
      <c r="AP280" s="93">
        <v>834</v>
      </c>
      <c r="AQ280" s="93">
        <v>2040</v>
      </c>
      <c r="AR280" s="93">
        <v>1186</v>
      </c>
      <c r="AS280" s="20">
        <v>28734</v>
      </c>
      <c r="AT280" s="25">
        <v>213</v>
      </c>
      <c r="AU280" s="97"/>
      <c r="AV280" s="1504">
        <v>42979</v>
      </c>
      <c r="AW280" s="19">
        <v>12067</v>
      </c>
      <c r="AX280" s="93">
        <v>2829</v>
      </c>
      <c r="AY280" s="93">
        <v>4841</v>
      </c>
      <c r="AZ280" s="93">
        <v>14772</v>
      </c>
      <c r="BA280" s="93">
        <v>8947</v>
      </c>
      <c r="BB280" s="93">
        <v>8041</v>
      </c>
      <c r="BC280" s="93"/>
      <c r="BD280" s="93">
        <v>10863</v>
      </c>
      <c r="BE280" s="93">
        <v>9887</v>
      </c>
      <c r="BF280" s="93">
        <v>6308</v>
      </c>
      <c r="BG280" s="93">
        <v>3180</v>
      </c>
      <c r="BH280" s="93">
        <v>10591</v>
      </c>
      <c r="BI280" s="93">
        <v>4479</v>
      </c>
      <c r="BJ280" s="20">
        <v>96805</v>
      </c>
      <c r="BK280" s="25">
        <v>213</v>
      </c>
      <c r="BL280" s="97"/>
      <c r="BM280" s="1504">
        <v>42979</v>
      </c>
      <c r="BN280" s="19">
        <v>85.884000000000015</v>
      </c>
      <c r="BO280" s="93">
        <v>1902.0160000000001</v>
      </c>
      <c r="BP280" s="93">
        <v>6.9120000000000008</v>
      </c>
      <c r="BQ280" s="93">
        <v>737.48800000000006</v>
      </c>
      <c r="BR280" s="93">
        <v>3.3660000000000001</v>
      </c>
      <c r="BS280" s="93">
        <v>239.81400000000002</v>
      </c>
      <c r="BT280" s="93">
        <v>340.99199999999996</v>
      </c>
      <c r="BU280" s="132">
        <v>3316.4719999999998</v>
      </c>
      <c r="BV280" s="25">
        <v>213</v>
      </c>
      <c r="BW280" s="97"/>
      <c r="BX280" s="1504">
        <v>42979</v>
      </c>
      <c r="BY280" s="179">
        <v>550.53042383550144</v>
      </c>
      <c r="BZ280" s="99">
        <v>664.95699999999999</v>
      </c>
      <c r="CA280" s="99">
        <v>571.88927637314725</v>
      </c>
      <c r="CB280" s="99">
        <v>41.843065460622839</v>
      </c>
      <c r="CC280" s="99">
        <v>124.31055333333335</v>
      </c>
      <c r="CD280" s="25">
        <v>213</v>
      </c>
      <c r="CE280" s="97"/>
      <c r="CF280" s="1504">
        <v>42979</v>
      </c>
      <c r="CG280" s="1508">
        <v>1.7769237200000001</v>
      </c>
      <c r="CH280" s="568">
        <v>1314.07</v>
      </c>
      <c r="CI280" s="1708">
        <v>52.95</v>
      </c>
      <c r="CJ280" s="1509">
        <v>55.16</v>
      </c>
      <c r="CK280" s="1508">
        <v>384.81</v>
      </c>
      <c r="CL280" s="568">
        <v>147.2914352</v>
      </c>
      <c r="CM280" s="568">
        <v>0.31724481799999998</v>
      </c>
      <c r="CN280" s="568">
        <v>0.38925952000000003</v>
      </c>
      <c r="CO280" s="568">
        <v>178.5742362</v>
      </c>
      <c r="CP280" s="1509">
        <v>4.3012136200000004</v>
      </c>
      <c r="CQ280" s="1708">
        <v>1504.65</v>
      </c>
      <c r="CR280" s="568">
        <v>2.9575</v>
      </c>
      <c r="CS280" s="568">
        <v>1.8582000000000001</v>
      </c>
      <c r="CT280" s="568">
        <v>85</v>
      </c>
      <c r="CU280" s="568">
        <v>71.53</v>
      </c>
      <c r="CV280" s="1709">
        <v>3116.86</v>
      </c>
      <c r="CW280" s="29">
        <v>213</v>
      </c>
      <c r="CX280" s="41">
        <f t="shared" si="239"/>
        <v>2017</v>
      </c>
      <c r="CY280" s="1504">
        <v>42979</v>
      </c>
      <c r="CZ280" s="1916">
        <v>115.3603475358089</v>
      </c>
      <c r="DA280" s="1526">
        <v>68.093518535808897</v>
      </c>
      <c r="DB280" s="1526">
        <v>47.266829000000001</v>
      </c>
      <c r="DC280" s="182">
        <f t="shared" si="255"/>
        <v>628111</v>
      </c>
      <c r="DD280" s="182">
        <f t="shared" si="256"/>
        <v>626374</v>
      </c>
      <c r="DE280" s="182">
        <f t="shared" si="257"/>
        <v>1737</v>
      </c>
      <c r="DF280" s="29">
        <v>213</v>
      </c>
      <c r="DG280" s="1504">
        <v>42979</v>
      </c>
      <c r="DH280" s="369">
        <f t="shared" si="261"/>
        <v>386576.58184045763</v>
      </c>
      <c r="DI280" s="93"/>
      <c r="DJ280" s="93"/>
      <c r="DK280" s="93"/>
      <c r="DL280" s="93"/>
      <c r="DM280" s="93"/>
      <c r="DN280" s="20"/>
      <c r="DO280" s="25"/>
      <c r="DP280" s="29">
        <v>213</v>
      </c>
      <c r="DQ280" s="1504">
        <v>42979</v>
      </c>
      <c r="DR280" s="19">
        <v>37528</v>
      </c>
      <c r="DS280" s="93">
        <v>304</v>
      </c>
      <c r="DT280" s="93">
        <v>44474</v>
      </c>
      <c r="DU280" s="93">
        <v>2129</v>
      </c>
      <c r="DV280" s="93">
        <v>18258</v>
      </c>
      <c r="DW280" s="93">
        <v>2765</v>
      </c>
      <c r="DX280" s="1719">
        <v>13063</v>
      </c>
      <c r="DY280" s="29">
        <v>213</v>
      </c>
      <c r="DZ280" s="1504">
        <v>42979</v>
      </c>
      <c r="EA280" s="19"/>
      <c r="EB280" s="93"/>
      <c r="EC280" s="20"/>
      <c r="ED280" s="29"/>
      <c r="EE280" s="1504">
        <v>42979</v>
      </c>
      <c r="EF280" s="179">
        <v>27024</v>
      </c>
      <c r="EG280" s="99">
        <v>20800</v>
      </c>
      <c r="EH280" s="99">
        <v>47824</v>
      </c>
      <c r="EI280" s="221">
        <v>7488</v>
      </c>
      <c r="EJ280" s="99">
        <v>629.61</v>
      </c>
      <c r="EK280" s="99">
        <v>51.091999999999999</v>
      </c>
      <c r="EL280" s="99">
        <v>7.3470000000000004</v>
      </c>
      <c r="EM280" s="99">
        <v>8.9420000000000002</v>
      </c>
      <c r="EN280" s="132">
        <v>696.99099999999999</v>
      </c>
      <c r="EO280" s="29">
        <v>213</v>
      </c>
      <c r="EP280" s="1504">
        <v>42979</v>
      </c>
      <c r="EQ280" s="19">
        <v>24195</v>
      </c>
      <c r="ER280" s="93">
        <v>20127</v>
      </c>
      <c r="ES280" s="93">
        <v>44322</v>
      </c>
      <c r="ET280" s="214">
        <v>7056</v>
      </c>
      <c r="EU280" s="93">
        <v>629.61</v>
      </c>
      <c r="EV280" s="93">
        <v>51.091999999999999</v>
      </c>
      <c r="EW280" s="93">
        <v>7.3470000000000004</v>
      </c>
      <c r="EX280" s="93">
        <v>8.9420000000000002</v>
      </c>
      <c r="EY280" s="20">
        <v>696.99099999999999</v>
      </c>
      <c r="EZ280" s="29">
        <v>213</v>
      </c>
      <c r="FA280" s="1504">
        <v>42979</v>
      </c>
      <c r="FB280" s="29">
        <v>2829</v>
      </c>
      <c r="FC280" s="29">
        <v>673</v>
      </c>
      <c r="FD280" s="29">
        <v>3502</v>
      </c>
      <c r="FE280" s="29">
        <v>432</v>
      </c>
      <c r="FF280" s="29">
        <v>0</v>
      </c>
      <c r="FG280" s="29">
        <v>0</v>
      </c>
      <c r="FH280" s="29">
        <v>0</v>
      </c>
      <c r="FI280" s="29">
        <v>0</v>
      </c>
      <c r="FJ280" s="29">
        <v>0</v>
      </c>
      <c r="FK280" s="29">
        <v>213</v>
      </c>
      <c r="FL280" s="1504">
        <v>42979</v>
      </c>
      <c r="FM280" s="19">
        <v>105.22</v>
      </c>
      <c r="FN280" s="93">
        <v>109.39</v>
      </c>
      <c r="FO280" s="93">
        <v>113.73</v>
      </c>
      <c r="FP280" s="93">
        <v>100.74</v>
      </c>
      <c r="FQ280" s="93">
        <v>95.39</v>
      </c>
      <c r="FR280" s="93">
        <v>99.84</v>
      </c>
      <c r="FS280" s="93">
        <v>100.26</v>
      </c>
      <c r="FT280" s="93">
        <v>96.03</v>
      </c>
      <c r="FU280" s="93">
        <v>110.8</v>
      </c>
      <c r="FV280" s="93">
        <v>104.08</v>
      </c>
      <c r="FW280" s="93">
        <v>101.98</v>
      </c>
      <c r="FX280" s="93">
        <v>102.86</v>
      </c>
      <c r="FY280" s="93">
        <v>99.55</v>
      </c>
      <c r="FZ280" s="29">
        <v>213</v>
      </c>
      <c r="GA280" s="1504">
        <v>42979</v>
      </c>
      <c r="GB280" s="19">
        <v>105.22</v>
      </c>
      <c r="GC280" s="93">
        <v>100.84</v>
      </c>
      <c r="GD280" s="93">
        <v>107.49</v>
      </c>
      <c r="GE280" s="93">
        <v>90.39</v>
      </c>
      <c r="GF280" s="93">
        <v>114.7</v>
      </c>
      <c r="GG280" s="99">
        <v>102.47</v>
      </c>
      <c r="GH280" s="93">
        <v>112.43</v>
      </c>
      <c r="GI280" s="93">
        <v>101.2</v>
      </c>
      <c r="GJ280" s="93">
        <v>102.31</v>
      </c>
      <c r="GK280" s="93">
        <v>99.89</v>
      </c>
      <c r="GL280" s="93">
        <v>107.42</v>
      </c>
      <c r="GM280" s="93">
        <v>101.39</v>
      </c>
      <c r="GN280" s="20">
        <v>102.32</v>
      </c>
      <c r="GO280" s="29">
        <v>213</v>
      </c>
      <c r="GP280" s="1504">
        <v>42979</v>
      </c>
      <c r="GQ280" s="181">
        <v>324.49327543852098</v>
      </c>
      <c r="GR280" s="182">
        <v>257.62385234392099</v>
      </c>
      <c r="GS280" s="182">
        <v>255.51849444923201</v>
      </c>
      <c r="GT280" s="182">
        <v>209.903590618793</v>
      </c>
      <c r="GU280" s="182">
        <v>440.14540696063199</v>
      </c>
      <c r="GV280" s="290">
        <v>808.66850750248</v>
      </c>
      <c r="GW280" s="181">
        <v>440.67408329741698</v>
      </c>
      <c r="GX280" s="182">
        <v>449.08734594056398</v>
      </c>
      <c r="GY280" s="182">
        <v>351.16406403455301</v>
      </c>
      <c r="GZ280" s="182">
        <v>465.50551940738598</v>
      </c>
      <c r="HA280" s="182">
        <v>396.239990778145</v>
      </c>
      <c r="HB280" s="290">
        <v>496.10876911666099</v>
      </c>
      <c r="HC280" s="181">
        <v>1942.0179540013801</v>
      </c>
      <c r="HD280" s="182">
        <v>2607.6034619738798</v>
      </c>
      <c r="HE280" s="182">
        <v>2467.66678840955</v>
      </c>
      <c r="HF280" s="182">
        <v>3150</v>
      </c>
      <c r="HG280" s="182">
        <v>2629.8686520360802</v>
      </c>
      <c r="HH280" s="290">
        <v>2749.9170770487199</v>
      </c>
      <c r="HI280" s="19"/>
      <c r="HJ280" s="182">
        <v>840.86144167926705</v>
      </c>
      <c r="HK280" s="182">
        <v>1368.39299179356</v>
      </c>
      <c r="HL280" s="182">
        <v>812.86511639044602</v>
      </c>
      <c r="HM280" s="182">
        <v>900</v>
      </c>
      <c r="HN280" s="290">
        <v>2141.9412091517001</v>
      </c>
      <c r="HO280" s="324">
        <v>122.203596092308</v>
      </c>
      <c r="HP280" s="290">
        <v>99.1766059759657</v>
      </c>
      <c r="HQ280" s="295">
        <v>162.80183224848099</v>
      </c>
      <c r="HR280" s="29">
        <v>213</v>
      </c>
      <c r="HS280" s="1504">
        <v>42979</v>
      </c>
      <c r="HT280" s="179">
        <v>272.3790283203125</v>
      </c>
      <c r="HU280" s="99">
        <v>300.6944580078125</v>
      </c>
      <c r="HV280" s="99">
        <v>238.85350036621094</v>
      </c>
      <c r="HW280" s="99">
        <v>144.23077392578125</v>
      </c>
      <c r="HX280" s="99">
        <v>266.66665649414063</v>
      </c>
      <c r="HY280" s="99">
        <v>277.77777099609375</v>
      </c>
      <c r="HZ280" s="99">
        <v>263.36477661132813</v>
      </c>
      <c r="IA280" s="132">
        <v>224.6732063293457</v>
      </c>
      <c r="IB280" s="179">
        <v>214.98371887207031</v>
      </c>
      <c r="IC280" s="99">
        <v>216.09042739868164</v>
      </c>
      <c r="ID280" s="99">
        <v>235.71429443359375</v>
      </c>
      <c r="IE280" s="99">
        <v>186.90095138549805</v>
      </c>
      <c r="IF280" s="99">
        <v>238.28125</v>
      </c>
      <c r="IG280" s="132">
        <v>203.88889567057291</v>
      </c>
      <c r="IH280" s="179">
        <v>134.96490478515625</v>
      </c>
      <c r="II280" s="99">
        <v>228.36257019042969</v>
      </c>
      <c r="IJ280" s="99">
        <v>185.81080627441406</v>
      </c>
      <c r="IK280" s="99">
        <v>171.48014831542969</v>
      </c>
      <c r="IL280" s="99">
        <v>166.66666412353516</v>
      </c>
      <c r="IM280" s="99">
        <v>165.72581100463867</v>
      </c>
      <c r="IN280" s="99">
        <v>194.34629821777344</v>
      </c>
      <c r="IO280" s="132">
        <v>187.5</v>
      </c>
      <c r="IP280" s="29">
        <v>213</v>
      </c>
      <c r="IQ280" s="179">
        <v>173.14488220214844</v>
      </c>
      <c r="IR280" s="99">
        <v>121.62162017822266</v>
      </c>
      <c r="IS280" s="99">
        <v>153.44826965332032</v>
      </c>
      <c r="IT280" s="99">
        <v>110.43689727783203</v>
      </c>
      <c r="IU280" s="99">
        <v>191.66666412353516</v>
      </c>
      <c r="IV280" s="132">
        <v>118.49710845947266</v>
      </c>
      <c r="IW280" s="29">
        <v>213</v>
      </c>
      <c r="IX280" s="179">
        <v>400</v>
      </c>
      <c r="IY280" s="99">
        <v>373.61110839843752</v>
      </c>
      <c r="IZ280" s="99">
        <v>430</v>
      </c>
      <c r="JA280" s="99">
        <v>375</v>
      </c>
      <c r="JB280" s="99">
        <v>390</v>
      </c>
      <c r="JC280" s="99">
        <v>412.375</v>
      </c>
      <c r="JD280" s="100">
        <f t="shared" ref="JD280:JD289" si="276">(((JD279/JD278-1)+(JD278/JD277-1))^1/2+1)*JD279</f>
        <v>340</v>
      </c>
      <c r="JE280" s="132">
        <v>400</v>
      </c>
      <c r="JF280" s="29">
        <v>213</v>
      </c>
      <c r="JG280" s="179">
        <v>195.10135078430176</v>
      </c>
      <c r="JH280" s="99">
        <v>249.41520690917969</v>
      </c>
      <c r="JI280" s="99">
        <v>196.94534683227539</v>
      </c>
      <c r="JJ280" s="99">
        <v>150</v>
      </c>
      <c r="JK280" s="99">
        <v>202.02020263671875</v>
      </c>
      <c r="JL280" s="99">
        <v>209.91432189941406</v>
      </c>
      <c r="JM280" s="99">
        <v>176.56766128540039</v>
      </c>
      <c r="JN280" s="132">
        <v>226.5625</v>
      </c>
      <c r="JO280" s="29">
        <v>213</v>
      </c>
      <c r="JP280" s="179">
        <v>190.78947448730469</v>
      </c>
      <c r="JQ280" s="99">
        <v>152.28425598144531</v>
      </c>
      <c r="JR280" s="99">
        <v>186.66666259765626</v>
      </c>
      <c r="JS280" s="99"/>
      <c r="JT280" s="99">
        <v>172.54601669311523</v>
      </c>
      <c r="JU280" s="132">
        <v>136.00712585449219</v>
      </c>
      <c r="JV280" s="29">
        <v>213</v>
      </c>
      <c r="JW280" s="1504">
        <v>42979</v>
      </c>
      <c r="JX280" s="179"/>
      <c r="JY280" s="99">
        <v>306.53846153846155</v>
      </c>
      <c r="JZ280" s="99">
        <v>273.11290322580641</v>
      </c>
      <c r="KA280" s="99">
        <v>236.66666666666666</v>
      </c>
      <c r="KB280" s="99">
        <v>234.64285714285714</v>
      </c>
      <c r="KC280" s="99">
        <v>220.93478260869566</v>
      </c>
      <c r="KD280" s="132">
        <v>317.91666666666669</v>
      </c>
      <c r="KE280" s="29">
        <v>213</v>
      </c>
      <c r="KF280" s="179"/>
      <c r="KG280" s="99">
        <v>44.846153846153847</v>
      </c>
      <c r="KH280" s="99">
        <v>48.375</v>
      </c>
      <c r="KI280" s="99">
        <v>52.604166666666664</v>
      </c>
      <c r="KJ280" s="99">
        <v>48.375</v>
      </c>
      <c r="KK280" s="132">
        <v>61.657407407407412</v>
      </c>
      <c r="KL280" s="29">
        <v>213</v>
      </c>
      <c r="KM280" s="100">
        <f t="shared" si="253"/>
        <v>15.640825259518891</v>
      </c>
      <c r="KN280" s="99">
        <v>14.25</v>
      </c>
      <c r="KO280" s="99">
        <v>35.604166666666664</v>
      </c>
      <c r="KP280" s="99">
        <v>32.571428571428569</v>
      </c>
      <c r="KQ280" s="99">
        <v>24.05</v>
      </c>
      <c r="KR280" s="132">
        <v>28.552941176470586</v>
      </c>
      <c r="KS280" s="29">
        <v>213</v>
      </c>
      <c r="KT280" s="100">
        <f t="shared" si="254"/>
        <v>34.824008000929012</v>
      </c>
      <c r="KU280" s="99">
        <v>23.576923076923077</v>
      </c>
      <c r="KV280" s="99">
        <v>25.770833333333332</v>
      </c>
      <c r="KW280" s="99">
        <v>23.5625</v>
      </c>
      <c r="KX280" s="99">
        <v>18.875</v>
      </c>
      <c r="KY280" s="132">
        <v>24.158385093167702</v>
      </c>
      <c r="KZ280" s="29">
        <v>213</v>
      </c>
      <c r="LA280" s="1504">
        <v>42979</v>
      </c>
      <c r="LB280" s="19">
        <v>380</v>
      </c>
      <c r="LC280" s="93">
        <v>610</v>
      </c>
      <c r="LD280" s="93">
        <v>602</v>
      </c>
      <c r="LE280" s="93"/>
      <c r="LF280" s="93">
        <v>526</v>
      </c>
      <c r="LG280" s="93">
        <v>5000</v>
      </c>
      <c r="LH280" s="20">
        <v>2000</v>
      </c>
      <c r="LI280" s="29">
        <v>213</v>
      </c>
      <c r="LJ280" s="19"/>
      <c r="LK280" s="93"/>
      <c r="LL280" s="93"/>
      <c r="LM280" s="93"/>
      <c r="LN280" s="93"/>
      <c r="LO280" s="20"/>
      <c r="LP280" s="29">
        <v>213</v>
      </c>
      <c r="LQ280" s="19"/>
      <c r="LR280" s="93">
        <v>188</v>
      </c>
      <c r="LS280" s="93">
        <v>445</v>
      </c>
      <c r="LT280" s="93">
        <v>535</v>
      </c>
      <c r="LU280" s="93">
        <v>1070</v>
      </c>
      <c r="LV280" s="93"/>
      <c r="LW280" s="93">
        <v>5</v>
      </c>
      <c r="LX280" s="93">
        <v>10</v>
      </c>
      <c r="LY280" s="93">
        <v>60</v>
      </c>
      <c r="LZ280" s="93"/>
      <c r="MA280" s="20">
        <v>1070</v>
      </c>
      <c r="MB280" s="29">
        <v>213</v>
      </c>
      <c r="MC280" s="1504">
        <v>42979</v>
      </c>
      <c r="MD280" s="19">
        <v>1091.5173357338224</v>
      </c>
      <c r="ME280" s="93">
        <v>1021.2021099138</v>
      </c>
      <c r="MF280" s="93">
        <v>1021.2021099138</v>
      </c>
      <c r="MG280" s="93">
        <v>906.54793113180006</v>
      </c>
      <c r="MH280" s="93">
        <v>240.61840371899999</v>
      </c>
      <c r="MI280" s="93">
        <v>7.5048194379999993</v>
      </c>
      <c r="MJ280" s="93">
        <v>5.7306870809999992</v>
      </c>
      <c r="MK280" s="93">
        <v>510.64074265279999</v>
      </c>
      <c r="ML280" s="93">
        <v>133.31042259699998</v>
      </c>
      <c r="MM280" s="93">
        <v>8.7428556439999987</v>
      </c>
      <c r="MN280" s="93">
        <v>114.654178782</v>
      </c>
      <c r="MO280" s="93">
        <v>3.9065269440000003</v>
      </c>
      <c r="MP280" s="93">
        <v>26.659771431000003</v>
      </c>
      <c r="MQ280" s="93">
        <v>1.4774881360000001</v>
      </c>
      <c r="MR280" s="93">
        <v>31.156267456999998</v>
      </c>
      <c r="MS280" s="93">
        <v>51.454124813999996</v>
      </c>
      <c r="MT280" s="93">
        <v>0</v>
      </c>
      <c r="MU280" s="93">
        <v>70.315225820022192</v>
      </c>
      <c r="MV280" s="93">
        <v>58.858523173022206</v>
      </c>
      <c r="MW280" s="93">
        <v>11.456702647</v>
      </c>
      <c r="MX280" s="93">
        <v>1460.1039672479076</v>
      </c>
      <c r="MY280" s="93">
        <v>1461.3786321389077</v>
      </c>
      <c r="MZ280" s="93">
        <v>920.31831201455043</v>
      </c>
      <c r="NA280" s="93">
        <v>450.54381376099997</v>
      </c>
      <c r="NB280" s="93">
        <v>96.474000674999999</v>
      </c>
      <c r="NC280" s="93">
        <v>34.480861607550437</v>
      </c>
      <c r="ND280" s="93">
        <v>21.987054167</v>
      </c>
      <c r="NE280" s="93">
        <v>12.493807440550443</v>
      </c>
      <c r="NF280" s="93">
        <v>338.81963597099997</v>
      </c>
      <c r="NG280" s="93">
        <v>0</v>
      </c>
      <c r="NH280" s="93">
        <v>77.521545097000001</v>
      </c>
      <c r="NI280" s="93">
        <v>0</v>
      </c>
      <c r="NJ280" s="93">
        <v>50</v>
      </c>
      <c r="NK280" s="93">
        <v>541.06032012435719</v>
      </c>
      <c r="NL280" s="93">
        <v>422.36468331199995</v>
      </c>
      <c r="NM280" s="93">
        <v>11.114505447000001</v>
      </c>
      <c r="NN280" s="93">
        <v>107.58113136535731</v>
      </c>
      <c r="NO280" s="93">
        <v>-1.2746648909999994</v>
      </c>
      <c r="NP280" s="93">
        <v>-368.58663151408547</v>
      </c>
      <c r="NQ280" s="93">
        <v>-438.90185733410766</v>
      </c>
      <c r="NR280" s="93">
        <v>-296.83986436119994</v>
      </c>
      <c r="NS280" s="93">
        <v>-331.32072596875037</v>
      </c>
      <c r="NT280" s="93">
        <v>-284.93860361508547</v>
      </c>
      <c r="NU280" s="93">
        <v>-355.25382943510772</v>
      </c>
      <c r="NV280" s="93">
        <v>285.89358128915228</v>
      </c>
      <c r="NW280" s="93">
        <v>16.742061033152215</v>
      </c>
      <c r="NX280" s="93">
        <v>48.722608192335116</v>
      </c>
      <c r="NY280" s="93">
        <v>-31.980547159182905</v>
      </c>
      <c r="NZ280" s="93">
        <v>0</v>
      </c>
      <c r="OA280" s="93">
        <v>269.15152025600003</v>
      </c>
      <c r="OB280" s="93">
        <v>235.15191492700006</v>
      </c>
      <c r="OC280" s="93">
        <v>33.999605328999998</v>
      </c>
      <c r="OD280" s="20">
        <v>-1.4901161193847656E-14</v>
      </c>
      <c r="OE280" s="29">
        <v>213</v>
      </c>
      <c r="OF280" s="1504">
        <v>42979</v>
      </c>
      <c r="OG280" s="19"/>
      <c r="OH280" s="93">
        <v>389.288254832956</v>
      </c>
      <c r="OI280" s="93">
        <v>1408.9334970832335</v>
      </c>
      <c r="OJ280" s="93">
        <v>1.679586923</v>
      </c>
      <c r="OK280" s="93">
        <v>1213.5813881582335</v>
      </c>
      <c r="OL280" s="93">
        <v>193.67252200199999</v>
      </c>
      <c r="OM280" s="93">
        <v>1798.2217519161895</v>
      </c>
      <c r="ON280" s="93">
        <v>1305.674200390652</v>
      </c>
      <c r="OO280" s="93">
        <v>3103.8959523068415</v>
      </c>
      <c r="OP280" s="93"/>
      <c r="OQ280" s="93">
        <v>1260.3277636730809</v>
      </c>
      <c r="OR280" s="93">
        <v>36.945802214956075</v>
      </c>
      <c r="OS280" s="93">
        <v>1223.3819614581248</v>
      </c>
      <c r="OT280" s="93">
        <v>2268.2651970117604</v>
      </c>
      <c r="OU280" s="93">
        <v>-6.9064918540000235</v>
      </c>
      <c r="OV280" s="93">
        <v>-119.15849185399998</v>
      </c>
      <c r="OW280" s="93">
        <v>112.25199999999995</v>
      </c>
      <c r="OX280" s="93">
        <v>2275.1716888657602</v>
      </c>
      <c r="OY280" s="93">
        <v>5.1626295429999995</v>
      </c>
      <c r="OZ280" s="93">
        <v>2270.0090593227601</v>
      </c>
      <c r="PA280" s="93">
        <v>529.239709855</v>
      </c>
      <c r="PB280" s="93">
        <v>-104.54270147699985</v>
      </c>
      <c r="PC280" s="20">
        <v>3103.8959523068411</v>
      </c>
      <c r="PD280" s="29">
        <v>213</v>
      </c>
      <c r="PE280" s="19"/>
      <c r="PF280" s="93">
        <v>36.945802214956075</v>
      </c>
      <c r="PG280" s="93">
        <v>954.57921707295611</v>
      </c>
      <c r="PH280" s="93">
        <v>917.63341485800004</v>
      </c>
      <c r="PI280" s="93">
        <v>669.86896001599996</v>
      </c>
      <c r="PJ280" s="93">
        <v>-112.03585705299997</v>
      </c>
      <c r="PK280" s="93">
        <v>129.10011928100002</v>
      </c>
      <c r="PL280" s="93">
        <v>241.13597633399999</v>
      </c>
      <c r="PM280" s="93">
        <v>5.1626295429999995</v>
      </c>
      <c r="PN280" s="93">
        <v>1.175</v>
      </c>
      <c r="PO280" s="93">
        <v>0</v>
      </c>
      <c r="PP280" s="93">
        <v>4.2653400000000001E-4</v>
      </c>
      <c r="PQ280" s="93">
        <v>3.9872030089999999</v>
      </c>
      <c r="PR280" s="93">
        <v>566.44677755395605</v>
      </c>
      <c r="PS280" s="93">
        <v>454.03088963395601</v>
      </c>
      <c r="PT280" s="93">
        <v>110.409733229</v>
      </c>
      <c r="PU280" s="93">
        <v>2.0061546909999999</v>
      </c>
      <c r="PV280" s="93">
        <v>0</v>
      </c>
      <c r="PW280" s="93">
        <v>0.93046941100000002</v>
      </c>
      <c r="PX280" s="93">
        <v>0</v>
      </c>
      <c r="PY280" s="93">
        <v>0</v>
      </c>
      <c r="PZ280" s="93">
        <v>0.93046941100000002</v>
      </c>
      <c r="QA280" s="93">
        <v>0</v>
      </c>
      <c r="QB280" s="93">
        <v>0</v>
      </c>
      <c r="QC280" s="93">
        <v>0</v>
      </c>
      <c r="QD280" s="93">
        <v>15.974240444000001</v>
      </c>
      <c r="QE280" s="20">
        <v>16.590047312000014</v>
      </c>
      <c r="QF280" s="1739">
        <v>213</v>
      </c>
      <c r="QG280" s="19"/>
      <c r="QH280" s="1035">
        <v>1223.3819614581248</v>
      </c>
      <c r="QI280" s="1035">
        <v>1770.2399406772395</v>
      </c>
      <c r="QJ280" s="1035">
        <v>-546.85797921911467</v>
      </c>
      <c r="QK280" s="1035">
        <v>177.42</v>
      </c>
      <c r="QL280" s="1035">
        <v>57.62</v>
      </c>
      <c r="QM280" s="1035">
        <v>119.8</v>
      </c>
      <c r="QN280" s="1035">
        <v>0</v>
      </c>
      <c r="QO280" s="1035">
        <v>112.25199999999995</v>
      </c>
      <c r="QP280" s="1035">
        <v>434.60499999999996</v>
      </c>
      <c r="QQ280" s="1035">
        <v>-322.35300000000001</v>
      </c>
      <c r="QR280" s="1035">
        <v>2270.0090593227601</v>
      </c>
      <c r="QS280" s="1035">
        <v>30.848236293090853</v>
      </c>
      <c r="QT280" s="1035">
        <v>0</v>
      </c>
      <c r="QU280" s="1035">
        <v>141.97499999999999</v>
      </c>
      <c r="QV280" s="1035">
        <v>2097.1858230296693</v>
      </c>
      <c r="QW280" s="93"/>
      <c r="QX280" s="93">
        <v>673.21600000000001</v>
      </c>
      <c r="QY280" s="93">
        <v>1213.5813881582335</v>
      </c>
      <c r="QZ280" s="93">
        <v>1305.3476326226521</v>
      </c>
      <c r="RA280" s="93">
        <v>0</v>
      </c>
      <c r="RB280" s="93">
        <v>71.61999999999999</v>
      </c>
      <c r="RC280" s="93">
        <v>1.726</v>
      </c>
      <c r="RD280" s="93">
        <v>18.382000000000001</v>
      </c>
      <c r="RE280" s="93">
        <v>0</v>
      </c>
      <c r="RF280" s="93">
        <v>0</v>
      </c>
      <c r="RG280" s="93">
        <v>420.60700000000003</v>
      </c>
      <c r="RH280" s="93">
        <v>78.582999999999998</v>
      </c>
      <c r="RI280" s="93"/>
      <c r="RJ280" s="93"/>
      <c r="RK280" s="93"/>
      <c r="RL280" s="93"/>
      <c r="RM280" s="734"/>
      <c r="RN280" s="29">
        <v>213</v>
      </c>
      <c r="RO280" s="19">
        <v>135</v>
      </c>
      <c r="RP280" s="20">
        <v>461</v>
      </c>
      <c r="RQ280" s="29">
        <v>213</v>
      </c>
      <c r="RR280" s="734">
        <v>3.52650781</v>
      </c>
      <c r="RS280" s="29">
        <v>213</v>
      </c>
      <c r="RT280" s="1504">
        <v>42979</v>
      </c>
      <c r="RU280" s="19">
        <v>686</v>
      </c>
      <c r="RV280" s="20">
        <v>11</v>
      </c>
      <c r="RW280" s="29">
        <v>213</v>
      </c>
      <c r="RX280" s="1504">
        <v>42979</v>
      </c>
      <c r="RY280" s="29"/>
      <c r="RZ280" s="734"/>
      <c r="SA280" s="29"/>
      <c r="SB280" s="29">
        <v>213</v>
      </c>
    </row>
    <row r="281" spans="1:496">
      <c r="A281" s="41">
        <f t="shared" si="238"/>
        <v>2017</v>
      </c>
      <c r="B281" s="1504">
        <v>43009</v>
      </c>
      <c r="C281" s="1813">
        <v>1670</v>
      </c>
      <c r="D281" s="1814">
        <v>35911</v>
      </c>
      <c r="E281" s="1814">
        <v>141</v>
      </c>
      <c r="F281" s="1815">
        <v>415</v>
      </c>
      <c r="G281" s="1814">
        <v>97821</v>
      </c>
      <c r="H281" s="1814">
        <v>56</v>
      </c>
      <c r="I281" s="1814">
        <v>41788</v>
      </c>
      <c r="J281" s="1816">
        <v>16307</v>
      </c>
      <c r="K281" s="1807">
        <v>194109</v>
      </c>
      <c r="L281" s="25">
        <v>214</v>
      </c>
      <c r="M281" s="97"/>
      <c r="N281" s="1504">
        <v>43009</v>
      </c>
      <c r="O281" s="19">
        <v>772</v>
      </c>
      <c r="P281" s="93">
        <v>953</v>
      </c>
      <c r="Q281" s="93">
        <v>3728</v>
      </c>
      <c r="R281" s="93">
        <v>726</v>
      </c>
      <c r="S281" s="93">
        <v>1513</v>
      </c>
      <c r="T281" s="93">
        <v>710</v>
      </c>
      <c r="U281" s="93"/>
      <c r="V281" s="93">
        <v>1924</v>
      </c>
      <c r="W281" s="93">
        <v>3390</v>
      </c>
      <c r="X281" s="93">
        <v>859</v>
      </c>
      <c r="Y281" s="93">
        <v>232</v>
      </c>
      <c r="Z281" s="93">
        <v>1164</v>
      </c>
      <c r="AA281" s="93">
        <v>861</v>
      </c>
      <c r="AB281" s="132">
        <v>16832</v>
      </c>
      <c r="AC281" s="25">
        <v>214</v>
      </c>
      <c r="AD281" s="97"/>
      <c r="AE281" s="1504">
        <v>43009</v>
      </c>
      <c r="AF281" s="19">
        <v>2568</v>
      </c>
      <c r="AG281" s="93">
        <v>690</v>
      </c>
      <c r="AH281" s="93">
        <v>2374</v>
      </c>
      <c r="AI281" s="93">
        <v>1636</v>
      </c>
      <c r="AJ281" s="93">
        <v>2807</v>
      </c>
      <c r="AK281" s="93">
        <v>3608</v>
      </c>
      <c r="AL281" s="93"/>
      <c r="AM281" s="93">
        <v>2341</v>
      </c>
      <c r="AN281" s="93">
        <v>4077</v>
      </c>
      <c r="AO281" s="93">
        <v>2342</v>
      </c>
      <c r="AP281" s="93">
        <v>760</v>
      </c>
      <c r="AQ281" s="93">
        <v>2359</v>
      </c>
      <c r="AR281" s="93">
        <v>1084</v>
      </c>
      <c r="AS281" s="20">
        <v>26646</v>
      </c>
      <c r="AT281" s="25">
        <v>214</v>
      </c>
      <c r="AU281" s="97"/>
      <c r="AV281" s="1504">
        <v>43009</v>
      </c>
      <c r="AW281" s="19">
        <v>11923</v>
      </c>
      <c r="AX281" s="93">
        <v>2780</v>
      </c>
      <c r="AY281" s="93">
        <v>4331</v>
      </c>
      <c r="AZ281" s="93">
        <v>6868</v>
      </c>
      <c r="BA281" s="93">
        <v>10791</v>
      </c>
      <c r="BB281" s="93">
        <v>7989</v>
      </c>
      <c r="BC281" s="93"/>
      <c r="BD281" s="93">
        <v>11164</v>
      </c>
      <c r="BE281" s="93">
        <v>12211</v>
      </c>
      <c r="BF281" s="93">
        <v>6348</v>
      </c>
      <c r="BG281" s="93">
        <v>4398</v>
      </c>
      <c r="BH281" s="93">
        <v>9546</v>
      </c>
      <c r="BI281" s="93">
        <v>3837</v>
      </c>
      <c r="BJ281" s="20">
        <v>92186</v>
      </c>
      <c r="BK281" s="25">
        <v>214</v>
      </c>
      <c r="BL281" s="97"/>
      <c r="BM281" s="1504">
        <v>43009</v>
      </c>
      <c r="BN281" s="19">
        <v>87.260999999999981</v>
      </c>
      <c r="BO281" s="93">
        <v>2267.0059999999994</v>
      </c>
      <c r="BP281" s="93">
        <v>6.9120000000000008</v>
      </c>
      <c r="BQ281" s="93">
        <v>756.44799999999987</v>
      </c>
      <c r="BR281" s="93">
        <v>1.9890000000000001</v>
      </c>
      <c r="BS281" s="93">
        <v>255.357</v>
      </c>
      <c r="BT281" s="93">
        <v>528.4079999999999</v>
      </c>
      <c r="BU281" s="132">
        <v>3903.3809999999989</v>
      </c>
      <c r="BV281" s="25">
        <v>214</v>
      </c>
      <c r="BW281" s="97"/>
      <c r="BX281" s="1504">
        <v>43009</v>
      </c>
      <c r="BY281" s="179">
        <v>557.98299741575693</v>
      </c>
      <c r="BZ281" s="99">
        <v>664.95699999999999</v>
      </c>
      <c r="CA281" s="99">
        <v>568.1450666444938</v>
      </c>
      <c r="CB281" s="99">
        <v>40.705906547384757</v>
      </c>
      <c r="CC281" s="99">
        <v>126.91940967741934</v>
      </c>
      <c r="CD281" s="25">
        <v>214</v>
      </c>
      <c r="CE281" s="97"/>
      <c r="CF281" s="1504">
        <v>43009</v>
      </c>
      <c r="CG281" s="1508">
        <v>1.7328313200000001</v>
      </c>
      <c r="CH281" s="568">
        <v>1279.51</v>
      </c>
      <c r="CI281" s="1708">
        <v>54.92</v>
      </c>
      <c r="CJ281" s="1509">
        <v>57.62</v>
      </c>
      <c r="CK281" s="1508">
        <v>375.68</v>
      </c>
      <c r="CL281" s="568">
        <v>148.62207359999999</v>
      </c>
      <c r="CM281" s="568">
        <v>0.31614250799999999</v>
      </c>
      <c r="CN281" s="568">
        <v>0.38400190400000001</v>
      </c>
      <c r="CO281" s="568">
        <v>175.63474260000001</v>
      </c>
      <c r="CP281" s="1509">
        <v>4.2509482839999997</v>
      </c>
      <c r="CQ281" s="1708">
        <v>1481.11</v>
      </c>
      <c r="CR281" s="568">
        <v>3.0579999999999998</v>
      </c>
      <c r="CS281" s="568">
        <v>1.6372</v>
      </c>
      <c r="CT281" s="568">
        <v>80</v>
      </c>
      <c r="CU281" s="568">
        <v>61.66</v>
      </c>
      <c r="CV281" s="1709">
        <v>3264.6</v>
      </c>
      <c r="CW281" s="29">
        <v>214</v>
      </c>
      <c r="CX281" s="41">
        <f t="shared" si="239"/>
        <v>2017</v>
      </c>
      <c r="CY281" s="1504">
        <v>43009</v>
      </c>
      <c r="CZ281" s="1916">
        <v>115.99910241000001</v>
      </c>
      <c r="DA281" s="1526">
        <v>68.985315409999998</v>
      </c>
      <c r="DB281" s="1526">
        <v>47.013787000000001</v>
      </c>
      <c r="DC281" s="182">
        <f t="shared" si="255"/>
        <v>628111</v>
      </c>
      <c r="DD281" s="182">
        <f t="shared" si="256"/>
        <v>626374</v>
      </c>
      <c r="DE281" s="182">
        <f t="shared" si="257"/>
        <v>1737</v>
      </c>
      <c r="DF281" s="29">
        <v>214</v>
      </c>
      <c r="DG281" s="1504">
        <v>43009</v>
      </c>
      <c r="DH281" s="369">
        <f t="shared" si="261"/>
        <v>392442.25186446065</v>
      </c>
      <c r="DI281" s="93"/>
      <c r="DJ281" s="93"/>
      <c r="DK281" s="93"/>
      <c r="DL281" s="93"/>
      <c r="DM281" s="93"/>
      <c r="DN281" s="20"/>
      <c r="DO281" s="25"/>
      <c r="DP281" s="29">
        <v>214</v>
      </c>
      <c r="DQ281" s="1504">
        <v>43009</v>
      </c>
      <c r="DR281" s="19"/>
      <c r="DS281" s="93"/>
      <c r="DT281" s="93"/>
      <c r="DU281" s="93"/>
      <c r="DV281" s="93"/>
      <c r="DW281" s="93"/>
      <c r="DX281" s="1719"/>
      <c r="DY281" s="29">
        <v>214</v>
      </c>
      <c r="DZ281" s="1504">
        <v>43009</v>
      </c>
      <c r="EA281" s="19"/>
      <c r="EB281" s="93"/>
      <c r="EC281" s="20"/>
      <c r="ED281" s="29"/>
      <c r="EE281" s="1504">
        <v>43009</v>
      </c>
      <c r="EF281" s="179">
        <v>19408</v>
      </c>
      <c r="EG281" s="99">
        <v>19548</v>
      </c>
      <c r="EH281" s="99">
        <v>38956</v>
      </c>
      <c r="EI281" s="221">
        <v>6220</v>
      </c>
      <c r="EJ281" s="99">
        <v>522.548</v>
      </c>
      <c r="EK281" s="99">
        <v>102.666</v>
      </c>
      <c r="EL281" s="99">
        <v>7.74</v>
      </c>
      <c r="EM281" s="99">
        <v>6.4130000000000003</v>
      </c>
      <c r="EN281" s="132">
        <v>639.36699999999996</v>
      </c>
      <c r="EO281" s="29">
        <v>214</v>
      </c>
      <c r="EP281" s="1504">
        <v>43009</v>
      </c>
      <c r="EQ281" s="19">
        <v>18805</v>
      </c>
      <c r="ER281" s="93">
        <v>18914</v>
      </c>
      <c r="ES281" s="93">
        <v>37719</v>
      </c>
      <c r="ET281" s="214">
        <v>5737</v>
      </c>
      <c r="EU281" s="93">
        <v>522.548</v>
      </c>
      <c r="EV281" s="93">
        <v>102.666</v>
      </c>
      <c r="EW281" s="93">
        <v>7.74</v>
      </c>
      <c r="EX281" s="93">
        <v>6.4130000000000003</v>
      </c>
      <c r="EY281" s="20">
        <v>639.36699999999996</v>
      </c>
      <c r="EZ281" s="29">
        <v>214</v>
      </c>
      <c r="FA281" s="1504">
        <v>43009</v>
      </c>
      <c r="FB281" s="29">
        <v>603</v>
      </c>
      <c r="FC281" s="29">
        <v>634</v>
      </c>
      <c r="FD281" s="29">
        <v>1237</v>
      </c>
      <c r="FE281" s="29">
        <v>483</v>
      </c>
      <c r="FF281" s="29">
        <v>0</v>
      </c>
      <c r="FG281" s="29">
        <v>0</v>
      </c>
      <c r="FH281" s="29">
        <v>0</v>
      </c>
      <c r="FI281" s="29">
        <v>0</v>
      </c>
      <c r="FJ281" s="29">
        <v>0</v>
      </c>
      <c r="FK281" s="29">
        <v>214</v>
      </c>
      <c r="FL281" s="1504">
        <v>43009</v>
      </c>
      <c r="FM281" s="19">
        <v>103.83</v>
      </c>
      <c r="FN281" s="93">
        <v>106.97</v>
      </c>
      <c r="FO281" s="93">
        <v>115.04</v>
      </c>
      <c r="FP281" s="93">
        <v>100.65</v>
      </c>
      <c r="FQ281" s="93">
        <v>96.48</v>
      </c>
      <c r="FR281" s="93">
        <v>100.06</v>
      </c>
      <c r="FS281" s="93">
        <v>100.26</v>
      </c>
      <c r="FT281" s="93">
        <v>96.04</v>
      </c>
      <c r="FU281" s="93">
        <v>110.75</v>
      </c>
      <c r="FV281" s="93">
        <v>104.07</v>
      </c>
      <c r="FW281" s="93">
        <v>102.73</v>
      </c>
      <c r="FX281" s="93">
        <v>102.29</v>
      </c>
      <c r="FY281" s="93">
        <v>100.06</v>
      </c>
      <c r="FZ281" s="29">
        <v>214</v>
      </c>
      <c r="GA281" s="1504">
        <v>43009</v>
      </c>
      <c r="GB281" s="19">
        <v>103.83</v>
      </c>
      <c r="GC281" s="93">
        <v>101.2</v>
      </c>
      <c r="GD281" s="93">
        <v>105.31</v>
      </c>
      <c r="GE281" s="93">
        <v>91.26</v>
      </c>
      <c r="GF281" s="93">
        <v>112.01</v>
      </c>
      <c r="GG281" s="99">
        <v>101.86</v>
      </c>
      <c r="GH281" s="93">
        <v>108.89</v>
      </c>
      <c r="GI281" s="93">
        <v>101.3</v>
      </c>
      <c r="GJ281" s="93">
        <v>102.51</v>
      </c>
      <c r="GK281" s="93">
        <v>100.29</v>
      </c>
      <c r="GL281" s="93">
        <v>105.38</v>
      </c>
      <c r="GM281" s="93">
        <v>101.42</v>
      </c>
      <c r="GN281" s="20">
        <v>102.51</v>
      </c>
      <c r="GO281" s="29">
        <v>214</v>
      </c>
      <c r="GP281" s="1504">
        <v>43009</v>
      </c>
      <c r="GQ281" s="181">
        <v>335.454317819636</v>
      </c>
      <c r="GR281" s="182">
        <v>252.335868463823</v>
      </c>
      <c r="GS281" s="182">
        <v>235.33938275964499</v>
      </c>
      <c r="GT281" s="182">
        <v>200.261835036039</v>
      </c>
      <c r="GU281" s="182">
        <v>410.94957282145401</v>
      </c>
      <c r="GV281" s="290">
        <v>879.14638753580095</v>
      </c>
      <c r="GW281" s="181">
        <v>439.77632437020497</v>
      </c>
      <c r="GX281" s="182">
        <v>445.27237085187301</v>
      </c>
      <c r="GY281" s="182">
        <v>583.12421175967597</v>
      </c>
      <c r="GZ281" s="182">
        <v>689.02729521796402</v>
      </c>
      <c r="HA281" s="182">
        <v>418.91212812576202</v>
      </c>
      <c r="HB281" s="290">
        <v>1088.4527063621199</v>
      </c>
      <c r="HC281" s="181">
        <v>1872.3806744363301</v>
      </c>
      <c r="HD281" s="182">
        <v>2463.7261634842298</v>
      </c>
      <c r="HE281" s="182">
        <v>2449.7554584813402</v>
      </c>
      <c r="HF281" s="182">
        <v>3150</v>
      </c>
      <c r="HG281" s="182">
        <v>2714.2450232371498</v>
      </c>
      <c r="HH281" s="290">
        <v>2814.4236159218499</v>
      </c>
      <c r="HI281" s="19"/>
      <c r="HJ281" s="182">
        <v>844.78494110081294</v>
      </c>
      <c r="HK281" s="182">
        <v>1390.24922327688</v>
      </c>
      <c r="HL281" s="182">
        <v>846.19384405407595</v>
      </c>
      <c r="HM281" s="182">
        <v>900</v>
      </c>
      <c r="HN281" s="290">
        <v>2882.4105581918302</v>
      </c>
      <c r="HO281" s="324">
        <v>132.87651910147801</v>
      </c>
      <c r="HP281" s="290">
        <v>100.48815883695499</v>
      </c>
      <c r="HQ281" s="295">
        <v>169.406467241336</v>
      </c>
      <c r="HR281" s="29">
        <v>214</v>
      </c>
      <c r="HS281" s="1504">
        <v>43009</v>
      </c>
      <c r="HT281" s="179">
        <v>290.53762817382813</v>
      </c>
      <c r="HU281" s="99">
        <v>288.62847900390625</v>
      </c>
      <c r="HV281" s="99">
        <v>216.56050415039061</v>
      </c>
      <c r="HW281" s="99">
        <v>134.61538887023926</v>
      </c>
      <c r="HX281" s="99">
        <v>266.66665649414063</v>
      </c>
      <c r="HY281" s="99">
        <v>277.77777099609375</v>
      </c>
      <c r="HZ281" s="99">
        <v>264.28886718749999</v>
      </c>
      <c r="IA281" s="132">
        <v>205.88235473632813</v>
      </c>
      <c r="IB281" s="179">
        <v>201.95440292358398</v>
      </c>
      <c r="IC281" s="99">
        <v>199.46809005737305</v>
      </c>
      <c r="ID281" s="99">
        <v>267.85714721679688</v>
      </c>
      <c r="IE281" s="99">
        <v>159.74440002441406</v>
      </c>
      <c r="IF281" s="99">
        <v>218.75</v>
      </c>
      <c r="IG281" s="132">
        <v>196.85185750325522</v>
      </c>
      <c r="IH281" s="179">
        <v>134.96490478515625</v>
      </c>
      <c r="II281" s="99">
        <v>222.77046585083008</v>
      </c>
      <c r="IJ281" s="99">
        <v>172.29729309082032</v>
      </c>
      <c r="IK281" s="99">
        <v>173.73646545410156</v>
      </c>
      <c r="IL281" s="99">
        <v>147.49999809265137</v>
      </c>
      <c r="IM281" s="99">
        <v>139.91935729980469</v>
      </c>
      <c r="IN281" s="99">
        <v>190.81272888183594</v>
      </c>
      <c r="IO281" s="132">
        <v>165.38825683593751</v>
      </c>
      <c r="IP281" s="29">
        <v>214</v>
      </c>
      <c r="IQ281" s="179">
        <v>152.82685852050781</v>
      </c>
      <c r="IR281" s="99">
        <v>80.75761604309082</v>
      </c>
      <c r="IS281" s="99">
        <v>155.17240905761719</v>
      </c>
      <c r="IT281" s="99">
        <v>97.087379455566406</v>
      </c>
      <c r="IU281" s="99">
        <v>175.00000381469727</v>
      </c>
      <c r="IV281" s="132">
        <v>96.531789143880204</v>
      </c>
      <c r="IW281" s="29">
        <v>214</v>
      </c>
      <c r="IX281" s="179">
        <v>397.84946187337238</v>
      </c>
      <c r="IY281" s="99">
        <v>374.13195419311523</v>
      </c>
      <c r="IZ281" s="99">
        <v>428.75</v>
      </c>
      <c r="JA281" s="99">
        <v>375</v>
      </c>
      <c r="JB281" s="99">
        <v>392.5</v>
      </c>
      <c r="JC281" s="99">
        <v>412.2</v>
      </c>
      <c r="JD281" s="100">
        <f t="shared" si="276"/>
        <v>340</v>
      </c>
      <c r="JE281" s="132">
        <v>400</v>
      </c>
      <c r="JF281" s="29">
        <v>214</v>
      </c>
      <c r="JG281" s="179">
        <v>208.10810852050781</v>
      </c>
      <c r="JH281" s="99">
        <v>226.05994033813477</v>
      </c>
      <c r="JI281" s="99">
        <v>176.84888305664063</v>
      </c>
      <c r="JJ281" s="99">
        <v>143.75</v>
      </c>
      <c r="JK281" s="99">
        <v>202.02020263671875</v>
      </c>
      <c r="JL281" s="99">
        <v>196.79467391967773</v>
      </c>
      <c r="JM281" s="99">
        <v>163.77887725830078</v>
      </c>
      <c r="JN281" s="132">
        <v>217.43605957031249</v>
      </c>
      <c r="JO281" s="29">
        <v>214</v>
      </c>
      <c r="JP281" s="179">
        <v>190.78947448730469</v>
      </c>
      <c r="JQ281" s="99">
        <v>136.42131423950195</v>
      </c>
      <c r="JR281" s="99">
        <v>186.49424743652344</v>
      </c>
      <c r="JS281" s="99"/>
      <c r="JT281" s="99">
        <v>189.16156005859375</v>
      </c>
      <c r="JU281" s="132">
        <v>120.49910990397136</v>
      </c>
      <c r="JV281" s="29">
        <v>214</v>
      </c>
      <c r="JW281" s="1504">
        <v>43009</v>
      </c>
      <c r="JX281" s="179"/>
      <c r="JY281" s="99">
        <v>290.89743589743586</v>
      </c>
      <c r="JZ281" s="99">
        <v>249.70238095238093</v>
      </c>
      <c r="KA281" s="99">
        <v>229.58333333333334</v>
      </c>
      <c r="KB281" s="99">
        <v>195.35714285714286</v>
      </c>
      <c r="KC281" s="99">
        <v>221.13793103448276</v>
      </c>
      <c r="KD281" s="132">
        <v>274.95</v>
      </c>
      <c r="KE281" s="29">
        <v>214</v>
      </c>
      <c r="KF281" s="179"/>
      <c r="KG281" s="99">
        <v>43.565789473684212</v>
      </c>
      <c r="KH281" s="99">
        <v>44.1875</v>
      </c>
      <c r="KI281" s="99">
        <v>52.479166666666664</v>
      </c>
      <c r="KJ281" s="99">
        <v>44.1875</v>
      </c>
      <c r="KK281" s="132">
        <v>60.317307692307693</v>
      </c>
      <c r="KL281" s="29">
        <v>214</v>
      </c>
      <c r="KM281" s="100">
        <f t="shared" si="253"/>
        <v>15.20747815241314</v>
      </c>
      <c r="KN281" s="99">
        <v>14.79054054054054</v>
      </c>
      <c r="KO281" s="99">
        <v>28.822916666666668</v>
      </c>
      <c r="KP281" s="99">
        <v>34.5625</v>
      </c>
      <c r="KQ281" s="99">
        <v>22.23076923076923</v>
      </c>
      <c r="KR281" s="132">
        <v>27.551282051282051</v>
      </c>
      <c r="KS281" s="29">
        <v>214</v>
      </c>
      <c r="KT281" s="100">
        <f t="shared" si="254"/>
        <v>35.663584704200375</v>
      </c>
      <c r="KU281" s="99">
        <v>23.493589743589741</v>
      </c>
      <c r="KV281" s="99">
        <v>25.541666666666668</v>
      </c>
      <c r="KW281" s="99">
        <v>22.28125</v>
      </c>
      <c r="KX281" s="99">
        <v>17.059999999999999</v>
      </c>
      <c r="KY281" s="132">
        <v>23.864779874213838</v>
      </c>
      <c r="KZ281" s="29">
        <v>214</v>
      </c>
      <c r="LA281" s="1504">
        <v>43009</v>
      </c>
      <c r="LB281" s="19">
        <v>380</v>
      </c>
      <c r="LC281" s="93">
        <v>610</v>
      </c>
      <c r="LD281" s="93">
        <v>602</v>
      </c>
      <c r="LE281" s="93"/>
      <c r="LF281" s="93">
        <v>526</v>
      </c>
      <c r="LG281" s="93">
        <v>5000</v>
      </c>
      <c r="LH281" s="20">
        <v>2000</v>
      </c>
      <c r="LI281" s="29">
        <v>214</v>
      </c>
      <c r="LJ281" s="19"/>
      <c r="LK281" s="93"/>
      <c r="LL281" s="93"/>
      <c r="LM281" s="93"/>
      <c r="LN281" s="93"/>
      <c r="LO281" s="20"/>
      <c r="LP281" s="29">
        <v>214</v>
      </c>
      <c r="LQ281" s="19"/>
      <c r="LR281" s="93">
        <v>188</v>
      </c>
      <c r="LS281" s="93">
        <v>445</v>
      </c>
      <c r="LT281" s="93">
        <v>535</v>
      </c>
      <c r="LU281" s="93">
        <v>1070</v>
      </c>
      <c r="LV281" s="93"/>
      <c r="LW281" s="93">
        <v>5</v>
      </c>
      <c r="LX281" s="93">
        <v>10</v>
      </c>
      <c r="LY281" s="93">
        <v>60</v>
      </c>
      <c r="LZ281" s="93"/>
      <c r="MA281" s="20"/>
      <c r="MB281" s="29">
        <v>214</v>
      </c>
      <c r="MC281" s="1504">
        <v>43009</v>
      </c>
      <c r="MD281" s="19">
        <v>1258.6705652868834</v>
      </c>
      <c r="ME281" s="93">
        <v>1146.5969218652001</v>
      </c>
      <c r="MF281" s="93">
        <v>1146.5967696652001</v>
      </c>
      <c r="MG281" s="93">
        <v>1022.4634001202002</v>
      </c>
      <c r="MH281" s="93">
        <v>277.11625751499997</v>
      </c>
      <c r="MI281" s="93">
        <v>8.3712101999999984</v>
      </c>
      <c r="MJ281" s="93">
        <v>6.637008646</v>
      </c>
      <c r="MK281" s="93">
        <v>572.68901290819997</v>
      </c>
      <c r="ML281" s="93">
        <v>147.98307082099998</v>
      </c>
      <c r="MM281" s="93">
        <v>9.6668400299999995</v>
      </c>
      <c r="MN281" s="93">
        <v>124.13336954500002</v>
      </c>
      <c r="MO281" s="93">
        <v>4.7656468250000001</v>
      </c>
      <c r="MP281" s="93">
        <v>28.794862129000002</v>
      </c>
      <c r="MQ281" s="93">
        <v>1.5613033250000001</v>
      </c>
      <c r="MR281" s="93">
        <v>32.055170372999996</v>
      </c>
      <c r="MS281" s="93">
        <v>56.956386893000001</v>
      </c>
      <c r="MT281" s="93">
        <v>1.5219999999999999E-4</v>
      </c>
      <c r="MU281" s="93">
        <v>112.07364342168343</v>
      </c>
      <c r="MV281" s="93">
        <v>70.367904044683456</v>
      </c>
      <c r="MW281" s="93">
        <v>41.705739376999993</v>
      </c>
      <c r="MX281" s="93">
        <v>1734.5203079436753</v>
      </c>
      <c r="MY281" s="93">
        <v>1735.7996462946753</v>
      </c>
      <c r="MZ281" s="93">
        <v>1039.2710556836664</v>
      </c>
      <c r="NA281" s="93">
        <v>508.42803141366664</v>
      </c>
      <c r="NB281" s="93">
        <v>108.00127802</v>
      </c>
      <c r="NC281" s="93">
        <v>37.662035975999999</v>
      </c>
      <c r="ND281" s="93">
        <v>22.727633206000004</v>
      </c>
      <c r="NE281" s="93">
        <v>14.934402769999998</v>
      </c>
      <c r="NF281" s="93">
        <v>385.17971027399994</v>
      </c>
      <c r="NG281" s="93">
        <v>0</v>
      </c>
      <c r="NH281" s="93">
        <v>81.317187097000001</v>
      </c>
      <c r="NI281" s="93">
        <v>35.479999999999997</v>
      </c>
      <c r="NJ281" s="93">
        <v>50</v>
      </c>
      <c r="NK281" s="93">
        <v>696.52859061100844</v>
      </c>
      <c r="NL281" s="93">
        <v>555.96235645299998</v>
      </c>
      <c r="NM281" s="93">
        <v>11.114505447000001</v>
      </c>
      <c r="NN281" s="93">
        <v>129.45172871100857</v>
      </c>
      <c r="NO281" s="93">
        <v>-1.2793383510000003</v>
      </c>
      <c r="NP281" s="93">
        <v>-475.8497426567917</v>
      </c>
      <c r="NQ281" s="93">
        <v>-587.92338607847512</v>
      </c>
      <c r="NR281" s="93">
        <v>-420.80962139146652</v>
      </c>
      <c r="NS281" s="93">
        <v>-458.47165736746655</v>
      </c>
      <c r="NT281" s="93">
        <v>-272.71251374179172</v>
      </c>
      <c r="NU281" s="93">
        <v>-384.78615716347514</v>
      </c>
      <c r="NV281" s="93">
        <v>275.89146361196856</v>
      </c>
      <c r="NW281" s="93">
        <v>23.041937243968526</v>
      </c>
      <c r="NX281" s="93">
        <v>59.083824666325114</v>
      </c>
      <c r="NY281" s="93">
        <v>-36.041887422356588</v>
      </c>
      <c r="NZ281" s="93">
        <v>0</v>
      </c>
      <c r="OA281" s="93">
        <v>252.84952636800006</v>
      </c>
      <c r="OB281" s="93">
        <v>183.64402038900005</v>
      </c>
      <c r="OC281" s="93">
        <v>69.205505979000009</v>
      </c>
      <c r="OD281" s="20">
        <v>0</v>
      </c>
      <c r="OE281" s="29">
        <v>214</v>
      </c>
      <c r="OF281" s="1504">
        <v>43009</v>
      </c>
      <c r="OG281" s="19"/>
      <c r="OH281" s="93">
        <v>396.19907098728902</v>
      </c>
      <c r="OI281" s="93">
        <v>1374.8607745172606</v>
      </c>
      <c r="OJ281" s="93">
        <v>0.45376441699999998</v>
      </c>
      <c r="OK281" s="93">
        <v>1180.9286660492605</v>
      </c>
      <c r="OL281" s="93">
        <v>193.47834405099999</v>
      </c>
      <c r="OM281" s="93">
        <v>1771.0598455045497</v>
      </c>
      <c r="ON281" s="93">
        <v>1307.3465189357773</v>
      </c>
      <c r="OO281" s="93">
        <v>3078.4063644403268</v>
      </c>
      <c r="OP281" s="93"/>
      <c r="OQ281" s="93">
        <v>1327.8259013962997</v>
      </c>
      <c r="OR281" s="93">
        <v>36.355622195289129</v>
      </c>
      <c r="OS281" s="93">
        <v>1291.4702792010103</v>
      </c>
      <c r="OT281" s="93">
        <v>2206.5715252970281</v>
      </c>
      <c r="OU281" s="93">
        <v>-95.16653980600006</v>
      </c>
      <c r="OV281" s="93">
        <v>-204.16753980600004</v>
      </c>
      <c r="OW281" s="93">
        <v>109.00099999999998</v>
      </c>
      <c r="OX281" s="93">
        <v>2301.738065103028</v>
      </c>
      <c r="OY281" s="93">
        <v>5.3007270870000003</v>
      </c>
      <c r="OZ281" s="93">
        <v>2296.4373380160278</v>
      </c>
      <c r="PA281" s="93">
        <v>545.41319115900001</v>
      </c>
      <c r="PB281" s="93">
        <v>-89.422128905999969</v>
      </c>
      <c r="PC281" s="20">
        <v>3078.4063644403282</v>
      </c>
      <c r="PD281" s="29">
        <v>214</v>
      </c>
      <c r="PE281" s="19"/>
      <c r="PF281" s="93">
        <v>36.355622195289129</v>
      </c>
      <c r="PG281" s="93">
        <v>1004.238553687289</v>
      </c>
      <c r="PH281" s="93">
        <v>967.8829314919999</v>
      </c>
      <c r="PI281" s="93">
        <v>750.53364575499995</v>
      </c>
      <c r="PJ281" s="93">
        <v>-196.92935972100003</v>
      </c>
      <c r="PK281" s="93">
        <v>129.13396299200002</v>
      </c>
      <c r="PL281" s="93">
        <v>326.06332271300005</v>
      </c>
      <c r="PM281" s="93">
        <v>5.3007270870000003</v>
      </c>
      <c r="PN281" s="93">
        <v>1.2749999999999999</v>
      </c>
      <c r="PO281" s="93">
        <v>0</v>
      </c>
      <c r="PP281" s="93">
        <v>4.1117399999999999E-4</v>
      </c>
      <c r="PQ281" s="93">
        <v>4.025315913</v>
      </c>
      <c r="PR281" s="93">
        <v>584.87764848328902</v>
      </c>
      <c r="PS281" s="93">
        <v>454.41625107228901</v>
      </c>
      <c r="PT281" s="93">
        <v>129.68106522599999</v>
      </c>
      <c r="PU281" s="93">
        <v>0.78033218500000001</v>
      </c>
      <c r="PV281" s="93">
        <v>0</v>
      </c>
      <c r="PW281" s="93">
        <v>0.77299539100000003</v>
      </c>
      <c r="PX281" s="93">
        <v>0</v>
      </c>
      <c r="PY281" s="93">
        <v>0</v>
      </c>
      <c r="PZ281" s="93">
        <v>0.77299539100000003</v>
      </c>
      <c r="QA281" s="93">
        <v>0</v>
      </c>
      <c r="QB281" s="93">
        <v>0</v>
      </c>
      <c r="QC281" s="93">
        <v>0</v>
      </c>
      <c r="QD281" s="93">
        <v>19.047195768000002</v>
      </c>
      <c r="QE281" s="20">
        <v>-9.4372043259999856</v>
      </c>
      <c r="QF281" s="1739">
        <v>214</v>
      </c>
      <c r="QG281" s="19"/>
      <c r="QH281" s="1035">
        <v>1291.4702792010103</v>
      </c>
      <c r="QI281" s="1035">
        <v>1861.8776619839725</v>
      </c>
      <c r="QJ281" s="1035">
        <v>-570.40738278296215</v>
      </c>
      <c r="QK281" s="1035">
        <v>168.79</v>
      </c>
      <c r="QL281" s="1035">
        <v>50.978999999999999</v>
      </c>
      <c r="QM281" s="1035">
        <v>117.81099999999999</v>
      </c>
      <c r="QN281" s="1035">
        <v>0</v>
      </c>
      <c r="QO281" s="1035">
        <v>109.00099999999998</v>
      </c>
      <c r="QP281" s="1035">
        <v>439.255</v>
      </c>
      <c r="QQ281" s="1035">
        <v>-330.25400000000002</v>
      </c>
      <c r="QR281" s="1035">
        <v>2296.4373380160278</v>
      </c>
      <c r="QS281" s="1035">
        <v>31.346111097472708</v>
      </c>
      <c r="QT281" s="1035">
        <v>0</v>
      </c>
      <c r="QU281" s="1035">
        <v>136.661</v>
      </c>
      <c r="QV281" s="1035">
        <v>2128.430226918555</v>
      </c>
      <c r="QW281" s="93"/>
      <c r="QX281" s="93">
        <v>770.91899999999998</v>
      </c>
      <c r="QY281" s="93">
        <v>1180.9286660492605</v>
      </c>
      <c r="QZ281" s="93">
        <v>1307.0199511677774</v>
      </c>
      <c r="RA281" s="93">
        <v>0</v>
      </c>
      <c r="RB281" s="93">
        <v>75.725999999999999</v>
      </c>
      <c r="RC281" s="93">
        <v>0.84500000000000008</v>
      </c>
      <c r="RD281" s="93">
        <v>21.939</v>
      </c>
      <c r="RE281" s="93">
        <v>0</v>
      </c>
      <c r="RF281" s="93">
        <v>0</v>
      </c>
      <c r="RG281" s="93">
        <v>427.08300000000003</v>
      </c>
      <c r="RH281" s="93">
        <v>81.238000000000028</v>
      </c>
      <c r="RI281" s="93"/>
      <c r="RJ281" s="93"/>
      <c r="RK281" s="93"/>
      <c r="RL281" s="93"/>
      <c r="RM281" s="734"/>
      <c r="RN281" s="29">
        <v>214</v>
      </c>
      <c r="RO281" s="19">
        <v>52</v>
      </c>
      <c r="RP281" s="20">
        <v>3872</v>
      </c>
      <c r="RQ281" s="29">
        <v>214</v>
      </c>
      <c r="RR281" s="734">
        <v>3.4550644099999999</v>
      </c>
      <c r="RS281" s="29">
        <v>214</v>
      </c>
      <c r="RT281" s="1504">
        <v>43009</v>
      </c>
      <c r="RU281" s="19">
        <v>757</v>
      </c>
      <c r="RV281" s="20">
        <v>9</v>
      </c>
      <c r="RW281" s="29">
        <v>214</v>
      </c>
      <c r="RX281" s="1504">
        <v>43009</v>
      </c>
      <c r="RY281" s="29"/>
      <c r="RZ281" s="734"/>
      <c r="SA281" s="29"/>
      <c r="SB281" s="29">
        <v>214</v>
      </c>
    </row>
    <row r="282" spans="1:496">
      <c r="A282" s="41">
        <f t="shared" si="238"/>
        <v>2017</v>
      </c>
      <c r="B282" s="1504">
        <v>43040</v>
      </c>
      <c r="C282" s="1813">
        <v>1702</v>
      </c>
      <c r="D282" s="1814">
        <v>39424</v>
      </c>
      <c r="E282" s="1814">
        <v>137</v>
      </c>
      <c r="F282" s="1815">
        <v>459</v>
      </c>
      <c r="G282" s="1814">
        <v>98077</v>
      </c>
      <c r="H282" s="1814">
        <v>34</v>
      </c>
      <c r="I282" s="1814">
        <v>42354</v>
      </c>
      <c r="J282" s="1816">
        <v>24153</v>
      </c>
      <c r="K282" s="1807">
        <v>206340</v>
      </c>
      <c r="L282" s="25">
        <v>215</v>
      </c>
      <c r="M282" s="97"/>
      <c r="N282" s="1504">
        <v>43040</v>
      </c>
      <c r="O282" s="19">
        <v>866</v>
      </c>
      <c r="P282" s="93">
        <v>1070</v>
      </c>
      <c r="Q282" s="93">
        <v>4102</v>
      </c>
      <c r="R282" s="93">
        <v>2582</v>
      </c>
      <c r="S282" s="93">
        <v>1752</v>
      </c>
      <c r="T282" s="93">
        <v>893</v>
      </c>
      <c r="U282" s="93"/>
      <c r="V282" s="93">
        <v>1680</v>
      </c>
      <c r="W282" s="93">
        <v>3536</v>
      </c>
      <c r="X282" s="93">
        <v>925</v>
      </c>
      <c r="Y282" s="93">
        <v>271</v>
      </c>
      <c r="Z282" s="93">
        <v>1262</v>
      </c>
      <c r="AA282" s="93">
        <v>1123</v>
      </c>
      <c r="AB282" s="132">
        <v>20062</v>
      </c>
      <c r="AC282" s="25">
        <v>215</v>
      </c>
      <c r="AD282" s="97"/>
      <c r="AE282" s="1504">
        <v>43040</v>
      </c>
      <c r="AF282" s="19">
        <v>3128</v>
      </c>
      <c r="AG282" s="93">
        <v>844</v>
      </c>
      <c r="AH282" s="93">
        <v>2346</v>
      </c>
      <c r="AI282" s="93">
        <v>3325</v>
      </c>
      <c r="AJ282" s="93">
        <v>3412</v>
      </c>
      <c r="AK282" s="93">
        <v>2526</v>
      </c>
      <c r="AL282" s="93"/>
      <c r="AM282" s="93">
        <v>2723</v>
      </c>
      <c r="AN282" s="93">
        <v>3288</v>
      </c>
      <c r="AO282" s="93">
        <v>2392</v>
      </c>
      <c r="AP282" s="93">
        <v>1144</v>
      </c>
      <c r="AQ282" s="93">
        <v>2137</v>
      </c>
      <c r="AR282" s="93">
        <v>1108</v>
      </c>
      <c r="AS282" s="20">
        <v>28373</v>
      </c>
      <c r="AT282" s="25">
        <v>215</v>
      </c>
      <c r="AU282" s="97"/>
      <c r="AV282" s="1504">
        <v>43040</v>
      </c>
      <c r="AW282" s="19">
        <v>11163</v>
      </c>
      <c r="AX282" s="93">
        <v>2803</v>
      </c>
      <c r="AY282" s="93">
        <v>3996</v>
      </c>
      <c r="AZ282" s="93">
        <v>12392</v>
      </c>
      <c r="BA282" s="93">
        <v>9173</v>
      </c>
      <c r="BB282" s="93">
        <v>8025</v>
      </c>
      <c r="BC282" s="93"/>
      <c r="BD282" s="93">
        <v>11694</v>
      </c>
      <c r="BE282" s="93">
        <v>11943</v>
      </c>
      <c r="BF282" s="93">
        <v>6836</v>
      </c>
      <c r="BG282" s="93">
        <v>3886</v>
      </c>
      <c r="BH282" s="93">
        <v>9291</v>
      </c>
      <c r="BI282" s="93">
        <v>3354</v>
      </c>
      <c r="BJ282" s="20">
        <v>94556</v>
      </c>
      <c r="BK282" s="25">
        <v>215</v>
      </c>
      <c r="BL282" s="97"/>
      <c r="BM282" s="1504">
        <v>43040</v>
      </c>
      <c r="BN282" s="19">
        <v>96.39</v>
      </c>
      <c r="BO282" s="93">
        <v>2230.0549999999998</v>
      </c>
      <c r="BP282" s="93">
        <v>5.1840000000000002</v>
      </c>
      <c r="BQ282" s="93">
        <v>752.08799999999997</v>
      </c>
      <c r="BR282" s="93">
        <v>4.59</v>
      </c>
      <c r="BS282" s="93">
        <v>251.58599999999998</v>
      </c>
      <c r="BT282" s="93">
        <v>413.66400000000004</v>
      </c>
      <c r="BU282" s="132">
        <v>3753.5569999999998</v>
      </c>
      <c r="BV282" s="25">
        <v>215</v>
      </c>
      <c r="BW282" s="97"/>
      <c r="BX282" s="1504">
        <v>43040</v>
      </c>
      <c r="BY282" s="179">
        <v>558.83199863690572</v>
      </c>
      <c r="BZ282" s="99">
        <v>664.95699999999999</v>
      </c>
      <c r="CA282" s="99">
        <v>563.55001361715438</v>
      </c>
      <c r="CB282" s="99">
        <v>39.709965069890487</v>
      </c>
      <c r="CC282" s="99">
        <v>124.06734666666668</v>
      </c>
      <c r="CD282" s="25">
        <v>215</v>
      </c>
      <c r="CE282" s="97"/>
      <c r="CF282" s="1504">
        <v>43040</v>
      </c>
      <c r="CG282" s="1508">
        <v>1.772734942</v>
      </c>
      <c r="CH282" s="568">
        <v>1281.9000000000001</v>
      </c>
      <c r="CI282" s="1708">
        <v>59.933333333333302</v>
      </c>
      <c r="CJ282" s="1509">
        <v>62.57</v>
      </c>
      <c r="CK282" s="1508">
        <v>378.82</v>
      </c>
      <c r="CL282" s="568">
        <v>148.7047464</v>
      </c>
      <c r="CM282" s="568">
        <v>0.33047253799999998</v>
      </c>
      <c r="CN282" s="568">
        <v>0.383348784</v>
      </c>
      <c r="CO282" s="568">
        <v>179.67654630000001</v>
      </c>
      <c r="CP282" s="1509">
        <v>4.3314169140000001</v>
      </c>
      <c r="CQ282" s="1708">
        <v>1502.29</v>
      </c>
      <c r="CR282" s="568">
        <v>2.98</v>
      </c>
      <c r="CS282" s="568">
        <v>1.5688</v>
      </c>
      <c r="CT282" s="568">
        <v>80</v>
      </c>
      <c r="CU282" s="568">
        <v>64.239999999999995</v>
      </c>
      <c r="CV282" s="1709">
        <v>3229.31</v>
      </c>
      <c r="CW282" s="29">
        <v>215</v>
      </c>
      <c r="CX282" s="41">
        <f t="shared" si="239"/>
        <v>2017</v>
      </c>
      <c r="CY282" s="1504">
        <v>43040</v>
      </c>
      <c r="CZ282" s="1916">
        <v>123.87346552565452</v>
      </c>
      <c r="DA282" s="1526">
        <v>71.968318525654524</v>
      </c>
      <c r="DB282" s="1526">
        <v>51.905146999999999</v>
      </c>
      <c r="DC282" s="182">
        <f t="shared" si="255"/>
        <v>628111</v>
      </c>
      <c r="DD282" s="182">
        <f t="shared" si="256"/>
        <v>626374</v>
      </c>
      <c r="DE282" s="182">
        <f t="shared" si="257"/>
        <v>1737</v>
      </c>
      <c r="DF282" s="29">
        <v>215</v>
      </c>
      <c r="DG282" s="1504">
        <v>43040</v>
      </c>
      <c r="DH282" s="369">
        <f t="shared" si="261"/>
        <v>398312.11424619245</v>
      </c>
      <c r="DI282" s="93"/>
      <c r="DJ282" s="93"/>
      <c r="DK282" s="93"/>
      <c r="DL282" s="93"/>
      <c r="DM282" s="93"/>
      <c r="DN282" s="20"/>
      <c r="DO282" s="25"/>
      <c r="DP282" s="29">
        <v>215</v>
      </c>
      <c r="DQ282" s="1504">
        <v>43040</v>
      </c>
      <c r="DR282" s="19"/>
      <c r="DS282" s="93"/>
      <c r="DT282" s="93"/>
      <c r="DU282" s="93"/>
      <c r="DV282" s="93"/>
      <c r="DW282" s="93"/>
      <c r="DX282" s="1719"/>
      <c r="DY282" s="29">
        <v>215</v>
      </c>
      <c r="DZ282" s="1504">
        <v>43040</v>
      </c>
      <c r="EA282" s="19"/>
      <c r="EB282" s="93"/>
      <c r="EC282" s="20"/>
      <c r="ED282" s="29"/>
      <c r="EE282" s="1504">
        <v>43040</v>
      </c>
      <c r="EF282" s="179">
        <v>20683</v>
      </c>
      <c r="EG282" s="99">
        <v>19943</v>
      </c>
      <c r="EH282" s="99">
        <v>40626</v>
      </c>
      <c r="EI282" s="221">
        <v>6065</v>
      </c>
      <c r="EJ282" s="99">
        <v>745.678</v>
      </c>
      <c r="EK282" s="99">
        <v>107.292</v>
      </c>
      <c r="EL282" s="99">
        <v>6.3479999999999999</v>
      </c>
      <c r="EM282" s="99">
        <v>7.2759999999999998</v>
      </c>
      <c r="EN282" s="132">
        <v>866.56403</v>
      </c>
      <c r="EO282" s="29">
        <v>215</v>
      </c>
      <c r="EP282" s="1504">
        <v>43040</v>
      </c>
      <c r="EQ282" s="19">
        <v>20123</v>
      </c>
      <c r="ER282" s="93">
        <v>19361</v>
      </c>
      <c r="ES282" s="93">
        <v>39484</v>
      </c>
      <c r="ET282" s="214">
        <v>5552</v>
      </c>
      <c r="EU282" s="93">
        <v>745.64800000000002</v>
      </c>
      <c r="EV282" s="93">
        <v>107.292</v>
      </c>
      <c r="EW282" s="93">
        <v>6.3479999999999999</v>
      </c>
      <c r="EX282" s="93">
        <v>7.2759999999999998</v>
      </c>
      <c r="EY282" s="20">
        <v>866.56399999999996</v>
      </c>
      <c r="EZ282" s="29">
        <v>215</v>
      </c>
      <c r="FA282" s="1504">
        <v>43040</v>
      </c>
      <c r="FB282" s="29">
        <v>560</v>
      </c>
      <c r="FC282" s="29">
        <v>582</v>
      </c>
      <c r="FD282" s="29">
        <v>1142</v>
      </c>
      <c r="FE282" s="29">
        <v>513</v>
      </c>
      <c r="FF282" s="29">
        <v>0.03</v>
      </c>
      <c r="FG282" s="29">
        <v>0</v>
      </c>
      <c r="FH282" s="29">
        <v>0</v>
      </c>
      <c r="FI282" s="29">
        <v>0</v>
      </c>
      <c r="FJ282" s="29">
        <v>2.9999999999999997E-5</v>
      </c>
      <c r="FK282" s="29">
        <v>215</v>
      </c>
      <c r="FL282" s="1504">
        <v>43040</v>
      </c>
      <c r="FM282" s="19">
        <v>104.29</v>
      </c>
      <c r="FN282" s="93">
        <v>107.83</v>
      </c>
      <c r="FO282" s="93">
        <v>113.78</v>
      </c>
      <c r="FP282" s="93">
        <v>100.69</v>
      </c>
      <c r="FQ282" s="93">
        <v>95.72</v>
      </c>
      <c r="FR282" s="93">
        <v>99.92</v>
      </c>
      <c r="FS282" s="93">
        <v>100.26</v>
      </c>
      <c r="FT282" s="93">
        <v>96.06</v>
      </c>
      <c r="FU282" s="93">
        <v>110.68</v>
      </c>
      <c r="FV282" s="93">
        <v>104.08</v>
      </c>
      <c r="FW282" s="93">
        <v>102.73</v>
      </c>
      <c r="FX282" s="93">
        <v>101.81</v>
      </c>
      <c r="FY282" s="93">
        <v>99.55</v>
      </c>
      <c r="FZ282" s="29">
        <v>215</v>
      </c>
      <c r="GA282" s="1504">
        <v>43040</v>
      </c>
      <c r="GB282" s="19">
        <v>104.29</v>
      </c>
      <c r="GC282" s="93">
        <v>101.37</v>
      </c>
      <c r="GD282" s="93">
        <v>105.94</v>
      </c>
      <c r="GE282" s="93">
        <v>91.09</v>
      </c>
      <c r="GF282" s="93">
        <v>114.33</v>
      </c>
      <c r="GG282" s="99">
        <v>101.52</v>
      </c>
      <c r="GH282" s="93">
        <v>110.89</v>
      </c>
      <c r="GI282" s="93">
        <v>100.54</v>
      </c>
      <c r="GJ282" s="93">
        <v>102.39</v>
      </c>
      <c r="GK282" s="93">
        <v>99.97</v>
      </c>
      <c r="GL282" s="93">
        <v>106.16</v>
      </c>
      <c r="GM282" s="93">
        <v>101.3</v>
      </c>
      <c r="GN282" s="20">
        <v>102.39</v>
      </c>
      <c r="GO282" s="29">
        <v>215</v>
      </c>
      <c r="GP282" s="1504">
        <v>43040</v>
      </c>
      <c r="GQ282" s="181">
        <v>338.50681893026098</v>
      </c>
      <c r="GR282" s="182">
        <v>256.60371733840998</v>
      </c>
      <c r="GS282" s="182">
        <v>222.41356431800801</v>
      </c>
      <c r="GT282" s="182">
        <v>190.14215670665499</v>
      </c>
      <c r="GU282" s="182">
        <v>389.96397336491702</v>
      </c>
      <c r="GV282" s="290">
        <v>817.18582826866998</v>
      </c>
      <c r="GW282" s="181">
        <v>441.639380558418</v>
      </c>
      <c r="GX282" s="182">
        <v>449.319767376941</v>
      </c>
      <c r="GY282" s="182">
        <v>462.36731159445497</v>
      </c>
      <c r="GZ282" s="182">
        <v>621.02986575128796</v>
      </c>
      <c r="HA282" s="182">
        <v>264.63886985603898</v>
      </c>
      <c r="HB282" s="290">
        <v>901.02216665366404</v>
      </c>
      <c r="HC282" s="181">
        <v>1792.0896333174401</v>
      </c>
      <c r="HD282" s="182">
        <v>2289.1765085232901</v>
      </c>
      <c r="HE282" s="182">
        <v>2662.4552835299</v>
      </c>
      <c r="HF282" s="182">
        <v>3150</v>
      </c>
      <c r="HG282" s="182">
        <v>2779.6305827843898</v>
      </c>
      <c r="HH282" s="290">
        <v>2738.2087316428401</v>
      </c>
      <c r="HI282" s="19"/>
      <c r="HJ282" s="182">
        <v>839.96744560465902</v>
      </c>
      <c r="HK282" s="182">
        <v>1513.6316161454899</v>
      </c>
      <c r="HL282" s="182">
        <v>809.01669800730394</v>
      </c>
      <c r="HM282" s="182">
        <v>900</v>
      </c>
      <c r="HN282" s="290">
        <v>2292.8026834276902</v>
      </c>
      <c r="HO282" s="324">
        <v>128.12402102921899</v>
      </c>
      <c r="HP282" s="290">
        <v>99.010080595467599</v>
      </c>
      <c r="HQ282" s="295">
        <v>170.21804287556799</v>
      </c>
      <c r="HR282" s="29">
        <v>215</v>
      </c>
      <c r="HS282" s="1504">
        <v>43040</v>
      </c>
      <c r="HT282" s="179">
        <v>268.21236419677734</v>
      </c>
      <c r="HU282" s="99">
        <v>277.77778625488281</v>
      </c>
      <c r="HV282" s="99">
        <v>222.929931640625</v>
      </c>
      <c r="HW282" s="99">
        <v>144.23077392578125</v>
      </c>
      <c r="HX282" s="99">
        <v>258.33332443237305</v>
      </c>
      <c r="HY282" s="99">
        <v>270.83332633972168</v>
      </c>
      <c r="HZ282" s="99">
        <v>257.69229888916016</v>
      </c>
      <c r="IA282" s="132">
        <v>214.51613616943359</v>
      </c>
      <c r="IB282" s="179">
        <v>213.31057739257813</v>
      </c>
      <c r="IC282" s="99">
        <v>197.14095687866211</v>
      </c>
      <c r="ID282" s="99">
        <v>279.76191202799481</v>
      </c>
      <c r="IE282" s="99"/>
      <c r="IF282" s="99">
        <v>261.11110941569012</v>
      </c>
      <c r="IG282" s="132">
        <v>174.73118082682291</v>
      </c>
      <c r="IH282" s="179">
        <v>120.99210357666016</v>
      </c>
      <c r="II282" s="99">
        <v>198.46491432189941</v>
      </c>
      <c r="IJ282" s="99">
        <v>168.91891479492188</v>
      </c>
      <c r="IK282" s="99">
        <v>171.48014831542969</v>
      </c>
      <c r="IL282" s="99">
        <v>138.88888549804688</v>
      </c>
      <c r="IM282" s="99">
        <v>139.11290740966797</v>
      </c>
      <c r="IN282" s="99">
        <v>178.88693237304688</v>
      </c>
      <c r="IO282" s="132">
        <v>148.80952453613281</v>
      </c>
      <c r="IP282" s="29">
        <v>215</v>
      </c>
      <c r="IQ282" s="179">
        <v>163.37285868326822</v>
      </c>
      <c r="IR282" s="99">
        <v>91.807910919189453</v>
      </c>
      <c r="IS282" s="99">
        <v>103.44827270507813</v>
      </c>
      <c r="IT282" s="99">
        <v>100.64724985758464</v>
      </c>
      <c r="IU282" s="99">
        <v>165.32258605957031</v>
      </c>
      <c r="IV282" s="132">
        <v>96.869249979654953</v>
      </c>
      <c r="IW282" s="29">
        <v>215</v>
      </c>
      <c r="IX282" s="179">
        <v>400</v>
      </c>
      <c r="IY282" s="99">
        <v>364.58334350585938</v>
      </c>
      <c r="IZ282" s="99">
        <v>437.5</v>
      </c>
      <c r="JA282" s="99">
        <v>375</v>
      </c>
      <c r="JB282" s="99">
        <v>390</v>
      </c>
      <c r="JC282" s="99">
        <v>412.25</v>
      </c>
      <c r="JD282" s="100">
        <f t="shared" si="276"/>
        <v>340</v>
      </c>
      <c r="JE282" s="132">
        <v>400</v>
      </c>
      <c r="JF282" s="29">
        <v>215</v>
      </c>
      <c r="JG282" s="179">
        <v>195.77702713012695</v>
      </c>
      <c r="JH282" s="99">
        <v>198.46491432189941</v>
      </c>
      <c r="JI282" s="99">
        <v>148.71383285522461</v>
      </c>
      <c r="JJ282" s="99">
        <v>150</v>
      </c>
      <c r="JK282" s="99">
        <v>195.70707321166992</v>
      </c>
      <c r="JL282" s="99">
        <v>183.67502593994141</v>
      </c>
      <c r="JM282" s="99">
        <v>181.37255859375</v>
      </c>
      <c r="JN282" s="132">
        <v>211.51911163330078</v>
      </c>
      <c r="JO282" s="29">
        <v>215</v>
      </c>
      <c r="JP282" s="179">
        <v>218.97163772583008</v>
      </c>
      <c r="JQ282" s="99">
        <v>109.53608131408691</v>
      </c>
      <c r="JR282" s="99">
        <v>195.40229288736978</v>
      </c>
      <c r="JS282" s="99"/>
      <c r="JT282" s="99">
        <v>187.5</v>
      </c>
      <c r="JU282" s="132">
        <v>124.4328130086263</v>
      </c>
      <c r="JV282" s="29">
        <v>215</v>
      </c>
      <c r="JW282" s="1504">
        <v>43040</v>
      </c>
      <c r="JX282" s="179"/>
      <c r="JY282" s="99">
        <v>281.38888888888886</v>
      </c>
      <c r="JZ282" s="99">
        <v>256.89189189189187</v>
      </c>
      <c r="KA282" s="99">
        <v>210.5</v>
      </c>
      <c r="KB282" s="99">
        <v>205.3125</v>
      </c>
      <c r="KC282" s="99">
        <v>223.68181818181819</v>
      </c>
      <c r="KD282" s="132">
        <v>262.27564102564099</v>
      </c>
      <c r="KE282" s="29">
        <v>215</v>
      </c>
      <c r="KF282" s="179"/>
      <c r="KG282" s="99">
        <v>44.722222222222221</v>
      </c>
      <c r="KH282" s="99">
        <v>46.416666666666664</v>
      </c>
      <c r="KI282" s="99">
        <v>46.5625</v>
      </c>
      <c r="KJ282" s="99">
        <v>46.416666666666664</v>
      </c>
      <c r="KK282" s="132">
        <v>56.284722222222221</v>
      </c>
      <c r="KL282" s="29">
        <v>215</v>
      </c>
      <c r="KM282" s="100">
        <f t="shared" si="253"/>
        <v>14.786109354323083</v>
      </c>
      <c r="KN282" s="99">
        <v>16.25</v>
      </c>
      <c r="KO282" s="99">
        <v>28.266666666666669</v>
      </c>
      <c r="KP282" s="99">
        <v>32.989583333333336</v>
      </c>
      <c r="KQ282" s="99">
        <v>26.763157894736842</v>
      </c>
      <c r="KR282" s="132">
        <v>27.930555555555554</v>
      </c>
      <c r="KS282" s="29">
        <v>215</v>
      </c>
      <c r="KT282" s="100">
        <f t="shared" si="254"/>
        <v>36.523300255261276</v>
      </c>
      <c r="KU282" s="99">
        <v>23.041666666666668</v>
      </c>
      <c r="KV282" s="99">
        <v>23.183333333333334</v>
      </c>
      <c r="KW282" s="99">
        <v>21.59375</v>
      </c>
      <c r="KX282" s="99">
        <v>19.202380952380953</v>
      </c>
      <c r="KY282" s="132">
        <v>23.736111111111111</v>
      </c>
      <c r="KZ282" s="29">
        <v>215</v>
      </c>
      <c r="LA282" s="1504">
        <v>43040</v>
      </c>
      <c r="LB282" s="19">
        <v>380</v>
      </c>
      <c r="LC282" s="93">
        <v>610</v>
      </c>
      <c r="LD282" s="93">
        <v>602</v>
      </c>
      <c r="LE282" s="93"/>
      <c r="LF282" s="93">
        <v>526</v>
      </c>
      <c r="LG282" s="93">
        <v>5000</v>
      </c>
      <c r="LH282" s="20">
        <v>2000</v>
      </c>
      <c r="LI282" s="29">
        <v>215</v>
      </c>
      <c r="LJ282" s="19"/>
      <c r="LK282" s="93"/>
      <c r="LL282" s="93"/>
      <c r="LM282" s="93"/>
      <c r="LN282" s="93"/>
      <c r="LO282" s="20"/>
      <c r="LP282" s="29">
        <v>215</v>
      </c>
      <c r="LQ282" s="19"/>
      <c r="LR282" s="93">
        <v>188</v>
      </c>
      <c r="LS282" s="93">
        <v>445</v>
      </c>
      <c r="LT282" s="93">
        <v>535</v>
      </c>
      <c r="LU282" s="93">
        <v>1070</v>
      </c>
      <c r="LV282" s="93"/>
      <c r="LW282" s="93">
        <v>5</v>
      </c>
      <c r="LX282" s="93">
        <v>10</v>
      </c>
      <c r="LY282" s="93">
        <v>60</v>
      </c>
      <c r="LZ282" s="93"/>
      <c r="MA282" s="20"/>
      <c r="MB282" s="29">
        <v>215</v>
      </c>
      <c r="MC282" s="1504">
        <v>43040</v>
      </c>
      <c r="MD282" s="19">
        <v>1395.7256310621424</v>
      </c>
      <c r="ME282" s="93">
        <v>1247.3857169690002</v>
      </c>
      <c r="MF282" s="93">
        <v>1247.385508569</v>
      </c>
      <c r="MG282" s="93">
        <v>1113.1662031370001</v>
      </c>
      <c r="MH282" s="93">
        <v>293.80586952499999</v>
      </c>
      <c r="MI282" s="93">
        <v>9.2983650499999992</v>
      </c>
      <c r="MJ282" s="93">
        <v>7.3793730359999996</v>
      </c>
      <c r="MK282" s="93">
        <v>628.39170010800001</v>
      </c>
      <c r="ML282" s="93">
        <v>163.66903394099998</v>
      </c>
      <c r="MM282" s="93">
        <v>10.621861476999999</v>
      </c>
      <c r="MN282" s="93">
        <v>134.219305432</v>
      </c>
      <c r="MO282" s="93">
        <v>5.3917885990000007</v>
      </c>
      <c r="MP282" s="93">
        <v>32.040175275000003</v>
      </c>
      <c r="MQ282" s="93">
        <v>1.6748859600000001</v>
      </c>
      <c r="MR282" s="93">
        <v>33.164096066999996</v>
      </c>
      <c r="MS282" s="93">
        <v>61.948359531000001</v>
      </c>
      <c r="MT282" s="93">
        <v>2.0839999999999997E-4</v>
      </c>
      <c r="MU282" s="93">
        <v>148.33991409314234</v>
      </c>
      <c r="MV282" s="93">
        <v>106.63417471614237</v>
      </c>
      <c r="MW282" s="93">
        <v>41.705739376999993</v>
      </c>
      <c r="MX282" s="93">
        <v>1959.509349847327</v>
      </c>
      <c r="MY282" s="93">
        <v>1955.5356729833272</v>
      </c>
      <c r="MZ282" s="93">
        <v>1146.3707973906664</v>
      </c>
      <c r="NA282" s="93">
        <v>566.56118703266668</v>
      </c>
      <c r="NB282" s="93">
        <v>118.58631490099999</v>
      </c>
      <c r="NC282" s="93">
        <v>64.566418721999995</v>
      </c>
      <c r="ND282" s="93">
        <v>46.021074735999996</v>
      </c>
      <c r="NE282" s="93">
        <v>18.545343986000002</v>
      </c>
      <c r="NF282" s="93">
        <v>396.65687673499997</v>
      </c>
      <c r="NG282" s="93">
        <v>0</v>
      </c>
      <c r="NH282" s="93">
        <v>87.132033722000003</v>
      </c>
      <c r="NI282" s="93">
        <v>35.479999999999997</v>
      </c>
      <c r="NJ282" s="93">
        <v>50</v>
      </c>
      <c r="NK282" s="93">
        <v>809.16487559266022</v>
      </c>
      <c r="NL282" s="93">
        <v>611.88618200300004</v>
      </c>
      <c r="NM282" s="93">
        <v>11.526871043</v>
      </c>
      <c r="NN282" s="93">
        <v>185.75182254666024</v>
      </c>
      <c r="NO282" s="93">
        <v>3.9736768639999958</v>
      </c>
      <c r="NP282" s="93">
        <v>-563.78371878518465</v>
      </c>
      <c r="NQ282" s="93">
        <v>-712.12363287832693</v>
      </c>
      <c r="NR282" s="93">
        <v>-461.80539160966663</v>
      </c>
      <c r="NS282" s="93">
        <v>-526.37181033166667</v>
      </c>
      <c r="NT282" s="93">
        <v>-418.44186220218484</v>
      </c>
      <c r="NU282" s="93">
        <v>-566.78177629532718</v>
      </c>
      <c r="NV282" s="93">
        <v>417.58592712116132</v>
      </c>
      <c r="NW282" s="93">
        <v>35.583852907161308</v>
      </c>
      <c r="NX282" s="93">
        <v>79.117647830517882</v>
      </c>
      <c r="NY282" s="93">
        <v>-43.533794923356588</v>
      </c>
      <c r="NZ282" s="93">
        <v>0</v>
      </c>
      <c r="OA282" s="93">
        <v>382.002074214</v>
      </c>
      <c r="OB282" s="93">
        <v>339.553568235</v>
      </c>
      <c r="OC282" s="93">
        <v>42.448505979000004</v>
      </c>
      <c r="OD282" s="20">
        <v>0</v>
      </c>
      <c r="OE282" s="29">
        <v>215</v>
      </c>
      <c r="OF282" s="1504">
        <v>43040</v>
      </c>
      <c r="OG282" s="19"/>
      <c r="OH282" s="93">
        <v>402.87479088104203</v>
      </c>
      <c r="OI282" s="93">
        <v>1473.8939114464188</v>
      </c>
      <c r="OJ282" s="93">
        <v>0.37833056000000004</v>
      </c>
      <c r="OK282" s="93">
        <v>1280.0372368354188</v>
      </c>
      <c r="OL282" s="93">
        <v>193.47834405099999</v>
      </c>
      <c r="OM282" s="93">
        <v>1876.7687023274607</v>
      </c>
      <c r="ON282" s="93">
        <v>1325.609927009561</v>
      </c>
      <c r="OO282" s="93">
        <v>3202.3786293370217</v>
      </c>
      <c r="OP282" s="93"/>
      <c r="OQ282" s="93">
        <v>1308.7759741335954</v>
      </c>
      <c r="OR282" s="93">
        <v>48.98806446404194</v>
      </c>
      <c r="OS282" s="93">
        <v>1259.7879096695533</v>
      </c>
      <c r="OT282" s="93">
        <v>2341.3833981174266</v>
      </c>
      <c r="OU282" s="93">
        <v>39.023979132999926</v>
      </c>
      <c r="OV282" s="93">
        <v>-75.452020867000016</v>
      </c>
      <c r="OW282" s="93">
        <v>114.47599999999994</v>
      </c>
      <c r="OX282" s="93">
        <v>2302.3594189844266</v>
      </c>
      <c r="OY282" s="93">
        <v>5.213273128</v>
      </c>
      <c r="OZ282" s="93">
        <v>2297.1461458564268</v>
      </c>
      <c r="PA282" s="93">
        <v>554.03965761500001</v>
      </c>
      <c r="PB282" s="93">
        <v>-106.25891470099995</v>
      </c>
      <c r="PC282" s="20">
        <v>3202.3786293370217</v>
      </c>
      <c r="PD282" s="29">
        <v>215</v>
      </c>
      <c r="PE282" s="19"/>
      <c r="PF282" s="93">
        <v>48.98806446404194</v>
      </c>
      <c r="PG282" s="93">
        <v>1007.2982699040419</v>
      </c>
      <c r="PH282" s="93">
        <v>958.31020544</v>
      </c>
      <c r="PI282" s="93">
        <v>717.07100000000003</v>
      </c>
      <c r="PJ282" s="93">
        <v>-67.259676529000018</v>
      </c>
      <c r="PK282" s="93">
        <v>129.152663252</v>
      </c>
      <c r="PL282" s="93">
        <v>196.41233978100001</v>
      </c>
      <c r="PM282" s="93">
        <v>5.213273128</v>
      </c>
      <c r="PN282" s="93">
        <v>1.2350000000000001</v>
      </c>
      <c r="PO282" s="93">
        <v>0</v>
      </c>
      <c r="PP282" s="93">
        <v>3.84457E-4</v>
      </c>
      <c r="PQ282" s="93">
        <v>3.9778886710000001</v>
      </c>
      <c r="PR282" s="93">
        <v>685.75019201804196</v>
      </c>
      <c r="PS282" s="93">
        <v>463.496135219042</v>
      </c>
      <c r="PT282" s="93">
        <v>221.54261792</v>
      </c>
      <c r="PU282" s="93">
        <v>0.71143887900000002</v>
      </c>
      <c r="PV282" s="93">
        <v>0</v>
      </c>
      <c r="PW282" s="93">
        <v>0.415073731</v>
      </c>
      <c r="PX282" s="93">
        <v>0</v>
      </c>
      <c r="PY282" s="93">
        <v>0</v>
      </c>
      <c r="PZ282" s="93">
        <v>0.415073731</v>
      </c>
      <c r="QA282" s="93">
        <v>0</v>
      </c>
      <c r="QB282" s="93">
        <v>0</v>
      </c>
      <c r="QC282" s="93">
        <v>0</v>
      </c>
      <c r="QD282" s="93">
        <v>20.627583884</v>
      </c>
      <c r="QE282" s="20">
        <v>-2.7801885700000004</v>
      </c>
      <c r="QF282" s="1739">
        <v>215</v>
      </c>
      <c r="QG282" s="19"/>
      <c r="QH282" s="1035">
        <v>1259.7879096695533</v>
      </c>
      <c r="QI282" s="1035">
        <v>1824.0048541435735</v>
      </c>
      <c r="QJ282" s="1035">
        <v>-564.21694447402035</v>
      </c>
      <c r="QK282" s="1035">
        <v>279.58299999999997</v>
      </c>
      <c r="QL282" s="1035">
        <v>52.429000000000002</v>
      </c>
      <c r="QM282" s="1035">
        <v>227.154</v>
      </c>
      <c r="QN282" s="1035">
        <v>0</v>
      </c>
      <c r="QO282" s="1035">
        <v>114.47599999999994</v>
      </c>
      <c r="QP282" s="1035">
        <v>445.53499999999997</v>
      </c>
      <c r="QQ282" s="1035">
        <v>-331.05900000000003</v>
      </c>
      <c r="QR282" s="1035">
        <v>2297.1461458564268</v>
      </c>
      <c r="QS282" s="1035">
        <v>33.938467931365004</v>
      </c>
      <c r="QT282" s="1035">
        <v>0</v>
      </c>
      <c r="QU282" s="1035">
        <v>115.73399999999999</v>
      </c>
      <c r="QV282" s="1035">
        <v>2147.4736779250616</v>
      </c>
      <c r="QW282" s="93"/>
      <c r="QX282" s="93">
        <v>750.90200000000004</v>
      </c>
      <c r="QY282" s="93">
        <v>1280.0372368354188</v>
      </c>
      <c r="QZ282" s="93">
        <v>1325.276818690561</v>
      </c>
      <c r="RA282" s="93">
        <v>0</v>
      </c>
      <c r="RB282" s="93">
        <v>75.007000000000005</v>
      </c>
      <c r="RC282" s="93">
        <v>0.85000000000000009</v>
      </c>
      <c r="RD282" s="93">
        <v>20.29</v>
      </c>
      <c r="RE282" s="93">
        <v>0</v>
      </c>
      <c r="RF282" s="93">
        <v>0</v>
      </c>
      <c r="RG282" s="93">
        <v>436.85</v>
      </c>
      <c r="RH282" s="93">
        <v>61.78000000000003</v>
      </c>
      <c r="RI282" s="93"/>
      <c r="RJ282" s="93"/>
      <c r="RK282" s="93"/>
      <c r="RL282" s="93"/>
      <c r="RM282" s="734"/>
      <c r="RN282" s="29">
        <v>215</v>
      </c>
      <c r="RO282" s="19">
        <v>75</v>
      </c>
      <c r="RP282" s="20">
        <v>354</v>
      </c>
      <c r="RQ282" s="29">
        <v>215</v>
      </c>
      <c r="RR282" s="734">
        <v>4.3601552900000007</v>
      </c>
      <c r="RS282" s="29">
        <v>215</v>
      </c>
      <c r="RT282" s="1504">
        <v>43040</v>
      </c>
      <c r="RU282" s="19">
        <v>753</v>
      </c>
      <c r="RV282" s="20">
        <v>13</v>
      </c>
      <c r="RW282" s="29">
        <v>215</v>
      </c>
      <c r="RX282" s="1504">
        <v>43040</v>
      </c>
      <c r="RY282" s="29"/>
      <c r="RZ282" s="734"/>
      <c r="SA282" s="29"/>
      <c r="SB282" s="29">
        <v>215</v>
      </c>
    </row>
    <row r="283" spans="1:496">
      <c r="A283" s="41">
        <f t="shared" si="238"/>
        <v>2017</v>
      </c>
      <c r="B283" s="1504">
        <v>43070</v>
      </c>
      <c r="C283" s="1813">
        <v>1847</v>
      </c>
      <c r="D283" s="1814">
        <v>38124</v>
      </c>
      <c r="E283" s="1814">
        <v>155</v>
      </c>
      <c r="F283" s="1815">
        <v>529</v>
      </c>
      <c r="G283" s="1814">
        <v>99228</v>
      </c>
      <c r="H283" s="1814">
        <v>37</v>
      </c>
      <c r="I283" s="1814">
        <v>44110</v>
      </c>
      <c r="J283" s="1816">
        <v>19956</v>
      </c>
      <c r="K283" s="1807">
        <v>203986</v>
      </c>
      <c r="L283" s="25">
        <v>216</v>
      </c>
      <c r="M283" s="97"/>
      <c r="N283" s="1504">
        <v>43070</v>
      </c>
      <c r="O283" s="19">
        <v>947</v>
      </c>
      <c r="P283" s="93">
        <v>1091</v>
      </c>
      <c r="Q283" s="99">
        <v>2624</v>
      </c>
      <c r="R283" s="93">
        <v>2395</v>
      </c>
      <c r="S283" s="93">
        <v>1913</v>
      </c>
      <c r="T283" s="93">
        <v>705</v>
      </c>
      <c r="U283" s="93"/>
      <c r="V283" s="93">
        <v>1977</v>
      </c>
      <c r="W283" s="93">
        <v>4020</v>
      </c>
      <c r="X283" s="93">
        <v>1031</v>
      </c>
      <c r="Y283" s="93">
        <v>281</v>
      </c>
      <c r="Z283" s="93">
        <v>1457</v>
      </c>
      <c r="AA283" s="93">
        <v>1294</v>
      </c>
      <c r="AB283" s="132">
        <v>19735</v>
      </c>
      <c r="AC283" s="25">
        <v>216</v>
      </c>
      <c r="AD283" s="97"/>
      <c r="AE283" s="1504">
        <v>43070</v>
      </c>
      <c r="AF283" s="19">
        <v>2701</v>
      </c>
      <c r="AG283" s="93">
        <v>844</v>
      </c>
      <c r="AH283" s="99">
        <v>1964</v>
      </c>
      <c r="AI283" s="93">
        <v>3049</v>
      </c>
      <c r="AJ283" s="93">
        <v>2774</v>
      </c>
      <c r="AK283" s="93">
        <v>1747</v>
      </c>
      <c r="AL283" s="93"/>
      <c r="AM283" s="93">
        <v>2712</v>
      </c>
      <c r="AN283" s="93">
        <v>3174</v>
      </c>
      <c r="AO283" s="93">
        <v>2059</v>
      </c>
      <c r="AP283" s="93">
        <v>896</v>
      </c>
      <c r="AQ283" s="93">
        <v>2051</v>
      </c>
      <c r="AR283" s="93">
        <v>3983</v>
      </c>
      <c r="AS283" s="20">
        <v>27954</v>
      </c>
      <c r="AT283" s="25">
        <v>216</v>
      </c>
      <c r="AU283" s="97"/>
      <c r="AV283" s="1504">
        <v>43070</v>
      </c>
      <c r="AW283" s="19">
        <v>11338</v>
      </c>
      <c r="AX283" s="93">
        <v>2981</v>
      </c>
      <c r="AY283" s="99">
        <v>4481</v>
      </c>
      <c r="AZ283" s="93">
        <v>11911</v>
      </c>
      <c r="BA283" s="93">
        <v>9762</v>
      </c>
      <c r="BB283" s="93">
        <v>5362</v>
      </c>
      <c r="BC283" s="93"/>
      <c r="BD283" s="93">
        <v>10802</v>
      </c>
      <c r="BE283" s="93">
        <v>12949</v>
      </c>
      <c r="BF283" s="93">
        <v>7823</v>
      </c>
      <c r="BG283" s="93">
        <v>3288</v>
      </c>
      <c r="BH283" s="93">
        <v>9455</v>
      </c>
      <c r="BI283" s="93">
        <v>3859</v>
      </c>
      <c r="BJ283" s="20">
        <v>94011</v>
      </c>
      <c r="BK283" s="25">
        <v>216</v>
      </c>
      <c r="BL283" s="97"/>
      <c r="BM283" s="1504">
        <v>43070</v>
      </c>
      <c r="BN283" s="19">
        <v>93.68700000000004</v>
      </c>
      <c r="BO283" s="93">
        <v>2611.994999999999</v>
      </c>
      <c r="BP283" s="93">
        <v>14.208</v>
      </c>
      <c r="BQ283" s="93">
        <v>704.47200000000021</v>
      </c>
      <c r="BR283" s="93">
        <v>5.5079999999999991</v>
      </c>
      <c r="BS283" s="93">
        <v>214.21800000000002</v>
      </c>
      <c r="BT283" s="93">
        <v>350.28000000000003</v>
      </c>
      <c r="BU283" s="132">
        <v>3994.367999999999</v>
      </c>
      <c r="BV283" s="25">
        <v>216</v>
      </c>
      <c r="BW283" s="97"/>
      <c r="BX283" s="1504">
        <v>43070</v>
      </c>
      <c r="BY283" s="179">
        <v>554.19513509814374</v>
      </c>
      <c r="BZ283" s="99">
        <v>664.95699999999999</v>
      </c>
      <c r="CA283" s="99">
        <v>561.15684592069556</v>
      </c>
      <c r="CB283" s="99">
        <v>42.089819531277321</v>
      </c>
      <c r="CC283" s="99">
        <v>122.7987258064516</v>
      </c>
      <c r="CD283" s="25">
        <v>216</v>
      </c>
      <c r="CE283" s="97"/>
      <c r="CF283" s="1504">
        <v>43070</v>
      </c>
      <c r="CG283" s="1508">
        <v>1.8831864039999999</v>
      </c>
      <c r="CH283" s="568">
        <v>1264.45</v>
      </c>
      <c r="CI283" s="1708">
        <v>61.186666666666703</v>
      </c>
      <c r="CJ283" s="1509">
        <v>64.209999999999994</v>
      </c>
      <c r="CK283" s="1508">
        <v>388.5</v>
      </c>
      <c r="CL283" s="568">
        <v>148.98032240000001</v>
      </c>
      <c r="CM283" s="568">
        <v>0.31702435600000001</v>
      </c>
      <c r="CN283" s="568">
        <v>0.38658172800000001</v>
      </c>
      <c r="CO283" s="568">
        <v>184.0857867</v>
      </c>
      <c r="CP283" s="1509">
        <v>4.2833561979999999</v>
      </c>
      <c r="CQ283" s="1708">
        <v>1510.17</v>
      </c>
      <c r="CR283" s="568">
        <v>2.79</v>
      </c>
      <c r="CS283" s="568">
        <v>1.6518999999999999</v>
      </c>
      <c r="CT283" s="568">
        <v>80</v>
      </c>
      <c r="CU283" s="568">
        <v>72.25</v>
      </c>
      <c r="CV283" s="1709">
        <v>3195.95</v>
      </c>
      <c r="CW283" s="29">
        <v>216</v>
      </c>
      <c r="CX283" s="41">
        <f t="shared" si="239"/>
        <v>2017</v>
      </c>
      <c r="CY283" s="1504">
        <v>43070</v>
      </c>
      <c r="CZ283" s="1916">
        <v>117.67603528112758</v>
      </c>
      <c r="DA283" s="1526">
        <v>64.097339281127589</v>
      </c>
      <c r="DB283" s="1526">
        <v>53.578696000000001</v>
      </c>
      <c r="DC283" s="182">
        <v>628111</v>
      </c>
      <c r="DD283" s="182">
        <v>626374</v>
      </c>
      <c r="DE283" s="290">
        <v>1737</v>
      </c>
      <c r="DF283" s="29">
        <v>216</v>
      </c>
      <c r="DG283" s="1504">
        <v>43070</v>
      </c>
      <c r="DH283" s="369">
        <f t="shared" si="261"/>
        <v>404312.81278529955</v>
      </c>
      <c r="DI283" s="93"/>
      <c r="DJ283" s="93"/>
      <c r="DK283" s="93"/>
      <c r="DL283" s="93"/>
      <c r="DM283" s="93"/>
      <c r="DN283" s="20"/>
      <c r="DO283" s="25"/>
      <c r="DP283" s="29">
        <v>216</v>
      </c>
      <c r="DQ283" s="1504">
        <v>43070</v>
      </c>
      <c r="DR283" s="19">
        <v>46354</v>
      </c>
      <c r="DS283" s="93">
        <v>971</v>
      </c>
      <c r="DT283" s="93">
        <v>54978</v>
      </c>
      <c r="DU283" s="93">
        <v>3709</v>
      </c>
      <c r="DV283" s="93">
        <v>13067</v>
      </c>
      <c r="DW283" s="93">
        <v>3123</v>
      </c>
      <c r="DX283" s="1719">
        <v>13955</v>
      </c>
      <c r="DY283" s="29">
        <v>216</v>
      </c>
      <c r="DZ283" s="1504">
        <v>43070</v>
      </c>
      <c r="EA283" s="19"/>
      <c r="EB283" s="93"/>
      <c r="EC283" s="20"/>
      <c r="ED283" s="29"/>
      <c r="EE283" s="1504">
        <v>43070</v>
      </c>
      <c r="EF283" s="179">
        <v>23134</v>
      </c>
      <c r="EG283" s="99">
        <v>20147</v>
      </c>
      <c r="EH283" s="99">
        <v>43281</v>
      </c>
      <c r="EI283" s="221">
        <v>6230</v>
      </c>
      <c r="EJ283" s="99">
        <v>824.87800000000004</v>
      </c>
      <c r="EK283" s="99">
        <v>229.62700000000001</v>
      </c>
      <c r="EL283" s="99">
        <v>19.073</v>
      </c>
      <c r="EM283" s="99">
        <v>5.0439999999999996</v>
      </c>
      <c r="EN283" s="132">
        <v>1078.6220000000003</v>
      </c>
      <c r="EO283" s="29">
        <v>216</v>
      </c>
      <c r="EP283" s="1504">
        <v>43070</v>
      </c>
      <c r="EQ283" s="19">
        <v>22677</v>
      </c>
      <c r="ER283" s="93">
        <v>19678</v>
      </c>
      <c r="ES283" s="93">
        <v>42355</v>
      </c>
      <c r="ET283" s="214">
        <v>5774</v>
      </c>
      <c r="EU283" s="93">
        <v>824.87800000000004</v>
      </c>
      <c r="EV283" s="93">
        <v>229.62700000000001</v>
      </c>
      <c r="EW283" s="93">
        <v>19.073</v>
      </c>
      <c r="EX283" s="93">
        <v>5.0439999999999996</v>
      </c>
      <c r="EY283" s="20">
        <v>1078.6220000000003</v>
      </c>
      <c r="EZ283" s="29">
        <v>216</v>
      </c>
      <c r="FA283" s="1504">
        <v>43070</v>
      </c>
      <c r="FB283" s="29">
        <v>457</v>
      </c>
      <c r="FC283" s="29">
        <v>469</v>
      </c>
      <c r="FD283" s="29">
        <v>926</v>
      </c>
      <c r="FE283" s="29">
        <v>456</v>
      </c>
      <c r="FF283" s="29">
        <v>0</v>
      </c>
      <c r="FG283" s="29">
        <v>0</v>
      </c>
      <c r="FH283" s="29">
        <v>0</v>
      </c>
      <c r="FI283" s="29">
        <v>0</v>
      </c>
      <c r="FJ283" s="29">
        <v>0</v>
      </c>
      <c r="FK283" s="29">
        <v>216</v>
      </c>
      <c r="FL283" s="1504">
        <v>43070</v>
      </c>
      <c r="FM283" s="19">
        <v>104.11</v>
      </c>
      <c r="FN283" s="93">
        <v>106.76</v>
      </c>
      <c r="FO283" s="93">
        <v>116</v>
      </c>
      <c r="FP283" s="93">
        <v>100.35</v>
      </c>
      <c r="FQ283" s="93">
        <v>100.39</v>
      </c>
      <c r="FR283" s="93">
        <v>100.63</v>
      </c>
      <c r="FS283" s="93">
        <v>100.26</v>
      </c>
      <c r="FT283" s="93">
        <v>96.08</v>
      </c>
      <c r="FU283" s="93">
        <v>111.56</v>
      </c>
      <c r="FV283" s="93">
        <v>106.92</v>
      </c>
      <c r="FW283" s="93">
        <v>102.73</v>
      </c>
      <c r="FX283" s="93">
        <v>101.05</v>
      </c>
      <c r="FY283" s="93">
        <v>100.04</v>
      </c>
      <c r="FZ283" s="29">
        <v>216</v>
      </c>
      <c r="GA283" s="1504">
        <v>43070</v>
      </c>
      <c r="GB283" s="19">
        <v>104.11</v>
      </c>
      <c r="GC283" s="93">
        <v>101.47</v>
      </c>
      <c r="GD283" s="93">
        <v>105.61</v>
      </c>
      <c r="GE283" s="93">
        <v>93.29</v>
      </c>
      <c r="GF283" s="93">
        <v>111.47</v>
      </c>
      <c r="GG283" s="99">
        <v>102.22</v>
      </c>
      <c r="GH283" s="93">
        <v>108.88</v>
      </c>
      <c r="GI283" s="93">
        <v>101.7</v>
      </c>
      <c r="GJ283" s="93">
        <v>102.2</v>
      </c>
      <c r="GK283" s="93">
        <v>100.07</v>
      </c>
      <c r="GL283" s="93">
        <v>105.65</v>
      </c>
      <c r="GM283" s="93">
        <v>102.64</v>
      </c>
      <c r="GN283" s="20">
        <v>102.2</v>
      </c>
      <c r="GO283" s="29">
        <v>216</v>
      </c>
      <c r="GP283" s="1504">
        <v>43070</v>
      </c>
      <c r="GQ283" s="181">
        <v>317.75832000096301</v>
      </c>
      <c r="GR283" s="182">
        <v>242.884139941629</v>
      </c>
      <c r="GS283" s="182">
        <v>228.95768250897399</v>
      </c>
      <c r="GT283" s="182">
        <v>194.015065166504</v>
      </c>
      <c r="GU283" s="182">
        <v>401.57516484911503</v>
      </c>
      <c r="GV283" s="290">
        <v>913.59566354954302</v>
      </c>
      <c r="GW283" s="181">
        <v>436.02921967229298</v>
      </c>
      <c r="GX283" s="182">
        <v>490.96231782045902</v>
      </c>
      <c r="GY283" s="182">
        <v>534.02389809970896</v>
      </c>
      <c r="GZ283" s="182">
        <v>453.037067922647</v>
      </c>
      <c r="HA283" s="182">
        <v>168.36437531875001</v>
      </c>
      <c r="HB283" s="290">
        <v>973.838927737522</v>
      </c>
      <c r="HC283" s="181">
        <v>1834.34018347603</v>
      </c>
      <c r="HD283" s="182">
        <v>2410.5430777011102</v>
      </c>
      <c r="HE283" s="182">
        <v>2662.5252059856998</v>
      </c>
      <c r="HF283" s="182">
        <v>3150</v>
      </c>
      <c r="HG283" s="182">
        <v>2675.12297486649</v>
      </c>
      <c r="HH283" s="290">
        <v>2830.8694675044399</v>
      </c>
      <c r="HI283" s="19"/>
      <c r="HJ283" s="182">
        <v>893.12478408462005</v>
      </c>
      <c r="HK283" s="182">
        <v>1289.0914727515501</v>
      </c>
      <c r="HL283" s="182">
        <v>906.81595988292497</v>
      </c>
      <c r="HM283" s="182">
        <v>900</v>
      </c>
      <c r="HN283" s="290">
        <v>2312.9866131168201</v>
      </c>
      <c r="HO283" s="324">
        <v>130.38725543454899</v>
      </c>
      <c r="HP283" s="290">
        <v>100.301209596633</v>
      </c>
      <c r="HQ283" s="295">
        <v>157.003389440625</v>
      </c>
      <c r="HR283" s="29">
        <v>216</v>
      </c>
      <c r="HS283" s="1504">
        <v>43070</v>
      </c>
      <c r="HT283" s="179">
        <v>245</v>
      </c>
      <c r="HU283" s="99">
        <v>274.9999969482422</v>
      </c>
      <c r="HV283" s="99">
        <v>222.929931640625</v>
      </c>
      <c r="HW283" s="99">
        <v>149.03846740722656</v>
      </c>
      <c r="HX283" s="99">
        <v>237.49999618530273</v>
      </c>
      <c r="HY283" s="99">
        <v>249.99999237060547</v>
      </c>
      <c r="HZ283" s="99">
        <v>251.27720642089844</v>
      </c>
      <c r="IA283" s="132">
        <v>222.58065414428711</v>
      </c>
      <c r="IB283" s="179">
        <v>222.98065185546875</v>
      </c>
      <c r="IC283" s="99">
        <v>159.574462890625</v>
      </c>
      <c r="ID283" s="99">
        <v>214.28571573893228</v>
      </c>
      <c r="IE283" s="99">
        <v>169.32906341552734</v>
      </c>
      <c r="IF283" s="99">
        <v>212.70161819458008</v>
      </c>
      <c r="IG283" s="132">
        <v>158.06451416015625</v>
      </c>
      <c r="IH283" s="179">
        <v>130.26315917968751</v>
      </c>
      <c r="II283" s="99">
        <v>220.21199188232421</v>
      </c>
      <c r="IJ283" s="99">
        <v>179.05404968261718</v>
      </c>
      <c r="IK283" s="99">
        <v>162.45487976074219</v>
      </c>
      <c r="IL283" s="99">
        <v>153.54938507080078</v>
      </c>
      <c r="IM283" s="99">
        <v>141.93548583984375</v>
      </c>
      <c r="IN283" s="99">
        <v>176.67845153808594</v>
      </c>
      <c r="IO283" s="132">
        <v>149.55357208251954</v>
      </c>
      <c r="IP283" s="29">
        <v>216</v>
      </c>
      <c r="IQ283" s="179">
        <v>166.00790913899741</v>
      </c>
      <c r="IR283" s="99">
        <v>98.87005615234375</v>
      </c>
      <c r="IS283" s="99">
        <v>131.03447875976562</v>
      </c>
      <c r="IT283" s="99">
        <v>129.16666412353516</v>
      </c>
      <c r="IU283" s="99">
        <v>173.38710021972656</v>
      </c>
      <c r="IV283" s="132">
        <v>112.43094444274902</v>
      </c>
      <c r="IW283" s="29">
        <v>216</v>
      </c>
      <c r="IX283" s="179">
        <v>400</v>
      </c>
      <c r="IY283" s="99">
        <v>390.62501525878906</v>
      </c>
      <c r="IZ283" s="99">
        <v>427</v>
      </c>
      <c r="JA283" s="99">
        <v>375</v>
      </c>
      <c r="JB283" s="99">
        <v>390</v>
      </c>
      <c r="JC283" s="99">
        <v>407.4</v>
      </c>
      <c r="JD283" s="100">
        <f t="shared" si="276"/>
        <v>340</v>
      </c>
      <c r="JE283" s="132">
        <v>404</v>
      </c>
      <c r="JF283" s="29">
        <v>216</v>
      </c>
      <c r="JG283" s="179">
        <v>175</v>
      </c>
      <c r="JH283" s="99">
        <v>212.02485961914061</v>
      </c>
      <c r="JI283" s="99">
        <v>165.59485778808593</v>
      </c>
      <c r="JJ283" s="99">
        <v>168.75</v>
      </c>
      <c r="JK283" s="99">
        <v>168.35017395019531</v>
      </c>
      <c r="JL283" s="99">
        <v>183.67502593994141</v>
      </c>
      <c r="JM283" s="99">
        <v>176.18069076538086</v>
      </c>
      <c r="JN283" s="132">
        <v>213.30155639648439</v>
      </c>
      <c r="JO283" s="29">
        <v>216</v>
      </c>
      <c r="JP283" s="179">
        <v>208.03782653808594</v>
      </c>
      <c r="JQ283" s="99">
        <v>121.13401947021484</v>
      </c>
      <c r="JR283" s="99">
        <v>167.24137420654296</v>
      </c>
      <c r="JS283" s="99"/>
      <c r="JT283" s="99">
        <v>187.5</v>
      </c>
      <c r="JU283" s="132">
        <v>126.17801284790039</v>
      </c>
      <c r="JV283" s="29">
        <v>216</v>
      </c>
      <c r="JW283" s="1504">
        <v>43070</v>
      </c>
      <c r="JX283" s="179"/>
      <c r="JY283" s="99">
        <v>287.26190476190476</v>
      </c>
      <c r="JZ283" s="99">
        <v>267.17948717948718</v>
      </c>
      <c r="KA283" s="99">
        <v>222.39583333333334</v>
      </c>
      <c r="KB283" s="99">
        <v>226.41666666666666</v>
      </c>
      <c r="KC283" s="99">
        <v>186.08333333333334</v>
      </c>
      <c r="KD283" s="132">
        <v>255.76923076923077</v>
      </c>
      <c r="KE283" s="29">
        <v>216</v>
      </c>
      <c r="KF283" s="179"/>
      <c r="KG283" s="99">
        <v>40.678571428571431</v>
      </c>
      <c r="KH283" s="99">
        <v>44.8125</v>
      </c>
      <c r="KI283" s="99">
        <v>47.916666666666664</v>
      </c>
      <c r="KJ283" s="99">
        <v>44.8125</v>
      </c>
      <c r="KK283" s="132">
        <v>54.892261904761909</v>
      </c>
      <c r="KL283" s="29">
        <v>216</v>
      </c>
      <c r="KM283" s="100">
        <f t="shared" si="253"/>
        <v>14.376429490040886</v>
      </c>
      <c r="KN283" s="99">
        <v>15.684523809523808</v>
      </c>
      <c r="KO283" s="99">
        <v>26.083333333333332</v>
      </c>
      <c r="KP283" s="99">
        <v>30.260416666666668</v>
      </c>
      <c r="KQ283" s="99">
        <v>25.9375</v>
      </c>
      <c r="KR283" s="132">
        <v>29.452380952380953</v>
      </c>
      <c r="KS283" s="29">
        <v>216</v>
      </c>
      <c r="KT283" s="100">
        <f t="shared" si="254"/>
        <v>37.403792877604751</v>
      </c>
      <c r="KU283" s="99">
        <v>22.804761904761904</v>
      </c>
      <c r="KV283" s="99">
        <v>21.3125</v>
      </c>
      <c r="KW283" s="99">
        <v>24.427083333333332</v>
      </c>
      <c r="KX283" s="99">
        <v>18.46875</v>
      </c>
      <c r="KY283" s="132">
        <v>24.630952380952383</v>
      </c>
      <c r="KZ283" s="29">
        <v>216</v>
      </c>
      <c r="LA283" s="1504">
        <v>43070</v>
      </c>
      <c r="LB283" s="19">
        <v>380</v>
      </c>
      <c r="LC283" s="93">
        <v>610</v>
      </c>
      <c r="LD283" s="93">
        <v>602</v>
      </c>
      <c r="LE283" s="93"/>
      <c r="LF283" s="93">
        <v>526</v>
      </c>
      <c r="LG283" s="93">
        <v>5000</v>
      </c>
      <c r="LH283" s="20">
        <v>2000</v>
      </c>
      <c r="LI283" s="29">
        <v>216</v>
      </c>
      <c r="LJ283" s="19"/>
      <c r="LK283" s="93"/>
      <c r="LL283" s="93"/>
      <c r="LM283" s="93"/>
      <c r="LN283" s="93"/>
      <c r="LO283" s="20"/>
      <c r="LP283" s="29">
        <v>216</v>
      </c>
      <c r="LQ283" s="19"/>
      <c r="LR283" s="93">
        <v>188</v>
      </c>
      <c r="LS283" s="93">
        <v>445</v>
      </c>
      <c r="LT283" s="93">
        <v>535</v>
      </c>
      <c r="LU283" s="93">
        <v>1070</v>
      </c>
      <c r="LV283" s="93"/>
      <c r="LW283" s="93">
        <v>5</v>
      </c>
      <c r="LX283" s="93">
        <v>10</v>
      </c>
      <c r="LY283" s="93">
        <v>60</v>
      </c>
      <c r="LZ283" s="93"/>
      <c r="MA283" s="20"/>
      <c r="MB283" s="29">
        <v>216</v>
      </c>
      <c r="MC283" s="1504">
        <v>43070</v>
      </c>
      <c r="MD283" s="19">
        <v>1583.5928459876773</v>
      </c>
      <c r="ME283" s="93">
        <v>1389.2893899466003</v>
      </c>
      <c r="MF283" s="93">
        <v>1389.2891217466001</v>
      </c>
      <c r="MG283" s="93">
        <v>1238.1864583556001</v>
      </c>
      <c r="MH283" s="93">
        <v>323.30924299200001</v>
      </c>
      <c r="MI283" s="93">
        <v>10.813410376999999</v>
      </c>
      <c r="MJ283" s="93">
        <v>8.521585022</v>
      </c>
      <c r="MK283" s="93">
        <v>702.93787562860007</v>
      </c>
      <c r="ML283" s="93">
        <v>181.028827393</v>
      </c>
      <c r="MM283" s="93">
        <v>11.575516943</v>
      </c>
      <c r="MN283" s="93">
        <v>151.10266339099999</v>
      </c>
      <c r="MO283" s="93">
        <v>6.3355671440000005</v>
      </c>
      <c r="MP283" s="93">
        <v>35.307478325000005</v>
      </c>
      <c r="MQ283" s="93">
        <v>1.9909786170000001</v>
      </c>
      <c r="MR283" s="93">
        <v>33.438367692999989</v>
      </c>
      <c r="MS283" s="93">
        <v>74.030271612000007</v>
      </c>
      <c r="MT283" s="93">
        <v>2.6820000000000001E-4</v>
      </c>
      <c r="MU283" s="93">
        <v>194.30345604107708</v>
      </c>
      <c r="MV283" s="93">
        <v>119.9469813200771</v>
      </c>
      <c r="MW283" s="93">
        <v>74.356474720999998</v>
      </c>
      <c r="MX283" s="93">
        <v>2180.0535352043489</v>
      </c>
      <c r="MY283" s="93">
        <v>2183.0798619333491</v>
      </c>
      <c r="MZ283" s="93">
        <v>1263.9120390369997</v>
      </c>
      <c r="NA283" s="93">
        <v>617.66243380499998</v>
      </c>
      <c r="NB283" s="93">
        <v>139.16138330000001</v>
      </c>
      <c r="NC283" s="93">
        <v>69.515113977999988</v>
      </c>
      <c r="ND283" s="93">
        <v>49.351286598999991</v>
      </c>
      <c r="NE283" s="93">
        <v>20.163827379000001</v>
      </c>
      <c r="NF283" s="93">
        <v>437.57310795399991</v>
      </c>
      <c r="NG283" s="93">
        <v>0</v>
      </c>
      <c r="NH283" s="93">
        <v>87.82009571799999</v>
      </c>
      <c r="NI283" s="93">
        <v>35.479999999999997</v>
      </c>
      <c r="NJ283" s="93">
        <v>50</v>
      </c>
      <c r="NK283" s="93">
        <v>919.16782289634898</v>
      </c>
      <c r="NL283" s="93">
        <v>658.21225061899997</v>
      </c>
      <c r="NM283" s="93">
        <v>16.519421043000001</v>
      </c>
      <c r="NN283" s="93">
        <v>244.43615123434913</v>
      </c>
      <c r="NO283" s="93">
        <v>-3.0263267290000009</v>
      </c>
      <c r="NP283" s="93">
        <v>-596.46068921667188</v>
      </c>
      <c r="NQ283" s="93">
        <v>-790.76414525774885</v>
      </c>
      <c r="NR283" s="93">
        <v>-476.81288004539977</v>
      </c>
      <c r="NS283" s="93">
        <v>-546.32799402339981</v>
      </c>
      <c r="NT283" s="93">
        <v>-441.32531676567203</v>
      </c>
      <c r="NU283" s="93">
        <v>-635.62877280674911</v>
      </c>
      <c r="NV283" s="93">
        <v>440.29403935827207</v>
      </c>
      <c r="NW283" s="93">
        <v>74.281772059272029</v>
      </c>
      <c r="NX283" s="93">
        <v>124.48916991427204</v>
      </c>
      <c r="NY283" s="93">
        <v>-50.207397855000004</v>
      </c>
      <c r="NZ283" s="93">
        <v>0</v>
      </c>
      <c r="OA283" s="93">
        <v>366.01226729899997</v>
      </c>
      <c r="OB283" s="93">
        <v>323.72396189800003</v>
      </c>
      <c r="OC283" s="93">
        <v>42.288305401000002</v>
      </c>
      <c r="OD283" s="20">
        <v>0</v>
      </c>
      <c r="OE283" s="29">
        <v>216</v>
      </c>
      <c r="OF283" s="1504">
        <v>43070</v>
      </c>
      <c r="OG283" s="19"/>
      <c r="OH283" s="93">
        <v>447.88524436486398</v>
      </c>
      <c r="OI283" s="93">
        <v>1577.7467324755287</v>
      </c>
      <c r="OJ283" s="93">
        <v>0.38193575400000002</v>
      </c>
      <c r="OK283" s="93">
        <v>1377.2429933615285</v>
      </c>
      <c r="OL283" s="93">
        <v>200.12180336</v>
      </c>
      <c r="OM283" s="93">
        <v>2025.6319768403928</v>
      </c>
      <c r="ON283" s="93">
        <v>1341.0855441282247</v>
      </c>
      <c r="OO283" s="93">
        <v>3366.7175209686175</v>
      </c>
      <c r="OP283" s="93"/>
      <c r="OQ283" s="93">
        <v>1330.1164299021225</v>
      </c>
      <c r="OR283" s="93">
        <v>-0.97584279913587579</v>
      </c>
      <c r="OS283" s="93">
        <v>1331.0922727012585</v>
      </c>
      <c r="OT283" s="93">
        <v>2436.3076982104953</v>
      </c>
      <c r="OU283" s="93">
        <v>66.063862190000023</v>
      </c>
      <c r="OV283" s="93">
        <v>-55.738137809999998</v>
      </c>
      <c r="OW283" s="93">
        <v>121.80200000000002</v>
      </c>
      <c r="OX283" s="93">
        <v>2370.2438360204951</v>
      </c>
      <c r="OY283" s="93">
        <v>5.1866795510000001</v>
      </c>
      <c r="OZ283" s="93">
        <v>2365.0571564694951</v>
      </c>
      <c r="PA283" s="93">
        <v>571.34283875799997</v>
      </c>
      <c r="PB283" s="93">
        <v>-171.63623161400011</v>
      </c>
      <c r="PC283" s="20">
        <v>3366.7175209686184</v>
      </c>
      <c r="PD283" s="29">
        <v>216</v>
      </c>
      <c r="PE283" s="19"/>
      <c r="PF283" s="93">
        <v>-0.97584279913587579</v>
      </c>
      <c r="PG283" s="93">
        <v>897.76085079386405</v>
      </c>
      <c r="PH283" s="93">
        <v>898.73669359299993</v>
      </c>
      <c r="PI283" s="93">
        <v>762.03553137500001</v>
      </c>
      <c r="PJ283" s="93">
        <v>-48.107843924999997</v>
      </c>
      <c r="PK283" s="93">
        <v>120.852452634</v>
      </c>
      <c r="PL283" s="93">
        <v>168.960296559</v>
      </c>
      <c r="PM283" s="93">
        <v>5.1866795510000001</v>
      </c>
      <c r="PN283" s="93">
        <v>1.101</v>
      </c>
      <c r="PO283" s="93">
        <v>0</v>
      </c>
      <c r="PP283" s="93">
        <v>0</v>
      </c>
      <c r="PQ283" s="93">
        <v>4.0856795510000001</v>
      </c>
      <c r="PR283" s="93">
        <v>684.11210546686402</v>
      </c>
      <c r="PS283" s="93">
        <v>521.52453824986401</v>
      </c>
      <c r="PT283" s="93">
        <v>161.87252314400001</v>
      </c>
      <c r="PU283" s="93">
        <v>0.71504407300000006</v>
      </c>
      <c r="PV283" s="93">
        <v>0</v>
      </c>
      <c r="PW283" s="93">
        <v>8.2959058629999998</v>
      </c>
      <c r="PX283" s="93">
        <v>0</v>
      </c>
      <c r="PY283" s="93">
        <v>0</v>
      </c>
      <c r="PZ283" s="93">
        <v>8.2959058629999998</v>
      </c>
      <c r="QA283" s="93">
        <v>0</v>
      </c>
      <c r="QB283" s="93">
        <v>0</v>
      </c>
      <c r="QC283" s="93">
        <v>0</v>
      </c>
      <c r="QD283" s="93">
        <v>22.699932895</v>
      </c>
      <c r="QE283" s="20">
        <v>3.0305799770000004</v>
      </c>
      <c r="QF283" s="1739">
        <v>216</v>
      </c>
      <c r="QG283" s="19"/>
      <c r="QH283" s="1035">
        <v>1331.0922727012585</v>
      </c>
      <c r="QI283" s="1035">
        <v>1975.6258435305053</v>
      </c>
      <c r="QJ283" s="1035">
        <v>-644.53357082924697</v>
      </c>
      <c r="QK283" s="1035">
        <v>215.67900000000003</v>
      </c>
      <c r="QL283" s="1035">
        <v>66.009</v>
      </c>
      <c r="QM283" s="1035">
        <v>149.67000000000002</v>
      </c>
      <c r="QN283" s="1035">
        <v>0</v>
      </c>
      <c r="QO283" s="1035">
        <v>121.80200000000002</v>
      </c>
      <c r="QP283" s="1035">
        <v>465.072</v>
      </c>
      <c r="QQ283" s="1035">
        <v>-343.27</v>
      </c>
      <c r="QR283" s="1035">
        <v>2365.0571564694951</v>
      </c>
      <c r="QS283" s="1035">
        <v>33.215434591925145</v>
      </c>
      <c r="QT283" s="1035">
        <v>0</v>
      </c>
      <c r="QU283" s="1035">
        <v>89.742000000000004</v>
      </c>
      <c r="QV283" s="1035">
        <v>2242.0997218775701</v>
      </c>
      <c r="QW283" s="93"/>
      <c r="QX283" s="93">
        <v>765.41800000000001</v>
      </c>
      <c r="QY283" s="93">
        <v>1377.2429933615285</v>
      </c>
      <c r="QZ283" s="93">
        <v>1340.7524358092246</v>
      </c>
      <c r="RA283" s="93">
        <v>0</v>
      </c>
      <c r="RB283" s="93">
        <v>81.284999999999997</v>
      </c>
      <c r="RC283" s="93">
        <v>0.85400000000000009</v>
      </c>
      <c r="RD283" s="93">
        <v>17.099999999999998</v>
      </c>
      <c r="RE283" s="93">
        <v>0</v>
      </c>
      <c r="RF283" s="93">
        <v>0</v>
      </c>
      <c r="RG283" s="93">
        <v>441.108</v>
      </c>
      <c r="RH283" s="93">
        <v>9.8700000000000045</v>
      </c>
      <c r="RI283" s="93"/>
      <c r="RJ283" s="93"/>
      <c r="RK283" s="93"/>
      <c r="RL283" s="93"/>
      <c r="RM283" s="734"/>
      <c r="RN283" s="29">
        <v>216</v>
      </c>
      <c r="RO283" s="19">
        <v>62</v>
      </c>
      <c r="RP283" s="20">
        <v>1289</v>
      </c>
      <c r="RQ283" s="29">
        <v>216</v>
      </c>
      <c r="RR283" s="734">
        <v>5.2090438800000003</v>
      </c>
      <c r="RS283" s="29">
        <v>216</v>
      </c>
      <c r="RT283" s="1504">
        <v>43070</v>
      </c>
      <c r="RU283" s="19">
        <v>675</v>
      </c>
      <c r="RV283" s="20">
        <v>17</v>
      </c>
      <c r="RW283" s="29">
        <v>216</v>
      </c>
      <c r="RX283" s="1504">
        <v>43070</v>
      </c>
      <c r="RY283" s="29"/>
      <c r="RZ283" s="734"/>
      <c r="SA283" s="29"/>
      <c r="SB283" s="29">
        <v>216</v>
      </c>
    </row>
    <row r="284" spans="1:496">
      <c r="A284" s="41">
        <f t="shared" si="238"/>
        <v>2018</v>
      </c>
      <c r="B284" s="1504">
        <v>43101</v>
      </c>
      <c r="C284" s="1813">
        <v>1705</v>
      </c>
      <c r="D284" s="1814">
        <v>24170</v>
      </c>
      <c r="E284" s="1814">
        <v>46</v>
      </c>
      <c r="F284" s="1815">
        <v>303</v>
      </c>
      <c r="G284" s="1814">
        <v>105716</v>
      </c>
      <c r="H284" s="1814">
        <v>45</v>
      </c>
      <c r="I284" s="1814">
        <v>24341</v>
      </c>
      <c r="J284" s="1816">
        <v>16449</v>
      </c>
      <c r="K284" s="1807">
        <v>172775</v>
      </c>
      <c r="L284" s="25">
        <v>217</v>
      </c>
      <c r="M284" s="97"/>
      <c r="N284" s="1504">
        <v>43101</v>
      </c>
      <c r="O284" s="19">
        <v>1045</v>
      </c>
      <c r="P284" s="93">
        <v>1062</v>
      </c>
      <c r="Q284" s="99">
        <v>8507</v>
      </c>
      <c r="R284" s="93">
        <v>2834</v>
      </c>
      <c r="S284" s="93">
        <v>2112</v>
      </c>
      <c r="T284" s="93">
        <v>822</v>
      </c>
      <c r="U284" s="93">
        <v>484</v>
      </c>
      <c r="V284" s="93">
        <v>1805</v>
      </c>
      <c r="W284" s="93">
        <v>338</v>
      </c>
      <c r="X284" s="93">
        <v>1019</v>
      </c>
      <c r="Y284" s="93">
        <v>362</v>
      </c>
      <c r="Z284" s="93">
        <v>1658</v>
      </c>
      <c r="AA284" s="93">
        <v>1067</v>
      </c>
      <c r="AB284" s="132">
        <v>23115</v>
      </c>
      <c r="AC284" s="25">
        <v>217</v>
      </c>
      <c r="AD284" s="97"/>
      <c r="AE284" s="1504">
        <v>43101</v>
      </c>
      <c r="AF284" s="19">
        <v>2181</v>
      </c>
      <c r="AG284" s="93">
        <v>810</v>
      </c>
      <c r="AH284" s="99">
        <v>2811</v>
      </c>
      <c r="AI284" s="93">
        <v>2632</v>
      </c>
      <c r="AJ284" s="93">
        <v>2186</v>
      </c>
      <c r="AK284" s="93">
        <v>1963</v>
      </c>
      <c r="AL284" s="93">
        <v>771</v>
      </c>
      <c r="AM284" s="93">
        <v>2724</v>
      </c>
      <c r="AN284" s="93">
        <v>1994</v>
      </c>
      <c r="AO284" s="93">
        <v>1835</v>
      </c>
      <c r="AP284" s="93">
        <v>777</v>
      </c>
      <c r="AQ284" s="93">
        <v>2679</v>
      </c>
      <c r="AR284" s="93">
        <v>978</v>
      </c>
      <c r="AS284" s="20">
        <v>24341</v>
      </c>
      <c r="AT284" s="25">
        <v>217</v>
      </c>
      <c r="AU284" s="97"/>
      <c r="AV284" s="1504">
        <v>43101</v>
      </c>
      <c r="AW284" s="19">
        <v>10959</v>
      </c>
      <c r="AX284" s="93">
        <v>3233</v>
      </c>
      <c r="AY284" s="99">
        <v>5156</v>
      </c>
      <c r="AZ284" s="93">
        <v>12948</v>
      </c>
      <c r="BA284" s="93">
        <v>9371</v>
      </c>
      <c r="BB284" s="93">
        <v>5816</v>
      </c>
      <c r="BC284" s="93">
        <v>3784</v>
      </c>
      <c r="BD284" s="93">
        <v>11529</v>
      </c>
      <c r="BE284" s="93">
        <v>1275</v>
      </c>
      <c r="BF284" s="93">
        <v>5635</v>
      </c>
      <c r="BG284" s="93">
        <v>3515</v>
      </c>
      <c r="BH284" s="93">
        <v>11011</v>
      </c>
      <c r="BI284" s="93">
        <v>3827</v>
      </c>
      <c r="BJ284" s="20">
        <v>88059</v>
      </c>
      <c r="BK284" s="25">
        <v>217</v>
      </c>
      <c r="BL284" s="97"/>
      <c r="BM284" s="1504">
        <v>43101</v>
      </c>
      <c r="BN284" s="19">
        <v>93.023999999999972</v>
      </c>
      <c r="BO284" s="93">
        <v>3215.076</v>
      </c>
      <c r="BP284" s="93">
        <v>23.423999999999999</v>
      </c>
      <c r="BQ284" s="93">
        <v>733.07199999999989</v>
      </c>
      <c r="BR284" s="93">
        <v>3.5190000000000001</v>
      </c>
      <c r="BS284" s="93">
        <v>248.92200000000003</v>
      </c>
      <c r="BT284" s="93">
        <v>432.21599999999995</v>
      </c>
      <c r="BU284" s="132">
        <v>4749.2529999999997</v>
      </c>
      <c r="BV284" s="25">
        <v>217</v>
      </c>
      <c r="BW284" s="97"/>
      <c r="BX284" s="1504">
        <v>43101</v>
      </c>
      <c r="BY284" s="179">
        <v>537.66999999999996</v>
      </c>
      <c r="BZ284" s="99">
        <v>664.95699999999999</v>
      </c>
      <c r="CA284" s="99">
        <v>559.54700000000003</v>
      </c>
      <c r="CB284" s="99">
        <v>44.050540833062414</v>
      </c>
      <c r="CC284" s="99">
        <v>122.13500000000001</v>
      </c>
      <c r="CD284" s="25">
        <v>217</v>
      </c>
      <c r="CE284" s="97"/>
      <c r="CF284" s="1504">
        <v>43101</v>
      </c>
      <c r="CG284" s="1508">
        <v>2.007526972</v>
      </c>
      <c r="CH284" s="568">
        <v>1331.3</v>
      </c>
      <c r="CI284" s="1708">
        <v>66.226666666666702</v>
      </c>
      <c r="CJ284" s="1509">
        <v>68.989999999999995</v>
      </c>
      <c r="CK284" s="1508">
        <v>410.83</v>
      </c>
      <c r="CL284" s="568">
        <v>155.83822799999999</v>
      </c>
      <c r="CM284" s="568">
        <v>0.31063095800000001</v>
      </c>
      <c r="CN284" s="568">
        <v>0.398109296</v>
      </c>
      <c r="CO284" s="568">
        <v>192.16939410000001</v>
      </c>
      <c r="CP284" s="1509">
        <v>4.2960327630000004</v>
      </c>
      <c r="CQ284" s="1708">
        <v>1433</v>
      </c>
      <c r="CR284" s="568">
        <v>2.9580000000000002</v>
      </c>
      <c r="CS284" s="568">
        <v>1.7223999999999999</v>
      </c>
      <c r="CT284" s="568">
        <v>80</v>
      </c>
      <c r="CU284" s="568">
        <v>76.34</v>
      </c>
      <c r="CV284" s="1709">
        <v>3441.52</v>
      </c>
      <c r="CW284" s="29">
        <v>217</v>
      </c>
      <c r="CX284" s="41">
        <f t="shared" si="239"/>
        <v>2018</v>
      </c>
      <c r="CY284" s="1504">
        <v>43101</v>
      </c>
      <c r="CZ284" s="1916">
        <v>123.94790312416112</v>
      </c>
      <c r="DA284" s="1526">
        <v>63.066989124161104</v>
      </c>
      <c r="DB284" s="1526">
        <v>46.760778999999999</v>
      </c>
      <c r="DC284" s="182">
        <f t="shared" ref="DC284:DC294" si="277">DC285</f>
        <v>669448</v>
      </c>
      <c r="DD284" s="182">
        <f t="shared" ref="DD284:DD294" si="278">DD285</f>
        <v>667702</v>
      </c>
      <c r="DE284" s="182">
        <f t="shared" ref="DE284:DE294" si="279">DE285</f>
        <v>1746</v>
      </c>
      <c r="DF284" s="29">
        <v>217</v>
      </c>
      <c r="DG284" s="1504">
        <v>43101</v>
      </c>
      <c r="DH284" s="181">
        <v>384408.5</v>
      </c>
      <c r="DI284" s="182">
        <v>4073981</v>
      </c>
      <c r="DJ284" s="182">
        <v>255838</v>
      </c>
      <c r="DK284" s="182">
        <v>20842</v>
      </c>
      <c r="DL284" s="182">
        <v>488852</v>
      </c>
      <c r="DM284" s="182">
        <v>7227</v>
      </c>
      <c r="DN284" s="290">
        <v>1815893</v>
      </c>
      <c r="DO284" s="295">
        <f>SUM(DI284:DN284)</f>
        <v>6662633</v>
      </c>
      <c r="DP284" s="29">
        <v>217</v>
      </c>
      <c r="DQ284" s="1504">
        <v>43101</v>
      </c>
      <c r="DR284" s="19">
        <v>49799</v>
      </c>
      <c r="DS284" s="93">
        <v>1139</v>
      </c>
      <c r="DT284" s="93">
        <v>58422</v>
      </c>
      <c r="DU284" s="93">
        <v>3996</v>
      </c>
      <c r="DV284" s="93">
        <v>19232</v>
      </c>
      <c r="DW284" s="93">
        <v>3697</v>
      </c>
      <c r="DX284" s="1719">
        <v>15286</v>
      </c>
      <c r="DY284" s="29">
        <v>217</v>
      </c>
      <c r="DZ284" s="1504">
        <v>43101</v>
      </c>
      <c r="EA284" s="19"/>
      <c r="EB284" s="93"/>
      <c r="EC284" s="20"/>
      <c r="ED284" s="29"/>
      <c r="EE284" s="1504">
        <v>43101</v>
      </c>
      <c r="EF284" s="179">
        <v>19917</v>
      </c>
      <c r="EG284" s="99">
        <v>20671</v>
      </c>
      <c r="EH284" s="99">
        <f>EF284+EG284</f>
        <v>40588</v>
      </c>
      <c r="EI284" s="221">
        <v>5805</v>
      </c>
      <c r="EJ284" s="99">
        <v>576.48099999999999</v>
      </c>
      <c r="EK284" s="99">
        <v>238.852</v>
      </c>
      <c r="EL284" s="1150">
        <v>7.8470000000000004</v>
      </c>
      <c r="EM284" s="1150">
        <v>5.7370000000000001</v>
      </c>
      <c r="EN284" s="132">
        <v>827.54699999999991</v>
      </c>
      <c r="EO284" s="29">
        <v>217</v>
      </c>
      <c r="EP284" s="1504">
        <v>43101</v>
      </c>
      <c r="EQ284" s="19">
        <v>18521</v>
      </c>
      <c r="ER284" s="93">
        <v>19814</v>
      </c>
      <c r="ES284" s="93">
        <v>38335</v>
      </c>
      <c r="ET284" s="214">
        <v>4811</v>
      </c>
      <c r="EU284" s="93">
        <v>576.48099999999999</v>
      </c>
      <c r="EV284" s="93">
        <v>238.852</v>
      </c>
      <c r="EW284" s="93">
        <v>7.8470000000000004</v>
      </c>
      <c r="EX284" s="93">
        <v>5.7370000000000001</v>
      </c>
      <c r="EY284" s="93">
        <f t="shared" ref="EY284:EY295" si="280">((SUM(EU284:EX284))/1000)*1000</f>
        <v>828.91699999999992</v>
      </c>
      <c r="EZ284" s="29">
        <v>217</v>
      </c>
      <c r="FA284" s="1504">
        <v>43101</v>
      </c>
      <c r="FB284" s="29">
        <v>940</v>
      </c>
      <c r="FC284" s="29">
        <v>774</v>
      </c>
      <c r="FD284" s="29">
        <f>FB284+FC284</f>
        <v>1714</v>
      </c>
      <c r="FE284" s="29">
        <v>994</v>
      </c>
      <c r="FF284" s="29">
        <v>0</v>
      </c>
      <c r="FG284" s="29">
        <v>0</v>
      </c>
      <c r="FH284" s="29">
        <v>0</v>
      </c>
      <c r="FI284" s="29">
        <v>0</v>
      </c>
      <c r="FJ284" s="29">
        <v>0</v>
      </c>
      <c r="FK284" s="29">
        <v>217</v>
      </c>
      <c r="FL284" s="1504">
        <v>43101</v>
      </c>
      <c r="FM284" s="19">
        <v>103.68</v>
      </c>
      <c r="FN284" s="93">
        <v>105.54</v>
      </c>
      <c r="FO284" s="93">
        <v>124.16</v>
      </c>
      <c r="FP284" s="93">
        <v>100.04</v>
      </c>
      <c r="FQ284" s="93">
        <v>99.6</v>
      </c>
      <c r="FR284" s="93">
        <v>100.65</v>
      </c>
      <c r="FS284" s="93">
        <v>100.28</v>
      </c>
      <c r="FT284" s="93">
        <v>96.53</v>
      </c>
      <c r="FU284" s="93">
        <v>111.56</v>
      </c>
      <c r="FV284" s="93">
        <v>106.89</v>
      </c>
      <c r="FW284" s="93">
        <v>102.73</v>
      </c>
      <c r="FX284" s="93">
        <v>101.11</v>
      </c>
      <c r="FY284" s="93">
        <v>100.04</v>
      </c>
      <c r="FZ284" s="29">
        <v>217</v>
      </c>
      <c r="GA284" s="1504">
        <v>43101</v>
      </c>
      <c r="GB284" s="19">
        <v>103.68</v>
      </c>
      <c r="GC284" s="93">
        <v>101.71</v>
      </c>
      <c r="GD284" s="93">
        <v>105.04</v>
      </c>
      <c r="GE284" s="93">
        <v>92.67</v>
      </c>
      <c r="GF284" s="93">
        <v>110.16</v>
      </c>
      <c r="GG284" s="99">
        <v>102.52</v>
      </c>
      <c r="GH284" s="93">
        <v>108.1</v>
      </c>
      <c r="GI284" s="93">
        <v>101.87</v>
      </c>
      <c r="GJ284" s="93">
        <v>102.35</v>
      </c>
      <c r="GK284" s="93">
        <v>100.07</v>
      </c>
      <c r="GL284" s="93">
        <v>105.18</v>
      </c>
      <c r="GM284" s="93">
        <v>102.44</v>
      </c>
      <c r="GN284" s="20">
        <v>102.35</v>
      </c>
      <c r="GO284" s="29">
        <v>217</v>
      </c>
      <c r="GP284" s="1504">
        <v>43101</v>
      </c>
      <c r="GQ284" s="181">
        <v>314.54306704185598</v>
      </c>
      <c r="GR284" s="182">
        <v>244.08385616166899</v>
      </c>
      <c r="GS284" s="182">
        <v>233.804107557306</v>
      </c>
      <c r="GT284" s="182">
        <v>190.569633519413</v>
      </c>
      <c r="GU284" s="182">
        <v>394.55432191121201</v>
      </c>
      <c r="GV284" s="290">
        <v>866.21797529770004</v>
      </c>
      <c r="GW284" s="181">
        <v>445.361613960515</v>
      </c>
      <c r="GX284" s="182">
        <v>495.38527860492002</v>
      </c>
      <c r="GY284" s="182">
        <v>539.36604581989195</v>
      </c>
      <c r="GZ284" s="182">
        <v>364.92158399080898</v>
      </c>
      <c r="HA284" s="182">
        <v>200.450161691445</v>
      </c>
      <c r="HB284" s="290">
        <v>1119.8509594033601</v>
      </c>
      <c r="HC284" s="181">
        <v>2063.70446219309</v>
      </c>
      <c r="HD284" s="182">
        <v>2129.8145388564299</v>
      </c>
      <c r="HE284" s="182">
        <v>2479.32561417136</v>
      </c>
      <c r="HF284" s="182">
        <v>3150</v>
      </c>
      <c r="HG284" s="182">
        <v>2550.1508861416501</v>
      </c>
      <c r="HH284" s="290">
        <v>2763.4643706840402</v>
      </c>
      <c r="HI284" s="19"/>
      <c r="HJ284" s="182">
        <v>857.27157116713101</v>
      </c>
      <c r="HK284" s="182">
        <v>1298.63754401085</v>
      </c>
      <c r="HL284" s="182">
        <v>907.86860937634106</v>
      </c>
      <c r="HM284" s="182">
        <v>900</v>
      </c>
      <c r="HN284" s="290">
        <v>2676.4795775212501</v>
      </c>
      <c r="HO284" s="324">
        <v>142.71526031195</v>
      </c>
      <c r="HP284" s="290">
        <v>99.010375963914598</v>
      </c>
      <c r="HQ284" s="295">
        <v>160.80547038394101</v>
      </c>
      <c r="HR284" s="29">
        <v>217</v>
      </c>
      <c r="HS284" s="1504">
        <v>43101</v>
      </c>
      <c r="HT284" s="179">
        <v>250</v>
      </c>
      <c r="HU284" s="99">
        <v>263.88888549804688</v>
      </c>
      <c r="HV284" s="99">
        <v>207.00636291503906</v>
      </c>
      <c r="HW284" s="99">
        <v>165.38462524414064</v>
      </c>
      <c r="HX284" s="99">
        <v>233.33332824707031</v>
      </c>
      <c r="HY284" s="99">
        <v>249.99999237060547</v>
      </c>
      <c r="HZ284" s="99">
        <v>239.58000946044922</v>
      </c>
      <c r="IA284" s="132">
        <v>210.32258300781251</v>
      </c>
      <c r="IB284" s="179">
        <v>153.09446716308594</v>
      </c>
      <c r="IC284" s="99">
        <v>112.99435424804688</v>
      </c>
      <c r="ID284" s="99">
        <v>137.9310302734375</v>
      </c>
      <c r="IE284" s="99">
        <v>130.42071838378905</v>
      </c>
      <c r="IF284" s="99">
        <v>171.875</v>
      </c>
      <c r="IG284" s="132">
        <v>126.52173767089843</v>
      </c>
      <c r="IH284" s="179">
        <v>131.57894897460938</v>
      </c>
      <c r="II284" s="99">
        <v>204.86111450195313</v>
      </c>
      <c r="IJ284" s="99">
        <v>185.81080627441406</v>
      </c>
      <c r="IK284" s="99">
        <v>162.45487976074219</v>
      </c>
      <c r="IL284" s="99">
        <v>153.54938507080078</v>
      </c>
      <c r="IM284" s="99">
        <v>151.93548889160155</v>
      </c>
      <c r="IN284" s="99">
        <v>176.67845153808594</v>
      </c>
      <c r="IO284" s="132">
        <v>147.49649810791016</v>
      </c>
      <c r="IP284" s="29">
        <v>217</v>
      </c>
      <c r="IQ284" s="179">
        <v>153.09446716308594</v>
      </c>
      <c r="IR284" s="99">
        <v>112.99435424804688</v>
      </c>
      <c r="IS284" s="99">
        <v>137.9310302734375</v>
      </c>
      <c r="IT284" s="99">
        <v>130.42071838378905</v>
      </c>
      <c r="IU284" s="99">
        <v>171.875</v>
      </c>
      <c r="IV284" s="132">
        <v>126.52173767089843</v>
      </c>
      <c r="IW284" s="29">
        <v>217</v>
      </c>
      <c r="IX284" s="179">
        <v>366.66666564941409</v>
      </c>
      <c r="IY284" s="99">
        <v>364.58334350585938</v>
      </c>
      <c r="IZ284" s="99">
        <v>440</v>
      </c>
      <c r="JA284" s="99">
        <v>375</v>
      </c>
      <c r="JB284" s="99">
        <v>390</v>
      </c>
      <c r="JC284" s="99">
        <v>400</v>
      </c>
      <c r="JD284" s="100">
        <f t="shared" si="276"/>
        <v>340</v>
      </c>
      <c r="JE284" s="132">
        <v>400</v>
      </c>
      <c r="JF284" s="29">
        <v>217</v>
      </c>
      <c r="JG284" s="179">
        <v>181.25</v>
      </c>
      <c r="JH284" s="99">
        <v>221.7881965637207</v>
      </c>
      <c r="JI284" s="99">
        <v>176.848876953125</v>
      </c>
      <c r="JJ284" s="99">
        <v>180</v>
      </c>
      <c r="JK284" s="99">
        <v>176.76768188476564</v>
      </c>
      <c r="JL284" s="99">
        <v>183.67502593994141</v>
      </c>
      <c r="JM284" s="99">
        <v>184.67742919921875</v>
      </c>
      <c r="JN284" s="132">
        <v>216.39561080932617</v>
      </c>
      <c r="JO284" s="29">
        <v>217</v>
      </c>
      <c r="JP284" s="179">
        <v>170.91988830566407</v>
      </c>
      <c r="JQ284" s="99">
        <v>135.30928039550781</v>
      </c>
      <c r="JR284" s="99">
        <v>178.16091410319009</v>
      </c>
      <c r="JS284" s="99"/>
      <c r="JT284" s="99">
        <v>181.25</v>
      </c>
      <c r="JU284" s="132">
        <v>137.51296081542969</v>
      </c>
      <c r="JV284" s="29">
        <v>217</v>
      </c>
      <c r="JW284" s="1504">
        <v>43101</v>
      </c>
      <c r="JX284" s="179"/>
      <c r="JY284" s="99">
        <v>273.71794871794867</v>
      </c>
      <c r="JZ284" s="99">
        <v>261.66666666666663</v>
      </c>
      <c r="KA284" s="99">
        <v>227.70833333333334</v>
      </c>
      <c r="KB284" s="99">
        <v>241.14705882352939</v>
      </c>
      <c r="KC284" s="99">
        <v>221.44827586206895</v>
      </c>
      <c r="KD284" s="132">
        <v>263.81944444444446</v>
      </c>
      <c r="KE284" s="29">
        <v>217</v>
      </c>
      <c r="KF284" s="179"/>
      <c r="KG284" s="100">
        <f t="shared" ref="KG284:KK289" si="281">(((KG283/KG282-1)+(KG282/KG281-1))^1/2+1)*KG283</f>
        <v>39.37944996524034</v>
      </c>
      <c r="KH284" s="100">
        <f t="shared" si="281"/>
        <v>45.168485084554561</v>
      </c>
      <c r="KI284" s="100">
        <f t="shared" si="281"/>
        <v>45.912303443863919</v>
      </c>
      <c r="KJ284" s="100">
        <f t="shared" si="281"/>
        <v>45.168485084554561</v>
      </c>
      <c r="KK284" s="306">
        <f t="shared" si="281"/>
        <v>52.378312401689683</v>
      </c>
      <c r="KL284" s="29">
        <v>217</v>
      </c>
      <c r="KM284" s="100">
        <f t="shared" si="253"/>
        <v>13.978094022531709</v>
      </c>
      <c r="KN284" s="99">
        <v>18.375</v>
      </c>
      <c r="KO284" s="99">
        <v>32.447916666666671</v>
      </c>
      <c r="KP284" s="99">
        <v>38.25925925925926</v>
      </c>
      <c r="KQ284" s="99">
        <v>22.97058823529412</v>
      </c>
      <c r="KR284" s="132">
        <v>30.275641025641026</v>
      </c>
      <c r="KS284" s="29">
        <v>217</v>
      </c>
      <c r="KT284" s="100">
        <f t="shared" si="254"/>
        <v>38.3054852416156</v>
      </c>
      <c r="KU284" s="99">
        <v>22.666666666666668</v>
      </c>
      <c r="KV284" s="99">
        <v>22.5</v>
      </c>
      <c r="KW284" s="99">
        <v>21.972222222222221</v>
      </c>
      <c r="KX284" s="99">
        <v>18.24074074074074</v>
      </c>
      <c r="KY284" s="132">
        <v>23.474358974358974</v>
      </c>
      <c r="KZ284" s="29">
        <v>217</v>
      </c>
      <c r="LA284" s="1504">
        <v>43101</v>
      </c>
      <c r="LB284" s="19">
        <v>380</v>
      </c>
      <c r="LC284" s="93">
        <v>610</v>
      </c>
      <c r="LD284" s="93">
        <v>602</v>
      </c>
      <c r="LE284" s="93"/>
      <c r="LF284" s="93">
        <v>526</v>
      </c>
      <c r="LG284" s="93">
        <v>5000</v>
      </c>
      <c r="LH284" s="20">
        <v>2000</v>
      </c>
      <c r="LI284" s="29">
        <v>217</v>
      </c>
      <c r="LJ284" s="19"/>
      <c r="LK284" s="93"/>
      <c r="LL284" s="93"/>
      <c r="LM284" s="93"/>
      <c r="LN284" s="93"/>
      <c r="LO284" s="20"/>
      <c r="LP284" s="29">
        <v>217</v>
      </c>
      <c r="LQ284" s="19"/>
      <c r="LR284" s="93">
        <v>188</v>
      </c>
      <c r="LS284" s="93">
        <v>445</v>
      </c>
      <c r="LT284" s="93">
        <v>535</v>
      </c>
      <c r="LU284" s="93">
        <v>1070</v>
      </c>
      <c r="LV284" s="93"/>
      <c r="LW284" s="93">
        <v>5</v>
      </c>
      <c r="LX284" s="93">
        <v>10</v>
      </c>
      <c r="LY284" s="93">
        <v>60</v>
      </c>
      <c r="LZ284" s="93"/>
      <c r="MA284" s="20"/>
      <c r="MB284" s="29">
        <v>217</v>
      </c>
      <c r="MC284" s="1504">
        <v>43101</v>
      </c>
      <c r="MD284" s="19">
        <v>121.11789008029682</v>
      </c>
      <c r="ME284" s="93">
        <v>116.08421569100001</v>
      </c>
      <c r="MF284" s="93">
        <v>116.08421569100001</v>
      </c>
      <c r="MG284" s="93">
        <v>107.71589692400001</v>
      </c>
      <c r="MH284" s="93">
        <v>36.892663665999997</v>
      </c>
      <c r="MI284" s="93">
        <v>1.1219562990000003</v>
      </c>
      <c r="MJ284" s="93">
        <v>0.43172630699999998</v>
      </c>
      <c r="MK284" s="93">
        <v>54.277160693999996</v>
      </c>
      <c r="ML284" s="93">
        <v>13.496298050000002</v>
      </c>
      <c r="MM284" s="93">
        <v>1.4960919080000001</v>
      </c>
      <c r="MN284" s="93">
        <v>8.3683187669999999</v>
      </c>
      <c r="MO284" s="93">
        <v>0.57832174300000005</v>
      </c>
      <c r="MP284" s="93">
        <v>1.8459350600000002</v>
      </c>
      <c r="MQ284" s="93">
        <v>9.6321048000000006E-2</v>
      </c>
      <c r="MR284" s="93">
        <v>9.5728999999999996E-4</v>
      </c>
      <c r="MS284" s="93">
        <v>5.8467836260000006</v>
      </c>
      <c r="MT284" s="93">
        <v>0</v>
      </c>
      <c r="MU284" s="93">
        <v>5.033674389296821</v>
      </c>
      <c r="MV284" s="93">
        <v>5.033674389296821</v>
      </c>
      <c r="MW284" s="93">
        <v>0</v>
      </c>
      <c r="MX284" s="93">
        <v>82.469504295551332</v>
      </c>
      <c r="MY284" s="93">
        <v>82.527484807551346</v>
      </c>
      <c r="MZ284" s="93">
        <v>70.572438917666673</v>
      </c>
      <c r="NA284" s="93">
        <v>52.164365845666659</v>
      </c>
      <c r="NB284" s="93">
        <v>2.1800313539999996</v>
      </c>
      <c r="NC284" s="93">
        <v>4.4634996000000013</v>
      </c>
      <c r="ND284" s="93">
        <v>3.9982419730000003</v>
      </c>
      <c r="NE284" s="93">
        <v>0.46525762700000001</v>
      </c>
      <c r="NF284" s="93">
        <v>11.764542118000001</v>
      </c>
      <c r="NG284" s="93">
        <v>0</v>
      </c>
      <c r="NH284" s="93">
        <v>4.6262920000000003</v>
      </c>
      <c r="NI284" s="93">
        <v>0</v>
      </c>
      <c r="NJ284" s="93">
        <v>0</v>
      </c>
      <c r="NK284" s="93">
        <v>11.955045889884671</v>
      </c>
      <c r="NL284" s="93">
        <v>1.0945750000000001</v>
      </c>
      <c r="NM284" s="93">
        <v>0</v>
      </c>
      <c r="NN284" s="93">
        <v>10.86047088988467</v>
      </c>
      <c r="NO284" s="93">
        <v>-5.7980512000001969E-2</v>
      </c>
      <c r="NP284" s="93">
        <v>38.648385784745486</v>
      </c>
      <c r="NQ284" s="93">
        <v>33.614711395448673</v>
      </c>
      <c r="NR284" s="93">
        <v>48.938681885333331</v>
      </c>
      <c r="NS284" s="93">
        <v>44.475182285333339</v>
      </c>
      <c r="NT284" s="93">
        <v>-65.807067567364186</v>
      </c>
      <c r="NU284" s="93">
        <v>-70.840741956661006</v>
      </c>
      <c r="NV284" s="93">
        <v>72.27810074058786</v>
      </c>
      <c r="NW284" s="93">
        <v>4.5821253185878508</v>
      </c>
      <c r="NX284" s="93">
        <v>5.8267965005878501</v>
      </c>
      <c r="NY284" s="93">
        <v>-1.244671182</v>
      </c>
      <c r="NZ284" s="93">
        <v>0</v>
      </c>
      <c r="OA284" s="93">
        <v>67.695975422000004</v>
      </c>
      <c r="OB284" s="93">
        <v>59.099897755000008</v>
      </c>
      <c r="OC284" s="93">
        <v>8.5960776669999994</v>
      </c>
      <c r="OD284" s="20">
        <v>0</v>
      </c>
      <c r="OE284" s="29">
        <v>217</v>
      </c>
      <c r="OF284" s="1504">
        <v>43101</v>
      </c>
      <c r="OG284" s="19"/>
      <c r="OH284" s="93">
        <v>455.48230536099999</v>
      </c>
      <c r="OI284" s="93">
        <v>1555.2988111509999</v>
      </c>
      <c r="OJ284" s="93">
        <v>1.7079930030000001</v>
      </c>
      <c r="OK284" s="93">
        <v>1348.413</v>
      </c>
      <c r="OL284" s="93">
        <v>205.177818148</v>
      </c>
      <c r="OM284" s="93">
        <v>2010.7811165119999</v>
      </c>
      <c r="ON284" s="93">
        <v>1375.297108319</v>
      </c>
      <c r="OO284" s="93">
        <v>3386.0782248309997</v>
      </c>
      <c r="OP284" s="93"/>
      <c r="OQ284" s="93">
        <v>931.30647472300052</v>
      </c>
      <c r="OR284" s="93">
        <v>60.279474723000135</v>
      </c>
      <c r="OS284" s="93">
        <v>871.02700000000004</v>
      </c>
      <c r="OT284" s="93">
        <v>2920.9207507430001</v>
      </c>
      <c r="OU284" s="93">
        <v>370.23923052999999</v>
      </c>
      <c r="OV284" s="93">
        <v>-41.049769470000008</v>
      </c>
      <c r="OW284" s="93">
        <v>411.28899999999999</v>
      </c>
      <c r="OX284" s="93">
        <v>2550.6815202130001</v>
      </c>
      <c r="OY284" s="93">
        <v>5.2625202130000002</v>
      </c>
      <c r="OZ284" s="93">
        <v>2545.4189999999999</v>
      </c>
      <c r="PA284" s="93">
        <v>680.92315385300003</v>
      </c>
      <c r="PB284" s="93">
        <v>-214.77415321799998</v>
      </c>
      <c r="PC284" s="20">
        <v>3386.0782248310006</v>
      </c>
      <c r="PD284" s="29">
        <v>217</v>
      </c>
      <c r="PE284" s="19"/>
      <c r="PF284" s="93">
        <v>60.279474723000135</v>
      </c>
      <c r="PG284" s="93">
        <v>929.62985832000004</v>
      </c>
      <c r="PH284" s="93">
        <v>869.3503835969999</v>
      </c>
      <c r="PI284" s="93">
        <v>728.56299999999999</v>
      </c>
      <c r="PJ284" s="93">
        <v>-31.87988510000001</v>
      </c>
      <c r="PK284" s="93">
        <v>119.8686809</v>
      </c>
      <c r="PL284" s="93">
        <v>151.74856600000001</v>
      </c>
      <c r="PM284" s="93">
        <v>5.2625202130000002</v>
      </c>
      <c r="PN284" s="93">
        <v>1.1319999999999999</v>
      </c>
      <c r="PO284" s="93">
        <v>0</v>
      </c>
      <c r="PP284" s="93">
        <v>5.0000000000000001E-4</v>
      </c>
      <c r="PQ284" s="93">
        <v>4.1300202129999999</v>
      </c>
      <c r="PR284" s="93">
        <v>764.95577294999998</v>
      </c>
      <c r="PS284" s="93">
        <v>527.16418973099996</v>
      </c>
      <c r="PT284" s="93">
        <v>235.75048189699999</v>
      </c>
      <c r="PU284" s="93">
        <v>2.0411013220000003</v>
      </c>
      <c r="PV284" s="93">
        <v>0</v>
      </c>
      <c r="PW284" s="93">
        <v>0.51817672699999995</v>
      </c>
      <c r="PX284" s="93">
        <v>0</v>
      </c>
      <c r="PY284" s="93">
        <v>0</v>
      </c>
      <c r="PZ284" s="93">
        <v>0.51817672699999995</v>
      </c>
      <c r="QA284" s="93">
        <v>0</v>
      </c>
      <c r="QB284" s="93">
        <v>0</v>
      </c>
      <c r="QC284" s="93">
        <v>0</v>
      </c>
      <c r="QD284" s="93">
        <v>2.7099771260000001</v>
      </c>
      <c r="QE284" s="20">
        <v>-5.9588169669999989</v>
      </c>
      <c r="QF284" s="1739">
        <v>217</v>
      </c>
      <c r="QG284" s="19"/>
      <c r="QH284" s="1035">
        <v>871.02700000000004</v>
      </c>
      <c r="QI284" s="1035">
        <v>1292.8030000000001</v>
      </c>
      <c r="QJ284" s="1035">
        <v>-421.77600000000001</v>
      </c>
      <c r="QK284" s="1035">
        <v>272.72500000000002</v>
      </c>
      <c r="QL284" s="1035">
        <v>62.512</v>
      </c>
      <c r="QM284" s="1035">
        <v>210.21300000000002</v>
      </c>
      <c r="QN284" s="1035">
        <v>0</v>
      </c>
      <c r="QO284" s="1035">
        <v>411.28899999999999</v>
      </c>
      <c r="QP284" s="1035">
        <v>714.88499999999999</v>
      </c>
      <c r="QQ284" s="1035">
        <v>-303.596</v>
      </c>
      <c r="QR284" s="1035">
        <v>2545.4189999999999</v>
      </c>
      <c r="QS284" s="1035">
        <v>81.731999999999999</v>
      </c>
      <c r="QT284" s="1035">
        <v>8.1319999999999997</v>
      </c>
      <c r="QU284" s="1035">
        <v>168.40299999999999</v>
      </c>
      <c r="QV284" s="1035">
        <v>2287.152</v>
      </c>
      <c r="QW284" s="93"/>
      <c r="QX284" s="93">
        <v>682.16699999999992</v>
      </c>
      <c r="QY284" s="93">
        <v>1348.413</v>
      </c>
      <c r="QZ284" s="93">
        <v>1374.9639999999999</v>
      </c>
      <c r="RA284" s="93">
        <v>0</v>
      </c>
      <c r="RB284" s="93">
        <v>129.977</v>
      </c>
      <c r="RC284" s="93">
        <v>8.9999999999999993E-3</v>
      </c>
      <c r="RD284" s="93">
        <v>116.97199999999999</v>
      </c>
      <c r="RE284" s="93">
        <v>0</v>
      </c>
      <c r="RF284" s="93">
        <v>0</v>
      </c>
      <c r="RG284" s="93">
        <v>430.73700000000002</v>
      </c>
      <c r="RH284" s="93">
        <v>17.22100000000006</v>
      </c>
      <c r="RI284" s="93"/>
      <c r="RJ284" s="93"/>
      <c r="RK284" s="93"/>
      <c r="RL284" s="93"/>
      <c r="RM284" s="734"/>
      <c r="RN284" s="29">
        <v>217</v>
      </c>
      <c r="RO284" s="19">
        <v>83</v>
      </c>
      <c r="RP284" s="20">
        <v>469</v>
      </c>
      <c r="RQ284" s="29">
        <v>217</v>
      </c>
      <c r="RR284" s="734">
        <v>4.8546779899999999</v>
      </c>
      <c r="RS284" s="29">
        <v>217</v>
      </c>
      <c r="RT284" s="1504">
        <v>43101</v>
      </c>
      <c r="RU284" s="19">
        <v>870</v>
      </c>
      <c r="RV284" s="20">
        <v>23</v>
      </c>
      <c r="RW284" s="29">
        <v>217</v>
      </c>
      <c r="RX284" s="1504">
        <v>43101</v>
      </c>
      <c r="RY284" s="29"/>
      <c r="RZ284" s="734"/>
      <c r="SA284" s="29"/>
      <c r="SB284" s="29">
        <v>217</v>
      </c>
    </row>
    <row r="285" spans="1:496">
      <c r="A285" s="41">
        <f t="shared" si="238"/>
        <v>2018</v>
      </c>
      <c r="B285" s="1504">
        <v>43132</v>
      </c>
      <c r="C285" s="1813">
        <v>1670</v>
      </c>
      <c r="D285" s="1814">
        <v>26478</v>
      </c>
      <c r="E285" s="1814">
        <v>99</v>
      </c>
      <c r="F285" s="1815">
        <v>387</v>
      </c>
      <c r="G285" s="1814">
        <v>90434</v>
      </c>
      <c r="H285" s="1814">
        <v>20</v>
      </c>
      <c r="I285" s="1814">
        <v>26834</v>
      </c>
      <c r="J285" s="1816">
        <v>17337</v>
      </c>
      <c r="K285" s="1807">
        <v>163259</v>
      </c>
      <c r="L285" s="25">
        <v>218</v>
      </c>
      <c r="M285" s="97"/>
      <c r="N285" s="1504">
        <v>43132</v>
      </c>
      <c r="O285" s="19">
        <v>1004</v>
      </c>
      <c r="P285" s="99">
        <v>895</v>
      </c>
      <c r="Q285" s="99">
        <v>12355</v>
      </c>
      <c r="R285" s="93">
        <v>2225</v>
      </c>
      <c r="S285" s="93">
        <v>2025</v>
      </c>
      <c r="T285" s="93">
        <v>753</v>
      </c>
      <c r="U285" s="93">
        <v>434</v>
      </c>
      <c r="V285" s="93">
        <v>1560</v>
      </c>
      <c r="W285" s="93">
        <v>3269</v>
      </c>
      <c r="X285" s="93">
        <v>1036</v>
      </c>
      <c r="Y285" s="93">
        <v>275</v>
      </c>
      <c r="Z285" s="93">
        <v>1591</v>
      </c>
      <c r="AA285" s="99">
        <v>1030</v>
      </c>
      <c r="AB285" s="132">
        <v>28452</v>
      </c>
      <c r="AC285" s="25">
        <v>218</v>
      </c>
      <c r="AD285" s="97"/>
      <c r="AE285" s="1504">
        <v>43132</v>
      </c>
      <c r="AF285" s="19">
        <v>1854</v>
      </c>
      <c r="AG285" s="99">
        <v>668</v>
      </c>
      <c r="AH285" s="99">
        <v>4694</v>
      </c>
      <c r="AI285" s="93">
        <v>2619</v>
      </c>
      <c r="AJ285" s="93">
        <v>2852</v>
      </c>
      <c r="AK285" s="93">
        <v>1992</v>
      </c>
      <c r="AL285" s="93">
        <v>619</v>
      </c>
      <c r="AM285" s="93">
        <v>2512</v>
      </c>
      <c r="AN285" s="93">
        <v>2507</v>
      </c>
      <c r="AO285" s="93">
        <v>1657</v>
      </c>
      <c r="AP285" s="93">
        <v>821</v>
      </c>
      <c r="AQ285" s="93">
        <v>2790</v>
      </c>
      <c r="AR285" s="99">
        <v>1249</v>
      </c>
      <c r="AS285" s="20">
        <v>26834</v>
      </c>
      <c r="AT285" s="25">
        <v>218</v>
      </c>
      <c r="AU285" s="97"/>
      <c r="AV285" s="1504">
        <v>43132</v>
      </c>
      <c r="AW285" s="19">
        <v>9814</v>
      </c>
      <c r="AX285" s="99">
        <v>2838</v>
      </c>
      <c r="AY285" s="99">
        <v>5114</v>
      </c>
      <c r="AZ285" s="93">
        <v>10282</v>
      </c>
      <c r="BA285" s="93">
        <v>8754</v>
      </c>
      <c r="BB285" s="93">
        <v>6302</v>
      </c>
      <c r="BC285" s="93">
        <v>3293</v>
      </c>
      <c r="BD285" s="93">
        <v>9906</v>
      </c>
      <c r="BE285" s="93">
        <v>11226</v>
      </c>
      <c r="BF285" s="93">
        <v>5367</v>
      </c>
      <c r="BG285" s="93">
        <v>3231</v>
      </c>
      <c r="BH285" s="93">
        <v>11227</v>
      </c>
      <c r="BI285" s="99">
        <v>4280</v>
      </c>
      <c r="BJ285" s="20">
        <v>91634</v>
      </c>
      <c r="BK285" s="25">
        <v>218</v>
      </c>
      <c r="BL285" s="97"/>
      <c r="BM285" s="1504">
        <v>43132</v>
      </c>
      <c r="BN285" s="19">
        <v>81.956999999999994</v>
      </c>
      <c r="BO285" s="93">
        <v>2917.8859999999995</v>
      </c>
      <c r="BP285" s="93">
        <v>21.120000000000005</v>
      </c>
      <c r="BQ285" s="93">
        <v>725.06399999999985</v>
      </c>
      <c r="BR285" s="93">
        <v>6.5789999999999997</v>
      </c>
      <c r="BS285" s="93">
        <v>230.79599999999994</v>
      </c>
      <c r="BT285" s="93">
        <v>396.24000000000012</v>
      </c>
      <c r="BU285" s="132">
        <v>4379.6419999999989</v>
      </c>
      <c r="BV285" s="25">
        <v>218</v>
      </c>
      <c r="BW285" s="97"/>
      <c r="BX285" s="1504">
        <v>43132</v>
      </c>
      <c r="BY285" s="179">
        <v>531.22500000000002</v>
      </c>
      <c r="BZ285" s="99">
        <v>664.95699999999999</v>
      </c>
      <c r="CA285" s="99">
        <v>568.322</v>
      </c>
      <c r="CB285" s="99">
        <v>44.9158867497665</v>
      </c>
      <c r="CC285" s="99">
        <v>120.056</v>
      </c>
      <c r="CD285" s="25">
        <v>218</v>
      </c>
      <c r="CE285" s="97"/>
      <c r="CF285" s="1504">
        <v>43132</v>
      </c>
      <c r="CG285" s="1508">
        <v>1.9460180739999999</v>
      </c>
      <c r="CH285" s="568">
        <v>1330.73</v>
      </c>
      <c r="CI285" s="1708">
        <v>63.46</v>
      </c>
      <c r="CJ285" s="1509">
        <v>65.42</v>
      </c>
      <c r="CK285" s="1508">
        <v>407.8</v>
      </c>
      <c r="CL285" s="568">
        <v>163.357516</v>
      </c>
      <c r="CM285" s="568">
        <v>0.29894647200000002</v>
      </c>
      <c r="CN285" s="568">
        <v>0.40356284799999997</v>
      </c>
      <c r="CO285" s="568">
        <v>192.16939410000001</v>
      </c>
      <c r="CP285" s="1509">
        <v>4.353573345</v>
      </c>
      <c r="CQ285" s="1708">
        <v>1433</v>
      </c>
      <c r="CR285" s="568">
        <v>2.9874999999999998</v>
      </c>
      <c r="CS285" s="568">
        <v>1.72</v>
      </c>
      <c r="CT285" s="568">
        <v>82.5</v>
      </c>
      <c r="CU285" s="568">
        <v>77.459999999999994</v>
      </c>
      <c r="CV285" s="1709">
        <v>3532.9</v>
      </c>
      <c r="CW285" s="29">
        <v>218</v>
      </c>
      <c r="CX285" s="41">
        <f t="shared" si="239"/>
        <v>2018</v>
      </c>
      <c r="CY285" s="1504">
        <v>43132</v>
      </c>
      <c r="CZ285" s="1916">
        <v>117.71232282401616</v>
      </c>
      <c r="DA285" s="1526">
        <v>60.215705824016155</v>
      </c>
      <c r="DB285" s="1526">
        <v>48.297826999999998</v>
      </c>
      <c r="DC285" s="182">
        <f t="shared" si="277"/>
        <v>669448</v>
      </c>
      <c r="DD285" s="182">
        <f t="shared" si="278"/>
        <v>667702</v>
      </c>
      <c r="DE285" s="182">
        <f t="shared" si="279"/>
        <v>1746</v>
      </c>
      <c r="DF285" s="29">
        <v>218</v>
      </c>
      <c r="DG285" s="1504">
        <v>43132</v>
      </c>
      <c r="DH285" s="181">
        <v>387462</v>
      </c>
      <c r="DI285" s="182">
        <v>4050701</v>
      </c>
      <c r="DJ285" s="182">
        <v>236971</v>
      </c>
      <c r="DK285" s="182">
        <v>17974</v>
      </c>
      <c r="DL285" s="182">
        <v>554972</v>
      </c>
      <c r="DM285" s="182">
        <v>7614</v>
      </c>
      <c r="DN285" s="290">
        <v>1790094</v>
      </c>
      <c r="DO285" s="295">
        <f t="shared" ref="DO285:DO348" si="282">SUM(DI285:DN285)</f>
        <v>6658326</v>
      </c>
      <c r="DP285" s="29">
        <v>218</v>
      </c>
      <c r="DQ285" s="1504">
        <v>43132</v>
      </c>
      <c r="DR285" s="19">
        <v>46219</v>
      </c>
      <c r="DS285" s="93">
        <v>1039</v>
      </c>
      <c r="DT285" s="93">
        <v>55572</v>
      </c>
      <c r="DU285" s="93">
        <v>3643</v>
      </c>
      <c r="DV285" s="93">
        <v>17175</v>
      </c>
      <c r="DW285" s="93">
        <v>2772</v>
      </c>
      <c r="DX285" s="1719">
        <v>12727</v>
      </c>
      <c r="DY285" s="29">
        <v>218</v>
      </c>
      <c r="DZ285" s="1504">
        <v>43132</v>
      </c>
      <c r="EA285" s="19"/>
      <c r="EB285" s="93"/>
      <c r="EC285" s="20"/>
      <c r="ED285" s="29"/>
      <c r="EE285" s="1504">
        <v>43132</v>
      </c>
      <c r="EF285" s="179">
        <v>18986</v>
      </c>
      <c r="EG285" s="99">
        <v>19141</v>
      </c>
      <c r="EH285" s="99">
        <f t="shared" ref="EH285:EH295" si="283">EF285+EG285</f>
        <v>38127</v>
      </c>
      <c r="EI285" s="221">
        <v>5320</v>
      </c>
      <c r="EJ285" s="99">
        <v>735.56200000000001</v>
      </c>
      <c r="EK285" s="99">
        <v>225.999</v>
      </c>
      <c r="EL285" s="1150">
        <v>4.9509999999999996</v>
      </c>
      <c r="EM285" s="1150">
        <v>5.6509999999999998</v>
      </c>
      <c r="EN285" s="132">
        <v>971.40003000000002</v>
      </c>
      <c r="EO285" s="29">
        <v>218</v>
      </c>
      <c r="EP285" s="1504">
        <v>43132</v>
      </c>
      <c r="EQ285" s="19">
        <v>17956</v>
      </c>
      <c r="ER285" s="93">
        <v>19128</v>
      </c>
      <c r="ES285" s="93">
        <v>37084</v>
      </c>
      <c r="ET285" s="214">
        <v>4528</v>
      </c>
      <c r="EU285" s="93">
        <v>735.56200000000001</v>
      </c>
      <c r="EV285" s="93">
        <v>225.999</v>
      </c>
      <c r="EW285" s="93">
        <v>4.9509999999999996</v>
      </c>
      <c r="EX285" s="93">
        <v>5.6509999999999998</v>
      </c>
      <c r="EY285" s="93">
        <f t="shared" si="280"/>
        <v>972.16300000000001</v>
      </c>
      <c r="EZ285" s="29">
        <v>218</v>
      </c>
      <c r="FA285" s="1504">
        <v>43132</v>
      </c>
      <c r="FB285" s="29">
        <v>838</v>
      </c>
      <c r="FC285" s="29">
        <v>762</v>
      </c>
      <c r="FD285" s="29">
        <f t="shared" ref="FD285:FD295" si="284">FB285+FC285</f>
        <v>1600</v>
      </c>
      <c r="FE285" s="29">
        <v>792</v>
      </c>
      <c r="FF285" s="29">
        <v>0.03</v>
      </c>
      <c r="FG285" s="29">
        <v>0</v>
      </c>
      <c r="FH285" s="29">
        <v>0</v>
      </c>
      <c r="FI285" s="29">
        <v>0</v>
      </c>
      <c r="FJ285" s="29">
        <v>2.9999999999999997E-5</v>
      </c>
      <c r="FK285" s="29">
        <v>218</v>
      </c>
      <c r="FL285" s="1504">
        <v>43132</v>
      </c>
      <c r="FM285" s="19">
        <v>104</v>
      </c>
      <c r="FN285" s="93">
        <v>105.94</v>
      </c>
      <c r="FO285" s="93">
        <v>120.98</v>
      </c>
      <c r="FP285" s="93">
        <v>100.24</v>
      </c>
      <c r="FQ285" s="93">
        <v>100.42</v>
      </c>
      <c r="FR285" s="93">
        <v>100.91</v>
      </c>
      <c r="FS285" s="93">
        <v>100.28</v>
      </c>
      <c r="FT285" s="93">
        <v>97.43</v>
      </c>
      <c r="FU285" s="93">
        <v>111.56</v>
      </c>
      <c r="FV285" s="93">
        <v>104.21</v>
      </c>
      <c r="FW285" s="93">
        <v>103.15</v>
      </c>
      <c r="FX285" s="93">
        <v>102.12</v>
      </c>
      <c r="FY285" s="93">
        <v>100.04</v>
      </c>
      <c r="FZ285" s="29">
        <v>218</v>
      </c>
      <c r="GA285" s="1504">
        <v>43132</v>
      </c>
      <c r="GB285" s="19">
        <v>104</v>
      </c>
      <c r="GC285" s="93">
        <v>101.43</v>
      </c>
      <c r="GD285" s="93">
        <v>105.7</v>
      </c>
      <c r="GE285" s="93">
        <v>96.6</v>
      </c>
      <c r="GF285" s="93">
        <v>110.63</v>
      </c>
      <c r="GG285" s="99">
        <v>102.39</v>
      </c>
      <c r="GH285" s="93">
        <v>109.44</v>
      </c>
      <c r="GI285" s="93">
        <v>101.32</v>
      </c>
      <c r="GJ285" s="93">
        <v>103.06</v>
      </c>
      <c r="GK285" s="93">
        <v>100.27</v>
      </c>
      <c r="GL285" s="93">
        <v>105.89</v>
      </c>
      <c r="GM285" s="93">
        <v>100.89</v>
      </c>
      <c r="GN285" s="20">
        <v>103.06</v>
      </c>
      <c r="GO285" s="29">
        <v>218</v>
      </c>
      <c r="GP285" s="1504">
        <v>43132</v>
      </c>
      <c r="GQ285" s="181">
        <v>316.75354088442901</v>
      </c>
      <c r="GR285" s="182">
        <v>254.02925607699399</v>
      </c>
      <c r="GS285" s="182">
        <v>235.22241868543099</v>
      </c>
      <c r="GT285" s="182">
        <v>196.39360223168401</v>
      </c>
      <c r="GU285" s="182">
        <v>529.95549621340103</v>
      </c>
      <c r="GV285" s="290">
        <v>948.01248567294999</v>
      </c>
      <c r="GW285" s="181">
        <v>429.97614329916701</v>
      </c>
      <c r="GX285" s="182">
        <v>468.09728968498598</v>
      </c>
      <c r="GY285" s="182">
        <v>541.07422401948895</v>
      </c>
      <c r="GZ285" s="182">
        <v>292.46842881581398</v>
      </c>
      <c r="HA285" s="182">
        <v>196.703781888111</v>
      </c>
      <c r="HB285" s="290">
        <v>816.26358544204004</v>
      </c>
      <c r="HC285" s="181">
        <v>2018.3937087172401</v>
      </c>
      <c r="HD285" s="182">
        <v>2376.2910108801698</v>
      </c>
      <c r="HE285" s="182">
        <v>2639.0814576633702</v>
      </c>
      <c r="HF285" s="182">
        <v>3150</v>
      </c>
      <c r="HG285" s="182">
        <v>2484.8137491224202</v>
      </c>
      <c r="HH285" s="290">
        <v>2717.67018826712</v>
      </c>
      <c r="HI285" s="19"/>
      <c r="HJ285" s="182">
        <v>921.271241830132</v>
      </c>
      <c r="HK285" s="182">
        <v>1394.009240204</v>
      </c>
      <c r="HL285" s="182">
        <v>1017.08631723203</v>
      </c>
      <c r="HM285" s="182">
        <v>900</v>
      </c>
      <c r="HN285" s="290">
        <v>2600.8424445924502</v>
      </c>
      <c r="HO285" s="324">
        <v>152.50186751939501</v>
      </c>
      <c r="HP285" s="290">
        <v>98.947995827951303</v>
      </c>
      <c r="HQ285" s="295">
        <v>154.61461666713501</v>
      </c>
      <c r="HR285" s="29">
        <v>218</v>
      </c>
      <c r="HS285" s="1504">
        <v>43132</v>
      </c>
      <c r="HT285" s="179">
        <v>250</v>
      </c>
      <c r="HU285" s="99">
        <v>284.72223281860352</v>
      </c>
      <c r="HV285" s="99">
        <v>222.929931640625</v>
      </c>
      <c r="HW285" s="99">
        <v>153.84616088867188</v>
      </c>
      <c r="HX285" s="99">
        <v>233.33332824707031</v>
      </c>
      <c r="HY285" s="99">
        <v>249.99999237060547</v>
      </c>
      <c r="HZ285" s="99">
        <v>252.89556884765625</v>
      </c>
      <c r="IA285" s="132">
        <v>222.22222900390625</v>
      </c>
      <c r="IB285" s="179">
        <v>169.49151611328125</v>
      </c>
      <c r="IC285" s="99">
        <v>111.12151718139648</v>
      </c>
      <c r="ID285" s="99">
        <v>146.55171203613281</v>
      </c>
      <c r="IE285" s="99">
        <v>134.70696512858072</v>
      </c>
      <c r="IF285" s="99">
        <v>175.78125</v>
      </c>
      <c r="IG285" s="132">
        <v>129.70123291015625</v>
      </c>
      <c r="IH285" s="179">
        <v>134.86842346191406</v>
      </c>
      <c r="II285" s="99">
        <v>200.52083778381348</v>
      </c>
      <c r="IJ285" s="99">
        <v>185.81080627441406</v>
      </c>
      <c r="IK285" s="99">
        <v>172.08183288574219</v>
      </c>
      <c r="IL285" s="99">
        <v>160.10802459716797</v>
      </c>
      <c r="IM285" s="99">
        <v>158.06451416015625</v>
      </c>
      <c r="IN285" s="99">
        <v>176.67845153808594</v>
      </c>
      <c r="IO285" s="132">
        <v>177.94116973876953</v>
      </c>
      <c r="IP285" s="29">
        <v>218</v>
      </c>
      <c r="IQ285" s="179">
        <v>169.49151611328125</v>
      </c>
      <c r="IR285" s="99">
        <v>111.12151718139648</v>
      </c>
      <c r="IS285" s="99">
        <v>146.55171203613281</v>
      </c>
      <c r="IT285" s="99">
        <v>134.70696512858072</v>
      </c>
      <c r="IU285" s="99">
        <v>175.78125</v>
      </c>
      <c r="IV285" s="132">
        <v>129.70123291015625</v>
      </c>
      <c r="IW285" s="29">
        <v>218</v>
      </c>
      <c r="IX285" s="179">
        <v>433.33331553141278</v>
      </c>
      <c r="IY285" s="99">
        <v>364.58334350585938</v>
      </c>
      <c r="IZ285" s="99">
        <v>440</v>
      </c>
      <c r="JA285" s="99">
        <v>375</v>
      </c>
      <c r="JB285" s="99">
        <v>390</v>
      </c>
      <c r="JC285" s="99">
        <v>400</v>
      </c>
      <c r="JD285" s="100">
        <f t="shared" si="276"/>
        <v>340</v>
      </c>
      <c r="JE285" s="132">
        <v>400</v>
      </c>
      <c r="JF285" s="29">
        <v>218</v>
      </c>
      <c r="JG285" s="179">
        <v>200</v>
      </c>
      <c r="JH285" s="99">
        <v>241.75347137451172</v>
      </c>
      <c r="JI285" s="99">
        <v>176.848876953125</v>
      </c>
      <c r="JJ285" s="99">
        <v>187.5</v>
      </c>
      <c r="JK285" s="99">
        <v>210.43771362304688</v>
      </c>
      <c r="JL285" s="99">
        <v>209.36320495605469</v>
      </c>
      <c r="JM285" s="99">
        <v>206.2706298828125</v>
      </c>
      <c r="JN285" s="132">
        <v>226.37654113769531</v>
      </c>
      <c r="JO285" s="29">
        <v>218</v>
      </c>
      <c r="JP285" s="179">
        <v>209.05923461914063</v>
      </c>
      <c r="JQ285" s="99">
        <v>149.70039749145508</v>
      </c>
      <c r="JR285" s="99">
        <v>191.66666412353516</v>
      </c>
      <c r="JS285" s="99"/>
      <c r="JT285" s="99">
        <v>188.76008097330728</v>
      </c>
      <c r="JU285" s="132">
        <v>149.57901509602866</v>
      </c>
      <c r="JV285" s="29">
        <v>218</v>
      </c>
      <c r="JW285" s="1504">
        <v>43132</v>
      </c>
      <c r="JX285" s="179"/>
      <c r="JY285" s="99">
        <v>266.9390243902439</v>
      </c>
      <c r="JZ285" s="99">
        <v>278.26388888888886</v>
      </c>
      <c r="KA285" s="99">
        <v>236.97916666666666</v>
      </c>
      <c r="KB285" s="99">
        <v>226.7</v>
      </c>
      <c r="KC285" s="99">
        <v>212.39130434782609</v>
      </c>
      <c r="KD285" s="132">
        <v>267.46212121212119</v>
      </c>
      <c r="KE285" s="29">
        <v>218</v>
      </c>
      <c r="KF285" s="179"/>
      <c r="KG285" s="100">
        <f t="shared" si="281"/>
        <v>36.970347194401043</v>
      </c>
      <c r="KH285" s="100">
        <f t="shared" si="281"/>
        <v>44.567376912119457</v>
      </c>
      <c r="KI285" s="100">
        <f t="shared" si="281"/>
        <v>45.619671852245901</v>
      </c>
      <c r="KJ285" s="100">
        <f t="shared" si="281"/>
        <v>44.567376912119457</v>
      </c>
      <c r="KK285" s="306">
        <f t="shared" si="281"/>
        <v>50.530995743335225</v>
      </c>
      <c r="KL285" s="29">
        <v>218</v>
      </c>
      <c r="KM285" s="100">
        <f t="shared" si="253"/>
        <v>13.590798675542883</v>
      </c>
      <c r="KN285" s="99">
        <v>21.364583333333332</v>
      </c>
      <c r="KO285" s="99">
        <v>35.869791666666664</v>
      </c>
      <c r="KP285" s="99">
        <v>39.087719298245609</v>
      </c>
      <c r="KQ285" s="99">
        <v>24.6875</v>
      </c>
      <c r="KR285" s="132">
        <v>30.329861111111111</v>
      </c>
      <c r="KS285" s="29">
        <v>218</v>
      </c>
      <c r="KT285" s="100">
        <f t="shared" si="254"/>
        <v>39.228928460208593</v>
      </c>
      <c r="KU285" s="99">
        <v>23.238095238095237</v>
      </c>
      <c r="KV285" s="99">
        <v>24.520833333333332</v>
      </c>
      <c r="KW285" s="99">
        <v>25.533333333333331</v>
      </c>
      <c r="KX285" s="99">
        <v>20.55</v>
      </c>
      <c r="KY285" s="132">
        <v>23.385416666666668</v>
      </c>
      <c r="KZ285" s="29">
        <v>218</v>
      </c>
      <c r="LA285" s="1504">
        <v>43132</v>
      </c>
      <c r="LB285" s="19">
        <v>380</v>
      </c>
      <c r="LC285" s="93">
        <v>610</v>
      </c>
      <c r="LD285" s="93">
        <v>602</v>
      </c>
      <c r="LE285" s="93"/>
      <c r="LF285" s="93">
        <v>526</v>
      </c>
      <c r="LG285" s="93">
        <v>5000</v>
      </c>
      <c r="LH285" s="20">
        <v>2000</v>
      </c>
      <c r="LI285" s="29">
        <v>218</v>
      </c>
      <c r="LJ285" s="19"/>
      <c r="LK285" s="93"/>
      <c r="LL285" s="93"/>
      <c r="LM285" s="93"/>
      <c r="LN285" s="93"/>
      <c r="LO285" s="20"/>
      <c r="LP285" s="29">
        <v>218</v>
      </c>
      <c r="LQ285" s="19"/>
      <c r="LR285" s="93">
        <v>188</v>
      </c>
      <c r="LS285" s="93">
        <v>445</v>
      </c>
      <c r="LT285" s="93">
        <v>535</v>
      </c>
      <c r="LU285" s="93">
        <v>1070</v>
      </c>
      <c r="LV285" s="93"/>
      <c r="LW285" s="93">
        <v>5</v>
      </c>
      <c r="LX285" s="93">
        <v>10</v>
      </c>
      <c r="LY285" s="93">
        <v>60</v>
      </c>
      <c r="LZ285" s="93"/>
      <c r="MA285" s="20"/>
      <c r="MB285" s="29">
        <v>218</v>
      </c>
      <c r="MC285" s="1504">
        <v>43132</v>
      </c>
      <c r="MD285" s="19">
        <v>232.59335999388162</v>
      </c>
      <c r="ME285" s="93">
        <v>223.01926297720004</v>
      </c>
      <c r="MF285" s="93">
        <v>223.01926297720004</v>
      </c>
      <c r="MG285" s="93">
        <v>203.69884703720001</v>
      </c>
      <c r="MH285" s="93">
        <v>52.434112726999999</v>
      </c>
      <c r="MI285" s="93">
        <v>2.0563101019999999</v>
      </c>
      <c r="MJ285" s="93">
        <v>1.0880551340000002</v>
      </c>
      <c r="MK285" s="93">
        <v>115.82160569519999</v>
      </c>
      <c r="ML285" s="93">
        <v>29.945128585000003</v>
      </c>
      <c r="MM285" s="93">
        <v>2.353634794</v>
      </c>
      <c r="MN285" s="93">
        <v>19.320415940000004</v>
      </c>
      <c r="MO285" s="93">
        <v>1.3029316360000005</v>
      </c>
      <c r="MP285" s="93">
        <v>3.9202048180000002</v>
      </c>
      <c r="MQ285" s="93">
        <v>0.20527732100000001</v>
      </c>
      <c r="MR285" s="93">
        <v>9.5728999999999996E-4</v>
      </c>
      <c r="MS285" s="93">
        <v>13.891044875</v>
      </c>
      <c r="MT285" s="93">
        <v>0</v>
      </c>
      <c r="MU285" s="93">
        <v>9.574097016681641</v>
      </c>
      <c r="MV285" s="93">
        <v>9.574097016681641</v>
      </c>
      <c r="MW285" s="93">
        <v>0</v>
      </c>
      <c r="MX285" s="93">
        <v>209.50325113238185</v>
      </c>
      <c r="MY285" s="93">
        <v>210.94324359838188</v>
      </c>
      <c r="MZ285" s="93">
        <v>182.43163366733333</v>
      </c>
      <c r="NA285" s="93">
        <v>107.097162512</v>
      </c>
      <c r="NB285" s="93">
        <v>13.851069427333332</v>
      </c>
      <c r="NC285" s="93">
        <v>5.0091078280000012</v>
      </c>
      <c r="ND285" s="93">
        <v>3.9982419730000003</v>
      </c>
      <c r="NE285" s="93">
        <v>1.010865855</v>
      </c>
      <c r="NF285" s="93">
        <v>56.474293899999999</v>
      </c>
      <c r="NG285" s="93">
        <v>0</v>
      </c>
      <c r="NH285" s="93">
        <v>18.95525275</v>
      </c>
      <c r="NI285" s="93">
        <v>0</v>
      </c>
      <c r="NJ285" s="93">
        <v>0</v>
      </c>
      <c r="NK285" s="93">
        <v>28.51160993104855</v>
      </c>
      <c r="NL285" s="93">
        <v>6.6881135</v>
      </c>
      <c r="NM285" s="93">
        <v>0.18029249999999999</v>
      </c>
      <c r="NN285" s="93">
        <v>21.64320393104855</v>
      </c>
      <c r="NO285" s="93">
        <v>-1.4399924660000019</v>
      </c>
      <c r="NP285" s="93">
        <v>23.090108861499786</v>
      </c>
      <c r="NQ285" s="93">
        <v>13.516011844818145</v>
      </c>
      <c r="NR285" s="93">
        <v>40.168323603866682</v>
      </c>
      <c r="NS285" s="93">
        <v>35.159215775866684</v>
      </c>
      <c r="NT285" s="93">
        <v>-72.413970310500261</v>
      </c>
      <c r="NU285" s="93">
        <v>-81.988067327181895</v>
      </c>
      <c r="NV285" s="93">
        <v>83.442024959366918</v>
      </c>
      <c r="NW285" s="93">
        <v>8.0931170633669112</v>
      </c>
      <c r="NX285" s="93">
        <v>12.069106914366911</v>
      </c>
      <c r="NY285" s="93">
        <v>-3.9759898510000005</v>
      </c>
      <c r="NZ285" s="93">
        <v>0</v>
      </c>
      <c r="OA285" s="93">
        <v>75.348907896</v>
      </c>
      <c r="OB285" s="93">
        <v>55.38200823879999</v>
      </c>
      <c r="OC285" s="93">
        <v>19.966899657199995</v>
      </c>
      <c r="OD285" s="20">
        <v>0</v>
      </c>
      <c r="OE285" s="29">
        <v>218</v>
      </c>
      <c r="OF285" s="1504">
        <v>43132</v>
      </c>
      <c r="OG285" s="19"/>
      <c r="OH285" s="93">
        <v>467.60939213299997</v>
      </c>
      <c r="OI285" s="93">
        <v>1589.5912991499999</v>
      </c>
      <c r="OJ285" s="93">
        <v>0.35466903999999999</v>
      </c>
      <c r="OK285" s="93">
        <v>1380.752</v>
      </c>
      <c r="OL285" s="93">
        <v>208.48463011000001</v>
      </c>
      <c r="OM285" s="93">
        <v>2057.2006912829997</v>
      </c>
      <c r="ON285" s="93">
        <v>1391.0701083190002</v>
      </c>
      <c r="OO285" s="93">
        <v>3448.2707996019999</v>
      </c>
      <c r="OP285" s="93"/>
      <c r="OQ285" s="93">
        <v>1210.7814527210001</v>
      </c>
      <c r="OR285" s="93">
        <v>78.442452720999995</v>
      </c>
      <c r="OS285" s="93">
        <v>1132.3389999999999</v>
      </c>
      <c r="OT285" s="93">
        <v>2666.7208088909997</v>
      </c>
      <c r="OU285" s="93">
        <v>139.15318674500006</v>
      </c>
      <c r="OV285" s="93">
        <v>-38.12381325499998</v>
      </c>
      <c r="OW285" s="93">
        <v>177.27700000000004</v>
      </c>
      <c r="OX285" s="93">
        <v>2527.5676221459998</v>
      </c>
      <c r="OY285" s="93">
        <v>17.531622146</v>
      </c>
      <c r="OZ285" s="93">
        <v>2510.0359999999996</v>
      </c>
      <c r="PA285" s="93">
        <v>675.80799599700003</v>
      </c>
      <c r="PB285" s="93">
        <v>-246.57653398700006</v>
      </c>
      <c r="PC285" s="20">
        <v>3448.2707996019994</v>
      </c>
      <c r="PD285" s="29">
        <v>218</v>
      </c>
      <c r="PE285" s="19"/>
      <c r="PF285" s="93">
        <v>78.442452720999995</v>
      </c>
      <c r="PG285" s="93">
        <v>936.72483962500007</v>
      </c>
      <c r="PH285" s="93">
        <v>858.28238690400008</v>
      </c>
      <c r="PI285" s="93">
        <v>623.74400000000003</v>
      </c>
      <c r="PJ285" s="93">
        <v>-28.953928884999982</v>
      </c>
      <c r="PK285" s="93">
        <v>119.88980964300001</v>
      </c>
      <c r="PL285" s="93">
        <v>148.84373852799999</v>
      </c>
      <c r="PM285" s="93">
        <v>17.531622146</v>
      </c>
      <c r="PN285" s="93">
        <v>13.324999999999999</v>
      </c>
      <c r="PO285" s="93">
        <v>0</v>
      </c>
      <c r="PP285" s="93">
        <v>5.0000000000000001E-4</v>
      </c>
      <c r="PQ285" s="93">
        <v>4.2061221460000002</v>
      </c>
      <c r="PR285" s="93">
        <v>687.91546385499998</v>
      </c>
      <c r="PS285" s="93">
        <v>543.34827650299997</v>
      </c>
      <c r="PT285" s="93">
        <v>143.879409993</v>
      </c>
      <c r="PU285" s="93">
        <v>0.68777735900000003</v>
      </c>
      <c r="PV285" s="93">
        <v>0</v>
      </c>
      <c r="PW285" s="93">
        <v>0.41045007700000002</v>
      </c>
      <c r="PX285" s="93">
        <v>0</v>
      </c>
      <c r="PY285" s="93">
        <v>0</v>
      </c>
      <c r="PZ285" s="93">
        <v>0.41045007700000002</v>
      </c>
      <c r="QA285" s="93">
        <v>0</v>
      </c>
      <c r="QB285" s="93">
        <v>0</v>
      </c>
      <c r="QC285" s="93">
        <v>0</v>
      </c>
      <c r="QD285" s="93">
        <v>4.6465459200000003</v>
      </c>
      <c r="QE285" s="20">
        <v>-2.2083138699999991</v>
      </c>
      <c r="QF285" s="1739">
        <v>218</v>
      </c>
      <c r="QG285" s="19"/>
      <c r="QH285" s="1035">
        <v>1132.3389999999999</v>
      </c>
      <c r="QI285" s="1035">
        <v>1554.018</v>
      </c>
      <c r="QJ285" s="1035">
        <v>-421.67900000000003</v>
      </c>
      <c r="QK285" s="1035">
        <v>217.20400000000001</v>
      </c>
      <c r="QL285" s="1035">
        <v>66.569000000000003</v>
      </c>
      <c r="QM285" s="1035">
        <v>150.63500000000002</v>
      </c>
      <c r="QN285" s="1035">
        <v>0</v>
      </c>
      <c r="QO285" s="1035">
        <v>177.27700000000004</v>
      </c>
      <c r="QP285" s="1035">
        <v>468.58600000000001</v>
      </c>
      <c r="QQ285" s="1035">
        <v>-291.30899999999997</v>
      </c>
      <c r="QR285" s="1035">
        <v>2510.0359999999996</v>
      </c>
      <c r="QS285" s="1035">
        <v>15.773</v>
      </c>
      <c r="QT285" s="1035">
        <v>18.071999999999999</v>
      </c>
      <c r="QU285" s="1035">
        <v>143.86599999999999</v>
      </c>
      <c r="QV285" s="1035">
        <v>2332.3249999999998</v>
      </c>
      <c r="QW285" s="93"/>
      <c r="QX285" s="93">
        <v>568.56700000000001</v>
      </c>
      <c r="QY285" s="93">
        <v>1380.7520000000002</v>
      </c>
      <c r="QZ285" s="93">
        <v>1390.7370000000001</v>
      </c>
      <c r="RA285" s="93">
        <v>0</v>
      </c>
      <c r="RB285" s="93">
        <v>122.65099999999998</v>
      </c>
      <c r="RC285" s="93">
        <v>0</v>
      </c>
      <c r="RD285" s="93">
        <v>119.179</v>
      </c>
      <c r="RE285" s="93">
        <v>0</v>
      </c>
      <c r="RF285" s="93">
        <v>0</v>
      </c>
      <c r="RG285" s="93">
        <v>428.92099999999999</v>
      </c>
      <c r="RH285" s="93">
        <v>26.048999999999978</v>
      </c>
      <c r="RI285" s="93"/>
      <c r="RJ285" s="93"/>
      <c r="RK285" s="93"/>
      <c r="RL285" s="93"/>
      <c r="RM285" s="734"/>
      <c r="RN285" s="29">
        <v>218</v>
      </c>
      <c r="RO285" s="19">
        <v>90</v>
      </c>
      <c r="RP285" s="20">
        <v>638</v>
      </c>
      <c r="RQ285" s="29">
        <v>218</v>
      </c>
      <c r="RR285" s="734">
        <v>4.5785624000000009</v>
      </c>
      <c r="RS285" s="29">
        <v>218</v>
      </c>
      <c r="RT285" s="1504">
        <v>43132</v>
      </c>
      <c r="RU285" s="19">
        <v>969</v>
      </c>
      <c r="RV285" s="20">
        <v>21</v>
      </c>
      <c r="RW285" s="29">
        <v>218</v>
      </c>
      <c r="RX285" s="1504">
        <v>43132</v>
      </c>
      <c r="RY285" s="29"/>
      <c r="RZ285" s="734"/>
      <c r="SA285" s="29"/>
      <c r="SB285" s="29">
        <v>218</v>
      </c>
    </row>
    <row r="286" spans="1:496">
      <c r="A286" s="41">
        <f t="shared" si="238"/>
        <v>2018</v>
      </c>
      <c r="B286" s="1504">
        <v>43160</v>
      </c>
      <c r="C286" s="1813">
        <v>1629</v>
      </c>
      <c r="D286" s="1814">
        <v>24097</v>
      </c>
      <c r="E286" s="1814">
        <v>94</v>
      </c>
      <c r="F286" s="1815">
        <v>457</v>
      </c>
      <c r="G286" s="1814">
        <v>92313</v>
      </c>
      <c r="H286" s="1814">
        <v>43</v>
      </c>
      <c r="I286" s="1814">
        <v>25433</v>
      </c>
      <c r="J286" s="1816">
        <v>17797</v>
      </c>
      <c r="K286" s="1807">
        <v>161863</v>
      </c>
      <c r="L286" s="25">
        <v>219</v>
      </c>
      <c r="M286" s="97"/>
      <c r="N286" s="1504">
        <v>43160</v>
      </c>
      <c r="O286" s="19">
        <v>985</v>
      </c>
      <c r="P286" s="99">
        <v>1163</v>
      </c>
      <c r="Q286" s="99">
        <v>10537</v>
      </c>
      <c r="R286" s="93">
        <v>2055</v>
      </c>
      <c r="S286" s="93">
        <v>1727</v>
      </c>
      <c r="T286" s="93">
        <v>666</v>
      </c>
      <c r="U286" s="93"/>
      <c r="V286" s="93">
        <v>1554</v>
      </c>
      <c r="W286" s="93">
        <v>3655</v>
      </c>
      <c r="X286" s="93">
        <v>901</v>
      </c>
      <c r="Y286" s="93">
        <v>279</v>
      </c>
      <c r="Z286" s="93">
        <v>1275</v>
      </c>
      <c r="AA286" s="99">
        <v>1025</v>
      </c>
      <c r="AB286" s="132">
        <v>25822</v>
      </c>
      <c r="AC286" s="25">
        <v>219</v>
      </c>
      <c r="AD286" s="97"/>
      <c r="AE286" s="1504">
        <v>43160</v>
      </c>
      <c r="AF286" s="19">
        <v>2230</v>
      </c>
      <c r="AG286" s="99">
        <v>740</v>
      </c>
      <c r="AH286" s="99">
        <v>4026</v>
      </c>
      <c r="AI286" s="93">
        <v>2752</v>
      </c>
      <c r="AJ286" s="93">
        <v>2271</v>
      </c>
      <c r="AK286" s="93">
        <v>1505</v>
      </c>
      <c r="AL286" s="93">
        <v>629</v>
      </c>
      <c r="AM286" s="93">
        <v>2699</v>
      </c>
      <c r="AN286" s="93">
        <v>2787</v>
      </c>
      <c r="AO286" s="93">
        <v>1483</v>
      </c>
      <c r="AP286" s="93">
        <v>834</v>
      </c>
      <c r="AQ286" s="93">
        <v>1991</v>
      </c>
      <c r="AR286" s="99">
        <v>1486</v>
      </c>
      <c r="AS286" s="20">
        <v>25433</v>
      </c>
      <c r="AT286" s="25">
        <v>219</v>
      </c>
      <c r="AU286" s="97"/>
      <c r="AV286" s="1504">
        <v>43160</v>
      </c>
      <c r="AW286" s="19">
        <v>10538</v>
      </c>
      <c r="AX286" s="99">
        <v>3235</v>
      </c>
      <c r="AY286" s="99">
        <v>4709</v>
      </c>
      <c r="AZ286" s="93">
        <v>9351</v>
      </c>
      <c r="BA286" s="93">
        <v>8181</v>
      </c>
      <c r="BB286" s="93">
        <v>4758</v>
      </c>
      <c r="BC286" s="93"/>
      <c r="BD286" s="93">
        <v>11638</v>
      </c>
      <c r="BE286" s="93">
        <v>13498</v>
      </c>
      <c r="BF286" s="93">
        <v>5365</v>
      </c>
      <c r="BG286" s="93">
        <v>3230</v>
      </c>
      <c r="BH286" s="93">
        <v>11240</v>
      </c>
      <c r="BI286" s="99">
        <v>4890</v>
      </c>
      <c r="BJ286" s="20">
        <v>90633</v>
      </c>
      <c r="BK286" s="25">
        <v>219</v>
      </c>
      <c r="BL286" s="97"/>
      <c r="BM286" s="1504">
        <v>43160</v>
      </c>
      <c r="BN286" s="19">
        <v>66.045000000000002</v>
      </c>
      <c r="BO286" s="93">
        <v>1938.6279999999992</v>
      </c>
      <c r="BP286" s="93">
        <v>32.256</v>
      </c>
      <c r="BQ286" s="93">
        <v>786.66399999999999</v>
      </c>
      <c r="BR286" s="93">
        <v>5.2019999999999991</v>
      </c>
      <c r="BS286" s="93">
        <v>225.87299999999996</v>
      </c>
      <c r="BT286" s="93">
        <v>458.54399999999993</v>
      </c>
      <c r="BU286" s="132">
        <v>3513.2119999999995</v>
      </c>
      <c r="BV286" s="25">
        <v>219</v>
      </c>
      <c r="BW286" s="97"/>
      <c r="BX286" s="1504">
        <v>43160</v>
      </c>
      <c r="BY286" s="179">
        <v>531.74199999999996</v>
      </c>
      <c r="BZ286" s="99">
        <v>664.95699999999999</v>
      </c>
      <c r="CA286" s="99">
        <v>561.36699999999996</v>
      </c>
      <c r="CB286" s="99">
        <v>44.861561209440282</v>
      </c>
      <c r="CC286" s="99">
        <v>120.51900000000001</v>
      </c>
      <c r="CD286" s="25">
        <v>219</v>
      </c>
      <c r="CE286" s="97"/>
      <c r="CF286" s="1504">
        <v>43160</v>
      </c>
      <c r="CG286" s="1508">
        <v>2.0313368679999999</v>
      </c>
      <c r="CH286" s="568">
        <v>1324.66</v>
      </c>
      <c r="CI286" s="1708">
        <v>64.1666666666667</v>
      </c>
      <c r="CJ286" s="1509">
        <v>66.45</v>
      </c>
      <c r="CK286" s="1508">
        <v>403.5</v>
      </c>
      <c r="CL286" s="568">
        <v>171.99879200000001</v>
      </c>
      <c r="CM286" s="568">
        <v>0.27513657600000002</v>
      </c>
      <c r="CN286" s="568">
        <v>0.402779104</v>
      </c>
      <c r="CO286" s="568">
        <v>192.16939410000001</v>
      </c>
      <c r="CP286" s="1509">
        <v>4.4394432940000002</v>
      </c>
      <c r="CQ286" s="1708">
        <v>1435.63</v>
      </c>
      <c r="CR286" s="568">
        <v>2.8050000000000002</v>
      </c>
      <c r="CS286" s="568">
        <v>1.7579</v>
      </c>
      <c r="CT286" s="568">
        <v>84.7</v>
      </c>
      <c r="CU286" s="568">
        <v>70.349999999999994</v>
      </c>
      <c r="CV286" s="1709">
        <v>3269.18</v>
      </c>
      <c r="CW286" s="29">
        <v>219</v>
      </c>
      <c r="CX286" s="41">
        <f t="shared" si="239"/>
        <v>2018</v>
      </c>
      <c r="CY286" s="1504">
        <v>43160</v>
      </c>
      <c r="CZ286" s="1916">
        <v>124.84660676272165</v>
      </c>
      <c r="DA286" s="1526">
        <v>71.130145762721654</v>
      </c>
      <c r="DB286" s="1526">
        <v>46.663958000000001</v>
      </c>
      <c r="DC286" s="182">
        <f t="shared" si="277"/>
        <v>669448</v>
      </c>
      <c r="DD286" s="182">
        <f t="shared" si="278"/>
        <v>667702</v>
      </c>
      <c r="DE286" s="182">
        <f t="shared" si="279"/>
        <v>1746</v>
      </c>
      <c r="DF286" s="29">
        <v>219</v>
      </c>
      <c r="DG286" s="1504">
        <v>43160</v>
      </c>
      <c r="DH286" s="181">
        <v>391361</v>
      </c>
      <c r="DI286" s="182">
        <v>4664465</v>
      </c>
      <c r="DJ286" s="182">
        <v>300028</v>
      </c>
      <c r="DK286" s="182">
        <v>17758</v>
      </c>
      <c r="DL286" s="182">
        <v>518883</v>
      </c>
      <c r="DM286" s="182">
        <v>5896</v>
      </c>
      <c r="DN286" s="290">
        <v>1720245</v>
      </c>
      <c r="DO286" s="295">
        <f t="shared" si="282"/>
        <v>7227275</v>
      </c>
      <c r="DP286" s="29">
        <v>219</v>
      </c>
      <c r="DQ286" s="1504">
        <v>43160</v>
      </c>
      <c r="DR286" s="19">
        <v>50511</v>
      </c>
      <c r="DS286" s="93">
        <v>803</v>
      </c>
      <c r="DT286" s="93">
        <v>57088</v>
      </c>
      <c r="DU286" s="93">
        <v>7457</v>
      </c>
      <c r="DV286" s="93">
        <v>32311</v>
      </c>
      <c r="DW286" s="93">
        <v>3179</v>
      </c>
      <c r="DX286" s="1719">
        <v>11694</v>
      </c>
      <c r="DY286" s="29">
        <v>219</v>
      </c>
      <c r="DZ286" s="1504">
        <v>43160</v>
      </c>
      <c r="EA286" s="19"/>
      <c r="EB286" s="93"/>
      <c r="EC286" s="20"/>
      <c r="ED286" s="29"/>
      <c r="EE286" s="1504">
        <v>43160</v>
      </c>
      <c r="EF286" s="179">
        <v>16016</v>
      </c>
      <c r="EG286" s="99">
        <v>20288</v>
      </c>
      <c r="EH286" s="99">
        <f t="shared" si="283"/>
        <v>36304</v>
      </c>
      <c r="EI286" s="221">
        <v>7202</v>
      </c>
      <c r="EJ286" s="99">
        <v>656.23900000000003</v>
      </c>
      <c r="EK286" s="99">
        <v>218.76</v>
      </c>
      <c r="EL286" s="1150">
        <v>5.3760000000000003</v>
      </c>
      <c r="EM286" s="1150">
        <v>8.3520000000000003</v>
      </c>
      <c r="EN286" s="132">
        <v>888.72699999999998</v>
      </c>
      <c r="EO286" s="29">
        <v>219</v>
      </c>
      <c r="EP286" s="1504">
        <v>43160</v>
      </c>
      <c r="EQ286" s="19">
        <v>15120</v>
      </c>
      <c r="ER286" s="93">
        <v>19468</v>
      </c>
      <c r="ES286" s="93">
        <v>34588</v>
      </c>
      <c r="ET286" s="214">
        <v>6196</v>
      </c>
      <c r="EU286" s="93">
        <v>656.23900000000003</v>
      </c>
      <c r="EV286" s="93">
        <v>218.76</v>
      </c>
      <c r="EW286" s="93">
        <v>5.3760000000000003</v>
      </c>
      <c r="EX286" s="93">
        <v>8.3520000000000003</v>
      </c>
      <c r="EY286" s="93">
        <f t="shared" si="280"/>
        <v>888.72699999999998</v>
      </c>
      <c r="EZ286" s="29">
        <v>219</v>
      </c>
      <c r="FA286" s="1504">
        <v>43160</v>
      </c>
      <c r="FB286" s="29">
        <v>896</v>
      </c>
      <c r="FC286" s="29">
        <v>820</v>
      </c>
      <c r="FD286" s="29">
        <f t="shared" si="284"/>
        <v>1716</v>
      </c>
      <c r="FE286" s="29">
        <v>1006</v>
      </c>
      <c r="FF286" s="29">
        <v>0</v>
      </c>
      <c r="FG286" s="29">
        <v>0</v>
      </c>
      <c r="FH286" s="29">
        <v>0</v>
      </c>
      <c r="FI286" s="29">
        <v>0</v>
      </c>
      <c r="FJ286" s="29">
        <v>0</v>
      </c>
      <c r="FK286" s="29">
        <v>219</v>
      </c>
      <c r="FL286" s="1504">
        <v>43160</v>
      </c>
      <c r="FM286" s="19">
        <v>103.65</v>
      </c>
      <c r="FN286" s="93">
        <v>106.15</v>
      </c>
      <c r="FO286" s="93">
        <v>118.73</v>
      </c>
      <c r="FP286" s="93">
        <v>100.47</v>
      </c>
      <c r="FQ286" s="93">
        <v>97.21</v>
      </c>
      <c r="FR286" s="93">
        <v>101.03</v>
      </c>
      <c r="FS286" s="93">
        <v>100.28</v>
      </c>
      <c r="FT286" s="93">
        <v>97.45</v>
      </c>
      <c r="FU286" s="93">
        <v>111.56</v>
      </c>
      <c r="FV286" s="93">
        <v>100.4</v>
      </c>
      <c r="FW286" s="93">
        <v>103.15</v>
      </c>
      <c r="FX286" s="93">
        <v>102.3</v>
      </c>
      <c r="FY286" s="93">
        <v>100.06</v>
      </c>
      <c r="FZ286" s="29">
        <v>219</v>
      </c>
      <c r="GA286" s="1504">
        <v>43160</v>
      </c>
      <c r="GB286" s="19">
        <v>103.65</v>
      </c>
      <c r="GC286" s="93">
        <v>101.08</v>
      </c>
      <c r="GD286" s="93">
        <v>106.25</v>
      </c>
      <c r="GE286" s="93">
        <v>97.42</v>
      </c>
      <c r="GF286" s="93">
        <v>109.89</v>
      </c>
      <c r="GG286" s="99">
        <v>103.21</v>
      </c>
      <c r="GH286" s="93">
        <v>107.91</v>
      </c>
      <c r="GI286" s="93">
        <v>101.89</v>
      </c>
      <c r="GJ286" s="93">
        <v>106.5</v>
      </c>
      <c r="GK286" s="93">
        <v>100.37</v>
      </c>
      <c r="GL286" s="93">
        <v>105.32</v>
      </c>
      <c r="GM286" s="93">
        <v>101.03</v>
      </c>
      <c r="GN286" s="20">
        <v>106.49</v>
      </c>
      <c r="GO286" s="29">
        <v>219</v>
      </c>
      <c r="GP286" s="1504">
        <v>43160</v>
      </c>
      <c r="GQ286" s="181">
        <v>314.69639604798999</v>
      </c>
      <c r="GR286" s="182">
        <v>253.62391824274101</v>
      </c>
      <c r="GS286" s="182">
        <v>238.49748846972599</v>
      </c>
      <c r="GT286" s="182">
        <v>201.24152668066799</v>
      </c>
      <c r="GU286" s="182">
        <v>410.71282078905801</v>
      </c>
      <c r="GV286" s="290">
        <v>1047.92976610344</v>
      </c>
      <c r="GW286" s="181">
        <v>473.22818477470901</v>
      </c>
      <c r="GX286" s="182">
        <v>467.46772419480101</v>
      </c>
      <c r="GY286" s="182">
        <v>541.07422401948895</v>
      </c>
      <c r="GZ286" s="182">
        <v>214.13279002544999</v>
      </c>
      <c r="HA286" s="182">
        <v>184.02447773698199</v>
      </c>
      <c r="HB286" s="290">
        <v>903.77980443415197</v>
      </c>
      <c r="HC286" s="181">
        <v>1789.45153444988</v>
      </c>
      <c r="HD286" s="182">
        <v>2094.7851764777802</v>
      </c>
      <c r="HE286" s="182">
        <v>2214.8019902487699</v>
      </c>
      <c r="HF286" s="182">
        <v>3150</v>
      </c>
      <c r="HG286" s="182">
        <v>2528.1654302189399</v>
      </c>
      <c r="HH286" s="290">
        <v>2648.8492378890401</v>
      </c>
      <c r="HI286" s="19"/>
      <c r="HJ286" s="182">
        <v>913.43875938369797</v>
      </c>
      <c r="HK286" s="182">
        <v>1227.2061885614401</v>
      </c>
      <c r="HL286" s="182">
        <v>826.22455412349996</v>
      </c>
      <c r="HM286" s="182">
        <v>900</v>
      </c>
      <c r="HN286" s="290">
        <v>2438.4729853479998</v>
      </c>
      <c r="HO286" s="324">
        <v>143.95476067416601</v>
      </c>
      <c r="HP286" s="290">
        <v>99.358057852429695</v>
      </c>
      <c r="HQ286" s="295">
        <v>152.73193322386399</v>
      </c>
      <c r="HR286" s="29">
        <v>219</v>
      </c>
      <c r="HS286" s="1504">
        <v>43160</v>
      </c>
      <c r="HT286" s="179">
        <v>256.25</v>
      </c>
      <c r="HU286" s="99">
        <v>308.33334960937498</v>
      </c>
      <c r="HV286" s="99">
        <v>222.929931640625</v>
      </c>
      <c r="HW286" s="99">
        <v>177.88462829589844</v>
      </c>
      <c r="HX286" s="99">
        <v>250</v>
      </c>
      <c r="HY286" s="99">
        <v>249.99999237060547</v>
      </c>
      <c r="HZ286" s="99">
        <v>258.87155532836914</v>
      </c>
      <c r="IA286" s="132">
        <v>227.12419128417969</v>
      </c>
      <c r="IB286" s="179">
        <v>190.11405944824219</v>
      </c>
      <c r="IC286" s="99">
        <v>120.34408950805664</v>
      </c>
      <c r="ID286" s="99">
        <v>155.17240905761719</v>
      </c>
      <c r="IE286" s="99">
        <v>132.32899475097656</v>
      </c>
      <c r="IF286" s="99">
        <v>179.6875</v>
      </c>
      <c r="IG286" s="132">
        <v>139.91713333129883</v>
      </c>
      <c r="IH286" s="179">
        <v>151.31579208374023</v>
      </c>
      <c r="II286" s="99">
        <v>227.77778320312501</v>
      </c>
      <c r="IJ286" s="99">
        <v>185.81080627441406</v>
      </c>
      <c r="IK286" s="99">
        <v>179.60289001464844</v>
      </c>
      <c r="IL286" s="99">
        <v>166.66666412353516</v>
      </c>
      <c r="IM286" s="99">
        <v>156.04839324951172</v>
      </c>
      <c r="IN286" s="99">
        <v>176.67845153808594</v>
      </c>
      <c r="IO286" s="132">
        <v>176.78570556640625</v>
      </c>
      <c r="IP286" s="29">
        <v>219</v>
      </c>
      <c r="IQ286" s="179">
        <v>190.11405944824219</v>
      </c>
      <c r="IR286" s="99">
        <v>120.34408950805664</v>
      </c>
      <c r="IS286" s="99">
        <v>155.17240905761719</v>
      </c>
      <c r="IT286" s="99">
        <v>132.32899475097656</v>
      </c>
      <c r="IU286" s="99">
        <v>179.6875</v>
      </c>
      <c r="IV286" s="132">
        <v>139.91713333129883</v>
      </c>
      <c r="IW286" s="29">
        <v>219</v>
      </c>
      <c r="IX286" s="179">
        <v>362.4999942779541</v>
      </c>
      <c r="IY286" s="99">
        <v>364.58334350585938</v>
      </c>
      <c r="IZ286" s="99">
        <v>433.75</v>
      </c>
      <c r="JA286" s="99">
        <v>375</v>
      </c>
      <c r="JB286" s="99">
        <v>390</v>
      </c>
      <c r="JC286" s="99">
        <v>400</v>
      </c>
      <c r="JD286" s="100">
        <f t="shared" si="276"/>
        <v>340</v>
      </c>
      <c r="JE286" s="132">
        <v>400</v>
      </c>
      <c r="JF286" s="29">
        <v>219</v>
      </c>
      <c r="JG286" s="179">
        <v>200</v>
      </c>
      <c r="JH286" s="99">
        <v>274.9999938964844</v>
      </c>
      <c r="JI286" s="99">
        <v>188.90676116943359</v>
      </c>
      <c r="JJ286" s="99">
        <v>200</v>
      </c>
      <c r="JK286" s="99">
        <v>202.02020263671875</v>
      </c>
      <c r="JL286" s="99">
        <v>209.36320495605469</v>
      </c>
      <c r="JM286" s="99">
        <v>193.06930923461914</v>
      </c>
      <c r="JN286" s="132">
        <v>227.08004760742188</v>
      </c>
      <c r="JO286" s="29">
        <v>219</v>
      </c>
      <c r="JP286" s="179">
        <v>220.32374954223633</v>
      </c>
      <c r="JQ286" s="99">
        <v>150.57106399536133</v>
      </c>
      <c r="JR286" s="99">
        <v>188.88888549804688</v>
      </c>
      <c r="JS286" s="99"/>
      <c r="JT286" s="99">
        <v>194.27403259277344</v>
      </c>
      <c r="JU286" s="132">
        <v>156.3157958984375</v>
      </c>
      <c r="JV286" s="29">
        <v>219</v>
      </c>
      <c r="JW286" s="1504">
        <v>43160</v>
      </c>
      <c r="JX286" s="179"/>
      <c r="JY286" s="99">
        <v>296.3095238095238</v>
      </c>
      <c r="JZ286" s="99">
        <v>263.44186046511629</v>
      </c>
      <c r="KA286" s="99">
        <v>233.91666666666666</v>
      </c>
      <c r="KB286" s="99">
        <v>245.79166666666666</v>
      </c>
      <c r="KC286" s="99">
        <v>253.69565217391306</v>
      </c>
      <c r="KD286" s="132">
        <v>295.5128205128205</v>
      </c>
      <c r="KE286" s="29">
        <v>219</v>
      </c>
      <c r="KF286" s="179"/>
      <c r="KG286" s="100">
        <f t="shared" si="281"/>
        <v>35.249138902085733</v>
      </c>
      <c r="KH286" s="100">
        <f t="shared" si="281"/>
        <v>44.44784156760894</v>
      </c>
      <c r="KI286" s="100">
        <f t="shared" si="281"/>
        <v>44.520148882723753</v>
      </c>
      <c r="KJ286" s="100">
        <f t="shared" si="281"/>
        <v>44.44784156760894</v>
      </c>
      <c r="KK286" s="306">
        <f t="shared" si="281"/>
        <v>48.48280730387151</v>
      </c>
      <c r="KL286" s="29">
        <v>219</v>
      </c>
      <c r="KM286" s="100">
        <f t="shared" si="253"/>
        <v>13.214232671751049</v>
      </c>
      <c r="KN286" s="99">
        <v>19.145833333333332</v>
      </c>
      <c r="KO286" s="99">
        <v>36.85</v>
      </c>
      <c r="KP286" s="99">
        <v>39</v>
      </c>
      <c r="KQ286" s="99">
        <v>25.237500000000001</v>
      </c>
      <c r="KR286" s="132">
        <v>30.482142857142858</v>
      </c>
      <c r="KS286" s="29">
        <v>219</v>
      </c>
      <c r="KT286" s="100">
        <f t="shared" si="254"/>
        <v>40.174626380165044</v>
      </c>
      <c r="KU286" s="99">
        <v>23.904761904761905</v>
      </c>
      <c r="KV286" s="99">
        <v>25.616666666666667</v>
      </c>
      <c r="KW286" s="99">
        <v>23.111111111111111</v>
      </c>
      <c r="KX286" s="99">
        <v>19.204545454545457</v>
      </c>
      <c r="KY286" s="132">
        <v>23.352564102564102</v>
      </c>
      <c r="KZ286" s="29">
        <v>219</v>
      </c>
      <c r="LA286" s="1504">
        <v>43160</v>
      </c>
      <c r="LB286" s="19">
        <v>380</v>
      </c>
      <c r="LC286" s="93">
        <v>610</v>
      </c>
      <c r="LD286" s="93">
        <v>602</v>
      </c>
      <c r="LE286" s="93"/>
      <c r="LF286" s="93">
        <v>526</v>
      </c>
      <c r="LG286" s="93">
        <v>5000</v>
      </c>
      <c r="LH286" s="20">
        <v>2000</v>
      </c>
      <c r="LI286" s="29">
        <v>219</v>
      </c>
      <c r="LJ286" s="19"/>
      <c r="LK286" s="93"/>
      <c r="LL286" s="93"/>
      <c r="LM286" s="93"/>
      <c r="LN286" s="93"/>
      <c r="LO286" s="20"/>
      <c r="LP286" s="29">
        <v>219</v>
      </c>
      <c r="LQ286" s="19"/>
      <c r="LR286" s="93">
        <v>188</v>
      </c>
      <c r="LS286" s="93">
        <v>445</v>
      </c>
      <c r="LT286" s="93">
        <v>535</v>
      </c>
      <c r="LU286" s="93">
        <v>1070</v>
      </c>
      <c r="LV286" s="93"/>
      <c r="LW286" s="93">
        <v>5</v>
      </c>
      <c r="LX286" s="93">
        <v>10</v>
      </c>
      <c r="LY286" s="93">
        <v>60</v>
      </c>
      <c r="LZ286" s="93"/>
      <c r="MA286" s="20"/>
      <c r="MB286" s="29">
        <v>219</v>
      </c>
      <c r="MC286" s="1504">
        <v>43160</v>
      </c>
      <c r="MD286" s="19">
        <v>369.97872862726217</v>
      </c>
      <c r="ME286" s="93">
        <v>333.01111799220001</v>
      </c>
      <c r="MF286" s="93">
        <v>333.01111799220001</v>
      </c>
      <c r="MG286" s="93">
        <v>300.22886108019998</v>
      </c>
      <c r="MH286" s="93">
        <v>70.551229481999997</v>
      </c>
      <c r="MI286" s="93">
        <v>3.0520600789999999</v>
      </c>
      <c r="MJ286" s="93">
        <v>1.5758790820000002</v>
      </c>
      <c r="MK286" s="93">
        <v>176.2819003262</v>
      </c>
      <c r="ML286" s="93">
        <v>45.762441279000001</v>
      </c>
      <c r="MM286" s="93">
        <v>3.0053508320000004</v>
      </c>
      <c r="MN286" s="93">
        <v>32.782256911999994</v>
      </c>
      <c r="MO286" s="93">
        <v>1.6851568660000005</v>
      </c>
      <c r="MP286" s="93">
        <v>6.1693629100000003</v>
      </c>
      <c r="MQ286" s="93">
        <v>0.30413680100000001</v>
      </c>
      <c r="MR286" s="93">
        <v>1.0896086</v>
      </c>
      <c r="MS286" s="93">
        <v>23.533991735000001</v>
      </c>
      <c r="MT286" s="93">
        <v>0</v>
      </c>
      <c r="MU286" s="93">
        <v>36.967610635062172</v>
      </c>
      <c r="MV286" s="93">
        <v>23.242455354062169</v>
      </c>
      <c r="MW286" s="93">
        <v>13.725155280999999</v>
      </c>
      <c r="MX286" s="93">
        <v>462.57433213603156</v>
      </c>
      <c r="MY286" s="93">
        <v>467.57043243903155</v>
      </c>
      <c r="MZ286" s="93">
        <v>360.37150632099997</v>
      </c>
      <c r="NA286" s="93">
        <v>161.96771069499999</v>
      </c>
      <c r="NB286" s="93">
        <v>34.017310192000004</v>
      </c>
      <c r="NC286" s="93">
        <v>31.100721861</v>
      </c>
      <c r="ND286" s="93">
        <v>27.446615908999998</v>
      </c>
      <c r="NE286" s="93">
        <v>3.6541059520000001</v>
      </c>
      <c r="NF286" s="93">
        <v>133.285763573</v>
      </c>
      <c r="NG286" s="93">
        <v>0</v>
      </c>
      <c r="NH286" s="93">
        <v>42.377298884000005</v>
      </c>
      <c r="NI286" s="93">
        <v>0</v>
      </c>
      <c r="NJ286" s="93">
        <v>0</v>
      </c>
      <c r="NK286" s="93">
        <v>107.19892611803157</v>
      </c>
      <c r="NL286" s="93">
        <v>53.610250981</v>
      </c>
      <c r="NM286" s="93">
        <v>0.91275891399999998</v>
      </c>
      <c r="NN286" s="93">
        <v>52.675916223031557</v>
      </c>
      <c r="NO286" s="93">
        <v>-4.9961003030000013</v>
      </c>
      <c r="NP286" s="93">
        <v>-92.595603508769329</v>
      </c>
      <c r="NQ286" s="93">
        <v>-129.56321414383149</v>
      </c>
      <c r="NR286" s="93">
        <v>-45.786576059799955</v>
      </c>
      <c r="NS286" s="93">
        <v>-76.887297920799952</v>
      </c>
      <c r="NT286" s="93">
        <v>-125.30435694276937</v>
      </c>
      <c r="NU286" s="93">
        <v>-162.27196757783153</v>
      </c>
      <c r="NV286" s="93">
        <v>130.96064688196941</v>
      </c>
      <c r="NW286" s="93">
        <v>49.288388014969392</v>
      </c>
      <c r="NX286" s="93">
        <v>57.639611868969389</v>
      </c>
      <c r="NY286" s="93">
        <v>-8.3512238540000006</v>
      </c>
      <c r="NZ286" s="93">
        <v>0</v>
      </c>
      <c r="OA286" s="93">
        <v>81.672258866999996</v>
      </c>
      <c r="OB286" s="93">
        <v>66.499073731799996</v>
      </c>
      <c r="OC286" s="93">
        <v>15.173185135199997</v>
      </c>
      <c r="OD286" s="20">
        <v>0</v>
      </c>
      <c r="OE286" s="29">
        <v>219</v>
      </c>
      <c r="OF286" s="1504">
        <v>43160</v>
      </c>
      <c r="OG286" s="19"/>
      <c r="OH286" s="93">
        <v>494.75071774899993</v>
      </c>
      <c r="OI286" s="93">
        <v>1666.090048408</v>
      </c>
      <c r="OJ286" s="93">
        <v>0.33940256799999996</v>
      </c>
      <c r="OK286" s="93">
        <v>1453.74</v>
      </c>
      <c r="OL286" s="93">
        <v>212.01064584000002</v>
      </c>
      <c r="OM286" s="93">
        <v>2160.840766157</v>
      </c>
      <c r="ON286" s="93">
        <v>1373.8711083190001</v>
      </c>
      <c r="OO286" s="93">
        <v>3534.711874476</v>
      </c>
      <c r="OP286" s="93"/>
      <c r="OQ286" s="93">
        <v>1374.9749899349999</v>
      </c>
      <c r="OR286" s="93">
        <v>175.4779899350001</v>
      </c>
      <c r="OS286" s="93">
        <v>1199.4969999999998</v>
      </c>
      <c r="OT286" s="93">
        <v>2594.6044734740008</v>
      </c>
      <c r="OU286" s="93">
        <v>123.27655343700005</v>
      </c>
      <c r="OV286" s="93">
        <v>-12.915446563000019</v>
      </c>
      <c r="OW286" s="93">
        <v>136.19200000000006</v>
      </c>
      <c r="OX286" s="93">
        <v>2471.3279200370007</v>
      </c>
      <c r="OY286" s="93">
        <v>5.5909200370000001</v>
      </c>
      <c r="OZ286" s="93">
        <v>2465.7370000000005</v>
      </c>
      <c r="PA286" s="93">
        <v>652.16133164500002</v>
      </c>
      <c r="PB286" s="93">
        <v>-217.29374271200012</v>
      </c>
      <c r="PC286" s="20">
        <v>3534.7118744760005</v>
      </c>
      <c r="PD286" s="29">
        <v>219</v>
      </c>
      <c r="PE286" s="19"/>
      <c r="PF286" s="93">
        <v>175.4779899350001</v>
      </c>
      <c r="PG286" s="93">
        <v>944.58743882299996</v>
      </c>
      <c r="PH286" s="93">
        <v>769.10944888799986</v>
      </c>
      <c r="PI286" s="93">
        <v>593.02200000000005</v>
      </c>
      <c r="PJ286" s="93">
        <v>-5.8269116750000194</v>
      </c>
      <c r="PK286" s="93">
        <v>132.61958604699998</v>
      </c>
      <c r="PL286" s="93">
        <v>138.446497722</v>
      </c>
      <c r="PM286" s="93">
        <v>5.5909200370000001</v>
      </c>
      <c r="PN286" s="93">
        <v>1.2769999999999999</v>
      </c>
      <c r="PO286" s="93">
        <v>0</v>
      </c>
      <c r="PP286" s="93">
        <v>2.7649800000000002E-4</v>
      </c>
      <c r="PQ286" s="93">
        <v>4.3136435390000001</v>
      </c>
      <c r="PR286" s="93">
        <v>757.761260171</v>
      </c>
      <c r="PS286" s="93">
        <v>565.70425263699997</v>
      </c>
      <c r="PT286" s="93">
        <v>191.38449664699999</v>
      </c>
      <c r="PU286" s="93">
        <v>0.67251088699999995</v>
      </c>
      <c r="PV286" s="93">
        <v>0</v>
      </c>
      <c r="PW286" s="93">
        <v>0.32063389799999997</v>
      </c>
      <c r="PX286" s="93">
        <v>0</v>
      </c>
      <c r="PY286" s="93">
        <v>0</v>
      </c>
      <c r="PZ286" s="93">
        <v>0.32063389799999997</v>
      </c>
      <c r="QA286" s="93">
        <v>0</v>
      </c>
      <c r="QB286" s="93">
        <v>0</v>
      </c>
      <c r="QC286" s="93">
        <v>0</v>
      </c>
      <c r="QD286" s="93">
        <v>6.422697747</v>
      </c>
      <c r="QE286" s="20">
        <v>3.7594064809999859</v>
      </c>
      <c r="QF286" s="1739">
        <v>219</v>
      </c>
      <c r="QG286" s="19"/>
      <c r="QH286" s="1035">
        <v>1199.4969999999998</v>
      </c>
      <c r="QI286" s="1035">
        <v>1615.586</v>
      </c>
      <c r="QJ286" s="1035">
        <v>-416.08900000000006</v>
      </c>
      <c r="QK286" s="1035">
        <v>260.12900000000002</v>
      </c>
      <c r="QL286" s="1035">
        <v>63.865000000000002</v>
      </c>
      <c r="QM286" s="1035">
        <v>196.26400000000001</v>
      </c>
      <c r="QN286" s="1035">
        <v>0</v>
      </c>
      <c r="QO286" s="1035">
        <v>136.19200000000006</v>
      </c>
      <c r="QP286" s="1035">
        <v>505.12100000000004</v>
      </c>
      <c r="QQ286" s="1035">
        <v>-368.92899999999997</v>
      </c>
      <c r="QR286" s="1035">
        <v>2465.7370000000005</v>
      </c>
      <c r="QS286" s="1035">
        <v>16.186</v>
      </c>
      <c r="QT286" s="1035">
        <v>1.732</v>
      </c>
      <c r="QU286" s="1035">
        <v>130.11199999999999</v>
      </c>
      <c r="QV286" s="1035">
        <v>2317.7070000000003</v>
      </c>
      <c r="QW286" s="93"/>
      <c r="QX286" s="93">
        <v>538.63799999999992</v>
      </c>
      <c r="QY286" s="93">
        <v>1453.74</v>
      </c>
      <c r="QZ286" s="93">
        <v>1373.538</v>
      </c>
      <c r="RA286" s="93">
        <v>0</v>
      </c>
      <c r="RB286" s="93">
        <v>116.441</v>
      </c>
      <c r="RC286" s="93">
        <v>0</v>
      </c>
      <c r="RD286" s="93">
        <v>101.10899999999999</v>
      </c>
      <c r="RE286" s="93">
        <v>0</v>
      </c>
      <c r="RF286" s="93">
        <v>0</v>
      </c>
      <c r="RG286" s="93">
        <v>427.86799999999999</v>
      </c>
      <c r="RH286" s="93">
        <v>50.22100000000006</v>
      </c>
      <c r="RI286" s="93"/>
      <c r="RJ286" s="93"/>
      <c r="RK286" s="93"/>
      <c r="RL286" s="93"/>
      <c r="RM286" s="734"/>
      <c r="RN286" s="29">
        <v>219</v>
      </c>
      <c r="RO286" s="19">
        <v>16</v>
      </c>
      <c r="RP286" s="20">
        <v>156</v>
      </c>
      <c r="RQ286" s="29">
        <v>219</v>
      </c>
      <c r="RR286" s="734">
        <v>4.6883025900000002</v>
      </c>
      <c r="RS286" s="29">
        <v>219</v>
      </c>
      <c r="RT286" s="1504">
        <v>43160</v>
      </c>
      <c r="RU286" s="19">
        <v>885</v>
      </c>
      <c r="RV286" s="20">
        <v>17</v>
      </c>
      <c r="RW286" s="29">
        <v>219</v>
      </c>
      <c r="RX286" s="1504">
        <v>43160</v>
      </c>
      <c r="RY286" s="29"/>
      <c r="RZ286" s="734"/>
      <c r="SA286" s="29"/>
      <c r="SB286" s="29">
        <v>219</v>
      </c>
    </row>
    <row r="287" spans="1:496">
      <c r="A287" s="41">
        <f t="shared" si="238"/>
        <v>2018</v>
      </c>
      <c r="B287" s="1504">
        <v>43191</v>
      </c>
      <c r="C287" s="1813">
        <v>1778</v>
      </c>
      <c r="D287" s="1814">
        <v>26895</v>
      </c>
      <c r="E287" s="1814">
        <v>219</v>
      </c>
      <c r="F287" s="1815">
        <v>438</v>
      </c>
      <c r="G287" s="1814">
        <v>105944</v>
      </c>
      <c r="H287" s="1814">
        <v>41</v>
      </c>
      <c r="I287" s="1814">
        <v>29756</v>
      </c>
      <c r="J287" s="1816">
        <v>20936</v>
      </c>
      <c r="K287" s="1807">
        <v>186007</v>
      </c>
      <c r="L287" s="25">
        <v>220</v>
      </c>
      <c r="M287" s="97"/>
      <c r="N287" s="1504">
        <v>43191</v>
      </c>
      <c r="O287" s="19">
        <v>872</v>
      </c>
      <c r="P287" s="99">
        <v>1281</v>
      </c>
      <c r="Q287" s="100">
        <v>13220.967169283991</v>
      </c>
      <c r="R287" s="93">
        <v>2703</v>
      </c>
      <c r="S287" s="93">
        <v>1721</v>
      </c>
      <c r="T287" s="93">
        <v>1157</v>
      </c>
      <c r="U287" s="93"/>
      <c r="V287" s="93">
        <v>1649</v>
      </c>
      <c r="W287" s="93">
        <v>3858</v>
      </c>
      <c r="X287" s="93">
        <v>961</v>
      </c>
      <c r="Y287" s="93">
        <v>341</v>
      </c>
      <c r="Z287" s="93">
        <v>1535</v>
      </c>
      <c r="AA287" s="99">
        <v>1078</v>
      </c>
      <c r="AB287" s="132">
        <v>30376.967169283991</v>
      </c>
      <c r="AC287" s="25">
        <v>220</v>
      </c>
      <c r="AD287" s="97"/>
      <c r="AE287" s="1504">
        <v>43191</v>
      </c>
      <c r="AF287" s="19">
        <v>1772</v>
      </c>
      <c r="AG287" s="99">
        <v>968</v>
      </c>
      <c r="AH287" s="100">
        <v>4912</v>
      </c>
      <c r="AI287" s="93">
        <v>3475</v>
      </c>
      <c r="AJ287" s="93">
        <v>2963</v>
      </c>
      <c r="AK287" s="93">
        <v>2265</v>
      </c>
      <c r="AL287" s="93">
        <v>715</v>
      </c>
      <c r="AM287" s="93">
        <v>2302</v>
      </c>
      <c r="AN287" s="93">
        <v>4178</v>
      </c>
      <c r="AO287" s="93">
        <v>1991</v>
      </c>
      <c r="AP287" s="93">
        <v>888</v>
      </c>
      <c r="AQ287" s="93">
        <v>2221</v>
      </c>
      <c r="AR287" s="99">
        <v>1106</v>
      </c>
      <c r="AS287" s="20">
        <v>29756</v>
      </c>
      <c r="AT287" s="25">
        <v>220</v>
      </c>
      <c r="AU287" s="97"/>
      <c r="AV287" s="1504">
        <v>43191</v>
      </c>
      <c r="AW287" s="19">
        <v>10077</v>
      </c>
      <c r="AX287" s="99">
        <v>3935</v>
      </c>
      <c r="AY287" s="100">
        <v>4738.8059926200822</v>
      </c>
      <c r="AZ287" s="93">
        <v>12517</v>
      </c>
      <c r="BA287" s="93">
        <v>10051</v>
      </c>
      <c r="BB287" s="93">
        <v>7604</v>
      </c>
      <c r="BC287" s="93"/>
      <c r="BD287" s="93">
        <v>14173</v>
      </c>
      <c r="BE287" s="93">
        <v>13130</v>
      </c>
      <c r="BF287" s="93">
        <v>6104</v>
      </c>
      <c r="BG287" s="93">
        <v>4005</v>
      </c>
      <c r="BH287" s="93">
        <v>11233</v>
      </c>
      <c r="BI287" s="99">
        <v>5504</v>
      </c>
      <c r="BJ287" s="132">
        <v>103071.80599262008</v>
      </c>
      <c r="BK287" s="25">
        <v>220</v>
      </c>
      <c r="BL287" s="97"/>
      <c r="BM287" s="1504">
        <v>43191</v>
      </c>
      <c r="BN287" s="19">
        <v>63.086999999999989</v>
      </c>
      <c r="BO287" s="93">
        <v>2238.1910000000003</v>
      </c>
      <c r="BP287" s="93">
        <v>14.400000000000002</v>
      </c>
      <c r="BQ287" s="93">
        <v>809.16800000000012</v>
      </c>
      <c r="BR287" s="93">
        <v>9.7919999999999998</v>
      </c>
      <c r="BS287" s="93">
        <v>228.87900000000002</v>
      </c>
      <c r="BT287" s="93">
        <v>464.30399999999992</v>
      </c>
      <c r="BU287" s="132">
        <v>3827.8210000000004</v>
      </c>
      <c r="BV287" s="25">
        <v>220</v>
      </c>
      <c r="BW287" s="97"/>
      <c r="BX287" s="1504">
        <v>43191</v>
      </c>
      <c r="BY287" s="179">
        <v>534.34100000000001</v>
      </c>
      <c r="BZ287" s="99">
        <v>664.95699999999999</v>
      </c>
      <c r="CA287" s="99">
        <v>551.68799999999999</v>
      </c>
      <c r="CB287" s="99">
        <v>44.163513844184685</v>
      </c>
      <c r="CC287" s="99">
        <v>121.163</v>
      </c>
      <c r="CD287" s="25">
        <v>220</v>
      </c>
      <c r="CE287" s="97"/>
      <c r="CF287" s="1504">
        <v>43191</v>
      </c>
      <c r="CG287" s="1508">
        <v>2.033541488</v>
      </c>
      <c r="CH287" s="568">
        <v>1334.76</v>
      </c>
      <c r="CI287" s="1708">
        <v>68.793333333333294</v>
      </c>
      <c r="CJ287" s="1509">
        <v>71.63</v>
      </c>
      <c r="CK287" s="1508">
        <v>430.24</v>
      </c>
      <c r="CL287" s="568">
        <v>175.6049008</v>
      </c>
      <c r="CM287" s="568">
        <v>0.26521578600000001</v>
      </c>
      <c r="CN287" s="568">
        <v>0.400950368</v>
      </c>
      <c r="CO287" s="568">
        <v>213.84815939999999</v>
      </c>
      <c r="CP287" s="1509">
        <v>4.3782650890000001</v>
      </c>
      <c r="CQ287" s="1708">
        <v>1444.03</v>
      </c>
      <c r="CR287" s="568">
        <v>2.6850000000000001</v>
      </c>
      <c r="CS287" s="568">
        <v>1.7318</v>
      </c>
      <c r="CT287" s="568">
        <v>88</v>
      </c>
      <c r="CU287" s="568">
        <v>65.75</v>
      </c>
      <c r="CV287" s="1709">
        <v>3188.05</v>
      </c>
      <c r="CW287" s="29">
        <v>220</v>
      </c>
      <c r="CX287" s="41">
        <f t="shared" si="239"/>
        <v>2018</v>
      </c>
      <c r="CY287" s="1504">
        <v>43191</v>
      </c>
      <c r="CZ287" s="1916">
        <v>153.17839197740895</v>
      </c>
      <c r="DA287" s="1526">
        <v>89.153184977408927</v>
      </c>
      <c r="DB287" s="1526">
        <v>54.047938000000002</v>
      </c>
      <c r="DC287" s="182">
        <f t="shared" si="277"/>
        <v>669448</v>
      </c>
      <c r="DD287" s="182">
        <f t="shared" si="278"/>
        <v>667702</v>
      </c>
      <c r="DE287" s="182">
        <f t="shared" si="279"/>
        <v>1746</v>
      </c>
      <c r="DF287" s="29">
        <v>220</v>
      </c>
      <c r="DG287" s="1504">
        <v>43191</v>
      </c>
      <c r="DH287" s="181">
        <v>393025.5</v>
      </c>
      <c r="DI287" s="182">
        <v>4542333</v>
      </c>
      <c r="DJ287" s="182">
        <v>246416</v>
      </c>
      <c r="DK287" s="182">
        <v>21925</v>
      </c>
      <c r="DL287" s="182">
        <v>494320</v>
      </c>
      <c r="DM287" s="182">
        <v>6800</v>
      </c>
      <c r="DN287" s="290">
        <v>1828294</v>
      </c>
      <c r="DO287" s="295">
        <f t="shared" si="282"/>
        <v>7140088</v>
      </c>
      <c r="DP287" s="29">
        <v>220</v>
      </c>
      <c r="DQ287" s="1504">
        <v>43191</v>
      </c>
      <c r="DR287" s="19"/>
      <c r="DS287" s="93"/>
      <c r="DT287" s="93"/>
      <c r="DU287" s="93"/>
      <c r="DV287" s="93"/>
      <c r="DW287" s="93"/>
      <c r="DX287" s="1719"/>
      <c r="DY287" s="29">
        <v>220</v>
      </c>
      <c r="DZ287" s="1504">
        <v>43191</v>
      </c>
      <c r="EA287" s="19"/>
      <c r="EB287" s="93"/>
      <c r="EC287" s="20"/>
      <c r="ED287" s="29"/>
      <c r="EE287" s="1504">
        <v>43191</v>
      </c>
      <c r="EF287" s="179">
        <v>17715</v>
      </c>
      <c r="EG287" s="99">
        <v>20005</v>
      </c>
      <c r="EH287" s="99">
        <f t="shared" si="283"/>
        <v>37720</v>
      </c>
      <c r="EI287" s="221">
        <v>8928</v>
      </c>
      <c r="EJ287" s="99">
        <v>651.81700000000001</v>
      </c>
      <c r="EK287" s="99">
        <v>170.23400000000001</v>
      </c>
      <c r="EL287" s="1150">
        <v>5.8920000000000003</v>
      </c>
      <c r="EM287" s="1150">
        <v>5.4340000000000002</v>
      </c>
      <c r="EN287" s="132">
        <v>833.37700000000007</v>
      </c>
      <c r="EO287" s="29">
        <v>220</v>
      </c>
      <c r="EP287" s="1504">
        <v>43191</v>
      </c>
      <c r="EQ287" s="19">
        <v>15981</v>
      </c>
      <c r="ER287" s="93">
        <v>18423</v>
      </c>
      <c r="ES287" s="93">
        <v>34404</v>
      </c>
      <c r="ET287" s="214">
        <v>7130</v>
      </c>
      <c r="EU287" s="93">
        <v>651.81700000000001</v>
      </c>
      <c r="EV287" s="93">
        <v>170.23400000000001</v>
      </c>
      <c r="EW287" s="93">
        <v>5.8920000000000003</v>
      </c>
      <c r="EX287" s="93">
        <v>5.4340000000000002</v>
      </c>
      <c r="EY287" s="93">
        <f t="shared" si="280"/>
        <v>833.37700000000007</v>
      </c>
      <c r="EZ287" s="29">
        <v>220</v>
      </c>
      <c r="FA287" s="1504">
        <v>43191</v>
      </c>
      <c r="FB287" s="29">
        <v>1734</v>
      </c>
      <c r="FC287" s="29">
        <v>1582</v>
      </c>
      <c r="FD287" s="29">
        <f t="shared" si="284"/>
        <v>3316</v>
      </c>
      <c r="FE287" s="29">
        <v>1798</v>
      </c>
      <c r="FF287" s="29">
        <v>0</v>
      </c>
      <c r="FG287" s="29">
        <v>0</v>
      </c>
      <c r="FH287" s="29">
        <v>0</v>
      </c>
      <c r="FI287" s="29">
        <v>0</v>
      </c>
      <c r="FJ287" s="29">
        <v>0</v>
      </c>
      <c r="FK287" s="29">
        <v>220</v>
      </c>
      <c r="FL287" s="1504">
        <v>43191</v>
      </c>
      <c r="FM287" s="19">
        <v>105.41</v>
      </c>
      <c r="FN287" s="93">
        <v>108.7</v>
      </c>
      <c r="FO287" s="93">
        <v>122.82</v>
      </c>
      <c r="FP287" s="93">
        <v>100.26</v>
      </c>
      <c r="FQ287" s="93">
        <v>98.71</v>
      </c>
      <c r="FR287" s="93">
        <v>101.05</v>
      </c>
      <c r="FS287" s="93">
        <v>100.28</v>
      </c>
      <c r="FT287" s="93">
        <v>97.46</v>
      </c>
      <c r="FU287" s="93">
        <v>111.62</v>
      </c>
      <c r="FV287" s="93">
        <v>104.24</v>
      </c>
      <c r="FW287" s="93">
        <v>103.15</v>
      </c>
      <c r="FX287" s="93">
        <v>102.21</v>
      </c>
      <c r="FY287" s="93">
        <v>100.06</v>
      </c>
      <c r="FZ287" s="29">
        <v>220</v>
      </c>
      <c r="GA287" s="1504">
        <v>43191</v>
      </c>
      <c r="GB287" s="19">
        <v>105.41</v>
      </c>
      <c r="GC287" s="93">
        <v>101.54</v>
      </c>
      <c r="GD287" s="93">
        <v>107.48</v>
      </c>
      <c r="GE287" s="93">
        <v>93.98</v>
      </c>
      <c r="GF287" s="93">
        <v>114.08</v>
      </c>
      <c r="GG287" s="99">
        <v>102.93</v>
      </c>
      <c r="GH287" s="93">
        <v>111.59</v>
      </c>
      <c r="GI287" s="93">
        <v>101.98</v>
      </c>
      <c r="GJ287" s="93">
        <v>103.08</v>
      </c>
      <c r="GK287" s="93">
        <v>100.38</v>
      </c>
      <c r="GL287" s="93">
        <v>107.58</v>
      </c>
      <c r="GM287" s="93">
        <v>101.11</v>
      </c>
      <c r="GN287" s="20">
        <v>103.08</v>
      </c>
      <c r="GO287" s="29">
        <v>220</v>
      </c>
      <c r="GP287" s="1504">
        <v>43191</v>
      </c>
      <c r="GQ287" s="181">
        <v>322.46268096026301</v>
      </c>
      <c r="GR287" s="182">
        <v>250.92764078731599</v>
      </c>
      <c r="GS287" s="182">
        <v>239.58444676161099</v>
      </c>
      <c r="GT287" s="182">
        <v>202.316505797345</v>
      </c>
      <c r="GU287" s="182">
        <v>415.23929700433098</v>
      </c>
      <c r="GV287" s="290">
        <v>1033.1134732698299</v>
      </c>
      <c r="GW287" s="181">
        <v>454.57497353563002</v>
      </c>
      <c r="GX287" s="182">
        <v>470.08540313701798</v>
      </c>
      <c r="GY287" s="182">
        <v>541.07422401948895</v>
      </c>
      <c r="GZ287" s="182">
        <v>306.50877671823997</v>
      </c>
      <c r="HA287" s="182">
        <v>314.42781513289702</v>
      </c>
      <c r="HB287" s="290">
        <v>701.34739524853296</v>
      </c>
      <c r="HC287" s="181">
        <v>1967.6667164374301</v>
      </c>
      <c r="HD287" s="182">
        <v>2518.9260388134098</v>
      </c>
      <c r="HE287" s="182">
        <v>2525.5900991824001</v>
      </c>
      <c r="HF287" s="182">
        <v>3150</v>
      </c>
      <c r="HG287" s="182">
        <v>2490.3502507308299</v>
      </c>
      <c r="HH287" s="290">
        <v>2855.3704701900301</v>
      </c>
      <c r="HI287" s="19"/>
      <c r="HJ287" s="182">
        <v>914.35944417433097</v>
      </c>
      <c r="HK287" s="182">
        <v>1292.07445447696</v>
      </c>
      <c r="HL287" s="182">
        <v>841.50726261918805</v>
      </c>
      <c r="HM287" s="182">
        <v>900</v>
      </c>
      <c r="HN287" s="290">
        <v>2370.78191180762</v>
      </c>
      <c r="HO287" s="324">
        <v>146.277795600785</v>
      </c>
      <c r="HP287" s="290">
        <v>99.463978757606398</v>
      </c>
      <c r="HQ287" s="295">
        <v>152.87522419971199</v>
      </c>
      <c r="HR287" s="29">
        <v>220</v>
      </c>
      <c r="HS287" s="1504">
        <v>43191</v>
      </c>
      <c r="HT287" s="179">
        <v>275</v>
      </c>
      <c r="HU287" s="99">
        <v>298.61112213134766</v>
      </c>
      <c r="HV287" s="99">
        <v>222.50530090332032</v>
      </c>
      <c r="HW287" s="99">
        <v>168.26924133300781</v>
      </c>
      <c r="HX287" s="99">
        <v>250</v>
      </c>
      <c r="HY287" s="99">
        <v>249.99999237060547</v>
      </c>
      <c r="HZ287" s="99">
        <v>256.14796142578126</v>
      </c>
      <c r="IA287" s="132">
        <v>230.71896362304688</v>
      </c>
      <c r="IB287" s="179">
        <v>180.037353515625</v>
      </c>
      <c r="IC287" s="99">
        <v>131.67714233398436</v>
      </c>
      <c r="ID287" s="99">
        <v>155.17240905761719</v>
      </c>
      <c r="IE287" s="99">
        <v>129.33753356933593</v>
      </c>
      <c r="IF287" s="99">
        <v>173.828125</v>
      </c>
      <c r="IG287" s="132">
        <v>145.88889160156251</v>
      </c>
      <c r="IH287" s="179">
        <v>157.89473724365234</v>
      </c>
      <c r="II287" s="99">
        <v>250</v>
      </c>
      <c r="IJ287" s="99">
        <v>185.81080627441406</v>
      </c>
      <c r="IK287" s="99">
        <v>180.50541687011719</v>
      </c>
      <c r="IL287" s="99">
        <v>169.94598579406738</v>
      </c>
      <c r="IM287" s="99">
        <v>155.80645446777345</v>
      </c>
      <c r="IN287" s="99">
        <v>155.80645446777345</v>
      </c>
      <c r="IO287" s="132">
        <v>172.42063293457031</v>
      </c>
      <c r="IP287" s="29">
        <v>220</v>
      </c>
      <c r="IQ287" s="179">
        <v>180.037353515625</v>
      </c>
      <c r="IR287" s="99">
        <v>131.67714233398436</v>
      </c>
      <c r="IS287" s="99">
        <v>155.17240905761719</v>
      </c>
      <c r="IT287" s="99">
        <v>129.33753356933593</v>
      </c>
      <c r="IU287" s="99">
        <v>173.828125</v>
      </c>
      <c r="IV287" s="132">
        <v>145.88889160156251</v>
      </c>
      <c r="IW287" s="29">
        <v>220</v>
      </c>
      <c r="IX287" s="179">
        <v>400</v>
      </c>
      <c r="IY287" s="99">
        <v>435.32986831665039</v>
      </c>
      <c r="IZ287" s="99">
        <v>430.41584472656251</v>
      </c>
      <c r="JA287" s="99">
        <v>375</v>
      </c>
      <c r="JB287" s="99">
        <v>390</v>
      </c>
      <c r="JC287" s="99">
        <v>400</v>
      </c>
      <c r="JD287" s="100">
        <f t="shared" si="276"/>
        <v>340</v>
      </c>
      <c r="JE287" s="132">
        <v>400</v>
      </c>
      <c r="JF287" s="29">
        <v>220</v>
      </c>
      <c r="JG287" s="419">
        <f t="shared" ref="JG287:JN287" si="285">(((JG286/JG285-1)+(JG285/JG284-1))^1/2+1)*JG286</f>
        <v>210.34482758620689</v>
      </c>
      <c r="JH287" s="100">
        <f t="shared" si="285"/>
        <v>306.2870148508573</v>
      </c>
      <c r="JI287" s="100">
        <f t="shared" si="285"/>
        <v>195.34676772503823</v>
      </c>
      <c r="JJ287" s="100">
        <f t="shared" si="285"/>
        <v>210.83333333333334</v>
      </c>
      <c r="JK287" s="100">
        <f t="shared" si="285"/>
        <v>217.21981505002398</v>
      </c>
      <c r="JL287" s="100">
        <f t="shared" si="285"/>
        <v>224.00362615859996</v>
      </c>
      <c r="JM287" s="100">
        <f t="shared" si="285"/>
        <v>198.17829709077193</v>
      </c>
      <c r="JN287" s="306">
        <f t="shared" si="285"/>
        <v>232.66976113627942</v>
      </c>
      <c r="JO287" s="29">
        <v>220</v>
      </c>
      <c r="JP287" s="419">
        <f t="shared" ref="JP287:JU287" si="286">(((JP286/JP285-1)+(JP285/JP284-1))^1/2+1)*JP286</f>
        <v>250.84118667643179</v>
      </c>
      <c r="JQ287" s="100">
        <f t="shared" si="286"/>
        <v>159.01608805567756</v>
      </c>
      <c r="JR287" s="100">
        <f t="shared" si="286"/>
        <v>194.67962485426668</v>
      </c>
      <c r="JS287" s="100"/>
      <c r="JT287" s="100">
        <f t="shared" si="286"/>
        <v>201.13640902725029</v>
      </c>
      <c r="JU287" s="306">
        <f t="shared" si="286"/>
        <v>166.69384591578901</v>
      </c>
      <c r="JV287" s="29">
        <v>220</v>
      </c>
      <c r="JW287" s="1504">
        <v>43191</v>
      </c>
      <c r="JX287" s="179"/>
      <c r="JY287" s="100">
        <f t="shared" ref="JY287:KD287" si="287">(((JY286/JY285-1)+(JY285/JY284-1))^1/2+1)*JY286</f>
        <v>308.94133275993181</v>
      </c>
      <c r="JZ287" s="100">
        <f t="shared" si="287"/>
        <v>264.78051236222876</v>
      </c>
      <c r="KA287" s="100">
        <f t="shared" si="287"/>
        <v>237.1670036948413</v>
      </c>
      <c r="KB287" s="100">
        <f t="shared" si="287"/>
        <v>248.7787496190353</v>
      </c>
      <c r="KC287" s="100">
        <f t="shared" si="287"/>
        <v>273.17618829069227</v>
      </c>
      <c r="KD287" s="306">
        <f t="shared" si="287"/>
        <v>313.04925157613917</v>
      </c>
      <c r="KE287" s="29">
        <v>220</v>
      </c>
      <c r="KF287" s="179"/>
      <c r="KG287" s="100">
        <f t="shared" si="281"/>
        <v>33.350389342573251</v>
      </c>
      <c r="KH287" s="100">
        <f t="shared" si="281"/>
        <v>44.092475323205726</v>
      </c>
      <c r="KI287" s="100">
        <f t="shared" si="281"/>
        <v>43.841758517967271</v>
      </c>
      <c r="KJ287" s="100">
        <f t="shared" si="281"/>
        <v>44.092475323205726</v>
      </c>
      <c r="KK287" s="306">
        <f t="shared" si="281"/>
        <v>46.645259444395585</v>
      </c>
      <c r="KL287" s="29">
        <v>220</v>
      </c>
      <c r="KM287" s="100">
        <f t="shared" si="253"/>
        <v>12.848101103684588</v>
      </c>
      <c r="KN287" s="100">
        <f t="shared" ref="KN287:KR289" si="288">(((KN286/KN285-1)+(KN285/KN284-1))^1/2+1)*KN286</f>
        <v>19.709167247909779</v>
      </c>
      <c r="KO287" s="100">
        <f t="shared" si="288"/>
        <v>39.296550940649105</v>
      </c>
      <c r="KP287" s="100">
        <f t="shared" si="288"/>
        <v>39.37848874096148</v>
      </c>
      <c r="KQ287" s="100">
        <f t="shared" si="288"/>
        <v>26.461801398219581</v>
      </c>
      <c r="KR287" s="306">
        <f t="shared" si="288"/>
        <v>30.585960975108957</v>
      </c>
      <c r="KS287" s="29">
        <v>220</v>
      </c>
      <c r="KT287" s="100">
        <f t="shared" si="254"/>
        <v>41.143126000446614</v>
      </c>
      <c r="KU287" s="100">
        <f t="shared" ref="KU287:KY289" si="289">(((KU286/KU285-1)+(KU285/KU284-1))^1/2+1)*KU286</f>
        <v>24.548978607836577</v>
      </c>
      <c r="KV287" s="100">
        <f t="shared" si="289"/>
        <v>27.339447755068864</v>
      </c>
      <c r="KW287" s="100">
        <f t="shared" si="289"/>
        <v>23.887739486787524</v>
      </c>
      <c r="KX287" s="100">
        <f t="shared" si="289"/>
        <v>19.791501122485677</v>
      </c>
      <c r="KY287" s="100">
        <f t="shared" si="289"/>
        <v>23.291920477917412</v>
      </c>
      <c r="KZ287" s="29">
        <v>220</v>
      </c>
      <c r="LA287" s="1504">
        <v>43191</v>
      </c>
      <c r="LB287" s="19">
        <v>380</v>
      </c>
      <c r="LC287" s="93">
        <v>610</v>
      </c>
      <c r="LD287" s="93">
        <v>602</v>
      </c>
      <c r="LE287" s="93"/>
      <c r="LF287" s="93">
        <v>526</v>
      </c>
      <c r="LG287" s="93">
        <v>5000</v>
      </c>
      <c r="LH287" s="20">
        <v>2000</v>
      </c>
      <c r="LI287" s="29">
        <v>220</v>
      </c>
      <c r="LJ287" s="19"/>
      <c r="LK287" s="93"/>
      <c r="LL287" s="93"/>
      <c r="LM287" s="93"/>
      <c r="LN287" s="93"/>
      <c r="LO287" s="20"/>
      <c r="LP287" s="29">
        <v>220</v>
      </c>
      <c r="LQ287" s="19"/>
      <c r="LR287" s="93">
        <v>188</v>
      </c>
      <c r="LS287" s="93">
        <v>445</v>
      </c>
      <c r="LT287" s="93">
        <v>535</v>
      </c>
      <c r="LU287" s="93">
        <v>1070</v>
      </c>
      <c r="LV287" s="93"/>
      <c r="LW287" s="93">
        <v>5</v>
      </c>
      <c r="LX287" s="93">
        <v>10</v>
      </c>
      <c r="LY287" s="93">
        <v>60</v>
      </c>
      <c r="LZ287" s="93"/>
      <c r="MA287" s="20"/>
      <c r="MB287" s="29">
        <v>220</v>
      </c>
      <c r="MC287" s="1504">
        <v>43191</v>
      </c>
      <c r="MD287" s="19">
        <v>552.00093659196682</v>
      </c>
      <c r="ME287" s="93">
        <v>504.90532351120009</v>
      </c>
      <c r="MF287" s="93">
        <v>504.90532351120009</v>
      </c>
      <c r="MG287" s="93">
        <v>454.36016286320006</v>
      </c>
      <c r="MH287" s="93">
        <v>139.272307544</v>
      </c>
      <c r="MI287" s="93">
        <v>4.0813526749999998</v>
      </c>
      <c r="MJ287" s="93">
        <v>2.065129802</v>
      </c>
      <c r="MK287" s="93">
        <v>241.22390841320004</v>
      </c>
      <c r="ML287" s="93">
        <v>63.790818700000003</v>
      </c>
      <c r="MM287" s="93">
        <v>3.9266457290000001</v>
      </c>
      <c r="MN287" s="93">
        <v>50.545160648000007</v>
      </c>
      <c r="MO287" s="93">
        <v>2.1209683270000004</v>
      </c>
      <c r="MP287" s="93">
        <v>9.7382891360000006</v>
      </c>
      <c r="MQ287" s="93">
        <v>0.39480072500000002</v>
      </c>
      <c r="MR287" s="93">
        <v>8.2866815529999993</v>
      </c>
      <c r="MS287" s="93">
        <v>30.004420906999997</v>
      </c>
      <c r="MT287" s="93">
        <v>0</v>
      </c>
      <c r="MU287" s="93">
        <v>47.09561308076669</v>
      </c>
      <c r="MV287" s="93">
        <v>33.37045779976669</v>
      </c>
      <c r="MW287" s="93">
        <v>13.725155280999999</v>
      </c>
      <c r="MX287" s="93">
        <v>642.07037724526231</v>
      </c>
      <c r="MY287" s="93">
        <v>647.38461808326235</v>
      </c>
      <c r="MZ287" s="93">
        <v>468.54302060100002</v>
      </c>
      <c r="NA287" s="93">
        <v>217.25579977999999</v>
      </c>
      <c r="NB287" s="93">
        <v>52.670917973999998</v>
      </c>
      <c r="NC287" s="93">
        <v>41.801976406000001</v>
      </c>
      <c r="ND287" s="93">
        <v>35.799122355000009</v>
      </c>
      <c r="NE287" s="93">
        <v>6.0028540509999999</v>
      </c>
      <c r="NF287" s="93">
        <v>156.81432644100002</v>
      </c>
      <c r="NG287" s="93">
        <v>0</v>
      </c>
      <c r="NH287" s="93">
        <v>45.059186681999996</v>
      </c>
      <c r="NI287" s="93">
        <v>0</v>
      </c>
      <c r="NJ287" s="93">
        <v>0</v>
      </c>
      <c r="NK287" s="93">
        <v>178.84159748226233</v>
      </c>
      <c r="NL287" s="93">
        <v>102.251690432</v>
      </c>
      <c r="NM287" s="93">
        <v>0.91275891399999998</v>
      </c>
      <c r="NN287" s="93">
        <v>75.677148136262332</v>
      </c>
      <c r="NO287" s="93">
        <v>-5.314240837999999</v>
      </c>
      <c r="NP287" s="93">
        <v>-90.069440653295572</v>
      </c>
      <c r="NQ287" s="93">
        <v>-137.16505373406227</v>
      </c>
      <c r="NR287" s="93">
        <v>-19.685929191799953</v>
      </c>
      <c r="NS287" s="93">
        <v>-61.48790559779993</v>
      </c>
      <c r="NT287" s="93">
        <v>-133.56640650529562</v>
      </c>
      <c r="NU287" s="93">
        <v>-180.66201958606231</v>
      </c>
      <c r="NV287" s="93">
        <v>138.30927185049563</v>
      </c>
      <c r="NW287" s="93">
        <v>58.25668774249565</v>
      </c>
      <c r="NX287" s="93">
        <v>70.51284133649564</v>
      </c>
      <c r="NY287" s="93">
        <v>-12.256153594000001</v>
      </c>
      <c r="NZ287" s="93">
        <v>0</v>
      </c>
      <c r="OA287" s="93">
        <v>80.052584107999991</v>
      </c>
      <c r="OB287" s="93">
        <v>78.180018828799987</v>
      </c>
      <c r="OC287" s="93">
        <v>1.8725652791999969</v>
      </c>
      <c r="OD287" s="20">
        <v>0</v>
      </c>
      <c r="OE287" s="29">
        <v>220</v>
      </c>
      <c r="OF287" s="1504">
        <v>43191</v>
      </c>
      <c r="OG287" s="19"/>
      <c r="OH287" s="93">
        <v>504.11075422199997</v>
      </c>
      <c r="OI287" s="93">
        <v>1659.106201906</v>
      </c>
      <c r="OJ287" s="93">
        <v>0.36344484300000002</v>
      </c>
      <c r="OK287" s="93">
        <v>1444.385</v>
      </c>
      <c r="OL287" s="93">
        <v>214.35775706300001</v>
      </c>
      <c r="OM287" s="93">
        <v>2163.2169561279998</v>
      </c>
      <c r="ON287" s="93">
        <v>1441.1971083190001</v>
      </c>
      <c r="OO287" s="93">
        <v>3604.4140644469999</v>
      </c>
      <c r="OP287" s="93"/>
      <c r="OQ287" s="93">
        <v>1377.32001126</v>
      </c>
      <c r="OR287" s="93">
        <v>255.08201126000006</v>
      </c>
      <c r="OS287" s="93">
        <v>1122.2379999999998</v>
      </c>
      <c r="OT287" s="93">
        <v>2589.6169811579998</v>
      </c>
      <c r="OU287" s="93">
        <v>99.704777217000014</v>
      </c>
      <c r="OV287" s="93">
        <v>1.1217772169999805</v>
      </c>
      <c r="OW287" s="93">
        <v>98.583000000000027</v>
      </c>
      <c r="OX287" s="93">
        <v>2489.9122039409999</v>
      </c>
      <c r="OY287" s="93">
        <v>12.427203941000002</v>
      </c>
      <c r="OZ287" s="93">
        <v>2477.4849999999997</v>
      </c>
      <c r="PA287" s="93">
        <v>616.28834292500005</v>
      </c>
      <c r="PB287" s="93">
        <v>-253.76541495400011</v>
      </c>
      <c r="PC287" s="20">
        <v>3604.4140644469999</v>
      </c>
      <c r="PD287" s="29">
        <v>220</v>
      </c>
      <c r="PE287" s="19"/>
      <c r="PF287" s="93">
        <v>255.08201126000006</v>
      </c>
      <c r="PG287" s="93">
        <v>977.73016975000007</v>
      </c>
      <c r="PH287" s="93">
        <v>722.64815849000001</v>
      </c>
      <c r="PI287" s="93">
        <v>547.15800000000002</v>
      </c>
      <c r="PJ287" s="93">
        <v>7.9725369779999795</v>
      </c>
      <c r="PK287" s="93">
        <v>132.64720674899999</v>
      </c>
      <c r="PL287" s="93">
        <v>124.67466977100001</v>
      </c>
      <c r="PM287" s="93">
        <v>12.427203941000002</v>
      </c>
      <c r="PN287" s="93">
        <v>8.0530000000000008</v>
      </c>
      <c r="PO287" s="93">
        <v>0</v>
      </c>
      <c r="PP287" s="93">
        <v>2.6688100000000001E-4</v>
      </c>
      <c r="PQ287" s="93">
        <v>4.3739370600000003</v>
      </c>
      <c r="PR287" s="93">
        <v>808.44709631699993</v>
      </c>
      <c r="PS287" s="93">
        <v>572.89651398299998</v>
      </c>
      <c r="PT287" s="93">
        <v>234.854029172</v>
      </c>
      <c r="PU287" s="93">
        <v>0.69655316200000006</v>
      </c>
      <c r="PV287" s="93">
        <v>0</v>
      </c>
      <c r="PW287" s="93">
        <v>0.34195283599999998</v>
      </c>
      <c r="PX287" s="93">
        <v>0</v>
      </c>
      <c r="PY287" s="93">
        <v>0</v>
      </c>
      <c r="PZ287" s="93">
        <v>0.34195283599999998</v>
      </c>
      <c r="QA287" s="93">
        <v>0</v>
      </c>
      <c r="QB287" s="93">
        <v>0</v>
      </c>
      <c r="QC287" s="93">
        <v>0</v>
      </c>
      <c r="QD287" s="93">
        <v>7.8803900890000005</v>
      </c>
      <c r="QE287" s="20">
        <v>5.9703129370000001</v>
      </c>
      <c r="QF287" s="1739">
        <v>220</v>
      </c>
      <c r="QG287" s="19"/>
      <c r="QH287" s="1035">
        <v>1122.2379999999998</v>
      </c>
      <c r="QI287" s="1035">
        <v>1559.1959999999999</v>
      </c>
      <c r="QJ287" s="1035">
        <v>-436.95800000000003</v>
      </c>
      <c r="QK287" s="1035">
        <v>299.49099999999999</v>
      </c>
      <c r="QL287" s="1035">
        <v>61.935000000000002</v>
      </c>
      <c r="QM287" s="1035">
        <v>237.55600000000001</v>
      </c>
      <c r="QN287" s="1035">
        <v>0</v>
      </c>
      <c r="QO287" s="1035">
        <v>98.583000000000027</v>
      </c>
      <c r="QP287" s="1035">
        <v>464.23900000000003</v>
      </c>
      <c r="QQ287" s="1035">
        <v>-365.65600000000001</v>
      </c>
      <c r="QR287" s="1035">
        <v>2477.4849999999997</v>
      </c>
      <c r="QS287" s="1035">
        <v>14.768000000000001</v>
      </c>
      <c r="QT287" s="1035">
        <v>2.1459999999999999</v>
      </c>
      <c r="QU287" s="1035">
        <v>154.12299999999999</v>
      </c>
      <c r="QV287" s="1035">
        <v>2306.4479999999999</v>
      </c>
      <c r="QW287" s="93"/>
      <c r="QX287" s="93">
        <v>473.45799999999997</v>
      </c>
      <c r="QY287" s="93">
        <v>1444.385</v>
      </c>
      <c r="QZ287" s="93">
        <v>1440.864</v>
      </c>
      <c r="RA287" s="93">
        <v>0</v>
      </c>
      <c r="RB287" s="93">
        <v>116.059</v>
      </c>
      <c r="RC287" s="93">
        <v>0</v>
      </c>
      <c r="RD287" s="93">
        <v>87.828999999999994</v>
      </c>
      <c r="RE287" s="93">
        <v>0</v>
      </c>
      <c r="RF287" s="93">
        <v>0</v>
      </c>
      <c r="RG287" s="93">
        <v>404.178</v>
      </c>
      <c r="RH287" s="93">
        <v>31.024000000000001</v>
      </c>
      <c r="RI287" s="93"/>
      <c r="RJ287" s="93"/>
      <c r="RK287" s="93"/>
      <c r="RL287" s="93"/>
      <c r="RM287" s="734"/>
      <c r="RN287" s="29">
        <v>220</v>
      </c>
      <c r="RO287" s="19">
        <v>132</v>
      </c>
      <c r="RP287" s="20">
        <v>2160</v>
      </c>
      <c r="RQ287" s="29">
        <v>220</v>
      </c>
      <c r="RR287" s="734">
        <v>3.9783373600000003</v>
      </c>
      <c r="RS287" s="29">
        <v>220</v>
      </c>
      <c r="RT287" s="1504">
        <v>43191</v>
      </c>
      <c r="RU287" s="19">
        <v>776</v>
      </c>
      <c r="RV287" s="20">
        <v>22</v>
      </c>
      <c r="RW287" s="29">
        <v>220</v>
      </c>
      <c r="RX287" s="1504">
        <v>43191</v>
      </c>
      <c r="RY287" s="29"/>
      <c r="RZ287" s="734"/>
      <c r="SA287" s="29"/>
      <c r="SB287" s="29">
        <v>220</v>
      </c>
    </row>
    <row r="288" spans="1:496">
      <c r="A288" s="41">
        <f t="shared" si="238"/>
        <v>2018</v>
      </c>
      <c r="B288" s="1504">
        <v>43221</v>
      </c>
      <c r="C288" s="1813">
        <v>1721</v>
      </c>
      <c r="D288" s="1814">
        <v>29364</v>
      </c>
      <c r="E288" s="1814">
        <v>1584</v>
      </c>
      <c r="F288" s="1815">
        <v>401</v>
      </c>
      <c r="G288" s="1814">
        <v>111506</v>
      </c>
      <c r="H288" s="1814">
        <v>88</v>
      </c>
      <c r="I288" s="1814">
        <v>31011</v>
      </c>
      <c r="J288" s="1816">
        <v>20735</v>
      </c>
      <c r="K288" s="1807">
        <v>196410</v>
      </c>
      <c r="L288" s="25">
        <v>221</v>
      </c>
      <c r="M288" s="97"/>
      <c r="N288" s="1504">
        <v>43221</v>
      </c>
      <c r="O288" s="19">
        <v>835</v>
      </c>
      <c r="P288" s="99">
        <v>1258</v>
      </c>
      <c r="Q288" s="100">
        <v>13961.215480898609</v>
      </c>
      <c r="R288" s="93">
        <v>3136</v>
      </c>
      <c r="S288" s="99">
        <v>2163</v>
      </c>
      <c r="T288" s="93">
        <v>1346</v>
      </c>
      <c r="U288" s="93"/>
      <c r="V288" s="93">
        <v>2459</v>
      </c>
      <c r="W288" s="93">
        <v>4191</v>
      </c>
      <c r="X288" s="93">
        <v>995</v>
      </c>
      <c r="Y288" s="93">
        <v>511</v>
      </c>
      <c r="Z288" s="93">
        <v>1716</v>
      </c>
      <c r="AA288" s="99">
        <v>1197</v>
      </c>
      <c r="AB288" s="132">
        <v>33768.215480898609</v>
      </c>
      <c r="AC288" s="25">
        <v>221</v>
      </c>
      <c r="AD288" s="97"/>
      <c r="AE288" s="1504">
        <v>43221</v>
      </c>
      <c r="AF288" s="19">
        <v>1856</v>
      </c>
      <c r="AG288" s="99">
        <v>753</v>
      </c>
      <c r="AH288" s="100">
        <v>5581</v>
      </c>
      <c r="AI288" s="93">
        <v>3402</v>
      </c>
      <c r="AJ288" s="99">
        <v>2962</v>
      </c>
      <c r="AK288" s="93">
        <v>2325</v>
      </c>
      <c r="AL288" s="93">
        <v>731</v>
      </c>
      <c r="AM288" s="93">
        <v>2993</v>
      </c>
      <c r="AN288" s="93">
        <v>4108</v>
      </c>
      <c r="AO288" s="93">
        <v>1814</v>
      </c>
      <c r="AP288" s="93">
        <v>1141</v>
      </c>
      <c r="AQ288" s="93">
        <v>2437</v>
      </c>
      <c r="AR288" s="99">
        <v>908</v>
      </c>
      <c r="AS288" s="20">
        <v>31011</v>
      </c>
      <c r="AT288" s="25">
        <v>221</v>
      </c>
      <c r="AU288" s="97"/>
      <c r="AV288" s="1504">
        <v>43221</v>
      </c>
      <c r="AW288" s="19">
        <v>8170</v>
      </c>
      <c r="AX288" s="99">
        <v>3366</v>
      </c>
      <c r="AY288" s="100">
        <v>4700.4166230274941</v>
      </c>
      <c r="AZ288" s="93">
        <v>13382</v>
      </c>
      <c r="BA288" s="99">
        <v>10873</v>
      </c>
      <c r="BB288" s="93">
        <v>7371</v>
      </c>
      <c r="BC288" s="93"/>
      <c r="BD288" s="93">
        <v>13906</v>
      </c>
      <c r="BE288" s="93">
        <v>15654</v>
      </c>
      <c r="BF288" s="93">
        <v>6137</v>
      </c>
      <c r="BG288" s="93">
        <v>4564</v>
      </c>
      <c r="BH288" s="93">
        <v>12941</v>
      </c>
      <c r="BI288" s="99">
        <v>4782</v>
      </c>
      <c r="BJ288" s="132">
        <v>105846.4166230275</v>
      </c>
      <c r="BK288" s="25">
        <v>221</v>
      </c>
      <c r="BL288" s="97"/>
      <c r="BM288" s="1504">
        <v>43221</v>
      </c>
      <c r="BN288" s="19">
        <v>77.72399999999999</v>
      </c>
      <c r="BO288" s="93">
        <v>1997.5009999999997</v>
      </c>
      <c r="BP288" s="93">
        <v>25.536000000000001</v>
      </c>
      <c r="BQ288" s="93">
        <v>759.32</v>
      </c>
      <c r="BR288" s="93">
        <v>4.1310000000000002</v>
      </c>
      <c r="BS288" s="93">
        <v>205.20899999999992</v>
      </c>
      <c r="BT288" s="93">
        <v>404.92799999999994</v>
      </c>
      <c r="BU288" s="132">
        <v>3474.3489999999997</v>
      </c>
      <c r="BV288" s="25">
        <v>221</v>
      </c>
      <c r="BW288" s="97"/>
      <c r="BX288" s="1504">
        <v>43221</v>
      </c>
      <c r="BY288" s="179">
        <v>555.33100000000002</v>
      </c>
      <c r="BZ288" s="99">
        <v>664.95699999999999</v>
      </c>
      <c r="CA288" s="99">
        <v>556.84</v>
      </c>
      <c r="CB288" s="99">
        <v>44.385591090784445</v>
      </c>
      <c r="CC288" s="99">
        <v>125.643</v>
      </c>
      <c r="CD288" s="25">
        <v>221</v>
      </c>
      <c r="CE288" s="97"/>
      <c r="CF288" s="1504">
        <v>43221</v>
      </c>
      <c r="CG288" s="1508">
        <v>2.0829249760000002</v>
      </c>
      <c r="CH288" s="568">
        <v>1303.45</v>
      </c>
      <c r="CI288" s="1708">
        <v>73.430000000000007</v>
      </c>
      <c r="CJ288" s="1509">
        <v>76.650000000000006</v>
      </c>
      <c r="CK288" s="1508">
        <v>431.76</v>
      </c>
      <c r="CL288" s="568">
        <v>179.08503200000001</v>
      </c>
      <c r="CM288" s="568">
        <v>0.27227056999999999</v>
      </c>
      <c r="CN288" s="568">
        <v>0.38615719999999998</v>
      </c>
      <c r="CO288" s="568">
        <v>213.84815939999999</v>
      </c>
      <c r="CP288" s="1509">
        <v>4.3200631209999996</v>
      </c>
      <c r="CQ288" s="1708">
        <v>1444.03</v>
      </c>
      <c r="CR288" s="568">
        <v>2.6080000000000001</v>
      </c>
      <c r="CS288" s="568">
        <v>1.6959</v>
      </c>
      <c r="CT288" s="568">
        <v>88</v>
      </c>
      <c r="CU288" s="568">
        <v>66.099999999999994</v>
      </c>
      <c r="CV288" s="1709">
        <v>3059.87</v>
      </c>
      <c r="CW288" s="29">
        <v>221</v>
      </c>
      <c r="CX288" s="41">
        <f t="shared" si="239"/>
        <v>2018</v>
      </c>
      <c r="CY288" s="1504">
        <v>43221</v>
      </c>
      <c r="CZ288" s="1916">
        <v>140.87549452904682</v>
      </c>
      <c r="DA288" s="1526">
        <v>81.0290615290468</v>
      </c>
      <c r="DB288" s="1526">
        <v>50.561776999999999</v>
      </c>
      <c r="DC288" s="182">
        <f t="shared" si="277"/>
        <v>669448</v>
      </c>
      <c r="DD288" s="182">
        <f t="shared" si="278"/>
        <v>667702</v>
      </c>
      <c r="DE288" s="182">
        <f t="shared" si="279"/>
        <v>1746</v>
      </c>
      <c r="DF288" s="29">
        <v>221</v>
      </c>
      <c r="DG288" s="1504">
        <v>43221</v>
      </c>
      <c r="DH288" s="181">
        <v>392896.5</v>
      </c>
      <c r="DI288" s="182">
        <v>4644628</v>
      </c>
      <c r="DJ288" s="182">
        <v>256475</v>
      </c>
      <c r="DK288" s="182">
        <v>20002</v>
      </c>
      <c r="DL288" s="182">
        <v>473397</v>
      </c>
      <c r="DM288" s="182">
        <v>6626</v>
      </c>
      <c r="DN288" s="290">
        <v>1749935</v>
      </c>
      <c r="DO288" s="295">
        <f t="shared" si="282"/>
        <v>7151063</v>
      </c>
      <c r="DP288" s="29">
        <v>221</v>
      </c>
      <c r="DQ288" s="1504">
        <v>43221</v>
      </c>
      <c r="DR288" s="19"/>
      <c r="DS288" s="93"/>
      <c r="DT288" s="93"/>
      <c r="DU288" s="93"/>
      <c r="DV288" s="93"/>
      <c r="DW288" s="93"/>
      <c r="DX288" s="1719"/>
      <c r="DY288" s="29">
        <v>221</v>
      </c>
      <c r="DZ288" s="1504">
        <v>43221</v>
      </c>
      <c r="EA288" s="19"/>
      <c r="EB288" s="93"/>
      <c r="EC288" s="20"/>
      <c r="ED288" s="29"/>
      <c r="EE288" s="1504">
        <v>43221</v>
      </c>
      <c r="EF288" s="179">
        <v>16728</v>
      </c>
      <c r="EG288" s="99">
        <v>17284</v>
      </c>
      <c r="EH288" s="99">
        <f t="shared" si="283"/>
        <v>34012</v>
      </c>
      <c r="EI288" s="221">
        <v>6719</v>
      </c>
      <c r="EJ288" s="99">
        <v>747.75099999999998</v>
      </c>
      <c r="EK288" s="99">
        <v>171.613</v>
      </c>
      <c r="EL288" s="1150">
        <v>3.6339999999999999</v>
      </c>
      <c r="EM288" s="1150">
        <v>8.6839999999999993</v>
      </c>
      <c r="EN288" s="132">
        <v>931.68203000000005</v>
      </c>
      <c r="EO288" s="29">
        <v>221</v>
      </c>
      <c r="EP288" s="1504">
        <v>43221</v>
      </c>
      <c r="EQ288" s="19">
        <v>16221</v>
      </c>
      <c r="ER288" s="93">
        <v>16881</v>
      </c>
      <c r="ES288" s="93">
        <v>33102</v>
      </c>
      <c r="ET288" s="214">
        <v>6155</v>
      </c>
      <c r="EU288" s="93">
        <v>747.75099999999998</v>
      </c>
      <c r="EV288" s="93">
        <v>171.613</v>
      </c>
      <c r="EW288" s="93">
        <v>3.6339999999999999</v>
      </c>
      <c r="EX288" s="93">
        <v>8.6839999999999993</v>
      </c>
      <c r="EY288" s="93">
        <f t="shared" si="280"/>
        <v>931.68200000000002</v>
      </c>
      <c r="EZ288" s="29">
        <v>221</v>
      </c>
      <c r="FA288" s="1504">
        <v>43221</v>
      </c>
      <c r="FB288" s="29">
        <v>507</v>
      </c>
      <c r="FC288" s="29">
        <v>403</v>
      </c>
      <c r="FD288" s="29">
        <f t="shared" si="284"/>
        <v>910</v>
      </c>
      <c r="FE288" s="29">
        <v>564</v>
      </c>
      <c r="FF288" s="29">
        <v>0.03</v>
      </c>
      <c r="FG288" s="29">
        <v>0</v>
      </c>
      <c r="FH288" s="29">
        <v>0</v>
      </c>
      <c r="FI288" s="29">
        <v>0</v>
      </c>
      <c r="FJ288" s="29">
        <v>2.9999999999999997E-5</v>
      </c>
      <c r="FK288" s="29">
        <v>221</v>
      </c>
      <c r="FL288" s="1504">
        <v>43221</v>
      </c>
      <c r="FM288" s="19">
        <v>105.8</v>
      </c>
      <c r="FN288" s="93">
        <v>109.75</v>
      </c>
      <c r="FO288" s="93">
        <v>122.42</v>
      </c>
      <c r="FP288" s="93">
        <v>100.72</v>
      </c>
      <c r="FQ288" s="93">
        <v>96.77</v>
      </c>
      <c r="FR288" s="93">
        <v>101.11</v>
      </c>
      <c r="FS288" s="93">
        <v>100.28</v>
      </c>
      <c r="FT288" s="93">
        <v>97.14</v>
      </c>
      <c r="FU288" s="93">
        <v>111.56</v>
      </c>
      <c r="FV288" s="93">
        <v>104.44</v>
      </c>
      <c r="FW288" s="93">
        <v>103.15</v>
      </c>
      <c r="FX288" s="93">
        <v>102.56</v>
      </c>
      <c r="FY288" s="93">
        <v>100.06</v>
      </c>
      <c r="FZ288" s="29">
        <v>221</v>
      </c>
      <c r="GA288" s="1504">
        <v>43221</v>
      </c>
      <c r="GB288" s="19">
        <v>105.8</v>
      </c>
      <c r="GC288" s="93">
        <v>102.56</v>
      </c>
      <c r="GD288" s="93">
        <v>107.97</v>
      </c>
      <c r="GE288" s="93">
        <v>91.52</v>
      </c>
      <c r="GF288" s="93">
        <v>117.1</v>
      </c>
      <c r="GG288" s="99">
        <v>102.93</v>
      </c>
      <c r="GH288" s="93">
        <v>113.43</v>
      </c>
      <c r="GI288" s="93">
        <v>102.17</v>
      </c>
      <c r="GJ288" s="93">
        <v>102.86</v>
      </c>
      <c r="GK288" s="93">
        <v>100.36</v>
      </c>
      <c r="GL288" s="93">
        <v>108.57</v>
      </c>
      <c r="GM288" s="93">
        <v>101.43</v>
      </c>
      <c r="GN288" s="20">
        <v>102.85</v>
      </c>
      <c r="GO288" s="29">
        <v>221</v>
      </c>
      <c r="GP288" s="1504">
        <v>43221</v>
      </c>
      <c r="GQ288" s="181">
        <v>309.25246518356403</v>
      </c>
      <c r="GR288" s="182">
        <v>240.66228956863799</v>
      </c>
      <c r="GS288" s="182">
        <v>230.163273727828</v>
      </c>
      <c r="GT288" s="182">
        <v>196.66319745547199</v>
      </c>
      <c r="GU288" s="182">
        <v>407.33097283500098</v>
      </c>
      <c r="GV288" s="290">
        <v>985.79366152504099</v>
      </c>
      <c r="GW288" s="181">
        <v>447.88005998461</v>
      </c>
      <c r="GX288" s="182">
        <v>442.63154796986402</v>
      </c>
      <c r="GY288" s="182">
        <v>515.81344243288095</v>
      </c>
      <c r="GZ288" s="182">
        <v>279.88689049126202</v>
      </c>
      <c r="HA288" s="182">
        <v>397.30385800892799</v>
      </c>
      <c r="HB288" s="290">
        <v>746.076640492053</v>
      </c>
      <c r="HC288" s="181">
        <v>2076.1342668184402</v>
      </c>
      <c r="HD288" s="182">
        <v>2322.7045444397399</v>
      </c>
      <c r="HE288" s="182">
        <v>2593.8476300418602</v>
      </c>
      <c r="HF288" s="182">
        <v>3150</v>
      </c>
      <c r="HG288" s="182">
        <v>2697.9913546175799</v>
      </c>
      <c r="HH288" s="290">
        <v>2772.4339545591702</v>
      </c>
      <c r="HI288" s="19"/>
      <c r="HJ288" s="182">
        <v>903.74495286313697</v>
      </c>
      <c r="HK288" s="182">
        <v>1350.27201580786</v>
      </c>
      <c r="HL288" s="182">
        <v>854.11618498651603</v>
      </c>
      <c r="HM288" s="182">
        <v>900</v>
      </c>
      <c r="HN288" s="290">
        <v>2244.1158378658301</v>
      </c>
      <c r="HO288" s="324">
        <v>132.32095352781499</v>
      </c>
      <c r="HP288" s="290">
        <v>95.625570656052702</v>
      </c>
      <c r="HQ288" s="295">
        <v>139.394914044182</v>
      </c>
      <c r="HR288" s="29">
        <v>221</v>
      </c>
      <c r="HS288" s="1504">
        <v>43221</v>
      </c>
      <c r="HT288" s="179">
        <v>275</v>
      </c>
      <c r="HU288" s="99">
        <v>312.50001525878906</v>
      </c>
      <c r="HV288" s="99">
        <v>230.15872192382813</v>
      </c>
      <c r="HW288" s="99">
        <v>173.07693481445313</v>
      </c>
      <c r="HX288" s="99">
        <v>243.9999969482422</v>
      </c>
      <c r="HY288" s="99">
        <v>270.83332633972168</v>
      </c>
      <c r="HZ288" s="99">
        <v>258.16654205322266</v>
      </c>
      <c r="IA288" s="132">
        <v>239.37909317016602</v>
      </c>
      <c r="IB288" s="179">
        <v>176.67845153808594</v>
      </c>
      <c r="IC288" s="99">
        <v>134.22890853881836</v>
      </c>
      <c r="ID288" s="99">
        <v>161.63792419433594</v>
      </c>
      <c r="IE288" s="99">
        <v>141.16718292236328</v>
      </c>
      <c r="IF288" s="99">
        <v>171.875</v>
      </c>
      <c r="IG288" s="132">
        <v>148.14815266927084</v>
      </c>
      <c r="IH288" s="179">
        <v>157.89473724365234</v>
      </c>
      <c r="II288" s="99">
        <v>263.88889312744141</v>
      </c>
      <c r="IJ288" s="99">
        <v>190.03377914428711</v>
      </c>
      <c r="IK288" s="99">
        <v>187.72563171386719</v>
      </c>
      <c r="IL288" s="99">
        <v>176.50462913513184</v>
      </c>
      <c r="IM288" s="99">
        <v>167.74193954467773</v>
      </c>
      <c r="IN288" s="99">
        <v>167.74193954467773</v>
      </c>
      <c r="IO288" s="132">
        <v>170.67773056030273</v>
      </c>
      <c r="IP288" s="29">
        <v>221</v>
      </c>
      <c r="IQ288" s="179">
        <v>176.67845153808594</v>
      </c>
      <c r="IR288" s="99">
        <v>134.22890853881836</v>
      </c>
      <c r="IS288" s="99">
        <v>161.63792419433594</v>
      </c>
      <c r="IT288" s="99">
        <v>141.16718292236328</v>
      </c>
      <c r="IU288" s="99">
        <v>171.875</v>
      </c>
      <c r="IV288" s="132">
        <v>148.14815266927084</v>
      </c>
      <c r="IW288" s="29">
        <v>221</v>
      </c>
      <c r="IX288" s="179">
        <v>400</v>
      </c>
      <c r="IY288" s="99">
        <v>384.54862213134766</v>
      </c>
      <c r="IZ288" s="99">
        <v>435.64356994628906</v>
      </c>
      <c r="JA288" s="99">
        <v>375</v>
      </c>
      <c r="JB288" s="99">
        <v>390</v>
      </c>
      <c r="JC288" s="99">
        <v>400</v>
      </c>
      <c r="JD288" s="100">
        <f t="shared" si="276"/>
        <v>340</v>
      </c>
      <c r="JE288" s="132">
        <v>400</v>
      </c>
      <c r="JF288" s="29">
        <v>221</v>
      </c>
      <c r="JG288" s="419">
        <f t="shared" ref="JG288:JN288" si="290">(((JG287/JG286-1)+(JG286/JG285-1))^1/2+1)*JG287</f>
        <v>215.78478002378122</v>
      </c>
      <c r="JH288" s="100">
        <f t="shared" si="290"/>
        <v>344.77096877661467</v>
      </c>
      <c r="JI288" s="100">
        <f t="shared" si="290"/>
        <v>205.33609624597776</v>
      </c>
      <c r="JJ288" s="100">
        <f t="shared" si="290"/>
        <v>223.5711805555556</v>
      </c>
      <c r="JK288" s="100">
        <f t="shared" si="290"/>
        <v>221.0470185322354</v>
      </c>
      <c r="JL288" s="100">
        <f t="shared" si="290"/>
        <v>231.83572692947743</v>
      </c>
      <c r="JM288" s="100">
        <f t="shared" si="290"/>
        <v>194.4586822075251</v>
      </c>
      <c r="JN288" s="306">
        <f t="shared" si="290"/>
        <v>235.89494690082279</v>
      </c>
      <c r="JO288" s="29">
        <v>221</v>
      </c>
      <c r="JP288" s="419">
        <f t="shared" ref="JP288:JU288" si="291">(((JP287/JP286-1)+(JP286/JP285-1))^1/2+1)*JP287</f>
        <v>274.9713212369158</v>
      </c>
      <c r="JQ288" s="100">
        <f t="shared" si="291"/>
        <v>163.93785012981002</v>
      </c>
      <c r="JR288" s="100">
        <f t="shared" si="291"/>
        <v>196.25303509509547</v>
      </c>
      <c r="JS288" s="100"/>
      <c r="JT288" s="100">
        <f t="shared" si="291"/>
        <v>207.6265386412737</v>
      </c>
      <c r="JU288" s="306">
        <f t="shared" si="291"/>
        <v>175.98118003437736</v>
      </c>
      <c r="JV288" s="29">
        <v>221</v>
      </c>
      <c r="JW288" s="1504">
        <v>43221</v>
      </c>
      <c r="JX288" s="179"/>
      <c r="JY288" s="100">
        <f t="shared" ref="JY288:KD288" si="292">(((JY287/JY286-1)+(JY286/JY285-1))^1/2+1)*JY287</f>
        <v>332.5224307506669</v>
      </c>
      <c r="JZ288" s="100">
        <f t="shared" si="292"/>
        <v>258.40132855914101</v>
      </c>
      <c r="KA288" s="100">
        <f t="shared" si="292"/>
        <v>237.2822906604631</v>
      </c>
      <c r="KB288" s="100">
        <f t="shared" si="292"/>
        <v>260.76596239069647</v>
      </c>
      <c r="KC288" s="100">
        <f t="shared" si="292"/>
        <v>310.227062138939</v>
      </c>
      <c r="KD288" s="306">
        <f t="shared" si="292"/>
        <v>338.75367052365874</v>
      </c>
      <c r="KE288" s="29">
        <v>221</v>
      </c>
      <c r="KF288" s="179"/>
      <c r="KG288" s="100">
        <f t="shared" si="281"/>
        <v>31.675816163990735</v>
      </c>
      <c r="KH288" s="100">
        <f t="shared" si="281"/>
        <v>43.857082001379297</v>
      </c>
      <c r="KI288" s="100">
        <f t="shared" si="281"/>
        <v>42.979396036201663</v>
      </c>
      <c r="KJ288" s="100">
        <f t="shared" si="281"/>
        <v>43.857082001379297</v>
      </c>
      <c r="KK288" s="306">
        <f t="shared" si="281"/>
        <v>44.815964638289927</v>
      </c>
      <c r="KL288" s="29">
        <v>221</v>
      </c>
      <c r="KM288" s="100">
        <f t="shared" si="253"/>
        <v>12.492113706038374</v>
      </c>
      <c r="KN288" s="100">
        <f t="shared" si="288"/>
        <v>18.975705734482126</v>
      </c>
      <c r="KO288" s="100">
        <f t="shared" si="288"/>
        <v>41.137967737598146</v>
      </c>
      <c r="KP288" s="100">
        <f t="shared" si="288"/>
        <v>39.52538378123544</v>
      </c>
      <c r="KQ288" s="100">
        <f t="shared" si="288"/>
        <v>27.398412632043772</v>
      </c>
      <c r="KR288" s="306">
        <f t="shared" si="288"/>
        <v>30.714830622214354</v>
      </c>
      <c r="KS288" s="29">
        <v>221</v>
      </c>
      <c r="KT288" s="100">
        <f t="shared" si="254"/>
        <v>42.134971629987135</v>
      </c>
      <c r="KU288" s="100">
        <f t="shared" si="289"/>
        <v>25.231904543588058</v>
      </c>
      <c r="KV288" s="100">
        <f t="shared" si="289"/>
        <v>28.869667289776991</v>
      </c>
      <c r="KW288" s="100">
        <f t="shared" si="289"/>
        <v>23.156046229610361</v>
      </c>
      <c r="KX288" s="100">
        <f t="shared" si="289"/>
        <v>19.446051666481523</v>
      </c>
      <c r="KY288" s="100">
        <f t="shared" si="289"/>
        <v>23.245316798598235</v>
      </c>
      <c r="KZ288" s="29">
        <v>221</v>
      </c>
      <c r="LA288" s="1504">
        <v>43221</v>
      </c>
      <c r="LB288" s="19">
        <v>380</v>
      </c>
      <c r="LC288" s="93">
        <v>610</v>
      </c>
      <c r="LD288" s="93">
        <v>602</v>
      </c>
      <c r="LE288" s="93"/>
      <c r="LF288" s="93">
        <v>526</v>
      </c>
      <c r="LG288" s="93">
        <v>5000</v>
      </c>
      <c r="LH288" s="20">
        <v>2000</v>
      </c>
      <c r="LI288" s="29">
        <v>221</v>
      </c>
      <c r="LJ288" s="19"/>
      <c r="LK288" s="93"/>
      <c r="LL288" s="93"/>
      <c r="LM288" s="93"/>
      <c r="LN288" s="93"/>
      <c r="LO288" s="20"/>
      <c r="LP288" s="29">
        <v>221</v>
      </c>
      <c r="LQ288" s="19"/>
      <c r="LR288" s="93">
        <v>188</v>
      </c>
      <c r="LS288" s="93">
        <v>445</v>
      </c>
      <c r="LT288" s="93">
        <v>535</v>
      </c>
      <c r="LU288" s="93">
        <v>1070</v>
      </c>
      <c r="LV288" s="93"/>
      <c r="LW288" s="93">
        <v>5</v>
      </c>
      <c r="LX288" s="93">
        <v>10</v>
      </c>
      <c r="LY288" s="93">
        <v>60</v>
      </c>
      <c r="LZ288" s="93"/>
      <c r="MA288" s="20"/>
      <c r="MB288" s="29">
        <v>221</v>
      </c>
      <c r="MC288" s="1504">
        <v>43221</v>
      </c>
      <c r="MD288" s="19">
        <v>674.31984759882766</v>
      </c>
      <c r="ME288" s="93">
        <v>620.98984617140002</v>
      </c>
      <c r="MF288" s="93">
        <v>620.98984617140002</v>
      </c>
      <c r="MG288" s="93">
        <v>555.79065233640006</v>
      </c>
      <c r="MH288" s="93">
        <v>168.69798340299999</v>
      </c>
      <c r="MI288" s="93">
        <v>4.9564746899999994</v>
      </c>
      <c r="MJ288" s="93">
        <v>2.3835556380000003</v>
      </c>
      <c r="MK288" s="93">
        <v>295.91889474840002</v>
      </c>
      <c r="ML288" s="93">
        <v>78.695651493</v>
      </c>
      <c r="MM288" s="93">
        <v>5.1380923640000002</v>
      </c>
      <c r="MN288" s="93">
        <v>65.199193835000003</v>
      </c>
      <c r="MO288" s="93">
        <v>2.4714495580000007</v>
      </c>
      <c r="MP288" s="93">
        <v>11.328594336000004</v>
      </c>
      <c r="MQ288" s="93">
        <v>0.46729589299999996</v>
      </c>
      <c r="MR288" s="93">
        <v>9.7059641849999991</v>
      </c>
      <c r="MS288" s="93">
        <v>41.225889862999999</v>
      </c>
      <c r="MT288" s="93">
        <v>0</v>
      </c>
      <c r="MU288" s="93">
        <v>53.330001427427668</v>
      </c>
      <c r="MV288" s="93">
        <v>39.604846146427668</v>
      </c>
      <c r="MW288" s="93">
        <v>13.725155280999999</v>
      </c>
      <c r="MX288" s="93">
        <v>772.18852986102411</v>
      </c>
      <c r="MY288" s="93">
        <v>778.2504373060242</v>
      </c>
      <c r="MZ288" s="93">
        <v>580.59749986016652</v>
      </c>
      <c r="NA288" s="93">
        <v>276.6064143724999</v>
      </c>
      <c r="NB288" s="93">
        <v>63.110137564666665</v>
      </c>
      <c r="NC288" s="93">
        <v>53.530962975000001</v>
      </c>
      <c r="ND288" s="93">
        <v>41.399806306000002</v>
      </c>
      <c r="NE288" s="93">
        <v>12.131156668999999</v>
      </c>
      <c r="NF288" s="93">
        <v>187.34998494800001</v>
      </c>
      <c r="NG288" s="93">
        <v>0</v>
      </c>
      <c r="NH288" s="93">
        <v>45.900987932</v>
      </c>
      <c r="NI288" s="93">
        <v>0</v>
      </c>
      <c r="NJ288" s="93">
        <v>0</v>
      </c>
      <c r="NK288" s="93">
        <v>197.65293744585753</v>
      </c>
      <c r="NL288" s="93">
        <v>108.63215300399999</v>
      </c>
      <c r="NM288" s="93">
        <v>0.91275891399999998</v>
      </c>
      <c r="NN288" s="93">
        <v>88.108025527857563</v>
      </c>
      <c r="NO288" s="93">
        <v>-6.0619074449999983</v>
      </c>
      <c r="NP288" s="93">
        <v>-97.86868226219643</v>
      </c>
      <c r="NQ288" s="93">
        <v>-151.19868368962406</v>
      </c>
      <c r="NR288" s="93">
        <v>-9.5596951867665645</v>
      </c>
      <c r="NS288" s="93">
        <v>-63.090658161766527</v>
      </c>
      <c r="NT288" s="93">
        <v>-164.79069954119649</v>
      </c>
      <c r="NU288" s="93">
        <v>-218.12070096862416</v>
      </c>
      <c r="NV288" s="93">
        <v>164.37565780842991</v>
      </c>
      <c r="NW288" s="93">
        <v>58.641578039429902</v>
      </c>
      <c r="NX288" s="93">
        <v>76.709330381429879</v>
      </c>
      <c r="NY288" s="93">
        <v>-18.067752341999999</v>
      </c>
      <c r="NZ288" s="93">
        <v>0</v>
      </c>
      <c r="OA288" s="93">
        <v>105.73407976899999</v>
      </c>
      <c r="OB288" s="93">
        <v>81.942063530799999</v>
      </c>
      <c r="OC288" s="93">
        <v>23.792016238199995</v>
      </c>
      <c r="OD288" s="20">
        <v>0</v>
      </c>
      <c r="OE288" s="29">
        <v>221</v>
      </c>
      <c r="OF288" s="1504">
        <v>43221</v>
      </c>
      <c r="OG288" s="19"/>
      <c r="OH288" s="93">
        <v>502.67899937599992</v>
      </c>
      <c r="OI288" s="93">
        <v>1695.2392778340002</v>
      </c>
      <c r="OJ288" s="93">
        <v>0.35265532500000002</v>
      </c>
      <c r="OK288" s="93">
        <v>1477.1550000000002</v>
      </c>
      <c r="OL288" s="93">
        <v>217.731622509</v>
      </c>
      <c r="OM288" s="93">
        <v>2197.9182772100003</v>
      </c>
      <c r="ON288" s="93">
        <v>1426.1201083190001</v>
      </c>
      <c r="OO288" s="93">
        <v>3624.0383855290002</v>
      </c>
      <c r="OP288" s="93"/>
      <c r="OQ288" s="93">
        <v>1415.869067569</v>
      </c>
      <c r="OR288" s="93">
        <v>301.94006756899989</v>
      </c>
      <c r="OS288" s="93">
        <v>1113.9290000000001</v>
      </c>
      <c r="OT288" s="93">
        <v>2618.7031532740002</v>
      </c>
      <c r="OU288" s="93">
        <v>135.27649425700002</v>
      </c>
      <c r="OV288" s="93">
        <v>11.445494256999996</v>
      </c>
      <c r="OW288" s="93">
        <v>123.83100000000002</v>
      </c>
      <c r="OX288" s="93">
        <v>2483.426659017</v>
      </c>
      <c r="OY288" s="93">
        <v>6.3556590170000007</v>
      </c>
      <c r="OZ288" s="93">
        <v>2477.0709999999999</v>
      </c>
      <c r="PA288" s="93">
        <v>615.81612464</v>
      </c>
      <c r="PB288" s="93">
        <v>-205.28228932599995</v>
      </c>
      <c r="PC288" s="20">
        <v>3624.0383855290002</v>
      </c>
      <c r="PD288" s="29">
        <v>221</v>
      </c>
      <c r="PE288" s="19"/>
      <c r="PF288" s="93">
        <v>301.94006756899989</v>
      </c>
      <c r="PG288" s="93">
        <v>1054.0620520309999</v>
      </c>
      <c r="PH288" s="93">
        <v>752.121984462</v>
      </c>
      <c r="PI288" s="93">
        <v>454.74700000000001</v>
      </c>
      <c r="PJ288" s="93">
        <v>15.764273642999996</v>
      </c>
      <c r="PK288" s="93">
        <v>132.67035198799999</v>
      </c>
      <c r="PL288" s="93">
        <v>116.906078345</v>
      </c>
      <c r="PM288" s="93">
        <v>6.3556590170000007</v>
      </c>
      <c r="PN288" s="93">
        <v>1.9319999999999999</v>
      </c>
      <c r="PO288" s="93">
        <v>0</v>
      </c>
      <c r="PP288" s="93">
        <v>0</v>
      </c>
      <c r="PQ288" s="93">
        <v>4.4236590170000003</v>
      </c>
      <c r="PR288" s="93">
        <v>794.97065396099993</v>
      </c>
      <c r="PS288" s="93">
        <v>572.74677876199996</v>
      </c>
      <c r="PT288" s="93">
        <v>221.538111555</v>
      </c>
      <c r="PU288" s="93">
        <v>0.68576364400000001</v>
      </c>
      <c r="PV288" s="93">
        <v>0</v>
      </c>
      <c r="PW288" s="93">
        <v>2.0496799870000002</v>
      </c>
      <c r="PX288" s="93">
        <v>0</v>
      </c>
      <c r="PY288" s="93">
        <v>0</v>
      </c>
      <c r="PZ288" s="93">
        <v>2.0496799870000002</v>
      </c>
      <c r="QA288" s="93">
        <v>0</v>
      </c>
      <c r="QB288" s="93">
        <v>0</v>
      </c>
      <c r="QC288" s="93">
        <v>0</v>
      </c>
      <c r="QD288" s="93">
        <v>9.6094446530000006</v>
      </c>
      <c r="QE288" s="20">
        <v>-27.822778372000002</v>
      </c>
      <c r="QF288" s="1739">
        <v>221</v>
      </c>
      <c r="QG288" s="19"/>
      <c r="QH288" s="1035">
        <v>1113.9290000000001</v>
      </c>
      <c r="QI288" s="1035">
        <v>1559.973</v>
      </c>
      <c r="QJ288" s="1035">
        <v>-446.04399999999998</v>
      </c>
      <c r="QK288" s="1035">
        <v>258.02</v>
      </c>
      <c r="QL288" s="1035">
        <v>65.748999999999995</v>
      </c>
      <c r="QM288" s="1035">
        <v>192.27100000000002</v>
      </c>
      <c r="QN288" s="1035">
        <v>0</v>
      </c>
      <c r="QO288" s="1035">
        <v>123.83100000000002</v>
      </c>
      <c r="QP288" s="1035">
        <v>463.96300000000002</v>
      </c>
      <c r="QQ288" s="1035">
        <v>-340.13200000000001</v>
      </c>
      <c r="QR288" s="1035">
        <v>2477.0709999999999</v>
      </c>
      <c r="QS288" s="1035">
        <v>15.549000000000001</v>
      </c>
      <c r="QT288" s="1035">
        <v>0.14000000000000001</v>
      </c>
      <c r="QU288" s="1035">
        <v>144.589</v>
      </c>
      <c r="QV288" s="1035">
        <v>2316.7930000000001</v>
      </c>
      <c r="QW288" s="93"/>
      <c r="QX288" s="93">
        <v>392.52000000000004</v>
      </c>
      <c r="QY288" s="93">
        <v>1477.1550000000002</v>
      </c>
      <c r="QZ288" s="93">
        <v>1425.7870000000003</v>
      </c>
      <c r="RA288" s="93">
        <v>0</v>
      </c>
      <c r="RB288" s="93">
        <v>114.736</v>
      </c>
      <c r="RC288" s="93">
        <v>0</v>
      </c>
      <c r="RD288" s="93">
        <v>79.225999999999999</v>
      </c>
      <c r="RE288" s="93">
        <v>0</v>
      </c>
      <c r="RF288" s="93">
        <v>0</v>
      </c>
      <c r="RG288" s="93">
        <v>410.19499999999999</v>
      </c>
      <c r="RH288" s="93">
        <v>73.232000000000028</v>
      </c>
      <c r="RI288" s="93"/>
      <c r="RJ288" s="93"/>
      <c r="RK288" s="93"/>
      <c r="RL288" s="93"/>
      <c r="RM288" s="734"/>
      <c r="RN288" s="29">
        <v>221</v>
      </c>
      <c r="RO288" s="19">
        <v>120</v>
      </c>
      <c r="RP288" s="20">
        <v>619</v>
      </c>
      <c r="RQ288" s="29">
        <v>221</v>
      </c>
      <c r="RR288" s="734">
        <v>4.4239591000000003</v>
      </c>
      <c r="RS288" s="29">
        <v>221</v>
      </c>
      <c r="RT288" s="1504">
        <v>43221</v>
      </c>
      <c r="RU288" s="19">
        <v>812</v>
      </c>
      <c r="RV288" s="20">
        <v>21</v>
      </c>
      <c r="RW288" s="29">
        <v>221</v>
      </c>
      <c r="RX288" s="1504">
        <v>43221</v>
      </c>
      <c r="RY288" s="29"/>
      <c r="RZ288" s="734"/>
      <c r="SA288" s="29"/>
      <c r="SB288" s="29">
        <v>221</v>
      </c>
    </row>
    <row r="289" spans="1:496">
      <c r="A289" s="41">
        <f t="shared" si="238"/>
        <v>2018</v>
      </c>
      <c r="B289" s="1504">
        <v>43252</v>
      </c>
      <c r="C289" s="1813">
        <v>1929</v>
      </c>
      <c r="D289" s="1814">
        <v>31142</v>
      </c>
      <c r="E289" s="1814">
        <v>129</v>
      </c>
      <c r="F289" s="1815">
        <v>447</v>
      </c>
      <c r="G289" s="1814">
        <v>116208</v>
      </c>
      <c r="H289" s="1814">
        <v>31</v>
      </c>
      <c r="I289" s="1814">
        <v>32041</v>
      </c>
      <c r="J289" s="1816">
        <v>22008</v>
      </c>
      <c r="K289" s="1807">
        <v>203935</v>
      </c>
      <c r="L289" s="25">
        <v>222</v>
      </c>
      <c r="M289" s="97"/>
      <c r="N289" s="1504">
        <v>43252</v>
      </c>
      <c r="O289" s="19">
        <v>1390</v>
      </c>
      <c r="P289" s="99">
        <v>879</v>
      </c>
      <c r="Q289" s="100">
        <v>14189.567800345409</v>
      </c>
      <c r="R289" s="93">
        <v>1454</v>
      </c>
      <c r="S289" s="99">
        <v>2564</v>
      </c>
      <c r="T289" s="93">
        <v>1499</v>
      </c>
      <c r="U289" s="93"/>
      <c r="V289" s="93">
        <v>2497</v>
      </c>
      <c r="W289" s="93">
        <v>4131</v>
      </c>
      <c r="X289" s="93">
        <v>1306</v>
      </c>
      <c r="Y289" s="93">
        <v>580</v>
      </c>
      <c r="Z289" s="93">
        <v>1377</v>
      </c>
      <c r="AA289" s="100">
        <v>1215.8219342561299</v>
      </c>
      <c r="AB289" s="132">
        <v>33082.389734601536</v>
      </c>
      <c r="AC289" s="25">
        <v>222</v>
      </c>
      <c r="AD289" s="97"/>
      <c r="AE289" s="1504">
        <v>43252</v>
      </c>
      <c r="AF289" s="19">
        <v>2028</v>
      </c>
      <c r="AG289" s="99">
        <v>684</v>
      </c>
      <c r="AH289" s="100">
        <v>6184</v>
      </c>
      <c r="AI289" s="93">
        <v>4271</v>
      </c>
      <c r="AJ289" s="99">
        <v>3293</v>
      </c>
      <c r="AK289" s="93">
        <v>2026</v>
      </c>
      <c r="AL289" s="93">
        <v>785</v>
      </c>
      <c r="AM289" s="93">
        <v>3159</v>
      </c>
      <c r="AN289" s="93">
        <v>3506</v>
      </c>
      <c r="AO289" s="93">
        <v>2212</v>
      </c>
      <c r="AP289" s="93">
        <v>949</v>
      </c>
      <c r="AQ289" s="93">
        <v>1936</v>
      </c>
      <c r="AR289" s="100">
        <v>1008</v>
      </c>
      <c r="AS289" s="20">
        <v>32041</v>
      </c>
      <c r="AT289" s="25">
        <v>222</v>
      </c>
      <c r="AU289" s="97"/>
      <c r="AV289" s="1504">
        <v>43252</v>
      </c>
      <c r="AW289" s="19">
        <v>12477</v>
      </c>
      <c r="AX289" s="99">
        <v>1916</v>
      </c>
      <c r="AY289" s="100">
        <v>4662.3592993182347</v>
      </c>
      <c r="AZ289" s="93">
        <v>9192</v>
      </c>
      <c r="BA289" s="99">
        <v>10763</v>
      </c>
      <c r="BB289" s="93">
        <v>6579</v>
      </c>
      <c r="BC289" s="93"/>
      <c r="BD289" s="93">
        <v>17019</v>
      </c>
      <c r="BE289" s="93">
        <v>15242</v>
      </c>
      <c r="BF289" s="93">
        <v>6771</v>
      </c>
      <c r="BG289" s="93">
        <v>4172</v>
      </c>
      <c r="BH289" s="93">
        <v>10784</v>
      </c>
      <c r="BI289" s="100">
        <v>4847.4696021845411</v>
      </c>
      <c r="BJ289" s="132">
        <v>104424.82890150278</v>
      </c>
      <c r="BK289" s="25">
        <v>222</v>
      </c>
      <c r="BL289" s="97"/>
      <c r="BM289" s="1504">
        <v>43252</v>
      </c>
      <c r="BN289" s="19">
        <v>48.603000000000009</v>
      </c>
      <c r="BO289" s="93">
        <v>1783.5919999999999</v>
      </c>
      <c r="BP289" s="93">
        <v>23.808</v>
      </c>
      <c r="BQ289" s="93">
        <v>752.976</v>
      </c>
      <c r="BR289" s="93">
        <v>1.8360000000000001</v>
      </c>
      <c r="BS289" s="93">
        <v>185.84999999999997</v>
      </c>
      <c r="BT289" s="93">
        <v>352.34399999999994</v>
      </c>
      <c r="BU289" s="132">
        <v>3149.0089999999996</v>
      </c>
      <c r="BV289" s="25">
        <v>222</v>
      </c>
      <c r="BW289" s="97"/>
      <c r="BX289" s="1504">
        <v>43252</v>
      </c>
      <c r="BY289" s="179">
        <v>561.70299999999997</v>
      </c>
      <c r="BZ289" s="99">
        <v>664.95699999999999</v>
      </c>
      <c r="CA289" s="99">
        <v>567.33900000000006</v>
      </c>
      <c r="CB289" s="99">
        <v>42.441510944248051</v>
      </c>
      <c r="CC289" s="99">
        <v>126</v>
      </c>
      <c r="CD289" s="25">
        <v>222</v>
      </c>
      <c r="CE289" s="97"/>
      <c r="CF289" s="1504">
        <v>43252</v>
      </c>
      <c r="CG289" s="1508">
        <v>2.1541342019999998</v>
      </c>
      <c r="CH289" s="568">
        <v>1281.57</v>
      </c>
      <c r="CI289" s="1708">
        <v>71.976666666666702</v>
      </c>
      <c r="CJ289" s="1509">
        <v>75.19</v>
      </c>
      <c r="CK289" s="1508">
        <v>408.6</v>
      </c>
      <c r="CL289" s="568">
        <v>165.07002399999999</v>
      </c>
      <c r="CM289" s="568">
        <v>0.27557749999999998</v>
      </c>
      <c r="CN289" s="568">
        <v>0.38142208</v>
      </c>
      <c r="CO289" s="568">
        <v>219.35970990000001</v>
      </c>
      <c r="CP289" s="1509">
        <v>4.2438935000000004</v>
      </c>
      <c r="CQ289" s="1708">
        <v>1461.87</v>
      </c>
      <c r="CR289" s="568">
        <v>2.5499999999999998</v>
      </c>
      <c r="CS289" s="568">
        <v>1.5603</v>
      </c>
      <c r="CT289" s="568">
        <v>86.8</v>
      </c>
      <c r="CU289" s="568">
        <v>65.040000000000006</v>
      </c>
      <c r="CV289" s="1709">
        <v>3088.57</v>
      </c>
      <c r="CW289" s="29">
        <v>222</v>
      </c>
      <c r="CX289" s="41">
        <f t="shared" si="239"/>
        <v>2018</v>
      </c>
      <c r="CY289" s="1504">
        <v>43252</v>
      </c>
      <c r="CZ289" s="1916">
        <v>139.82304604993146</v>
      </c>
      <c r="DA289" s="1526">
        <v>83.649485049931471</v>
      </c>
      <c r="DB289" s="1526">
        <v>47.352321000000003</v>
      </c>
      <c r="DC289" s="182">
        <f t="shared" si="277"/>
        <v>669448</v>
      </c>
      <c r="DD289" s="182">
        <f t="shared" si="278"/>
        <v>667702</v>
      </c>
      <c r="DE289" s="182">
        <f t="shared" si="279"/>
        <v>1746</v>
      </c>
      <c r="DF289" s="29">
        <v>222</v>
      </c>
      <c r="DG289" s="1504">
        <v>43252</v>
      </c>
      <c r="DH289" s="181">
        <v>393213</v>
      </c>
      <c r="DI289" s="182">
        <v>4043942</v>
      </c>
      <c r="DJ289" s="182">
        <v>229448</v>
      </c>
      <c r="DK289" s="182">
        <v>16480</v>
      </c>
      <c r="DL289" s="182">
        <v>502657</v>
      </c>
      <c r="DM289" s="182">
        <v>6779</v>
      </c>
      <c r="DN289" s="290">
        <v>1543773</v>
      </c>
      <c r="DO289" s="295">
        <f t="shared" si="282"/>
        <v>6343079</v>
      </c>
      <c r="DP289" s="29">
        <v>222</v>
      </c>
      <c r="DQ289" s="1504">
        <v>43252</v>
      </c>
      <c r="DR289" s="19">
        <v>43510</v>
      </c>
      <c r="DS289" s="93">
        <v>550</v>
      </c>
      <c r="DT289" s="93">
        <v>57071</v>
      </c>
      <c r="DU289" s="93">
        <v>4985</v>
      </c>
      <c r="DV289" s="93">
        <v>22646</v>
      </c>
      <c r="DW289" s="93">
        <v>2369</v>
      </c>
      <c r="DX289" s="1719">
        <v>12740</v>
      </c>
      <c r="DY289" s="29">
        <v>222</v>
      </c>
      <c r="DZ289" s="1504">
        <v>43252</v>
      </c>
      <c r="EA289" s="19"/>
      <c r="EB289" s="93"/>
      <c r="EC289" s="20"/>
      <c r="ED289" s="29"/>
      <c r="EE289" s="1504">
        <v>43252</v>
      </c>
      <c r="EF289" s="179">
        <v>18514</v>
      </c>
      <c r="EG289" s="99">
        <v>18880</v>
      </c>
      <c r="EH289" s="99">
        <f t="shared" si="283"/>
        <v>37394</v>
      </c>
      <c r="EI289" s="221">
        <v>6706</v>
      </c>
      <c r="EJ289" s="99">
        <v>648.97299999999996</v>
      </c>
      <c r="EK289" s="99">
        <v>110.17</v>
      </c>
      <c r="EL289" s="1150">
        <v>5.85</v>
      </c>
      <c r="EM289" s="1150">
        <v>4.3659999999999997</v>
      </c>
      <c r="EN289" s="132">
        <v>769.35899999999992</v>
      </c>
      <c r="EO289" s="29">
        <v>222</v>
      </c>
      <c r="EP289" s="1504">
        <v>43252</v>
      </c>
      <c r="EQ289" s="19">
        <v>18061</v>
      </c>
      <c r="ER289" s="93">
        <v>18482</v>
      </c>
      <c r="ES289" s="93">
        <v>36543</v>
      </c>
      <c r="ET289" s="214">
        <v>6134</v>
      </c>
      <c r="EU289" s="93">
        <v>648.97299999999996</v>
      </c>
      <c r="EV289" s="93">
        <v>110.17</v>
      </c>
      <c r="EW289" s="93">
        <v>5.85</v>
      </c>
      <c r="EX289" s="93">
        <v>4.3659999999999997</v>
      </c>
      <c r="EY289" s="93">
        <f t="shared" si="280"/>
        <v>769.35899999999992</v>
      </c>
      <c r="EZ289" s="29">
        <v>222</v>
      </c>
      <c r="FA289" s="1504">
        <v>43252</v>
      </c>
      <c r="FB289" s="29">
        <v>453</v>
      </c>
      <c r="FC289" s="29">
        <v>398</v>
      </c>
      <c r="FD289" s="29">
        <f t="shared" si="284"/>
        <v>851</v>
      </c>
      <c r="FE289" s="29">
        <v>572</v>
      </c>
      <c r="FF289" s="29">
        <v>0</v>
      </c>
      <c r="FG289" s="29">
        <v>0</v>
      </c>
      <c r="FH289" s="29">
        <v>0</v>
      </c>
      <c r="FI289" s="29">
        <v>0</v>
      </c>
      <c r="FJ289" s="29">
        <v>0</v>
      </c>
      <c r="FK289" s="29">
        <v>222</v>
      </c>
      <c r="FL289" s="1504">
        <v>43252</v>
      </c>
      <c r="FM289" s="19">
        <v>107.2</v>
      </c>
      <c r="FN289" s="93">
        <v>112.12</v>
      </c>
      <c r="FO289" s="93">
        <v>128.72999999999999</v>
      </c>
      <c r="FP289" s="93">
        <v>100.72</v>
      </c>
      <c r="FQ289" s="93">
        <v>96.88</v>
      </c>
      <c r="FR289" s="93">
        <v>101.16</v>
      </c>
      <c r="FS289" s="93">
        <v>100.28</v>
      </c>
      <c r="FT289" s="93">
        <v>97.14</v>
      </c>
      <c r="FU289" s="93">
        <v>111.56</v>
      </c>
      <c r="FV289" s="93">
        <v>104.44</v>
      </c>
      <c r="FW289" s="93">
        <v>103.15</v>
      </c>
      <c r="FX289" s="93">
        <v>102.91</v>
      </c>
      <c r="FY289" s="93">
        <v>100.06</v>
      </c>
      <c r="FZ289" s="29">
        <v>222</v>
      </c>
      <c r="GA289" s="1504">
        <v>43252</v>
      </c>
      <c r="GB289" s="19">
        <v>107.2</v>
      </c>
      <c r="GC289" s="93">
        <v>102.14</v>
      </c>
      <c r="GD289" s="93">
        <v>109.97</v>
      </c>
      <c r="GE289" s="93">
        <v>91.8</v>
      </c>
      <c r="GF289" s="93">
        <v>120.65</v>
      </c>
      <c r="GG289" s="99">
        <v>103.35</v>
      </c>
      <c r="GH289" s="93">
        <v>116.06</v>
      </c>
      <c r="GI289" s="93">
        <v>102.78</v>
      </c>
      <c r="GJ289" s="93">
        <v>102.99</v>
      </c>
      <c r="GK289" s="93">
        <v>100.44</v>
      </c>
      <c r="GL289" s="93">
        <v>110.45</v>
      </c>
      <c r="GM289" s="93">
        <v>101.43</v>
      </c>
      <c r="GN289" s="20">
        <v>102.99</v>
      </c>
      <c r="GO289" s="29">
        <v>222</v>
      </c>
      <c r="GP289" s="1504">
        <v>43252</v>
      </c>
      <c r="GQ289" s="181">
        <v>322.47324664231502</v>
      </c>
      <c r="GR289" s="182">
        <v>254.77453958794399</v>
      </c>
      <c r="GS289" s="182">
        <v>246.39363088515501</v>
      </c>
      <c r="GT289" s="182">
        <v>218.85913195976201</v>
      </c>
      <c r="GU289" s="182">
        <v>418.81426278490898</v>
      </c>
      <c r="GV289" s="290">
        <v>976.83250640439303</v>
      </c>
      <c r="GW289" s="181">
        <v>450.520622752306</v>
      </c>
      <c r="GX289" s="182">
        <v>453.44716420140901</v>
      </c>
      <c r="GY289" s="182">
        <v>536.17011136765598</v>
      </c>
      <c r="GZ289" s="182">
        <v>379.52058192727299</v>
      </c>
      <c r="HA289" s="182">
        <v>707.43675528063704</v>
      </c>
      <c r="HB289" s="290">
        <v>851.37256193050302</v>
      </c>
      <c r="HC289" s="181">
        <v>1906.15908843016</v>
      </c>
      <c r="HD289" s="182">
        <v>2014.0772465763</v>
      </c>
      <c r="HE289" s="182">
        <v>2387.6495207501998</v>
      </c>
      <c r="HF289" s="182">
        <v>3150</v>
      </c>
      <c r="HG289" s="182">
        <v>3074.1529359773699</v>
      </c>
      <c r="HH289" s="290">
        <v>2890.9544440350901</v>
      </c>
      <c r="HI289" s="19"/>
      <c r="HJ289" s="182">
        <v>900.61306033265203</v>
      </c>
      <c r="HK289" s="182">
        <v>1526.7183615372001</v>
      </c>
      <c r="HL289" s="182">
        <v>984.14479311609205</v>
      </c>
      <c r="HM289" s="182">
        <v>900</v>
      </c>
      <c r="HN289" s="290">
        <v>2040.2976652976499</v>
      </c>
      <c r="HO289" s="324">
        <v>129.59340226947299</v>
      </c>
      <c r="HP289" s="290">
        <v>99.748749602883507</v>
      </c>
      <c r="HQ289" s="295">
        <v>147.30531968185201</v>
      </c>
      <c r="HR289" s="29">
        <v>222</v>
      </c>
      <c r="HS289" s="1504">
        <v>43252</v>
      </c>
      <c r="HT289" s="179">
        <v>275</v>
      </c>
      <c r="HU289" s="99">
        <v>327.77778930664061</v>
      </c>
      <c r="HV289" s="99">
        <v>238.09523010253906</v>
      </c>
      <c r="HW289" s="99">
        <v>173.07693481445313</v>
      </c>
      <c r="HX289" s="99">
        <v>233.33332824707031</v>
      </c>
      <c r="HY289" s="99">
        <v>277.77777099609375</v>
      </c>
      <c r="HZ289" s="99">
        <v>268.06806182861328</v>
      </c>
      <c r="IA289" s="132">
        <v>237.74510955810547</v>
      </c>
      <c r="IB289" s="179">
        <v>173.04807027180991</v>
      </c>
      <c r="IC289" s="99">
        <v>136.62413024902344</v>
      </c>
      <c r="ID289" s="99">
        <v>166.66665649414063</v>
      </c>
      <c r="IE289" s="99">
        <v>146.57980346679688</v>
      </c>
      <c r="IF289" s="99">
        <v>178.04939651489258</v>
      </c>
      <c r="IG289" s="132">
        <v>157.20339202880859</v>
      </c>
      <c r="IH289" s="179">
        <v>164.47368240356445</v>
      </c>
      <c r="II289" s="99">
        <v>250</v>
      </c>
      <c r="IJ289" s="99">
        <v>203.21804809570313</v>
      </c>
      <c r="IK289" s="99">
        <v>188.00767135620117</v>
      </c>
      <c r="IL289" s="99">
        <v>179.78395080566406</v>
      </c>
      <c r="IM289" s="99">
        <v>175.00000762939453</v>
      </c>
      <c r="IN289" s="99">
        <v>175.00000762939453</v>
      </c>
      <c r="IO289" s="132">
        <v>171.47591018676758</v>
      </c>
      <c r="IP289" s="29">
        <v>222</v>
      </c>
      <c r="IQ289" s="179">
        <v>173.04807027180991</v>
      </c>
      <c r="IR289" s="99">
        <v>136.62413024902344</v>
      </c>
      <c r="IS289" s="99">
        <v>166.66665649414063</v>
      </c>
      <c r="IT289" s="99">
        <v>146.57980346679688</v>
      </c>
      <c r="IU289" s="99">
        <v>178.04939651489258</v>
      </c>
      <c r="IV289" s="132">
        <v>157.20339202880859</v>
      </c>
      <c r="IW289" s="29">
        <v>222</v>
      </c>
      <c r="IX289" s="179">
        <v>400</v>
      </c>
      <c r="IY289" s="99">
        <v>383.33334350585938</v>
      </c>
      <c r="IZ289" s="99">
        <v>433.16831970214844</v>
      </c>
      <c r="JA289" s="99">
        <v>375</v>
      </c>
      <c r="JB289" s="99">
        <v>392</v>
      </c>
      <c r="JC289" s="99">
        <v>400</v>
      </c>
      <c r="JD289" s="100">
        <f t="shared" si="276"/>
        <v>340</v>
      </c>
      <c r="JE289" s="132">
        <v>370.68963623046875</v>
      </c>
      <c r="JF289" s="29">
        <v>222</v>
      </c>
      <c r="JG289" s="419">
        <f t="shared" ref="JG289:JN289" si="293">(((JG288/JG287-1)+(JG287/JG286-1))^1/2+1)*JG288</f>
        <v>224.15574131780721</v>
      </c>
      <c r="JH289" s="100">
        <f t="shared" si="293"/>
        <v>386.04310356892364</v>
      </c>
      <c r="JI289" s="100">
        <f t="shared" si="293"/>
        <v>214.08621851357296</v>
      </c>
      <c r="JJ289" s="100">
        <f t="shared" si="293"/>
        <v>236.37994610821767</v>
      </c>
      <c r="JK289" s="100">
        <f t="shared" si="293"/>
        <v>231.30991285549442</v>
      </c>
      <c r="JL289" s="100">
        <f t="shared" si="293"/>
        <v>243.99464243503959</v>
      </c>
      <c r="JM289" s="100">
        <f t="shared" si="293"/>
        <v>195.20665823003699</v>
      </c>
      <c r="JN289" s="306">
        <f t="shared" si="293"/>
        <v>240.43324179308667</v>
      </c>
      <c r="JO289" s="29">
        <v>222</v>
      </c>
      <c r="JP289" s="419">
        <f t="shared" ref="JP289:JU289" si="294">(((JP288/JP287-1)+(JP287/JP286-1))^1/2+1)*JP288</f>
        <v>307.2403951871857</v>
      </c>
      <c r="JQ289" s="100">
        <f t="shared" si="294"/>
        <v>171.07225979576336</v>
      </c>
      <c r="JR289" s="100">
        <f t="shared" si="294"/>
        <v>200.05434891959723</v>
      </c>
      <c r="JS289" s="100"/>
      <c r="JT289" s="100">
        <f t="shared" si="294"/>
        <v>214.64332763831763</v>
      </c>
      <c r="JU289" s="306">
        <f t="shared" si="294"/>
        <v>186.72540143156778</v>
      </c>
      <c r="JV289" s="29">
        <v>222</v>
      </c>
      <c r="JW289" s="1504">
        <v>43252</v>
      </c>
      <c r="JX289" s="179"/>
      <c r="JY289" s="100">
        <f t="shared" ref="JY289:KD289" si="295">(((JY288/JY287-1)+(JY287/JY286-1))^1/2+1)*JY288</f>
        <v>352.3007280883287</v>
      </c>
      <c r="JZ289" s="100">
        <f t="shared" si="295"/>
        <v>255.94510089450208</v>
      </c>
      <c r="KA289" s="100">
        <f t="shared" si="295"/>
        <v>238.9885138177934</v>
      </c>
      <c r="KB289" s="100">
        <f t="shared" si="295"/>
        <v>268.63289817020058</v>
      </c>
      <c r="KC289" s="100">
        <f t="shared" si="295"/>
        <v>343.17581086704786</v>
      </c>
      <c r="KD289" s="306">
        <f t="shared" si="295"/>
        <v>362.71239544187995</v>
      </c>
      <c r="KE289" s="29">
        <v>222</v>
      </c>
      <c r="KF289" s="179"/>
      <c r="KG289" s="100">
        <f t="shared" si="281"/>
        <v>30.027437499962044</v>
      </c>
      <c r="KH289" s="100">
        <f t="shared" si="281"/>
        <v>43.564692156534825</v>
      </c>
      <c r="KI289" s="100">
        <f t="shared" si="281"/>
        <v>42.229239762997338</v>
      </c>
      <c r="KJ289" s="100">
        <f t="shared" si="281"/>
        <v>43.564692156534825</v>
      </c>
      <c r="KK289" s="306">
        <f t="shared" si="281"/>
        <v>43.087901722021449</v>
      </c>
      <c r="KL289" s="29">
        <v>222</v>
      </c>
      <c r="KM289" s="100">
        <f t="shared" si="253"/>
        <v>12.145989971584754</v>
      </c>
      <c r="KN289" s="100">
        <f t="shared" si="288"/>
        <v>18.901786679253231</v>
      </c>
      <c r="KO289" s="100">
        <f t="shared" si="288"/>
        <v>43.467439254208372</v>
      </c>
      <c r="KP289" s="100">
        <f t="shared" si="288"/>
        <v>39.790899038507121</v>
      </c>
      <c r="KQ289" s="100">
        <f t="shared" si="288"/>
        <v>28.547858782508641</v>
      </c>
      <c r="KR289" s="306">
        <f t="shared" si="288"/>
        <v>30.831842243586998</v>
      </c>
      <c r="KS289" s="29">
        <v>222</v>
      </c>
      <c r="KT289" s="100">
        <f t="shared" si="254"/>
        <v>43.150728829189894</v>
      </c>
      <c r="KU289" s="100">
        <f t="shared" si="289"/>
        <v>25.922857777512167</v>
      </c>
      <c r="KV289" s="100">
        <f t="shared" si="289"/>
        <v>30.64837762437373</v>
      </c>
      <c r="KW289" s="100">
        <f t="shared" si="289"/>
        <v>23.19047485414956</v>
      </c>
      <c r="KX289" s="100">
        <f t="shared" si="289"/>
        <v>19.573510206971044</v>
      </c>
      <c r="KY289" s="100">
        <f t="shared" si="289"/>
        <v>23.191879023912829</v>
      </c>
      <c r="KZ289" s="29">
        <v>222</v>
      </c>
      <c r="LA289" s="1504">
        <v>43252</v>
      </c>
      <c r="LB289" s="19">
        <v>380</v>
      </c>
      <c r="LC289" s="93">
        <v>610</v>
      </c>
      <c r="LD289" s="93">
        <v>602</v>
      </c>
      <c r="LE289" s="93"/>
      <c r="LF289" s="93">
        <v>526</v>
      </c>
      <c r="LG289" s="93">
        <v>5000</v>
      </c>
      <c r="LH289" s="20">
        <v>2000</v>
      </c>
      <c r="LI289" s="29">
        <v>222</v>
      </c>
      <c r="LJ289" s="19"/>
      <c r="LK289" s="93"/>
      <c r="LL289" s="93"/>
      <c r="LM289" s="93"/>
      <c r="LN289" s="93"/>
      <c r="LO289" s="20"/>
      <c r="LP289" s="29">
        <v>222</v>
      </c>
      <c r="LQ289" s="19"/>
      <c r="LR289" s="93">
        <v>188</v>
      </c>
      <c r="LS289" s="93">
        <v>445</v>
      </c>
      <c r="LT289" s="93">
        <v>535</v>
      </c>
      <c r="LU289" s="93">
        <v>1070</v>
      </c>
      <c r="LV289" s="93"/>
      <c r="LW289" s="93">
        <v>5</v>
      </c>
      <c r="LX289" s="93">
        <v>10</v>
      </c>
      <c r="LY289" s="93">
        <v>60</v>
      </c>
      <c r="LZ289" s="93"/>
      <c r="MA289" s="20">
        <v>1070</v>
      </c>
      <c r="MB289" s="29">
        <v>222</v>
      </c>
      <c r="MC289" s="1504">
        <v>43252</v>
      </c>
      <c r="MD289" s="19">
        <v>800.34652892161557</v>
      </c>
      <c r="ME289" s="93">
        <v>730.51936677800018</v>
      </c>
      <c r="MF289" s="93">
        <v>730.51936677800018</v>
      </c>
      <c r="MG289" s="93">
        <v>649.32697109100013</v>
      </c>
      <c r="MH289" s="93">
        <v>183.41142474000003</v>
      </c>
      <c r="MI289" s="93">
        <v>5.9453583939999985</v>
      </c>
      <c r="MJ289" s="93">
        <v>2.8437485880000004</v>
      </c>
      <c r="MK289" s="93">
        <v>356.32648941800005</v>
      </c>
      <c r="ML289" s="93">
        <v>94.766115379999988</v>
      </c>
      <c r="MM289" s="93">
        <v>6.0338345710000008</v>
      </c>
      <c r="MN289" s="93">
        <v>81.192395687000015</v>
      </c>
      <c r="MO289" s="93">
        <v>3.2175397170000006</v>
      </c>
      <c r="MP289" s="93">
        <v>13.359243953000004</v>
      </c>
      <c r="MQ289" s="93">
        <v>0.63684006699999995</v>
      </c>
      <c r="MR289" s="93">
        <v>16.343181198</v>
      </c>
      <c r="MS289" s="93">
        <v>47.635590751999999</v>
      </c>
      <c r="MT289" s="93">
        <v>0</v>
      </c>
      <c r="MU289" s="93">
        <v>69.827162143615496</v>
      </c>
      <c r="MV289" s="93">
        <v>49.494077347615494</v>
      </c>
      <c r="MW289" s="93">
        <v>20.333084795999998</v>
      </c>
      <c r="MX289" s="93">
        <v>896.69683674747284</v>
      </c>
      <c r="MY289" s="93">
        <v>902.75874419247293</v>
      </c>
      <c r="MZ289" s="93">
        <v>671.93025430066666</v>
      </c>
      <c r="NA289" s="93">
        <v>328.058000397</v>
      </c>
      <c r="NB289" s="93">
        <v>71.916513033666661</v>
      </c>
      <c r="NC289" s="93">
        <v>59.92965715199999</v>
      </c>
      <c r="ND289" s="93">
        <v>46.866470671999998</v>
      </c>
      <c r="NE289" s="93">
        <v>13.063186479999999</v>
      </c>
      <c r="NF289" s="93">
        <v>212.026083718</v>
      </c>
      <c r="NG289" s="93">
        <v>0</v>
      </c>
      <c r="NH289" s="93">
        <v>57.384324689999993</v>
      </c>
      <c r="NI289" s="93">
        <v>0</v>
      </c>
      <c r="NJ289" s="93">
        <v>0</v>
      </c>
      <c r="NK289" s="93">
        <v>230.82848989180624</v>
      </c>
      <c r="NL289" s="93">
        <v>125.83289183700001</v>
      </c>
      <c r="NM289" s="93">
        <v>1.3308962450000001</v>
      </c>
      <c r="NN289" s="93">
        <v>103.66470180980626</v>
      </c>
      <c r="NO289" s="93">
        <v>-6.0619074449999983</v>
      </c>
      <c r="NP289" s="93">
        <v>-96.350307825857342</v>
      </c>
      <c r="NQ289" s="93">
        <v>-166.17746996947281</v>
      </c>
      <c r="NR289" s="93">
        <v>-2.5831110076666177</v>
      </c>
      <c r="NS289" s="93">
        <v>-62.512768159666585</v>
      </c>
      <c r="NT289" s="93">
        <v>-167.5264041608574</v>
      </c>
      <c r="NU289" s="93">
        <v>-237.35356630447288</v>
      </c>
      <c r="NV289" s="93">
        <v>163.04162608419077</v>
      </c>
      <c r="NW289" s="93">
        <v>58.635309617190771</v>
      </c>
      <c r="NX289" s="93">
        <v>82.37677546219075</v>
      </c>
      <c r="NY289" s="93">
        <v>-23.741465845</v>
      </c>
      <c r="NZ289" s="93">
        <v>0</v>
      </c>
      <c r="OA289" s="93">
        <v>104.406316467</v>
      </c>
      <c r="OB289" s="93">
        <v>-5.1352208541999911</v>
      </c>
      <c r="OC289" s="93">
        <v>109.54153732119998</v>
      </c>
      <c r="OD289" s="20">
        <v>0</v>
      </c>
      <c r="OE289" s="29">
        <v>222</v>
      </c>
      <c r="OF289" s="1504">
        <v>43252</v>
      </c>
      <c r="OG289" s="19"/>
      <c r="OH289" s="93">
        <v>513.30257099599999</v>
      </c>
      <c r="OI289" s="93">
        <v>1672.6648020580001</v>
      </c>
      <c r="OJ289" s="93">
        <v>1.150241066</v>
      </c>
      <c r="OK289" s="93">
        <v>1452.44</v>
      </c>
      <c r="OL289" s="93">
        <v>219.07456099199999</v>
      </c>
      <c r="OM289" s="93">
        <v>2185.9673730539998</v>
      </c>
      <c r="ON289" s="93">
        <v>1464.998108319</v>
      </c>
      <c r="OO289" s="93">
        <v>3650.9654813729999</v>
      </c>
      <c r="OP289" s="93"/>
      <c r="OQ289" s="93">
        <v>1482.1249953999998</v>
      </c>
      <c r="OR289" s="93">
        <v>415.36299539999982</v>
      </c>
      <c r="OS289" s="93">
        <v>1066.7619999999999</v>
      </c>
      <c r="OT289" s="93">
        <v>2540.1024509100002</v>
      </c>
      <c r="OU289" s="93">
        <v>-9.0647325489999986</v>
      </c>
      <c r="OV289" s="93">
        <v>-107.78373254899999</v>
      </c>
      <c r="OW289" s="93">
        <v>98.718999999999994</v>
      </c>
      <c r="OX289" s="93">
        <v>2549.1671834590002</v>
      </c>
      <c r="OY289" s="93">
        <v>6.3291834590000002</v>
      </c>
      <c r="OZ289" s="93">
        <v>2542.8380000000002</v>
      </c>
      <c r="PA289" s="93">
        <v>582.11624254200001</v>
      </c>
      <c r="PB289" s="93">
        <v>-210.85427760500005</v>
      </c>
      <c r="PC289" s="20">
        <v>3650.9654813730003</v>
      </c>
      <c r="PD289" s="29">
        <v>222</v>
      </c>
      <c r="PE289" s="19"/>
      <c r="PF289" s="93">
        <v>415.36299539999982</v>
      </c>
      <c r="PG289" s="93">
        <v>1103.1637702489998</v>
      </c>
      <c r="PH289" s="93">
        <v>687.80077484899994</v>
      </c>
      <c r="PI289" s="93">
        <v>500.74599999999998</v>
      </c>
      <c r="PJ289" s="93">
        <v>-99.645105565999998</v>
      </c>
      <c r="PK289" s="93">
        <v>123.18084369</v>
      </c>
      <c r="PL289" s="93">
        <v>222.825949256</v>
      </c>
      <c r="PM289" s="93">
        <v>6.3291834590000002</v>
      </c>
      <c r="PN289" s="93">
        <v>1.9219999999999999</v>
      </c>
      <c r="PO289" s="93">
        <v>0</v>
      </c>
      <c r="PP289" s="93">
        <v>0</v>
      </c>
      <c r="PQ289" s="93">
        <v>4.4071834590000005</v>
      </c>
      <c r="PR289" s="93">
        <v>807.59245625799997</v>
      </c>
      <c r="PS289" s="93">
        <v>588.15019797900004</v>
      </c>
      <c r="PT289" s="93">
        <v>217.95890889399999</v>
      </c>
      <c r="PU289" s="93">
        <v>1.4833493849999999</v>
      </c>
      <c r="PV289" s="93">
        <v>0</v>
      </c>
      <c r="PW289" s="93">
        <v>3.0517315150000002</v>
      </c>
      <c r="PX289" s="93">
        <v>0</v>
      </c>
      <c r="PY289" s="93">
        <v>0</v>
      </c>
      <c r="PZ289" s="93">
        <v>3.0517315150000002</v>
      </c>
      <c r="QA289" s="93">
        <v>0</v>
      </c>
      <c r="QB289" s="93">
        <v>0</v>
      </c>
      <c r="QC289" s="93">
        <v>0</v>
      </c>
      <c r="QD289" s="93">
        <v>10.568511027</v>
      </c>
      <c r="QE289" s="20">
        <v>1.5803744929999866</v>
      </c>
      <c r="QF289" s="1739">
        <v>222</v>
      </c>
      <c r="QG289" s="19"/>
      <c r="QH289" s="1035">
        <v>1066.7619999999999</v>
      </c>
      <c r="QI289" s="1035">
        <v>1547.3209999999999</v>
      </c>
      <c r="QJ289" s="1035">
        <v>-480.55899999999997</v>
      </c>
      <c r="QK289" s="1035">
        <v>277.05900000000003</v>
      </c>
      <c r="QL289" s="1035">
        <v>66.709000000000003</v>
      </c>
      <c r="QM289" s="1035">
        <v>210.35000000000002</v>
      </c>
      <c r="QN289" s="1035">
        <v>0</v>
      </c>
      <c r="QO289" s="1035">
        <v>98.718999999999994</v>
      </c>
      <c r="QP289" s="1035">
        <v>433.15699999999998</v>
      </c>
      <c r="QQ289" s="1035">
        <v>-334.43799999999999</v>
      </c>
      <c r="QR289" s="1035">
        <v>2542.8380000000002</v>
      </c>
      <c r="QS289" s="1035">
        <v>14.702</v>
      </c>
      <c r="QT289" s="1035">
        <v>9.8000000000000004E-2</v>
      </c>
      <c r="QU289" s="1035">
        <v>155.43799999999999</v>
      </c>
      <c r="QV289" s="1035">
        <v>2372.6000000000004</v>
      </c>
      <c r="QW289" s="93"/>
      <c r="QX289" s="93">
        <v>420.91399999999999</v>
      </c>
      <c r="QY289" s="93">
        <v>1452.44</v>
      </c>
      <c r="QZ289" s="93">
        <v>1464.665</v>
      </c>
      <c r="RA289" s="93">
        <v>0</v>
      </c>
      <c r="RB289" s="93">
        <v>75.974000000000004</v>
      </c>
      <c r="RC289" s="93">
        <v>0</v>
      </c>
      <c r="RD289" s="93">
        <v>79.489000000000004</v>
      </c>
      <c r="RE289" s="93">
        <v>0</v>
      </c>
      <c r="RF289" s="93">
        <v>0</v>
      </c>
      <c r="RG289" s="93">
        <v>413.03300000000002</v>
      </c>
      <c r="RH289" s="93">
        <v>78.862999999999971</v>
      </c>
      <c r="RI289" s="93"/>
      <c r="RJ289" s="93"/>
      <c r="RK289" s="93"/>
      <c r="RL289" s="93"/>
      <c r="RM289" s="734"/>
      <c r="RN289" s="29">
        <v>222</v>
      </c>
      <c r="RO289" s="19">
        <v>8</v>
      </c>
      <c r="RP289" s="20">
        <v>89</v>
      </c>
      <c r="RQ289" s="29">
        <v>222</v>
      </c>
      <c r="RR289" s="734">
        <v>4.1026728500000003</v>
      </c>
      <c r="RS289" s="29">
        <v>222</v>
      </c>
      <c r="RT289" s="1504">
        <v>43252</v>
      </c>
      <c r="RU289" s="19">
        <v>1021</v>
      </c>
      <c r="RV289" s="20">
        <v>22</v>
      </c>
      <c r="RW289" s="29">
        <v>222</v>
      </c>
      <c r="RX289" s="1504">
        <v>43252</v>
      </c>
      <c r="RY289" s="29"/>
      <c r="RZ289" s="734"/>
      <c r="SA289" s="29"/>
      <c r="SB289" s="29">
        <v>222</v>
      </c>
    </row>
    <row r="290" spans="1:496">
      <c r="A290" s="41">
        <f t="shared" si="238"/>
        <v>2018</v>
      </c>
      <c r="B290" s="1504">
        <v>43282</v>
      </c>
      <c r="C290" s="1813">
        <v>1426</v>
      </c>
      <c r="D290" s="1814">
        <v>29417</v>
      </c>
      <c r="E290" s="1814">
        <v>138</v>
      </c>
      <c r="F290" s="1815">
        <v>312</v>
      </c>
      <c r="G290" s="1814">
        <v>125556</v>
      </c>
      <c r="H290" s="1814">
        <v>16</v>
      </c>
      <c r="I290" s="1814">
        <v>31922</v>
      </c>
      <c r="J290" s="1816">
        <v>20855</v>
      </c>
      <c r="K290" s="1807">
        <v>209642</v>
      </c>
      <c r="L290" s="25">
        <v>223</v>
      </c>
      <c r="M290" s="97"/>
      <c r="N290" s="1504">
        <v>43282</v>
      </c>
      <c r="O290" s="19">
        <v>1184</v>
      </c>
      <c r="P290" s="100">
        <v>859.85847002949902</v>
      </c>
      <c r="Q290" s="100">
        <v>14653.658920744179</v>
      </c>
      <c r="R290" s="93">
        <v>1020</v>
      </c>
      <c r="S290" s="99">
        <v>2611</v>
      </c>
      <c r="T290" s="93">
        <v>959</v>
      </c>
      <c r="U290" s="93"/>
      <c r="V290" s="93">
        <v>2662</v>
      </c>
      <c r="W290" s="93">
        <v>4166</v>
      </c>
      <c r="X290" s="93">
        <v>1331</v>
      </c>
      <c r="Y290" s="93">
        <v>559</v>
      </c>
      <c r="Z290" s="93">
        <v>1292</v>
      </c>
      <c r="AA290" s="100">
        <v>1237.4418237612097</v>
      </c>
      <c r="AB290" s="132">
        <v>32534.959214534887</v>
      </c>
      <c r="AC290" s="25">
        <v>223</v>
      </c>
      <c r="AD290" s="97"/>
      <c r="AE290" s="1504">
        <v>43282</v>
      </c>
      <c r="AF290" s="19">
        <v>2577</v>
      </c>
      <c r="AG290" s="100">
        <v>790</v>
      </c>
      <c r="AH290" s="100">
        <v>5652</v>
      </c>
      <c r="AI290" s="93">
        <v>4409</v>
      </c>
      <c r="AJ290" s="99">
        <v>2735</v>
      </c>
      <c r="AK290" s="93">
        <v>2030</v>
      </c>
      <c r="AL290" s="93">
        <v>906</v>
      </c>
      <c r="AM290" s="93">
        <v>2503</v>
      </c>
      <c r="AN290" s="93">
        <v>3984</v>
      </c>
      <c r="AO290" s="93">
        <v>1915</v>
      </c>
      <c r="AP290" s="93">
        <v>849</v>
      </c>
      <c r="AQ290" s="93">
        <v>2535</v>
      </c>
      <c r="AR290" s="100">
        <v>1037</v>
      </c>
      <c r="AS290" s="20">
        <v>31922</v>
      </c>
      <c r="AT290" s="25">
        <v>223</v>
      </c>
      <c r="AU290" s="97"/>
      <c r="AV290" s="1504">
        <v>43282</v>
      </c>
      <c r="AW290" s="19">
        <v>8711</v>
      </c>
      <c r="AX290" s="100">
        <v>1847.2165943557511</v>
      </c>
      <c r="AY290" s="100">
        <v>4657.7584510352954</v>
      </c>
      <c r="AZ290" s="93">
        <v>8392</v>
      </c>
      <c r="BA290" s="99">
        <v>11641</v>
      </c>
      <c r="BB290" s="93">
        <v>8086</v>
      </c>
      <c r="BC290" s="93"/>
      <c r="BD290" s="93">
        <v>15760</v>
      </c>
      <c r="BE290" s="93">
        <v>16593</v>
      </c>
      <c r="BF290" s="93">
        <v>6977</v>
      </c>
      <c r="BG290" s="93">
        <v>5627</v>
      </c>
      <c r="BH290" s="93">
        <v>12335</v>
      </c>
      <c r="BI290" s="100">
        <v>4851.3843642059455</v>
      </c>
      <c r="BJ290" s="132">
        <v>105478.35940959699</v>
      </c>
      <c r="BK290" s="25">
        <v>223</v>
      </c>
      <c r="BL290" s="97"/>
      <c r="BM290" s="1504">
        <v>43282</v>
      </c>
      <c r="BN290" s="19">
        <v>55.283999999999999</v>
      </c>
      <c r="BO290" s="93">
        <v>2001.5689999999997</v>
      </c>
      <c r="BP290" s="93">
        <v>11.904000000000002</v>
      </c>
      <c r="BQ290" s="93">
        <v>837.68000000000006</v>
      </c>
      <c r="BR290" s="93">
        <v>3.6720000000000002</v>
      </c>
      <c r="BS290" s="93">
        <v>271.34100000000001</v>
      </c>
      <c r="BT290" s="93">
        <v>317.85599999999994</v>
      </c>
      <c r="BU290" s="132">
        <v>3499.3059999999996</v>
      </c>
      <c r="BV290" s="25">
        <v>223</v>
      </c>
      <c r="BW290" s="97"/>
      <c r="BX290" s="1504">
        <v>43282</v>
      </c>
      <c r="BY290" s="179">
        <v>558.92700000000002</v>
      </c>
      <c r="BZ290" s="99">
        <v>664.95699999999999</v>
      </c>
      <c r="CA290" s="99">
        <v>565.87</v>
      </c>
      <c r="CB290" s="99">
        <v>42.143117133570456</v>
      </c>
      <c r="CC290" s="99">
        <v>126</v>
      </c>
      <c r="CD290" s="25">
        <v>223</v>
      </c>
      <c r="CE290" s="97"/>
      <c r="CF290" s="1504">
        <v>43282</v>
      </c>
      <c r="CG290" s="1508">
        <v>2.1204035160000001</v>
      </c>
      <c r="CH290" s="568">
        <v>1237.71</v>
      </c>
      <c r="CI290" s="1708">
        <v>72.6666666666667</v>
      </c>
      <c r="CJ290" s="1509">
        <v>74.44</v>
      </c>
      <c r="CK290" s="1508">
        <v>382.73</v>
      </c>
      <c r="CL290" s="568">
        <v>156.4602424</v>
      </c>
      <c r="CM290" s="568">
        <v>0.25838146400000001</v>
      </c>
      <c r="CN290" s="568">
        <v>0.38145473600000002</v>
      </c>
      <c r="CO290" s="568">
        <v>218.2573998</v>
      </c>
      <c r="CP290" s="1509">
        <v>4.188226845</v>
      </c>
      <c r="CQ290" s="1708">
        <v>1477.1</v>
      </c>
      <c r="CR290" s="568">
        <v>2.492</v>
      </c>
      <c r="CS290" s="568">
        <v>1.4653</v>
      </c>
      <c r="CT290" s="568">
        <v>86.88</v>
      </c>
      <c r="CU290" s="568">
        <v>64.56</v>
      </c>
      <c r="CV290" s="1709">
        <v>2656.13</v>
      </c>
      <c r="CW290" s="29">
        <v>223</v>
      </c>
      <c r="CX290" s="41">
        <f t="shared" si="239"/>
        <v>2018</v>
      </c>
      <c r="CY290" s="1504">
        <v>43282</v>
      </c>
      <c r="CZ290" s="1916">
        <v>126.84582745059191</v>
      </c>
      <c r="DA290" s="1526">
        <v>70.93815045059192</v>
      </c>
      <c r="DB290" s="1526">
        <v>45.231287000000002</v>
      </c>
      <c r="DC290" s="182">
        <f t="shared" si="277"/>
        <v>669448</v>
      </c>
      <c r="DD290" s="182">
        <f t="shared" si="278"/>
        <v>667702</v>
      </c>
      <c r="DE290" s="182">
        <f t="shared" si="279"/>
        <v>1746</v>
      </c>
      <c r="DF290" s="29">
        <v>223</v>
      </c>
      <c r="DG290" s="1504">
        <v>43282</v>
      </c>
      <c r="DH290" s="181">
        <v>394294</v>
      </c>
      <c r="DI290" s="182">
        <v>3794294</v>
      </c>
      <c r="DJ290" s="182">
        <v>260868</v>
      </c>
      <c r="DK290" s="182">
        <v>17246</v>
      </c>
      <c r="DL290" s="182">
        <v>439896</v>
      </c>
      <c r="DM290" s="182">
        <v>6455</v>
      </c>
      <c r="DN290" s="290">
        <v>1307832</v>
      </c>
      <c r="DO290" s="295">
        <f t="shared" si="282"/>
        <v>5826591</v>
      </c>
      <c r="DP290" s="29">
        <v>223</v>
      </c>
      <c r="DQ290" s="1504">
        <v>43282</v>
      </c>
      <c r="DR290" s="19">
        <v>42724</v>
      </c>
      <c r="DS290" s="93">
        <v>486</v>
      </c>
      <c r="DT290" s="93">
        <v>56159</v>
      </c>
      <c r="DU290" s="93">
        <v>4377</v>
      </c>
      <c r="DV290" s="93">
        <v>23962</v>
      </c>
      <c r="DW290" s="93">
        <v>2884</v>
      </c>
      <c r="DX290" s="1719">
        <v>14438</v>
      </c>
      <c r="DY290" s="29">
        <v>223</v>
      </c>
      <c r="DZ290" s="1504">
        <v>43282</v>
      </c>
      <c r="EA290" s="19"/>
      <c r="EB290" s="93"/>
      <c r="EC290" s="20"/>
      <c r="ED290" s="29"/>
      <c r="EE290" s="1504">
        <v>43282</v>
      </c>
      <c r="EF290" s="179">
        <v>22540</v>
      </c>
      <c r="EG290" s="99">
        <v>22234</v>
      </c>
      <c r="EH290" s="99">
        <f t="shared" si="283"/>
        <v>44774</v>
      </c>
      <c r="EI290" s="221">
        <v>8186</v>
      </c>
      <c r="EJ290" s="99">
        <v>672.26700000000005</v>
      </c>
      <c r="EK290" s="99">
        <v>70.051000000000002</v>
      </c>
      <c r="EL290" s="1150">
        <v>5.5549999999999997</v>
      </c>
      <c r="EM290" s="1150">
        <v>7.649</v>
      </c>
      <c r="EN290" s="132">
        <v>755.52200000000005</v>
      </c>
      <c r="EO290" s="29">
        <v>223</v>
      </c>
      <c r="EP290" s="1504">
        <v>43282</v>
      </c>
      <c r="EQ290" s="19">
        <v>21941</v>
      </c>
      <c r="ER290" s="93">
        <v>21646</v>
      </c>
      <c r="ES290" s="93">
        <v>43587</v>
      </c>
      <c r="ET290" s="214">
        <v>7362</v>
      </c>
      <c r="EU290" s="93">
        <v>672.26700000000005</v>
      </c>
      <c r="EV290" s="93">
        <v>70.051000000000002</v>
      </c>
      <c r="EW290" s="93">
        <v>5.5549999999999997</v>
      </c>
      <c r="EX290" s="93">
        <v>7.649</v>
      </c>
      <c r="EY290" s="93">
        <f t="shared" si="280"/>
        <v>755.52200000000005</v>
      </c>
      <c r="EZ290" s="29">
        <v>223</v>
      </c>
      <c r="FA290" s="1504">
        <v>43282</v>
      </c>
      <c r="FB290" s="29">
        <v>599</v>
      </c>
      <c r="FC290" s="29">
        <v>588</v>
      </c>
      <c r="FD290" s="29">
        <f t="shared" si="284"/>
        <v>1187</v>
      </c>
      <c r="FE290" s="29">
        <v>824</v>
      </c>
      <c r="FF290" s="29">
        <v>0</v>
      </c>
      <c r="FG290" s="29">
        <v>0</v>
      </c>
      <c r="FH290" s="29">
        <v>0</v>
      </c>
      <c r="FI290" s="29">
        <v>0</v>
      </c>
      <c r="FJ290" s="29">
        <v>0</v>
      </c>
      <c r="FK290" s="29">
        <v>223</v>
      </c>
      <c r="FL290" s="1504">
        <v>43282</v>
      </c>
      <c r="FM290" s="179">
        <v>108.03</v>
      </c>
      <c r="FN290" s="99">
        <v>114.21</v>
      </c>
      <c r="FO290" s="99">
        <v>128.08000000000001</v>
      </c>
      <c r="FP290" s="99">
        <v>100.72</v>
      </c>
      <c r="FQ290" s="99">
        <v>96.01</v>
      </c>
      <c r="FR290" s="99">
        <v>101.16</v>
      </c>
      <c r="FS290" s="99">
        <v>100.28</v>
      </c>
      <c r="FT290" s="99">
        <v>97.19</v>
      </c>
      <c r="FU290" s="99">
        <v>110.27</v>
      </c>
      <c r="FV290" s="99">
        <v>104.53</v>
      </c>
      <c r="FW290" s="99">
        <v>103.15</v>
      </c>
      <c r="FX290" s="99">
        <v>103.41</v>
      </c>
      <c r="FY290" s="99">
        <v>100.06</v>
      </c>
      <c r="FZ290" s="29">
        <v>223</v>
      </c>
      <c r="GA290" s="1504">
        <v>43282</v>
      </c>
      <c r="GB290" s="419">
        <v>108.03</v>
      </c>
      <c r="GC290" s="100">
        <v>102.24</v>
      </c>
      <c r="GD290" s="100">
        <v>111.05</v>
      </c>
      <c r="GE290" s="100">
        <v>90.31</v>
      </c>
      <c r="GF290" s="100">
        <v>122.87</v>
      </c>
      <c r="GG290" s="100">
        <v>103.86</v>
      </c>
      <c r="GH290" s="100">
        <v>118.28</v>
      </c>
      <c r="GI290" s="100">
        <v>102.75</v>
      </c>
      <c r="GJ290" s="100">
        <v>102.84</v>
      </c>
      <c r="GK290" s="100">
        <v>100.44</v>
      </c>
      <c r="GL290" s="100">
        <v>111.73</v>
      </c>
      <c r="GM290" s="100">
        <v>101.43</v>
      </c>
      <c r="GN290" s="306">
        <v>102.83</v>
      </c>
      <c r="GO290" s="29">
        <v>223</v>
      </c>
      <c r="GP290" s="1504">
        <v>43282</v>
      </c>
      <c r="GQ290" s="318">
        <f t="shared" ref="GQ290:GZ291" si="296">(((GQ289/GQ288-1)+(GQ288/GQ287-1))^1/2+1)*GQ289</f>
        <v>322.76091236629452</v>
      </c>
      <c r="GR290" s="511">
        <f t="shared" si="296"/>
        <v>257.03306712715835</v>
      </c>
      <c r="GS290" s="511">
        <f t="shared" si="296"/>
        <v>250.23659996701429</v>
      </c>
      <c r="GT290" s="511">
        <f t="shared" si="296"/>
        <v>228.15186689914708</v>
      </c>
      <c r="GU290" s="511">
        <f t="shared" si="296"/>
        <v>420.72956851828582</v>
      </c>
      <c r="GV290" s="512">
        <f t="shared" si="296"/>
        <v>950.02167444719191</v>
      </c>
      <c r="GW290" s="513">
        <f t="shared" si="296"/>
        <v>448.53108727458783</v>
      </c>
      <c r="GX290" s="511">
        <f t="shared" si="296"/>
        <v>445.74603540987135</v>
      </c>
      <c r="GY290" s="511">
        <f t="shared" si="296"/>
        <v>534.23422237995817</v>
      </c>
      <c r="GZ290" s="511">
        <f t="shared" si="296"/>
        <v>430.58947818946541</v>
      </c>
      <c r="HA290" s="511">
        <f t="shared" ref="HA290:HH291" si="297">(((HA289/HA288-1)+(HA288/HA287-1))^1/2+1)*HA289</f>
        <v>1076.7792445047357</v>
      </c>
      <c r="HB290" s="512">
        <f t="shared" si="297"/>
        <v>938.59951661593902</v>
      </c>
      <c r="HC290" s="513">
        <f t="shared" si="297"/>
        <v>1880.6679901373022</v>
      </c>
      <c r="HD290" s="511">
        <f t="shared" si="297"/>
        <v>1801.8207145881092</v>
      </c>
      <c r="HE290" s="511">
        <f t="shared" si="297"/>
        <v>2325.0110820015057</v>
      </c>
      <c r="HF290" s="511">
        <f t="shared" si="297"/>
        <v>3150</v>
      </c>
      <c r="HG290" s="511">
        <f t="shared" si="297"/>
        <v>3416.6152640351179</v>
      </c>
      <c r="HH290" s="512">
        <f t="shared" si="297"/>
        <v>2910.7630012493764</v>
      </c>
      <c r="HI290" s="1767"/>
      <c r="HJ290" s="511">
        <v>893.82508371062954</v>
      </c>
      <c r="HK290" s="511">
        <v>1660.8532591073169</v>
      </c>
      <c r="HL290" s="511">
        <v>1066.4298022677744</v>
      </c>
      <c r="HM290" s="511">
        <v>900</v>
      </c>
      <c r="HN290" s="512">
        <v>1893.1398209611036</v>
      </c>
      <c r="HO290" s="514">
        <v>122.0752735322656</v>
      </c>
      <c r="HP290" s="512">
        <v>99.974531758566798</v>
      </c>
      <c r="HQ290" s="1510">
        <v>144.99039087947699</v>
      </c>
      <c r="HR290" s="29">
        <v>223</v>
      </c>
      <c r="HS290" s="1504">
        <v>43282</v>
      </c>
      <c r="HT290" s="419">
        <v>270</v>
      </c>
      <c r="HU290" s="100">
        <v>315.97223663330078</v>
      </c>
      <c r="HV290" s="100">
        <v>238.09523010253906</v>
      </c>
      <c r="HW290" s="100">
        <v>185.89744059244791</v>
      </c>
      <c r="HX290" s="100">
        <v>250</v>
      </c>
      <c r="HY290" s="100">
        <v>281.63579559326172</v>
      </c>
      <c r="HZ290" s="100">
        <v>265.70158081054689</v>
      </c>
      <c r="IA290" s="306">
        <v>243.46405029296875</v>
      </c>
      <c r="IB290" s="419">
        <v>172.47387313842773</v>
      </c>
      <c r="IC290" s="100">
        <v>136.51508483886718</v>
      </c>
      <c r="ID290" s="100">
        <v>172.41378784179688</v>
      </c>
      <c r="IE290" s="100">
        <v>144.95114135742188</v>
      </c>
      <c r="IF290" s="100">
        <v>196.37096786499023</v>
      </c>
      <c r="IG290" s="306">
        <v>164.70031356811523</v>
      </c>
      <c r="IH290" s="419">
        <v>171.05262756347656</v>
      </c>
      <c r="II290" s="100">
        <v>250</v>
      </c>
      <c r="IJ290" s="100">
        <v>203.38983154296875</v>
      </c>
      <c r="IK290" s="100">
        <v>191.96428680419922</v>
      </c>
      <c r="IL290" s="100">
        <v>178.62654304504395</v>
      </c>
      <c r="IM290" s="100">
        <v>173.0471305847168</v>
      </c>
      <c r="IN290" s="100">
        <f>(((IN289/IN288-1)+(IN288/IN287-1))^1/2+1)*IN289</f>
        <v>185.48896665398118</v>
      </c>
      <c r="IO290" s="306">
        <v>191.57583770751953</v>
      </c>
      <c r="IP290" s="29">
        <v>223</v>
      </c>
      <c r="IQ290" s="419">
        <f t="shared" ref="IQ290:IV291" si="298">(((IQ289/IQ288-1)+(IQ288/IQ287-1))^1/2+1)*IQ289</f>
        <v>169.65592557197388</v>
      </c>
      <c r="IR290" s="100">
        <f t="shared" si="298"/>
        <v>139.16692848395752</v>
      </c>
      <c r="IS290" s="100">
        <f t="shared" si="298"/>
        <v>172.73146830615767</v>
      </c>
      <c r="IT290" s="100">
        <f t="shared" si="298"/>
        <v>156.09322177521744</v>
      </c>
      <c r="IU290" s="100">
        <f t="shared" si="298"/>
        <v>180.24722103785911</v>
      </c>
      <c r="IV290" s="306">
        <f t="shared" si="298"/>
        <v>163.22499249661027</v>
      </c>
      <c r="IW290" s="29">
        <v>223</v>
      </c>
      <c r="IX290" s="419">
        <f t="shared" ref="IX290:JE290" si="299">(((IX289/IX288-1)+(IX288/IX287-1))^1/2+1)*IX289</f>
        <v>400</v>
      </c>
      <c r="IY290" s="100">
        <f t="shared" si="299"/>
        <v>360.36969973417473</v>
      </c>
      <c r="IZ290" s="100">
        <f t="shared" si="299"/>
        <v>434.56830460127554</v>
      </c>
      <c r="JA290" s="100">
        <f t="shared" si="299"/>
        <v>375</v>
      </c>
      <c r="JB290" s="100">
        <f t="shared" si="299"/>
        <v>393.00512820512819</v>
      </c>
      <c r="JC290" s="100">
        <f t="shared" si="299"/>
        <v>400</v>
      </c>
      <c r="JD290" s="100">
        <f t="shared" si="299"/>
        <v>340</v>
      </c>
      <c r="JE290" s="306">
        <f t="shared" si="299"/>
        <v>357.10832612608095</v>
      </c>
      <c r="JF290" s="29">
        <v>223</v>
      </c>
      <c r="JG290" s="419">
        <f t="shared" ref="JG290:JN290" si="300">(((JG289/JG288-1)+(JG288/JG287-1))^1/2+1)*JG289</f>
        <v>231.40215536902943</v>
      </c>
      <c r="JH290" s="100">
        <f t="shared" si="300"/>
        <v>433.40201258088808</v>
      </c>
      <c r="JI290" s="100">
        <f t="shared" si="300"/>
        <v>224.1215152015576</v>
      </c>
      <c r="JJ290" s="100">
        <f t="shared" si="300"/>
        <v>250.29189085312845</v>
      </c>
      <c r="JK290" s="100">
        <f t="shared" si="300"/>
        <v>238.71733441229455</v>
      </c>
      <c r="JL290" s="100">
        <f t="shared" si="300"/>
        <v>254.6584800025195</v>
      </c>
      <c r="JM290" s="100">
        <f t="shared" si="300"/>
        <v>193.75016471973191</v>
      </c>
      <c r="JN290" s="306">
        <f t="shared" si="300"/>
        <v>244.41244471143256</v>
      </c>
      <c r="JO290" s="29">
        <v>223</v>
      </c>
      <c r="JP290" s="419">
        <f t="shared" ref="JP290:JU290" si="301">(((JP289/JP288-1)+(JP288/JP287-1))^1/2+1)*JP289</f>
        <v>340.04617053489949</v>
      </c>
      <c r="JQ290" s="100">
        <f t="shared" si="301"/>
        <v>177.44216419315188</v>
      </c>
      <c r="JR290" s="100">
        <f t="shared" si="301"/>
        <v>202.80024502714321</v>
      </c>
      <c r="JS290" s="100"/>
      <c r="JT290" s="100">
        <f t="shared" si="301"/>
        <v>221.73326990596843</v>
      </c>
      <c r="JU290" s="306">
        <f t="shared" si="301"/>
        <v>197.62719220488827</v>
      </c>
      <c r="JV290" s="29">
        <v>223</v>
      </c>
      <c r="JW290" s="1504">
        <v>43282</v>
      </c>
      <c r="JX290" s="179"/>
      <c r="JY290" s="100">
        <v>309.33333333333331</v>
      </c>
      <c r="JZ290" s="100">
        <v>283.55</v>
      </c>
      <c r="KA290" s="100">
        <v>251.519230769231</v>
      </c>
      <c r="KB290" s="100">
        <v>240.791666666667</v>
      </c>
      <c r="KC290" s="100">
        <v>265.66666666666697</v>
      </c>
      <c r="KD290" s="306">
        <v>283.21428571428572</v>
      </c>
      <c r="KE290" s="29">
        <v>223</v>
      </c>
      <c r="KF290" s="179"/>
      <c r="KG290" s="100">
        <v>47.45</v>
      </c>
      <c r="KH290" s="100">
        <v>56.75</v>
      </c>
      <c r="KI290" s="100">
        <v>58.30952380952381</v>
      </c>
      <c r="KJ290" s="100">
        <v>38.6666666666667</v>
      </c>
      <c r="KK290" s="306">
        <v>69.714285714286007</v>
      </c>
      <c r="KL290" s="29">
        <v>223</v>
      </c>
      <c r="KM290" s="100">
        <f t="shared" si="253"/>
        <v>11.809456331192239</v>
      </c>
      <c r="KN290" s="100">
        <v>23.433333333333334</v>
      </c>
      <c r="KO290" s="100">
        <v>30.923076923076923</v>
      </c>
      <c r="KP290" s="100">
        <v>37.351190476190474</v>
      </c>
      <c r="KQ290" s="100">
        <v>19.55</v>
      </c>
      <c r="KR290" s="306">
        <v>30.924528301886799</v>
      </c>
      <c r="KS290" s="29">
        <v>223</v>
      </c>
      <c r="KT290" s="100">
        <f t="shared" si="254"/>
        <v>44.190972629705058</v>
      </c>
      <c r="KU290" s="100">
        <v>23.433333333333334</v>
      </c>
      <c r="KV290" s="100">
        <v>25</v>
      </c>
      <c r="KW290" s="100">
        <v>21.510416666666668</v>
      </c>
      <c r="KX290" s="100">
        <v>20.766666666666701</v>
      </c>
      <c r="KY290" s="100">
        <v>23.705882352941199</v>
      </c>
      <c r="KZ290" s="29">
        <v>223</v>
      </c>
      <c r="LA290" s="1504">
        <v>43282</v>
      </c>
      <c r="LB290" s="19">
        <v>380</v>
      </c>
      <c r="LC290" s="93">
        <v>610</v>
      </c>
      <c r="LD290" s="93">
        <v>602</v>
      </c>
      <c r="LE290" s="93"/>
      <c r="LF290" s="93">
        <v>526</v>
      </c>
      <c r="LG290" s="93">
        <v>5000</v>
      </c>
      <c r="LH290" s="20">
        <v>2000</v>
      </c>
      <c r="LI290" s="29">
        <v>223</v>
      </c>
      <c r="LJ290" s="19"/>
      <c r="LK290" s="93"/>
      <c r="LL290" s="93"/>
      <c r="LM290" s="93"/>
      <c r="LN290" s="93"/>
      <c r="LO290" s="20"/>
      <c r="LP290" s="29">
        <v>223</v>
      </c>
      <c r="LQ290" s="19"/>
      <c r="LR290" s="93">
        <v>188</v>
      </c>
      <c r="LS290" s="93">
        <v>445</v>
      </c>
      <c r="LT290" s="93">
        <v>535</v>
      </c>
      <c r="LU290" s="93">
        <v>1070</v>
      </c>
      <c r="LV290" s="93"/>
      <c r="LW290" s="93">
        <v>5</v>
      </c>
      <c r="LX290" s="93">
        <v>10</v>
      </c>
      <c r="LY290" s="93">
        <v>60</v>
      </c>
      <c r="LZ290" s="93"/>
      <c r="MA290" s="20">
        <v>1070</v>
      </c>
      <c r="MB290" s="29">
        <v>223</v>
      </c>
      <c r="MC290" s="1504">
        <v>43282</v>
      </c>
      <c r="MD290" s="19">
        <v>964.61604171294903</v>
      </c>
      <c r="ME290" s="93">
        <v>888.26739991400007</v>
      </c>
      <c r="MF290" s="93">
        <v>888.26739991400007</v>
      </c>
      <c r="MG290" s="93">
        <v>797.12273650400004</v>
      </c>
      <c r="MH290" s="93">
        <v>245.38840370599999</v>
      </c>
      <c r="MI290" s="93">
        <v>7.2334390820000012</v>
      </c>
      <c r="MJ290" s="93">
        <v>3.8262984529999997</v>
      </c>
      <c r="MK290" s="93">
        <v>420.90288199100002</v>
      </c>
      <c r="ML290" s="93">
        <v>113.261759267</v>
      </c>
      <c r="MM290" s="93">
        <v>6.509954005</v>
      </c>
      <c r="MN290" s="93">
        <v>91.144663409999993</v>
      </c>
      <c r="MO290" s="93">
        <v>3.6834241940000005</v>
      </c>
      <c r="MP290" s="93">
        <v>16.271327344000007</v>
      </c>
      <c r="MQ290" s="93">
        <v>0.72413193600000003</v>
      </c>
      <c r="MR290" s="93">
        <v>16.794711587000002</v>
      </c>
      <c r="MS290" s="93">
        <v>53.671068349000002</v>
      </c>
      <c r="MT290" s="93">
        <v>0</v>
      </c>
      <c r="MU290" s="93">
        <v>76.348641798948904</v>
      </c>
      <c r="MV290" s="93">
        <v>56.015557002948896</v>
      </c>
      <c r="MW290" s="93">
        <v>20.333084795999998</v>
      </c>
      <c r="MX290" s="93">
        <v>1110.5078423524797</v>
      </c>
      <c r="MY290" s="93">
        <v>1116.8667569464797</v>
      </c>
      <c r="MZ290" s="93">
        <v>810.59260562966654</v>
      </c>
      <c r="NA290" s="93">
        <v>386.83543808366665</v>
      </c>
      <c r="NB290" s="93">
        <v>83.684758966000004</v>
      </c>
      <c r="NC290" s="93">
        <v>64.490730881999994</v>
      </c>
      <c r="ND290" s="93">
        <v>50.799473749000001</v>
      </c>
      <c r="NE290" s="93">
        <v>13.691257132999997</v>
      </c>
      <c r="NF290" s="93">
        <v>275.58167769799996</v>
      </c>
      <c r="NG290" s="93">
        <v>0</v>
      </c>
      <c r="NH290" s="93">
        <v>77.044545556999992</v>
      </c>
      <c r="NI290" s="93">
        <v>0</v>
      </c>
      <c r="NJ290" s="93">
        <v>21</v>
      </c>
      <c r="NK290" s="93">
        <v>306.274151316813</v>
      </c>
      <c r="NL290" s="93">
        <v>187.13892694600003</v>
      </c>
      <c r="NM290" s="93">
        <v>1.3308962450000001</v>
      </c>
      <c r="NN290" s="93">
        <v>117.80432812581302</v>
      </c>
      <c r="NO290" s="93">
        <v>-6.3589145939999989</v>
      </c>
      <c r="NP290" s="93">
        <v>-145.8918006395308</v>
      </c>
      <c r="NQ290" s="93">
        <v>-222.24044243847968</v>
      </c>
      <c r="NR290" s="93">
        <v>-39.945383430666709</v>
      </c>
      <c r="NS290" s="93">
        <v>-104.43611431266669</v>
      </c>
      <c r="NT290" s="93">
        <v>-195.82706846653079</v>
      </c>
      <c r="NU290" s="93">
        <v>-272.17571026547967</v>
      </c>
      <c r="NV290" s="93">
        <v>203.05137354686408</v>
      </c>
      <c r="NW290" s="93">
        <v>65.287936884864123</v>
      </c>
      <c r="NX290" s="93">
        <v>89.994922122864111</v>
      </c>
      <c r="NY290" s="93">
        <v>-24.706985238000001</v>
      </c>
      <c r="NZ290" s="93">
        <v>0</v>
      </c>
      <c r="OA290" s="93">
        <v>137.763436662</v>
      </c>
      <c r="OB290" s="93">
        <v>18.649948882800025</v>
      </c>
      <c r="OC290" s="93">
        <v>119.11348777919999</v>
      </c>
      <c r="OD290" s="20">
        <v>0</v>
      </c>
      <c r="OE290" s="29">
        <v>223</v>
      </c>
      <c r="OF290" s="1504">
        <v>43282</v>
      </c>
      <c r="OG290" s="19"/>
      <c r="OH290" s="93">
        <v>508.445812655</v>
      </c>
      <c r="OI290" s="93">
        <v>1552.4878647739999</v>
      </c>
      <c r="OJ290" s="93">
        <v>0.41791118099999996</v>
      </c>
      <c r="OK290" s="93">
        <v>1332.97</v>
      </c>
      <c r="OL290" s="93">
        <v>219.09995359299998</v>
      </c>
      <c r="OM290" s="93">
        <v>2060.933677429</v>
      </c>
      <c r="ON290" s="93">
        <v>1403.2361083190001</v>
      </c>
      <c r="OO290" s="93">
        <v>3464.1697857480003</v>
      </c>
      <c r="OP290" s="93"/>
      <c r="OQ290" s="93">
        <v>1398.6189073770001</v>
      </c>
      <c r="OR290" s="93">
        <v>355.51790737700003</v>
      </c>
      <c r="OS290" s="93">
        <v>1043.1010000000001</v>
      </c>
      <c r="OT290" s="93">
        <v>2535.1702227170003</v>
      </c>
      <c r="OU290" s="93">
        <v>14.336826566999989</v>
      </c>
      <c r="OV290" s="93">
        <v>-102.30917343300003</v>
      </c>
      <c r="OW290" s="93">
        <v>116.64600000000002</v>
      </c>
      <c r="OX290" s="93">
        <v>2520.8333961500002</v>
      </c>
      <c r="OY290" s="93">
        <v>20.958396150000002</v>
      </c>
      <c r="OZ290" s="93">
        <v>2499.875</v>
      </c>
      <c r="PA290" s="93">
        <v>564.01481529000012</v>
      </c>
      <c r="PB290" s="93">
        <v>-94.395470943999996</v>
      </c>
      <c r="PC290" s="20">
        <v>3464.1697857480003</v>
      </c>
      <c r="PD290" s="29">
        <v>223</v>
      </c>
      <c r="PE290" s="19"/>
      <c r="PF290" s="93">
        <v>355.51790737700003</v>
      </c>
      <c r="PG290" s="93">
        <v>1115.589382114</v>
      </c>
      <c r="PH290" s="93">
        <v>760.07147473700002</v>
      </c>
      <c r="PI290" s="93">
        <v>485.18700000000001</v>
      </c>
      <c r="PJ290" s="93">
        <v>-94.994678968000031</v>
      </c>
      <c r="PK290" s="93">
        <v>122.462607482</v>
      </c>
      <c r="PL290" s="93">
        <v>217.45728645000003</v>
      </c>
      <c r="PM290" s="93">
        <v>20.958396150000002</v>
      </c>
      <c r="PN290" s="93">
        <v>16.632000000000001</v>
      </c>
      <c r="PO290" s="93">
        <v>0</v>
      </c>
      <c r="PP290" s="93">
        <v>0</v>
      </c>
      <c r="PQ290" s="93">
        <v>4.3263961499999999</v>
      </c>
      <c r="PR290" s="93">
        <v>753.87792733299989</v>
      </c>
      <c r="PS290" s="93">
        <v>579.36230711999997</v>
      </c>
      <c r="PT290" s="93">
        <v>173.76460071299999</v>
      </c>
      <c r="PU290" s="93">
        <v>0.75101949999999995</v>
      </c>
      <c r="PV290" s="93">
        <v>0</v>
      </c>
      <c r="PW290" s="93">
        <v>0.36142653800000002</v>
      </c>
      <c r="PX290" s="93">
        <v>0</v>
      </c>
      <c r="PY290" s="93">
        <v>0</v>
      </c>
      <c r="PZ290" s="93">
        <v>0.36142653800000002</v>
      </c>
      <c r="QA290" s="93">
        <v>0</v>
      </c>
      <c r="QB290" s="93">
        <v>0</v>
      </c>
      <c r="QC290" s="93">
        <v>0</v>
      </c>
      <c r="QD290" s="93">
        <v>11.220388752</v>
      </c>
      <c r="QE290" s="20">
        <v>1.208881936</v>
      </c>
      <c r="QF290" s="1739">
        <v>223</v>
      </c>
      <c r="QG290" s="19"/>
      <c r="QH290" s="1035">
        <v>1043.1010000000001</v>
      </c>
      <c r="QI290" s="1035">
        <v>1504.867</v>
      </c>
      <c r="QJ290" s="1035">
        <v>-461.76599999999996</v>
      </c>
      <c r="QK290" s="1035">
        <v>221.66200000000001</v>
      </c>
      <c r="QL290" s="1035">
        <v>63.601999999999997</v>
      </c>
      <c r="QM290" s="1035">
        <v>158.06</v>
      </c>
      <c r="QN290" s="1035">
        <v>0</v>
      </c>
      <c r="QO290" s="1035">
        <v>116.64600000000002</v>
      </c>
      <c r="QP290" s="1035">
        <v>479.77300000000002</v>
      </c>
      <c r="QQ290" s="1035">
        <v>-363.12700000000001</v>
      </c>
      <c r="QR290" s="1035">
        <v>2499.875</v>
      </c>
      <c r="QS290" s="1035">
        <v>14.547000000000001</v>
      </c>
      <c r="QT290" s="1035">
        <v>3.2000000000000001E-2</v>
      </c>
      <c r="QU290" s="1035">
        <v>144.93899999999999</v>
      </c>
      <c r="QV290" s="1035">
        <v>2340.357</v>
      </c>
      <c r="QW290" s="93"/>
      <c r="QX290" s="93">
        <v>469.125</v>
      </c>
      <c r="QY290" s="93">
        <v>1332.97</v>
      </c>
      <c r="QZ290" s="93">
        <v>1402.9029999999998</v>
      </c>
      <c r="RA290" s="93">
        <v>0</v>
      </c>
      <c r="RB290" s="93">
        <v>112.991</v>
      </c>
      <c r="RC290" s="93">
        <v>0</v>
      </c>
      <c r="RD290" s="93">
        <v>16.079000000000001</v>
      </c>
      <c r="RE290" s="93">
        <v>0</v>
      </c>
      <c r="RF290" s="93">
        <v>0</v>
      </c>
      <c r="RG290" s="93">
        <v>423.36300000000006</v>
      </c>
      <c r="RH290" s="93">
        <v>123.85300000000001</v>
      </c>
      <c r="RI290" s="93"/>
      <c r="RJ290" s="93"/>
      <c r="RK290" s="93"/>
      <c r="RL290" s="93"/>
      <c r="RM290" s="734"/>
      <c r="RN290" s="29">
        <v>223</v>
      </c>
      <c r="RO290" s="100">
        <f>(((RO289/RO288-1)+(RO288/RO287-1)+(RO287/RO286-1))^1/10+1)*RO289</f>
        <v>12.98060606060606</v>
      </c>
      <c r="RP290" s="100">
        <f>(((RP289/RP288-1)+(RP288/RP287-1)+(RP287/RP286-1))^1/10+1)*RP289</f>
        <v>189.36092307807371</v>
      </c>
      <c r="RQ290" s="29">
        <v>223</v>
      </c>
      <c r="RR290" s="734">
        <v>3.4495806900000003</v>
      </c>
      <c r="RS290" s="29">
        <v>223</v>
      </c>
      <c r="RT290" s="1504">
        <v>43282</v>
      </c>
      <c r="RU290" s="100">
        <v>1117</v>
      </c>
      <c r="RV290" s="100">
        <v>18</v>
      </c>
      <c r="RW290" s="29">
        <v>223</v>
      </c>
      <c r="RX290" s="1504">
        <v>43282</v>
      </c>
      <c r="RY290" s="29"/>
      <c r="RZ290" s="734"/>
      <c r="SA290" s="29"/>
      <c r="SB290" s="29">
        <v>223</v>
      </c>
    </row>
    <row r="291" spans="1:496">
      <c r="A291" s="41">
        <f t="shared" si="238"/>
        <v>2018</v>
      </c>
      <c r="B291" s="1504">
        <v>43313</v>
      </c>
      <c r="C291" s="1813">
        <v>1479</v>
      </c>
      <c r="D291" s="1814">
        <v>29341</v>
      </c>
      <c r="E291" s="1814">
        <v>99</v>
      </c>
      <c r="F291" s="1815">
        <v>502</v>
      </c>
      <c r="G291" s="1814">
        <v>123040</v>
      </c>
      <c r="H291" s="1814">
        <v>31</v>
      </c>
      <c r="I291" s="1814">
        <v>37910</v>
      </c>
      <c r="J291" s="1816">
        <v>17195</v>
      </c>
      <c r="K291" s="1807">
        <v>209597</v>
      </c>
      <c r="L291" s="25">
        <v>224</v>
      </c>
      <c r="M291" s="97"/>
      <c r="N291" s="1504">
        <v>43313</v>
      </c>
      <c r="O291" s="19">
        <v>1145</v>
      </c>
      <c r="P291" s="100">
        <v>830.53703243335326</v>
      </c>
      <c r="Q291" s="100">
        <v>14807.600259394434</v>
      </c>
      <c r="R291" s="93">
        <v>2717</v>
      </c>
      <c r="S291" s="99">
        <v>2872</v>
      </c>
      <c r="T291" s="93">
        <v>1171</v>
      </c>
      <c r="U291" s="93"/>
      <c r="V291" s="93">
        <v>2580</v>
      </c>
      <c r="W291" s="93">
        <v>3830</v>
      </c>
      <c r="X291" s="93">
        <v>1305</v>
      </c>
      <c r="Y291" s="93">
        <v>521</v>
      </c>
      <c r="Z291" s="93">
        <v>1572</v>
      </c>
      <c r="AA291" s="100">
        <v>1255.2481147195599</v>
      </c>
      <c r="AB291" s="132">
        <v>34606.38540654735</v>
      </c>
      <c r="AC291" s="25">
        <v>224</v>
      </c>
      <c r="AD291" s="97"/>
      <c r="AE291" s="1504">
        <v>43313</v>
      </c>
      <c r="AF291" s="19">
        <v>2475</v>
      </c>
      <c r="AG291" s="100">
        <v>1003</v>
      </c>
      <c r="AH291" s="100">
        <v>6027</v>
      </c>
      <c r="AI291" s="93">
        <v>3852</v>
      </c>
      <c r="AJ291" s="99">
        <v>3094</v>
      </c>
      <c r="AK291" s="93">
        <v>3142</v>
      </c>
      <c r="AL291" s="93">
        <v>899</v>
      </c>
      <c r="AM291" s="93">
        <v>3399</v>
      </c>
      <c r="AN291" s="93">
        <v>4986</v>
      </c>
      <c r="AO291" s="93">
        <v>2531</v>
      </c>
      <c r="AP291" s="93">
        <v>961</v>
      </c>
      <c r="AQ291" s="93">
        <v>4552</v>
      </c>
      <c r="AR291" s="100">
        <v>989</v>
      </c>
      <c r="AS291" s="20">
        <v>37910</v>
      </c>
      <c r="AT291" s="25">
        <v>224</v>
      </c>
      <c r="AU291" s="97"/>
      <c r="AV291" s="1504">
        <v>43313</v>
      </c>
      <c r="AW291" s="19">
        <v>14494</v>
      </c>
      <c r="AX291" s="100">
        <v>1734.3003819203082</v>
      </c>
      <c r="AY291" s="100">
        <v>4649.7543465745066</v>
      </c>
      <c r="AZ291" s="93">
        <v>18291</v>
      </c>
      <c r="BA291" s="99">
        <v>11512</v>
      </c>
      <c r="BB291" s="93">
        <v>8056</v>
      </c>
      <c r="BC291" s="93"/>
      <c r="BD291" s="93">
        <v>15276</v>
      </c>
      <c r="BE291" s="93">
        <v>13201</v>
      </c>
      <c r="BF291" s="93">
        <v>8035</v>
      </c>
      <c r="BG291" s="93">
        <v>5289</v>
      </c>
      <c r="BH291" s="93">
        <v>10556</v>
      </c>
      <c r="BI291" s="100">
        <v>4794.7789471825126</v>
      </c>
      <c r="BJ291" s="132">
        <v>115888.83367567732</v>
      </c>
      <c r="BK291" s="25">
        <v>224</v>
      </c>
      <c r="BL291" s="97"/>
      <c r="BM291" s="1504">
        <v>43313</v>
      </c>
      <c r="BN291" s="19">
        <v>48.653999999999996</v>
      </c>
      <c r="BO291" s="93">
        <v>1461.8809999999999</v>
      </c>
      <c r="BP291" s="93">
        <v>11.712</v>
      </c>
      <c r="BQ291" s="93">
        <v>634.38400000000013</v>
      </c>
      <c r="BR291" s="93">
        <v>3.2130000000000001</v>
      </c>
      <c r="BS291" s="93">
        <v>197.30699999999999</v>
      </c>
      <c r="BT291" s="93">
        <v>232.94399999999999</v>
      </c>
      <c r="BU291" s="132">
        <v>2590.0949999999998</v>
      </c>
      <c r="BV291" s="25">
        <v>224</v>
      </c>
      <c r="BW291" s="97"/>
      <c r="BX291" s="1504">
        <v>43313</v>
      </c>
      <c r="BY291" s="179">
        <v>563.005</v>
      </c>
      <c r="BZ291" s="99">
        <v>664.95699999999999</v>
      </c>
      <c r="CA291" s="99">
        <v>581.471</v>
      </c>
      <c r="CB291" s="99">
        <v>40.59732936956415</v>
      </c>
      <c r="CC291" s="99">
        <v>126</v>
      </c>
      <c r="CD291" s="25">
        <v>224</v>
      </c>
      <c r="CE291" s="97"/>
      <c r="CF291" s="1504">
        <v>43313</v>
      </c>
      <c r="CG291" s="1508">
        <v>2.0844682099999998</v>
      </c>
      <c r="CH291" s="568">
        <v>1201.71</v>
      </c>
      <c r="CI291" s="1708">
        <v>71.0833333333333</v>
      </c>
      <c r="CJ291" s="1509">
        <v>73.13</v>
      </c>
      <c r="CK291" s="1508">
        <v>393.5</v>
      </c>
      <c r="CL291" s="568">
        <v>162.37331599999999</v>
      </c>
      <c r="CM291" s="568">
        <v>0.24449235799999999</v>
      </c>
      <c r="CN291" s="568">
        <v>0.37704617600000001</v>
      </c>
      <c r="CO291" s="568">
        <v>236.62923480000001</v>
      </c>
      <c r="CP291" s="1509">
        <v>4.1144823060000002</v>
      </c>
      <c r="CQ291" s="1708">
        <v>1477.1</v>
      </c>
      <c r="CR291" s="568">
        <v>2.395</v>
      </c>
      <c r="CS291" s="568">
        <v>1.4738</v>
      </c>
      <c r="CT291" s="568">
        <v>87.5</v>
      </c>
      <c r="CU291" s="568">
        <v>67.150000000000006</v>
      </c>
      <c r="CV291" s="1709">
        <v>2512</v>
      </c>
      <c r="CW291" s="29">
        <v>224</v>
      </c>
      <c r="CX291" s="41">
        <f t="shared" si="239"/>
        <v>2018</v>
      </c>
      <c r="CY291" s="1504">
        <v>43313</v>
      </c>
      <c r="CZ291" s="1916">
        <v>123.06363720660914</v>
      </c>
      <c r="DA291" s="1526">
        <v>64.677718206609129</v>
      </c>
      <c r="DB291" s="1526">
        <v>45.307301000000002</v>
      </c>
      <c r="DC291" s="182">
        <f t="shared" si="277"/>
        <v>669448</v>
      </c>
      <c r="DD291" s="182">
        <f t="shared" si="278"/>
        <v>667702</v>
      </c>
      <c r="DE291" s="182">
        <f t="shared" si="279"/>
        <v>1746</v>
      </c>
      <c r="DF291" s="29">
        <v>224</v>
      </c>
      <c r="DG291" s="1504">
        <v>43313</v>
      </c>
      <c r="DH291" s="181">
        <v>396000.5</v>
      </c>
      <c r="DI291" s="182">
        <v>3822897</v>
      </c>
      <c r="DJ291" s="182">
        <v>209734</v>
      </c>
      <c r="DK291" s="182">
        <v>16200</v>
      </c>
      <c r="DL291" s="182">
        <v>447960</v>
      </c>
      <c r="DM291" s="182">
        <v>7197</v>
      </c>
      <c r="DN291" s="290">
        <v>1251187</v>
      </c>
      <c r="DO291" s="295">
        <f t="shared" si="282"/>
        <v>5755175</v>
      </c>
      <c r="DP291" s="29">
        <v>224</v>
      </c>
      <c r="DQ291" s="1504">
        <v>43313</v>
      </c>
      <c r="DR291" s="19">
        <v>44834</v>
      </c>
      <c r="DS291" s="93">
        <v>359</v>
      </c>
      <c r="DT291" s="93">
        <v>44424</v>
      </c>
      <c r="DU291" s="93">
        <v>1873</v>
      </c>
      <c r="DV291" s="93">
        <v>6169</v>
      </c>
      <c r="DW291" s="93">
        <v>3091</v>
      </c>
      <c r="DX291" s="1719">
        <v>13405</v>
      </c>
      <c r="DY291" s="29">
        <v>224</v>
      </c>
      <c r="DZ291" s="1504">
        <v>43313</v>
      </c>
      <c r="EA291" s="19"/>
      <c r="EB291" s="93"/>
      <c r="EC291" s="20"/>
      <c r="ED291" s="29"/>
      <c r="EE291" s="1504">
        <v>43313</v>
      </c>
      <c r="EF291" s="179">
        <v>20252</v>
      </c>
      <c r="EG291" s="99">
        <v>30215</v>
      </c>
      <c r="EH291" s="99">
        <f t="shared" si="283"/>
        <v>50467</v>
      </c>
      <c r="EI291" s="221">
        <v>11093</v>
      </c>
      <c r="EJ291" s="99">
        <v>588.28200000000004</v>
      </c>
      <c r="EK291" s="99">
        <v>107.169</v>
      </c>
      <c r="EL291" s="1150">
        <v>7.2279999999999998</v>
      </c>
      <c r="EM291" s="1150">
        <v>27.603999999999999</v>
      </c>
      <c r="EN291" s="132">
        <v>730.28300000000002</v>
      </c>
      <c r="EO291" s="29">
        <v>224</v>
      </c>
      <c r="EP291" s="1504">
        <v>43313</v>
      </c>
      <c r="EQ291" s="19">
        <v>19679</v>
      </c>
      <c r="ER291" s="93">
        <v>27604</v>
      </c>
      <c r="ES291" s="93">
        <v>47283</v>
      </c>
      <c r="ET291" s="214">
        <v>10279</v>
      </c>
      <c r="EU291" s="93">
        <v>588.28200000000004</v>
      </c>
      <c r="EV291" s="93">
        <v>107.169</v>
      </c>
      <c r="EW291" s="93">
        <v>7.2279999999999998</v>
      </c>
      <c r="EX291" s="93">
        <v>27.603999999999999</v>
      </c>
      <c r="EY291" s="93">
        <f t="shared" si="280"/>
        <v>730.28300000000002</v>
      </c>
      <c r="EZ291" s="29">
        <v>224</v>
      </c>
      <c r="FA291" s="1504">
        <v>43313</v>
      </c>
      <c r="FB291" s="29">
        <v>573</v>
      </c>
      <c r="FC291" s="29">
        <v>2611</v>
      </c>
      <c r="FD291" s="29">
        <f t="shared" si="284"/>
        <v>3184</v>
      </c>
      <c r="FE291" s="29">
        <v>814</v>
      </c>
      <c r="FF291" s="29">
        <v>0</v>
      </c>
      <c r="FG291" s="29">
        <v>0</v>
      </c>
      <c r="FH291" s="29">
        <v>0</v>
      </c>
      <c r="FI291" s="29">
        <v>0</v>
      </c>
      <c r="FJ291" s="29">
        <v>0</v>
      </c>
      <c r="FK291" s="29">
        <v>224</v>
      </c>
      <c r="FL291" s="1504">
        <v>43313</v>
      </c>
      <c r="FM291" s="179">
        <v>106.93</v>
      </c>
      <c r="FN291" s="99">
        <v>111.81</v>
      </c>
      <c r="FO291" s="99">
        <v>129.4</v>
      </c>
      <c r="FP291" s="99">
        <v>100.39</v>
      </c>
      <c r="FQ291" s="99">
        <v>96.09</v>
      </c>
      <c r="FR291" s="99">
        <v>101.15</v>
      </c>
      <c r="FS291" s="99">
        <v>100.28</v>
      </c>
      <c r="FT291" s="99">
        <v>97.49</v>
      </c>
      <c r="FU291" s="99">
        <v>109.26</v>
      </c>
      <c r="FV291" s="99">
        <v>101.16</v>
      </c>
      <c r="FW291" s="99">
        <v>103.15</v>
      </c>
      <c r="FX291" s="99">
        <v>103.25</v>
      </c>
      <c r="FY291" s="99">
        <v>100.31</v>
      </c>
      <c r="FZ291" s="29">
        <v>224</v>
      </c>
      <c r="GA291" s="1504">
        <v>43313</v>
      </c>
      <c r="GB291" s="419">
        <v>106.93</v>
      </c>
      <c r="GC291" s="100">
        <v>102.36</v>
      </c>
      <c r="GD291" s="100">
        <v>109.3</v>
      </c>
      <c r="GE291" s="100">
        <v>90.99</v>
      </c>
      <c r="GF291" s="100">
        <v>119.18</v>
      </c>
      <c r="GG291" s="100">
        <v>103.41</v>
      </c>
      <c r="GH291" s="100">
        <v>115.22</v>
      </c>
      <c r="GI291" s="100">
        <v>102.5</v>
      </c>
      <c r="GJ291" s="100">
        <v>102.95</v>
      </c>
      <c r="GK291" s="100">
        <v>100.57</v>
      </c>
      <c r="GL291" s="100">
        <v>110.05</v>
      </c>
      <c r="GM291" s="100">
        <v>100.62</v>
      </c>
      <c r="GN291" s="306">
        <v>102.95</v>
      </c>
      <c r="GO291" s="29">
        <v>224</v>
      </c>
      <c r="GP291" s="1504">
        <v>43313</v>
      </c>
      <c r="GQ291" s="1692">
        <f t="shared" si="296"/>
        <v>329.80401253437168</v>
      </c>
      <c r="GR291" s="1693">
        <f t="shared" si="296"/>
        <v>265.70845146363291</v>
      </c>
      <c r="GS291" s="1693">
        <f t="shared" si="296"/>
        <v>261.01098470550141</v>
      </c>
      <c r="GT291" s="1693">
        <f t="shared" si="296"/>
        <v>245.87043360843103</v>
      </c>
      <c r="GU291" s="1693">
        <f t="shared" si="296"/>
        <v>427.62210942700949</v>
      </c>
      <c r="GV291" s="1694">
        <f t="shared" si="296"/>
        <v>932.66620433930746</v>
      </c>
      <c r="GW291" s="513">
        <f t="shared" si="296"/>
        <v>448.86291302240733</v>
      </c>
      <c r="GX291" s="511">
        <f t="shared" si="296"/>
        <v>447.40672621467621</v>
      </c>
      <c r="GY291" s="511">
        <f t="shared" si="296"/>
        <v>543.81159687444995</v>
      </c>
      <c r="GZ291" s="511">
        <f t="shared" si="296"/>
        <v>536.20016229553516</v>
      </c>
      <c r="HA291" s="511">
        <f t="shared" si="297"/>
        <v>1778.1282317639268</v>
      </c>
      <c r="HB291" s="512">
        <f t="shared" si="297"/>
        <v>1052.9150028748841</v>
      </c>
      <c r="HC291" s="513">
        <f t="shared" si="297"/>
        <v>1791.1068075351207</v>
      </c>
      <c r="HD291" s="511">
        <f t="shared" si="297"/>
        <v>1587.1692726352028</v>
      </c>
      <c r="HE291" s="511">
        <f t="shared" si="297"/>
        <v>2202.1000380568616</v>
      </c>
      <c r="HF291" s="511">
        <f t="shared" si="297"/>
        <v>3150</v>
      </c>
      <c r="HG291" s="511">
        <f t="shared" si="297"/>
        <v>3845.0987530361049</v>
      </c>
      <c r="HH291" s="512">
        <f t="shared" si="297"/>
        <v>2982.952144688737</v>
      </c>
      <c r="HI291" s="19"/>
      <c r="HJ291" s="511">
        <v>888.90791829313594</v>
      </c>
      <c r="HK291" s="511">
        <v>1842.3288638105196</v>
      </c>
      <c r="HL291" s="511">
        <v>1192.1876224476448</v>
      </c>
      <c r="HM291" s="511">
        <v>900</v>
      </c>
      <c r="HN291" s="512">
        <v>1738.8971549300582</v>
      </c>
      <c r="HO291" s="514">
        <v>117.27610676355755</v>
      </c>
      <c r="HP291" s="512">
        <v>102.2430269919099</v>
      </c>
      <c r="HQ291" s="1510">
        <v>147.96508557461925</v>
      </c>
      <c r="HR291" s="29">
        <v>224</v>
      </c>
      <c r="HS291" s="1504">
        <v>43313</v>
      </c>
      <c r="HT291" s="419">
        <v>278.20945739746094</v>
      </c>
      <c r="HU291" s="100">
        <v>305.55557250976563</v>
      </c>
      <c r="HV291" s="100">
        <v>234.68304061889648</v>
      </c>
      <c r="HW291" s="100">
        <v>197.43589782714844</v>
      </c>
      <c r="HX291" s="100">
        <v>250</v>
      </c>
      <c r="HY291" s="100">
        <v>267.36110687255859</v>
      </c>
      <c r="HZ291" s="100">
        <v>256.4102783203125</v>
      </c>
      <c r="IA291" s="306">
        <v>230.39216613769531</v>
      </c>
      <c r="IB291" s="419">
        <v>172.00228118896484</v>
      </c>
      <c r="IC291" s="100">
        <v>144.5488166809082</v>
      </c>
      <c r="ID291" s="100">
        <v>172.41378784179688</v>
      </c>
      <c r="IE291" s="100">
        <v>132.57575988769531</v>
      </c>
      <c r="IF291" s="100">
        <v>191.66666666666666</v>
      </c>
      <c r="IG291" s="306">
        <v>169.07408142089844</v>
      </c>
      <c r="IH291" s="419">
        <v>171.33458709716797</v>
      </c>
      <c r="II291" s="100">
        <v>250</v>
      </c>
      <c r="IJ291" s="100">
        <v>190.67796325683594</v>
      </c>
      <c r="IK291" s="100">
        <v>196.42857360839844</v>
      </c>
      <c r="IL291" s="100">
        <v>179.03990173339844</v>
      </c>
      <c r="IM291" s="100">
        <v>173.61111831665039</v>
      </c>
      <c r="IN291" s="100">
        <f>(((IN290/IN289-1)+(IN289/IN288-1))^1/2+1)*IN290</f>
        <v>195.06076836991147</v>
      </c>
      <c r="IO291" s="306">
        <v>193.54838562011719</v>
      </c>
      <c r="IP291" s="29">
        <v>224</v>
      </c>
      <c r="IQ291" s="419">
        <f t="shared" si="298"/>
        <v>166.25005883377619</v>
      </c>
      <c r="IR291" s="100">
        <f t="shared" si="298"/>
        <v>141.70365904021557</v>
      </c>
      <c r="IS291" s="100">
        <f t="shared" si="298"/>
        <v>178.56115233043707</v>
      </c>
      <c r="IT291" s="100">
        <f t="shared" si="298"/>
        <v>164.15111072986301</v>
      </c>
      <c r="IU291" s="100">
        <f t="shared" si="298"/>
        <v>184.59727725948352</v>
      </c>
      <c r="IV291" s="306">
        <f t="shared" si="298"/>
        <v>171.33950948167362</v>
      </c>
      <c r="IW291" s="29">
        <v>224</v>
      </c>
      <c r="IX291" s="419">
        <f t="shared" ref="IX291:JE291" si="302">(((IX290/IX289-1)+(IX289/IX288-1))^1/2+1)*IX290</f>
        <v>400</v>
      </c>
      <c r="IY291" s="100">
        <f t="shared" si="302"/>
        <v>349.00626486543206</v>
      </c>
      <c r="IZ291" s="100">
        <f t="shared" si="302"/>
        <v>434.03598901435862</v>
      </c>
      <c r="JA291" s="100">
        <f t="shared" si="302"/>
        <v>375</v>
      </c>
      <c r="JB291" s="100">
        <f t="shared" si="302"/>
        <v>394.51668639053253</v>
      </c>
      <c r="JC291" s="100">
        <f t="shared" si="302"/>
        <v>400</v>
      </c>
      <c r="JD291" s="100">
        <f t="shared" si="302"/>
        <v>340</v>
      </c>
      <c r="JE291" s="306">
        <f t="shared" si="302"/>
        <v>337.48274810629874</v>
      </c>
      <c r="JF291" s="29">
        <v>224</v>
      </c>
      <c r="JG291" s="419">
        <f t="shared" ref="JG291:JU291" si="303">(((JG290/JG289-1)+(JG289/JG288-1))^1/2+1)*JG290</f>
        <v>239.63089580779882</v>
      </c>
      <c r="JH291" s="100">
        <f t="shared" si="303"/>
        <v>485.92743726073257</v>
      </c>
      <c r="JI291" s="100">
        <f t="shared" si="303"/>
        <v>234.14968478059859</v>
      </c>
      <c r="JJ291" s="100">
        <f t="shared" si="303"/>
        <v>264.82707097298464</v>
      </c>
      <c r="JK291" s="100">
        <f t="shared" si="303"/>
        <v>248.08130287521362</v>
      </c>
      <c r="JL291" s="100">
        <f t="shared" si="303"/>
        <v>266.90137313619277</v>
      </c>
      <c r="JM291" s="100">
        <f t="shared" si="303"/>
        <v>193.39997699683556</v>
      </c>
      <c r="JN291" s="306">
        <f t="shared" si="303"/>
        <v>248.78605427366665</v>
      </c>
      <c r="JO291" s="29">
        <v>224</v>
      </c>
      <c r="JP291" s="419">
        <f t="shared" si="303"/>
        <v>378.15343076486516</v>
      </c>
      <c r="JQ291" s="100">
        <f t="shared" si="303"/>
        <v>184.60676051076771</v>
      </c>
      <c r="JR291" s="100">
        <f t="shared" si="303"/>
        <v>206.15610267140735</v>
      </c>
      <c r="JS291" s="100"/>
      <c r="JT291" s="100">
        <f t="shared" si="303"/>
        <v>229.14210064052369</v>
      </c>
      <c r="JU291" s="306">
        <f t="shared" si="303"/>
        <v>209.42922340134933</v>
      </c>
      <c r="JV291" s="29">
        <v>224</v>
      </c>
      <c r="JW291" s="1504">
        <v>43313</v>
      </c>
      <c r="JX291" s="179"/>
      <c r="JY291" s="100">
        <v>311.25</v>
      </c>
      <c r="JZ291" s="100">
        <v>248.625</v>
      </c>
      <c r="KA291" s="100">
        <v>237.5</v>
      </c>
      <c r="KB291" s="100">
        <v>246.666666666667</v>
      </c>
      <c r="KC291" s="100">
        <v>212.916666666667</v>
      </c>
      <c r="KD291" s="306">
        <v>286.38888888888886</v>
      </c>
      <c r="KE291" s="29">
        <v>224</v>
      </c>
      <c r="KF291" s="179"/>
      <c r="KG291" s="100">
        <v>50.541666666666664</v>
      </c>
      <c r="KH291" s="100">
        <v>48.75</v>
      </c>
      <c r="KI291" s="100">
        <v>60.464285714285701</v>
      </c>
      <c r="KJ291" s="100">
        <v>40.066666666666698</v>
      </c>
      <c r="KK291" s="306">
        <v>74.194805194805198</v>
      </c>
      <c r="KL291" s="29">
        <v>224</v>
      </c>
      <c r="KM291" s="100">
        <f t="shared" si="253"/>
        <v>11.482247201072745</v>
      </c>
      <c r="KN291" s="100">
        <v>21.7</v>
      </c>
      <c r="KO291" s="100">
        <v>36.3333333333333</v>
      </c>
      <c r="KP291" s="100">
        <v>37.519230769230766</v>
      </c>
      <c r="KQ291" s="100">
        <v>23.6111111111111</v>
      </c>
      <c r="KR291" s="306">
        <v>28.626315789473701</v>
      </c>
      <c r="KS291" s="29">
        <v>224</v>
      </c>
      <c r="KT291" s="100">
        <f t="shared" si="254"/>
        <v>45.256294057192626</v>
      </c>
      <c r="KU291" s="100">
        <v>21.7</v>
      </c>
      <c r="KV291" s="100">
        <v>23.375</v>
      </c>
      <c r="KW291" s="100">
        <v>23.65</v>
      </c>
      <c r="KX291" s="100">
        <v>20.1666666666667</v>
      </c>
      <c r="KY291" s="100">
        <v>23.184615384615402</v>
      </c>
      <c r="KZ291" s="29">
        <v>224</v>
      </c>
      <c r="LA291" s="1504">
        <v>43313</v>
      </c>
      <c r="LB291" s="19">
        <v>380</v>
      </c>
      <c r="LC291" s="93">
        <v>610</v>
      </c>
      <c r="LD291" s="93">
        <v>602</v>
      </c>
      <c r="LE291" s="93"/>
      <c r="LF291" s="93">
        <v>526</v>
      </c>
      <c r="LG291" s="93">
        <v>5000</v>
      </c>
      <c r="LH291" s="20">
        <v>2000</v>
      </c>
      <c r="LI291" s="29">
        <v>224</v>
      </c>
      <c r="LJ291" s="19"/>
      <c r="LK291" s="93"/>
      <c r="LL291" s="93"/>
      <c r="LM291" s="93"/>
      <c r="LN291" s="93"/>
      <c r="LO291" s="20"/>
      <c r="LP291" s="29">
        <v>224</v>
      </c>
      <c r="LQ291" s="19"/>
      <c r="LR291" s="93">
        <v>188</v>
      </c>
      <c r="LS291" s="93">
        <v>445</v>
      </c>
      <c r="LT291" s="93">
        <v>535</v>
      </c>
      <c r="LU291" s="93">
        <v>1070</v>
      </c>
      <c r="LV291" s="93"/>
      <c r="LW291" s="93">
        <v>5</v>
      </c>
      <c r="LX291" s="93">
        <v>10</v>
      </c>
      <c r="LY291" s="93">
        <v>60</v>
      </c>
      <c r="LZ291" s="93"/>
      <c r="MA291" s="20">
        <v>1070</v>
      </c>
      <c r="MB291" s="29">
        <v>224</v>
      </c>
      <c r="MC291" s="1504">
        <v>43313</v>
      </c>
      <c r="MD291" s="733">
        <v>1086.4028858876272</v>
      </c>
      <c r="ME291" s="570">
        <v>998.01701320479992</v>
      </c>
      <c r="MF291" s="570">
        <v>998.01701320479992</v>
      </c>
      <c r="MG291" s="570">
        <v>895.94217441479998</v>
      </c>
      <c r="MH291" s="570">
        <v>265.42544958943051</v>
      </c>
      <c r="MI291" s="570">
        <v>8.3447381343608811</v>
      </c>
      <c r="MJ291" s="570">
        <v>4.3587321334242066</v>
      </c>
      <c r="MK291" s="570">
        <v>481.67041909773025</v>
      </c>
      <c r="ML291" s="570">
        <v>128.71168736300001</v>
      </c>
      <c r="MM291" s="570">
        <v>7.4311480968540744</v>
      </c>
      <c r="MN291" s="570">
        <v>102.07483879</v>
      </c>
      <c r="MO291" s="570">
        <v>4.1971431220000008</v>
      </c>
      <c r="MP291" s="570">
        <v>18.246814942</v>
      </c>
      <c r="MQ291" s="570">
        <v>1.3347617519999999</v>
      </c>
      <c r="MR291" s="570">
        <v>19.555438454000001</v>
      </c>
      <c r="MS291" s="570">
        <v>58.740680520000005</v>
      </c>
      <c r="MT291" s="570">
        <v>0</v>
      </c>
      <c r="MU291" s="570">
        <v>88.385872682827227</v>
      </c>
      <c r="MV291" s="570">
        <v>61.493217886827232</v>
      </c>
      <c r="MW291" s="570">
        <v>26.892654796000002</v>
      </c>
      <c r="MX291" s="570">
        <v>1295.452004120739</v>
      </c>
      <c r="MY291" s="570">
        <v>1301.810918714739</v>
      </c>
      <c r="MZ291" s="570">
        <v>924.99073964733327</v>
      </c>
      <c r="NA291" s="570">
        <v>449.63782402933327</v>
      </c>
      <c r="NB291" s="570">
        <v>110.30537226800003</v>
      </c>
      <c r="NC291" s="570">
        <v>56.164672832999983</v>
      </c>
      <c r="ND291" s="570">
        <v>41.857570842000001</v>
      </c>
      <c r="NE291" s="570">
        <v>14.307101990999998</v>
      </c>
      <c r="NF291" s="570">
        <v>308.88287051700001</v>
      </c>
      <c r="NG291" s="570">
        <v>0</v>
      </c>
      <c r="NH291" s="570">
        <v>94.99933557899999</v>
      </c>
      <c r="NI291" s="570">
        <v>0</v>
      </c>
      <c r="NJ291" s="570">
        <v>21</v>
      </c>
      <c r="NK291" s="570">
        <v>376.82017906740583</v>
      </c>
      <c r="NL291" s="570">
        <v>242.40385644200001</v>
      </c>
      <c r="NM291" s="570">
        <v>8.3547106210000006</v>
      </c>
      <c r="NN291" s="570">
        <v>1.3308962450000001</v>
      </c>
      <c r="NO291" s="570">
        <v>-6.3589145939999998</v>
      </c>
      <c r="NP291" s="570">
        <v>-209.04911823311193</v>
      </c>
      <c r="NQ291" s="570">
        <v>-297.43499091593912</v>
      </c>
      <c r="NR291" s="570">
        <v>-108.18489170253336</v>
      </c>
      <c r="NS291" s="570">
        <v>-164.34956453553337</v>
      </c>
      <c r="NT291" s="570">
        <v>-279.30247021011195</v>
      </c>
      <c r="NU291" s="570">
        <v>-367.68834289293915</v>
      </c>
      <c r="NV291" s="570">
        <v>284.04608441757858</v>
      </c>
      <c r="NW291" s="570">
        <v>73.75967240957857</v>
      </c>
      <c r="NX291" s="570">
        <v>99.798359493578587</v>
      </c>
      <c r="NY291" s="570">
        <v>-26.038687084000003</v>
      </c>
      <c r="NZ291" s="570">
        <v>0</v>
      </c>
      <c r="OA291" s="570">
        <v>210.28641200800001</v>
      </c>
      <c r="OB291" s="570">
        <v>65.527977875000005</v>
      </c>
      <c r="OC291" s="570">
        <v>144.75843413300001</v>
      </c>
      <c r="OD291" s="734">
        <v>-4.7436142074666447</v>
      </c>
      <c r="OE291" s="29">
        <v>224</v>
      </c>
      <c r="OF291" s="1504">
        <v>43313</v>
      </c>
      <c r="OG291" s="19"/>
      <c r="OH291" s="93">
        <v>512.52333656199994</v>
      </c>
      <c r="OI291" s="93">
        <v>1611.1873344400001</v>
      </c>
      <c r="OJ291" s="93">
        <v>0.35310495399999997</v>
      </c>
      <c r="OK291" s="93">
        <v>1391.9780000000001</v>
      </c>
      <c r="OL291" s="93">
        <v>218.85622948599999</v>
      </c>
      <c r="OM291" s="93">
        <v>2123.7106710019998</v>
      </c>
      <c r="ON291" s="93">
        <v>1438.1191083190001</v>
      </c>
      <c r="OO291" s="93">
        <v>3561.8297793209999</v>
      </c>
      <c r="OP291" s="93"/>
      <c r="OQ291" s="93">
        <v>1370.4860119099999</v>
      </c>
      <c r="OR291" s="93">
        <v>300.71201191000011</v>
      </c>
      <c r="OS291" s="93">
        <v>1069.7739999999999</v>
      </c>
      <c r="OT291" s="93">
        <v>2597.4150319750001</v>
      </c>
      <c r="OU291" s="93">
        <v>54.369214928000048</v>
      </c>
      <c r="OV291" s="93">
        <v>-62.544785071999996</v>
      </c>
      <c r="OW291" s="93">
        <v>116.91400000000004</v>
      </c>
      <c r="OX291" s="93">
        <v>2543.0458170470001</v>
      </c>
      <c r="OY291" s="93">
        <v>6.6038170469999997</v>
      </c>
      <c r="OZ291" s="93">
        <v>2536.442</v>
      </c>
      <c r="PA291" s="93">
        <v>568.26638656199998</v>
      </c>
      <c r="PB291" s="93">
        <v>-162.19512199799999</v>
      </c>
      <c r="PC291" s="20">
        <v>3561.8297793210004</v>
      </c>
      <c r="PD291" s="29">
        <v>224</v>
      </c>
      <c r="PE291" s="19"/>
      <c r="PF291" s="93">
        <v>300.71201191000011</v>
      </c>
      <c r="PG291" s="93">
        <v>1177.002752199</v>
      </c>
      <c r="PH291" s="93">
        <v>876.29074028899993</v>
      </c>
      <c r="PI291" s="93">
        <v>525.5</v>
      </c>
      <c r="PJ291" s="93">
        <v>-55.748847846999993</v>
      </c>
      <c r="PK291" s="93">
        <v>122.48528613000001</v>
      </c>
      <c r="PL291" s="93">
        <v>178.234133977</v>
      </c>
      <c r="PM291" s="93">
        <v>6.6038170469999997</v>
      </c>
      <c r="PN291" s="93">
        <v>2.1640000000000001</v>
      </c>
      <c r="PO291" s="93">
        <v>0</v>
      </c>
      <c r="PP291" s="93">
        <v>0</v>
      </c>
      <c r="PQ291" s="93">
        <v>4.439817047</v>
      </c>
      <c r="PR291" s="93">
        <v>784.85506779899993</v>
      </c>
      <c r="PS291" s="93">
        <v>586.02427378699997</v>
      </c>
      <c r="PT291" s="93">
        <v>198.14458073899999</v>
      </c>
      <c r="PU291" s="93">
        <v>0.6862132729999999</v>
      </c>
      <c r="PV291" s="93">
        <v>0</v>
      </c>
      <c r="PW291" s="93">
        <v>0.76499806199999998</v>
      </c>
      <c r="PX291" s="93">
        <v>0</v>
      </c>
      <c r="PY291" s="93">
        <v>0</v>
      </c>
      <c r="PZ291" s="93">
        <v>0.76499806199999998</v>
      </c>
      <c r="QA291" s="93">
        <v>0</v>
      </c>
      <c r="QB291" s="93">
        <v>0</v>
      </c>
      <c r="QC291" s="93">
        <v>0</v>
      </c>
      <c r="QD291" s="93">
        <v>11.9973885</v>
      </c>
      <c r="QE291" s="20">
        <v>-20.550473250999989</v>
      </c>
      <c r="QF291" s="1739">
        <v>224</v>
      </c>
      <c r="QG291" s="19"/>
      <c r="QH291" s="1035">
        <v>1069.7739999999999</v>
      </c>
      <c r="QI291" s="1035">
        <v>1513.394</v>
      </c>
      <c r="QJ291" s="1035">
        <v>-443.62</v>
      </c>
      <c r="QK291" s="1035">
        <v>264.64100000000002</v>
      </c>
      <c r="QL291" s="1035">
        <v>66.704999999999998</v>
      </c>
      <c r="QM291" s="1035">
        <v>197.93600000000001</v>
      </c>
      <c r="QN291" s="1035">
        <v>0</v>
      </c>
      <c r="QO291" s="1035">
        <v>116.91400000000004</v>
      </c>
      <c r="QP291" s="1035">
        <v>470.33000000000004</v>
      </c>
      <c r="QQ291" s="1035">
        <v>-353.416</v>
      </c>
      <c r="QR291" s="1035">
        <v>2536.442</v>
      </c>
      <c r="QS291" s="1035">
        <v>15.968999999999999</v>
      </c>
      <c r="QT291" s="1035">
        <v>0.23100000000000001</v>
      </c>
      <c r="QU291" s="1035">
        <v>133.80199999999999</v>
      </c>
      <c r="QV291" s="1035">
        <v>2386.44</v>
      </c>
      <c r="QW291" s="93"/>
      <c r="QX291" s="93">
        <v>472.73899999999998</v>
      </c>
      <c r="QY291" s="93">
        <v>1391.9780000000001</v>
      </c>
      <c r="QZ291" s="93">
        <v>1437.7860000000001</v>
      </c>
      <c r="RA291" s="93">
        <v>0</v>
      </c>
      <c r="RB291" s="93">
        <v>112.44799999999999</v>
      </c>
      <c r="RC291" s="93">
        <v>0</v>
      </c>
      <c r="RD291" s="93">
        <v>15.634</v>
      </c>
      <c r="RE291" s="93">
        <v>0</v>
      </c>
      <c r="RF291" s="93">
        <v>0</v>
      </c>
      <c r="RG291" s="93">
        <v>427.42200000000003</v>
      </c>
      <c r="RH291" s="93">
        <v>129.76399999999998</v>
      </c>
      <c r="RI291" s="93"/>
      <c r="RJ291" s="93"/>
      <c r="RK291" s="93"/>
      <c r="RL291" s="93"/>
      <c r="RM291" s="734"/>
      <c r="RN291" s="29">
        <v>224</v>
      </c>
      <c r="RO291" s="100">
        <f>(((RO290/RO289-1)+(RO289/RO288-1)+(RO288/RO287-1))^1/10+1)*RO290</f>
        <v>12.459218383838383</v>
      </c>
      <c r="RP291" s="100">
        <f>(((RP290/RP289-1)+(RP289/RP288-1)+(RP288/RP287-1))^1/10+1)*RP290</f>
        <v>180.99126847998451</v>
      </c>
      <c r="RQ291" s="29">
        <v>224</v>
      </c>
      <c r="RR291" s="734">
        <v>4.5856326299999992</v>
      </c>
      <c r="RS291" s="29">
        <v>224</v>
      </c>
      <c r="RT291" s="1504">
        <v>43313</v>
      </c>
      <c r="RU291" s="100">
        <v>956</v>
      </c>
      <c r="RV291" s="100">
        <v>16</v>
      </c>
      <c r="RW291" s="29">
        <v>224</v>
      </c>
      <c r="RX291" s="1504">
        <v>43313</v>
      </c>
      <c r="RY291" s="29"/>
      <c r="RZ291" s="734"/>
      <c r="SA291" s="29"/>
      <c r="SB291" s="29">
        <v>224</v>
      </c>
    </row>
    <row r="292" spans="1:496">
      <c r="A292" s="41">
        <f t="shared" si="238"/>
        <v>2018</v>
      </c>
      <c r="B292" s="1504">
        <v>43344</v>
      </c>
      <c r="C292" s="1813">
        <v>1490</v>
      </c>
      <c r="D292" s="1814">
        <v>28784</v>
      </c>
      <c r="E292" s="1814">
        <v>95</v>
      </c>
      <c r="F292" s="1815">
        <v>558</v>
      </c>
      <c r="G292" s="1814">
        <v>106790</v>
      </c>
      <c r="H292" s="1814">
        <v>37</v>
      </c>
      <c r="I292" s="1814">
        <v>34088</v>
      </c>
      <c r="J292" s="1816">
        <v>16113</v>
      </c>
      <c r="K292" s="1807">
        <v>187955</v>
      </c>
      <c r="L292" s="25">
        <v>225</v>
      </c>
      <c r="M292" s="97"/>
      <c r="N292" s="1504">
        <v>43344</v>
      </c>
      <c r="O292" s="19">
        <v>874</v>
      </c>
      <c r="P292" s="100">
        <v>800.87451432114653</v>
      </c>
      <c r="Q292" s="100">
        <v>14895.806188646391</v>
      </c>
      <c r="R292" s="99">
        <v>3174</v>
      </c>
      <c r="S292" s="100">
        <v>2959.2177848397823</v>
      </c>
      <c r="T292" s="93">
        <v>785</v>
      </c>
      <c r="U292" s="93"/>
      <c r="V292" s="93">
        <v>1943</v>
      </c>
      <c r="W292" s="93">
        <v>3412</v>
      </c>
      <c r="X292" s="93">
        <v>929</v>
      </c>
      <c r="Y292" s="93">
        <v>645</v>
      </c>
      <c r="Z292" s="99">
        <v>1175</v>
      </c>
      <c r="AA292" s="100">
        <v>1261.2602476557238</v>
      </c>
      <c r="AB292" s="132">
        <v>32854.158735463039</v>
      </c>
      <c r="AC292" s="25">
        <v>225</v>
      </c>
      <c r="AD292" s="97"/>
      <c r="AE292" s="1504">
        <v>43344</v>
      </c>
      <c r="AF292" s="19">
        <v>2551</v>
      </c>
      <c r="AG292" s="100">
        <v>727</v>
      </c>
      <c r="AH292" s="100">
        <v>6004</v>
      </c>
      <c r="AI292" s="99">
        <v>3738</v>
      </c>
      <c r="AJ292" s="100">
        <v>3867</v>
      </c>
      <c r="AK292" s="93">
        <v>1942</v>
      </c>
      <c r="AL292" s="93">
        <v>1073</v>
      </c>
      <c r="AM292" s="93">
        <v>2769</v>
      </c>
      <c r="AN292" s="93">
        <v>5179</v>
      </c>
      <c r="AO292" s="93">
        <v>1938</v>
      </c>
      <c r="AP292" s="93">
        <v>1067</v>
      </c>
      <c r="AQ292" s="99">
        <v>2143</v>
      </c>
      <c r="AR292" s="100">
        <v>1090</v>
      </c>
      <c r="AS292" s="20">
        <v>34088</v>
      </c>
      <c r="AT292" s="25">
        <v>225</v>
      </c>
      <c r="AU292" s="97"/>
      <c r="AV292" s="1504">
        <v>43344</v>
      </c>
      <c r="AW292" s="19">
        <v>12297</v>
      </c>
      <c r="AX292" s="100">
        <v>1642.7630343231515</v>
      </c>
      <c r="AY292" s="100">
        <v>4644.7317574002518</v>
      </c>
      <c r="AZ292" s="99">
        <v>13788</v>
      </c>
      <c r="BA292" s="100">
        <v>11581.506513004935</v>
      </c>
      <c r="BB292" s="93">
        <v>7363</v>
      </c>
      <c r="BC292" s="93"/>
      <c r="BD292" s="93">
        <v>12124</v>
      </c>
      <c r="BE292" s="93">
        <v>13079</v>
      </c>
      <c r="BF292" s="93">
        <v>6799</v>
      </c>
      <c r="BG292" s="93">
        <v>4855</v>
      </c>
      <c r="BH292" s="99">
        <v>8993</v>
      </c>
      <c r="BI292" s="100">
        <v>4796.1361286916608</v>
      </c>
      <c r="BJ292" s="132">
        <v>101963.13743341999</v>
      </c>
      <c r="BK292" s="25">
        <v>225</v>
      </c>
      <c r="BL292" s="97"/>
      <c r="BM292" s="1504">
        <v>43344</v>
      </c>
      <c r="BN292" s="19">
        <v>44.013000000000012</v>
      </c>
      <c r="BO292" s="93">
        <v>1525.3870000000004</v>
      </c>
      <c r="BP292" s="93">
        <v>35.519999999999996</v>
      </c>
      <c r="BQ292" s="93">
        <v>651.77600000000007</v>
      </c>
      <c r="BR292" s="93">
        <v>8.109</v>
      </c>
      <c r="BS292" s="93">
        <v>223.09199999999998</v>
      </c>
      <c r="BT292" s="93">
        <v>255.02400000000003</v>
      </c>
      <c r="BU292" s="132">
        <v>2742.9210000000003</v>
      </c>
      <c r="BV292" s="25">
        <v>225</v>
      </c>
      <c r="BW292" s="97"/>
      <c r="BX292" s="1504">
        <v>43344</v>
      </c>
      <c r="BY292" s="179">
        <v>562.61900000000003</v>
      </c>
      <c r="BZ292" s="99">
        <v>664.95699999999999</v>
      </c>
      <c r="CA292" s="99">
        <v>581.21299999999997</v>
      </c>
      <c r="CB292" s="99">
        <v>38.419977364404069</v>
      </c>
      <c r="CC292" s="99">
        <v>116.56837736842104</v>
      </c>
      <c r="CD292" s="25">
        <v>225</v>
      </c>
      <c r="CE292" s="97"/>
      <c r="CF292" s="1504">
        <v>43344</v>
      </c>
      <c r="CG292" s="1508">
        <v>1.9920946319999999</v>
      </c>
      <c r="CH292" s="568">
        <v>1198.3900000000001</v>
      </c>
      <c r="CI292" s="1708">
        <v>75.363333333333301</v>
      </c>
      <c r="CJ292" s="1509">
        <v>78.86</v>
      </c>
      <c r="CK292" s="1508">
        <v>395.35</v>
      </c>
      <c r="CL292" s="568">
        <v>154.8028496</v>
      </c>
      <c r="CM292" s="568">
        <v>0.25066529399999998</v>
      </c>
      <c r="CN292" s="568">
        <v>0.38073630400000003</v>
      </c>
      <c r="CO292" s="568">
        <v>212.37841259999999</v>
      </c>
      <c r="CP292" s="1509">
        <v>4.0103140110000002</v>
      </c>
      <c r="CQ292" s="1708">
        <v>1442.29</v>
      </c>
      <c r="CR292" s="568">
        <v>2.4125000000000001</v>
      </c>
      <c r="CS292" s="568">
        <v>1.4418</v>
      </c>
      <c r="CT292" s="568">
        <v>87.5</v>
      </c>
      <c r="CU292" s="568">
        <v>68.44</v>
      </c>
      <c r="CV292" s="1709">
        <v>2434.6799999999998</v>
      </c>
      <c r="CW292" s="29">
        <v>225</v>
      </c>
      <c r="CX292" s="41">
        <f t="shared" si="239"/>
        <v>2018</v>
      </c>
      <c r="CY292" s="1504">
        <v>43344</v>
      </c>
      <c r="CZ292" s="1916">
        <v>121.96905879458902</v>
      </c>
      <c r="DA292" s="1526">
        <v>65.305661794589014</v>
      </c>
      <c r="DB292" s="1526">
        <v>42.054450000000003</v>
      </c>
      <c r="DC292" s="182">
        <f t="shared" si="277"/>
        <v>669448</v>
      </c>
      <c r="DD292" s="182">
        <f t="shared" si="278"/>
        <v>667702</v>
      </c>
      <c r="DE292" s="182">
        <f t="shared" si="279"/>
        <v>1746</v>
      </c>
      <c r="DF292" s="29">
        <v>225</v>
      </c>
      <c r="DG292" s="1504">
        <v>43344</v>
      </c>
      <c r="DH292" s="181">
        <v>396475</v>
      </c>
      <c r="DI292" s="182">
        <v>3849918</v>
      </c>
      <c r="DJ292" s="182">
        <v>225080</v>
      </c>
      <c r="DK292" s="182">
        <v>17204</v>
      </c>
      <c r="DL292" s="182">
        <v>447624</v>
      </c>
      <c r="DM292" s="182">
        <v>9021</v>
      </c>
      <c r="DN292" s="290">
        <v>1160509</v>
      </c>
      <c r="DO292" s="295">
        <f t="shared" si="282"/>
        <v>5709356</v>
      </c>
      <c r="DP292" s="29">
        <v>225</v>
      </c>
      <c r="DQ292" s="1504">
        <v>43344</v>
      </c>
      <c r="DR292" s="19">
        <v>46853</v>
      </c>
      <c r="DS292" s="93">
        <v>299</v>
      </c>
      <c r="DT292" s="93">
        <v>53354</v>
      </c>
      <c r="DU292" s="93">
        <v>1733</v>
      </c>
      <c r="DV292" s="93">
        <v>4319</v>
      </c>
      <c r="DW292" s="93">
        <v>3429</v>
      </c>
      <c r="DX292" s="1719">
        <v>15032</v>
      </c>
      <c r="DY292" s="29">
        <v>225</v>
      </c>
      <c r="DZ292" s="1504">
        <v>43344</v>
      </c>
      <c r="EA292" s="19"/>
      <c r="EB292" s="93"/>
      <c r="EC292" s="20"/>
      <c r="ED292" s="29"/>
      <c r="EE292" s="1504">
        <v>43344</v>
      </c>
      <c r="EF292" s="179">
        <v>26810</v>
      </c>
      <c r="EG292" s="99">
        <v>21222</v>
      </c>
      <c r="EH292" s="99">
        <f t="shared" si="283"/>
        <v>48032</v>
      </c>
      <c r="EI292" s="221">
        <v>20956</v>
      </c>
      <c r="EJ292" s="99">
        <v>533.58399999999995</v>
      </c>
      <c r="EK292" s="99">
        <v>74.998999999999995</v>
      </c>
      <c r="EL292" s="1150">
        <v>4.7300000000000004</v>
      </c>
      <c r="EM292" s="1150">
        <v>20.716999999999999</v>
      </c>
      <c r="EN292" s="132">
        <v>634.03</v>
      </c>
      <c r="EO292" s="29">
        <v>225</v>
      </c>
      <c r="EP292" s="1504">
        <v>43344</v>
      </c>
      <c r="EQ292" s="19">
        <v>24125</v>
      </c>
      <c r="ER292" s="93">
        <v>20717</v>
      </c>
      <c r="ES292" s="93">
        <v>44842</v>
      </c>
      <c r="ET292" s="214">
        <v>20245</v>
      </c>
      <c r="EU292" s="93">
        <v>533.58399999999995</v>
      </c>
      <c r="EV292" s="93">
        <v>74.998999999999995</v>
      </c>
      <c r="EW292" s="93">
        <v>4.7300000000000004</v>
      </c>
      <c r="EX292" s="93">
        <v>20.716999999999999</v>
      </c>
      <c r="EY292" s="93">
        <f t="shared" si="280"/>
        <v>634.03</v>
      </c>
      <c r="EZ292" s="29">
        <v>225</v>
      </c>
      <c r="FA292" s="1504">
        <v>43344</v>
      </c>
      <c r="FB292" s="29">
        <v>2685</v>
      </c>
      <c r="FC292" s="29">
        <v>505</v>
      </c>
      <c r="FD292" s="29">
        <f t="shared" si="284"/>
        <v>3190</v>
      </c>
      <c r="FE292" s="29">
        <v>711</v>
      </c>
      <c r="FF292" s="29">
        <v>0</v>
      </c>
      <c r="FG292" s="29">
        <v>0</v>
      </c>
      <c r="FH292" s="29">
        <v>0</v>
      </c>
      <c r="FI292" s="29">
        <v>0</v>
      </c>
      <c r="FJ292" s="29">
        <v>0</v>
      </c>
      <c r="FK292" s="29">
        <v>225</v>
      </c>
      <c r="FL292" s="1504">
        <v>43344</v>
      </c>
      <c r="FM292" s="19">
        <v>107.29</v>
      </c>
      <c r="FN292" s="93">
        <v>111.68</v>
      </c>
      <c r="FO292" s="93">
        <v>135.76</v>
      </c>
      <c r="FP292" s="93">
        <v>100.42</v>
      </c>
      <c r="FQ292" s="93">
        <v>97.2</v>
      </c>
      <c r="FR292" s="93">
        <v>101.15</v>
      </c>
      <c r="FS292" s="93">
        <v>100.29</v>
      </c>
      <c r="FT292" s="93">
        <v>97.49</v>
      </c>
      <c r="FU292" s="93">
        <v>110.43</v>
      </c>
      <c r="FV292" s="93">
        <v>101.26</v>
      </c>
      <c r="FW292" s="93">
        <v>103.15</v>
      </c>
      <c r="FX292" s="93">
        <v>103.81</v>
      </c>
      <c r="FY292" s="93">
        <v>100.31</v>
      </c>
      <c r="FZ292" s="29">
        <v>225</v>
      </c>
      <c r="GA292" s="1504">
        <v>43344</v>
      </c>
      <c r="GB292" s="19">
        <v>107.29</v>
      </c>
      <c r="GC292" s="93">
        <v>103</v>
      </c>
      <c r="GD292" s="93">
        <v>109.58</v>
      </c>
      <c r="GE292" s="93">
        <v>92.53</v>
      </c>
      <c r="GF292" s="93">
        <v>118.69</v>
      </c>
      <c r="GG292" s="99">
        <v>103.87</v>
      </c>
      <c r="GH292" s="93">
        <v>115.39</v>
      </c>
      <c r="GI292" s="93">
        <v>103.17</v>
      </c>
      <c r="GJ292" s="93">
        <v>103.1</v>
      </c>
      <c r="GK292" s="93">
        <v>100.57</v>
      </c>
      <c r="GL292" s="93">
        <v>110.64</v>
      </c>
      <c r="GM292" s="93">
        <v>100.63</v>
      </c>
      <c r="GN292" s="20">
        <v>103.1</v>
      </c>
      <c r="GO292" s="29">
        <v>225</v>
      </c>
      <c r="GP292" s="1504">
        <v>43344</v>
      </c>
      <c r="GQ292" s="1695">
        <v>325</v>
      </c>
      <c r="GR292" s="1696">
        <v>246</v>
      </c>
      <c r="GS292" s="1696">
        <v>279</v>
      </c>
      <c r="GT292" s="1696">
        <v>206</v>
      </c>
      <c r="GU292" s="1696">
        <v>412</v>
      </c>
      <c r="GV292" s="1697">
        <v>1086</v>
      </c>
      <c r="GW292" s="181">
        <v>470</v>
      </c>
      <c r="GX292" s="182">
        <v>472</v>
      </c>
      <c r="GY292" s="182">
        <v>348</v>
      </c>
      <c r="GZ292" s="182">
        <v>662</v>
      </c>
      <c r="HA292" s="182">
        <v>295</v>
      </c>
      <c r="HB292" s="290">
        <v>427</v>
      </c>
      <c r="HC292" s="181">
        <v>1933</v>
      </c>
      <c r="HD292" s="182">
        <v>2319</v>
      </c>
      <c r="HE292" s="182">
        <v>2433</v>
      </c>
      <c r="HF292" s="182">
        <v>3150</v>
      </c>
      <c r="HG292" s="182">
        <v>2494</v>
      </c>
      <c r="HH292" s="290">
        <v>2868</v>
      </c>
      <c r="HI292" s="19"/>
      <c r="HJ292" s="182">
        <v>892</v>
      </c>
      <c r="HK292" s="182">
        <v>1313</v>
      </c>
      <c r="HL292" s="182">
        <v>1134</v>
      </c>
      <c r="HM292" s="182">
        <v>900</v>
      </c>
      <c r="HN292" s="290">
        <v>2047</v>
      </c>
      <c r="HO292" s="324">
        <v>152</v>
      </c>
      <c r="HP292" s="290">
        <v>108</v>
      </c>
      <c r="HQ292" s="295">
        <v>122</v>
      </c>
      <c r="HR292" s="29">
        <v>225</v>
      </c>
      <c r="HS292" s="1504">
        <v>43344</v>
      </c>
      <c r="HT292" s="179">
        <v>291.89189453124999</v>
      </c>
      <c r="HU292" s="99">
        <v>294.79167175292969</v>
      </c>
      <c r="HV292" s="99">
        <v>222.929931640625</v>
      </c>
      <c r="HW292" s="99">
        <v>200</v>
      </c>
      <c r="HX292" s="99">
        <v>250</v>
      </c>
      <c r="HY292" s="99">
        <v>263.88888549804688</v>
      </c>
      <c r="HZ292" s="99">
        <v>256.4102783203125</v>
      </c>
      <c r="IA292" s="132">
        <v>226.30719757080078</v>
      </c>
      <c r="IB292" s="179">
        <v>181.25</v>
      </c>
      <c r="IC292" s="99">
        <v>139.22371673583984</v>
      </c>
      <c r="ID292" s="99">
        <v>172.41378784179688</v>
      </c>
      <c r="IE292" s="99">
        <v>112.17948913574219</v>
      </c>
      <c r="IF292" s="99">
        <v>181.04366048177084</v>
      </c>
      <c r="IG292" s="132">
        <v>157.34463500976563</v>
      </c>
      <c r="IH292" s="179">
        <v>164.63416137695313</v>
      </c>
      <c r="II292" s="99">
        <v>242.62152862548828</v>
      </c>
      <c r="IJ292" s="99">
        <v>186.947998046875</v>
      </c>
      <c r="IK292" s="99">
        <v>185.1851806640625</v>
      </c>
      <c r="IL292" s="99">
        <v>177.76166534423828</v>
      </c>
      <c r="IM292" s="99">
        <v>171.56863403320313</v>
      </c>
      <c r="IN292" s="99">
        <v>194.34629821777344</v>
      </c>
      <c r="IO292" s="132">
        <v>193.54838562011719</v>
      </c>
      <c r="IP292" s="29">
        <v>225</v>
      </c>
      <c r="IQ292" s="179">
        <v>181.25</v>
      </c>
      <c r="IR292" s="99">
        <v>139.22371673583984</v>
      </c>
      <c r="IS292" s="99">
        <v>172.41378784179688</v>
      </c>
      <c r="IT292" s="99">
        <v>112.17948913574219</v>
      </c>
      <c r="IU292" s="99">
        <v>181.04366048177084</v>
      </c>
      <c r="IV292" s="132">
        <v>157.34463500976563</v>
      </c>
      <c r="IW292" s="29">
        <v>225</v>
      </c>
      <c r="IX292" s="179">
        <v>402.85714416503907</v>
      </c>
      <c r="IY292" s="99">
        <v>371.52778625488281</v>
      </c>
      <c r="IZ292" s="100">
        <f>(((IZ291/IZ290-1)+(IZ290/IZ289-1))^1/2+1)*IZ291</f>
        <v>434.47155183350287</v>
      </c>
      <c r="JA292" s="99">
        <v>375</v>
      </c>
      <c r="JB292" s="99">
        <v>390</v>
      </c>
      <c r="JC292" s="99">
        <v>400</v>
      </c>
      <c r="JD292" s="99">
        <v>370</v>
      </c>
      <c r="JE292" s="132">
        <v>400</v>
      </c>
      <c r="JF292" s="29">
        <v>225</v>
      </c>
      <c r="JG292" s="179">
        <v>223.3648712158203</v>
      </c>
      <c r="JH292" s="99">
        <v>266.92707824707031</v>
      </c>
      <c r="JI292" s="99">
        <v>209.00321960449219</v>
      </c>
      <c r="JJ292" s="99">
        <v>170.2127685546875</v>
      </c>
      <c r="JK292" s="99">
        <v>202.02020263671875</v>
      </c>
      <c r="JL292" s="99">
        <v>213.38384246826172</v>
      </c>
      <c r="JM292" s="99">
        <v>205.44554901123047</v>
      </c>
      <c r="JN292" s="132">
        <v>234.92062683105468</v>
      </c>
      <c r="JO292" s="29">
        <v>225</v>
      </c>
      <c r="JP292" s="179">
        <v>207.92079544067383</v>
      </c>
      <c r="JQ292" s="99">
        <v>162.11888427734374</v>
      </c>
      <c r="JR292" s="99">
        <v>206.89654541015625</v>
      </c>
      <c r="JS292" s="99"/>
      <c r="JT292" s="99">
        <v>205.64516448974609</v>
      </c>
      <c r="JU292" s="132">
        <v>163.73056793212891</v>
      </c>
      <c r="JV292" s="29">
        <v>225</v>
      </c>
      <c r="JW292" s="1504">
        <v>43344</v>
      </c>
      <c r="JX292" s="179"/>
      <c r="JY292" s="99">
        <v>320.38461538461536</v>
      </c>
      <c r="JZ292" s="99">
        <v>273.625</v>
      </c>
      <c r="KA292" s="99">
        <v>246.5625</v>
      </c>
      <c r="KB292" s="99">
        <v>235.46666666666701</v>
      </c>
      <c r="KC292" s="99">
        <v>227.333333333333</v>
      </c>
      <c r="KD292" s="132">
        <v>277.33870967741933</v>
      </c>
      <c r="KE292" s="29">
        <v>225</v>
      </c>
      <c r="KF292" s="179"/>
      <c r="KG292" s="99">
        <v>42.791666666666664</v>
      </c>
      <c r="KH292" s="99">
        <v>48.35</v>
      </c>
      <c r="KI292" s="99">
        <v>50.7222222222222</v>
      </c>
      <c r="KJ292" s="99">
        <v>36.3888888888889</v>
      </c>
      <c r="KK292" s="132">
        <v>66.953575342465797</v>
      </c>
      <c r="KL292" s="29">
        <v>225</v>
      </c>
      <c r="KM292" s="100">
        <f t="shared" si="253"/>
        <v>11.164104158958169</v>
      </c>
      <c r="KN292" s="99">
        <v>23.75</v>
      </c>
      <c r="KO292" s="99">
        <v>38.72</v>
      </c>
      <c r="KP292" s="99">
        <v>37.965277777777779</v>
      </c>
      <c r="KQ292" s="99">
        <v>20.233333333333299</v>
      </c>
      <c r="KR292" s="132">
        <v>30.8055555555556</v>
      </c>
      <c r="KS292" s="29">
        <v>225</v>
      </c>
      <c r="KT292" s="100">
        <f t="shared" si="254"/>
        <v>46.347297293804047</v>
      </c>
      <c r="KU292" s="99">
        <v>23.75</v>
      </c>
      <c r="KV292" s="99">
        <v>22.3</v>
      </c>
      <c r="KW292" s="99">
        <v>20</v>
      </c>
      <c r="KX292" s="99">
        <v>20.066666666666702</v>
      </c>
      <c r="KY292" s="132">
        <v>22.3055555555556</v>
      </c>
      <c r="KZ292" s="29">
        <v>225</v>
      </c>
      <c r="LA292" s="1504">
        <v>43344</v>
      </c>
      <c r="LB292" s="19">
        <v>380</v>
      </c>
      <c r="LC292" s="93">
        <v>610</v>
      </c>
      <c r="LD292" s="93">
        <v>602</v>
      </c>
      <c r="LE292" s="93"/>
      <c r="LF292" s="93">
        <v>526</v>
      </c>
      <c r="LG292" s="93">
        <v>5000</v>
      </c>
      <c r="LH292" s="20">
        <v>2000</v>
      </c>
      <c r="LI292" s="29">
        <v>225</v>
      </c>
      <c r="LJ292" s="19"/>
      <c r="LK292" s="93"/>
      <c r="LL292" s="93"/>
      <c r="LM292" s="93"/>
      <c r="LN292" s="93"/>
      <c r="LO292" s="20"/>
      <c r="LP292" s="29">
        <v>225</v>
      </c>
      <c r="LQ292" s="19"/>
      <c r="LR292" s="93">
        <v>188</v>
      </c>
      <c r="LS292" s="93">
        <v>445</v>
      </c>
      <c r="LT292" s="93">
        <v>535</v>
      </c>
      <c r="LU292" s="93">
        <v>1070</v>
      </c>
      <c r="LV292" s="93"/>
      <c r="LW292" s="93">
        <v>5</v>
      </c>
      <c r="LX292" s="93">
        <v>10</v>
      </c>
      <c r="LY292" s="93">
        <v>60</v>
      </c>
      <c r="LZ292" s="93"/>
      <c r="MA292" s="20">
        <v>1070</v>
      </c>
      <c r="MB292" s="29">
        <v>225</v>
      </c>
      <c r="MC292" s="1504">
        <v>43344</v>
      </c>
      <c r="MD292" s="733">
        <v>1198.5404794939914</v>
      </c>
      <c r="ME292" s="570">
        <v>1105.1402452467999</v>
      </c>
      <c r="MF292" s="570">
        <v>1105.1402452467999</v>
      </c>
      <c r="MG292" s="570">
        <v>992.2855067708</v>
      </c>
      <c r="MH292" s="570">
        <v>281.35328386775939</v>
      </c>
      <c r="MI292" s="570">
        <v>9.2382006163197303</v>
      </c>
      <c r="MJ292" s="570">
        <v>4.9647175580511016</v>
      </c>
      <c r="MK292" s="570">
        <v>542.74497412947017</v>
      </c>
      <c r="ML292" s="570">
        <v>145.643206101</v>
      </c>
      <c r="MM292" s="570">
        <v>8.3411244981994948</v>
      </c>
      <c r="MN292" s="570">
        <v>112.85473847599999</v>
      </c>
      <c r="MO292" s="570">
        <v>4.8410518160000011</v>
      </c>
      <c r="MP292" s="570">
        <v>20.167184030000001</v>
      </c>
      <c r="MQ292" s="570">
        <v>1.4753931649999998</v>
      </c>
      <c r="MR292" s="570">
        <v>21.392748418</v>
      </c>
      <c r="MS292" s="570">
        <v>64.978361047000007</v>
      </c>
      <c r="MT292" s="570">
        <v>0</v>
      </c>
      <c r="MU292" s="570">
        <v>93.400234247191293</v>
      </c>
      <c r="MV292" s="570">
        <v>64.044958519191297</v>
      </c>
      <c r="MW292" s="570">
        <v>29.355275728000002</v>
      </c>
      <c r="MX292" s="570">
        <v>1410.3707599892932</v>
      </c>
      <c r="MY292" s="570">
        <v>1416.9405841532932</v>
      </c>
      <c r="MZ292" s="570">
        <v>1011.292381706</v>
      </c>
      <c r="NA292" s="570">
        <v>511.74306704100002</v>
      </c>
      <c r="NB292" s="570">
        <v>117.83533005900003</v>
      </c>
      <c r="NC292" s="570">
        <v>65.335352626000002</v>
      </c>
      <c r="ND292" s="570">
        <v>49.445460091000015</v>
      </c>
      <c r="NE292" s="570">
        <v>15.889892535</v>
      </c>
      <c r="NF292" s="570">
        <v>316.37863198000002</v>
      </c>
      <c r="NG292" s="570">
        <v>0</v>
      </c>
      <c r="NH292" s="570">
        <v>97.152809043999994</v>
      </c>
      <c r="NI292" s="570">
        <v>0</v>
      </c>
      <c r="NJ292" s="570">
        <v>21</v>
      </c>
      <c r="NK292" s="570">
        <v>405.64820244729327</v>
      </c>
      <c r="NL292" s="570">
        <v>264.80681871900003</v>
      </c>
      <c r="NM292" s="570">
        <v>8.3547106210000006</v>
      </c>
      <c r="NN292" s="570">
        <v>1.3308962450000001</v>
      </c>
      <c r="NO292" s="570">
        <v>-6.5698241639999999</v>
      </c>
      <c r="NP292" s="570">
        <v>-211.83028049530205</v>
      </c>
      <c r="NQ292" s="570">
        <v>-305.23051474249331</v>
      </c>
      <c r="NR292" s="570">
        <v>-100.38467463320011</v>
      </c>
      <c r="NS292" s="570">
        <v>-165.72002725920012</v>
      </c>
      <c r="NT292" s="570">
        <v>-315.93935729730208</v>
      </c>
      <c r="NU292" s="570">
        <v>-409.33959154449337</v>
      </c>
      <c r="NV292" s="570">
        <v>317.68249848310194</v>
      </c>
      <c r="NW292" s="570">
        <v>70.219607388101949</v>
      </c>
      <c r="NX292" s="570">
        <v>103.67167996410197</v>
      </c>
      <c r="NY292" s="570">
        <v>-33.452072575999999</v>
      </c>
      <c r="NZ292" s="570">
        <v>0</v>
      </c>
      <c r="OA292" s="570">
        <v>247.462891095</v>
      </c>
      <c r="OB292" s="570">
        <v>94.350841087999996</v>
      </c>
      <c r="OC292" s="570">
        <v>153.11205000699999</v>
      </c>
      <c r="OD292" s="734">
        <v>-1.743141185799872</v>
      </c>
      <c r="OE292" s="29">
        <v>225</v>
      </c>
      <c r="OF292" s="1504">
        <v>43344</v>
      </c>
      <c r="OG292" s="19"/>
      <c r="OH292" s="93">
        <v>498.427988094</v>
      </c>
      <c r="OI292" s="93">
        <v>1546.776219371</v>
      </c>
      <c r="OJ292" s="93">
        <v>0.41814021599999995</v>
      </c>
      <c r="OK292" s="93">
        <v>1328.0900000000001</v>
      </c>
      <c r="OL292" s="93">
        <v>218.26807915500001</v>
      </c>
      <c r="OM292" s="93">
        <v>2045.2042074650001</v>
      </c>
      <c r="ON292" s="93">
        <v>1451.3511083190001</v>
      </c>
      <c r="OO292" s="93">
        <v>3496.5553157840004</v>
      </c>
      <c r="OP292" s="93"/>
      <c r="OQ292" s="93">
        <v>1246.5533834439998</v>
      </c>
      <c r="OR292" s="93">
        <v>216.10138344399991</v>
      </c>
      <c r="OS292" s="93">
        <v>1030.4520000000002</v>
      </c>
      <c r="OT292" s="93">
        <v>2683.7665308769997</v>
      </c>
      <c r="OU292" s="93">
        <v>78.548184442000021</v>
      </c>
      <c r="OV292" s="93">
        <v>-34.821815557999983</v>
      </c>
      <c r="OW292" s="93">
        <v>113.37</v>
      </c>
      <c r="OX292" s="93">
        <v>2605.2183464349996</v>
      </c>
      <c r="OY292" s="93">
        <v>6.4483464350000013</v>
      </c>
      <c r="OZ292" s="93">
        <v>2598.77</v>
      </c>
      <c r="PA292" s="93">
        <v>578.66076109499932</v>
      </c>
      <c r="PB292" s="93">
        <v>-144.89616255799993</v>
      </c>
      <c r="PC292" s="20">
        <v>3496.555315784</v>
      </c>
      <c r="PD292" s="29">
        <v>225</v>
      </c>
      <c r="PE292" s="19"/>
      <c r="PF292" s="93">
        <v>216.10138344399991</v>
      </c>
      <c r="PG292" s="93">
        <v>1198.022983655</v>
      </c>
      <c r="PH292" s="93">
        <v>981.92160021100005</v>
      </c>
      <c r="PI292" s="93">
        <v>569.04</v>
      </c>
      <c r="PJ292" s="93">
        <v>-27.99813380099998</v>
      </c>
      <c r="PK292" s="93">
        <v>121.190524548</v>
      </c>
      <c r="PL292" s="93">
        <v>149.18865834899998</v>
      </c>
      <c r="PM292" s="93">
        <v>6.4483464350000013</v>
      </c>
      <c r="PN292" s="93">
        <v>2.1640000000000001</v>
      </c>
      <c r="PO292" s="93">
        <v>0</v>
      </c>
      <c r="PP292" s="93">
        <v>0</v>
      </c>
      <c r="PQ292" s="93">
        <v>4.2843464350000007</v>
      </c>
      <c r="PR292" s="93">
        <v>751.65964767199989</v>
      </c>
      <c r="PS292" s="93">
        <v>564.54466985099998</v>
      </c>
      <c r="PT292" s="93">
        <v>186.36372928599999</v>
      </c>
      <c r="PU292" s="93">
        <v>0.751248535</v>
      </c>
      <c r="PV292" s="93">
        <v>0</v>
      </c>
      <c r="PW292" s="93">
        <v>0.42422653599999999</v>
      </c>
      <c r="PX292" s="93">
        <v>0</v>
      </c>
      <c r="PY292" s="93">
        <v>0</v>
      </c>
      <c r="PZ292" s="93">
        <v>0.42422653599999999</v>
      </c>
      <c r="QA292" s="93">
        <v>0</v>
      </c>
      <c r="QB292" s="93">
        <v>0</v>
      </c>
      <c r="QC292" s="93">
        <v>0</v>
      </c>
      <c r="QD292" s="93">
        <v>12.738534559</v>
      </c>
      <c r="QE292" s="20">
        <v>-1.2308126889999857</v>
      </c>
      <c r="QF292" s="1739">
        <v>225</v>
      </c>
      <c r="QG292" s="19"/>
      <c r="QH292" s="1035">
        <v>1030.4520000000002</v>
      </c>
      <c r="QI292" s="1035">
        <v>1457.9160000000002</v>
      </c>
      <c r="QJ292" s="1035">
        <v>-427.464</v>
      </c>
      <c r="QK292" s="1035">
        <v>242.22399999999999</v>
      </c>
      <c r="QL292" s="1035">
        <v>59.292999999999999</v>
      </c>
      <c r="QM292" s="1035">
        <v>182.93099999999998</v>
      </c>
      <c r="QN292" s="1035">
        <v>0</v>
      </c>
      <c r="QO292" s="1035">
        <v>113.37</v>
      </c>
      <c r="QP292" s="1035">
        <v>459.27199999999999</v>
      </c>
      <c r="QQ292" s="1035">
        <v>-345.90199999999999</v>
      </c>
      <c r="QR292" s="1035">
        <v>2598.77</v>
      </c>
      <c r="QS292" s="1035">
        <v>18.402999999999999</v>
      </c>
      <c r="QT292" s="1035">
        <v>0.31900000000000001</v>
      </c>
      <c r="QU292" s="1035">
        <v>165.93700000000001</v>
      </c>
      <c r="QV292" s="1035">
        <v>2414.1109999999999</v>
      </c>
      <c r="QW292" s="93"/>
      <c r="QX292" s="93">
        <v>521.601</v>
      </c>
      <c r="QY292" s="93">
        <v>1328.0900000000001</v>
      </c>
      <c r="QZ292" s="93">
        <v>1451.018</v>
      </c>
      <c r="RA292" s="93">
        <v>0</v>
      </c>
      <c r="RB292" s="93">
        <v>113.69599999999998</v>
      </c>
      <c r="RC292" s="93">
        <v>0</v>
      </c>
      <c r="RD292" s="93">
        <v>20.198</v>
      </c>
      <c r="RE292" s="93">
        <v>0</v>
      </c>
      <c r="RF292" s="93">
        <v>0</v>
      </c>
      <c r="RG292" s="93">
        <v>431.6039999999993</v>
      </c>
      <c r="RH292" s="93">
        <v>118.60899999999998</v>
      </c>
      <c r="RI292" s="93"/>
      <c r="RJ292" s="93"/>
      <c r="RK292" s="93"/>
      <c r="RL292" s="93"/>
      <c r="RM292" s="734"/>
      <c r="RN292" s="29">
        <v>225</v>
      </c>
      <c r="RO292" s="19">
        <v>109</v>
      </c>
      <c r="RP292" s="20">
        <v>729</v>
      </c>
      <c r="RQ292" s="29">
        <v>225</v>
      </c>
      <c r="RR292" s="734">
        <v>4.0375375299999998</v>
      </c>
      <c r="RS292" s="29">
        <v>225</v>
      </c>
      <c r="RT292" s="1504">
        <v>43344</v>
      </c>
      <c r="RU292" s="19">
        <v>965</v>
      </c>
      <c r="RV292" s="20">
        <v>11</v>
      </c>
      <c r="RW292" s="29">
        <v>225</v>
      </c>
      <c r="RX292" s="1504">
        <v>43344</v>
      </c>
      <c r="RY292" s="29"/>
      <c r="RZ292" s="734"/>
      <c r="SA292" s="29"/>
      <c r="SB292" s="29">
        <v>225</v>
      </c>
    </row>
    <row r="293" spans="1:496">
      <c r="A293" s="41">
        <f t="shared" si="238"/>
        <v>2018</v>
      </c>
      <c r="B293" s="1504">
        <v>43374</v>
      </c>
      <c r="C293" s="1813">
        <v>1449</v>
      </c>
      <c r="D293" s="1814">
        <v>27315</v>
      </c>
      <c r="E293" s="1814">
        <v>203</v>
      </c>
      <c r="F293" s="1815">
        <v>295</v>
      </c>
      <c r="G293" s="1814">
        <v>106307</v>
      </c>
      <c r="H293" s="1814">
        <v>62</v>
      </c>
      <c r="I293" s="1814">
        <v>35323</v>
      </c>
      <c r="J293" s="1816">
        <v>16545</v>
      </c>
      <c r="K293" s="1807">
        <v>187499</v>
      </c>
      <c r="L293" s="25">
        <v>226</v>
      </c>
      <c r="M293" s="97"/>
      <c r="N293" s="1504">
        <v>43374</v>
      </c>
      <c r="O293" s="19">
        <v>986</v>
      </c>
      <c r="P293" s="100">
        <v>793.53917197866997</v>
      </c>
      <c r="Q293" s="100">
        <v>14969.046812075574</v>
      </c>
      <c r="R293" s="99">
        <v>3120</v>
      </c>
      <c r="S293" s="100">
        <v>3003.2097363617759</v>
      </c>
      <c r="T293" s="93">
        <v>1162</v>
      </c>
      <c r="U293" s="93"/>
      <c r="V293" s="93">
        <v>1992</v>
      </c>
      <c r="W293" s="93">
        <v>3856</v>
      </c>
      <c r="X293" s="93">
        <v>557</v>
      </c>
      <c r="Y293" s="99">
        <v>360</v>
      </c>
      <c r="Z293" s="99">
        <v>1466</v>
      </c>
      <c r="AA293" s="100">
        <v>1265.9220312673685</v>
      </c>
      <c r="AB293" s="132">
        <v>33530.717751683391</v>
      </c>
      <c r="AC293" s="25">
        <v>226</v>
      </c>
      <c r="AD293" s="97"/>
      <c r="AE293" s="1504">
        <v>43374</v>
      </c>
      <c r="AF293" s="19">
        <v>2712</v>
      </c>
      <c r="AG293" s="100">
        <v>836</v>
      </c>
      <c r="AH293" s="100">
        <v>4798</v>
      </c>
      <c r="AI293" s="99">
        <v>3293</v>
      </c>
      <c r="AJ293" s="100">
        <v>3107</v>
      </c>
      <c r="AK293" s="93">
        <v>2886</v>
      </c>
      <c r="AL293" s="93">
        <v>1150</v>
      </c>
      <c r="AM293" s="93">
        <v>3133</v>
      </c>
      <c r="AN293" s="93">
        <v>6620</v>
      </c>
      <c r="AO293" s="93">
        <v>1841</v>
      </c>
      <c r="AP293" s="99">
        <v>1136</v>
      </c>
      <c r="AQ293" s="99">
        <v>2565</v>
      </c>
      <c r="AR293" s="100">
        <v>1246</v>
      </c>
      <c r="AS293" s="20">
        <v>35323</v>
      </c>
      <c r="AT293" s="25">
        <v>226</v>
      </c>
      <c r="AU293" s="97"/>
      <c r="AV293" s="1504">
        <v>43374</v>
      </c>
      <c r="AW293" s="19">
        <v>13127</v>
      </c>
      <c r="AX293" s="100">
        <v>1618.1531623529531</v>
      </c>
      <c r="AY293" s="100">
        <v>4642.973523804787</v>
      </c>
      <c r="AZ293" s="99">
        <v>11707</v>
      </c>
      <c r="BA293" s="100">
        <v>11670.142088210503</v>
      </c>
      <c r="BB293" s="93">
        <v>9577</v>
      </c>
      <c r="BC293" s="93"/>
      <c r="BD293" s="93">
        <v>14730</v>
      </c>
      <c r="BE293" s="93">
        <v>11832</v>
      </c>
      <c r="BF293" s="93">
        <v>6054</v>
      </c>
      <c r="BG293" s="99">
        <v>5227</v>
      </c>
      <c r="BH293" s="99">
        <v>9218</v>
      </c>
      <c r="BI293" s="100">
        <v>4791.0631371553545</v>
      </c>
      <c r="BJ293" s="132">
        <v>104194.33191152361</v>
      </c>
      <c r="BK293" s="25">
        <v>226</v>
      </c>
      <c r="BL293" s="97"/>
      <c r="BM293" s="1504">
        <v>43374</v>
      </c>
      <c r="BN293" s="19">
        <v>50.643000000000008</v>
      </c>
      <c r="BO293" s="93">
        <v>1370.1249999999998</v>
      </c>
      <c r="BP293" s="93">
        <v>15.936000000000002</v>
      </c>
      <c r="BQ293" s="93">
        <v>531.85599999999999</v>
      </c>
      <c r="BR293" s="93">
        <v>2.601</v>
      </c>
      <c r="BS293" s="93">
        <v>216.25199999999995</v>
      </c>
      <c r="BT293" s="93">
        <v>227.37600000000003</v>
      </c>
      <c r="BU293" s="132">
        <v>2414.7889999999998</v>
      </c>
      <c r="BV293" s="25">
        <v>226</v>
      </c>
      <c r="BW293" s="97"/>
      <c r="BX293" s="1504">
        <v>43374</v>
      </c>
      <c r="BY293" s="179">
        <v>571.19200000000001</v>
      </c>
      <c r="BZ293" s="99">
        <v>664.95699999999999</v>
      </c>
      <c r="CA293" s="99">
        <v>574.745</v>
      </c>
      <c r="CB293" s="99">
        <v>39.805761702332056</v>
      </c>
      <c r="CC293" s="99">
        <v>119.021</v>
      </c>
      <c r="CD293" s="25">
        <v>226</v>
      </c>
      <c r="CE293" s="97"/>
      <c r="CF293" s="1504">
        <v>43374</v>
      </c>
      <c r="CG293" s="1508">
        <v>1.9136101599999999</v>
      </c>
      <c r="CH293" s="568">
        <v>1215.3900000000001</v>
      </c>
      <c r="CI293" s="1708">
        <v>76.726666666666702</v>
      </c>
      <c r="CJ293" s="1509">
        <v>80.47</v>
      </c>
      <c r="CK293" s="1508">
        <v>390.39</v>
      </c>
      <c r="CL293" s="568">
        <v>160.25531760000001</v>
      </c>
      <c r="CM293" s="568">
        <v>0.292773536</v>
      </c>
      <c r="CN293" s="568">
        <v>0.37511947200000001</v>
      </c>
      <c r="CO293" s="568">
        <v>213.4807227</v>
      </c>
      <c r="CP293" s="1509">
        <v>3.8643681669999999</v>
      </c>
      <c r="CQ293" s="568">
        <v>1431.7</v>
      </c>
      <c r="CR293" s="568">
        <v>2.4159999999999999</v>
      </c>
      <c r="CS293" s="568">
        <v>1.4253</v>
      </c>
      <c r="CT293" s="568">
        <v>91.25</v>
      </c>
      <c r="CU293" s="568">
        <v>73.41</v>
      </c>
      <c r="CV293" s="1709">
        <v>2673.67</v>
      </c>
      <c r="CW293" s="29">
        <v>226</v>
      </c>
      <c r="CX293" s="41">
        <f t="shared" si="239"/>
        <v>2018</v>
      </c>
      <c r="CY293" s="1504">
        <v>43374</v>
      </c>
      <c r="CZ293" s="1916">
        <v>116.4267430532249</v>
      </c>
      <c r="DA293" s="1526">
        <v>63.141942053224902</v>
      </c>
      <c r="DB293" s="1526">
        <v>40.444763000000002</v>
      </c>
      <c r="DC293" s="182">
        <f t="shared" si="277"/>
        <v>669448</v>
      </c>
      <c r="DD293" s="182">
        <f t="shared" si="278"/>
        <v>667702</v>
      </c>
      <c r="DE293" s="182">
        <f t="shared" si="279"/>
        <v>1746</v>
      </c>
      <c r="DF293" s="29">
        <v>226</v>
      </c>
      <c r="DG293" s="1504">
        <v>43374</v>
      </c>
      <c r="DH293" s="181">
        <v>398299</v>
      </c>
      <c r="DI293" s="182">
        <v>4151186</v>
      </c>
      <c r="DJ293" s="182">
        <v>264150</v>
      </c>
      <c r="DK293" s="182">
        <v>19442</v>
      </c>
      <c r="DL293" s="182">
        <v>456980</v>
      </c>
      <c r="DM293" s="182">
        <v>6524</v>
      </c>
      <c r="DN293" s="290">
        <v>1435936</v>
      </c>
      <c r="DO293" s="295">
        <f t="shared" si="282"/>
        <v>6334218</v>
      </c>
      <c r="DP293" s="29">
        <v>226</v>
      </c>
      <c r="DQ293" s="1504">
        <v>43374</v>
      </c>
      <c r="DR293" s="369">
        <f t="shared" ref="DR293:DX293" si="304">(((DR292/DR291-1)+(DR291/DR290-1))^1/2+1)*DR292</f>
        <v>49064.919568296544</v>
      </c>
      <c r="DS293" s="1505">
        <f t="shared" si="304"/>
        <v>234.94705514861812</v>
      </c>
      <c r="DT293" s="1505">
        <f t="shared" si="304"/>
        <v>53142.109778374172</v>
      </c>
      <c r="DU293" s="1505">
        <f t="shared" si="304"/>
        <v>1172.5237716057131</v>
      </c>
      <c r="DV293" s="1505">
        <f t="shared" si="304"/>
        <v>2067.8567916552752</v>
      </c>
      <c r="DW293" s="1505">
        <f t="shared" si="304"/>
        <v>3739.5388760645083</v>
      </c>
      <c r="DX293" s="1720">
        <f t="shared" si="304"/>
        <v>15406.487078324693</v>
      </c>
      <c r="DY293" s="29">
        <v>226</v>
      </c>
      <c r="DZ293" s="1504">
        <v>43374</v>
      </c>
      <c r="EA293" s="19"/>
      <c r="EB293" s="93"/>
      <c r="EC293" s="20"/>
      <c r="ED293" s="29"/>
      <c r="EE293" s="1504">
        <v>43374</v>
      </c>
      <c r="EF293" s="19">
        <v>20708</v>
      </c>
      <c r="EG293" s="93">
        <v>20829</v>
      </c>
      <c r="EH293" s="99">
        <f t="shared" si="283"/>
        <v>41537</v>
      </c>
      <c r="EI293" s="214">
        <v>6438</v>
      </c>
      <c r="EJ293" s="99">
        <v>662.05899999999997</v>
      </c>
      <c r="EK293" s="99">
        <v>107.637</v>
      </c>
      <c r="EL293" s="1150">
        <v>8.4719999999999995</v>
      </c>
      <c r="EM293" s="1150">
        <v>20.280999999999999</v>
      </c>
      <c r="EN293" s="132">
        <v>799.63499999999999</v>
      </c>
      <c r="EO293" s="29">
        <v>226</v>
      </c>
      <c r="EP293" s="1504">
        <v>43374</v>
      </c>
      <c r="EQ293" s="19">
        <v>18484</v>
      </c>
      <c r="ER293" s="93">
        <v>20858</v>
      </c>
      <c r="ES293" s="93">
        <v>39342</v>
      </c>
      <c r="ET293" s="214">
        <v>9290</v>
      </c>
      <c r="EU293" s="93">
        <v>662.05899999999997</v>
      </c>
      <c r="EV293" s="93">
        <v>107.637</v>
      </c>
      <c r="EW293" s="93">
        <v>8.4719999999999995</v>
      </c>
      <c r="EX293" s="93">
        <v>20.280999999999999</v>
      </c>
      <c r="EY293" s="93">
        <f t="shared" si="280"/>
        <v>798.44899999999984</v>
      </c>
      <c r="EZ293" s="29">
        <v>226</v>
      </c>
      <c r="FA293" s="1504">
        <v>43374</v>
      </c>
      <c r="FB293" s="29">
        <v>635</v>
      </c>
      <c r="FC293" s="29">
        <v>548</v>
      </c>
      <c r="FD293" s="29">
        <f t="shared" si="284"/>
        <v>1183</v>
      </c>
      <c r="FE293" s="29">
        <v>595</v>
      </c>
      <c r="FF293" s="29">
        <v>0</v>
      </c>
      <c r="FG293" s="29">
        <v>0</v>
      </c>
      <c r="FH293" s="29">
        <v>0</v>
      </c>
      <c r="FI293" s="29">
        <v>0</v>
      </c>
      <c r="FJ293" s="29">
        <v>0</v>
      </c>
      <c r="FK293" s="29">
        <v>226</v>
      </c>
      <c r="FL293" s="1504">
        <v>43374</v>
      </c>
      <c r="FM293" s="19">
        <v>106.05</v>
      </c>
      <c r="FN293" s="93">
        <v>109.9</v>
      </c>
      <c r="FO293" s="93">
        <v>130.15</v>
      </c>
      <c r="FP293" s="93">
        <v>100.6</v>
      </c>
      <c r="FQ293" s="93">
        <v>97.36</v>
      </c>
      <c r="FR293" s="93">
        <v>100.98</v>
      </c>
      <c r="FS293" s="93">
        <v>100.29</v>
      </c>
      <c r="FT293" s="93">
        <v>97.76</v>
      </c>
      <c r="FU293" s="93">
        <v>110.43</v>
      </c>
      <c r="FV293" s="93">
        <v>102.4</v>
      </c>
      <c r="FW293" s="93">
        <v>104.59</v>
      </c>
      <c r="FX293" s="93">
        <v>103.18</v>
      </c>
      <c r="FY293" s="93">
        <v>100.31</v>
      </c>
      <c r="FZ293" s="29">
        <v>226</v>
      </c>
      <c r="GA293" s="1504">
        <v>43374</v>
      </c>
      <c r="GB293" s="19">
        <v>106.05</v>
      </c>
      <c r="GC293" s="93">
        <v>102.49</v>
      </c>
      <c r="GD293" s="93">
        <v>107.99</v>
      </c>
      <c r="GE293" s="93">
        <v>92.46</v>
      </c>
      <c r="GF293" s="93">
        <v>116.42</v>
      </c>
      <c r="GG293" s="99">
        <v>103.33</v>
      </c>
      <c r="GH293" s="93">
        <v>112.9</v>
      </c>
      <c r="GI293" s="93">
        <v>102.7</v>
      </c>
      <c r="GJ293" s="93">
        <v>103.33</v>
      </c>
      <c r="GK293" s="93">
        <v>100.56</v>
      </c>
      <c r="GL293" s="93">
        <v>108.68</v>
      </c>
      <c r="GM293" s="93">
        <v>100.8</v>
      </c>
      <c r="GN293" s="20">
        <v>103.33</v>
      </c>
      <c r="GO293" s="29">
        <v>226</v>
      </c>
      <c r="GP293" s="1504">
        <v>43374</v>
      </c>
      <c r="GQ293" s="1695">
        <v>309</v>
      </c>
      <c r="GR293" s="1696">
        <v>251</v>
      </c>
      <c r="GS293" s="1696">
        <v>267</v>
      </c>
      <c r="GT293" s="1696">
        <v>209</v>
      </c>
      <c r="GU293" s="1696">
        <v>363</v>
      </c>
      <c r="GV293" s="1697">
        <v>1026</v>
      </c>
      <c r="GW293" s="181">
        <v>393</v>
      </c>
      <c r="GX293" s="182">
        <v>484</v>
      </c>
      <c r="GY293" s="182">
        <v>467</v>
      </c>
      <c r="GZ293" s="182">
        <v>1060</v>
      </c>
      <c r="HA293" s="182">
        <v>367</v>
      </c>
      <c r="HB293" s="290">
        <v>680</v>
      </c>
      <c r="HC293" s="181">
        <v>1848</v>
      </c>
      <c r="HD293" s="182">
        <v>2567</v>
      </c>
      <c r="HE293" s="182">
        <v>2578</v>
      </c>
      <c r="HF293" s="182">
        <v>3150</v>
      </c>
      <c r="HG293" s="182">
        <v>2506</v>
      </c>
      <c r="HH293" s="290">
        <v>2883</v>
      </c>
      <c r="HI293" s="19"/>
      <c r="HJ293" s="182">
        <v>910</v>
      </c>
      <c r="HK293" s="182">
        <v>1541</v>
      </c>
      <c r="HL293" s="182">
        <v>1143</v>
      </c>
      <c r="HM293" s="182">
        <v>900</v>
      </c>
      <c r="HN293" s="290">
        <v>2477</v>
      </c>
      <c r="HO293" s="324">
        <v>156</v>
      </c>
      <c r="HP293" s="290">
        <v>99</v>
      </c>
      <c r="HQ293" s="295">
        <v>114</v>
      </c>
      <c r="HR293" s="29">
        <v>226</v>
      </c>
      <c r="HS293" s="1504">
        <v>43374</v>
      </c>
      <c r="HT293" s="179">
        <v>247.06266784667969</v>
      </c>
      <c r="HU293" s="99">
        <v>267.36110687255859</v>
      </c>
      <c r="HV293" s="99">
        <v>223.46410751342773</v>
      </c>
      <c r="HW293" s="99">
        <v>200</v>
      </c>
      <c r="HX293" s="99">
        <v>246.66666564941406</v>
      </c>
      <c r="HY293" s="99">
        <v>237.49999237060547</v>
      </c>
      <c r="HZ293" s="99">
        <v>254.84932708740234</v>
      </c>
      <c r="IA293" s="132">
        <v>218.3006591796875</v>
      </c>
      <c r="IB293" s="179">
        <v>173.5419952392578</v>
      </c>
      <c r="IC293" s="99">
        <v>86.4071044921875</v>
      </c>
      <c r="ID293" s="99">
        <v>140.61302439371744</v>
      </c>
      <c r="IE293" s="99">
        <v>98.089169311523435</v>
      </c>
      <c r="IF293" s="99">
        <v>178.10458068847657</v>
      </c>
      <c r="IG293" s="132">
        <v>102.32044525146485</v>
      </c>
      <c r="IH293" s="179">
        <v>131.61627833048502</v>
      </c>
      <c r="II293" s="99">
        <v>225.69445037841797</v>
      </c>
      <c r="IJ293" s="99">
        <v>179.02125930786133</v>
      </c>
      <c r="IK293" s="99">
        <v>170.03367309570314</v>
      </c>
      <c r="IL293" s="99">
        <v>145.41785049438477</v>
      </c>
      <c r="IM293" s="99">
        <v>155.16129760742189</v>
      </c>
      <c r="IN293" s="99">
        <v>194.34629821777344</v>
      </c>
      <c r="IO293" s="132">
        <v>177.83693695068359</v>
      </c>
      <c r="IP293" s="29">
        <v>226</v>
      </c>
      <c r="IQ293" s="179">
        <v>173.5419952392578</v>
      </c>
      <c r="IR293" s="99">
        <v>86.4071044921875</v>
      </c>
      <c r="IS293" s="99">
        <v>140.61302439371744</v>
      </c>
      <c r="IT293" s="99">
        <v>98.089169311523435</v>
      </c>
      <c r="IU293" s="99">
        <v>178.10458068847657</v>
      </c>
      <c r="IV293" s="132">
        <v>102.32044525146485</v>
      </c>
      <c r="IW293" s="29">
        <v>226</v>
      </c>
      <c r="IX293" s="419">
        <f>(((IX292/IX291-1)+(IX291/IX290-1))^1/2+1)*IX292</f>
        <v>404.29592033853339</v>
      </c>
      <c r="IY293" s="99">
        <v>368.05556488037109</v>
      </c>
      <c r="IZ293" s="100">
        <f>(((IZ292/IZ291-1)+(IZ291/IZ290-1))^1/2+1)*IZ292</f>
        <v>434.42345325479204</v>
      </c>
      <c r="JA293" s="99">
        <v>415</v>
      </c>
      <c r="JB293" s="99">
        <v>390</v>
      </c>
      <c r="JC293" s="99"/>
      <c r="JD293" s="99">
        <v>371.25</v>
      </c>
      <c r="JE293" s="132">
        <v>400</v>
      </c>
      <c r="JF293" s="29">
        <v>226</v>
      </c>
      <c r="JG293" s="179">
        <v>212.24208323160806</v>
      </c>
      <c r="JH293" s="99">
        <v>232.63889312744141</v>
      </c>
      <c r="JI293" s="99">
        <v>196.48157501220703</v>
      </c>
      <c r="JJ293" s="99">
        <v>170.2127685546875</v>
      </c>
      <c r="JK293" s="99">
        <v>198.6531982421875</v>
      </c>
      <c r="JL293" s="99">
        <v>213.38384246826172</v>
      </c>
      <c r="JM293" s="99">
        <v>205.44554901123047</v>
      </c>
      <c r="JN293" s="132">
        <v>243.0372200012207</v>
      </c>
      <c r="JO293" s="29">
        <v>226</v>
      </c>
      <c r="JP293" s="179">
        <v>203.96039733886718</v>
      </c>
      <c r="JQ293" s="99">
        <v>117.90973663330078</v>
      </c>
      <c r="JR293" s="99">
        <v>179.88505554199219</v>
      </c>
      <c r="JS293" s="99"/>
      <c r="JT293" s="99">
        <v>207.43033752441406</v>
      </c>
      <c r="JU293" s="132">
        <v>110.83333740234374</v>
      </c>
      <c r="JV293" s="29">
        <v>226</v>
      </c>
      <c r="JW293" s="1504">
        <v>43374</v>
      </c>
      <c r="JX293" s="179"/>
      <c r="JY293" s="99">
        <v>327.94871794871796</v>
      </c>
      <c r="JZ293" s="99">
        <v>298.6904761904762</v>
      </c>
      <c r="KA293" s="99">
        <v>243.95833333333334</v>
      </c>
      <c r="KB293" s="99">
        <v>282.1875</v>
      </c>
      <c r="KC293" s="99">
        <v>223.27586206896549</v>
      </c>
      <c r="KD293" s="132">
        <v>288.39743589743586</v>
      </c>
      <c r="KE293" s="29">
        <v>226</v>
      </c>
      <c r="KF293" s="179"/>
      <c r="KG293" s="99">
        <v>43</v>
      </c>
      <c r="KH293" s="99">
        <v>49</v>
      </c>
      <c r="KI293" s="99">
        <v>50.895833333333336</v>
      </c>
      <c r="KJ293" s="99">
        <v>38.30952380952381</v>
      </c>
      <c r="KK293" s="132">
        <v>69.554487179487168</v>
      </c>
      <c r="KL293" s="29">
        <v>226</v>
      </c>
      <c r="KM293" s="100">
        <f t="shared" si="253"/>
        <v>10.854776038610801</v>
      </c>
      <c r="KN293" s="99">
        <v>24.5</v>
      </c>
      <c r="KO293" s="99">
        <v>40.630208333333336</v>
      </c>
      <c r="KP293" s="99">
        <v>38.230769230769234</v>
      </c>
      <c r="KQ293" s="99">
        <v>25.421568627450981</v>
      </c>
      <c r="KR293" s="132">
        <v>31.39423076923077</v>
      </c>
      <c r="KS293" s="29">
        <v>226</v>
      </c>
      <c r="KT293" s="100">
        <f t="shared" si="254"/>
        <v>47.464601645743166</v>
      </c>
      <c r="KU293" s="99">
        <v>24.5</v>
      </c>
      <c r="KV293" s="99">
        <v>23.0625</v>
      </c>
      <c r="KW293" s="99">
        <v>23.541666666666668</v>
      </c>
      <c r="KX293" s="99">
        <v>20.45</v>
      </c>
      <c r="KY293" s="132">
        <v>23.743589743589741</v>
      </c>
      <c r="KZ293" s="29">
        <v>226</v>
      </c>
      <c r="LA293" s="1504">
        <v>43374</v>
      </c>
      <c r="LB293" s="19">
        <v>380</v>
      </c>
      <c r="LC293" s="93">
        <v>610</v>
      </c>
      <c r="LD293" s="93">
        <v>602</v>
      </c>
      <c r="LE293" s="93"/>
      <c r="LF293" s="93">
        <v>526</v>
      </c>
      <c r="LG293" s="93">
        <v>5000</v>
      </c>
      <c r="LH293" s="20">
        <v>2000</v>
      </c>
      <c r="LI293" s="29">
        <v>226</v>
      </c>
      <c r="LJ293" s="19"/>
      <c r="LK293" s="93"/>
      <c r="LL293" s="93"/>
      <c r="LM293" s="93"/>
      <c r="LN293" s="93"/>
      <c r="LO293" s="20"/>
      <c r="LP293" s="29">
        <v>226</v>
      </c>
      <c r="LQ293" s="19"/>
      <c r="LR293" s="93">
        <v>188</v>
      </c>
      <c r="LS293" s="93">
        <v>445</v>
      </c>
      <c r="LT293" s="93">
        <v>535</v>
      </c>
      <c r="LU293" s="93">
        <v>1070</v>
      </c>
      <c r="LV293" s="93"/>
      <c r="LW293" s="93">
        <v>5</v>
      </c>
      <c r="LX293" s="93">
        <v>10</v>
      </c>
      <c r="LY293" s="93">
        <v>60</v>
      </c>
      <c r="LZ293" s="93"/>
      <c r="MA293" s="20"/>
      <c r="MB293" s="29">
        <v>226</v>
      </c>
      <c r="MC293" s="1504">
        <v>43374</v>
      </c>
      <c r="MD293" s="733">
        <v>1411.9779344468789</v>
      </c>
      <c r="ME293" s="570">
        <v>1264.0858994597997</v>
      </c>
      <c r="MF293" s="570">
        <v>1264.0858994597997</v>
      </c>
      <c r="MG293" s="570">
        <v>1132.5977872788001</v>
      </c>
      <c r="MH293" s="570">
        <v>334.01567377784977</v>
      </c>
      <c r="MI293" s="570">
        <v>10.20455535530739</v>
      </c>
      <c r="MJ293" s="570">
        <v>5.8535344774161162</v>
      </c>
      <c r="MK293" s="570">
        <v>610.20419436535292</v>
      </c>
      <c r="ML293" s="570">
        <v>162.981599593</v>
      </c>
      <c r="MM293" s="570">
        <v>9.3382297098737332</v>
      </c>
      <c r="MN293" s="570">
        <v>131.48811218099999</v>
      </c>
      <c r="MO293" s="570">
        <v>5.5004782470000011</v>
      </c>
      <c r="MP293" s="570">
        <v>24.44874385</v>
      </c>
      <c r="MQ293" s="570">
        <v>1.589982622</v>
      </c>
      <c r="MR293" s="570">
        <v>23.216001274</v>
      </c>
      <c r="MS293" s="570">
        <v>76.732906188000015</v>
      </c>
      <c r="MT293" s="570">
        <v>0</v>
      </c>
      <c r="MU293" s="570">
        <v>147.89203498707886</v>
      </c>
      <c r="MV293" s="570">
        <v>70.224265251078876</v>
      </c>
      <c r="MW293" s="570">
        <v>77.667769735999997</v>
      </c>
      <c r="MX293" s="570">
        <v>1563.1733435518081</v>
      </c>
      <c r="MY293" s="570">
        <v>1571.239639381808</v>
      </c>
      <c r="MZ293" s="570">
        <v>1122.3177398536668</v>
      </c>
      <c r="NA293" s="570">
        <v>571.37739210366681</v>
      </c>
      <c r="NB293" s="570">
        <v>154.39219638000003</v>
      </c>
      <c r="NC293" s="570">
        <v>69.920043802999999</v>
      </c>
      <c r="ND293" s="570">
        <v>50.79866255200001</v>
      </c>
      <c r="NE293" s="570">
        <v>19.121381250999999</v>
      </c>
      <c r="NF293" s="570">
        <v>326.62810756700003</v>
      </c>
      <c r="NG293" s="570">
        <v>0</v>
      </c>
      <c r="NH293" s="570">
        <v>100.488490958</v>
      </c>
      <c r="NI293" s="570">
        <v>0</v>
      </c>
      <c r="NJ293" s="570">
        <v>41</v>
      </c>
      <c r="NK293" s="570">
        <v>448.9218995281413</v>
      </c>
      <c r="NL293" s="570">
        <v>293.80813976300004</v>
      </c>
      <c r="NM293" s="570">
        <v>8.3547106210000006</v>
      </c>
      <c r="NN293" s="570">
        <v>1.3308962450000001</v>
      </c>
      <c r="NO293" s="570">
        <v>-8.0662958299999996</v>
      </c>
      <c r="NP293" s="570">
        <v>-151.19540910492927</v>
      </c>
      <c r="NQ293" s="570">
        <v>-299.08744409200807</v>
      </c>
      <c r="NR293" s="570">
        <v>-75.384536768866866</v>
      </c>
      <c r="NS293" s="570">
        <v>-145.30458057186686</v>
      </c>
      <c r="NT293" s="570">
        <v>-321.6892130639294</v>
      </c>
      <c r="NU293" s="570">
        <v>-469.58124805100829</v>
      </c>
      <c r="NV293" s="570">
        <v>325.07644403006242</v>
      </c>
      <c r="NW293" s="570">
        <v>70.518133707062404</v>
      </c>
      <c r="NX293" s="570">
        <v>111.76474926906243</v>
      </c>
      <c r="NY293" s="570">
        <v>-41.246615562000002</v>
      </c>
      <c r="NZ293" s="570">
        <v>0</v>
      </c>
      <c r="OA293" s="570">
        <v>254.558310323</v>
      </c>
      <c r="OB293" s="570">
        <v>70.802573466999988</v>
      </c>
      <c r="OC293" s="570">
        <v>183.755736856</v>
      </c>
      <c r="OD293" s="734">
        <v>-3.3872309661329925</v>
      </c>
      <c r="OE293" s="29">
        <v>226</v>
      </c>
      <c r="OF293" s="1504">
        <v>43374</v>
      </c>
      <c r="OG293" s="19"/>
      <c r="OH293" s="93">
        <v>493.41945155699995</v>
      </c>
      <c r="OI293" s="93">
        <v>1504.1816670400001</v>
      </c>
      <c r="OJ293" s="93">
        <v>0.333302612</v>
      </c>
      <c r="OK293" s="93">
        <v>1286.5720000000001</v>
      </c>
      <c r="OL293" s="93">
        <v>217.27636442799999</v>
      </c>
      <c r="OM293" s="93">
        <v>1997.6011185970001</v>
      </c>
      <c r="ON293" s="93">
        <v>1476.1061083190002</v>
      </c>
      <c r="OO293" s="93">
        <v>3473.7072269160003</v>
      </c>
      <c r="OP293" s="93"/>
      <c r="OQ293" s="93">
        <v>1257.2255482980001</v>
      </c>
      <c r="OR293" s="93">
        <v>228.09454829800006</v>
      </c>
      <c r="OS293" s="93">
        <v>1029.1310000000001</v>
      </c>
      <c r="OT293" s="93">
        <v>2672.1659929669995</v>
      </c>
      <c r="OU293" s="93">
        <v>73.850666772000039</v>
      </c>
      <c r="OV293" s="93">
        <v>-50.270333227999991</v>
      </c>
      <c r="OW293" s="93">
        <v>124.12100000000004</v>
      </c>
      <c r="OX293" s="93">
        <v>2598.3153261949997</v>
      </c>
      <c r="OY293" s="93">
        <v>6.5093261949999999</v>
      </c>
      <c r="OZ293" s="93">
        <v>2591.806</v>
      </c>
      <c r="PA293" s="93">
        <v>583.78364952799939</v>
      </c>
      <c r="PB293" s="93">
        <v>-128.09933517899998</v>
      </c>
      <c r="PC293" s="20">
        <v>3473.7072269159999</v>
      </c>
      <c r="PD293" s="29">
        <v>226</v>
      </c>
      <c r="PE293" s="19"/>
      <c r="PF293" s="93">
        <v>228.09454829800006</v>
      </c>
      <c r="PG293" s="93">
        <v>1220.7800616680001</v>
      </c>
      <c r="PH293" s="93">
        <v>992.68551337000008</v>
      </c>
      <c r="PI293" s="93">
        <v>611.37667265699997</v>
      </c>
      <c r="PJ293" s="93">
        <v>-43.444251175999995</v>
      </c>
      <c r="PK293" s="93">
        <v>121.213563056</v>
      </c>
      <c r="PL293" s="93">
        <v>164.65781423199999</v>
      </c>
      <c r="PM293" s="93">
        <v>6.5093261949999999</v>
      </c>
      <c r="PN293" s="93">
        <v>2.1640000000000001</v>
      </c>
      <c r="PO293" s="93">
        <v>0</v>
      </c>
      <c r="PP293" s="93">
        <v>0</v>
      </c>
      <c r="PQ293" s="93">
        <v>4.3453261950000002</v>
      </c>
      <c r="PR293" s="93">
        <v>778.41706823499999</v>
      </c>
      <c r="PS293" s="93">
        <v>562.92753360899997</v>
      </c>
      <c r="PT293" s="93">
        <v>214.82312369499999</v>
      </c>
      <c r="PU293" s="93">
        <v>0.66641093099999993</v>
      </c>
      <c r="PV293" s="93">
        <v>0</v>
      </c>
      <c r="PW293" s="93">
        <v>0.40172276800000001</v>
      </c>
      <c r="PX293" s="93">
        <v>0</v>
      </c>
      <c r="PY293" s="93">
        <v>0</v>
      </c>
      <c r="PZ293" s="93">
        <v>0.40172276800000001</v>
      </c>
      <c r="QA293" s="93">
        <v>0</v>
      </c>
      <c r="QB293" s="93">
        <v>0</v>
      </c>
      <c r="QC293" s="93">
        <v>0</v>
      </c>
      <c r="QD293" s="93">
        <v>13.95092676</v>
      </c>
      <c r="QE293" s="20">
        <v>9.7665782109999864</v>
      </c>
      <c r="QF293" s="1739">
        <v>226</v>
      </c>
      <c r="QG293" s="19"/>
      <c r="QH293" s="1035">
        <v>1029.1310000000001</v>
      </c>
      <c r="QI293" s="1035">
        <v>1459.4780000000001</v>
      </c>
      <c r="QJ293" s="1035">
        <v>-430.34700000000004</v>
      </c>
      <c r="QK293" s="1035">
        <v>288.42199999999997</v>
      </c>
      <c r="QL293" s="1035">
        <v>62.682000000000002</v>
      </c>
      <c r="QM293" s="1035">
        <v>225.73999999999998</v>
      </c>
      <c r="QN293" s="1035">
        <v>0</v>
      </c>
      <c r="QO293" s="1035">
        <v>124.12100000000004</v>
      </c>
      <c r="QP293" s="1035">
        <v>449.14800000000002</v>
      </c>
      <c r="QQ293" s="1035">
        <v>-325.02699999999999</v>
      </c>
      <c r="QR293" s="1035">
        <v>2591.806</v>
      </c>
      <c r="QS293" s="1035">
        <v>19.776</v>
      </c>
      <c r="QT293" s="1035">
        <v>0.39799999999999996</v>
      </c>
      <c r="QU293" s="1035">
        <v>197.887</v>
      </c>
      <c r="QV293" s="1035">
        <v>2373.7449999999999</v>
      </c>
      <c r="QW293" s="93"/>
      <c r="QX293" s="93">
        <v>541.31799999999998</v>
      </c>
      <c r="QY293" s="93">
        <v>1286.5719999999999</v>
      </c>
      <c r="QZ293" s="93">
        <v>1475.7729999999999</v>
      </c>
      <c r="RA293" s="93">
        <v>0</v>
      </c>
      <c r="RB293" s="93">
        <v>116.01400000000001</v>
      </c>
      <c r="RC293" s="93">
        <v>0</v>
      </c>
      <c r="RD293" s="93">
        <v>21.338000000000001</v>
      </c>
      <c r="RE293" s="93">
        <v>0</v>
      </c>
      <c r="RF293" s="93">
        <v>0</v>
      </c>
      <c r="RG293" s="93">
        <v>432.07899999999933</v>
      </c>
      <c r="RH293" s="93">
        <v>160.386</v>
      </c>
      <c r="RI293" s="93"/>
      <c r="RJ293" s="93"/>
      <c r="RK293" s="93"/>
      <c r="RL293" s="93"/>
      <c r="RM293" s="734"/>
      <c r="RN293" s="29">
        <v>226</v>
      </c>
      <c r="RO293" s="19">
        <v>87</v>
      </c>
      <c r="RP293" s="20">
        <v>494</v>
      </c>
      <c r="RQ293" s="29">
        <v>226</v>
      </c>
      <c r="RR293" s="734">
        <v>4.5317070900000003</v>
      </c>
      <c r="RS293" s="29">
        <v>226</v>
      </c>
      <c r="RT293" s="1504">
        <v>43374</v>
      </c>
      <c r="RU293" s="19">
        <v>1187</v>
      </c>
      <c r="RV293" s="20">
        <v>19</v>
      </c>
      <c r="RW293" s="29">
        <v>226</v>
      </c>
      <c r="RX293" s="1504">
        <v>43374</v>
      </c>
      <c r="RY293" s="29"/>
      <c r="RZ293" s="734"/>
      <c r="SA293" s="29"/>
      <c r="SB293" s="29">
        <v>226</v>
      </c>
    </row>
    <row r="294" spans="1:496">
      <c r="A294" s="41">
        <f t="shared" si="238"/>
        <v>2018</v>
      </c>
      <c r="B294" s="1504">
        <v>43405</v>
      </c>
      <c r="C294" s="1813">
        <v>1591</v>
      </c>
      <c r="D294" s="1814">
        <v>28695</v>
      </c>
      <c r="E294" s="1814">
        <v>121</v>
      </c>
      <c r="F294" s="1815">
        <v>949</v>
      </c>
      <c r="G294" s="1814">
        <v>86445</v>
      </c>
      <c r="H294" s="1814">
        <v>22</v>
      </c>
      <c r="I294" s="1814">
        <v>33961</v>
      </c>
      <c r="J294" s="1816">
        <v>14366</v>
      </c>
      <c r="K294" s="1807">
        <v>166150</v>
      </c>
      <c r="L294" s="25">
        <v>227</v>
      </c>
      <c r="M294" s="97"/>
      <c r="N294" s="1504">
        <v>43405</v>
      </c>
      <c r="O294" s="19">
        <v>933</v>
      </c>
      <c r="P294" s="100">
        <v>787.27224893558105</v>
      </c>
      <c r="Q294" s="100">
        <v>15001.049108104102</v>
      </c>
      <c r="R294" s="99">
        <v>1167</v>
      </c>
      <c r="S294" s="100">
        <v>3046.8151657680178</v>
      </c>
      <c r="T294" s="93">
        <v>1051</v>
      </c>
      <c r="U294" s="93"/>
      <c r="V294" s="99">
        <v>2300</v>
      </c>
      <c r="W294" s="93">
        <v>3822</v>
      </c>
      <c r="X294" s="93">
        <v>745</v>
      </c>
      <c r="Y294" s="93">
        <v>372</v>
      </c>
      <c r="Z294" s="99">
        <v>1735</v>
      </c>
      <c r="AA294" s="100">
        <v>1268.817869325615</v>
      </c>
      <c r="AB294" s="132">
        <v>32228.954392133317</v>
      </c>
      <c r="AC294" s="25">
        <v>227</v>
      </c>
      <c r="AD294" s="97"/>
      <c r="AE294" s="1504">
        <v>43405</v>
      </c>
      <c r="AF294" s="19">
        <v>2465</v>
      </c>
      <c r="AG294" s="100">
        <v>843</v>
      </c>
      <c r="AH294" s="100">
        <v>4862</v>
      </c>
      <c r="AI294" s="99">
        <v>2582</v>
      </c>
      <c r="AJ294" s="100">
        <v>2297</v>
      </c>
      <c r="AK294" s="93">
        <v>2389</v>
      </c>
      <c r="AL294" s="93">
        <v>1439</v>
      </c>
      <c r="AM294" s="99">
        <v>2799</v>
      </c>
      <c r="AN294" s="93">
        <v>6861</v>
      </c>
      <c r="AO294" s="93">
        <v>1968</v>
      </c>
      <c r="AP294" s="93">
        <v>1249</v>
      </c>
      <c r="AQ294" s="99">
        <v>2884</v>
      </c>
      <c r="AR294" s="100">
        <v>1323</v>
      </c>
      <c r="AS294" s="20">
        <v>33961</v>
      </c>
      <c r="AT294" s="25">
        <v>227</v>
      </c>
      <c r="AU294" s="97"/>
      <c r="AV294" s="1504">
        <v>43405</v>
      </c>
      <c r="AW294" s="19">
        <v>9210</v>
      </c>
      <c r="AX294" s="100">
        <v>1597.2969316520496</v>
      </c>
      <c r="AY294" s="100">
        <v>4641.4983708013142</v>
      </c>
      <c r="AZ294" s="99">
        <v>8290</v>
      </c>
      <c r="BA294" s="100">
        <v>11673.18731988224</v>
      </c>
      <c r="BB294" s="93">
        <v>7147</v>
      </c>
      <c r="BC294" s="93"/>
      <c r="BD294" s="99">
        <v>10734</v>
      </c>
      <c r="BE294" s="93">
        <v>10688</v>
      </c>
      <c r="BF294" s="93">
        <v>7103</v>
      </c>
      <c r="BG294" s="93">
        <v>4166</v>
      </c>
      <c r="BH294" s="99">
        <v>9144</v>
      </c>
      <c r="BI294" s="100">
        <v>4785.1018279972241</v>
      </c>
      <c r="BJ294" s="132">
        <v>89179.084450332826</v>
      </c>
      <c r="BK294" s="25">
        <v>227</v>
      </c>
      <c r="BL294" s="97"/>
      <c r="BM294" s="1504">
        <v>43405</v>
      </c>
      <c r="BN294" s="19">
        <v>50.847000000000001</v>
      </c>
      <c r="BO294" s="93">
        <v>1428.32</v>
      </c>
      <c r="BP294" s="93">
        <v>16.32</v>
      </c>
      <c r="BQ294" s="93">
        <v>554.47199999999998</v>
      </c>
      <c r="BR294" s="93">
        <v>5.8140000000000001</v>
      </c>
      <c r="BS294" s="93">
        <v>155.565</v>
      </c>
      <c r="BT294" s="93">
        <v>239.64</v>
      </c>
      <c r="BU294" s="132">
        <v>2450.9779999999996</v>
      </c>
      <c r="BV294" s="25">
        <v>227</v>
      </c>
      <c r="BW294" s="97"/>
      <c r="BX294" s="1504">
        <v>43405</v>
      </c>
      <c r="BY294" s="179">
        <v>577.07100000000003</v>
      </c>
      <c r="BZ294" s="99">
        <v>664.95699999999999</v>
      </c>
      <c r="CA294" s="99">
        <v>576.56399999999996</v>
      </c>
      <c r="CB294" s="99">
        <v>41.467766716214705</v>
      </c>
      <c r="CC294" s="99">
        <v>120.46899999999999</v>
      </c>
      <c r="CD294" s="25">
        <v>227</v>
      </c>
      <c r="CE294" s="97"/>
      <c r="CF294" s="1504">
        <v>43405</v>
      </c>
      <c r="CG294" s="1508">
        <v>1.912948774</v>
      </c>
      <c r="CH294" s="568">
        <v>1220.6500000000001</v>
      </c>
      <c r="CI294" s="1708">
        <v>62.316666666666698</v>
      </c>
      <c r="CJ294" s="1509">
        <v>65.17</v>
      </c>
      <c r="CK294" s="1508">
        <v>378.81</v>
      </c>
      <c r="CL294" s="568">
        <v>160.6883656</v>
      </c>
      <c r="CM294" s="568">
        <v>0.28439597999999999</v>
      </c>
      <c r="CN294" s="568">
        <v>0.37103747199999998</v>
      </c>
      <c r="CO294" s="568">
        <v>203.55993179999999</v>
      </c>
      <c r="CP294" s="1509">
        <v>3.946600493</v>
      </c>
      <c r="CQ294" s="568">
        <v>1438.26</v>
      </c>
      <c r="CR294" s="568">
        <v>2.3574999999999999</v>
      </c>
      <c r="CS294" s="568">
        <v>1.3529</v>
      </c>
      <c r="CT294" s="568">
        <v>92.5</v>
      </c>
      <c r="CU294" s="568">
        <v>73.260000000000005</v>
      </c>
      <c r="CV294" s="1709">
        <v>2595.69</v>
      </c>
      <c r="CW294" s="29">
        <v>227</v>
      </c>
      <c r="CX294" s="41">
        <f t="shared" si="239"/>
        <v>2018</v>
      </c>
      <c r="CY294" s="1504">
        <v>43405</v>
      </c>
      <c r="CZ294" s="1916">
        <v>134.79972555388383</v>
      </c>
      <c r="DA294" s="1526">
        <v>72.182445553883824</v>
      </c>
      <c r="DB294" s="1526">
        <v>47.604328000000002</v>
      </c>
      <c r="DC294" s="182">
        <f t="shared" si="277"/>
        <v>669448</v>
      </c>
      <c r="DD294" s="182">
        <f t="shared" si="278"/>
        <v>667702</v>
      </c>
      <c r="DE294" s="182">
        <f t="shared" si="279"/>
        <v>1746</v>
      </c>
      <c r="DF294" s="29">
        <v>227</v>
      </c>
      <c r="DG294" s="1504">
        <v>43405</v>
      </c>
      <c r="DH294" s="181">
        <v>399455</v>
      </c>
      <c r="DI294" s="182">
        <v>4319464</v>
      </c>
      <c r="DJ294" s="182">
        <v>285573</v>
      </c>
      <c r="DK294" s="182">
        <v>22376</v>
      </c>
      <c r="DL294" s="182">
        <v>499642</v>
      </c>
      <c r="DM294" s="182">
        <v>9455</v>
      </c>
      <c r="DN294" s="290">
        <v>1565255</v>
      </c>
      <c r="DO294" s="295">
        <f t="shared" si="282"/>
        <v>6701765</v>
      </c>
      <c r="DP294" s="29">
        <v>227</v>
      </c>
      <c r="DQ294" s="1504">
        <v>43405</v>
      </c>
      <c r="DR294" s="369">
        <f t="shared" ref="DR294:DX294" si="305">(((DR293/DR292-1)+(DR292/DR291-1))^1/2+1)*DR293</f>
        <v>51327.856515717525</v>
      </c>
      <c r="DS294" s="1505">
        <f t="shared" si="305"/>
        <v>190.14795976794241</v>
      </c>
      <c r="DT294" s="1505">
        <f t="shared" si="305"/>
        <v>58377.831595115567</v>
      </c>
      <c r="DU294" s="1505">
        <f t="shared" si="305"/>
        <v>939.09758593053618</v>
      </c>
      <c r="DV294" s="1505">
        <f t="shared" si="305"/>
        <v>1218.8928644457962</v>
      </c>
      <c r="DW294" s="1505">
        <f t="shared" si="305"/>
        <v>4113.3286793341931</v>
      </c>
      <c r="DX294" s="1720">
        <f t="shared" si="305"/>
        <v>16533.358219235339</v>
      </c>
      <c r="DY294" s="29">
        <v>227</v>
      </c>
      <c r="DZ294" s="1504">
        <v>43405</v>
      </c>
      <c r="EA294" s="19"/>
      <c r="EB294" s="93"/>
      <c r="EC294" s="20"/>
      <c r="ED294" s="29"/>
      <c r="EE294" s="1504">
        <v>43405</v>
      </c>
      <c r="EF294" s="19">
        <v>20329</v>
      </c>
      <c r="EG294" s="93">
        <v>20946</v>
      </c>
      <c r="EH294" s="99">
        <f t="shared" si="283"/>
        <v>41275</v>
      </c>
      <c r="EI294" s="214">
        <v>6125</v>
      </c>
      <c r="EJ294" s="99">
        <v>591.87400000000002</v>
      </c>
      <c r="EK294" s="99">
        <v>95.355999999999995</v>
      </c>
      <c r="EL294" s="1150">
        <v>6.4459999999999997</v>
      </c>
      <c r="EM294" s="1150">
        <v>8.6940000000000008</v>
      </c>
      <c r="EN294" s="132">
        <v>940.774</v>
      </c>
      <c r="EO294" s="29">
        <v>227</v>
      </c>
      <c r="EP294" s="1504">
        <v>43405</v>
      </c>
      <c r="EQ294" s="19">
        <v>19636</v>
      </c>
      <c r="ER294" s="93">
        <v>19605</v>
      </c>
      <c r="ES294" s="93">
        <v>39241</v>
      </c>
      <c r="ET294" s="214">
        <v>5002</v>
      </c>
      <c r="EU294" s="93">
        <v>591.87400000000002</v>
      </c>
      <c r="EV294" s="93">
        <v>95.355999999999995</v>
      </c>
      <c r="EW294" s="93">
        <v>6.4459999999999997</v>
      </c>
      <c r="EX294" s="93">
        <v>8.6940000000000008</v>
      </c>
      <c r="EY294" s="93">
        <f t="shared" si="280"/>
        <v>702.37</v>
      </c>
      <c r="EZ294" s="29">
        <v>227</v>
      </c>
      <c r="FA294" s="1504">
        <v>43405</v>
      </c>
      <c r="FB294" s="29">
        <v>559</v>
      </c>
      <c r="FC294" s="29">
        <v>510</v>
      </c>
      <c r="FD294" s="29">
        <f t="shared" si="284"/>
        <v>1069</v>
      </c>
      <c r="FE294" s="29">
        <v>591</v>
      </c>
      <c r="FF294" s="29">
        <v>46</v>
      </c>
      <c r="FG294" s="29">
        <v>0</v>
      </c>
      <c r="FH294" s="29">
        <v>0</v>
      </c>
      <c r="FI294" s="29">
        <v>0</v>
      </c>
      <c r="FJ294" s="29">
        <v>4.5999999999999999E-2</v>
      </c>
      <c r="FK294" s="29">
        <v>227</v>
      </c>
      <c r="FL294" s="1504">
        <v>43405</v>
      </c>
      <c r="FM294" s="19">
        <v>104.52</v>
      </c>
      <c r="FN294" s="93">
        <v>106.65</v>
      </c>
      <c r="FO294" s="93">
        <v>131.21</v>
      </c>
      <c r="FP294" s="93">
        <v>100.78</v>
      </c>
      <c r="FQ294" s="93">
        <v>97.36</v>
      </c>
      <c r="FR294" s="93">
        <v>101.02</v>
      </c>
      <c r="FS294" s="93">
        <v>100.29</v>
      </c>
      <c r="FT294" s="93">
        <v>99.07</v>
      </c>
      <c r="FU294" s="93">
        <v>110.43</v>
      </c>
      <c r="FV294" s="93">
        <v>102.4</v>
      </c>
      <c r="FW294" s="93">
        <v>104.59</v>
      </c>
      <c r="FX294" s="93">
        <v>104.48</v>
      </c>
      <c r="FY294" s="93">
        <v>100.43</v>
      </c>
      <c r="FZ294" s="29">
        <v>227</v>
      </c>
      <c r="GA294" s="1504">
        <v>43405</v>
      </c>
      <c r="GB294" s="19">
        <v>104.52</v>
      </c>
      <c r="GC294" s="93">
        <v>102.34</v>
      </c>
      <c r="GD294" s="93">
        <v>105.91</v>
      </c>
      <c r="GE294" s="93">
        <v>93.88</v>
      </c>
      <c r="GF294" s="93">
        <v>111.15</v>
      </c>
      <c r="GG294" s="99">
        <v>103.24</v>
      </c>
      <c r="GH294" s="93">
        <v>108.58</v>
      </c>
      <c r="GI294" s="93">
        <v>102.87</v>
      </c>
      <c r="GJ294" s="93">
        <v>103.41</v>
      </c>
      <c r="GK294" s="93">
        <v>100.57</v>
      </c>
      <c r="GL294" s="93">
        <v>106.44</v>
      </c>
      <c r="GM294" s="93">
        <v>100.99</v>
      </c>
      <c r="GN294" s="20">
        <v>103.41</v>
      </c>
      <c r="GO294" s="29">
        <v>227</v>
      </c>
      <c r="GP294" s="1504">
        <v>43405</v>
      </c>
      <c r="GQ294" s="1695">
        <v>298</v>
      </c>
      <c r="GR294" s="1696">
        <v>239</v>
      </c>
      <c r="GS294" s="1696">
        <v>245</v>
      </c>
      <c r="GT294" s="1696">
        <v>197</v>
      </c>
      <c r="GU294" s="1696">
        <v>391</v>
      </c>
      <c r="GV294" s="1697">
        <v>1055</v>
      </c>
      <c r="GW294" s="181">
        <v>373</v>
      </c>
      <c r="GX294" s="182">
        <v>482</v>
      </c>
      <c r="GY294" s="182">
        <v>542</v>
      </c>
      <c r="GZ294" s="182">
        <v>843</v>
      </c>
      <c r="HA294" s="182">
        <v>375</v>
      </c>
      <c r="HB294" s="290">
        <v>860</v>
      </c>
      <c r="HC294" s="181">
        <v>1919</v>
      </c>
      <c r="HD294" s="182">
        <v>2583</v>
      </c>
      <c r="HE294" s="182">
        <v>2477</v>
      </c>
      <c r="HF294" s="182">
        <v>3150</v>
      </c>
      <c r="HG294" s="182">
        <v>2508</v>
      </c>
      <c r="HH294" s="290">
        <v>2897</v>
      </c>
      <c r="HI294" s="19"/>
      <c r="HJ294" s="182">
        <v>881</v>
      </c>
      <c r="HK294" s="182">
        <v>1434</v>
      </c>
      <c r="HL294" s="182">
        <v>981</v>
      </c>
      <c r="HM294" s="182">
        <v>900</v>
      </c>
      <c r="HN294" s="290">
        <v>2491</v>
      </c>
      <c r="HO294" s="324">
        <v>159</v>
      </c>
      <c r="HP294" s="290">
        <v>99</v>
      </c>
      <c r="HQ294" s="295">
        <v>118</v>
      </c>
      <c r="HR294" s="29">
        <v>227</v>
      </c>
      <c r="HS294" s="1504">
        <v>43405</v>
      </c>
      <c r="HT294" s="179">
        <v>228.53361129760742</v>
      </c>
      <c r="HU294" s="99">
        <v>263.88888549804688</v>
      </c>
      <c r="HV294" s="99">
        <v>223.64216613769531</v>
      </c>
      <c r="HW294" s="99">
        <v>160</v>
      </c>
      <c r="HX294" s="99">
        <v>244.44444274902344</v>
      </c>
      <c r="HY294" s="99">
        <v>217.70832824707031</v>
      </c>
      <c r="HZ294" s="99">
        <v>247.56494140625</v>
      </c>
      <c r="IA294" s="132">
        <v>213.97850036621094</v>
      </c>
      <c r="IB294" s="179">
        <v>162.65726216634116</v>
      </c>
      <c r="IC294" s="99">
        <v>81.974636077880859</v>
      </c>
      <c r="ID294" s="99">
        <v>115.37355995178223</v>
      </c>
      <c r="IE294" s="99">
        <v>96.572052001953125</v>
      </c>
      <c r="IF294" s="99">
        <v>153.64583333333334</v>
      </c>
      <c r="IG294" s="132">
        <v>88.888885498046875</v>
      </c>
      <c r="IH294" s="179">
        <v>112.69841384887695</v>
      </c>
      <c r="II294" s="99">
        <v>222.22222900390625</v>
      </c>
      <c r="IJ294" s="99">
        <v>169.49542744954428</v>
      </c>
      <c r="IK294" s="99">
        <v>172.61904907226563</v>
      </c>
      <c r="IL294" s="99">
        <v>138.12576293945313</v>
      </c>
      <c r="IM294" s="99">
        <v>138.88888549804688</v>
      </c>
      <c r="IN294" s="99">
        <v>176.67845153808594</v>
      </c>
      <c r="IO294" s="132">
        <v>159.78964614868164</v>
      </c>
      <c r="IP294" s="29">
        <v>227</v>
      </c>
      <c r="IQ294" s="179">
        <v>151.49572372436523</v>
      </c>
      <c r="IR294" s="99">
        <v>84.239128112792969</v>
      </c>
      <c r="IS294" s="99">
        <v>120.68965148925781</v>
      </c>
      <c r="IT294" s="99">
        <v>103.55987091064453</v>
      </c>
      <c r="IU294" s="99">
        <v>162.96011734008789</v>
      </c>
      <c r="IV294" s="132">
        <v>96.263735961914065</v>
      </c>
      <c r="IW294" s="29">
        <v>227</v>
      </c>
      <c r="IX294" s="419">
        <f>(((IX293/IX292-1)+(IX292/IX291-1))^1/2+1)*IX293</f>
        <v>406.46179233180396</v>
      </c>
      <c r="IY294" s="99">
        <v>364.58334350585938</v>
      </c>
      <c r="IZ294" s="100">
        <f>(((IZ293/IZ292-1)+(IZ292/IZ291-1))^1/2+1)*IZ293</f>
        <v>434.61738245102919</v>
      </c>
      <c r="JA294" s="99">
        <v>375</v>
      </c>
      <c r="JB294" s="99">
        <v>387.5</v>
      </c>
      <c r="JC294" s="99"/>
      <c r="JD294" s="99">
        <v>375</v>
      </c>
      <c r="JE294" s="306">
        <f>(((JE293/JE292-1)+(JE292/JE291-1))^1/2+1)*JE293</f>
        <v>437.04915421277173</v>
      </c>
      <c r="JF294" s="29">
        <v>227</v>
      </c>
      <c r="JG294" s="179">
        <v>170.95610427856445</v>
      </c>
      <c r="JH294" s="99">
        <v>225.69445037841797</v>
      </c>
      <c r="JI294" s="99">
        <v>168.65570831298828</v>
      </c>
      <c r="JJ294" s="99">
        <v>127.65957641601563</v>
      </c>
      <c r="JK294" s="99">
        <v>196.40852864583334</v>
      </c>
      <c r="JL294" s="99">
        <v>213.38384246826172</v>
      </c>
      <c r="JM294" s="99">
        <v>169.93464152018228</v>
      </c>
      <c r="JN294" s="132">
        <v>229.09968948364258</v>
      </c>
      <c r="JO294" s="29">
        <v>227</v>
      </c>
      <c r="JP294" s="179">
        <v>207.57965087890625</v>
      </c>
      <c r="JQ294" s="99">
        <v>87.044536590576172</v>
      </c>
      <c r="JR294" s="99">
        <v>170.83333587646484</v>
      </c>
      <c r="JS294" s="99"/>
      <c r="JT294" s="99">
        <v>185.75851440429688</v>
      </c>
      <c r="JU294" s="132">
        <v>91.145835876464844</v>
      </c>
      <c r="JV294" s="29">
        <v>227</v>
      </c>
      <c r="JW294" s="1504">
        <v>43405</v>
      </c>
      <c r="JX294" s="179"/>
      <c r="JY294" s="99">
        <v>325.35714285714283</v>
      </c>
      <c r="JZ294" s="99">
        <v>279.23076923076923</v>
      </c>
      <c r="KA294" s="99">
        <v>249.47916666666666</v>
      </c>
      <c r="KB294" s="99">
        <v>275.8125</v>
      </c>
      <c r="KC294" s="99">
        <v>226.60416666666666</v>
      </c>
      <c r="KD294" s="132">
        <v>306.81818181818181</v>
      </c>
      <c r="KE294" s="29">
        <v>227</v>
      </c>
      <c r="KF294" s="179"/>
      <c r="KG294" s="99">
        <v>43.769230769230766</v>
      </c>
      <c r="KH294" s="99">
        <v>44.527777777777779</v>
      </c>
      <c r="KI294" s="99">
        <v>47.666666666666664</v>
      </c>
      <c r="KJ294" s="99">
        <v>37.325000000000003</v>
      </c>
      <c r="KK294" s="132">
        <v>69.383333333333326</v>
      </c>
      <c r="KL294" s="29">
        <v>227</v>
      </c>
      <c r="KM294" s="100">
        <f t="shared" si="253"/>
        <v>10.554018586367265</v>
      </c>
      <c r="KN294" s="99">
        <v>23.048780487804876</v>
      </c>
      <c r="KO294" s="99">
        <v>45.015625</v>
      </c>
      <c r="KP294" s="99">
        <v>37.166666666666664</v>
      </c>
      <c r="KQ294" s="99">
        <v>29.151162790697676</v>
      </c>
      <c r="KR294" s="132">
        <v>33.755319148936174</v>
      </c>
      <c r="KS294" s="29">
        <v>227</v>
      </c>
      <c r="KT294" s="100">
        <f t="shared" si="254"/>
        <v>48.608841062774545</v>
      </c>
      <c r="KU294" s="99">
        <v>23.048780487804876</v>
      </c>
      <c r="KV294" s="99">
        <v>23.625</v>
      </c>
      <c r="KW294" s="99">
        <v>24.5</v>
      </c>
      <c r="KX294" s="99">
        <v>19.625</v>
      </c>
      <c r="KY294" s="132">
        <v>25.440972222222221</v>
      </c>
      <c r="KZ294" s="29">
        <v>227</v>
      </c>
      <c r="LA294" s="1504">
        <v>43405</v>
      </c>
      <c r="LB294" s="100">
        <f t="shared" ref="LB294:LC298" si="306">(((LB293/LB292-1)+(LB292/LB291-1))^1/2+1)*LB293</f>
        <v>380</v>
      </c>
      <c r="LC294" s="100">
        <f t="shared" si="306"/>
        <v>610</v>
      </c>
      <c r="LD294" s="93">
        <v>602</v>
      </c>
      <c r="LE294" s="93"/>
      <c r="LF294" s="93">
        <v>526</v>
      </c>
      <c r="LG294" s="93">
        <v>5000</v>
      </c>
      <c r="LH294" s="20">
        <v>2000</v>
      </c>
      <c r="LI294" s="29">
        <v>227</v>
      </c>
      <c r="LJ294" s="19"/>
      <c r="LK294" s="93"/>
      <c r="LL294" s="93"/>
      <c r="LM294" s="93"/>
      <c r="LN294" s="93"/>
      <c r="LO294" s="20"/>
      <c r="LP294" s="29">
        <v>227</v>
      </c>
      <c r="LQ294" s="19"/>
      <c r="LR294" s="93">
        <v>188</v>
      </c>
      <c r="LS294" s="93">
        <v>445</v>
      </c>
      <c r="LT294" s="93">
        <v>535</v>
      </c>
      <c r="LU294" s="93">
        <v>1070</v>
      </c>
      <c r="LV294" s="93"/>
      <c r="LW294" s="93">
        <v>5</v>
      </c>
      <c r="LX294" s="93">
        <v>10</v>
      </c>
      <c r="LY294" s="93">
        <v>60</v>
      </c>
      <c r="LZ294" s="93"/>
      <c r="MA294" s="20"/>
      <c r="MB294" s="29">
        <v>227</v>
      </c>
      <c r="MC294" s="1504">
        <v>43405</v>
      </c>
      <c r="MD294" s="733">
        <v>1549.6248505015562</v>
      </c>
      <c r="ME294" s="570">
        <v>1393.8895647987997</v>
      </c>
      <c r="MF294" s="570">
        <v>1393.8895647987997</v>
      </c>
      <c r="MG294" s="570">
        <v>1237.8765199828001</v>
      </c>
      <c r="MH294" s="570">
        <v>355.18457003762973</v>
      </c>
      <c r="MI294" s="570">
        <v>11.148833353411117</v>
      </c>
      <c r="MJ294" s="570">
        <v>6.7470556094416034</v>
      </c>
      <c r="MK294" s="570">
        <v>674.23501019513992</v>
      </c>
      <c r="ML294" s="570">
        <v>180.26345256299999</v>
      </c>
      <c r="MM294" s="570">
        <v>10.297598224177573</v>
      </c>
      <c r="MN294" s="570">
        <v>156.01304481599999</v>
      </c>
      <c r="MO294" s="570">
        <v>5.7743296110000006</v>
      </c>
      <c r="MP294" s="570">
        <v>26.519421787999999</v>
      </c>
      <c r="MQ294" s="570">
        <v>2.313778675</v>
      </c>
      <c r="MR294" s="570">
        <v>37.417258782000005</v>
      </c>
      <c r="MS294" s="570">
        <v>83.988255960000018</v>
      </c>
      <c r="MT294" s="570">
        <v>0</v>
      </c>
      <c r="MU294" s="570">
        <v>155.73528570275616</v>
      </c>
      <c r="MV294" s="570">
        <v>72.250514866756177</v>
      </c>
      <c r="MW294" s="570">
        <v>83.484770835999996</v>
      </c>
      <c r="MX294" s="570">
        <v>1763.840909246152</v>
      </c>
      <c r="MY294" s="570">
        <v>1772.177825741152</v>
      </c>
      <c r="MZ294" s="570">
        <v>1248.6028413303334</v>
      </c>
      <c r="NA294" s="570">
        <v>639.58440288333338</v>
      </c>
      <c r="NB294" s="570">
        <v>168.63909840700003</v>
      </c>
      <c r="NC294" s="570">
        <v>86.725516800000008</v>
      </c>
      <c r="ND294" s="570">
        <v>63.76830175100001</v>
      </c>
      <c r="NE294" s="570">
        <v>22.957215048999998</v>
      </c>
      <c r="NF294" s="570">
        <v>353.65382324000001</v>
      </c>
      <c r="NG294" s="570">
        <v>0</v>
      </c>
      <c r="NH294" s="570">
        <v>102.94083089</v>
      </c>
      <c r="NI294" s="570">
        <v>0</v>
      </c>
      <c r="NJ294" s="570">
        <v>51</v>
      </c>
      <c r="NK294" s="570">
        <v>523.57498441081862</v>
      </c>
      <c r="NL294" s="570">
        <v>359.81936713800008</v>
      </c>
      <c r="NM294" s="570">
        <v>8.3547106210000006</v>
      </c>
      <c r="NN294" s="570">
        <v>1.3308962450000001</v>
      </c>
      <c r="NO294" s="570">
        <v>-8.336916494999997</v>
      </c>
      <c r="NP294" s="570">
        <v>-214.21605874459584</v>
      </c>
      <c r="NQ294" s="570">
        <v>-369.95134444735197</v>
      </c>
      <c r="NR294" s="570">
        <v>-120.80110661953344</v>
      </c>
      <c r="NS294" s="570">
        <v>-207.52662341953345</v>
      </c>
      <c r="NT294" s="570">
        <v>-402.38222558959586</v>
      </c>
      <c r="NU294" s="570">
        <v>-558.11751129235199</v>
      </c>
      <c r="NV294" s="570">
        <v>403.01266177006244</v>
      </c>
      <c r="NW294" s="570">
        <v>67.516640219062396</v>
      </c>
      <c r="NX294" s="570">
        <v>118.38035716106243</v>
      </c>
      <c r="NY294" s="570">
        <v>-50.863716942000003</v>
      </c>
      <c r="NZ294" s="570">
        <v>0</v>
      </c>
      <c r="OA294" s="570">
        <v>335.49602155100001</v>
      </c>
      <c r="OB294" s="570">
        <v>89.148836625000001</v>
      </c>
      <c r="OC294" s="570">
        <v>246.34718492600001</v>
      </c>
      <c r="OD294" s="734">
        <v>-0.63043618046655636</v>
      </c>
      <c r="OE294" s="29">
        <v>227</v>
      </c>
      <c r="OF294" s="1504">
        <v>43405</v>
      </c>
      <c r="OG294" s="19"/>
      <c r="OH294" s="93">
        <v>527.28241877000005</v>
      </c>
      <c r="OI294" s="93">
        <v>1523.7622451220002</v>
      </c>
      <c r="OJ294" s="93">
        <v>0.28168376299999998</v>
      </c>
      <c r="OK294" s="93">
        <v>1306.777</v>
      </c>
      <c r="OL294" s="93">
        <v>216.70356135900002</v>
      </c>
      <c r="OM294" s="93">
        <v>2051.0446638920002</v>
      </c>
      <c r="ON294" s="93">
        <v>1455.1421083190003</v>
      </c>
      <c r="OO294" s="93">
        <v>3506.1867722110005</v>
      </c>
      <c r="OP294" s="93"/>
      <c r="OQ294" s="93">
        <v>1354.7896108790001</v>
      </c>
      <c r="OR294" s="93">
        <v>230.78061087900016</v>
      </c>
      <c r="OS294" s="93">
        <v>1124.0089999999998</v>
      </c>
      <c r="OT294" s="93">
        <v>2701.3786013340005</v>
      </c>
      <c r="OU294" s="93">
        <v>98.108576945999957</v>
      </c>
      <c r="OV294" s="93">
        <v>-39.446423053999993</v>
      </c>
      <c r="OW294" s="93">
        <v>137.55499999999995</v>
      </c>
      <c r="OX294" s="93">
        <v>2603.2700243880004</v>
      </c>
      <c r="OY294" s="93">
        <v>6.2380243879999995</v>
      </c>
      <c r="OZ294" s="93">
        <v>2597.0320000000002</v>
      </c>
      <c r="PA294" s="93">
        <v>611.73154596400002</v>
      </c>
      <c r="PB294" s="93">
        <v>-61.750105962000021</v>
      </c>
      <c r="PC294" s="20">
        <v>3506.1867722110005</v>
      </c>
      <c r="PD294" s="29">
        <v>227</v>
      </c>
      <c r="PE294" s="19"/>
      <c r="PF294" s="93">
        <v>230.78061087900016</v>
      </c>
      <c r="PG294" s="93">
        <v>1225.4654732500001</v>
      </c>
      <c r="PH294" s="93">
        <v>994.68486237099989</v>
      </c>
      <c r="PI294" s="93">
        <v>597</v>
      </c>
      <c r="PJ294" s="93">
        <v>-31.33232177299999</v>
      </c>
      <c r="PK294" s="93">
        <v>121.23820685300001</v>
      </c>
      <c r="PL294" s="93">
        <v>152.570528626</v>
      </c>
      <c r="PM294" s="93">
        <v>6.2380243879999995</v>
      </c>
      <c r="PN294" s="93">
        <v>2.1640000000000001</v>
      </c>
      <c r="PO294" s="93">
        <v>0</v>
      </c>
      <c r="PP294" s="93">
        <v>0</v>
      </c>
      <c r="PQ294" s="93">
        <v>4.0740243879999998</v>
      </c>
      <c r="PR294" s="93">
        <v>802.20925264699997</v>
      </c>
      <c r="PS294" s="93">
        <v>597.02852005099999</v>
      </c>
      <c r="PT294" s="93">
        <v>204.565940514</v>
      </c>
      <c r="PU294" s="93">
        <v>0.61479208199999991</v>
      </c>
      <c r="PV294" s="93">
        <v>0</v>
      </c>
      <c r="PW294" s="93">
        <v>0.77120292800000001</v>
      </c>
      <c r="PX294" s="93">
        <v>0</v>
      </c>
      <c r="PY294" s="93">
        <v>0</v>
      </c>
      <c r="PZ294" s="93">
        <v>0.77120292800000001</v>
      </c>
      <c r="QA294" s="93">
        <v>0</v>
      </c>
      <c r="QB294" s="93">
        <v>0</v>
      </c>
      <c r="QC294" s="93">
        <v>0</v>
      </c>
      <c r="QD294" s="93">
        <v>14.837343036</v>
      </c>
      <c r="QE294" s="20">
        <v>-15.131485116999983</v>
      </c>
      <c r="QF294" s="1739">
        <v>227</v>
      </c>
      <c r="QG294" s="19"/>
      <c r="QH294" s="1035">
        <v>1124.0089999999998</v>
      </c>
      <c r="QI294" s="1035">
        <v>1507.1989999999998</v>
      </c>
      <c r="QJ294" s="1035">
        <v>-383.19</v>
      </c>
      <c r="QK294" s="1035">
        <v>206.39</v>
      </c>
      <c r="QL294" s="1035">
        <v>61.631999999999998</v>
      </c>
      <c r="QM294" s="1035">
        <v>144.75799999999998</v>
      </c>
      <c r="QN294" s="1035">
        <v>0</v>
      </c>
      <c r="QO294" s="1035">
        <v>137.55499999999995</v>
      </c>
      <c r="QP294" s="1035">
        <v>477.125</v>
      </c>
      <c r="QQ294" s="1035">
        <v>-339.57000000000005</v>
      </c>
      <c r="QR294" s="1035">
        <v>2597.0320000000002</v>
      </c>
      <c r="QS294" s="1035">
        <v>14.24</v>
      </c>
      <c r="QT294" s="1035">
        <v>0.51</v>
      </c>
      <c r="QU294" s="1035">
        <v>206.928</v>
      </c>
      <c r="QV294" s="1035">
        <v>2375.3540000000003</v>
      </c>
      <c r="QW294" s="93"/>
      <c r="QX294" s="93">
        <v>481.20100000000002</v>
      </c>
      <c r="QY294" s="93">
        <v>1306.777</v>
      </c>
      <c r="QZ294" s="93">
        <v>1454.809</v>
      </c>
      <c r="RA294" s="93">
        <v>0</v>
      </c>
      <c r="RB294" s="93">
        <v>133.072</v>
      </c>
      <c r="RC294" s="93">
        <v>0</v>
      </c>
      <c r="RD294" s="93">
        <v>20.975999999999999</v>
      </c>
      <c r="RE294" s="93">
        <v>0</v>
      </c>
      <c r="RF294" s="93">
        <v>0</v>
      </c>
      <c r="RG294" s="93">
        <v>442.07499999999999</v>
      </c>
      <c r="RH294" s="93">
        <v>226.07600000000002</v>
      </c>
      <c r="RI294" s="93"/>
      <c r="RJ294" s="93"/>
      <c r="RK294" s="93"/>
      <c r="RL294" s="93"/>
      <c r="RM294" s="734"/>
      <c r="RN294" s="29">
        <v>227</v>
      </c>
      <c r="RO294" s="19">
        <v>80</v>
      </c>
      <c r="RP294" s="20">
        <v>523</v>
      </c>
      <c r="RQ294" s="29">
        <v>227</v>
      </c>
      <c r="RR294" s="734">
        <v>3.78858373</v>
      </c>
      <c r="RS294" s="29">
        <v>227</v>
      </c>
      <c r="RT294" s="1504">
        <v>43405</v>
      </c>
      <c r="RU294" s="19">
        <v>1046</v>
      </c>
      <c r="RV294" s="20">
        <v>18</v>
      </c>
      <c r="RW294" s="29">
        <v>227</v>
      </c>
      <c r="RX294" s="1504">
        <v>43405</v>
      </c>
      <c r="RY294" s="29"/>
      <c r="RZ294" s="734"/>
      <c r="SA294" s="29"/>
      <c r="SB294" s="29">
        <v>227</v>
      </c>
    </row>
    <row r="295" spans="1:496">
      <c r="A295" s="41">
        <f t="shared" si="238"/>
        <v>2018</v>
      </c>
      <c r="B295" s="1504">
        <v>43435</v>
      </c>
      <c r="C295" s="1813">
        <v>1642</v>
      </c>
      <c r="D295" s="1814">
        <v>25403</v>
      </c>
      <c r="E295" s="1814">
        <v>122</v>
      </c>
      <c r="F295" s="1815">
        <v>363</v>
      </c>
      <c r="G295" s="1814">
        <v>95922</v>
      </c>
      <c r="H295" s="1814">
        <v>48</v>
      </c>
      <c r="I295" s="1814">
        <v>31376</v>
      </c>
      <c r="J295" s="1816">
        <v>15740</v>
      </c>
      <c r="K295" s="1807">
        <v>170616</v>
      </c>
      <c r="L295" s="25">
        <v>228</v>
      </c>
      <c r="M295" s="97"/>
      <c r="N295" s="1504">
        <v>43435</v>
      </c>
      <c r="O295" s="99">
        <v>1094</v>
      </c>
      <c r="P295" s="100">
        <v>783.11769797777185</v>
      </c>
      <c r="Q295" s="100">
        <v>15020.567814862003</v>
      </c>
      <c r="R295" s="99">
        <v>1052</v>
      </c>
      <c r="S295" s="100">
        <v>3065.0211027440473</v>
      </c>
      <c r="T295" s="100">
        <v>788</v>
      </c>
      <c r="U295" s="93"/>
      <c r="V295" s="99">
        <v>2345</v>
      </c>
      <c r="W295" s="99">
        <v>4392</v>
      </c>
      <c r="X295" s="93">
        <v>781</v>
      </c>
      <c r="Y295" s="93">
        <v>382</v>
      </c>
      <c r="Z295" s="99">
        <v>1806</v>
      </c>
      <c r="AA295" s="100">
        <v>1270.1847999808836</v>
      </c>
      <c r="AB295" s="132">
        <v>32778.8914155647</v>
      </c>
      <c r="AC295" s="25">
        <v>228</v>
      </c>
      <c r="AD295" s="97"/>
      <c r="AE295" s="1504">
        <v>43435</v>
      </c>
      <c r="AF295" s="99">
        <v>2540</v>
      </c>
      <c r="AG295" s="100">
        <v>2311</v>
      </c>
      <c r="AH295" s="100">
        <v>2551</v>
      </c>
      <c r="AI295" s="99">
        <v>3144</v>
      </c>
      <c r="AJ295" s="100">
        <v>3349</v>
      </c>
      <c r="AK295" s="99">
        <v>1555</v>
      </c>
      <c r="AL295" s="93">
        <v>1189</v>
      </c>
      <c r="AM295" s="99">
        <v>3253</v>
      </c>
      <c r="AN295" s="99">
        <v>2495</v>
      </c>
      <c r="AO295" s="93">
        <v>4624</v>
      </c>
      <c r="AP295" s="93">
        <v>1003</v>
      </c>
      <c r="AQ295" s="99">
        <v>2326</v>
      </c>
      <c r="AR295" s="100">
        <v>1036</v>
      </c>
      <c r="AS295" s="132">
        <v>31376</v>
      </c>
      <c r="AT295" s="25">
        <v>228</v>
      </c>
      <c r="AU295" s="97"/>
      <c r="AV295" s="1504">
        <v>43435</v>
      </c>
      <c r="AW295" s="99">
        <v>10156</v>
      </c>
      <c r="AX295" s="100">
        <v>1584.4146917030489</v>
      </c>
      <c r="AY295" s="100">
        <v>4640.6738342870485</v>
      </c>
      <c r="AZ295" s="99">
        <v>7678</v>
      </c>
      <c r="BA295" s="100">
        <v>11689.473617263298</v>
      </c>
      <c r="BB295" s="99">
        <v>5492</v>
      </c>
      <c r="BC295" s="93"/>
      <c r="BD295" s="99">
        <v>10910</v>
      </c>
      <c r="BE295" s="99">
        <v>16233</v>
      </c>
      <c r="BF295" s="93">
        <v>6136</v>
      </c>
      <c r="BG295" s="93">
        <v>3655</v>
      </c>
      <c r="BH295" s="99">
        <v>9049</v>
      </c>
      <c r="BI295" s="100">
        <v>4784.1357510286307</v>
      </c>
      <c r="BJ295" s="132">
        <v>92007.697894282028</v>
      </c>
      <c r="BK295" s="25">
        <v>228</v>
      </c>
      <c r="BL295" s="97"/>
      <c r="BM295" s="1504">
        <v>43435</v>
      </c>
      <c r="BN295" s="19">
        <v>82.569000000000003</v>
      </c>
      <c r="BO295" s="93">
        <v>750.54599999999994</v>
      </c>
      <c r="BP295" s="93">
        <v>6.5279999999999996</v>
      </c>
      <c r="BQ295" s="93">
        <v>311.36799999999999</v>
      </c>
      <c r="BR295" s="93">
        <v>2.2949999999999999</v>
      </c>
      <c r="BS295" s="93">
        <v>97.245000000000019</v>
      </c>
      <c r="BT295" s="93">
        <v>193.75199999999998</v>
      </c>
      <c r="BU295" s="132">
        <v>1444.3030000000001</v>
      </c>
      <c r="BV295" s="25">
        <v>228</v>
      </c>
      <c r="BW295" s="97"/>
      <c r="BX295" s="1504">
        <v>43435</v>
      </c>
      <c r="BY295" s="179">
        <v>576.21</v>
      </c>
      <c r="BZ295" s="99">
        <v>664.95699999999999</v>
      </c>
      <c r="CA295" s="99">
        <v>580.85299999999995</v>
      </c>
      <c r="CB295" s="99">
        <v>40.684087516213502</v>
      </c>
      <c r="CC295" s="99">
        <v>119.643</v>
      </c>
      <c r="CD295" s="25">
        <v>228</v>
      </c>
      <c r="CE295" s="97"/>
      <c r="CF295" s="1504">
        <v>43435</v>
      </c>
      <c r="CG295" s="1708">
        <v>1.8959732</v>
      </c>
      <c r="CH295" s="1708">
        <v>1250.4000000000001</v>
      </c>
      <c r="CI295" s="1708">
        <v>53.96</v>
      </c>
      <c r="CJ295" s="1509">
        <v>56.46</v>
      </c>
      <c r="CK295" s="1708">
        <v>379.33</v>
      </c>
      <c r="CL295" s="568">
        <v>167.43997759999999</v>
      </c>
      <c r="CM295" s="568">
        <v>0.27888443000000002</v>
      </c>
      <c r="CN295" s="568">
        <v>0.37185387199999997</v>
      </c>
      <c r="CO295" s="568">
        <v>211.27610250000001</v>
      </c>
      <c r="CP295" s="1509">
        <v>4.1853608390000003</v>
      </c>
      <c r="CQ295" s="568">
        <v>1434.58</v>
      </c>
      <c r="CR295" s="568">
        <v>2.29666666666667</v>
      </c>
      <c r="CS295" s="568">
        <v>1.4365000000000001</v>
      </c>
      <c r="CT295" s="568">
        <v>99.17</v>
      </c>
      <c r="CU295" s="568">
        <v>69.16</v>
      </c>
      <c r="CV295" s="1709">
        <v>2616.29</v>
      </c>
      <c r="CW295" s="29">
        <v>228</v>
      </c>
      <c r="CX295" s="41">
        <f t="shared" si="239"/>
        <v>2018</v>
      </c>
      <c r="CY295" s="1504">
        <v>43435</v>
      </c>
      <c r="CZ295" s="1916">
        <v>144.65919638104236</v>
      </c>
      <c r="DA295" s="1526">
        <v>87.525150381042366</v>
      </c>
      <c r="DB295" s="1526">
        <v>48.045085999999998</v>
      </c>
      <c r="DC295" s="182">
        <v>669448</v>
      </c>
      <c r="DD295" s="182">
        <v>667702</v>
      </c>
      <c r="DE295" s="290">
        <v>1746</v>
      </c>
      <c r="DF295" s="29">
        <v>228</v>
      </c>
      <c r="DG295" s="1504">
        <v>43435</v>
      </c>
      <c r="DH295" s="181">
        <v>400036.5</v>
      </c>
      <c r="DI295" s="182">
        <v>4477182</v>
      </c>
      <c r="DJ295" s="182">
        <v>280788</v>
      </c>
      <c r="DK295" s="182">
        <v>20921</v>
      </c>
      <c r="DL295" s="182">
        <v>493780</v>
      </c>
      <c r="DM295" s="182">
        <v>8086</v>
      </c>
      <c r="DN295" s="290">
        <v>1703654</v>
      </c>
      <c r="DO295" s="295">
        <f t="shared" si="282"/>
        <v>6984411</v>
      </c>
      <c r="DP295" s="29">
        <v>228</v>
      </c>
      <c r="DQ295" s="1504">
        <v>43435</v>
      </c>
      <c r="DR295" s="19">
        <v>48296</v>
      </c>
      <c r="DS295" s="93">
        <v>941</v>
      </c>
      <c r="DT295" s="93">
        <v>52357</v>
      </c>
      <c r="DU295" s="93">
        <v>2448</v>
      </c>
      <c r="DV295" s="93">
        <v>14670</v>
      </c>
      <c r="DW295" s="93">
        <v>2787</v>
      </c>
      <c r="DX295" s="1719">
        <v>15863</v>
      </c>
      <c r="DY295" s="29">
        <v>228</v>
      </c>
      <c r="DZ295" s="1504">
        <v>43435</v>
      </c>
      <c r="EA295" s="19"/>
      <c r="EB295" s="93"/>
      <c r="EC295" s="20"/>
      <c r="ED295" s="29"/>
      <c r="EE295" s="1504">
        <v>43435</v>
      </c>
      <c r="EF295" s="19">
        <v>23088</v>
      </c>
      <c r="EG295" s="93">
        <v>20595</v>
      </c>
      <c r="EH295" s="99">
        <f t="shared" si="283"/>
        <v>43683</v>
      </c>
      <c r="EI295" s="214">
        <v>6778</v>
      </c>
      <c r="EJ295" s="99">
        <v>593.25099999999998</v>
      </c>
      <c r="EK295" s="99">
        <v>187.73099999999999</v>
      </c>
      <c r="EL295" s="1150">
        <v>4.843</v>
      </c>
      <c r="EM295" s="1150">
        <v>4.9610000000000003</v>
      </c>
      <c r="EN295" s="132">
        <v>913.67600000000004</v>
      </c>
      <c r="EO295" s="29">
        <v>228</v>
      </c>
      <c r="EP295" s="1504">
        <v>43435</v>
      </c>
      <c r="EQ295" s="19">
        <v>18316</v>
      </c>
      <c r="ER295" s="93">
        <v>24016</v>
      </c>
      <c r="ES295" s="93">
        <v>42332</v>
      </c>
      <c r="ET295" s="214">
        <v>6042</v>
      </c>
      <c r="EU295" s="93">
        <v>593.25099999999998</v>
      </c>
      <c r="EV295" s="93">
        <v>187.73099999999999</v>
      </c>
      <c r="EW295" s="93">
        <v>4.843</v>
      </c>
      <c r="EX295" s="93">
        <v>4.9610000000000003</v>
      </c>
      <c r="EY295" s="93">
        <f t="shared" si="280"/>
        <v>790.78599999999994</v>
      </c>
      <c r="EZ295" s="29">
        <v>228</v>
      </c>
      <c r="FA295" s="1504">
        <v>43435</v>
      </c>
      <c r="FB295" s="29">
        <v>566</v>
      </c>
      <c r="FC295" s="29">
        <v>526</v>
      </c>
      <c r="FD295" s="29">
        <f t="shared" si="284"/>
        <v>1092</v>
      </c>
      <c r="FE295" s="29">
        <v>866</v>
      </c>
      <c r="FF295" s="29">
        <v>23</v>
      </c>
      <c r="FG295" s="29">
        <v>0</v>
      </c>
      <c r="FH295" s="29">
        <v>0</v>
      </c>
      <c r="FI295" s="29">
        <v>0</v>
      </c>
      <c r="FJ295" s="29">
        <v>2.3E-2</v>
      </c>
      <c r="FK295" s="29">
        <v>228</v>
      </c>
      <c r="FL295" s="1504">
        <v>43435</v>
      </c>
      <c r="FM295" s="179">
        <v>104.46</v>
      </c>
      <c r="FN295" s="99">
        <v>106.27</v>
      </c>
      <c r="FO295" s="99">
        <v>129.59</v>
      </c>
      <c r="FP295" s="99">
        <v>101.15</v>
      </c>
      <c r="FQ295" s="99">
        <v>96.67</v>
      </c>
      <c r="FR295" s="99">
        <v>101</v>
      </c>
      <c r="FS295" s="99">
        <v>100.29</v>
      </c>
      <c r="FT295" s="99">
        <v>99.62</v>
      </c>
      <c r="FU295" s="99">
        <v>110.63</v>
      </c>
      <c r="FV295" s="99">
        <v>101.97</v>
      </c>
      <c r="FW295" s="99">
        <v>104.6</v>
      </c>
      <c r="FX295" s="99">
        <v>104.2</v>
      </c>
      <c r="FY295" s="99">
        <v>100.21</v>
      </c>
      <c r="FZ295" s="29">
        <v>228</v>
      </c>
      <c r="GA295" s="1504">
        <v>43435</v>
      </c>
      <c r="GB295" s="19">
        <v>104.46</v>
      </c>
      <c r="GC295" s="93">
        <v>102.45</v>
      </c>
      <c r="GD295" s="93">
        <v>105.77</v>
      </c>
      <c r="GE295" s="93">
        <v>93.49</v>
      </c>
      <c r="GF295" s="93">
        <v>109.92</v>
      </c>
      <c r="GG295" s="99">
        <v>103.48</v>
      </c>
      <c r="GH295" s="93">
        <v>108.09</v>
      </c>
      <c r="GI295" s="93">
        <v>102.85</v>
      </c>
      <c r="GJ295" s="93">
        <v>103.52</v>
      </c>
      <c r="GK295" s="93">
        <v>100.62</v>
      </c>
      <c r="GL295" s="93">
        <v>106.13</v>
      </c>
      <c r="GM295" s="93">
        <v>101.23</v>
      </c>
      <c r="GN295" s="20">
        <v>103.52</v>
      </c>
      <c r="GO295" s="29">
        <v>228</v>
      </c>
      <c r="GP295" s="1504">
        <v>43435</v>
      </c>
      <c r="GQ295" s="1695">
        <v>289</v>
      </c>
      <c r="GR295" s="1696">
        <v>234</v>
      </c>
      <c r="GS295" s="1696">
        <v>232</v>
      </c>
      <c r="GT295" s="1696">
        <v>195</v>
      </c>
      <c r="GU295" s="1696">
        <v>378</v>
      </c>
      <c r="GV295" s="1697">
        <v>1037</v>
      </c>
      <c r="GW295" s="181">
        <v>399</v>
      </c>
      <c r="GX295" s="182">
        <v>484</v>
      </c>
      <c r="GY295" s="182">
        <v>489</v>
      </c>
      <c r="GZ295" s="182">
        <v>611</v>
      </c>
      <c r="HA295" s="182">
        <v>248</v>
      </c>
      <c r="HB295" s="290">
        <v>774</v>
      </c>
      <c r="HC295" s="181">
        <v>2127</v>
      </c>
      <c r="HD295" s="182">
        <v>2350</v>
      </c>
      <c r="HE295" s="182">
        <v>2500</v>
      </c>
      <c r="HF295" s="182">
        <v>3150</v>
      </c>
      <c r="HG295" s="182">
        <v>2661</v>
      </c>
      <c r="HH295" s="290">
        <v>2942</v>
      </c>
      <c r="HI295" s="19"/>
      <c r="HJ295" s="182">
        <v>902</v>
      </c>
      <c r="HK295" s="182">
        <v>1877</v>
      </c>
      <c r="HL295" s="182">
        <v>800</v>
      </c>
      <c r="HM295" s="182">
        <v>900</v>
      </c>
      <c r="HN295" s="290">
        <v>2370</v>
      </c>
      <c r="HO295" s="324">
        <v>140</v>
      </c>
      <c r="HP295" s="290">
        <v>99</v>
      </c>
      <c r="HQ295" s="295">
        <v>127</v>
      </c>
      <c r="HR295" s="29">
        <v>228</v>
      </c>
      <c r="HS295" s="1504">
        <v>43435</v>
      </c>
      <c r="HT295" s="179">
        <v>242.38413238525391</v>
      </c>
      <c r="HU295" s="99">
        <v>258.24652481079102</v>
      </c>
      <c r="HV295" s="99">
        <v>221.01048889160157</v>
      </c>
      <c r="HW295" s="99">
        <v>160</v>
      </c>
      <c r="HX295" s="99">
        <v>216.66667175292969</v>
      </c>
      <c r="HY295" s="99">
        <v>211.11110687255859</v>
      </c>
      <c r="HZ295" s="99">
        <v>227.55122375488281</v>
      </c>
      <c r="IA295" s="132">
        <v>196.77420043945313</v>
      </c>
      <c r="IB295" s="179">
        <v>151.49572372436523</v>
      </c>
      <c r="IC295" s="99">
        <v>84.239128112792969</v>
      </c>
      <c r="ID295" s="99">
        <v>120.68965148925781</v>
      </c>
      <c r="IE295" s="99">
        <v>103.55987091064453</v>
      </c>
      <c r="IF295" s="99">
        <v>162.96011734008789</v>
      </c>
      <c r="IG295" s="132">
        <v>96.263735961914065</v>
      </c>
      <c r="IH295" s="179">
        <v>116.22023868560791</v>
      </c>
      <c r="II295" s="99">
        <v>217.88195037841797</v>
      </c>
      <c r="IJ295" s="99">
        <v>169.37699584960939</v>
      </c>
      <c r="IK295" s="99">
        <v>160.71429443359375</v>
      </c>
      <c r="IL295" s="99">
        <v>138.12576293945313</v>
      </c>
      <c r="IM295" s="99">
        <v>148.48855972290039</v>
      </c>
      <c r="IN295" s="99">
        <v>159.01060485839844</v>
      </c>
      <c r="IO295" s="132">
        <v>154.09325256347657</v>
      </c>
      <c r="IP295" s="29">
        <v>228</v>
      </c>
      <c r="IQ295" s="179">
        <v>151.49572372436523</v>
      </c>
      <c r="IR295" s="99">
        <v>84.239128112792969</v>
      </c>
      <c r="IS295" s="99">
        <v>120.68965148925781</v>
      </c>
      <c r="IT295" s="99">
        <v>103.55987091064453</v>
      </c>
      <c r="IU295" s="99">
        <v>162.96011734008789</v>
      </c>
      <c r="IV295" s="132">
        <v>96.263735961914065</v>
      </c>
      <c r="IW295" s="29">
        <v>228</v>
      </c>
      <c r="IX295" s="419">
        <f>(((IX294/IX293-1)+(IX293/IX292-1))^1/2+1)*IX294</f>
        <v>408.27635473535418</v>
      </c>
      <c r="IY295" s="99">
        <v>356.77084350585938</v>
      </c>
      <c r="IZ295" s="100"/>
      <c r="JA295" s="99">
        <v>375</v>
      </c>
      <c r="JB295" s="99">
        <v>380</v>
      </c>
      <c r="JC295" s="99"/>
      <c r="JD295" s="99">
        <v>375</v>
      </c>
      <c r="JE295" s="132">
        <v>392</v>
      </c>
      <c r="JF295" s="29">
        <v>228</v>
      </c>
      <c r="JG295" s="179">
        <v>197.25704193115234</v>
      </c>
      <c r="JH295" s="99">
        <v>217.88195037841797</v>
      </c>
      <c r="JI295" s="99">
        <v>167.20258178710938</v>
      </c>
      <c r="JJ295" s="99">
        <v>127.65957641601563</v>
      </c>
      <c r="JK295" s="99">
        <v>195.68689346313477</v>
      </c>
      <c r="JL295" s="99">
        <v>192.04545135498046</v>
      </c>
      <c r="JM295" s="99">
        <v>171.56863403320313</v>
      </c>
      <c r="JN295" s="132">
        <v>224.82755279541016</v>
      </c>
      <c r="JO295" s="29">
        <v>228</v>
      </c>
      <c r="JP295" s="179">
        <v>175.75120544433594</v>
      </c>
      <c r="JQ295" s="99">
        <v>88.655786132812494</v>
      </c>
      <c r="JR295" s="99">
        <v>150</v>
      </c>
      <c r="JS295" s="99"/>
      <c r="JT295" s="99">
        <v>195.68689346313477</v>
      </c>
      <c r="JU295" s="132">
        <v>107.15026245117187</v>
      </c>
      <c r="JV295" s="29">
        <v>228</v>
      </c>
      <c r="JW295" s="1504">
        <v>43435</v>
      </c>
      <c r="JX295" s="179"/>
      <c r="JY295" s="99">
        <v>300.48611111111114</v>
      </c>
      <c r="JZ295" s="99">
        <v>268.19444444444446</v>
      </c>
      <c r="KA295" s="99">
        <v>248.4375</v>
      </c>
      <c r="KB295" s="99">
        <v>232.39583333333334</v>
      </c>
      <c r="KC295" s="99">
        <v>231.81034482758619</v>
      </c>
      <c r="KD295" s="132">
        <v>294.86111111111114</v>
      </c>
      <c r="KE295" s="29">
        <v>228</v>
      </c>
      <c r="KF295" s="179"/>
      <c r="KG295" s="99">
        <v>44.714285714285715</v>
      </c>
      <c r="KH295" s="99">
        <v>48.916666666666664</v>
      </c>
      <c r="KI295" s="99">
        <v>47.916666666666664</v>
      </c>
      <c r="KJ295" s="99">
        <v>36.196428571428569</v>
      </c>
      <c r="KK295" s="132">
        <v>71.993055555555557</v>
      </c>
      <c r="KL295" s="29">
        <v>228</v>
      </c>
      <c r="KM295" s="100">
        <f t="shared" si="253"/>
        <v>10.261594338841478</v>
      </c>
      <c r="KN295" s="99">
        <v>23.541666666666668</v>
      </c>
      <c r="KO295" s="99">
        <v>37.083333333333336</v>
      </c>
      <c r="KP295" s="99">
        <v>33.029761904761905</v>
      </c>
      <c r="KQ295" s="99">
        <v>24.954545454545457</v>
      </c>
      <c r="KR295" s="132">
        <v>31.95</v>
      </c>
      <c r="KS295" s="29">
        <v>228</v>
      </c>
      <c r="KT295" s="100">
        <f t="shared" si="254"/>
        <v>49.780664923970576</v>
      </c>
      <c r="KU295" s="99">
        <v>23.541666666666668</v>
      </c>
      <c r="KV295" s="99">
        <v>26.291666666666668</v>
      </c>
      <c r="KW295" s="99">
        <v>23.241666666666667</v>
      </c>
      <c r="KX295" s="99">
        <v>20.083333333333332</v>
      </c>
      <c r="KY295" s="132">
        <v>24.549668874172184</v>
      </c>
      <c r="KZ295" s="29">
        <v>228</v>
      </c>
      <c r="LA295" s="1504">
        <v>43435</v>
      </c>
      <c r="LB295" s="100">
        <f t="shared" si="306"/>
        <v>380</v>
      </c>
      <c r="LC295" s="100">
        <f t="shared" si="306"/>
        <v>610</v>
      </c>
      <c r="LD295" s="93">
        <v>602</v>
      </c>
      <c r="LE295" s="93"/>
      <c r="LF295" s="93">
        <v>526</v>
      </c>
      <c r="LG295" s="93">
        <v>5000</v>
      </c>
      <c r="LH295" s="20">
        <v>2000</v>
      </c>
      <c r="LI295" s="29">
        <v>228</v>
      </c>
      <c r="LJ295" s="19"/>
      <c r="LK295" s="93"/>
      <c r="LL295" s="93"/>
      <c r="LM295" s="93"/>
      <c r="LN295" s="93"/>
      <c r="LO295" s="20"/>
      <c r="LP295" s="29">
        <v>228</v>
      </c>
      <c r="LQ295" s="19"/>
      <c r="LR295" s="93">
        <v>188</v>
      </c>
      <c r="LS295" s="93">
        <v>445</v>
      </c>
      <c r="LT295" s="93">
        <v>535</v>
      </c>
      <c r="LU295" s="93">
        <v>1070</v>
      </c>
      <c r="LV295" s="93"/>
      <c r="LW295" s="93">
        <v>5</v>
      </c>
      <c r="LX295" s="93">
        <v>10</v>
      </c>
      <c r="LY295" s="93">
        <v>60</v>
      </c>
      <c r="LZ295" s="93"/>
      <c r="MA295" s="20"/>
      <c r="MB295" s="29">
        <v>228</v>
      </c>
      <c r="MC295" s="1504">
        <v>43435</v>
      </c>
      <c r="MD295" s="733">
        <v>1745.9521593177492</v>
      </c>
      <c r="ME295" s="570">
        <v>1530.8611227107997</v>
      </c>
      <c r="MF295" s="570">
        <v>1530.8611227107997</v>
      </c>
      <c r="MG295" s="570">
        <v>1354.2650551408001</v>
      </c>
      <c r="MH295" s="570">
        <v>375.28198885848468</v>
      </c>
      <c r="MI295" s="570">
        <v>12.42648187717022</v>
      </c>
      <c r="MJ295" s="570">
        <v>7.8051295696380816</v>
      </c>
      <c r="MK295" s="570">
        <v>744.88504396495375</v>
      </c>
      <c r="ML295" s="570">
        <v>202.46770272799998</v>
      </c>
      <c r="MM295" s="570">
        <v>11.39870814255316</v>
      </c>
      <c r="MN295" s="570">
        <v>176.59606757</v>
      </c>
      <c r="MO295" s="570">
        <v>6.5550918400000002</v>
      </c>
      <c r="MP295" s="570">
        <v>29.962953691999999</v>
      </c>
      <c r="MQ295" s="570">
        <v>2.6228765750000003</v>
      </c>
      <c r="MR295" s="570">
        <v>39.012587489000005</v>
      </c>
      <c r="MS295" s="570">
        <v>98.44255797400001</v>
      </c>
      <c r="MT295" s="570">
        <v>0</v>
      </c>
      <c r="MU295" s="570">
        <v>215.09103660694905</v>
      </c>
      <c r="MV295" s="570">
        <v>122.39013551694907</v>
      </c>
      <c r="MW295" s="570">
        <v>92.700901090000002</v>
      </c>
      <c r="MX295" s="570">
        <v>2127.6062039299482</v>
      </c>
      <c r="MY295" s="570">
        <v>2137.7049808939482</v>
      </c>
      <c r="MZ295" s="570">
        <v>1383.3640960260827</v>
      </c>
      <c r="NA295" s="570">
        <v>705.10688247100006</v>
      </c>
      <c r="NB295" s="570">
        <v>196.22458875500001</v>
      </c>
      <c r="NC295" s="570">
        <v>97.240452243082629</v>
      </c>
      <c r="ND295" s="570">
        <v>74.138343724082631</v>
      </c>
      <c r="NE295" s="570">
        <v>23.102108519000002</v>
      </c>
      <c r="NF295" s="570">
        <v>384.79217255700001</v>
      </c>
      <c r="NG295" s="570">
        <v>0</v>
      </c>
      <c r="NH295" s="570">
        <v>104.39866901800001</v>
      </c>
      <c r="NI295" s="570">
        <v>0</v>
      </c>
      <c r="NJ295" s="570">
        <v>51</v>
      </c>
      <c r="NK295" s="570">
        <v>754.34088486786561</v>
      </c>
      <c r="NL295" s="570">
        <v>446.95107002200007</v>
      </c>
      <c r="NM295" s="570">
        <v>10</v>
      </c>
      <c r="NN295" s="570">
        <v>82.230896245000011</v>
      </c>
      <c r="NO295" s="570">
        <v>-10.098776963999997</v>
      </c>
      <c r="NP295" s="570">
        <v>-381.65404461219924</v>
      </c>
      <c r="NQ295" s="570">
        <v>-596.74508121914823</v>
      </c>
      <c r="NR295" s="570">
        <v>-274.34571037520016</v>
      </c>
      <c r="NS295" s="570">
        <v>-371.58616261828274</v>
      </c>
      <c r="NT295" s="570">
        <v>-478.30181671119942</v>
      </c>
      <c r="NU295" s="570">
        <v>-693.39285331814847</v>
      </c>
      <c r="NV295" s="570">
        <v>470.48018011597151</v>
      </c>
      <c r="NW295" s="570">
        <v>75.891089166916487</v>
      </c>
      <c r="NX295" s="570">
        <v>130.97493408391651</v>
      </c>
      <c r="NY295" s="570">
        <v>-55.083844917</v>
      </c>
      <c r="NZ295" s="570">
        <v>0</v>
      </c>
      <c r="OA295" s="570">
        <v>394.58909094905499</v>
      </c>
      <c r="OB295" s="570">
        <v>142.32193750300002</v>
      </c>
      <c r="OC295" s="570">
        <v>252.267153446055</v>
      </c>
      <c r="OD295" s="734">
        <v>7.8216365952279023</v>
      </c>
      <c r="OE295" s="29">
        <v>228</v>
      </c>
      <c r="OF295" s="1504">
        <v>43435</v>
      </c>
      <c r="OG295" s="19"/>
      <c r="OH295" s="93">
        <v>577.81096395400016</v>
      </c>
      <c r="OI295" s="93">
        <v>1710.9678940620001</v>
      </c>
      <c r="OJ295" s="93">
        <v>0.37287757199999999</v>
      </c>
      <c r="OK295" s="93">
        <v>1486.229</v>
      </c>
      <c r="OL295" s="93">
        <v>224.36601649000002</v>
      </c>
      <c r="OM295" s="93">
        <v>2288.7788580160004</v>
      </c>
      <c r="ON295" s="93">
        <v>1429.4871083190001</v>
      </c>
      <c r="OO295" s="93">
        <v>3718.2659663350005</v>
      </c>
      <c r="OP295" s="93"/>
      <c r="OQ295" s="93">
        <v>1443.5011101120001</v>
      </c>
      <c r="OR295" s="93">
        <v>310.50211011199997</v>
      </c>
      <c r="OS295" s="93">
        <v>1132.999</v>
      </c>
      <c r="OT295" s="93">
        <v>2721.8996238999998</v>
      </c>
      <c r="OU295" s="93">
        <v>57.226900240000049</v>
      </c>
      <c r="OV295" s="93">
        <v>-66.737099760000007</v>
      </c>
      <c r="OW295" s="93">
        <v>123.96400000000006</v>
      </c>
      <c r="OX295" s="93">
        <v>2664.67272366</v>
      </c>
      <c r="OY295" s="93">
        <v>5.6977236600000003</v>
      </c>
      <c r="OZ295" s="93">
        <v>2658.9750000000004</v>
      </c>
      <c r="PA295" s="93">
        <v>630.06899696300002</v>
      </c>
      <c r="PB295" s="93">
        <v>-182.93422928600012</v>
      </c>
      <c r="PC295" s="20">
        <v>3718.2659663349996</v>
      </c>
      <c r="PD295" s="29">
        <v>228</v>
      </c>
      <c r="PE295" s="19"/>
      <c r="PF295" s="93">
        <v>310.50211011199997</v>
      </c>
      <c r="PG295" s="93">
        <v>929.51227112599997</v>
      </c>
      <c r="PH295" s="93">
        <v>619.010161014</v>
      </c>
      <c r="PI295" s="93">
        <v>645.72031100000004</v>
      </c>
      <c r="PJ295" s="93">
        <v>-57.326450235999999</v>
      </c>
      <c r="PK295" s="93">
        <v>111.467534903</v>
      </c>
      <c r="PL295" s="93">
        <v>168.793985139</v>
      </c>
      <c r="PM295" s="93">
        <v>5.6977236600000003</v>
      </c>
      <c r="PN295" s="93">
        <v>1.671</v>
      </c>
      <c r="PO295" s="93">
        <v>0</v>
      </c>
      <c r="PP295" s="93">
        <v>0</v>
      </c>
      <c r="PQ295" s="93">
        <v>4.02672366</v>
      </c>
      <c r="PR295" s="93">
        <v>869.05638110799998</v>
      </c>
      <c r="PS295" s="93">
        <v>665.86361347800005</v>
      </c>
      <c r="PT295" s="93">
        <v>202.48678173900001</v>
      </c>
      <c r="PU295" s="93">
        <v>0.70598589099999998</v>
      </c>
      <c r="PV295" s="93">
        <v>0</v>
      </c>
      <c r="PW295" s="93">
        <v>0.35860645899999999</v>
      </c>
      <c r="PX295" s="93">
        <v>0</v>
      </c>
      <c r="PY295" s="93">
        <v>0</v>
      </c>
      <c r="PZ295" s="93">
        <v>0.35860645899999999</v>
      </c>
      <c r="QA295" s="93">
        <v>0</v>
      </c>
      <c r="QB295" s="93">
        <v>0</v>
      </c>
      <c r="QC295" s="93">
        <v>0</v>
      </c>
      <c r="QD295" s="93">
        <v>16.510390504</v>
      </c>
      <c r="QE295" s="20">
        <v>18.668316465000014</v>
      </c>
      <c r="QF295" s="1739">
        <v>228</v>
      </c>
      <c r="QG295" s="19"/>
      <c r="QH295" s="1035">
        <v>1132.999</v>
      </c>
      <c r="QI295" s="1035">
        <v>1604.192</v>
      </c>
      <c r="QJ295" s="1035">
        <v>-471.19300000000004</v>
      </c>
      <c r="QK295" s="1035">
        <v>245.18799999999999</v>
      </c>
      <c r="QL295" s="1035">
        <v>78.641999999999996</v>
      </c>
      <c r="QM295" s="1035">
        <v>166.54599999999999</v>
      </c>
      <c r="QN295" s="1035">
        <v>0</v>
      </c>
      <c r="QO295" s="1035">
        <v>123.96400000000006</v>
      </c>
      <c r="QP295" s="1035">
        <v>464.274</v>
      </c>
      <c r="QQ295" s="1035">
        <v>-340.30999999999995</v>
      </c>
      <c r="QR295" s="1035">
        <v>2658.9750000000004</v>
      </c>
      <c r="QS295" s="1035">
        <v>13.327999999999999</v>
      </c>
      <c r="QT295" s="1035">
        <v>1.0409999999999999</v>
      </c>
      <c r="QU295" s="1035">
        <v>252.37700000000001</v>
      </c>
      <c r="QV295" s="1035">
        <v>2392.2290000000003</v>
      </c>
      <c r="QW295" s="93"/>
      <c r="QX295" s="93">
        <v>548.62599999999998</v>
      </c>
      <c r="QY295" s="93">
        <v>1486.2289999999998</v>
      </c>
      <c r="QZ295" s="93">
        <v>1429.154</v>
      </c>
      <c r="RA295" s="93">
        <v>0</v>
      </c>
      <c r="RB295" s="93">
        <v>133.72199999999998</v>
      </c>
      <c r="RC295" s="93">
        <v>0</v>
      </c>
      <c r="RD295" s="93">
        <v>25.045000000000002</v>
      </c>
      <c r="RE295" s="93">
        <v>0</v>
      </c>
      <c r="RF295" s="93">
        <v>0</v>
      </c>
      <c r="RG295" s="93">
        <v>454.43300000000005</v>
      </c>
      <c r="RH295" s="93">
        <v>83.91700000000003</v>
      </c>
      <c r="RI295" s="93"/>
      <c r="RJ295" s="93"/>
      <c r="RK295" s="93"/>
      <c r="RL295" s="93"/>
      <c r="RM295" s="734"/>
      <c r="RN295" s="29">
        <v>228</v>
      </c>
      <c r="RO295" s="19">
        <v>55</v>
      </c>
      <c r="RP295" s="20">
        <v>805</v>
      </c>
      <c r="RQ295" s="29">
        <v>228</v>
      </c>
      <c r="RR295" s="734">
        <v>4.9520526400000007</v>
      </c>
      <c r="RS295" s="29">
        <v>228</v>
      </c>
      <c r="RT295" s="1504">
        <v>43435</v>
      </c>
      <c r="RU295" s="19">
        <v>680</v>
      </c>
      <c r="RV295" s="20">
        <v>15</v>
      </c>
      <c r="RW295" s="29">
        <v>228</v>
      </c>
      <c r="RX295" s="1504">
        <v>43435</v>
      </c>
      <c r="RY295" s="29"/>
      <c r="RZ295" s="734"/>
      <c r="SA295" s="29"/>
      <c r="SB295" s="29">
        <v>228</v>
      </c>
    </row>
    <row r="296" spans="1:496">
      <c r="A296" s="41">
        <f t="shared" si="238"/>
        <v>2019</v>
      </c>
      <c r="B296" s="1504">
        <v>43466</v>
      </c>
      <c r="C296" s="1813">
        <v>2754</v>
      </c>
      <c r="D296" s="1814">
        <v>21557</v>
      </c>
      <c r="E296" s="1814">
        <v>55</v>
      </c>
      <c r="F296" s="1815">
        <v>288</v>
      </c>
      <c r="G296" s="1814">
        <v>65952</v>
      </c>
      <c r="H296" s="1814">
        <v>22</v>
      </c>
      <c r="I296" s="1814">
        <v>19197</v>
      </c>
      <c r="J296" s="1816">
        <v>12901</v>
      </c>
      <c r="K296" s="1807">
        <v>122726</v>
      </c>
      <c r="L296" s="25">
        <v>229</v>
      </c>
      <c r="M296" s="97"/>
      <c r="N296" s="1504">
        <v>43466</v>
      </c>
      <c r="O296" s="19">
        <v>987</v>
      </c>
      <c r="P296" s="100">
        <v>755</v>
      </c>
      <c r="Q296" s="100">
        <v>9361</v>
      </c>
      <c r="R296" s="100">
        <v>3559</v>
      </c>
      <c r="S296" s="100">
        <v>680</v>
      </c>
      <c r="T296" s="93">
        <v>983</v>
      </c>
      <c r="U296" s="93">
        <v>412</v>
      </c>
      <c r="V296" s="93">
        <v>2129</v>
      </c>
      <c r="W296" s="93">
        <v>408</v>
      </c>
      <c r="X296" s="93">
        <v>615</v>
      </c>
      <c r="Y296" s="93">
        <v>429</v>
      </c>
      <c r="Z296" s="100">
        <v>558</v>
      </c>
      <c r="AA296" s="100">
        <v>681</v>
      </c>
      <c r="AB296" s="20">
        <v>21557</v>
      </c>
      <c r="AC296" s="25">
        <v>229</v>
      </c>
      <c r="AD296" s="97"/>
      <c r="AE296" s="1504">
        <v>43466</v>
      </c>
      <c r="AF296" s="19">
        <v>1875</v>
      </c>
      <c r="AG296" s="100">
        <v>1958</v>
      </c>
      <c r="AH296" s="100">
        <v>954</v>
      </c>
      <c r="AI296" s="100">
        <v>607</v>
      </c>
      <c r="AJ296" s="100">
        <v>2781</v>
      </c>
      <c r="AK296" s="93">
        <v>1232</v>
      </c>
      <c r="AL296" s="93">
        <v>459</v>
      </c>
      <c r="AM296" s="93">
        <v>696</v>
      </c>
      <c r="AN296" s="93">
        <v>1870</v>
      </c>
      <c r="AO296" s="93">
        <v>6760</v>
      </c>
      <c r="AP296" s="93">
        <v>8785</v>
      </c>
      <c r="AQ296" s="100">
        <v>1795</v>
      </c>
      <c r="AR296" s="100">
        <v>3077</v>
      </c>
      <c r="AS296" s="20">
        <v>32849</v>
      </c>
      <c r="AT296" s="25">
        <v>229</v>
      </c>
      <c r="AU296" s="97"/>
      <c r="AV296" s="1504">
        <v>43466</v>
      </c>
      <c r="AW296" s="19">
        <v>8656</v>
      </c>
      <c r="AX296" s="100">
        <v>1454</v>
      </c>
      <c r="AY296" s="100">
        <v>3932</v>
      </c>
      <c r="AZ296" s="100">
        <v>6274</v>
      </c>
      <c r="BA296" s="100">
        <v>4282</v>
      </c>
      <c r="BB296" s="93">
        <v>5838</v>
      </c>
      <c r="BC296" s="93">
        <v>3497</v>
      </c>
      <c r="BD296" s="93">
        <v>11509</v>
      </c>
      <c r="BE296" s="93">
        <v>3977</v>
      </c>
      <c r="BF296" s="93">
        <v>5106</v>
      </c>
      <c r="BG296" s="93">
        <v>4496</v>
      </c>
      <c r="BH296" s="100">
        <v>5197</v>
      </c>
      <c r="BI296" s="100">
        <v>1734</v>
      </c>
      <c r="BJ296" s="132">
        <v>65952</v>
      </c>
      <c r="BK296" s="25">
        <v>229</v>
      </c>
      <c r="BL296" s="97"/>
      <c r="BM296" s="1504">
        <v>43466</v>
      </c>
      <c r="BN296" s="19">
        <v>151.011</v>
      </c>
      <c r="BO296" s="93">
        <v>2624.5379999999991</v>
      </c>
      <c r="BP296" s="93">
        <v>10.944000000000001</v>
      </c>
      <c r="BQ296" s="93">
        <v>535.90399999999988</v>
      </c>
      <c r="BR296" s="93">
        <v>3.3659999999999997</v>
      </c>
      <c r="BS296" s="93">
        <v>181.60199999999998</v>
      </c>
      <c r="BT296" s="93">
        <v>322.63200000000001</v>
      </c>
      <c r="BU296" s="132">
        <v>3829.9969999999989</v>
      </c>
      <c r="BV296" s="25">
        <v>229</v>
      </c>
      <c r="BW296" s="97"/>
      <c r="BX296" s="1504">
        <v>43466</v>
      </c>
      <c r="BY296" s="179">
        <v>574.58682807326272</v>
      </c>
      <c r="BZ296" s="99">
        <v>664.95699999999999</v>
      </c>
      <c r="CA296" s="99">
        <v>574.947</v>
      </c>
      <c r="CB296" s="99">
        <v>40.315328697275959</v>
      </c>
      <c r="CC296" s="99">
        <v>117.611</v>
      </c>
      <c r="CD296" s="25">
        <v>229</v>
      </c>
      <c r="CE296" s="97"/>
      <c r="CF296" s="1504">
        <v>43466</v>
      </c>
      <c r="CG296" s="1708">
        <v>1.8155045700000001</v>
      </c>
      <c r="CH296" s="1708">
        <v>1291.75</v>
      </c>
      <c r="CI296" s="1708">
        <v>56.5833333333333</v>
      </c>
      <c r="CJ296" s="1509">
        <v>59.27</v>
      </c>
      <c r="CK296" s="1708">
        <v>387.35</v>
      </c>
      <c r="CL296" s="568">
        <v>166.74316400000001</v>
      </c>
      <c r="CM296" s="568">
        <v>0.28197089800000003</v>
      </c>
      <c r="CN296" s="568">
        <v>0.37296417599999998</v>
      </c>
      <c r="CO296" s="568">
        <v>209.80635570000001</v>
      </c>
      <c r="CP296" s="568">
        <v>4.2413581870000003</v>
      </c>
      <c r="CQ296" s="568">
        <v>1379.77</v>
      </c>
      <c r="CR296" s="568">
        <v>2.262</v>
      </c>
      <c r="CS296" s="568">
        <v>1.5925</v>
      </c>
      <c r="CT296" s="568">
        <v>102.5</v>
      </c>
      <c r="CU296" s="568">
        <v>76.16</v>
      </c>
      <c r="CV296" s="568">
        <v>2569.6999999999998</v>
      </c>
      <c r="CW296" s="29">
        <v>229</v>
      </c>
      <c r="CX296" s="41">
        <f t="shared" si="239"/>
        <v>2019</v>
      </c>
      <c r="CY296" s="1504">
        <v>43466</v>
      </c>
      <c r="CZ296" s="733">
        <v>123.9745728</v>
      </c>
      <c r="DA296" s="570">
        <v>62.937794800000006</v>
      </c>
      <c r="DB296" s="570">
        <v>48.365422000000002</v>
      </c>
      <c r="DC296" s="93"/>
      <c r="DD296" s="93"/>
      <c r="DE296" s="20"/>
      <c r="DF296" s="29">
        <v>229</v>
      </c>
      <c r="DG296" s="1504">
        <v>43466</v>
      </c>
      <c r="DH296" s="181">
        <v>400779</v>
      </c>
      <c r="DI296" s="182">
        <v>4274975</v>
      </c>
      <c r="DJ296" s="182">
        <v>286992</v>
      </c>
      <c r="DK296" s="182">
        <v>19970</v>
      </c>
      <c r="DL296" s="182">
        <v>573510</v>
      </c>
      <c r="DM296" s="182">
        <v>8098</v>
      </c>
      <c r="DN296" s="290">
        <v>1746363</v>
      </c>
      <c r="DO296" s="295">
        <f t="shared" si="282"/>
        <v>6909908</v>
      </c>
      <c r="DP296" s="29">
        <v>229</v>
      </c>
      <c r="DQ296" s="1504">
        <v>43466</v>
      </c>
      <c r="DR296" s="19">
        <v>45069</v>
      </c>
      <c r="DS296" s="93">
        <v>1295</v>
      </c>
      <c r="DT296" s="93">
        <v>59038</v>
      </c>
      <c r="DU296" s="93">
        <v>3406</v>
      </c>
      <c r="DV296" s="93">
        <v>20251</v>
      </c>
      <c r="DW296" s="93">
        <v>2591</v>
      </c>
      <c r="DX296" s="20">
        <v>9556.0910000000003</v>
      </c>
      <c r="DY296" s="29">
        <v>229</v>
      </c>
      <c r="DZ296" s="1504">
        <v>43466</v>
      </c>
      <c r="EA296" s="19"/>
      <c r="EB296" s="93"/>
      <c r="EC296" s="20"/>
      <c r="ED296" s="29"/>
      <c r="EE296" s="1504">
        <v>43466</v>
      </c>
      <c r="EF296" s="19">
        <v>236585</v>
      </c>
      <c r="EG296" s="93">
        <v>247610</v>
      </c>
      <c r="EH296" s="99">
        <v>40429</v>
      </c>
      <c r="EI296" s="214">
        <v>9946</v>
      </c>
      <c r="EJ296" s="99">
        <v>551.971</v>
      </c>
      <c r="EK296" s="99">
        <v>234.464</v>
      </c>
      <c r="EL296" s="99">
        <v>7.47</v>
      </c>
      <c r="EM296" s="99">
        <v>5.73</v>
      </c>
      <c r="EN296" s="132">
        <v>799.63499999999999</v>
      </c>
      <c r="EO296" s="29">
        <v>229</v>
      </c>
      <c r="EP296" s="1504">
        <v>43466</v>
      </c>
      <c r="EQ296" s="19">
        <v>18484</v>
      </c>
      <c r="ER296" s="93">
        <v>20858</v>
      </c>
      <c r="ES296" s="93">
        <v>39342</v>
      </c>
      <c r="ET296" s="214">
        <v>9290</v>
      </c>
      <c r="EU296" s="93">
        <v>551.971</v>
      </c>
      <c r="EV296" s="93">
        <v>234.464</v>
      </c>
      <c r="EW296" s="93">
        <v>7.47</v>
      </c>
      <c r="EX296" s="93">
        <v>5.73</v>
      </c>
      <c r="EY296" s="20">
        <v>799.63499999999999</v>
      </c>
      <c r="EZ296" s="29">
        <v>229</v>
      </c>
      <c r="FA296" s="1504">
        <v>43466</v>
      </c>
      <c r="FB296" s="29">
        <v>117</v>
      </c>
      <c r="FC296" s="29">
        <v>970</v>
      </c>
      <c r="FD296" s="29">
        <v>1087</v>
      </c>
      <c r="FE296" s="29">
        <v>656</v>
      </c>
      <c r="FF296" s="29">
        <v>0</v>
      </c>
      <c r="FG296" s="29">
        <v>0</v>
      </c>
      <c r="FH296" s="29">
        <v>0</v>
      </c>
      <c r="FI296" s="29">
        <v>0</v>
      </c>
      <c r="FJ296" s="29">
        <v>0</v>
      </c>
      <c r="FK296" s="29">
        <v>229</v>
      </c>
      <c r="FL296" s="1504">
        <v>43466</v>
      </c>
      <c r="FM296" s="179">
        <v>102.19</v>
      </c>
      <c r="FN296" s="99">
        <v>102.31</v>
      </c>
      <c r="FO296" s="99">
        <v>125.19</v>
      </c>
      <c r="FP296" s="99">
        <v>101.27</v>
      </c>
      <c r="FQ296" s="99">
        <v>99.07</v>
      </c>
      <c r="FR296" s="99">
        <v>101.21</v>
      </c>
      <c r="FS296" s="99">
        <v>100.29</v>
      </c>
      <c r="FT296" s="99">
        <v>99.65</v>
      </c>
      <c r="FU296" s="99">
        <v>99.53</v>
      </c>
      <c r="FV296" s="99">
        <v>101.92</v>
      </c>
      <c r="FW296" s="99">
        <v>104.6</v>
      </c>
      <c r="FX296" s="99">
        <v>104.7</v>
      </c>
      <c r="FY296" s="99">
        <v>100.6</v>
      </c>
      <c r="FZ296" s="29">
        <v>229</v>
      </c>
      <c r="GA296" s="1504">
        <v>43466</v>
      </c>
      <c r="GB296" s="19">
        <v>102.19</v>
      </c>
      <c r="GC296" s="93">
        <v>102.07</v>
      </c>
      <c r="GD296" s="93">
        <v>102.75</v>
      </c>
      <c r="GE296" s="93">
        <v>96.38</v>
      </c>
      <c r="GF296" s="93">
        <v>102.84</v>
      </c>
      <c r="GG296" s="99">
        <v>103.22</v>
      </c>
      <c r="GH296" s="93">
        <v>103.27</v>
      </c>
      <c r="GI296" s="93">
        <v>102.21</v>
      </c>
      <c r="GJ296" s="93">
        <v>102.62</v>
      </c>
      <c r="GK296" s="93">
        <v>100.38</v>
      </c>
      <c r="GL296" s="93">
        <v>102.98</v>
      </c>
      <c r="GM296" s="93">
        <v>101.28</v>
      </c>
      <c r="GN296" s="20">
        <v>102.61</v>
      </c>
      <c r="GO296" s="29">
        <v>229</v>
      </c>
      <c r="GP296" s="1504">
        <v>43466</v>
      </c>
      <c r="GQ296" s="19">
        <v>265</v>
      </c>
      <c r="GR296" s="93">
        <v>237</v>
      </c>
      <c r="GS296" s="93">
        <v>230</v>
      </c>
      <c r="GT296" s="93">
        <v>185</v>
      </c>
      <c r="GU296" s="93">
        <v>396</v>
      </c>
      <c r="GV296" s="20">
        <v>990</v>
      </c>
      <c r="GW296" s="19">
        <v>357</v>
      </c>
      <c r="GX296" s="93">
        <v>480</v>
      </c>
      <c r="GY296" s="93">
        <v>401</v>
      </c>
      <c r="GZ296" s="93">
        <v>475</v>
      </c>
      <c r="HA296" s="93">
        <v>169</v>
      </c>
      <c r="HB296" s="20">
        <v>1033</v>
      </c>
      <c r="HC296" s="19">
        <v>1987</v>
      </c>
      <c r="HD296" s="93">
        <v>2446</v>
      </c>
      <c r="HE296" s="93">
        <v>2600</v>
      </c>
      <c r="HF296" s="93">
        <v>3150</v>
      </c>
      <c r="HG296" s="93">
        <v>2657</v>
      </c>
      <c r="HH296" s="20">
        <v>3052</v>
      </c>
      <c r="HI296" s="19"/>
      <c r="HJ296" s="93">
        <v>872</v>
      </c>
      <c r="HK296" s="93">
        <v>1820</v>
      </c>
      <c r="HL296" s="93">
        <v>800</v>
      </c>
      <c r="HM296" s="93">
        <v>900</v>
      </c>
      <c r="HN296" s="20">
        <v>2214</v>
      </c>
      <c r="HO296" s="219">
        <v>131</v>
      </c>
      <c r="HP296" s="20">
        <v>99</v>
      </c>
      <c r="HQ296" s="25">
        <v>154</v>
      </c>
      <c r="HR296" s="29">
        <v>229</v>
      </c>
      <c r="HS296" s="1504">
        <v>43466</v>
      </c>
      <c r="HT296" s="179">
        <v>221.60835266113281</v>
      </c>
      <c r="HU296" s="99">
        <v>267.36110687255859</v>
      </c>
      <c r="HV296" s="99">
        <v>206.84523391723633</v>
      </c>
      <c r="HW296" s="99">
        <v>156.66666666666666</v>
      </c>
      <c r="HX296" s="99">
        <v>216.66667175292969</v>
      </c>
      <c r="HY296" s="99">
        <v>219.44444274902344</v>
      </c>
      <c r="HZ296" s="99">
        <v>217.39129638671875</v>
      </c>
      <c r="IA296" s="132">
        <v>188.70968246459961</v>
      </c>
      <c r="IB296" s="179">
        <v>138.84244155883789</v>
      </c>
      <c r="IC296" s="99">
        <v>94.091489156087235</v>
      </c>
      <c r="ID296" s="99">
        <v>120.68965148925781</v>
      </c>
      <c r="IE296" s="99">
        <v>128.71287027994791</v>
      </c>
      <c r="IF296" s="99">
        <v>157.20859146118164</v>
      </c>
      <c r="IG296" s="132">
        <v>96.685089111328125</v>
      </c>
      <c r="IH296" s="179">
        <v>119.74206352233887</v>
      </c>
      <c r="II296" s="99">
        <v>222.22222900390625</v>
      </c>
      <c r="IJ296" s="99">
        <v>169.49151611328125</v>
      </c>
      <c r="IK296" s="99">
        <v>160.71429443359375</v>
      </c>
      <c r="IL296" s="99">
        <v>136.96199417114258</v>
      </c>
      <c r="IM296" s="99">
        <v>139.70587921142578</v>
      </c>
      <c r="IN296" s="93">
        <v>159.01060485839844</v>
      </c>
      <c r="IO296" s="132">
        <v>152.43902587890625</v>
      </c>
      <c r="IP296" s="29">
        <v>229</v>
      </c>
      <c r="IQ296" s="19">
        <v>138.84244155883789</v>
      </c>
      <c r="IR296" s="93">
        <v>94.091489156087235</v>
      </c>
      <c r="IS296" s="93">
        <v>120.68965148925781</v>
      </c>
      <c r="IT296" s="93">
        <v>128.71287027994791</v>
      </c>
      <c r="IU296" s="93">
        <v>157.20859146118164</v>
      </c>
      <c r="IV296" s="20">
        <v>96.685089111328125</v>
      </c>
      <c r="IW296" s="29">
        <v>229</v>
      </c>
      <c r="IX296" s="19"/>
      <c r="IY296" s="93">
        <v>364.58334350585938</v>
      </c>
      <c r="IZ296" s="93"/>
      <c r="JA296" s="93">
        <v>375</v>
      </c>
      <c r="JB296" s="93">
        <v>380</v>
      </c>
      <c r="JC296" s="93"/>
      <c r="JD296" s="93">
        <v>375</v>
      </c>
      <c r="JE296" s="20">
        <v>400</v>
      </c>
      <c r="JF296" s="29">
        <v>229</v>
      </c>
      <c r="JG296" s="179">
        <v>161.09325218200684</v>
      </c>
      <c r="JH296" s="99">
        <v>222.22222900390625</v>
      </c>
      <c r="JI296" s="99">
        <v>160.38523483276367</v>
      </c>
      <c r="JJ296" s="99">
        <v>131.20567830403647</v>
      </c>
      <c r="JK296" s="99">
        <v>168.35017395019531</v>
      </c>
      <c r="JL296" s="99">
        <v>150</v>
      </c>
      <c r="JM296" s="99">
        <v>165.84967041015625</v>
      </c>
      <c r="JN296" s="132">
        <v>218.38183975219727</v>
      </c>
      <c r="JO296" s="29">
        <v>229</v>
      </c>
      <c r="JP296" s="19">
        <v>167.49175643920898</v>
      </c>
      <c r="JQ296" s="93">
        <v>86.751134872436523</v>
      </c>
      <c r="JR296" s="93">
        <v>150</v>
      </c>
      <c r="JS296" s="93"/>
      <c r="JT296" s="93">
        <v>177.71564865112305</v>
      </c>
      <c r="JU296" s="20">
        <v>99.009902954101563</v>
      </c>
      <c r="JV296" s="29">
        <v>229</v>
      </c>
      <c r="JW296" s="1504">
        <v>43466</v>
      </c>
      <c r="JX296" s="19"/>
      <c r="JY296" s="93">
        <v>295.41666666666669</v>
      </c>
      <c r="JZ296" s="93">
        <v>258.33333333333331</v>
      </c>
      <c r="KA296" s="93">
        <v>278.5</v>
      </c>
      <c r="KB296" s="93">
        <v>261.875</v>
      </c>
      <c r="KC296" s="93">
        <v>358.75</v>
      </c>
      <c r="KD296" s="20">
        <v>287.35930263157894</v>
      </c>
      <c r="KE296" s="29">
        <v>229</v>
      </c>
      <c r="KF296" s="19"/>
      <c r="KG296" s="93">
        <v>42.6</v>
      </c>
      <c r="KH296" s="93">
        <v>42.15</v>
      </c>
      <c r="KI296" s="93">
        <v>45.666666666666664</v>
      </c>
      <c r="KJ296" s="93">
        <v>58.833333333333336</v>
      </c>
      <c r="KK296" s="20">
        <v>75.073529411764696</v>
      </c>
      <c r="KL296" s="29">
        <v>229</v>
      </c>
      <c r="KM296" s="19"/>
      <c r="KN296" s="93">
        <v>24.166666666666668</v>
      </c>
      <c r="KO296" s="93">
        <v>31.983333333333334</v>
      </c>
      <c r="KP296" s="93">
        <v>31.294117647058822</v>
      </c>
      <c r="KQ296" s="93">
        <v>29.2291666666667</v>
      </c>
      <c r="KR296" s="20">
        <v>32.411764705882355</v>
      </c>
      <c r="KS296" s="29">
        <v>229</v>
      </c>
      <c r="KT296" s="19"/>
      <c r="KU296" s="93">
        <v>24.166666666666668</v>
      </c>
      <c r="KV296" s="93">
        <v>25.925000000000001</v>
      </c>
      <c r="KW296" s="93">
        <v>21.935294117647057</v>
      </c>
      <c r="KX296" s="93">
        <v>25.541666666666668</v>
      </c>
      <c r="KY296" s="20">
        <v>28.2</v>
      </c>
      <c r="KZ296" s="29">
        <v>229</v>
      </c>
      <c r="LA296" s="1504">
        <v>43466</v>
      </c>
      <c r="LB296" s="100">
        <f t="shared" si="306"/>
        <v>380</v>
      </c>
      <c r="LC296" s="100">
        <f t="shared" si="306"/>
        <v>610</v>
      </c>
      <c r="LD296" s="93">
        <v>602</v>
      </c>
      <c r="LE296" s="93"/>
      <c r="LF296" s="93">
        <v>526</v>
      </c>
      <c r="LG296" s="93">
        <v>5000</v>
      </c>
      <c r="LH296" s="20">
        <v>2000</v>
      </c>
      <c r="LI296" s="29">
        <v>229</v>
      </c>
      <c r="LJ296" s="19"/>
      <c r="LK296" s="93"/>
      <c r="LL296" s="93"/>
      <c r="LM296" s="93"/>
      <c r="LN296" s="93"/>
      <c r="LO296" s="20"/>
      <c r="LP296" s="29">
        <v>229</v>
      </c>
      <c r="LQ296" s="19"/>
      <c r="LR296" s="93">
        <v>188</v>
      </c>
      <c r="LS296" s="93">
        <v>445</v>
      </c>
      <c r="LT296" s="93">
        <v>535</v>
      </c>
      <c r="LU296" s="93">
        <v>1070</v>
      </c>
      <c r="LV296" s="93"/>
      <c r="LW296" s="93">
        <v>5</v>
      </c>
      <c r="LX296" s="93">
        <v>10</v>
      </c>
      <c r="LY296" s="93">
        <v>60</v>
      </c>
      <c r="LZ296" s="93"/>
      <c r="MA296" s="20"/>
      <c r="MB296" s="29">
        <v>229</v>
      </c>
      <c r="MC296" s="1504">
        <v>43466</v>
      </c>
      <c r="MD296" s="733">
        <v>150.40259354435244</v>
      </c>
      <c r="ME296" s="570">
        <v>142.94035727219998</v>
      </c>
      <c r="MF296" s="570">
        <v>142.94035727219998</v>
      </c>
      <c r="MG296" s="570">
        <v>135.76184629919999</v>
      </c>
      <c r="MH296" s="570">
        <v>50.707613083218696</v>
      </c>
      <c r="MI296" s="570">
        <v>1.2701324071619207</v>
      </c>
      <c r="MJ296" s="570">
        <v>0.6059781853281061</v>
      </c>
      <c r="MK296" s="570">
        <v>66.019332166964546</v>
      </c>
      <c r="ML296" s="570">
        <v>16.106093592000001</v>
      </c>
      <c r="MM296" s="570">
        <v>1.0526968645267269</v>
      </c>
      <c r="MN296" s="570">
        <v>7.178510972999999</v>
      </c>
      <c r="MO296" s="570">
        <v>0.59346954899999993</v>
      </c>
      <c r="MP296" s="570">
        <v>2.1893524579999997</v>
      </c>
      <c r="MQ296" s="570">
        <v>0.11635940100000002</v>
      </c>
      <c r="MR296" s="570">
        <v>5.1117525999999996E-2</v>
      </c>
      <c r="MS296" s="570">
        <v>4.2282120389999998</v>
      </c>
      <c r="MT296" s="570">
        <v>0</v>
      </c>
      <c r="MU296" s="570">
        <v>7.4622362721524613</v>
      </c>
      <c r="MV296" s="570">
        <v>1.1539107921524603</v>
      </c>
      <c r="MW296" s="570">
        <v>6.3083254800000006</v>
      </c>
      <c r="MX296" s="570">
        <v>103.94454041898294</v>
      </c>
      <c r="MY296" s="570">
        <v>104.24660104298293</v>
      </c>
      <c r="MZ296" s="570">
        <v>89.426429604133332</v>
      </c>
      <c r="NA296" s="570">
        <v>59.254915823333334</v>
      </c>
      <c r="NB296" s="570">
        <v>7.78371353</v>
      </c>
      <c r="NC296" s="570">
        <v>6.1897306140000001</v>
      </c>
      <c r="ND296" s="570">
        <v>5.1989709730000007</v>
      </c>
      <c r="NE296" s="570">
        <v>0.99075964100000002</v>
      </c>
      <c r="NF296" s="570">
        <v>16.1980696368</v>
      </c>
      <c r="NG296" s="570">
        <v>0.79401197379999988</v>
      </c>
      <c r="NH296" s="570">
        <v>1.037148</v>
      </c>
      <c r="NI296" s="570">
        <v>0</v>
      </c>
      <c r="NJ296" s="570">
        <v>0</v>
      </c>
      <c r="NK296" s="570">
        <v>14.820171438849602</v>
      </c>
      <c r="NL296" s="570">
        <v>4.7166722099999996</v>
      </c>
      <c r="NM296" s="570">
        <v>0</v>
      </c>
      <c r="NN296" s="570">
        <v>10.103499228849602</v>
      </c>
      <c r="NO296" s="570">
        <v>-0.30206062399999795</v>
      </c>
      <c r="NP296" s="570">
        <v>46.458053125369503</v>
      </c>
      <c r="NQ296" s="570">
        <v>38.99581685321705</v>
      </c>
      <c r="NR296" s="570">
        <v>55.289046696066663</v>
      </c>
      <c r="NS296" s="570">
        <v>49.099316082066657</v>
      </c>
      <c r="NT296" s="570">
        <v>3.6726959013695044</v>
      </c>
      <c r="NU296" s="570">
        <v>-3.7895403707829489</v>
      </c>
      <c r="NV296" s="570">
        <v>2.663348703697145</v>
      </c>
      <c r="NW296" s="570">
        <v>15.596714374697141</v>
      </c>
      <c r="NX296" s="570">
        <v>16.983718942697141</v>
      </c>
      <c r="NY296" s="570">
        <v>-1.387004568</v>
      </c>
      <c r="NZ296" s="570">
        <v>0</v>
      </c>
      <c r="OA296" s="570">
        <v>-12.933365670999997</v>
      </c>
      <c r="OB296" s="570">
        <v>-26.381233467999998</v>
      </c>
      <c r="OC296" s="570">
        <v>13.447867797000002</v>
      </c>
      <c r="OD296" s="734">
        <v>-6.3360446050666495</v>
      </c>
      <c r="OE296" s="29">
        <v>229</v>
      </c>
      <c r="OF296" s="1504">
        <v>43466</v>
      </c>
      <c r="OG296" s="19"/>
      <c r="OH296" s="93">
        <v>556.15485447408037</v>
      </c>
      <c r="OI296" s="93">
        <v>1561.4909430540001</v>
      </c>
      <c r="OJ296" s="93">
        <v>0.26328754800000004</v>
      </c>
      <c r="OK296" s="93">
        <v>1334.828</v>
      </c>
      <c r="OL296" s="93">
        <v>226.39965550600002</v>
      </c>
      <c r="OM296" s="93">
        <v>2117.6457975280805</v>
      </c>
      <c r="ON296" s="93">
        <v>1459.1471083189999</v>
      </c>
      <c r="OO296" s="93">
        <v>3576.7929058470804</v>
      </c>
      <c r="OP296" s="93"/>
      <c r="OQ296" s="93">
        <v>1340.6134312300801</v>
      </c>
      <c r="OR296" s="93">
        <v>253.2284312300801</v>
      </c>
      <c r="OS296" s="93">
        <v>1087.385</v>
      </c>
      <c r="OT296" s="93">
        <v>2643.9009946840001</v>
      </c>
      <c r="OU296" s="93">
        <v>0.59524108500006889</v>
      </c>
      <c r="OV296" s="93">
        <v>-123.58075891499998</v>
      </c>
      <c r="OW296" s="93">
        <v>124.17600000000004</v>
      </c>
      <c r="OX296" s="93">
        <v>2643.3057535990001</v>
      </c>
      <c r="OY296" s="93">
        <v>5.7457535989999995</v>
      </c>
      <c r="OZ296" s="93">
        <v>2637.56</v>
      </c>
      <c r="PA296" s="93">
        <v>639.38607832999992</v>
      </c>
      <c r="PB296" s="93">
        <v>-231.66455826300003</v>
      </c>
      <c r="PC296" s="20">
        <v>3576.79290584708</v>
      </c>
      <c r="PD296" s="29">
        <v>229</v>
      </c>
      <c r="PE296" s="19"/>
      <c r="PF296" s="93">
        <v>253.2284312300801</v>
      </c>
      <c r="PG296" s="93">
        <v>962.35812246208025</v>
      </c>
      <c r="PH296" s="93">
        <v>709.12969123200014</v>
      </c>
      <c r="PI296" s="93">
        <v>675.05600000000004</v>
      </c>
      <c r="PJ296" s="93">
        <v>-117.14150852999998</v>
      </c>
      <c r="PK296" s="93">
        <v>125.221356872</v>
      </c>
      <c r="PL296" s="93">
        <v>242.36286540199998</v>
      </c>
      <c r="PM296" s="93">
        <v>5.7457535989999995</v>
      </c>
      <c r="PN296" s="93">
        <v>1.6479999999999999</v>
      </c>
      <c r="PO296" s="93">
        <v>0</v>
      </c>
      <c r="PP296" s="93">
        <v>0</v>
      </c>
      <c r="PQ296" s="93">
        <v>4.0977535989999998</v>
      </c>
      <c r="PR296" s="93">
        <v>814.23450570608031</v>
      </c>
      <c r="PS296" s="93">
        <v>635.54310485908036</v>
      </c>
      <c r="PT296" s="93">
        <v>178.09500498</v>
      </c>
      <c r="PU296" s="93">
        <v>0.59639586700000002</v>
      </c>
      <c r="PV296" s="93">
        <v>0</v>
      </c>
      <c r="PW296" s="93">
        <v>0.22722595700000001</v>
      </c>
      <c r="PX296" s="93">
        <v>0</v>
      </c>
      <c r="PY296" s="93">
        <v>0</v>
      </c>
      <c r="PZ296" s="93">
        <v>0.22722595700000001</v>
      </c>
      <c r="QA296" s="93">
        <v>0</v>
      </c>
      <c r="QB296" s="93">
        <v>0</v>
      </c>
      <c r="QC296" s="93">
        <v>0</v>
      </c>
      <c r="QD296" s="93">
        <v>2.5268523729999997</v>
      </c>
      <c r="QE296" s="20">
        <v>-9.9907736999999858E-2</v>
      </c>
      <c r="QF296" s="1739">
        <v>229</v>
      </c>
      <c r="QG296" s="19"/>
      <c r="QH296" s="1035">
        <v>1087.385</v>
      </c>
      <c r="QI296" s="1035">
        <v>1466.308</v>
      </c>
      <c r="QJ296" s="1035">
        <v>-378.923</v>
      </c>
      <c r="QK296" s="1035">
        <v>226.03800000000001</v>
      </c>
      <c r="QL296" s="1035">
        <v>72.948999999999998</v>
      </c>
      <c r="QM296" s="1035">
        <v>153.089</v>
      </c>
      <c r="QN296" s="1035">
        <v>0</v>
      </c>
      <c r="QO296" s="1035">
        <v>124.17600000000004</v>
      </c>
      <c r="QP296" s="1035">
        <v>491.39700000000005</v>
      </c>
      <c r="QQ296" s="1035">
        <v>-367.221</v>
      </c>
      <c r="QR296" s="1035">
        <v>2637.56</v>
      </c>
      <c r="QS296" s="1035">
        <v>13.838000000000001</v>
      </c>
      <c r="QT296" s="1035">
        <v>1.171</v>
      </c>
      <c r="QU296" s="1035">
        <v>243.29</v>
      </c>
      <c r="QV296" s="1035">
        <v>2379.261</v>
      </c>
      <c r="QW296" s="93"/>
      <c r="QX296" s="93">
        <v>549.21800000000007</v>
      </c>
      <c r="QY296" s="93">
        <v>1334.828</v>
      </c>
      <c r="QZ296" s="93">
        <v>1458.8139999999999</v>
      </c>
      <c r="RA296" s="93">
        <v>0</v>
      </c>
      <c r="RB296" s="93">
        <v>138.26399999999998</v>
      </c>
      <c r="RC296" s="93">
        <v>0</v>
      </c>
      <c r="RD296" s="93">
        <v>35.203000000000003</v>
      </c>
      <c r="RE296" s="93">
        <v>0</v>
      </c>
      <c r="RF296" s="93">
        <v>0</v>
      </c>
      <c r="RG296" s="93">
        <v>463.16499999999996</v>
      </c>
      <c r="RH296" s="93">
        <v>95.667000000000002</v>
      </c>
      <c r="RI296" s="93"/>
      <c r="RJ296" s="93"/>
      <c r="RK296" s="93"/>
      <c r="RL296" s="93"/>
      <c r="RM296" s="734"/>
      <c r="RN296" s="29">
        <v>229</v>
      </c>
      <c r="RO296" s="1532">
        <v>66</v>
      </c>
      <c r="RP296" s="20">
        <v>553</v>
      </c>
      <c r="RQ296" s="29">
        <v>229</v>
      </c>
      <c r="RR296" s="734">
        <v>4.3768694300000002</v>
      </c>
      <c r="RS296" s="29">
        <v>229</v>
      </c>
      <c r="RT296" s="1504">
        <v>43466</v>
      </c>
      <c r="RU296" s="1532">
        <v>1284</v>
      </c>
      <c r="RV296" s="20">
        <v>26</v>
      </c>
      <c r="RW296" s="29">
        <v>229</v>
      </c>
      <c r="RX296" s="1504">
        <v>43466</v>
      </c>
      <c r="RY296" s="29"/>
      <c r="RZ296" s="734"/>
      <c r="SA296" s="29"/>
      <c r="SB296" s="29">
        <v>229</v>
      </c>
    </row>
    <row r="297" spans="1:496">
      <c r="A297" s="41">
        <f t="shared" si="238"/>
        <v>2019</v>
      </c>
      <c r="B297" s="1504">
        <v>43497</v>
      </c>
      <c r="C297" s="1813">
        <v>1470</v>
      </c>
      <c r="D297" s="1814">
        <v>21105</v>
      </c>
      <c r="E297" s="1814">
        <v>68</v>
      </c>
      <c r="F297" s="1815">
        <v>211</v>
      </c>
      <c r="G297" s="1814">
        <v>68274</v>
      </c>
      <c r="H297" s="1814">
        <v>12</v>
      </c>
      <c r="I297" s="1814">
        <v>19051</v>
      </c>
      <c r="J297" s="1816">
        <v>13515</v>
      </c>
      <c r="K297" s="1807">
        <v>123706</v>
      </c>
      <c r="L297" s="25">
        <v>230</v>
      </c>
      <c r="M297" s="97"/>
      <c r="N297" s="1504">
        <v>43497</v>
      </c>
      <c r="O297" s="19">
        <v>815</v>
      </c>
      <c r="P297" s="100">
        <v>550</v>
      </c>
      <c r="Q297" s="100">
        <v>11546</v>
      </c>
      <c r="R297" s="100">
        <v>3212</v>
      </c>
      <c r="S297" s="100">
        <v>486</v>
      </c>
      <c r="T297" s="93">
        <v>805</v>
      </c>
      <c r="U297" s="93">
        <v>227</v>
      </c>
      <c r="V297" s="93">
        <v>1661</v>
      </c>
      <c r="W297" s="93">
        <v>200</v>
      </c>
      <c r="X297" s="93">
        <v>643</v>
      </c>
      <c r="Y297" s="93">
        <v>243</v>
      </c>
      <c r="Z297" s="100">
        <v>431</v>
      </c>
      <c r="AA297" s="100">
        <v>286</v>
      </c>
      <c r="AB297" s="20">
        <v>21105</v>
      </c>
      <c r="AC297" s="25">
        <v>230</v>
      </c>
      <c r="AD297" s="97"/>
      <c r="AE297" s="1504">
        <v>43497</v>
      </c>
      <c r="AF297" s="19">
        <v>2023</v>
      </c>
      <c r="AG297" s="100">
        <v>1317</v>
      </c>
      <c r="AH297" s="100">
        <v>873</v>
      </c>
      <c r="AI297" s="100">
        <v>445</v>
      </c>
      <c r="AJ297" s="100">
        <v>1945</v>
      </c>
      <c r="AK297" s="93">
        <v>2096</v>
      </c>
      <c r="AL297" s="93">
        <v>227</v>
      </c>
      <c r="AM297" s="93">
        <v>788</v>
      </c>
      <c r="AN297" s="93">
        <v>2763</v>
      </c>
      <c r="AO297" s="93">
        <v>1428</v>
      </c>
      <c r="AP297" s="100">
        <v>4955</v>
      </c>
      <c r="AQ297" s="100">
        <v>1253</v>
      </c>
      <c r="AR297" s="100">
        <v>1417</v>
      </c>
      <c r="AS297" s="20">
        <v>21530</v>
      </c>
      <c r="AT297" s="25">
        <v>230</v>
      </c>
      <c r="AU297" s="97"/>
      <c r="AV297" s="1504">
        <v>43497</v>
      </c>
      <c r="AW297" s="19">
        <v>8078</v>
      </c>
      <c r="AX297" s="100">
        <v>1782</v>
      </c>
      <c r="AY297" s="100">
        <v>3314</v>
      </c>
      <c r="AZ297" s="100">
        <v>10513</v>
      </c>
      <c r="BA297" s="100">
        <v>5291</v>
      </c>
      <c r="BB297" s="93">
        <v>5442</v>
      </c>
      <c r="BC297" s="93">
        <v>2880</v>
      </c>
      <c r="BD297" s="93">
        <v>10781</v>
      </c>
      <c r="BE297" s="93">
        <v>3459</v>
      </c>
      <c r="BF297" s="93">
        <v>5254</v>
      </c>
      <c r="BG297" s="100">
        <v>3246</v>
      </c>
      <c r="BH297" s="100">
        <v>6188</v>
      </c>
      <c r="BI297" s="100">
        <v>2046</v>
      </c>
      <c r="BJ297" s="132">
        <v>68274</v>
      </c>
      <c r="BK297" s="25">
        <v>230</v>
      </c>
      <c r="BL297" s="97"/>
      <c r="BM297" s="1504">
        <v>43497</v>
      </c>
      <c r="BN297" s="19">
        <v>78.284999999999982</v>
      </c>
      <c r="BO297" s="93">
        <v>2608.8309999999992</v>
      </c>
      <c r="BP297" s="93">
        <v>13.824</v>
      </c>
      <c r="BQ297" s="93">
        <v>553.54399999999998</v>
      </c>
      <c r="BR297" s="93">
        <v>1.9889999999999999</v>
      </c>
      <c r="BS297" s="93">
        <v>179.09100000000001</v>
      </c>
      <c r="BT297" s="93">
        <v>337.43999999999994</v>
      </c>
      <c r="BU297" s="132">
        <v>3773.003999999999</v>
      </c>
      <c r="BV297" s="25">
        <v>230</v>
      </c>
      <c r="BW297" s="97"/>
      <c r="BX297" s="1504">
        <v>43497</v>
      </c>
      <c r="BY297" s="179">
        <v>577.89112278883579</v>
      </c>
      <c r="BZ297" s="99">
        <v>664.95699999999999</v>
      </c>
      <c r="CA297" s="99">
        <v>577.02099999999996</v>
      </c>
      <c r="CB297" s="99">
        <v>40.743166653391093</v>
      </c>
      <c r="CC297" s="99">
        <v>115.471</v>
      </c>
      <c r="CD297" s="25">
        <v>230</v>
      </c>
      <c r="CE297" s="97"/>
      <c r="CF297" s="1504">
        <v>43497</v>
      </c>
      <c r="CG297" s="1708">
        <v>1.78904913</v>
      </c>
      <c r="CH297" s="1708">
        <v>1320.07</v>
      </c>
      <c r="CI297" s="1708">
        <v>61.133333333333297</v>
      </c>
      <c r="CJ297" s="1509">
        <v>64.13</v>
      </c>
      <c r="CK297" s="1708">
        <v>386.25</v>
      </c>
      <c r="CL297" s="568">
        <v>169.52254479999999</v>
      </c>
      <c r="CM297" s="568">
        <v>0.28615967599999997</v>
      </c>
      <c r="CN297" s="568">
        <v>0.370710912</v>
      </c>
      <c r="CO297" s="568">
        <v>218.9922732</v>
      </c>
      <c r="CP297" s="568">
        <v>4.2791674200000003</v>
      </c>
      <c r="CQ297" s="568">
        <v>1370.06</v>
      </c>
      <c r="CR297" s="568">
        <v>2.1549999999999998</v>
      </c>
      <c r="CS297" s="568">
        <v>1.6528</v>
      </c>
      <c r="CT297" s="568">
        <v>102.5</v>
      </c>
      <c r="CU297" s="568">
        <v>88.22</v>
      </c>
      <c r="CV297" s="568">
        <v>2707.19</v>
      </c>
      <c r="CW297" s="29">
        <v>230</v>
      </c>
      <c r="CX297" s="41">
        <f t="shared" si="239"/>
        <v>2019</v>
      </c>
      <c r="CY297" s="1504">
        <v>43497</v>
      </c>
      <c r="CZ297" s="733">
        <v>125.1785368</v>
      </c>
      <c r="DA297" s="570">
        <v>61.642079799999998</v>
      </c>
      <c r="DB297" s="570">
        <v>49.068249000000002</v>
      </c>
      <c r="DC297" s="93"/>
      <c r="DD297" s="93"/>
      <c r="DE297" s="20"/>
      <c r="DF297" s="29">
        <v>230</v>
      </c>
      <c r="DG297" s="1504">
        <v>43497</v>
      </c>
      <c r="DH297" s="181">
        <v>404595</v>
      </c>
      <c r="DI297" s="182">
        <v>4190541</v>
      </c>
      <c r="DJ297" s="182">
        <v>289970</v>
      </c>
      <c r="DK297" s="182">
        <v>18278</v>
      </c>
      <c r="DL297" s="182">
        <v>512373</v>
      </c>
      <c r="DM297" s="182">
        <v>8546</v>
      </c>
      <c r="DN297" s="290">
        <v>1711392</v>
      </c>
      <c r="DO297" s="295">
        <f t="shared" si="282"/>
        <v>6731100</v>
      </c>
      <c r="DP297" s="29">
        <v>230</v>
      </c>
      <c r="DQ297" s="1504">
        <v>43497</v>
      </c>
      <c r="DR297" s="19">
        <v>41746</v>
      </c>
      <c r="DS297" s="93">
        <v>1325</v>
      </c>
      <c r="DT297" s="93">
        <v>58605</v>
      </c>
      <c r="DU297" s="93">
        <v>4378</v>
      </c>
      <c r="DV297" s="93">
        <v>18675</v>
      </c>
      <c r="DW297" s="93">
        <v>2550</v>
      </c>
      <c r="DX297" s="20">
        <v>8112.7179999999998</v>
      </c>
      <c r="DY297" s="29">
        <v>230</v>
      </c>
      <c r="DZ297" s="1504">
        <v>43497</v>
      </c>
      <c r="EA297" s="19"/>
      <c r="EB297" s="93"/>
      <c r="EC297" s="20"/>
      <c r="ED297" s="29"/>
      <c r="EE297" s="1504">
        <v>43497</v>
      </c>
      <c r="EF297" s="19">
        <v>21041</v>
      </c>
      <c r="EG297" s="93">
        <v>31042</v>
      </c>
      <c r="EH297" s="93">
        <v>52083</v>
      </c>
      <c r="EI297" s="214">
        <v>5881</v>
      </c>
      <c r="EJ297" s="99">
        <v>660.82399999999996</v>
      </c>
      <c r="EK297" s="99">
        <v>268.60700000000003</v>
      </c>
      <c r="EL297" s="99">
        <v>6.6980000000000004</v>
      </c>
      <c r="EM297" s="99">
        <v>4.6449999999999996</v>
      </c>
      <c r="EN297" s="132">
        <v>940.774</v>
      </c>
      <c r="EO297" s="29">
        <v>230</v>
      </c>
      <c r="EP297" s="1504">
        <v>43497</v>
      </c>
      <c r="EQ297" s="19">
        <v>19636</v>
      </c>
      <c r="ER297" s="93">
        <v>19605</v>
      </c>
      <c r="ES297" s="93">
        <v>39241</v>
      </c>
      <c r="ET297" s="214">
        <v>5002</v>
      </c>
      <c r="EU297" s="93">
        <v>660.77800000000002</v>
      </c>
      <c r="EV297" s="93">
        <v>268.60700000000003</v>
      </c>
      <c r="EW297" s="93">
        <v>6.6980000000000004</v>
      </c>
      <c r="EX297" s="93">
        <v>4.6449999999999996</v>
      </c>
      <c r="EY297" s="20">
        <v>940.72799999999995</v>
      </c>
      <c r="EZ297" s="29">
        <v>230</v>
      </c>
      <c r="FA297" s="1504">
        <v>43497</v>
      </c>
      <c r="FB297" s="29">
        <v>1405</v>
      </c>
      <c r="FC297" s="29">
        <v>11437</v>
      </c>
      <c r="FD297" s="29">
        <v>12842</v>
      </c>
      <c r="FE297" s="29">
        <v>879</v>
      </c>
      <c r="FF297" s="29">
        <v>46</v>
      </c>
      <c r="FG297" s="29">
        <v>0</v>
      </c>
      <c r="FH297" s="29">
        <v>0</v>
      </c>
      <c r="FI297" s="29">
        <v>0</v>
      </c>
      <c r="FJ297" s="29">
        <v>4.5999999999999999E-2</v>
      </c>
      <c r="FK297" s="29">
        <v>230</v>
      </c>
      <c r="FL297" s="1504">
        <v>43497</v>
      </c>
      <c r="FM297" s="19">
        <v>101.77</v>
      </c>
      <c r="FN297" s="93">
        <v>101.3</v>
      </c>
      <c r="FO297" s="93">
        <v>129</v>
      </c>
      <c r="FP297" s="93">
        <v>101.29</v>
      </c>
      <c r="FQ297" s="93">
        <v>96.83</v>
      </c>
      <c r="FR297" s="93">
        <v>101.17</v>
      </c>
      <c r="FS297" s="93">
        <v>100.36</v>
      </c>
      <c r="FT297" s="93">
        <v>99.34</v>
      </c>
      <c r="FU297" s="93">
        <v>98.44</v>
      </c>
      <c r="FV297" s="93">
        <v>101.4</v>
      </c>
      <c r="FW297" s="93">
        <v>104.6</v>
      </c>
      <c r="FX297" s="93">
        <v>105.47</v>
      </c>
      <c r="FY297" s="93">
        <v>100.6</v>
      </c>
      <c r="FZ297" s="29">
        <v>230</v>
      </c>
      <c r="GA297" s="1504">
        <v>43497</v>
      </c>
      <c r="GB297" s="19">
        <v>101.77</v>
      </c>
      <c r="GC297" s="93">
        <v>102.2</v>
      </c>
      <c r="GD297" s="93">
        <v>102.02</v>
      </c>
      <c r="GE297" s="93">
        <v>93.77</v>
      </c>
      <c r="GF297" s="93">
        <v>101.61</v>
      </c>
      <c r="GG297" s="99">
        <v>103.07</v>
      </c>
      <c r="GH297" s="93">
        <v>101.89</v>
      </c>
      <c r="GI297" s="93">
        <v>102.11</v>
      </c>
      <c r="GJ297" s="93">
        <v>102.49</v>
      </c>
      <c r="GK297" s="93">
        <v>100.28</v>
      </c>
      <c r="GL297" s="93">
        <v>102.27</v>
      </c>
      <c r="GM297" s="93">
        <v>101.15</v>
      </c>
      <c r="GN297" s="20">
        <v>102.49</v>
      </c>
      <c r="GO297" s="29">
        <v>230</v>
      </c>
      <c r="GP297" s="1504">
        <v>43497</v>
      </c>
      <c r="GQ297" s="19">
        <v>263</v>
      </c>
      <c r="GR297" s="93">
        <v>225</v>
      </c>
      <c r="GS297" s="93">
        <v>221</v>
      </c>
      <c r="GT297" s="93">
        <v>190</v>
      </c>
      <c r="GU297" s="93">
        <v>391</v>
      </c>
      <c r="GV297" s="20">
        <v>995</v>
      </c>
      <c r="GW297" s="19">
        <v>378</v>
      </c>
      <c r="GX297" s="93">
        <v>459</v>
      </c>
      <c r="GY297" s="93">
        <v>331</v>
      </c>
      <c r="GZ297" s="93">
        <v>356</v>
      </c>
      <c r="HA297" s="93">
        <v>145</v>
      </c>
      <c r="HB297" s="20">
        <v>873</v>
      </c>
      <c r="HC297" s="19">
        <v>1945</v>
      </c>
      <c r="HD297" s="93">
        <v>2470</v>
      </c>
      <c r="HE297" s="93">
        <v>2486</v>
      </c>
      <c r="HF297" s="93">
        <v>3150</v>
      </c>
      <c r="HG297" s="93">
        <v>2743</v>
      </c>
      <c r="HH297" s="20">
        <v>3184</v>
      </c>
      <c r="HI297" s="19"/>
      <c r="HJ297" s="93">
        <v>855</v>
      </c>
      <c r="HK297" s="93">
        <v>1975</v>
      </c>
      <c r="HL297" s="93">
        <v>833</v>
      </c>
      <c r="HM297" s="93">
        <v>900</v>
      </c>
      <c r="HN297" s="20">
        <v>2072</v>
      </c>
      <c r="HO297" s="219">
        <v>118</v>
      </c>
      <c r="HP297" s="20">
        <v>99</v>
      </c>
      <c r="HQ297" s="25">
        <v>165</v>
      </c>
      <c r="HR297" s="29">
        <v>230</v>
      </c>
      <c r="HS297" s="1504">
        <v>43497</v>
      </c>
      <c r="HT297" s="179">
        <v>221.60835266113281</v>
      </c>
      <c r="HU297" s="99">
        <v>248.69791030883789</v>
      </c>
      <c r="HV297" s="99">
        <v>206.34919738769531</v>
      </c>
      <c r="HW297" s="99">
        <v>150</v>
      </c>
      <c r="HX297" s="99">
        <v>204.16666920979819</v>
      </c>
      <c r="HY297" s="99">
        <v>222.22222137451172</v>
      </c>
      <c r="HZ297" s="99">
        <v>224.11012268066406</v>
      </c>
      <c r="IA297" s="132">
        <v>163.30645751953125</v>
      </c>
      <c r="IB297" s="179">
        <v>144.2952995300293</v>
      </c>
      <c r="IC297" s="99">
        <v>90.240640640258789</v>
      </c>
      <c r="ID297" s="99">
        <v>117.47126159667968</v>
      </c>
      <c r="IE297" s="99">
        <v>106.55737686157227</v>
      </c>
      <c r="IF297" s="99">
        <v>175</v>
      </c>
      <c r="IG297" s="132">
        <v>95.027629852294922</v>
      </c>
      <c r="IH297" s="179">
        <v>126.78571319580078</v>
      </c>
      <c r="II297" s="99">
        <v>203.95036315917969</v>
      </c>
      <c r="IJ297" s="99">
        <v>169.06206512451172</v>
      </c>
      <c r="IK297" s="99">
        <v>160.71429443359375</v>
      </c>
      <c r="IL297" s="99">
        <v>138.88888549804688</v>
      </c>
      <c r="IM297" s="99">
        <v>133.57843017578125</v>
      </c>
      <c r="IN297" s="93">
        <v>159.01060485839844</v>
      </c>
      <c r="IO297" s="132">
        <v>151.61241912841797</v>
      </c>
      <c r="IP297" s="29">
        <v>230</v>
      </c>
      <c r="IQ297" s="19">
        <v>144.2952995300293</v>
      </c>
      <c r="IR297" s="93">
        <v>90.240640640258789</v>
      </c>
      <c r="IS297" s="93">
        <v>117.47126159667968</v>
      </c>
      <c r="IT297" s="93">
        <v>106.55737686157227</v>
      </c>
      <c r="IU297" s="93">
        <v>175</v>
      </c>
      <c r="IV297" s="20">
        <v>95.027629852294922</v>
      </c>
      <c r="IW297" s="29">
        <v>230</v>
      </c>
      <c r="IX297" s="19"/>
      <c r="IY297" s="93">
        <v>341.50986226399738</v>
      </c>
      <c r="IZ297" s="93"/>
      <c r="JA297" s="93">
        <v>375</v>
      </c>
      <c r="JB297" s="93">
        <v>380</v>
      </c>
      <c r="JC297" s="93"/>
      <c r="JD297" s="93">
        <v>375</v>
      </c>
      <c r="JE297" s="20">
        <v>400</v>
      </c>
      <c r="JF297" s="29">
        <v>230</v>
      </c>
      <c r="JG297" s="179">
        <v>138.07992935180664</v>
      </c>
      <c r="JH297" s="99">
        <v>210.05995686848959</v>
      </c>
      <c r="JI297" s="99">
        <v>159.87240219116211</v>
      </c>
      <c r="JJ297" s="99">
        <v>143.61702728271484</v>
      </c>
      <c r="JK297" s="99">
        <v>168.35017395019531</v>
      </c>
      <c r="JL297" s="99">
        <v>150</v>
      </c>
      <c r="JM297" s="99">
        <v>144.60784149169922</v>
      </c>
      <c r="JN297" s="132">
        <v>216.40373039245605</v>
      </c>
      <c r="JO297" s="29">
        <v>230</v>
      </c>
      <c r="JP297" s="19">
        <v>183.44709777832031</v>
      </c>
      <c r="JQ297" s="93">
        <v>98.522171020507813</v>
      </c>
      <c r="JR297" s="93">
        <v>150</v>
      </c>
      <c r="JS297" s="93"/>
      <c r="JT297" s="93">
        <v>185.48387145996094</v>
      </c>
      <c r="JU297" s="20">
        <v>99.009902954101563</v>
      </c>
      <c r="JV297" s="29">
        <v>230</v>
      </c>
      <c r="JW297" s="1504">
        <v>43497</v>
      </c>
      <c r="JX297" s="19"/>
      <c r="JY297" s="93">
        <v>293.75</v>
      </c>
      <c r="JZ297" s="93">
        <v>274.10000000000002</v>
      </c>
      <c r="KA297" s="93">
        <v>256.5625</v>
      </c>
      <c r="KB297" s="93">
        <v>236.91666666666666</v>
      </c>
      <c r="KC297" s="93">
        <v>367.5</v>
      </c>
      <c r="KD297" s="20">
        <v>272.22222222222223</v>
      </c>
      <c r="KE297" s="29">
        <v>230</v>
      </c>
      <c r="KF297" s="19"/>
      <c r="KG297" s="93">
        <v>41.363636363636367</v>
      </c>
      <c r="KH297" s="93">
        <v>44</v>
      </c>
      <c r="KI297" s="93">
        <v>45.916666666666664</v>
      </c>
      <c r="KJ297" s="93">
        <v>59.291666666666664</v>
      </c>
      <c r="KK297" s="20">
        <v>75.0277777777778</v>
      </c>
      <c r="KL297" s="29">
        <v>230</v>
      </c>
      <c r="KM297" s="19"/>
      <c r="KN297" s="93">
        <v>23.541666666666668</v>
      </c>
      <c r="KO297" s="93">
        <v>32.552083333333336</v>
      </c>
      <c r="KP297" s="93">
        <v>34.56818181818182</v>
      </c>
      <c r="KQ297" s="93">
        <v>31.2916666666667</v>
      </c>
      <c r="KR297" s="20">
        <v>33.78125</v>
      </c>
      <c r="KS297" s="29">
        <v>230</v>
      </c>
      <c r="KT297" s="19"/>
      <c r="KU297" s="93">
        <v>23.541666666666668</v>
      </c>
      <c r="KV297" s="93">
        <v>28</v>
      </c>
      <c r="KW297" s="93">
        <v>20.613793103448273</v>
      </c>
      <c r="KX297" s="93">
        <v>26.958333333333332</v>
      </c>
      <c r="KY297" s="20">
        <v>30.275862068965516</v>
      </c>
      <c r="KZ297" s="29">
        <v>230</v>
      </c>
      <c r="LA297" s="1504">
        <v>43497</v>
      </c>
      <c r="LB297" s="100">
        <f t="shared" si="306"/>
        <v>380</v>
      </c>
      <c r="LC297" s="100">
        <f t="shared" si="306"/>
        <v>610</v>
      </c>
      <c r="LD297" s="93">
        <v>602</v>
      </c>
      <c r="LE297" s="93"/>
      <c r="LF297" s="93">
        <v>526</v>
      </c>
      <c r="LG297" s="93">
        <v>5000</v>
      </c>
      <c r="LH297" s="20">
        <v>2000</v>
      </c>
      <c r="LI297" s="29">
        <v>230</v>
      </c>
      <c r="LJ297" s="19"/>
      <c r="LK297" s="93"/>
      <c r="LL297" s="93"/>
      <c r="LM297" s="93"/>
      <c r="LN297" s="93"/>
      <c r="LO297" s="20"/>
      <c r="LP297" s="29">
        <v>230</v>
      </c>
      <c r="LQ297" s="19"/>
      <c r="LR297" s="93">
        <v>188</v>
      </c>
      <c r="LS297" s="93">
        <v>445</v>
      </c>
      <c r="LT297" s="93">
        <v>535</v>
      </c>
      <c r="LU297" s="93">
        <v>1070</v>
      </c>
      <c r="LV297" s="93"/>
      <c r="LW297" s="93">
        <v>5</v>
      </c>
      <c r="LX297" s="93">
        <v>10</v>
      </c>
      <c r="LY297" s="93">
        <v>60</v>
      </c>
      <c r="LZ297" s="93"/>
      <c r="MA297" s="20"/>
      <c r="MB297" s="29">
        <v>230</v>
      </c>
      <c r="MC297" s="1504">
        <v>43497</v>
      </c>
      <c r="MD297" s="733">
        <v>305.40068179795242</v>
      </c>
      <c r="ME297" s="570">
        <v>296.94561855979998</v>
      </c>
      <c r="MF297" s="570">
        <v>296.94561855979998</v>
      </c>
      <c r="MG297" s="570">
        <v>237.86889892979997</v>
      </c>
      <c r="MH297" s="570">
        <v>72.138845239536323</v>
      </c>
      <c r="MI297" s="570">
        <v>2.2189882359124762</v>
      </c>
      <c r="MJ297" s="570">
        <v>1.2564150351958214</v>
      </c>
      <c r="MK297" s="570">
        <v>127.89099442493379</v>
      </c>
      <c r="ML297" s="570">
        <v>32.465444898000001</v>
      </c>
      <c r="MM297" s="570">
        <v>1.898211096221565</v>
      </c>
      <c r="MN297" s="570">
        <v>59.076719629999999</v>
      </c>
      <c r="MO297" s="570">
        <v>1.039843125</v>
      </c>
      <c r="MP297" s="570">
        <v>44.268753685</v>
      </c>
      <c r="MQ297" s="570">
        <v>0.22676822700000002</v>
      </c>
      <c r="MR297" s="570">
        <v>0.340948682</v>
      </c>
      <c r="MS297" s="570">
        <v>13.200405910999999</v>
      </c>
      <c r="MT297" s="570">
        <v>0</v>
      </c>
      <c r="MU297" s="570">
        <v>8.4550632381524604</v>
      </c>
      <c r="MV297" s="570">
        <v>2.1467377581524603</v>
      </c>
      <c r="MW297" s="570">
        <v>6.3083254800000006</v>
      </c>
      <c r="MX297" s="570">
        <v>286.79559389824527</v>
      </c>
      <c r="MY297" s="570">
        <v>287.09765452224531</v>
      </c>
      <c r="MZ297" s="570">
        <v>233.01140118139568</v>
      </c>
      <c r="NA297" s="570">
        <v>123.27756078166666</v>
      </c>
      <c r="NB297" s="570">
        <v>15.487711062999999</v>
      </c>
      <c r="NC297" s="570">
        <v>9.5713282160790296</v>
      </c>
      <c r="ND297" s="570">
        <v>7.3055940810000006</v>
      </c>
      <c r="NE297" s="570">
        <v>2.2657341350790299</v>
      </c>
      <c r="NF297" s="570">
        <v>84.674801120649988</v>
      </c>
      <c r="NG297" s="570">
        <v>1.7167669763</v>
      </c>
      <c r="NH297" s="570">
        <v>36.407826163000003</v>
      </c>
      <c r="NI297" s="570">
        <v>0</v>
      </c>
      <c r="NJ297" s="570">
        <v>0</v>
      </c>
      <c r="NK297" s="570">
        <v>54.086253340849595</v>
      </c>
      <c r="NL297" s="570">
        <v>42.721091145999999</v>
      </c>
      <c r="NM297" s="570">
        <v>0</v>
      </c>
      <c r="NN297" s="570">
        <v>11.365162194849601</v>
      </c>
      <c r="NO297" s="570">
        <v>-0.30206062399999795</v>
      </c>
      <c r="NP297" s="570">
        <v>18.605087899707122</v>
      </c>
      <c r="NQ297" s="570">
        <v>10.15002466155468</v>
      </c>
      <c r="NR297" s="570">
        <v>31.086515072483316</v>
      </c>
      <c r="NS297" s="570">
        <v>21.515186856404274</v>
      </c>
      <c r="NT297" s="570">
        <v>-32.780259913292923</v>
      </c>
      <c r="NU297" s="570">
        <v>-41.235323151445364</v>
      </c>
      <c r="NV297" s="570">
        <v>35.3129541292233</v>
      </c>
      <c r="NW297" s="570">
        <v>13.660549071223292</v>
      </c>
      <c r="NX297" s="570">
        <v>17.252554942697142</v>
      </c>
      <c r="NY297" s="570">
        <v>-3.5920058714738499</v>
      </c>
      <c r="NZ297" s="570">
        <v>0</v>
      </c>
      <c r="OA297" s="570">
        <v>21.652405058000014</v>
      </c>
      <c r="OB297" s="570">
        <v>-2.823589511999991</v>
      </c>
      <c r="OC297" s="570">
        <v>24.475994570000005</v>
      </c>
      <c r="OD297" s="734">
        <v>-2.5326942159303836</v>
      </c>
      <c r="OE297" s="29">
        <v>230</v>
      </c>
      <c r="OF297" s="1504">
        <v>43497</v>
      </c>
      <c r="OG297" s="19"/>
      <c r="OH297" s="93">
        <v>564.45864322721116</v>
      </c>
      <c r="OI297" s="93">
        <v>1636.5610427029999</v>
      </c>
      <c r="OJ297" s="93">
        <v>0.44987428899999998</v>
      </c>
      <c r="OK297" s="93">
        <v>1408.0039999999999</v>
      </c>
      <c r="OL297" s="93">
        <v>228.107168414</v>
      </c>
      <c r="OM297" s="93">
        <v>2201.0196859302109</v>
      </c>
      <c r="ON297" s="93">
        <v>1465.722108319</v>
      </c>
      <c r="OO297" s="93">
        <v>3666.7417942492111</v>
      </c>
      <c r="OP297" s="93"/>
      <c r="OQ297" s="93">
        <v>1400.5917088142116</v>
      </c>
      <c r="OR297" s="93">
        <v>260.07070881421123</v>
      </c>
      <c r="OS297" s="93">
        <v>1140.5210000000002</v>
      </c>
      <c r="OT297" s="93">
        <v>2650.608200997</v>
      </c>
      <c r="OU297" s="93">
        <v>12.492446313000016</v>
      </c>
      <c r="OV297" s="93">
        <v>-104.08555368700002</v>
      </c>
      <c r="OW297" s="93">
        <v>116.57800000000003</v>
      </c>
      <c r="OX297" s="93">
        <v>2638.115754684</v>
      </c>
      <c r="OY297" s="93">
        <v>6.039754684</v>
      </c>
      <c r="OZ297" s="93">
        <v>2632.076</v>
      </c>
      <c r="PA297" s="93">
        <v>639.42941777700003</v>
      </c>
      <c r="PB297" s="93">
        <v>-254.97130221499981</v>
      </c>
      <c r="PC297" s="20">
        <v>3666.741794249212</v>
      </c>
      <c r="PD297" s="29">
        <v>230</v>
      </c>
      <c r="PE297" s="19"/>
      <c r="PF297" s="93">
        <v>260.07070881421123</v>
      </c>
      <c r="PG297" s="93">
        <v>993.41893046121118</v>
      </c>
      <c r="PH297" s="93">
        <v>733.34822164699995</v>
      </c>
      <c r="PI297" s="93">
        <v>596.68399999999997</v>
      </c>
      <c r="PJ297" s="93">
        <v>-96.614199224000018</v>
      </c>
      <c r="PK297" s="93">
        <v>125.238921389</v>
      </c>
      <c r="PL297" s="93">
        <v>221.85312061300002</v>
      </c>
      <c r="PM297" s="93">
        <v>6.039754684</v>
      </c>
      <c r="PN297" s="93">
        <v>1.9079999999999999</v>
      </c>
      <c r="PO297" s="93">
        <v>0</v>
      </c>
      <c r="PP297" s="93">
        <v>0</v>
      </c>
      <c r="PQ297" s="93">
        <v>4.1317546840000006</v>
      </c>
      <c r="PR297" s="93">
        <v>789.75853308421119</v>
      </c>
      <c r="PS297" s="93">
        <v>639.05799769021121</v>
      </c>
      <c r="PT297" s="93">
        <v>149.91755278599999</v>
      </c>
      <c r="PU297" s="93">
        <v>0.78298260799999997</v>
      </c>
      <c r="PV297" s="93">
        <v>0</v>
      </c>
      <c r="PW297" s="93">
        <v>0.29277580399999997</v>
      </c>
      <c r="PX297" s="93">
        <v>0</v>
      </c>
      <c r="PY297" s="93">
        <v>0</v>
      </c>
      <c r="PZ297" s="93">
        <v>0.29277580399999997</v>
      </c>
      <c r="QA297" s="93">
        <v>0</v>
      </c>
      <c r="QB297" s="93">
        <v>0</v>
      </c>
      <c r="QC297" s="93">
        <v>0</v>
      </c>
      <c r="QD297" s="93">
        <v>4.3836419729999996</v>
      </c>
      <c r="QE297" s="20">
        <v>-28.254686586999981</v>
      </c>
      <c r="QF297" s="1739">
        <v>230</v>
      </c>
      <c r="QG297" s="19"/>
      <c r="QH297" s="1035">
        <v>1140.5210000000002</v>
      </c>
      <c r="QI297" s="1035">
        <v>1449.4180000000001</v>
      </c>
      <c r="QJ297" s="1035">
        <v>-308.89699999999993</v>
      </c>
      <c r="QK297" s="1035">
        <v>219.94099999999997</v>
      </c>
      <c r="QL297" s="1035">
        <v>67.128</v>
      </c>
      <c r="QM297" s="1035">
        <v>152.81299999999999</v>
      </c>
      <c r="QN297" s="1035">
        <v>0</v>
      </c>
      <c r="QO297" s="1035">
        <v>116.57800000000003</v>
      </c>
      <c r="QP297" s="1035">
        <v>487.09800000000001</v>
      </c>
      <c r="QQ297" s="1035">
        <v>-370.52</v>
      </c>
      <c r="QR297" s="1035">
        <v>2632.076</v>
      </c>
      <c r="QS297" s="1035">
        <v>27.866000000000003</v>
      </c>
      <c r="QT297" s="1035">
        <v>10.843</v>
      </c>
      <c r="QU297" s="1035">
        <v>213.084</v>
      </c>
      <c r="QV297" s="1035">
        <v>2380.2829999999999</v>
      </c>
      <c r="QW297" s="93"/>
      <c r="QX297" s="93">
        <v>511.48300000000006</v>
      </c>
      <c r="QY297" s="93">
        <v>1408.0039999999999</v>
      </c>
      <c r="QZ297" s="93">
        <v>1465.3889999999999</v>
      </c>
      <c r="RA297" s="93">
        <v>0</v>
      </c>
      <c r="RB297" s="93">
        <v>134.49700000000001</v>
      </c>
      <c r="RC297" s="93">
        <v>0</v>
      </c>
      <c r="RD297" s="93">
        <v>29.965</v>
      </c>
      <c r="RE297" s="93">
        <v>0</v>
      </c>
      <c r="RF297" s="93">
        <v>0</v>
      </c>
      <c r="RG297" s="93">
        <v>470.291</v>
      </c>
      <c r="RH297" s="93">
        <v>89.48700000000008</v>
      </c>
      <c r="RI297" s="93"/>
      <c r="RJ297" s="93"/>
      <c r="RK297" s="93"/>
      <c r="RL297" s="93"/>
      <c r="RM297" s="734"/>
      <c r="RN297" s="29">
        <v>230</v>
      </c>
      <c r="RO297" s="1532">
        <v>102</v>
      </c>
      <c r="RP297" s="20">
        <v>786</v>
      </c>
      <c r="RQ297" s="29">
        <v>230</v>
      </c>
      <c r="RR297" s="734">
        <v>4.1484059599999998</v>
      </c>
      <c r="RS297" s="29">
        <v>230</v>
      </c>
      <c r="RT297" s="1504">
        <v>43497</v>
      </c>
      <c r="RU297" s="1532">
        <v>1140</v>
      </c>
      <c r="RV297" s="20">
        <v>20</v>
      </c>
      <c r="RW297" s="29">
        <v>230</v>
      </c>
      <c r="RX297" s="1504">
        <v>43497</v>
      </c>
      <c r="RY297" s="29"/>
      <c r="RZ297" s="734"/>
      <c r="SA297" s="29"/>
      <c r="SB297" s="29">
        <v>230</v>
      </c>
    </row>
    <row r="298" spans="1:496">
      <c r="A298" s="41">
        <f t="shared" si="238"/>
        <v>2019</v>
      </c>
      <c r="B298" s="1504">
        <v>43525</v>
      </c>
      <c r="C298" s="1813">
        <v>984</v>
      </c>
      <c r="D298" s="1814">
        <v>16845</v>
      </c>
      <c r="E298" s="1814">
        <v>51</v>
      </c>
      <c r="F298" s="1815">
        <v>190</v>
      </c>
      <c r="G298" s="1814">
        <v>57660</v>
      </c>
      <c r="H298" s="1814">
        <v>12</v>
      </c>
      <c r="I298" s="1814">
        <v>16444</v>
      </c>
      <c r="J298" s="1816">
        <v>12547</v>
      </c>
      <c r="K298" s="1807">
        <v>104733</v>
      </c>
      <c r="L298" s="25">
        <v>231</v>
      </c>
      <c r="M298" s="97"/>
      <c r="N298" s="1504">
        <v>43525</v>
      </c>
      <c r="O298" s="19">
        <v>824</v>
      </c>
      <c r="P298" s="100">
        <v>599</v>
      </c>
      <c r="Q298" s="100">
        <v>10421</v>
      </c>
      <c r="R298" s="100">
        <v>955</v>
      </c>
      <c r="S298" s="100">
        <v>439</v>
      </c>
      <c r="T298" s="93">
        <v>684</v>
      </c>
      <c r="U298" s="93">
        <v>168</v>
      </c>
      <c r="V298" s="100">
        <v>611</v>
      </c>
      <c r="W298" s="93">
        <v>250</v>
      </c>
      <c r="X298" s="93">
        <v>688</v>
      </c>
      <c r="Y298" s="93">
        <v>391</v>
      </c>
      <c r="Z298" s="100">
        <v>465</v>
      </c>
      <c r="AA298" s="100">
        <v>350</v>
      </c>
      <c r="AB298" s="20">
        <v>16845</v>
      </c>
      <c r="AC298" s="25">
        <v>231</v>
      </c>
      <c r="AD298" s="97"/>
      <c r="AE298" s="1504">
        <v>43525</v>
      </c>
      <c r="AF298" s="19">
        <v>2570</v>
      </c>
      <c r="AG298" s="100">
        <v>2570</v>
      </c>
      <c r="AH298" s="100">
        <v>897</v>
      </c>
      <c r="AI298" s="100">
        <v>3957</v>
      </c>
      <c r="AJ298" s="100">
        <v>2643</v>
      </c>
      <c r="AK298" s="93">
        <v>1355</v>
      </c>
      <c r="AL298" s="93">
        <v>989</v>
      </c>
      <c r="AM298" s="100">
        <v>840</v>
      </c>
      <c r="AN298" s="93">
        <v>2605</v>
      </c>
      <c r="AO298" s="93">
        <v>2963</v>
      </c>
      <c r="AP298" s="93">
        <v>18950</v>
      </c>
      <c r="AQ298" s="100">
        <v>1915</v>
      </c>
      <c r="AR298" s="100">
        <v>1856</v>
      </c>
      <c r="AS298" s="20">
        <v>44110</v>
      </c>
      <c r="AT298" s="25">
        <v>231</v>
      </c>
      <c r="AU298" s="97"/>
      <c r="AV298" s="1504">
        <v>43525</v>
      </c>
      <c r="AW298" s="19">
        <v>9090</v>
      </c>
      <c r="AX298" s="100">
        <v>1297</v>
      </c>
      <c r="AY298" s="100">
        <v>2735</v>
      </c>
      <c r="AZ298" s="100">
        <v>5367</v>
      </c>
      <c r="BA298" s="100">
        <v>5586</v>
      </c>
      <c r="BB298" s="93">
        <v>4205</v>
      </c>
      <c r="BC298" s="93">
        <v>2876</v>
      </c>
      <c r="BD298" s="100">
        <v>6458</v>
      </c>
      <c r="BE298" s="93">
        <v>3100</v>
      </c>
      <c r="BF298" s="93">
        <v>5488</v>
      </c>
      <c r="BG298" s="93">
        <v>3157</v>
      </c>
      <c r="BH298" s="100">
        <v>6653</v>
      </c>
      <c r="BI298" s="100">
        <v>1648</v>
      </c>
      <c r="BJ298" s="132">
        <v>57660</v>
      </c>
      <c r="BK298" s="25">
        <v>231</v>
      </c>
      <c r="BL298" s="97"/>
      <c r="BM298" s="1504">
        <v>43525</v>
      </c>
      <c r="BN298" s="19">
        <v>52.121999999999986</v>
      </c>
      <c r="BO298" s="93">
        <v>2107.7889999999979</v>
      </c>
      <c r="BP298" s="93">
        <v>9.7919999999999998</v>
      </c>
      <c r="BQ298" s="93">
        <v>466.70399999999995</v>
      </c>
      <c r="BR298" s="93">
        <v>2.754</v>
      </c>
      <c r="BS298" s="93">
        <v>154.197</v>
      </c>
      <c r="BT298" s="93">
        <v>308.37600000000009</v>
      </c>
      <c r="BU298" s="132">
        <v>3101.7339999999976</v>
      </c>
      <c r="BV298" s="25">
        <v>231</v>
      </c>
      <c r="BW298" s="97"/>
      <c r="BX298" s="1504">
        <v>43525</v>
      </c>
      <c r="BY298" s="179">
        <v>580.37639288956439</v>
      </c>
      <c r="BZ298" s="99">
        <v>664.95699999999999</v>
      </c>
      <c r="CA298" s="99">
        <v>579.928</v>
      </c>
      <c r="CB298" s="99">
        <v>39.432432752976901</v>
      </c>
      <c r="CC298" s="99">
        <v>111.854</v>
      </c>
      <c r="CD298" s="25">
        <v>231</v>
      </c>
      <c r="CE298" s="97"/>
      <c r="CF298" s="1504">
        <v>43525</v>
      </c>
      <c r="CG298" s="1708">
        <v>1.8476920219999999</v>
      </c>
      <c r="CH298" s="1708">
        <v>1300.9000000000001</v>
      </c>
      <c r="CI298" s="1708">
        <v>63.786666666666697</v>
      </c>
      <c r="CJ298" s="1509">
        <v>66.41</v>
      </c>
      <c r="CK298" s="1708">
        <v>382.43</v>
      </c>
      <c r="CL298" s="568">
        <v>166.22350639999999</v>
      </c>
      <c r="CM298" s="568">
        <v>0.28020720199999999</v>
      </c>
      <c r="CN298" s="568">
        <v>0.369241392</v>
      </c>
      <c r="CO298" s="568">
        <v>205.76455200000001</v>
      </c>
      <c r="CP298" s="568">
        <v>4.4764809100000003</v>
      </c>
      <c r="CQ298" s="568">
        <v>1370.38</v>
      </c>
      <c r="CR298" s="568">
        <v>2.1324999999999998</v>
      </c>
      <c r="CS298" s="568">
        <v>1.7224999999999999</v>
      </c>
      <c r="CT298" s="568">
        <v>98.5</v>
      </c>
      <c r="CU298" s="568">
        <v>86.47</v>
      </c>
      <c r="CV298" s="568">
        <v>2850.6</v>
      </c>
      <c r="CW298" s="29">
        <v>231</v>
      </c>
      <c r="CX298" s="41">
        <f t="shared" si="239"/>
        <v>2019</v>
      </c>
      <c r="CY298" s="1504">
        <v>43525</v>
      </c>
      <c r="CZ298" s="733">
        <v>130.4919161</v>
      </c>
      <c r="DA298" s="570">
        <v>67.607119099999991</v>
      </c>
      <c r="DB298" s="570">
        <v>49.511170999999997</v>
      </c>
      <c r="DC298" s="93"/>
      <c r="DD298" s="93"/>
      <c r="DE298" s="20"/>
      <c r="DF298" s="29">
        <v>231</v>
      </c>
      <c r="DG298" s="1504">
        <v>43525</v>
      </c>
      <c r="DH298" s="181">
        <v>407709</v>
      </c>
      <c r="DI298" s="182">
        <v>4811122</v>
      </c>
      <c r="DJ298" s="182">
        <v>300252</v>
      </c>
      <c r="DK298" s="182">
        <v>20533</v>
      </c>
      <c r="DL298" s="182">
        <v>565688</v>
      </c>
      <c r="DM298" s="182">
        <v>8343</v>
      </c>
      <c r="DN298" s="290">
        <v>1746401</v>
      </c>
      <c r="DO298" s="295">
        <f t="shared" si="282"/>
        <v>7452339</v>
      </c>
      <c r="DP298" s="29">
        <v>231</v>
      </c>
      <c r="DQ298" s="1504">
        <v>43525</v>
      </c>
      <c r="DR298" s="19">
        <v>44886</v>
      </c>
      <c r="DS298" s="93">
        <v>1353</v>
      </c>
      <c r="DT298" s="93">
        <v>59022</v>
      </c>
      <c r="DU298" s="93">
        <v>3037</v>
      </c>
      <c r="DV298" s="93">
        <v>18045</v>
      </c>
      <c r="DW298" s="93">
        <v>3538</v>
      </c>
      <c r="DX298" s="20">
        <v>7525.6970000000001</v>
      </c>
      <c r="DY298" s="29">
        <v>231</v>
      </c>
      <c r="DZ298" s="1504">
        <v>43525</v>
      </c>
      <c r="EA298" s="19"/>
      <c r="EB298" s="93"/>
      <c r="EC298" s="20"/>
      <c r="ED298" s="29"/>
      <c r="EE298" s="1504">
        <v>43525</v>
      </c>
      <c r="EF298" s="19">
        <v>19957</v>
      </c>
      <c r="EG298" s="93">
        <v>25568</v>
      </c>
      <c r="EH298" s="93">
        <v>45525</v>
      </c>
      <c r="EI298" s="214">
        <v>7019</v>
      </c>
      <c r="EJ298" s="99">
        <v>599.91899999999998</v>
      </c>
      <c r="EK298" s="99">
        <v>297.82600000000002</v>
      </c>
      <c r="EL298" s="99">
        <v>7.6740000000000004</v>
      </c>
      <c r="EM298" s="99">
        <v>8.2569999999999997</v>
      </c>
      <c r="EN298" s="132">
        <v>913.67600000000004</v>
      </c>
      <c r="EO298" s="29">
        <v>231</v>
      </c>
      <c r="EP298" s="1504">
        <v>43525</v>
      </c>
      <c r="EQ298" s="19">
        <v>18316</v>
      </c>
      <c r="ER298" s="93">
        <v>24016</v>
      </c>
      <c r="ES298" s="93">
        <v>42332</v>
      </c>
      <c r="ET298" s="214">
        <v>6042</v>
      </c>
      <c r="EU298" s="93">
        <v>599.89599999999996</v>
      </c>
      <c r="EV298" s="93">
        <v>297.82600000000002</v>
      </c>
      <c r="EW298" s="93">
        <v>7.6740000000000004</v>
      </c>
      <c r="EX298" s="93">
        <v>8.2569999999999997</v>
      </c>
      <c r="EY298" s="20">
        <v>913.65300000000002</v>
      </c>
      <c r="EZ298" s="29">
        <v>231</v>
      </c>
      <c r="FA298" s="1504">
        <v>43525</v>
      </c>
      <c r="FB298" s="29">
        <v>1641</v>
      </c>
      <c r="FC298" s="29">
        <v>1552</v>
      </c>
      <c r="FD298" s="29">
        <v>3193</v>
      </c>
      <c r="FE298" s="29">
        <v>977</v>
      </c>
      <c r="FF298" s="29">
        <v>23</v>
      </c>
      <c r="FG298" s="29">
        <v>0</v>
      </c>
      <c r="FH298" s="29">
        <v>0</v>
      </c>
      <c r="FI298" s="29">
        <v>0</v>
      </c>
      <c r="FJ298" s="29">
        <v>2.3E-2</v>
      </c>
      <c r="FK298" s="29">
        <v>231</v>
      </c>
      <c r="FL298" s="1504">
        <v>43525</v>
      </c>
      <c r="FM298" s="179">
        <v>102.28</v>
      </c>
      <c r="FN298" s="99">
        <v>102.17</v>
      </c>
      <c r="FO298" s="99">
        <v>130.26</v>
      </c>
      <c r="FP298" s="99">
        <v>101.19</v>
      </c>
      <c r="FQ298" s="99">
        <v>98.42</v>
      </c>
      <c r="FR298" s="99">
        <v>101.16</v>
      </c>
      <c r="FS298" s="99">
        <v>100.43</v>
      </c>
      <c r="FT298" s="99">
        <v>99.36</v>
      </c>
      <c r="FU298" s="99">
        <v>98.44</v>
      </c>
      <c r="FV298" s="99">
        <v>101.19</v>
      </c>
      <c r="FW298" s="99">
        <v>104.6</v>
      </c>
      <c r="FX298" s="99">
        <v>105.73</v>
      </c>
      <c r="FY298" s="99">
        <v>100.58</v>
      </c>
      <c r="FZ298" s="29">
        <v>231</v>
      </c>
      <c r="GA298" s="1504">
        <v>43525</v>
      </c>
      <c r="GB298" s="19">
        <v>102.28</v>
      </c>
      <c r="GC298" s="93">
        <v>101.94</v>
      </c>
      <c r="GD298" s="93">
        <v>102.88</v>
      </c>
      <c r="GE298" s="93">
        <v>95.67</v>
      </c>
      <c r="GF298" s="93">
        <v>102.57</v>
      </c>
      <c r="GG298" s="99">
        <v>103.34</v>
      </c>
      <c r="GH298" s="93">
        <v>103.77</v>
      </c>
      <c r="GI298" s="93">
        <v>101.94</v>
      </c>
      <c r="GJ298" s="93">
        <v>102.56</v>
      </c>
      <c r="GK298" s="93">
        <v>100.31</v>
      </c>
      <c r="GL298" s="93">
        <v>103.11</v>
      </c>
      <c r="GM298" s="93">
        <v>101.16</v>
      </c>
      <c r="GN298" s="20">
        <v>102.56</v>
      </c>
      <c r="GO298" s="29">
        <v>231</v>
      </c>
      <c r="GP298" s="1504">
        <v>43525</v>
      </c>
      <c r="GQ298" s="19">
        <v>270</v>
      </c>
      <c r="GR298" s="93">
        <v>236</v>
      </c>
      <c r="GS298" s="93">
        <v>231</v>
      </c>
      <c r="GT298" s="93">
        <v>190</v>
      </c>
      <c r="GU298" s="93">
        <v>392</v>
      </c>
      <c r="GV298" s="20">
        <v>1090</v>
      </c>
      <c r="GW298" s="19">
        <v>420</v>
      </c>
      <c r="GX298" s="93">
        <v>433</v>
      </c>
      <c r="GY298" s="93">
        <v>394</v>
      </c>
      <c r="GZ298" s="93">
        <v>294</v>
      </c>
      <c r="HA298" s="93">
        <v>240</v>
      </c>
      <c r="HB298" s="20">
        <v>815</v>
      </c>
      <c r="HC298" s="19">
        <v>1844</v>
      </c>
      <c r="HD298" s="93">
        <v>2260</v>
      </c>
      <c r="HE298" s="93">
        <v>2388</v>
      </c>
      <c r="HF298" s="93">
        <v>3150</v>
      </c>
      <c r="HG298" s="93">
        <v>2658</v>
      </c>
      <c r="HH298" s="20">
        <v>2806</v>
      </c>
      <c r="HI298" s="19"/>
      <c r="HJ298" s="93">
        <v>874</v>
      </c>
      <c r="HK298" s="93">
        <v>1539</v>
      </c>
      <c r="HL298" s="93">
        <v>842</v>
      </c>
      <c r="HM298" s="93">
        <v>900</v>
      </c>
      <c r="HN298" s="20">
        <v>2146</v>
      </c>
      <c r="HO298" s="219">
        <v>140</v>
      </c>
      <c r="HP298" s="20">
        <v>99</v>
      </c>
      <c r="HQ298" s="25">
        <v>157</v>
      </c>
      <c r="HR298" s="29">
        <v>231</v>
      </c>
      <c r="HS298" s="1504">
        <v>43525</v>
      </c>
      <c r="HT298" s="179">
        <v>221.60835266113281</v>
      </c>
      <c r="HU298" s="99">
        <v>250.69444274902344</v>
      </c>
      <c r="HV298" s="99">
        <v>193.15852355957031</v>
      </c>
      <c r="HW298" s="99">
        <v>140</v>
      </c>
      <c r="HX298" s="99">
        <v>185.41666412353516</v>
      </c>
      <c r="HY298" s="99">
        <v>222.22222137451172</v>
      </c>
      <c r="HZ298" s="99">
        <v>217.15240478515625</v>
      </c>
      <c r="IA298" s="132">
        <v>165.03268432617188</v>
      </c>
      <c r="IB298" s="179">
        <v>164.6035270690918</v>
      </c>
      <c r="IC298" s="99">
        <v>87.86551208496094</v>
      </c>
      <c r="ID298" s="99">
        <v>113.88888804117839</v>
      </c>
      <c r="IE298" s="99">
        <v>96.273292541503906</v>
      </c>
      <c r="IF298" s="99">
        <v>167.49175643920898</v>
      </c>
      <c r="IG298" s="132">
        <v>88.259672164916992</v>
      </c>
      <c r="IH298" s="179">
        <v>132.42063446044921</v>
      </c>
      <c r="II298" s="99">
        <v>212.36337890625001</v>
      </c>
      <c r="IJ298" s="99">
        <v>168.91891479492188</v>
      </c>
      <c r="IK298" s="99">
        <v>142.85714721679688</v>
      </c>
      <c r="IL298" s="99">
        <v>138.88888549804688</v>
      </c>
      <c r="IM298" s="99">
        <v>132.66129684448242</v>
      </c>
      <c r="IN298" s="93">
        <v>159.01060485839844</v>
      </c>
      <c r="IO298" s="132">
        <v>152.21859741210938</v>
      </c>
      <c r="IP298" s="29">
        <v>231</v>
      </c>
      <c r="IQ298" s="19">
        <v>164.6035270690918</v>
      </c>
      <c r="IR298" s="93">
        <v>87.86551208496094</v>
      </c>
      <c r="IS298" s="93">
        <v>113.88888804117839</v>
      </c>
      <c r="IT298" s="93">
        <v>96.273292541503906</v>
      </c>
      <c r="IU298" s="93">
        <v>167.49175643920898</v>
      </c>
      <c r="IV298" s="20">
        <v>88.259672164916992</v>
      </c>
      <c r="IW298" s="29">
        <v>231</v>
      </c>
      <c r="IX298" s="19"/>
      <c r="IY298" s="93">
        <v>357.86289978027344</v>
      </c>
      <c r="IZ298" s="93"/>
      <c r="JA298" s="93">
        <v>375</v>
      </c>
      <c r="JB298" s="93">
        <v>380</v>
      </c>
      <c r="JC298" s="93"/>
      <c r="JD298" s="93">
        <v>375</v>
      </c>
      <c r="JE298" s="20">
        <v>400</v>
      </c>
      <c r="JF298" s="29">
        <v>231</v>
      </c>
      <c r="JG298" s="179">
        <v>150.05348510742186</v>
      </c>
      <c r="JH298" s="99">
        <v>212.36337890625001</v>
      </c>
      <c r="JI298" s="99">
        <v>160.15400695800781</v>
      </c>
      <c r="JJ298" s="99">
        <v>127.65957641601563</v>
      </c>
      <c r="JK298" s="99">
        <v>168.35017395019531</v>
      </c>
      <c r="JL298" s="99">
        <v>150</v>
      </c>
      <c r="JM298" s="99">
        <v>144.60784149169922</v>
      </c>
      <c r="JN298" s="132">
        <v>219.72107315063477</v>
      </c>
      <c r="JO298" s="29">
        <v>231</v>
      </c>
      <c r="JP298" s="19">
        <v>184.30033493041992</v>
      </c>
      <c r="JQ298" s="93">
        <v>98.912356567382815</v>
      </c>
      <c r="JR298" s="93">
        <v>150</v>
      </c>
      <c r="JS298" s="93"/>
      <c r="JT298" s="93">
        <v>183.52223968505859</v>
      </c>
      <c r="JU298" s="20">
        <v>103.68421363830566</v>
      </c>
      <c r="JV298" s="29">
        <v>231</v>
      </c>
      <c r="JW298" s="1504">
        <v>43525</v>
      </c>
      <c r="JX298" s="19"/>
      <c r="JY298" s="93">
        <v>295</v>
      </c>
      <c r="JZ298" s="93">
        <v>256.71875</v>
      </c>
      <c r="KA298" s="93">
        <v>258.75</v>
      </c>
      <c r="KB298" s="93">
        <v>250.83333333333334</v>
      </c>
      <c r="KC298" s="93">
        <v>344.33333333333331</v>
      </c>
      <c r="KD298" s="20">
        <v>259.16666666666669</v>
      </c>
      <c r="KE298" s="29">
        <v>231</v>
      </c>
      <c r="KF298" s="19"/>
      <c r="KG298" s="93">
        <v>42.81818181818182</v>
      </c>
      <c r="KH298" s="93">
        <v>44.03125</v>
      </c>
      <c r="KI298" s="93">
        <v>50.4</v>
      </c>
      <c r="KJ298" s="93">
        <v>59.3</v>
      </c>
      <c r="KK298" s="20">
        <v>69.662162162162204</v>
      </c>
      <c r="KL298" s="29">
        <v>231</v>
      </c>
      <c r="KM298" s="19"/>
      <c r="KN298" s="93">
        <v>25.25</v>
      </c>
      <c r="KO298" s="93">
        <v>31.083333333333332</v>
      </c>
      <c r="KP298" s="93">
        <v>29.789473684210527</v>
      </c>
      <c r="KQ298" s="93">
        <v>31.633333333333301</v>
      </c>
      <c r="KR298" s="20">
        <v>32.789473684210527</v>
      </c>
      <c r="KS298" s="29">
        <v>231</v>
      </c>
      <c r="KT298" s="19"/>
      <c r="KU298" s="93">
        <v>25.25</v>
      </c>
      <c r="KV298" s="93">
        <v>25.1875</v>
      </c>
      <c r="KW298" s="93">
        <v>21.259523809523809</v>
      </c>
      <c r="KX298" s="93">
        <v>25.066666666666666</v>
      </c>
      <c r="KY298" s="20">
        <v>29.421052631578949</v>
      </c>
      <c r="KZ298" s="29">
        <v>231</v>
      </c>
      <c r="LA298" s="1504">
        <v>43525</v>
      </c>
      <c r="LB298" s="100">
        <f t="shared" si="306"/>
        <v>380</v>
      </c>
      <c r="LC298" s="100">
        <f t="shared" si="306"/>
        <v>610</v>
      </c>
      <c r="LD298" s="93">
        <v>602</v>
      </c>
      <c r="LE298" s="93"/>
      <c r="LF298" s="93">
        <v>526</v>
      </c>
      <c r="LG298" s="93">
        <v>5000</v>
      </c>
      <c r="LH298" s="20">
        <v>2000</v>
      </c>
      <c r="LI298" s="29">
        <v>231</v>
      </c>
      <c r="LJ298" s="19"/>
      <c r="LK298" s="93"/>
      <c r="LL298" s="93"/>
      <c r="LM298" s="93"/>
      <c r="LN298" s="93"/>
      <c r="LO298" s="20"/>
      <c r="LP298" s="29">
        <v>231</v>
      </c>
      <c r="LQ298" s="19"/>
      <c r="LR298" s="93">
        <v>188</v>
      </c>
      <c r="LS298" s="93">
        <v>445</v>
      </c>
      <c r="LT298" s="93">
        <v>535</v>
      </c>
      <c r="LU298" s="93">
        <v>1070</v>
      </c>
      <c r="LV298" s="93"/>
      <c r="LW298" s="93">
        <v>5</v>
      </c>
      <c r="LX298" s="93">
        <v>10</v>
      </c>
      <c r="LY298" s="93">
        <v>60</v>
      </c>
      <c r="LZ298" s="93"/>
      <c r="MA298" s="20"/>
      <c r="MB298" s="29">
        <v>231</v>
      </c>
      <c r="MC298" s="1504">
        <v>43525</v>
      </c>
      <c r="MD298" s="733">
        <v>431.19271764714756</v>
      </c>
      <c r="ME298" s="570">
        <v>408.28692691099997</v>
      </c>
      <c r="MF298" s="570">
        <v>408.28692691099997</v>
      </c>
      <c r="MG298" s="570">
        <v>335.99242663899992</v>
      </c>
      <c r="MH298" s="570">
        <v>89.293684661840089</v>
      </c>
      <c r="MI298" s="570">
        <v>3.2004035370174404</v>
      </c>
      <c r="MJ298" s="570">
        <v>1.902132734261996</v>
      </c>
      <c r="MK298" s="570">
        <v>190.22185100421538</v>
      </c>
      <c r="ML298" s="570">
        <v>48.703826724000002</v>
      </c>
      <c r="MM298" s="570">
        <v>2.6705279776650661</v>
      </c>
      <c r="MN298" s="570">
        <v>72.294500271999993</v>
      </c>
      <c r="MO298" s="570">
        <v>1.5790145249999998</v>
      </c>
      <c r="MP298" s="570">
        <v>46.466239377000001</v>
      </c>
      <c r="MQ298" s="570">
        <v>0.29512803600000004</v>
      </c>
      <c r="MR298" s="570">
        <v>0.43907436799999999</v>
      </c>
      <c r="MS298" s="570">
        <v>23.515043965999997</v>
      </c>
      <c r="MT298" s="570">
        <v>0</v>
      </c>
      <c r="MU298" s="570">
        <v>22.905790736147576</v>
      </c>
      <c r="MV298" s="570">
        <v>16.597465256147572</v>
      </c>
      <c r="MW298" s="570">
        <v>6.3083254800000006</v>
      </c>
      <c r="MX298" s="570">
        <v>426.82557475567069</v>
      </c>
      <c r="MY298" s="570">
        <v>427.3326219426707</v>
      </c>
      <c r="MZ298" s="570">
        <v>333.95196708989806</v>
      </c>
      <c r="NA298" s="570">
        <v>187.21656192500001</v>
      </c>
      <c r="NB298" s="570">
        <v>25.535860954</v>
      </c>
      <c r="NC298" s="570">
        <v>12.241571949498034</v>
      </c>
      <c r="ND298" s="570">
        <v>7.8814572099999998</v>
      </c>
      <c r="NE298" s="570">
        <v>4.3601147394980346</v>
      </c>
      <c r="NF298" s="570">
        <v>108.9579722614</v>
      </c>
      <c r="NG298" s="570">
        <v>2.5167083888000001</v>
      </c>
      <c r="NH298" s="570">
        <v>38.523457163000003</v>
      </c>
      <c r="NI298" s="570">
        <v>0</v>
      </c>
      <c r="NJ298" s="570">
        <v>0</v>
      </c>
      <c r="NK298" s="570">
        <v>93.380654852772636</v>
      </c>
      <c r="NL298" s="570">
        <v>63.928058909000001</v>
      </c>
      <c r="NM298" s="570">
        <v>0</v>
      </c>
      <c r="NN298" s="570">
        <v>29.452595943772643</v>
      </c>
      <c r="NO298" s="570">
        <v>-0.50704718699999796</v>
      </c>
      <c r="NP298" s="570">
        <v>4.36714289147681</v>
      </c>
      <c r="NQ298" s="570">
        <v>-18.538647844670741</v>
      </c>
      <c r="NR298" s="570">
        <v>23.155520048599929</v>
      </c>
      <c r="NS298" s="570">
        <v>10.913948099101885</v>
      </c>
      <c r="NT298" s="570">
        <v>-77.117212631523145</v>
      </c>
      <c r="NU298" s="570">
        <v>-100.0230033676707</v>
      </c>
      <c r="NV298" s="570">
        <v>79.067718915531657</v>
      </c>
      <c r="NW298" s="570">
        <v>11.197488659531652</v>
      </c>
      <c r="NX298" s="570">
        <v>20.889261193625071</v>
      </c>
      <c r="NY298" s="570">
        <v>-9.6917725340934187</v>
      </c>
      <c r="NZ298" s="570">
        <v>0</v>
      </c>
      <c r="OA298" s="570">
        <v>67.870230255999999</v>
      </c>
      <c r="OB298" s="570">
        <v>46.762423887999994</v>
      </c>
      <c r="OC298" s="570">
        <v>21.107806368000006</v>
      </c>
      <c r="OD298" s="734">
        <v>-1.9505062840085068</v>
      </c>
      <c r="OE298" s="29">
        <v>231</v>
      </c>
      <c r="OF298" s="1504">
        <v>43525</v>
      </c>
      <c r="OG298" s="19"/>
      <c r="OH298" s="93">
        <v>596.91050461700002</v>
      </c>
      <c r="OI298" s="93">
        <v>1835.5257073700002</v>
      </c>
      <c r="OJ298" s="93">
        <v>0.30471630100000002</v>
      </c>
      <c r="OK298" s="93">
        <v>1603.8090000000002</v>
      </c>
      <c r="OL298" s="93">
        <v>231.41199106899998</v>
      </c>
      <c r="OM298" s="93">
        <v>2432.4362119870002</v>
      </c>
      <c r="ON298" s="93">
        <v>1473.0801083189999</v>
      </c>
      <c r="OO298" s="93">
        <v>3905.5163203060001</v>
      </c>
      <c r="OP298" s="93"/>
      <c r="OQ298" s="93">
        <v>1512.5554275150002</v>
      </c>
      <c r="OR298" s="93">
        <v>259.85342751500013</v>
      </c>
      <c r="OS298" s="93">
        <v>1252.702</v>
      </c>
      <c r="OT298" s="93">
        <v>2805.8215981940002</v>
      </c>
      <c r="OU298" s="93">
        <v>90.646441041999964</v>
      </c>
      <c r="OV298" s="93">
        <v>-27.083558958000005</v>
      </c>
      <c r="OW298" s="93">
        <v>117.72999999999996</v>
      </c>
      <c r="OX298" s="93">
        <v>2715.1751571520003</v>
      </c>
      <c r="OY298" s="93">
        <v>6.5231571519999996</v>
      </c>
      <c r="OZ298" s="93">
        <v>2708.6520000000005</v>
      </c>
      <c r="PA298" s="93">
        <v>649.07341690999999</v>
      </c>
      <c r="PB298" s="93">
        <v>-236.21271150700005</v>
      </c>
      <c r="PC298" s="20">
        <v>3905.5163203060001</v>
      </c>
      <c r="PD298" s="29">
        <v>231</v>
      </c>
      <c r="PE298" s="19"/>
      <c r="PF298" s="93">
        <v>259.85342751500013</v>
      </c>
      <c r="PG298" s="93">
        <v>1062.9453454300001</v>
      </c>
      <c r="PH298" s="93">
        <v>803.09191791499995</v>
      </c>
      <c r="PI298" s="93">
        <v>690.75300000000004</v>
      </c>
      <c r="PJ298" s="93">
        <v>-21.479845690000005</v>
      </c>
      <c r="PK298" s="93">
        <v>123.933087284</v>
      </c>
      <c r="PL298" s="93">
        <v>145.412932974</v>
      </c>
      <c r="PM298" s="93">
        <v>6.5231571519999996</v>
      </c>
      <c r="PN298" s="93">
        <v>2.2959999999999998</v>
      </c>
      <c r="PO298" s="93">
        <v>0</v>
      </c>
      <c r="PP298" s="93">
        <v>0</v>
      </c>
      <c r="PQ298" s="93">
        <v>4.2271571520000002</v>
      </c>
      <c r="PR298" s="93">
        <v>921.12590065399991</v>
      </c>
      <c r="PS298" s="93">
        <v>672.12421788500001</v>
      </c>
      <c r="PT298" s="93">
        <v>248.36385814900001</v>
      </c>
      <c r="PU298" s="93">
        <v>0.63782461999999995</v>
      </c>
      <c r="PV298" s="93">
        <v>0</v>
      </c>
      <c r="PW298" s="93">
        <v>6.8375867069999998</v>
      </c>
      <c r="PX298" s="93">
        <v>0</v>
      </c>
      <c r="PY298" s="93">
        <v>0</v>
      </c>
      <c r="PZ298" s="93">
        <v>6.8375867069999998</v>
      </c>
      <c r="QA298" s="93">
        <v>0</v>
      </c>
      <c r="QB298" s="93">
        <v>0</v>
      </c>
      <c r="QC298" s="93">
        <v>0</v>
      </c>
      <c r="QD298" s="93">
        <v>6.174830203</v>
      </c>
      <c r="QE298" s="20">
        <v>1.5114214129999861</v>
      </c>
      <c r="QF298" s="1739">
        <v>231</v>
      </c>
      <c r="QG298" s="19"/>
      <c r="QH298" s="1035">
        <v>1252.702</v>
      </c>
      <c r="QI298" s="1035">
        <v>1569.55</v>
      </c>
      <c r="QJ298" s="1035">
        <v>-316.84799999999996</v>
      </c>
      <c r="QK298" s="1035">
        <v>343.19300000000004</v>
      </c>
      <c r="QL298" s="1035">
        <v>69.61</v>
      </c>
      <c r="QM298" s="1035">
        <v>273.58300000000003</v>
      </c>
      <c r="QN298" s="1035">
        <v>0</v>
      </c>
      <c r="QO298" s="1035">
        <v>117.72999999999996</v>
      </c>
      <c r="QP298" s="1035">
        <v>472.54499999999996</v>
      </c>
      <c r="QQ298" s="1035">
        <v>-354.815</v>
      </c>
      <c r="QR298" s="1035">
        <v>2708.6520000000005</v>
      </c>
      <c r="QS298" s="1035">
        <v>12.387</v>
      </c>
      <c r="QT298" s="1035">
        <v>15.166</v>
      </c>
      <c r="QU298" s="1035">
        <v>255.70899999999997</v>
      </c>
      <c r="QV298" s="1035">
        <v>2425.3900000000003</v>
      </c>
      <c r="QW298" s="93"/>
      <c r="QX298" s="93">
        <v>599.11699999999996</v>
      </c>
      <c r="QY298" s="93">
        <v>1603.809</v>
      </c>
      <c r="QZ298" s="93">
        <v>1472.7470000000001</v>
      </c>
      <c r="RA298" s="93">
        <v>0</v>
      </c>
      <c r="RB298" s="93">
        <v>143.583</v>
      </c>
      <c r="RC298" s="93">
        <v>0</v>
      </c>
      <c r="RD298" s="93">
        <v>22.567</v>
      </c>
      <c r="RE298" s="93">
        <v>0</v>
      </c>
      <c r="RF298" s="93">
        <v>0</v>
      </c>
      <c r="RG298" s="93">
        <v>469.911</v>
      </c>
      <c r="RH298" s="93">
        <v>110.54300000000003</v>
      </c>
      <c r="RI298" s="93"/>
      <c r="RJ298" s="93"/>
      <c r="RK298" s="93"/>
      <c r="RL298" s="93"/>
      <c r="RM298" s="734"/>
      <c r="RN298" s="29">
        <v>231</v>
      </c>
      <c r="RO298" s="1532">
        <v>75</v>
      </c>
      <c r="RP298" s="20">
        <v>1566</v>
      </c>
      <c r="RQ298" s="29">
        <v>231</v>
      </c>
      <c r="RR298" s="734">
        <v>4.5619985100000005</v>
      </c>
      <c r="RS298" s="29">
        <v>231</v>
      </c>
      <c r="RT298" s="1504">
        <v>43525</v>
      </c>
      <c r="RU298" s="1532">
        <v>976</v>
      </c>
      <c r="RV298" s="20">
        <v>20</v>
      </c>
      <c r="RW298" s="29">
        <v>231</v>
      </c>
      <c r="RX298" s="1504">
        <v>43525</v>
      </c>
      <c r="RY298" s="29"/>
      <c r="RZ298" s="734"/>
      <c r="SA298" s="29"/>
      <c r="SB298" s="29">
        <v>231</v>
      </c>
    </row>
    <row r="299" spans="1:496">
      <c r="A299" s="41">
        <f t="shared" si="238"/>
        <v>2019</v>
      </c>
      <c r="B299" s="1504">
        <v>43556</v>
      </c>
      <c r="C299" s="1813">
        <v>1021</v>
      </c>
      <c r="D299" s="1814">
        <v>20272</v>
      </c>
      <c r="E299" s="1814">
        <v>70</v>
      </c>
      <c r="F299" s="1815">
        <v>216</v>
      </c>
      <c r="G299" s="1814">
        <v>74959</v>
      </c>
      <c r="H299" s="1814">
        <v>16</v>
      </c>
      <c r="I299" s="1814">
        <v>21530</v>
      </c>
      <c r="J299" s="1816">
        <v>16823</v>
      </c>
      <c r="K299" s="1807">
        <v>134907</v>
      </c>
      <c r="L299" s="25">
        <v>232</v>
      </c>
      <c r="M299" s="97"/>
      <c r="N299" s="1504">
        <v>43556</v>
      </c>
      <c r="O299" s="19">
        <v>876</v>
      </c>
      <c r="P299" s="93">
        <v>505</v>
      </c>
      <c r="Q299" s="93">
        <v>11860</v>
      </c>
      <c r="R299" s="93">
        <v>975</v>
      </c>
      <c r="S299" s="93">
        <v>515</v>
      </c>
      <c r="T299" s="93">
        <v>1003</v>
      </c>
      <c r="U299" s="93">
        <v>317</v>
      </c>
      <c r="V299" s="93">
        <v>1624</v>
      </c>
      <c r="W299" s="93">
        <v>406</v>
      </c>
      <c r="X299" s="93">
        <v>404</v>
      </c>
      <c r="Y299" s="93">
        <v>351</v>
      </c>
      <c r="Z299" s="99">
        <v>1250</v>
      </c>
      <c r="AA299" s="93">
        <v>186</v>
      </c>
      <c r="AB299" s="20">
        <v>20272</v>
      </c>
      <c r="AC299" s="25">
        <v>232</v>
      </c>
      <c r="AD299" s="97"/>
      <c r="AE299" s="1504">
        <v>43556</v>
      </c>
      <c r="AF299" s="19">
        <v>1988</v>
      </c>
      <c r="AG299" s="93">
        <v>920</v>
      </c>
      <c r="AH299" s="93">
        <v>710</v>
      </c>
      <c r="AI299" s="93">
        <v>273</v>
      </c>
      <c r="AJ299" s="93">
        <v>2903</v>
      </c>
      <c r="AK299" s="93">
        <v>1739</v>
      </c>
      <c r="AL299" s="93">
        <v>328</v>
      </c>
      <c r="AM299" s="93">
        <v>607</v>
      </c>
      <c r="AN299" s="93">
        <v>2305</v>
      </c>
      <c r="AO299" s="93">
        <v>1251</v>
      </c>
      <c r="AP299" s="93">
        <v>4165</v>
      </c>
      <c r="AQ299" s="93">
        <v>1355</v>
      </c>
      <c r="AR299" s="93">
        <v>507</v>
      </c>
      <c r="AS299" s="20">
        <v>19051</v>
      </c>
      <c r="AT299" s="25">
        <v>232</v>
      </c>
      <c r="AU299" s="97"/>
      <c r="AV299" s="1504">
        <v>43556</v>
      </c>
      <c r="AW299" s="19">
        <v>10586</v>
      </c>
      <c r="AX299" s="93">
        <v>2024</v>
      </c>
      <c r="AY299" s="93">
        <v>3344</v>
      </c>
      <c r="AZ299" s="93">
        <v>5729</v>
      </c>
      <c r="BA299" s="93">
        <v>7145</v>
      </c>
      <c r="BB299" s="93">
        <v>6139</v>
      </c>
      <c r="BC299" s="93">
        <v>3060</v>
      </c>
      <c r="BD299" s="93">
        <v>12742</v>
      </c>
      <c r="BE299" s="93">
        <v>3728</v>
      </c>
      <c r="BF299" s="93">
        <v>4257</v>
      </c>
      <c r="BG299" s="93">
        <v>3146</v>
      </c>
      <c r="BH299" s="93">
        <v>8817</v>
      </c>
      <c r="BI299" s="93">
        <v>4242</v>
      </c>
      <c r="BJ299" s="20">
        <v>74959</v>
      </c>
      <c r="BK299" s="25">
        <v>232</v>
      </c>
      <c r="BL299" s="97"/>
      <c r="BM299" s="1504">
        <v>43556</v>
      </c>
      <c r="BN299" s="19">
        <v>56.661000000000001</v>
      </c>
      <c r="BO299" s="93">
        <v>2499.8989999999985</v>
      </c>
      <c r="BP299" s="93">
        <v>15.935999999999998</v>
      </c>
      <c r="BQ299" s="93">
        <v>605.48800000000006</v>
      </c>
      <c r="BR299" s="93">
        <v>2.448</v>
      </c>
      <c r="BS299" s="93">
        <v>200.30399999999997</v>
      </c>
      <c r="BT299" s="93">
        <v>412.32</v>
      </c>
      <c r="BU299" s="132">
        <v>3793.0559999999987</v>
      </c>
      <c r="BV299" s="25">
        <v>232</v>
      </c>
      <c r="BW299" s="97"/>
      <c r="BX299" s="1504">
        <v>43556</v>
      </c>
      <c r="BY299" s="179">
        <v>583.6964614151309</v>
      </c>
      <c r="BZ299" s="99">
        <v>664.95699999999999</v>
      </c>
      <c r="CA299" s="99">
        <v>579.51900000000001</v>
      </c>
      <c r="CB299" s="99">
        <v>42.243094554417709</v>
      </c>
      <c r="CC299" s="99">
        <v>114.742</v>
      </c>
      <c r="CD299" s="25">
        <v>232</v>
      </c>
      <c r="CE299" s="97"/>
      <c r="CF299" s="1504">
        <v>43556</v>
      </c>
      <c r="CG299" s="1508">
        <v>1.92353095</v>
      </c>
      <c r="CH299" s="568">
        <v>1285.9100000000001</v>
      </c>
      <c r="CI299" s="1708">
        <v>68.576666666666696</v>
      </c>
      <c r="CJ299" s="1509">
        <v>71.2</v>
      </c>
      <c r="CK299" s="1508">
        <v>391.3</v>
      </c>
      <c r="CL299" s="568">
        <v>161.48753600000001</v>
      </c>
      <c r="CM299" s="568">
        <v>0.28241182199999998</v>
      </c>
      <c r="CN299" s="568">
        <v>0.36708609599999997</v>
      </c>
      <c r="CO299" s="568">
        <v>199.51812810000001</v>
      </c>
      <c r="CP299" s="1509">
        <v>4.6989270679999997</v>
      </c>
      <c r="CQ299" s="1708">
        <v>1377.61</v>
      </c>
      <c r="CR299" s="568">
        <v>2.2559999999999998</v>
      </c>
      <c r="CS299" s="568">
        <v>1.7165999999999999</v>
      </c>
      <c r="CT299" s="568">
        <v>97.5</v>
      </c>
      <c r="CU299" s="568">
        <v>93.7</v>
      </c>
      <c r="CV299" s="1709">
        <v>2932.65</v>
      </c>
      <c r="CW299" s="29">
        <v>232</v>
      </c>
      <c r="CX299" s="41">
        <f t="shared" si="239"/>
        <v>2019</v>
      </c>
      <c r="CY299" s="1504">
        <v>43556</v>
      </c>
      <c r="CZ299" s="733">
        <v>151.5512349</v>
      </c>
      <c r="DA299" s="570">
        <v>83.401854900000004</v>
      </c>
      <c r="DB299" s="570">
        <v>53.382389000000003</v>
      </c>
      <c r="DC299" s="93"/>
      <c r="DD299" s="93"/>
      <c r="DE299" s="20"/>
      <c r="DF299" s="29">
        <v>232</v>
      </c>
      <c r="DG299" s="1504">
        <v>43556</v>
      </c>
      <c r="DH299" s="181">
        <v>409989</v>
      </c>
      <c r="DI299" s="182">
        <v>4966317</v>
      </c>
      <c r="DJ299" s="182">
        <v>285876</v>
      </c>
      <c r="DK299" s="182">
        <v>19026</v>
      </c>
      <c r="DL299" s="182">
        <v>526894</v>
      </c>
      <c r="DM299" s="182">
        <v>7157</v>
      </c>
      <c r="DN299" s="290">
        <v>1829722</v>
      </c>
      <c r="DO299" s="295">
        <f t="shared" si="282"/>
        <v>7634992</v>
      </c>
      <c r="DP299" s="29">
        <v>232</v>
      </c>
      <c r="DQ299" s="1504">
        <v>43556</v>
      </c>
      <c r="DR299" s="19">
        <v>47896</v>
      </c>
      <c r="DS299" s="93">
        <v>1190</v>
      </c>
      <c r="DT299" s="93">
        <v>62514</v>
      </c>
      <c r="DU299" s="93">
        <v>4811</v>
      </c>
      <c r="DV299" s="93">
        <v>22463</v>
      </c>
      <c r="DW299" s="93">
        <v>2709</v>
      </c>
      <c r="DX299" s="20">
        <v>6979.6040000000003</v>
      </c>
      <c r="DY299" s="29">
        <v>232</v>
      </c>
      <c r="DZ299" s="1504">
        <v>43556</v>
      </c>
      <c r="EA299" s="19"/>
      <c r="EB299" s="93"/>
      <c r="EC299" s="20"/>
      <c r="ED299" s="29"/>
      <c r="EE299" s="1504">
        <v>43556</v>
      </c>
      <c r="EF299" s="1532">
        <v>18795</v>
      </c>
      <c r="EG299" s="1533">
        <v>20199</v>
      </c>
      <c r="EH299" s="1533">
        <v>38994</v>
      </c>
      <c r="EI299" s="1535">
        <v>8437</v>
      </c>
      <c r="EJ299" s="1536">
        <v>704.34400000000005</v>
      </c>
      <c r="EK299" s="1536">
        <v>181.87299999999999</v>
      </c>
      <c r="EL299" s="1536">
        <v>8.2560000000000002</v>
      </c>
      <c r="EM299" s="1536">
        <v>8.6940000000000008</v>
      </c>
      <c r="EN299" s="1537">
        <v>903.16700000000003</v>
      </c>
      <c r="EO299" s="29">
        <v>232</v>
      </c>
      <c r="EP299" s="1504">
        <v>43556</v>
      </c>
      <c r="EQ299" s="1532">
        <v>17340</v>
      </c>
      <c r="ER299" s="1533">
        <v>18722</v>
      </c>
      <c r="ES299" s="1533">
        <v>36062</v>
      </c>
      <c r="ET299" s="1535">
        <v>7468</v>
      </c>
      <c r="EU299" s="1536">
        <v>704.34400000000005</v>
      </c>
      <c r="EV299" s="1536">
        <v>181.87299999999999</v>
      </c>
      <c r="EW299" s="1536">
        <v>8.2560000000000002</v>
      </c>
      <c r="EX299" s="1536">
        <v>8.6940000000000008</v>
      </c>
      <c r="EY299" s="1537">
        <v>903.16700000000003</v>
      </c>
      <c r="EZ299" s="29">
        <v>232</v>
      </c>
      <c r="FA299" s="1504">
        <v>43556</v>
      </c>
      <c r="FB299" s="1538">
        <v>1455</v>
      </c>
      <c r="FC299" s="1538">
        <v>1477</v>
      </c>
      <c r="FD299" s="1538">
        <v>2932</v>
      </c>
      <c r="FE299" s="1538">
        <v>969</v>
      </c>
      <c r="FF299" s="1538">
        <v>0</v>
      </c>
      <c r="FG299" s="1538">
        <v>0</v>
      </c>
      <c r="FH299" s="1538">
        <v>0</v>
      </c>
      <c r="FI299" s="1538">
        <v>0</v>
      </c>
      <c r="FJ299" s="1538">
        <v>0</v>
      </c>
      <c r="FK299" s="29">
        <v>232</v>
      </c>
      <c r="FL299" s="1504">
        <v>43556</v>
      </c>
      <c r="FM299" s="179">
        <v>102.76</v>
      </c>
      <c r="FN299" s="99">
        <v>102.93</v>
      </c>
      <c r="FO299" s="99">
        <v>134.85</v>
      </c>
      <c r="FP299" s="99">
        <v>101.18</v>
      </c>
      <c r="FQ299" s="99">
        <v>98.37</v>
      </c>
      <c r="FR299" s="99">
        <v>101.16</v>
      </c>
      <c r="FS299" s="99">
        <v>100.44</v>
      </c>
      <c r="FT299" s="99">
        <v>99.35</v>
      </c>
      <c r="FU299" s="99">
        <v>98.44</v>
      </c>
      <c r="FV299" s="99">
        <v>101.19</v>
      </c>
      <c r="FW299" s="99">
        <v>104.6</v>
      </c>
      <c r="FX299" s="99">
        <v>105.34</v>
      </c>
      <c r="FY299" s="99">
        <v>100.58</v>
      </c>
      <c r="FZ299" s="29">
        <v>232</v>
      </c>
      <c r="GA299" s="1504">
        <v>43556</v>
      </c>
      <c r="GB299" s="19">
        <v>102.76</v>
      </c>
      <c r="GC299" s="93">
        <v>102</v>
      </c>
      <c r="GD299" s="93">
        <v>103.57</v>
      </c>
      <c r="GE299" s="93">
        <v>95.46</v>
      </c>
      <c r="GF299" s="93">
        <v>104.58</v>
      </c>
      <c r="GG299" s="99">
        <v>103.22</v>
      </c>
      <c r="GH299" s="93">
        <v>104.73</v>
      </c>
      <c r="GI299" s="93">
        <v>102.11</v>
      </c>
      <c r="GJ299" s="93">
        <v>102.56</v>
      </c>
      <c r="GK299" s="93">
        <v>100.32</v>
      </c>
      <c r="GL299" s="93">
        <v>103.88</v>
      </c>
      <c r="GM299" s="93">
        <v>101.15</v>
      </c>
      <c r="GN299" s="20">
        <v>102.55</v>
      </c>
      <c r="GO299" s="29">
        <v>232</v>
      </c>
      <c r="GP299" s="1504">
        <v>43556</v>
      </c>
      <c r="GQ299" s="19">
        <v>262</v>
      </c>
      <c r="GR299" s="93">
        <v>240</v>
      </c>
      <c r="GS299" s="93">
        <v>235</v>
      </c>
      <c r="GT299" s="93">
        <v>186</v>
      </c>
      <c r="GU299" s="93">
        <v>390</v>
      </c>
      <c r="GV299" s="20">
        <v>1003</v>
      </c>
      <c r="GW299" s="19"/>
      <c r="GX299" s="93"/>
      <c r="GY299" s="93"/>
      <c r="GZ299" s="93"/>
      <c r="HA299" s="93"/>
      <c r="HB299" s="20"/>
      <c r="HC299" s="19">
        <v>1970</v>
      </c>
      <c r="HD299" s="93">
        <v>2261</v>
      </c>
      <c r="HE299" s="93">
        <v>2404</v>
      </c>
      <c r="HF299" s="93">
        <v>3150</v>
      </c>
      <c r="HG299" s="93">
        <v>2686</v>
      </c>
      <c r="HH299" s="20">
        <v>2794</v>
      </c>
      <c r="HI299" s="19"/>
      <c r="HJ299" s="93">
        <v>891</v>
      </c>
      <c r="HK299" s="93">
        <v>1718</v>
      </c>
      <c r="HL299" s="93">
        <v>873</v>
      </c>
      <c r="HM299" s="93">
        <v>900</v>
      </c>
      <c r="HN299" s="20"/>
      <c r="HO299" s="219"/>
      <c r="HP299" s="20"/>
      <c r="HQ299" s="25"/>
      <c r="HR299" s="29">
        <v>232</v>
      </c>
      <c r="HS299" s="1504">
        <v>43556</v>
      </c>
      <c r="HT299" s="179">
        <v>207.75782775878901</v>
      </c>
      <c r="HU299" s="99">
        <v>250</v>
      </c>
      <c r="HV299" s="99">
        <v>189.87341308593801</v>
      </c>
      <c r="HW299" s="99">
        <v>140</v>
      </c>
      <c r="HX299" s="99">
        <v>183.33332824707</v>
      </c>
      <c r="HY299" s="99">
        <v>222.222221374512</v>
      </c>
      <c r="HZ299" s="99">
        <v>222.17889404296901</v>
      </c>
      <c r="IA299" s="132">
        <v>162.99020004272501</v>
      </c>
      <c r="IB299" s="179">
        <v>159.70418548583999</v>
      </c>
      <c r="IC299" s="99">
        <v>86.436168670654297</v>
      </c>
      <c r="ID299" s="99">
        <v>114.583332061768</v>
      </c>
      <c r="IE299" s="99">
        <v>93.167701721191406</v>
      </c>
      <c r="IF299" s="99">
        <v>166.33663940429699</v>
      </c>
      <c r="IG299" s="132">
        <v>84.989884948730506</v>
      </c>
      <c r="IH299" s="179">
        <v>140.87301635742199</v>
      </c>
      <c r="II299" s="99">
        <v>214.69432067871099</v>
      </c>
      <c r="IJ299" s="99">
        <v>168.91891479492199</v>
      </c>
      <c r="IK299" s="99">
        <v>142.85714721679699</v>
      </c>
      <c r="IL299" s="99">
        <v>138.88888549804699</v>
      </c>
      <c r="IM299" s="99">
        <v>135.887104034424</v>
      </c>
      <c r="IN299" s="93">
        <v>159.01060485839801</v>
      </c>
      <c r="IO299" s="132">
        <v>156.03807067871099</v>
      </c>
      <c r="IP299" s="29">
        <v>232</v>
      </c>
      <c r="IQ299" s="19">
        <v>159.70418548583999</v>
      </c>
      <c r="IR299" s="93">
        <v>86.436168670654297</v>
      </c>
      <c r="IS299" s="93">
        <v>114.583332061768</v>
      </c>
      <c r="IT299" s="93">
        <v>93.167701721191406</v>
      </c>
      <c r="IU299" s="93">
        <v>166.33663940429699</v>
      </c>
      <c r="IV299" s="20">
        <v>84.989884948730506</v>
      </c>
      <c r="IW299" s="29">
        <v>232</v>
      </c>
      <c r="IX299" s="19"/>
      <c r="IY299" s="93">
        <v>365.67539978027298</v>
      </c>
      <c r="IZ299" s="93"/>
      <c r="JA299" s="93">
        <v>375</v>
      </c>
      <c r="JB299" s="93">
        <v>380</v>
      </c>
      <c r="JC299" s="93"/>
      <c r="JD299" s="93">
        <v>375</v>
      </c>
      <c r="JE299" s="20">
        <v>400</v>
      </c>
      <c r="JF299" s="29">
        <v>232</v>
      </c>
      <c r="JG299" s="19">
        <v>157.80563354492199</v>
      </c>
      <c r="JH299" s="93">
        <v>214.69432067871099</v>
      </c>
      <c r="JI299" s="93">
        <v>160.25640869140599</v>
      </c>
      <c r="JJ299" s="93">
        <v>127.65957641601599</v>
      </c>
      <c r="JK299" s="93">
        <v>168.350173950195</v>
      </c>
      <c r="JL299" s="93">
        <v>182.622505187988</v>
      </c>
      <c r="JM299" s="93">
        <v>138.69070816039999</v>
      </c>
      <c r="JN299" s="20">
        <v>208.88826751708999</v>
      </c>
      <c r="JO299" s="29">
        <v>232</v>
      </c>
      <c r="JP299" s="19">
        <v>183.44709777832</v>
      </c>
      <c r="JQ299" s="93">
        <v>95.915843963623004</v>
      </c>
      <c r="JR299" s="93">
        <v>147.916667938232</v>
      </c>
      <c r="JS299" s="93"/>
      <c r="JT299" s="93">
        <v>183.275308227539</v>
      </c>
      <c r="JU299" s="20">
        <v>95.954116821289105</v>
      </c>
      <c r="JV299" s="29">
        <v>232</v>
      </c>
      <c r="JW299" s="1504">
        <v>43556</v>
      </c>
      <c r="JX299" s="19"/>
      <c r="JY299" s="93">
        <v>300.33333333333331</v>
      </c>
      <c r="JZ299" s="93">
        <v>289.04761904761904</v>
      </c>
      <c r="KA299" s="93">
        <v>247.25</v>
      </c>
      <c r="KB299" s="93">
        <v>237.90540540540542</v>
      </c>
      <c r="KC299" s="93">
        <v>346.25</v>
      </c>
      <c r="KD299" s="20">
        <v>290</v>
      </c>
      <c r="KE299" s="29">
        <v>232</v>
      </c>
      <c r="KF299" s="19"/>
      <c r="KG299" s="93">
        <v>43.8</v>
      </c>
      <c r="KH299" s="93">
        <v>43.15</v>
      </c>
      <c r="KI299" s="93">
        <v>47.875</v>
      </c>
      <c r="KJ299" s="93">
        <v>63.125</v>
      </c>
      <c r="KK299" s="20">
        <v>72.683333333333294</v>
      </c>
      <c r="KL299" s="29">
        <v>232</v>
      </c>
      <c r="KM299" s="19"/>
      <c r="KN299" s="93">
        <v>22.533333333333335</v>
      </c>
      <c r="KO299" s="93">
        <v>32.883333333333333</v>
      </c>
      <c r="KP299" s="93">
        <v>35.140000000000008</v>
      </c>
      <c r="KQ299" s="93">
        <v>31.7291666666667</v>
      </c>
      <c r="KR299" s="20">
        <v>43.804347826086953</v>
      </c>
      <c r="KS299" s="29">
        <v>232</v>
      </c>
      <c r="KT299" s="19"/>
      <c r="KU299" s="93">
        <v>22.533333333333335</v>
      </c>
      <c r="KV299" s="93">
        <v>24.8</v>
      </c>
      <c r="KW299" s="93">
        <v>22.039285714285715</v>
      </c>
      <c r="KX299" s="93">
        <v>24.583333333333332</v>
      </c>
      <c r="KY299" s="20">
        <v>31.212121212121211</v>
      </c>
      <c r="KZ299" s="29">
        <v>232</v>
      </c>
      <c r="LA299" s="1504">
        <v>43556</v>
      </c>
      <c r="LB299" s="19"/>
      <c r="LC299" s="93"/>
      <c r="LD299" s="93"/>
      <c r="LE299" s="93"/>
      <c r="LF299" s="93"/>
      <c r="LG299" s="93"/>
      <c r="LH299" s="20"/>
      <c r="LI299" s="29"/>
      <c r="LJ299" s="19"/>
      <c r="LK299" s="93"/>
      <c r="LL299" s="93"/>
      <c r="LM299" s="93"/>
      <c r="LN299" s="93"/>
      <c r="LO299" s="20"/>
      <c r="LP299" s="29"/>
      <c r="LQ299" s="19"/>
      <c r="LR299" s="93">
        <v>188</v>
      </c>
      <c r="LS299" s="1805">
        <v>463</v>
      </c>
      <c r="LT299" s="1805">
        <v>663</v>
      </c>
      <c r="LU299" s="1805">
        <v>1104</v>
      </c>
      <c r="LV299" s="1805"/>
      <c r="LW299" s="1805">
        <v>5</v>
      </c>
      <c r="LX299" s="1805">
        <v>10</v>
      </c>
      <c r="LY299" s="1805">
        <v>60</v>
      </c>
      <c r="LZ299" s="93"/>
      <c r="MA299" s="20"/>
      <c r="MB299" s="29">
        <v>232</v>
      </c>
      <c r="MC299" s="1504">
        <v>43556</v>
      </c>
      <c r="MD299" s="733">
        <v>666.88227628547077</v>
      </c>
      <c r="ME299" s="570">
        <v>642.56978718039989</v>
      </c>
      <c r="MF299" s="570">
        <v>642.56978718039989</v>
      </c>
      <c r="MG299" s="570">
        <v>472.79046110439992</v>
      </c>
      <c r="MH299" s="570">
        <v>144.55016632084008</v>
      </c>
      <c r="MI299" s="570">
        <v>4.2410670130174406</v>
      </c>
      <c r="MJ299" s="570">
        <v>2.187688029261996</v>
      </c>
      <c r="MK299" s="570">
        <v>251.28856650661541</v>
      </c>
      <c r="ML299" s="570">
        <v>66.999898334999997</v>
      </c>
      <c r="MM299" s="570">
        <v>3.5230748996650663</v>
      </c>
      <c r="MN299" s="570">
        <v>169.77932607600005</v>
      </c>
      <c r="MO299" s="570">
        <v>2.2703068769999999</v>
      </c>
      <c r="MP299" s="570">
        <v>129.84114213900003</v>
      </c>
      <c r="MQ299" s="570">
        <v>0.41886899500000002</v>
      </c>
      <c r="MR299" s="570">
        <v>5.4650378750000002</v>
      </c>
      <c r="MS299" s="570">
        <v>31.783970189999998</v>
      </c>
      <c r="MT299" s="570">
        <v>0</v>
      </c>
      <c r="MU299" s="570">
        <v>24.312489105070814</v>
      </c>
      <c r="MV299" s="570">
        <v>18.004163625070813</v>
      </c>
      <c r="MW299" s="570">
        <v>6.3083254800000006</v>
      </c>
      <c r="MX299" s="570">
        <v>598.39994996038774</v>
      </c>
      <c r="MY299" s="570">
        <v>600.78797040738777</v>
      </c>
      <c r="MZ299" s="570">
        <v>475.8641222388124</v>
      </c>
      <c r="NA299" s="570">
        <v>270.44259993733334</v>
      </c>
      <c r="NB299" s="570">
        <v>37.951082782</v>
      </c>
      <c r="NC299" s="570">
        <v>19.53887803207903</v>
      </c>
      <c r="ND299" s="570">
        <v>12.397032033</v>
      </c>
      <c r="NE299" s="570">
        <v>7.1418459990790302</v>
      </c>
      <c r="NF299" s="570">
        <v>147.93156148739999</v>
      </c>
      <c r="NG299" s="570">
        <v>3.4089343587999998</v>
      </c>
      <c r="NH299" s="570">
        <v>41.22296849</v>
      </c>
      <c r="NI299" s="570">
        <v>0</v>
      </c>
      <c r="NJ299" s="570">
        <v>0</v>
      </c>
      <c r="NK299" s="570">
        <v>124.92384816857539</v>
      </c>
      <c r="NL299" s="570">
        <v>87.269663566999995</v>
      </c>
      <c r="NM299" s="570">
        <v>0</v>
      </c>
      <c r="NN299" s="570">
        <v>37.654184601575388</v>
      </c>
      <c r="NO299" s="570">
        <v>-2.3880204469999979</v>
      </c>
      <c r="NP299" s="570">
        <v>68.482326325082951</v>
      </c>
      <c r="NQ299" s="570">
        <v>44.169837220012155</v>
      </c>
      <c r="NR299" s="570">
        <v>101.36289985366658</v>
      </c>
      <c r="NS299" s="570">
        <v>81.82402182158755</v>
      </c>
      <c r="NT299" s="570">
        <v>-0.97428404491700227</v>
      </c>
      <c r="NU299" s="570">
        <v>-25.286773149987802</v>
      </c>
      <c r="NV299" s="570">
        <v>1.352810923030749</v>
      </c>
      <c r="NW299" s="570">
        <v>13.06455719603073</v>
      </c>
      <c r="NX299" s="570">
        <v>27.684151482504578</v>
      </c>
      <c r="NY299" s="570">
        <v>-14.619594286473852</v>
      </c>
      <c r="NZ299" s="570">
        <v>0</v>
      </c>
      <c r="OA299" s="570">
        <v>-11.711746272999987</v>
      </c>
      <c r="OB299" s="570">
        <v>-66.564164897999987</v>
      </c>
      <c r="OC299" s="570">
        <v>54.852418624999999</v>
      </c>
      <c r="OD299" s="734">
        <v>-0.37852687811375035</v>
      </c>
      <c r="OE299" s="29">
        <v>232</v>
      </c>
      <c r="OF299" s="1504">
        <v>43556</v>
      </c>
      <c r="OG299" s="19"/>
      <c r="OH299" s="93">
        <v>593.0085980918933</v>
      </c>
      <c r="OI299" s="93">
        <v>1670.6116563099997</v>
      </c>
      <c r="OJ299" s="93">
        <v>0.26366524099999999</v>
      </c>
      <c r="OK299" s="93">
        <v>1438.9359999999999</v>
      </c>
      <c r="OL299" s="93">
        <v>231.41199106899998</v>
      </c>
      <c r="OM299" s="93">
        <v>2263.6202544018929</v>
      </c>
      <c r="ON299" s="93">
        <v>1506.607108319</v>
      </c>
      <c r="OO299" s="93">
        <v>3770.2273627208929</v>
      </c>
      <c r="OP299" s="93"/>
      <c r="OQ299" s="93">
        <v>1526.3659831088935</v>
      </c>
      <c r="OR299" s="93">
        <v>384.95398310889334</v>
      </c>
      <c r="OS299" s="93">
        <v>1141.4120000000003</v>
      </c>
      <c r="OT299" s="93">
        <v>2671.202181959</v>
      </c>
      <c r="OU299" s="93">
        <v>-38.758282999000016</v>
      </c>
      <c r="OV299" s="93">
        <v>-143.96928299900003</v>
      </c>
      <c r="OW299" s="93">
        <v>105.21100000000001</v>
      </c>
      <c r="OX299" s="93">
        <v>2709.9604649580001</v>
      </c>
      <c r="OY299" s="93">
        <v>6.9714649580000003</v>
      </c>
      <c r="OZ299" s="93">
        <v>2702.989</v>
      </c>
      <c r="PA299" s="93">
        <v>629.90006438699993</v>
      </c>
      <c r="PB299" s="93">
        <v>-202.55926204000002</v>
      </c>
      <c r="PC299" s="20">
        <v>3770.2273627208933</v>
      </c>
      <c r="PD299" s="29">
        <v>232</v>
      </c>
      <c r="PE299" s="19"/>
      <c r="PF299" s="93">
        <v>384.95398310889334</v>
      </c>
      <c r="PG299" s="93">
        <v>1099.5118528728933</v>
      </c>
      <c r="PH299" s="93">
        <v>714.55786976399997</v>
      </c>
      <c r="PI299" s="93">
        <v>611.65</v>
      </c>
      <c r="PJ299" s="93">
        <v>-134.40506190600001</v>
      </c>
      <c r="PK299" s="93">
        <v>123.957691497</v>
      </c>
      <c r="PL299" s="93">
        <v>258.362753403</v>
      </c>
      <c r="PM299" s="93">
        <v>6.9714649580000003</v>
      </c>
      <c r="PN299" s="93">
        <v>2.6560000000000001</v>
      </c>
      <c r="PO299" s="93">
        <v>0</v>
      </c>
      <c r="PP299" s="93">
        <v>0</v>
      </c>
      <c r="PQ299" s="93">
        <v>4.3154649580000006</v>
      </c>
      <c r="PR299" s="93">
        <v>858.14583255189325</v>
      </c>
      <c r="PS299" s="93">
        <v>671.28481918489331</v>
      </c>
      <c r="PT299" s="93">
        <v>186.264239807</v>
      </c>
      <c r="PU299" s="93">
        <v>0.59677355999999993</v>
      </c>
      <c r="PV299" s="93">
        <v>0</v>
      </c>
      <c r="PW299" s="93">
        <v>1.1482879079999999</v>
      </c>
      <c r="PX299" s="93">
        <v>0</v>
      </c>
      <c r="PY299" s="93">
        <v>0</v>
      </c>
      <c r="PZ299" s="93">
        <v>1.1482879079999999</v>
      </c>
      <c r="QA299" s="93">
        <v>0</v>
      </c>
      <c r="QB299" s="93">
        <v>0</v>
      </c>
      <c r="QC299" s="93">
        <v>0</v>
      </c>
      <c r="QD299" s="93">
        <v>8.0577764789999993</v>
      </c>
      <c r="QE299" s="20">
        <v>1.8184892219999989</v>
      </c>
      <c r="QF299" s="1739">
        <v>232</v>
      </c>
      <c r="QG299" s="19"/>
      <c r="QH299" s="1035">
        <v>1141.4120000000003</v>
      </c>
      <c r="QI299" s="1035">
        <v>1524.2790000000002</v>
      </c>
      <c r="QJ299" s="1035">
        <v>-382.86700000000002</v>
      </c>
      <c r="QK299" s="1035">
        <v>243.70799999999997</v>
      </c>
      <c r="QL299" s="1035">
        <v>68.712000000000003</v>
      </c>
      <c r="QM299" s="1035">
        <v>174.99599999999998</v>
      </c>
      <c r="QN299" s="1035">
        <v>0</v>
      </c>
      <c r="QO299" s="1035">
        <v>105.21100000000001</v>
      </c>
      <c r="QP299" s="1035">
        <v>463.86399999999998</v>
      </c>
      <c r="QQ299" s="1035">
        <v>-358.65299999999996</v>
      </c>
      <c r="QR299" s="1035">
        <v>2702.989</v>
      </c>
      <c r="QS299" s="1035">
        <v>20.545000000000002</v>
      </c>
      <c r="QT299" s="1035">
        <v>22.473999999999997</v>
      </c>
      <c r="QU299" s="1035">
        <v>239.29300000000001</v>
      </c>
      <c r="QV299" s="1035">
        <v>2420.6770000000001</v>
      </c>
      <c r="QW299" s="93"/>
      <c r="QX299" s="93">
        <v>529.95799999999997</v>
      </c>
      <c r="QY299" s="93">
        <v>1438.9359999999999</v>
      </c>
      <c r="QZ299" s="93">
        <v>1506.2739999999999</v>
      </c>
      <c r="RA299" s="93">
        <v>0</v>
      </c>
      <c r="RB299" s="93">
        <v>141.32600000000002</v>
      </c>
      <c r="RC299" s="93">
        <v>0</v>
      </c>
      <c r="RD299" s="93">
        <v>32.005000000000003</v>
      </c>
      <c r="RE299" s="93">
        <v>0</v>
      </c>
      <c r="RF299" s="93">
        <v>0</v>
      </c>
      <c r="RG299" s="93">
        <v>447.363</v>
      </c>
      <c r="RH299" s="93">
        <v>97.45799999999997</v>
      </c>
      <c r="RI299" s="93"/>
      <c r="RJ299" s="93"/>
      <c r="RK299" s="93"/>
      <c r="RL299" s="93"/>
      <c r="RM299" s="734"/>
      <c r="RN299" s="29">
        <v>232</v>
      </c>
      <c r="RO299" s="1532">
        <v>61</v>
      </c>
      <c r="RP299" s="20">
        <v>587</v>
      </c>
      <c r="RQ299" s="29">
        <v>232</v>
      </c>
      <c r="RR299" s="734">
        <v>3.85093408</v>
      </c>
      <c r="RS299" s="29">
        <v>232</v>
      </c>
      <c r="RT299" s="1504">
        <v>43556</v>
      </c>
      <c r="RU299" s="1532">
        <v>783</v>
      </c>
      <c r="RV299" s="20">
        <v>10</v>
      </c>
      <c r="RW299" s="29">
        <v>232</v>
      </c>
      <c r="RX299" s="1504">
        <v>43556</v>
      </c>
      <c r="RY299" s="29"/>
      <c r="RZ299" s="734"/>
      <c r="SA299" s="29"/>
      <c r="SB299" s="29">
        <v>232</v>
      </c>
    </row>
    <row r="300" spans="1:496">
      <c r="A300" s="41">
        <f t="shared" si="238"/>
        <v>2019</v>
      </c>
      <c r="B300" s="1504">
        <v>43586</v>
      </c>
      <c r="C300" s="1813">
        <v>1286</v>
      </c>
      <c r="D300" s="1814">
        <v>18430</v>
      </c>
      <c r="E300" s="1814">
        <v>36</v>
      </c>
      <c r="F300" s="1815">
        <v>245</v>
      </c>
      <c r="G300" s="1814">
        <v>84482</v>
      </c>
      <c r="H300" s="1814">
        <v>12</v>
      </c>
      <c r="I300" s="1814">
        <v>25474</v>
      </c>
      <c r="J300" s="1816">
        <v>20682</v>
      </c>
      <c r="K300" s="1807">
        <v>150647</v>
      </c>
      <c r="L300" s="25">
        <v>233</v>
      </c>
      <c r="M300" s="97"/>
      <c r="N300" s="1504">
        <v>43586</v>
      </c>
      <c r="O300" s="19">
        <v>322</v>
      </c>
      <c r="P300" s="93">
        <v>438</v>
      </c>
      <c r="Q300" s="93">
        <v>7655</v>
      </c>
      <c r="R300" s="93">
        <v>1854</v>
      </c>
      <c r="S300" s="93">
        <v>637</v>
      </c>
      <c r="T300" s="93">
        <v>824</v>
      </c>
      <c r="U300" s="93">
        <v>199</v>
      </c>
      <c r="V300" s="93">
        <v>1230</v>
      </c>
      <c r="W300" s="93">
        <v>3534</v>
      </c>
      <c r="X300" s="93">
        <v>567</v>
      </c>
      <c r="Y300" s="93">
        <v>185</v>
      </c>
      <c r="Z300" s="93">
        <v>805</v>
      </c>
      <c r="AA300" s="93">
        <v>180</v>
      </c>
      <c r="AB300" s="20">
        <v>18430</v>
      </c>
      <c r="AC300" s="25">
        <v>233</v>
      </c>
      <c r="AD300" s="97"/>
      <c r="AE300" s="1504">
        <v>43586</v>
      </c>
      <c r="AF300" s="19">
        <v>2103</v>
      </c>
      <c r="AG300" s="93">
        <v>899</v>
      </c>
      <c r="AH300" s="93">
        <v>920</v>
      </c>
      <c r="AI300" s="93">
        <v>354</v>
      </c>
      <c r="AJ300" s="93">
        <v>1974</v>
      </c>
      <c r="AK300" s="93">
        <v>1870</v>
      </c>
      <c r="AL300" s="93">
        <v>350</v>
      </c>
      <c r="AM300" s="93">
        <v>1091</v>
      </c>
      <c r="AN300" s="93">
        <v>2185</v>
      </c>
      <c r="AO300" s="93">
        <v>1504</v>
      </c>
      <c r="AP300" s="93">
        <v>3656</v>
      </c>
      <c r="AQ300" s="93">
        <v>1553</v>
      </c>
      <c r="AR300" s="93">
        <v>738</v>
      </c>
      <c r="AS300" s="20">
        <v>19197</v>
      </c>
      <c r="AT300" s="25">
        <v>233</v>
      </c>
      <c r="AU300" s="97"/>
      <c r="AV300" s="1504">
        <v>43586</v>
      </c>
      <c r="AW300" s="19">
        <v>7338</v>
      </c>
      <c r="AX300" s="93">
        <v>2137</v>
      </c>
      <c r="AY300" s="93">
        <v>4069</v>
      </c>
      <c r="AZ300" s="93">
        <v>11343</v>
      </c>
      <c r="BA300" s="93">
        <v>7669</v>
      </c>
      <c r="BB300" s="93">
        <v>5528</v>
      </c>
      <c r="BC300" s="93">
        <v>3282</v>
      </c>
      <c r="BD300" s="93">
        <v>8059</v>
      </c>
      <c r="BE300" s="93">
        <v>10215</v>
      </c>
      <c r="BF300" s="93">
        <v>6314</v>
      </c>
      <c r="BG300" s="93">
        <v>4028</v>
      </c>
      <c r="BH300" s="93">
        <v>11283</v>
      </c>
      <c r="BI300" s="93">
        <v>3217</v>
      </c>
      <c r="BJ300" s="20">
        <v>84482</v>
      </c>
      <c r="BK300" s="25">
        <v>233</v>
      </c>
      <c r="BL300" s="97"/>
      <c r="BM300" s="1504">
        <v>43586</v>
      </c>
      <c r="BN300" s="19">
        <v>73.440000000000026</v>
      </c>
      <c r="BO300" s="93">
        <v>2360.9089999999992</v>
      </c>
      <c r="BP300" s="93">
        <v>7.1039999999999992</v>
      </c>
      <c r="BQ300" s="93">
        <v>683.78399999999988</v>
      </c>
      <c r="BR300" s="93">
        <v>1.8360000000000001</v>
      </c>
      <c r="BS300" s="93">
        <v>236.89800000000002</v>
      </c>
      <c r="BT300" s="93">
        <v>512.06399999999962</v>
      </c>
      <c r="BU300" s="20">
        <v>3876.0349999999989</v>
      </c>
      <c r="BV300" s="25">
        <v>233</v>
      </c>
      <c r="BW300" s="97"/>
      <c r="BX300" s="1504">
        <v>43586</v>
      </c>
      <c r="BY300" s="179">
        <v>586.48661895186103</v>
      </c>
      <c r="BZ300" s="99">
        <v>664.95699999999999</v>
      </c>
      <c r="CA300" s="99">
        <v>580.28800000000001</v>
      </c>
      <c r="CB300" s="99">
        <v>40.361823137014483</v>
      </c>
      <c r="CC300" s="99">
        <v>114.899</v>
      </c>
      <c r="CD300" s="25">
        <v>233</v>
      </c>
      <c r="CE300" s="97"/>
      <c r="CF300" s="1504">
        <v>43586</v>
      </c>
      <c r="CG300" s="1508">
        <v>1.7667824679999999</v>
      </c>
      <c r="CH300" s="568">
        <v>1283.7</v>
      </c>
      <c r="CI300" s="1708">
        <v>66.8333333333333</v>
      </c>
      <c r="CJ300" s="1509">
        <v>70.53</v>
      </c>
      <c r="CK300" s="1508">
        <v>386.76</v>
      </c>
      <c r="CL300" s="568">
        <v>171.08151760000001</v>
      </c>
      <c r="CM300" s="568">
        <v>0.27337287999999998</v>
      </c>
      <c r="CN300" s="568">
        <v>0.36525735999999998</v>
      </c>
      <c r="CO300" s="568">
        <v>199.51812810000001</v>
      </c>
      <c r="CP300" s="1509">
        <v>4.6006010159999997</v>
      </c>
      <c r="CQ300" s="1708">
        <v>1392.89</v>
      </c>
      <c r="CR300" s="568">
        <v>2.3925000000000001</v>
      </c>
      <c r="CS300" s="568">
        <v>1.7688999999999999</v>
      </c>
      <c r="CT300" s="568">
        <v>97.5</v>
      </c>
      <c r="CU300" s="568">
        <v>100.15</v>
      </c>
      <c r="CV300" s="1709">
        <v>2742.81</v>
      </c>
      <c r="CW300" s="29">
        <v>233</v>
      </c>
      <c r="CX300" s="41">
        <f t="shared" si="239"/>
        <v>2019</v>
      </c>
      <c r="CY300" s="1504">
        <v>43586</v>
      </c>
      <c r="CZ300" s="733">
        <v>165.4502229</v>
      </c>
      <c r="DA300" s="570">
        <v>95.662543900000003</v>
      </c>
      <c r="DB300" s="570">
        <v>54.978940000000001</v>
      </c>
      <c r="DC300" s="93"/>
      <c r="DD300" s="93"/>
      <c r="DE300" s="20"/>
      <c r="DF300" s="29">
        <v>233</v>
      </c>
      <c r="DG300" s="1504">
        <v>43586</v>
      </c>
      <c r="DH300" s="181">
        <v>411070</v>
      </c>
      <c r="DI300" s="182">
        <v>4798238</v>
      </c>
      <c r="DJ300" s="182">
        <v>282422</v>
      </c>
      <c r="DK300" s="182">
        <v>16963</v>
      </c>
      <c r="DL300" s="182">
        <v>505819</v>
      </c>
      <c r="DM300" s="182">
        <v>10901</v>
      </c>
      <c r="DN300" s="290">
        <v>1602964</v>
      </c>
      <c r="DO300" s="295">
        <f t="shared" si="282"/>
        <v>7217307</v>
      </c>
      <c r="DP300" s="29">
        <v>233</v>
      </c>
      <c r="DQ300" s="1504">
        <v>43586</v>
      </c>
      <c r="DR300" s="19">
        <v>46383</v>
      </c>
      <c r="DS300" s="93">
        <v>653</v>
      </c>
      <c r="DT300" s="93">
        <v>63200</v>
      </c>
      <c r="DU300" s="93">
        <v>4639</v>
      </c>
      <c r="DV300" s="93">
        <v>22786</v>
      </c>
      <c r="DW300" s="93">
        <v>2987</v>
      </c>
      <c r="DX300" s="20">
        <v>8121.6090000000004</v>
      </c>
      <c r="DY300" s="29">
        <v>233</v>
      </c>
      <c r="DZ300" s="1504">
        <v>43586</v>
      </c>
      <c r="EA300" s="19"/>
      <c r="EB300" s="93"/>
      <c r="EC300" s="20"/>
      <c r="ED300" s="29"/>
      <c r="EE300" s="1504">
        <v>43586</v>
      </c>
      <c r="EF300" s="1532">
        <v>18414</v>
      </c>
      <c r="EG300" s="1533">
        <v>20824</v>
      </c>
      <c r="EH300" s="1533">
        <v>39238</v>
      </c>
      <c r="EI300" s="1535">
        <v>7241</v>
      </c>
      <c r="EJ300" s="1536">
        <v>604.11900000000003</v>
      </c>
      <c r="EK300" s="1536">
        <v>235.07900000000001</v>
      </c>
      <c r="EL300" s="1536">
        <v>5.1749999999999998</v>
      </c>
      <c r="EM300" s="1536">
        <v>2.9430000000000001</v>
      </c>
      <c r="EN300" s="1537">
        <v>847.31600000000003</v>
      </c>
      <c r="EO300" s="29">
        <v>233</v>
      </c>
      <c r="EP300" s="1504">
        <v>43586</v>
      </c>
      <c r="EQ300" s="1532">
        <v>16957</v>
      </c>
      <c r="ER300" s="1533">
        <v>19481</v>
      </c>
      <c r="ES300" s="1533">
        <v>36438</v>
      </c>
      <c r="ET300" s="1535">
        <v>6449</v>
      </c>
      <c r="EU300" s="1536">
        <v>604.11900000000003</v>
      </c>
      <c r="EV300" s="1536">
        <v>235.07900000000001</v>
      </c>
      <c r="EW300" s="1536">
        <v>5.1749999999999998</v>
      </c>
      <c r="EX300" s="1536">
        <v>2.9430000000000001</v>
      </c>
      <c r="EY300" s="1537">
        <v>847.31600000000003</v>
      </c>
      <c r="EZ300" s="29">
        <v>233</v>
      </c>
      <c r="FA300" s="1504">
        <v>43586</v>
      </c>
      <c r="FB300" s="1538">
        <v>1457</v>
      </c>
      <c r="FC300" s="1538">
        <v>1343</v>
      </c>
      <c r="FD300" s="1538">
        <v>2800</v>
      </c>
      <c r="FE300" s="1538">
        <v>792</v>
      </c>
      <c r="FF300" s="1538">
        <v>0</v>
      </c>
      <c r="FG300" s="1538">
        <v>0</v>
      </c>
      <c r="FH300" s="1538">
        <v>0</v>
      </c>
      <c r="FI300" s="1538">
        <v>0</v>
      </c>
      <c r="FJ300" s="1538">
        <v>0</v>
      </c>
      <c r="FK300" s="29">
        <v>233</v>
      </c>
      <c r="FL300" s="1504">
        <v>43586</v>
      </c>
      <c r="FM300" s="19">
        <v>103.29</v>
      </c>
      <c r="FN300" s="93">
        <v>104.3</v>
      </c>
      <c r="FO300" s="93">
        <v>133.26</v>
      </c>
      <c r="FP300" s="93">
        <v>101.19</v>
      </c>
      <c r="FQ300" s="93">
        <v>98.15</v>
      </c>
      <c r="FR300" s="93">
        <v>101.17</v>
      </c>
      <c r="FS300" s="93">
        <v>100.41</v>
      </c>
      <c r="FT300" s="93">
        <v>99.38</v>
      </c>
      <c r="FU300" s="93">
        <v>98.44</v>
      </c>
      <c r="FV300" s="93">
        <v>101.19</v>
      </c>
      <c r="FW300" s="93">
        <v>104.6</v>
      </c>
      <c r="FX300" s="93">
        <v>104.97</v>
      </c>
      <c r="FY300" s="93">
        <v>100.6</v>
      </c>
      <c r="FZ300" s="29">
        <v>233</v>
      </c>
      <c r="GA300" s="1504">
        <v>43586</v>
      </c>
      <c r="GB300" s="19">
        <v>103.29</v>
      </c>
      <c r="GC300" s="93">
        <v>102.35</v>
      </c>
      <c r="GD300" s="93">
        <v>104.13</v>
      </c>
      <c r="GE300" s="93">
        <v>95.14</v>
      </c>
      <c r="GF300" s="93">
        <v>105.93</v>
      </c>
      <c r="GG300" s="99">
        <v>103.63</v>
      </c>
      <c r="GH300" s="93">
        <v>106.26</v>
      </c>
      <c r="GI300" s="93">
        <v>102.17</v>
      </c>
      <c r="GJ300" s="93">
        <v>102.56</v>
      </c>
      <c r="GK300" s="93">
        <v>100.31</v>
      </c>
      <c r="GL300" s="93">
        <v>104.65</v>
      </c>
      <c r="GM300" s="93">
        <v>101.17</v>
      </c>
      <c r="GN300" s="20">
        <v>102.56</v>
      </c>
      <c r="GO300" s="29">
        <v>233</v>
      </c>
      <c r="GP300" s="1504">
        <v>43586</v>
      </c>
      <c r="GQ300" s="19">
        <v>307</v>
      </c>
      <c r="GR300" s="93">
        <v>238</v>
      </c>
      <c r="GS300" s="93">
        <v>228</v>
      </c>
      <c r="GT300" s="93">
        <v>196</v>
      </c>
      <c r="GU300" s="93">
        <v>397</v>
      </c>
      <c r="GV300" s="20">
        <v>986</v>
      </c>
      <c r="GW300" s="19">
        <v>440</v>
      </c>
      <c r="GX300" s="93">
        <v>443</v>
      </c>
      <c r="GY300" s="93">
        <v>516</v>
      </c>
      <c r="GZ300" s="93">
        <v>294</v>
      </c>
      <c r="HA300" s="93">
        <v>402</v>
      </c>
      <c r="HB300" s="20">
        <v>762</v>
      </c>
      <c r="HC300" s="19">
        <v>1998</v>
      </c>
      <c r="HD300" s="93">
        <v>2218</v>
      </c>
      <c r="HE300" s="93">
        <v>2568</v>
      </c>
      <c r="HF300" s="93">
        <v>3150</v>
      </c>
      <c r="HG300" s="93">
        <v>2783</v>
      </c>
      <c r="HH300" s="20">
        <v>2773</v>
      </c>
      <c r="HI300" s="19"/>
      <c r="HJ300" s="93">
        <v>900</v>
      </c>
      <c r="HK300" s="93">
        <v>1303</v>
      </c>
      <c r="HL300" s="93">
        <v>834</v>
      </c>
      <c r="HM300" s="93">
        <v>900</v>
      </c>
      <c r="HN300" s="20">
        <v>2226</v>
      </c>
      <c r="HO300" s="219">
        <v>133</v>
      </c>
      <c r="HP300" s="20">
        <v>96</v>
      </c>
      <c r="HQ300" s="25">
        <v>138</v>
      </c>
      <c r="HR300" s="29">
        <v>233</v>
      </c>
      <c r="HS300" s="1504">
        <v>43586</v>
      </c>
      <c r="HT300" s="179">
        <v>211.220458984375</v>
      </c>
      <c r="HU300" s="99">
        <v>252.77777709960938</v>
      </c>
      <c r="HV300" s="99">
        <v>189.8734130859375</v>
      </c>
      <c r="HW300" s="99">
        <v>140</v>
      </c>
      <c r="HX300" s="99">
        <v>191.66666870117189</v>
      </c>
      <c r="HY300" s="99">
        <v>222.22222137451172</v>
      </c>
      <c r="HZ300" s="99">
        <v>230.1201057434082</v>
      </c>
      <c r="IA300" s="132">
        <v>181.04575805664064</v>
      </c>
      <c r="IB300" s="179">
        <v>166.04154357910156</v>
      </c>
      <c r="IC300" s="99">
        <v>88.518527984619141</v>
      </c>
      <c r="ID300" s="99">
        <v>111.11111195882161</v>
      </c>
      <c r="IE300" s="99">
        <v>90.450309753417969</v>
      </c>
      <c r="IF300" s="99">
        <v>166.66667175292969</v>
      </c>
      <c r="IG300" s="132">
        <v>84.20329475402832</v>
      </c>
      <c r="IH300" s="179">
        <v>140.87301635742188</v>
      </c>
      <c r="II300" s="99">
        <v>218.5792236328125</v>
      </c>
      <c r="IJ300" s="99">
        <v>168.53975423177084</v>
      </c>
      <c r="IK300" s="99">
        <v>141.07143249511719</v>
      </c>
      <c r="IL300" s="99">
        <v>138.88888549804688</v>
      </c>
      <c r="IM300" s="99">
        <v>140.32258300781251</v>
      </c>
      <c r="IN300" s="93">
        <v>159.01060485839844</v>
      </c>
      <c r="IO300" s="132">
        <v>161.29032897949219</v>
      </c>
      <c r="IP300" s="29">
        <v>233</v>
      </c>
      <c r="IQ300" s="19">
        <v>166.04154357910156</v>
      </c>
      <c r="IR300" s="93">
        <v>88.518527984619141</v>
      </c>
      <c r="IS300" s="93">
        <v>111.11111195882161</v>
      </c>
      <c r="IT300" s="93">
        <v>90.450309753417969</v>
      </c>
      <c r="IU300" s="93">
        <v>166.66667175292969</v>
      </c>
      <c r="IV300" s="20">
        <v>84.20329475402832</v>
      </c>
      <c r="IW300" s="29">
        <v>233</v>
      </c>
      <c r="IX300" s="19"/>
      <c r="IY300" s="93">
        <v>389.11289978027344</v>
      </c>
      <c r="IZ300" s="93"/>
      <c r="JA300" s="93">
        <v>375</v>
      </c>
      <c r="JB300" s="93">
        <v>380</v>
      </c>
      <c r="JC300" s="93"/>
      <c r="JD300" s="93">
        <v>375</v>
      </c>
      <c r="JE300" s="20">
        <v>400</v>
      </c>
      <c r="JF300" s="29">
        <v>233</v>
      </c>
      <c r="JG300" s="19">
        <v>157.80563354492188</v>
      </c>
      <c r="JH300" s="93">
        <v>218.5792236328125</v>
      </c>
      <c r="JI300" s="93">
        <v>160.25640869140625</v>
      </c>
      <c r="JJ300" s="93">
        <v>127.65957641601563</v>
      </c>
      <c r="JK300" s="93">
        <v>168.35017395019531</v>
      </c>
      <c r="JL300" s="93">
        <v>182.62250518798828</v>
      </c>
      <c r="JM300" s="93">
        <v>171.61716003417968</v>
      </c>
      <c r="JN300" s="20">
        <v>227.27273559570313</v>
      </c>
      <c r="JO300" s="29">
        <v>233</v>
      </c>
      <c r="JP300" s="19">
        <v>180.4283477783203</v>
      </c>
      <c r="JQ300" s="93">
        <v>92.821784973144531</v>
      </c>
      <c r="JR300" s="93">
        <v>136.11110941569009</v>
      </c>
      <c r="JS300" s="93"/>
      <c r="JT300" s="93">
        <v>182.13190841674805</v>
      </c>
      <c r="JU300" s="20">
        <v>92.010305404663086</v>
      </c>
      <c r="JV300" s="29">
        <v>233</v>
      </c>
      <c r="JW300" s="1504">
        <v>43586</v>
      </c>
      <c r="JX300" s="19"/>
      <c r="JY300" s="93">
        <v>318.33333333333331</v>
      </c>
      <c r="JZ300" s="93">
        <v>340.55555555555554</v>
      </c>
      <c r="KA300" s="93">
        <v>293.33333333333331</v>
      </c>
      <c r="KB300" s="93">
        <v>215.71153846153845</v>
      </c>
      <c r="KC300" s="93">
        <v>345</v>
      </c>
      <c r="KD300" s="20">
        <v>306.25</v>
      </c>
      <c r="KE300" s="29">
        <v>233</v>
      </c>
      <c r="KF300" s="19"/>
      <c r="KG300" s="93">
        <v>43.2</v>
      </c>
      <c r="KH300" s="93">
        <v>40.682432432432435</v>
      </c>
      <c r="KI300" s="93">
        <v>44.2</v>
      </c>
      <c r="KJ300" s="93">
        <v>65.166666666666671</v>
      </c>
      <c r="KK300" s="20">
        <v>69.6142857142857</v>
      </c>
      <c r="KL300" s="29">
        <v>233</v>
      </c>
      <c r="KM300" s="19"/>
      <c r="KN300" s="93">
        <v>22.833333333333332</v>
      </c>
      <c r="KO300" s="93">
        <v>29.714285714285715</v>
      </c>
      <c r="KP300" s="93">
        <v>32.345238095238095</v>
      </c>
      <c r="KQ300" s="93">
        <v>32.9722222222222</v>
      </c>
      <c r="KR300" s="20">
        <v>37.448437499999997</v>
      </c>
      <c r="KS300" s="29">
        <v>233</v>
      </c>
      <c r="KT300" s="19"/>
      <c r="KU300" s="93">
        <v>22.833333333333332</v>
      </c>
      <c r="KV300" s="93">
        <v>22.945454545454545</v>
      </c>
      <c r="KW300" s="93">
        <v>22.741666666666667</v>
      </c>
      <c r="KX300" s="93">
        <v>25.388888888888889</v>
      </c>
      <c r="KY300" s="20">
        <v>27.074999999999999</v>
      </c>
      <c r="KZ300" s="29">
        <v>233</v>
      </c>
      <c r="LA300" s="1504">
        <v>43586</v>
      </c>
      <c r="LB300" s="19"/>
      <c r="LC300" s="93"/>
      <c r="LD300" s="93"/>
      <c r="LE300" s="93"/>
      <c r="LF300" s="93"/>
      <c r="LG300" s="93"/>
      <c r="LH300" s="20"/>
      <c r="LI300" s="29"/>
      <c r="LJ300" s="19"/>
      <c r="LK300" s="93"/>
      <c r="LL300" s="93"/>
      <c r="LM300" s="93"/>
      <c r="LN300" s="93"/>
      <c r="LO300" s="20"/>
      <c r="LP300" s="29"/>
      <c r="LQ300" s="19"/>
      <c r="LR300" s="93">
        <v>188</v>
      </c>
      <c r="LS300" s="93">
        <v>463</v>
      </c>
      <c r="LT300" s="93">
        <v>663</v>
      </c>
      <c r="LU300" s="93">
        <v>1104</v>
      </c>
      <c r="LV300" s="93"/>
      <c r="LW300" s="93">
        <v>5</v>
      </c>
      <c r="LX300" s="93">
        <v>10</v>
      </c>
      <c r="LY300" s="93">
        <v>60</v>
      </c>
      <c r="LZ300" s="93"/>
      <c r="MA300" s="20"/>
      <c r="MB300" s="29">
        <v>233</v>
      </c>
      <c r="MC300" s="1504">
        <v>43586</v>
      </c>
      <c r="MD300" s="733">
        <v>817.6216442908509</v>
      </c>
      <c r="ME300" s="570">
        <v>792.1854876118</v>
      </c>
      <c r="MF300" s="570">
        <v>792.1854876118</v>
      </c>
      <c r="MG300" s="570">
        <v>598.17194858879998</v>
      </c>
      <c r="MH300" s="570">
        <v>188.4326725078401</v>
      </c>
      <c r="MI300" s="570">
        <v>5.3746238520174403</v>
      </c>
      <c r="MJ300" s="570">
        <v>2.7685053792619962</v>
      </c>
      <c r="MK300" s="570">
        <v>314.10163593501539</v>
      </c>
      <c r="ML300" s="570">
        <v>83.040330693000001</v>
      </c>
      <c r="MM300" s="570">
        <v>4.4541802216650659</v>
      </c>
      <c r="MN300" s="570">
        <v>194.01353902300002</v>
      </c>
      <c r="MO300" s="570">
        <v>2.9783761609999999</v>
      </c>
      <c r="MP300" s="570">
        <v>132.07239557</v>
      </c>
      <c r="MQ300" s="570">
        <v>0.53595575299999998</v>
      </c>
      <c r="MR300" s="570">
        <v>8.2043641530000002</v>
      </c>
      <c r="MS300" s="570">
        <v>50.222447385999992</v>
      </c>
      <c r="MT300" s="570">
        <v>0</v>
      </c>
      <c r="MU300" s="570">
        <v>25.436156679050995</v>
      </c>
      <c r="MV300" s="570">
        <v>19.127831199050995</v>
      </c>
      <c r="MW300" s="570">
        <v>6.3083254800000006</v>
      </c>
      <c r="MX300" s="570">
        <v>811.37642708577494</v>
      </c>
      <c r="MY300" s="570">
        <v>815.64188110477494</v>
      </c>
      <c r="MZ300" s="570">
        <v>642.05178364621941</v>
      </c>
      <c r="NA300" s="570">
        <v>333.23933170266662</v>
      </c>
      <c r="NB300" s="570">
        <v>57.556839240999999</v>
      </c>
      <c r="NC300" s="570">
        <v>32.050199236652745</v>
      </c>
      <c r="ND300" s="570">
        <v>21.845962366999998</v>
      </c>
      <c r="NE300" s="570">
        <v>10.204236869652744</v>
      </c>
      <c r="NF300" s="570">
        <v>219.20541346589999</v>
      </c>
      <c r="NG300" s="570">
        <v>4.2032723238000003</v>
      </c>
      <c r="NH300" s="570">
        <v>53.221436357000002</v>
      </c>
      <c r="NI300" s="570">
        <v>0</v>
      </c>
      <c r="NJ300" s="570">
        <v>0</v>
      </c>
      <c r="NK300" s="570">
        <v>173.59009745855559</v>
      </c>
      <c r="NL300" s="570">
        <v>129.43865589000001</v>
      </c>
      <c r="NM300" s="570">
        <v>0.88775871400000006</v>
      </c>
      <c r="NN300" s="570">
        <v>43.263682854555569</v>
      </c>
      <c r="NO300" s="570">
        <v>-4.2654540189999972</v>
      </c>
      <c r="NP300" s="570">
        <v>6.2452172050759494</v>
      </c>
      <c r="NQ300" s="570">
        <v>-19.190939473975032</v>
      </c>
      <c r="NR300" s="570">
        <v>56.122942617233278</v>
      </c>
      <c r="NS300" s="570">
        <v>24.07274338058053</v>
      </c>
      <c r="NT300" s="570">
        <v>-67.892285052345812</v>
      </c>
      <c r="NU300" s="570">
        <v>-93.328441731396794</v>
      </c>
      <c r="NV300" s="570">
        <v>62.986264358142201</v>
      </c>
      <c r="NW300" s="570">
        <v>14.304253500142179</v>
      </c>
      <c r="NX300" s="570">
        <v>32.169982161504585</v>
      </c>
      <c r="NY300" s="570">
        <v>-17.865728661362404</v>
      </c>
      <c r="NZ300" s="570">
        <v>0</v>
      </c>
      <c r="OA300" s="570">
        <v>48.682010858000012</v>
      </c>
      <c r="OB300" s="570">
        <v>-58.269049584999983</v>
      </c>
      <c r="OC300" s="570">
        <v>106.95106044299999</v>
      </c>
      <c r="OD300" s="734">
        <v>4.9060206942036118</v>
      </c>
      <c r="OE300" s="29">
        <v>233</v>
      </c>
      <c r="OF300" s="1504">
        <v>43586</v>
      </c>
      <c r="OG300" s="19"/>
      <c r="OH300" s="93">
        <v>595.60461072134547</v>
      </c>
      <c r="OI300" s="93">
        <v>1714.598462406</v>
      </c>
      <c r="OJ300" s="93">
        <v>0.25147133700000002</v>
      </c>
      <c r="OK300" s="93">
        <v>1482.9349999999999</v>
      </c>
      <c r="OL300" s="93">
        <v>231.41199106899998</v>
      </c>
      <c r="OM300" s="93">
        <v>2310.2030731273453</v>
      </c>
      <c r="ON300" s="93">
        <v>1530.3421083190001</v>
      </c>
      <c r="OO300" s="93">
        <v>3840.5451814463454</v>
      </c>
      <c r="OP300" s="93"/>
      <c r="OQ300" s="93">
        <v>1476.6784665473454</v>
      </c>
      <c r="OR300" s="93">
        <v>349.62746654734542</v>
      </c>
      <c r="OS300" s="93">
        <v>1127.0509999999999</v>
      </c>
      <c r="OT300" s="93">
        <v>2772.2320858679996</v>
      </c>
      <c r="OU300" s="93">
        <v>-52.780746751000095</v>
      </c>
      <c r="OV300" s="93">
        <v>-202.07574675100005</v>
      </c>
      <c r="OW300" s="93">
        <v>149.29499999999996</v>
      </c>
      <c r="OX300" s="93">
        <v>2825.0128326189997</v>
      </c>
      <c r="OY300" s="93">
        <v>7.0558326190000002</v>
      </c>
      <c r="OZ300" s="93">
        <v>2817.9569999999999</v>
      </c>
      <c r="PA300" s="93">
        <v>644.86927013000002</v>
      </c>
      <c r="PB300" s="93">
        <v>-236.50389916100008</v>
      </c>
      <c r="PC300" s="20">
        <v>3840.5451814463445</v>
      </c>
      <c r="PD300" s="29">
        <v>233</v>
      </c>
      <c r="PE300" s="19"/>
      <c r="PF300" s="93">
        <v>349.62746654734542</v>
      </c>
      <c r="PG300" s="93">
        <v>1095.0085096203454</v>
      </c>
      <c r="PH300" s="93">
        <v>745.381043073</v>
      </c>
      <c r="PI300" s="93">
        <v>635.57799999999997</v>
      </c>
      <c r="PJ300" s="93">
        <v>-192.51152565800004</v>
      </c>
      <c r="PK300" s="93">
        <v>123.980846683</v>
      </c>
      <c r="PL300" s="93">
        <v>316.49237234100002</v>
      </c>
      <c r="PM300" s="93">
        <v>7.0558326190000002</v>
      </c>
      <c r="PN300" s="93">
        <v>2.714</v>
      </c>
      <c r="PO300" s="93">
        <v>0</v>
      </c>
      <c r="PP300" s="93">
        <v>0</v>
      </c>
      <c r="PQ300" s="93">
        <v>4.3418326189999998</v>
      </c>
      <c r="PR300" s="93">
        <v>794.38525953734541</v>
      </c>
      <c r="PS300" s="93">
        <v>670.48083181434549</v>
      </c>
      <c r="PT300" s="93">
        <v>123.319848067</v>
      </c>
      <c r="PU300" s="93">
        <v>0.58457965600000006</v>
      </c>
      <c r="PV300" s="93">
        <v>0</v>
      </c>
      <c r="PW300" s="93">
        <v>0.65931773299999996</v>
      </c>
      <c r="PX300" s="93">
        <v>0</v>
      </c>
      <c r="PY300" s="93">
        <v>0</v>
      </c>
      <c r="PZ300" s="93">
        <v>0.65931773299999996</v>
      </c>
      <c r="QA300" s="93">
        <v>0</v>
      </c>
      <c r="QB300" s="93">
        <v>0</v>
      </c>
      <c r="QC300" s="93">
        <v>0</v>
      </c>
      <c r="QD300" s="93">
        <v>9.1259523970000007</v>
      </c>
      <c r="QE300" s="20">
        <v>-4.420756159000014</v>
      </c>
      <c r="QF300" s="1739">
        <v>233</v>
      </c>
      <c r="QG300" s="19"/>
      <c r="QH300" s="1035">
        <v>1127.0509999999999</v>
      </c>
      <c r="QI300" s="1035">
        <v>1529.1569999999999</v>
      </c>
      <c r="QJ300" s="1035">
        <v>-402.10599999999999</v>
      </c>
      <c r="QK300" s="1035">
        <v>202.97899999999998</v>
      </c>
      <c r="QL300" s="1035">
        <v>65.311999999999998</v>
      </c>
      <c r="QM300" s="1035">
        <v>137.65</v>
      </c>
      <c r="QN300" s="1035">
        <v>1.7000000000000001E-2</v>
      </c>
      <c r="QO300" s="1035">
        <v>149.29499999999996</v>
      </c>
      <c r="QP300" s="1035">
        <v>500.94499999999999</v>
      </c>
      <c r="QQ300" s="1035">
        <v>-351.65000000000003</v>
      </c>
      <c r="QR300" s="1035">
        <v>2817.9569999999999</v>
      </c>
      <c r="QS300" s="1035">
        <v>15.608000000000001</v>
      </c>
      <c r="QT300" s="1035">
        <v>20.41</v>
      </c>
      <c r="QU300" s="1035">
        <v>241.739</v>
      </c>
      <c r="QV300" s="1035">
        <v>2540.1999999999998</v>
      </c>
      <c r="QW300" s="93"/>
      <c r="QX300" s="93">
        <v>626.18299999999999</v>
      </c>
      <c r="QY300" s="93">
        <v>1482.9350000000002</v>
      </c>
      <c r="QZ300" s="93">
        <v>1530.009</v>
      </c>
      <c r="RA300" s="93">
        <v>0</v>
      </c>
      <c r="RB300" s="93">
        <v>147.55099999999999</v>
      </c>
      <c r="RC300" s="93">
        <v>0</v>
      </c>
      <c r="RD300" s="93">
        <v>36.300000000000004</v>
      </c>
      <c r="RE300" s="93">
        <v>0</v>
      </c>
      <c r="RF300" s="93">
        <v>0</v>
      </c>
      <c r="RG300" s="93">
        <v>451.23300000000006</v>
      </c>
      <c r="RH300" s="93">
        <v>23.07099999999997</v>
      </c>
      <c r="RI300" s="93"/>
      <c r="RJ300" s="93"/>
      <c r="RK300" s="93"/>
      <c r="RL300" s="93"/>
      <c r="RM300" s="734"/>
      <c r="RN300" s="29">
        <v>233</v>
      </c>
      <c r="RO300" s="1532">
        <v>133</v>
      </c>
      <c r="RP300" s="20">
        <v>1900</v>
      </c>
      <c r="RQ300" s="29">
        <v>233</v>
      </c>
      <c r="RR300" s="734">
        <v>4.0154853900000003</v>
      </c>
      <c r="RS300" s="29">
        <v>233</v>
      </c>
      <c r="RT300" s="1504">
        <v>43586</v>
      </c>
      <c r="RU300" s="1532">
        <v>975</v>
      </c>
      <c r="RV300" s="20">
        <v>22</v>
      </c>
      <c r="RW300" s="29">
        <v>233</v>
      </c>
      <c r="RX300" s="1504">
        <v>43586</v>
      </c>
      <c r="RY300" s="29"/>
      <c r="RZ300" s="734"/>
      <c r="SA300" s="29"/>
      <c r="SB300" s="29">
        <v>233</v>
      </c>
    </row>
    <row r="301" spans="1:496">
      <c r="A301" s="41">
        <f t="shared" si="238"/>
        <v>2019</v>
      </c>
      <c r="B301" s="1504">
        <v>43617</v>
      </c>
      <c r="C301" s="1813">
        <v>1153</v>
      </c>
      <c r="D301" s="1814">
        <v>17152</v>
      </c>
      <c r="E301" s="1814">
        <v>34</v>
      </c>
      <c r="F301" s="1815">
        <v>344</v>
      </c>
      <c r="G301" s="1814">
        <v>84426</v>
      </c>
      <c r="H301" s="1814">
        <v>6</v>
      </c>
      <c r="I301" s="1814">
        <v>25827</v>
      </c>
      <c r="J301" s="1816">
        <v>20094</v>
      </c>
      <c r="K301" s="1807">
        <v>149036</v>
      </c>
      <c r="L301" s="25">
        <v>234</v>
      </c>
      <c r="M301" s="97"/>
      <c r="N301" s="1504">
        <v>43617</v>
      </c>
      <c r="O301" s="19">
        <v>413</v>
      </c>
      <c r="P301" s="93">
        <v>463</v>
      </c>
      <c r="Q301" s="93">
        <v>7118</v>
      </c>
      <c r="R301" s="93">
        <v>1276</v>
      </c>
      <c r="S301" s="93">
        <v>638</v>
      </c>
      <c r="T301" s="93">
        <v>576</v>
      </c>
      <c r="U301" s="93">
        <v>232</v>
      </c>
      <c r="V301" s="93">
        <v>1491</v>
      </c>
      <c r="W301" s="93">
        <v>3245</v>
      </c>
      <c r="X301" s="93">
        <v>607</v>
      </c>
      <c r="Y301" s="93">
        <v>177</v>
      </c>
      <c r="Z301" s="93">
        <v>653</v>
      </c>
      <c r="AA301" s="93">
        <v>263</v>
      </c>
      <c r="AB301" s="20">
        <v>17152</v>
      </c>
      <c r="AC301" s="25">
        <v>234</v>
      </c>
      <c r="AD301" s="97"/>
      <c r="AE301" s="1504">
        <v>43617</v>
      </c>
      <c r="AF301" s="19">
        <v>1026</v>
      </c>
      <c r="AG301" s="93">
        <v>1435</v>
      </c>
      <c r="AH301" s="93">
        <v>1031</v>
      </c>
      <c r="AI301" s="93">
        <v>555</v>
      </c>
      <c r="AJ301" s="93">
        <v>3760</v>
      </c>
      <c r="AK301" s="93">
        <v>2351</v>
      </c>
      <c r="AL301" s="93">
        <v>445</v>
      </c>
      <c r="AM301" s="93">
        <v>1181</v>
      </c>
      <c r="AN301" s="93">
        <v>2028</v>
      </c>
      <c r="AO301" s="93">
        <v>4505</v>
      </c>
      <c r="AP301" s="93">
        <v>7740</v>
      </c>
      <c r="AQ301" s="93">
        <v>1359</v>
      </c>
      <c r="AR301" s="93">
        <v>2371</v>
      </c>
      <c r="AS301" s="20">
        <v>29787</v>
      </c>
      <c r="AT301" s="25">
        <v>234</v>
      </c>
      <c r="AU301" s="97"/>
      <c r="AV301" s="1504">
        <v>43617</v>
      </c>
      <c r="AW301" s="19">
        <v>9063</v>
      </c>
      <c r="AX301" s="93">
        <v>3208</v>
      </c>
      <c r="AY301" s="93">
        <v>3489</v>
      </c>
      <c r="AZ301" s="93">
        <v>8440</v>
      </c>
      <c r="BA301" s="93">
        <v>8522</v>
      </c>
      <c r="BB301" s="93">
        <v>5289</v>
      </c>
      <c r="BC301" s="93">
        <v>3707</v>
      </c>
      <c r="BD301" s="93">
        <v>8035</v>
      </c>
      <c r="BE301" s="93">
        <v>10564</v>
      </c>
      <c r="BF301" s="93">
        <v>6829</v>
      </c>
      <c r="BG301" s="93">
        <v>3629</v>
      </c>
      <c r="BH301" s="93">
        <v>10125</v>
      </c>
      <c r="BI301" s="93">
        <v>3526</v>
      </c>
      <c r="BJ301" s="20">
        <v>84426</v>
      </c>
      <c r="BK301" s="25">
        <v>234</v>
      </c>
      <c r="BL301" s="97"/>
      <c r="BM301" s="1504">
        <v>43617</v>
      </c>
      <c r="BN301" s="19">
        <v>66.759</v>
      </c>
      <c r="BO301" s="93">
        <v>2205.7599999999989</v>
      </c>
      <c r="BP301" s="93">
        <v>7.871999999999999</v>
      </c>
      <c r="BQ301" s="93">
        <v>681.12800000000004</v>
      </c>
      <c r="BR301" s="93">
        <v>0.91799999999999993</v>
      </c>
      <c r="BS301" s="93">
        <v>241.11000000000013</v>
      </c>
      <c r="BT301" s="93">
        <v>493.39199999999994</v>
      </c>
      <c r="BU301" s="20">
        <v>3696.9389999999989</v>
      </c>
      <c r="BV301" s="25">
        <v>234</v>
      </c>
      <c r="BW301" s="97"/>
      <c r="BX301" s="1504">
        <v>43617</v>
      </c>
      <c r="BY301" s="179">
        <v>580.85023038822339</v>
      </c>
      <c r="BZ301" s="99">
        <v>664.95699999999999</v>
      </c>
      <c r="CA301" s="99">
        <v>587.40700000000004</v>
      </c>
      <c r="CB301" s="99">
        <v>41.206722397456794</v>
      </c>
      <c r="CC301" s="99">
        <v>111.04</v>
      </c>
      <c r="CD301" s="25">
        <v>234</v>
      </c>
      <c r="CE301" s="97"/>
      <c r="CF301" s="1504">
        <v>43617</v>
      </c>
      <c r="CG301" s="1508">
        <v>1.71188743</v>
      </c>
      <c r="CH301" s="568">
        <v>1359.04</v>
      </c>
      <c r="CI301" s="1708">
        <v>59.76</v>
      </c>
      <c r="CJ301" s="1509">
        <v>63.3</v>
      </c>
      <c r="CK301" s="1508">
        <v>394.2</v>
      </c>
      <c r="CL301" s="568">
        <v>195.08025040000001</v>
      </c>
      <c r="CM301" s="568">
        <v>0.284836904</v>
      </c>
      <c r="CN301" s="568">
        <v>0.36875155199999998</v>
      </c>
      <c r="CO301" s="568">
        <v>206.13198869999999</v>
      </c>
      <c r="CP301" s="1509">
        <v>4.6291508449999998</v>
      </c>
      <c r="CQ301" s="1708">
        <v>1391.97</v>
      </c>
      <c r="CR301" s="568">
        <v>2.1866666666666701</v>
      </c>
      <c r="CS301" s="568">
        <v>1.9273</v>
      </c>
      <c r="CT301" s="568">
        <v>97.5</v>
      </c>
      <c r="CU301" s="568">
        <v>108.94</v>
      </c>
      <c r="CV301" s="1709">
        <v>2601.2199999999998</v>
      </c>
      <c r="CW301" s="29">
        <v>234</v>
      </c>
      <c r="CX301" s="41">
        <f t="shared" si="239"/>
        <v>2019</v>
      </c>
      <c r="CY301" s="1504">
        <v>43617</v>
      </c>
      <c r="CZ301" s="733">
        <v>165.36286959999998</v>
      </c>
      <c r="DA301" s="570">
        <v>92.32450759999999</v>
      </c>
      <c r="DB301" s="570">
        <v>58.390433999999999</v>
      </c>
      <c r="DC301" s="93"/>
      <c r="DD301" s="93"/>
      <c r="DE301" s="20"/>
      <c r="DF301" s="29">
        <v>234</v>
      </c>
      <c r="DG301" s="1504">
        <v>43617</v>
      </c>
      <c r="DH301" s="181">
        <v>412782</v>
      </c>
      <c r="DI301" s="182">
        <v>4384820</v>
      </c>
      <c r="DJ301" s="182">
        <v>289490</v>
      </c>
      <c r="DK301" s="182">
        <v>15498</v>
      </c>
      <c r="DL301" s="182">
        <v>514021</v>
      </c>
      <c r="DM301" s="182">
        <v>9687</v>
      </c>
      <c r="DN301" s="290">
        <v>1722322</v>
      </c>
      <c r="DO301" s="295">
        <f t="shared" si="282"/>
        <v>6935838</v>
      </c>
      <c r="DP301" s="29">
        <v>234</v>
      </c>
      <c r="DQ301" s="1504">
        <v>43617</v>
      </c>
      <c r="DR301" s="19">
        <v>42692</v>
      </c>
      <c r="DS301" s="93">
        <v>462</v>
      </c>
      <c r="DT301" s="93">
        <v>57871</v>
      </c>
      <c r="DU301" s="93">
        <v>3919</v>
      </c>
      <c r="DV301" s="93">
        <v>15972</v>
      </c>
      <c r="DW301" s="93">
        <v>2532</v>
      </c>
      <c r="DX301" s="20">
        <v>8131.9340000000002</v>
      </c>
      <c r="DY301" s="29">
        <v>234</v>
      </c>
      <c r="DZ301" s="1504">
        <v>43617</v>
      </c>
      <c r="EA301" s="19"/>
      <c r="EB301" s="93"/>
      <c r="EC301" s="20"/>
      <c r="ED301" s="29"/>
      <c r="EE301" s="1504">
        <v>43617</v>
      </c>
      <c r="EF301" s="1532">
        <v>22153</v>
      </c>
      <c r="EG301" s="1533">
        <v>23265</v>
      </c>
      <c r="EH301" s="1533">
        <v>45418</v>
      </c>
      <c r="EI301" s="1535">
        <v>7947</v>
      </c>
      <c r="EJ301" s="1536">
        <v>1053.933</v>
      </c>
      <c r="EK301" s="1536">
        <v>135.67400000000001</v>
      </c>
      <c r="EL301" s="1536">
        <v>7.5229999999999997</v>
      </c>
      <c r="EM301" s="1536">
        <v>8.5139999999999993</v>
      </c>
      <c r="EN301" s="1537">
        <v>1205.6439999999998</v>
      </c>
      <c r="EO301" s="29">
        <v>234</v>
      </c>
      <c r="EP301" s="1504">
        <v>43617</v>
      </c>
      <c r="EQ301" s="1532">
        <v>20611</v>
      </c>
      <c r="ER301" s="1533">
        <v>21697</v>
      </c>
      <c r="ES301" s="1533">
        <v>42308</v>
      </c>
      <c r="ET301" s="1535">
        <v>7576</v>
      </c>
      <c r="EU301" s="1536">
        <v>1053.933</v>
      </c>
      <c r="EV301" s="1536">
        <v>135.67400000000001</v>
      </c>
      <c r="EW301" s="1536">
        <v>7.5229999999999997</v>
      </c>
      <c r="EX301" s="1536">
        <v>8.5139999999999993</v>
      </c>
      <c r="EY301" s="1537">
        <v>1205.6439999999998</v>
      </c>
      <c r="EZ301" s="29">
        <v>234</v>
      </c>
      <c r="FA301" s="1504">
        <v>43617</v>
      </c>
      <c r="FB301" s="1538">
        <v>1542</v>
      </c>
      <c r="FC301" s="1538">
        <v>1568</v>
      </c>
      <c r="FD301" s="1538">
        <v>3110</v>
      </c>
      <c r="FE301" s="1538">
        <v>371</v>
      </c>
      <c r="FF301" s="1538">
        <v>0</v>
      </c>
      <c r="FG301" s="1538">
        <v>0</v>
      </c>
      <c r="FH301" s="1538">
        <v>0</v>
      </c>
      <c r="FI301" s="1538">
        <v>0</v>
      </c>
      <c r="FJ301" s="1538">
        <v>0</v>
      </c>
      <c r="FK301" s="29">
        <v>234</v>
      </c>
      <c r="FL301" s="1504">
        <v>43617</v>
      </c>
      <c r="FM301" s="179">
        <v>102.99</v>
      </c>
      <c r="FN301" s="99">
        <v>103.58</v>
      </c>
      <c r="FO301" s="99">
        <v>131.72999999999999</v>
      </c>
      <c r="FP301" s="99">
        <v>101.29</v>
      </c>
      <c r="FQ301" s="99">
        <v>99.68</v>
      </c>
      <c r="FR301" s="99">
        <v>101.16</v>
      </c>
      <c r="FS301" s="99">
        <v>100.41</v>
      </c>
      <c r="FT301" s="99">
        <v>99.36</v>
      </c>
      <c r="FU301" s="99">
        <v>98.44</v>
      </c>
      <c r="FV301" s="99">
        <v>101.19</v>
      </c>
      <c r="FW301" s="99">
        <v>104.6</v>
      </c>
      <c r="FX301" s="99">
        <v>104.54</v>
      </c>
      <c r="FY301" s="99">
        <v>100.6</v>
      </c>
      <c r="FZ301" s="29">
        <v>234</v>
      </c>
      <c r="GA301" s="1504">
        <v>43617</v>
      </c>
      <c r="GB301" s="19">
        <v>102.99</v>
      </c>
      <c r="GC301" s="93">
        <v>102.3</v>
      </c>
      <c r="GD301" s="93">
        <v>103.8</v>
      </c>
      <c r="GE301" s="93">
        <v>96.9</v>
      </c>
      <c r="GF301" s="93">
        <v>106.2</v>
      </c>
      <c r="GG301" s="99">
        <v>103.06</v>
      </c>
      <c r="GH301" s="93">
        <v>105.9</v>
      </c>
      <c r="GI301" s="93">
        <v>102.1</v>
      </c>
      <c r="GJ301" s="93">
        <v>102.6</v>
      </c>
      <c r="GK301" s="93">
        <v>100.3</v>
      </c>
      <c r="GL301" s="93">
        <v>104.2</v>
      </c>
      <c r="GM301" s="93">
        <v>101.3</v>
      </c>
      <c r="GN301" s="20">
        <v>102.6</v>
      </c>
      <c r="GO301" s="29">
        <v>234</v>
      </c>
      <c r="GP301" s="1504">
        <v>43617</v>
      </c>
      <c r="GQ301" s="19">
        <v>307</v>
      </c>
      <c r="GR301" s="93">
        <v>247</v>
      </c>
      <c r="GS301" s="93">
        <v>241</v>
      </c>
      <c r="GT301" s="93">
        <v>218</v>
      </c>
      <c r="GU301" s="93">
        <v>405</v>
      </c>
      <c r="GV301" s="20">
        <v>977</v>
      </c>
      <c r="GW301" s="19">
        <v>444</v>
      </c>
      <c r="GX301" s="93">
        <v>453</v>
      </c>
      <c r="GY301" s="93">
        <v>536</v>
      </c>
      <c r="GZ301" s="93">
        <v>387</v>
      </c>
      <c r="HA301" s="93">
        <v>702</v>
      </c>
      <c r="HB301" s="20">
        <v>892</v>
      </c>
      <c r="HC301" s="19">
        <v>1828</v>
      </c>
      <c r="HD301" s="93">
        <v>1944</v>
      </c>
      <c r="HE301" s="93">
        <v>2384</v>
      </c>
      <c r="HF301" s="93">
        <v>3150</v>
      </c>
      <c r="HG301" s="93">
        <v>3021</v>
      </c>
      <c r="HH301" s="20">
        <v>2906</v>
      </c>
      <c r="HI301" s="19"/>
      <c r="HJ301" s="93">
        <v>895</v>
      </c>
      <c r="HK301" s="93">
        <v>1478</v>
      </c>
      <c r="HL301" s="93">
        <v>931</v>
      </c>
      <c r="HM301" s="93">
        <v>900</v>
      </c>
      <c r="HN301" s="20">
        <v>2066</v>
      </c>
      <c r="HO301" s="219">
        <v>129</v>
      </c>
      <c r="HP301" s="20">
        <v>99</v>
      </c>
      <c r="HQ301" s="25">
        <v>145</v>
      </c>
      <c r="HR301" s="29">
        <v>234</v>
      </c>
      <c r="HS301" s="1504">
        <v>43617</v>
      </c>
      <c r="HT301" s="179">
        <v>202.21761779785157</v>
      </c>
      <c r="HU301" s="99">
        <v>250</v>
      </c>
      <c r="HV301" s="99">
        <v>180.37974243164064</v>
      </c>
      <c r="HW301" s="99">
        <v>146.66666666666666</v>
      </c>
      <c r="HX301" s="99">
        <v>179.16666412353516</v>
      </c>
      <c r="HY301" s="99">
        <v>199.9999984741211</v>
      </c>
      <c r="HZ301" s="99">
        <v>230.81657714843749</v>
      </c>
      <c r="IA301" s="132">
        <v>154.82026290893555</v>
      </c>
      <c r="IB301" s="179">
        <v>146.5231819152832</v>
      </c>
      <c r="IC301" s="99">
        <v>79.975581359863284</v>
      </c>
      <c r="ID301" s="99">
        <v>91.889631271362305</v>
      </c>
      <c r="IE301" s="99">
        <v>83.609270095825195</v>
      </c>
      <c r="IF301" s="99">
        <v>162.5</v>
      </c>
      <c r="IG301" s="132">
        <v>81.521736145019531</v>
      </c>
      <c r="IH301" s="179">
        <v>140.87301635742188</v>
      </c>
      <c r="II301" s="99">
        <v>218.5792236328125</v>
      </c>
      <c r="IJ301" s="99">
        <v>148.53489685058594</v>
      </c>
      <c r="IK301" s="99">
        <v>142.85714721679688</v>
      </c>
      <c r="IL301" s="99">
        <v>138.88888549804688</v>
      </c>
      <c r="IM301" s="99">
        <v>132.35293960571289</v>
      </c>
      <c r="IN301" s="93">
        <v>159.01060485839844</v>
      </c>
      <c r="IO301" s="132">
        <v>160.87543640136718</v>
      </c>
      <c r="IP301" s="29">
        <v>234</v>
      </c>
      <c r="IQ301" s="19">
        <v>146.5231819152832</v>
      </c>
      <c r="IR301" s="93">
        <v>79.975581359863284</v>
      </c>
      <c r="IS301" s="93">
        <v>91.889631271362305</v>
      </c>
      <c r="IT301" s="93">
        <v>83.609270095825195</v>
      </c>
      <c r="IU301" s="93">
        <v>162.5</v>
      </c>
      <c r="IV301" s="20">
        <v>81.521736145019531</v>
      </c>
      <c r="IW301" s="29">
        <v>234</v>
      </c>
      <c r="IX301" s="19"/>
      <c r="IY301" s="93">
        <v>389.11289978027344</v>
      </c>
      <c r="IZ301" s="93"/>
      <c r="JA301" s="93">
        <v>375</v>
      </c>
      <c r="JB301" s="93">
        <v>380</v>
      </c>
      <c r="JC301" s="93"/>
      <c r="JD301" s="93">
        <v>375</v>
      </c>
      <c r="JE301" s="20">
        <v>400</v>
      </c>
      <c r="JF301" s="29">
        <v>234</v>
      </c>
      <c r="JG301" s="19">
        <v>131.50469207763672</v>
      </c>
      <c r="JH301" s="93">
        <v>218.5792236328125</v>
      </c>
      <c r="JI301" s="93">
        <v>141.37604675292968</v>
      </c>
      <c r="JJ301" s="93">
        <v>127.65957641601563</v>
      </c>
      <c r="JK301" s="93">
        <v>168.35017395019531</v>
      </c>
      <c r="JL301" s="93">
        <v>169.57804489135742</v>
      </c>
      <c r="JM301" s="93">
        <v>165.84158706665039</v>
      </c>
      <c r="JN301" s="20">
        <v>218.04404296875001</v>
      </c>
      <c r="JO301" s="29">
        <v>234</v>
      </c>
      <c r="JP301" s="19">
        <v>172.41378784179688</v>
      </c>
      <c r="JQ301" s="93">
        <v>73.964784240722651</v>
      </c>
      <c r="JR301" s="93">
        <v>123.33332977294921</v>
      </c>
      <c r="JS301" s="93"/>
      <c r="JT301" s="93">
        <v>166.40866851806641</v>
      </c>
      <c r="JU301" s="20">
        <v>78.125</v>
      </c>
      <c r="JV301" s="29">
        <v>234</v>
      </c>
      <c r="JW301" s="1504">
        <v>43617</v>
      </c>
      <c r="JX301" s="19"/>
      <c r="JY301" s="93">
        <v>300</v>
      </c>
      <c r="JZ301" s="93">
        <v>292</v>
      </c>
      <c r="KA301" s="93">
        <v>269.69512195121951</v>
      </c>
      <c r="KB301" s="93">
        <v>241.97916666666666</v>
      </c>
      <c r="KC301" s="93">
        <v>308</v>
      </c>
      <c r="KD301" s="20">
        <v>282.5</v>
      </c>
      <c r="KE301" s="29">
        <v>234</v>
      </c>
      <c r="KF301" s="19"/>
      <c r="KG301" s="93">
        <v>48.722222222222221</v>
      </c>
      <c r="KH301" s="93">
        <v>40.519230769230766</v>
      </c>
      <c r="KI301" s="93">
        <v>45.537037037037038</v>
      </c>
      <c r="KJ301" s="93">
        <v>63.6</v>
      </c>
      <c r="KK301" s="20">
        <v>70.255409836065596</v>
      </c>
      <c r="KL301" s="29">
        <v>234</v>
      </c>
      <c r="KM301" s="19"/>
      <c r="KN301" s="93">
        <v>24.166666666666668</v>
      </c>
      <c r="KO301" s="93">
        <v>31.072727272727274</v>
      </c>
      <c r="KP301" s="93">
        <v>33.958333333333336</v>
      </c>
      <c r="KQ301" s="93">
        <v>28.0322580645161</v>
      </c>
      <c r="KR301" s="20">
        <v>37.411363636363646</v>
      </c>
      <c r="KS301" s="29">
        <v>234</v>
      </c>
      <c r="KT301" s="19"/>
      <c r="KU301" s="93">
        <v>24.166666666666668</v>
      </c>
      <c r="KV301" s="93">
        <v>22.826530612244898</v>
      </c>
      <c r="KW301" s="93">
        <v>23.153846153846153</v>
      </c>
      <c r="KX301" s="93">
        <v>24.633333333333333</v>
      </c>
      <c r="KY301" s="20">
        <v>31.077272727272728</v>
      </c>
      <c r="KZ301" s="29">
        <v>234</v>
      </c>
      <c r="LA301" s="1504">
        <v>43617</v>
      </c>
      <c r="LB301" s="19"/>
      <c r="LC301" s="93"/>
      <c r="LD301" s="93"/>
      <c r="LE301" s="93"/>
      <c r="LF301" s="93"/>
      <c r="LG301" s="93"/>
      <c r="LH301" s="20"/>
      <c r="LI301" s="29"/>
      <c r="LJ301" s="19"/>
      <c r="LK301" s="93"/>
      <c r="LL301" s="93"/>
      <c r="LM301" s="93"/>
      <c r="LN301" s="93"/>
      <c r="LO301" s="20"/>
      <c r="LP301" s="29"/>
      <c r="LQ301" s="19"/>
      <c r="LR301" s="93">
        <v>188</v>
      </c>
      <c r="LS301" s="93">
        <v>463</v>
      </c>
      <c r="LT301" s="93">
        <v>663</v>
      </c>
      <c r="LU301" s="93">
        <v>1104</v>
      </c>
      <c r="LV301" s="93"/>
      <c r="LW301" s="93">
        <v>5</v>
      </c>
      <c r="LX301" s="93">
        <v>10</v>
      </c>
      <c r="LY301" s="93">
        <v>60</v>
      </c>
      <c r="LZ301" s="93"/>
      <c r="MA301" s="20"/>
      <c r="MB301" s="29">
        <v>234</v>
      </c>
      <c r="MC301" s="1504">
        <v>43617</v>
      </c>
      <c r="MD301" s="733">
        <v>962.73361597306041</v>
      </c>
      <c r="ME301" s="570">
        <v>929.83099728999991</v>
      </c>
      <c r="MF301" s="570">
        <v>929.83099728999991</v>
      </c>
      <c r="MG301" s="570">
        <v>720.31894905900003</v>
      </c>
      <c r="MH301" s="570">
        <v>226.60100739084012</v>
      </c>
      <c r="MI301" s="570">
        <v>6.4503987200174393</v>
      </c>
      <c r="MJ301" s="570">
        <v>3.3031668312619962</v>
      </c>
      <c r="MK301" s="570">
        <v>379.20660382721536</v>
      </c>
      <c r="ML301" s="570">
        <v>99.436609455999999</v>
      </c>
      <c r="MM301" s="570">
        <v>5.3211628336650652</v>
      </c>
      <c r="MN301" s="570">
        <v>209.51204823100002</v>
      </c>
      <c r="MO301" s="570">
        <v>3.486776329</v>
      </c>
      <c r="MP301" s="570">
        <v>134.535960512</v>
      </c>
      <c r="MQ301" s="570">
        <v>0.71243109500000001</v>
      </c>
      <c r="MR301" s="570">
        <v>13.127447159000001</v>
      </c>
      <c r="MS301" s="570">
        <v>57.649433135999992</v>
      </c>
      <c r="MT301" s="570">
        <v>0</v>
      </c>
      <c r="MU301" s="570">
        <v>32.90261868306051</v>
      </c>
      <c r="MV301" s="570">
        <v>26.594293203060509</v>
      </c>
      <c r="MW301" s="570">
        <v>6.3083254800000006</v>
      </c>
      <c r="MX301" s="570">
        <v>1053.3415331443719</v>
      </c>
      <c r="MY301" s="570">
        <v>1057.6069871633717</v>
      </c>
      <c r="MZ301" s="570">
        <v>812.62255333442135</v>
      </c>
      <c r="NA301" s="570">
        <v>410.57603279299997</v>
      </c>
      <c r="NB301" s="570">
        <v>82.52043965899999</v>
      </c>
      <c r="NC301" s="570">
        <v>42.791569973021367</v>
      </c>
      <c r="ND301" s="570">
        <v>31.445993041999998</v>
      </c>
      <c r="NE301" s="570">
        <v>11.345576931021364</v>
      </c>
      <c r="NF301" s="570">
        <v>276.7345109094</v>
      </c>
      <c r="NG301" s="570">
        <v>5.5562104088000002</v>
      </c>
      <c r="NH301" s="570">
        <v>57.012518387</v>
      </c>
      <c r="NI301" s="570">
        <v>0</v>
      </c>
      <c r="NJ301" s="570">
        <v>0</v>
      </c>
      <c r="NK301" s="570">
        <v>244.98443382895042</v>
      </c>
      <c r="NL301" s="570">
        <v>176.816106789</v>
      </c>
      <c r="NM301" s="570">
        <v>0.88775871400000006</v>
      </c>
      <c r="NN301" s="570">
        <v>67.280568325950398</v>
      </c>
      <c r="NO301" s="570">
        <v>-4.2654540189999972</v>
      </c>
      <c r="NP301" s="570">
        <v>-90.607917171311314</v>
      </c>
      <c r="NQ301" s="570">
        <v>-123.51053585437181</v>
      </c>
      <c r="NR301" s="570">
        <v>-13.438397555400044</v>
      </c>
      <c r="NS301" s="570">
        <v>-56.229967528421419</v>
      </c>
      <c r="NT301" s="570">
        <v>-106.59150196858126</v>
      </c>
      <c r="NU301" s="570">
        <v>-139.49412065164177</v>
      </c>
      <c r="NV301" s="570">
        <v>104.18913039104044</v>
      </c>
      <c r="NW301" s="570">
        <v>24.889344975630422</v>
      </c>
      <c r="NX301" s="570">
        <v>48.720405628889893</v>
      </c>
      <c r="NY301" s="570">
        <v>-23.831060653259474</v>
      </c>
      <c r="NZ301" s="570">
        <v>0</v>
      </c>
      <c r="OA301" s="570">
        <v>79.29978541541</v>
      </c>
      <c r="OB301" s="570">
        <v>-48.629303448590001</v>
      </c>
      <c r="OC301" s="570">
        <v>127.92908886399999</v>
      </c>
      <c r="OD301" s="734">
        <v>2.4023715775408334</v>
      </c>
      <c r="OE301" s="29">
        <v>234</v>
      </c>
      <c r="OF301" s="1504">
        <v>43617</v>
      </c>
      <c r="OG301" s="19"/>
      <c r="OH301" s="93">
        <v>569.20912067417839</v>
      </c>
      <c r="OI301" s="93">
        <v>1775.4477557080002</v>
      </c>
      <c r="OJ301" s="93">
        <v>0.37876463900000001</v>
      </c>
      <c r="OK301" s="93">
        <v>1543.6570000000002</v>
      </c>
      <c r="OL301" s="93">
        <v>231.41199106899998</v>
      </c>
      <c r="OM301" s="93">
        <v>2344.6568763821788</v>
      </c>
      <c r="ON301" s="93">
        <v>1541.2351083190001</v>
      </c>
      <c r="OO301" s="93">
        <v>3885.8919847011789</v>
      </c>
      <c r="OP301" s="93"/>
      <c r="OQ301" s="93">
        <v>1466.6964526651784</v>
      </c>
      <c r="OR301" s="93">
        <v>320.36845266517844</v>
      </c>
      <c r="OS301" s="93">
        <v>1146.3279999999997</v>
      </c>
      <c r="OT301" s="93">
        <v>2911.9150151310005</v>
      </c>
      <c r="OU301" s="93">
        <v>27.193173197000078</v>
      </c>
      <c r="OV301" s="93">
        <v>-155.45282680299999</v>
      </c>
      <c r="OW301" s="93">
        <v>182.64600000000007</v>
      </c>
      <c r="OX301" s="93">
        <v>2884.7218419340002</v>
      </c>
      <c r="OY301" s="93">
        <v>7.188841934</v>
      </c>
      <c r="OZ301" s="93">
        <v>2877.5329999999999</v>
      </c>
      <c r="PA301" s="93">
        <v>686.61569364699994</v>
      </c>
      <c r="PB301" s="93">
        <v>-193.89621055199996</v>
      </c>
      <c r="PC301" s="20">
        <v>3885.8919847011789</v>
      </c>
      <c r="PD301" s="29">
        <v>234</v>
      </c>
      <c r="PE301" s="19"/>
      <c r="PF301" s="93">
        <v>320.36845266517844</v>
      </c>
      <c r="PG301" s="93">
        <v>1115.2618145141785</v>
      </c>
      <c r="PH301" s="93">
        <v>794.89336184900003</v>
      </c>
      <c r="PI301" s="93">
        <v>664.21500000000003</v>
      </c>
      <c r="PJ301" s="93">
        <v>-145.88860571000001</v>
      </c>
      <c r="PK301" s="93">
        <v>114.507520906</v>
      </c>
      <c r="PL301" s="93">
        <v>260.396126616</v>
      </c>
      <c r="PM301" s="93">
        <v>7.188841934</v>
      </c>
      <c r="PN301" s="93">
        <v>2.7480000000000002</v>
      </c>
      <c r="PO301" s="93">
        <v>0</v>
      </c>
      <c r="PP301" s="93">
        <v>0</v>
      </c>
      <c r="PQ301" s="93">
        <v>4.4408419339999998</v>
      </c>
      <c r="PR301" s="93">
        <v>837.97206144917845</v>
      </c>
      <c r="PS301" s="93">
        <v>648.14734176717843</v>
      </c>
      <c r="PT301" s="93">
        <v>189.11284672400001</v>
      </c>
      <c r="PU301" s="93">
        <v>0.71187295800000006</v>
      </c>
      <c r="PV301" s="93">
        <v>0</v>
      </c>
      <c r="PW301" s="93">
        <v>1.577902076</v>
      </c>
      <c r="PX301" s="93">
        <v>0</v>
      </c>
      <c r="PY301" s="93">
        <v>0</v>
      </c>
      <c r="PZ301" s="93">
        <v>1.577902076</v>
      </c>
      <c r="QA301" s="93">
        <v>0</v>
      </c>
      <c r="QB301" s="93">
        <v>0</v>
      </c>
      <c r="QC301" s="93">
        <v>0</v>
      </c>
      <c r="QD301" s="93">
        <v>10.381791571000001</v>
      </c>
      <c r="QE301" s="20">
        <v>-4.0480662069999997</v>
      </c>
      <c r="QF301" s="1739">
        <v>234</v>
      </c>
      <c r="QG301" s="19"/>
      <c r="QH301" s="1035">
        <v>1146.3279999999997</v>
      </c>
      <c r="QI301" s="1035">
        <v>1539.4499999999998</v>
      </c>
      <c r="QJ301" s="1035">
        <v>-393.12200000000007</v>
      </c>
      <c r="QK301" s="1035">
        <v>245.55399999999997</v>
      </c>
      <c r="QL301" s="1035">
        <v>69.373999999999995</v>
      </c>
      <c r="QM301" s="1035">
        <v>176.15199999999999</v>
      </c>
      <c r="QN301" s="1035">
        <v>2.8000000000000001E-2</v>
      </c>
      <c r="QO301" s="1035">
        <v>182.64600000000007</v>
      </c>
      <c r="QP301" s="1035">
        <v>533.01100000000008</v>
      </c>
      <c r="QQ301" s="1035">
        <v>-350.36500000000001</v>
      </c>
      <c r="QR301" s="1035">
        <v>2877.5329999999999</v>
      </c>
      <c r="QS301" s="1035">
        <v>20.335999999999999</v>
      </c>
      <c r="QT301" s="1035">
        <v>38.774000000000001</v>
      </c>
      <c r="QU301" s="1035">
        <v>280.65500000000003</v>
      </c>
      <c r="QV301" s="1035">
        <v>2537.768</v>
      </c>
      <c r="QW301" s="93"/>
      <c r="QX301" s="93">
        <v>626.75500000000011</v>
      </c>
      <c r="QY301" s="93">
        <v>1543.6570000000002</v>
      </c>
      <c r="QZ301" s="93">
        <v>1540.902</v>
      </c>
      <c r="RA301" s="93">
        <v>0</v>
      </c>
      <c r="RB301" s="93">
        <v>146.98200000000003</v>
      </c>
      <c r="RC301" s="93">
        <v>0</v>
      </c>
      <c r="RD301" s="93">
        <v>47.430999999999997</v>
      </c>
      <c r="RE301" s="93">
        <v>0</v>
      </c>
      <c r="RF301" s="93">
        <v>0</v>
      </c>
      <c r="RG301" s="93">
        <v>480.24299999999999</v>
      </c>
      <c r="RH301" s="93">
        <v>66.090999999999951</v>
      </c>
      <c r="RI301" s="93"/>
      <c r="RJ301" s="93"/>
      <c r="RK301" s="93"/>
      <c r="RL301" s="93"/>
      <c r="RM301" s="734"/>
      <c r="RN301" s="29">
        <v>234</v>
      </c>
      <c r="RO301" s="1532">
        <v>110</v>
      </c>
      <c r="RP301" s="1534">
        <v>571</v>
      </c>
      <c r="RQ301" s="29">
        <v>234</v>
      </c>
      <c r="RR301" s="734">
        <v>4.6641176999999985</v>
      </c>
      <c r="RS301" s="29">
        <v>234</v>
      </c>
      <c r="RT301" s="1504">
        <v>43617</v>
      </c>
      <c r="RU301" s="1532">
        <v>1158</v>
      </c>
      <c r="RV301" s="1534">
        <v>14</v>
      </c>
      <c r="RW301" s="29">
        <v>234</v>
      </c>
      <c r="RX301" s="1504">
        <v>43617</v>
      </c>
      <c r="RY301" s="29"/>
      <c r="RZ301" s="734"/>
      <c r="SA301" s="29"/>
      <c r="SB301" s="29">
        <v>234</v>
      </c>
    </row>
    <row r="302" spans="1:496">
      <c r="A302" s="41">
        <f t="shared" si="238"/>
        <v>2019</v>
      </c>
      <c r="B302" s="1504">
        <v>43647</v>
      </c>
      <c r="C302" s="1813">
        <v>1041</v>
      </c>
      <c r="D302" s="1814">
        <v>19030</v>
      </c>
      <c r="E302" s="1814">
        <v>38</v>
      </c>
      <c r="F302" s="1815">
        <v>279</v>
      </c>
      <c r="G302" s="1814">
        <v>115224</v>
      </c>
      <c r="H302" s="1814">
        <v>5</v>
      </c>
      <c r="I302" s="1814">
        <v>29787</v>
      </c>
      <c r="J302" s="1816">
        <v>19136</v>
      </c>
      <c r="K302" s="1807">
        <v>184540</v>
      </c>
      <c r="L302" s="25">
        <v>235</v>
      </c>
      <c r="M302" s="97"/>
      <c r="N302" s="1504">
        <v>43647</v>
      </c>
      <c r="O302" s="19">
        <v>353</v>
      </c>
      <c r="P302" s="93">
        <v>379</v>
      </c>
      <c r="Q302" s="93">
        <v>7884</v>
      </c>
      <c r="R302" s="93">
        <v>1712</v>
      </c>
      <c r="S302" s="93">
        <v>1011</v>
      </c>
      <c r="T302" s="93">
        <v>733</v>
      </c>
      <c r="U302" s="93">
        <v>143</v>
      </c>
      <c r="V302" s="93">
        <v>1695</v>
      </c>
      <c r="W302" s="93">
        <v>3253</v>
      </c>
      <c r="X302" s="93">
        <v>583</v>
      </c>
      <c r="Y302" s="93">
        <v>242</v>
      </c>
      <c r="Z302" s="93">
        <v>826</v>
      </c>
      <c r="AA302" s="93">
        <v>216</v>
      </c>
      <c r="AB302" s="20">
        <v>19030</v>
      </c>
      <c r="AC302" s="25">
        <v>235</v>
      </c>
      <c r="AD302" s="97"/>
      <c r="AE302" s="1504">
        <v>43647</v>
      </c>
      <c r="AF302" s="19">
        <v>2087</v>
      </c>
      <c r="AG302" s="93">
        <v>1246</v>
      </c>
      <c r="AH302" s="93">
        <v>883</v>
      </c>
      <c r="AI302" s="93">
        <v>415</v>
      </c>
      <c r="AJ302" s="93">
        <v>1582</v>
      </c>
      <c r="AK302" s="93">
        <v>1646</v>
      </c>
      <c r="AL302" s="93">
        <v>324</v>
      </c>
      <c r="AM302" s="93">
        <v>926</v>
      </c>
      <c r="AN302" s="93">
        <v>1758</v>
      </c>
      <c r="AO302" s="93">
        <v>4458</v>
      </c>
      <c r="AP302" s="93">
        <v>6983</v>
      </c>
      <c r="AQ302" s="93">
        <v>1679</v>
      </c>
      <c r="AR302" s="93">
        <v>1840</v>
      </c>
      <c r="AS302" s="20">
        <v>25827</v>
      </c>
      <c r="AT302" s="25">
        <v>235</v>
      </c>
      <c r="AU302" s="97"/>
      <c r="AV302" s="1504">
        <v>43647</v>
      </c>
      <c r="AW302" s="19">
        <v>10334</v>
      </c>
      <c r="AX302" s="93">
        <v>3100</v>
      </c>
      <c r="AY302" s="93">
        <v>5998</v>
      </c>
      <c r="AZ302" s="93">
        <v>18417</v>
      </c>
      <c r="BA302" s="93">
        <v>9600</v>
      </c>
      <c r="BB302" s="93">
        <v>7999</v>
      </c>
      <c r="BC302" s="93">
        <v>4801</v>
      </c>
      <c r="BD302" s="93">
        <v>10000</v>
      </c>
      <c r="BE302" s="93">
        <v>13239</v>
      </c>
      <c r="BF302" s="93">
        <v>11393</v>
      </c>
      <c r="BG302" s="93">
        <v>5255</v>
      </c>
      <c r="BH302" s="93">
        <v>11412</v>
      </c>
      <c r="BI302" s="93">
        <v>3676</v>
      </c>
      <c r="BJ302" s="20">
        <v>115224</v>
      </c>
      <c r="BK302" s="25">
        <v>235</v>
      </c>
      <c r="BL302" s="97"/>
      <c r="BM302" s="1504">
        <v>43647</v>
      </c>
      <c r="BN302" s="19">
        <v>59.97600000000002</v>
      </c>
      <c r="BO302" s="93">
        <v>2448.4839999999986</v>
      </c>
      <c r="BP302" s="93">
        <v>8.2560000000000002</v>
      </c>
      <c r="BQ302" s="93">
        <v>929.71199999999999</v>
      </c>
      <c r="BR302" s="93">
        <v>0.76500000000000001</v>
      </c>
      <c r="BS302" s="93">
        <v>276.8490000000001</v>
      </c>
      <c r="BT302" s="93">
        <v>475.15199999999965</v>
      </c>
      <c r="BU302" s="20">
        <v>4199.1939999999986</v>
      </c>
      <c r="BV302" s="25">
        <v>235</v>
      </c>
      <c r="BW302" s="97"/>
      <c r="BX302" s="1504">
        <v>43647</v>
      </c>
      <c r="BY302" s="179">
        <v>584.73360430766661</v>
      </c>
      <c r="BZ302" s="99">
        <v>664.95699999999999</v>
      </c>
      <c r="CA302" s="99">
        <v>592.23299999999995</v>
      </c>
      <c r="CB302" s="99">
        <v>41.831981831793108</v>
      </c>
      <c r="CC302" s="99">
        <v>108.5883</v>
      </c>
      <c r="CD302" s="25">
        <v>235</v>
      </c>
      <c r="CE302" s="97"/>
      <c r="CF302" s="1504">
        <v>43647</v>
      </c>
      <c r="CG302" s="1508">
        <v>1.6653699479999999</v>
      </c>
      <c r="CH302" s="568">
        <v>1412.89</v>
      </c>
      <c r="CI302" s="1708">
        <v>61.476666666666702</v>
      </c>
      <c r="CJ302" s="1509">
        <v>64</v>
      </c>
      <c r="CK302" s="1508">
        <v>391.7</v>
      </c>
      <c r="CL302" s="568">
        <v>189.41913199999999</v>
      </c>
      <c r="CM302" s="568">
        <v>0.28285274599999999</v>
      </c>
      <c r="CN302" s="568">
        <v>0.36640032</v>
      </c>
      <c r="CO302" s="568">
        <v>196.21119780000001</v>
      </c>
      <c r="CP302" s="1509">
        <v>4.629702</v>
      </c>
      <c r="CQ302" s="1708">
        <v>1437.71</v>
      </c>
      <c r="CR302" s="568">
        <v>2.1660392805132398</v>
      </c>
      <c r="CS302" s="568">
        <v>1.6681999999999999</v>
      </c>
      <c r="CT302" s="568">
        <v>80</v>
      </c>
      <c r="CU302" s="568">
        <v>120.24</v>
      </c>
      <c r="CV302" s="1709">
        <v>2446.5100000000002</v>
      </c>
      <c r="CW302" s="29">
        <v>235</v>
      </c>
      <c r="CX302" s="41">
        <f t="shared" si="239"/>
        <v>2019</v>
      </c>
      <c r="CY302" s="1504">
        <v>43647</v>
      </c>
      <c r="CZ302" s="733">
        <v>144.2567382</v>
      </c>
      <c r="DA302" s="570">
        <v>77.681957199999999</v>
      </c>
      <c r="DB302" s="570">
        <v>50.871395</v>
      </c>
      <c r="DC302" s="93"/>
      <c r="DD302" s="93"/>
      <c r="DE302" s="20"/>
      <c r="DF302" s="29">
        <v>235</v>
      </c>
      <c r="DG302" s="1504">
        <v>43647</v>
      </c>
      <c r="DH302" s="19">
        <v>413928</v>
      </c>
      <c r="DI302" s="93">
        <v>4197644</v>
      </c>
      <c r="DJ302" s="93">
        <v>256872</v>
      </c>
      <c r="DK302" s="93">
        <v>13446</v>
      </c>
      <c r="DL302" s="93">
        <v>484619</v>
      </c>
      <c r="DM302" s="93">
        <v>7779</v>
      </c>
      <c r="DN302" s="20">
        <v>1327296</v>
      </c>
      <c r="DO302" s="295">
        <f t="shared" si="282"/>
        <v>6287656</v>
      </c>
      <c r="DP302" s="29">
        <v>235</v>
      </c>
      <c r="DQ302" s="1504">
        <v>43647</v>
      </c>
      <c r="DR302" s="19">
        <v>43476</v>
      </c>
      <c r="DS302" s="93">
        <v>468</v>
      </c>
      <c r="DT302" s="93">
        <v>61883</v>
      </c>
      <c r="DU302" s="93">
        <v>1813</v>
      </c>
      <c r="DV302" s="93">
        <v>18562</v>
      </c>
      <c r="DW302" s="93">
        <v>4476</v>
      </c>
      <c r="DX302" s="20">
        <v>9682.259</v>
      </c>
      <c r="DY302" s="29">
        <v>235</v>
      </c>
      <c r="DZ302" s="1504">
        <v>43647</v>
      </c>
      <c r="EA302" s="19"/>
      <c r="EB302" s="93"/>
      <c r="EC302" s="20"/>
      <c r="ED302" s="29"/>
      <c r="EE302" s="1504">
        <v>43647</v>
      </c>
      <c r="EF302" s="19">
        <v>25271</v>
      </c>
      <c r="EG302" s="93">
        <v>36156</v>
      </c>
      <c r="EH302" s="93">
        <v>61427</v>
      </c>
      <c r="EI302" s="214">
        <v>9647</v>
      </c>
      <c r="EJ302" s="93">
        <v>646.10599999999999</v>
      </c>
      <c r="EK302" s="93">
        <v>71.165999999999997</v>
      </c>
      <c r="EL302" s="93">
        <v>4.8550000000000004</v>
      </c>
      <c r="EM302" s="93">
        <v>5.7489999999999997</v>
      </c>
      <c r="EN302" s="20">
        <v>727.87599999999998</v>
      </c>
      <c r="EO302" s="29">
        <v>235</v>
      </c>
      <c r="EP302" s="1504">
        <v>43647</v>
      </c>
      <c r="EQ302" s="19">
        <v>23597</v>
      </c>
      <c r="ER302" s="93">
        <v>32294</v>
      </c>
      <c r="ES302" s="93">
        <v>55891</v>
      </c>
      <c r="ET302" s="214">
        <v>9118</v>
      </c>
      <c r="EU302" s="93">
        <v>646.10599999999999</v>
      </c>
      <c r="EV302" s="93">
        <v>71.165999999999997</v>
      </c>
      <c r="EW302" s="93">
        <v>4.8550000000000004</v>
      </c>
      <c r="EX302" s="93">
        <v>5.7489999999999997</v>
      </c>
      <c r="EY302" s="20">
        <v>727.87599999999998</v>
      </c>
      <c r="EZ302" s="29">
        <v>235</v>
      </c>
      <c r="FA302" s="1504">
        <v>43647</v>
      </c>
      <c r="FB302" s="29">
        <v>1674</v>
      </c>
      <c r="FC302" s="29">
        <v>3862</v>
      </c>
      <c r="FD302" s="29">
        <v>5536</v>
      </c>
      <c r="FE302" s="29">
        <v>529</v>
      </c>
      <c r="FF302" s="29">
        <v>0</v>
      </c>
      <c r="FG302" s="29">
        <v>0</v>
      </c>
      <c r="FH302" s="29">
        <v>0</v>
      </c>
      <c r="FI302" s="29">
        <v>0</v>
      </c>
      <c r="FJ302" s="29">
        <v>0</v>
      </c>
      <c r="FK302" s="29">
        <v>235</v>
      </c>
      <c r="FL302" s="1504">
        <v>43647</v>
      </c>
      <c r="FM302" s="179">
        <v>103.22</v>
      </c>
      <c r="FN302" s="99">
        <v>104.7</v>
      </c>
      <c r="FO302" s="99">
        <v>132.01</v>
      </c>
      <c r="FP302" s="99">
        <v>101.29</v>
      </c>
      <c r="FQ302" s="99">
        <v>97.22</v>
      </c>
      <c r="FR302" s="99">
        <v>101.18</v>
      </c>
      <c r="FS302" s="99">
        <v>100.41</v>
      </c>
      <c r="FT302" s="99">
        <v>99.33</v>
      </c>
      <c r="FU302" s="99">
        <v>98.44</v>
      </c>
      <c r="FV302" s="99">
        <v>101.04</v>
      </c>
      <c r="FW302" s="99">
        <v>104.6</v>
      </c>
      <c r="FX302" s="99">
        <v>104.74</v>
      </c>
      <c r="FY302" s="99">
        <v>100.71</v>
      </c>
      <c r="FZ302" s="29">
        <v>235</v>
      </c>
      <c r="GA302" s="1504">
        <v>43647</v>
      </c>
      <c r="GB302" s="19">
        <v>103.22</v>
      </c>
      <c r="GC302" s="93">
        <v>102.33</v>
      </c>
      <c r="GD302" s="93">
        <v>104.12</v>
      </c>
      <c r="GE302" s="93">
        <v>93.98</v>
      </c>
      <c r="GF302" s="93">
        <v>106.71</v>
      </c>
      <c r="GG302" s="99">
        <v>103.66</v>
      </c>
      <c r="GH302" s="93">
        <v>106.87</v>
      </c>
      <c r="GI302" s="93">
        <v>102.22</v>
      </c>
      <c r="GJ302" s="93">
        <v>102.59</v>
      </c>
      <c r="GK302" s="93">
        <v>100.27</v>
      </c>
      <c r="GL302" s="93">
        <v>104.77</v>
      </c>
      <c r="GM302" s="93">
        <v>101.26</v>
      </c>
      <c r="GN302" s="20">
        <v>102.59</v>
      </c>
      <c r="GO302" s="29">
        <v>235</v>
      </c>
      <c r="GP302" s="1504">
        <v>43647</v>
      </c>
      <c r="GQ302" s="19">
        <v>365</v>
      </c>
      <c r="GR302" s="93">
        <v>300</v>
      </c>
      <c r="GS302" s="93">
        <v>279</v>
      </c>
      <c r="GT302" s="93">
        <v>221</v>
      </c>
      <c r="GU302" s="93">
        <v>425</v>
      </c>
      <c r="GV302" s="20">
        <v>1049</v>
      </c>
      <c r="GW302" s="19">
        <v>483</v>
      </c>
      <c r="GX302" s="93">
        <v>448</v>
      </c>
      <c r="GY302" s="93">
        <v>560</v>
      </c>
      <c r="GZ302" s="93">
        <v>403</v>
      </c>
      <c r="HA302" s="93">
        <v>392</v>
      </c>
      <c r="HB302" s="20">
        <v>658</v>
      </c>
      <c r="HC302" s="19">
        <v>2279</v>
      </c>
      <c r="HD302" s="93">
        <v>2668</v>
      </c>
      <c r="HE302" s="93">
        <v>2797</v>
      </c>
      <c r="HF302" s="93">
        <v>3150</v>
      </c>
      <c r="HG302" s="93">
        <v>2630</v>
      </c>
      <c r="HH302" s="20">
        <v>3320</v>
      </c>
      <c r="HI302" s="19"/>
      <c r="HJ302" s="93">
        <v>995</v>
      </c>
      <c r="HK302" s="93">
        <v>1456</v>
      </c>
      <c r="HL302" s="93">
        <v>810</v>
      </c>
      <c r="HM302" s="93">
        <v>900</v>
      </c>
      <c r="HN302" s="20">
        <v>2159</v>
      </c>
      <c r="HO302" s="219">
        <v>147</v>
      </c>
      <c r="HP302" s="20">
        <v>94</v>
      </c>
      <c r="HQ302" s="25">
        <v>150</v>
      </c>
      <c r="HR302" s="29">
        <v>235</v>
      </c>
      <c r="HS302" s="1504">
        <v>43647</v>
      </c>
      <c r="HT302" s="179">
        <v>200.92757225036621</v>
      </c>
      <c r="HU302" s="99">
        <v>246.52777862548828</v>
      </c>
      <c r="HV302" s="99">
        <v>158.56378173828125</v>
      </c>
      <c r="HW302" s="99">
        <v>135.96154022216797</v>
      </c>
      <c r="HX302" s="99">
        <v>183.33332824707031</v>
      </c>
      <c r="HY302" s="99">
        <v>196.15687942504883</v>
      </c>
      <c r="HZ302" s="99">
        <v>220.9301643371582</v>
      </c>
      <c r="IA302" s="132">
        <v>149.01960754394531</v>
      </c>
      <c r="IB302" s="179">
        <v>160.25002746582032</v>
      </c>
      <c r="IC302" s="99">
        <v>78.162579854329422</v>
      </c>
      <c r="ID302" s="99">
        <v>95.307773590087891</v>
      </c>
      <c r="IE302" s="99">
        <v>90.239244079589838</v>
      </c>
      <c r="IF302" s="99">
        <v>151.01139526367189</v>
      </c>
      <c r="IG302" s="132">
        <v>85.294117736816403</v>
      </c>
      <c r="IH302" s="179">
        <v>125.63058376312256</v>
      </c>
      <c r="II302" s="99">
        <v>214.33764266967773</v>
      </c>
      <c r="IJ302" s="99">
        <v>135.59321594238281</v>
      </c>
      <c r="IK302" s="99">
        <v>143.47601928710938</v>
      </c>
      <c r="IL302" s="99">
        <v>139.91142654418945</v>
      </c>
      <c r="IM302" s="99">
        <v>116.64821910858154</v>
      </c>
      <c r="IN302" s="93">
        <v>159.01060485839844</v>
      </c>
      <c r="IO302" s="132">
        <v>155.67855834960938</v>
      </c>
      <c r="IP302" s="29">
        <v>235</v>
      </c>
      <c r="IQ302" s="19">
        <v>160.25002746582032</v>
      </c>
      <c r="IR302" s="93">
        <v>78.162579854329422</v>
      </c>
      <c r="IS302" s="93">
        <v>95.307773590087891</v>
      </c>
      <c r="IT302" s="93">
        <v>90.239244079589838</v>
      </c>
      <c r="IU302" s="93">
        <v>151.01139526367189</v>
      </c>
      <c r="IV302" s="20">
        <v>85.294117736816403</v>
      </c>
      <c r="IW302" s="29">
        <v>235</v>
      </c>
      <c r="IX302" s="19">
        <v>409.10138702392578</v>
      </c>
      <c r="IY302" s="93">
        <v>441.27944946289063</v>
      </c>
      <c r="IZ302" s="93">
        <v>394.66845703125</v>
      </c>
      <c r="JA302" s="93">
        <v>375</v>
      </c>
      <c r="JB302" s="93">
        <v>380</v>
      </c>
      <c r="JC302" s="93">
        <v>400</v>
      </c>
      <c r="JD302" s="93">
        <v>400</v>
      </c>
      <c r="JE302" s="20">
        <v>375</v>
      </c>
      <c r="JF302" s="29">
        <v>235</v>
      </c>
      <c r="JG302" s="19">
        <v>130.8758602142334</v>
      </c>
      <c r="JH302" s="93">
        <v>214.33764266967773</v>
      </c>
      <c r="JI302" s="93">
        <v>128.47996012369791</v>
      </c>
      <c r="JJ302" s="93">
        <v>168.35017395019531</v>
      </c>
      <c r="JK302" s="93">
        <v>157.13501993815103</v>
      </c>
      <c r="JL302" s="93">
        <v>158.66175079345703</v>
      </c>
      <c r="JM302" s="93">
        <v>176.45833129882811</v>
      </c>
      <c r="JN302" s="20">
        <v>208.20052146911621</v>
      </c>
      <c r="JO302" s="29">
        <v>235</v>
      </c>
      <c r="JP302" s="19">
        <v>178.24324340820311</v>
      </c>
      <c r="JQ302" s="93">
        <v>74.380700853135849</v>
      </c>
      <c r="JR302" s="93">
        <v>118.27585906982422</v>
      </c>
      <c r="JS302" s="93"/>
      <c r="JT302" s="93">
        <v>139.38158721923827</v>
      </c>
      <c r="JU302" s="20">
        <v>79.661883544921878</v>
      </c>
      <c r="JV302" s="29">
        <v>235</v>
      </c>
      <c r="JW302" s="1504">
        <v>43647</v>
      </c>
      <c r="JX302" s="19"/>
      <c r="JY302" s="93">
        <v>322.43589743589746</v>
      </c>
      <c r="JZ302" s="93">
        <v>279.42307692307696</v>
      </c>
      <c r="KA302" s="93">
        <v>238.28125</v>
      </c>
      <c r="KB302" s="93">
        <v>264.375</v>
      </c>
      <c r="KC302" s="93">
        <v>235.03508771929825</v>
      </c>
      <c r="KD302" s="20">
        <v>295.76388888888886</v>
      </c>
      <c r="KE302" s="29">
        <v>235</v>
      </c>
      <c r="KF302" s="19"/>
      <c r="KG302" s="93">
        <v>45.116438356164387</v>
      </c>
      <c r="KH302" s="93">
        <v>54.395833333333336</v>
      </c>
      <c r="KI302" s="93">
        <v>57.96875</v>
      </c>
      <c r="KJ302" s="93">
        <v>42.382075471698109</v>
      </c>
      <c r="KK302" s="20">
        <v>75.879251700680271</v>
      </c>
      <c r="KL302" s="29">
        <v>235</v>
      </c>
      <c r="KM302" s="19"/>
      <c r="KN302" s="93">
        <v>14.480519480519481</v>
      </c>
      <c r="KO302" s="93">
        <v>30.942708333333332</v>
      </c>
      <c r="KP302" s="93">
        <v>33.010416666666664</v>
      </c>
      <c r="KQ302" s="93">
        <v>29.839622641509436</v>
      </c>
      <c r="KR302" s="20">
        <v>30.318493150684933</v>
      </c>
      <c r="KS302" s="29">
        <v>235</v>
      </c>
      <c r="KT302" s="19"/>
      <c r="KU302" s="93">
        <v>23.935897435897438</v>
      </c>
      <c r="KV302" s="93">
        <v>31.1875</v>
      </c>
      <c r="KW302" s="93">
        <v>21.238541666666666</v>
      </c>
      <c r="KX302" s="93">
        <v>18.424528301886792</v>
      </c>
      <c r="KY302" s="20">
        <v>24.706484641638223</v>
      </c>
      <c r="KZ302" s="29">
        <v>235</v>
      </c>
      <c r="LA302" s="1504">
        <v>43647</v>
      </c>
      <c r="LB302" s="19"/>
      <c r="LC302" s="93"/>
      <c r="LD302" s="93"/>
      <c r="LE302" s="93"/>
      <c r="LF302" s="93"/>
      <c r="LG302" s="93"/>
      <c r="LH302" s="20"/>
      <c r="LI302" s="29"/>
      <c r="LJ302" s="19"/>
      <c r="LK302" s="93"/>
      <c r="LL302" s="93"/>
      <c r="LM302" s="93"/>
      <c r="LN302" s="93"/>
      <c r="LO302" s="20"/>
      <c r="LP302" s="29"/>
      <c r="LQ302" s="19"/>
      <c r="LR302" s="93">
        <v>188</v>
      </c>
      <c r="LS302" s="93">
        <v>463</v>
      </c>
      <c r="LT302" s="93">
        <v>663</v>
      </c>
      <c r="LU302" s="93">
        <v>1104</v>
      </c>
      <c r="LV302" s="93"/>
      <c r="LW302" s="93">
        <v>5</v>
      </c>
      <c r="LX302" s="93">
        <v>10</v>
      </c>
      <c r="LY302" s="93">
        <v>60</v>
      </c>
      <c r="LZ302" s="93"/>
      <c r="MA302" s="20"/>
      <c r="MB302" s="29">
        <v>235</v>
      </c>
      <c r="MC302" s="1504">
        <v>43647</v>
      </c>
      <c r="MD302" s="733">
        <v>1150.1165984936911</v>
      </c>
      <c r="ME302" s="570">
        <v>1114.8305198026094</v>
      </c>
      <c r="MF302" s="570">
        <v>1114.8305198026094</v>
      </c>
      <c r="MG302" s="570">
        <v>882.60030624460956</v>
      </c>
      <c r="MH302" s="570">
        <v>296.44763793784011</v>
      </c>
      <c r="MI302" s="570">
        <v>7.67230911201744</v>
      </c>
      <c r="MJ302" s="570">
        <v>4.3849032790715201</v>
      </c>
      <c r="MK302" s="570">
        <v>448.78255659801539</v>
      </c>
      <c r="ML302" s="570">
        <v>118.159961192</v>
      </c>
      <c r="MM302" s="570">
        <v>7.1529381256650657</v>
      </c>
      <c r="MN302" s="570">
        <v>232.23021355800003</v>
      </c>
      <c r="MO302" s="570">
        <v>4.0431039850000001</v>
      </c>
      <c r="MP302" s="570">
        <v>138.40176116000001</v>
      </c>
      <c r="MQ302" s="570">
        <v>1.3904396230000002</v>
      </c>
      <c r="MR302" s="570">
        <v>16.367561326000001</v>
      </c>
      <c r="MS302" s="570">
        <v>72.027347463999988</v>
      </c>
      <c r="MT302" s="570">
        <v>0</v>
      </c>
      <c r="MU302" s="570">
        <v>35.286078691081613</v>
      </c>
      <c r="MV302" s="570">
        <v>28.977753211081616</v>
      </c>
      <c r="MW302" s="570">
        <v>6.3083254800000006</v>
      </c>
      <c r="MX302" s="570">
        <v>1254.4021477351127</v>
      </c>
      <c r="MY302" s="570">
        <v>1259.3282572181129</v>
      </c>
      <c r="MZ302" s="570">
        <v>953.66523271092888</v>
      </c>
      <c r="NA302" s="570">
        <v>485.18800295233336</v>
      </c>
      <c r="NB302" s="570">
        <v>93.678834981999998</v>
      </c>
      <c r="NC302" s="570">
        <v>49.521009255695489</v>
      </c>
      <c r="ND302" s="570">
        <v>36.950464008999994</v>
      </c>
      <c r="NE302" s="570">
        <v>12.570545246695499</v>
      </c>
      <c r="NF302" s="570">
        <v>325.2773855209</v>
      </c>
      <c r="NG302" s="570">
        <v>6.4396293038000003</v>
      </c>
      <c r="NH302" s="570">
        <v>75.165849602999998</v>
      </c>
      <c r="NI302" s="570">
        <v>0</v>
      </c>
      <c r="NJ302" s="570">
        <v>0</v>
      </c>
      <c r="NK302" s="570">
        <v>305.66302450718388</v>
      </c>
      <c r="NL302" s="570">
        <v>225.90200423500002</v>
      </c>
      <c r="NM302" s="570">
        <v>1.3071919590000001</v>
      </c>
      <c r="NN302" s="570">
        <v>78.453828313183863</v>
      </c>
      <c r="NO302" s="570">
        <v>-4.9261094829999941</v>
      </c>
      <c r="NP302" s="570">
        <v>-104.28554924142173</v>
      </c>
      <c r="NQ302" s="570">
        <v>-139.57162793250333</v>
      </c>
      <c r="NR302" s="570">
        <v>-11.596790363623978</v>
      </c>
      <c r="NS302" s="570">
        <v>-61.117799619319484</v>
      </c>
      <c r="NT302" s="570">
        <v>-103.12014894742168</v>
      </c>
      <c r="NU302" s="570">
        <v>-138.40622763850331</v>
      </c>
      <c r="NV302" s="570">
        <v>95.724738976377509</v>
      </c>
      <c r="NW302" s="570">
        <v>29.959801650557502</v>
      </c>
      <c r="NX302" s="570">
        <v>57.510205608102247</v>
      </c>
      <c r="NY302" s="570">
        <v>-27.550403957544745</v>
      </c>
      <c r="NZ302" s="570">
        <v>0</v>
      </c>
      <c r="OA302" s="570">
        <v>65.764937325819986</v>
      </c>
      <c r="OB302" s="570">
        <v>-58.871688332180014</v>
      </c>
      <c r="OC302" s="570">
        <v>124.63662565799999</v>
      </c>
      <c r="OD302" s="734">
        <v>7.3954099710441827</v>
      </c>
      <c r="OE302" s="29">
        <v>235</v>
      </c>
      <c r="OF302" s="1504">
        <v>43647</v>
      </c>
      <c r="OG302" s="19"/>
      <c r="OH302" s="93">
        <v>563.86351600199987</v>
      </c>
      <c r="OI302" s="93">
        <v>1655.4323756019999</v>
      </c>
      <c r="OJ302" s="93">
        <v>1.3343845329999999</v>
      </c>
      <c r="OK302" s="93">
        <v>1422.6859999999999</v>
      </c>
      <c r="OL302" s="93">
        <v>231.41199106899998</v>
      </c>
      <c r="OM302" s="93">
        <v>2219.2958916039997</v>
      </c>
      <c r="ON302" s="93">
        <v>1557.8961083190002</v>
      </c>
      <c r="OO302" s="93">
        <v>3777.1919999229999</v>
      </c>
      <c r="OP302" s="93"/>
      <c r="OQ302" s="93">
        <v>1406.3030107050001</v>
      </c>
      <c r="OR302" s="93">
        <v>334.98501070500004</v>
      </c>
      <c r="OS302" s="93">
        <v>1071.318</v>
      </c>
      <c r="OT302" s="93">
        <v>2876.5411164379998</v>
      </c>
      <c r="OU302" s="93">
        <v>-27.181611855000028</v>
      </c>
      <c r="OV302" s="93">
        <v>-175.937611855</v>
      </c>
      <c r="OW302" s="93">
        <v>148.75599999999997</v>
      </c>
      <c r="OX302" s="93">
        <v>2903.7227282929998</v>
      </c>
      <c r="OY302" s="93">
        <v>7.2257282930000004</v>
      </c>
      <c r="OZ302" s="93">
        <v>2896.4969999999998</v>
      </c>
      <c r="PA302" s="93">
        <v>693.33712146900007</v>
      </c>
      <c r="PB302" s="93">
        <v>-187.68499424900008</v>
      </c>
      <c r="PC302" s="20">
        <v>3777.1919999230004</v>
      </c>
      <c r="PD302" s="29">
        <v>235</v>
      </c>
      <c r="PE302" s="19"/>
      <c r="PF302" s="93">
        <v>334.98501070500004</v>
      </c>
      <c r="PG302" s="93">
        <v>1123.856472658</v>
      </c>
      <c r="PH302" s="93">
        <v>788.87146195299999</v>
      </c>
      <c r="PI302" s="93">
        <v>672.59900000000005</v>
      </c>
      <c r="PJ302" s="93">
        <v>-166.37339076200001</v>
      </c>
      <c r="PK302" s="93">
        <v>113.602888326</v>
      </c>
      <c r="PL302" s="93">
        <v>279.97627908800001</v>
      </c>
      <c r="PM302" s="93">
        <v>7.2257282930000004</v>
      </c>
      <c r="PN302" s="93">
        <v>2.7480000000000002</v>
      </c>
      <c r="PO302" s="93">
        <v>0</v>
      </c>
      <c r="PP302" s="93">
        <v>0</v>
      </c>
      <c r="PQ302" s="93">
        <v>4.4777282930000002</v>
      </c>
      <c r="PR302" s="93">
        <v>849.1370651609999</v>
      </c>
      <c r="PS302" s="93">
        <v>641.70873709499995</v>
      </c>
      <c r="PT302" s="93">
        <v>205.760835214</v>
      </c>
      <c r="PU302" s="93">
        <v>1.6674928519999999</v>
      </c>
      <c r="PV302" s="93">
        <v>0</v>
      </c>
      <c r="PW302" s="93">
        <v>0.72317772700000005</v>
      </c>
      <c r="PX302" s="93">
        <v>0</v>
      </c>
      <c r="PY302" s="93">
        <v>0</v>
      </c>
      <c r="PZ302" s="93">
        <v>0.72317772700000005</v>
      </c>
      <c r="QA302" s="93">
        <v>0</v>
      </c>
      <c r="QB302" s="93">
        <v>0</v>
      </c>
      <c r="QC302" s="93">
        <v>0</v>
      </c>
      <c r="QD302" s="93">
        <v>12.721943741999999</v>
      </c>
      <c r="QE302" s="20">
        <v>-14.145838394000014</v>
      </c>
      <c r="QF302" s="1739">
        <v>235</v>
      </c>
      <c r="QG302" s="19"/>
      <c r="QH302" s="1035">
        <v>1071.318</v>
      </c>
      <c r="QI302" s="1035">
        <v>1464.807</v>
      </c>
      <c r="QJ302" s="1035">
        <v>-393.48899999999998</v>
      </c>
      <c r="QK302" s="1035">
        <v>268.32100000000003</v>
      </c>
      <c r="QL302" s="1035">
        <v>68.281000000000006</v>
      </c>
      <c r="QM302" s="1035">
        <v>200.04</v>
      </c>
      <c r="QN302" s="1035">
        <v>0</v>
      </c>
      <c r="QO302" s="1035">
        <v>148.75599999999997</v>
      </c>
      <c r="QP302" s="1035">
        <v>494.27699999999999</v>
      </c>
      <c r="QQ302" s="1035">
        <v>-345.52100000000002</v>
      </c>
      <c r="QR302" s="1035">
        <v>2896.4969999999998</v>
      </c>
      <c r="QS302" s="1035">
        <v>16.182000000000002</v>
      </c>
      <c r="QT302" s="1035">
        <v>37.398000000000003</v>
      </c>
      <c r="QU302" s="1035">
        <v>284.23099999999999</v>
      </c>
      <c r="QV302" s="1035">
        <v>2558.6859999999997</v>
      </c>
      <c r="QW302" s="93"/>
      <c r="QX302" s="93">
        <v>657.27700000000004</v>
      </c>
      <c r="QY302" s="93">
        <v>1422.6859999999999</v>
      </c>
      <c r="QZ302" s="93">
        <v>1557.5630000000001</v>
      </c>
      <c r="RA302" s="93">
        <v>0</v>
      </c>
      <c r="RB302" s="93">
        <v>146.988</v>
      </c>
      <c r="RC302" s="93">
        <v>0</v>
      </c>
      <c r="RD302" s="93">
        <v>45.588000000000001</v>
      </c>
      <c r="RE302" s="93">
        <v>0</v>
      </c>
      <c r="RF302" s="93">
        <v>0</v>
      </c>
      <c r="RG302" s="93">
        <v>487.31600000000009</v>
      </c>
      <c r="RH302" s="93">
        <v>67.473999999999933</v>
      </c>
      <c r="RI302" s="93"/>
      <c r="RJ302" s="93"/>
      <c r="RK302" s="93"/>
      <c r="RL302" s="93"/>
      <c r="RM302" s="734"/>
      <c r="RN302" s="29">
        <v>235</v>
      </c>
      <c r="RO302" s="1532">
        <v>106</v>
      </c>
      <c r="RP302" s="1534">
        <v>1517</v>
      </c>
      <c r="RQ302" s="29">
        <v>235</v>
      </c>
      <c r="RR302" s="734">
        <v>3.9523907200000004</v>
      </c>
      <c r="RS302" s="29">
        <v>235</v>
      </c>
      <c r="RT302" s="1504">
        <v>43647</v>
      </c>
      <c r="RU302" s="1532">
        <v>1268</v>
      </c>
      <c r="RV302" s="1534">
        <v>26</v>
      </c>
      <c r="RW302" s="29">
        <v>235</v>
      </c>
      <c r="RX302" s="1504">
        <v>43647</v>
      </c>
      <c r="RY302" s="29"/>
      <c r="RZ302" s="734"/>
      <c r="SA302" s="29"/>
      <c r="SB302" s="29">
        <v>235</v>
      </c>
    </row>
    <row r="303" spans="1:496">
      <c r="A303" s="41">
        <f t="shared" si="238"/>
        <v>2019</v>
      </c>
      <c r="B303" s="1504">
        <v>43678</v>
      </c>
      <c r="C303" s="1813">
        <v>894</v>
      </c>
      <c r="D303" s="1814">
        <v>17299</v>
      </c>
      <c r="E303" s="1814">
        <v>40</v>
      </c>
      <c r="F303" s="1815">
        <v>295</v>
      </c>
      <c r="G303" s="1814">
        <v>106606</v>
      </c>
      <c r="H303" s="1814">
        <v>7</v>
      </c>
      <c r="I303" s="1814">
        <v>32849</v>
      </c>
      <c r="J303" s="1816">
        <v>14326</v>
      </c>
      <c r="K303" s="1807">
        <v>172316</v>
      </c>
      <c r="L303" s="25">
        <v>236</v>
      </c>
      <c r="M303" s="97"/>
      <c r="N303" s="1504">
        <v>43678</v>
      </c>
      <c r="O303" s="19">
        <v>381</v>
      </c>
      <c r="P303" s="93">
        <v>596</v>
      </c>
      <c r="Q303" s="93">
        <v>7287</v>
      </c>
      <c r="R303" s="93">
        <v>1306</v>
      </c>
      <c r="S303" s="93">
        <v>621</v>
      </c>
      <c r="T303" s="93">
        <v>532</v>
      </c>
      <c r="U303" s="93">
        <v>173</v>
      </c>
      <c r="V303" s="93">
        <v>968</v>
      </c>
      <c r="W303" s="93">
        <v>3919</v>
      </c>
      <c r="X303" s="93">
        <v>394</v>
      </c>
      <c r="Y303" s="93">
        <v>156</v>
      </c>
      <c r="Z303" s="93">
        <v>652</v>
      </c>
      <c r="AA303" s="93">
        <v>314</v>
      </c>
      <c r="AB303" s="20">
        <v>17299</v>
      </c>
      <c r="AC303" s="25">
        <v>236</v>
      </c>
      <c r="AD303" s="97"/>
      <c r="AE303" s="1504">
        <v>43678</v>
      </c>
      <c r="AF303" s="19">
        <v>1954</v>
      </c>
      <c r="AG303" s="93">
        <v>1601</v>
      </c>
      <c r="AH303" s="93">
        <v>952</v>
      </c>
      <c r="AI303" s="93">
        <v>289</v>
      </c>
      <c r="AJ303" s="93">
        <v>2027</v>
      </c>
      <c r="AK303" s="93">
        <v>1767</v>
      </c>
      <c r="AL303" s="93">
        <v>189</v>
      </c>
      <c r="AM303" s="93">
        <v>801</v>
      </c>
      <c r="AN303" s="93">
        <v>1741</v>
      </c>
      <c r="AO303" s="93">
        <v>4370</v>
      </c>
      <c r="AP303" s="93">
        <v>6835</v>
      </c>
      <c r="AQ303" s="93">
        <v>1232</v>
      </c>
      <c r="AR303" s="93">
        <v>1716</v>
      </c>
      <c r="AS303" s="20">
        <v>25474</v>
      </c>
      <c r="AT303" s="25">
        <v>236</v>
      </c>
      <c r="AU303" s="97"/>
      <c r="AV303" s="1504">
        <v>43678</v>
      </c>
      <c r="AW303" s="19">
        <v>9901</v>
      </c>
      <c r="AX303" s="93">
        <v>2784</v>
      </c>
      <c r="AY303" s="93">
        <v>8503</v>
      </c>
      <c r="AZ303" s="93">
        <v>18715</v>
      </c>
      <c r="BA303" s="93">
        <v>8145</v>
      </c>
      <c r="BB303" s="93">
        <v>8258</v>
      </c>
      <c r="BC303" s="93">
        <v>5192</v>
      </c>
      <c r="BD303" s="93">
        <v>8676</v>
      </c>
      <c r="BE303" s="93">
        <v>11628</v>
      </c>
      <c r="BF303" s="93">
        <v>7036</v>
      </c>
      <c r="BG303" s="93">
        <v>4574</v>
      </c>
      <c r="BH303" s="93">
        <v>9928</v>
      </c>
      <c r="BI303" s="93">
        <v>3266</v>
      </c>
      <c r="BJ303" s="20">
        <v>106606</v>
      </c>
      <c r="BK303" s="25">
        <v>236</v>
      </c>
      <c r="BL303" s="97"/>
      <c r="BM303" s="1504">
        <v>43678</v>
      </c>
      <c r="BN303" s="19">
        <v>51.81600000000001</v>
      </c>
      <c r="BO303" s="93">
        <v>2183.7249999999995</v>
      </c>
      <c r="BP303" s="93">
        <v>9.7919999999999998</v>
      </c>
      <c r="BQ303" s="93">
        <v>857.19200000000001</v>
      </c>
      <c r="BR303" s="93">
        <v>1.224</v>
      </c>
      <c r="BS303" s="93">
        <v>303.08400000000017</v>
      </c>
      <c r="BT303" s="93">
        <v>359.47199999999992</v>
      </c>
      <c r="BU303" s="20">
        <v>3766.3049999999994</v>
      </c>
      <c r="BV303" s="25">
        <v>236</v>
      </c>
      <c r="BW303" s="97"/>
      <c r="BX303" s="1504">
        <v>43678</v>
      </c>
      <c r="BY303" s="179">
        <v>589.57522098698348</v>
      </c>
      <c r="BZ303" s="99">
        <v>664.95699999999999</v>
      </c>
      <c r="CA303" s="99">
        <v>602.23699999999997</v>
      </c>
      <c r="CB303" s="99">
        <v>40.918668118911803</v>
      </c>
      <c r="CC303" s="99">
        <v>108.57389999999999</v>
      </c>
      <c r="CD303" s="25">
        <v>236</v>
      </c>
      <c r="CE303" s="97"/>
      <c r="CF303" s="1504">
        <v>43678</v>
      </c>
      <c r="CG303" s="1508">
        <v>1.5604300360000001</v>
      </c>
      <c r="CH303" s="568">
        <v>1500.41</v>
      </c>
      <c r="CI303" s="1708">
        <v>57.67</v>
      </c>
      <c r="CJ303" s="1509">
        <v>59.25</v>
      </c>
      <c r="CK303" s="1508">
        <v>407.52</v>
      </c>
      <c r="CL303" s="568">
        <v>163.5858504</v>
      </c>
      <c r="CM303" s="568">
        <v>0.271609184</v>
      </c>
      <c r="CN303" s="568">
        <v>0.36333065599999997</v>
      </c>
      <c r="CO303" s="568">
        <v>181.14629310000001</v>
      </c>
      <c r="CP303" s="1509">
        <v>4.595861083</v>
      </c>
      <c r="CQ303" s="1708">
        <v>1457.89</v>
      </c>
      <c r="CR303" s="568">
        <v>2.12666666666667</v>
      </c>
      <c r="CS303" s="568">
        <v>1.5004</v>
      </c>
      <c r="CT303" s="568">
        <v>78</v>
      </c>
      <c r="CU303" s="568">
        <v>93.07</v>
      </c>
      <c r="CV303" s="1709">
        <v>2273.0100000000002</v>
      </c>
      <c r="CW303" s="29">
        <v>236</v>
      </c>
      <c r="CX303" s="41">
        <f t="shared" si="239"/>
        <v>2019</v>
      </c>
      <c r="CY303" s="1504">
        <v>43678</v>
      </c>
      <c r="CZ303" s="733">
        <v>139.0083205</v>
      </c>
      <c r="DA303" s="570">
        <v>73.661073500000001</v>
      </c>
      <c r="DB303" s="570">
        <v>48.947895000000003</v>
      </c>
      <c r="DC303" s="93"/>
      <c r="DD303" s="93"/>
      <c r="DE303" s="20"/>
      <c r="DF303" s="29">
        <v>236</v>
      </c>
      <c r="DG303" s="1504">
        <v>43678</v>
      </c>
      <c r="DH303" s="19">
        <v>415656</v>
      </c>
      <c r="DI303" s="93">
        <v>4096609</v>
      </c>
      <c r="DJ303" s="93">
        <v>277588</v>
      </c>
      <c r="DK303" s="93">
        <v>15910</v>
      </c>
      <c r="DL303" s="93">
        <v>476790</v>
      </c>
      <c r="DM303" s="93">
        <v>6406</v>
      </c>
      <c r="DN303" s="20">
        <v>1262346</v>
      </c>
      <c r="DO303" s="295">
        <f t="shared" si="282"/>
        <v>6135649</v>
      </c>
      <c r="DP303" s="29">
        <v>236</v>
      </c>
      <c r="DQ303" s="1504">
        <v>43678</v>
      </c>
      <c r="DR303" s="19">
        <v>43514</v>
      </c>
      <c r="DS303" s="93">
        <v>339</v>
      </c>
      <c r="DT303" s="93">
        <v>54055</v>
      </c>
      <c r="DU303" s="93">
        <v>1196</v>
      </c>
      <c r="DV303" s="93">
        <v>20461</v>
      </c>
      <c r="DW303" s="93">
        <v>2884</v>
      </c>
      <c r="DX303" s="20">
        <v>9006.7729999999992</v>
      </c>
      <c r="DY303" s="29">
        <v>236</v>
      </c>
      <c r="DZ303" s="1504">
        <v>43678</v>
      </c>
      <c r="EA303" s="19"/>
      <c r="EB303" s="93"/>
      <c r="EC303" s="20"/>
      <c r="ED303" s="29"/>
      <c r="EE303" s="1504">
        <v>43678</v>
      </c>
      <c r="EF303" s="19">
        <v>31738</v>
      </c>
      <c r="EG303" s="93">
        <v>25277</v>
      </c>
      <c r="EH303" s="93">
        <v>57015</v>
      </c>
      <c r="EI303" s="214">
        <v>10763</v>
      </c>
      <c r="EJ303" s="93">
        <v>580.17999999999995</v>
      </c>
      <c r="EK303" s="93">
        <v>62.417000000000002</v>
      </c>
      <c r="EL303" s="93">
        <v>5.9939999999999998</v>
      </c>
      <c r="EM303" s="93">
        <v>6.3609999999999998</v>
      </c>
      <c r="EN303" s="20">
        <v>654.952</v>
      </c>
      <c r="EO303" s="29">
        <v>236</v>
      </c>
      <c r="EP303" s="1504">
        <v>43678</v>
      </c>
      <c r="EQ303" s="19">
        <v>28019</v>
      </c>
      <c r="ER303" s="93">
        <v>23734</v>
      </c>
      <c r="ES303" s="93">
        <v>51753</v>
      </c>
      <c r="ET303" s="214">
        <v>10227</v>
      </c>
      <c r="EU303" s="93">
        <v>580.17999999999995</v>
      </c>
      <c r="EV303" s="93">
        <v>62.417000000000002</v>
      </c>
      <c r="EW303" s="93">
        <v>5.9939999999999998</v>
      </c>
      <c r="EX303" s="93">
        <v>6.3609999999999998</v>
      </c>
      <c r="EY303" s="20">
        <v>654.952</v>
      </c>
      <c r="EZ303" s="29">
        <v>236</v>
      </c>
      <c r="FA303" s="1504">
        <v>43678</v>
      </c>
      <c r="FB303" s="29">
        <v>3719</v>
      </c>
      <c r="FC303" s="29">
        <v>1543</v>
      </c>
      <c r="FD303" s="29">
        <v>5262</v>
      </c>
      <c r="FE303" s="29">
        <v>536</v>
      </c>
      <c r="FF303" s="29">
        <v>0</v>
      </c>
      <c r="FG303" s="29">
        <v>0</v>
      </c>
      <c r="FH303" s="29">
        <v>0</v>
      </c>
      <c r="FI303" s="29">
        <v>0</v>
      </c>
      <c r="FJ303" s="29">
        <v>0</v>
      </c>
      <c r="FK303" s="29">
        <v>236</v>
      </c>
      <c r="FL303" s="1504">
        <v>43678</v>
      </c>
      <c r="FM303" s="19">
        <v>101.68</v>
      </c>
      <c r="FN303" s="93">
        <v>101.47</v>
      </c>
      <c r="FO303" s="93">
        <v>127.3</v>
      </c>
      <c r="FP303" s="93">
        <v>101.29</v>
      </c>
      <c r="FQ303" s="93">
        <v>98.15</v>
      </c>
      <c r="FR303" s="93">
        <v>101.18</v>
      </c>
      <c r="FS303" s="93">
        <v>100.41</v>
      </c>
      <c r="FT303" s="93">
        <v>99.25</v>
      </c>
      <c r="FU303" s="93">
        <v>98.59</v>
      </c>
      <c r="FV303" s="93">
        <v>101.07</v>
      </c>
      <c r="FW303" s="93">
        <v>104.6</v>
      </c>
      <c r="FX303" s="93">
        <v>104.67</v>
      </c>
      <c r="FY303" s="93">
        <v>100.83</v>
      </c>
      <c r="FZ303" s="29">
        <v>236</v>
      </c>
      <c r="GA303" s="1504">
        <v>43678</v>
      </c>
      <c r="GB303" s="19">
        <v>101.68</v>
      </c>
      <c r="GC303" s="93">
        <v>102.09</v>
      </c>
      <c r="GD303" s="93">
        <v>101.89</v>
      </c>
      <c r="GE303" s="93">
        <v>95.05</v>
      </c>
      <c r="GF303" s="93">
        <v>102.24</v>
      </c>
      <c r="GG303" s="99">
        <v>102.77</v>
      </c>
      <c r="GH303" s="93">
        <v>102.17</v>
      </c>
      <c r="GI303" s="93">
        <v>101.99</v>
      </c>
      <c r="GJ303" s="93">
        <v>102.63</v>
      </c>
      <c r="GK303" s="93">
        <v>100</v>
      </c>
      <c r="GL303" s="93">
        <v>102.14</v>
      </c>
      <c r="GM303" s="93">
        <v>101.29</v>
      </c>
      <c r="GN303" s="20">
        <v>102.63</v>
      </c>
      <c r="GO303" s="29">
        <v>236</v>
      </c>
      <c r="GP303" s="1504">
        <v>43678</v>
      </c>
      <c r="GQ303" s="19">
        <v>228</v>
      </c>
      <c r="GR303" s="93">
        <v>201</v>
      </c>
      <c r="GS303" s="93">
        <v>210</v>
      </c>
      <c r="GT303" s="93">
        <v>171</v>
      </c>
      <c r="GU303" s="93">
        <v>370</v>
      </c>
      <c r="GV303" s="20">
        <v>835</v>
      </c>
      <c r="GW303" s="19">
        <v>356</v>
      </c>
      <c r="GX303" s="93">
        <v>406</v>
      </c>
      <c r="GY303" s="93">
        <v>576</v>
      </c>
      <c r="GZ303" s="93">
        <v>440</v>
      </c>
      <c r="HA303" s="93">
        <v>417</v>
      </c>
      <c r="HB303" s="20">
        <v>510</v>
      </c>
      <c r="HC303" s="19">
        <v>1889</v>
      </c>
      <c r="HD303" s="93">
        <v>1962</v>
      </c>
      <c r="HE303" s="93">
        <v>2127</v>
      </c>
      <c r="HF303" s="93">
        <v>2050</v>
      </c>
      <c r="HG303" s="93">
        <v>2535</v>
      </c>
      <c r="HH303" s="20">
        <v>2808</v>
      </c>
      <c r="HI303" s="19"/>
      <c r="HJ303" s="93">
        <v>822</v>
      </c>
      <c r="HK303" s="93">
        <v>1707</v>
      </c>
      <c r="HL303" s="93">
        <v>999</v>
      </c>
      <c r="HM303" s="93">
        <v>896</v>
      </c>
      <c r="HN303" s="20">
        <v>2122</v>
      </c>
      <c r="HO303" s="219">
        <v>200</v>
      </c>
      <c r="HP303" s="20">
        <v>78</v>
      </c>
      <c r="HQ303" s="25">
        <v>168</v>
      </c>
      <c r="HR303" s="29">
        <v>236</v>
      </c>
      <c r="HS303" s="1504">
        <v>43678</v>
      </c>
      <c r="HT303" s="179">
        <v>189.8260498046875</v>
      </c>
      <c r="HU303" s="99">
        <v>220.83333740234374</v>
      </c>
      <c r="HV303" s="99">
        <v>158.89865112304688</v>
      </c>
      <c r="HW303" s="99">
        <v>167.58241653442383</v>
      </c>
      <c r="HX303" s="99">
        <v>183.33332824707031</v>
      </c>
      <c r="HY303" s="99">
        <v>194.44444274902344</v>
      </c>
      <c r="HZ303" s="99">
        <v>209.30301666259766</v>
      </c>
      <c r="IA303" s="132">
        <v>148.38710530598959</v>
      </c>
      <c r="IB303" s="179">
        <v>141.95583343505859</v>
      </c>
      <c r="IC303" s="99">
        <v>79.099822998046875</v>
      </c>
      <c r="ID303" s="99">
        <v>100</v>
      </c>
      <c r="IE303" s="99">
        <v>85.616439819335938</v>
      </c>
      <c r="IF303" s="99">
        <v>136.47151565551758</v>
      </c>
      <c r="IG303" s="132">
        <v>88.23529052734375</v>
      </c>
      <c r="IH303" s="179">
        <v>115.80915355682373</v>
      </c>
      <c r="II303" s="99">
        <v>198.92472839355469</v>
      </c>
      <c r="IJ303" s="99">
        <v>146.56817626953125</v>
      </c>
      <c r="IK303" s="99">
        <v>142.85714721679688</v>
      </c>
      <c r="IL303" s="99">
        <v>138.88888549804688</v>
      </c>
      <c r="IM303" s="99">
        <v>116.0130729675293</v>
      </c>
      <c r="IN303" s="93">
        <v>159.01060485839844</v>
      </c>
      <c r="IO303" s="132">
        <v>148.66250419616699</v>
      </c>
      <c r="IP303" s="29">
        <v>236</v>
      </c>
      <c r="IQ303" s="19">
        <v>141.95583343505859</v>
      </c>
      <c r="IR303" s="93">
        <v>79.099822998046875</v>
      </c>
      <c r="IS303" s="93">
        <v>100</v>
      </c>
      <c r="IT303" s="93">
        <v>85.616439819335938</v>
      </c>
      <c r="IU303" s="93">
        <v>136.47151565551758</v>
      </c>
      <c r="IV303" s="20">
        <v>88.23529052734375</v>
      </c>
      <c r="IW303" s="29">
        <v>236</v>
      </c>
      <c r="IX303" s="19">
        <v>414.28572082519531</v>
      </c>
      <c r="IY303" s="93">
        <v>445</v>
      </c>
      <c r="IZ303" s="93">
        <v>404.16668090820315</v>
      </c>
      <c r="JA303" s="93">
        <v>375</v>
      </c>
      <c r="JB303" s="93">
        <v>385</v>
      </c>
      <c r="JC303" s="93">
        <v>395</v>
      </c>
      <c r="JD303" s="93">
        <v>400</v>
      </c>
      <c r="JE303" s="20">
        <v>374</v>
      </c>
      <c r="JF303" s="29">
        <v>236</v>
      </c>
      <c r="JG303" s="19">
        <v>129.85489273071289</v>
      </c>
      <c r="JH303" s="93">
        <v>188.17204284667969</v>
      </c>
      <c r="JI303" s="93">
        <v>144.69453430175781</v>
      </c>
      <c r="JJ303" s="93">
        <v>168.35017395019531</v>
      </c>
      <c r="JK303" s="93">
        <v>157.43573760986328</v>
      </c>
      <c r="JL303" s="93">
        <v>164.16666793823242</v>
      </c>
      <c r="JM303" s="93">
        <v>164.58332824707031</v>
      </c>
      <c r="JN303" s="20">
        <v>193.88222122192383</v>
      </c>
      <c r="JO303" s="29">
        <v>236</v>
      </c>
      <c r="JP303" s="19">
        <v>182.62940216064453</v>
      </c>
      <c r="JQ303" s="93">
        <v>88.324821472167969</v>
      </c>
      <c r="JR303" s="93">
        <v>116.66666412353516</v>
      </c>
      <c r="JS303" s="93"/>
      <c r="JT303" s="93">
        <v>160.60371589660645</v>
      </c>
      <c r="JU303" s="20">
        <v>76.923072814941406</v>
      </c>
      <c r="JV303" s="29">
        <v>236</v>
      </c>
      <c r="JW303" s="1504">
        <v>43678</v>
      </c>
      <c r="JX303" s="19"/>
      <c r="JY303" s="93">
        <v>325.32738095238096</v>
      </c>
      <c r="JZ303" s="93">
        <v>271.64473684210526</v>
      </c>
      <c r="KA303" s="93">
        <v>242.08333333333334</v>
      </c>
      <c r="KB303" s="93">
        <v>260.11538461538464</v>
      </c>
      <c r="KC303" s="93">
        <v>226.1547619047619</v>
      </c>
      <c r="KD303" s="20">
        <v>295.83333333333331</v>
      </c>
      <c r="KE303" s="29">
        <v>236</v>
      </c>
      <c r="KF303" s="19"/>
      <c r="KG303" s="93">
        <v>46.024096385542165</v>
      </c>
      <c r="KH303" s="93">
        <v>55.53125</v>
      </c>
      <c r="KI303" s="93">
        <v>63.279761904761905</v>
      </c>
      <c r="KJ303" s="93">
        <v>47.141025641025642</v>
      </c>
      <c r="KK303" s="20">
        <v>80.918772563176901</v>
      </c>
      <c r="KL303" s="29">
        <v>236</v>
      </c>
      <c r="KM303" s="19"/>
      <c r="KN303" s="93">
        <v>14.432432432432432</v>
      </c>
      <c r="KO303" s="93">
        <v>35.703125</v>
      </c>
      <c r="KP303" s="93">
        <v>33.794444444444444</v>
      </c>
      <c r="KQ303" s="93">
        <v>33.28378378378379</v>
      </c>
      <c r="KR303" s="20">
        <v>33.532608695652179</v>
      </c>
      <c r="KS303" s="29">
        <v>236</v>
      </c>
      <c r="KT303" s="19"/>
      <c r="KU303" s="93">
        <v>23</v>
      </c>
      <c r="KV303" s="93">
        <v>24.677083333333332</v>
      </c>
      <c r="KW303" s="93">
        <v>24.651041666666668</v>
      </c>
      <c r="KX303" s="93">
        <v>20.013888888888889</v>
      </c>
      <c r="KY303" s="20">
        <v>26.837638376383762</v>
      </c>
      <c r="KZ303" s="29">
        <v>236</v>
      </c>
      <c r="LA303" s="1504">
        <v>43678</v>
      </c>
      <c r="LB303" s="19"/>
      <c r="LC303" s="93"/>
      <c r="LD303" s="93"/>
      <c r="LE303" s="93"/>
      <c r="LF303" s="93"/>
      <c r="LG303" s="93"/>
      <c r="LH303" s="20"/>
      <c r="LI303" s="29"/>
      <c r="LJ303" s="19"/>
      <c r="LK303" s="93"/>
      <c r="LL303" s="93"/>
      <c r="LM303" s="93"/>
      <c r="LN303" s="93"/>
      <c r="LO303" s="20"/>
      <c r="LP303" s="29"/>
      <c r="LQ303" s="19"/>
      <c r="LR303" s="93">
        <v>188</v>
      </c>
      <c r="LS303" s="93">
        <v>463</v>
      </c>
      <c r="LT303" s="93">
        <v>663</v>
      </c>
      <c r="LU303" s="93">
        <v>1104</v>
      </c>
      <c r="LV303" s="93"/>
      <c r="LW303" s="93">
        <v>5</v>
      </c>
      <c r="LX303" s="93">
        <v>10</v>
      </c>
      <c r="LY303" s="93">
        <v>60</v>
      </c>
      <c r="LZ303" s="93"/>
      <c r="MA303" s="20"/>
      <c r="MB303" s="29">
        <v>236</v>
      </c>
      <c r="MC303" s="1504">
        <v>43678</v>
      </c>
      <c r="MD303" s="733">
        <v>1262.308404476481</v>
      </c>
      <c r="ME303" s="570">
        <v>1220.3417430596094</v>
      </c>
      <c r="MF303" s="570">
        <v>1220.3417430596094</v>
      </c>
      <c r="MG303" s="570">
        <v>976.25273078660962</v>
      </c>
      <c r="MH303" s="570">
        <v>314.89087881084015</v>
      </c>
      <c r="MI303" s="570">
        <v>8.7492631830174403</v>
      </c>
      <c r="MJ303" s="570">
        <v>5.3909938090715199</v>
      </c>
      <c r="MK303" s="570">
        <v>507.61438432701539</v>
      </c>
      <c r="ML303" s="570">
        <v>131.96706247200001</v>
      </c>
      <c r="MM303" s="570">
        <v>7.6401481846650663</v>
      </c>
      <c r="MN303" s="570">
        <v>244.08901227300004</v>
      </c>
      <c r="MO303" s="570">
        <v>4.5139891739999998</v>
      </c>
      <c r="MP303" s="570">
        <v>140.31531479499998</v>
      </c>
      <c r="MQ303" s="570">
        <v>1.5354643750000003</v>
      </c>
      <c r="MR303" s="570">
        <v>20.323021796999999</v>
      </c>
      <c r="MS303" s="570">
        <v>77.401222131999987</v>
      </c>
      <c r="MT303" s="570">
        <v>0</v>
      </c>
      <c r="MU303" s="570">
        <v>41.966661416871595</v>
      </c>
      <c r="MV303" s="570">
        <v>29.098765936871597</v>
      </c>
      <c r="MW303" s="570">
        <v>12.86789548</v>
      </c>
      <c r="MX303" s="570">
        <v>1448.1504429393674</v>
      </c>
      <c r="MY303" s="570">
        <v>1459.1237340173673</v>
      </c>
      <c r="MZ303" s="570">
        <v>1149.5292235815543</v>
      </c>
      <c r="NA303" s="570">
        <v>567.21696125766675</v>
      </c>
      <c r="NB303" s="570">
        <v>108.66729212199999</v>
      </c>
      <c r="NC303" s="570">
        <v>56.560897318487662</v>
      </c>
      <c r="ND303" s="570">
        <v>43.252812383999995</v>
      </c>
      <c r="NE303" s="570">
        <v>13.308084934487669</v>
      </c>
      <c r="NF303" s="570">
        <v>417.08407288340004</v>
      </c>
      <c r="NG303" s="570">
        <v>7.2281753188000009</v>
      </c>
      <c r="NH303" s="570">
        <v>87.711925957000005</v>
      </c>
      <c r="NI303" s="570">
        <v>0</v>
      </c>
      <c r="NJ303" s="570">
        <v>76</v>
      </c>
      <c r="NK303" s="570">
        <v>309.59451043581282</v>
      </c>
      <c r="NL303" s="570">
        <v>226.975554004</v>
      </c>
      <c r="NM303" s="570">
        <v>1.3071919590000001</v>
      </c>
      <c r="NN303" s="570">
        <v>81.311764472812868</v>
      </c>
      <c r="NO303" s="570">
        <v>-10.97329107799999</v>
      </c>
      <c r="NP303" s="570">
        <v>-185.84203846288625</v>
      </c>
      <c r="NQ303" s="570">
        <v>-227.80869987975782</v>
      </c>
      <c r="NR303" s="570">
        <v>-89.936038088457266</v>
      </c>
      <c r="NS303" s="570">
        <v>-146.49693540694497</v>
      </c>
      <c r="NT303" s="570">
        <v>-230.2929440058862</v>
      </c>
      <c r="NU303" s="570">
        <v>-272.25960542275783</v>
      </c>
      <c r="NV303" s="570">
        <v>222.38798232622386</v>
      </c>
      <c r="NW303" s="570">
        <v>89.697322816403855</v>
      </c>
      <c r="NX303" s="570">
        <v>117.70896224194128</v>
      </c>
      <c r="NY303" s="570">
        <v>-28.011639425537425</v>
      </c>
      <c r="NZ303" s="570">
        <v>0</v>
      </c>
      <c r="OA303" s="570">
        <v>132.69065950981999</v>
      </c>
      <c r="OB303" s="570">
        <v>10.25054580981999</v>
      </c>
      <c r="OC303" s="570">
        <v>122.44011369999998</v>
      </c>
      <c r="OD303" s="734">
        <v>7.9049616796623319</v>
      </c>
      <c r="OE303" s="29">
        <v>236</v>
      </c>
      <c r="OF303" s="1504">
        <v>43678</v>
      </c>
      <c r="OG303" s="19"/>
      <c r="OH303" s="93">
        <v>559.31344933399998</v>
      </c>
      <c r="OI303" s="93">
        <v>1662.4521684989998</v>
      </c>
      <c r="OJ303" s="93">
        <v>0.61017743000000002</v>
      </c>
      <c r="OK303" s="93">
        <v>1430.4299999999998</v>
      </c>
      <c r="OL303" s="93">
        <v>231.41199106899998</v>
      </c>
      <c r="OM303" s="93">
        <v>2221.7656178329999</v>
      </c>
      <c r="ON303" s="93">
        <v>1569.5621083190001</v>
      </c>
      <c r="OO303" s="93">
        <v>3791.3277261519997</v>
      </c>
      <c r="OP303" s="93"/>
      <c r="OQ303" s="93">
        <v>1431.2982665800005</v>
      </c>
      <c r="OR303" s="93">
        <v>326.48226657999999</v>
      </c>
      <c r="OS303" s="93">
        <v>1104.8160000000003</v>
      </c>
      <c r="OT303" s="93">
        <v>2869.6861413609995</v>
      </c>
      <c r="OU303" s="93">
        <v>-37.893976761000033</v>
      </c>
      <c r="OV303" s="93">
        <v>-186.60897676100001</v>
      </c>
      <c r="OW303" s="93">
        <v>148.71499999999997</v>
      </c>
      <c r="OX303" s="93">
        <v>2907.5801181219995</v>
      </c>
      <c r="OY303" s="93">
        <v>7.2441181220000006</v>
      </c>
      <c r="OZ303" s="93">
        <v>2900.3359999999993</v>
      </c>
      <c r="PA303" s="93">
        <v>688.68248827800016</v>
      </c>
      <c r="PB303" s="93">
        <v>-179.02580648899976</v>
      </c>
      <c r="PC303" s="20">
        <v>3791.3277261519993</v>
      </c>
      <c r="PD303" s="29">
        <v>236</v>
      </c>
      <c r="PE303" s="19"/>
      <c r="PF303" s="93">
        <v>326.48226657999999</v>
      </c>
      <c r="PG303" s="93">
        <v>1160.6317778590001</v>
      </c>
      <c r="PH303" s="93">
        <v>834.14951127900008</v>
      </c>
      <c r="PI303" s="93">
        <v>665.98299999999995</v>
      </c>
      <c r="PJ303" s="93">
        <v>-177.04475566799999</v>
      </c>
      <c r="PK303" s="93">
        <v>113.628307893</v>
      </c>
      <c r="PL303" s="93">
        <v>290.67306356099999</v>
      </c>
      <c r="PM303" s="93">
        <v>7.2441181220000006</v>
      </c>
      <c r="PN303" s="93">
        <v>2.7480000000000002</v>
      </c>
      <c r="PO303" s="93">
        <v>0</v>
      </c>
      <c r="PP303" s="93">
        <v>0</v>
      </c>
      <c r="PQ303" s="93">
        <v>4.4961181220000004</v>
      </c>
      <c r="PR303" s="93">
        <v>799.16696435400002</v>
      </c>
      <c r="PS303" s="93">
        <v>637.91067042700001</v>
      </c>
      <c r="PT303" s="93">
        <v>160.31300817799999</v>
      </c>
      <c r="PU303" s="93">
        <v>0.94328574899999995</v>
      </c>
      <c r="PV303" s="93">
        <v>0</v>
      </c>
      <c r="PW303" s="93">
        <v>0.82794310500000001</v>
      </c>
      <c r="PX303" s="93">
        <v>0</v>
      </c>
      <c r="PY303" s="93">
        <v>0</v>
      </c>
      <c r="PZ303" s="93">
        <v>0.82794310500000001</v>
      </c>
      <c r="QA303" s="93">
        <v>0</v>
      </c>
      <c r="QB303" s="93">
        <v>0</v>
      </c>
      <c r="QC303" s="93">
        <v>0</v>
      </c>
      <c r="QD303" s="93">
        <v>14.441545173000002</v>
      </c>
      <c r="QE303" s="20">
        <v>8.2281764019999866</v>
      </c>
      <c r="QF303" s="1739">
        <v>236</v>
      </c>
      <c r="QG303" s="19"/>
      <c r="QH303" s="1035">
        <v>1104.8160000000003</v>
      </c>
      <c r="QI303" s="1035">
        <v>1491.4750000000001</v>
      </c>
      <c r="QJ303" s="1035">
        <v>-386.65899999999999</v>
      </c>
      <c r="QK303" s="1035">
        <v>267.82499999999999</v>
      </c>
      <c r="QL303" s="1035">
        <v>69.033000000000001</v>
      </c>
      <c r="QM303" s="1035">
        <v>198.79199999999997</v>
      </c>
      <c r="QN303" s="1035">
        <v>0</v>
      </c>
      <c r="QO303" s="1035">
        <v>148.71499999999997</v>
      </c>
      <c r="QP303" s="1035">
        <v>495.77499999999998</v>
      </c>
      <c r="QQ303" s="1035">
        <v>-347.06</v>
      </c>
      <c r="QR303" s="1035">
        <v>2900.3359999999993</v>
      </c>
      <c r="QS303" s="1035">
        <v>14.680999999999999</v>
      </c>
      <c r="QT303" s="1035">
        <v>39.074000000000005</v>
      </c>
      <c r="QU303" s="1035">
        <v>260.798</v>
      </c>
      <c r="QV303" s="1035">
        <v>2585.7829999999994</v>
      </c>
      <c r="QW303" s="93"/>
      <c r="QX303" s="93">
        <v>666.61800000000005</v>
      </c>
      <c r="QY303" s="93">
        <v>1430.43</v>
      </c>
      <c r="QZ303" s="93">
        <v>1569.229</v>
      </c>
      <c r="RA303" s="93">
        <v>0</v>
      </c>
      <c r="RB303" s="93">
        <v>144.97199999999998</v>
      </c>
      <c r="RC303" s="93">
        <v>0</v>
      </c>
      <c r="RD303" s="93">
        <v>36.121000000000002</v>
      </c>
      <c r="RE303" s="93">
        <v>0</v>
      </c>
      <c r="RF303" s="93">
        <v>0</v>
      </c>
      <c r="RG303" s="93">
        <v>492.32000000000011</v>
      </c>
      <c r="RH303" s="93">
        <v>82.00200000000001</v>
      </c>
      <c r="RI303" s="93"/>
      <c r="RJ303" s="93"/>
      <c r="RK303" s="93"/>
      <c r="RL303" s="93"/>
      <c r="RM303" s="734"/>
      <c r="RN303" s="29">
        <v>236</v>
      </c>
      <c r="RO303" s="1532">
        <v>83</v>
      </c>
      <c r="RP303" s="1534">
        <v>549</v>
      </c>
      <c r="RQ303" s="29">
        <v>236</v>
      </c>
      <c r="RR303" s="734">
        <v>3.2239057700000004</v>
      </c>
      <c r="RS303" s="29">
        <v>236</v>
      </c>
      <c r="RT303" s="1504">
        <v>43678</v>
      </c>
      <c r="RU303" s="1532">
        <v>1174</v>
      </c>
      <c r="RV303" s="1534">
        <v>21</v>
      </c>
      <c r="RW303" s="29">
        <v>236</v>
      </c>
      <c r="RX303" s="1504">
        <v>43678</v>
      </c>
      <c r="RY303" s="29"/>
      <c r="RZ303" s="734"/>
      <c r="SA303" s="29"/>
      <c r="SB303" s="29">
        <v>236</v>
      </c>
    </row>
    <row r="304" spans="1:496">
      <c r="A304" s="41">
        <f t="shared" si="238"/>
        <v>2019</v>
      </c>
      <c r="B304" s="1504">
        <v>43709</v>
      </c>
      <c r="C304" s="1813">
        <v>1461</v>
      </c>
      <c r="D304" s="1814">
        <v>19893</v>
      </c>
      <c r="E304" s="1814">
        <v>28</v>
      </c>
      <c r="F304" s="1815">
        <v>314</v>
      </c>
      <c r="G304" s="1814">
        <v>112788</v>
      </c>
      <c r="H304" s="1814">
        <v>17</v>
      </c>
      <c r="I304" s="1814">
        <v>37976</v>
      </c>
      <c r="J304" s="1816">
        <v>12264</v>
      </c>
      <c r="K304" s="1807">
        <v>184741</v>
      </c>
      <c r="L304" s="25">
        <v>237</v>
      </c>
      <c r="M304" s="97"/>
      <c r="N304" s="1504">
        <v>43709</v>
      </c>
      <c r="O304" s="19">
        <v>360</v>
      </c>
      <c r="P304" s="93">
        <v>611</v>
      </c>
      <c r="Q304" s="93">
        <v>8481</v>
      </c>
      <c r="R304" s="93">
        <v>3334</v>
      </c>
      <c r="S304" s="93">
        <v>772</v>
      </c>
      <c r="T304" s="93">
        <v>456</v>
      </c>
      <c r="U304" s="93">
        <v>120</v>
      </c>
      <c r="V304" s="93">
        <v>919</v>
      </c>
      <c r="W304" s="93">
        <v>3676</v>
      </c>
      <c r="X304" s="93">
        <v>119</v>
      </c>
      <c r="Y304" s="93">
        <v>76</v>
      </c>
      <c r="Z304" s="93">
        <v>626</v>
      </c>
      <c r="AA304" s="93">
        <v>343</v>
      </c>
      <c r="AB304" s="20">
        <v>19893</v>
      </c>
      <c r="AC304" s="25">
        <v>237</v>
      </c>
      <c r="AD304" s="97"/>
      <c r="AE304" s="1504">
        <v>43709</v>
      </c>
      <c r="AF304" s="19">
        <v>1931</v>
      </c>
      <c r="AG304" s="93">
        <v>1160</v>
      </c>
      <c r="AH304" s="93">
        <v>830</v>
      </c>
      <c r="AI304" s="93">
        <v>289</v>
      </c>
      <c r="AJ304" s="93">
        <v>1080</v>
      </c>
      <c r="AK304" s="93">
        <v>1442</v>
      </c>
      <c r="AL304" s="93">
        <v>146</v>
      </c>
      <c r="AM304" s="93">
        <v>718</v>
      </c>
      <c r="AN304" s="93">
        <v>1583</v>
      </c>
      <c r="AO304" s="93">
        <v>1372</v>
      </c>
      <c r="AP304" s="93">
        <v>3678</v>
      </c>
      <c r="AQ304" s="93">
        <v>1377</v>
      </c>
      <c r="AR304" s="93">
        <v>838</v>
      </c>
      <c r="AS304" s="20">
        <v>16444</v>
      </c>
      <c r="AT304" s="25">
        <v>237</v>
      </c>
      <c r="AU304" s="97"/>
      <c r="AV304" s="1504">
        <v>43709</v>
      </c>
      <c r="AW304" s="19">
        <v>12265</v>
      </c>
      <c r="AX304" s="93">
        <v>2741</v>
      </c>
      <c r="AY304" s="93">
        <v>7149</v>
      </c>
      <c r="AZ304" s="93">
        <v>17837</v>
      </c>
      <c r="BA304" s="93">
        <v>8865</v>
      </c>
      <c r="BB304" s="93">
        <v>7559</v>
      </c>
      <c r="BC304" s="93">
        <v>4111</v>
      </c>
      <c r="BD304" s="93">
        <v>12794</v>
      </c>
      <c r="BE304" s="93">
        <v>11648</v>
      </c>
      <c r="BF304" s="93">
        <v>6780</v>
      </c>
      <c r="BG304" s="93">
        <v>6501</v>
      </c>
      <c r="BH304" s="93">
        <v>10943</v>
      </c>
      <c r="BI304" s="93">
        <v>3595</v>
      </c>
      <c r="BJ304" s="20">
        <v>112788</v>
      </c>
      <c r="BK304" s="25">
        <v>237</v>
      </c>
      <c r="BL304" s="97"/>
      <c r="BM304" s="1504">
        <v>43709</v>
      </c>
      <c r="BN304" s="19">
        <v>83.181000000000026</v>
      </c>
      <c r="BO304" s="93">
        <v>2488.8249999999994</v>
      </c>
      <c r="BP304" s="93">
        <v>6.5280000000000005</v>
      </c>
      <c r="BQ304" s="93">
        <v>911.02399999999977</v>
      </c>
      <c r="BR304" s="93">
        <v>2.601</v>
      </c>
      <c r="BS304" s="93">
        <v>353.43000000000006</v>
      </c>
      <c r="BT304" s="93">
        <v>314.71199999999993</v>
      </c>
      <c r="BU304" s="20">
        <v>4160.3009999999986</v>
      </c>
      <c r="BV304" s="25">
        <v>237</v>
      </c>
      <c r="BW304" s="97"/>
      <c r="BX304" s="1504">
        <v>43709</v>
      </c>
      <c r="BY304" s="179">
        <v>596.12542413900474</v>
      </c>
      <c r="BZ304" s="99">
        <v>664.95699999999999</v>
      </c>
      <c r="CA304" s="99">
        <v>604.735871669586</v>
      </c>
      <c r="CB304" s="99">
        <v>39.616671498284774</v>
      </c>
      <c r="CC304" s="99">
        <v>108.81950000000001</v>
      </c>
      <c r="CD304" s="25">
        <v>237</v>
      </c>
      <c r="CE304" s="97"/>
      <c r="CF304" s="1504">
        <v>43709</v>
      </c>
      <c r="CG304" s="1508">
        <v>1.5721145219999999</v>
      </c>
      <c r="CH304" s="568">
        <v>1510.58</v>
      </c>
      <c r="CI304" s="1708">
        <v>60.04</v>
      </c>
      <c r="CJ304" s="1509">
        <v>62.33</v>
      </c>
      <c r="CK304" s="1508">
        <v>401.71</v>
      </c>
      <c r="CL304" s="568">
        <v>157.25941280000001</v>
      </c>
      <c r="CM304" s="568">
        <v>0.26190885600000002</v>
      </c>
      <c r="CN304" s="568">
        <v>0.35947724800000003</v>
      </c>
      <c r="CO304" s="568">
        <v>189.5973372</v>
      </c>
      <c r="CP304" s="1509">
        <v>4.6545039749999999</v>
      </c>
      <c r="CQ304" s="1708">
        <v>1458.25</v>
      </c>
      <c r="CR304" s="568">
        <v>2.2124999999999999</v>
      </c>
      <c r="CS304" s="568">
        <v>1.4991000000000001</v>
      </c>
      <c r="CT304" s="568">
        <v>77.5</v>
      </c>
      <c r="CU304" s="568">
        <v>93.08</v>
      </c>
      <c r="CV304" s="1709">
        <v>2331.56</v>
      </c>
      <c r="CW304" s="29">
        <v>237</v>
      </c>
      <c r="CX304" s="41">
        <f t="shared" si="239"/>
        <v>2019</v>
      </c>
      <c r="CY304" s="1504">
        <v>43709</v>
      </c>
      <c r="CZ304" s="733">
        <v>129.22752320000001</v>
      </c>
      <c r="DA304" s="570">
        <v>69.648246199999988</v>
      </c>
      <c r="DB304" s="570">
        <v>44.229430999999998</v>
      </c>
      <c r="DC304" s="93"/>
      <c r="DD304" s="93"/>
      <c r="DE304" s="20"/>
      <c r="DF304" s="29">
        <v>237</v>
      </c>
      <c r="DG304" s="1504">
        <v>43709</v>
      </c>
      <c r="DH304" s="19">
        <v>416138</v>
      </c>
      <c r="DI304" s="93">
        <v>4032851</v>
      </c>
      <c r="DJ304" s="93">
        <v>264439</v>
      </c>
      <c r="DK304" s="93">
        <v>16954</v>
      </c>
      <c r="DL304" s="93">
        <v>439783</v>
      </c>
      <c r="DM304" s="93">
        <v>5665</v>
      </c>
      <c r="DN304" s="20">
        <v>1403942</v>
      </c>
      <c r="DO304" s="295">
        <f t="shared" si="282"/>
        <v>6163634</v>
      </c>
      <c r="DP304" s="29">
        <v>237</v>
      </c>
      <c r="DQ304" s="1504">
        <v>43709</v>
      </c>
      <c r="DR304" s="19">
        <v>49549.3</v>
      </c>
      <c r="DS304" s="93">
        <v>309.5</v>
      </c>
      <c r="DT304" s="93">
        <v>53773.9</v>
      </c>
      <c r="DU304" s="93">
        <v>1183.3</v>
      </c>
      <c r="DV304" s="93">
        <v>16990</v>
      </c>
      <c r="DW304" s="93">
        <v>4677</v>
      </c>
      <c r="DX304" s="20">
        <v>9759.9240000000009</v>
      </c>
      <c r="DY304" s="29">
        <v>237</v>
      </c>
      <c r="DZ304" s="1504">
        <v>43709</v>
      </c>
      <c r="EA304" s="19"/>
      <c r="EB304" s="93"/>
      <c r="EC304" s="20"/>
      <c r="ED304" s="29"/>
      <c r="EE304" s="1504">
        <v>43709</v>
      </c>
      <c r="EF304" s="19">
        <v>26273</v>
      </c>
      <c r="EG304" s="93">
        <v>27203</v>
      </c>
      <c r="EH304" s="93">
        <v>53476</v>
      </c>
      <c r="EI304" s="214">
        <v>10015</v>
      </c>
      <c r="EJ304" s="93">
        <v>643.89</v>
      </c>
      <c r="EK304" s="93">
        <v>40.61</v>
      </c>
      <c r="EL304" s="93">
        <v>7.8520000000000003</v>
      </c>
      <c r="EM304" s="93">
        <v>9.8239999999999998</v>
      </c>
      <c r="EN304" s="20">
        <v>702.17599999999993</v>
      </c>
      <c r="EO304" s="29">
        <v>237</v>
      </c>
      <c r="EP304" s="1504">
        <v>43709</v>
      </c>
      <c r="EQ304" s="19">
        <v>24685</v>
      </c>
      <c r="ER304" s="93">
        <v>25587</v>
      </c>
      <c r="ES304" s="93">
        <v>50272</v>
      </c>
      <c r="ET304" s="214">
        <v>9559</v>
      </c>
      <c r="EU304" s="93">
        <v>643.89</v>
      </c>
      <c r="EV304" s="93">
        <v>40.61</v>
      </c>
      <c r="EW304" s="93">
        <v>7.8520000000000003</v>
      </c>
      <c r="EX304" s="93">
        <v>9.8239999999999998</v>
      </c>
      <c r="EY304" s="20">
        <v>702.17599999999993</v>
      </c>
      <c r="EZ304" s="29">
        <v>237</v>
      </c>
      <c r="FA304" s="1504">
        <v>43709</v>
      </c>
      <c r="FB304" s="29">
        <v>1588</v>
      </c>
      <c r="FC304" s="29">
        <v>1616</v>
      </c>
      <c r="FD304" s="29">
        <v>3204</v>
      </c>
      <c r="FE304" s="29">
        <v>456</v>
      </c>
      <c r="FF304" s="29">
        <v>0</v>
      </c>
      <c r="FG304" s="29">
        <v>0</v>
      </c>
      <c r="FH304" s="29">
        <v>0</v>
      </c>
      <c r="FI304" s="29">
        <v>0</v>
      </c>
      <c r="FJ304" s="29">
        <v>0</v>
      </c>
      <c r="FK304" s="29">
        <v>237</v>
      </c>
      <c r="FL304" s="1504">
        <v>43709</v>
      </c>
      <c r="FM304" s="179">
        <v>101.47</v>
      </c>
      <c r="FN304" s="99">
        <v>100.71</v>
      </c>
      <c r="FO304" s="99">
        <v>129.77000000000001</v>
      </c>
      <c r="FP304" s="99">
        <v>101.3</v>
      </c>
      <c r="FQ304" s="99">
        <v>98.97</v>
      </c>
      <c r="FR304" s="99">
        <v>101.24</v>
      </c>
      <c r="FS304" s="99">
        <v>100.41</v>
      </c>
      <c r="FT304" s="99">
        <v>99.27</v>
      </c>
      <c r="FU304" s="99">
        <v>98.59</v>
      </c>
      <c r="FV304" s="99">
        <v>101.07</v>
      </c>
      <c r="FW304" s="99">
        <v>104.68</v>
      </c>
      <c r="FX304" s="99">
        <v>105</v>
      </c>
      <c r="FY304" s="99">
        <v>100.84</v>
      </c>
      <c r="FZ304" s="29">
        <v>237</v>
      </c>
      <c r="GA304" s="1504">
        <v>43709</v>
      </c>
      <c r="GB304" s="19">
        <v>101.47</v>
      </c>
      <c r="GC304" s="93">
        <v>102.18</v>
      </c>
      <c r="GD304" s="93">
        <v>101.47</v>
      </c>
      <c r="GE304" s="93">
        <v>96.11</v>
      </c>
      <c r="GF304" s="93">
        <v>99.74</v>
      </c>
      <c r="GG304" s="99">
        <v>103.21</v>
      </c>
      <c r="GH304" s="93">
        <v>101.34</v>
      </c>
      <c r="GI304" s="93">
        <v>102.06</v>
      </c>
      <c r="GJ304" s="93">
        <v>102.68</v>
      </c>
      <c r="GK304" s="93">
        <v>100.1</v>
      </c>
      <c r="GL304" s="93">
        <v>101.77</v>
      </c>
      <c r="GM304" s="93">
        <v>101.27</v>
      </c>
      <c r="GN304" s="20">
        <v>102.67</v>
      </c>
      <c r="GO304" s="29">
        <v>237</v>
      </c>
      <c r="GP304" s="1504">
        <v>43709</v>
      </c>
      <c r="GQ304" s="19">
        <v>246</v>
      </c>
      <c r="GR304" s="93">
        <v>215</v>
      </c>
      <c r="GS304" s="93">
        <v>221</v>
      </c>
      <c r="GT304" s="93">
        <v>186</v>
      </c>
      <c r="GU304" s="93">
        <v>399</v>
      </c>
      <c r="GV304" s="20">
        <v>930</v>
      </c>
      <c r="GW304" s="19">
        <v>359</v>
      </c>
      <c r="GX304" s="93">
        <v>449</v>
      </c>
      <c r="GY304" s="93">
        <v>478</v>
      </c>
      <c r="GZ304" s="93">
        <v>453</v>
      </c>
      <c r="HA304" s="93">
        <v>325</v>
      </c>
      <c r="HB304" s="20">
        <v>468</v>
      </c>
      <c r="HC304" s="19">
        <v>2057</v>
      </c>
      <c r="HD304" s="93">
        <v>2670</v>
      </c>
      <c r="HE304" s="93">
        <v>2567</v>
      </c>
      <c r="HF304" s="93">
        <v>3150</v>
      </c>
      <c r="HG304" s="93">
        <v>2751</v>
      </c>
      <c r="HH304" s="20">
        <v>2751</v>
      </c>
      <c r="HI304" s="19"/>
      <c r="HJ304" s="93">
        <v>849</v>
      </c>
      <c r="HK304" s="93">
        <v>1669</v>
      </c>
      <c r="HL304" s="93">
        <v>1077</v>
      </c>
      <c r="HM304" s="93">
        <v>900</v>
      </c>
      <c r="HN304" s="20">
        <v>2784</v>
      </c>
      <c r="HO304" s="219">
        <v>158</v>
      </c>
      <c r="HP304" s="20">
        <v>99</v>
      </c>
      <c r="HQ304" s="25">
        <v>147</v>
      </c>
      <c r="HR304" s="29">
        <v>237</v>
      </c>
      <c r="HS304" s="1504">
        <v>43709</v>
      </c>
      <c r="HT304" s="179">
        <v>197.34115600585938</v>
      </c>
      <c r="HU304" s="99">
        <v>222.22222900390625</v>
      </c>
      <c r="HV304" s="99">
        <v>159.03345336914063</v>
      </c>
      <c r="HW304" s="99">
        <v>178.57142639160156</v>
      </c>
      <c r="HX304" s="99">
        <v>170.83333587646484</v>
      </c>
      <c r="HY304" s="99">
        <v>194.44444274902344</v>
      </c>
      <c r="HZ304" s="99">
        <v>208.37808532714843</v>
      </c>
      <c r="IA304" s="132">
        <v>139.25258255004883</v>
      </c>
      <c r="IB304" s="179">
        <v>127.04265785217285</v>
      </c>
      <c r="IC304" s="99">
        <v>82.085563659667969</v>
      </c>
      <c r="ID304" s="99">
        <v>96.774192810058594</v>
      </c>
      <c r="IE304" s="99">
        <v>86.455129623413086</v>
      </c>
      <c r="IF304" s="99">
        <v>138.44936370849609</v>
      </c>
      <c r="IG304" s="132">
        <v>85.554111480712891</v>
      </c>
      <c r="IH304" s="179">
        <v>104.94505310058594</v>
      </c>
      <c r="II304" s="99">
        <v>194.89247131347656</v>
      </c>
      <c r="IJ304" s="99">
        <v>142.16140937805176</v>
      </c>
      <c r="IK304" s="99">
        <v>125</v>
      </c>
      <c r="IL304" s="99">
        <v>131.55863952636719</v>
      </c>
      <c r="IM304" s="99">
        <v>120.16392707824707</v>
      </c>
      <c r="IN304" s="93">
        <v>159.01060485839844</v>
      </c>
      <c r="IO304" s="132">
        <v>147.99976959228516</v>
      </c>
      <c r="IP304" s="29">
        <v>237</v>
      </c>
      <c r="IQ304" s="19">
        <v>127.04265785217285</v>
      </c>
      <c r="IR304" s="93">
        <v>82.085563659667969</v>
      </c>
      <c r="IS304" s="93">
        <v>96.774192810058594</v>
      </c>
      <c r="IT304" s="93">
        <v>86.455129623413086</v>
      </c>
      <c r="IU304" s="93">
        <v>138.44936370849609</v>
      </c>
      <c r="IV304" s="20">
        <v>85.554111480712891</v>
      </c>
      <c r="IW304" s="29">
        <v>237</v>
      </c>
      <c r="IX304" s="19">
        <v>414.28572082519531</v>
      </c>
      <c r="IY304" s="93">
        <v>410.77020263671875</v>
      </c>
      <c r="IZ304" s="93">
        <v>395.83334350585938</v>
      </c>
      <c r="JA304" s="93">
        <v>375</v>
      </c>
      <c r="JB304" s="93">
        <v>400</v>
      </c>
      <c r="JC304" s="93">
        <v>396</v>
      </c>
      <c r="JD304" s="93">
        <v>400</v>
      </c>
      <c r="JE304" s="20">
        <v>370</v>
      </c>
      <c r="JF304" s="29">
        <v>237</v>
      </c>
      <c r="JG304" s="19">
        <v>145.76061401367187</v>
      </c>
      <c r="JH304" s="93">
        <v>181.45161437988281</v>
      </c>
      <c r="JI304" s="93">
        <v>128.86630249023438</v>
      </c>
      <c r="JJ304" s="93">
        <v>155.72390747070313</v>
      </c>
      <c r="JK304" s="93">
        <v>157.43573760986328</v>
      </c>
      <c r="JL304" s="93">
        <v>150.55280685424805</v>
      </c>
      <c r="JM304" s="93">
        <v>157.15583229064941</v>
      </c>
      <c r="JN304" s="20">
        <v>181.82010192871093</v>
      </c>
      <c r="JO304" s="29">
        <v>237</v>
      </c>
      <c r="JP304" s="19">
        <v>174.24106216430664</v>
      </c>
      <c r="JQ304" s="93">
        <v>70.326939392089841</v>
      </c>
      <c r="JR304" s="93">
        <v>101.74731063842773</v>
      </c>
      <c r="JS304" s="93"/>
      <c r="JT304" s="93">
        <v>178.01857757568359</v>
      </c>
      <c r="JU304" s="20">
        <v>77.935222625732422</v>
      </c>
      <c r="JV304" s="29">
        <v>237</v>
      </c>
      <c r="JW304" s="1504">
        <v>43709</v>
      </c>
      <c r="JX304" s="19"/>
      <c r="JY304" s="93">
        <v>300.10416666666669</v>
      </c>
      <c r="JZ304" s="93">
        <v>271.86666666666667</v>
      </c>
      <c r="KA304" s="93">
        <v>245.78125</v>
      </c>
      <c r="KB304" s="93">
        <v>243.92156862745099</v>
      </c>
      <c r="KC304" s="93">
        <v>224.66101694915255</v>
      </c>
      <c r="KD304" s="20">
        <v>287.41007194244605</v>
      </c>
      <c r="KE304" s="29">
        <v>237</v>
      </c>
      <c r="KF304" s="19"/>
      <c r="KG304" s="93">
        <v>42.676056338028168</v>
      </c>
      <c r="KH304" s="93">
        <v>48.5625</v>
      </c>
      <c r="KI304" s="93">
        <v>50.774999999999999</v>
      </c>
      <c r="KJ304" s="93">
        <v>34.085106382978722</v>
      </c>
      <c r="KK304" s="20">
        <v>75.962897526501763</v>
      </c>
      <c r="KL304" s="29">
        <v>237</v>
      </c>
      <c r="KM304" s="19"/>
      <c r="KN304" s="93">
        <v>14.242957746478872</v>
      </c>
      <c r="KO304" s="93">
        <v>30.166666666666668</v>
      </c>
      <c r="KP304" s="93">
        <v>31.350877192982459</v>
      </c>
      <c r="KQ304" s="93">
        <v>27.214285714285715</v>
      </c>
      <c r="KR304" s="20">
        <v>31.182758620689654</v>
      </c>
      <c r="KS304" s="29">
        <v>237</v>
      </c>
      <c r="KT304" s="19"/>
      <c r="KU304" s="93">
        <v>23.424242424242426</v>
      </c>
      <c r="KV304" s="93">
        <v>25.583333333333332</v>
      </c>
      <c r="KW304" s="93">
        <v>21.856481481481481</v>
      </c>
      <c r="KX304" s="93">
        <v>18.819148936170212</v>
      </c>
      <c r="KY304" s="20">
        <v>25.447653429602887</v>
      </c>
      <c r="KZ304" s="29">
        <v>237</v>
      </c>
      <c r="LA304" s="1504">
        <v>43709</v>
      </c>
      <c r="LB304" s="19"/>
      <c r="LC304" s="93"/>
      <c r="LD304" s="93"/>
      <c r="LE304" s="93"/>
      <c r="LF304" s="93"/>
      <c r="LG304" s="93"/>
      <c r="LH304" s="20"/>
      <c r="LI304" s="29"/>
      <c r="LJ304" s="19"/>
      <c r="LK304" s="93"/>
      <c r="LL304" s="93"/>
      <c r="LM304" s="93"/>
      <c r="LN304" s="93"/>
      <c r="LO304" s="20"/>
      <c r="LP304" s="29"/>
      <c r="LQ304" s="19"/>
      <c r="LR304" s="93">
        <v>188</v>
      </c>
      <c r="LS304" s="93">
        <v>463</v>
      </c>
      <c r="LT304" s="93">
        <v>663</v>
      </c>
      <c r="LU304" s="93">
        <v>1104</v>
      </c>
      <c r="LV304" s="93"/>
      <c r="LW304" s="93">
        <v>5</v>
      </c>
      <c r="LX304" s="93">
        <v>10</v>
      </c>
      <c r="LY304" s="93">
        <v>60</v>
      </c>
      <c r="LZ304" s="93"/>
      <c r="MA304" s="20"/>
      <c r="MB304" s="29">
        <v>237</v>
      </c>
      <c r="MC304" s="1504">
        <v>43709</v>
      </c>
      <c r="MD304" s="733">
        <v>1406.2819492592855</v>
      </c>
      <c r="ME304" s="570">
        <v>1360.6440124794285</v>
      </c>
      <c r="MF304" s="570">
        <v>1360.6440124794285</v>
      </c>
      <c r="MG304" s="570">
        <v>1080.8988036744288</v>
      </c>
      <c r="MH304" s="570">
        <v>337.9587908028401</v>
      </c>
      <c r="MI304" s="570">
        <v>9.7774150080174387</v>
      </c>
      <c r="MJ304" s="570">
        <v>6.1767715226905677</v>
      </c>
      <c r="MK304" s="570">
        <v>572.62863778721533</v>
      </c>
      <c r="ML304" s="570">
        <v>146.16969171900001</v>
      </c>
      <c r="MM304" s="570">
        <v>8.1874968346650672</v>
      </c>
      <c r="MN304" s="570">
        <v>279.745208805</v>
      </c>
      <c r="MO304" s="570">
        <v>4.9282246489999997</v>
      </c>
      <c r="MP304" s="570">
        <v>142.21699114799998</v>
      </c>
      <c r="MQ304" s="570">
        <v>1.6970597450000005</v>
      </c>
      <c r="MR304" s="570">
        <v>43.195117928000002</v>
      </c>
      <c r="MS304" s="570">
        <v>87.707815334999978</v>
      </c>
      <c r="MT304" s="570">
        <v>0</v>
      </c>
      <c r="MU304" s="570">
        <v>45.637936779856979</v>
      </c>
      <c r="MV304" s="570">
        <v>32.770041299856985</v>
      </c>
      <c r="MW304" s="570">
        <v>12.86789548</v>
      </c>
      <c r="MX304" s="570">
        <v>1579.626642406927</v>
      </c>
      <c r="MY304" s="570">
        <v>1591.4871095169269</v>
      </c>
      <c r="MZ304" s="570">
        <v>1263.4690515774616</v>
      </c>
      <c r="NA304" s="570">
        <v>632.32031799499998</v>
      </c>
      <c r="NB304" s="570">
        <v>117.99084950300001</v>
      </c>
      <c r="NC304" s="570">
        <v>70.644402530561578</v>
      </c>
      <c r="ND304" s="570">
        <v>55.794117601000004</v>
      </c>
      <c r="NE304" s="570">
        <v>14.850284929561578</v>
      </c>
      <c r="NF304" s="570">
        <v>442.51348154890002</v>
      </c>
      <c r="NG304" s="570">
        <v>8.0057770638000001</v>
      </c>
      <c r="NH304" s="570">
        <v>94.53412445299999</v>
      </c>
      <c r="NI304" s="570">
        <v>0</v>
      </c>
      <c r="NJ304" s="570">
        <v>76</v>
      </c>
      <c r="NK304" s="570">
        <v>328.01805793946528</v>
      </c>
      <c r="NL304" s="570">
        <v>232.85694697400001</v>
      </c>
      <c r="NM304" s="570">
        <v>1.3071919590000001</v>
      </c>
      <c r="NN304" s="570">
        <v>93.853919006465318</v>
      </c>
      <c r="NO304" s="570">
        <v>-11.86046711</v>
      </c>
      <c r="NP304" s="570">
        <v>-173.34469314764141</v>
      </c>
      <c r="NQ304" s="570">
        <v>-218.98262992749841</v>
      </c>
      <c r="NR304" s="570">
        <v>-54.484308390471476</v>
      </c>
      <c r="NS304" s="570">
        <v>-125.12871092103309</v>
      </c>
      <c r="NT304" s="570">
        <v>-230.50430910164133</v>
      </c>
      <c r="NU304" s="570">
        <v>-276.14224588149835</v>
      </c>
      <c r="NV304" s="570">
        <v>226.05230705706836</v>
      </c>
      <c r="NW304" s="570">
        <v>92.36017377524837</v>
      </c>
      <c r="NX304" s="570">
        <v>126.57984141260833</v>
      </c>
      <c r="NY304" s="570">
        <v>-34.219667637359976</v>
      </c>
      <c r="NZ304" s="570">
        <v>0</v>
      </c>
      <c r="OA304" s="570">
        <v>133.69213328181999</v>
      </c>
      <c r="OB304" s="570">
        <v>-3.621931755180007</v>
      </c>
      <c r="OC304" s="570">
        <v>137.31406503700001</v>
      </c>
      <c r="OD304" s="734">
        <v>4.4520020445729607</v>
      </c>
      <c r="OE304" s="29">
        <v>237</v>
      </c>
      <c r="OF304" s="1504">
        <v>43709</v>
      </c>
      <c r="OG304" s="19"/>
      <c r="OH304" s="93">
        <v>551.21624763900002</v>
      </c>
      <c r="OI304" s="93">
        <v>1647.4617635460002</v>
      </c>
      <c r="OJ304" s="93">
        <v>0.58877247700000002</v>
      </c>
      <c r="OK304" s="93">
        <v>1415.4610000000002</v>
      </c>
      <c r="OL304" s="93">
        <v>231.41199106899998</v>
      </c>
      <c r="OM304" s="93">
        <v>2198.6780111850003</v>
      </c>
      <c r="ON304" s="93">
        <v>1559.998108319</v>
      </c>
      <c r="OO304" s="93">
        <v>3758.6761195040003</v>
      </c>
      <c r="OP304" s="93"/>
      <c r="OQ304" s="93">
        <v>1306.5900266479998</v>
      </c>
      <c r="OR304" s="93">
        <v>161.52302664799981</v>
      </c>
      <c r="OS304" s="93">
        <v>1145.0670000000002</v>
      </c>
      <c r="OT304" s="93">
        <v>2988.6796773680003</v>
      </c>
      <c r="OU304" s="93">
        <v>64.570710509000023</v>
      </c>
      <c r="OV304" s="93">
        <v>-73.596289491000007</v>
      </c>
      <c r="OW304" s="93">
        <v>138.16700000000003</v>
      </c>
      <c r="OX304" s="93">
        <v>2924.1089668590002</v>
      </c>
      <c r="OY304" s="93">
        <v>7.3519668590000009</v>
      </c>
      <c r="OZ304" s="93">
        <v>2916.7570000000001</v>
      </c>
      <c r="PA304" s="93">
        <v>717.61284506899995</v>
      </c>
      <c r="PB304" s="93">
        <v>-181.01926055699991</v>
      </c>
      <c r="PC304" s="20">
        <v>3758.6761195040003</v>
      </c>
      <c r="PD304" s="29">
        <v>237</v>
      </c>
      <c r="PE304" s="19"/>
      <c r="PF304" s="93">
        <v>161.52302664799981</v>
      </c>
      <c r="PG304" s="93">
        <v>1198.3572932449997</v>
      </c>
      <c r="PH304" s="93">
        <v>1036.8342665969999</v>
      </c>
      <c r="PI304" s="93">
        <v>741.87699999999995</v>
      </c>
      <c r="PJ304" s="93">
        <v>-64.032068398000007</v>
      </c>
      <c r="PK304" s="93">
        <v>126.951896178</v>
      </c>
      <c r="PL304" s="93">
        <v>190.98396457600001</v>
      </c>
      <c r="PM304" s="93">
        <v>7.3519668590000009</v>
      </c>
      <c r="PN304" s="93">
        <v>2.7679999999999998</v>
      </c>
      <c r="PO304" s="93">
        <v>0</v>
      </c>
      <c r="PP304" s="93">
        <v>0</v>
      </c>
      <c r="PQ304" s="93">
        <v>4.5839668590000011</v>
      </c>
      <c r="PR304" s="93">
        <v>825.72287555000003</v>
      </c>
      <c r="PS304" s="93">
        <v>632.28046873200003</v>
      </c>
      <c r="PT304" s="93">
        <v>192.52052602200001</v>
      </c>
      <c r="PU304" s="93">
        <v>0.92188079599999995</v>
      </c>
      <c r="PV304" s="93">
        <v>0</v>
      </c>
      <c r="PW304" s="93">
        <v>0.35873296100000002</v>
      </c>
      <c r="PX304" s="93">
        <v>0</v>
      </c>
      <c r="PY304" s="93">
        <v>0</v>
      </c>
      <c r="PZ304" s="93">
        <v>0.35873296100000002</v>
      </c>
      <c r="QA304" s="93">
        <v>0</v>
      </c>
      <c r="QB304" s="93">
        <v>0</v>
      </c>
      <c r="QC304" s="93">
        <v>0</v>
      </c>
      <c r="QD304" s="93">
        <v>16.360112107999999</v>
      </c>
      <c r="QE304" s="20">
        <v>4.2782044899999994</v>
      </c>
      <c r="QF304" s="1739">
        <v>237</v>
      </c>
      <c r="QG304" s="19"/>
      <c r="QH304" s="1035">
        <v>1145.0670000000002</v>
      </c>
      <c r="QI304" s="1035">
        <v>1498.0400000000002</v>
      </c>
      <c r="QJ304" s="1035">
        <v>-352.97300000000001</v>
      </c>
      <c r="QK304" s="1035">
        <v>300.71199999999999</v>
      </c>
      <c r="QL304" s="1035">
        <v>71.5</v>
      </c>
      <c r="QM304" s="1035">
        <v>229.21199999999999</v>
      </c>
      <c r="QN304" s="1035">
        <v>0</v>
      </c>
      <c r="QO304" s="1035">
        <v>138.16700000000003</v>
      </c>
      <c r="QP304" s="1035">
        <v>501.15500000000003</v>
      </c>
      <c r="QQ304" s="1035">
        <v>-362.988</v>
      </c>
      <c r="QR304" s="1035">
        <v>2916.7570000000001</v>
      </c>
      <c r="QS304" s="1035">
        <v>14.045999999999999</v>
      </c>
      <c r="QT304" s="1035">
        <v>37.873000000000005</v>
      </c>
      <c r="QU304" s="1035">
        <v>266.71199999999999</v>
      </c>
      <c r="QV304" s="1035">
        <v>2598.1260000000002</v>
      </c>
      <c r="QW304" s="93"/>
      <c r="QX304" s="93">
        <v>742.51900000000001</v>
      </c>
      <c r="QY304" s="93">
        <v>1415.461</v>
      </c>
      <c r="QZ304" s="93">
        <v>1559.665</v>
      </c>
      <c r="RA304" s="93">
        <v>0</v>
      </c>
      <c r="RB304" s="93">
        <v>144.214</v>
      </c>
      <c r="RC304" s="93">
        <v>0</v>
      </c>
      <c r="RD304" s="93">
        <v>35.137</v>
      </c>
      <c r="RE304" s="93">
        <v>0</v>
      </c>
      <c r="RF304" s="93">
        <v>0</v>
      </c>
      <c r="RG304" s="93">
        <v>521.54300000000001</v>
      </c>
      <c r="RH304" s="93">
        <v>82.163999999999987</v>
      </c>
      <c r="RI304" s="93"/>
      <c r="RJ304" s="93"/>
      <c r="RK304" s="93"/>
      <c r="RL304" s="93"/>
      <c r="RM304" s="734"/>
      <c r="RN304" s="29">
        <v>237</v>
      </c>
      <c r="RO304" s="1532">
        <v>87</v>
      </c>
      <c r="RP304" s="1534">
        <v>1388</v>
      </c>
      <c r="RQ304" s="29">
        <v>237</v>
      </c>
      <c r="RR304" s="734">
        <v>4.3205639199999997</v>
      </c>
      <c r="RS304" s="29">
        <v>237</v>
      </c>
      <c r="RT304" s="1504">
        <v>43709</v>
      </c>
      <c r="RU304" s="1532">
        <v>1320</v>
      </c>
      <c r="RV304" s="1534">
        <v>27</v>
      </c>
      <c r="RW304" s="29">
        <v>237</v>
      </c>
      <c r="RX304" s="1504">
        <v>43709</v>
      </c>
      <c r="RY304" s="29"/>
      <c r="RZ304" s="734"/>
      <c r="SA304" s="29"/>
      <c r="SB304" s="29">
        <v>237</v>
      </c>
    </row>
    <row r="305" spans="1:496">
      <c r="A305" s="41">
        <f t="shared" si="238"/>
        <v>2019</v>
      </c>
      <c r="B305" s="1504">
        <v>43739</v>
      </c>
      <c r="C305" s="1813">
        <v>1641</v>
      </c>
      <c r="D305" s="1814">
        <v>21695</v>
      </c>
      <c r="E305" s="1814">
        <v>73</v>
      </c>
      <c r="F305" s="1815">
        <v>641</v>
      </c>
      <c r="G305" s="1814">
        <v>99402</v>
      </c>
      <c r="H305" s="1814">
        <v>14</v>
      </c>
      <c r="I305" s="1814">
        <v>32467</v>
      </c>
      <c r="J305" s="1816">
        <v>13793</v>
      </c>
      <c r="K305" s="1807">
        <v>169726</v>
      </c>
      <c r="L305" s="25">
        <v>238</v>
      </c>
      <c r="M305" s="97"/>
      <c r="N305" s="1504">
        <v>43739</v>
      </c>
      <c r="O305" s="19">
        <v>436</v>
      </c>
      <c r="P305" s="93">
        <v>519</v>
      </c>
      <c r="Q305" s="93">
        <v>10073</v>
      </c>
      <c r="R305" s="93">
        <v>2002</v>
      </c>
      <c r="S305" s="93">
        <v>1061</v>
      </c>
      <c r="T305" s="93">
        <v>509</v>
      </c>
      <c r="U305" s="93">
        <v>200</v>
      </c>
      <c r="V305" s="93">
        <v>948</v>
      </c>
      <c r="W305" s="93">
        <v>3883</v>
      </c>
      <c r="X305" s="93">
        <v>707</v>
      </c>
      <c r="Y305" s="93">
        <v>137</v>
      </c>
      <c r="Z305" s="93">
        <v>926</v>
      </c>
      <c r="AA305" s="93">
        <v>294</v>
      </c>
      <c r="AB305" s="20">
        <v>21695</v>
      </c>
      <c r="AC305" s="25">
        <v>238</v>
      </c>
      <c r="AD305" s="97"/>
      <c r="AE305" s="1504">
        <v>43739</v>
      </c>
      <c r="AF305" s="19">
        <v>3167</v>
      </c>
      <c r="AG305" s="93">
        <v>3153</v>
      </c>
      <c r="AH305" s="93">
        <v>1276</v>
      </c>
      <c r="AI305" s="93">
        <v>857</v>
      </c>
      <c r="AJ305" s="93">
        <v>2817</v>
      </c>
      <c r="AK305" s="93">
        <v>2794</v>
      </c>
      <c r="AL305" s="93">
        <v>654</v>
      </c>
      <c r="AM305" s="93">
        <v>895</v>
      </c>
      <c r="AN305" s="93">
        <v>2440</v>
      </c>
      <c r="AO305" s="93">
        <v>4517</v>
      </c>
      <c r="AP305" s="93">
        <v>11427</v>
      </c>
      <c r="AQ305" s="93">
        <v>2407</v>
      </c>
      <c r="AR305" s="93">
        <v>2388</v>
      </c>
      <c r="AS305" s="20">
        <v>38792</v>
      </c>
      <c r="AT305" s="25">
        <v>238</v>
      </c>
      <c r="AU305" s="97"/>
      <c r="AV305" s="1504">
        <v>43739</v>
      </c>
      <c r="AW305" s="19">
        <v>10012</v>
      </c>
      <c r="AX305" s="93">
        <v>2563</v>
      </c>
      <c r="AY305" s="93">
        <v>5024</v>
      </c>
      <c r="AZ305" s="93">
        <v>16155</v>
      </c>
      <c r="BA305" s="93">
        <v>10485</v>
      </c>
      <c r="BB305" s="93">
        <v>5657</v>
      </c>
      <c r="BC305" s="93">
        <v>3888</v>
      </c>
      <c r="BD305" s="93">
        <v>11081</v>
      </c>
      <c r="BE305" s="93">
        <v>11787</v>
      </c>
      <c r="BF305" s="93">
        <v>6645</v>
      </c>
      <c r="BG305" s="93">
        <v>5046</v>
      </c>
      <c r="BH305" s="93">
        <v>8275</v>
      </c>
      <c r="BI305" s="93">
        <v>2784</v>
      </c>
      <c r="BJ305" s="20">
        <v>99402</v>
      </c>
      <c r="BK305" s="25">
        <v>238</v>
      </c>
      <c r="BL305" s="97"/>
      <c r="BM305" s="1504">
        <v>43739</v>
      </c>
      <c r="BN305" s="19">
        <v>93.126000000000019</v>
      </c>
      <c r="BO305" s="93">
        <v>2721.6049999999996</v>
      </c>
      <c r="BP305" s="93">
        <v>15.167999999999999</v>
      </c>
      <c r="BQ305" s="93">
        <v>804.43999999999994</v>
      </c>
      <c r="BR305" s="93">
        <v>2.4479999999999995</v>
      </c>
      <c r="BS305" s="93">
        <v>305.64000000000016</v>
      </c>
      <c r="BT305" s="93">
        <v>350.42399999999992</v>
      </c>
      <c r="BU305" s="20">
        <v>4292.8509999999997</v>
      </c>
      <c r="BV305" s="25">
        <v>238</v>
      </c>
      <c r="BW305" s="97"/>
      <c r="BX305" s="1504">
        <v>43739</v>
      </c>
      <c r="BY305" s="179">
        <v>593.51707214207897</v>
      </c>
      <c r="BZ305" s="99">
        <v>655.95699999999999</v>
      </c>
      <c r="CA305" s="99">
        <v>595.94530753157085</v>
      </c>
      <c r="CB305" s="99">
        <v>38.786482970671713</v>
      </c>
      <c r="CC305" s="99">
        <v>108.91630000000001</v>
      </c>
      <c r="CD305" s="25">
        <v>238</v>
      </c>
      <c r="CE305" s="97"/>
      <c r="CF305" s="1504">
        <v>43739</v>
      </c>
      <c r="CG305" s="1508">
        <v>1.6287732559999999</v>
      </c>
      <c r="CH305" s="568">
        <v>1494.81</v>
      </c>
      <c r="CI305" s="1708">
        <v>57.273333333333298</v>
      </c>
      <c r="CJ305" s="1509">
        <v>59.37</v>
      </c>
      <c r="CK305" s="1508">
        <v>397.04</v>
      </c>
      <c r="CL305" s="568">
        <v>167.1486544</v>
      </c>
      <c r="CM305" s="568">
        <v>0.27712073399999998</v>
      </c>
      <c r="CN305" s="568">
        <v>0.36094676799999997</v>
      </c>
      <c r="CO305" s="568">
        <v>199.51812810000001</v>
      </c>
      <c r="CP305" s="1509">
        <v>4.8583210939999999</v>
      </c>
      <c r="CQ305" s="1708">
        <v>1458.53</v>
      </c>
      <c r="CR305" s="568">
        <v>2.3433333333333302</v>
      </c>
      <c r="CS305" s="568">
        <v>1.4349000000000001</v>
      </c>
      <c r="CT305" s="568">
        <v>77.5</v>
      </c>
      <c r="CU305" s="568">
        <v>88.53</v>
      </c>
      <c r="CV305" s="1709">
        <v>2451.65</v>
      </c>
      <c r="CW305" s="29">
        <v>238</v>
      </c>
      <c r="CX305" s="41">
        <f t="shared" si="239"/>
        <v>2019</v>
      </c>
      <c r="CY305" s="1504">
        <v>43739</v>
      </c>
      <c r="CZ305" s="733">
        <v>134.555115</v>
      </c>
      <c r="DA305" s="570">
        <v>73.847933999999995</v>
      </c>
      <c r="DB305" s="570">
        <v>45.940752000000003</v>
      </c>
      <c r="DC305" s="93"/>
      <c r="DD305" s="93"/>
      <c r="DE305" s="20"/>
      <c r="DF305" s="29">
        <v>238</v>
      </c>
      <c r="DG305" s="1504">
        <v>43739</v>
      </c>
      <c r="DH305" s="19">
        <v>419793</v>
      </c>
      <c r="DI305" s="93">
        <v>4353412</v>
      </c>
      <c r="DJ305" s="93">
        <v>283186</v>
      </c>
      <c r="DK305" s="93">
        <v>16418</v>
      </c>
      <c r="DL305" s="93">
        <v>468498</v>
      </c>
      <c r="DM305" s="93">
        <v>7999</v>
      </c>
      <c r="DN305" s="20">
        <v>1404954</v>
      </c>
      <c r="DO305" s="295">
        <f t="shared" si="282"/>
        <v>6534467</v>
      </c>
      <c r="DP305" s="29">
        <v>238</v>
      </c>
      <c r="DQ305" s="1504">
        <v>43739</v>
      </c>
      <c r="DR305" s="19">
        <v>49220.5</v>
      </c>
      <c r="DS305" s="93">
        <v>379.5</v>
      </c>
      <c r="DT305" s="93">
        <v>56992.800000000003</v>
      </c>
      <c r="DU305" s="93">
        <v>3576.1979999999999</v>
      </c>
      <c r="DV305" s="93">
        <v>15777.319</v>
      </c>
      <c r="DW305" s="93">
        <v>2812</v>
      </c>
      <c r="DX305" s="20">
        <v>9071.9210000000003</v>
      </c>
      <c r="DY305" s="29">
        <v>238</v>
      </c>
      <c r="DZ305" s="1504">
        <v>43739</v>
      </c>
      <c r="EA305" s="19"/>
      <c r="EB305" s="93"/>
      <c r="EC305" s="20"/>
      <c r="ED305" s="29"/>
      <c r="EE305" s="1504">
        <v>43739</v>
      </c>
      <c r="EF305" s="19">
        <v>22530</v>
      </c>
      <c r="EG305" s="93">
        <v>24301</v>
      </c>
      <c r="EH305" s="93">
        <v>46831</v>
      </c>
      <c r="EI305" s="214">
        <v>9183</v>
      </c>
      <c r="EJ305" s="93">
        <v>734.827</v>
      </c>
      <c r="EK305" s="93">
        <v>76.927000000000007</v>
      </c>
      <c r="EL305" s="93">
        <v>6.6079999999999997</v>
      </c>
      <c r="EM305" s="93">
        <v>8.7989999999999995</v>
      </c>
      <c r="EN305" s="20">
        <v>827.16099999999994</v>
      </c>
      <c r="EO305" s="29">
        <v>238</v>
      </c>
      <c r="EP305" s="1504">
        <v>43739</v>
      </c>
      <c r="EQ305" s="19">
        <v>20876</v>
      </c>
      <c r="ER305" s="93">
        <v>22622</v>
      </c>
      <c r="ES305" s="93">
        <v>43498</v>
      </c>
      <c r="ET305" s="214">
        <v>8664</v>
      </c>
      <c r="EU305" s="93">
        <v>734.827</v>
      </c>
      <c r="EV305" s="93">
        <v>76.927000000000007</v>
      </c>
      <c r="EW305" s="93">
        <v>6.6079999999999997</v>
      </c>
      <c r="EX305" s="93">
        <v>8.7989999999999995</v>
      </c>
      <c r="EY305" s="20">
        <v>827.16099999999994</v>
      </c>
      <c r="EZ305" s="29">
        <v>238</v>
      </c>
      <c r="FA305" s="1504">
        <v>43739</v>
      </c>
      <c r="FB305" s="29">
        <v>1654</v>
      </c>
      <c r="FC305" s="29">
        <v>1679</v>
      </c>
      <c r="FD305" s="29">
        <v>3333</v>
      </c>
      <c r="FE305" s="29">
        <v>519</v>
      </c>
      <c r="FF305" s="29">
        <v>0</v>
      </c>
      <c r="FG305" s="29">
        <v>0</v>
      </c>
      <c r="FH305" s="29">
        <v>0</v>
      </c>
      <c r="FI305" s="29">
        <v>0</v>
      </c>
      <c r="FJ305" s="29">
        <v>0</v>
      </c>
      <c r="FK305" s="29">
        <v>238</v>
      </c>
      <c r="FL305" s="1504">
        <v>43739</v>
      </c>
      <c r="FM305" s="179">
        <v>102.02</v>
      </c>
      <c r="FN305" s="99">
        <v>100.78</v>
      </c>
      <c r="FO305" s="99">
        <v>128.93</v>
      </c>
      <c r="FP305" s="99">
        <v>101.29</v>
      </c>
      <c r="FQ305" s="99">
        <v>102.36</v>
      </c>
      <c r="FR305" s="99">
        <v>101.28</v>
      </c>
      <c r="FS305" s="99">
        <v>100.41</v>
      </c>
      <c r="FT305" s="99">
        <v>99.62</v>
      </c>
      <c r="FU305" s="99">
        <v>98.57</v>
      </c>
      <c r="FV305" s="99">
        <v>101.07</v>
      </c>
      <c r="FW305" s="99">
        <v>107.43</v>
      </c>
      <c r="FX305" s="99">
        <v>105.02</v>
      </c>
      <c r="FY305" s="99">
        <v>100.88</v>
      </c>
      <c r="FZ305" s="29">
        <v>238</v>
      </c>
      <c r="GA305" s="1504">
        <v>43739</v>
      </c>
      <c r="GB305" s="19">
        <v>102.02</v>
      </c>
      <c r="GC305" s="93">
        <v>102.1</v>
      </c>
      <c r="GD305" s="93">
        <v>102.26</v>
      </c>
      <c r="GE305" s="93">
        <v>101.25</v>
      </c>
      <c r="GF305" s="93">
        <v>100.2</v>
      </c>
      <c r="GG305" s="99">
        <v>103.23</v>
      </c>
      <c r="GH305" s="93">
        <v>102.1</v>
      </c>
      <c r="GI305" s="93">
        <v>102.4</v>
      </c>
      <c r="GJ305" s="93">
        <v>102.92</v>
      </c>
      <c r="GK305" s="93">
        <v>100.19</v>
      </c>
      <c r="GL305" s="93">
        <v>102.43</v>
      </c>
      <c r="GM305" s="93">
        <v>101.26</v>
      </c>
      <c r="GN305" s="20">
        <v>102.92</v>
      </c>
      <c r="GO305" s="29">
        <v>238</v>
      </c>
      <c r="GP305" s="1504">
        <v>43739</v>
      </c>
      <c r="GQ305" s="19">
        <v>240</v>
      </c>
      <c r="GR305" s="93">
        <v>210</v>
      </c>
      <c r="GS305" s="93">
        <v>205</v>
      </c>
      <c r="GT305" s="93">
        <v>187</v>
      </c>
      <c r="GU305" s="93">
        <v>381</v>
      </c>
      <c r="GV305" s="20">
        <v>939</v>
      </c>
      <c r="GW305" s="19">
        <v>337</v>
      </c>
      <c r="GX305" s="93">
        <v>439</v>
      </c>
      <c r="GY305" s="93">
        <v>427</v>
      </c>
      <c r="GZ305" s="93">
        <v>616</v>
      </c>
      <c r="HA305" s="93">
        <v>308</v>
      </c>
      <c r="HB305" s="20">
        <v>585</v>
      </c>
      <c r="HC305" s="19">
        <v>2024</v>
      </c>
      <c r="HD305" s="93">
        <v>2560</v>
      </c>
      <c r="HE305" s="93">
        <v>2520</v>
      </c>
      <c r="HF305" s="93">
        <v>3150</v>
      </c>
      <c r="HG305" s="93">
        <v>2687</v>
      </c>
      <c r="HH305" s="20">
        <v>2853</v>
      </c>
      <c r="HI305" s="19"/>
      <c r="HJ305" s="93">
        <v>840</v>
      </c>
      <c r="HK305" s="93">
        <v>1628</v>
      </c>
      <c r="HL305" s="93">
        <v>918</v>
      </c>
      <c r="HM305" s="93">
        <v>900</v>
      </c>
      <c r="HN305" s="20">
        <v>2471</v>
      </c>
      <c r="HO305" s="219">
        <v>150</v>
      </c>
      <c r="HP305" s="20">
        <v>107</v>
      </c>
      <c r="HQ305" s="25">
        <v>146</v>
      </c>
      <c r="HR305" s="29">
        <v>238</v>
      </c>
      <c r="HS305" s="1504">
        <v>43739</v>
      </c>
      <c r="HT305" s="179">
        <v>192.19037437438965</v>
      </c>
      <c r="HU305" s="99">
        <v>222.22222900390625</v>
      </c>
      <c r="HV305" s="99">
        <v>159.23565673828125</v>
      </c>
      <c r="HW305" s="99">
        <v>153.06121826171875</v>
      </c>
      <c r="HX305" s="99">
        <v>165.33333740234374</v>
      </c>
      <c r="HY305" s="99">
        <v>194.44444274902344</v>
      </c>
      <c r="HZ305" s="99">
        <v>199.19590377807617</v>
      </c>
      <c r="IA305" s="132">
        <v>145.42483520507813</v>
      </c>
      <c r="IB305" s="179">
        <v>132.24319915771486</v>
      </c>
      <c r="IC305" s="99">
        <v>87.009801864624023</v>
      </c>
      <c r="ID305" s="99">
        <v>99.354838562011722</v>
      </c>
      <c r="IE305" s="99">
        <v>79.351531982421875</v>
      </c>
      <c r="IF305" s="99">
        <v>125.316455078125</v>
      </c>
      <c r="IG305" s="132">
        <v>69.459460258483887</v>
      </c>
      <c r="IH305" s="179">
        <v>104.89982032775879</v>
      </c>
      <c r="II305" s="99">
        <v>191.53225708007813</v>
      </c>
      <c r="IJ305" s="99">
        <v>139.36290995279947</v>
      </c>
      <c r="IK305" s="99">
        <v>126.78571472167968</v>
      </c>
      <c r="IL305" s="99">
        <v>124.2283935546875</v>
      </c>
      <c r="IM305" s="99">
        <v>111.29032592773437</v>
      </c>
      <c r="IN305" s="93">
        <v>159.01060485839844</v>
      </c>
      <c r="IO305" s="132">
        <v>141.71511077880859</v>
      </c>
      <c r="IP305" s="29">
        <v>238</v>
      </c>
      <c r="IQ305" s="19">
        <v>132.24319915771486</v>
      </c>
      <c r="IR305" s="93">
        <v>87.009801864624023</v>
      </c>
      <c r="IS305" s="93">
        <v>99.354838562011722</v>
      </c>
      <c r="IT305" s="93">
        <v>79.351531982421875</v>
      </c>
      <c r="IU305" s="93">
        <v>125.316455078125</v>
      </c>
      <c r="IV305" s="20">
        <v>69.459460258483887</v>
      </c>
      <c r="IW305" s="29">
        <v>238</v>
      </c>
      <c r="IX305" s="19">
        <v>414.28572082519531</v>
      </c>
      <c r="IY305" s="93">
        <v>429.29293060302734</v>
      </c>
      <c r="IZ305" s="93">
        <v>395.83334350585938</v>
      </c>
      <c r="JA305" s="93">
        <v>375</v>
      </c>
      <c r="JB305" s="93">
        <v>400</v>
      </c>
      <c r="JC305" s="93">
        <v>400</v>
      </c>
      <c r="JD305" s="93">
        <v>400</v>
      </c>
      <c r="JE305" s="20">
        <v>370</v>
      </c>
      <c r="JF305" s="29">
        <v>238</v>
      </c>
      <c r="JG305" s="19">
        <v>140.30230808258057</v>
      </c>
      <c r="JH305" s="93">
        <v>161.29031372070313</v>
      </c>
      <c r="JI305" s="93">
        <v>129.03225708007813</v>
      </c>
      <c r="JJ305" s="93">
        <v>151.51515197753906</v>
      </c>
      <c r="JK305" s="93">
        <v>157.43573760986328</v>
      </c>
      <c r="JL305" s="93">
        <v>147.04290771484375</v>
      </c>
      <c r="JM305" s="93">
        <v>159.05274658203126</v>
      </c>
      <c r="JN305" s="20">
        <v>175.21675872802734</v>
      </c>
      <c r="JO305" s="29">
        <v>238</v>
      </c>
      <c r="JP305" s="19">
        <v>178.50227966308594</v>
      </c>
      <c r="JQ305" s="93">
        <v>74.107143402099609</v>
      </c>
      <c r="JR305" s="93">
        <v>112.90322875976563</v>
      </c>
      <c r="JS305" s="93"/>
      <c r="JT305" s="93">
        <v>152.79519348144532</v>
      </c>
      <c r="JU305" s="20">
        <v>78.534034729003906</v>
      </c>
      <c r="JV305" s="29">
        <v>238</v>
      </c>
      <c r="JW305" s="1504">
        <v>43739</v>
      </c>
      <c r="JX305" s="19"/>
      <c r="JY305" s="93">
        <v>286.88311688311688</v>
      </c>
      <c r="JZ305" s="93">
        <v>248.95569620253164</v>
      </c>
      <c r="KA305" s="93">
        <v>230</v>
      </c>
      <c r="KB305" s="93">
        <v>227.83333333333334</v>
      </c>
      <c r="KC305" s="93">
        <v>226.78723404255319</v>
      </c>
      <c r="KD305" s="20">
        <v>278.10897435897436</v>
      </c>
      <c r="KE305" s="29">
        <v>238</v>
      </c>
      <c r="KF305" s="19"/>
      <c r="KG305" s="93">
        <v>40.743421052631582</v>
      </c>
      <c r="KH305" s="93">
        <v>49</v>
      </c>
      <c r="KI305" s="93">
        <v>52.635416666666664</v>
      </c>
      <c r="KJ305" s="93">
        <v>37.658536585365852</v>
      </c>
      <c r="KK305" s="20">
        <v>76.13942307692308</v>
      </c>
      <c r="KL305" s="29">
        <v>238</v>
      </c>
      <c r="KM305" s="19"/>
      <c r="KN305" s="93">
        <v>15.89527027027027</v>
      </c>
      <c r="KO305" s="93">
        <v>30.395833333333332</v>
      </c>
      <c r="KP305" s="93">
        <v>32.333333333333329</v>
      </c>
      <c r="KQ305" s="93">
        <v>28.428571428571427</v>
      </c>
      <c r="KR305" s="20">
        <v>30.095679012345677</v>
      </c>
      <c r="KS305" s="29">
        <v>238</v>
      </c>
      <c r="KT305" s="19"/>
      <c r="KU305" s="93">
        <v>23.168918918918919</v>
      </c>
      <c r="KV305" s="93">
        <v>23.0625</v>
      </c>
      <c r="KW305" s="93">
        <v>22.552083333333332</v>
      </c>
      <c r="KX305" s="93">
        <v>18.953749999999999</v>
      </c>
      <c r="KY305" s="20">
        <v>24.823529411764707</v>
      </c>
      <c r="KZ305" s="29">
        <v>238</v>
      </c>
      <c r="LA305" s="1504">
        <v>43739</v>
      </c>
      <c r="LB305" s="19"/>
      <c r="LC305" s="93"/>
      <c r="LD305" s="93"/>
      <c r="LE305" s="93"/>
      <c r="LF305" s="93"/>
      <c r="LG305" s="93"/>
      <c r="LH305" s="20"/>
      <c r="LI305" s="29"/>
      <c r="LJ305" s="19"/>
      <c r="LK305" s="93"/>
      <c r="LL305" s="93"/>
      <c r="LM305" s="93"/>
      <c r="LN305" s="93"/>
      <c r="LO305" s="20"/>
      <c r="LP305" s="29"/>
      <c r="LQ305" s="19"/>
      <c r="LR305" s="93">
        <v>188</v>
      </c>
      <c r="LS305" s="93">
        <v>463</v>
      </c>
      <c r="LT305" s="93">
        <v>663</v>
      </c>
      <c r="LU305" s="93">
        <v>1104</v>
      </c>
      <c r="LV305" s="93"/>
      <c r="LW305" s="93">
        <v>5</v>
      </c>
      <c r="LX305" s="93">
        <v>10</v>
      </c>
      <c r="LY305" s="93">
        <v>60</v>
      </c>
      <c r="LZ305" s="93"/>
      <c r="MA305" s="20"/>
      <c r="MB305" s="29">
        <v>238</v>
      </c>
      <c r="MC305" s="1504">
        <v>43739</v>
      </c>
      <c r="MD305" s="733">
        <v>1575.3402501738713</v>
      </c>
      <c r="ME305" s="570">
        <v>1526.6872834748285</v>
      </c>
      <c r="MF305" s="570">
        <v>1526.6872834748285</v>
      </c>
      <c r="MG305" s="570">
        <v>1231.7369295918288</v>
      </c>
      <c r="MH305" s="570">
        <v>397.34383820084014</v>
      </c>
      <c r="MI305" s="570">
        <v>10.905119753017441</v>
      </c>
      <c r="MJ305" s="570">
        <v>6.9920804596905679</v>
      </c>
      <c r="MK305" s="570">
        <v>644.99604087961529</v>
      </c>
      <c r="ML305" s="570">
        <v>161.94958583900001</v>
      </c>
      <c r="MM305" s="570">
        <v>9.5502644596650672</v>
      </c>
      <c r="MN305" s="570">
        <v>294.95035388299999</v>
      </c>
      <c r="MO305" s="570">
        <v>5.4545921419999992</v>
      </c>
      <c r="MP305" s="570">
        <v>144.94281940899998</v>
      </c>
      <c r="MQ305" s="570">
        <v>2.0578638980000004</v>
      </c>
      <c r="MR305" s="570">
        <v>43.899915649</v>
      </c>
      <c r="MS305" s="570">
        <v>98.595162784999985</v>
      </c>
      <c r="MT305" s="570">
        <v>0</v>
      </c>
      <c r="MU305" s="570">
        <v>48.65296669904275</v>
      </c>
      <c r="MV305" s="570">
        <v>35.785071219042756</v>
      </c>
      <c r="MW305" s="570">
        <v>12.86789548</v>
      </c>
      <c r="MX305" s="570">
        <v>1756.8068406542636</v>
      </c>
      <c r="MY305" s="570">
        <v>1774.4506628622637</v>
      </c>
      <c r="MZ305" s="570">
        <v>1363.6984360578795</v>
      </c>
      <c r="NA305" s="570">
        <v>693.91918180666664</v>
      </c>
      <c r="NB305" s="570">
        <v>129.56765314399999</v>
      </c>
      <c r="NC305" s="570">
        <v>76.6796380520626</v>
      </c>
      <c r="ND305" s="570">
        <v>58.350296086</v>
      </c>
      <c r="NE305" s="570">
        <v>18.329341966062596</v>
      </c>
      <c r="NF305" s="570">
        <v>463.53196305515002</v>
      </c>
      <c r="NG305" s="570">
        <v>8.9144607712999999</v>
      </c>
      <c r="NH305" s="570">
        <v>101.63306731900001</v>
      </c>
      <c r="NI305" s="570">
        <v>0</v>
      </c>
      <c r="NJ305" s="570">
        <v>76</v>
      </c>
      <c r="NK305" s="570">
        <v>410.75222680438441</v>
      </c>
      <c r="NL305" s="570">
        <v>305.04504742</v>
      </c>
      <c r="NM305" s="570">
        <v>1.3071919590000001</v>
      </c>
      <c r="NN305" s="570">
        <v>104.39998742538444</v>
      </c>
      <c r="NO305" s="570">
        <v>-17.643822207999996</v>
      </c>
      <c r="NP305" s="570">
        <v>-181.46659048039245</v>
      </c>
      <c r="NQ305" s="570">
        <v>-230.11955717943519</v>
      </c>
      <c r="NR305" s="570">
        <v>-49.039931701988145</v>
      </c>
      <c r="NS305" s="570">
        <v>-125.71956975405077</v>
      </c>
      <c r="NT305" s="570">
        <v>-275.3050690277783</v>
      </c>
      <c r="NU305" s="570">
        <v>-323.95803572682104</v>
      </c>
      <c r="NV305" s="570">
        <v>269.61529527263872</v>
      </c>
      <c r="NW305" s="570">
        <v>93.472903281818716</v>
      </c>
      <c r="NX305" s="570">
        <v>134.11087991234166</v>
      </c>
      <c r="NY305" s="570">
        <v>-40.637976630522964</v>
      </c>
      <c r="NZ305" s="570">
        <v>0</v>
      </c>
      <c r="OA305" s="570">
        <v>176.14239199081999</v>
      </c>
      <c r="OB305" s="570">
        <v>-25.05237625118</v>
      </c>
      <c r="OC305" s="570">
        <v>201.19476824199998</v>
      </c>
      <c r="OD305" s="734">
        <v>5.6897737551395711</v>
      </c>
      <c r="OE305" s="29">
        <v>238</v>
      </c>
      <c r="OF305" s="1504">
        <v>43739</v>
      </c>
      <c r="OG305" s="19"/>
      <c r="OH305" s="93">
        <v>552.89214368500006</v>
      </c>
      <c r="OI305" s="93">
        <v>1627.4486839479998</v>
      </c>
      <c r="OJ305" s="93">
        <v>1.740692879</v>
      </c>
      <c r="OK305" s="93">
        <v>1394.2959999999998</v>
      </c>
      <c r="OL305" s="93">
        <v>231.41199106899998</v>
      </c>
      <c r="OM305" s="93">
        <v>2180.3408276330001</v>
      </c>
      <c r="ON305" s="93">
        <v>1569.4561083190001</v>
      </c>
      <c r="OO305" s="93">
        <v>3749.7969359520002</v>
      </c>
      <c r="OP305" s="93"/>
      <c r="OQ305" s="93">
        <v>1401.4207834620004</v>
      </c>
      <c r="OR305" s="93">
        <v>222.50478346199998</v>
      </c>
      <c r="OS305" s="93">
        <v>1178.9160000000002</v>
      </c>
      <c r="OT305" s="93">
        <v>2925.9578873259998</v>
      </c>
      <c r="OU305" s="93">
        <v>42.963796608999985</v>
      </c>
      <c r="OV305" s="93">
        <v>-159.52020339100005</v>
      </c>
      <c r="OW305" s="93">
        <v>202.48400000000004</v>
      </c>
      <c r="OX305" s="1700">
        <v>2882.9940907169998</v>
      </c>
      <c r="OY305" s="1700">
        <v>7.4240907169999995</v>
      </c>
      <c r="OZ305" s="1700">
        <v>2875.5699999999997</v>
      </c>
      <c r="PA305" s="93">
        <v>729.03457225900002</v>
      </c>
      <c r="PB305" s="93">
        <v>-151.45283742299995</v>
      </c>
      <c r="PC305" s="20">
        <v>3749.7969359519998</v>
      </c>
      <c r="PD305" s="29">
        <v>238</v>
      </c>
      <c r="PE305" s="19"/>
      <c r="PF305" s="93">
        <v>222.50478346199998</v>
      </c>
      <c r="PG305" s="93">
        <v>947.84890753799993</v>
      </c>
      <c r="PH305" s="93">
        <v>725.34412407599996</v>
      </c>
      <c r="PI305" s="93">
        <v>742.00430937199997</v>
      </c>
      <c r="PJ305" s="93">
        <v>-149.95598229800004</v>
      </c>
      <c r="PK305" s="93">
        <v>126.978533176</v>
      </c>
      <c r="PL305" s="93">
        <v>276.93451547400002</v>
      </c>
      <c r="PM305" s="93">
        <v>7.4240907169999995</v>
      </c>
      <c r="PN305" s="93">
        <v>2.7679999999999998</v>
      </c>
      <c r="PO305" s="93">
        <v>0</v>
      </c>
      <c r="PP305" s="93">
        <v>0</v>
      </c>
      <c r="PQ305" s="93">
        <v>4.6560907169999997</v>
      </c>
      <c r="PR305" s="93">
        <v>805.49127344399994</v>
      </c>
      <c r="PS305" s="93">
        <v>636.63636477800003</v>
      </c>
      <c r="PT305" s="93">
        <v>166.78110746799999</v>
      </c>
      <c r="PU305" s="93">
        <v>2.073801198</v>
      </c>
      <c r="PV305" s="93">
        <v>0</v>
      </c>
      <c r="PW305" s="93">
        <v>0.59872698199999996</v>
      </c>
      <c r="PX305" s="93">
        <v>0</v>
      </c>
      <c r="PY305" s="93">
        <v>0</v>
      </c>
      <c r="PZ305" s="93">
        <v>0.59872698199999996</v>
      </c>
      <c r="QA305" s="93">
        <v>0</v>
      </c>
      <c r="QB305" s="93">
        <v>0</v>
      </c>
      <c r="QC305" s="93">
        <v>0</v>
      </c>
      <c r="QD305" s="93">
        <v>17.661845277000001</v>
      </c>
      <c r="QE305" s="20">
        <v>-1.7746444500000003</v>
      </c>
      <c r="QF305" s="1739">
        <v>238</v>
      </c>
      <c r="QG305" s="19"/>
      <c r="QH305" s="93">
        <v>1178.9160000000002</v>
      </c>
      <c r="QI305" s="93">
        <v>1533.8750000000002</v>
      </c>
      <c r="QJ305" s="93">
        <v>-354.959</v>
      </c>
      <c r="QK305" s="93">
        <v>217.30799999999999</v>
      </c>
      <c r="QL305" s="93">
        <v>74.180000000000007</v>
      </c>
      <c r="QM305" s="93">
        <v>143.12799999999999</v>
      </c>
      <c r="QN305" s="93">
        <v>0</v>
      </c>
      <c r="QO305" s="93">
        <v>202.48400000000004</v>
      </c>
      <c r="QP305" s="93">
        <v>547.48900000000003</v>
      </c>
      <c r="QQ305" s="93">
        <v>-345.005</v>
      </c>
      <c r="QR305" s="93">
        <v>2875.5699999999997</v>
      </c>
      <c r="QS305" s="93">
        <v>17.777999999999999</v>
      </c>
      <c r="QT305" s="93">
        <v>53.870000000000005</v>
      </c>
      <c r="QU305" s="93">
        <v>234.65100000000001</v>
      </c>
      <c r="QV305" s="93">
        <v>2569.2709999999997</v>
      </c>
      <c r="QW305" s="93"/>
      <c r="QX305" s="93">
        <v>723.75199999999995</v>
      </c>
      <c r="QY305" s="93">
        <v>1394.2959999999998</v>
      </c>
      <c r="QZ305" s="93">
        <v>1569.1229999999998</v>
      </c>
      <c r="RA305" s="93"/>
      <c r="RB305" s="93">
        <v>146.5</v>
      </c>
      <c r="RC305" s="93">
        <v>0</v>
      </c>
      <c r="RD305" s="93">
        <v>34.988999999999997</v>
      </c>
      <c r="RE305" s="93"/>
      <c r="RF305" s="93"/>
      <c r="RG305" s="93">
        <v>529.28499999999997</v>
      </c>
      <c r="RH305" s="93">
        <v>76.333000000000027</v>
      </c>
      <c r="RI305" s="93"/>
      <c r="RJ305" s="93"/>
      <c r="RK305" s="93"/>
      <c r="RL305" s="93"/>
      <c r="RM305" s="734"/>
      <c r="RN305" s="29">
        <v>238</v>
      </c>
      <c r="RO305" s="19">
        <v>105</v>
      </c>
      <c r="RP305" s="20">
        <v>791</v>
      </c>
      <c r="RQ305" s="29">
        <v>238</v>
      </c>
      <c r="RR305" s="734">
        <v>4.1195581600000004</v>
      </c>
      <c r="RS305" s="29">
        <v>238</v>
      </c>
      <c r="RT305" s="1504">
        <v>43739</v>
      </c>
      <c r="RU305" s="19">
        <v>1454</v>
      </c>
      <c r="RV305" s="20">
        <v>29</v>
      </c>
      <c r="RW305" s="29">
        <v>238</v>
      </c>
      <c r="RX305" s="1504">
        <v>43739</v>
      </c>
      <c r="RY305" s="29"/>
      <c r="RZ305" s="734"/>
      <c r="SA305" s="29"/>
      <c r="SB305" s="29">
        <v>238</v>
      </c>
    </row>
    <row r="306" spans="1:496">
      <c r="A306" s="41">
        <f t="shared" si="238"/>
        <v>2019</v>
      </c>
      <c r="B306" s="1504">
        <v>43770</v>
      </c>
      <c r="C306" s="1813">
        <v>2185</v>
      </c>
      <c r="D306" s="1814">
        <v>29329</v>
      </c>
      <c r="E306" s="1814">
        <v>38</v>
      </c>
      <c r="F306" s="1815">
        <v>342</v>
      </c>
      <c r="G306" s="1814">
        <v>93755</v>
      </c>
      <c r="H306" s="1814">
        <v>36</v>
      </c>
      <c r="I306" s="1814">
        <v>38792</v>
      </c>
      <c r="J306" s="1816">
        <v>14024</v>
      </c>
      <c r="K306" s="1807">
        <v>178501</v>
      </c>
      <c r="L306" s="25">
        <v>239</v>
      </c>
      <c r="M306" s="97"/>
      <c r="N306" s="1504">
        <v>43770</v>
      </c>
      <c r="O306" s="19">
        <v>388</v>
      </c>
      <c r="P306" s="93">
        <v>590</v>
      </c>
      <c r="Q306" s="93">
        <v>16222</v>
      </c>
      <c r="R306" s="93">
        <v>2294</v>
      </c>
      <c r="S306" s="93">
        <v>1358</v>
      </c>
      <c r="T306" s="93">
        <v>754</v>
      </c>
      <c r="U306" s="93">
        <v>331</v>
      </c>
      <c r="V306" s="93">
        <v>1432</v>
      </c>
      <c r="W306" s="93">
        <v>3219</v>
      </c>
      <c r="X306" s="93">
        <v>830</v>
      </c>
      <c r="Y306" s="93">
        <v>152</v>
      </c>
      <c r="Z306" s="93">
        <v>1123</v>
      </c>
      <c r="AA306" s="93">
        <v>636</v>
      </c>
      <c r="AB306" s="20">
        <v>29329</v>
      </c>
      <c r="AC306" s="25">
        <v>239</v>
      </c>
      <c r="AD306" s="97"/>
      <c r="AE306" s="1504">
        <v>43770</v>
      </c>
      <c r="AF306" s="19">
        <v>2795</v>
      </c>
      <c r="AG306" s="93">
        <v>3884</v>
      </c>
      <c r="AH306" s="93">
        <v>956</v>
      </c>
      <c r="AI306" s="93">
        <v>619</v>
      </c>
      <c r="AJ306" s="93">
        <v>3275</v>
      </c>
      <c r="AK306" s="93">
        <v>1553</v>
      </c>
      <c r="AL306" s="93">
        <v>465</v>
      </c>
      <c r="AM306" s="93">
        <v>1075</v>
      </c>
      <c r="AN306" s="93">
        <v>2159</v>
      </c>
      <c r="AO306" s="93">
        <v>5494</v>
      </c>
      <c r="AP306" s="93">
        <v>5689</v>
      </c>
      <c r="AQ306" s="93">
        <v>2164</v>
      </c>
      <c r="AR306" s="93">
        <v>2339</v>
      </c>
      <c r="AS306" s="20">
        <v>32467</v>
      </c>
      <c r="AT306" s="25">
        <v>239</v>
      </c>
      <c r="AU306" s="97"/>
      <c r="AV306" s="1504">
        <v>43770</v>
      </c>
      <c r="AW306" s="19">
        <v>9059</v>
      </c>
      <c r="AX306" s="93">
        <v>2971</v>
      </c>
      <c r="AY306" s="93">
        <v>6376</v>
      </c>
      <c r="AZ306" s="93">
        <v>12452</v>
      </c>
      <c r="BA306" s="93">
        <v>8715</v>
      </c>
      <c r="BB306" s="93">
        <v>8664</v>
      </c>
      <c r="BC306" s="93">
        <v>4004</v>
      </c>
      <c r="BD306" s="93">
        <v>9266</v>
      </c>
      <c r="BE306" s="93">
        <v>9935</v>
      </c>
      <c r="BF306" s="93">
        <v>6795</v>
      </c>
      <c r="BG306" s="93">
        <v>3720</v>
      </c>
      <c r="BH306" s="93">
        <v>9082</v>
      </c>
      <c r="BI306" s="93">
        <v>2716</v>
      </c>
      <c r="BJ306" s="20">
        <v>93755</v>
      </c>
      <c r="BK306" s="25">
        <v>239</v>
      </c>
      <c r="BL306" s="97"/>
      <c r="BM306" s="1504">
        <v>43770</v>
      </c>
      <c r="BN306" s="19">
        <v>123.87900000000002</v>
      </c>
      <c r="BO306" s="93">
        <v>3542.3239999999987</v>
      </c>
      <c r="BP306" s="93">
        <v>12.288</v>
      </c>
      <c r="BQ306" s="93">
        <v>757.12799999999993</v>
      </c>
      <c r="BR306" s="93">
        <v>5.508</v>
      </c>
      <c r="BS306" s="93">
        <v>356.94000000000011</v>
      </c>
      <c r="BT306" s="93">
        <v>348.4799999999999</v>
      </c>
      <c r="BU306" s="20">
        <v>5146.5469999999987</v>
      </c>
      <c r="BV306" s="25">
        <v>239</v>
      </c>
      <c r="BW306" s="97"/>
      <c r="BX306" s="1504">
        <v>43770</v>
      </c>
      <c r="BY306" s="179">
        <v>592.93026011314191</v>
      </c>
      <c r="BZ306" s="99">
        <v>655.95699999999999</v>
      </c>
      <c r="CA306" s="99">
        <v>596.4329878159665</v>
      </c>
      <c r="CB306" s="99">
        <v>40.692878899731383</v>
      </c>
      <c r="CC306" s="99">
        <v>107.20950000000001</v>
      </c>
      <c r="CD306" s="25">
        <v>239</v>
      </c>
      <c r="CE306" s="97"/>
      <c r="CF306" s="1504">
        <v>43770</v>
      </c>
      <c r="CG306" s="1508">
        <v>1.650378532</v>
      </c>
      <c r="CH306" s="568">
        <v>1470.79</v>
      </c>
      <c r="CI306" s="1708">
        <v>60.4033333333333</v>
      </c>
      <c r="CJ306" s="1509">
        <v>62.74</v>
      </c>
      <c r="CK306" s="1508">
        <v>394.76</v>
      </c>
      <c r="CL306" s="568">
        <v>166.3337368</v>
      </c>
      <c r="CM306" s="568">
        <v>0.28219136</v>
      </c>
      <c r="CN306" s="568">
        <v>0.36097942399999999</v>
      </c>
      <c r="CO306" s="568">
        <v>203.1924951</v>
      </c>
      <c r="CP306" s="1509">
        <v>5.9362700430000004</v>
      </c>
      <c r="CQ306" s="1708">
        <v>1388.47</v>
      </c>
      <c r="CR306" s="568">
        <v>2.2599999999999998</v>
      </c>
      <c r="CS306" s="568">
        <v>1.544</v>
      </c>
      <c r="CT306" s="568">
        <v>74</v>
      </c>
      <c r="CU306" s="568">
        <v>84.98</v>
      </c>
      <c r="CV306" s="1709">
        <v>2425.48</v>
      </c>
      <c r="CW306" s="29">
        <v>239</v>
      </c>
      <c r="CX306" s="41">
        <f t="shared" si="239"/>
        <v>2019</v>
      </c>
      <c r="CY306" s="1504">
        <v>43770</v>
      </c>
      <c r="CZ306" s="733">
        <v>144.4152666</v>
      </c>
      <c r="DA306" s="570">
        <v>78.031689599999993</v>
      </c>
      <c r="DB306" s="570">
        <v>50.615839000000001</v>
      </c>
      <c r="DC306" s="93"/>
      <c r="DD306" s="93"/>
      <c r="DE306" s="20"/>
      <c r="DF306" s="29">
        <v>239</v>
      </c>
      <c r="DG306" s="1504">
        <v>43770</v>
      </c>
      <c r="DH306" s="19">
        <v>422500</v>
      </c>
      <c r="DI306" s="93">
        <v>4468591</v>
      </c>
      <c r="DJ306" s="93">
        <v>304479</v>
      </c>
      <c r="DK306" s="93">
        <v>20901</v>
      </c>
      <c r="DL306" s="93">
        <v>528967</v>
      </c>
      <c r="DM306" s="93">
        <v>10454</v>
      </c>
      <c r="DN306" s="20">
        <v>1622461</v>
      </c>
      <c r="DO306" s="295">
        <f t="shared" si="282"/>
        <v>6955853</v>
      </c>
      <c r="DP306" s="29">
        <v>239</v>
      </c>
      <c r="DQ306" s="1504">
        <v>43770</v>
      </c>
      <c r="DR306" s="19">
        <v>46840.834999999999</v>
      </c>
      <c r="DS306" s="93">
        <v>483</v>
      </c>
      <c r="DT306" s="93">
        <v>54509.9</v>
      </c>
      <c r="DU306" s="93">
        <v>2561.2629999999999</v>
      </c>
      <c r="DV306" s="93">
        <v>19029.260999999999</v>
      </c>
      <c r="DW306" s="93">
        <v>2208.5</v>
      </c>
      <c r="DX306" s="20">
        <v>8010.1229999999996</v>
      </c>
      <c r="DY306" s="29">
        <v>239</v>
      </c>
      <c r="DZ306" s="1504">
        <v>43770</v>
      </c>
      <c r="EA306" s="19"/>
      <c r="EB306" s="93"/>
      <c r="EC306" s="20"/>
      <c r="ED306" s="29"/>
      <c r="EE306" s="1504">
        <v>43770</v>
      </c>
      <c r="EF306" s="19">
        <v>24009</v>
      </c>
      <c r="EG306" s="93">
        <v>24424</v>
      </c>
      <c r="EH306" s="93">
        <v>48433</v>
      </c>
      <c r="EI306" s="214">
        <v>7127</v>
      </c>
      <c r="EJ306" s="93">
        <v>609.726</v>
      </c>
      <c r="EK306" s="93">
        <v>102.691</v>
      </c>
      <c r="EL306" s="93">
        <v>6.3520000000000003</v>
      </c>
      <c r="EM306" s="93">
        <v>8.125</v>
      </c>
      <c r="EN306" s="20">
        <v>726.89400000000001</v>
      </c>
      <c r="EO306" s="29">
        <v>239</v>
      </c>
      <c r="EP306" s="1504">
        <v>43770</v>
      </c>
      <c r="EQ306" s="19">
        <v>22278</v>
      </c>
      <c r="ER306" s="93">
        <v>22639</v>
      </c>
      <c r="ES306" s="93">
        <v>44917</v>
      </c>
      <c r="ET306" s="214">
        <v>6655</v>
      </c>
      <c r="EU306" s="93">
        <v>609.726</v>
      </c>
      <c r="EV306" s="93">
        <v>102.691</v>
      </c>
      <c r="EW306" s="93">
        <v>6.3520000000000003</v>
      </c>
      <c r="EX306" s="93">
        <v>8.125</v>
      </c>
      <c r="EY306" s="20">
        <v>726.89400000000001</v>
      </c>
      <c r="EZ306" s="29">
        <v>239</v>
      </c>
      <c r="FA306" s="1504">
        <v>43770</v>
      </c>
      <c r="FB306" s="29">
        <v>1731</v>
      </c>
      <c r="FC306" s="29">
        <v>1785</v>
      </c>
      <c r="FD306" s="29">
        <v>3516</v>
      </c>
      <c r="FE306" s="29">
        <v>472</v>
      </c>
      <c r="FF306" s="29">
        <v>0</v>
      </c>
      <c r="FG306" s="29">
        <v>0</v>
      </c>
      <c r="FH306" s="29">
        <v>0</v>
      </c>
      <c r="FI306" s="29">
        <v>0</v>
      </c>
      <c r="FJ306" s="29">
        <v>0</v>
      </c>
      <c r="FK306" s="29">
        <v>239</v>
      </c>
      <c r="FL306" s="1504">
        <v>43770</v>
      </c>
      <c r="FM306" s="19">
        <v>101.26</v>
      </c>
      <c r="FN306" s="93">
        <v>100.2</v>
      </c>
      <c r="FO306" s="93">
        <v>125.18</v>
      </c>
      <c r="FP306" s="93">
        <v>101.29</v>
      </c>
      <c r="FQ306" s="93">
        <v>99.91</v>
      </c>
      <c r="FR306" s="93">
        <v>101.28</v>
      </c>
      <c r="FS306" s="93">
        <v>100.41</v>
      </c>
      <c r="FT306" s="93">
        <v>100.07</v>
      </c>
      <c r="FU306" s="93">
        <v>98.51</v>
      </c>
      <c r="FV306" s="93">
        <v>101.08</v>
      </c>
      <c r="FW306" s="93">
        <v>107.43</v>
      </c>
      <c r="FX306" s="93">
        <v>105.11</v>
      </c>
      <c r="FY306" s="93">
        <v>100.75</v>
      </c>
      <c r="FZ306" s="29">
        <v>239</v>
      </c>
      <c r="GA306" s="1504">
        <v>43770</v>
      </c>
      <c r="GB306" s="19">
        <v>101.26</v>
      </c>
      <c r="GC306" s="93">
        <v>101.71</v>
      </c>
      <c r="GD306" s="93">
        <v>101.35</v>
      </c>
      <c r="GE306" s="93">
        <v>97.79</v>
      </c>
      <c r="GF306" s="93">
        <v>98.86</v>
      </c>
      <c r="GG306" s="99">
        <v>103.21</v>
      </c>
      <c r="GH306" s="93">
        <v>100.14</v>
      </c>
      <c r="GI306" s="93">
        <v>102.5</v>
      </c>
      <c r="GJ306" s="93">
        <v>102.95</v>
      </c>
      <c r="GK306" s="93">
        <v>100.29</v>
      </c>
      <c r="GL306" s="93">
        <v>101.32</v>
      </c>
      <c r="GM306" s="93">
        <v>101.24</v>
      </c>
      <c r="GN306" s="20">
        <v>102.95</v>
      </c>
      <c r="GO306" s="29">
        <v>239</v>
      </c>
      <c r="GP306" s="1504">
        <v>43770</v>
      </c>
      <c r="GQ306" s="19">
        <v>251</v>
      </c>
      <c r="GR306" s="93">
        <v>218</v>
      </c>
      <c r="GS306" s="93">
        <v>228</v>
      </c>
      <c r="GT306" s="93">
        <v>191</v>
      </c>
      <c r="GU306" s="93">
        <v>381</v>
      </c>
      <c r="GV306" s="20">
        <v>975</v>
      </c>
      <c r="GW306" s="19">
        <v>362</v>
      </c>
      <c r="GX306" s="93">
        <v>442</v>
      </c>
      <c r="GY306" s="93">
        <v>495</v>
      </c>
      <c r="GZ306" s="93">
        <v>637</v>
      </c>
      <c r="HA306" s="93">
        <v>318</v>
      </c>
      <c r="HB306" s="20">
        <v>764</v>
      </c>
      <c r="HC306" s="19">
        <v>1996</v>
      </c>
      <c r="HD306" s="93">
        <v>2694</v>
      </c>
      <c r="HE306" s="93">
        <v>2589</v>
      </c>
      <c r="HF306" s="93">
        <v>3150</v>
      </c>
      <c r="HG306" s="93">
        <v>2750</v>
      </c>
      <c r="HH306" s="20">
        <v>2820</v>
      </c>
      <c r="HI306" s="19"/>
      <c r="HJ306" s="93">
        <v>836</v>
      </c>
      <c r="HK306" s="93">
        <v>1573</v>
      </c>
      <c r="HL306" s="93">
        <v>950</v>
      </c>
      <c r="HM306" s="93">
        <v>900</v>
      </c>
      <c r="HN306" s="20">
        <v>2395</v>
      </c>
      <c r="HO306" s="219">
        <v>157</v>
      </c>
      <c r="HP306" s="20">
        <v>99</v>
      </c>
      <c r="HQ306" s="25">
        <v>155</v>
      </c>
      <c r="HR306" s="29">
        <v>239</v>
      </c>
      <c r="HS306" s="1504">
        <v>43770</v>
      </c>
      <c r="HT306" s="179">
        <v>181.42285799980164</v>
      </c>
      <c r="HU306" s="99">
        <v>222.22222900390625</v>
      </c>
      <c r="HV306" s="99">
        <v>143.31209564208984</v>
      </c>
      <c r="HW306" s="99">
        <v>153.06121826171875</v>
      </c>
      <c r="HX306" s="99">
        <v>154.16666793823242</v>
      </c>
      <c r="HY306" s="99">
        <v>194.44444274902344</v>
      </c>
      <c r="HZ306" s="99">
        <v>175.43859100341797</v>
      </c>
      <c r="IA306" s="132">
        <v>137.96384048461914</v>
      </c>
      <c r="IB306" s="179">
        <v>136.24081802368164</v>
      </c>
      <c r="IC306" s="99">
        <v>74.142154693603516</v>
      </c>
      <c r="ID306" s="99">
        <v>100</v>
      </c>
      <c r="IE306" s="99">
        <v>80.050056457519531</v>
      </c>
      <c r="IF306" s="99">
        <v>130.2598991394043</v>
      </c>
      <c r="IG306" s="132">
        <v>67.875040054321289</v>
      </c>
      <c r="IH306" s="179">
        <v>104.77208709716797</v>
      </c>
      <c r="II306" s="99">
        <v>190.86021423339844</v>
      </c>
      <c r="IJ306" s="99">
        <v>138.41244125366211</v>
      </c>
      <c r="IK306" s="99">
        <v>125</v>
      </c>
      <c r="IL306" s="99">
        <v>124.2283935546875</v>
      </c>
      <c r="IM306" s="99">
        <v>105.84018707275391</v>
      </c>
      <c r="IN306" s="93">
        <v>159.01060485839844</v>
      </c>
      <c r="IO306" s="132">
        <v>130.81394958496094</v>
      </c>
      <c r="IP306" s="29">
        <v>239</v>
      </c>
      <c r="IQ306" s="19">
        <v>136.24081802368164</v>
      </c>
      <c r="IR306" s="93">
        <v>74.142154693603516</v>
      </c>
      <c r="IS306" s="93">
        <v>100</v>
      </c>
      <c r="IT306" s="93">
        <v>80.050056457519531</v>
      </c>
      <c r="IU306" s="93">
        <v>130.2598991394043</v>
      </c>
      <c r="IV306" s="20">
        <v>67.875040054321289</v>
      </c>
      <c r="IW306" s="29">
        <v>239</v>
      </c>
      <c r="IX306" s="19">
        <v>414.28572082519531</v>
      </c>
      <c r="IY306" s="93">
        <v>432.07070922851563</v>
      </c>
      <c r="IZ306" s="93">
        <v>395.83334350585938</v>
      </c>
      <c r="JA306" s="93">
        <v>375</v>
      </c>
      <c r="JB306" s="93">
        <v>388</v>
      </c>
      <c r="JC306" s="93">
        <v>400</v>
      </c>
      <c r="JD306" s="93">
        <v>400</v>
      </c>
      <c r="JE306" s="20">
        <v>370</v>
      </c>
      <c r="JF306" s="29">
        <v>239</v>
      </c>
      <c r="JG306" s="19">
        <v>121.88280995686848</v>
      </c>
      <c r="JH306" s="93">
        <v>161.29031372070313</v>
      </c>
      <c r="JI306" s="93">
        <v>114.73784160614014</v>
      </c>
      <c r="JJ306" s="93">
        <v>138.88888549804688</v>
      </c>
      <c r="JK306" s="93">
        <v>157.43573760986328</v>
      </c>
      <c r="JL306" s="93">
        <v>144.34818649291992</v>
      </c>
      <c r="JM306" s="93">
        <v>159.09091186523438</v>
      </c>
      <c r="JN306" s="20">
        <v>173.410400390625</v>
      </c>
      <c r="JO306" s="29">
        <v>239</v>
      </c>
      <c r="JP306" s="19">
        <v>159.57913589477539</v>
      </c>
      <c r="JQ306" s="93">
        <v>65.625</v>
      </c>
      <c r="JR306" s="93">
        <v>116.93548583984375</v>
      </c>
      <c r="JS306" s="93"/>
      <c r="JT306" s="93">
        <v>155.65603637695313</v>
      </c>
      <c r="JU306" s="20">
        <v>76.963354110717773</v>
      </c>
      <c r="JV306" s="29">
        <v>239</v>
      </c>
      <c r="JW306" s="1504">
        <v>43770</v>
      </c>
      <c r="JX306" s="19"/>
      <c r="JY306" s="93">
        <v>297.62820512820514</v>
      </c>
      <c r="JZ306" s="93">
        <v>261.37681159420293</v>
      </c>
      <c r="KA306" s="93">
        <v>231.11111111111111</v>
      </c>
      <c r="KB306" s="93">
        <v>217.375</v>
      </c>
      <c r="KC306" s="93">
        <v>229.51063829787233</v>
      </c>
      <c r="KD306" s="20">
        <v>265.6292517006803</v>
      </c>
      <c r="KE306" s="29">
        <v>239</v>
      </c>
      <c r="KF306" s="19"/>
      <c r="KG306" s="93">
        <v>44.702531645569621</v>
      </c>
      <c r="KH306" s="93">
        <v>44.527777777777779</v>
      </c>
      <c r="KI306" s="93">
        <v>47.666666666666664</v>
      </c>
      <c r="KJ306" s="93">
        <v>46.162500000000001</v>
      </c>
      <c r="KK306" s="20">
        <v>76.624213836477978</v>
      </c>
      <c r="KL306" s="29">
        <v>239</v>
      </c>
      <c r="KM306" s="19"/>
      <c r="KN306" s="93">
        <v>15.59090909090909</v>
      </c>
      <c r="KO306" s="93">
        <v>25.638888888888889</v>
      </c>
      <c r="KP306" s="93">
        <v>29.71875</v>
      </c>
      <c r="KQ306" s="93">
        <v>38.55952380952381</v>
      </c>
      <c r="KR306" s="20">
        <v>30.577380952380953</v>
      </c>
      <c r="KS306" s="29">
        <v>239</v>
      </c>
      <c r="KT306" s="19"/>
      <c r="KU306" s="93">
        <v>23.351851851851851</v>
      </c>
      <c r="KV306" s="93">
        <v>22.513888888888889</v>
      </c>
      <c r="KW306" s="93">
        <v>20.947916666666668</v>
      </c>
      <c r="KX306" s="93">
        <v>19.769736842105264</v>
      </c>
      <c r="KY306" s="20">
        <v>24.996913580246915</v>
      </c>
      <c r="KZ306" s="29">
        <v>239</v>
      </c>
      <c r="LA306" s="1504">
        <v>43770</v>
      </c>
      <c r="LB306" s="19"/>
      <c r="LC306" s="93"/>
      <c r="LD306" s="93"/>
      <c r="LE306" s="93"/>
      <c r="LF306" s="93"/>
      <c r="LG306" s="93"/>
      <c r="LH306" s="20"/>
      <c r="LI306" s="29"/>
      <c r="LJ306" s="19"/>
      <c r="LK306" s="93"/>
      <c r="LL306" s="93"/>
      <c r="LM306" s="93"/>
      <c r="LN306" s="93"/>
      <c r="LO306" s="20"/>
      <c r="LP306" s="29"/>
      <c r="LQ306" s="19"/>
      <c r="LR306" s="93">
        <v>188</v>
      </c>
      <c r="LS306" s="93">
        <v>463</v>
      </c>
      <c r="LT306" s="93">
        <v>663</v>
      </c>
      <c r="LU306" s="93">
        <v>1104</v>
      </c>
      <c r="LV306" s="93"/>
      <c r="LW306" s="93">
        <v>5</v>
      </c>
      <c r="LX306" s="93">
        <v>10</v>
      </c>
      <c r="LY306" s="93">
        <v>60</v>
      </c>
      <c r="LZ306" s="93"/>
      <c r="MA306" s="20"/>
      <c r="MB306" s="29">
        <v>239</v>
      </c>
      <c r="MC306" s="1504">
        <v>43770</v>
      </c>
      <c r="MD306" s="19">
        <v>1770.0756367244096</v>
      </c>
      <c r="ME306" s="93">
        <v>1652.1121958134283</v>
      </c>
      <c r="MF306" s="93">
        <v>1652.1121958134283</v>
      </c>
      <c r="MG306" s="93">
        <v>1341.831058244429</v>
      </c>
      <c r="MH306" s="93">
        <v>423.85052662984015</v>
      </c>
      <c r="MI306" s="93">
        <v>12.007559996017442</v>
      </c>
      <c r="MJ306" s="93">
        <v>7.7895296406905681</v>
      </c>
      <c r="MK306" s="93">
        <v>710.47085124021532</v>
      </c>
      <c r="ML306" s="93">
        <v>177.20573818900002</v>
      </c>
      <c r="MM306" s="93">
        <v>10.506852548665067</v>
      </c>
      <c r="MN306" s="93">
        <v>310.28113756900001</v>
      </c>
      <c r="MO306" s="93">
        <v>6.1093382279999995</v>
      </c>
      <c r="MP306" s="93">
        <v>148.104817543</v>
      </c>
      <c r="MQ306" s="93">
        <v>2.1876981290000006</v>
      </c>
      <c r="MR306" s="93">
        <v>45.275974805000004</v>
      </c>
      <c r="MS306" s="93">
        <v>108.60330886399998</v>
      </c>
      <c r="MT306" s="93">
        <v>0</v>
      </c>
      <c r="MU306" s="93">
        <v>117.96344091098113</v>
      </c>
      <c r="MV306" s="93">
        <v>37.756557072981124</v>
      </c>
      <c r="MW306" s="93">
        <v>80.20688383800001</v>
      </c>
      <c r="MX306" s="93">
        <v>1927.922142048554</v>
      </c>
      <c r="MY306" s="93">
        <v>1947.9971276635538</v>
      </c>
      <c r="MZ306" s="93">
        <v>1492.7511815205346</v>
      </c>
      <c r="NA306" s="93">
        <v>765.87392900533348</v>
      </c>
      <c r="NB306" s="93">
        <v>141.60148755199998</v>
      </c>
      <c r="NC306" s="93">
        <v>105.28599056805083</v>
      </c>
      <c r="ND306" s="93">
        <v>85.088290220999994</v>
      </c>
      <c r="NE306" s="93">
        <v>20.197700347050837</v>
      </c>
      <c r="NF306" s="93">
        <v>479.98977439515005</v>
      </c>
      <c r="NG306" s="93">
        <v>9.776343881299999</v>
      </c>
      <c r="NH306" s="93">
        <v>107.55125259499999</v>
      </c>
      <c r="NI306" s="93">
        <v>0</v>
      </c>
      <c r="NJ306" s="93">
        <v>76</v>
      </c>
      <c r="NK306" s="93">
        <v>455.24594614301952</v>
      </c>
      <c r="NL306" s="93">
        <v>334.72236394599997</v>
      </c>
      <c r="NM306" s="93">
        <v>1.3071919590000001</v>
      </c>
      <c r="NN306" s="93">
        <v>119.21639023801954</v>
      </c>
      <c r="NO306" s="93">
        <v>-20.074985614999996</v>
      </c>
      <c r="NP306" s="93">
        <v>-157.84650532414415</v>
      </c>
      <c r="NQ306" s="93">
        <v>-275.80994623512532</v>
      </c>
      <c r="NR306" s="93">
        <v>-51.307565429054883</v>
      </c>
      <c r="NS306" s="93">
        <v>-156.59355599710571</v>
      </c>
      <c r="NT306" s="93">
        <v>-319.65950222827217</v>
      </c>
      <c r="NU306" s="93">
        <v>-437.62294313925338</v>
      </c>
      <c r="NV306" s="93">
        <v>317.70558222348393</v>
      </c>
      <c r="NW306" s="93">
        <v>101.70864516466392</v>
      </c>
      <c r="NX306" s="93">
        <v>146.95579687103842</v>
      </c>
      <c r="NY306" s="93">
        <v>-45.247151706374495</v>
      </c>
      <c r="NZ306" s="93">
        <v>0</v>
      </c>
      <c r="OA306" s="93">
        <v>215.99693705881998</v>
      </c>
      <c r="OB306" s="93">
        <v>26.713249637819992</v>
      </c>
      <c r="OC306" s="93">
        <v>189.28368742099997</v>
      </c>
      <c r="OD306" s="20">
        <v>1.9539200047882759</v>
      </c>
      <c r="OE306" s="29">
        <v>239</v>
      </c>
      <c r="OF306" s="1504">
        <v>43770</v>
      </c>
      <c r="OG306" s="19"/>
      <c r="OH306" s="93">
        <v>589.19919074500001</v>
      </c>
      <c r="OI306" s="93">
        <v>1667.30393076</v>
      </c>
      <c r="OJ306" s="93">
        <v>1.735939691</v>
      </c>
      <c r="OK306" s="93">
        <v>1434.1559999999999</v>
      </c>
      <c r="OL306" s="93">
        <v>231.41199106899998</v>
      </c>
      <c r="OM306" s="93">
        <v>2256.5031215049999</v>
      </c>
      <c r="ON306" s="93">
        <v>1567.4471083190001</v>
      </c>
      <c r="OO306" s="93">
        <v>3823.950229824</v>
      </c>
      <c r="OP306" s="93"/>
      <c r="OQ306" s="93">
        <v>1374.6962406989994</v>
      </c>
      <c r="OR306" s="93">
        <v>216.57624069899987</v>
      </c>
      <c r="OS306" s="93">
        <v>1158.1199999999999</v>
      </c>
      <c r="OT306" s="93">
        <v>2967.7325393079996</v>
      </c>
      <c r="OU306" s="93">
        <v>107.48071974399993</v>
      </c>
      <c r="OV306" s="93">
        <v>-72.050280256000022</v>
      </c>
      <c r="OW306" s="93">
        <v>179.53099999999995</v>
      </c>
      <c r="OX306" s="1700">
        <v>2860.2518195639996</v>
      </c>
      <c r="OY306" s="1700">
        <v>7.1998195639999993</v>
      </c>
      <c r="OZ306" s="1700">
        <v>2853.0519999999997</v>
      </c>
      <c r="PA306" s="93">
        <v>735.527627059</v>
      </c>
      <c r="PB306" s="93">
        <v>-217.04907687599993</v>
      </c>
      <c r="PC306" s="20">
        <v>3823.9502298239986</v>
      </c>
      <c r="PD306" s="29">
        <v>239</v>
      </c>
      <c r="PE306" s="19"/>
      <c r="PF306" s="93">
        <v>216.57624069899987</v>
      </c>
      <c r="PG306" s="93">
        <v>1018.238691946</v>
      </c>
      <c r="PH306" s="93">
        <v>801.66245124700015</v>
      </c>
      <c r="PI306" s="93">
        <v>738.83399999999995</v>
      </c>
      <c r="PJ306" s="93">
        <v>-62.486059163000021</v>
      </c>
      <c r="PK306" s="93">
        <v>127.00925172199999</v>
      </c>
      <c r="PL306" s="93">
        <v>189.49531088500001</v>
      </c>
      <c r="PM306" s="93">
        <v>7.1998195639999993</v>
      </c>
      <c r="PN306" s="93">
        <v>2.7679999999999998</v>
      </c>
      <c r="PO306" s="93">
        <v>0</v>
      </c>
      <c r="PP306" s="93">
        <v>0</v>
      </c>
      <c r="PQ306" s="93">
        <v>4.4318195639999995</v>
      </c>
      <c r="PR306" s="93">
        <v>878.64581718099998</v>
      </c>
      <c r="PS306" s="93">
        <v>670.02441183799999</v>
      </c>
      <c r="PT306" s="93">
        <v>206.552357333</v>
      </c>
      <c r="PU306" s="93">
        <v>2.0690480099999999</v>
      </c>
      <c r="PV306" s="93">
        <v>0</v>
      </c>
      <c r="PW306" s="93">
        <v>1.240850443</v>
      </c>
      <c r="PX306" s="93">
        <v>0</v>
      </c>
      <c r="PY306" s="93">
        <v>0</v>
      </c>
      <c r="PZ306" s="93">
        <v>1.240850443</v>
      </c>
      <c r="QA306" s="93">
        <v>0</v>
      </c>
      <c r="QB306" s="93">
        <v>0</v>
      </c>
      <c r="QC306" s="93">
        <v>0</v>
      </c>
      <c r="QD306" s="93">
        <v>18.899776616</v>
      </c>
      <c r="QE306" s="20">
        <v>1.3375568600000012</v>
      </c>
      <c r="QF306" s="1739">
        <v>239</v>
      </c>
      <c r="QG306" s="19"/>
      <c r="QH306" s="93">
        <v>1158.1199999999999</v>
      </c>
      <c r="QI306" s="93">
        <v>1579.3839999999998</v>
      </c>
      <c r="QJ306" s="93">
        <v>-421.26399999999995</v>
      </c>
      <c r="QK306" s="93">
        <v>320.37599999999998</v>
      </c>
      <c r="QL306" s="93">
        <v>71.260999999999996</v>
      </c>
      <c r="QM306" s="93">
        <v>249.11500000000001</v>
      </c>
      <c r="QN306" s="93">
        <v>0</v>
      </c>
      <c r="QO306" s="93">
        <v>179.53099999999995</v>
      </c>
      <c r="QP306" s="93">
        <v>551.52099999999996</v>
      </c>
      <c r="QQ306" s="93">
        <v>-371.99</v>
      </c>
      <c r="QR306" s="93">
        <v>2853.0519999999997</v>
      </c>
      <c r="QS306" s="93">
        <v>17.195</v>
      </c>
      <c r="QT306" s="93">
        <v>30.866</v>
      </c>
      <c r="QU306" s="93">
        <v>254.51499999999999</v>
      </c>
      <c r="QV306" s="93">
        <v>2550.4759999999997</v>
      </c>
      <c r="QW306" s="93"/>
      <c r="QX306" s="93">
        <v>740.00199999999995</v>
      </c>
      <c r="QY306" s="93">
        <v>1434.1560000000002</v>
      </c>
      <c r="QZ306" s="93">
        <v>1567.114</v>
      </c>
      <c r="RA306" s="93"/>
      <c r="RB306" s="93">
        <v>149.143</v>
      </c>
      <c r="RC306" s="93">
        <v>0</v>
      </c>
      <c r="RD306" s="93">
        <v>32.161999999999999</v>
      </c>
      <c r="RE306" s="93"/>
      <c r="RF306" s="93"/>
      <c r="RG306" s="93">
        <v>534.08199999999999</v>
      </c>
      <c r="RH306" s="93">
        <v>54.420000000000016</v>
      </c>
      <c r="RI306" s="93"/>
      <c r="RJ306" s="93"/>
      <c r="RK306" s="93"/>
      <c r="RL306" s="93"/>
      <c r="RM306" s="734"/>
      <c r="RN306" s="29">
        <v>239</v>
      </c>
      <c r="RO306" s="19">
        <v>85</v>
      </c>
      <c r="RP306" s="20">
        <v>438</v>
      </c>
      <c r="RQ306" s="29">
        <v>239</v>
      </c>
      <c r="RR306" s="734">
        <v>4.4057938500000002</v>
      </c>
      <c r="RS306" s="29">
        <v>239</v>
      </c>
      <c r="RT306" s="1504">
        <v>43770</v>
      </c>
      <c r="RU306" s="19">
        <v>1150</v>
      </c>
      <c r="RV306" s="20">
        <v>27</v>
      </c>
      <c r="RW306" s="29">
        <v>239</v>
      </c>
      <c r="RX306" s="1504">
        <v>43770</v>
      </c>
      <c r="RY306" s="29"/>
      <c r="RZ306" s="734"/>
      <c r="SA306" s="29"/>
      <c r="SB306" s="29">
        <v>239</v>
      </c>
    </row>
    <row r="307" spans="1:496">
      <c r="A307" s="41">
        <f t="shared" si="238"/>
        <v>2019</v>
      </c>
      <c r="B307" s="1504">
        <v>43800</v>
      </c>
      <c r="C307" s="1813">
        <v>1847</v>
      </c>
      <c r="D307" s="1814">
        <v>38124</v>
      </c>
      <c r="E307" s="1814">
        <v>155</v>
      </c>
      <c r="F307" s="1815">
        <v>529</v>
      </c>
      <c r="G307" s="1814">
        <v>99228</v>
      </c>
      <c r="H307" s="1814">
        <v>37</v>
      </c>
      <c r="I307" s="1814">
        <v>44110</v>
      </c>
      <c r="J307" s="1816">
        <v>19956</v>
      </c>
      <c r="K307" s="1807">
        <v>203986</v>
      </c>
      <c r="L307" s="25">
        <v>240</v>
      </c>
      <c r="M307" s="97"/>
      <c r="N307" s="1504">
        <v>43800</v>
      </c>
      <c r="O307" s="19">
        <v>712</v>
      </c>
      <c r="P307" s="93">
        <v>964</v>
      </c>
      <c r="Q307" s="93">
        <v>22767</v>
      </c>
      <c r="R307" s="93">
        <v>2212</v>
      </c>
      <c r="S307" s="93">
        <v>1698</v>
      </c>
      <c r="T307" s="93">
        <v>594</v>
      </c>
      <c r="U307" s="93">
        <v>315</v>
      </c>
      <c r="V307" s="93">
        <v>1599</v>
      </c>
      <c r="W307" s="93">
        <v>3758</v>
      </c>
      <c r="X307" s="93">
        <v>900</v>
      </c>
      <c r="Y307" s="93">
        <v>229</v>
      </c>
      <c r="Z307" s="93">
        <v>1359</v>
      </c>
      <c r="AA307" s="93">
        <v>1017</v>
      </c>
      <c r="AB307" s="20">
        <v>38124</v>
      </c>
      <c r="AC307" s="25">
        <v>240</v>
      </c>
      <c r="AD307" s="97"/>
      <c r="AE307" s="1504">
        <v>43800</v>
      </c>
      <c r="AF307" s="19">
        <v>2521</v>
      </c>
      <c r="AG307" s="93">
        <v>3034</v>
      </c>
      <c r="AH307" s="93">
        <v>923</v>
      </c>
      <c r="AI307" s="93">
        <v>809</v>
      </c>
      <c r="AJ307" s="93">
        <v>4587</v>
      </c>
      <c r="AK307" s="93">
        <v>1727</v>
      </c>
      <c r="AL307" s="93">
        <v>579</v>
      </c>
      <c r="AM307" s="93">
        <v>825</v>
      </c>
      <c r="AN307" s="93">
        <v>2107</v>
      </c>
      <c r="AO307" s="93">
        <v>6831</v>
      </c>
      <c r="AP307" s="93">
        <v>7318</v>
      </c>
      <c r="AQ307" s="93">
        <v>2884</v>
      </c>
      <c r="AR307" s="93">
        <v>3831</v>
      </c>
      <c r="AS307" s="20">
        <v>37976</v>
      </c>
      <c r="AT307" s="25">
        <v>240</v>
      </c>
      <c r="AU307" s="97"/>
      <c r="AV307" s="1504">
        <v>43800</v>
      </c>
      <c r="AW307" s="19">
        <v>11230</v>
      </c>
      <c r="AX307" s="93">
        <v>3432</v>
      </c>
      <c r="AY307" s="93">
        <v>6030</v>
      </c>
      <c r="AZ307" s="93">
        <v>11789</v>
      </c>
      <c r="BA307" s="93">
        <v>9553</v>
      </c>
      <c r="BB307" s="93">
        <v>5188</v>
      </c>
      <c r="BC307" s="93">
        <v>4335</v>
      </c>
      <c r="BD307" s="93">
        <v>10675</v>
      </c>
      <c r="BE307" s="93">
        <v>12871</v>
      </c>
      <c r="BF307" s="93">
        <v>7804</v>
      </c>
      <c r="BG307" s="93">
        <v>3288</v>
      </c>
      <c r="BH307" s="93">
        <v>9261</v>
      </c>
      <c r="BI307" s="93">
        <v>3772</v>
      </c>
      <c r="BJ307" s="20">
        <v>99228</v>
      </c>
      <c r="BK307" s="25">
        <v>240</v>
      </c>
      <c r="BL307" s="97"/>
      <c r="BM307" s="1504">
        <v>43800</v>
      </c>
      <c r="BN307" s="19">
        <v>103.47899999999998</v>
      </c>
      <c r="BO307" s="93">
        <v>4581.4719999999988</v>
      </c>
      <c r="BP307" s="93">
        <v>31.488</v>
      </c>
      <c r="BQ307" s="93">
        <v>803.7360000000001</v>
      </c>
      <c r="BR307" s="93">
        <v>7.4969999999999999</v>
      </c>
      <c r="BS307" s="93">
        <v>414.84600000000006</v>
      </c>
      <c r="BT307" s="93">
        <v>496.89600000000024</v>
      </c>
      <c r="BU307" s="20">
        <v>6439.4140000000007</v>
      </c>
      <c r="BV307" s="25">
        <v>240</v>
      </c>
      <c r="BW307" s="97"/>
      <c r="BX307" s="1504">
        <v>43800</v>
      </c>
      <c r="BY307" s="179">
        <v>590.55523858727179</v>
      </c>
      <c r="BZ307" s="99">
        <v>655.95699999999999</v>
      </c>
      <c r="CA307" s="99">
        <v>604.34586327621162</v>
      </c>
      <c r="CB307" s="99">
        <v>41.575998428121416</v>
      </c>
      <c r="CC307" s="99">
        <v>103.7959</v>
      </c>
      <c r="CD307" s="25">
        <v>240</v>
      </c>
      <c r="CE307" s="97"/>
      <c r="CF307" s="1504">
        <v>43800</v>
      </c>
      <c r="CG307" s="1508">
        <v>1.6717633460000001</v>
      </c>
      <c r="CH307" s="568">
        <v>1479.13</v>
      </c>
      <c r="CI307" s="1708">
        <v>63.353333333333303</v>
      </c>
      <c r="CJ307" s="1509">
        <v>65.849999999999994</v>
      </c>
      <c r="CK307" s="1508">
        <v>400.9</v>
      </c>
      <c r="CL307" s="568">
        <v>166.95575120000001</v>
      </c>
      <c r="CM307" s="568">
        <v>0.29563954199999998</v>
      </c>
      <c r="CN307" s="568">
        <v>0.36287347199999997</v>
      </c>
      <c r="CO307" s="568">
        <v>210.90866579999999</v>
      </c>
      <c r="CP307" s="1509">
        <v>5.5635790319999998</v>
      </c>
      <c r="CQ307" s="1708">
        <v>1404.96</v>
      </c>
      <c r="CR307" s="568">
        <v>2.21</v>
      </c>
      <c r="CS307" s="568">
        <v>1.6575</v>
      </c>
      <c r="CT307" s="568">
        <v>72.5</v>
      </c>
      <c r="CU307" s="568">
        <v>92.65</v>
      </c>
      <c r="CV307" s="1709">
        <v>2272.54</v>
      </c>
      <c r="CW307" s="29">
        <v>240</v>
      </c>
      <c r="CX307" s="41">
        <f t="shared" si="239"/>
        <v>2019</v>
      </c>
      <c r="CY307" s="1504">
        <v>43800</v>
      </c>
      <c r="CZ307" s="733">
        <v>133.40707810000001</v>
      </c>
      <c r="DA307" s="570">
        <v>66.987632099999999</v>
      </c>
      <c r="DB307" s="570">
        <v>51.175708999999998</v>
      </c>
      <c r="DC307" s="93"/>
      <c r="DD307" s="93"/>
      <c r="DE307" s="20"/>
      <c r="DF307" s="29">
        <v>240</v>
      </c>
      <c r="DG307" s="1504">
        <v>43800</v>
      </c>
      <c r="DH307" s="19">
        <v>424876</v>
      </c>
      <c r="DI307" s="93">
        <v>4772037</v>
      </c>
      <c r="DJ307" s="93">
        <v>323435</v>
      </c>
      <c r="DK307" s="93">
        <v>20117</v>
      </c>
      <c r="DL307" s="93">
        <v>586353</v>
      </c>
      <c r="DM307" s="93">
        <v>8165</v>
      </c>
      <c r="DN307" s="20">
        <v>1720731</v>
      </c>
      <c r="DO307" s="295">
        <f t="shared" si="282"/>
        <v>7430838</v>
      </c>
      <c r="DP307" s="29">
        <v>240</v>
      </c>
      <c r="DQ307" s="1504">
        <v>43800</v>
      </c>
      <c r="DR307" s="19">
        <v>51690.561000000002</v>
      </c>
      <c r="DS307" s="93">
        <v>747.5</v>
      </c>
      <c r="DT307" s="93">
        <v>64682.14</v>
      </c>
      <c r="DU307" s="93">
        <v>1513.7429999999999</v>
      </c>
      <c r="DV307" s="93">
        <v>17538.287</v>
      </c>
      <c r="DW307" s="93">
        <v>3512.5</v>
      </c>
      <c r="DX307" s="20">
        <v>9598.4619999999995</v>
      </c>
      <c r="DY307" s="29">
        <v>240</v>
      </c>
      <c r="DZ307" s="1504">
        <v>43800</v>
      </c>
      <c r="EA307" s="19"/>
      <c r="EB307" s="93"/>
      <c r="EC307" s="20"/>
      <c r="ED307" s="29"/>
      <c r="EE307" s="1504">
        <v>43800</v>
      </c>
      <c r="EF307" s="19">
        <v>26099</v>
      </c>
      <c r="EG307" s="93">
        <v>23797</v>
      </c>
      <c r="EH307" s="93">
        <v>49896</v>
      </c>
      <c r="EI307" s="214">
        <v>6657</v>
      </c>
      <c r="EJ307" s="93">
        <v>665.24699999999996</v>
      </c>
      <c r="EK307" s="93">
        <v>188.054</v>
      </c>
      <c r="EL307" s="93">
        <v>7.2759999999999998</v>
      </c>
      <c r="EM307" s="93">
        <v>11.25</v>
      </c>
      <c r="EN307" s="20">
        <v>871.82699999999988</v>
      </c>
      <c r="EO307" s="29">
        <v>240</v>
      </c>
      <c r="EP307" s="1504">
        <v>43800</v>
      </c>
      <c r="EQ307" s="19">
        <v>24241</v>
      </c>
      <c r="ER307" s="93">
        <v>21934</v>
      </c>
      <c r="ES307" s="93">
        <v>46175</v>
      </c>
      <c r="ET307" s="214">
        <v>6106</v>
      </c>
      <c r="EU307" s="93">
        <v>665.24699999999996</v>
      </c>
      <c r="EV307" s="93">
        <v>188.054</v>
      </c>
      <c r="EW307" s="93">
        <v>7.2759999999999998</v>
      </c>
      <c r="EX307" s="93">
        <v>11.25</v>
      </c>
      <c r="EY307" s="20">
        <v>871.82699999999988</v>
      </c>
      <c r="EZ307" s="29">
        <v>240</v>
      </c>
      <c r="FA307" s="1504">
        <v>43800</v>
      </c>
      <c r="FB307" s="29">
        <v>1858</v>
      </c>
      <c r="FC307" s="29">
        <v>1863</v>
      </c>
      <c r="FD307" s="29">
        <v>3721</v>
      </c>
      <c r="FE307" s="29">
        <v>551</v>
      </c>
      <c r="FF307" s="29">
        <v>0</v>
      </c>
      <c r="FG307" s="29">
        <v>0</v>
      </c>
      <c r="FH307" s="29">
        <v>0</v>
      </c>
      <c r="FI307" s="29">
        <v>0</v>
      </c>
      <c r="FJ307" s="29">
        <v>0</v>
      </c>
      <c r="FK307" s="29">
        <v>240</v>
      </c>
      <c r="FL307" s="1504">
        <v>43800</v>
      </c>
      <c r="FM307" s="179">
        <v>101.79</v>
      </c>
      <c r="FN307" s="99">
        <v>100.62</v>
      </c>
      <c r="FO307" s="99">
        <v>134.08000000000001</v>
      </c>
      <c r="FP307" s="99">
        <v>101.29</v>
      </c>
      <c r="FQ307" s="99">
        <v>99.52</v>
      </c>
      <c r="FR307" s="99">
        <v>101.28</v>
      </c>
      <c r="FS307" s="99">
        <v>100.41</v>
      </c>
      <c r="FT307" s="99">
        <v>100.08</v>
      </c>
      <c r="FU307" s="99">
        <v>98.78</v>
      </c>
      <c r="FV307" s="99">
        <v>101.09</v>
      </c>
      <c r="FW307" s="99">
        <v>107.43</v>
      </c>
      <c r="FX307" s="99">
        <v>104.6</v>
      </c>
      <c r="FY307" s="99">
        <v>100.75</v>
      </c>
      <c r="FZ307" s="29">
        <v>240</v>
      </c>
      <c r="GA307" s="1504">
        <v>43800</v>
      </c>
      <c r="GB307" s="19">
        <v>101.79</v>
      </c>
      <c r="GC307" s="93">
        <v>102.75</v>
      </c>
      <c r="GD307" s="93">
        <v>101.7</v>
      </c>
      <c r="GE307" s="93">
        <v>97.53</v>
      </c>
      <c r="GF307" s="93">
        <v>100.42</v>
      </c>
      <c r="GG307" s="99">
        <v>103.22</v>
      </c>
      <c r="GH307" s="93">
        <v>101.45</v>
      </c>
      <c r="GI307" s="93">
        <v>102.34</v>
      </c>
      <c r="GJ307" s="93">
        <v>102.99</v>
      </c>
      <c r="GK307" s="93">
        <v>100.29</v>
      </c>
      <c r="GL307" s="93">
        <v>102.12</v>
      </c>
      <c r="GM307" s="93">
        <v>101.23</v>
      </c>
      <c r="GN307" s="20">
        <v>102.98</v>
      </c>
      <c r="GO307" s="29">
        <v>240</v>
      </c>
      <c r="GP307" s="1504">
        <v>43800</v>
      </c>
      <c r="GQ307" s="19">
        <v>244</v>
      </c>
      <c r="GR307" s="93">
        <v>210</v>
      </c>
      <c r="GS307" s="93">
        <v>214</v>
      </c>
      <c r="GT307" s="93">
        <v>173</v>
      </c>
      <c r="GU307" s="93">
        <v>389</v>
      </c>
      <c r="GV307" s="20">
        <v>1000</v>
      </c>
      <c r="GW307" s="19">
        <v>353</v>
      </c>
      <c r="GX307" s="93">
        <v>428</v>
      </c>
      <c r="GY307" s="93">
        <v>491</v>
      </c>
      <c r="GZ307" s="93">
        <v>525</v>
      </c>
      <c r="HA307" s="93">
        <v>220</v>
      </c>
      <c r="HB307" s="20">
        <v>972</v>
      </c>
      <c r="HC307" s="19">
        <v>2006</v>
      </c>
      <c r="HD307" s="93">
        <v>2792</v>
      </c>
      <c r="HE307" s="93">
        <v>2588</v>
      </c>
      <c r="HF307" s="93">
        <v>3150</v>
      </c>
      <c r="HG307" s="93">
        <v>2837</v>
      </c>
      <c r="HH307" s="20">
        <v>2862</v>
      </c>
      <c r="HI307" s="19"/>
      <c r="HJ307" s="93">
        <v>858</v>
      </c>
      <c r="HK307" s="93">
        <v>1879</v>
      </c>
      <c r="HL307" s="93">
        <v>884</v>
      </c>
      <c r="HM307" s="93">
        <v>900</v>
      </c>
      <c r="HN307" s="20">
        <v>2388</v>
      </c>
      <c r="HO307" s="219">
        <v>154</v>
      </c>
      <c r="HP307" s="20">
        <v>99</v>
      </c>
      <c r="HQ307" s="25">
        <v>168</v>
      </c>
      <c r="HR307" s="29">
        <v>240</v>
      </c>
      <c r="HS307" s="1504">
        <v>43800</v>
      </c>
      <c r="HT307" s="179">
        <v>190.55617752075196</v>
      </c>
      <c r="HU307" s="99">
        <v>225.69445037841797</v>
      </c>
      <c r="HV307" s="99">
        <v>158.83125000000001</v>
      </c>
      <c r="HW307" s="99">
        <v>140.30612182617188</v>
      </c>
      <c r="HX307" s="99">
        <v>154.16666793823242</v>
      </c>
      <c r="HY307" s="99">
        <v>189.8148136138916</v>
      </c>
      <c r="HZ307" s="99">
        <v>199.5614013671875</v>
      </c>
      <c r="IA307" s="132">
        <v>145.83333206176758</v>
      </c>
      <c r="IB307" s="179">
        <v>126.73918914794922</v>
      </c>
      <c r="IC307" s="99">
        <v>77.777778625488281</v>
      </c>
      <c r="ID307" s="99">
        <v>96.120687484741211</v>
      </c>
      <c r="IE307" s="99">
        <v>86.414794921875</v>
      </c>
      <c r="IF307" s="99">
        <v>143.37871170043945</v>
      </c>
      <c r="IG307" s="132">
        <v>75.000001907348633</v>
      </c>
      <c r="IH307" s="179">
        <v>104.90294952392578</v>
      </c>
      <c r="II307" s="99">
        <v>204.97311401367188</v>
      </c>
      <c r="IJ307" s="99">
        <v>148.8439926147461</v>
      </c>
      <c r="IK307" s="99">
        <v>125</v>
      </c>
      <c r="IL307" s="99">
        <v>126.15740585327148</v>
      </c>
      <c r="IM307" s="99">
        <v>110.43907165527344</v>
      </c>
      <c r="IN307" s="93">
        <v>154.59364318847656</v>
      </c>
      <c r="IO307" s="132">
        <v>137.12029113769532</v>
      </c>
      <c r="IP307" s="29">
        <v>240</v>
      </c>
      <c r="IQ307" s="19">
        <v>126.73918914794922</v>
      </c>
      <c r="IR307" s="93">
        <v>77.777778625488281</v>
      </c>
      <c r="IS307" s="93">
        <v>96.120687484741211</v>
      </c>
      <c r="IT307" s="93">
        <v>86.414794921875</v>
      </c>
      <c r="IU307" s="93">
        <v>143.37871170043945</v>
      </c>
      <c r="IV307" s="20">
        <v>75.000001907348633</v>
      </c>
      <c r="IW307" s="29">
        <v>240</v>
      </c>
      <c r="IX307" s="19">
        <v>414.28572082519531</v>
      </c>
      <c r="IY307" s="93">
        <v>437.90908813476563</v>
      </c>
      <c r="IZ307" s="93">
        <v>395.83334350585938</v>
      </c>
      <c r="JA307" s="93">
        <v>375</v>
      </c>
      <c r="JB307" s="93">
        <v>385</v>
      </c>
      <c r="JC307" s="93">
        <v>400</v>
      </c>
      <c r="JD307" s="93">
        <v>400</v>
      </c>
      <c r="JE307" s="20">
        <v>370</v>
      </c>
      <c r="JF307" s="29">
        <v>240</v>
      </c>
      <c r="JG307" s="19">
        <v>130.63697814941406</v>
      </c>
      <c r="JH307" s="93">
        <v>184.81182861328125</v>
      </c>
      <c r="JI307" s="93">
        <v>121.54957122802735</v>
      </c>
      <c r="JJ307" s="93">
        <v>134.68013000488281</v>
      </c>
      <c r="JK307" s="93">
        <v>144.31609344482422</v>
      </c>
      <c r="JL307" s="93">
        <v>138.20132446289063</v>
      </c>
      <c r="JM307" s="93">
        <v>139.95215606689453</v>
      </c>
      <c r="JN307" s="20">
        <v>182.73476562499999</v>
      </c>
      <c r="JO307" s="29">
        <v>240</v>
      </c>
      <c r="JP307" s="19">
        <v>161.51929092407227</v>
      </c>
      <c r="JQ307" s="93">
        <v>70</v>
      </c>
      <c r="JR307" s="93">
        <v>123.92472839355469</v>
      </c>
      <c r="JS307" s="93"/>
      <c r="JT307" s="93">
        <v>163.69969177246094</v>
      </c>
      <c r="JU307" s="20">
        <v>72</v>
      </c>
      <c r="JV307" s="29">
        <v>240</v>
      </c>
      <c r="JW307" s="1504">
        <v>43800</v>
      </c>
      <c r="JX307" s="19"/>
      <c r="JY307" s="93">
        <v>278.69333333333333</v>
      </c>
      <c r="JZ307" s="93">
        <v>262.43333333333334</v>
      </c>
      <c r="KA307" s="93">
        <v>233.5</v>
      </c>
      <c r="KB307" s="93">
        <v>244.66666666666666</v>
      </c>
      <c r="KC307" s="93">
        <v>215.91228070175438</v>
      </c>
      <c r="KD307" s="20">
        <v>275.625</v>
      </c>
      <c r="KE307" s="29">
        <v>240</v>
      </c>
      <c r="KF307" s="19"/>
      <c r="KG307" s="93">
        <v>43.621621621621621</v>
      </c>
      <c r="KH307" s="93">
        <v>48.916666666666664</v>
      </c>
      <c r="KI307" s="93">
        <v>50.924999999999997</v>
      </c>
      <c r="KJ307" s="93">
        <v>38.129629629629626</v>
      </c>
      <c r="KK307" s="20">
        <v>77.556122448979579</v>
      </c>
      <c r="KL307" s="29">
        <v>240</v>
      </c>
      <c r="KM307" s="19"/>
      <c r="KN307" s="93">
        <v>16.118243243243242</v>
      </c>
      <c r="KO307" s="93">
        <v>27.508333333333333</v>
      </c>
      <c r="KP307" s="93">
        <v>31.560606060606059</v>
      </c>
      <c r="KQ307" s="93">
        <v>33.098039215686271</v>
      </c>
      <c r="KR307" s="20">
        <v>32.013888888888893</v>
      </c>
      <c r="KS307" s="29">
        <v>240</v>
      </c>
      <c r="KT307" s="19"/>
      <c r="KU307" s="93">
        <v>23.333333333333332</v>
      </c>
      <c r="KV307" s="93">
        <v>23.024999999999999</v>
      </c>
      <c r="KW307" s="93">
        <v>22.845833333333331</v>
      </c>
      <c r="KX307" s="93">
        <v>19.392156862745097</v>
      </c>
      <c r="KY307" s="20">
        <v>25.917543859649122</v>
      </c>
      <c r="KZ307" s="29">
        <v>240</v>
      </c>
      <c r="LA307" s="1504">
        <v>43800</v>
      </c>
      <c r="LB307" s="19"/>
      <c r="LC307" s="93"/>
      <c r="LD307" s="93"/>
      <c r="LE307" s="93"/>
      <c r="LF307" s="93"/>
      <c r="LG307" s="93"/>
      <c r="LH307" s="20"/>
      <c r="LI307" s="29"/>
      <c r="LJ307" s="19"/>
      <c r="LK307" s="93"/>
      <c r="LL307" s="93"/>
      <c r="LM307" s="93"/>
      <c r="LN307" s="93"/>
      <c r="LO307" s="20"/>
      <c r="LP307" s="29"/>
      <c r="LQ307" s="19"/>
      <c r="LR307" s="93">
        <v>188</v>
      </c>
      <c r="LS307" s="93">
        <v>463</v>
      </c>
      <c r="LT307" s="93">
        <v>663</v>
      </c>
      <c r="LU307" s="93">
        <v>1104</v>
      </c>
      <c r="LV307" s="93"/>
      <c r="LW307" s="93">
        <v>5</v>
      </c>
      <c r="LX307" s="93">
        <v>10</v>
      </c>
      <c r="LY307" s="93">
        <v>60</v>
      </c>
      <c r="LZ307" s="93"/>
      <c r="MA307" s="20"/>
      <c r="MB307" s="29">
        <v>240</v>
      </c>
      <c r="MC307" s="1504">
        <v>43800</v>
      </c>
      <c r="MD307" s="19">
        <v>1931.9699893758323</v>
      </c>
      <c r="ME307" s="93">
        <v>1797.6952365538284</v>
      </c>
      <c r="MF307" s="93">
        <v>1797.6952365538284</v>
      </c>
      <c r="MG307" s="93">
        <v>1474.8638866378287</v>
      </c>
      <c r="MH307" s="93">
        <v>448.63692028584018</v>
      </c>
      <c r="MI307" s="93">
        <v>13.220351489017443</v>
      </c>
      <c r="MJ307" s="93">
        <v>8.6481005526905683</v>
      </c>
      <c r="MK307" s="93">
        <v>796.8479282786152</v>
      </c>
      <c r="ML307" s="93">
        <v>195.88554201700001</v>
      </c>
      <c r="MM307" s="93">
        <v>11.625044014665066</v>
      </c>
      <c r="MN307" s="93">
        <v>322.83134991600002</v>
      </c>
      <c r="MO307" s="93">
        <v>6.6096334309999989</v>
      </c>
      <c r="MP307" s="93">
        <v>151.70336078399998</v>
      </c>
      <c r="MQ307" s="93">
        <v>2.3915787560000004</v>
      </c>
      <c r="MR307" s="93">
        <v>45.347187747000007</v>
      </c>
      <c r="MS307" s="93">
        <v>116.77958919799998</v>
      </c>
      <c r="MT307" s="93">
        <v>0</v>
      </c>
      <c r="MU307" s="93">
        <v>134.27475282200385</v>
      </c>
      <c r="MV307" s="93">
        <v>45.893155233003824</v>
      </c>
      <c r="MW307" s="93">
        <v>88.381597589000023</v>
      </c>
      <c r="MX307" s="93">
        <v>2184.4246419359984</v>
      </c>
      <c r="MY307" s="93">
        <v>2208.2739844489984</v>
      </c>
      <c r="MZ307" s="93">
        <v>1651.48312016215</v>
      </c>
      <c r="NA307" s="93">
        <v>844.42625256200006</v>
      </c>
      <c r="NB307" s="93">
        <v>198.431177074</v>
      </c>
      <c r="NC307" s="93">
        <v>117.069346194</v>
      </c>
      <c r="ND307" s="93">
        <v>95.564261821112325</v>
      </c>
      <c r="NE307" s="93">
        <v>21.505084372887701</v>
      </c>
      <c r="NF307" s="93">
        <v>491.55634433214993</v>
      </c>
      <c r="NG307" s="93">
        <v>10.786799131299999</v>
      </c>
      <c r="NH307" s="93">
        <v>109.97057084000001</v>
      </c>
      <c r="NI307" s="93">
        <v>0</v>
      </c>
      <c r="NJ307" s="93">
        <v>76</v>
      </c>
      <c r="NK307" s="93">
        <v>556.79086428684855</v>
      </c>
      <c r="NL307" s="93">
        <v>418.98706182200004</v>
      </c>
      <c r="NM307" s="93">
        <v>1.3071919590000001</v>
      </c>
      <c r="NN307" s="93">
        <v>136.49661050584854</v>
      </c>
      <c r="NO307" s="93">
        <v>-23.849342512999993</v>
      </c>
      <c r="NP307" s="93">
        <v>-252.45465256016615</v>
      </c>
      <c r="NQ307" s="93">
        <v>-386.72940538216994</v>
      </c>
      <c r="NR307" s="93">
        <v>-133.16344868232142</v>
      </c>
      <c r="NS307" s="93">
        <v>-250.23279487632144</v>
      </c>
      <c r="NT307" s="93">
        <v>-298.04406239466095</v>
      </c>
      <c r="NU307" s="93">
        <v>-432.31881521666486</v>
      </c>
      <c r="NV307" s="93">
        <v>294.08562467427379</v>
      </c>
      <c r="NW307" s="93">
        <v>97.154330322453816</v>
      </c>
      <c r="NX307" s="93">
        <v>156.09941897884468</v>
      </c>
      <c r="NY307" s="93">
        <v>-58.945088656390872</v>
      </c>
      <c r="NZ307" s="93">
        <v>0</v>
      </c>
      <c r="OA307" s="93">
        <v>196.93129435181999</v>
      </c>
      <c r="OB307" s="93">
        <v>19.829048872819985</v>
      </c>
      <c r="OC307" s="93">
        <v>177.10224547899998</v>
      </c>
      <c r="OD307" s="20">
        <v>3.9584377203871721</v>
      </c>
      <c r="OE307" s="29">
        <v>240</v>
      </c>
      <c r="OF307" s="1504">
        <v>43800</v>
      </c>
      <c r="OG307" s="19"/>
      <c r="OH307" s="93">
        <v>655.88045644454292</v>
      </c>
      <c r="OI307" s="93">
        <v>1828.6421499549999</v>
      </c>
      <c r="OJ307" s="93">
        <v>2.1746091679999999</v>
      </c>
      <c r="OK307" s="93">
        <v>1576.25</v>
      </c>
      <c r="OL307" s="93">
        <v>250.21754078700002</v>
      </c>
      <c r="OM307" s="93">
        <v>2484.5226063995428</v>
      </c>
      <c r="ON307" s="93">
        <v>1571.8871083190002</v>
      </c>
      <c r="OO307" s="93">
        <v>4056.409714718543</v>
      </c>
      <c r="OP307" s="93"/>
      <c r="OQ307" s="93">
        <v>1508.5330278715433</v>
      </c>
      <c r="OR307" s="93">
        <v>76.720027871543039</v>
      </c>
      <c r="OS307" s="93">
        <v>1431.8130000000001</v>
      </c>
      <c r="OT307" s="93">
        <v>3068.0108933849997</v>
      </c>
      <c r="OU307" s="93">
        <v>151.84025188999999</v>
      </c>
      <c r="OV307" s="93">
        <v>-41.731748109999998</v>
      </c>
      <c r="OW307" s="93">
        <v>193.572</v>
      </c>
      <c r="OX307" s="1700">
        <v>2916.1706414949995</v>
      </c>
      <c r="OY307" s="1700">
        <v>6.3276414949999999</v>
      </c>
      <c r="OZ307" s="1700">
        <v>2909.8429999999998</v>
      </c>
      <c r="PA307" s="93">
        <v>719.81468277199997</v>
      </c>
      <c r="PB307" s="93">
        <v>-199.68047623400014</v>
      </c>
      <c r="PC307" s="20">
        <v>4056.4097147185435</v>
      </c>
      <c r="PD307" s="29">
        <v>240</v>
      </c>
      <c r="PE307" s="19"/>
      <c r="PF307" s="93">
        <v>76.720027871543039</v>
      </c>
      <c r="PG307" s="93">
        <v>1031.9666904795431</v>
      </c>
      <c r="PH307" s="93">
        <v>955.24666260800007</v>
      </c>
      <c r="PI307" s="93">
        <v>864.22526025000002</v>
      </c>
      <c r="PJ307" s="93">
        <v>-35.447673709</v>
      </c>
      <c r="PK307" s="93">
        <v>118.586065143</v>
      </c>
      <c r="PL307" s="93">
        <v>154.033738852</v>
      </c>
      <c r="PM307" s="93">
        <v>6.3276414949999999</v>
      </c>
      <c r="PN307" s="93">
        <v>1.9650000000000001</v>
      </c>
      <c r="PO307" s="93">
        <v>0</v>
      </c>
      <c r="PP307" s="93">
        <v>0</v>
      </c>
      <c r="PQ307" s="93">
        <v>4.3626414950000001</v>
      </c>
      <c r="PR307" s="93">
        <v>902.21040746954304</v>
      </c>
      <c r="PS307" s="93">
        <v>752.75453084554294</v>
      </c>
      <c r="PT307" s="93">
        <v>146.948159137</v>
      </c>
      <c r="PU307" s="93">
        <v>2.5077174869999999</v>
      </c>
      <c r="PV307" s="93">
        <v>0</v>
      </c>
      <c r="PW307" s="93">
        <v>0.78697454099999997</v>
      </c>
      <c r="PX307" s="93">
        <v>0</v>
      </c>
      <c r="PY307" s="93">
        <v>0</v>
      </c>
      <c r="PZ307" s="93">
        <v>0.78697454099999997</v>
      </c>
      <c r="QA307" s="93">
        <v>0</v>
      </c>
      <c r="QB307" s="93">
        <v>0</v>
      </c>
      <c r="QC307" s="93">
        <v>0</v>
      </c>
      <c r="QD307" s="93">
        <v>1.5537082310000001</v>
      </c>
      <c r="QE307" s="20">
        <v>7.2741656659999858</v>
      </c>
      <c r="QF307" s="1739">
        <v>240</v>
      </c>
      <c r="QG307" s="19"/>
      <c r="QH307" s="93">
        <v>1431.8130000000001</v>
      </c>
      <c r="QI307" s="93">
        <v>1775.4560000000001</v>
      </c>
      <c r="QJ307" s="93">
        <v>-343.64300000000003</v>
      </c>
      <c r="QK307" s="93">
        <v>253.32400000000001</v>
      </c>
      <c r="QL307" s="93">
        <v>90.59</v>
      </c>
      <c r="QM307" s="93">
        <v>162.73400000000001</v>
      </c>
      <c r="QN307" s="93">
        <v>0</v>
      </c>
      <c r="QO307" s="93">
        <v>193.572</v>
      </c>
      <c r="QP307" s="93">
        <v>556.59299999999996</v>
      </c>
      <c r="QQ307" s="93">
        <v>-363.02099999999996</v>
      </c>
      <c r="QR307" s="93">
        <v>2909.8429999999998</v>
      </c>
      <c r="QS307" s="93">
        <v>18.459</v>
      </c>
      <c r="QT307" s="93">
        <v>21.832000000000001</v>
      </c>
      <c r="QU307" s="93">
        <v>210.97299999999998</v>
      </c>
      <c r="QV307" s="93">
        <v>2658.5789999999997</v>
      </c>
      <c r="QW307" s="93"/>
      <c r="QX307" s="93">
        <v>814.98</v>
      </c>
      <c r="QY307" s="93">
        <v>1576.25</v>
      </c>
      <c r="QZ307" s="93">
        <v>1571.5540000000001</v>
      </c>
      <c r="RA307" s="93"/>
      <c r="RB307" s="93">
        <v>149.78700000000001</v>
      </c>
      <c r="RC307" s="93">
        <v>0</v>
      </c>
      <c r="RD307" s="93">
        <v>33.391999999999996</v>
      </c>
      <c r="RE307" s="93"/>
      <c r="RF307" s="93"/>
      <c r="RG307" s="93">
        <v>534.29499999999996</v>
      </c>
      <c r="RH307" s="93">
        <v>108.29399999999998</v>
      </c>
      <c r="RI307" s="93"/>
      <c r="RJ307" s="93"/>
      <c r="RK307" s="93"/>
      <c r="RL307" s="93"/>
      <c r="RM307" s="734"/>
      <c r="RN307" s="29">
        <v>240</v>
      </c>
      <c r="RO307" s="19">
        <v>75</v>
      </c>
      <c r="RP307" s="20">
        <v>475</v>
      </c>
      <c r="RQ307" s="29">
        <v>240</v>
      </c>
      <c r="RR307" s="734">
        <v>4.6615850700000001</v>
      </c>
      <c r="RS307" s="29">
        <v>240</v>
      </c>
      <c r="RT307" s="1504">
        <v>43800</v>
      </c>
      <c r="RU307" s="19">
        <v>1244</v>
      </c>
      <c r="RV307" s="20">
        <v>28</v>
      </c>
      <c r="RW307" s="29">
        <v>240</v>
      </c>
      <c r="RX307" s="1504">
        <v>43800</v>
      </c>
      <c r="RY307" s="29"/>
      <c r="RZ307" s="734"/>
      <c r="SA307" s="29"/>
      <c r="SB307" s="29">
        <v>240</v>
      </c>
    </row>
    <row r="308" spans="1:496">
      <c r="A308" s="41">
        <f t="shared" si="238"/>
        <v>2020</v>
      </c>
      <c r="B308" s="1504">
        <v>43831</v>
      </c>
      <c r="C308" s="1813">
        <v>1917</v>
      </c>
      <c r="D308" s="1814">
        <v>22753</v>
      </c>
      <c r="E308" s="1814">
        <v>218</v>
      </c>
      <c r="F308" s="1815"/>
      <c r="G308" s="1814">
        <v>88624</v>
      </c>
      <c r="H308" s="1814">
        <v>28</v>
      </c>
      <c r="I308" s="1814">
        <v>28257</v>
      </c>
      <c r="J308" s="1816">
        <v>20488</v>
      </c>
      <c r="K308" s="1807">
        <v>137670</v>
      </c>
      <c r="L308" s="25">
        <v>241</v>
      </c>
      <c r="M308" s="97"/>
      <c r="N308" s="1504">
        <v>43831</v>
      </c>
      <c r="O308" s="19">
        <v>1031</v>
      </c>
      <c r="P308" s="93">
        <v>868</v>
      </c>
      <c r="Q308" s="93">
        <v>6869</v>
      </c>
      <c r="R308" s="93">
        <v>998</v>
      </c>
      <c r="S308" s="93">
        <v>2122</v>
      </c>
      <c r="T308" s="93">
        <v>658</v>
      </c>
      <c r="U308" s="93">
        <v>318</v>
      </c>
      <c r="V308" s="93">
        <v>1903</v>
      </c>
      <c r="W308" s="93">
        <v>5302</v>
      </c>
      <c r="X308" s="93">
        <v>579</v>
      </c>
      <c r="Y308" s="93">
        <v>349</v>
      </c>
      <c r="Z308" s="93">
        <v>1142</v>
      </c>
      <c r="AA308" s="93">
        <v>614</v>
      </c>
      <c r="AB308" s="20">
        <v>22753</v>
      </c>
      <c r="AC308" s="25">
        <v>241</v>
      </c>
      <c r="AD308" s="97"/>
      <c r="AE308" s="1504">
        <v>43831</v>
      </c>
      <c r="AF308" s="19">
        <v>1675</v>
      </c>
      <c r="AG308" s="93">
        <v>622</v>
      </c>
      <c r="AH308" s="93">
        <v>4367</v>
      </c>
      <c r="AI308" s="93">
        <v>1836</v>
      </c>
      <c r="AJ308" s="93">
        <v>2541</v>
      </c>
      <c r="AK308" s="93">
        <v>1774</v>
      </c>
      <c r="AL308" s="93">
        <v>687</v>
      </c>
      <c r="AM308" s="93">
        <v>1777</v>
      </c>
      <c r="AN308" s="93">
        <v>7771</v>
      </c>
      <c r="AO308" s="93">
        <v>1892</v>
      </c>
      <c r="AP308" s="93">
        <v>1004</v>
      </c>
      <c r="AQ308" s="93">
        <v>1218</v>
      </c>
      <c r="AR308" s="93">
        <v>1093</v>
      </c>
      <c r="AS308" s="20">
        <v>28257</v>
      </c>
      <c r="AT308" s="25">
        <v>241</v>
      </c>
      <c r="AU308" s="97"/>
      <c r="AV308" s="1504">
        <v>43831</v>
      </c>
      <c r="AW308" s="19">
        <v>9218</v>
      </c>
      <c r="AX308" s="93">
        <v>3141</v>
      </c>
      <c r="AY308" s="93">
        <v>4075</v>
      </c>
      <c r="AZ308" s="93">
        <v>5752</v>
      </c>
      <c r="BA308" s="93">
        <v>8977</v>
      </c>
      <c r="BB308" s="93">
        <v>5944</v>
      </c>
      <c r="BC308" s="93">
        <v>3540</v>
      </c>
      <c r="BD308" s="93">
        <v>11544</v>
      </c>
      <c r="BE308" s="93">
        <v>13287</v>
      </c>
      <c r="BF308" s="93">
        <v>5014</v>
      </c>
      <c r="BG308" s="93">
        <v>5527</v>
      </c>
      <c r="BH308" s="93">
        <v>8484</v>
      </c>
      <c r="BI308" s="93">
        <v>4121</v>
      </c>
      <c r="BJ308" s="20">
        <v>88624</v>
      </c>
      <c r="BK308" s="25">
        <v>241</v>
      </c>
      <c r="BL308" s="97"/>
      <c r="BM308" s="1504">
        <v>43831</v>
      </c>
      <c r="BN308" s="19">
        <v>97.766999999999996</v>
      </c>
      <c r="BO308" s="93">
        <v>2571.0889999999999</v>
      </c>
      <c r="BP308" s="93">
        <v>41.856000000000002</v>
      </c>
      <c r="BQ308" s="93">
        <v>708.99199999999996</v>
      </c>
      <c r="BR308" s="93">
        <v>4.2839999999999998</v>
      </c>
      <c r="BS308" s="93">
        <v>254.31299999999999</v>
      </c>
      <c r="BT308" s="93">
        <v>491.71199999999999</v>
      </c>
      <c r="BU308" s="20">
        <v>4170.0129999999999</v>
      </c>
      <c r="BV308" s="25">
        <v>241</v>
      </c>
      <c r="BW308" s="97"/>
      <c r="BX308" s="1504">
        <v>43831</v>
      </c>
      <c r="BY308" s="179">
        <v>590.94804782289521</v>
      </c>
      <c r="BZ308" s="99">
        <v>655.95699999999999</v>
      </c>
      <c r="CA308" s="99">
        <v>613.38788105479716</v>
      </c>
      <c r="CB308" s="99">
        <v>39.779078229229839</v>
      </c>
      <c r="CC308" s="99">
        <v>104.8122</v>
      </c>
      <c r="CD308" s="25">
        <v>241</v>
      </c>
      <c r="CE308" s="97"/>
      <c r="CF308" s="1504">
        <v>43831</v>
      </c>
      <c r="CG308" s="1508">
        <v>1.7431930339999999</v>
      </c>
      <c r="CH308" s="568">
        <v>1560.67</v>
      </c>
      <c r="CI308" s="1708">
        <v>61.626666666666701</v>
      </c>
      <c r="CJ308" s="1509">
        <v>63.6</v>
      </c>
      <c r="CK308" s="1508">
        <v>426</v>
      </c>
      <c r="CL308" s="568">
        <v>171.78620480000001</v>
      </c>
      <c r="CM308" s="568">
        <v>0.31195372999999998</v>
      </c>
      <c r="CN308" s="568">
        <v>0.36264488</v>
      </c>
      <c r="CO308" s="568">
        <v>224.5038237</v>
      </c>
      <c r="CP308" s="1509">
        <v>5.0390999340000002</v>
      </c>
      <c r="CQ308" s="1708">
        <v>1371.35</v>
      </c>
      <c r="CR308" s="568">
        <v>2.2875000000000001</v>
      </c>
      <c r="CS308" s="568">
        <v>1.6834</v>
      </c>
      <c r="CT308" s="568">
        <v>72.5</v>
      </c>
      <c r="CU308" s="568">
        <v>95.76</v>
      </c>
      <c r="CV308" s="1709">
        <v>2354.31</v>
      </c>
      <c r="CW308" s="29">
        <v>241</v>
      </c>
      <c r="CX308" s="41">
        <f t="shared" si="239"/>
        <v>2020</v>
      </c>
      <c r="CY308" s="1504">
        <v>43831</v>
      </c>
      <c r="CZ308" s="733">
        <v>138.5465136</v>
      </c>
      <c r="DA308" s="570">
        <v>67.919227599999999</v>
      </c>
      <c r="DB308" s="570">
        <v>53.864891</v>
      </c>
      <c r="DC308" s="93"/>
      <c r="DD308" s="93"/>
      <c r="DE308" s="20"/>
      <c r="DF308" s="29">
        <v>241</v>
      </c>
      <c r="DG308" s="1504">
        <v>43831</v>
      </c>
      <c r="DH308" s="19">
        <v>427768</v>
      </c>
      <c r="DI308" s="93">
        <v>4546844</v>
      </c>
      <c r="DJ308" s="93">
        <v>333714</v>
      </c>
      <c r="DK308" s="93">
        <v>19380</v>
      </c>
      <c r="DL308" s="93">
        <v>554144</v>
      </c>
      <c r="DM308" s="93">
        <v>8989</v>
      </c>
      <c r="DN308" s="20">
        <v>1828217</v>
      </c>
      <c r="DO308" s="295">
        <f t="shared" si="282"/>
        <v>7291288</v>
      </c>
      <c r="DP308" s="29">
        <v>241</v>
      </c>
      <c r="DQ308" s="1504">
        <v>43831</v>
      </c>
      <c r="DR308" s="19">
        <v>51205.2</v>
      </c>
      <c r="DS308" s="93">
        <v>886.5</v>
      </c>
      <c r="DT308" s="93">
        <v>60893.7</v>
      </c>
      <c r="DU308" s="93">
        <v>1388.4549999999999</v>
      </c>
      <c r="DV308" s="93">
        <v>13741.075999999999</v>
      </c>
      <c r="DW308" s="93">
        <v>2680</v>
      </c>
      <c r="DX308" s="20">
        <v>21193.608571428569</v>
      </c>
      <c r="DY308" s="29">
        <v>241</v>
      </c>
      <c r="DZ308" s="1504">
        <v>43831</v>
      </c>
      <c r="EA308" s="19"/>
      <c r="EB308" s="93"/>
      <c r="EC308" s="20"/>
      <c r="ED308" s="29"/>
      <c r="EE308" s="1504">
        <v>43831</v>
      </c>
      <c r="EF308" s="19">
        <v>20740</v>
      </c>
      <c r="EG308" s="93">
        <v>29649</v>
      </c>
      <c r="EH308" s="93">
        <v>50389</v>
      </c>
      <c r="EI308" s="214">
        <v>6998</v>
      </c>
      <c r="EJ308" s="93">
        <v>679.26700000000005</v>
      </c>
      <c r="EK308" s="93">
        <v>246.83699999999999</v>
      </c>
      <c r="EL308" s="93">
        <v>8.5229999999999997</v>
      </c>
      <c r="EM308" s="93">
        <v>8.5329999999999995</v>
      </c>
      <c r="EN308" s="20">
        <v>943.16000000000008</v>
      </c>
      <c r="EO308" s="29">
        <v>241</v>
      </c>
      <c r="EP308" s="1504">
        <v>43831</v>
      </c>
      <c r="EQ308" s="19">
        <v>18932</v>
      </c>
      <c r="ER308" s="93">
        <v>27863</v>
      </c>
      <c r="ES308" s="93">
        <v>46795</v>
      </c>
      <c r="ET308" s="214">
        <v>6599</v>
      </c>
      <c r="EU308" s="93">
        <v>679.26700000000005</v>
      </c>
      <c r="EV308" s="93">
        <v>246.83699999999999</v>
      </c>
      <c r="EW308" s="93">
        <v>8.5229999999999997</v>
      </c>
      <c r="EX308" s="93">
        <v>8.5329999999999995</v>
      </c>
      <c r="EY308" s="20">
        <v>943.16000000000008</v>
      </c>
      <c r="EZ308" s="29">
        <v>241</v>
      </c>
      <c r="FA308" s="1504">
        <v>43831</v>
      </c>
      <c r="FB308" s="29">
        <v>1808</v>
      </c>
      <c r="FC308" s="29">
        <v>1786</v>
      </c>
      <c r="FD308" s="29">
        <v>3594</v>
      </c>
      <c r="FE308" s="29">
        <v>399</v>
      </c>
      <c r="FF308" s="29">
        <v>0</v>
      </c>
      <c r="FG308" s="29">
        <v>0</v>
      </c>
      <c r="FH308" s="29">
        <v>0</v>
      </c>
      <c r="FI308" s="29">
        <v>0</v>
      </c>
      <c r="FJ308" s="29">
        <v>0</v>
      </c>
      <c r="FK308" s="29">
        <v>241</v>
      </c>
      <c r="FL308" s="1504">
        <v>43831</v>
      </c>
      <c r="FM308" s="179">
        <v>101.26</v>
      </c>
      <c r="FN308" s="99">
        <v>100.15</v>
      </c>
      <c r="FO308" s="99">
        <v>126.8</v>
      </c>
      <c r="FP308" s="99">
        <v>101.3</v>
      </c>
      <c r="FQ308" s="99">
        <v>100.13</v>
      </c>
      <c r="FR308" s="99">
        <v>101.28</v>
      </c>
      <c r="FS308" s="99">
        <v>100.41</v>
      </c>
      <c r="FT308" s="99">
        <v>100.07</v>
      </c>
      <c r="FU308" s="99">
        <v>98.78</v>
      </c>
      <c r="FV308" s="99">
        <v>101.12</v>
      </c>
      <c r="FW308" s="99">
        <v>107.43</v>
      </c>
      <c r="FX308" s="99">
        <v>104.88</v>
      </c>
      <c r="FY308" s="99">
        <v>100.75</v>
      </c>
      <c r="FZ308" s="29">
        <v>241</v>
      </c>
      <c r="GA308" s="1504">
        <v>43831</v>
      </c>
      <c r="GB308" s="19">
        <v>101.26</v>
      </c>
      <c r="GC308" s="93">
        <v>102.15</v>
      </c>
      <c r="GD308" s="93">
        <v>101.25</v>
      </c>
      <c r="GE308" s="93">
        <v>98.17</v>
      </c>
      <c r="GF308" s="93">
        <v>98.34</v>
      </c>
      <c r="GG308" s="99">
        <v>103.43</v>
      </c>
      <c r="GH308" s="93">
        <v>100.54</v>
      </c>
      <c r="GI308" s="93">
        <v>102.12</v>
      </c>
      <c r="GJ308" s="93">
        <v>102.99</v>
      </c>
      <c r="GK308" s="93">
        <v>100.29</v>
      </c>
      <c r="GL308" s="93">
        <v>101.44</v>
      </c>
      <c r="GM308" s="93">
        <v>101.24</v>
      </c>
      <c r="GN308" s="20">
        <v>102.98</v>
      </c>
      <c r="GO308" s="29">
        <v>241</v>
      </c>
      <c r="GP308" s="1504">
        <v>43831</v>
      </c>
      <c r="GQ308" s="19">
        <v>243</v>
      </c>
      <c r="GR308" s="93">
        <v>206</v>
      </c>
      <c r="GS308" s="93">
        <v>204</v>
      </c>
      <c r="GT308" s="93">
        <v>179</v>
      </c>
      <c r="GU308" s="93">
        <v>408</v>
      </c>
      <c r="GV308" s="20">
        <v>1013</v>
      </c>
      <c r="GW308" s="19">
        <v>365</v>
      </c>
      <c r="GX308" s="93">
        <v>437</v>
      </c>
      <c r="GY308" s="93">
        <v>419</v>
      </c>
      <c r="GZ308" s="93">
        <v>339</v>
      </c>
      <c r="HA308" s="93">
        <v>179</v>
      </c>
      <c r="HB308" s="20">
        <v>1034</v>
      </c>
      <c r="HC308" s="19">
        <v>1986</v>
      </c>
      <c r="HD308" s="93">
        <v>2730</v>
      </c>
      <c r="HE308" s="93">
        <v>2667</v>
      </c>
      <c r="HF308" s="93">
        <v>3150</v>
      </c>
      <c r="HG308" s="93">
        <v>2733</v>
      </c>
      <c r="HH308" s="20">
        <v>2869</v>
      </c>
      <c r="HI308" s="19"/>
      <c r="HJ308" s="93">
        <v>832</v>
      </c>
      <c r="HK308" s="93">
        <v>1838</v>
      </c>
      <c r="HL308" s="93">
        <v>868</v>
      </c>
      <c r="HM308" s="93">
        <v>900</v>
      </c>
      <c r="HN308" s="20">
        <v>2533</v>
      </c>
      <c r="HO308" s="219">
        <v>141</v>
      </c>
      <c r="HP308" s="20">
        <v>98</v>
      </c>
      <c r="HQ308" s="25">
        <v>172</v>
      </c>
      <c r="HR308" s="29">
        <v>241</v>
      </c>
      <c r="HS308" s="1504">
        <v>43831</v>
      </c>
      <c r="HT308" s="179">
        <v>195.56809520721436</v>
      </c>
      <c r="HU308" s="99">
        <v>236.11111450195313</v>
      </c>
      <c r="HV308" s="99">
        <v>159.49083709716797</v>
      </c>
      <c r="HW308" s="99">
        <v>140.30612182617188</v>
      </c>
      <c r="HX308" s="99">
        <v>166.66667175292969</v>
      </c>
      <c r="HY308" s="99">
        <v>194.44444274902344</v>
      </c>
      <c r="HZ308" s="99">
        <v>213.8157958984375</v>
      </c>
      <c r="IA308" s="132">
        <v>147.05882263183594</v>
      </c>
      <c r="IB308" s="179">
        <v>127.77123641967773</v>
      </c>
      <c r="IC308" s="99">
        <v>83.333335876464844</v>
      </c>
      <c r="ID308" s="99">
        <v>84.051725387573242</v>
      </c>
      <c r="IE308" s="99">
        <v>96.463027954101563</v>
      </c>
      <c r="IF308" s="99">
        <v>137.13079833984375</v>
      </c>
      <c r="IG308" s="132">
        <v>85.714286804199219</v>
      </c>
      <c r="IH308" s="179">
        <v>104.94505310058594</v>
      </c>
      <c r="II308" s="99">
        <v>215.05375671386719</v>
      </c>
      <c r="IJ308" s="99">
        <v>152.80266952514648</v>
      </c>
      <c r="IK308" s="99">
        <v>127.23214340209961</v>
      </c>
      <c r="IL308" s="99">
        <v>124.2283935546875</v>
      </c>
      <c r="IM308" s="99">
        <v>112.90323130289714</v>
      </c>
      <c r="IN308" s="93">
        <v>159.01060485839844</v>
      </c>
      <c r="IO308" s="132">
        <v>154.72312927246094</v>
      </c>
      <c r="IP308" s="29">
        <v>241</v>
      </c>
      <c r="IQ308" s="19">
        <v>127.77123641967773</v>
      </c>
      <c r="IR308" s="93">
        <v>83.333335876464844</v>
      </c>
      <c r="IS308" s="93">
        <v>84.051725387573242</v>
      </c>
      <c r="IT308" s="93">
        <v>96.463027954101563</v>
      </c>
      <c r="IU308" s="93">
        <v>137.13079833984375</v>
      </c>
      <c r="IV308" s="20">
        <v>85.714286804199219</v>
      </c>
      <c r="IW308" s="29">
        <v>241</v>
      </c>
      <c r="IX308" s="19">
        <v>414.28572082519531</v>
      </c>
      <c r="IY308" s="93">
        <v>428.75</v>
      </c>
      <c r="IZ308" s="93">
        <v>395.83334350585938</v>
      </c>
      <c r="JA308" s="93">
        <v>375</v>
      </c>
      <c r="JB308" s="93">
        <v>390</v>
      </c>
      <c r="JC308" s="93">
        <v>400</v>
      </c>
      <c r="JD308" s="93">
        <v>400</v>
      </c>
      <c r="JE308" s="20">
        <v>370</v>
      </c>
      <c r="JF308" s="29">
        <v>241</v>
      </c>
      <c r="JG308" s="19"/>
      <c r="JH308" s="93"/>
      <c r="JI308" s="93"/>
      <c r="JJ308" s="93"/>
      <c r="JK308" s="93"/>
      <c r="JL308" s="93"/>
      <c r="JM308" s="93"/>
      <c r="JN308" s="20"/>
      <c r="JO308" s="29">
        <v>241</v>
      </c>
      <c r="JP308" s="19"/>
      <c r="JQ308" s="93"/>
      <c r="JR308" s="93"/>
      <c r="JS308" s="93"/>
      <c r="JT308" s="93"/>
      <c r="JU308" s="20"/>
      <c r="JV308" s="29">
        <v>241</v>
      </c>
      <c r="JW308" s="1504">
        <v>43831</v>
      </c>
      <c r="JX308" s="19"/>
      <c r="JY308" s="93">
        <v>287.08333333333331</v>
      </c>
      <c r="JZ308" s="93">
        <v>242.66666666666666</v>
      </c>
      <c r="KA308" s="93"/>
      <c r="KB308" s="93">
        <v>191.625</v>
      </c>
      <c r="KC308" s="93">
        <v>359.58333333333331</v>
      </c>
      <c r="KD308" s="20">
        <v>247.89473684210526</v>
      </c>
      <c r="KE308" s="29">
        <v>241</v>
      </c>
      <c r="KF308" s="19"/>
      <c r="KG308" s="93">
        <v>42.227272727272727</v>
      </c>
      <c r="KH308" s="93"/>
      <c r="KI308" s="93">
        <v>39.725000000000001</v>
      </c>
      <c r="KJ308" s="93">
        <v>64.375</v>
      </c>
      <c r="KK308" s="20">
        <v>89.681818181818173</v>
      </c>
      <c r="KL308" s="29">
        <v>241</v>
      </c>
      <c r="KM308" s="19"/>
      <c r="KN308" s="93">
        <v>14.708333333333334</v>
      </c>
      <c r="KO308" s="93"/>
      <c r="KP308" s="93">
        <v>36.016666666666666</v>
      </c>
      <c r="KQ308" s="93">
        <v>35.479166666666664</v>
      </c>
      <c r="KR308" s="20">
        <v>40.36</v>
      </c>
      <c r="KS308" s="29">
        <v>241</v>
      </c>
      <c r="KT308" s="19">
        <v>25.416666666666668</v>
      </c>
      <c r="KU308" s="93">
        <v>23.25</v>
      </c>
      <c r="KV308" s="93">
        <v>31.8125</v>
      </c>
      <c r="KW308" s="93">
        <v>21.395833333333332</v>
      </c>
      <c r="KX308" s="93">
        <v>23.416666666666668</v>
      </c>
      <c r="KY308" s="20">
        <v>35.545454545454547</v>
      </c>
      <c r="KZ308" s="29">
        <v>241</v>
      </c>
      <c r="LA308" s="1504">
        <v>43831</v>
      </c>
      <c r="LB308" s="19"/>
      <c r="LC308" s="93"/>
      <c r="LD308" s="93"/>
      <c r="LE308" s="93"/>
      <c r="LF308" s="93"/>
      <c r="LG308" s="93"/>
      <c r="LH308" s="20"/>
      <c r="LI308" s="29"/>
      <c r="LJ308" s="19"/>
      <c r="LK308" s="93"/>
      <c r="LL308" s="93"/>
      <c r="LM308" s="93"/>
      <c r="LN308" s="93"/>
      <c r="LO308" s="20"/>
      <c r="LP308" s="29"/>
      <c r="LQ308" s="19"/>
      <c r="LR308" s="93">
        <v>188</v>
      </c>
      <c r="LS308" s="93">
        <v>463</v>
      </c>
      <c r="LT308" s="93">
        <v>663</v>
      </c>
      <c r="LU308" s="93">
        <v>1104</v>
      </c>
      <c r="LV308" s="93"/>
      <c r="LW308" s="93">
        <v>5</v>
      </c>
      <c r="LX308" s="93">
        <v>10</v>
      </c>
      <c r="LY308" s="93">
        <v>60</v>
      </c>
      <c r="LZ308" s="93"/>
      <c r="MA308" s="20"/>
      <c r="MB308" s="29">
        <v>241</v>
      </c>
      <c r="MC308" s="1504">
        <v>43831</v>
      </c>
      <c r="MD308" s="19">
        <v>167.41984355039838</v>
      </c>
      <c r="ME308" s="93">
        <v>165.28921241075381</v>
      </c>
      <c r="MF308" s="93">
        <v>165.28230857775381</v>
      </c>
      <c r="MG308" s="93">
        <v>130.42454452175383</v>
      </c>
      <c r="MH308" s="93">
        <v>57.527840105999999</v>
      </c>
      <c r="MI308" s="93">
        <v>1.4821570390000001</v>
      </c>
      <c r="MJ308" s="93">
        <v>0.93280071399999998</v>
      </c>
      <c r="MK308" s="93">
        <v>55.340376629753813</v>
      </c>
      <c r="ML308" s="93">
        <v>14.688197935999998</v>
      </c>
      <c r="MM308" s="93">
        <v>0.453172097</v>
      </c>
      <c r="MN308" s="93">
        <v>34.857764056000001</v>
      </c>
      <c r="MO308" s="93">
        <v>0.43934929900000008</v>
      </c>
      <c r="MP308" s="93">
        <v>26.265057006999999</v>
      </c>
      <c r="MQ308" s="93">
        <v>0.36743010500000001</v>
      </c>
      <c r="MR308" s="93">
        <v>3.5606471000000001E-2</v>
      </c>
      <c r="MS308" s="93">
        <v>7.7503211740000006</v>
      </c>
      <c r="MT308" s="93">
        <v>6.9038329999999998E-3</v>
      </c>
      <c r="MU308" s="93">
        <v>2.1306311396445503</v>
      </c>
      <c r="MV308" s="93">
        <v>2.1306311396445503</v>
      </c>
      <c r="MW308" s="93">
        <v>0</v>
      </c>
      <c r="MX308" s="93">
        <v>84.156014763892287</v>
      </c>
      <c r="MY308" s="93">
        <v>83.956215486892305</v>
      </c>
      <c r="MZ308" s="93">
        <v>74.570923121684132</v>
      </c>
      <c r="NA308" s="93">
        <v>65.930801895000002</v>
      </c>
      <c r="NB308" s="93">
        <v>5.2447199999999999E-2</v>
      </c>
      <c r="NC308" s="93">
        <v>6.9155933646841197</v>
      </c>
      <c r="ND308" s="93">
        <v>6.0016507489999995</v>
      </c>
      <c r="NE308" s="93">
        <v>0.91394261568411994</v>
      </c>
      <c r="NF308" s="93">
        <v>1.6720806619999999</v>
      </c>
      <c r="NG308" s="93">
        <v>0</v>
      </c>
      <c r="NH308" s="93">
        <v>0</v>
      </c>
      <c r="NI308" s="1805">
        <v>0</v>
      </c>
      <c r="NJ308" s="1805">
        <v>0</v>
      </c>
      <c r="NK308" s="93">
        <v>9.3852923652081603</v>
      </c>
      <c r="NL308" s="93">
        <v>0</v>
      </c>
      <c r="NM308" s="93">
        <v>0</v>
      </c>
      <c r="NN308" s="93">
        <v>9.3852923652081603</v>
      </c>
      <c r="NO308" s="93">
        <v>0.19979927699999511</v>
      </c>
      <c r="NP308" s="93">
        <v>83.263828786506082</v>
      </c>
      <c r="NQ308" s="93">
        <v>81.133197646861518</v>
      </c>
      <c r="NR308" s="93">
        <v>97.434083376753804</v>
      </c>
      <c r="NS308" s="93">
        <v>90.518490012069691</v>
      </c>
      <c r="NT308" s="93">
        <v>-5.9054063724939825</v>
      </c>
      <c r="NU308" s="93">
        <v>-8.0360375121385452</v>
      </c>
      <c r="NV308" s="93">
        <v>5.7112524377325382</v>
      </c>
      <c r="NW308" s="93">
        <v>4.6436161197325383</v>
      </c>
      <c r="NX308" s="93">
        <v>7.2546612255636092</v>
      </c>
      <c r="NY308" s="93">
        <v>-2.6110451058310704</v>
      </c>
      <c r="NZ308" s="93">
        <v>0</v>
      </c>
      <c r="OA308" s="93">
        <v>1.0676363179999999</v>
      </c>
      <c r="OB308" s="93">
        <v>-32.611461206000001</v>
      </c>
      <c r="OC308" s="93">
        <v>33.679097524000007</v>
      </c>
      <c r="OD308" s="20">
        <v>0.1941539347614441</v>
      </c>
      <c r="OE308" s="29">
        <v>241</v>
      </c>
      <c r="OF308" s="1504">
        <v>43831</v>
      </c>
      <c r="OG308" s="19"/>
      <c r="OH308" s="93">
        <v>641.43941933963845</v>
      </c>
      <c r="OI308" s="93">
        <v>1829.676250518</v>
      </c>
      <c r="OJ308" s="93">
        <v>0.89070973099999995</v>
      </c>
      <c r="OK308" s="93">
        <v>1578.568</v>
      </c>
      <c r="OL308" s="93">
        <v>250.21754078700002</v>
      </c>
      <c r="OM308" s="93">
        <v>2471.1156698576383</v>
      </c>
      <c r="ON308" s="93">
        <v>1663.0771083190002</v>
      </c>
      <c r="OO308" s="93">
        <v>4134.192778176639</v>
      </c>
      <c r="OP308" s="93"/>
      <c r="OQ308" s="93">
        <v>1444.5897033276383</v>
      </c>
      <c r="OR308" s="93">
        <v>216.68270332763814</v>
      </c>
      <c r="OS308" s="93">
        <v>1227.9070000000002</v>
      </c>
      <c r="OT308" s="93">
        <v>3226.1496238720001</v>
      </c>
      <c r="OU308" s="93">
        <v>332.32602114200006</v>
      </c>
      <c r="OV308" s="93">
        <v>-57.67097885799997</v>
      </c>
      <c r="OW308" s="93">
        <v>389.99700000000001</v>
      </c>
      <c r="OX308" s="93">
        <v>2893.8236027299999</v>
      </c>
      <c r="OY308" s="93">
        <v>6.3476027299999993</v>
      </c>
      <c r="OZ308" s="93">
        <v>2887.4759999999997</v>
      </c>
      <c r="PA308" s="93">
        <v>704.0784050819999</v>
      </c>
      <c r="PB308" s="93">
        <v>-167.53185605900003</v>
      </c>
      <c r="PC308" s="20">
        <v>4134.192778176639</v>
      </c>
      <c r="PD308" s="29">
        <v>241</v>
      </c>
      <c r="PE308" s="19"/>
      <c r="PF308" s="93">
        <v>216.68270332763814</v>
      </c>
      <c r="PG308" s="93">
        <v>1103.5107537136382</v>
      </c>
      <c r="PH308" s="93">
        <v>886.82805038600009</v>
      </c>
      <c r="PI308" s="93">
        <v>775.96799999999996</v>
      </c>
      <c r="PJ308" s="93">
        <v>-47.692563258999968</v>
      </c>
      <c r="PK308" s="93">
        <v>132.15428377700002</v>
      </c>
      <c r="PL308" s="93">
        <v>179.84684703599999</v>
      </c>
      <c r="PM308" s="93">
        <v>6.3476027299999993</v>
      </c>
      <c r="PN308" s="93">
        <v>1.9650000000000001</v>
      </c>
      <c r="PO308" s="93">
        <v>0</v>
      </c>
      <c r="PP308" s="93">
        <v>0</v>
      </c>
      <c r="PQ308" s="93">
        <v>4.3826027299999994</v>
      </c>
      <c r="PR308" s="93">
        <v>935.6470976006384</v>
      </c>
      <c r="PS308" s="93">
        <v>727.3508349386384</v>
      </c>
      <c r="PT308" s="93">
        <v>207.072444612</v>
      </c>
      <c r="PU308" s="93">
        <v>1.22381805</v>
      </c>
      <c r="PV308" s="93">
        <v>0</v>
      </c>
      <c r="PW308" s="93">
        <v>1.551085316</v>
      </c>
      <c r="PX308" s="93">
        <v>0</v>
      </c>
      <c r="PY308" s="93">
        <v>0</v>
      </c>
      <c r="PZ308" s="93">
        <v>1.551085316</v>
      </c>
      <c r="QA308" s="93">
        <v>0</v>
      </c>
      <c r="QB308" s="93"/>
      <c r="QC308" s="93"/>
      <c r="QD308" s="93">
        <v>3.9113197660000001</v>
      </c>
      <c r="QE308" s="20">
        <v>10.196240115999984</v>
      </c>
      <c r="QF308" s="1739">
        <v>241</v>
      </c>
      <c r="QG308" s="19"/>
      <c r="QH308" s="93">
        <v>1227.9070000000002</v>
      </c>
      <c r="QI308" s="93">
        <v>1549.1860000000001</v>
      </c>
      <c r="QJ308" s="93">
        <v>-321.27900000000005</v>
      </c>
      <c r="QK308" s="93">
        <v>276.04899999999998</v>
      </c>
      <c r="QL308" s="93">
        <v>75.933000000000007</v>
      </c>
      <c r="QM308" s="93">
        <v>200.11599999999999</v>
      </c>
      <c r="QN308" s="93">
        <v>0</v>
      </c>
      <c r="QO308" s="93">
        <v>389.99700000000001</v>
      </c>
      <c r="QP308" s="93">
        <v>688.60599999999999</v>
      </c>
      <c r="QQ308" s="93">
        <v>-298.60899999999998</v>
      </c>
      <c r="QR308" s="93">
        <v>2887.4759999999997</v>
      </c>
      <c r="QS308" s="93">
        <v>19.451999999999998</v>
      </c>
      <c r="QT308" s="93">
        <v>0.93900000000000006</v>
      </c>
      <c r="QU308" s="93">
        <v>251.684</v>
      </c>
      <c r="QV308" s="93">
        <v>2615.4009999999998</v>
      </c>
      <c r="QW308" s="93"/>
      <c r="QX308" s="93">
        <v>744.23299999999995</v>
      </c>
      <c r="QY308" s="93">
        <v>1578.568</v>
      </c>
      <c r="QZ308" s="93">
        <v>1662.7440000000001</v>
      </c>
      <c r="RA308" s="93">
        <v>0</v>
      </c>
      <c r="RB308" s="93">
        <v>131.637</v>
      </c>
      <c r="RC308" s="93">
        <v>0</v>
      </c>
      <c r="RD308" s="93">
        <v>24.560999999999996</v>
      </c>
      <c r="RE308" s="93">
        <v>0</v>
      </c>
      <c r="RF308" s="93">
        <v>0</v>
      </c>
      <c r="RG308" s="93">
        <v>542.41799999999989</v>
      </c>
      <c r="RH308" s="93">
        <v>97.267999999999972</v>
      </c>
      <c r="RI308" s="93"/>
      <c r="RJ308" s="93"/>
      <c r="RK308" s="93"/>
      <c r="RL308" s="93"/>
      <c r="RM308" s="20"/>
      <c r="RN308" s="29">
        <v>241</v>
      </c>
      <c r="RO308" s="19">
        <v>785</v>
      </c>
      <c r="RP308" s="20">
        <v>80</v>
      </c>
      <c r="RQ308" s="29">
        <v>241</v>
      </c>
      <c r="RR308" s="734">
        <v>4.4317695400000003</v>
      </c>
      <c r="RS308" s="29">
        <v>241</v>
      </c>
      <c r="RT308" s="1504">
        <v>43831</v>
      </c>
      <c r="RU308" s="19">
        <v>1452</v>
      </c>
      <c r="RV308" s="20">
        <v>33</v>
      </c>
      <c r="RW308" s="29">
        <v>241</v>
      </c>
      <c r="RX308" s="1504">
        <v>43831</v>
      </c>
      <c r="RY308" s="29">
        <v>13755.7</v>
      </c>
      <c r="RZ308" s="734">
        <v>12587.37</v>
      </c>
      <c r="SA308" s="29">
        <v>371276.90971742623</v>
      </c>
      <c r="SB308" s="29">
        <v>241</v>
      </c>
    </row>
    <row r="309" spans="1:496">
      <c r="A309" s="41">
        <f t="shared" si="238"/>
        <v>2020</v>
      </c>
      <c r="B309" s="1504">
        <v>43862</v>
      </c>
      <c r="C309" s="1813">
        <v>2024</v>
      </c>
      <c r="D309" s="1814">
        <v>25155</v>
      </c>
      <c r="E309" s="1814">
        <v>72</v>
      </c>
      <c r="F309" s="1815"/>
      <c r="G309" s="1814">
        <v>85052</v>
      </c>
      <c r="H309" s="1814">
        <v>166</v>
      </c>
      <c r="I309" s="1814">
        <v>28542</v>
      </c>
      <c r="J309" s="1816">
        <v>20823</v>
      </c>
      <c r="K309" s="1807">
        <v>134304</v>
      </c>
      <c r="L309" s="25">
        <v>242</v>
      </c>
      <c r="M309" s="97"/>
      <c r="N309" s="1504">
        <v>43862</v>
      </c>
      <c r="O309" s="19">
        <v>1165</v>
      </c>
      <c r="P309" s="93">
        <v>860</v>
      </c>
      <c r="Q309" s="93">
        <v>10081</v>
      </c>
      <c r="R309" s="93">
        <v>1100</v>
      </c>
      <c r="S309" s="93">
        <v>1926</v>
      </c>
      <c r="T309" s="93">
        <v>481</v>
      </c>
      <c r="U309" s="93">
        <v>227</v>
      </c>
      <c r="V309" s="93">
        <v>1746</v>
      </c>
      <c r="W309" s="93">
        <v>5137</v>
      </c>
      <c r="X309" s="93">
        <v>601</v>
      </c>
      <c r="Y309" s="93">
        <v>333</v>
      </c>
      <c r="Z309" s="93">
        <v>968</v>
      </c>
      <c r="AA309" s="93">
        <v>530</v>
      </c>
      <c r="AB309" s="20">
        <v>25155</v>
      </c>
      <c r="AC309" s="25">
        <v>242</v>
      </c>
      <c r="AD309" s="97"/>
      <c r="AE309" s="1504">
        <v>43862</v>
      </c>
      <c r="AF309" s="19">
        <v>1853</v>
      </c>
      <c r="AG309" s="93">
        <v>537</v>
      </c>
      <c r="AH309" s="93">
        <v>5612</v>
      </c>
      <c r="AI309" s="93">
        <v>1272</v>
      </c>
      <c r="AJ309" s="93">
        <v>1957</v>
      </c>
      <c r="AK309" s="93">
        <v>1593</v>
      </c>
      <c r="AL309" s="93">
        <v>526</v>
      </c>
      <c r="AM309" s="93">
        <v>2606</v>
      </c>
      <c r="AN309" s="93">
        <v>7834</v>
      </c>
      <c r="AO309" s="93">
        <v>1879</v>
      </c>
      <c r="AP309" s="93">
        <v>804</v>
      </c>
      <c r="AQ309" s="93">
        <v>1090</v>
      </c>
      <c r="AR309" s="93">
        <v>979</v>
      </c>
      <c r="AS309" s="20">
        <v>28542</v>
      </c>
      <c r="AT309" s="25">
        <v>242</v>
      </c>
      <c r="AU309" s="97"/>
      <c r="AV309" s="1504">
        <v>43862</v>
      </c>
      <c r="AW309" s="19">
        <v>9310</v>
      </c>
      <c r="AX309" s="93">
        <v>3229</v>
      </c>
      <c r="AY309" s="93">
        <v>4720</v>
      </c>
      <c r="AZ309" s="93">
        <v>3791</v>
      </c>
      <c r="BA309" s="93">
        <v>8920</v>
      </c>
      <c r="BB309" s="93">
        <v>5453</v>
      </c>
      <c r="BC309" s="93">
        <v>2696</v>
      </c>
      <c r="BD309" s="93">
        <v>12712</v>
      </c>
      <c r="BE309" s="93">
        <v>13473</v>
      </c>
      <c r="BF309" s="93">
        <v>5225</v>
      </c>
      <c r="BG309" s="93">
        <v>3153</v>
      </c>
      <c r="BH309" s="93">
        <v>8846</v>
      </c>
      <c r="BI309" s="93">
        <v>3524</v>
      </c>
      <c r="BJ309" s="20">
        <v>85052</v>
      </c>
      <c r="BK309" s="25">
        <v>242</v>
      </c>
      <c r="BL309" s="97"/>
      <c r="BM309" s="1504">
        <v>43862</v>
      </c>
      <c r="BN309" s="19">
        <v>103.224</v>
      </c>
      <c r="BO309" s="93">
        <v>2842.5149999999999</v>
      </c>
      <c r="BP309" s="93">
        <v>13.824</v>
      </c>
      <c r="BQ309" s="93">
        <v>680.41600000000005</v>
      </c>
      <c r="BR309" s="93">
        <v>25.398</v>
      </c>
      <c r="BS309" s="93">
        <v>256.87799999999999</v>
      </c>
      <c r="BT309" s="93">
        <v>499.75200000000001</v>
      </c>
      <c r="BU309" s="20">
        <v>4422.0069999999996</v>
      </c>
      <c r="BV309" s="25">
        <v>242</v>
      </c>
      <c r="BW309" s="97"/>
      <c r="BX309" s="1504">
        <v>43862</v>
      </c>
      <c r="BY309" s="179">
        <v>601.55754203225399</v>
      </c>
      <c r="BZ309" s="99">
        <v>655.95699999999999</v>
      </c>
      <c r="CA309" s="99">
        <v>618.01111739212365</v>
      </c>
      <c r="CB309" s="99">
        <v>38.368809260591597</v>
      </c>
      <c r="CC309" s="99">
        <v>112.07859999999999</v>
      </c>
      <c r="CD309" s="25">
        <v>242</v>
      </c>
      <c r="CE309" s="97"/>
      <c r="CF309" s="1504">
        <v>43862</v>
      </c>
      <c r="CG309" s="1508">
        <v>1.688077534</v>
      </c>
      <c r="CH309" s="568">
        <v>1597.1</v>
      </c>
      <c r="CI309" s="1708">
        <v>53.3466666666667</v>
      </c>
      <c r="CJ309" s="1509">
        <v>55</v>
      </c>
      <c r="CK309" s="1508">
        <v>426.45</v>
      </c>
      <c r="CL309" s="568">
        <v>168.71156400000001</v>
      </c>
      <c r="CM309" s="568">
        <v>0.32584283600000002</v>
      </c>
      <c r="CN309" s="568">
        <v>0.35624430400000001</v>
      </c>
      <c r="CO309" s="568">
        <v>215.31790620000001</v>
      </c>
      <c r="CP309" s="1509">
        <v>4.7173356450000004</v>
      </c>
      <c r="CQ309" s="1708">
        <v>1393.46</v>
      </c>
      <c r="CR309" s="568">
        <v>2.1274999999999999</v>
      </c>
      <c r="CS309" s="568">
        <v>1.6126</v>
      </c>
      <c r="CT309" s="568">
        <v>72.5</v>
      </c>
      <c r="CU309" s="568">
        <v>87.68</v>
      </c>
      <c r="CV309" s="1709">
        <v>2113.2399999999998</v>
      </c>
      <c r="CW309" s="29">
        <v>242</v>
      </c>
      <c r="CX309" s="41">
        <f t="shared" si="239"/>
        <v>2020</v>
      </c>
      <c r="CY309" s="1504">
        <v>43862</v>
      </c>
      <c r="CZ309" s="733">
        <v>133.78312000000003</v>
      </c>
      <c r="DA309" s="570">
        <v>64.248056000000005</v>
      </c>
      <c r="DB309" s="570">
        <v>53.419569000000003</v>
      </c>
      <c r="DC309" s="93"/>
      <c r="DD309" s="93"/>
      <c r="DE309" s="20"/>
      <c r="DF309" s="29">
        <v>242</v>
      </c>
      <c r="DG309" s="1504">
        <v>43862</v>
      </c>
      <c r="DH309" s="19">
        <v>429554</v>
      </c>
      <c r="DI309" s="93">
        <v>4681464</v>
      </c>
      <c r="DJ309" s="93">
        <v>324984</v>
      </c>
      <c r="DK309" s="93">
        <v>19933</v>
      </c>
      <c r="DL309" s="93">
        <v>505799</v>
      </c>
      <c r="DM309" s="93">
        <v>9322</v>
      </c>
      <c r="DN309" s="20">
        <v>1849400</v>
      </c>
      <c r="DO309" s="295">
        <f t="shared" si="282"/>
        <v>7390902</v>
      </c>
      <c r="DP309" s="29">
        <v>242</v>
      </c>
      <c r="DQ309" s="1504">
        <v>43862</v>
      </c>
      <c r="DR309" s="19">
        <v>50529.411</v>
      </c>
      <c r="DS309" s="93">
        <v>844.5</v>
      </c>
      <c r="DT309" s="93">
        <v>59088.800000000003</v>
      </c>
      <c r="DU309" s="93">
        <v>2212.8530000000001</v>
      </c>
      <c r="DV309" s="93">
        <v>16123.91</v>
      </c>
      <c r="DW309" s="93">
        <v>2859.5</v>
      </c>
      <c r="DX309" s="20">
        <v>18568.325000000001</v>
      </c>
      <c r="DY309" s="29">
        <v>242</v>
      </c>
      <c r="DZ309" s="1504">
        <v>43862</v>
      </c>
      <c r="EA309" s="19"/>
      <c r="EB309" s="93"/>
      <c r="EC309" s="20"/>
      <c r="ED309" s="29"/>
      <c r="EE309" s="1504">
        <v>43862</v>
      </c>
      <c r="EF309" s="19">
        <v>19501</v>
      </c>
      <c r="EG309" s="93">
        <v>21923</v>
      </c>
      <c r="EH309" s="93">
        <v>41424</v>
      </c>
      <c r="EI309" s="214">
        <v>6177</v>
      </c>
      <c r="EJ309" s="93">
        <v>710</v>
      </c>
      <c r="EK309" s="93">
        <v>237.05699999999999</v>
      </c>
      <c r="EL309" s="93">
        <v>5.9409999999999998</v>
      </c>
      <c r="EM309" s="93">
        <v>7.0030000000000001</v>
      </c>
      <c r="EN309" s="20">
        <v>960.00100000000009</v>
      </c>
      <c r="EO309" s="29">
        <v>242</v>
      </c>
      <c r="EP309" s="1504">
        <v>43862</v>
      </c>
      <c r="EQ309" s="19">
        <v>17734</v>
      </c>
      <c r="ER309" s="93">
        <v>20221</v>
      </c>
      <c r="ES309" s="93">
        <v>37955</v>
      </c>
      <c r="ET309" s="214">
        <v>5828</v>
      </c>
      <c r="EU309" s="93">
        <v>710</v>
      </c>
      <c r="EV309" s="93">
        <v>237.05699999999999</v>
      </c>
      <c r="EW309" s="93">
        <v>5.9409999999999998</v>
      </c>
      <c r="EX309" s="93">
        <v>7.0030000000000001</v>
      </c>
      <c r="EY309" s="20">
        <v>960.00100000000009</v>
      </c>
      <c r="EZ309" s="29">
        <v>242</v>
      </c>
      <c r="FA309" s="1504">
        <v>43862</v>
      </c>
      <c r="FB309" s="29">
        <v>1767</v>
      </c>
      <c r="FC309" s="29">
        <v>1702</v>
      </c>
      <c r="FD309" s="29">
        <v>3469</v>
      </c>
      <c r="FE309" s="29">
        <v>349</v>
      </c>
      <c r="FF309" s="29">
        <v>0</v>
      </c>
      <c r="FG309" s="29">
        <v>0</v>
      </c>
      <c r="FH309" s="29">
        <v>0</v>
      </c>
      <c r="FI309" s="29">
        <v>0</v>
      </c>
      <c r="FJ309" s="29">
        <v>0</v>
      </c>
      <c r="FK309" s="29">
        <v>242</v>
      </c>
      <c r="FL309" s="1504">
        <v>43862</v>
      </c>
      <c r="FM309" s="19">
        <v>102.23</v>
      </c>
      <c r="FN309" s="93">
        <v>100.92</v>
      </c>
      <c r="FO309" s="93">
        <v>126.34</v>
      </c>
      <c r="FP309" s="93">
        <v>101.3</v>
      </c>
      <c r="FQ309" s="93">
        <v>105.77</v>
      </c>
      <c r="FR309" s="93">
        <v>101.28</v>
      </c>
      <c r="FS309" s="93">
        <v>100.41</v>
      </c>
      <c r="FT309" s="93">
        <v>100.07</v>
      </c>
      <c r="FU309" s="93">
        <v>98.78</v>
      </c>
      <c r="FV309" s="93">
        <v>101.12</v>
      </c>
      <c r="FW309" s="93">
        <v>107.43</v>
      </c>
      <c r="FX309" s="93">
        <v>105.53</v>
      </c>
      <c r="FY309" s="93">
        <v>100.75</v>
      </c>
      <c r="FZ309" s="29">
        <v>242</v>
      </c>
      <c r="GA309" s="1504">
        <v>43862</v>
      </c>
      <c r="GB309" s="19">
        <v>102.23</v>
      </c>
      <c r="GC309" s="93">
        <v>102.16</v>
      </c>
      <c r="GD309" s="93">
        <v>102.68</v>
      </c>
      <c r="GE309" s="93">
        <v>104.87</v>
      </c>
      <c r="GF309" s="93">
        <v>100.27</v>
      </c>
      <c r="GG309" s="99">
        <v>103.4</v>
      </c>
      <c r="GH309" s="93">
        <v>102.69</v>
      </c>
      <c r="GI309" s="93">
        <v>102.57</v>
      </c>
      <c r="GJ309" s="93">
        <v>102.99</v>
      </c>
      <c r="GK309" s="93">
        <v>100.29</v>
      </c>
      <c r="GL309" s="93">
        <v>102.84</v>
      </c>
      <c r="GM309" s="93">
        <v>101.24</v>
      </c>
      <c r="GN309" s="20">
        <v>102.98</v>
      </c>
      <c r="GO309" s="29">
        <v>242</v>
      </c>
      <c r="GP309" s="1504">
        <v>43862</v>
      </c>
      <c r="GQ309" s="19">
        <v>239</v>
      </c>
      <c r="GR309" s="93">
        <v>206</v>
      </c>
      <c r="GS309" s="93">
        <v>214</v>
      </c>
      <c r="GT309" s="93">
        <v>184</v>
      </c>
      <c r="GU309" s="93">
        <v>377</v>
      </c>
      <c r="GV309" s="20">
        <v>1007</v>
      </c>
      <c r="GW309" s="19">
        <v>354</v>
      </c>
      <c r="GX309" s="93">
        <v>443</v>
      </c>
      <c r="GY309" s="93">
        <v>421</v>
      </c>
      <c r="GZ309" s="93">
        <v>304</v>
      </c>
      <c r="HA309" s="93">
        <v>169</v>
      </c>
      <c r="HB309" s="20">
        <v>989</v>
      </c>
      <c r="HC309" s="19">
        <v>2088</v>
      </c>
      <c r="HD309" s="93">
        <v>2452</v>
      </c>
      <c r="HE309" s="93">
        <v>2791</v>
      </c>
      <c r="HF309" s="93">
        <v>3150</v>
      </c>
      <c r="HG309" s="93">
        <v>2717</v>
      </c>
      <c r="HH309" s="20">
        <v>2799</v>
      </c>
      <c r="HI309" s="19"/>
      <c r="HJ309" s="93">
        <v>825</v>
      </c>
      <c r="HK309" s="93">
        <v>1815</v>
      </c>
      <c r="HL309" s="93">
        <v>840</v>
      </c>
      <c r="HM309" s="93">
        <v>894</v>
      </c>
      <c r="HN309" s="20">
        <v>2541</v>
      </c>
      <c r="HO309" s="219">
        <v>142</v>
      </c>
      <c r="HP309" s="20">
        <v>98</v>
      </c>
      <c r="HQ309" s="25">
        <v>166</v>
      </c>
      <c r="HR309" s="29">
        <v>242</v>
      </c>
      <c r="HS309" s="1504">
        <v>43862</v>
      </c>
      <c r="HT309" s="179">
        <v>197.16975402832031</v>
      </c>
      <c r="HU309" s="99">
        <v>236.11111450195313</v>
      </c>
      <c r="HV309" s="99">
        <v>159.74440002441406</v>
      </c>
      <c r="HW309" s="99">
        <v>148.80951944986978</v>
      </c>
      <c r="HX309" s="99">
        <v>166.66667175292969</v>
      </c>
      <c r="HY309" s="99">
        <v>195.85118103027344</v>
      </c>
      <c r="HZ309" s="99">
        <v>213.64420700073242</v>
      </c>
      <c r="IA309" s="132">
        <v>153.59477233886719</v>
      </c>
      <c r="IB309" s="179">
        <v>141.34275817871094</v>
      </c>
      <c r="IC309" s="99">
        <v>83.333335876464844</v>
      </c>
      <c r="ID309" s="99">
        <v>100</v>
      </c>
      <c r="IE309" s="99">
        <v>95.659168243408203</v>
      </c>
      <c r="IF309" s="99">
        <v>128.56012344360352</v>
      </c>
      <c r="IG309" s="132">
        <v>89.428573608398438</v>
      </c>
      <c r="IH309" s="179">
        <v>104.76084995269775</v>
      </c>
      <c r="II309" s="99">
        <v>215.05375671386719</v>
      </c>
      <c r="IJ309" s="99">
        <v>153.06121826171875</v>
      </c>
      <c r="IK309" s="99">
        <v>133.92857360839844</v>
      </c>
      <c r="IL309" s="99">
        <v>125.09691772460937</v>
      </c>
      <c r="IM309" s="99">
        <v>109.67742156982422</v>
      </c>
      <c r="IN309" s="93">
        <v>159.01060485839844</v>
      </c>
      <c r="IO309" s="132">
        <v>146.41865158081055</v>
      </c>
      <c r="IP309" s="29">
        <v>242</v>
      </c>
      <c r="IQ309" s="19">
        <v>141.34275817871094</v>
      </c>
      <c r="IR309" s="93">
        <v>83.333335876464844</v>
      </c>
      <c r="IS309" s="93">
        <v>100</v>
      </c>
      <c r="IT309" s="93">
        <v>95.659168243408203</v>
      </c>
      <c r="IU309" s="93">
        <v>128.56012344360352</v>
      </c>
      <c r="IV309" s="20">
        <v>89.428573608398438</v>
      </c>
      <c r="IW309" s="29">
        <v>242</v>
      </c>
      <c r="IX309" s="19"/>
      <c r="IY309" s="93">
        <v>395.83334350585938</v>
      </c>
      <c r="IZ309" s="93"/>
      <c r="JA309" s="93">
        <v>375</v>
      </c>
      <c r="JB309" s="93">
        <v>390</v>
      </c>
      <c r="JC309" s="93"/>
      <c r="JD309" s="93">
        <v>370</v>
      </c>
      <c r="JE309" s="20">
        <v>400</v>
      </c>
      <c r="JF309" s="29">
        <v>242</v>
      </c>
      <c r="JG309" s="19"/>
      <c r="JH309" s="93"/>
      <c r="JI309" s="93"/>
      <c r="JJ309" s="93"/>
      <c r="JK309" s="93"/>
      <c r="JL309" s="93"/>
      <c r="JM309" s="93"/>
      <c r="JN309" s="20"/>
      <c r="JO309" s="29">
        <v>242</v>
      </c>
      <c r="JP309" s="19"/>
      <c r="JQ309" s="93"/>
      <c r="JR309" s="93"/>
      <c r="JS309" s="93"/>
      <c r="JT309" s="93"/>
      <c r="JU309" s="20"/>
      <c r="JV309" s="29">
        <v>242</v>
      </c>
      <c r="JW309" s="1504">
        <v>43862</v>
      </c>
      <c r="JX309" s="19"/>
      <c r="JY309" s="93">
        <v>302.5</v>
      </c>
      <c r="JZ309" s="93">
        <v>244.41176470588235</v>
      </c>
      <c r="KA309" s="93"/>
      <c r="KB309" s="93">
        <v>183.19387755102042</v>
      </c>
      <c r="KC309" s="93">
        <v>331.15384615384613</v>
      </c>
      <c r="KD309" s="20">
        <v>281.14848484848488</v>
      </c>
      <c r="KE309" s="29">
        <v>242</v>
      </c>
      <c r="KF309" s="19"/>
      <c r="KG309" s="93">
        <v>43.45</v>
      </c>
      <c r="KH309" s="93"/>
      <c r="KI309" s="93">
        <v>46.020833333333336</v>
      </c>
      <c r="KJ309" s="93">
        <v>83.466666666666669</v>
      </c>
      <c r="KK309" s="20">
        <v>90.561403508771917</v>
      </c>
      <c r="KL309" s="29">
        <v>242</v>
      </c>
      <c r="KM309" s="19"/>
      <c r="KN309" s="93">
        <v>15.75</v>
      </c>
      <c r="KO309" s="93"/>
      <c r="KP309" s="93">
        <v>32.65625</v>
      </c>
      <c r="KQ309" s="93">
        <v>38.6875</v>
      </c>
      <c r="KR309" s="20">
        <v>38.698717948717949</v>
      </c>
      <c r="KS309" s="29">
        <v>242</v>
      </c>
      <c r="KT309" s="19">
        <v>25.416666666666668</v>
      </c>
      <c r="KU309" s="93">
        <v>23.166666666666668</v>
      </c>
      <c r="KV309" s="93">
        <v>31.8125</v>
      </c>
      <c r="KW309" s="93">
        <v>23.308333333333334</v>
      </c>
      <c r="KX309" s="93">
        <v>24.5</v>
      </c>
      <c r="KY309" s="20">
        <v>34.425925925925924</v>
      </c>
      <c r="KZ309" s="29">
        <v>242</v>
      </c>
      <c r="LA309" s="1504">
        <v>43862</v>
      </c>
      <c r="LB309" s="19"/>
      <c r="LC309" s="93"/>
      <c r="LD309" s="93"/>
      <c r="LE309" s="93"/>
      <c r="LF309" s="93"/>
      <c r="LG309" s="93"/>
      <c r="LH309" s="20"/>
      <c r="LI309" s="29"/>
      <c r="LJ309" s="19"/>
      <c r="LK309" s="93"/>
      <c r="LL309" s="93"/>
      <c r="LM309" s="93"/>
      <c r="LN309" s="93"/>
      <c r="LO309" s="20"/>
      <c r="LP309" s="29"/>
      <c r="LQ309" s="19"/>
      <c r="LR309" s="93">
        <v>188</v>
      </c>
      <c r="LS309" s="93">
        <v>463</v>
      </c>
      <c r="LT309" s="93">
        <v>663</v>
      </c>
      <c r="LU309" s="93">
        <v>1104</v>
      </c>
      <c r="LV309" s="93"/>
      <c r="LW309" s="93">
        <v>5</v>
      </c>
      <c r="LX309" s="93">
        <v>10</v>
      </c>
      <c r="LY309" s="93">
        <v>60</v>
      </c>
      <c r="LZ309" s="93"/>
      <c r="MA309" s="20"/>
      <c r="MB309" s="29">
        <v>242</v>
      </c>
      <c r="MC309" s="1504">
        <v>43862</v>
      </c>
      <c r="MD309" s="19">
        <v>292.93422646299837</v>
      </c>
      <c r="ME309" s="93">
        <v>276.86149286875383</v>
      </c>
      <c r="MF309" s="93">
        <v>276.84326103575387</v>
      </c>
      <c r="MG309" s="93">
        <v>233.64983053575384</v>
      </c>
      <c r="MH309" s="93">
        <v>82.367339806682253</v>
      </c>
      <c r="MI309" s="93">
        <v>2.7705691842861606</v>
      </c>
      <c r="MJ309" s="93">
        <v>1.797647163486036</v>
      </c>
      <c r="MK309" s="93">
        <v>114.48158875270808</v>
      </c>
      <c r="ML309" s="93">
        <v>30.993229931000002</v>
      </c>
      <c r="MM309" s="93">
        <v>1.2394556975912876</v>
      </c>
      <c r="MN309" s="93">
        <v>43.193430499999998</v>
      </c>
      <c r="MO309" s="93">
        <v>0.92393681900000002</v>
      </c>
      <c r="MP309" s="93">
        <v>28.974906687000001</v>
      </c>
      <c r="MQ309" s="93">
        <v>0.55383264999999993</v>
      </c>
      <c r="MR309" s="93">
        <v>6.2135516000000002E-2</v>
      </c>
      <c r="MS309" s="93">
        <v>12.678618828000001</v>
      </c>
      <c r="MT309" s="93">
        <v>1.8231832999999999E-2</v>
      </c>
      <c r="MU309" s="93">
        <v>16.07273359424455</v>
      </c>
      <c r="MV309" s="93">
        <v>16.07273359424455</v>
      </c>
      <c r="MW309" s="93">
        <v>0</v>
      </c>
      <c r="MX309" s="93">
        <v>265.5599633429353</v>
      </c>
      <c r="MY309" s="93">
        <v>265.36036590693533</v>
      </c>
      <c r="MZ309" s="93">
        <v>210.62039554372143</v>
      </c>
      <c r="NA309" s="93">
        <v>139.09895747600001</v>
      </c>
      <c r="NB309" s="93">
        <v>11.001225742000001</v>
      </c>
      <c r="NC309" s="93">
        <v>13.229557217721428</v>
      </c>
      <c r="ND309" s="93">
        <v>11.534531624</v>
      </c>
      <c r="NE309" s="93">
        <v>1.6950255937214298</v>
      </c>
      <c r="NF309" s="93">
        <v>47.290655107999996</v>
      </c>
      <c r="NG309" s="93">
        <v>9.5000000000000001E-2</v>
      </c>
      <c r="NH309" s="93">
        <v>13.717250748</v>
      </c>
      <c r="NI309" s="1805">
        <v>0</v>
      </c>
      <c r="NJ309" s="1805">
        <v>0.45368598599999999</v>
      </c>
      <c r="NK309" s="93">
        <v>54.739970363213885</v>
      </c>
      <c r="NL309" s="93">
        <v>26.435100813000002</v>
      </c>
      <c r="NM309" s="93">
        <v>0</v>
      </c>
      <c r="NN309" s="93">
        <v>28.304869550213883</v>
      </c>
      <c r="NO309" s="93">
        <v>0.1995974360000044</v>
      </c>
      <c r="NP309" s="93">
        <v>27.374263120063066</v>
      </c>
      <c r="NQ309" s="93">
        <v>11.301529525818513</v>
      </c>
      <c r="NR309" s="93">
        <v>52.835956293753817</v>
      </c>
      <c r="NS309" s="93">
        <v>39.606399076032403</v>
      </c>
      <c r="NT309" s="93">
        <v>-21.759996141954101</v>
      </c>
      <c r="NU309" s="93">
        <v>-37.832729736198658</v>
      </c>
      <c r="NV309" s="93">
        <v>23.481501065827562</v>
      </c>
      <c r="NW309" s="93">
        <v>8.1247150708275413</v>
      </c>
      <c r="NX309" s="93">
        <v>12.232135955969333</v>
      </c>
      <c r="NY309" s="93">
        <v>-4.1074208851417895</v>
      </c>
      <c r="NZ309" s="93">
        <v>0</v>
      </c>
      <c r="OA309" s="93">
        <v>15.356785995000021</v>
      </c>
      <c r="OB309" s="93">
        <v>-52.316341277999982</v>
      </c>
      <c r="OC309" s="93">
        <v>67.673127273000006</v>
      </c>
      <c r="OD309" s="20">
        <v>-1.7215049238734599</v>
      </c>
      <c r="OE309" s="29">
        <v>242</v>
      </c>
      <c r="OF309" s="1504">
        <v>43862</v>
      </c>
      <c r="OG309" s="19"/>
      <c r="OH309" s="93">
        <v>646.06966932403009</v>
      </c>
      <c r="OI309" s="93">
        <v>1890.3448727710002</v>
      </c>
      <c r="OJ309" s="93">
        <v>0.35833198399999999</v>
      </c>
      <c r="OK309" s="93">
        <v>1639.7690000000002</v>
      </c>
      <c r="OL309" s="93">
        <v>250.21754078700002</v>
      </c>
      <c r="OM309" s="93">
        <v>2536.4145420950304</v>
      </c>
      <c r="ON309" s="93">
        <v>1713.6861083190001</v>
      </c>
      <c r="OO309" s="93">
        <v>4250.1006504140305</v>
      </c>
      <c r="OP309" s="93"/>
      <c r="OQ309" s="93">
        <v>1488.2895143010301</v>
      </c>
      <c r="OR309" s="93">
        <v>263.07151430103022</v>
      </c>
      <c r="OS309" s="93">
        <v>1225.2179999999998</v>
      </c>
      <c r="OT309" s="93">
        <v>3329.557328205</v>
      </c>
      <c r="OU309" s="93">
        <v>374.38322531500012</v>
      </c>
      <c r="OV309" s="93">
        <v>-11.373774684999985</v>
      </c>
      <c r="OW309" s="93">
        <v>385.75700000000012</v>
      </c>
      <c r="OX309" s="93">
        <v>2955.1741028900001</v>
      </c>
      <c r="OY309" s="93">
        <v>6.9731028899999998</v>
      </c>
      <c r="OZ309" s="93">
        <v>2948.201</v>
      </c>
      <c r="PA309" s="93">
        <v>703.30410308300065</v>
      </c>
      <c r="PB309" s="93">
        <v>-135.5579109910002</v>
      </c>
      <c r="PC309" s="20">
        <v>4250.1006504140296</v>
      </c>
      <c r="PD309" s="29">
        <v>242</v>
      </c>
      <c r="PE309" s="19"/>
      <c r="PF309" s="93">
        <v>263.07151430103022</v>
      </c>
      <c r="PG309" s="93">
        <v>1108.4981893220302</v>
      </c>
      <c r="PH309" s="93">
        <v>845.42667502099994</v>
      </c>
      <c r="PI309" s="93">
        <v>693.96699999999998</v>
      </c>
      <c r="PJ309" s="93">
        <v>-1.3953590859999849</v>
      </c>
      <c r="PK309" s="93">
        <v>132.168007754</v>
      </c>
      <c r="PL309" s="93">
        <v>133.56336683999999</v>
      </c>
      <c r="PM309" s="93">
        <v>6.9731028899999998</v>
      </c>
      <c r="PN309" s="93">
        <v>2.5510000000000002</v>
      </c>
      <c r="PO309" s="93">
        <v>0</v>
      </c>
      <c r="PP309" s="93">
        <v>0</v>
      </c>
      <c r="PQ309" s="93">
        <v>4.4221028899999997</v>
      </c>
      <c r="PR309" s="93">
        <v>946.11966046102998</v>
      </c>
      <c r="PS309" s="93">
        <v>733.32908492303</v>
      </c>
      <c r="PT309" s="93">
        <v>212.09913523500001</v>
      </c>
      <c r="PU309" s="93">
        <v>0.69144030300000003</v>
      </c>
      <c r="PV309" s="93">
        <v>0</v>
      </c>
      <c r="PW309" s="93">
        <v>2.6510847370000001</v>
      </c>
      <c r="PX309" s="93">
        <v>0</v>
      </c>
      <c r="PY309" s="93">
        <v>0</v>
      </c>
      <c r="PZ309" s="93">
        <v>2.6510847370000001</v>
      </c>
      <c r="QA309" s="93">
        <v>0</v>
      </c>
      <c r="QB309" s="93"/>
      <c r="QC309" s="93"/>
      <c r="QD309" s="93">
        <v>5.7150183459999999</v>
      </c>
      <c r="QE309" s="20">
        <v>8.1304945609999848</v>
      </c>
      <c r="QF309" s="1739">
        <v>242</v>
      </c>
      <c r="QG309" s="19"/>
      <c r="QH309" s="93">
        <v>1225.2179999999998</v>
      </c>
      <c r="QI309" s="93">
        <v>1552.329</v>
      </c>
      <c r="QJ309" s="93">
        <v>-327.11099999999999</v>
      </c>
      <c r="QK309" s="93">
        <v>275.84399999999999</v>
      </c>
      <c r="QL309" s="93">
        <v>77.281000000000006</v>
      </c>
      <c r="QM309" s="93">
        <v>198.56299999999999</v>
      </c>
      <c r="QN309" s="93">
        <v>0</v>
      </c>
      <c r="QO309" s="93">
        <v>385.75700000000012</v>
      </c>
      <c r="QP309" s="93">
        <v>695.73700000000008</v>
      </c>
      <c r="QQ309" s="93">
        <v>-309.97999999999996</v>
      </c>
      <c r="QR309" s="93">
        <v>2948.201</v>
      </c>
      <c r="QS309" s="93">
        <v>21.347000000000001</v>
      </c>
      <c r="QT309" s="93">
        <v>0.98899999999999999</v>
      </c>
      <c r="QU309" s="93">
        <v>246.31700000000001</v>
      </c>
      <c r="QV309" s="93">
        <v>2679.5479999999998</v>
      </c>
      <c r="QW309" s="93"/>
      <c r="QX309" s="93">
        <v>689.32999999999993</v>
      </c>
      <c r="QY309" s="93">
        <v>1639.769</v>
      </c>
      <c r="QZ309" s="93">
        <v>1713.3530000000001</v>
      </c>
      <c r="RA309" s="93">
        <v>0</v>
      </c>
      <c r="RB309" s="93">
        <v>122.97200000000001</v>
      </c>
      <c r="RC309" s="93">
        <v>0</v>
      </c>
      <c r="RD309" s="93">
        <v>22.991</v>
      </c>
      <c r="RE309" s="93">
        <v>0</v>
      </c>
      <c r="RF309" s="93">
        <v>0</v>
      </c>
      <c r="RG309" s="93">
        <v>548.9750000000007</v>
      </c>
      <c r="RH309" s="93">
        <v>97.629999999999939</v>
      </c>
      <c r="RI309" s="93"/>
      <c r="RJ309" s="93"/>
      <c r="RK309" s="93"/>
      <c r="RL309" s="93"/>
      <c r="RM309" s="20"/>
      <c r="RN309" s="29">
        <v>242</v>
      </c>
      <c r="RO309" s="19">
        <v>1839</v>
      </c>
      <c r="RP309" s="20">
        <v>169</v>
      </c>
      <c r="RQ309" s="29">
        <v>242</v>
      </c>
      <c r="RR309" s="734">
        <v>4.31190286</v>
      </c>
      <c r="RS309" s="29">
        <v>242</v>
      </c>
      <c r="RT309" s="1504">
        <v>43862</v>
      </c>
      <c r="RU309" s="19">
        <v>1678</v>
      </c>
      <c r="RV309" s="20">
        <v>22</v>
      </c>
      <c r="RW309" s="29">
        <v>242</v>
      </c>
      <c r="RX309" s="1504">
        <v>43862</v>
      </c>
      <c r="RY309" s="29">
        <v>14862.199999999999</v>
      </c>
      <c r="RZ309" s="734">
        <v>13604.869999999997</v>
      </c>
      <c r="SA309" s="29">
        <v>347792.25694782741</v>
      </c>
      <c r="SB309" s="29">
        <v>242</v>
      </c>
    </row>
    <row r="310" spans="1:496">
      <c r="A310" s="41">
        <f t="shared" si="238"/>
        <v>2020</v>
      </c>
      <c r="B310" s="1504">
        <v>43891</v>
      </c>
      <c r="C310" s="1813">
        <v>1354</v>
      </c>
      <c r="D310" s="1814">
        <v>23032</v>
      </c>
      <c r="E310" s="1814">
        <v>102</v>
      </c>
      <c r="F310" s="1815"/>
      <c r="G310" s="1814">
        <v>81624</v>
      </c>
      <c r="H310" s="1814">
        <v>28</v>
      </c>
      <c r="I310" s="1814">
        <v>25650</v>
      </c>
      <c r="J310" s="1816">
        <v>19677</v>
      </c>
      <c r="K310" s="1807">
        <v>168316</v>
      </c>
      <c r="L310" s="25">
        <v>243</v>
      </c>
      <c r="M310" s="97"/>
      <c r="N310" s="1504">
        <v>43891</v>
      </c>
      <c r="O310" s="19">
        <v>905</v>
      </c>
      <c r="P310" s="93">
        <v>981</v>
      </c>
      <c r="Q310" s="93">
        <v>8532</v>
      </c>
      <c r="R310" s="93">
        <v>824</v>
      </c>
      <c r="S310" s="93">
        <v>2001</v>
      </c>
      <c r="T310" s="93">
        <v>473</v>
      </c>
      <c r="U310" s="93">
        <v>236</v>
      </c>
      <c r="V310" s="93">
        <v>1931</v>
      </c>
      <c r="W310" s="93">
        <v>4746</v>
      </c>
      <c r="X310" s="93">
        <v>632</v>
      </c>
      <c r="Y310" s="93">
        <v>356</v>
      </c>
      <c r="Z310" s="93">
        <v>891</v>
      </c>
      <c r="AA310" s="93">
        <v>524</v>
      </c>
      <c r="AB310" s="20">
        <v>23032</v>
      </c>
      <c r="AC310" s="25">
        <v>243</v>
      </c>
      <c r="AD310" s="97"/>
      <c r="AE310" s="1504">
        <v>43891</v>
      </c>
      <c r="AF310" s="19">
        <v>1903</v>
      </c>
      <c r="AG310" s="93">
        <v>560</v>
      </c>
      <c r="AH310" s="93">
        <v>4093</v>
      </c>
      <c r="AI310" s="93">
        <v>1158</v>
      </c>
      <c r="AJ310" s="93">
        <v>2548</v>
      </c>
      <c r="AK310" s="93">
        <v>1332</v>
      </c>
      <c r="AL310" s="93">
        <v>686</v>
      </c>
      <c r="AM310" s="93">
        <v>2015</v>
      </c>
      <c r="AN310" s="93">
        <v>6610</v>
      </c>
      <c r="AO310" s="93">
        <v>1755</v>
      </c>
      <c r="AP310" s="93">
        <v>766</v>
      </c>
      <c r="AQ310" s="93">
        <v>1213</v>
      </c>
      <c r="AR310" s="93">
        <v>1011</v>
      </c>
      <c r="AS310" s="20">
        <v>25650</v>
      </c>
      <c r="AT310" s="25">
        <v>243</v>
      </c>
      <c r="AU310" s="97"/>
      <c r="AV310" s="1504">
        <v>43891</v>
      </c>
      <c r="AW310" s="19">
        <v>9469</v>
      </c>
      <c r="AX310" s="93">
        <v>3228</v>
      </c>
      <c r="AY310" s="93">
        <v>2831</v>
      </c>
      <c r="AZ310" s="93">
        <v>4161</v>
      </c>
      <c r="BA310" s="93">
        <v>9642</v>
      </c>
      <c r="BB310" s="93">
        <v>4920</v>
      </c>
      <c r="BC310" s="93">
        <v>7423</v>
      </c>
      <c r="BD310" s="93">
        <v>10192</v>
      </c>
      <c r="BE310" s="93">
        <v>11406</v>
      </c>
      <c r="BF310" s="93">
        <v>4979</v>
      </c>
      <c r="BG310" s="93">
        <v>2567</v>
      </c>
      <c r="BH310" s="93">
        <v>7441</v>
      </c>
      <c r="BI310" s="93">
        <v>3365</v>
      </c>
      <c r="BJ310" s="20">
        <v>81624</v>
      </c>
      <c r="BK310" s="25">
        <v>243</v>
      </c>
      <c r="BL310" s="97"/>
      <c r="BM310" s="1504">
        <v>43891</v>
      </c>
      <c r="BN310" s="19">
        <v>69.054000000000002</v>
      </c>
      <c r="BO310" s="93">
        <v>2602.616</v>
      </c>
      <c r="BP310" s="93">
        <v>19.584</v>
      </c>
      <c r="BQ310" s="93">
        <v>652.99199999999996</v>
      </c>
      <c r="BR310" s="93">
        <v>4.2839999999999998</v>
      </c>
      <c r="BS310" s="93">
        <v>230.85</v>
      </c>
      <c r="BT310" s="93">
        <v>472.24799999999999</v>
      </c>
      <c r="BU310" s="20">
        <v>4051.6280000000002</v>
      </c>
      <c r="BV310" s="25">
        <v>243</v>
      </c>
      <c r="BW310" s="97"/>
      <c r="BX310" s="1504">
        <v>43891</v>
      </c>
      <c r="BY310" s="179">
        <v>593.1056497772405</v>
      </c>
      <c r="BZ310" s="99">
        <v>655.95699999999999</v>
      </c>
      <c r="CA310" s="99">
        <v>619.70429853566372</v>
      </c>
      <c r="CB310" s="99">
        <v>33.450980392156865</v>
      </c>
      <c r="CC310" s="99">
        <v>106.09650000000001</v>
      </c>
      <c r="CD310" s="25">
        <v>243</v>
      </c>
      <c r="CE310" s="97"/>
      <c r="CF310" s="1504">
        <v>43891</v>
      </c>
      <c r="CG310" s="1508">
        <v>1.492307278</v>
      </c>
      <c r="CH310" s="568">
        <v>1591.93</v>
      </c>
      <c r="CI310" s="1708">
        <v>32.203333333333298</v>
      </c>
      <c r="CJ310" s="1509">
        <v>32.979999999999997</v>
      </c>
      <c r="CK310" s="1508">
        <v>469.64</v>
      </c>
      <c r="CL310" s="568">
        <v>162.4205576</v>
      </c>
      <c r="CM310" s="568">
        <v>0.26080654599999997</v>
      </c>
      <c r="CN310" s="568">
        <v>0.36130598400000002</v>
      </c>
      <c r="CO310" s="568">
        <v>209.07148230000001</v>
      </c>
      <c r="CP310" s="1509">
        <v>4.4736149039999997</v>
      </c>
      <c r="CQ310" s="1708">
        <v>1412.91</v>
      </c>
      <c r="CR310" s="568">
        <v>1.994</v>
      </c>
      <c r="CS310" s="568">
        <v>1.4985999999999999</v>
      </c>
      <c r="CT310" s="568">
        <v>71.88</v>
      </c>
      <c r="CU310" s="568">
        <v>88.99</v>
      </c>
      <c r="CV310" s="1709">
        <v>1903.63</v>
      </c>
      <c r="CW310" s="29">
        <v>243</v>
      </c>
      <c r="CX310" s="41">
        <f t="shared" si="239"/>
        <v>2020</v>
      </c>
      <c r="CY310" s="1504">
        <v>43891</v>
      </c>
      <c r="CZ310" s="733">
        <v>149.05891700000001</v>
      </c>
      <c r="DA310" s="570">
        <v>77.227413999999996</v>
      </c>
      <c r="DB310" s="570">
        <v>55.575595999999997</v>
      </c>
      <c r="DC310" s="93"/>
      <c r="DD310" s="93"/>
      <c r="DE310" s="20"/>
      <c r="DF310" s="29">
        <v>243</v>
      </c>
      <c r="DG310" s="1504">
        <v>43891</v>
      </c>
      <c r="DH310" s="19">
        <v>435656</v>
      </c>
      <c r="DI310" s="93">
        <v>4675518</v>
      </c>
      <c r="DJ310" s="93">
        <v>289957</v>
      </c>
      <c r="DK310" s="93">
        <v>20946</v>
      </c>
      <c r="DL310" s="93">
        <v>550929</v>
      </c>
      <c r="DM310" s="93">
        <v>9700</v>
      </c>
      <c r="DN310" s="20">
        <v>1971400</v>
      </c>
      <c r="DO310" s="295">
        <f t="shared" si="282"/>
        <v>7518450</v>
      </c>
      <c r="DP310" s="29">
        <v>243</v>
      </c>
      <c r="DQ310" s="1504">
        <v>43891</v>
      </c>
      <c r="DR310" s="19">
        <v>51321.5</v>
      </c>
      <c r="DS310" s="93">
        <v>596</v>
      </c>
      <c r="DT310" s="93">
        <v>59761</v>
      </c>
      <c r="DU310" s="93">
        <v>2771.2559999999999</v>
      </c>
      <c r="DV310" s="93">
        <v>19872.936000000002</v>
      </c>
      <c r="DW310" s="93">
        <v>2455.5</v>
      </c>
      <c r="DX310" s="20">
        <v>15548.112499999997</v>
      </c>
      <c r="DY310" s="29">
        <v>243</v>
      </c>
      <c r="DZ310" s="1504">
        <v>43891</v>
      </c>
      <c r="EA310" s="19"/>
      <c r="EB310" s="93"/>
      <c r="EC310" s="20"/>
      <c r="ED310" s="29"/>
      <c r="EE310" s="1504">
        <v>43891</v>
      </c>
      <c r="EF310" s="19">
        <v>10812</v>
      </c>
      <c r="EG310" s="93">
        <v>12521</v>
      </c>
      <c r="EH310" s="93">
        <v>23333</v>
      </c>
      <c r="EI310" s="214">
        <v>3371</v>
      </c>
      <c r="EJ310" s="93">
        <v>463.13899999999995</v>
      </c>
      <c r="EK310" s="93">
        <v>131.774</v>
      </c>
      <c r="EL310" s="93">
        <v>3.6640000000000001</v>
      </c>
      <c r="EM310" s="93">
        <v>3.4940000000000002</v>
      </c>
      <c r="EN310" s="20">
        <v>602.07100000000003</v>
      </c>
      <c r="EO310" s="29">
        <v>243</v>
      </c>
      <c r="EP310" s="1504">
        <v>43891</v>
      </c>
      <c r="EQ310" s="19">
        <v>9890</v>
      </c>
      <c r="ER310" s="93">
        <v>11632</v>
      </c>
      <c r="ES310" s="93">
        <v>21522</v>
      </c>
      <c r="ET310" s="214">
        <v>3145</v>
      </c>
      <c r="EU310" s="93">
        <v>457.51799999999997</v>
      </c>
      <c r="EV310" s="93">
        <v>127.06399999999999</v>
      </c>
      <c r="EW310" s="93">
        <v>3.6640000000000001</v>
      </c>
      <c r="EX310" s="93">
        <v>3.4940000000000002</v>
      </c>
      <c r="EY310" s="20">
        <v>591.74</v>
      </c>
      <c r="EZ310" s="29">
        <v>243</v>
      </c>
      <c r="FA310" s="1504">
        <v>43891</v>
      </c>
      <c r="FB310" s="29">
        <v>922</v>
      </c>
      <c r="FC310" s="29">
        <v>889</v>
      </c>
      <c r="FD310" s="29">
        <v>1811</v>
      </c>
      <c r="FE310" s="29">
        <v>226</v>
      </c>
      <c r="FF310" s="29">
        <v>5.6210000000000004</v>
      </c>
      <c r="FG310" s="29">
        <v>4.71</v>
      </c>
      <c r="FH310" s="29">
        <v>0</v>
      </c>
      <c r="FI310" s="29">
        <v>0</v>
      </c>
      <c r="FJ310" s="29">
        <v>10.331</v>
      </c>
      <c r="FK310" s="29">
        <v>243</v>
      </c>
      <c r="FL310" s="1504">
        <v>43891</v>
      </c>
      <c r="FM310" s="179">
        <v>101.97</v>
      </c>
      <c r="FN310" s="99">
        <v>101.53</v>
      </c>
      <c r="FO310" s="99">
        <v>124.99</v>
      </c>
      <c r="FP310" s="99">
        <v>101.3</v>
      </c>
      <c r="FQ310" s="99">
        <v>98.26</v>
      </c>
      <c r="FR310" s="99">
        <v>101.05</v>
      </c>
      <c r="FS310" s="99">
        <v>100.41</v>
      </c>
      <c r="FT310" s="99">
        <v>100.08</v>
      </c>
      <c r="FU310" s="99">
        <v>98.78</v>
      </c>
      <c r="FV310" s="99">
        <v>101.12</v>
      </c>
      <c r="FW310" s="99">
        <v>107.43</v>
      </c>
      <c r="FX310" s="99">
        <v>105.98</v>
      </c>
      <c r="FY310" s="99">
        <v>100.75</v>
      </c>
      <c r="FZ310" s="29">
        <v>243</v>
      </c>
      <c r="GA310" s="1504">
        <v>43891</v>
      </c>
      <c r="GB310" s="19">
        <v>101.97</v>
      </c>
      <c r="GC310" s="93">
        <v>102.23</v>
      </c>
      <c r="GD310" s="93">
        <v>102.31</v>
      </c>
      <c r="GE310" s="93">
        <v>95.83</v>
      </c>
      <c r="GF310" s="93">
        <v>101.09</v>
      </c>
      <c r="GG310" s="99">
        <v>103.52</v>
      </c>
      <c r="GH310" s="93">
        <v>102.02</v>
      </c>
      <c r="GI310" s="93">
        <v>102.3</v>
      </c>
      <c r="GJ310" s="93">
        <v>102.99</v>
      </c>
      <c r="GK310" s="93">
        <v>100.3</v>
      </c>
      <c r="GL310" s="93">
        <v>102.49</v>
      </c>
      <c r="GM310" s="93">
        <v>101.24</v>
      </c>
      <c r="GN310" s="20">
        <v>102.98</v>
      </c>
      <c r="GO310" s="29">
        <v>243</v>
      </c>
      <c r="GP310" s="1504">
        <v>43891</v>
      </c>
      <c r="GQ310" s="179">
        <v>233</v>
      </c>
      <c r="GR310" s="99">
        <v>209</v>
      </c>
      <c r="GS310" s="99">
        <v>213</v>
      </c>
      <c r="GT310" s="99">
        <v>216</v>
      </c>
      <c r="GU310" s="99">
        <v>436</v>
      </c>
      <c r="GV310" s="132">
        <v>713</v>
      </c>
      <c r="GW310" s="179">
        <v>352</v>
      </c>
      <c r="GX310" s="99">
        <v>465</v>
      </c>
      <c r="GY310" s="99">
        <v>207</v>
      </c>
      <c r="GZ310" s="99">
        <v>387</v>
      </c>
      <c r="HA310" s="99">
        <v>265</v>
      </c>
      <c r="HB310" s="132">
        <v>807</v>
      </c>
      <c r="HC310" s="179">
        <v>1983</v>
      </c>
      <c r="HD310" s="99">
        <v>2266</v>
      </c>
      <c r="HE310" s="99">
        <v>2983</v>
      </c>
      <c r="HF310" s="99">
        <v>3150</v>
      </c>
      <c r="HG310" s="99">
        <v>2643</v>
      </c>
      <c r="HH310" s="132">
        <v>2870</v>
      </c>
      <c r="HI310" s="179"/>
      <c r="HJ310" s="99">
        <v>862</v>
      </c>
      <c r="HK310" s="99">
        <v>1856</v>
      </c>
      <c r="HL310" s="99">
        <v>767</v>
      </c>
      <c r="HM310" s="99">
        <v>900</v>
      </c>
      <c r="HN310" s="132">
        <v>2806</v>
      </c>
      <c r="HO310" s="220">
        <v>135</v>
      </c>
      <c r="HP310" s="132">
        <v>80</v>
      </c>
      <c r="HQ310" s="1768">
        <v>140</v>
      </c>
      <c r="HR310" s="29">
        <v>243</v>
      </c>
      <c r="HS310" s="1504">
        <v>43891</v>
      </c>
      <c r="HT310" s="179">
        <v>197.16975402832031</v>
      </c>
      <c r="HU310" s="99">
        <v>217.8819465637207</v>
      </c>
      <c r="HV310" s="99">
        <v>158.93299865722656</v>
      </c>
      <c r="HW310" s="99">
        <v>153.06121826171875</v>
      </c>
      <c r="HX310" s="99">
        <v>179.16666793823242</v>
      </c>
      <c r="HY310" s="99">
        <v>196.20286560058594</v>
      </c>
      <c r="HZ310" s="99">
        <v>213.40398254394532</v>
      </c>
      <c r="IA310" s="132">
        <v>155.63725662231445</v>
      </c>
      <c r="IB310" s="179">
        <v>141.34275817871094</v>
      </c>
      <c r="IC310" s="99">
        <v>88.888890075683591</v>
      </c>
      <c r="ID310" s="99">
        <v>101.72413635253906</v>
      </c>
      <c r="IE310" s="99">
        <v>86.092714309692383</v>
      </c>
      <c r="IF310" s="99">
        <v>133.23279190063477</v>
      </c>
      <c r="IG310" s="132">
        <v>100</v>
      </c>
      <c r="IH310" s="179">
        <v>104.66275482177734</v>
      </c>
      <c r="II310" s="99">
        <v>199.81557083129883</v>
      </c>
      <c r="IJ310" s="99">
        <v>152.64614257812499</v>
      </c>
      <c r="IK310" s="99">
        <v>133.92857360839844</v>
      </c>
      <c r="IL310" s="99">
        <v>125.31404876708984</v>
      </c>
      <c r="IM310" s="99">
        <v>109.67742156982422</v>
      </c>
      <c r="IN310" s="93">
        <v>159.01060485839844</v>
      </c>
      <c r="IO310" s="132">
        <v>146.19303894042969</v>
      </c>
      <c r="IP310" s="29">
        <v>243</v>
      </c>
      <c r="IQ310" s="19">
        <v>141.34275817871094</v>
      </c>
      <c r="IR310" s="93">
        <v>88.888890075683591</v>
      </c>
      <c r="IS310" s="93">
        <v>101.72413635253906</v>
      </c>
      <c r="IT310" s="93">
        <v>86.092714309692383</v>
      </c>
      <c r="IU310" s="93">
        <v>133.23279190063477</v>
      </c>
      <c r="IV310" s="20">
        <v>100</v>
      </c>
      <c r="IW310" s="29">
        <v>243</v>
      </c>
      <c r="IX310" s="19"/>
      <c r="IY310" s="93">
        <v>395.83334350585938</v>
      </c>
      <c r="IZ310" s="93"/>
      <c r="JA310" s="93">
        <v>375</v>
      </c>
      <c r="JB310" s="93">
        <v>380</v>
      </c>
      <c r="JC310" s="93"/>
      <c r="JD310" s="93">
        <v>370</v>
      </c>
      <c r="JE310" s="20">
        <v>400</v>
      </c>
      <c r="JF310" s="29">
        <v>243</v>
      </c>
      <c r="JG310" s="19"/>
      <c r="JH310" s="93"/>
      <c r="JI310" s="93"/>
      <c r="JJ310" s="93"/>
      <c r="JK310" s="93"/>
      <c r="JL310" s="93"/>
      <c r="JM310" s="93"/>
      <c r="JN310" s="20"/>
      <c r="JO310" s="29">
        <v>243</v>
      </c>
      <c r="JP310" s="19"/>
      <c r="JQ310" s="93"/>
      <c r="JR310" s="93"/>
      <c r="JS310" s="93"/>
      <c r="JT310" s="93"/>
      <c r="JU310" s="20"/>
      <c r="JV310" s="29">
        <v>243</v>
      </c>
      <c r="JW310" s="1504">
        <v>43891</v>
      </c>
      <c r="JX310" s="19"/>
      <c r="JY310" s="93">
        <v>297.22222222222223</v>
      </c>
      <c r="JZ310" s="93">
        <v>290</v>
      </c>
      <c r="KA310" s="93"/>
      <c r="KB310" s="93">
        <v>208.75</v>
      </c>
      <c r="KC310" s="93">
        <v>351.66666666666669</v>
      </c>
      <c r="KD310" s="20">
        <v>302.60416666666669</v>
      </c>
      <c r="KE310" s="29">
        <v>243</v>
      </c>
      <c r="KF310" s="19"/>
      <c r="KG310" s="93">
        <v>44.9375</v>
      </c>
      <c r="KH310" s="93"/>
      <c r="KI310" s="93">
        <v>47.305555555555557</v>
      </c>
      <c r="KJ310" s="93">
        <v>73.583333333333329</v>
      </c>
      <c r="KK310" s="20">
        <v>87.833333333333329</v>
      </c>
      <c r="KL310" s="29">
        <v>243</v>
      </c>
      <c r="KM310" s="19"/>
      <c r="KN310" s="93">
        <v>16.361111111111111</v>
      </c>
      <c r="KO310" s="93"/>
      <c r="KP310" s="93">
        <v>34.027777777777779</v>
      </c>
      <c r="KQ310" s="93">
        <v>37.875</v>
      </c>
      <c r="KR310" s="20">
        <v>37.46875</v>
      </c>
      <c r="KS310" s="29">
        <v>243</v>
      </c>
      <c r="KT310" s="19">
        <v>25.416666666666668</v>
      </c>
      <c r="KU310" s="93">
        <v>22.611111111111111</v>
      </c>
      <c r="KV310" s="93">
        <v>31.8125</v>
      </c>
      <c r="KW310" s="93">
        <v>23.986111111111111</v>
      </c>
      <c r="KX310" s="93">
        <v>26.916666666666668</v>
      </c>
      <c r="KY310" s="20">
        <v>33.120370370370374</v>
      </c>
      <c r="KZ310" s="29">
        <v>243</v>
      </c>
      <c r="LA310" s="1504">
        <v>43891</v>
      </c>
      <c r="LB310" s="19"/>
      <c r="LC310" s="93"/>
      <c r="LD310" s="93"/>
      <c r="LE310" s="93"/>
      <c r="LF310" s="93"/>
      <c r="LG310" s="93"/>
      <c r="LH310" s="20"/>
      <c r="LI310" s="29"/>
      <c r="LJ310" s="19"/>
      <c r="LK310" s="93"/>
      <c r="LL310" s="93"/>
      <c r="LM310" s="93"/>
      <c r="LN310" s="93"/>
      <c r="LO310" s="20"/>
      <c r="LP310" s="29"/>
      <c r="LQ310" s="19"/>
      <c r="LR310" s="93">
        <v>188</v>
      </c>
      <c r="LS310" s="93">
        <v>463</v>
      </c>
      <c r="LT310" s="93">
        <v>663</v>
      </c>
      <c r="LU310" s="93">
        <v>1104</v>
      </c>
      <c r="LV310" s="93"/>
      <c r="LW310" s="93">
        <v>5</v>
      </c>
      <c r="LX310" s="93">
        <v>10</v>
      </c>
      <c r="LY310" s="93">
        <v>60</v>
      </c>
      <c r="LZ310" s="93"/>
      <c r="MA310" s="20"/>
      <c r="MB310" s="29">
        <v>243</v>
      </c>
      <c r="MC310" s="1504">
        <v>43891</v>
      </c>
      <c r="MD310" s="19">
        <v>431.31737357814103</v>
      </c>
      <c r="ME310" s="93">
        <v>388.95704689635386</v>
      </c>
      <c r="MF310" s="93">
        <v>388.86119369755386</v>
      </c>
      <c r="MG310" s="93">
        <v>331.41163139355388</v>
      </c>
      <c r="MH310" s="93">
        <v>106.61243330668226</v>
      </c>
      <c r="MI310" s="93">
        <v>3.8329811782861603</v>
      </c>
      <c r="MJ310" s="93">
        <v>2.3552011364860359</v>
      </c>
      <c r="MK310" s="93">
        <v>170.17464713550805</v>
      </c>
      <c r="ML310" s="93">
        <v>46.466849969000002</v>
      </c>
      <c r="MM310" s="93">
        <v>1.9695186675912875</v>
      </c>
      <c r="MN310" s="93">
        <v>57.449562304000004</v>
      </c>
      <c r="MO310" s="93">
        <v>1.1951817919999999</v>
      </c>
      <c r="MP310" s="93">
        <v>31.019400485999999</v>
      </c>
      <c r="MQ310" s="93">
        <v>0.94967565099999995</v>
      </c>
      <c r="MR310" s="93">
        <v>9.2329501000000008E-2</v>
      </c>
      <c r="MS310" s="93">
        <v>24.192974874000004</v>
      </c>
      <c r="MT310" s="93">
        <v>9.585319880000305E-2</v>
      </c>
      <c r="MU310" s="93">
        <v>42.360326681787193</v>
      </c>
      <c r="MV310" s="93">
        <v>42.360326681787193</v>
      </c>
      <c r="MW310" s="93">
        <v>0</v>
      </c>
      <c r="MX310" s="93">
        <v>500.46765045966208</v>
      </c>
      <c r="MY310" s="93">
        <v>500.41129698766207</v>
      </c>
      <c r="MZ310" s="93">
        <v>374.18026960028061</v>
      </c>
      <c r="NA310" s="93">
        <v>215.44217530099999</v>
      </c>
      <c r="NB310" s="93">
        <v>32.201042508999997</v>
      </c>
      <c r="NC310" s="93">
        <v>15.313386329280601</v>
      </c>
      <c r="ND310" s="93">
        <v>11.838725677000001</v>
      </c>
      <c r="NE310" s="93">
        <v>3.4746606522806003</v>
      </c>
      <c r="NF310" s="93">
        <v>111.223665461</v>
      </c>
      <c r="NG310" s="93">
        <v>0.19</v>
      </c>
      <c r="NH310" s="93">
        <v>37.397706700999997</v>
      </c>
      <c r="NI310" s="1805">
        <v>0</v>
      </c>
      <c r="NJ310" s="1805">
        <v>2.544614288000004</v>
      </c>
      <c r="NK310" s="93">
        <v>126.23102738738147</v>
      </c>
      <c r="NL310" s="93">
        <v>65.746372260000001</v>
      </c>
      <c r="NM310" s="93">
        <v>0</v>
      </c>
      <c r="NN310" s="93">
        <v>60.484655127381473</v>
      </c>
      <c r="NO310" s="93">
        <v>5.6353472000005712E-2</v>
      </c>
      <c r="NP310" s="93">
        <v>-69.150276881521052</v>
      </c>
      <c r="NQ310" s="93">
        <v>-111.51060356330824</v>
      </c>
      <c r="NR310" s="93">
        <v>-35.712562106646153</v>
      </c>
      <c r="NS310" s="93">
        <v>-51.02594843592675</v>
      </c>
      <c r="NT310" s="93">
        <v>-99.034656661554308</v>
      </c>
      <c r="NU310" s="93">
        <v>-141.39498334334149</v>
      </c>
      <c r="NV310" s="93">
        <v>99.931571593085707</v>
      </c>
      <c r="NW310" s="93">
        <v>7.5850408110857046</v>
      </c>
      <c r="NX310" s="93">
        <v>18.12432844559428</v>
      </c>
      <c r="NY310" s="93">
        <v>-10.539287634508572</v>
      </c>
      <c r="NZ310" s="93">
        <v>0</v>
      </c>
      <c r="OA310" s="93">
        <v>92.346530782000002</v>
      </c>
      <c r="OB310" s="93">
        <v>9.4357234300000066</v>
      </c>
      <c r="OC310" s="93">
        <v>82.910807351999992</v>
      </c>
      <c r="OD310" s="20">
        <v>-0.89691493153139012</v>
      </c>
      <c r="OE310" s="29">
        <v>243</v>
      </c>
      <c r="OF310" s="1504">
        <v>43891</v>
      </c>
      <c r="OG310" s="19"/>
      <c r="OH310" s="93">
        <v>652.34408846298891</v>
      </c>
      <c r="OI310" s="93">
        <v>1876.3803354489999</v>
      </c>
      <c r="OJ310" s="93">
        <v>0.35379466200000004</v>
      </c>
      <c r="OK310" s="93">
        <v>1625.809</v>
      </c>
      <c r="OL310" s="93">
        <v>250.21754078700002</v>
      </c>
      <c r="OM310" s="93">
        <v>2528.7244239119887</v>
      </c>
      <c r="ON310" s="93">
        <v>1720.5211083190002</v>
      </c>
      <c r="OO310" s="93">
        <v>4249.2455322309888</v>
      </c>
      <c r="OP310" s="93"/>
      <c r="OQ310" s="93">
        <v>1570.9718822869881</v>
      </c>
      <c r="OR310" s="93">
        <v>324.47388228698867</v>
      </c>
      <c r="OS310" s="93">
        <v>1246.4979999999996</v>
      </c>
      <c r="OT310" s="93">
        <v>3176.0553000539999</v>
      </c>
      <c r="OU310" s="93">
        <v>198.15003639800003</v>
      </c>
      <c r="OV310" s="93">
        <v>-221.52496360199999</v>
      </c>
      <c r="OW310" s="93">
        <v>419.67500000000001</v>
      </c>
      <c r="OX310" s="93">
        <v>2977.905263656</v>
      </c>
      <c r="OY310" s="93">
        <v>6.9262636559999997</v>
      </c>
      <c r="OZ310" s="93">
        <v>2970.9789999999998</v>
      </c>
      <c r="PA310" s="93">
        <v>709.31704002000151</v>
      </c>
      <c r="PB310" s="93">
        <v>-211.53538991000005</v>
      </c>
      <c r="PC310" s="20">
        <v>4249.2455322309861</v>
      </c>
      <c r="PD310" s="29">
        <v>243</v>
      </c>
      <c r="PE310" s="19"/>
      <c r="PF310" s="93">
        <v>324.47388228698867</v>
      </c>
      <c r="PG310" s="93">
        <v>1150.7934870079887</v>
      </c>
      <c r="PH310" s="93">
        <v>826.31960472100002</v>
      </c>
      <c r="PI310" s="93">
        <v>841.41899999999998</v>
      </c>
      <c r="PJ310" s="93">
        <v>-211.546548003</v>
      </c>
      <c r="PK310" s="93">
        <v>132.097202423</v>
      </c>
      <c r="PL310" s="93">
        <v>343.643750426</v>
      </c>
      <c r="PM310" s="93">
        <v>6.9262636559999997</v>
      </c>
      <c r="PN310" s="93">
        <v>2.4990000000000001</v>
      </c>
      <c r="PO310" s="93">
        <v>0</v>
      </c>
      <c r="PP310" s="93">
        <v>0</v>
      </c>
      <c r="PQ310" s="93">
        <v>4.427263656</v>
      </c>
      <c r="PR310" s="93">
        <v>949.93498222398875</v>
      </c>
      <c r="PS310" s="93">
        <v>746.50250406198882</v>
      </c>
      <c r="PT310" s="93">
        <v>202.74557518099999</v>
      </c>
      <c r="PU310" s="93">
        <v>0.68690298100000002</v>
      </c>
      <c r="PV310" s="93">
        <v>0</v>
      </c>
      <c r="PW310" s="93">
        <v>1.504253869</v>
      </c>
      <c r="PX310" s="93">
        <v>0</v>
      </c>
      <c r="PY310" s="93">
        <v>0</v>
      </c>
      <c r="PZ310" s="93">
        <v>1.504253869</v>
      </c>
      <c r="QA310" s="93">
        <v>0</v>
      </c>
      <c r="QB310" s="93"/>
      <c r="QC310" s="93"/>
      <c r="QD310" s="93">
        <v>6.9327861510000002</v>
      </c>
      <c r="QE310" s="20">
        <v>2.900575695999986</v>
      </c>
      <c r="QF310" s="1739">
        <v>243</v>
      </c>
      <c r="QG310" s="19"/>
      <c r="QH310" s="93">
        <v>1246.4979999999996</v>
      </c>
      <c r="QI310" s="93">
        <v>1604.3409999999997</v>
      </c>
      <c r="QJ310" s="93">
        <v>-357.84300000000007</v>
      </c>
      <c r="QK310" s="93">
        <v>299.15300000000002</v>
      </c>
      <c r="QL310" s="93">
        <v>84.18</v>
      </c>
      <c r="QM310" s="93">
        <v>214.97299999999998</v>
      </c>
      <c r="QN310" s="93">
        <v>0</v>
      </c>
      <c r="QO310" s="93">
        <v>419.67500000000001</v>
      </c>
      <c r="QP310" s="93">
        <v>730.30200000000002</v>
      </c>
      <c r="QQ310" s="93">
        <v>-310.62700000000001</v>
      </c>
      <c r="QR310" s="93">
        <v>2970.9789999999998</v>
      </c>
      <c r="QS310" s="93">
        <v>20.923000000000002</v>
      </c>
      <c r="QT310" s="93">
        <v>1.175</v>
      </c>
      <c r="QU310" s="93">
        <v>259.40800000000002</v>
      </c>
      <c r="QV310" s="93">
        <v>2689.473</v>
      </c>
      <c r="QW310" s="93"/>
      <c r="QX310" s="93">
        <v>784.44399999999996</v>
      </c>
      <c r="QY310" s="93">
        <v>1625.809</v>
      </c>
      <c r="QZ310" s="93">
        <v>1720.1879999999999</v>
      </c>
      <c r="RA310" s="93">
        <v>0</v>
      </c>
      <c r="RB310" s="93">
        <v>124.505</v>
      </c>
      <c r="RC310" s="93">
        <v>0</v>
      </c>
      <c r="RD310" s="93">
        <v>23.154000000000003</v>
      </c>
      <c r="RE310" s="93">
        <v>0</v>
      </c>
      <c r="RF310" s="93">
        <v>0</v>
      </c>
      <c r="RG310" s="93">
        <v>553.2210000000016</v>
      </c>
      <c r="RH310" s="93">
        <v>104.98400000000004</v>
      </c>
      <c r="RI310" s="93"/>
      <c r="RJ310" s="93"/>
      <c r="RK310" s="93"/>
      <c r="RL310" s="93"/>
      <c r="RM310" s="20"/>
      <c r="RN310" s="29">
        <v>243</v>
      </c>
      <c r="RO310" s="19">
        <v>514</v>
      </c>
      <c r="RP310" s="20">
        <v>87</v>
      </c>
      <c r="RQ310" s="29">
        <v>243</v>
      </c>
      <c r="RR310" s="734">
        <v>4.6207410899999992</v>
      </c>
      <c r="RS310" s="29">
        <v>243</v>
      </c>
      <c r="RT310" s="1504">
        <v>43891</v>
      </c>
      <c r="RU310" s="19">
        <v>1042</v>
      </c>
      <c r="RV310" s="20">
        <v>30</v>
      </c>
      <c r="RW310" s="29">
        <v>243</v>
      </c>
      <c r="RX310" s="1504">
        <v>43891</v>
      </c>
      <c r="RY310" s="29">
        <v>13565.549999999997</v>
      </c>
      <c r="RZ310" s="734">
        <v>12418.379999999997</v>
      </c>
      <c r="SA310" s="29">
        <v>291880.39305446524</v>
      </c>
      <c r="SB310" s="29">
        <v>243</v>
      </c>
    </row>
    <row r="311" spans="1:496">
      <c r="A311" s="41">
        <f t="shared" si="238"/>
        <v>2020</v>
      </c>
      <c r="B311" s="1504">
        <v>43922</v>
      </c>
      <c r="C311" s="1813">
        <v>1469</v>
      </c>
      <c r="D311" s="1814">
        <v>21192</v>
      </c>
      <c r="E311" s="1814">
        <v>53</v>
      </c>
      <c r="F311" s="1815"/>
      <c r="G311" s="1814">
        <v>164390</v>
      </c>
      <c r="H311" s="1814">
        <v>38</v>
      </c>
      <c r="I311" s="1814">
        <v>24287</v>
      </c>
      <c r="J311" s="1816">
        <v>20505</v>
      </c>
      <c r="K311" s="1807">
        <v>210543</v>
      </c>
      <c r="L311" s="25">
        <v>244</v>
      </c>
      <c r="M311" s="97"/>
      <c r="N311" s="1504">
        <v>43922</v>
      </c>
      <c r="O311" s="19">
        <v>732</v>
      </c>
      <c r="P311" s="93">
        <v>1050</v>
      </c>
      <c r="Q311" s="93">
        <v>7448</v>
      </c>
      <c r="R311" s="93">
        <v>826</v>
      </c>
      <c r="S311" s="93">
        <v>1534</v>
      </c>
      <c r="T311" s="93">
        <v>503</v>
      </c>
      <c r="U311" s="93">
        <v>239</v>
      </c>
      <c r="V311" s="93">
        <v>1522</v>
      </c>
      <c r="W311" s="93">
        <v>4749</v>
      </c>
      <c r="X311" s="93">
        <v>585</v>
      </c>
      <c r="Y311" s="93">
        <v>303</v>
      </c>
      <c r="Z311" s="93">
        <v>935</v>
      </c>
      <c r="AA311" s="93">
        <v>766</v>
      </c>
      <c r="AB311" s="20">
        <v>21192</v>
      </c>
      <c r="AC311" s="25">
        <v>244</v>
      </c>
      <c r="AD311" s="97"/>
      <c r="AE311" s="1504">
        <v>43922</v>
      </c>
      <c r="AF311" s="19">
        <v>1491</v>
      </c>
      <c r="AG311" s="93">
        <v>569</v>
      </c>
      <c r="AH311" s="93">
        <v>4444</v>
      </c>
      <c r="AI311" s="93">
        <v>970</v>
      </c>
      <c r="AJ311" s="93">
        <v>2275</v>
      </c>
      <c r="AK311" s="93">
        <v>1499</v>
      </c>
      <c r="AL311" s="93">
        <v>511</v>
      </c>
      <c r="AM311" s="93">
        <v>1635</v>
      </c>
      <c r="AN311" s="93">
        <v>6235</v>
      </c>
      <c r="AO311" s="93">
        <v>1577</v>
      </c>
      <c r="AP311" s="93">
        <v>1136</v>
      </c>
      <c r="AQ311" s="93">
        <v>1140</v>
      </c>
      <c r="AR311" s="93">
        <v>805</v>
      </c>
      <c r="AS311" s="20">
        <v>24287</v>
      </c>
      <c r="AT311" s="25">
        <v>244</v>
      </c>
      <c r="AU311" s="97"/>
      <c r="AV311" s="1504">
        <v>43922</v>
      </c>
      <c r="AW311" s="19">
        <v>8790</v>
      </c>
      <c r="AX311" s="93">
        <v>3108</v>
      </c>
      <c r="AY311" s="93">
        <v>2702</v>
      </c>
      <c r="AZ311" s="93">
        <v>4855</v>
      </c>
      <c r="BA311" s="93">
        <v>9415</v>
      </c>
      <c r="BB311" s="93">
        <v>91906</v>
      </c>
      <c r="BC311" s="93">
        <v>2694</v>
      </c>
      <c r="BD311" s="93">
        <v>9877</v>
      </c>
      <c r="BE311" s="93">
        <v>11362</v>
      </c>
      <c r="BF311" s="93">
        <v>4764</v>
      </c>
      <c r="BG311" s="93">
        <v>2768</v>
      </c>
      <c r="BH311" s="93">
        <v>7996</v>
      </c>
      <c r="BI311" s="93">
        <v>4153</v>
      </c>
      <c r="BJ311" s="20">
        <v>164390</v>
      </c>
      <c r="BK311" s="25">
        <v>244</v>
      </c>
      <c r="BL311" s="97"/>
      <c r="BM311" s="1504">
        <v>43922</v>
      </c>
      <c r="BN311" s="19">
        <v>74.918999999999997</v>
      </c>
      <c r="BO311" s="93">
        <v>2394.6959999999999</v>
      </c>
      <c r="BP311" s="93">
        <v>10.176</v>
      </c>
      <c r="BQ311" s="93">
        <v>1315.12</v>
      </c>
      <c r="BR311" s="93">
        <v>5.8140000000000001</v>
      </c>
      <c r="BS311" s="93">
        <v>218.583</v>
      </c>
      <c r="BT311" s="93">
        <v>492.12</v>
      </c>
      <c r="BU311" s="20">
        <v>4511.4279999999999</v>
      </c>
      <c r="BV311" s="25">
        <v>244</v>
      </c>
      <c r="BW311" s="97"/>
      <c r="BX311" s="1504">
        <v>43922</v>
      </c>
      <c r="BY311" s="897">
        <v>603.44190000000003</v>
      </c>
      <c r="BZ311" s="99">
        <v>655.95699999999999</v>
      </c>
      <c r="CA311" s="99">
        <v>621.8777</v>
      </c>
      <c r="CB311" s="99">
        <v>32.447220999999999</v>
      </c>
      <c r="CC311" s="99">
        <v>104.4709</v>
      </c>
      <c r="CD311" s="25">
        <v>244</v>
      </c>
      <c r="CE311" s="97"/>
      <c r="CF311" s="1504">
        <v>43922</v>
      </c>
      <c r="CG311" s="1508">
        <v>1.400595086</v>
      </c>
      <c r="CH311" s="93">
        <v>1683.17</v>
      </c>
      <c r="CI311" s="1708">
        <v>21.043333333333301</v>
      </c>
      <c r="CJ311" s="20">
        <v>23.34</v>
      </c>
      <c r="CK311" s="19">
        <v>543.70000000000005</v>
      </c>
      <c r="CL311" s="568">
        <v>146.90956560000001</v>
      </c>
      <c r="CM311" s="568">
        <v>0.225091702</v>
      </c>
      <c r="CN311" s="568">
        <v>0.35490540799999998</v>
      </c>
      <c r="CO311" s="568">
        <v>218.9922732</v>
      </c>
      <c r="CP311" s="1509">
        <v>4.4452855370000002</v>
      </c>
      <c r="CQ311" s="219">
        <v>1527.27</v>
      </c>
      <c r="CR311" s="93">
        <v>2.11</v>
      </c>
      <c r="CS311" s="568">
        <v>1.3342000000000001</v>
      </c>
      <c r="CT311" s="568">
        <v>70.75</v>
      </c>
      <c r="CU311" s="93">
        <v>84.73</v>
      </c>
      <c r="CV311" s="214">
        <v>1903.37</v>
      </c>
      <c r="CW311" s="29">
        <v>244</v>
      </c>
      <c r="CX311" s="41">
        <f t="shared" si="239"/>
        <v>2020</v>
      </c>
      <c r="CY311" s="1504">
        <v>43922</v>
      </c>
      <c r="CZ311" s="733">
        <v>168.459497</v>
      </c>
      <c r="DA311" s="570">
        <v>92.071969999999993</v>
      </c>
      <c r="DB311" s="570">
        <v>59.042468</v>
      </c>
      <c r="DC311" s="93"/>
      <c r="DD311" s="93"/>
      <c r="DE311" s="20"/>
      <c r="DF311" s="29">
        <v>244</v>
      </c>
      <c r="DG311" s="1504">
        <v>43922</v>
      </c>
      <c r="DH311" s="1881">
        <v>434738</v>
      </c>
      <c r="DI311" s="93">
        <v>5311463</v>
      </c>
      <c r="DJ311" s="93">
        <v>320423</v>
      </c>
      <c r="DK311" s="93">
        <v>21253</v>
      </c>
      <c r="DL311" s="93">
        <v>479167</v>
      </c>
      <c r="DM311" s="93">
        <v>9590</v>
      </c>
      <c r="DN311" s="20">
        <v>1804484</v>
      </c>
      <c r="DO311" s="295">
        <f t="shared" si="282"/>
        <v>7946380</v>
      </c>
      <c r="DP311" s="29">
        <v>244</v>
      </c>
      <c r="DQ311" s="1504">
        <v>43922</v>
      </c>
      <c r="DR311" s="19">
        <v>39542.400000000001</v>
      </c>
      <c r="DS311" s="93">
        <v>365.5</v>
      </c>
      <c r="DT311" s="93">
        <v>51534.8</v>
      </c>
      <c r="DU311" s="93">
        <v>2587.877</v>
      </c>
      <c r="DV311" s="93">
        <v>23713.661</v>
      </c>
      <c r="DW311" s="93">
        <v>182</v>
      </c>
      <c r="DX311" s="20">
        <v>15162.457142857142</v>
      </c>
      <c r="DY311" s="29">
        <v>244</v>
      </c>
      <c r="DZ311" s="1504">
        <v>43922</v>
      </c>
      <c r="EA311" s="19"/>
      <c r="EB311" s="93"/>
      <c r="EC311" s="20"/>
      <c r="ED311" s="29"/>
      <c r="EE311" s="1504">
        <v>43922</v>
      </c>
      <c r="EF311" s="19">
        <v>139</v>
      </c>
      <c r="EG311" s="93">
        <v>384</v>
      </c>
      <c r="EH311" s="93">
        <v>523</v>
      </c>
      <c r="EI311" s="214">
        <v>356</v>
      </c>
      <c r="EJ311" s="93">
        <v>330.56900000000002</v>
      </c>
      <c r="EK311" s="93">
        <v>102.815</v>
      </c>
      <c r="EL311" s="93">
        <v>0.71399999999999997</v>
      </c>
      <c r="EM311" s="93">
        <v>1.855</v>
      </c>
      <c r="EN311" s="20">
        <v>435.95299999999997</v>
      </c>
      <c r="EO311" s="29">
        <v>244</v>
      </c>
      <c r="EP311" s="1504">
        <v>43922</v>
      </c>
      <c r="EQ311" s="19">
        <v>115</v>
      </c>
      <c r="ER311" s="93">
        <v>357</v>
      </c>
      <c r="ES311" s="93">
        <v>472</v>
      </c>
      <c r="ET311" s="214">
        <v>353</v>
      </c>
      <c r="EU311" s="93">
        <v>326.96899999999999</v>
      </c>
      <c r="EV311" s="93">
        <v>101.941</v>
      </c>
      <c r="EW311" s="93">
        <v>0.70199999999999996</v>
      </c>
      <c r="EX311" s="93">
        <v>1.8009999999999999</v>
      </c>
      <c r="EY311" s="20">
        <v>431.41299999999995</v>
      </c>
      <c r="EZ311" s="29">
        <v>244</v>
      </c>
      <c r="FA311" s="1504">
        <v>43922</v>
      </c>
      <c r="FB311" s="29">
        <v>24</v>
      </c>
      <c r="FC311" s="29">
        <v>27</v>
      </c>
      <c r="FD311" s="29">
        <v>51</v>
      </c>
      <c r="FE311" s="29">
        <v>3</v>
      </c>
      <c r="FF311" s="29">
        <v>3.6</v>
      </c>
      <c r="FG311" s="29">
        <v>0.874</v>
      </c>
      <c r="FH311" s="29">
        <v>1.2E-2</v>
      </c>
      <c r="FI311" s="29">
        <v>5.3999999999999999E-2</v>
      </c>
      <c r="FJ311" s="29">
        <v>4.54</v>
      </c>
      <c r="FK311" s="29">
        <v>244</v>
      </c>
      <c r="FL311" s="1504">
        <v>43922</v>
      </c>
      <c r="FM311" s="179">
        <v>101.53</v>
      </c>
      <c r="FN311" s="99">
        <v>102.4</v>
      </c>
      <c r="FO311" s="99">
        <v>112.26</v>
      </c>
      <c r="FP311" s="99">
        <v>101.3</v>
      </c>
      <c r="FQ311" s="99">
        <v>95.16</v>
      </c>
      <c r="FR311" s="99">
        <v>101.06</v>
      </c>
      <c r="FS311" s="99">
        <v>100.41</v>
      </c>
      <c r="FT311" s="99">
        <v>99.38</v>
      </c>
      <c r="FU311" s="99">
        <v>98.78</v>
      </c>
      <c r="FV311" s="99">
        <v>101.12</v>
      </c>
      <c r="FW311" s="99">
        <v>107.43</v>
      </c>
      <c r="FX311" s="99">
        <v>106.41</v>
      </c>
      <c r="FY311" s="99">
        <v>100.75</v>
      </c>
      <c r="FZ311" s="29">
        <v>244</v>
      </c>
      <c r="GA311" s="1504">
        <v>43922</v>
      </c>
      <c r="GB311" s="19">
        <v>101.53</v>
      </c>
      <c r="GC311" s="93">
        <v>100.61</v>
      </c>
      <c r="GD311" s="93">
        <v>102.34</v>
      </c>
      <c r="GE311" s="93">
        <v>91.83</v>
      </c>
      <c r="GF311" s="93">
        <v>100.07</v>
      </c>
      <c r="GG311" s="93">
        <v>103.55</v>
      </c>
      <c r="GH311" s="93">
        <v>101.47</v>
      </c>
      <c r="GI311" s="93">
        <v>102.45</v>
      </c>
      <c r="GJ311" s="93">
        <v>102.23</v>
      </c>
      <c r="GK311" s="93">
        <v>100.29</v>
      </c>
      <c r="GL311" s="93">
        <v>102.12</v>
      </c>
      <c r="GM311" s="93">
        <v>101.21</v>
      </c>
      <c r="GN311" s="20">
        <v>102.23</v>
      </c>
      <c r="GO311" s="29">
        <v>244</v>
      </c>
      <c r="GP311" s="1504">
        <v>43922</v>
      </c>
      <c r="GQ311" s="179">
        <v>242</v>
      </c>
      <c r="GR311" s="93">
        <v>214</v>
      </c>
      <c r="GS311" s="93">
        <v>221</v>
      </c>
      <c r="GT311" s="93">
        <v>217</v>
      </c>
      <c r="GU311" s="93">
        <v>451</v>
      </c>
      <c r="GV311" s="20">
        <v>655</v>
      </c>
      <c r="GW311" s="19">
        <v>375</v>
      </c>
      <c r="GX311" s="93">
        <v>477</v>
      </c>
      <c r="GY311" s="93">
        <v>224</v>
      </c>
      <c r="GZ311" s="93">
        <v>358</v>
      </c>
      <c r="HA311" s="93">
        <v>343</v>
      </c>
      <c r="HB311" s="20">
        <v>675</v>
      </c>
      <c r="HC311" s="19">
        <v>2084</v>
      </c>
      <c r="HD311" s="93">
        <v>2372</v>
      </c>
      <c r="HE311" s="93">
        <v>3105</v>
      </c>
      <c r="HF311" s="93">
        <v>3150</v>
      </c>
      <c r="HG311" s="93">
        <v>2572</v>
      </c>
      <c r="HH311" s="20">
        <v>3002</v>
      </c>
      <c r="HI311" s="19"/>
      <c r="HJ311" s="93">
        <v>882</v>
      </c>
      <c r="HK311" s="93">
        <v>1972</v>
      </c>
      <c r="HL311" s="93">
        <v>765</v>
      </c>
      <c r="HM311" s="93">
        <v>900</v>
      </c>
      <c r="HN311" s="20">
        <v>3212</v>
      </c>
      <c r="HO311" s="219">
        <v>140</v>
      </c>
      <c r="HP311" s="20">
        <v>83</v>
      </c>
      <c r="HQ311" s="25">
        <v>134</v>
      </c>
      <c r="HR311" s="29">
        <v>244</v>
      </c>
      <c r="HS311" s="1504">
        <v>43922</v>
      </c>
      <c r="HT311" s="179">
        <v>197.16975402832031</v>
      </c>
      <c r="HU311" s="99">
        <v>246.52777862548828</v>
      </c>
      <c r="HV311" s="99">
        <v>165.08061790466309</v>
      </c>
      <c r="HW311" s="99">
        <v>153.06121826171875</v>
      </c>
      <c r="HX311" s="99">
        <v>191.66666564941406</v>
      </c>
      <c r="HY311" s="99">
        <v>196.20286560058594</v>
      </c>
      <c r="HZ311" s="99">
        <v>213.8157958984375</v>
      </c>
      <c r="IA311" s="132">
        <v>161.29032897949219</v>
      </c>
      <c r="IB311" s="179">
        <v>153.6363639831543</v>
      </c>
      <c r="IC311" s="99">
        <v>97.222221374511719</v>
      </c>
      <c r="ID311" s="99" t="s">
        <v>1050</v>
      </c>
      <c r="IE311" s="99">
        <v>99.337745666503906</v>
      </c>
      <c r="IF311" s="99">
        <v>138.671875</v>
      </c>
      <c r="IG311" s="132">
        <v>96.685089111328125</v>
      </c>
      <c r="IH311" s="179">
        <v>124.26571369171143</v>
      </c>
      <c r="II311" s="99">
        <v>215.05375671386719</v>
      </c>
      <c r="IJ311" s="99">
        <v>148.30508422851563</v>
      </c>
      <c r="IK311" s="99">
        <v>137.5000030517578</v>
      </c>
      <c r="IL311" s="99">
        <v>136.40388870239258</v>
      </c>
      <c r="IM311" s="99">
        <v>124.83871002197266</v>
      </c>
      <c r="IN311" s="93">
        <v>159.01060485839844</v>
      </c>
      <c r="IO311" s="132">
        <v>146.57980346679688</v>
      </c>
      <c r="IP311" s="29">
        <v>244</v>
      </c>
      <c r="IQ311" s="19">
        <v>153.6363639831543</v>
      </c>
      <c r="IR311" s="93">
        <v>97.222221374511719</v>
      </c>
      <c r="IS311" s="93" t="s">
        <v>1050</v>
      </c>
      <c r="IT311" s="93">
        <v>99.337745666503906</v>
      </c>
      <c r="IU311" s="93">
        <v>138.671875</v>
      </c>
      <c r="IV311" s="20">
        <v>96.685089111328125</v>
      </c>
      <c r="IW311" s="29">
        <v>244</v>
      </c>
      <c r="IX311" s="19"/>
      <c r="IY311" s="93">
        <v>397.56945419311523</v>
      </c>
      <c r="IZ311" s="93"/>
      <c r="JA311" s="93">
        <v>375</v>
      </c>
      <c r="JB311" s="93">
        <v>380</v>
      </c>
      <c r="JC311" s="93"/>
      <c r="JD311" s="93">
        <v>370</v>
      </c>
      <c r="JE311" s="20">
        <v>400</v>
      </c>
      <c r="JF311" s="29">
        <v>244</v>
      </c>
      <c r="JG311" s="19">
        <v>156.66757965087891</v>
      </c>
      <c r="JH311" s="93">
        <v>188.17204284667969</v>
      </c>
      <c r="JI311" s="93">
        <v>128.61737060546875</v>
      </c>
      <c r="JJ311" s="93">
        <v>166.66667175292969</v>
      </c>
      <c r="JK311" s="93">
        <v>146.46464538574219</v>
      </c>
      <c r="JL311" s="93">
        <v>158.27559661865234</v>
      </c>
      <c r="JM311" s="93">
        <v>150.16502075195314</v>
      </c>
      <c r="JN311" s="20">
        <v>200.81967544555664</v>
      </c>
      <c r="JO311" s="29">
        <v>244</v>
      </c>
      <c r="JP311" s="19">
        <v>177.30496215820313</v>
      </c>
      <c r="JQ311" s="93">
        <v>90.625</v>
      </c>
      <c r="JR311" s="93"/>
      <c r="JS311" s="93">
        <v>98.684211730957031</v>
      </c>
      <c r="JT311" s="93">
        <v>166.13923645019531</v>
      </c>
      <c r="JU311" s="20">
        <v>91.623039245605469</v>
      </c>
      <c r="JV311" s="29">
        <v>244</v>
      </c>
      <c r="JW311" s="1504">
        <v>43922</v>
      </c>
      <c r="JX311" s="19">
        <v>330.55533333333329</v>
      </c>
      <c r="JY311" s="93">
        <v>312.5</v>
      </c>
      <c r="JZ311" s="93"/>
      <c r="KA311" s="93">
        <v>248.75</v>
      </c>
      <c r="KB311" s="93">
        <v>208.75</v>
      </c>
      <c r="KC311" s="93">
        <v>351.66666666666669</v>
      </c>
      <c r="KD311" s="20">
        <v>302.60416666666669</v>
      </c>
      <c r="KE311" s="29">
        <v>244</v>
      </c>
      <c r="KF311" s="19">
        <v>52.999666666666663</v>
      </c>
      <c r="KG311" s="93">
        <v>45.683333333333337</v>
      </c>
      <c r="KH311" s="93">
        <v>61.25</v>
      </c>
      <c r="KI311" s="93">
        <v>47.305555555555557</v>
      </c>
      <c r="KJ311" s="93">
        <v>63.5833333333333</v>
      </c>
      <c r="KK311" s="20">
        <v>87.833333333333329</v>
      </c>
      <c r="KL311" s="29">
        <v>244</v>
      </c>
      <c r="KM311" s="19">
        <v>28.055666666666667</v>
      </c>
      <c r="KN311" s="93">
        <v>14.625</v>
      </c>
      <c r="KO311" s="93">
        <v>26.875</v>
      </c>
      <c r="KP311" s="93">
        <v>34.027777777777779</v>
      </c>
      <c r="KQ311" s="93">
        <v>42.916666666666664</v>
      </c>
      <c r="KR311" s="20">
        <v>41.192307692307693</v>
      </c>
      <c r="KS311" s="29">
        <v>244</v>
      </c>
      <c r="KT311" s="19">
        <v>23.75</v>
      </c>
      <c r="KU311" s="93">
        <v>23.556756756756755</v>
      </c>
      <c r="KV311" s="93">
        <v>34.5</v>
      </c>
      <c r="KW311" s="93">
        <v>27.659090909090907</v>
      </c>
      <c r="KX311" s="93">
        <v>24</v>
      </c>
      <c r="KY311" s="20">
        <v>30.588709677419356</v>
      </c>
      <c r="KZ311" s="29">
        <v>244</v>
      </c>
      <c r="LA311" s="1504">
        <v>43922</v>
      </c>
      <c r="LB311" s="19"/>
      <c r="LC311" s="93"/>
      <c r="LD311" s="93"/>
      <c r="LE311" s="93"/>
      <c r="LF311" s="93"/>
      <c r="LG311" s="93"/>
      <c r="LH311" s="20"/>
      <c r="LI311" s="29"/>
      <c r="LJ311" s="19"/>
      <c r="LK311" s="93"/>
      <c r="LL311" s="93"/>
      <c r="LM311" s="93"/>
      <c r="LN311" s="93"/>
      <c r="LO311" s="20"/>
      <c r="LP311" s="29"/>
      <c r="LQ311" s="19"/>
      <c r="LR311" s="93">
        <v>188</v>
      </c>
      <c r="LS311" s="93">
        <v>463</v>
      </c>
      <c r="LT311" s="93">
        <v>663</v>
      </c>
      <c r="LU311" s="93">
        <v>1104</v>
      </c>
      <c r="LV311" s="93"/>
      <c r="LW311" s="93">
        <v>5</v>
      </c>
      <c r="LX311" s="93">
        <v>10</v>
      </c>
      <c r="LY311" s="93">
        <v>60</v>
      </c>
      <c r="LZ311" s="93"/>
      <c r="MA311" s="20"/>
      <c r="MB311" s="29">
        <v>244</v>
      </c>
      <c r="MC311" s="1504">
        <v>43922</v>
      </c>
      <c r="MD311" s="19">
        <v>562.4775686659857</v>
      </c>
      <c r="ME311" s="93">
        <v>517.66225803995383</v>
      </c>
      <c r="MF311" s="93">
        <v>517.55450024115385</v>
      </c>
      <c r="MG311" s="93">
        <v>446.65327286615383</v>
      </c>
      <c r="MH311" s="93">
        <v>157.14582901068226</v>
      </c>
      <c r="MI311" s="93">
        <v>4.9075574412861602</v>
      </c>
      <c r="MJ311" s="93">
        <v>3.0181110794860357</v>
      </c>
      <c r="MK311" s="93">
        <v>218.6592040811081</v>
      </c>
      <c r="ML311" s="93">
        <v>60.403549282000007</v>
      </c>
      <c r="MM311" s="93">
        <v>2.5190219715912874</v>
      </c>
      <c r="MN311" s="93">
        <v>70.901227375000005</v>
      </c>
      <c r="MO311" s="93">
        <v>1.6587910389999998</v>
      </c>
      <c r="MP311" s="93">
        <v>33.225660486999999</v>
      </c>
      <c r="MQ311" s="93">
        <v>1.1216983380000001</v>
      </c>
      <c r="MR311" s="93">
        <v>9.3907749999999998E-2</v>
      </c>
      <c r="MS311" s="93">
        <v>34.801169761000004</v>
      </c>
      <c r="MT311" s="93">
        <v>0.10775779880000305</v>
      </c>
      <c r="MU311" s="93">
        <v>44.815310626031831</v>
      </c>
      <c r="MV311" s="93">
        <v>44.815310626031831</v>
      </c>
      <c r="MW311" s="93">
        <v>0</v>
      </c>
      <c r="MX311" s="93">
        <v>745.59692966092757</v>
      </c>
      <c r="MY311" s="93">
        <v>739.89954619792752</v>
      </c>
      <c r="MZ311" s="93">
        <v>548.89439322375597</v>
      </c>
      <c r="NA311" s="93">
        <v>285.83659814999999</v>
      </c>
      <c r="NB311" s="93">
        <v>42.598432050999996</v>
      </c>
      <c r="NC311" s="93">
        <v>31.928628294506012</v>
      </c>
      <c r="ND311" s="93">
        <v>24.222582477000007</v>
      </c>
      <c r="NE311" s="93">
        <v>7.7060458175060118</v>
      </c>
      <c r="NF311" s="93">
        <v>188.53073472825</v>
      </c>
      <c r="NG311" s="93">
        <v>3.8200482124999997</v>
      </c>
      <c r="NH311" s="93">
        <v>43.664047642</v>
      </c>
      <c r="NI311" s="1805">
        <v>0</v>
      </c>
      <c r="NJ311" s="1805">
        <v>31.641502763000002</v>
      </c>
      <c r="NK311" s="93">
        <v>191.00515297417152</v>
      </c>
      <c r="NL311" s="93">
        <v>114.174633095</v>
      </c>
      <c r="NM311" s="93">
        <v>0.88775871400000006</v>
      </c>
      <c r="NN311" s="93">
        <v>75.942761165171504</v>
      </c>
      <c r="NO311" s="93">
        <v>5.6973834630000084</v>
      </c>
      <c r="NP311" s="93">
        <v>-183.11936099494181</v>
      </c>
      <c r="NQ311" s="93">
        <v>-227.93467162097366</v>
      </c>
      <c r="NR311" s="93">
        <v>-120.06328216129609</v>
      </c>
      <c r="NS311" s="93">
        <v>-151.9919104558021</v>
      </c>
      <c r="NT311" s="93">
        <v>-229.35180952294186</v>
      </c>
      <c r="NU311" s="93">
        <v>-274.16712014897371</v>
      </c>
      <c r="NV311" s="93">
        <v>230.62097943870748</v>
      </c>
      <c r="NW311" s="93">
        <v>18.878954417707458</v>
      </c>
      <c r="NX311" s="93">
        <v>36.375106539139672</v>
      </c>
      <c r="NY311" s="93">
        <v>-17.496152121432207</v>
      </c>
      <c r="NZ311" s="93">
        <v>0</v>
      </c>
      <c r="OA311" s="93">
        <v>211.74202502100002</v>
      </c>
      <c r="OB311" s="93">
        <v>49.295437475000007</v>
      </c>
      <c r="OC311" s="93">
        <v>162.44658754600002</v>
      </c>
      <c r="OD311" s="20">
        <v>-1.269169915765604</v>
      </c>
      <c r="OE311" s="29">
        <v>244</v>
      </c>
      <c r="OF311" s="1504">
        <v>43922</v>
      </c>
      <c r="OG311" s="19"/>
      <c r="OH311" s="93">
        <v>664.7214367680931</v>
      </c>
      <c r="OI311" s="93">
        <v>1927.9670004449999</v>
      </c>
      <c r="OJ311" s="93">
        <v>0.42945965799999997</v>
      </c>
      <c r="OK311" s="93">
        <v>1677.32</v>
      </c>
      <c r="OL311" s="93">
        <v>250.21754078700002</v>
      </c>
      <c r="OM311" s="93">
        <v>2592.688437213093</v>
      </c>
      <c r="ON311" s="93">
        <v>1594.0041083190001</v>
      </c>
      <c r="OO311" s="93">
        <v>4186.6925455320934</v>
      </c>
      <c r="OP311" s="93"/>
      <c r="OQ311" s="93">
        <v>1618.1707436360928</v>
      </c>
      <c r="OR311" s="93">
        <v>246.05674363609285</v>
      </c>
      <c r="OS311" s="93">
        <v>1372.114</v>
      </c>
      <c r="OT311" s="93">
        <v>3114.2853720630001</v>
      </c>
      <c r="OU311" s="93">
        <v>26.391159313999964</v>
      </c>
      <c r="OV311" s="93">
        <v>-133.30084068600004</v>
      </c>
      <c r="OW311" s="93">
        <v>159.69200000000001</v>
      </c>
      <c r="OX311" s="93">
        <v>3087.894212749</v>
      </c>
      <c r="OY311" s="93">
        <v>6.9022127490000003</v>
      </c>
      <c r="OZ311" s="93">
        <v>3080.9920000000002</v>
      </c>
      <c r="PA311" s="93">
        <v>736.46538613799999</v>
      </c>
      <c r="PB311" s="93">
        <v>-190.70181597099989</v>
      </c>
      <c r="PC311" s="20">
        <v>4186.6925455320925</v>
      </c>
      <c r="PD311" s="29">
        <v>244</v>
      </c>
      <c r="PE311" s="19"/>
      <c r="PF311" s="93">
        <v>246.05674363609285</v>
      </c>
      <c r="PG311" s="93">
        <v>1244.2082061880931</v>
      </c>
      <c r="PH311" s="93">
        <v>998.15146255200023</v>
      </c>
      <c r="PI311" s="93">
        <v>885.65</v>
      </c>
      <c r="PJ311" s="93">
        <v>-123.32242508700006</v>
      </c>
      <c r="PK311" s="93">
        <v>201.41905775499998</v>
      </c>
      <c r="PL311" s="93">
        <v>324.74148284200004</v>
      </c>
      <c r="PM311" s="93">
        <v>6.9022127490000003</v>
      </c>
      <c r="PN311" s="93">
        <v>2.4990000000000001</v>
      </c>
      <c r="PO311" s="93">
        <v>0</v>
      </c>
      <c r="PP311" s="93">
        <v>0</v>
      </c>
      <c r="PQ311" s="93">
        <v>4.4032127490000006</v>
      </c>
      <c r="PR311" s="93">
        <v>1032.0713956660929</v>
      </c>
      <c r="PS311" s="93">
        <v>757.25385236709303</v>
      </c>
      <c r="PT311" s="93">
        <v>274.05497532200002</v>
      </c>
      <c r="PU311" s="93">
        <v>0.76256797700000001</v>
      </c>
      <c r="PV311" s="93">
        <v>0</v>
      </c>
      <c r="PW311" s="93">
        <v>1.2382449440000001</v>
      </c>
      <c r="PX311" s="93">
        <v>0</v>
      </c>
      <c r="PY311" s="93">
        <v>0</v>
      </c>
      <c r="PZ311" s="93">
        <v>1.2382449440000001</v>
      </c>
      <c r="QA311" s="93">
        <v>0</v>
      </c>
      <c r="QB311" s="93"/>
      <c r="QC311" s="93"/>
      <c r="QD311" s="93">
        <v>6.4231411940000003</v>
      </c>
      <c r="QE311" s="20">
        <v>-24.446250505999984</v>
      </c>
      <c r="QF311" s="1739">
        <v>244</v>
      </c>
      <c r="QG311" s="19"/>
      <c r="QH311" s="93">
        <v>1372.114</v>
      </c>
      <c r="QI311" s="93">
        <v>1768.1659999999999</v>
      </c>
      <c r="QJ311" s="93">
        <v>-396.05199999999996</v>
      </c>
      <c r="QK311" s="93">
        <v>355.87800000000004</v>
      </c>
      <c r="QL311" s="93">
        <v>82.554000000000002</v>
      </c>
      <c r="QM311" s="93">
        <v>273.32400000000001</v>
      </c>
      <c r="QN311" s="93">
        <v>0</v>
      </c>
      <c r="QO311" s="93">
        <v>159.69200000000001</v>
      </c>
      <c r="QP311" s="93">
        <v>682.76400000000001</v>
      </c>
      <c r="QQ311" s="93">
        <v>-523.072</v>
      </c>
      <c r="QR311" s="93">
        <v>3080.9920000000002</v>
      </c>
      <c r="QS311" s="93">
        <v>26.011000000000003</v>
      </c>
      <c r="QT311" s="93">
        <v>1.409</v>
      </c>
      <c r="QU311" s="93">
        <v>264.18700000000001</v>
      </c>
      <c r="QV311" s="93">
        <v>2789.3850000000002</v>
      </c>
      <c r="QW311" s="93"/>
      <c r="QX311" s="93">
        <v>883.98099999999999</v>
      </c>
      <c r="QY311" s="93">
        <v>1677.3200000000002</v>
      </c>
      <c r="QZ311" s="93">
        <v>1593.671</v>
      </c>
      <c r="RA311" s="93">
        <v>0</v>
      </c>
      <c r="RB311" s="93">
        <v>139.98700000000002</v>
      </c>
      <c r="RC311" s="93">
        <v>0</v>
      </c>
      <c r="RD311" s="93">
        <v>23.773000000000003</v>
      </c>
      <c r="RE311" s="93">
        <v>0</v>
      </c>
      <c r="RF311" s="93">
        <v>0</v>
      </c>
      <c r="RG311" s="93">
        <v>565.04399999999998</v>
      </c>
      <c r="RH311" s="93">
        <v>84.900000000000034</v>
      </c>
      <c r="RI311" s="93"/>
      <c r="RJ311" s="93"/>
      <c r="RK311" s="93"/>
      <c r="RL311" s="93"/>
      <c r="RM311" s="20"/>
      <c r="RN311" s="29">
        <v>244</v>
      </c>
      <c r="RO311" s="19">
        <v>326</v>
      </c>
      <c r="RP311" s="20">
        <v>155</v>
      </c>
      <c r="RQ311" s="29">
        <v>244</v>
      </c>
      <c r="RR311" s="734">
        <v>4.3334164199999998</v>
      </c>
      <c r="RS311" s="29">
        <v>244</v>
      </c>
      <c r="RT311" s="1504">
        <v>43922</v>
      </c>
      <c r="RU311" s="19">
        <v>906</v>
      </c>
      <c r="RV311" s="20">
        <v>15</v>
      </c>
      <c r="RW311" s="29">
        <v>244</v>
      </c>
      <c r="RX311" s="1504">
        <v>43922</v>
      </c>
      <c r="RY311" s="29">
        <v>12396.65</v>
      </c>
      <c r="RZ311" s="734">
        <v>11347.890000000001</v>
      </c>
      <c r="SA311" s="29">
        <v>287910.36804297939</v>
      </c>
      <c r="SB311" s="29">
        <v>244</v>
      </c>
    </row>
    <row r="312" spans="1:496">
      <c r="A312" s="41">
        <f t="shared" si="238"/>
        <v>2020</v>
      </c>
      <c r="B312" s="1504">
        <v>43952</v>
      </c>
      <c r="C312" s="1813">
        <v>1659</v>
      </c>
      <c r="D312" s="1814">
        <v>26797</v>
      </c>
      <c r="E312" s="1814">
        <v>484</v>
      </c>
      <c r="F312" s="1815"/>
      <c r="G312" s="1814">
        <v>103023</v>
      </c>
      <c r="H312" s="1814">
        <v>203</v>
      </c>
      <c r="I312" s="1814">
        <v>30455</v>
      </c>
      <c r="J312" s="1816">
        <v>25690</v>
      </c>
      <c r="K312" s="1807">
        <v>157964</v>
      </c>
      <c r="L312" s="25">
        <v>245</v>
      </c>
      <c r="M312" s="97"/>
      <c r="N312" s="1504">
        <v>43952</v>
      </c>
      <c r="O312" s="19">
        <v>971</v>
      </c>
      <c r="P312" s="93">
        <v>1419</v>
      </c>
      <c r="Q312" s="93">
        <v>7433</v>
      </c>
      <c r="R312" s="93">
        <v>2038</v>
      </c>
      <c r="S312" s="93">
        <v>3961</v>
      </c>
      <c r="T312" s="93">
        <v>754</v>
      </c>
      <c r="U312" s="93">
        <v>263</v>
      </c>
      <c r="V312" s="93">
        <v>1311</v>
      </c>
      <c r="W312" s="93">
        <v>5862</v>
      </c>
      <c r="X312" s="93">
        <v>713</v>
      </c>
      <c r="Y312" s="93">
        <v>417</v>
      </c>
      <c r="Z312" s="93">
        <v>952</v>
      </c>
      <c r="AA312" s="93">
        <v>703</v>
      </c>
      <c r="AB312" s="20">
        <v>26797</v>
      </c>
      <c r="AC312" s="25">
        <v>245</v>
      </c>
      <c r="AD312" s="97"/>
      <c r="AE312" s="1504">
        <v>43952</v>
      </c>
      <c r="AF312" s="19">
        <v>1930</v>
      </c>
      <c r="AG312" s="93">
        <v>731</v>
      </c>
      <c r="AH312" s="93">
        <v>4020</v>
      </c>
      <c r="AI312" s="93">
        <v>3984</v>
      </c>
      <c r="AJ312" s="93">
        <v>2220</v>
      </c>
      <c r="AK312" s="93">
        <v>2143</v>
      </c>
      <c r="AL312" s="93">
        <v>776</v>
      </c>
      <c r="AM312" s="93">
        <v>1591</v>
      </c>
      <c r="AN312" s="93">
        <v>8233</v>
      </c>
      <c r="AO312" s="93">
        <v>1555</v>
      </c>
      <c r="AP312" s="93">
        <v>886</v>
      </c>
      <c r="AQ312" s="93">
        <v>1353</v>
      </c>
      <c r="AR312" s="93">
        <v>1033</v>
      </c>
      <c r="AS312" s="20">
        <v>30455</v>
      </c>
      <c r="AT312" s="25">
        <v>245</v>
      </c>
      <c r="AU312" s="97"/>
      <c r="AV312" s="1504">
        <v>43952</v>
      </c>
      <c r="AW312" s="19">
        <v>10995</v>
      </c>
      <c r="AX312" s="93">
        <v>3092</v>
      </c>
      <c r="AY312" s="93">
        <v>2592</v>
      </c>
      <c r="AZ312" s="93">
        <v>16146</v>
      </c>
      <c r="BA312" s="93">
        <v>8881</v>
      </c>
      <c r="BB312" s="93">
        <v>6582</v>
      </c>
      <c r="BC312" s="93">
        <v>4024</v>
      </c>
      <c r="BD312" s="93">
        <v>11992</v>
      </c>
      <c r="BE312" s="93">
        <v>15048</v>
      </c>
      <c r="BF312" s="93">
        <v>5582</v>
      </c>
      <c r="BG312" s="93">
        <v>3622</v>
      </c>
      <c r="BH312" s="93">
        <v>9487</v>
      </c>
      <c r="BI312" s="93">
        <v>4980</v>
      </c>
      <c r="BJ312" s="20">
        <v>103023</v>
      </c>
      <c r="BK312" s="25">
        <v>245</v>
      </c>
      <c r="BL312" s="97"/>
      <c r="BM312" s="1504">
        <v>43952</v>
      </c>
      <c r="BN312" s="19">
        <v>84.608999999999995</v>
      </c>
      <c r="BO312" s="93">
        <v>3028.0610000000001</v>
      </c>
      <c r="BP312" s="93">
        <v>92.927999999999997</v>
      </c>
      <c r="BQ312" s="93">
        <v>824.18399999999997</v>
      </c>
      <c r="BR312" s="93">
        <v>31.059000000000001</v>
      </c>
      <c r="BS312" s="93">
        <v>274.09500000000003</v>
      </c>
      <c r="BT312" s="93">
        <v>616.55999999999995</v>
      </c>
      <c r="BU312" s="20">
        <v>4951.4960000000001</v>
      </c>
      <c r="BV312" s="25">
        <v>245</v>
      </c>
      <c r="BW312" s="97"/>
      <c r="BX312" s="1504">
        <v>43952</v>
      </c>
      <c r="BY312" s="897">
        <v>601.72820000000002</v>
      </c>
      <c r="BZ312" s="99">
        <v>655.95699999999999</v>
      </c>
      <c r="CA312" s="99">
        <v>620.8338</v>
      </c>
      <c r="CB312" s="99">
        <v>33.145766999999999</v>
      </c>
      <c r="CC312" s="99">
        <v>104.3111</v>
      </c>
      <c r="CD312" s="25">
        <v>245</v>
      </c>
      <c r="CE312" s="97"/>
      <c r="CF312" s="1504">
        <v>43952</v>
      </c>
      <c r="CG312" s="1508">
        <v>1.4484353400000001</v>
      </c>
      <c r="CH312" s="93">
        <v>1715.91</v>
      </c>
      <c r="CI312" s="1708">
        <v>30.38</v>
      </c>
      <c r="CJ312" s="20">
        <v>31.02</v>
      </c>
      <c r="CK312" s="19">
        <v>492.89</v>
      </c>
      <c r="CL312" s="568">
        <v>143.90578719999999</v>
      </c>
      <c r="CM312" s="568">
        <v>0.24162635199999999</v>
      </c>
      <c r="CN312" s="568">
        <v>0.35601571199999998</v>
      </c>
      <c r="CO312" s="568">
        <v>205.76455200000001</v>
      </c>
      <c r="CP312" s="1509">
        <v>5.0810979449999998</v>
      </c>
      <c r="CQ312" s="219">
        <v>1588.02</v>
      </c>
      <c r="CR312" s="93">
        <v>1.9724999999999999</v>
      </c>
      <c r="CS312" s="568">
        <v>1.3468</v>
      </c>
      <c r="CT312" s="568">
        <v>72.900000000000006</v>
      </c>
      <c r="CU312" s="93">
        <v>93.65</v>
      </c>
      <c r="CV312" s="214">
        <v>1975.32</v>
      </c>
      <c r="CW312" s="29">
        <v>245</v>
      </c>
      <c r="CX312" s="41">
        <f t="shared" si="239"/>
        <v>2020</v>
      </c>
      <c r="CY312" s="1504">
        <v>43952</v>
      </c>
      <c r="CZ312" s="733">
        <v>169.93623400000001</v>
      </c>
      <c r="DA312" s="570">
        <v>107.07880299999999</v>
      </c>
      <c r="DB312" s="570">
        <v>46.105566000000003</v>
      </c>
      <c r="DC312" s="93"/>
      <c r="DD312" s="93"/>
      <c r="DE312" s="20"/>
      <c r="DF312" s="29">
        <v>245</v>
      </c>
      <c r="DG312" s="1504">
        <v>43952</v>
      </c>
      <c r="DH312" s="19">
        <v>436771</v>
      </c>
      <c r="DI312" s="93">
        <v>4681251</v>
      </c>
      <c r="DJ312" s="93">
        <v>246958</v>
      </c>
      <c r="DK312" s="93">
        <v>16703</v>
      </c>
      <c r="DL312" s="93">
        <v>403152</v>
      </c>
      <c r="DM312" s="93">
        <v>7082</v>
      </c>
      <c r="DN312" s="20">
        <v>2346136</v>
      </c>
      <c r="DO312" s="295">
        <f t="shared" si="282"/>
        <v>7701282</v>
      </c>
      <c r="DP312" s="29">
        <v>245</v>
      </c>
      <c r="DQ312" s="1504">
        <v>43952</v>
      </c>
      <c r="DR312" s="19">
        <v>43898.904999999999</v>
      </c>
      <c r="DS312" s="93">
        <v>317</v>
      </c>
      <c r="DT312" s="93">
        <v>54778.728000000003</v>
      </c>
      <c r="DU312" s="93">
        <v>4721.0680000000002</v>
      </c>
      <c r="DV312" s="93">
        <v>15008</v>
      </c>
      <c r="DW312" s="93">
        <v>451</v>
      </c>
      <c r="DX312" s="20">
        <v>14832.476785714283</v>
      </c>
      <c r="DY312" s="29">
        <v>245</v>
      </c>
      <c r="DZ312" s="1504">
        <v>43952</v>
      </c>
      <c r="EA312" s="19"/>
      <c r="EB312" s="93"/>
      <c r="EC312" s="20"/>
      <c r="ED312" s="29"/>
      <c r="EE312" s="1504">
        <v>43952</v>
      </c>
      <c r="EF312" s="19">
        <v>664</v>
      </c>
      <c r="EG312" s="93">
        <v>616</v>
      </c>
      <c r="EH312" s="93">
        <v>1280</v>
      </c>
      <c r="EI312" s="214">
        <v>125</v>
      </c>
      <c r="EJ312" s="93">
        <v>634.32900000000006</v>
      </c>
      <c r="EK312" s="93">
        <v>352.839</v>
      </c>
      <c r="EL312" s="93">
        <v>0.91900000000000004</v>
      </c>
      <c r="EM312" s="93">
        <v>2.8609999999999998</v>
      </c>
      <c r="EN312" s="20">
        <v>990.94800000000009</v>
      </c>
      <c r="EO312" s="29">
        <v>245</v>
      </c>
      <c r="EP312" s="1504">
        <v>43952</v>
      </c>
      <c r="EQ312" s="19">
        <v>660</v>
      </c>
      <c r="ER312" s="93">
        <v>614</v>
      </c>
      <c r="ES312" s="93">
        <v>1274</v>
      </c>
      <c r="ET312" s="214">
        <v>125</v>
      </c>
      <c r="EU312" s="93">
        <v>629.73800000000006</v>
      </c>
      <c r="EV312" s="93">
        <v>165.34299999999999</v>
      </c>
      <c r="EW312" s="93">
        <v>0.87</v>
      </c>
      <c r="EX312" s="93">
        <v>2.84</v>
      </c>
      <c r="EY312" s="20">
        <v>798.79100000000005</v>
      </c>
      <c r="EZ312" s="29">
        <v>245</v>
      </c>
      <c r="FA312" s="1504">
        <v>43952</v>
      </c>
      <c r="FB312" s="29">
        <v>4</v>
      </c>
      <c r="FC312" s="29">
        <v>2</v>
      </c>
      <c r="FD312" s="29">
        <v>6</v>
      </c>
      <c r="FE312" s="29">
        <v>0</v>
      </c>
      <c r="FF312" s="29">
        <v>4.5910000000000002</v>
      </c>
      <c r="FG312" s="29">
        <v>187.49600000000001</v>
      </c>
      <c r="FH312" s="29">
        <v>4.9000000000000002E-2</v>
      </c>
      <c r="FI312" s="29">
        <v>2.1000000000000001E-2</v>
      </c>
      <c r="FJ312" s="29">
        <v>192.15700000000001</v>
      </c>
      <c r="FK312" s="29">
        <v>245</v>
      </c>
      <c r="FL312" s="1504">
        <v>43952</v>
      </c>
      <c r="FM312" s="19">
        <v>105.51</v>
      </c>
      <c r="FN312" s="93">
        <v>108.99</v>
      </c>
      <c r="FO312" s="93">
        <v>130.5</v>
      </c>
      <c r="FP312" s="93">
        <v>101.31</v>
      </c>
      <c r="FQ312" s="93">
        <v>90.02</v>
      </c>
      <c r="FR312" s="93">
        <v>101.29</v>
      </c>
      <c r="FS312" s="93">
        <v>100.41</v>
      </c>
      <c r="FT312" s="93">
        <v>98.98</v>
      </c>
      <c r="FU312" s="93">
        <v>98.78</v>
      </c>
      <c r="FV312" s="93">
        <v>101.12</v>
      </c>
      <c r="FW312" s="93">
        <v>107.43</v>
      </c>
      <c r="FX312" s="93">
        <v>105.85</v>
      </c>
      <c r="FY312" s="93">
        <v>100.75</v>
      </c>
      <c r="FZ312" s="29">
        <v>245</v>
      </c>
      <c r="GA312" s="1504">
        <v>43952</v>
      </c>
      <c r="GB312" s="19">
        <v>105.51</v>
      </c>
      <c r="GC312" s="93">
        <v>102.28</v>
      </c>
      <c r="GD312" s="93">
        <v>107.21</v>
      </c>
      <c r="GE312" s="93">
        <v>85.72</v>
      </c>
      <c r="GF312" s="93">
        <v>112.85</v>
      </c>
      <c r="GG312" s="93">
        <v>103.6</v>
      </c>
      <c r="GH312" s="93">
        <v>112.16</v>
      </c>
      <c r="GI312" s="93">
        <v>102.29</v>
      </c>
      <c r="GJ312" s="93">
        <v>99.37</v>
      </c>
      <c r="GK312" s="93">
        <v>100.29</v>
      </c>
      <c r="GL312" s="93">
        <v>108.56</v>
      </c>
      <c r="GM312" s="93">
        <v>101.24</v>
      </c>
      <c r="GN312" s="20">
        <v>99.37</v>
      </c>
      <c r="GO312" s="29">
        <v>245</v>
      </c>
      <c r="GP312" s="1504">
        <v>43952</v>
      </c>
      <c r="GQ312" s="19">
        <v>272</v>
      </c>
      <c r="GR312" s="93">
        <v>228</v>
      </c>
      <c r="GS312" s="93">
        <v>221</v>
      </c>
      <c r="GT312" s="93">
        <v>183</v>
      </c>
      <c r="GU312" s="93">
        <v>389</v>
      </c>
      <c r="GV312" s="20">
        <v>1084</v>
      </c>
      <c r="GW312" s="19">
        <v>386</v>
      </c>
      <c r="GX312" s="93">
        <v>413</v>
      </c>
      <c r="GY312" s="93">
        <v>521</v>
      </c>
      <c r="GZ312" s="93">
        <v>309</v>
      </c>
      <c r="HA312" s="93">
        <v>525</v>
      </c>
      <c r="HB312" s="20">
        <v>786</v>
      </c>
      <c r="HC312" s="19">
        <v>2092</v>
      </c>
      <c r="HD312" s="93">
        <v>2706</v>
      </c>
      <c r="HE312" s="93">
        <v>2829</v>
      </c>
      <c r="HF312" s="93">
        <v>3150</v>
      </c>
      <c r="HG312" s="93">
        <v>2821</v>
      </c>
      <c r="HH312" s="20">
        <v>2918</v>
      </c>
      <c r="HI312" s="19"/>
      <c r="HJ312" s="93">
        <v>847</v>
      </c>
      <c r="HK312" s="93">
        <v>1606</v>
      </c>
      <c r="HL312" s="93">
        <v>893</v>
      </c>
      <c r="HM312" s="93">
        <v>900</v>
      </c>
      <c r="HN312" s="20">
        <v>2654</v>
      </c>
      <c r="HO312" s="219">
        <v>151</v>
      </c>
      <c r="HP312" s="20">
        <v>99</v>
      </c>
      <c r="HQ312" s="25">
        <v>155</v>
      </c>
      <c r="HR312" s="29">
        <v>245</v>
      </c>
      <c r="HS312" s="1504">
        <v>43952</v>
      </c>
      <c r="HT312" s="179">
        <v>200.77371063232422</v>
      </c>
      <c r="HU312" s="99">
        <v>252.77777709960938</v>
      </c>
      <c r="HV312" s="99">
        <v>188.3864715576172</v>
      </c>
      <c r="HW312" s="99">
        <v>153.06121826171875</v>
      </c>
      <c r="HX312" s="99">
        <v>193.75000381469727</v>
      </c>
      <c r="HY312" s="99">
        <v>218.62605285644531</v>
      </c>
      <c r="HZ312" s="99">
        <v>218.34843749999999</v>
      </c>
      <c r="IA312" s="132">
        <v>181.78105545043945</v>
      </c>
      <c r="IB312" s="179">
        <v>157.27272796630859</v>
      </c>
      <c r="IC312" s="99">
        <v>97.222221374511719</v>
      </c>
      <c r="ID312" s="99">
        <v>103.44827270507813</v>
      </c>
      <c r="IE312" s="99">
        <v>98.039215087890625</v>
      </c>
      <c r="IF312" s="99">
        <v>139.31887817382813</v>
      </c>
      <c r="IG312" s="132">
        <v>106.01092529296875</v>
      </c>
      <c r="IH312" s="179">
        <v>131.18131256103516</v>
      </c>
      <c r="II312" s="99">
        <v>215.05375671386719</v>
      </c>
      <c r="IJ312" s="99">
        <v>154.65812988281249</v>
      </c>
      <c r="IK312" s="99">
        <v>142.85714721679688</v>
      </c>
      <c r="IL312" s="99">
        <v>140.10050201416016</v>
      </c>
      <c r="IM312" s="99">
        <v>133.9869270324707</v>
      </c>
      <c r="IN312" s="93">
        <v>159.01060485839844</v>
      </c>
      <c r="IO312" s="132">
        <v>161.76629028320312</v>
      </c>
      <c r="IP312" s="29">
        <v>245</v>
      </c>
      <c r="IQ312" s="19">
        <v>157.27272796630859</v>
      </c>
      <c r="IR312" s="93">
        <v>97.222221374511719</v>
      </c>
      <c r="IS312" s="93">
        <v>103.44827270507813</v>
      </c>
      <c r="IT312" s="93">
        <v>98.039215087890625</v>
      </c>
      <c r="IU312" s="93">
        <v>139.31887817382813</v>
      </c>
      <c r="IV312" s="20">
        <v>106.01092529296875</v>
      </c>
      <c r="IW312" s="29">
        <v>245</v>
      </c>
      <c r="IX312" s="19"/>
      <c r="IY312" s="93">
        <v>406.25000762939453</v>
      </c>
      <c r="IZ312" s="93"/>
      <c r="JA312" s="93">
        <v>362.5</v>
      </c>
      <c r="JB312" s="93">
        <v>384</v>
      </c>
      <c r="JC312" s="93"/>
      <c r="JD312" s="93">
        <v>370</v>
      </c>
      <c r="JE312" s="20">
        <v>400</v>
      </c>
      <c r="JF312" s="29">
        <v>245</v>
      </c>
      <c r="JG312" s="19">
        <v>148.83419952392578</v>
      </c>
      <c r="JH312" s="93">
        <v>204.30107116699219</v>
      </c>
      <c r="JI312" s="93">
        <v>128.94927978515625</v>
      </c>
      <c r="JJ312" s="93">
        <v>166.66667175292969</v>
      </c>
      <c r="JK312" s="93">
        <v>140.99326324462891</v>
      </c>
      <c r="JL312" s="93">
        <v>158.27559661865234</v>
      </c>
      <c r="JM312" s="93">
        <v>148.10231018066406</v>
      </c>
      <c r="JN312" s="20">
        <v>199.87938232421874</v>
      </c>
      <c r="JO312" s="29">
        <v>245</v>
      </c>
      <c r="JP312" s="19">
        <v>175.53191375732422</v>
      </c>
      <c r="JQ312" s="93">
        <v>87.5</v>
      </c>
      <c r="JR312" s="93">
        <v>133.33332824707031</v>
      </c>
      <c r="JS312" s="93">
        <v>98.36065673828125</v>
      </c>
      <c r="JT312" s="93">
        <v>171.875</v>
      </c>
      <c r="JU312" s="20">
        <v>102.60417175292969</v>
      </c>
      <c r="JV312" s="29">
        <v>245</v>
      </c>
      <c r="JW312" s="1504">
        <v>43952</v>
      </c>
      <c r="JX312" s="19">
        <v>317.77800000000002</v>
      </c>
      <c r="JY312" s="93">
        <v>315.68049999999999</v>
      </c>
      <c r="JZ312" s="93"/>
      <c r="KA312" s="93">
        <v>287.49975000000001</v>
      </c>
      <c r="KB312" s="93">
        <v>269.60000000000002</v>
      </c>
      <c r="KC312" s="93">
        <v>338.96075000000002</v>
      </c>
      <c r="KD312" s="20">
        <v>338.07299999999998</v>
      </c>
      <c r="KE312" s="29">
        <v>245</v>
      </c>
      <c r="KF312" s="19">
        <v>51.666333333333334</v>
      </c>
      <c r="KG312" s="93">
        <v>44.8095</v>
      </c>
      <c r="KH312" s="93">
        <v>58.958500000000001</v>
      </c>
      <c r="KI312" s="93">
        <v>63.708500000000001</v>
      </c>
      <c r="KJ312" s="93">
        <v>54.33325</v>
      </c>
      <c r="KK312" s="20">
        <v>91.319249999999997</v>
      </c>
      <c r="KL312" s="29">
        <v>245</v>
      </c>
      <c r="KM312" s="19">
        <v>32.222333333333331</v>
      </c>
      <c r="KN312" s="93">
        <v>16.46725</v>
      </c>
      <c r="KO312" s="93">
        <v>30.91675</v>
      </c>
      <c r="KP312" s="93">
        <v>36.021000000000001</v>
      </c>
      <c r="KQ312" s="93">
        <v>39.208500000000001</v>
      </c>
      <c r="KR312" s="20">
        <v>45.161799999999999</v>
      </c>
      <c r="KS312" s="29">
        <v>245</v>
      </c>
      <c r="KT312" s="19">
        <v>22.8125</v>
      </c>
      <c r="KU312" s="93">
        <v>24.236486486486488</v>
      </c>
      <c r="KV312" s="93">
        <v>32</v>
      </c>
      <c r="KW312" s="93">
        <v>29.403846153846153</v>
      </c>
      <c r="KX312" s="93">
        <v>24.886363636363637</v>
      </c>
      <c r="KY312" s="20">
        <v>31.794871794871792</v>
      </c>
      <c r="KZ312" s="29">
        <v>245</v>
      </c>
      <c r="LA312" s="1504">
        <v>43952</v>
      </c>
      <c r="LB312" s="19"/>
      <c r="LC312" s="93"/>
      <c r="LD312" s="93"/>
      <c r="LE312" s="93"/>
      <c r="LF312" s="93"/>
      <c r="LG312" s="93"/>
      <c r="LH312" s="20"/>
      <c r="LI312" s="29"/>
      <c r="LJ312" s="19"/>
      <c r="LK312" s="93"/>
      <c r="LL312" s="93"/>
      <c r="LM312" s="93"/>
      <c r="LN312" s="93"/>
      <c r="LO312" s="20"/>
      <c r="LP312" s="29"/>
      <c r="LQ312" s="19"/>
      <c r="LR312" s="93">
        <v>188</v>
      </c>
      <c r="LS312" s="93">
        <v>463</v>
      </c>
      <c r="LT312" s="93">
        <v>663</v>
      </c>
      <c r="LU312" s="93">
        <v>1104</v>
      </c>
      <c r="LV312" s="93"/>
      <c r="LW312" s="93">
        <v>5</v>
      </c>
      <c r="LX312" s="93">
        <v>10</v>
      </c>
      <c r="LY312" s="93">
        <v>60</v>
      </c>
      <c r="LZ312" s="93"/>
      <c r="MA312" s="20"/>
      <c r="MB312" s="29">
        <v>245</v>
      </c>
      <c r="MC312" s="1504">
        <v>43952</v>
      </c>
      <c r="MD312" s="19">
        <v>688.13861971902736</v>
      </c>
      <c r="ME312" s="93">
        <v>640.53753273435382</v>
      </c>
      <c r="MF312" s="93">
        <v>640.41912222155395</v>
      </c>
      <c r="MG312" s="93">
        <v>545.17827425055384</v>
      </c>
      <c r="MH312" s="93">
        <v>188.67076152368227</v>
      </c>
      <c r="MI312" s="93">
        <v>5.9842064102861601</v>
      </c>
      <c r="MJ312" s="93">
        <v>3.8015680814860362</v>
      </c>
      <c r="MK312" s="93">
        <v>268.89986375250811</v>
      </c>
      <c r="ML312" s="93">
        <v>75.025658258000007</v>
      </c>
      <c r="MM312" s="93">
        <v>2.7962162245912872</v>
      </c>
      <c r="MN312" s="93">
        <v>95.240847970999994</v>
      </c>
      <c r="MO312" s="93">
        <v>1.9026565959999999</v>
      </c>
      <c r="MP312" s="93">
        <v>35.426022018999994</v>
      </c>
      <c r="MQ312" s="93">
        <v>1.307452541</v>
      </c>
      <c r="MR312" s="93">
        <v>12.036581283</v>
      </c>
      <c r="MS312" s="93">
        <v>44.568135532000007</v>
      </c>
      <c r="MT312" s="93">
        <v>0.11841051280000306</v>
      </c>
      <c r="MU312" s="93">
        <v>47.601086984673479</v>
      </c>
      <c r="MV312" s="93">
        <v>47.601086984673479</v>
      </c>
      <c r="MW312" s="93">
        <v>0</v>
      </c>
      <c r="MX312" s="93">
        <v>910.38686527925256</v>
      </c>
      <c r="MY312" s="93">
        <v>904.74238074725247</v>
      </c>
      <c r="MZ312" s="93">
        <v>664.01055655543939</v>
      </c>
      <c r="NA312" s="93">
        <v>360.99910718633333</v>
      </c>
      <c r="NB312" s="93">
        <v>53.050422507</v>
      </c>
      <c r="NC312" s="93">
        <v>44.390378527356042</v>
      </c>
      <c r="ND312" s="93">
        <v>34.037195884000006</v>
      </c>
      <c r="NE312" s="93">
        <v>10.353182643356048</v>
      </c>
      <c r="NF312" s="93">
        <v>205.57064833474999</v>
      </c>
      <c r="NG312" s="93">
        <v>7.4500964249999999</v>
      </c>
      <c r="NH312" s="93">
        <v>48.208162310000006</v>
      </c>
      <c r="NI312" s="1805">
        <v>0</v>
      </c>
      <c r="NJ312" s="1805">
        <v>34.063899683999999</v>
      </c>
      <c r="NK312" s="93">
        <v>240.73182419181316</v>
      </c>
      <c r="NL312" s="93">
        <v>150.80340787200001</v>
      </c>
      <c r="NM312" s="93">
        <v>0.88775871400000006</v>
      </c>
      <c r="NN312" s="93">
        <v>89.040657605813152</v>
      </c>
      <c r="NO312" s="93">
        <v>5.6444845320000088</v>
      </c>
      <c r="NP312" s="93">
        <v>-222.2482455602252</v>
      </c>
      <c r="NQ312" s="93">
        <v>-269.84933254489869</v>
      </c>
      <c r="NR312" s="93">
        <v>-136.41829641172944</v>
      </c>
      <c r="NS312" s="93">
        <v>-180.80867493908551</v>
      </c>
      <c r="NT312" s="93">
        <v>-239.46491262373524</v>
      </c>
      <c r="NU312" s="93">
        <v>-287.06599960840873</v>
      </c>
      <c r="NV312" s="93">
        <v>245.30557178573403</v>
      </c>
      <c r="NW312" s="93">
        <v>22.113995497734042</v>
      </c>
      <c r="NX312" s="93">
        <v>46.687226621139665</v>
      </c>
      <c r="NY312" s="93">
        <v>-24.57323112340562</v>
      </c>
      <c r="NZ312" s="93">
        <v>0</v>
      </c>
      <c r="OA312" s="93">
        <v>223.19157628800002</v>
      </c>
      <c r="OB312" s="93">
        <v>52.098098476999994</v>
      </c>
      <c r="OC312" s="93">
        <v>171.09347781099999</v>
      </c>
      <c r="OD312" s="20">
        <v>-5.840659161998782</v>
      </c>
      <c r="OE312" s="29">
        <v>245</v>
      </c>
      <c r="OF312" s="1504">
        <v>43952</v>
      </c>
      <c r="OG312" s="19"/>
      <c r="OH312" s="93">
        <v>690.70283178299997</v>
      </c>
      <c r="OI312" s="93">
        <v>2033.8302681069997</v>
      </c>
      <c r="OJ312" s="93">
        <v>0.39972732</v>
      </c>
      <c r="OK312" s="93">
        <v>1783.2129999999997</v>
      </c>
      <c r="OL312" s="93">
        <v>250.21754078700002</v>
      </c>
      <c r="OM312" s="93">
        <v>2724.5330998899999</v>
      </c>
      <c r="ON312" s="93">
        <v>1629.931108319</v>
      </c>
      <c r="OO312" s="93">
        <v>4354.4642082089995</v>
      </c>
      <c r="OP312" s="93"/>
      <c r="OQ312" s="93">
        <v>1747.3274137899994</v>
      </c>
      <c r="OR312" s="93">
        <v>154.17341378999981</v>
      </c>
      <c r="OS312" s="93">
        <v>1593.154</v>
      </c>
      <c r="OT312" s="93">
        <v>3153.7617437589997</v>
      </c>
      <c r="OU312" s="93">
        <v>78.52592805200004</v>
      </c>
      <c r="OV312" s="93">
        <v>-129.03207194799995</v>
      </c>
      <c r="OW312" s="93">
        <v>207.55799999999999</v>
      </c>
      <c r="OX312" s="93">
        <v>3075.2358157069998</v>
      </c>
      <c r="OY312" s="93">
        <v>6.8918157069999992</v>
      </c>
      <c r="OZ312" s="93">
        <v>3068.3440000000001</v>
      </c>
      <c r="PA312" s="93">
        <v>753.47806763699998</v>
      </c>
      <c r="PB312" s="93">
        <v>-206.85311829699992</v>
      </c>
      <c r="PC312" s="20">
        <v>4354.4642082089986</v>
      </c>
      <c r="PD312" s="29">
        <v>245</v>
      </c>
      <c r="PE312" s="19"/>
      <c r="PF312" s="93">
        <v>154.17341378999981</v>
      </c>
      <c r="PG312" s="93">
        <v>1259.5343220069999</v>
      </c>
      <c r="PH312" s="93">
        <v>1105.3609082170001</v>
      </c>
      <c r="PI312" s="93">
        <v>1017.8783</v>
      </c>
      <c r="PJ312" s="93">
        <v>-119.05365634899997</v>
      </c>
      <c r="PK312" s="93">
        <v>201.45701020499999</v>
      </c>
      <c r="PL312" s="93">
        <v>320.51066655399995</v>
      </c>
      <c r="PM312" s="93">
        <v>6.8918157069999992</v>
      </c>
      <c r="PN312" s="93">
        <v>2.4990000000000001</v>
      </c>
      <c r="PO312" s="93">
        <v>0</v>
      </c>
      <c r="PP312" s="93">
        <v>0</v>
      </c>
      <c r="PQ312" s="93">
        <v>4.3928157069999996</v>
      </c>
      <c r="PR312" s="93">
        <v>1064.5007282250001</v>
      </c>
      <c r="PS312" s="93">
        <v>780.47724738199997</v>
      </c>
      <c r="PT312" s="93">
        <v>283.29064520399999</v>
      </c>
      <c r="PU312" s="93">
        <v>0.73283563899999993</v>
      </c>
      <c r="PV312" s="93">
        <v>0</v>
      </c>
      <c r="PW312" s="93">
        <v>0.83960008399999997</v>
      </c>
      <c r="PX312" s="93">
        <v>0</v>
      </c>
      <c r="PY312" s="93">
        <v>0</v>
      </c>
      <c r="PZ312" s="93">
        <v>0.83960008399999997</v>
      </c>
      <c r="QA312" s="93">
        <v>0</v>
      </c>
      <c r="QB312" s="93"/>
      <c r="QC312" s="93"/>
      <c r="QD312" s="93">
        <v>7.4284675529999999</v>
      </c>
      <c r="QE312" s="20">
        <v>-12.878922714000014</v>
      </c>
      <c r="QF312" s="1739">
        <v>245</v>
      </c>
      <c r="QG312" s="19"/>
      <c r="QH312" s="93">
        <v>1593.154</v>
      </c>
      <c r="QI312" s="93">
        <v>1950.5119999999999</v>
      </c>
      <c r="QJ312" s="93">
        <v>-357.35800000000006</v>
      </c>
      <c r="QK312" s="93">
        <v>381.42099999999999</v>
      </c>
      <c r="QL312" s="93">
        <v>79.796000000000006</v>
      </c>
      <c r="QM312" s="93">
        <v>301.625</v>
      </c>
      <c r="QN312" s="93">
        <v>0</v>
      </c>
      <c r="QO312" s="93">
        <v>207.55799999999999</v>
      </c>
      <c r="QP312" s="93">
        <v>739.46299999999997</v>
      </c>
      <c r="QQ312" s="93">
        <v>-531.90499999999997</v>
      </c>
      <c r="QR312" s="93">
        <v>3068.3440000000001</v>
      </c>
      <c r="QS312" s="93">
        <v>22.811999999999998</v>
      </c>
      <c r="QT312" s="93">
        <v>1.625</v>
      </c>
      <c r="QU312" s="93">
        <v>257.53200000000004</v>
      </c>
      <c r="QV312" s="93">
        <v>2786.375</v>
      </c>
      <c r="QW312" s="93"/>
      <c r="QX312" s="93">
        <v>1018.99</v>
      </c>
      <c r="QY312" s="93">
        <v>1783.213</v>
      </c>
      <c r="QZ312" s="93">
        <v>1629.598</v>
      </c>
      <c r="RA312" s="93">
        <v>0</v>
      </c>
      <c r="RB312" s="93">
        <v>145.20699999999999</v>
      </c>
      <c r="RC312" s="93">
        <v>0</v>
      </c>
      <c r="RD312" s="93">
        <v>29.696999999999999</v>
      </c>
      <c r="RE312" s="93">
        <v>0</v>
      </c>
      <c r="RF312" s="93">
        <v>0</v>
      </c>
      <c r="RG312" s="93">
        <v>570.30599999999993</v>
      </c>
      <c r="RH312" s="93">
        <v>73.466000000000008</v>
      </c>
      <c r="RI312" s="93"/>
      <c r="RJ312" s="93"/>
      <c r="RK312" s="93"/>
      <c r="RL312" s="93"/>
      <c r="RM312" s="20"/>
      <c r="RN312" s="29">
        <v>245</v>
      </c>
      <c r="RO312" s="19">
        <v>113</v>
      </c>
      <c r="RP312" s="20">
        <v>1983</v>
      </c>
      <c r="RQ312" s="29">
        <v>245</v>
      </c>
      <c r="RR312" s="734">
        <v>4.9179536300000004</v>
      </c>
      <c r="RS312" s="29">
        <v>245</v>
      </c>
      <c r="RT312" s="1504">
        <v>43952</v>
      </c>
      <c r="RU312" s="19">
        <v>1128</v>
      </c>
      <c r="RV312" s="20">
        <v>27</v>
      </c>
      <c r="RW312" s="29">
        <v>245</v>
      </c>
      <c r="RX312" s="1504">
        <v>43952</v>
      </c>
      <c r="RY312" s="29">
        <v>12593.950000000003</v>
      </c>
      <c r="RZ312" s="734">
        <v>11528.510000000002</v>
      </c>
      <c r="SA312" s="29">
        <v>313139.93211025925</v>
      </c>
      <c r="SB312" s="29">
        <v>245</v>
      </c>
    </row>
    <row r="313" spans="1:496">
      <c r="A313" s="41">
        <f t="shared" si="238"/>
        <v>2020</v>
      </c>
      <c r="B313" s="1504">
        <v>43983</v>
      </c>
      <c r="C313" s="1834">
        <v>1727</v>
      </c>
      <c r="D313" s="1835">
        <v>28502</v>
      </c>
      <c r="E313" s="1835">
        <v>102</v>
      </c>
      <c r="F313" s="1836"/>
      <c r="G313" s="1835">
        <v>118409</v>
      </c>
      <c r="H313" s="1835">
        <v>115</v>
      </c>
      <c r="I313" s="1835">
        <v>35676</v>
      </c>
      <c r="J313" s="1837">
        <v>24634</v>
      </c>
      <c r="K313" s="1807">
        <v>209165</v>
      </c>
      <c r="L313" s="25">
        <v>246</v>
      </c>
      <c r="M313" s="97"/>
      <c r="N313" s="1504">
        <v>43983</v>
      </c>
      <c r="O313" s="19">
        <v>1120</v>
      </c>
      <c r="P313" s="93">
        <v>991</v>
      </c>
      <c r="Q313" s="93">
        <v>10039</v>
      </c>
      <c r="R313" s="93">
        <v>1942</v>
      </c>
      <c r="S313" s="93">
        <v>2218</v>
      </c>
      <c r="T313" s="93">
        <v>879</v>
      </c>
      <c r="U313" s="93">
        <v>405</v>
      </c>
      <c r="V313" s="93">
        <v>1656</v>
      </c>
      <c r="W313" s="93">
        <v>6108</v>
      </c>
      <c r="X313" s="93">
        <v>800</v>
      </c>
      <c r="Y313" s="93">
        <v>582</v>
      </c>
      <c r="Z313" s="93">
        <v>1009</v>
      </c>
      <c r="AA313" s="93">
        <v>753</v>
      </c>
      <c r="AB313" s="20">
        <v>28502</v>
      </c>
      <c r="AC313" s="25">
        <v>246</v>
      </c>
      <c r="AD313" s="97"/>
      <c r="AE313" s="1504">
        <v>43983</v>
      </c>
      <c r="AF313" s="19">
        <v>1986</v>
      </c>
      <c r="AG313" s="93">
        <v>800</v>
      </c>
      <c r="AH313" s="93">
        <v>5108</v>
      </c>
      <c r="AI313" s="93">
        <v>4368</v>
      </c>
      <c r="AJ313" s="93">
        <v>2797</v>
      </c>
      <c r="AK313" s="93">
        <v>1898</v>
      </c>
      <c r="AL313" s="93">
        <v>917</v>
      </c>
      <c r="AM313" s="93">
        <v>2290</v>
      </c>
      <c r="AN313" s="93">
        <v>9710</v>
      </c>
      <c r="AO313" s="93">
        <v>1651</v>
      </c>
      <c r="AP313" s="93">
        <v>1190</v>
      </c>
      <c r="AQ313" s="93">
        <v>1475</v>
      </c>
      <c r="AR313" s="93">
        <v>1486</v>
      </c>
      <c r="AS313" s="20">
        <v>35676</v>
      </c>
      <c r="AT313" s="25">
        <v>246</v>
      </c>
      <c r="AU313" s="97"/>
      <c r="AV313" s="1504">
        <v>43983</v>
      </c>
      <c r="AW313" s="19">
        <v>13419</v>
      </c>
      <c r="AX313" s="93">
        <v>4629</v>
      </c>
      <c r="AY313" s="93">
        <v>3154</v>
      </c>
      <c r="AZ313" s="93">
        <v>16760</v>
      </c>
      <c r="BA313" s="93">
        <v>10018</v>
      </c>
      <c r="BB313" s="93">
        <v>6684</v>
      </c>
      <c r="BC313" s="93">
        <v>4024</v>
      </c>
      <c r="BD313" s="93">
        <v>14387</v>
      </c>
      <c r="BE313" s="93">
        <v>18429</v>
      </c>
      <c r="BF313" s="93">
        <v>6052</v>
      </c>
      <c r="BG313" s="93">
        <v>5261</v>
      </c>
      <c r="BH313" s="93">
        <v>9581</v>
      </c>
      <c r="BI313" s="93">
        <v>6011</v>
      </c>
      <c r="BJ313" s="20">
        <v>118409</v>
      </c>
      <c r="BK313" s="25">
        <v>246</v>
      </c>
      <c r="BL313" s="97"/>
      <c r="BM313" s="1504">
        <v>43983</v>
      </c>
      <c r="BN313" s="19">
        <v>88.076999999999998</v>
      </c>
      <c r="BO313" s="93">
        <v>3220.7260000000001</v>
      </c>
      <c r="BP313" s="93">
        <v>19.584</v>
      </c>
      <c r="BQ313" s="93">
        <v>947.27200000000005</v>
      </c>
      <c r="BR313" s="93">
        <v>17.594999999999999</v>
      </c>
      <c r="BS313" s="93">
        <v>321.084</v>
      </c>
      <c r="BT313" s="93">
        <v>591.21600000000001</v>
      </c>
      <c r="BU313" s="20">
        <v>5205.5540000000001</v>
      </c>
      <c r="BV313" s="25">
        <v>246</v>
      </c>
      <c r="BW313" s="97"/>
      <c r="BX313" s="1504">
        <v>43983</v>
      </c>
      <c r="BY313" s="897">
        <v>582.85950000000003</v>
      </c>
      <c r="BZ313" s="99">
        <v>655.95699999999999</v>
      </c>
      <c r="CA313" s="99">
        <v>612.18439999999998</v>
      </c>
      <c r="CB313" s="99">
        <v>34.035347999999999</v>
      </c>
      <c r="CC313" s="99">
        <v>100.76609999999999</v>
      </c>
      <c r="CD313" s="25">
        <v>246</v>
      </c>
      <c r="CE313" s="97"/>
      <c r="CF313" s="1504">
        <v>43983</v>
      </c>
      <c r="CG313" s="1508">
        <v>1.49473236</v>
      </c>
      <c r="CH313" s="93">
        <v>1732.22</v>
      </c>
      <c r="CI313" s="1708">
        <v>39.456666666666699</v>
      </c>
      <c r="CJ313" s="20">
        <v>39.93</v>
      </c>
      <c r="CK313" s="19">
        <v>493.64</v>
      </c>
      <c r="CL313" s="568">
        <v>147.98824880000001</v>
      </c>
      <c r="CM313" s="568">
        <v>0.26675902000000001</v>
      </c>
      <c r="CN313" s="568">
        <v>0.36754328000000003</v>
      </c>
      <c r="CO313" s="568">
        <v>198.415818</v>
      </c>
      <c r="CP313" s="1509">
        <v>5.0981837499999996</v>
      </c>
      <c r="CQ313" s="219">
        <v>1712.82</v>
      </c>
      <c r="CR313" s="93">
        <v>1.8560000000000001</v>
      </c>
      <c r="CS313" s="568">
        <v>1.4009</v>
      </c>
      <c r="CT313" s="568">
        <v>75</v>
      </c>
      <c r="CU313" s="93">
        <v>103.3</v>
      </c>
      <c r="CV313" s="214">
        <v>2025.71</v>
      </c>
      <c r="CW313" s="29">
        <v>246</v>
      </c>
      <c r="CX313" s="41">
        <f t="shared" si="239"/>
        <v>2020</v>
      </c>
      <c r="CY313" s="1504">
        <v>43983</v>
      </c>
      <c r="CZ313" s="733">
        <v>168.00785849000002</v>
      </c>
      <c r="DA313" s="570">
        <v>92.752592490000012</v>
      </c>
      <c r="DB313" s="570">
        <v>58.941808999999999</v>
      </c>
      <c r="DC313" s="93"/>
      <c r="DD313" s="93"/>
      <c r="DE313" s="20"/>
      <c r="DF313" s="29">
        <v>246</v>
      </c>
      <c r="DG313" s="1504">
        <v>43983</v>
      </c>
      <c r="DH313" s="19">
        <v>441347</v>
      </c>
      <c r="DI313" s="93">
        <v>4866368</v>
      </c>
      <c r="DJ313" s="93">
        <v>295087</v>
      </c>
      <c r="DK313" s="93">
        <v>16437</v>
      </c>
      <c r="DL313" s="93">
        <v>444901</v>
      </c>
      <c r="DM313" s="93">
        <v>8976</v>
      </c>
      <c r="DN313" s="20">
        <v>2228068</v>
      </c>
      <c r="DO313" s="295">
        <f t="shared" si="282"/>
        <v>7859837</v>
      </c>
      <c r="DP313" s="29">
        <v>246</v>
      </c>
      <c r="DQ313" s="1504">
        <v>43983</v>
      </c>
      <c r="DR313" s="19">
        <v>51021.7</v>
      </c>
      <c r="DS313" s="93">
        <v>515.5</v>
      </c>
      <c r="DT313" s="93">
        <v>58321</v>
      </c>
      <c r="DU313" s="93">
        <v>3940.36</v>
      </c>
      <c r="DV313" s="93">
        <v>20680</v>
      </c>
      <c r="DW313" s="93">
        <v>726.5</v>
      </c>
      <c r="DX313" s="20">
        <v>15816.326785714284</v>
      </c>
      <c r="DY313" s="29">
        <v>246</v>
      </c>
      <c r="DZ313" s="1504">
        <v>43983</v>
      </c>
      <c r="EA313" s="19"/>
      <c r="EB313" s="93"/>
      <c r="EC313" s="20"/>
      <c r="ED313" s="29"/>
      <c r="EE313" s="1504">
        <v>43983</v>
      </c>
      <c r="EF313" s="19">
        <v>362</v>
      </c>
      <c r="EG313" s="93">
        <v>542</v>
      </c>
      <c r="EH313" s="93">
        <v>904</v>
      </c>
      <c r="EI313" s="214">
        <v>336</v>
      </c>
      <c r="EJ313" s="93">
        <v>643.78899999999999</v>
      </c>
      <c r="EK313" s="93">
        <v>79.356999999999999</v>
      </c>
      <c r="EL313" s="93">
        <v>1.5860000000000001</v>
      </c>
      <c r="EM313" s="93">
        <v>8.5109999999999992</v>
      </c>
      <c r="EN313" s="20">
        <v>733.24299999999994</v>
      </c>
      <c r="EO313" s="29">
        <v>246</v>
      </c>
      <c r="EP313" s="1504">
        <v>43983</v>
      </c>
      <c r="EQ313" s="19">
        <v>360</v>
      </c>
      <c r="ER313" s="93">
        <v>540</v>
      </c>
      <c r="ES313" s="93">
        <v>900</v>
      </c>
      <c r="ET313" s="214">
        <v>336</v>
      </c>
      <c r="EU313" s="93">
        <v>641.13900000000001</v>
      </c>
      <c r="EV313" s="93">
        <v>77.856999999999999</v>
      </c>
      <c r="EW313" s="93">
        <v>1.5860000000000001</v>
      </c>
      <c r="EX313" s="93">
        <v>8.5109999999999992</v>
      </c>
      <c r="EY313" s="20">
        <v>729.09299999999996</v>
      </c>
      <c r="EZ313" s="29">
        <v>246</v>
      </c>
      <c r="FA313" s="1504">
        <v>43983</v>
      </c>
      <c r="FB313" s="29">
        <v>2</v>
      </c>
      <c r="FC313" s="29">
        <v>2</v>
      </c>
      <c r="FD313" s="29">
        <v>4</v>
      </c>
      <c r="FE313" s="29">
        <v>0</v>
      </c>
      <c r="FF313" s="29">
        <v>2.65</v>
      </c>
      <c r="FG313" s="29">
        <v>1.5</v>
      </c>
      <c r="FH313" s="29">
        <v>0</v>
      </c>
      <c r="FI313" s="29">
        <v>0</v>
      </c>
      <c r="FJ313" s="29">
        <v>4.1500000000000004</v>
      </c>
      <c r="FK313" s="29">
        <v>246</v>
      </c>
      <c r="FL313" s="1504">
        <v>43983</v>
      </c>
      <c r="FM313" s="19">
        <v>104.15</v>
      </c>
      <c r="FN313" s="93">
        <v>107.25</v>
      </c>
      <c r="FO313" s="93">
        <v>130.06</v>
      </c>
      <c r="FP313" s="93">
        <v>101.31</v>
      </c>
      <c r="FQ313" s="93">
        <v>90.59</v>
      </c>
      <c r="FR313" s="93">
        <v>101.29</v>
      </c>
      <c r="FS313" s="93">
        <v>100.41</v>
      </c>
      <c r="FT313" s="93">
        <v>98.61</v>
      </c>
      <c r="FU313" s="93">
        <v>98.78</v>
      </c>
      <c r="FV313" s="93">
        <v>101.12</v>
      </c>
      <c r="FW313" s="93">
        <v>107.43</v>
      </c>
      <c r="FX313" s="93">
        <v>104.91</v>
      </c>
      <c r="FY313" s="93">
        <v>100.75</v>
      </c>
      <c r="FZ313" s="29">
        <v>246</v>
      </c>
      <c r="GA313" s="1504">
        <v>43983</v>
      </c>
      <c r="GB313" s="19">
        <v>104.15</v>
      </c>
      <c r="GC313" s="93">
        <v>102.22</v>
      </c>
      <c r="GD313" s="93">
        <v>105.45</v>
      </c>
      <c r="GE313" s="93">
        <v>85.78</v>
      </c>
      <c r="GF313" s="93">
        <v>109.56</v>
      </c>
      <c r="GG313" s="93">
        <v>103.89</v>
      </c>
      <c r="GH313" s="93">
        <v>110.31</v>
      </c>
      <c r="GI313" s="93">
        <v>102.15</v>
      </c>
      <c r="GJ313" s="93">
        <v>99.41</v>
      </c>
      <c r="GK313" s="93">
        <v>100.29</v>
      </c>
      <c r="GL313" s="93">
        <v>107.03</v>
      </c>
      <c r="GM313" s="93">
        <v>101.24</v>
      </c>
      <c r="GN313" s="20">
        <v>99.41</v>
      </c>
      <c r="GO313" s="29">
        <v>246</v>
      </c>
      <c r="GP313" s="1504">
        <v>43983</v>
      </c>
      <c r="GQ313" s="19">
        <v>270</v>
      </c>
      <c r="GR313" s="93">
        <v>209</v>
      </c>
      <c r="GS313" s="93">
        <v>216</v>
      </c>
      <c r="GT313" s="93">
        <v>180</v>
      </c>
      <c r="GU313" s="93">
        <v>389</v>
      </c>
      <c r="GV313" s="20">
        <v>956</v>
      </c>
      <c r="GW313" s="19">
        <v>376</v>
      </c>
      <c r="GX313" s="93">
        <v>428</v>
      </c>
      <c r="GY313" s="93">
        <v>533</v>
      </c>
      <c r="GZ313" s="93">
        <v>379</v>
      </c>
      <c r="HA313" s="93">
        <v>393</v>
      </c>
      <c r="HB313" s="20">
        <v>640</v>
      </c>
      <c r="HC313" s="19">
        <v>2609</v>
      </c>
      <c r="HD313" s="93">
        <v>2903</v>
      </c>
      <c r="HE313" s="93">
        <v>2631</v>
      </c>
      <c r="HF313" s="93">
        <v>3150</v>
      </c>
      <c r="HG313" s="93">
        <v>2801</v>
      </c>
      <c r="HH313" s="20">
        <v>2906</v>
      </c>
      <c r="HI313" s="19"/>
      <c r="HJ313" s="93">
        <v>888</v>
      </c>
      <c r="HK313" s="93">
        <v>1562</v>
      </c>
      <c r="HL313" s="93">
        <v>899</v>
      </c>
      <c r="HM313" s="93">
        <v>900</v>
      </c>
      <c r="HN313" s="20">
        <v>3050</v>
      </c>
      <c r="HO313" s="219">
        <v>145</v>
      </c>
      <c r="HP313" s="20">
        <v>98</v>
      </c>
      <c r="HQ313" s="25">
        <v>156</v>
      </c>
      <c r="HR313" s="29">
        <v>246</v>
      </c>
      <c r="HS313" s="1504">
        <v>43983</v>
      </c>
      <c r="HT313" s="179">
        <v>209.89010620117188</v>
      </c>
      <c r="HU313" s="99">
        <v>252.60416412353516</v>
      </c>
      <c r="HV313" s="99">
        <v>191.23541641235352</v>
      </c>
      <c r="HW313" s="99">
        <v>178.57142639160156</v>
      </c>
      <c r="HX313" s="99">
        <v>200</v>
      </c>
      <c r="HY313" s="99">
        <v>224.23184967041016</v>
      </c>
      <c r="HZ313" s="99">
        <v>220.68031692504883</v>
      </c>
      <c r="IA313" s="132">
        <v>183.33333740234374</v>
      </c>
      <c r="IB313" s="179">
        <v>144.03971099853516</v>
      </c>
      <c r="IC313" s="99">
        <v>97.222221374511719</v>
      </c>
      <c r="ID313" s="99">
        <v>103.44827270507813</v>
      </c>
      <c r="IE313" s="99">
        <v>98.36065673828125</v>
      </c>
      <c r="IF313" s="99">
        <v>145.16130065917969</v>
      </c>
      <c r="IG313" s="132">
        <v>113.48836975097656</v>
      </c>
      <c r="IH313" s="179">
        <v>124.62224769592285</v>
      </c>
      <c r="II313" s="99">
        <v>204.89496612548828</v>
      </c>
      <c r="IJ313" s="99">
        <v>153.06121826171875</v>
      </c>
      <c r="IK313" s="99">
        <v>142.85714721679688</v>
      </c>
      <c r="IL313" s="99">
        <v>140.10050201416016</v>
      </c>
      <c r="IM313" s="99">
        <v>125.80645599365235</v>
      </c>
      <c r="IN313" s="93">
        <v>159.01060485839844</v>
      </c>
      <c r="IO313" s="132">
        <v>164.50811767578125</v>
      </c>
      <c r="IP313" s="29">
        <v>246</v>
      </c>
      <c r="IQ313" s="19">
        <v>144.03971099853516</v>
      </c>
      <c r="IR313" s="93">
        <v>97.222221374511719</v>
      </c>
      <c r="IS313" s="93">
        <v>103.44827270507813</v>
      </c>
      <c r="IT313" s="93">
        <v>98.36065673828125</v>
      </c>
      <c r="IU313" s="93">
        <v>145.16130065917969</v>
      </c>
      <c r="IV313" s="20">
        <v>113.48836975097656</v>
      </c>
      <c r="IW313" s="29">
        <v>246</v>
      </c>
      <c r="IX313" s="19"/>
      <c r="IY313" s="93">
        <v>389.93056488037109</v>
      </c>
      <c r="IZ313" s="93"/>
      <c r="JA313" s="93">
        <v>350</v>
      </c>
      <c r="JB313" s="93">
        <v>385</v>
      </c>
      <c r="JC313" s="93"/>
      <c r="JD313" s="93">
        <v>370</v>
      </c>
      <c r="JE313" s="20">
        <v>400</v>
      </c>
      <c r="JF313" s="29">
        <v>246</v>
      </c>
      <c r="JG313" s="19">
        <v>124.02850151062012</v>
      </c>
      <c r="JH313" s="93">
        <v>201.53475189208984</v>
      </c>
      <c r="JI313" s="93">
        <v>132.41832733154297</v>
      </c>
      <c r="JJ313" s="93">
        <v>166.66667175292969</v>
      </c>
      <c r="JK313" s="93">
        <v>148.56902313232422</v>
      </c>
      <c r="JL313" s="93">
        <v>158.27559661865234</v>
      </c>
      <c r="JM313" s="93">
        <v>165.03268432617188</v>
      </c>
      <c r="JN313" s="20">
        <v>197.17680740356445</v>
      </c>
      <c r="JO313" s="29">
        <v>246</v>
      </c>
      <c r="JP313" s="19">
        <v>164.39581680297852</v>
      </c>
      <c r="JQ313" s="93">
        <v>93.75</v>
      </c>
      <c r="JR313" s="93">
        <v>133.33332824707031</v>
      </c>
      <c r="JS313" s="93">
        <v>101.97368621826172</v>
      </c>
      <c r="JT313" s="93">
        <v>167.96875</v>
      </c>
      <c r="JU313" s="20">
        <v>101.85566711425781</v>
      </c>
      <c r="JV313" s="29">
        <v>246</v>
      </c>
      <c r="JW313" s="1504">
        <v>43983</v>
      </c>
      <c r="JX313" s="19">
        <v>317.22211111111108</v>
      </c>
      <c r="JY313" s="93">
        <v>315.07650000000001</v>
      </c>
      <c r="JZ313" s="93"/>
      <c r="KA313" s="93">
        <v>303.49991666666671</v>
      </c>
      <c r="KB313" s="93">
        <v>307.77777777777777</v>
      </c>
      <c r="KC313" s="93">
        <v>349.79183333333333</v>
      </c>
      <c r="KD313" s="20">
        <v>366.66686111111113</v>
      </c>
      <c r="KE313" s="29">
        <v>246</v>
      </c>
      <c r="KF313" s="19">
        <v>54.722111111111118</v>
      </c>
      <c r="KG313" s="93">
        <v>46.352555555555554</v>
      </c>
      <c r="KH313" s="93">
        <v>70.499916666666678</v>
      </c>
      <c r="KI313" s="93">
        <v>70.277666666666676</v>
      </c>
      <c r="KJ313" s="93">
        <v>68.583250000000007</v>
      </c>
      <c r="KK313" s="20">
        <v>90.31594444444444</v>
      </c>
      <c r="KL313" s="29">
        <v>246</v>
      </c>
      <c r="KM313" s="19">
        <v>26.222333333333331</v>
      </c>
      <c r="KN313" s="93">
        <v>14.895916666666666</v>
      </c>
      <c r="KO313" s="93">
        <v>27.500166666666701</v>
      </c>
      <c r="KP313" s="93">
        <v>34.638666666666666</v>
      </c>
      <c r="KQ313" s="93">
        <v>44.083166666666664</v>
      </c>
      <c r="KR313" s="20">
        <v>43.767305555555552</v>
      </c>
      <c r="KS313" s="29">
        <v>246</v>
      </c>
      <c r="KT313" s="19">
        <v>21.8</v>
      </c>
      <c r="KU313" s="93">
        <v>24.631578947368421</v>
      </c>
      <c r="KV313" s="93">
        <v>33.104166666666664</v>
      </c>
      <c r="KW313" s="93">
        <v>29.604166666666668</v>
      </c>
      <c r="KX313" s="93">
        <v>24.267857142857142</v>
      </c>
      <c r="KY313" s="20">
        <v>33.691588785046726</v>
      </c>
      <c r="KZ313" s="29">
        <v>246</v>
      </c>
      <c r="LA313" s="1504">
        <v>43983</v>
      </c>
      <c r="LB313" s="19"/>
      <c r="LC313" s="93"/>
      <c r="LD313" s="93"/>
      <c r="LE313" s="93"/>
      <c r="LF313" s="93"/>
      <c r="LG313" s="93"/>
      <c r="LH313" s="20"/>
      <c r="LI313" s="29"/>
      <c r="LJ313" s="19"/>
      <c r="LK313" s="93"/>
      <c r="LL313" s="93"/>
      <c r="LM313" s="93"/>
      <c r="LN313" s="93"/>
      <c r="LO313" s="20"/>
      <c r="LP313" s="29"/>
      <c r="LQ313" s="19"/>
      <c r="LR313" s="93">
        <v>188</v>
      </c>
      <c r="LS313" s="93">
        <v>463</v>
      </c>
      <c r="LT313" s="93">
        <v>663</v>
      </c>
      <c r="LU313" s="93">
        <v>1104</v>
      </c>
      <c r="LV313" s="93"/>
      <c r="LW313" s="93">
        <v>5</v>
      </c>
      <c r="LX313" s="93">
        <v>10</v>
      </c>
      <c r="LY313" s="93">
        <v>60</v>
      </c>
      <c r="LZ313" s="93"/>
      <c r="MA313" s="20"/>
      <c r="MB313" s="29">
        <v>246</v>
      </c>
      <c r="MC313" s="1504">
        <v>43983</v>
      </c>
      <c r="MD313" s="19">
        <v>857.71991407787107</v>
      </c>
      <c r="ME313" s="93">
        <v>791.32836870558242</v>
      </c>
      <c r="MF313" s="93">
        <v>791.1992826927825</v>
      </c>
      <c r="MG313" s="93">
        <v>650.12919887278247</v>
      </c>
      <c r="MH313" s="93">
        <v>215.58863927068228</v>
      </c>
      <c r="MI313" s="93">
        <v>7.50706114328616</v>
      </c>
      <c r="MJ313" s="93">
        <v>4.6249634859146074</v>
      </c>
      <c r="MK313" s="93">
        <v>328.51666582730815</v>
      </c>
      <c r="ML313" s="93">
        <v>90.515298940999998</v>
      </c>
      <c r="MM313" s="93">
        <v>3.3765702045912871</v>
      </c>
      <c r="MN313" s="93">
        <v>141.07008381999998</v>
      </c>
      <c r="MO313" s="93">
        <v>2.249262866</v>
      </c>
      <c r="MP313" s="93">
        <v>59.767278236999999</v>
      </c>
      <c r="MQ313" s="93">
        <v>1.4634503910000001</v>
      </c>
      <c r="MR313" s="93">
        <v>20.541842531999997</v>
      </c>
      <c r="MS313" s="93">
        <v>57.048249794000007</v>
      </c>
      <c r="MT313" s="93">
        <v>0.12908601280000306</v>
      </c>
      <c r="MU313" s="93">
        <v>66.391545372288576</v>
      </c>
      <c r="MV313" s="93">
        <v>64.632530420288575</v>
      </c>
      <c r="MW313" s="93">
        <v>1.759014952</v>
      </c>
      <c r="MX313" s="93">
        <v>1093.5949152634553</v>
      </c>
      <c r="MY313" s="93">
        <v>1089.8213347534554</v>
      </c>
      <c r="MZ313" s="93">
        <v>804.93608881977582</v>
      </c>
      <c r="NA313" s="93">
        <v>435.39862688700003</v>
      </c>
      <c r="NB313" s="93">
        <v>73.717526375000006</v>
      </c>
      <c r="NC313" s="93">
        <v>62.144615526025781</v>
      </c>
      <c r="ND313" s="93">
        <v>50.76308719642001</v>
      </c>
      <c r="NE313" s="93">
        <v>11.381528329605779</v>
      </c>
      <c r="NF313" s="93">
        <v>233.67532003175</v>
      </c>
      <c r="NG313" s="93">
        <v>11.0801446375</v>
      </c>
      <c r="NH313" s="93">
        <v>54.233688807999997</v>
      </c>
      <c r="NI313" s="1805">
        <v>0</v>
      </c>
      <c r="NJ313" s="1805">
        <v>38.713217962999998</v>
      </c>
      <c r="NK313" s="93">
        <v>284.88524593367976</v>
      </c>
      <c r="NL313" s="93">
        <v>167.582093165</v>
      </c>
      <c r="NM313" s="93">
        <v>0.88775871400000006</v>
      </c>
      <c r="NN313" s="93">
        <v>116.41539405467977</v>
      </c>
      <c r="NO313" s="93">
        <v>3.7735805100000053</v>
      </c>
      <c r="NP313" s="93">
        <v>-235.87500118558449</v>
      </c>
      <c r="NQ313" s="93">
        <v>-302.26654655787308</v>
      </c>
      <c r="NR313" s="93">
        <v>-123.70653697716749</v>
      </c>
      <c r="NS313" s="93">
        <v>-185.85115250319328</v>
      </c>
      <c r="NT313" s="93">
        <v>-270.20031130649306</v>
      </c>
      <c r="NU313" s="93">
        <v>-336.59185667878165</v>
      </c>
      <c r="NV313" s="93">
        <v>271.56796884979445</v>
      </c>
      <c r="NW313" s="93">
        <v>30.74200945169445</v>
      </c>
      <c r="NX313" s="93">
        <v>63.012018004711187</v>
      </c>
      <c r="NY313" s="93">
        <v>-32.27000855301673</v>
      </c>
      <c r="NZ313" s="93">
        <v>0</v>
      </c>
      <c r="OA313" s="93">
        <v>240.82595939810005</v>
      </c>
      <c r="OB313" s="93">
        <v>10.512851151100024</v>
      </c>
      <c r="OC313" s="93">
        <v>230.31310824699997</v>
      </c>
      <c r="OD313" s="20">
        <v>-1.3676575433014371</v>
      </c>
      <c r="OE313" s="29">
        <v>246</v>
      </c>
      <c r="OF313" s="1504">
        <v>43983</v>
      </c>
      <c r="OG313" s="19"/>
      <c r="OH313" s="93">
        <v>659.89342730999999</v>
      </c>
      <c r="OI313" s="93">
        <v>2104.3922072290002</v>
      </c>
      <c r="OJ313" s="93">
        <v>2.9516664420000001</v>
      </c>
      <c r="OK313" s="93">
        <v>1851.223</v>
      </c>
      <c r="OL313" s="93">
        <v>250.21754078700002</v>
      </c>
      <c r="OM313" s="93">
        <v>2764.2856345390001</v>
      </c>
      <c r="ON313" s="93">
        <v>1715.5551083189998</v>
      </c>
      <c r="OO313" s="93">
        <v>4479.8407428579994</v>
      </c>
      <c r="OP313" s="93"/>
      <c r="OQ313" s="93">
        <v>1962.799560616</v>
      </c>
      <c r="OR313" s="93">
        <v>301.81956061599999</v>
      </c>
      <c r="OS313" s="93">
        <v>1660.98</v>
      </c>
      <c r="OT313" s="93">
        <v>3107.3741030189999</v>
      </c>
      <c r="OU313" s="93">
        <v>16.743145256000048</v>
      </c>
      <c r="OV313" s="93">
        <v>-263.45285474400004</v>
      </c>
      <c r="OW313" s="93">
        <v>280.19600000000008</v>
      </c>
      <c r="OX313" s="93">
        <v>3090.630957763</v>
      </c>
      <c r="OY313" s="93">
        <v>7.0609577630000002</v>
      </c>
      <c r="OZ313" s="93">
        <v>3083.5699999999997</v>
      </c>
      <c r="PA313" s="93">
        <v>790.32951198399996</v>
      </c>
      <c r="PB313" s="93">
        <v>-199.99659120699999</v>
      </c>
      <c r="PC313" s="20">
        <v>4479.8407428579994</v>
      </c>
      <c r="PD313" s="29">
        <v>246</v>
      </c>
      <c r="PE313" s="19"/>
      <c r="PF313" s="93">
        <v>301.81956061599999</v>
      </c>
      <c r="PG313" s="93">
        <v>1299.0294933709999</v>
      </c>
      <c r="PH313" s="93">
        <v>997.20993275499995</v>
      </c>
      <c r="PI313" s="93">
        <v>930.17830000000004</v>
      </c>
      <c r="PJ313" s="93">
        <v>-253.47443914500002</v>
      </c>
      <c r="PK313" s="93">
        <v>201.37968412700002</v>
      </c>
      <c r="PL313" s="93">
        <v>454.85412327200004</v>
      </c>
      <c r="PM313" s="93">
        <v>7.0609577630000002</v>
      </c>
      <c r="PN313" s="93">
        <v>2.617</v>
      </c>
      <c r="PO313" s="93">
        <v>0</v>
      </c>
      <c r="PP313" s="93">
        <v>0</v>
      </c>
      <c r="PQ313" s="93">
        <v>4.4439577630000002</v>
      </c>
      <c r="PR313" s="93">
        <v>983.03702592799993</v>
      </c>
      <c r="PS313" s="93">
        <v>752.31784290899998</v>
      </c>
      <c r="PT313" s="93">
        <v>227.43440825799999</v>
      </c>
      <c r="PU313" s="93">
        <v>3.284774761</v>
      </c>
      <c r="PV313" s="93">
        <v>0</v>
      </c>
      <c r="PW313" s="93">
        <v>0.87018042600000001</v>
      </c>
      <c r="PX313" s="93">
        <v>0</v>
      </c>
      <c r="PY313" s="93">
        <v>0</v>
      </c>
      <c r="PZ313" s="93">
        <v>0.87018042600000001</v>
      </c>
      <c r="QA313" s="93">
        <v>0</v>
      </c>
      <c r="QB313" s="93"/>
      <c r="QC313" s="93"/>
      <c r="QD313" s="93">
        <v>8.8093315580000002</v>
      </c>
      <c r="QE313" s="20">
        <v>-7.1321586779999988</v>
      </c>
      <c r="QF313" s="1739">
        <v>246</v>
      </c>
      <c r="QG313" s="19"/>
      <c r="QH313" s="93">
        <v>1660.98</v>
      </c>
      <c r="QI313" s="93">
        <v>1975.704</v>
      </c>
      <c r="QJ313" s="93">
        <v>-314.72399999999999</v>
      </c>
      <c r="QK313" s="93">
        <v>323.79700000000003</v>
      </c>
      <c r="QL313" s="93">
        <v>82.445999999999998</v>
      </c>
      <c r="QM313" s="93">
        <v>241.35100000000003</v>
      </c>
      <c r="QN313" s="93">
        <v>0</v>
      </c>
      <c r="QO313" s="93">
        <v>280.19600000000008</v>
      </c>
      <c r="QP313" s="93">
        <v>765.89100000000008</v>
      </c>
      <c r="QQ313" s="93">
        <v>-485.69499999999999</v>
      </c>
      <c r="QR313" s="93">
        <v>3083.5699999999997</v>
      </c>
      <c r="QS313" s="93">
        <v>21.063000000000002</v>
      </c>
      <c r="QT313" s="93">
        <v>1.284</v>
      </c>
      <c r="QU313" s="93">
        <v>253.54299999999998</v>
      </c>
      <c r="QV313" s="93">
        <v>2807.68</v>
      </c>
      <c r="QW313" s="93"/>
      <c r="QX313" s="93">
        <v>893.91000000000008</v>
      </c>
      <c r="QY313" s="93">
        <v>1851.223</v>
      </c>
      <c r="QZ313" s="93">
        <v>1715.222</v>
      </c>
      <c r="RA313" s="93">
        <v>0</v>
      </c>
      <c r="RB313" s="93">
        <v>171.41200000000001</v>
      </c>
      <c r="RC313" s="93">
        <v>0</v>
      </c>
      <c r="RD313" s="93">
        <v>30.134999999999998</v>
      </c>
      <c r="RE313" s="93">
        <v>0</v>
      </c>
      <c r="RF313" s="93">
        <v>0</v>
      </c>
      <c r="RG313" s="93">
        <v>579.10299999999995</v>
      </c>
      <c r="RH313" s="93">
        <v>107.53800000000001</v>
      </c>
      <c r="RI313" s="93"/>
      <c r="RJ313" s="93"/>
      <c r="RK313" s="93"/>
      <c r="RL313" s="93"/>
      <c r="RM313" s="20"/>
      <c r="RN313" s="29">
        <v>246</v>
      </c>
      <c r="RO313" s="19">
        <v>156</v>
      </c>
      <c r="RP313" s="20">
        <v>797</v>
      </c>
      <c r="RQ313" s="29">
        <v>246</v>
      </c>
      <c r="RR313" s="734">
        <v>5.2340651200000003</v>
      </c>
      <c r="RS313" s="29">
        <v>246</v>
      </c>
      <c r="RT313" s="1504">
        <v>43983</v>
      </c>
      <c r="RU313" s="19">
        <v>1323</v>
      </c>
      <c r="RV313" s="20">
        <v>26</v>
      </c>
      <c r="RW313" s="29">
        <v>246</v>
      </c>
      <c r="RX313" s="1504">
        <v>43983</v>
      </c>
      <c r="RY313" s="29">
        <v>12388.3</v>
      </c>
      <c r="RZ313" s="734">
        <v>11367.720000000001</v>
      </c>
      <c r="SA313" s="29">
        <v>314579.17535093596</v>
      </c>
      <c r="SB313" s="29">
        <v>246</v>
      </c>
    </row>
    <row r="314" spans="1:496">
      <c r="A314" s="41">
        <f t="shared" si="238"/>
        <v>2020</v>
      </c>
      <c r="B314" s="1504">
        <v>44013</v>
      </c>
      <c r="C314" s="1813">
        <v>1849</v>
      </c>
      <c r="D314" s="1814">
        <v>26465</v>
      </c>
      <c r="E314" s="1814">
        <v>59</v>
      </c>
      <c r="F314" s="1815"/>
      <c r="G314" s="1814">
        <v>129190</v>
      </c>
      <c r="H314" s="1814">
        <v>34</v>
      </c>
      <c r="I314" s="1814">
        <v>33087</v>
      </c>
      <c r="J314" s="1816">
        <v>23139</v>
      </c>
      <c r="K314" s="1807">
        <v>213823</v>
      </c>
      <c r="L314" s="25">
        <v>247</v>
      </c>
      <c r="M314" s="97"/>
      <c r="N314" s="1504">
        <v>44013</v>
      </c>
      <c r="O314" s="19">
        <v>1094</v>
      </c>
      <c r="P314" s="93">
        <v>760</v>
      </c>
      <c r="Q314" s="93">
        <v>9835</v>
      </c>
      <c r="R314" s="93">
        <v>1154</v>
      </c>
      <c r="S314" s="93">
        <v>2081</v>
      </c>
      <c r="T314" s="93">
        <v>816</v>
      </c>
      <c r="U314" s="93">
        <v>365</v>
      </c>
      <c r="V314" s="93">
        <v>1400</v>
      </c>
      <c r="W314" s="93">
        <v>5635</v>
      </c>
      <c r="X314" s="93">
        <v>970</v>
      </c>
      <c r="Y314" s="93">
        <v>782</v>
      </c>
      <c r="Z314" s="93">
        <v>935</v>
      </c>
      <c r="AA314" s="93">
        <v>638</v>
      </c>
      <c r="AB314" s="20">
        <v>26465</v>
      </c>
      <c r="AC314" s="25">
        <v>247</v>
      </c>
      <c r="AD314" s="97"/>
      <c r="AE314" s="1504">
        <v>44013</v>
      </c>
      <c r="AF314" s="19">
        <v>2192</v>
      </c>
      <c r="AG314" s="93">
        <v>894</v>
      </c>
      <c r="AH314" s="93">
        <v>4542</v>
      </c>
      <c r="AI314" s="93">
        <v>3545</v>
      </c>
      <c r="AJ314" s="93">
        <v>2391</v>
      </c>
      <c r="AK314" s="93">
        <v>1905</v>
      </c>
      <c r="AL314" s="93">
        <v>1085</v>
      </c>
      <c r="AM314" s="93">
        <v>1755</v>
      </c>
      <c r="AN314" s="93">
        <v>9815</v>
      </c>
      <c r="AO314" s="93">
        <v>1498</v>
      </c>
      <c r="AP314" s="93">
        <v>1182</v>
      </c>
      <c r="AQ314" s="93">
        <v>1363</v>
      </c>
      <c r="AR314" s="93">
        <v>920</v>
      </c>
      <c r="AS314" s="20">
        <v>33087</v>
      </c>
      <c r="AT314" s="25">
        <v>247</v>
      </c>
      <c r="AU314" s="97"/>
      <c r="AV314" s="1504">
        <v>44013</v>
      </c>
      <c r="AW314" s="19">
        <v>15533</v>
      </c>
      <c r="AX314" s="93">
        <v>4712</v>
      </c>
      <c r="AY314" s="93">
        <v>3761</v>
      </c>
      <c r="AZ314" s="93">
        <v>17757</v>
      </c>
      <c r="BA314" s="93">
        <v>10022</v>
      </c>
      <c r="BB314" s="93">
        <v>11634</v>
      </c>
      <c r="BC314" s="93">
        <v>5616</v>
      </c>
      <c r="BD314" s="93">
        <v>14249</v>
      </c>
      <c r="BE314" s="93">
        <v>19033</v>
      </c>
      <c r="BF314" s="93">
        <v>5465</v>
      </c>
      <c r="BG314" s="93">
        <v>5952</v>
      </c>
      <c r="BH314" s="93">
        <v>8729</v>
      </c>
      <c r="BI314" s="93">
        <v>6727</v>
      </c>
      <c r="BJ314" s="20">
        <v>129190</v>
      </c>
      <c r="BK314" s="25">
        <v>247</v>
      </c>
      <c r="BL314" s="97"/>
      <c r="BM314" s="1504">
        <v>44013</v>
      </c>
      <c r="BN314" s="19">
        <v>94.299000000000007</v>
      </c>
      <c r="BO314" s="93">
        <v>2990.5450000000001</v>
      </c>
      <c r="BP314" s="93">
        <v>11.327999999999999</v>
      </c>
      <c r="BQ314" s="93">
        <v>1033.52</v>
      </c>
      <c r="BR314" s="93">
        <v>5.202</v>
      </c>
      <c r="BS314" s="93">
        <v>297.78300000000002</v>
      </c>
      <c r="BT314" s="93">
        <v>555.33600000000001</v>
      </c>
      <c r="BU314" s="20">
        <v>4988.0129999999999</v>
      </c>
      <c r="BV314" s="25">
        <v>247</v>
      </c>
      <c r="BW314" s="97"/>
      <c r="BX314" s="1504">
        <v>44013</v>
      </c>
      <c r="BY314" s="19">
        <v>572.30690000000004</v>
      </c>
      <c r="BZ314" s="99">
        <v>655.95699999999999</v>
      </c>
      <c r="CA314" s="93">
        <v>612.84439999999995</v>
      </c>
      <c r="CB314" s="93">
        <v>34.122866999999999</v>
      </c>
      <c r="CC314" s="93">
        <v>99.147818999999998</v>
      </c>
      <c r="CD314" s="25">
        <v>247</v>
      </c>
      <c r="CE314" s="97"/>
      <c r="CF314" s="1504">
        <v>44013</v>
      </c>
      <c r="CG314" s="19">
        <v>1.5106056240000001</v>
      </c>
      <c r="CH314" s="93">
        <v>1846.51</v>
      </c>
      <c r="CI314" s="219">
        <v>42.066666666666698</v>
      </c>
      <c r="CJ314" s="20">
        <v>42.81</v>
      </c>
      <c r="CK314" s="19">
        <v>459.7</v>
      </c>
      <c r="CL314" s="93">
        <v>152.55493680000001</v>
      </c>
      <c r="CM314" s="93">
        <v>0.27072733599999999</v>
      </c>
      <c r="CN314" s="93">
        <v>0.37427041599999999</v>
      </c>
      <c r="CO314" s="568">
        <v>222.13</v>
      </c>
      <c r="CP314" s="20">
        <v>4.6988168369999999</v>
      </c>
      <c r="CQ314" s="219">
        <v>1876.87</v>
      </c>
      <c r="CR314" s="93">
        <v>1.78</v>
      </c>
      <c r="CS314" s="93">
        <v>1.4838</v>
      </c>
      <c r="CT314" s="93">
        <v>75</v>
      </c>
      <c r="CU314" s="93">
        <v>108.52</v>
      </c>
      <c r="CV314" s="214">
        <v>2177.1999999999998</v>
      </c>
      <c r="CW314" s="29">
        <v>247</v>
      </c>
      <c r="CX314" s="41">
        <f t="shared" si="239"/>
        <v>2020</v>
      </c>
      <c r="CY314" s="1504">
        <v>44013</v>
      </c>
      <c r="CZ314" s="733">
        <v>155.87472400000001</v>
      </c>
      <c r="DA314" s="570">
        <v>80.775523000000007</v>
      </c>
      <c r="DB314" s="570">
        <v>58.869529999999997</v>
      </c>
      <c r="DC314" s="93"/>
      <c r="DD314" s="93"/>
      <c r="DE314" s="20"/>
      <c r="DF314" s="29">
        <v>247</v>
      </c>
      <c r="DG314" s="1504">
        <v>44013</v>
      </c>
      <c r="DH314" s="19">
        <v>445635</v>
      </c>
      <c r="DI314" s="93">
        <v>4866846</v>
      </c>
      <c r="DJ314" s="93">
        <v>243202</v>
      </c>
      <c r="DK314" s="93">
        <v>18920</v>
      </c>
      <c r="DL314" s="93">
        <v>449898</v>
      </c>
      <c r="DM314" s="93">
        <v>7624</v>
      </c>
      <c r="DN314" s="20">
        <v>1374499</v>
      </c>
      <c r="DO314" s="295">
        <f t="shared" si="282"/>
        <v>6960989</v>
      </c>
      <c r="DP314" s="29">
        <v>247</v>
      </c>
      <c r="DQ314" s="1504">
        <v>44013</v>
      </c>
      <c r="DR314" s="19">
        <v>50647.464</v>
      </c>
      <c r="DS314" s="93">
        <v>541</v>
      </c>
      <c r="DT314" s="93">
        <v>64993.593000000001</v>
      </c>
      <c r="DU314" s="93">
        <v>1782.2619999999999</v>
      </c>
      <c r="DV314" s="93">
        <v>11931.302</v>
      </c>
      <c r="DW314" s="93">
        <v>1624</v>
      </c>
      <c r="DX314" s="20">
        <v>17291.042857142857</v>
      </c>
      <c r="DY314" s="29">
        <v>247</v>
      </c>
      <c r="DZ314" s="1504">
        <v>44013</v>
      </c>
      <c r="EA314" s="19"/>
      <c r="EB314" s="93"/>
      <c r="EC314" s="20"/>
      <c r="ED314" s="29"/>
      <c r="EE314" s="1504">
        <v>44013</v>
      </c>
      <c r="EF314" s="19">
        <v>2198</v>
      </c>
      <c r="EG314" s="93">
        <v>2747</v>
      </c>
      <c r="EH314" s="93">
        <v>4945</v>
      </c>
      <c r="EI314" s="214">
        <v>651</v>
      </c>
      <c r="EJ314" s="93">
        <v>645.51299999999992</v>
      </c>
      <c r="EK314" s="93">
        <v>93.48299999999999</v>
      </c>
      <c r="EL314" s="93">
        <v>4.3319999999999999</v>
      </c>
      <c r="EM314" s="93">
        <v>11.711</v>
      </c>
      <c r="EN314" s="20">
        <v>755.03899999999999</v>
      </c>
      <c r="EO314" s="29">
        <v>247</v>
      </c>
      <c r="EP314" s="1504">
        <v>44013</v>
      </c>
      <c r="EQ314" s="19">
        <v>2075</v>
      </c>
      <c r="ER314" s="93">
        <v>2663</v>
      </c>
      <c r="ES314" s="93">
        <v>4738</v>
      </c>
      <c r="ET314" s="214">
        <v>651</v>
      </c>
      <c r="EU314" s="93">
        <v>644.44399999999996</v>
      </c>
      <c r="EV314" s="93">
        <v>89.962999999999994</v>
      </c>
      <c r="EW314" s="93">
        <v>4.2</v>
      </c>
      <c r="EX314" s="93">
        <v>11.647</v>
      </c>
      <c r="EY314" s="20">
        <v>750.25400000000002</v>
      </c>
      <c r="EZ314" s="29">
        <v>247</v>
      </c>
      <c r="FA314" s="1504">
        <v>44013</v>
      </c>
      <c r="FB314" s="29">
        <v>123</v>
      </c>
      <c r="FC314" s="29">
        <v>84</v>
      </c>
      <c r="FD314" s="29">
        <v>207</v>
      </c>
      <c r="FE314" s="29">
        <v>0</v>
      </c>
      <c r="FF314" s="29">
        <v>1.069</v>
      </c>
      <c r="FG314" s="29">
        <v>3.52</v>
      </c>
      <c r="FH314" s="29">
        <v>0.13200000000000001</v>
      </c>
      <c r="FI314" s="29">
        <v>6.4000000000000001E-2</v>
      </c>
      <c r="FJ314" s="29">
        <v>4.7850000000000001</v>
      </c>
      <c r="FK314" s="29">
        <v>247</v>
      </c>
      <c r="FL314" s="1504">
        <v>44013</v>
      </c>
      <c r="FM314" s="19">
        <v>104.66</v>
      </c>
      <c r="FN314" s="93">
        <v>107.85</v>
      </c>
      <c r="FO314" s="93">
        <v>130.33000000000001</v>
      </c>
      <c r="FP314" s="93">
        <v>101.31</v>
      </c>
      <c r="FQ314" s="93">
        <v>94.48</v>
      </c>
      <c r="FR314" s="93">
        <v>101.29</v>
      </c>
      <c r="FS314" s="93">
        <v>100.41</v>
      </c>
      <c r="FT314" s="93">
        <v>98.61</v>
      </c>
      <c r="FU314" s="93">
        <v>98.78</v>
      </c>
      <c r="FV314" s="93">
        <v>101.12</v>
      </c>
      <c r="FW314" s="93">
        <v>107.43</v>
      </c>
      <c r="FX314" s="93">
        <v>104.51</v>
      </c>
      <c r="FY314" s="93">
        <v>100.75</v>
      </c>
      <c r="FZ314" s="29">
        <v>247</v>
      </c>
      <c r="GA314" s="1504">
        <v>44013</v>
      </c>
      <c r="GB314" s="19">
        <v>104.66</v>
      </c>
      <c r="GC314" s="93">
        <v>102.18</v>
      </c>
      <c r="GD314" s="93">
        <v>106.22</v>
      </c>
      <c r="GE314" s="93">
        <v>89.18</v>
      </c>
      <c r="GF314" s="93">
        <v>111.48</v>
      </c>
      <c r="GG314" s="93">
        <v>103.87</v>
      </c>
      <c r="GH314" s="93">
        <v>111.28</v>
      </c>
      <c r="GI314" s="93">
        <v>102.42</v>
      </c>
      <c r="GJ314" s="93">
        <v>99.79</v>
      </c>
      <c r="GK314" s="93">
        <v>100.29</v>
      </c>
      <c r="GL314" s="93">
        <v>107.69</v>
      </c>
      <c r="GM314" s="93">
        <v>101.24</v>
      </c>
      <c r="GN314" s="20">
        <v>99.79</v>
      </c>
      <c r="GO314" s="29">
        <v>247</v>
      </c>
      <c r="GP314" s="1504">
        <v>44013</v>
      </c>
      <c r="GQ314" s="19">
        <v>247</v>
      </c>
      <c r="GR314" s="93">
        <v>206</v>
      </c>
      <c r="GS314" s="93">
        <v>218</v>
      </c>
      <c r="GT314" s="93">
        <v>188</v>
      </c>
      <c r="GU314" s="93">
        <v>383</v>
      </c>
      <c r="GV314" s="20">
        <v>954</v>
      </c>
      <c r="GW314" s="19">
        <v>399</v>
      </c>
      <c r="GX314" s="93">
        <v>431</v>
      </c>
      <c r="GY314" s="93">
        <v>524</v>
      </c>
      <c r="GZ314" s="93">
        <v>473</v>
      </c>
      <c r="HA314" s="93">
        <v>422</v>
      </c>
      <c r="HB314" s="20">
        <v>763</v>
      </c>
      <c r="HC314" s="19">
        <v>1977</v>
      </c>
      <c r="HD314" s="93">
        <v>2585</v>
      </c>
      <c r="HE314" s="93">
        <v>2655</v>
      </c>
      <c r="HF314" s="93">
        <v>3150</v>
      </c>
      <c r="HG314" s="93">
        <v>2872</v>
      </c>
      <c r="HH314" s="20">
        <v>2809</v>
      </c>
      <c r="HI314" s="19"/>
      <c r="HJ314" s="93">
        <v>881</v>
      </c>
      <c r="HK314" s="93">
        <v>1619</v>
      </c>
      <c r="HL314" s="93">
        <v>913</v>
      </c>
      <c r="HM314" s="93">
        <v>900</v>
      </c>
      <c r="HN314" s="20">
        <v>2678</v>
      </c>
      <c r="HO314" s="219">
        <v>145</v>
      </c>
      <c r="HP314" s="20">
        <v>100</v>
      </c>
      <c r="HQ314" s="25">
        <v>157</v>
      </c>
      <c r="HR314" s="29">
        <v>247</v>
      </c>
      <c r="HS314" s="1504">
        <v>44013</v>
      </c>
      <c r="HT314" s="179">
        <v>220.21251106262207</v>
      </c>
      <c r="HU314" s="99">
        <v>266.66666259765623</v>
      </c>
      <c r="HV314" s="99">
        <v>191.5406608581543</v>
      </c>
      <c r="HW314" s="99">
        <v>178.57142639160156</v>
      </c>
      <c r="HX314" s="99">
        <v>212.50000381469727</v>
      </c>
      <c r="HY314" s="99">
        <v>224.23184967041016</v>
      </c>
      <c r="HZ314" s="99">
        <v>228.65730857849121</v>
      </c>
      <c r="IA314" s="132">
        <v>186.29032897949219</v>
      </c>
      <c r="IB314" s="179">
        <v>132.22088012695312</v>
      </c>
      <c r="IC314" s="99">
        <v>106.48148345947266</v>
      </c>
      <c r="ID314" s="99">
        <v>120.68965148925781</v>
      </c>
      <c r="IE314" s="99">
        <v>104.50819778442383</v>
      </c>
      <c r="IF314" s="99">
        <v>156.84324340820314</v>
      </c>
      <c r="IG314" s="132">
        <v>116.64119529724121</v>
      </c>
      <c r="IH314" s="179">
        <v>118.06318283081055</v>
      </c>
      <c r="II314" s="99">
        <v>217.92947998046876</v>
      </c>
      <c r="IJ314" s="99">
        <v>153.06121826171875</v>
      </c>
      <c r="IK314" s="99">
        <v>153.57143554687499</v>
      </c>
      <c r="IL314" s="99">
        <v>158.19535255432129</v>
      </c>
      <c r="IM314" s="99">
        <v>150.73529624938965</v>
      </c>
      <c r="IN314" s="93">
        <v>163.42756652832031</v>
      </c>
      <c r="IO314" s="132">
        <v>166.44789123535156</v>
      </c>
      <c r="IP314" s="29">
        <v>247</v>
      </c>
      <c r="IQ314" s="19">
        <v>132.22088012695312</v>
      </c>
      <c r="IR314" s="93">
        <v>106.48148345947266</v>
      </c>
      <c r="IS314" s="93">
        <v>120.68965148925781</v>
      </c>
      <c r="IT314" s="93">
        <v>104.50819778442383</v>
      </c>
      <c r="IU314" s="93">
        <v>156.84324340820314</v>
      </c>
      <c r="IV314" s="20">
        <v>116.64119529724121</v>
      </c>
      <c r="IW314" s="29">
        <v>247</v>
      </c>
      <c r="IX314" s="19"/>
      <c r="IY314" s="93">
        <v>400.00001220703126</v>
      </c>
      <c r="IZ314" s="93"/>
      <c r="JA314" s="93">
        <v>362.5</v>
      </c>
      <c r="JB314" s="93">
        <v>395</v>
      </c>
      <c r="JC314" s="93"/>
      <c r="JD314" s="93">
        <v>365</v>
      </c>
      <c r="JE314" s="20">
        <v>400</v>
      </c>
      <c r="JF314" s="29">
        <v>247</v>
      </c>
      <c r="JG314" s="19">
        <v>128.08921432495117</v>
      </c>
      <c r="JH314" s="93">
        <v>217.92947998046876</v>
      </c>
      <c r="JI314" s="93">
        <v>144.92866897583008</v>
      </c>
      <c r="JJ314" s="93">
        <v>151.51515197753906</v>
      </c>
      <c r="JK314" s="93">
        <v>164.87041473388672</v>
      </c>
      <c r="JL314" s="93">
        <v>160.53921890258789</v>
      </c>
      <c r="JM314" s="93">
        <v>156.8021240234375</v>
      </c>
      <c r="JN314" s="20">
        <v>210.77483558654785</v>
      </c>
      <c r="JO314" s="29">
        <v>247</v>
      </c>
      <c r="JP314" s="19">
        <v>162.866455078125</v>
      </c>
      <c r="JQ314" s="93">
        <v>100</v>
      </c>
      <c r="JR314" s="93">
        <v>133.33332824707031</v>
      </c>
      <c r="JS314" s="93">
        <v>106.90789794921875</v>
      </c>
      <c r="JT314" s="93">
        <v>171.875</v>
      </c>
      <c r="JU314" s="20">
        <v>108.54521560668945</v>
      </c>
      <c r="JV314" s="29">
        <v>247</v>
      </c>
      <c r="JW314" s="1504">
        <v>44013</v>
      </c>
      <c r="JX314" s="19">
        <v>324.58350000000002</v>
      </c>
      <c r="JY314" s="93">
        <v>315.13900000000001</v>
      </c>
      <c r="JZ314" s="93"/>
      <c r="KA314" s="93">
        <v>312.08300000000003</v>
      </c>
      <c r="KB314" s="93">
        <v>277.91649999999998</v>
      </c>
      <c r="KC314" s="93">
        <v>365</v>
      </c>
      <c r="KD314" s="20">
        <v>402.5</v>
      </c>
      <c r="KE314" s="29">
        <v>247</v>
      </c>
      <c r="KF314" s="19">
        <v>57.45825</v>
      </c>
      <c r="KG314" s="93">
        <v>53.798749999999998</v>
      </c>
      <c r="KH314" s="93">
        <v>82.916749999999993</v>
      </c>
      <c r="KI314" s="93">
        <v>87.083500000000001</v>
      </c>
      <c r="KJ314" s="93">
        <v>65.833250000000007</v>
      </c>
      <c r="KK314" s="20">
        <v>72.319500000000005</v>
      </c>
      <c r="KL314" s="29">
        <v>247</v>
      </c>
      <c r="KM314" s="19">
        <v>29.04175</v>
      </c>
      <c r="KN314" s="93">
        <v>14.82375</v>
      </c>
      <c r="KO314" s="93">
        <v>34.585749999999997</v>
      </c>
      <c r="KP314" s="93">
        <v>42.5</v>
      </c>
      <c r="KQ314" s="93">
        <v>45.666499999999999</v>
      </c>
      <c r="KR314" s="20">
        <v>45.20825</v>
      </c>
      <c r="KS314" s="29">
        <v>247</v>
      </c>
      <c r="KT314" s="19">
        <v>20.916666666666668</v>
      </c>
      <c r="KU314" s="93">
        <v>24.57236842105263</v>
      </c>
      <c r="KV314" s="93">
        <v>45.38461538461538</v>
      </c>
      <c r="KW314" s="93">
        <v>29.375</v>
      </c>
      <c r="KX314" s="93">
        <v>24.153846153846153</v>
      </c>
      <c r="KY314" s="20">
        <v>31.454999999999998</v>
      </c>
      <c r="KZ314" s="29">
        <v>247</v>
      </c>
      <c r="LA314" s="1504">
        <v>44013</v>
      </c>
      <c r="LB314" s="19"/>
      <c r="LC314" s="93"/>
      <c r="LD314" s="93"/>
      <c r="LE314" s="93"/>
      <c r="LF314" s="93"/>
      <c r="LG314" s="93"/>
      <c r="LH314" s="20"/>
      <c r="LI314" s="29"/>
      <c r="LJ314" s="19"/>
      <c r="LK314" s="93"/>
      <c r="LL314" s="93"/>
      <c r="LM314" s="93"/>
      <c r="LN314" s="93"/>
      <c r="LO314" s="20"/>
      <c r="LP314" s="29"/>
      <c r="LQ314" s="19"/>
      <c r="LR314" s="93">
        <v>188</v>
      </c>
      <c r="LS314" s="93">
        <v>463</v>
      </c>
      <c r="LT314" s="93">
        <v>663</v>
      </c>
      <c r="LU314" s="93">
        <v>1104</v>
      </c>
      <c r="LV314" s="93"/>
      <c r="LW314" s="93">
        <v>5</v>
      </c>
      <c r="LX314" s="93">
        <v>10</v>
      </c>
      <c r="LY314" s="93">
        <v>60</v>
      </c>
      <c r="LZ314" s="93"/>
      <c r="MA314" s="20"/>
      <c r="MB314" s="29">
        <v>247</v>
      </c>
      <c r="MC314" s="1504">
        <v>44013</v>
      </c>
      <c r="MD314" s="19">
        <v>1083.6445637063953</v>
      </c>
      <c r="ME314" s="93">
        <v>956.02040590752529</v>
      </c>
      <c r="MF314" s="93">
        <v>955.82414238172532</v>
      </c>
      <c r="MG314" s="93">
        <v>795.31592275972537</v>
      </c>
      <c r="MH314" s="93">
        <v>290.09119172168232</v>
      </c>
      <c r="MI314" s="93">
        <v>8.6751358022861584</v>
      </c>
      <c r="MJ314" s="93">
        <v>5.6651725650574649</v>
      </c>
      <c r="MK314" s="93">
        <v>381.28640413010811</v>
      </c>
      <c r="ML314" s="93">
        <v>105.489061265</v>
      </c>
      <c r="MM314" s="93">
        <v>4.1089572755912869</v>
      </c>
      <c r="MN314" s="93">
        <v>160.50821962199998</v>
      </c>
      <c r="MO314" s="93">
        <v>2.6324121360000001</v>
      </c>
      <c r="MP314" s="93">
        <v>62.472622994999995</v>
      </c>
      <c r="MQ314" s="93">
        <v>1.847901523</v>
      </c>
      <c r="MR314" s="93">
        <v>23.265755191</v>
      </c>
      <c r="MS314" s="93">
        <v>70.289527777000004</v>
      </c>
      <c r="MT314" s="93">
        <v>0.19626352580000306</v>
      </c>
      <c r="MU314" s="93">
        <v>127.62415779886999</v>
      </c>
      <c r="MV314" s="93">
        <v>70.285218917869983</v>
      </c>
      <c r="MW314" s="93">
        <v>57.338938880999997</v>
      </c>
      <c r="MX314" s="93">
        <v>1296.0573221495131</v>
      </c>
      <c r="MY314" s="93">
        <v>1292.2889874465131</v>
      </c>
      <c r="MZ314" s="93">
        <v>958.01560053213859</v>
      </c>
      <c r="NA314" s="93">
        <v>507.21728776399999</v>
      </c>
      <c r="NB314" s="93">
        <v>89.583637401999994</v>
      </c>
      <c r="NC314" s="93">
        <v>72.265234671388583</v>
      </c>
      <c r="ND314" s="93">
        <v>59.780565757420007</v>
      </c>
      <c r="NE314" s="93">
        <v>12.484668913968578</v>
      </c>
      <c r="NF314" s="93">
        <v>288.94944069475002</v>
      </c>
      <c r="NG314" s="93">
        <v>14.71019285</v>
      </c>
      <c r="NH314" s="93">
        <v>73.407598958000008</v>
      </c>
      <c r="NI314" s="1805">
        <v>0</v>
      </c>
      <c r="NJ314" s="1805">
        <v>49.935068434000002</v>
      </c>
      <c r="NK314" s="93">
        <v>334.27338691437467</v>
      </c>
      <c r="NL314" s="93">
        <v>199.78398857600001</v>
      </c>
      <c r="NM314" s="93">
        <v>0.88775871400000006</v>
      </c>
      <c r="NN314" s="93">
        <v>133.60163962437466</v>
      </c>
      <c r="NO314" s="93">
        <v>3.7683347030000092</v>
      </c>
      <c r="NP314" s="93">
        <v>-212.41275844311789</v>
      </c>
      <c r="NQ314" s="93">
        <v>-340.03691624198791</v>
      </c>
      <c r="NR314" s="93">
        <v>-134.17004194622464</v>
      </c>
      <c r="NS314" s="93">
        <v>-206.43527661761323</v>
      </c>
      <c r="NT314" s="93">
        <v>-343.76003659011792</v>
      </c>
      <c r="NU314" s="93">
        <v>-471.38419438898796</v>
      </c>
      <c r="NV314" s="93">
        <v>342.11802193322023</v>
      </c>
      <c r="NW314" s="93">
        <v>85.556167099120202</v>
      </c>
      <c r="NX314" s="93">
        <v>119.98323866682468</v>
      </c>
      <c r="NY314" s="93">
        <v>-34.427071567704459</v>
      </c>
      <c r="NZ314" s="93">
        <v>0</v>
      </c>
      <c r="OA314" s="93">
        <v>256.56185483410007</v>
      </c>
      <c r="OB314" s="93">
        <v>-49.435203877899973</v>
      </c>
      <c r="OC314" s="93">
        <v>305.99705871200001</v>
      </c>
      <c r="OD314" s="20">
        <v>1.6420146568977199</v>
      </c>
      <c r="OE314" s="29">
        <v>247</v>
      </c>
      <c r="OF314" s="1504">
        <v>44013</v>
      </c>
      <c r="OG314" s="19"/>
      <c r="OH314" s="93">
        <v>680.86570208499995</v>
      </c>
      <c r="OI314" s="93">
        <v>1891.4945545399999</v>
      </c>
      <c r="OJ314" s="93">
        <v>0.67101375299999999</v>
      </c>
      <c r="OK314" s="93">
        <v>1640.606</v>
      </c>
      <c r="OL314" s="93">
        <v>250.21754078700002</v>
      </c>
      <c r="OM314" s="93">
        <v>2572.3602566249997</v>
      </c>
      <c r="ON314" s="93">
        <v>1678.5921083190001</v>
      </c>
      <c r="OO314" s="93">
        <v>4250.9523649439998</v>
      </c>
      <c r="OP314" s="93"/>
      <c r="OQ314" s="93">
        <v>1885.1179442890002</v>
      </c>
      <c r="OR314" s="93">
        <v>400.05294428900004</v>
      </c>
      <c r="OS314" s="93">
        <v>1485.0649999999998</v>
      </c>
      <c r="OT314" s="93">
        <v>2971.4452319419997</v>
      </c>
      <c r="OU314" s="93">
        <v>-67.239152201000081</v>
      </c>
      <c r="OV314" s="93">
        <v>-334.71915220099999</v>
      </c>
      <c r="OW314" s="93">
        <v>267.4799999999999</v>
      </c>
      <c r="OX314" s="93">
        <v>3038.684384143</v>
      </c>
      <c r="OY314" s="93">
        <v>7.0603841430000003</v>
      </c>
      <c r="OZ314" s="93">
        <v>3031.6240000000003</v>
      </c>
      <c r="PA314" s="93">
        <v>801.73173338999993</v>
      </c>
      <c r="PB314" s="93">
        <v>-196.12092210300008</v>
      </c>
      <c r="PC314" s="20">
        <v>4250.9523649440007</v>
      </c>
      <c r="PD314" s="29">
        <v>247</v>
      </c>
      <c r="PE314" s="19"/>
      <c r="PF314" s="93">
        <v>400.05294428900004</v>
      </c>
      <c r="PG314" s="93">
        <v>1295.499522138</v>
      </c>
      <c r="PH314" s="93">
        <v>895.44657784899994</v>
      </c>
      <c r="PI314" s="93">
        <v>896.97829999999999</v>
      </c>
      <c r="PJ314" s="93">
        <v>-324.74073660199997</v>
      </c>
      <c r="PK314" s="93">
        <v>201.40322144200002</v>
      </c>
      <c r="PL314" s="93">
        <v>526.14395804399999</v>
      </c>
      <c r="PM314" s="93">
        <v>7.0603841430000003</v>
      </c>
      <c r="PN314" s="93">
        <v>2.609</v>
      </c>
      <c r="PO314" s="93">
        <v>0</v>
      </c>
      <c r="PP314" s="93">
        <v>0</v>
      </c>
      <c r="PQ314" s="93">
        <v>4.4513841430000003</v>
      </c>
      <c r="PR314" s="93">
        <v>1011.757428596</v>
      </c>
      <c r="PS314" s="93">
        <v>766.88511768399997</v>
      </c>
      <c r="PT314" s="93">
        <v>243.86818883999999</v>
      </c>
      <c r="PU314" s="93">
        <v>1.0041220719999999</v>
      </c>
      <c r="PV314" s="93">
        <v>0</v>
      </c>
      <c r="PW314" s="93">
        <v>0.47230270899999999</v>
      </c>
      <c r="PX314" s="93">
        <v>0</v>
      </c>
      <c r="PY314" s="93">
        <v>0</v>
      </c>
      <c r="PZ314" s="93">
        <v>0.47230270899999999</v>
      </c>
      <c r="QA314" s="93">
        <v>0</v>
      </c>
      <c r="QB314" s="93"/>
      <c r="QC314" s="93"/>
      <c r="QD314" s="93">
        <v>9.4274306810000006</v>
      </c>
      <c r="QE314" s="20">
        <v>-42.306270156000004</v>
      </c>
      <c r="QF314" s="1739">
        <v>247</v>
      </c>
      <c r="QG314" s="19"/>
      <c r="QH314" s="93">
        <v>1485.0649999999998</v>
      </c>
      <c r="QI314" s="93">
        <v>1901.3819999999998</v>
      </c>
      <c r="QJ314" s="93">
        <v>-416.31700000000001</v>
      </c>
      <c r="QK314" s="93">
        <v>290.971</v>
      </c>
      <c r="QL314" s="93">
        <v>76.040999999999997</v>
      </c>
      <c r="QM314" s="93">
        <v>214.91899999999998</v>
      </c>
      <c r="QN314" s="93">
        <v>1.0999999999999999E-2</v>
      </c>
      <c r="QO314" s="93">
        <v>267.4799999999999</v>
      </c>
      <c r="QP314" s="93">
        <v>848.38599999999997</v>
      </c>
      <c r="QQ314" s="93">
        <v>-580.90600000000006</v>
      </c>
      <c r="QR314" s="93">
        <v>3031.6240000000003</v>
      </c>
      <c r="QS314" s="93">
        <v>21.849999999999998</v>
      </c>
      <c r="QT314" s="93">
        <v>1.171</v>
      </c>
      <c r="QU314" s="93">
        <v>230.11600000000001</v>
      </c>
      <c r="QV314" s="93">
        <v>2778.4870000000001</v>
      </c>
      <c r="QW314" s="93"/>
      <c r="QX314" s="93">
        <v>862.2059999999999</v>
      </c>
      <c r="QY314" s="93">
        <v>1640.606</v>
      </c>
      <c r="QZ314" s="93">
        <v>1678.2589999999998</v>
      </c>
      <c r="RA314" s="93">
        <v>0</v>
      </c>
      <c r="RB314" s="93">
        <v>178.95600000000002</v>
      </c>
      <c r="RC314" s="93">
        <v>0</v>
      </c>
      <c r="RD314" s="93">
        <v>24.531000000000002</v>
      </c>
      <c r="RE314" s="93">
        <v>0</v>
      </c>
      <c r="RF314" s="93">
        <v>0</v>
      </c>
      <c r="RG314" s="93">
        <v>588.34499999999991</v>
      </c>
      <c r="RH314" s="93">
        <v>102.23699999999997</v>
      </c>
      <c r="RI314" s="93"/>
      <c r="RJ314" s="93"/>
      <c r="RK314" s="93"/>
      <c r="RL314" s="93"/>
      <c r="RM314" s="20"/>
      <c r="RN314" s="29">
        <v>247</v>
      </c>
      <c r="RO314" s="19">
        <v>110</v>
      </c>
      <c r="RP314" s="20">
        <v>512</v>
      </c>
      <c r="RQ314" s="29">
        <v>247</v>
      </c>
      <c r="RR314" s="734">
        <v>5.0238304300000021</v>
      </c>
      <c r="RS314" s="29">
        <v>247</v>
      </c>
      <c r="RT314" s="1504">
        <v>44013</v>
      </c>
      <c r="RU314" s="19">
        <v>1428</v>
      </c>
      <c r="RV314" s="20">
        <v>31</v>
      </c>
      <c r="RW314" s="29">
        <v>247</v>
      </c>
      <c r="RX314" s="1504">
        <v>44013</v>
      </c>
      <c r="RY314" s="29">
        <v>14383.949999999999</v>
      </c>
      <c r="RZ314" s="734">
        <v>13167.080000000002</v>
      </c>
      <c r="SA314" s="29">
        <v>338552.0120690075</v>
      </c>
      <c r="SB314" s="29">
        <v>247</v>
      </c>
    </row>
    <row r="315" spans="1:496">
      <c r="A315" s="41">
        <f t="shared" si="238"/>
        <v>2020</v>
      </c>
      <c r="B315" s="1504">
        <v>44044</v>
      </c>
      <c r="C315" s="1813">
        <v>1573</v>
      </c>
      <c r="D315" s="1814">
        <v>26407</v>
      </c>
      <c r="E315" s="1814">
        <v>31</v>
      </c>
      <c r="F315" s="1815"/>
      <c r="G315" s="1814">
        <v>112269</v>
      </c>
      <c r="H315" s="1814">
        <v>26</v>
      </c>
      <c r="I315" s="1814">
        <v>32790</v>
      </c>
      <c r="J315" s="1816">
        <v>17199</v>
      </c>
      <c r="K315" s="1807">
        <v>190295</v>
      </c>
      <c r="L315" s="25">
        <v>248</v>
      </c>
      <c r="M315" s="97"/>
      <c r="N315" s="1504">
        <v>44044</v>
      </c>
      <c r="O315" s="19">
        <v>1072</v>
      </c>
      <c r="P315" s="93">
        <v>771</v>
      </c>
      <c r="Q315" s="93">
        <v>9834</v>
      </c>
      <c r="R315" s="93">
        <v>1724</v>
      </c>
      <c r="S315" s="93">
        <v>2872</v>
      </c>
      <c r="T315" s="93">
        <v>852</v>
      </c>
      <c r="U315" s="93">
        <v>313</v>
      </c>
      <c r="V315" s="93">
        <v>1337</v>
      </c>
      <c r="W315" s="93">
        <v>4904</v>
      </c>
      <c r="X315" s="93">
        <v>649</v>
      </c>
      <c r="Y315" s="93">
        <v>640</v>
      </c>
      <c r="Z315" s="93">
        <v>708</v>
      </c>
      <c r="AA315" s="93">
        <v>731</v>
      </c>
      <c r="AB315" s="20">
        <v>26407</v>
      </c>
      <c r="AC315" s="25">
        <v>248</v>
      </c>
      <c r="AD315" s="97"/>
      <c r="AE315" s="1504">
        <v>44044</v>
      </c>
      <c r="AF315" s="19">
        <v>2997</v>
      </c>
      <c r="AG315" s="93">
        <v>1077</v>
      </c>
      <c r="AH315" s="93">
        <v>4941</v>
      </c>
      <c r="AI315" s="93">
        <v>3840</v>
      </c>
      <c r="AJ315" s="93">
        <v>2509</v>
      </c>
      <c r="AK315" s="93">
        <v>1805</v>
      </c>
      <c r="AL315" s="93">
        <v>1081</v>
      </c>
      <c r="AM315" s="93">
        <v>1592</v>
      </c>
      <c r="AN315" s="93">
        <v>7532</v>
      </c>
      <c r="AO315" s="93">
        <v>1915</v>
      </c>
      <c r="AP315" s="93">
        <v>1402</v>
      </c>
      <c r="AQ315" s="93">
        <v>1124</v>
      </c>
      <c r="AR315" s="93">
        <v>975</v>
      </c>
      <c r="AS315" s="20">
        <v>32790</v>
      </c>
      <c r="AT315" s="25">
        <v>248</v>
      </c>
      <c r="AU315" s="97"/>
      <c r="AV315" s="1504">
        <v>44044</v>
      </c>
      <c r="AW315" s="19">
        <v>15097</v>
      </c>
      <c r="AX315" s="93">
        <v>3752</v>
      </c>
      <c r="AY315" s="93">
        <v>4733</v>
      </c>
      <c r="AZ315" s="93">
        <v>15070</v>
      </c>
      <c r="BA315" s="93">
        <v>9245</v>
      </c>
      <c r="BB315" s="93">
        <v>7065</v>
      </c>
      <c r="BC315" s="93">
        <v>5658</v>
      </c>
      <c r="BD315" s="93">
        <v>11380</v>
      </c>
      <c r="BE315" s="93">
        <v>14261</v>
      </c>
      <c r="BF315" s="93">
        <v>6234</v>
      </c>
      <c r="BG315" s="93">
        <v>6005</v>
      </c>
      <c r="BH315" s="93">
        <v>7893</v>
      </c>
      <c r="BI315" s="93">
        <v>5876</v>
      </c>
      <c r="BJ315" s="20">
        <v>112269</v>
      </c>
      <c r="BK315" s="25">
        <v>248</v>
      </c>
      <c r="BL315" s="97"/>
      <c r="BM315" s="1504">
        <v>44044</v>
      </c>
      <c r="BN315" s="19">
        <v>80.222999999999999</v>
      </c>
      <c r="BO315" s="93">
        <v>2983.991</v>
      </c>
      <c r="BP315" s="93">
        <v>5.952</v>
      </c>
      <c r="BQ315" s="93">
        <v>898.15200000000004</v>
      </c>
      <c r="BR315" s="93">
        <v>3.9780000000000002</v>
      </c>
      <c r="BS315" s="93">
        <v>295.11</v>
      </c>
      <c r="BT315" s="93">
        <v>412.77600000000001</v>
      </c>
      <c r="BU315" s="20">
        <v>4680.1819999999998</v>
      </c>
      <c r="BV315" s="25">
        <v>248</v>
      </c>
      <c r="BW315" s="97"/>
      <c r="BX315" s="1504">
        <v>44044</v>
      </c>
      <c r="BY315" s="19">
        <v>554.55909999999994</v>
      </c>
      <c r="BZ315" s="99">
        <v>655.95699999999999</v>
      </c>
      <c r="CA315" s="93">
        <v>609.29740000000004</v>
      </c>
      <c r="CB315" s="93">
        <v>32.205499000000003</v>
      </c>
      <c r="CC315" s="93">
        <v>96.113944000000004</v>
      </c>
      <c r="CD315" s="25">
        <v>248</v>
      </c>
      <c r="CE315" s="97"/>
      <c r="CF315" s="1504">
        <v>44044</v>
      </c>
      <c r="CG315" s="19">
        <v>1.541911228</v>
      </c>
      <c r="CH315" s="93">
        <v>1968.63</v>
      </c>
      <c r="CI315" s="219">
        <v>43.4433333333333</v>
      </c>
      <c r="CJ315" s="20">
        <v>44.26</v>
      </c>
      <c r="CK315" s="19">
        <v>480.85</v>
      </c>
      <c r="CL315" s="93">
        <v>149.34250800000001</v>
      </c>
      <c r="CM315" s="93">
        <v>0.28880521999999997</v>
      </c>
      <c r="CN315" s="93">
        <v>0.38625516799999998</v>
      </c>
      <c r="CO315" s="568">
        <v>223</v>
      </c>
      <c r="CP315" s="20">
        <v>4.6323475439999999</v>
      </c>
      <c r="CQ315" s="219">
        <v>1876.96</v>
      </c>
      <c r="CR315" s="93">
        <v>2.0024999999999999</v>
      </c>
      <c r="CS315" s="93">
        <v>1.7032</v>
      </c>
      <c r="CT315" s="93">
        <v>76.88</v>
      </c>
      <c r="CU315" s="93">
        <v>121.07</v>
      </c>
      <c r="CV315" s="214">
        <v>2410.0500000000002</v>
      </c>
      <c r="CW315" s="29">
        <v>248</v>
      </c>
      <c r="CX315" s="41">
        <f t="shared" si="239"/>
        <v>2020</v>
      </c>
      <c r="CY315" s="1504">
        <v>44044</v>
      </c>
      <c r="CZ315" s="733">
        <v>151.014937</v>
      </c>
      <c r="DA315" s="570">
        <v>79.949066000000002</v>
      </c>
      <c r="DB315" s="570">
        <v>53.604885000000003</v>
      </c>
      <c r="DC315" s="93"/>
      <c r="DD315" s="93"/>
      <c r="DE315" s="20"/>
      <c r="DF315" s="29">
        <v>248</v>
      </c>
      <c r="DG315" s="1504">
        <v>44044</v>
      </c>
      <c r="DH315" s="19">
        <v>446668</v>
      </c>
      <c r="DI315" s="93">
        <v>4817686</v>
      </c>
      <c r="DJ315" s="93">
        <v>302523</v>
      </c>
      <c r="DK315" s="93">
        <v>18340</v>
      </c>
      <c r="DL315" s="93">
        <v>489230</v>
      </c>
      <c r="DM315" s="93">
        <v>7794</v>
      </c>
      <c r="DN315" s="20">
        <v>1311411</v>
      </c>
      <c r="DO315" s="295">
        <f t="shared" si="282"/>
        <v>6946984</v>
      </c>
      <c r="DP315" s="29">
        <v>248</v>
      </c>
      <c r="DQ315" s="1504">
        <v>44044</v>
      </c>
      <c r="DR315" s="19">
        <v>49678.9</v>
      </c>
      <c r="DS315" s="93">
        <v>276</v>
      </c>
      <c r="DT315" s="93">
        <v>61442.7</v>
      </c>
      <c r="DU315" s="93">
        <v>1102</v>
      </c>
      <c r="DV315" s="93">
        <v>11344.048000000001</v>
      </c>
      <c r="DW315" s="93">
        <v>2035</v>
      </c>
      <c r="DX315" s="20">
        <v>19387.596428571425</v>
      </c>
      <c r="DY315" s="29">
        <v>248</v>
      </c>
      <c r="DZ315" s="1504">
        <v>44044</v>
      </c>
      <c r="EA315" s="19"/>
      <c r="EB315" s="93"/>
      <c r="EC315" s="20"/>
      <c r="ED315" s="29"/>
      <c r="EE315" s="1504">
        <v>44044</v>
      </c>
      <c r="EF315" s="19">
        <v>7347</v>
      </c>
      <c r="EG315" s="93">
        <v>7423</v>
      </c>
      <c r="EH315" s="93">
        <v>14770</v>
      </c>
      <c r="EI315" s="214">
        <v>3660</v>
      </c>
      <c r="EJ315" s="93">
        <v>721.26499999999999</v>
      </c>
      <c r="EK315" s="93">
        <v>59.917999999999999</v>
      </c>
      <c r="EL315" s="93">
        <v>3.2930000000000001</v>
      </c>
      <c r="EM315" s="93">
        <v>6.8410000000000002</v>
      </c>
      <c r="EN315" s="20">
        <v>791.31700000000001</v>
      </c>
      <c r="EO315" s="29">
        <v>248</v>
      </c>
      <c r="EP315" s="1504">
        <v>44044</v>
      </c>
      <c r="EQ315" s="19">
        <v>6813</v>
      </c>
      <c r="ER315" s="93">
        <v>6914</v>
      </c>
      <c r="ES315" s="93">
        <v>13727</v>
      </c>
      <c r="ET315" s="214">
        <v>3395</v>
      </c>
      <c r="EU315" s="93">
        <v>721.26499999999999</v>
      </c>
      <c r="EV315" s="93">
        <v>59.917999999999999</v>
      </c>
      <c r="EW315" s="93">
        <v>3.2930000000000001</v>
      </c>
      <c r="EX315" s="93">
        <v>6.8410000000000002</v>
      </c>
      <c r="EY315" s="20">
        <v>791.31700000000001</v>
      </c>
      <c r="EZ315" s="29">
        <v>248</v>
      </c>
      <c r="FA315" s="1504">
        <v>44044</v>
      </c>
      <c r="FB315" s="29">
        <v>534</v>
      </c>
      <c r="FC315" s="29">
        <v>509</v>
      </c>
      <c r="FD315" s="29">
        <v>1043</v>
      </c>
      <c r="FE315" s="29">
        <v>265</v>
      </c>
      <c r="FF315" s="29">
        <v>0</v>
      </c>
      <c r="FG315" s="29">
        <v>0</v>
      </c>
      <c r="FH315" s="29">
        <v>0</v>
      </c>
      <c r="FI315" s="29">
        <v>0</v>
      </c>
      <c r="FJ315" s="29">
        <v>0</v>
      </c>
      <c r="FK315" s="29">
        <v>248</v>
      </c>
      <c r="FL315" s="1504">
        <v>44044</v>
      </c>
      <c r="FM315" s="19">
        <v>105.85</v>
      </c>
      <c r="FN315" s="93">
        <v>108.19</v>
      </c>
      <c r="FO315" s="93">
        <v>145.96</v>
      </c>
      <c r="FP315" s="93">
        <v>101.31</v>
      </c>
      <c r="FQ315" s="93">
        <v>97.44</v>
      </c>
      <c r="FR315" s="93">
        <v>101.29</v>
      </c>
      <c r="FS315" s="93">
        <v>100.41</v>
      </c>
      <c r="FT315" s="93">
        <v>98.61</v>
      </c>
      <c r="FU315" s="93">
        <v>98.78</v>
      </c>
      <c r="FV315" s="93">
        <v>101.12</v>
      </c>
      <c r="FW315" s="93">
        <v>107.43</v>
      </c>
      <c r="FX315" s="93">
        <v>104.9</v>
      </c>
      <c r="FY315" s="93">
        <v>100.75</v>
      </c>
      <c r="FZ315" s="29">
        <v>248</v>
      </c>
      <c r="GA315" s="1504">
        <v>44044</v>
      </c>
      <c r="GB315" s="19">
        <v>105.85</v>
      </c>
      <c r="GC315" s="93">
        <v>103.29</v>
      </c>
      <c r="GD315" s="93">
        <v>107.34</v>
      </c>
      <c r="GE315" s="93">
        <v>94.01</v>
      </c>
      <c r="GF315" s="93">
        <v>112.6</v>
      </c>
      <c r="GG315" s="93">
        <v>104.04</v>
      </c>
      <c r="GH315" s="93">
        <v>111.78</v>
      </c>
      <c r="GI315" s="93">
        <v>102.7</v>
      </c>
      <c r="GJ315" s="93">
        <v>102.5</v>
      </c>
      <c r="GK315" s="93">
        <v>100.29</v>
      </c>
      <c r="GL315" s="93">
        <v>108.4</v>
      </c>
      <c r="GM315" s="93">
        <v>101.24</v>
      </c>
      <c r="GN315" s="20">
        <v>102.5</v>
      </c>
      <c r="GO315" s="29">
        <v>248</v>
      </c>
      <c r="GP315" s="1504">
        <v>44044</v>
      </c>
      <c r="GQ315" s="19">
        <v>277</v>
      </c>
      <c r="GR315" s="93">
        <v>232</v>
      </c>
      <c r="GS315" s="93">
        <v>239</v>
      </c>
      <c r="GT315" s="93">
        <v>201</v>
      </c>
      <c r="GU315" s="93">
        <v>401</v>
      </c>
      <c r="GV315" s="20">
        <v>1031</v>
      </c>
      <c r="GW315" s="19">
        <v>375</v>
      </c>
      <c r="GX315" s="93">
        <v>460</v>
      </c>
      <c r="GY315" s="93">
        <v>550</v>
      </c>
      <c r="GZ315" s="93">
        <v>542</v>
      </c>
      <c r="HA315" s="93">
        <v>435</v>
      </c>
      <c r="HB315" s="20">
        <v>589</v>
      </c>
      <c r="HC315" s="19">
        <v>2230</v>
      </c>
      <c r="HD315" s="93">
        <v>2768</v>
      </c>
      <c r="HE315" s="93">
        <v>2738</v>
      </c>
      <c r="HF315" s="93">
        <v>3150</v>
      </c>
      <c r="HG315" s="93">
        <v>2698</v>
      </c>
      <c r="HH315" s="20">
        <v>2819</v>
      </c>
      <c r="HI315" s="19"/>
      <c r="HJ315" s="93">
        <v>908</v>
      </c>
      <c r="HK315" s="93">
        <v>1528</v>
      </c>
      <c r="HL315" s="93">
        <v>907</v>
      </c>
      <c r="HM315" s="93">
        <v>900</v>
      </c>
      <c r="HN315" s="20">
        <v>2854</v>
      </c>
      <c r="HO315" s="219">
        <v>178</v>
      </c>
      <c r="HP315" s="20">
        <v>99</v>
      </c>
      <c r="HQ315" s="25">
        <v>174</v>
      </c>
      <c r="HR315" s="29">
        <v>248</v>
      </c>
      <c r="HS315" s="1504">
        <v>44044</v>
      </c>
      <c r="HT315" s="179">
        <v>258.47298583984377</v>
      </c>
      <c r="HU315" s="99">
        <v>291.66667175292969</v>
      </c>
      <c r="HV315" s="99">
        <v>224.21561584472656</v>
      </c>
      <c r="HW315" s="99">
        <v>178.57142639160156</v>
      </c>
      <c r="HX315" s="99">
        <v>233.33333587646484</v>
      </c>
      <c r="HY315" s="99">
        <v>244.84636383056642</v>
      </c>
      <c r="HZ315" s="99">
        <v>261.17072601318358</v>
      </c>
      <c r="IA315" s="132">
        <v>202.41936492919922</v>
      </c>
      <c r="IB315" s="179">
        <v>123.77850341796875</v>
      </c>
      <c r="IC315" s="99">
        <v>116.66666870117187</v>
      </c>
      <c r="ID315" s="99">
        <v>114.84983444213867</v>
      </c>
      <c r="IE315" s="99">
        <v>131.51466369628906</v>
      </c>
      <c r="IF315" s="99">
        <v>175.40322875976563</v>
      </c>
      <c r="IG315" s="132">
        <v>122.89325904846191</v>
      </c>
      <c r="IH315" s="179">
        <v>125.93406066894531</v>
      </c>
      <c r="II315" s="99">
        <v>238.57527160644531</v>
      </c>
      <c r="IJ315" s="99">
        <v>170.06802368164063</v>
      </c>
      <c r="IK315" s="99">
        <v>165.17857360839844</v>
      </c>
      <c r="IL315" s="99">
        <v>166.95744934082032</v>
      </c>
      <c r="IM315" s="99">
        <v>151.96078491210938</v>
      </c>
      <c r="IN315" s="93">
        <v>176.67845153808594</v>
      </c>
      <c r="IO315" s="132">
        <v>183.78935852050782</v>
      </c>
      <c r="IP315" s="29">
        <v>248</v>
      </c>
      <c r="IQ315" s="19">
        <v>123.77850341796875</v>
      </c>
      <c r="IR315" s="93">
        <v>116.66666870117187</v>
      </c>
      <c r="IS315" s="93">
        <v>114.84983444213867</v>
      </c>
      <c r="IT315" s="93">
        <v>131.51466369628906</v>
      </c>
      <c r="IU315" s="93">
        <v>175.40322875976563</v>
      </c>
      <c r="IV315" s="20">
        <v>122.89325904846191</v>
      </c>
      <c r="IW315" s="29">
        <v>248</v>
      </c>
      <c r="IX315" s="19"/>
      <c r="IY315" s="93"/>
      <c r="IZ315" s="93"/>
      <c r="JA315" s="93"/>
      <c r="JB315" s="93"/>
      <c r="JC315" s="93"/>
      <c r="JD315" s="93"/>
      <c r="JE315" s="20"/>
      <c r="JF315" s="29">
        <v>248</v>
      </c>
      <c r="JG315" s="19">
        <v>152.72020721435547</v>
      </c>
      <c r="JH315" s="93">
        <v>241.93548583984375</v>
      </c>
      <c r="JI315" s="93">
        <v>160.87543640136718</v>
      </c>
      <c r="JJ315" s="93">
        <v>159.93266296386719</v>
      </c>
      <c r="JK315" s="93">
        <v>183.87099456787109</v>
      </c>
      <c r="JL315" s="93">
        <v>194.80035909016928</v>
      </c>
      <c r="JM315" s="93">
        <v>173.14488220214844</v>
      </c>
      <c r="JN315" s="20">
        <v>230.13805084228517</v>
      </c>
      <c r="JO315" s="29">
        <v>248</v>
      </c>
      <c r="JP315" s="19">
        <v>170.46688842773438</v>
      </c>
      <c r="JQ315" s="93">
        <v>122.5</v>
      </c>
      <c r="JR315" s="93">
        <v>150</v>
      </c>
      <c r="JS315" s="93">
        <v>129.44984436035156</v>
      </c>
      <c r="JT315" s="93">
        <v>165.44116592407227</v>
      </c>
      <c r="JU315" s="20">
        <v>122.26562690734863</v>
      </c>
      <c r="JV315" s="29">
        <v>248</v>
      </c>
      <c r="JW315" s="1504">
        <v>44044</v>
      </c>
      <c r="JX315" s="19">
        <v>310</v>
      </c>
      <c r="JY315" s="93">
        <v>326.66666666666669</v>
      </c>
      <c r="JZ315" s="93"/>
      <c r="KA315" s="93">
        <v>332.5</v>
      </c>
      <c r="KB315" s="93">
        <v>315</v>
      </c>
      <c r="KC315" s="93">
        <v>372.22222222222217</v>
      </c>
      <c r="KD315" s="20">
        <v>368.8888888888888</v>
      </c>
      <c r="KE315" s="29">
        <v>248</v>
      </c>
      <c r="KF315" s="19">
        <v>49.416499999999999</v>
      </c>
      <c r="KG315" s="93">
        <v>47.363592592592589</v>
      </c>
      <c r="KH315" s="93">
        <v>76.666666666666671</v>
      </c>
      <c r="KI315" s="93">
        <v>75</v>
      </c>
      <c r="KJ315" s="93">
        <v>55.722222222222229</v>
      </c>
      <c r="KK315" s="20">
        <v>74.222388888888887</v>
      </c>
      <c r="KL315" s="29">
        <v>248</v>
      </c>
      <c r="KM315" s="19">
        <v>27.777777777777782</v>
      </c>
      <c r="KN315" s="93">
        <v>14.703703703703702</v>
      </c>
      <c r="KO315" s="93">
        <v>32.916499999999999</v>
      </c>
      <c r="KP315" s="93">
        <v>46.5</v>
      </c>
      <c r="KQ315" s="93">
        <v>39.94455555555556</v>
      </c>
      <c r="KR315" s="20">
        <v>45.899518518518519</v>
      </c>
      <c r="KS315" s="29">
        <v>248</v>
      </c>
      <c r="KT315" s="19">
        <v>20.916666666666668</v>
      </c>
      <c r="KU315" s="93">
        <v>23.737804878048781</v>
      </c>
      <c r="KV315" s="93">
        <v>32.083333333333329</v>
      </c>
      <c r="KW315" s="93">
        <v>31.25</v>
      </c>
      <c r="KX315" s="93">
        <v>22.545454545454543</v>
      </c>
      <c r="KY315" s="20">
        <v>35.15789473684211</v>
      </c>
      <c r="KZ315" s="29">
        <v>248</v>
      </c>
      <c r="LA315" s="1504">
        <v>44044</v>
      </c>
      <c r="LB315" s="19"/>
      <c r="LC315" s="93"/>
      <c r="LD315" s="93"/>
      <c r="LE315" s="93"/>
      <c r="LF315" s="93"/>
      <c r="LG315" s="93"/>
      <c r="LH315" s="20"/>
      <c r="LI315" s="29"/>
      <c r="LJ315" s="19"/>
      <c r="LK315" s="93"/>
      <c r="LL315" s="93"/>
      <c r="LM315" s="93"/>
      <c r="LN315" s="93"/>
      <c r="LO315" s="20"/>
      <c r="LP315" s="29"/>
      <c r="LQ315" s="19"/>
      <c r="LR315" s="93">
        <v>188</v>
      </c>
      <c r="LS315" s="93">
        <v>463</v>
      </c>
      <c r="LT315" s="93">
        <v>663</v>
      </c>
      <c r="LU315" s="93">
        <v>1104</v>
      </c>
      <c r="LV315" s="93"/>
      <c r="LW315" s="93">
        <v>5</v>
      </c>
      <c r="LX315" s="93">
        <v>10</v>
      </c>
      <c r="LY315" s="93">
        <v>60</v>
      </c>
      <c r="LZ315" s="93"/>
      <c r="MA315" s="20"/>
      <c r="MB315" s="29">
        <v>248</v>
      </c>
      <c r="MC315" s="1504">
        <v>44044</v>
      </c>
      <c r="MD315" s="19">
        <v>1266.393376018058</v>
      </c>
      <c r="ME315" s="93">
        <v>1076.2989455179754</v>
      </c>
      <c r="MF315" s="93">
        <v>1076.0737805151753</v>
      </c>
      <c r="MG315" s="93">
        <v>895.68522103117539</v>
      </c>
      <c r="MH315" s="93">
        <v>312.47652820068231</v>
      </c>
      <c r="MI315" s="93">
        <v>9.8619317382861595</v>
      </c>
      <c r="MJ315" s="93">
        <v>6.3584109080574649</v>
      </c>
      <c r="MK315" s="93">
        <v>441.76110825455817</v>
      </c>
      <c r="ML315" s="93">
        <v>120.284675255</v>
      </c>
      <c r="MM315" s="93">
        <v>4.9425666745912871</v>
      </c>
      <c r="MN315" s="93">
        <v>180.38855948399996</v>
      </c>
      <c r="MO315" s="93">
        <v>2.9886716799999995</v>
      </c>
      <c r="MP315" s="93">
        <v>66.138001531</v>
      </c>
      <c r="MQ315" s="93">
        <v>2.3140079939999998</v>
      </c>
      <c r="MR315" s="93">
        <v>26.036703298999999</v>
      </c>
      <c r="MS315" s="93">
        <v>82.911174979999998</v>
      </c>
      <c r="MT315" s="93">
        <v>0.22516500280000304</v>
      </c>
      <c r="MU315" s="93">
        <v>190.09443050008258</v>
      </c>
      <c r="MV315" s="93">
        <v>78.05528173308258</v>
      </c>
      <c r="MW315" s="93">
        <v>112.039148767</v>
      </c>
      <c r="MX315" s="93">
        <v>1554.2086275804074</v>
      </c>
      <c r="MY315" s="93">
        <v>1551.3438893574075</v>
      </c>
      <c r="MZ315" s="93">
        <v>1106.7935940693626</v>
      </c>
      <c r="NA315" s="93">
        <v>588.4357103553333</v>
      </c>
      <c r="NB315" s="93">
        <v>99.756964034999996</v>
      </c>
      <c r="NC315" s="93">
        <v>84.70182061152947</v>
      </c>
      <c r="ND315" s="93">
        <v>71.209915224420001</v>
      </c>
      <c r="NE315" s="93">
        <v>13.49190538710948</v>
      </c>
      <c r="NF315" s="93">
        <v>333.8990990675</v>
      </c>
      <c r="NG315" s="93">
        <v>21.878950634999999</v>
      </c>
      <c r="NH315" s="93">
        <v>78.608310466999995</v>
      </c>
      <c r="NI315" s="1805">
        <v>0</v>
      </c>
      <c r="NJ315" s="1805">
        <v>49.935068434000002</v>
      </c>
      <c r="NK315" s="93">
        <v>444.55029528804482</v>
      </c>
      <c r="NL315" s="93">
        <v>239.930607133</v>
      </c>
      <c r="NM315" s="93">
        <v>55.887758714</v>
      </c>
      <c r="NN315" s="93">
        <v>148.73192944104483</v>
      </c>
      <c r="NO315" s="93">
        <v>2.8647382229999994</v>
      </c>
      <c r="NP315" s="93">
        <v>-287.81525156234954</v>
      </c>
      <c r="NQ315" s="93">
        <v>-477.90968206243218</v>
      </c>
      <c r="NR315" s="93">
        <v>-244.47593200985787</v>
      </c>
      <c r="NS315" s="93">
        <v>-329.17775262138736</v>
      </c>
      <c r="NT315" s="93">
        <v>-365.36544995034961</v>
      </c>
      <c r="NU315" s="93">
        <v>-555.45988045043225</v>
      </c>
      <c r="NV315" s="93">
        <v>364.64520664137166</v>
      </c>
      <c r="NW315" s="93">
        <v>91.519104919271655</v>
      </c>
      <c r="NX315" s="93">
        <v>127.34346566828226</v>
      </c>
      <c r="NY315" s="93">
        <v>-35.824360749010616</v>
      </c>
      <c r="NZ315" s="93">
        <v>0</v>
      </c>
      <c r="OA315" s="93">
        <v>273.12610172210009</v>
      </c>
      <c r="OB315" s="93">
        <v>3.3663133811000288</v>
      </c>
      <c r="OC315" s="93">
        <v>269.75978834100005</v>
      </c>
      <c r="OD315" s="20">
        <v>0.72024330897796529</v>
      </c>
      <c r="OE315" s="29">
        <v>248</v>
      </c>
      <c r="OF315" s="1504">
        <v>44044</v>
      </c>
      <c r="OG315" s="19"/>
      <c r="OH315" s="93">
        <v>642.77449352200006</v>
      </c>
      <c r="OI315" s="93">
        <v>1910.6426866040001</v>
      </c>
      <c r="OJ315" s="93">
        <v>2.1301458169999998</v>
      </c>
      <c r="OK315" s="93">
        <v>1658.2950000000001</v>
      </c>
      <c r="OL315" s="93">
        <v>250.21754078700002</v>
      </c>
      <c r="OM315" s="93">
        <v>2553.4171801259999</v>
      </c>
      <c r="ON315" s="93">
        <v>1701.7531083190001</v>
      </c>
      <c r="OO315" s="93">
        <v>4255.1702884450006</v>
      </c>
      <c r="OP315" s="93"/>
      <c r="OQ315" s="93">
        <v>1939.1467026269997</v>
      </c>
      <c r="OR315" s="93">
        <v>295.40270262699983</v>
      </c>
      <c r="OS315" s="93">
        <v>1643.7439999999999</v>
      </c>
      <c r="OT315" s="93">
        <v>2935.7350444039998</v>
      </c>
      <c r="OU315" s="93">
        <v>-52.391508605999945</v>
      </c>
      <c r="OV315" s="93">
        <v>-266.34150860599999</v>
      </c>
      <c r="OW315" s="93">
        <v>213.95000000000005</v>
      </c>
      <c r="OX315" s="93">
        <v>2988.12655301</v>
      </c>
      <c r="OY315" s="93">
        <v>8.0345530099999998</v>
      </c>
      <c r="OZ315" s="93">
        <v>2980.0920000000001</v>
      </c>
      <c r="PA315" s="93">
        <v>815.48881685299989</v>
      </c>
      <c r="PB315" s="93">
        <v>-195.77735826699995</v>
      </c>
      <c r="PC315" s="20">
        <v>4255.1702884449996</v>
      </c>
      <c r="PD315" s="29">
        <v>248</v>
      </c>
      <c r="PE315" s="19"/>
      <c r="PF315" s="93">
        <v>295.40270262699983</v>
      </c>
      <c r="PG315" s="93">
        <v>1317.7289617429999</v>
      </c>
      <c r="PH315" s="93">
        <v>1022.3262591160001</v>
      </c>
      <c r="PI315" s="93">
        <v>950.23799999999994</v>
      </c>
      <c r="PJ315" s="93">
        <v>-256.36309300699997</v>
      </c>
      <c r="PK315" s="93">
        <v>201.42355262300001</v>
      </c>
      <c r="PL315" s="93">
        <v>457.78664563000001</v>
      </c>
      <c r="PM315" s="93">
        <v>8.0345530099999998</v>
      </c>
      <c r="PN315" s="93">
        <v>3.5379999999999998</v>
      </c>
      <c r="PO315" s="93">
        <v>0</v>
      </c>
      <c r="PP315" s="93">
        <v>0</v>
      </c>
      <c r="PQ315" s="93">
        <v>4.4965530100000004</v>
      </c>
      <c r="PR315" s="93">
        <v>977.06830343500008</v>
      </c>
      <c r="PS315" s="93">
        <v>734.99490912099998</v>
      </c>
      <c r="PT315" s="93">
        <v>239.61014017799999</v>
      </c>
      <c r="PU315" s="93">
        <v>2.4632541359999998</v>
      </c>
      <c r="PV315" s="93">
        <v>0</v>
      </c>
      <c r="PW315" s="93">
        <v>0.53795275799999998</v>
      </c>
      <c r="PX315" s="93">
        <v>0</v>
      </c>
      <c r="PY315" s="93">
        <v>0</v>
      </c>
      <c r="PZ315" s="93">
        <v>0.53795275799999998</v>
      </c>
      <c r="QA315" s="93">
        <v>0</v>
      </c>
      <c r="QB315" s="93"/>
      <c r="QC315" s="93"/>
      <c r="QD315" s="93">
        <v>11.006864095000001</v>
      </c>
      <c r="QE315" s="20">
        <v>8.6990423419999878</v>
      </c>
      <c r="QF315" s="1739">
        <v>248</v>
      </c>
      <c r="QG315" s="19"/>
      <c r="QH315" s="93">
        <v>1643.7439999999999</v>
      </c>
      <c r="QI315" s="93">
        <v>2013.1079999999999</v>
      </c>
      <c r="QJ315" s="93">
        <v>-369.36399999999998</v>
      </c>
      <c r="QK315" s="93">
        <v>324.56700000000001</v>
      </c>
      <c r="QL315" s="93">
        <v>82.242000000000004</v>
      </c>
      <c r="QM315" s="93">
        <v>242.32499999999999</v>
      </c>
      <c r="QN315" s="93">
        <v>0</v>
      </c>
      <c r="QO315" s="93">
        <v>213.95000000000005</v>
      </c>
      <c r="QP315" s="93">
        <v>819.06000000000006</v>
      </c>
      <c r="QQ315" s="93">
        <v>-605.11</v>
      </c>
      <c r="QR315" s="93">
        <v>2980.0920000000001</v>
      </c>
      <c r="QS315" s="93">
        <v>25.247999999999998</v>
      </c>
      <c r="QT315" s="93">
        <v>0.95800000000000007</v>
      </c>
      <c r="QU315" s="93">
        <v>206.42599999999999</v>
      </c>
      <c r="QV315" s="93">
        <v>2747.46</v>
      </c>
      <c r="QW315" s="93"/>
      <c r="QX315" s="93">
        <v>899.62400000000002</v>
      </c>
      <c r="QY315" s="93">
        <v>1658.2950000000001</v>
      </c>
      <c r="QZ315" s="93">
        <v>1701.42</v>
      </c>
      <c r="RA315" s="93">
        <v>0</v>
      </c>
      <c r="RB315" s="93">
        <v>186.08699999999999</v>
      </c>
      <c r="RC315" s="93">
        <v>0</v>
      </c>
      <c r="RD315" s="93">
        <v>22.669999999999998</v>
      </c>
      <c r="RE315" s="93">
        <v>0</v>
      </c>
      <c r="RF315" s="93">
        <v>0</v>
      </c>
      <c r="RG315" s="93">
        <v>595.18700000000001</v>
      </c>
      <c r="RH315" s="93">
        <v>99.07</v>
      </c>
      <c r="RI315" s="93"/>
      <c r="RJ315" s="93"/>
      <c r="RK315" s="93"/>
      <c r="RL315" s="93"/>
      <c r="RM315" s="20"/>
      <c r="RN315" s="29">
        <v>248</v>
      </c>
      <c r="RO315" s="19">
        <v>913</v>
      </c>
      <c r="RP315" s="20">
        <v>124</v>
      </c>
      <c r="RQ315" s="29">
        <v>248</v>
      </c>
      <c r="RR315" s="734">
        <v>5.3065086300000006</v>
      </c>
      <c r="RS315" s="29">
        <v>248</v>
      </c>
      <c r="RT315" s="1504">
        <v>44044</v>
      </c>
      <c r="RU315" s="19">
        <v>1353</v>
      </c>
      <c r="RV315" s="20">
        <v>39</v>
      </c>
      <c r="RW315" s="29">
        <v>248</v>
      </c>
      <c r="RX315" s="1504">
        <v>44044</v>
      </c>
      <c r="RY315" s="29">
        <v>16176.000000000005</v>
      </c>
      <c r="RZ315" s="734">
        <v>14807.539999999999</v>
      </c>
      <c r="SA315" s="29">
        <v>387438.22885756666</v>
      </c>
      <c r="SB315" s="29">
        <v>248</v>
      </c>
    </row>
    <row r="316" spans="1:496">
      <c r="A316" s="41">
        <f t="shared" si="238"/>
        <v>2020</v>
      </c>
      <c r="B316" s="1504">
        <v>44075</v>
      </c>
      <c r="C316" s="1813">
        <v>1361</v>
      </c>
      <c r="D316" s="1814">
        <v>26498</v>
      </c>
      <c r="E316" s="1814">
        <v>63</v>
      </c>
      <c r="F316" s="1815"/>
      <c r="G316" s="1814">
        <v>104277</v>
      </c>
      <c r="H316" s="1814">
        <v>93</v>
      </c>
      <c r="I316" s="1814">
        <v>32916</v>
      </c>
      <c r="J316" s="1816">
        <v>16189</v>
      </c>
      <c r="K316" s="1807">
        <v>181397</v>
      </c>
      <c r="L316" s="25">
        <v>249</v>
      </c>
      <c r="M316" s="97"/>
      <c r="N316" s="1504">
        <v>44075</v>
      </c>
      <c r="O316" s="19">
        <v>1057</v>
      </c>
      <c r="P316" s="93">
        <v>790</v>
      </c>
      <c r="Q316" s="93">
        <v>10667</v>
      </c>
      <c r="R316" s="93">
        <v>2466</v>
      </c>
      <c r="S316" s="93">
        <v>2072</v>
      </c>
      <c r="T316" s="93">
        <v>596</v>
      </c>
      <c r="U316" s="93">
        <v>292</v>
      </c>
      <c r="V316" s="93">
        <v>1217</v>
      </c>
      <c r="W316" s="93">
        <v>5093</v>
      </c>
      <c r="X316" s="93">
        <v>596</v>
      </c>
      <c r="Y316" s="93">
        <v>166</v>
      </c>
      <c r="Z316" s="93">
        <v>755</v>
      </c>
      <c r="AA316" s="93">
        <v>731</v>
      </c>
      <c r="AB316" s="20">
        <v>26498</v>
      </c>
      <c r="AC316" s="25">
        <v>249</v>
      </c>
      <c r="AD316" s="97"/>
      <c r="AE316" s="1504">
        <v>44075</v>
      </c>
      <c r="AF316" s="19">
        <v>3667</v>
      </c>
      <c r="AG316" s="93">
        <v>1242</v>
      </c>
      <c r="AH316" s="93">
        <v>4434</v>
      </c>
      <c r="AI316" s="93">
        <v>3626</v>
      </c>
      <c r="AJ316" s="93">
        <v>2142</v>
      </c>
      <c r="AK316" s="93">
        <v>2016</v>
      </c>
      <c r="AL316" s="93">
        <v>939</v>
      </c>
      <c r="AM316" s="93">
        <v>1670</v>
      </c>
      <c r="AN316" s="93">
        <v>8679</v>
      </c>
      <c r="AO316" s="93">
        <v>1460</v>
      </c>
      <c r="AP316" s="93">
        <v>678</v>
      </c>
      <c r="AQ316" s="93">
        <v>1186</v>
      </c>
      <c r="AR316" s="93">
        <v>1177</v>
      </c>
      <c r="AS316" s="20">
        <v>32916</v>
      </c>
      <c r="AT316" s="25">
        <v>249</v>
      </c>
      <c r="AU316" s="97"/>
      <c r="AV316" s="1504">
        <v>44075</v>
      </c>
      <c r="AW316" s="19">
        <v>12958</v>
      </c>
      <c r="AX316" s="93">
        <v>3895</v>
      </c>
      <c r="AY316" s="93">
        <v>3919</v>
      </c>
      <c r="AZ316" s="93">
        <v>14903</v>
      </c>
      <c r="BA316" s="93">
        <v>7631</v>
      </c>
      <c r="BB316" s="93">
        <v>7293</v>
      </c>
      <c r="BC316" s="93">
        <v>5442</v>
      </c>
      <c r="BD316" s="93">
        <v>10988</v>
      </c>
      <c r="BE316" s="93">
        <v>16102</v>
      </c>
      <c r="BF316" s="93">
        <v>6059</v>
      </c>
      <c r="BG316" s="93">
        <v>3662</v>
      </c>
      <c r="BH316" s="93">
        <v>6643</v>
      </c>
      <c r="BI316" s="93">
        <v>4782</v>
      </c>
      <c r="BJ316" s="20">
        <v>104277</v>
      </c>
      <c r="BK316" s="25">
        <v>249</v>
      </c>
      <c r="BL316" s="97"/>
      <c r="BM316" s="1504">
        <v>44075</v>
      </c>
      <c r="BN316" s="19">
        <v>69.411000000000001</v>
      </c>
      <c r="BO316" s="93">
        <v>2994.2739999999999</v>
      </c>
      <c r="BP316" s="93">
        <v>12.096</v>
      </c>
      <c r="BQ316" s="93">
        <v>834.21600000000001</v>
      </c>
      <c r="BR316" s="93">
        <v>14.228999999999999</v>
      </c>
      <c r="BS316" s="93">
        <v>296.24400000000003</v>
      </c>
      <c r="BT316" s="93">
        <v>388.536</v>
      </c>
      <c r="BU316" s="20">
        <v>4609.0060000000003</v>
      </c>
      <c r="BV316" s="25">
        <v>249</v>
      </c>
      <c r="BW316" s="97"/>
      <c r="BX316" s="1504">
        <v>44075</v>
      </c>
      <c r="BY316" s="19">
        <v>556.53909999999996</v>
      </c>
      <c r="BZ316" s="99">
        <v>655.95699999999999</v>
      </c>
      <c r="CA316" s="93">
        <v>608.11429999999996</v>
      </c>
      <c r="CB316" s="93">
        <v>33.285831000000002</v>
      </c>
      <c r="CC316" s="93">
        <v>96.185803000000007</v>
      </c>
      <c r="CD316" s="25">
        <v>249</v>
      </c>
      <c r="CE316" s="97"/>
      <c r="CF316" s="1504">
        <v>44075</v>
      </c>
      <c r="CG316" s="19">
        <v>1.5610914220000001</v>
      </c>
      <c r="CH316" s="93">
        <v>1921.92</v>
      </c>
      <c r="CI316" s="219">
        <v>40.5966666666667</v>
      </c>
      <c r="CJ316" s="20">
        <v>41.09</v>
      </c>
      <c r="CK316" s="19">
        <v>483</v>
      </c>
      <c r="CL316" s="93">
        <v>166.0817816</v>
      </c>
      <c r="CM316" s="93">
        <v>0.28130951199999998</v>
      </c>
      <c r="CN316" s="93">
        <v>0.38514486399999998</v>
      </c>
      <c r="CO316" s="568">
        <v>247.68</v>
      </c>
      <c r="CP316" s="20">
        <v>4.599057782</v>
      </c>
      <c r="CQ316" s="219">
        <v>1880.71</v>
      </c>
      <c r="CR316" s="93">
        <v>2.032</v>
      </c>
      <c r="CS316" s="93">
        <v>1.8575999999999999</v>
      </c>
      <c r="CT316" s="93">
        <v>79.38</v>
      </c>
      <c r="CU316" s="93">
        <v>123.75</v>
      </c>
      <c r="CV316" s="214">
        <v>2442.46</v>
      </c>
      <c r="CW316" s="29">
        <v>249</v>
      </c>
      <c r="CX316" s="41">
        <f t="shared" si="239"/>
        <v>2020</v>
      </c>
      <c r="CY316" s="1504">
        <v>44075</v>
      </c>
      <c r="CZ316" s="733">
        <v>135.88035199999999</v>
      </c>
      <c r="DA316" s="570">
        <v>70.203772000000001</v>
      </c>
      <c r="DB316" s="570">
        <v>48.022987999999998</v>
      </c>
      <c r="DC316" s="93"/>
      <c r="DD316" s="93"/>
      <c r="DE316" s="20"/>
      <c r="DF316" s="29">
        <v>249</v>
      </c>
      <c r="DG316" s="1504">
        <v>44075</v>
      </c>
      <c r="DH316" s="19">
        <v>449300</v>
      </c>
      <c r="DI316" s="93">
        <v>4559353</v>
      </c>
      <c r="DJ316" s="93">
        <v>279778</v>
      </c>
      <c r="DK316" s="93">
        <v>15896</v>
      </c>
      <c r="DL316" s="93">
        <v>485895</v>
      </c>
      <c r="DM316" s="93">
        <v>7458</v>
      </c>
      <c r="DN316" s="20">
        <v>1255811</v>
      </c>
      <c r="DO316" s="295">
        <f t="shared" si="282"/>
        <v>6604191</v>
      </c>
      <c r="DP316" s="29">
        <v>249</v>
      </c>
      <c r="DQ316" s="1504">
        <v>44075</v>
      </c>
      <c r="DR316" s="19">
        <v>45396.2</v>
      </c>
      <c r="DS316" s="93">
        <v>194</v>
      </c>
      <c r="DT316" s="93">
        <v>53083</v>
      </c>
      <c r="DU316" s="93">
        <v>1968.57</v>
      </c>
      <c r="DV316" s="93">
        <v>14027</v>
      </c>
      <c r="DW316" s="93">
        <v>1699</v>
      </c>
      <c r="DX316" s="20">
        <v>18714.632142857139</v>
      </c>
      <c r="DY316" s="29">
        <v>249</v>
      </c>
      <c r="DZ316" s="1504">
        <v>44075</v>
      </c>
      <c r="EA316" s="19"/>
      <c r="EB316" s="93"/>
      <c r="EC316" s="20"/>
      <c r="ED316" s="29"/>
      <c r="EE316" s="1504">
        <v>44075</v>
      </c>
      <c r="EF316" s="19">
        <v>9585</v>
      </c>
      <c r="EG316" s="93">
        <v>9532</v>
      </c>
      <c r="EH316" s="93">
        <v>19117</v>
      </c>
      <c r="EI316" s="214">
        <v>4061</v>
      </c>
      <c r="EJ316" s="93">
        <v>499.02199999999999</v>
      </c>
      <c r="EK316" s="93">
        <v>80.444999999999993</v>
      </c>
      <c r="EL316" s="93">
        <v>5.9409999999999998</v>
      </c>
      <c r="EM316" s="93">
        <v>5.835</v>
      </c>
      <c r="EN316" s="20">
        <v>591.24300000000005</v>
      </c>
      <c r="EO316" s="29">
        <v>249</v>
      </c>
      <c r="EP316" s="1504">
        <v>44075</v>
      </c>
      <c r="EQ316" s="19">
        <v>8871</v>
      </c>
      <c r="ER316" s="93">
        <v>8856</v>
      </c>
      <c r="ES316" s="93">
        <v>17727</v>
      </c>
      <c r="ET316" s="214">
        <v>3754</v>
      </c>
      <c r="EU316" s="93">
        <v>499.02199999999999</v>
      </c>
      <c r="EV316" s="93">
        <v>80.444999999999993</v>
      </c>
      <c r="EW316" s="93">
        <v>5.9409999999999998</v>
      </c>
      <c r="EX316" s="93">
        <v>5.835</v>
      </c>
      <c r="EY316" s="20">
        <v>591.24300000000005</v>
      </c>
      <c r="EZ316" s="29">
        <v>249</v>
      </c>
      <c r="FA316" s="1504">
        <v>44075</v>
      </c>
      <c r="FB316" s="29">
        <v>714</v>
      </c>
      <c r="FC316" s="29">
        <v>676</v>
      </c>
      <c r="FD316" s="29">
        <v>1390</v>
      </c>
      <c r="FE316" s="29">
        <v>307</v>
      </c>
      <c r="FF316" s="29">
        <v>0</v>
      </c>
      <c r="FG316" s="29">
        <v>0</v>
      </c>
      <c r="FH316" s="29">
        <v>0</v>
      </c>
      <c r="FI316" s="29">
        <v>0</v>
      </c>
      <c r="FJ316" s="29">
        <v>0</v>
      </c>
      <c r="FK316" s="29">
        <v>249</v>
      </c>
      <c r="FL316" s="1504">
        <v>44075</v>
      </c>
      <c r="FM316" s="19">
        <v>106.02</v>
      </c>
      <c r="FN316" s="93">
        <v>108.87</v>
      </c>
      <c r="FO316" s="93">
        <v>138.38999999999999</v>
      </c>
      <c r="FP316" s="93">
        <v>101.31</v>
      </c>
      <c r="FQ316" s="93">
        <v>96.89</v>
      </c>
      <c r="FR316" s="93">
        <v>101.29</v>
      </c>
      <c r="FS316" s="93">
        <v>100.41</v>
      </c>
      <c r="FT316" s="93">
        <v>98.61</v>
      </c>
      <c r="FU316" s="93">
        <v>98.78</v>
      </c>
      <c r="FV316" s="93">
        <v>101.12</v>
      </c>
      <c r="FW316" s="93">
        <v>107.43</v>
      </c>
      <c r="FX316" s="93">
        <v>105.04</v>
      </c>
      <c r="FY316" s="93">
        <v>100.75</v>
      </c>
      <c r="FZ316" s="29">
        <v>249</v>
      </c>
      <c r="GA316" s="1504">
        <v>44075</v>
      </c>
      <c r="GB316" s="19">
        <v>106.02</v>
      </c>
      <c r="GC316" s="93">
        <v>102.96</v>
      </c>
      <c r="GD316" s="93">
        <v>107.74</v>
      </c>
      <c r="GE316" s="93">
        <v>93.47</v>
      </c>
      <c r="GF316" s="93">
        <v>113.59</v>
      </c>
      <c r="GG316" s="93">
        <v>103.86</v>
      </c>
      <c r="GH316" s="93">
        <v>112.27</v>
      </c>
      <c r="GI316" s="93">
        <v>102.63</v>
      </c>
      <c r="GJ316" s="93">
        <v>102.5</v>
      </c>
      <c r="GK316" s="93">
        <v>100.29</v>
      </c>
      <c r="GL316" s="93">
        <v>108.57</v>
      </c>
      <c r="GM316" s="93">
        <v>101.24</v>
      </c>
      <c r="GN316" s="20">
        <v>102.5</v>
      </c>
      <c r="GO316" s="29">
        <v>249</v>
      </c>
      <c r="GP316" s="1504">
        <v>44075</v>
      </c>
      <c r="GQ316" s="19">
        <v>313</v>
      </c>
      <c r="GR316" s="93">
        <v>239</v>
      </c>
      <c r="GS316" s="93">
        <v>245</v>
      </c>
      <c r="GT316" s="93">
        <v>195</v>
      </c>
      <c r="GU316" s="93">
        <v>403</v>
      </c>
      <c r="GV316" s="20">
        <v>1070</v>
      </c>
      <c r="GW316" s="19">
        <v>430</v>
      </c>
      <c r="GX316" s="93">
        <v>477</v>
      </c>
      <c r="GY316" s="93">
        <v>515</v>
      </c>
      <c r="GZ316" s="93">
        <v>628</v>
      </c>
      <c r="HA316" s="93">
        <v>327</v>
      </c>
      <c r="HB316" s="20">
        <v>373</v>
      </c>
      <c r="HC316" s="19">
        <v>1896</v>
      </c>
      <c r="HD316" s="93">
        <v>2698</v>
      </c>
      <c r="HE316" s="93">
        <v>3361</v>
      </c>
      <c r="HF316" s="93">
        <v>3150</v>
      </c>
      <c r="HG316" s="93">
        <v>2631</v>
      </c>
      <c r="HH316" s="20">
        <v>2886</v>
      </c>
      <c r="HI316" s="19"/>
      <c r="HJ316" s="93">
        <v>913</v>
      </c>
      <c r="HK316" s="93">
        <v>1640</v>
      </c>
      <c r="HL316" s="93">
        <v>818</v>
      </c>
      <c r="HM316" s="93">
        <v>900</v>
      </c>
      <c r="HN316" s="20">
        <v>2777</v>
      </c>
      <c r="HO316" s="219">
        <v>141</v>
      </c>
      <c r="HP316" s="20">
        <v>98</v>
      </c>
      <c r="HQ316" s="25">
        <v>166</v>
      </c>
      <c r="HR316" s="29">
        <v>249</v>
      </c>
      <c r="HS316" s="1504">
        <v>44075</v>
      </c>
      <c r="HT316" s="179">
        <v>263.88888549804688</v>
      </c>
      <c r="HU316" s="99">
        <v>268.66318893432617</v>
      </c>
      <c r="HV316" s="99">
        <v>222.75640487670898</v>
      </c>
      <c r="HW316" s="99">
        <v>178.57142639160156</v>
      </c>
      <c r="HX316" s="99">
        <v>245</v>
      </c>
      <c r="HY316" s="99">
        <v>249.99999237060547</v>
      </c>
      <c r="HZ316" s="99">
        <v>265.24332427978516</v>
      </c>
      <c r="IA316" s="132">
        <v>223.8709716796875</v>
      </c>
      <c r="IB316" s="179">
        <v>143.98647460937499</v>
      </c>
      <c r="IC316" s="99">
        <v>131.94444274902344</v>
      </c>
      <c r="ID316" s="99">
        <v>112.90322875976563</v>
      </c>
      <c r="IE316" s="99">
        <v>128.66450119018555</v>
      </c>
      <c r="IF316" s="99">
        <v>169.47080383300781</v>
      </c>
      <c r="IG316" s="132">
        <v>119.52247428894043</v>
      </c>
      <c r="IH316" s="179">
        <v>131.46590995788574</v>
      </c>
      <c r="II316" s="99">
        <v>209.97436141967773</v>
      </c>
      <c r="IJ316" s="99">
        <v>181.16887664794922</v>
      </c>
      <c r="IK316" s="99">
        <v>169.64285278320313</v>
      </c>
      <c r="IL316" s="99">
        <v>166.66666412353516</v>
      </c>
      <c r="IM316" s="99">
        <v>156.89859313964843</v>
      </c>
      <c r="IN316" s="93">
        <v>194.3462963104248</v>
      </c>
      <c r="IO316" s="132">
        <v>183.59576034545898</v>
      </c>
      <c r="IP316" s="29">
        <v>249</v>
      </c>
      <c r="IQ316" s="19">
        <v>143.98647460937499</v>
      </c>
      <c r="IR316" s="93">
        <v>131.94444274902344</v>
      </c>
      <c r="IS316" s="93">
        <v>112.90322875976563</v>
      </c>
      <c r="IT316" s="93">
        <v>128.66450119018555</v>
      </c>
      <c r="IU316" s="93">
        <v>169.47080383300781</v>
      </c>
      <c r="IV316" s="20">
        <v>119.52247428894043</v>
      </c>
      <c r="IW316" s="29">
        <v>249</v>
      </c>
      <c r="IX316" s="19"/>
      <c r="IY316" s="93"/>
      <c r="IZ316" s="93"/>
      <c r="JA316" s="93"/>
      <c r="JB316" s="93"/>
      <c r="JC316" s="93"/>
      <c r="JD316" s="93"/>
      <c r="JE316" s="20"/>
      <c r="JF316" s="29">
        <v>249</v>
      </c>
      <c r="JG316" s="19">
        <v>146.73019409179688</v>
      </c>
      <c r="JH316" s="93">
        <v>209.97436141967773</v>
      </c>
      <c r="JI316" s="93">
        <v>185.35421752929688</v>
      </c>
      <c r="JJ316" s="93">
        <v>168.35017395019531</v>
      </c>
      <c r="JK316" s="93">
        <v>178.66023063659668</v>
      </c>
      <c r="JL316" s="93">
        <v>182.92409362792969</v>
      </c>
      <c r="JM316" s="93">
        <v>176.67845153808594</v>
      </c>
      <c r="JN316" s="20">
        <v>230.08701705932617</v>
      </c>
      <c r="JO316" s="29">
        <v>249</v>
      </c>
      <c r="JP316" s="19">
        <v>199.47340087890626</v>
      </c>
      <c r="JQ316" s="93">
        <v>118.75</v>
      </c>
      <c r="JR316" s="93">
        <v>150</v>
      </c>
      <c r="JS316" s="93"/>
      <c r="JT316" s="93">
        <v>176.39841613769531</v>
      </c>
      <c r="JU316" s="20">
        <v>125.39063262939453</v>
      </c>
      <c r="JV316" s="29">
        <v>249</v>
      </c>
      <c r="JW316" s="1504">
        <v>44075</v>
      </c>
      <c r="JX316" s="19">
        <v>320</v>
      </c>
      <c r="JY316" s="93">
        <v>314.45833333333337</v>
      </c>
      <c r="JZ316" s="93"/>
      <c r="KA316" s="93">
        <v>334.44444444444451</v>
      </c>
      <c r="KB316" s="93">
        <v>335.29166666666669</v>
      </c>
      <c r="KC316" s="93">
        <v>362.91666666666663</v>
      </c>
      <c r="KD316" s="20">
        <v>377.51388888888886</v>
      </c>
      <c r="KE316" s="29">
        <v>249</v>
      </c>
      <c r="KF316" s="19">
        <v>55.208333333333329</v>
      </c>
      <c r="KG316" s="93">
        <v>47.086458333333333</v>
      </c>
      <c r="KH316" s="93">
        <v>75.555555555555557</v>
      </c>
      <c r="KI316" s="93">
        <v>62.291666666666657</v>
      </c>
      <c r="KJ316" s="93">
        <v>61.25</v>
      </c>
      <c r="KK316" s="20">
        <v>93.265278687169314</v>
      </c>
      <c r="KL316" s="29">
        <v>249</v>
      </c>
      <c r="KM316" s="19">
        <v>28.166666666666664</v>
      </c>
      <c r="KN316" s="93">
        <v>14.892361111111112</v>
      </c>
      <c r="KO316" s="93">
        <v>36.3888888888889</v>
      </c>
      <c r="KP316" s="93">
        <v>43.520833333333329</v>
      </c>
      <c r="KQ316" s="93">
        <v>40.208333333333329</v>
      </c>
      <c r="KR316" s="20">
        <v>43.055555555555564</v>
      </c>
      <c r="KS316" s="29">
        <v>249</v>
      </c>
      <c r="KT316" s="19">
        <v>18.75</v>
      </c>
      <c r="KU316" s="93">
        <v>23.592857142857142</v>
      </c>
      <c r="KV316" s="93">
        <v>33.59375</v>
      </c>
      <c r="KW316" s="93">
        <v>28.375</v>
      </c>
      <c r="KX316" s="93">
        <v>23.75714285714286</v>
      </c>
      <c r="KY316" s="20">
        <v>32.612244897959179</v>
      </c>
      <c r="KZ316" s="29">
        <v>249</v>
      </c>
      <c r="LA316" s="1504">
        <v>44075</v>
      </c>
      <c r="LB316" s="19"/>
      <c r="LC316" s="93"/>
      <c r="LD316" s="93"/>
      <c r="LE316" s="93"/>
      <c r="LF316" s="93"/>
      <c r="LG316" s="93"/>
      <c r="LH316" s="20"/>
      <c r="LI316" s="29"/>
      <c r="LJ316" s="19"/>
      <c r="LK316" s="93"/>
      <c r="LL316" s="93"/>
      <c r="LM316" s="93"/>
      <c r="LN316" s="93"/>
      <c r="LO316" s="20"/>
      <c r="LP316" s="29"/>
      <c r="LQ316" s="19"/>
      <c r="LR316" s="93">
        <v>188</v>
      </c>
      <c r="LS316" s="93">
        <v>463</v>
      </c>
      <c r="LT316" s="93">
        <v>663</v>
      </c>
      <c r="LU316" s="93">
        <v>1104</v>
      </c>
      <c r="LV316" s="93"/>
      <c r="LW316" s="93">
        <v>5</v>
      </c>
      <c r="LX316" s="93">
        <v>10</v>
      </c>
      <c r="LY316" s="93">
        <v>60</v>
      </c>
      <c r="LZ316" s="93"/>
      <c r="MA316" s="20"/>
      <c r="MB316" s="29">
        <v>249</v>
      </c>
      <c r="MC316" s="1504">
        <v>44075</v>
      </c>
      <c r="MD316" s="19">
        <v>1417.7623704284172</v>
      </c>
      <c r="ME316" s="93">
        <v>1194.0587782793752</v>
      </c>
      <c r="MF316" s="93">
        <v>1193.7724268217003</v>
      </c>
      <c r="MG316" s="93">
        <v>995.53350253270037</v>
      </c>
      <c r="MH316" s="93">
        <v>335.51701617968223</v>
      </c>
      <c r="MI316" s="93">
        <v>10.96328345828616</v>
      </c>
      <c r="MJ316" s="93">
        <v>7.3015695631824657</v>
      </c>
      <c r="MK316" s="93">
        <v>500.75331807395816</v>
      </c>
      <c r="ML316" s="93">
        <v>135.122857348</v>
      </c>
      <c r="MM316" s="93">
        <v>5.8754579095912876</v>
      </c>
      <c r="MN316" s="93">
        <v>198.23892428899998</v>
      </c>
      <c r="MO316" s="93">
        <v>3.449436559</v>
      </c>
      <c r="MP316" s="93">
        <v>69.076787647000003</v>
      </c>
      <c r="MQ316" s="93">
        <v>2.7441794320000001</v>
      </c>
      <c r="MR316" s="93">
        <v>31.759958436999998</v>
      </c>
      <c r="MS316" s="93">
        <v>91.208562213999997</v>
      </c>
      <c r="MT316" s="93">
        <v>0.28635145767500303</v>
      </c>
      <c r="MU316" s="93">
        <v>223.70359214904178</v>
      </c>
      <c r="MV316" s="93">
        <v>107.02354760704178</v>
      </c>
      <c r="MW316" s="93">
        <v>116.680044542</v>
      </c>
      <c r="MX316" s="93">
        <v>1808.0067210100376</v>
      </c>
      <c r="MY316" s="93">
        <v>1805.3471759750378</v>
      </c>
      <c r="MZ316" s="93">
        <v>1280.4504322934481</v>
      </c>
      <c r="NA316" s="93">
        <v>674.67660486266675</v>
      </c>
      <c r="NB316" s="93">
        <v>110.63843230400001</v>
      </c>
      <c r="NC316" s="93">
        <v>104.29013564828165</v>
      </c>
      <c r="ND316" s="93">
        <v>89.34283337542</v>
      </c>
      <c r="NE316" s="93">
        <v>14.947302272861648</v>
      </c>
      <c r="NF316" s="93">
        <v>390.8452594785</v>
      </c>
      <c r="NG316" s="93">
        <v>29.047708419999999</v>
      </c>
      <c r="NH316" s="93">
        <v>91.432092214999997</v>
      </c>
      <c r="NI316" s="1805">
        <v>0</v>
      </c>
      <c r="NJ316" s="1805">
        <v>53.931593120999999</v>
      </c>
      <c r="NK316" s="93">
        <v>524.89674368158944</v>
      </c>
      <c r="NL316" s="93">
        <v>279.55824843400001</v>
      </c>
      <c r="NM316" s="93">
        <v>56.476938887999999</v>
      </c>
      <c r="NN316" s="93">
        <v>188.86155635958946</v>
      </c>
      <c r="NO316" s="93">
        <v>2.6595450349999994</v>
      </c>
      <c r="NP316" s="93">
        <v>-390.24435058162055</v>
      </c>
      <c r="NQ316" s="93">
        <v>-613.94794273066236</v>
      </c>
      <c r="NR316" s="93">
        <v>-320.79625072279134</v>
      </c>
      <c r="NS316" s="93">
        <v>-425.08638637107299</v>
      </c>
      <c r="NT316" s="93">
        <v>-447.76791164602065</v>
      </c>
      <c r="NU316" s="93">
        <v>-671.47150379506252</v>
      </c>
      <c r="NV316" s="93">
        <v>443.09584405592489</v>
      </c>
      <c r="NW316" s="93">
        <v>96.841724540824899</v>
      </c>
      <c r="NX316" s="93">
        <v>138.5048267128677</v>
      </c>
      <c r="NY316" s="93">
        <v>-41.663102172042784</v>
      </c>
      <c r="NZ316" s="93">
        <v>0</v>
      </c>
      <c r="OA316" s="93">
        <v>346.25411951510006</v>
      </c>
      <c r="OB316" s="93">
        <v>89.575386874100033</v>
      </c>
      <c r="OC316" s="93">
        <v>256.67873264100001</v>
      </c>
      <c r="OD316" s="20">
        <v>4.6720675900957325</v>
      </c>
      <c r="OE316" s="29">
        <v>249</v>
      </c>
      <c r="OF316" s="1504">
        <v>44075</v>
      </c>
      <c r="OG316" s="19"/>
      <c r="OH316" s="93">
        <v>624.56745381100006</v>
      </c>
      <c r="OI316" s="93">
        <v>2025.1650834270001</v>
      </c>
      <c r="OJ316" s="93">
        <v>0.78154264000000007</v>
      </c>
      <c r="OK316" s="93">
        <v>1774.1660000000002</v>
      </c>
      <c r="OL316" s="93">
        <v>250.21754078700002</v>
      </c>
      <c r="OM316" s="93">
        <v>2649.7325372380001</v>
      </c>
      <c r="ON316" s="93">
        <v>1701.8591083189999</v>
      </c>
      <c r="OO316" s="93">
        <v>4351.5916455570004</v>
      </c>
      <c r="OP316" s="93"/>
      <c r="OQ316" s="93">
        <v>1859.1540356920004</v>
      </c>
      <c r="OR316" s="93">
        <v>180.97903569200025</v>
      </c>
      <c r="OS316" s="93">
        <v>1678.175</v>
      </c>
      <c r="OT316" s="93">
        <v>3105.3006282079996</v>
      </c>
      <c r="OU316" s="93">
        <v>77.154046679999865</v>
      </c>
      <c r="OV316" s="93">
        <v>-116.61495332000003</v>
      </c>
      <c r="OW316" s="93">
        <v>193.76899999999989</v>
      </c>
      <c r="OX316" s="93">
        <v>3028.1465815279998</v>
      </c>
      <c r="OY316" s="93">
        <v>7.9495815280000004</v>
      </c>
      <c r="OZ316" s="93">
        <v>3020.1969999999997</v>
      </c>
      <c r="PA316" s="93">
        <v>837.18193674899999</v>
      </c>
      <c r="PB316" s="93">
        <v>-224.31891840599994</v>
      </c>
      <c r="PC316" s="20">
        <v>4351.5916455570004</v>
      </c>
      <c r="PD316" s="29">
        <v>249</v>
      </c>
      <c r="PE316" s="19"/>
      <c r="PF316" s="93">
        <v>190.60465125116366</v>
      </c>
      <c r="PG316" s="93">
        <v>1337.0044771191635</v>
      </c>
      <c r="PH316" s="93">
        <v>1146.3998258679999</v>
      </c>
      <c r="PI316" s="93">
        <v>911.93799999999999</v>
      </c>
      <c r="PJ316" s="93">
        <v>-106.63653772100002</v>
      </c>
      <c r="PK316" s="93">
        <v>201.343308718</v>
      </c>
      <c r="PL316" s="93">
        <v>307.97984643900003</v>
      </c>
      <c r="PM316" s="93">
        <v>7.9495815280000004</v>
      </c>
      <c r="PN316" s="93">
        <v>3.51</v>
      </c>
      <c r="PO316" s="93">
        <v>0</v>
      </c>
      <c r="PP316" s="93">
        <v>0</v>
      </c>
      <c r="PQ316" s="93">
        <v>4.4395815280000006</v>
      </c>
      <c r="PR316" s="93">
        <v>1017.4569520471633</v>
      </c>
      <c r="PS316" s="93">
        <v>726.74848496916331</v>
      </c>
      <c r="PT316" s="93">
        <v>289.593816119</v>
      </c>
      <c r="PU316" s="93">
        <v>1.114650959</v>
      </c>
      <c r="PV316" s="93">
        <v>0</v>
      </c>
      <c r="PW316" s="93">
        <v>0.235446669</v>
      </c>
      <c r="PX316" s="93">
        <v>0</v>
      </c>
      <c r="PY316" s="93">
        <v>0</v>
      </c>
      <c r="PZ316" s="93">
        <v>0.235446669</v>
      </c>
      <c r="QA316" s="93">
        <v>0</v>
      </c>
      <c r="QB316" s="93"/>
      <c r="QC316" s="93"/>
      <c r="QD316" s="93">
        <v>11.785490080000001</v>
      </c>
      <c r="QE316" s="20">
        <v>-25.622193738</v>
      </c>
      <c r="QF316" s="1739">
        <v>249</v>
      </c>
      <c r="QG316" s="19"/>
      <c r="QH316" s="93">
        <v>1678.175</v>
      </c>
      <c r="QI316" s="93">
        <v>2023.74</v>
      </c>
      <c r="QJ316" s="93">
        <v>-345.565</v>
      </c>
      <c r="QK316" s="93">
        <v>401.952</v>
      </c>
      <c r="QL316" s="93">
        <v>82.576999999999998</v>
      </c>
      <c r="QM316" s="93">
        <v>319.375</v>
      </c>
      <c r="QN316" s="93">
        <v>0</v>
      </c>
      <c r="QO316" s="93">
        <v>193.76899999999989</v>
      </c>
      <c r="QP316" s="93">
        <v>800.88199999999995</v>
      </c>
      <c r="QQ316" s="93">
        <v>-607.11300000000006</v>
      </c>
      <c r="QR316" s="93">
        <v>3020.1969999999997</v>
      </c>
      <c r="QS316" s="93">
        <v>23.484999999999999</v>
      </c>
      <c r="QT316" s="93">
        <v>1.103</v>
      </c>
      <c r="QU316" s="93">
        <v>185.71899999999999</v>
      </c>
      <c r="QV316" s="93">
        <v>2809.89</v>
      </c>
      <c r="QW316" s="93"/>
      <c r="QX316" s="93">
        <v>903.08699999999999</v>
      </c>
      <c r="QY316" s="93">
        <v>1774.1659999999999</v>
      </c>
      <c r="QZ316" s="93">
        <v>1701.5259999999998</v>
      </c>
      <c r="RA316" s="93">
        <v>0</v>
      </c>
      <c r="RB316" s="93">
        <v>182.37700000000001</v>
      </c>
      <c r="RC316" s="93">
        <v>0</v>
      </c>
      <c r="RD316" s="93">
        <v>29.991999999999997</v>
      </c>
      <c r="RE316" s="93">
        <v>0</v>
      </c>
      <c r="RF316" s="93">
        <v>0</v>
      </c>
      <c r="RG316" s="93">
        <v>612.79199999999992</v>
      </c>
      <c r="RH316" s="93">
        <v>90.15300000000002</v>
      </c>
      <c r="RI316" s="93"/>
      <c r="RJ316" s="93"/>
      <c r="RK316" s="93"/>
      <c r="RL316" s="93"/>
      <c r="RM316" s="20"/>
      <c r="RN316" s="29">
        <v>249</v>
      </c>
      <c r="RO316" s="19">
        <v>134</v>
      </c>
      <c r="RP316" s="20">
        <v>1206</v>
      </c>
      <c r="RQ316" s="29">
        <v>249</v>
      </c>
      <c r="RR316" s="734">
        <v>5.1668376600000006</v>
      </c>
      <c r="RS316" s="29">
        <v>249</v>
      </c>
      <c r="RT316" s="1504">
        <v>44075</v>
      </c>
      <c r="RU316" s="19">
        <v>1402</v>
      </c>
      <c r="RV316" s="20">
        <v>23</v>
      </c>
      <c r="RW316" s="29">
        <v>249</v>
      </c>
      <c r="RX316" s="1504">
        <v>44075</v>
      </c>
      <c r="RY316" s="29">
        <v>13956.000000000002</v>
      </c>
      <c r="RZ316" s="734">
        <v>12775.334999999999</v>
      </c>
      <c r="SA316" s="29">
        <v>395323.87534823723</v>
      </c>
      <c r="SB316" s="29">
        <v>249</v>
      </c>
    </row>
    <row r="317" spans="1:496">
      <c r="A317" s="41">
        <f t="shared" si="238"/>
        <v>2020</v>
      </c>
      <c r="B317" s="1504">
        <v>44105</v>
      </c>
      <c r="C317" s="1813">
        <v>1693</v>
      </c>
      <c r="D317" s="1814">
        <v>36964</v>
      </c>
      <c r="E317" s="1814">
        <v>183</v>
      </c>
      <c r="F317" s="1815"/>
      <c r="G317" s="1814">
        <v>108108</v>
      </c>
      <c r="H317" s="1814">
        <v>31</v>
      </c>
      <c r="I317" s="1814">
        <v>36029</v>
      </c>
      <c r="J317" s="1816">
        <v>15258</v>
      </c>
      <c r="K317" s="1807">
        <v>198266</v>
      </c>
      <c r="L317" s="25">
        <v>250</v>
      </c>
      <c r="M317" s="97"/>
      <c r="N317" s="1504">
        <v>44105</v>
      </c>
      <c r="O317" s="19">
        <v>1924</v>
      </c>
      <c r="P317" s="93">
        <v>1165</v>
      </c>
      <c r="Q317" s="93">
        <v>13620</v>
      </c>
      <c r="R317" s="93">
        <v>3275</v>
      </c>
      <c r="S317" s="93">
        <v>2393</v>
      </c>
      <c r="T317" s="93">
        <v>1075</v>
      </c>
      <c r="U317" s="93">
        <v>488</v>
      </c>
      <c r="V317" s="93">
        <v>2469</v>
      </c>
      <c r="W317" s="93">
        <v>6113</v>
      </c>
      <c r="X317" s="93">
        <v>1119</v>
      </c>
      <c r="Y317" s="93">
        <v>597</v>
      </c>
      <c r="Z317" s="93">
        <v>1399</v>
      </c>
      <c r="AA317" s="93">
        <v>1327</v>
      </c>
      <c r="AB317" s="20">
        <v>36964</v>
      </c>
      <c r="AC317" s="25">
        <v>250</v>
      </c>
      <c r="AD317" s="97"/>
      <c r="AE317" s="1504">
        <v>44105</v>
      </c>
      <c r="AF317" s="19">
        <v>3203</v>
      </c>
      <c r="AG317" s="93">
        <v>929</v>
      </c>
      <c r="AH317" s="93">
        <v>4176</v>
      </c>
      <c r="AI317" s="93">
        <v>3452</v>
      </c>
      <c r="AJ317" s="93">
        <v>2587</v>
      </c>
      <c r="AK317" s="93">
        <v>2063</v>
      </c>
      <c r="AL317" s="93">
        <v>929</v>
      </c>
      <c r="AM317" s="93">
        <v>1767</v>
      </c>
      <c r="AN317" s="93">
        <v>10806</v>
      </c>
      <c r="AO317" s="93">
        <v>1598</v>
      </c>
      <c r="AP317" s="93">
        <v>1246</v>
      </c>
      <c r="AQ317" s="93">
        <v>2085</v>
      </c>
      <c r="AR317" s="93">
        <v>1188</v>
      </c>
      <c r="AS317" s="20">
        <v>36029</v>
      </c>
      <c r="AT317" s="25">
        <v>250</v>
      </c>
      <c r="AU317" s="97"/>
      <c r="AV317" s="1504">
        <v>44105</v>
      </c>
      <c r="AW317" s="19">
        <v>13680</v>
      </c>
      <c r="AX317" s="93">
        <v>3567</v>
      </c>
      <c r="AY317" s="93">
        <v>3194</v>
      </c>
      <c r="AZ317" s="93">
        <v>12907</v>
      </c>
      <c r="BA317" s="93">
        <v>8704</v>
      </c>
      <c r="BB317" s="93">
        <v>8165</v>
      </c>
      <c r="BC317" s="93">
        <v>4901</v>
      </c>
      <c r="BD317" s="93">
        <v>11569</v>
      </c>
      <c r="BE317" s="93">
        <v>17971</v>
      </c>
      <c r="BF317" s="93">
        <v>5752</v>
      </c>
      <c r="BG317" s="93">
        <v>6354</v>
      </c>
      <c r="BH317" s="93">
        <v>7048</v>
      </c>
      <c r="BI317" s="93">
        <v>4296</v>
      </c>
      <c r="BJ317" s="20">
        <v>108108</v>
      </c>
      <c r="BK317" s="25">
        <v>250</v>
      </c>
      <c r="BL317" s="97"/>
      <c r="BM317" s="1504">
        <v>44105</v>
      </c>
      <c r="BN317" s="19">
        <v>86.343000000000018</v>
      </c>
      <c r="BO317" s="93">
        <v>4176.9319999999998</v>
      </c>
      <c r="BP317" s="93">
        <v>35.136000000000003</v>
      </c>
      <c r="BQ317" s="93">
        <v>864.86400000000003</v>
      </c>
      <c r="BR317" s="93">
        <v>4.7429999999999994</v>
      </c>
      <c r="BS317" s="93">
        <v>324.26099999999997</v>
      </c>
      <c r="BT317" s="93">
        <v>366.19200000000001</v>
      </c>
      <c r="BU317" s="20">
        <v>5858.4710000000005</v>
      </c>
      <c r="BV317" s="25">
        <v>250</v>
      </c>
      <c r="BW317" s="97"/>
      <c r="BX317" s="1504">
        <v>44105</v>
      </c>
      <c r="BY317" s="19">
        <v>557.48490000000004</v>
      </c>
      <c r="BZ317" s="99">
        <v>655.95699999999999</v>
      </c>
      <c r="CA317" s="93">
        <v>610.88630000000001</v>
      </c>
      <c r="CB317" s="93">
        <v>33.880243999999998</v>
      </c>
      <c r="CC317" s="93">
        <v>95.945536000000004</v>
      </c>
      <c r="CD317" s="25">
        <v>250</v>
      </c>
      <c r="CE317" s="97"/>
      <c r="CF317" s="1504">
        <v>44105</v>
      </c>
      <c r="CG317" s="19">
        <v>1.649496684</v>
      </c>
      <c r="CH317" s="93">
        <v>1900.27</v>
      </c>
      <c r="CI317" s="219">
        <v>39.9</v>
      </c>
      <c r="CJ317" s="20">
        <v>40.47</v>
      </c>
      <c r="CK317" s="19">
        <v>454.5</v>
      </c>
      <c r="CL317" s="93">
        <v>186.74604479999999</v>
      </c>
      <c r="CM317" s="93">
        <v>0.30269432600000001</v>
      </c>
      <c r="CN317" s="93">
        <v>0.38436112</v>
      </c>
      <c r="CO317" s="568">
        <v>272.36</v>
      </c>
      <c r="CP317" s="20">
        <v>4.4247825709999997</v>
      </c>
      <c r="CQ317" s="219">
        <v>1877.59</v>
      </c>
      <c r="CR317" s="93">
        <v>1.9775</v>
      </c>
      <c r="CS317" s="93">
        <v>2.1865000000000001</v>
      </c>
      <c r="CT317" s="93">
        <v>80</v>
      </c>
      <c r="CU317" s="93">
        <v>119.78</v>
      </c>
      <c r="CV317" s="214">
        <v>2440.65</v>
      </c>
      <c r="CW317" s="29">
        <v>250</v>
      </c>
      <c r="CX317" s="41">
        <f t="shared" si="239"/>
        <v>2020</v>
      </c>
      <c r="CY317" s="1504">
        <v>44105</v>
      </c>
      <c r="CZ317" s="733">
        <v>148.63557900000001</v>
      </c>
      <c r="DA317" s="570">
        <v>78.679113999999998</v>
      </c>
      <c r="DB317" s="570">
        <v>52.357962000000001</v>
      </c>
      <c r="DC317" s="93"/>
      <c r="DD317" s="93"/>
      <c r="DE317" s="20"/>
      <c r="DF317" s="29">
        <v>250</v>
      </c>
      <c r="DG317" s="1504">
        <v>44105</v>
      </c>
      <c r="DH317" s="19">
        <v>451957</v>
      </c>
      <c r="DI317" s="93">
        <v>4619199</v>
      </c>
      <c r="DJ317" s="93">
        <v>241753</v>
      </c>
      <c r="DK317" s="93">
        <v>18070</v>
      </c>
      <c r="DL317" s="93">
        <v>491712</v>
      </c>
      <c r="DM317" s="93">
        <v>7339</v>
      </c>
      <c r="DN317" s="20">
        <v>1560147</v>
      </c>
      <c r="DO317" s="295">
        <f t="shared" si="282"/>
        <v>6938220</v>
      </c>
      <c r="DP317" s="29">
        <v>250</v>
      </c>
      <c r="DQ317" s="1504">
        <v>44105</v>
      </c>
      <c r="DR317" s="19">
        <v>46705.434999999998</v>
      </c>
      <c r="DS317" s="93">
        <v>346</v>
      </c>
      <c r="DT317" s="93">
        <v>58730.275999999998</v>
      </c>
      <c r="DU317" s="93">
        <v>2356</v>
      </c>
      <c r="DV317" s="93">
        <v>11362</v>
      </c>
      <c r="DW317" s="93">
        <v>2729</v>
      </c>
      <c r="DX317" s="20">
        <v>17268.408928571425</v>
      </c>
      <c r="DY317" s="29">
        <v>250</v>
      </c>
      <c r="DZ317" s="1504">
        <v>44105</v>
      </c>
      <c r="EA317" s="19"/>
      <c r="EB317" s="93"/>
      <c r="EC317" s="20"/>
      <c r="ED317" s="29"/>
      <c r="EE317" s="1504">
        <v>44105</v>
      </c>
      <c r="EF317" s="19">
        <v>10639</v>
      </c>
      <c r="EG317" s="93">
        <v>10503</v>
      </c>
      <c r="EH317" s="93">
        <v>21142</v>
      </c>
      <c r="EI317" s="214">
        <v>4763</v>
      </c>
      <c r="EJ317" s="93">
        <v>874.38</v>
      </c>
      <c r="EK317" s="93">
        <v>122.426</v>
      </c>
      <c r="EL317" s="93">
        <v>5.8550000000000004</v>
      </c>
      <c r="EM317" s="93">
        <v>7.3209999999999997</v>
      </c>
      <c r="EN317" s="20">
        <v>1009.982</v>
      </c>
      <c r="EO317" s="29">
        <v>250</v>
      </c>
      <c r="EP317" s="1504">
        <v>44105</v>
      </c>
      <c r="EQ317" s="19">
        <v>9868</v>
      </c>
      <c r="ER317" s="93">
        <v>9742</v>
      </c>
      <c r="ES317" s="93">
        <v>19610</v>
      </c>
      <c r="ET317" s="214">
        <v>4548</v>
      </c>
      <c r="EU317" s="93">
        <v>874.38</v>
      </c>
      <c r="EV317" s="93">
        <v>122.426</v>
      </c>
      <c r="EW317" s="93">
        <v>5.8550000000000004</v>
      </c>
      <c r="EX317" s="93">
        <v>7.3209999999999997</v>
      </c>
      <c r="EY317" s="20">
        <v>1009.982</v>
      </c>
      <c r="EZ317" s="29">
        <v>250</v>
      </c>
      <c r="FA317" s="1504">
        <v>44105</v>
      </c>
      <c r="FB317" s="29">
        <v>771</v>
      </c>
      <c r="FC317" s="29">
        <v>761</v>
      </c>
      <c r="FD317" s="29">
        <v>1532</v>
      </c>
      <c r="FE317" s="29">
        <v>215</v>
      </c>
      <c r="FF317" s="29">
        <v>0</v>
      </c>
      <c r="FG317" s="29">
        <v>0</v>
      </c>
      <c r="FH317" s="29">
        <v>0</v>
      </c>
      <c r="FI317" s="29">
        <v>0</v>
      </c>
      <c r="FJ317" s="29">
        <v>0</v>
      </c>
      <c r="FK317" s="29">
        <v>250</v>
      </c>
      <c r="FL317" s="1504">
        <v>44105</v>
      </c>
      <c r="FM317" s="19">
        <v>106.69</v>
      </c>
      <c r="FN317" s="93">
        <v>109.39</v>
      </c>
      <c r="FO317" s="93">
        <v>135.97</v>
      </c>
      <c r="FP317" s="93">
        <v>101.31</v>
      </c>
      <c r="FQ317" s="93">
        <v>104.44</v>
      </c>
      <c r="FR317" s="93">
        <v>101.29</v>
      </c>
      <c r="FS317" s="93">
        <v>100.41</v>
      </c>
      <c r="FT317" s="93">
        <v>98.61</v>
      </c>
      <c r="FU317" s="93">
        <v>98.78</v>
      </c>
      <c r="FV317" s="93">
        <v>101.12</v>
      </c>
      <c r="FW317" s="93">
        <v>107.83</v>
      </c>
      <c r="FX317" s="93">
        <v>104.88</v>
      </c>
      <c r="FY317" s="93">
        <v>100.86</v>
      </c>
      <c r="FZ317" s="29">
        <v>250</v>
      </c>
      <c r="GA317" s="1504">
        <v>44105</v>
      </c>
      <c r="GB317" s="19">
        <v>106.69</v>
      </c>
      <c r="GC317" s="93">
        <v>102.65</v>
      </c>
      <c r="GD317" s="93">
        <v>108.79</v>
      </c>
      <c r="GE317" s="93">
        <v>102.37</v>
      </c>
      <c r="GF317" s="93">
        <v>113.87</v>
      </c>
      <c r="GG317" s="93">
        <v>104.04</v>
      </c>
      <c r="GH317" s="93">
        <v>114.02</v>
      </c>
      <c r="GI317" s="93">
        <v>102.85</v>
      </c>
      <c r="GJ317" s="93">
        <v>102.58</v>
      </c>
      <c r="GK317" s="93">
        <v>100.29</v>
      </c>
      <c r="GL317" s="93">
        <v>109.53</v>
      </c>
      <c r="GM317" s="93">
        <v>101.24</v>
      </c>
      <c r="GN317" s="20">
        <v>102.58</v>
      </c>
      <c r="GO317" s="29">
        <v>250</v>
      </c>
      <c r="GP317" s="1504">
        <v>44105</v>
      </c>
      <c r="GQ317" s="19">
        <v>296</v>
      </c>
      <c r="GR317" s="93">
        <v>228</v>
      </c>
      <c r="GS317" s="93">
        <v>231</v>
      </c>
      <c r="GT317" s="93">
        <v>203</v>
      </c>
      <c r="GU317" s="93">
        <v>417</v>
      </c>
      <c r="GV317" s="20">
        <v>984</v>
      </c>
      <c r="GW317" s="19">
        <v>373</v>
      </c>
      <c r="GX317" s="93">
        <v>482</v>
      </c>
      <c r="GY317" s="93">
        <v>542</v>
      </c>
      <c r="GZ317" s="93">
        <v>877</v>
      </c>
      <c r="HA317" s="93">
        <v>363</v>
      </c>
      <c r="HB317" s="20">
        <v>649</v>
      </c>
      <c r="HC317" s="19">
        <v>2133</v>
      </c>
      <c r="HD317" s="93">
        <v>2627</v>
      </c>
      <c r="HE317" s="93">
        <v>3145</v>
      </c>
      <c r="HF317" s="93">
        <v>3150</v>
      </c>
      <c r="HG317" s="93">
        <v>2749</v>
      </c>
      <c r="HH317" s="20">
        <v>2927</v>
      </c>
      <c r="HI317" s="19"/>
      <c r="HJ317" s="93">
        <v>938</v>
      </c>
      <c r="HK317" s="93">
        <v>1545</v>
      </c>
      <c r="HL317" s="93">
        <v>775</v>
      </c>
      <c r="HM317" s="93">
        <v>900</v>
      </c>
      <c r="HN317" s="20">
        <v>3140</v>
      </c>
      <c r="HO317" s="219">
        <v>136</v>
      </c>
      <c r="HP317" s="20">
        <v>98</v>
      </c>
      <c r="HQ317" s="25">
        <v>151</v>
      </c>
      <c r="HR317" s="29">
        <v>250</v>
      </c>
      <c r="HS317" s="1504">
        <v>44105</v>
      </c>
      <c r="HT317" s="179">
        <v>263.88888549804688</v>
      </c>
      <c r="HU317" s="99">
        <v>252.77777709960938</v>
      </c>
      <c r="HV317" s="99">
        <v>223.82478713989258</v>
      </c>
      <c r="HW317" s="99">
        <v>178.57142639160156</v>
      </c>
      <c r="HX317" s="99">
        <v>237.5</v>
      </c>
      <c r="HY317" s="99">
        <v>253.52272796630859</v>
      </c>
      <c r="HZ317" s="99">
        <v>261.11083221435547</v>
      </c>
      <c r="IA317" s="132">
        <v>197.89690399169922</v>
      </c>
      <c r="IB317" s="179">
        <v>147.31585184733072</v>
      </c>
      <c r="IC317" s="99">
        <v>114.58333587646484</v>
      </c>
      <c r="ID317" s="99">
        <v>137.09677886962891</v>
      </c>
      <c r="IE317" s="99">
        <v>106.45161819458008</v>
      </c>
      <c r="IF317" s="99">
        <v>156.25</v>
      </c>
      <c r="IG317" s="132">
        <v>108.98876571655273</v>
      </c>
      <c r="IH317" s="179">
        <v>131.56077575683594</v>
      </c>
      <c r="II317" s="99">
        <v>193.54838562011719</v>
      </c>
      <c r="IJ317" s="99">
        <v>188.68090057373047</v>
      </c>
      <c r="IK317" s="99">
        <v>169.64285278320313</v>
      </c>
      <c r="IL317" s="99">
        <v>163.19444122314454</v>
      </c>
      <c r="IM317" s="99">
        <v>150.40322875976563</v>
      </c>
      <c r="IN317" s="93">
        <v>190.81272888183594</v>
      </c>
      <c r="IO317" s="132">
        <v>181.76760864257813</v>
      </c>
      <c r="IP317" s="29">
        <v>250</v>
      </c>
      <c r="IQ317" s="19">
        <v>147.31585184733072</v>
      </c>
      <c r="IR317" s="93">
        <v>114.58333587646484</v>
      </c>
      <c r="IS317" s="93">
        <v>137.09677886962891</v>
      </c>
      <c r="IT317" s="93">
        <v>106.45161819458008</v>
      </c>
      <c r="IU317" s="93">
        <v>156.25</v>
      </c>
      <c r="IV317" s="20">
        <v>108.98876571655273</v>
      </c>
      <c r="IW317" s="29">
        <v>250</v>
      </c>
      <c r="IX317" s="19"/>
      <c r="IY317" s="93"/>
      <c r="IZ317" s="93"/>
      <c r="JA317" s="93"/>
      <c r="JB317" s="93"/>
      <c r="JC317" s="93"/>
      <c r="JD317" s="93"/>
      <c r="JE317" s="20"/>
      <c r="JF317" s="29">
        <v>250</v>
      </c>
      <c r="JG317" s="19">
        <v>178.7884693145752</v>
      </c>
      <c r="JH317" s="93">
        <v>190.86021423339844</v>
      </c>
      <c r="JI317" s="93">
        <v>186.37411499023438</v>
      </c>
      <c r="JJ317" s="93">
        <v>168.35017395019531</v>
      </c>
      <c r="JK317" s="93">
        <v>175.47559509277343</v>
      </c>
      <c r="JL317" s="93">
        <v>177.75577926635742</v>
      </c>
      <c r="JM317" s="93">
        <v>162.54417419433594</v>
      </c>
      <c r="JN317" s="20">
        <v>231.17358779907227</v>
      </c>
      <c r="JO317" s="29">
        <v>250</v>
      </c>
      <c r="JP317" s="19">
        <v>204.37413024902344</v>
      </c>
      <c r="JQ317" s="93">
        <v>103.125</v>
      </c>
      <c r="JR317" s="93">
        <v>161.29032897949219</v>
      </c>
      <c r="JS317" s="93"/>
      <c r="JT317" s="93">
        <v>178.00632476806641</v>
      </c>
      <c r="JU317" s="20">
        <v>102.13567733764648</v>
      </c>
      <c r="JV317" s="29">
        <v>250</v>
      </c>
      <c r="JW317" s="1504">
        <v>44105</v>
      </c>
      <c r="JX317" s="19"/>
      <c r="JY317" s="93"/>
      <c r="JZ317" s="93"/>
      <c r="KA317" s="93"/>
      <c r="KB317" s="93"/>
      <c r="KC317" s="93"/>
      <c r="KD317" s="20"/>
      <c r="KE317" s="29">
        <v>250</v>
      </c>
      <c r="KF317" s="19"/>
      <c r="KG317" s="93"/>
      <c r="KH317" s="93"/>
      <c r="KI317" s="93"/>
      <c r="KJ317" s="93"/>
      <c r="KK317" s="20"/>
      <c r="KL317" s="29">
        <v>250</v>
      </c>
      <c r="KM317" s="19"/>
      <c r="KN317" s="93"/>
      <c r="KO317" s="93"/>
      <c r="KP317" s="93"/>
      <c r="KQ317" s="93"/>
      <c r="KR317" s="20"/>
      <c r="KS317" s="29">
        <v>250</v>
      </c>
      <c r="KT317" s="19"/>
      <c r="KU317" s="93"/>
      <c r="KV317" s="93"/>
      <c r="KW317" s="93"/>
      <c r="KX317" s="93"/>
      <c r="KY317" s="20"/>
      <c r="KZ317" s="29">
        <v>250</v>
      </c>
      <c r="LA317" s="1504">
        <v>44105</v>
      </c>
      <c r="LB317" s="19"/>
      <c r="LC317" s="93"/>
      <c r="LD317" s="93"/>
      <c r="LE317" s="93"/>
      <c r="LF317" s="93"/>
      <c r="LG317" s="93"/>
      <c r="LH317" s="20"/>
      <c r="LI317" s="29"/>
      <c r="LJ317" s="19"/>
      <c r="LK317" s="93"/>
      <c r="LL317" s="93"/>
      <c r="LM317" s="93"/>
      <c r="LN317" s="93"/>
      <c r="LO317" s="20"/>
      <c r="LP317" s="29"/>
      <c r="LQ317" s="19"/>
      <c r="LR317" s="93">
        <v>188</v>
      </c>
      <c r="LS317" s="93">
        <v>463</v>
      </c>
      <c r="LT317" s="93">
        <v>663</v>
      </c>
      <c r="LU317" s="93">
        <v>1104</v>
      </c>
      <c r="LV317" s="93"/>
      <c r="LW317" s="93">
        <v>5</v>
      </c>
      <c r="LX317" s="93">
        <v>10</v>
      </c>
      <c r="LY317" s="93">
        <v>60</v>
      </c>
      <c r="LZ317" s="93"/>
      <c r="MA317" s="20"/>
      <c r="MB317" s="29">
        <v>250</v>
      </c>
      <c r="MC317" s="1504">
        <v>44105</v>
      </c>
      <c r="MD317" s="19">
        <v>1616.8016682353032</v>
      </c>
      <c r="ME317" s="93">
        <v>1362.6418149512613</v>
      </c>
      <c r="MF317" s="93">
        <v>1362.3450039935863</v>
      </c>
      <c r="MG317" s="93">
        <v>1134.8824922995864</v>
      </c>
      <c r="MH317" s="93">
        <v>397.26454189068221</v>
      </c>
      <c r="MI317" s="93">
        <v>12.17148006828616</v>
      </c>
      <c r="MJ317" s="93">
        <v>8.1078259425184651</v>
      </c>
      <c r="MK317" s="93">
        <v>560.06266314630818</v>
      </c>
      <c r="ML317" s="93">
        <v>150.511959236</v>
      </c>
      <c r="MM317" s="93">
        <v>6.764022015791288</v>
      </c>
      <c r="MN317" s="93">
        <v>227.46251169399997</v>
      </c>
      <c r="MO317" s="93">
        <v>3.920410076</v>
      </c>
      <c r="MP317" s="93">
        <v>73.222908087999997</v>
      </c>
      <c r="MQ317" s="93">
        <v>2.8733994640000002</v>
      </c>
      <c r="MR317" s="93">
        <v>46.107010318</v>
      </c>
      <c r="MS317" s="93">
        <v>101.338783748</v>
      </c>
      <c r="MT317" s="93">
        <v>0.29681095767500304</v>
      </c>
      <c r="MU317" s="93">
        <v>254.15985328404176</v>
      </c>
      <c r="MV317" s="93">
        <v>121.74854760704177</v>
      </c>
      <c r="MW317" s="93">
        <v>132.41130567700003</v>
      </c>
      <c r="MX317" s="93">
        <v>2031.2965323494063</v>
      </c>
      <c r="MY317" s="93">
        <v>2028.9412026104064</v>
      </c>
      <c r="MZ317" s="93">
        <v>1437.1851070681166</v>
      </c>
      <c r="NA317" s="93">
        <v>750.40577195933326</v>
      </c>
      <c r="NB317" s="93">
        <v>134.94263407100001</v>
      </c>
      <c r="NC317" s="93">
        <v>118.98890029428352</v>
      </c>
      <c r="ND317" s="93">
        <v>99.039905187420004</v>
      </c>
      <c r="NE317" s="93">
        <v>19.948995106863521</v>
      </c>
      <c r="NF317" s="93">
        <v>432.84780074349999</v>
      </c>
      <c r="NG317" s="93">
        <v>36.216466204999996</v>
      </c>
      <c r="NH317" s="93">
        <v>94.029628319999986</v>
      </c>
      <c r="NI317" s="93">
        <v>0</v>
      </c>
      <c r="NJ317" s="93">
        <v>57.929419799000001</v>
      </c>
      <c r="NK317" s="93">
        <v>591.75609554228947</v>
      </c>
      <c r="NL317" s="93">
        <v>309.98038866100001</v>
      </c>
      <c r="NM317" s="93">
        <v>61.693316705999997</v>
      </c>
      <c r="NN317" s="93">
        <v>220.08239017528948</v>
      </c>
      <c r="NO317" s="93">
        <v>2.3553297389999952</v>
      </c>
      <c r="NP317" s="93">
        <v>-414.49486411410305</v>
      </c>
      <c r="NQ317" s="93">
        <v>-668.65471739814484</v>
      </c>
      <c r="NR317" s="93">
        <v>-329.5834269285719</v>
      </c>
      <c r="NS317" s="93">
        <v>-448.57232722285545</v>
      </c>
      <c r="NT317" s="93">
        <v>-370.93732760046043</v>
      </c>
      <c r="NU317" s="93">
        <v>-625.09718088450234</v>
      </c>
      <c r="NV317" s="93">
        <v>366.97503372712794</v>
      </c>
      <c r="NW317" s="93">
        <v>107.41847829102791</v>
      </c>
      <c r="NX317" s="93">
        <v>155.00066052856772</v>
      </c>
      <c r="NY317" s="93">
        <v>-47.582182237539811</v>
      </c>
      <c r="NZ317" s="93">
        <v>0</v>
      </c>
      <c r="OA317" s="93">
        <v>259.55655543610004</v>
      </c>
      <c r="OB317" s="93">
        <v>25.696850645100028</v>
      </c>
      <c r="OC317" s="93">
        <v>233.85970479100004</v>
      </c>
      <c r="OD317" s="20">
        <v>3.962293873332519</v>
      </c>
      <c r="OE317" s="29">
        <v>250</v>
      </c>
      <c r="OF317" s="1504">
        <v>44105</v>
      </c>
      <c r="OG317" s="19"/>
      <c r="OH317" s="93">
        <v>628.46740587300008</v>
      </c>
      <c r="OI317" s="93">
        <v>1984.8149669950001</v>
      </c>
      <c r="OJ317" s="93">
        <v>0.80642620799999998</v>
      </c>
      <c r="OK317" s="93">
        <v>1733.7910000000002</v>
      </c>
      <c r="OL317" s="93">
        <v>250.21754078700002</v>
      </c>
      <c r="OM317" s="93">
        <v>2613.282372868</v>
      </c>
      <c r="ON317" s="93">
        <v>1692.431108319</v>
      </c>
      <c r="OO317" s="93">
        <v>4305.7134811870001</v>
      </c>
      <c r="OP317" s="93"/>
      <c r="OQ317" s="93">
        <v>1822.7177777840002</v>
      </c>
      <c r="OR317" s="93">
        <v>117.09777778399985</v>
      </c>
      <c r="OS317" s="93">
        <v>1705.6200000000001</v>
      </c>
      <c r="OT317" s="93">
        <v>3067.3807163839997</v>
      </c>
      <c r="OU317" s="93">
        <v>51.991892055000065</v>
      </c>
      <c r="OV317" s="93">
        <v>-122.457107945</v>
      </c>
      <c r="OW317" s="93">
        <v>174.44900000000007</v>
      </c>
      <c r="OX317" s="93">
        <v>3015.3888243289998</v>
      </c>
      <c r="OY317" s="93">
        <v>8.0918243289999996</v>
      </c>
      <c r="OZ317" s="93">
        <v>3007.297</v>
      </c>
      <c r="PA317" s="93">
        <v>850.774014502</v>
      </c>
      <c r="PB317" s="93">
        <v>-266.38900152100007</v>
      </c>
      <c r="PC317" s="20">
        <v>4305.7134811870001</v>
      </c>
      <c r="PD317" s="29">
        <v>250</v>
      </c>
      <c r="PE317" s="19"/>
      <c r="PF317" s="93">
        <v>117.09777778399985</v>
      </c>
      <c r="PG317" s="93">
        <v>1315.7356800479999</v>
      </c>
      <c r="PH317" s="93">
        <v>1198.6379022640001</v>
      </c>
      <c r="PI317" s="93">
        <v>954.96786855599998</v>
      </c>
      <c r="PJ317" s="93">
        <v>-112.478692346</v>
      </c>
      <c r="PK317" s="93">
        <v>201.365361732</v>
      </c>
      <c r="PL317" s="93">
        <v>313.844054078</v>
      </c>
      <c r="PM317" s="93">
        <v>8.0918243289999996</v>
      </c>
      <c r="PN317" s="93">
        <v>3.52</v>
      </c>
      <c r="PO317" s="93">
        <v>0</v>
      </c>
      <c r="PP317" s="93">
        <v>0</v>
      </c>
      <c r="PQ317" s="93">
        <v>4.571824329</v>
      </c>
      <c r="PR317" s="93">
        <v>1029.4954732390001</v>
      </c>
      <c r="PS317" s="93">
        <v>714.01282147200004</v>
      </c>
      <c r="PT317" s="93">
        <v>314.34311724000003</v>
      </c>
      <c r="PU317" s="93">
        <v>1.1395345269999999</v>
      </c>
      <c r="PV317" s="93">
        <v>0</v>
      </c>
      <c r="PW317" s="93">
        <v>1.0360784709999999</v>
      </c>
      <c r="PX317" s="93">
        <v>0</v>
      </c>
      <c r="PY317" s="93">
        <v>0</v>
      </c>
      <c r="PZ317" s="93">
        <v>1.0360784709999999</v>
      </c>
      <c r="QA317" s="93">
        <v>0</v>
      </c>
      <c r="QB317" s="93"/>
      <c r="QC317" s="93"/>
      <c r="QD317" s="93">
        <v>13.556936030999999</v>
      </c>
      <c r="QE317" s="20">
        <v>-76.409709418000006</v>
      </c>
      <c r="QF317" s="1739">
        <v>250</v>
      </c>
      <c r="QG317" s="19"/>
      <c r="QH317" s="93">
        <v>1705.6200000000001</v>
      </c>
      <c r="QI317" s="93">
        <v>2077.4560000000001</v>
      </c>
      <c r="QJ317" s="93">
        <v>-371.83599999999996</v>
      </c>
      <c r="QK317" s="93">
        <v>417.35500000000002</v>
      </c>
      <c r="QL317" s="93">
        <v>75.566999999999993</v>
      </c>
      <c r="QM317" s="93">
        <v>341.786</v>
      </c>
      <c r="QN317" s="93">
        <v>2E-3</v>
      </c>
      <c r="QO317" s="93">
        <v>174.44900000000007</v>
      </c>
      <c r="QP317" s="93">
        <v>806.56500000000005</v>
      </c>
      <c r="QQ317" s="93">
        <v>-632.11599999999999</v>
      </c>
      <c r="QR317" s="93">
        <v>3007.297</v>
      </c>
      <c r="QS317" s="93">
        <v>22.051000000000002</v>
      </c>
      <c r="QT317" s="93">
        <v>1.4810000000000001</v>
      </c>
      <c r="QU317" s="93">
        <v>184.03700000000001</v>
      </c>
      <c r="QV317" s="93">
        <v>2799.7280000000001</v>
      </c>
      <c r="QW317" s="93"/>
      <c r="QX317" s="93">
        <v>904.91399999999999</v>
      </c>
      <c r="QY317" s="93">
        <v>1733.7910000000002</v>
      </c>
      <c r="QZ317" s="93">
        <v>1692.0980000000002</v>
      </c>
      <c r="RA317" s="93">
        <v>0</v>
      </c>
      <c r="RB317" s="93">
        <v>185.37700000000001</v>
      </c>
      <c r="RC317" s="93">
        <v>0</v>
      </c>
      <c r="RD317" s="93">
        <v>33.305</v>
      </c>
      <c r="RE317" s="93">
        <v>0</v>
      </c>
      <c r="RF317" s="93">
        <v>0</v>
      </c>
      <c r="RG317" s="93">
        <v>617.49900000000002</v>
      </c>
      <c r="RH317" s="93">
        <v>137.73699999999991</v>
      </c>
      <c r="RI317" s="93"/>
      <c r="RJ317" s="93"/>
      <c r="RK317" s="93"/>
      <c r="RL317" s="93"/>
      <c r="RM317" s="20"/>
      <c r="RN317" s="29">
        <v>250</v>
      </c>
      <c r="RO317" s="19">
        <v>122</v>
      </c>
      <c r="RP317" s="20">
        <v>964</v>
      </c>
      <c r="RQ317" s="29">
        <v>250</v>
      </c>
      <c r="RR317" s="734">
        <v>5.0539269099999995</v>
      </c>
      <c r="RS317" s="29">
        <v>250</v>
      </c>
      <c r="RT317" s="1504">
        <v>44105</v>
      </c>
      <c r="RU317" s="19">
        <v>1016</v>
      </c>
      <c r="RV317" s="20">
        <v>23</v>
      </c>
      <c r="RW317" s="29">
        <v>250</v>
      </c>
      <c r="RX317" s="1504">
        <v>44105</v>
      </c>
      <c r="RY317" s="29">
        <v>12770.960000000003</v>
      </c>
      <c r="RZ317" s="734">
        <v>11700.539999999999</v>
      </c>
      <c r="SA317" s="29">
        <v>390483.02821401047</v>
      </c>
      <c r="SB317" s="29">
        <v>250</v>
      </c>
    </row>
    <row r="318" spans="1:496" ht="10.5" customHeight="1">
      <c r="A318" s="41">
        <f t="shared" si="238"/>
        <v>2020</v>
      </c>
      <c r="B318" s="1504">
        <v>44136</v>
      </c>
      <c r="C318" s="1813">
        <v>1797</v>
      </c>
      <c r="D318" s="1814">
        <v>37521</v>
      </c>
      <c r="E318" s="1814">
        <v>105</v>
      </c>
      <c r="F318" s="1815"/>
      <c r="G318" s="1814">
        <v>89579</v>
      </c>
      <c r="H318" s="1814">
        <v>31</v>
      </c>
      <c r="I318" s="1814">
        <v>35255</v>
      </c>
      <c r="J318" s="1816">
        <v>13836</v>
      </c>
      <c r="K318" s="1807">
        <v>178124</v>
      </c>
      <c r="L318" s="25">
        <v>251</v>
      </c>
      <c r="M318" s="97"/>
      <c r="N318" s="1504">
        <v>44136</v>
      </c>
      <c r="O318" s="19">
        <v>2735</v>
      </c>
      <c r="P318" s="93">
        <v>1223</v>
      </c>
      <c r="Q318" s="93">
        <v>13478</v>
      </c>
      <c r="R318" s="93">
        <v>2895</v>
      </c>
      <c r="S318" s="93">
        <v>2639</v>
      </c>
      <c r="T318" s="93">
        <v>948</v>
      </c>
      <c r="U318" s="93">
        <v>481</v>
      </c>
      <c r="V318" s="93">
        <v>1967</v>
      </c>
      <c r="W318" s="93">
        <v>6280</v>
      </c>
      <c r="X318" s="93">
        <v>1111</v>
      </c>
      <c r="Y318" s="93">
        <v>667</v>
      </c>
      <c r="Z318" s="93">
        <v>1858</v>
      </c>
      <c r="AA318" s="93">
        <v>1239</v>
      </c>
      <c r="AB318" s="20">
        <v>37521</v>
      </c>
      <c r="AC318" s="25">
        <v>251</v>
      </c>
      <c r="AD318" s="97"/>
      <c r="AE318" s="1504">
        <v>44136</v>
      </c>
      <c r="AF318" s="19">
        <v>3621</v>
      </c>
      <c r="AG318" s="93">
        <v>1078</v>
      </c>
      <c r="AH318" s="93">
        <v>4032</v>
      </c>
      <c r="AI318" s="93">
        <v>3499</v>
      </c>
      <c r="AJ318" s="93">
        <v>2628</v>
      </c>
      <c r="AK318" s="93">
        <v>1925</v>
      </c>
      <c r="AL318" s="93">
        <v>1362</v>
      </c>
      <c r="AM318" s="93">
        <v>2158</v>
      </c>
      <c r="AN318" s="93">
        <v>8395</v>
      </c>
      <c r="AO318" s="93">
        <v>1741</v>
      </c>
      <c r="AP318" s="93">
        <v>1682</v>
      </c>
      <c r="AQ318" s="93">
        <v>1900</v>
      </c>
      <c r="AR318" s="93">
        <v>1234</v>
      </c>
      <c r="AS318" s="20">
        <v>35255</v>
      </c>
      <c r="AT318" s="25">
        <v>251</v>
      </c>
      <c r="AU318" s="97"/>
      <c r="AV318" s="1504">
        <v>44136</v>
      </c>
      <c r="AW318" s="19">
        <v>10104</v>
      </c>
      <c r="AX318" s="93">
        <v>3565</v>
      </c>
      <c r="AY318" s="93">
        <v>3288</v>
      </c>
      <c r="AZ318" s="93">
        <v>9969</v>
      </c>
      <c r="BA318" s="93">
        <v>7382</v>
      </c>
      <c r="BB318" s="93">
        <v>5747</v>
      </c>
      <c r="BC318" s="93">
        <v>4286</v>
      </c>
      <c r="BD318" s="93">
        <v>9211</v>
      </c>
      <c r="BE318" s="93">
        <v>14358</v>
      </c>
      <c r="BF318" s="93">
        <v>5705</v>
      </c>
      <c r="BG318" s="93">
        <v>5948</v>
      </c>
      <c r="BH318" s="93">
        <v>6254</v>
      </c>
      <c r="BI318" s="93">
        <v>3762</v>
      </c>
      <c r="BJ318" s="20">
        <v>89579</v>
      </c>
      <c r="BK318" s="25">
        <v>251</v>
      </c>
      <c r="BL318" s="97"/>
      <c r="BM318" s="1504">
        <v>44136</v>
      </c>
      <c r="BN318" s="19">
        <v>91.647000000000006</v>
      </c>
      <c r="BO318" s="93">
        <v>4239.8729999999996</v>
      </c>
      <c r="BP318" s="93">
        <v>20.160000000000004</v>
      </c>
      <c r="BQ318" s="93">
        <v>716.63199999999995</v>
      </c>
      <c r="BR318" s="93">
        <v>4.7429999999999994</v>
      </c>
      <c r="BS318" s="93">
        <v>317.29499999999996</v>
      </c>
      <c r="BT318" s="93">
        <v>332.06399999999996</v>
      </c>
      <c r="BU318" s="20">
        <v>5722.4139999999998</v>
      </c>
      <c r="BV318" s="25">
        <v>251</v>
      </c>
      <c r="BW318" s="97"/>
      <c r="BX318" s="1504">
        <v>44136</v>
      </c>
      <c r="BY318" s="19">
        <v>554.13679999999999</v>
      </c>
      <c r="BZ318" s="99">
        <v>655.95699999999999</v>
      </c>
      <c r="CA318" s="93">
        <v>608.27779999999996</v>
      </c>
      <c r="CB318" s="93">
        <v>35.715004</v>
      </c>
      <c r="CC318" s="93">
        <v>95.002768000000003</v>
      </c>
      <c r="CD318" s="25">
        <v>251</v>
      </c>
      <c r="CE318" s="97"/>
      <c r="CF318" s="1504">
        <v>44136</v>
      </c>
      <c r="CG318" s="19">
        <v>1.7134306640000001</v>
      </c>
      <c r="CH318" s="93">
        <v>1866.3</v>
      </c>
      <c r="CI318" s="219">
        <v>42.303333333333299</v>
      </c>
      <c r="CJ318" s="20">
        <v>43.23</v>
      </c>
      <c r="CK318" s="19">
        <v>468.48</v>
      </c>
      <c r="CL318" s="93">
        <v>190.37577440000001</v>
      </c>
      <c r="CM318" s="93">
        <v>0.31151280599999998</v>
      </c>
      <c r="CN318" s="93">
        <v>0.38651641599999997</v>
      </c>
      <c r="CO318" s="568">
        <v>273</v>
      </c>
      <c r="CP318" s="20">
        <v>4.395902049</v>
      </c>
      <c r="CQ318" s="219">
        <v>1878.61</v>
      </c>
      <c r="CR318" s="93">
        <v>1.9850000000000001</v>
      </c>
      <c r="CS318" s="93">
        <v>2.3016999999999999</v>
      </c>
      <c r="CT318" s="93">
        <v>82.5</v>
      </c>
      <c r="CU318" s="93">
        <v>124.36</v>
      </c>
      <c r="CV318" s="214">
        <v>2671.6</v>
      </c>
      <c r="CW318" s="29">
        <v>251</v>
      </c>
      <c r="CX318" s="41">
        <f t="shared" si="239"/>
        <v>2020</v>
      </c>
      <c r="CY318" s="1504">
        <v>44136</v>
      </c>
      <c r="CZ318" s="733">
        <v>158.72157299999998</v>
      </c>
      <c r="DA318" s="570">
        <v>82.901426000000001</v>
      </c>
      <c r="DB318" s="570">
        <v>57.767220999999999</v>
      </c>
      <c r="DC318" s="93"/>
      <c r="DD318" s="93"/>
      <c r="DE318" s="20"/>
      <c r="DF318" s="29">
        <v>251</v>
      </c>
      <c r="DG318" s="1504">
        <v>44136</v>
      </c>
      <c r="DH318" s="19">
        <v>455694</v>
      </c>
      <c r="DI318" s="93">
        <v>4903777</v>
      </c>
      <c r="DJ318" s="93">
        <v>290784</v>
      </c>
      <c r="DK318" s="93">
        <v>18060</v>
      </c>
      <c r="DL318" s="93">
        <v>512744</v>
      </c>
      <c r="DM318" s="93">
        <v>10187</v>
      </c>
      <c r="DN318" s="20">
        <v>1438695</v>
      </c>
      <c r="DO318" s="295">
        <f t="shared" si="282"/>
        <v>7174247</v>
      </c>
      <c r="DP318" s="29">
        <v>251</v>
      </c>
      <c r="DQ318" s="1504">
        <v>44136</v>
      </c>
      <c r="DR318" s="19">
        <v>45143.040000000001</v>
      </c>
      <c r="DS318" s="93">
        <v>601</v>
      </c>
      <c r="DT318" s="93">
        <v>63525.2</v>
      </c>
      <c r="DU318" s="93">
        <v>1579.377</v>
      </c>
      <c r="DV318" s="93">
        <v>16590.534</v>
      </c>
      <c r="DW318" s="93">
        <v>2512</v>
      </c>
      <c r="DX318" s="20">
        <v>18718</v>
      </c>
      <c r="DY318" s="29">
        <v>251</v>
      </c>
      <c r="DZ318" s="1504">
        <v>44136</v>
      </c>
      <c r="EA318" s="19"/>
      <c r="EB318" s="93"/>
      <c r="EC318" s="20"/>
      <c r="ED318" s="29"/>
      <c r="EE318" s="1504">
        <v>44136</v>
      </c>
      <c r="EF318" s="19">
        <v>10566</v>
      </c>
      <c r="EG318" s="93">
        <v>10639</v>
      </c>
      <c r="EH318" s="93">
        <v>21205</v>
      </c>
      <c r="EI318" s="214">
        <v>4158</v>
      </c>
      <c r="EJ318" s="93">
        <v>720.41700000000003</v>
      </c>
      <c r="EK318" s="93">
        <v>132.89599999999999</v>
      </c>
      <c r="EL318" s="93">
        <v>5.7119999999999997</v>
      </c>
      <c r="EM318" s="93">
        <v>11.146000000000001</v>
      </c>
      <c r="EN318" s="20">
        <v>870.17100000000005</v>
      </c>
      <c r="EO318" s="29">
        <v>251</v>
      </c>
      <c r="EP318" s="1504">
        <v>44136</v>
      </c>
      <c r="EQ318" s="19">
        <v>9898</v>
      </c>
      <c r="ER318" s="93">
        <v>9960</v>
      </c>
      <c r="ES318" s="93">
        <v>19858</v>
      </c>
      <c r="ET318" s="214">
        <v>3938</v>
      </c>
      <c r="EU318" s="93">
        <v>720.41700000000003</v>
      </c>
      <c r="EV318" s="93">
        <v>132.89599999999999</v>
      </c>
      <c r="EW318" s="93">
        <v>5.7119999999999997</v>
      </c>
      <c r="EX318" s="93">
        <v>11.146000000000001</v>
      </c>
      <c r="EY318" s="20">
        <v>870.17100000000005</v>
      </c>
      <c r="EZ318" s="29">
        <v>251</v>
      </c>
      <c r="FA318" s="1504">
        <v>44136</v>
      </c>
      <c r="FB318" s="29">
        <v>668</v>
      </c>
      <c r="FC318" s="29">
        <v>679</v>
      </c>
      <c r="FD318" s="29">
        <v>1347</v>
      </c>
      <c r="FE318" s="29">
        <v>220</v>
      </c>
      <c r="FF318" s="29">
        <v>0</v>
      </c>
      <c r="FG318" s="29">
        <v>0</v>
      </c>
      <c r="FH318" s="29">
        <v>0</v>
      </c>
      <c r="FI318" s="29">
        <v>0</v>
      </c>
      <c r="FJ318" s="29">
        <v>0</v>
      </c>
      <c r="FK318" s="29">
        <v>251</v>
      </c>
      <c r="FL318" s="1504">
        <v>44136</v>
      </c>
      <c r="FM318" s="19">
        <v>105.82</v>
      </c>
      <c r="FN318" s="93">
        <v>108.91</v>
      </c>
      <c r="FO318" s="93">
        <v>133.44</v>
      </c>
      <c r="FP318" s="93">
        <v>101.31</v>
      </c>
      <c r="FQ318" s="93">
        <v>97.98</v>
      </c>
      <c r="FR318" s="93">
        <v>101.29</v>
      </c>
      <c r="FS318" s="93">
        <v>100.41</v>
      </c>
      <c r="FT318" s="93">
        <v>98.44</v>
      </c>
      <c r="FU318" s="93">
        <v>98.78</v>
      </c>
      <c r="FV318" s="93">
        <v>101.12</v>
      </c>
      <c r="FW318" s="93">
        <v>107.83</v>
      </c>
      <c r="FX318" s="93">
        <v>105.59</v>
      </c>
      <c r="FY318" s="93">
        <v>100.86</v>
      </c>
      <c r="FZ318" s="29">
        <v>251</v>
      </c>
      <c r="GA318" s="1504">
        <v>44136</v>
      </c>
      <c r="GB318" s="19">
        <v>105.82</v>
      </c>
      <c r="GC318" s="93">
        <v>102.3</v>
      </c>
      <c r="GD318" s="93">
        <v>107.75</v>
      </c>
      <c r="GE318" s="93">
        <v>94.47</v>
      </c>
      <c r="GF318" s="93">
        <v>113.19</v>
      </c>
      <c r="GG318" s="93">
        <v>103.88</v>
      </c>
      <c r="GH318" s="93">
        <v>112.05</v>
      </c>
      <c r="GI318" s="93">
        <v>102.64</v>
      </c>
      <c r="GJ318" s="93">
        <v>102.58</v>
      </c>
      <c r="GK318" s="93">
        <v>100.28</v>
      </c>
      <c r="GL318" s="93">
        <v>108.34</v>
      </c>
      <c r="GM318" s="93">
        <v>101.24</v>
      </c>
      <c r="GN318" s="20">
        <v>102.58</v>
      </c>
      <c r="GO318" s="29">
        <v>251</v>
      </c>
      <c r="GP318" s="1504">
        <v>44136</v>
      </c>
      <c r="GQ318" s="19">
        <v>303</v>
      </c>
      <c r="GR318" s="93">
        <v>220</v>
      </c>
      <c r="GS318" s="93">
        <v>233</v>
      </c>
      <c r="GT318" s="93">
        <v>202</v>
      </c>
      <c r="GU318" s="93">
        <v>413</v>
      </c>
      <c r="GV318" s="20">
        <v>1083</v>
      </c>
      <c r="GW318" s="19">
        <v>411</v>
      </c>
      <c r="GX318" s="93">
        <v>513</v>
      </c>
      <c r="GY318" s="93">
        <v>552</v>
      </c>
      <c r="GZ318" s="93">
        <v>803</v>
      </c>
      <c r="HA318" s="93">
        <v>394</v>
      </c>
      <c r="HB318" s="20">
        <v>874</v>
      </c>
      <c r="HC318" s="19">
        <v>1964</v>
      </c>
      <c r="HD318" s="93">
        <v>2560</v>
      </c>
      <c r="HE318" s="93">
        <v>3082</v>
      </c>
      <c r="HF318" s="93">
        <v>3150</v>
      </c>
      <c r="HG318" s="93">
        <v>2882</v>
      </c>
      <c r="HH318" s="20">
        <v>2836</v>
      </c>
      <c r="HI318" s="19"/>
      <c r="HJ318" s="93">
        <v>870</v>
      </c>
      <c r="HK318" s="93">
        <v>1784</v>
      </c>
      <c r="HL318" s="93">
        <v>859</v>
      </c>
      <c r="HM318" s="93">
        <v>900</v>
      </c>
      <c r="HN318" s="20">
        <v>2927</v>
      </c>
      <c r="HO318" s="219">
        <v>135</v>
      </c>
      <c r="HP318" s="20">
        <v>99</v>
      </c>
      <c r="HQ318" s="25">
        <v>165</v>
      </c>
      <c r="HR318" s="29">
        <v>251</v>
      </c>
      <c r="HS318" s="1504">
        <v>44136</v>
      </c>
      <c r="HT318" s="179">
        <v>260.90277709960935</v>
      </c>
      <c r="HU318" s="99">
        <v>250</v>
      </c>
      <c r="HV318" s="99">
        <v>219.47496337890624</v>
      </c>
      <c r="HW318" s="99">
        <v>149.8724479675293</v>
      </c>
      <c r="HX318" s="99">
        <v>225</v>
      </c>
      <c r="HY318" s="99">
        <v>251.1008472442627</v>
      </c>
      <c r="HZ318" s="99">
        <v>249.39626159667969</v>
      </c>
      <c r="IA318" s="132">
        <v>214.05229187011719</v>
      </c>
      <c r="IB318" s="179">
        <v>147.16312789916992</v>
      </c>
      <c r="IC318" s="99">
        <v>93.128654479980469</v>
      </c>
      <c r="ID318" s="99">
        <v>127.77777353922527</v>
      </c>
      <c r="IE318" s="99">
        <v>72.815536499023438</v>
      </c>
      <c r="IF318" s="99">
        <v>160.15625</v>
      </c>
      <c r="IG318" s="132">
        <v>89.7471923828125</v>
      </c>
      <c r="IH318" s="179">
        <v>124.25332946777344</v>
      </c>
      <c r="II318" s="99">
        <v>208.33332824707031</v>
      </c>
      <c r="IJ318" s="99">
        <v>170.41867980957031</v>
      </c>
      <c r="IK318" s="99">
        <v>165.17857360839844</v>
      </c>
      <c r="IL318" s="99">
        <v>152.77777862548828</v>
      </c>
      <c r="IM318" s="99">
        <v>137.50000381469727</v>
      </c>
      <c r="IN318" s="93">
        <v>176.67845153808594</v>
      </c>
      <c r="IO318" s="132">
        <v>163.67886962890626</v>
      </c>
      <c r="IP318" s="29">
        <v>251</v>
      </c>
      <c r="IQ318" s="19">
        <v>147.16312789916992</v>
      </c>
      <c r="IR318" s="93">
        <v>93.128654479980469</v>
      </c>
      <c r="IS318" s="93">
        <v>127.77777353922527</v>
      </c>
      <c r="IT318" s="93">
        <v>72.815536499023438</v>
      </c>
      <c r="IU318" s="93">
        <v>160.15625</v>
      </c>
      <c r="IV318" s="20">
        <v>89.7471923828125</v>
      </c>
      <c r="IW318" s="29">
        <v>251</v>
      </c>
      <c r="IX318" s="19"/>
      <c r="IY318" s="93"/>
      <c r="IZ318" s="93"/>
      <c r="JA318" s="93"/>
      <c r="JB318" s="93"/>
      <c r="JC318" s="93"/>
      <c r="JD318" s="93"/>
      <c r="JE318" s="20"/>
      <c r="JF318" s="29">
        <v>251</v>
      </c>
      <c r="JG318" s="19">
        <v>179.85039978027345</v>
      </c>
      <c r="JH318" s="93">
        <v>188.17204284667969</v>
      </c>
      <c r="JI318" s="93">
        <v>133.00277709960938</v>
      </c>
      <c r="JJ318" s="93">
        <v>162.03704071044922</v>
      </c>
      <c r="JK318" s="93">
        <v>178.84490394592285</v>
      </c>
      <c r="JL318" s="93">
        <v>183.16831588745117</v>
      </c>
      <c r="JM318" s="93">
        <v>156.8021240234375</v>
      </c>
      <c r="JN318" s="20">
        <v>227.09734497070312</v>
      </c>
      <c r="JO318" s="29">
        <v>251</v>
      </c>
      <c r="JP318" s="19">
        <v>204.94700622558594</v>
      </c>
      <c r="JQ318" s="93">
        <v>92.5</v>
      </c>
      <c r="JR318" s="93">
        <v>161.15591812133789</v>
      </c>
      <c r="JS318" s="93"/>
      <c r="JT318" s="93">
        <v>181.96202087402344</v>
      </c>
      <c r="JU318" s="20">
        <v>95.854269027709961</v>
      </c>
      <c r="JV318" s="29">
        <v>251</v>
      </c>
      <c r="JW318" s="1504">
        <v>44136</v>
      </c>
      <c r="JX318" s="19"/>
      <c r="JY318" s="93"/>
      <c r="JZ318" s="93"/>
      <c r="KA318" s="93"/>
      <c r="KB318" s="93"/>
      <c r="KC318" s="93"/>
      <c r="KD318" s="20"/>
      <c r="KE318" s="29">
        <v>251</v>
      </c>
      <c r="KF318" s="19"/>
      <c r="KG318" s="93"/>
      <c r="KH318" s="93"/>
      <c r="KI318" s="93"/>
      <c r="KJ318" s="93"/>
      <c r="KK318" s="20"/>
      <c r="KL318" s="29">
        <v>251</v>
      </c>
      <c r="KM318" s="19"/>
      <c r="KN318" s="93"/>
      <c r="KO318" s="93"/>
      <c r="KP318" s="93"/>
      <c r="KQ318" s="93"/>
      <c r="KR318" s="20"/>
      <c r="KS318" s="29">
        <v>251</v>
      </c>
      <c r="KT318" s="19"/>
      <c r="KU318" s="93"/>
      <c r="KV318" s="93"/>
      <c r="KW318" s="93"/>
      <c r="KX318" s="93"/>
      <c r="KY318" s="20"/>
      <c r="KZ318" s="29">
        <v>251</v>
      </c>
      <c r="LA318" s="1504">
        <v>44136</v>
      </c>
      <c r="LB318" s="19"/>
      <c r="LC318" s="93"/>
      <c r="LD318" s="93"/>
      <c r="LE318" s="93"/>
      <c r="LF318" s="93"/>
      <c r="LG318" s="93"/>
      <c r="LH318" s="20"/>
      <c r="LI318" s="29"/>
      <c r="LJ318" s="19"/>
      <c r="LK318" s="93"/>
      <c r="LL318" s="93"/>
      <c r="LM318" s="93"/>
      <c r="LN318" s="93"/>
      <c r="LO318" s="20"/>
      <c r="LP318" s="29"/>
      <c r="LQ318" s="19"/>
      <c r="LR318" s="93">
        <v>188</v>
      </c>
      <c r="LS318" s="93">
        <v>463</v>
      </c>
      <c r="LT318" s="93">
        <v>663</v>
      </c>
      <c r="LU318" s="93">
        <v>1104</v>
      </c>
      <c r="LV318" s="93"/>
      <c r="LW318" s="93">
        <v>5</v>
      </c>
      <c r="LX318" s="93">
        <v>10</v>
      </c>
      <c r="LY318" s="93">
        <v>60</v>
      </c>
      <c r="LZ318" s="93"/>
      <c r="MA318" s="20"/>
      <c r="MB318" s="29">
        <v>251</v>
      </c>
      <c r="MC318" s="1504">
        <v>44136</v>
      </c>
      <c r="MD318" s="19">
        <v>1791.5202101848299</v>
      </c>
      <c r="ME318" s="93">
        <v>1497.1576117288462</v>
      </c>
      <c r="MF318" s="93">
        <v>1496.8563657711711</v>
      </c>
      <c r="MG318" s="93">
        <v>1243.1320645061712</v>
      </c>
      <c r="MH318" s="93">
        <v>424.39895699768221</v>
      </c>
      <c r="MI318" s="93">
        <v>13.287625816286159</v>
      </c>
      <c r="MJ318" s="93">
        <v>9.1453124933533658</v>
      </c>
      <c r="MK318" s="93">
        <v>622.43132567745818</v>
      </c>
      <c r="ML318" s="93">
        <v>166.20993020099999</v>
      </c>
      <c r="MM318" s="93">
        <v>7.6589133203912878</v>
      </c>
      <c r="MN318" s="93">
        <v>253.72430126499998</v>
      </c>
      <c r="MO318" s="93">
        <v>4.4689255789999995</v>
      </c>
      <c r="MP318" s="93">
        <v>74.882301280000007</v>
      </c>
      <c r="MQ318" s="93">
        <v>2.9700679390000002</v>
      </c>
      <c r="MR318" s="93">
        <v>52.692655271000007</v>
      </c>
      <c r="MS318" s="93">
        <v>118.71035119599999</v>
      </c>
      <c r="MT318" s="93">
        <v>0.30124595767500306</v>
      </c>
      <c r="MU318" s="93">
        <v>294.36259845598369</v>
      </c>
      <c r="MV318" s="93">
        <v>138.35673446598372</v>
      </c>
      <c r="MW318" s="93">
        <v>156.00586399000002</v>
      </c>
      <c r="MX318" s="93">
        <v>2286.1485749141721</v>
      </c>
      <c r="MY318" s="93">
        <v>2283.8705724291722</v>
      </c>
      <c r="MZ318" s="93">
        <v>1589.1582479049596</v>
      </c>
      <c r="NA318" s="93">
        <v>816.77290018766678</v>
      </c>
      <c r="NB318" s="93">
        <v>150.40654271099999</v>
      </c>
      <c r="NC318" s="93">
        <v>131.64482093179296</v>
      </c>
      <c r="ND318" s="93">
        <v>109.24917981742</v>
      </c>
      <c r="NE318" s="93">
        <v>22.395641114372964</v>
      </c>
      <c r="NF318" s="93">
        <v>490.33398407450005</v>
      </c>
      <c r="NG318" s="93">
        <v>43.946223989999993</v>
      </c>
      <c r="NH318" s="93">
        <v>99.514363152999991</v>
      </c>
      <c r="NI318" s="93">
        <v>0</v>
      </c>
      <c r="NJ318" s="93">
        <v>98.125655264000002</v>
      </c>
      <c r="NK318" s="93">
        <v>694.71232452421236</v>
      </c>
      <c r="NL318" s="93">
        <v>370.91482616100001</v>
      </c>
      <c r="NM318" s="93">
        <v>61.693316705999997</v>
      </c>
      <c r="NN318" s="93">
        <v>262.10418165721228</v>
      </c>
      <c r="NO318" s="93">
        <v>2.2780024850000093</v>
      </c>
      <c r="NP318" s="93">
        <v>-494.62836472934197</v>
      </c>
      <c r="NQ318" s="93">
        <v>-788.99096318532577</v>
      </c>
      <c r="NR318" s="93">
        <v>-395.2419605963205</v>
      </c>
      <c r="NS318" s="93">
        <v>-526.88678152811349</v>
      </c>
      <c r="NT318" s="93">
        <v>-494.02011597214261</v>
      </c>
      <c r="NU318" s="93">
        <v>-788.38271442812629</v>
      </c>
      <c r="NV318" s="93">
        <v>492.27789738102183</v>
      </c>
      <c r="NW318" s="93">
        <v>130.74173656592183</v>
      </c>
      <c r="NX318" s="93">
        <v>185.6619211515486</v>
      </c>
      <c r="NY318" s="93">
        <v>-54.920184585626778</v>
      </c>
      <c r="NZ318" s="93">
        <v>0</v>
      </c>
      <c r="OA318" s="93">
        <v>361.53616081510006</v>
      </c>
      <c r="OB318" s="93">
        <v>62.077756024100033</v>
      </c>
      <c r="OC318" s="93">
        <v>299.45840479100002</v>
      </c>
      <c r="OD318" s="20">
        <v>1.7422185911207386</v>
      </c>
      <c r="OE318" s="29">
        <v>251</v>
      </c>
      <c r="OF318" s="1504">
        <v>44136</v>
      </c>
      <c r="OG318" s="19"/>
      <c r="OH318" s="93">
        <v>634.24506937016338</v>
      </c>
      <c r="OI318" s="93">
        <v>2013.536418038</v>
      </c>
      <c r="OJ318" s="93">
        <v>0.37487725100000002</v>
      </c>
      <c r="OK318" s="93">
        <v>1762.944</v>
      </c>
      <c r="OL318" s="93">
        <v>250.21754078700002</v>
      </c>
      <c r="OM318" s="93">
        <v>2647.7814874081632</v>
      </c>
      <c r="ON318" s="93">
        <v>1712.4871083190001</v>
      </c>
      <c r="OO318" s="93">
        <v>4360.2685957271633</v>
      </c>
      <c r="OP318" s="93"/>
      <c r="OQ318" s="93">
        <v>1842.8528253551633</v>
      </c>
      <c r="OR318" s="93">
        <v>16.865825355163452</v>
      </c>
      <c r="OS318" s="93">
        <v>1825.9870000000001</v>
      </c>
      <c r="OT318" s="93">
        <v>3130.037295957</v>
      </c>
      <c r="OU318" s="93">
        <v>112.53908638899993</v>
      </c>
      <c r="OV318" s="93">
        <v>-98.669913611000013</v>
      </c>
      <c r="OW318" s="93">
        <v>211.20899999999995</v>
      </c>
      <c r="OX318" s="93">
        <v>3017.4982095680002</v>
      </c>
      <c r="OY318" s="93">
        <v>8.0242095679999998</v>
      </c>
      <c r="OZ318" s="93">
        <v>3009.4740000000002</v>
      </c>
      <c r="PA318" s="93">
        <v>846.13002063900001</v>
      </c>
      <c r="PB318" s="93">
        <v>-233.50849505400021</v>
      </c>
      <c r="PC318" s="20">
        <v>4360.2685957271642</v>
      </c>
      <c r="PD318" s="29">
        <v>251</v>
      </c>
      <c r="PE318" s="19"/>
      <c r="PF318" s="93">
        <v>16.865825355163452</v>
      </c>
      <c r="PG318" s="93">
        <v>936.89486228016335</v>
      </c>
      <c r="PH318" s="93">
        <v>920.0290369249999</v>
      </c>
      <c r="PI318" s="93">
        <v>1087.4056</v>
      </c>
      <c r="PJ318" s="93">
        <v>-88.691498012000011</v>
      </c>
      <c r="PK318" s="93">
        <v>215.033936907</v>
      </c>
      <c r="PL318" s="93">
        <v>303.72543491900001</v>
      </c>
      <c r="PM318" s="93">
        <v>8.0242095679999998</v>
      </c>
      <c r="PN318" s="93">
        <v>3.5129999999999999</v>
      </c>
      <c r="PO318" s="93">
        <v>0</v>
      </c>
      <c r="PP318" s="93">
        <v>0</v>
      </c>
      <c r="PQ318" s="93">
        <v>4.5112095679999999</v>
      </c>
      <c r="PR318" s="93">
        <v>1017.3196803941634</v>
      </c>
      <c r="PS318" s="93">
        <v>726.74848496916331</v>
      </c>
      <c r="PT318" s="93">
        <v>289.86320985499998</v>
      </c>
      <c r="PU318" s="93">
        <v>0.70798556999999995</v>
      </c>
      <c r="PV318" s="93">
        <v>0</v>
      </c>
      <c r="PW318" s="93">
        <v>0.56275816999999995</v>
      </c>
      <c r="PX318" s="93">
        <v>0</v>
      </c>
      <c r="PY318" s="93">
        <v>0</v>
      </c>
      <c r="PZ318" s="93">
        <v>0.56275816999999995</v>
      </c>
      <c r="QA318" s="93">
        <v>0</v>
      </c>
      <c r="QB318" s="93"/>
      <c r="QC318" s="93"/>
      <c r="QD318" s="93">
        <v>13.933262469000001</v>
      </c>
      <c r="QE318" s="20">
        <v>-8.2115641220000004</v>
      </c>
      <c r="QF318" s="1739">
        <v>251</v>
      </c>
      <c r="QG318" s="19"/>
      <c r="QH318" s="93">
        <v>1825.9870000000001</v>
      </c>
      <c r="QI318" s="93">
        <v>2150.69</v>
      </c>
      <c r="QJ318" s="93">
        <v>-324.70300000000003</v>
      </c>
      <c r="QK318" s="93">
        <v>411.91399999999999</v>
      </c>
      <c r="QL318" s="93">
        <v>82.525000000000006</v>
      </c>
      <c r="QM318" s="93">
        <v>329.38299999999998</v>
      </c>
      <c r="QN318" s="93">
        <v>6.0000000000000001E-3</v>
      </c>
      <c r="QO318" s="93">
        <v>211.20899999999995</v>
      </c>
      <c r="QP318" s="93">
        <v>884.06600000000003</v>
      </c>
      <c r="QQ318" s="93">
        <v>-672.85700000000008</v>
      </c>
      <c r="QR318" s="93">
        <v>3009.4740000000002</v>
      </c>
      <c r="QS318" s="93">
        <v>35.408999999999999</v>
      </c>
      <c r="QT318" s="93">
        <v>1.7610000000000001</v>
      </c>
      <c r="QU318" s="93">
        <v>198.53100000000001</v>
      </c>
      <c r="QV318" s="93">
        <v>2773.7730000000001</v>
      </c>
      <c r="QW318" s="93"/>
      <c r="QX318" s="93">
        <v>1032.8240000000001</v>
      </c>
      <c r="QY318" s="93">
        <v>1762.9440000000002</v>
      </c>
      <c r="QZ318" s="93">
        <v>1712.154</v>
      </c>
      <c r="RA318" s="93">
        <v>0</v>
      </c>
      <c r="RB318" s="93">
        <v>179.899</v>
      </c>
      <c r="RC318" s="93">
        <v>0</v>
      </c>
      <c r="RD318" s="93">
        <v>29.422000000000001</v>
      </c>
      <c r="RE318" s="93">
        <v>0</v>
      </c>
      <c r="RF318" s="93">
        <v>0</v>
      </c>
      <c r="RG318" s="93">
        <v>622.31299999999999</v>
      </c>
      <c r="RH318" s="93">
        <v>119.02799999999999</v>
      </c>
      <c r="RI318" s="93"/>
      <c r="RJ318" s="93"/>
      <c r="RK318" s="93"/>
      <c r="RL318" s="93"/>
      <c r="RM318" s="20"/>
      <c r="RN318" s="29">
        <v>251</v>
      </c>
      <c r="RO318" s="19">
        <v>166</v>
      </c>
      <c r="RP318" s="20">
        <v>861</v>
      </c>
      <c r="RQ318" s="29">
        <v>251</v>
      </c>
      <c r="RR318" s="734">
        <v>5.9259615899999991</v>
      </c>
      <c r="RS318" s="29">
        <v>251</v>
      </c>
      <c r="RT318" s="1504">
        <v>44136</v>
      </c>
      <c r="RU318" s="19">
        <v>853</v>
      </c>
      <c r="RV318" s="20">
        <v>19</v>
      </c>
      <c r="RW318" s="29">
        <v>251</v>
      </c>
      <c r="RX318" s="1504">
        <v>44136</v>
      </c>
      <c r="RY318" s="29">
        <v>13214.649999999998</v>
      </c>
      <c r="RZ318" s="734">
        <v>12096.720000000003</v>
      </c>
      <c r="SA318" s="29">
        <v>447469.55102783657</v>
      </c>
      <c r="SB318" s="29">
        <v>251</v>
      </c>
    </row>
    <row r="319" spans="1:496">
      <c r="A319" s="41">
        <f t="shared" si="238"/>
        <v>2020</v>
      </c>
      <c r="B319" s="1504">
        <v>44166</v>
      </c>
      <c r="C319" s="1813">
        <v>1704</v>
      </c>
      <c r="D319" s="1814">
        <v>37710</v>
      </c>
      <c r="E319" s="1814">
        <v>111</v>
      </c>
      <c r="F319" s="1815"/>
      <c r="G319" s="1814">
        <v>89043</v>
      </c>
      <c r="H319" s="1814">
        <v>78</v>
      </c>
      <c r="I319" s="1814">
        <v>32792</v>
      </c>
      <c r="J319" s="1816">
        <v>15692</v>
      </c>
      <c r="K319" s="1807">
        <v>177130</v>
      </c>
      <c r="L319" s="25">
        <v>252</v>
      </c>
      <c r="M319" s="97"/>
      <c r="N319" s="1504">
        <v>44166</v>
      </c>
      <c r="O319" s="19">
        <v>1820</v>
      </c>
      <c r="P319" s="93">
        <v>1136</v>
      </c>
      <c r="Q319" s="93">
        <v>14156</v>
      </c>
      <c r="R319" s="93">
        <v>3484</v>
      </c>
      <c r="S319" s="93">
        <v>2927</v>
      </c>
      <c r="T319" s="93">
        <v>1162</v>
      </c>
      <c r="U319" s="93">
        <v>477</v>
      </c>
      <c r="V319" s="93">
        <v>1865</v>
      </c>
      <c r="W319" s="93">
        <v>6403</v>
      </c>
      <c r="X319" s="93">
        <v>1248</v>
      </c>
      <c r="Y319" s="93">
        <v>752</v>
      </c>
      <c r="Z319" s="93">
        <v>818</v>
      </c>
      <c r="AA319" s="93">
        <v>1462</v>
      </c>
      <c r="AB319" s="20">
        <v>37710</v>
      </c>
      <c r="AC319" s="25">
        <v>252</v>
      </c>
      <c r="AD319" s="97"/>
      <c r="AE319" s="1504">
        <v>44166</v>
      </c>
      <c r="AF319" s="19">
        <v>2887</v>
      </c>
      <c r="AG319" s="93">
        <v>1146</v>
      </c>
      <c r="AH319" s="93">
        <v>3600</v>
      </c>
      <c r="AI319" s="93">
        <v>3117</v>
      </c>
      <c r="AJ319" s="93">
        <v>2503</v>
      </c>
      <c r="AK319" s="93">
        <v>1877</v>
      </c>
      <c r="AL319" s="93">
        <v>1366</v>
      </c>
      <c r="AM319" s="93">
        <v>1654</v>
      </c>
      <c r="AN319" s="93">
        <v>8462</v>
      </c>
      <c r="AO319" s="93">
        <v>1774</v>
      </c>
      <c r="AP319" s="93">
        <v>1307</v>
      </c>
      <c r="AQ319" s="93">
        <v>1720</v>
      </c>
      <c r="AR319" s="93">
        <v>1379</v>
      </c>
      <c r="AS319" s="20">
        <v>32792</v>
      </c>
      <c r="AT319" s="25">
        <v>252</v>
      </c>
      <c r="AU319" s="97"/>
      <c r="AV319" s="1504">
        <v>44166</v>
      </c>
      <c r="AW319" s="19">
        <v>10959</v>
      </c>
      <c r="AX319" s="93">
        <v>4098</v>
      </c>
      <c r="AY319" s="93">
        <v>2866</v>
      </c>
      <c r="AZ319" s="93">
        <v>8227</v>
      </c>
      <c r="BA319" s="93">
        <v>8631</v>
      </c>
      <c r="BB319" s="93">
        <v>5947</v>
      </c>
      <c r="BC319" s="93">
        <v>4118</v>
      </c>
      <c r="BD319" s="93">
        <v>8136</v>
      </c>
      <c r="BE319" s="93">
        <v>14977</v>
      </c>
      <c r="BF319" s="93">
        <v>5748</v>
      </c>
      <c r="BG319" s="93">
        <v>5082</v>
      </c>
      <c r="BH319" s="93">
        <v>5278</v>
      </c>
      <c r="BI319" s="93">
        <v>4976</v>
      </c>
      <c r="BJ319" s="20">
        <v>89043</v>
      </c>
      <c r="BK319" s="25">
        <v>252</v>
      </c>
      <c r="BL319" s="97"/>
      <c r="BM319" s="1504">
        <v>44166</v>
      </c>
      <c r="BN319" s="19">
        <v>86.903999999999982</v>
      </c>
      <c r="BO319" s="93">
        <v>4261.2300000000005</v>
      </c>
      <c r="BP319" s="93">
        <v>21.312000000000001</v>
      </c>
      <c r="BQ319" s="93">
        <v>712.34400000000005</v>
      </c>
      <c r="BR319" s="93">
        <v>11.933999999999999</v>
      </c>
      <c r="BS319" s="93">
        <v>295.12800000000004</v>
      </c>
      <c r="BT319" s="93">
        <v>376.60799999999995</v>
      </c>
      <c r="BU319" s="20">
        <v>5765.46</v>
      </c>
      <c r="BV319" s="25">
        <v>252</v>
      </c>
      <c r="BW319" s="97"/>
      <c r="BX319" s="1504">
        <v>44166</v>
      </c>
      <c r="BY319" s="19">
        <v>538.90219999999999</v>
      </c>
      <c r="BZ319" s="93">
        <v>655.95699999999999</v>
      </c>
      <c r="CA319" s="93">
        <v>606.61959999999999</v>
      </c>
      <c r="CB319" s="93">
        <v>36.270435999999997</v>
      </c>
      <c r="CC319" s="93">
        <v>91.859295000000003</v>
      </c>
      <c r="CD319" s="25">
        <v>252</v>
      </c>
      <c r="CE319" s="97"/>
      <c r="CF319" s="1504">
        <v>44166</v>
      </c>
      <c r="CG319" s="19">
        <v>1.7861831239999999</v>
      </c>
      <c r="CH319" s="93">
        <v>1858.42</v>
      </c>
      <c r="CI319" s="219">
        <v>48.726666666666702</v>
      </c>
      <c r="CJ319" s="20">
        <v>49.87</v>
      </c>
      <c r="CK319" s="19">
        <v>496.55</v>
      </c>
      <c r="CL319" s="93">
        <v>198.76903200000001</v>
      </c>
      <c r="CM319" s="93">
        <v>0.31041049599999998</v>
      </c>
      <c r="CN319" s="93">
        <v>0.39732555200000003</v>
      </c>
      <c r="CO319" s="568">
        <v>268.55</v>
      </c>
      <c r="CP319" s="20">
        <v>4.4021852160000003</v>
      </c>
      <c r="CQ319" s="219">
        <v>1977.1738914549701</v>
      </c>
      <c r="CR319" s="93">
        <v>1.9350000000000001</v>
      </c>
      <c r="CS319" s="93">
        <v>2.327</v>
      </c>
      <c r="CT319" s="93">
        <v>83.33</v>
      </c>
      <c r="CU319" s="93">
        <v>155.43</v>
      </c>
      <c r="CV319" s="214">
        <v>2779.85</v>
      </c>
      <c r="CW319" s="29">
        <v>252</v>
      </c>
      <c r="CX319" s="41">
        <f t="shared" si="239"/>
        <v>2020</v>
      </c>
      <c r="CY319" s="1504">
        <v>44166</v>
      </c>
      <c r="CZ319" s="733">
        <v>145.17673400000001</v>
      </c>
      <c r="DA319" s="570">
        <v>74.244230999999999</v>
      </c>
      <c r="DB319" s="570">
        <v>53.771248</v>
      </c>
      <c r="DC319" s="93"/>
      <c r="DD319" s="93"/>
      <c r="DE319" s="20"/>
      <c r="DF319" s="29">
        <v>252</v>
      </c>
      <c r="DG319" s="1504">
        <v>44166</v>
      </c>
      <c r="DH319" s="19">
        <v>460473</v>
      </c>
      <c r="DI319" s="93">
        <v>5074942</v>
      </c>
      <c r="DJ319" s="93">
        <v>297704</v>
      </c>
      <c r="DK319" s="93">
        <v>18908</v>
      </c>
      <c r="DL319" s="93">
        <v>550846</v>
      </c>
      <c r="DM319" s="93">
        <v>8974</v>
      </c>
      <c r="DN319" s="20">
        <v>1623803</v>
      </c>
      <c r="DO319" s="295">
        <f t="shared" si="282"/>
        <v>7575177</v>
      </c>
      <c r="DP319" s="29">
        <v>252</v>
      </c>
      <c r="DQ319" s="1504">
        <v>44166</v>
      </c>
      <c r="DR319" s="19">
        <v>54751.4</v>
      </c>
      <c r="DS319" s="93">
        <v>892.5</v>
      </c>
      <c r="DT319" s="93">
        <v>71132.600000000006</v>
      </c>
      <c r="DU319" s="93">
        <v>3228.0169999999998</v>
      </c>
      <c r="DV319" s="93">
        <v>13263.61</v>
      </c>
      <c r="DW319" s="93">
        <v>2431</v>
      </c>
      <c r="DX319" s="20">
        <v>20281</v>
      </c>
      <c r="DY319" s="29">
        <v>252</v>
      </c>
      <c r="DZ319" s="1504">
        <v>44166</v>
      </c>
      <c r="EA319" s="19"/>
      <c r="EB319" s="93"/>
      <c r="EC319" s="20"/>
      <c r="ED319" s="29"/>
      <c r="EE319" s="1504">
        <v>44166</v>
      </c>
      <c r="EF319" s="19">
        <v>14552</v>
      </c>
      <c r="EG319" s="93">
        <v>10388</v>
      </c>
      <c r="EH319" s="93">
        <v>24940</v>
      </c>
      <c r="EI319" s="214">
        <v>4902</v>
      </c>
      <c r="EJ319" s="93">
        <v>453.85399999999998</v>
      </c>
      <c r="EK319" s="93">
        <v>187.34899999999999</v>
      </c>
      <c r="EL319" s="93">
        <v>5.7649999999999997</v>
      </c>
      <c r="EM319" s="93">
        <v>9.5950000000000006</v>
      </c>
      <c r="EN319" s="20">
        <v>656.56299999999999</v>
      </c>
      <c r="EO319" s="29">
        <v>252</v>
      </c>
      <c r="EP319" s="1504">
        <v>44166</v>
      </c>
      <c r="EQ319" s="19">
        <v>13839</v>
      </c>
      <c r="ER319" s="93">
        <v>9674</v>
      </c>
      <c r="ES319" s="93">
        <v>23513</v>
      </c>
      <c r="ET319" s="214">
        <v>4517</v>
      </c>
      <c r="EU319" s="93">
        <v>453.85399999999998</v>
      </c>
      <c r="EV319" s="93">
        <v>187.34899999999999</v>
      </c>
      <c r="EW319" s="93">
        <v>5.7649999999999997</v>
      </c>
      <c r="EX319" s="93">
        <v>9.5950000000000006</v>
      </c>
      <c r="EY319" s="20">
        <v>656.56299999999999</v>
      </c>
      <c r="EZ319" s="29">
        <v>252</v>
      </c>
      <c r="FA319" s="1504">
        <v>44166</v>
      </c>
      <c r="FB319" s="29">
        <v>713</v>
      </c>
      <c r="FC319" s="29">
        <v>714</v>
      </c>
      <c r="FD319" s="29">
        <v>1427</v>
      </c>
      <c r="FE319" s="29">
        <v>385</v>
      </c>
      <c r="FF319" s="29">
        <v>0</v>
      </c>
      <c r="FG319" s="29">
        <v>0</v>
      </c>
      <c r="FH319" s="29">
        <v>0</v>
      </c>
      <c r="FI319" s="29">
        <v>0</v>
      </c>
      <c r="FJ319" s="29">
        <v>0</v>
      </c>
      <c r="FK319" s="29">
        <v>252</v>
      </c>
      <c r="FL319" s="1504">
        <v>44166</v>
      </c>
      <c r="FM319" s="19">
        <v>104.15</v>
      </c>
      <c r="FN319" s="93">
        <v>106.05</v>
      </c>
      <c r="FO319" s="93">
        <v>128.76</v>
      </c>
      <c r="FP319" s="93">
        <v>101.31</v>
      </c>
      <c r="FQ319" s="93">
        <v>97.9</v>
      </c>
      <c r="FR319" s="93">
        <v>101.29</v>
      </c>
      <c r="FS319" s="93">
        <v>100.41</v>
      </c>
      <c r="FT319" s="93">
        <v>98.2</v>
      </c>
      <c r="FU319" s="93">
        <v>98.78</v>
      </c>
      <c r="FV319" s="93">
        <v>101.1</v>
      </c>
      <c r="FW319" s="93">
        <v>107.83</v>
      </c>
      <c r="FX319" s="93">
        <v>104.82</v>
      </c>
      <c r="FY319" s="93">
        <v>100.86</v>
      </c>
      <c r="FZ319" s="29">
        <v>252</v>
      </c>
      <c r="GA319" s="1504">
        <v>44166</v>
      </c>
      <c r="GB319" s="19">
        <v>104.15</v>
      </c>
      <c r="GC319" s="93">
        <v>101.86</v>
      </c>
      <c r="GD319" s="93">
        <v>105.49</v>
      </c>
      <c r="GE319" s="93">
        <v>94.02</v>
      </c>
      <c r="GF319" s="93">
        <v>107.65</v>
      </c>
      <c r="GG319" s="93">
        <v>103.68</v>
      </c>
      <c r="GH319" s="93">
        <v>107.95</v>
      </c>
      <c r="GI319" s="93">
        <v>102.19</v>
      </c>
      <c r="GJ319" s="93">
        <v>102.59</v>
      </c>
      <c r="GK319" s="93">
        <v>100.28</v>
      </c>
      <c r="GL319" s="93">
        <v>105.76</v>
      </c>
      <c r="GM319" s="93">
        <v>101.24</v>
      </c>
      <c r="GN319" s="20">
        <v>102.59</v>
      </c>
      <c r="GO319" s="29">
        <v>252</v>
      </c>
      <c r="GP319" s="1504">
        <v>44166</v>
      </c>
      <c r="GQ319" s="19">
        <v>279</v>
      </c>
      <c r="GR319" s="93">
        <v>220</v>
      </c>
      <c r="GS319" s="93">
        <v>232</v>
      </c>
      <c r="GT319" s="93">
        <v>191</v>
      </c>
      <c r="GU319" s="93">
        <v>436</v>
      </c>
      <c r="GV319" s="20">
        <v>1090</v>
      </c>
      <c r="GW319" s="19">
        <v>442</v>
      </c>
      <c r="GX319" s="93">
        <v>484</v>
      </c>
      <c r="GY319" s="93">
        <v>448</v>
      </c>
      <c r="GZ319" s="93">
        <v>688</v>
      </c>
      <c r="HA319" s="93">
        <v>235</v>
      </c>
      <c r="HB319" s="20">
        <v>889</v>
      </c>
      <c r="HC319" s="19">
        <v>2070</v>
      </c>
      <c r="HD319" s="93">
        <v>2644</v>
      </c>
      <c r="HE319" s="93">
        <v>3127</v>
      </c>
      <c r="HF319" s="93">
        <v>3150</v>
      </c>
      <c r="HG319" s="93">
        <v>2862</v>
      </c>
      <c r="HH319" s="20">
        <v>2906</v>
      </c>
      <c r="HI319" s="19"/>
      <c r="HJ319" s="93">
        <v>872</v>
      </c>
      <c r="HK319" s="93">
        <v>1848</v>
      </c>
      <c r="HL319" s="93">
        <v>842</v>
      </c>
      <c r="HM319" s="93">
        <v>900</v>
      </c>
      <c r="HN319" s="20">
        <v>3094</v>
      </c>
      <c r="HO319" s="219">
        <v>129</v>
      </c>
      <c r="HP319" s="20">
        <v>99</v>
      </c>
      <c r="HQ319" s="25">
        <v>158</v>
      </c>
      <c r="HR319" s="29">
        <v>252</v>
      </c>
      <c r="HS319" s="1504">
        <v>44166</v>
      </c>
      <c r="HT319" s="179">
        <v>236.25</v>
      </c>
      <c r="HU319" s="99">
        <v>250</v>
      </c>
      <c r="HV319" s="99">
        <v>218.35442504882812</v>
      </c>
      <c r="HW319" s="99">
        <v>140.30612182617188</v>
      </c>
      <c r="HX319" s="99">
        <v>225</v>
      </c>
      <c r="HY319" s="99">
        <v>233.33332977294921</v>
      </c>
      <c r="HZ319" s="99">
        <v>246.32969055175781</v>
      </c>
      <c r="IA319" s="132">
        <v>235.48387908935547</v>
      </c>
      <c r="IB319" s="179">
        <v>140.64949645996094</v>
      </c>
      <c r="IC319" s="99">
        <v>99.415205001831055</v>
      </c>
      <c r="ID319" s="99">
        <v>123.33332977294921</v>
      </c>
      <c r="IE319" s="99">
        <v>106.15384483337402</v>
      </c>
      <c r="IF319" s="99">
        <v>161.71617736816407</v>
      </c>
      <c r="IG319" s="132">
        <v>98.480669021606445</v>
      </c>
      <c r="IH319" s="179">
        <v>127.86764602661133</v>
      </c>
      <c r="II319" s="99">
        <v>209.67741394042969</v>
      </c>
      <c r="IJ319" s="99">
        <v>179.05404968261718</v>
      </c>
      <c r="IK319" s="99">
        <v>160.71429443359375</v>
      </c>
      <c r="IL319" s="99">
        <v>152.77777862548828</v>
      </c>
      <c r="IM319" s="99">
        <v>137.63441467285156</v>
      </c>
      <c r="IN319" s="93">
        <v>176.67845153808594</v>
      </c>
      <c r="IO319" s="132">
        <v>161.72069549560547</v>
      </c>
      <c r="IP319" s="29">
        <v>252</v>
      </c>
      <c r="IQ319" s="19">
        <v>140.64949645996094</v>
      </c>
      <c r="IR319" s="93">
        <v>99.415205001831055</v>
      </c>
      <c r="IS319" s="93">
        <v>123.33332977294921</v>
      </c>
      <c r="IT319" s="93">
        <v>106.15384483337402</v>
      </c>
      <c r="IU319" s="93">
        <v>161.71617736816407</v>
      </c>
      <c r="IV319" s="20">
        <v>98.480669021606445</v>
      </c>
      <c r="IW319" s="29">
        <v>252</v>
      </c>
      <c r="IX319" s="19"/>
      <c r="IY319" s="93"/>
      <c r="IZ319" s="93"/>
      <c r="JA319" s="93"/>
      <c r="JB319" s="93"/>
      <c r="JC319" s="93"/>
      <c r="JD319" s="93"/>
      <c r="JE319" s="20"/>
      <c r="JF319" s="29">
        <v>252</v>
      </c>
      <c r="JG319" s="19">
        <v>164.65608825683594</v>
      </c>
      <c r="JH319" s="93">
        <v>188.17204284667969</v>
      </c>
      <c r="JI319" s="93">
        <v>158.73014831542969</v>
      </c>
      <c r="JJ319" s="93">
        <v>151.51515197753906</v>
      </c>
      <c r="JK319" s="93">
        <v>173.66216278076172</v>
      </c>
      <c r="JL319" s="93">
        <v>169.14191436767578</v>
      </c>
      <c r="JM319" s="93">
        <v>159.01060485839844</v>
      </c>
      <c r="JN319" s="20">
        <v>224.35116882324218</v>
      </c>
      <c r="JO319" s="29">
        <v>252</v>
      </c>
      <c r="JP319" s="19">
        <v>202.12015075683593</v>
      </c>
      <c r="JQ319" s="93">
        <v>95</v>
      </c>
      <c r="JR319" s="93">
        <v>146.12904052734376</v>
      </c>
      <c r="JS319" s="93">
        <v>101.04790496826172</v>
      </c>
      <c r="JT319" s="93">
        <v>168.99542236328125</v>
      </c>
      <c r="JU319" s="20">
        <v>99.358974456787109</v>
      </c>
      <c r="JV319" s="29">
        <v>252</v>
      </c>
      <c r="JW319" s="1504">
        <v>44166</v>
      </c>
      <c r="JX319" s="19"/>
      <c r="JY319" s="93"/>
      <c r="JZ319" s="93"/>
      <c r="KA319" s="93"/>
      <c r="KB319" s="93"/>
      <c r="KC319" s="93"/>
      <c r="KD319" s="20"/>
      <c r="KE319" s="29">
        <v>252</v>
      </c>
      <c r="KF319" s="19"/>
      <c r="KG319" s="93"/>
      <c r="KH319" s="93"/>
      <c r="KI319" s="93"/>
      <c r="KJ319" s="93"/>
      <c r="KK319" s="20"/>
      <c r="KL319" s="29">
        <v>252</v>
      </c>
      <c r="KM319" s="19"/>
      <c r="KN319" s="93"/>
      <c r="KO319" s="93"/>
      <c r="KP319" s="93"/>
      <c r="KQ319" s="93"/>
      <c r="KR319" s="20"/>
      <c r="KS319" s="29">
        <v>252</v>
      </c>
      <c r="KT319" s="19"/>
      <c r="KU319" s="93"/>
      <c r="KV319" s="93"/>
      <c r="KW319" s="93"/>
      <c r="KX319" s="93"/>
      <c r="KY319" s="20"/>
      <c r="KZ319" s="29">
        <v>252</v>
      </c>
      <c r="LA319" s="1504">
        <v>44166</v>
      </c>
      <c r="LB319" s="19"/>
      <c r="LC319" s="93"/>
      <c r="LD319" s="93"/>
      <c r="LE319" s="93"/>
      <c r="LF319" s="93"/>
      <c r="LG319" s="93"/>
      <c r="LH319" s="20"/>
      <c r="LI319" s="29"/>
      <c r="LJ319" s="19"/>
      <c r="LK319" s="93"/>
      <c r="LL319" s="93"/>
      <c r="LM319" s="93"/>
      <c r="LN319" s="93"/>
      <c r="LO319" s="20"/>
      <c r="LP319" s="29"/>
      <c r="LQ319" s="19"/>
      <c r="LR319" s="93">
        <v>188</v>
      </c>
      <c r="LS319" s="93">
        <v>463</v>
      </c>
      <c r="LT319" s="93">
        <v>663</v>
      </c>
      <c r="LU319" s="93">
        <v>1104</v>
      </c>
      <c r="LV319" s="93"/>
      <c r="LW319" s="93">
        <v>5</v>
      </c>
      <c r="LX319" s="93">
        <v>10</v>
      </c>
      <c r="LY319" s="93">
        <v>60</v>
      </c>
      <c r="LZ319" s="93"/>
      <c r="MA319" s="20"/>
      <c r="MB319" s="29">
        <v>252</v>
      </c>
      <c r="MC319" s="1504">
        <v>44166</v>
      </c>
      <c r="MD319" s="19">
        <v>1975.3396997398772</v>
      </c>
      <c r="ME319" s="93">
        <v>1659.3808640912362</v>
      </c>
      <c r="MF319" s="93">
        <v>1659.0761616335612</v>
      </c>
      <c r="MG319" s="93">
        <v>1377.0238232789711</v>
      </c>
      <c r="MH319" s="93">
        <v>457.05210542368224</v>
      </c>
      <c r="MI319" s="93">
        <v>14.60806143028616</v>
      </c>
      <c r="MJ319" s="93">
        <v>10.291267926353365</v>
      </c>
      <c r="MK319" s="93">
        <v>701.19393526825809</v>
      </c>
      <c r="ML319" s="93">
        <v>185.29523767399999</v>
      </c>
      <c r="MM319" s="93">
        <v>8.5832155563912877</v>
      </c>
      <c r="MN319" s="93">
        <v>282.05233835459001</v>
      </c>
      <c r="MO319" s="93">
        <v>4.7429423890000004</v>
      </c>
      <c r="MP319" s="93">
        <v>83.756108011000009</v>
      </c>
      <c r="MQ319" s="93">
        <v>3.1348706100000006</v>
      </c>
      <c r="MR319" s="93">
        <v>58.811273213000007</v>
      </c>
      <c r="MS319" s="93">
        <v>131.60714413158999</v>
      </c>
      <c r="MT319" s="93">
        <v>0.30470245767500304</v>
      </c>
      <c r="MU319" s="93">
        <v>315.95883564864101</v>
      </c>
      <c r="MV319" s="93">
        <v>156.28054719764103</v>
      </c>
      <c r="MW319" s="93">
        <v>159.67828845100001</v>
      </c>
      <c r="MX319" s="93">
        <v>2499.9527322046956</v>
      </c>
      <c r="MY319" s="93">
        <v>2504.3044830866957</v>
      </c>
      <c r="MZ319" s="93">
        <v>1724.3015765791654</v>
      </c>
      <c r="NA319" s="93">
        <v>897.20810768199999</v>
      </c>
      <c r="NB319" s="93">
        <v>176.29263375600001</v>
      </c>
      <c r="NC319" s="93">
        <v>140.57673618516537</v>
      </c>
      <c r="ND319" s="93">
        <v>117.03087419080002</v>
      </c>
      <c r="NE319" s="93">
        <v>23.545861994365374</v>
      </c>
      <c r="NF319" s="93">
        <v>510.22409895599998</v>
      </c>
      <c r="NG319" s="93">
        <v>55.315686047500002</v>
      </c>
      <c r="NH319" s="93">
        <v>102.170637098</v>
      </c>
      <c r="NI319" s="93">
        <v>0</v>
      </c>
      <c r="NJ319" s="93">
        <v>98.125655264000002</v>
      </c>
      <c r="NK319" s="93">
        <v>780.00290650753038</v>
      </c>
      <c r="NL319" s="93">
        <v>432.91770847600003</v>
      </c>
      <c r="NM319" s="93">
        <v>61.693316705999997</v>
      </c>
      <c r="NN319" s="93">
        <v>285.39188132553022</v>
      </c>
      <c r="NO319" s="93">
        <v>-4.3517508820000028</v>
      </c>
      <c r="NP319" s="93">
        <v>-524.61303246481828</v>
      </c>
      <c r="NQ319" s="93">
        <v>-840.57186811345935</v>
      </c>
      <c r="NR319" s="93">
        <v>-414.60325060276375</v>
      </c>
      <c r="NS319" s="93">
        <v>-555.17998678792912</v>
      </c>
      <c r="NT319" s="93">
        <v>-532.83476698421839</v>
      </c>
      <c r="NU319" s="93">
        <v>-848.79360263285946</v>
      </c>
      <c r="NV319" s="93">
        <v>531.712952397599</v>
      </c>
      <c r="NW319" s="93">
        <v>152.40697261790223</v>
      </c>
      <c r="NX319" s="93">
        <v>213.77414934045922</v>
      </c>
      <c r="NY319" s="93">
        <v>-61.367176722557026</v>
      </c>
      <c r="NZ319" s="93">
        <v>0</v>
      </c>
      <c r="OA319" s="93">
        <v>379.30597977969683</v>
      </c>
      <c r="OB319" s="93">
        <v>77.382408566696796</v>
      </c>
      <c r="OC319" s="93">
        <v>301.923571213</v>
      </c>
      <c r="OD319" s="20">
        <v>1.1218145866193883</v>
      </c>
      <c r="OE319" s="29">
        <v>252</v>
      </c>
      <c r="OF319" s="1504">
        <v>44166</v>
      </c>
      <c r="OG319" s="19"/>
      <c r="OH319" s="93">
        <v>697.68567470958476</v>
      </c>
      <c r="OI319" s="93">
        <v>2300.480586912</v>
      </c>
      <c r="OJ319" s="93">
        <v>2.8889125240000002</v>
      </c>
      <c r="OK319" s="93">
        <v>2007.9059999999999</v>
      </c>
      <c r="OL319" s="93">
        <v>289.685674388</v>
      </c>
      <c r="OM319" s="93">
        <v>2998.1662616215849</v>
      </c>
      <c r="ON319" s="93">
        <v>1781.047108319</v>
      </c>
      <c r="OO319" s="93">
        <v>4779.2133699405849</v>
      </c>
      <c r="OP319" s="93"/>
      <c r="OQ319" s="93">
        <v>1983.664176386488</v>
      </c>
      <c r="OR319" s="93">
        <v>205.46217638648807</v>
      </c>
      <c r="OS319" s="93">
        <v>1778.202</v>
      </c>
      <c r="OT319" s="93">
        <v>3380.8458239050969</v>
      </c>
      <c r="OU319" s="93">
        <v>192.37966617509667</v>
      </c>
      <c r="OV319" s="93">
        <v>21.44766617509676</v>
      </c>
      <c r="OW319" s="93">
        <v>170.9319999999999</v>
      </c>
      <c r="OX319" s="93">
        <v>3188.4661577300003</v>
      </c>
      <c r="OY319" s="93">
        <v>7.8881577300000005</v>
      </c>
      <c r="OZ319" s="93">
        <v>3180.578</v>
      </c>
      <c r="PA319" s="93">
        <v>842.29544964599984</v>
      </c>
      <c r="PB319" s="93">
        <v>-256.99881929500003</v>
      </c>
      <c r="PC319" s="20">
        <v>4779.2133699405858</v>
      </c>
      <c r="PD319" s="29">
        <v>252</v>
      </c>
      <c r="PE319" s="19"/>
      <c r="PF319" s="93">
        <v>205.46217638648807</v>
      </c>
      <c r="PG319" s="93">
        <v>970.17655491548805</v>
      </c>
      <c r="PH319" s="93">
        <v>764.71437852899999</v>
      </c>
      <c r="PI319" s="93">
        <v>886.14823233200002</v>
      </c>
      <c r="PJ319" s="93">
        <v>30.196911073000024</v>
      </c>
      <c r="PK319" s="93">
        <v>214.71070557300001</v>
      </c>
      <c r="PL319" s="93">
        <v>184.51379449999999</v>
      </c>
      <c r="PM319" s="93">
        <v>7.8881577300000005</v>
      </c>
      <c r="PN319" s="93">
        <v>3.3940000000000001</v>
      </c>
      <c r="PO319" s="93">
        <v>0</v>
      </c>
      <c r="PP319" s="93">
        <v>0</v>
      </c>
      <c r="PQ319" s="93">
        <v>4.4941577300000004</v>
      </c>
      <c r="PR319" s="93">
        <v>1120.9013633744883</v>
      </c>
      <c r="PS319" s="93">
        <v>809.80891960748806</v>
      </c>
      <c r="PT319" s="93">
        <v>307.87042292400002</v>
      </c>
      <c r="PU319" s="93">
        <v>3.2220208430000001</v>
      </c>
      <c r="PV319" s="93">
        <v>0</v>
      </c>
      <c r="PW319" s="93">
        <v>0.61249568799999998</v>
      </c>
      <c r="PX319" s="93">
        <v>0</v>
      </c>
      <c r="PY319" s="93">
        <v>0</v>
      </c>
      <c r="PZ319" s="93">
        <v>0.61249568799999998</v>
      </c>
      <c r="QA319" s="93">
        <v>0</v>
      </c>
      <c r="QB319" s="93">
        <v>0</v>
      </c>
      <c r="QC319" s="93">
        <v>0</v>
      </c>
      <c r="QD319" s="93">
        <v>0.47495395800000001</v>
      </c>
      <c r="QE319" s="20">
        <v>7.7066645009999863</v>
      </c>
      <c r="QF319" s="1739">
        <v>252</v>
      </c>
      <c r="QG319" s="19"/>
      <c r="QH319" s="93">
        <v>1778.202</v>
      </c>
      <c r="QI319" s="93">
        <v>2089.88</v>
      </c>
      <c r="QJ319" s="93">
        <v>-311.67800000000005</v>
      </c>
      <c r="QK319" s="93">
        <v>451.83199999999999</v>
      </c>
      <c r="QL319" s="93">
        <v>103.374</v>
      </c>
      <c r="QM319" s="93">
        <v>348.45800000000003</v>
      </c>
      <c r="QN319" s="93">
        <v>0</v>
      </c>
      <c r="QO319" s="93">
        <v>170.9319999999999</v>
      </c>
      <c r="QP319" s="93">
        <v>744.93999999999994</v>
      </c>
      <c r="QQ319" s="93">
        <v>-574.00800000000004</v>
      </c>
      <c r="QR319" s="93">
        <v>3180.578</v>
      </c>
      <c r="QS319" s="93">
        <v>17.655999999999999</v>
      </c>
      <c r="QT319" s="93">
        <v>4.88</v>
      </c>
      <c r="QU319" s="93">
        <v>237.14900000000003</v>
      </c>
      <c r="QV319" s="93">
        <v>2920.893</v>
      </c>
      <c r="QW319" s="93"/>
      <c r="QX319" s="93">
        <v>903.97900000000004</v>
      </c>
      <c r="QY319" s="93">
        <v>2007.9059999999999</v>
      </c>
      <c r="QZ319" s="93">
        <v>1780.7140000000002</v>
      </c>
      <c r="RA319" s="93">
        <v>0</v>
      </c>
      <c r="RB319" s="93">
        <v>181.81599999999997</v>
      </c>
      <c r="RC319" s="93">
        <v>0</v>
      </c>
      <c r="RD319" s="93">
        <v>26.684999999999999</v>
      </c>
      <c r="RE319" s="93">
        <v>0</v>
      </c>
      <c r="RF319" s="93">
        <v>0</v>
      </c>
      <c r="RG319" s="93">
        <v>632.70699999999988</v>
      </c>
      <c r="RH319" s="93">
        <v>47.736999999999966</v>
      </c>
      <c r="RI319" s="93"/>
      <c r="RJ319" s="93"/>
      <c r="RK319" s="93"/>
      <c r="RL319" s="93"/>
      <c r="RM319" s="20"/>
      <c r="RN319" s="29">
        <v>252</v>
      </c>
      <c r="RO319" s="19">
        <v>74</v>
      </c>
      <c r="RP319" s="20">
        <v>670</v>
      </c>
      <c r="RQ319" s="29">
        <v>252</v>
      </c>
      <c r="RR319" s="734">
        <v>7.8111478500000002</v>
      </c>
      <c r="RS319" s="29">
        <v>252</v>
      </c>
      <c r="RT319" s="1504">
        <v>44166</v>
      </c>
      <c r="RU319" s="19">
        <v>1004</v>
      </c>
      <c r="RV319" s="20">
        <v>17</v>
      </c>
      <c r="RW319" s="29">
        <v>252</v>
      </c>
      <c r="RX319" s="1504">
        <v>44166</v>
      </c>
      <c r="RY319" s="29">
        <v>16532.900000000005</v>
      </c>
      <c r="RZ319" s="734">
        <v>15138.22</v>
      </c>
      <c r="SA319" s="29">
        <v>456473.58926746051</v>
      </c>
      <c r="SB319" s="29">
        <v>252</v>
      </c>
    </row>
    <row r="320" spans="1:496">
      <c r="A320" s="41">
        <f t="shared" si="238"/>
        <v>2021</v>
      </c>
      <c r="B320" s="1504">
        <v>44197</v>
      </c>
      <c r="C320" s="1813">
        <v>2113</v>
      </c>
      <c r="D320" s="1814">
        <v>33619</v>
      </c>
      <c r="E320" s="1814">
        <v>396</v>
      </c>
      <c r="F320" s="1815"/>
      <c r="G320" s="1814">
        <v>93022</v>
      </c>
      <c r="H320" s="1814">
        <v>148</v>
      </c>
      <c r="I320" s="1814">
        <v>30846</v>
      </c>
      <c r="J320" s="1816">
        <v>17335</v>
      </c>
      <c r="K320" s="1807">
        <v>177479</v>
      </c>
      <c r="L320" s="25">
        <v>253</v>
      </c>
      <c r="M320" s="97"/>
      <c r="N320" s="1504">
        <v>44197</v>
      </c>
      <c r="O320" s="19">
        <v>2108</v>
      </c>
      <c r="P320" s="93">
        <v>1096</v>
      </c>
      <c r="Q320" s="93">
        <v>9240</v>
      </c>
      <c r="R320" s="93">
        <v>3929</v>
      </c>
      <c r="S320" s="93">
        <v>2629</v>
      </c>
      <c r="T320" s="93">
        <v>1187</v>
      </c>
      <c r="U320" s="93">
        <v>491</v>
      </c>
      <c r="V320" s="93">
        <v>2419</v>
      </c>
      <c r="W320" s="93">
        <v>5939</v>
      </c>
      <c r="X320" s="93">
        <v>1151</v>
      </c>
      <c r="Y320" s="93">
        <v>624</v>
      </c>
      <c r="Z320" s="93">
        <v>1446</v>
      </c>
      <c r="AA320" s="93">
        <v>1360</v>
      </c>
      <c r="AB320" s="20">
        <v>33619</v>
      </c>
      <c r="AC320" s="25">
        <v>253</v>
      </c>
      <c r="AD320" s="97"/>
      <c r="AE320" s="1504">
        <v>44197</v>
      </c>
      <c r="AF320" s="19">
        <v>3379</v>
      </c>
      <c r="AG320" s="93">
        <v>1415</v>
      </c>
      <c r="AH320" s="93">
        <v>2415</v>
      </c>
      <c r="AI320" s="93">
        <v>2747</v>
      </c>
      <c r="AJ320" s="93">
        <v>2503</v>
      </c>
      <c r="AK320" s="93">
        <v>1646</v>
      </c>
      <c r="AL320" s="93">
        <v>937</v>
      </c>
      <c r="AM320" s="93">
        <v>1715</v>
      </c>
      <c r="AN320" s="93">
        <v>8152</v>
      </c>
      <c r="AO320" s="93">
        <v>1776</v>
      </c>
      <c r="AP320" s="93">
        <v>1348</v>
      </c>
      <c r="AQ320" s="93">
        <v>1558</v>
      </c>
      <c r="AR320" s="93">
        <v>1255</v>
      </c>
      <c r="AS320" s="20">
        <v>30846</v>
      </c>
      <c r="AT320" s="25">
        <v>253</v>
      </c>
      <c r="AU320" s="97"/>
      <c r="AV320" s="1504">
        <v>44197</v>
      </c>
      <c r="AW320" s="19">
        <v>11167</v>
      </c>
      <c r="AX320" s="93">
        <v>4168</v>
      </c>
      <c r="AY320" s="93">
        <v>2539</v>
      </c>
      <c r="AZ320" s="93">
        <v>12762</v>
      </c>
      <c r="BA320" s="93">
        <v>7841</v>
      </c>
      <c r="BB320" s="93">
        <v>5577</v>
      </c>
      <c r="BC320" s="93">
        <v>3741</v>
      </c>
      <c r="BD320" s="93">
        <v>9589</v>
      </c>
      <c r="BE320" s="93">
        <v>14152</v>
      </c>
      <c r="BF320" s="93">
        <v>5684</v>
      </c>
      <c r="BG320" s="93">
        <v>4789</v>
      </c>
      <c r="BH320" s="93">
        <v>6212</v>
      </c>
      <c r="BI320" s="93">
        <v>4801</v>
      </c>
      <c r="BJ320" s="20">
        <v>93022</v>
      </c>
      <c r="BK320" s="25">
        <v>253</v>
      </c>
      <c r="BL320" s="97"/>
      <c r="BM320" s="1504">
        <v>44197</v>
      </c>
      <c r="BN320" s="19">
        <v>116.2</v>
      </c>
      <c r="BO320" s="93">
        <v>1849</v>
      </c>
      <c r="BP320" s="93">
        <v>79.2</v>
      </c>
      <c r="BQ320" s="93">
        <v>837.2</v>
      </c>
      <c r="BR320" s="93">
        <v>25.9</v>
      </c>
      <c r="BS320" s="93">
        <v>308.5</v>
      </c>
      <c r="BT320" s="93">
        <v>485.4</v>
      </c>
      <c r="BU320" s="20">
        <v>3701.4</v>
      </c>
      <c r="BV320" s="25">
        <v>253</v>
      </c>
      <c r="BW320" s="97"/>
      <c r="BX320" s="1504">
        <v>44197</v>
      </c>
      <c r="BY320" s="19">
        <v>539.01620000000003</v>
      </c>
      <c r="BZ320" s="93">
        <v>655.95699999999999</v>
      </c>
      <c r="CA320" s="93">
        <v>607.73820000000001</v>
      </c>
      <c r="CB320" s="93">
        <v>35.628092000000002</v>
      </c>
      <c r="CC320" s="93">
        <v>92.242249999999999</v>
      </c>
      <c r="CD320" s="25">
        <v>253</v>
      </c>
      <c r="CE320" s="97"/>
      <c r="CF320" s="1504">
        <v>44197</v>
      </c>
      <c r="CG320" s="19">
        <v>1.9230900259999999</v>
      </c>
      <c r="CH320" s="93">
        <v>1866.98</v>
      </c>
      <c r="CI320" s="219">
        <v>53.603333333333303</v>
      </c>
      <c r="CJ320" s="20">
        <v>54.55</v>
      </c>
      <c r="CK320" s="19">
        <v>517.75</v>
      </c>
      <c r="CL320" s="93">
        <v>234.46795014720001</v>
      </c>
      <c r="CM320" s="93">
        <v>0.335543164</v>
      </c>
      <c r="CN320" s="93">
        <v>0.39758680000000002</v>
      </c>
      <c r="CO320" s="568">
        <v>289.3</v>
      </c>
      <c r="CP320" s="20">
        <v>4.4566393299999998</v>
      </c>
      <c r="CQ320" s="219">
        <v>1988.94048883757</v>
      </c>
      <c r="CR320" s="93">
        <v>2.0274999999999999</v>
      </c>
      <c r="CS320" s="93">
        <v>2.2972999999999999</v>
      </c>
      <c r="CT320" s="93">
        <v>85</v>
      </c>
      <c r="CU320" s="93">
        <v>169.63</v>
      </c>
      <c r="CV320" s="214">
        <v>2705.34</v>
      </c>
      <c r="CW320" s="29">
        <v>253</v>
      </c>
      <c r="CX320" s="41">
        <f t="shared" si="239"/>
        <v>2021</v>
      </c>
      <c r="CY320" s="1504">
        <v>44197</v>
      </c>
      <c r="CZ320" s="733">
        <v>158.93327300000001</v>
      </c>
      <c r="DA320" s="570">
        <v>74.777364000000006</v>
      </c>
      <c r="DB320" s="570">
        <v>66.389708393939401</v>
      </c>
      <c r="DC320" s="93"/>
      <c r="DD320" s="93"/>
      <c r="DE320" s="20"/>
      <c r="DF320" s="29">
        <v>253</v>
      </c>
      <c r="DG320" s="1504">
        <v>44197</v>
      </c>
      <c r="DH320" s="19">
        <v>463999</v>
      </c>
      <c r="DI320" s="93">
        <v>5292750</v>
      </c>
      <c r="DJ320" s="93">
        <v>314466</v>
      </c>
      <c r="DK320" s="93">
        <v>20558</v>
      </c>
      <c r="DL320" s="93">
        <v>534728</v>
      </c>
      <c r="DM320" s="93">
        <v>8030</v>
      </c>
      <c r="DN320" s="20">
        <v>1789503</v>
      </c>
      <c r="DO320" s="295">
        <f t="shared" si="282"/>
        <v>7960035</v>
      </c>
      <c r="DP320" s="29">
        <v>253</v>
      </c>
      <c r="DQ320" s="1504">
        <v>44197</v>
      </c>
      <c r="DR320" s="179">
        <v>49980.248</v>
      </c>
      <c r="DS320" s="99">
        <v>930.5</v>
      </c>
      <c r="DT320" s="99">
        <v>63470.572</v>
      </c>
      <c r="DU320" s="99">
        <v>2075.096</v>
      </c>
      <c r="DV320" s="99">
        <v>13864103</v>
      </c>
      <c r="DW320" s="99">
        <v>2610</v>
      </c>
      <c r="DX320" s="132">
        <v>20238.064285714285</v>
      </c>
      <c r="DY320" s="29">
        <v>253</v>
      </c>
      <c r="DZ320" s="1504">
        <v>44197</v>
      </c>
      <c r="EA320" s="19"/>
      <c r="EB320" s="93"/>
      <c r="EC320" s="20"/>
      <c r="ED320" s="29"/>
      <c r="EE320" s="1504">
        <v>44197</v>
      </c>
      <c r="EF320" s="19">
        <f>EQ320+FB320</f>
        <v>11285</v>
      </c>
      <c r="EG320" s="93">
        <f>ER320+FC320</f>
        <v>12858</v>
      </c>
      <c r="EH320" s="93">
        <f>EF320+EG320+EI320</f>
        <v>27428</v>
      </c>
      <c r="EI320" s="214">
        <f>ET320+FE320</f>
        <v>3285</v>
      </c>
      <c r="EJ320" s="93">
        <f>EU320+FF320</f>
        <v>529.16099999999994</v>
      </c>
      <c r="EK320" s="93">
        <f>EV320+FG320</f>
        <v>156.62299999999999</v>
      </c>
      <c r="EL320" s="93">
        <f>EW320+FH320</f>
        <v>7.0739999999999998</v>
      </c>
      <c r="EM320" s="93">
        <f>EX320+FI320</f>
        <v>9.8290000000000006</v>
      </c>
      <c r="EN320" s="20">
        <f>SUM(EJ320:EM320)</f>
        <v>702.68699999999978</v>
      </c>
      <c r="EO320" s="29">
        <v>253</v>
      </c>
      <c r="EP320" s="1504">
        <v>44197</v>
      </c>
      <c r="EQ320" s="19">
        <v>10762</v>
      </c>
      <c r="ER320" s="93">
        <v>12370</v>
      </c>
      <c r="ES320" s="93">
        <f>EQ320+ER320</f>
        <v>23132</v>
      </c>
      <c r="ET320" s="214">
        <v>3046</v>
      </c>
      <c r="EU320" s="93">
        <v>529.16099999999994</v>
      </c>
      <c r="EV320" s="93">
        <v>156.62299999999999</v>
      </c>
      <c r="EW320" s="93">
        <v>7.0739999999999998</v>
      </c>
      <c r="EX320" s="93">
        <v>9.8290000000000006</v>
      </c>
      <c r="EY320" s="20">
        <v>702.68700000000001</v>
      </c>
      <c r="EZ320" s="29">
        <v>253</v>
      </c>
      <c r="FA320" s="1504">
        <v>44197</v>
      </c>
      <c r="FB320" s="29">
        <v>523</v>
      </c>
      <c r="FC320" s="29">
        <v>488</v>
      </c>
      <c r="FD320" s="29">
        <f>FB320+FC320</f>
        <v>1011</v>
      </c>
      <c r="FE320" s="29">
        <v>239</v>
      </c>
      <c r="FF320" s="29">
        <v>0</v>
      </c>
      <c r="FG320" s="29">
        <v>0</v>
      </c>
      <c r="FH320" s="29">
        <v>0</v>
      </c>
      <c r="FI320" s="29">
        <v>0</v>
      </c>
      <c r="FJ320" s="29">
        <v>0</v>
      </c>
      <c r="FK320" s="29">
        <v>253</v>
      </c>
      <c r="FL320" s="1504">
        <v>44197</v>
      </c>
      <c r="FM320" s="19">
        <v>104.33</v>
      </c>
      <c r="FN320" s="93">
        <v>105.93</v>
      </c>
      <c r="FO320" s="93">
        <v>133.72999999999999</v>
      </c>
      <c r="FP320" s="93">
        <v>101.31</v>
      </c>
      <c r="FQ320" s="93">
        <v>97.9</v>
      </c>
      <c r="FR320" s="93">
        <v>101.29</v>
      </c>
      <c r="FS320" s="93">
        <v>100.51</v>
      </c>
      <c r="FT320" s="93">
        <v>98.2</v>
      </c>
      <c r="FU320" s="93">
        <v>98.78</v>
      </c>
      <c r="FV320" s="93">
        <v>101.15</v>
      </c>
      <c r="FW320" s="93">
        <v>107.83</v>
      </c>
      <c r="FX320" s="93">
        <v>105.5</v>
      </c>
      <c r="FY320" s="93">
        <v>100.86</v>
      </c>
      <c r="FZ320" s="29">
        <v>253</v>
      </c>
      <c r="GA320" s="1504">
        <v>44197</v>
      </c>
      <c r="GB320" s="19">
        <v>104.33</v>
      </c>
      <c r="GC320" s="93">
        <v>102.4</v>
      </c>
      <c r="GD320" s="93">
        <v>105.59</v>
      </c>
      <c r="GE320" s="93">
        <v>94.02</v>
      </c>
      <c r="GF320" s="93">
        <v>107.64</v>
      </c>
      <c r="GG320" s="93">
        <v>103.95</v>
      </c>
      <c r="GH320" s="93">
        <v>108.19</v>
      </c>
      <c r="GI320" s="93">
        <v>102.27</v>
      </c>
      <c r="GJ320" s="93">
        <v>102.61</v>
      </c>
      <c r="GK320" s="93">
        <v>100.28</v>
      </c>
      <c r="GL320" s="93">
        <v>106.04</v>
      </c>
      <c r="GM320" s="93">
        <v>101.24</v>
      </c>
      <c r="GN320" s="20">
        <v>102.6</v>
      </c>
      <c r="GO320" s="29">
        <v>253</v>
      </c>
      <c r="GP320" s="1504">
        <v>44197</v>
      </c>
      <c r="GQ320" s="19">
        <v>270</v>
      </c>
      <c r="GR320" s="93">
        <v>217</v>
      </c>
      <c r="GS320" s="93">
        <v>239</v>
      </c>
      <c r="GT320" s="93">
        <v>198</v>
      </c>
      <c r="GU320" s="93">
        <v>399</v>
      </c>
      <c r="GV320" s="20">
        <v>1021</v>
      </c>
      <c r="GW320" s="19">
        <v>456</v>
      </c>
      <c r="GX320" s="93">
        <v>472</v>
      </c>
      <c r="GY320" s="93">
        <v>445</v>
      </c>
      <c r="GZ320" s="93">
        <v>348</v>
      </c>
      <c r="HA320" s="93">
        <v>152</v>
      </c>
      <c r="HB320" s="20">
        <v>923</v>
      </c>
      <c r="HC320" s="19">
        <v>2068</v>
      </c>
      <c r="HD320" s="93">
        <v>2472</v>
      </c>
      <c r="HE320" s="93">
        <v>3175</v>
      </c>
      <c r="HF320" s="93">
        <v>3150</v>
      </c>
      <c r="HG320" s="93">
        <v>2786</v>
      </c>
      <c r="HH320" s="20">
        <v>2941</v>
      </c>
      <c r="HI320" s="19"/>
      <c r="HJ320" s="93">
        <v>877</v>
      </c>
      <c r="HK320" s="93">
        <v>1724</v>
      </c>
      <c r="HL320" s="93">
        <v>796</v>
      </c>
      <c r="HM320" s="93">
        <v>900</v>
      </c>
      <c r="HN320" s="20">
        <v>2951</v>
      </c>
      <c r="HO320" s="219">
        <v>134</v>
      </c>
      <c r="HP320" s="20">
        <v>99</v>
      </c>
      <c r="HQ320" s="25">
        <v>155</v>
      </c>
      <c r="HR320" s="29">
        <v>253</v>
      </c>
      <c r="HS320" s="1504">
        <v>44197</v>
      </c>
      <c r="HT320" s="179">
        <v>235.546875</v>
      </c>
      <c r="HU320" s="99">
        <v>250</v>
      </c>
      <c r="HV320" s="99">
        <v>205.04731750488281</v>
      </c>
      <c r="HW320" s="99">
        <v>153.06121826171875</v>
      </c>
      <c r="HX320" s="99">
        <v>233.33332824707031</v>
      </c>
      <c r="HY320" s="99">
        <v>225.30864143371582</v>
      </c>
      <c r="HZ320" s="99">
        <v>215.32258605957031</v>
      </c>
      <c r="IA320" s="132">
        <v>248.87484741210938</v>
      </c>
      <c r="IB320" s="179">
        <v>220.66496276855469</v>
      </c>
      <c r="IC320" s="99">
        <v>131.57894897460938</v>
      </c>
      <c r="ID320" s="99">
        <v>227.77777608235678</v>
      </c>
      <c r="IE320" s="99">
        <v>175.56634902954102</v>
      </c>
      <c r="IF320" s="99">
        <v>219.34903462727866</v>
      </c>
      <c r="IG320" s="132">
        <v>134.23913192749023</v>
      </c>
      <c r="IH320" s="179">
        <v>139.43014717102051</v>
      </c>
      <c r="II320" s="99">
        <v>188.17204284667969</v>
      </c>
      <c r="IJ320" s="99">
        <v>185.81080627441406</v>
      </c>
      <c r="IK320" s="99">
        <v>165.1785774230957</v>
      </c>
      <c r="IL320" s="99">
        <v>164.54475402832031</v>
      </c>
      <c r="IM320" s="99">
        <v>145.56452178955078</v>
      </c>
      <c r="IN320" s="93">
        <v>181.09541320800781</v>
      </c>
      <c r="IO320" s="132">
        <v>163.16754913330078</v>
      </c>
      <c r="IP320" s="29">
        <v>253</v>
      </c>
      <c r="IQ320" s="19">
        <v>141.74300765991211</v>
      </c>
      <c r="IR320" s="93">
        <v>111.11111450195313</v>
      </c>
      <c r="IS320" s="93">
        <v>133.33332824707031</v>
      </c>
      <c r="IT320" s="93">
        <v>109.71786499023438</v>
      </c>
      <c r="IU320" s="93">
        <v>162.22187423706055</v>
      </c>
      <c r="IV320" s="20">
        <v>104.91802978515625</v>
      </c>
      <c r="IW320" s="29">
        <v>253</v>
      </c>
      <c r="IX320" s="19">
        <v>414.28572082519531</v>
      </c>
      <c r="IY320" s="93">
        <v>386.45834350585938</v>
      </c>
      <c r="IZ320" s="93">
        <v>400</v>
      </c>
      <c r="JA320" s="93">
        <v>356.25</v>
      </c>
      <c r="JB320" s="93">
        <v>397.5</v>
      </c>
      <c r="JC320" s="93">
        <v>400</v>
      </c>
      <c r="JD320" s="93">
        <v>370</v>
      </c>
      <c r="JE320" s="20">
        <v>400</v>
      </c>
      <c r="JF320" s="29">
        <v>253</v>
      </c>
      <c r="JG320" s="19">
        <v>153.94736480712891</v>
      </c>
      <c r="JH320" s="93">
        <v>188.17204284667969</v>
      </c>
      <c r="JI320" s="93">
        <v>159.74440002441406</v>
      </c>
      <c r="JJ320" s="93">
        <v>152.77778625488281</v>
      </c>
      <c r="JK320" s="93">
        <v>153.61952972412109</v>
      </c>
      <c r="JL320" s="93">
        <v>158.55631256103516</v>
      </c>
      <c r="JM320" s="93">
        <v>187.09151077270508</v>
      </c>
      <c r="JN320" s="20">
        <v>227.44441986083984</v>
      </c>
      <c r="JO320" s="29">
        <v>253</v>
      </c>
      <c r="JP320" s="19">
        <v>197.86715698242188</v>
      </c>
      <c r="JQ320" s="93">
        <v>100</v>
      </c>
      <c r="JR320" s="93">
        <v>158.60215759277344</v>
      </c>
      <c r="JS320" s="93">
        <v>108.69564819335938</v>
      </c>
      <c r="JT320" s="93">
        <v>171.63869094848633</v>
      </c>
      <c r="JU320" s="20">
        <v>103.17258834838867</v>
      </c>
      <c r="JV320" s="29">
        <v>253</v>
      </c>
      <c r="JW320" s="1504">
        <v>44197</v>
      </c>
      <c r="JX320" s="19">
        <v>370500</v>
      </c>
      <c r="JY320" s="93">
        <v>349545</v>
      </c>
      <c r="JZ320" s="93"/>
      <c r="KA320" s="93"/>
      <c r="KB320" s="93">
        <v>361000</v>
      </c>
      <c r="KC320" s="93">
        <v>332000</v>
      </c>
      <c r="KD320" s="20">
        <v>376250</v>
      </c>
      <c r="KE320" s="29">
        <v>253</v>
      </c>
      <c r="KF320" s="19">
        <v>68000</v>
      </c>
      <c r="KG320" s="93">
        <v>48042</v>
      </c>
      <c r="KH320" s="93"/>
      <c r="KI320" s="93">
        <v>87000</v>
      </c>
      <c r="KJ320" s="93">
        <v>58500</v>
      </c>
      <c r="KK320" s="20"/>
      <c r="KL320" s="29">
        <v>253</v>
      </c>
      <c r="KM320" s="19">
        <v>33625</v>
      </c>
      <c r="KN320" s="93">
        <v>18917</v>
      </c>
      <c r="KO320" s="93"/>
      <c r="KP320" s="93">
        <v>63700</v>
      </c>
      <c r="KQ320" s="93">
        <v>42100</v>
      </c>
      <c r="KR320" s="20"/>
      <c r="KS320" s="29">
        <v>253</v>
      </c>
      <c r="KT320" s="19">
        <v>30200</v>
      </c>
      <c r="KU320" s="93">
        <v>26750</v>
      </c>
      <c r="KV320" s="93"/>
      <c r="KW320" s="93">
        <v>34500</v>
      </c>
      <c r="KX320" s="93">
        <v>24700</v>
      </c>
      <c r="KY320" s="20"/>
      <c r="KZ320" s="29">
        <v>253</v>
      </c>
      <c r="LA320" s="1504">
        <v>44197</v>
      </c>
      <c r="LB320" s="19"/>
      <c r="LC320" s="93"/>
      <c r="LD320" s="93"/>
      <c r="LE320" s="93"/>
      <c r="LF320" s="93"/>
      <c r="LG320" s="93"/>
      <c r="LH320" s="20"/>
      <c r="LI320" s="29"/>
      <c r="LJ320" s="19"/>
      <c r="LK320" s="93"/>
      <c r="LL320" s="93"/>
      <c r="LM320" s="93"/>
      <c r="LN320" s="93"/>
      <c r="LO320" s="20"/>
      <c r="LP320" s="29"/>
      <c r="LQ320" s="19"/>
      <c r="LR320" s="93">
        <v>188</v>
      </c>
      <c r="LS320" s="93">
        <v>463</v>
      </c>
      <c r="LT320" s="93">
        <v>663</v>
      </c>
      <c r="LU320" s="93">
        <v>1104</v>
      </c>
      <c r="LV320" s="93"/>
      <c r="LW320" s="93">
        <v>5</v>
      </c>
      <c r="LX320" s="93">
        <v>10</v>
      </c>
      <c r="LY320" s="93">
        <v>60</v>
      </c>
      <c r="LZ320" s="93"/>
      <c r="MA320" s="20"/>
      <c r="MB320" s="29">
        <v>253</v>
      </c>
      <c r="MC320" s="1504">
        <v>44197</v>
      </c>
      <c r="MD320" s="19">
        <v>173.07244385436928</v>
      </c>
      <c r="ME320" s="93">
        <v>171.80370035536927</v>
      </c>
      <c r="MF320" s="93">
        <v>171.80370035536927</v>
      </c>
      <c r="MG320" s="93">
        <v>144.42171878336927</v>
      </c>
      <c r="MH320" s="93">
        <v>62.813241933</v>
      </c>
      <c r="MI320" s="93">
        <v>1.5512086389999999</v>
      </c>
      <c r="MJ320" s="93">
        <v>4.7722099720692999</v>
      </c>
      <c r="MK320" s="93">
        <v>62.327374029299996</v>
      </c>
      <c r="ML320" s="93">
        <v>12.852418362000002</v>
      </c>
      <c r="MM320" s="93">
        <v>0.105265848</v>
      </c>
      <c r="MN320" s="93">
        <v>27.381981571999997</v>
      </c>
      <c r="MO320" s="93">
        <v>0.327304384</v>
      </c>
      <c r="MP320" s="93">
        <v>18.260440249999995</v>
      </c>
      <c r="MQ320" s="93">
        <v>0.13150600399999998</v>
      </c>
      <c r="MR320" s="93">
        <v>7.1839394000000001E-2</v>
      </c>
      <c r="MS320" s="93">
        <v>8.5908915400000012</v>
      </c>
      <c r="MT320" s="93">
        <v>0</v>
      </c>
      <c r="MU320" s="93">
        <v>1.2687434989999999</v>
      </c>
      <c r="MV320" s="93">
        <v>1.2687434989999999</v>
      </c>
      <c r="MW320" s="93">
        <v>0</v>
      </c>
      <c r="MX320" s="93">
        <v>108.58146995531962</v>
      </c>
      <c r="MY320" s="93">
        <v>108.60821889031962</v>
      </c>
      <c r="MZ320" s="93">
        <v>101.29720097050942</v>
      </c>
      <c r="NA320" s="93">
        <v>72.746281530000005</v>
      </c>
      <c r="NB320" s="93">
        <v>1.285568531</v>
      </c>
      <c r="NC320" s="93">
        <v>12.354261187509419</v>
      </c>
      <c r="ND320" s="93">
        <v>11.194865554</v>
      </c>
      <c r="NE320" s="93">
        <v>1.1593956335094198</v>
      </c>
      <c r="NF320" s="93">
        <v>14.911089722000002</v>
      </c>
      <c r="NG320" s="93">
        <v>0.59748268000000004</v>
      </c>
      <c r="NH320" s="93">
        <v>8.5716591660000008E-3</v>
      </c>
      <c r="NI320" s="93">
        <v>0</v>
      </c>
      <c r="NJ320" s="93">
        <v>0</v>
      </c>
      <c r="NK320" s="93">
        <v>7.3110179198101974</v>
      </c>
      <c r="NL320" s="93">
        <v>1.7889710000000001</v>
      </c>
      <c r="NM320" s="93">
        <v>0</v>
      </c>
      <c r="NN320" s="93">
        <v>5.5220469198101974</v>
      </c>
      <c r="NO320" s="93">
        <v>-2.6748935000002385E-2</v>
      </c>
      <c r="NP320" s="93">
        <v>64.490973899049663</v>
      </c>
      <c r="NQ320" s="93">
        <v>63.222230400049654</v>
      </c>
      <c r="NR320" s="93">
        <v>81.09853850736927</v>
      </c>
      <c r="NS320" s="93">
        <v>68.744277319859847</v>
      </c>
      <c r="NT320" s="93">
        <v>-6.4946930169974264</v>
      </c>
      <c r="NU320" s="93">
        <v>-7.7634365159974399</v>
      </c>
      <c r="NV320" s="93">
        <v>6.3878899508883187</v>
      </c>
      <c r="NW320" s="93">
        <v>2.9544369534850534</v>
      </c>
      <c r="NX320" s="93">
        <v>5.3482738108101975</v>
      </c>
      <c r="NY320" s="93">
        <v>-2.3938368573251436</v>
      </c>
      <c r="NZ320" s="93">
        <v>0</v>
      </c>
      <c r="OA320" s="93">
        <v>3.4334529974032657</v>
      </c>
      <c r="OB320" s="93">
        <v>-11.30630451605489</v>
      </c>
      <c r="OC320" s="93">
        <v>14.739757513458157</v>
      </c>
      <c r="OD320" s="20">
        <v>0</v>
      </c>
      <c r="OE320" s="29">
        <v>253</v>
      </c>
      <c r="OF320" s="1504">
        <v>44197</v>
      </c>
      <c r="OG320" s="19"/>
      <c r="OH320" s="93">
        <v>677.28951742907759</v>
      </c>
      <c r="OI320" s="93">
        <v>2245.673037304</v>
      </c>
      <c r="OJ320" s="93">
        <v>1.237594547</v>
      </c>
      <c r="OK320" s="93">
        <v>1950.1990000000001</v>
      </c>
      <c r="OL320" s="93">
        <v>294.23644275699996</v>
      </c>
      <c r="OM320" s="93">
        <v>2922.9625547330775</v>
      </c>
      <c r="ON320" s="93">
        <v>1711.652108319</v>
      </c>
      <c r="OO320" s="93">
        <v>4634.614663052078</v>
      </c>
      <c r="OP320" s="93"/>
      <c r="OQ320" s="93">
        <v>1910.9046273580775</v>
      </c>
      <c r="OR320" s="93">
        <v>289.67362735807762</v>
      </c>
      <c r="OS320" s="93">
        <v>1621.2309999999998</v>
      </c>
      <c r="OT320" s="93">
        <v>3290.8440766990002</v>
      </c>
      <c r="OU320" s="93">
        <v>172.55246757500015</v>
      </c>
      <c r="OV320" s="93">
        <v>-5.1055324249999856</v>
      </c>
      <c r="OW320" s="93">
        <v>177.65800000000013</v>
      </c>
      <c r="OX320" s="93">
        <v>3118.2916091239999</v>
      </c>
      <c r="OY320" s="93">
        <v>7.2936091239999996</v>
      </c>
      <c r="OZ320" s="93">
        <v>3110.998</v>
      </c>
      <c r="PA320" s="93">
        <v>849.43867976299953</v>
      </c>
      <c r="PB320" s="93">
        <v>-282.30463875800012</v>
      </c>
      <c r="PC320" s="20">
        <v>4634.614663052078</v>
      </c>
      <c r="PD320" s="29">
        <v>253</v>
      </c>
      <c r="PE320" s="19"/>
      <c r="PF320" s="93">
        <v>289.67362735807762</v>
      </c>
      <c r="PG320" s="93">
        <v>982.06625492207763</v>
      </c>
      <c r="PH320" s="93">
        <v>692.39262756400001</v>
      </c>
      <c r="PI320" s="93">
        <v>747.5</v>
      </c>
      <c r="PJ320" s="93">
        <v>2.3572497910000152</v>
      </c>
      <c r="PK320" s="93">
        <v>214.71875539000001</v>
      </c>
      <c r="PL320" s="93">
        <v>212.361505599</v>
      </c>
      <c r="PM320" s="93">
        <v>7.2936091239999996</v>
      </c>
      <c r="PN320" s="93">
        <v>2.71</v>
      </c>
      <c r="PO320" s="93">
        <v>0</v>
      </c>
      <c r="PP320" s="93">
        <v>0</v>
      </c>
      <c r="PQ320" s="93">
        <v>4.5836091239999996</v>
      </c>
      <c r="PR320" s="93">
        <v>1058.7911736260776</v>
      </c>
      <c r="PS320" s="93">
        <v>772.77529964507767</v>
      </c>
      <c r="PT320" s="93">
        <v>284.44517111499999</v>
      </c>
      <c r="PU320" s="93">
        <v>1.570702866</v>
      </c>
      <c r="PV320" s="93">
        <v>0</v>
      </c>
      <c r="PW320" s="93">
        <v>0.86406363399999997</v>
      </c>
      <c r="PX320" s="93">
        <v>0</v>
      </c>
      <c r="PY320" s="93">
        <v>0</v>
      </c>
      <c r="PZ320" s="93">
        <v>0.86406363399999997</v>
      </c>
      <c r="QA320" s="93">
        <v>0</v>
      </c>
      <c r="QB320" s="93">
        <v>0</v>
      </c>
      <c r="QC320" s="93">
        <v>0</v>
      </c>
      <c r="QD320" s="93">
        <v>0.98361612899999995</v>
      </c>
      <c r="QE320" s="20">
        <v>-13.814367115999998</v>
      </c>
      <c r="QF320" s="1739">
        <v>253</v>
      </c>
      <c r="QG320" s="19"/>
      <c r="QH320" s="93">
        <v>1621.2309999999998</v>
      </c>
      <c r="QI320" s="93">
        <v>2007.84</v>
      </c>
      <c r="QJ320" s="93">
        <v>-386.60900000000004</v>
      </c>
      <c r="QK320" s="93">
        <v>432.60599999999999</v>
      </c>
      <c r="QL320" s="93">
        <v>88.022999999999996</v>
      </c>
      <c r="QM320" s="93">
        <v>344.58300000000003</v>
      </c>
      <c r="QN320" s="93">
        <v>0</v>
      </c>
      <c r="QO320" s="93">
        <v>177.65800000000013</v>
      </c>
      <c r="QP320" s="93">
        <v>863.59500000000003</v>
      </c>
      <c r="QQ320" s="93">
        <v>-685.9369999999999</v>
      </c>
      <c r="QR320" s="93">
        <v>3110.998</v>
      </c>
      <c r="QS320" s="93">
        <v>68.424000000000007</v>
      </c>
      <c r="QT320" s="93">
        <v>2.1159999999999997</v>
      </c>
      <c r="QU320" s="93">
        <v>229.96300000000002</v>
      </c>
      <c r="QV320" s="93">
        <v>2810.4949999999999</v>
      </c>
      <c r="QW320" s="93"/>
      <c r="QX320" s="93">
        <v>728.01400000000001</v>
      </c>
      <c r="QY320" s="93">
        <v>1950.1990000000001</v>
      </c>
      <c r="QZ320" s="93">
        <v>1711.319</v>
      </c>
      <c r="RA320" s="93">
        <v>0</v>
      </c>
      <c r="RB320" s="93">
        <v>181.39699999999999</v>
      </c>
      <c r="RC320" s="93">
        <v>0</v>
      </c>
      <c r="RD320" s="93">
        <v>25.37</v>
      </c>
      <c r="RE320" s="93">
        <v>0</v>
      </c>
      <c r="RF320" s="93">
        <v>0</v>
      </c>
      <c r="RG320" s="93">
        <v>640.8239999999995</v>
      </c>
      <c r="RH320" s="93">
        <v>105.36999999999995</v>
      </c>
      <c r="RI320" s="93"/>
      <c r="RJ320" s="93"/>
      <c r="RK320" s="93"/>
      <c r="RL320" s="93"/>
      <c r="RM320" s="20"/>
      <c r="RN320" s="29">
        <v>253</v>
      </c>
      <c r="RO320" s="19">
        <v>1510</v>
      </c>
      <c r="RP320" s="20">
        <v>85</v>
      </c>
      <c r="RQ320" s="29">
        <v>253</v>
      </c>
      <c r="RR320" s="734">
        <v>5.8526045999999994</v>
      </c>
      <c r="RS320" s="29">
        <v>253</v>
      </c>
      <c r="RT320" s="1504">
        <v>44197</v>
      </c>
      <c r="RU320" s="19">
        <v>1051</v>
      </c>
      <c r="RV320" s="20">
        <v>32</v>
      </c>
      <c r="RW320" s="29">
        <v>253</v>
      </c>
      <c r="RX320" s="1504">
        <v>44197</v>
      </c>
      <c r="RY320" s="29">
        <v>15819.799999999997</v>
      </c>
      <c r="RZ320" s="734">
        <v>14481.47</v>
      </c>
      <c r="SA320" s="29">
        <v>436365.82946687069</v>
      </c>
      <c r="SB320" s="29">
        <v>253</v>
      </c>
    </row>
    <row r="321" spans="1:496">
      <c r="A321" s="41">
        <f t="shared" si="238"/>
        <v>2021</v>
      </c>
      <c r="B321" s="1504">
        <v>44228</v>
      </c>
      <c r="C321" s="1813">
        <v>2540</v>
      </c>
      <c r="D321" s="1814">
        <v>33693</v>
      </c>
      <c r="E321" s="1814">
        <v>395</v>
      </c>
      <c r="F321" s="1815"/>
      <c r="G321" s="1814">
        <v>84022</v>
      </c>
      <c r="H321" s="1814">
        <v>164</v>
      </c>
      <c r="I321" s="1814">
        <v>29553</v>
      </c>
      <c r="J321" s="1816">
        <v>17522</v>
      </c>
      <c r="K321" s="1807">
        <v>167889</v>
      </c>
      <c r="L321" s="25">
        <v>254</v>
      </c>
      <c r="M321" s="97"/>
      <c r="N321" s="1504">
        <v>44228</v>
      </c>
      <c r="O321" s="19">
        <v>2026</v>
      </c>
      <c r="P321" s="93">
        <v>971</v>
      </c>
      <c r="Q321" s="93">
        <v>12031</v>
      </c>
      <c r="R321" s="93">
        <v>2959</v>
      </c>
      <c r="S321" s="93">
        <v>2476</v>
      </c>
      <c r="T321" s="93">
        <v>1056</v>
      </c>
      <c r="U321" s="93">
        <v>531</v>
      </c>
      <c r="V321" s="93">
        <v>1673</v>
      </c>
      <c r="W321" s="93">
        <v>5549</v>
      </c>
      <c r="X321" s="93">
        <v>1069</v>
      </c>
      <c r="Y321" s="93">
        <v>785</v>
      </c>
      <c r="Z321" s="93">
        <v>1476</v>
      </c>
      <c r="AA321" s="93">
        <v>1091</v>
      </c>
      <c r="AB321" s="20">
        <v>33693</v>
      </c>
      <c r="AC321" s="25">
        <v>254</v>
      </c>
      <c r="AD321" s="97"/>
      <c r="AE321" s="1504">
        <v>44228</v>
      </c>
      <c r="AF321" s="19">
        <v>2721</v>
      </c>
      <c r="AG321" s="93">
        <v>1048</v>
      </c>
      <c r="AH321" s="93">
        <v>3526</v>
      </c>
      <c r="AI321" s="93">
        <v>2850</v>
      </c>
      <c r="AJ321" s="93">
        <v>1733</v>
      </c>
      <c r="AK321" s="93">
        <v>1832</v>
      </c>
      <c r="AL321" s="93">
        <v>699</v>
      </c>
      <c r="AM321" s="93">
        <v>1393</v>
      </c>
      <c r="AN321" s="93">
        <v>7781</v>
      </c>
      <c r="AO321" s="93">
        <v>1558</v>
      </c>
      <c r="AP321" s="93">
        <v>1238</v>
      </c>
      <c r="AQ321" s="93">
        <v>2158</v>
      </c>
      <c r="AR321" s="93">
        <v>1016</v>
      </c>
      <c r="AS321" s="20">
        <v>29553</v>
      </c>
      <c r="AT321" s="25">
        <v>254</v>
      </c>
      <c r="AU321" s="97"/>
      <c r="AV321" s="1504">
        <v>44228</v>
      </c>
      <c r="AW321" s="19">
        <v>10885</v>
      </c>
      <c r="AX321" s="93">
        <v>3862</v>
      </c>
      <c r="AY321" s="93">
        <v>2762</v>
      </c>
      <c r="AZ321" s="93">
        <v>8451</v>
      </c>
      <c r="BA321" s="93">
        <v>6409</v>
      </c>
      <c r="BB321" s="93">
        <v>5990</v>
      </c>
      <c r="BC321" s="93">
        <v>3541</v>
      </c>
      <c r="BD321" s="93">
        <v>8273</v>
      </c>
      <c r="BE321" s="93">
        <v>13655</v>
      </c>
      <c r="BF321" s="93">
        <v>5190</v>
      </c>
      <c r="BG321" s="93">
        <v>4167</v>
      </c>
      <c r="BH321" s="93">
        <v>6176</v>
      </c>
      <c r="BI321" s="93">
        <v>4661</v>
      </c>
      <c r="BJ321" s="20">
        <v>84022</v>
      </c>
      <c r="BK321" s="25">
        <v>254</v>
      </c>
      <c r="BL321" s="97"/>
      <c r="BM321" s="1504">
        <v>44228</v>
      </c>
      <c r="BN321" s="19">
        <v>139.69999999999999</v>
      </c>
      <c r="BO321" s="93">
        <v>1853.1</v>
      </c>
      <c r="BP321" s="93">
        <v>79</v>
      </c>
      <c r="BQ321" s="93">
        <v>756.2</v>
      </c>
      <c r="BR321" s="93">
        <v>28.7</v>
      </c>
      <c r="BS321" s="93">
        <v>295.5</v>
      </c>
      <c r="BT321" s="93">
        <v>490.6</v>
      </c>
      <c r="BU321" s="20">
        <v>3642.9</v>
      </c>
      <c r="BV321" s="25">
        <v>254</v>
      </c>
      <c r="BW321" s="97"/>
      <c r="BX321" s="1504">
        <v>44228</v>
      </c>
      <c r="BY321" s="19">
        <v>542.25729999999999</v>
      </c>
      <c r="BZ321" s="93">
        <v>655.95699999999999</v>
      </c>
      <c r="CA321" s="93">
        <v>604.0213</v>
      </c>
      <c r="CB321" s="93">
        <v>36.741123999999999</v>
      </c>
      <c r="CC321" s="93">
        <v>93.606089999999995</v>
      </c>
      <c r="CD321" s="25">
        <v>254</v>
      </c>
      <c r="CE321" s="97"/>
      <c r="CF321" s="1504">
        <v>44228</v>
      </c>
      <c r="CG321" s="19">
        <v>2.0450055119999999</v>
      </c>
      <c r="CH321" s="93">
        <v>1808.17</v>
      </c>
      <c r="CI321" s="219">
        <v>60.463333333333303</v>
      </c>
      <c r="CJ321" s="20">
        <v>61.96</v>
      </c>
      <c r="CK321" s="19">
        <v>531</v>
      </c>
      <c r="CL321" s="93">
        <v>245.23508240000001</v>
      </c>
      <c r="CM321" s="93">
        <v>0.35692797799999998</v>
      </c>
      <c r="CN321" s="93">
        <v>0.39503963199999997</v>
      </c>
      <c r="CO321" s="568">
        <v>289.39999999999998</v>
      </c>
      <c r="CP321" s="20">
        <v>4.6616689899999999</v>
      </c>
      <c r="CQ321" s="219">
        <v>1993.2059724793701</v>
      </c>
      <c r="CR321" s="93">
        <v>2.02</v>
      </c>
      <c r="CS321" s="93">
        <v>2.3460999999999999</v>
      </c>
      <c r="CT321" s="93">
        <v>88.13</v>
      </c>
      <c r="CU321" s="93">
        <v>163.80000000000001</v>
      </c>
      <c r="CV321" s="214">
        <v>2744.5</v>
      </c>
      <c r="CW321" s="29">
        <v>254</v>
      </c>
      <c r="CX321" s="41">
        <f t="shared" si="239"/>
        <v>2021</v>
      </c>
      <c r="CY321" s="1504">
        <v>44228</v>
      </c>
      <c r="CZ321" s="733">
        <v>149.86329499999999</v>
      </c>
      <c r="DA321" s="570">
        <v>67.20805</v>
      </c>
      <c r="DB321" s="570">
        <v>64.767335467365996</v>
      </c>
      <c r="DC321" s="93"/>
      <c r="DD321" s="93"/>
      <c r="DE321" s="20"/>
      <c r="DF321" s="29">
        <v>254</v>
      </c>
      <c r="DG321" s="1504">
        <v>44228</v>
      </c>
      <c r="DH321" s="19">
        <v>466211</v>
      </c>
      <c r="DI321" s="93">
        <v>5314571</v>
      </c>
      <c r="DJ321" s="93">
        <v>293444</v>
      </c>
      <c r="DK321" s="93">
        <v>20715</v>
      </c>
      <c r="DL321" s="93">
        <v>589701</v>
      </c>
      <c r="DM321" s="93">
        <v>10173</v>
      </c>
      <c r="DN321" s="20">
        <v>1786296</v>
      </c>
      <c r="DO321" s="295">
        <f t="shared" si="282"/>
        <v>8014900</v>
      </c>
      <c r="DP321" s="29">
        <v>254</v>
      </c>
      <c r="DQ321" s="1504">
        <v>44228</v>
      </c>
      <c r="DR321" s="179">
        <v>46667.7</v>
      </c>
      <c r="DS321" s="99">
        <v>813</v>
      </c>
      <c r="DT321" s="99">
        <v>63752.4</v>
      </c>
      <c r="DU321" s="99">
        <v>1779.6980000000001</v>
      </c>
      <c r="DV321" s="99">
        <v>18941.444</v>
      </c>
      <c r="DW321" s="99">
        <v>2485</v>
      </c>
      <c r="DX321" s="132">
        <v>21668.139285714282</v>
      </c>
      <c r="DY321" s="29">
        <v>254</v>
      </c>
      <c r="DZ321" s="1504">
        <v>44228</v>
      </c>
      <c r="EA321" s="19"/>
      <c r="EB321" s="93"/>
      <c r="EC321" s="20"/>
      <c r="ED321" s="29"/>
      <c r="EE321" s="1504">
        <v>44228</v>
      </c>
      <c r="EF321" s="19">
        <f t="shared" ref="EF321:EF343" si="307">EQ321+FB321</f>
        <v>9605</v>
      </c>
      <c r="EG321" s="93">
        <f t="shared" ref="EG321:EG343" si="308">ER321+FC321</f>
        <v>11019</v>
      </c>
      <c r="EH321" s="93">
        <f t="shared" ref="EH321:EH343" si="309">EF321+EG321+EI321</f>
        <v>25005</v>
      </c>
      <c r="EI321" s="214">
        <f t="shared" ref="EI321:EI343" si="310">ET321+FE321</f>
        <v>4381</v>
      </c>
      <c r="EJ321" s="93">
        <f t="shared" ref="EJ321:EJ343" si="311">EU321+FF321</f>
        <v>663.93399999999997</v>
      </c>
      <c r="EK321" s="93">
        <f t="shared" ref="EK321:EK343" si="312">EV321+FG321</f>
        <v>183.89600000000002</v>
      </c>
      <c r="EL321" s="93">
        <f t="shared" ref="EL321:EL343" si="313">EW321+FH321</f>
        <v>4.6100000000000003</v>
      </c>
      <c r="EM321" s="93">
        <f t="shared" ref="EM321:EM343" si="314">EX321+FI321</f>
        <v>8.8559999999999999</v>
      </c>
      <c r="EN321" s="93">
        <f>SUM(EJ321:EM321)</f>
        <v>861.29599999999994</v>
      </c>
      <c r="EO321" s="29">
        <v>254</v>
      </c>
      <c r="EP321" s="1504">
        <v>44228</v>
      </c>
      <c r="EQ321" s="19">
        <v>8999</v>
      </c>
      <c r="ER321" s="93">
        <v>10411</v>
      </c>
      <c r="ES321" s="93">
        <f t="shared" ref="ES321:ES355" si="315">EQ321+ER321</f>
        <v>19410</v>
      </c>
      <c r="ET321" s="214">
        <v>4049</v>
      </c>
      <c r="EU321" s="93">
        <v>663.93399999999997</v>
      </c>
      <c r="EV321" s="93">
        <v>183.49600000000001</v>
      </c>
      <c r="EW321" s="93">
        <v>4.6100000000000003</v>
      </c>
      <c r="EX321" s="93">
        <v>8.8559999999999999</v>
      </c>
      <c r="EY321" s="20">
        <v>860.89599999999996</v>
      </c>
      <c r="EZ321" s="29">
        <v>254</v>
      </c>
      <c r="FA321" s="1504">
        <v>44228</v>
      </c>
      <c r="FB321" s="29">
        <v>606</v>
      </c>
      <c r="FC321" s="29">
        <v>608</v>
      </c>
      <c r="FD321" s="29">
        <f t="shared" ref="FD321:FD355" si="316">FB321+FC321</f>
        <v>1214</v>
      </c>
      <c r="FE321" s="29">
        <v>332</v>
      </c>
      <c r="FF321" s="29">
        <v>0</v>
      </c>
      <c r="FG321" s="29">
        <v>0.4</v>
      </c>
      <c r="FH321" s="29">
        <v>0</v>
      </c>
      <c r="FI321" s="29">
        <v>0</v>
      </c>
      <c r="FJ321" s="29">
        <f>SUM(FF321:FI321)</f>
        <v>0.4</v>
      </c>
      <c r="FK321" s="29">
        <v>254</v>
      </c>
      <c r="FL321" s="1504">
        <v>44228</v>
      </c>
      <c r="FM321" s="19">
        <v>103.89</v>
      </c>
      <c r="FN321" s="93">
        <v>105.98</v>
      </c>
      <c r="FO321" s="93">
        <v>126.15</v>
      </c>
      <c r="FP321" s="93">
        <v>101.31</v>
      </c>
      <c r="FQ321" s="93">
        <v>98.96</v>
      </c>
      <c r="FR321" s="93">
        <v>101.29</v>
      </c>
      <c r="FS321" s="93">
        <v>100.51</v>
      </c>
      <c r="FT321" s="93">
        <v>98.2</v>
      </c>
      <c r="FU321" s="93">
        <v>98.78</v>
      </c>
      <c r="FV321" s="93">
        <v>101.15</v>
      </c>
      <c r="FW321" s="93">
        <v>107.83</v>
      </c>
      <c r="FX321" s="93">
        <v>105.61</v>
      </c>
      <c r="FY321" s="93">
        <v>100.86</v>
      </c>
      <c r="FZ321" s="29">
        <v>254</v>
      </c>
      <c r="GA321" s="1504">
        <v>44228</v>
      </c>
      <c r="GB321" s="19">
        <v>103.89</v>
      </c>
      <c r="GC321" s="93">
        <v>101.68</v>
      </c>
      <c r="GD321" s="93">
        <v>105.42</v>
      </c>
      <c r="GE321" s="93">
        <v>94.86</v>
      </c>
      <c r="GF321" s="93">
        <v>106.4</v>
      </c>
      <c r="GG321" s="93">
        <v>104.47</v>
      </c>
      <c r="GH321" s="93">
        <v>108.35</v>
      </c>
      <c r="GI321" s="93">
        <v>102.34</v>
      </c>
      <c r="GJ321" s="93">
        <v>102.62</v>
      </c>
      <c r="GK321" s="93">
        <v>100.28</v>
      </c>
      <c r="GL321" s="93">
        <v>105.77</v>
      </c>
      <c r="GM321" s="93">
        <v>101.5</v>
      </c>
      <c r="GN321" s="20">
        <v>102.62</v>
      </c>
      <c r="GO321" s="29">
        <v>254</v>
      </c>
      <c r="GP321" s="1504">
        <v>44228</v>
      </c>
      <c r="GQ321" s="19">
        <v>283</v>
      </c>
      <c r="GR321" s="93">
        <v>221</v>
      </c>
      <c r="GS321" s="93">
        <v>247</v>
      </c>
      <c r="GT321" s="93">
        <v>220</v>
      </c>
      <c r="GU321" s="93">
        <v>409</v>
      </c>
      <c r="GV321" s="20">
        <v>959</v>
      </c>
      <c r="GW321" s="19">
        <v>432</v>
      </c>
      <c r="GX321" s="93">
        <v>495</v>
      </c>
      <c r="GY321" s="93">
        <v>448</v>
      </c>
      <c r="GZ321" s="93">
        <v>268</v>
      </c>
      <c r="HA321" s="93">
        <v>161</v>
      </c>
      <c r="HB321" s="20">
        <v>848</v>
      </c>
      <c r="HC321" s="19">
        <v>2755</v>
      </c>
      <c r="HD321" s="93">
        <v>2929</v>
      </c>
      <c r="HE321" s="93">
        <v>3317</v>
      </c>
      <c r="HF321" s="93">
        <v>3150</v>
      </c>
      <c r="HG321" s="93">
        <v>3029</v>
      </c>
      <c r="HH321" s="20">
        <v>3158</v>
      </c>
      <c r="HI321" s="19"/>
      <c r="HJ321" s="93">
        <v>878</v>
      </c>
      <c r="HK321" s="93">
        <v>1533</v>
      </c>
      <c r="HL321" s="93">
        <v>710</v>
      </c>
      <c r="HM321" s="93">
        <v>900</v>
      </c>
      <c r="HN321" s="20">
        <v>2984</v>
      </c>
      <c r="HO321" s="219">
        <v>132</v>
      </c>
      <c r="HP321" s="20">
        <v>99</v>
      </c>
      <c r="HQ321" s="25">
        <v>163</v>
      </c>
      <c r="HR321" s="29">
        <v>254</v>
      </c>
      <c r="HS321" s="1504">
        <v>44228</v>
      </c>
      <c r="HT321" s="179">
        <v>225</v>
      </c>
      <c r="HU321" s="99">
        <v>250</v>
      </c>
      <c r="HV321" s="99">
        <v>205.04731750488281</v>
      </c>
      <c r="HW321" s="99">
        <v>178.57142639160156</v>
      </c>
      <c r="HX321" s="99">
        <v>233.33332824707031</v>
      </c>
      <c r="HY321" s="99">
        <v>225.30864143371582</v>
      </c>
      <c r="HZ321" s="99">
        <v>221.40523529052734</v>
      </c>
      <c r="IA321" s="132">
        <v>248.87484741210938</v>
      </c>
      <c r="IB321" s="179">
        <v>225.80646133422852</v>
      </c>
      <c r="IC321" s="99">
        <v>144.73684692382813</v>
      </c>
      <c r="ID321" s="99">
        <v>233.33332824707031</v>
      </c>
      <c r="IE321" s="99">
        <v>189.25232696533203</v>
      </c>
      <c r="IF321" s="99">
        <v>223.64216613769531</v>
      </c>
      <c r="IG321" s="132">
        <v>143.01074981689453</v>
      </c>
      <c r="IH321" s="179">
        <v>156.43382263183594</v>
      </c>
      <c r="II321" s="99">
        <v>208.33332824707031</v>
      </c>
      <c r="IJ321" s="99">
        <v>185.81080627441406</v>
      </c>
      <c r="IK321" s="99">
        <v>169.64285278320313</v>
      </c>
      <c r="IL321" s="99">
        <v>157.40740704536438</v>
      </c>
      <c r="IM321" s="99">
        <v>155.228759765625</v>
      </c>
      <c r="IN321" s="93">
        <v>194.34629821777344</v>
      </c>
      <c r="IO321" s="132">
        <v>178.97847747802734</v>
      </c>
      <c r="IP321" s="29">
        <v>254</v>
      </c>
      <c r="IQ321" s="19">
        <v>157.84982681274414</v>
      </c>
      <c r="IR321" s="93">
        <v>121.52777862548828</v>
      </c>
      <c r="IS321" s="93">
        <v>133.33332824707031</v>
      </c>
      <c r="IT321" s="93">
        <v>124.60814666748047</v>
      </c>
      <c r="IU321" s="93">
        <v>165.32258605957031</v>
      </c>
      <c r="IV321" s="20">
        <v>119.38202285766602</v>
      </c>
      <c r="IW321" s="29">
        <v>254</v>
      </c>
      <c r="IX321" s="19">
        <v>400</v>
      </c>
      <c r="IY321" s="93">
        <v>484.37500762939453</v>
      </c>
      <c r="IZ321" s="93">
        <v>408.33333333333331</v>
      </c>
      <c r="JA321" s="93">
        <v>350</v>
      </c>
      <c r="JB321" s="93">
        <v>400</v>
      </c>
      <c r="JC321" s="93">
        <v>400</v>
      </c>
      <c r="JD321" s="93">
        <v>370</v>
      </c>
      <c r="JE321" s="20">
        <v>400</v>
      </c>
      <c r="JF321" s="29">
        <v>254</v>
      </c>
      <c r="JG321" s="19">
        <v>166.77631378173828</v>
      </c>
      <c r="JH321" s="93">
        <v>208.33332824707031</v>
      </c>
      <c r="JI321" s="93">
        <v>159.74440002441406</v>
      </c>
      <c r="JJ321" s="93">
        <v>166.66667175292969</v>
      </c>
      <c r="JK321" s="93">
        <v>166.24579620361328</v>
      </c>
      <c r="JL321" s="93">
        <v>169.52734756469727</v>
      </c>
      <c r="JM321" s="93">
        <v>180.69306945800781</v>
      </c>
      <c r="JN321" s="20">
        <v>227.44441986083984</v>
      </c>
      <c r="JO321" s="29">
        <v>254</v>
      </c>
      <c r="JP321" s="19">
        <v>206.83454132080078</v>
      </c>
      <c r="JQ321" s="93">
        <v>109.375</v>
      </c>
      <c r="JR321" s="93">
        <v>161.29032897949219</v>
      </c>
      <c r="JS321" s="93">
        <v>114.3067798614502</v>
      </c>
      <c r="JT321" s="93">
        <v>181.88854598999023</v>
      </c>
      <c r="JU321" s="20">
        <v>114.56185150146484</v>
      </c>
      <c r="JV321" s="29">
        <v>254</v>
      </c>
      <c r="JW321" s="1504">
        <v>44228</v>
      </c>
      <c r="JX321" s="19">
        <v>397500</v>
      </c>
      <c r="JY321" s="93">
        <v>337917</v>
      </c>
      <c r="JZ321" s="93"/>
      <c r="KA321" s="93"/>
      <c r="KB321" s="93">
        <v>355000</v>
      </c>
      <c r="KC321" s="93">
        <v>331250</v>
      </c>
      <c r="KD321" s="20">
        <v>406250</v>
      </c>
      <c r="KE321" s="29">
        <v>254</v>
      </c>
      <c r="KF321" s="19">
        <v>74375</v>
      </c>
      <c r="KG321" s="93">
        <v>51950</v>
      </c>
      <c r="KH321" s="93"/>
      <c r="KI321" s="93">
        <v>95125</v>
      </c>
      <c r="KJ321" s="93">
        <v>60875</v>
      </c>
      <c r="KK321" s="20"/>
      <c r="KL321" s="29">
        <v>254</v>
      </c>
      <c r="KM321" s="19">
        <v>43875</v>
      </c>
      <c r="KN321" s="93">
        <v>20438</v>
      </c>
      <c r="KO321" s="93"/>
      <c r="KP321" s="93">
        <v>54625</v>
      </c>
      <c r="KQ321" s="93">
        <v>38875</v>
      </c>
      <c r="KR321" s="20"/>
      <c r="KS321" s="29">
        <v>254</v>
      </c>
      <c r="KT321" s="19">
        <v>36125</v>
      </c>
      <c r="KU321" s="93">
        <v>27792</v>
      </c>
      <c r="KV321" s="93"/>
      <c r="KW321" s="93">
        <v>36500</v>
      </c>
      <c r="KX321" s="93">
        <v>26250</v>
      </c>
      <c r="KY321" s="20"/>
      <c r="KZ321" s="29">
        <v>254</v>
      </c>
      <c r="LA321" s="1504">
        <v>44228</v>
      </c>
      <c r="LB321" s="19"/>
      <c r="LC321" s="93"/>
      <c r="LD321" s="93"/>
      <c r="LE321" s="93"/>
      <c r="LF321" s="93"/>
      <c r="LG321" s="93"/>
      <c r="LH321" s="20"/>
      <c r="LI321" s="29"/>
      <c r="LJ321" s="19"/>
      <c r="LK321" s="93"/>
      <c r="LL321" s="93"/>
      <c r="LM321" s="93"/>
      <c r="LN321" s="93"/>
      <c r="LO321" s="20"/>
      <c r="LP321" s="29"/>
      <c r="LQ321" s="19"/>
      <c r="LR321" s="93">
        <v>188</v>
      </c>
      <c r="LS321" s="93">
        <v>463</v>
      </c>
      <c r="LT321" s="93">
        <v>663</v>
      </c>
      <c r="LU321" s="93">
        <v>1104</v>
      </c>
      <c r="LV321" s="93"/>
      <c r="LW321" s="93">
        <v>5</v>
      </c>
      <c r="LX321" s="93">
        <v>10</v>
      </c>
      <c r="LY321" s="93">
        <v>60</v>
      </c>
      <c r="LZ321" s="93"/>
      <c r="MA321" s="20"/>
      <c r="MB321" s="29">
        <v>254</v>
      </c>
      <c r="MC321" s="1504">
        <v>44228</v>
      </c>
      <c r="MD321" s="19">
        <v>323.68001784792943</v>
      </c>
      <c r="ME321" s="93">
        <v>292.7101748913193</v>
      </c>
      <c r="MF321" s="93">
        <v>292.7101748913193</v>
      </c>
      <c r="MG321" s="93">
        <v>258.57517546331928</v>
      </c>
      <c r="MH321" s="93">
        <v>83.785277774000008</v>
      </c>
      <c r="MI321" s="93">
        <v>2.8123531449999999</v>
      </c>
      <c r="MJ321" s="93">
        <v>8.1678419480693005</v>
      </c>
      <c r="MK321" s="93">
        <v>134.20587957465003</v>
      </c>
      <c r="ML321" s="93">
        <v>29.399310240000002</v>
      </c>
      <c r="MM321" s="93">
        <v>0.2045127816</v>
      </c>
      <c r="MN321" s="93">
        <v>34.134999427999993</v>
      </c>
      <c r="MO321" s="93">
        <v>0.73194828700000003</v>
      </c>
      <c r="MP321" s="93">
        <v>20.892486059999996</v>
      </c>
      <c r="MQ321" s="93">
        <v>0.22744208399999996</v>
      </c>
      <c r="MR321" s="93">
        <v>7.1839394000000001E-2</v>
      </c>
      <c r="MS321" s="93">
        <v>12.211283603</v>
      </c>
      <c r="MT321" s="93">
        <v>0</v>
      </c>
      <c r="MU321" s="93">
        <v>30.969842956610144</v>
      </c>
      <c r="MV321" s="93">
        <v>30.969842956610144</v>
      </c>
      <c r="MW321" s="93">
        <v>0</v>
      </c>
      <c r="MX321" s="93">
        <v>328.46298376997782</v>
      </c>
      <c r="MY321" s="93">
        <v>328.48973270497783</v>
      </c>
      <c r="MZ321" s="93">
        <v>236.92015291268248</v>
      </c>
      <c r="NA321" s="93">
        <v>150.20188960800002</v>
      </c>
      <c r="NB321" s="93">
        <v>9.0225840040000005</v>
      </c>
      <c r="NC321" s="93">
        <v>22.160521803682439</v>
      </c>
      <c r="ND321" s="93">
        <v>20.021561638000001</v>
      </c>
      <c r="NE321" s="93">
        <v>2.1389601656824397</v>
      </c>
      <c r="NF321" s="93">
        <v>55.535157497</v>
      </c>
      <c r="NG321" s="93">
        <v>1.7063891474999999</v>
      </c>
      <c r="NH321" s="93">
        <v>26.258705666000001</v>
      </c>
      <c r="NI321" s="93">
        <v>0</v>
      </c>
      <c r="NJ321" s="93">
        <v>0</v>
      </c>
      <c r="NK321" s="93">
        <v>91.569579792295357</v>
      </c>
      <c r="NL321" s="93">
        <v>33.600062747000003</v>
      </c>
      <c r="NM321" s="93">
        <v>0.70746944899999997</v>
      </c>
      <c r="NN321" s="93">
        <v>57.262047596295346</v>
      </c>
      <c r="NO321" s="93">
        <v>-2.6748935000002385E-2</v>
      </c>
      <c r="NP321" s="93">
        <v>-4.7829659220483896</v>
      </c>
      <c r="NQ321" s="93">
        <v>-35.752808878658534</v>
      </c>
      <c r="NR321" s="93">
        <v>43.669760521319255</v>
      </c>
      <c r="NS321" s="93">
        <v>21.509238717636809</v>
      </c>
      <c r="NT321" s="93">
        <v>-80.766497262948334</v>
      </c>
      <c r="NU321" s="93">
        <v>-111.73634021955847</v>
      </c>
      <c r="NV321" s="93">
        <v>78.822882107666302</v>
      </c>
      <c r="NW321" s="93">
        <v>23.089097978177524</v>
      </c>
      <c r="NX321" s="93">
        <v>27.387175029685199</v>
      </c>
      <c r="NY321" s="93">
        <v>-4.2980770515076729</v>
      </c>
      <c r="NZ321" s="93">
        <v>0</v>
      </c>
      <c r="OA321" s="93">
        <v>55.733784129488775</v>
      </c>
      <c r="OB321" s="93">
        <v>24.956244295100404</v>
      </c>
      <c r="OC321" s="93">
        <v>30.777539834388367</v>
      </c>
      <c r="OD321" s="20">
        <v>0</v>
      </c>
      <c r="OE321" s="29">
        <v>254</v>
      </c>
      <c r="OF321" s="1504">
        <v>44228</v>
      </c>
      <c r="OG321" s="19"/>
      <c r="OH321" s="93">
        <v>664.31510174878542</v>
      </c>
      <c r="OI321" s="93">
        <v>2280.9538020489999</v>
      </c>
      <c r="OJ321" s="93">
        <v>1.187965065</v>
      </c>
      <c r="OK321" s="93">
        <v>1981.7280000000001</v>
      </c>
      <c r="OL321" s="93">
        <v>298.03783698399997</v>
      </c>
      <c r="OM321" s="93">
        <v>2945.2689037977852</v>
      </c>
      <c r="ON321" s="93">
        <v>1739.3491083190002</v>
      </c>
      <c r="OO321" s="93">
        <v>4684.6180121167854</v>
      </c>
      <c r="OP321" s="93"/>
      <c r="OQ321" s="93">
        <v>2041.9268066490004</v>
      </c>
      <c r="OR321" s="93">
        <v>308.21380664899993</v>
      </c>
      <c r="OS321" s="93">
        <v>1733.7130000000002</v>
      </c>
      <c r="OT321" s="93">
        <v>3252.0626526297851</v>
      </c>
      <c r="OU321" s="93">
        <v>161.99685409878546</v>
      </c>
      <c r="OV321" s="93">
        <v>-4.9291459012144561</v>
      </c>
      <c r="OW321" s="93">
        <v>166.92599999999993</v>
      </c>
      <c r="OX321" s="93">
        <v>3090.0657985309995</v>
      </c>
      <c r="OY321" s="93">
        <v>7.1117985309999998</v>
      </c>
      <c r="OZ321" s="93">
        <v>3082.9539999999997</v>
      </c>
      <c r="PA321" s="93">
        <v>866.0751277060001</v>
      </c>
      <c r="PB321" s="93">
        <v>-256.70368054399978</v>
      </c>
      <c r="PC321" s="20">
        <v>4684.6180121167854</v>
      </c>
      <c r="PD321" s="29">
        <v>254</v>
      </c>
      <c r="PE321" s="19"/>
      <c r="PF321" s="93">
        <v>308.21380664899993</v>
      </c>
      <c r="PG321" s="93">
        <v>1005.0648850959999</v>
      </c>
      <c r="PH321" s="93">
        <v>696.85107844699996</v>
      </c>
      <c r="PI321" s="93">
        <v>711.5</v>
      </c>
      <c r="PJ321" s="93">
        <v>4.677016037000044</v>
      </c>
      <c r="PK321" s="93">
        <v>214.74025383600002</v>
      </c>
      <c r="PL321" s="93">
        <v>210.06323779899998</v>
      </c>
      <c r="PM321" s="93">
        <v>7.1117985309999998</v>
      </c>
      <c r="PN321" s="93">
        <v>2.58</v>
      </c>
      <c r="PO321" s="93">
        <v>0</v>
      </c>
      <c r="PP321" s="93">
        <v>0</v>
      </c>
      <c r="PQ321" s="93">
        <v>4.5317985309999997</v>
      </c>
      <c r="PR321" s="93">
        <v>1034.550898771</v>
      </c>
      <c r="PS321" s="93">
        <v>769.01226368699997</v>
      </c>
      <c r="PT321" s="93">
        <v>264.01756169999999</v>
      </c>
      <c r="PU321" s="93">
        <v>1.5210733839999999</v>
      </c>
      <c r="PV321" s="93">
        <v>0</v>
      </c>
      <c r="PW321" s="93">
        <v>0.87534193599999999</v>
      </c>
      <c r="PX321" s="93">
        <v>0</v>
      </c>
      <c r="PY321" s="93">
        <v>0</v>
      </c>
      <c r="PZ321" s="93">
        <v>0.87534193599999999</v>
      </c>
      <c r="QA321" s="93">
        <v>0</v>
      </c>
      <c r="QB321" s="93">
        <v>0</v>
      </c>
      <c r="QC321" s="93">
        <v>0</v>
      </c>
      <c r="QD321" s="93">
        <v>1.6917857700000001</v>
      </c>
      <c r="QE321" s="20">
        <v>-5.6154052600000011</v>
      </c>
      <c r="QF321" s="1739">
        <v>254</v>
      </c>
      <c r="QG321" s="19"/>
      <c r="QH321" s="93">
        <v>1733.7130000000002</v>
      </c>
      <c r="QI321" s="93">
        <v>2074.6550000000002</v>
      </c>
      <c r="QJ321" s="93">
        <v>-340.94200000000006</v>
      </c>
      <c r="QK321" s="93">
        <v>378.74799999999999</v>
      </c>
      <c r="QL321" s="93">
        <v>95.090999999999994</v>
      </c>
      <c r="QM321" s="93">
        <v>283.65699999999998</v>
      </c>
      <c r="QN321" s="93">
        <v>0</v>
      </c>
      <c r="QO321" s="93">
        <v>166.92599999999993</v>
      </c>
      <c r="QP321" s="93">
        <v>859.77700000000004</v>
      </c>
      <c r="QQ321" s="93">
        <v>-692.85100000000011</v>
      </c>
      <c r="QR321" s="93">
        <v>3082.9539999999997</v>
      </c>
      <c r="QS321" s="93">
        <v>22.545000000000002</v>
      </c>
      <c r="QT321" s="93">
        <v>2.3310000000000004</v>
      </c>
      <c r="QU321" s="93">
        <v>230.959</v>
      </c>
      <c r="QV321" s="93">
        <v>2827.1189999999997</v>
      </c>
      <c r="QW321" s="93"/>
      <c r="QX321" s="93">
        <v>689.90100000000007</v>
      </c>
      <c r="QY321" s="93">
        <v>1981.7280000000001</v>
      </c>
      <c r="QZ321" s="93">
        <v>1739.0160000000001</v>
      </c>
      <c r="RA321" s="93">
        <v>0</v>
      </c>
      <c r="RB321" s="93">
        <v>182.31099999999998</v>
      </c>
      <c r="RC321" s="93">
        <v>0</v>
      </c>
      <c r="RD321" s="93">
        <v>33.295000000000002</v>
      </c>
      <c r="RE321" s="93">
        <v>0</v>
      </c>
      <c r="RF321" s="93">
        <v>0</v>
      </c>
      <c r="RG321" s="93">
        <v>647.90200000000004</v>
      </c>
      <c r="RH321" s="93">
        <v>88.188000000000045</v>
      </c>
      <c r="RI321" s="93"/>
      <c r="RJ321" s="93"/>
      <c r="RK321" s="93"/>
      <c r="RL321" s="93"/>
      <c r="RM321" s="20"/>
      <c r="RN321" s="29">
        <v>254</v>
      </c>
      <c r="RO321" s="19">
        <v>420</v>
      </c>
      <c r="RP321" s="20">
        <v>121</v>
      </c>
      <c r="RQ321" s="29">
        <v>254</v>
      </c>
      <c r="RR321" s="734">
        <v>4.790716999999999</v>
      </c>
      <c r="RS321" s="29">
        <v>254</v>
      </c>
      <c r="RT321" s="1504">
        <v>44228</v>
      </c>
      <c r="RU321" s="19">
        <v>1187</v>
      </c>
      <c r="RV321" s="20">
        <v>30</v>
      </c>
      <c r="RW321" s="29">
        <v>254</v>
      </c>
      <c r="RX321" s="1504">
        <v>44228</v>
      </c>
      <c r="RY321" s="29">
        <v>14879.85</v>
      </c>
      <c r="RZ321" s="734">
        <v>13621.009999999998</v>
      </c>
      <c r="SA321" s="29">
        <v>436609.455471661</v>
      </c>
      <c r="SB321" s="29">
        <v>254</v>
      </c>
    </row>
    <row r="322" spans="1:496">
      <c r="A322" s="41">
        <f t="shared" si="238"/>
        <v>2021</v>
      </c>
      <c r="B322" s="1504">
        <v>44256</v>
      </c>
      <c r="C322" s="1813">
        <v>1864</v>
      </c>
      <c r="D322" s="1814">
        <v>29596</v>
      </c>
      <c r="E322" s="1814">
        <v>63</v>
      </c>
      <c r="F322" s="1815"/>
      <c r="G322" s="1814">
        <v>76226</v>
      </c>
      <c r="H322" s="1814">
        <v>55</v>
      </c>
      <c r="I322" s="1814">
        <v>27403</v>
      </c>
      <c r="J322" s="1816">
        <v>19068</v>
      </c>
      <c r="K322" s="1807">
        <v>154275</v>
      </c>
      <c r="L322" s="25">
        <v>255</v>
      </c>
      <c r="M322" s="97"/>
      <c r="N322" s="1504">
        <v>44256</v>
      </c>
      <c r="O322" s="19">
        <v>1469</v>
      </c>
      <c r="P322" s="93">
        <v>822</v>
      </c>
      <c r="Q322" s="93">
        <v>9670</v>
      </c>
      <c r="R322" s="93">
        <v>2831</v>
      </c>
      <c r="S322" s="93">
        <v>2372</v>
      </c>
      <c r="T322" s="93">
        <v>957</v>
      </c>
      <c r="U322" s="93">
        <v>380</v>
      </c>
      <c r="V322" s="93">
        <v>1491</v>
      </c>
      <c r="W322" s="93">
        <v>4862</v>
      </c>
      <c r="X322" s="93">
        <v>1252</v>
      </c>
      <c r="Y322" s="93">
        <v>635</v>
      </c>
      <c r="Z322" s="93">
        <v>1380</v>
      </c>
      <c r="AA322" s="93">
        <v>1475</v>
      </c>
      <c r="AB322" s="20">
        <v>29596</v>
      </c>
      <c r="AC322" s="25">
        <v>255</v>
      </c>
      <c r="AD322" s="97"/>
      <c r="AE322" s="1504">
        <v>44256</v>
      </c>
      <c r="AF322" s="19">
        <v>2290</v>
      </c>
      <c r="AG322" s="93">
        <v>899</v>
      </c>
      <c r="AH322" s="93">
        <v>3027</v>
      </c>
      <c r="AI322" s="93">
        <v>2526</v>
      </c>
      <c r="AJ322" s="93">
        <v>1833</v>
      </c>
      <c r="AK322" s="93">
        <v>1473</v>
      </c>
      <c r="AL322" s="93">
        <v>802</v>
      </c>
      <c r="AM322" s="93">
        <v>1691</v>
      </c>
      <c r="AN322" s="93">
        <v>7130</v>
      </c>
      <c r="AO322" s="93">
        <v>1506</v>
      </c>
      <c r="AP322" s="93">
        <v>1224</v>
      </c>
      <c r="AQ322" s="93">
        <v>1812</v>
      </c>
      <c r="AR322" s="93">
        <v>1190</v>
      </c>
      <c r="AS322" s="20">
        <v>27403</v>
      </c>
      <c r="AT322" s="25">
        <v>255</v>
      </c>
      <c r="AU322" s="97"/>
      <c r="AV322" s="1504">
        <v>44256</v>
      </c>
      <c r="AW322" s="19">
        <v>9526</v>
      </c>
      <c r="AX322" s="93">
        <v>3425</v>
      </c>
      <c r="AY322" s="93">
        <v>2569</v>
      </c>
      <c r="AZ322" s="93">
        <v>8475</v>
      </c>
      <c r="BA322" s="93">
        <v>4651</v>
      </c>
      <c r="BB322" s="93">
        <v>5061</v>
      </c>
      <c r="BC322" s="93">
        <v>3045</v>
      </c>
      <c r="BD322" s="93">
        <v>7724</v>
      </c>
      <c r="BE322" s="93">
        <v>12688</v>
      </c>
      <c r="BF322" s="93">
        <v>4697</v>
      </c>
      <c r="BG322" s="93">
        <v>3836</v>
      </c>
      <c r="BH322" s="93">
        <v>5875</v>
      </c>
      <c r="BI322" s="93">
        <v>4654</v>
      </c>
      <c r="BJ322" s="20">
        <v>76226</v>
      </c>
      <c r="BK322" s="25">
        <v>255</v>
      </c>
      <c r="BL322" s="97"/>
      <c r="BM322" s="1504">
        <v>44256</v>
      </c>
      <c r="BN322" s="19">
        <v>102.5</v>
      </c>
      <c r="BO322" s="93">
        <v>1627.8</v>
      </c>
      <c r="BP322" s="93">
        <v>12.6</v>
      </c>
      <c r="BQ322" s="93">
        <v>686</v>
      </c>
      <c r="BR322" s="93">
        <v>9.6</v>
      </c>
      <c r="BS322" s="93">
        <v>274</v>
      </c>
      <c r="BT322" s="93">
        <v>533.9</v>
      </c>
      <c r="BU322" s="20">
        <v>3246.5</v>
      </c>
      <c r="BV322" s="25">
        <v>255</v>
      </c>
      <c r="BW322" s="97"/>
      <c r="BX322" s="1504">
        <v>44256</v>
      </c>
      <c r="BY322" s="19">
        <v>551.19949999999994</v>
      </c>
      <c r="BZ322" s="93">
        <v>655.95699999999999</v>
      </c>
      <c r="CA322" s="93">
        <v>592.91600000000005</v>
      </c>
      <c r="CB322" s="93">
        <v>36.823103000000003</v>
      </c>
      <c r="CC322" s="93">
        <v>95.960318999999998</v>
      </c>
      <c r="CD322" s="25">
        <v>255</v>
      </c>
      <c r="CE322" s="97"/>
      <c r="CF322" s="1504">
        <v>44256</v>
      </c>
      <c r="CG322" s="19">
        <v>2.0161249899999998</v>
      </c>
      <c r="CH322" s="93">
        <v>1718.23</v>
      </c>
      <c r="CI322" s="219">
        <v>63.83</v>
      </c>
      <c r="CJ322" s="20">
        <v>65.19</v>
      </c>
      <c r="CK322" s="19">
        <v>504.13</v>
      </c>
      <c r="CL322" s="93">
        <v>245.17209360000001</v>
      </c>
      <c r="CM322" s="93">
        <v>0.34259794799999999</v>
      </c>
      <c r="CN322" s="93">
        <v>0.38870436800000002</v>
      </c>
      <c r="CO322" s="93">
        <v>273.13</v>
      </c>
      <c r="CP322" s="20">
        <v>4.7190993409999997</v>
      </c>
      <c r="CQ322" s="219">
        <v>2006.0389818224601</v>
      </c>
      <c r="CR322" s="93">
        <v>1.996</v>
      </c>
      <c r="CS322" s="93">
        <v>2.3690000000000002</v>
      </c>
      <c r="CT322" s="93">
        <v>96.25</v>
      </c>
      <c r="CU322" s="93">
        <v>168.18</v>
      </c>
      <c r="CV322" s="214">
        <v>2791.94</v>
      </c>
      <c r="CW322" s="29">
        <v>255</v>
      </c>
      <c r="CX322" s="41">
        <f t="shared" si="239"/>
        <v>2021</v>
      </c>
      <c r="CY322" s="1504">
        <v>44256</v>
      </c>
      <c r="CZ322" s="733">
        <v>160.32455299999998</v>
      </c>
      <c r="DA322" s="570">
        <v>79.138615000000001</v>
      </c>
      <c r="DB322" s="570">
        <v>63.176319540792491</v>
      </c>
      <c r="DC322" s="93"/>
      <c r="DD322" s="93"/>
      <c r="DE322" s="20"/>
      <c r="DF322" s="29">
        <v>255</v>
      </c>
      <c r="DG322" s="1504">
        <v>44256</v>
      </c>
      <c r="DH322" s="19">
        <v>469464</v>
      </c>
      <c r="DI322" s="93">
        <v>5448295</v>
      </c>
      <c r="DJ322" s="93">
        <v>309852</v>
      </c>
      <c r="DK322" s="93">
        <v>19025</v>
      </c>
      <c r="DL322" s="93">
        <v>528195</v>
      </c>
      <c r="DM322" s="93">
        <v>7643</v>
      </c>
      <c r="DN322" s="20">
        <v>1617221</v>
      </c>
      <c r="DO322" s="295">
        <f t="shared" si="282"/>
        <v>7930231</v>
      </c>
      <c r="DP322" s="29">
        <v>255</v>
      </c>
      <c r="DQ322" s="1504">
        <v>44256</v>
      </c>
      <c r="DR322" s="179">
        <v>53192.2</v>
      </c>
      <c r="DS322" s="99">
        <v>761</v>
      </c>
      <c r="DT322" s="99">
        <v>73312.447</v>
      </c>
      <c r="DU322" s="99">
        <v>6390.2129999999997</v>
      </c>
      <c r="DV322" s="99">
        <v>26420.935000000001</v>
      </c>
      <c r="DW322" s="99">
        <v>2573</v>
      </c>
      <c r="DX322" s="132">
        <v>18594.214285714283</v>
      </c>
      <c r="DY322" s="29">
        <v>255</v>
      </c>
      <c r="DZ322" s="1504">
        <v>44256</v>
      </c>
      <c r="EA322" s="19"/>
      <c r="EB322" s="93"/>
      <c r="EC322" s="20"/>
      <c r="ED322" s="29"/>
      <c r="EE322" s="1504">
        <v>44256</v>
      </c>
      <c r="EF322" s="19">
        <f t="shared" si="307"/>
        <v>10574</v>
      </c>
      <c r="EG322" s="93">
        <f t="shared" si="308"/>
        <v>11858</v>
      </c>
      <c r="EH322" s="93">
        <f t="shared" si="309"/>
        <v>28121</v>
      </c>
      <c r="EI322" s="214">
        <f t="shared" si="310"/>
        <v>5689</v>
      </c>
      <c r="EJ322" s="93">
        <f t="shared" si="311"/>
        <v>748.18999999999994</v>
      </c>
      <c r="EK322" s="93">
        <f t="shared" si="312"/>
        <v>263.02300000000002</v>
      </c>
      <c r="EL322" s="93">
        <f t="shared" si="313"/>
        <v>6.5510000000000002</v>
      </c>
      <c r="EM322" s="93">
        <f t="shared" si="314"/>
        <v>12.068</v>
      </c>
      <c r="EN322" s="93">
        <f t="shared" ref="EN322:EN343" si="317">SUM(EJ322:EM322)</f>
        <v>1029.8320000000001</v>
      </c>
      <c r="EO322" s="29">
        <v>255</v>
      </c>
      <c r="EP322" s="1504">
        <v>44256</v>
      </c>
      <c r="EQ322" s="19">
        <v>9941</v>
      </c>
      <c r="ER322" s="93">
        <v>11248</v>
      </c>
      <c r="ES322" s="93">
        <f t="shared" si="315"/>
        <v>21189</v>
      </c>
      <c r="ET322" s="214">
        <v>5430</v>
      </c>
      <c r="EU322" s="93">
        <v>746.13</v>
      </c>
      <c r="EV322" s="93">
        <v>260.68400000000003</v>
      </c>
      <c r="EW322" s="93">
        <v>6.5510000000000002</v>
      </c>
      <c r="EX322" s="93">
        <v>12.068</v>
      </c>
      <c r="EY322" s="20">
        <v>1025.433</v>
      </c>
      <c r="EZ322" s="29">
        <v>255</v>
      </c>
      <c r="FA322" s="1504">
        <v>44256</v>
      </c>
      <c r="FB322" s="29">
        <v>633</v>
      </c>
      <c r="FC322" s="29">
        <v>610</v>
      </c>
      <c r="FD322" s="29">
        <f t="shared" si="316"/>
        <v>1243</v>
      </c>
      <c r="FE322" s="29">
        <v>259</v>
      </c>
      <c r="FF322" s="29">
        <v>2.06</v>
      </c>
      <c r="FG322" s="29">
        <v>2.339</v>
      </c>
      <c r="FH322" s="29">
        <v>0</v>
      </c>
      <c r="FI322" s="29">
        <v>0</v>
      </c>
      <c r="FJ322" s="29">
        <f t="shared" ref="FJ322:FJ330" si="318">SUM(FF322:FI322)</f>
        <v>4.399</v>
      </c>
      <c r="FK322" s="29">
        <v>255</v>
      </c>
      <c r="FL322" s="1504">
        <v>44256</v>
      </c>
      <c r="FM322" s="19">
        <v>104.54</v>
      </c>
      <c r="FN322" s="93">
        <v>107.19</v>
      </c>
      <c r="FO322" s="93">
        <v>125.66</v>
      </c>
      <c r="FP322" s="93">
        <v>101.31</v>
      </c>
      <c r="FQ322" s="93">
        <v>99.86</v>
      </c>
      <c r="FR322" s="93">
        <v>101.29</v>
      </c>
      <c r="FS322" s="93">
        <v>100.51</v>
      </c>
      <c r="FT322" s="93">
        <v>98.31</v>
      </c>
      <c r="FU322" s="93">
        <v>98.78</v>
      </c>
      <c r="FV322" s="93">
        <v>101.15</v>
      </c>
      <c r="FW322" s="93">
        <v>107.83</v>
      </c>
      <c r="FX322" s="93">
        <v>105.38</v>
      </c>
      <c r="FY322" s="93">
        <v>100.86</v>
      </c>
      <c r="FZ322" s="29">
        <v>255</v>
      </c>
      <c r="GA322" s="1504">
        <v>44256</v>
      </c>
      <c r="GB322" s="19">
        <v>104.54</v>
      </c>
      <c r="GC322" s="93">
        <v>101.69</v>
      </c>
      <c r="GD322" s="93">
        <v>106.26</v>
      </c>
      <c r="GE322" s="93">
        <v>95.96</v>
      </c>
      <c r="GF322" s="93">
        <v>108.32</v>
      </c>
      <c r="GG322" s="93">
        <v>104.49</v>
      </c>
      <c r="GH322" s="93">
        <v>109.75</v>
      </c>
      <c r="GI322" s="93">
        <v>102.51</v>
      </c>
      <c r="GJ322" s="93">
        <v>102.62</v>
      </c>
      <c r="GK322" s="93">
        <v>100.27</v>
      </c>
      <c r="GL322" s="93">
        <v>106.62</v>
      </c>
      <c r="GM322" s="93">
        <v>101.51</v>
      </c>
      <c r="GN322" s="20">
        <v>102.62</v>
      </c>
      <c r="GO322" s="29">
        <v>255</v>
      </c>
      <c r="GP322" s="1504">
        <v>44256</v>
      </c>
      <c r="GQ322" s="19">
        <v>292</v>
      </c>
      <c r="GR322" s="93">
        <v>238</v>
      </c>
      <c r="GS322" s="93">
        <v>248</v>
      </c>
      <c r="GT322" s="93">
        <v>208</v>
      </c>
      <c r="GU322" s="93">
        <v>397</v>
      </c>
      <c r="GV322" s="20">
        <v>1009</v>
      </c>
      <c r="GW322" s="19">
        <v>460</v>
      </c>
      <c r="GX322" s="93">
        <v>488</v>
      </c>
      <c r="GY322" s="93">
        <v>445</v>
      </c>
      <c r="GZ322" s="93">
        <v>227</v>
      </c>
      <c r="HA322" s="93">
        <v>186</v>
      </c>
      <c r="HB322" s="20">
        <v>773</v>
      </c>
      <c r="HC322" s="19">
        <v>2464</v>
      </c>
      <c r="HD322" s="93">
        <v>2886</v>
      </c>
      <c r="HE322" s="93">
        <v>3224</v>
      </c>
      <c r="HF322" s="93">
        <v>3150</v>
      </c>
      <c r="HG322" s="93">
        <v>3061</v>
      </c>
      <c r="HH322" s="20">
        <v>2994</v>
      </c>
      <c r="HI322" s="19"/>
      <c r="HJ322" s="93">
        <v>872</v>
      </c>
      <c r="HK322" s="93">
        <v>1710</v>
      </c>
      <c r="HL322" s="93">
        <v>759</v>
      </c>
      <c r="HM322" s="93">
        <v>900</v>
      </c>
      <c r="HN322" s="20">
        <v>3274</v>
      </c>
      <c r="HO322" s="219">
        <v>128</v>
      </c>
      <c r="HP322" s="20">
        <v>99</v>
      </c>
      <c r="HQ322" s="25">
        <v>165</v>
      </c>
      <c r="HR322" s="29">
        <v>255</v>
      </c>
      <c r="HS322" s="1504">
        <v>44256</v>
      </c>
      <c r="HT322" s="179">
        <v>241.06094360351563</v>
      </c>
      <c r="HU322" s="99">
        <v>268.51851399739581</v>
      </c>
      <c r="HV322" s="99">
        <v>217.40106582641602</v>
      </c>
      <c r="HW322" s="99">
        <v>155.42857055664064</v>
      </c>
      <c r="HX322" s="99">
        <v>243.33333129882811</v>
      </c>
      <c r="HY322" s="99">
        <v>243.67634836832681</v>
      </c>
      <c r="HZ322" s="99">
        <v>232.02615051269532</v>
      </c>
      <c r="IA322" s="132">
        <v>242.83494758605957</v>
      </c>
      <c r="IB322" s="179">
        <v>250.43637084960938</v>
      </c>
      <c r="IC322" s="99">
        <v>154.85829544067383</v>
      </c>
      <c r="ID322" s="99">
        <v>241.65739440917969</v>
      </c>
      <c r="IE322" s="99">
        <v>226.79739074707032</v>
      </c>
      <c r="IF322" s="99">
        <v>226.41245117187501</v>
      </c>
      <c r="IG322" s="132">
        <v>156.03760528564453</v>
      </c>
      <c r="IH322" s="179">
        <v>166.96866416931152</v>
      </c>
      <c r="II322" s="99">
        <v>216.81649017333984</v>
      </c>
      <c r="IJ322" s="99">
        <v>190.5204963684082</v>
      </c>
      <c r="IK322" s="99">
        <v>182.14285583496093</v>
      </c>
      <c r="IL322" s="99">
        <v>181.10842895507813</v>
      </c>
      <c r="IM322" s="99">
        <v>160.47860412597657</v>
      </c>
      <c r="IN322" s="93">
        <v>194.34629821777344</v>
      </c>
      <c r="IO322" s="132">
        <v>165.33381462097168</v>
      </c>
      <c r="IP322" s="29">
        <v>255</v>
      </c>
      <c r="IQ322" s="19">
        <v>163.15250549316406</v>
      </c>
      <c r="IR322" s="93">
        <v>130.45634841918945</v>
      </c>
      <c r="IS322" s="93">
        <v>139.94252014160156</v>
      </c>
      <c r="IT322" s="93">
        <v>137.26578674316406</v>
      </c>
      <c r="IU322" s="93">
        <v>175.74349060058594</v>
      </c>
      <c r="IV322" s="20">
        <v>132.55268478393555</v>
      </c>
      <c r="IW322" s="29">
        <v>255</v>
      </c>
      <c r="IX322" s="19">
        <v>404.76190694173175</v>
      </c>
      <c r="IY322" s="93">
        <v>484.54301071166992</v>
      </c>
      <c r="IZ322" s="93">
        <v>413.13130950927734</v>
      </c>
      <c r="JA322" s="93">
        <v>350</v>
      </c>
      <c r="JB322" s="93">
        <v>390</v>
      </c>
      <c r="JC322" s="93">
        <v>400</v>
      </c>
      <c r="JD322" s="93">
        <v>370</v>
      </c>
      <c r="JE322" s="20">
        <v>400</v>
      </c>
      <c r="JF322" s="29">
        <v>255</v>
      </c>
      <c r="JG322" s="19">
        <v>180.04299545288086</v>
      </c>
      <c r="JH322" s="93">
        <v>216.81649017333984</v>
      </c>
      <c r="JI322" s="93">
        <v>172.14764404296875</v>
      </c>
      <c r="JJ322" s="93">
        <v>143.26241455078124</v>
      </c>
      <c r="JK322" s="93">
        <v>178.45117797851563</v>
      </c>
      <c r="JL322" s="93">
        <v>156.41261545817056</v>
      </c>
      <c r="JM322" s="93">
        <v>164.30467224121094</v>
      </c>
      <c r="JN322" s="20">
        <v>225.80957412719727</v>
      </c>
      <c r="JO322" s="29">
        <v>255</v>
      </c>
      <c r="JP322" s="19">
        <v>209.76646118164064</v>
      </c>
      <c r="JQ322" s="93">
        <v>120.48953247070313</v>
      </c>
      <c r="JR322" s="93">
        <v>164.87455749511719</v>
      </c>
      <c r="JS322" s="93">
        <v>130.03934631347656</v>
      </c>
      <c r="JT322" s="93">
        <v>188.22745361328126</v>
      </c>
      <c r="JU322" s="20">
        <v>125.20847129821777</v>
      </c>
      <c r="JV322" s="29">
        <v>255</v>
      </c>
      <c r="JW322" s="1504">
        <v>44256</v>
      </c>
      <c r="JX322" s="19">
        <v>408750</v>
      </c>
      <c r="JY322" s="93">
        <v>360385</v>
      </c>
      <c r="JZ322" s="93"/>
      <c r="KA322" s="93"/>
      <c r="KB322" s="93">
        <v>425000</v>
      </c>
      <c r="KC322" s="93">
        <v>365000</v>
      </c>
      <c r="KD322" s="20">
        <v>412692</v>
      </c>
      <c r="KE322" s="29">
        <v>255</v>
      </c>
      <c r="KF322" s="19">
        <v>66875</v>
      </c>
      <c r="KG322" s="93">
        <v>52038</v>
      </c>
      <c r="KH322" s="93"/>
      <c r="KI322" s="93">
        <v>99375</v>
      </c>
      <c r="KJ322" s="93">
        <v>64375</v>
      </c>
      <c r="KK322" s="20"/>
      <c r="KL322" s="29">
        <v>255</v>
      </c>
      <c r="KM322" s="19">
        <v>37625</v>
      </c>
      <c r="KN322" s="93">
        <v>18731</v>
      </c>
      <c r="KO322" s="93"/>
      <c r="KP322" s="93">
        <v>54625</v>
      </c>
      <c r="KQ322" s="93">
        <v>44625</v>
      </c>
      <c r="KR322" s="20"/>
      <c r="KS322" s="29">
        <v>255</v>
      </c>
      <c r="KT322" s="19">
        <v>31875</v>
      </c>
      <c r="KU322" s="93">
        <v>32769</v>
      </c>
      <c r="KV322" s="93"/>
      <c r="KW322" s="93">
        <v>40000</v>
      </c>
      <c r="KX322" s="93">
        <v>24000</v>
      </c>
      <c r="KY322" s="20"/>
      <c r="KZ322" s="29">
        <v>255</v>
      </c>
      <c r="LA322" s="1504">
        <v>44256</v>
      </c>
      <c r="LB322" s="19"/>
      <c r="LC322" s="93"/>
      <c r="LD322" s="93"/>
      <c r="LE322" s="93"/>
      <c r="LF322" s="93"/>
      <c r="LG322" s="93"/>
      <c r="LH322" s="20"/>
      <c r="LI322" s="29"/>
      <c r="LJ322" s="19"/>
      <c r="LK322" s="93"/>
      <c r="LL322" s="93"/>
      <c r="LM322" s="93"/>
      <c r="LN322" s="93"/>
      <c r="LO322" s="20"/>
      <c r="LP322" s="29"/>
      <c r="LQ322" s="19"/>
      <c r="LR322" s="93">
        <v>188</v>
      </c>
      <c r="LS322" s="93">
        <v>463</v>
      </c>
      <c r="LT322" s="93">
        <v>663</v>
      </c>
      <c r="LU322" s="93">
        <v>1104</v>
      </c>
      <c r="LV322" s="93"/>
      <c r="LW322" s="93">
        <v>5</v>
      </c>
      <c r="LX322" s="93">
        <v>10</v>
      </c>
      <c r="LY322" s="93">
        <v>60</v>
      </c>
      <c r="LZ322" s="93"/>
      <c r="MA322" s="20"/>
      <c r="MB322" s="29">
        <v>255</v>
      </c>
      <c r="MC322" s="1504">
        <v>44256</v>
      </c>
      <c r="MD322" s="19">
        <v>480.68446300822188</v>
      </c>
      <c r="ME322" s="93">
        <v>417.60603207491926</v>
      </c>
      <c r="MF322" s="93">
        <v>417.60603207491926</v>
      </c>
      <c r="MG322" s="93">
        <v>369.60097639491926</v>
      </c>
      <c r="MH322" s="93">
        <v>109.512588472</v>
      </c>
      <c r="MI322" s="93">
        <v>4.0643226519999995</v>
      </c>
      <c r="MJ322" s="93">
        <v>11.946294202069302</v>
      </c>
      <c r="MK322" s="93">
        <v>196.60051780625002</v>
      </c>
      <c r="ML322" s="93">
        <v>47.177456575999997</v>
      </c>
      <c r="MM322" s="93">
        <v>0.29979668660000003</v>
      </c>
      <c r="MN322" s="93">
        <v>48.005055679999991</v>
      </c>
      <c r="MO322" s="93">
        <v>1.1211989580000001</v>
      </c>
      <c r="MP322" s="93">
        <v>23.877582101999995</v>
      </c>
      <c r="MQ322" s="93">
        <v>0.34293978399999997</v>
      </c>
      <c r="MR322" s="93">
        <v>8.4885983000000012E-2</v>
      </c>
      <c r="MS322" s="93">
        <v>22.578448853000001</v>
      </c>
      <c r="MT322" s="93">
        <v>0</v>
      </c>
      <c r="MU322" s="93">
        <v>63.078430933302585</v>
      </c>
      <c r="MV322" s="93">
        <v>45.876479366302583</v>
      </c>
      <c r="MW322" s="93">
        <v>17.201951567000002</v>
      </c>
      <c r="MX322" s="93">
        <v>676.74344637898457</v>
      </c>
      <c r="MY322" s="93">
        <v>677.66987842898459</v>
      </c>
      <c r="MZ322" s="93">
        <v>483.88584800018202</v>
      </c>
      <c r="NA322" s="93">
        <v>223.17168586899999</v>
      </c>
      <c r="NB322" s="93">
        <v>21.290615824</v>
      </c>
      <c r="NC322" s="93">
        <v>28.525344576182025</v>
      </c>
      <c r="ND322" s="93">
        <v>24.770651538000003</v>
      </c>
      <c r="NE322" s="93">
        <v>3.7546930381820256</v>
      </c>
      <c r="NF322" s="93">
        <v>210.898201731</v>
      </c>
      <c r="NG322" s="93">
        <v>2.6566437650000005</v>
      </c>
      <c r="NH322" s="93">
        <v>45.725219248999998</v>
      </c>
      <c r="NI322" s="93">
        <v>0</v>
      </c>
      <c r="NJ322" s="93">
        <v>1.207614341</v>
      </c>
      <c r="NK322" s="93">
        <v>193.78403042880262</v>
      </c>
      <c r="NL322" s="93">
        <v>82.553110325000006</v>
      </c>
      <c r="NM322" s="93">
        <v>0.70746944899999997</v>
      </c>
      <c r="NN322" s="93">
        <v>110.52345065480259</v>
      </c>
      <c r="NO322" s="93">
        <v>-0.92643205000000228</v>
      </c>
      <c r="NP322" s="93">
        <v>-196.05898337076272</v>
      </c>
      <c r="NQ322" s="93">
        <v>-259.13741430406526</v>
      </c>
      <c r="NR322" s="93">
        <v>-120.08861907308074</v>
      </c>
      <c r="NS322" s="93">
        <v>-148.61396364926273</v>
      </c>
      <c r="NT322" s="93">
        <v>-197.61833437771267</v>
      </c>
      <c r="NU322" s="93">
        <v>-260.69676531101527</v>
      </c>
      <c r="NV322" s="93">
        <v>199.84426543374065</v>
      </c>
      <c r="NW322" s="93">
        <v>73.025374593937372</v>
      </c>
      <c r="NX322" s="93">
        <v>83.452780678499991</v>
      </c>
      <c r="NY322" s="93">
        <v>-10.427406084562639</v>
      </c>
      <c r="NZ322" s="93">
        <v>0</v>
      </c>
      <c r="OA322" s="93">
        <v>126.81889083980327</v>
      </c>
      <c r="OB322" s="93">
        <v>93.579438576200971</v>
      </c>
      <c r="OC322" s="93">
        <v>33.23945226360231</v>
      </c>
      <c r="OD322" s="20">
        <v>0</v>
      </c>
      <c r="OE322" s="29">
        <v>255</v>
      </c>
      <c r="OF322" s="1504">
        <v>44256</v>
      </c>
      <c r="OG322" s="19"/>
      <c r="OH322" s="93">
        <v>681.38280337900005</v>
      </c>
      <c r="OI322" s="93">
        <v>2453.5429812570001</v>
      </c>
      <c r="OJ322" s="93">
        <v>0.48147002700000002</v>
      </c>
      <c r="OK322" s="93">
        <v>2151.4610000000002</v>
      </c>
      <c r="OL322" s="93">
        <v>301.60051123</v>
      </c>
      <c r="OM322" s="93">
        <v>3134.9257846360001</v>
      </c>
      <c r="ON322" s="93">
        <v>1762.0371083190003</v>
      </c>
      <c r="OO322" s="93">
        <v>4896.9628929549999</v>
      </c>
      <c r="OP322" s="93"/>
      <c r="OQ322" s="93">
        <v>2326.5949514840004</v>
      </c>
      <c r="OR322" s="93">
        <v>539.54095148400006</v>
      </c>
      <c r="OS322" s="93">
        <v>1787.0540000000003</v>
      </c>
      <c r="OT322" s="93">
        <v>3216.7188229919998</v>
      </c>
      <c r="OU322" s="93">
        <v>136.16543067900002</v>
      </c>
      <c r="OV322" s="93">
        <v>-175.88356932099995</v>
      </c>
      <c r="OW322" s="93">
        <v>312.04899999999998</v>
      </c>
      <c r="OX322" s="93">
        <v>3080.5533923129997</v>
      </c>
      <c r="OY322" s="93">
        <v>7.1163923130000004</v>
      </c>
      <c r="OZ322" s="93">
        <v>3073.4369999999999</v>
      </c>
      <c r="PA322" s="93">
        <v>863.43405237999991</v>
      </c>
      <c r="PB322" s="93">
        <v>-217.05717085899994</v>
      </c>
      <c r="PC322" s="20">
        <v>4896.9368929550001</v>
      </c>
      <c r="PD322" s="29">
        <v>255</v>
      </c>
      <c r="PE322" s="19"/>
      <c r="PF322" s="93">
        <v>539.54095148400006</v>
      </c>
      <c r="PG322" s="93">
        <v>1005.2361606870001</v>
      </c>
      <c r="PH322" s="93">
        <v>465.69520920299999</v>
      </c>
      <c r="PI322" s="93">
        <v>697.2</v>
      </c>
      <c r="PJ322" s="93">
        <v>-169.31836698299995</v>
      </c>
      <c r="PK322" s="93">
        <v>214.65690882200002</v>
      </c>
      <c r="PL322" s="93">
        <v>383.97527580499997</v>
      </c>
      <c r="PM322" s="93">
        <v>7.1163923130000004</v>
      </c>
      <c r="PN322" s="93">
        <v>2.58</v>
      </c>
      <c r="PO322" s="93">
        <v>0</v>
      </c>
      <c r="PP322" s="93">
        <v>0</v>
      </c>
      <c r="PQ322" s="93">
        <v>4.5363923130000003</v>
      </c>
      <c r="PR322" s="93">
        <v>1070.7016604299999</v>
      </c>
      <c r="PS322" s="93">
        <v>777.48000571700004</v>
      </c>
      <c r="PT322" s="93">
        <v>292.407076367</v>
      </c>
      <c r="PU322" s="93">
        <v>0.81457834600000001</v>
      </c>
      <c r="PV322" s="93">
        <v>0</v>
      </c>
      <c r="PW322" s="93">
        <v>7.4579295000000004E-2</v>
      </c>
      <c r="PX322" s="93">
        <v>0</v>
      </c>
      <c r="PY322" s="93">
        <v>0</v>
      </c>
      <c r="PZ322" s="93">
        <v>7.4579295000000004E-2</v>
      </c>
      <c r="QA322" s="93">
        <v>0</v>
      </c>
      <c r="QB322" s="93">
        <v>0</v>
      </c>
      <c r="QC322" s="93">
        <v>0</v>
      </c>
      <c r="QD322" s="93">
        <v>2.4274730849999999</v>
      </c>
      <c r="QE322" s="20">
        <v>1.3352640040000003</v>
      </c>
      <c r="QF322" s="1739">
        <v>255</v>
      </c>
      <c r="QG322" s="19"/>
      <c r="QH322" s="93">
        <v>1787.0540000000003</v>
      </c>
      <c r="QI322" s="93">
        <v>2105.7050000000004</v>
      </c>
      <c r="QJ322" s="93">
        <v>-318.65100000000001</v>
      </c>
      <c r="QK322" s="93">
        <v>384.95</v>
      </c>
      <c r="QL322" s="93">
        <v>89.531999999999996</v>
      </c>
      <c r="QM322" s="93">
        <v>295.41800000000001</v>
      </c>
      <c r="QN322" s="93">
        <v>0</v>
      </c>
      <c r="QO322" s="93">
        <v>312.04899999999998</v>
      </c>
      <c r="QP322" s="93">
        <v>1008.967</v>
      </c>
      <c r="QQ322" s="93">
        <v>-696.91800000000001</v>
      </c>
      <c r="QR322" s="93">
        <v>3073.4369999999999</v>
      </c>
      <c r="QS322" s="93">
        <v>24.734999999999999</v>
      </c>
      <c r="QT322" s="93">
        <v>5.484</v>
      </c>
      <c r="QU322" s="93">
        <v>241.50500000000002</v>
      </c>
      <c r="QV322" s="93">
        <v>2801.7129999999997</v>
      </c>
      <c r="QW322" s="93"/>
      <c r="QX322" s="93">
        <v>696.255</v>
      </c>
      <c r="QY322" s="93">
        <v>2151.4610000000002</v>
      </c>
      <c r="QZ322" s="93">
        <v>1761.704</v>
      </c>
      <c r="RA322" s="93">
        <v>0</v>
      </c>
      <c r="RB322" s="93">
        <v>177.43700000000001</v>
      </c>
      <c r="RC322" s="93">
        <v>0</v>
      </c>
      <c r="RD322" s="93">
        <v>29.001999999999995</v>
      </c>
      <c r="RE322" s="93">
        <v>0</v>
      </c>
      <c r="RF322" s="93">
        <v>0</v>
      </c>
      <c r="RG322" s="93">
        <v>654.49299999999994</v>
      </c>
      <c r="RH322" s="93">
        <v>87.164000000000044</v>
      </c>
      <c r="RI322" s="93"/>
      <c r="RJ322" s="93"/>
      <c r="RK322" s="93"/>
      <c r="RL322" s="93"/>
      <c r="RM322" s="20"/>
      <c r="RN322" s="29">
        <v>255</v>
      </c>
      <c r="RO322" s="19">
        <v>839</v>
      </c>
      <c r="RP322" s="20">
        <v>196</v>
      </c>
      <c r="RQ322" s="29">
        <v>255</v>
      </c>
      <c r="RR322" s="734">
        <v>6.530805</v>
      </c>
      <c r="RS322" s="29">
        <v>255</v>
      </c>
      <c r="RT322" s="1504">
        <v>44256</v>
      </c>
      <c r="RU322" s="19">
        <v>1156</v>
      </c>
      <c r="RV322" s="20">
        <v>31</v>
      </c>
      <c r="RW322" s="29">
        <v>255</v>
      </c>
      <c r="RX322" s="1504">
        <v>44256</v>
      </c>
      <c r="RY322" s="29">
        <v>18117.7</v>
      </c>
      <c r="RZ322" s="734">
        <v>16584.89</v>
      </c>
      <c r="SA322" s="29">
        <v>449347.49477030744</v>
      </c>
      <c r="SB322" s="29">
        <v>255</v>
      </c>
    </row>
    <row r="323" spans="1:496">
      <c r="A323" s="41">
        <f t="shared" si="238"/>
        <v>2021</v>
      </c>
      <c r="B323" s="1504">
        <v>44287</v>
      </c>
      <c r="C323" s="1813">
        <v>2506</v>
      </c>
      <c r="D323" s="1814">
        <v>32215</v>
      </c>
      <c r="E323" s="1814">
        <v>104</v>
      </c>
      <c r="F323" s="1815"/>
      <c r="G323" s="1814">
        <v>90208</v>
      </c>
      <c r="H323" s="1814">
        <v>33</v>
      </c>
      <c r="I323" s="1814">
        <v>29623</v>
      </c>
      <c r="J323" s="1816">
        <v>20706</v>
      </c>
      <c r="K323" s="1807">
        <v>175395</v>
      </c>
      <c r="L323" s="25">
        <v>256</v>
      </c>
      <c r="M323" s="97"/>
      <c r="N323" s="1504">
        <v>44287</v>
      </c>
      <c r="O323" s="19">
        <v>1809</v>
      </c>
      <c r="P323" s="93">
        <v>1352</v>
      </c>
      <c r="Q323" s="93">
        <v>10533</v>
      </c>
      <c r="R323" s="93">
        <v>3098</v>
      </c>
      <c r="S323" s="93">
        <v>2184</v>
      </c>
      <c r="T323" s="93">
        <v>848</v>
      </c>
      <c r="U323" s="93">
        <v>362</v>
      </c>
      <c r="V323" s="93">
        <v>1534</v>
      </c>
      <c r="W323" s="93">
        <v>5482</v>
      </c>
      <c r="X323" s="93">
        <v>1068</v>
      </c>
      <c r="Y323" s="93">
        <v>551</v>
      </c>
      <c r="Z323" s="93">
        <v>1598</v>
      </c>
      <c r="AA323" s="93">
        <v>1796</v>
      </c>
      <c r="AB323" s="20">
        <v>32215</v>
      </c>
      <c r="AC323" s="25">
        <v>256</v>
      </c>
      <c r="AD323" s="97"/>
      <c r="AE323" s="1504">
        <v>44287</v>
      </c>
      <c r="AF323" s="19">
        <v>2499</v>
      </c>
      <c r="AG323" s="93">
        <v>960</v>
      </c>
      <c r="AH323" s="93">
        <v>3568</v>
      </c>
      <c r="AI323" s="93">
        <v>3280</v>
      </c>
      <c r="AJ323" s="93">
        <v>1742</v>
      </c>
      <c r="AK323" s="93">
        <v>1858</v>
      </c>
      <c r="AL323" s="93">
        <v>778</v>
      </c>
      <c r="AM323" s="93">
        <v>1573</v>
      </c>
      <c r="AN323" s="93">
        <v>8155</v>
      </c>
      <c r="AO323" s="93">
        <v>1470</v>
      </c>
      <c r="AP323" s="93">
        <v>1231</v>
      </c>
      <c r="AQ323" s="93">
        <v>1252</v>
      </c>
      <c r="AR323" s="93">
        <v>1257</v>
      </c>
      <c r="AS323" s="20">
        <v>29623</v>
      </c>
      <c r="AT323" s="25">
        <v>256</v>
      </c>
      <c r="AU323" s="97"/>
      <c r="AV323" s="1504">
        <v>44287</v>
      </c>
      <c r="AW323" s="19">
        <v>10116</v>
      </c>
      <c r="AX323" s="93">
        <v>3627</v>
      </c>
      <c r="AY323" s="93">
        <v>3255</v>
      </c>
      <c r="AZ323" s="93">
        <v>11537</v>
      </c>
      <c r="BA323" s="93">
        <v>6574</v>
      </c>
      <c r="BB323" s="93">
        <v>5961</v>
      </c>
      <c r="BC323" s="93">
        <v>3470</v>
      </c>
      <c r="BD323" s="93">
        <v>10570</v>
      </c>
      <c r="BE323" s="93">
        <v>14655</v>
      </c>
      <c r="BF323" s="93">
        <v>4422</v>
      </c>
      <c r="BG323" s="93">
        <v>3930</v>
      </c>
      <c r="BH323" s="93">
        <v>6593</v>
      </c>
      <c r="BI323" s="93">
        <v>5498</v>
      </c>
      <c r="BJ323" s="20">
        <v>90208</v>
      </c>
      <c r="BK323" s="25">
        <v>256</v>
      </c>
      <c r="BL323" s="97"/>
      <c r="BM323" s="1504">
        <v>44287</v>
      </c>
      <c r="BN323" s="19">
        <v>137.80000000000001</v>
      </c>
      <c r="BO323" s="93">
        <v>1771.8</v>
      </c>
      <c r="BP323" s="93">
        <v>20.8</v>
      </c>
      <c r="BQ323" s="93">
        <v>811.9</v>
      </c>
      <c r="BR323" s="93">
        <v>5.8</v>
      </c>
      <c r="BS323" s="93">
        <v>296.2</v>
      </c>
      <c r="BT323" s="93">
        <v>579.79999999999995</v>
      </c>
      <c r="BU323" s="20">
        <v>3624.1</v>
      </c>
      <c r="BV323" s="25">
        <v>256</v>
      </c>
      <c r="BW323" s="97"/>
      <c r="BX323" s="1504">
        <v>44287</v>
      </c>
      <c r="BY323" s="19">
        <v>548.00160000000005</v>
      </c>
      <c r="BZ323" s="93">
        <v>655.95699999999999</v>
      </c>
      <c r="CA323" s="93">
        <v>594.58929999999998</v>
      </c>
      <c r="CB323" s="93">
        <v>38.014927999999998</v>
      </c>
      <c r="CC323" s="93">
        <v>94.988721999999996</v>
      </c>
      <c r="CD323" s="25">
        <v>256</v>
      </c>
      <c r="CE323" s="97"/>
      <c r="CF323" s="1504">
        <v>44287</v>
      </c>
      <c r="CG323" s="19">
        <v>2.0002517260000001</v>
      </c>
      <c r="CH323" s="93">
        <v>1760.04</v>
      </c>
      <c r="CI323" s="219">
        <v>62.95</v>
      </c>
      <c r="CJ323" s="20">
        <v>64.77</v>
      </c>
      <c r="CK323" s="19">
        <v>477.38</v>
      </c>
      <c r="CL323" s="93">
        <v>268.23386799999997</v>
      </c>
      <c r="CM323" s="93">
        <v>0.35626659199999999</v>
      </c>
      <c r="CN323" s="93">
        <v>0.390500448</v>
      </c>
      <c r="CO323" s="93">
        <v>280.95</v>
      </c>
      <c r="CP323" s="20">
        <v>5.1724794440000004</v>
      </c>
      <c r="CQ323" s="219">
        <v>2020.63680170152</v>
      </c>
      <c r="CR323" s="93">
        <v>1.915</v>
      </c>
      <c r="CS323" s="93">
        <v>2.1535000000000002</v>
      </c>
      <c r="CT323" s="93">
        <v>95</v>
      </c>
      <c r="CU323" s="93">
        <v>179.83</v>
      </c>
      <c r="CV323" s="214">
        <v>2829.01</v>
      </c>
      <c r="CW323" s="29">
        <v>256</v>
      </c>
      <c r="CX323" s="41">
        <f t="shared" si="239"/>
        <v>2021</v>
      </c>
      <c r="CY323" s="1504">
        <v>44287</v>
      </c>
      <c r="CZ323" s="733">
        <v>192.780136</v>
      </c>
      <c r="DA323" s="570">
        <v>101.350775</v>
      </c>
      <c r="DB323" s="570">
        <v>73.298033614219094</v>
      </c>
      <c r="DC323" s="93"/>
      <c r="DD323" s="93"/>
      <c r="DE323" s="20"/>
      <c r="DF323" s="29">
        <v>256</v>
      </c>
      <c r="DG323" s="1504">
        <v>44287</v>
      </c>
      <c r="DH323" s="19">
        <v>470866</v>
      </c>
      <c r="DI323" s="93">
        <v>5672322</v>
      </c>
      <c r="DJ323" s="93">
        <v>290903</v>
      </c>
      <c r="DK323" s="93">
        <v>20922</v>
      </c>
      <c r="DL323" s="93">
        <v>615460</v>
      </c>
      <c r="DM323" s="93">
        <v>7595</v>
      </c>
      <c r="DN323" s="20">
        <v>1902199</v>
      </c>
      <c r="DO323" s="295">
        <f t="shared" si="282"/>
        <v>8509401</v>
      </c>
      <c r="DP323" s="29">
        <v>256</v>
      </c>
      <c r="DQ323" s="1504">
        <v>44287</v>
      </c>
      <c r="DR323" s="179">
        <v>56179.5</v>
      </c>
      <c r="DS323" s="99">
        <v>479.5</v>
      </c>
      <c r="DT323" s="99">
        <v>70947.399999999994</v>
      </c>
      <c r="DU323" s="99">
        <v>5093.8599999999997</v>
      </c>
      <c r="DV323" s="99">
        <v>24850.112000000001</v>
      </c>
      <c r="DW323" s="99">
        <v>2945</v>
      </c>
      <c r="DX323" s="132">
        <v>16750.32857142857</v>
      </c>
      <c r="DY323" s="29">
        <v>256</v>
      </c>
      <c r="DZ323" s="1504">
        <v>44287</v>
      </c>
      <c r="EA323" s="19"/>
      <c r="EB323" s="93"/>
      <c r="EC323" s="20"/>
      <c r="ED323" s="29"/>
      <c r="EE323" s="1504">
        <v>44287</v>
      </c>
      <c r="EF323" s="19">
        <f t="shared" si="307"/>
        <v>10708</v>
      </c>
      <c r="EG323" s="93">
        <f t="shared" si="308"/>
        <v>11979</v>
      </c>
      <c r="EH323" s="93">
        <f t="shared" si="309"/>
        <v>28022</v>
      </c>
      <c r="EI323" s="214">
        <f t="shared" si="310"/>
        <v>5335</v>
      </c>
      <c r="EJ323" s="93">
        <f t="shared" si="311"/>
        <v>691.45299999999997</v>
      </c>
      <c r="EK323" s="93">
        <f t="shared" si="312"/>
        <v>323.00900000000001</v>
      </c>
      <c r="EL323" s="93">
        <f t="shared" si="313"/>
        <v>6.3520000000000003</v>
      </c>
      <c r="EM323" s="93">
        <f t="shared" si="314"/>
        <v>14.786</v>
      </c>
      <c r="EN323" s="93">
        <f t="shared" si="317"/>
        <v>1035.5999999999999</v>
      </c>
      <c r="EO323" s="29">
        <v>256</v>
      </c>
      <c r="EP323" s="1504">
        <v>44287</v>
      </c>
      <c r="EQ323" s="19">
        <v>10078</v>
      </c>
      <c r="ER323" s="93">
        <v>11342</v>
      </c>
      <c r="ES323" s="93">
        <f t="shared" si="315"/>
        <v>21420</v>
      </c>
      <c r="ET323" s="214">
        <v>5111</v>
      </c>
      <c r="EU323" s="93">
        <v>686.54</v>
      </c>
      <c r="EV323" s="93">
        <v>204.58600000000001</v>
      </c>
      <c r="EW323" s="93">
        <v>6.3520000000000003</v>
      </c>
      <c r="EX323" s="93">
        <v>14.786</v>
      </c>
      <c r="EY323" s="93">
        <v>912.26400000000001</v>
      </c>
      <c r="EZ323" s="29">
        <v>256</v>
      </c>
      <c r="FA323" s="1504">
        <v>44287</v>
      </c>
      <c r="FB323" s="29">
        <v>630</v>
      </c>
      <c r="FC323" s="29">
        <v>637</v>
      </c>
      <c r="FD323" s="29">
        <f t="shared" si="316"/>
        <v>1267</v>
      </c>
      <c r="FE323" s="29">
        <v>224</v>
      </c>
      <c r="FF323" s="29">
        <v>4.9130000000000003</v>
      </c>
      <c r="FG323" s="29">
        <v>118.423</v>
      </c>
      <c r="FH323" s="29">
        <v>0</v>
      </c>
      <c r="FI323" s="29">
        <v>0</v>
      </c>
      <c r="FJ323" s="29">
        <f t="shared" si="318"/>
        <v>123.336</v>
      </c>
      <c r="FK323" s="29">
        <v>256</v>
      </c>
      <c r="FL323" s="1504">
        <v>44287</v>
      </c>
      <c r="FM323" s="19">
        <v>106.17</v>
      </c>
      <c r="FN323" s="93">
        <v>109.95</v>
      </c>
      <c r="FO323" s="93">
        <v>132.72999999999999</v>
      </c>
      <c r="FP323" s="93">
        <v>101.31</v>
      </c>
      <c r="FQ323" s="93">
        <v>99.67</v>
      </c>
      <c r="FR323" s="93">
        <v>101.29</v>
      </c>
      <c r="FS323" s="93">
        <v>100.51</v>
      </c>
      <c r="FT323" s="93">
        <v>98.46</v>
      </c>
      <c r="FU323" s="93">
        <v>98.78</v>
      </c>
      <c r="FV323" s="93">
        <v>101.15</v>
      </c>
      <c r="FW323" s="93">
        <v>107.83</v>
      </c>
      <c r="FX323" s="93">
        <v>105.42</v>
      </c>
      <c r="FY323" s="93">
        <v>100.86</v>
      </c>
      <c r="FZ323" s="29">
        <v>256</v>
      </c>
      <c r="GA323" s="1504">
        <v>44287</v>
      </c>
      <c r="GB323" s="19">
        <v>106.17</v>
      </c>
      <c r="GC323" s="93">
        <v>102.37</v>
      </c>
      <c r="GD323" s="93">
        <v>108.35</v>
      </c>
      <c r="GE323" s="93">
        <v>95.96</v>
      </c>
      <c r="GF323" s="93">
        <v>113.86</v>
      </c>
      <c r="GG323" s="93">
        <v>104.65</v>
      </c>
      <c r="GH323" s="93">
        <v>113.85</v>
      </c>
      <c r="GI323" s="93">
        <v>102.78</v>
      </c>
      <c r="GJ323" s="93">
        <v>102.62</v>
      </c>
      <c r="GK323" s="93">
        <v>100.27</v>
      </c>
      <c r="GL323" s="93">
        <v>109.14</v>
      </c>
      <c r="GM323" s="93">
        <v>101.51</v>
      </c>
      <c r="GN323" s="20">
        <v>102.62</v>
      </c>
      <c r="GO323" s="29">
        <v>256</v>
      </c>
      <c r="GP323" s="1504">
        <v>44287</v>
      </c>
      <c r="GQ323" s="19">
        <v>282</v>
      </c>
      <c r="GR323" s="93">
        <v>230</v>
      </c>
      <c r="GS323" s="93">
        <v>247</v>
      </c>
      <c r="GT323" s="93">
        <v>223</v>
      </c>
      <c r="GU323" s="93">
        <v>387</v>
      </c>
      <c r="GV323" s="20">
        <v>1031</v>
      </c>
      <c r="GW323" s="19">
        <v>421</v>
      </c>
      <c r="GX323" s="93">
        <v>514</v>
      </c>
      <c r="GY323" s="93">
        <v>449</v>
      </c>
      <c r="GZ323" s="93">
        <v>298</v>
      </c>
      <c r="HA323" s="93">
        <v>291</v>
      </c>
      <c r="HB323" s="20">
        <v>870</v>
      </c>
      <c r="HC323" s="19">
        <v>2435</v>
      </c>
      <c r="HD323" s="93">
        <v>2882</v>
      </c>
      <c r="HE323" s="93">
        <v>3361</v>
      </c>
      <c r="HF323" s="93">
        <v>3150</v>
      </c>
      <c r="HG323" s="93">
        <v>3080</v>
      </c>
      <c r="HH323" s="20">
        <v>3180</v>
      </c>
      <c r="HI323" s="19"/>
      <c r="HJ323" s="93">
        <v>881</v>
      </c>
      <c r="HK323" s="93">
        <v>1576</v>
      </c>
      <c r="HL323" s="93">
        <v>785</v>
      </c>
      <c r="HM323" s="93">
        <v>900</v>
      </c>
      <c r="HN323" s="20">
        <v>3122</v>
      </c>
      <c r="HO323" s="219">
        <v>132</v>
      </c>
      <c r="HP323" s="20">
        <v>99</v>
      </c>
      <c r="HQ323" s="25">
        <v>156</v>
      </c>
      <c r="HR323" s="29">
        <v>256</v>
      </c>
      <c r="HS323" s="1504">
        <v>44287</v>
      </c>
      <c r="HT323" s="179">
        <v>259.69728088378906</v>
      </c>
      <c r="HU323" s="99">
        <v>263.88888549804688</v>
      </c>
      <c r="HV323" s="99">
        <v>221.51898193359375</v>
      </c>
      <c r="HW323" s="99">
        <v>178.57142639160156</v>
      </c>
      <c r="HX323" s="99">
        <v>250</v>
      </c>
      <c r="HY323" s="99">
        <v>254.40341186523438</v>
      </c>
      <c r="HZ323" s="99">
        <v>241.0130729675293</v>
      </c>
      <c r="IA323" s="132">
        <v>242.22159767150879</v>
      </c>
      <c r="IB323" s="179">
        <v>267.85714721679688</v>
      </c>
      <c r="IC323" s="99">
        <v>166.66666030883789</v>
      </c>
      <c r="ID323" s="99">
        <v>231.18280029296875</v>
      </c>
      <c r="IE323" s="99">
        <v>255.71895217895508</v>
      </c>
      <c r="IF323" s="99">
        <v>241.87306594848633</v>
      </c>
      <c r="IG323" s="132">
        <v>169.83956909179688</v>
      </c>
      <c r="IH323" s="179">
        <v>176.09127235412598</v>
      </c>
      <c r="II323" s="99">
        <v>226.40026245117187</v>
      </c>
      <c r="IJ323" s="99">
        <v>203.38983154296875</v>
      </c>
      <c r="IK323" s="99">
        <v>194.19643020629883</v>
      </c>
      <c r="IL323" s="99">
        <v>189.87023162841797</v>
      </c>
      <c r="IM323" s="99">
        <v>176.61291122436523</v>
      </c>
      <c r="IN323" s="93">
        <v>198.76325988769531</v>
      </c>
      <c r="IO323" s="132">
        <v>192.0901985168457</v>
      </c>
      <c r="IP323" s="29">
        <v>256</v>
      </c>
      <c r="IQ323" s="19">
        <v>175.09025573730469</v>
      </c>
      <c r="IR323" s="93">
        <v>138.88888549804688</v>
      </c>
      <c r="IS323" s="93">
        <v>141.66666666666666</v>
      </c>
      <c r="IT323" s="93">
        <v>150.99009704589844</v>
      </c>
      <c r="IU323" s="93">
        <v>189.8734130859375</v>
      </c>
      <c r="IV323" s="20">
        <v>144.44444580078124</v>
      </c>
      <c r="IW323" s="29">
        <v>256</v>
      </c>
      <c r="IX323" s="19">
        <v>403.57143020629883</v>
      </c>
      <c r="IY323" s="93">
        <v>394.6236511230469</v>
      </c>
      <c r="IZ323" s="93">
        <v>410.35353851318359</v>
      </c>
      <c r="JA323" s="93">
        <v>350</v>
      </c>
      <c r="JB323" s="93">
        <v>390</v>
      </c>
      <c r="JC323" s="93">
        <v>400</v>
      </c>
      <c r="JD323" s="93">
        <v>370</v>
      </c>
      <c r="JE323" s="20"/>
      <c r="JF323" s="29">
        <v>256</v>
      </c>
      <c r="JG323" s="19">
        <v>197.25704193115234</v>
      </c>
      <c r="JH323" s="93">
        <v>215.47130126953124</v>
      </c>
      <c r="JI323" s="93">
        <v>188.30128479003906</v>
      </c>
      <c r="JJ323" s="93">
        <v>107.14286041259766</v>
      </c>
      <c r="JK323" s="93">
        <v>185.1851806640625</v>
      </c>
      <c r="JL323" s="93">
        <v>183.67502593994141</v>
      </c>
      <c r="JM323" s="93">
        <v>198.52941513061523</v>
      </c>
      <c r="JN323" s="20">
        <v>225.26462554931641</v>
      </c>
      <c r="JO323" s="29">
        <v>256</v>
      </c>
      <c r="JP323" s="19">
        <v>203.83275985717773</v>
      </c>
      <c r="JQ323" s="93">
        <v>123.1527099609375</v>
      </c>
      <c r="JR323" s="93">
        <v>172.22222391764322</v>
      </c>
      <c r="JS323" s="93">
        <v>154.22077941894531</v>
      </c>
      <c r="JT323" s="93">
        <v>186.01191711425781</v>
      </c>
      <c r="JU323" s="20">
        <v>135.52084045410157</v>
      </c>
      <c r="JV323" s="29">
        <v>256</v>
      </c>
      <c r="JW323" s="1504">
        <v>44287</v>
      </c>
      <c r="JX323" s="19">
        <v>466667</v>
      </c>
      <c r="JY323" s="93">
        <v>333929</v>
      </c>
      <c r="JZ323" s="93"/>
      <c r="KA323" s="93"/>
      <c r="KB323" s="93">
        <v>434000</v>
      </c>
      <c r="KC323" s="93">
        <v>341250</v>
      </c>
      <c r="KD323" s="20">
        <v>418636</v>
      </c>
      <c r="KE323" s="29">
        <v>256</v>
      </c>
      <c r="KF323" s="19">
        <v>70833</v>
      </c>
      <c r="KG323" s="93">
        <v>54192</v>
      </c>
      <c r="KH323" s="93"/>
      <c r="KI323" s="93">
        <v>96000</v>
      </c>
      <c r="KJ323" s="93">
        <v>66250</v>
      </c>
      <c r="KK323" s="20"/>
      <c r="KL323" s="29">
        <v>256</v>
      </c>
      <c r="KM323" s="19">
        <v>37167</v>
      </c>
      <c r="KN323" s="93">
        <v>20538</v>
      </c>
      <c r="KO323" s="93"/>
      <c r="KP323" s="93">
        <v>66100</v>
      </c>
      <c r="KQ323" s="93">
        <v>44750</v>
      </c>
      <c r="KR323" s="20"/>
      <c r="KS323" s="29">
        <v>256</v>
      </c>
      <c r="KT323" s="19">
        <v>34167</v>
      </c>
      <c r="KU323" s="93">
        <v>31000</v>
      </c>
      <c r="KV323" s="93"/>
      <c r="KW323" s="93">
        <v>41700</v>
      </c>
      <c r="KX323" s="93">
        <v>23750</v>
      </c>
      <c r="KY323" s="20"/>
      <c r="KZ323" s="29">
        <v>256</v>
      </c>
      <c r="LA323" s="1504">
        <v>44287</v>
      </c>
      <c r="LB323" s="19"/>
      <c r="LC323" s="93"/>
      <c r="LD323" s="93"/>
      <c r="LE323" s="93"/>
      <c r="LF323" s="93"/>
      <c r="LG323" s="93"/>
      <c r="LH323" s="20"/>
      <c r="LI323" s="29"/>
      <c r="LJ323" s="19"/>
      <c r="LK323" s="93"/>
      <c r="LL323" s="93"/>
      <c r="LM323" s="93"/>
      <c r="LN323" s="93"/>
      <c r="LO323" s="20"/>
      <c r="LP323" s="29"/>
      <c r="LQ323" s="19"/>
      <c r="LR323" s="93">
        <v>188</v>
      </c>
      <c r="LS323" s="93">
        <v>463</v>
      </c>
      <c r="LT323" s="93">
        <v>663</v>
      </c>
      <c r="LU323" s="93">
        <v>1104</v>
      </c>
      <c r="LV323" s="93"/>
      <c r="LW323" s="93">
        <v>5</v>
      </c>
      <c r="LX323" s="93">
        <v>10</v>
      </c>
      <c r="LY323" s="93">
        <v>60</v>
      </c>
      <c r="LZ323" s="93"/>
      <c r="MA323" s="20"/>
      <c r="MB323" s="29">
        <v>256</v>
      </c>
      <c r="MC323" s="1504">
        <v>44287</v>
      </c>
      <c r="MD323" s="19">
        <v>648.44262144621825</v>
      </c>
      <c r="ME323" s="93">
        <v>583.40104912204072</v>
      </c>
      <c r="MF323" s="93">
        <v>583.40104912204072</v>
      </c>
      <c r="MG323" s="93">
        <v>521.59269493264071</v>
      </c>
      <c r="MH323" s="93">
        <v>172.80213647000002</v>
      </c>
      <c r="MI323" s="93">
        <v>5.4481364339999994</v>
      </c>
      <c r="MJ323" s="93">
        <v>16.120016599640731</v>
      </c>
      <c r="MK323" s="93">
        <v>263.08332496240001</v>
      </c>
      <c r="ML323" s="93">
        <v>63.707955011999992</v>
      </c>
      <c r="MM323" s="93">
        <v>0.43112545460000007</v>
      </c>
      <c r="MN323" s="93">
        <v>61.808354189399992</v>
      </c>
      <c r="MO323" s="93">
        <v>1.6125591780000001</v>
      </c>
      <c r="MP323" s="93">
        <v>26.398420517999995</v>
      </c>
      <c r="MQ323" s="93">
        <v>0.53258899699999995</v>
      </c>
      <c r="MR323" s="93">
        <v>0.22358743900000003</v>
      </c>
      <c r="MS323" s="93">
        <v>33.041198057400003</v>
      </c>
      <c r="MT323" s="93">
        <v>0</v>
      </c>
      <c r="MU323" s="93">
        <v>65.041572324177579</v>
      </c>
      <c r="MV323" s="93">
        <v>47.839620757177578</v>
      </c>
      <c r="MW323" s="93">
        <v>17.201951567000002</v>
      </c>
      <c r="MX323" s="93">
        <v>845.21912791630871</v>
      </c>
      <c r="MY323" s="93">
        <v>848.12024941930883</v>
      </c>
      <c r="MZ323" s="93">
        <v>614.81530718525619</v>
      </c>
      <c r="NA323" s="93">
        <v>304.28658486433335</v>
      </c>
      <c r="NB323" s="93">
        <v>31.168053215</v>
      </c>
      <c r="NC323" s="93">
        <v>48.608553379922853</v>
      </c>
      <c r="ND323" s="93">
        <v>40.085173017999992</v>
      </c>
      <c r="NE323" s="93">
        <v>8.5233803619228663</v>
      </c>
      <c r="NF323" s="93">
        <v>230.752115726</v>
      </c>
      <c r="NG323" s="93">
        <v>3.5395678699999999</v>
      </c>
      <c r="NH323" s="93">
        <v>47.623958748999996</v>
      </c>
      <c r="NI323" s="93">
        <v>0</v>
      </c>
      <c r="NJ323" s="93">
        <v>4.1783134280000001</v>
      </c>
      <c r="NK323" s="93">
        <v>233.30494223405259</v>
      </c>
      <c r="NL323" s="93">
        <v>98.402429939000001</v>
      </c>
      <c r="NM323" s="93">
        <v>1.228661548</v>
      </c>
      <c r="NN323" s="93">
        <v>133.6738507470526</v>
      </c>
      <c r="NO323" s="93">
        <v>-2.9011215029999895</v>
      </c>
      <c r="NP323" s="93">
        <v>-196.77650647009048</v>
      </c>
      <c r="NQ323" s="93">
        <v>-261.81807879426805</v>
      </c>
      <c r="NR323" s="93">
        <v>-79.535674667292682</v>
      </c>
      <c r="NS323" s="93">
        <v>-128.14422804721553</v>
      </c>
      <c r="NT323" s="93">
        <v>-277.96112056088043</v>
      </c>
      <c r="NU323" s="93">
        <v>-343.00269288505802</v>
      </c>
      <c r="NV323" s="93">
        <v>283.32171530951484</v>
      </c>
      <c r="NW323" s="93">
        <v>87.587433656611537</v>
      </c>
      <c r="NX323" s="93">
        <v>104.64003937987501</v>
      </c>
      <c r="NY323" s="93">
        <v>-17.052605723263472</v>
      </c>
      <c r="NZ323" s="93">
        <v>0</v>
      </c>
      <c r="OA323" s="93">
        <v>195.73428165290329</v>
      </c>
      <c r="OB323" s="93">
        <v>49.414669912076732</v>
      </c>
      <c r="OC323" s="93">
        <v>146.31961174082656</v>
      </c>
      <c r="OD323" s="20">
        <v>0</v>
      </c>
      <c r="OE323" s="29">
        <v>256</v>
      </c>
      <c r="OF323" s="1504">
        <v>44287</v>
      </c>
      <c r="OG323" s="19"/>
      <c r="OH323" s="93">
        <v>694.81758351500014</v>
      </c>
      <c r="OI323" s="93">
        <v>2437.1786688339998</v>
      </c>
      <c r="OJ323" s="93">
        <v>0.36515760399999997</v>
      </c>
      <c r="OK323" s="93">
        <v>2135.2129999999997</v>
      </c>
      <c r="OL323" s="93">
        <v>301.60051123</v>
      </c>
      <c r="OM323" s="93">
        <v>3131.9962523489999</v>
      </c>
      <c r="ON323" s="93">
        <v>1804.7231083190002</v>
      </c>
      <c r="OO323" s="93">
        <v>4936.7193606680003</v>
      </c>
      <c r="OP323" s="93"/>
      <c r="OQ323" s="93">
        <v>2391.8779095509999</v>
      </c>
      <c r="OR323" s="93">
        <v>616.07190955100009</v>
      </c>
      <c r="OS323" s="93">
        <v>1775.8059999999996</v>
      </c>
      <c r="OT323" s="93">
        <v>3174.552579141</v>
      </c>
      <c r="OU323" s="93">
        <v>101.73259242299986</v>
      </c>
      <c r="OV323" s="93">
        <v>-241.14040757700008</v>
      </c>
      <c r="OW323" s="93">
        <v>342.87299999999993</v>
      </c>
      <c r="OX323" s="93">
        <v>3072.8199867180001</v>
      </c>
      <c r="OY323" s="93">
        <v>8.1649867179999998</v>
      </c>
      <c r="OZ323" s="93">
        <v>3064.6550000000002</v>
      </c>
      <c r="PA323" s="93">
        <v>850.31781818199988</v>
      </c>
      <c r="PB323" s="93">
        <v>-220.60669015800153</v>
      </c>
      <c r="PC323" s="20">
        <v>4936.7193606680012</v>
      </c>
      <c r="PD323" s="29">
        <v>20</v>
      </c>
      <c r="PE323" s="19"/>
      <c r="PF323" s="93">
        <v>616.07190955100009</v>
      </c>
      <c r="PG323" s="93">
        <v>1079.950681322</v>
      </c>
      <c r="PH323" s="93">
        <v>463.878771771</v>
      </c>
      <c r="PI323" s="93">
        <v>622.29999999999995</v>
      </c>
      <c r="PJ323" s="93">
        <v>-234.57520523900007</v>
      </c>
      <c r="PK323" s="93">
        <v>207.12286659699998</v>
      </c>
      <c r="PL323" s="93">
        <v>441.69807183600005</v>
      </c>
      <c r="PM323" s="93">
        <v>8.1649867179999998</v>
      </c>
      <c r="PN323" s="93">
        <v>3.68</v>
      </c>
      <c r="PO323" s="93">
        <v>0</v>
      </c>
      <c r="PP323" s="93">
        <v>0</v>
      </c>
      <c r="PQ323" s="93">
        <v>4.484986718</v>
      </c>
      <c r="PR323" s="93">
        <v>1017.1189289050001</v>
      </c>
      <c r="PS323" s="93">
        <v>786.37078585300003</v>
      </c>
      <c r="PT323" s="93">
        <v>230.04987712900001</v>
      </c>
      <c r="PU323" s="93">
        <v>0.6982659229999999</v>
      </c>
      <c r="PV323" s="93">
        <v>0</v>
      </c>
      <c r="PW323" s="93">
        <v>0.48162875900000002</v>
      </c>
      <c r="PX323" s="93">
        <v>0</v>
      </c>
      <c r="PY323" s="93">
        <v>0</v>
      </c>
      <c r="PZ323" s="93">
        <v>0.48162875900000002</v>
      </c>
      <c r="QA323" s="93">
        <v>0</v>
      </c>
      <c r="QB323" s="93">
        <v>0</v>
      </c>
      <c r="QC323" s="93">
        <v>0</v>
      </c>
      <c r="QD323" s="93">
        <v>3.0511894230000003</v>
      </c>
      <c r="QE323" s="20">
        <v>-8.6900560569999854</v>
      </c>
      <c r="QF323" s="1739">
        <v>256</v>
      </c>
      <c r="QG323" s="19"/>
      <c r="QH323" s="93">
        <v>1775.8059999999996</v>
      </c>
      <c r="QI323" s="93">
        <v>2115.7389999999996</v>
      </c>
      <c r="QJ323" s="93">
        <v>-339.93299999999999</v>
      </c>
      <c r="QK323" s="93">
        <v>313.517</v>
      </c>
      <c r="QL323" s="93">
        <v>84.988</v>
      </c>
      <c r="QM323" s="93">
        <v>228.529</v>
      </c>
      <c r="QN323" s="93">
        <v>0</v>
      </c>
      <c r="QO323" s="93">
        <v>342.87299999999993</v>
      </c>
      <c r="QP323" s="93">
        <v>1054.193</v>
      </c>
      <c r="QQ323" s="93">
        <v>-711.32</v>
      </c>
      <c r="QR323" s="93">
        <v>3064.6550000000002</v>
      </c>
      <c r="QS323" s="93">
        <v>24.089000000000002</v>
      </c>
      <c r="QT323" s="93">
        <v>5.8469999999999995</v>
      </c>
      <c r="QU323" s="93">
        <v>252.02600000000001</v>
      </c>
      <c r="QV323" s="93">
        <v>2782.6930000000002</v>
      </c>
      <c r="QW323" s="93"/>
      <c r="QX323" s="93">
        <v>617.71499999999833</v>
      </c>
      <c r="QY323" s="93">
        <v>2135.2129999999997</v>
      </c>
      <c r="QZ323" s="93">
        <v>1804.39</v>
      </c>
      <c r="RA323" s="93">
        <v>0</v>
      </c>
      <c r="RB323" s="93">
        <v>174.09799999999998</v>
      </c>
      <c r="RC323" s="93">
        <v>0</v>
      </c>
      <c r="RD323" s="93">
        <v>31.931999999999999</v>
      </c>
      <c r="RE323" s="93">
        <v>0</v>
      </c>
      <c r="RF323" s="93">
        <v>0</v>
      </c>
      <c r="RG323" s="93">
        <v>640.755</v>
      </c>
      <c r="RH323" s="93">
        <v>92.748000000000047</v>
      </c>
      <c r="RI323" s="93"/>
      <c r="RJ323" s="93"/>
      <c r="RK323" s="93"/>
      <c r="RL323" s="93"/>
      <c r="RM323" s="20"/>
      <c r="RN323" s="29">
        <v>256</v>
      </c>
      <c r="RO323" s="19">
        <v>186</v>
      </c>
      <c r="RP323" s="20">
        <v>577</v>
      </c>
      <c r="RQ323" s="29">
        <v>256</v>
      </c>
      <c r="RR323" s="734">
        <v>4.7839756999999992</v>
      </c>
      <c r="RS323" s="29">
        <v>256</v>
      </c>
      <c r="RT323" s="1504">
        <v>44287</v>
      </c>
      <c r="RU323" s="19">
        <v>1419</v>
      </c>
      <c r="RV323" s="20">
        <v>43</v>
      </c>
      <c r="RW323" s="29">
        <v>256</v>
      </c>
      <c r="RX323" s="1504">
        <v>44287</v>
      </c>
      <c r="RY323" s="29">
        <v>16463.399999999998</v>
      </c>
      <c r="RZ323" s="734">
        <v>15070.590000000002</v>
      </c>
      <c r="SA323" s="29">
        <v>461814.67121007817</v>
      </c>
      <c r="SB323" s="29">
        <v>256</v>
      </c>
    </row>
    <row r="324" spans="1:496">
      <c r="A324" s="41">
        <f t="shared" si="238"/>
        <v>2021</v>
      </c>
      <c r="B324" s="1504">
        <v>44317</v>
      </c>
      <c r="C324" s="1813">
        <v>1903</v>
      </c>
      <c r="D324" s="1814">
        <v>35021</v>
      </c>
      <c r="E324" s="1814">
        <v>90</v>
      </c>
      <c r="F324" s="1815"/>
      <c r="G324" s="1814">
        <v>96295</v>
      </c>
      <c r="H324" s="1814">
        <v>16</v>
      </c>
      <c r="I324" s="1814">
        <v>32854</v>
      </c>
      <c r="J324" s="1816">
        <v>21225</v>
      </c>
      <c r="K324" s="1807">
        <v>187404</v>
      </c>
      <c r="L324" s="25">
        <v>257</v>
      </c>
      <c r="M324" s="97"/>
      <c r="N324" s="1504">
        <v>44317</v>
      </c>
      <c r="O324" s="19">
        <v>1864</v>
      </c>
      <c r="P324" s="93">
        <v>1586</v>
      </c>
      <c r="Q324" s="93">
        <v>11223</v>
      </c>
      <c r="R324" s="93">
        <v>3587</v>
      </c>
      <c r="S324" s="93">
        <v>2418</v>
      </c>
      <c r="T324" s="93">
        <v>1155</v>
      </c>
      <c r="U324" s="93">
        <v>469</v>
      </c>
      <c r="V324" s="93">
        <v>1639</v>
      </c>
      <c r="W324" s="93">
        <v>5836</v>
      </c>
      <c r="X324" s="93">
        <v>1091</v>
      </c>
      <c r="Y324" s="93">
        <v>620</v>
      </c>
      <c r="Z324" s="93">
        <v>1570</v>
      </c>
      <c r="AA324" s="93">
        <v>1963</v>
      </c>
      <c r="AB324" s="20">
        <v>35021</v>
      </c>
      <c r="AC324" s="25">
        <v>257</v>
      </c>
      <c r="AD324" s="97"/>
      <c r="AE324" s="1504">
        <v>44317</v>
      </c>
      <c r="AF324" s="19">
        <v>3550</v>
      </c>
      <c r="AG324" s="93">
        <v>987</v>
      </c>
      <c r="AH324" s="93">
        <v>4627</v>
      </c>
      <c r="AI324" s="93">
        <v>4160</v>
      </c>
      <c r="AJ324" s="93">
        <v>2036</v>
      </c>
      <c r="AK324" s="93">
        <v>1946</v>
      </c>
      <c r="AL324" s="93">
        <v>729</v>
      </c>
      <c r="AM324" s="93">
        <v>1581</v>
      </c>
      <c r="AN324" s="93">
        <v>7880</v>
      </c>
      <c r="AO324" s="93">
        <v>1508</v>
      </c>
      <c r="AP324" s="93">
        <v>1208</v>
      </c>
      <c r="AQ324" s="93">
        <v>1501</v>
      </c>
      <c r="AR324" s="93">
        <v>1141</v>
      </c>
      <c r="AS324" s="20">
        <v>32854</v>
      </c>
      <c r="AT324" s="25">
        <v>257</v>
      </c>
      <c r="AU324" s="97"/>
      <c r="AV324" s="1504">
        <v>44317</v>
      </c>
      <c r="AW324" s="19">
        <v>10778</v>
      </c>
      <c r="AX324" s="93">
        <v>3647</v>
      </c>
      <c r="AY324" s="93">
        <v>3351</v>
      </c>
      <c r="AZ324" s="93">
        <v>12532</v>
      </c>
      <c r="BA324" s="93">
        <v>10603</v>
      </c>
      <c r="BB324" s="93">
        <v>6691</v>
      </c>
      <c r="BC324" s="93">
        <v>3985</v>
      </c>
      <c r="BD324" s="93">
        <v>11198</v>
      </c>
      <c r="BE324" s="93">
        <v>14641</v>
      </c>
      <c r="BF324" s="93">
        <v>4302</v>
      </c>
      <c r="BG324" s="93">
        <v>4348</v>
      </c>
      <c r="BH324" s="93">
        <v>4596</v>
      </c>
      <c r="BI324" s="93">
        <v>5623</v>
      </c>
      <c r="BJ324" s="20">
        <v>96295</v>
      </c>
      <c r="BK324" s="25">
        <v>257</v>
      </c>
      <c r="BL324" s="97"/>
      <c r="BM324" s="1504">
        <v>44317</v>
      </c>
      <c r="BN324" s="19">
        <v>104.7</v>
      </c>
      <c r="BO324" s="93">
        <v>1926.2</v>
      </c>
      <c r="BP324" s="93">
        <v>18</v>
      </c>
      <c r="BQ324" s="93">
        <v>866.7</v>
      </c>
      <c r="BR324" s="93">
        <v>2.8</v>
      </c>
      <c r="BS324" s="93">
        <v>328.5</v>
      </c>
      <c r="BT324" s="93">
        <v>594.29999999999995</v>
      </c>
      <c r="BU324" s="20">
        <v>3841.1</v>
      </c>
      <c r="BV324" s="25">
        <v>257</v>
      </c>
      <c r="BW324" s="97"/>
      <c r="BX324" s="1504">
        <v>44317</v>
      </c>
      <c r="BY324" s="19">
        <v>539.96630000000005</v>
      </c>
      <c r="BZ324" s="93">
        <v>655.95699999999999</v>
      </c>
      <c r="CA324" s="93">
        <v>598.31619999999998</v>
      </c>
      <c r="CB324" s="93">
        <v>38.453301000000003</v>
      </c>
      <c r="CC324" s="93">
        <v>93.514653999999993</v>
      </c>
      <c r="CD324" s="25">
        <v>257</v>
      </c>
      <c r="CE324" s="97"/>
      <c r="CF324" s="1504">
        <v>44317</v>
      </c>
      <c r="CG324" s="19">
        <v>2.0037791180000002</v>
      </c>
      <c r="CH324" s="93">
        <v>1850.26</v>
      </c>
      <c r="CI324" s="219">
        <v>66.400000000000006</v>
      </c>
      <c r="CJ324" s="20">
        <v>68.040000000000006</v>
      </c>
      <c r="CK324" s="19">
        <v>462.75</v>
      </c>
      <c r="CL324" s="93">
        <v>305.31065039999999</v>
      </c>
      <c r="CM324" s="93">
        <v>0.380517412</v>
      </c>
      <c r="CN324" s="93">
        <v>0.39670508799999998</v>
      </c>
      <c r="CO324" s="93">
        <v>297.25</v>
      </c>
      <c r="CP324" s="20">
        <v>5.48399225</v>
      </c>
      <c r="CQ324" s="219">
        <v>2072.0399166727998</v>
      </c>
      <c r="CR324" s="93">
        <v>1.9166666666666701</v>
      </c>
      <c r="CS324" s="93">
        <v>2.2902999999999998</v>
      </c>
      <c r="CT324" s="93">
        <v>102.5</v>
      </c>
      <c r="CU324" s="93">
        <v>207.72</v>
      </c>
      <c r="CV324" s="214">
        <v>2965.73</v>
      </c>
      <c r="CW324" s="29">
        <v>257</v>
      </c>
      <c r="CX324" s="41">
        <f t="shared" si="239"/>
        <v>2021</v>
      </c>
      <c r="CY324" s="1504">
        <v>44317</v>
      </c>
      <c r="CZ324" s="733">
        <v>189.72285200000002</v>
      </c>
      <c r="DA324" s="570">
        <v>105.404245</v>
      </c>
      <c r="DB324" s="570">
        <v>66.065570687645703</v>
      </c>
      <c r="DC324" s="93"/>
      <c r="DD324" s="93"/>
      <c r="DE324" s="20"/>
      <c r="DF324" s="29">
        <v>257</v>
      </c>
      <c r="DG324" s="1504">
        <v>44317</v>
      </c>
      <c r="DH324" s="19">
        <v>472633</v>
      </c>
      <c r="DI324" s="93">
        <v>5131027</v>
      </c>
      <c r="DJ324" s="93">
        <v>269315</v>
      </c>
      <c r="DK324" s="93">
        <v>19573</v>
      </c>
      <c r="DL324" s="93">
        <v>527748</v>
      </c>
      <c r="DM324" s="93">
        <v>7613</v>
      </c>
      <c r="DN324" s="20">
        <v>1846740</v>
      </c>
      <c r="DO324" s="295">
        <f t="shared" si="282"/>
        <v>7802016</v>
      </c>
      <c r="DP324" s="29">
        <v>257</v>
      </c>
      <c r="DQ324" s="1504">
        <v>44317</v>
      </c>
      <c r="DR324" s="179">
        <v>61000.436000000002</v>
      </c>
      <c r="DS324" s="99">
        <v>396.5</v>
      </c>
      <c r="DT324" s="99">
        <v>71587.376000000004</v>
      </c>
      <c r="DU324" s="99">
        <v>3693.7919999999999</v>
      </c>
      <c r="DV324" s="99">
        <v>32371.846000000001</v>
      </c>
      <c r="DW324" s="99">
        <v>2890</v>
      </c>
      <c r="DX324" s="132">
        <v>16441.62857142857</v>
      </c>
      <c r="DY324" s="29">
        <v>257</v>
      </c>
      <c r="DZ324" s="1504">
        <v>44317</v>
      </c>
      <c r="EA324" s="19"/>
      <c r="EB324" s="93"/>
      <c r="EC324" s="20"/>
      <c r="ED324" s="29"/>
      <c r="EE324" s="1504">
        <v>44317</v>
      </c>
      <c r="EF324" s="19">
        <f t="shared" si="307"/>
        <v>11849</v>
      </c>
      <c r="EG324" s="93">
        <f t="shared" si="308"/>
        <v>12495</v>
      </c>
      <c r="EH324" s="93">
        <f t="shared" si="309"/>
        <v>29923</v>
      </c>
      <c r="EI324" s="214">
        <f t="shared" si="310"/>
        <v>5579</v>
      </c>
      <c r="EJ324" s="93">
        <f t="shared" si="311"/>
        <v>516.54499999999996</v>
      </c>
      <c r="EK324" s="93">
        <f t="shared" si="312"/>
        <v>273.02199999999999</v>
      </c>
      <c r="EL324" s="93">
        <f t="shared" si="313"/>
        <v>13.288</v>
      </c>
      <c r="EM324" s="93">
        <f t="shared" si="314"/>
        <v>14.303000000000001</v>
      </c>
      <c r="EN324" s="20">
        <f t="shared" si="317"/>
        <v>817.15800000000002</v>
      </c>
      <c r="EO324" s="29">
        <v>257</v>
      </c>
      <c r="EP324" s="1504">
        <v>44317</v>
      </c>
      <c r="EQ324" s="19">
        <v>11202</v>
      </c>
      <c r="ER324" s="93">
        <v>11828</v>
      </c>
      <c r="ES324" s="93">
        <f t="shared" si="315"/>
        <v>23030</v>
      </c>
      <c r="ET324" s="214">
        <v>5362</v>
      </c>
      <c r="EU324" s="93">
        <v>514.64499999999998</v>
      </c>
      <c r="EV324" s="93">
        <v>121.346</v>
      </c>
      <c r="EW324" s="93">
        <v>13.288</v>
      </c>
      <c r="EX324" s="93">
        <v>14.303000000000001</v>
      </c>
      <c r="EY324" s="20">
        <v>663.58199999999999</v>
      </c>
      <c r="EZ324" s="29">
        <v>257</v>
      </c>
      <c r="FA324" s="1504">
        <v>44317</v>
      </c>
      <c r="FB324" s="29">
        <v>647</v>
      </c>
      <c r="FC324" s="29">
        <v>667</v>
      </c>
      <c r="FD324" s="29">
        <f t="shared" si="316"/>
        <v>1314</v>
      </c>
      <c r="FE324" s="29">
        <v>217</v>
      </c>
      <c r="FF324" s="29">
        <v>1.9</v>
      </c>
      <c r="FG324" s="29">
        <v>151.67599999999999</v>
      </c>
      <c r="FH324" s="29">
        <v>0</v>
      </c>
      <c r="FI324" s="29">
        <v>0</v>
      </c>
      <c r="FJ324" s="29">
        <f t="shared" si="318"/>
        <v>153.57599999999999</v>
      </c>
      <c r="FK324" s="29">
        <v>257</v>
      </c>
      <c r="FL324" s="1504">
        <v>44317</v>
      </c>
      <c r="FM324" s="19">
        <v>107.95</v>
      </c>
      <c r="FN324" s="93">
        <v>113.58</v>
      </c>
      <c r="FO324" s="93">
        <v>132.41999999999999</v>
      </c>
      <c r="FP324" s="93">
        <v>101.31</v>
      </c>
      <c r="FQ324" s="93">
        <v>99.93</v>
      </c>
      <c r="FR324" s="93">
        <v>101.29</v>
      </c>
      <c r="FS324" s="93">
        <v>100.51</v>
      </c>
      <c r="FT324" s="93">
        <v>98.46</v>
      </c>
      <c r="FU324" s="93">
        <v>98.78</v>
      </c>
      <c r="FV324" s="93">
        <v>101.15</v>
      </c>
      <c r="FW324" s="93">
        <v>107.83</v>
      </c>
      <c r="FX324" s="93">
        <v>105.63</v>
      </c>
      <c r="FY324" s="93">
        <v>100.86</v>
      </c>
      <c r="FZ324" s="29">
        <v>257</v>
      </c>
      <c r="GA324" s="1504">
        <v>44317</v>
      </c>
      <c r="GB324" s="19">
        <v>107.95</v>
      </c>
      <c r="GC324" s="93">
        <v>102.19</v>
      </c>
      <c r="GD324" s="93">
        <v>111.08</v>
      </c>
      <c r="GE324" s="93">
        <v>96.31</v>
      </c>
      <c r="GF324" s="93">
        <v>118.18</v>
      </c>
      <c r="GG324" s="93">
        <v>105.55</v>
      </c>
      <c r="GH324" s="93">
        <v>118.05</v>
      </c>
      <c r="GI324" s="93">
        <v>103.62</v>
      </c>
      <c r="GJ324" s="93">
        <v>102.62</v>
      </c>
      <c r="GK324" s="93">
        <v>100.27</v>
      </c>
      <c r="GL324" s="93">
        <v>111.99</v>
      </c>
      <c r="GM324" s="93">
        <v>101.51</v>
      </c>
      <c r="GN324" s="20">
        <v>102.62</v>
      </c>
      <c r="GO324" s="29">
        <v>257</v>
      </c>
      <c r="GP324" s="1504">
        <v>44317</v>
      </c>
      <c r="GQ324" s="19">
        <v>289</v>
      </c>
      <c r="GR324" s="93">
        <v>245</v>
      </c>
      <c r="GS324" s="93">
        <v>241</v>
      </c>
      <c r="GT324" s="93">
        <v>240</v>
      </c>
      <c r="GU324" s="93">
        <v>397</v>
      </c>
      <c r="GV324" s="20">
        <v>994</v>
      </c>
      <c r="GW324" s="19">
        <v>510</v>
      </c>
      <c r="GX324" s="93">
        <v>539</v>
      </c>
      <c r="GY324" s="93">
        <v>445</v>
      </c>
      <c r="GZ324" s="93">
        <v>279</v>
      </c>
      <c r="HA324" s="93">
        <v>472</v>
      </c>
      <c r="HB324" s="20">
        <v>802</v>
      </c>
      <c r="HC324" s="19">
        <v>2320</v>
      </c>
      <c r="HD324" s="93">
        <v>3227</v>
      </c>
      <c r="HE324" s="93">
        <v>3542</v>
      </c>
      <c r="HF324" s="93">
        <v>3150</v>
      </c>
      <c r="HG324" s="93">
        <v>3092</v>
      </c>
      <c r="HH324" s="20">
        <v>3266</v>
      </c>
      <c r="HI324" s="19"/>
      <c r="HJ324" s="93">
        <v>878</v>
      </c>
      <c r="HK324" s="93">
        <v>1751</v>
      </c>
      <c r="HL324" s="93">
        <v>802</v>
      </c>
      <c r="HM324" s="93">
        <v>900</v>
      </c>
      <c r="HN324" s="20">
        <v>2944</v>
      </c>
      <c r="HO324" s="219">
        <v>132</v>
      </c>
      <c r="HP324" s="20">
        <v>99</v>
      </c>
      <c r="HQ324" s="25">
        <v>162</v>
      </c>
      <c r="HR324" s="29">
        <v>257</v>
      </c>
      <c r="HS324" s="1504">
        <v>44317</v>
      </c>
      <c r="HT324" s="179">
        <v>263.159912109375</v>
      </c>
      <c r="HU324" s="99">
        <v>277.77777099609375</v>
      </c>
      <c r="HV324" s="99">
        <v>221.51898193359375</v>
      </c>
      <c r="HW324" s="99">
        <v>178.57142639160156</v>
      </c>
      <c r="HX324" s="99">
        <v>250</v>
      </c>
      <c r="HY324" s="99">
        <v>251.76136016845703</v>
      </c>
      <c r="HZ324" s="99">
        <v>241.0130729675293</v>
      </c>
      <c r="IA324" s="132">
        <v>242.49131774902344</v>
      </c>
      <c r="IB324" s="179">
        <v>292.4342041015625</v>
      </c>
      <c r="IC324" s="99">
        <v>159.16666259765626</v>
      </c>
      <c r="ID324" s="99">
        <v>213.70968627929688</v>
      </c>
      <c r="IE324" s="99">
        <v>239.37909317016602</v>
      </c>
      <c r="IF324" s="99">
        <v>247.67802429199219</v>
      </c>
      <c r="IG324" s="132">
        <v>166.05126571655273</v>
      </c>
      <c r="IH324" s="179">
        <v>197.22222137451172</v>
      </c>
      <c r="II324" s="99">
        <v>269.80873107910156</v>
      </c>
      <c r="IJ324" s="99">
        <v>203.38983154296875</v>
      </c>
      <c r="IK324" s="99">
        <v>208.9285774230957</v>
      </c>
      <c r="IL324" s="99">
        <v>208.17332458496094</v>
      </c>
      <c r="IM324" s="99">
        <v>188.30645751953125</v>
      </c>
      <c r="IN324" s="93">
        <v>215.54771423339844</v>
      </c>
      <c r="IO324" s="132">
        <v>225.64763946533202</v>
      </c>
      <c r="IP324" s="29">
        <v>257</v>
      </c>
      <c r="IQ324" s="19">
        <v>183.08931350708008</v>
      </c>
      <c r="IR324" s="93">
        <v>158.06878662109375</v>
      </c>
      <c r="IS324" s="93">
        <v>166.66667175292969</v>
      </c>
      <c r="IT324" s="93">
        <v>157.93407821655273</v>
      </c>
      <c r="IU324" s="93">
        <v>205.69619750976563</v>
      </c>
      <c r="IV324" s="20">
        <v>148.84638468424478</v>
      </c>
      <c r="IW324" s="29">
        <v>257</v>
      </c>
      <c r="IX324" s="19">
        <v>414.28572082519531</v>
      </c>
      <c r="IY324" s="93">
        <v>402.72176742553711</v>
      </c>
      <c r="IZ324" s="93">
        <v>413.51010131835938</v>
      </c>
      <c r="JA324" s="93">
        <v>350</v>
      </c>
      <c r="JB324" s="93">
        <v>390</v>
      </c>
      <c r="JC324" s="93">
        <v>400</v>
      </c>
      <c r="JD324" s="93">
        <v>366</v>
      </c>
      <c r="JE324" s="20">
        <v>400</v>
      </c>
      <c r="JF324" s="29">
        <v>257</v>
      </c>
      <c r="JG324" s="19">
        <v>186.73666839599611</v>
      </c>
      <c r="JH324" s="93">
        <v>218.5792236328125</v>
      </c>
      <c r="JI324" s="93">
        <v>192.30769348144531</v>
      </c>
      <c r="JJ324" s="93">
        <v>107.14286041259766</v>
      </c>
      <c r="JK324" s="93">
        <v>197.81144714355469</v>
      </c>
      <c r="JL324" s="93">
        <v>176.98863220214844</v>
      </c>
      <c r="JM324" s="93">
        <v>189.54248046875</v>
      </c>
      <c r="JN324" s="20">
        <v>226.83988647460939</v>
      </c>
      <c r="JO324" s="29">
        <v>257</v>
      </c>
      <c r="JP324" s="19">
        <v>202.73353576660156</v>
      </c>
      <c r="JQ324" s="93">
        <v>124.26108398437501</v>
      </c>
      <c r="JR324" s="93">
        <v>184.375</v>
      </c>
      <c r="JS324" s="93">
        <v>156.48268508911133</v>
      </c>
      <c r="JT324" s="93">
        <v>203.37302652994791</v>
      </c>
      <c r="JU324" s="20">
        <v>136.32543182373047</v>
      </c>
      <c r="JV324" s="29">
        <v>257</v>
      </c>
      <c r="JW324" s="1504">
        <v>44317</v>
      </c>
      <c r="JX324" s="19">
        <v>443000</v>
      </c>
      <c r="JY324" s="93">
        <v>366250</v>
      </c>
      <c r="JZ324" s="93"/>
      <c r="KA324" s="93"/>
      <c r="KB324" s="93">
        <v>388750</v>
      </c>
      <c r="KC324" s="93">
        <v>376000</v>
      </c>
      <c r="KD324" s="20">
        <v>421818</v>
      </c>
      <c r="KE324" s="29">
        <v>257</v>
      </c>
      <c r="KF324" s="19">
        <v>76500</v>
      </c>
      <c r="KG324" s="93">
        <v>55667</v>
      </c>
      <c r="KH324" s="93"/>
      <c r="KI324" s="93">
        <v>99375</v>
      </c>
      <c r="KJ324" s="93">
        <v>63400</v>
      </c>
      <c r="KK324" s="20"/>
      <c r="KL324" s="29">
        <v>257</v>
      </c>
      <c r="KM324" s="19">
        <v>40200</v>
      </c>
      <c r="KN324" s="93">
        <v>18750</v>
      </c>
      <c r="KO324" s="93"/>
      <c r="KP324" s="93">
        <v>69500</v>
      </c>
      <c r="KQ324" s="93">
        <v>40300</v>
      </c>
      <c r="KR324" s="20"/>
      <c r="KS324" s="29">
        <v>257</v>
      </c>
      <c r="KT324" s="19">
        <v>33100</v>
      </c>
      <c r="KU324" s="93">
        <v>29417</v>
      </c>
      <c r="KV324" s="93"/>
      <c r="KW324" s="93">
        <v>40875</v>
      </c>
      <c r="KX324" s="93">
        <v>25300</v>
      </c>
      <c r="KY324" s="20"/>
      <c r="KZ324" s="29">
        <v>257</v>
      </c>
      <c r="LA324" s="1504">
        <v>44317</v>
      </c>
      <c r="LB324" s="19"/>
      <c r="LC324" s="93"/>
      <c r="LD324" s="93"/>
      <c r="LE324" s="93"/>
      <c r="LF324" s="93"/>
      <c r="LG324" s="93"/>
      <c r="LH324" s="20"/>
      <c r="LI324" s="29"/>
      <c r="LJ324" s="19"/>
      <c r="LK324" s="93"/>
      <c r="LL324" s="93"/>
      <c r="LM324" s="93"/>
      <c r="LN324" s="93"/>
      <c r="LO324" s="20"/>
      <c r="LP324" s="29"/>
      <c r="LQ324" s="19"/>
      <c r="LR324" s="93">
        <v>188</v>
      </c>
      <c r="LS324" s="93">
        <v>463</v>
      </c>
      <c r="LT324" s="93">
        <v>663</v>
      </c>
      <c r="LU324" s="93">
        <v>1104</v>
      </c>
      <c r="LV324" s="93"/>
      <c r="LW324" s="93">
        <v>5</v>
      </c>
      <c r="LX324" s="93">
        <v>10</v>
      </c>
      <c r="LY324" s="93">
        <v>60</v>
      </c>
      <c r="LZ324" s="93"/>
      <c r="MA324" s="20"/>
      <c r="MB324" s="29">
        <v>257</v>
      </c>
      <c r="MC324" s="1504">
        <v>44317</v>
      </c>
      <c r="MD324" s="19">
        <v>857.25868973999422</v>
      </c>
      <c r="ME324" s="93">
        <v>747.29258847220501</v>
      </c>
      <c r="MF324" s="93">
        <v>747.29258847220501</v>
      </c>
      <c r="MG324" s="93">
        <v>674.53176577980491</v>
      </c>
      <c r="MH324" s="93">
        <v>241.43343395400004</v>
      </c>
      <c r="MI324" s="93">
        <v>6.7606612469999998</v>
      </c>
      <c r="MJ324" s="93">
        <v>19.877543967355017</v>
      </c>
      <c r="MK324" s="93">
        <v>326.10167937185003</v>
      </c>
      <c r="ML324" s="93">
        <v>79.801991631999996</v>
      </c>
      <c r="MM324" s="93">
        <v>0.55645560760000001</v>
      </c>
      <c r="MN324" s="93">
        <v>72.760822692399998</v>
      </c>
      <c r="MO324" s="93">
        <v>1.9537898150000002</v>
      </c>
      <c r="MP324" s="93">
        <v>29.449824029999998</v>
      </c>
      <c r="MQ324" s="93">
        <v>1.0505049229999999</v>
      </c>
      <c r="MR324" s="93">
        <v>0.228751549</v>
      </c>
      <c r="MS324" s="93">
        <v>40.077952375400002</v>
      </c>
      <c r="MT324" s="93">
        <v>0</v>
      </c>
      <c r="MU324" s="93">
        <v>109.9661012677892</v>
      </c>
      <c r="MV324" s="93">
        <v>65.069516284789202</v>
      </c>
      <c r="MW324" s="93">
        <v>44.896584983000004</v>
      </c>
      <c r="MX324" s="93">
        <v>1096.6951306838223</v>
      </c>
      <c r="MY324" s="93">
        <v>1100.7325501998225</v>
      </c>
      <c r="MZ324" s="93">
        <v>809.79537221256646</v>
      </c>
      <c r="NA324" s="93">
        <v>403.60306688133335</v>
      </c>
      <c r="NB324" s="93">
        <v>66.035470608000011</v>
      </c>
      <c r="NC324" s="93">
        <v>65.459192884233076</v>
      </c>
      <c r="ND324" s="93">
        <v>54.030620019999994</v>
      </c>
      <c r="NE324" s="93">
        <v>11.428572864233086</v>
      </c>
      <c r="NF324" s="93">
        <v>274.69764183900003</v>
      </c>
      <c r="NG324" s="93">
        <v>4.4859048675000004</v>
      </c>
      <c r="NH324" s="93">
        <v>52.558525559000003</v>
      </c>
      <c r="NI324" s="93">
        <v>0</v>
      </c>
      <c r="NJ324" s="93">
        <v>4.2010119450000003</v>
      </c>
      <c r="NK324" s="93">
        <v>290.93717798725601</v>
      </c>
      <c r="NL324" s="93">
        <v>136.88888689700002</v>
      </c>
      <c r="NM324" s="93">
        <v>1.228661548</v>
      </c>
      <c r="NN324" s="93">
        <v>152.81962954225597</v>
      </c>
      <c r="NO324" s="93">
        <v>-4.037419515999991</v>
      </c>
      <c r="NP324" s="93">
        <v>-239.43644094382822</v>
      </c>
      <c r="NQ324" s="93">
        <v>-349.40254221161746</v>
      </c>
      <c r="NR324" s="93">
        <v>-131.12371978512846</v>
      </c>
      <c r="NS324" s="93">
        <v>-196.58291266936149</v>
      </c>
      <c r="NT324" s="93">
        <v>-258.95085514356816</v>
      </c>
      <c r="NU324" s="93">
        <v>-368.91695641135738</v>
      </c>
      <c r="NV324" s="93">
        <v>258.61753000267373</v>
      </c>
      <c r="NW324" s="93">
        <v>110.33638741367041</v>
      </c>
      <c r="NX324" s="93">
        <v>134.56528654746674</v>
      </c>
      <c r="NY324" s="93">
        <v>-24.228899133796357</v>
      </c>
      <c r="NZ324" s="93">
        <v>0</v>
      </c>
      <c r="OA324" s="93">
        <v>148.28114258900334</v>
      </c>
      <c r="OB324" s="93">
        <v>-75.342748834394598</v>
      </c>
      <c r="OC324" s="93">
        <v>223.62389142339791</v>
      </c>
      <c r="OD324" s="20">
        <v>0</v>
      </c>
      <c r="OE324" s="29">
        <v>257</v>
      </c>
      <c r="OF324" s="1504">
        <v>44317</v>
      </c>
      <c r="OG324" s="19"/>
      <c r="OH324" s="93">
        <v>658.79299317000005</v>
      </c>
      <c r="OI324" s="93">
        <v>2443.4435870559996</v>
      </c>
      <c r="OJ324" s="93">
        <v>1.9420758259999999</v>
      </c>
      <c r="OK324" s="93">
        <v>2139.9009999999998</v>
      </c>
      <c r="OL324" s="93">
        <v>301.60051123</v>
      </c>
      <c r="OM324" s="93">
        <v>3102.2365802259997</v>
      </c>
      <c r="ON324" s="93">
        <v>1815.9261083189999</v>
      </c>
      <c r="OO324" s="93">
        <v>4918.1626885449996</v>
      </c>
      <c r="OP324" s="93"/>
      <c r="OQ324" s="93">
        <v>2418.3513485249996</v>
      </c>
      <c r="OR324" s="93">
        <v>655.1473485250001</v>
      </c>
      <c r="OS324" s="93">
        <v>1763.2039999999997</v>
      </c>
      <c r="OT324" s="93">
        <v>3083.1565170270001</v>
      </c>
      <c r="OU324" s="93">
        <v>-19.434005538000008</v>
      </c>
      <c r="OV324" s="93">
        <v>-377.09500553799995</v>
      </c>
      <c r="OW324" s="93">
        <v>357.66099999999994</v>
      </c>
      <c r="OX324" s="93">
        <v>3102.5905225649999</v>
      </c>
      <c r="OY324" s="93">
        <v>8.1275225649999996</v>
      </c>
      <c r="OZ324" s="93">
        <v>3094.4629999999997</v>
      </c>
      <c r="PA324" s="93">
        <v>850.54875293099917</v>
      </c>
      <c r="PB324" s="93">
        <v>-267.20357592399978</v>
      </c>
      <c r="PC324" s="20">
        <v>4918.1626885449996</v>
      </c>
      <c r="PD324" s="29">
        <v>257</v>
      </c>
      <c r="PE324" s="19"/>
      <c r="PF324" s="93">
        <v>655.1473485250001</v>
      </c>
      <c r="PG324" s="93">
        <v>1129.1895262590001</v>
      </c>
      <c r="PH324" s="93">
        <v>474.04217773400001</v>
      </c>
      <c r="PI324" s="93">
        <v>736.8</v>
      </c>
      <c r="PJ324" s="93">
        <v>-370.52980319999995</v>
      </c>
      <c r="PK324" s="93">
        <v>207.14068023299998</v>
      </c>
      <c r="PL324" s="93">
        <v>577.67048343299996</v>
      </c>
      <c r="PM324" s="93">
        <v>8.1275225649999996</v>
      </c>
      <c r="PN324" s="93">
        <v>3.6720000000000002</v>
      </c>
      <c r="PO324" s="93">
        <v>0</v>
      </c>
      <c r="PP324" s="93">
        <v>0</v>
      </c>
      <c r="PQ324" s="93">
        <v>4.4555225649999999</v>
      </c>
      <c r="PR324" s="93">
        <v>1028.5216442579999</v>
      </c>
      <c r="PS324" s="93">
        <v>759.257195508</v>
      </c>
      <c r="PT324" s="93">
        <v>266.98926460500002</v>
      </c>
      <c r="PU324" s="93">
        <v>2.2751841449999999</v>
      </c>
      <c r="PV324" s="93">
        <v>0</v>
      </c>
      <c r="PW324" s="93">
        <v>0.53456230900000001</v>
      </c>
      <c r="PX324" s="93">
        <v>0</v>
      </c>
      <c r="PY324" s="93">
        <v>0</v>
      </c>
      <c r="PZ324" s="93">
        <v>0.53456230900000001</v>
      </c>
      <c r="QA324" s="93">
        <v>0</v>
      </c>
      <c r="QB324" s="93">
        <v>0</v>
      </c>
      <c r="QC324" s="93">
        <v>0</v>
      </c>
      <c r="QD324" s="93">
        <v>3.3491906220000001</v>
      </c>
      <c r="QE324" s="20">
        <v>-2.8603292990000004</v>
      </c>
      <c r="QF324" s="1739">
        <v>257</v>
      </c>
      <c r="QG324" s="19"/>
      <c r="QH324" s="93">
        <v>1763.2039999999997</v>
      </c>
      <c r="QI324" s="93">
        <v>2181.7929999999997</v>
      </c>
      <c r="QJ324" s="93">
        <v>-418.58900000000006</v>
      </c>
      <c r="QK324" s="93">
        <v>422.83199999999999</v>
      </c>
      <c r="QL324" s="93">
        <v>93.899000000000001</v>
      </c>
      <c r="QM324" s="93">
        <v>328.93299999999999</v>
      </c>
      <c r="QN324" s="93">
        <v>0</v>
      </c>
      <c r="QO324" s="93">
        <v>357.66099999999994</v>
      </c>
      <c r="QP324" s="93">
        <v>1084.106</v>
      </c>
      <c r="QQ324" s="93">
        <v>-726.44500000000005</v>
      </c>
      <c r="QR324" s="93">
        <v>3094.4629999999997</v>
      </c>
      <c r="QS324" s="93">
        <v>25.953000000000003</v>
      </c>
      <c r="QT324" s="93">
        <v>0.111</v>
      </c>
      <c r="QU324" s="93">
        <v>255.53</v>
      </c>
      <c r="QV324" s="93">
        <v>2812.8689999999997</v>
      </c>
      <c r="QW324" s="93"/>
      <c r="QX324" s="93">
        <v>733.77500000000009</v>
      </c>
      <c r="QY324" s="93">
        <v>2139.9009999999998</v>
      </c>
      <c r="QZ324" s="93">
        <v>1815.5929999999998</v>
      </c>
      <c r="RA324" s="93">
        <v>0</v>
      </c>
      <c r="RB324" s="93">
        <v>168.30099999999999</v>
      </c>
      <c r="RC324" s="93">
        <v>0</v>
      </c>
      <c r="RD324" s="93">
        <v>28.584999999999997</v>
      </c>
      <c r="RE324" s="93">
        <v>0</v>
      </c>
      <c r="RF324" s="93">
        <v>0</v>
      </c>
      <c r="RG324" s="93">
        <v>649.7789999999992</v>
      </c>
      <c r="RH324" s="93">
        <v>102.22600000000006</v>
      </c>
      <c r="RI324" s="93"/>
      <c r="RJ324" s="93"/>
      <c r="RK324" s="93"/>
      <c r="RL324" s="93"/>
      <c r="RM324" s="20"/>
      <c r="RN324" s="29">
        <v>257</v>
      </c>
      <c r="RO324" s="19">
        <v>160</v>
      </c>
      <c r="RP324" s="20">
        <v>3761</v>
      </c>
      <c r="RQ324" s="29">
        <v>257</v>
      </c>
      <c r="RR324" s="20">
        <v>5.1335819999999996</v>
      </c>
      <c r="RS324" s="29">
        <v>257</v>
      </c>
      <c r="RT324" s="1504">
        <v>44317</v>
      </c>
      <c r="RU324" s="19">
        <v>1191</v>
      </c>
      <c r="RV324" s="20">
        <v>51</v>
      </c>
      <c r="RW324" s="29">
        <v>257</v>
      </c>
      <c r="RX324" s="1504">
        <v>44317</v>
      </c>
      <c r="RY324" s="29">
        <v>16088.550000000001</v>
      </c>
      <c r="RZ324" s="20">
        <v>14727.48</v>
      </c>
      <c r="SA324" s="29">
        <v>474555.07960630383</v>
      </c>
      <c r="SB324" s="29">
        <v>257</v>
      </c>
    </row>
    <row r="325" spans="1:496">
      <c r="A325" s="41">
        <f t="shared" si="238"/>
        <v>2021</v>
      </c>
      <c r="B325" s="1504">
        <v>44348</v>
      </c>
      <c r="C325" s="1813">
        <v>2114</v>
      </c>
      <c r="D325" s="1814">
        <v>31920</v>
      </c>
      <c r="E325" s="1814">
        <v>190</v>
      </c>
      <c r="F325" s="1815"/>
      <c r="G325" s="1814">
        <v>102040</v>
      </c>
      <c r="H325" s="1814">
        <v>16</v>
      </c>
      <c r="I325" s="1814">
        <v>32788</v>
      </c>
      <c r="J325" s="1816">
        <v>21603</v>
      </c>
      <c r="K325" s="1807">
        <v>190671</v>
      </c>
      <c r="L325" s="25">
        <v>258</v>
      </c>
      <c r="M325" s="97"/>
      <c r="N325" s="1504">
        <v>44348</v>
      </c>
      <c r="O325" s="19">
        <v>1962</v>
      </c>
      <c r="P325" s="93">
        <v>1154</v>
      </c>
      <c r="Q325" s="93">
        <v>10792</v>
      </c>
      <c r="R325" s="93">
        <v>2203</v>
      </c>
      <c r="S325" s="93">
        <v>2367</v>
      </c>
      <c r="T325" s="93">
        <v>1059</v>
      </c>
      <c r="U325" s="93">
        <v>321</v>
      </c>
      <c r="V325" s="93">
        <v>1859</v>
      </c>
      <c r="W325" s="93">
        <v>5716</v>
      </c>
      <c r="X325" s="93">
        <v>988</v>
      </c>
      <c r="Y325" s="93">
        <v>675</v>
      </c>
      <c r="Z325" s="93">
        <v>1384</v>
      </c>
      <c r="AA325" s="93">
        <v>1440</v>
      </c>
      <c r="AB325" s="20">
        <v>31920</v>
      </c>
      <c r="AC325" s="25">
        <v>258</v>
      </c>
      <c r="AD325" s="97"/>
      <c r="AE325" s="1504">
        <v>44348</v>
      </c>
      <c r="AF325" s="19">
        <v>3019</v>
      </c>
      <c r="AG325" s="93">
        <v>1126</v>
      </c>
      <c r="AH325" s="93">
        <v>3006</v>
      </c>
      <c r="AI325" s="93">
        <v>5465</v>
      </c>
      <c r="AJ325" s="93">
        <v>2220</v>
      </c>
      <c r="AK325" s="93">
        <v>2012</v>
      </c>
      <c r="AL325" s="93">
        <v>757</v>
      </c>
      <c r="AM325" s="93">
        <v>1596</v>
      </c>
      <c r="AN325" s="93">
        <v>8172</v>
      </c>
      <c r="AO325" s="93">
        <v>1784</v>
      </c>
      <c r="AP325" s="93">
        <v>921</v>
      </c>
      <c r="AQ325" s="93">
        <v>1315</v>
      </c>
      <c r="AR325" s="93">
        <v>1395</v>
      </c>
      <c r="AS325" s="20">
        <v>32788</v>
      </c>
      <c r="AT325" s="25">
        <v>258</v>
      </c>
      <c r="AU325" s="97"/>
      <c r="AV325" s="1504">
        <v>44348</v>
      </c>
      <c r="AW325" s="19">
        <v>12085</v>
      </c>
      <c r="AX325" s="93">
        <v>3903</v>
      </c>
      <c r="AY325" s="93">
        <v>3586</v>
      </c>
      <c r="AZ325" s="93">
        <v>14906</v>
      </c>
      <c r="BA325" s="93">
        <v>6591</v>
      </c>
      <c r="BB325" s="93">
        <v>7642</v>
      </c>
      <c r="BC325" s="93">
        <v>4218</v>
      </c>
      <c r="BD325" s="93">
        <v>11181</v>
      </c>
      <c r="BE325" s="93">
        <v>15107</v>
      </c>
      <c r="BF325" s="93">
        <v>5007</v>
      </c>
      <c r="BG325" s="93">
        <v>3471</v>
      </c>
      <c r="BH325" s="93">
        <v>7016</v>
      </c>
      <c r="BI325" s="93">
        <v>7327</v>
      </c>
      <c r="BJ325" s="20">
        <v>102040</v>
      </c>
      <c r="BK325" s="25">
        <v>258</v>
      </c>
      <c r="BL325" s="97"/>
      <c r="BM325" s="1504">
        <v>44348</v>
      </c>
      <c r="BN325" s="19">
        <v>116.3</v>
      </c>
      <c r="BO325" s="93">
        <v>1755.6</v>
      </c>
      <c r="BP325" s="93">
        <v>38</v>
      </c>
      <c r="BQ325" s="93">
        <v>918.4</v>
      </c>
      <c r="BR325" s="93">
        <v>2.8</v>
      </c>
      <c r="BS325" s="93">
        <v>327.9</v>
      </c>
      <c r="BT325" s="93">
        <v>604.9</v>
      </c>
      <c r="BU325" s="20">
        <v>3763.8</v>
      </c>
      <c r="BV325" s="25">
        <v>258</v>
      </c>
      <c r="BW325" s="97"/>
      <c r="BX325" s="1504">
        <v>44348</v>
      </c>
      <c r="BY325" s="19">
        <v>544.90890000000002</v>
      </c>
      <c r="BZ325" s="93">
        <v>655.95699999999999</v>
      </c>
      <c r="CA325" s="93">
        <v>599.93340000000001</v>
      </c>
      <c r="CB325" s="93">
        <v>39.116720000000001</v>
      </c>
      <c r="CC325" s="93">
        <v>93.541899000000001</v>
      </c>
      <c r="CD325" s="25">
        <v>258</v>
      </c>
      <c r="CE325" s="97"/>
      <c r="CF325" s="1504">
        <v>44348</v>
      </c>
      <c r="CG325" s="19">
        <v>2.0833659</v>
      </c>
      <c r="CH325" s="93">
        <v>1834.57</v>
      </c>
      <c r="CI325" s="219">
        <v>71.803333333333299</v>
      </c>
      <c r="CJ325" s="20">
        <v>73.069999999999993</v>
      </c>
      <c r="CK325" s="19">
        <v>438.59</v>
      </c>
      <c r="CL325" s="93">
        <v>292.55935520000003</v>
      </c>
      <c r="CM325" s="93">
        <v>0.38382434199999999</v>
      </c>
      <c r="CN325" s="93">
        <v>0.39350479999999999</v>
      </c>
      <c r="CO325" s="93">
        <v>285.55</v>
      </c>
      <c r="CP325" s="20">
        <v>5.6774476549999999</v>
      </c>
      <c r="CQ325" s="219">
        <v>2078.8257589914201</v>
      </c>
      <c r="CR325" s="93">
        <v>1.8240000000000001</v>
      </c>
      <c r="CS325" s="93">
        <v>2.1217999999999999</v>
      </c>
      <c r="CT325" s="93">
        <v>125</v>
      </c>
      <c r="CU325" s="93">
        <v>214.43</v>
      </c>
      <c r="CV325" s="214">
        <v>2951.85</v>
      </c>
      <c r="CW325" s="29">
        <v>258</v>
      </c>
      <c r="CX325" s="41">
        <f t="shared" ref="CX325:CX388" si="319">YEAR(CY325)</f>
        <v>2021</v>
      </c>
      <c r="CY325" s="1504">
        <v>44348</v>
      </c>
      <c r="CZ325" s="733">
        <v>180.06336799999997</v>
      </c>
      <c r="DA325" s="570">
        <v>94.472492000000003</v>
      </c>
      <c r="DB325" s="570">
        <v>67.216130761072293</v>
      </c>
      <c r="DC325" s="93"/>
      <c r="DD325" s="93"/>
      <c r="DE325" s="20"/>
      <c r="DF325" s="29">
        <v>258</v>
      </c>
      <c r="DG325" s="1504">
        <v>44348</v>
      </c>
      <c r="DH325" s="19">
        <v>477559</v>
      </c>
      <c r="DI325" s="93">
        <v>5057347</v>
      </c>
      <c r="DJ325" s="93">
        <v>294588</v>
      </c>
      <c r="DK325" s="93">
        <v>17735</v>
      </c>
      <c r="DL325" s="93">
        <v>537696</v>
      </c>
      <c r="DM325" s="93">
        <v>5812</v>
      </c>
      <c r="DN325" s="20">
        <v>1567450</v>
      </c>
      <c r="DO325" s="295">
        <f>SUM(DI325:DN325)</f>
        <v>7480628</v>
      </c>
      <c r="DP325" s="29">
        <v>258</v>
      </c>
      <c r="DQ325" s="1504">
        <v>44348</v>
      </c>
      <c r="DR325" s="179">
        <v>59786.925999999999</v>
      </c>
      <c r="DS325" s="99">
        <v>459</v>
      </c>
      <c r="DT325" s="99">
        <v>77359.576000000001</v>
      </c>
      <c r="DU325" s="99">
        <v>1845.0150000000001</v>
      </c>
      <c r="DV325" s="99">
        <v>35928.33</v>
      </c>
      <c r="DW325" s="99">
        <v>2398</v>
      </c>
      <c r="DX325" s="132">
        <v>18261.364285714284</v>
      </c>
      <c r="DY325" s="29">
        <v>258</v>
      </c>
      <c r="DZ325" s="1504">
        <v>44348</v>
      </c>
      <c r="EA325" s="19"/>
      <c r="EB325" s="93"/>
      <c r="EC325" s="20"/>
      <c r="ED325" s="29"/>
      <c r="EE325" s="1504">
        <v>44348</v>
      </c>
      <c r="EF325" s="19">
        <f t="shared" si="307"/>
        <v>15256</v>
      </c>
      <c r="EG325" s="93">
        <f t="shared" si="308"/>
        <v>14913</v>
      </c>
      <c r="EH325" s="93">
        <f t="shared" si="309"/>
        <v>37767</v>
      </c>
      <c r="EI325" s="214">
        <f t="shared" si="310"/>
        <v>7598</v>
      </c>
      <c r="EJ325" s="93">
        <f t="shared" si="311"/>
        <v>510.62400000000002</v>
      </c>
      <c r="EK325" s="93">
        <f t="shared" si="312"/>
        <v>93.168999999999997</v>
      </c>
      <c r="EL325" s="93">
        <f t="shared" si="313"/>
        <v>8.0169999999999995</v>
      </c>
      <c r="EM325" s="93">
        <f t="shared" si="314"/>
        <v>13.58</v>
      </c>
      <c r="EN325" s="20">
        <f t="shared" si="317"/>
        <v>625.3900000000001</v>
      </c>
      <c r="EO325" s="29">
        <v>258</v>
      </c>
      <c r="EP325" s="1504">
        <v>44348</v>
      </c>
      <c r="EQ325" s="19">
        <v>14499</v>
      </c>
      <c r="ER325" s="93">
        <v>14217</v>
      </c>
      <c r="ES325" s="93">
        <f t="shared" si="315"/>
        <v>28716</v>
      </c>
      <c r="ET325" s="214">
        <v>7302</v>
      </c>
      <c r="EU325" s="93">
        <v>506.45400000000001</v>
      </c>
      <c r="EV325" s="93">
        <v>88.411000000000001</v>
      </c>
      <c r="EW325" s="93">
        <v>8.0169999999999995</v>
      </c>
      <c r="EX325" s="93">
        <v>13.58</v>
      </c>
      <c r="EY325" s="20">
        <v>616.46199999999999</v>
      </c>
      <c r="EZ325" s="29">
        <v>258</v>
      </c>
      <c r="FA325" s="1504">
        <v>44348</v>
      </c>
      <c r="FB325" s="29">
        <v>757</v>
      </c>
      <c r="FC325" s="29">
        <v>696</v>
      </c>
      <c r="FD325" s="29">
        <f t="shared" si="316"/>
        <v>1453</v>
      </c>
      <c r="FE325" s="29">
        <v>296</v>
      </c>
      <c r="FF325" s="29">
        <v>4.17</v>
      </c>
      <c r="FG325" s="29">
        <v>4.758</v>
      </c>
      <c r="FH325" s="29">
        <v>0</v>
      </c>
      <c r="FI325" s="29">
        <v>0</v>
      </c>
      <c r="FJ325" s="29">
        <f t="shared" si="318"/>
        <v>8.9280000000000008</v>
      </c>
      <c r="FK325" s="29">
        <v>258</v>
      </c>
      <c r="FL325" s="1504">
        <v>44348</v>
      </c>
      <c r="FM325" s="19">
        <v>107.81</v>
      </c>
      <c r="FN325" s="93">
        <v>113.59</v>
      </c>
      <c r="FO325" s="93">
        <v>131.36000000000001</v>
      </c>
      <c r="FP325" s="93">
        <v>101.31</v>
      </c>
      <c r="FQ325" s="93">
        <v>99.89</v>
      </c>
      <c r="FR325" s="93">
        <v>101.29</v>
      </c>
      <c r="FS325" s="93">
        <v>100.56</v>
      </c>
      <c r="FT325" s="93">
        <v>98.47</v>
      </c>
      <c r="FU325" s="93">
        <v>98.78</v>
      </c>
      <c r="FV325" s="93">
        <v>101.15</v>
      </c>
      <c r="FW325" s="93">
        <v>107.83</v>
      </c>
      <c r="FX325" s="93">
        <v>105.7</v>
      </c>
      <c r="FY325" s="93">
        <v>100.86</v>
      </c>
      <c r="FZ325" s="29">
        <v>258</v>
      </c>
      <c r="GA325" s="1504">
        <v>44348</v>
      </c>
      <c r="GB325" s="19">
        <v>107.81</v>
      </c>
      <c r="GC325" s="93">
        <v>102.02</v>
      </c>
      <c r="GD325" s="93">
        <v>111.11</v>
      </c>
      <c r="GE325" s="93">
        <v>96.22</v>
      </c>
      <c r="GF325" s="93">
        <v>118.53</v>
      </c>
      <c r="GG325" s="93">
        <v>105.55</v>
      </c>
      <c r="GH325" s="93">
        <v>118.4</v>
      </c>
      <c r="GI325" s="93">
        <v>103.48</v>
      </c>
      <c r="GJ325" s="93">
        <v>102.62</v>
      </c>
      <c r="GK325" s="93">
        <v>100.28</v>
      </c>
      <c r="GL325" s="93">
        <v>111.99</v>
      </c>
      <c r="GM325" s="93">
        <v>101.51</v>
      </c>
      <c r="GN325" s="20">
        <v>102.62</v>
      </c>
      <c r="GO325" s="29">
        <v>258</v>
      </c>
      <c r="GP325" s="1504">
        <v>44348</v>
      </c>
      <c r="GQ325" s="19">
        <v>296</v>
      </c>
      <c r="GR325" s="93">
        <v>238</v>
      </c>
      <c r="GS325" s="93">
        <v>253</v>
      </c>
      <c r="GT325" s="93">
        <v>247</v>
      </c>
      <c r="GU325" s="93">
        <v>406</v>
      </c>
      <c r="GV325" s="20">
        <v>965</v>
      </c>
      <c r="GW325" s="19">
        <v>537</v>
      </c>
      <c r="GX325" s="93">
        <v>553</v>
      </c>
      <c r="GY325" s="93">
        <v>445</v>
      </c>
      <c r="GZ325" s="93">
        <v>524</v>
      </c>
      <c r="HA325" s="93">
        <v>540</v>
      </c>
      <c r="HB325" s="20">
        <v>1108</v>
      </c>
      <c r="HC325" s="19">
        <v>2410</v>
      </c>
      <c r="HD325" s="93">
        <v>2909</v>
      </c>
      <c r="HE325" s="93">
        <v>3287</v>
      </c>
      <c r="HF325" s="93">
        <v>3150</v>
      </c>
      <c r="HG325" s="93">
        <v>3253</v>
      </c>
      <c r="HH325" s="20">
        <v>3418</v>
      </c>
      <c r="HI325" s="19"/>
      <c r="HJ325" s="93">
        <v>898</v>
      </c>
      <c r="HK325" s="93">
        <v>1683</v>
      </c>
      <c r="HL325" s="93">
        <v>909</v>
      </c>
      <c r="HM325" s="93">
        <v>900</v>
      </c>
      <c r="HN325" s="20">
        <v>2903</v>
      </c>
      <c r="HO325" s="219">
        <v>138</v>
      </c>
      <c r="HP325" s="20">
        <v>99</v>
      </c>
      <c r="HQ325" s="25">
        <v>151</v>
      </c>
      <c r="HR325" s="29">
        <v>258</v>
      </c>
      <c r="HS325" s="1504">
        <v>44348</v>
      </c>
      <c r="HT325" s="179">
        <v>249.30938720703125</v>
      </c>
      <c r="HU325" s="99">
        <v>277.77777099609375</v>
      </c>
      <c r="HV325" s="99">
        <v>221.51898193359375</v>
      </c>
      <c r="HW325" s="99">
        <v>193.87755126953124</v>
      </c>
      <c r="HX325" s="99">
        <v>252.70269775390625</v>
      </c>
      <c r="HY325" s="99">
        <v>249.99999237060547</v>
      </c>
      <c r="HZ325" s="99">
        <v>239.97892150878906</v>
      </c>
      <c r="IA325" s="132">
        <v>247.27234268188477</v>
      </c>
      <c r="IB325" s="179">
        <v>314.97974853515626</v>
      </c>
      <c r="IC325" s="99">
        <v>156.25</v>
      </c>
      <c r="ID325" s="99">
        <v>230.55876541137695</v>
      </c>
      <c r="IE325" s="99">
        <v>218.95425415039063</v>
      </c>
      <c r="IF325" s="99">
        <v>210.52631225585938</v>
      </c>
      <c r="IG325" s="132">
        <v>147.35449600219727</v>
      </c>
      <c r="IH325" s="179">
        <v>200.74404716491699</v>
      </c>
      <c r="II325" s="99">
        <v>259.56282806396484</v>
      </c>
      <c r="IJ325" s="99">
        <v>203.38983154296875</v>
      </c>
      <c r="IK325" s="99">
        <v>203.61560668945313</v>
      </c>
      <c r="IL325" s="99">
        <v>218.55709838867188</v>
      </c>
      <c r="IM325" s="99">
        <v>189.69850158691406</v>
      </c>
      <c r="IN325" s="93">
        <v>216.43110656738281</v>
      </c>
      <c r="IO325" s="132">
        <v>231.13358306884766</v>
      </c>
      <c r="IP325" s="29">
        <v>258</v>
      </c>
      <c r="IQ325" s="19">
        <v>199.25925598144531</v>
      </c>
      <c r="IR325" s="93">
        <v>163.19445037841797</v>
      </c>
      <c r="IS325" s="93">
        <v>166.66667175292969</v>
      </c>
      <c r="IT325" s="93">
        <v>186.32279586791992</v>
      </c>
      <c r="IU325" s="93">
        <v>204.11391906738282</v>
      </c>
      <c r="IV325" s="20">
        <v>145.21857833862305</v>
      </c>
      <c r="IW325" s="29">
        <v>258</v>
      </c>
      <c r="IX325" s="19">
        <v>411.42857666015624</v>
      </c>
      <c r="IY325" s="93">
        <v>402.55375671386719</v>
      </c>
      <c r="IZ325" s="93">
        <v>400</v>
      </c>
      <c r="JA325" s="93">
        <v>350</v>
      </c>
      <c r="JB325" s="93">
        <v>402.5</v>
      </c>
      <c r="JC325" s="93">
        <v>400</v>
      </c>
      <c r="JD325" s="93">
        <v>370</v>
      </c>
      <c r="JE325" s="20">
        <v>400</v>
      </c>
      <c r="JF325" s="29">
        <v>258</v>
      </c>
      <c r="JG325" s="19">
        <v>190.68180847167969</v>
      </c>
      <c r="JH325" s="93">
        <v>245.90162658691406</v>
      </c>
      <c r="JI325" s="93">
        <v>188.30128288269043</v>
      </c>
      <c r="JJ325" s="93">
        <v>183.33333435058594</v>
      </c>
      <c r="JK325" s="93">
        <v>205.92127685546876</v>
      </c>
      <c r="JL325" s="93">
        <v>176.98863220214844</v>
      </c>
      <c r="JM325" s="93">
        <v>191.70387573242186</v>
      </c>
      <c r="JN325" s="20">
        <v>235.99205207824707</v>
      </c>
      <c r="JO325" s="29">
        <v>258</v>
      </c>
      <c r="JP325" s="19">
        <v>200.68027038574218</v>
      </c>
      <c r="JQ325" s="93">
        <v>125</v>
      </c>
      <c r="JR325" s="93">
        <v>188.07470703125</v>
      </c>
      <c r="JS325" s="93">
        <v>177.82258224487305</v>
      </c>
      <c r="JT325" s="93">
        <v>208.33334350585938</v>
      </c>
      <c r="JU325" s="20">
        <v>134.58549880981445</v>
      </c>
      <c r="JV325" s="29">
        <v>258</v>
      </c>
      <c r="JW325" s="1504">
        <v>44348</v>
      </c>
      <c r="JX325" s="19">
        <v>460000</v>
      </c>
      <c r="JY325" s="93">
        <v>370833</v>
      </c>
      <c r="JZ325" s="93"/>
      <c r="KA325" s="93"/>
      <c r="KB325" s="93">
        <v>416875</v>
      </c>
      <c r="KC325" s="93">
        <v>352500</v>
      </c>
      <c r="KD325" s="20">
        <v>437857</v>
      </c>
      <c r="KE325" s="29">
        <v>258</v>
      </c>
      <c r="KF325" s="19">
        <v>83125</v>
      </c>
      <c r="KG325" s="93">
        <v>51500</v>
      </c>
      <c r="KH325" s="93"/>
      <c r="KI325" s="93">
        <v>108125</v>
      </c>
      <c r="KJ325" s="93">
        <v>61500</v>
      </c>
      <c r="KK325" s="20"/>
      <c r="KL325" s="29">
        <v>258</v>
      </c>
      <c r="KM325" s="19">
        <v>42250</v>
      </c>
      <c r="KN325" s="93">
        <v>16818</v>
      </c>
      <c r="KO325" s="93"/>
      <c r="KP325" s="93">
        <v>68000</v>
      </c>
      <c r="KQ325" s="93">
        <v>44500</v>
      </c>
      <c r="KR325" s="20"/>
      <c r="KS325" s="29">
        <v>258</v>
      </c>
      <c r="KT325" s="19">
        <v>35875</v>
      </c>
      <c r="KU325" s="93">
        <v>29500</v>
      </c>
      <c r="KV325" s="93"/>
      <c r="KW325" s="93">
        <v>48375</v>
      </c>
      <c r="KX325" s="93">
        <v>28250</v>
      </c>
      <c r="KY325" s="20"/>
      <c r="KZ325" s="29">
        <v>258</v>
      </c>
      <c r="LA325" s="1504">
        <v>44348</v>
      </c>
      <c r="LB325" s="19"/>
      <c r="LC325" s="93"/>
      <c r="LD325" s="93"/>
      <c r="LE325" s="93"/>
      <c r="LF325" s="93"/>
      <c r="LG325" s="93"/>
      <c r="LH325" s="20"/>
      <c r="LI325" s="29"/>
      <c r="LJ325" s="19"/>
      <c r="LK325" s="93"/>
      <c r="LL325" s="93"/>
      <c r="LM325" s="93"/>
      <c r="LN325" s="93"/>
      <c r="LO325" s="20"/>
      <c r="LP325" s="29"/>
      <c r="LQ325" s="19"/>
      <c r="LR325" s="93">
        <v>188</v>
      </c>
      <c r="LS325" s="93">
        <v>463</v>
      </c>
      <c r="LT325" s="93">
        <v>663</v>
      </c>
      <c r="LU325" s="93">
        <v>1104</v>
      </c>
      <c r="LV325" s="93"/>
      <c r="LW325" s="93">
        <v>5</v>
      </c>
      <c r="LX325" s="93">
        <v>10</v>
      </c>
      <c r="LY325" s="93">
        <v>60</v>
      </c>
      <c r="LZ325" s="93"/>
      <c r="MA325" s="20"/>
      <c r="MB325" s="29">
        <v>258</v>
      </c>
      <c r="MC325" s="1504">
        <v>44348</v>
      </c>
      <c r="MD325" s="19">
        <v>1036.7895348745537</v>
      </c>
      <c r="ME325" s="93">
        <v>908.55988314570493</v>
      </c>
      <c r="MF325" s="93">
        <v>908.55988314570493</v>
      </c>
      <c r="MG325" s="93">
        <v>802.05830453030489</v>
      </c>
      <c r="MH325" s="93">
        <v>281.137998401</v>
      </c>
      <c r="MI325" s="93">
        <v>8.0411553060000003</v>
      </c>
      <c r="MJ325" s="93">
        <v>25.466792923355015</v>
      </c>
      <c r="MK325" s="93">
        <v>389.63059718735002</v>
      </c>
      <c r="ML325" s="93">
        <v>97.114128102999999</v>
      </c>
      <c r="MM325" s="93">
        <v>0.66763260959999993</v>
      </c>
      <c r="MN325" s="93">
        <v>106.50157861540001</v>
      </c>
      <c r="MO325" s="93">
        <v>2.5818871840000024</v>
      </c>
      <c r="MP325" s="93">
        <v>33.627118132</v>
      </c>
      <c r="MQ325" s="93">
        <v>1.222693963</v>
      </c>
      <c r="MR325" s="93">
        <v>15.305073302</v>
      </c>
      <c r="MS325" s="93">
        <v>53.764806034400003</v>
      </c>
      <c r="MT325" s="93">
        <v>0</v>
      </c>
      <c r="MU325" s="93">
        <v>128.22965172884872</v>
      </c>
      <c r="MV325" s="93">
        <v>82.715782795848725</v>
      </c>
      <c r="MW325" s="93">
        <v>45.513868933000005</v>
      </c>
      <c r="MX325" s="93">
        <v>1317.3568172053167</v>
      </c>
      <c r="MY325" s="93">
        <v>1321.997046292317</v>
      </c>
      <c r="MZ325" s="93">
        <v>979.60216556091621</v>
      </c>
      <c r="NA325" s="93">
        <v>497.88601828899999</v>
      </c>
      <c r="NB325" s="93">
        <v>78.07810798300001</v>
      </c>
      <c r="NC325" s="93">
        <v>79.699856486916204</v>
      </c>
      <c r="ND325" s="93">
        <v>66.448293405357916</v>
      </c>
      <c r="NE325" s="93">
        <v>13.251563081558295</v>
      </c>
      <c r="NF325" s="93">
        <v>323.93818280200003</v>
      </c>
      <c r="NG325" s="93">
        <v>5.5386032975000017</v>
      </c>
      <c r="NH325" s="93">
        <v>63.921309721</v>
      </c>
      <c r="NI325" s="93">
        <v>0</v>
      </c>
      <c r="NJ325" s="93">
        <v>10.201821857999999</v>
      </c>
      <c r="NK325" s="93">
        <v>342.39488073140063</v>
      </c>
      <c r="NL325" s="93">
        <v>161.17306792300002</v>
      </c>
      <c r="NM325" s="93">
        <v>1.228661548</v>
      </c>
      <c r="NN325" s="93">
        <v>179.99315126040062</v>
      </c>
      <c r="NO325" s="93">
        <v>-4.6402290869999936</v>
      </c>
      <c r="NP325" s="93">
        <v>-280.56728233076308</v>
      </c>
      <c r="NQ325" s="93">
        <v>-408.79693405961183</v>
      </c>
      <c r="NR325" s="93">
        <v>-149.10392631229504</v>
      </c>
      <c r="NS325" s="93">
        <v>-228.80378279921123</v>
      </c>
      <c r="NT325" s="93">
        <v>-352.05563446290301</v>
      </c>
      <c r="NU325" s="93">
        <v>-480.28528619175171</v>
      </c>
      <c r="NV325" s="93">
        <v>356.2039717531942</v>
      </c>
      <c r="NW325" s="93">
        <v>116.78127058379084</v>
      </c>
      <c r="NX325" s="93">
        <v>150.76372758340977</v>
      </c>
      <c r="NY325" s="93">
        <v>-33.982456999618968</v>
      </c>
      <c r="NZ325" s="93">
        <v>0</v>
      </c>
      <c r="OA325" s="93">
        <v>239.42270116940335</v>
      </c>
      <c r="OB325" s="93">
        <v>-26.11258452564843</v>
      </c>
      <c r="OC325" s="93">
        <v>265.53528569505175</v>
      </c>
      <c r="OD325" s="20">
        <v>0</v>
      </c>
      <c r="OE325" s="29">
        <v>258</v>
      </c>
      <c r="OF325" s="1504">
        <v>44348</v>
      </c>
      <c r="OG325" s="19"/>
      <c r="OH325" s="93">
        <v>635.84013341812897</v>
      </c>
      <c r="OI325" s="93">
        <v>2568.778376755</v>
      </c>
      <c r="OJ325" s="93">
        <v>2.0968655250000001</v>
      </c>
      <c r="OK325" s="93">
        <v>2265.0810000000001</v>
      </c>
      <c r="OL325" s="93">
        <v>301.60051123</v>
      </c>
      <c r="OM325" s="93">
        <v>3204.6185101731289</v>
      </c>
      <c r="ON325" s="93">
        <v>1810.2651083190001</v>
      </c>
      <c r="OO325" s="93">
        <v>5014.8836184921292</v>
      </c>
      <c r="OP325" s="93"/>
      <c r="OQ325" s="93">
        <v>2512.4441445041293</v>
      </c>
      <c r="OR325" s="93">
        <v>600.90114450412875</v>
      </c>
      <c r="OS325" s="93">
        <v>1911.5430000000003</v>
      </c>
      <c r="OT325" s="93">
        <v>3200.42611493</v>
      </c>
      <c r="OU325" s="93">
        <v>-23.426340929999981</v>
      </c>
      <c r="OV325" s="93">
        <v>-322.00534093000005</v>
      </c>
      <c r="OW325" s="93">
        <v>298.57900000000006</v>
      </c>
      <c r="OX325" s="93">
        <v>3223.8524558600002</v>
      </c>
      <c r="OY325" s="93">
        <v>7.9184558599999999</v>
      </c>
      <c r="OZ325" s="93">
        <v>3215.9340000000002</v>
      </c>
      <c r="PA325" s="93">
        <v>875.24170235899987</v>
      </c>
      <c r="PB325" s="93">
        <v>-177.25506141700004</v>
      </c>
      <c r="PC325" s="20">
        <v>5014.8836184921302</v>
      </c>
      <c r="PD325" s="29">
        <v>258</v>
      </c>
      <c r="PE325" s="19"/>
      <c r="PF325" s="93">
        <v>600.90114450412875</v>
      </c>
      <c r="PG325" s="93">
        <v>1097.3208725261288</v>
      </c>
      <c r="PH325" s="93">
        <v>496.41972802200002</v>
      </c>
      <c r="PI325" s="93">
        <v>710.3</v>
      </c>
      <c r="PJ325" s="93">
        <v>-315.44013859200004</v>
      </c>
      <c r="PK325" s="93">
        <v>207.07420046600001</v>
      </c>
      <c r="PL325" s="93">
        <v>522.51433905800002</v>
      </c>
      <c r="PM325" s="93">
        <v>7.9184558599999999</v>
      </c>
      <c r="PN325" s="93">
        <v>3.48</v>
      </c>
      <c r="PO325" s="93">
        <v>0</v>
      </c>
      <c r="PP325" s="93">
        <v>0</v>
      </c>
      <c r="PQ325" s="93">
        <v>4.4384558599999995</v>
      </c>
      <c r="PR325" s="93">
        <v>1012.5797583531289</v>
      </c>
      <c r="PS325" s="93">
        <v>730.78633575612889</v>
      </c>
      <c r="PT325" s="93">
        <v>279.363448753</v>
      </c>
      <c r="PU325" s="93">
        <v>2.429973844</v>
      </c>
      <c r="PV325" s="93">
        <v>0</v>
      </c>
      <c r="PW325" s="93">
        <v>0.62896064399999996</v>
      </c>
      <c r="PX325" s="93">
        <v>0</v>
      </c>
      <c r="PY325" s="93">
        <v>0</v>
      </c>
      <c r="PZ325" s="93">
        <v>0.62896064399999996</v>
      </c>
      <c r="QA325" s="93">
        <v>0</v>
      </c>
      <c r="QB325" s="93">
        <v>0</v>
      </c>
      <c r="QC325" s="93">
        <v>0</v>
      </c>
      <c r="QD325" s="93">
        <v>4.0387417150000005</v>
      </c>
      <c r="QE325" s="20">
        <v>-13.567998940000001</v>
      </c>
      <c r="QF325" s="1739">
        <v>258</v>
      </c>
      <c r="QG325" s="19"/>
      <c r="QH325" s="93">
        <v>1911.5430000000003</v>
      </c>
      <c r="QI325" s="93">
        <v>2230.3210000000004</v>
      </c>
      <c r="QJ325" s="93">
        <v>-318.77799999999996</v>
      </c>
      <c r="QK325" s="93">
        <v>337.50800000000004</v>
      </c>
      <c r="QL325" s="93">
        <v>88.381</v>
      </c>
      <c r="QM325" s="93">
        <v>249.12700000000001</v>
      </c>
      <c r="QN325" s="93">
        <v>0</v>
      </c>
      <c r="QO325" s="93">
        <v>298.57900000000006</v>
      </c>
      <c r="QP325" s="93">
        <v>1078.2270000000001</v>
      </c>
      <c r="QQ325" s="93">
        <v>-779.64800000000002</v>
      </c>
      <c r="QR325" s="93">
        <v>3215.9340000000002</v>
      </c>
      <c r="QS325" s="93">
        <v>29.606999999999999</v>
      </c>
      <c r="QT325" s="93">
        <v>0.11</v>
      </c>
      <c r="QU325" s="93">
        <v>255.95500000000001</v>
      </c>
      <c r="QV325" s="93">
        <v>2930.2620000000002</v>
      </c>
      <c r="QW325" s="93"/>
      <c r="QX325" s="93">
        <v>709.49</v>
      </c>
      <c r="QY325" s="93">
        <v>2265.0810000000001</v>
      </c>
      <c r="QZ325" s="93">
        <v>1809.9319999999998</v>
      </c>
      <c r="RA325" s="93">
        <v>0</v>
      </c>
      <c r="RB325" s="93">
        <v>183.08499999999998</v>
      </c>
      <c r="RC325" s="93">
        <v>0</v>
      </c>
      <c r="RD325" s="93">
        <v>32.707000000000001</v>
      </c>
      <c r="RE325" s="93">
        <v>0</v>
      </c>
      <c r="RF325" s="93">
        <v>0</v>
      </c>
      <c r="RG325" s="93">
        <v>654.78199999999993</v>
      </c>
      <c r="RH325" s="93">
        <v>108.48699999999991</v>
      </c>
      <c r="RI325" s="93"/>
      <c r="RJ325" s="93"/>
      <c r="RK325" s="93"/>
      <c r="RL325" s="93"/>
      <c r="RM325" s="20"/>
      <c r="RN325" s="29">
        <v>258</v>
      </c>
      <c r="RO325" s="19">
        <v>193</v>
      </c>
      <c r="RP325" s="20">
        <v>1083</v>
      </c>
      <c r="RQ325" s="29">
        <v>258</v>
      </c>
      <c r="RR325" s="20">
        <v>6.2679430000000007</v>
      </c>
      <c r="RS325" s="29">
        <v>258</v>
      </c>
      <c r="RT325" s="1504">
        <v>44348</v>
      </c>
      <c r="RU325" s="19">
        <v>1387</v>
      </c>
      <c r="RV325" s="20">
        <v>39</v>
      </c>
      <c r="RW325" s="29">
        <v>258</v>
      </c>
      <c r="RX325" s="1504">
        <v>44348</v>
      </c>
      <c r="RY325" s="29">
        <v>15095.750000000002</v>
      </c>
      <c r="RZ325" s="20">
        <v>13818.61</v>
      </c>
      <c r="SA325" s="29">
        <v>469643.63188314583</v>
      </c>
      <c r="SB325" s="29">
        <v>258</v>
      </c>
    </row>
    <row r="326" spans="1:496">
      <c r="A326" s="41">
        <f t="shared" si="238"/>
        <v>2021</v>
      </c>
      <c r="B326" s="1504">
        <v>44378</v>
      </c>
      <c r="C326" s="1813">
        <v>2041</v>
      </c>
      <c r="D326" s="1814">
        <v>31690</v>
      </c>
      <c r="E326" s="1814">
        <v>81</v>
      </c>
      <c r="F326" s="1815"/>
      <c r="G326" s="1814">
        <v>127149</v>
      </c>
      <c r="H326" s="1814">
        <v>23</v>
      </c>
      <c r="I326" s="1814">
        <v>42724</v>
      </c>
      <c r="J326" s="1816">
        <v>14970</v>
      </c>
      <c r="K326" s="1807">
        <v>218678</v>
      </c>
      <c r="L326" s="25">
        <v>259</v>
      </c>
      <c r="M326" s="97"/>
      <c r="N326" s="1504">
        <v>44378</v>
      </c>
      <c r="O326" s="19">
        <v>1444</v>
      </c>
      <c r="P326" s="93">
        <v>1130</v>
      </c>
      <c r="Q326" s="93">
        <v>10565</v>
      </c>
      <c r="R326" s="93">
        <v>2302</v>
      </c>
      <c r="S326" s="93">
        <v>2472</v>
      </c>
      <c r="T326" s="93">
        <v>1935</v>
      </c>
      <c r="U326" s="93">
        <v>378</v>
      </c>
      <c r="V326" s="93">
        <v>1758</v>
      </c>
      <c r="W326" s="93">
        <v>5243</v>
      </c>
      <c r="X326" s="93">
        <v>1249</v>
      </c>
      <c r="Y326" s="93">
        <v>678</v>
      </c>
      <c r="Z326" s="93">
        <v>1113</v>
      </c>
      <c r="AA326" s="93">
        <v>1423</v>
      </c>
      <c r="AB326" s="20">
        <v>31690</v>
      </c>
      <c r="AC326" s="25">
        <v>259</v>
      </c>
      <c r="AD326" s="97"/>
      <c r="AE326" s="1504">
        <v>44378</v>
      </c>
      <c r="AF326" s="19">
        <v>3056</v>
      </c>
      <c r="AG326" s="93">
        <v>1293</v>
      </c>
      <c r="AH326" s="93">
        <v>5335</v>
      </c>
      <c r="AI326" s="93">
        <v>5938</v>
      </c>
      <c r="AJ326" s="93">
        <v>2486</v>
      </c>
      <c r="AK326" s="93">
        <v>2299</v>
      </c>
      <c r="AL326" s="93">
        <v>1255</v>
      </c>
      <c r="AM326" s="93">
        <v>2132</v>
      </c>
      <c r="AN326" s="93">
        <v>9879</v>
      </c>
      <c r="AO326" s="93">
        <v>5107</v>
      </c>
      <c r="AP326" s="93">
        <v>1389</v>
      </c>
      <c r="AQ326" s="93">
        <v>1225</v>
      </c>
      <c r="AR326" s="93">
        <v>1330</v>
      </c>
      <c r="AS326" s="20">
        <v>42724</v>
      </c>
      <c r="AT326" s="25">
        <v>259</v>
      </c>
      <c r="AU326" s="97"/>
      <c r="AV326" s="1504">
        <v>44378</v>
      </c>
      <c r="AW326" s="19">
        <v>13743</v>
      </c>
      <c r="AX326" s="93">
        <v>5608</v>
      </c>
      <c r="AY326" s="93">
        <v>4691</v>
      </c>
      <c r="AZ326" s="93">
        <v>21137</v>
      </c>
      <c r="BA326" s="93">
        <v>9615</v>
      </c>
      <c r="BB326" s="93">
        <v>8005</v>
      </c>
      <c r="BC326" s="93">
        <v>5865</v>
      </c>
      <c r="BD326" s="93">
        <v>14479</v>
      </c>
      <c r="BE326" s="93">
        <v>17735</v>
      </c>
      <c r="BF326" s="93">
        <v>5743</v>
      </c>
      <c r="BG326" s="93">
        <v>5432</v>
      </c>
      <c r="BH326" s="93">
        <v>6531</v>
      </c>
      <c r="BI326" s="93">
        <v>8565</v>
      </c>
      <c r="BJ326" s="20">
        <v>127149</v>
      </c>
      <c r="BK326" s="25">
        <v>259</v>
      </c>
      <c r="BL326" s="97"/>
      <c r="BM326" s="1504">
        <v>44378</v>
      </c>
      <c r="BN326" s="19">
        <v>112.3</v>
      </c>
      <c r="BO326" s="93">
        <v>1743</v>
      </c>
      <c r="BP326" s="93">
        <v>16.2</v>
      </c>
      <c r="BQ326" s="93">
        <v>1144.3</v>
      </c>
      <c r="BR326" s="93">
        <v>4</v>
      </c>
      <c r="BS326" s="93">
        <v>427.2</v>
      </c>
      <c r="BT326" s="93">
        <v>419.2</v>
      </c>
      <c r="BU326" s="20">
        <v>3866.2</v>
      </c>
      <c r="BV326" s="25">
        <v>259</v>
      </c>
      <c r="BW326" s="97"/>
      <c r="BX326" s="1504">
        <v>44378</v>
      </c>
      <c r="BY326" s="19">
        <v>554.9171</v>
      </c>
      <c r="BZ326" s="93">
        <v>655.95699999999999</v>
      </c>
      <c r="CA326" s="93">
        <v>604.92409999999995</v>
      </c>
      <c r="CB326" s="93">
        <v>38.200197000000003</v>
      </c>
      <c r="CC326" s="93">
        <v>93.462480999999997</v>
      </c>
      <c r="CD326" s="25">
        <v>259</v>
      </c>
      <c r="CE326" s="97"/>
      <c r="CF326" s="1504">
        <v>44378</v>
      </c>
      <c r="CG326" s="19">
        <v>2.1539137400000001</v>
      </c>
      <c r="CH326" s="93">
        <v>1807.84</v>
      </c>
      <c r="CI326" s="219">
        <v>73.283333333333303</v>
      </c>
      <c r="CJ326" s="20">
        <v>74.39</v>
      </c>
      <c r="CK326" s="19">
        <v>397</v>
      </c>
      <c r="CL326" s="93">
        <v>278.43411680000003</v>
      </c>
      <c r="CM326" s="93">
        <v>0.39021773999999998</v>
      </c>
      <c r="CN326" s="93">
        <v>0.38605923199999997</v>
      </c>
      <c r="CO326" s="93">
        <v>294.27</v>
      </c>
      <c r="CP326" s="20">
        <v>5.5856252319999999</v>
      </c>
      <c r="CQ326" s="219">
        <v>2092.1928941281099</v>
      </c>
      <c r="CR326" s="93">
        <v>1.7633333333333301</v>
      </c>
      <c r="CS326" s="93">
        <v>1.867</v>
      </c>
      <c r="CT326" s="93">
        <v>125</v>
      </c>
      <c r="CU326" s="93">
        <v>214.14</v>
      </c>
      <c r="CV326" s="214">
        <v>2947.52</v>
      </c>
      <c r="CW326" s="29">
        <v>259</v>
      </c>
      <c r="CX326" s="41">
        <f t="shared" si="319"/>
        <v>2021</v>
      </c>
      <c r="CY326" s="1504">
        <v>44378</v>
      </c>
      <c r="CZ326" s="733">
        <v>174.309078</v>
      </c>
      <c r="DA326" s="570">
        <v>86.583000999999996</v>
      </c>
      <c r="DB326" s="570">
        <v>69.229622834498798</v>
      </c>
      <c r="DC326" s="93"/>
      <c r="DD326" s="93"/>
      <c r="DE326" s="20"/>
      <c r="DF326" s="29">
        <v>259</v>
      </c>
      <c r="DG326" s="1504">
        <v>44378</v>
      </c>
      <c r="DH326" s="419">
        <f t="shared" ref="DH326:DN334" si="320">(((DH325/DH324-1)+(DH324/DH323-1))^1/2+1)*DH325</f>
        <v>480943.72880326788</v>
      </c>
      <c r="DI326" s="100">
        <f t="shared" si="320"/>
        <v>4779731.2471746886</v>
      </c>
      <c r="DJ326" s="100">
        <f t="shared" si="320"/>
        <v>297479.5992160851</v>
      </c>
      <c r="DK326" s="100">
        <f t="shared" si="320"/>
        <v>16330.543603722917</v>
      </c>
      <c r="DL326" s="100">
        <f t="shared" si="320"/>
        <v>504449.00985146087</v>
      </c>
      <c r="DM326" s="100">
        <f t="shared" si="320"/>
        <v>5131.4175711187354</v>
      </c>
      <c r="DN326" s="306">
        <f t="shared" si="320"/>
        <v>1426074.4189200569</v>
      </c>
      <c r="DO326" s="1932">
        <f t="shared" si="282"/>
        <v>7029196.2363371337</v>
      </c>
      <c r="DP326" s="29">
        <v>259</v>
      </c>
      <c r="DQ326" s="1504">
        <v>44378</v>
      </c>
      <c r="DR326" s="179">
        <v>58242.2</v>
      </c>
      <c r="DS326" s="99">
        <v>288</v>
      </c>
      <c r="DT326" s="99">
        <v>67670.2</v>
      </c>
      <c r="DU326" s="99">
        <v>1103.6199999999999</v>
      </c>
      <c r="DV326" s="99">
        <v>34955.65</v>
      </c>
      <c r="DW326" s="99">
        <v>2847</v>
      </c>
      <c r="DX326" s="132">
        <v>20632.36</v>
      </c>
      <c r="DY326" s="29">
        <v>259</v>
      </c>
      <c r="DZ326" s="1504">
        <v>44378</v>
      </c>
      <c r="EA326" s="19"/>
      <c r="EB326" s="93"/>
      <c r="EC326" s="20"/>
      <c r="ED326" s="29"/>
      <c r="EE326" s="1504">
        <v>44378</v>
      </c>
      <c r="EF326" s="19">
        <f t="shared" si="307"/>
        <v>20055</v>
      </c>
      <c r="EG326" s="93">
        <f t="shared" si="308"/>
        <v>19518</v>
      </c>
      <c r="EH326" s="93">
        <f t="shared" si="309"/>
        <v>47825</v>
      </c>
      <c r="EI326" s="214">
        <f t="shared" si="310"/>
        <v>8252</v>
      </c>
      <c r="EJ326" s="93">
        <f t="shared" si="311"/>
        <v>534.66600000000005</v>
      </c>
      <c r="EK326" s="93">
        <f t="shared" si="312"/>
        <v>91.417999999999992</v>
      </c>
      <c r="EL326" s="93">
        <f t="shared" si="313"/>
        <v>82.566999999999993</v>
      </c>
      <c r="EM326" s="93">
        <f t="shared" si="314"/>
        <v>12.215</v>
      </c>
      <c r="EN326" s="20">
        <f t="shared" si="317"/>
        <v>720.8660000000001</v>
      </c>
      <c r="EO326" s="29">
        <v>259</v>
      </c>
      <c r="EP326" s="1504">
        <v>44378</v>
      </c>
      <c r="EQ326" s="19">
        <v>19257</v>
      </c>
      <c r="ER326" s="93">
        <v>18763</v>
      </c>
      <c r="ES326" s="93">
        <f t="shared" si="315"/>
        <v>38020</v>
      </c>
      <c r="ET326" s="214">
        <v>7943</v>
      </c>
      <c r="EU326" s="93">
        <v>529.67100000000005</v>
      </c>
      <c r="EV326" s="93">
        <v>88.07</v>
      </c>
      <c r="EW326" s="93">
        <v>82.566999999999993</v>
      </c>
      <c r="EX326" s="93">
        <v>12.215</v>
      </c>
      <c r="EY326" s="20">
        <v>712.52300000000002</v>
      </c>
      <c r="EZ326" s="29">
        <v>259</v>
      </c>
      <c r="FA326" s="1504">
        <v>44378</v>
      </c>
      <c r="FB326" s="29">
        <v>798</v>
      </c>
      <c r="FC326" s="29">
        <v>755</v>
      </c>
      <c r="FD326" s="29">
        <f t="shared" si="316"/>
        <v>1553</v>
      </c>
      <c r="FE326" s="29">
        <v>309</v>
      </c>
      <c r="FF326" s="29">
        <v>4.9950000000000001</v>
      </c>
      <c r="FG326" s="29">
        <v>3.3479999999999999</v>
      </c>
      <c r="FH326" s="29">
        <v>0</v>
      </c>
      <c r="FI326" s="29">
        <v>0</v>
      </c>
      <c r="FJ326" s="29">
        <f t="shared" si="318"/>
        <v>8.343</v>
      </c>
      <c r="FK326" s="29">
        <v>259</v>
      </c>
      <c r="FL326" s="1504">
        <v>44378</v>
      </c>
      <c r="FM326" s="19">
        <v>108.37</v>
      </c>
      <c r="FN326" s="93">
        <v>113.93</v>
      </c>
      <c r="FO326" s="93">
        <v>141.97999999999999</v>
      </c>
      <c r="FP326" s="93">
        <v>101.31</v>
      </c>
      <c r="FQ326" s="93">
        <v>97.76</v>
      </c>
      <c r="FR326" s="93">
        <v>101.3</v>
      </c>
      <c r="FS326" s="93">
        <v>100.56</v>
      </c>
      <c r="FT326" s="93">
        <v>98.47</v>
      </c>
      <c r="FU326" s="93">
        <v>98.78</v>
      </c>
      <c r="FV326" s="93">
        <v>101.15</v>
      </c>
      <c r="FW326" s="93">
        <v>107.83</v>
      </c>
      <c r="FX326" s="93">
        <v>105.87</v>
      </c>
      <c r="FY326" s="93">
        <v>100.86</v>
      </c>
      <c r="FZ326" s="29">
        <v>259</v>
      </c>
      <c r="GA326" s="1504">
        <v>44378</v>
      </c>
      <c r="GB326" s="19">
        <v>108.37</v>
      </c>
      <c r="GC326" s="93">
        <v>103.36</v>
      </c>
      <c r="GD326" s="93">
        <v>111.26</v>
      </c>
      <c r="GE326" s="93">
        <v>93.94</v>
      </c>
      <c r="GF326" s="93">
        <v>120.69</v>
      </c>
      <c r="GG326" s="93">
        <v>105.37</v>
      </c>
      <c r="GH326" s="93">
        <v>119.71</v>
      </c>
      <c r="GI326" s="93">
        <v>103.27</v>
      </c>
      <c r="GJ326" s="93">
        <v>102.63</v>
      </c>
      <c r="GK326" s="93">
        <v>100.28</v>
      </c>
      <c r="GL326" s="93">
        <v>112.69</v>
      </c>
      <c r="GM326" s="93">
        <v>101.51</v>
      </c>
      <c r="GN326" s="20">
        <v>102.62</v>
      </c>
      <c r="GO326" s="29">
        <v>259</v>
      </c>
      <c r="GP326" s="1504">
        <v>44378</v>
      </c>
      <c r="GQ326" s="19">
        <v>289</v>
      </c>
      <c r="GR326" s="93">
        <v>242</v>
      </c>
      <c r="GS326" s="93">
        <v>280</v>
      </c>
      <c r="GT326" s="93">
        <v>255</v>
      </c>
      <c r="GU326" s="93">
        <v>457</v>
      </c>
      <c r="GV326" s="20">
        <v>1022</v>
      </c>
      <c r="GW326" s="19">
        <v>530</v>
      </c>
      <c r="GX326" s="93">
        <v>510</v>
      </c>
      <c r="GY326" s="93">
        <v>453</v>
      </c>
      <c r="GZ326" s="93">
        <v>431</v>
      </c>
      <c r="HA326" s="93">
        <v>513</v>
      </c>
      <c r="HB326" s="20">
        <v>771</v>
      </c>
      <c r="HC326" s="19">
        <v>2578</v>
      </c>
      <c r="HD326" s="93">
        <v>2960</v>
      </c>
      <c r="HE326" s="93">
        <v>3019</v>
      </c>
      <c r="HF326" s="93">
        <v>3150</v>
      </c>
      <c r="HG326" s="93">
        <v>3236</v>
      </c>
      <c r="HH326" s="20">
        <v>3548</v>
      </c>
      <c r="HI326" s="19"/>
      <c r="HJ326" s="93">
        <v>873</v>
      </c>
      <c r="HK326" s="93">
        <v>1931</v>
      </c>
      <c r="HL326" s="93">
        <v>798</v>
      </c>
      <c r="HM326" s="93">
        <v>900</v>
      </c>
      <c r="HN326" s="20">
        <v>2799</v>
      </c>
      <c r="HO326" s="219">
        <v>134</v>
      </c>
      <c r="HP326" s="20">
        <v>99</v>
      </c>
      <c r="HQ326" s="25">
        <v>150</v>
      </c>
      <c r="HR326" s="29">
        <v>259</v>
      </c>
      <c r="HS326" s="1504">
        <v>44378</v>
      </c>
      <c r="HT326" s="19">
        <v>270.08517456054688</v>
      </c>
      <c r="HU326" s="93">
        <v>274.9999938964844</v>
      </c>
      <c r="HV326" s="93">
        <v>224.19004440307617</v>
      </c>
      <c r="HW326" s="93">
        <v>204.86656188964844</v>
      </c>
      <c r="HX326" s="93">
        <v>249.4505615234375</v>
      </c>
      <c r="HY326" s="93">
        <v>249.99999237060547</v>
      </c>
      <c r="HZ326" s="93">
        <v>238.70968246459961</v>
      </c>
      <c r="IA326" s="20">
        <v>248.08685493469238</v>
      </c>
      <c r="IB326" s="19">
        <v>316.00881958007813</v>
      </c>
      <c r="IC326" s="93">
        <v>157.14285659790039</v>
      </c>
      <c r="ID326" s="93">
        <v>225.73891296386719</v>
      </c>
      <c r="IE326" s="93">
        <v>224.57627105712891</v>
      </c>
      <c r="IF326" s="93">
        <v>188.78298568725586</v>
      </c>
      <c r="IG326" s="20">
        <v>152.95698547363281</v>
      </c>
      <c r="IH326" s="19">
        <v>197.22222137451172</v>
      </c>
      <c r="II326" s="93">
        <v>246.31146392822265</v>
      </c>
      <c r="IJ326" s="93">
        <v>204.9570426940918</v>
      </c>
      <c r="IK326" s="93">
        <v>213.52852884928384</v>
      </c>
      <c r="IL326" s="93">
        <v>222.22222137451172</v>
      </c>
      <c r="IM326" s="93">
        <v>218.13726043701172</v>
      </c>
      <c r="IN326" s="93">
        <v>234.22216186523437</v>
      </c>
      <c r="IO326" s="20">
        <v>230.07695579528809</v>
      </c>
      <c r="IP326" s="29">
        <v>259</v>
      </c>
      <c r="IQ326" s="19">
        <v>197.51138687133789</v>
      </c>
      <c r="IR326" s="93">
        <v>159.46772003173828</v>
      </c>
      <c r="IS326" s="93">
        <v>181.60919189453125</v>
      </c>
      <c r="IT326" s="93">
        <v>184.07533645629883</v>
      </c>
      <c r="IU326" s="93">
        <v>182.21574020385742</v>
      </c>
      <c r="IV326" s="20">
        <v>151.90057754516602</v>
      </c>
      <c r="IW326" s="29">
        <v>259</v>
      </c>
      <c r="IX326" s="19">
        <v>423.21429824829102</v>
      </c>
      <c r="IY326" s="93">
        <v>402.68816528320315</v>
      </c>
      <c r="IZ326" s="93">
        <v>425</v>
      </c>
      <c r="JA326" s="93">
        <v>350</v>
      </c>
      <c r="JB326" s="93">
        <v>415</v>
      </c>
      <c r="JC326" s="93">
        <v>400</v>
      </c>
      <c r="JD326" s="93">
        <v>378</v>
      </c>
      <c r="JE326" s="20">
        <v>400</v>
      </c>
      <c r="JF326" s="29">
        <v>259</v>
      </c>
      <c r="JG326" s="19">
        <v>210.40751647949219</v>
      </c>
      <c r="JH326" s="93">
        <v>243.18646392822265</v>
      </c>
      <c r="JI326" s="93">
        <v>196.59177780151367</v>
      </c>
      <c r="JJ326" s="93">
        <v>179.4871826171875</v>
      </c>
      <c r="JK326" s="93">
        <v>194.58569844563803</v>
      </c>
      <c r="JL326" s="93">
        <v>187.10227050781251</v>
      </c>
      <c r="JM326" s="93">
        <v>190.59406280517578</v>
      </c>
      <c r="JN326" s="20">
        <v>229.81463623046875</v>
      </c>
      <c r="JO326" s="29">
        <v>259</v>
      </c>
      <c r="JP326" s="19">
        <v>214.34157562255859</v>
      </c>
      <c r="JQ326" s="93">
        <v>125</v>
      </c>
      <c r="JR326" s="93">
        <v>179.86651916503905</v>
      </c>
      <c r="JS326" s="93">
        <v>172.41378784179688</v>
      </c>
      <c r="JT326" s="93">
        <v>200.95869445800781</v>
      </c>
      <c r="JU326" s="20">
        <v>138.42105102539063</v>
      </c>
      <c r="JV326" s="29">
        <v>259</v>
      </c>
      <c r="JW326" s="1504">
        <v>44378</v>
      </c>
      <c r="JX326" s="19">
        <v>465000</v>
      </c>
      <c r="JY326" s="93">
        <v>376786</v>
      </c>
      <c r="JZ326" s="93"/>
      <c r="KA326" s="93"/>
      <c r="KB326" s="93">
        <v>385000</v>
      </c>
      <c r="KC326" s="93">
        <v>270375</v>
      </c>
      <c r="KD326" s="20">
        <v>548846</v>
      </c>
      <c r="KE326" s="29">
        <v>259</v>
      </c>
      <c r="KF326" s="19">
        <v>78125</v>
      </c>
      <c r="KG326" s="93">
        <v>54321</v>
      </c>
      <c r="KH326" s="93"/>
      <c r="KI326" s="93">
        <v>108625</v>
      </c>
      <c r="KJ326" s="93">
        <v>70250</v>
      </c>
      <c r="KK326" s="20"/>
      <c r="KL326" s="29">
        <v>259</v>
      </c>
      <c r="KM326" s="19">
        <v>41500</v>
      </c>
      <c r="KN326" s="93">
        <v>20000</v>
      </c>
      <c r="KO326" s="93"/>
      <c r="KP326" s="93">
        <v>64875</v>
      </c>
      <c r="KQ326" s="93">
        <v>44875</v>
      </c>
      <c r="KR326" s="20"/>
      <c r="KS326" s="29">
        <v>259</v>
      </c>
      <c r="KT326" s="19">
        <v>34125</v>
      </c>
      <c r="KU326" s="93">
        <v>28607</v>
      </c>
      <c r="KV326" s="93"/>
      <c r="KW326" s="93">
        <v>46583</v>
      </c>
      <c r="KX326" s="93">
        <v>23875</v>
      </c>
      <c r="KY326" s="20"/>
      <c r="KZ326" s="29">
        <v>259</v>
      </c>
      <c r="LA326" s="1504">
        <v>44378</v>
      </c>
      <c r="LB326" s="19"/>
      <c r="LC326" s="93"/>
      <c r="LD326" s="93"/>
      <c r="LE326" s="93"/>
      <c r="LF326" s="93"/>
      <c r="LG326" s="93"/>
      <c r="LH326" s="20"/>
      <c r="LI326" s="29"/>
      <c r="LJ326" s="19"/>
      <c r="LK326" s="93"/>
      <c r="LL326" s="93"/>
      <c r="LM326" s="93"/>
      <c r="LN326" s="93"/>
      <c r="LO326" s="20"/>
      <c r="LP326" s="29"/>
      <c r="LQ326" s="19"/>
      <c r="LR326" s="93">
        <v>188</v>
      </c>
      <c r="LS326" s="93">
        <v>463</v>
      </c>
      <c r="LT326" s="93">
        <v>663</v>
      </c>
      <c r="LU326" s="93">
        <v>1104</v>
      </c>
      <c r="LV326" s="93"/>
      <c r="LW326" s="93">
        <v>5</v>
      </c>
      <c r="LX326" s="93">
        <v>10</v>
      </c>
      <c r="LY326" s="93">
        <v>60</v>
      </c>
      <c r="LZ326" s="93"/>
      <c r="MA326" s="20"/>
      <c r="MB326" s="29">
        <v>259</v>
      </c>
      <c r="MC326" s="1504">
        <v>44378</v>
      </c>
      <c r="MD326" s="19">
        <v>1234.5077867578177</v>
      </c>
      <c r="ME326" s="93">
        <v>1097.5145569188956</v>
      </c>
      <c r="MF326" s="93">
        <v>1097.5145569188956</v>
      </c>
      <c r="MG326" s="93">
        <v>966.21843872469549</v>
      </c>
      <c r="MH326" s="93">
        <v>354.493267</v>
      </c>
      <c r="MI326" s="93">
        <v>9.3812909729999987</v>
      </c>
      <c r="MJ326" s="93">
        <v>30.14493941654549</v>
      </c>
      <c r="MK326" s="93">
        <v>456.36614650055003</v>
      </c>
      <c r="ML326" s="93">
        <v>115.03591182299999</v>
      </c>
      <c r="MM326" s="93">
        <v>0.79688301159999997</v>
      </c>
      <c r="MN326" s="93">
        <v>131.29611819420001</v>
      </c>
      <c r="MO326" s="93">
        <v>3.0712976680000024</v>
      </c>
      <c r="MP326" s="93">
        <v>37.963597179600001</v>
      </c>
      <c r="MQ326" s="93">
        <v>1.3795543019999998</v>
      </c>
      <c r="MR326" s="93">
        <v>24.383106824000002</v>
      </c>
      <c r="MS326" s="93">
        <v>64.498562220600007</v>
      </c>
      <c r="MT326" s="93">
        <v>0</v>
      </c>
      <c r="MU326" s="93">
        <v>136.99322983892219</v>
      </c>
      <c r="MV326" s="93">
        <v>91.479360905922206</v>
      </c>
      <c r="MW326" s="93">
        <v>45.513868933000005</v>
      </c>
      <c r="MX326" s="93">
        <v>1608.8631729599224</v>
      </c>
      <c r="MY326" s="93">
        <v>1613.9383710669222</v>
      </c>
      <c r="MZ326" s="93">
        <v>1156.1705580924922</v>
      </c>
      <c r="NA326" s="93">
        <v>579.71599790499999</v>
      </c>
      <c r="NB326" s="93">
        <v>114.92088835300001</v>
      </c>
      <c r="NC326" s="93">
        <v>99.755395099492375</v>
      </c>
      <c r="ND326" s="93">
        <v>85.128831660357918</v>
      </c>
      <c r="NE326" s="93">
        <v>14.626563439134449</v>
      </c>
      <c r="NF326" s="93">
        <v>361.77827673500002</v>
      </c>
      <c r="NG326" s="93">
        <v>6.5837947600000009</v>
      </c>
      <c r="NH326" s="93">
        <v>74.986589209999991</v>
      </c>
      <c r="NI326" s="93">
        <v>0</v>
      </c>
      <c r="NJ326" s="93">
        <v>10.201821857999999</v>
      </c>
      <c r="NK326" s="93">
        <v>457.76781297442983</v>
      </c>
      <c r="NL326" s="93">
        <v>242.73201988899999</v>
      </c>
      <c r="NM326" s="93">
        <v>4.446540551</v>
      </c>
      <c r="NN326" s="93">
        <v>210.58925253442987</v>
      </c>
      <c r="NO326" s="93">
        <v>-5.0751981069999932</v>
      </c>
      <c r="NP326" s="93">
        <v>-374.35538620210457</v>
      </c>
      <c r="NQ326" s="93">
        <v>-511.34861604102684</v>
      </c>
      <c r="NR326" s="93">
        <v>-201.00396840710457</v>
      </c>
      <c r="NS326" s="93">
        <v>-300.75936350659691</v>
      </c>
      <c r="NT326" s="93">
        <v>-433.66145729854026</v>
      </c>
      <c r="NU326" s="93">
        <v>-570.65468713746236</v>
      </c>
      <c r="NV326" s="93">
        <v>435.73571855367311</v>
      </c>
      <c r="NW326" s="93">
        <v>136.64132122576976</v>
      </c>
      <c r="NX326" s="93">
        <v>173.69122113736555</v>
      </c>
      <c r="NY326" s="93">
        <v>-37.049899911595837</v>
      </c>
      <c r="NZ326" s="93">
        <v>0</v>
      </c>
      <c r="OA326" s="93">
        <v>299.09439732790327</v>
      </c>
      <c r="OB326" s="93">
        <v>34.012455819070695</v>
      </c>
      <c r="OC326" s="93">
        <v>265.08194150883259</v>
      </c>
      <c r="OD326" s="20">
        <v>0</v>
      </c>
      <c r="OE326" s="29">
        <v>259</v>
      </c>
      <c r="OF326" s="1504">
        <v>44378</v>
      </c>
      <c r="OG326" s="19"/>
      <c r="OH326" s="93">
        <v>619.66947138400008</v>
      </c>
      <c r="OI326" s="93">
        <v>2564.5620450610004</v>
      </c>
      <c r="OJ326" s="93">
        <v>1.087533831</v>
      </c>
      <c r="OK326" s="93">
        <v>2261.8740000000003</v>
      </c>
      <c r="OL326" s="93">
        <v>301.60051123</v>
      </c>
      <c r="OM326" s="93">
        <v>3184.2315164450006</v>
      </c>
      <c r="ON326" s="93">
        <v>1907.174108319</v>
      </c>
      <c r="OO326" s="93">
        <v>5091.4056247640001</v>
      </c>
      <c r="OP326" s="93"/>
      <c r="OQ326" s="93">
        <v>2553.5460892639999</v>
      </c>
      <c r="OR326" s="93">
        <v>726.65408926399982</v>
      </c>
      <c r="OS326" s="93">
        <v>1826.8920000000001</v>
      </c>
      <c r="OT326" s="93">
        <v>3172.24010567</v>
      </c>
      <c r="OU326" s="93">
        <v>-154.40305045099996</v>
      </c>
      <c r="OV326" s="93">
        <v>-417.85405045099998</v>
      </c>
      <c r="OW326" s="93">
        <v>263.45100000000002</v>
      </c>
      <c r="OX326" s="93">
        <v>3326.6431561210002</v>
      </c>
      <c r="OY326" s="93">
        <v>7.6091561209999998</v>
      </c>
      <c r="OZ326" s="93">
        <v>3319.0340000000001</v>
      </c>
      <c r="PA326" s="93">
        <v>950.14307247199986</v>
      </c>
      <c r="PB326" s="93">
        <v>-315.76250230199992</v>
      </c>
      <c r="PC326" s="20">
        <v>5091.405624764001</v>
      </c>
      <c r="PD326" s="29">
        <v>259</v>
      </c>
      <c r="PE326" s="19"/>
      <c r="PF326" s="93">
        <v>726.65408926399982</v>
      </c>
      <c r="PG326" s="93">
        <v>1224.9012807089998</v>
      </c>
      <c r="PH326" s="93">
        <v>498.247191445</v>
      </c>
      <c r="PI326" s="93">
        <v>732</v>
      </c>
      <c r="PJ326" s="93">
        <v>-411.28884811299997</v>
      </c>
      <c r="PK326" s="93">
        <v>207.08692773300001</v>
      </c>
      <c r="PL326" s="93">
        <v>618.37577584600001</v>
      </c>
      <c r="PM326" s="93">
        <v>7.6091561209999998</v>
      </c>
      <c r="PN326" s="93">
        <v>3.218</v>
      </c>
      <c r="PO326" s="93">
        <v>0</v>
      </c>
      <c r="PP326" s="93">
        <v>0</v>
      </c>
      <c r="PQ326" s="93">
        <v>4.3911561209999999</v>
      </c>
      <c r="PR326" s="93">
        <v>1058.7497779329999</v>
      </c>
      <c r="PS326" s="93">
        <v>724.02967372199998</v>
      </c>
      <c r="PT326" s="93">
        <v>333.29946206099999</v>
      </c>
      <c r="PU326" s="93">
        <v>1.4206421499999999</v>
      </c>
      <c r="PV326" s="93">
        <v>0</v>
      </c>
      <c r="PW326" s="93">
        <v>0.75151269799999998</v>
      </c>
      <c r="PX326" s="93">
        <v>0</v>
      </c>
      <c r="PY326" s="93">
        <v>0</v>
      </c>
      <c r="PZ326" s="93">
        <v>0.75151269799999998</v>
      </c>
      <c r="QA326" s="93">
        <v>0</v>
      </c>
      <c r="QB326" s="93">
        <v>0</v>
      </c>
      <c r="QC326" s="93">
        <v>0</v>
      </c>
      <c r="QD326" s="93">
        <v>4.1835597739999999</v>
      </c>
      <c r="QE326" s="20">
        <v>-8.7104531329999997</v>
      </c>
      <c r="QF326" s="1739">
        <v>259</v>
      </c>
      <c r="QG326" s="19"/>
      <c r="QH326" s="93">
        <v>1826.8920000000001</v>
      </c>
      <c r="QI326" s="93">
        <v>2128.2350000000001</v>
      </c>
      <c r="QJ326" s="93">
        <v>-301.34300000000002</v>
      </c>
      <c r="QK326" s="93">
        <v>439.78300000000002</v>
      </c>
      <c r="QL326" s="93">
        <v>97.795000000000002</v>
      </c>
      <c r="QM326" s="93">
        <v>341.988</v>
      </c>
      <c r="QN326" s="93">
        <v>0</v>
      </c>
      <c r="QO326" s="93">
        <v>263.45100000000002</v>
      </c>
      <c r="QP326" s="93">
        <v>1029.73</v>
      </c>
      <c r="QQ326" s="93">
        <v>-766.279</v>
      </c>
      <c r="QR326" s="93">
        <v>3319.0340000000001</v>
      </c>
      <c r="QS326" s="93">
        <v>44.836999999999996</v>
      </c>
      <c r="QT326" s="93">
        <v>0.107</v>
      </c>
      <c r="QU326" s="93">
        <v>265.97800000000001</v>
      </c>
      <c r="QV326" s="93">
        <v>3008.1120000000001</v>
      </c>
      <c r="QW326" s="93"/>
      <c r="QX326" s="93">
        <v>726.80300000000011</v>
      </c>
      <c r="QY326" s="93">
        <v>2261.8739999999998</v>
      </c>
      <c r="QZ326" s="93">
        <v>1906.8409999999999</v>
      </c>
      <c r="RA326" s="93">
        <v>0</v>
      </c>
      <c r="RB326" s="93">
        <v>181.398</v>
      </c>
      <c r="RC326" s="93">
        <v>0</v>
      </c>
      <c r="RD326" s="93">
        <v>52.944000000000003</v>
      </c>
      <c r="RE326" s="93">
        <v>0</v>
      </c>
      <c r="RF326" s="93">
        <v>0</v>
      </c>
      <c r="RG326" s="93">
        <v>710.86599999999999</v>
      </c>
      <c r="RH326" s="93">
        <v>8.4340000000000259</v>
      </c>
      <c r="RI326" s="93"/>
      <c r="RJ326" s="93"/>
      <c r="RK326" s="93"/>
      <c r="RL326" s="93"/>
      <c r="RM326" s="20"/>
      <c r="RN326" s="29">
        <v>259</v>
      </c>
      <c r="RO326" s="19">
        <v>1902</v>
      </c>
      <c r="RP326" s="20">
        <v>231</v>
      </c>
      <c r="RQ326" s="29">
        <v>259</v>
      </c>
      <c r="RR326" s="20">
        <v>5.6021510000000001</v>
      </c>
      <c r="RS326" s="29">
        <v>259</v>
      </c>
      <c r="RT326" s="1504">
        <v>44378</v>
      </c>
      <c r="RU326" s="19">
        <v>1224</v>
      </c>
      <c r="RV326" s="20">
        <v>26</v>
      </c>
      <c r="RW326" s="29">
        <v>259</v>
      </c>
      <c r="RX326" s="1504">
        <v>44378</v>
      </c>
      <c r="RY326" s="29"/>
      <c r="RZ326" s="20"/>
      <c r="SA326" s="29"/>
      <c r="SB326" s="29"/>
    </row>
    <row r="327" spans="1:496">
      <c r="A327" s="41">
        <f t="shared" si="238"/>
        <v>2021</v>
      </c>
      <c r="B327" s="1504">
        <v>44409</v>
      </c>
      <c r="C327" s="1813">
        <v>1250</v>
      </c>
      <c r="D327" s="1814">
        <v>27511</v>
      </c>
      <c r="E327" s="1814">
        <v>48</v>
      </c>
      <c r="F327" s="1815"/>
      <c r="G327" s="1814">
        <v>114653</v>
      </c>
      <c r="H327" s="1814">
        <v>14</v>
      </c>
      <c r="I327" s="1814">
        <v>30738</v>
      </c>
      <c r="J327" s="1816">
        <v>15332</v>
      </c>
      <c r="K327" s="1807">
        <v>189546</v>
      </c>
      <c r="L327" s="25">
        <v>260</v>
      </c>
      <c r="M327" s="97"/>
      <c r="N327" s="1504">
        <v>44409</v>
      </c>
      <c r="O327" s="19">
        <v>1258</v>
      </c>
      <c r="P327" s="93">
        <v>1150</v>
      </c>
      <c r="Q327" s="93">
        <v>9472</v>
      </c>
      <c r="R327" s="93">
        <v>1979</v>
      </c>
      <c r="S327" s="93">
        <v>2145</v>
      </c>
      <c r="T327" s="93">
        <v>732</v>
      </c>
      <c r="U327" s="93">
        <v>236</v>
      </c>
      <c r="V327" s="93">
        <v>1601</v>
      </c>
      <c r="W327" s="93">
        <v>4640</v>
      </c>
      <c r="X327" s="93">
        <v>1008</v>
      </c>
      <c r="Y327" s="93">
        <v>893</v>
      </c>
      <c r="Z327" s="93">
        <v>1036</v>
      </c>
      <c r="AA327" s="93">
        <v>1361</v>
      </c>
      <c r="AB327" s="20">
        <v>27511</v>
      </c>
      <c r="AC327" s="25">
        <v>260</v>
      </c>
      <c r="AD327" s="97"/>
      <c r="AE327" s="1504">
        <v>44409</v>
      </c>
      <c r="AF327" s="19">
        <v>2164</v>
      </c>
      <c r="AG327" s="93">
        <v>1221</v>
      </c>
      <c r="AH327" s="93">
        <v>3801</v>
      </c>
      <c r="AI327" s="93">
        <v>4489</v>
      </c>
      <c r="AJ327" s="93">
        <v>1772</v>
      </c>
      <c r="AK327" s="93">
        <v>1686</v>
      </c>
      <c r="AL327" s="93">
        <v>745</v>
      </c>
      <c r="AM327" s="93">
        <v>1760</v>
      </c>
      <c r="AN327" s="93">
        <v>7907</v>
      </c>
      <c r="AO327" s="93">
        <v>1404</v>
      </c>
      <c r="AP327" s="93">
        <v>933</v>
      </c>
      <c r="AQ327" s="93">
        <v>1403</v>
      </c>
      <c r="AR327" s="93">
        <v>1453</v>
      </c>
      <c r="AS327" s="20">
        <v>30738</v>
      </c>
      <c r="AT327" s="25">
        <v>260</v>
      </c>
      <c r="AU327" s="97"/>
      <c r="AV327" s="1504">
        <v>44409</v>
      </c>
      <c r="AW327" s="19">
        <v>13999</v>
      </c>
      <c r="AX327" s="93">
        <v>4817</v>
      </c>
      <c r="AY327" s="93">
        <v>4626</v>
      </c>
      <c r="AZ327" s="93">
        <v>18352</v>
      </c>
      <c r="BA327" s="93">
        <v>7879</v>
      </c>
      <c r="BB327" s="93">
        <v>11953</v>
      </c>
      <c r="BC327" s="93">
        <v>5806</v>
      </c>
      <c r="BD327" s="93">
        <v>9877</v>
      </c>
      <c r="BE327" s="93">
        <v>13642</v>
      </c>
      <c r="BF327" s="93">
        <v>5855</v>
      </c>
      <c r="BG327" s="93">
        <v>5935</v>
      </c>
      <c r="BH327" s="93">
        <v>4873</v>
      </c>
      <c r="BI327" s="93">
        <v>7039</v>
      </c>
      <c r="BJ327" s="20">
        <v>114653</v>
      </c>
      <c r="BK327" s="25">
        <v>260</v>
      </c>
      <c r="BL327" s="97"/>
      <c r="BM327" s="1504">
        <v>44409</v>
      </c>
      <c r="BN327" s="19">
        <v>68.8</v>
      </c>
      <c r="BO327" s="93">
        <v>1513.1</v>
      </c>
      <c r="BP327" s="93">
        <v>9.6</v>
      </c>
      <c r="BQ327" s="93">
        <v>1031.9000000000001</v>
      </c>
      <c r="BR327" s="93">
        <v>2.5</v>
      </c>
      <c r="BS327" s="93">
        <v>307.39999999999998</v>
      </c>
      <c r="BT327" s="93">
        <v>429.3</v>
      </c>
      <c r="BU327" s="20">
        <v>3362.5</v>
      </c>
      <c r="BV327" s="25">
        <v>260</v>
      </c>
      <c r="BW327" s="97"/>
      <c r="BX327" s="1504">
        <v>44409</v>
      </c>
      <c r="BY327" s="19">
        <v>557.40319999999997</v>
      </c>
      <c r="BZ327" s="93">
        <v>655.95699999999999</v>
      </c>
      <c r="CA327" s="93">
        <v>609.52919999999995</v>
      </c>
      <c r="CB327" s="93">
        <v>37.72484</v>
      </c>
      <c r="CC327" s="93">
        <v>92.628103999999993</v>
      </c>
      <c r="CD327" s="25">
        <v>260</v>
      </c>
      <c r="CE327" s="97"/>
      <c r="CF327" s="1504">
        <v>44409</v>
      </c>
      <c r="CG327" s="19">
        <v>2.2332800599999998</v>
      </c>
      <c r="CH327" s="93">
        <v>1785.28</v>
      </c>
      <c r="CI327" s="219">
        <v>68.866666666666703</v>
      </c>
      <c r="CJ327" s="20">
        <v>70.02</v>
      </c>
      <c r="CK327" s="19">
        <v>381</v>
      </c>
      <c r="CL327" s="93">
        <v>256.61243439999998</v>
      </c>
      <c r="CM327" s="93">
        <v>0.42945997600000002</v>
      </c>
      <c r="CN327" s="93">
        <v>0.38442643199999998</v>
      </c>
      <c r="CO327" s="93">
        <v>324.52</v>
      </c>
      <c r="CP327" s="20">
        <v>5.60965559</v>
      </c>
      <c r="CQ327" s="219">
        <v>2102.2883548599998</v>
      </c>
      <c r="CR327" s="93">
        <v>2.1560000000000001</v>
      </c>
      <c r="CS327" s="93">
        <v>1.9004000000000001</v>
      </c>
      <c r="CT327" s="93">
        <v>136.88</v>
      </c>
      <c r="CU327" s="93">
        <v>162.16</v>
      </c>
      <c r="CV327" s="214">
        <v>2987.95</v>
      </c>
      <c r="CW327" s="29">
        <v>260</v>
      </c>
      <c r="CX327" s="41">
        <f t="shared" si="319"/>
        <v>2021</v>
      </c>
      <c r="CY327" s="1504">
        <v>44409</v>
      </c>
      <c r="CZ327" s="733">
        <v>162.20991100000003</v>
      </c>
      <c r="DA327" s="570">
        <v>78.165429000000003</v>
      </c>
      <c r="DB327" s="570">
        <v>65.426318907925406</v>
      </c>
      <c r="DC327" s="93"/>
      <c r="DD327" s="93"/>
      <c r="DE327" s="20"/>
      <c r="DF327" s="29">
        <v>260</v>
      </c>
      <c r="DG327" s="1504">
        <v>44409</v>
      </c>
      <c r="DH327" s="419">
        <f t="shared" si="320"/>
        <v>485154.39707387536</v>
      </c>
      <c r="DI327" s="100">
        <f t="shared" si="320"/>
        <v>4614225.2790044239</v>
      </c>
      <c r="DJ327" s="100">
        <f t="shared" si="320"/>
        <v>312897.59853218758</v>
      </c>
      <c r="DK327" s="100">
        <f t="shared" si="320"/>
        <v>14917.166939139834</v>
      </c>
      <c r="DL327" s="100">
        <f t="shared" si="320"/>
        <v>493607.79213078693</v>
      </c>
      <c r="DM327" s="100">
        <f t="shared" si="320"/>
        <v>4224.0070655353584</v>
      </c>
      <c r="DN327" s="306">
        <f t="shared" si="320"/>
        <v>1253926.7711023253</v>
      </c>
      <c r="DO327" s="1932">
        <f t="shared" si="282"/>
        <v>6693798.6147743994</v>
      </c>
      <c r="DP327" s="29">
        <v>260</v>
      </c>
      <c r="DQ327" s="1504">
        <v>44409</v>
      </c>
      <c r="DR327" s="19">
        <v>56736.08</v>
      </c>
      <c r="DS327" s="93">
        <v>187</v>
      </c>
      <c r="DT327" s="93">
        <v>55918.03</v>
      </c>
      <c r="DU327" s="93">
        <v>1760.64</v>
      </c>
      <c r="DV327" s="93">
        <v>27740.240000000002</v>
      </c>
      <c r="DW327" s="93">
        <v>3348</v>
      </c>
      <c r="DX327" s="20">
        <v>21127.34</v>
      </c>
      <c r="DY327" s="29">
        <v>260</v>
      </c>
      <c r="DZ327" s="1504">
        <v>44409</v>
      </c>
      <c r="EA327" s="19"/>
      <c r="EB327" s="93"/>
      <c r="EC327" s="20"/>
      <c r="ED327" s="29"/>
      <c r="EE327" s="1504">
        <v>44409</v>
      </c>
      <c r="EF327" s="19">
        <f t="shared" si="307"/>
        <v>18946</v>
      </c>
      <c r="EG327" s="93">
        <f t="shared" si="308"/>
        <v>22228</v>
      </c>
      <c r="EH327" s="93">
        <f t="shared" si="309"/>
        <v>48818</v>
      </c>
      <c r="EI327" s="214">
        <f t="shared" si="310"/>
        <v>7644</v>
      </c>
      <c r="EJ327" s="93">
        <f t="shared" si="311"/>
        <v>691.69600000000003</v>
      </c>
      <c r="EK327" s="93">
        <f t="shared" si="312"/>
        <v>75.882000000000005</v>
      </c>
      <c r="EL327" s="93">
        <f t="shared" si="313"/>
        <v>6.4610000000000003</v>
      </c>
      <c r="EM327" s="93">
        <f t="shared" si="314"/>
        <v>9.9169999999999998</v>
      </c>
      <c r="EN327" s="20">
        <f t="shared" si="317"/>
        <v>783.95600000000002</v>
      </c>
      <c r="EO327" s="29">
        <v>260</v>
      </c>
      <c r="EP327" s="1504">
        <v>44409</v>
      </c>
      <c r="EQ327" s="19">
        <v>18062</v>
      </c>
      <c r="ER327" s="93">
        <v>21214</v>
      </c>
      <c r="ES327" s="93">
        <f t="shared" si="315"/>
        <v>39276</v>
      </c>
      <c r="ET327" s="214">
        <v>7356</v>
      </c>
      <c r="EU327" s="93">
        <v>689.45100000000002</v>
      </c>
      <c r="EV327" s="93">
        <v>75.882000000000005</v>
      </c>
      <c r="EW327" s="93">
        <v>6.4610000000000003</v>
      </c>
      <c r="EX327" s="93">
        <v>9.9169999999999998</v>
      </c>
      <c r="EY327" s="20">
        <v>781.71100000000001</v>
      </c>
      <c r="EZ327" s="29">
        <v>260</v>
      </c>
      <c r="FA327" s="1504">
        <v>44409</v>
      </c>
      <c r="FB327" s="29">
        <v>884</v>
      </c>
      <c r="FC327" s="29">
        <v>1014</v>
      </c>
      <c r="FD327" s="29">
        <f t="shared" si="316"/>
        <v>1898</v>
      </c>
      <c r="FE327" s="29">
        <v>288</v>
      </c>
      <c r="FF327" s="29">
        <v>2.2450000000000001</v>
      </c>
      <c r="FG327" s="29">
        <v>0</v>
      </c>
      <c r="FH327" s="29">
        <v>0</v>
      </c>
      <c r="FI327" s="29">
        <v>0</v>
      </c>
      <c r="FJ327" s="29">
        <f t="shared" si="318"/>
        <v>2.2450000000000001</v>
      </c>
      <c r="FK327" s="29">
        <v>260</v>
      </c>
      <c r="FL327" s="1504">
        <v>44409</v>
      </c>
      <c r="FM327" s="19">
        <v>108.82</v>
      </c>
      <c r="FN327" s="93">
        <v>114.78</v>
      </c>
      <c r="FO327" s="93">
        <v>143.36000000000001</v>
      </c>
      <c r="FP327" s="93">
        <v>101.32</v>
      </c>
      <c r="FQ327" s="93">
        <v>97.83</v>
      </c>
      <c r="FR327" s="93">
        <v>101.3</v>
      </c>
      <c r="FS327" s="93">
        <v>100.56</v>
      </c>
      <c r="FT327" s="93">
        <v>98.47</v>
      </c>
      <c r="FU327" s="93">
        <v>98.74</v>
      </c>
      <c r="FV327" s="93">
        <v>101.15</v>
      </c>
      <c r="FW327" s="93">
        <v>107.83</v>
      </c>
      <c r="FX327" s="93">
        <v>106.16</v>
      </c>
      <c r="FY327" s="93">
        <v>100.86</v>
      </c>
      <c r="FZ327" s="29">
        <v>260</v>
      </c>
      <c r="GA327" s="1504">
        <v>44409</v>
      </c>
      <c r="GB327" s="19">
        <v>108.82</v>
      </c>
      <c r="GC327" s="93">
        <v>103.62</v>
      </c>
      <c r="GD327" s="93">
        <v>111.72</v>
      </c>
      <c r="GE327" s="93">
        <v>94.07</v>
      </c>
      <c r="GF327" s="93">
        <v>119.79</v>
      </c>
      <c r="GG327" s="93">
        <v>106.24</v>
      </c>
      <c r="GH327" s="93">
        <v>119.86</v>
      </c>
      <c r="GI327" s="93">
        <v>103.87</v>
      </c>
      <c r="GJ327" s="93">
        <v>102.63</v>
      </c>
      <c r="GK327" s="93">
        <v>100.29</v>
      </c>
      <c r="GL327" s="93">
        <v>113.32</v>
      </c>
      <c r="GM327" s="93">
        <v>101.52</v>
      </c>
      <c r="GN327" s="20">
        <v>102.62</v>
      </c>
      <c r="GO327" s="29">
        <v>260</v>
      </c>
      <c r="GP327" s="1504">
        <v>44409</v>
      </c>
      <c r="GQ327" s="19">
        <v>284</v>
      </c>
      <c r="GR327" s="93">
        <v>234</v>
      </c>
      <c r="GS327" s="93">
        <v>271</v>
      </c>
      <c r="GT327" s="93">
        <v>245</v>
      </c>
      <c r="GU327" s="93">
        <v>460</v>
      </c>
      <c r="GV327" s="20">
        <v>961</v>
      </c>
      <c r="GW327" s="19">
        <v>576</v>
      </c>
      <c r="GX327" s="93">
        <v>498</v>
      </c>
      <c r="GY327" s="93">
        <v>452</v>
      </c>
      <c r="GZ327" s="93">
        <v>535</v>
      </c>
      <c r="HA327" s="93">
        <v>335</v>
      </c>
      <c r="HB327" s="20">
        <v>327</v>
      </c>
      <c r="HC327" s="19">
        <v>2457</v>
      </c>
      <c r="HD327" s="93">
        <v>2565</v>
      </c>
      <c r="HE327" s="93">
        <v>2939</v>
      </c>
      <c r="HF327" s="93">
        <v>3150</v>
      </c>
      <c r="HG327" s="93">
        <v>3218</v>
      </c>
      <c r="HH327" s="20">
        <v>3306</v>
      </c>
      <c r="HI327" s="19"/>
      <c r="HJ327" s="93">
        <v>883</v>
      </c>
      <c r="HK327" s="93">
        <v>2027</v>
      </c>
      <c r="HL327" s="93">
        <v>763</v>
      </c>
      <c r="HM327" s="93">
        <v>977</v>
      </c>
      <c r="HN327" s="20">
        <v>2735</v>
      </c>
      <c r="HO327" s="219">
        <v>142</v>
      </c>
      <c r="HP327" s="20">
        <v>99</v>
      </c>
      <c r="HQ327" s="25">
        <v>159</v>
      </c>
      <c r="HR327" s="29">
        <v>260</v>
      </c>
      <c r="HS327" s="1504">
        <v>44409</v>
      </c>
      <c r="HT327" s="19">
        <v>249.30938720703125</v>
      </c>
      <c r="HU327" s="93">
        <v>277.77777099609375</v>
      </c>
      <c r="HV327" s="93">
        <v>225.66124572753907</v>
      </c>
      <c r="HW327" s="93">
        <v>205.12820434570313</v>
      </c>
      <c r="HX327" s="93">
        <v>256.85840606689453</v>
      </c>
      <c r="HY327" s="93">
        <v>249.99999237060547</v>
      </c>
      <c r="HZ327" s="93">
        <v>241.58415832519532</v>
      </c>
      <c r="IA327" s="20">
        <v>248.69004058837891</v>
      </c>
      <c r="IB327" s="19">
        <v>296.16045761108398</v>
      </c>
      <c r="IC327" s="93">
        <v>153.06121826171875</v>
      </c>
      <c r="ID327" s="93">
        <v>213.79309692382813</v>
      </c>
      <c r="IE327" s="93">
        <v>193.3110382080078</v>
      </c>
      <c r="IF327" s="93">
        <v>202.34602966308594</v>
      </c>
      <c r="IG327" s="20">
        <v>149.04255065917968</v>
      </c>
      <c r="IH327" s="19">
        <v>202.85714569091797</v>
      </c>
      <c r="II327" s="93">
        <v>264.11656188964844</v>
      </c>
      <c r="IJ327" s="93">
        <v>232.22215881347657</v>
      </c>
      <c r="IK327" s="93">
        <v>214.28572082519531</v>
      </c>
      <c r="IL327" s="93">
        <v>222.22222137451172</v>
      </c>
      <c r="IM327" s="93">
        <v>206.53594970703125</v>
      </c>
      <c r="IN327" s="93">
        <v>239.85240173339844</v>
      </c>
      <c r="IO327" s="20">
        <v>231.53865661621094</v>
      </c>
      <c r="IP327" s="29">
        <v>260</v>
      </c>
      <c r="IQ327" s="19">
        <v>205.21335220336914</v>
      </c>
      <c r="IR327" s="93">
        <v>160.28225097656249</v>
      </c>
      <c r="IS327" s="93">
        <v>198.27585144042968</v>
      </c>
      <c r="IT327" s="93">
        <v>179.05404663085938</v>
      </c>
      <c r="IU327" s="93">
        <v>183.93071365356445</v>
      </c>
      <c r="IV327" s="20">
        <v>145.71428222656249</v>
      </c>
      <c r="IW327" s="29">
        <v>260</v>
      </c>
      <c r="IX327" s="19">
        <v>417.85715103149414</v>
      </c>
      <c r="IY327" s="93">
        <v>402.55375671386719</v>
      </c>
      <c r="IZ327" s="93">
        <v>425</v>
      </c>
      <c r="JA327" s="93">
        <v>350</v>
      </c>
      <c r="JB327" s="93">
        <v>415</v>
      </c>
      <c r="JC327" s="93">
        <v>400</v>
      </c>
      <c r="JD327" s="93">
        <v>380</v>
      </c>
      <c r="JE327" s="20">
        <v>400</v>
      </c>
      <c r="JF327" s="29">
        <v>260</v>
      </c>
      <c r="JG327" s="19">
        <v>189.36676330566405</v>
      </c>
      <c r="JH327" s="93">
        <v>245.90162658691406</v>
      </c>
      <c r="JI327" s="93">
        <v>199.07240600585936</v>
      </c>
      <c r="JJ327" s="93">
        <v>170.73170471191406</v>
      </c>
      <c r="JK327" s="93">
        <v>202.02020263671875</v>
      </c>
      <c r="JL327" s="93">
        <v>202.27272796630859</v>
      </c>
      <c r="JM327" s="93">
        <v>206</v>
      </c>
      <c r="JN327" s="20">
        <v>234.95176696777344</v>
      </c>
      <c r="JO327" s="29">
        <v>260</v>
      </c>
      <c r="JP327" s="19">
        <v>206.95541000366211</v>
      </c>
      <c r="JQ327" s="93">
        <v>133.1431854248047</v>
      </c>
      <c r="JR327" s="93">
        <v>187.09677429199218</v>
      </c>
      <c r="JS327" s="93">
        <v>170.30200958251953</v>
      </c>
      <c r="JT327" s="93">
        <v>198.1201171875</v>
      </c>
      <c r="JU327" s="20">
        <v>132.91667480468749</v>
      </c>
      <c r="JV327" s="29">
        <v>260</v>
      </c>
      <c r="JW327" s="1504">
        <v>44409</v>
      </c>
      <c r="JX327" s="19">
        <v>440000</v>
      </c>
      <c r="JY327" s="93">
        <v>386154</v>
      </c>
      <c r="JZ327" s="93"/>
      <c r="KA327" s="93"/>
      <c r="KB327" s="93">
        <v>357500</v>
      </c>
      <c r="KC327" s="93">
        <v>381000</v>
      </c>
      <c r="KD327" s="20">
        <v>468333</v>
      </c>
      <c r="KE327" s="29">
        <v>260</v>
      </c>
      <c r="KF327" s="19">
        <v>75500</v>
      </c>
      <c r="KG327" s="93">
        <v>53500</v>
      </c>
      <c r="KH327" s="93"/>
      <c r="KI327" s="93">
        <v>95625</v>
      </c>
      <c r="KJ327" s="93">
        <v>64000</v>
      </c>
      <c r="KK327" s="20"/>
      <c r="KL327" s="29">
        <v>260</v>
      </c>
      <c r="KM327" s="19">
        <v>36800</v>
      </c>
      <c r="KN327" s="93">
        <v>20769</v>
      </c>
      <c r="KO327" s="93"/>
      <c r="KP327" s="93">
        <v>63125</v>
      </c>
      <c r="KQ327" s="93">
        <v>40100</v>
      </c>
      <c r="KR327" s="20"/>
      <c r="KS327" s="29">
        <v>260</v>
      </c>
      <c r="KT327" s="19">
        <v>34100</v>
      </c>
      <c r="KU327" s="93">
        <v>30500</v>
      </c>
      <c r="KV327" s="93"/>
      <c r="KW327" s="93">
        <v>40000</v>
      </c>
      <c r="KX327" s="93">
        <v>24500</v>
      </c>
      <c r="KY327" s="20"/>
      <c r="KZ327" s="29">
        <v>260</v>
      </c>
      <c r="LA327" s="1504">
        <v>44409</v>
      </c>
      <c r="LB327" s="19"/>
      <c r="LC327" s="93"/>
      <c r="LD327" s="93"/>
      <c r="LE327" s="93"/>
      <c r="LF327" s="93"/>
      <c r="LG327" s="93"/>
      <c r="LH327" s="20"/>
      <c r="LI327" s="29"/>
      <c r="LJ327" s="19"/>
      <c r="LK327" s="93"/>
      <c r="LL327" s="93"/>
      <c r="LM327" s="93"/>
      <c r="LN327" s="93"/>
      <c r="LO327" s="20"/>
      <c r="LP327" s="29"/>
      <c r="LQ327" s="19"/>
      <c r="LR327" s="93">
        <v>188</v>
      </c>
      <c r="LS327" s="93">
        <v>463</v>
      </c>
      <c r="LT327" s="93">
        <v>663</v>
      </c>
      <c r="LU327" s="93">
        <v>1104</v>
      </c>
      <c r="LV327" s="93"/>
      <c r="LW327" s="93">
        <v>5</v>
      </c>
      <c r="LX327" s="93">
        <v>10</v>
      </c>
      <c r="LY327" s="93">
        <v>60</v>
      </c>
      <c r="LZ327" s="93"/>
      <c r="MA327" s="20"/>
      <c r="MB327" s="29">
        <v>260</v>
      </c>
      <c r="MC327" s="1504">
        <v>44409</v>
      </c>
      <c r="MD327" s="19">
        <v>1391.1076233745869</v>
      </c>
      <c r="ME327" s="93">
        <v>1247.2414512921073</v>
      </c>
      <c r="MF327" s="93">
        <v>1247.2414512921073</v>
      </c>
      <c r="MG327" s="93">
        <v>1097.1423955819073</v>
      </c>
      <c r="MH327" s="93">
        <v>396.60690569499997</v>
      </c>
      <c r="MI327" s="93">
        <v>10.685982888999998</v>
      </c>
      <c r="MJ327" s="93">
        <v>36.082700164307404</v>
      </c>
      <c r="MK327" s="93">
        <v>521.37145758500003</v>
      </c>
      <c r="ML327" s="93">
        <v>131.46928964700001</v>
      </c>
      <c r="MM327" s="93">
        <v>0.92605960159999989</v>
      </c>
      <c r="MN327" s="93">
        <v>150.09905571020002</v>
      </c>
      <c r="MO327" s="93">
        <v>3.2180035290000024</v>
      </c>
      <c r="MP327" s="93">
        <v>40.906818984600001</v>
      </c>
      <c r="MQ327" s="93">
        <v>1.4759142219999999</v>
      </c>
      <c r="MR327" s="93">
        <v>32.964505361000001</v>
      </c>
      <c r="MS327" s="93">
        <v>71.533813613600003</v>
      </c>
      <c r="MT327" s="93">
        <v>0</v>
      </c>
      <c r="MU327" s="93">
        <v>143.8661720824793</v>
      </c>
      <c r="MV327" s="93">
        <v>98.352303149479283</v>
      </c>
      <c r="MW327" s="93">
        <v>45.513868933000005</v>
      </c>
      <c r="MX327" s="93">
        <v>1889.3552642982095</v>
      </c>
      <c r="MY327" s="93">
        <v>1894.4304624052093</v>
      </c>
      <c r="MZ327" s="93">
        <v>1344.6587316508162</v>
      </c>
      <c r="NA327" s="93">
        <v>660.24458851100007</v>
      </c>
      <c r="NB327" s="93">
        <v>129.67156947400002</v>
      </c>
      <c r="NC327" s="93">
        <v>114.5086865368162</v>
      </c>
      <c r="ND327" s="93">
        <v>98.237221609357917</v>
      </c>
      <c r="NE327" s="93">
        <v>16.271464927458268</v>
      </c>
      <c r="NF327" s="93">
        <v>440.2338871290001</v>
      </c>
      <c r="NG327" s="93">
        <v>8.1056783299999999</v>
      </c>
      <c r="NH327" s="93">
        <v>94.273443033000007</v>
      </c>
      <c r="NI327" s="93">
        <v>0</v>
      </c>
      <c r="NJ327" s="93">
        <v>21.881064706</v>
      </c>
      <c r="NK327" s="93">
        <v>549.77173075439305</v>
      </c>
      <c r="NL327" s="93">
        <v>294.73442895300002</v>
      </c>
      <c r="NM327" s="93">
        <v>4.446540551</v>
      </c>
      <c r="NN327" s="93">
        <v>250.59076125039309</v>
      </c>
      <c r="NO327" s="93">
        <v>-5.0751981069999932</v>
      </c>
      <c r="NP327" s="93">
        <v>-498.24764092362273</v>
      </c>
      <c r="NQ327" s="93">
        <v>-642.11381300610208</v>
      </c>
      <c r="NR327" s="93">
        <v>-277.01436521889281</v>
      </c>
      <c r="NS327" s="93">
        <v>-391.52305175570893</v>
      </c>
      <c r="NT327" s="93">
        <v>-529.84007247213253</v>
      </c>
      <c r="NU327" s="93">
        <v>-673.70624455461177</v>
      </c>
      <c r="NV327" s="93">
        <v>534.72424580896961</v>
      </c>
      <c r="NW327" s="93">
        <v>168.04749673806623</v>
      </c>
      <c r="NX327" s="93">
        <v>206.81978760977168</v>
      </c>
      <c r="NY327" s="93">
        <v>-38.772290871705486</v>
      </c>
      <c r="NZ327" s="93">
        <v>0</v>
      </c>
      <c r="OA327" s="93">
        <v>366.67674907090327</v>
      </c>
      <c r="OB327" s="93">
        <v>127.31817352486452</v>
      </c>
      <c r="OC327" s="93">
        <v>239.35857554603871</v>
      </c>
      <c r="OD327" s="20">
        <v>0</v>
      </c>
      <c r="OE327" s="29">
        <v>260</v>
      </c>
      <c r="OF327" s="1504">
        <v>44409</v>
      </c>
      <c r="OG327" s="19"/>
      <c r="OH327" s="93">
        <v>592.80179774073054</v>
      </c>
      <c r="OI327" s="93">
        <v>2396.564953776</v>
      </c>
      <c r="OJ327" s="93">
        <v>0.49044254600000003</v>
      </c>
      <c r="OK327" s="93">
        <v>2094.4740000000002</v>
      </c>
      <c r="OL327" s="93">
        <v>301.60051123</v>
      </c>
      <c r="OM327" s="93">
        <v>2989.3667515167308</v>
      </c>
      <c r="ON327" s="93">
        <v>1878.691108319</v>
      </c>
      <c r="OO327" s="93">
        <v>4868.0578598357306</v>
      </c>
      <c r="OP327" s="93"/>
      <c r="OQ327" s="93">
        <v>2433.4643404187309</v>
      </c>
      <c r="OR327" s="93">
        <v>583.41934041873048</v>
      </c>
      <c r="OS327" s="93">
        <v>1850.0450000000005</v>
      </c>
      <c r="OT327" s="93">
        <v>3122.7952985309998</v>
      </c>
      <c r="OU327" s="93">
        <v>-35.38508922900013</v>
      </c>
      <c r="OV327" s="93">
        <v>-301.41908922900001</v>
      </c>
      <c r="OW327" s="93">
        <v>266.03399999999988</v>
      </c>
      <c r="OX327" s="93">
        <v>3158.18038776</v>
      </c>
      <c r="OY327" s="93">
        <v>7.8963877599999996</v>
      </c>
      <c r="OZ327" s="93">
        <v>3150.2839999999997</v>
      </c>
      <c r="PA327" s="93">
        <v>897.23728851800001</v>
      </c>
      <c r="PB327" s="93">
        <v>-209.03550940400004</v>
      </c>
      <c r="PC327" s="20">
        <v>4868.0578598357297</v>
      </c>
      <c r="PD327" s="29">
        <v>260</v>
      </c>
      <c r="PE327" s="19"/>
      <c r="PF327" s="93">
        <v>583.41934041873048</v>
      </c>
      <c r="PG327" s="93">
        <v>1264.2759198177305</v>
      </c>
      <c r="PH327" s="93">
        <v>680.856579399</v>
      </c>
      <c r="PI327" s="93">
        <v>737.2</v>
      </c>
      <c r="PJ327" s="93">
        <v>-294.853886891</v>
      </c>
      <c r="PK327" s="93">
        <v>207.101688623</v>
      </c>
      <c r="PL327" s="93">
        <v>501.95557551400003</v>
      </c>
      <c r="PM327" s="93">
        <v>7.8963877599999996</v>
      </c>
      <c r="PN327" s="93">
        <v>3.528</v>
      </c>
      <c r="PO327" s="93">
        <v>0</v>
      </c>
      <c r="PP327" s="93">
        <v>0</v>
      </c>
      <c r="PQ327" s="93">
        <v>4.3683877600000001</v>
      </c>
      <c r="PR327" s="93">
        <v>1054.7933421307305</v>
      </c>
      <c r="PS327" s="93">
        <v>687.4240000787305</v>
      </c>
      <c r="PT327" s="93">
        <v>366.54579118700002</v>
      </c>
      <c r="PU327" s="93">
        <v>0.82355086500000008</v>
      </c>
      <c r="PV327" s="93">
        <v>0</v>
      </c>
      <c r="PW327" s="93">
        <v>0.34439302399999999</v>
      </c>
      <c r="PX327" s="93">
        <v>0</v>
      </c>
      <c r="PY327" s="93">
        <v>0</v>
      </c>
      <c r="PZ327" s="93">
        <v>0.34439302399999999</v>
      </c>
      <c r="QA327" s="93">
        <v>0</v>
      </c>
      <c r="QB327" s="93">
        <v>0</v>
      </c>
      <c r="QC327" s="93">
        <v>0</v>
      </c>
      <c r="QD327" s="93">
        <v>5.4628954940000005</v>
      </c>
      <c r="QE327" s="20">
        <v>-26.938789360999984</v>
      </c>
      <c r="QF327" s="1739">
        <v>260</v>
      </c>
      <c r="QG327" s="19"/>
      <c r="QH327" s="93">
        <v>1850.0450000000005</v>
      </c>
      <c r="QI327" s="93">
        <v>2155.8330000000005</v>
      </c>
      <c r="QJ327" s="93">
        <v>-305.78800000000001</v>
      </c>
      <c r="QK327" s="93">
        <v>426.81900000000002</v>
      </c>
      <c r="QL327" s="93">
        <v>88.057000000000002</v>
      </c>
      <c r="QM327" s="93">
        <v>338.762</v>
      </c>
      <c r="QN327" s="93">
        <v>0</v>
      </c>
      <c r="QO327" s="93">
        <v>266.03399999999988</v>
      </c>
      <c r="QP327" s="93">
        <v>1031.646</v>
      </c>
      <c r="QQ327" s="93">
        <v>-765.61200000000008</v>
      </c>
      <c r="QR327" s="93">
        <v>3150.2839999999997</v>
      </c>
      <c r="QS327" s="93">
        <v>33.914000000000001</v>
      </c>
      <c r="QT327" s="93">
        <v>0.10100000000000001</v>
      </c>
      <c r="QU327" s="93">
        <v>249.30100000000002</v>
      </c>
      <c r="QV327" s="93">
        <v>2866.9679999999998</v>
      </c>
      <c r="QW327" s="93"/>
      <c r="QX327" s="93">
        <v>717.32399999999996</v>
      </c>
      <c r="QY327" s="93">
        <v>2094.4740000000002</v>
      </c>
      <c r="QZ327" s="93">
        <v>1878.3579999999999</v>
      </c>
      <c r="RA327" s="93">
        <v>0</v>
      </c>
      <c r="RB327" s="93">
        <v>181.52</v>
      </c>
      <c r="RC327" s="93">
        <v>0</v>
      </c>
      <c r="RD327" s="93">
        <v>36.819000000000003</v>
      </c>
      <c r="RE327" s="93">
        <v>0</v>
      </c>
      <c r="RF327" s="93">
        <v>0</v>
      </c>
      <c r="RG327" s="93">
        <v>673.09100000000001</v>
      </c>
      <c r="RH327" s="93">
        <v>111.596</v>
      </c>
      <c r="RI327" s="93"/>
      <c r="RJ327" s="93"/>
      <c r="RK327" s="93"/>
      <c r="RL327" s="93"/>
      <c r="RM327" s="20"/>
      <c r="RN327" s="29">
        <v>260</v>
      </c>
      <c r="RO327" s="19">
        <v>519</v>
      </c>
      <c r="RP327" s="20">
        <v>170</v>
      </c>
      <c r="RQ327" s="29">
        <v>260</v>
      </c>
      <c r="RR327" s="20">
        <v>5.756829999999999</v>
      </c>
      <c r="RS327" s="29">
        <v>260</v>
      </c>
      <c r="RT327" s="1504">
        <v>44409</v>
      </c>
      <c r="RU327" s="19">
        <v>1362</v>
      </c>
      <c r="RV327" s="20">
        <v>37</v>
      </c>
      <c r="RW327" s="29">
        <v>260</v>
      </c>
      <c r="RX327" s="1504">
        <v>44409</v>
      </c>
      <c r="RY327" s="29"/>
      <c r="RZ327" s="20"/>
      <c r="SA327" s="29"/>
      <c r="SB327" s="29"/>
    </row>
    <row r="328" spans="1:496">
      <c r="A328" s="41">
        <f t="shared" si="238"/>
        <v>2021</v>
      </c>
      <c r="B328" s="1504">
        <v>44440</v>
      </c>
      <c r="C328" s="1813">
        <v>1670</v>
      </c>
      <c r="D328" s="1814">
        <v>30273</v>
      </c>
      <c r="E328" s="1814">
        <v>49</v>
      </c>
      <c r="F328" s="1815"/>
      <c r="G328" s="1814">
        <v>111652</v>
      </c>
      <c r="H328" s="1814">
        <v>30</v>
      </c>
      <c r="I328" s="1814">
        <v>32769</v>
      </c>
      <c r="J328" s="1816">
        <v>13971</v>
      </c>
      <c r="K328" s="1807">
        <v>190414</v>
      </c>
      <c r="L328" s="25">
        <v>261</v>
      </c>
      <c r="M328" s="97"/>
      <c r="N328" s="1504">
        <v>44440</v>
      </c>
      <c r="O328" s="19">
        <v>1221</v>
      </c>
      <c r="P328" s="93">
        <v>1206</v>
      </c>
      <c r="Q328" s="93">
        <v>10701</v>
      </c>
      <c r="R328" s="93">
        <v>2608</v>
      </c>
      <c r="S328" s="93">
        <v>2408</v>
      </c>
      <c r="T328" s="93">
        <v>791</v>
      </c>
      <c r="U328" s="93">
        <v>266</v>
      </c>
      <c r="V328" s="93">
        <v>1727</v>
      </c>
      <c r="W328" s="93">
        <v>5259</v>
      </c>
      <c r="X328" s="93">
        <v>884</v>
      </c>
      <c r="Y328" s="93">
        <v>585</v>
      </c>
      <c r="Z328" s="93">
        <v>1176</v>
      </c>
      <c r="AA328" s="93">
        <v>1441</v>
      </c>
      <c r="AB328" s="20">
        <v>30273</v>
      </c>
      <c r="AC328" s="25">
        <v>261</v>
      </c>
      <c r="AD328" s="97"/>
      <c r="AE328" s="1504">
        <v>44440</v>
      </c>
      <c r="AF328" s="19">
        <v>2216</v>
      </c>
      <c r="AG328" s="93">
        <v>1032</v>
      </c>
      <c r="AH328" s="93">
        <v>3885</v>
      </c>
      <c r="AI328" s="93">
        <v>4725</v>
      </c>
      <c r="AJ328" s="93">
        <v>2578</v>
      </c>
      <c r="AK328" s="93">
        <v>1886</v>
      </c>
      <c r="AL328" s="93">
        <v>683</v>
      </c>
      <c r="AM328" s="93">
        <v>1972</v>
      </c>
      <c r="AN328" s="93">
        <v>8824</v>
      </c>
      <c r="AO328" s="93">
        <v>1281</v>
      </c>
      <c r="AP328" s="93">
        <v>1037</v>
      </c>
      <c r="AQ328" s="93">
        <v>1226</v>
      </c>
      <c r="AR328" s="93">
        <v>1424</v>
      </c>
      <c r="AS328" s="20">
        <v>32769</v>
      </c>
      <c r="AT328" s="25">
        <v>261</v>
      </c>
      <c r="AU328" s="97"/>
      <c r="AV328" s="1504">
        <v>44440</v>
      </c>
      <c r="AW328" s="19">
        <v>11699</v>
      </c>
      <c r="AX328" s="93">
        <v>4756</v>
      </c>
      <c r="AY328" s="93">
        <v>3811</v>
      </c>
      <c r="AZ328" s="93">
        <v>17361</v>
      </c>
      <c r="BA328" s="93">
        <v>9212</v>
      </c>
      <c r="BB328" s="93">
        <v>8977</v>
      </c>
      <c r="BC328" s="93">
        <v>5251</v>
      </c>
      <c r="BD328" s="93">
        <v>11134</v>
      </c>
      <c r="BE328" s="93">
        <v>16190</v>
      </c>
      <c r="BF328" s="93">
        <v>4283</v>
      </c>
      <c r="BG328" s="93">
        <v>6160</v>
      </c>
      <c r="BH328" s="93">
        <v>6209</v>
      </c>
      <c r="BI328" s="93">
        <v>6609</v>
      </c>
      <c r="BJ328" s="20">
        <v>111652</v>
      </c>
      <c r="BK328" s="25">
        <v>261</v>
      </c>
      <c r="BL328" s="97"/>
      <c r="BM328" s="1504">
        <v>44440</v>
      </c>
      <c r="BN328" s="19">
        <v>91.9</v>
      </c>
      <c r="BO328" s="93">
        <v>1665</v>
      </c>
      <c r="BP328" s="93">
        <v>9.8000000000000007</v>
      </c>
      <c r="BQ328" s="93">
        <v>1004.9</v>
      </c>
      <c r="BR328" s="93">
        <v>5.3</v>
      </c>
      <c r="BS328" s="93">
        <v>327.7</v>
      </c>
      <c r="BT328" s="93">
        <v>391.2</v>
      </c>
      <c r="BU328" s="20">
        <v>3495.7</v>
      </c>
      <c r="BV328" s="25">
        <v>261</v>
      </c>
      <c r="BW328" s="97"/>
      <c r="BX328" s="1504">
        <v>44440</v>
      </c>
      <c r="BY328" s="19">
        <v>557.553</v>
      </c>
      <c r="BZ328" s="93">
        <v>655.95699999999999</v>
      </c>
      <c r="CA328" s="93">
        <v>604.18610000000001</v>
      </c>
      <c r="CB328" s="93">
        <v>38.226526999999997</v>
      </c>
      <c r="CC328" s="93">
        <v>92.361744999999999</v>
      </c>
      <c r="CD328" s="25">
        <v>261</v>
      </c>
      <c r="CE328" s="97"/>
      <c r="CF328" s="1504">
        <v>44440</v>
      </c>
      <c r="CG328" s="19">
        <v>2.2857500160000002</v>
      </c>
      <c r="CH328" s="93">
        <v>1775.14</v>
      </c>
      <c r="CI328" s="219">
        <v>72.8</v>
      </c>
      <c r="CJ328" s="20">
        <v>74.599999999999994</v>
      </c>
      <c r="CK328" s="19">
        <v>381.27</v>
      </c>
      <c r="CL328" s="93">
        <v>235.61748</v>
      </c>
      <c r="CM328" s="93">
        <v>0.43166459600000001</v>
      </c>
      <c r="CN328" s="93">
        <v>0.38442643199999998</v>
      </c>
      <c r="CO328" s="93">
        <v>337.55</v>
      </c>
      <c r="CP328" s="20">
        <v>5.6585981539999999</v>
      </c>
      <c r="CQ328" s="219">
        <v>2109.0202199738901</v>
      </c>
      <c r="CR328" s="93">
        <v>2.2174999999999998</v>
      </c>
      <c r="CS328" s="93">
        <v>1.7875000000000001</v>
      </c>
      <c r="CT328" s="93">
        <v>147.5</v>
      </c>
      <c r="CU328" s="93">
        <v>124.52</v>
      </c>
      <c r="CV328" s="214">
        <v>3036.02</v>
      </c>
      <c r="CW328" s="29">
        <v>261</v>
      </c>
      <c r="CX328" s="41">
        <f>YEAR(CY328)</f>
        <v>2021</v>
      </c>
      <c r="CY328" s="1504">
        <v>44440</v>
      </c>
      <c r="CZ328" s="19"/>
      <c r="DA328" s="93"/>
      <c r="DB328" s="93"/>
      <c r="DC328" s="93"/>
      <c r="DD328" s="93"/>
      <c r="DE328" s="20"/>
      <c r="DF328" s="29"/>
      <c r="DG328" s="1504">
        <v>44440</v>
      </c>
      <c r="DH328" s="419">
        <f t="shared" si="320"/>
        <v>488997.44425920915</v>
      </c>
      <c r="DI328" s="100">
        <f t="shared" si="320"/>
        <v>4407692.1383254295</v>
      </c>
      <c r="DJ328" s="100">
        <f t="shared" si="320"/>
        <v>322541.80683537782</v>
      </c>
      <c r="DK328" s="100">
        <f t="shared" si="320"/>
        <v>13680.986731734825</v>
      </c>
      <c r="DL328" s="100">
        <f t="shared" si="320"/>
        <v>473043.22166744445</v>
      </c>
      <c r="DM328" s="100">
        <f t="shared" si="320"/>
        <v>3603.2178454564214</v>
      </c>
      <c r="DN328" s="306">
        <f t="shared" si="320"/>
        <v>1121694.5590784384</v>
      </c>
      <c r="DO328" s="1932">
        <f t="shared" si="282"/>
        <v>6342255.9304838814</v>
      </c>
      <c r="DP328" s="29">
        <v>261</v>
      </c>
      <c r="DQ328" s="1504">
        <v>44440</v>
      </c>
      <c r="DR328" s="19">
        <v>60903.51</v>
      </c>
      <c r="DS328" s="93">
        <v>205.5</v>
      </c>
      <c r="DT328" s="93">
        <v>70017.149999999994</v>
      </c>
      <c r="DU328" s="93">
        <v>2273.2199999999998</v>
      </c>
      <c r="DV328" s="93">
        <v>18252.64</v>
      </c>
      <c r="DW328" s="93">
        <v>3757</v>
      </c>
      <c r="DX328" s="20">
        <v>21596.73</v>
      </c>
      <c r="DY328" s="29">
        <v>261</v>
      </c>
      <c r="DZ328" s="1504">
        <v>44440</v>
      </c>
      <c r="EA328" s="19"/>
      <c r="EB328" s="93"/>
      <c r="EC328" s="20"/>
      <c r="ED328" s="29"/>
      <c r="EE328" s="1504">
        <v>44440</v>
      </c>
      <c r="EF328" s="19">
        <f t="shared" si="307"/>
        <v>18090</v>
      </c>
      <c r="EG328" s="93">
        <f t="shared" si="308"/>
        <v>20071</v>
      </c>
      <c r="EH328" s="93">
        <f t="shared" si="309"/>
        <v>46279</v>
      </c>
      <c r="EI328" s="214">
        <f t="shared" si="310"/>
        <v>8118</v>
      </c>
      <c r="EJ328" s="93">
        <f t="shared" si="311"/>
        <v>528.08600000000001</v>
      </c>
      <c r="EK328" s="93">
        <f t="shared" si="312"/>
        <v>80.305999999999997</v>
      </c>
      <c r="EL328" s="93">
        <f t="shared" si="313"/>
        <v>5.9779999999999998</v>
      </c>
      <c r="EM328" s="93">
        <f t="shared" si="314"/>
        <v>9.4990000000000006</v>
      </c>
      <c r="EN328" s="20">
        <f t="shared" si="317"/>
        <v>623.86900000000003</v>
      </c>
      <c r="EO328" s="29">
        <v>261</v>
      </c>
      <c r="EP328" s="1504">
        <v>44440</v>
      </c>
      <c r="EQ328" s="19">
        <v>17293</v>
      </c>
      <c r="ER328" s="93">
        <v>19332</v>
      </c>
      <c r="ES328" s="93">
        <f t="shared" si="315"/>
        <v>36625</v>
      </c>
      <c r="ET328" s="214">
        <v>7922</v>
      </c>
      <c r="EU328" s="93">
        <v>528.08600000000001</v>
      </c>
      <c r="EV328" s="93">
        <v>80.305999999999997</v>
      </c>
      <c r="EW328" s="93">
        <v>5.9779999999999998</v>
      </c>
      <c r="EX328" s="93">
        <v>9.4990000000000006</v>
      </c>
      <c r="EY328" s="20">
        <f>SUM(EU328:EX328)</f>
        <v>623.86900000000003</v>
      </c>
      <c r="EZ328" s="29">
        <v>261</v>
      </c>
      <c r="FA328" s="1504">
        <v>44440</v>
      </c>
      <c r="FB328" s="29">
        <v>797</v>
      </c>
      <c r="FC328" s="29">
        <v>739</v>
      </c>
      <c r="FD328" s="29">
        <f t="shared" si="316"/>
        <v>1536</v>
      </c>
      <c r="FE328" s="29">
        <v>196</v>
      </c>
      <c r="FF328" s="29">
        <v>0</v>
      </c>
      <c r="FG328" s="29">
        <v>0</v>
      </c>
      <c r="FH328" s="29">
        <v>0</v>
      </c>
      <c r="FI328" s="29">
        <v>0</v>
      </c>
      <c r="FJ328" s="29">
        <f t="shared" si="318"/>
        <v>0</v>
      </c>
      <c r="FK328" s="29">
        <v>261</v>
      </c>
      <c r="FL328" s="1504">
        <v>44440</v>
      </c>
      <c r="FM328" s="19">
        <v>110.69</v>
      </c>
      <c r="FN328" s="93">
        <v>118.19</v>
      </c>
      <c r="FO328" s="93">
        <v>140.94999999999999</v>
      </c>
      <c r="FP328" s="93">
        <v>101.34</v>
      </c>
      <c r="FQ328" s="93">
        <v>99.4</v>
      </c>
      <c r="FR328" s="93">
        <v>101.3</v>
      </c>
      <c r="FS328" s="93">
        <v>100.56</v>
      </c>
      <c r="FT328" s="93">
        <v>98.47</v>
      </c>
      <c r="FU328" s="93">
        <v>98.74</v>
      </c>
      <c r="FV328" s="93">
        <v>101.21</v>
      </c>
      <c r="FW328" s="93">
        <v>110.39</v>
      </c>
      <c r="FX328" s="93">
        <v>105.95</v>
      </c>
      <c r="FY328" s="93">
        <v>101.04</v>
      </c>
      <c r="FZ328" s="29">
        <v>261</v>
      </c>
      <c r="GA328" s="1504">
        <v>44440</v>
      </c>
      <c r="GB328" s="19">
        <v>110.69</v>
      </c>
      <c r="GC328" s="93">
        <v>103.98</v>
      </c>
      <c r="GD328" s="93">
        <v>114.23</v>
      </c>
      <c r="GE328" s="93">
        <v>95.82</v>
      </c>
      <c r="GF328" s="93">
        <v>123.38</v>
      </c>
      <c r="GG328" s="93">
        <v>107.1</v>
      </c>
      <c r="GH328" s="93">
        <v>124.12</v>
      </c>
      <c r="GI328" s="93">
        <v>104.24</v>
      </c>
      <c r="GJ328" s="93">
        <v>102.78</v>
      </c>
      <c r="GK328" s="93">
        <v>100.3</v>
      </c>
      <c r="GL328" s="93">
        <v>116</v>
      </c>
      <c r="GM328" s="93">
        <v>101.49</v>
      </c>
      <c r="GN328" s="20">
        <v>102.77</v>
      </c>
      <c r="GO328" s="29">
        <v>261</v>
      </c>
      <c r="GP328" s="1504">
        <v>44440</v>
      </c>
      <c r="GQ328" s="19">
        <v>303</v>
      </c>
      <c r="GR328" s="93">
        <v>266</v>
      </c>
      <c r="GS328" s="93">
        <v>272</v>
      </c>
      <c r="GT328" s="93">
        <v>274</v>
      </c>
      <c r="GU328" s="93">
        <v>438</v>
      </c>
      <c r="GV328" s="20">
        <v>942</v>
      </c>
      <c r="GW328" s="19">
        <v>660</v>
      </c>
      <c r="GX328" s="93">
        <v>551</v>
      </c>
      <c r="GY328" s="93">
        <v>456</v>
      </c>
      <c r="GZ328" s="93">
        <v>384</v>
      </c>
      <c r="HA328" s="93">
        <v>425</v>
      </c>
      <c r="HB328" s="20">
        <v>481</v>
      </c>
      <c r="HC328" s="19">
        <v>2709</v>
      </c>
      <c r="HD328" s="93">
        <v>2983</v>
      </c>
      <c r="HE328" s="93">
        <v>2847</v>
      </c>
      <c r="HF328" s="93">
        <v>3150</v>
      </c>
      <c r="HG328" s="93">
        <v>3371</v>
      </c>
      <c r="HH328" s="20">
        <v>3608</v>
      </c>
      <c r="HI328" s="19"/>
      <c r="HJ328" s="93">
        <v>906</v>
      </c>
      <c r="HK328" s="93">
        <v>1990</v>
      </c>
      <c r="HL328" s="93">
        <v>826</v>
      </c>
      <c r="HM328" s="93">
        <v>1000</v>
      </c>
      <c r="HN328" s="20">
        <v>2906</v>
      </c>
      <c r="HO328" s="219">
        <v>146</v>
      </c>
      <c r="HP328" s="20">
        <v>99</v>
      </c>
      <c r="HQ328" s="25">
        <v>155</v>
      </c>
      <c r="HR328" s="29">
        <v>261</v>
      </c>
      <c r="HS328" s="1504">
        <v>44440</v>
      </c>
      <c r="HT328" s="19">
        <v>256.23464965820313</v>
      </c>
      <c r="HU328" s="93">
        <v>277.77777099609375</v>
      </c>
      <c r="HV328" s="93">
        <v>227.28231811523438</v>
      </c>
      <c r="HW328" s="93">
        <v>205.12820434570313</v>
      </c>
      <c r="HX328" s="93">
        <v>247.47474670410156</v>
      </c>
      <c r="HY328" s="93">
        <v>249.30938720703125</v>
      </c>
      <c r="HZ328" s="93">
        <v>238.723876953125</v>
      </c>
      <c r="IA328" s="20">
        <v>248.44434356689453</v>
      </c>
      <c r="IB328" s="19">
        <v>355.37848510742185</v>
      </c>
      <c r="IC328" s="93">
        <v>168.43447875976563</v>
      </c>
      <c r="ID328" s="93">
        <v>256.94443511962891</v>
      </c>
      <c r="IE328" s="93">
        <v>171.36278788248697</v>
      </c>
      <c r="IF328" s="93">
        <v>208.33334350585938</v>
      </c>
      <c r="IG328" s="20">
        <v>163.03191375732422</v>
      </c>
      <c r="IH328" s="19">
        <v>214.83135604858398</v>
      </c>
      <c r="II328" s="93">
        <v>273.22402954101563</v>
      </c>
      <c r="IJ328" s="93">
        <v>240.14356994628906</v>
      </c>
      <c r="IK328" s="93">
        <v>217.85715026855468</v>
      </c>
      <c r="IL328" s="93">
        <v>222.22222137451172</v>
      </c>
      <c r="IM328" s="93">
        <v>223.59735870361328</v>
      </c>
      <c r="IN328" s="93">
        <v>233.48551940917969</v>
      </c>
      <c r="IO328" s="20">
        <v>239.91075325012207</v>
      </c>
      <c r="IP328" s="29">
        <v>261</v>
      </c>
      <c r="IQ328" s="19">
        <v>199.32432250976564</v>
      </c>
      <c r="IR328" s="93">
        <v>177.64337158203125</v>
      </c>
      <c r="IS328" s="93">
        <v>214.28572082519531</v>
      </c>
      <c r="IT328" s="93">
        <v>170.16286849975586</v>
      </c>
      <c r="IU328" s="93">
        <v>200.95869445800781</v>
      </c>
      <c r="IV328" s="20">
        <v>159.57037353515625</v>
      </c>
      <c r="IW328" s="29">
        <v>261</v>
      </c>
      <c r="IX328" s="19">
        <v>428.57144165039063</v>
      </c>
      <c r="IY328" s="93">
        <v>394.00761032104492</v>
      </c>
      <c r="IZ328" s="93">
        <v>425</v>
      </c>
      <c r="JA328" s="93">
        <v>380</v>
      </c>
      <c r="JB328" s="93">
        <v>416.25</v>
      </c>
      <c r="JC328" s="93">
        <v>400</v>
      </c>
      <c r="JD328" s="93">
        <v>385</v>
      </c>
      <c r="JE328" s="20">
        <v>400</v>
      </c>
      <c r="JF328" s="29">
        <v>261</v>
      </c>
      <c r="JG328" s="19">
        <v>197.25704447428384</v>
      </c>
      <c r="JH328" s="93">
        <v>245.90162658691406</v>
      </c>
      <c r="JI328" s="93">
        <v>232.55813598632813</v>
      </c>
      <c r="JJ328" s="93">
        <v>170.73170471191406</v>
      </c>
      <c r="JK328" s="93">
        <v>204.77815246582031</v>
      </c>
      <c r="JL328" s="93">
        <v>205.83133888244629</v>
      </c>
      <c r="JM328" s="93">
        <v>207.770263671875</v>
      </c>
      <c r="JN328" s="20">
        <v>244.70954132080078</v>
      </c>
      <c r="JO328" s="29">
        <v>261</v>
      </c>
      <c r="JP328" s="19">
        <v>225.09504699707031</v>
      </c>
      <c r="JQ328" s="93">
        <v>137.157958984375</v>
      </c>
      <c r="JR328" s="93">
        <v>193.54838562011719</v>
      </c>
      <c r="JS328" s="93">
        <v>152.00919723510742</v>
      </c>
      <c r="JT328" s="93">
        <v>194.02986145019531</v>
      </c>
      <c r="JU328" s="20">
        <v>150.44993591308594</v>
      </c>
      <c r="JV328" s="29">
        <v>261</v>
      </c>
      <c r="JW328" s="1504">
        <v>44440</v>
      </c>
      <c r="JX328" s="19">
        <v>375000</v>
      </c>
      <c r="JY328" s="93">
        <v>338846</v>
      </c>
      <c r="JZ328" s="93"/>
      <c r="KA328" s="93"/>
      <c r="KB328" s="93">
        <v>387500</v>
      </c>
      <c r="KC328" s="93">
        <v>383750</v>
      </c>
      <c r="KD328" s="20">
        <v>407308</v>
      </c>
      <c r="KE328" s="29">
        <v>261</v>
      </c>
      <c r="KF328" s="19">
        <v>69375</v>
      </c>
      <c r="KG328" s="93">
        <v>42385</v>
      </c>
      <c r="KH328" s="93"/>
      <c r="KI328" s="93">
        <v>93750</v>
      </c>
      <c r="KJ328" s="93">
        <v>58125</v>
      </c>
      <c r="KK328" s="20"/>
      <c r="KL328" s="29">
        <v>261</v>
      </c>
      <c r="KM328" s="19">
        <v>36125</v>
      </c>
      <c r="KN328" s="93">
        <v>17558</v>
      </c>
      <c r="KO328" s="93"/>
      <c r="KP328" s="93">
        <v>61375</v>
      </c>
      <c r="KQ328" s="93">
        <v>42750</v>
      </c>
      <c r="KR328" s="20"/>
      <c r="KS328" s="29">
        <v>261</v>
      </c>
      <c r="KT328" s="19">
        <v>33750</v>
      </c>
      <c r="KU328" s="93">
        <v>29654</v>
      </c>
      <c r="KV328" s="93"/>
      <c r="KW328" s="93">
        <v>46875</v>
      </c>
      <c r="KX328" s="93">
        <v>26000</v>
      </c>
      <c r="KY328" s="20"/>
      <c r="KZ328" s="29">
        <v>261</v>
      </c>
      <c r="LA328" s="1504">
        <v>44440</v>
      </c>
      <c r="LB328" s="19"/>
      <c r="LC328" s="93"/>
      <c r="LD328" s="93"/>
      <c r="LE328" s="93"/>
      <c r="LF328" s="93"/>
      <c r="LG328" s="93"/>
      <c r="LH328" s="20"/>
      <c r="LI328" s="29"/>
      <c r="LJ328" s="19"/>
      <c r="LK328" s="93"/>
      <c r="LL328" s="93"/>
      <c r="LM328" s="93"/>
      <c r="LN328" s="93"/>
      <c r="LO328" s="20"/>
      <c r="LP328" s="29"/>
      <c r="LQ328" s="19"/>
      <c r="LR328" s="93">
        <v>188</v>
      </c>
      <c r="LS328" s="93">
        <v>463</v>
      </c>
      <c r="LT328" s="93">
        <v>663</v>
      </c>
      <c r="LU328" s="93">
        <v>1104</v>
      </c>
      <c r="LV328" s="93"/>
      <c r="LW328" s="93">
        <v>5</v>
      </c>
      <c r="LX328" s="93">
        <v>10</v>
      </c>
      <c r="LY328" s="93">
        <v>60</v>
      </c>
      <c r="LZ328" s="93"/>
      <c r="MA328" s="20"/>
      <c r="MB328" s="29">
        <v>261</v>
      </c>
      <c r="MC328" s="1504">
        <v>44440</v>
      </c>
      <c r="MD328" s="19">
        <v>1541.0171290729058</v>
      </c>
      <c r="ME328" s="93">
        <v>1390.5785480014265</v>
      </c>
      <c r="MF328" s="93">
        <v>1390.5785480014265</v>
      </c>
      <c r="MG328" s="93">
        <v>1218.2670782232262</v>
      </c>
      <c r="MH328" s="93">
        <v>426.87873267999998</v>
      </c>
      <c r="MI328" s="93">
        <v>12.075598068999998</v>
      </c>
      <c r="MJ328" s="93">
        <v>40.589893413926447</v>
      </c>
      <c r="MK328" s="93">
        <v>587.60274620070004</v>
      </c>
      <c r="ML328" s="93">
        <v>150.05055210299997</v>
      </c>
      <c r="MM328" s="93">
        <v>1.0695557566</v>
      </c>
      <c r="MN328" s="93">
        <v>172.31146977820001</v>
      </c>
      <c r="MO328" s="93">
        <v>3.7281992660000025</v>
      </c>
      <c r="MP328" s="93">
        <v>44.404546128600003</v>
      </c>
      <c r="MQ328" s="93">
        <v>1.7322447599999997</v>
      </c>
      <c r="MR328" s="93">
        <v>44.357648793999999</v>
      </c>
      <c r="MS328" s="93">
        <v>78.088830829600013</v>
      </c>
      <c r="MT328" s="93">
        <v>0</v>
      </c>
      <c r="MU328" s="93">
        <v>150.43858107147929</v>
      </c>
      <c r="MV328" s="93">
        <v>104.92471213847929</v>
      </c>
      <c r="MW328" s="93">
        <v>45.513868933000005</v>
      </c>
      <c r="MX328" s="93">
        <v>2093.9730619590505</v>
      </c>
      <c r="MY328" s="93">
        <v>2099.0487556740504</v>
      </c>
      <c r="MZ328" s="93">
        <v>1488.3006785709051</v>
      </c>
      <c r="NA328" s="93">
        <v>738.81901204299993</v>
      </c>
      <c r="NB328" s="93">
        <v>145.18071010599999</v>
      </c>
      <c r="NC328" s="93">
        <v>137.05288393490534</v>
      </c>
      <c r="ND328" s="93">
        <v>118.66353891035791</v>
      </c>
      <c r="NE328" s="93">
        <v>18.389345024547449</v>
      </c>
      <c r="NF328" s="93">
        <v>467.24807248700006</v>
      </c>
      <c r="NG328" s="93">
        <v>9.1913411019999991</v>
      </c>
      <c r="NH328" s="93">
        <v>100.11517103300001</v>
      </c>
      <c r="NI328" s="93">
        <v>0</v>
      </c>
      <c r="NJ328" s="93">
        <v>25.308656460000002</v>
      </c>
      <c r="NK328" s="93">
        <v>610.74807710314496</v>
      </c>
      <c r="NL328" s="93">
        <v>318.576956473</v>
      </c>
      <c r="NM328" s="93">
        <v>6.9378396809999998</v>
      </c>
      <c r="NN328" s="93">
        <v>285.23328094914507</v>
      </c>
      <c r="NO328" s="93">
        <v>-5.0756937149999883</v>
      </c>
      <c r="NP328" s="93">
        <v>-552.95593288614475</v>
      </c>
      <c r="NQ328" s="93">
        <v>-703.3945139576241</v>
      </c>
      <c r="NR328" s="93">
        <v>-281.10834907357372</v>
      </c>
      <c r="NS328" s="93">
        <v>-418.16123300847897</v>
      </c>
      <c r="NT328" s="93">
        <v>-596.84015625131349</v>
      </c>
      <c r="NU328" s="93">
        <v>-747.27873732279261</v>
      </c>
      <c r="NV328" s="93">
        <v>600.04747136689218</v>
      </c>
      <c r="NW328" s="93">
        <v>188.88995600198885</v>
      </c>
      <c r="NX328" s="93">
        <v>234.88989831952364</v>
      </c>
      <c r="NY328" s="93">
        <v>-45.999942317534817</v>
      </c>
      <c r="NZ328" s="93">
        <v>0</v>
      </c>
      <c r="OA328" s="93">
        <v>411.15751536490325</v>
      </c>
      <c r="OB328" s="93">
        <v>106.86358603355684</v>
      </c>
      <c r="OC328" s="93">
        <v>304.29392933134642</v>
      </c>
      <c r="OD328" s="20">
        <v>0</v>
      </c>
      <c r="OE328" s="29">
        <v>261</v>
      </c>
      <c r="OF328" s="1504">
        <v>44440</v>
      </c>
      <c r="OG328" s="19"/>
      <c r="OH328" s="93">
        <v>648.643576897</v>
      </c>
      <c r="OI328" s="93">
        <v>2453.0367143889998</v>
      </c>
      <c r="OJ328" s="93">
        <v>1.817203159</v>
      </c>
      <c r="OK328" s="93">
        <v>2149.6189999999997</v>
      </c>
      <c r="OL328" s="93">
        <v>301.60051123</v>
      </c>
      <c r="OM328" s="93">
        <v>3101.6802912859998</v>
      </c>
      <c r="ON328" s="93">
        <v>1921.0991083190002</v>
      </c>
      <c r="OO328" s="93">
        <v>5022.7793996050004</v>
      </c>
      <c r="OP328" s="93"/>
      <c r="OQ328" s="93">
        <v>2431.22254079</v>
      </c>
      <c r="OR328" s="93">
        <v>595.84754078999981</v>
      </c>
      <c r="OS328" s="93">
        <v>1835.375</v>
      </c>
      <c r="OT328" s="93">
        <v>3296.6871737959996</v>
      </c>
      <c r="OU328" s="93">
        <v>10.2352020350001</v>
      </c>
      <c r="OV328" s="93">
        <v>-241.13979796500001</v>
      </c>
      <c r="OW328" s="93">
        <v>251.37500000000011</v>
      </c>
      <c r="OX328" s="93">
        <v>3286.4519717609996</v>
      </c>
      <c r="OY328" s="93">
        <v>7.8159717610000001</v>
      </c>
      <c r="OZ328" s="93">
        <v>3278.636</v>
      </c>
      <c r="PA328" s="93">
        <v>932.78660454099997</v>
      </c>
      <c r="PB328" s="93">
        <v>-227.65628955999989</v>
      </c>
      <c r="PC328" s="20">
        <v>5022.7793996049995</v>
      </c>
      <c r="PD328" s="29">
        <v>261</v>
      </c>
      <c r="PE328" s="19"/>
      <c r="PF328" s="93">
        <v>595.84754078999981</v>
      </c>
      <c r="PG328" s="93">
        <v>1340.6984306129998</v>
      </c>
      <c r="PH328" s="93">
        <v>744.85088982299999</v>
      </c>
      <c r="PI328" s="93">
        <v>816.8</v>
      </c>
      <c r="PJ328" s="93">
        <v>-234.57459562700001</v>
      </c>
      <c r="PK328" s="93">
        <v>298.75035048699999</v>
      </c>
      <c r="PL328" s="93">
        <v>533.324946114</v>
      </c>
      <c r="PM328" s="93">
        <v>7.8159717610000001</v>
      </c>
      <c r="PN328" s="93">
        <v>3.18</v>
      </c>
      <c r="PO328" s="93">
        <v>0</v>
      </c>
      <c r="PP328" s="93">
        <v>0</v>
      </c>
      <c r="PQ328" s="93">
        <v>4.6359717610000004</v>
      </c>
      <c r="PR328" s="93">
        <v>1184.2242966189999</v>
      </c>
      <c r="PS328" s="93">
        <v>741.884779235</v>
      </c>
      <c r="PT328" s="93">
        <v>440.18920590599998</v>
      </c>
      <c r="PU328" s="93">
        <v>2.1503114779999999</v>
      </c>
      <c r="PV328" s="93">
        <v>0</v>
      </c>
      <c r="PW328" s="93">
        <v>0.24238831599999999</v>
      </c>
      <c r="PX328" s="93">
        <v>0</v>
      </c>
      <c r="PY328" s="93">
        <v>0</v>
      </c>
      <c r="PZ328" s="93">
        <v>0.24238831599999999</v>
      </c>
      <c r="QA328" s="93">
        <v>0</v>
      </c>
      <c r="QB328" s="93">
        <v>0</v>
      </c>
      <c r="QC328" s="93">
        <v>0</v>
      </c>
      <c r="QD328" s="93">
        <v>6.221216225</v>
      </c>
      <c r="QE328" s="20">
        <v>-4.7989842360000141</v>
      </c>
      <c r="QF328" s="1739">
        <v>261</v>
      </c>
      <c r="QG328" s="19"/>
      <c r="QH328" s="93">
        <v>1835.375</v>
      </c>
      <c r="QI328" s="93">
        <v>2179.9090000000001</v>
      </c>
      <c r="QJ328" s="93">
        <v>-344.53399999999999</v>
      </c>
      <c r="QK328" s="93">
        <v>550.72199999999998</v>
      </c>
      <c r="QL328" s="93">
        <v>86.676000000000002</v>
      </c>
      <c r="QM328" s="93">
        <v>464.04599999999999</v>
      </c>
      <c r="QN328" s="93">
        <v>0</v>
      </c>
      <c r="QO328" s="93">
        <v>251.37500000000011</v>
      </c>
      <c r="QP328" s="93">
        <v>1026.8610000000001</v>
      </c>
      <c r="QQ328" s="93">
        <v>-775.48599999999999</v>
      </c>
      <c r="QR328" s="93">
        <v>3278.636</v>
      </c>
      <c r="QS328" s="93">
        <v>37.727999999999994</v>
      </c>
      <c r="QT328" s="93">
        <v>1.4999999999999999E-2</v>
      </c>
      <c r="QU328" s="93">
        <v>245.72800000000001</v>
      </c>
      <c r="QV328" s="93">
        <v>2995.165</v>
      </c>
      <c r="QW328" s="93"/>
      <c r="QX328" s="93">
        <v>795.99900000000002</v>
      </c>
      <c r="QY328" s="93">
        <v>2149.6189999999997</v>
      </c>
      <c r="QZ328" s="93">
        <v>1920.7660000000001</v>
      </c>
      <c r="RA328" s="93">
        <v>0</v>
      </c>
      <c r="RB328" s="93">
        <v>190.97699999999998</v>
      </c>
      <c r="RC328" s="93">
        <v>0</v>
      </c>
      <c r="RD328" s="93">
        <v>49.363</v>
      </c>
      <c r="RE328" s="93">
        <v>0</v>
      </c>
      <c r="RF328" s="93">
        <v>0</v>
      </c>
      <c r="RG328" s="93">
        <v>685.98299999999995</v>
      </c>
      <c r="RH328" s="93">
        <v>123.40100000000001</v>
      </c>
      <c r="RI328" s="93"/>
      <c r="RJ328" s="93"/>
      <c r="RK328" s="93"/>
      <c r="RL328" s="93"/>
      <c r="RM328" s="20"/>
      <c r="RN328" s="29">
        <v>261</v>
      </c>
      <c r="RO328" s="19">
        <v>814</v>
      </c>
      <c r="RP328" s="20">
        <v>175</v>
      </c>
      <c r="RQ328" s="29">
        <v>261</v>
      </c>
      <c r="RR328" s="20">
        <v>5.4069589999999996</v>
      </c>
      <c r="RS328" s="29">
        <v>261</v>
      </c>
      <c r="RT328" s="1504">
        <v>44440</v>
      </c>
      <c r="RU328" s="19">
        <v>1325</v>
      </c>
      <c r="RV328" s="20">
        <v>35</v>
      </c>
      <c r="RW328" s="29">
        <v>261</v>
      </c>
      <c r="RX328" s="1504">
        <v>44440</v>
      </c>
      <c r="RY328" s="29"/>
      <c r="RZ328" s="20"/>
      <c r="SA328" s="29"/>
      <c r="SB328" s="29"/>
    </row>
    <row r="329" spans="1:496">
      <c r="A329" s="41">
        <f t="shared" si="238"/>
        <v>2021</v>
      </c>
      <c r="B329" s="1504">
        <v>44470</v>
      </c>
      <c r="C329" s="1813">
        <v>1762</v>
      </c>
      <c r="D329" s="1814">
        <v>34187</v>
      </c>
      <c r="E329" s="1814">
        <v>66</v>
      </c>
      <c r="F329" s="1815"/>
      <c r="G329" s="1814">
        <v>101848</v>
      </c>
      <c r="H329" s="1814">
        <v>66</v>
      </c>
      <c r="I329" s="1814">
        <v>31715</v>
      </c>
      <c r="J329" s="1816">
        <v>13263</v>
      </c>
      <c r="K329" s="1807">
        <v>182907</v>
      </c>
      <c r="L329" s="25">
        <v>262</v>
      </c>
      <c r="M329" s="97"/>
      <c r="N329" s="1504">
        <v>44470</v>
      </c>
      <c r="O329" s="19">
        <v>1247</v>
      </c>
      <c r="P329" s="93">
        <v>1013</v>
      </c>
      <c r="Q329" s="93">
        <v>14178</v>
      </c>
      <c r="R329" s="93">
        <v>2865</v>
      </c>
      <c r="S329" s="93">
        <v>2474</v>
      </c>
      <c r="T329" s="93">
        <v>812</v>
      </c>
      <c r="U329" s="93">
        <v>287</v>
      </c>
      <c r="V329" s="93">
        <v>1887</v>
      </c>
      <c r="W329" s="93">
        <v>5175</v>
      </c>
      <c r="X329" s="93">
        <v>910</v>
      </c>
      <c r="Y329" s="93">
        <v>579</v>
      </c>
      <c r="Z329" s="93">
        <v>1249</v>
      </c>
      <c r="AA329" s="93">
        <v>1511</v>
      </c>
      <c r="AB329" s="20">
        <v>34187</v>
      </c>
      <c r="AC329" s="25">
        <v>262</v>
      </c>
      <c r="AD329" s="97"/>
      <c r="AE329" s="1504">
        <v>44470</v>
      </c>
      <c r="AF329" s="19">
        <v>2202</v>
      </c>
      <c r="AG329" s="93">
        <v>990</v>
      </c>
      <c r="AH329" s="93">
        <v>3639</v>
      </c>
      <c r="AI329" s="93">
        <v>3126</v>
      </c>
      <c r="AJ329" s="93">
        <v>2356</v>
      </c>
      <c r="AK329" s="93">
        <v>1766</v>
      </c>
      <c r="AL329" s="93">
        <v>788</v>
      </c>
      <c r="AM329" s="93">
        <v>2288</v>
      </c>
      <c r="AN329" s="93">
        <v>8581</v>
      </c>
      <c r="AO329" s="93">
        <v>1765</v>
      </c>
      <c r="AP329" s="93">
        <v>1210</v>
      </c>
      <c r="AQ329" s="93">
        <v>1320</v>
      </c>
      <c r="AR329" s="93">
        <v>1684</v>
      </c>
      <c r="AS329" s="20">
        <v>31715</v>
      </c>
      <c r="AT329" s="25">
        <v>262</v>
      </c>
      <c r="AU329" s="97"/>
      <c r="AV329" s="1504">
        <v>44470</v>
      </c>
      <c r="AW329" s="19">
        <v>11831</v>
      </c>
      <c r="AX329" s="93">
        <v>3405</v>
      </c>
      <c r="AY329" s="93">
        <v>4328</v>
      </c>
      <c r="AZ329" s="93">
        <v>12741</v>
      </c>
      <c r="BA329" s="93">
        <v>8818</v>
      </c>
      <c r="BB329" s="93">
        <v>8744</v>
      </c>
      <c r="BC329" s="93">
        <v>3940</v>
      </c>
      <c r="BD329" s="93">
        <v>10194</v>
      </c>
      <c r="BE329" s="93">
        <v>15784</v>
      </c>
      <c r="BF329" s="93">
        <v>5720</v>
      </c>
      <c r="BG329" s="93">
        <v>4520</v>
      </c>
      <c r="BH329" s="93">
        <v>6130</v>
      </c>
      <c r="BI329" s="93">
        <v>5693</v>
      </c>
      <c r="BJ329" s="20">
        <v>101848</v>
      </c>
      <c r="BK329" s="25">
        <v>262</v>
      </c>
      <c r="BL329" s="97"/>
      <c r="BM329" s="1504">
        <v>44470</v>
      </c>
      <c r="BN329" s="19">
        <v>96.9</v>
      </c>
      <c r="BO329" s="93">
        <v>1880.3</v>
      </c>
      <c r="BP329" s="93">
        <v>13.2</v>
      </c>
      <c r="BQ329" s="93">
        <v>916.6</v>
      </c>
      <c r="BR329" s="93">
        <v>11.6</v>
      </c>
      <c r="BS329" s="93">
        <v>317.2</v>
      </c>
      <c r="BT329" s="93">
        <v>371.4</v>
      </c>
      <c r="BU329" s="20">
        <v>3607.1</v>
      </c>
      <c r="BV329" s="25">
        <v>262</v>
      </c>
      <c r="BW329" s="97"/>
      <c r="BX329" s="1504">
        <v>44470</v>
      </c>
      <c r="BY329" s="19">
        <v>565.56439999999998</v>
      </c>
      <c r="BZ329" s="93">
        <v>655.95699999999999</v>
      </c>
      <c r="CA329" s="93">
        <v>612.82039999999995</v>
      </c>
      <c r="CB329" s="93">
        <v>38.056077000000002</v>
      </c>
      <c r="CC329" s="93">
        <v>93.112174999999993</v>
      </c>
      <c r="CD329" s="25">
        <v>262</v>
      </c>
      <c r="CE329" s="97"/>
      <c r="CF329" s="1504">
        <v>44470</v>
      </c>
      <c r="CG329" s="19">
        <v>2.5877829559999999</v>
      </c>
      <c r="CH329" s="93">
        <v>1776.85</v>
      </c>
      <c r="CI329" s="219">
        <v>82.063333333333304</v>
      </c>
      <c r="CJ329" s="20">
        <v>83.65</v>
      </c>
      <c r="CK329" s="19">
        <v>382.71</v>
      </c>
      <c r="CL329" s="93">
        <v>239.64876319999999</v>
      </c>
      <c r="CM329" s="93">
        <v>0.42416888800000002</v>
      </c>
      <c r="CN329" s="93">
        <v>0.37884225599999999</v>
      </c>
      <c r="CO329" s="93">
        <v>354.67</v>
      </c>
      <c r="CP329" s="20">
        <v>5.6985017759999996</v>
      </c>
      <c r="CQ329" s="219">
        <v>2133.66533688546</v>
      </c>
      <c r="CR329" s="93">
        <v>2.415</v>
      </c>
      <c r="CS329" s="93">
        <v>1.8694</v>
      </c>
      <c r="CT329" s="93">
        <v>147.5</v>
      </c>
      <c r="CU329" s="93">
        <v>122.91</v>
      </c>
      <c r="CV329" s="214">
        <v>3359.91</v>
      </c>
      <c r="CW329" s="29">
        <v>262</v>
      </c>
      <c r="CX329" s="41">
        <f t="shared" si="319"/>
        <v>2021</v>
      </c>
      <c r="CY329" s="1504">
        <v>44470</v>
      </c>
      <c r="CZ329" s="19"/>
      <c r="DA329" s="93"/>
      <c r="DB329" s="93"/>
      <c r="DC329" s="93"/>
      <c r="DD329" s="93"/>
      <c r="DE329" s="20"/>
      <c r="DF329" s="29"/>
      <c r="DG329" s="1504">
        <v>44470</v>
      </c>
      <c r="DH329" s="419">
        <f t="shared" si="320"/>
        <v>493074.77811591985</v>
      </c>
      <c r="DI329" s="100">
        <f t="shared" si="320"/>
        <v>4232736.0345393969</v>
      </c>
      <c r="DJ329" s="100">
        <f t="shared" si="320"/>
        <v>335871.01034490479</v>
      </c>
      <c r="DK329" s="100">
        <f t="shared" si="320"/>
        <v>12522.086185280728</v>
      </c>
      <c r="DL329" s="100">
        <f t="shared" si="320"/>
        <v>458106.17983366939</v>
      </c>
      <c r="DM329" s="100">
        <f t="shared" si="320"/>
        <v>3019.8547611739091</v>
      </c>
      <c r="DN329" s="306">
        <f t="shared" si="320"/>
        <v>994848.37820667867</v>
      </c>
      <c r="DO329" s="1932">
        <f t="shared" si="282"/>
        <v>6037103.5438711047</v>
      </c>
      <c r="DP329" s="29">
        <v>262</v>
      </c>
      <c r="DQ329" s="1504">
        <v>44470</v>
      </c>
      <c r="DR329" s="19">
        <v>76703.635999999999</v>
      </c>
      <c r="DS329" s="93">
        <v>399</v>
      </c>
      <c r="DT329" s="93">
        <v>67241.048999999999</v>
      </c>
      <c r="DU329" s="93">
        <v>1697.7729999999999</v>
      </c>
      <c r="DV329" s="93">
        <v>27045.574000000001</v>
      </c>
      <c r="DW329" s="93">
        <v>3329</v>
      </c>
      <c r="DX329" s="20">
        <v>20353.335714285713</v>
      </c>
      <c r="DY329" s="29">
        <v>262</v>
      </c>
      <c r="DZ329" s="1504">
        <v>44470</v>
      </c>
      <c r="EA329" s="19"/>
      <c r="EB329" s="93"/>
      <c r="EC329" s="20"/>
      <c r="ED329" s="29"/>
      <c r="EE329" s="1504">
        <v>44470</v>
      </c>
      <c r="EF329" s="19">
        <f t="shared" si="307"/>
        <v>18951</v>
      </c>
      <c r="EG329" s="93">
        <f t="shared" si="308"/>
        <v>20402</v>
      </c>
      <c r="EH329" s="93">
        <f t="shared" si="309"/>
        <v>48226</v>
      </c>
      <c r="EI329" s="214">
        <f t="shared" si="310"/>
        <v>8873</v>
      </c>
      <c r="EJ329" s="93">
        <f t="shared" si="311"/>
        <v>596.98699999999997</v>
      </c>
      <c r="EK329" s="93">
        <f t="shared" si="312"/>
        <v>143.88</v>
      </c>
      <c r="EL329" s="93">
        <f t="shared" si="313"/>
        <v>6.8739999999999997</v>
      </c>
      <c r="EM329" s="93">
        <f t="shared" si="314"/>
        <v>10.707000000000001</v>
      </c>
      <c r="EN329" s="20">
        <f t="shared" si="317"/>
        <v>758.44799999999998</v>
      </c>
      <c r="EO329" s="29">
        <v>262</v>
      </c>
      <c r="EP329" s="1504">
        <v>44470</v>
      </c>
      <c r="EQ329" s="19">
        <v>18074</v>
      </c>
      <c r="ER329" s="93">
        <v>19567</v>
      </c>
      <c r="ES329" s="93">
        <f t="shared" si="315"/>
        <v>37641</v>
      </c>
      <c r="ET329" s="214">
        <v>8704</v>
      </c>
      <c r="EU329" s="93">
        <v>596.98699999999997</v>
      </c>
      <c r="EV329" s="93">
        <v>143.88</v>
      </c>
      <c r="EW329" s="93">
        <v>6.8739999999999997</v>
      </c>
      <c r="EX329" s="93">
        <v>10.707000000000001</v>
      </c>
      <c r="EY329" s="20">
        <f t="shared" ref="EY329:EY355" si="321">SUM(EU329:EX329)</f>
        <v>758.44799999999998</v>
      </c>
      <c r="EZ329" s="29">
        <v>262</v>
      </c>
      <c r="FA329" s="1504">
        <v>44470</v>
      </c>
      <c r="FB329" s="29">
        <v>877</v>
      </c>
      <c r="FC329" s="29">
        <v>835</v>
      </c>
      <c r="FD329" s="29">
        <f t="shared" si="316"/>
        <v>1712</v>
      </c>
      <c r="FE329" s="29">
        <v>169</v>
      </c>
      <c r="FF329" s="29">
        <v>0</v>
      </c>
      <c r="FG329" s="29">
        <v>0</v>
      </c>
      <c r="FH329" s="29">
        <v>0</v>
      </c>
      <c r="FI329" s="29">
        <v>0</v>
      </c>
      <c r="FJ329" s="29">
        <f t="shared" si="318"/>
        <v>0</v>
      </c>
      <c r="FK329" s="29">
        <v>262</v>
      </c>
      <c r="FL329" s="1504">
        <v>44470</v>
      </c>
      <c r="FM329" s="19">
        <v>110.86</v>
      </c>
      <c r="FN329" s="93">
        <v>118.53</v>
      </c>
      <c r="FO329" s="93">
        <v>140.41</v>
      </c>
      <c r="FP329" s="93">
        <v>101.56</v>
      </c>
      <c r="FQ329" s="93">
        <v>99.47</v>
      </c>
      <c r="FR329" s="93">
        <v>101.03</v>
      </c>
      <c r="FS329" s="93">
        <v>100.6</v>
      </c>
      <c r="FT329" s="93">
        <v>99.14</v>
      </c>
      <c r="FU329" s="93">
        <v>98.74</v>
      </c>
      <c r="FV329" s="93">
        <v>101.11</v>
      </c>
      <c r="FW329" s="93">
        <v>112.07</v>
      </c>
      <c r="FX329" s="93">
        <v>107.01</v>
      </c>
      <c r="FY329" s="93">
        <v>101.31</v>
      </c>
      <c r="FZ329" s="29">
        <v>262</v>
      </c>
      <c r="GA329" s="1504">
        <v>44470</v>
      </c>
      <c r="GB329" s="19">
        <v>110.86</v>
      </c>
      <c r="GC329" s="93">
        <v>103.55</v>
      </c>
      <c r="GD329" s="93">
        <v>114.62</v>
      </c>
      <c r="GE329" s="93">
        <v>96.33</v>
      </c>
      <c r="GF329" s="93">
        <v>123.55</v>
      </c>
      <c r="GG329" s="93">
        <v>107.38</v>
      </c>
      <c r="GH329" s="93">
        <v>123.96</v>
      </c>
      <c r="GI329" s="93">
        <v>104.64</v>
      </c>
      <c r="GJ329" s="93">
        <v>103.84</v>
      </c>
      <c r="GK329" s="93">
        <v>100.24</v>
      </c>
      <c r="GL329" s="93">
        <v>116.1</v>
      </c>
      <c r="GM329" s="93">
        <v>101.31</v>
      </c>
      <c r="GN329" s="20">
        <v>103.83</v>
      </c>
      <c r="GO329" s="29">
        <v>262</v>
      </c>
      <c r="GP329" s="1504">
        <v>44470</v>
      </c>
      <c r="GQ329" s="19">
        <v>304</v>
      </c>
      <c r="GR329" s="93">
        <v>272</v>
      </c>
      <c r="GS329" s="93">
        <v>280</v>
      </c>
      <c r="GT329" s="93">
        <v>283</v>
      </c>
      <c r="GU329" s="93">
        <v>436</v>
      </c>
      <c r="GV329" s="20">
        <v>896</v>
      </c>
      <c r="GW329" s="19">
        <v>621</v>
      </c>
      <c r="GX329" s="93">
        <v>558</v>
      </c>
      <c r="GY329" s="93">
        <v>439</v>
      </c>
      <c r="GZ329" s="93">
        <v>883</v>
      </c>
      <c r="HA329" s="93">
        <v>443</v>
      </c>
      <c r="HB329" s="20">
        <v>719</v>
      </c>
      <c r="HC329" s="19">
        <v>2437</v>
      </c>
      <c r="HD329" s="93">
        <v>3103</v>
      </c>
      <c r="HE329" s="93">
        <v>2749</v>
      </c>
      <c r="HF329" s="93">
        <v>3150</v>
      </c>
      <c r="HG329" s="93">
        <v>3321</v>
      </c>
      <c r="HH329" s="20">
        <v>3623</v>
      </c>
      <c r="HI329" s="19"/>
      <c r="HJ329" s="93">
        <v>905</v>
      </c>
      <c r="HK329" s="93">
        <v>1898</v>
      </c>
      <c r="HL329" s="93">
        <v>844</v>
      </c>
      <c r="HM329" s="93">
        <v>1000</v>
      </c>
      <c r="HN329" s="20">
        <v>3036</v>
      </c>
      <c r="HO329" s="219">
        <v>137</v>
      </c>
      <c r="HP329" s="20">
        <v>99</v>
      </c>
      <c r="HQ329" s="25">
        <v>166</v>
      </c>
      <c r="HR329" s="29">
        <v>262</v>
      </c>
      <c r="HS329" s="1504">
        <v>44470</v>
      </c>
      <c r="HT329" s="19">
        <v>249.30938720703125</v>
      </c>
      <c r="HU329" s="93">
        <v>277.77777099609375</v>
      </c>
      <c r="HV329" s="93">
        <v>229.35819091796876</v>
      </c>
      <c r="HW329" s="93">
        <v>255.4290885925293</v>
      </c>
      <c r="HX329" s="93">
        <v>239.89898681640625</v>
      </c>
      <c r="HY329" s="93">
        <v>248.61878204345703</v>
      </c>
      <c r="HZ329" s="93">
        <v>226.89768981933594</v>
      </c>
      <c r="IA329" s="20">
        <v>248.01383972167969</v>
      </c>
      <c r="IB329" s="19">
        <v>320.10581970214844</v>
      </c>
      <c r="IC329" s="93">
        <v>176.31578674316407</v>
      </c>
      <c r="ID329" s="93">
        <v>240.74073791503906</v>
      </c>
      <c r="IE329" s="93"/>
      <c r="IF329" s="93">
        <v>214.62203216552734</v>
      </c>
      <c r="IG329" s="20">
        <v>175.95628356933594</v>
      </c>
      <c r="IH329" s="19">
        <v>219.76190643310548</v>
      </c>
      <c r="II329" s="93">
        <v>273.22402954101563</v>
      </c>
      <c r="IJ329" s="93">
        <v>233.18374938964843</v>
      </c>
      <c r="IK329" s="93">
        <v>223.21429443359375</v>
      </c>
      <c r="IL329" s="93">
        <v>211.68582458496093</v>
      </c>
      <c r="IM329" s="93">
        <v>208.8709716796875</v>
      </c>
      <c r="IN329" s="93">
        <v>225.98870086669922</v>
      </c>
      <c r="IO329" s="20">
        <v>244.06416625976561</v>
      </c>
      <c r="IP329" s="29">
        <v>262</v>
      </c>
      <c r="IQ329" s="19">
        <v>242.65880584716797</v>
      </c>
      <c r="IR329" s="93">
        <v>130.55555725097656</v>
      </c>
      <c r="IS329" s="93">
        <v>202.38095601399741</v>
      </c>
      <c r="IT329" s="93">
        <v>136.07594807942709</v>
      </c>
      <c r="IU329" s="93">
        <v>181.59183883666992</v>
      </c>
      <c r="IV329" s="20">
        <v>152.94944000244141</v>
      </c>
      <c r="IW329" s="29">
        <v>262</v>
      </c>
      <c r="IX329" s="19">
        <v>428.57144165039063</v>
      </c>
      <c r="IY329" s="93">
        <v>419.08601074218751</v>
      </c>
      <c r="IZ329" s="93">
        <v>430</v>
      </c>
      <c r="JA329" s="93">
        <v>400</v>
      </c>
      <c r="JB329" s="93">
        <v>420</v>
      </c>
      <c r="JC329" s="93">
        <v>400</v>
      </c>
      <c r="JD329" s="93">
        <v>390</v>
      </c>
      <c r="JE329" s="20">
        <v>400</v>
      </c>
      <c r="JF329" s="29">
        <v>262</v>
      </c>
      <c r="JG329" s="19">
        <v>210.40751647949219</v>
      </c>
      <c r="JH329" s="93">
        <v>245.90162658691406</v>
      </c>
      <c r="JI329" s="93">
        <v>225.3195770263672</v>
      </c>
      <c r="JJ329" s="93">
        <v>182.92682647705078</v>
      </c>
      <c r="JK329" s="93">
        <v>204.77815246582031</v>
      </c>
      <c r="JL329" s="93">
        <v>212.31803131103516</v>
      </c>
      <c r="JM329" s="93">
        <v>212.9310302734375</v>
      </c>
      <c r="JN329" s="20">
        <v>240.81984405517579</v>
      </c>
      <c r="JO329" s="29">
        <v>262</v>
      </c>
      <c r="JP329" s="19">
        <v>220.11666107177734</v>
      </c>
      <c r="JQ329" s="93">
        <v>122.5</v>
      </c>
      <c r="JR329" s="93">
        <v>190.86021423339844</v>
      </c>
      <c r="JS329" s="93">
        <v>149.00662231445313</v>
      </c>
      <c r="JT329" s="93">
        <v>183.66501617431641</v>
      </c>
      <c r="JU329" s="20">
        <v>150.40540313720703</v>
      </c>
      <c r="JV329" s="29">
        <v>262</v>
      </c>
      <c r="JW329" s="1504">
        <v>44470</v>
      </c>
      <c r="JX329" s="19">
        <v>385500</v>
      </c>
      <c r="JY329" s="93">
        <v>339583</v>
      </c>
      <c r="JZ329" s="93"/>
      <c r="KA329" s="93"/>
      <c r="KB329" s="93">
        <v>392000</v>
      </c>
      <c r="KC329" s="93">
        <v>371000</v>
      </c>
      <c r="KD329" s="20">
        <v>375000</v>
      </c>
      <c r="KE329" s="29">
        <v>262</v>
      </c>
      <c r="KF329" s="19">
        <v>70000</v>
      </c>
      <c r="KG329" s="93">
        <v>56625</v>
      </c>
      <c r="KH329" s="93"/>
      <c r="KI329" s="93">
        <v>108500</v>
      </c>
      <c r="KJ329" s="93">
        <v>65300</v>
      </c>
      <c r="KK329" s="20"/>
      <c r="KL329" s="29">
        <v>262</v>
      </c>
      <c r="KM329" s="19">
        <v>38100</v>
      </c>
      <c r="KN329" s="93">
        <v>21125</v>
      </c>
      <c r="KO329" s="93"/>
      <c r="KP329" s="93">
        <v>66700</v>
      </c>
      <c r="KQ329" s="93">
        <v>37600</v>
      </c>
      <c r="KR329" s="20"/>
      <c r="KS329" s="29">
        <v>262</v>
      </c>
      <c r="KT329" s="19">
        <v>35900</v>
      </c>
      <c r="KU329" s="93">
        <v>30542</v>
      </c>
      <c r="KV329" s="93"/>
      <c r="KW329" s="93">
        <v>42600</v>
      </c>
      <c r="KX329" s="93">
        <v>25100</v>
      </c>
      <c r="KY329" s="20"/>
      <c r="KZ329" s="29">
        <v>262</v>
      </c>
      <c r="LA329" s="1504">
        <v>44470</v>
      </c>
      <c r="LB329" s="19"/>
      <c r="LC329" s="93"/>
      <c r="LD329" s="93"/>
      <c r="LE329" s="93"/>
      <c r="LF329" s="93"/>
      <c r="LG329" s="93"/>
      <c r="LH329" s="20"/>
      <c r="LI329" s="29"/>
      <c r="LJ329" s="19"/>
      <c r="LK329" s="93"/>
      <c r="LL329" s="93"/>
      <c r="LM329" s="93"/>
      <c r="LN329" s="93"/>
      <c r="LO329" s="20"/>
      <c r="LP329" s="29"/>
      <c r="LQ329" s="19"/>
      <c r="LR329" s="93">
        <v>188</v>
      </c>
      <c r="LS329" s="93">
        <v>463</v>
      </c>
      <c r="LT329" s="93">
        <v>663</v>
      </c>
      <c r="LU329" s="93">
        <v>1104</v>
      </c>
      <c r="LV329" s="93"/>
      <c r="LW329" s="93">
        <v>5</v>
      </c>
      <c r="LX329" s="93">
        <v>10</v>
      </c>
      <c r="LY329" s="93">
        <v>60</v>
      </c>
      <c r="LZ329" s="93"/>
      <c r="MA329" s="20"/>
      <c r="MB329" s="29">
        <v>262</v>
      </c>
      <c r="MC329" s="1504">
        <v>44470</v>
      </c>
      <c r="MD329" s="19">
        <v>1742.3164483488201</v>
      </c>
      <c r="ME329" s="93">
        <v>1589.1292960452265</v>
      </c>
      <c r="MF329" s="93">
        <v>1589.1292960452265</v>
      </c>
      <c r="MG329" s="93">
        <v>1393.8949518804263</v>
      </c>
      <c r="MH329" s="93">
        <v>504.07197348900002</v>
      </c>
      <c r="MI329" s="93">
        <v>13.371255603999998</v>
      </c>
      <c r="MJ329" s="93">
        <v>46.479011044926445</v>
      </c>
      <c r="MK329" s="93">
        <v>659.5980009709001</v>
      </c>
      <c r="ML329" s="93">
        <v>169.18853402799999</v>
      </c>
      <c r="MM329" s="93">
        <v>1.1861767435999999</v>
      </c>
      <c r="MN329" s="93">
        <v>195.23434416479998</v>
      </c>
      <c r="MO329" s="93">
        <v>4.4052653350000028</v>
      </c>
      <c r="MP329" s="93">
        <v>48.736922371200002</v>
      </c>
      <c r="MQ329" s="93">
        <v>1.9933518439999998</v>
      </c>
      <c r="MR329" s="93">
        <v>53.187862371999998</v>
      </c>
      <c r="MS329" s="93">
        <v>86.910942242600015</v>
      </c>
      <c r="MT329" s="93">
        <v>0</v>
      </c>
      <c r="MU329" s="93">
        <v>153.18715230359379</v>
      </c>
      <c r="MV329" s="93">
        <v>107.67328337059378</v>
      </c>
      <c r="MW329" s="93">
        <v>45.513868933000005</v>
      </c>
      <c r="MX329" s="93">
        <v>2299.2464824373837</v>
      </c>
      <c r="MY329" s="93">
        <v>2304.3464381663839</v>
      </c>
      <c r="MZ329" s="93">
        <v>1623.3017627536458</v>
      </c>
      <c r="NA329" s="93">
        <v>814.68874833566667</v>
      </c>
      <c r="NB329" s="93">
        <v>157.26171097999998</v>
      </c>
      <c r="NC329" s="93">
        <v>153.80261748497932</v>
      </c>
      <c r="ND329" s="93">
        <v>130.0354956193579</v>
      </c>
      <c r="NE329" s="93">
        <v>23.767121865621437</v>
      </c>
      <c r="NF329" s="93">
        <v>497.54868595300002</v>
      </c>
      <c r="NG329" s="93">
        <v>10.353303244499999</v>
      </c>
      <c r="NH329" s="93">
        <v>108.74907072400001</v>
      </c>
      <c r="NI329" s="93">
        <v>0</v>
      </c>
      <c r="NJ329" s="93">
        <v>25.308656460000002</v>
      </c>
      <c r="NK329" s="93">
        <v>681.04467541273777</v>
      </c>
      <c r="NL329" s="93">
        <v>376.416355705</v>
      </c>
      <c r="NM329" s="93">
        <v>7.5269605730000002</v>
      </c>
      <c r="NN329" s="93">
        <v>297.10135913473783</v>
      </c>
      <c r="NO329" s="93">
        <v>-5.0999557290000022</v>
      </c>
      <c r="NP329" s="93">
        <v>-556.93003408856373</v>
      </c>
      <c r="NQ329" s="93">
        <v>-710.11718639215758</v>
      </c>
      <c r="NR329" s="93">
        <v>-259.21320977244039</v>
      </c>
      <c r="NS329" s="93">
        <v>-413.01582725741963</v>
      </c>
      <c r="NT329" s="93">
        <v>-573.37928748676381</v>
      </c>
      <c r="NU329" s="93">
        <v>-726.56643979035755</v>
      </c>
      <c r="NV329" s="93">
        <v>582.05353303411505</v>
      </c>
      <c r="NW329" s="93">
        <v>191.52158544321173</v>
      </c>
      <c r="NX329" s="93">
        <v>244.0094052730019</v>
      </c>
      <c r="NY329" s="93">
        <v>-52.48781982979024</v>
      </c>
      <c r="NZ329" s="93">
        <v>0</v>
      </c>
      <c r="OA329" s="93">
        <v>390.5319475909032</v>
      </c>
      <c r="OB329" s="93">
        <v>27.558245711308718</v>
      </c>
      <c r="OC329" s="93">
        <v>362.9737018795945</v>
      </c>
      <c r="OD329" s="20">
        <v>0</v>
      </c>
      <c r="OE329" s="29">
        <v>262</v>
      </c>
      <c r="OF329" s="1504">
        <v>44470</v>
      </c>
      <c r="OG329" s="19"/>
      <c r="OH329" s="93">
        <v>671.53595779400007</v>
      </c>
      <c r="OI329" s="93">
        <v>2405.7117832479998</v>
      </c>
      <c r="OJ329" s="93">
        <v>0.95827201800000006</v>
      </c>
      <c r="OK329" s="93">
        <v>2103.1529999999998</v>
      </c>
      <c r="OL329" s="93">
        <v>301.60051123</v>
      </c>
      <c r="OM329" s="93">
        <v>3077.2477410419997</v>
      </c>
      <c r="ON329" s="93">
        <v>1926.7531083190001</v>
      </c>
      <c r="OO329" s="93">
        <v>5004.0008493610003</v>
      </c>
      <c r="OP329" s="93"/>
      <c r="OQ329" s="93">
        <v>2397.0895796999994</v>
      </c>
      <c r="OR329" s="93">
        <v>540.46957969999994</v>
      </c>
      <c r="OS329" s="93">
        <v>1856.62</v>
      </c>
      <c r="OT329" s="93">
        <v>3333.7935720150003</v>
      </c>
      <c r="OU329" s="93">
        <v>31.414943262000122</v>
      </c>
      <c r="OV329" s="93">
        <v>-241.599056738</v>
      </c>
      <c r="OW329" s="93">
        <v>273.01400000000012</v>
      </c>
      <c r="OX329" s="93">
        <v>3302.3786287530002</v>
      </c>
      <c r="OY329" s="93">
        <v>8.1746287530000004</v>
      </c>
      <c r="OZ329" s="93">
        <v>3294.2039999999997</v>
      </c>
      <c r="PA329" s="93">
        <v>936.84175696700004</v>
      </c>
      <c r="PB329" s="93">
        <v>-209.95945461300005</v>
      </c>
      <c r="PC329" s="20">
        <v>5004.0008493609994</v>
      </c>
      <c r="PD329" s="29">
        <v>262</v>
      </c>
      <c r="PE329" s="19"/>
      <c r="PF329" s="93">
        <v>540.46957969999994</v>
      </c>
      <c r="PG329" s="93">
        <v>1316.4633759189999</v>
      </c>
      <c r="PH329" s="93">
        <v>775.99379621899993</v>
      </c>
      <c r="PI329" s="93">
        <v>792.757566333</v>
      </c>
      <c r="PJ329" s="93">
        <v>-235.0338544</v>
      </c>
      <c r="PK329" s="93">
        <v>290.36720448400001</v>
      </c>
      <c r="PL329" s="93">
        <v>525.40105888400001</v>
      </c>
      <c r="PM329" s="93">
        <v>8.1746287530000004</v>
      </c>
      <c r="PN329" s="93">
        <v>3.48</v>
      </c>
      <c r="PO329" s="93">
        <v>0</v>
      </c>
      <c r="PP329" s="93">
        <v>0</v>
      </c>
      <c r="PQ329" s="93">
        <v>4.6946287529999999</v>
      </c>
      <c r="PR329" s="93">
        <v>1089.4909033419999</v>
      </c>
      <c r="PS329" s="93">
        <v>768.93316013200001</v>
      </c>
      <c r="PT329" s="93">
        <v>319.26636287299999</v>
      </c>
      <c r="PU329" s="93">
        <v>1.2913803370000001</v>
      </c>
      <c r="PV329" s="93">
        <v>0</v>
      </c>
      <c r="PW329" s="93">
        <v>0.65070648200000003</v>
      </c>
      <c r="PX329" s="93">
        <v>0</v>
      </c>
      <c r="PY329" s="93">
        <v>0</v>
      </c>
      <c r="PZ329" s="93">
        <v>0.65070648200000003</v>
      </c>
      <c r="QA329" s="93">
        <v>0</v>
      </c>
      <c r="QB329" s="93">
        <v>0</v>
      </c>
      <c r="QC329" s="93">
        <v>0</v>
      </c>
      <c r="QD329" s="93">
        <v>7.1510504849999998</v>
      </c>
      <c r="QE329" s="20">
        <v>9.0752600770000011</v>
      </c>
      <c r="QF329" s="1739">
        <v>262</v>
      </c>
      <c r="QG329" s="19"/>
      <c r="QH329" s="93">
        <v>1856.62</v>
      </c>
      <c r="QI329" s="93">
        <v>2186.7469999999998</v>
      </c>
      <c r="QJ329" s="93">
        <v>-330.12700000000001</v>
      </c>
      <c r="QK329" s="93">
        <v>410.55899999999997</v>
      </c>
      <c r="QL329" s="93">
        <v>90.831999999999994</v>
      </c>
      <c r="QM329" s="93">
        <v>319.72699999999998</v>
      </c>
      <c r="QN329" s="93">
        <v>0</v>
      </c>
      <c r="QO329" s="93">
        <v>273.01400000000012</v>
      </c>
      <c r="QP329" s="93">
        <v>1083.3150000000001</v>
      </c>
      <c r="QQ329" s="93">
        <v>-810.30099999999993</v>
      </c>
      <c r="QR329" s="93">
        <v>3294.2039999999997</v>
      </c>
      <c r="QS329" s="93">
        <v>34.440999999999995</v>
      </c>
      <c r="QT329" s="93">
        <v>1.7000000000000001E-2</v>
      </c>
      <c r="QU329" s="93">
        <v>247.22400000000002</v>
      </c>
      <c r="QV329" s="93">
        <v>3012.5219999999999</v>
      </c>
      <c r="QW329" s="93"/>
      <c r="QX329" s="93">
        <v>781.721</v>
      </c>
      <c r="QY329" s="93">
        <v>2103.1530000000002</v>
      </c>
      <c r="QZ329" s="93">
        <v>1926.42</v>
      </c>
      <c r="RA329" s="93">
        <v>0</v>
      </c>
      <c r="RB329" s="93">
        <v>188.464</v>
      </c>
      <c r="RC329" s="93">
        <v>0</v>
      </c>
      <c r="RD329" s="93">
        <v>41.905000000000001</v>
      </c>
      <c r="RE329" s="93">
        <v>0</v>
      </c>
      <c r="RF329" s="93">
        <v>0</v>
      </c>
      <c r="RG329" s="93">
        <v>698.67100000000005</v>
      </c>
      <c r="RH329" s="93">
        <v>94.062999999999988</v>
      </c>
      <c r="RI329" s="93"/>
      <c r="RJ329" s="93"/>
      <c r="RK329" s="93"/>
      <c r="RL329" s="93"/>
      <c r="RM329" s="20"/>
      <c r="RN329" s="29">
        <v>262</v>
      </c>
      <c r="RO329" s="19">
        <v>374</v>
      </c>
      <c r="RP329" s="20">
        <v>105</v>
      </c>
      <c r="RQ329" s="29">
        <v>262</v>
      </c>
      <c r="RR329" s="20">
        <v>5.3003240000000007</v>
      </c>
      <c r="RS329" s="29">
        <v>262</v>
      </c>
      <c r="RT329" s="1504">
        <v>44470</v>
      </c>
      <c r="RU329" s="19">
        <v>1380</v>
      </c>
      <c r="RV329" s="20">
        <v>27</v>
      </c>
      <c r="RW329" s="29">
        <v>262</v>
      </c>
      <c r="RX329" s="1504">
        <v>44470</v>
      </c>
      <c r="RY329" s="29"/>
      <c r="RZ329" s="20"/>
      <c r="SA329" s="29"/>
      <c r="SB329" s="29"/>
    </row>
    <row r="330" spans="1:496">
      <c r="A330" s="41">
        <f t="shared" si="238"/>
        <v>2021</v>
      </c>
      <c r="B330" s="1504">
        <v>44501</v>
      </c>
      <c r="C330" s="1813">
        <v>2081</v>
      </c>
      <c r="D330" s="1814">
        <v>34035</v>
      </c>
      <c r="E330" s="1814">
        <v>69</v>
      </c>
      <c r="F330" s="1815"/>
      <c r="G330" s="1814">
        <v>94761</v>
      </c>
      <c r="H330" s="1814">
        <v>32</v>
      </c>
      <c r="I330" s="1814">
        <v>34762</v>
      </c>
      <c r="J330" s="1816">
        <v>14958</v>
      </c>
      <c r="K330" s="1807">
        <v>180698</v>
      </c>
      <c r="L330" s="25">
        <v>263</v>
      </c>
      <c r="M330" s="97"/>
      <c r="N330" s="1504">
        <v>44501</v>
      </c>
      <c r="O330" s="19">
        <v>1524</v>
      </c>
      <c r="P330" s="93">
        <v>1100</v>
      </c>
      <c r="Q330" s="93">
        <v>11900</v>
      </c>
      <c r="R330" s="93">
        <v>2821</v>
      </c>
      <c r="S330" s="93">
        <v>2817</v>
      </c>
      <c r="T330" s="93">
        <v>850</v>
      </c>
      <c r="U330" s="93">
        <v>406</v>
      </c>
      <c r="V330" s="93">
        <v>2157</v>
      </c>
      <c r="W330" s="93">
        <v>5736</v>
      </c>
      <c r="X330" s="93">
        <v>919</v>
      </c>
      <c r="Y330" s="93">
        <v>677</v>
      </c>
      <c r="Z330" s="93">
        <v>1743</v>
      </c>
      <c r="AA330" s="93">
        <v>1385</v>
      </c>
      <c r="AB330" s="20">
        <v>34035</v>
      </c>
      <c r="AC330" s="25">
        <v>263</v>
      </c>
      <c r="AD330" s="97"/>
      <c r="AE330" s="1504">
        <v>44501</v>
      </c>
      <c r="AF330" s="19">
        <v>3440</v>
      </c>
      <c r="AG330" s="93">
        <v>987</v>
      </c>
      <c r="AH330" s="93">
        <v>3797</v>
      </c>
      <c r="AI330" s="93">
        <v>4454</v>
      </c>
      <c r="AJ330" s="93">
        <v>2351</v>
      </c>
      <c r="AK330" s="93">
        <v>2148</v>
      </c>
      <c r="AL330" s="93">
        <v>1119</v>
      </c>
      <c r="AM330" s="93">
        <v>2230</v>
      </c>
      <c r="AN330" s="93">
        <v>8745</v>
      </c>
      <c r="AO330" s="93">
        <v>1581</v>
      </c>
      <c r="AP330" s="93">
        <v>1182</v>
      </c>
      <c r="AQ330" s="93">
        <v>1301</v>
      </c>
      <c r="AR330" s="93">
        <v>1427</v>
      </c>
      <c r="AS330" s="20">
        <v>34762</v>
      </c>
      <c r="AT330" s="25">
        <v>263</v>
      </c>
      <c r="AU330" s="97"/>
      <c r="AV330" s="1504">
        <v>44501</v>
      </c>
      <c r="AW330" s="19">
        <v>11191</v>
      </c>
      <c r="AX330" s="93">
        <v>3139</v>
      </c>
      <c r="AY330" s="93">
        <v>3295</v>
      </c>
      <c r="AZ330" s="93">
        <v>10306</v>
      </c>
      <c r="BA330" s="93">
        <v>8378</v>
      </c>
      <c r="BB330" s="93">
        <v>7932</v>
      </c>
      <c r="BC330" s="93">
        <v>3367</v>
      </c>
      <c r="BD330" s="93">
        <v>8851</v>
      </c>
      <c r="BE330" s="93">
        <v>15181</v>
      </c>
      <c r="BF330" s="93">
        <v>5731</v>
      </c>
      <c r="BG330" s="93">
        <v>5930</v>
      </c>
      <c r="BH330" s="93">
        <v>6226</v>
      </c>
      <c r="BI330" s="93">
        <v>5234</v>
      </c>
      <c r="BJ330" s="20">
        <v>94761</v>
      </c>
      <c r="BK330" s="25">
        <v>263</v>
      </c>
      <c r="BL330" s="97"/>
      <c r="BM330" s="1504">
        <v>44501</v>
      </c>
      <c r="BN330" s="19">
        <v>114.5</v>
      </c>
      <c r="BO330" s="93">
        <v>1871.9</v>
      </c>
      <c r="BP330" s="93">
        <v>13.8</v>
      </c>
      <c r="BQ330" s="93">
        <v>852.8</v>
      </c>
      <c r="BR330" s="93">
        <v>5.6</v>
      </c>
      <c r="BS330" s="93">
        <v>347.6</v>
      </c>
      <c r="BT330" s="93">
        <v>418.8</v>
      </c>
      <c r="BU330" s="20">
        <v>3625.1</v>
      </c>
      <c r="BV330" s="25">
        <v>263</v>
      </c>
      <c r="BW330" s="97"/>
      <c r="BX330" s="1504">
        <v>44501</v>
      </c>
      <c r="BY330" s="19">
        <v>575.23609999999996</v>
      </c>
      <c r="BZ330" s="93">
        <v>655.95699999999999</v>
      </c>
      <c r="CA330" s="93">
        <v>623.86009999999999</v>
      </c>
      <c r="CB330" s="93">
        <v>37.003694000000003</v>
      </c>
      <c r="CC330" s="93">
        <v>93.901216000000005</v>
      </c>
      <c r="CD330" s="25">
        <v>263</v>
      </c>
      <c r="CE330" s="97"/>
      <c r="CF330" s="1504">
        <v>44501</v>
      </c>
      <c r="CG330" s="19">
        <v>2.7897261480000002</v>
      </c>
      <c r="CH330" s="93">
        <v>1821.76</v>
      </c>
      <c r="CI330" s="219">
        <v>79.9166666666667</v>
      </c>
      <c r="CJ330" s="20">
        <v>80.77</v>
      </c>
      <c r="CK330" s="19">
        <v>378.55</v>
      </c>
      <c r="CL330" s="93">
        <v>248.71915039999999</v>
      </c>
      <c r="CM330" s="93">
        <v>0.42813720399999999</v>
      </c>
      <c r="CN330" s="93">
        <v>0.37280089599999999</v>
      </c>
      <c r="CO330" s="93">
        <v>379.45</v>
      </c>
      <c r="CP330" s="20">
        <v>5.9524739999999996</v>
      </c>
      <c r="CQ330" s="219">
        <v>2150.2094498390102</v>
      </c>
      <c r="CR330" s="93">
        <v>2.4750000000000001</v>
      </c>
      <c r="CS330" s="93">
        <v>1.9289000000000001</v>
      </c>
      <c r="CT330" s="93">
        <v>153.13</v>
      </c>
      <c r="CU330" s="93">
        <v>96.24</v>
      </c>
      <c r="CV330" s="214">
        <v>3311.27</v>
      </c>
      <c r="CW330" s="29">
        <v>263</v>
      </c>
      <c r="CX330" s="41">
        <f t="shared" si="319"/>
        <v>2021</v>
      </c>
      <c r="CY330" s="1504">
        <v>44501</v>
      </c>
      <c r="CZ330" s="19"/>
      <c r="DA330" s="93"/>
      <c r="DB330" s="93"/>
      <c r="DC330" s="93"/>
      <c r="DD330" s="93"/>
      <c r="DE330" s="20"/>
      <c r="DF330" s="29"/>
      <c r="DG330" s="1504">
        <v>44501</v>
      </c>
      <c r="DH330" s="419">
        <f t="shared" si="320"/>
        <v>497083.3371522479</v>
      </c>
      <c r="DI330" s="100">
        <f t="shared" si="320"/>
        <v>4054001.4565103753</v>
      </c>
      <c r="DJ330" s="100">
        <f t="shared" si="320"/>
        <v>347987.1804258948</v>
      </c>
      <c r="DK330" s="100">
        <f t="shared" si="320"/>
        <v>11472.870106295195</v>
      </c>
      <c r="DL330" s="100">
        <f t="shared" si="320"/>
        <v>441330.73318302818</v>
      </c>
      <c r="DM330" s="100">
        <f t="shared" si="320"/>
        <v>2553.4872869751302</v>
      </c>
      <c r="DN330" s="306">
        <f t="shared" si="320"/>
        <v>886141.8355793677</v>
      </c>
      <c r="DO330" s="1932">
        <f t="shared" si="282"/>
        <v>5743487.5630919347</v>
      </c>
      <c r="DP330" s="29">
        <v>263</v>
      </c>
      <c r="DQ330" s="1504">
        <v>44501</v>
      </c>
      <c r="DR330" s="19">
        <v>70429.100999999995</v>
      </c>
      <c r="DS330" s="93">
        <v>449.5</v>
      </c>
      <c r="DT330" s="93">
        <v>64772.587</v>
      </c>
      <c r="DU330" s="93">
        <v>2390.64</v>
      </c>
      <c r="DV330" s="93">
        <v>27005.411</v>
      </c>
      <c r="DW330" s="93">
        <v>3580</v>
      </c>
      <c r="DX330" s="20">
        <v>19768.903571428567</v>
      </c>
      <c r="DY330" s="29">
        <v>263</v>
      </c>
      <c r="DZ330" s="1504">
        <v>44501</v>
      </c>
      <c r="EA330" s="19"/>
      <c r="EB330" s="93"/>
      <c r="EC330" s="20"/>
      <c r="ED330" s="29"/>
      <c r="EE330" s="1504">
        <v>44501</v>
      </c>
      <c r="EF330" s="19">
        <f t="shared" si="307"/>
        <v>18819</v>
      </c>
      <c r="EG330" s="93">
        <f t="shared" si="308"/>
        <v>19747</v>
      </c>
      <c r="EH330" s="93">
        <f t="shared" si="309"/>
        <v>47725</v>
      </c>
      <c r="EI330" s="214">
        <f t="shared" si="310"/>
        <v>9159</v>
      </c>
      <c r="EJ330" s="93">
        <f t="shared" si="311"/>
        <v>644.63400000000001</v>
      </c>
      <c r="EK330" s="93">
        <f t="shared" si="312"/>
        <v>91.694999999999993</v>
      </c>
      <c r="EL330" s="93">
        <f t="shared" si="313"/>
        <v>6.8940000000000001</v>
      </c>
      <c r="EM330" s="93">
        <f t="shared" si="314"/>
        <v>12.976000000000001</v>
      </c>
      <c r="EN330" s="20">
        <f t="shared" si="317"/>
        <v>756.19899999999996</v>
      </c>
      <c r="EO330" s="29">
        <v>263</v>
      </c>
      <c r="EP330" s="1504">
        <v>44501</v>
      </c>
      <c r="EQ330" s="19">
        <v>17914</v>
      </c>
      <c r="ER330" s="93">
        <v>18841</v>
      </c>
      <c r="ES330" s="93">
        <f t="shared" si="315"/>
        <v>36755</v>
      </c>
      <c r="ET330" s="214">
        <v>8885</v>
      </c>
      <c r="EU330" s="93">
        <v>644.63400000000001</v>
      </c>
      <c r="EV330" s="93">
        <v>91.694999999999993</v>
      </c>
      <c r="EW330" s="93">
        <v>6.8940000000000001</v>
      </c>
      <c r="EX330" s="93">
        <v>12.976000000000001</v>
      </c>
      <c r="EY330" s="20">
        <f t="shared" si="321"/>
        <v>756.19899999999996</v>
      </c>
      <c r="EZ330" s="29">
        <v>263</v>
      </c>
      <c r="FA330" s="1504">
        <v>44501</v>
      </c>
      <c r="FB330" s="29">
        <v>905</v>
      </c>
      <c r="FC330" s="29">
        <v>906</v>
      </c>
      <c r="FD330" s="29">
        <f t="shared" si="316"/>
        <v>1811</v>
      </c>
      <c r="FE330" s="29">
        <v>274</v>
      </c>
      <c r="FF330" s="29">
        <v>0</v>
      </c>
      <c r="FG330" s="29">
        <v>0</v>
      </c>
      <c r="FH330" s="29">
        <v>0</v>
      </c>
      <c r="FI330" s="29">
        <v>0</v>
      </c>
      <c r="FJ330" s="29">
        <f t="shared" si="318"/>
        <v>0</v>
      </c>
      <c r="FK330" s="29">
        <v>263</v>
      </c>
      <c r="FL330" s="1504">
        <v>44501</v>
      </c>
      <c r="FM330" s="19">
        <v>112.12</v>
      </c>
      <c r="FN330" s="93">
        <v>120.07</v>
      </c>
      <c r="FO330" s="93">
        <v>148.21</v>
      </c>
      <c r="FP330" s="93">
        <v>101.56</v>
      </c>
      <c r="FQ330" s="93">
        <v>100.51</v>
      </c>
      <c r="FR330" s="93">
        <v>101.03</v>
      </c>
      <c r="FS330" s="93">
        <v>100.6</v>
      </c>
      <c r="FT330" s="93">
        <v>99.16</v>
      </c>
      <c r="FU330" s="93">
        <v>98.74</v>
      </c>
      <c r="FV330" s="93">
        <v>101.12</v>
      </c>
      <c r="FW330" s="93">
        <v>112.14</v>
      </c>
      <c r="FX330" s="93">
        <v>107.03</v>
      </c>
      <c r="FY330" s="93">
        <v>101.31</v>
      </c>
      <c r="FZ330" s="29">
        <v>263</v>
      </c>
      <c r="GA330" s="1504">
        <v>44501</v>
      </c>
      <c r="GB330" s="19">
        <v>112.12</v>
      </c>
      <c r="GC330" s="93">
        <v>103.47</v>
      </c>
      <c r="GD330" s="93">
        <v>116.47</v>
      </c>
      <c r="GE330" s="93">
        <v>97.65</v>
      </c>
      <c r="GF330" s="93">
        <v>126.77</v>
      </c>
      <c r="GG330" s="93">
        <v>107.7</v>
      </c>
      <c r="GH330" s="93">
        <v>126.61</v>
      </c>
      <c r="GI330" s="93">
        <v>105.14</v>
      </c>
      <c r="GJ330" s="93">
        <v>103.84</v>
      </c>
      <c r="GK330" s="93">
        <v>100.25</v>
      </c>
      <c r="GL330" s="93">
        <v>117.86</v>
      </c>
      <c r="GM330" s="93">
        <v>101.31</v>
      </c>
      <c r="GN330" s="20">
        <v>103.84</v>
      </c>
      <c r="GO330" s="29">
        <v>263</v>
      </c>
      <c r="GP330" s="1504">
        <v>44501</v>
      </c>
      <c r="GQ330" s="19">
        <v>359</v>
      </c>
      <c r="GR330" s="93">
        <v>281</v>
      </c>
      <c r="GS330" s="93">
        <v>297</v>
      </c>
      <c r="GT330" s="93">
        <v>259</v>
      </c>
      <c r="GU330" s="93">
        <v>437</v>
      </c>
      <c r="GV330" s="20">
        <v>903</v>
      </c>
      <c r="GW330" s="19">
        <v>630</v>
      </c>
      <c r="GX330" s="93">
        <v>630</v>
      </c>
      <c r="GY330" s="93">
        <v>439</v>
      </c>
      <c r="GZ330" s="93">
        <v>594</v>
      </c>
      <c r="HA330" s="93">
        <v>516</v>
      </c>
      <c r="HB330" s="20">
        <v>1015</v>
      </c>
      <c r="HC330" s="19">
        <v>2759</v>
      </c>
      <c r="HD330" s="93">
        <v>2903</v>
      </c>
      <c r="HE330" s="93">
        <v>3143</v>
      </c>
      <c r="HF330" s="93">
        <v>3150</v>
      </c>
      <c r="HG330" s="93">
        <v>3161</v>
      </c>
      <c r="HH330" s="20">
        <v>3749</v>
      </c>
      <c r="HI330" s="19"/>
      <c r="HJ330" s="93">
        <v>906</v>
      </c>
      <c r="HK330" s="93">
        <v>1838</v>
      </c>
      <c r="HL330" s="93">
        <v>862</v>
      </c>
      <c r="HM330" s="93">
        <v>1000</v>
      </c>
      <c r="HN330" s="20">
        <v>2980</v>
      </c>
      <c r="HO330" s="219">
        <v>136</v>
      </c>
      <c r="HP330" s="20">
        <v>106</v>
      </c>
      <c r="HQ330" s="25">
        <v>169</v>
      </c>
      <c r="HR330" s="29">
        <v>263</v>
      </c>
      <c r="HS330" s="1504">
        <v>44501</v>
      </c>
      <c r="HT330" s="19">
        <v>283.93569946289063</v>
      </c>
      <c r="HU330" s="93">
        <v>354.16667175292969</v>
      </c>
      <c r="HV330" s="93">
        <v>254.09835815429688</v>
      </c>
      <c r="HW330" s="93">
        <v>242.3469352722168</v>
      </c>
      <c r="HX330" s="93">
        <v>260.94275665283203</v>
      </c>
      <c r="HY330" s="93">
        <v>279.69612884521484</v>
      </c>
      <c r="HZ330" s="93">
        <v>251.63399505615234</v>
      </c>
      <c r="IA330" s="20">
        <v>307.29327011108398</v>
      </c>
      <c r="IB330" s="19">
        <v>304.78087615966797</v>
      </c>
      <c r="IC330" s="93">
        <v>194.07894897460938</v>
      </c>
      <c r="ID330" s="93">
        <v>245.53571701049805</v>
      </c>
      <c r="IE330" s="93"/>
      <c r="IF330" s="93">
        <v>235.73574523925782</v>
      </c>
      <c r="IG330" s="20">
        <v>189.39227294921875</v>
      </c>
      <c r="IH330" s="19">
        <v>186.6567440032959</v>
      </c>
      <c r="II330" s="93">
        <v>273.22402954101563</v>
      </c>
      <c r="IJ330" s="93">
        <v>235.44520568847656</v>
      </c>
      <c r="IK330" s="93">
        <v>216.51786422729492</v>
      </c>
      <c r="IL330" s="93">
        <v>211.92528915405273</v>
      </c>
      <c r="IM330" s="93">
        <v>209.15032958984375</v>
      </c>
      <c r="IN330" s="93">
        <v>216.66667175292969</v>
      </c>
      <c r="IO330" s="20">
        <v>235.30333518981934</v>
      </c>
      <c r="IP330" s="29">
        <v>263</v>
      </c>
      <c r="IQ330" s="19">
        <v>253.16456604003906</v>
      </c>
      <c r="IR330" s="93">
        <v>135.41666793823242</v>
      </c>
      <c r="IS330" s="93">
        <v>168.10344314575195</v>
      </c>
      <c r="IT330" s="93">
        <v>140.69400177001953</v>
      </c>
      <c r="IU330" s="93">
        <v>214.06727600097656</v>
      </c>
      <c r="IV330" s="20">
        <v>158.55556030273436</v>
      </c>
      <c r="IW330" s="29">
        <v>263</v>
      </c>
      <c r="IX330" s="19">
        <v>428.57144165039063</v>
      </c>
      <c r="IY330" s="93">
        <v>402.55375671386719</v>
      </c>
      <c r="IZ330" s="93">
        <v>431.25</v>
      </c>
      <c r="JA330" s="93">
        <v>400</v>
      </c>
      <c r="JB330" s="93">
        <v>420</v>
      </c>
      <c r="JC330" s="93">
        <v>400</v>
      </c>
      <c r="JD330" s="93">
        <v>390</v>
      </c>
      <c r="JE330" s="20">
        <v>400</v>
      </c>
      <c r="JF330" s="29">
        <v>263</v>
      </c>
      <c r="JG330" s="19">
        <v>249.85892105102539</v>
      </c>
      <c r="JH330" s="93">
        <v>269.80873107910156</v>
      </c>
      <c r="JI330" s="93">
        <v>231.7880859375</v>
      </c>
      <c r="JJ330" s="93">
        <v>195.1219482421875</v>
      </c>
      <c r="JK330" s="93">
        <v>211.17747116088867</v>
      </c>
      <c r="JL330" s="93">
        <v>212.76596069335938</v>
      </c>
      <c r="JM330" s="93">
        <v>194.16666412353516</v>
      </c>
      <c r="JN330" s="20">
        <v>251.9808292388916</v>
      </c>
      <c r="JO330" s="29">
        <v>263</v>
      </c>
      <c r="JP330" s="19">
        <v>214.15771484375</v>
      </c>
      <c r="JQ330" s="93">
        <v>128.125</v>
      </c>
      <c r="JR330" s="93">
        <v>193.75</v>
      </c>
      <c r="JS330" s="93"/>
      <c r="JT330" s="93">
        <v>206.06060791015625</v>
      </c>
      <c r="JU330" s="20">
        <v>153.65079345703126</v>
      </c>
      <c r="JV330" s="29">
        <v>263</v>
      </c>
      <c r="JW330" s="1504">
        <v>44501</v>
      </c>
      <c r="JX330" s="19">
        <v>412500</v>
      </c>
      <c r="JY330" s="93">
        <v>338182</v>
      </c>
      <c r="JZ330" s="93"/>
      <c r="KA330" s="93"/>
      <c r="KB330" s="93">
        <v>401875</v>
      </c>
      <c r="KC330" s="93">
        <v>349250</v>
      </c>
      <c r="KD330" s="20">
        <v>372083</v>
      </c>
      <c r="KE330" s="29">
        <v>263</v>
      </c>
      <c r="KF330" s="19">
        <v>82500</v>
      </c>
      <c r="KG330" s="93">
        <v>56042</v>
      </c>
      <c r="KH330" s="93"/>
      <c r="KI330" s="93">
        <v>109000</v>
      </c>
      <c r="KJ330" s="93">
        <v>60875</v>
      </c>
      <c r="KK330" s="20"/>
      <c r="KL330" s="29">
        <v>263</v>
      </c>
      <c r="KM330" s="19">
        <v>41125</v>
      </c>
      <c r="KN330" s="93">
        <v>20542</v>
      </c>
      <c r="KO330" s="93"/>
      <c r="KP330" s="93">
        <v>58125</v>
      </c>
      <c r="KQ330" s="93">
        <v>42250</v>
      </c>
      <c r="KR330" s="20"/>
      <c r="KS330" s="29">
        <v>263</v>
      </c>
      <c r="KT330" s="19">
        <v>36875</v>
      </c>
      <c r="KU330" s="93">
        <v>31125</v>
      </c>
      <c r="KV330" s="93"/>
      <c r="KW330" s="93">
        <v>43250</v>
      </c>
      <c r="KX330" s="93">
        <v>26500</v>
      </c>
      <c r="KY330" s="20"/>
      <c r="KZ330" s="29">
        <v>263</v>
      </c>
      <c r="LA330" s="1504">
        <v>44501</v>
      </c>
      <c r="LB330" s="19"/>
      <c r="LC330" s="93"/>
      <c r="LD330" s="93"/>
      <c r="LE330" s="93"/>
      <c r="LF330" s="93"/>
      <c r="LG330" s="93"/>
      <c r="LH330" s="20"/>
      <c r="LI330" s="29"/>
      <c r="LJ330" s="19"/>
      <c r="LK330" s="93"/>
      <c r="LL330" s="93"/>
      <c r="LM330" s="93"/>
      <c r="LN330" s="93"/>
      <c r="LO330" s="20"/>
      <c r="LP330" s="29"/>
      <c r="LQ330" s="19"/>
      <c r="LR330" s="93">
        <v>188</v>
      </c>
      <c r="LS330" s="93">
        <v>463</v>
      </c>
      <c r="LT330" s="93">
        <v>663</v>
      </c>
      <c r="LU330" s="93">
        <v>1104</v>
      </c>
      <c r="LV330" s="93"/>
      <c r="LW330" s="93">
        <v>5</v>
      </c>
      <c r="LX330" s="93">
        <v>10</v>
      </c>
      <c r="LY330" s="93">
        <v>60</v>
      </c>
      <c r="LZ330" s="93"/>
      <c r="MA330" s="20"/>
      <c r="MB330" s="29">
        <v>263</v>
      </c>
      <c r="MC330" s="1504">
        <v>44501</v>
      </c>
      <c r="MD330" s="19">
        <v>1924.6533874553315</v>
      </c>
      <c r="ME330" s="93">
        <v>1732.8346333594266</v>
      </c>
      <c r="MF330" s="93">
        <v>1732.8346333594266</v>
      </c>
      <c r="MG330" s="93">
        <v>1524.7862019376264</v>
      </c>
      <c r="MH330" s="93">
        <v>530.509114017</v>
      </c>
      <c r="MI330" s="93">
        <v>14.725702823999999</v>
      </c>
      <c r="MJ330" s="93">
        <v>52.59981631992644</v>
      </c>
      <c r="MK330" s="93">
        <v>735.83011606310015</v>
      </c>
      <c r="ML330" s="93">
        <v>189.81810578</v>
      </c>
      <c r="MM330" s="93">
        <v>1.3033469335999999</v>
      </c>
      <c r="MN330" s="93">
        <v>208.04843142179999</v>
      </c>
      <c r="MO330" s="93">
        <v>4.8808474870000023</v>
      </c>
      <c r="MP330" s="93">
        <v>54.122283156200005</v>
      </c>
      <c r="MQ330" s="93">
        <v>2.1327767839999998</v>
      </c>
      <c r="MR330" s="93">
        <v>53.207457244000004</v>
      </c>
      <c r="MS330" s="93">
        <v>93.705066750600011</v>
      </c>
      <c r="MT330" s="93">
        <v>0</v>
      </c>
      <c r="MU330" s="93">
        <v>191.81875409590515</v>
      </c>
      <c r="MV330" s="93">
        <v>132.29366725690517</v>
      </c>
      <c r="MW330" s="93">
        <v>59.525086839000004</v>
      </c>
      <c r="MX330" s="93">
        <v>2496.1254524103606</v>
      </c>
      <c r="MY330" s="93">
        <v>2511.0613534523609</v>
      </c>
      <c r="MZ330" s="93">
        <v>1761.6735233412248</v>
      </c>
      <c r="NA330" s="93">
        <v>894.38473221200002</v>
      </c>
      <c r="NB330" s="93">
        <v>168.185311111</v>
      </c>
      <c r="NC330" s="93">
        <v>175.33558640622491</v>
      </c>
      <c r="ND330" s="93">
        <v>148.82843635535789</v>
      </c>
      <c r="NE330" s="93">
        <v>26.507150050867047</v>
      </c>
      <c r="NF330" s="93">
        <v>523.76789361199997</v>
      </c>
      <c r="NG330" s="93">
        <v>11.583714451999999</v>
      </c>
      <c r="NH330" s="93">
        <v>113.533426471</v>
      </c>
      <c r="NI330" s="93">
        <v>0</v>
      </c>
      <c r="NJ330" s="93">
        <v>30.235725915</v>
      </c>
      <c r="NK330" s="93">
        <v>749.38783011113594</v>
      </c>
      <c r="NL330" s="93">
        <v>409.732438199</v>
      </c>
      <c r="NM330" s="93">
        <v>8.7572103069999994</v>
      </c>
      <c r="NN330" s="93">
        <v>330.89818160513607</v>
      </c>
      <c r="NO330" s="93">
        <v>-14.93590104199999</v>
      </c>
      <c r="NP330" s="93">
        <v>-571.47206495502951</v>
      </c>
      <c r="NQ330" s="93">
        <v>-763.29081905093483</v>
      </c>
      <c r="NR330" s="93">
        <v>-257.05705103957376</v>
      </c>
      <c r="NS330" s="93">
        <v>-432.39263744579864</v>
      </c>
      <c r="NT330" s="93">
        <v>-594.21148751696796</v>
      </c>
      <c r="NU330" s="93">
        <v>-786.03024161287317</v>
      </c>
      <c r="NV330" s="93">
        <v>593.70746691436682</v>
      </c>
      <c r="NW330" s="93">
        <v>191.36596434046348</v>
      </c>
      <c r="NX330" s="93">
        <v>253.1858438570888</v>
      </c>
      <c r="NY330" s="93">
        <v>-61.819879516625377</v>
      </c>
      <c r="NZ330" s="93">
        <v>0</v>
      </c>
      <c r="OA330" s="93">
        <v>402.3415025739032</v>
      </c>
      <c r="OB330" s="93">
        <v>64.051347652573156</v>
      </c>
      <c r="OC330" s="93">
        <v>338.29015492133004</v>
      </c>
      <c r="OD330" s="20">
        <v>0</v>
      </c>
      <c r="OE330" s="29">
        <v>263</v>
      </c>
      <c r="OF330" s="1504">
        <v>44501</v>
      </c>
      <c r="OG330" s="19"/>
      <c r="OH330" s="93">
        <v>737.675421873</v>
      </c>
      <c r="OI330" s="93">
        <v>2324.3443692370001</v>
      </c>
      <c r="OJ330" s="93">
        <v>0.40985800700000002</v>
      </c>
      <c r="OK330" s="93">
        <v>2022.3340000000001</v>
      </c>
      <c r="OL330" s="93">
        <v>301.60051123</v>
      </c>
      <c r="OM330" s="93">
        <v>3062.0197911100004</v>
      </c>
      <c r="ON330" s="93">
        <v>1944.6801083190001</v>
      </c>
      <c r="OO330" s="93">
        <v>5006.6998994290007</v>
      </c>
      <c r="OP330" s="93"/>
      <c r="OQ330" s="93">
        <v>1851.5926633659999</v>
      </c>
      <c r="OR330" s="93">
        <v>452.33866336599999</v>
      </c>
      <c r="OS330" s="93">
        <v>1399.2539999999997</v>
      </c>
      <c r="OT330" s="93">
        <v>3693.784038407</v>
      </c>
      <c r="OU330" s="93">
        <v>412.56356510300003</v>
      </c>
      <c r="OV330" s="93">
        <v>-127.19043489699999</v>
      </c>
      <c r="OW330" s="93">
        <v>539.75400000000002</v>
      </c>
      <c r="OX330" s="93">
        <v>3281.2204733039998</v>
      </c>
      <c r="OY330" s="93">
        <v>8.4614733040000001</v>
      </c>
      <c r="OZ330" s="93">
        <v>3272.759</v>
      </c>
      <c r="PA330" s="93">
        <v>948.27349606899998</v>
      </c>
      <c r="PB330" s="93">
        <v>-409.59669372499997</v>
      </c>
      <c r="PC330" s="20">
        <v>5006.6998994289988</v>
      </c>
      <c r="PD330" s="29">
        <v>263</v>
      </c>
      <c r="PE330" s="19"/>
      <c r="PF330" s="93">
        <v>452.33866336599999</v>
      </c>
      <c r="PG330" s="93">
        <v>1221.213264104</v>
      </c>
      <c r="PH330" s="93">
        <v>768.87460073800003</v>
      </c>
      <c r="PI330" s="93">
        <v>885.95069999999998</v>
      </c>
      <c r="PJ330" s="93">
        <v>-120.62523255899998</v>
      </c>
      <c r="PK330" s="93">
        <v>290.41023003399999</v>
      </c>
      <c r="PL330" s="93">
        <v>411.03546259299998</v>
      </c>
      <c r="PM330" s="93">
        <v>8.4614733040000001</v>
      </c>
      <c r="PN330" s="93">
        <v>3.48</v>
      </c>
      <c r="PO330" s="93">
        <v>0</v>
      </c>
      <c r="PP330" s="93">
        <v>0</v>
      </c>
      <c r="PQ330" s="93">
        <v>4.9814733039999997</v>
      </c>
      <c r="PR330" s="93">
        <v>1222.5253572940001</v>
      </c>
      <c r="PS330" s="93">
        <v>839.62962421099996</v>
      </c>
      <c r="PT330" s="93">
        <v>382.15276675699999</v>
      </c>
      <c r="PU330" s="93">
        <v>0.74296632600000001</v>
      </c>
      <c r="PV330" s="93">
        <v>0</v>
      </c>
      <c r="PW330" s="93">
        <v>0.186297184</v>
      </c>
      <c r="PX330" s="93">
        <v>0</v>
      </c>
      <c r="PY330" s="93">
        <v>0</v>
      </c>
      <c r="PZ330" s="93">
        <v>0.186297184</v>
      </c>
      <c r="QA330" s="93">
        <v>0</v>
      </c>
      <c r="QB330" s="93">
        <v>0</v>
      </c>
      <c r="QC330" s="93">
        <v>0</v>
      </c>
      <c r="QD330" s="93">
        <v>7.5291988849999996</v>
      </c>
      <c r="QE330" s="20">
        <v>-4.1152492519999999</v>
      </c>
      <c r="QF330" s="1739">
        <v>263</v>
      </c>
      <c r="QG330" s="19"/>
      <c r="QH330" s="93">
        <v>1399.2539999999997</v>
      </c>
      <c r="QI330" s="93">
        <v>1722.4069999999997</v>
      </c>
      <c r="QJ330" s="93">
        <v>-323.15299999999996</v>
      </c>
      <c r="QK330" s="93">
        <v>478.78199999999998</v>
      </c>
      <c r="QL330" s="93">
        <v>95.388999999999996</v>
      </c>
      <c r="QM330" s="93">
        <v>383.39299999999997</v>
      </c>
      <c r="QN330" s="93">
        <v>0</v>
      </c>
      <c r="QO330" s="93">
        <v>539.75400000000002</v>
      </c>
      <c r="QP330" s="93">
        <v>1370.546</v>
      </c>
      <c r="QQ330" s="93">
        <v>-830.79200000000003</v>
      </c>
      <c r="QR330" s="93">
        <v>3272.759</v>
      </c>
      <c r="QS330" s="93">
        <v>34.456000000000003</v>
      </c>
      <c r="QT330" s="93">
        <v>1.7000000000000001E-2</v>
      </c>
      <c r="QU330" s="93">
        <v>222.42100000000002</v>
      </c>
      <c r="QV330" s="93">
        <v>3015.8649999999998</v>
      </c>
      <c r="QW330" s="93"/>
      <c r="QX330" s="93">
        <v>788.47</v>
      </c>
      <c r="QY330" s="93">
        <v>2022.3340000000001</v>
      </c>
      <c r="QZ330" s="93">
        <v>1944.347</v>
      </c>
      <c r="RA330" s="93">
        <v>0</v>
      </c>
      <c r="RB330" s="93">
        <v>196.62700000000001</v>
      </c>
      <c r="RC330" s="93">
        <v>0</v>
      </c>
      <c r="RD330" s="93">
        <v>38.415999999999997</v>
      </c>
      <c r="RE330" s="93">
        <v>0</v>
      </c>
      <c r="RF330" s="93">
        <v>0</v>
      </c>
      <c r="RG330" s="93">
        <v>705.51499999999999</v>
      </c>
      <c r="RH330" s="93">
        <v>-5.1599999999999682</v>
      </c>
      <c r="RI330" s="93"/>
      <c r="RJ330" s="93"/>
      <c r="RK330" s="93"/>
      <c r="RL330" s="93"/>
      <c r="RM330" s="20"/>
      <c r="RN330" s="29">
        <v>263</v>
      </c>
      <c r="RO330" s="19">
        <v>370</v>
      </c>
      <c r="RP330" s="20">
        <v>121</v>
      </c>
      <c r="RQ330" s="29">
        <v>263</v>
      </c>
      <c r="RR330" s="20">
        <v>5.6147069999999992</v>
      </c>
      <c r="RS330" s="29">
        <v>263</v>
      </c>
      <c r="RT330" s="1504">
        <v>44501</v>
      </c>
      <c r="RU330" s="19">
        <v>1410</v>
      </c>
      <c r="RV330" s="20">
        <v>35</v>
      </c>
      <c r="RW330" s="29">
        <v>263</v>
      </c>
      <c r="RX330" s="1504">
        <v>44501</v>
      </c>
      <c r="RY330" s="29"/>
      <c r="RZ330" s="20"/>
      <c r="SA330" s="29"/>
      <c r="SB330" s="29"/>
    </row>
    <row r="331" spans="1:496">
      <c r="A331" s="41">
        <f t="shared" si="238"/>
        <v>2021</v>
      </c>
      <c r="B331" s="1504">
        <v>44531</v>
      </c>
      <c r="C331" s="1813">
        <v>2198</v>
      </c>
      <c r="D331" s="1814">
        <v>36341</v>
      </c>
      <c r="E331" s="1814">
        <v>95</v>
      </c>
      <c r="F331" s="1815"/>
      <c r="G331" s="1814">
        <v>99116</v>
      </c>
      <c r="H331" s="1814">
        <v>36</v>
      </c>
      <c r="I331" s="1814">
        <v>36303</v>
      </c>
      <c r="J331" s="1816">
        <v>16600</v>
      </c>
      <c r="K331" s="1807">
        <v>190689</v>
      </c>
      <c r="L331" s="25">
        <v>264</v>
      </c>
      <c r="M331" s="97"/>
      <c r="N331" s="1504">
        <v>44531</v>
      </c>
      <c r="O331" s="19">
        <v>1473</v>
      </c>
      <c r="P331" s="93">
        <v>1189</v>
      </c>
      <c r="Q331" s="93">
        <v>13711</v>
      </c>
      <c r="R331" s="93">
        <v>3138</v>
      </c>
      <c r="S331" s="93">
        <v>2881</v>
      </c>
      <c r="T331" s="93">
        <v>937</v>
      </c>
      <c r="U331" s="93">
        <v>487</v>
      </c>
      <c r="V331" s="93">
        <v>2208</v>
      </c>
      <c r="W331" s="93">
        <v>5763</v>
      </c>
      <c r="X331" s="93">
        <v>1071</v>
      </c>
      <c r="Y331" s="93">
        <v>644</v>
      </c>
      <c r="Z331" s="93">
        <v>1408</v>
      </c>
      <c r="AA331" s="93">
        <v>1431</v>
      </c>
      <c r="AB331" s="20">
        <v>36341</v>
      </c>
      <c r="AC331" s="25">
        <v>264</v>
      </c>
      <c r="AD331" s="97"/>
      <c r="AE331" s="1504">
        <v>44531</v>
      </c>
      <c r="AF331" s="19">
        <v>2709</v>
      </c>
      <c r="AG331" s="93">
        <v>1077</v>
      </c>
      <c r="AH331" s="93">
        <v>4857</v>
      </c>
      <c r="AI331" s="93">
        <v>3909</v>
      </c>
      <c r="AJ331" s="93">
        <v>2659</v>
      </c>
      <c r="AK331" s="93">
        <v>1772</v>
      </c>
      <c r="AL331" s="93">
        <v>908</v>
      </c>
      <c r="AM331" s="93">
        <v>3976</v>
      </c>
      <c r="AN331" s="93">
        <v>8604</v>
      </c>
      <c r="AO331" s="93">
        <v>1629</v>
      </c>
      <c r="AP331" s="93">
        <v>1214</v>
      </c>
      <c r="AQ331" s="93">
        <v>1551</v>
      </c>
      <c r="AR331" s="93">
        <v>1438</v>
      </c>
      <c r="AS331" s="20">
        <v>36303</v>
      </c>
      <c r="AT331" s="25">
        <v>264</v>
      </c>
      <c r="AU331" s="97"/>
      <c r="AV331" s="1504">
        <v>44531</v>
      </c>
      <c r="AW331" s="19">
        <v>10456</v>
      </c>
      <c r="AX331" s="93">
        <v>3388</v>
      </c>
      <c r="AY331" s="93">
        <v>3386</v>
      </c>
      <c r="AZ331" s="93">
        <v>13415</v>
      </c>
      <c r="BA331" s="93">
        <v>8773</v>
      </c>
      <c r="BB331" s="93">
        <v>6830</v>
      </c>
      <c r="BC331" s="93">
        <v>3566</v>
      </c>
      <c r="BD331" s="93">
        <v>12185</v>
      </c>
      <c r="BE331" s="93">
        <v>15246</v>
      </c>
      <c r="BF331" s="93">
        <v>5131</v>
      </c>
      <c r="BG331" s="93">
        <v>5150</v>
      </c>
      <c r="BH331" s="93">
        <v>6031</v>
      </c>
      <c r="BI331" s="93">
        <v>5559</v>
      </c>
      <c r="BJ331" s="20">
        <v>99116</v>
      </c>
      <c r="BK331" s="25">
        <v>264</v>
      </c>
      <c r="BL331" s="97"/>
      <c r="BM331" s="1504">
        <v>44531</v>
      </c>
      <c r="BN331" s="19">
        <v>120.9</v>
      </c>
      <c r="BO331" s="93">
        <v>1998.8</v>
      </c>
      <c r="BP331" s="93">
        <v>19</v>
      </c>
      <c r="BQ331" s="93">
        <v>892</v>
      </c>
      <c r="BR331" s="93">
        <v>6.3</v>
      </c>
      <c r="BS331" s="93">
        <v>363</v>
      </c>
      <c r="BT331" s="93">
        <v>464.8</v>
      </c>
      <c r="BU331" s="20">
        <v>3864.8</v>
      </c>
      <c r="BV331" s="25">
        <v>264</v>
      </c>
      <c r="BW331" s="97"/>
      <c r="BX331" s="1504">
        <v>44531</v>
      </c>
      <c r="BY331" s="19">
        <v>579.99710000000005</v>
      </c>
      <c r="BZ331" s="93">
        <v>655.95699999999999</v>
      </c>
      <c r="CA331" s="93">
        <v>630.20270000000005</v>
      </c>
      <c r="CB331" s="93">
        <v>36.540489999999998</v>
      </c>
      <c r="CC331" s="93">
        <v>94.357647</v>
      </c>
      <c r="CD331" s="25">
        <v>264</v>
      </c>
      <c r="CE331" s="97"/>
      <c r="CF331" s="1504">
        <v>44531</v>
      </c>
      <c r="CG331" s="19">
        <v>2.6464258479999998</v>
      </c>
      <c r="CH331" s="93">
        <v>1790.43</v>
      </c>
      <c r="CI331" s="219">
        <v>72.866666666666703</v>
      </c>
      <c r="CJ331" s="20">
        <v>74.31</v>
      </c>
      <c r="CK331" s="19">
        <v>380.95</v>
      </c>
      <c r="CL331" s="93">
        <v>264.53721280000002</v>
      </c>
      <c r="CM331" s="93">
        <v>0.415350408</v>
      </c>
      <c r="CN331" s="93">
        <v>0.36911076799999998</v>
      </c>
      <c r="CO331" s="93">
        <v>376.81</v>
      </c>
      <c r="CP331" s="20">
        <v>5.9545683890000003</v>
      </c>
      <c r="CQ331" s="219">
        <v>2154.0602220204401</v>
      </c>
      <c r="CR331" s="93">
        <v>2.6150000000000002</v>
      </c>
      <c r="CS331" s="93">
        <v>1.921</v>
      </c>
      <c r="CT331" s="93">
        <v>176.67</v>
      </c>
      <c r="CU331" s="93">
        <v>116.96</v>
      </c>
      <c r="CV331" s="214">
        <v>3399.21</v>
      </c>
      <c r="CW331" s="29">
        <v>264</v>
      </c>
      <c r="CX331" s="41">
        <f t="shared" si="319"/>
        <v>2021</v>
      </c>
      <c r="CY331" s="1504">
        <v>44531</v>
      </c>
      <c r="CZ331" s="19"/>
      <c r="DA331" s="93"/>
      <c r="DB331" s="93"/>
      <c r="DC331" s="93"/>
      <c r="DD331" s="93"/>
      <c r="DE331" s="20"/>
      <c r="DF331" s="29"/>
      <c r="DG331" s="1504">
        <v>44531</v>
      </c>
      <c r="DH331" s="419">
        <f t="shared" si="320"/>
        <v>501176.28851900029</v>
      </c>
      <c r="DI331" s="100">
        <f t="shared" si="320"/>
        <v>3887949.3889862159</v>
      </c>
      <c r="DJ331" s="100">
        <f t="shared" si="320"/>
        <v>361454.17732082162</v>
      </c>
      <c r="DK331" s="100">
        <f t="shared" si="320"/>
        <v>10506.291803676218</v>
      </c>
      <c r="DL331" s="100">
        <f t="shared" si="320"/>
        <v>426282.32446128689</v>
      </c>
      <c r="DM331" s="100">
        <f t="shared" si="320"/>
        <v>2149.6094418773528</v>
      </c>
      <c r="DN331" s="306">
        <f t="shared" si="320"/>
        <v>787623.29809561546</v>
      </c>
      <c r="DO331" s="1932">
        <f t="shared" si="282"/>
        <v>5475965.0901094936</v>
      </c>
      <c r="DP331" s="29">
        <v>264</v>
      </c>
      <c r="DQ331" s="1504">
        <v>44531</v>
      </c>
      <c r="DR331" s="19">
        <v>78928.414999999994</v>
      </c>
      <c r="DS331" s="93">
        <v>824</v>
      </c>
      <c r="DT331" s="93">
        <v>69174.145999999993</v>
      </c>
      <c r="DU331" s="93">
        <v>3365.8939999999998</v>
      </c>
      <c r="DV331" s="93">
        <v>31148.351999999999</v>
      </c>
      <c r="DW331" s="93">
        <v>3424</v>
      </c>
      <c r="DX331" s="20">
        <v>22827.364285714284</v>
      </c>
      <c r="DY331" s="29">
        <v>264</v>
      </c>
      <c r="DZ331" s="1504">
        <v>44531</v>
      </c>
      <c r="EA331" s="19"/>
      <c r="EB331" s="93"/>
      <c r="EC331" s="20"/>
      <c r="ED331" s="29"/>
      <c r="EE331" s="1504">
        <v>44531</v>
      </c>
      <c r="EF331" s="19">
        <f t="shared" si="307"/>
        <v>18588</v>
      </c>
      <c r="EG331" s="93">
        <f t="shared" si="308"/>
        <v>20058</v>
      </c>
      <c r="EH331" s="93">
        <f t="shared" si="309"/>
        <v>47372</v>
      </c>
      <c r="EI331" s="214">
        <f t="shared" si="310"/>
        <v>8726</v>
      </c>
      <c r="EJ331" s="93">
        <f t="shared" si="311"/>
        <v>589.90200000000004</v>
      </c>
      <c r="EK331" s="93">
        <f t="shared" si="312"/>
        <v>105.294</v>
      </c>
      <c r="EL331" s="93">
        <f t="shared" si="313"/>
        <v>6.5819999999999999</v>
      </c>
      <c r="EM331" s="93">
        <f t="shared" si="314"/>
        <v>11.061</v>
      </c>
      <c r="EN331" s="20">
        <f t="shared" si="317"/>
        <v>712.83900000000006</v>
      </c>
      <c r="EO331" s="29">
        <v>264</v>
      </c>
      <c r="EP331" s="1504">
        <v>44531</v>
      </c>
      <c r="EQ331" s="19">
        <v>17760</v>
      </c>
      <c r="ER331" s="93">
        <v>19247</v>
      </c>
      <c r="ES331" s="93">
        <f t="shared" si="315"/>
        <v>37007</v>
      </c>
      <c r="ET331" s="214">
        <v>8504</v>
      </c>
      <c r="EU331" s="93">
        <v>589.90200000000004</v>
      </c>
      <c r="EV331" s="93">
        <v>105.294</v>
      </c>
      <c r="EW331" s="93">
        <v>6.5819999999999999</v>
      </c>
      <c r="EX331" s="93">
        <v>11.061</v>
      </c>
      <c r="EY331" s="20">
        <f t="shared" si="321"/>
        <v>712.83900000000006</v>
      </c>
      <c r="EZ331" s="29">
        <v>264</v>
      </c>
      <c r="FA331" s="1504">
        <v>44531</v>
      </c>
      <c r="FB331" s="29">
        <v>828</v>
      </c>
      <c r="FC331" s="29">
        <v>811</v>
      </c>
      <c r="FD331" s="29">
        <f t="shared" si="316"/>
        <v>1639</v>
      </c>
      <c r="FE331" s="29">
        <v>222</v>
      </c>
      <c r="FF331" s="29">
        <v>0</v>
      </c>
      <c r="FG331" s="29">
        <v>0</v>
      </c>
      <c r="FH331" s="29">
        <v>0</v>
      </c>
      <c r="FI331" s="29">
        <v>0</v>
      </c>
      <c r="FJ331" s="29">
        <f>SUM(FF331:FI331)</f>
        <v>0</v>
      </c>
      <c r="FK331" s="29">
        <v>264</v>
      </c>
      <c r="FL331" s="1504">
        <v>44531</v>
      </c>
      <c r="FM331" s="19">
        <v>112.47</v>
      </c>
      <c r="FN331" s="93">
        <v>121.19</v>
      </c>
      <c r="FO331" s="93">
        <v>139.80000000000001</v>
      </c>
      <c r="FP331" s="93">
        <v>101.56</v>
      </c>
      <c r="FQ331" s="93">
        <v>101.41</v>
      </c>
      <c r="FR331" s="93">
        <v>101.03</v>
      </c>
      <c r="FS331" s="93">
        <v>100.6</v>
      </c>
      <c r="FT331" s="93">
        <v>99.15</v>
      </c>
      <c r="FU331" s="93">
        <v>98.74</v>
      </c>
      <c r="FV331" s="93">
        <v>101.12</v>
      </c>
      <c r="FW331" s="93">
        <v>112.14</v>
      </c>
      <c r="FX331" s="93">
        <v>107.4</v>
      </c>
      <c r="FY331" s="93">
        <v>101.31</v>
      </c>
      <c r="FZ331" s="29">
        <v>264</v>
      </c>
      <c r="GA331" s="1504">
        <v>44531</v>
      </c>
      <c r="GB331" s="1772" t="s">
        <v>1099</v>
      </c>
      <c r="GC331" s="93">
        <v>103.52</v>
      </c>
      <c r="GD331" s="93">
        <v>117.05</v>
      </c>
      <c r="GE331" s="93">
        <v>98.47</v>
      </c>
      <c r="GF331" s="93">
        <v>127.35</v>
      </c>
      <c r="GG331" s="93">
        <v>108</v>
      </c>
      <c r="GH331" s="93">
        <v>127.46</v>
      </c>
      <c r="GI331" s="93">
        <v>105.21</v>
      </c>
      <c r="GJ331" s="93">
        <v>103.84</v>
      </c>
      <c r="GK331" s="93">
        <v>100.25</v>
      </c>
      <c r="GL331" s="93">
        <v>118.56</v>
      </c>
      <c r="GM331" s="93">
        <v>101.31</v>
      </c>
      <c r="GN331" s="20">
        <v>103.84</v>
      </c>
      <c r="GO331" s="29">
        <v>264</v>
      </c>
      <c r="GP331" s="1504">
        <v>44531</v>
      </c>
      <c r="GQ331" s="19">
        <v>366</v>
      </c>
      <c r="GR331" s="93">
        <v>278</v>
      </c>
      <c r="GS331" s="93">
        <v>301</v>
      </c>
      <c r="GT331" s="93">
        <v>285</v>
      </c>
      <c r="GU331" s="93">
        <v>456</v>
      </c>
      <c r="GV331" s="20">
        <v>964</v>
      </c>
      <c r="GW331" s="19">
        <v>656</v>
      </c>
      <c r="GX331" s="93">
        <v>671</v>
      </c>
      <c r="GY331" s="93">
        <v>439</v>
      </c>
      <c r="GZ331" s="93">
        <v>626</v>
      </c>
      <c r="HA331" s="93">
        <v>388</v>
      </c>
      <c r="HB331" s="20">
        <v>1195</v>
      </c>
      <c r="HC331" s="19">
        <v>2603</v>
      </c>
      <c r="HD331" s="93">
        <v>2922</v>
      </c>
      <c r="HE331" s="93">
        <v>3040</v>
      </c>
      <c r="HF331" s="93">
        <v>3150</v>
      </c>
      <c r="HG331" s="93">
        <v>3230</v>
      </c>
      <c r="HH331" s="20">
        <v>3633</v>
      </c>
      <c r="HI331" s="19"/>
      <c r="HJ331" s="93">
        <v>907</v>
      </c>
      <c r="HK331" s="93">
        <v>1816</v>
      </c>
      <c r="HL331" s="93">
        <v>887</v>
      </c>
      <c r="HM331" s="93">
        <v>1000</v>
      </c>
      <c r="HN331" s="20">
        <v>3045</v>
      </c>
      <c r="HO331" s="219">
        <v>133</v>
      </c>
      <c r="HP331" s="20">
        <v>99</v>
      </c>
      <c r="HQ331" s="25">
        <v>180</v>
      </c>
      <c r="HR331" s="29">
        <v>264</v>
      </c>
      <c r="HS331" s="1504">
        <v>44531</v>
      </c>
      <c r="HT331" s="19">
        <v>297.78622436523438</v>
      </c>
      <c r="HU331" s="93">
        <v>333.33334350585938</v>
      </c>
      <c r="HV331" s="93">
        <v>257.88147735595703</v>
      </c>
      <c r="HW331" s="93">
        <v>255.10203552246094</v>
      </c>
      <c r="HX331" s="93">
        <v>282.23906249999999</v>
      </c>
      <c r="HY331" s="93">
        <v>282.12895584106445</v>
      </c>
      <c r="HZ331" s="93">
        <v>242.48367309570313</v>
      </c>
      <c r="IA331" s="20">
        <v>367.32015228271484</v>
      </c>
      <c r="IB331" s="19">
        <v>315.97811889648438</v>
      </c>
      <c r="IC331" s="93">
        <v>199.11595916748047</v>
      </c>
      <c r="ID331" s="93">
        <v>216.66667175292969</v>
      </c>
      <c r="IE331" s="93">
        <v>206.73077392578125</v>
      </c>
      <c r="IF331" s="93">
        <v>242.51347732543945</v>
      </c>
      <c r="IG331" s="20">
        <v>207.18232727050781</v>
      </c>
      <c r="IH331" s="19">
        <v>193.70039558410645</v>
      </c>
      <c r="II331" s="93">
        <v>273.22402954101563</v>
      </c>
      <c r="IJ331" s="93">
        <v>238.5029296875</v>
      </c>
      <c r="IK331" s="93">
        <v>225.00000915527343</v>
      </c>
      <c r="IL331" s="93">
        <v>226.51888465881348</v>
      </c>
      <c r="IM331" s="93">
        <v>206.45161743164061</v>
      </c>
      <c r="IN331" s="93">
        <v>235.01178359985352</v>
      </c>
      <c r="IO331" s="20">
        <v>280.67967987060547</v>
      </c>
      <c r="IP331" s="29">
        <v>264</v>
      </c>
      <c r="IQ331" s="19">
        <v>227.10349426269531</v>
      </c>
      <c r="IR331" s="93">
        <v>157.05127716064453</v>
      </c>
      <c r="IS331" s="93">
        <v>193.96551132202148</v>
      </c>
      <c r="IT331" s="93">
        <v>172.02573013305664</v>
      </c>
      <c r="IU331" s="93">
        <v>226.40078353881836</v>
      </c>
      <c r="IV331" s="20">
        <v>176.39665222167969</v>
      </c>
      <c r="IW331" s="29">
        <v>264</v>
      </c>
      <c r="IX331" s="19">
        <v>405.50108032226564</v>
      </c>
      <c r="IY331" s="93">
        <v>410.7526824951172</v>
      </c>
      <c r="IZ331" s="93">
        <v>431.25</v>
      </c>
      <c r="JA331" s="93">
        <v>400</v>
      </c>
      <c r="JB331" s="93">
        <v>422.5</v>
      </c>
      <c r="JC331" s="93">
        <v>400</v>
      </c>
      <c r="JD331" s="93">
        <v>390</v>
      </c>
      <c r="JE331" s="20">
        <v>400</v>
      </c>
      <c r="JF331" s="29">
        <v>264</v>
      </c>
      <c r="JG331" s="19">
        <v>230.13322257995605</v>
      </c>
      <c r="JH331" s="93">
        <v>273.22402954101563</v>
      </c>
      <c r="JI331" s="93">
        <v>232.94701766967773</v>
      </c>
      <c r="JJ331" s="93">
        <v>185.36585083007813</v>
      </c>
      <c r="JK331" s="93">
        <v>217.76926879882814</v>
      </c>
      <c r="JL331" s="93">
        <v>211.08622550964355</v>
      </c>
      <c r="JM331" s="93">
        <v>199.33993530273438</v>
      </c>
      <c r="JN331" s="20">
        <v>281.49480438232422</v>
      </c>
      <c r="JO331" s="29">
        <v>264</v>
      </c>
      <c r="JP331" s="19">
        <v>208.52799072265626</v>
      </c>
      <c r="JQ331" s="93">
        <v>148.33743667602539</v>
      </c>
      <c r="JR331" s="93">
        <v>187.49999618530273</v>
      </c>
      <c r="JS331" s="93"/>
      <c r="JT331" s="93">
        <v>225.08340454101563</v>
      </c>
      <c r="JU331" s="20">
        <v>172.08994293212891</v>
      </c>
      <c r="JV331" s="29">
        <v>264</v>
      </c>
      <c r="JW331" s="1504">
        <v>44531</v>
      </c>
      <c r="JX331" s="19"/>
      <c r="JY331" s="93"/>
      <c r="JZ331" s="93"/>
      <c r="KA331" s="93"/>
      <c r="KB331" s="93"/>
      <c r="KC331" s="93">
        <v>381667</v>
      </c>
      <c r="KD331" s="20">
        <v>378889</v>
      </c>
      <c r="KE331" s="29">
        <v>264</v>
      </c>
      <c r="KF331" s="19"/>
      <c r="KG331" s="93"/>
      <c r="KH331" s="93"/>
      <c r="KI331" s="93"/>
      <c r="KJ331" s="93">
        <v>73333</v>
      </c>
      <c r="KK331" s="20"/>
      <c r="KL331" s="29">
        <v>264</v>
      </c>
      <c r="KM331" s="19"/>
      <c r="KN331" s="93"/>
      <c r="KO331" s="93"/>
      <c r="KP331" s="93"/>
      <c r="KQ331" s="93">
        <v>45000</v>
      </c>
      <c r="KR331" s="20"/>
      <c r="KS331" s="29">
        <v>264</v>
      </c>
      <c r="KT331" s="19"/>
      <c r="KU331" s="93"/>
      <c r="KV331" s="93"/>
      <c r="KW331" s="93"/>
      <c r="KX331" s="93">
        <v>27667</v>
      </c>
      <c r="KY331" s="20"/>
      <c r="KZ331" s="29">
        <v>264</v>
      </c>
      <c r="LA331" s="1504">
        <v>44531</v>
      </c>
      <c r="LB331" s="19"/>
      <c r="LC331" s="93"/>
      <c r="LD331" s="93"/>
      <c r="LE331" s="93"/>
      <c r="LF331" s="93"/>
      <c r="LG331" s="93"/>
      <c r="LH331" s="20"/>
      <c r="LI331" s="29"/>
      <c r="LJ331" s="19"/>
      <c r="LK331" s="93"/>
      <c r="LL331" s="93"/>
      <c r="LM331" s="93"/>
      <c r="LN331" s="93"/>
      <c r="LO331" s="20"/>
      <c r="LP331" s="29"/>
      <c r="LQ331" s="19"/>
      <c r="LR331" s="93">
        <v>188</v>
      </c>
      <c r="LS331" s="93">
        <v>463</v>
      </c>
      <c r="LT331" s="93">
        <v>663</v>
      </c>
      <c r="LU331" s="93">
        <v>1104</v>
      </c>
      <c r="LV331" s="93"/>
      <c r="LW331" s="93">
        <v>5</v>
      </c>
      <c r="LX331" s="93">
        <v>10</v>
      </c>
      <c r="LY331" s="93">
        <v>60</v>
      </c>
      <c r="LZ331" s="93"/>
      <c r="MA331" s="20"/>
      <c r="MB331" s="29">
        <v>264</v>
      </c>
      <c r="MC331" s="1504">
        <v>44531</v>
      </c>
      <c r="MD331" s="19">
        <v>2223.849405646507</v>
      </c>
      <c r="ME331" s="93">
        <v>1946.6076844018621</v>
      </c>
      <c r="MF331" s="93">
        <v>1946.6076844018621</v>
      </c>
      <c r="MG331" s="93">
        <v>1687.513336610062</v>
      </c>
      <c r="MH331" s="93">
        <v>572.62986391300001</v>
      </c>
      <c r="MI331" s="93">
        <v>16.236044069999998</v>
      </c>
      <c r="MJ331" s="93">
        <v>58.901450016062043</v>
      </c>
      <c r="MK331" s="93">
        <v>822.53508860940008</v>
      </c>
      <c r="ML331" s="93">
        <v>215.78064911700002</v>
      </c>
      <c r="MM331" s="93">
        <v>1.4302408846000001</v>
      </c>
      <c r="MN331" s="93">
        <v>259.09434779179998</v>
      </c>
      <c r="MO331" s="93">
        <v>5.7787376820000027</v>
      </c>
      <c r="MP331" s="93">
        <v>97.231560475199998</v>
      </c>
      <c r="MQ331" s="93">
        <v>2.160719909</v>
      </c>
      <c r="MR331" s="93">
        <v>53.268356314000002</v>
      </c>
      <c r="MS331" s="93">
        <v>100.65497341160001</v>
      </c>
      <c r="MT331" s="93">
        <v>0</v>
      </c>
      <c r="MU331" s="93">
        <v>277.24172124464474</v>
      </c>
      <c r="MV331" s="93">
        <v>196.34704006664475</v>
      </c>
      <c r="MW331" s="93">
        <v>80.894681177999999</v>
      </c>
      <c r="MX331" s="93">
        <v>2824.4186726876947</v>
      </c>
      <c r="MY331" s="93">
        <v>2814.176606889695</v>
      </c>
      <c r="MZ331" s="93">
        <v>1893.279732898475</v>
      </c>
      <c r="NA331" s="93">
        <v>964.98842690499998</v>
      </c>
      <c r="NB331" s="93">
        <v>192.06936471500001</v>
      </c>
      <c r="NC331" s="93">
        <v>192.54875514547484</v>
      </c>
      <c r="ND331" s="93">
        <v>163.93197805809467</v>
      </c>
      <c r="NE331" s="93">
        <v>28.616777087380193</v>
      </c>
      <c r="NF331" s="93">
        <v>543.67318613300006</v>
      </c>
      <c r="NG331" s="93">
        <v>13.085359546999999</v>
      </c>
      <c r="NH331" s="93">
        <v>114.779673715</v>
      </c>
      <c r="NI331" s="93">
        <v>0</v>
      </c>
      <c r="NJ331" s="93">
        <v>31.346602943000001</v>
      </c>
      <c r="NK331" s="93">
        <v>920.89687399121988</v>
      </c>
      <c r="NL331" s="93">
        <v>470.65939135100001</v>
      </c>
      <c r="NM331" s="93">
        <v>8.9694104509999999</v>
      </c>
      <c r="NN331" s="93">
        <v>441.26807218922005</v>
      </c>
      <c r="NO331" s="93">
        <v>10.242065797999999</v>
      </c>
      <c r="NP331" s="93">
        <v>-600.56926704118814</v>
      </c>
      <c r="NQ331" s="93">
        <v>-877.81098828583299</v>
      </c>
      <c r="NR331" s="93">
        <v>-243.9941609511381</v>
      </c>
      <c r="NS331" s="93">
        <v>-436.54291609661294</v>
      </c>
      <c r="NT331" s="93">
        <v>-592.74408738378804</v>
      </c>
      <c r="NU331" s="93">
        <v>-869.98580862843278</v>
      </c>
      <c r="NV331" s="93">
        <v>596.41310804253669</v>
      </c>
      <c r="NW331" s="93">
        <v>235.38968347013346</v>
      </c>
      <c r="NX331" s="93">
        <v>307.68355362721996</v>
      </c>
      <c r="NY331" s="93">
        <v>-72.293870157086602</v>
      </c>
      <c r="NZ331" s="93">
        <v>0</v>
      </c>
      <c r="OA331" s="93">
        <v>361.0234245724032</v>
      </c>
      <c r="OB331" s="93">
        <v>5.3125208286186005</v>
      </c>
      <c r="OC331" s="93">
        <v>355.71090374378463</v>
      </c>
      <c r="OD331" s="20">
        <v>0</v>
      </c>
      <c r="OE331" s="29">
        <v>264</v>
      </c>
      <c r="OF331" s="1504">
        <v>44531</v>
      </c>
      <c r="OG331" s="19"/>
      <c r="OH331" s="93">
        <v>901.77197676800006</v>
      </c>
      <c r="OI331" s="93">
        <v>2783.6456819710002</v>
      </c>
      <c r="OJ331" s="93">
        <v>1.857170741</v>
      </c>
      <c r="OK331" s="93">
        <v>2480.1880000000001</v>
      </c>
      <c r="OL331" s="93">
        <v>301.60051123</v>
      </c>
      <c r="OM331" s="93">
        <v>3685.4176587390002</v>
      </c>
      <c r="ON331" s="93">
        <v>1967.911108319</v>
      </c>
      <c r="OO331" s="93">
        <v>5653.3287670580003</v>
      </c>
      <c r="OP331" s="93"/>
      <c r="OQ331" s="93">
        <v>2704.9815301039998</v>
      </c>
      <c r="OR331" s="93">
        <v>535.64553010400004</v>
      </c>
      <c r="OS331" s="93">
        <v>2169.3359999999998</v>
      </c>
      <c r="OT331" s="93">
        <v>3487.3946488610004</v>
      </c>
      <c r="OU331" s="93">
        <v>-66.50763390100002</v>
      </c>
      <c r="OV331" s="93">
        <v>-95.401633901000025</v>
      </c>
      <c r="OW331" s="93">
        <v>28.894000000000005</v>
      </c>
      <c r="OX331" s="93">
        <v>3553.9022827620006</v>
      </c>
      <c r="OY331" s="93">
        <v>7.6532827619999999</v>
      </c>
      <c r="OZ331" s="93">
        <v>3546.2490000000003</v>
      </c>
      <c r="PA331" s="93">
        <v>1020.1041598080001</v>
      </c>
      <c r="PB331" s="93">
        <v>-481.05674790100011</v>
      </c>
      <c r="PC331" s="20">
        <v>5653.3287670579994</v>
      </c>
      <c r="PD331" s="29">
        <v>264</v>
      </c>
      <c r="PE331" s="19"/>
      <c r="PF331" s="93">
        <v>535.64553010400004</v>
      </c>
      <c r="PG331" s="93">
        <v>1112.328272385</v>
      </c>
      <c r="PH331" s="93">
        <v>576.68274228099995</v>
      </c>
      <c r="PI331" s="93">
        <v>1088.818035928</v>
      </c>
      <c r="PJ331" s="93">
        <v>-88.836431563000019</v>
      </c>
      <c r="PK331" s="93">
        <v>289.98205185500001</v>
      </c>
      <c r="PL331" s="93">
        <v>378.81848341800003</v>
      </c>
      <c r="PM331" s="93">
        <v>7.6532827619999999</v>
      </c>
      <c r="PN331" s="93">
        <v>2.76</v>
      </c>
      <c r="PO331" s="93">
        <v>0</v>
      </c>
      <c r="PP331" s="93">
        <v>0</v>
      </c>
      <c r="PQ331" s="93">
        <v>4.8932827620000001</v>
      </c>
      <c r="PR331" s="93">
        <v>1541.7251113119999</v>
      </c>
      <c r="PS331" s="93">
        <v>1021.619179106</v>
      </c>
      <c r="PT331" s="93">
        <v>517.91565314599995</v>
      </c>
      <c r="PU331" s="93">
        <v>2.1902790599999999</v>
      </c>
      <c r="PV331" s="93">
        <v>0</v>
      </c>
      <c r="PW331" s="93">
        <v>0.55468664700000003</v>
      </c>
      <c r="PX331" s="93">
        <v>0</v>
      </c>
      <c r="PY331" s="93">
        <v>0</v>
      </c>
      <c r="PZ331" s="93">
        <v>0.55468664700000003</v>
      </c>
      <c r="QA331" s="93">
        <v>0</v>
      </c>
      <c r="QB331" s="93">
        <v>0</v>
      </c>
      <c r="QC331" s="93">
        <v>0</v>
      </c>
      <c r="QD331" s="93">
        <v>0.496473161</v>
      </c>
      <c r="QE331" s="20">
        <v>0.50414611099998574</v>
      </c>
      <c r="QF331" s="1739">
        <v>264</v>
      </c>
      <c r="QG331" s="19"/>
      <c r="QH331" s="93">
        <v>2169.3359999999998</v>
      </c>
      <c r="QI331" s="93">
        <v>2455.9319999999998</v>
      </c>
      <c r="QJ331" s="93">
        <v>-286.596</v>
      </c>
      <c r="QK331" s="93">
        <v>649.89900000000011</v>
      </c>
      <c r="QL331" s="93">
        <v>113.282</v>
      </c>
      <c r="QM331" s="93">
        <v>536.61700000000008</v>
      </c>
      <c r="QN331" s="93">
        <v>0</v>
      </c>
      <c r="QO331" s="93">
        <v>28.894000000000005</v>
      </c>
      <c r="QP331" s="93">
        <v>874.07600000000002</v>
      </c>
      <c r="QQ331" s="93">
        <v>-845.18200000000002</v>
      </c>
      <c r="QR331" s="93">
        <v>3546.2490000000003</v>
      </c>
      <c r="QS331" s="93">
        <v>41.431999999999995</v>
      </c>
      <c r="QT331" s="93">
        <v>1.6E-2</v>
      </c>
      <c r="QU331" s="93">
        <v>289.41499999999996</v>
      </c>
      <c r="QV331" s="93">
        <v>3215.3860000000004</v>
      </c>
      <c r="QW331" s="93"/>
      <c r="QX331" s="93">
        <v>1088.1970000000001</v>
      </c>
      <c r="QY331" s="93">
        <v>2480.1880000000001</v>
      </c>
      <c r="QZ331" s="93">
        <v>1967.578</v>
      </c>
      <c r="RA331" s="93">
        <v>0</v>
      </c>
      <c r="RB331" s="93">
        <v>228.33099999999999</v>
      </c>
      <c r="RC331" s="93">
        <v>0</v>
      </c>
      <c r="RD331" s="93">
        <v>67.106000000000009</v>
      </c>
      <c r="RE331" s="93">
        <v>0</v>
      </c>
      <c r="RF331" s="93">
        <v>0</v>
      </c>
      <c r="RG331" s="93">
        <v>723.61599999999999</v>
      </c>
      <c r="RH331" s="93">
        <v>-160.63800000000015</v>
      </c>
      <c r="RI331" s="93"/>
      <c r="RJ331" s="93"/>
      <c r="RK331" s="93"/>
      <c r="RL331" s="93"/>
      <c r="RM331" s="20"/>
      <c r="RN331" s="29">
        <v>264</v>
      </c>
      <c r="RO331" s="19">
        <v>644</v>
      </c>
      <c r="RP331" s="20">
        <v>132</v>
      </c>
      <c r="RQ331" s="29">
        <v>264</v>
      </c>
      <c r="RR331" s="20">
        <v>5.8178530000000004</v>
      </c>
      <c r="RS331" s="29">
        <v>264</v>
      </c>
      <c r="RT331" s="1504">
        <v>44531</v>
      </c>
      <c r="RU331" s="19">
        <v>1508</v>
      </c>
      <c r="RV331" s="20">
        <v>46</v>
      </c>
      <c r="RW331" s="29">
        <v>264</v>
      </c>
      <c r="RX331" s="1504">
        <v>44531</v>
      </c>
      <c r="RY331" s="29"/>
      <c r="RZ331" s="20"/>
      <c r="SA331" s="29"/>
      <c r="SB331" s="29"/>
    </row>
    <row r="332" spans="1:496">
      <c r="A332" s="41">
        <f t="shared" si="238"/>
        <v>2022</v>
      </c>
      <c r="B332" s="1504">
        <v>44562</v>
      </c>
      <c r="C332" s="1813">
        <v>2126</v>
      </c>
      <c r="D332" s="1814">
        <v>33679</v>
      </c>
      <c r="E332" s="1814">
        <v>84</v>
      </c>
      <c r="F332" s="1815"/>
      <c r="G332" s="1814">
        <v>97913</v>
      </c>
      <c r="H332" s="1814">
        <v>44</v>
      </c>
      <c r="I332" s="1814">
        <v>29899</v>
      </c>
      <c r="J332" s="1816">
        <v>16742</v>
      </c>
      <c r="K332" s="1807">
        <f t="shared" ref="K332:K337" si="322">SUM(C332:J332)</f>
        <v>180487</v>
      </c>
      <c r="L332" s="25">
        <v>265</v>
      </c>
      <c r="M332" s="97"/>
      <c r="N332" s="1504">
        <v>44562</v>
      </c>
      <c r="O332" s="19">
        <v>1550</v>
      </c>
      <c r="P332" s="93">
        <v>1330</v>
      </c>
      <c r="Q332" s="93">
        <v>11713</v>
      </c>
      <c r="R332" s="93">
        <v>3119</v>
      </c>
      <c r="S332" s="93">
        <v>2873</v>
      </c>
      <c r="T332" s="93">
        <v>1002</v>
      </c>
      <c r="U332" s="93">
        <v>420</v>
      </c>
      <c r="V332" s="93">
        <v>2032</v>
      </c>
      <c r="W332" s="93">
        <v>5428</v>
      </c>
      <c r="X332" s="93">
        <v>934</v>
      </c>
      <c r="Y332" s="93">
        <v>868</v>
      </c>
      <c r="Z332" s="93">
        <v>1007</v>
      </c>
      <c r="AA332" s="93">
        <v>1403</v>
      </c>
      <c r="AB332" s="20">
        <f>SUM(O332:AA332)</f>
        <v>33679</v>
      </c>
      <c r="AC332" s="25">
        <v>265</v>
      </c>
      <c r="AD332" s="97"/>
      <c r="AE332" s="1504">
        <v>44562</v>
      </c>
      <c r="AF332" s="19">
        <v>2706</v>
      </c>
      <c r="AG332" s="93">
        <v>1028</v>
      </c>
      <c r="AH332" s="93">
        <v>3722</v>
      </c>
      <c r="AI332" s="93">
        <v>3158</v>
      </c>
      <c r="AJ332" s="93">
        <v>2301</v>
      </c>
      <c r="AK332" s="93">
        <v>1785</v>
      </c>
      <c r="AL332" s="93">
        <v>812</v>
      </c>
      <c r="AM332" s="93">
        <v>1810</v>
      </c>
      <c r="AN332" s="93">
        <v>7714</v>
      </c>
      <c r="AO332" s="93">
        <v>1569</v>
      </c>
      <c r="AP332" s="93">
        <v>1017</v>
      </c>
      <c r="AQ332" s="93">
        <v>1010</v>
      </c>
      <c r="AR332" s="93">
        <v>1267</v>
      </c>
      <c r="AS332" s="132">
        <f t="shared" ref="AS332:AS355" si="323">SUM(AF332:AR332)</f>
        <v>29899</v>
      </c>
      <c r="AT332" s="25">
        <v>265</v>
      </c>
      <c r="AU332" s="97"/>
      <c r="AV332" s="1504">
        <v>44562</v>
      </c>
      <c r="AW332" s="19">
        <v>10304</v>
      </c>
      <c r="AX332" s="93">
        <v>3432</v>
      </c>
      <c r="AY332" s="93">
        <v>3117</v>
      </c>
      <c r="AZ332" s="93">
        <v>17054</v>
      </c>
      <c r="BA332" s="93">
        <v>8889</v>
      </c>
      <c r="BB332" s="93">
        <v>6847</v>
      </c>
      <c r="BC332" s="93">
        <v>3263</v>
      </c>
      <c r="BD332" s="93">
        <v>9345</v>
      </c>
      <c r="BE332" s="93">
        <v>14913</v>
      </c>
      <c r="BF332" s="93">
        <v>5359</v>
      </c>
      <c r="BG332" s="93">
        <v>5353</v>
      </c>
      <c r="BH332" s="93">
        <v>4477</v>
      </c>
      <c r="BI332" s="93">
        <v>5560</v>
      </c>
      <c r="BJ332" s="132">
        <f t="shared" ref="BJ332:BJ355" si="324">SUM(AW332:BI332)</f>
        <v>97913</v>
      </c>
      <c r="BK332" s="25">
        <v>265</v>
      </c>
      <c r="BL332" s="97"/>
      <c r="BM332" s="1504">
        <v>44562</v>
      </c>
      <c r="BN332" s="733">
        <v>116.9</v>
      </c>
      <c r="BO332" s="570">
        <v>1852.3</v>
      </c>
      <c r="BP332" s="570">
        <v>16.8</v>
      </c>
      <c r="BQ332" s="570">
        <v>881.2</v>
      </c>
      <c r="BR332" s="570">
        <v>7.7</v>
      </c>
      <c r="BS332" s="570">
        <v>299</v>
      </c>
      <c r="BT332" s="570">
        <v>468.8</v>
      </c>
      <c r="BU332" s="132">
        <f t="shared" ref="BU332:BU355" si="325">SUM(BN332:BT332)</f>
        <v>3642.7</v>
      </c>
      <c r="BV332" s="25">
        <v>265</v>
      </c>
      <c r="BW332" s="97"/>
      <c r="BX332" s="1504">
        <v>44562</v>
      </c>
      <c r="BY332" s="19">
        <v>579.59969999999998</v>
      </c>
      <c r="BZ332" s="93">
        <v>655.95699999999999</v>
      </c>
      <c r="CA332" s="93">
        <v>630.58190000000002</v>
      </c>
      <c r="CB332" s="93">
        <v>37.426470999999999</v>
      </c>
      <c r="CC332" s="93">
        <v>93.181213</v>
      </c>
      <c r="CD332" s="25">
        <v>265</v>
      </c>
      <c r="CE332" s="97"/>
      <c r="CF332" s="1504">
        <v>44562</v>
      </c>
      <c r="CG332" s="19">
        <v>2.9112007100000001</v>
      </c>
      <c r="CH332" s="93">
        <v>1816.02</v>
      </c>
      <c r="CI332" s="219">
        <v>83.92</v>
      </c>
      <c r="CJ332" s="20">
        <v>85.53</v>
      </c>
      <c r="CK332" s="19">
        <v>403.15</v>
      </c>
      <c r="CL332" s="93">
        <v>276.62318879999998</v>
      </c>
      <c r="CM332" s="93">
        <v>0.401681764</v>
      </c>
      <c r="CN332" s="93">
        <v>0.36966591999999998</v>
      </c>
      <c r="CO332" s="93">
        <v>374.24</v>
      </c>
      <c r="CP332" s="20">
        <v>5.9717644249999999</v>
      </c>
      <c r="CQ332" s="219">
        <v>2489.88</v>
      </c>
      <c r="CR332" s="93">
        <v>2.6775000000000002</v>
      </c>
      <c r="CS332" s="93">
        <v>1.9735</v>
      </c>
      <c r="CT332" s="93">
        <v>173.13</v>
      </c>
      <c r="CU332" s="93">
        <v>132.53</v>
      </c>
      <c r="CV332" s="214">
        <v>3599.14</v>
      </c>
      <c r="CW332" s="29">
        <v>265</v>
      </c>
      <c r="CX332" s="41">
        <f t="shared" si="319"/>
        <v>2022</v>
      </c>
      <c r="CY332" s="1504">
        <v>44562</v>
      </c>
      <c r="CZ332" s="19"/>
      <c r="DA332" s="93"/>
      <c r="DB332" s="93"/>
      <c r="DC332" s="93"/>
      <c r="DD332" s="93"/>
      <c r="DE332" s="20"/>
      <c r="DF332" s="29"/>
      <c r="DG332" s="1504">
        <v>44562</v>
      </c>
      <c r="DH332" s="419">
        <f t="shared" si="320"/>
        <v>505276.82576475554</v>
      </c>
      <c r="DI332" s="100">
        <f t="shared" si="320"/>
        <v>3726236.4213213488</v>
      </c>
      <c r="DJ332" s="100">
        <f t="shared" si="320"/>
        <v>374967.78715943778</v>
      </c>
      <c r="DK332" s="100">
        <f t="shared" si="320"/>
        <v>9623.5621994976336</v>
      </c>
      <c r="DL332" s="100">
        <f t="shared" si="320"/>
        <v>411209.63645937399</v>
      </c>
      <c r="DM332" s="100">
        <f t="shared" si="320"/>
        <v>1813.6245101260793</v>
      </c>
      <c r="DN332" s="306">
        <f t="shared" si="320"/>
        <v>700808.93884106411</v>
      </c>
      <c r="DO332" s="1932">
        <f t="shared" si="282"/>
        <v>5224659.9704908486</v>
      </c>
      <c r="DP332" s="29">
        <v>265</v>
      </c>
      <c r="DQ332" s="1504">
        <v>44562</v>
      </c>
      <c r="DR332" s="19">
        <v>76837.657000000007</v>
      </c>
      <c r="DS332" s="93">
        <v>1028.5</v>
      </c>
      <c r="DT332" s="93">
        <v>65407.042000000001</v>
      </c>
      <c r="DU332" s="93">
        <v>2009.0329999999999</v>
      </c>
      <c r="DV332" s="93">
        <v>24705.838</v>
      </c>
      <c r="DW332" s="93">
        <v>3764</v>
      </c>
      <c r="DX332" s="20">
        <v>22814.94107142857</v>
      </c>
      <c r="DY332" s="29">
        <v>265</v>
      </c>
      <c r="DZ332" s="1504">
        <v>44562</v>
      </c>
      <c r="EA332" s="19"/>
      <c r="EB332" s="93"/>
      <c r="EC332" s="20"/>
      <c r="ED332" s="29"/>
      <c r="EE332" s="1504">
        <v>44562</v>
      </c>
      <c r="EF332" s="19">
        <f t="shared" si="307"/>
        <v>14253</v>
      </c>
      <c r="EG332" s="93">
        <f t="shared" si="308"/>
        <v>15462</v>
      </c>
      <c r="EH332" s="93">
        <f t="shared" si="309"/>
        <v>37286</v>
      </c>
      <c r="EI332" s="214">
        <f t="shared" si="310"/>
        <v>7571</v>
      </c>
      <c r="EJ332" s="93">
        <f t="shared" si="311"/>
        <v>566.51</v>
      </c>
      <c r="EK332" s="93">
        <f t="shared" si="312"/>
        <v>165.01499999999999</v>
      </c>
      <c r="EL332" s="93">
        <f t="shared" si="313"/>
        <v>6.3479999999999999</v>
      </c>
      <c r="EM332" s="93">
        <f t="shared" si="314"/>
        <v>6.1310000000000002</v>
      </c>
      <c r="EN332" s="20">
        <f t="shared" si="317"/>
        <v>744.00399999999991</v>
      </c>
      <c r="EO332" s="29">
        <v>265</v>
      </c>
      <c r="EP332" s="1504">
        <v>44562</v>
      </c>
      <c r="EQ332" s="19">
        <v>13441</v>
      </c>
      <c r="ER332" s="93">
        <v>14869</v>
      </c>
      <c r="ES332" s="93">
        <f t="shared" si="315"/>
        <v>28310</v>
      </c>
      <c r="ET332" s="214">
        <v>7489</v>
      </c>
      <c r="EU332" s="93">
        <v>561.42700000000002</v>
      </c>
      <c r="EV332" s="93">
        <v>157.98699999999999</v>
      </c>
      <c r="EW332" s="93">
        <v>6.3479999999999999</v>
      </c>
      <c r="EX332" s="93">
        <v>6.1310000000000002</v>
      </c>
      <c r="EY332" s="20">
        <f t="shared" si="321"/>
        <v>731.89299999999992</v>
      </c>
      <c r="EZ332" s="29">
        <v>265</v>
      </c>
      <c r="FA332" s="1504">
        <v>44562</v>
      </c>
      <c r="FB332" s="29">
        <v>812</v>
      </c>
      <c r="FC332" s="29">
        <v>593</v>
      </c>
      <c r="FD332" s="29">
        <f t="shared" si="316"/>
        <v>1405</v>
      </c>
      <c r="FE332" s="29">
        <v>82</v>
      </c>
      <c r="FF332" s="29">
        <v>5.0830000000000002</v>
      </c>
      <c r="FG332" s="29">
        <v>7.0279999999999996</v>
      </c>
      <c r="FH332" s="29">
        <v>0</v>
      </c>
      <c r="FI332" s="29">
        <v>0</v>
      </c>
      <c r="FJ332" s="29">
        <f t="shared" ref="FJ332:FJ352" si="326">SUM(FF332:FI332)</f>
        <v>12.111000000000001</v>
      </c>
      <c r="FK332" s="29">
        <v>265</v>
      </c>
      <c r="FL332" s="1504">
        <v>44562</v>
      </c>
      <c r="FM332" s="19">
        <v>111.81</v>
      </c>
      <c r="FN332" s="93">
        <v>120.89</v>
      </c>
      <c r="FO332" s="93">
        <v>137.07</v>
      </c>
      <c r="FP332" s="93">
        <v>101.56</v>
      </c>
      <c r="FQ332" s="93">
        <v>96.02</v>
      </c>
      <c r="FR332" s="93">
        <v>101.03</v>
      </c>
      <c r="FS332" s="93">
        <v>100.61</v>
      </c>
      <c r="FT332" s="93">
        <v>99.15</v>
      </c>
      <c r="FU332" s="93">
        <v>98.74</v>
      </c>
      <c r="FV332" s="93">
        <v>101.12</v>
      </c>
      <c r="FW332" s="93">
        <v>112.14</v>
      </c>
      <c r="FX332" s="93">
        <v>108.13</v>
      </c>
      <c r="FY332" s="93">
        <v>101.31</v>
      </c>
      <c r="FZ332" s="29">
        <v>265</v>
      </c>
      <c r="GA332" s="1504">
        <v>44562</v>
      </c>
      <c r="GB332" s="19">
        <v>111.81</v>
      </c>
      <c r="GC332" s="93">
        <v>102.87</v>
      </c>
      <c r="GD332" s="93">
        <v>116.46</v>
      </c>
      <c r="GE332" s="93">
        <v>91.12</v>
      </c>
      <c r="GF332" s="93">
        <v>128.06</v>
      </c>
      <c r="GG332" s="93">
        <v>107.49</v>
      </c>
      <c r="GH332" s="93">
        <v>125.4</v>
      </c>
      <c r="GI332" s="93">
        <v>105.69</v>
      </c>
      <c r="GJ332" s="93">
        <v>103.88</v>
      </c>
      <c r="GK332" s="93">
        <v>100.25</v>
      </c>
      <c r="GL332" s="93">
        <v>117.63</v>
      </c>
      <c r="GM332" s="93">
        <v>101.31</v>
      </c>
      <c r="GN332" s="20">
        <v>103.87</v>
      </c>
      <c r="GO332" s="29">
        <v>265</v>
      </c>
      <c r="GP332" s="1504">
        <v>44562</v>
      </c>
      <c r="GQ332" s="19">
        <v>349</v>
      </c>
      <c r="GR332" s="93">
        <v>266</v>
      </c>
      <c r="GS332" s="93">
        <v>277</v>
      </c>
      <c r="GT332" s="93">
        <v>282</v>
      </c>
      <c r="GU332" s="93">
        <v>410</v>
      </c>
      <c r="GV332" s="20">
        <v>896</v>
      </c>
      <c r="GW332" s="19">
        <v>623</v>
      </c>
      <c r="GX332" s="93">
        <v>666</v>
      </c>
      <c r="GY332" s="93">
        <v>500</v>
      </c>
      <c r="GZ332" s="93">
        <v>621</v>
      </c>
      <c r="HA332" s="93">
        <v>358</v>
      </c>
      <c r="HB332" s="20">
        <v>1108</v>
      </c>
      <c r="HC332" s="19">
        <v>2447</v>
      </c>
      <c r="HD332" s="93">
        <v>2522</v>
      </c>
      <c r="HE332" s="93">
        <v>2718</v>
      </c>
      <c r="HF332" s="93">
        <v>3150</v>
      </c>
      <c r="HG332" s="93">
        <v>2796</v>
      </c>
      <c r="HH332" s="20">
        <v>3286</v>
      </c>
      <c r="HI332" s="19"/>
      <c r="HJ332" s="93">
        <v>915</v>
      </c>
      <c r="HK332" s="93">
        <v>1737</v>
      </c>
      <c r="HL332" s="93">
        <v>858</v>
      </c>
      <c r="HM332" s="93">
        <v>1075</v>
      </c>
      <c r="HN332" s="20">
        <v>2346</v>
      </c>
      <c r="HO332" s="219">
        <v>204</v>
      </c>
      <c r="HP332" s="20">
        <v>83</v>
      </c>
      <c r="HQ332" s="25">
        <v>186</v>
      </c>
      <c r="HR332" s="29">
        <v>265</v>
      </c>
      <c r="HS332" s="1504">
        <v>44562</v>
      </c>
      <c r="HT332" s="19">
        <v>286.24412027994794</v>
      </c>
      <c r="HU332" s="93">
        <v>333.33334350585938</v>
      </c>
      <c r="HV332" s="93">
        <v>253.16455078125</v>
      </c>
      <c r="HW332" s="93">
        <v>255.10203552246094</v>
      </c>
      <c r="HX332" s="93">
        <v>283.33334350585938</v>
      </c>
      <c r="HY332" s="93">
        <v>291.19318389892578</v>
      </c>
      <c r="HZ332" s="93">
        <v>291.25412750244141</v>
      </c>
      <c r="IA332" s="20">
        <v>303.66275024414063</v>
      </c>
      <c r="IB332" s="19">
        <v>256.15877914428711</v>
      </c>
      <c r="IC332" s="93">
        <v>213.8157958984375</v>
      </c>
      <c r="ID332" s="93">
        <v>241.07143402099609</v>
      </c>
      <c r="IE332" s="93">
        <v>235.38961791992188</v>
      </c>
      <c r="IF332" s="93">
        <v>252.92176818847656</v>
      </c>
      <c r="IG332" s="20">
        <v>206.25</v>
      </c>
      <c r="IH332" s="19">
        <v>197.22222137451172</v>
      </c>
      <c r="II332" s="93">
        <v>273.22402954101563</v>
      </c>
      <c r="IJ332" s="93">
        <v>239.09395599365234</v>
      </c>
      <c r="IK332" s="93">
        <v>232.14286804199219</v>
      </c>
      <c r="IL332" s="93">
        <v>225.39682769775391</v>
      </c>
      <c r="IM332" s="93">
        <v>224.67321014404297</v>
      </c>
      <c r="IN332" s="93">
        <v>247.34982299804688</v>
      </c>
      <c r="IO332" s="20">
        <v>249.74186706542969</v>
      </c>
      <c r="IP332" s="29">
        <v>265</v>
      </c>
      <c r="IQ332" s="19">
        <v>217.60193634033203</v>
      </c>
      <c r="IR332" s="93">
        <v>161.1842155456543</v>
      </c>
      <c r="IS332" s="93">
        <v>195.40229288736978</v>
      </c>
      <c r="IT332" s="93">
        <v>201.95440292358398</v>
      </c>
      <c r="IU332" s="93">
        <v>241.73930740356445</v>
      </c>
      <c r="IV332" s="20">
        <v>177.90055847167969</v>
      </c>
      <c r="IW332" s="29">
        <v>265</v>
      </c>
      <c r="IX332" s="19">
        <v>399.73348999023438</v>
      </c>
      <c r="IY332" s="93">
        <v>456.9892578125</v>
      </c>
      <c r="IZ332" s="93">
        <v>450</v>
      </c>
      <c r="JA332" s="93">
        <v>400</v>
      </c>
      <c r="JB332" s="93">
        <v>428.125</v>
      </c>
      <c r="JC332" s="93">
        <v>400</v>
      </c>
      <c r="JD332" s="93">
        <v>390</v>
      </c>
      <c r="JE332" s="20">
        <v>400</v>
      </c>
      <c r="JF332" s="29">
        <v>265</v>
      </c>
      <c r="JG332" s="19">
        <v>236.70845031738281</v>
      </c>
      <c r="JH332" s="93">
        <v>280.05463409423828</v>
      </c>
      <c r="JI332" s="93">
        <v>229.50819396972656</v>
      </c>
      <c r="JJ332" s="93">
        <v>195.1219482421875</v>
      </c>
      <c r="JK332" s="93">
        <v>218.85520935058594</v>
      </c>
      <c r="JL332" s="93">
        <v>232.45613924662271</v>
      </c>
      <c r="JM332" s="93">
        <v>212.87129211425781</v>
      </c>
      <c r="JN332" s="20">
        <v>289.85507202148438</v>
      </c>
      <c r="JO332" s="29">
        <v>265</v>
      </c>
      <c r="JP332" s="19">
        <v>207.9741325378418</v>
      </c>
      <c r="JQ332" s="93">
        <v>159.375</v>
      </c>
      <c r="JR332" s="93">
        <v>195.83333206176758</v>
      </c>
      <c r="JS332" s="93">
        <v>172.59978739420572</v>
      </c>
      <c r="JT332" s="93">
        <v>223.26990127563477</v>
      </c>
      <c r="JU332" s="20">
        <v>167.89474105834961</v>
      </c>
      <c r="JV332" s="29">
        <v>265</v>
      </c>
      <c r="JW332" s="1504">
        <v>44562</v>
      </c>
      <c r="JX332" s="19"/>
      <c r="JY332" s="93"/>
      <c r="JZ332" s="93"/>
      <c r="KA332" s="93"/>
      <c r="KB332" s="93"/>
      <c r="KC332" s="93"/>
      <c r="KD332" s="20"/>
      <c r="KE332" s="29"/>
      <c r="KF332" s="19"/>
      <c r="KG332" s="93"/>
      <c r="KH332" s="93"/>
      <c r="KI332" s="93"/>
      <c r="KJ332" s="93"/>
      <c r="KK332" s="20"/>
      <c r="KL332" s="29"/>
      <c r="KM332" s="19"/>
      <c r="KN332" s="93"/>
      <c r="KO332" s="93"/>
      <c r="KP332" s="93"/>
      <c r="KQ332" s="93"/>
      <c r="KR332" s="20"/>
      <c r="KS332" s="29"/>
      <c r="KT332" s="19"/>
      <c r="KU332" s="93"/>
      <c r="KV332" s="93"/>
      <c r="KW332" s="93"/>
      <c r="KX332" s="93"/>
      <c r="KY332" s="20"/>
      <c r="KZ332" s="29"/>
      <c r="LA332" s="1504">
        <v>44562</v>
      </c>
      <c r="LB332" s="19"/>
      <c r="LC332" s="93"/>
      <c r="LD332" s="93"/>
      <c r="LE332" s="93"/>
      <c r="LF332" s="93"/>
      <c r="LG332" s="93"/>
      <c r="LH332" s="20"/>
      <c r="LI332" s="29"/>
      <c r="LJ332" s="19"/>
      <c r="LK332" s="93"/>
      <c r="LL332" s="93"/>
      <c r="LM332" s="93"/>
      <c r="LN332" s="93"/>
      <c r="LO332" s="20"/>
      <c r="LP332" s="29"/>
      <c r="LQ332" s="19"/>
      <c r="LR332" s="93">
        <v>188</v>
      </c>
      <c r="LS332" s="93">
        <v>463</v>
      </c>
      <c r="LT332" s="93">
        <v>663</v>
      </c>
      <c r="LU332" s="93">
        <v>1104</v>
      </c>
      <c r="LV332" s="93"/>
      <c r="LW332" s="93">
        <v>5</v>
      </c>
      <c r="LX332" s="93">
        <v>10</v>
      </c>
      <c r="LY332" s="93">
        <v>60</v>
      </c>
      <c r="LZ332" s="93"/>
      <c r="MA332" s="20"/>
      <c r="MB332" s="29">
        <v>265</v>
      </c>
      <c r="MC332" s="1504">
        <v>44562</v>
      </c>
      <c r="MD332" s="19">
        <v>186.18066465748146</v>
      </c>
      <c r="ME332" s="93">
        <v>185.07941216192148</v>
      </c>
      <c r="MF332" s="93">
        <v>185.07941216192148</v>
      </c>
      <c r="MG332" s="93">
        <v>173.61367815092146</v>
      </c>
      <c r="MH332" s="93">
        <v>87.443117803000007</v>
      </c>
      <c r="MI332" s="93">
        <v>1.8505387850000001</v>
      </c>
      <c r="MJ332" s="93">
        <v>4.0152824235714286</v>
      </c>
      <c r="MK332" s="93">
        <v>62.83917994235</v>
      </c>
      <c r="ML332" s="93">
        <v>17.356479323000002</v>
      </c>
      <c r="MM332" s="93">
        <v>0.10907987399999999</v>
      </c>
      <c r="MN332" s="93">
        <v>11.465734011</v>
      </c>
      <c r="MO332" s="93">
        <v>0.42882470299999992</v>
      </c>
      <c r="MP332" s="93">
        <v>2.8363611340000006</v>
      </c>
      <c r="MQ332" s="93">
        <v>0.153204488</v>
      </c>
      <c r="MR332" s="93">
        <v>7.8811800000000009E-4</v>
      </c>
      <c r="MS332" s="93">
        <v>8.0465555680000005</v>
      </c>
      <c r="MT332" s="93">
        <v>0</v>
      </c>
      <c r="MU332" s="93">
        <v>1.1012524955600003</v>
      </c>
      <c r="MV332" s="93">
        <v>1.1012524955600003</v>
      </c>
      <c r="MW332" s="93">
        <v>0</v>
      </c>
      <c r="MX332" s="93">
        <v>147.78077036347187</v>
      </c>
      <c r="MY332" s="93">
        <v>147.78083705947188</v>
      </c>
      <c r="MZ332" s="93">
        <v>124.15253005833442</v>
      </c>
      <c r="NA332" s="93">
        <v>75.90910513933332</v>
      </c>
      <c r="NB332" s="93">
        <v>4.1302876710000005</v>
      </c>
      <c r="NC332" s="93">
        <v>19.672160886001102</v>
      </c>
      <c r="ND332" s="93">
        <v>18.093973164000001</v>
      </c>
      <c r="NE332" s="93">
        <v>1.5781877220011002</v>
      </c>
      <c r="NF332" s="93">
        <v>24.440976362000001</v>
      </c>
      <c r="NG332" s="93">
        <v>0</v>
      </c>
      <c r="NH332" s="93">
        <v>0.26250000000000001</v>
      </c>
      <c r="NI332" s="93">
        <v>0</v>
      </c>
      <c r="NJ332" s="93">
        <v>0</v>
      </c>
      <c r="NK332" s="93">
        <v>23.628307001137461</v>
      </c>
      <c r="NL332" s="93">
        <v>7.0529682350000007</v>
      </c>
      <c r="NM332" s="93">
        <v>0</v>
      </c>
      <c r="NN332" s="93">
        <v>16.57533876613746</v>
      </c>
      <c r="NO332" s="93">
        <v>-6.6696000009775167E-5</v>
      </c>
      <c r="NP332" s="93">
        <v>38.399894294009599</v>
      </c>
      <c r="NQ332" s="93">
        <v>37.298641798449609</v>
      </c>
      <c r="NR332" s="93">
        <v>73.546141450588181</v>
      </c>
      <c r="NS332" s="93">
        <v>53.873980564587072</v>
      </c>
      <c r="NT332" s="93">
        <v>-73.09916702499045</v>
      </c>
      <c r="NU332" s="93">
        <v>-74.20041952055044</v>
      </c>
      <c r="NV332" s="93">
        <v>73.488240902276488</v>
      </c>
      <c r="NW332" s="93">
        <v>13.135546350276448</v>
      </c>
      <c r="NX332" s="93">
        <v>16.098485300577458</v>
      </c>
      <c r="NY332" s="93">
        <v>-2.9629389503010115</v>
      </c>
      <c r="NZ332" s="93">
        <v>0</v>
      </c>
      <c r="OA332" s="93">
        <v>60.352694552000031</v>
      </c>
      <c r="OB332" s="93">
        <v>35.601523552000032</v>
      </c>
      <c r="OC332" s="93">
        <v>24.751170999999999</v>
      </c>
      <c r="OD332" s="20">
        <v>-0.38907387728603182</v>
      </c>
      <c r="OE332" s="29">
        <v>265</v>
      </c>
      <c r="OF332" s="1504">
        <v>44562</v>
      </c>
      <c r="OG332" s="19"/>
      <c r="OH332" s="93">
        <v>802.93570887800001</v>
      </c>
      <c r="OI332" s="93">
        <v>2633.4108219939994</v>
      </c>
      <c r="OJ332" s="93">
        <v>1.4503107639999999</v>
      </c>
      <c r="OK332" s="93">
        <v>2330.3599999999997</v>
      </c>
      <c r="OL332" s="93">
        <v>301.60051123</v>
      </c>
      <c r="OM332" s="93">
        <v>3436.3465308719997</v>
      </c>
      <c r="ON332" s="93">
        <v>2000.6661083189999</v>
      </c>
      <c r="OO332" s="93">
        <v>5437.0126391909998</v>
      </c>
      <c r="OP332" s="93"/>
      <c r="OQ332" s="93">
        <v>2460.6788620730003</v>
      </c>
      <c r="OR332" s="93">
        <v>449.11586207300002</v>
      </c>
      <c r="OS332" s="93">
        <v>2011.5629999999999</v>
      </c>
      <c r="OT332" s="93">
        <v>3534.092421931</v>
      </c>
      <c r="OU332" s="93">
        <v>34.249343700999994</v>
      </c>
      <c r="OV332" s="93">
        <v>-39.904656299000003</v>
      </c>
      <c r="OW332" s="93">
        <v>74.153999999999996</v>
      </c>
      <c r="OX332" s="93">
        <v>3499.8430782300002</v>
      </c>
      <c r="OY332" s="93">
        <v>7.4180782300000008</v>
      </c>
      <c r="OZ332" s="93">
        <v>3492.4250000000002</v>
      </c>
      <c r="PA332" s="93">
        <v>1023.0902241270001</v>
      </c>
      <c r="PB332" s="93">
        <v>-465.3315793139999</v>
      </c>
      <c r="PC332" s="20">
        <v>5437.0126391910007</v>
      </c>
      <c r="PD332" s="29">
        <v>265</v>
      </c>
      <c r="PE332" s="19"/>
      <c r="PF332" s="93">
        <v>449.11586207300002</v>
      </c>
      <c r="PG332" s="93">
        <v>1049.9512596940001</v>
      </c>
      <c r="PH332" s="93">
        <v>600.83539762100008</v>
      </c>
      <c r="PI332" s="93">
        <v>883.31197814999996</v>
      </c>
      <c r="PJ332" s="93">
        <v>-33.339453961000004</v>
      </c>
      <c r="PK332" s="93">
        <v>289.99544492199999</v>
      </c>
      <c r="PL332" s="93">
        <v>323.33489888299999</v>
      </c>
      <c r="PM332" s="93">
        <v>7.4180782300000008</v>
      </c>
      <c r="PN332" s="93">
        <v>2.4300000000000002</v>
      </c>
      <c r="PO332" s="93">
        <v>0</v>
      </c>
      <c r="PP332" s="93">
        <v>0</v>
      </c>
      <c r="PQ332" s="93">
        <v>4.9880782300000002</v>
      </c>
      <c r="PR332" s="93">
        <v>1319.6822009169998</v>
      </c>
      <c r="PS332" s="93">
        <v>917.44391121599995</v>
      </c>
      <c r="PT332" s="93">
        <v>400.45487061799997</v>
      </c>
      <c r="PU332" s="93">
        <v>1.7834190829999998</v>
      </c>
      <c r="PV332" s="93">
        <v>0</v>
      </c>
      <c r="PW332" s="93">
        <v>0.27925096700000002</v>
      </c>
      <c r="PX332" s="93">
        <v>0</v>
      </c>
      <c r="PY332" s="93">
        <v>0</v>
      </c>
      <c r="PZ332" s="93">
        <v>0.27925096700000002</v>
      </c>
      <c r="QA332" s="93">
        <v>0</v>
      </c>
      <c r="QB332" s="93">
        <v>0</v>
      </c>
      <c r="QC332" s="93">
        <v>0</v>
      </c>
      <c r="QD332" s="93">
        <v>1.05997316</v>
      </c>
      <c r="QE332" s="20">
        <v>-14.514960552000002</v>
      </c>
      <c r="QF332" s="1739">
        <v>265</v>
      </c>
      <c r="QG332" s="19"/>
      <c r="QH332" s="93">
        <v>2011.5629999999999</v>
      </c>
      <c r="QI332" s="93">
        <v>2388.7269999999999</v>
      </c>
      <c r="QJ332" s="93">
        <v>-377.16400000000004</v>
      </c>
      <c r="QK332" s="93">
        <v>533.85500000000002</v>
      </c>
      <c r="QL332" s="93">
        <v>107.943</v>
      </c>
      <c r="QM332" s="93">
        <v>425.91199999999998</v>
      </c>
      <c r="QN332" s="93">
        <v>0</v>
      </c>
      <c r="QO332" s="93">
        <v>74.153999999999996</v>
      </c>
      <c r="QP332" s="93">
        <v>884.53899999999999</v>
      </c>
      <c r="QQ332" s="93">
        <v>-810.38499999999999</v>
      </c>
      <c r="QR332" s="93">
        <v>3492.4250000000002</v>
      </c>
      <c r="QS332" s="93">
        <v>41.375999999999998</v>
      </c>
      <c r="QT332" s="93">
        <v>1.4E-2</v>
      </c>
      <c r="QU332" s="93">
        <v>271.20699999999999</v>
      </c>
      <c r="QV332" s="93">
        <v>3179.828</v>
      </c>
      <c r="QW332" s="93"/>
      <c r="QX332" s="93">
        <v>881.38099999999997</v>
      </c>
      <c r="QY332" s="93">
        <v>2330.36</v>
      </c>
      <c r="QZ332" s="93">
        <v>2000.3330000000001</v>
      </c>
      <c r="RA332" s="93">
        <v>0</v>
      </c>
      <c r="RB332" s="93">
        <v>225.83700000000002</v>
      </c>
      <c r="RC332" s="93">
        <v>0</v>
      </c>
      <c r="RD332" s="93">
        <v>80.210000000000008</v>
      </c>
      <c r="RE332" s="93">
        <v>0</v>
      </c>
      <c r="RF332" s="93">
        <v>0</v>
      </c>
      <c r="RG332" s="93">
        <v>715.70399999999995</v>
      </c>
      <c r="RH332" s="93">
        <v>-121.82799999999997</v>
      </c>
      <c r="RI332" s="93"/>
      <c r="RJ332" s="93"/>
      <c r="RK332" s="93"/>
      <c r="RL332" s="93"/>
      <c r="RM332" s="20"/>
      <c r="RN332" s="29">
        <v>265</v>
      </c>
      <c r="RO332" s="19">
        <v>367</v>
      </c>
      <c r="RP332" s="20">
        <v>80</v>
      </c>
      <c r="RQ332" s="29">
        <v>265</v>
      </c>
      <c r="RR332" s="20">
        <v>5.696219000000001</v>
      </c>
      <c r="RS332" s="29">
        <v>265</v>
      </c>
      <c r="RT332" s="1504">
        <v>44562</v>
      </c>
      <c r="RU332" s="19">
        <v>1263</v>
      </c>
      <c r="RV332" s="20">
        <v>26</v>
      </c>
      <c r="RW332" s="29">
        <v>265</v>
      </c>
      <c r="RX332" s="1504">
        <v>44562</v>
      </c>
      <c r="RY332" s="29"/>
      <c r="RZ332" s="20"/>
      <c r="SA332" s="29"/>
      <c r="SB332" s="29"/>
    </row>
    <row r="333" spans="1:496">
      <c r="A333" s="41">
        <f t="shared" si="238"/>
        <v>2022</v>
      </c>
      <c r="B333" s="1504">
        <v>44593</v>
      </c>
      <c r="C333" s="1813">
        <v>2051</v>
      </c>
      <c r="D333" s="1814">
        <v>29076</v>
      </c>
      <c r="E333" s="1814">
        <v>44</v>
      </c>
      <c r="F333" s="1815"/>
      <c r="G333" s="1814">
        <v>84536</v>
      </c>
      <c r="H333" s="1814">
        <v>16</v>
      </c>
      <c r="I333" s="1814">
        <v>28514</v>
      </c>
      <c r="J333" s="1816">
        <v>16940</v>
      </c>
      <c r="K333" s="1807">
        <f t="shared" si="322"/>
        <v>161177</v>
      </c>
      <c r="L333" s="25">
        <v>266</v>
      </c>
      <c r="M333" s="97"/>
      <c r="N333" s="1504">
        <v>44593</v>
      </c>
      <c r="O333" s="19">
        <v>1416</v>
      </c>
      <c r="P333" s="93">
        <v>1071</v>
      </c>
      <c r="Q333" s="93">
        <v>9889</v>
      </c>
      <c r="R333" s="93">
        <v>2644</v>
      </c>
      <c r="S333" s="93">
        <v>2187</v>
      </c>
      <c r="T333" s="93">
        <v>889</v>
      </c>
      <c r="U333" s="93">
        <v>385</v>
      </c>
      <c r="V333" s="93">
        <v>1534</v>
      </c>
      <c r="W333" s="93">
        <v>5184</v>
      </c>
      <c r="X333" s="93">
        <v>966</v>
      </c>
      <c r="Y333" s="93">
        <v>616</v>
      </c>
      <c r="Z333" s="93">
        <v>1035</v>
      </c>
      <c r="AA333" s="93">
        <v>1260</v>
      </c>
      <c r="AB333" s="20">
        <f t="shared" ref="AB333:AB355" si="327">SUM(O333:AA333)</f>
        <v>29076</v>
      </c>
      <c r="AC333" s="25">
        <v>266</v>
      </c>
      <c r="AD333" s="97"/>
      <c r="AE333" s="1504">
        <v>44593</v>
      </c>
      <c r="AF333" s="19">
        <v>2607</v>
      </c>
      <c r="AG333" s="93">
        <v>1131</v>
      </c>
      <c r="AH333" s="93">
        <v>3931</v>
      </c>
      <c r="AI333" s="93">
        <v>3113</v>
      </c>
      <c r="AJ333" s="93">
        <v>1919</v>
      </c>
      <c r="AK333" s="93">
        <v>1747</v>
      </c>
      <c r="AL333" s="93">
        <v>989</v>
      </c>
      <c r="AM333" s="93">
        <v>1624</v>
      </c>
      <c r="AN333" s="93">
        <v>7471</v>
      </c>
      <c r="AO333" s="93">
        <v>1314</v>
      </c>
      <c r="AP333" s="93">
        <v>892</v>
      </c>
      <c r="AQ333" s="93">
        <v>654</v>
      </c>
      <c r="AR333" s="93">
        <v>1122</v>
      </c>
      <c r="AS333" s="132">
        <f t="shared" si="323"/>
        <v>28514</v>
      </c>
      <c r="AT333" s="25">
        <v>266</v>
      </c>
      <c r="AU333" s="97"/>
      <c r="AV333" s="1504">
        <v>44593</v>
      </c>
      <c r="AW333" s="19">
        <v>9660</v>
      </c>
      <c r="AX333" s="93">
        <v>3136</v>
      </c>
      <c r="AY333" s="93">
        <v>3117</v>
      </c>
      <c r="AZ333" s="93">
        <v>11774</v>
      </c>
      <c r="BA333" s="93">
        <v>6480</v>
      </c>
      <c r="BB333" s="93">
        <v>6351</v>
      </c>
      <c r="BC333" s="93">
        <v>3319</v>
      </c>
      <c r="BD333" s="93">
        <v>7935</v>
      </c>
      <c r="BE333" s="93">
        <v>13865</v>
      </c>
      <c r="BF333" s="93">
        <v>4559</v>
      </c>
      <c r="BG333" s="93">
        <v>4562</v>
      </c>
      <c r="BH333" s="93">
        <v>4883</v>
      </c>
      <c r="BI333" s="93">
        <v>4895</v>
      </c>
      <c r="BJ333" s="132">
        <f t="shared" si="324"/>
        <v>84536</v>
      </c>
      <c r="BK333" s="25">
        <v>266</v>
      </c>
      <c r="BL333" s="97"/>
      <c r="BM333" s="1504">
        <v>44593</v>
      </c>
      <c r="BN333" s="733">
        <v>112.8</v>
      </c>
      <c r="BO333" s="570">
        <v>1599.2</v>
      </c>
      <c r="BP333" s="570">
        <v>8.8000000000000007</v>
      </c>
      <c r="BQ333" s="570">
        <v>760.8</v>
      </c>
      <c r="BR333" s="570">
        <v>2.8</v>
      </c>
      <c r="BS333" s="570">
        <v>285.10000000000002</v>
      </c>
      <c r="BT333" s="570">
        <v>474.3</v>
      </c>
      <c r="BU333" s="132">
        <f t="shared" si="325"/>
        <v>3243.8</v>
      </c>
      <c r="BV333" s="25">
        <v>266</v>
      </c>
      <c r="BW333" s="97"/>
      <c r="BX333" s="1504">
        <v>44593</v>
      </c>
      <c r="BY333" s="19">
        <v>578.24890000000005</v>
      </c>
      <c r="BZ333" s="93">
        <v>655.95699999999999</v>
      </c>
      <c r="CA333" s="93">
        <v>627.01130000000001</v>
      </c>
      <c r="CB333" s="93">
        <v>37.999006000000001</v>
      </c>
      <c r="CC333" s="93">
        <v>89.000096999999997</v>
      </c>
      <c r="CD333" s="25">
        <v>266</v>
      </c>
      <c r="CE333" s="97"/>
      <c r="CF333" s="1504">
        <v>44593</v>
      </c>
      <c r="CG333" s="19">
        <v>3.0514145419999998</v>
      </c>
      <c r="CH333" s="93">
        <v>1856.3</v>
      </c>
      <c r="CI333" s="219">
        <v>93.543333333329997</v>
      </c>
      <c r="CJ333" s="20">
        <v>95.76</v>
      </c>
      <c r="CK333" s="19">
        <v>405.95</v>
      </c>
      <c r="CL333" s="93">
        <v>292.622344</v>
      </c>
      <c r="CM333" s="93">
        <v>0.393745132</v>
      </c>
      <c r="CN333" s="93">
        <v>0.37041700799999999</v>
      </c>
      <c r="CO333" s="93">
        <v>390.5</v>
      </c>
      <c r="CP333" s="20">
        <v>6.2120680049999999</v>
      </c>
      <c r="CQ333" s="219">
        <v>2473.1</v>
      </c>
      <c r="CR333" s="93">
        <v>2.73</v>
      </c>
      <c r="CS333" s="93">
        <v>2.1120999999999999</v>
      </c>
      <c r="CT333" s="93">
        <v>172.5</v>
      </c>
      <c r="CU333" s="93">
        <v>142.84</v>
      </c>
      <c r="CV333" s="214">
        <v>3620.04</v>
      </c>
      <c r="CW333" s="29">
        <v>266</v>
      </c>
      <c r="CX333" s="41">
        <f t="shared" si="319"/>
        <v>2022</v>
      </c>
      <c r="CY333" s="1504">
        <v>44593</v>
      </c>
      <c r="CZ333" s="19"/>
      <c r="DA333" s="93"/>
      <c r="DB333" s="93"/>
      <c r="DC333" s="93"/>
      <c r="DD333" s="93"/>
      <c r="DE333" s="20"/>
      <c r="DF333" s="29"/>
      <c r="DG333" s="1504">
        <v>44593</v>
      </c>
      <c r="DH333" s="419">
        <f t="shared" si="320"/>
        <v>509424.07733440731</v>
      </c>
      <c r="DI333" s="100">
        <f t="shared" si="320"/>
        <v>3572429.6331261243</v>
      </c>
      <c r="DJ333" s="100">
        <f t="shared" si="320"/>
        <v>389232.77633594046</v>
      </c>
      <c r="DK333" s="100">
        <f t="shared" si="320"/>
        <v>8813.8925460125465</v>
      </c>
      <c r="DL333" s="100">
        <f t="shared" si="320"/>
        <v>396929.09326384641</v>
      </c>
      <c r="DM333" s="100">
        <f t="shared" si="320"/>
        <v>1528.4614193507853</v>
      </c>
      <c r="DN333" s="306">
        <f t="shared" si="320"/>
        <v>623229.34080443438</v>
      </c>
      <c r="DO333" s="1932">
        <f t="shared" si="282"/>
        <v>4992163.1974957082</v>
      </c>
      <c r="DP333" s="29">
        <v>266</v>
      </c>
      <c r="DQ333" s="1504">
        <v>44593</v>
      </c>
      <c r="DR333" s="19">
        <v>71553.028000000006</v>
      </c>
      <c r="DS333" s="93">
        <v>848.5</v>
      </c>
      <c r="DT333" s="93">
        <v>66395.380999999994</v>
      </c>
      <c r="DU333" s="93">
        <v>2330.125</v>
      </c>
      <c r="DV333" s="93">
        <v>38533.404999999999</v>
      </c>
      <c r="DW333" s="93">
        <v>2054</v>
      </c>
      <c r="DX333" s="20">
        <v>20012.45357142857</v>
      </c>
      <c r="DY333" s="29">
        <v>266</v>
      </c>
      <c r="DZ333" s="1504">
        <v>44593</v>
      </c>
      <c r="EA333" s="19"/>
      <c r="EB333" s="93"/>
      <c r="EC333" s="20"/>
      <c r="ED333" s="29"/>
      <c r="EE333" s="1504">
        <v>44593</v>
      </c>
      <c r="EF333" s="19">
        <f t="shared" si="307"/>
        <v>13310</v>
      </c>
      <c r="EG333" s="93">
        <f t="shared" si="308"/>
        <v>14908</v>
      </c>
      <c r="EH333" s="93">
        <f t="shared" si="309"/>
        <v>36545</v>
      </c>
      <c r="EI333" s="214">
        <f t="shared" si="310"/>
        <v>8327</v>
      </c>
      <c r="EJ333" s="93">
        <f t="shared" si="311"/>
        <v>537.10500000000002</v>
      </c>
      <c r="EK333" s="93">
        <f t="shared" si="312"/>
        <v>164.28100000000001</v>
      </c>
      <c r="EL333" s="93">
        <f t="shared" si="313"/>
        <v>8.3350000000000009</v>
      </c>
      <c r="EM333" s="93">
        <f t="shared" si="314"/>
        <v>9.532</v>
      </c>
      <c r="EN333" s="20">
        <f t="shared" si="317"/>
        <v>719.25300000000004</v>
      </c>
      <c r="EO333" s="29">
        <v>266</v>
      </c>
      <c r="EP333" s="1504">
        <v>44593</v>
      </c>
      <c r="EQ333" s="19">
        <v>12576</v>
      </c>
      <c r="ER333" s="93">
        <v>14181</v>
      </c>
      <c r="ES333" s="93">
        <f t="shared" si="315"/>
        <v>26757</v>
      </c>
      <c r="ET333" s="214">
        <v>8177</v>
      </c>
      <c r="EU333" s="93">
        <v>535.46500000000003</v>
      </c>
      <c r="EV333" s="93">
        <v>161.68100000000001</v>
      </c>
      <c r="EW333" s="93">
        <v>8.3350000000000009</v>
      </c>
      <c r="EX333" s="93">
        <v>9.532</v>
      </c>
      <c r="EY333" s="20">
        <f t="shared" si="321"/>
        <v>715.01300000000015</v>
      </c>
      <c r="EZ333" s="29">
        <v>266</v>
      </c>
      <c r="FA333" s="1504">
        <v>44593</v>
      </c>
      <c r="FB333" s="29">
        <v>734</v>
      </c>
      <c r="FC333" s="29">
        <v>727</v>
      </c>
      <c r="FD333" s="29">
        <f t="shared" si="316"/>
        <v>1461</v>
      </c>
      <c r="FE333" s="29">
        <v>150</v>
      </c>
      <c r="FF333" s="29">
        <v>1.64</v>
      </c>
      <c r="FG333" s="29">
        <v>2.6</v>
      </c>
      <c r="FH333" s="29">
        <v>0</v>
      </c>
      <c r="FI333" s="29">
        <v>0</v>
      </c>
      <c r="FJ333" s="29">
        <f t="shared" si="326"/>
        <v>4.24</v>
      </c>
      <c r="FK333" s="29">
        <v>266</v>
      </c>
      <c r="FL333" s="1504">
        <v>44593</v>
      </c>
      <c r="FM333" s="19">
        <v>114.39</v>
      </c>
      <c r="FN333" s="93">
        <v>124.88</v>
      </c>
      <c r="FO333" s="93">
        <v>138.9</v>
      </c>
      <c r="FP333" s="93">
        <v>101.57</v>
      </c>
      <c r="FQ333" s="93">
        <v>99.27</v>
      </c>
      <c r="FR333" s="93">
        <v>101.6</v>
      </c>
      <c r="FS333" s="93">
        <v>100.61</v>
      </c>
      <c r="FT333" s="93">
        <v>99.19</v>
      </c>
      <c r="FU333" s="93">
        <v>98.74</v>
      </c>
      <c r="FV333" s="93">
        <v>101.14</v>
      </c>
      <c r="FW333" s="93">
        <v>112.14</v>
      </c>
      <c r="FX333" s="93">
        <v>106.97</v>
      </c>
      <c r="FY333" s="93">
        <v>101.37</v>
      </c>
      <c r="FZ333" s="29">
        <v>266</v>
      </c>
      <c r="GA333" s="1504">
        <v>44593</v>
      </c>
      <c r="GB333" s="19">
        <v>114.39</v>
      </c>
      <c r="GC333" s="93">
        <v>103.9</v>
      </c>
      <c r="GD333" s="93">
        <v>119.76</v>
      </c>
      <c r="GE333" s="93">
        <v>94.75</v>
      </c>
      <c r="GF333" s="93">
        <v>134.32</v>
      </c>
      <c r="GG333" s="93">
        <v>108.08</v>
      </c>
      <c r="GH333" s="93">
        <v>131.34</v>
      </c>
      <c r="GI333" s="93">
        <v>106.11</v>
      </c>
      <c r="GJ333" s="93">
        <v>104.05</v>
      </c>
      <c r="GK333" s="93">
        <v>100.26</v>
      </c>
      <c r="GL333" s="93">
        <v>121.31</v>
      </c>
      <c r="GM333" s="93">
        <v>101.62</v>
      </c>
      <c r="GN333" s="20">
        <v>104.05</v>
      </c>
      <c r="GO333" s="29">
        <v>266</v>
      </c>
      <c r="GP333" s="1504">
        <v>44593</v>
      </c>
      <c r="GQ333" s="19">
        <v>354</v>
      </c>
      <c r="GR333" s="93">
        <v>288</v>
      </c>
      <c r="GS333" s="93">
        <v>290</v>
      </c>
      <c r="GT333" s="93">
        <v>289</v>
      </c>
      <c r="GU333" s="93">
        <v>430</v>
      </c>
      <c r="GV333" s="20">
        <v>906</v>
      </c>
      <c r="GW333" s="19">
        <v>626</v>
      </c>
      <c r="GX333" s="93">
        <v>684</v>
      </c>
      <c r="GY333" s="93">
        <v>579</v>
      </c>
      <c r="GZ333" s="93">
        <v>566</v>
      </c>
      <c r="HA333" s="93">
        <v>328</v>
      </c>
      <c r="HB333" s="20">
        <v>1020</v>
      </c>
      <c r="HC333" s="19">
        <v>2373</v>
      </c>
      <c r="HD333" s="93">
        <v>2926</v>
      </c>
      <c r="HE333" s="93">
        <v>2699</v>
      </c>
      <c r="HF333" s="93">
        <v>3150</v>
      </c>
      <c r="HG333" s="93">
        <v>2966</v>
      </c>
      <c r="HH333" s="20">
        <v>3346</v>
      </c>
      <c r="HI333" s="19"/>
      <c r="HJ333" s="93">
        <v>934</v>
      </c>
      <c r="HK333" s="93">
        <v>1523</v>
      </c>
      <c r="HL333" s="93">
        <v>826</v>
      </c>
      <c r="HM333" s="93">
        <v>1078</v>
      </c>
      <c r="HN333" s="20">
        <v>2245</v>
      </c>
      <c r="HO333" s="219">
        <v>202</v>
      </c>
      <c r="HP333" s="20">
        <v>84</v>
      </c>
      <c r="HQ333" s="25">
        <v>201</v>
      </c>
      <c r="HR333" s="29">
        <v>266</v>
      </c>
      <c r="HS333" s="1504">
        <v>44593</v>
      </c>
      <c r="HT333" s="19">
        <v>325.48726272583008</v>
      </c>
      <c r="HU333" s="93">
        <v>340.27778625488281</v>
      </c>
      <c r="HV333" s="93">
        <v>270.94586181640625</v>
      </c>
      <c r="HW333" s="93">
        <v>255.10203552246094</v>
      </c>
      <c r="HX333" s="93">
        <v>277.08333587646484</v>
      </c>
      <c r="HY333" s="93">
        <v>326.7437858581543</v>
      </c>
      <c r="HZ333" s="93">
        <v>282.17822265625</v>
      </c>
      <c r="IA333" s="20">
        <v>358.31101226806641</v>
      </c>
      <c r="IB333" s="19">
        <v>262.63953018188477</v>
      </c>
      <c r="IC333" s="93">
        <v>233.55263137817383</v>
      </c>
      <c r="ID333" s="93">
        <v>250</v>
      </c>
      <c r="IE333" s="93">
        <v>220.77922058105469</v>
      </c>
      <c r="IF333" s="93">
        <v>265.625</v>
      </c>
      <c r="IG333" s="20">
        <v>211.17021179199219</v>
      </c>
      <c r="IH333" s="19">
        <v>225.39682769775391</v>
      </c>
      <c r="II333" s="93">
        <v>286.88523864746094</v>
      </c>
      <c r="IJ333" s="93">
        <v>259.16519165039063</v>
      </c>
      <c r="IK333" s="93">
        <v>232.14286804199219</v>
      </c>
      <c r="IL333" s="93">
        <v>222.09505780537924</v>
      </c>
      <c r="IM333" s="93">
        <v>223.03922271728516</v>
      </c>
      <c r="IN333" s="93">
        <v>247.34982299804688</v>
      </c>
      <c r="IO333" s="20">
        <v>278.7816276550293</v>
      </c>
      <c r="IP333" s="29">
        <v>266</v>
      </c>
      <c r="IQ333" s="19">
        <v>225.25428009033203</v>
      </c>
      <c r="IR333" s="93">
        <v>188.59648895263672</v>
      </c>
      <c r="IS333" s="93">
        <v>202.58620071411133</v>
      </c>
      <c r="IT333" s="93">
        <v>195.43974304199219</v>
      </c>
      <c r="IU333" s="93">
        <v>253.16455078125</v>
      </c>
      <c r="IV333" s="20">
        <v>188.39780044555664</v>
      </c>
      <c r="IW333" s="29">
        <v>266</v>
      </c>
      <c r="IX333" s="19">
        <v>399.83341979980469</v>
      </c>
      <c r="IY333" s="93">
        <v>426.2432861328125</v>
      </c>
      <c r="IZ333" s="93"/>
      <c r="JA333" s="93">
        <v>400</v>
      </c>
      <c r="JB333" s="93">
        <v>460</v>
      </c>
      <c r="JC333" s="93">
        <v>400</v>
      </c>
      <c r="JD333" s="93">
        <v>390</v>
      </c>
      <c r="JE333" s="20"/>
      <c r="JF333" s="29">
        <v>266</v>
      </c>
      <c r="JG333" s="19">
        <v>263.00938415527344</v>
      </c>
      <c r="JH333" s="93">
        <v>307.37704467773438</v>
      </c>
      <c r="JI333" s="93">
        <v>244.25412368774414</v>
      </c>
      <c r="JJ333" s="93">
        <v>231.70732498168945</v>
      </c>
      <c r="JK333" s="93">
        <v>231.48147583007813</v>
      </c>
      <c r="JL333" s="93">
        <v>251.51822280883789</v>
      </c>
      <c r="JM333" s="93">
        <v>231.02310562133789</v>
      </c>
      <c r="JN333" s="20">
        <v>285.2302680015564</v>
      </c>
      <c r="JO333" s="29">
        <v>266</v>
      </c>
      <c r="JP333" s="19">
        <v>218.69816589355469</v>
      </c>
      <c r="JQ333" s="93">
        <v>187.5</v>
      </c>
      <c r="JR333" s="93">
        <v>199.19355010986328</v>
      </c>
      <c r="JS333" s="93">
        <v>174.75729370117188</v>
      </c>
      <c r="JT333" s="93">
        <v>233.64485168457031</v>
      </c>
      <c r="JU333" s="20">
        <v>185.92105102539063</v>
      </c>
      <c r="JV333" s="29">
        <v>266</v>
      </c>
      <c r="JW333" s="1504">
        <v>44593</v>
      </c>
      <c r="JX333" s="19"/>
      <c r="JY333" s="93"/>
      <c r="JZ333" s="93"/>
      <c r="KA333" s="93"/>
      <c r="KB333" s="93"/>
      <c r="KC333" s="93"/>
      <c r="KD333" s="20"/>
      <c r="KE333" s="29"/>
      <c r="KF333" s="19"/>
      <c r="KG333" s="93"/>
      <c r="KH333" s="93"/>
      <c r="KI333" s="93"/>
      <c r="KJ333" s="93"/>
      <c r="KK333" s="20"/>
      <c r="KL333" s="29"/>
      <c r="KM333" s="19"/>
      <c r="KN333" s="93"/>
      <c r="KO333" s="93"/>
      <c r="KP333" s="93"/>
      <c r="KQ333" s="93"/>
      <c r="KR333" s="20"/>
      <c r="KS333" s="29"/>
      <c r="KT333" s="19"/>
      <c r="KU333" s="93"/>
      <c r="KV333" s="93"/>
      <c r="KW333" s="93"/>
      <c r="KX333" s="93"/>
      <c r="KY333" s="20"/>
      <c r="KZ333" s="29"/>
      <c r="LA333" s="1504">
        <v>44593</v>
      </c>
      <c r="LB333" s="19"/>
      <c r="LC333" s="93"/>
      <c r="LD333" s="93"/>
      <c r="LE333" s="93"/>
      <c r="LF333" s="93"/>
      <c r="LG333" s="93"/>
      <c r="LH333" s="20"/>
      <c r="LI333" s="29"/>
      <c r="LJ333" s="19"/>
      <c r="LK333" s="93"/>
      <c r="LL333" s="93"/>
      <c r="LM333" s="93"/>
      <c r="LN333" s="93"/>
      <c r="LO333" s="20"/>
      <c r="LP333" s="29"/>
      <c r="LQ333" s="19"/>
      <c r="LR333" s="93">
        <v>188</v>
      </c>
      <c r="LS333" s="93">
        <v>463</v>
      </c>
      <c r="LT333" s="93">
        <v>663</v>
      </c>
      <c r="LU333" s="93">
        <v>1104</v>
      </c>
      <c r="LV333" s="93"/>
      <c r="LW333" s="93">
        <v>5</v>
      </c>
      <c r="LX333" s="93">
        <v>10</v>
      </c>
      <c r="LY333" s="93">
        <v>60</v>
      </c>
      <c r="LZ333" s="93"/>
      <c r="MA333" s="20"/>
      <c r="MB333" s="29">
        <v>266</v>
      </c>
      <c r="MC333" s="1504">
        <v>44593</v>
      </c>
      <c r="MD333" s="19">
        <v>327.02041807868994</v>
      </c>
      <c r="ME333" s="93">
        <v>322.81526859406677</v>
      </c>
      <c r="MF333" s="93">
        <v>322.81526859406677</v>
      </c>
      <c r="MG333" s="93">
        <v>299.31890552406668</v>
      </c>
      <c r="MH333" s="93">
        <v>119.158553106</v>
      </c>
      <c r="MI333" s="93">
        <v>3.2459901749999998</v>
      </c>
      <c r="MJ333" s="93">
        <v>7.8254398576666668</v>
      </c>
      <c r="MK333" s="93">
        <v>132.31122144239998</v>
      </c>
      <c r="ML333" s="93">
        <v>36.597658167000006</v>
      </c>
      <c r="MM333" s="93">
        <v>0.18004277599999999</v>
      </c>
      <c r="MN333" s="93">
        <v>23.496363070000001</v>
      </c>
      <c r="MO333" s="93">
        <v>0.83980767999999995</v>
      </c>
      <c r="MP333" s="93">
        <v>7.5873369460000015</v>
      </c>
      <c r="MQ333" s="93">
        <v>0.28728463800000004</v>
      </c>
      <c r="MR333" s="93">
        <v>0.5850557930000001</v>
      </c>
      <c r="MS333" s="93">
        <v>14.196878013000001</v>
      </c>
      <c r="MT333" s="93">
        <v>0</v>
      </c>
      <c r="MU333" s="93">
        <v>4.2051494846231998</v>
      </c>
      <c r="MV333" s="93">
        <v>4.2051494846231998</v>
      </c>
      <c r="MW333" s="93">
        <v>0</v>
      </c>
      <c r="MX333" s="93">
        <v>287.48361460949542</v>
      </c>
      <c r="MY333" s="93">
        <v>292.87587444349538</v>
      </c>
      <c r="MZ333" s="93">
        <v>260.44800710501215</v>
      </c>
      <c r="NA333" s="93">
        <v>160.71212303166666</v>
      </c>
      <c r="NB333" s="93">
        <v>6.6709211990000004</v>
      </c>
      <c r="NC333" s="93">
        <v>27.250188772345521</v>
      </c>
      <c r="ND333" s="93">
        <v>24.591753939</v>
      </c>
      <c r="NE333" s="93">
        <v>2.6584348333455203</v>
      </c>
      <c r="NF333" s="93">
        <v>65.814774102000001</v>
      </c>
      <c r="NG333" s="93">
        <v>0</v>
      </c>
      <c r="NH333" s="93">
        <v>16.532733749999998</v>
      </c>
      <c r="NI333" s="93">
        <v>0</v>
      </c>
      <c r="NJ333" s="93">
        <v>0</v>
      </c>
      <c r="NK333" s="93">
        <v>32.427867338483196</v>
      </c>
      <c r="NL333" s="93">
        <v>8.1815747349999999</v>
      </c>
      <c r="NM333" s="93">
        <v>0</v>
      </c>
      <c r="NN333" s="93">
        <v>24.246292603483202</v>
      </c>
      <c r="NO333" s="93">
        <v>-5.3922598340000052</v>
      </c>
      <c r="NP333" s="93">
        <v>39.536803469194503</v>
      </c>
      <c r="NQ333" s="93">
        <v>35.331653984571311</v>
      </c>
      <c r="NR333" s="93">
        <v>86.82813536040004</v>
      </c>
      <c r="NS333" s="93">
        <v>59.577946588054509</v>
      </c>
      <c r="NT333" s="93">
        <v>-109.17414748280551</v>
      </c>
      <c r="NU333" s="93">
        <v>-113.3792969674287</v>
      </c>
      <c r="NV333" s="93">
        <v>108.84278645062828</v>
      </c>
      <c r="NW333" s="93">
        <v>15.521059614628255</v>
      </c>
      <c r="NX333" s="93">
        <v>20.665542148859998</v>
      </c>
      <c r="NY333" s="93">
        <v>-5.1444825342317442</v>
      </c>
      <c r="NZ333" s="93">
        <v>0</v>
      </c>
      <c r="OA333" s="93">
        <v>93.321726836000011</v>
      </c>
      <c r="OB333" s="93">
        <v>49.697660836000011</v>
      </c>
      <c r="OC333" s="93">
        <v>43.624065999999999</v>
      </c>
      <c r="OD333" s="19">
        <v>0.33136103217723223</v>
      </c>
      <c r="OE333" s="29">
        <v>266</v>
      </c>
      <c r="OF333" s="1504">
        <v>44593</v>
      </c>
      <c r="OG333" s="19"/>
      <c r="OH333" s="93">
        <v>807.37070134200007</v>
      </c>
      <c r="OI333" s="93">
        <v>2526.7033283820001</v>
      </c>
      <c r="OJ333" s="93">
        <v>0.83181715199999995</v>
      </c>
      <c r="OK333" s="93">
        <v>2224.2710000000002</v>
      </c>
      <c r="OL333" s="93">
        <v>301.60051123</v>
      </c>
      <c r="OM333" s="93">
        <v>3334.074029724</v>
      </c>
      <c r="ON333" s="93">
        <v>2098.8941083189998</v>
      </c>
      <c r="OO333" s="93">
        <v>5432.9681380429993</v>
      </c>
      <c r="OP333" s="93"/>
      <c r="OQ333" s="93">
        <v>2320.5318769280002</v>
      </c>
      <c r="OR333" s="93">
        <v>258.39987692800003</v>
      </c>
      <c r="OS333" s="93">
        <v>2062.1320000000001</v>
      </c>
      <c r="OT333" s="93">
        <v>3753.6763490879998</v>
      </c>
      <c r="OU333" s="93">
        <v>199.05473839299989</v>
      </c>
      <c r="OV333" s="93">
        <v>56.502738392999994</v>
      </c>
      <c r="OW333" s="93">
        <v>142.55199999999991</v>
      </c>
      <c r="OX333" s="93">
        <v>3554.6216106950001</v>
      </c>
      <c r="OY333" s="93">
        <v>8.2106106949999997</v>
      </c>
      <c r="OZ333" s="93">
        <v>3546.4110000000001</v>
      </c>
      <c r="PA333" s="93">
        <v>1032.1833925619999</v>
      </c>
      <c r="PB333" s="93">
        <v>-390.94330458899987</v>
      </c>
      <c r="PC333" s="20">
        <v>5432.9681380430011</v>
      </c>
      <c r="PD333" s="29">
        <v>266</v>
      </c>
      <c r="PE333" s="19"/>
      <c r="PF333" s="93">
        <v>258.39987692800003</v>
      </c>
      <c r="PG333" s="93">
        <v>963.51743615200007</v>
      </c>
      <c r="PH333" s="93">
        <v>705.11755922400005</v>
      </c>
      <c r="PI333" s="93">
        <v>1022.38697815</v>
      </c>
      <c r="PJ333" s="93">
        <v>63.067940730999993</v>
      </c>
      <c r="PK333" s="93">
        <v>290.01115518699999</v>
      </c>
      <c r="PL333" s="93">
        <v>226.94321445599999</v>
      </c>
      <c r="PM333" s="93">
        <v>8.2106106949999997</v>
      </c>
      <c r="PN333" s="93">
        <v>3.1</v>
      </c>
      <c r="PO333" s="93">
        <v>0</v>
      </c>
      <c r="PP333" s="93">
        <v>0</v>
      </c>
      <c r="PQ333" s="93">
        <v>5.1106106950000001</v>
      </c>
      <c r="PR333" s="93">
        <v>1356.2095992540001</v>
      </c>
      <c r="PS333" s="93">
        <v>915.58690367999998</v>
      </c>
      <c r="PT333" s="93">
        <v>439.45777010299997</v>
      </c>
      <c r="PU333" s="93">
        <v>1.1649254709999999</v>
      </c>
      <c r="PV333" s="93">
        <v>0</v>
      </c>
      <c r="PW333" s="93">
        <v>0.88440818300000001</v>
      </c>
      <c r="PX333" s="93">
        <v>0</v>
      </c>
      <c r="PY333" s="93">
        <v>0</v>
      </c>
      <c r="PZ333" s="93">
        <v>0.88440818300000001</v>
      </c>
      <c r="QA333" s="93">
        <v>0</v>
      </c>
      <c r="QB333" s="93">
        <v>0</v>
      </c>
      <c r="QC333" s="93">
        <v>0</v>
      </c>
      <c r="QD333" s="93">
        <v>1.8279843790000001</v>
      </c>
      <c r="QE333" s="20">
        <v>-6.856585312</v>
      </c>
      <c r="QF333" s="1739">
        <v>266</v>
      </c>
      <c r="QG333" s="19"/>
      <c r="QH333" s="93">
        <v>2062.1320000000001</v>
      </c>
      <c r="QI333" s="93">
        <v>2469.2269999999999</v>
      </c>
      <c r="QJ333" s="93">
        <v>-407.09499999999997</v>
      </c>
      <c r="QK333" s="93">
        <v>481.06</v>
      </c>
      <c r="QL333" s="93">
        <v>101.651</v>
      </c>
      <c r="QM333" s="93">
        <v>379.40899999999999</v>
      </c>
      <c r="QN333" s="93">
        <v>0</v>
      </c>
      <c r="QO333" s="93">
        <v>142.55199999999991</v>
      </c>
      <c r="QP333" s="93">
        <v>903.03</v>
      </c>
      <c r="QQ333" s="93">
        <v>-760.47800000000007</v>
      </c>
      <c r="QR333" s="93">
        <v>3546.4110000000001</v>
      </c>
      <c r="QS333" s="93">
        <v>37.883999999999993</v>
      </c>
      <c r="QT333" s="93">
        <v>0.02</v>
      </c>
      <c r="QU333" s="93">
        <v>293.44900000000001</v>
      </c>
      <c r="QV333" s="93">
        <v>3215.058</v>
      </c>
      <c r="QW333" s="93"/>
      <c r="QX333" s="93">
        <v>1017.9010000000001</v>
      </c>
      <c r="QY333" s="93">
        <v>2224.2710000000002</v>
      </c>
      <c r="QZ333" s="93">
        <v>2098.5610000000001</v>
      </c>
      <c r="RA333" s="93">
        <v>0</v>
      </c>
      <c r="RB333" s="93">
        <v>236.13900000000001</v>
      </c>
      <c r="RC333" s="93">
        <v>0</v>
      </c>
      <c r="RD333" s="93">
        <v>48.011000000000003</v>
      </c>
      <c r="RE333" s="93">
        <v>0</v>
      </c>
      <c r="RF333" s="93">
        <v>0</v>
      </c>
      <c r="RG333" s="93">
        <v>745.32099999999991</v>
      </c>
      <c r="RH333" s="93">
        <v>-138.04899999999998</v>
      </c>
      <c r="RI333" s="93"/>
      <c r="RJ333" s="93"/>
      <c r="RK333" s="93"/>
      <c r="RL333" s="93"/>
      <c r="RM333" s="20"/>
      <c r="RN333" s="29">
        <v>266</v>
      </c>
      <c r="RO333" s="19">
        <v>186</v>
      </c>
      <c r="RP333" s="20">
        <v>63</v>
      </c>
      <c r="RQ333" s="29">
        <v>266</v>
      </c>
      <c r="RR333" s="20">
        <v>4.0791040000000001</v>
      </c>
      <c r="RS333" s="29">
        <v>266</v>
      </c>
      <c r="RT333" s="1504">
        <v>44593</v>
      </c>
      <c r="RU333" s="19">
        <v>1443</v>
      </c>
      <c r="RV333" s="20">
        <v>44</v>
      </c>
      <c r="RW333" s="29">
        <v>266</v>
      </c>
      <c r="RX333" s="1504">
        <v>44593</v>
      </c>
      <c r="RY333" s="29"/>
      <c r="RZ333" s="20"/>
      <c r="SA333" s="29"/>
      <c r="SB333" s="29"/>
    </row>
    <row r="334" spans="1:496">
      <c r="A334" s="41">
        <f t="shared" si="238"/>
        <v>2022</v>
      </c>
      <c r="B334" s="1504">
        <v>44621</v>
      </c>
      <c r="C334" s="1813">
        <v>1840</v>
      </c>
      <c r="D334" s="1814">
        <v>29925</v>
      </c>
      <c r="E334" s="1814">
        <v>53</v>
      </c>
      <c r="F334" s="1815"/>
      <c r="G334" s="1814">
        <v>81342</v>
      </c>
      <c r="H334" s="1814">
        <v>9</v>
      </c>
      <c r="I334" s="1814">
        <v>22634</v>
      </c>
      <c r="J334" s="1816">
        <v>21781</v>
      </c>
      <c r="K334" s="1807">
        <f t="shared" si="322"/>
        <v>157584</v>
      </c>
      <c r="L334" s="25">
        <v>267</v>
      </c>
      <c r="M334" s="97"/>
      <c r="N334" s="1504">
        <v>44621</v>
      </c>
      <c r="O334" s="19">
        <v>1324</v>
      </c>
      <c r="P334" s="93">
        <v>1170</v>
      </c>
      <c r="Q334" s="93">
        <v>10007</v>
      </c>
      <c r="R334" s="93">
        <v>4336</v>
      </c>
      <c r="S334" s="93">
        <v>1853</v>
      </c>
      <c r="T334" s="93">
        <v>751</v>
      </c>
      <c r="U334" s="93">
        <v>378</v>
      </c>
      <c r="V334" s="93">
        <v>1686</v>
      </c>
      <c r="W334" s="93">
        <v>4681</v>
      </c>
      <c r="X334" s="93">
        <v>900</v>
      </c>
      <c r="Y334" s="93">
        <v>552</v>
      </c>
      <c r="Z334" s="93">
        <v>1031</v>
      </c>
      <c r="AA334" s="93">
        <v>1256</v>
      </c>
      <c r="AB334" s="20">
        <f t="shared" si="327"/>
        <v>29925</v>
      </c>
      <c r="AC334" s="25">
        <v>267</v>
      </c>
      <c r="AD334" s="97"/>
      <c r="AE334" s="1504">
        <v>44621</v>
      </c>
      <c r="AF334" s="19">
        <v>2601</v>
      </c>
      <c r="AG334" s="93">
        <v>764</v>
      </c>
      <c r="AH334" s="93">
        <v>3640</v>
      </c>
      <c r="AI334" s="93">
        <v>2875</v>
      </c>
      <c r="AJ334" s="93">
        <v>2511</v>
      </c>
      <c r="AK334" s="93">
        <v>1521</v>
      </c>
      <c r="AL334" s="93">
        <v>786</v>
      </c>
      <c r="AM334" s="93">
        <v>1576</v>
      </c>
      <c r="AN334" s="93">
        <v>1668</v>
      </c>
      <c r="AO334" s="93">
        <v>1188</v>
      </c>
      <c r="AP334" s="93">
        <v>1156</v>
      </c>
      <c r="AQ334" s="93">
        <v>1116</v>
      </c>
      <c r="AR334" s="93">
        <v>1232</v>
      </c>
      <c r="AS334" s="132">
        <f t="shared" si="323"/>
        <v>22634</v>
      </c>
      <c r="AT334" s="25">
        <v>267</v>
      </c>
      <c r="AU334" s="97"/>
      <c r="AV334" s="1504">
        <v>44621</v>
      </c>
      <c r="AW334" s="19">
        <v>9211</v>
      </c>
      <c r="AX334" s="93">
        <v>3135</v>
      </c>
      <c r="AY334" s="93">
        <v>3111</v>
      </c>
      <c r="AZ334" s="93">
        <v>8391</v>
      </c>
      <c r="BA334" s="93">
        <v>7592</v>
      </c>
      <c r="BB334" s="93">
        <v>7118</v>
      </c>
      <c r="BC334" s="93">
        <v>3608</v>
      </c>
      <c r="BD334" s="93">
        <v>8709</v>
      </c>
      <c r="BE334" s="93">
        <v>10119</v>
      </c>
      <c r="BF334" s="93">
        <v>4191</v>
      </c>
      <c r="BG334" s="93">
        <v>4424</v>
      </c>
      <c r="BH334" s="93">
        <v>6056</v>
      </c>
      <c r="BI334" s="93">
        <v>5677</v>
      </c>
      <c r="BJ334" s="132">
        <f t="shared" si="324"/>
        <v>81342</v>
      </c>
      <c r="BK334" s="25">
        <v>267</v>
      </c>
      <c r="BL334" s="97"/>
      <c r="BM334" s="1504">
        <v>44621</v>
      </c>
      <c r="BN334" s="733">
        <v>101.2</v>
      </c>
      <c r="BO334" s="570">
        <v>1645.9</v>
      </c>
      <c r="BP334" s="570">
        <v>10.6</v>
      </c>
      <c r="BQ334" s="570">
        <v>732.1</v>
      </c>
      <c r="BR334" s="570">
        <v>1.6</v>
      </c>
      <c r="BS334" s="570">
        <v>226.3</v>
      </c>
      <c r="BT334" s="570">
        <v>609.9</v>
      </c>
      <c r="BU334" s="132">
        <f t="shared" si="325"/>
        <v>3327.6000000000004</v>
      </c>
      <c r="BV334" s="25">
        <v>267</v>
      </c>
      <c r="BW334" s="97"/>
      <c r="BX334" s="1504">
        <v>44621</v>
      </c>
      <c r="BY334" s="19">
        <v>595.45839999999998</v>
      </c>
      <c r="BZ334" s="93">
        <v>655.95699999999999</v>
      </c>
      <c r="CA334" s="93">
        <v>640.55830000000003</v>
      </c>
      <c r="CB334" s="93">
        <v>39.835954000000001</v>
      </c>
      <c r="CC334" s="93">
        <v>82.333939000000001</v>
      </c>
      <c r="CD334" s="25">
        <v>267</v>
      </c>
      <c r="CE334" s="97"/>
      <c r="CF334" s="1504">
        <v>44621</v>
      </c>
      <c r="CG334" s="19">
        <v>3.1113802060000002</v>
      </c>
      <c r="CH334" s="93">
        <v>1947.83</v>
      </c>
      <c r="CI334" s="219">
        <v>112.39666666667</v>
      </c>
      <c r="CJ334" s="20">
        <v>115.59</v>
      </c>
      <c r="CK334" s="19">
        <v>407.13</v>
      </c>
      <c r="CL334" s="93">
        <v>335.52952720000002</v>
      </c>
      <c r="CM334" s="93">
        <v>0.41998011000000002</v>
      </c>
      <c r="CN334" s="93">
        <v>0.35983646400000002</v>
      </c>
      <c r="CO334" s="93">
        <v>486.3</v>
      </c>
      <c r="CP334" s="20">
        <v>6.2486646969999997</v>
      </c>
      <c r="CQ334" s="219">
        <v>2153.15</v>
      </c>
      <c r="CR334" s="93">
        <v>2.5350000000000001</v>
      </c>
      <c r="CS334" s="93">
        <v>2.1217000000000001</v>
      </c>
      <c r="CT334" s="93">
        <v>178.75</v>
      </c>
      <c r="CU334" s="93">
        <v>152.07</v>
      </c>
      <c r="CV334" s="214">
        <v>3962.21</v>
      </c>
      <c r="CW334" s="29">
        <v>267</v>
      </c>
      <c r="CX334" s="41">
        <f t="shared" si="319"/>
        <v>2022</v>
      </c>
      <c r="CY334" s="1504">
        <v>44621</v>
      </c>
      <c r="CZ334" s="19"/>
      <c r="DA334" s="93"/>
      <c r="DB334" s="93"/>
      <c r="DC334" s="93"/>
      <c r="DD334" s="93"/>
      <c r="DE334" s="20"/>
      <c r="DF334" s="29"/>
      <c r="DG334" s="1504">
        <v>44621</v>
      </c>
      <c r="DH334" s="419">
        <f t="shared" si="320"/>
        <v>513598.73280074878</v>
      </c>
      <c r="DI334" s="100">
        <f t="shared" si="320"/>
        <v>3424405.8414685507</v>
      </c>
      <c r="DJ334" s="100">
        <f t="shared" si="320"/>
        <v>403912.69530348957</v>
      </c>
      <c r="DK334" s="100">
        <f t="shared" si="320"/>
        <v>8072.8502924143377</v>
      </c>
      <c r="DL334" s="100">
        <f t="shared" si="320"/>
        <v>383019.38854783197</v>
      </c>
      <c r="DM334" s="100">
        <f t="shared" si="320"/>
        <v>1288.8489066069606</v>
      </c>
      <c r="DN334" s="306">
        <f t="shared" si="320"/>
        <v>554386.40950146434</v>
      </c>
      <c r="DO334" s="1932">
        <f t="shared" si="282"/>
        <v>4775086.0340203578</v>
      </c>
      <c r="DP334" s="29">
        <v>267</v>
      </c>
      <c r="DQ334" s="1504">
        <v>44621</v>
      </c>
      <c r="DR334" s="19">
        <v>86777.1</v>
      </c>
      <c r="DS334" s="93">
        <v>748</v>
      </c>
      <c r="DT334" s="93">
        <v>71352.759000000005</v>
      </c>
      <c r="DU334" s="93">
        <v>4912.1710000000003</v>
      </c>
      <c r="DV334" s="93">
        <v>38742.887000000002</v>
      </c>
      <c r="DW334" s="93">
        <v>2705</v>
      </c>
      <c r="DX334" s="20">
        <v>22430.919642857141</v>
      </c>
      <c r="DY334" s="29">
        <v>267</v>
      </c>
      <c r="DZ334" s="1504">
        <v>44621</v>
      </c>
      <c r="EA334" s="19"/>
      <c r="EB334" s="93"/>
      <c r="EC334" s="20"/>
      <c r="ED334" s="29"/>
      <c r="EE334" s="1504">
        <v>44621</v>
      </c>
      <c r="EF334" s="19">
        <f t="shared" si="307"/>
        <v>15001</v>
      </c>
      <c r="EG334" s="93">
        <f t="shared" si="308"/>
        <v>18010</v>
      </c>
      <c r="EH334" s="93">
        <f t="shared" si="309"/>
        <v>42692</v>
      </c>
      <c r="EI334" s="214">
        <f t="shared" si="310"/>
        <v>9681</v>
      </c>
      <c r="EJ334" s="93">
        <f t="shared" si="311"/>
        <v>613.87400000000002</v>
      </c>
      <c r="EK334" s="93">
        <f t="shared" si="312"/>
        <v>185.26300000000001</v>
      </c>
      <c r="EL334" s="93">
        <f t="shared" si="313"/>
        <v>5.1180000000000003</v>
      </c>
      <c r="EM334" s="93">
        <f t="shared" si="314"/>
        <v>13.074</v>
      </c>
      <c r="EN334" s="20">
        <f t="shared" si="317"/>
        <v>817.32900000000006</v>
      </c>
      <c r="EO334" s="29">
        <v>267</v>
      </c>
      <c r="EP334" s="1504">
        <v>44621</v>
      </c>
      <c r="EQ334" s="19">
        <v>14122</v>
      </c>
      <c r="ER334" s="93">
        <v>17094</v>
      </c>
      <c r="ES334" s="93">
        <f t="shared" si="315"/>
        <v>31216</v>
      </c>
      <c r="ET334" s="214">
        <v>9474</v>
      </c>
      <c r="EU334" s="93">
        <v>613.87400000000002</v>
      </c>
      <c r="EV334" s="93">
        <v>185.26300000000001</v>
      </c>
      <c r="EW334" s="93">
        <v>5.1180000000000003</v>
      </c>
      <c r="EX334" s="93">
        <v>13.074</v>
      </c>
      <c r="EY334" s="20">
        <f t="shared" si="321"/>
        <v>817.32900000000006</v>
      </c>
      <c r="EZ334" s="29">
        <v>267</v>
      </c>
      <c r="FA334" s="1504">
        <v>44621</v>
      </c>
      <c r="FB334" s="29">
        <v>879</v>
      </c>
      <c r="FC334" s="29">
        <v>916</v>
      </c>
      <c r="FD334" s="29">
        <f t="shared" si="316"/>
        <v>1795</v>
      </c>
      <c r="FE334" s="29">
        <v>207</v>
      </c>
      <c r="FF334" s="29">
        <v>0</v>
      </c>
      <c r="FG334" s="29">
        <v>0</v>
      </c>
      <c r="FH334" s="29">
        <v>0</v>
      </c>
      <c r="FI334" s="29">
        <v>0</v>
      </c>
      <c r="FJ334" s="29">
        <f t="shared" si="326"/>
        <v>0</v>
      </c>
      <c r="FK334" s="29">
        <v>267</v>
      </c>
      <c r="FL334" s="1504">
        <v>44621</v>
      </c>
      <c r="FM334" s="19">
        <v>118.64</v>
      </c>
      <c r="FN334" s="93">
        <v>133.18</v>
      </c>
      <c r="FO334" s="93">
        <v>135.80000000000001</v>
      </c>
      <c r="FP334" s="93">
        <v>101.57</v>
      </c>
      <c r="FQ334" s="93">
        <v>98.42</v>
      </c>
      <c r="FR334" s="93">
        <v>101.6</v>
      </c>
      <c r="FS334" s="93">
        <v>100.61</v>
      </c>
      <c r="FT334" s="93">
        <v>99.19</v>
      </c>
      <c r="FU334" s="93">
        <v>98.74</v>
      </c>
      <c r="FV334" s="93">
        <v>101.14</v>
      </c>
      <c r="FW334" s="93">
        <v>112.14</v>
      </c>
      <c r="FX334" s="93">
        <v>106.91</v>
      </c>
      <c r="FY334" s="93">
        <v>101.37</v>
      </c>
      <c r="FZ334" s="29">
        <v>267</v>
      </c>
      <c r="GA334" s="1504">
        <v>44621</v>
      </c>
      <c r="GB334" s="19">
        <v>118.64</v>
      </c>
      <c r="GC334" s="93">
        <v>104.5</v>
      </c>
      <c r="GD334" s="93">
        <v>125.39</v>
      </c>
      <c r="GE334" s="93">
        <v>93.92</v>
      </c>
      <c r="GF334" s="93">
        <v>145.58000000000001</v>
      </c>
      <c r="GG334" s="93">
        <v>109.17</v>
      </c>
      <c r="GH334" s="93">
        <v>140.96</v>
      </c>
      <c r="GI334" s="93">
        <v>106.44</v>
      </c>
      <c r="GJ334" s="93">
        <v>104.05</v>
      </c>
      <c r="GK334" s="93">
        <v>100.26</v>
      </c>
      <c r="GL334" s="93">
        <v>127.46</v>
      </c>
      <c r="GM334" s="93">
        <v>101.65</v>
      </c>
      <c r="GN334" s="20">
        <v>104.05</v>
      </c>
      <c r="GO334" s="29">
        <v>267</v>
      </c>
      <c r="GP334" s="1504">
        <v>44621</v>
      </c>
      <c r="GQ334" s="19">
        <v>390</v>
      </c>
      <c r="GR334" s="93">
        <v>322</v>
      </c>
      <c r="GS334" s="93">
        <v>293</v>
      </c>
      <c r="GT334" s="93">
        <v>286</v>
      </c>
      <c r="GU334" s="93">
        <v>428</v>
      </c>
      <c r="GV334" s="20">
        <v>1022</v>
      </c>
      <c r="GW334" s="19">
        <v>638</v>
      </c>
      <c r="GX334" s="93">
        <v>684</v>
      </c>
      <c r="GY334" s="93">
        <v>517</v>
      </c>
      <c r="GZ334" s="93">
        <v>454</v>
      </c>
      <c r="HA334" s="93">
        <v>305</v>
      </c>
      <c r="HB334" s="20">
        <v>943</v>
      </c>
      <c r="HC334" s="19">
        <v>2604</v>
      </c>
      <c r="HD334" s="93">
        <v>2966</v>
      </c>
      <c r="HE334" s="93">
        <v>2874</v>
      </c>
      <c r="HF334" s="93">
        <v>3150</v>
      </c>
      <c r="HG334" s="93">
        <v>2899</v>
      </c>
      <c r="HH334" s="20">
        <v>3321</v>
      </c>
      <c r="HI334" s="19"/>
      <c r="HJ334" s="93">
        <v>919</v>
      </c>
      <c r="HK334" s="93">
        <v>1645</v>
      </c>
      <c r="HL334" s="93">
        <v>882</v>
      </c>
      <c r="HM334" s="93">
        <v>1096</v>
      </c>
      <c r="HN334" s="20">
        <v>2372</v>
      </c>
      <c r="HO334" s="219">
        <v>212</v>
      </c>
      <c r="HP334" s="20">
        <v>78</v>
      </c>
      <c r="HQ334" s="25">
        <v>207</v>
      </c>
      <c r="HR334" s="29">
        <v>267</v>
      </c>
      <c r="HS334" s="1504">
        <v>44621</v>
      </c>
      <c r="HT334" s="19">
        <v>394.73987197875977</v>
      </c>
      <c r="HU334" s="93">
        <v>395.83333587646484</v>
      </c>
      <c r="HV334" s="93">
        <v>329.77759552001953</v>
      </c>
      <c r="HW334" s="93">
        <v>255.10203552246094</v>
      </c>
      <c r="HX334" s="93">
        <v>320.0000061035156</v>
      </c>
      <c r="HY334" s="93">
        <v>353.70625305175781</v>
      </c>
      <c r="HZ334" s="93">
        <v>340.07260131835938</v>
      </c>
      <c r="IA334" s="20">
        <v>409.56693649291992</v>
      </c>
      <c r="IB334" s="19">
        <v>297.39339599609377</v>
      </c>
      <c r="IC334" s="93">
        <v>256.57894897460938</v>
      </c>
      <c r="ID334" s="93">
        <v>285.71429443359375</v>
      </c>
      <c r="IE334" s="93">
        <v>231.33117294311523</v>
      </c>
      <c r="IF334" s="93">
        <v>321.41767578125001</v>
      </c>
      <c r="IG334" s="20">
        <v>262.63298416137695</v>
      </c>
      <c r="IH334" s="19">
        <v>239.48412704467773</v>
      </c>
      <c r="II334" s="93">
        <v>314.2076416015625</v>
      </c>
      <c r="IJ334" s="93">
        <v>291.59776306152344</v>
      </c>
      <c r="IK334" s="93">
        <v>257.14286193847659</v>
      </c>
      <c r="IL334" s="93">
        <v>246.22083473205566</v>
      </c>
      <c r="IM334" s="93">
        <v>243.79085388183594</v>
      </c>
      <c r="IN334" s="93">
        <v>272.394775390625</v>
      </c>
      <c r="IO334" s="20">
        <v>299.32193374633789</v>
      </c>
      <c r="IP334" s="29">
        <v>267</v>
      </c>
      <c r="IQ334" s="19">
        <v>240.17991333007814</v>
      </c>
      <c r="IR334" s="93">
        <v>194.44444274902344</v>
      </c>
      <c r="IS334" s="93">
        <v>220.68964843750001</v>
      </c>
      <c r="IT334" s="93">
        <v>190.55374908447266</v>
      </c>
      <c r="IU334" s="93">
        <v>254.96727905273437</v>
      </c>
      <c r="IV334" s="20">
        <v>221.13259887695313</v>
      </c>
      <c r="IW334" s="29">
        <v>267</v>
      </c>
      <c r="IX334" s="19">
        <v>408.86372680664061</v>
      </c>
      <c r="IY334" s="93">
        <v>415.99462890625</v>
      </c>
      <c r="IZ334" s="93">
        <v>450</v>
      </c>
      <c r="JA334" s="93">
        <v>400</v>
      </c>
      <c r="JB334" s="93">
        <v>460</v>
      </c>
      <c r="JC334" s="93">
        <v>412.5</v>
      </c>
      <c r="JD334" s="93">
        <v>430</v>
      </c>
      <c r="JE334" s="20">
        <v>450</v>
      </c>
      <c r="JF334" s="29">
        <v>267</v>
      </c>
      <c r="JG334" s="19">
        <v>302.85499954223633</v>
      </c>
      <c r="JH334" s="93">
        <v>362.0218505859375</v>
      </c>
      <c r="JI334" s="93">
        <v>282.39202880859375</v>
      </c>
      <c r="JJ334" s="93">
        <v>234.14635009765624</v>
      </c>
      <c r="JK334" s="93">
        <v>257.57575378417971</v>
      </c>
      <c r="JL334" s="93">
        <v>289.92771530151367</v>
      </c>
      <c r="JM334" s="93">
        <v>276.910888671875</v>
      </c>
      <c r="JN334" s="20">
        <v>427.86300786336261</v>
      </c>
      <c r="JO334" s="29">
        <v>267</v>
      </c>
      <c r="JP334" s="19">
        <v>231.05289916992189</v>
      </c>
      <c r="JQ334" s="93">
        <v>206.25</v>
      </c>
      <c r="JR334" s="93">
        <v>248.38709716796876</v>
      </c>
      <c r="JS334" s="93">
        <v>190.12945556640625</v>
      </c>
      <c r="JT334" s="93">
        <v>267.58785705566407</v>
      </c>
      <c r="JU334" s="20">
        <v>218.81579208374023</v>
      </c>
      <c r="JV334" s="29">
        <v>267</v>
      </c>
      <c r="JW334" s="1504">
        <v>44621</v>
      </c>
      <c r="JX334" s="19"/>
      <c r="JY334" s="93"/>
      <c r="JZ334" s="93"/>
      <c r="KA334" s="93"/>
      <c r="KB334" s="93"/>
      <c r="KC334" s="93"/>
      <c r="KD334" s="20"/>
      <c r="KE334" s="29"/>
      <c r="KF334" s="19"/>
      <c r="KG334" s="93"/>
      <c r="KH334" s="93"/>
      <c r="KI334" s="93"/>
      <c r="KJ334" s="93"/>
      <c r="KK334" s="20"/>
      <c r="KL334" s="29"/>
      <c r="KM334" s="19"/>
      <c r="KN334" s="93"/>
      <c r="KO334" s="93"/>
      <c r="KP334" s="93"/>
      <c r="KQ334" s="93"/>
      <c r="KR334" s="20"/>
      <c r="KS334" s="29"/>
      <c r="KT334" s="19"/>
      <c r="KU334" s="93"/>
      <c r="KV334" s="93"/>
      <c r="KW334" s="93"/>
      <c r="KX334" s="93"/>
      <c r="KY334" s="20"/>
      <c r="KZ334" s="29"/>
      <c r="LA334" s="1504">
        <v>44621</v>
      </c>
      <c r="LB334" s="19"/>
      <c r="LC334" s="93"/>
      <c r="LD334" s="93"/>
      <c r="LE334" s="93"/>
      <c r="LF334" s="93"/>
      <c r="LG334" s="93"/>
      <c r="LH334" s="20"/>
      <c r="LI334" s="29"/>
      <c r="LJ334" s="19"/>
      <c r="LK334" s="93"/>
      <c r="LL334" s="93"/>
      <c r="LM334" s="93"/>
      <c r="LN334" s="93"/>
      <c r="LO334" s="20"/>
      <c r="LP334" s="29"/>
      <c r="LQ334" s="19"/>
      <c r="LR334" s="93">
        <v>188</v>
      </c>
      <c r="LS334" s="93">
        <v>463</v>
      </c>
      <c r="LT334" s="93">
        <v>663</v>
      </c>
      <c r="LU334" s="93">
        <v>1104</v>
      </c>
      <c r="LV334" s="93"/>
      <c r="LW334" s="93">
        <v>5</v>
      </c>
      <c r="LX334" s="93">
        <v>10</v>
      </c>
      <c r="LY334" s="93">
        <v>60</v>
      </c>
      <c r="LZ334" s="93"/>
      <c r="MA334" s="20"/>
      <c r="MB334" s="29">
        <v>267</v>
      </c>
      <c r="MC334" s="1504">
        <v>44621</v>
      </c>
      <c r="MD334" s="19">
        <v>473.60407987995586</v>
      </c>
      <c r="ME334" s="93">
        <v>466.77552761222148</v>
      </c>
      <c r="MF334" s="93">
        <v>466.77552761222148</v>
      </c>
      <c r="MG334" s="93">
        <v>430.27842099822146</v>
      </c>
      <c r="MH334" s="93">
        <v>149.15271525100002</v>
      </c>
      <c r="MI334" s="93">
        <v>5.0987527249999998</v>
      </c>
      <c r="MJ334" s="93">
        <v>11.44455739957143</v>
      </c>
      <c r="MK334" s="93">
        <v>204.79446572465</v>
      </c>
      <c r="ML334" s="93">
        <v>59.538085851000005</v>
      </c>
      <c r="MM334" s="93">
        <v>0.24984404699999999</v>
      </c>
      <c r="MN334" s="93">
        <v>36.497106614000003</v>
      </c>
      <c r="MO334" s="93">
        <v>1.2791533089999998</v>
      </c>
      <c r="MP334" s="93">
        <v>10.976592677999999</v>
      </c>
      <c r="MQ334" s="93">
        <v>0.74726440900000002</v>
      </c>
      <c r="MR334" s="93">
        <v>0.87395111300000017</v>
      </c>
      <c r="MS334" s="93">
        <v>22.620145104999999</v>
      </c>
      <c r="MT334" s="93">
        <v>0</v>
      </c>
      <c r="MU334" s="93">
        <v>6.8285522677344401</v>
      </c>
      <c r="MV334" s="93">
        <v>6.8285522677344401</v>
      </c>
      <c r="MW334" s="93">
        <v>0</v>
      </c>
      <c r="MX334" s="93">
        <v>555.31048900341023</v>
      </c>
      <c r="MY334" s="93">
        <v>561.02483230241023</v>
      </c>
      <c r="MZ334" s="93">
        <v>467.75624863175835</v>
      </c>
      <c r="NA334" s="93">
        <v>241.690515081</v>
      </c>
      <c r="NB334" s="93">
        <v>24.345559695999999</v>
      </c>
      <c r="NC334" s="93">
        <v>47.619612714758361</v>
      </c>
      <c r="ND334" s="93">
        <v>41.900321081889004</v>
      </c>
      <c r="NE334" s="93">
        <v>5.7192916328693553</v>
      </c>
      <c r="NF334" s="93">
        <v>154.10056114</v>
      </c>
      <c r="NG334" s="93">
        <v>0</v>
      </c>
      <c r="NH334" s="93">
        <v>34.779941915999999</v>
      </c>
      <c r="NI334" s="93">
        <v>0</v>
      </c>
      <c r="NJ334" s="93">
        <v>36.752773644999998</v>
      </c>
      <c r="NK334" s="93">
        <v>93.268583670651893</v>
      </c>
      <c r="NL334" s="93">
        <v>60.045020331000003</v>
      </c>
      <c r="NM334" s="93">
        <v>0.70746297300000005</v>
      </c>
      <c r="NN334" s="93">
        <v>32.516100366651898</v>
      </c>
      <c r="NO334" s="93">
        <v>-5.7143432990000012</v>
      </c>
      <c r="NP334" s="93">
        <v>-81.706409123454364</v>
      </c>
      <c r="NQ334" s="93">
        <v>-88.534961391188801</v>
      </c>
      <c r="NR334" s="93">
        <v>-8.3992483097785566</v>
      </c>
      <c r="NS334" s="93">
        <v>-56.018861024536911</v>
      </c>
      <c r="NT334" s="93">
        <v>-156.09192657055436</v>
      </c>
      <c r="NU334" s="93">
        <v>-162.92047883828883</v>
      </c>
      <c r="NV334" s="93">
        <v>156.46432401476827</v>
      </c>
      <c r="NW334" s="93">
        <v>12.069546666768261</v>
      </c>
      <c r="NX334" s="93">
        <v>26.31194712891746</v>
      </c>
      <c r="NY334" s="93">
        <v>-14.242400462149199</v>
      </c>
      <c r="NZ334" s="93">
        <v>0</v>
      </c>
      <c r="OA334" s="93">
        <v>144.39477734799999</v>
      </c>
      <c r="OB334" s="93">
        <v>99.838972112000008</v>
      </c>
      <c r="OC334" s="93">
        <v>44.555805236000005</v>
      </c>
      <c r="OD334" s="19">
        <v>-0.3723974442138821</v>
      </c>
      <c r="OE334" s="29">
        <v>267</v>
      </c>
      <c r="OF334" s="1504">
        <v>44621</v>
      </c>
      <c r="OG334" s="19"/>
      <c r="OH334" s="93">
        <v>833.3663855210001</v>
      </c>
      <c r="OI334" s="93">
        <v>2712.2345806119997</v>
      </c>
      <c r="OJ334" s="93">
        <v>0.71906938200000003</v>
      </c>
      <c r="OK334" s="93">
        <v>2409.915</v>
      </c>
      <c r="OL334" s="93">
        <v>301.60051123</v>
      </c>
      <c r="OM334" s="93">
        <v>3545.6009661329999</v>
      </c>
      <c r="ON334" s="93">
        <v>2019.9411083190003</v>
      </c>
      <c r="OO334" s="93">
        <v>5565.5420744519997</v>
      </c>
      <c r="OP334" s="93"/>
      <c r="OQ334" s="93">
        <v>2406.6066683119998</v>
      </c>
      <c r="OR334" s="93">
        <v>214.43066831200008</v>
      </c>
      <c r="OS334" s="93">
        <v>2192.1759999999999</v>
      </c>
      <c r="OT334" s="93">
        <v>3741.5916782479999</v>
      </c>
      <c r="OU334" s="93">
        <v>135.87469418499995</v>
      </c>
      <c r="OV334" s="93">
        <v>66.088694185000008</v>
      </c>
      <c r="OW334" s="93">
        <v>69.785999999999945</v>
      </c>
      <c r="OX334" s="93">
        <v>3605.7169840629999</v>
      </c>
      <c r="OY334" s="93">
        <v>8.2349840630000006</v>
      </c>
      <c r="OZ334" s="93">
        <v>3597.482</v>
      </c>
      <c r="PA334" s="93">
        <v>1079.9953578300001</v>
      </c>
      <c r="PB334" s="93">
        <v>-497.33908572200011</v>
      </c>
      <c r="PC334" s="20">
        <v>5565.5420744519997</v>
      </c>
      <c r="PD334" s="29">
        <v>267</v>
      </c>
      <c r="PE334" s="19"/>
      <c r="PF334" s="93">
        <v>214.43066831200008</v>
      </c>
      <c r="PG334" s="93">
        <v>969.65497715700008</v>
      </c>
      <c r="PH334" s="93">
        <v>755.224308845</v>
      </c>
      <c r="PI334" s="93">
        <v>933.54097815</v>
      </c>
      <c r="PJ334" s="93">
        <v>72.653896523000014</v>
      </c>
      <c r="PK334" s="93">
        <v>290.03730961100001</v>
      </c>
      <c r="PL334" s="93">
        <v>217.383413088</v>
      </c>
      <c r="PM334" s="93">
        <v>8.2349840630000006</v>
      </c>
      <c r="PN334" s="93">
        <v>3.1</v>
      </c>
      <c r="PO334" s="93">
        <v>0</v>
      </c>
      <c r="PP334" s="93">
        <v>0</v>
      </c>
      <c r="PQ334" s="93">
        <v>5.134984063000001</v>
      </c>
      <c r="PR334" s="93">
        <v>1232.928772282</v>
      </c>
      <c r="PS334" s="93">
        <v>948.058587859</v>
      </c>
      <c r="PT334" s="93">
        <v>283.81800672200001</v>
      </c>
      <c r="PU334" s="93">
        <v>1.052177701</v>
      </c>
      <c r="PV334" s="93">
        <v>0</v>
      </c>
      <c r="PW334" s="93">
        <v>0.28715221200000002</v>
      </c>
      <c r="PX334" s="93">
        <v>0</v>
      </c>
      <c r="PY334" s="93">
        <v>0</v>
      </c>
      <c r="PZ334" s="93">
        <v>0.28715221200000002</v>
      </c>
      <c r="QA334" s="93">
        <v>0</v>
      </c>
      <c r="QB334" s="93">
        <v>0</v>
      </c>
      <c r="QC334" s="93">
        <v>0</v>
      </c>
      <c r="QD334" s="93">
        <v>2.9072056179999999</v>
      </c>
      <c r="QE334" s="20">
        <v>-7.2626030639999994</v>
      </c>
      <c r="QF334" s="1739">
        <v>267</v>
      </c>
      <c r="QG334" s="19"/>
      <c r="QH334" s="93">
        <v>2192.1759999999999</v>
      </c>
      <c r="QI334" s="93">
        <v>2518.87</v>
      </c>
      <c r="QJ334" s="93">
        <v>-326.69400000000002</v>
      </c>
      <c r="QK334" s="93">
        <v>473.14600000000002</v>
      </c>
      <c r="QL334" s="93">
        <v>108.127</v>
      </c>
      <c r="QM334" s="93">
        <v>365.01900000000001</v>
      </c>
      <c r="QN334" s="93">
        <v>0</v>
      </c>
      <c r="QO334" s="93">
        <v>69.785999999999945</v>
      </c>
      <c r="QP334" s="93">
        <v>963.976</v>
      </c>
      <c r="QQ334" s="93">
        <v>-894.19</v>
      </c>
      <c r="QR334" s="93">
        <v>3597.482</v>
      </c>
      <c r="QS334" s="93">
        <v>39.418999999999997</v>
      </c>
      <c r="QT334" s="93">
        <v>2.7E-2</v>
      </c>
      <c r="QU334" s="93">
        <v>282.666</v>
      </c>
      <c r="QV334" s="93">
        <v>3275.37</v>
      </c>
      <c r="QW334" s="93"/>
      <c r="QX334" s="93">
        <v>944.92699999999991</v>
      </c>
      <c r="QY334" s="93">
        <v>2409.915</v>
      </c>
      <c r="QZ334" s="93">
        <v>2019.6079999999999</v>
      </c>
      <c r="RA334" s="93">
        <v>0</v>
      </c>
      <c r="RB334" s="93">
        <v>240.88499999999999</v>
      </c>
      <c r="RC334" s="93">
        <v>0</v>
      </c>
      <c r="RD334" s="93">
        <v>77.488</v>
      </c>
      <c r="RE334" s="93">
        <v>0</v>
      </c>
      <c r="RF334" s="93">
        <v>0</v>
      </c>
      <c r="RG334" s="93">
        <v>758.428</v>
      </c>
      <c r="RH334" s="93">
        <v>-118.66100000000006</v>
      </c>
      <c r="RI334" s="93"/>
      <c r="RJ334" s="93"/>
      <c r="RK334" s="93"/>
      <c r="RL334" s="93"/>
      <c r="RM334" s="20"/>
      <c r="RN334" s="29">
        <v>267</v>
      </c>
      <c r="RO334" s="19">
        <v>380</v>
      </c>
      <c r="RP334" s="20">
        <v>104</v>
      </c>
      <c r="RQ334" s="29">
        <v>267</v>
      </c>
      <c r="RR334" s="20">
        <v>5.226699</v>
      </c>
      <c r="RS334" s="29">
        <v>267</v>
      </c>
      <c r="RT334" s="1504">
        <v>44621</v>
      </c>
      <c r="RU334" s="19">
        <v>1494</v>
      </c>
      <c r="RV334" s="20">
        <v>88</v>
      </c>
      <c r="RW334" s="29">
        <v>267</v>
      </c>
      <c r="RX334" s="1504">
        <v>44621</v>
      </c>
      <c r="RY334" s="29"/>
      <c r="RZ334" s="20"/>
      <c r="SA334" s="29"/>
      <c r="SB334" s="29"/>
    </row>
    <row r="335" spans="1:496">
      <c r="A335" s="41">
        <f t="shared" si="238"/>
        <v>2022</v>
      </c>
      <c r="B335" s="1504">
        <v>44652</v>
      </c>
      <c r="C335" s="1813">
        <v>2144</v>
      </c>
      <c r="D335" s="1814">
        <v>30214</v>
      </c>
      <c r="E335" s="1814">
        <v>76</v>
      </c>
      <c r="F335" s="1815"/>
      <c r="G335" s="1814">
        <v>100676</v>
      </c>
      <c r="H335" s="1814">
        <v>22</v>
      </c>
      <c r="I335" s="1814">
        <v>31920</v>
      </c>
      <c r="J335" s="1816">
        <v>17134</v>
      </c>
      <c r="K335" s="1807">
        <f t="shared" si="322"/>
        <v>182186</v>
      </c>
      <c r="L335" s="25">
        <v>268</v>
      </c>
      <c r="M335" s="97"/>
      <c r="N335" s="1504">
        <v>44652</v>
      </c>
      <c r="O335" s="19">
        <v>1209</v>
      </c>
      <c r="P335" s="93">
        <v>1025</v>
      </c>
      <c r="Q335" s="93">
        <v>10031</v>
      </c>
      <c r="R335" s="93">
        <v>2304</v>
      </c>
      <c r="S335" s="93">
        <v>1971</v>
      </c>
      <c r="T335" s="93">
        <v>953</v>
      </c>
      <c r="U335" s="93">
        <v>399</v>
      </c>
      <c r="V335" s="93">
        <v>1757</v>
      </c>
      <c r="W335" s="93">
        <v>6138</v>
      </c>
      <c r="X335" s="93">
        <v>846</v>
      </c>
      <c r="Y335" s="93">
        <v>585</v>
      </c>
      <c r="Z335" s="93">
        <v>1400</v>
      </c>
      <c r="AA335" s="93">
        <v>1596</v>
      </c>
      <c r="AB335" s="20">
        <f t="shared" si="327"/>
        <v>30214</v>
      </c>
      <c r="AC335" s="25">
        <v>268</v>
      </c>
      <c r="AD335" s="97"/>
      <c r="AE335" s="1504">
        <v>44652</v>
      </c>
      <c r="AF335" s="19">
        <v>2576</v>
      </c>
      <c r="AG335" s="93">
        <v>1002</v>
      </c>
      <c r="AH335" s="93">
        <v>4465</v>
      </c>
      <c r="AI335" s="93">
        <v>2880</v>
      </c>
      <c r="AJ335" s="93">
        <v>2325</v>
      </c>
      <c r="AK335" s="93">
        <v>2106</v>
      </c>
      <c r="AL335" s="93">
        <v>943</v>
      </c>
      <c r="AM335" s="93">
        <v>1492</v>
      </c>
      <c r="AN335" s="93">
        <v>9266</v>
      </c>
      <c r="AO335" s="93">
        <v>1105</v>
      </c>
      <c r="AP335" s="93">
        <v>1228</v>
      </c>
      <c r="AQ335" s="93">
        <v>1500</v>
      </c>
      <c r="AR335" s="93">
        <v>1032</v>
      </c>
      <c r="AS335" s="132">
        <f t="shared" si="323"/>
        <v>31920</v>
      </c>
      <c r="AT335" s="25">
        <v>268</v>
      </c>
      <c r="AU335" s="97"/>
      <c r="AV335" s="1504">
        <v>44652</v>
      </c>
      <c r="AW335" s="19">
        <v>9250</v>
      </c>
      <c r="AX335" s="93">
        <v>3908</v>
      </c>
      <c r="AY335" s="93">
        <v>3285</v>
      </c>
      <c r="AZ335" s="93">
        <v>12600</v>
      </c>
      <c r="BA335" s="93">
        <v>8520</v>
      </c>
      <c r="BB335" s="93">
        <v>7779</v>
      </c>
      <c r="BC335" s="93">
        <v>4308</v>
      </c>
      <c r="BD335" s="93">
        <v>9945</v>
      </c>
      <c r="BE335" s="93">
        <v>16306</v>
      </c>
      <c r="BF335" s="93">
        <v>4990</v>
      </c>
      <c r="BG335" s="93">
        <v>4908</v>
      </c>
      <c r="BH335" s="93">
        <v>9198</v>
      </c>
      <c r="BI335" s="93">
        <v>5679</v>
      </c>
      <c r="BJ335" s="132">
        <f t="shared" si="324"/>
        <v>100676</v>
      </c>
      <c r="BK335" s="25">
        <v>268</v>
      </c>
      <c r="BL335" s="97"/>
      <c r="BM335" s="1504">
        <v>44652</v>
      </c>
      <c r="BN335" s="733">
        <v>117.9</v>
      </c>
      <c r="BO335" s="570">
        <v>1661.8</v>
      </c>
      <c r="BP335" s="570">
        <v>15.2</v>
      </c>
      <c r="BQ335" s="570">
        <v>906.1</v>
      </c>
      <c r="BR335" s="570">
        <v>3.9</v>
      </c>
      <c r="BS335" s="570">
        <v>319.2</v>
      </c>
      <c r="BT335" s="570">
        <v>479.8</v>
      </c>
      <c r="BU335" s="132">
        <f t="shared" si="325"/>
        <v>3503.9</v>
      </c>
      <c r="BV335" s="25">
        <v>268</v>
      </c>
      <c r="BW335" s="97"/>
      <c r="BX335" s="1504">
        <v>44652</v>
      </c>
      <c r="BY335" s="19">
        <v>607.45389999999998</v>
      </c>
      <c r="BZ335" s="93">
        <v>655.95699999999999</v>
      </c>
      <c r="CA335" s="93">
        <v>642.3433</v>
      </c>
      <c r="CB335" s="93">
        <v>40.417828</v>
      </c>
      <c r="CC335" s="93">
        <v>80.578254000000001</v>
      </c>
      <c r="CD335" s="25">
        <v>268</v>
      </c>
      <c r="CE335" s="97"/>
      <c r="CF335" s="1504">
        <v>44652</v>
      </c>
      <c r="CG335" s="19">
        <v>3.4242157839999998</v>
      </c>
      <c r="CH335" s="93">
        <v>1936.86</v>
      </c>
      <c r="CI335" s="219">
        <v>103.41333333333</v>
      </c>
      <c r="CJ335" s="20">
        <v>105.78</v>
      </c>
      <c r="CK335" s="19">
        <v>409.06</v>
      </c>
      <c r="CL335" s="93">
        <v>348.16665519999998</v>
      </c>
      <c r="CM335" s="93">
        <v>0.43342829199999999</v>
      </c>
      <c r="CN335" s="93">
        <v>0.353468544</v>
      </c>
      <c r="CO335" s="93">
        <v>495.28</v>
      </c>
      <c r="CP335" s="20">
        <v>6.128623138</v>
      </c>
      <c r="CQ335" s="219">
        <v>2145.25</v>
      </c>
      <c r="CR335" s="93">
        <v>2.5249999999999999</v>
      </c>
      <c r="CS335" s="93">
        <v>2.0943999999999998</v>
      </c>
      <c r="CT335" s="93">
        <v>249.5</v>
      </c>
      <c r="CU335" s="93">
        <v>151.25</v>
      </c>
      <c r="CV335" s="214">
        <v>4360.43</v>
      </c>
      <c r="CW335" s="29">
        <v>268</v>
      </c>
      <c r="CX335" s="41">
        <f t="shared" si="319"/>
        <v>2022</v>
      </c>
      <c r="CY335" s="1504">
        <v>44652</v>
      </c>
      <c r="CZ335" s="19"/>
      <c r="DA335" s="93"/>
      <c r="DB335" s="93"/>
      <c r="DC335" s="93"/>
      <c r="DD335" s="93"/>
      <c r="DE335" s="20"/>
      <c r="DF335" s="29"/>
      <c r="DG335" s="1504">
        <v>44652</v>
      </c>
      <c r="DH335" s="19">
        <v>502672</v>
      </c>
      <c r="DI335" s="93">
        <v>5763771</v>
      </c>
      <c r="DJ335" s="93">
        <v>326453</v>
      </c>
      <c r="DK335" s="93">
        <v>17230</v>
      </c>
      <c r="DL335" s="93">
        <v>526842</v>
      </c>
      <c r="DM335" s="93">
        <v>6691</v>
      </c>
      <c r="DN335" s="20">
        <v>1736450</v>
      </c>
      <c r="DO335" s="295">
        <f>SUM(DI335:DN335)</f>
        <v>8377437</v>
      </c>
      <c r="DP335" s="29">
        <v>268</v>
      </c>
      <c r="DQ335" s="1504">
        <v>44652</v>
      </c>
      <c r="DR335" s="19">
        <v>84048</v>
      </c>
      <c r="DS335" s="93">
        <v>372</v>
      </c>
      <c r="DT335" s="93">
        <v>74770</v>
      </c>
      <c r="DU335" s="93">
        <v>3697.152</v>
      </c>
      <c r="DV335" s="93">
        <v>19094.741000000002</v>
      </c>
      <c r="DW335" s="93">
        <v>2533</v>
      </c>
      <c r="DX335" s="20">
        <v>20424.625</v>
      </c>
      <c r="DY335" s="29">
        <v>268</v>
      </c>
      <c r="DZ335" s="1504">
        <v>44652</v>
      </c>
      <c r="EA335" s="19"/>
      <c r="EB335" s="93"/>
      <c r="EC335" s="20"/>
      <c r="ED335" s="29"/>
      <c r="EE335" s="1504">
        <v>44652</v>
      </c>
      <c r="EF335" s="19">
        <f t="shared" si="307"/>
        <v>13494</v>
      </c>
      <c r="EG335" s="93">
        <f t="shared" si="308"/>
        <v>14696</v>
      </c>
      <c r="EH335" s="93">
        <f t="shared" si="309"/>
        <v>36825</v>
      </c>
      <c r="EI335" s="214">
        <f t="shared" si="310"/>
        <v>8635</v>
      </c>
      <c r="EJ335" s="93">
        <f t="shared" si="311"/>
        <v>622.77700000000004</v>
      </c>
      <c r="EK335" s="93">
        <f t="shared" si="312"/>
        <v>226.52099999999999</v>
      </c>
      <c r="EL335" s="93">
        <f t="shared" si="313"/>
        <v>4.2270000000000003</v>
      </c>
      <c r="EM335" s="93">
        <f t="shared" si="314"/>
        <v>12.805999999999999</v>
      </c>
      <c r="EN335" s="20">
        <f t="shared" si="317"/>
        <v>866.33100000000002</v>
      </c>
      <c r="EO335" s="29">
        <v>268</v>
      </c>
      <c r="EP335" s="1504">
        <v>44652</v>
      </c>
      <c r="EQ335" s="19">
        <v>12853</v>
      </c>
      <c r="ER335" s="93">
        <v>14094</v>
      </c>
      <c r="ES335" s="93">
        <f t="shared" si="315"/>
        <v>26947</v>
      </c>
      <c r="ET335" s="214">
        <v>8452</v>
      </c>
      <c r="EU335" s="93">
        <v>622.77700000000004</v>
      </c>
      <c r="EV335" s="93">
        <v>226.52099999999999</v>
      </c>
      <c r="EW335" s="93">
        <v>4.2270000000000003</v>
      </c>
      <c r="EX335" s="93">
        <v>12.805999999999999</v>
      </c>
      <c r="EY335" s="20">
        <f t="shared" si="321"/>
        <v>866.33100000000002</v>
      </c>
      <c r="EZ335" s="29">
        <v>268</v>
      </c>
      <c r="FA335" s="1504">
        <v>44652</v>
      </c>
      <c r="FB335" s="29">
        <v>641</v>
      </c>
      <c r="FC335" s="29">
        <v>602</v>
      </c>
      <c r="FD335" s="29">
        <f t="shared" si="316"/>
        <v>1243</v>
      </c>
      <c r="FE335" s="29">
        <v>183</v>
      </c>
      <c r="FF335" s="29">
        <v>0</v>
      </c>
      <c r="FG335" s="29">
        <v>0</v>
      </c>
      <c r="FH335" s="29">
        <v>0</v>
      </c>
      <c r="FI335" s="29">
        <v>0</v>
      </c>
      <c r="FJ335" s="29">
        <f t="shared" si="326"/>
        <v>0</v>
      </c>
      <c r="FK335" s="29">
        <v>268</v>
      </c>
      <c r="FL335" s="1504">
        <v>44652</v>
      </c>
      <c r="FM335" s="19">
        <v>122.22</v>
      </c>
      <c r="FN335" s="93">
        <v>138.16</v>
      </c>
      <c r="FO335" s="93">
        <v>163.76</v>
      </c>
      <c r="FP335" s="93">
        <v>101.58</v>
      </c>
      <c r="FQ335" s="93">
        <v>101.26</v>
      </c>
      <c r="FR335" s="93">
        <v>101.6</v>
      </c>
      <c r="FS335" s="93">
        <v>100.61</v>
      </c>
      <c r="FT335" s="93">
        <v>99.19</v>
      </c>
      <c r="FU335" s="93">
        <v>98.74</v>
      </c>
      <c r="FV335" s="93">
        <v>101.14</v>
      </c>
      <c r="FW335" s="93">
        <v>112.14</v>
      </c>
      <c r="FX335" s="93">
        <v>107.07</v>
      </c>
      <c r="FY335" s="93">
        <v>101.38</v>
      </c>
      <c r="FZ335" s="29">
        <v>268</v>
      </c>
      <c r="GA335" s="1504">
        <v>44652</v>
      </c>
      <c r="GB335" s="19">
        <v>122.22</v>
      </c>
      <c r="GC335" s="93">
        <v>107.38</v>
      </c>
      <c r="GD335" s="93">
        <v>129.43</v>
      </c>
      <c r="GE335" s="93">
        <v>97.37</v>
      </c>
      <c r="GF335" s="93">
        <v>156.66</v>
      </c>
      <c r="GG335" s="93">
        <v>109.71</v>
      </c>
      <c r="GH335" s="93">
        <v>149.41999999999999</v>
      </c>
      <c r="GI335" s="93">
        <v>107.73</v>
      </c>
      <c r="GJ335" s="93">
        <v>104.07</v>
      </c>
      <c r="GK335" s="93">
        <v>100.26</v>
      </c>
      <c r="GL335" s="93">
        <v>132.81</v>
      </c>
      <c r="GM335" s="93">
        <v>101.69</v>
      </c>
      <c r="GN335" s="20">
        <v>104.07</v>
      </c>
      <c r="GO335" s="29">
        <v>268</v>
      </c>
      <c r="GP335" s="1504">
        <v>44652</v>
      </c>
      <c r="GQ335" s="19">
        <v>401</v>
      </c>
      <c r="GR335" s="93">
        <v>360</v>
      </c>
      <c r="GS335" s="93">
        <v>320</v>
      </c>
      <c r="GT335" s="93">
        <v>301</v>
      </c>
      <c r="GU335" s="93">
        <v>425</v>
      </c>
      <c r="GV335" s="20">
        <v>1047</v>
      </c>
      <c r="GW335" s="19">
        <v>629</v>
      </c>
      <c r="GX335" s="93">
        <v>684</v>
      </c>
      <c r="GY335" s="93">
        <v>497</v>
      </c>
      <c r="GZ335" s="93">
        <v>349</v>
      </c>
      <c r="HA335" s="93">
        <v>272</v>
      </c>
      <c r="HB335" s="20">
        <v>1031</v>
      </c>
      <c r="HC335" s="19">
        <v>2559</v>
      </c>
      <c r="HD335" s="93">
        <v>2735</v>
      </c>
      <c r="HE335" s="93">
        <v>2742</v>
      </c>
      <c r="HF335" s="93">
        <v>3150</v>
      </c>
      <c r="HG335" s="93">
        <v>3120</v>
      </c>
      <c r="HH335" s="20">
        <v>3434</v>
      </c>
      <c r="HI335" s="19"/>
      <c r="HJ335" s="93">
        <v>924</v>
      </c>
      <c r="HK335" s="93">
        <v>1532</v>
      </c>
      <c r="HL335" s="93">
        <v>923</v>
      </c>
      <c r="HM335" s="93">
        <v>1098</v>
      </c>
      <c r="HN335" s="20">
        <v>2670</v>
      </c>
      <c r="HO335" s="219">
        <v>221</v>
      </c>
      <c r="HP335" s="20">
        <v>80</v>
      </c>
      <c r="HQ335" s="25">
        <v>212</v>
      </c>
      <c r="HR335" s="29">
        <v>268</v>
      </c>
      <c r="HS335" s="1504">
        <v>44652</v>
      </c>
      <c r="HT335" s="19">
        <v>429.65393829345703</v>
      </c>
      <c r="HU335" s="93">
        <v>438.88890380859374</v>
      </c>
      <c r="HV335" s="93">
        <v>329.49199676513672</v>
      </c>
      <c r="HW335" s="93">
        <v>255.10203552246094</v>
      </c>
      <c r="HX335" s="93">
        <v>358.33332824707031</v>
      </c>
      <c r="HY335" s="93">
        <v>395.45733032226565</v>
      </c>
      <c r="HZ335" s="93">
        <v>370.83334350585938</v>
      </c>
      <c r="IA335" s="20">
        <v>416.55543518066406</v>
      </c>
      <c r="IB335" s="19">
        <v>372.65917205810547</v>
      </c>
      <c r="IC335" s="93">
        <v>302.631591796875</v>
      </c>
      <c r="ID335" s="93">
        <v>336.20688629150391</v>
      </c>
      <c r="IE335" s="93">
        <v>259.74027252197266</v>
      </c>
      <c r="IF335" s="93">
        <v>339.84375</v>
      </c>
      <c r="IG335" s="20">
        <v>287.16216278076172</v>
      </c>
      <c r="IH335" s="19">
        <v>275</v>
      </c>
      <c r="II335" s="93">
        <v>368.85244750976563</v>
      </c>
      <c r="IJ335" s="93">
        <v>306.91141510009766</v>
      </c>
      <c r="IK335" s="93">
        <v>299.10715484619141</v>
      </c>
      <c r="IL335" s="93">
        <v>277.77777099609375</v>
      </c>
      <c r="IM335" s="93">
        <v>258.9869270324707</v>
      </c>
      <c r="IN335" s="93">
        <v>298.24563598632813</v>
      </c>
      <c r="IO335" s="20">
        <v>338.9649658203125</v>
      </c>
      <c r="IP335" s="29">
        <v>268</v>
      </c>
      <c r="IQ335" s="19">
        <v>265.564208984375</v>
      </c>
      <c r="IR335" s="93">
        <v>218.44806289672852</v>
      </c>
      <c r="IS335" s="93">
        <v>241.93548583984375</v>
      </c>
      <c r="IT335" s="93">
        <v>201.95440292358398</v>
      </c>
      <c r="IU335" s="93">
        <v>284.61537170410156</v>
      </c>
      <c r="IV335" s="20">
        <v>242.30768585205078</v>
      </c>
      <c r="IW335" s="29">
        <v>268</v>
      </c>
      <c r="IX335" s="19">
        <v>412.5</v>
      </c>
      <c r="IY335" s="93">
        <v>413.30645446777345</v>
      </c>
      <c r="IZ335" s="93">
        <v>450</v>
      </c>
      <c r="JA335" s="93">
        <v>400</v>
      </c>
      <c r="JB335" s="93">
        <v>448</v>
      </c>
      <c r="JC335" s="93">
        <v>425</v>
      </c>
      <c r="JD335" s="93">
        <v>446</v>
      </c>
      <c r="JE335" s="20">
        <v>500</v>
      </c>
      <c r="JF335" s="29">
        <v>268</v>
      </c>
      <c r="JG335" s="19">
        <v>315.61126708984375</v>
      </c>
      <c r="JH335" s="93">
        <v>385.24588623046873</v>
      </c>
      <c r="JI335" s="93">
        <v>294.13067626953125</v>
      </c>
      <c r="JJ335" s="93">
        <v>243.90245056152344</v>
      </c>
      <c r="JK335" s="93">
        <v>294.61279296875</v>
      </c>
      <c r="JL335" s="93">
        <v>323.28924458821615</v>
      </c>
      <c r="JM335" s="93">
        <v>300.83333587646484</v>
      </c>
      <c r="JN335" s="20">
        <v>463.11422729492188</v>
      </c>
      <c r="JO335" s="29">
        <v>268</v>
      </c>
      <c r="JP335" s="19">
        <v>252.79850387573242</v>
      </c>
      <c r="JQ335" s="93">
        <v>221.69117736816406</v>
      </c>
      <c r="JR335" s="93">
        <v>270.16128540039063</v>
      </c>
      <c r="JS335" s="93">
        <v>201.45631408691406</v>
      </c>
      <c r="JT335" s="93">
        <v>282.13165283203125</v>
      </c>
      <c r="JU335" s="20">
        <v>245.1315803527832</v>
      </c>
      <c r="JV335" s="29">
        <v>268</v>
      </c>
      <c r="JW335" s="1504">
        <v>44652</v>
      </c>
      <c r="JX335" s="19"/>
      <c r="JY335" s="93"/>
      <c r="JZ335" s="93"/>
      <c r="KA335" s="93"/>
      <c r="KB335" s="93"/>
      <c r="KC335" s="93"/>
      <c r="KD335" s="20"/>
      <c r="KE335" s="29"/>
      <c r="KF335" s="19"/>
      <c r="KG335" s="93"/>
      <c r="KH335" s="93"/>
      <c r="KI335" s="93"/>
      <c r="KJ335" s="93"/>
      <c r="KK335" s="20"/>
      <c r="KL335" s="29"/>
      <c r="KM335" s="19"/>
      <c r="KN335" s="93"/>
      <c r="KO335" s="93"/>
      <c r="KP335" s="93"/>
      <c r="KQ335" s="93"/>
      <c r="KR335" s="20"/>
      <c r="KS335" s="29"/>
      <c r="KT335" s="19"/>
      <c r="KU335" s="93"/>
      <c r="KV335" s="93"/>
      <c r="KW335" s="93"/>
      <c r="KX335" s="93"/>
      <c r="KY335" s="20"/>
      <c r="KZ335" s="29"/>
      <c r="LA335" s="1504">
        <v>44652</v>
      </c>
      <c r="LB335" s="19"/>
      <c r="LC335" s="93"/>
      <c r="LD335" s="93"/>
      <c r="LE335" s="93"/>
      <c r="LF335" s="93"/>
      <c r="LG335" s="93"/>
      <c r="LH335" s="20"/>
      <c r="LI335" s="29"/>
      <c r="LJ335" s="19"/>
      <c r="LK335" s="93"/>
      <c r="LL335" s="93"/>
      <c r="LM335" s="93"/>
      <c r="LN335" s="93"/>
      <c r="LO335" s="20"/>
      <c r="LP335" s="29"/>
      <c r="LQ335" s="19"/>
      <c r="LR335" s="93">
        <v>188</v>
      </c>
      <c r="LS335" s="93">
        <v>463</v>
      </c>
      <c r="LT335" s="93">
        <v>663</v>
      </c>
      <c r="LU335" s="93">
        <v>1104</v>
      </c>
      <c r="LV335" s="93"/>
      <c r="LW335" s="93">
        <v>5</v>
      </c>
      <c r="LX335" s="93">
        <v>10</v>
      </c>
      <c r="LY335" s="93">
        <v>60</v>
      </c>
      <c r="LZ335" s="93"/>
      <c r="MA335" s="20"/>
      <c r="MB335" s="29">
        <v>268</v>
      </c>
      <c r="MC335" s="1504">
        <v>44652</v>
      </c>
      <c r="MD335" s="19">
        <v>677.22825684954648</v>
      </c>
      <c r="ME335" s="93">
        <v>667.16279418781198</v>
      </c>
      <c r="MF335" s="93">
        <v>667.16279418781198</v>
      </c>
      <c r="MG335" s="93">
        <v>609.42346903581188</v>
      </c>
      <c r="MH335" s="93">
        <v>225.681004333</v>
      </c>
      <c r="MI335" s="93">
        <v>6.6487634249999994</v>
      </c>
      <c r="MJ335" s="93">
        <v>14.791829067761906</v>
      </c>
      <c r="MK335" s="93">
        <v>280.67989944204999</v>
      </c>
      <c r="ML335" s="93">
        <v>81.255250327000013</v>
      </c>
      <c r="MM335" s="93">
        <v>0.36672244100000001</v>
      </c>
      <c r="MN335" s="93">
        <v>57.739325151999992</v>
      </c>
      <c r="MO335" s="93">
        <v>1.7068326609999998</v>
      </c>
      <c r="MP335" s="93">
        <v>13.890825629999998</v>
      </c>
      <c r="MQ335" s="93">
        <v>1.0372713179999999</v>
      </c>
      <c r="MR335" s="93">
        <v>6.4145761129999999</v>
      </c>
      <c r="MS335" s="93">
        <v>34.68981943</v>
      </c>
      <c r="MT335" s="93">
        <v>0</v>
      </c>
      <c r="MU335" s="93">
        <v>10.06546266173444</v>
      </c>
      <c r="MV335" s="93">
        <v>10.06546266173444</v>
      </c>
      <c r="MW335" s="93">
        <v>0</v>
      </c>
      <c r="MX335" s="93">
        <v>883.52300531901983</v>
      </c>
      <c r="MY335" s="93">
        <v>889.5151632930199</v>
      </c>
      <c r="MZ335" s="93">
        <v>737.49602734036807</v>
      </c>
      <c r="NA335" s="93">
        <v>325.84474361333326</v>
      </c>
      <c r="NB335" s="93">
        <v>71.04463894300001</v>
      </c>
      <c r="NC335" s="93">
        <v>72.831247247034725</v>
      </c>
      <c r="ND335" s="93">
        <v>61.541833394889004</v>
      </c>
      <c r="NE335" s="93">
        <v>11.289413852145728</v>
      </c>
      <c r="NF335" s="93">
        <v>267.775397537</v>
      </c>
      <c r="NG335" s="93">
        <v>0</v>
      </c>
      <c r="NH335" s="93">
        <v>42.780151590000003</v>
      </c>
      <c r="NI335" s="93">
        <v>0</v>
      </c>
      <c r="NJ335" s="93">
        <v>119.19250764</v>
      </c>
      <c r="NK335" s="93">
        <v>152.01913595265191</v>
      </c>
      <c r="NL335" s="93">
        <v>111.78845783200001</v>
      </c>
      <c r="NM335" s="93">
        <v>0.70746297300000005</v>
      </c>
      <c r="NN335" s="93">
        <v>39.523215147651904</v>
      </c>
      <c r="NO335" s="93">
        <v>-5.9921579740000031</v>
      </c>
      <c r="NP335" s="93">
        <v>-206.29474846947352</v>
      </c>
      <c r="NQ335" s="93">
        <v>-216.36021113120793</v>
      </c>
      <c r="NR335" s="93">
        <v>-104.00574873652128</v>
      </c>
      <c r="NS335" s="93">
        <v>-176.83699598355602</v>
      </c>
      <c r="NT335" s="93">
        <v>-256.63310836947346</v>
      </c>
      <c r="NU335" s="93">
        <v>-266.6985710312079</v>
      </c>
      <c r="NV335" s="93">
        <v>256.16115813774661</v>
      </c>
      <c r="NW335" s="93">
        <v>8.4868454717466193</v>
      </c>
      <c r="NX335" s="93">
        <v>30.082151515917463</v>
      </c>
      <c r="NY335" s="93">
        <v>-21.59530604417084</v>
      </c>
      <c r="NZ335" s="93">
        <v>0</v>
      </c>
      <c r="OA335" s="93">
        <v>247.67431266600002</v>
      </c>
      <c r="OB335" s="93">
        <v>187.25638251789999</v>
      </c>
      <c r="OC335" s="93">
        <v>60.417930148100005</v>
      </c>
      <c r="OD335" s="19">
        <v>0.47195023172685502</v>
      </c>
      <c r="OE335" s="29">
        <v>268</v>
      </c>
      <c r="OF335" s="1504">
        <v>44652</v>
      </c>
      <c r="OG335" s="19"/>
      <c r="OH335" s="93">
        <v>889.96556564100001</v>
      </c>
      <c r="OI335" s="93">
        <v>2471.5377282479999</v>
      </c>
      <c r="OJ335" s="93">
        <v>0.95321701799999992</v>
      </c>
      <c r="OK335" s="93">
        <v>2168.9839999999999</v>
      </c>
      <c r="OL335" s="93">
        <v>301.60051123</v>
      </c>
      <c r="OM335" s="93">
        <v>3361.5032938889999</v>
      </c>
      <c r="ON335" s="93">
        <v>2031.7351083190001</v>
      </c>
      <c r="OO335" s="93">
        <v>5393.2384022080005</v>
      </c>
      <c r="OP335" s="93"/>
      <c r="OQ335" s="93">
        <v>2319.9172272100004</v>
      </c>
      <c r="OR335" s="93">
        <v>77.1182272100001</v>
      </c>
      <c r="OS335" s="93">
        <v>2242.799</v>
      </c>
      <c r="OT335" s="93">
        <v>3640.1557074620005</v>
      </c>
      <c r="OU335" s="93">
        <v>-16.377977840999954</v>
      </c>
      <c r="OV335" s="93">
        <v>20.436022159000011</v>
      </c>
      <c r="OW335" s="93">
        <v>-36.813999999999965</v>
      </c>
      <c r="OX335" s="93">
        <v>3656.5336853030003</v>
      </c>
      <c r="OY335" s="93">
        <v>8.1886853029999997</v>
      </c>
      <c r="OZ335" s="93">
        <v>3648.3450000000003</v>
      </c>
      <c r="PA335" s="93">
        <v>1057.4272607299999</v>
      </c>
      <c r="PB335" s="93">
        <v>-490.59272826599977</v>
      </c>
      <c r="PC335" s="20">
        <v>5393.2384022080005</v>
      </c>
      <c r="PD335" s="29">
        <v>268</v>
      </c>
      <c r="PE335" s="19"/>
      <c r="PF335" s="93">
        <v>77.1182272100001</v>
      </c>
      <c r="PG335" s="93">
        <v>1042.7010444120001</v>
      </c>
      <c r="PH335" s="93">
        <v>965.582817202</v>
      </c>
      <c r="PI335" s="93">
        <v>1112.7577781499999</v>
      </c>
      <c r="PJ335" s="93">
        <v>27.00122449700001</v>
      </c>
      <c r="PK335" s="93">
        <v>290.06261982699999</v>
      </c>
      <c r="PL335" s="93">
        <v>263.06139532999998</v>
      </c>
      <c r="PM335" s="93">
        <v>8.1886853029999997</v>
      </c>
      <c r="PN335" s="93">
        <v>3.1</v>
      </c>
      <c r="PO335" s="93">
        <v>0</v>
      </c>
      <c r="PP335" s="93">
        <v>0</v>
      </c>
      <c r="PQ335" s="93">
        <v>5.0886853030000001</v>
      </c>
      <c r="PR335" s="93">
        <v>1243.8881176500001</v>
      </c>
      <c r="PS335" s="93">
        <v>997.72676797899999</v>
      </c>
      <c r="PT335" s="93">
        <v>244.87502433399999</v>
      </c>
      <c r="PU335" s="93">
        <v>1.2863253369999998</v>
      </c>
      <c r="PV335" s="93">
        <v>0</v>
      </c>
      <c r="PW335" s="93">
        <v>0.23959534599999999</v>
      </c>
      <c r="PX335" s="93">
        <v>0</v>
      </c>
      <c r="PY335" s="93">
        <v>0</v>
      </c>
      <c r="PZ335" s="93">
        <v>0.23959534599999999</v>
      </c>
      <c r="QA335" s="93">
        <v>0</v>
      </c>
      <c r="QB335" s="93">
        <v>0</v>
      </c>
      <c r="QC335" s="93">
        <v>0</v>
      </c>
      <c r="QD335" s="93">
        <v>3.4986653839999997</v>
      </c>
      <c r="QE335" s="20">
        <v>-22.560463220000003</v>
      </c>
      <c r="QF335" s="1739">
        <v>268</v>
      </c>
      <c r="QG335" s="19"/>
      <c r="QH335" s="93">
        <v>2242.799</v>
      </c>
      <c r="QI335" s="93">
        <v>2556.2550000000001</v>
      </c>
      <c r="QJ335" s="93">
        <v>-313.45600000000002</v>
      </c>
      <c r="QK335" s="93">
        <v>354.1</v>
      </c>
      <c r="QL335" s="93">
        <v>101.196</v>
      </c>
      <c r="QM335" s="93">
        <v>252.90400000000002</v>
      </c>
      <c r="QN335" s="93">
        <v>0</v>
      </c>
      <c r="QO335" s="93">
        <v>-36.813999999999965</v>
      </c>
      <c r="QP335" s="93">
        <v>1012.2130000000001</v>
      </c>
      <c r="QQ335" s="93">
        <v>-1049.027</v>
      </c>
      <c r="QR335" s="93">
        <v>3648.3450000000003</v>
      </c>
      <c r="QS335" s="93">
        <v>42.692000000000007</v>
      </c>
      <c r="QT335" s="93">
        <v>0.02</v>
      </c>
      <c r="QU335" s="93">
        <v>256.48099999999999</v>
      </c>
      <c r="QV335" s="93">
        <v>3349.152</v>
      </c>
      <c r="QW335" s="93"/>
      <c r="QX335" s="93">
        <v>1106.7470000000001</v>
      </c>
      <c r="QY335" s="93">
        <v>2168.9839999999999</v>
      </c>
      <c r="QZ335" s="93">
        <v>2031.402</v>
      </c>
      <c r="RA335" s="93">
        <v>0</v>
      </c>
      <c r="RB335" s="93">
        <v>258.86700000000002</v>
      </c>
      <c r="RC335" s="93">
        <v>0</v>
      </c>
      <c r="RD335" s="93">
        <v>65.307999999999993</v>
      </c>
      <c r="RE335" s="93">
        <v>0</v>
      </c>
      <c r="RF335" s="93">
        <v>0</v>
      </c>
      <c r="RG335" s="93">
        <v>729.51400000000001</v>
      </c>
      <c r="RH335" s="93">
        <v>-152.39199999999994</v>
      </c>
      <c r="RI335" s="93"/>
      <c r="RJ335" s="93"/>
      <c r="RK335" s="93"/>
      <c r="RL335" s="93"/>
      <c r="RM335" s="20"/>
      <c r="RN335" s="29">
        <v>268</v>
      </c>
      <c r="RO335" s="419">
        <f t="shared" ref="RO335:RP337" si="328">(((RO334/RO333-1)+(RO333/RO332-1)+(RO332/RO331-1))^1/10+1)*RO334</f>
        <v>384.54854369108716</v>
      </c>
      <c r="RP335" s="306">
        <f t="shared" si="328"/>
        <v>104.46128427128428</v>
      </c>
      <c r="RQ335" s="29">
        <v>268</v>
      </c>
      <c r="RR335" s="20">
        <v>5.0702590000000001</v>
      </c>
      <c r="RS335" s="29">
        <v>268</v>
      </c>
      <c r="RT335" s="1504">
        <v>44652</v>
      </c>
      <c r="RU335" s="419">
        <f t="shared" ref="RU335:RV337" si="329">(((RU334/RU333-1)+(RU333/RU332-1)+(RU332/RU331-1))^1/10+1)*RU334</f>
        <v>1496.2998645813414</v>
      </c>
      <c r="RV335" s="306">
        <f t="shared" si="329"/>
        <v>99.066220735785961</v>
      </c>
      <c r="RW335" s="29">
        <v>268</v>
      </c>
      <c r="RX335" s="1504">
        <v>44652</v>
      </c>
      <c r="RY335" s="29"/>
      <c r="RZ335" s="20"/>
      <c r="SA335" s="29"/>
      <c r="SB335" s="29"/>
    </row>
    <row r="336" spans="1:496">
      <c r="A336" s="41">
        <f t="shared" si="238"/>
        <v>2022</v>
      </c>
      <c r="B336" s="1504">
        <v>44682</v>
      </c>
      <c r="C336" s="1813">
        <v>2772</v>
      </c>
      <c r="D336" s="1814">
        <v>32589</v>
      </c>
      <c r="E336" s="1814">
        <v>72</v>
      </c>
      <c r="F336" s="1815"/>
      <c r="G336" s="1814">
        <v>99173</v>
      </c>
      <c r="H336" s="1814">
        <v>19</v>
      </c>
      <c r="I336" s="1814">
        <v>31712</v>
      </c>
      <c r="J336" s="1816">
        <v>17775</v>
      </c>
      <c r="K336" s="1807">
        <f t="shared" si="322"/>
        <v>184112</v>
      </c>
      <c r="L336" s="25">
        <v>269</v>
      </c>
      <c r="M336" s="97"/>
      <c r="N336" s="1504">
        <v>44682</v>
      </c>
      <c r="O336" s="19">
        <v>1906</v>
      </c>
      <c r="P336" s="93">
        <v>1296</v>
      </c>
      <c r="Q336" s="93">
        <v>10524</v>
      </c>
      <c r="R336" s="93">
        <v>3002</v>
      </c>
      <c r="S336" s="93">
        <v>2138</v>
      </c>
      <c r="T336" s="93">
        <v>1018</v>
      </c>
      <c r="U336" s="93">
        <v>443</v>
      </c>
      <c r="V336" s="93">
        <v>1793</v>
      </c>
      <c r="W336" s="93">
        <v>6348</v>
      </c>
      <c r="X336" s="93">
        <v>842</v>
      </c>
      <c r="Y336" s="93">
        <v>791</v>
      </c>
      <c r="Z336" s="93">
        <v>1154</v>
      </c>
      <c r="AA336" s="93">
        <v>1334</v>
      </c>
      <c r="AB336" s="20">
        <f t="shared" si="327"/>
        <v>32589</v>
      </c>
      <c r="AC336" s="25">
        <v>269</v>
      </c>
      <c r="AD336" s="97"/>
      <c r="AE336" s="1504">
        <v>44682</v>
      </c>
      <c r="AF336" s="19">
        <v>2855</v>
      </c>
      <c r="AG336" s="93">
        <v>1176</v>
      </c>
      <c r="AH336" s="93">
        <v>4396</v>
      </c>
      <c r="AI336" s="93">
        <v>4271</v>
      </c>
      <c r="AJ336" s="93">
        <v>1082</v>
      </c>
      <c r="AK336" s="93">
        <v>2198</v>
      </c>
      <c r="AL336" s="93">
        <v>1086</v>
      </c>
      <c r="AM336" s="93">
        <v>1561</v>
      </c>
      <c r="AN336" s="93">
        <v>8147</v>
      </c>
      <c r="AO336" s="93">
        <v>1034</v>
      </c>
      <c r="AP336" s="93">
        <v>1340</v>
      </c>
      <c r="AQ336" s="93">
        <v>1273</v>
      </c>
      <c r="AR336" s="93">
        <v>1293</v>
      </c>
      <c r="AS336" s="132">
        <f t="shared" si="323"/>
        <v>31712</v>
      </c>
      <c r="AT336" s="25">
        <v>269</v>
      </c>
      <c r="AU336" s="97"/>
      <c r="AV336" s="1504">
        <v>44682</v>
      </c>
      <c r="AW336" s="19">
        <v>11471</v>
      </c>
      <c r="AX336" s="93">
        <v>3678</v>
      </c>
      <c r="AY336" s="93">
        <v>3250</v>
      </c>
      <c r="AZ336" s="93">
        <v>16612</v>
      </c>
      <c r="BA336" s="93">
        <v>4158</v>
      </c>
      <c r="BB336" s="93">
        <v>7210</v>
      </c>
      <c r="BC336" s="93">
        <v>4742</v>
      </c>
      <c r="BD336" s="93">
        <v>10902</v>
      </c>
      <c r="BE336" s="93">
        <v>15118</v>
      </c>
      <c r="BF336" s="93">
        <v>4687</v>
      </c>
      <c r="BG336" s="93">
        <v>5283</v>
      </c>
      <c r="BH336" s="93">
        <v>5686</v>
      </c>
      <c r="BI336" s="93">
        <v>6376</v>
      </c>
      <c r="BJ336" s="132">
        <f t="shared" si="324"/>
        <v>99173</v>
      </c>
      <c r="BK336" s="25">
        <v>269</v>
      </c>
      <c r="BL336" s="97"/>
      <c r="BM336" s="1504">
        <v>44682</v>
      </c>
      <c r="BN336" s="733">
        <v>152.5</v>
      </c>
      <c r="BO336" s="570">
        <v>1792.4</v>
      </c>
      <c r="BP336" s="570">
        <v>14.4</v>
      </c>
      <c r="BQ336" s="570">
        <v>892.6</v>
      </c>
      <c r="BR336" s="570">
        <v>3.3</v>
      </c>
      <c r="BS336" s="570">
        <v>317.10000000000002</v>
      </c>
      <c r="BT336" s="570">
        <v>497.7</v>
      </c>
      <c r="BU336" s="132">
        <f t="shared" si="325"/>
        <v>3670</v>
      </c>
      <c r="BV336" s="25">
        <v>269</v>
      </c>
      <c r="BW336" s="97"/>
      <c r="BX336" s="1504">
        <v>44682</v>
      </c>
      <c r="BY336" s="19">
        <v>619.9171</v>
      </c>
      <c r="BZ336" s="93">
        <v>655.95699999999999</v>
      </c>
      <c r="CA336" s="93">
        <v>633.06219999999996</v>
      </c>
      <c r="CB336" s="93">
        <v>39.015141999999997</v>
      </c>
      <c r="CC336" s="93">
        <v>81.118624999999994</v>
      </c>
      <c r="CD336" s="25">
        <v>269</v>
      </c>
      <c r="CE336" s="97"/>
      <c r="CF336" s="1504">
        <v>44682</v>
      </c>
      <c r="CG336" s="19">
        <v>3.6100652499999999</v>
      </c>
      <c r="CH336" s="93">
        <v>1848.5</v>
      </c>
      <c r="CI336" s="219">
        <v>110.09666666667</v>
      </c>
      <c r="CJ336" s="20">
        <v>112.37</v>
      </c>
      <c r="CK336" s="19">
        <v>442.86</v>
      </c>
      <c r="CL336" s="93">
        <v>344.84005919999998</v>
      </c>
      <c r="CM336" s="93">
        <v>0.42879858999999998</v>
      </c>
      <c r="CN336" s="93">
        <v>0.34546782399999998</v>
      </c>
      <c r="CO336" s="93">
        <v>522.29</v>
      </c>
      <c r="CP336" s="20">
        <v>6.0816647320000001</v>
      </c>
      <c r="CQ336" s="219">
        <v>2146.29</v>
      </c>
      <c r="CR336" s="93">
        <v>2.3766666666699998</v>
      </c>
      <c r="CS336" s="93">
        <v>2.0579999999999998</v>
      </c>
      <c r="CT336" s="93">
        <v>255</v>
      </c>
      <c r="CU336" s="93">
        <v>131.21</v>
      </c>
      <c r="CV336" s="214">
        <v>3751.48</v>
      </c>
      <c r="CW336" s="29">
        <v>269</v>
      </c>
      <c r="CX336" s="41">
        <f t="shared" si="319"/>
        <v>2022</v>
      </c>
      <c r="CY336" s="1504">
        <v>44682</v>
      </c>
      <c r="CZ336" s="19"/>
      <c r="DA336" s="93"/>
      <c r="DB336" s="93"/>
      <c r="DC336" s="93"/>
      <c r="DD336" s="93"/>
      <c r="DE336" s="20"/>
      <c r="DF336" s="29"/>
      <c r="DG336" s="1504">
        <v>44682</v>
      </c>
      <c r="DH336" s="19">
        <v>504036</v>
      </c>
      <c r="DI336" s="93">
        <v>5421029</v>
      </c>
      <c r="DJ336" s="93">
        <v>304091</v>
      </c>
      <c r="DK336" s="93">
        <v>16701</v>
      </c>
      <c r="DL336" s="93">
        <v>496323</v>
      </c>
      <c r="DM336" s="93">
        <v>5628</v>
      </c>
      <c r="DN336" s="20">
        <v>1780223</v>
      </c>
      <c r="DO336" s="295">
        <f>SUM(DI336:DN336)</f>
        <v>8023995</v>
      </c>
      <c r="DP336" s="29">
        <v>269</v>
      </c>
      <c r="DQ336" s="1504">
        <v>44682</v>
      </c>
      <c r="DR336" s="19">
        <v>87584.047000000006</v>
      </c>
      <c r="DS336" s="93">
        <v>355.5</v>
      </c>
      <c r="DT336" s="93">
        <v>66805.285000000003</v>
      </c>
      <c r="DU336" s="93">
        <v>2243.4349999999999</v>
      </c>
      <c r="DV336" s="93">
        <v>39866.190999999999</v>
      </c>
      <c r="DW336" s="93">
        <v>3326</v>
      </c>
      <c r="DX336" s="20">
        <v>18426.719642857141</v>
      </c>
      <c r="DY336" s="29">
        <v>269</v>
      </c>
      <c r="DZ336" s="1504">
        <v>44682</v>
      </c>
      <c r="EA336" s="19"/>
      <c r="EB336" s="93"/>
      <c r="EC336" s="20"/>
      <c r="ED336" s="29"/>
      <c r="EE336" s="1504">
        <v>44682</v>
      </c>
      <c r="EF336" s="19">
        <f t="shared" si="307"/>
        <v>17093</v>
      </c>
      <c r="EG336" s="93">
        <f t="shared" si="308"/>
        <v>17245</v>
      </c>
      <c r="EH336" s="93">
        <f t="shared" si="309"/>
        <v>47130</v>
      </c>
      <c r="EI336" s="214">
        <f t="shared" si="310"/>
        <v>12792</v>
      </c>
      <c r="EJ336" s="93">
        <f t="shared" si="311"/>
        <v>596.45899999999995</v>
      </c>
      <c r="EK336" s="93">
        <f t="shared" si="312"/>
        <v>252.27699999999999</v>
      </c>
      <c r="EL336" s="93">
        <f t="shared" si="313"/>
        <v>55.432000000000002</v>
      </c>
      <c r="EM336" s="93">
        <f t="shared" si="314"/>
        <v>13.452999999999999</v>
      </c>
      <c r="EN336" s="20">
        <f t="shared" si="317"/>
        <v>917.62099999999987</v>
      </c>
      <c r="EO336" s="29">
        <v>269</v>
      </c>
      <c r="EP336" s="1504">
        <v>44682</v>
      </c>
      <c r="EQ336" s="19">
        <v>16477</v>
      </c>
      <c r="ER336" s="93">
        <v>16696</v>
      </c>
      <c r="ES336" s="93">
        <f t="shared" si="315"/>
        <v>33173</v>
      </c>
      <c r="ET336" s="214">
        <v>12609</v>
      </c>
      <c r="EU336" s="93">
        <v>596.45899999999995</v>
      </c>
      <c r="EV336" s="93">
        <v>252.27699999999999</v>
      </c>
      <c r="EW336" s="93">
        <v>55.432000000000002</v>
      </c>
      <c r="EX336" s="93">
        <v>13.452999999999999</v>
      </c>
      <c r="EY336" s="20">
        <f t="shared" si="321"/>
        <v>917.62099999999987</v>
      </c>
      <c r="EZ336" s="29">
        <v>269</v>
      </c>
      <c r="FA336" s="1504">
        <v>44682</v>
      </c>
      <c r="FB336" s="29">
        <v>616</v>
      </c>
      <c r="FC336" s="29">
        <v>549</v>
      </c>
      <c r="FD336" s="29">
        <f t="shared" si="316"/>
        <v>1165</v>
      </c>
      <c r="FE336" s="29">
        <v>183</v>
      </c>
      <c r="FF336" s="29">
        <v>0</v>
      </c>
      <c r="FG336" s="29">
        <v>0</v>
      </c>
      <c r="FH336" s="29">
        <v>0</v>
      </c>
      <c r="FI336" s="29">
        <v>0</v>
      </c>
      <c r="FJ336" s="29">
        <f t="shared" si="326"/>
        <v>0</v>
      </c>
      <c r="FK336" s="29">
        <v>269</v>
      </c>
      <c r="FL336" s="1504">
        <v>44682</v>
      </c>
      <c r="FM336" s="19">
        <v>124.51</v>
      </c>
      <c r="FN336" s="93">
        <v>142.22</v>
      </c>
      <c r="FO336" s="93">
        <v>158.28</v>
      </c>
      <c r="FP336" s="93">
        <v>101.61</v>
      </c>
      <c r="FQ336" s="93">
        <v>102.7</v>
      </c>
      <c r="FR336" s="93">
        <v>101.6</v>
      </c>
      <c r="FS336" s="93">
        <v>100.61</v>
      </c>
      <c r="FT336" s="93">
        <v>103.79</v>
      </c>
      <c r="FU336" s="93">
        <v>98.74</v>
      </c>
      <c r="FV336" s="93">
        <v>101.27</v>
      </c>
      <c r="FW336" s="93">
        <v>112.14</v>
      </c>
      <c r="FX336" s="93">
        <v>107.2</v>
      </c>
      <c r="FY336" s="93">
        <v>101.38</v>
      </c>
      <c r="FZ336" s="29">
        <v>269</v>
      </c>
      <c r="GA336" s="1504">
        <v>44682</v>
      </c>
      <c r="GB336" s="19">
        <v>124.51</v>
      </c>
      <c r="GC336" s="93">
        <v>107.75</v>
      </c>
      <c r="GD336" s="93">
        <v>132.58000000000001</v>
      </c>
      <c r="GE336" s="93">
        <v>102.37</v>
      </c>
      <c r="GF336" s="93">
        <v>161.35</v>
      </c>
      <c r="GG336" s="93">
        <v>110.98</v>
      </c>
      <c r="GH336" s="93">
        <v>153.69</v>
      </c>
      <c r="GI336" s="93">
        <v>109.49</v>
      </c>
      <c r="GJ336" s="93">
        <v>105.2</v>
      </c>
      <c r="GK336" s="93">
        <v>100.26</v>
      </c>
      <c r="GL336" s="93">
        <v>136.25</v>
      </c>
      <c r="GM336" s="93">
        <v>101.63</v>
      </c>
      <c r="GN336" s="20">
        <v>105.2</v>
      </c>
      <c r="GO336" s="29">
        <v>269</v>
      </c>
      <c r="GP336" s="1504">
        <v>44682</v>
      </c>
      <c r="GQ336" s="19">
        <v>416</v>
      </c>
      <c r="GR336" s="93">
        <v>375</v>
      </c>
      <c r="GS336" s="93">
        <v>347</v>
      </c>
      <c r="GT336" s="93">
        <v>324</v>
      </c>
      <c r="GU336" s="93">
        <v>438</v>
      </c>
      <c r="GV336" s="20">
        <v>1045</v>
      </c>
      <c r="GW336" s="19">
        <v>632</v>
      </c>
      <c r="GX336" s="93">
        <v>682</v>
      </c>
      <c r="GY336" s="93">
        <v>595</v>
      </c>
      <c r="GZ336" s="93">
        <v>479</v>
      </c>
      <c r="HA336" s="93">
        <v>381</v>
      </c>
      <c r="HB336" s="20">
        <v>880</v>
      </c>
      <c r="HC336" s="19">
        <v>2567</v>
      </c>
      <c r="HD336" s="93">
        <v>2820</v>
      </c>
      <c r="HE336" s="93">
        <v>2863</v>
      </c>
      <c r="HF336" s="93">
        <v>3150</v>
      </c>
      <c r="HG336" s="93">
        <v>3541</v>
      </c>
      <c r="HH336" s="20">
        <v>3766</v>
      </c>
      <c r="HI336" s="19"/>
      <c r="HJ336" s="93">
        <v>952</v>
      </c>
      <c r="HK336" s="93">
        <v>1991</v>
      </c>
      <c r="HL336" s="93">
        <v>952</v>
      </c>
      <c r="HM336" s="93">
        <v>1202</v>
      </c>
      <c r="HN336" s="20">
        <v>2630</v>
      </c>
      <c r="HO336" s="219">
        <v>247</v>
      </c>
      <c r="HP336" s="20">
        <v>98</v>
      </c>
      <c r="HQ336" s="25">
        <v>226</v>
      </c>
      <c r="HR336" s="29">
        <v>269</v>
      </c>
      <c r="HS336" s="1504">
        <v>44682</v>
      </c>
      <c r="HT336" s="19">
        <v>437.67649536132814</v>
      </c>
      <c r="HU336" s="93">
        <v>414.93057250976563</v>
      </c>
      <c r="HV336" s="93">
        <v>324.33343607584635</v>
      </c>
      <c r="HW336" s="93">
        <v>274.23469161987305</v>
      </c>
      <c r="HX336" s="93">
        <v>369.44443511962891</v>
      </c>
      <c r="HY336" s="93">
        <v>386.74032592773438</v>
      </c>
      <c r="HZ336" s="93">
        <v>366.9967041015625</v>
      </c>
      <c r="IA336" s="20">
        <v>410.82721252441405</v>
      </c>
      <c r="IB336" s="19">
        <v>363.97058868408203</v>
      </c>
      <c r="IC336" s="93">
        <v>306.62569580078127</v>
      </c>
      <c r="ID336" s="93">
        <v>336.20688629150391</v>
      </c>
      <c r="IE336" s="93">
        <v>246.75325317382811</v>
      </c>
      <c r="IF336" s="93">
        <v>332.29812622070313</v>
      </c>
      <c r="IG336" s="20">
        <v>266.82001953125001</v>
      </c>
      <c r="IH336" s="19">
        <v>273.29364624023435</v>
      </c>
      <c r="II336" s="93">
        <v>358.17963409423828</v>
      </c>
      <c r="IJ336" s="93">
        <v>306.95827636718752</v>
      </c>
      <c r="IK336" s="93">
        <v>301.33929443359375</v>
      </c>
      <c r="IL336" s="93">
        <v>298.61110941569012</v>
      </c>
      <c r="IM336" s="93">
        <v>271.89541625976563</v>
      </c>
      <c r="IN336" s="93">
        <v>298.24563598632813</v>
      </c>
      <c r="IO336" s="20">
        <v>341.29609298706055</v>
      </c>
      <c r="IP336" s="29">
        <v>269</v>
      </c>
      <c r="IQ336" s="19">
        <v>321.09006500244141</v>
      </c>
      <c r="IR336" s="93">
        <v>231.65030212402343</v>
      </c>
      <c r="IS336" s="93">
        <v>233.8709716796875</v>
      </c>
      <c r="IT336" s="93">
        <v>201.30293579101561</v>
      </c>
      <c r="IU336" s="93">
        <v>287.06622924804685</v>
      </c>
      <c r="IV336" s="20">
        <v>226.26850585937501</v>
      </c>
      <c r="IW336" s="29">
        <v>269</v>
      </c>
      <c r="IX336" s="19">
        <v>432</v>
      </c>
      <c r="IY336" s="93">
        <v>415.99462890625</v>
      </c>
      <c r="IZ336" s="93">
        <v>440</v>
      </c>
      <c r="JA336" s="93">
        <v>425</v>
      </c>
      <c r="JB336" s="93">
        <v>460</v>
      </c>
      <c r="JC336" s="93">
        <v>425</v>
      </c>
      <c r="JD336" s="93">
        <v>480</v>
      </c>
      <c r="JE336" s="20">
        <v>500</v>
      </c>
      <c r="JF336" s="29">
        <v>269</v>
      </c>
      <c r="JG336" s="19">
        <v>336.34979756673181</v>
      </c>
      <c r="JH336" s="93">
        <v>373.76193618774414</v>
      </c>
      <c r="JI336" s="93">
        <v>326.66667480468749</v>
      </c>
      <c r="JJ336" s="93">
        <v>256.09756851196289</v>
      </c>
      <c r="JK336" s="93">
        <v>297.62929534912109</v>
      </c>
      <c r="JL336" s="93">
        <v>324.32432556152344</v>
      </c>
      <c r="JM336" s="93">
        <v>312.83783569335935</v>
      </c>
      <c r="JN336" s="20">
        <v>445.56400756835939</v>
      </c>
      <c r="JO336" s="29">
        <v>269</v>
      </c>
      <c r="JP336" s="19">
        <v>237.41466903686523</v>
      </c>
      <c r="JQ336" s="93">
        <v>223.72930603027345</v>
      </c>
      <c r="JR336" s="93">
        <v>266.1290283203125</v>
      </c>
      <c r="JS336" s="93">
        <v>198.05825500488282</v>
      </c>
      <c r="JT336" s="93">
        <v>335.42318725585938</v>
      </c>
      <c r="JU336" s="20">
        <v>225.47699584960938</v>
      </c>
      <c r="JV336" s="29">
        <v>269</v>
      </c>
      <c r="JW336" s="1504">
        <v>44682</v>
      </c>
      <c r="JX336" s="19"/>
      <c r="JY336" s="93"/>
      <c r="JZ336" s="93"/>
      <c r="KA336" s="93"/>
      <c r="KB336" s="93"/>
      <c r="KC336" s="93"/>
      <c r="KD336" s="20"/>
      <c r="KE336" s="29"/>
      <c r="KF336" s="19"/>
      <c r="KG336" s="93"/>
      <c r="KH336" s="93"/>
      <c r="KI336" s="93"/>
      <c r="KJ336" s="93"/>
      <c r="KK336" s="20"/>
      <c r="KL336" s="29"/>
      <c r="KM336" s="19"/>
      <c r="KN336" s="93"/>
      <c r="KO336" s="93"/>
      <c r="KP336" s="93"/>
      <c r="KQ336" s="93"/>
      <c r="KR336" s="20"/>
      <c r="KS336" s="29"/>
      <c r="KT336" s="19"/>
      <c r="KU336" s="93"/>
      <c r="KV336" s="93"/>
      <c r="KW336" s="93"/>
      <c r="KX336" s="93"/>
      <c r="KY336" s="20"/>
      <c r="KZ336" s="29"/>
      <c r="LA336" s="1504">
        <v>44682</v>
      </c>
      <c r="LB336" s="19"/>
      <c r="LC336" s="93"/>
      <c r="LD336" s="93"/>
      <c r="LE336" s="93"/>
      <c r="LF336" s="93"/>
      <c r="LG336" s="93"/>
      <c r="LH336" s="20"/>
      <c r="LI336" s="29"/>
      <c r="LJ336" s="19"/>
      <c r="LK336" s="93"/>
      <c r="LL336" s="93"/>
      <c r="LM336" s="93"/>
      <c r="LN336" s="93"/>
      <c r="LO336" s="20"/>
      <c r="LP336" s="29"/>
      <c r="LQ336" s="19"/>
      <c r="LR336" s="93">
        <v>188</v>
      </c>
      <c r="LS336" s="93">
        <v>463</v>
      </c>
      <c r="LT336" s="93">
        <v>663</v>
      </c>
      <c r="LU336" s="93">
        <v>1104</v>
      </c>
      <c r="LV336" s="93"/>
      <c r="LW336" s="93">
        <v>5</v>
      </c>
      <c r="LX336" s="93">
        <v>10</v>
      </c>
      <c r="LY336" s="93">
        <v>60</v>
      </c>
      <c r="LZ336" s="93"/>
      <c r="MA336" s="20"/>
      <c r="MB336" s="29">
        <v>269</v>
      </c>
      <c r="MC336" s="1504">
        <v>44682</v>
      </c>
      <c r="MD336" s="19">
        <v>877.89105681402805</v>
      </c>
      <c r="ME336" s="93">
        <v>864.93458053936195</v>
      </c>
      <c r="MF336" s="93">
        <v>864.93458053936195</v>
      </c>
      <c r="MG336" s="93">
        <v>791.03318256936188</v>
      </c>
      <c r="MH336" s="93">
        <v>302.05749986800004</v>
      </c>
      <c r="MI336" s="93">
        <v>8.2839836120000001</v>
      </c>
      <c r="MJ336" s="93">
        <v>19.060878567161907</v>
      </c>
      <c r="MK336" s="93">
        <v>354.40771599819999</v>
      </c>
      <c r="ML336" s="93">
        <v>106.72976273100001</v>
      </c>
      <c r="MM336" s="93">
        <v>0.49334179300000003</v>
      </c>
      <c r="MN336" s="93">
        <v>73.901397970000005</v>
      </c>
      <c r="MO336" s="93">
        <v>2.1840159409999997</v>
      </c>
      <c r="MP336" s="93">
        <v>16.539591947000002</v>
      </c>
      <c r="MQ336" s="93">
        <v>1.1678265779999999</v>
      </c>
      <c r="MR336" s="93">
        <v>10.200907693</v>
      </c>
      <c r="MS336" s="93">
        <v>43.809055811000007</v>
      </c>
      <c r="MT336" s="93">
        <v>0</v>
      </c>
      <c r="MU336" s="93">
        <v>12.956476274666022</v>
      </c>
      <c r="MV336" s="93">
        <v>12.956476274666022</v>
      </c>
      <c r="MW336" s="93">
        <v>0</v>
      </c>
      <c r="MX336" s="93">
        <v>1060.5926446814601</v>
      </c>
      <c r="MY336" s="93">
        <v>1067.2299029784601</v>
      </c>
      <c r="MZ336" s="93">
        <v>889.09088430240536</v>
      </c>
      <c r="NA336" s="93">
        <v>401.97876777566671</v>
      </c>
      <c r="NB336" s="93">
        <v>87.756286786999993</v>
      </c>
      <c r="NC336" s="93">
        <v>93.162834233738565</v>
      </c>
      <c r="ND336" s="93">
        <v>79.047202350888995</v>
      </c>
      <c r="NE336" s="93">
        <v>14.115631882849579</v>
      </c>
      <c r="NF336" s="93">
        <v>306.19299550600005</v>
      </c>
      <c r="NG336" s="93">
        <v>0</v>
      </c>
      <c r="NH336" s="93">
        <v>46.648021331000002</v>
      </c>
      <c r="NI336" s="93">
        <v>0</v>
      </c>
      <c r="NJ336" s="93">
        <v>124.908198125</v>
      </c>
      <c r="NK336" s="93">
        <v>178.13901867605486</v>
      </c>
      <c r="NL336" s="93">
        <v>130.25445656700001</v>
      </c>
      <c r="NM336" s="93">
        <v>0.91370688499999997</v>
      </c>
      <c r="NN336" s="93">
        <v>46.970855224054851</v>
      </c>
      <c r="NO336" s="93">
        <v>-6.6372582970000078</v>
      </c>
      <c r="NP336" s="93">
        <v>-182.7015878674321</v>
      </c>
      <c r="NQ336" s="93">
        <v>-195.65806414209811</v>
      </c>
      <c r="NR336" s="93">
        <v>-55.52437468430464</v>
      </c>
      <c r="NS336" s="93">
        <v>-148.68720891804324</v>
      </c>
      <c r="NT336" s="93">
        <v>-245.08878360997329</v>
      </c>
      <c r="NU336" s="93">
        <v>-258.04525988463934</v>
      </c>
      <c r="NV336" s="93">
        <v>245.89920075175644</v>
      </c>
      <c r="NW336" s="93">
        <v>4.8243218347564181</v>
      </c>
      <c r="NX336" s="93">
        <v>34.638777979388827</v>
      </c>
      <c r="NY336" s="93">
        <v>-29.814456144632409</v>
      </c>
      <c r="NZ336" s="93">
        <v>0</v>
      </c>
      <c r="OA336" s="93">
        <v>241.07487891700004</v>
      </c>
      <c r="OB336" s="93">
        <v>195.0289704539</v>
      </c>
      <c r="OC336" s="93">
        <v>46.045908463100005</v>
      </c>
      <c r="OD336" s="19">
        <v>-0.81041714178313318</v>
      </c>
      <c r="OE336" s="29">
        <v>269</v>
      </c>
      <c r="OF336" s="1504">
        <v>44682</v>
      </c>
      <c r="OG336" s="19"/>
      <c r="OH336" s="93">
        <v>835.85004947300001</v>
      </c>
      <c r="OI336" s="93">
        <v>2579.9564671369994</v>
      </c>
      <c r="OJ336" s="93">
        <v>2.4249559070000002</v>
      </c>
      <c r="OK336" s="93">
        <v>2275.9309999999996</v>
      </c>
      <c r="OL336" s="93">
        <v>301.60051123</v>
      </c>
      <c r="OM336" s="93">
        <v>3415.8065166099996</v>
      </c>
      <c r="ON336" s="93">
        <v>2073.172108319</v>
      </c>
      <c r="OO336" s="93">
        <v>5488.9786249289991</v>
      </c>
      <c r="OP336" s="93"/>
      <c r="OQ336" s="93">
        <v>2225.5983469760004</v>
      </c>
      <c r="OR336" s="93">
        <v>28.015346975999933</v>
      </c>
      <c r="OS336" s="93">
        <v>2197.5830000000005</v>
      </c>
      <c r="OT336" s="93">
        <v>3784.0068229709996</v>
      </c>
      <c r="OU336" s="93">
        <v>60.933205928000071</v>
      </c>
      <c r="OV336" s="93">
        <v>19.201205927999986</v>
      </c>
      <c r="OW336" s="93">
        <v>41.732000000000085</v>
      </c>
      <c r="OX336" s="93">
        <v>3723.0736170429996</v>
      </c>
      <c r="OY336" s="93">
        <v>8.763617043</v>
      </c>
      <c r="OZ336" s="93">
        <v>3714.31</v>
      </c>
      <c r="PA336" s="93">
        <v>1051.1620466519998</v>
      </c>
      <c r="PB336" s="93">
        <v>-530.53550163400018</v>
      </c>
      <c r="PC336" s="20">
        <v>5488.978624929</v>
      </c>
      <c r="PD336" s="29">
        <v>269</v>
      </c>
      <c r="PE336" s="19"/>
      <c r="PF336" s="93">
        <v>28.015346975999933</v>
      </c>
      <c r="PG336" s="93">
        <v>895.92559542200001</v>
      </c>
      <c r="PH336" s="93">
        <v>867.91024844600008</v>
      </c>
      <c r="PI336" s="93">
        <v>1166.0687781500001</v>
      </c>
      <c r="PJ336" s="93">
        <v>25.766408265999985</v>
      </c>
      <c r="PK336" s="93">
        <v>290.08738749600002</v>
      </c>
      <c r="PL336" s="93">
        <v>264.32097923000003</v>
      </c>
      <c r="PM336" s="93">
        <v>8.763617043</v>
      </c>
      <c r="PN336" s="93">
        <v>3.7240000000000002</v>
      </c>
      <c r="PO336" s="93">
        <v>0</v>
      </c>
      <c r="PP336" s="93">
        <v>0</v>
      </c>
      <c r="PQ336" s="93">
        <v>5.0396170429999998</v>
      </c>
      <c r="PR336" s="93">
        <v>1237.7954860929999</v>
      </c>
      <c r="PS336" s="93">
        <v>956.35525181100002</v>
      </c>
      <c r="PT336" s="93">
        <v>278.68217005600002</v>
      </c>
      <c r="PU336" s="93">
        <v>2.7580642260000001</v>
      </c>
      <c r="PV336" s="93">
        <v>0</v>
      </c>
      <c r="PW336" s="93">
        <v>0.28726054099999998</v>
      </c>
      <c r="PX336" s="93">
        <v>0</v>
      </c>
      <c r="PY336" s="93">
        <v>0</v>
      </c>
      <c r="PZ336" s="93">
        <v>0.28726054099999998</v>
      </c>
      <c r="QA336" s="93">
        <v>0</v>
      </c>
      <c r="QB336" s="93">
        <v>0</v>
      </c>
      <c r="QC336" s="93">
        <v>0</v>
      </c>
      <c r="QD336" s="93">
        <v>4.6377861110000005</v>
      </c>
      <c r="QE336" s="20">
        <v>-14.106382310000003</v>
      </c>
      <c r="QF336" s="1739">
        <v>269</v>
      </c>
      <c r="QG336" s="19"/>
      <c r="QH336" s="93">
        <v>2197.5830000000005</v>
      </c>
      <c r="QI336" s="93">
        <v>2538.6430000000005</v>
      </c>
      <c r="QJ336" s="93">
        <v>-341.06</v>
      </c>
      <c r="QK336" s="93">
        <v>454.92600000000004</v>
      </c>
      <c r="QL336" s="93">
        <v>113.94</v>
      </c>
      <c r="QM336" s="93">
        <v>340.98600000000005</v>
      </c>
      <c r="QN336" s="93">
        <v>0</v>
      </c>
      <c r="QO336" s="93">
        <v>41.732000000000085</v>
      </c>
      <c r="QP336" s="93">
        <v>1055.191</v>
      </c>
      <c r="QQ336" s="93">
        <v>-1013.4589999999999</v>
      </c>
      <c r="QR336" s="93">
        <v>3714.31</v>
      </c>
      <c r="QS336" s="93">
        <v>47.010999999999996</v>
      </c>
      <c r="QT336" s="93">
        <v>1.7000000000000001E-2</v>
      </c>
      <c r="QU336" s="93">
        <v>270.60899999999998</v>
      </c>
      <c r="QV336" s="93">
        <v>3396.6729999999998</v>
      </c>
      <c r="QW336" s="93"/>
      <c r="QX336" s="93">
        <v>1158.636</v>
      </c>
      <c r="QY336" s="93">
        <v>2275.931</v>
      </c>
      <c r="QZ336" s="93">
        <v>2072.8389999999999</v>
      </c>
      <c r="RA336" s="93">
        <v>0</v>
      </c>
      <c r="RB336" s="93">
        <v>252.09199999999998</v>
      </c>
      <c r="RC336" s="93">
        <v>0</v>
      </c>
      <c r="RD336" s="93">
        <v>51.150999999999996</v>
      </c>
      <c r="RE336" s="93">
        <v>0</v>
      </c>
      <c r="RF336" s="93">
        <v>0</v>
      </c>
      <c r="RG336" s="93">
        <v>742.99399999999991</v>
      </c>
      <c r="RH336" s="93">
        <v>-145.09200000000004</v>
      </c>
      <c r="RI336" s="93"/>
      <c r="RJ336" s="93"/>
      <c r="RK336" s="93"/>
      <c r="RL336" s="93"/>
      <c r="RM336" s="20"/>
      <c r="RN336" s="29">
        <v>269</v>
      </c>
      <c r="RO336" s="419">
        <f t="shared" si="328"/>
        <v>406.15219606391281</v>
      </c>
      <c r="RP336" s="306">
        <f t="shared" si="328"/>
        <v>109.08608906260868</v>
      </c>
      <c r="RQ336" s="29">
        <v>269</v>
      </c>
      <c r="RR336" s="20">
        <v>5.5975040000000007</v>
      </c>
      <c r="RS336" s="29">
        <v>269</v>
      </c>
      <c r="RT336" s="1504">
        <v>44682</v>
      </c>
      <c r="RU336" s="419">
        <f t="shared" si="329"/>
        <v>1523.143521668168</v>
      </c>
      <c r="RV336" s="306">
        <f t="shared" si="329"/>
        <v>117.07705605082718</v>
      </c>
      <c r="RW336" s="29">
        <v>269</v>
      </c>
      <c r="RX336" s="1504">
        <v>44682</v>
      </c>
      <c r="RY336" s="29"/>
      <c r="RZ336" s="20"/>
      <c r="SA336" s="29"/>
      <c r="SB336" s="29"/>
    </row>
    <row r="337" spans="1:496">
      <c r="A337" s="41">
        <f t="shared" si="238"/>
        <v>2022</v>
      </c>
      <c r="B337" s="1504">
        <v>44713</v>
      </c>
      <c r="C337" s="1813">
        <v>1760</v>
      </c>
      <c r="D337" s="1814">
        <v>31429</v>
      </c>
      <c r="E337" s="1814">
        <v>83</v>
      </c>
      <c r="F337" s="1815"/>
      <c r="G337" s="1814">
        <v>192862</v>
      </c>
      <c r="H337" s="1814">
        <v>31</v>
      </c>
      <c r="I337" s="1814">
        <v>32267</v>
      </c>
      <c r="J337" s="1816">
        <v>18802</v>
      </c>
      <c r="K337" s="1807">
        <f t="shared" si="322"/>
        <v>277234</v>
      </c>
      <c r="L337" s="25">
        <v>270</v>
      </c>
      <c r="M337" s="97"/>
      <c r="N337" s="1504">
        <v>44713</v>
      </c>
      <c r="O337" s="19">
        <v>2082</v>
      </c>
      <c r="P337" s="93">
        <v>1265</v>
      </c>
      <c r="Q337" s="93">
        <v>10363</v>
      </c>
      <c r="R337" s="93">
        <v>2803</v>
      </c>
      <c r="S337" s="93">
        <v>1438</v>
      </c>
      <c r="T337" s="93">
        <v>906</v>
      </c>
      <c r="U337" s="93">
        <v>467</v>
      </c>
      <c r="V337" s="93">
        <v>1385</v>
      </c>
      <c r="W337" s="93">
        <v>7006</v>
      </c>
      <c r="X337" s="93">
        <v>804</v>
      </c>
      <c r="Y337" s="93">
        <v>588</v>
      </c>
      <c r="Z337" s="93">
        <v>1223</v>
      </c>
      <c r="AA337" s="93">
        <v>1099</v>
      </c>
      <c r="AB337" s="20">
        <f t="shared" si="327"/>
        <v>31429</v>
      </c>
      <c r="AC337" s="25">
        <v>270</v>
      </c>
      <c r="AD337" s="97"/>
      <c r="AE337" s="1504">
        <v>44713</v>
      </c>
      <c r="AF337" s="19">
        <v>2580</v>
      </c>
      <c r="AG337" s="93">
        <v>979</v>
      </c>
      <c r="AH337" s="93">
        <v>4294</v>
      </c>
      <c r="AI337" s="93">
        <v>4592</v>
      </c>
      <c r="AJ337" s="93">
        <v>823</v>
      </c>
      <c r="AK337" s="93">
        <v>2122</v>
      </c>
      <c r="AL337" s="93">
        <v>1069</v>
      </c>
      <c r="AM337" s="93">
        <v>1092</v>
      </c>
      <c r="AN337" s="93">
        <v>9582</v>
      </c>
      <c r="AO337" s="93">
        <v>1123</v>
      </c>
      <c r="AP337" s="93">
        <v>1495</v>
      </c>
      <c r="AQ337" s="93">
        <v>1285</v>
      </c>
      <c r="AR337" s="93">
        <v>1231</v>
      </c>
      <c r="AS337" s="132">
        <f t="shared" si="323"/>
        <v>32267</v>
      </c>
      <c r="AT337" s="25">
        <v>270</v>
      </c>
      <c r="AU337" s="97"/>
      <c r="AV337" s="1504">
        <v>44713</v>
      </c>
      <c r="AW337" s="19">
        <v>12099</v>
      </c>
      <c r="AX337" s="93">
        <v>4027</v>
      </c>
      <c r="AY337" s="93">
        <v>3304</v>
      </c>
      <c r="AZ337" s="93">
        <v>17922</v>
      </c>
      <c r="BA337" s="93">
        <v>4228</v>
      </c>
      <c r="BB337" s="93">
        <v>8808</v>
      </c>
      <c r="BC337" s="93">
        <v>5947</v>
      </c>
      <c r="BD337" s="93">
        <v>9354</v>
      </c>
      <c r="BE337" s="93">
        <v>10153</v>
      </c>
      <c r="BF337" s="93">
        <v>5537</v>
      </c>
      <c r="BG337" s="93">
        <v>5909</v>
      </c>
      <c r="BH337" s="93">
        <v>6431</v>
      </c>
      <c r="BI337" s="93">
        <v>7766</v>
      </c>
      <c r="BJ337" s="132">
        <f t="shared" si="324"/>
        <v>101485</v>
      </c>
      <c r="BK337" s="25">
        <v>270</v>
      </c>
      <c r="BL337" s="97"/>
      <c r="BM337" s="1504">
        <v>44713</v>
      </c>
      <c r="BN337" s="733">
        <v>96.8</v>
      </c>
      <c r="BO337" s="570">
        <v>1728.6</v>
      </c>
      <c r="BP337" s="570">
        <v>16.600000000000001</v>
      </c>
      <c r="BQ337" s="570">
        <v>1735.8</v>
      </c>
      <c r="BR337" s="570">
        <v>5.4</v>
      </c>
      <c r="BS337" s="570">
        <v>322.7</v>
      </c>
      <c r="BT337" s="570">
        <v>526.5</v>
      </c>
      <c r="BU337" s="132">
        <f t="shared" si="325"/>
        <v>4432.3999999999996</v>
      </c>
      <c r="BV337" s="25">
        <v>270</v>
      </c>
      <c r="BW337" s="97"/>
      <c r="BX337" s="1504">
        <v>44713</v>
      </c>
      <c r="BY337" s="19">
        <v>620.94889999999998</v>
      </c>
      <c r="BZ337" s="93">
        <v>655.95699999999999</v>
      </c>
      <c r="CA337" s="93">
        <v>640.17939999999999</v>
      </c>
      <c r="CB337" s="93">
        <v>39.235460000000003</v>
      </c>
      <c r="CC337" s="93">
        <v>78.363695000000007</v>
      </c>
      <c r="CD337" s="25">
        <v>270</v>
      </c>
      <c r="CE337" s="97"/>
      <c r="CF337" s="1504">
        <v>44713</v>
      </c>
      <c r="CG337" s="19">
        <v>3.3988626540000002</v>
      </c>
      <c r="CH337" s="93">
        <v>1836.57</v>
      </c>
      <c r="CI337" s="219">
        <v>116.8</v>
      </c>
      <c r="CJ337" s="20">
        <v>120.08</v>
      </c>
      <c r="CK337" s="19">
        <v>427.55</v>
      </c>
      <c r="CL337" s="93">
        <v>335.71455680000003</v>
      </c>
      <c r="CM337" s="93">
        <v>0.41777549000000003</v>
      </c>
      <c r="CN337" s="93">
        <v>0.34530454399999999</v>
      </c>
      <c r="CO337" s="93">
        <v>459.59</v>
      </c>
      <c r="CP337" s="20">
        <v>5.984110297</v>
      </c>
      <c r="CQ337" s="219">
        <v>2146.19</v>
      </c>
      <c r="CR337" s="93">
        <v>2.11</v>
      </c>
      <c r="CS337" s="93">
        <v>2.0301999999999998</v>
      </c>
      <c r="CT337" s="93">
        <v>287.5</v>
      </c>
      <c r="CU337" s="93">
        <v>130.74</v>
      </c>
      <c r="CV337" s="214">
        <v>3629.73</v>
      </c>
      <c r="CW337" s="29">
        <v>270</v>
      </c>
      <c r="CX337" s="41">
        <f t="shared" si="319"/>
        <v>2022</v>
      </c>
      <c r="CY337" s="1504">
        <v>44713</v>
      </c>
      <c r="CZ337" s="19"/>
      <c r="DA337" s="93"/>
      <c r="DB337" s="93"/>
      <c r="DC337" s="93"/>
      <c r="DD337" s="93"/>
      <c r="DE337" s="20"/>
      <c r="DF337" s="29"/>
      <c r="DG337" s="1504">
        <v>44713</v>
      </c>
      <c r="DH337" s="19">
        <v>507957</v>
      </c>
      <c r="DI337" s="93">
        <v>5101023</v>
      </c>
      <c r="DJ337" s="93">
        <v>293642</v>
      </c>
      <c r="DK337" s="93">
        <v>16334</v>
      </c>
      <c r="DL337" s="93">
        <v>467253</v>
      </c>
      <c r="DM337" s="93">
        <v>5740</v>
      </c>
      <c r="DN337" s="20">
        <v>1537703</v>
      </c>
      <c r="DO337" s="295">
        <f>SUM(DI337:DN337)</f>
        <v>7421695</v>
      </c>
      <c r="DP337" s="29">
        <v>270</v>
      </c>
      <c r="DQ337" s="1504">
        <v>44713</v>
      </c>
      <c r="DR337" s="19">
        <v>85539.683000000005</v>
      </c>
      <c r="DS337" s="93">
        <v>247</v>
      </c>
      <c r="DT337" s="93">
        <v>83762.289999999994</v>
      </c>
      <c r="DU337" s="93">
        <v>45386.13</v>
      </c>
      <c r="DV337" s="93">
        <v>20453.401000000002</v>
      </c>
      <c r="DW337" s="93">
        <v>2875</v>
      </c>
      <c r="DX337" s="20">
        <v>21235.14107142857</v>
      </c>
      <c r="DY337" s="29">
        <v>270</v>
      </c>
      <c r="DZ337" s="1504">
        <v>44713</v>
      </c>
      <c r="EA337" s="19"/>
      <c r="EB337" s="93"/>
      <c r="EC337" s="20"/>
      <c r="ED337" s="29"/>
      <c r="EE337" s="1504">
        <v>44713</v>
      </c>
      <c r="EF337" s="19">
        <f t="shared" si="307"/>
        <v>18947</v>
      </c>
      <c r="EG337" s="93">
        <f t="shared" si="308"/>
        <v>26524</v>
      </c>
      <c r="EH337" s="93">
        <f t="shared" si="309"/>
        <v>59550</v>
      </c>
      <c r="EI337" s="214">
        <f t="shared" si="310"/>
        <v>14079</v>
      </c>
      <c r="EJ337" s="93">
        <f t="shared" si="311"/>
        <v>578.54600000000005</v>
      </c>
      <c r="EK337" s="93">
        <f t="shared" si="312"/>
        <v>197.68299999999999</v>
      </c>
      <c r="EL337" s="93">
        <f t="shared" si="313"/>
        <v>7.7779999999999996</v>
      </c>
      <c r="EM337" s="93">
        <f t="shared" si="314"/>
        <v>9.7249999999999996</v>
      </c>
      <c r="EN337" s="20">
        <f t="shared" si="317"/>
        <v>793.73200000000008</v>
      </c>
      <c r="EO337" s="29">
        <v>270</v>
      </c>
      <c r="EP337" s="1504">
        <v>44713</v>
      </c>
      <c r="EQ337" s="19">
        <v>18282</v>
      </c>
      <c r="ER337" s="93">
        <v>24951</v>
      </c>
      <c r="ES337" s="93">
        <f t="shared" si="315"/>
        <v>43233</v>
      </c>
      <c r="ET337" s="214">
        <v>13875</v>
      </c>
      <c r="EU337" s="93">
        <v>578.54600000000005</v>
      </c>
      <c r="EV337" s="93">
        <v>197.386</v>
      </c>
      <c r="EW337" s="93">
        <v>7.7779999999999996</v>
      </c>
      <c r="EX337" s="93">
        <v>9.7249999999999996</v>
      </c>
      <c r="EY337" s="20">
        <f t="shared" si="321"/>
        <v>793.43500000000006</v>
      </c>
      <c r="EZ337" s="29">
        <v>270</v>
      </c>
      <c r="FA337" s="1504">
        <v>44713</v>
      </c>
      <c r="FB337" s="29">
        <v>665</v>
      </c>
      <c r="FC337" s="29">
        <v>1573</v>
      </c>
      <c r="FD337" s="29">
        <f t="shared" si="316"/>
        <v>2238</v>
      </c>
      <c r="FE337" s="29">
        <v>204</v>
      </c>
      <c r="FF337" s="29">
        <v>0</v>
      </c>
      <c r="FG337" s="29">
        <v>0.29699999999999999</v>
      </c>
      <c r="FH337" s="29">
        <v>0</v>
      </c>
      <c r="FI337" s="29">
        <v>0</v>
      </c>
      <c r="FJ337" s="29">
        <f t="shared" si="326"/>
        <v>0.29699999999999999</v>
      </c>
      <c r="FK337" s="29">
        <v>270</v>
      </c>
      <c r="FL337" s="1504">
        <v>44713</v>
      </c>
      <c r="FM337" s="19">
        <v>126.95</v>
      </c>
      <c r="FN337" s="93">
        <v>146.41999999999999</v>
      </c>
      <c r="FO337" s="93">
        <v>157.66</v>
      </c>
      <c r="FP337" s="93">
        <v>101.7</v>
      </c>
      <c r="FQ337" s="93">
        <v>102.73</v>
      </c>
      <c r="FR337" s="93">
        <v>101.61</v>
      </c>
      <c r="FS337" s="93">
        <v>100.61</v>
      </c>
      <c r="FT337" s="93">
        <v>104.96</v>
      </c>
      <c r="FU337" s="93">
        <v>98.74</v>
      </c>
      <c r="FV337" s="93">
        <v>101.3</v>
      </c>
      <c r="FW337" s="93">
        <v>112.14</v>
      </c>
      <c r="FX337" s="93">
        <v>107.73</v>
      </c>
      <c r="FY337" s="93">
        <v>101.38</v>
      </c>
      <c r="FZ337" s="29">
        <v>270</v>
      </c>
      <c r="GA337" s="1504">
        <v>44713</v>
      </c>
      <c r="GB337" s="19">
        <v>126.95</v>
      </c>
      <c r="GC337" s="93">
        <v>108.7</v>
      </c>
      <c r="GD337" s="93">
        <v>135.55000000000001</v>
      </c>
      <c r="GE337" s="93">
        <v>103.9</v>
      </c>
      <c r="GF337" s="93">
        <v>166.97</v>
      </c>
      <c r="GG337" s="93">
        <v>111.5</v>
      </c>
      <c r="GH337" s="93">
        <v>158.21</v>
      </c>
      <c r="GI337" s="93">
        <v>110.54</v>
      </c>
      <c r="GJ337" s="93">
        <v>105.32</v>
      </c>
      <c r="GK337" s="93">
        <v>100.26</v>
      </c>
      <c r="GL337" s="93">
        <v>139.63</v>
      </c>
      <c r="GM337" s="93">
        <v>101.7</v>
      </c>
      <c r="GN337" s="20">
        <v>105.31</v>
      </c>
      <c r="GO337" s="29">
        <v>270</v>
      </c>
      <c r="GP337" s="1504">
        <v>44713</v>
      </c>
      <c r="GQ337" s="19">
        <v>429</v>
      </c>
      <c r="GR337" s="93">
        <v>374</v>
      </c>
      <c r="GS337" s="93">
        <v>345</v>
      </c>
      <c r="GT337" s="93">
        <v>320</v>
      </c>
      <c r="GU337" s="93">
        <v>433</v>
      </c>
      <c r="GV337" s="20">
        <v>1047</v>
      </c>
      <c r="GW337" s="19">
        <v>614</v>
      </c>
      <c r="GX337" s="93">
        <v>681</v>
      </c>
      <c r="GY337" s="93">
        <v>644</v>
      </c>
      <c r="GZ337" s="93">
        <v>528</v>
      </c>
      <c r="HA337" s="93">
        <v>581</v>
      </c>
      <c r="HB337" s="20">
        <v>984</v>
      </c>
      <c r="HC337" s="19">
        <v>2551</v>
      </c>
      <c r="HD337" s="93">
        <v>2763</v>
      </c>
      <c r="HE337" s="93">
        <v>2888</v>
      </c>
      <c r="HF337" s="93">
        <v>3150</v>
      </c>
      <c r="HG337" s="93">
        <v>3164</v>
      </c>
      <c r="HH337" s="20">
        <v>3471</v>
      </c>
      <c r="HI337" s="19"/>
      <c r="HJ337" s="93">
        <v>974</v>
      </c>
      <c r="HK337" s="93">
        <v>2011</v>
      </c>
      <c r="HL337" s="93">
        <v>984</v>
      </c>
      <c r="HM337" s="93">
        <v>1203</v>
      </c>
      <c r="HN337" s="20">
        <v>2636</v>
      </c>
      <c r="HO337" s="219">
        <v>194</v>
      </c>
      <c r="HP337" s="20">
        <v>93</v>
      </c>
      <c r="HQ337" s="25">
        <v>198</v>
      </c>
      <c r="HR337" s="29">
        <v>270</v>
      </c>
      <c r="HS337" s="1504">
        <v>44713</v>
      </c>
      <c r="HT337" s="19">
        <v>429.36618041992188</v>
      </c>
      <c r="HU337" s="93">
        <v>423.61112976074219</v>
      </c>
      <c r="HV337" s="93">
        <v>356.59464263916016</v>
      </c>
      <c r="HW337" s="93">
        <v>331.63265991210938</v>
      </c>
      <c r="HX337" s="93">
        <v>363.6363525390625</v>
      </c>
      <c r="HY337" s="93">
        <v>388.35174560546875</v>
      </c>
      <c r="HZ337" s="93">
        <v>378.33333587646484</v>
      </c>
      <c r="IA337" s="20">
        <v>405.21469497680664</v>
      </c>
      <c r="IB337" s="19">
        <v>353.5294128417969</v>
      </c>
      <c r="IC337" s="93">
        <v>290.78858947753906</v>
      </c>
      <c r="ID337" s="93">
        <v>336.20688629150391</v>
      </c>
      <c r="IE337" s="93">
        <v>233.81877517700195</v>
      </c>
      <c r="IF337" s="93">
        <v>366.71923828125</v>
      </c>
      <c r="IG337" s="20">
        <v>294.11764526367188</v>
      </c>
      <c r="IH337" s="19">
        <v>281.74603271484375</v>
      </c>
      <c r="II337" s="93">
        <v>355.19125366210938</v>
      </c>
      <c r="IJ337" s="93">
        <v>301.79180908203125</v>
      </c>
      <c r="IK337" s="93">
        <v>294.64285278320313</v>
      </c>
      <c r="IL337" s="93">
        <v>296.55934524536133</v>
      </c>
      <c r="IM337" s="93">
        <v>266.33986282348633</v>
      </c>
      <c r="IN337" s="93">
        <v>297.46352386474609</v>
      </c>
      <c r="IO337" s="20">
        <v>310.91213989257813</v>
      </c>
      <c r="IP337" s="29">
        <v>270</v>
      </c>
      <c r="IQ337" s="19">
        <v>287.0704406738281</v>
      </c>
      <c r="IR337" s="93">
        <v>229.40279006958008</v>
      </c>
      <c r="IS337" s="93">
        <v>225.80645751953125</v>
      </c>
      <c r="IT337" s="93">
        <v>196.07843017578125</v>
      </c>
      <c r="IU337" s="93">
        <v>307.34322357177734</v>
      </c>
      <c r="IV337" s="20">
        <v>234.58334350585938</v>
      </c>
      <c r="IW337" s="29">
        <v>270</v>
      </c>
      <c r="IX337" s="19">
        <v>418.75</v>
      </c>
      <c r="IY337" s="93">
        <v>419.35484313964844</v>
      </c>
      <c r="IZ337" s="93">
        <v>462.5</v>
      </c>
      <c r="JA337" s="93">
        <v>450</v>
      </c>
      <c r="JB337" s="93">
        <v>460</v>
      </c>
      <c r="JC337" s="93">
        <v>425</v>
      </c>
      <c r="JD337" s="93">
        <v>480</v>
      </c>
      <c r="JE337" s="20">
        <v>500</v>
      </c>
      <c r="JF337" s="29">
        <v>270</v>
      </c>
      <c r="JG337" s="19">
        <v>351.72578048706055</v>
      </c>
      <c r="JH337" s="93">
        <v>512.46583557128906</v>
      </c>
      <c r="JI337" s="93">
        <v>341.95401763916016</v>
      </c>
      <c r="JJ337" s="93">
        <v>292.68292236328125</v>
      </c>
      <c r="JK337" s="93">
        <v>302.04777221679689</v>
      </c>
      <c r="JL337" s="93">
        <v>323.01656341552734</v>
      </c>
      <c r="JM337" s="93">
        <v>324.23207092285156</v>
      </c>
      <c r="JN337" s="20">
        <v>407.77787780761719</v>
      </c>
      <c r="JO337" s="29">
        <v>270</v>
      </c>
      <c r="JP337" s="19">
        <v>264.3934326171875</v>
      </c>
      <c r="JQ337" s="93">
        <v>244.50314331054688</v>
      </c>
      <c r="JR337" s="93">
        <v>261.29031982421873</v>
      </c>
      <c r="JS337" s="93">
        <v>193.7086067199707</v>
      </c>
      <c r="JT337" s="93">
        <v>328.74618530273438</v>
      </c>
      <c r="JU337" s="20">
        <v>236.84210205078125</v>
      </c>
      <c r="JV337" s="29">
        <v>270</v>
      </c>
      <c r="JW337" s="1504">
        <v>44713</v>
      </c>
      <c r="JX337" s="19"/>
      <c r="JY337" s="93"/>
      <c r="JZ337" s="93"/>
      <c r="KA337" s="93"/>
      <c r="KB337" s="93"/>
      <c r="KC337" s="93"/>
      <c r="KD337" s="20"/>
      <c r="KE337" s="29"/>
      <c r="KF337" s="19"/>
      <c r="KG337" s="93"/>
      <c r="KH337" s="93"/>
      <c r="KI337" s="93"/>
      <c r="KJ337" s="93"/>
      <c r="KK337" s="20"/>
      <c r="KL337" s="29"/>
      <c r="KM337" s="19"/>
      <c r="KN337" s="93"/>
      <c r="KO337" s="93"/>
      <c r="KP337" s="93"/>
      <c r="KQ337" s="93"/>
      <c r="KR337" s="20"/>
      <c r="KS337" s="29"/>
      <c r="KT337" s="19"/>
      <c r="KU337" s="93"/>
      <c r="KV337" s="93"/>
      <c r="KW337" s="93"/>
      <c r="KX337" s="93"/>
      <c r="KY337" s="20"/>
      <c r="KZ337" s="29"/>
      <c r="LA337" s="1504">
        <v>44713</v>
      </c>
      <c r="LB337" s="19"/>
      <c r="LC337" s="93"/>
      <c r="LD337" s="93"/>
      <c r="LE337" s="93"/>
      <c r="LF337" s="93"/>
      <c r="LG337" s="93"/>
      <c r="LH337" s="20"/>
      <c r="LI337" s="29"/>
      <c r="LJ337" s="19"/>
      <c r="LK337" s="93"/>
      <c r="LL337" s="93"/>
      <c r="LM337" s="93"/>
      <c r="LN337" s="93"/>
      <c r="LO337" s="20"/>
      <c r="LP337" s="29"/>
      <c r="LQ337" s="19"/>
      <c r="LR337" s="93">
        <v>188</v>
      </c>
      <c r="LS337" s="93">
        <v>463</v>
      </c>
      <c r="LT337" s="93">
        <v>663</v>
      </c>
      <c r="LU337" s="93">
        <v>1104</v>
      </c>
      <c r="LV337" s="93"/>
      <c r="LW337" s="93">
        <v>5</v>
      </c>
      <c r="LX337" s="93">
        <v>10</v>
      </c>
      <c r="LY337" s="93">
        <v>60</v>
      </c>
      <c r="LZ337" s="93"/>
      <c r="MA337" s="20"/>
      <c r="MB337" s="29">
        <v>270</v>
      </c>
      <c r="MC337" s="1504">
        <v>44713</v>
      </c>
      <c r="MD337" s="19">
        <v>1160.9373787149129</v>
      </c>
      <c r="ME337" s="93">
        <v>1056.0487491406095</v>
      </c>
      <c r="MF337" s="93">
        <v>1056.0487491406095</v>
      </c>
      <c r="MG337" s="93">
        <v>952.40141852560953</v>
      </c>
      <c r="MH337" s="93">
        <v>350.73280556100008</v>
      </c>
      <c r="MI337" s="93">
        <v>9.7616180969999995</v>
      </c>
      <c r="MJ337" s="93">
        <v>28.615695929809526</v>
      </c>
      <c r="MK337" s="93">
        <v>429.7457104508</v>
      </c>
      <c r="ML337" s="93">
        <v>132.93694699899999</v>
      </c>
      <c r="MM337" s="93">
        <v>0.60864148800000006</v>
      </c>
      <c r="MN337" s="93">
        <v>103.64733061500002</v>
      </c>
      <c r="MO337" s="93">
        <v>2.6624536049999996</v>
      </c>
      <c r="MP337" s="93">
        <v>19.857855693000001</v>
      </c>
      <c r="MQ337" s="93">
        <v>1.621128154</v>
      </c>
      <c r="MR337" s="93">
        <v>25.037738743999999</v>
      </c>
      <c r="MS337" s="93">
        <v>54.468154419000008</v>
      </c>
      <c r="MT337" s="93">
        <v>0</v>
      </c>
      <c r="MU337" s="93">
        <v>104.88862957430328</v>
      </c>
      <c r="MV337" s="93">
        <v>104.88862957430328</v>
      </c>
      <c r="MW337" s="93">
        <v>0</v>
      </c>
      <c r="MX337" s="93">
        <v>1406.1582611702481</v>
      </c>
      <c r="MY337" s="93">
        <v>1414.5155486242481</v>
      </c>
      <c r="MZ337" s="93">
        <v>1044.3756284228298</v>
      </c>
      <c r="NA337" s="93">
        <v>487.22679355700001</v>
      </c>
      <c r="NB337" s="93">
        <v>105.69687482799999</v>
      </c>
      <c r="NC337" s="93">
        <v>105.5430581298299</v>
      </c>
      <c r="ND337" s="93">
        <v>89.176745189839551</v>
      </c>
      <c r="NE337" s="93">
        <v>16.366312939990351</v>
      </c>
      <c r="NF337" s="93">
        <v>345.90890190800002</v>
      </c>
      <c r="NG337" s="93">
        <v>0</v>
      </c>
      <c r="NH337" s="93">
        <v>54.152957331000003</v>
      </c>
      <c r="NI337" s="93">
        <v>0</v>
      </c>
      <c r="NJ337" s="93">
        <v>136.68911324600001</v>
      </c>
      <c r="NK337" s="93">
        <v>370.13992020141842</v>
      </c>
      <c r="NL337" s="93">
        <v>195.481003391</v>
      </c>
      <c r="NM337" s="93">
        <v>2.503559219</v>
      </c>
      <c r="NN337" s="93">
        <v>172.15535759141838</v>
      </c>
      <c r="NO337" s="93">
        <v>-8.3572874540000051</v>
      </c>
      <c r="NP337" s="93">
        <v>-245.2208824553353</v>
      </c>
      <c r="NQ337" s="93">
        <v>-350.10951202963855</v>
      </c>
      <c r="NR337" s="93">
        <v>-72.411096308390213</v>
      </c>
      <c r="NS337" s="93">
        <v>-177.95415443822014</v>
      </c>
      <c r="NT337" s="93">
        <v>-303.885008339688</v>
      </c>
      <c r="NU337" s="93">
        <v>-408.77363791399125</v>
      </c>
      <c r="NV337" s="93">
        <v>304.5439058399524</v>
      </c>
      <c r="NW337" s="93">
        <v>27.46046829691128</v>
      </c>
      <c r="NX337" s="93">
        <v>67.891127047115106</v>
      </c>
      <c r="NY337" s="93">
        <v>-40.430658750203818</v>
      </c>
      <c r="NZ337" s="93">
        <v>0</v>
      </c>
      <c r="OA337" s="93">
        <v>277.0834375430411</v>
      </c>
      <c r="OB337" s="93">
        <v>262.78528786189997</v>
      </c>
      <c r="OC337" s="93">
        <v>14.298149681141149</v>
      </c>
      <c r="OD337" s="19">
        <v>-0.65889750026437643</v>
      </c>
      <c r="OE337" s="29">
        <v>270</v>
      </c>
      <c r="OF337" s="1504">
        <v>44713</v>
      </c>
      <c r="OG337" s="19"/>
      <c r="OH337" s="93">
        <v>825.13500047900004</v>
      </c>
      <c r="OI337" s="93">
        <v>2726.0595514409997</v>
      </c>
      <c r="OJ337" s="93">
        <v>0.366040211</v>
      </c>
      <c r="OK337" s="93">
        <v>2424.0929999999998</v>
      </c>
      <c r="OL337" s="93">
        <v>301.60051123</v>
      </c>
      <c r="OM337" s="93">
        <v>3551.1945519199999</v>
      </c>
      <c r="ON337" s="93">
        <v>2084.741108319</v>
      </c>
      <c r="OO337" s="93">
        <v>5635.9356602389998</v>
      </c>
      <c r="OP337" s="93"/>
      <c r="OQ337" s="93">
        <v>2297.0984696430005</v>
      </c>
      <c r="OR337" s="93">
        <v>-2.0185303570000315</v>
      </c>
      <c r="OS337" s="93">
        <v>2299.1170000000002</v>
      </c>
      <c r="OT337" s="93">
        <v>3954.5169609490003</v>
      </c>
      <c r="OU337" s="93">
        <v>79.667420164000049</v>
      </c>
      <c r="OV337" s="93">
        <v>36.669420164000009</v>
      </c>
      <c r="OW337" s="93">
        <v>42.998000000000047</v>
      </c>
      <c r="OX337" s="93">
        <v>3874.8495407850005</v>
      </c>
      <c r="OY337" s="93">
        <v>8.9005407850000005</v>
      </c>
      <c r="OZ337" s="93">
        <v>3865.9490000000001</v>
      </c>
      <c r="PA337" s="93">
        <v>1122.2492673640002</v>
      </c>
      <c r="PB337" s="93">
        <v>-506.56949701100007</v>
      </c>
      <c r="PC337" s="20">
        <v>5635.9356602390008</v>
      </c>
      <c r="PD337" s="29">
        <v>270</v>
      </c>
      <c r="PE337" s="19"/>
      <c r="PF337" s="93">
        <v>-2.0185303570000315</v>
      </c>
      <c r="PG337" s="93">
        <v>915.357323296</v>
      </c>
      <c r="PH337" s="93">
        <v>917.37585365300004</v>
      </c>
      <c r="PI337" s="93">
        <v>1165.77277815</v>
      </c>
      <c r="PJ337" s="93">
        <v>43.234622502000008</v>
      </c>
      <c r="PK337" s="93">
        <v>282.24740285000001</v>
      </c>
      <c r="PL337" s="93">
        <v>239.01278034800001</v>
      </c>
      <c r="PM337" s="93">
        <v>8.9005407850000005</v>
      </c>
      <c r="PN337" s="93">
        <v>3.68</v>
      </c>
      <c r="PO337" s="93">
        <v>0</v>
      </c>
      <c r="PP337" s="93">
        <v>0</v>
      </c>
      <c r="PQ337" s="93">
        <v>5.2205407849999999</v>
      </c>
      <c r="PR337" s="93">
        <v>1228.7503124</v>
      </c>
      <c r="PS337" s="93">
        <v>923.88820281699998</v>
      </c>
      <c r="PT337" s="93">
        <v>304.162961053</v>
      </c>
      <c r="PU337" s="93">
        <v>0.69914852999999999</v>
      </c>
      <c r="PV337" s="93">
        <v>0</v>
      </c>
      <c r="PW337" s="93">
        <v>0.49867977000000002</v>
      </c>
      <c r="PX337" s="93">
        <v>0</v>
      </c>
      <c r="PY337" s="93">
        <v>0</v>
      </c>
      <c r="PZ337" s="93">
        <v>0.49867977000000002</v>
      </c>
      <c r="QA337" s="93">
        <v>0</v>
      </c>
      <c r="QB337" s="93">
        <v>0</v>
      </c>
      <c r="QC337" s="93">
        <v>0</v>
      </c>
      <c r="QD337" s="93">
        <v>6.1035875940000004</v>
      </c>
      <c r="QE337" s="20">
        <v>-19.463168684000014</v>
      </c>
      <c r="QF337" s="1739">
        <v>270</v>
      </c>
      <c r="QG337" s="19"/>
      <c r="QH337" s="93">
        <v>2299.1170000000002</v>
      </c>
      <c r="QI337" s="93">
        <v>2664.2940000000003</v>
      </c>
      <c r="QJ337" s="93">
        <v>-365.17700000000002</v>
      </c>
      <c r="QK337" s="93">
        <v>457.57600000000002</v>
      </c>
      <c r="QL337" s="93">
        <v>92.188000000000002</v>
      </c>
      <c r="QM337" s="93">
        <v>365.38800000000003</v>
      </c>
      <c r="QN337" s="93">
        <v>0</v>
      </c>
      <c r="QO337" s="93">
        <v>42.998000000000047</v>
      </c>
      <c r="QP337" s="93">
        <v>1116.202</v>
      </c>
      <c r="QQ337" s="93">
        <v>-1073.204</v>
      </c>
      <c r="QR337" s="93">
        <v>3865.9490000000001</v>
      </c>
      <c r="QS337" s="93">
        <v>43.966999999999999</v>
      </c>
      <c r="QT337" s="93">
        <v>1.7999999999999999E-2</v>
      </c>
      <c r="QU337" s="93">
        <v>285.07900000000001</v>
      </c>
      <c r="QV337" s="93">
        <v>3536.8850000000002</v>
      </c>
      <c r="QW337" s="93"/>
      <c r="QX337" s="93">
        <v>1165.6089999999999</v>
      </c>
      <c r="QY337" s="93">
        <v>2424.0929999999998</v>
      </c>
      <c r="QZ337" s="93">
        <v>2084.4079999999999</v>
      </c>
      <c r="RA337" s="93">
        <v>0</v>
      </c>
      <c r="RB337" s="93">
        <v>286.27500000000003</v>
      </c>
      <c r="RC337" s="93">
        <v>0</v>
      </c>
      <c r="RD337" s="93">
        <v>77.40100000000001</v>
      </c>
      <c r="RE337" s="93">
        <v>0</v>
      </c>
      <c r="RF337" s="93">
        <v>0</v>
      </c>
      <c r="RG337" s="93">
        <v>751.971</v>
      </c>
      <c r="RH337" s="93">
        <v>-124.11699999999996</v>
      </c>
      <c r="RI337" s="93"/>
      <c r="RJ337" s="93"/>
      <c r="RK337" s="93"/>
      <c r="RL337" s="93"/>
      <c r="RM337" s="20"/>
      <c r="RN337" s="29">
        <v>270</v>
      </c>
      <c r="RO337" s="419">
        <f t="shared" si="328"/>
        <v>451.28219795270263</v>
      </c>
      <c r="RP337" s="306">
        <f t="shared" si="328"/>
        <v>116.71668263660345</v>
      </c>
      <c r="RQ337" s="29">
        <v>270</v>
      </c>
      <c r="RR337" s="20">
        <v>4.7711160000000001</v>
      </c>
      <c r="RS337" s="29">
        <v>270</v>
      </c>
      <c r="RT337" s="1504">
        <v>44713</v>
      </c>
      <c r="RU337" s="419">
        <f t="shared" si="329"/>
        <v>1531.493769310626</v>
      </c>
      <c r="RV337" s="306">
        <f t="shared" si="329"/>
        <v>132.38556636307848</v>
      </c>
      <c r="RW337" s="29">
        <v>270</v>
      </c>
      <c r="RX337" s="1504">
        <v>44713</v>
      </c>
      <c r="RY337" s="29"/>
      <c r="RZ337" s="20"/>
      <c r="SA337" s="29"/>
      <c r="SB337" s="29"/>
    </row>
    <row r="338" spans="1:496">
      <c r="A338" s="41">
        <f t="shared" si="238"/>
        <v>2022</v>
      </c>
      <c r="B338" s="1504">
        <v>44743</v>
      </c>
      <c r="C338" s="1813">
        <v>1696.4913527600095</v>
      </c>
      <c r="D338" s="1814">
        <v>32104.898114055628</v>
      </c>
      <c r="E338" s="1814">
        <v>87.156067251461977</v>
      </c>
      <c r="F338" s="1815"/>
      <c r="G338" s="1814">
        <v>282520.99916272523</v>
      </c>
      <c r="H338" s="1814">
        <v>38.675837320574161</v>
      </c>
      <c r="I338" s="1814">
        <v>32444.22602358412</v>
      </c>
      <c r="J338" s="1816">
        <v>19696.869659286927</v>
      </c>
      <c r="K338" s="1807">
        <f t="shared" ref="K338:K354" si="330">SUM(C338:J338)</f>
        <v>368589.31621698395</v>
      </c>
      <c r="L338" s="25">
        <v>271</v>
      </c>
      <c r="M338" s="97"/>
      <c r="N338" s="1504">
        <v>44743</v>
      </c>
      <c r="O338" s="179">
        <v>2778.2723201383124</v>
      </c>
      <c r="P338" s="99">
        <v>1417.0975854411322</v>
      </c>
      <c r="Q338" s="99">
        <v>10538.390027057325</v>
      </c>
      <c r="R338" s="99">
        <v>3134.6821410147863</v>
      </c>
      <c r="S338" s="99">
        <v>1263.5129152885218</v>
      </c>
      <c r="T338" s="99">
        <v>887.05826703801665</v>
      </c>
      <c r="U338" s="99">
        <v>505.39948630040118</v>
      </c>
      <c r="V338" s="99">
        <v>1241.6094827129216</v>
      </c>
      <c r="W338" s="99">
        <v>7488.950879303432</v>
      </c>
      <c r="X338" s="99">
        <v>783.95677296541498</v>
      </c>
      <c r="Y338" s="99">
        <v>616.07687769457675</v>
      </c>
      <c r="Z338" s="99">
        <v>1152.1135392423867</v>
      </c>
      <c r="AA338" s="99">
        <v>911.9928851363793</v>
      </c>
      <c r="AB338" s="20">
        <f t="shared" si="327"/>
        <v>32719.113179333606</v>
      </c>
      <c r="AC338" s="25">
        <v>271</v>
      </c>
      <c r="AD338" s="97"/>
      <c r="AE338" s="1504">
        <v>44743</v>
      </c>
      <c r="AF338" s="179">
        <v>2595.4609231380055</v>
      </c>
      <c r="AG338" s="99">
        <v>982.00341918204401</v>
      </c>
      <c r="AH338" s="99">
        <v>4211.0046250943797</v>
      </c>
      <c r="AI338" s="99">
        <v>5873.4989769504928</v>
      </c>
      <c r="AJ338" s="99">
        <v>504.50097926977122</v>
      </c>
      <c r="AK338" s="99">
        <v>2131.6633994298541</v>
      </c>
      <c r="AL338" s="99">
        <v>1141.6866095822861</v>
      </c>
      <c r="AM338" s="99">
        <v>953.20582719195954</v>
      </c>
      <c r="AN338" s="99">
        <v>9847.2986168570824</v>
      </c>
      <c r="AO338" s="99">
        <v>1135.2519902500503</v>
      </c>
      <c r="AP338" s="99">
        <v>1649.6404480042786</v>
      </c>
      <c r="AQ338" s="99">
        <v>1193.8248926420529</v>
      </c>
      <c r="AR338" s="99">
        <v>1357.15070976996</v>
      </c>
      <c r="AS338" s="132">
        <f t="shared" si="323"/>
        <v>33576.191417362221</v>
      </c>
      <c r="AT338" s="25">
        <v>271</v>
      </c>
      <c r="AU338" s="97"/>
      <c r="AV338" s="1504">
        <v>44743</v>
      </c>
      <c r="AW338" s="179">
        <v>13882.724480341731</v>
      </c>
      <c r="AX338" s="99">
        <v>4099.5562566545505</v>
      </c>
      <c r="AY338" s="99">
        <v>3313.8473977286035</v>
      </c>
      <c r="AZ338" s="99">
        <v>21481.948610413587</v>
      </c>
      <c r="BA338" s="99">
        <v>3181.280774885</v>
      </c>
      <c r="BB338" s="99">
        <v>9461.9542198589734</v>
      </c>
      <c r="BC338" s="99">
        <v>7002.1613217902641</v>
      </c>
      <c r="BD338" s="99">
        <v>9139.9662897172766</v>
      </c>
      <c r="BE338" s="99">
        <v>8115.937237811152</v>
      </c>
      <c r="BF338" s="99">
        <v>5870.9675733587937</v>
      </c>
      <c r="BG338" s="99">
        <v>6484.8295336635902</v>
      </c>
      <c r="BH338" s="99">
        <v>5624.557202692904</v>
      </c>
      <c r="BI338" s="99">
        <v>9089.0852436710757</v>
      </c>
      <c r="BJ338" s="132">
        <f t="shared" ref="BJ338:BJ352" si="331">SUM(AW338:BI338)</f>
        <v>106748.81614258752</v>
      </c>
      <c r="BK338" s="25">
        <v>271</v>
      </c>
      <c r="BL338" s="97"/>
      <c r="BM338" s="1504">
        <v>44743</v>
      </c>
      <c r="BN338" s="733">
        <v>93.325999972190928</v>
      </c>
      <c r="BO338" s="570">
        <v>1765.7603606677894</v>
      </c>
      <c r="BP338" s="570">
        <v>17.4312134502924</v>
      </c>
      <c r="BQ338" s="570">
        <v>2542.7361377734001</v>
      </c>
      <c r="BR338" s="570">
        <v>6.7027972027972034</v>
      </c>
      <c r="BS338" s="570">
        <v>324.48793496572557</v>
      </c>
      <c r="BT338" s="570">
        <v>551.5543964408015</v>
      </c>
      <c r="BU338" s="132">
        <f t="shared" ref="BU338:BU352" si="332">SUM(BN338:BT338)</f>
        <v>5301.9988404729975</v>
      </c>
      <c r="BV338" s="25">
        <v>271</v>
      </c>
      <c r="BW338" s="97"/>
      <c r="BX338" s="1504">
        <v>44743</v>
      </c>
      <c r="BY338" s="19">
        <v>644.24630000000002</v>
      </c>
      <c r="BZ338" s="93">
        <v>655.95699999999999</v>
      </c>
      <c r="CA338" s="93">
        <v>664.63850000000002</v>
      </c>
      <c r="CB338" s="93">
        <v>38.259470999999998</v>
      </c>
      <c r="CC338" s="93">
        <v>78.966341</v>
      </c>
      <c r="CD338" s="25">
        <v>271</v>
      </c>
      <c r="CE338" s="97"/>
      <c r="CF338" s="1504">
        <v>44743</v>
      </c>
      <c r="CG338" s="19">
        <v>2.8887135860000002</v>
      </c>
      <c r="CH338" s="93">
        <v>1732.74</v>
      </c>
      <c r="CI338" s="219">
        <v>105.08333333333</v>
      </c>
      <c r="CJ338" s="20">
        <v>108.92</v>
      </c>
      <c r="CK338" s="19">
        <v>405.67</v>
      </c>
      <c r="CL338" s="93">
        <v>322.96719839999997</v>
      </c>
      <c r="CM338" s="93">
        <v>0.40278407399999999</v>
      </c>
      <c r="CN338" s="93">
        <v>0.33260136000000001</v>
      </c>
      <c r="CO338" s="93">
        <v>382.5</v>
      </c>
      <c r="CP338" s="20">
        <v>5.8403690729999997</v>
      </c>
      <c r="CQ338" s="219">
        <v>2146.19</v>
      </c>
      <c r="CR338" s="93">
        <v>2.3650000000000002</v>
      </c>
      <c r="CS338" s="93">
        <v>1.7790999999999999</v>
      </c>
      <c r="CT338" s="93">
        <v>320</v>
      </c>
      <c r="CU338" s="93">
        <v>108.57</v>
      </c>
      <c r="CV338" s="214">
        <v>3105.36</v>
      </c>
      <c r="CW338" s="29">
        <v>271</v>
      </c>
      <c r="CX338" s="41">
        <f t="shared" si="319"/>
        <v>2022</v>
      </c>
      <c r="CY338" s="1504">
        <v>44743</v>
      </c>
      <c r="CZ338" s="19"/>
      <c r="DA338" s="93"/>
      <c r="DB338" s="93"/>
      <c r="DC338" s="93"/>
      <c r="DD338" s="93"/>
      <c r="DE338" s="20"/>
      <c r="DF338" s="29"/>
      <c r="DG338" s="1504">
        <v>44743</v>
      </c>
      <c r="DH338" s="19">
        <v>507834</v>
      </c>
      <c r="DI338" s="93">
        <v>4922974</v>
      </c>
      <c r="DJ338" s="93">
        <v>250432</v>
      </c>
      <c r="DK338" s="93">
        <v>15007</v>
      </c>
      <c r="DL338" s="93">
        <v>453205</v>
      </c>
      <c r="DM338" s="93">
        <v>5211</v>
      </c>
      <c r="DN338" s="20">
        <v>1431292</v>
      </c>
      <c r="DO338" s="295">
        <f t="shared" ref="DO338:DO343" si="333">SUM(DI338:DN338)</f>
        <v>7078121</v>
      </c>
      <c r="DP338" s="29">
        <v>271</v>
      </c>
      <c r="DQ338" s="1504">
        <v>44743</v>
      </c>
      <c r="DR338" s="19">
        <v>76717.028000000006</v>
      </c>
      <c r="DS338" s="93">
        <v>260</v>
      </c>
      <c r="DT338" s="93">
        <v>70483.475000000006</v>
      </c>
      <c r="DU338" s="93">
        <v>3304.46</v>
      </c>
      <c r="DV338" s="93">
        <v>26535.858</v>
      </c>
      <c r="DW338" s="93">
        <v>3603</v>
      </c>
      <c r="DX338" s="20">
        <v>21321.69107142857</v>
      </c>
      <c r="DY338" s="29">
        <v>271</v>
      </c>
      <c r="DZ338" s="1504">
        <v>44743</v>
      </c>
      <c r="EA338" s="19"/>
      <c r="EB338" s="93"/>
      <c r="EC338" s="20"/>
      <c r="ED338" s="29"/>
      <c r="EE338" s="1504">
        <v>44743</v>
      </c>
      <c r="EF338" s="19">
        <f t="shared" si="307"/>
        <v>28184</v>
      </c>
      <c r="EG338" s="93">
        <f t="shared" si="308"/>
        <v>24975</v>
      </c>
      <c r="EH338" s="93">
        <f t="shared" si="309"/>
        <v>70192</v>
      </c>
      <c r="EI338" s="214">
        <f t="shared" si="310"/>
        <v>17033</v>
      </c>
      <c r="EJ338" s="93">
        <f t="shared" si="311"/>
        <v>480.66900000000004</v>
      </c>
      <c r="EK338" s="93">
        <f t="shared" si="312"/>
        <v>113.467</v>
      </c>
      <c r="EL338" s="93">
        <f t="shared" si="313"/>
        <v>7.3419999999999996</v>
      </c>
      <c r="EM338" s="93">
        <f t="shared" si="314"/>
        <v>7.8319999999999999</v>
      </c>
      <c r="EN338" s="20">
        <f t="shared" si="317"/>
        <v>609.31000000000006</v>
      </c>
      <c r="EO338" s="29">
        <v>271</v>
      </c>
      <c r="EP338" s="1504">
        <v>44743</v>
      </c>
      <c r="EQ338" s="19">
        <v>26195</v>
      </c>
      <c r="ER338" s="93">
        <v>23946</v>
      </c>
      <c r="ES338" s="93">
        <f t="shared" si="315"/>
        <v>50141</v>
      </c>
      <c r="ET338" s="214">
        <v>16832</v>
      </c>
      <c r="EU338" s="93">
        <v>477.30700000000002</v>
      </c>
      <c r="EV338" s="93">
        <v>103.839</v>
      </c>
      <c r="EW338" s="93">
        <v>7.3419999999999996</v>
      </c>
      <c r="EX338" s="93">
        <v>7.8319999999999999</v>
      </c>
      <c r="EY338" s="20">
        <f t="shared" si="321"/>
        <v>596.31999999999994</v>
      </c>
      <c r="EZ338" s="29">
        <v>271</v>
      </c>
      <c r="FA338" s="1504">
        <v>44743</v>
      </c>
      <c r="FB338" s="29">
        <v>1989</v>
      </c>
      <c r="FC338" s="29">
        <v>1029</v>
      </c>
      <c r="FD338" s="29">
        <f t="shared" si="316"/>
        <v>3018</v>
      </c>
      <c r="FE338" s="29">
        <v>201</v>
      </c>
      <c r="FF338" s="29">
        <v>3.3620000000000001</v>
      </c>
      <c r="FG338" s="29">
        <v>9.6280000000000001</v>
      </c>
      <c r="FH338" s="29">
        <v>0</v>
      </c>
      <c r="FI338" s="29">
        <v>0</v>
      </c>
      <c r="FJ338" s="29">
        <f t="shared" si="326"/>
        <v>12.99</v>
      </c>
      <c r="FK338" s="29">
        <v>271</v>
      </c>
      <c r="FL338" s="1504">
        <v>44743</v>
      </c>
      <c r="FM338" s="19">
        <v>128.13</v>
      </c>
      <c r="FN338" s="93">
        <v>148.96</v>
      </c>
      <c r="FO338" s="93">
        <v>152.11000000000001</v>
      </c>
      <c r="FP338" s="93">
        <v>101.7</v>
      </c>
      <c r="FQ338" s="93">
        <v>103.02</v>
      </c>
      <c r="FR338" s="93">
        <v>101.61</v>
      </c>
      <c r="FS338" s="93">
        <v>100.61</v>
      </c>
      <c r="FT338" s="93">
        <v>104.77</v>
      </c>
      <c r="FU338" s="93">
        <v>98.74</v>
      </c>
      <c r="FV338" s="93">
        <v>101.3</v>
      </c>
      <c r="FW338" s="93">
        <v>112.14</v>
      </c>
      <c r="FX338" s="93">
        <v>107.46</v>
      </c>
      <c r="FY338" s="93">
        <v>101.42</v>
      </c>
      <c r="FZ338" s="29">
        <v>271</v>
      </c>
      <c r="GA338" s="1504">
        <v>44743</v>
      </c>
      <c r="GB338" s="19">
        <v>128.13</v>
      </c>
      <c r="GC338" s="93">
        <v>108.52</v>
      </c>
      <c r="GD338" s="93">
        <v>137.35</v>
      </c>
      <c r="GE338" s="93">
        <v>103.94</v>
      </c>
      <c r="GF338" s="93">
        <v>169.92</v>
      </c>
      <c r="GG338" s="93">
        <v>111.78</v>
      </c>
      <c r="GH338" s="93">
        <v>160.62</v>
      </c>
      <c r="GI338" s="93">
        <v>110.82</v>
      </c>
      <c r="GJ338" s="93">
        <v>105.32</v>
      </c>
      <c r="GK338" s="93">
        <v>100.31</v>
      </c>
      <c r="GL338" s="93">
        <v>141.43</v>
      </c>
      <c r="GM338" s="93">
        <v>101.76</v>
      </c>
      <c r="GN338" s="20">
        <v>105.31</v>
      </c>
      <c r="GO338" s="29">
        <v>271</v>
      </c>
      <c r="GP338" s="1504">
        <v>44743</v>
      </c>
      <c r="GQ338" s="19">
        <v>427</v>
      </c>
      <c r="GR338" s="93">
        <v>360</v>
      </c>
      <c r="GS338" s="93">
        <v>339</v>
      </c>
      <c r="GT338" s="93">
        <v>322</v>
      </c>
      <c r="GU338" s="93">
        <v>428</v>
      </c>
      <c r="GV338" s="20">
        <v>1049</v>
      </c>
      <c r="GW338" s="19">
        <v>614</v>
      </c>
      <c r="GX338" s="93">
        <v>708</v>
      </c>
      <c r="GY338" s="93">
        <v>654</v>
      </c>
      <c r="GZ338" s="93">
        <v>566</v>
      </c>
      <c r="HA338" s="93">
        <v>672</v>
      </c>
      <c r="HB338" s="20">
        <v>934</v>
      </c>
      <c r="HC338" s="19">
        <v>2640</v>
      </c>
      <c r="HD338" s="93">
        <v>2974</v>
      </c>
      <c r="HE338" s="93">
        <v>2841</v>
      </c>
      <c r="HF338" s="93">
        <v>3150</v>
      </c>
      <c r="HG338" s="93">
        <v>3319</v>
      </c>
      <c r="HH338" s="20">
        <v>3565</v>
      </c>
      <c r="HI338" s="19"/>
      <c r="HJ338" s="93">
        <v>973</v>
      </c>
      <c r="HK338" s="93">
        <v>1976</v>
      </c>
      <c r="HL338" s="93">
        <v>935</v>
      </c>
      <c r="HM338" s="93">
        <v>1243</v>
      </c>
      <c r="HN338" s="20">
        <v>2586</v>
      </c>
      <c r="HO338" s="219">
        <v>221</v>
      </c>
      <c r="HP338" s="20">
        <v>81</v>
      </c>
      <c r="HQ338" s="25">
        <v>212</v>
      </c>
      <c r="HR338" s="29">
        <v>271</v>
      </c>
      <c r="HS338" s="1504">
        <v>44743</v>
      </c>
      <c r="HT338" s="19">
        <v>426.5960754394531</v>
      </c>
      <c r="HU338" s="93">
        <v>444.4444580078125</v>
      </c>
      <c r="HV338" s="93">
        <v>396.5659118652344</v>
      </c>
      <c r="HW338" s="93">
        <v>344.38775634765625</v>
      </c>
      <c r="HX338" s="93">
        <v>370.370361328125</v>
      </c>
      <c r="HY338" s="93">
        <v>402.22222900390625</v>
      </c>
      <c r="HZ338" s="93">
        <v>385.83332824707031</v>
      </c>
      <c r="IA338" s="20">
        <v>435.71430053710935</v>
      </c>
      <c r="IB338" s="19">
        <v>337.59783172607422</v>
      </c>
      <c r="IC338" s="93">
        <v>303.03030395507813</v>
      </c>
      <c r="ID338" s="93">
        <v>367.81608072916669</v>
      </c>
      <c r="IE338" s="93">
        <v>242.12600708007813</v>
      </c>
      <c r="IF338" s="93">
        <v>386.43531799316406</v>
      </c>
      <c r="IG338" s="20">
        <v>294.31217193603516</v>
      </c>
      <c r="IH338" s="19">
        <v>270.4761901855469</v>
      </c>
      <c r="II338" s="93">
        <v>355.19125366210938</v>
      </c>
      <c r="IJ338" s="93">
        <v>326.05232543945311</v>
      </c>
      <c r="IK338" s="93">
        <v>290.17857360839844</v>
      </c>
      <c r="IL338" s="93">
        <v>285.30844879150391</v>
      </c>
      <c r="IM338" s="93">
        <v>296.12744903564453</v>
      </c>
      <c r="IN338" s="93"/>
      <c r="IO338" s="20">
        <v>333.33331298828125</v>
      </c>
      <c r="IP338" s="29">
        <v>271</v>
      </c>
      <c r="IQ338" s="19">
        <v>278.42656707763672</v>
      </c>
      <c r="IR338" s="93">
        <v>227.02702636718749</v>
      </c>
      <c r="IS338" s="93">
        <v>233.33332824707031</v>
      </c>
      <c r="IT338" s="93">
        <v>202.16729736328125</v>
      </c>
      <c r="IU338" s="93">
        <v>313.53134155273438</v>
      </c>
      <c r="IV338" s="20">
        <v>245.16575241088867</v>
      </c>
      <c r="IW338" s="29">
        <v>271</v>
      </c>
      <c r="IX338" s="19">
        <v>418.75</v>
      </c>
      <c r="IY338" s="93">
        <v>450.20161234537755</v>
      </c>
      <c r="IZ338" s="93">
        <v>450</v>
      </c>
      <c r="JA338" s="93">
        <v>450</v>
      </c>
      <c r="JB338" s="93">
        <v>430</v>
      </c>
      <c r="JC338" s="93">
        <v>425</v>
      </c>
      <c r="JD338" s="93">
        <v>480</v>
      </c>
      <c r="JE338" s="20">
        <v>500</v>
      </c>
      <c r="JF338" s="29">
        <v>271</v>
      </c>
      <c r="JG338" s="19">
        <v>320.8714569091797</v>
      </c>
      <c r="JH338" s="93">
        <v>409.8360595703125</v>
      </c>
      <c r="JI338" s="93">
        <v>352.74929199218752</v>
      </c>
      <c r="JJ338" s="93">
        <v>298.78048706054688</v>
      </c>
      <c r="JK338" s="93">
        <v>309.30033874511719</v>
      </c>
      <c r="JL338" s="93">
        <v>332.27567749023439</v>
      </c>
      <c r="JM338" s="93">
        <v>353.81114705403644</v>
      </c>
      <c r="JN338" s="20">
        <v>439.5604248046875</v>
      </c>
      <c r="JO338" s="29">
        <v>271</v>
      </c>
      <c r="JP338" s="19">
        <v>295.97654724121094</v>
      </c>
      <c r="JQ338" s="93">
        <v>247.54901733398438</v>
      </c>
      <c r="JR338" s="93">
        <v>274.19354248046875</v>
      </c>
      <c r="JS338" s="93">
        <v>201.13467407226563</v>
      </c>
      <c r="JT338" s="93">
        <v>326.19775390625</v>
      </c>
      <c r="JU338" s="20">
        <v>245.83333587646484</v>
      </c>
      <c r="JV338" s="29">
        <v>271</v>
      </c>
      <c r="JW338" s="1504">
        <v>44743</v>
      </c>
      <c r="JX338" s="19"/>
      <c r="JY338" s="93"/>
      <c r="JZ338" s="93"/>
      <c r="KA338" s="93"/>
      <c r="KB338" s="93"/>
      <c r="KC338" s="93"/>
      <c r="KD338" s="20"/>
      <c r="KE338" s="29"/>
      <c r="KF338" s="19"/>
      <c r="KG338" s="93"/>
      <c r="KH338" s="93"/>
      <c r="KI338" s="93"/>
      <c r="KJ338" s="93"/>
      <c r="KK338" s="20"/>
      <c r="KL338" s="29"/>
      <c r="KM338" s="19"/>
      <c r="KN338" s="93"/>
      <c r="KO338" s="93"/>
      <c r="KP338" s="93"/>
      <c r="KQ338" s="93"/>
      <c r="KR338" s="20"/>
      <c r="KS338" s="29"/>
      <c r="KT338" s="19"/>
      <c r="KU338" s="93"/>
      <c r="KV338" s="93"/>
      <c r="KW338" s="93"/>
      <c r="KX338" s="93"/>
      <c r="KY338" s="20"/>
      <c r="KZ338" s="29"/>
      <c r="LA338" s="1504">
        <v>44743</v>
      </c>
      <c r="LB338" s="19"/>
      <c r="LC338" s="93"/>
      <c r="LD338" s="93"/>
      <c r="LE338" s="93"/>
      <c r="LF338" s="93"/>
      <c r="LG338" s="93"/>
      <c r="LH338" s="20"/>
      <c r="LI338" s="29"/>
      <c r="LJ338" s="19"/>
      <c r="LK338" s="93"/>
      <c r="LL338" s="93"/>
      <c r="LM338" s="93"/>
      <c r="LN338" s="93"/>
      <c r="LO338" s="20"/>
      <c r="LP338" s="29"/>
      <c r="LQ338" s="19"/>
      <c r="LR338" s="93">
        <v>188</v>
      </c>
      <c r="LS338" s="93">
        <v>463</v>
      </c>
      <c r="LT338" s="93">
        <v>663</v>
      </c>
      <c r="LU338" s="93">
        <v>1104</v>
      </c>
      <c r="LV338" s="93"/>
      <c r="LW338" s="93">
        <v>5</v>
      </c>
      <c r="LX338" s="93">
        <v>10</v>
      </c>
      <c r="LY338" s="93">
        <v>60</v>
      </c>
      <c r="LZ338" s="93"/>
      <c r="MA338" s="20"/>
      <c r="MB338" s="29">
        <v>271</v>
      </c>
      <c r="MC338" s="1504">
        <v>44743</v>
      </c>
      <c r="MD338" s="19">
        <v>1423.6275889019792</v>
      </c>
      <c r="ME338" s="93">
        <v>1310.4696598677833</v>
      </c>
      <c r="MF338" s="93">
        <v>1310.4696598677833</v>
      </c>
      <c r="MG338" s="93">
        <v>1168.5049985057833</v>
      </c>
      <c r="MH338" s="93">
        <v>452.52774402500006</v>
      </c>
      <c r="MI338" s="93">
        <v>11.237570428</v>
      </c>
      <c r="MJ338" s="93">
        <v>35.092290639333335</v>
      </c>
      <c r="MK338" s="93">
        <v>512.42350308644995</v>
      </c>
      <c r="ML338" s="93">
        <v>156.48229548399999</v>
      </c>
      <c r="MM338" s="93">
        <v>0.741594843</v>
      </c>
      <c r="MN338" s="93">
        <v>141.96466136200002</v>
      </c>
      <c r="MO338" s="93">
        <v>3.2430755989999995</v>
      </c>
      <c r="MP338" s="93">
        <v>22.972602834999996</v>
      </c>
      <c r="MQ338" s="93">
        <v>1.773478992</v>
      </c>
      <c r="MR338" s="93">
        <v>51.731141215000001</v>
      </c>
      <c r="MS338" s="93">
        <v>62.244362721000009</v>
      </c>
      <c r="MT338" s="93">
        <v>0</v>
      </c>
      <c r="MU338" s="93">
        <v>113.15792903419585</v>
      </c>
      <c r="MV338" s="93">
        <v>113.15792903419585</v>
      </c>
      <c r="MW338" s="93">
        <v>0</v>
      </c>
      <c r="MX338" s="93">
        <v>1621.9962292858302</v>
      </c>
      <c r="MY338" s="93">
        <v>1630.93090508983</v>
      </c>
      <c r="MZ338" s="93">
        <v>1218.9076451207438</v>
      </c>
      <c r="NA338" s="93">
        <v>581.94281708800008</v>
      </c>
      <c r="NB338" s="93">
        <v>113.429234271</v>
      </c>
      <c r="NC338" s="93">
        <v>126.19671119574356</v>
      </c>
      <c r="ND338" s="93">
        <v>108.84331708283956</v>
      </c>
      <c r="NE338" s="93">
        <v>17.353394112904006</v>
      </c>
      <c r="NF338" s="93">
        <v>397.338882566</v>
      </c>
      <c r="NG338" s="93">
        <v>0</v>
      </c>
      <c r="NH338" s="93">
        <v>72.657144579999994</v>
      </c>
      <c r="NI338" s="93">
        <v>0</v>
      </c>
      <c r="NJ338" s="93">
        <v>139.86394951899999</v>
      </c>
      <c r="NK338" s="93">
        <v>412.02325996908684</v>
      </c>
      <c r="NL338" s="93">
        <v>227.93519939700002</v>
      </c>
      <c r="NM338" s="93">
        <v>2.503559219</v>
      </c>
      <c r="NN338" s="93">
        <v>181.58450135308681</v>
      </c>
      <c r="NO338" s="93">
        <v>-8.93467580400001</v>
      </c>
      <c r="NP338" s="93">
        <v>-198.36864038385116</v>
      </c>
      <c r="NQ338" s="93">
        <v>-311.52656941804696</v>
      </c>
      <c r="NR338" s="93">
        <v>-3.7453568692165762</v>
      </c>
      <c r="NS338" s="93">
        <v>-129.94206806496015</v>
      </c>
      <c r="NT338" s="93">
        <v>-286.23723073085114</v>
      </c>
      <c r="NU338" s="93">
        <v>-399.39515976504697</v>
      </c>
      <c r="NV338" s="93">
        <v>285.55056100214676</v>
      </c>
      <c r="NW338" s="93">
        <v>25.291246842105654</v>
      </c>
      <c r="NX338" s="93">
        <v>69.050971348890968</v>
      </c>
      <c r="NY338" s="93">
        <v>-43.759724506785318</v>
      </c>
      <c r="NZ338" s="93">
        <v>0</v>
      </c>
      <c r="OA338" s="93">
        <v>260.25931416004107</v>
      </c>
      <c r="OB338" s="93">
        <v>283.64626247889993</v>
      </c>
      <c r="OC338" s="93">
        <v>-23.386948318858853</v>
      </c>
      <c r="OD338" s="19">
        <v>0.68666972870438547</v>
      </c>
      <c r="OE338" s="29">
        <v>271</v>
      </c>
      <c r="OF338" s="1504">
        <v>44743</v>
      </c>
      <c r="OG338" s="19"/>
      <c r="OH338" s="93">
        <v>797.78235572500012</v>
      </c>
      <c r="OI338" s="93">
        <v>2712.5537556019999</v>
      </c>
      <c r="OJ338" s="93">
        <v>0.44024437200000005</v>
      </c>
      <c r="OK338" s="93">
        <v>2410.5129999999999</v>
      </c>
      <c r="OL338" s="93">
        <v>301.60051123</v>
      </c>
      <c r="OM338" s="93">
        <v>3510.3361113270003</v>
      </c>
      <c r="ON338" s="93">
        <v>2064.3331083190001</v>
      </c>
      <c r="OO338" s="93">
        <v>5574.6692196460008</v>
      </c>
      <c r="OP338" s="93"/>
      <c r="OQ338" s="93">
        <v>2254.5938493650006</v>
      </c>
      <c r="OR338" s="93">
        <v>-47.130150634999836</v>
      </c>
      <c r="OS338" s="93">
        <v>2301.7240000000002</v>
      </c>
      <c r="OT338" s="93">
        <v>3920.7905950890004</v>
      </c>
      <c r="OU338" s="93">
        <v>28.152355716000166</v>
      </c>
      <c r="OV338" s="93">
        <v>2.8713557159999885</v>
      </c>
      <c r="OW338" s="93">
        <v>25.281000000000176</v>
      </c>
      <c r="OX338" s="93">
        <v>3892.638239373</v>
      </c>
      <c r="OY338" s="93">
        <v>8.4752393730000009</v>
      </c>
      <c r="OZ338" s="93">
        <v>3884.163</v>
      </c>
      <c r="PA338" s="93">
        <v>1122.010411798</v>
      </c>
      <c r="PB338" s="93">
        <v>-521.29518699000039</v>
      </c>
      <c r="PC338" s="20">
        <v>5574.6692196460017</v>
      </c>
      <c r="PD338" s="29">
        <v>271</v>
      </c>
      <c r="PE338" s="19"/>
      <c r="PF338" s="93">
        <v>-47.130150634999836</v>
      </c>
      <c r="PG338" s="93">
        <v>930.66227497700004</v>
      </c>
      <c r="PH338" s="93">
        <v>977.79242561199987</v>
      </c>
      <c r="PI338" s="93">
        <v>1238.3727781499999</v>
      </c>
      <c r="PJ338" s="93">
        <v>9.4365580539999883</v>
      </c>
      <c r="PK338" s="93">
        <v>281.64595888399998</v>
      </c>
      <c r="PL338" s="93">
        <v>272.20940082999999</v>
      </c>
      <c r="PM338" s="93">
        <v>8.4752393730000009</v>
      </c>
      <c r="PN338" s="93">
        <v>3.371</v>
      </c>
      <c r="PO338" s="93">
        <v>0</v>
      </c>
      <c r="PP338" s="93">
        <v>0</v>
      </c>
      <c r="PQ338" s="93">
        <v>5.1042393730000004</v>
      </c>
      <c r="PR338" s="93">
        <v>1222.721999228</v>
      </c>
      <c r="PS338" s="93">
        <v>899.91655806300002</v>
      </c>
      <c r="PT338" s="93">
        <v>322.03208847399998</v>
      </c>
      <c r="PU338" s="93">
        <v>0.77335269100000004</v>
      </c>
      <c r="PV338" s="93">
        <v>0</v>
      </c>
      <c r="PW338" s="93">
        <v>0.25842194000000002</v>
      </c>
      <c r="PX338" s="93">
        <v>0</v>
      </c>
      <c r="PY338" s="93">
        <v>0</v>
      </c>
      <c r="PZ338" s="93">
        <v>0.25842194000000002</v>
      </c>
      <c r="QA338" s="93">
        <v>0</v>
      </c>
      <c r="QB338" s="93">
        <v>0</v>
      </c>
      <c r="QC338" s="93">
        <v>0</v>
      </c>
      <c r="QD338" s="93">
        <v>4.2409898580000007</v>
      </c>
      <c r="QE338" s="20">
        <v>-18.066986084000014</v>
      </c>
      <c r="QF338" s="1739">
        <v>271</v>
      </c>
      <c r="QG338" s="19"/>
      <c r="QH338" s="93">
        <v>2301.7240000000002</v>
      </c>
      <c r="QI338" s="93">
        <v>2673.6450000000004</v>
      </c>
      <c r="QJ338" s="93">
        <v>-371.92100000000005</v>
      </c>
      <c r="QK338" s="93">
        <v>446.46100000000001</v>
      </c>
      <c r="QL338" s="93">
        <v>95.569000000000003</v>
      </c>
      <c r="QM338" s="93">
        <v>350.892</v>
      </c>
      <c r="QN338" s="93">
        <v>0</v>
      </c>
      <c r="QO338" s="93">
        <v>25.281000000000176</v>
      </c>
      <c r="QP338" s="93">
        <v>1080.848</v>
      </c>
      <c r="QQ338" s="93">
        <v>-1055.5669999999998</v>
      </c>
      <c r="QR338" s="93">
        <v>3884.163</v>
      </c>
      <c r="QS338" s="93">
        <v>39.777000000000001</v>
      </c>
      <c r="QT338" s="93">
        <v>1.4E-2</v>
      </c>
      <c r="QU338" s="93">
        <v>312.42599999999999</v>
      </c>
      <c r="QV338" s="93">
        <v>3531.9459999999999</v>
      </c>
      <c r="QW338" s="93"/>
      <c r="QX338" s="93">
        <v>1225.1899999999996</v>
      </c>
      <c r="QY338" s="93">
        <v>2410.5129999999999</v>
      </c>
      <c r="QZ338" s="93">
        <v>2064</v>
      </c>
      <c r="RA338" s="93">
        <v>0</v>
      </c>
      <c r="RB338" s="93">
        <v>308.23099999999999</v>
      </c>
      <c r="RC338" s="93">
        <v>0</v>
      </c>
      <c r="RD338" s="93">
        <v>40.309000000000005</v>
      </c>
      <c r="RE338" s="93">
        <v>0</v>
      </c>
      <c r="RF338" s="93">
        <v>0</v>
      </c>
      <c r="RG338" s="93">
        <v>768.971</v>
      </c>
      <c r="RH338" s="93">
        <v>-159.58499999999992</v>
      </c>
      <c r="RI338" s="93"/>
      <c r="RJ338" s="93"/>
      <c r="RK338" s="93"/>
      <c r="RL338" s="93"/>
      <c r="RM338" s="20"/>
      <c r="RN338" s="29">
        <v>271</v>
      </c>
      <c r="RO338" s="19">
        <v>68</v>
      </c>
      <c r="RP338" s="20">
        <v>95</v>
      </c>
      <c r="RQ338" s="29">
        <v>271</v>
      </c>
      <c r="RR338" s="20">
        <v>4.0045080000000004</v>
      </c>
      <c r="RS338" s="29">
        <v>271</v>
      </c>
      <c r="RT338" s="1504">
        <v>44743</v>
      </c>
      <c r="RU338" s="19">
        <v>1504</v>
      </c>
      <c r="RV338" s="20">
        <v>10</v>
      </c>
      <c r="RW338" s="29">
        <v>271</v>
      </c>
      <c r="RX338" s="1504">
        <v>44743</v>
      </c>
      <c r="RY338" s="29"/>
      <c r="RZ338" s="20"/>
      <c r="SA338" s="29"/>
      <c r="SB338" s="29"/>
    </row>
    <row r="339" spans="1:496">
      <c r="A339" s="41">
        <f t="shared" si="238"/>
        <v>2022</v>
      </c>
      <c r="B339" s="1504">
        <v>44774</v>
      </c>
      <c r="C339" s="1813">
        <v>1356.2058737537984</v>
      </c>
      <c r="D339" s="1814">
        <v>31878.730716194426</v>
      </c>
      <c r="E339" s="1814">
        <v>95.995909598786767</v>
      </c>
      <c r="F339" s="1815"/>
      <c r="G339" s="1814">
        <v>481640.3157380941</v>
      </c>
      <c r="H339" s="1814">
        <v>55.677476334104071</v>
      </c>
      <c r="I339" s="1814">
        <v>32817.233180545765</v>
      </c>
      <c r="J339" s="1816">
        <v>20734.620554294732</v>
      </c>
      <c r="K339" s="1807">
        <f t="shared" si="330"/>
        <v>568578.77944881574</v>
      </c>
      <c r="L339" s="25">
        <v>272</v>
      </c>
      <c r="M339" s="97"/>
      <c r="N339" s="1504">
        <v>44774</v>
      </c>
      <c r="O339" s="179">
        <v>3371.1066308070422</v>
      </c>
      <c r="P339" s="99">
        <v>1485.3418112458817</v>
      </c>
      <c r="Q339" s="99">
        <v>10546.959175025922</v>
      </c>
      <c r="R339" s="99">
        <v>3216.2496792782558</v>
      </c>
      <c r="S339" s="99">
        <v>980.01289492077274</v>
      </c>
      <c r="T339" s="99">
        <v>828.98848944554072</v>
      </c>
      <c r="U339" s="99">
        <v>539.86822477950727</v>
      </c>
      <c r="V339" s="99">
        <v>1036.0718044776665</v>
      </c>
      <c r="W339" s="99">
        <v>8135.204619289223</v>
      </c>
      <c r="X339" s="99">
        <v>756.49475615891743</v>
      </c>
      <c r="Y339" s="99">
        <v>551.73153645226853</v>
      </c>
      <c r="Z339" s="99">
        <v>1153.1682408545057</v>
      </c>
      <c r="AA339" s="99">
        <v>754.0707931048579</v>
      </c>
      <c r="AB339" s="20">
        <f t="shared" si="327"/>
        <v>33355.268655840358</v>
      </c>
      <c r="AC339" s="25">
        <v>272</v>
      </c>
      <c r="AD339" s="97"/>
      <c r="AE339" s="1504">
        <v>44774</v>
      </c>
      <c r="AF339" s="179">
        <v>2478.2374031599811</v>
      </c>
      <c r="AG339" s="99">
        <v>901.25859905797347</v>
      </c>
      <c r="AH339" s="99">
        <v>4121.4552297349328</v>
      </c>
      <c r="AI339" s="99">
        <v>6913.7840991212606</v>
      </c>
      <c r="AJ339" s="99">
        <v>346.49905972405742</v>
      </c>
      <c r="AK339" s="99">
        <v>2099.6639588826802</v>
      </c>
      <c r="AL339" s="99">
        <v>1171.5652230011849</v>
      </c>
      <c r="AM339" s="99">
        <v>749.43457493384119</v>
      </c>
      <c r="AN339" s="99">
        <v>10850.864597817614</v>
      </c>
      <c r="AO339" s="99">
        <v>1190.3023769509105</v>
      </c>
      <c r="AP339" s="99">
        <v>1830.3668638266151</v>
      </c>
      <c r="AQ339" s="99">
        <v>1157.0987563695999</v>
      </c>
      <c r="AR339" s="99">
        <v>1394.151886431642</v>
      </c>
      <c r="AS339" s="132">
        <f t="shared" si="323"/>
        <v>35204.682629012292</v>
      </c>
      <c r="AT339" s="25">
        <v>272</v>
      </c>
      <c r="AU339" s="97"/>
      <c r="AV339" s="1504">
        <v>44774</v>
      </c>
      <c r="AW339" s="179">
        <v>15286.088720676371</v>
      </c>
      <c r="AX339" s="99">
        <v>4330.9884502031109</v>
      </c>
      <c r="AY339" s="99">
        <v>3346.3161959526433</v>
      </c>
      <c r="AZ339" s="99">
        <v>24462.508119554779</v>
      </c>
      <c r="BA339" s="99">
        <v>2814.2669256370368</v>
      </c>
      <c r="BB339" s="99">
        <v>10861.765659578661</v>
      </c>
      <c r="BC339" s="99">
        <v>8513.01656898904</v>
      </c>
      <c r="BD339" s="99">
        <v>8386.4957477570788</v>
      </c>
      <c r="BE339" s="99">
        <v>5969.0567887854968</v>
      </c>
      <c r="BF339" s="99">
        <v>6580.3809350432812</v>
      </c>
      <c r="BG339" s="99">
        <v>7185.0058338377139</v>
      </c>
      <c r="BH339" s="99">
        <v>5640.3742516190969</v>
      </c>
      <c r="BI339" s="99">
        <v>10854.067285296629</v>
      </c>
      <c r="BJ339" s="132">
        <f t="shared" si="324"/>
        <v>114230.33148293095</v>
      </c>
      <c r="BK339" s="25">
        <v>272</v>
      </c>
      <c r="BL339" s="97"/>
      <c r="BM339" s="1504">
        <v>44774</v>
      </c>
      <c r="BN339" s="733">
        <v>74.607868658645614</v>
      </c>
      <c r="BO339" s="570">
        <v>1753.3140815158667</v>
      </c>
      <c r="BP339" s="570">
        <v>19.199181919757368</v>
      </c>
      <c r="BQ339" s="570">
        <v>4334.7733979987988</v>
      </c>
      <c r="BR339" s="570">
        <v>9.6440596117169548</v>
      </c>
      <c r="BS339" s="570">
        <v>328.25209114752346</v>
      </c>
      <c r="BT339" s="570">
        <v>580.63589687726744</v>
      </c>
      <c r="BU339" s="132">
        <f t="shared" si="325"/>
        <v>7100.4265777295759</v>
      </c>
      <c r="BV339" s="25">
        <v>272</v>
      </c>
      <c r="BW339" s="97"/>
      <c r="BX339" s="1504">
        <v>44774</v>
      </c>
      <c r="BY339" s="19">
        <v>648.02859999999998</v>
      </c>
      <c r="BZ339" s="93">
        <v>655.95699999999999</v>
      </c>
      <c r="CA339" s="93">
        <v>676.63099999999997</v>
      </c>
      <c r="CB339" s="93">
        <v>38.788525</v>
      </c>
      <c r="CC339" s="93">
        <v>69.816980000000001</v>
      </c>
      <c r="CD339" s="25">
        <v>272</v>
      </c>
      <c r="CE339" s="97"/>
      <c r="CF339" s="1504">
        <v>44774</v>
      </c>
      <c r="CG339" s="19">
        <v>2.742988204</v>
      </c>
      <c r="CH339" s="93">
        <v>1764.56</v>
      </c>
      <c r="CI339" s="219">
        <v>95.973333333330004</v>
      </c>
      <c r="CJ339" s="20">
        <v>98.6</v>
      </c>
      <c r="CK339" s="19">
        <v>412.55</v>
      </c>
      <c r="CL339" s="93">
        <v>289.8350896</v>
      </c>
      <c r="CM339" s="93">
        <v>0.39352467000000002</v>
      </c>
      <c r="CN339" s="93">
        <v>0.33077262400000002</v>
      </c>
      <c r="CO339" s="93">
        <v>382.86</v>
      </c>
      <c r="CP339" s="20">
        <v>5.7080918729999999</v>
      </c>
      <c r="CQ339" s="219">
        <v>2146.11</v>
      </c>
      <c r="CR339" s="93">
        <v>2.36</v>
      </c>
      <c r="CS339" s="93">
        <v>1.6093999999999999</v>
      </c>
      <c r="CT339" s="93">
        <v>320</v>
      </c>
      <c r="CU339" s="93">
        <v>108.85</v>
      </c>
      <c r="CV339" s="214">
        <v>3587.57</v>
      </c>
      <c r="CW339" s="29">
        <v>272</v>
      </c>
      <c r="CX339" s="41">
        <f t="shared" si="319"/>
        <v>2022</v>
      </c>
      <c r="CY339" s="1504">
        <v>44774</v>
      </c>
      <c r="CZ339" s="19"/>
      <c r="DA339" s="93"/>
      <c r="DB339" s="93"/>
      <c r="DC339" s="93"/>
      <c r="DD339" s="93"/>
      <c r="DE339" s="20"/>
      <c r="DF339" s="29"/>
      <c r="DG339" s="1504">
        <v>44774</v>
      </c>
      <c r="DH339" s="19">
        <v>509374</v>
      </c>
      <c r="DI339" s="93">
        <v>4751721</v>
      </c>
      <c r="DJ339" s="93">
        <v>226769</v>
      </c>
      <c r="DK339" s="93">
        <v>16659</v>
      </c>
      <c r="DL339" s="93">
        <v>461288</v>
      </c>
      <c r="DM339" s="93">
        <v>5816</v>
      </c>
      <c r="DN339" s="20">
        <v>1325213</v>
      </c>
      <c r="DO339" s="295">
        <f t="shared" si="333"/>
        <v>6787466</v>
      </c>
      <c r="DP339" s="29">
        <v>272</v>
      </c>
      <c r="DQ339" s="1504">
        <v>44774</v>
      </c>
      <c r="DR339" s="19">
        <v>75278.502999999997</v>
      </c>
      <c r="DS339" s="93">
        <v>112</v>
      </c>
      <c r="DT339" s="93">
        <v>72352.350000000006</v>
      </c>
      <c r="DU339" s="93">
        <v>3348.1149999999998</v>
      </c>
      <c r="DV339" s="93">
        <v>14081.037</v>
      </c>
      <c r="DW339" s="93">
        <v>3069</v>
      </c>
      <c r="DX339" s="20">
        <v>21877.669642857141</v>
      </c>
      <c r="DY339" s="29">
        <v>272</v>
      </c>
      <c r="DZ339" s="1504">
        <v>44774</v>
      </c>
      <c r="EA339" s="19"/>
      <c r="EB339" s="93"/>
      <c r="EC339" s="20"/>
      <c r="ED339" s="29"/>
      <c r="EE339" s="1504">
        <v>44774</v>
      </c>
      <c r="EF339" s="19">
        <f t="shared" si="307"/>
        <v>23177</v>
      </c>
      <c r="EG339" s="93">
        <f t="shared" si="308"/>
        <v>25516</v>
      </c>
      <c r="EH339" s="93">
        <f t="shared" si="309"/>
        <v>60398</v>
      </c>
      <c r="EI339" s="214">
        <f t="shared" si="310"/>
        <v>11705</v>
      </c>
      <c r="EJ339" s="93">
        <f t="shared" si="311"/>
        <v>652.68000000000006</v>
      </c>
      <c r="EK339" s="93">
        <f t="shared" si="312"/>
        <v>113.303</v>
      </c>
      <c r="EL339" s="93">
        <f t="shared" si="313"/>
        <v>6.7270000000000003</v>
      </c>
      <c r="EM339" s="93">
        <f t="shared" si="314"/>
        <v>11.303000000000001</v>
      </c>
      <c r="EN339" s="20">
        <f t="shared" si="317"/>
        <v>784.01300000000003</v>
      </c>
      <c r="EO339" s="29">
        <v>272</v>
      </c>
      <c r="EP339" s="1504">
        <v>44774</v>
      </c>
      <c r="EQ339" s="19">
        <v>22322</v>
      </c>
      <c r="ER339" s="93">
        <v>24665</v>
      </c>
      <c r="ES339" s="93">
        <f t="shared" si="315"/>
        <v>46987</v>
      </c>
      <c r="ET339" s="214">
        <v>11549</v>
      </c>
      <c r="EU339" s="93">
        <v>651.86</v>
      </c>
      <c r="EV339" s="93">
        <v>112.003</v>
      </c>
      <c r="EW339" s="93">
        <v>6.7270000000000003</v>
      </c>
      <c r="EX339" s="93">
        <v>11.303000000000001</v>
      </c>
      <c r="EY339" s="20">
        <f t="shared" si="321"/>
        <v>781.89300000000003</v>
      </c>
      <c r="EZ339" s="29">
        <v>272</v>
      </c>
      <c r="FA339" s="1504">
        <v>44774</v>
      </c>
      <c r="FB339" s="29">
        <v>855</v>
      </c>
      <c r="FC339" s="29">
        <v>851</v>
      </c>
      <c r="FD339" s="29">
        <f t="shared" si="316"/>
        <v>1706</v>
      </c>
      <c r="FE339" s="29">
        <v>156</v>
      </c>
      <c r="FF339" s="29">
        <v>0.82</v>
      </c>
      <c r="FG339" s="29">
        <v>1.3</v>
      </c>
      <c r="FH339" s="29">
        <v>0</v>
      </c>
      <c r="FI339" s="29">
        <v>0</v>
      </c>
      <c r="FJ339" s="29">
        <f t="shared" si="326"/>
        <v>2.12</v>
      </c>
      <c r="FK339" s="29">
        <v>272</v>
      </c>
      <c r="FL339" s="1504">
        <v>44774</v>
      </c>
      <c r="FM339" s="19">
        <v>128.53</v>
      </c>
      <c r="FN339" s="93">
        <v>148.96</v>
      </c>
      <c r="FO339" s="93">
        <v>152.79</v>
      </c>
      <c r="FP339" s="93">
        <v>101.7</v>
      </c>
      <c r="FQ339" s="93">
        <v>107.27</v>
      </c>
      <c r="FR339" s="93">
        <v>101.61</v>
      </c>
      <c r="FS339" s="93">
        <v>100.61</v>
      </c>
      <c r="FT339" s="93">
        <v>105.22</v>
      </c>
      <c r="FU339" s="93">
        <v>98.74</v>
      </c>
      <c r="FV339" s="93">
        <v>101.3</v>
      </c>
      <c r="FW339" s="93">
        <v>112.14</v>
      </c>
      <c r="FX339" s="93">
        <v>108.08</v>
      </c>
      <c r="FY339" s="93">
        <v>101.38</v>
      </c>
      <c r="FZ339" s="29">
        <v>272</v>
      </c>
      <c r="GA339" s="1504">
        <v>44774</v>
      </c>
      <c r="GB339" s="19">
        <v>128.53</v>
      </c>
      <c r="GC339" s="93">
        <v>108.99</v>
      </c>
      <c r="GD339" s="93">
        <v>137.59</v>
      </c>
      <c r="GE339" s="93">
        <v>109.47</v>
      </c>
      <c r="GF339" s="93">
        <v>168.88</v>
      </c>
      <c r="GG339" s="93">
        <v>112.18</v>
      </c>
      <c r="GH339" s="93">
        <v>160.36000000000001</v>
      </c>
      <c r="GI339" s="93">
        <v>111.5</v>
      </c>
      <c r="GJ339" s="93">
        <v>105.32</v>
      </c>
      <c r="GK339" s="93">
        <v>100.31</v>
      </c>
      <c r="GL339" s="93">
        <v>141.78</v>
      </c>
      <c r="GM339" s="93">
        <v>101.8</v>
      </c>
      <c r="GN339" s="20">
        <v>105.31</v>
      </c>
      <c r="GO339" s="29">
        <v>272</v>
      </c>
      <c r="GP339" s="1504">
        <v>44774</v>
      </c>
      <c r="GQ339" s="19">
        <v>450</v>
      </c>
      <c r="GR339" s="93">
        <v>380</v>
      </c>
      <c r="GS339" s="93">
        <v>355</v>
      </c>
      <c r="GT339" s="93">
        <v>320</v>
      </c>
      <c r="GU339" s="93">
        <v>430</v>
      </c>
      <c r="GV339" s="20">
        <v>1061</v>
      </c>
      <c r="GW339" s="19">
        <v>631</v>
      </c>
      <c r="GX339" s="93">
        <v>726</v>
      </c>
      <c r="GY339" s="93">
        <v>628</v>
      </c>
      <c r="GZ339" s="93">
        <v>602</v>
      </c>
      <c r="HA339" s="93">
        <v>479</v>
      </c>
      <c r="HB339" s="20">
        <v>922</v>
      </c>
      <c r="HC339" s="19">
        <v>2613</v>
      </c>
      <c r="HD339" s="93">
        <v>2908</v>
      </c>
      <c r="HE339" s="93">
        <v>2920</v>
      </c>
      <c r="HF339" s="93">
        <v>3150</v>
      </c>
      <c r="HG339" s="93">
        <v>3387</v>
      </c>
      <c r="HH339" s="20">
        <v>3602</v>
      </c>
      <c r="HI339" s="19"/>
      <c r="HJ339" s="93">
        <v>967</v>
      </c>
      <c r="HK339" s="93">
        <v>1928</v>
      </c>
      <c r="HL339" s="93">
        <v>1062</v>
      </c>
      <c r="HM339" s="93">
        <v>1240</v>
      </c>
      <c r="HN339" s="20">
        <v>2521</v>
      </c>
      <c r="HO339" s="219">
        <v>229</v>
      </c>
      <c r="HP339" s="20">
        <v>76</v>
      </c>
      <c r="HQ339" s="25">
        <v>206</v>
      </c>
      <c r="HR339" s="29">
        <v>272</v>
      </c>
      <c r="HS339" s="1504">
        <v>44774</v>
      </c>
      <c r="HT339" s="19">
        <v>443.21670532226563</v>
      </c>
      <c r="HU339" s="93">
        <v>442.70834350585938</v>
      </c>
      <c r="HV339" s="93">
        <v>392.1568603515625</v>
      </c>
      <c r="HW339" s="93">
        <v>382.65304565429688</v>
      </c>
      <c r="HX339" s="93">
        <v>415.82490844726561</v>
      </c>
      <c r="HY339" s="93">
        <v>428.5714111328125</v>
      </c>
      <c r="HZ339" s="93">
        <v>427.9999938964844</v>
      </c>
      <c r="IA339" s="20">
        <v>468.2274169921875</v>
      </c>
      <c r="IB339" s="19">
        <v>321.85430297851565</v>
      </c>
      <c r="IC339" s="93">
        <v>314.484375</v>
      </c>
      <c r="ID339" s="93">
        <v>383.62067413330078</v>
      </c>
      <c r="IE339" s="93">
        <v>286.93232421875001</v>
      </c>
      <c r="IF339" s="93">
        <v>410.09462280273436</v>
      </c>
      <c r="IG339" s="20">
        <v>306.87831420898436</v>
      </c>
      <c r="IH339" s="19">
        <v>253.57142639160156</v>
      </c>
      <c r="II339" s="93">
        <v>330.85723114013672</v>
      </c>
      <c r="IJ339" s="93">
        <v>309.27835083007813</v>
      </c>
      <c r="IK339" s="93">
        <v>285.71429443359375</v>
      </c>
      <c r="IL339" s="93">
        <v>284.09091186523438</v>
      </c>
      <c r="IM339" s="93">
        <v>294.66666870117189</v>
      </c>
      <c r="IN339" s="93"/>
      <c r="IO339" s="20">
        <v>287.82894897460938</v>
      </c>
      <c r="IP339" s="29">
        <v>272</v>
      </c>
      <c r="IQ339" s="19">
        <v>263.94557495117186</v>
      </c>
      <c r="IR339" s="93">
        <v>211.45174407958984</v>
      </c>
      <c r="IS339" s="93">
        <v>233.33332824707031</v>
      </c>
      <c r="IT339" s="93">
        <v>228.05534057617189</v>
      </c>
      <c r="IU339" s="93">
        <v>313.53134155273438</v>
      </c>
      <c r="IV339" s="20">
        <v>245.85635986328126</v>
      </c>
      <c r="IW339" s="29">
        <v>272</v>
      </c>
      <c r="IX339" s="19">
        <v>578</v>
      </c>
      <c r="IY339" s="93">
        <v>460.68548583984375</v>
      </c>
      <c r="IZ339" s="93">
        <v>450</v>
      </c>
      <c r="JA339" s="93">
        <v>450</v>
      </c>
      <c r="JB339" s="93">
        <v>430</v>
      </c>
      <c r="JC339" s="93">
        <v>425</v>
      </c>
      <c r="JD339" s="93">
        <v>480</v>
      </c>
      <c r="JE339" s="20">
        <v>500</v>
      </c>
      <c r="JF339" s="29">
        <v>272</v>
      </c>
      <c r="JG339" s="19">
        <v>322.18650054931641</v>
      </c>
      <c r="JH339" s="93">
        <v>401.12704467773438</v>
      </c>
      <c r="JI339" s="93">
        <v>376.71231079101563</v>
      </c>
      <c r="JJ339" s="93">
        <v>327.91326904296875</v>
      </c>
      <c r="JK339" s="93">
        <v>374.99998168945314</v>
      </c>
      <c r="JL339" s="93">
        <v>345.94593811035156</v>
      </c>
      <c r="JM339" s="93">
        <v>374.7440185546875</v>
      </c>
      <c r="JN339" s="20">
        <v>439.5604248046875</v>
      </c>
      <c r="JO339" s="29">
        <v>272</v>
      </c>
      <c r="JP339" s="19">
        <v>274.96908874511718</v>
      </c>
      <c r="JQ339" s="93">
        <v>242.25906753540039</v>
      </c>
      <c r="JR339" s="93">
        <v>290.32260131835938</v>
      </c>
      <c r="JS339" s="93">
        <v>238.94557189941406</v>
      </c>
      <c r="JT339" s="93">
        <v>330.27523193359377</v>
      </c>
      <c r="JU339" s="20">
        <v>265.6250061035156</v>
      </c>
      <c r="JV339" s="29">
        <v>272</v>
      </c>
      <c r="JW339" s="1504">
        <v>44774</v>
      </c>
      <c r="JX339" s="19"/>
      <c r="JY339" s="93"/>
      <c r="JZ339" s="93"/>
      <c r="KA339" s="93"/>
      <c r="KB339" s="93"/>
      <c r="KC339" s="93"/>
      <c r="KD339" s="20"/>
      <c r="KE339" s="29"/>
      <c r="KF339" s="19"/>
      <c r="KG339" s="93"/>
      <c r="KH339" s="93"/>
      <c r="KI339" s="93"/>
      <c r="KJ339" s="93"/>
      <c r="KK339" s="20"/>
      <c r="KL339" s="29"/>
      <c r="KM339" s="19"/>
      <c r="KN339" s="93"/>
      <c r="KO339" s="93"/>
      <c r="KP339" s="93"/>
      <c r="KQ339" s="93"/>
      <c r="KR339" s="20"/>
      <c r="KS339" s="29"/>
      <c r="KT339" s="19"/>
      <c r="KU339" s="93"/>
      <c r="KV339" s="93"/>
      <c r="KW339" s="93"/>
      <c r="KX339" s="93"/>
      <c r="KY339" s="20"/>
      <c r="KZ339" s="29"/>
      <c r="LA339" s="1504">
        <v>44774</v>
      </c>
      <c r="LB339" s="19"/>
      <c r="LC339" s="93"/>
      <c r="LD339" s="93"/>
      <c r="LE339" s="93"/>
      <c r="LF339" s="93"/>
      <c r="LG339" s="93"/>
      <c r="LH339" s="20"/>
      <c r="LI339" s="29"/>
      <c r="LJ339" s="19"/>
      <c r="LK339" s="93"/>
      <c r="LL339" s="93"/>
      <c r="LM339" s="93"/>
      <c r="LN339" s="93"/>
      <c r="LO339" s="20"/>
      <c r="LP339" s="29"/>
      <c r="LQ339" s="19"/>
      <c r="LR339" s="93">
        <v>188</v>
      </c>
      <c r="LS339" s="93">
        <v>463</v>
      </c>
      <c r="LT339" s="93">
        <v>663</v>
      </c>
      <c r="LU339" s="93">
        <v>1104</v>
      </c>
      <c r="LV339" s="93"/>
      <c r="LW339" s="93">
        <v>5</v>
      </c>
      <c r="LX339" s="93">
        <v>10</v>
      </c>
      <c r="LY339" s="93">
        <v>60</v>
      </c>
      <c r="LZ339" s="93"/>
      <c r="MA339" s="20"/>
      <c r="MB339" s="29">
        <v>272</v>
      </c>
      <c r="MC339" s="1504">
        <v>44774</v>
      </c>
      <c r="MD339" s="19">
        <v>1688.2355081371832</v>
      </c>
      <c r="ME339" s="93">
        <v>1490.6249957243333</v>
      </c>
      <c r="MF339" s="93">
        <v>1490.6249957243333</v>
      </c>
      <c r="MG339" s="93">
        <v>1327.0460311453332</v>
      </c>
      <c r="MH339" s="93">
        <v>486.798749036</v>
      </c>
      <c r="MI339" s="93">
        <v>12.708671316</v>
      </c>
      <c r="MJ339" s="93">
        <v>39.281907140333338</v>
      </c>
      <c r="MK339" s="93">
        <v>600.64667445999999</v>
      </c>
      <c r="ML339" s="93">
        <v>186.67177862400001</v>
      </c>
      <c r="MM339" s="93">
        <v>0.93825056900000003</v>
      </c>
      <c r="MN339" s="93">
        <v>163.57896457900003</v>
      </c>
      <c r="MO339" s="93">
        <v>3.7053390919999991</v>
      </c>
      <c r="MP339" s="93">
        <v>26.394777284999996</v>
      </c>
      <c r="MQ339" s="93">
        <v>2.0272234020000002</v>
      </c>
      <c r="MR339" s="93">
        <v>60.607583407000007</v>
      </c>
      <c r="MS339" s="93">
        <v>70.844041393000012</v>
      </c>
      <c r="MT339" s="93">
        <v>0</v>
      </c>
      <c r="MU339" s="93">
        <v>197.61051241284991</v>
      </c>
      <c r="MV339" s="93">
        <v>137.34546625184993</v>
      </c>
      <c r="MW339" s="93">
        <v>60.265046161000001</v>
      </c>
      <c r="MX339" s="93">
        <v>1915.9678869549512</v>
      </c>
      <c r="MY339" s="93">
        <v>1923.513896930951</v>
      </c>
      <c r="MZ339" s="93">
        <v>1415.7119680481808</v>
      </c>
      <c r="NA339" s="93">
        <v>672.34976767066655</v>
      </c>
      <c r="NB339" s="93">
        <v>132.71407964900001</v>
      </c>
      <c r="NC339" s="93">
        <v>132.66934223551414</v>
      </c>
      <c r="ND339" s="93">
        <v>114.12521655483957</v>
      </c>
      <c r="NE339" s="93">
        <v>18.544125680674572</v>
      </c>
      <c r="NF339" s="93">
        <v>477.97877849299999</v>
      </c>
      <c r="NG339" s="93">
        <v>0.56999999999999995</v>
      </c>
      <c r="NH339" s="93">
        <v>92.689386746000011</v>
      </c>
      <c r="NI339" s="93">
        <v>0</v>
      </c>
      <c r="NJ339" s="93">
        <v>146.337544603</v>
      </c>
      <c r="NK339" s="93">
        <v>507.80192888277048</v>
      </c>
      <c r="NL339" s="93">
        <v>268.08839681799998</v>
      </c>
      <c r="NM339" s="93">
        <v>3.713559219</v>
      </c>
      <c r="NN339" s="93">
        <v>235.99997284577049</v>
      </c>
      <c r="NO339" s="93">
        <v>-7.5460099760000077</v>
      </c>
      <c r="NP339" s="93">
        <v>-227.7323788177678</v>
      </c>
      <c r="NQ339" s="93">
        <v>-425.34289123061762</v>
      </c>
      <c r="NR339" s="93">
        <v>-56.673576149333016</v>
      </c>
      <c r="NS339" s="93">
        <v>-189.34291838484714</v>
      </c>
      <c r="NT339" s="93">
        <v>-353.5178265417677</v>
      </c>
      <c r="NU339" s="93">
        <v>-551.12833895461767</v>
      </c>
      <c r="NV339" s="93">
        <v>355.25292650684349</v>
      </c>
      <c r="NW339" s="93">
        <v>109.61952434080237</v>
      </c>
      <c r="NX339" s="93">
        <v>156.01918612392063</v>
      </c>
      <c r="NY339" s="93">
        <v>-46.399661783118233</v>
      </c>
      <c r="NZ339" s="93">
        <v>0</v>
      </c>
      <c r="OA339" s="93">
        <v>245.63340216604109</v>
      </c>
      <c r="OB339" s="93">
        <v>272.6394759849</v>
      </c>
      <c r="OC339" s="93">
        <v>-27.006073818858852</v>
      </c>
      <c r="OD339" s="19">
        <v>-1.7350999650757388</v>
      </c>
      <c r="OE339" s="29">
        <v>272</v>
      </c>
      <c r="OF339" s="1504">
        <v>44774</v>
      </c>
      <c r="OG339" s="19"/>
      <c r="OH339" s="93">
        <v>767.574278865</v>
      </c>
      <c r="OI339" s="93">
        <v>2692.2841766889997</v>
      </c>
      <c r="OJ339" s="93">
        <v>0.395665459</v>
      </c>
      <c r="OK339" s="93">
        <v>2390.2879999999996</v>
      </c>
      <c r="OL339" s="93">
        <v>301.60051123</v>
      </c>
      <c r="OM339" s="93">
        <v>3459.8584555539996</v>
      </c>
      <c r="ON339" s="93">
        <v>2142.4851083190001</v>
      </c>
      <c r="OO339" s="93">
        <v>5602.3435638729998</v>
      </c>
      <c r="OP339" s="93"/>
      <c r="OQ339" s="93">
        <v>2176.6161932940004</v>
      </c>
      <c r="OR339" s="93">
        <v>-14.384806705999836</v>
      </c>
      <c r="OS339" s="93">
        <v>2191.0010000000002</v>
      </c>
      <c r="OT339" s="93">
        <v>3974.333842685</v>
      </c>
      <c r="OU339" s="93">
        <v>-9.6585562390000064</v>
      </c>
      <c r="OV339" s="93">
        <v>-94.668556238999997</v>
      </c>
      <c r="OW339" s="93">
        <v>85.009999999999991</v>
      </c>
      <c r="OX339" s="93">
        <v>3983.9923989240001</v>
      </c>
      <c r="OY339" s="93">
        <v>8.7763989240000004</v>
      </c>
      <c r="OZ339" s="93">
        <v>3975.2160000000003</v>
      </c>
      <c r="PA339" s="93">
        <v>1112.6084802410001</v>
      </c>
      <c r="PB339" s="93">
        <v>-564.0020081350001</v>
      </c>
      <c r="PC339" s="20">
        <v>5602.3435638729998</v>
      </c>
      <c r="PD339" s="29">
        <v>272</v>
      </c>
      <c r="PE339" s="19"/>
      <c r="PF339" s="93">
        <v>-14.384806705999836</v>
      </c>
      <c r="PG339" s="93">
        <v>729.52112997800009</v>
      </c>
      <c r="PH339" s="93">
        <v>743.90593668399993</v>
      </c>
      <c r="PI339" s="93">
        <v>1302.69767815</v>
      </c>
      <c r="PJ339" s="93">
        <v>-88.103353900999991</v>
      </c>
      <c r="PK339" s="93">
        <v>281.66857328700002</v>
      </c>
      <c r="PL339" s="93">
        <v>369.77192718800001</v>
      </c>
      <c r="PM339" s="93">
        <v>8.7763989240000004</v>
      </c>
      <c r="PN339" s="93">
        <v>3.653</v>
      </c>
      <c r="PO339" s="93">
        <v>0</v>
      </c>
      <c r="PP339" s="93">
        <v>0</v>
      </c>
      <c r="PQ339" s="93">
        <v>5.123398924</v>
      </c>
      <c r="PR339" s="93">
        <v>1251.746148829</v>
      </c>
      <c r="PS339" s="93">
        <v>882.92648120299998</v>
      </c>
      <c r="PT339" s="93">
        <v>368.09089384800001</v>
      </c>
      <c r="PU339" s="93">
        <v>0.72877377799999998</v>
      </c>
      <c r="PV339" s="93">
        <v>0</v>
      </c>
      <c r="PW339" s="93">
        <v>0.54164093700000004</v>
      </c>
      <c r="PX339" s="93">
        <v>0</v>
      </c>
      <c r="PY339" s="93">
        <v>0</v>
      </c>
      <c r="PZ339" s="93">
        <v>0.54164093700000004</v>
      </c>
      <c r="QA339" s="93">
        <v>0</v>
      </c>
      <c r="QB339" s="93">
        <v>0</v>
      </c>
      <c r="QC339" s="93">
        <v>0</v>
      </c>
      <c r="QD339" s="93">
        <v>8.733839304</v>
      </c>
      <c r="QE339" s="20">
        <v>-52.035712603000015</v>
      </c>
      <c r="QF339" s="1739">
        <v>272</v>
      </c>
      <c r="QG339" s="19"/>
      <c r="QH339" s="93">
        <v>2191.0010000000002</v>
      </c>
      <c r="QI339" s="93">
        <v>2599.7060000000001</v>
      </c>
      <c r="QJ339" s="93">
        <v>-408.70499999999998</v>
      </c>
      <c r="QK339" s="93">
        <v>557.20400000000006</v>
      </c>
      <c r="QL339" s="93">
        <v>108.78700000000001</v>
      </c>
      <c r="QM339" s="93">
        <v>448.41700000000003</v>
      </c>
      <c r="QN339" s="93">
        <v>0</v>
      </c>
      <c r="QO339" s="93">
        <v>85.009999999999991</v>
      </c>
      <c r="QP339" s="93">
        <v>1116.867</v>
      </c>
      <c r="QQ339" s="93">
        <v>-1031.857</v>
      </c>
      <c r="QR339" s="93">
        <v>3975.2160000000003</v>
      </c>
      <c r="QS339" s="93">
        <v>38.333999999999996</v>
      </c>
      <c r="QT339" s="93">
        <v>2.1999999999999999E-2</v>
      </c>
      <c r="QU339" s="93">
        <v>315.149</v>
      </c>
      <c r="QV339" s="93">
        <v>3621.7110000000002</v>
      </c>
      <c r="QW339" s="93"/>
      <c r="QX339" s="93">
        <v>1298.6599999999999</v>
      </c>
      <c r="QY339" s="93">
        <v>2390.288</v>
      </c>
      <c r="QZ339" s="93">
        <v>2142.152</v>
      </c>
      <c r="RA339" s="93">
        <v>0</v>
      </c>
      <c r="RB339" s="93">
        <v>277.339</v>
      </c>
      <c r="RC339" s="93">
        <v>0</v>
      </c>
      <c r="RD339" s="93">
        <v>40.98</v>
      </c>
      <c r="RE339" s="93">
        <v>0</v>
      </c>
      <c r="RF339" s="93">
        <v>0</v>
      </c>
      <c r="RG339" s="93">
        <v>785.01400000000001</v>
      </c>
      <c r="RH339" s="93">
        <v>-126.00200000000001</v>
      </c>
      <c r="RI339" s="93"/>
      <c r="RJ339" s="93"/>
      <c r="RK339" s="93"/>
      <c r="RL339" s="93"/>
      <c r="RM339" s="20"/>
      <c r="RN339" s="29">
        <v>272</v>
      </c>
      <c r="RO339" s="19">
        <v>100</v>
      </c>
      <c r="RP339" s="20">
        <v>188</v>
      </c>
      <c r="RQ339" s="29">
        <v>272</v>
      </c>
      <c r="RR339" s="20">
        <v>4.2920780000000001</v>
      </c>
      <c r="RS339" s="29">
        <v>272</v>
      </c>
      <c r="RT339" s="1504">
        <v>44774</v>
      </c>
      <c r="RU339" s="19">
        <v>1605</v>
      </c>
      <c r="RV339" s="20">
        <v>7</v>
      </c>
      <c r="RW339" s="29">
        <v>272</v>
      </c>
      <c r="RX339" s="1504">
        <v>44774</v>
      </c>
      <c r="RY339" s="29"/>
      <c r="RZ339" s="20"/>
      <c r="SA339" s="29"/>
      <c r="SB339" s="29"/>
    </row>
    <row r="340" spans="1:496">
      <c r="A340" s="41">
        <f t="shared" si="238"/>
        <v>2022</v>
      </c>
      <c r="B340" s="1504">
        <v>44805</v>
      </c>
      <c r="C340" s="1813">
        <v>1195.7217128385544</v>
      </c>
      <c r="D340" s="1814">
        <v>32109.228562570654</v>
      </c>
      <c r="E340" s="1814">
        <v>103.26752957844631</v>
      </c>
      <c r="F340" s="1815"/>
      <c r="G340" s="1814">
        <v>763323.21235014929</v>
      </c>
      <c r="H340" s="1814">
        <v>74.808283842443061</v>
      </c>
      <c r="I340" s="1814">
        <v>33096.005052667831</v>
      </c>
      <c r="J340" s="1816">
        <v>21774.259290979848</v>
      </c>
      <c r="K340" s="1807">
        <f t="shared" si="330"/>
        <v>851676.50278262701</v>
      </c>
      <c r="L340" s="25">
        <v>273</v>
      </c>
      <c r="M340" s="97"/>
      <c r="N340" s="1504">
        <v>44805</v>
      </c>
      <c r="O340" s="179">
        <v>4294.4647174970451</v>
      </c>
      <c r="P340" s="99">
        <v>1610.4023867948422</v>
      </c>
      <c r="Q340" s="99">
        <v>10640.498967734507</v>
      </c>
      <c r="R340" s="99">
        <v>3448.3859025926859</v>
      </c>
      <c r="S340" s="99">
        <v>810.61052740151592</v>
      </c>
      <c r="T340" s="99">
        <v>793.18849377378876</v>
      </c>
      <c r="U340" s="99">
        <v>580.47356496027055</v>
      </c>
      <c r="V340" s="99">
        <v>896.68264932840702</v>
      </c>
      <c r="W340" s="99">
        <v>8766.6111717402273</v>
      </c>
      <c r="X340" s="99">
        <v>733.81526995704553</v>
      </c>
      <c r="Y340" s="99">
        <v>536.09163125796408</v>
      </c>
      <c r="Z340" s="99">
        <v>1120.2766078445175</v>
      </c>
      <c r="AA340" s="99">
        <v>624.62598293363851</v>
      </c>
      <c r="AB340" s="20">
        <f t="shared" si="327"/>
        <v>34856.127873816462</v>
      </c>
      <c r="AC340" s="25">
        <v>273</v>
      </c>
      <c r="AD340" s="97"/>
      <c r="AE340" s="1504">
        <v>44805</v>
      </c>
      <c r="AF340" s="179">
        <v>2429.698382639624</v>
      </c>
      <c r="AG340" s="99">
        <v>865.58825386492708</v>
      </c>
      <c r="AH340" s="99">
        <v>4037.8024954800362</v>
      </c>
      <c r="AI340" s="99">
        <v>8490.7737847440658</v>
      </c>
      <c r="AJ340" s="99">
        <v>225.19282974164807</v>
      </c>
      <c r="AK340" s="99">
        <v>2088.6852597672805</v>
      </c>
      <c r="AL340" s="99">
        <v>1226.725763979106</v>
      </c>
      <c r="AM340" s="99">
        <v>621.70261290394512</v>
      </c>
      <c r="AN340" s="99">
        <v>11554.000661904502</v>
      </c>
      <c r="AO340" s="99">
        <v>1225.6554472443897</v>
      </c>
      <c r="AP340" s="99">
        <v>2025.2949504704334</v>
      </c>
      <c r="AQ340" s="99">
        <v>1098.2505587977632</v>
      </c>
      <c r="AR340" s="99">
        <v>1484.5919860739116</v>
      </c>
      <c r="AS340" s="132">
        <f t="shared" si="323"/>
        <v>37373.962987611631</v>
      </c>
      <c r="AT340" s="25">
        <v>273</v>
      </c>
      <c r="AU340" s="97"/>
      <c r="AV340" s="1504">
        <v>44805</v>
      </c>
      <c r="AW340" s="179">
        <v>17185.496235990293</v>
      </c>
      <c r="AX340" s="99">
        <v>4492.2537423445337</v>
      </c>
      <c r="AY340" s="99">
        <v>3367.6964178017402</v>
      </c>
      <c r="AZ340" s="99">
        <v>28589.123403607387</v>
      </c>
      <c r="BA340" s="99">
        <v>2303.5687985060572</v>
      </c>
      <c r="BB340" s="99">
        <v>12068.434688605803</v>
      </c>
      <c r="BC340" s="99">
        <v>10186.664300953527</v>
      </c>
      <c r="BD340" s="99">
        <v>7944.8694942713901</v>
      </c>
      <c r="BE340" s="99">
        <v>4580.7645045930449</v>
      </c>
      <c r="BF340" s="99">
        <v>7176.3981645773147</v>
      </c>
      <c r="BG340" s="99">
        <v>7922.9813805435797</v>
      </c>
      <c r="BH340" s="99">
        <v>5294.6555688124045</v>
      </c>
      <c r="BI340" s="99">
        <v>12832.524582876988</v>
      </c>
      <c r="BJ340" s="132">
        <f t="shared" si="324"/>
        <v>123945.43128348407</v>
      </c>
      <c r="BK340" s="25">
        <v>273</v>
      </c>
      <c r="BL340" s="97"/>
      <c r="BM340" s="1504">
        <v>44805</v>
      </c>
      <c r="BN340" s="733">
        <v>65.787144638185808</v>
      </c>
      <c r="BO340" s="570">
        <v>1765.9806311176994</v>
      </c>
      <c r="BP340" s="570">
        <v>20.653505915689284</v>
      </c>
      <c r="BQ340" s="570">
        <v>6869.8481753223605</v>
      </c>
      <c r="BR340" s="570">
        <v>12.923377084582247</v>
      </c>
      <c r="BS340" s="570">
        <v>331.06535019958039</v>
      </c>
      <c r="BT340" s="570">
        <v>609.75860161180265</v>
      </c>
      <c r="BU340" s="132">
        <f t="shared" si="325"/>
        <v>9676.0167858898985</v>
      </c>
      <c r="BV340" s="25">
        <v>273</v>
      </c>
      <c r="BW340" s="97"/>
      <c r="BX340" s="1504">
        <v>44805</v>
      </c>
      <c r="BY340" s="19">
        <v>662.44029999999998</v>
      </c>
      <c r="BZ340" s="93">
        <v>655.95699999999999</v>
      </c>
      <c r="CA340" s="93">
        <v>680.48519999999996</v>
      </c>
      <c r="CB340" s="93">
        <v>37.658028000000002</v>
      </c>
      <c r="CC340" s="93">
        <v>65.384073000000001</v>
      </c>
      <c r="CD340" s="25">
        <v>273</v>
      </c>
      <c r="CE340" s="97"/>
      <c r="CF340" s="1504">
        <v>44805</v>
      </c>
      <c r="CG340" s="19">
        <v>2.5926331199999999</v>
      </c>
      <c r="CH340" s="93">
        <v>1680.78</v>
      </c>
      <c r="CI340" s="219">
        <v>88.22</v>
      </c>
      <c r="CJ340" s="20">
        <v>90.16</v>
      </c>
      <c r="CK340" s="19">
        <v>423.36</v>
      </c>
      <c r="CL340" s="93">
        <v>312.6567192</v>
      </c>
      <c r="CM340" s="93">
        <v>0.39065866399999999</v>
      </c>
      <c r="CN340" s="93">
        <v>0.32362096000000001</v>
      </c>
      <c r="CO340" s="93">
        <v>419.14</v>
      </c>
      <c r="CP340" s="20">
        <v>5.6493387500000001</v>
      </c>
      <c r="CQ340" s="219">
        <v>2146.13</v>
      </c>
      <c r="CR340" s="93">
        <v>2.36</v>
      </c>
      <c r="CS340" s="93">
        <v>1.48</v>
      </c>
      <c r="CT340" s="93">
        <v>320</v>
      </c>
      <c r="CU340" s="93">
        <v>99.81</v>
      </c>
      <c r="CV340" s="214">
        <v>3124.97</v>
      </c>
      <c r="CW340" s="29">
        <v>273</v>
      </c>
      <c r="CX340" s="41">
        <f t="shared" si="319"/>
        <v>2022</v>
      </c>
      <c r="CY340" s="1504">
        <v>44805</v>
      </c>
      <c r="CZ340" s="19"/>
      <c r="DA340" s="93"/>
      <c r="DB340" s="93"/>
      <c r="DC340" s="93"/>
      <c r="DD340" s="93"/>
      <c r="DE340" s="20"/>
      <c r="DF340" s="29"/>
      <c r="DG340" s="1504">
        <v>44805</v>
      </c>
      <c r="DH340" s="19">
        <v>509737</v>
      </c>
      <c r="DI340" s="93">
        <v>4779291</v>
      </c>
      <c r="DJ340" s="93">
        <v>244586</v>
      </c>
      <c r="DK340" s="93">
        <v>15465</v>
      </c>
      <c r="DL340" s="93">
        <v>494290</v>
      </c>
      <c r="DM340" s="93">
        <v>5164</v>
      </c>
      <c r="DN340" s="20">
        <v>1121550</v>
      </c>
      <c r="DO340" s="295">
        <f t="shared" si="333"/>
        <v>6660346</v>
      </c>
      <c r="DP340" s="29">
        <v>273</v>
      </c>
      <c r="DQ340" s="1504">
        <v>44805</v>
      </c>
      <c r="DR340" s="19">
        <v>70840.23</v>
      </c>
      <c r="DS340" s="93">
        <v>34.5</v>
      </c>
      <c r="DT340" s="93">
        <v>1428.86</v>
      </c>
      <c r="DU340" s="93">
        <v>2784.0430000000001</v>
      </c>
      <c r="DV340" s="93">
        <v>32560.918000000001</v>
      </c>
      <c r="DW340" s="93">
        <v>3966</v>
      </c>
      <c r="DX340" s="20">
        <v>23147.208928571425</v>
      </c>
      <c r="DY340" s="29">
        <v>273</v>
      </c>
      <c r="DZ340" s="1504">
        <v>44805</v>
      </c>
      <c r="EA340" s="19"/>
      <c r="EB340" s="93"/>
      <c r="EC340" s="20"/>
      <c r="ED340" s="29"/>
      <c r="EE340" s="1504">
        <v>44805</v>
      </c>
      <c r="EF340" s="19">
        <f t="shared" si="307"/>
        <v>21268</v>
      </c>
      <c r="EG340" s="93">
        <f t="shared" si="308"/>
        <v>23023</v>
      </c>
      <c r="EH340" s="93">
        <f t="shared" si="309"/>
        <v>54399</v>
      </c>
      <c r="EI340" s="214">
        <f t="shared" si="310"/>
        <v>10108</v>
      </c>
      <c r="EJ340" s="93">
        <f t="shared" si="311"/>
        <v>467.08</v>
      </c>
      <c r="EK340" s="93">
        <f t="shared" si="312"/>
        <v>166.858</v>
      </c>
      <c r="EL340" s="93">
        <f t="shared" si="313"/>
        <v>4.673</v>
      </c>
      <c r="EM340" s="93">
        <f t="shared" si="314"/>
        <v>13.234</v>
      </c>
      <c r="EN340" s="20">
        <f t="shared" si="317"/>
        <v>651.84500000000003</v>
      </c>
      <c r="EO340" s="29">
        <v>273</v>
      </c>
      <c r="EP340" s="1504">
        <v>44805</v>
      </c>
      <c r="EQ340" s="19">
        <v>20274</v>
      </c>
      <c r="ER340" s="93">
        <v>22107</v>
      </c>
      <c r="ES340" s="93">
        <f t="shared" si="315"/>
        <v>42381</v>
      </c>
      <c r="ET340" s="214">
        <v>9878</v>
      </c>
      <c r="EU340" s="93">
        <v>467.08</v>
      </c>
      <c r="EV340" s="93">
        <v>166.858</v>
      </c>
      <c r="EW340" s="93">
        <v>4.673</v>
      </c>
      <c r="EX340" s="93">
        <v>13.234</v>
      </c>
      <c r="EY340" s="20">
        <f t="shared" si="321"/>
        <v>651.84500000000003</v>
      </c>
      <c r="EZ340" s="29">
        <v>273</v>
      </c>
      <c r="FA340" s="1504">
        <v>44805</v>
      </c>
      <c r="FB340" s="29">
        <v>994</v>
      </c>
      <c r="FC340" s="29">
        <v>916</v>
      </c>
      <c r="FD340" s="29">
        <f t="shared" si="316"/>
        <v>1910</v>
      </c>
      <c r="FE340" s="29">
        <v>230</v>
      </c>
      <c r="FF340" s="29">
        <v>0</v>
      </c>
      <c r="FG340" s="29">
        <v>0</v>
      </c>
      <c r="FH340" s="29">
        <v>0</v>
      </c>
      <c r="FI340" s="29">
        <v>0</v>
      </c>
      <c r="FJ340" s="29">
        <f t="shared" si="326"/>
        <v>0</v>
      </c>
      <c r="FK340" s="29">
        <v>273</v>
      </c>
      <c r="FL340" s="1504">
        <v>44805</v>
      </c>
      <c r="FM340" s="19">
        <v>128.91</v>
      </c>
      <c r="FN340" s="93">
        <v>149.37</v>
      </c>
      <c r="FO340" s="93">
        <v>156.69999999999999</v>
      </c>
      <c r="FP340" s="93">
        <v>101.7</v>
      </c>
      <c r="FQ340" s="93">
        <v>105.66</v>
      </c>
      <c r="FR340" s="93">
        <v>101.61</v>
      </c>
      <c r="FS340" s="93">
        <v>100.61</v>
      </c>
      <c r="FT340" s="93">
        <v>106.04</v>
      </c>
      <c r="FU340" s="93">
        <v>98.73</v>
      </c>
      <c r="FV340" s="93">
        <v>101.52</v>
      </c>
      <c r="FW340" s="93">
        <v>112.14</v>
      </c>
      <c r="FX340" s="93">
        <v>108.18</v>
      </c>
      <c r="FY340" s="93">
        <v>101.42</v>
      </c>
      <c r="FZ340" s="29">
        <v>273</v>
      </c>
      <c r="GA340" s="1504">
        <v>44805</v>
      </c>
      <c r="GB340" s="19">
        <v>128.91</v>
      </c>
      <c r="GC340" s="93">
        <v>109.9</v>
      </c>
      <c r="GD340" s="93">
        <v>137.72999999999999</v>
      </c>
      <c r="GE340" s="93">
        <v>108.87</v>
      </c>
      <c r="GF340" s="93">
        <v>170.22</v>
      </c>
      <c r="GG340" s="93">
        <v>111.89</v>
      </c>
      <c r="GH340" s="93">
        <v>160.62</v>
      </c>
      <c r="GI340" s="93">
        <v>112.13</v>
      </c>
      <c r="GJ340" s="93">
        <v>105.37</v>
      </c>
      <c r="GK340" s="93">
        <v>100.31</v>
      </c>
      <c r="GL340" s="93">
        <v>142.47</v>
      </c>
      <c r="GM340" s="93">
        <v>101.81</v>
      </c>
      <c r="GN340" s="20">
        <v>105.37</v>
      </c>
      <c r="GO340" s="29">
        <v>273</v>
      </c>
      <c r="GP340" s="1504">
        <v>44805</v>
      </c>
      <c r="GQ340" s="19">
        <v>474</v>
      </c>
      <c r="GR340" s="93">
        <v>376</v>
      </c>
      <c r="GS340" s="93">
        <v>364</v>
      </c>
      <c r="GT340" s="93">
        <v>316</v>
      </c>
      <c r="GU340" s="93">
        <v>427</v>
      </c>
      <c r="GV340" s="20">
        <v>1086</v>
      </c>
      <c r="GW340" s="19">
        <v>604</v>
      </c>
      <c r="GX340" s="93">
        <v>751</v>
      </c>
      <c r="GY340" s="93">
        <v>565</v>
      </c>
      <c r="GZ340" s="93">
        <v>813</v>
      </c>
      <c r="HA340" s="93">
        <v>431</v>
      </c>
      <c r="HB340" s="20">
        <v>656</v>
      </c>
      <c r="HC340" s="19">
        <v>2653</v>
      </c>
      <c r="HD340" s="93">
        <v>2868</v>
      </c>
      <c r="HE340" s="93">
        <v>2839</v>
      </c>
      <c r="HF340" s="93">
        <v>3150</v>
      </c>
      <c r="HG340" s="93">
        <v>3446</v>
      </c>
      <c r="HH340" s="20">
        <v>3679</v>
      </c>
      <c r="HI340" s="19"/>
      <c r="HJ340" s="93">
        <v>974</v>
      </c>
      <c r="HK340" s="93">
        <v>2148</v>
      </c>
      <c r="HL340" s="93">
        <v>1091</v>
      </c>
      <c r="HM340" s="93">
        <v>1342</v>
      </c>
      <c r="HN340" s="20">
        <v>2668</v>
      </c>
      <c r="HO340" s="219">
        <v>246</v>
      </c>
      <c r="HP340" s="20">
        <v>73</v>
      </c>
      <c r="HQ340" s="25">
        <v>203</v>
      </c>
      <c r="HR340" s="29">
        <v>273</v>
      </c>
      <c r="HS340" s="1504">
        <v>44805</v>
      </c>
      <c r="HT340" s="19">
        <v>457.04803466796875</v>
      </c>
      <c r="HU340" s="93">
        <v>435.15390624999998</v>
      </c>
      <c r="HV340" s="93">
        <v>394.09185028076172</v>
      </c>
      <c r="HW340" s="93">
        <v>369.89794921875</v>
      </c>
      <c r="HX340" s="93">
        <v>416.66667175292969</v>
      </c>
      <c r="HY340" s="93">
        <v>444.4444580078125</v>
      </c>
      <c r="HZ340" s="93">
        <v>411.71617126464844</v>
      </c>
      <c r="IA340" s="20">
        <v>445.18185424804688</v>
      </c>
      <c r="IB340" s="19">
        <v>409.89401245117188</v>
      </c>
      <c r="IC340" s="93">
        <v>316.41771697998047</v>
      </c>
      <c r="ID340" s="93">
        <v>370.68964385986328</v>
      </c>
      <c r="IE340" s="93">
        <v>323.5294189453125</v>
      </c>
      <c r="IF340" s="93">
        <v>401.09032440185547</v>
      </c>
      <c r="IG340" s="20">
        <v>312.50001525878906</v>
      </c>
      <c r="IH340" s="19">
        <v>253.57142639160156</v>
      </c>
      <c r="II340" s="93">
        <v>323.2581848144531</v>
      </c>
      <c r="IJ340" s="93">
        <v>299.35906982421875</v>
      </c>
      <c r="IK340" s="93">
        <v>281.25000762939453</v>
      </c>
      <c r="IL340" s="93">
        <v>285.71429443359375</v>
      </c>
      <c r="IM340" s="93">
        <v>289.69593811035156</v>
      </c>
      <c r="IN340" s="93"/>
      <c r="IO340" s="20">
        <v>282.40132141113281</v>
      </c>
      <c r="IP340" s="29">
        <v>273</v>
      </c>
      <c r="IQ340" s="19">
        <v>296.85533650716144</v>
      </c>
      <c r="IR340" s="93">
        <v>192.77201843261719</v>
      </c>
      <c r="IS340" s="93">
        <v>250</v>
      </c>
      <c r="IT340" s="93">
        <v>222.40260314941406</v>
      </c>
      <c r="IU340" s="93">
        <v>272.83280944824219</v>
      </c>
      <c r="IV340" s="20">
        <v>213.99455642700195</v>
      </c>
      <c r="IW340" s="29">
        <v>273</v>
      </c>
      <c r="IX340" s="19">
        <v>410</v>
      </c>
      <c r="IY340" s="93">
        <v>465.32258300781251</v>
      </c>
      <c r="IZ340" s="93">
        <v>450</v>
      </c>
      <c r="JA340" s="93">
        <v>450</v>
      </c>
      <c r="JB340" s="93">
        <v>430</v>
      </c>
      <c r="JC340" s="93">
        <v>425</v>
      </c>
      <c r="JD340" s="93">
        <v>480</v>
      </c>
      <c r="JE340" s="20">
        <v>500</v>
      </c>
      <c r="JF340" s="29">
        <v>273</v>
      </c>
      <c r="JG340" s="19">
        <v>276.15985488891602</v>
      </c>
      <c r="JH340" s="93">
        <v>384.93851623535159</v>
      </c>
      <c r="JI340" s="93">
        <v>368.26446533203125</v>
      </c>
      <c r="JJ340" s="93">
        <v>326.92305755615234</v>
      </c>
      <c r="JK340" s="93">
        <v>368.26598358154297</v>
      </c>
      <c r="JL340" s="93">
        <v>348.64864349365234</v>
      </c>
      <c r="JM340" s="93">
        <v>372.5</v>
      </c>
      <c r="JN340" s="20">
        <v>400.21268463134766</v>
      </c>
      <c r="JO340" s="29">
        <v>273</v>
      </c>
      <c r="JP340" s="19">
        <v>287.769775390625</v>
      </c>
      <c r="JQ340" s="93">
        <v>244.15171432495117</v>
      </c>
      <c r="JR340" s="93">
        <v>300</v>
      </c>
      <c r="JS340" s="93">
        <v>267.85713577270508</v>
      </c>
      <c r="JT340" s="93">
        <v>381.41994476318359</v>
      </c>
      <c r="JU340" s="20">
        <v>258.85417938232422</v>
      </c>
      <c r="JV340" s="29">
        <v>273</v>
      </c>
      <c r="JW340" s="1504">
        <v>44805</v>
      </c>
      <c r="JX340" s="19"/>
      <c r="JY340" s="93"/>
      <c r="JZ340" s="93"/>
      <c r="KA340" s="93"/>
      <c r="KB340" s="93"/>
      <c r="KC340" s="93"/>
      <c r="KD340" s="20"/>
      <c r="KE340" s="29"/>
      <c r="KF340" s="19"/>
      <c r="KG340" s="93"/>
      <c r="KH340" s="93"/>
      <c r="KI340" s="93"/>
      <c r="KJ340" s="93"/>
      <c r="KK340" s="20"/>
      <c r="KL340" s="29"/>
      <c r="KM340" s="19"/>
      <c r="KN340" s="93"/>
      <c r="KO340" s="93"/>
      <c r="KP340" s="93"/>
      <c r="KQ340" s="93"/>
      <c r="KR340" s="20"/>
      <c r="KS340" s="29"/>
      <c r="KT340" s="19"/>
      <c r="KU340" s="93"/>
      <c r="KV340" s="93"/>
      <c r="KW340" s="93"/>
      <c r="KX340" s="93"/>
      <c r="KY340" s="20"/>
      <c r="KZ340" s="29"/>
      <c r="LA340" s="1504">
        <v>44805</v>
      </c>
      <c r="LB340" s="19"/>
      <c r="LC340" s="93"/>
      <c r="LD340" s="93"/>
      <c r="LE340" s="93"/>
      <c r="LF340" s="93"/>
      <c r="LG340" s="93"/>
      <c r="LH340" s="20"/>
      <c r="LI340" s="29"/>
      <c r="LJ340" s="19"/>
      <c r="LK340" s="93"/>
      <c r="LL340" s="93"/>
      <c r="LM340" s="93"/>
      <c r="LN340" s="93"/>
      <c r="LO340" s="20"/>
      <c r="LP340" s="29"/>
      <c r="LQ340" s="19"/>
      <c r="LR340" s="93">
        <v>188</v>
      </c>
      <c r="LS340" s="93">
        <v>463</v>
      </c>
      <c r="LT340" s="93">
        <v>663</v>
      </c>
      <c r="LU340" s="93">
        <v>1104</v>
      </c>
      <c r="LV340" s="93"/>
      <c r="LW340" s="93">
        <v>5</v>
      </c>
      <c r="LX340" s="93">
        <v>10</v>
      </c>
      <c r="LY340" s="93">
        <v>60</v>
      </c>
      <c r="LZ340" s="93"/>
      <c r="MA340" s="20"/>
      <c r="MB340" s="29">
        <v>273</v>
      </c>
      <c r="MC340" s="1504">
        <v>44805</v>
      </c>
      <c r="MD340" s="19">
        <v>1861.9256397673832</v>
      </c>
      <c r="ME340" s="93">
        <v>1655.0667900222952</v>
      </c>
      <c r="MF340" s="93">
        <v>1655.0667900222952</v>
      </c>
      <c r="MG340" s="93">
        <v>1477.5514069638953</v>
      </c>
      <c r="MH340" s="93">
        <v>520.19511511899998</v>
      </c>
      <c r="MI340" s="93">
        <v>14.026325335999999</v>
      </c>
      <c r="MJ340" s="93">
        <v>43.817720673095238</v>
      </c>
      <c r="MK340" s="93">
        <v>684.14131869779999</v>
      </c>
      <c r="ML340" s="93">
        <v>214.30122523100002</v>
      </c>
      <c r="MM340" s="93">
        <v>1.0697019070000002</v>
      </c>
      <c r="MN340" s="93">
        <v>177.51538305840003</v>
      </c>
      <c r="MO340" s="93">
        <v>4.1119561419999995</v>
      </c>
      <c r="MP340" s="93">
        <v>30.334468815399998</v>
      </c>
      <c r="MQ340" s="93">
        <v>2.2148388739999998</v>
      </c>
      <c r="MR340" s="93">
        <v>64.217991437000009</v>
      </c>
      <c r="MS340" s="93">
        <v>76.636127790000003</v>
      </c>
      <c r="MT340" s="93">
        <v>0</v>
      </c>
      <c r="MU340" s="93">
        <v>206.85884974508807</v>
      </c>
      <c r="MV340" s="93">
        <v>146.59380358408808</v>
      </c>
      <c r="MW340" s="93">
        <v>60.265046161000001</v>
      </c>
      <c r="MX340" s="93">
        <v>2254.1884073779811</v>
      </c>
      <c r="MY340" s="93">
        <v>2262.440061137981</v>
      </c>
      <c r="MZ340" s="93">
        <v>1604.508052661243</v>
      </c>
      <c r="NA340" s="93">
        <v>771.63629202699997</v>
      </c>
      <c r="NB340" s="93">
        <v>152.04129272999998</v>
      </c>
      <c r="NC340" s="93">
        <v>160.80344768424288</v>
      </c>
      <c r="ND340" s="93">
        <v>138.30113855783958</v>
      </c>
      <c r="NE340" s="93">
        <v>22.502309126403294</v>
      </c>
      <c r="NF340" s="93">
        <v>520.02702021999994</v>
      </c>
      <c r="NG340" s="93">
        <v>1.1399999999999999</v>
      </c>
      <c r="NH340" s="93">
        <v>98.598242577999997</v>
      </c>
      <c r="NI340" s="93">
        <v>0</v>
      </c>
      <c r="NJ340" s="93">
        <v>150.946676438</v>
      </c>
      <c r="NK340" s="93">
        <v>657.9320084767387</v>
      </c>
      <c r="NL340" s="93">
        <v>397.07170120599994</v>
      </c>
      <c r="NM340" s="93">
        <v>3.713559219</v>
      </c>
      <c r="NN340" s="93">
        <v>257.14674805173865</v>
      </c>
      <c r="NO340" s="93">
        <v>-8.2516537600000071</v>
      </c>
      <c r="NP340" s="93">
        <v>-392.26276761059796</v>
      </c>
      <c r="NQ340" s="93">
        <v>-599.121617355686</v>
      </c>
      <c r="NR340" s="93">
        <v>-181.17142161970443</v>
      </c>
      <c r="NS340" s="93">
        <v>-341.97486930394734</v>
      </c>
      <c r="NT340" s="93">
        <v>-359.41406081559796</v>
      </c>
      <c r="NU340" s="93">
        <v>-566.272910560686</v>
      </c>
      <c r="NV340" s="93">
        <v>366.72579991579448</v>
      </c>
      <c r="NW340" s="93">
        <v>111.83190100775342</v>
      </c>
      <c r="NX340" s="93">
        <v>167.91762399765062</v>
      </c>
      <c r="NY340" s="93">
        <v>-56.085722989897192</v>
      </c>
      <c r="NZ340" s="93">
        <v>0</v>
      </c>
      <c r="OA340" s="93">
        <v>254.89389890804105</v>
      </c>
      <c r="OB340" s="93">
        <v>279.54953348189997</v>
      </c>
      <c r="OC340" s="93">
        <v>-24.655634573858848</v>
      </c>
      <c r="OD340" s="19">
        <v>-7.3117391001964975</v>
      </c>
      <c r="OE340" s="29">
        <v>273</v>
      </c>
      <c r="OF340" s="1504">
        <v>44805</v>
      </c>
      <c r="OG340" s="19"/>
      <c r="OH340" s="93">
        <v>738.004078241</v>
      </c>
      <c r="OI340" s="93">
        <v>2682.8821712329996</v>
      </c>
      <c r="OJ340" s="93">
        <v>0.77466000299999993</v>
      </c>
      <c r="OK340" s="93">
        <v>2380.5069999999996</v>
      </c>
      <c r="OL340" s="93">
        <v>301.60051123</v>
      </c>
      <c r="OM340" s="93">
        <v>3420.8862494739997</v>
      </c>
      <c r="ON340" s="93">
        <v>2118.1731083190002</v>
      </c>
      <c r="OO340" s="93">
        <v>5539.0593577929994</v>
      </c>
      <c r="OP340" s="93"/>
      <c r="OQ340" s="93">
        <v>2259.3783468389993</v>
      </c>
      <c r="OR340" s="93">
        <v>-153.48265316100003</v>
      </c>
      <c r="OS340" s="93">
        <v>2412.8609999999994</v>
      </c>
      <c r="OT340" s="93">
        <v>4014.8611862760004</v>
      </c>
      <c r="OU340" s="93">
        <v>126.00002436700009</v>
      </c>
      <c r="OV340" s="93">
        <v>-127.966975633</v>
      </c>
      <c r="OW340" s="93">
        <v>253.9670000000001</v>
      </c>
      <c r="OX340" s="93">
        <v>3888.8611619090002</v>
      </c>
      <c r="OY340" s="93">
        <v>9.2141619089999995</v>
      </c>
      <c r="OZ340" s="93">
        <v>3879.6470000000004</v>
      </c>
      <c r="PA340" s="93">
        <v>1237.963407407</v>
      </c>
      <c r="PB340" s="93">
        <v>-502.78323208499978</v>
      </c>
      <c r="PC340" s="20">
        <v>5539.0593577929994</v>
      </c>
      <c r="PD340" s="29">
        <v>273</v>
      </c>
      <c r="PE340" s="19"/>
      <c r="PF340" s="93">
        <v>-153.48265316100003</v>
      </c>
      <c r="PG340" s="93">
        <v>667.55366847100004</v>
      </c>
      <c r="PH340" s="93">
        <v>821.03632163200007</v>
      </c>
      <c r="PI340" s="93">
        <v>1487.2965828819999</v>
      </c>
      <c r="PJ340" s="93">
        <v>-121.401773295</v>
      </c>
      <c r="PK340" s="93">
        <v>281.68457943099997</v>
      </c>
      <c r="PL340" s="93">
        <v>403.08635272599997</v>
      </c>
      <c r="PM340" s="93">
        <v>9.2141619089999995</v>
      </c>
      <c r="PN340" s="93">
        <v>3.653</v>
      </c>
      <c r="PO340" s="93">
        <v>0</v>
      </c>
      <c r="PP340" s="93">
        <v>0</v>
      </c>
      <c r="PQ340" s="93">
        <v>5.561161909</v>
      </c>
      <c r="PR340" s="93">
        <v>1224.6552565219999</v>
      </c>
      <c r="PS340" s="93">
        <v>846.52528057899997</v>
      </c>
      <c r="PT340" s="93">
        <v>377.02220762100001</v>
      </c>
      <c r="PU340" s="93">
        <v>1.1077683219999999</v>
      </c>
      <c r="PV340" s="93">
        <v>0</v>
      </c>
      <c r="PW340" s="93">
        <v>0.70349266399999999</v>
      </c>
      <c r="PX340" s="93">
        <v>0</v>
      </c>
      <c r="PY340" s="93">
        <v>0</v>
      </c>
      <c r="PZ340" s="93">
        <v>0.70349266399999999</v>
      </c>
      <c r="QA340" s="93">
        <v>0</v>
      </c>
      <c r="QB340" s="93">
        <v>0</v>
      </c>
      <c r="QC340" s="93">
        <v>0</v>
      </c>
      <c r="QD340" s="93">
        <v>10.957914743</v>
      </c>
      <c r="QE340" s="20">
        <v>-14.690345594000012</v>
      </c>
      <c r="QF340" s="1739">
        <v>273</v>
      </c>
      <c r="QG340" s="19"/>
      <c r="QH340" s="93">
        <v>2412.8609999999994</v>
      </c>
      <c r="QI340" s="93">
        <v>2720.2339999999995</v>
      </c>
      <c r="QJ340" s="93">
        <v>-307.37299999999999</v>
      </c>
      <c r="QK340" s="93">
        <v>470.65900000000005</v>
      </c>
      <c r="QL340" s="93">
        <v>101.956</v>
      </c>
      <c r="QM340" s="93">
        <v>368.70300000000003</v>
      </c>
      <c r="QN340" s="93">
        <v>0</v>
      </c>
      <c r="QO340" s="93">
        <v>253.9670000000001</v>
      </c>
      <c r="QP340" s="93">
        <v>1185.951</v>
      </c>
      <c r="QQ340" s="93">
        <v>-931.98399999999992</v>
      </c>
      <c r="QR340" s="93">
        <v>3879.6470000000004</v>
      </c>
      <c r="QS340" s="93">
        <v>40.76</v>
      </c>
      <c r="QT340" s="93">
        <v>1.4999999999999999E-2</v>
      </c>
      <c r="QU340" s="93">
        <v>324.98200000000003</v>
      </c>
      <c r="QV340" s="93">
        <v>3513.8900000000003</v>
      </c>
      <c r="QW340" s="93"/>
      <c r="QX340" s="93">
        <v>1449.6460000000002</v>
      </c>
      <c r="QY340" s="93">
        <v>2380.5070000000001</v>
      </c>
      <c r="QZ340" s="93">
        <v>2117.84</v>
      </c>
      <c r="RA340" s="93">
        <v>0</v>
      </c>
      <c r="RB340" s="93">
        <v>273.59399999999999</v>
      </c>
      <c r="RC340" s="93">
        <v>0</v>
      </c>
      <c r="RD340" s="93">
        <v>156.79400000000001</v>
      </c>
      <c r="RE340" s="93">
        <v>0</v>
      </c>
      <c r="RF340" s="93">
        <v>0</v>
      </c>
      <c r="RG340" s="93">
        <v>795.91399999999999</v>
      </c>
      <c r="RH340" s="93">
        <v>-157.16100000000006</v>
      </c>
      <c r="RI340" s="93"/>
      <c r="RJ340" s="93"/>
      <c r="RK340" s="93"/>
      <c r="RL340" s="93"/>
      <c r="RM340" s="20"/>
      <c r="RN340" s="29">
        <v>273</v>
      </c>
      <c r="RO340" s="19">
        <v>328</v>
      </c>
      <c r="RP340" s="20">
        <v>109</v>
      </c>
      <c r="RQ340" s="29">
        <v>273</v>
      </c>
      <c r="RR340" s="20">
        <v>4.9131130000000001</v>
      </c>
      <c r="RS340" s="29">
        <v>273</v>
      </c>
      <c r="RT340" s="1504">
        <v>44805</v>
      </c>
      <c r="RU340" s="19">
        <v>1485</v>
      </c>
      <c r="RV340" s="20">
        <v>30</v>
      </c>
      <c r="RW340" s="29">
        <v>273</v>
      </c>
      <c r="RX340" s="1504">
        <v>44805</v>
      </c>
      <c r="RY340" s="29"/>
      <c r="RZ340" s="20"/>
      <c r="SA340" s="29"/>
      <c r="SB340" s="29"/>
    </row>
    <row r="341" spans="1:496">
      <c r="A341" s="41">
        <f t="shared" si="238"/>
        <v>2022</v>
      </c>
      <c r="B341" s="1504">
        <v>44835</v>
      </c>
      <c r="C341" s="1813">
        <v>1596</v>
      </c>
      <c r="D341" s="1814">
        <v>27991</v>
      </c>
      <c r="E341" s="1814">
        <v>52</v>
      </c>
      <c r="F341" s="1815"/>
      <c r="G341" s="1814">
        <v>93753</v>
      </c>
      <c r="H341" s="1814">
        <v>30</v>
      </c>
      <c r="I341" s="1814">
        <v>33111</v>
      </c>
      <c r="J341" s="1816">
        <v>12622</v>
      </c>
      <c r="K341" s="1807">
        <f t="shared" si="330"/>
        <v>169155</v>
      </c>
      <c r="L341" s="25">
        <v>274</v>
      </c>
      <c r="M341" s="97"/>
      <c r="N341" s="1504">
        <v>44835</v>
      </c>
      <c r="O341" s="19">
        <v>1074</v>
      </c>
      <c r="P341" s="93">
        <v>928</v>
      </c>
      <c r="Q341" s="93">
        <v>9853</v>
      </c>
      <c r="R341" s="93">
        <v>2210</v>
      </c>
      <c r="S341" s="93">
        <v>1762</v>
      </c>
      <c r="T341" s="93">
        <v>1006</v>
      </c>
      <c r="U341" s="93">
        <v>424</v>
      </c>
      <c r="V341" s="93">
        <v>1303</v>
      </c>
      <c r="W341" s="93">
        <v>5559</v>
      </c>
      <c r="X341" s="93">
        <v>756</v>
      </c>
      <c r="Y341" s="93">
        <v>545</v>
      </c>
      <c r="Z341" s="93">
        <v>1043</v>
      </c>
      <c r="AA341" s="93">
        <v>1528</v>
      </c>
      <c r="AB341" s="20">
        <f t="shared" si="327"/>
        <v>27991</v>
      </c>
      <c r="AC341" s="25">
        <v>274</v>
      </c>
      <c r="AD341" s="97"/>
      <c r="AE341" s="1504">
        <v>44835</v>
      </c>
      <c r="AF341" s="19">
        <v>2443</v>
      </c>
      <c r="AG341" s="93">
        <v>1034</v>
      </c>
      <c r="AH341" s="93">
        <v>3191</v>
      </c>
      <c r="AI341" s="93">
        <v>4280</v>
      </c>
      <c r="AJ341" s="93">
        <v>1863</v>
      </c>
      <c r="AK341" s="93">
        <v>2838</v>
      </c>
      <c r="AL341" s="93">
        <v>1544</v>
      </c>
      <c r="AM341" s="93">
        <v>1497</v>
      </c>
      <c r="AN341" s="93">
        <v>8195</v>
      </c>
      <c r="AO341" s="93">
        <v>1357</v>
      </c>
      <c r="AP341" s="93">
        <v>1485</v>
      </c>
      <c r="AQ341" s="93">
        <v>1576</v>
      </c>
      <c r="AR341" s="93">
        <v>1808</v>
      </c>
      <c r="AS341" s="132">
        <f t="shared" si="323"/>
        <v>33111</v>
      </c>
      <c r="AT341" s="25">
        <v>274</v>
      </c>
      <c r="AU341" s="97"/>
      <c r="AV341" s="1504">
        <v>44835</v>
      </c>
      <c r="AW341" s="19">
        <v>9301</v>
      </c>
      <c r="AX341" s="93">
        <v>3455</v>
      </c>
      <c r="AY341" s="93">
        <v>3162</v>
      </c>
      <c r="AZ341" s="93">
        <v>13207</v>
      </c>
      <c r="BA341" s="93">
        <v>5310</v>
      </c>
      <c r="BB341" s="93">
        <v>8922</v>
      </c>
      <c r="BC341" s="93">
        <v>6292</v>
      </c>
      <c r="BD341" s="93">
        <v>6964</v>
      </c>
      <c r="BE341" s="93">
        <v>14973</v>
      </c>
      <c r="BF341" s="93">
        <v>4848</v>
      </c>
      <c r="BG341" s="93">
        <v>6123</v>
      </c>
      <c r="BH341" s="93">
        <v>4021</v>
      </c>
      <c r="BI341" s="93">
        <v>7175</v>
      </c>
      <c r="BJ341" s="132">
        <f t="shared" si="324"/>
        <v>93753</v>
      </c>
      <c r="BK341" s="25">
        <v>274</v>
      </c>
      <c r="BL341" s="97"/>
      <c r="BM341" s="1504">
        <v>44835</v>
      </c>
      <c r="BN341" s="733">
        <v>87.78</v>
      </c>
      <c r="BO341" s="570">
        <v>3862.7579999999998</v>
      </c>
      <c r="BP341" s="570">
        <v>10.4</v>
      </c>
      <c r="BQ341" s="570">
        <v>843.77700000000004</v>
      </c>
      <c r="BR341" s="570">
        <v>5.25</v>
      </c>
      <c r="BS341" s="570">
        <v>331.11</v>
      </c>
      <c r="BT341" s="570">
        <v>353.416</v>
      </c>
      <c r="BU341" s="132">
        <f t="shared" si="325"/>
        <v>5494.491</v>
      </c>
      <c r="BV341" s="25">
        <v>274</v>
      </c>
      <c r="BW341" s="97"/>
      <c r="BX341" s="1504">
        <v>44835</v>
      </c>
      <c r="BY341" s="19">
        <v>666.50040000000001</v>
      </c>
      <c r="BZ341" s="93">
        <v>655.95699999999999</v>
      </c>
      <c r="CA341" s="93">
        <v>669.46669999999995</v>
      </c>
      <c r="CB341" s="93">
        <v>36.815261</v>
      </c>
      <c r="CC341" s="93">
        <v>56.697560000000003</v>
      </c>
      <c r="CD341" s="25">
        <v>274</v>
      </c>
      <c r="CE341" s="97"/>
      <c r="CF341" s="1504">
        <v>44835</v>
      </c>
      <c r="CG341" s="19">
        <v>2.1975652160000001</v>
      </c>
      <c r="CH341" s="93">
        <v>1664.45</v>
      </c>
      <c r="CI341" s="219">
        <v>90.326666666669993</v>
      </c>
      <c r="CJ341" s="20">
        <v>93.13</v>
      </c>
      <c r="CK341" s="19">
        <v>411.62</v>
      </c>
      <c r="CL341" s="93">
        <v>343.55666239999999</v>
      </c>
      <c r="CM341" s="93">
        <v>0.38691080999999999</v>
      </c>
      <c r="CN341" s="93">
        <v>0.320943168</v>
      </c>
      <c r="CO341" s="93">
        <v>437.95</v>
      </c>
      <c r="CP341" s="20">
        <v>5.4564345000000003</v>
      </c>
      <c r="CQ341" s="219">
        <v>2146.1</v>
      </c>
      <c r="CR341" s="93">
        <v>2.4575</v>
      </c>
      <c r="CS341" s="93">
        <v>1.496</v>
      </c>
      <c r="CT341" s="93">
        <v>317.5</v>
      </c>
      <c r="CU341" s="93">
        <v>92.56</v>
      </c>
      <c r="CV341" s="214">
        <v>2967.21</v>
      </c>
      <c r="CW341" s="29">
        <v>274</v>
      </c>
      <c r="CX341" s="41">
        <f t="shared" si="319"/>
        <v>2022</v>
      </c>
      <c r="CY341" s="1504">
        <v>44835</v>
      </c>
      <c r="CZ341" s="19"/>
      <c r="DA341" s="93"/>
      <c r="DB341" s="93"/>
      <c r="DC341" s="93"/>
      <c r="DD341" s="93"/>
      <c r="DE341" s="20"/>
      <c r="DF341" s="29"/>
      <c r="DG341" s="1504">
        <v>44835</v>
      </c>
      <c r="DH341" s="19">
        <v>511106</v>
      </c>
      <c r="DI341" s="93">
        <v>4954267</v>
      </c>
      <c r="DJ341" s="93">
        <v>269417</v>
      </c>
      <c r="DK341" s="93">
        <v>18094</v>
      </c>
      <c r="DL341" s="93">
        <v>491230</v>
      </c>
      <c r="DM341" s="93">
        <v>9305</v>
      </c>
      <c r="DN341" s="20">
        <v>1563018</v>
      </c>
      <c r="DO341" s="295">
        <f t="shared" si="333"/>
        <v>7305331</v>
      </c>
      <c r="DP341" s="29">
        <v>274</v>
      </c>
      <c r="DQ341" s="1504">
        <v>44835</v>
      </c>
      <c r="DR341" s="19">
        <v>75174.17</v>
      </c>
      <c r="DS341" s="93">
        <v>88</v>
      </c>
      <c r="DT341" s="93">
        <v>62625.89</v>
      </c>
      <c r="DU341" s="93">
        <v>3600.2139999999999</v>
      </c>
      <c r="DV341" s="93">
        <v>24819.802</v>
      </c>
      <c r="DW341" s="93">
        <v>2961</v>
      </c>
      <c r="DX341" s="20">
        <v>22337.067857142854</v>
      </c>
      <c r="DY341" s="29">
        <v>274</v>
      </c>
      <c r="DZ341" s="1504">
        <v>44835</v>
      </c>
      <c r="EA341" s="19"/>
      <c r="EB341" s="93"/>
      <c r="EC341" s="20"/>
      <c r="ED341" s="29"/>
      <c r="EE341" s="1504">
        <v>44835</v>
      </c>
      <c r="EF341" s="19">
        <f t="shared" si="307"/>
        <v>16996</v>
      </c>
      <c r="EG341" s="93">
        <f t="shared" si="308"/>
        <v>17923</v>
      </c>
      <c r="EH341" s="93">
        <f t="shared" si="309"/>
        <v>42928</v>
      </c>
      <c r="EI341" s="214">
        <f t="shared" si="310"/>
        <v>8009</v>
      </c>
      <c r="EJ341" s="93">
        <f t="shared" si="311"/>
        <v>301.28699999999998</v>
      </c>
      <c r="EK341" s="93">
        <f t="shared" si="312"/>
        <v>99.564999999999998</v>
      </c>
      <c r="EL341" s="93">
        <f t="shared" si="313"/>
        <v>29.83</v>
      </c>
      <c r="EM341" s="93">
        <f t="shared" si="314"/>
        <v>13.13</v>
      </c>
      <c r="EN341" s="20">
        <f t="shared" si="317"/>
        <v>443.81199999999995</v>
      </c>
      <c r="EO341" s="29">
        <v>274</v>
      </c>
      <c r="EP341" s="1504">
        <v>44835</v>
      </c>
      <c r="EQ341" s="19">
        <v>15989</v>
      </c>
      <c r="ER341" s="93">
        <v>16989</v>
      </c>
      <c r="ES341" s="93">
        <f t="shared" si="315"/>
        <v>32978</v>
      </c>
      <c r="ET341" s="214">
        <v>7799</v>
      </c>
      <c r="EU341" s="93">
        <v>301.28699999999998</v>
      </c>
      <c r="EV341" s="93">
        <v>99.564999999999998</v>
      </c>
      <c r="EW341" s="93">
        <v>29.83</v>
      </c>
      <c r="EX341" s="93">
        <v>13.13</v>
      </c>
      <c r="EY341" s="20">
        <f t="shared" si="321"/>
        <v>443.81199999999995</v>
      </c>
      <c r="EZ341" s="29">
        <v>274</v>
      </c>
      <c r="FA341" s="1504">
        <v>44835</v>
      </c>
      <c r="FB341" s="29">
        <v>1007</v>
      </c>
      <c r="FC341" s="29">
        <v>934</v>
      </c>
      <c r="FD341" s="29">
        <f t="shared" si="316"/>
        <v>1941</v>
      </c>
      <c r="FE341" s="29">
        <v>210</v>
      </c>
      <c r="FF341" s="29">
        <v>0</v>
      </c>
      <c r="FG341" s="29">
        <v>0</v>
      </c>
      <c r="FH341" s="29">
        <v>0</v>
      </c>
      <c r="FI341" s="29">
        <v>0</v>
      </c>
      <c r="FJ341" s="29">
        <f t="shared" si="326"/>
        <v>0</v>
      </c>
      <c r="FK341" s="29">
        <v>274</v>
      </c>
      <c r="FL341" s="1504">
        <v>44835</v>
      </c>
      <c r="FM341" s="19">
        <v>127.54</v>
      </c>
      <c r="FN341" s="93">
        <v>146.62</v>
      </c>
      <c r="FO341" s="93">
        <v>154.24</v>
      </c>
      <c r="FP341" s="93">
        <v>101.71</v>
      </c>
      <c r="FQ341" s="93">
        <v>105.4</v>
      </c>
      <c r="FR341" s="93">
        <v>102.08</v>
      </c>
      <c r="FS341" s="93">
        <v>100.66</v>
      </c>
      <c r="FT341" s="93">
        <v>106.25</v>
      </c>
      <c r="FU341" s="93">
        <v>98.74</v>
      </c>
      <c r="FV341" s="93">
        <v>101.91</v>
      </c>
      <c r="FW341" s="93">
        <v>113.79</v>
      </c>
      <c r="FX341" s="93">
        <v>108.69</v>
      </c>
      <c r="FY341" s="93">
        <v>101.4</v>
      </c>
      <c r="FZ341" s="29">
        <v>274</v>
      </c>
      <c r="GA341" s="1504">
        <v>44835</v>
      </c>
      <c r="GB341" s="19">
        <v>127.54</v>
      </c>
      <c r="GC341" s="93">
        <v>109.65</v>
      </c>
      <c r="GD341" s="93">
        <v>135.83000000000001</v>
      </c>
      <c r="GE341" s="93">
        <v>108.72</v>
      </c>
      <c r="GF341" s="93">
        <v>165.76</v>
      </c>
      <c r="GG341" s="93">
        <v>111.69</v>
      </c>
      <c r="GH341" s="93">
        <v>156.30000000000001</v>
      </c>
      <c r="GI341" s="93">
        <v>112.43</v>
      </c>
      <c r="GJ341" s="93">
        <v>105.65</v>
      </c>
      <c r="GK341" s="93">
        <v>100.33</v>
      </c>
      <c r="GL341" s="93">
        <v>140.21</v>
      </c>
      <c r="GM341" s="93">
        <v>101.83</v>
      </c>
      <c r="GN341" s="20">
        <v>105.65</v>
      </c>
      <c r="GO341" s="29">
        <v>274</v>
      </c>
      <c r="GP341" s="1504">
        <v>44835</v>
      </c>
      <c r="GQ341" s="19">
        <v>476</v>
      </c>
      <c r="GR341" s="93">
        <v>374</v>
      </c>
      <c r="GS341" s="93">
        <v>359</v>
      </c>
      <c r="GT341" s="93">
        <v>311</v>
      </c>
      <c r="GU341" s="93">
        <v>414</v>
      </c>
      <c r="GV341" s="20">
        <v>1178</v>
      </c>
      <c r="GW341" s="19">
        <v>563</v>
      </c>
      <c r="GX341" s="93">
        <v>785</v>
      </c>
      <c r="GY341" s="93">
        <v>563</v>
      </c>
      <c r="GZ341" s="93">
        <v>896</v>
      </c>
      <c r="HA341" s="93">
        <v>481</v>
      </c>
      <c r="HB341" s="20">
        <v>693</v>
      </c>
      <c r="HC341" s="19">
        <v>2461</v>
      </c>
      <c r="HD341" s="93">
        <v>2769</v>
      </c>
      <c r="HE341" s="93">
        <v>2706</v>
      </c>
      <c r="HF341" s="93">
        <v>3150</v>
      </c>
      <c r="HG341" s="93">
        <v>3261</v>
      </c>
      <c r="HH341" s="20">
        <v>3674</v>
      </c>
      <c r="HI341" s="19"/>
      <c r="HJ341" s="93">
        <v>985</v>
      </c>
      <c r="HK341" s="93">
        <v>2018</v>
      </c>
      <c r="HL341" s="93">
        <v>1186</v>
      </c>
      <c r="HM341" s="93">
        <v>1338</v>
      </c>
      <c r="HN341" s="20">
        <v>2807</v>
      </c>
      <c r="HO341" s="219">
        <v>227</v>
      </c>
      <c r="HP341" s="20">
        <v>71</v>
      </c>
      <c r="HQ341" s="25">
        <v>205</v>
      </c>
      <c r="HR341" s="29">
        <v>274</v>
      </c>
      <c r="HS341" s="1504">
        <v>44835</v>
      </c>
      <c r="HT341" s="179">
        <v>430</v>
      </c>
      <c r="HU341" s="99">
        <v>387</v>
      </c>
      <c r="HV341" s="99">
        <v>390</v>
      </c>
      <c r="HW341" s="99">
        <v>383</v>
      </c>
      <c r="HX341" s="99">
        <v>410</v>
      </c>
      <c r="HY341" s="99">
        <v>441</v>
      </c>
      <c r="HZ341" s="99">
        <v>415</v>
      </c>
      <c r="IA341" s="132">
        <v>449</v>
      </c>
      <c r="IB341" s="19">
        <v>403</v>
      </c>
      <c r="IC341" s="93">
        <v>313</v>
      </c>
      <c r="ID341" s="93">
        <v>372</v>
      </c>
      <c r="IE341" s="1927">
        <f>(((IE340/IE339-1)+(IE339/IE338-1))^1/2+1)*IE340</f>
        <v>374.09703485725487</v>
      </c>
      <c r="IF341" s="93">
        <v>384</v>
      </c>
      <c r="IG341" s="20">
        <v>325</v>
      </c>
      <c r="IH341" s="19">
        <v>246</v>
      </c>
      <c r="II341" s="93">
        <v>322</v>
      </c>
      <c r="IJ341" s="93">
        <v>282</v>
      </c>
      <c r="IK341" s="93">
        <v>268</v>
      </c>
      <c r="IL341" s="93">
        <v>259</v>
      </c>
      <c r="IM341" s="93">
        <v>255</v>
      </c>
      <c r="IN341" s="93"/>
      <c r="IO341" s="20">
        <v>283</v>
      </c>
      <c r="IP341" s="29">
        <v>274</v>
      </c>
      <c r="IQ341" s="19">
        <v>268</v>
      </c>
      <c r="IR341" s="93">
        <v>121</v>
      </c>
      <c r="IS341" s="93">
        <v>227</v>
      </c>
      <c r="IT341" s="93">
        <v>186</v>
      </c>
      <c r="IU341" s="93">
        <v>240</v>
      </c>
      <c r="IV341" s="20">
        <v>132</v>
      </c>
      <c r="IW341" s="29">
        <v>274</v>
      </c>
      <c r="IX341" s="19">
        <v>415</v>
      </c>
      <c r="IY341" s="93">
        <v>435</v>
      </c>
      <c r="IZ341" s="93">
        <v>450</v>
      </c>
      <c r="JA341" s="93">
        <v>450</v>
      </c>
      <c r="JB341" s="93"/>
      <c r="JC341" s="93">
        <v>425</v>
      </c>
      <c r="JD341" s="93">
        <v>476</v>
      </c>
      <c r="JE341" s="20">
        <v>500</v>
      </c>
      <c r="JF341" s="29">
        <v>274</v>
      </c>
      <c r="JG341" s="19">
        <v>321</v>
      </c>
      <c r="JH341" s="93">
        <v>338</v>
      </c>
      <c r="JI341" s="93">
        <v>319</v>
      </c>
      <c r="JJ341" s="93">
        <v>333</v>
      </c>
      <c r="JK341" s="93">
        <v>370</v>
      </c>
      <c r="JL341" s="93">
        <v>338</v>
      </c>
      <c r="JM341" s="93">
        <v>342</v>
      </c>
      <c r="JN341" s="20">
        <v>387</v>
      </c>
      <c r="JO341" s="29">
        <v>274</v>
      </c>
      <c r="JP341" s="19">
        <v>301</v>
      </c>
      <c r="JQ341" s="93">
        <v>226</v>
      </c>
      <c r="JR341" s="93">
        <v>289</v>
      </c>
      <c r="JS341" s="1927">
        <f>(((JS340/JS339-1)+(JS339/JS338-1))^1/2+1)*JS340</f>
        <v>309.23897465119967</v>
      </c>
      <c r="JT341" s="93">
        <v>348</v>
      </c>
      <c r="JU341" s="20">
        <v>232</v>
      </c>
      <c r="JV341" s="29">
        <v>274</v>
      </c>
      <c r="JW341" s="1504">
        <v>44835</v>
      </c>
      <c r="JX341" s="19"/>
      <c r="JY341" s="93"/>
      <c r="JZ341" s="93"/>
      <c r="KA341" s="93"/>
      <c r="KB341" s="93"/>
      <c r="KC341" s="93"/>
      <c r="KD341" s="20"/>
      <c r="KE341" s="29"/>
      <c r="KF341" s="19"/>
      <c r="KG341" s="93"/>
      <c r="KH341" s="93"/>
      <c r="KI341" s="93"/>
      <c r="KJ341" s="93"/>
      <c r="KK341" s="20"/>
      <c r="KL341" s="29"/>
      <c r="KM341" s="19"/>
      <c r="KN341" s="93"/>
      <c r="KO341" s="93"/>
      <c r="KP341" s="93"/>
      <c r="KQ341" s="93"/>
      <c r="KR341" s="20"/>
      <c r="KS341" s="29"/>
      <c r="KT341" s="19"/>
      <c r="KU341" s="93"/>
      <c r="KV341" s="93"/>
      <c r="KW341" s="93"/>
      <c r="KX341" s="93"/>
      <c r="KY341" s="20"/>
      <c r="KZ341" s="29"/>
      <c r="LA341" s="1504">
        <v>44835</v>
      </c>
      <c r="LB341" s="19"/>
      <c r="LC341" s="93"/>
      <c r="LD341" s="93"/>
      <c r="LE341" s="93"/>
      <c r="LF341" s="93"/>
      <c r="LG341" s="93"/>
      <c r="LH341" s="20"/>
      <c r="LI341" s="29"/>
      <c r="LJ341" s="19"/>
      <c r="LK341" s="93"/>
      <c r="LL341" s="93"/>
      <c r="LM341" s="93"/>
      <c r="LN341" s="93"/>
      <c r="LO341" s="20"/>
      <c r="LP341" s="29"/>
      <c r="LQ341" s="19"/>
      <c r="LR341" s="93">
        <v>188</v>
      </c>
      <c r="LS341" s="93">
        <v>463</v>
      </c>
      <c r="LT341" s="93">
        <v>663</v>
      </c>
      <c r="LU341" s="93">
        <v>1104</v>
      </c>
      <c r="LV341" s="93"/>
      <c r="LW341" s="93">
        <v>5</v>
      </c>
      <c r="LX341" s="93">
        <v>10</v>
      </c>
      <c r="LY341" s="93">
        <v>60</v>
      </c>
      <c r="LZ341" s="93"/>
      <c r="MA341" s="20"/>
      <c r="MB341" s="29">
        <v>274</v>
      </c>
      <c r="MC341" s="1504">
        <v>44835</v>
      </c>
      <c r="MD341" s="19">
        <v>2102.4625764979596</v>
      </c>
      <c r="ME341" s="93">
        <v>1889.4372770427451</v>
      </c>
      <c r="MF341" s="93">
        <v>1889.4372770427451</v>
      </c>
      <c r="MG341" s="93">
        <v>1693.3066937593453</v>
      </c>
      <c r="MH341" s="93">
        <v>625.16357772899994</v>
      </c>
      <c r="MI341" s="93">
        <v>15.452449149999998</v>
      </c>
      <c r="MJ341" s="93">
        <v>48.579659821095241</v>
      </c>
      <c r="MK341" s="93">
        <v>761.76634526925</v>
      </c>
      <c r="ML341" s="93">
        <v>241.15055259900001</v>
      </c>
      <c r="MM341" s="93">
        <v>1.1941091910000001</v>
      </c>
      <c r="MN341" s="93">
        <v>196.13058328340003</v>
      </c>
      <c r="MO341" s="93">
        <v>4.2923585939999986</v>
      </c>
      <c r="MP341" s="93">
        <v>33.771458061399997</v>
      </c>
      <c r="MQ341" s="93">
        <v>2.5123476169999996</v>
      </c>
      <c r="MR341" s="93">
        <v>71.900489338</v>
      </c>
      <c r="MS341" s="93">
        <v>83.653929673000007</v>
      </c>
      <c r="MT341" s="93">
        <v>0</v>
      </c>
      <c r="MU341" s="93">
        <v>213.02529945521445</v>
      </c>
      <c r="MV341" s="93">
        <v>152.76025329421446</v>
      </c>
      <c r="MW341" s="93">
        <v>60.265046161000001</v>
      </c>
      <c r="MX341" s="93">
        <v>2723.042598822226</v>
      </c>
      <c r="MY341" s="93">
        <v>2733.1756789682258</v>
      </c>
      <c r="MZ341" s="93">
        <v>2017.9014214495878</v>
      </c>
      <c r="NA341" s="93">
        <v>853.85277286533335</v>
      </c>
      <c r="NB341" s="93">
        <v>160.122105033</v>
      </c>
      <c r="NC341" s="93">
        <v>185.22898099825454</v>
      </c>
      <c r="ND341" s="93">
        <v>157.13429910983956</v>
      </c>
      <c r="NE341" s="93">
        <v>28.094681888414975</v>
      </c>
      <c r="NF341" s="93">
        <v>818.69756255300001</v>
      </c>
      <c r="NG341" s="93">
        <v>1.71</v>
      </c>
      <c r="NH341" s="93">
        <v>104.80553516099999</v>
      </c>
      <c r="NI341" s="93">
        <v>0</v>
      </c>
      <c r="NJ341" s="93">
        <v>355.490023705</v>
      </c>
      <c r="NK341" s="93">
        <v>715.27425751863848</v>
      </c>
      <c r="NL341" s="93">
        <v>425.269099321</v>
      </c>
      <c r="NM341" s="93">
        <v>3.713559219</v>
      </c>
      <c r="NN341" s="93">
        <v>286.29159897863849</v>
      </c>
      <c r="NO341" s="93">
        <v>-10.133080146000008</v>
      </c>
      <c r="NP341" s="93">
        <v>-620.58002232426645</v>
      </c>
      <c r="NQ341" s="93">
        <v>-833.60532177948085</v>
      </c>
      <c r="NR341" s="93">
        <v>-362.08474180258776</v>
      </c>
      <c r="NS341" s="93">
        <v>-547.31372280084236</v>
      </c>
      <c r="NT341" s="93">
        <v>-628.85349838926652</v>
      </c>
      <c r="NU341" s="93">
        <v>-841.8787978444808</v>
      </c>
      <c r="NV341" s="93">
        <v>634.8749755465476</v>
      </c>
      <c r="NW341" s="93">
        <v>121.45360109650656</v>
      </c>
      <c r="NX341" s="93">
        <v>190.8960252144241</v>
      </c>
      <c r="NY341" s="93">
        <v>-69.442424117917525</v>
      </c>
      <c r="NZ341" s="93">
        <v>0</v>
      </c>
      <c r="OA341" s="93">
        <v>513.42137445004107</v>
      </c>
      <c r="OB341" s="93">
        <v>396.54946627890001</v>
      </c>
      <c r="OC341" s="93">
        <v>116.87190817114113</v>
      </c>
      <c r="OD341" s="19">
        <v>-6.0214771572811774</v>
      </c>
      <c r="OE341" s="29">
        <v>274</v>
      </c>
      <c r="OF341" s="1504">
        <v>44835</v>
      </c>
      <c r="OG341" s="19"/>
      <c r="OH341" s="93">
        <v>740.392667426</v>
      </c>
      <c r="OI341" s="93">
        <v>2455.6303334100003</v>
      </c>
      <c r="OJ341" s="93">
        <v>0.34582217999999998</v>
      </c>
      <c r="OK341" s="93">
        <v>2153.6840000000002</v>
      </c>
      <c r="OL341" s="93">
        <v>301.60051123</v>
      </c>
      <c r="OM341" s="93">
        <v>3196.0230008360004</v>
      </c>
      <c r="ON341" s="93">
        <v>2111.3251083190003</v>
      </c>
      <c r="OO341" s="93">
        <v>5307.3481091550002</v>
      </c>
      <c r="OP341" s="93"/>
      <c r="OQ341" s="93">
        <v>1871.6956816160002</v>
      </c>
      <c r="OR341" s="93">
        <v>-459.45831838399988</v>
      </c>
      <c r="OS341" s="93">
        <v>2331.154</v>
      </c>
      <c r="OT341" s="93">
        <v>4058.460324917</v>
      </c>
      <c r="OU341" s="93">
        <v>19.339464270000128</v>
      </c>
      <c r="OV341" s="93">
        <v>-36.677535730000038</v>
      </c>
      <c r="OW341" s="93">
        <v>56.017000000000166</v>
      </c>
      <c r="OX341" s="93">
        <v>4039.120860647</v>
      </c>
      <c r="OY341" s="93">
        <v>9.2068606469999992</v>
      </c>
      <c r="OZ341" s="93">
        <v>4029.9139999999998</v>
      </c>
      <c r="PA341" s="93">
        <v>1202.541161373</v>
      </c>
      <c r="PB341" s="93">
        <v>-579.7332639949999</v>
      </c>
      <c r="PC341" s="20">
        <v>5307.3481091550002</v>
      </c>
      <c r="PD341" s="29">
        <v>274</v>
      </c>
      <c r="PE341" s="19"/>
      <c r="PF341" s="93">
        <v>-459.45831838399988</v>
      </c>
      <c r="PG341" s="93">
        <v>516.70054429599998</v>
      </c>
      <c r="PH341" s="93">
        <v>976.15886267999986</v>
      </c>
      <c r="PI341" s="93">
        <v>1617.0558326749999</v>
      </c>
      <c r="PJ341" s="93">
        <v>-30.112333392000039</v>
      </c>
      <c r="PK341" s="93">
        <v>281.69824012599997</v>
      </c>
      <c r="PL341" s="93">
        <v>311.81057351800001</v>
      </c>
      <c r="PM341" s="93">
        <v>9.2068606469999992</v>
      </c>
      <c r="PN341" s="93">
        <v>3.653</v>
      </c>
      <c r="PO341" s="93">
        <v>0</v>
      </c>
      <c r="PP341" s="93">
        <v>0</v>
      </c>
      <c r="PQ341" s="93">
        <v>5.5538606469999996</v>
      </c>
      <c r="PR341" s="93">
        <v>1173.143190452</v>
      </c>
      <c r="PS341" s="93">
        <v>850.46086976399999</v>
      </c>
      <c r="PT341" s="93">
        <v>322.00339018900002</v>
      </c>
      <c r="PU341" s="93">
        <v>0.67893049900000002</v>
      </c>
      <c r="PV341" s="93">
        <v>0</v>
      </c>
      <c r="PW341" s="93">
        <v>0.41691373500000001</v>
      </c>
      <c r="PX341" s="93">
        <v>0</v>
      </c>
      <c r="PY341" s="93">
        <v>0</v>
      </c>
      <c r="PZ341" s="93">
        <v>0.41691373500000001</v>
      </c>
      <c r="QA341" s="93">
        <v>0</v>
      </c>
      <c r="QB341" s="93">
        <v>0</v>
      </c>
      <c r="QC341" s="93">
        <v>0</v>
      </c>
      <c r="QD341" s="93">
        <v>15.734247637999999</v>
      </c>
      <c r="QE341" s="20">
        <v>-52.602310279000001</v>
      </c>
      <c r="QF341" s="1739">
        <v>274</v>
      </c>
      <c r="QG341" s="19"/>
      <c r="QH341" s="93">
        <v>2331.154</v>
      </c>
      <c r="QI341" s="93">
        <v>2670.7040000000002</v>
      </c>
      <c r="QJ341" s="93">
        <v>-339.55</v>
      </c>
      <c r="QK341" s="93">
        <v>428.38499999999999</v>
      </c>
      <c r="QL341" s="93">
        <v>103.503</v>
      </c>
      <c r="QM341" s="93">
        <v>324.88200000000001</v>
      </c>
      <c r="QN341" s="93">
        <v>0</v>
      </c>
      <c r="QO341" s="93">
        <v>56.017000000000166</v>
      </c>
      <c r="QP341" s="93">
        <v>1064.5540000000001</v>
      </c>
      <c r="QQ341" s="93">
        <v>-1008.5369999999999</v>
      </c>
      <c r="QR341" s="93">
        <v>4029.9139999999998</v>
      </c>
      <c r="QS341" s="93">
        <v>43.397999999999996</v>
      </c>
      <c r="QT341" s="93">
        <v>132.607</v>
      </c>
      <c r="QU341" s="93">
        <v>340.12599999999998</v>
      </c>
      <c r="QV341" s="93">
        <v>3513.7829999999999</v>
      </c>
      <c r="QW341" s="93"/>
      <c r="QX341" s="93">
        <v>1554.1260000000002</v>
      </c>
      <c r="QY341" s="93">
        <v>2153.6840000000002</v>
      </c>
      <c r="QZ341" s="93">
        <v>2110.9920000000002</v>
      </c>
      <c r="RA341" s="93">
        <v>0</v>
      </c>
      <c r="RB341" s="93">
        <v>251.62400000000002</v>
      </c>
      <c r="RC341" s="93">
        <v>0</v>
      </c>
      <c r="RD341" s="93">
        <v>123.884</v>
      </c>
      <c r="RE341" s="93">
        <v>0</v>
      </c>
      <c r="RF341" s="93">
        <v>0</v>
      </c>
      <c r="RG341" s="93">
        <v>810.88199999999995</v>
      </c>
      <c r="RH341" s="93">
        <v>-159.72200000000004</v>
      </c>
      <c r="RI341" s="93"/>
      <c r="RJ341" s="93"/>
      <c r="RK341" s="93"/>
      <c r="RL341" s="93"/>
      <c r="RM341" s="20"/>
      <c r="RN341" s="29">
        <v>274</v>
      </c>
      <c r="RO341" s="19"/>
      <c r="RP341" s="20"/>
      <c r="RQ341" s="29"/>
      <c r="RR341" s="20"/>
      <c r="RS341" s="29"/>
      <c r="RT341" s="1504">
        <v>44835</v>
      </c>
      <c r="RU341" s="19">
        <v>1423</v>
      </c>
      <c r="RV341" s="20">
        <v>25</v>
      </c>
      <c r="RW341" s="29">
        <v>274</v>
      </c>
      <c r="RX341" s="1504">
        <v>44835</v>
      </c>
      <c r="RY341" s="29"/>
      <c r="RZ341" s="20"/>
      <c r="SA341" s="29"/>
      <c r="SB341" s="29"/>
    </row>
    <row r="342" spans="1:496">
      <c r="A342" s="41">
        <f t="shared" si="238"/>
        <v>2022</v>
      </c>
      <c r="B342" s="1504">
        <v>44866</v>
      </c>
      <c r="C342" s="1813">
        <v>1521</v>
      </c>
      <c r="D342" s="1814">
        <v>26201</v>
      </c>
      <c r="E342" s="1814">
        <v>50</v>
      </c>
      <c r="F342" s="1815"/>
      <c r="G342" s="1814">
        <v>76100</v>
      </c>
      <c r="H342" s="1814">
        <v>12</v>
      </c>
      <c r="I342" s="1814">
        <v>31166</v>
      </c>
      <c r="J342" s="1816">
        <v>11221</v>
      </c>
      <c r="K342" s="1807">
        <f t="shared" si="330"/>
        <v>146271</v>
      </c>
      <c r="L342" s="25">
        <v>275</v>
      </c>
      <c r="M342" s="97"/>
      <c r="N342" s="1504">
        <v>44866</v>
      </c>
      <c r="O342" s="19">
        <v>1140</v>
      </c>
      <c r="P342" s="93">
        <v>1090</v>
      </c>
      <c r="Q342" s="93">
        <v>11442</v>
      </c>
      <c r="R342" s="93">
        <v>3111</v>
      </c>
      <c r="S342" s="93">
        <v>1954</v>
      </c>
      <c r="T342" s="93">
        <v>984</v>
      </c>
      <c r="U342" s="93">
        <v>451</v>
      </c>
      <c r="V342" s="93">
        <v>1350</v>
      </c>
      <c r="W342" s="93">
        <v>726</v>
      </c>
      <c r="X342" s="93">
        <v>973</v>
      </c>
      <c r="Y342" s="93">
        <v>646</v>
      </c>
      <c r="Z342" s="93">
        <v>1182</v>
      </c>
      <c r="AA342" s="93">
        <v>1152</v>
      </c>
      <c r="AB342" s="20">
        <f t="shared" si="327"/>
        <v>26201</v>
      </c>
      <c r="AC342" s="25">
        <v>275</v>
      </c>
      <c r="AD342" s="97"/>
      <c r="AE342" s="1504">
        <v>44866</v>
      </c>
      <c r="AF342" s="19">
        <v>3053</v>
      </c>
      <c r="AG342" s="93">
        <v>997</v>
      </c>
      <c r="AH342" s="93">
        <v>3976</v>
      </c>
      <c r="AI342" s="93">
        <v>5094</v>
      </c>
      <c r="AJ342" s="93">
        <v>3054</v>
      </c>
      <c r="AK342" s="93">
        <v>2884</v>
      </c>
      <c r="AL342" s="93">
        <v>2017</v>
      </c>
      <c r="AM342" s="93">
        <v>1498</v>
      </c>
      <c r="AN342" s="93">
        <v>2698</v>
      </c>
      <c r="AO342" s="93">
        <v>1609</v>
      </c>
      <c r="AP342" s="93">
        <v>1686</v>
      </c>
      <c r="AQ342" s="93">
        <v>1459</v>
      </c>
      <c r="AR342" s="93">
        <v>1141</v>
      </c>
      <c r="AS342" s="132">
        <f t="shared" si="323"/>
        <v>31166</v>
      </c>
      <c r="AT342" s="25">
        <v>275</v>
      </c>
      <c r="AU342" s="97"/>
      <c r="AV342" s="1504">
        <v>44866</v>
      </c>
      <c r="AW342" s="19">
        <v>8543</v>
      </c>
      <c r="AX342" s="93">
        <v>3876</v>
      </c>
      <c r="AY342" s="93">
        <v>3096</v>
      </c>
      <c r="AZ342" s="93">
        <v>10550</v>
      </c>
      <c r="BA342" s="93">
        <v>8099</v>
      </c>
      <c r="BB342" s="93">
        <v>7796</v>
      </c>
      <c r="BC342" s="93">
        <v>4435</v>
      </c>
      <c r="BD342" s="93">
        <v>5549</v>
      </c>
      <c r="BE342" s="93">
        <v>5440</v>
      </c>
      <c r="BF342" s="93">
        <v>5090</v>
      </c>
      <c r="BG342" s="93">
        <v>5947</v>
      </c>
      <c r="BH342" s="93">
        <v>3449</v>
      </c>
      <c r="BI342" s="93">
        <v>4230</v>
      </c>
      <c r="BJ342" s="132">
        <f t="shared" si="324"/>
        <v>76100</v>
      </c>
      <c r="BK342" s="25">
        <v>275</v>
      </c>
      <c r="BL342" s="97"/>
      <c r="BM342" s="1504">
        <v>44866</v>
      </c>
      <c r="BN342" s="733">
        <v>83.655000000000001</v>
      </c>
      <c r="BO342" s="570">
        <v>3615.7379999999998</v>
      </c>
      <c r="BP342" s="570">
        <v>10</v>
      </c>
      <c r="BQ342" s="570">
        <v>684.9</v>
      </c>
      <c r="BR342" s="570">
        <v>2.1</v>
      </c>
      <c r="BS342" s="570">
        <v>311.66000000000003</v>
      </c>
      <c r="BT342" s="570">
        <v>314.18799999999999</v>
      </c>
      <c r="BU342" s="132">
        <f t="shared" si="325"/>
        <v>5022.241</v>
      </c>
      <c r="BV342" s="25">
        <v>275</v>
      </c>
      <c r="BW342" s="97"/>
      <c r="BX342" s="1504">
        <v>44866</v>
      </c>
      <c r="BY342" s="19">
        <v>642.43140000000005</v>
      </c>
      <c r="BZ342" s="93">
        <v>655.95699999999999</v>
      </c>
      <c r="CA342" s="93">
        <v>666.41989999999998</v>
      </c>
      <c r="CB342" s="93">
        <v>36.774965000000002</v>
      </c>
      <c r="CC342" s="93">
        <v>44.846586000000002</v>
      </c>
      <c r="CD342" s="25">
        <v>275</v>
      </c>
      <c r="CE342" s="97"/>
      <c r="CF342" s="1504">
        <v>44866</v>
      </c>
      <c r="CG342" s="19">
        <v>2.2255638900000001</v>
      </c>
      <c r="CH342" s="93">
        <v>1725.07</v>
      </c>
      <c r="CI342" s="219">
        <v>87.376666666670005</v>
      </c>
      <c r="CJ342" s="20">
        <v>91.07</v>
      </c>
      <c r="CK342" s="19">
        <v>417.5</v>
      </c>
      <c r="CL342" s="93">
        <v>320.92006240000001</v>
      </c>
      <c r="CM342" s="93">
        <v>0.40741377600000001</v>
      </c>
      <c r="CN342" s="93">
        <v>0.33299323199999997</v>
      </c>
      <c r="CO342" s="93">
        <v>422.68</v>
      </c>
      <c r="CP342" s="20">
        <v>5.2042259719999997</v>
      </c>
      <c r="CQ342" s="219">
        <v>2146.14</v>
      </c>
      <c r="CR342" s="93">
        <v>2.4900000000000002</v>
      </c>
      <c r="CS342" s="93">
        <v>1.4323999999999999</v>
      </c>
      <c r="CT342" s="93">
        <v>300</v>
      </c>
      <c r="CU342" s="93">
        <v>93.34</v>
      </c>
      <c r="CV342" s="214">
        <v>2938.92</v>
      </c>
      <c r="CW342" s="29">
        <v>275</v>
      </c>
      <c r="CX342" s="41">
        <f t="shared" si="319"/>
        <v>2022</v>
      </c>
      <c r="CY342" s="1504">
        <v>44866</v>
      </c>
      <c r="CZ342" s="19"/>
      <c r="DA342" s="93"/>
      <c r="DB342" s="93"/>
      <c r="DC342" s="93"/>
      <c r="DD342" s="93"/>
      <c r="DE342" s="20"/>
      <c r="DF342" s="29"/>
      <c r="DG342" s="1504">
        <v>44866</v>
      </c>
      <c r="DH342" s="19">
        <v>512832</v>
      </c>
      <c r="DI342" s="93">
        <v>5216011</v>
      </c>
      <c r="DJ342" s="93">
        <v>283557</v>
      </c>
      <c r="DK342" s="93">
        <v>19900</v>
      </c>
      <c r="DL342" s="93">
        <v>468206</v>
      </c>
      <c r="DM342" s="93">
        <v>9449</v>
      </c>
      <c r="DN342" s="20">
        <v>1640508</v>
      </c>
      <c r="DO342" s="295">
        <f t="shared" si="333"/>
        <v>7637631</v>
      </c>
      <c r="DP342" s="29">
        <v>275</v>
      </c>
      <c r="DQ342" s="1504">
        <v>44866</v>
      </c>
      <c r="DR342" s="19">
        <v>74712.42</v>
      </c>
      <c r="DS342" s="93">
        <v>243</v>
      </c>
      <c r="DT342" s="93">
        <v>66886</v>
      </c>
      <c r="DU342" s="93">
        <v>1515.9939999999999</v>
      </c>
      <c r="DV342" s="93">
        <v>31536.653999999999</v>
      </c>
      <c r="DW342" s="93">
        <v>2983</v>
      </c>
      <c r="DX342" s="20">
        <v>21838.058928571427</v>
      </c>
      <c r="DY342" s="29">
        <v>275</v>
      </c>
      <c r="DZ342" s="1504">
        <v>44866</v>
      </c>
      <c r="EA342" s="19"/>
      <c r="EB342" s="93"/>
      <c r="EC342" s="20"/>
      <c r="ED342" s="29"/>
      <c r="EE342" s="1504">
        <v>44866</v>
      </c>
      <c r="EF342" s="19">
        <f t="shared" si="307"/>
        <v>19335</v>
      </c>
      <c r="EG342" s="93">
        <f t="shared" si="308"/>
        <v>18983</v>
      </c>
      <c r="EH342" s="93">
        <f t="shared" si="309"/>
        <v>49361</v>
      </c>
      <c r="EI342" s="214">
        <f t="shared" si="310"/>
        <v>11043</v>
      </c>
      <c r="EJ342" s="93">
        <f t="shared" si="311"/>
        <v>273.52999999999997</v>
      </c>
      <c r="EK342" s="93">
        <f t="shared" si="312"/>
        <v>110.096</v>
      </c>
      <c r="EL342" s="93">
        <f t="shared" si="313"/>
        <v>31.605</v>
      </c>
      <c r="EM342" s="93">
        <f t="shared" si="314"/>
        <v>11.266</v>
      </c>
      <c r="EN342" s="20">
        <f t="shared" si="317"/>
        <v>426.49700000000001</v>
      </c>
      <c r="EO342" s="29">
        <v>275</v>
      </c>
      <c r="EP342" s="1504">
        <v>44866</v>
      </c>
      <c r="EQ342" s="19">
        <v>18285</v>
      </c>
      <c r="ER342" s="93">
        <v>18004</v>
      </c>
      <c r="ES342" s="93">
        <f t="shared" si="315"/>
        <v>36289</v>
      </c>
      <c r="ET342" s="214">
        <v>10700</v>
      </c>
      <c r="EU342" s="93">
        <v>273.52999999999997</v>
      </c>
      <c r="EV342" s="93">
        <v>109.947</v>
      </c>
      <c r="EW342" s="93">
        <v>31.605</v>
      </c>
      <c r="EX342" s="93">
        <v>11.266</v>
      </c>
      <c r="EY342" s="20">
        <f t="shared" si="321"/>
        <v>426.34800000000001</v>
      </c>
      <c r="EZ342" s="29">
        <v>275</v>
      </c>
      <c r="FA342" s="1504">
        <v>44866</v>
      </c>
      <c r="FB342" s="29">
        <v>1050</v>
      </c>
      <c r="FC342" s="29">
        <v>979</v>
      </c>
      <c r="FD342" s="29">
        <f t="shared" si="316"/>
        <v>2029</v>
      </c>
      <c r="FE342" s="29">
        <v>343</v>
      </c>
      <c r="FF342" s="29">
        <v>0</v>
      </c>
      <c r="FG342" s="29">
        <v>0.14899999999999999</v>
      </c>
      <c r="FH342" s="29">
        <v>0</v>
      </c>
      <c r="FI342" s="29">
        <v>0</v>
      </c>
      <c r="FJ342" s="29">
        <f t="shared" si="326"/>
        <v>0.14899999999999999</v>
      </c>
      <c r="FK342" s="29">
        <v>275</v>
      </c>
      <c r="FL342" s="1504">
        <v>44866</v>
      </c>
      <c r="FM342" s="19">
        <v>125.75</v>
      </c>
      <c r="FN342" s="93">
        <v>143.59</v>
      </c>
      <c r="FO342" s="93">
        <v>147.91999999999999</v>
      </c>
      <c r="FP342" s="93">
        <v>101.71</v>
      </c>
      <c r="FQ342" s="93">
        <v>105.1</v>
      </c>
      <c r="FR342" s="93">
        <v>102.08</v>
      </c>
      <c r="FS342" s="93">
        <v>100.66</v>
      </c>
      <c r="FT342" s="93">
        <v>106.33</v>
      </c>
      <c r="FU342" s="93">
        <v>98.74</v>
      </c>
      <c r="FV342" s="93">
        <v>102.04</v>
      </c>
      <c r="FW342" s="93">
        <v>114.07</v>
      </c>
      <c r="FX342" s="93">
        <v>108.76</v>
      </c>
      <c r="FY342" s="93">
        <v>101.4</v>
      </c>
      <c r="FZ342" s="29">
        <v>275</v>
      </c>
      <c r="GA342" s="1504">
        <v>44866</v>
      </c>
      <c r="GB342" s="19">
        <v>125.75</v>
      </c>
      <c r="GC342" s="93">
        <v>109.02</v>
      </c>
      <c r="GD342" s="93">
        <v>133.56</v>
      </c>
      <c r="GE342" s="93">
        <v>108.16</v>
      </c>
      <c r="GF342" s="93">
        <v>160.65</v>
      </c>
      <c r="GG342" s="93">
        <v>111.27</v>
      </c>
      <c r="GH342" s="93">
        <v>152.06</v>
      </c>
      <c r="GI342" s="93">
        <v>111.96</v>
      </c>
      <c r="GJ342" s="93">
        <v>105.72</v>
      </c>
      <c r="GK342" s="93">
        <v>100.33</v>
      </c>
      <c r="GL342" s="93">
        <v>137.55000000000001</v>
      </c>
      <c r="GM342" s="93">
        <v>101.85</v>
      </c>
      <c r="GN342" s="20">
        <v>105.71</v>
      </c>
      <c r="GO342" s="29">
        <v>275</v>
      </c>
      <c r="GP342" s="1504">
        <v>44866</v>
      </c>
      <c r="GQ342" s="19">
        <v>359</v>
      </c>
      <c r="GR342" s="93">
        <v>281</v>
      </c>
      <c r="GS342" s="93">
        <v>297</v>
      </c>
      <c r="GT342" s="93">
        <v>259</v>
      </c>
      <c r="GU342" s="93">
        <v>437</v>
      </c>
      <c r="GV342" s="20">
        <v>903</v>
      </c>
      <c r="GW342" s="19">
        <v>630</v>
      </c>
      <c r="GX342" s="93">
        <v>630</v>
      </c>
      <c r="GY342" s="93">
        <v>439</v>
      </c>
      <c r="GZ342" s="93">
        <v>594</v>
      </c>
      <c r="HA342" s="93">
        <v>516</v>
      </c>
      <c r="HB342" s="20">
        <v>1015</v>
      </c>
      <c r="HC342" s="19">
        <v>2759</v>
      </c>
      <c r="HD342" s="93">
        <v>2903</v>
      </c>
      <c r="HE342" s="93">
        <v>3143</v>
      </c>
      <c r="HF342" s="93">
        <v>3150</v>
      </c>
      <c r="HG342" s="93">
        <v>3161</v>
      </c>
      <c r="HH342" s="20">
        <v>3749</v>
      </c>
      <c r="HI342" s="19"/>
      <c r="HJ342" s="93">
        <v>906</v>
      </c>
      <c r="HK342" s="93">
        <v>1838</v>
      </c>
      <c r="HL342" s="93">
        <v>862</v>
      </c>
      <c r="HM342" s="93">
        <v>1000</v>
      </c>
      <c r="HN342" s="20">
        <v>2980</v>
      </c>
      <c r="HO342" s="219">
        <v>136</v>
      </c>
      <c r="HP342" s="20">
        <v>106</v>
      </c>
      <c r="HQ342" s="25">
        <v>169</v>
      </c>
      <c r="HR342" s="29">
        <v>275</v>
      </c>
      <c r="HS342" s="1504">
        <v>44866</v>
      </c>
      <c r="HT342" s="179">
        <v>468</v>
      </c>
      <c r="HU342" s="99">
        <v>404</v>
      </c>
      <c r="HV342" s="99">
        <v>396</v>
      </c>
      <c r="HW342" s="99">
        <v>332</v>
      </c>
      <c r="HX342" s="99">
        <v>394</v>
      </c>
      <c r="HY342" s="99">
        <v>421</v>
      </c>
      <c r="HZ342" s="99">
        <v>407</v>
      </c>
      <c r="IA342" s="132">
        <v>439</v>
      </c>
      <c r="IB342" s="19">
        <v>401</v>
      </c>
      <c r="IC342" s="93">
        <v>285</v>
      </c>
      <c r="ID342" s="93">
        <v>344</v>
      </c>
      <c r="IE342" s="1927">
        <f>(((IE341/IE340-1)+(IE340/IE339-1))^1/2+1)*IE341</f>
        <v>427.19000565132728</v>
      </c>
      <c r="IF342" s="93">
        <v>354</v>
      </c>
      <c r="IG342" s="20">
        <v>280</v>
      </c>
      <c r="IH342" s="19">
        <v>177</v>
      </c>
      <c r="II342" s="93">
        <v>331</v>
      </c>
      <c r="IJ342" s="93">
        <v>255</v>
      </c>
      <c r="IK342" s="93">
        <v>241</v>
      </c>
      <c r="IL342" s="93">
        <v>226</v>
      </c>
      <c r="IM342" s="93">
        <v>214</v>
      </c>
      <c r="IN342" s="93"/>
      <c r="IO342" s="20">
        <v>257</v>
      </c>
      <c r="IP342" s="29">
        <v>275</v>
      </c>
      <c r="IQ342" s="19">
        <v>260</v>
      </c>
      <c r="IR342" s="93">
        <v>137</v>
      </c>
      <c r="IS342" s="93">
        <v>167</v>
      </c>
      <c r="IT342" s="93">
        <v>190</v>
      </c>
      <c r="IU342" s="93">
        <v>240</v>
      </c>
      <c r="IV342" s="20">
        <v>146</v>
      </c>
      <c r="IW342" s="29">
        <v>275</v>
      </c>
      <c r="IX342" s="19">
        <v>411</v>
      </c>
      <c r="IY342" s="93">
        <v>440</v>
      </c>
      <c r="IZ342" s="93">
        <v>450</v>
      </c>
      <c r="JA342" s="93">
        <v>450</v>
      </c>
      <c r="JB342" s="93"/>
      <c r="JC342" s="93">
        <v>425</v>
      </c>
      <c r="JD342" s="93">
        <v>460</v>
      </c>
      <c r="JE342" s="20">
        <v>500</v>
      </c>
      <c r="JF342" s="29">
        <v>275</v>
      </c>
      <c r="JG342" s="19">
        <v>339</v>
      </c>
      <c r="JH342" s="93">
        <v>337</v>
      </c>
      <c r="JI342" s="93">
        <v>282</v>
      </c>
      <c r="JJ342" s="93">
        <v>308</v>
      </c>
      <c r="JK342" s="93">
        <v>296</v>
      </c>
      <c r="JL342" s="93">
        <v>323</v>
      </c>
      <c r="JM342" s="93">
        <v>308</v>
      </c>
      <c r="JN342" s="20">
        <v>377</v>
      </c>
      <c r="JO342" s="29">
        <v>275</v>
      </c>
      <c r="JP342" s="19">
        <v>350</v>
      </c>
      <c r="JQ342" s="93">
        <v>168</v>
      </c>
      <c r="JR342" s="93">
        <v>237</v>
      </c>
      <c r="JS342" s="1927">
        <f>(((JS341/JS340-1)+(JS340/JS339-1))^1/2+1)*JS341</f>
        <v>351.83488753562432</v>
      </c>
      <c r="JT342" s="93">
        <v>332</v>
      </c>
      <c r="JU342" s="20">
        <v>165</v>
      </c>
      <c r="JV342" s="29">
        <v>275</v>
      </c>
      <c r="JW342" s="1504">
        <v>44866</v>
      </c>
      <c r="JX342" s="19"/>
      <c r="JY342" s="93"/>
      <c r="JZ342" s="93"/>
      <c r="KA342" s="93"/>
      <c r="KB342" s="93"/>
      <c r="KC342" s="93"/>
      <c r="KD342" s="20"/>
      <c r="KE342" s="29"/>
      <c r="KF342" s="19"/>
      <c r="KG342" s="93"/>
      <c r="KH342" s="93"/>
      <c r="KI342" s="93"/>
      <c r="KJ342" s="93"/>
      <c r="KK342" s="20"/>
      <c r="KL342" s="29"/>
      <c r="KM342" s="19"/>
      <c r="KN342" s="93"/>
      <c r="KO342" s="93"/>
      <c r="KP342" s="93"/>
      <c r="KQ342" s="93"/>
      <c r="KR342" s="20"/>
      <c r="KS342" s="29"/>
      <c r="KT342" s="19"/>
      <c r="KU342" s="93"/>
      <c r="KV342" s="93"/>
      <c r="KW342" s="93"/>
      <c r="KX342" s="93"/>
      <c r="KY342" s="20"/>
      <c r="KZ342" s="29"/>
      <c r="LA342" s="1504">
        <v>44866</v>
      </c>
      <c r="LB342" s="19"/>
      <c r="LC342" s="93"/>
      <c r="LD342" s="93"/>
      <c r="LE342" s="93"/>
      <c r="LF342" s="93"/>
      <c r="LG342" s="93"/>
      <c r="LH342" s="20"/>
      <c r="LI342" s="29"/>
      <c r="LJ342" s="19"/>
      <c r="LK342" s="93"/>
      <c r="LL342" s="93"/>
      <c r="LM342" s="93"/>
      <c r="LN342" s="93"/>
      <c r="LO342" s="20"/>
      <c r="LP342" s="29"/>
      <c r="LQ342" s="19"/>
      <c r="LR342" s="93">
        <v>188</v>
      </c>
      <c r="LS342" s="93">
        <v>463</v>
      </c>
      <c r="LT342" s="93">
        <v>663</v>
      </c>
      <c r="LU342" s="93">
        <v>1104</v>
      </c>
      <c r="LV342" s="93"/>
      <c r="LW342" s="93">
        <v>5</v>
      </c>
      <c r="LX342" s="93">
        <v>10</v>
      </c>
      <c r="LY342" s="93">
        <v>60</v>
      </c>
      <c r="LZ342" s="93"/>
      <c r="MA342" s="20"/>
      <c r="MB342" s="29">
        <v>275</v>
      </c>
      <c r="MC342" s="1504">
        <v>44866</v>
      </c>
      <c r="MD342" s="19">
        <v>2279.546811505149</v>
      </c>
      <c r="ME342" s="93">
        <v>2061.5777394946954</v>
      </c>
      <c r="MF342" s="93">
        <v>2061.5777394946954</v>
      </c>
      <c r="MG342" s="93">
        <v>1852.0533662490952</v>
      </c>
      <c r="MH342" s="93">
        <v>671.30179247399997</v>
      </c>
      <c r="MI342" s="93">
        <v>16.813638405999999</v>
      </c>
      <c r="MJ342" s="93">
        <v>55.558138305095241</v>
      </c>
      <c r="MK342" s="93">
        <v>841.98549389100003</v>
      </c>
      <c r="ML342" s="93">
        <v>265.112204496</v>
      </c>
      <c r="MM342" s="93">
        <v>1.2820986770000002</v>
      </c>
      <c r="MN342" s="93">
        <v>209.52437324560003</v>
      </c>
      <c r="MO342" s="93">
        <v>4.7725746319999987</v>
      </c>
      <c r="MP342" s="93">
        <v>36.409470237599997</v>
      </c>
      <c r="MQ342" s="93">
        <v>2.7031394149999994</v>
      </c>
      <c r="MR342" s="93">
        <v>72.156269753999993</v>
      </c>
      <c r="MS342" s="93">
        <v>93.482919207000009</v>
      </c>
      <c r="MT342" s="93">
        <v>0</v>
      </c>
      <c r="MU342" s="93">
        <v>217.96907201045386</v>
      </c>
      <c r="MV342" s="93">
        <v>157.70402584945387</v>
      </c>
      <c r="MW342" s="93">
        <v>60.265046161000001</v>
      </c>
      <c r="MX342" s="93">
        <v>3180.4912390621494</v>
      </c>
      <c r="MY342" s="93">
        <v>3192.1370941681494</v>
      </c>
      <c r="MZ342" s="93">
        <v>2186.3344704012534</v>
      </c>
      <c r="NA342" s="93">
        <v>935.02911824899991</v>
      </c>
      <c r="NB342" s="93">
        <v>178.15791370899998</v>
      </c>
      <c r="NC342" s="93">
        <v>201.04340147625319</v>
      </c>
      <c r="ND342" s="93">
        <v>169.22040323641392</v>
      </c>
      <c r="NE342" s="93">
        <v>31.822998239839258</v>
      </c>
      <c r="NF342" s="93">
        <v>872.10403696699996</v>
      </c>
      <c r="NG342" s="93">
        <v>2.54296875</v>
      </c>
      <c r="NH342" s="93">
        <v>106.90223999299999</v>
      </c>
      <c r="NI342" s="93">
        <v>0</v>
      </c>
      <c r="NJ342" s="93">
        <v>385.028456801</v>
      </c>
      <c r="NK342" s="93">
        <v>1005.8026237668964</v>
      </c>
      <c r="NL342" s="93">
        <v>704.63936601600005</v>
      </c>
      <c r="NM342" s="93">
        <v>4.8274209910000003</v>
      </c>
      <c r="NN342" s="93">
        <v>296.33583675989644</v>
      </c>
      <c r="NO342" s="93">
        <v>-11.645855106000008</v>
      </c>
      <c r="NP342" s="93">
        <v>-900.94442755700038</v>
      </c>
      <c r="NQ342" s="93">
        <v>-1118.9134995674544</v>
      </c>
      <c r="NR342" s="93">
        <v>-621.53426133130461</v>
      </c>
      <c r="NS342" s="93">
        <v>-822.57766280755777</v>
      </c>
      <c r="NT342" s="93">
        <v>-715.35909414300068</v>
      </c>
      <c r="NU342" s="93">
        <v>-933.32816615345439</v>
      </c>
      <c r="NV342" s="93">
        <v>718.59256538894351</v>
      </c>
      <c r="NW342" s="93">
        <v>113.90289497590243</v>
      </c>
      <c r="NX342" s="93">
        <v>195.99649044044267</v>
      </c>
      <c r="NY342" s="93">
        <v>-82.093595464540257</v>
      </c>
      <c r="NZ342" s="93">
        <v>0</v>
      </c>
      <c r="OA342" s="93">
        <v>604.68967041304109</v>
      </c>
      <c r="OB342" s="93">
        <v>484.89638324190003</v>
      </c>
      <c r="OC342" s="93">
        <v>119.79328717114117</v>
      </c>
      <c r="OD342" s="19">
        <v>-3.233471245942833</v>
      </c>
      <c r="OE342" s="29">
        <v>275</v>
      </c>
      <c r="OF342" s="1504">
        <v>44866</v>
      </c>
      <c r="OG342" s="19"/>
      <c r="OH342" s="93">
        <v>785.4504543270001</v>
      </c>
      <c r="OI342" s="93">
        <v>2516.9423734750003</v>
      </c>
      <c r="OJ342" s="93">
        <v>0.36686224499999998</v>
      </c>
      <c r="OK342" s="93">
        <v>2214.9750000000004</v>
      </c>
      <c r="OL342" s="93">
        <v>301.60051123</v>
      </c>
      <c r="OM342" s="93">
        <v>3302.3928278020003</v>
      </c>
      <c r="ON342" s="93">
        <v>2101.1471083190004</v>
      </c>
      <c r="OO342" s="93">
        <v>5403.5399361210002</v>
      </c>
      <c r="OP342" s="93"/>
      <c r="OQ342" s="93">
        <v>1951.1128035759998</v>
      </c>
      <c r="OR342" s="93">
        <v>-492.89019642399995</v>
      </c>
      <c r="OS342" s="93">
        <v>2444.0029999999997</v>
      </c>
      <c r="OT342" s="93">
        <v>4141.4212905269997</v>
      </c>
      <c r="OU342" s="93">
        <v>49.122918797000132</v>
      </c>
      <c r="OV342" s="93">
        <v>-36.666081202999969</v>
      </c>
      <c r="OW342" s="93">
        <v>85.789000000000101</v>
      </c>
      <c r="OX342" s="93">
        <v>4092.2983717299999</v>
      </c>
      <c r="OY342" s="93">
        <v>8.2993717300000007</v>
      </c>
      <c r="OZ342" s="93">
        <v>4083.9989999999998</v>
      </c>
      <c r="PA342" s="93">
        <v>1236.6462403869987</v>
      </c>
      <c r="PB342" s="93">
        <v>-547.6520824050001</v>
      </c>
      <c r="PC342" s="20">
        <v>5403.5399361210002</v>
      </c>
      <c r="PD342" s="29">
        <v>275</v>
      </c>
      <c r="PE342" s="19"/>
      <c r="PF342" s="93">
        <v>-492.89019642399995</v>
      </c>
      <c r="PG342" s="93">
        <v>231.29419713800002</v>
      </c>
      <c r="PH342" s="93">
        <v>724.18439356199997</v>
      </c>
      <c r="PI342" s="93">
        <v>1685.6948328819999</v>
      </c>
      <c r="PJ342" s="93">
        <v>-30.10087886499997</v>
      </c>
      <c r="PK342" s="93">
        <v>281.71299698199999</v>
      </c>
      <c r="PL342" s="93">
        <v>311.81387584699996</v>
      </c>
      <c r="PM342" s="93">
        <v>8.2993717300000007</v>
      </c>
      <c r="PN342" s="93">
        <v>2.7109999999999999</v>
      </c>
      <c r="PO342" s="93">
        <v>0</v>
      </c>
      <c r="PP342" s="93">
        <v>0</v>
      </c>
      <c r="PQ342" s="93">
        <v>5.5883717300000004</v>
      </c>
      <c r="PR342" s="93">
        <v>1173.123606095</v>
      </c>
      <c r="PS342" s="93">
        <v>898.97365666500002</v>
      </c>
      <c r="PT342" s="93">
        <v>273.44997886599998</v>
      </c>
      <c r="PU342" s="93">
        <v>0.69997056400000002</v>
      </c>
      <c r="PV342" s="93">
        <v>0</v>
      </c>
      <c r="PW342" s="93">
        <v>0.66502834899999996</v>
      </c>
      <c r="PX342" s="93">
        <v>0</v>
      </c>
      <c r="PY342" s="93">
        <v>0</v>
      </c>
      <c r="PZ342" s="93">
        <v>0.66502834899999996</v>
      </c>
      <c r="QA342" s="93">
        <v>0</v>
      </c>
      <c r="QB342" s="93">
        <v>0</v>
      </c>
      <c r="QC342" s="93">
        <v>0</v>
      </c>
      <c r="QD342" s="93">
        <v>16.909212038</v>
      </c>
      <c r="QE342" s="20">
        <v>-19.694717159000014</v>
      </c>
      <c r="QF342" s="1739">
        <v>275</v>
      </c>
      <c r="QG342" s="19"/>
      <c r="QH342" s="93">
        <v>2444.0029999999997</v>
      </c>
      <c r="QI342" s="93">
        <v>2748.8869999999997</v>
      </c>
      <c r="QJ342" s="93">
        <v>-304.88400000000001</v>
      </c>
      <c r="QK342" s="93">
        <v>371.55100000000004</v>
      </c>
      <c r="QL342" s="93">
        <v>106.958</v>
      </c>
      <c r="QM342" s="93">
        <v>264.59300000000002</v>
      </c>
      <c r="QN342" s="93">
        <v>0</v>
      </c>
      <c r="QO342" s="93">
        <v>85.789000000000101</v>
      </c>
      <c r="QP342" s="93">
        <v>1059.327</v>
      </c>
      <c r="QQ342" s="93">
        <v>-973.5379999999999</v>
      </c>
      <c r="QR342" s="93">
        <v>4083.9989999999998</v>
      </c>
      <c r="QS342" s="93">
        <v>56.911000000000001</v>
      </c>
      <c r="QT342" s="93">
        <v>155.02199999999999</v>
      </c>
      <c r="QU342" s="93">
        <v>319.19499999999999</v>
      </c>
      <c r="QV342" s="93">
        <v>3552.8710000000001</v>
      </c>
      <c r="QW342" s="93"/>
      <c r="QX342" s="93">
        <v>1642.2939999999999</v>
      </c>
      <c r="QY342" s="93">
        <v>2214.9749999999999</v>
      </c>
      <c r="QZ342" s="93">
        <v>2100.8140000000003</v>
      </c>
      <c r="RA342" s="93">
        <v>0</v>
      </c>
      <c r="RB342" s="93">
        <v>270.70999999999998</v>
      </c>
      <c r="RC342" s="93">
        <v>0</v>
      </c>
      <c r="RD342" s="93">
        <v>122.696</v>
      </c>
      <c r="RE342" s="93">
        <v>0</v>
      </c>
      <c r="RF342" s="93">
        <v>0</v>
      </c>
      <c r="RG342" s="93">
        <v>825.6659999999988</v>
      </c>
      <c r="RH342" s="93">
        <v>-191.81299999999999</v>
      </c>
      <c r="RI342" s="93"/>
      <c r="RJ342" s="93"/>
      <c r="RK342" s="93"/>
      <c r="RL342" s="93"/>
      <c r="RM342" s="20"/>
      <c r="RN342" s="29">
        <v>275</v>
      </c>
      <c r="RO342" s="19"/>
      <c r="RP342" s="20"/>
      <c r="RQ342" s="29"/>
      <c r="RR342" s="20"/>
      <c r="RS342" s="29"/>
      <c r="RT342" s="1504">
        <v>44866</v>
      </c>
      <c r="RU342" s="19">
        <v>1652</v>
      </c>
      <c r="RV342" s="20">
        <v>38</v>
      </c>
      <c r="RW342" s="29">
        <v>275</v>
      </c>
      <c r="RX342" s="1504">
        <v>44866</v>
      </c>
      <c r="RY342" s="29"/>
      <c r="RZ342" s="20"/>
      <c r="SA342" s="29"/>
      <c r="SB342" s="29"/>
    </row>
    <row r="343" spans="1:496">
      <c r="A343" s="41">
        <f t="shared" si="238"/>
        <v>2022</v>
      </c>
      <c r="B343" s="1504">
        <v>44896</v>
      </c>
      <c r="C343" s="1813">
        <v>1898</v>
      </c>
      <c r="D343" s="1814">
        <v>34252</v>
      </c>
      <c r="E343" s="1814">
        <v>94</v>
      </c>
      <c r="F343" s="1815"/>
      <c r="G343" s="1814">
        <v>320988</v>
      </c>
      <c r="H343" s="1814">
        <v>88</v>
      </c>
      <c r="I343" s="1814">
        <v>37716</v>
      </c>
      <c r="J343" s="1816">
        <v>15766</v>
      </c>
      <c r="K343" s="1807">
        <f t="shared" si="330"/>
        <v>410802</v>
      </c>
      <c r="L343" s="25">
        <v>276</v>
      </c>
      <c r="M343" s="97"/>
      <c r="N343" s="1504">
        <v>44896</v>
      </c>
      <c r="O343" s="19">
        <v>1094</v>
      </c>
      <c r="P343" s="93">
        <v>1169</v>
      </c>
      <c r="Q343" s="93">
        <v>13719</v>
      </c>
      <c r="R343" s="93">
        <v>2897</v>
      </c>
      <c r="S343" s="93">
        <v>2572</v>
      </c>
      <c r="T343" s="93">
        <v>951</v>
      </c>
      <c r="U343" s="93">
        <v>585</v>
      </c>
      <c r="V343" s="93">
        <v>443</v>
      </c>
      <c r="W343" s="93">
        <v>6052</v>
      </c>
      <c r="X343" s="93">
        <v>1291</v>
      </c>
      <c r="Y343" s="93">
        <v>667</v>
      </c>
      <c r="Z343" s="93">
        <v>1200</v>
      </c>
      <c r="AA343" s="93">
        <v>1612</v>
      </c>
      <c r="AB343" s="20">
        <f t="shared" si="327"/>
        <v>34252</v>
      </c>
      <c r="AC343" s="25">
        <v>276</v>
      </c>
      <c r="AD343" s="97"/>
      <c r="AE343" s="1504">
        <v>44896</v>
      </c>
      <c r="AF343" s="19">
        <v>2740</v>
      </c>
      <c r="AG343" s="93">
        <v>1267</v>
      </c>
      <c r="AH343" s="93">
        <v>4688</v>
      </c>
      <c r="AI343" s="93">
        <v>5725</v>
      </c>
      <c r="AJ343" s="93">
        <v>2922</v>
      </c>
      <c r="AK343" s="93">
        <v>2821</v>
      </c>
      <c r="AL343" s="93">
        <v>2595</v>
      </c>
      <c r="AM343" s="93">
        <v>676</v>
      </c>
      <c r="AN343" s="93">
        <v>8666</v>
      </c>
      <c r="AO343" s="93">
        <v>1568</v>
      </c>
      <c r="AP343" s="93">
        <v>1283</v>
      </c>
      <c r="AQ343" s="93">
        <v>1244</v>
      </c>
      <c r="AR343" s="93">
        <v>1521</v>
      </c>
      <c r="AS343" s="132">
        <f t="shared" si="323"/>
        <v>37716</v>
      </c>
      <c r="AT343" s="25">
        <v>276</v>
      </c>
      <c r="AU343" s="97"/>
      <c r="AV343" s="1504">
        <v>44896</v>
      </c>
      <c r="AW343" s="19">
        <v>112680</v>
      </c>
      <c r="AX343" s="93">
        <v>3965</v>
      </c>
      <c r="AY343" s="93">
        <v>4335</v>
      </c>
      <c r="AZ343" s="93">
        <v>14038</v>
      </c>
      <c r="BA343" s="93">
        <v>8814</v>
      </c>
      <c r="BB343" s="93">
        <v>8007</v>
      </c>
      <c r="BC343" s="93">
        <v>5911</v>
      </c>
      <c r="BD343" s="93">
        <v>2546</v>
      </c>
      <c r="BE343" s="93">
        <v>138728</v>
      </c>
      <c r="BF343" s="93">
        <v>5509</v>
      </c>
      <c r="BG343" s="93">
        <v>4961</v>
      </c>
      <c r="BH343" s="93">
        <v>5402</v>
      </c>
      <c r="BI343" s="93">
        <v>6092</v>
      </c>
      <c r="BJ343" s="132">
        <f t="shared" si="324"/>
        <v>320988</v>
      </c>
      <c r="BK343" s="25">
        <v>276</v>
      </c>
      <c r="BL343" s="97"/>
      <c r="BM343" s="1504">
        <v>44896</v>
      </c>
      <c r="BN343" s="733">
        <v>104.39</v>
      </c>
      <c r="BO343" s="570">
        <v>4726.7759999999998</v>
      </c>
      <c r="BP343" s="570">
        <v>18.8</v>
      </c>
      <c r="BQ343" s="570">
        <v>2888.8919999999998</v>
      </c>
      <c r="BR343" s="570">
        <v>15.4</v>
      </c>
      <c r="BS343" s="570">
        <v>377.16</v>
      </c>
      <c r="BT343" s="570">
        <v>441.44799999999998</v>
      </c>
      <c r="BU343" s="132">
        <f t="shared" si="325"/>
        <v>8572.866</v>
      </c>
      <c r="BV343" s="25">
        <v>276</v>
      </c>
      <c r="BW343" s="97"/>
      <c r="BX343" s="1504">
        <v>44896</v>
      </c>
      <c r="BY343" s="19">
        <v>619.12440000000004</v>
      </c>
      <c r="BZ343" s="93">
        <v>655.95699999999999</v>
      </c>
      <c r="CA343" s="93">
        <v>664.39549999999997</v>
      </c>
      <c r="CB343" s="93">
        <v>35.861359</v>
      </c>
      <c r="CC343" s="93">
        <v>57.774223999999997</v>
      </c>
      <c r="CD343" s="25">
        <v>276</v>
      </c>
      <c r="CE343" s="97"/>
      <c r="CF343" s="1504">
        <v>44896</v>
      </c>
      <c r="CG343" s="19">
        <v>2.2238001939999998</v>
      </c>
      <c r="CH343" s="93">
        <v>1797.55</v>
      </c>
      <c r="CI343" s="219">
        <v>78.066666666670002</v>
      </c>
      <c r="CJ343" s="20">
        <v>80.900000000000006</v>
      </c>
      <c r="CK343" s="19">
        <v>446.39</v>
      </c>
      <c r="CL343" s="93">
        <v>302.24781999999999</v>
      </c>
      <c r="CM343" s="93">
        <v>0.41733456600000002</v>
      </c>
      <c r="CN343" s="93">
        <v>0.34572907200000003</v>
      </c>
      <c r="CO343" s="93">
        <v>386.33</v>
      </c>
      <c r="CP343" s="20">
        <v>4.8706669659999999</v>
      </c>
      <c r="CQ343" s="219">
        <v>2146.1</v>
      </c>
      <c r="CR343" s="93">
        <v>2.38666666667</v>
      </c>
      <c r="CS343" s="93">
        <v>1.5355000000000001</v>
      </c>
      <c r="CT343" s="93">
        <v>300</v>
      </c>
      <c r="CU343" s="93">
        <v>111.84</v>
      </c>
      <c r="CV343" s="214">
        <v>3129.48</v>
      </c>
      <c r="CW343" s="29">
        <v>276</v>
      </c>
      <c r="CX343" s="41">
        <f t="shared" si="319"/>
        <v>2022</v>
      </c>
      <c r="CY343" s="1504">
        <v>44896</v>
      </c>
      <c r="CZ343" s="19"/>
      <c r="DA343" s="93"/>
      <c r="DB343" s="93"/>
      <c r="DC343" s="93"/>
      <c r="DD343" s="93"/>
      <c r="DE343" s="20"/>
      <c r="DF343" s="29"/>
      <c r="DG343" s="1504">
        <v>44896</v>
      </c>
      <c r="DH343" s="19">
        <v>511170</v>
      </c>
      <c r="DI343" s="93">
        <v>5342576</v>
      </c>
      <c r="DJ343" s="93">
        <v>293353</v>
      </c>
      <c r="DK343" s="93">
        <v>21106</v>
      </c>
      <c r="DL343" s="93">
        <v>582776</v>
      </c>
      <c r="DM343" s="93">
        <v>6767</v>
      </c>
      <c r="DN343" s="20">
        <v>1623341</v>
      </c>
      <c r="DO343" s="295">
        <f t="shared" si="333"/>
        <v>7869919</v>
      </c>
      <c r="DP343" s="29">
        <v>276</v>
      </c>
      <c r="DQ343" s="1504">
        <v>44896</v>
      </c>
      <c r="DR343" s="19">
        <v>79058.3</v>
      </c>
      <c r="DS343" s="93">
        <v>748</v>
      </c>
      <c r="DT343" s="93">
        <v>73554.14</v>
      </c>
      <c r="DU343" s="93">
        <v>1756.0239999999999</v>
      </c>
      <c r="DV343" s="93">
        <v>1756.0239999999999</v>
      </c>
      <c r="DW343" s="93">
        <v>4077</v>
      </c>
      <c r="DX343" s="20">
        <v>22784.123214285712</v>
      </c>
      <c r="DY343" s="29">
        <v>276</v>
      </c>
      <c r="DZ343" s="1504">
        <v>44896</v>
      </c>
      <c r="EA343" s="19"/>
      <c r="EB343" s="93"/>
      <c r="EC343" s="20"/>
      <c r="ED343" s="29"/>
      <c r="EE343" s="1504">
        <v>44896</v>
      </c>
      <c r="EF343" s="19">
        <f t="shared" si="307"/>
        <v>24817</v>
      </c>
      <c r="EG343" s="93">
        <f t="shared" si="308"/>
        <v>20258</v>
      </c>
      <c r="EH343" s="93">
        <f t="shared" si="309"/>
        <v>56382</v>
      </c>
      <c r="EI343" s="214">
        <f t="shared" si="310"/>
        <v>11307</v>
      </c>
      <c r="EJ343" s="93">
        <f t="shared" si="311"/>
        <v>297.291</v>
      </c>
      <c r="EK343" s="93">
        <f t="shared" si="312"/>
        <v>139.881</v>
      </c>
      <c r="EL343" s="93">
        <f t="shared" si="313"/>
        <v>7.56</v>
      </c>
      <c r="EM343" s="93">
        <f t="shared" si="314"/>
        <v>8.7789999999999999</v>
      </c>
      <c r="EN343" s="20">
        <f t="shared" si="317"/>
        <v>453.51100000000002</v>
      </c>
      <c r="EO343" s="29">
        <v>276</v>
      </c>
      <c r="EP343" s="1504">
        <v>44896</v>
      </c>
      <c r="EQ343" s="19">
        <v>23664</v>
      </c>
      <c r="ER343" s="93">
        <v>19131</v>
      </c>
      <c r="ES343" s="93">
        <f t="shared" si="315"/>
        <v>42795</v>
      </c>
      <c r="ET343" s="214">
        <v>11016</v>
      </c>
      <c r="EU343" s="93">
        <v>295.61</v>
      </c>
      <c r="EV343" s="93">
        <v>134.416</v>
      </c>
      <c r="EW343" s="93">
        <v>7.56</v>
      </c>
      <c r="EX343" s="93">
        <v>8.7789999999999999</v>
      </c>
      <c r="EY343" s="20">
        <f t="shared" si="321"/>
        <v>446.36500000000001</v>
      </c>
      <c r="EZ343" s="29">
        <v>276</v>
      </c>
      <c r="FA343" s="1504">
        <v>44896</v>
      </c>
      <c r="FB343" s="29">
        <v>1153</v>
      </c>
      <c r="FC343" s="29">
        <v>1127</v>
      </c>
      <c r="FD343" s="29">
        <f t="shared" si="316"/>
        <v>2280</v>
      </c>
      <c r="FE343" s="29">
        <v>291</v>
      </c>
      <c r="FF343" s="29">
        <v>1.681</v>
      </c>
      <c r="FG343" s="29">
        <v>5.4649999999999999</v>
      </c>
      <c r="FH343" s="29">
        <v>0</v>
      </c>
      <c r="FI343" s="29">
        <v>0</v>
      </c>
      <c r="FJ343" s="29">
        <f t="shared" si="326"/>
        <v>7.1459999999999999</v>
      </c>
      <c r="FK343" s="29">
        <v>276</v>
      </c>
      <c r="FL343" s="1504">
        <v>44896</v>
      </c>
      <c r="FM343" s="19">
        <v>123.24</v>
      </c>
      <c r="FN343" s="93">
        <v>138.97999999999999</v>
      </c>
      <c r="FO343" s="93">
        <v>148.84</v>
      </c>
      <c r="FP343" s="93">
        <v>101.71</v>
      </c>
      <c r="FQ343" s="93">
        <v>105.63</v>
      </c>
      <c r="FR343" s="93">
        <v>102.08</v>
      </c>
      <c r="FS343" s="93">
        <v>100.66</v>
      </c>
      <c r="FT343" s="93">
        <v>106.33</v>
      </c>
      <c r="FU343" s="93">
        <v>98.74</v>
      </c>
      <c r="FV343" s="93">
        <v>102.04</v>
      </c>
      <c r="FW343" s="93">
        <v>114.07</v>
      </c>
      <c r="FX343" s="93">
        <v>109</v>
      </c>
      <c r="FY343" s="93">
        <v>101.4</v>
      </c>
      <c r="FZ343" s="29">
        <v>276</v>
      </c>
      <c r="GA343" s="1504">
        <v>44896</v>
      </c>
      <c r="GB343" s="19">
        <v>123.24</v>
      </c>
      <c r="GC343" s="93">
        <v>109.63</v>
      </c>
      <c r="GD343" s="93">
        <v>129.72999999999999</v>
      </c>
      <c r="GE343" s="93">
        <v>109.05</v>
      </c>
      <c r="GF343" s="93">
        <v>154.32</v>
      </c>
      <c r="GG343" s="93">
        <v>110.78</v>
      </c>
      <c r="GH343" s="93">
        <v>146.63999999999999</v>
      </c>
      <c r="GI343" s="93">
        <v>111.53</v>
      </c>
      <c r="GJ343" s="93">
        <v>105.79</v>
      </c>
      <c r="GK343" s="93">
        <v>100.33</v>
      </c>
      <c r="GL343" s="93">
        <v>134.08000000000001</v>
      </c>
      <c r="GM343" s="93">
        <v>101.85</v>
      </c>
      <c r="GN343" s="20">
        <v>105.79</v>
      </c>
      <c r="GO343" s="29">
        <v>276</v>
      </c>
      <c r="GP343" s="1504">
        <v>44896</v>
      </c>
      <c r="GQ343" s="19">
        <v>457</v>
      </c>
      <c r="GR343" s="93">
        <v>341</v>
      </c>
      <c r="GS343" s="93">
        <v>320</v>
      </c>
      <c r="GT343" s="93">
        <v>289</v>
      </c>
      <c r="GU343" s="93">
        <v>410</v>
      </c>
      <c r="GV343" s="20">
        <v>1145</v>
      </c>
      <c r="GW343" s="19">
        <v>499</v>
      </c>
      <c r="GX343" s="93">
        <v>677</v>
      </c>
      <c r="GY343" s="93">
        <v>553</v>
      </c>
      <c r="GZ343" s="93">
        <v>781</v>
      </c>
      <c r="HA343" s="93">
        <v>415</v>
      </c>
      <c r="HB343" s="20">
        <v>1083</v>
      </c>
      <c r="HC343" s="19">
        <v>2479</v>
      </c>
      <c r="HD343" s="93">
        <v>2628</v>
      </c>
      <c r="HE343" s="93">
        <v>2758</v>
      </c>
      <c r="HF343" s="93">
        <v>3150</v>
      </c>
      <c r="HG343" s="93">
        <v>3495</v>
      </c>
      <c r="HH343" s="20">
        <v>3765</v>
      </c>
      <c r="HI343" s="19"/>
      <c r="HJ343" s="93">
        <v>958</v>
      </c>
      <c r="HK343" s="93">
        <v>2157</v>
      </c>
      <c r="HL343" s="93">
        <v>1063</v>
      </c>
      <c r="HM343" s="93">
        <v>1331</v>
      </c>
      <c r="HN343" s="20">
        <v>2544</v>
      </c>
      <c r="HO343" s="219">
        <v>245</v>
      </c>
      <c r="HP343" s="20">
        <v>70</v>
      </c>
      <c r="HQ343" s="25">
        <v>202</v>
      </c>
      <c r="HR343" s="29">
        <v>276</v>
      </c>
      <c r="HS343" s="1504">
        <v>44896</v>
      </c>
      <c r="HT343" s="179">
        <v>426</v>
      </c>
      <c r="HU343" s="99">
        <v>407</v>
      </c>
      <c r="HV343" s="99">
        <v>395</v>
      </c>
      <c r="HW343" s="99">
        <v>332</v>
      </c>
      <c r="HX343" s="99">
        <v>337</v>
      </c>
      <c r="HY343" s="99">
        <v>370</v>
      </c>
      <c r="HZ343" s="99">
        <v>356</v>
      </c>
      <c r="IA343" s="132">
        <v>401</v>
      </c>
      <c r="IB343" s="19">
        <v>402</v>
      </c>
      <c r="IC343" s="93">
        <v>214</v>
      </c>
      <c r="ID343" s="93">
        <v>304</v>
      </c>
      <c r="IE343" s="1927">
        <f>(((IE342/IE341-1)+(IE341/IE340-1))^1/2+1)*IE342</f>
        <v>490.88892534233923</v>
      </c>
      <c r="IF343" s="93">
        <v>284</v>
      </c>
      <c r="IG343" s="20">
        <v>213</v>
      </c>
      <c r="IH343" s="19">
        <v>224</v>
      </c>
      <c r="II343" s="93">
        <v>281</v>
      </c>
      <c r="IJ343" s="93">
        <v>264</v>
      </c>
      <c r="IK343" s="93">
        <v>243</v>
      </c>
      <c r="IL343" s="93">
        <v>225</v>
      </c>
      <c r="IM343" s="93">
        <v>241</v>
      </c>
      <c r="IN343" s="93"/>
      <c r="IO343" s="20">
        <v>241</v>
      </c>
      <c r="IP343" s="29">
        <v>276</v>
      </c>
      <c r="IQ343" s="19">
        <v>285</v>
      </c>
      <c r="IR343" s="93">
        <v>162</v>
      </c>
      <c r="IS343" s="93">
        <v>213</v>
      </c>
      <c r="IT343" s="93">
        <v>221</v>
      </c>
      <c r="IU343" s="93">
        <v>250</v>
      </c>
      <c r="IV343" s="20">
        <v>169</v>
      </c>
      <c r="IW343" s="29">
        <v>276</v>
      </c>
      <c r="IX343" s="19">
        <v>420</v>
      </c>
      <c r="IY343" s="93">
        <v>425</v>
      </c>
      <c r="IZ343" s="93">
        <v>450</v>
      </c>
      <c r="JA343" s="93">
        <v>450</v>
      </c>
      <c r="JB343" s="93"/>
      <c r="JC343" s="93">
        <v>425</v>
      </c>
      <c r="JD343" s="93">
        <v>460</v>
      </c>
      <c r="JE343" s="20">
        <v>500</v>
      </c>
      <c r="JF343" s="29">
        <v>276</v>
      </c>
      <c r="JG343" s="19">
        <v>327</v>
      </c>
      <c r="JH343" s="93">
        <v>334</v>
      </c>
      <c r="JI343" s="93">
        <v>261</v>
      </c>
      <c r="JJ343" s="93">
        <v>308</v>
      </c>
      <c r="JK343" s="93">
        <v>269</v>
      </c>
      <c r="JL343" s="93">
        <v>279</v>
      </c>
      <c r="JM343" s="93">
        <v>284</v>
      </c>
      <c r="JN343" s="20">
        <v>315</v>
      </c>
      <c r="JO343" s="29">
        <v>276</v>
      </c>
      <c r="JP343" s="19">
        <v>308</v>
      </c>
      <c r="JQ343" s="93">
        <v>148</v>
      </c>
      <c r="JR343" s="93">
        <v>217</v>
      </c>
      <c r="JS343" s="1927">
        <f>(((JS342/JS341-1)+(JS341/JS340-1))^1/2+1)*JS342</f>
        <v>403.2443899043663</v>
      </c>
      <c r="JT343" s="93">
        <v>305</v>
      </c>
      <c r="JU343" s="20">
        <v>163</v>
      </c>
      <c r="JV343" s="29">
        <v>276</v>
      </c>
      <c r="JW343" s="1504">
        <v>44896</v>
      </c>
      <c r="JX343" s="19"/>
      <c r="JY343" s="93"/>
      <c r="JZ343" s="93"/>
      <c r="KA343" s="93"/>
      <c r="KB343" s="93"/>
      <c r="KC343" s="93"/>
      <c r="KD343" s="20"/>
      <c r="KE343" s="29"/>
      <c r="KF343" s="19"/>
      <c r="KG343" s="93"/>
      <c r="KH343" s="93"/>
      <c r="KI343" s="93"/>
      <c r="KJ343" s="93"/>
      <c r="KK343" s="20"/>
      <c r="KL343" s="29"/>
      <c r="KM343" s="19"/>
      <c r="KN343" s="93"/>
      <c r="KO343" s="93"/>
      <c r="KP343" s="93"/>
      <c r="KQ343" s="93"/>
      <c r="KR343" s="20"/>
      <c r="KS343" s="29"/>
      <c r="KT343" s="19"/>
      <c r="KU343" s="93"/>
      <c r="KV343" s="93"/>
      <c r="KW343" s="93"/>
      <c r="KX343" s="93"/>
      <c r="KY343" s="20"/>
      <c r="KZ343" s="29"/>
      <c r="LA343" s="1504">
        <v>44896</v>
      </c>
      <c r="LB343" s="19"/>
      <c r="LC343" s="93"/>
      <c r="LD343" s="93"/>
      <c r="LE343" s="93"/>
      <c r="LF343" s="93"/>
      <c r="LG343" s="93"/>
      <c r="LH343" s="20"/>
      <c r="LI343" s="29"/>
      <c r="LJ343" s="19"/>
      <c r="LK343" s="93"/>
      <c r="LL343" s="93"/>
      <c r="LM343" s="93"/>
      <c r="LN343" s="93"/>
      <c r="LO343" s="20"/>
      <c r="LP343" s="29"/>
      <c r="LQ343" s="19"/>
      <c r="LR343" s="93">
        <v>188</v>
      </c>
      <c r="LS343" s="93">
        <v>463</v>
      </c>
      <c r="LT343" s="93">
        <v>663</v>
      </c>
      <c r="LU343" s="93">
        <v>1104</v>
      </c>
      <c r="LV343" s="93"/>
      <c r="LW343" s="93">
        <v>5</v>
      </c>
      <c r="LX343" s="93">
        <v>10</v>
      </c>
      <c r="LY343" s="93">
        <v>60</v>
      </c>
      <c r="LZ343" s="93"/>
      <c r="MA343" s="20"/>
      <c r="MB343" s="29">
        <v>276</v>
      </c>
      <c r="MC343" s="1504">
        <v>44896</v>
      </c>
      <c r="MD343" s="19">
        <v>2551.9444802460298</v>
      </c>
      <c r="ME343" s="93">
        <v>2288.2530338894558</v>
      </c>
      <c r="MF343" s="93">
        <v>2288.2530338894558</v>
      </c>
      <c r="MG343" s="93">
        <v>2052.4457756864558</v>
      </c>
      <c r="MH343" s="93">
        <v>723.20708317100002</v>
      </c>
      <c r="MI343" s="93">
        <v>18.236443629</v>
      </c>
      <c r="MJ343" s="93">
        <v>62.020125433155641</v>
      </c>
      <c r="MK343" s="93">
        <v>950.66698914430003</v>
      </c>
      <c r="ML343" s="93">
        <v>296.24677123899994</v>
      </c>
      <c r="MM343" s="93">
        <v>2.0683630700000002</v>
      </c>
      <c r="MN343" s="93">
        <v>235.80725820300006</v>
      </c>
      <c r="MO343" s="93">
        <v>5.1058066079999982</v>
      </c>
      <c r="MP343" s="93">
        <v>47.288769762999998</v>
      </c>
      <c r="MQ343" s="93">
        <v>4.4635998640000238</v>
      </c>
      <c r="MR343" s="93">
        <v>72.286867036000004</v>
      </c>
      <c r="MS343" s="93">
        <v>106.662214932</v>
      </c>
      <c r="MT343" s="93">
        <v>0</v>
      </c>
      <c r="MU343" s="93">
        <v>263.69144635657256</v>
      </c>
      <c r="MV343" s="93">
        <v>203.42640019557257</v>
      </c>
      <c r="MW343" s="93">
        <v>60.265046161000001</v>
      </c>
      <c r="MX343" s="93">
        <v>3617.0085714882512</v>
      </c>
      <c r="MY343" s="93">
        <v>3626.5257596342517</v>
      </c>
      <c r="MZ343" s="93">
        <v>2352.850690755</v>
      </c>
      <c r="NA343" s="93">
        <v>1009.122074191</v>
      </c>
      <c r="NB343" s="93">
        <v>209.66884892100001</v>
      </c>
      <c r="NC343" s="93">
        <v>229.58681870500001</v>
      </c>
      <c r="ND343" s="93">
        <v>196.28035046005124</v>
      </c>
      <c r="NE343" s="93">
        <v>33.306468244948768</v>
      </c>
      <c r="NF343" s="93">
        <v>904.47294893799994</v>
      </c>
      <c r="NG343" s="93">
        <v>3.3759375</v>
      </c>
      <c r="NH343" s="93">
        <v>113.89058710799999</v>
      </c>
      <c r="NI343" s="93">
        <v>0</v>
      </c>
      <c r="NJ343" s="93">
        <v>390.49002059999998</v>
      </c>
      <c r="NK343" s="93">
        <v>1273.6750688792515</v>
      </c>
      <c r="NL343" s="93">
        <v>871.3767186770001</v>
      </c>
      <c r="NM343" s="93">
        <v>4.8274209910000003</v>
      </c>
      <c r="NN343" s="93">
        <v>397.47092921125142</v>
      </c>
      <c r="NO343" s="93">
        <v>-9.5171881460000023</v>
      </c>
      <c r="NP343" s="93">
        <v>-1065.0640912422232</v>
      </c>
      <c r="NQ343" s="93">
        <v>-1328.7555375987959</v>
      </c>
      <c r="NR343" s="93">
        <v>-701.69778968254423</v>
      </c>
      <c r="NS343" s="93">
        <v>-931.28460838754427</v>
      </c>
      <c r="NT343" s="93">
        <v>-875.0708394262233</v>
      </c>
      <c r="NU343" s="93">
        <v>-1138.7622857827957</v>
      </c>
      <c r="NV343" s="93">
        <v>871.75690127339431</v>
      </c>
      <c r="NW343" s="93">
        <v>157.52256306635326</v>
      </c>
      <c r="NX343" s="93">
        <v>251.40920854567898</v>
      </c>
      <c r="NY343" s="93">
        <v>-93.886645479325693</v>
      </c>
      <c r="NZ343" s="93">
        <v>0</v>
      </c>
      <c r="OA343" s="93">
        <v>714.23433820704099</v>
      </c>
      <c r="OB343" s="93">
        <v>622.50737603590005</v>
      </c>
      <c r="OC343" s="93">
        <v>91.726962171141182</v>
      </c>
      <c r="OD343" s="20">
        <v>3.3139381528289897</v>
      </c>
      <c r="OE343" s="29">
        <v>276</v>
      </c>
      <c r="OF343" s="1504">
        <v>44896</v>
      </c>
      <c r="OG343" s="19"/>
      <c r="OH343" s="93">
        <v>828.74838173000012</v>
      </c>
      <c r="OI343" s="93">
        <v>2813.9410329239995</v>
      </c>
      <c r="OJ343" s="93">
        <v>0.42652169400000001</v>
      </c>
      <c r="OK343" s="93">
        <v>2511.9139999999998</v>
      </c>
      <c r="OL343" s="93">
        <v>301.60051123</v>
      </c>
      <c r="OM343" s="93">
        <v>3642.6894146539998</v>
      </c>
      <c r="ON343" s="93">
        <v>2074.1841083190002</v>
      </c>
      <c r="OO343" s="93">
        <v>5716.873522973</v>
      </c>
      <c r="OP343" s="93"/>
      <c r="OQ343" s="93">
        <v>1972.0706759070001</v>
      </c>
      <c r="OR343" s="93">
        <v>-624.09032409300016</v>
      </c>
      <c r="OS343" s="93">
        <v>2596.1610000000001</v>
      </c>
      <c r="OT343" s="93">
        <v>4396.1364443080001</v>
      </c>
      <c r="OU343" s="93">
        <v>142.06168322100001</v>
      </c>
      <c r="OV343" s="93">
        <v>60.571683221000008</v>
      </c>
      <c r="OW343" s="93">
        <v>81.490000000000009</v>
      </c>
      <c r="OX343" s="93">
        <v>4254.0747610870003</v>
      </c>
      <c r="OY343" s="93">
        <v>9.1537610869999995</v>
      </c>
      <c r="OZ343" s="93">
        <v>4244.9210000000003</v>
      </c>
      <c r="PA343" s="93">
        <v>1187.8806726909993</v>
      </c>
      <c r="PB343" s="93">
        <v>-536.54707544899986</v>
      </c>
      <c r="PC343" s="20">
        <v>5716.8735229730009</v>
      </c>
      <c r="PD343" s="29">
        <v>276</v>
      </c>
      <c r="PE343" s="19"/>
      <c r="PF343" s="93">
        <v>-624.09032409300016</v>
      </c>
      <c r="PG343" s="93">
        <v>168.74831944099998</v>
      </c>
      <c r="PH343" s="93">
        <v>792.83864353400008</v>
      </c>
      <c r="PI343" s="93">
        <v>1812.489944057</v>
      </c>
      <c r="PJ343" s="93">
        <v>67.136885559000007</v>
      </c>
      <c r="PK343" s="93">
        <v>276.05598233500001</v>
      </c>
      <c r="PL343" s="93">
        <v>208.919096776</v>
      </c>
      <c r="PM343" s="93">
        <v>9.1537610869999995</v>
      </c>
      <c r="PN343" s="93">
        <v>3.6619999999999999</v>
      </c>
      <c r="PO343" s="93">
        <v>0</v>
      </c>
      <c r="PP343" s="93">
        <v>0</v>
      </c>
      <c r="PQ343" s="93">
        <v>5.4917610870000004</v>
      </c>
      <c r="PR343" s="93">
        <v>1262.7449119200003</v>
      </c>
      <c r="PS343" s="93">
        <v>967.05458406800005</v>
      </c>
      <c r="PT343" s="93">
        <v>294.930697839</v>
      </c>
      <c r="PU343" s="93">
        <v>0.75963001299999999</v>
      </c>
      <c r="PV343" s="93">
        <v>0</v>
      </c>
      <c r="PW343" s="93">
        <v>0.77700933500000002</v>
      </c>
      <c r="PX343" s="93">
        <v>0</v>
      </c>
      <c r="PY343" s="93">
        <v>0</v>
      </c>
      <c r="PZ343" s="93">
        <v>0.77700933500000002</v>
      </c>
      <c r="QA343" s="93">
        <v>0</v>
      </c>
      <c r="QB343" s="93">
        <v>0</v>
      </c>
      <c r="QC343" s="93">
        <v>0</v>
      </c>
      <c r="QD343" s="93">
        <v>0.50266335600000001</v>
      </c>
      <c r="QE343" s="20">
        <v>0.66568199899998581</v>
      </c>
      <c r="QF343" s="1739">
        <v>276</v>
      </c>
      <c r="QG343" s="19"/>
      <c r="QH343" s="93">
        <v>2596.1610000000001</v>
      </c>
      <c r="QI343" s="93">
        <v>2968.3040000000001</v>
      </c>
      <c r="QJ343" s="93">
        <v>-372.14300000000003</v>
      </c>
      <c r="QK343" s="93">
        <v>510.38700000000006</v>
      </c>
      <c r="QL343" s="93">
        <v>131.74100000000001</v>
      </c>
      <c r="QM343" s="93">
        <v>378.64600000000002</v>
      </c>
      <c r="QN343" s="93">
        <v>0</v>
      </c>
      <c r="QO343" s="93">
        <v>81.490000000000009</v>
      </c>
      <c r="QP343" s="93">
        <v>1019.239</v>
      </c>
      <c r="QQ343" s="93">
        <v>-937.74900000000002</v>
      </c>
      <c r="QR343" s="93">
        <v>4244.9210000000003</v>
      </c>
      <c r="QS343" s="93">
        <v>59.407000000000004</v>
      </c>
      <c r="QT343" s="93">
        <v>154.69300000000001</v>
      </c>
      <c r="QU343" s="93">
        <v>359.95600000000002</v>
      </c>
      <c r="QV343" s="93">
        <v>3670.8649999999998</v>
      </c>
      <c r="QW343" s="93"/>
      <c r="QX343" s="93">
        <v>1670.4850000000001</v>
      </c>
      <c r="QY343" s="93">
        <v>2511.9140000000002</v>
      </c>
      <c r="QZ343" s="93">
        <v>2073.8510000000001</v>
      </c>
      <c r="RA343" s="93">
        <v>0</v>
      </c>
      <c r="RB343" s="93">
        <v>289.28999999999996</v>
      </c>
      <c r="RC343" s="93">
        <v>0</v>
      </c>
      <c r="RD343" s="93">
        <v>59.491999999999997</v>
      </c>
      <c r="RE343" s="93">
        <v>0</v>
      </c>
      <c r="RF343" s="93">
        <v>0</v>
      </c>
      <c r="RG343" s="93">
        <v>837.81899999999928</v>
      </c>
      <c r="RH343" s="93">
        <v>-9.8920000000000528</v>
      </c>
      <c r="RI343" s="93"/>
      <c r="RJ343" s="93"/>
      <c r="RK343" s="93"/>
      <c r="RL343" s="93"/>
      <c r="RM343" s="20"/>
      <c r="RN343" s="29">
        <v>276</v>
      </c>
      <c r="RO343" s="19"/>
      <c r="RP343" s="20"/>
      <c r="RQ343" s="29"/>
      <c r="RR343" s="20"/>
      <c r="RS343" s="29"/>
      <c r="RT343" s="1504">
        <v>44896</v>
      </c>
      <c r="RU343" s="19">
        <v>1482</v>
      </c>
      <c r="RV343" s="20">
        <v>42</v>
      </c>
      <c r="RW343" s="29">
        <v>276</v>
      </c>
      <c r="RX343" s="1504">
        <v>44896</v>
      </c>
      <c r="RY343" s="29"/>
      <c r="RZ343" s="20"/>
      <c r="SA343" s="29"/>
      <c r="SB343" s="29"/>
    </row>
    <row r="344" spans="1:496">
      <c r="A344" s="41">
        <f t="shared" si="238"/>
        <v>2023</v>
      </c>
      <c r="B344" s="1504">
        <v>44927</v>
      </c>
      <c r="C344" s="1813">
        <v>1955</v>
      </c>
      <c r="D344" s="1814">
        <v>32065</v>
      </c>
      <c r="E344" s="1814">
        <v>62</v>
      </c>
      <c r="F344" s="1815"/>
      <c r="G344" s="1814">
        <v>90933</v>
      </c>
      <c r="H344" s="1814">
        <v>24</v>
      </c>
      <c r="I344" s="1814">
        <v>30997</v>
      </c>
      <c r="J344" s="1816">
        <v>16344</v>
      </c>
      <c r="K344" s="1807">
        <f t="shared" si="330"/>
        <v>172380</v>
      </c>
      <c r="L344" s="25">
        <v>277</v>
      </c>
      <c r="M344" s="97"/>
      <c r="N344" s="1504">
        <v>44927</v>
      </c>
      <c r="O344" s="19">
        <v>1299</v>
      </c>
      <c r="P344" s="93">
        <v>1032</v>
      </c>
      <c r="Q344" s="93">
        <v>11975</v>
      </c>
      <c r="R344" s="93">
        <v>2914</v>
      </c>
      <c r="S344" s="93">
        <v>2347</v>
      </c>
      <c r="T344" s="93">
        <v>1052</v>
      </c>
      <c r="U344" s="93">
        <v>645</v>
      </c>
      <c r="V344" s="93">
        <v>412</v>
      </c>
      <c r="W344" s="93">
        <v>5654</v>
      </c>
      <c r="X344" s="93">
        <v>960</v>
      </c>
      <c r="Y344" s="93">
        <v>822</v>
      </c>
      <c r="Z344" s="93">
        <v>1549</v>
      </c>
      <c r="AA344" s="93">
        <v>1404</v>
      </c>
      <c r="AB344" s="20">
        <f t="shared" si="327"/>
        <v>32065</v>
      </c>
      <c r="AC344" s="25">
        <v>277</v>
      </c>
      <c r="AD344" s="97"/>
      <c r="AE344" s="1504">
        <v>44927</v>
      </c>
      <c r="AF344" s="19">
        <v>2487</v>
      </c>
      <c r="AG344" s="93">
        <v>1243</v>
      </c>
      <c r="AH344" s="93">
        <v>3818</v>
      </c>
      <c r="AI344" s="93">
        <v>4555</v>
      </c>
      <c r="AJ344" s="93">
        <v>2260</v>
      </c>
      <c r="AK344" s="93">
        <v>1983</v>
      </c>
      <c r="AL344" s="93">
        <v>1377</v>
      </c>
      <c r="AM344" s="93">
        <v>477</v>
      </c>
      <c r="AN344" s="93">
        <v>7930</v>
      </c>
      <c r="AO344" s="93">
        <v>1388</v>
      </c>
      <c r="AP344" s="93">
        <v>1113</v>
      </c>
      <c r="AQ344" s="93">
        <v>1160</v>
      </c>
      <c r="AR344" s="93">
        <v>1206</v>
      </c>
      <c r="AS344" s="132">
        <f t="shared" si="323"/>
        <v>30997</v>
      </c>
      <c r="AT344" s="25">
        <v>277</v>
      </c>
      <c r="AU344" s="97"/>
      <c r="AV344" s="1504">
        <v>44927</v>
      </c>
      <c r="AW344" s="19">
        <v>8879</v>
      </c>
      <c r="AX344" s="93">
        <v>3636</v>
      </c>
      <c r="AY344" s="93">
        <v>3482</v>
      </c>
      <c r="AZ344" s="93">
        <v>13922</v>
      </c>
      <c r="BA344" s="93">
        <v>7542</v>
      </c>
      <c r="BB344" s="93">
        <v>6969</v>
      </c>
      <c r="BC344" s="93">
        <v>4122</v>
      </c>
      <c r="BD344" s="93">
        <v>2892</v>
      </c>
      <c r="BE344" s="93">
        <v>15612</v>
      </c>
      <c r="BF344" s="93">
        <v>5933</v>
      </c>
      <c r="BG344" s="93">
        <v>5732</v>
      </c>
      <c r="BH344" s="93">
        <v>5933</v>
      </c>
      <c r="BI344" s="93">
        <v>6279</v>
      </c>
      <c r="BJ344" s="132">
        <f t="shared" si="324"/>
        <v>90933</v>
      </c>
      <c r="BK344" s="25">
        <v>277</v>
      </c>
      <c r="BL344" s="97"/>
      <c r="BM344" s="1504">
        <v>44927</v>
      </c>
      <c r="BN344" s="733">
        <v>107.52500000000001</v>
      </c>
      <c r="BO344" s="570">
        <v>4424.97</v>
      </c>
      <c r="BP344" s="570">
        <v>12.4</v>
      </c>
      <c r="BQ344" s="570">
        <v>818.39700000000005</v>
      </c>
      <c r="BR344" s="570">
        <v>4.2</v>
      </c>
      <c r="BS344" s="570">
        <v>309.97000000000003</v>
      </c>
      <c r="BT344" s="570">
        <v>457.63200000000001</v>
      </c>
      <c r="BU344" s="132">
        <f t="shared" si="325"/>
        <v>6135.0939999999991</v>
      </c>
      <c r="BV344" s="25">
        <v>277</v>
      </c>
      <c r="BW344" s="97"/>
      <c r="BX344" s="1504">
        <v>44927</v>
      </c>
      <c r="BY344" s="19">
        <v>608.52</v>
      </c>
      <c r="BZ344" s="93">
        <v>655.95699999999999</v>
      </c>
      <c r="CA344" s="93">
        <v>658.44</v>
      </c>
      <c r="CB344" s="93">
        <v>35.609000000000002</v>
      </c>
      <c r="CC344" s="93">
        <v>53.322000000000003</v>
      </c>
      <c r="CD344" s="25">
        <v>277</v>
      </c>
      <c r="CE344" s="97"/>
      <c r="CF344" s="1504">
        <v>44927</v>
      </c>
      <c r="CG344" s="733">
        <v>2.211013398</v>
      </c>
      <c r="CH344" s="570">
        <v>1897.71</v>
      </c>
      <c r="CI344" s="1945">
        <v>80.41</v>
      </c>
      <c r="CJ344" s="734">
        <v>83.09</v>
      </c>
      <c r="CK344" s="733">
        <v>484.64</v>
      </c>
      <c r="CL344" s="570">
        <v>302.77535119999999</v>
      </c>
      <c r="CM344" s="568">
        <v>0.41601179399999999</v>
      </c>
      <c r="CN344" s="568">
        <v>0.80468629999999997</v>
      </c>
      <c r="CO344" s="570">
        <v>380.36</v>
      </c>
      <c r="CP344" s="734">
        <v>4.6517482000000001</v>
      </c>
      <c r="CQ344" s="1945">
        <v>1970.67</v>
      </c>
      <c r="CR344" s="570">
        <v>2.3275000000000001</v>
      </c>
      <c r="CS344" s="570">
        <v>1.63</v>
      </c>
      <c r="CT344" s="570">
        <v>300</v>
      </c>
      <c r="CU344" s="570">
        <v>122.23</v>
      </c>
      <c r="CV344" s="1539">
        <v>3309.81</v>
      </c>
      <c r="CW344" s="29">
        <v>277</v>
      </c>
      <c r="CX344" s="41">
        <f t="shared" si="319"/>
        <v>2023</v>
      </c>
      <c r="CY344" s="1504">
        <v>44927</v>
      </c>
      <c r="CZ344" s="19"/>
      <c r="DA344" s="93"/>
      <c r="DB344" s="93"/>
      <c r="DC344" s="93"/>
      <c r="DD344" s="93"/>
      <c r="DE344" s="20"/>
      <c r="DF344" s="29"/>
      <c r="DG344" s="1504">
        <v>44927</v>
      </c>
      <c r="DH344" s="419">
        <f t="shared" ref="DH344:DN344" si="334">(((DH343/DH342-1)+(DH342/DH341-1))^1/2+1)*DH343</f>
        <v>511204.80119126331</v>
      </c>
      <c r="DI344" s="100">
        <f t="shared" si="334"/>
        <v>5548523.6086238604</v>
      </c>
      <c r="DJ344" s="100">
        <f t="shared" si="334"/>
        <v>306118.33532856352</v>
      </c>
      <c r="DK344" s="100">
        <f t="shared" si="334"/>
        <v>22798.860629254374</v>
      </c>
      <c r="DL344" s="100">
        <f t="shared" si="334"/>
        <v>640421.2533370289</v>
      </c>
      <c r="DM344" s="100">
        <f t="shared" si="334"/>
        <v>5858.9903756749736</v>
      </c>
      <c r="DN344" s="306">
        <f t="shared" si="334"/>
        <v>1655087.6431710056</v>
      </c>
      <c r="DO344" s="1932">
        <f t="shared" si="282"/>
        <v>8178808.6914653881</v>
      </c>
      <c r="DP344" s="29">
        <v>277</v>
      </c>
      <c r="DQ344" s="1504">
        <v>44927</v>
      </c>
      <c r="DR344" s="19">
        <v>81887.070000000007</v>
      </c>
      <c r="DS344" s="93">
        <v>705</v>
      </c>
      <c r="DT344" s="93">
        <v>67231.45</v>
      </c>
      <c r="DU344" s="93">
        <v>3485.1480000000001</v>
      </c>
      <c r="DV344" s="93">
        <v>24338.406999999999</v>
      </c>
      <c r="DW344" s="93">
        <v>3922</v>
      </c>
      <c r="DX344" s="20">
        <v>12874.52</v>
      </c>
      <c r="DY344" s="29">
        <v>277</v>
      </c>
      <c r="DZ344" s="1504">
        <v>44927</v>
      </c>
      <c r="EA344" s="19"/>
      <c r="EB344" s="93"/>
      <c r="EC344" s="20"/>
      <c r="ED344" s="29"/>
      <c r="EE344" s="1504">
        <v>44927</v>
      </c>
      <c r="EF344" s="19">
        <f t="shared" ref="EF344:EG352" si="335">EQ344+FB344</f>
        <v>18171</v>
      </c>
      <c r="EG344" s="93">
        <f t="shared" si="335"/>
        <v>20010</v>
      </c>
      <c r="EH344" s="93">
        <f t="shared" ref="EH344:EH352" si="336">EF344+EG344+EI344</f>
        <v>49181</v>
      </c>
      <c r="EI344" s="214">
        <f t="shared" ref="EI344:EM352" si="337">ET344+FE344</f>
        <v>11000</v>
      </c>
      <c r="EJ344" s="93">
        <f t="shared" si="337"/>
        <v>191.99799999999999</v>
      </c>
      <c r="EK344" s="93">
        <f t="shared" si="337"/>
        <v>141.417</v>
      </c>
      <c r="EL344" s="93">
        <f t="shared" si="337"/>
        <v>5.556</v>
      </c>
      <c r="EM344" s="93">
        <f t="shared" si="337"/>
        <v>5.3419999999999996</v>
      </c>
      <c r="EN344" s="20">
        <f t="shared" ref="EN344:EN352" si="338">SUM(EJ344:EM344)</f>
        <v>344.31299999999993</v>
      </c>
      <c r="EO344" s="29">
        <v>277</v>
      </c>
      <c r="EP344" s="1504">
        <v>44927</v>
      </c>
      <c r="EQ344" s="19">
        <v>17054</v>
      </c>
      <c r="ER344" s="93">
        <v>18937</v>
      </c>
      <c r="ES344" s="93">
        <f t="shared" si="315"/>
        <v>35991</v>
      </c>
      <c r="ET344" s="214">
        <v>10687</v>
      </c>
      <c r="EU344" s="93">
        <v>191.99799999999999</v>
      </c>
      <c r="EV344" s="93">
        <v>141.417</v>
      </c>
      <c r="EW344" s="93">
        <v>5.556</v>
      </c>
      <c r="EX344" s="93">
        <v>5.3419999999999996</v>
      </c>
      <c r="EY344" s="20">
        <f>SUM(EU344:EX344)</f>
        <v>344.31299999999993</v>
      </c>
      <c r="EZ344" s="29">
        <v>277</v>
      </c>
      <c r="FA344" s="1504">
        <v>44927</v>
      </c>
      <c r="FB344" s="1949">
        <v>1117</v>
      </c>
      <c r="FC344" s="29">
        <v>1073</v>
      </c>
      <c r="FD344" s="29">
        <f t="shared" si="316"/>
        <v>2190</v>
      </c>
      <c r="FE344" s="29">
        <v>313</v>
      </c>
      <c r="FF344" s="29">
        <v>0</v>
      </c>
      <c r="FG344" s="29">
        <v>0</v>
      </c>
      <c r="FH344" s="29">
        <v>0</v>
      </c>
      <c r="FI344" s="29">
        <v>0</v>
      </c>
      <c r="FJ344" s="29">
        <f t="shared" si="326"/>
        <v>0</v>
      </c>
      <c r="FK344" s="29">
        <v>277</v>
      </c>
      <c r="FL344" s="1504">
        <v>44927</v>
      </c>
      <c r="FM344" s="733">
        <v>121</v>
      </c>
      <c r="FN344" s="570">
        <v>133.97999999999999</v>
      </c>
      <c r="FO344" s="570">
        <v>156.78</v>
      </c>
      <c r="FP344" s="570">
        <v>101.71</v>
      </c>
      <c r="FQ344" s="570">
        <v>108.87</v>
      </c>
      <c r="FR344" s="570">
        <v>102.08</v>
      </c>
      <c r="FS344" s="570">
        <v>100.66</v>
      </c>
      <c r="FT344" s="570">
        <v>106.33</v>
      </c>
      <c r="FU344" s="570">
        <v>98.74</v>
      </c>
      <c r="FV344" s="570">
        <v>102.04</v>
      </c>
      <c r="FW344" s="570">
        <v>114.07</v>
      </c>
      <c r="FX344" s="570">
        <v>109.1</v>
      </c>
      <c r="FY344" s="570">
        <v>101.4</v>
      </c>
      <c r="FZ344" s="29">
        <v>277</v>
      </c>
      <c r="GA344" s="1504">
        <v>44927</v>
      </c>
      <c r="GB344" s="733">
        <v>121</v>
      </c>
      <c r="GC344" s="570">
        <v>109.93</v>
      </c>
      <c r="GD344" s="93">
        <v>126.46</v>
      </c>
      <c r="GE344" s="570">
        <v>112.56</v>
      </c>
      <c r="GF344" s="570">
        <v>146.38</v>
      </c>
      <c r="GG344" s="570">
        <v>111.19</v>
      </c>
      <c r="GH344" s="570">
        <v>141.38</v>
      </c>
      <c r="GI344" s="570">
        <v>111.39</v>
      </c>
      <c r="GJ344" s="570">
        <v>105.84</v>
      </c>
      <c r="GK344" s="570">
        <v>100.33</v>
      </c>
      <c r="GL344" s="570">
        <v>130.87</v>
      </c>
      <c r="GM344" s="570">
        <v>101.87</v>
      </c>
      <c r="GN344" s="734">
        <v>105.84</v>
      </c>
      <c r="GO344" s="29">
        <v>277</v>
      </c>
      <c r="GP344" s="1504">
        <v>44927</v>
      </c>
      <c r="GQ344" s="19">
        <v>415</v>
      </c>
      <c r="GR344" s="93">
        <v>338</v>
      </c>
      <c r="GS344" s="93">
        <v>313</v>
      </c>
      <c r="GT344" s="93">
        <v>281</v>
      </c>
      <c r="GU344" s="93">
        <v>406</v>
      </c>
      <c r="GV344" s="20">
        <v>1427</v>
      </c>
      <c r="GW344" s="19">
        <v>449</v>
      </c>
      <c r="GX344" s="93">
        <v>680</v>
      </c>
      <c r="GY344" s="93">
        <v>507</v>
      </c>
      <c r="GZ344" s="93">
        <v>451</v>
      </c>
      <c r="HA344" s="93">
        <v>174</v>
      </c>
      <c r="HB344" s="20">
        <v>1041</v>
      </c>
      <c r="HC344" s="19">
        <v>2613</v>
      </c>
      <c r="HD344" s="93">
        <v>2796</v>
      </c>
      <c r="HE344" s="93">
        <v>2879</v>
      </c>
      <c r="HF344" s="93">
        <v>3150</v>
      </c>
      <c r="HG344" s="93">
        <v>3958</v>
      </c>
      <c r="HH344" s="20">
        <v>4074</v>
      </c>
      <c r="HI344" s="19"/>
      <c r="HJ344" s="93">
        <v>1003</v>
      </c>
      <c r="HK344" s="93">
        <v>2470</v>
      </c>
      <c r="HL344" s="93">
        <v>1147</v>
      </c>
      <c r="HM344" s="93">
        <v>1294</v>
      </c>
      <c r="HN344" s="20">
        <v>2672</v>
      </c>
      <c r="HO344" s="219">
        <v>295</v>
      </c>
      <c r="HP344" s="20">
        <v>70</v>
      </c>
      <c r="HQ344" s="25">
        <v>197</v>
      </c>
      <c r="HR344" s="29">
        <v>277</v>
      </c>
      <c r="HS344" s="1504">
        <v>44927</v>
      </c>
      <c r="HT344" s="19"/>
      <c r="HU344" s="93"/>
      <c r="HV344" s="93"/>
      <c r="HW344" s="93"/>
      <c r="HX344" s="93"/>
      <c r="HY344" s="93"/>
      <c r="HZ344" s="93"/>
      <c r="IA344" s="20"/>
      <c r="IB344" s="19"/>
      <c r="IC344" s="93"/>
      <c r="ID344" s="93"/>
      <c r="IE344" s="93"/>
      <c r="IF344" s="93"/>
      <c r="IG344" s="20"/>
      <c r="IH344" s="19"/>
      <c r="II344" s="93"/>
      <c r="IJ344" s="93"/>
      <c r="IK344" s="93"/>
      <c r="IL344" s="93"/>
      <c r="IM344" s="93"/>
      <c r="IN344" s="93"/>
      <c r="IO344" s="20"/>
      <c r="IP344" s="29"/>
      <c r="IQ344" s="19"/>
      <c r="IR344" s="93"/>
      <c r="IS344" s="93"/>
      <c r="IT344" s="93"/>
      <c r="IU344" s="93"/>
      <c r="IV344" s="20"/>
      <c r="IW344" s="29"/>
      <c r="IX344" s="19"/>
      <c r="IY344" s="93"/>
      <c r="IZ344" s="93"/>
      <c r="JA344" s="93"/>
      <c r="JB344" s="93"/>
      <c r="JC344" s="93"/>
      <c r="JD344" s="93"/>
      <c r="JE344" s="20"/>
      <c r="JF344" s="29"/>
      <c r="JG344" s="19"/>
      <c r="JH344" s="93"/>
      <c r="JI344" s="93"/>
      <c r="JJ344" s="93"/>
      <c r="JK344" s="93"/>
      <c r="JL344" s="93"/>
      <c r="JM344" s="93"/>
      <c r="JN344" s="20"/>
      <c r="JO344" s="29"/>
      <c r="JP344" s="19"/>
      <c r="JQ344" s="93"/>
      <c r="JR344" s="93"/>
      <c r="JS344" s="93"/>
      <c r="JT344" s="93"/>
      <c r="JU344" s="20"/>
      <c r="JV344" s="29"/>
      <c r="JW344" s="1504">
        <v>44927</v>
      </c>
      <c r="JX344" s="19"/>
      <c r="JY344" s="93"/>
      <c r="JZ344" s="93"/>
      <c r="KA344" s="93"/>
      <c r="KB344" s="93"/>
      <c r="KC344" s="93"/>
      <c r="KD344" s="20"/>
      <c r="KE344" s="29"/>
      <c r="KF344" s="19"/>
      <c r="KG344" s="93"/>
      <c r="KH344" s="93"/>
      <c r="KI344" s="93"/>
      <c r="KJ344" s="93"/>
      <c r="KK344" s="20"/>
      <c r="KL344" s="29"/>
      <c r="KM344" s="19"/>
      <c r="KN344" s="93"/>
      <c r="KO344" s="93"/>
      <c r="KP344" s="93"/>
      <c r="KQ344" s="93"/>
      <c r="KR344" s="20"/>
      <c r="KS344" s="29"/>
      <c r="KT344" s="19"/>
      <c r="KU344" s="93"/>
      <c r="KV344" s="93"/>
      <c r="KW344" s="93"/>
      <c r="KX344" s="93"/>
      <c r="KY344" s="20"/>
      <c r="KZ344" s="29"/>
      <c r="LA344" s="1504">
        <v>44927</v>
      </c>
      <c r="LB344" s="19"/>
      <c r="LC344" s="93"/>
      <c r="LD344" s="93"/>
      <c r="LE344" s="93"/>
      <c r="LF344" s="93"/>
      <c r="LG344" s="93"/>
      <c r="LH344" s="20"/>
      <c r="LI344" s="29"/>
      <c r="LJ344" s="19"/>
      <c r="LK344" s="93"/>
      <c r="LL344" s="93"/>
      <c r="LM344" s="93"/>
      <c r="LN344" s="93"/>
      <c r="LO344" s="20"/>
      <c r="LP344" s="29"/>
      <c r="LQ344" s="19"/>
      <c r="LR344" s="93">
        <v>188</v>
      </c>
      <c r="LS344" s="93">
        <v>463</v>
      </c>
      <c r="LT344" s="93">
        <v>663</v>
      </c>
      <c r="LU344" s="93">
        <v>1104</v>
      </c>
      <c r="LV344" s="93"/>
      <c r="LW344" s="93">
        <v>5</v>
      </c>
      <c r="LX344" s="93">
        <v>10</v>
      </c>
      <c r="LY344" s="93">
        <v>60</v>
      </c>
      <c r="LZ344" s="93"/>
      <c r="MA344" s="20"/>
      <c r="MB344" s="29">
        <v>277</v>
      </c>
      <c r="MC344" s="1504">
        <v>44927</v>
      </c>
      <c r="MD344" s="19">
        <v>200.32545156399996</v>
      </c>
      <c r="ME344" s="93">
        <v>199.50013513699997</v>
      </c>
      <c r="MF344" s="93">
        <v>199.50013513699997</v>
      </c>
      <c r="MG344" s="93">
        <v>185.43934727199996</v>
      </c>
      <c r="MH344" s="93">
        <v>98.722097810999983</v>
      </c>
      <c r="MI344" s="93">
        <v>1.8095917699999999</v>
      </c>
      <c r="MJ344" s="93">
        <v>4.4918048719999994</v>
      </c>
      <c r="MK344" s="93">
        <v>63.266443207000002</v>
      </c>
      <c r="ML344" s="93">
        <v>17.064989401000002</v>
      </c>
      <c r="MM344" s="93">
        <v>8.4420211000000009E-2</v>
      </c>
      <c r="MN344" s="93">
        <v>14.060787864999998</v>
      </c>
      <c r="MO344" s="93">
        <v>0.38147619600000005</v>
      </c>
      <c r="MP344" s="93">
        <v>4.5680236510000007</v>
      </c>
      <c r="MQ344" s="93">
        <v>7.8744345000000007E-2</v>
      </c>
      <c r="MR344" s="93">
        <v>6.1545969999999998E-2</v>
      </c>
      <c r="MS344" s="93">
        <v>8.9709977029999983</v>
      </c>
      <c r="MT344" s="93">
        <v>0</v>
      </c>
      <c r="MU344" s="93">
        <v>0.82531642700000007</v>
      </c>
      <c r="MV344" s="93">
        <v>0.82531642700000007</v>
      </c>
      <c r="MW344" s="93">
        <v>0</v>
      </c>
      <c r="MX344" s="93">
        <v>110.53838567135107</v>
      </c>
      <c r="MY344" s="93">
        <v>115.09376325535106</v>
      </c>
      <c r="MZ344" s="93">
        <v>111.44180285785107</v>
      </c>
      <c r="NA344" s="93">
        <v>87.224404824666649</v>
      </c>
      <c r="NB344" s="93">
        <v>0.60313203500000001</v>
      </c>
      <c r="NC344" s="93">
        <v>19.669456800684426</v>
      </c>
      <c r="ND344" s="93">
        <v>18.124935081</v>
      </c>
      <c r="NE344" s="93">
        <v>1.5445217196844254</v>
      </c>
      <c r="NF344" s="93">
        <v>3.9448091974999997</v>
      </c>
      <c r="NG344" s="93">
        <v>0</v>
      </c>
      <c r="NH344" s="93">
        <v>1.7776749999999999</v>
      </c>
      <c r="NI344" s="93">
        <v>0</v>
      </c>
      <c r="NJ344" s="93">
        <v>0</v>
      </c>
      <c r="NK344" s="93">
        <v>3.6519603974999999</v>
      </c>
      <c r="NL344" s="93">
        <v>2.5514283125000001</v>
      </c>
      <c r="NM344" s="93">
        <v>0</v>
      </c>
      <c r="NN344" s="93">
        <v>1.100532085</v>
      </c>
      <c r="NO344" s="93">
        <v>-4.5553775840000066</v>
      </c>
      <c r="NP344" s="93">
        <v>89.787065892648897</v>
      </c>
      <c r="NQ344" s="93">
        <v>88.961749465648907</v>
      </c>
      <c r="NR344" s="93">
        <v>109.73173835133332</v>
      </c>
      <c r="NS344" s="93">
        <v>90.062281550648905</v>
      </c>
      <c r="NT344" s="93">
        <v>39.993012755648962</v>
      </c>
      <c r="NU344" s="93">
        <v>39.167696328648979</v>
      </c>
      <c r="NV344" s="93">
        <v>-39.853458916334631</v>
      </c>
      <c r="NW344" s="93">
        <v>-3.5966111533346199</v>
      </c>
      <c r="NX344" s="93">
        <v>0.27521565799999997</v>
      </c>
      <c r="NY344" s="93">
        <v>-3.8718268113346199</v>
      </c>
      <c r="NZ344" s="93">
        <v>0</v>
      </c>
      <c r="OA344" s="93">
        <v>-36.25684776300001</v>
      </c>
      <c r="OB344" s="93">
        <v>108.21422773699999</v>
      </c>
      <c r="OC344" s="93">
        <v>-144.47107550000001</v>
      </c>
      <c r="OD344" s="20">
        <v>-0.1395538393143341</v>
      </c>
      <c r="OE344" s="29">
        <v>277</v>
      </c>
      <c r="OF344" s="1504">
        <v>44927</v>
      </c>
      <c r="OG344" s="19"/>
      <c r="OH344" s="93">
        <v>823.79585933800001</v>
      </c>
      <c r="OI344" s="93">
        <v>2678.9427819900002</v>
      </c>
      <c r="OJ344" s="93">
        <v>0.40327076000000001</v>
      </c>
      <c r="OK344" s="93">
        <v>2376.9390000000003</v>
      </c>
      <c r="OL344" s="93">
        <v>301.60051123</v>
      </c>
      <c r="OM344" s="93">
        <v>3502.7386413280001</v>
      </c>
      <c r="ON344" s="93">
        <v>2061.4731083189999</v>
      </c>
      <c r="OO344" s="93">
        <v>5564.211749647</v>
      </c>
      <c r="OP344" s="93"/>
      <c r="OQ344" s="93">
        <v>1871.558048375</v>
      </c>
      <c r="OR344" s="93">
        <v>-486.83395162500005</v>
      </c>
      <c r="OS344" s="93">
        <v>2358.3920000000003</v>
      </c>
      <c r="OT344" s="93">
        <v>4416.1022129339999</v>
      </c>
      <c r="OU344" s="93">
        <v>355.84109165100006</v>
      </c>
      <c r="OV344" s="93">
        <v>-2.2499083490000595</v>
      </c>
      <c r="OW344" s="93">
        <v>358.09100000000012</v>
      </c>
      <c r="OX344" s="93">
        <v>4060.2611212830002</v>
      </c>
      <c r="OY344" s="93">
        <v>23.160121282999999</v>
      </c>
      <c r="OZ344" s="93">
        <v>4037.1010000000001</v>
      </c>
      <c r="PA344" s="93">
        <v>1164.405161895</v>
      </c>
      <c r="PB344" s="93">
        <v>-440.956650233</v>
      </c>
      <c r="PC344" s="20">
        <v>5564.211749647</v>
      </c>
      <c r="PD344" s="29">
        <v>277</v>
      </c>
      <c r="PE344" s="19"/>
      <c r="PF344" s="93">
        <v>-486.83395162500005</v>
      </c>
      <c r="PG344" s="93">
        <v>169.943729365</v>
      </c>
      <c r="PH344" s="93">
        <v>656.77768099000002</v>
      </c>
      <c r="PI344" s="93">
        <v>1699.7002297510001</v>
      </c>
      <c r="PJ344" s="93">
        <v>4.3152939889999402</v>
      </c>
      <c r="PK344" s="93">
        <v>275.09482742799997</v>
      </c>
      <c r="PL344" s="93">
        <v>270.77953343900003</v>
      </c>
      <c r="PM344" s="93">
        <v>23.160121282999999</v>
      </c>
      <c r="PN344" s="93">
        <v>17.597999999999999</v>
      </c>
      <c r="PO344" s="93">
        <v>0</v>
      </c>
      <c r="PP344" s="93">
        <v>0</v>
      </c>
      <c r="PQ344" s="93">
        <v>5.5621212829999997</v>
      </c>
      <c r="PR344" s="93">
        <v>1252.4485564259999</v>
      </c>
      <c r="PS344" s="93">
        <v>955.02406167599997</v>
      </c>
      <c r="PT344" s="93">
        <v>296.68811567099999</v>
      </c>
      <c r="PU344" s="93">
        <v>0.73637907899999999</v>
      </c>
      <c r="PV344" s="93">
        <v>0</v>
      </c>
      <c r="PW344" s="93">
        <v>0.94151663699999999</v>
      </c>
      <c r="PX344" s="93">
        <v>0</v>
      </c>
      <c r="PY344" s="93">
        <v>0</v>
      </c>
      <c r="PZ344" s="93">
        <v>0.94151663699999999</v>
      </c>
      <c r="QA344" s="93">
        <v>0</v>
      </c>
      <c r="QB344" s="93">
        <v>0</v>
      </c>
      <c r="QC344" s="93">
        <v>0</v>
      </c>
      <c r="QD344" s="93">
        <v>3.0306452579999998</v>
      </c>
      <c r="QE344" s="20">
        <v>-16.079024923000013</v>
      </c>
      <c r="QF344" s="1739">
        <v>277</v>
      </c>
      <c r="QG344" s="19"/>
      <c r="QH344" s="93">
        <v>2358.3920000000003</v>
      </c>
      <c r="QI344" s="93">
        <v>2716.9270000000001</v>
      </c>
      <c r="QJ344" s="93">
        <v>-358.53500000000003</v>
      </c>
      <c r="QK344" s="93">
        <v>492.09800000000001</v>
      </c>
      <c r="QL344" s="93">
        <v>124.663</v>
      </c>
      <c r="QM344" s="93">
        <v>367.435</v>
      </c>
      <c r="QN344" s="93">
        <v>0</v>
      </c>
      <c r="QO344" s="93">
        <v>358.09100000000012</v>
      </c>
      <c r="QP344" s="93">
        <v>1235.8520000000001</v>
      </c>
      <c r="QQ344" s="93">
        <v>-877.76099999999997</v>
      </c>
      <c r="QR344" s="93">
        <v>4037.1010000000001</v>
      </c>
      <c r="QS344" s="93">
        <v>39.434999999999995</v>
      </c>
      <c r="QT344" s="93">
        <v>15.177</v>
      </c>
      <c r="QU344" s="93">
        <v>348.87</v>
      </c>
      <c r="QV344" s="93">
        <v>3633.6190000000001</v>
      </c>
      <c r="QW344" s="93"/>
      <c r="QX344" s="93">
        <v>1697.69</v>
      </c>
      <c r="QY344" s="93">
        <v>2376.9389999999999</v>
      </c>
      <c r="QZ344" s="93">
        <v>2061.14</v>
      </c>
      <c r="RA344" s="93">
        <v>0</v>
      </c>
      <c r="RB344" s="93">
        <v>261.649</v>
      </c>
      <c r="RC344" s="93">
        <v>0</v>
      </c>
      <c r="RD344" s="93">
        <v>45.307000000000002</v>
      </c>
      <c r="RE344" s="93">
        <v>0</v>
      </c>
      <c r="RF344" s="93">
        <v>0</v>
      </c>
      <c r="RG344" s="93">
        <v>853.47699999999998</v>
      </c>
      <c r="RH344" s="93">
        <v>-50.519999999999925</v>
      </c>
      <c r="RI344" s="93"/>
      <c r="RJ344" s="93"/>
      <c r="RK344" s="93"/>
      <c r="RL344" s="93"/>
      <c r="RM344" s="20"/>
      <c r="RN344" s="29">
        <v>277</v>
      </c>
      <c r="RO344" s="19"/>
      <c r="RP344" s="20"/>
      <c r="RQ344" s="29"/>
      <c r="RR344" s="20"/>
      <c r="RS344" s="29"/>
      <c r="RT344" s="1504">
        <v>44927</v>
      </c>
      <c r="RU344" s="19">
        <v>1561</v>
      </c>
      <c r="RV344" s="20">
        <v>39</v>
      </c>
      <c r="RW344" s="29">
        <v>277</v>
      </c>
      <c r="RX344" s="1504">
        <v>44927</v>
      </c>
      <c r="RY344" s="29"/>
      <c r="RZ344" s="20"/>
      <c r="SA344" s="29"/>
      <c r="SB344" s="29"/>
    </row>
    <row r="345" spans="1:496">
      <c r="A345" s="41">
        <f t="shared" si="238"/>
        <v>2023</v>
      </c>
      <c r="B345" s="1504">
        <v>44958</v>
      </c>
      <c r="C345" s="1813">
        <v>1726</v>
      </c>
      <c r="D345" s="1814">
        <v>29701</v>
      </c>
      <c r="E345" s="1814">
        <v>59</v>
      </c>
      <c r="F345" s="1815"/>
      <c r="G345" s="1814">
        <v>84280</v>
      </c>
      <c r="H345" s="1814">
        <v>4</v>
      </c>
      <c r="I345" s="1814">
        <v>29185</v>
      </c>
      <c r="J345" s="1816">
        <v>16108</v>
      </c>
      <c r="K345" s="1807">
        <f t="shared" si="330"/>
        <v>161063</v>
      </c>
      <c r="L345" s="25">
        <v>278</v>
      </c>
      <c r="M345" s="97"/>
      <c r="N345" s="1504">
        <v>44958</v>
      </c>
      <c r="O345" s="19">
        <v>2730</v>
      </c>
      <c r="P345" s="93">
        <v>2193</v>
      </c>
      <c r="Q345" s="93">
        <v>22736</v>
      </c>
      <c r="R345" s="93">
        <v>5460</v>
      </c>
      <c r="S345" s="93">
        <v>4359</v>
      </c>
      <c r="T345" s="93">
        <v>1867</v>
      </c>
      <c r="U345" s="93">
        <v>1266</v>
      </c>
      <c r="V345" s="93">
        <v>808</v>
      </c>
      <c r="W345" s="93">
        <v>11424</v>
      </c>
      <c r="X345" s="93">
        <v>2059</v>
      </c>
      <c r="Y345" s="93">
        <v>1406</v>
      </c>
      <c r="Z345" s="93">
        <v>2766</v>
      </c>
      <c r="AA345" s="93">
        <v>2692</v>
      </c>
      <c r="AB345" s="20">
        <f t="shared" si="327"/>
        <v>61766</v>
      </c>
      <c r="AC345" s="25">
        <v>278</v>
      </c>
      <c r="AD345" s="97"/>
      <c r="AE345" s="1504">
        <v>44958</v>
      </c>
      <c r="AF345" s="19">
        <v>2304</v>
      </c>
      <c r="AG345" s="93">
        <v>969</v>
      </c>
      <c r="AH345" s="93">
        <v>3978</v>
      </c>
      <c r="AI345" s="93">
        <v>3134</v>
      </c>
      <c r="AJ345" s="93">
        <v>2089</v>
      </c>
      <c r="AK345" s="93">
        <v>1886</v>
      </c>
      <c r="AL345" s="93">
        <v>1256</v>
      </c>
      <c r="AM345" s="93">
        <v>630</v>
      </c>
      <c r="AN345" s="93">
        <v>8235</v>
      </c>
      <c r="AO345" s="93">
        <v>1471</v>
      </c>
      <c r="AP345" s="93">
        <v>1094</v>
      </c>
      <c r="AQ345" s="93">
        <v>1002</v>
      </c>
      <c r="AR345" s="93">
        <v>1137</v>
      </c>
      <c r="AS345" s="132">
        <f t="shared" si="323"/>
        <v>29185</v>
      </c>
      <c r="AT345" s="25">
        <v>278</v>
      </c>
      <c r="AU345" s="97"/>
      <c r="AV345" s="1504">
        <v>44958</v>
      </c>
      <c r="AW345" s="19">
        <v>8940</v>
      </c>
      <c r="AX345" s="93">
        <v>3587</v>
      </c>
      <c r="AY345" s="93">
        <v>3274</v>
      </c>
      <c r="AZ345" s="93">
        <v>10913</v>
      </c>
      <c r="BA345" s="93">
        <v>7136</v>
      </c>
      <c r="BB345" s="93">
        <v>6311</v>
      </c>
      <c r="BC345" s="93">
        <v>4415</v>
      </c>
      <c r="BD345" s="93">
        <v>3170</v>
      </c>
      <c r="BE345" s="93">
        <v>15857</v>
      </c>
      <c r="BF345" s="93">
        <v>5327</v>
      </c>
      <c r="BG345" s="93">
        <v>4659</v>
      </c>
      <c r="BH345" s="93">
        <v>5230</v>
      </c>
      <c r="BI345" s="93">
        <v>5461</v>
      </c>
      <c r="BJ345" s="132">
        <f t="shared" si="331"/>
        <v>84280</v>
      </c>
      <c r="BK345" s="25">
        <v>278</v>
      </c>
      <c r="BL345" s="97"/>
      <c r="BM345" s="1504">
        <v>44958</v>
      </c>
      <c r="BN345" s="733">
        <v>94.93</v>
      </c>
      <c r="BO345" s="570">
        <v>4098.7380000000003</v>
      </c>
      <c r="BP345" s="570">
        <v>11.8</v>
      </c>
      <c r="BQ345" s="570">
        <v>758.52</v>
      </c>
      <c r="BR345" s="570">
        <v>0.7</v>
      </c>
      <c r="BS345" s="570">
        <v>291.85000000000002</v>
      </c>
      <c r="BT345" s="570">
        <v>451.024</v>
      </c>
      <c r="BU345" s="132">
        <f t="shared" si="332"/>
        <v>5707.5620000000017</v>
      </c>
      <c r="BV345" s="25">
        <v>278</v>
      </c>
      <c r="BW345" s="97"/>
      <c r="BX345" s="1504">
        <v>44958</v>
      </c>
      <c r="BY345" s="19">
        <v>612.79</v>
      </c>
      <c r="BZ345" s="93">
        <v>655.95699999999999</v>
      </c>
      <c r="CA345" s="93">
        <v>661.88</v>
      </c>
      <c r="CB345" s="93">
        <v>34.222000000000001</v>
      </c>
      <c r="CC345" s="93">
        <v>49.152000000000001</v>
      </c>
      <c r="CD345" s="25">
        <v>278</v>
      </c>
      <c r="CE345" s="97"/>
      <c r="CF345" s="1504">
        <v>44958</v>
      </c>
      <c r="CG345" s="733">
        <v>2.1909513559999998</v>
      </c>
      <c r="CH345" s="570">
        <v>1854.54</v>
      </c>
      <c r="CI345" s="1945">
        <v>80.253333333330005</v>
      </c>
      <c r="CJ345" s="734">
        <v>82.71</v>
      </c>
      <c r="CK345" s="733">
        <v>468.95</v>
      </c>
      <c r="CL345" s="570">
        <v>298.1771688</v>
      </c>
      <c r="CM345" s="568">
        <v>0.44599462600000001</v>
      </c>
      <c r="CN345" s="568">
        <v>0.81306385599999997</v>
      </c>
      <c r="CO345" s="570">
        <v>394.75</v>
      </c>
      <c r="CP345" s="734">
        <v>4.6517482000000001</v>
      </c>
      <c r="CQ345" s="1945">
        <v>2042.62</v>
      </c>
      <c r="CR345" s="570">
        <v>2.29</v>
      </c>
      <c r="CS345" s="570">
        <v>1.6173</v>
      </c>
      <c r="CT345" s="570">
        <v>322.5</v>
      </c>
      <c r="CU345" s="570">
        <v>127.6</v>
      </c>
      <c r="CV345" s="1539">
        <v>3133.84</v>
      </c>
      <c r="CW345" s="29">
        <v>278</v>
      </c>
      <c r="CX345" s="41">
        <f t="shared" si="319"/>
        <v>2023</v>
      </c>
      <c r="CY345" s="1504">
        <v>44958</v>
      </c>
      <c r="CZ345" s="19"/>
      <c r="DA345" s="93"/>
      <c r="DB345" s="93"/>
      <c r="DC345" s="93"/>
      <c r="DD345" s="93"/>
      <c r="DE345" s="20"/>
      <c r="DF345" s="29"/>
      <c r="DG345" s="1504">
        <v>44958</v>
      </c>
      <c r="DH345" s="419">
        <f t="shared" ref="DH345:DN345" si="339">(((DH344/DH343-1)+(DH343/DH342-1))^1/2+1)*DH344</f>
        <v>510393.83970679931</v>
      </c>
      <c r="DI345" s="100">
        <f t="shared" si="339"/>
        <v>5722783.5466726795</v>
      </c>
      <c r="DJ345" s="100">
        <f t="shared" si="339"/>
        <v>318066.45799484744</v>
      </c>
      <c r="DK345" s="100">
        <f t="shared" si="339"/>
        <v>24404.020896037964</v>
      </c>
      <c r="DL345" s="100">
        <f t="shared" si="339"/>
        <v>750450.40314386424</v>
      </c>
      <c r="DM345" s="100">
        <f t="shared" si="339"/>
        <v>4634.3982148711557</v>
      </c>
      <c r="DN345" s="306">
        <f t="shared" si="339"/>
        <v>1662611.6052575274</v>
      </c>
      <c r="DO345" s="1932">
        <f t="shared" si="282"/>
        <v>8482950.4321798272</v>
      </c>
      <c r="DP345" s="29">
        <v>278</v>
      </c>
      <c r="DQ345" s="1504">
        <v>44958</v>
      </c>
      <c r="DR345" s="19">
        <v>69993.88</v>
      </c>
      <c r="DS345" s="93">
        <v>613</v>
      </c>
      <c r="DT345" s="93">
        <v>63891.4</v>
      </c>
      <c r="DU345" s="93">
        <v>4027.7559999999999</v>
      </c>
      <c r="DV345" s="93">
        <v>26570.690999999999</v>
      </c>
      <c r="DW345" s="93">
        <v>3507</v>
      </c>
      <c r="DX345" s="20">
        <v>12968.779</v>
      </c>
      <c r="DY345" s="29">
        <v>278</v>
      </c>
      <c r="DZ345" s="1504">
        <v>44958</v>
      </c>
      <c r="EA345" s="19"/>
      <c r="EB345" s="93"/>
      <c r="EC345" s="20"/>
      <c r="ED345" s="29"/>
      <c r="EE345" s="1504">
        <v>44958</v>
      </c>
      <c r="EF345" s="19">
        <f t="shared" si="335"/>
        <v>17312</v>
      </c>
      <c r="EG345" s="93">
        <f t="shared" si="335"/>
        <v>19324</v>
      </c>
      <c r="EH345" s="93">
        <f t="shared" si="336"/>
        <v>46709</v>
      </c>
      <c r="EI345" s="214">
        <f t="shared" si="337"/>
        <v>10073</v>
      </c>
      <c r="EJ345" s="93">
        <f t="shared" si="337"/>
        <v>187.94200000000001</v>
      </c>
      <c r="EK345" s="93">
        <f t="shared" si="337"/>
        <v>137.762</v>
      </c>
      <c r="EL345" s="93">
        <f t="shared" si="337"/>
        <v>4.016</v>
      </c>
      <c r="EM345" s="93">
        <f t="shared" si="337"/>
        <v>8.9550000000000001</v>
      </c>
      <c r="EN345" s="20">
        <f t="shared" si="338"/>
        <v>338.67500000000001</v>
      </c>
      <c r="EO345" s="29">
        <v>278</v>
      </c>
      <c r="EP345" s="1504">
        <v>44958</v>
      </c>
      <c r="EQ345" s="19">
        <v>16059</v>
      </c>
      <c r="ER345" s="93">
        <v>18111</v>
      </c>
      <c r="ES345" s="93">
        <f t="shared" si="315"/>
        <v>34170</v>
      </c>
      <c r="ET345" s="214">
        <v>9776</v>
      </c>
      <c r="EU345" s="93">
        <v>187.94200000000001</v>
      </c>
      <c r="EV345" s="93">
        <v>137.762</v>
      </c>
      <c r="EW345" s="93">
        <v>4.016</v>
      </c>
      <c r="EX345" s="93">
        <v>8.9550000000000001</v>
      </c>
      <c r="EY345" s="20">
        <f t="shared" si="321"/>
        <v>338.67500000000001</v>
      </c>
      <c r="EZ345" s="29">
        <v>278</v>
      </c>
      <c r="FA345" s="1504">
        <v>44958</v>
      </c>
      <c r="FB345" s="1949">
        <v>1253</v>
      </c>
      <c r="FC345" s="29">
        <v>1213</v>
      </c>
      <c r="FD345" s="29">
        <f t="shared" si="316"/>
        <v>2466</v>
      </c>
      <c r="FE345" s="29">
        <v>297</v>
      </c>
      <c r="FF345" s="29">
        <v>0</v>
      </c>
      <c r="FG345" s="29">
        <v>0</v>
      </c>
      <c r="FH345" s="29">
        <v>0</v>
      </c>
      <c r="FI345" s="29">
        <v>0</v>
      </c>
      <c r="FJ345" s="29">
        <f t="shared" si="326"/>
        <v>0</v>
      </c>
      <c r="FK345" s="29">
        <v>278</v>
      </c>
      <c r="FL345" s="1504">
        <v>44958</v>
      </c>
      <c r="FM345" s="733">
        <v>121.33</v>
      </c>
      <c r="FN345" s="570">
        <v>134.5</v>
      </c>
      <c r="FO345" s="570">
        <v>155.79</v>
      </c>
      <c r="FP345" s="570">
        <v>101.77</v>
      </c>
      <c r="FQ345" s="570">
        <v>108.05</v>
      </c>
      <c r="FR345" s="570">
        <v>102.06</v>
      </c>
      <c r="FS345" s="570">
        <v>100.66</v>
      </c>
      <c r="FT345" s="570">
        <v>107.89</v>
      </c>
      <c r="FU345" s="570">
        <v>98.74</v>
      </c>
      <c r="FV345" s="570">
        <v>102.02</v>
      </c>
      <c r="FW345" s="570">
        <v>114.07</v>
      </c>
      <c r="FX345" s="570">
        <v>110</v>
      </c>
      <c r="FY345" s="570">
        <v>101.42</v>
      </c>
      <c r="FZ345" s="29">
        <v>278</v>
      </c>
      <c r="GA345" s="1504">
        <v>44958</v>
      </c>
      <c r="GB345" s="733">
        <v>121.33</v>
      </c>
      <c r="GC345" s="570">
        <v>110.75</v>
      </c>
      <c r="GD345" s="93">
        <v>126.64</v>
      </c>
      <c r="GE345" s="570">
        <v>113.77</v>
      </c>
      <c r="GF345" s="570">
        <v>147.56</v>
      </c>
      <c r="GG345" s="570">
        <v>111.18</v>
      </c>
      <c r="GH345" s="570">
        <v>142.06</v>
      </c>
      <c r="GI345" s="570">
        <v>111.62</v>
      </c>
      <c r="GJ345" s="570">
        <v>106.26</v>
      </c>
      <c r="GK345" s="570">
        <v>100.27</v>
      </c>
      <c r="GL345" s="570">
        <v>131.44</v>
      </c>
      <c r="GM345" s="570">
        <v>101.92</v>
      </c>
      <c r="GN345" s="734">
        <v>106.25</v>
      </c>
      <c r="GO345" s="29">
        <v>278</v>
      </c>
      <c r="GP345" s="1504">
        <v>44958</v>
      </c>
      <c r="GQ345" s="19">
        <v>396</v>
      </c>
      <c r="GR345" s="93">
        <v>336</v>
      </c>
      <c r="GS345" s="93">
        <v>319</v>
      </c>
      <c r="GT345" s="93">
        <v>272</v>
      </c>
      <c r="GU345" s="93">
        <v>417</v>
      </c>
      <c r="GV345" s="20">
        <v>1447</v>
      </c>
      <c r="GW345" s="19">
        <v>473</v>
      </c>
      <c r="GX345" s="93">
        <v>797</v>
      </c>
      <c r="GY345" s="93">
        <v>509</v>
      </c>
      <c r="GZ345" s="93">
        <v>393</v>
      </c>
      <c r="HA345" s="93">
        <v>170</v>
      </c>
      <c r="HB345" s="20">
        <v>1123</v>
      </c>
      <c r="HC345" s="19">
        <v>2286</v>
      </c>
      <c r="HD345" s="93">
        <v>2955</v>
      </c>
      <c r="HE345" s="93">
        <v>2998</v>
      </c>
      <c r="HF345" s="93">
        <v>3150</v>
      </c>
      <c r="HG345" s="93">
        <v>3580</v>
      </c>
      <c r="HH345" s="20">
        <v>3788</v>
      </c>
      <c r="HI345" s="19"/>
      <c r="HJ345" s="93">
        <v>992</v>
      </c>
      <c r="HK345" s="93">
        <v>2685</v>
      </c>
      <c r="HL345" s="93">
        <v>1215</v>
      </c>
      <c r="HM345" s="93">
        <v>1286</v>
      </c>
      <c r="HN345" s="20">
        <v>2751</v>
      </c>
      <c r="HO345" s="219">
        <v>273</v>
      </c>
      <c r="HP345" s="20">
        <v>69</v>
      </c>
      <c r="HQ345" s="25">
        <v>204</v>
      </c>
      <c r="HR345" s="29">
        <v>278</v>
      </c>
      <c r="HS345" s="1504">
        <v>44958</v>
      </c>
      <c r="HT345" s="19"/>
      <c r="HU345" s="93"/>
      <c r="HV345" s="93"/>
      <c r="HW345" s="93"/>
      <c r="HX345" s="93"/>
      <c r="HY345" s="93"/>
      <c r="HZ345" s="93"/>
      <c r="IA345" s="20"/>
      <c r="IB345" s="19"/>
      <c r="IC345" s="93"/>
      <c r="ID345" s="93"/>
      <c r="IE345" s="93"/>
      <c r="IF345" s="93"/>
      <c r="IG345" s="20"/>
      <c r="IH345" s="19"/>
      <c r="II345" s="93"/>
      <c r="IJ345" s="93"/>
      <c r="IK345" s="93"/>
      <c r="IL345" s="93"/>
      <c r="IM345" s="93"/>
      <c r="IN345" s="93"/>
      <c r="IO345" s="20"/>
      <c r="IP345" s="29"/>
      <c r="IQ345" s="19"/>
      <c r="IR345" s="93"/>
      <c r="IS345" s="93"/>
      <c r="IT345" s="93"/>
      <c r="IU345" s="93"/>
      <c r="IV345" s="20"/>
      <c r="IW345" s="29"/>
      <c r="IX345" s="19"/>
      <c r="IY345" s="93"/>
      <c r="IZ345" s="93"/>
      <c r="JA345" s="93"/>
      <c r="JB345" s="93"/>
      <c r="JC345" s="93"/>
      <c r="JD345" s="93"/>
      <c r="JE345" s="20"/>
      <c r="JF345" s="29"/>
      <c r="JG345" s="19"/>
      <c r="JH345" s="93"/>
      <c r="JI345" s="93"/>
      <c r="JJ345" s="93"/>
      <c r="JK345" s="93"/>
      <c r="JL345" s="93"/>
      <c r="JM345" s="93"/>
      <c r="JN345" s="20"/>
      <c r="JO345" s="29"/>
      <c r="JP345" s="19"/>
      <c r="JQ345" s="93"/>
      <c r="JR345" s="93"/>
      <c r="JS345" s="93"/>
      <c r="JT345" s="93"/>
      <c r="JU345" s="20"/>
      <c r="JV345" s="29"/>
      <c r="JW345" s="1504">
        <v>44958</v>
      </c>
      <c r="JX345" s="19"/>
      <c r="JY345" s="93"/>
      <c r="JZ345" s="93"/>
      <c r="KA345" s="93"/>
      <c r="KB345" s="93"/>
      <c r="KC345" s="93"/>
      <c r="KD345" s="20"/>
      <c r="KE345" s="29"/>
      <c r="KF345" s="19"/>
      <c r="KG345" s="93"/>
      <c r="KH345" s="93"/>
      <c r="KI345" s="93"/>
      <c r="KJ345" s="93"/>
      <c r="KK345" s="20"/>
      <c r="KL345" s="29"/>
      <c r="KM345" s="19"/>
      <c r="KN345" s="93"/>
      <c r="KO345" s="93"/>
      <c r="KP345" s="93"/>
      <c r="KQ345" s="93"/>
      <c r="KR345" s="20"/>
      <c r="KS345" s="29"/>
      <c r="KT345" s="19"/>
      <c r="KU345" s="93"/>
      <c r="KV345" s="93"/>
      <c r="KW345" s="93"/>
      <c r="KX345" s="93"/>
      <c r="KY345" s="20"/>
      <c r="KZ345" s="29"/>
      <c r="LA345" s="1504">
        <v>44958</v>
      </c>
      <c r="LB345" s="19"/>
      <c r="LC345" s="93"/>
      <c r="LD345" s="93"/>
      <c r="LE345" s="93"/>
      <c r="LF345" s="93"/>
      <c r="LG345" s="93"/>
      <c r="LH345" s="20"/>
      <c r="LI345" s="29"/>
      <c r="LJ345" s="19"/>
      <c r="LK345" s="93"/>
      <c r="LL345" s="93"/>
      <c r="LM345" s="93"/>
      <c r="LN345" s="93"/>
      <c r="LO345" s="20"/>
      <c r="LP345" s="29"/>
      <c r="LQ345" s="19"/>
      <c r="LR345" s="93">
        <v>188</v>
      </c>
      <c r="LS345" s="93">
        <v>463</v>
      </c>
      <c r="LT345" s="93">
        <v>663</v>
      </c>
      <c r="LU345" s="93">
        <v>1104</v>
      </c>
      <c r="LV345" s="93"/>
      <c r="LW345" s="93">
        <v>5</v>
      </c>
      <c r="LX345" s="93">
        <v>10</v>
      </c>
      <c r="LY345" s="93">
        <v>60</v>
      </c>
      <c r="LZ345" s="93"/>
      <c r="MA345" s="20"/>
      <c r="MB345" s="29">
        <v>278</v>
      </c>
      <c r="MC345" s="1504">
        <v>44958</v>
      </c>
      <c r="MD345" s="19">
        <v>449.48413610440707</v>
      </c>
      <c r="ME345" s="93">
        <v>370.24963241359995</v>
      </c>
      <c r="MF345" s="93">
        <v>370.24963241359995</v>
      </c>
      <c r="MG345" s="93">
        <v>340.67197957559989</v>
      </c>
      <c r="MH345" s="93">
        <v>135.55516427699999</v>
      </c>
      <c r="MI345" s="93">
        <v>3.1777110090000003</v>
      </c>
      <c r="MJ345" s="93">
        <v>9.3584005430000019</v>
      </c>
      <c r="MK345" s="93">
        <v>148.7866449796</v>
      </c>
      <c r="ML345" s="93">
        <v>43.625855342000001</v>
      </c>
      <c r="MM345" s="93">
        <v>0.16820342499999999</v>
      </c>
      <c r="MN345" s="93">
        <v>29.577652837999999</v>
      </c>
      <c r="MO345" s="93">
        <v>0.87339639000000002</v>
      </c>
      <c r="MP345" s="93">
        <v>10.787133812</v>
      </c>
      <c r="MQ345" s="93">
        <v>0.243401433</v>
      </c>
      <c r="MR345" s="93">
        <v>0.400884674</v>
      </c>
      <c r="MS345" s="93">
        <v>17.272836528999999</v>
      </c>
      <c r="MT345" s="93">
        <v>0</v>
      </c>
      <c r="MU345" s="93">
        <v>79.234503690807131</v>
      </c>
      <c r="MV345" s="93">
        <v>79.234503690807131</v>
      </c>
      <c r="MW345" s="93">
        <v>0</v>
      </c>
      <c r="MX345" s="93">
        <v>452.11651942302291</v>
      </c>
      <c r="MY345" s="93">
        <v>456.69342663302291</v>
      </c>
      <c r="MZ345" s="93">
        <v>277.01989325202294</v>
      </c>
      <c r="NA345" s="93">
        <v>179.40375455733331</v>
      </c>
      <c r="NB345" s="93">
        <v>5.1564989740000007</v>
      </c>
      <c r="NC345" s="93">
        <v>27.604485280689605</v>
      </c>
      <c r="ND345" s="93">
        <v>24.798480617999999</v>
      </c>
      <c r="NE345" s="93">
        <v>2.8060046626896029</v>
      </c>
      <c r="NF345" s="93">
        <v>64.855154439999993</v>
      </c>
      <c r="NG345" s="93">
        <v>1.2</v>
      </c>
      <c r="NH345" s="93">
        <v>36.278966166000004</v>
      </c>
      <c r="NI345" s="93">
        <v>0</v>
      </c>
      <c r="NJ345" s="93">
        <v>0</v>
      </c>
      <c r="NK345" s="93">
        <v>179.67353338100006</v>
      </c>
      <c r="NL345" s="93">
        <v>30.078977300000002</v>
      </c>
      <c r="NM345" s="93">
        <v>0</v>
      </c>
      <c r="NN345" s="93">
        <v>149.59455608100004</v>
      </c>
      <c r="NO345" s="93">
        <v>-4.5769072100000088</v>
      </c>
      <c r="NP345" s="93">
        <v>-2.632383318615839</v>
      </c>
      <c r="NQ345" s="93">
        <v>-81.866887009422967</v>
      </c>
      <c r="NR345" s="93">
        <v>95.33215435226667</v>
      </c>
      <c r="NS345" s="93">
        <v>67.72766907157704</v>
      </c>
      <c r="NT345" s="93">
        <v>-43.48289719061578</v>
      </c>
      <c r="NU345" s="93">
        <v>-122.7174008814229</v>
      </c>
      <c r="NV345" s="93">
        <v>44.309534370407967</v>
      </c>
      <c r="NW345" s="93">
        <v>63.513956265407977</v>
      </c>
      <c r="NX345" s="93">
        <v>70.360052390192891</v>
      </c>
      <c r="NY345" s="93">
        <v>-6.8460961247849088</v>
      </c>
      <c r="NZ345" s="93">
        <v>0</v>
      </c>
      <c r="OA345" s="93">
        <v>-19.20442189500001</v>
      </c>
      <c r="OB345" s="93">
        <v>138.73761060499999</v>
      </c>
      <c r="OC345" s="93">
        <v>-157.94203250000001</v>
      </c>
      <c r="OD345" s="20">
        <v>-0.82663717979218809</v>
      </c>
      <c r="OE345" s="29">
        <v>278</v>
      </c>
      <c r="OF345" s="1504">
        <v>44958</v>
      </c>
      <c r="OG345" s="19"/>
      <c r="OH345" s="93">
        <v>826.7502541340001</v>
      </c>
      <c r="OI345" s="93">
        <v>2406.3967885699999</v>
      </c>
      <c r="OJ345" s="93">
        <v>0.35127733999999999</v>
      </c>
      <c r="OK345" s="93">
        <v>2104.4450000000002</v>
      </c>
      <c r="OL345" s="93">
        <v>301.60051123</v>
      </c>
      <c r="OM345" s="93">
        <v>3233.1470427039999</v>
      </c>
      <c r="ON345" s="93">
        <v>1949.085108319</v>
      </c>
      <c r="OO345" s="93">
        <v>5182.2321510229995</v>
      </c>
      <c r="OP345" s="93"/>
      <c r="OQ345" s="93">
        <v>1494.1240691580003</v>
      </c>
      <c r="OR345" s="93">
        <v>-495.10793084200003</v>
      </c>
      <c r="OS345" s="93">
        <v>1989.2320000000004</v>
      </c>
      <c r="OT345" s="93">
        <v>4359.746941509</v>
      </c>
      <c r="OU345" s="93">
        <v>350.59662003399995</v>
      </c>
      <c r="OV345" s="93">
        <v>14.151620033999997</v>
      </c>
      <c r="OW345" s="93">
        <v>336.44499999999994</v>
      </c>
      <c r="OX345" s="93">
        <v>4009.1503214750001</v>
      </c>
      <c r="OY345" s="93">
        <v>8.0863214750000001</v>
      </c>
      <c r="OZ345" s="93">
        <v>4001.0639999999999</v>
      </c>
      <c r="PA345" s="93">
        <v>1090.068858410998</v>
      </c>
      <c r="PB345" s="93">
        <v>-418.42999876700003</v>
      </c>
      <c r="PC345" s="20">
        <v>5182.2321510230031</v>
      </c>
      <c r="PD345" s="29">
        <v>278</v>
      </c>
      <c r="PE345" s="19"/>
      <c r="PF345" s="93">
        <v>-495.10793084200003</v>
      </c>
      <c r="PG345" s="93">
        <v>196.08657325799999</v>
      </c>
      <c r="PH345" s="93">
        <v>691.19450410000002</v>
      </c>
      <c r="PI345" s="93">
        <v>1514.092873282</v>
      </c>
      <c r="PJ345" s="93">
        <v>20.716822371999996</v>
      </c>
      <c r="PK345" s="93">
        <v>275.114493342</v>
      </c>
      <c r="PL345" s="93">
        <v>254.39767097000001</v>
      </c>
      <c r="PM345" s="93">
        <v>8.0863214750000001</v>
      </c>
      <c r="PN345" s="93">
        <v>2.4790000000000001</v>
      </c>
      <c r="PO345" s="93">
        <v>0</v>
      </c>
      <c r="PP345" s="93">
        <v>0</v>
      </c>
      <c r="PQ345" s="93">
        <v>5.607321475</v>
      </c>
      <c r="PR345" s="93">
        <v>1085.0335829630001</v>
      </c>
      <c r="PS345" s="93">
        <v>959.43545647200006</v>
      </c>
      <c r="PT345" s="93">
        <v>124.913740832</v>
      </c>
      <c r="PU345" s="93">
        <v>0.68438565899999992</v>
      </c>
      <c r="PV345" s="93">
        <v>0</v>
      </c>
      <c r="PW345" s="93">
        <v>1.225828366</v>
      </c>
      <c r="PX345" s="93">
        <v>0</v>
      </c>
      <c r="PY345" s="93">
        <v>0</v>
      </c>
      <c r="PZ345" s="93">
        <v>1.225828366</v>
      </c>
      <c r="QA345" s="93">
        <v>0</v>
      </c>
      <c r="QB345" s="93">
        <v>0</v>
      </c>
      <c r="QC345" s="93">
        <v>0</v>
      </c>
      <c r="QD345" s="93">
        <v>5.6470300450000002</v>
      </c>
      <c r="QE345" s="20">
        <v>-44.118355087000012</v>
      </c>
      <c r="QF345" s="1739">
        <v>278</v>
      </c>
      <c r="QG345" s="19"/>
      <c r="QH345" s="93">
        <v>1989.2320000000004</v>
      </c>
      <c r="QI345" s="93">
        <v>2777.6000000000004</v>
      </c>
      <c r="QJ345" s="93">
        <v>-788.36800000000005</v>
      </c>
      <c r="QK345" s="93">
        <v>255.001</v>
      </c>
      <c r="QL345" s="93">
        <v>126.12</v>
      </c>
      <c r="QM345" s="93">
        <v>128.881</v>
      </c>
      <c r="QN345" s="93">
        <v>0</v>
      </c>
      <c r="QO345" s="93">
        <v>336.44499999999994</v>
      </c>
      <c r="QP345" s="93">
        <v>1160.155</v>
      </c>
      <c r="QQ345" s="93">
        <v>-823.71</v>
      </c>
      <c r="QR345" s="93">
        <v>4001.0639999999999</v>
      </c>
      <c r="QS345" s="93">
        <v>65.128999999999991</v>
      </c>
      <c r="QT345" s="93">
        <v>15.231</v>
      </c>
      <c r="QU345" s="93">
        <v>358.137</v>
      </c>
      <c r="QV345" s="93">
        <v>3562.567</v>
      </c>
      <c r="QW345" s="93"/>
      <c r="QX345" s="93">
        <v>1512.777</v>
      </c>
      <c r="QY345" s="93">
        <v>2104.4450000000002</v>
      </c>
      <c r="QZ345" s="93">
        <v>1948.752</v>
      </c>
      <c r="RA345" s="93">
        <v>0</v>
      </c>
      <c r="RB345" s="93">
        <v>269.71299999999997</v>
      </c>
      <c r="RC345" s="93">
        <v>0</v>
      </c>
      <c r="RD345" s="93">
        <v>51.611000000000004</v>
      </c>
      <c r="RE345" s="93">
        <v>0</v>
      </c>
      <c r="RF345" s="93">
        <v>0</v>
      </c>
      <c r="RG345" s="93">
        <v>761.87199999999802</v>
      </c>
      <c r="RH345" s="93">
        <v>-67.427999999999997</v>
      </c>
      <c r="RI345" s="93"/>
      <c r="RJ345" s="93"/>
      <c r="RK345" s="93"/>
      <c r="RL345" s="93"/>
      <c r="RM345" s="20"/>
      <c r="RN345" s="29">
        <v>278</v>
      </c>
      <c r="RO345" s="19"/>
      <c r="RP345" s="20"/>
      <c r="RQ345" s="29"/>
      <c r="RR345" s="20"/>
      <c r="RS345" s="29"/>
      <c r="RT345" s="1504">
        <v>44958</v>
      </c>
      <c r="RU345" s="19">
        <v>1726</v>
      </c>
      <c r="RV345" s="20">
        <v>25</v>
      </c>
      <c r="RW345" s="29">
        <v>278</v>
      </c>
      <c r="RX345" s="1504">
        <v>44958</v>
      </c>
      <c r="RY345" s="29"/>
      <c r="RZ345" s="20"/>
      <c r="SA345" s="29"/>
      <c r="SB345" s="29"/>
    </row>
    <row r="346" spans="1:496">
      <c r="A346" s="41">
        <f t="shared" si="238"/>
        <v>2023</v>
      </c>
      <c r="B346" s="1504">
        <v>44986</v>
      </c>
      <c r="C346" s="1813">
        <v>1680</v>
      </c>
      <c r="D346" s="1814">
        <v>28388</v>
      </c>
      <c r="E346" s="1814">
        <v>52</v>
      </c>
      <c r="F346" s="1815"/>
      <c r="G346" s="1814">
        <v>75022</v>
      </c>
      <c r="H346" s="1814">
        <v>18</v>
      </c>
      <c r="I346" s="1814">
        <v>26828</v>
      </c>
      <c r="J346" s="1816">
        <v>15095</v>
      </c>
      <c r="K346" s="1807">
        <f t="shared" si="330"/>
        <v>147083</v>
      </c>
      <c r="L346" s="25">
        <v>279</v>
      </c>
      <c r="M346" s="97"/>
      <c r="N346" s="1504">
        <v>44986</v>
      </c>
      <c r="O346" s="19">
        <v>1324</v>
      </c>
      <c r="P346" s="93">
        <v>1110</v>
      </c>
      <c r="Q346" s="93">
        <v>10646</v>
      </c>
      <c r="R346" s="93">
        <v>2430</v>
      </c>
      <c r="S346" s="93">
        <v>1735</v>
      </c>
      <c r="T346" s="93">
        <v>779</v>
      </c>
      <c r="U346" s="93">
        <v>570</v>
      </c>
      <c r="V346" s="93">
        <v>398</v>
      </c>
      <c r="W346" s="93">
        <v>5543</v>
      </c>
      <c r="X346" s="93">
        <v>879</v>
      </c>
      <c r="Y346" s="93">
        <v>628</v>
      </c>
      <c r="Z346" s="93">
        <v>946</v>
      </c>
      <c r="AA346" s="93">
        <v>1400</v>
      </c>
      <c r="AB346" s="20">
        <f t="shared" si="327"/>
        <v>28388</v>
      </c>
      <c r="AC346" s="25">
        <v>279</v>
      </c>
      <c r="AD346" s="97"/>
      <c r="AE346" s="1504">
        <v>44986</v>
      </c>
      <c r="AF346" s="19">
        <v>2331</v>
      </c>
      <c r="AG346" s="93">
        <v>627</v>
      </c>
      <c r="AH346" s="93">
        <v>3384</v>
      </c>
      <c r="AI346" s="93">
        <v>2802</v>
      </c>
      <c r="AJ346" s="93">
        <v>1977</v>
      </c>
      <c r="AK346" s="93">
        <v>1679</v>
      </c>
      <c r="AL346" s="93">
        <v>853</v>
      </c>
      <c r="AM346" s="93">
        <v>662</v>
      </c>
      <c r="AN346" s="93">
        <v>8009</v>
      </c>
      <c r="AO346" s="93">
        <v>1298</v>
      </c>
      <c r="AP346" s="93">
        <v>1004</v>
      </c>
      <c r="AQ346" s="93">
        <v>980</v>
      </c>
      <c r="AR346" s="93">
        <v>1222</v>
      </c>
      <c r="AS346" s="132">
        <f t="shared" si="323"/>
        <v>26828</v>
      </c>
      <c r="AT346" s="25">
        <v>279</v>
      </c>
      <c r="AU346" s="97"/>
      <c r="AV346" s="1504">
        <v>44986</v>
      </c>
      <c r="AW346" s="19">
        <v>8339</v>
      </c>
      <c r="AX346" s="93">
        <v>2007</v>
      </c>
      <c r="AY346" s="93">
        <v>2800</v>
      </c>
      <c r="AZ346" s="93">
        <v>12209</v>
      </c>
      <c r="BA346" s="93">
        <v>5538</v>
      </c>
      <c r="BB346" s="93">
        <v>6553</v>
      </c>
      <c r="BC346" s="93">
        <v>3406</v>
      </c>
      <c r="BD346" s="93">
        <v>2912</v>
      </c>
      <c r="BE346" s="93">
        <v>14395</v>
      </c>
      <c r="BF346" s="93">
        <v>4105</v>
      </c>
      <c r="BG346" s="93">
        <v>3780</v>
      </c>
      <c r="BH346" s="93">
        <v>3900</v>
      </c>
      <c r="BI346" s="93">
        <v>5078</v>
      </c>
      <c r="BJ346" s="132">
        <f t="shared" si="324"/>
        <v>75022</v>
      </c>
      <c r="BK346" s="25">
        <v>279</v>
      </c>
      <c r="BL346" s="97"/>
      <c r="BM346" s="1504">
        <v>44986</v>
      </c>
      <c r="BN346" s="733">
        <v>92.4</v>
      </c>
      <c r="BO346" s="570">
        <v>3917.5439999999999</v>
      </c>
      <c r="BP346" s="570">
        <v>10.4</v>
      </c>
      <c r="BQ346" s="570">
        <v>675.19799999999998</v>
      </c>
      <c r="BR346" s="570">
        <v>3.15</v>
      </c>
      <c r="BS346" s="570">
        <v>268.27999999999997</v>
      </c>
      <c r="BT346" s="570">
        <v>422.66</v>
      </c>
      <c r="BU346" s="132">
        <f t="shared" si="325"/>
        <v>5389.6319999999996</v>
      </c>
      <c r="BV346" s="25">
        <v>279</v>
      </c>
      <c r="BW346" s="97"/>
      <c r="BX346" s="1504">
        <v>44986</v>
      </c>
      <c r="BY346" s="19">
        <v>612.02</v>
      </c>
      <c r="BZ346" s="93">
        <v>655.95699999999999</v>
      </c>
      <c r="CA346" s="93">
        <v>661.32</v>
      </c>
      <c r="CB346" s="93">
        <v>33.51</v>
      </c>
      <c r="CC346" s="93">
        <v>49.703000000000003</v>
      </c>
      <c r="CD346" s="25">
        <v>279</v>
      </c>
      <c r="CE346" s="97"/>
      <c r="CF346" s="1504">
        <v>44986</v>
      </c>
      <c r="CG346" s="733">
        <v>2.1029870179999999</v>
      </c>
      <c r="CH346" s="570">
        <v>1912.73</v>
      </c>
      <c r="CI346" s="1945">
        <v>76.473333333330004</v>
      </c>
      <c r="CJ346" s="734">
        <v>78.53</v>
      </c>
      <c r="CK346" s="733">
        <v>460.91</v>
      </c>
      <c r="CL346" s="570">
        <v>282.48902079999999</v>
      </c>
      <c r="CM346" s="568">
        <v>0.452388024</v>
      </c>
      <c r="CN346" s="568">
        <v>0.83511005599999999</v>
      </c>
      <c r="CO346" s="570">
        <v>369.86</v>
      </c>
      <c r="CP346" s="734">
        <v>4.8363851249999996</v>
      </c>
      <c r="CQ346" s="1945">
        <v>2100.41</v>
      </c>
      <c r="CR346" s="570">
        <v>2.3975</v>
      </c>
      <c r="CS346" s="570">
        <v>1.5807</v>
      </c>
      <c r="CT346" s="570">
        <v>345</v>
      </c>
      <c r="CU346" s="570">
        <v>128.37</v>
      </c>
      <c r="CV346" s="1539">
        <v>2967.46</v>
      </c>
      <c r="CW346" s="29">
        <v>279</v>
      </c>
      <c r="CX346" s="41">
        <f t="shared" si="319"/>
        <v>2023</v>
      </c>
      <c r="CY346" s="1504">
        <v>44986</v>
      </c>
      <c r="CZ346" s="19"/>
      <c r="DA346" s="93"/>
      <c r="DB346" s="93"/>
      <c r="DC346" s="93"/>
      <c r="DD346" s="93"/>
      <c r="DE346" s="20"/>
      <c r="DF346" s="29"/>
      <c r="DG346" s="1504">
        <v>44986</v>
      </c>
      <c r="DH346" s="419">
        <f t="shared" ref="DH346:DN346" si="340">(((DH345/DH344-1)+(DH344/DH343-1))^1/2+1)*DH345</f>
        <v>510006.37638283643</v>
      </c>
      <c r="DI346" s="100">
        <f t="shared" si="340"/>
        <v>5922951.9620417776</v>
      </c>
      <c r="DJ346" s="100">
        <f t="shared" si="340"/>
        <v>331194.06734235131</v>
      </c>
      <c r="DK346" s="100">
        <f t="shared" si="340"/>
        <v>26241.800320737406</v>
      </c>
      <c r="DL346" s="100">
        <f t="shared" si="340"/>
        <v>852032.27097494132</v>
      </c>
      <c r="DM346" s="100">
        <f t="shared" si="340"/>
        <v>3839.1521960998721</v>
      </c>
      <c r="DN346" s="306">
        <f t="shared" si="340"/>
        <v>1682648.0047745176</v>
      </c>
      <c r="DO346" s="1932">
        <f t="shared" si="282"/>
        <v>8818907.2576504257</v>
      </c>
      <c r="DP346" s="29">
        <v>279</v>
      </c>
      <c r="DQ346" s="1504">
        <v>44986</v>
      </c>
      <c r="DR346" s="19">
        <v>80403.990000000005</v>
      </c>
      <c r="DS346" s="93">
        <v>464</v>
      </c>
      <c r="DT346" s="93">
        <v>77632</v>
      </c>
      <c r="DU346" s="93">
        <v>5835.1629999999996</v>
      </c>
      <c r="DV346" s="93">
        <v>31584.234</v>
      </c>
      <c r="DW346" s="93">
        <v>3961</v>
      </c>
      <c r="DX346" s="20">
        <v>13665.103999999999</v>
      </c>
      <c r="DY346" s="29">
        <v>279</v>
      </c>
      <c r="DZ346" s="1504">
        <v>44986</v>
      </c>
      <c r="EA346" s="19"/>
      <c r="EB346" s="93"/>
      <c r="EC346" s="20"/>
      <c r="ED346" s="29"/>
      <c r="EE346" s="1504">
        <v>44986</v>
      </c>
      <c r="EF346" s="19">
        <f t="shared" si="335"/>
        <v>18799</v>
      </c>
      <c r="EG346" s="93">
        <f t="shared" si="335"/>
        <v>22444</v>
      </c>
      <c r="EH346" s="93">
        <f t="shared" si="336"/>
        <v>53102</v>
      </c>
      <c r="EI346" s="214">
        <f t="shared" si="337"/>
        <v>11859</v>
      </c>
      <c r="EJ346" s="93">
        <f t="shared" si="337"/>
        <v>242.673</v>
      </c>
      <c r="EK346" s="93">
        <f t="shared" si="337"/>
        <v>169.334</v>
      </c>
      <c r="EL346" s="93">
        <f t="shared" si="337"/>
        <v>10.843</v>
      </c>
      <c r="EM346" s="93">
        <f t="shared" si="337"/>
        <v>12.500999999999999</v>
      </c>
      <c r="EN346" s="20">
        <f t="shared" si="338"/>
        <v>435.351</v>
      </c>
      <c r="EO346" s="29">
        <v>279</v>
      </c>
      <c r="EP346" s="1504">
        <v>44986</v>
      </c>
      <c r="EQ346" s="19">
        <v>16988</v>
      </c>
      <c r="ER346" s="93">
        <v>20676</v>
      </c>
      <c r="ES346" s="93">
        <f t="shared" si="315"/>
        <v>37664</v>
      </c>
      <c r="ET346" s="214">
        <v>11306</v>
      </c>
      <c r="EU346" s="93">
        <v>242.673</v>
      </c>
      <c r="EV346" s="93">
        <v>169.334</v>
      </c>
      <c r="EW346" s="93">
        <v>10.843</v>
      </c>
      <c r="EX346" s="93">
        <v>12.500999999999999</v>
      </c>
      <c r="EY346" s="20">
        <f t="shared" si="321"/>
        <v>435.351</v>
      </c>
      <c r="EZ346" s="29">
        <v>279</v>
      </c>
      <c r="FA346" s="1504">
        <v>44986</v>
      </c>
      <c r="FB346" s="1949">
        <v>1811</v>
      </c>
      <c r="FC346" s="29">
        <v>1768</v>
      </c>
      <c r="FD346" s="29">
        <f t="shared" si="316"/>
        <v>3579</v>
      </c>
      <c r="FE346" s="29">
        <v>553</v>
      </c>
      <c r="FF346" s="29">
        <v>0</v>
      </c>
      <c r="FG346" s="29">
        <v>0</v>
      </c>
      <c r="FH346" s="29">
        <v>0</v>
      </c>
      <c r="FI346" s="29">
        <v>0</v>
      </c>
      <c r="FJ346" s="29">
        <f t="shared" si="326"/>
        <v>0</v>
      </c>
      <c r="FK346" s="29">
        <v>279</v>
      </c>
      <c r="FL346" s="1504">
        <v>44986</v>
      </c>
      <c r="FM346" s="733">
        <v>122.1</v>
      </c>
      <c r="FN346" s="570">
        <v>135</v>
      </c>
      <c r="FO346" s="570">
        <v>158.69999999999999</v>
      </c>
      <c r="FP346" s="570">
        <v>101.7</v>
      </c>
      <c r="FQ346" s="570">
        <v>108.1</v>
      </c>
      <c r="FR346" s="570">
        <v>102</v>
      </c>
      <c r="FS346" s="570">
        <v>106.5</v>
      </c>
      <c r="FT346" s="570">
        <v>110.6</v>
      </c>
      <c r="FU346" s="570">
        <v>98.7</v>
      </c>
      <c r="FV346" s="570">
        <v>101.1</v>
      </c>
      <c r="FW346" s="570">
        <v>114.1</v>
      </c>
      <c r="FX346" s="570">
        <v>111.5</v>
      </c>
      <c r="FY346" s="570">
        <v>102.3</v>
      </c>
      <c r="FZ346" s="29">
        <v>279</v>
      </c>
      <c r="GA346" s="1504">
        <v>44986</v>
      </c>
      <c r="GB346" s="733">
        <v>122.1</v>
      </c>
      <c r="GC346" s="570">
        <v>111.9</v>
      </c>
      <c r="GD346" s="93">
        <v>127</v>
      </c>
      <c r="GE346" s="570">
        <v>114.3</v>
      </c>
      <c r="GF346" s="570">
        <v>148.69999999999999</v>
      </c>
      <c r="GG346" s="570">
        <v>111.9</v>
      </c>
      <c r="GH346" s="570">
        <v>142.80000000000001</v>
      </c>
      <c r="GI346" s="570">
        <v>112.3</v>
      </c>
      <c r="GJ346" s="570">
        <v>107.9</v>
      </c>
      <c r="GK346" s="570">
        <v>103.1</v>
      </c>
      <c r="GL346" s="570">
        <v>132</v>
      </c>
      <c r="GM346" s="570">
        <v>102.4</v>
      </c>
      <c r="GN346" s="734">
        <v>107.9</v>
      </c>
      <c r="GO346" s="29">
        <v>279</v>
      </c>
      <c r="GP346" s="1504">
        <v>44986</v>
      </c>
      <c r="GQ346" s="19">
        <v>397</v>
      </c>
      <c r="GR346" s="93">
        <v>330</v>
      </c>
      <c r="GS346" s="93">
        <v>305</v>
      </c>
      <c r="GT346" s="93">
        <v>276</v>
      </c>
      <c r="GU346" s="93">
        <v>442</v>
      </c>
      <c r="GV346" s="20">
        <v>1427</v>
      </c>
      <c r="GW346" s="19">
        <v>414</v>
      </c>
      <c r="GX346" s="93">
        <v>644</v>
      </c>
      <c r="GY346" s="93">
        <v>513</v>
      </c>
      <c r="GZ346" s="93">
        <v>333</v>
      </c>
      <c r="HA346" s="93">
        <v>198</v>
      </c>
      <c r="HB346" s="20">
        <v>1021</v>
      </c>
      <c r="HC346" s="19">
        <v>2418</v>
      </c>
      <c r="HD346" s="93">
        <v>2907</v>
      </c>
      <c r="HE346" s="93">
        <v>3017</v>
      </c>
      <c r="HF346" s="93">
        <v>3150</v>
      </c>
      <c r="HG346" s="93">
        <v>3634</v>
      </c>
      <c r="HH346" s="20">
        <v>3862</v>
      </c>
      <c r="HI346" s="19"/>
      <c r="HJ346" s="93">
        <v>981</v>
      </c>
      <c r="HK346" s="93">
        <v>2564</v>
      </c>
      <c r="HL346" s="93">
        <v>974</v>
      </c>
      <c r="HM346" s="93">
        <v>1260</v>
      </c>
      <c r="HN346" s="20">
        <v>2863</v>
      </c>
      <c r="HO346" s="219">
        <v>289</v>
      </c>
      <c r="HP346" s="20">
        <v>70</v>
      </c>
      <c r="HQ346" s="25">
        <v>195</v>
      </c>
      <c r="HR346" s="29">
        <v>279</v>
      </c>
      <c r="HS346" s="1504">
        <v>44986</v>
      </c>
      <c r="HT346" s="19"/>
      <c r="HU346" s="93"/>
      <c r="HV346" s="93"/>
      <c r="HW346" s="93"/>
      <c r="HX346" s="93"/>
      <c r="HY346" s="93"/>
      <c r="HZ346" s="93"/>
      <c r="IA346" s="20"/>
      <c r="IB346" s="19"/>
      <c r="IC346" s="93"/>
      <c r="ID346" s="93"/>
      <c r="IE346" s="93"/>
      <c r="IF346" s="93"/>
      <c r="IG346" s="20"/>
      <c r="IH346" s="19"/>
      <c r="II346" s="93"/>
      <c r="IJ346" s="93"/>
      <c r="IK346" s="93"/>
      <c r="IL346" s="93"/>
      <c r="IM346" s="93"/>
      <c r="IN346" s="93"/>
      <c r="IO346" s="20"/>
      <c r="IP346" s="29"/>
      <c r="IQ346" s="19"/>
      <c r="IR346" s="93"/>
      <c r="IS346" s="93"/>
      <c r="IT346" s="93"/>
      <c r="IU346" s="93"/>
      <c r="IV346" s="20"/>
      <c r="IW346" s="29"/>
      <c r="IX346" s="19"/>
      <c r="IY346" s="93"/>
      <c r="IZ346" s="93"/>
      <c r="JA346" s="93"/>
      <c r="JB346" s="93"/>
      <c r="JC346" s="93"/>
      <c r="JD346" s="93"/>
      <c r="JE346" s="20"/>
      <c r="JF346" s="29"/>
      <c r="JG346" s="19"/>
      <c r="JH346" s="93"/>
      <c r="JI346" s="93"/>
      <c r="JJ346" s="93"/>
      <c r="JK346" s="93"/>
      <c r="JL346" s="93"/>
      <c r="JM346" s="93"/>
      <c r="JN346" s="20"/>
      <c r="JO346" s="29"/>
      <c r="JP346" s="19"/>
      <c r="JQ346" s="93"/>
      <c r="JR346" s="93"/>
      <c r="JS346" s="93"/>
      <c r="JT346" s="93"/>
      <c r="JU346" s="20"/>
      <c r="JV346" s="29"/>
      <c r="JW346" s="1504">
        <v>44986</v>
      </c>
      <c r="JX346" s="19"/>
      <c r="JY346" s="93"/>
      <c r="JZ346" s="93"/>
      <c r="KA346" s="93"/>
      <c r="KB346" s="93"/>
      <c r="KC346" s="93"/>
      <c r="KD346" s="20"/>
      <c r="KE346" s="29"/>
      <c r="KF346" s="19"/>
      <c r="KG346" s="93"/>
      <c r="KH346" s="93"/>
      <c r="KI346" s="93"/>
      <c r="KJ346" s="93"/>
      <c r="KK346" s="20"/>
      <c r="KL346" s="29"/>
      <c r="KM346" s="19"/>
      <c r="KN346" s="93"/>
      <c r="KO346" s="93"/>
      <c r="KP346" s="93"/>
      <c r="KQ346" s="93"/>
      <c r="KR346" s="20"/>
      <c r="KS346" s="29"/>
      <c r="KT346" s="19"/>
      <c r="KU346" s="93"/>
      <c r="KV346" s="93"/>
      <c r="KW346" s="93"/>
      <c r="KX346" s="93"/>
      <c r="KY346" s="20"/>
      <c r="KZ346" s="29"/>
      <c r="LA346" s="1504">
        <v>44986</v>
      </c>
      <c r="LB346" s="19"/>
      <c r="LC346" s="93"/>
      <c r="LD346" s="93"/>
      <c r="LE346" s="93"/>
      <c r="LF346" s="93"/>
      <c r="LG346" s="93"/>
      <c r="LH346" s="20"/>
      <c r="LI346" s="29"/>
      <c r="LJ346" s="19"/>
      <c r="LK346" s="93"/>
      <c r="LL346" s="93"/>
      <c r="LM346" s="93"/>
      <c r="LN346" s="93"/>
      <c r="LO346" s="20"/>
      <c r="LP346" s="29"/>
      <c r="LQ346" s="19"/>
      <c r="LR346" s="93">
        <v>188</v>
      </c>
      <c r="LS346" s="93">
        <v>463</v>
      </c>
      <c r="LT346" s="93">
        <v>663</v>
      </c>
      <c r="LU346" s="93">
        <v>1104</v>
      </c>
      <c r="LV346" s="93"/>
      <c r="LW346" s="93">
        <v>5</v>
      </c>
      <c r="LX346" s="93">
        <v>10</v>
      </c>
      <c r="LY346" s="93">
        <v>60</v>
      </c>
      <c r="LZ346" s="93"/>
      <c r="MA346" s="20"/>
      <c r="MB346" s="29">
        <v>279</v>
      </c>
      <c r="MC346" s="1504">
        <v>44986</v>
      </c>
      <c r="MD346" s="19">
        <v>663.88077248978288</v>
      </c>
      <c r="ME346" s="93">
        <v>563.2581678265999</v>
      </c>
      <c r="MF346" s="93">
        <v>563.2581678265999</v>
      </c>
      <c r="MG346" s="93">
        <v>520.87808253259982</v>
      </c>
      <c r="MH346" s="93">
        <v>175.09988992299998</v>
      </c>
      <c r="MI346" s="93">
        <v>4.9049985339999997</v>
      </c>
      <c r="MJ346" s="93">
        <v>16.735987929</v>
      </c>
      <c r="MK346" s="93">
        <v>248.07508019260001</v>
      </c>
      <c r="ML346" s="93">
        <v>75.779797451999997</v>
      </c>
      <c r="MM346" s="93">
        <v>0.28232850199999998</v>
      </c>
      <c r="MN346" s="93">
        <v>42.380085293999997</v>
      </c>
      <c r="MO346" s="93">
        <v>1.3672028500000002</v>
      </c>
      <c r="MP346" s="93">
        <v>14.360117844000001</v>
      </c>
      <c r="MQ346" s="93">
        <v>0.36344971499999995</v>
      </c>
      <c r="MR346" s="93">
        <v>0.505263185</v>
      </c>
      <c r="MS346" s="93">
        <v>25.784051699999999</v>
      </c>
      <c r="MT346" s="93">
        <v>0</v>
      </c>
      <c r="MU346" s="93">
        <v>100.62260466318305</v>
      </c>
      <c r="MV346" s="93">
        <v>100.62260466318305</v>
      </c>
      <c r="MW346" s="93">
        <v>0</v>
      </c>
      <c r="MX346" s="93">
        <v>882.39525470336787</v>
      </c>
      <c r="MY346" s="93">
        <v>889.10435643336768</v>
      </c>
      <c r="MZ346" s="93">
        <v>547.37633577802717</v>
      </c>
      <c r="NA346" s="93">
        <v>273.491970552</v>
      </c>
      <c r="NB346" s="93">
        <v>46.627193812999998</v>
      </c>
      <c r="NC346" s="93">
        <v>52.589308918027179</v>
      </c>
      <c r="ND346" s="93">
        <v>47.450750711000005</v>
      </c>
      <c r="NE346" s="93">
        <v>5.1385582070271694</v>
      </c>
      <c r="NF346" s="93">
        <v>174.66786249500001</v>
      </c>
      <c r="NG346" s="93">
        <v>35.778786603</v>
      </c>
      <c r="NH346" s="93">
        <v>53.475777464000004</v>
      </c>
      <c r="NI346" s="93">
        <v>0</v>
      </c>
      <c r="NJ346" s="93">
        <v>35.647044272999999</v>
      </c>
      <c r="NK346" s="93">
        <v>341.72802065534069</v>
      </c>
      <c r="NL346" s="93">
        <v>137.241987636</v>
      </c>
      <c r="NM346" s="93">
        <v>0</v>
      </c>
      <c r="NN346" s="93">
        <v>204.48603301934062</v>
      </c>
      <c r="NO346" s="93">
        <v>-6.709101730000004</v>
      </c>
      <c r="NP346" s="93">
        <v>-218.5144822135849</v>
      </c>
      <c r="NQ346" s="93">
        <v>-319.13708687676791</v>
      </c>
      <c r="NR346" s="93">
        <v>-62.061744939400107</v>
      </c>
      <c r="NS346" s="93">
        <v>-114.6510538574273</v>
      </c>
      <c r="NT346" s="93">
        <v>-62.08952148372186</v>
      </c>
      <c r="NU346" s="93">
        <v>-162.71212614690489</v>
      </c>
      <c r="NV346" s="93">
        <v>62.697818274244881</v>
      </c>
      <c r="NW346" s="93">
        <v>90.408519513244897</v>
      </c>
      <c r="NX346" s="93">
        <v>103.8634283561576</v>
      </c>
      <c r="NY346" s="93">
        <v>-13.454908842912696</v>
      </c>
      <c r="NZ346" s="93">
        <v>0</v>
      </c>
      <c r="OA346" s="93">
        <v>-27.710701239000006</v>
      </c>
      <c r="OB346" s="93">
        <v>152.583045363</v>
      </c>
      <c r="OC346" s="93">
        <v>-180.293746602</v>
      </c>
      <c r="OD346" s="20">
        <v>-0.60829679052302243</v>
      </c>
      <c r="OE346" s="29">
        <v>279</v>
      </c>
      <c r="OF346" s="1504">
        <v>44986</v>
      </c>
      <c r="OG346" s="19"/>
      <c r="OH346" s="93">
        <v>858.63758405400006</v>
      </c>
      <c r="OI346" s="93">
        <v>2550.6226424810002</v>
      </c>
      <c r="OJ346" s="93">
        <v>0.54813125100000004</v>
      </c>
      <c r="OK346" s="93">
        <v>2248.4740000000002</v>
      </c>
      <c r="OL346" s="93">
        <v>301.60051123</v>
      </c>
      <c r="OM346" s="93">
        <v>3409.2602265350001</v>
      </c>
      <c r="ON346" s="93">
        <v>1969.3901083190001</v>
      </c>
      <c r="OO346" s="93">
        <v>5378.650334854</v>
      </c>
      <c r="OP346" s="93"/>
      <c r="OQ346" s="93">
        <v>1657.7496957499998</v>
      </c>
      <c r="OR346" s="93">
        <v>-391.68530425</v>
      </c>
      <c r="OS346" s="93">
        <v>2049.4349999999999</v>
      </c>
      <c r="OT346" s="93">
        <v>4317.6425430890004</v>
      </c>
      <c r="OU346" s="93">
        <v>333.10850421300006</v>
      </c>
      <c r="OV346" s="93">
        <v>22.294504212999989</v>
      </c>
      <c r="OW346" s="93">
        <v>310.81400000000008</v>
      </c>
      <c r="OX346" s="93">
        <v>3984.5340388760001</v>
      </c>
      <c r="OY346" s="93">
        <v>9.2310388759999995</v>
      </c>
      <c r="OZ346" s="93">
        <v>3975.3029999999999</v>
      </c>
      <c r="PA346" s="93">
        <v>1053.428432729</v>
      </c>
      <c r="PB346" s="93">
        <v>-456.68652874400004</v>
      </c>
      <c r="PC346" s="20">
        <v>5378.6503348540009</v>
      </c>
      <c r="PD346" s="29">
        <v>279</v>
      </c>
      <c r="PE346" s="19"/>
      <c r="PF346" s="93">
        <v>-391.68530425</v>
      </c>
      <c r="PG346" s="93">
        <v>310.95002076400004</v>
      </c>
      <c r="PH346" s="93">
        <v>702.63532501400005</v>
      </c>
      <c r="PI346" s="93">
        <v>1547.456031532</v>
      </c>
      <c r="PJ346" s="93">
        <v>28.859706550999988</v>
      </c>
      <c r="PK346" s="93">
        <v>324.13975690299998</v>
      </c>
      <c r="PL346" s="93">
        <v>295.28005035199999</v>
      </c>
      <c r="PM346" s="93">
        <v>9.2310388759999995</v>
      </c>
      <c r="PN346" s="93">
        <v>3.5590000000000002</v>
      </c>
      <c r="PO346" s="93">
        <v>0</v>
      </c>
      <c r="PP346" s="93">
        <v>0</v>
      </c>
      <c r="PQ346" s="93">
        <v>5.6720388760000002</v>
      </c>
      <c r="PR346" s="93">
        <v>1243.6039750799998</v>
      </c>
      <c r="PS346" s="93">
        <v>983.01278639199995</v>
      </c>
      <c r="PT346" s="93">
        <v>259.709949118</v>
      </c>
      <c r="PU346" s="93">
        <v>0.88123956999999997</v>
      </c>
      <c r="PV346" s="93">
        <v>0</v>
      </c>
      <c r="PW346" s="93">
        <v>3.91654276</v>
      </c>
      <c r="PX346" s="93">
        <v>0</v>
      </c>
      <c r="PY346" s="93">
        <v>0</v>
      </c>
      <c r="PZ346" s="93">
        <v>3.91654276</v>
      </c>
      <c r="QA346" s="93">
        <v>0</v>
      </c>
      <c r="QB346" s="93">
        <v>0</v>
      </c>
      <c r="QC346" s="93">
        <v>0</v>
      </c>
      <c r="QD346" s="93">
        <v>9.1908899690000005</v>
      </c>
      <c r="QE346" s="20">
        <v>-62.84993510000001</v>
      </c>
      <c r="QF346" s="1739">
        <v>279</v>
      </c>
      <c r="QG346" s="19"/>
      <c r="QH346" s="93">
        <v>2049.4349999999999</v>
      </c>
      <c r="QI346" s="93">
        <v>2795.2429999999999</v>
      </c>
      <c r="QJ346" s="93">
        <v>-745.80799999999999</v>
      </c>
      <c r="QK346" s="93">
        <v>379.733</v>
      </c>
      <c r="QL346" s="93">
        <v>117.81</v>
      </c>
      <c r="QM346" s="93">
        <v>261.923</v>
      </c>
      <c r="QN346" s="93">
        <v>0</v>
      </c>
      <c r="QO346" s="93">
        <v>310.81400000000008</v>
      </c>
      <c r="QP346" s="93">
        <v>1115.586</v>
      </c>
      <c r="QQ346" s="93">
        <v>-804.77199999999993</v>
      </c>
      <c r="QR346" s="93">
        <v>3975.3029999999999</v>
      </c>
      <c r="QS346" s="93">
        <v>43.541000000000004</v>
      </c>
      <c r="QT346" s="93">
        <v>15.304</v>
      </c>
      <c r="QU346" s="93">
        <v>343.779</v>
      </c>
      <c r="QV346" s="93">
        <v>3572.6790000000001</v>
      </c>
      <c r="QW346" s="93"/>
      <c r="QX346" s="93">
        <v>1544.69</v>
      </c>
      <c r="QY346" s="93">
        <v>2248.4740000000002</v>
      </c>
      <c r="QZ346" s="93">
        <v>1969.057</v>
      </c>
      <c r="RA346" s="93">
        <v>0</v>
      </c>
      <c r="RB346" s="93">
        <v>263.64299999999997</v>
      </c>
      <c r="RC346" s="93">
        <v>0</v>
      </c>
      <c r="RD346" s="93">
        <v>45.588999999999992</v>
      </c>
      <c r="RE346" s="93">
        <v>0</v>
      </c>
      <c r="RF346" s="93">
        <v>0</v>
      </c>
      <c r="RG346" s="93">
        <v>731.08899999999994</v>
      </c>
      <c r="RH346" s="93">
        <v>-87.257000000000005</v>
      </c>
      <c r="RI346" s="93"/>
      <c r="RJ346" s="93"/>
      <c r="RK346" s="93"/>
      <c r="RL346" s="93"/>
      <c r="RM346" s="20"/>
      <c r="RN346" s="29">
        <v>279</v>
      </c>
      <c r="RO346" s="19"/>
      <c r="RP346" s="20"/>
      <c r="RQ346" s="29"/>
      <c r="RR346" s="20"/>
      <c r="RS346" s="29"/>
      <c r="RT346" s="1504">
        <v>44986</v>
      </c>
      <c r="RU346" s="19">
        <v>2000</v>
      </c>
      <c r="RV346" s="20">
        <v>61</v>
      </c>
      <c r="RW346" s="29">
        <v>279</v>
      </c>
      <c r="RX346" s="1504">
        <v>44986</v>
      </c>
      <c r="RY346" s="29"/>
      <c r="RZ346" s="20"/>
      <c r="SA346" s="29"/>
      <c r="SB346" s="29"/>
    </row>
    <row r="347" spans="1:496">
      <c r="A347" s="41">
        <f t="shared" si="238"/>
        <v>2023</v>
      </c>
      <c r="B347" s="1504">
        <v>45017</v>
      </c>
      <c r="C347" s="1813">
        <v>1541</v>
      </c>
      <c r="D347" s="1814">
        <v>23828</v>
      </c>
      <c r="E347" s="1814">
        <v>44</v>
      </c>
      <c r="F347" s="1815"/>
      <c r="G347" s="1814">
        <v>68544</v>
      </c>
      <c r="H347" s="1814">
        <v>8</v>
      </c>
      <c r="I347" s="1814">
        <v>24712</v>
      </c>
      <c r="J347" s="1816">
        <v>13724</v>
      </c>
      <c r="K347" s="1807">
        <f t="shared" si="330"/>
        <v>132401</v>
      </c>
      <c r="L347" s="25">
        <v>280</v>
      </c>
      <c r="M347" s="97"/>
      <c r="N347" s="1504">
        <v>45017</v>
      </c>
      <c r="O347" s="19">
        <v>1373</v>
      </c>
      <c r="P347" s="93">
        <v>1330</v>
      </c>
      <c r="Q347" s="93">
        <v>10316</v>
      </c>
      <c r="R347" s="93">
        <v>2665</v>
      </c>
      <c r="S347" s="93">
        <v>1881</v>
      </c>
      <c r="T347" s="93">
        <v>928</v>
      </c>
      <c r="U347" s="93">
        <v>583</v>
      </c>
      <c r="V347" s="93">
        <v>156</v>
      </c>
      <c r="W347" s="93">
        <v>936</v>
      </c>
      <c r="X347" s="93">
        <v>811</v>
      </c>
      <c r="Y347" s="93">
        <v>511</v>
      </c>
      <c r="Z347" s="93">
        <v>1022</v>
      </c>
      <c r="AA347" s="93">
        <v>1316</v>
      </c>
      <c r="AB347" s="20">
        <f t="shared" si="327"/>
        <v>23828</v>
      </c>
      <c r="AC347" s="25">
        <v>280</v>
      </c>
      <c r="AD347" s="97"/>
      <c r="AE347" s="1504">
        <v>45017</v>
      </c>
      <c r="AF347" s="19">
        <v>2352</v>
      </c>
      <c r="AG347" s="93">
        <v>922</v>
      </c>
      <c r="AH347" s="93">
        <v>4919</v>
      </c>
      <c r="AI347" s="93">
        <v>4307</v>
      </c>
      <c r="AJ347" s="93">
        <v>2369</v>
      </c>
      <c r="AK347" s="93">
        <v>1920</v>
      </c>
      <c r="AL347" s="93">
        <v>912</v>
      </c>
      <c r="AM347" s="93">
        <v>151</v>
      </c>
      <c r="AN347" s="93">
        <v>1755</v>
      </c>
      <c r="AO347" s="93">
        <v>1387</v>
      </c>
      <c r="AP347" s="93">
        <v>1188</v>
      </c>
      <c r="AQ347" s="93">
        <v>1133</v>
      </c>
      <c r="AR347" s="93">
        <v>1397</v>
      </c>
      <c r="AS347" s="132">
        <f t="shared" si="323"/>
        <v>24712</v>
      </c>
      <c r="AT347" s="25">
        <v>280</v>
      </c>
      <c r="AU347" s="97"/>
      <c r="AV347" s="1504">
        <v>45017</v>
      </c>
      <c r="AW347" s="19">
        <v>9177</v>
      </c>
      <c r="AX347" s="93">
        <v>3201</v>
      </c>
      <c r="AY347" s="93">
        <v>3733</v>
      </c>
      <c r="AZ347" s="93">
        <v>12398</v>
      </c>
      <c r="BA347" s="93">
        <v>5756</v>
      </c>
      <c r="BB347" s="93">
        <v>6609</v>
      </c>
      <c r="BC347" s="93">
        <v>4050</v>
      </c>
      <c r="BD347" s="93">
        <v>198</v>
      </c>
      <c r="BE347" s="93">
        <v>4736</v>
      </c>
      <c r="BF347" s="93">
        <v>4683</v>
      </c>
      <c r="BG347" s="93">
        <v>3862</v>
      </c>
      <c r="BH347" s="93">
        <v>4167</v>
      </c>
      <c r="BI347" s="93">
        <v>5974</v>
      </c>
      <c r="BJ347" s="132">
        <f t="shared" si="324"/>
        <v>68544</v>
      </c>
      <c r="BK347" s="25">
        <v>280</v>
      </c>
      <c r="BL347" s="97"/>
      <c r="BM347" s="1504">
        <v>45017</v>
      </c>
      <c r="BN347" s="733">
        <v>84.754999999999995</v>
      </c>
      <c r="BO347" s="570">
        <v>3288.2640000000001</v>
      </c>
      <c r="BP347" s="570">
        <v>8.8000000000000007</v>
      </c>
      <c r="BQ347" s="570">
        <v>616.89599999999996</v>
      </c>
      <c r="BR347" s="570">
        <v>1.4</v>
      </c>
      <c r="BS347" s="570">
        <v>247.12</v>
      </c>
      <c r="BT347" s="570">
        <v>384.27199999999999</v>
      </c>
      <c r="BU347" s="132">
        <f t="shared" si="325"/>
        <v>4631.5070000000005</v>
      </c>
      <c r="BV347" s="25">
        <v>280</v>
      </c>
      <c r="BW347" s="97"/>
      <c r="BX347" s="1504">
        <v>45017</v>
      </c>
      <c r="BY347" s="19">
        <v>597.29999999999995</v>
      </c>
      <c r="BZ347" s="93">
        <v>655.95699999999999</v>
      </c>
      <c r="CA347" s="93">
        <v>664.98</v>
      </c>
      <c r="CB347" s="93">
        <v>32.831000000000003</v>
      </c>
      <c r="CC347" s="93">
        <v>52.442999999999998</v>
      </c>
      <c r="CD347" s="25">
        <v>280</v>
      </c>
      <c r="CE347" s="97"/>
      <c r="CF347" s="1504">
        <v>45017</v>
      </c>
      <c r="CG347" s="733">
        <v>2.0979163920000001</v>
      </c>
      <c r="CH347" s="570">
        <v>1999.77</v>
      </c>
      <c r="CI347" s="1945">
        <v>82.46</v>
      </c>
      <c r="CJ347" s="734">
        <v>84.11</v>
      </c>
      <c r="CK347" s="733">
        <v>482.88</v>
      </c>
      <c r="CL347" s="570">
        <v>291.11454959999998</v>
      </c>
      <c r="CM347" s="568">
        <v>0.53219526800000005</v>
      </c>
      <c r="CN347" s="568">
        <v>0.91116944600000005</v>
      </c>
      <c r="CO347" s="570">
        <v>378.18</v>
      </c>
      <c r="CP347" s="734">
        <v>5.30431572</v>
      </c>
      <c r="CQ347" s="1945">
        <v>2088.2600000000002</v>
      </c>
      <c r="CR347" s="570">
        <v>2.3475000000000001</v>
      </c>
      <c r="CS347" s="570">
        <v>1.5412999999999999</v>
      </c>
      <c r="CT347" s="570">
        <v>345</v>
      </c>
      <c r="CU347" s="570">
        <v>117.39</v>
      </c>
      <c r="CV347" s="1539">
        <v>2767.56</v>
      </c>
      <c r="CW347" s="29">
        <v>280</v>
      </c>
      <c r="CX347" s="41">
        <f t="shared" si="319"/>
        <v>2023</v>
      </c>
      <c r="CY347" s="1504">
        <v>45017</v>
      </c>
      <c r="CZ347" s="19"/>
      <c r="DA347" s="93"/>
      <c r="DB347" s="93"/>
      <c r="DC347" s="93"/>
      <c r="DD347" s="93"/>
      <c r="DE347" s="20"/>
      <c r="DF347" s="29"/>
      <c r="DG347" s="1504">
        <v>45017</v>
      </c>
      <c r="DH347" s="19">
        <v>512707</v>
      </c>
      <c r="DI347" s="93">
        <v>5742440</v>
      </c>
      <c r="DJ347" s="93">
        <v>292402</v>
      </c>
      <c r="DK347" s="93">
        <v>21967</v>
      </c>
      <c r="DL347" s="93">
        <v>517530</v>
      </c>
      <c r="DM347" s="93">
        <v>5740</v>
      </c>
      <c r="DN347" s="20">
        <v>1954803</v>
      </c>
      <c r="DO347" s="295">
        <f t="shared" si="282"/>
        <v>8534882</v>
      </c>
      <c r="DP347" s="29">
        <v>280</v>
      </c>
      <c r="DQ347" s="1504">
        <v>45017</v>
      </c>
      <c r="DR347" s="19">
        <v>68711.5</v>
      </c>
      <c r="DS347" s="93">
        <v>137</v>
      </c>
      <c r="DT347" s="93">
        <v>69320.5</v>
      </c>
      <c r="DU347" s="93">
        <v>3929.0070000000001</v>
      </c>
      <c r="DV347" s="93">
        <v>39168.748</v>
      </c>
      <c r="DW347" s="93">
        <v>3996</v>
      </c>
      <c r="DX347" s="20">
        <v>10912.999</v>
      </c>
      <c r="DY347" s="29">
        <v>280</v>
      </c>
      <c r="DZ347" s="1504">
        <v>45017</v>
      </c>
      <c r="EA347" s="19"/>
      <c r="EB347" s="93"/>
      <c r="EC347" s="20"/>
      <c r="ED347" s="29"/>
      <c r="EE347" s="1504">
        <v>45017</v>
      </c>
      <c r="EF347" s="19">
        <f t="shared" si="335"/>
        <v>16561</v>
      </c>
      <c r="EG347" s="93">
        <f t="shared" si="335"/>
        <v>18958</v>
      </c>
      <c r="EH347" s="93">
        <f t="shared" si="336"/>
        <v>44852</v>
      </c>
      <c r="EI347" s="214">
        <f t="shared" si="337"/>
        <v>9333</v>
      </c>
      <c r="EJ347" s="93">
        <f t="shared" si="337"/>
        <v>221.99700000000001</v>
      </c>
      <c r="EK347" s="93">
        <f t="shared" si="337"/>
        <v>99.828999999999994</v>
      </c>
      <c r="EL347" s="93">
        <f t="shared" si="337"/>
        <v>2.9710000000000001</v>
      </c>
      <c r="EM347" s="93">
        <f t="shared" si="337"/>
        <v>10.220000000000001</v>
      </c>
      <c r="EN347" s="20">
        <f t="shared" si="338"/>
        <v>335.01700000000005</v>
      </c>
      <c r="EO347" s="29">
        <v>280</v>
      </c>
      <c r="EP347" s="1504">
        <v>45017</v>
      </c>
      <c r="EQ347" s="19">
        <v>15033</v>
      </c>
      <c r="ER347" s="93">
        <v>17492</v>
      </c>
      <c r="ES347" s="93">
        <f>EQ347+ER347</f>
        <v>32525</v>
      </c>
      <c r="ET347" s="214">
        <v>8945</v>
      </c>
      <c r="EU347" s="93">
        <v>221.99700000000001</v>
      </c>
      <c r="EV347" s="93">
        <v>99.828999999999994</v>
      </c>
      <c r="EW347" s="93">
        <v>2.9710000000000001</v>
      </c>
      <c r="EX347" s="93">
        <v>10.220000000000001</v>
      </c>
      <c r="EY347" s="20">
        <f t="shared" si="321"/>
        <v>335.01700000000005</v>
      </c>
      <c r="EZ347" s="29">
        <v>280</v>
      </c>
      <c r="FA347" s="1504">
        <v>45017</v>
      </c>
      <c r="FB347" s="1949">
        <v>1528</v>
      </c>
      <c r="FC347" s="29">
        <v>1466</v>
      </c>
      <c r="FD347" s="29">
        <f t="shared" si="316"/>
        <v>2994</v>
      </c>
      <c r="FE347" s="29">
        <v>388</v>
      </c>
      <c r="FF347" s="29">
        <v>0</v>
      </c>
      <c r="FG347" s="29">
        <v>0</v>
      </c>
      <c r="FH347" s="29">
        <v>0</v>
      </c>
      <c r="FI347" s="29">
        <v>0</v>
      </c>
      <c r="FJ347" s="29">
        <f t="shared" si="326"/>
        <v>0</v>
      </c>
      <c r="FK347" s="29">
        <v>280</v>
      </c>
      <c r="FL347" s="1504">
        <v>45017</v>
      </c>
      <c r="FM347" s="733">
        <v>122.5</v>
      </c>
      <c r="FN347" s="570">
        <v>136.30000000000001</v>
      </c>
      <c r="FO347" s="570">
        <v>153.80000000000001</v>
      </c>
      <c r="FP347" s="570">
        <v>101.7</v>
      </c>
      <c r="FQ347" s="570">
        <v>107.8</v>
      </c>
      <c r="FR347" s="570">
        <v>102</v>
      </c>
      <c r="FS347" s="570">
        <v>106.5</v>
      </c>
      <c r="FT347" s="570">
        <v>110.5</v>
      </c>
      <c r="FU347" s="570">
        <v>98.7</v>
      </c>
      <c r="FV347" s="570">
        <v>101.2</v>
      </c>
      <c r="FW347" s="570">
        <v>114.1</v>
      </c>
      <c r="FX347" s="570">
        <v>111.6</v>
      </c>
      <c r="FY347" s="570">
        <v>102.3</v>
      </c>
      <c r="FZ347" s="29">
        <v>280</v>
      </c>
      <c r="GA347" s="1504">
        <v>45017</v>
      </c>
      <c r="GB347" s="733">
        <v>122.5</v>
      </c>
      <c r="GC347" s="570">
        <v>111.2</v>
      </c>
      <c r="GD347" s="93">
        <v>128.1</v>
      </c>
      <c r="GE347" s="570">
        <v>114</v>
      </c>
      <c r="GF347" s="570">
        <v>149.5</v>
      </c>
      <c r="GG347" s="570">
        <v>112.4</v>
      </c>
      <c r="GH347" s="570">
        <v>144</v>
      </c>
      <c r="GI347" s="570">
        <v>112.3</v>
      </c>
      <c r="GJ347" s="570">
        <v>108.1</v>
      </c>
      <c r="GK347" s="570">
        <v>103.1</v>
      </c>
      <c r="GL347" s="570">
        <v>132.69999999999999</v>
      </c>
      <c r="GM347" s="570">
        <v>102.4</v>
      </c>
      <c r="GN347" s="734">
        <v>108.1</v>
      </c>
      <c r="GO347" s="29">
        <v>280</v>
      </c>
      <c r="GP347" s="1504">
        <v>45017</v>
      </c>
      <c r="GQ347" s="19">
        <v>405</v>
      </c>
      <c r="GR347" s="93">
        <v>332</v>
      </c>
      <c r="GS347" s="93">
        <v>309</v>
      </c>
      <c r="GT347" s="93">
        <v>284</v>
      </c>
      <c r="GU347" s="93">
        <v>412</v>
      </c>
      <c r="GV347" s="20">
        <v>1463</v>
      </c>
      <c r="GW347" s="19">
        <v>418</v>
      </c>
      <c r="GX347" s="93">
        <v>646</v>
      </c>
      <c r="GY347" s="93">
        <v>687</v>
      </c>
      <c r="GZ347" s="93">
        <v>360</v>
      </c>
      <c r="HA347" s="93">
        <v>325</v>
      </c>
      <c r="HB347" s="20">
        <v>1011</v>
      </c>
      <c r="HC347" s="19">
        <v>2277</v>
      </c>
      <c r="HD347" s="93">
        <v>3122</v>
      </c>
      <c r="HE347" s="93">
        <v>3020</v>
      </c>
      <c r="HF347" s="93">
        <v>3194</v>
      </c>
      <c r="HG347" s="93">
        <v>3799</v>
      </c>
      <c r="HH347" s="20">
        <v>3729</v>
      </c>
      <c r="HI347" s="19"/>
      <c r="HJ347" s="93">
        <v>999</v>
      </c>
      <c r="HK347" s="93">
        <v>2823</v>
      </c>
      <c r="HL347" s="93">
        <v>1159</v>
      </c>
      <c r="HM347" s="93">
        <v>1236</v>
      </c>
      <c r="HN347" s="20">
        <v>2811</v>
      </c>
      <c r="HO347" s="219">
        <v>283</v>
      </c>
      <c r="HP347" s="20">
        <v>70</v>
      </c>
      <c r="HQ347" s="25">
        <v>193</v>
      </c>
      <c r="HR347" s="29">
        <v>280</v>
      </c>
      <c r="HS347" s="1504">
        <v>45017</v>
      </c>
      <c r="HT347" s="19"/>
      <c r="HU347" s="93"/>
      <c r="HV347" s="93"/>
      <c r="HW347" s="93"/>
      <c r="HX347" s="93"/>
      <c r="HY347" s="93"/>
      <c r="HZ347" s="93"/>
      <c r="IA347" s="20"/>
      <c r="IB347" s="19"/>
      <c r="IC347" s="93"/>
      <c r="ID347" s="93"/>
      <c r="IE347" s="93"/>
      <c r="IF347" s="93"/>
      <c r="IG347" s="20"/>
      <c r="IH347" s="19"/>
      <c r="II347" s="93"/>
      <c r="IJ347" s="93"/>
      <c r="IK347" s="93"/>
      <c r="IL347" s="93"/>
      <c r="IM347" s="93"/>
      <c r="IN347" s="93"/>
      <c r="IO347" s="20"/>
      <c r="IP347" s="29"/>
      <c r="IQ347" s="19"/>
      <c r="IR347" s="93"/>
      <c r="IS347" s="93"/>
      <c r="IT347" s="93"/>
      <c r="IU347" s="93"/>
      <c r="IV347" s="20"/>
      <c r="IW347" s="29"/>
      <c r="IX347" s="19"/>
      <c r="IY347" s="93"/>
      <c r="IZ347" s="93"/>
      <c r="JA347" s="93"/>
      <c r="JB347" s="93"/>
      <c r="JC347" s="93"/>
      <c r="JD347" s="93"/>
      <c r="JE347" s="20"/>
      <c r="JF347" s="29"/>
      <c r="JG347" s="19"/>
      <c r="JH347" s="93"/>
      <c r="JI347" s="93"/>
      <c r="JJ347" s="93"/>
      <c r="JK347" s="93"/>
      <c r="JL347" s="93"/>
      <c r="JM347" s="93"/>
      <c r="JN347" s="20"/>
      <c r="JO347" s="29"/>
      <c r="JP347" s="19"/>
      <c r="JQ347" s="93"/>
      <c r="JR347" s="93"/>
      <c r="JS347" s="93"/>
      <c r="JT347" s="93"/>
      <c r="JU347" s="20"/>
      <c r="JV347" s="29"/>
      <c r="JW347" s="1504">
        <v>45017</v>
      </c>
      <c r="JX347" s="19"/>
      <c r="JY347" s="93"/>
      <c r="JZ347" s="93"/>
      <c r="KA347" s="93"/>
      <c r="KB347" s="93"/>
      <c r="KC347" s="93"/>
      <c r="KD347" s="20"/>
      <c r="KE347" s="29"/>
      <c r="KF347" s="19"/>
      <c r="KG347" s="93"/>
      <c r="KH347" s="93"/>
      <c r="KI347" s="93"/>
      <c r="KJ347" s="93"/>
      <c r="KK347" s="20"/>
      <c r="KL347" s="29"/>
      <c r="KM347" s="19"/>
      <c r="KN347" s="93"/>
      <c r="KO347" s="93"/>
      <c r="KP347" s="93"/>
      <c r="KQ347" s="93"/>
      <c r="KR347" s="20"/>
      <c r="KS347" s="29"/>
      <c r="KT347" s="19"/>
      <c r="KU347" s="93"/>
      <c r="KV347" s="93"/>
      <c r="KW347" s="93"/>
      <c r="KX347" s="93"/>
      <c r="KY347" s="20"/>
      <c r="KZ347" s="29"/>
      <c r="LA347" s="1504">
        <v>45017</v>
      </c>
      <c r="LB347" s="19"/>
      <c r="LC347" s="93"/>
      <c r="LD347" s="93"/>
      <c r="LE347" s="93"/>
      <c r="LF347" s="93"/>
      <c r="LG347" s="93"/>
      <c r="LH347" s="20"/>
      <c r="LI347" s="29"/>
      <c r="LJ347" s="19"/>
      <c r="LK347" s="93"/>
      <c r="LL347" s="93"/>
      <c r="LM347" s="93"/>
      <c r="LN347" s="93"/>
      <c r="LO347" s="20"/>
      <c r="LP347" s="29"/>
      <c r="LQ347" s="19"/>
      <c r="LR347" s="93">
        <v>188</v>
      </c>
      <c r="LS347" s="93">
        <v>463</v>
      </c>
      <c r="LT347" s="93">
        <v>663</v>
      </c>
      <c r="LU347" s="93">
        <v>1104</v>
      </c>
      <c r="LV347" s="93"/>
      <c r="LW347" s="93">
        <v>5</v>
      </c>
      <c r="LX347" s="93">
        <v>10</v>
      </c>
      <c r="LY347" s="93">
        <v>60</v>
      </c>
      <c r="LZ347" s="93"/>
      <c r="MA347" s="20"/>
      <c r="MB347" s="29">
        <v>280</v>
      </c>
      <c r="MC347" s="1504">
        <v>45017</v>
      </c>
      <c r="MD347" s="19">
        <v>921.46864260057225</v>
      </c>
      <c r="ME347" s="93">
        <v>773.94080052059996</v>
      </c>
      <c r="MF347" s="93">
        <v>773.94080052059996</v>
      </c>
      <c r="MG347" s="93">
        <v>714.88168076059981</v>
      </c>
      <c r="MH347" s="93">
        <v>268.96775084699999</v>
      </c>
      <c r="MI347" s="93">
        <v>6.3569637530000005</v>
      </c>
      <c r="MJ347" s="93">
        <v>21.609051077</v>
      </c>
      <c r="MK347" s="93">
        <v>319.6804715586</v>
      </c>
      <c r="ML347" s="93">
        <v>97.898466860999989</v>
      </c>
      <c r="MM347" s="93">
        <v>0.36897666400000001</v>
      </c>
      <c r="MN347" s="93">
        <v>59.059119759999994</v>
      </c>
      <c r="MO347" s="93">
        <v>2.0482852570000003</v>
      </c>
      <c r="MP347" s="93">
        <v>17.006187424000004</v>
      </c>
      <c r="MQ347" s="93">
        <v>0.47937253499999999</v>
      </c>
      <c r="MR347" s="93">
        <v>4.9577389319999989</v>
      </c>
      <c r="MS347" s="93">
        <v>34.567535612</v>
      </c>
      <c r="MT347" s="93">
        <v>0</v>
      </c>
      <c r="MU347" s="93">
        <v>147.52784207997232</v>
      </c>
      <c r="MV347" s="93">
        <v>147.52784207997232</v>
      </c>
      <c r="MW347" s="93">
        <v>0</v>
      </c>
      <c r="MX347" s="93">
        <v>1217.8100566912813</v>
      </c>
      <c r="MY347" s="93">
        <v>1225.4166109992814</v>
      </c>
      <c r="MZ347" s="93">
        <v>747.40088811911517</v>
      </c>
      <c r="NA347" s="93">
        <v>365.88901297066667</v>
      </c>
      <c r="NB347" s="93">
        <v>70.617270349000009</v>
      </c>
      <c r="NC347" s="93">
        <v>90.711765977948446</v>
      </c>
      <c r="ND347" s="93">
        <v>77.751260595000005</v>
      </c>
      <c r="NE347" s="93">
        <v>12.960505382948432</v>
      </c>
      <c r="NF347" s="93">
        <v>220.18283882150001</v>
      </c>
      <c r="NG347" s="93">
        <v>42.562389103000001</v>
      </c>
      <c r="NH347" s="93">
        <v>57.707402964000003</v>
      </c>
      <c r="NI347" s="93">
        <v>0</v>
      </c>
      <c r="NJ347" s="93">
        <v>47.466436823000002</v>
      </c>
      <c r="NK347" s="93">
        <v>478.01572288016627</v>
      </c>
      <c r="NL347" s="93">
        <v>189.46522348899998</v>
      </c>
      <c r="NM347" s="93">
        <v>0.70746621399999998</v>
      </c>
      <c r="NN347" s="93">
        <v>287.84303317716621</v>
      </c>
      <c r="NO347" s="93">
        <v>-7.6065543080000042</v>
      </c>
      <c r="NP347" s="93">
        <v>-296.34141409070912</v>
      </c>
      <c r="NQ347" s="93">
        <v>-443.86925617068147</v>
      </c>
      <c r="NR347" s="93">
        <v>-65.314457015566759</v>
      </c>
      <c r="NS347" s="93">
        <v>-156.02622299351523</v>
      </c>
      <c r="NT347" s="93">
        <v>-167.37782372870916</v>
      </c>
      <c r="NU347" s="93">
        <v>-314.90566580868148</v>
      </c>
      <c r="NV347" s="93">
        <v>163.35567614805879</v>
      </c>
      <c r="NW347" s="93">
        <v>112.08054418705883</v>
      </c>
      <c r="NX347" s="93">
        <v>140.31519109719392</v>
      </c>
      <c r="NY347" s="93">
        <v>-28.234646910135098</v>
      </c>
      <c r="NZ347" s="93">
        <v>0</v>
      </c>
      <c r="OA347" s="93">
        <v>51.275131960999992</v>
      </c>
      <c r="OB347" s="93">
        <v>242.73323372589999</v>
      </c>
      <c r="OC347" s="93">
        <v>-191.45810176489999</v>
      </c>
      <c r="OD347" s="20">
        <v>4.0221475806503442</v>
      </c>
      <c r="OE347" s="29">
        <v>280</v>
      </c>
      <c r="OF347" s="1504">
        <v>45017</v>
      </c>
      <c r="OG347" s="19"/>
      <c r="OH347" s="93">
        <v>900.03724503499996</v>
      </c>
      <c r="OI347" s="93">
        <v>2549.7487594269996</v>
      </c>
      <c r="OJ347" s="93">
        <v>0.38524819700000001</v>
      </c>
      <c r="OK347" s="93">
        <v>2247.7629999999999</v>
      </c>
      <c r="OL347" s="93">
        <v>301.60051123</v>
      </c>
      <c r="OM347" s="93">
        <v>3449.7860044619997</v>
      </c>
      <c r="ON347" s="93">
        <v>1969.230108319</v>
      </c>
      <c r="OO347" s="93">
        <v>5419.0161127809997</v>
      </c>
      <c r="OP347" s="93"/>
      <c r="OQ347" s="93">
        <v>1731.2864033989999</v>
      </c>
      <c r="OR347" s="93">
        <v>-254.81959660100006</v>
      </c>
      <c r="OS347" s="93">
        <v>1986.1060000000002</v>
      </c>
      <c r="OT347" s="93">
        <v>4381.3401735160005</v>
      </c>
      <c r="OU347" s="93">
        <v>322.1210702460001</v>
      </c>
      <c r="OV347" s="93">
        <v>50.88007024600001</v>
      </c>
      <c r="OW347" s="93">
        <v>271.2410000000001</v>
      </c>
      <c r="OX347" s="93">
        <v>4059.2191032700002</v>
      </c>
      <c r="OY347" s="93">
        <v>8.9971032700000002</v>
      </c>
      <c r="OZ347" s="93">
        <v>4050.2220000000002</v>
      </c>
      <c r="PA347" s="93">
        <v>1155.3678230309997</v>
      </c>
      <c r="PB347" s="93">
        <v>-461.7573588969999</v>
      </c>
      <c r="PC347" s="20">
        <v>5419.0161127810006</v>
      </c>
      <c r="PD347" s="29">
        <v>280</v>
      </c>
      <c r="PE347" s="19"/>
      <c r="PF347" s="93">
        <v>-254.81959660100006</v>
      </c>
      <c r="PG347" s="93">
        <v>541.75560030999998</v>
      </c>
      <c r="PH347" s="93">
        <v>796.57519691100003</v>
      </c>
      <c r="PI347" s="93">
        <v>1579.840455969</v>
      </c>
      <c r="PJ347" s="93">
        <v>57.445272584000008</v>
      </c>
      <c r="PK347" s="93">
        <v>324.16063840599998</v>
      </c>
      <c r="PL347" s="93">
        <v>266.71536582199997</v>
      </c>
      <c r="PM347" s="93">
        <v>8.9971032700000002</v>
      </c>
      <c r="PN347" s="93">
        <v>3.3149999999999999</v>
      </c>
      <c r="PO347" s="93">
        <v>0</v>
      </c>
      <c r="PP347" s="93">
        <v>0</v>
      </c>
      <c r="PQ347" s="93">
        <v>5.6821032699999998</v>
      </c>
      <c r="PR347" s="93">
        <v>1381.830409678</v>
      </c>
      <c r="PS347" s="93">
        <v>1033.9484473729999</v>
      </c>
      <c r="PT347" s="93">
        <v>347.16360578899997</v>
      </c>
      <c r="PU347" s="93">
        <v>0.71835651600000006</v>
      </c>
      <c r="PV347" s="93">
        <v>0</v>
      </c>
      <c r="PW347" s="93">
        <v>4.1612579690000002</v>
      </c>
      <c r="PX347" s="93">
        <v>0</v>
      </c>
      <c r="PY347" s="93">
        <v>0</v>
      </c>
      <c r="PZ347" s="93">
        <v>4.1612579690000002</v>
      </c>
      <c r="QA347" s="93">
        <v>0</v>
      </c>
      <c r="QB347" s="93">
        <v>0</v>
      </c>
      <c r="QC347" s="93">
        <v>0</v>
      </c>
      <c r="QD347" s="93">
        <v>14.181565062000001</v>
      </c>
      <c r="QE347" s="20">
        <v>-8.709997486999999</v>
      </c>
      <c r="QF347" s="1739">
        <v>280</v>
      </c>
      <c r="QG347" s="19"/>
      <c r="QH347" s="93">
        <v>1986.1060000000002</v>
      </c>
      <c r="QI347" s="93">
        <v>2715.6980000000003</v>
      </c>
      <c r="QJ347" s="93">
        <v>-729.5920000000001</v>
      </c>
      <c r="QK347" s="93">
        <v>476.8</v>
      </c>
      <c r="QL347" s="93">
        <v>127.346</v>
      </c>
      <c r="QM347" s="93">
        <v>349.45400000000001</v>
      </c>
      <c r="QN347" s="93">
        <v>0</v>
      </c>
      <c r="QO347" s="93">
        <v>271.2410000000001</v>
      </c>
      <c r="QP347" s="93">
        <v>1142.1600000000001</v>
      </c>
      <c r="QQ347" s="93">
        <v>-870.91899999999998</v>
      </c>
      <c r="QR347" s="93">
        <v>4050.2220000000002</v>
      </c>
      <c r="QS347" s="93">
        <v>41.826999999999998</v>
      </c>
      <c r="QT347" s="93">
        <v>15.366</v>
      </c>
      <c r="QU347" s="93">
        <v>342.35900000000004</v>
      </c>
      <c r="QV347" s="93">
        <v>3650.67</v>
      </c>
      <c r="QW347" s="93"/>
      <c r="QX347" s="93">
        <v>1565.489</v>
      </c>
      <c r="QY347" s="93">
        <v>2247.7629999999999</v>
      </c>
      <c r="QZ347" s="93">
        <v>1968.8969999999999</v>
      </c>
      <c r="RA347" s="93">
        <v>0</v>
      </c>
      <c r="RB347" s="93">
        <v>255.80900000000003</v>
      </c>
      <c r="RC347" s="93">
        <v>0</v>
      </c>
      <c r="RD347" s="93">
        <v>194.31800000000001</v>
      </c>
      <c r="RE347" s="93">
        <v>0</v>
      </c>
      <c r="RF347" s="93">
        <v>0</v>
      </c>
      <c r="RG347" s="93">
        <v>686.89799999999968</v>
      </c>
      <c r="RH347" s="93">
        <v>-134.80500000000001</v>
      </c>
      <c r="RI347" s="93"/>
      <c r="RJ347" s="93"/>
      <c r="RK347" s="93"/>
      <c r="RL347" s="93"/>
      <c r="RM347" s="20"/>
      <c r="RN347" s="29">
        <v>280</v>
      </c>
      <c r="RO347" s="19"/>
      <c r="RP347" s="20"/>
      <c r="RQ347" s="29"/>
      <c r="RR347" s="20"/>
      <c r="RS347" s="29"/>
      <c r="RT347" s="1504">
        <v>45017</v>
      </c>
      <c r="RU347" s="419">
        <f t="shared" ref="RU347:RV349" si="341">(((RU346/RU345-1)+(RU345/RU344-1)+(RU344/RU343-1))^1/10+1)*RU346</f>
        <v>2063.5512735517627</v>
      </c>
      <c r="RV347" s="306">
        <f t="shared" si="341"/>
        <v>67.158542124542123</v>
      </c>
      <c r="RW347" s="29">
        <v>280</v>
      </c>
      <c r="RX347" s="1504">
        <v>45017</v>
      </c>
      <c r="RY347" s="29"/>
      <c r="RZ347" s="20"/>
      <c r="SA347" s="29"/>
      <c r="SB347" s="29"/>
    </row>
    <row r="348" spans="1:496">
      <c r="A348" s="41">
        <f t="shared" si="238"/>
        <v>2023</v>
      </c>
      <c r="B348" s="1504">
        <v>45047</v>
      </c>
      <c r="C348" s="1813">
        <v>1382</v>
      </c>
      <c r="D348" s="1814">
        <v>24203</v>
      </c>
      <c r="E348" s="1814">
        <v>59</v>
      </c>
      <c r="F348" s="1815"/>
      <c r="G348" s="1814">
        <v>68471</v>
      </c>
      <c r="H348" s="1814">
        <v>11</v>
      </c>
      <c r="I348" s="1814">
        <v>22051</v>
      </c>
      <c r="J348" s="1816">
        <v>14940</v>
      </c>
      <c r="K348" s="1807">
        <f t="shared" si="330"/>
        <v>131117</v>
      </c>
      <c r="L348" s="25">
        <v>281</v>
      </c>
      <c r="M348" s="97"/>
      <c r="N348" s="1504">
        <v>45047</v>
      </c>
      <c r="O348" s="19">
        <v>1532</v>
      </c>
      <c r="P348" s="93">
        <v>1100</v>
      </c>
      <c r="Q348" s="93">
        <v>10481</v>
      </c>
      <c r="R348" s="93">
        <v>2670</v>
      </c>
      <c r="S348" s="93">
        <v>1646</v>
      </c>
      <c r="T348" s="93">
        <v>1225</v>
      </c>
      <c r="U348" s="93">
        <v>413</v>
      </c>
      <c r="V348" s="93">
        <v>151</v>
      </c>
      <c r="W348" s="93">
        <v>952</v>
      </c>
      <c r="X348" s="93">
        <v>1097</v>
      </c>
      <c r="Y348" s="93">
        <v>703</v>
      </c>
      <c r="Z348" s="93">
        <v>1089</v>
      </c>
      <c r="AA348" s="93">
        <v>1144</v>
      </c>
      <c r="AB348" s="20">
        <f t="shared" si="327"/>
        <v>24203</v>
      </c>
      <c r="AC348" s="25">
        <v>281</v>
      </c>
      <c r="AD348" s="97"/>
      <c r="AE348" s="1504">
        <v>45047</v>
      </c>
      <c r="AF348" s="19">
        <v>2587</v>
      </c>
      <c r="AG348" s="93">
        <v>1031</v>
      </c>
      <c r="AH348" s="93">
        <v>3744</v>
      </c>
      <c r="AI348" s="93">
        <v>3537</v>
      </c>
      <c r="AJ348" s="93">
        <v>1647</v>
      </c>
      <c r="AK348" s="93">
        <v>2324</v>
      </c>
      <c r="AL348" s="93">
        <v>713</v>
      </c>
      <c r="AM348" s="93">
        <v>96</v>
      </c>
      <c r="AN348" s="93">
        <v>1627</v>
      </c>
      <c r="AO348" s="93">
        <v>1569</v>
      </c>
      <c r="AP348" s="93">
        <v>955</v>
      </c>
      <c r="AQ348" s="93">
        <v>1137</v>
      </c>
      <c r="AR348" s="93">
        <v>1084</v>
      </c>
      <c r="AS348" s="132">
        <f t="shared" si="323"/>
        <v>22051</v>
      </c>
      <c r="AT348" s="25">
        <v>281</v>
      </c>
      <c r="AU348" s="97"/>
      <c r="AV348" s="1504">
        <v>45047</v>
      </c>
      <c r="AW348" s="19">
        <v>8080</v>
      </c>
      <c r="AX348" s="93">
        <v>2928</v>
      </c>
      <c r="AY348" s="93">
        <v>4023</v>
      </c>
      <c r="AZ348" s="93">
        <v>11507</v>
      </c>
      <c r="BA348" s="93">
        <v>6418</v>
      </c>
      <c r="BB348" s="93">
        <v>7546</v>
      </c>
      <c r="BC348" s="93">
        <v>2660</v>
      </c>
      <c r="BD348" s="93">
        <v>162</v>
      </c>
      <c r="BE348" s="93">
        <v>4282</v>
      </c>
      <c r="BF348" s="93">
        <v>5426</v>
      </c>
      <c r="BG348" s="93">
        <v>4605</v>
      </c>
      <c r="BH348" s="93">
        <v>4350</v>
      </c>
      <c r="BI348" s="93">
        <v>6484</v>
      </c>
      <c r="BJ348" s="132">
        <f t="shared" si="324"/>
        <v>68471</v>
      </c>
      <c r="BK348" s="25">
        <v>281</v>
      </c>
      <c r="BL348" s="97"/>
      <c r="BM348" s="1504">
        <v>45047</v>
      </c>
      <c r="BN348" s="733">
        <v>76.010000000000005</v>
      </c>
      <c r="BO348" s="570">
        <v>3340.0140000000001</v>
      </c>
      <c r="BP348" s="570">
        <v>11.8</v>
      </c>
      <c r="BQ348" s="570">
        <v>616.23900000000003</v>
      </c>
      <c r="BR348" s="570">
        <v>1.925</v>
      </c>
      <c r="BS348" s="570">
        <v>220.51</v>
      </c>
      <c r="BT348" s="570">
        <v>418.32</v>
      </c>
      <c r="BU348" s="132">
        <f t="shared" si="325"/>
        <v>4684.8180000000002</v>
      </c>
      <c r="BV348" s="25">
        <v>281</v>
      </c>
      <c r="BW348" s="97"/>
      <c r="BX348" s="1504">
        <v>45047</v>
      </c>
      <c r="BY348" s="19">
        <v>603.36</v>
      </c>
      <c r="BZ348" s="93">
        <v>655.95699999999999</v>
      </c>
      <c r="CA348" s="93">
        <v>672.07</v>
      </c>
      <c r="CB348" s="93">
        <v>31.655999999999999</v>
      </c>
      <c r="CC348" s="93">
        <v>53.186</v>
      </c>
      <c r="CD348" s="25">
        <v>281</v>
      </c>
      <c r="CE348" s="97"/>
      <c r="CF348" s="1504">
        <v>45047</v>
      </c>
      <c r="CG348" s="733">
        <v>2.0734451100000002</v>
      </c>
      <c r="CH348" s="570">
        <v>1992.13</v>
      </c>
      <c r="CI348" s="1945">
        <v>74.123333333329995</v>
      </c>
      <c r="CJ348" s="734">
        <v>75.7</v>
      </c>
      <c r="CK348" s="733">
        <v>492.68</v>
      </c>
      <c r="CL348" s="570">
        <v>268.135448</v>
      </c>
      <c r="CM348" s="568">
        <v>0.55997348000000002</v>
      </c>
      <c r="CN348" s="568">
        <v>0.93828627200000003</v>
      </c>
      <c r="CO348" s="570">
        <v>367.74</v>
      </c>
      <c r="CP348" s="734">
        <v>5.3103784249999997</v>
      </c>
      <c r="CQ348" s="1945">
        <v>2016.88</v>
      </c>
      <c r="CR348" s="570">
        <v>2.234</v>
      </c>
      <c r="CS348" s="570">
        <v>1.5568</v>
      </c>
      <c r="CT348" s="570">
        <v>345</v>
      </c>
      <c r="CU348" s="570">
        <v>105.15</v>
      </c>
      <c r="CV348" s="1539">
        <v>2475.6999999999998</v>
      </c>
      <c r="CW348" s="29">
        <v>281</v>
      </c>
      <c r="CX348" s="41">
        <f t="shared" si="319"/>
        <v>2023</v>
      </c>
      <c r="CY348" s="1504">
        <v>45047</v>
      </c>
      <c r="CZ348" s="19"/>
      <c r="DA348" s="93"/>
      <c r="DB348" s="93"/>
      <c r="DC348" s="93"/>
      <c r="DD348" s="93"/>
      <c r="DE348" s="20"/>
      <c r="DF348" s="29"/>
      <c r="DG348" s="1504">
        <v>45047</v>
      </c>
      <c r="DH348" s="19">
        <v>513404</v>
      </c>
      <c r="DI348" s="93">
        <v>5546862</v>
      </c>
      <c r="DJ348" s="93">
        <v>281840</v>
      </c>
      <c r="DK348" s="93">
        <v>20288</v>
      </c>
      <c r="DL348" s="93">
        <v>488390</v>
      </c>
      <c r="DM348" s="93">
        <v>5267</v>
      </c>
      <c r="DN348" s="20">
        <v>1694334</v>
      </c>
      <c r="DO348" s="295">
        <f t="shared" si="282"/>
        <v>8036981</v>
      </c>
      <c r="DP348" s="29">
        <v>281</v>
      </c>
      <c r="DQ348" s="1504">
        <v>45047</v>
      </c>
      <c r="DR348" s="19">
        <v>79997.399999999994</v>
      </c>
      <c r="DS348" s="93">
        <v>153</v>
      </c>
      <c r="DT348" s="93">
        <v>79300.95</v>
      </c>
      <c r="DU348" s="93">
        <v>3541.89</v>
      </c>
      <c r="DV348" s="93">
        <v>32708.402999999998</v>
      </c>
      <c r="DW348" s="93">
        <v>4139</v>
      </c>
      <c r="DX348" s="20">
        <v>11567.637000000001</v>
      </c>
      <c r="DY348" s="29">
        <v>281</v>
      </c>
      <c r="DZ348" s="1504">
        <v>45047</v>
      </c>
      <c r="EA348" s="19"/>
      <c r="EB348" s="93"/>
      <c r="EC348" s="20"/>
      <c r="ED348" s="29"/>
      <c r="EE348" s="1504">
        <v>45047</v>
      </c>
      <c r="EF348" s="19">
        <f t="shared" si="335"/>
        <v>20679</v>
      </c>
      <c r="EG348" s="93">
        <f t="shared" si="335"/>
        <v>27210</v>
      </c>
      <c r="EH348" s="93">
        <f t="shared" si="336"/>
        <v>58274</v>
      </c>
      <c r="EI348" s="214">
        <f t="shared" si="337"/>
        <v>10385</v>
      </c>
      <c r="EJ348" s="93">
        <f t="shared" si="337"/>
        <v>193.97499999999999</v>
      </c>
      <c r="EK348" s="93">
        <f t="shared" si="337"/>
        <v>150.279</v>
      </c>
      <c r="EL348" s="93">
        <f t="shared" si="337"/>
        <v>7.8479999999999999</v>
      </c>
      <c r="EM348" s="93">
        <f t="shared" si="337"/>
        <v>7.0469999999999997</v>
      </c>
      <c r="EN348" s="20">
        <f t="shared" si="338"/>
        <v>359.14900000000006</v>
      </c>
      <c r="EO348" s="29">
        <v>281</v>
      </c>
      <c r="EP348" s="1504">
        <v>45047</v>
      </c>
      <c r="EQ348" s="19">
        <v>18555</v>
      </c>
      <c r="ER348" s="93">
        <v>24917</v>
      </c>
      <c r="ES348" s="93">
        <f>EQ348+ER348</f>
        <v>43472</v>
      </c>
      <c r="ET348" s="214">
        <v>9956</v>
      </c>
      <c r="EU348" s="93">
        <v>193.97499999999999</v>
      </c>
      <c r="EV348" s="93">
        <v>150.279</v>
      </c>
      <c r="EW348" s="93">
        <v>7.8479999999999999</v>
      </c>
      <c r="EX348" s="93">
        <v>7.0469999999999997</v>
      </c>
      <c r="EY348" s="20">
        <f t="shared" si="321"/>
        <v>359.14900000000006</v>
      </c>
      <c r="EZ348" s="29">
        <v>281</v>
      </c>
      <c r="FA348" s="1504">
        <v>45047</v>
      </c>
      <c r="FB348" s="1949">
        <v>2124</v>
      </c>
      <c r="FC348" s="29">
        <v>2293</v>
      </c>
      <c r="FD348" s="29">
        <f t="shared" si="316"/>
        <v>4417</v>
      </c>
      <c r="FE348" s="29">
        <v>429</v>
      </c>
      <c r="FF348" s="29">
        <v>0</v>
      </c>
      <c r="FG348" s="29">
        <v>0</v>
      </c>
      <c r="FH348" s="29">
        <v>0</v>
      </c>
      <c r="FI348" s="29">
        <v>0</v>
      </c>
      <c r="FJ348" s="29">
        <f t="shared" si="326"/>
        <v>0</v>
      </c>
      <c r="FK348" s="29">
        <v>281</v>
      </c>
      <c r="FL348" s="1504">
        <v>45047</v>
      </c>
      <c r="FM348" s="733">
        <v>124.1</v>
      </c>
      <c r="FN348" s="570">
        <v>138.4</v>
      </c>
      <c r="FO348" s="570">
        <v>163.5</v>
      </c>
      <c r="FP348" s="570">
        <v>101.7</v>
      </c>
      <c r="FQ348" s="570">
        <v>107.9</v>
      </c>
      <c r="FR348" s="570">
        <v>102</v>
      </c>
      <c r="FS348" s="570">
        <v>106.5</v>
      </c>
      <c r="FT348" s="570">
        <v>110.5</v>
      </c>
      <c r="FU348" s="570">
        <v>98.7</v>
      </c>
      <c r="FV348" s="570">
        <v>101.2</v>
      </c>
      <c r="FW348" s="570">
        <v>114.1</v>
      </c>
      <c r="FX348" s="570">
        <v>111.9</v>
      </c>
      <c r="FY348" s="570">
        <v>102.4</v>
      </c>
      <c r="FZ348" s="29">
        <v>281</v>
      </c>
      <c r="GA348" s="1504">
        <v>45047</v>
      </c>
      <c r="GB348" s="733">
        <v>124.1</v>
      </c>
      <c r="GC348" s="570">
        <v>111.8</v>
      </c>
      <c r="GD348" s="93">
        <v>130</v>
      </c>
      <c r="GE348" s="570">
        <v>114.1</v>
      </c>
      <c r="GF348" s="570">
        <v>153.69999999999999</v>
      </c>
      <c r="GG348" s="570">
        <v>112.7</v>
      </c>
      <c r="GH348" s="570">
        <v>146.69999999999999</v>
      </c>
      <c r="GI348" s="570">
        <v>113.1</v>
      </c>
      <c r="GJ348" s="570">
        <v>108.2</v>
      </c>
      <c r="GK348" s="570">
        <v>103.1</v>
      </c>
      <c r="GL348" s="570">
        <v>134.80000000000001</v>
      </c>
      <c r="GM348" s="570">
        <v>102.4</v>
      </c>
      <c r="GN348" s="734">
        <v>108.2</v>
      </c>
      <c r="GO348" s="29">
        <v>281</v>
      </c>
      <c r="GP348" s="1504">
        <v>45047</v>
      </c>
      <c r="GQ348" s="19">
        <v>409</v>
      </c>
      <c r="GR348" s="93">
        <v>331</v>
      </c>
      <c r="GS348" s="93">
        <v>308</v>
      </c>
      <c r="GT348" s="93">
        <v>277</v>
      </c>
      <c r="GU348" s="93">
        <v>405</v>
      </c>
      <c r="GV348" s="20">
        <v>1451</v>
      </c>
      <c r="GW348" s="19">
        <v>427</v>
      </c>
      <c r="GX348" s="93">
        <v>658</v>
      </c>
      <c r="GY348" s="93">
        <v>677</v>
      </c>
      <c r="GZ348" s="93">
        <v>431</v>
      </c>
      <c r="HA348" s="93">
        <v>489</v>
      </c>
      <c r="HB348" s="20">
        <v>1020</v>
      </c>
      <c r="HC348" s="19">
        <v>2577</v>
      </c>
      <c r="HD348" s="93">
        <v>2969</v>
      </c>
      <c r="HE348" s="93">
        <v>2916</v>
      </c>
      <c r="HF348" s="93">
        <v>3150</v>
      </c>
      <c r="HG348" s="93">
        <v>3644</v>
      </c>
      <c r="HH348" s="20">
        <v>3774</v>
      </c>
      <c r="HI348" s="19"/>
      <c r="HJ348" s="93">
        <v>993</v>
      </c>
      <c r="HK348" s="93">
        <v>2786</v>
      </c>
      <c r="HL348" s="93">
        <v>1215</v>
      </c>
      <c r="HM348" s="93">
        <v>1238</v>
      </c>
      <c r="HN348" s="20">
        <v>2587</v>
      </c>
      <c r="HO348" s="219">
        <v>323</v>
      </c>
      <c r="HP348" s="20">
        <v>68</v>
      </c>
      <c r="HQ348" s="25">
        <v>201</v>
      </c>
      <c r="HR348" s="29">
        <v>281</v>
      </c>
      <c r="HS348" s="1504">
        <v>45047</v>
      </c>
      <c r="HT348" s="19"/>
      <c r="HU348" s="93"/>
      <c r="HV348" s="93"/>
      <c r="HW348" s="93"/>
      <c r="HX348" s="93"/>
      <c r="HY348" s="93"/>
      <c r="HZ348" s="93"/>
      <c r="IA348" s="20"/>
      <c r="IB348" s="19"/>
      <c r="IC348" s="93"/>
      <c r="ID348" s="93"/>
      <c r="IE348" s="93"/>
      <c r="IF348" s="93"/>
      <c r="IG348" s="20"/>
      <c r="IH348" s="19"/>
      <c r="II348" s="93"/>
      <c r="IJ348" s="93"/>
      <c r="IK348" s="93"/>
      <c r="IL348" s="93"/>
      <c r="IM348" s="93"/>
      <c r="IN348" s="93"/>
      <c r="IO348" s="20"/>
      <c r="IP348" s="29"/>
      <c r="IQ348" s="19"/>
      <c r="IR348" s="93"/>
      <c r="IS348" s="93"/>
      <c r="IT348" s="93"/>
      <c r="IU348" s="93"/>
      <c r="IV348" s="20"/>
      <c r="IW348" s="29"/>
      <c r="IX348" s="19"/>
      <c r="IY348" s="93"/>
      <c r="IZ348" s="93"/>
      <c r="JA348" s="93"/>
      <c r="JB348" s="93"/>
      <c r="JC348" s="93"/>
      <c r="JD348" s="93"/>
      <c r="JE348" s="20"/>
      <c r="JF348" s="29"/>
      <c r="JG348" s="19"/>
      <c r="JH348" s="93"/>
      <c r="JI348" s="93"/>
      <c r="JJ348" s="93"/>
      <c r="JK348" s="93"/>
      <c r="JL348" s="93"/>
      <c r="JM348" s="93"/>
      <c r="JN348" s="20"/>
      <c r="JO348" s="29"/>
      <c r="JP348" s="19"/>
      <c r="JQ348" s="93"/>
      <c r="JR348" s="93"/>
      <c r="JS348" s="93"/>
      <c r="JT348" s="93"/>
      <c r="JU348" s="20"/>
      <c r="JV348" s="29"/>
      <c r="JW348" s="1504">
        <v>45047</v>
      </c>
      <c r="JX348" s="19"/>
      <c r="JY348" s="93"/>
      <c r="JZ348" s="93"/>
      <c r="KA348" s="93"/>
      <c r="KB348" s="93"/>
      <c r="KC348" s="93"/>
      <c r="KD348" s="20"/>
      <c r="KE348" s="29"/>
      <c r="KF348" s="19"/>
      <c r="KG348" s="93"/>
      <c r="KH348" s="93"/>
      <c r="KI348" s="93"/>
      <c r="KJ348" s="93"/>
      <c r="KK348" s="20"/>
      <c r="KL348" s="29"/>
      <c r="KM348" s="19"/>
      <c r="KN348" s="93"/>
      <c r="KO348" s="93"/>
      <c r="KP348" s="93"/>
      <c r="KQ348" s="93"/>
      <c r="KR348" s="20"/>
      <c r="KS348" s="29"/>
      <c r="KT348" s="19"/>
      <c r="KU348" s="93"/>
      <c r="KV348" s="93"/>
      <c r="KW348" s="93"/>
      <c r="KX348" s="93"/>
      <c r="KY348" s="20"/>
      <c r="KZ348" s="29"/>
      <c r="LA348" s="1504">
        <v>45047</v>
      </c>
      <c r="LB348" s="19"/>
      <c r="LC348" s="93"/>
      <c r="LD348" s="93"/>
      <c r="LE348" s="93"/>
      <c r="LF348" s="93"/>
      <c r="LG348" s="93"/>
      <c r="LH348" s="20"/>
      <c r="LI348" s="29"/>
      <c r="LJ348" s="19"/>
      <c r="LK348" s="93"/>
      <c r="LL348" s="93"/>
      <c r="LM348" s="93"/>
      <c r="LN348" s="93"/>
      <c r="LO348" s="20"/>
      <c r="LP348" s="29"/>
      <c r="LQ348" s="19"/>
      <c r="LR348" s="93">
        <v>188</v>
      </c>
      <c r="LS348" s="93">
        <v>463</v>
      </c>
      <c r="LT348" s="93">
        <v>663</v>
      </c>
      <c r="LU348" s="93">
        <v>1104</v>
      </c>
      <c r="LV348" s="93"/>
      <c r="LW348" s="93">
        <v>5</v>
      </c>
      <c r="LX348" s="93">
        <v>10</v>
      </c>
      <c r="LY348" s="93">
        <v>60</v>
      </c>
      <c r="LZ348" s="93"/>
      <c r="MA348" s="20"/>
      <c r="MB348" s="29">
        <v>281</v>
      </c>
      <c r="MC348" s="1504">
        <v>45047</v>
      </c>
      <c r="MD348" s="19">
        <v>1179.0465581303395</v>
      </c>
      <c r="ME348" s="93">
        <v>1014.9123931044001</v>
      </c>
      <c r="MF348" s="93">
        <v>1014.9123931044001</v>
      </c>
      <c r="MG348" s="93">
        <v>912.20431621339992</v>
      </c>
      <c r="MH348" s="93">
        <v>336.96223028200001</v>
      </c>
      <c r="MI348" s="93">
        <v>7.8269027580000001</v>
      </c>
      <c r="MJ348" s="93">
        <v>26.665795552000002</v>
      </c>
      <c r="MK348" s="93">
        <v>416.05838961040001</v>
      </c>
      <c r="ML348" s="93">
        <v>124.24680583399999</v>
      </c>
      <c r="MM348" s="93">
        <v>0.44419217700000002</v>
      </c>
      <c r="MN348" s="93">
        <v>102.708076891</v>
      </c>
      <c r="MO348" s="93">
        <v>2.9798500410000002</v>
      </c>
      <c r="MP348" s="93">
        <v>20.167246369000004</v>
      </c>
      <c r="MQ348" s="93">
        <v>0.83882423699999997</v>
      </c>
      <c r="MR348" s="93">
        <v>31.855138067999999</v>
      </c>
      <c r="MS348" s="93">
        <v>46.867018176000009</v>
      </c>
      <c r="MT348" s="93">
        <v>0</v>
      </c>
      <c r="MU348" s="93">
        <v>164.13416502593952</v>
      </c>
      <c r="MV348" s="93">
        <v>164.13416502593952</v>
      </c>
      <c r="MW348" s="93">
        <v>0</v>
      </c>
      <c r="MX348" s="93">
        <v>1537.3777343986787</v>
      </c>
      <c r="MY348" s="93">
        <v>1545.008159378679</v>
      </c>
      <c r="MZ348" s="93">
        <v>941.1964596364561</v>
      </c>
      <c r="NA348" s="93">
        <v>455.66509733933327</v>
      </c>
      <c r="NB348" s="93">
        <v>93.048950462999997</v>
      </c>
      <c r="NC348" s="93">
        <v>122.11332333012278</v>
      </c>
      <c r="ND348" s="93">
        <v>104.7568555</v>
      </c>
      <c r="NE348" s="93">
        <v>17.356467830122771</v>
      </c>
      <c r="NF348" s="93">
        <v>270.36908850399999</v>
      </c>
      <c r="NG348" s="93">
        <v>42.612389102999998</v>
      </c>
      <c r="NH348" s="93">
        <v>65.105297214000004</v>
      </c>
      <c r="NI348" s="93">
        <v>0</v>
      </c>
      <c r="NJ348" s="93">
        <v>47.630321806000005</v>
      </c>
      <c r="NK348" s="93">
        <v>603.81169974222291</v>
      </c>
      <c r="NL348" s="93">
        <v>241.96431550999998</v>
      </c>
      <c r="NM348" s="93">
        <v>3.2859289339999997</v>
      </c>
      <c r="NN348" s="93">
        <v>358.56145529822282</v>
      </c>
      <c r="NO348" s="93">
        <v>-7.6304249800000044</v>
      </c>
      <c r="NP348" s="93">
        <v>-358.3311762683395</v>
      </c>
      <c r="NQ348" s="93">
        <v>-522.46534129427903</v>
      </c>
      <c r="NR348" s="93">
        <v>-41.790562665933344</v>
      </c>
      <c r="NS348" s="93">
        <v>-163.90388599605615</v>
      </c>
      <c r="NT348" s="93">
        <v>-186.59176497003949</v>
      </c>
      <c r="NU348" s="93">
        <v>-350.72592999597902</v>
      </c>
      <c r="NV348" s="93">
        <v>183.17709951771985</v>
      </c>
      <c r="NW348" s="93">
        <v>151.91545839271993</v>
      </c>
      <c r="NX348" s="93">
        <v>194.42729027228333</v>
      </c>
      <c r="NY348" s="93">
        <v>-42.511831879563431</v>
      </c>
      <c r="NZ348" s="93">
        <v>0</v>
      </c>
      <c r="OA348" s="93">
        <v>31.261641124999993</v>
      </c>
      <c r="OB348" s="93">
        <v>236.0941843759</v>
      </c>
      <c r="OC348" s="93">
        <v>-204.83254325089999</v>
      </c>
      <c r="OD348" s="20">
        <v>3.4146654523195847</v>
      </c>
      <c r="OE348" s="29">
        <v>281</v>
      </c>
      <c r="OF348" s="1504">
        <v>45047</v>
      </c>
      <c r="OG348" s="19"/>
      <c r="OH348" s="93">
        <v>909.28460970600008</v>
      </c>
      <c r="OI348" s="93">
        <v>2606.9043459149998</v>
      </c>
      <c r="OJ348" s="93">
        <v>1.7528346849999998</v>
      </c>
      <c r="OK348" s="93">
        <v>2303.5509999999999</v>
      </c>
      <c r="OL348" s="93">
        <v>301.60051123</v>
      </c>
      <c r="OM348" s="93">
        <v>3516.1889556209999</v>
      </c>
      <c r="ON348" s="93">
        <v>2047.0781083190002</v>
      </c>
      <c r="OO348" s="93">
        <v>5563.2670639400003</v>
      </c>
      <c r="OP348" s="93"/>
      <c r="OQ348" s="93">
        <v>1764.5601100910001</v>
      </c>
      <c r="OR348" s="93">
        <v>-367.71888990900004</v>
      </c>
      <c r="OS348" s="93">
        <v>2132.279</v>
      </c>
      <c r="OT348" s="93">
        <v>4452.6248572139993</v>
      </c>
      <c r="OU348" s="93">
        <v>306.5187739779999</v>
      </c>
      <c r="OV348" s="93">
        <v>48.052773978000012</v>
      </c>
      <c r="OW348" s="93">
        <v>258.46599999999989</v>
      </c>
      <c r="OX348" s="93">
        <v>4146.1060832359999</v>
      </c>
      <c r="OY348" s="93">
        <v>9.1840832359999993</v>
      </c>
      <c r="OZ348" s="93">
        <v>4136.9219999999996</v>
      </c>
      <c r="PA348" s="93">
        <v>1034.6412519969995</v>
      </c>
      <c r="PB348" s="93">
        <v>-380.72334863199978</v>
      </c>
      <c r="PC348" s="20">
        <v>5563.2670639400003</v>
      </c>
      <c r="PD348" s="29">
        <v>281</v>
      </c>
      <c r="PE348" s="19"/>
      <c r="PF348" s="93">
        <v>-367.71888990900004</v>
      </c>
      <c r="PG348" s="93">
        <v>508.80802101899997</v>
      </c>
      <c r="PH348" s="93">
        <v>876.52691092800001</v>
      </c>
      <c r="PI348" s="93">
        <v>1626.8177079689999</v>
      </c>
      <c r="PJ348" s="93">
        <v>54.617976316000011</v>
      </c>
      <c r="PK348" s="93">
        <v>324.218314163</v>
      </c>
      <c r="PL348" s="93">
        <v>269.60033784699999</v>
      </c>
      <c r="PM348" s="93">
        <v>9.1840832359999993</v>
      </c>
      <c r="PN348" s="93">
        <v>3.3340000000000001</v>
      </c>
      <c r="PO348" s="93">
        <v>0</v>
      </c>
      <c r="PP348" s="93">
        <v>0</v>
      </c>
      <c r="PQ348" s="93">
        <v>5.8500832359999997</v>
      </c>
      <c r="PR348" s="93">
        <v>1323.8055462990001</v>
      </c>
      <c r="PS348" s="93">
        <v>1045.960812044</v>
      </c>
      <c r="PT348" s="93">
        <v>275.75879125099999</v>
      </c>
      <c r="PU348" s="93">
        <v>2.0859430039999998</v>
      </c>
      <c r="PV348" s="93">
        <v>0</v>
      </c>
      <c r="PW348" s="93">
        <v>4.0292515919999996</v>
      </c>
      <c r="PX348" s="93">
        <v>0</v>
      </c>
      <c r="PY348" s="93">
        <v>0</v>
      </c>
      <c r="PZ348" s="93">
        <v>4.0292515919999996</v>
      </c>
      <c r="QA348" s="93">
        <v>0</v>
      </c>
      <c r="QB348" s="93">
        <v>0</v>
      </c>
      <c r="QC348" s="93">
        <v>0</v>
      </c>
      <c r="QD348" s="93">
        <v>20.448000404999998</v>
      </c>
      <c r="QE348" s="20">
        <v>-25.381920683999986</v>
      </c>
      <c r="QF348" s="1739">
        <v>281</v>
      </c>
      <c r="QG348" s="19"/>
      <c r="QH348" s="93">
        <v>2132.279</v>
      </c>
      <c r="QI348" s="93">
        <v>2780.489</v>
      </c>
      <c r="QJ348" s="93">
        <v>-648.21</v>
      </c>
      <c r="QK348" s="93">
        <v>407.48799999999994</v>
      </c>
      <c r="QL348" s="93">
        <v>130.11099999999999</v>
      </c>
      <c r="QM348" s="93">
        <v>277.37699999999995</v>
      </c>
      <c r="QN348" s="93">
        <v>0</v>
      </c>
      <c r="QO348" s="93">
        <v>258.46599999999989</v>
      </c>
      <c r="QP348" s="93">
        <v>1086.222</v>
      </c>
      <c r="QQ348" s="93">
        <v>-827.75600000000009</v>
      </c>
      <c r="QR348" s="93">
        <v>4136.9219999999996</v>
      </c>
      <c r="QS348" s="93">
        <v>43.805</v>
      </c>
      <c r="QT348" s="93">
        <v>15.503</v>
      </c>
      <c r="QU348" s="93">
        <v>362.714</v>
      </c>
      <c r="QV348" s="93">
        <v>3714.8999999999996</v>
      </c>
      <c r="QW348" s="93"/>
      <c r="QX348" s="93">
        <v>1625.241</v>
      </c>
      <c r="QY348" s="93">
        <v>2303.5509999999999</v>
      </c>
      <c r="QZ348" s="93">
        <v>2046.7450000000001</v>
      </c>
      <c r="RA348" s="93">
        <v>0</v>
      </c>
      <c r="RB348" s="93">
        <v>276.50200000000001</v>
      </c>
      <c r="RC348" s="93">
        <v>0</v>
      </c>
      <c r="RD348" s="93">
        <v>41.798000000000002</v>
      </c>
      <c r="RE348" s="93">
        <v>0</v>
      </c>
      <c r="RF348" s="93">
        <v>0</v>
      </c>
      <c r="RG348" s="93">
        <v>691.86399999999935</v>
      </c>
      <c r="RH348" s="93">
        <v>-50.545999999999992</v>
      </c>
      <c r="RI348" s="93"/>
      <c r="RJ348" s="93"/>
      <c r="RK348" s="93"/>
      <c r="RL348" s="93"/>
      <c r="RM348" s="20"/>
      <c r="RN348" s="29">
        <v>281</v>
      </c>
      <c r="RO348" s="19"/>
      <c r="RP348" s="20"/>
      <c r="RQ348" s="29"/>
      <c r="RR348" s="20"/>
      <c r="RS348" s="29"/>
      <c r="RT348" s="1504">
        <v>45047</v>
      </c>
      <c r="RU348" s="419">
        <f t="shared" si="341"/>
        <v>2124.678957709019</v>
      </c>
      <c r="RV348" s="306">
        <f t="shared" si="341"/>
        <v>75.096583402868688</v>
      </c>
      <c r="RW348" s="29">
        <v>281</v>
      </c>
      <c r="RX348" s="1504">
        <v>45047</v>
      </c>
      <c r="RY348" s="29"/>
      <c r="RZ348" s="20"/>
      <c r="SA348" s="29"/>
      <c r="SB348" s="29"/>
    </row>
    <row r="349" spans="1:496">
      <c r="A349" s="41">
        <f t="shared" si="238"/>
        <v>2023</v>
      </c>
      <c r="B349" s="1504">
        <v>45078</v>
      </c>
      <c r="C349" s="1813">
        <v>1417</v>
      </c>
      <c r="D349" s="1814">
        <v>31954</v>
      </c>
      <c r="E349" s="1814">
        <v>56</v>
      </c>
      <c r="F349" s="1815"/>
      <c r="G349" s="1814">
        <v>74617</v>
      </c>
      <c r="H349" s="1814">
        <v>15</v>
      </c>
      <c r="I349" s="1814">
        <v>36104</v>
      </c>
      <c r="J349" s="1816">
        <v>14337</v>
      </c>
      <c r="K349" s="1807">
        <f t="shared" si="330"/>
        <v>158500</v>
      </c>
      <c r="L349" s="25">
        <v>282</v>
      </c>
      <c r="M349" s="97"/>
      <c r="N349" s="1504">
        <v>45078</v>
      </c>
      <c r="O349" s="19">
        <v>1636</v>
      </c>
      <c r="P349" s="93">
        <v>1056</v>
      </c>
      <c r="Q349" s="93">
        <v>11436</v>
      </c>
      <c r="R349" s="93">
        <v>2480</v>
      </c>
      <c r="S349" s="93">
        <v>2117</v>
      </c>
      <c r="T349" s="93">
        <v>1578</v>
      </c>
      <c r="U349" s="93">
        <v>404</v>
      </c>
      <c r="V349" s="93">
        <v>201</v>
      </c>
      <c r="W349" s="93">
        <v>7601</v>
      </c>
      <c r="X349" s="93">
        <v>1147</v>
      </c>
      <c r="Y349" s="93">
        <v>548</v>
      </c>
      <c r="Z349" s="93">
        <v>1068</v>
      </c>
      <c r="AA349" s="93">
        <v>682</v>
      </c>
      <c r="AB349" s="20">
        <f t="shared" si="327"/>
        <v>31954</v>
      </c>
      <c r="AC349" s="25">
        <v>282</v>
      </c>
      <c r="AD349" s="97"/>
      <c r="AE349" s="1504">
        <v>45078</v>
      </c>
      <c r="AF349" s="19">
        <v>3146</v>
      </c>
      <c r="AG349" s="93">
        <v>1006</v>
      </c>
      <c r="AH349" s="93">
        <v>5526</v>
      </c>
      <c r="AI349" s="93">
        <v>3548</v>
      </c>
      <c r="AJ349" s="93">
        <v>4972</v>
      </c>
      <c r="AK349" s="93">
        <v>1953</v>
      </c>
      <c r="AL349" s="93">
        <v>866</v>
      </c>
      <c r="AM349" s="93">
        <v>185</v>
      </c>
      <c r="AN349" s="93">
        <v>10578</v>
      </c>
      <c r="AO349" s="93">
        <v>1370</v>
      </c>
      <c r="AP349" s="93">
        <v>899</v>
      </c>
      <c r="AQ349" s="93">
        <v>1201</v>
      </c>
      <c r="AR349" s="93">
        <v>854</v>
      </c>
      <c r="AS349" s="132">
        <f t="shared" si="323"/>
        <v>36104</v>
      </c>
      <c r="AT349" s="25">
        <v>282</v>
      </c>
      <c r="AU349" s="97"/>
      <c r="AV349" s="1504">
        <v>45078</v>
      </c>
      <c r="AW349" s="19">
        <v>12203</v>
      </c>
      <c r="AX349" s="93">
        <v>4220</v>
      </c>
      <c r="AY349" s="93">
        <v>3947</v>
      </c>
      <c r="AZ349" s="93">
        <v>13212</v>
      </c>
      <c r="BA349" s="93">
        <v>6192</v>
      </c>
      <c r="BB349" s="93">
        <v>7756</v>
      </c>
      <c r="BC349" s="93">
        <v>3090</v>
      </c>
      <c r="BD349" s="93">
        <v>254</v>
      </c>
      <c r="BE349" s="93">
        <v>6901</v>
      </c>
      <c r="BF349" s="93">
        <v>4916</v>
      </c>
      <c r="BG349" s="93">
        <v>4296</v>
      </c>
      <c r="BH349" s="93">
        <v>3765</v>
      </c>
      <c r="BI349" s="93">
        <v>3865</v>
      </c>
      <c r="BJ349" s="132">
        <f t="shared" si="324"/>
        <v>74617</v>
      </c>
      <c r="BK349" s="25">
        <v>282</v>
      </c>
      <c r="BL349" s="97"/>
      <c r="BM349" s="1504">
        <v>45078</v>
      </c>
      <c r="BN349" s="733">
        <v>77.935000000000002</v>
      </c>
      <c r="BO349" s="570">
        <v>4409.652</v>
      </c>
      <c r="BP349" s="570">
        <v>11.2</v>
      </c>
      <c r="BQ349" s="570">
        <v>671.553</v>
      </c>
      <c r="BR349" s="570">
        <v>2.625</v>
      </c>
      <c r="BS349" s="570">
        <v>361.04</v>
      </c>
      <c r="BT349" s="570">
        <v>401.43599999999998</v>
      </c>
      <c r="BU349" s="132">
        <f t="shared" si="325"/>
        <v>5935.4409999999998</v>
      </c>
      <c r="BV349" s="25">
        <v>282</v>
      </c>
      <c r="BW349" s="97"/>
      <c r="BX349" s="1504">
        <v>45078</v>
      </c>
      <c r="BY349" s="19">
        <v>604.67999999999995</v>
      </c>
      <c r="BZ349" s="93">
        <v>655.95699999999999</v>
      </c>
      <c r="CA349" s="93">
        <v>671.92</v>
      </c>
      <c r="CB349" s="93">
        <v>32.305999999999997</v>
      </c>
      <c r="CC349" s="93">
        <v>53.372999999999998</v>
      </c>
      <c r="CD349" s="25">
        <v>282</v>
      </c>
      <c r="CE349" s="97"/>
      <c r="CF349" s="1504">
        <v>45078</v>
      </c>
      <c r="CG349" s="733">
        <v>2.0388325759999999</v>
      </c>
      <c r="CH349" s="570">
        <v>1942.9</v>
      </c>
      <c r="CI349" s="1945">
        <v>73.263333333329996</v>
      </c>
      <c r="CJ349" s="734">
        <v>74.89</v>
      </c>
      <c r="CK349" s="733">
        <v>495.75</v>
      </c>
      <c r="CL349" s="570">
        <v>266.86779840000003</v>
      </c>
      <c r="CM349" s="568">
        <v>0.54211605799999996</v>
      </c>
      <c r="CN349" s="568">
        <v>0.90918528799999998</v>
      </c>
      <c r="CO349" s="570">
        <v>345.5</v>
      </c>
      <c r="CP349" s="734">
        <v>5.0133058799999999</v>
      </c>
      <c r="CQ349" s="1945">
        <v>1971.27</v>
      </c>
      <c r="CR349" s="570">
        <v>2.085</v>
      </c>
      <c r="CS349" s="570">
        <v>1.534</v>
      </c>
      <c r="CT349" s="570">
        <v>344.5</v>
      </c>
      <c r="CU349" s="570">
        <v>113.45</v>
      </c>
      <c r="CV349" s="1539">
        <v>2375.4499999999998</v>
      </c>
      <c r="CW349" s="29">
        <v>282</v>
      </c>
      <c r="CX349" s="41">
        <f t="shared" si="319"/>
        <v>2023</v>
      </c>
      <c r="CY349" s="1504">
        <v>45078</v>
      </c>
      <c r="CZ349" s="19"/>
      <c r="DA349" s="93"/>
      <c r="DB349" s="93"/>
      <c r="DC349" s="93"/>
      <c r="DD349" s="93"/>
      <c r="DE349" s="20"/>
      <c r="DF349" s="29"/>
      <c r="DG349" s="1504">
        <v>45078</v>
      </c>
      <c r="DH349" s="19">
        <v>515114</v>
      </c>
      <c r="DI349" s="93">
        <v>5276923</v>
      </c>
      <c r="DJ349" s="93">
        <v>297319</v>
      </c>
      <c r="DK349" s="93">
        <v>22464</v>
      </c>
      <c r="DL349" s="93">
        <v>474025</v>
      </c>
      <c r="DM349" s="93">
        <v>5586</v>
      </c>
      <c r="DN349" s="20">
        <v>1614873</v>
      </c>
      <c r="DO349" s="295">
        <f t="shared" ref="DO349:DO355" si="342">SUM(DI349:DN349)</f>
        <v>7691190</v>
      </c>
      <c r="DP349" s="29">
        <v>282</v>
      </c>
      <c r="DQ349" s="1504">
        <v>45078</v>
      </c>
      <c r="DR349" s="19">
        <v>78931.16</v>
      </c>
      <c r="DS349" s="93">
        <v>90</v>
      </c>
      <c r="DT349" s="93">
        <v>80227.12</v>
      </c>
      <c r="DU349" s="93">
        <v>1669.684</v>
      </c>
      <c r="DV349" s="93">
        <v>13505.267</v>
      </c>
      <c r="DW349" s="93">
        <v>4438.5</v>
      </c>
      <c r="DX349" s="20">
        <v>11491.906000000001</v>
      </c>
      <c r="DY349" s="29">
        <v>282</v>
      </c>
      <c r="DZ349" s="1504">
        <v>45078</v>
      </c>
      <c r="EA349" s="19"/>
      <c r="EB349" s="93"/>
      <c r="EC349" s="20"/>
      <c r="ED349" s="29"/>
      <c r="EE349" s="1504">
        <v>45078</v>
      </c>
      <c r="EF349" s="19">
        <f t="shared" si="335"/>
        <v>23431</v>
      </c>
      <c r="EG349" s="93">
        <f t="shared" si="335"/>
        <v>25767</v>
      </c>
      <c r="EH349" s="93">
        <f t="shared" si="336"/>
        <v>63343</v>
      </c>
      <c r="EI349" s="214">
        <f t="shared" si="337"/>
        <v>14145</v>
      </c>
      <c r="EJ349" s="93">
        <f t="shared" si="337"/>
        <v>195.55500000000001</v>
      </c>
      <c r="EK349" s="93">
        <f t="shared" si="337"/>
        <v>90.396000000000001</v>
      </c>
      <c r="EL349" s="93">
        <f t="shared" si="337"/>
        <v>4.9480000000000004</v>
      </c>
      <c r="EM349" s="93">
        <f t="shared" si="337"/>
        <v>10.114000000000001</v>
      </c>
      <c r="EN349" s="20">
        <f t="shared" si="338"/>
        <v>301.01299999999998</v>
      </c>
      <c r="EO349" s="29">
        <v>282</v>
      </c>
      <c r="EP349" s="1504">
        <v>45078</v>
      </c>
      <c r="EQ349" s="19">
        <v>21072</v>
      </c>
      <c r="ER349" s="93">
        <v>21788</v>
      </c>
      <c r="ES349" s="93">
        <f t="shared" si="315"/>
        <v>42860</v>
      </c>
      <c r="ET349" s="214">
        <v>13781</v>
      </c>
      <c r="EU349" s="93">
        <v>191.55500000000001</v>
      </c>
      <c r="EV349" s="93">
        <v>86.396000000000001</v>
      </c>
      <c r="EW349" s="93">
        <v>4.9480000000000004</v>
      </c>
      <c r="EX349" s="93">
        <v>10.114000000000001</v>
      </c>
      <c r="EY349" s="20">
        <f t="shared" si="321"/>
        <v>293.01299999999998</v>
      </c>
      <c r="EZ349" s="29">
        <v>282</v>
      </c>
      <c r="FA349" s="1504">
        <v>45078</v>
      </c>
      <c r="FB349" s="1949">
        <v>2359</v>
      </c>
      <c r="FC349" s="29">
        <v>3979</v>
      </c>
      <c r="FD349" s="29">
        <f t="shared" si="316"/>
        <v>6338</v>
      </c>
      <c r="FE349" s="29">
        <v>364</v>
      </c>
      <c r="FF349" s="29">
        <v>4</v>
      </c>
      <c r="FG349" s="29">
        <v>4</v>
      </c>
      <c r="FH349" s="29">
        <v>0</v>
      </c>
      <c r="FI349" s="29">
        <v>0</v>
      </c>
      <c r="FJ349" s="29">
        <f t="shared" si="326"/>
        <v>8</v>
      </c>
      <c r="FK349" s="29">
        <v>282</v>
      </c>
      <c r="FL349" s="1504">
        <v>45078</v>
      </c>
      <c r="FM349" s="733">
        <v>126</v>
      </c>
      <c r="FN349" s="570">
        <v>141.19999999999999</v>
      </c>
      <c r="FO349" s="570">
        <v>162.30000000000001</v>
      </c>
      <c r="FP349" s="570">
        <v>101.7</v>
      </c>
      <c r="FQ349" s="570">
        <v>113.6</v>
      </c>
      <c r="FR349" s="570">
        <v>102</v>
      </c>
      <c r="FS349" s="570">
        <v>106.5</v>
      </c>
      <c r="FT349" s="570">
        <v>110.5</v>
      </c>
      <c r="FU349" s="570">
        <v>98.7</v>
      </c>
      <c r="FV349" s="570">
        <v>101.2</v>
      </c>
      <c r="FW349" s="570">
        <v>114.1</v>
      </c>
      <c r="FX349" s="570">
        <v>112.6</v>
      </c>
      <c r="FY349" s="570">
        <v>102.4</v>
      </c>
      <c r="FZ349" s="29">
        <v>282</v>
      </c>
      <c r="GA349" s="1504">
        <v>45078</v>
      </c>
      <c r="GB349" s="733">
        <v>126</v>
      </c>
      <c r="GC349" s="570">
        <v>112.3</v>
      </c>
      <c r="GD349" s="93">
        <v>132.9</v>
      </c>
      <c r="GE349" s="570">
        <v>122.2</v>
      </c>
      <c r="GF349" s="570">
        <v>158.30000000000001</v>
      </c>
      <c r="GG349" s="570">
        <v>112.9</v>
      </c>
      <c r="GH349" s="570">
        <v>151.80000000000001</v>
      </c>
      <c r="GI349" s="570">
        <v>113.1</v>
      </c>
      <c r="GJ349" s="570">
        <v>108.2</v>
      </c>
      <c r="GK349" s="570">
        <v>103.1</v>
      </c>
      <c r="GL349" s="570">
        <v>137.9</v>
      </c>
      <c r="GM349" s="570">
        <v>102.4</v>
      </c>
      <c r="GN349" s="734">
        <v>108.2</v>
      </c>
      <c r="GO349" s="29">
        <v>282</v>
      </c>
      <c r="GP349" s="1504">
        <v>45078</v>
      </c>
      <c r="GQ349" s="19">
        <v>402</v>
      </c>
      <c r="GR349" s="93">
        <v>329</v>
      </c>
      <c r="GS349" s="93">
        <v>308</v>
      </c>
      <c r="GT349" s="93">
        <v>276</v>
      </c>
      <c r="GU349" s="93">
        <v>413</v>
      </c>
      <c r="GV349" s="20">
        <v>1454</v>
      </c>
      <c r="GW349" s="19">
        <v>397</v>
      </c>
      <c r="GX349" s="93">
        <v>649</v>
      </c>
      <c r="GY349" s="93">
        <v>1139</v>
      </c>
      <c r="GZ349" s="93">
        <v>554</v>
      </c>
      <c r="HA349" s="93">
        <v>683</v>
      </c>
      <c r="HB349" s="20">
        <v>1278</v>
      </c>
      <c r="HC349" s="19">
        <v>2437</v>
      </c>
      <c r="HD349" s="93">
        <v>2870</v>
      </c>
      <c r="HE349" s="93">
        <v>2842</v>
      </c>
      <c r="HF349" s="93">
        <v>3150</v>
      </c>
      <c r="HG349" s="93">
        <v>3676</v>
      </c>
      <c r="HH349" s="20">
        <v>3797</v>
      </c>
      <c r="HI349" s="19"/>
      <c r="HJ349" s="93">
        <v>979</v>
      </c>
      <c r="HK349" s="93">
        <v>2686</v>
      </c>
      <c r="HL349" s="93">
        <v>1395</v>
      </c>
      <c r="HM349" s="93">
        <v>1234</v>
      </c>
      <c r="HN349" s="20">
        <v>2240</v>
      </c>
      <c r="HO349" s="219">
        <v>250</v>
      </c>
      <c r="HP349" s="20">
        <v>70</v>
      </c>
      <c r="HQ349" s="25">
        <v>191</v>
      </c>
      <c r="HR349" s="29">
        <v>282</v>
      </c>
      <c r="HS349" s="1504">
        <v>45078</v>
      </c>
      <c r="HT349" s="19"/>
      <c r="HU349" s="93"/>
      <c r="HV349" s="93"/>
      <c r="HW349" s="93"/>
      <c r="HX349" s="93"/>
      <c r="HY349" s="93"/>
      <c r="HZ349" s="93"/>
      <c r="IA349" s="20"/>
      <c r="IB349" s="19"/>
      <c r="IC349" s="93"/>
      <c r="ID349" s="93"/>
      <c r="IE349" s="93"/>
      <c r="IF349" s="93"/>
      <c r="IG349" s="20"/>
      <c r="IH349" s="19"/>
      <c r="II349" s="93"/>
      <c r="IJ349" s="93"/>
      <c r="IK349" s="93"/>
      <c r="IL349" s="93"/>
      <c r="IM349" s="93"/>
      <c r="IN349" s="93"/>
      <c r="IO349" s="20"/>
      <c r="IP349" s="29"/>
      <c r="IQ349" s="19"/>
      <c r="IR349" s="93"/>
      <c r="IS349" s="93"/>
      <c r="IT349" s="93"/>
      <c r="IU349" s="93"/>
      <c r="IV349" s="20"/>
      <c r="IW349" s="29"/>
      <c r="IX349" s="19"/>
      <c r="IY349" s="93"/>
      <c r="IZ349" s="93"/>
      <c r="JA349" s="93"/>
      <c r="JB349" s="93"/>
      <c r="JC349" s="93"/>
      <c r="JD349" s="93"/>
      <c r="JE349" s="20"/>
      <c r="JF349" s="29"/>
      <c r="JG349" s="19"/>
      <c r="JH349" s="93"/>
      <c r="JI349" s="93"/>
      <c r="JJ349" s="93"/>
      <c r="JK349" s="93"/>
      <c r="JL349" s="93"/>
      <c r="JM349" s="93"/>
      <c r="JN349" s="20"/>
      <c r="JO349" s="29"/>
      <c r="JP349" s="19"/>
      <c r="JQ349" s="93"/>
      <c r="JR349" s="93"/>
      <c r="JS349" s="93"/>
      <c r="JT349" s="93"/>
      <c r="JU349" s="20"/>
      <c r="JV349" s="29"/>
      <c r="JW349" s="1504">
        <v>45078</v>
      </c>
      <c r="JX349" s="19"/>
      <c r="JY349" s="93"/>
      <c r="JZ349" s="93"/>
      <c r="KA349" s="93"/>
      <c r="KB349" s="93"/>
      <c r="KC349" s="93"/>
      <c r="KD349" s="20"/>
      <c r="KE349" s="29"/>
      <c r="KF349" s="19"/>
      <c r="KG349" s="93"/>
      <c r="KH349" s="93"/>
      <c r="KI349" s="93"/>
      <c r="KJ349" s="93"/>
      <c r="KK349" s="20"/>
      <c r="KL349" s="29"/>
      <c r="KM349" s="19"/>
      <c r="KN349" s="93"/>
      <c r="KO349" s="93"/>
      <c r="KP349" s="93"/>
      <c r="KQ349" s="93"/>
      <c r="KR349" s="20"/>
      <c r="KS349" s="29"/>
      <c r="KT349" s="19"/>
      <c r="KU349" s="93"/>
      <c r="KV349" s="93"/>
      <c r="KW349" s="93"/>
      <c r="KX349" s="93"/>
      <c r="KY349" s="20"/>
      <c r="KZ349" s="29"/>
      <c r="LA349" s="1504">
        <v>45078</v>
      </c>
      <c r="LB349" s="19"/>
      <c r="LC349" s="93"/>
      <c r="LD349" s="93"/>
      <c r="LE349" s="93"/>
      <c r="LF349" s="93"/>
      <c r="LG349" s="93"/>
      <c r="LH349" s="20"/>
      <c r="LI349" s="29"/>
      <c r="LJ349" s="19"/>
      <c r="LK349" s="93"/>
      <c r="LL349" s="93"/>
      <c r="LM349" s="93"/>
      <c r="LN349" s="93"/>
      <c r="LO349" s="20"/>
      <c r="LP349" s="29"/>
      <c r="LQ349" s="19"/>
      <c r="LR349" s="93">
        <v>188</v>
      </c>
      <c r="LS349" s="93">
        <v>463</v>
      </c>
      <c r="LT349" s="93">
        <v>663</v>
      </c>
      <c r="LU349" s="93">
        <v>1104</v>
      </c>
      <c r="LV349" s="93"/>
      <c r="LW349" s="93">
        <v>5</v>
      </c>
      <c r="LX349" s="93">
        <v>10</v>
      </c>
      <c r="LY349" s="93">
        <v>60</v>
      </c>
      <c r="LZ349" s="93"/>
      <c r="MA349" s="20"/>
      <c r="MB349" s="29">
        <v>282</v>
      </c>
      <c r="MC349" s="1504">
        <v>45078</v>
      </c>
      <c r="MD349" s="19">
        <v>1361.4752260045207</v>
      </c>
      <c r="ME349" s="93">
        <v>1193.6504675481615</v>
      </c>
      <c r="MF349" s="93">
        <v>1193.6504675481615</v>
      </c>
      <c r="MG349" s="93">
        <v>1073.8090026215998</v>
      </c>
      <c r="MH349" s="93">
        <v>371.77533831200003</v>
      </c>
      <c r="MI349" s="93">
        <v>9.4894750000000005</v>
      </c>
      <c r="MJ349" s="93">
        <v>32.958207508000001</v>
      </c>
      <c r="MK349" s="93">
        <v>507.48314553260002</v>
      </c>
      <c r="ML349" s="93">
        <v>151.54170515599998</v>
      </c>
      <c r="MM349" s="93">
        <v>0.56113111299999996</v>
      </c>
      <c r="MN349" s="93">
        <v>119.84146492656144</v>
      </c>
      <c r="MO349" s="93">
        <v>3.4241353460000004</v>
      </c>
      <c r="MP349" s="93">
        <v>23.047356184000002</v>
      </c>
      <c r="MQ349" s="93">
        <v>1.060466817</v>
      </c>
      <c r="MR349" s="93">
        <v>33.618648704999998</v>
      </c>
      <c r="MS349" s="93">
        <v>58.690857874561459</v>
      </c>
      <c r="MT349" s="93">
        <v>0</v>
      </c>
      <c r="MU349" s="93">
        <v>167.8247584563594</v>
      </c>
      <c r="MV349" s="93">
        <v>167.8247584563594</v>
      </c>
      <c r="MW349" s="93">
        <v>0</v>
      </c>
      <c r="MX349" s="93">
        <v>1768.1020703747226</v>
      </c>
      <c r="MY349" s="93">
        <v>1777.9298678987229</v>
      </c>
      <c r="MZ349" s="93">
        <v>1080.3706352441311</v>
      </c>
      <c r="NA349" s="93">
        <v>536.68141047100005</v>
      </c>
      <c r="NB349" s="93">
        <v>110.964000188</v>
      </c>
      <c r="NC349" s="93">
        <v>146.49409452054894</v>
      </c>
      <c r="ND349" s="93">
        <v>125.717341992</v>
      </c>
      <c r="NE349" s="93">
        <v>20.776752528548915</v>
      </c>
      <c r="NF349" s="93">
        <v>286.23113006458209</v>
      </c>
      <c r="NG349" s="93">
        <v>42.613346102999998</v>
      </c>
      <c r="NH349" s="93">
        <v>70.88412937999999</v>
      </c>
      <c r="NI349" s="93">
        <v>0</v>
      </c>
      <c r="NJ349" s="93">
        <v>55.577473298000001</v>
      </c>
      <c r="NK349" s="93">
        <v>697.55923265459194</v>
      </c>
      <c r="NL349" s="93">
        <v>300.366508657</v>
      </c>
      <c r="NM349" s="93">
        <v>3.7903904370000001</v>
      </c>
      <c r="NN349" s="93">
        <v>393.40233356059184</v>
      </c>
      <c r="NO349" s="93">
        <v>-9.8277975240000028</v>
      </c>
      <c r="NP349" s="93">
        <v>-406.62684437020215</v>
      </c>
      <c r="NQ349" s="93">
        <v>-574.4516028265615</v>
      </c>
      <c r="NR349" s="93">
        <v>-34.555174745420722</v>
      </c>
      <c r="NS349" s="93">
        <v>-181.04926926596966</v>
      </c>
      <c r="NT349" s="93">
        <v>-285.07375084520208</v>
      </c>
      <c r="NU349" s="93">
        <v>-452.89850930156149</v>
      </c>
      <c r="NV349" s="93">
        <v>280.92022259878894</v>
      </c>
      <c r="NW349" s="93">
        <v>156.922826145789</v>
      </c>
      <c r="NX349" s="93">
        <v>225.57757510423244</v>
      </c>
      <c r="NY349" s="93">
        <v>-68.654748958443463</v>
      </c>
      <c r="NZ349" s="93">
        <v>0</v>
      </c>
      <c r="OA349" s="93">
        <v>123.99739645299998</v>
      </c>
      <c r="OB349" s="93">
        <v>325.33276470389995</v>
      </c>
      <c r="OC349" s="93">
        <v>-201.33536825089999</v>
      </c>
      <c r="OD349" s="20">
        <v>4.1535282464130896</v>
      </c>
      <c r="OE349" s="29">
        <v>282</v>
      </c>
      <c r="OF349" s="1504">
        <v>45078</v>
      </c>
      <c r="OG349" s="19"/>
      <c r="OH349" s="93">
        <v>923.48333448599999</v>
      </c>
      <c r="OI349" s="93">
        <v>2690.4704537129996</v>
      </c>
      <c r="OJ349" s="93">
        <v>0.35494248299999998</v>
      </c>
      <c r="OK349" s="93">
        <v>2388.5149999999999</v>
      </c>
      <c r="OL349" s="93">
        <v>301.60051123</v>
      </c>
      <c r="OM349" s="93">
        <v>3613.9537881989995</v>
      </c>
      <c r="ON349" s="93">
        <v>2130.9751083189999</v>
      </c>
      <c r="OO349" s="93">
        <v>5744.9288965179994</v>
      </c>
      <c r="OP349" s="93"/>
      <c r="OQ349" s="93">
        <v>1870.3018244580001</v>
      </c>
      <c r="OR349" s="93">
        <v>-404.02417554199997</v>
      </c>
      <c r="OS349" s="93">
        <v>2274.326</v>
      </c>
      <c r="OT349" s="93">
        <v>4551.9022971499999</v>
      </c>
      <c r="OU349" s="93">
        <v>399.33740789299998</v>
      </c>
      <c r="OV349" s="93">
        <v>117.20440789299997</v>
      </c>
      <c r="OW349" s="93">
        <v>282.13300000000004</v>
      </c>
      <c r="OX349" s="93">
        <v>4152.5648892569998</v>
      </c>
      <c r="OY349" s="93">
        <v>9.3588892569999995</v>
      </c>
      <c r="OZ349" s="93">
        <v>4143.2060000000001</v>
      </c>
      <c r="PA349" s="93">
        <v>1262.5841128569991</v>
      </c>
      <c r="PB349" s="93">
        <v>-585.30888776700021</v>
      </c>
      <c r="PC349" s="20">
        <v>5744.9288965180003</v>
      </c>
      <c r="PD349" s="29">
        <v>282</v>
      </c>
      <c r="PE349" s="19"/>
      <c r="PF349" s="93">
        <v>-404.02417554199997</v>
      </c>
      <c r="PG349" s="93">
        <v>496.70488802700004</v>
      </c>
      <c r="PH349" s="93">
        <v>900.729063569</v>
      </c>
      <c r="PI349" s="93">
        <v>1644.2957604129999</v>
      </c>
      <c r="PJ349" s="93">
        <v>123.76961023099997</v>
      </c>
      <c r="PK349" s="93">
        <v>320.24977640499998</v>
      </c>
      <c r="PL349" s="93">
        <v>196.480166174</v>
      </c>
      <c r="PM349" s="93">
        <v>9.3588892569999995</v>
      </c>
      <c r="PN349" s="93">
        <v>3.3340000000000001</v>
      </c>
      <c r="PO349" s="93">
        <v>0</v>
      </c>
      <c r="PP349" s="93">
        <v>0</v>
      </c>
      <c r="PQ349" s="93">
        <v>6.0248892569999999</v>
      </c>
      <c r="PR349" s="93">
        <v>1349.5134398269997</v>
      </c>
      <c r="PS349" s="93">
        <v>1063.3675368239999</v>
      </c>
      <c r="PT349" s="93">
        <v>285.45785220099998</v>
      </c>
      <c r="PU349" s="93">
        <v>0.68805080200000002</v>
      </c>
      <c r="PV349" s="93">
        <v>0</v>
      </c>
      <c r="PW349" s="93">
        <v>4.2606470080000003</v>
      </c>
      <c r="PX349" s="93">
        <v>0</v>
      </c>
      <c r="PY349" s="93">
        <v>0</v>
      </c>
      <c r="PZ349" s="93">
        <v>4.2606470080000003</v>
      </c>
      <c r="QA349" s="93">
        <v>0</v>
      </c>
      <c r="QB349" s="93">
        <v>0</v>
      </c>
      <c r="QC349" s="93">
        <v>0</v>
      </c>
      <c r="QD349" s="93">
        <v>25.694465849</v>
      </c>
      <c r="QE349" s="20">
        <v>-6.0684683249999862</v>
      </c>
      <c r="QF349" s="1739">
        <v>282</v>
      </c>
      <c r="QG349" s="19"/>
      <c r="QH349" s="93">
        <v>2274.326</v>
      </c>
      <c r="QI349" s="93">
        <v>2699.6080000000002</v>
      </c>
      <c r="QJ349" s="93">
        <v>-425.2820000000001</v>
      </c>
      <c r="QK349" s="93">
        <v>528.58299999999997</v>
      </c>
      <c r="QL349" s="93">
        <v>133.31899999999999</v>
      </c>
      <c r="QM349" s="93">
        <v>395.26400000000001</v>
      </c>
      <c r="QN349" s="93">
        <v>0</v>
      </c>
      <c r="QO349" s="93">
        <v>282.13300000000004</v>
      </c>
      <c r="QP349" s="93">
        <v>1184.596</v>
      </c>
      <c r="QQ349" s="93">
        <v>-902.46299999999997</v>
      </c>
      <c r="QR349" s="93">
        <v>4143.2060000000001</v>
      </c>
      <c r="QS349" s="93">
        <v>64.765000000000001</v>
      </c>
      <c r="QT349" s="93">
        <v>15.122999999999999</v>
      </c>
      <c r="QU349" s="93">
        <v>403.38900000000001</v>
      </c>
      <c r="QV349" s="93">
        <v>3659.9290000000001</v>
      </c>
      <c r="QW349" s="93"/>
      <c r="QX349" s="93">
        <v>1644.2049999999999</v>
      </c>
      <c r="QY349" s="93">
        <v>2388.5149999999999</v>
      </c>
      <c r="QZ349" s="93">
        <v>2130.6420000000003</v>
      </c>
      <c r="RA349" s="93">
        <v>0</v>
      </c>
      <c r="RB349" s="93">
        <v>285.96199999999999</v>
      </c>
      <c r="RC349" s="93">
        <v>0</v>
      </c>
      <c r="RD349" s="93">
        <v>101.01599999999999</v>
      </c>
      <c r="RE349" s="93">
        <v>0</v>
      </c>
      <c r="RF349" s="93">
        <v>0</v>
      </c>
      <c r="RG349" s="93">
        <v>845.65099999999916</v>
      </c>
      <c r="RH349" s="93">
        <v>-167.74299999999999</v>
      </c>
      <c r="RI349" s="93"/>
      <c r="RJ349" s="93"/>
      <c r="RK349" s="93"/>
      <c r="RL349" s="93"/>
      <c r="RM349" s="20"/>
      <c r="RN349" s="29">
        <v>282</v>
      </c>
      <c r="RO349" s="19"/>
      <c r="RP349" s="20"/>
      <c r="RQ349" s="29"/>
      <c r="RR349" s="20"/>
      <c r="RS349" s="29"/>
      <c r="RT349" s="1504">
        <v>45078</v>
      </c>
      <c r="RU349" s="419">
        <f t="shared" si="341"/>
        <v>2171.4530754017546</v>
      </c>
      <c r="RV349" s="306">
        <f t="shared" si="341"/>
        <v>87.556294930944162</v>
      </c>
      <c r="RW349" s="29">
        <v>282</v>
      </c>
      <c r="RX349" s="1504">
        <v>45078</v>
      </c>
      <c r="RY349" s="29"/>
      <c r="RZ349" s="20"/>
      <c r="SA349" s="29"/>
      <c r="SB349" s="29"/>
    </row>
    <row r="350" spans="1:496">
      <c r="A350" s="41">
        <f t="shared" si="238"/>
        <v>2023</v>
      </c>
      <c r="B350" s="1504">
        <v>45108</v>
      </c>
      <c r="C350" s="1813">
        <v>1075</v>
      </c>
      <c r="D350" s="1814">
        <v>27898</v>
      </c>
      <c r="E350" s="1814">
        <v>44</v>
      </c>
      <c r="F350" s="1815"/>
      <c r="G350" s="1814">
        <v>88172</v>
      </c>
      <c r="H350" s="1814">
        <v>151</v>
      </c>
      <c r="I350" s="1814">
        <v>28465</v>
      </c>
      <c r="J350" s="1816">
        <v>14886</v>
      </c>
      <c r="K350" s="1807">
        <f t="shared" si="330"/>
        <v>160691</v>
      </c>
      <c r="L350" s="25">
        <v>283</v>
      </c>
      <c r="M350" s="97"/>
      <c r="N350" s="1504">
        <v>45108</v>
      </c>
      <c r="O350" s="19">
        <v>1668</v>
      </c>
      <c r="P350" s="93">
        <v>884</v>
      </c>
      <c r="Q350" s="93">
        <v>9991</v>
      </c>
      <c r="R350" s="93">
        <v>2525</v>
      </c>
      <c r="S350" s="93">
        <v>1262</v>
      </c>
      <c r="T350" s="93">
        <v>1405</v>
      </c>
      <c r="U350" s="93">
        <v>340</v>
      </c>
      <c r="V350" s="93">
        <v>52</v>
      </c>
      <c r="W350" s="93">
        <v>6070</v>
      </c>
      <c r="X350" s="93">
        <v>852</v>
      </c>
      <c r="Y350" s="93">
        <v>979</v>
      </c>
      <c r="Z350" s="93">
        <v>948</v>
      </c>
      <c r="AA350" s="93">
        <v>922</v>
      </c>
      <c r="AB350" s="20">
        <f t="shared" si="327"/>
        <v>27898</v>
      </c>
      <c r="AC350" s="25">
        <v>283</v>
      </c>
      <c r="AD350" s="97"/>
      <c r="AE350" s="1504">
        <v>45108</v>
      </c>
      <c r="AF350" s="19">
        <v>2498</v>
      </c>
      <c r="AG350" s="93">
        <v>913</v>
      </c>
      <c r="AH350" s="93">
        <v>3490</v>
      </c>
      <c r="AI350" s="93">
        <v>4695</v>
      </c>
      <c r="AJ350" s="93">
        <v>1236</v>
      </c>
      <c r="AK350" s="93">
        <v>1930</v>
      </c>
      <c r="AL350" s="93">
        <v>743</v>
      </c>
      <c r="AM350" s="93">
        <v>74</v>
      </c>
      <c r="AN350" s="93">
        <v>8548</v>
      </c>
      <c r="AO350" s="93">
        <v>1726</v>
      </c>
      <c r="AP350" s="93">
        <v>773</v>
      </c>
      <c r="AQ350" s="93">
        <v>1060</v>
      </c>
      <c r="AR350" s="93">
        <v>779</v>
      </c>
      <c r="AS350" s="132">
        <f t="shared" si="323"/>
        <v>28465</v>
      </c>
      <c r="AT350" s="25">
        <v>283</v>
      </c>
      <c r="AU350" s="97"/>
      <c r="AV350" s="1504">
        <v>45108</v>
      </c>
      <c r="AW350" s="19">
        <v>11850</v>
      </c>
      <c r="AX350" s="93">
        <v>3341</v>
      </c>
      <c r="AY350" s="93">
        <v>3851</v>
      </c>
      <c r="AZ350" s="93">
        <v>18011</v>
      </c>
      <c r="BA350" s="93">
        <v>3968</v>
      </c>
      <c r="BB350" s="93">
        <v>6504</v>
      </c>
      <c r="BC350" s="93">
        <v>3382</v>
      </c>
      <c r="BD350" s="93">
        <v>74</v>
      </c>
      <c r="BE350" s="93">
        <v>18613</v>
      </c>
      <c r="BF350" s="93">
        <v>4865</v>
      </c>
      <c r="BG350" s="93">
        <v>4483</v>
      </c>
      <c r="BH350" s="93">
        <v>3418</v>
      </c>
      <c r="BI350" s="93">
        <v>5812</v>
      </c>
      <c r="BJ350" s="132">
        <f t="shared" si="324"/>
        <v>88172</v>
      </c>
      <c r="BK350" s="25">
        <v>283</v>
      </c>
      <c r="BL350" s="97"/>
      <c r="BM350" s="1504">
        <v>45108</v>
      </c>
      <c r="BN350" s="733">
        <v>59.125</v>
      </c>
      <c r="BO350" s="570">
        <v>3849.924</v>
      </c>
      <c r="BP350" s="570">
        <v>8.8000000000000007</v>
      </c>
      <c r="BQ350" s="570">
        <v>793.548</v>
      </c>
      <c r="BR350" s="570">
        <v>26.425000000000001</v>
      </c>
      <c r="BS350" s="570">
        <v>284.64999999999998</v>
      </c>
      <c r="BT350" s="570">
        <v>416.80799999999999</v>
      </c>
      <c r="BU350" s="132">
        <f t="shared" si="325"/>
        <v>5439.28</v>
      </c>
      <c r="BV350" s="25">
        <v>283</v>
      </c>
      <c r="BW350" s="97"/>
      <c r="BX350" s="1504">
        <v>45108</v>
      </c>
      <c r="BY350" s="19">
        <v>593.1</v>
      </c>
      <c r="BZ350" s="93">
        <v>655.95699999999999</v>
      </c>
      <c r="CA350" s="93">
        <v>679.02</v>
      </c>
      <c r="CB350" s="93">
        <v>32.640999999999998</v>
      </c>
      <c r="CC350" s="93">
        <v>51.965000000000003</v>
      </c>
      <c r="CD350" s="25">
        <v>283</v>
      </c>
      <c r="CE350" s="97"/>
      <c r="CF350" s="1504">
        <v>45108</v>
      </c>
      <c r="CG350" s="733">
        <v>2.0542649160000002</v>
      </c>
      <c r="CH350" s="570">
        <v>1951.02</v>
      </c>
      <c r="CI350" s="1945">
        <v>78.983333333329995</v>
      </c>
      <c r="CJ350" s="734">
        <v>80.099999999999994</v>
      </c>
      <c r="CK350" s="733">
        <v>533.45000000000005</v>
      </c>
      <c r="CL350" s="570">
        <v>242.38483919999999</v>
      </c>
      <c r="CM350" s="568">
        <v>0.52117216799999999</v>
      </c>
      <c r="CN350" s="568">
        <v>0.85120378200000002</v>
      </c>
      <c r="CO350" s="570">
        <v>345.5</v>
      </c>
      <c r="CP350" s="734">
        <v>4.7840254</v>
      </c>
      <c r="CQ350" s="1945">
        <v>2159.21</v>
      </c>
      <c r="CR350" s="570">
        <v>2.0625</v>
      </c>
      <c r="CS350" s="570">
        <v>1.4924999999999999</v>
      </c>
      <c r="CT350" s="570">
        <v>342.5</v>
      </c>
      <c r="CU350" s="570">
        <v>114.43</v>
      </c>
      <c r="CV350" s="1539">
        <v>2404.65</v>
      </c>
      <c r="CW350" s="29">
        <v>283</v>
      </c>
      <c r="CX350" s="41">
        <f t="shared" si="319"/>
        <v>2023</v>
      </c>
      <c r="CY350" s="1504">
        <v>45108</v>
      </c>
      <c r="CZ350" s="19"/>
      <c r="DA350" s="93"/>
      <c r="DB350" s="93"/>
      <c r="DC350" s="93"/>
      <c r="DD350" s="93"/>
      <c r="DE350" s="20"/>
      <c r="DF350" s="29"/>
      <c r="DG350" s="1504">
        <v>45108</v>
      </c>
      <c r="DH350" s="19">
        <v>516336</v>
      </c>
      <c r="DI350" s="93">
        <v>5038691</v>
      </c>
      <c r="DJ350" s="93">
        <v>276283</v>
      </c>
      <c r="DK350" s="93">
        <v>24530</v>
      </c>
      <c r="DL350" s="93">
        <v>495264</v>
      </c>
      <c r="DM350" s="93">
        <v>5924</v>
      </c>
      <c r="DN350" s="20">
        <v>1505134</v>
      </c>
      <c r="DO350" s="295">
        <f t="shared" si="342"/>
        <v>7345826</v>
      </c>
      <c r="DP350" s="29">
        <v>283</v>
      </c>
      <c r="DQ350" s="1504">
        <v>45108</v>
      </c>
      <c r="DR350" s="19">
        <v>72636</v>
      </c>
      <c r="DS350" s="93">
        <v>162</v>
      </c>
      <c r="DT350" s="93">
        <v>69658.152000000002</v>
      </c>
      <c r="DU350" s="93">
        <v>4047.018</v>
      </c>
      <c r="DV350" s="93">
        <v>29338.752</v>
      </c>
      <c r="DW350" s="93">
        <v>4717</v>
      </c>
      <c r="DX350" s="20">
        <v>12565.263000000001</v>
      </c>
      <c r="DY350" s="29">
        <v>283</v>
      </c>
      <c r="DZ350" s="1504">
        <v>45108</v>
      </c>
      <c r="EA350" s="19"/>
      <c r="EB350" s="93"/>
      <c r="EC350" s="20"/>
      <c r="ED350" s="29"/>
      <c r="EE350" s="1504">
        <v>45108</v>
      </c>
      <c r="EF350" s="19">
        <f t="shared" si="335"/>
        <v>27878</v>
      </c>
      <c r="EG350" s="93">
        <f t="shared" si="335"/>
        <v>28266</v>
      </c>
      <c r="EH350" s="93">
        <f t="shared" si="336"/>
        <v>72334</v>
      </c>
      <c r="EI350" s="214">
        <f t="shared" si="337"/>
        <v>16190</v>
      </c>
      <c r="EJ350" s="93">
        <f t="shared" si="337"/>
        <v>195.49700000000001</v>
      </c>
      <c r="EK350" s="93">
        <f t="shared" ref="EK350:EK352" si="343">EV350+FG350</f>
        <v>74.463999999999999</v>
      </c>
      <c r="EL350" s="93">
        <f t="shared" ref="EL350:EL352" si="344">EW350+FH350</f>
        <v>2.0459999999999998</v>
      </c>
      <c r="EM350" s="93">
        <f t="shared" ref="EM350:EM352" si="345">EX350+FI350</f>
        <v>11.638</v>
      </c>
      <c r="EN350" s="20">
        <f t="shared" si="338"/>
        <v>283.64499999999998</v>
      </c>
      <c r="EO350" s="29">
        <v>283</v>
      </c>
      <c r="EP350" s="1504">
        <v>45108</v>
      </c>
      <c r="EQ350" s="19">
        <v>23646</v>
      </c>
      <c r="ER350" s="93">
        <v>25520</v>
      </c>
      <c r="ES350" s="93">
        <f t="shared" si="315"/>
        <v>49166</v>
      </c>
      <c r="ET350" s="214">
        <v>15734</v>
      </c>
      <c r="EU350" s="93">
        <v>195.49700000000001</v>
      </c>
      <c r="EV350" s="93">
        <v>74.463999999999999</v>
      </c>
      <c r="EW350" s="93">
        <v>2.0459999999999998</v>
      </c>
      <c r="EX350" s="93">
        <v>11.638</v>
      </c>
      <c r="EY350" s="20">
        <f t="shared" si="321"/>
        <v>283.64499999999998</v>
      </c>
      <c r="EZ350" s="29">
        <v>283</v>
      </c>
      <c r="FA350" s="1504">
        <v>45108</v>
      </c>
      <c r="FB350" s="1949">
        <v>4232</v>
      </c>
      <c r="FC350" s="29">
        <v>2746</v>
      </c>
      <c r="FD350" s="29">
        <f t="shared" si="316"/>
        <v>6978</v>
      </c>
      <c r="FE350" s="29">
        <v>456</v>
      </c>
      <c r="FF350" s="29">
        <v>0</v>
      </c>
      <c r="FG350" s="29">
        <v>0</v>
      </c>
      <c r="FH350" s="29">
        <v>0</v>
      </c>
      <c r="FI350" s="29">
        <v>0</v>
      </c>
      <c r="FJ350" s="29">
        <f t="shared" si="326"/>
        <v>0</v>
      </c>
      <c r="FK350" s="29">
        <v>283</v>
      </c>
      <c r="FL350" s="1504">
        <v>45108</v>
      </c>
      <c r="FM350" s="733">
        <v>126.7</v>
      </c>
      <c r="FN350" s="570">
        <v>141.6</v>
      </c>
      <c r="FO350" s="570">
        <v>171.2</v>
      </c>
      <c r="FP350" s="570">
        <v>101.7</v>
      </c>
      <c r="FQ350" s="570">
        <v>115.6</v>
      </c>
      <c r="FR350" s="570">
        <v>102</v>
      </c>
      <c r="FS350" s="570">
        <v>106.5</v>
      </c>
      <c r="FT350" s="570">
        <v>110.5</v>
      </c>
      <c r="FU350" s="570">
        <v>99.4</v>
      </c>
      <c r="FV350" s="570">
        <v>101.2</v>
      </c>
      <c r="FW350" s="570">
        <v>114.1</v>
      </c>
      <c r="FX350" s="570">
        <v>112.3</v>
      </c>
      <c r="FY350" s="570">
        <v>102.4</v>
      </c>
      <c r="FZ350" s="29">
        <v>283</v>
      </c>
      <c r="GA350" s="1504">
        <v>45108</v>
      </c>
      <c r="GB350" s="19">
        <v>126.7</v>
      </c>
      <c r="GC350" s="93">
        <v>113.3</v>
      </c>
      <c r="GD350" s="93">
        <v>133.5</v>
      </c>
      <c r="GE350" s="93">
        <v>124.7</v>
      </c>
      <c r="GF350" s="93">
        <v>158.5</v>
      </c>
      <c r="GG350" s="93">
        <v>113.4</v>
      </c>
      <c r="GH350" s="93">
        <v>152.6</v>
      </c>
      <c r="GI350" s="93">
        <v>113.6</v>
      </c>
      <c r="GJ350" s="93">
        <v>108.3</v>
      </c>
      <c r="GK350" s="93">
        <v>103.1</v>
      </c>
      <c r="GL350" s="93">
        <v>138.80000000000001</v>
      </c>
      <c r="GM350" s="93">
        <v>102.4</v>
      </c>
      <c r="GN350" s="20">
        <v>108.3</v>
      </c>
      <c r="GO350" s="29">
        <v>283</v>
      </c>
      <c r="GP350" s="1504">
        <v>45108</v>
      </c>
      <c r="GQ350" s="19">
        <v>391</v>
      </c>
      <c r="GR350" s="93">
        <v>333</v>
      </c>
      <c r="GS350" s="93">
        <v>312</v>
      </c>
      <c r="GT350" s="93">
        <v>274</v>
      </c>
      <c r="GU350" s="93">
        <v>411</v>
      </c>
      <c r="GV350" s="20">
        <v>1436</v>
      </c>
      <c r="GW350" s="19">
        <v>412</v>
      </c>
      <c r="GX350" s="93">
        <v>657</v>
      </c>
      <c r="GY350" s="93">
        <v>795</v>
      </c>
      <c r="GZ350" s="93">
        <v>570</v>
      </c>
      <c r="HA350" s="93">
        <v>625</v>
      </c>
      <c r="HB350" s="20">
        <v>1210</v>
      </c>
      <c r="HC350" s="19">
        <v>2404</v>
      </c>
      <c r="HD350" s="93">
        <v>2772</v>
      </c>
      <c r="HE350" s="93">
        <v>2713</v>
      </c>
      <c r="HF350" s="93">
        <v>3150</v>
      </c>
      <c r="HG350" s="93">
        <v>3636</v>
      </c>
      <c r="HH350" s="20">
        <v>3916</v>
      </c>
      <c r="HI350" s="19"/>
      <c r="HJ350" s="93">
        <v>979</v>
      </c>
      <c r="HK350" s="93">
        <v>2462</v>
      </c>
      <c r="HL350" s="93">
        <v>1475</v>
      </c>
      <c r="HM350" s="93">
        <v>1219</v>
      </c>
      <c r="HN350" s="20">
        <v>2403</v>
      </c>
      <c r="HO350" s="219">
        <v>230</v>
      </c>
      <c r="HP350" s="20">
        <v>70</v>
      </c>
      <c r="HQ350" s="25">
        <v>190</v>
      </c>
      <c r="HR350" s="29">
        <v>283</v>
      </c>
      <c r="HS350" s="1504">
        <v>45108</v>
      </c>
      <c r="HT350" s="19"/>
      <c r="HU350" s="93"/>
      <c r="HV350" s="93"/>
      <c r="HW350" s="93"/>
      <c r="HX350" s="93"/>
      <c r="HY350" s="93"/>
      <c r="HZ350" s="93"/>
      <c r="IA350" s="20"/>
      <c r="IB350" s="19"/>
      <c r="IC350" s="93"/>
      <c r="ID350" s="93"/>
      <c r="IE350" s="93"/>
      <c r="IF350" s="93"/>
      <c r="IG350" s="20"/>
      <c r="IH350" s="19"/>
      <c r="II350" s="93"/>
      <c r="IJ350" s="93"/>
      <c r="IK350" s="93"/>
      <c r="IL350" s="93"/>
      <c r="IM350" s="93"/>
      <c r="IN350" s="93"/>
      <c r="IO350" s="20"/>
      <c r="IP350" s="29"/>
      <c r="IQ350" s="19"/>
      <c r="IR350" s="93"/>
      <c r="IS350" s="93"/>
      <c r="IT350" s="93"/>
      <c r="IU350" s="93"/>
      <c r="IV350" s="20"/>
      <c r="IW350" s="29"/>
      <c r="IX350" s="19"/>
      <c r="IY350" s="93"/>
      <c r="IZ350" s="93"/>
      <c r="JA350" s="93"/>
      <c r="JB350" s="93"/>
      <c r="JC350" s="93"/>
      <c r="JD350" s="93"/>
      <c r="JE350" s="20"/>
      <c r="JF350" s="29"/>
      <c r="JG350" s="19"/>
      <c r="JH350" s="93"/>
      <c r="JI350" s="93"/>
      <c r="JJ350" s="93"/>
      <c r="JK350" s="93"/>
      <c r="JL350" s="93"/>
      <c r="JM350" s="93"/>
      <c r="JN350" s="20"/>
      <c r="JO350" s="29"/>
      <c r="JP350" s="19"/>
      <c r="JQ350" s="93"/>
      <c r="JR350" s="93"/>
      <c r="JS350" s="93"/>
      <c r="JT350" s="93"/>
      <c r="JU350" s="20"/>
      <c r="JV350" s="29"/>
      <c r="JW350" s="1504">
        <v>45108</v>
      </c>
      <c r="JX350" s="19"/>
      <c r="JY350" s="93"/>
      <c r="JZ350" s="93"/>
      <c r="KA350" s="93"/>
      <c r="KB350" s="93"/>
      <c r="KC350" s="93"/>
      <c r="KD350" s="20"/>
      <c r="KE350" s="29"/>
      <c r="KF350" s="19"/>
      <c r="KG350" s="93"/>
      <c r="KH350" s="93"/>
      <c r="KI350" s="93"/>
      <c r="KJ350" s="93"/>
      <c r="KK350" s="20"/>
      <c r="KL350" s="29"/>
      <c r="KM350" s="19"/>
      <c r="KN350" s="93"/>
      <c r="KO350" s="93"/>
      <c r="KP350" s="93"/>
      <c r="KQ350" s="93"/>
      <c r="KR350" s="20"/>
      <c r="KS350" s="29"/>
      <c r="KT350" s="19"/>
      <c r="KU350" s="93"/>
      <c r="KV350" s="93"/>
      <c r="KW350" s="93"/>
      <c r="KX350" s="93"/>
      <c r="KY350" s="20"/>
      <c r="KZ350" s="29"/>
      <c r="LA350" s="1504">
        <v>45108</v>
      </c>
      <c r="LB350" s="19"/>
      <c r="LC350" s="93"/>
      <c r="LD350" s="93"/>
      <c r="LE350" s="93"/>
      <c r="LF350" s="93"/>
      <c r="LG350" s="93"/>
      <c r="LH350" s="20"/>
      <c r="LI350" s="29"/>
      <c r="LJ350" s="19"/>
      <c r="LK350" s="93"/>
      <c r="LL350" s="93"/>
      <c r="LM350" s="93"/>
      <c r="LN350" s="93"/>
      <c r="LO350" s="20"/>
      <c r="LP350" s="29"/>
      <c r="LQ350" s="19"/>
      <c r="LR350" s="93">
        <v>188</v>
      </c>
      <c r="LS350" s="93">
        <v>463</v>
      </c>
      <c r="LT350" s="93">
        <v>663</v>
      </c>
      <c r="LU350" s="93">
        <v>1104</v>
      </c>
      <c r="LV350" s="93"/>
      <c r="LW350" s="93">
        <v>5</v>
      </c>
      <c r="LX350" s="93">
        <v>10</v>
      </c>
      <c r="LY350" s="93">
        <v>60</v>
      </c>
      <c r="LZ350" s="93"/>
      <c r="MA350" s="20"/>
      <c r="MB350" s="29">
        <v>283</v>
      </c>
      <c r="MC350" s="1504">
        <v>45108</v>
      </c>
      <c r="MD350" s="19">
        <v>1653.4371627285861</v>
      </c>
      <c r="ME350" s="93">
        <v>1466.3726249275614</v>
      </c>
      <c r="MF350" s="93">
        <v>1466.3726249275614</v>
      </c>
      <c r="MG350" s="93">
        <v>1327.4324546699997</v>
      </c>
      <c r="MH350" s="93">
        <v>498.67859752400005</v>
      </c>
      <c r="MI350" s="93">
        <v>11.030976763</v>
      </c>
      <c r="MJ350" s="93">
        <v>38.309049590000001</v>
      </c>
      <c r="MK350" s="93">
        <v>599.37921897000001</v>
      </c>
      <c r="ML350" s="93">
        <v>179.346789538</v>
      </c>
      <c r="MM350" s="93">
        <v>0.68782228499999998</v>
      </c>
      <c r="MN350" s="93">
        <v>138.94017025756145</v>
      </c>
      <c r="MO350" s="93">
        <v>3.9082389470000005</v>
      </c>
      <c r="MP350" s="93">
        <v>26.032718399000004</v>
      </c>
      <c r="MQ350" s="93">
        <v>1.168471882</v>
      </c>
      <c r="MR350" s="93">
        <v>34.445056464999993</v>
      </c>
      <c r="MS350" s="93">
        <v>73.385684564561458</v>
      </c>
      <c r="MT350" s="93">
        <v>0</v>
      </c>
      <c r="MU350" s="93">
        <v>187.06453780102501</v>
      </c>
      <c r="MV350" s="93">
        <v>187.06453780102501</v>
      </c>
      <c r="MW350" s="93">
        <v>0</v>
      </c>
      <c r="MX350" s="93">
        <v>1946.2094989482448</v>
      </c>
      <c r="MY350" s="93">
        <v>1956.053697554245</v>
      </c>
      <c r="MZ350" s="93">
        <v>1223.7917036208053</v>
      </c>
      <c r="NA350" s="93">
        <v>617.81374277600003</v>
      </c>
      <c r="NB350" s="93">
        <v>128.65071617800001</v>
      </c>
      <c r="NC350" s="93">
        <v>177.3982009002232</v>
      </c>
      <c r="ND350" s="93">
        <v>154.762318502</v>
      </c>
      <c r="NE350" s="93">
        <v>22.63588239822317</v>
      </c>
      <c r="NF350" s="93">
        <v>299.92904376658214</v>
      </c>
      <c r="NG350" s="93">
        <v>42.613346102999998</v>
      </c>
      <c r="NH350" s="93">
        <v>73.67240587900001</v>
      </c>
      <c r="NI350" s="93">
        <v>0</v>
      </c>
      <c r="NJ350" s="93">
        <v>57.270500821999995</v>
      </c>
      <c r="NK350" s="93">
        <v>732.26199393343973</v>
      </c>
      <c r="NL350" s="93">
        <v>303.68200015291052</v>
      </c>
      <c r="NM350" s="93">
        <v>3.7903904370000001</v>
      </c>
      <c r="NN350" s="93">
        <v>424.78960334352905</v>
      </c>
      <c r="NO350" s="93">
        <v>-9.8441986060000097</v>
      </c>
      <c r="NP350" s="93">
        <v>-292.77233621965854</v>
      </c>
      <c r="NQ350" s="93">
        <v>-479.83687402068347</v>
      </c>
      <c r="NR350" s="93">
        <v>122.35093022306877</v>
      </c>
      <c r="NS350" s="93">
        <v>-55.047270677154422</v>
      </c>
      <c r="NT350" s="93">
        <v>-327.94106564065851</v>
      </c>
      <c r="NU350" s="93">
        <v>-515.00560344168355</v>
      </c>
      <c r="NV350" s="93">
        <v>325.23413246709043</v>
      </c>
      <c r="NW350" s="93">
        <v>163.87630589609051</v>
      </c>
      <c r="NX350" s="93">
        <v>237.7250655425041</v>
      </c>
      <c r="NY350" s="93">
        <v>-73.84875964641364</v>
      </c>
      <c r="NZ350" s="93">
        <v>0</v>
      </c>
      <c r="OA350" s="93">
        <v>161.35782657099998</v>
      </c>
      <c r="OB350" s="93">
        <v>362.13184627089998</v>
      </c>
      <c r="OC350" s="93">
        <v>-200.77401969990001</v>
      </c>
      <c r="OD350" s="20">
        <v>2.7069331735680104</v>
      </c>
      <c r="OE350" s="29">
        <v>283</v>
      </c>
      <c r="OF350" s="1504">
        <v>45108</v>
      </c>
      <c r="OG350" s="19"/>
      <c r="OH350" s="93">
        <v>917.14915839100001</v>
      </c>
      <c r="OI350" s="93">
        <v>2625.6817730969997</v>
      </c>
      <c r="OJ350" s="93">
        <v>0.57526186700000004</v>
      </c>
      <c r="OK350" s="93">
        <v>2323.5059999999999</v>
      </c>
      <c r="OL350" s="93">
        <v>301.60051123</v>
      </c>
      <c r="OM350" s="93">
        <v>3542.8309314879998</v>
      </c>
      <c r="ON350" s="93">
        <v>2125.7851083190003</v>
      </c>
      <c r="OO350" s="93">
        <v>5668.6160398070006</v>
      </c>
      <c r="OP350" s="93"/>
      <c r="OQ350" s="93">
        <v>1778.1311073900001</v>
      </c>
      <c r="OR350" s="93">
        <v>-460.13589260999993</v>
      </c>
      <c r="OS350" s="93">
        <v>2238.2669999999998</v>
      </c>
      <c r="OT350" s="93">
        <v>4446.4742233510005</v>
      </c>
      <c r="OU350" s="93">
        <v>275.76523644500014</v>
      </c>
      <c r="OV350" s="93">
        <v>24.106236445000043</v>
      </c>
      <c r="OW350" s="93">
        <v>251.65900000000011</v>
      </c>
      <c r="OX350" s="93">
        <v>4170.7089869060001</v>
      </c>
      <c r="OY350" s="93">
        <v>8.7669869059999996</v>
      </c>
      <c r="OZ350" s="93">
        <v>4161.942</v>
      </c>
      <c r="PA350" s="93">
        <v>1237.924517607001</v>
      </c>
      <c r="PB350" s="93">
        <v>-681.93522667299999</v>
      </c>
      <c r="PC350" s="20">
        <v>5668.6160398069997</v>
      </c>
      <c r="PD350" s="29">
        <v>283</v>
      </c>
      <c r="PE350" s="19"/>
      <c r="PF350" s="93">
        <v>-460.13589260999993</v>
      </c>
      <c r="PG350" s="93">
        <v>652.46439212399991</v>
      </c>
      <c r="PH350" s="93">
        <v>1112.6002847339998</v>
      </c>
      <c r="PI350" s="93">
        <v>1603.9261274129999</v>
      </c>
      <c r="PJ350" s="93">
        <v>30.671438783000042</v>
      </c>
      <c r="PK350" s="93">
        <v>319.30282439600001</v>
      </c>
      <c r="PL350" s="93">
        <v>288.63138561299996</v>
      </c>
      <c r="PM350" s="93">
        <v>8.7669869059999996</v>
      </c>
      <c r="PN350" s="93">
        <v>2.6890000000000001</v>
      </c>
      <c r="PO350" s="93">
        <v>0</v>
      </c>
      <c r="PP350" s="93">
        <v>0</v>
      </c>
      <c r="PQ350" s="93">
        <v>6.0779869059999996</v>
      </c>
      <c r="PR350" s="93">
        <v>1347.9180897639999</v>
      </c>
      <c r="PS350" s="93">
        <v>1052.051360729</v>
      </c>
      <c r="PT350" s="93">
        <v>294.95835884899998</v>
      </c>
      <c r="PU350" s="93">
        <v>0.90837018599999997</v>
      </c>
      <c r="PV350" s="93">
        <v>0</v>
      </c>
      <c r="PW350" s="93">
        <v>4.5955142569999996</v>
      </c>
      <c r="PX350" s="93">
        <v>0</v>
      </c>
      <c r="PY350" s="93">
        <v>0</v>
      </c>
      <c r="PZ350" s="93">
        <v>4.5955142569999996</v>
      </c>
      <c r="QA350" s="93">
        <v>0</v>
      </c>
      <c r="QB350" s="93">
        <v>0</v>
      </c>
      <c r="QC350" s="93">
        <v>0</v>
      </c>
      <c r="QD350" s="93">
        <v>29.90100335</v>
      </c>
      <c r="QE350" s="20">
        <v>-199.18594687900003</v>
      </c>
      <c r="QF350" s="1739">
        <v>283</v>
      </c>
      <c r="QG350" s="19"/>
      <c r="QH350" s="93">
        <v>2238.2669999999998</v>
      </c>
      <c r="QI350" s="93">
        <v>2695.3389999999999</v>
      </c>
      <c r="QJ350" s="93">
        <v>-457.07199999999995</v>
      </c>
      <c r="QK350" s="93">
        <v>448.66899999999998</v>
      </c>
      <c r="QL350" s="93">
        <v>128.33699999999999</v>
      </c>
      <c r="QM350" s="93">
        <v>320.33199999999999</v>
      </c>
      <c r="QN350" s="93">
        <v>0</v>
      </c>
      <c r="QO350" s="93">
        <v>251.65900000000011</v>
      </c>
      <c r="QP350" s="93">
        <v>1168.306</v>
      </c>
      <c r="QQ350" s="93">
        <v>-916.64699999999993</v>
      </c>
      <c r="QR350" s="93">
        <v>4161.942</v>
      </c>
      <c r="QS350" s="93">
        <v>56.722000000000001</v>
      </c>
      <c r="QT350" s="93">
        <v>15.199</v>
      </c>
      <c r="QU350" s="93">
        <v>361.63900000000001</v>
      </c>
      <c r="QV350" s="93">
        <v>3728.3819999999996</v>
      </c>
      <c r="QW350" s="93"/>
      <c r="QX350" s="93">
        <v>1603.5619999999999</v>
      </c>
      <c r="QY350" s="93">
        <v>2323.5059999999999</v>
      </c>
      <c r="QZ350" s="93">
        <v>2125.4520000000002</v>
      </c>
      <c r="RA350" s="93">
        <v>0</v>
      </c>
      <c r="RB350" s="93">
        <v>283.40600000000001</v>
      </c>
      <c r="RC350" s="93">
        <v>0</v>
      </c>
      <c r="RD350" s="93">
        <v>63.470000000000006</v>
      </c>
      <c r="RE350" s="93">
        <v>0</v>
      </c>
      <c r="RF350" s="93">
        <v>0</v>
      </c>
      <c r="RG350" s="93">
        <v>856.55200000000104</v>
      </c>
      <c r="RH350" s="93">
        <v>-155.411</v>
      </c>
      <c r="RI350" s="93"/>
      <c r="RJ350" s="93"/>
      <c r="RK350" s="93"/>
      <c r="RL350" s="93"/>
      <c r="RM350" s="20"/>
      <c r="RN350" s="29">
        <v>283</v>
      </c>
      <c r="RO350" s="19"/>
      <c r="RP350" s="20"/>
      <c r="RQ350" s="29"/>
      <c r="RR350" s="20"/>
      <c r="RS350" s="29"/>
      <c r="RT350" s="1504">
        <v>45108</v>
      </c>
      <c r="RU350" s="19">
        <v>1562</v>
      </c>
      <c r="RV350" s="20">
        <v>51</v>
      </c>
      <c r="RW350" s="29">
        <v>283</v>
      </c>
      <c r="RX350" s="1504">
        <v>45108</v>
      </c>
      <c r="RY350" s="29"/>
      <c r="RZ350" s="20"/>
      <c r="SA350" s="29"/>
      <c r="SB350" s="29"/>
    </row>
    <row r="351" spans="1:496">
      <c r="A351" s="41">
        <f t="shared" si="238"/>
        <v>2023</v>
      </c>
      <c r="B351" s="1504">
        <v>45139</v>
      </c>
      <c r="C351" s="1813">
        <v>955</v>
      </c>
      <c r="D351" s="1814">
        <v>27519</v>
      </c>
      <c r="E351" s="1814">
        <v>44</v>
      </c>
      <c r="F351" s="1815"/>
      <c r="G351" s="1814">
        <v>103912</v>
      </c>
      <c r="H351" s="1814">
        <v>10</v>
      </c>
      <c r="I351" s="1814">
        <v>34537</v>
      </c>
      <c r="J351" s="1816">
        <v>14689</v>
      </c>
      <c r="K351" s="1807">
        <f t="shared" si="330"/>
        <v>181666</v>
      </c>
      <c r="L351" s="25">
        <v>284</v>
      </c>
      <c r="M351" s="97"/>
      <c r="N351" s="1504">
        <v>45139</v>
      </c>
      <c r="O351" s="19">
        <v>1250</v>
      </c>
      <c r="P351" s="93">
        <v>955</v>
      </c>
      <c r="Q351" s="93">
        <v>12051</v>
      </c>
      <c r="R351" s="93">
        <v>2284</v>
      </c>
      <c r="S351" s="93">
        <v>1183</v>
      </c>
      <c r="T351" s="93">
        <v>703</v>
      </c>
      <c r="U351" s="93">
        <v>284</v>
      </c>
      <c r="V351" s="93">
        <v>15</v>
      </c>
      <c r="W351" s="93">
        <v>6144</v>
      </c>
      <c r="X351" s="93">
        <v>865</v>
      </c>
      <c r="Y351" s="93">
        <v>631</v>
      </c>
      <c r="Z351" s="93">
        <v>662</v>
      </c>
      <c r="AA351" s="93">
        <v>492</v>
      </c>
      <c r="AB351" s="20">
        <f t="shared" si="327"/>
        <v>27519</v>
      </c>
      <c r="AC351" s="25">
        <v>284</v>
      </c>
      <c r="AD351" s="97"/>
      <c r="AE351" s="1504">
        <v>45139</v>
      </c>
      <c r="AF351" s="19">
        <v>2263</v>
      </c>
      <c r="AG351" s="93">
        <v>950</v>
      </c>
      <c r="AH351" s="93">
        <v>6011</v>
      </c>
      <c r="AI351" s="93">
        <v>6512</v>
      </c>
      <c r="AJ351" s="93">
        <v>1868</v>
      </c>
      <c r="AK351" s="93">
        <v>2312</v>
      </c>
      <c r="AL351" s="93">
        <v>653</v>
      </c>
      <c r="AM351" s="93">
        <v>31</v>
      </c>
      <c r="AN351" s="93">
        <v>9976</v>
      </c>
      <c r="AO351" s="93">
        <v>1548</v>
      </c>
      <c r="AP351" s="93">
        <v>980</v>
      </c>
      <c r="AQ351" s="93">
        <v>649</v>
      </c>
      <c r="AR351" s="93">
        <v>784</v>
      </c>
      <c r="AS351" s="132">
        <f t="shared" si="323"/>
        <v>34537</v>
      </c>
      <c r="AT351" s="25">
        <v>284</v>
      </c>
      <c r="AU351" s="97"/>
      <c r="AV351" s="1504">
        <v>45139</v>
      </c>
      <c r="AW351" s="19">
        <v>11455</v>
      </c>
      <c r="AX351" s="93">
        <v>3280</v>
      </c>
      <c r="AY351" s="93">
        <v>12619</v>
      </c>
      <c r="AZ351" s="93">
        <v>19241</v>
      </c>
      <c r="BA351" s="93">
        <v>4530</v>
      </c>
      <c r="BB351" s="93">
        <v>9928</v>
      </c>
      <c r="BC351" s="93">
        <v>3806</v>
      </c>
      <c r="BD351" s="93">
        <v>63</v>
      </c>
      <c r="BE351" s="93">
        <v>20302</v>
      </c>
      <c r="BF351" s="93">
        <v>5417</v>
      </c>
      <c r="BG351" s="93">
        <v>6888</v>
      </c>
      <c r="BH351" s="93">
        <v>3409</v>
      </c>
      <c r="BI351" s="93">
        <v>2974</v>
      </c>
      <c r="BJ351" s="132">
        <f t="shared" si="324"/>
        <v>103912</v>
      </c>
      <c r="BK351" s="25">
        <v>284</v>
      </c>
      <c r="BL351" s="97"/>
      <c r="BM351" s="1504">
        <v>45139</v>
      </c>
      <c r="BN351" s="733">
        <v>52.524999999999999</v>
      </c>
      <c r="BO351" s="570">
        <v>3797.6219999999998</v>
      </c>
      <c r="BP351" s="570">
        <v>8.8000000000000007</v>
      </c>
      <c r="BQ351" s="570">
        <v>935.20799999999997</v>
      </c>
      <c r="BR351" s="570">
        <v>1.75</v>
      </c>
      <c r="BS351" s="570">
        <v>345.37</v>
      </c>
      <c r="BT351" s="570">
        <v>411.29199999999997</v>
      </c>
      <c r="BU351" s="132">
        <f t="shared" si="325"/>
        <v>5552.567</v>
      </c>
      <c r="BV351" s="25">
        <v>284</v>
      </c>
      <c r="BW351" s="97"/>
      <c r="BX351" s="1504">
        <v>45139</v>
      </c>
      <c r="BY351" s="19">
        <v>601.23</v>
      </c>
      <c r="BZ351" s="93">
        <v>655.95699999999999</v>
      </c>
      <c r="CA351" s="93">
        <v>684.5</v>
      </c>
      <c r="CB351" s="93">
        <v>32.009</v>
      </c>
      <c r="CC351" s="93">
        <v>53.298000000000002</v>
      </c>
      <c r="CD351" s="25">
        <v>284</v>
      </c>
      <c r="CE351" s="97"/>
      <c r="CF351" s="1504">
        <v>45139</v>
      </c>
      <c r="CG351" s="733">
        <v>2.1148919660000001</v>
      </c>
      <c r="CH351" s="570">
        <v>1918.7</v>
      </c>
      <c r="CI351" s="1945">
        <v>84.724333333329994</v>
      </c>
      <c r="CJ351" s="734">
        <v>86.162999999999997</v>
      </c>
      <c r="CK351" s="733">
        <v>626</v>
      </c>
      <c r="CL351" s="570">
        <v>207.607148</v>
      </c>
      <c r="CM351" s="568">
        <v>0.52800648999999999</v>
      </c>
      <c r="CN351" s="568">
        <v>0.89287110000000003</v>
      </c>
      <c r="CO351" s="570">
        <v>315.82</v>
      </c>
      <c r="CP351" s="734">
        <v>4.7261541249999999</v>
      </c>
      <c r="CQ351" s="1945">
        <v>2173.94</v>
      </c>
      <c r="CR351" s="570">
        <v>2.2480000000000002</v>
      </c>
      <c r="CS351" s="570">
        <v>1.4697</v>
      </c>
      <c r="CT351" s="570">
        <v>346.25</v>
      </c>
      <c r="CU351" s="570">
        <v>110.2</v>
      </c>
      <c r="CV351" s="1539">
        <v>2406.7199999999998</v>
      </c>
      <c r="CW351" s="29">
        <v>284</v>
      </c>
      <c r="CX351" s="41">
        <f t="shared" si="319"/>
        <v>2023</v>
      </c>
      <c r="CY351" s="1504">
        <v>45139</v>
      </c>
      <c r="CZ351" s="19"/>
      <c r="DA351" s="93"/>
      <c r="DB351" s="93"/>
      <c r="DC351" s="93"/>
      <c r="DD351" s="93"/>
      <c r="DE351" s="20"/>
      <c r="DF351" s="29"/>
      <c r="DG351" s="1504">
        <v>45139</v>
      </c>
      <c r="DH351" s="19">
        <v>518650</v>
      </c>
      <c r="DI351" s="93">
        <v>4901570</v>
      </c>
      <c r="DJ351" s="93">
        <v>245024</v>
      </c>
      <c r="DK351" s="93">
        <v>22339</v>
      </c>
      <c r="DL351" s="93">
        <v>487069</v>
      </c>
      <c r="DM351" s="93">
        <v>3818</v>
      </c>
      <c r="DN351" s="20">
        <v>1354423</v>
      </c>
      <c r="DO351" s="295">
        <f t="shared" si="342"/>
        <v>7014243</v>
      </c>
      <c r="DP351" s="29">
        <v>284</v>
      </c>
      <c r="DQ351" s="1504">
        <v>45139</v>
      </c>
      <c r="DR351" s="19">
        <v>68952.399999999994</v>
      </c>
      <c r="DS351" s="93">
        <v>142</v>
      </c>
      <c r="DT351" s="93">
        <v>60759.353000000003</v>
      </c>
      <c r="DU351" s="93">
        <v>3211.183</v>
      </c>
      <c r="DV351" s="93">
        <v>38906.650999999998</v>
      </c>
      <c r="DW351" s="93">
        <v>3689</v>
      </c>
      <c r="DX351" s="20">
        <v>13009.271000000001</v>
      </c>
      <c r="DY351" s="29">
        <v>284</v>
      </c>
      <c r="DZ351" s="1504">
        <v>45139</v>
      </c>
      <c r="EA351" s="19"/>
      <c r="EB351" s="93"/>
      <c r="EC351" s="20"/>
      <c r="ED351" s="29"/>
      <c r="EE351" s="1504">
        <v>45139</v>
      </c>
      <c r="EF351" s="19">
        <f t="shared" si="335"/>
        <v>24656</v>
      </c>
      <c r="EG351" s="93">
        <f t="shared" si="335"/>
        <v>26524</v>
      </c>
      <c r="EH351" s="93">
        <f t="shared" si="336"/>
        <v>62688</v>
      </c>
      <c r="EI351" s="214">
        <f t="shared" si="337"/>
        <v>11508</v>
      </c>
      <c r="EJ351" s="93">
        <f t="shared" si="337"/>
        <v>120.32299999999999</v>
      </c>
      <c r="EK351" s="93">
        <f t="shared" si="343"/>
        <v>32.073</v>
      </c>
      <c r="EL351" s="93">
        <f t="shared" si="344"/>
        <v>1.8220000000000001</v>
      </c>
      <c r="EM351" s="93">
        <f t="shared" si="345"/>
        <v>14.016999999999999</v>
      </c>
      <c r="EN351" s="20">
        <f t="shared" si="338"/>
        <v>168.23499999999999</v>
      </c>
      <c r="EO351" s="29">
        <v>284</v>
      </c>
      <c r="EP351" s="1504">
        <v>45139</v>
      </c>
      <c r="EQ351" s="19">
        <v>22686</v>
      </c>
      <c r="ER351" s="93">
        <v>24549</v>
      </c>
      <c r="ES351" s="93">
        <f t="shared" si="315"/>
        <v>47235</v>
      </c>
      <c r="ET351" s="214">
        <v>10884</v>
      </c>
      <c r="EU351" s="93">
        <v>120.32299999999999</v>
      </c>
      <c r="EV351" s="93">
        <v>32.073</v>
      </c>
      <c r="EW351" s="93">
        <v>1.8220000000000001</v>
      </c>
      <c r="EX351" s="93">
        <v>14.016999999999999</v>
      </c>
      <c r="EY351" s="20">
        <f t="shared" si="321"/>
        <v>168.23499999999999</v>
      </c>
      <c r="EZ351" s="29">
        <v>284</v>
      </c>
      <c r="FA351" s="1504">
        <v>45139</v>
      </c>
      <c r="FB351" s="1949">
        <v>1970</v>
      </c>
      <c r="FC351" s="29">
        <v>1975</v>
      </c>
      <c r="FD351" s="29">
        <f t="shared" si="316"/>
        <v>3945</v>
      </c>
      <c r="FE351" s="29">
        <v>624</v>
      </c>
      <c r="FF351" s="29">
        <v>0</v>
      </c>
      <c r="FG351" s="29">
        <v>0</v>
      </c>
      <c r="FH351" s="29">
        <v>0</v>
      </c>
      <c r="FI351" s="29">
        <v>0</v>
      </c>
      <c r="FJ351" s="29">
        <f t="shared" si="326"/>
        <v>0</v>
      </c>
      <c r="FK351" s="29">
        <v>284</v>
      </c>
      <c r="FL351" s="1504">
        <v>45139</v>
      </c>
      <c r="FM351" s="733">
        <v>126</v>
      </c>
      <c r="FN351" s="570">
        <v>140.1</v>
      </c>
      <c r="FO351" s="570">
        <v>166.5</v>
      </c>
      <c r="FP351" s="570">
        <v>101.7</v>
      </c>
      <c r="FQ351" s="570">
        <v>117.2</v>
      </c>
      <c r="FR351" s="570">
        <v>102</v>
      </c>
      <c r="FS351" s="570">
        <v>106.5</v>
      </c>
      <c r="FT351" s="570">
        <v>110.5</v>
      </c>
      <c r="FU351" s="570">
        <v>99.4</v>
      </c>
      <c r="FV351" s="570">
        <v>101.2</v>
      </c>
      <c r="FW351" s="570">
        <v>114.1</v>
      </c>
      <c r="FX351" s="570">
        <v>113.3</v>
      </c>
      <c r="FY351" s="570">
        <v>102.4</v>
      </c>
      <c r="FZ351" s="29">
        <v>284</v>
      </c>
      <c r="GA351" s="1504">
        <v>45139</v>
      </c>
      <c r="GB351" s="19">
        <v>126</v>
      </c>
      <c r="GC351" s="93">
        <v>113.2</v>
      </c>
      <c r="GD351" s="93">
        <v>132.5</v>
      </c>
      <c r="GE351" s="93">
        <v>126.5</v>
      </c>
      <c r="GF351" s="93">
        <v>156.4</v>
      </c>
      <c r="GG351" s="93">
        <v>113</v>
      </c>
      <c r="GH351" s="93">
        <v>151</v>
      </c>
      <c r="GI351" s="93">
        <v>113.2</v>
      </c>
      <c r="GJ351" s="93">
        <v>108</v>
      </c>
      <c r="GK351" s="93">
        <v>103.1</v>
      </c>
      <c r="GL351" s="93">
        <v>137.5</v>
      </c>
      <c r="GM351" s="93">
        <v>102.4</v>
      </c>
      <c r="GN351" s="20">
        <v>108.3</v>
      </c>
      <c r="GO351" s="29">
        <v>284</v>
      </c>
      <c r="GP351" s="1504">
        <v>45139</v>
      </c>
      <c r="GQ351" s="19">
        <v>382</v>
      </c>
      <c r="GR351" s="93">
        <v>317</v>
      </c>
      <c r="GS351" s="93">
        <v>306</v>
      </c>
      <c r="GT351" s="93">
        <v>264</v>
      </c>
      <c r="GU351" s="93">
        <v>400</v>
      </c>
      <c r="GV351" s="20">
        <v>1451</v>
      </c>
      <c r="GW351" s="19">
        <v>403</v>
      </c>
      <c r="GX351" s="93">
        <v>624</v>
      </c>
      <c r="GY351" s="93">
        <v>824</v>
      </c>
      <c r="GZ351" s="93">
        <v>661</v>
      </c>
      <c r="HA351" s="93">
        <v>638</v>
      </c>
      <c r="HB351" s="20">
        <v>863</v>
      </c>
      <c r="HC351" s="19">
        <v>2390</v>
      </c>
      <c r="HD351" s="93">
        <v>2815</v>
      </c>
      <c r="HE351" s="93">
        <v>2819</v>
      </c>
      <c r="HF351" s="93">
        <v>3150</v>
      </c>
      <c r="HG351" s="93">
        <v>3581</v>
      </c>
      <c r="HH351" s="20">
        <v>3951</v>
      </c>
      <c r="HI351" s="19"/>
      <c r="HJ351" s="93">
        <v>984</v>
      </c>
      <c r="HK351" s="93">
        <v>2446</v>
      </c>
      <c r="HL351" s="93">
        <v>1309</v>
      </c>
      <c r="HM351" s="93">
        <v>1200</v>
      </c>
      <c r="HN351" s="20">
        <v>2314</v>
      </c>
      <c r="HO351" s="219">
        <v>177</v>
      </c>
      <c r="HP351" s="20">
        <v>66</v>
      </c>
      <c r="HQ351" s="25">
        <v>193</v>
      </c>
      <c r="HR351" s="29">
        <v>284</v>
      </c>
      <c r="HS351" s="1504">
        <v>45139</v>
      </c>
      <c r="HT351" s="19"/>
      <c r="HU351" s="93"/>
      <c r="HV351" s="93"/>
      <c r="HW351" s="93"/>
      <c r="HX351" s="93"/>
      <c r="HY351" s="93"/>
      <c r="HZ351" s="93"/>
      <c r="IA351" s="20"/>
      <c r="IB351" s="19"/>
      <c r="IC351" s="93"/>
      <c r="ID351" s="93"/>
      <c r="IE351" s="93"/>
      <c r="IF351" s="93"/>
      <c r="IG351" s="20"/>
      <c r="IH351" s="19"/>
      <c r="II351" s="93"/>
      <c r="IJ351" s="93"/>
      <c r="IK351" s="93"/>
      <c r="IL351" s="93"/>
      <c r="IM351" s="93"/>
      <c r="IN351" s="93"/>
      <c r="IO351" s="20"/>
      <c r="IP351" s="29"/>
      <c r="IQ351" s="19"/>
      <c r="IR351" s="93"/>
      <c r="IS351" s="93"/>
      <c r="IT351" s="93"/>
      <c r="IU351" s="93"/>
      <c r="IV351" s="20"/>
      <c r="IW351" s="29"/>
      <c r="IX351" s="19"/>
      <c r="IY351" s="93"/>
      <c r="IZ351" s="93"/>
      <c r="JA351" s="93"/>
      <c r="JB351" s="93"/>
      <c r="JC351" s="93"/>
      <c r="JD351" s="93"/>
      <c r="JE351" s="20"/>
      <c r="JF351" s="29"/>
      <c r="JG351" s="19"/>
      <c r="JH351" s="93"/>
      <c r="JI351" s="93"/>
      <c r="JJ351" s="93"/>
      <c r="JK351" s="93"/>
      <c r="JL351" s="93"/>
      <c r="JM351" s="93"/>
      <c r="JN351" s="20"/>
      <c r="JO351" s="29"/>
      <c r="JP351" s="19"/>
      <c r="JQ351" s="93"/>
      <c r="JR351" s="93"/>
      <c r="JS351" s="93"/>
      <c r="JT351" s="93"/>
      <c r="JU351" s="20"/>
      <c r="JV351" s="29"/>
      <c r="JW351" s="1504">
        <v>45139</v>
      </c>
      <c r="JX351" s="19"/>
      <c r="JY351" s="93"/>
      <c r="JZ351" s="93"/>
      <c r="KA351" s="93"/>
      <c r="KB351" s="93"/>
      <c r="KC351" s="93"/>
      <c r="KD351" s="20"/>
      <c r="KE351" s="29"/>
      <c r="KF351" s="19"/>
      <c r="KG351" s="93"/>
      <c r="KH351" s="93"/>
      <c r="KI351" s="93"/>
      <c r="KJ351" s="93"/>
      <c r="KK351" s="20"/>
      <c r="KL351" s="29"/>
      <c r="KM351" s="19"/>
      <c r="KN351" s="93"/>
      <c r="KO351" s="93"/>
      <c r="KP351" s="93"/>
      <c r="KQ351" s="93"/>
      <c r="KR351" s="20"/>
      <c r="KS351" s="29"/>
      <c r="KT351" s="19"/>
      <c r="KU351" s="93"/>
      <c r="KV351" s="93"/>
      <c r="KW351" s="93"/>
      <c r="KX351" s="93"/>
      <c r="KY351" s="20"/>
      <c r="KZ351" s="29"/>
      <c r="LA351" s="1504">
        <v>45139</v>
      </c>
      <c r="LB351" s="19"/>
      <c r="LC351" s="93"/>
      <c r="LD351" s="93"/>
      <c r="LE351" s="93"/>
      <c r="LF351" s="93"/>
      <c r="LG351" s="93"/>
      <c r="LH351" s="20"/>
      <c r="LI351" s="29"/>
      <c r="LJ351" s="19"/>
      <c r="LK351" s="93"/>
      <c r="LL351" s="93"/>
      <c r="LM351" s="93"/>
      <c r="LN351" s="93"/>
      <c r="LO351" s="20"/>
      <c r="LP351" s="29"/>
      <c r="LQ351" s="19"/>
      <c r="LR351" s="93">
        <v>188</v>
      </c>
      <c r="LS351" s="93">
        <v>463</v>
      </c>
      <c r="LT351" s="93">
        <v>663</v>
      </c>
      <c r="LU351" s="93">
        <v>1104</v>
      </c>
      <c r="LV351" s="93"/>
      <c r="LW351" s="93">
        <v>5</v>
      </c>
      <c r="LX351" s="93">
        <v>10</v>
      </c>
      <c r="LY351" s="93">
        <v>60</v>
      </c>
      <c r="LZ351" s="93"/>
      <c r="MA351" s="20"/>
      <c r="MB351" s="29">
        <v>284</v>
      </c>
      <c r="MC351" s="1504">
        <v>45139</v>
      </c>
      <c r="MD351" s="19">
        <v>1831.120000305586</v>
      </c>
      <c r="ME351" s="93">
        <v>1639.7793852745615</v>
      </c>
      <c r="MF351" s="93">
        <v>1639.7793852745615</v>
      </c>
      <c r="MG351" s="93">
        <v>1473.5953150159999</v>
      </c>
      <c r="MH351" s="93">
        <v>530.42759249800008</v>
      </c>
      <c r="MI351" s="93">
        <v>12.495680701000001</v>
      </c>
      <c r="MJ351" s="93">
        <v>46.586639646999998</v>
      </c>
      <c r="MK351" s="93">
        <v>679.27755821400001</v>
      </c>
      <c r="ML351" s="93">
        <v>204.02794338099997</v>
      </c>
      <c r="MM351" s="93">
        <v>0.7799005750000001</v>
      </c>
      <c r="MN351" s="93">
        <v>166.18407025856143</v>
      </c>
      <c r="MO351" s="93">
        <v>4.3209026510000008</v>
      </c>
      <c r="MP351" s="93">
        <v>29.042722558000005</v>
      </c>
      <c r="MQ351" s="93">
        <v>1.361269837</v>
      </c>
      <c r="MR351" s="93">
        <v>50.695623134999998</v>
      </c>
      <c r="MS351" s="93">
        <v>80.763552077561457</v>
      </c>
      <c r="MT351" s="93">
        <v>0</v>
      </c>
      <c r="MU351" s="93">
        <v>191.34061503102498</v>
      </c>
      <c r="MV351" s="93">
        <v>191.34061503102498</v>
      </c>
      <c r="MW351" s="93">
        <v>0</v>
      </c>
      <c r="MX351" s="93">
        <v>2189.4974129193488</v>
      </c>
      <c r="MY351" s="93">
        <v>2196.1478785763493</v>
      </c>
      <c r="MZ351" s="93">
        <v>1424.5790780084383</v>
      </c>
      <c r="NA351" s="93">
        <v>704.01855127600004</v>
      </c>
      <c r="NB351" s="93">
        <v>145.20237501</v>
      </c>
      <c r="NC351" s="93">
        <v>200.35046942285629</v>
      </c>
      <c r="ND351" s="93">
        <v>176.64857430800001</v>
      </c>
      <c r="NE351" s="93">
        <v>23.701895114856288</v>
      </c>
      <c r="NF351" s="93">
        <v>375.00768229958214</v>
      </c>
      <c r="NG351" s="93">
        <v>42.686087702999998</v>
      </c>
      <c r="NH351" s="93">
        <v>108.079224045</v>
      </c>
      <c r="NI351" s="93">
        <v>0</v>
      </c>
      <c r="NJ351" s="93">
        <v>64.584747702000001</v>
      </c>
      <c r="NK351" s="93">
        <v>771.56880056791067</v>
      </c>
      <c r="NL351" s="93">
        <v>329.29753592391052</v>
      </c>
      <c r="NM351" s="93">
        <v>4.0896904349999996</v>
      </c>
      <c r="NN351" s="93">
        <v>438.18157420900008</v>
      </c>
      <c r="NO351" s="93">
        <v>-6.6504656570000051</v>
      </c>
      <c r="NP351" s="93">
        <v>-358.37741261376266</v>
      </c>
      <c r="NQ351" s="93">
        <v>-549.71802764478753</v>
      </c>
      <c r="NR351" s="93">
        <v>88.8140159870688</v>
      </c>
      <c r="NS351" s="93">
        <v>-111.53645343578754</v>
      </c>
      <c r="NT351" s="93">
        <v>-402.06722847327205</v>
      </c>
      <c r="NU351" s="93">
        <v>-593.40784350429703</v>
      </c>
      <c r="NV351" s="93">
        <v>398.69534158255351</v>
      </c>
      <c r="NW351" s="93">
        <v>169.48810360055364</v>
      </c>
      <c r="NX351" s="93">
        <v>246.84095917797512</v>
      </c>
      <c r="NY351" s="93">
        <v>-77.35285557742155</v>
      </c>
      <c r="NZ351" s="93">
        <v>0</v>
      </c>
      <c r="OA351" s="93">
        <v>229.20723798199992</v>
      </c>
      <c r="OB351" s="93">
        <v>476.4625990719</v>
      </c>
      <c r="OC351" s="93">
        <v>-247.25536108990002</v>
      </c>
      <c r="OD351" s="20">
        <v>3.3718868907184452</v>
      </c>
      <c r="OE351" s="29">
        <v>284</v>
      </c>
      <c r="OF351" s="1504">
        <v>45139</v>
      </c>
      <c r="OG351" s="19"/>
      <c r="OH351" s="93">
        <v>923.61169018800001</v>
      </c>
      <c r="OI351" s="93">
        <v>2551.1044592650001</v>
      </c>
      <c r="OJ351" s="93">
        <v>0.55194803499999989</v>
      </c>
      <c r="OK351" s="93">
        <v>2248.9520000000002</v>
      </c>
      <c r="OL351" s="93">
        <v>301.60051123</v>
      </c>
      <c r="OM351" s="93">
        <v>3474.7161494530001</v>
      </c>
      <c r="ON351" s="93">
        <v>2172.0341083190001</v>
      </c>
      <c r="OO351" s="93">
        <v>5646.7502577720006</v>
      </c>
      <c r="OP351" s="93"/>
      <c r="OQ351" s="93">
        <v>1729.0343513259998</v>
      </c>
      <c r="OR351" s="93">
        <v>-408.75864867400003</v>
      </c>
      <c r="OS351" s="93">
        <v>2137.7929999999997</v>
      </c>
      <c r="OT351" s="93">
        <v>4580.0022047880002</v>
      </c>
      <c r="OU351" s="93">
        <v>385.370591816</v>
      </c>
      <c r="OV351" s="93">
        <v>86.809591815999966</v>
      </c>
      <c r="OW351" s="93">
        <v>298.56100000000004</v>
      </c>
      <c r="OX351" s="93">
        <v>4194.6316129719999</v>
      </c>
      <c r="OY351" s="93">
        <v>8.8636129720000003</v>
      </c>
      <c r="OZ351" s="93">
        <v>4185.768</v>
      </c>
      <c r="PA351" s="93">
        <v>1240.480783813</v>
      </c>
      <c r="PB351" s="93">
        <v>-578.19448547100001</v>
      </c>
      <c r="PC351" s="20">
        <v>5646.7502577719997</v>
      </c>
      <c r="PD351" s="29">
        <v>284</v>
      </c>
      <c r="PE351" s="19"/>
      <c r="PF351" s="93">
        <v>-408.75864867400003</v>
      </c>
      <c r="PG351" s="93">
        <v>617.19594827399999</v>
      </c>
      <c r="PH351" s="93">
        <v>1025.954596948</v>
      </c>
      <c r="PI351" s="93">
        <v>1596.4873689999999</v>
      </c>
      <c r="PJ351" s="93">
        <v>93.374794153999972</v>
      </c>
      <c r="PK351" s="93">
        <v>319.36032234199996</v>
      </c>
      <c r="PL351" s="93">
        <v>225.98552818799999</v>
      </c>
      <c r="PM351" s="93">
        <v>8.8636129720000003</v>
      </c>
      <c r="PN351" s="93">
        <v>2.6890000000000001</v>
      </c>
      <c r="PO351" s="93">
        <v>0</v>
      </c>
      <c r="PP351" s="93">
        <v>0</v>
      </c>
      <c r="PQ351" s="93">
        <v>6.1746129720000003</v>
      </c>
      <c r="PR351" s="93">
        <v>1313.5434206169998</v>
      </c>
      <c r="PS351" s="93">
        <v>1055.181892526</v>
      </c>
      <c r="PT351" s="93">
        <v>257.476471737</v>
      </c>
      <c r="PU351" s="93">
        <v>0.88505635399999982</v>
      </c>
      <c r="PV351" s="93">
        <v>0</v>
      </c>
      <c r="PW351" s="93">
        <v>4.2381723249999999</v>
      </c>
      <c r="PX351" s="93">
        <v>0</v>
      </c>
      <c r="PY351" s="93">
        <v>0</v>
      </c>
      <c r="PZ351" s="93">
        <v>4.2381723249999999</v>
      </c>
      <c r="QA351" s="93">
        <v>0</v>
      </c>
      <c r="QB351" s="93">
        <v>0</v>
      </c>
      <c r="QC351" s="93">
        <v>0</v>
      </c>
      <c r="QD351" s="93">
        <v>33.931611488000001</v>
      </c>
      <c r="QE351" s="20">
        <v>-61.746076978000019</v>
      </c>
      <c r="QF351" s="1739">
        <v>284</v>
      </c>
      <c r="QG351" s="19"/>
      <c r="QH351" s="93">
        <v>2137.7929999999997</v>
      </c>
      <c r="QI351" s="93">
        <v>2625.2089999999998</v>
      </c>
      <c r="QJ351" s="93">
        <v>-487.416</v>
      </c>
      <c r="QK351" s="93">
        <v>440.44900000000001</v>
      </c>
      <c r="QL351" s="93">
        <v>125.005</v>
      </c>
      <c r="QM351" s="93">
        <v>315.44400000000002</v>
      </c>
      <c r="QN351" s="93">
        <v>0</v>
      </c>
      <c r="QO351" s="93">
        <v>298.56100000000004</v>
      </c>
      <c r="QP351" s="93">
        <v>1190.1130000000001</v>
      </c>
      <c r="QQ351" s="93">
        <v>-891.55200000000002</v>
      </c>
      <c r="QR351" s="93">
        <v>4185.768</v>
      </c>
      <c r="QS351" s="93">
        <v>78.663000000000011</v>
      </c>
      <c r="QT351" s="93">
        <v>15.263999999999999</v>
      </c>
      <c r="QU351" s="93">
        <v>351.35500000000002</v>
      </c>
      <c r="QV351" s="93">
        <v>3740.4859999999999</v>
      </c>
      <c r="QW351" s="93"/>
      <c r="QX351" s="93">
        <v>1598.692</v>
      </c>
      <c r="QY351" s="93">
        <v>2248.9520000000002</v>
      </c>
      <c r="QZ351" s="93">
        <v>2171.701</v>
      </c>
      <c r="RA351" s="93">
        <v>0</v>
      </c>
      <c r="RB351" s="93">
        <v>292.16800000000001</v>
      </c>
      <c r="RC351" s="93">
        <v>0</v>
      </c>
      <c r="RD351" s="93">
        <v>43.997999999999998</v>
      </c>
      <c r="RE351" s="93">
        <v>0</v>
      </c>
      <c r="RF351" s="93">
        <v>0</v>
      </c>
      <c r="RG351" s="93">
        <v>866.14499999999998</v>
      </c>
      <c r="RH351" s="93">
        <v>-159.08499999999992</v>
      </c>
      <c r="RI351" s="93"/>
      <c r="RJ351" s="93"/>
      <c r="RK351" s="93"/>
      <c r="RL351" s="93"/>
      <c r="RM351" s="20"/>
      <c r="RN351" s="29">
        <v>284</v>
      </c>
      <c r="RO351" s="19"/>
      <c r="RP351" s="20"/>
      <c r="RQ351" s="29"/>
      <c r="RR351" s="20"/>
      <c r="RS351" s="29"/>
      <c r="RT351" s="1504">
        <v>45139</v>
      </c>
      <c r="RU351" s="19">
        <v>1647</v>
      </c>
      <c r="RV351" s="20">
        <v>42</v>
      </c>
      <c r="RW351" s="29">
        <v>284</v>
      </c>
      <c r="RX351" s="1504">
        <v>45139</v>
      </c>
      <c r="RY351" s="29"/>
      <c r="RZ351" s="20"/>
      <c r="SA351" s="29"/>
      <c r="SB351" s="29"/>
    </row>
    <row r="352" spans="1:496">
      <c r="A352" s="41">
        <f t="shared" ref="A352:A415" si="346">YEAR(B352)</f>
        <v>2023</v>
      </c>
      <c r="B352" s="1504">
        <v>45170</v>
      </c>
      <c r="C352" s="1813">
        <v>942</v>
      </c>
      <c r="D352" s="1814">
        <v>22500</v>
      </c>
      <c r="E352" s="1814">
        <v>98</v>
      </c>
      <c r="F352" s="1815"/>
      <c r="G352" s="1814">
        <v>80675</v>
      </c>
      <c r="H352" s="1814">
        <v>137</v>
      </c>
      <c r="I352" s="1814">
        <v>25730</v>
      </c>
      <c r="J352" s="1816">
        <v>10216</v>
      </c>
      <c r="K352" s="1807">
        <f t="shared" si="330"/>
        <v>140298</v>
      </c>
      <c r="L352" s="25">
        <v>285</v>
      </c>
      <c r="M352" s="97"/>
      <c r="N352" s="1504">
        <v>45170</v>
      </c>
      <c r="O352" s="19">
        <v>1401</v>
      </c>
      <c r="P352" s="93">
        <v>924</v>
      </c>
      <c r="Q352" s="93">
        <v>11491</v>
      </c>
      <c r="R352" s="93">
        <v>2583</v>
      </c>
      <c r="S352" s="93">
        <v>1294</v>
      </c>
      <c r="T352" s="93">
        <v>729</v>
      </c>
      <c r="U352" s="93">
        <v>293</v>
      </c>
      <c r="V352" s="93">
        <v>17</v>
      </c>
      <c r="W352" s="93">
        <v>799</v>
      </c>
      <c r="X352" s="93">
        <v>934</v>
      </c>
      <c r="Y352" s="93">
        <v>549</v>
      </c>
      <c r="Z352" s="93">
        <v>953</v>
      </c>
      <c r="AA352" s="93">
        <v>533</v>
      </c>
      <c r="AB352" s="20">
        <f t="shared" si="327"/>
        <v>22500</v>
      </c>
      <c r="AC352" s="25">
        <v>285</v>
      </c>
      <c r="AD352" s="97"/>
      <c r="AE352" s="1504">
        <v>45170</v>
      </c>
      <c r="AF352" s="19">
        <v>1989</v>
      </c>
      <c r="AG352" s="93">
        <v>1073</v>
      </c>
      <c r="AH352" s="93">
        <v>6211</v>
      </c>
      <c r="AI352" s="93">
        <v>3926</v>
      </c>
      <c r="AJ352" s="93">
        <v>662</v>
      </c>
      <c r="AK352" s="93">
        <v>4549</v>
      </c>
      <c r="AL352" s="93">
        <v>656</v>
      </c>
      <c r="AM352" s="93">
        <v>40</v>
      </c>
      <c r="AN352" s="93">
        <v>1977</v>
      </c>
      <c r="AO352" s="93">
        <v>1469</v>
      </c>
      <c r="AP352" s="93">
        <v>1453</v>
      </c>
      <c r="AQ352" s="93">
        <v>894</v>
      </c>
      <c r="AR352" s="93">
        <v>831</v>
      </c>
      <c r="AS352" s="132">
        <f t="shared" si="323"/>
        <v>25730</v>
      </c>
      <c r="AT352" s="25">
        <v>285</v>
      </c>
      <c r="AU352" s="97"/>
      <c r="AV352" s="1504">
        <v>45170</v>
      </c>
      <c r="AW352" s="19">
        <v>11250</v>
      </c>
      <c r="AX352" s="93">
        <v>3929</v>
      </c>
      <c r="AY352" s="93">
        <v>13757</v>
      </c>
      <c r="AZ352" s="93">
        <v>14211</v>
      </c>
      <c r="BA352" s="93">
        <v>1895</v>
      </c>
      <c r="BB352" s="93">
        <v>8973</v>
      </c>
      <c r="BC352" s="93">
        <v>3612</v>
      </c>
      <c r="BD352" s="93">
        <v>54</v>
      </c>
      <c r="BE352" s="93">
        <v>5441</v>
      </c>
      <c r="BF352" s="93">
        <v>5187</v>
      </c>
      <c r="BG352" s="93">
        <v>6280</v>
      </c>
      <c r="BH352" s="93">
        <v>3362</v>
      </c>
      <c r="BI352" s="93">
        <v>2724</v>
      </c>
      <c r="BJ352" s="132">
        <f t="shared" si="331"/>
        <v>80675</v>
      </c>
      <c r="BK352" s="25">
        <v>285</v>
      </c>
      <c r="BL352" s="97"/>
      <c r="BM352" s="1504">
        <v>45170</v>
      </c>
      <c r="BN352" s="733">
        <v>51.81</v>
      </c>
      <c r="BO352" s="570">
        <v>3105</v>
      </c>
      <c r="BP352" s="570">
        <v>19.600000000000001</v>
      </c>
      <c r="BQ352" s="570">
        <v>726.07500000000005</v>
      </c>
      <c r="BR352" s="570">
        <v>23.975000000000001</v>
      </c>
      <c r="BS352" s="570">
        <v>257.3</v>
      </c>
      <c r="BT352" s="570">
        <v>286.048</v>
      </c>
      <c r="BU352" s="132">
        <f t="shared" si="332"/>
        <v>4469.8079999999991</v>
      </c>
      <c r="BV352" s="25">
        <v>285</v>
      </c>
      <c r="BW352" s="97"/>
      <c r="BX352" s="1504">
        <v>45170</v>
      </c>
      <c r="BY352" s="19">
        <v>614.52</v>
      </c>
      <c r="BZ352" s="93">
        <v>655.95699999999999</v>
      </c>
      <c r="CA352" s="93">
        <v>683.27</v>
      </c>
      <c r="CB352" s="93">
        <v>32.378999999999998</v>
      </c>
      <c r="CC352" s="93">
        <v>53.470999999999997</v>
      </c>
      <c r="CD352" s="25">
        <v>285</v>
      </c>
      <c r="CE352" s="97"/>
      <c r="CF352" s="1504">
        <v>45170</v>
      </c>
      <c r="CG352" s="733">
        <v>2.1594252900000002</v>
      </c>
      <c r="CH352" s="570">
        <v>1915.95</v>
      </c>
      <c r="CI352" s="1945">
        <v>92.22</v>
      </c>
      <c r="CJ352" s="734">
        <v>94</v>
      </c>
      <c r="CK352" s="733">
        <v>609.9</v>
      </c>
      <c r="CL352" s="570">
        <v>223.80708000000001</v>
      </c>
      <c r="CM352" s="568">
        <v>0.57959459800000002</v>
      </c>
      <c r="CN352" s="568">
        <v>0.94049089200000002</v>
      </c>
      <c r="CO352" s="570">
        <v>314.68</v>
      </c>
      <c r="CP352" s="734">
        <v>4.9030748800000001</v>
      </c>
      <c r="CQ352" s="1945">
        <v>2106.2199999999998</v>
      </c>
      <c r="CR352" s="570">
        <v>2.2524999999999999</v>
      </c>
      <c r="CS352" s="570">
        <v>1.5544</v>
      </c>
      <c r="CT352" s="570">
        <v>347.5</v>
      </c>
      <c r="CU352" s="570">
        <v>120.98</v>
      </c>
      <c r="CV352" s="1539">
        <v>2495.5</v>
      </c>
      <c r="CW352" s="29">
        <v>285</v>
      </c>
      <c r="CX352" s="41">
        <f t="shared" si="319"/>
        <v>2023</v>
      </c>
      <c r="CY352" s="1504">
        <v>45170</v>
      </c>
      <c r="CZ352" s="19"/>
      <c r="DA352" s="93"/>
      <c r="DB352" s="93"/>
      <c r="DC352" s="93"/>
      <c r="DD352" s="93"/>
      <c r="DE352" s="20"/>
      <c r="DF352" s="29"/>
      <c r="DG352" s="1504">
        <v>45170</v>
      </c>
      <c r="DH352" s="19">
        <v>520794</v>
      </c>
      <c r="DI352" s="93">
        <v>4974079</v>
      </c>
      <c r="DJ352" s="93">
        <v>276454</v>
      </c>
      <c r="DK352" s="93">
        <v>18023</v>
      </c>
      <c r="DL352" s="93">
        <v>494094</v>
      </c>
      <c r="DM352" s="93">
        <v>3932</v>
      </c>
      <c r="DN352" s="20">
        <v>1355055</v>
      </c>
      <c r="DO352" s="295">
        <f t="shared" si="342"/>
        <v>7121637</v>
      </c>
      <c r="DP352" s="29">
        <v>285</v>
      </c>
      <c r="DQ352" s="1504">
        <v>45170</v>
      </c>
      <c r="DR352" s="19">
        <v>70580.44</v>
      </c>
      <c r="DS352" s="93">
        <v>141</v>
      </c>
      <c r="DT352" s="93">
        <v>67815.02</v>
      </c>
      <c r="DU352" s="93">
        <v>1982.973</v>
      </c>
      <c r="DV352" s="93">
        <v>20591.722000000002</v>
      </c>
      <c r="DW352" s="93">
        <v>3494.5</v>
      </c>
      <c r="DX352" s="20">
        <v>13271.496999999999</v>
      </c>
      <c r="DY352" s="29">
        <v>285</v>
      </c>
      <c r="DZ352" s="1504">
        <v>45170</v>
      </c>
      <c r="EA352" s="19"/>
      <c r="EB352" s="93"/>
      <c r="EC352" s="20"/>
      <c r="ED352" s="29"/>
      <c r="EE352" s="1504">
        <v>45170</v>
      </c>
      <c r="EF352" s="19">
        <f t="shared" si="335"/>
        <v>22334</v>
      </c>
      <c r="EG352" s="93">
        <f t="shared" si="335"/>
        <v>23744</v>
      </c>
      <c r="EH352" s="93">
        <f t="shared" si="336"/>
        <v>55850</v>
      </c>
      <c r="EI352" s="214">
        <f t="shared" si="337"/>
        <v>9772</v>
      </c>
      <c r="EJ352" s="93">
        <f t="shared" si="337"/>
        <v>149.988</v>
      </c>
      <c r="EK352" s="93">
        <f t="shared" si="343"/>
        <v>83.870999999999995</v>
      </c>
      <c r="EL352" s="93">
        <f t="shared" si="344"/>
        <v>3.6459999999999999</v>
      </c>
      <c r="EM352" s="93">
        <f t="shared" si="345"/>
        <v>8.266</v>
      </c>
      <c r="EN352" s="20">
        <f t="shared" si="338"/>
        <v>245.77099999999996</v>
      </c>
      <c r="EO352" s="29">
        <v>285</v>
      </c>
      <c r="EP352" s="1504">
        <v>45170</v>
      </c>
      <c r="EQ352" s="19">
        <v>20636</v>
      </c>
      <c r="ER352" s="93">
        <v>22062</v>
      </c>
      <c r="ES352" s="93">
        <f t="shared" si="315"/>
        <v>42698</v>
      </c>
      <c r="ET352" s="214">
        <v>9304</v>
      </c>
      <c r="EU352" s="93">
        <v>149.988</v>
      </c>
      <c r="EV352" s="93">
        <v>83.870999999999995</v>
      </c>
      <c r="EW352" s="93">
        <v>3.6459999999999999</v>
      </c>
      <c r="EX352" s="93">
        <v>8.266</v>
      </c>
      <c r="EY352" s="20">
        <f t="shared" si="321"/>
        <v>245.77099999999996</v>
      </c>
      <c r="EZ352" s="29">
        <v>285</v>
      </c>
      <c r="FA352" s="1504">
        <v>45170</v>
      </c>
      <c r="FB352" s="1949">
        <v>1698</v>
      </c>
      <c r="FC352" s="29">
        <v>1682</v>
      </c>
      <c r="FD352" s="29">
        <f t="shared" si="316"/>
        <v>3380</v>
      </c>
      <c r="FE352" s="29">
        <v>468</v>
      </c>
      <c r="FF352" s="29">
        <v>0</v>
      </c>
      <c r="FG352" s="29">
        <v>0</v>
      </c>
      <c r="FH352" s="29">
        <v>0</v>
      </c>
      <c r="FI352" s="29">
        <v>0</v>
      </c>
      <c r="FJ352" s="29">
        <f t="shared" si="326"/>
        <v>0</v>
      </c>
      <c r="FK352" s="29">
        <v>285</v>
      </c>
      <c r="FL352" s="1504">
        <v>45170</v>
      </c>
      <c r="FM352" s="733">
        <v>125.6</v>
      </c>
      <c r="FN352" s="570">
        <v>140</v>
      </c>
      <c r="FO352" s="570">
        <v>156.5</v>
      </c>
      <c r="FP352" s="570">
        <v>101.7</v>
      </c>
      <c r="FQ352" s="570">
        <v>116.1</v>
      </c>
      <c r="FR352" s="570">
        <v>102</v>
      </c>
      <c r="FS352" s="570">
        <v>106.5</v>
      </c>
      <c r="FT352" s="570">
        <v>110.5</v>
      </c>
      <c r="FU352" s="570">
        <v>99.4</v>
      </c>
      <c r="FV352" s="570">
        <v>101.1</v>
      </c>
      <c r="FW352" s="570">
        <v>114.1</v>
      </c>
      <c r="FX352" s="570">
        <v>114</v>
      </c>
      <c r="FY352" s="570">
        <v>102.4</v>
      </c>
      <c r="FZ352" s="29">
        <v>285</v>
      </c>
      <c r="GA352" s="1504">
        <v>45170</v>
      </c>
      <c r="GB352" s="19">
        <v>125.6</v>
      </c>
      <c r="GC352" s="93">
        <v>112.3</v>
      </c>
      <c r="GD352" s="93">
        <v>132.19999999999999</v>
      </c>
      <c r="GE352" s="93">
        <v>125.1</v>
      </c>
      <c r="GF352" s="93">
        <v>154.5</v>
      </c>
      <c r="GG352" s="93">
        <v>113</v>
      </c>
      <c r="GH352" s="93">
        <v>149.4</v>
      </c>
      <c r="GI352" s="93">
        <v>113.2</v>
      </c>
      <c r="GJ352" s="93">
        <v>108</v>
      </c>
      <c r="GK352" s="93">
        <v>103.1</v>
      </c>
      <c r="GL352" s="93">
        <v>136.80000000000001</v>
      </c>
      <c r="GM352" s="93">
        <v>102.4</v>
      </c>
      <c r="GN352" s="20">
        <v>108.3</v>
      </c>
      <c r="GO352" s="29">
        <v>285</v>
      </c>
      <c r="GP352" s="1504">
        <v>45170</v>
      </c>
      <c r="GQ352" s="19">
        <v>391</v>
      </c>
      <c r="GR352" s="93">
        <v>330</v>
      </c>
      <c r="GS352" s="93">
        <v>330</v>
      </c>
      <c r="GT352" s="93">
        <v>268</v>
      </c>
      <c r="GU352" s="93">
        <v>413</v>
      </c>
      <c r="GV352" s="20">
        <v>1490</v>
      </c>
      <c r="GW352" s="19">
        <v>398</v>
      </c>
      <c r="GX352" s="93">
        <v>634</v>
      </c>
      <c r="GY352" s="93">
        <v>785</v>
      </c>
      <c r="GZ352" s="93">
        <v>757</v>
      </c>
      <c r="HA352" s="93">
        <v>503</v>
      </c>
      <c r="HB352" s="20">
        <v>618</v>
      </c>
      <c r="HC352" s="19">
        <v>2403</v>
      </c>
      <c r="HD352" s="93">
        <v>2741</v>
      </c>
      <c r="HE352" s="93">
        <v>2667</v>
      </c>
      <c r="HF352" s="93">
        <v>3150</v>
      </c>
      <c r="HG352" s="93">
        <v>3725</v>
      </c>
      <c r="HH352" s="20">
        <v>3918</v>
      </c>
      <c r="HI352" s="19"/>
      <c r="HJ352" s="93">
        <v>985</v>
      </c>
      <c r="HK352" s="93">
        <v>2240</v>
      </c>
      <c r="HL352" s="93">
        <v>1268</v>
      </c>
      <c r="HM352" s="93">
        <v>1139</v>
      </c>
      <c r="HN352" s="20">
        <v>2261</v>
      </c>
      <c r="HO352" s="219">
        <v>184</v>
      </c>
      <c r="HP352" s="20">
        <v>64</v>
      </c>
      <c r="HQ352" s="25">
        <v>194</v>
      </c>
      <c r="HR352" s="29">
        <v>285</v>
      </c>
      <c r="HS352" s="1504">
        <v>45170</v>
      </c>
      <c r="HT352" s="19"/>
      <c r="HU352" s="93"/>
      <c r="HV352" s="93"/>
      <c r="HW352" s="93"/>
      <c r="HX352" s="93"/>
      <c r="HY352" s="93"/>
      <c r="HZ352" s="93"/>
      <c r="IA352" s="20"/>
      <c r="IB352" s="19"/>
      <c r="IC352" s="93"/>
      <c r="ID352" s="93"/>
      <c r="IE352" s="93"/>
      <c r="IF352" s="93"/>
      <c r="IG352" s="20"/>
      <c r="IH352" s="19"/>
      <c r="II352" s="93"/>
      <c r="IJ352" s="93"/>
      <c r="IK352" s="93"/>
      <c r="IL352" s="93"/>
      <c r="IM352" s="93"/>
      <c r="IN352" s="93"/>
      <c r="IO352" s="20"/>
      <c r="IP352" s="29"/>
      <c r="IQ352" s="19"/>
      <c r="IR352" s="93"/>
      <c r="IS352" s="93"/>
      <c r="IT352" s="93"/>
      <c r="IU352" s="93"/>
      <c r="IV352" s="20"/>
      <c r="IW352" s="29"/>
      <c r="IX352" s="19"/>
      <c r="IY352" s="93"/>
      <c r="IZ352" s="93"/>
      <c r="JA352" s="93"/>
      <c r="JB352" s="93"/>
      <c r="JC352" s="93"/>
      <c r="JD352" s="93"/>
      <c r="JE352" s="20"/>
      <c r="JF352" s="29"/>
      <c r="JG352" s="19"/>
      <c r="JH352" s="93"/>
      <c r="JI352" s="93"/>
      <c r="JJ352" s="93"/>
      <c r="JK352" s="93"/>
      <c r="JL352" s="93"/>
      <c r="JM352" s="93"/>
      <c r="JN352" s="20"/>
      <c r="JO352" s="29"/>
      <c r="JP352" s="19"/>
      <c r="JQ352" s="93"/>
      <c r="JR352" s="93"/>
      <c r="JS352" s="93"/>
      <c r="JT352" s="93"/>
      <c r="JU352" s="20"/>
      <c r="JV352" s="29"/>
      <c r="JW352" s="1504">
        <v>45170</v>
      </c>
      <c r="JX352" s="19"/>
      <c r="JY352" s="93"/>
      <c r="JZ352" s="93"/>
      <c r="KA352" s="93"/>
      <c r="KB352" s="93"/>
      <c r="KC352" s="93"/>
      <c r="KD352" s="20"/>
      <c r="KE352" s="29"/>
      <c r="KF352" s="19"/>
      <c r="KG352" s="93"/>
      <c r="KH352" s="93"/>
      <c r="KI352" s="93"/>
      <c r="KJ352" s="93"/>
      <c r="KK352" s="20"/>
      <c r="KL352" s="29"/>
      <c r="KM352" s="19"/>
      <c r="KN352" s="93"/>
      <c r="KO352" s="93"/>
      <c r="KP352" s="93"/>
      <c r="KQ352" s="93"/>
      <c r="KR352" s="20"/>
      <c r="KS352" s="29"/>
      <c r="KT352" s="19"/>
      <c r="KU352" s="93"/>
      <c r="KV352" s="93"/>
      <c r="KW352" s="93"/>
      <c r="KX352" s="93"/>
      <c r="KY352" s="20"/>
      <c r="KZ352" s="29"/>
      <c r="LA352" s="1504">
        <v>45170</v>
      </c>
      <c r="LB352" s="19"/>
      <c r="LC352" s="93"/>
      <c r="LD352" s="93"/>
      <c r="LE352" s="93"/>
      <c r="LF352" s="93"/>
      <c r="LG352" s="93"/>
      <c r="LH352" s="20"/>
      <c r="LI352" s="29"/>
      <c r="LJ352" s="19"/>
      <c r="LK352" s="93"/>
      <c r="LL352" s="93"/>
      <c r="LM352" s="93"/>
      <c r="LN352" s="93"/>
      <c r="LO352" s="20"/>
      <c r="LP352" s="29"/>
      <c r="LQ352" s="19"/>
      <c r="LR352" s="93">
        <v>188</v>
      </c>
      <c r="LS352" s="93">
        <v>463</v>
      </c>
      <c r="LT352" s="93">
        <v>663</v>
      </c>
      <c r="LU352" s="93">
        <v>1104</v>
      </c>
      <c r="LV352" s="93"/>
      <c r="LW352" s="93">
        <v>5</v>
      </c>
      <c r="LX352" s="93">
        <v>10</v>
      </c>
      <c r="LY352" s="93">
        <v>60</v>
      </c>
      <c r="LZ352" s="93"/>
      <c r="MA352" s="20"/>
      <c r="MB352" s="29">
        <v>285</v>
      </c>
      <c r="MC352" s="1504">
        <v>45170</v>
      </c>
      <c r="MD352" s="19">
        <v>2057.5893136305863</v>
      </c>
      <c r="ME352" s="93">
        <v>1863.2286064845614</v>
      </c>
      <c r="MF352" s="93">
        <v>1863.2286064845614</v>
      </c>
      <c r="MG352" s="93">
        <v>1638.9743887819998</v>
      </c>
      <c r="MH352" s="93">
        <v>556.18376578599998</v>
      </c>
      <c r="MI352" s="93">
        <v>13.966450811000001</v>
      </c>
      <c r="MJ352" s="93">
        <v>52.649604813999993</v>
      </c>
      <c r="MK352" s="93">
        <v>784.50084895499992</v>
      </c>
      <c r="ML352" s="93">
        <v>230.77980442199998</v>
      </c>
      <c r="MM352" s="93">
        <v>0.89391399400000005</v>
      </c>
      <c r="MN352" s="93">
        <v>224.25421770256145</v>
      </c>
      <c r="MO352" s="93">
        <v>4.8644625550000002</v>
      </c>
      <c r="MP352" s="93">
        <v>32.691060529000005</v>
      </c>
      <c r="MQ352" s="93">
        <v>1.5717227280000001</v>
      </c>
      <c r="MR352" s="93">
        <v>95.398116923999993</v>
      </c>
      <c r="MS352" s="93">
        <v>89.728854966561457</v>
      </c>
      <c r="MT352" s="93">
        <v>0</v>
      </c>
      <c r="MU352" s="93">
        <v>194.36070714602499</v>
      </c>
      <c r="MV352" s="93">
        <v>194.36070714602499</v>
      </c>
      <c r="MW352" s="93">
        <v>0</v>
      </c>
      <c r="MX352" s="93">
        <v>2486.2814577181193</v>
      </c>
      <c r="MY352" s="93">
        <v>2492.9605723671198</v>
      </c>
      <c r="MZ352" s="93">
        <v>1629.5743112833156</v>
      </c>
      <c r="NA352" s="93">
        <v>836.06197448599994</v>
      </c>
      <c r="NB352" s="93">
        <v>158.71833323800001</v>
      </c>
      <c r="NC352" s="93">
        <v>228.68119476523819</v>
      </c>
      <c r="ND352" s="93">
        <v>201.089038719</v>
      </c>
      <c r="NE352" s="93">
        <v>27.592156046238188</v>
      </c>
      <c r="NF352" s="93">
        <v>406.11280879407758</v>
      </c>
      <c r="NG352" s="93">
        <v>42.686954502999995</v>
      </c>
      <c r="NH352" s="93">
        <v>123.09731329500001</v>
      </c>
      <c r="NI352" s="93">
        <v>0</v>
      </c>
      <c r="NJ352" s="93">
        <v>69.687769889999998</v>
      </c>
      <c r="NK352" s="93">
        <v>863.38626108380367</v>
      </c>
      <c r="NL352" s="93">
        <v>400.51939548838754</v>
      </c>
      <c r="NM352" s="93">
        <v>6.7144057290000001</v>
      </c>
      <c r="NN352" s="93">
        <v>456.15245986641605</v>
      </c>
      <c r="NO352" s="93">
        <v>-6.6791146490000042</v>
      </c>
      <c r="NP352" s="93">
        <v>-428.69214408753299</v>
      </c>
      <c r="NQ352" s="93">
        <v>-623.05285123355782</v>
      </c>
      <c r="NR352" s="93">
        <v>61.780803398096381</v>
      </c>
      <c r="NS352" s="93">
        <v>-166.90039136714185</v>
      </c>
      <c r="NT352" s="93">
        <v>-388.84251679453303</v>
      </c>
      <c r="NU352" s="93">
        <v>-583.2032239405579</v>
      </c>
      <c r="NV352" s="93">
        <v>385.13825007242883</v>
      </c>
      <c r="NW352" s="93">
        <v>165.65075672242898</v>
      </c>
      <c r="NX352" s="93">
        <v>261.79175272039112</v>
      </c>
      <c r="NY352" s="93">
        <v>-96.140995997962193</v>
      </c>
      <c r="NZ352" s="93">
        <v>0</v>
      </c>
      <c r="OA352" s="93">
        <v>219.48749334999994</v>
      </c>
      <c r="OB352" s="93">
        <v>435.37896149690005</v>
      </c>
      <c r="OC352" s="93">
        <v>-215.89146814690002</v>
      </c>
      <c r="OD352" s="20">
        <v>3.7042667221040575</v>
      </c>
      <c r="OE352" s="29">
        <v>285</v>
      </c>
      <c r="OF352" s="1504">
        <v>45170</v>
      </c>
      <c r="OG352" s="19"/>
      <c r="OH352" s="93">
        <v>933.14057847800018</v>
      </c>
      <c r="OI352" s="93">
        <v>2693.1156919209998</v>
      </c>
      <c r="OJ352" s="93">
        <v>0.51118069099999996</v>
      </c>
      <c r="OK352" s="93">
        <v>2391.0039999999999</v>
      </c>
      <c r="OL352" s="93">
        <v>301.60051123</v>
      </c>
      <c r="OM352" s="93">
        <v>3626.2562703989997</v>
      </c>
      <c r="ON352" s="93">
        <v>2153.0131083190004</v>
      </c>
      <c r="OO352" s="93">
        <v>5779.2693787179996</v>
      </c>
      <c r="OP352" s="93"/>
      <c r="OQ352" s="93">
        <v>1900.7818864940004</v>
      </c>
      <c r="OR352" s="93">
        <v>-377.72911350600009</v>
      </c>
      <c r="OS352" s="93">
        <v>2278.5110000000004</v>
      </c>
      <c r="OT352" s="93">
        <v>4686.3317924869998</v>
      </c>
      <c r="OU352" s="93">
        <v>341.3764939460001</v>
      </c>
      <c r="OV352" s="93">
        <v>84.521493945999964</v>
      </c>
      <c r="OW352" s="93">
        <v>256.85500000000013</v>
      </c>
      <c r="OX352" s="93">
        <v>4344.955298541</v>
      </c>
      <c r="OY352" s="93">
        <v>8.8982985410000008</v>
      </c>
      <c r="OZ352" s="93">
        <v>4336.0569999999998</v>
      </c>
      <c r="PA352" s="93">
        <v>1290.1788243949986</v>
      </c>
      <c r="PB352" s="93">
        <v>-482.3345241320003</v>
      </c>
      <c r="PC352" s="20">
        <v>5779.2693787180024</v>
      </c>
      <c r="PD352" s="29">
        <v>285</v>
      </c>
      <c r="PE352" s="19"/>
      <c r="PF352" s="93">
        <v>-377.72911350600009</v>
      </c>
      <c r="PG352" s="93">
        <v>657.57678681699997</v>
      </c>
      <c r="PH352" s="93">
        <v>1035.3059003230001</v>
      </c>
      <c r="PI352" s="93">
        <v>1651.611206</v>
      </c>
      <c r="PJ352" s="93">
        <v>91.08669628399997</v>
      </c>
      <c r="PK352" s="93">
        <v>337.52794514699997</v>
      </c>
      <c r="PL352" s="93">
        <v>246.441248863</v>
      </c>
      <c r="PM352" s="93">
        <v>8.8982985410000008</v>
      </c>
      <c r="PN352" s="93">
        <v>2.6890000000000001</v>
      </c>
      <c r="PO352" s="93">
        <v>0</v>
      </c>
      <c r="PP352" s="93">
        <v>0</v>
      </c>
      <c r="PQ352" s="93">
        <v>6.2092985410000008</v>
      </c>
      <c r="PR352" s="93">
        <v>1335.9944169970001</v>
      </c>
      <c r="PS352" s="93">
        <v>1063.2407808160001</v>
      </c>
      <c r="PT352" s="93">
        <v>271.90934717099998</v>
      </c>
      <c r="PU352" s="93">
        <v>0.84428901000000001</v>
      </c>
      <c r="PV352" s="93">
        <v>0</v>
      </c>
      <c r="PW352" s="93">
        <v>4.3275082450000006</v>
      </c>
      <c r="PX352" s="93">
        <v>0</v>
      </c>
      <c r="PY352" s="93">
        <v>0</v>
      </c>
      <c r="PZ352" s="93">
        <v>4.3275082450000006</v>
      </c>
      <c r="QA352" s="93">
        <v>0</v>
      </c>
      <c r="QB352" s="93">
        <v>0</v>
      </c>
      <c r="QC352" s="93">
        <v>0</v>
      </c>
      <c r="QD352" s="93">
        <v>37.880316149999999</v>
      </c>
      <c r="QE352" s="20">
        <v>-4.3351540729999725</v>
      </c>
      <c r="QF352" s="1739">
        <v>285</v>
      </c>
      <c r="QG352" s="19"/>
      <c r="QH352" s="93">
        <v>2278.5110000000004</v>
      </c>
      <c r="QI352" s="93">
        <v>2636.6230000000005</v>
      </c>
      <c r="QJ352" s="93">
        <v>-358.11200000000002</v>
      </c>
      <c r="QK352" s="93">
        <v>393.78200000000004</v>
      </c>
      <c r="QL352" s="93">
        <v>123.535</v>
      </c>
      <c r="QM352" s="93">
        <v>270.24700000000001</v>
      </c>
      <c r="QN352" s="93">
        <v>0</v>
      </c>
      <c r="QO352" s="93">
        <v>256.85500000000013</v>
      </c>
      <c r="QP352" s="93">
        <v>1150.4490000000001</v>
      </c>
      <c r="QQ352" s="93">
        <v>-893.59399999999994</v>
      </c>
      <c r="QR352" s="93">
        <v>4336.0569999999998</v>
      </c>
      <c r="QS352" s="93">
        <v>68.712000000000003</v>
      </c>
      <c r="QT352" s="93">
        <v>5.29</v>
      </c>
      <c r="QU352" s="93">
        <v>353.37</v>
      </c>
      <c r="QV352" s="93">
        <v>3908.6849999999999</v>
      </c>
      <c r="QW352" s="93"/>
      <c r="QX352" s="93">
        <v>1647.8049999999998</v>
      </c>
      <c r="QY352" s="93">
        <v>2391.0039999999999</v>
      </c>
      <c r="QZ352" s="93">
        <v>2152.6800000000003</v>
      </c>
      <c r="RA352" s="93">
        <v>0</v>
      </c>
      <c r="RB352" s="93">
        <v>302.67899999999997</v>
      </c>
      <c r="RC352" s="93">
        <v>0</v>
      </c>
      <c r="RD352" s="93">
        <v>44.905000000000001</v>
      </c>
      <c r="RE352" s="93">
        <v>0</v>
      </c>
      <c r="RF352" s="93">
        <v>0</v>
      </c>
      <c r="RG352" s="93">
        <v>900.38699999999858</v>
      </c>
      <c r="RH352" s="93">
        <v>-174.25500000000005</v>
      </c>
      <c r="RI352" s="93"/>
      <c r="RJ352" s="93"/>
      <c r="RK352" s="93"/>
      <c r="RL352" s="93"/>
      <c r="RM352" s="20"/>
      <c r="RN352" s="29">
        <v>285</v>
      </c>
      <c r="RO352" s="19"/>
      <c r="RP352" s="20"/>
      <c r="RQ352" s="29"/>
      <c r="RR352" s="20"/>
      <c r="RS352" s="29"/>
      <c r="RT352" s="1504">
        <v>45170</v>
      </c>
      <c r="RU352" s="19">
        <v>1627</v>
      </c>
      <c r="RV352" s="20">
        <v>37</v>
      </c>
      <c r="RW352" s="29">
        <v>285</v>
      </c>
      <c r="RX352" s="1504">
        <v>45170</v>
      </c>
      <c r="RY352" s="29"/>
      <c r="RZ352" s="20"/>
      <c r="SA352" s="29"/>
      <c r="SB352" s="29"/>
    </row>
    <row r="353" spans="1:496">
      <c r="A353" s="41">
        <f t="shared" si="346"/>
        <v>2023</v>
      </c>
      <c r="B353" s="1504">
        <v>45200</v>
      </c>
      <c r="C353" s="1813">
        <v>965</v>
      </c>
      <c r="D353" s="1814">
        <v>29980</v>
      </c>
      <c r="E353" s="1814">
        <v>41</v>
      </c>
      <c r="F353" s="1815"/>
      <c r="G353" s="1814">
        <v>80684</v>
      </c>
      <c r="H353" s="1814">
        <v>26</v>
      </c>
      <c r="I353" s="1814">
        <v>31571</v>
      </c>
      <c r="J353" s="1816">
        <v>11540</v>
      </c>
      <c r="K353" s="1807">
        <f t="shared" si="330"/>
        <v>154807</v>
      </c>
      <c r="L353" s="25">
        <v>286</v>
      </c>
      <c r="M353" s="97"/>
      <c r="N353" s="1504">
        <v>45200</v>
      </c>
      <c r="O353" s="19">
        <v>2444</v>
      </c>
      <c r="P353" s="93">
        <v>1890</v>
      </c>
      <c r="Q353" s="93">
        <v>24865</v>
      </c>
      <c r="R353" s="93">
        <v>5335</v>
      </c>
      <c r="S353" s="93">
        <v>2595</v>
      </c>
      <c r="T353" s="93">
        <v>1569</v>
      </c>
      <c r="U353" s="93">
        <v>643</v>
      </c>
      <c r="V353" s="93">
        <v>37</v>
      </c>
      <c r="W353" s="93">
        <v>6869</v>
      </c>
      <c r="X353" s="93">
        <v>1872</v>
      </c>
      <c r="Y353" s="93">
        <v>1251</v>
      </c>
      <c r="Z353" s="93">
        <v>2145</v>
      </c>
      <c r="AA353" s="93">
        <v>965</v>
      </c>
      <c r="AB353" s="20">
        <f t="shared" si="327"/>
        <v>52480</v>
      </c>
      <c r="AC353" s="25">
        <v>286</v>
      </c>
      <c r="AD353" s="97"/>
      <c r="AE353" s="1504">
        <v>45200</v>
      </c>
      <c r="AF353" s="19">
        <v>1574</v>
      </c>
      <c r="AG353" s="93">
        <v>994</v>
      </c>
      <c r="AH353" s="93">
        <v>6021</v>
      </c>
      <c r="AI353" s="93">
        <v>4584</v>
      </c>
      <c r="AJ353" s="93">
        <v>1229</v>
      </c>
      <c r="AK353" s="93">
        <v>2239</v>
      </c>
      <c r="AL353" s="93">
        <v>768</v>
      </c>
      <c r="AM353" s="93">
        <v>39</v>
      </c>
      <c r="AN353" s="93">
        <v>9169</v>
      </c>
      <c r="AO353" s="93">
        <v>1080</v>
      </c>
      <c r="AP353" s="93">
        <v>1606</v>
      </c>
      <c r="AQ353" s="93">
        <v>1672</v>
      </c>
      <c r="AR353" s="93">
        <v>596</v>
      </c>
      <c r="AS353" s="132">
        <f t="shared" si="323"/>
        <v>31571</v>
      </c>
      <c r="AT353" s="25">
        <v>286</v>
      </c>
      <c r="AU353" s="97"/>
      <c r="AV353" s="1504">
        <v>45200</v>
      </c>
      <c r="AW353" s="19">
        <v>6002</v>
      </c>
      <c r="AX353" s="93">
        <v>3946</v>
      </c>
      <c r="AY353" s="93">
        <v>11633</v>
      </c>
      <c r="AZ353" s="93">
        <v>11995</v>
      </c>
      <c r="BA353" s="93">
        <v>1644</v>
      </c>
      <c r="BB353" s="93">
        <v>8714</v>
      </c>
      <c r="BC353" s="93">
        <v>3559</v>
      </c>
      <c r="BD353" s="93">
        <v>69</v>
      </c>
      <c r="BE353" s="93">
        <v>16857</v>
      </c>
      <c r="BF353" s="93">
        <v>3717</v>
      </c>
      <c r="BG353" s="93">
        <v>6984</v>
      </c>
      <c r="BH353" s="93">
        <v>3341</v>
      </c>
      <c r="BI353" s="93">
        <v>2223</v>
      </c>
      <c r="BJ353" s="132">
        <f t="shared" si="324"/>
        <v>80684</v>
      </c>
      <c r="BK353" s="25">
        <v>286</v>
      </c>
      <c r="BL353" s="97"/>
      <c r="BM353" s="1504">
        <v>45200</v>
      </c>
      <c r="BN353" s="733">
        <v>53.075000000000003</v>
      </c>
      <c r="BO353" s="570">
        <v>4137.24</v>
      </c>
      <c r="BP353" s="570">
        <v>8.1999999999999993</v>
      </c>
      <c r="BQ353" s="570">
        <v>726.15599999999995</v>
      </c>
      <c r="BR353" s="570">
        <v>4.55</v>
      </c>
      <c r="BS353" s="570">
        <v>315.70999999999998</v>
      </c>
      <c r="BT353" s="570">
        <v>323.12</v>
      </c>
      <c r="BU353" s="132">
        <f t="shared" si="325"/>
        <v>5568.0509999999995</v>
      </c>
      <c r="BV353" s="25">
        <v>286</v>
      </c>
      <c r="BW353" s="97"/>
      <c r="BX353" s="1504">
        <v>45200</v>
      </c>
      <c r="BY353" s="19">
        <v>620.83000000000004</v>
      </c>
      <c r="BZ353" s="93">
        <v>655.95699999999999</v>
      </c>
      <c r="CA353" s="93">
        <v>687.08</v>
      </c>
      <c r="CB353" s="93">
        <v>32.610999999999997</v>
      </c>
      <c r="CC353" s="93">
        <v>52.777000000000001</v>
      </c>
      <c r="CD353" s="25">
        <v>286</v>
      </c>
      <c r="CE353" s="97"/>
      <c r="CF353" s="1504">
        <v>45200</v>
      </c>
      <c r="CG353" s="733">
        <v>2.1062939479999998</v>
      </c>
      <c r="CH353" s="570">
        <v>1916.25</v>
      </c>
      <c r="CI353" s="1945">
        <v>89.083666666669998</v>
      </c>
      <c r="CJ353" s="734">
        <v>91.061000000000007</v>
      </c>
      <c r="CK353" s="733">
        <v>574.71</v>
      </c>
      <c r="CL353" s="570">
        <v>230.69648000000001</v>
      </c>
      <c r="CM353" s="568">
        <v>0.56702826399999995</v>
      </c>
      <c r="CN353" s="568">
        <v>0.975103426</v>
      </c>
      <c r="CO353" s="570">
        <v>298.10000000000002</v>
      </c>
      <c r="CP353" s="734">
        <v>4.9796854250000004</v>
      </c>
      <c r="CQ353" s="1945">
        <v>1954.4</v>
      </c>
      <c r="CR353" s="570">
        <v>2.1625000000000001</v>
      </c>
      <c r="CS353" s="570">
        <v>1.6073</v>
      </c>
      <c r="CT353" s="570">
        <v>347.5</v>
      </c>
      <c r="CU353" s="570">
        <v>118.97</v>
      </c>
      <c r="CV353" s="1539">
        <v>2448.56</v>
      </c>
      <c r="CW353" s="29">
        <v>286</v>
      </c>
      <c r="CX353" s="41">
        <f t="shared" si="319"/>
        <v>2023</v>
      </c>
      <c r="CY353" s="1504">
        <v>45200</v>
      </c>
      <c r="CZ353" s="19"/>
      <c r="DA353" s="93"/>
      <c r="DB353" s="93"/>
      <c r="DC353" s="93"/>
      <c r="DD353" s="93"/>
      <c r="DE353" s="20"/>
      <c r="DF353" s="29"/>
      <c r="DG353" s="1504">
        <v>45200</v>
      </c>
      <c r="DH353" s="19">
        <v>523551</v>
      </c>
      <c r="DI353" s="93">
        <v>5188741</v>
      </c>
      <c r="DJ353" s="93">
        <v>290997</v>
      </c>
      <c r="DK353" s="93">
        <v>19794</v>
      </c>
      <c r="DL353" s="93">
        <v>521368</v>
      </c>
      <c r="DM353" s="93">
        <v>5264</v>
      </c>
      <c r="DN353" s="20">
        <v>1515354</v>
      </c>
      <c r="DO353" s="295">
        <f t="shared" si="342"/>
        <v>7541518</v>
      </c>
      <c r="DP353" s="29">
        <v>286</v>
      </c>
      <c r="DQ353" s="1504">
        <v>45200</v>
      </c>
      <c r="DR353" s="19">
        <v>73532.09</v>
      </c>
      <c r="DS353" s="93">
        <v>109</v>
      </c>
      <c r="DT353" s="93">
        <v>63881.440000000002</v>
      </c>
      <c r="DU353" s="93">
        <v>1798.431</v>
      </c>
      <c r="DV353" s="93">
        <v>20518.963</v>
      </c>
      <c r="DW353" s="93">
        <v>5333</v>
      </c>
      <c r="DX353" s="20">
        <v>14153.455</v>
      </c>
      <c r="DY353" s="29">
        <v>286</v>
      </c>
      <c r="DZ353" s="1504">
        <v>45200</v>
      </c>
      <c r="EA353" s="19"/>
      <c r="EB353" s="93"/>
      <c r="EC353" s="20"/>
      <c r="ED353" s="29"/>
      <c r="EE353" s="1504">
        <v>45200</v>
      </c>
      <c r="EF353" s="19">
        <f t="shared" ref="EF353:EF355" si="347">EQ353+FB353</f>
        <v>20285</v>
      </c>
      <c r="EG353" s="93">
        <f t="shared" ref="EG353:EG355" si="348">ER353+FC353</f>
        <v>21307</v>
      </c>
      <c r="EH353" s="93">
        <f t="shared" ref="EH353:EH355" si="349">EF353+EG353+EI353</f>
        <v>51749</v>
      </c>
      <c r="EI353" s="214">
        <f t="shared" ref="EI353:EI355" si="350">ET353+FE353</f>
        <v>10157</v>
      </c>
      <c r="EJ353" s="93">
        <f t="shared" ref="EJ353:EJ355" si="351">EU353+FF353</f>
        <v>118.13200000000001</v>
      </c>
      <c r="EK353" s="93">
        <f t="shared" ref="EK353:EK355" si="352">EV353+FG353</f>
        <v>64.102999999999994</v>
      </c>
      <c r="EL353" s="93">
        <f t="shared" ref="EL353:EL355" si="353">EW353+FH353</f>
        <v>3.3530000000000002</v>
      </c>
      <c r="EM353" s="93">
        <f t="shared" ref="EM353:EM355" si="354">EX353+FI353</f>
        <v>9.1199999999999992</v>
      </c>
      <c r="EN353" s="20">
        <f t="shared" ref="EN353:EN355" si="355">SUM(EJ353:EM353)</f>
        <v>194.70800000000003</v>
      </c>
      <c r="EO353" s="29">
        <v>286</v>
      </c>
      <c r="EP353" s="1504">
        <v>45200</v>
      </c>
      <c r="EQ353" s="19">
        <v>18612</v>
      </c>
      <c r="ER353" s="93">
        <v>19633</v>
      </c>
      <c r="ES353" s="93">
        <f t="shared" si="315"/>
        <v>38245</v>
      </c>
      <c r="ET353" s="214">
        <v>9879</v>
      </c>
      <c r="EU353" s="93">
        <v>118.13200000000001</v>
      </c>
      <c r="EV353" s="93">
        <v>64.102999999999994</v>
      </c>
      <c r="EW353" s="93">
        <v>3.3530000000000002</v>
      </c>
      <c r="EX353" s="93">
        <v>9.1199999999999992</v>
      </c>
      <c r="EY353" s="20">
        <f t="shared" si="321"/>
        <v>194.70800000000003</v>
      </c>
      <c r="EZ353" s="29">
        <v>286</v>
      </c>
      <c r="FA353" s="1504">
        <v>45200</v>
      </c>
      <c r="FB353" s="1949">
        <v>1673</v>
      </c>
      <c r="FC353" s="29">
        <v>1674</v>
      </c>
      <c r="FD353" s="29">
        <f t="shared" si="316"/>
        <v>3347</v>
      </c>
      <c r="FE353" s="29">
        <v>278</v>
      </c>
      <c r="FF353" s="29">
        <v>0</v>
      </c>
      <c r="FG353" s="29">
        <v>0</v>
      </c>
      <c r="FH353" s="29">
        <v>0</v>
      </c>
      <c r="FI353" s="29">
        <v>0</v>
      </c>
      <c r="FJ353" s="29">
        <f t="shared" ref="FJ353:FJ355" si="356">SUM(FF353:FI353)</f>
        <v>0</v>
      </c>
      <c r="FK353" s="29">
        <v>286</v>
      </c>
      <c r="FL353" s="1504">
        <v>45200</v>
      </c>
      <c r="FM353" s="19">
        <v>125.5</v>
      </c>
      <c r="FN353" s="93">
        <v>139.9</v>
      </c>
      <c r="FO353" s="93">
        <v>151.30000000000001</v>
      </c>
      <c r="FP353" s="93">
        <v>101.8</v>
      </c>
      <c r="FQ353" s="93">
        <v>116.5</v>
      </c>
      <c r="FR353" s="93">
        <v>102</v>
      </c>
      <c r="FS353" s="93">
        <v>106.5</v>
      </c>
      <c r="FT353" s="93">
        <v>110.5</v>
      </c>
      <c r="FU353" s="93">
        <v>99.4</v>
      </c>
      <c r="FV353" s="93">
        <v>102.1</v>
      </c>
      <c r="FW353" s="93">
        <v>117.1</v>
      </c>
      <c r="FX353" s="93">
        <v>114</v>
      </c>
      <c r="FY353" s="93">
        <v>102.5</v>
      </c>
      <c r="FZ353" s="29">
        <v>286</v>
      </c>
      <c r="GA353" s="1504">
        <v>45200</v>
      </c>
      <c r="GB353" s="19">
        <v>125.5</v>
      </c>
      <c r="GC353" s="93">
        <v>111.9</v>
      </c>
      <c r="GD353" s="93">
        <v>132.30000000000001</v>
      </c>
      <c r="GE353" s="93">
        <v>125.8</v>
      </c>
      <c r="GF353" s="93">
        <v>153.4</v>
      </c>
      <c r="GG353" s="93">
        <v>113.2</v>
      </c>
      <c r="GH353" s="93">
        <v>149.4</v>
      </c>
      <c r="GI353" s="93">
        <v>113</v>
      </c>
      <c r="GJ353" s="93">
        <v>108.5</v>
      </c>
      <c r="GK353" s="93">
        <v>103.1</v>
      </c>
      <c r="GL353" s="93">
        <v>136.5</v>
      </c>
      <c r="GM353" s="93">
        <v>102.4</v>
      </c>
      <c r="GN353" s="20">
        <v>108.5</v>
      </c>
      <c r="GO353" s="29">
        <v>286</v>
      </c>
      <c r="GP353" s="1504">
        <v>45200</v>
      </c>
      <c r="GQ353" s="19">
        <v>371</v>
      </c>
      <c r="GR353" s="93">
        <v>320</v>
      </c>
      <c r="GS353" s="93">
        <v>302</v>
      </c>
      <c r="GT353" s="93">
        <v>273</v>
      </c>
      <c r="GU353" s="93">
        <v>421</v>
      </c>
      <c r="GV353" s="20">
        <v>1495</v>
      </c>
      <c r="GW353" s="19">
        <v>394</v>
      </c>
      <c r="GX353" s="93">
        <v>602</v>
      </c>
      <c r="GY353" s="93">
        <v>764</v>
      </c>
      <c r="GZ353" s="93">
        <v>1067</v>
      </c>
      <c r="HA353" s="93">
        <v>501</v>
      </c>
      <c r="HB353" s="20">
        <v>835</v>
      </c>
      <c r="HC353" s="19">
        <v>2460</v>
      </c>
      <c r="HD353" s="93">
        <v>2946</v>
      </c>
      <c r="HE353" s="93">
        <v>2444</v>
      </c>
      <c r="HF353" s="93">
        <v>3150</v>
      </c>
      <c r="HG353" s="93">
        <v>3724</v>
      </c>
      <c r="HH353" s="20">
        <v>4229</v>
      </c>
      <c r="HI353" s="19"/>
      <c r="HJ353" s="93">
        <v>980</v>
      </c>
      <c r="HK353" s="93">
        <v>2286</v>
      </c>
      <c r="HL353" s="93">
        <v>1268</v>
      </c>
      <c r="HM353" s="93">
        <v>1133</v>
      </c>
      <c r="HN353" s="20">
        <v>2697</v>
      </c>
      <c r="HO353" s="219">
        <v>186</v>
      </c>
      <c r="HP353" s="20">
        <v>66</v>
      </c>
      <c r="HQ353" s="25">
        <v>195</v>
      </c>
      <c r="HR353" s="29">
        <v>286</v>
      </c>
      <c r="HS353" s="1504">
        <v>45200</v>
      </c>
      <c r="HT353" s="19"/>
      <c r="HU353" s="93"/>
      <c r="HV353" s="93"/>
      <c r="HW353" s="93"/>
      <c r="HX353" s="93"/>
      <c r="HY353" s="93"/>
      <c r="HZ353" s="93"/>
      <c r="IA353" s="20"/>
      <c r="IB353" s="19"/>
      <c r="IC353" s="93"/>
      <c r="ID353" s="93"/>
      <c r="IE353" s="93"/>
      <c r="IF353" s="93"/>
      <c r="IG353" s="20"/>
      <c r="IH353" s="19"/>
      <c r="II353" s="93"/>
      <c r="IJ353" s="93"/>
      <c r="IK353" s="93"/>
      <c r="IL353" s="93"/>
      <c r="IM353" s="93"/>
      <c r="IN353" s="93"/>
      <c r="IO353" s="20"/>
      <c r="IP353" s="29"/>
      <c r="IQ353" s="19"/>
      <c r="IR353" s="93"/>
      <c r="IS353" s="93"/>
      <c r="IT353" s="93"/>
      <c r="IU353" s="93"/>
      <c r="IV353" s="20"/>
      <c r="IW353" s="29"/>
      <c r="IX353" s="19"/>
      <c r="IY353" s="93"/>
      <c r="IZ353" s="93"/>
      <c r="JA353" s="93"/>
      <c r="JB353" s="93"/>
      <c r="JC353" s="93"/>
      <c r="JD353" s="93"/>
      <c r="JE353" s="20"/>
      <c r="JF353" s="29"/>
      <c r="JG353" s="19"/>
      <c r="JH353" s="93"/>
      <c r="JI353" s="93"/>
      <c r="JJ353" s="93"/>
      <c r="JK353" s="93"/>
      <c r="JL353" s="93"/>
      <c r="JM353" s="93"/>
      <c r="JN353" s="20"/>
      <c r="JO353" s="29"/>
      <c r="JP353" s="19"/>
      <c r="JQ353" s="93"/>
      <c r="JR353" s="93"/>
      <c r="JS353" s="93"/>
      <c r="JT353" s="93"/>
      <c r="JU353" s="20"/>
      <c r="JV353" s="29"/>
      <c r="JW353" s="1504">
        <v>45200</v>
      </c>
      <c r="JX353" s="19"/>
      <c r="JY353" s="93"/>
      <c r="JZ353" s="93"/>
      <c r="KA353" s="93"/>
      <c r="KB353" s="93"/>
      <c r="KC353" s="93"/>
      <c r="KD353" s="20"/>
      <c r="KE353" s="29"/>
      <c r="KF353" s="19"/>
      <c r="KG353" s="93"/>
      <c r="KH353" s="93"/>
      <c r="KI353" s="93"/>
      <c r="KJ353" s="93"/>
      <c r="KK353" s="20"/>
      <c r="KL353" s="29"/>
      <c r="KM353" s="19"/>
      <c r="KN353" s="93"/>
      <c r="KO353" s="93"/>
      <c r="KP353" s="93"/>
      <c r="KQ353" s="93"/>
      <c r="KR353" s="20"/>
      <c r="KS353" s="29"/>
      <c r="KT353" s="19"/>
      <c r="KU353" s="93"/>
      <c r="KV353" s="93"/>
      <c r="KW353" s="93"/>
      <c r="KX353" s="93"/>
      <c r="KY353" s="20"/>
      <c r="KZ353" s="29"/>
      <c r="LA353" s="1504">
        <v>45200</v>
      </c>
      <c r="LB353" s="19"/>
      <c r="LC353" s="93"/>
      <c r="LD353" s="93"/>
      <c r="LE353" s="93"/>
      <c r="LF353" s="93"/>
      <c r="LG353" s="93"/>
      <c r="LH353" s="20"/>
      <c r="LI353" s="29"/>
      <c r="LJ353" s="19"/>
      <c r="LK353" s="93"/>
      <c r="LL353" s="93"/>
      <c r="LM353" s="93"/>
      <c r="LN353" s="93"/>
      <c r="LO353" s="20"/>
      <c r="LP353" s="29"/>
      <c r="LQ353" s="19"/>
      <c r="LR353" s="93">
        <v>188</v>
      </c>
      <c r="LS353" s="93">
        <v>463</v>
      </c>
      <c r="LT353" s="93">
        <v>663</v>
      </c>
      <c r="LU353" s="93">
        <v>1104</v>
      </c>
      <c r="LV353" s="93"/>
      <c r="LW353" s="93">
        <v>5</v>
      </c>
      <c r="LX353" s="93">
        <v>10</v>
      </c>
      <c r="LY353" s="93">
        <v>60</v>
      </c>
      <c r="LZ353" s="93"/>
      <c r="MA353" s="20"/>
      <c r="MB353" s="29">
        <v>286</v>
      </c>
      <c r="MC353" s="1504">
        <v>45200</v>
      </c>
      <c r="MD353" s="19">
        <v>2320.7005888735862</v>
      </c>
      <c r="ME353" s="93">
        <v>2124.2092202315616</v>
      </c>
      <c r="MF353" s="93">
        <v>2124.2092202315616</v>
      </c>
      <c r="MG353" s="93">
        <v>1880.0318887579999</v>
      </c>
      <c r="MH353" s="93">
        <v>653.35256040100001</v>
      </c>
      <c r="MI353" s="93">
        <v>15.460823969</v>
      </c>
      <c r="MJ353" s="93">
        <v>59.519124567999995</v>
      </c>
      <c r="MK353" s="93">
        <v>891.83996401499996</v>
      </c>
      <c r="ML353" s="93">
        <v>258.86760969900001</v>
      </c>
      <c r="MM353" s="93">
        <v>0.99180610600000008</v>
      </c>
      <c r="MN353" s="93">
        <v>244.17733147356142</v>
      </c>
      <c r="MO353" s="93">
        <v>5.4793614440000011</v>
      </c>
      <c r="MP353" s="93">
        <v>35.546940876000008</v>
      </c>
      <c r="MQ353" s="93">
        <v>1.8235117380000001</v>
      </c>
      <c r="MR353" s="93">
        <v>101.43793068599999</v>
      </c>
      <c r="MS353" s="93">
        <v>99.889586729561444</v>
      </c>
      <c r="MT353" s="93">
        <v>0</v>
      </c>
      <c r="MU353" s="93">
        <v>196.49136864202498</v>
      </c>
      <c r="MV353" s="93">
        <v>196.49136864202498</v>
      </c>
      <c r="MW353" s="93">
        <v>0</v>
      </c>
      <c r="MX353" s="93">
        <v>2654.4046542527753</v>
      </c>
      <c r="MY353" s="93">
        <v>2662.029417302776</v>
      </c>
      <c r="MZ353" s="93">
        <v>1773.660991549551</v>
      </c>
      <c r="NA353" s="93">
        <v>928.27105553499996</v>
      </c>
      <c r="NB353" s="93">
        <v>176.37877322099999</v>
      </c>
      <c r="NC353" s="93">
        <v>244.56594561751106</v>
      </c>
      <c r="ND353" s="93">
        <v>212.47107559900002</v>
      </c>
      <c r="NE353" s="93">
        <v>32.094870018511052</v>
      </c>
      <c r="NF353" s="93">
        <v>424.44521717604005</v>
      </c>
      <c r="NG353" s="93">
        <v>44.896008002999999</v>
      </c>
      <c r="NH353" s="93">
        <v>131.175131171</v>
      </c>
      <c r="NI353" s="93">
        <v>0</v>
      </c>
      <c r="NJ353" s="93">
        <v>75.197299881999996</v>
      </c>
      <c r="NK353" s="93">
        <v>888.36842575322453</v>
      </c>
      <c r="NL353" s="93">
        <v>419.31108863219998</v>
      </c>
      <c r="NM353" s="93">
        <v>6.8241656069999994</v>
      </c>
      <c r="NN353" s="93">
        <v>462.23317151402438</v>
      </c>
      <c r="NO353" s="93">
        <v>-7.624763050000003</v>
      </c>
      <c r="NP353" s="93">
        <v>-333.70406537918916</v>
      </c>
      <c r="NQ353" s="93">
        <v>-530.19543402121406</v>
      </c>
      <c r="NR353" s="93">
        <v>176.60368311032144</v>
      </c>
      <c r="NS353" s="93">
        <v>-67.962262507189664</v>
      </c>
      <c r="NT353" s="93">
        <v>-389.5919433482988</v>
      </c>
      <c r="NU353" s="93">
        <v>-586.08331199032375</v>
      </c>
      <c r="NV353" s="93">
        <v>384.5386576122097</v>
      </c>
      <c r="NW353" s="93">
        <v>156.50869759420982</v>
      </c>
      <c r="NX353" s="93">
        <v>265.74180287199948</v>
      </c>
      <c r="NY353" s="93">
        <v>-109.23310527778968</v>
      </c>
      <c r="NZ353" s="93">
        <v>0</v>
      </c>
      <c r="OA353" s="93">
        <v>228.02996001799994</v>
      </c>
      <c r="OB353" s="93">
        <v>485.83820636990004</v>
      </c>
      <c r="OC353" s="93">
        <v>-257.80824635190004</v>
      </c>
      <c r="OD353" s="20">
        <v>5.05328573608901</v>
      </c>
      <c r="OE353" s="29">
        <v>286</v>
      </c>
      <c r="OF353" s="1504">
        <v>45200</v>
      </c>
      <c r="OG353" s="19"/>
      <c r="OH353" s="93">
        <v>909.10119619900001</v>
      </c>
      <c r="OI353" s="93">
        <v>2581.2692009709999</v>
      </c>
      <c r="OJ353" s="93">
        <v>0.61968974099999996</v>
      </c>
      <c r="OK353" s="93">
        <v>2279.049</v>
      </c>
      <c r="OL353" s="93">
        <v>301.60051123</v>
      </c>
      <c r="OM353" s="93">
        <v>3490.3703971699997</v>
      </c>
      <c r="ON353" s="93">
        <v>2238.5811083190001</v>
      </c>
      <c r="OO353" s="93">
        <v>5728.9515054889998</v>
      </c>
      <c r="OP353" s="93"/>
      <c r="OQ353" s="93">
        <v>1791.0793027590005</v>
      </c>
      <c r="OR353" s="93">
        <v>-320.50269724099996</v>
      </c>
      <c r="OS353" s="93">
        <v>2111.5820000000003</v>
      </c>
      <c r="OT353" s="93">
        <v>4747.5566415049998</v>
      </c>
      <c r="OU353" s="93">
        <v>514.32491412399986</v>
      </c>
      <c r="OV353" s="93">
        <v>126.490914124</v>
      </c>
      <c r="OW353" s="93">
        <v>387.83399999999983</v>
      </c>
      <c r="OX353" s="93">
        <v>4233.2317273810004</v>
      </c>
      <c r="OY353" s="93">
        <v>9.0767273809999995</v>
      </c>
      <c r="OZ353" s="93">
        <v>4224.1550000000007</v>
      </c>
      <c r="PA353" s="93">
        <v>1260.232426416</v>
      </c>
      <c r="PB353" s="93">
        <v>-450.54798764099991</v>
      </c>
      <c r="PC353" s="20">
        <v>5728.9515054890007</v>
      </c>
      <c r="PD353" s="29">
        <v>286</v>
      </c>
      <c r="PE353" s="19"/>
      <c r="PF353" s="93">
        <v>-320.50269724099996</v>
      </c>
      <c r="PG353" s="93">
        <v>668.511166602</v>
      </c>
      <c r="PH353" s="93">
        <v>989.01386384299997</v>
      </c>
      <c r="PI353" s="93">
        <v>1435.511246713</v>
      </c>
      <c r="PJ353" s="93">
        <v>133.05611646200001</v>
      </c>
      <c r="PK353" s="93">
        <v>337.60668273300001</v>
      </c>
      <c r="PL353" s="93">
        <v>204.55056627100001</v>
      </c>
      <c r="PM353" s="93">
        <v>9.0767273809999995</v>
      </c>
      <c r="PN353" s="93">
        <v>2.6890000000000001</v>
      </c>
      <c r="PO353" s="93">
        <v>0</v>
      </c>
      <c r="PP353" s="93">
        <v>0</v>
      </c>
      <c r="PQ353" s="93">
        <v>6.3877273809999995</v>
      </c>
      <c r="PR353" s="93">
        <v>1298.314494235</v>
      </c>
      <c r="PS353" s="93">
        <v>1055.218398537</v>
      </c>
      <c r="PT353" s="93">
        <v>242.14329763800001</v>
      </c>
      <c r="PU353" s="93">
        <v>0.95279805999999989</v>
      </c>
      <c r="PV353" s="93">
        <v>0</v>
      </c>
      <c r="PW353" s="93">
        <v>4.4251287679999995</v>
      </c>
      <c r="PX353" s="93">
        <v>0</v>
      </c>
      <c r="PY353" s="93">
        <v>0</v>
      </c>
      <c r="PZ353" s="93">
        <v>4.4251287679999995</v>
      </c>
      <c r="QA353" s="93">
        <v>0</v>
      </c>
      <c r="QB353" s="93">
        <v>0</v>
      </c>
      <c r="QC353" s="93">
        <v>0</v>
      </c>
      <c r="QD353" s="93">
        <v>43.416297648000004</v>
      </c>
      <c r="QE353" s="20">
        <v>-89.014527336000015</v>
      </c>
      <c r="QF353" s="1739">
        <v>286</v>
      </c>
      <c r="QG353" s="19"/>
      <c r="QH353" s="93">
        <v>2111.5820000000003</v>
      </c>
      <c r="QI353" s="93">
        <v>2577.3720000000003</v>
      </c>
      <c r="QJ353" s="93">
        <v>-465.79</v>
      </c>
      <c r="QK353" s="93">
        <v>387.40099999999995</v>
      </c>
      <c r="QL353" s="93">
        <v>139.55199999999999</v>
      </c>
      <c r="QM353" s="93">
        <v>247.84899999999999</v>
      </c>
      <c r="QN353" s="93">
        <v>0</v>
      </c>
      <c r="QO353" s="93">
        <v>387.83399999999983</v>
      </c>
      <c r="QP353" s="93">
        <v>1194.33</v>
      </c>
      <c r="QQ353" s="93">
        <v>-806.49600000000009</v>
      </c>
      <c r="QR353" s="93">
        <v>4224.1550000000007</v>
      </c>
      <c r="QS353" s="93">
        <v>56.991</v>
      </c>
      <c r="QT353" s="93">
        <v>5.3140000000000001</v>
      </c>
      <c r="QU353" s="93">
        <v>351.02199999999999</v>
      </c>
      <c r="QV353" s="93">
        <v>3810.8280000000004</v>
      </c>
      <c r="QW353" s="93"/>
      <c r="QX353" s="93">
        <v>1435.105</v>
      </c>
      <c r="QY353" s="93">
        <v>2279.049</v>
      </c>
      <c r="QZ353" s="93">
        <v>2238.248</v>
      </c>
      <c r="RA353" s="93">
        <v>0</v>
      </c>
      <c r="RB353" s="93">
        <v>291.50900000000001</v>
      </c>
      <c r="RC353" s="93">
        <v>0</v>
      </c>
      <c r="RD353" s="93">
        <v>44.860999999999997</v>
      </c>
      <c r="RE353" s="93">
        <v>0</v>
      </c>
      <c r="RF353" s="93">
        <v>0</v>
      </c>
      <c r="RG353" s="93">
        <v>876.02099999999996</v>
      </c>
      <c r="RH353" s="93">
        <v>-53.820999999999913</v>
      </c>
      <c r="RI353" s="93"/>
      <c r="RJ353" s="93"/>
      <c r="RK353" s="93"/>
      <c r="RL353" s="93"/>
      <c r="RM353" s="20"/>
      <c r="RN353" s="29">
        <v>286</v>
      </c>
      <c r="RO353" s="19"/>
      <c r="RP353" s="20"/>
      <c r="RQ353" s="29"/>
      <c r="RR353" s="20"/>
      <c r="RS353" s="29"/>
      <c r="RT353" s="1504">
        <v>45200</v>
      </c>
      <c r="RU353" s="19">
        <v>2101</v>
      </c>
      <c r="RV353" s="20">
        <v>38</v>
      </c>
      <c r="RW353" s="29">
        <v>286</v>
      </c>
      <c r="RX353" s="1504">
        <v>45200</v>
      </c>
      <c r="RY353" s="29"/>
      <c r="RZ353" s="20"/>
      <c r="SA353" s="29"/>
      <c r="SB353" s="29"/>
    </row>
    <row r="354" spans="1:496">
      <c r="A354" s="41">
        <f t="shared" si="346"/>
        <v>2023</v>
      </c>
      <c r="B354" s="1504">
        <v>45231</v>
      </c>
      <c r="C354" s="1813">
        <v>981</v>
      </c>
      <c r="D354" s="1814">
        <v>29670</v>
      </c>
      <c r="E354" s="1814">
        <v>32</v>
      </c>
      <c r="F354" s="1815"/>
      <c r="G354" s="1814">
        <v>72100</v>
      </c>
      <c r="H354" s="1814">
        <v>18</v>
      </c>
      <c r="I354" s="1814">
        <v>30299</v>
      </c>
      <c r="J354" s="1816">
        <v>10870</v>
      </c>
      <c r="K354" s="1807">
        <f t="shared" si="330"/>
        <v>143970</v>
      </c>
      <c r="L354" s="25">
        <v>287</v>
      </c>
      <c r="M354" s="97"/>
      <c r="N354" s="1504">
        <v>45231</v>
      </c>
      <c r="O354" s="19">
        <v>204</v>
      </c>
      <c r="P354" s="93">
        <v>890</v>
      </c>
      <c r="Q354" s="93">
        <v>12720</v>
      </c>
      <c r="R354" s="93">
        <v>2862</v>
      </c>
      <c r="S354" s="93">
        <v>1759</v>
      </c>
      <c r="T354" s="93">
        <v>863</v>
      </c>
      <c r="U354" s="93">
        <v>355</v>
      </c>
      <c r="V354" s="93">
        <v>17</v>
      </c>
      <c r="W354" s="93">
        <v>5949</v>
      </c>
      <c r="X354" s="93">
        <v>991</v>
      </c>
      <c r="Y354" s="93">
        <v>674</v>
      </c>
      <c r="Z354" s="93">
        <v>1244</v>
      </c>
      <c r="AA354" s="93">
        <v>1142</v>
      </c>
      <c r="AB354" s="20">
        <f t="shared" si="327"/>
        <v>29670</v>
      </c>
      <c r="AC354" s="25">
        <v>287</v>
      </c>
      <c r="AD354" s="97"/>
      <c r="AE354" s="1504">
        <v>45231</v>
      </c>
      <c r="AF354" s="19">
        <v>381</v>
      </c>
      <c r="AG354" s="93">
        <v>667</v>
      </c>
      <c r="AH354" s="93">
        <v>6426</v>
      </c>
      <c r="AI354" s="93">
        <v>4319</v>
      </c>
      <c r="AJ354" s="93">
        <v>1084</v>
      </c>
      <c r="AK354" s="93">
        <v>1645</v>
      </c>
      <c r="AL354" s="93">
        <v>1276</v>
      </c>
      <c r="AM354" s="93">
        <v>37</v>
      </c>
      <c r="AN354" s="93">
        <v>8782</v>
      </c>
      <c r="AO354" s="93">
        <v>1059</v>
      </c>
      <c r="AP354" s="93">
        <v>1964</v>
      </c>
      <c r="AQ354" s="93">
        <v>1117</v>
      </c>
      <c r="AR354" s="93">
        <v>1542</v>
      </c>
      <c r="AS354" s="132">
        <f t="shared" si="323"/>
        <v>30299</v>
      </c>
      <c r="AT354" s="25">
        <v>287</v>
      </c>
      <c r="AU354" s="97"/>
      <c r="AV354" s="1504">
        <v>45231</v>
      </c>
      <c r="AW354" s="19">
        <v>996</v>
      </c>
      <c r="AX354" s="93">
        <v>2928</v>
      </c>
      <c r="AY354" s="93">
        <v>10249</v>
      </c>
      <c r="AZ354" s="93">
        <v>14727</v>
      </c>
      <c r="BA354" s="93">
        <v>1756</v>
      </c>
      <c r="BB354" s="93">
        <v>5594</v>
      </c>
      <c r="BC354" s="93">
        <v>3015</v>
      </c>
      <c r="BD354" s="93">
        <v>64</v>
      </c>
      <c r="BE354" s="93">
        <v>14989</v>
      </c>
      <c r="BF354" s="93">
        <v>3133</v>
      </c>
      <c r="BG354" s="93">
        <v>5262</v>
      </c>
      <c r="BH354" s="93">
        <v>4493</v>
      </c>
      <c r="BI354" s="93">
        <v>4894</v>
      </c>
      <c r="BJ354" s="132">
        <f t="shared" si="324"/>
        <v>72100</v>
      </c>
      <c r="BK354" s="25">
        <v>287</v>
      </c>
      <c r="BL354" s="97"/>
      <c r="BM354" s="1504">
        <v>45231</v>
      </c>
      <c r="BN354" s="733">
        <v>53.954999999999998</v>
      </c>
      <c r="BO354" s="570">
        <v>4094.46</v>
      </c>
      <c r="BP354" s="570">
        <v>6.4</v>
      </c>
      <c r="BQ354" s="570">
        <v>648.9</v>
      </c>
      <c r="BR354" s="570">
        <v>3.15</v>
      </c>
      <c r="BS354" s="570">
        <v>302.99</v>
      </c>
      <c r="BT354" s="570">
        <v>304.36</v>
      </c>
      <c r="BU354" s="132">
        <f t="shared" si="325"/>
        <v>5414.2149999999983</v>
      </c>
      <c r="BV354" s="25">
        <v>287</v>
      </c>
      <c r="BW354" s="97"/>
      <c r="BX354" s="1504">
        <v>45231</v>
      </c>
      <c r="BY354" s="19">
        <v>606.28</v>
      </c>
      <c r="BZ354" s="93">
        <v>655.95699999999999</v>
      </c>
      <c r="CA354" s="93">
        <v>680.71</v>
      </c>
      <c r="CB354" s="93">
        <v>32.679000000000002</v>
      </c>
      <c r="CC354" s="93">
        <v>50.716999999999999</v>
      </c>
      <c r="CD354" s="25">
        <v>287</v>
      </c>
      <c r="CE354" s="97"/>
      <c r="CF354" s="1504">
        <v>45231</v>
      </c>
      <c r="CG354" s="733">
        <v>1.994299252</v>
      </c>
      <c r="CH354" s="570">
        <v>1984.11</v>
      </c>
      <c r="CI354" s="1945">
        <v>81.354333333330004</v>
      </c>
      <c r="CJ354" s="734">
        <v>83.183000000000007</v>
      </c>
      <c r="CK354" s="733">
        <v>574.59</v>
      </c>
      <c r="CL354" s="570">
        <v>211.26049839999999</v>
      </c>
      <c r="CM354" s="568">
        <v>0.574964896</v>
      </c>
      <c r="CN354" s="568">
        <v>0.98590606400000003</v>
      </c>
      <c r="CO354" s="570">
        <v>283.55</v>
      </c>
      <c r="CP354" s="734">
        <v>4.8832332999999997</v>
      </c>
      <c r="CQ354" s="1945">
        <v>1891.89</v>
      </c>
      <c r="CR354" s="570">
        <v>2.1775000000000002</v>
      </c>
      <c r="CS354" s="570">
        <v>1.6747000000000001</v>
      </c>
      <c r="CT354" s="1547">
        <f>(((CT353/CT352-1)+(CT352/CT351-1))^1/2+1)*CT353</f>
        <v>348.12725631768956</v>
      </c>
      <c r="CU354" s="570">
        <v>131.07</v>
      </c>
      <c r="CV354" s="1539">
        <v>2543.61</v>
      </c>
      <c r="CW354" s="29">
        <v>287</v>
      </c>
      <c r="CX354" s="41">
        <f t="shared" si="319"/>
        <v>2023</v>
      </c>
      <c r="CY354" s="1504">
        <v>45231</v>
      </c>
      <c r="CZ354" s="19"/>
      <c r="DA354" s="93"/>
      <c r="DB354" s="93"/>
      <c r="DC354" s="93"/>
      <c r="DD354" s="93"/>
      <c r="DE354" s="20"/>
      <c r="DF354" s="29"/>
      <c r="DG354" s="1504">
        <v>45231</v>
      </c>
      <c r="DH354" s="19">
        <v>524801</v>
      </c>
      <c r="DI354" s="93">
        <v>5403856</v>
      </c>
      <c r="DJ354" s="93">
        <v>283704</v>
      </c>
      <c r="DK354" s="93">
        <v>22459</v>
      </c>
      <c r="DL354" s="93">
        <v>560084</v>
      </c>
      <c r="DM354" s="93">
        <v>5036</v>
      </c>
      <c r="DN354" s="20">
        <v>1504130</v>
      </c>
      <c r="DO354" s="295">
        <f t="shared" si="342"/>
        <v>7779269</v>
      </c>
      <c r="DP354" s="29">
        <v>287</v>
      </c>
      <c r="DQ354" s="1504">
        <v>45231</v>
      </c>
      <c r="DR354" s="19">
        <v>72073.5</v>
      </c>
      <c r="DS354" s="93">
        <v>148.5</v>
      </c>
      <c r="DT354" s="93">
        <v>63941.1</v>
      </c>
      <c r="DU354" s="93">
        <v>2711.9140000000002</v>
      </c>
      <c r="DV354" s="93">
        <v>31682.812999999998</v>
      </c>
      <c r="DW354" s="93">
        <v>4050</v>
      </c>
      <c r="DX354" s="20">
        <v>12574.839</v>
      </c>
      <c r="DY354" s="29">
        <v>287</v>
      </c>
      <c r="DZ354" s="1504">
        <v>45231</v>
      </c>
      <c r="EA354" s="19"/>
      <c r="EB354" s="93"/>
      <c r="EC354" s="20"/>
      <c r="ED354" s="29"/>
      <c r="EE354" s="1504">
        <v>45231</v>
      </c>
      <c r="EF354" s="19">
        <f t="shared" si="347"/>
        <v>20056</v>
      </c>
      <c r="EG354" s="93">
        <f t="shared" si="348"/>
        <v>20152</v>
      </c>
      <c r="EH354" s="93">
        <f t="shared" si="349"/>
        <v>49929</v>
      </c>
      <c r="EI354" s="214">
        <f t="shared" si="350"/>
        <v>9721</v>
      </c>
      <c r="EJ354" s="93">
        <f t="shared" si="351"/>
        <v>89.445999999999998</v>
      </c>
      <c r="EK354" s="93">
        <f t="shared" si="352"/>
        <v>68.314999999999998</v>
      </c>
      <c r="EL354" s="93">
        <f t="shared" si="353"/>
        <v>2.927</v>
      </c>
      <c r="EM354" s="93">
        <f t="shared" si="354"/>
        <v>7.0170000000000003</v>
      </c>
      <c r="EN354" s="20">
        <f t="shared" si="355"/>
        <v>167.70499999999998</v>
      </c>
      <c r="EO354" s="29">
        <v>287</v>
      </c>
      <c r="EP354" s="1504">
        <v>45231</v>
      </c>
      <c r="EQ354" s="19">
        <v>18303</v>
      </c>
      <c r="ER354" s="93">
        <v>18467</v>
      </c>
      <c r="ES354" s="93">
        <f t="shared" si="315"/>
        <v>36770</v>
      </c>
      <c r="ET354" s="214">
        <v>9204</v>
      </c>
      <c r="EU354" s="93">
        <v>89.445999999999998</v>
      </c>
      <c r="EV354" s="93">
        <v>68.314999999999998</v>
      </c>
      <c r="EW354" s="93">
        <v>2.927</v>
      </c>
      <c r="EX354" s="93">
        <v>7.0170000000000003</v>
      </c>
      <c r="EY354" s="20">
        <f t="shared" si="321"/>
        <v>167.70499999999998</v>
      </c>
      <c r="EZ354" s="29">
        <v>287</v>
      </c>
      <c r="FA354" s="1504">
        <v>45231</v>
      </c>
      <c r="FB354" s="1949">
        <v>1753</v>
      </c>
      <c r="FC354" s="29">
        <v>1685</v>
      </c>
      <c r="FD354" s="29">
        <f t="shared" si="316"/>
        <v>3438</v>
      </c>
      <c r="FE354" s="29">
        <v>517</v>
      </c>
      <c r="FF354" s="29">
        <v>0</v>
      </c>
      <c r="FG354" s="29">
        <v>0</v>
      </c>
      <c r="FH354" s="29">
        <v>0</v>
      </c>
      <c r="FI354" s="29">
        <v>0</v>
      </c>
      <c r="FJ354" s="29">
        <f t="shared" si="356"/>
        <v>0</v>
      </c>
      <c r="FK354" s="29">
        <v>287</v>
      </c>
      <c r="FL354" s="1504">
        <v>45231</v>
      </c>
      <c r="FM354" s="19">
        <v>126.32015672999999</v>
      </c>
      <c r="FN354" s="93">
        <v>140.69999999999999</v>
      </c>
      <c r="FO354" s="93">
        <v>162.38999999999999</v>
      </c>
      <c r="FP354" s="93">
        <v>101.76</v>
      </c>
      <c r="FQ354" s="93">
        <v>117.44</v>
      </c>
      <c r="FR354" s="93">
        <v>102</v>
      </c>
      <c r="FS354" s="93">
        <v>106.54</v>
      </c>
      <c r="FT354" s="93">
        <v>110.52</v>
      </c>
      <c r="FU354" s="93">
        <v>99.35</v>
      </c>
      <c r="FV354" s="93">
        <v>102.06</v>
      </c>
      <c r="FW354" s="93">
        <v>117.08</v>
      </c>
      <c r="FX354" s="93">
        <v>113.91</v>
      </c>
      <c r="FY354" s="93">
        <v>102.52</v>
      </c>
      <c r="FZ354" s="29">
        <v>287</v>
      </c>
      <c r="GA354" s="1504">
        <v>45231</v>
      </c>
      <c r="GB354" s="19">
        <v>126.32015672999999</v>
      </c>
      <c r="GC354" s="93">
        <v>112.88</v>
      </c>
      <c r="GD354" s="93">
        <v>133.15</v>
      </c>
      <c r="GE354" s="93">
        <v>126.86</v>
      </c>
      <c r="GF354" s="93">
        <v>155.63</v>
      </c>
      <c r="GG354" s="93">
        <v>113.5</v>
      </c>
      <c r="GH354" s="93">
        <v>151.58000000000001</v>
      </c>
      <c r="GI354" s="93">
        <v>113.23</v>
      </c>
      <c r="GJ354" s="93">
        <v>108.51</v>
      </c>
      <c r="GK354" s="93">
        <v>103.1</v>
      </c>
      <c r="GL354" s="93">
        <v>137.91</v>
      </c>
      <c r="GM354" s="93">
        <v>102.41</v>
      </c>
      <c r="GN354" s="20">
        <v>108.5</v>
      </c>
      <c r="GO354" s="29">
        <v>287</v>
      </c>
      <c r="GP354" s="1504">
        <v>45231</v>
      </c>
      <c r="GQ354" s="19">
        <v>380</v>
      </c>
      <c r="GR354" s="93">
        <v>329</v>
      </c>
      <c r="GS354" s="93">
        <v>307</v>
      </c>
      <c r="GT354" s="93">
        <v>271</v>
      </c>
      <c r="GU354" s="93">
        <v>422</v>
      </c>
      <c r="GV354" s="20">
        <v>1419</v>
      </c>
      <c r="GW354" s="19">
        <v>415</v>
      </c>
      <c r="GX354" s="93">
        <v>573</v>
      </c>
      <c r="GY354" s="93">
        <v>675</v>
      </c>
      <c r="GZ354" s="93">
        <v>1016</v>
      </c>
      <c r="HA354" s="93">
        <v>624</v>
      </c>
      <c r="HB354" s="20">
        <v>1437</v>
      </c>
      <c r="HC354" s="19">
        <v>2429</v>
      </c>
      <c r="HD354" s="93">
        <v>2975</v>
      </c>
      <c r="HE354" s="93">
        <v>2839</v>
      </c>
      <c r="HF354" s="93">
        <v>3150</v>
      </c>
      <c r="HG354" s="93">
        <v>3751</v>
      </c>
      <c r="HH354" s="20">
        <v>4129</v>
      </c>
      <c r="HI354" s="19"/>
      <c r="HJ354" s="93">
        <v>996</v>
      </c>
      <c r="HK354" s="93">
        <v>2367</v>
      </c>
      <c r="HL354" s="93">
        <v>1241</v>
      </c>
      <c r="HM354" s="93">
        <v>1102</v>
      </c>
      <c r="HN354" s="20">
        <v>2962</v>
      </c>
      <c r="HO354" s="219">
        <v>204</v>
      </c>
      <c r="HP354" s="20">
        <v>66</v>
      </c>
      <c r="HQ354" s="25">
        <v>199</v>
      </c>
      <c r="HR354" s="29">
        <v>287</v>
      </c>
      <c r="HS354" s="1504">
        <v>45231</v>
      </c>
      <c r="HT354" s="19"/>
      <c r="HU354" s="93"/>
      <c r="HV354" s="93"/>
      <c r="HW354" s="93"/>
      <c r="HX354" s="93"/>
      <c r="HY354" s="93"/>
      <c r="HZ354" s="93"/>
      <c r="IA354" s="20"/>
      <c r="IB354" s="19"/>
      <c r="IC354" s="93"/>
      <c r="ID354" s="93"/>
      <c r="IE354" s="93"/>
      <c r="IF354" s="93"/>
      <c r="IG354" s="20"/>
      <c r="IH354" s="19"/>
      <c r="II354" s="93"/>
      <c r="IJ354" s="93"/>
      <c r="IK354" s="93"/>
      <c r="IL354" s="93"/>
      <c r="IM354" s="93"/>
      <c r="IN354" s="93"/>
      <c r="IO354" s="20"/>
      <c r="IP354" s="29"/>
      <c r="IQ354" s="19"/>
      <c r="IR354" s="93"/>
      <c r="IS354" s="93"/>
      <c r="IT354" s="93"/>
      <c r="IU354" s="93"/>
      <c r="IV354" s="20"/>
      <c r="IW354" s="29"/>
      <c r="IX354" s="19"/>
      <c r="IY354" s="93"/>
      <c r="IZ354" s="93"/>
      <c r="JA354" s="93"/>
      <c r="JB354" s="93"/>
      <c r="JC354" s="93"/>
      <c r="JD354" s="93"/>
      <c r="JE354" s="20"/>
      <c r="JF354" s="29"/>
      <c r="JG354" s="19"/>
      <c r="JH354" s="93"/>
      <c r="JI354" s="93"/>
      <c r="JJ354" s="93"/>
      <c r="JK354" s="93"/>
      <c r="JL354" s="93"/>
      <c r="JM354" s="93"/>
      <c r="JN354" s="20"/>
      <c r="JO354" s="29"/>
      <c r="JP354" s="19"/>
      <c r="JQ354" s="93"/>
      <c r="JR354" s="93"/>
      <c r="JS354" s="93"/>
      <c r="JT354" s="93"/>
      <c r="JU354" s="20"/>
      <c r="JV354" s="29"/>
      <c r="JW354" s="1504">
        <v>45231</v>
      </c>
      <c r="JX354" s="19"/>
      <c r="JY354" s="93"/>
      <c r="JZ354" s="93"/>
      <c r="KA354" s="93"/>
      <c r="KB354" s="93"/>
      <c r="KC354" s="93"/>
      <c r="KD354" s="20"/>
      <c r="KE354" s="29"/>
      <c r="KF354" s="19"/>
      <c r="KG354" s="93"/>
      <c r="KH354" s="93"/>
      <c r="KI354" s="93"/>
      <c r="KJ354" s="93"/>
      <c r="KK354" s="20"/>
      <c r="KL354" s="29"/>
      <c r="KM354" s="19"/>
      <c r="KN354" s="93"/>
      <c r="KO354" s="93"/>
      <c r="KP354" s="93"/>
      <c r="KQ354" s="93"/>
      <c r="KR354" s="20"/>
      <c r="KS354" s="29"/>
      <c r="KT354" s="19"/>
      <c r="KU354" s="93"/>
      <c r="KV354" s="93"/>
      <c r="KW354" s="93"/>
      <c r="KX354" s="93"/>
      <c r="KY354" s="20"/>
      <c r="KZ354" s="29"/>
      <c r="LA354" s="1504">
        <v>45231</v>
      </c>
      <c r="LB354" s="19"/>
      <c r="LC354" s="93"/>
      <c r="LD354" s="93"/>
      <c r="LE354" s="93"/>
      <c r="LF354" s="93"/>
      <c r="LG354" s="93"/>
      <c r="LH354" s="20"/>
      <c r="LI354" s="29"/>
      <c r="LJ354" s="19"/>
      <c r="LK354" s="93"/>
      <c r="LL354" s="93"/>
      <c r="LM354" s="93"/>
      <c r="LN354" s="93"/>
      <c r="LO354" s="20"/>
      <c r="LP354" s="29"/>
      <c r="LQ354" s="19"/>
      <c r="LR354" s="93">
        <v>188</v>
      </c>
      <c r="LS354" s="93">
        <v>463</v>
      </c>
      <c r="LT354" s="93">
        <v>663</v>
      </c>
      <c r="LU354" s="93">
        <v>1104</v>
      </c>
      <c r="LV354" s="93"/>
      <c r="LW354" s="93">
        <v>5</v>
      </c>
      <c r="LX354" s="93">
        <v>10</v>
      </c>
      <c r="LY354" s="93">
        <v>60</v>
      </c>
      <c r="LZ354" s="93"/>
      <c r="MA354" s="20"/>
      <c r="MB354" s="29">
        <v>287</v>
      </c>
      <c r="MC354" s="1504">
        <v>45231</v>
      </c>
      <c r="MD354" s="19">
        <v>2514.9203162335862</v>
      </c>
      <c r="ME354" s="93">
        <v>2316.0459779625617</v>
      </c>
      <c r="MF354" s="93">
        <v>2316.0459779625617</v>
      </c>
      <c r="MG354" s="93">
        <v>2059.7678674129997</v>
      </c>
      <c r="MH354" s="93">
        <v>685.16845392700009</v>
      </c>
      <c r="MI354" s="93">
        <v>16.974790444000003</v>
      </c>
      <c r="MJ354" s="93">
        <v>65.585726166000001</v>
      </c>
      <c r="MK354" s="93">
        <v>1002.3909790519999</v>
      </c>
      <c r="ML354" s="93">
        <v>288.51590841000001</v>
      </c>
      <c r="MM354" s="93">
        <v>1.1320094140000001</v>
      </c>
      <c r="MN354" s="93">
        <v>256.27811054956146</v>
      </c>
      <c r="MO354" s="93">
        <v>6.4958517040000006</v>
      </c>
      <c r="MP354" s="93">
        <v>38.63602808800001</v>
      </c>
      <c r="MQ354" s="93">
        <v>2.0194393129999999</v>
      </c>
      <c r="MR354" s="93">
        <v>102.214828489</v>
      </c>
      <c r="MS354" s="93">
        <v>106.91196295556145</v>
      </c>
      <c r="MT354" s="93">
        <v>0</v>
      </c>
      <c r="MU354" s="93">
        <v>198.87433827102501</v>
      </c>
      <c r="MV354" s="93">
        <v>198.87433827102501</v>
      </c>
      <c r="MW354" s="93">
        <v>0</v>
      </c>
      <c r="MX354" s="93">
        <v>3011.75629216569</v>
      </c>
      <c r="MY354" s="93">
        <v>3021.0880979786907</v>
      </c>
      <c r="MZ354" s="93">
        <v>1952.7539674065072</v>
      </c>
      <c r="NA354" s="93">
        <v>1026.1601341000001</v>
      </c>
      <c r="NB354" s="93">
        <v>203.82519230599999</v>
      </c>
      <c r="NC354" s="93">
        <v>268.89814773575227</v>
      </c>
      <c r="ND354" s="93">
        <v>228.88100906900002</v>
      </c>
      <c r="NE354" s="93">
        <v>40.017138666752274</v>
      </c>
      <c r="NF354" s="93">
        <v>453.87049326475505</v>
      </c>
      <c r="NG354" s="93">
        <v>45.021002003</v>
      </c>
      <c r="NH354" s="93">
        <v>137.71027008799999</v>
      </c>
      <c r="NI354" s="93">
        <v>0</v>
      </c>
      <c r="NJ354" s="93">
        <v>84.999986766000006</v>
      </c>
      <c r="NK354" s="93">
        <v>1068.3341305721831</v>
      </c>
      <c r="NL354" s="93">
        <v>587.87050990750004</v>
      </c>
      <c r="NM354" s="93">
        <v>6.8241656069999994</v>
      </c>
      <c r="NN354" s="93">
        <v>473.63945505768288</v>
      </c>
      <c r="NO354" s="93">
        <v>-9.3318058130000043</v>
      </c>
      <c r="NP354" s="93">
        <v>-496.83597593210385</v>
      </c>
      <c r="NQ354" s="93">
        <v>-695.71031420312886</v>
      </c>
      <c r="NR354" s="93">
        <v>46.827288590306338</v>
      </c>
      <c r="NS354" s="93">
        <v>-222.07085914544595</v>
      </c>
      <c r="NT354" s="93">
        <v>-395.86295898530733</v>
      </c>
      <c r="NU354" s="93">
        <v>-594.73729725633223</v>
      </c>
      <c r="NV354" s="93">
        <v>388.82601846415372</v>
      </c>
      <c r="NW354" s="93">
        <v>151.60998981815382</v>
      </c>
      <c r="NX354" s="93">
        <v>274.76511678665793</v>
      </c>
      <c r="NY354" s="93">
        <v>-123.15512696850415</v>
      </c>
      <c r="NZ354" s="93">
        <v>0</v>
      </c>
      <c r="OA354" s="93">
        <v>237.21602864599993</v>
      </c>
      <c r="OB354" s="93">
        <v>537.12364599789998</v>
      </c>
      <c r="OC354" s="93">
        <v>-299.90761735190006</v>
      </c>
      <c r="OD354" s="20">
        <v>7.0369405211535261</v>
      </c>
      <c r="OE354" s="29">
        <v>287</v>
      </c>
      <c r="OF354" s="1504">
        <v>45231</v>
      </c>
      <c r="OG354" s="19"/>
      <c r="OH354" s="93">
        <v>936.48323727700006</v>
      </c>
      <c r="OI354" s="93">
        <v>2489.0704990740001</v>
      </c>
      <c r="OJ354" s="93">
        <v>5.250987844</v>
      </c>
      <c r="OK354" s="93">
        <v>2182.2190000000001</v>
      </c>
      <c r="OL354" s="93">
        <v>301.60051123</v>
      </c>
      <c r="OM354" s="93">
        <v>3425.5537363510002</v>
      </c>
      <c r="ON354" s="93">
        <v>2178.6221083189998</v>
      </c>
      <c r="OO354" s="93">
        <v>5604.1758446700005</v>
      </c>
      <c r="OP354" s="93"/>
      <c r="OQ354" s="93">
        <v>1703.4346748600001</v>
      </c>
      <c r="OR354" s="93">
        <v>-334.61732514000005</v>
      </c>
      <c r="OS354" s="93">
        <v>2038.0520000000001</v>
      </c>
      <c r="OT354" s="93">
        <v>4666.9326713299997</v>
      </c>
      <c r="OU354" s="93">
        <v>385.791473747</v>
      </c>
      <c r="OV354" s="93">
        <v>174.81147374699998</v>
      </c>
      <c r="OW354" s="93">
        <v>210.98000000000002</v>
      </c>
      <c r="OX354" s="93">
        <v>4281.1411975829997</v>
      </c>
      <c r="OY354" s="93">
        <v>9.0901975830000001</v>
      </c>
      <c r="OZ354" s="93">
        <v>4272.0509999999995</v>
      </c>
      <c r="PA354" s="93">
        <v>1317.60696057</v>
      </c>
      <c r="PB354" s="93">
        <v>-551.41545904999975</v>
      </c>
      <c r="PC354" s="20">
        <v>5604.1758446700005</v>
      </c>
      <c r="PD354" s="29">
        <v>287</v>
      </c>
      <c r="PE354" s="19"/>
      <c r="PF354" s="93">
        <v>-334.61732514000005</v>
      </c>
      <c r="PG354" s="93">
        <v>616.596024349</v>
      </c>
      <c r="PH354" s="93">
        <v>951.21334948900005</v>
      </c>
      <c r="PI354" s="93">
        <v>1412.846554</v>
      </c>
      <c r="PJ354" s="93">
        <v>181.37667608499999</v>
      </c>
      <c r="PK354" s="93">
        <v>337.65553846500001</v>
      </c>
      <c r="PL354" s="93">
        <v>156.27886238000002</v>
      </c>
      <c r="PM354" s="93">
        <v>9.0901975830000001</v>
      </c>
      <c r="PN354" s="93">
        <v>2.6890000000000001</v>
      </c>
      <c r="PO354" s="93">
        <v>0</v>
      </c>
      <c r="PP354" s="93">
        <v>0</v>
      </c>
      <c r="PQ354" s="93">
        <v>6.4011975830000001</v>
      </c>
      <c r="PR354" s="93">
        <v>1264.17441975</v>
      </c>
      <c r="PS354" s="93">
        <v>1075.665439615</v>
      </c>
      <c r="PT354" s="93">
        <v>182.924883972</v>
      </c>
      <c r="PU354" s="93">
        <v>5.5840961629999999</v>
      </c>
      <c r="PV354" s="93">
        <v>0</v>
      </c>
      <c r="PW354" s="93">
        <v>4.1871836140000003</v>
      </c>
      <c r="PX354" s="93">
        <v>0</v>
      </c>
      <c r="PY354" s="93">
        <v>0</v>
      </c>
      <c r="PZ354" s="93">
        <v>4.1871836140000003</v>
      </c>
      <c r="QA354" s="93">
        <v>0</v>
      </c>
      <c r="QB354" s="93">
        <v>0</v>
      </c>
      <c r="QC354" s="93">
        <v>0</v>
      </c>
      <c r="QD354" s="93">
        <v>45.646776956000004</v>
      </c>
      <c r="QE354" s="20">
        <v>-45.312277791999975</v>
      </c>
      <c r="QF354" s="1739">
        <v>287</v>
      </c>
      <c r="QG354" s="19"/>
      <c r="QH354" s="93">
        <v>2038.0520000000001</v>
      </c>
      <c r="QI354" s="93">
        <v>2593.0950000000003</v>
      </c>
      <c r="QJ354" s="93">
        <v>-555.04300000000001</v>
      </c>
      <c r="QK354" s="93">
        <v>375.56899999999996</v>
      </c>
      <c r="QL354" s="93">
        <v>132.61699999999999</v>
      </c>
      <c r="QM354" s="93">
        <v>242.952</v>
      </c>
      <c r="QN354" s="93">
        <v>0</v>
      </c>
      <c r="QO354" s="93">
        <v>210.98000000000002</v>
      </c>
      <c r="QP354" s="93">
        <v>1138.673</v>
      </c>
      <c r="QQ354" s="93">
        <v>-927.69299999999998</v>
      </c>
      <c r="QR354" s="93">
        <v>4272.0509999999995</v>
      </c>
      <c r="QS354" s="93">
        <v>66.817999999999998</v>
      </c>
      <c r="QT354" s="93">
        <v>5.3369999999999997</v>
      </c>
      <c r="QU354" s="93">
        <v>340.95</v>
      </c>
      <c r="QV354" s="93">
        <v>3858.9459999999999</v>
      </c>
      <c r="QW354" s="93"/>
      <c r="QX354" s="93">
        <v>1412.3420000000001</v>
      </c>
      <c r="QY354" s="93">
        <v>2182.2190000000001</v>
      </c>
      <c r="QZ354" s="93">
        <v>2178.2889999999998</v>
      </c>
      <c r="RA354" s="93">
        <v>0</v>
      </c>
      <c r="RB354" s="93">
        <v>319.20400000000001</v>
      </c>
      <c r="RC354" s="93">
        <v>0</v>
      </c>
      <c r="RD354" s="93">
        <v>62.927000000000007</v>
      </c>
      <c r="RE354" s="93">
        <v>0</v>
      </c>
      <c r="RF354" s="93">
        <v>0</v>
      </c>
      <c r="RG354" s="93">
        <v>885.64199999999994</v>
      </c>
      <c r="RH354" s="93">
        <v>-143.971</v>
      </c>
      <c r="RI354" s="93"/>
      <c r="RJ354" s="93"/>
      <c r="RK354" s="93"/>
      <c r="RL354" s="93"/>
      <c r="RM354" s="20"/>
      <c r="RN354" s="29">
        <v>287</v>
      </c>
      <c r="RO354" s="19"/>
      <c r="RP354" s="20"/>
      <c r="RQ354" s="29"/>
      <c r="RR354" s="20"/>
      <c r="RS354" s="29"/>
      <c r="RT354" s="1504">
        <v>45231</v>
      </c>
      <c r="RU354" s="19">
        <v>2665</v>
      </c>
      <c r="RV354" s="20">
        <v>31</v>
      </c>
      <c r="RW354" s="29">
        <v>287</v>
      </c>
      <c r="RX354" s="1504">
        <v>45231</v>
      </c>
      <c r="RY354" s="29"/>
      <c r="RZ354" s="20"/>
      <c r="SA354" s="29"/>
      <c r="SB354" s="29"/>
    </row>
    <row r="355" spans="1:496">
      <c r="A355" s="41">
        <f t="shared" si="346"/>
        <v>2023</v>
      </c>
      <c r="B355" s="1504">
        <v>45261</v>
      </c>
      <c r="C355" s="1813">
        <v>843</v>
      </c>
      <c r="D355" s="1814">
        <v>30584</v>
      </c>
      <c r="E355" s="1814">
        <v>28</v>
      </c>
      <c r="F355" s="1815"/>
      <c r="G355" s="1814">
        <v>64277</v>
      </c>
      <c r="H355" s="1814">
        <v>14</v>
      </c>
      <c r="I355" s="1814">
        <v>27698</v>
      </c>
      <c r="J355" s="1816">
        <v>12881</v>
      </c>
      <c r="K355" s="1807">
        <f>SUM(C355:J355)</f>
        <v>136325</v>
      </c>
      <c r="L355" s="25">
        <v>288</v>
      </c>
      <c r="M355" s="97"/>
      <c r="N355" s="1504">
        <v>45261</v>
      </c>
      <c r="O355" s="19">
        <v>170</v>
      </c>
      <c r="P355" s="93">
        <v>971</v>
      </c>
      <c r="Q355" s="93">
        <v>14629</v>
      </c>
      <c r="R355" s="93">
        <v>3514</v>
      </c>
      <c r="S355" s="93">
        <v>1555</v>
      </c>
      <c r="T355" s="93">
        <v>761</v>
      </c>
      <c r="U355" s="93">
        <v>402</v>
      </c>
      <c r="V355" s="93">
        <v>33</v>
      </c>
      <c r="W355" s="93">
        <v>6382</v>
      </c>
      <c r="X355" s="100">
        <f>(((X354/X353-1)+(X353/X352-1))^1/2+1)*X354</f>
        <v>1255.4300150762276</v>
      </c>
      <c r="Y355" s="93">
        <v>511</v>
      </c>
      <c r="Z355" s="93">
        <v>1182</v>
      </c>
      <c r="AA355" s="93">
        <v>474</v>
      </c>
      <c r="AB355" s="20">
        <f t="shared" si="327"/>
        <v>31839.430015076228</v>
      </c>
      <c r="AC355" s="25">
        <v>288</v>
      </c>
      <c r="AD355" s="97"/>
      <c r="AE355" s="1504">
        <v>45261</v>
      </c>
      <c r="AF355" s="19">
        <v>337</v>
      </c>
      <c r="AG355" s="93">
        <v>1026</v>
      </c>
      <c r="AH355" s="93">
        <v>8039</v>
      </c>
      <c r="AI355" s="93">
        <v>3905</v>
      </c>
      <c r="AJ355" s="93">
        <v>830</v>
      </c>
      <c r="AK355" s="93">
        <v>1406</v>
      </c>
      <c r="AL355" s="93">
        <v>891</v>
      </c>
      <c r="AM355" s="93">
        <v>55</v>
      </c>
      <c r="AN355" s="93">
        <v>8781</v>
      </c>
      <c r="AO355" s="100">
        <f>(((AO354/AO353-1)+(AO353/AO352-1))^1/2+1)*AO354</f>
        <v>908.4893947129566</v>
      </c>
      <c r="AP355" s="93">
        <v>713</v>
      </c>
      <c r="AQ355" s="93">
        <v>741</v>
      </c>
      <c r="AR355" s="93">
        <v>974</v>
      </c>
      <c r="AS355" s="132">
        <f t="shared" si="323"/>
        <v>28606.489394712957</v>
      </c>
      <c r="AT355" s="25">
        <v>288</v>
      </c>
      <c r="AU355" s="97"/>
      <c r="AV355" s="1504">
        <v>45261</v>
      </c>
      <c r="AW355" s="19">
        <v>933</v>
      </c>
      <c r="AX355" s="93">
        <v>2513</v>
      </c>
      <c r="AY355" s="93">
        <v>12002</v>
      </c>
      <c r="AZ355" s="93">
        <v>13504</v>
      </c>
      <c r="BA355" s="93">
        <v>2283</v>
      </c>
      <c r="BB355" s="93">
        <v>3288</v>
      </c>
      <c r="BC355" s="93">
        <v>3195</v>
      </c>
      <c r="BD355" s="93">
        <v>76</v>
      </c>
      <c r="BE355" s="93">
        <v>16568</v>
      </c>
      <c r="BF355" s="100">
        <f>(((BF354/BF353-1)+(BF353/BF352-1))^1/2+1)*BF354</f>
        <v>2442.9304900669754</v>
      </c>
      <c r="BG355" s="93">
        <v>3134</v>
      </c>
      <c r="BH355" s="93">
        <v>4143</v>
      </c>
      <c r="BI355" s="93">
        <v>2638</v>
      </c>
      <c r="BJ355" s="132">
        <f t="shared" si="324"/>
        <v>66719.930490066967</v>
      </c>
      <c r="BK355" s="25">
        <v>288</v>
      </c>
      <c r="BL355" s="97"/>
      <c r="BM355" s="1504">
        <v>45261</v>
      </c>
      <c r="BN355" s="733">
        <v>46.365000000000002</v>
      </c>
      <c r="BO355" s="570">
        <v>4220.5919999999996</v>
      </c>
      <c r="BP355" s="570">
        <v>5.6</v>
      </c>
      <c r="BQ355" s="570">
        <v>578.49300000000005</v>
      </c>
      <c r="BR355" s="570">
        <v>2.4500000000000002</v>
      </c>
      <c r="BS355" s="570">
        <v>276.98</v>
      </c>
      <c r="BT355" s="570">
        <v>360.66800000000001</v>
      </c>
      <c r="BU355" s="132">
        <f t="shared" si="325"/>
        <v>5491.1479999999992</v>
      </c>
      <c r="BV355" s="25">
        <v>288</v>
      </c>
      <c r="BW355" s="97"/>
      <c r="BX355" s="1504">
        <v>45261</v>
      </c>
      <c r="BY355" s="19">
        <v>600.58000000000004</v>
      </c>
      <c r="BZ355" s="93">
        <v>655.95699999999999</v>
      </c>
      <c r="CA355" s="93">
        <v>695</v>
      </c>
      <c r="CB355" s="93">
        <v>32.250999999999998</v>
      </c>
      <c r="CC355" s="93">
        <v>49.966000000000001</v>
      </c>
      <c r="CD355" s="25">
        <v>288</v>
      </c>
      <c r="CE355" s="97"/>
      <c r="CF355" s="1504">
        <v>45261</v>
      </c>
      <c r="CG355" s="733">
        <v>1.9954015620000001</v>
      </c>
      <c r="CH355" s="570">
        <v>2026.18</v>
      </c>
      <c r="CI355" s="1945">
        <v>75.719333333329999</v>
      </c>
      <c r="CJ355" s="734">
        <v>77.858000000000004</v>
      </c>
      <c r="CK355" s="733">
        <v>629.59</v>
      </c>
      <c r="CL355" s="570">
        <v>206.54803944445001</v>
      </c>
      <c r="CM355" s="568">
        <v>0.47818207800000001</v>
      </c>
      <c r="CN355" s="568">
        <v>0.882068462</v>
      </c>
      <c r="CO355" s="570">
        <v>291.12</v>
      </c>
      <c r="CP355" s="734">
        <v>4.7913741333299997</v>
      </c>
      <c r="CQ355" s="1945">
        <v>1940.09</v>
      </c>
      <c r="CR355" s="570">
        <v>2.19</v>
      </c>
      <c r="CS355" s="570">
        <v>1.6618999999999999</v>
      </c>
      <c r="CT355" s="570">
        <v>152.5</v>
      </c>
      <c r="CU355" s="570">
        <v>137.05000000000001</v>
      </c>
      <c r="CV355" s="1539">
        <v>2502.39</v>
      </c>
      <c r="CW355" s="29">
        <v>288</v>
      </c>
      <c r="CX355" s="41">
        <f t="shared" si="319"/>
        <v>2023</v>
      </c>
      <c r="CY355" s="1504">
        <v>45261</v>
      </c>
      <c r="CZ355" s="19"/>
      <c r="DA355" s="93"/>
      <c r="DB355" s="93"/>
      <c r="DC355" s="93"/>
      <c r="DD355" s="93"/>
      <c r="DE355" s="20"/>
      <c r="DF355" s="29"/>
      <c r="DG355" s="1504">
        <v>45261</v>
      </c>
      <c r="DH355" s="19">
        <v>525880</v>
      </c>
      <c r="DI355" s="93">
        <v>5493981</v>
      </c>
      <c r="DJ355" s="93">
        <v>303414</v>
      </c>
      <c r="DK355" s="93">
        <v>24264</v>
      </c>
      <c r="DL355" s="93">
        <v>557897</v>
      </c>
      <c r="DM355" s="93">
        <v>5739</v>
      </c>
      <c r="DN355" s="20">
        <v>1703882</v>
      </c>
      <c r="DO355" s="295">
        <f t="shared" si="342"/>
        <v>8089177</v>
      </c>
      <c r="DP355" s="29">
        <v>288</v>
      </c>
      <c r="DQ355" s="1504">
        <v>45261</v>
      </c>
      <c r="DR355" s="19">
        <v>80344.83</v>
      </c>
      <c r="DS355" s="93">
        <v>550.5</v>
      </c>
      <c r="DT355" s="93">
        <v>72085.149999999994</v>
      </c>
      <c r="DU355" s="93">
        <v>3411.6759999999999</v>
      </c>
      <c r="DV355" s="93">
        <v>30167.778999999999</v>
      </c>
      <c r="DW355" s="93">
        <v>4955</v>
      </c>
      <c r="DX355" s="20">
        <v>14654.11</v>
      </c>
      <c r="DY355" s="29">
        <v>288</v>
      </c>
      <c r="DZ355" s="1504">
        <v>45261</v>
      </c>
      <c r="EA355" s="19"/>
      <c r="EB355" s="93"/>
      <c r="EC355" s="20"/>
      <c r="ED355" s="29"/>
      <c r="EE355" s="1504">
        <v>45261</v>
      </c>
      <c r="EF355" s="19">
        <f t="shared" si="347"/>
        <v>23267</v>
      </c>
      <c r="EG355" s="93">
        <f t="shared" si="348"/>
        <v>19147</v>
      </c>
      <c r="EH355" s="93">
        <f t="shared" si="349"/>
        <v>52590</v>
      </c>
      <c r="EI355" s="214">
        <f t="shared" si="350"/>
        <v>10176</v>
      </c>
      <c r="EJ355" s="93">
        <f t="shared" si="351"/>
        <v>72.245000000000005</v>
      </c>
      <c r="EK355" s="93">
        <f t="shared" si="352"/>
        <v>63.058999999999997</v>
      </c>
      <c r="EL355" s="93">
        <f t="shared" si="353"/>
        <v>4.1740000000000004</v>
      </c>
      <c r="EM355" s="93">
        <f t="shared" si="354"/>
        <v>16.085999999999999</v>
      </c>
      <c r="EN355" s="20">
        <f t="shared" si="355"/>
        <v>155.56400000000002</v>
      </c>
      <c r="EO355" s="29">
        <v>288</v>
      </c>
      <c r="EP355" s="1504">
        <v>45261</v>
      </c>
      <c r="EQ355" s="19">
        <v>22254</v>
      </c>
      <c r="ER355" s="93">
        <v>18100</v>
      </c>
      <c r="ES355" s="93">
        <f t="shared" si="315"/>
        <v>40354</v>
      </c>
      <c r="ET355" s="214">
        <v>9525</v>
      </c>
      <c r="EU355" s="93">
        <v>72.245000000000005</v>
      </c>
      <c r="EV355" s="93">
        <v>63.058999999999997</v>
      </c>
      <c r="EW355" s="93">
        <v>4.1740000000000004</v>
      </c>
      <c r="EX355" s="93">
        <v>16.085999999999999</v>
      </c>
      <c r="EY355" s="20">
        <f t="shared" si="321"/>
        <v>155.56400000000002</v>
      </c>
      <c r="EZ355" s="29">
        <v>288</v>
      </c>
      <c r="FA355" s="1504">
        <v>45261</v>
      </c>
      <c r="FB355" s="1949">
        <v>1013</v>
      </c>
      <c r="FC355" s="29">
        <v>1047</v>
      </c>
      <c r="FD355" s="29">
        <f t="shared" si="316"/>
        <v>2060</v>
      </c>
      <c r="FE355" s="29">
        <v>651</v>
      </c>
      <c r="FF355" s="29">
        <v>0</v>
      </c>
      <c r="FG355" s="29">
        <v>0</v>
      </c>
      <c r="FH355" s="29">
        <v>0</v>
      </c>
      <c r="FI355" s="29">
        <v>0</v>
      </c>
      <c r="FJ355" s="29">
        <f t="shared" si="356"/>
        <v>0</v>
      </c>
      <c r="FK355" s="29">
        <v>288</v>
      </c>
      <c r="FL355" s="1504">
        <v>45261</v>
      </c>
      <c r="FM355" s="19">
        <v>124.51924911000002</v>
      </c>
      <c r="FN355" s="93">
        <v>137.51</v>
      </c>
      <c r="FO355" s="93">
        <v>161.11000000000001</v>
      </c>
      <c r="FP355" s="93">
        <v>101.76</v>
      </c>
      <c r="FQ355" s="93">
        <v>116.61</v>
      </c>
      <c r="FR355" s="93">
        <v>102</v>
      </c>
      <c r="FS355" s="93">
        <v>106.54</v>
      </c>
      <c r="FT355" s="93">
        <v>110.52</v>
      </c>
      <c r="FU355" s="93">
        <v>99.35</v>
      </c>
      <c r="FV355" s="93">
        <v>102.06</v>
      </c>
      <c r="FW355" s="93">
        <v>117.08</v>
      </c>
      <c r="FX355" s="93">
        <v>112.5</v>
      </c>
      <c r="FY355" s="93">
        <v>102.52</v>
      </c>
      <c r="FZ355" s="29">
        <v>288</v>
      </c>
      <c r="GA355" s="1504">
        <v>45261</v>
      </c>
      <c r="GB355" s="19">
        <v>124.51924911000002</v>
      </c>
      <c r="GC355" s="93">
        <v>113.17</v>
      </c>
      <c r="GD355" s="93">
        <v>130.26</v>
      </c>
      <c r="GE355" s="93">
        <v>125.87</v>
      </c>
      <c r="GF355" s="93">
        <v>150.68</v>
      </c>
      <c r="GG355" s="93">
        <v>113.14</v>
      </c>
      <c r="GH355" s="93">
        <v>147.26</v>
      </c>
      <c r="GI355" s="93">
        <v>112.81</v>
      </c>
      <c r="GJ355" s="93">
        <v>108.51</v>
      </c>
      <c r="GK355" s="93">
        <v>103.1</v>
      </c>
      <c r="GL355" s="93">
        <v>135.13999999999999</v>
      </c>
      <c r="GM355" s="93">
        <v>102.42</v>
      </c>
      <c r="GN355" s="20">
        <v>108.5</v>
      </c>
      <c r="GO355" s="29">
        <v>288</v>
      </c>
      <c r="GP355" s="1504">
        <v>45261</v>
      </c>
      <c r="GQ355" s="19">
        <v>361</v>
      </c>
      <c r="GR355" s="93">
        <v>323</v>
      </c>
      <c r="GS355" s="93">
        <v>305</v>
      </c>
      <c r="GT355" s="93">
        <v>252</v>
      </c>
      <c r="GU355" s="93">
        <v>434</v>
      </c>
      <c r="GV355" s="20">
        <v>1413</v>
      </c>
      <c r="GW355" s="19">
        <v>427</v>
      </c>
      <c r="GX355" s="93">
        <v>605</v>
      </c>
      <c r="GY355" s="93">
        <v>619</v>
      </c>
      <c r="GZ355" s="93">
        <v>858</v>
      </c>
      <c r="HA355" s="93">
        <v>400</v>
      </c>
      <c r="HB355" s="20">
        <v>1315</v>
      </c>
      <c r="HC355" s="19">
        <v>2364</v>
      </c>
      <c r="HD355" s="93">
        <v>2878</v>
      </c>
      <c r="HE355" s="93">
        <v>2997</v>
      </c>
      <c r="HF355" s="93">
        <v>3150</v>
      </c>
      <c r="HG355" s="93">
        <v>3791</v>
      </c>
      <c r="HH355" s="20">
        <v>4267</v>
      </c>
      <c r="HI355" s="19"/>
      <c r="HJ355" s="93">
        <v>996</v>
      </c>
      <c r="HK355" s="93">
        <v>2445</v>
      </c>
      <c r="HL355" s="93">
        <v>1223</v>
      </c>
      <c r="HM355" s="93">
        <v>1062</v>
      </c>
      <c r="HN355" s="20">
        <v>2771</v>
      </c>
      <c r="HO355" s="219">
        <v>186</v>
      </c>
      <c r="HP355" s="20">
        <v>66</v>
      </c>
      <c r="HQ355" s="25">
        <v>212</v>
      </c>
      <c r="HR355" s="29">
        <v>288</v>
      </c>
      <c r="HS355" s="1504">
        <v>45261</v>
      </c>
      <c r="HT355" s="19"/>
      <c r="HU355" s="93"/>
      <c r="HV355" s="93"/>
      <c r="HW355" s="93"/>
      <c r="HX355" s="93"/>
      <c r="HY355" s="93"/>
      <c r="HZ355" s="93"/>
      <c r="IA355" s="20"/>
      <c r="IB355" s="19"/>
      <c r="IC355" s="93"/>
      <c r="ID355" s="93"/>
      <c r="IE355" s="93"/>
      <c r="IF355" s="93"/>
      <c r="IG355" s="20"/>
      <c r="IH355" s="19"/>
      <c r="II355" s="93"/>
      <c r="IJ355" s="93"/>
      <c r="IK355" s="93"/>
      <c r="IL355" s="93"/>
      <c r="IM355" s="93"/>
      <c r="IN355" s="93"/>
      <c r="IO355" s="20"/>
      <c r="IP355" s="29"/>
      <c r="IQ355" s="19"/>
      <c r="IR355" s="93"/>
      <c r="IS355" s="93"/>
      <c r="IT355" s="93"/>
      <c r="IU355" s="93"/>
      <c r="IV355" s="20"/>
      <c r="IW355" s="29"/>
      <c r="IX355" s="19"/>
      <c r="IY355" s="93"/>
      <c r="IZ355" s="93"/>
      <c r="JA355" s="93"/>
      <c r="JB355" s="93"/>
      <c r="JC355" s="93"/>
      <c r="JD355" s="93"/>
      <c r="JE355" s="20"/>
      <c r="JF355" s="29"/>
      <c r="JG355" s="19"/>
      <c r="JH355" s="93"/>
      <c r="JI355" s="93"/>
      <c r="JJ355" s="93"/>
      <c r="JK355" s="93"/>
      <c r="JL355" s="93"/>
      <c r="JM355" s="93"/>
      <c r="JN355" s="20"/>
      <c r="JO355" s="29"/>
      <c r="JP355" s="19"/>
      <c r="JQ355" s="93"/>
      <c r="JR355" s="93"/>
      <c r="JS355" s="93"/>
      <c r="JT355" s="93"/>
      <c r="JU355" s="20"/>
      <c r="JV355" s="29"/>
      <c r="JW355" s="1504">
        <v>45261</v>
      </c>
      <c r="JX355" s="19"/>
      <c r="JY355" s="93"/>
      <c r="JZ355" s="93"/>
      <c r="KA355" s="93"/>
      <c r="KB355" s="93"/>
      <c r="KC355" s="93"/>
      <c r="KD355" s="20"/>
      <c r="KE355" s="29"/>
      <c r="KF355" s="19"/>
      <c r="KG355" s="93"/>
      <c r="KH355" s="93"/>
      <c r="KI355" s="93"/>
      <c r="KJ355" s="93"/>
      <c r="KK355" s="20"/>
      <c r="KL355" s="29"/>
      <c r="KM355" s="19"/>
      <c r="KN355" s="93"/>
      <c r="KO355" s="93"/>
      <c r="KP355" s="93"/>
      <c r="KQ355" s="93"/>
      <c r="KR355" s="20"/>
      <c r="KS355" s="29"/>
      <c r="KT355" s="19"/>
      <c r="KU355" s="93"/>
      <c r="KV355" s="93"/>
      <c r="KW355" s="93"/>
      <c r="KX355" s="93"/>
      <c r="KY355" s="20"/>
      <c r="KZ355" s="29"/>
      <c r="LA355" s="1504">
        <v>45261</v>
      </c>
      <c r="LB355" s="19"/>
      <c r="LC355" s="93"/>
      <c r="LD355" s="93"/>
      <c r="LE355" s="93"/>
      <c r="LF355" s="93"/>
      <c r="LG355" s="93"/>
      <c r="LH355" s="20"/>
      <c r="LI355" s="29"/>
      <c r="LJ355" s="19"/>
      <c r="LK355" s="93"/>
      <c r="LL355" s="93"/>
      <c r="LM355" s="93"/>
      <c r="LN355" s="93"/>
      <c r="LO355" s="20"/>
      <c r="LP355" s="29"/>
      <c r="LQ355" s="19"/>
      <c r="LR355" s="93">
        <v>188</v>
      </c>
      <c r="LS355" s="93">
        <v>463</v>
      </c>
      <c r="LT355" s="93">
        <v>663</v>
      </c>
      <c r="LU355" s="93">
        <v>1104</v>
      </c>
      <c r="LV355" s="93"/>
      <c r="LW355" s="93">
        <v>5</v>
      </c>
      <c r="LX355" s="93">
        <v>10</v>
      </c>
      <c r="LY355" s="93">
        <v>60</v>
      </c>
      <c r="LZ355" s="93"/>
      <c r="MA355" s="20"/>
      <c r="MB355" s="29">
        <v>288</v>
      </c>
      <c r="MC355" s="1504">
        <v>45261</v>
      </c>
      <c r="MD355" s="19">
        <v>2746.8865690087646</v>
      </c>
      <c r="ME355" s="93">
        <v>2543.3855251855616</v>
      </c>
      <c r="MF355" s="93">
        <v>2543.3855251855616</v>
      </c>
      <c r="MG355" s="93">
        <v>2245.9507107459999</v>
      </c>
      <c r="MH355" s="93">
        <v>724.52241631599998</v>
      </c>
      <c r="MI355" s="93">
        <v>18.464338783000002</v>
      </c>
      <c r="MJ355" s="93">
        <v>73.01861349699999</v>
      </c>
      <c r="MK355" s="93">
        <v>1110.2652626419999</v>
      </c>
      <c r="ML355" s="93">
        <v>318.46810214100003</v>
      </c>
      <c r="MM355" s="93">
        <v>1.211977367</v>
      </c>
      <c r="MN355" s="93">
        <v>297.43481443956142</v>
      </c>
      <c r="MO355" s="93">
        <v>7.5043773630000006</v>
      </c>
      <c r="MP355" s="93">
        <v>42.910191037000011</v>
      </c>
      <c r="MQ355" s="93">
        <v>2.4730740940000002</v>
      </c>
      <c r="MR355" s="93">
        <v>102.30698891399999</v>
      </c>
      <c r="MS355" s="93">
        <v>142.24018303156143</v>
      </c>
      <c r="MT355" s="93">
        <v>0</v>
      </c>
      <c r="MU355" s="93">
        <v>203.50104382320364</v>
      </c>
      <c r="MV355" s="93">
        <v>203.50104382320364</v>
      </c>
      <c r="MW355" s="93">
        <v>0</v>
      </c>
      <c r="MX355" s="93">
        <v>3550.3288240730408</v>
      </c>
      <c r="MY355" s="93">
        <v>3561.8047678300413</v>
      </c>
      <c r="MZ355" s="93">
        <v>2183.2575295468996</v>
      </c>
      <c r="NA355" s="93">
        <v>1096.9451239749999</v>
      </c>
      <c r="NB355" s="93">
        <v>221.334330201</v>
      </c>
      <c r="NC355" s="93">
        <v>290.40875866200003</v>
      </c>
      <c r="ND355" s="93">
        <v>246.95744401623216</v>
      </c>
      <c r="NE355" s="93">
        <v>43.451314645767852</v>
      </c>
      <c r="NF355" s="93">
        <v>574.56931670890015</v>
      </c>
      <c r="NG355" s="93">
        <v>45.508690399999999</v>
      </c>
      <c r="NH355" s="93">
        <v>148.626847543</v>
      </c>
      <c r="NI355" s="93">
        <v>0</v>
      </c>
      <c r="NJ355" s="93">
        <v>114.999984359</v>
      </c>
      <c r="NK355" s="93">
        <v>1378.547238283141</v>
      </c>
      <c r="NL355" s="93">
        <v>873.14459142750002</v>
      </c>
      <c r="NM355" s="93">
        <v>6.8241656069999994</v>
      </c>
      <c r="NN355" s="93">
        <v>498.57848124864108</v>
      </c>
      <c r="NO355" s="93">
        <v>-11.475943757000007</v>
      </c>
      <c r="NP355" s="93">
        <v>-803.44225506427597</v>
      </c>
      <c r="NQ355" s="93">
        <v>-1006.9432988874795</v>
      </c>
      <c r="NR355" s="93">
        <v>-217.95605897683853</v>
      </c>
      <c r="NS355" s="93">
        <v>-508.36481763883853</v>
      </c>
      <c r="NT355" s="93">
        <v>-487.42620934969079</v>
      </c>
      <c r="NU355" s="93">
        <v>-690.92725317289444</v>
      </c>
      <c r="NV355" s="93">
        <v>481.03601213907967</v>
      </c>
      <c r="NW355" s="93">
        <v>158.13227589607979</v>
      </c>
      <c r="NX355" s="93">
        <v>295.07743742543749</v>
      </c>
      <c r="NY355" s="93">
        <v>-136.94516152935776</v>
      </c>
      <c r="NZ355" s="93">
        <v>0</v>
      </c>
      <c r="OA355" s="93">
        <v>322.90373624299991</v>
      </c>
      <c r="OB355" s="93">
        <v>584.78870637989996</v>
      </c>
      <c r="OC355" s="93">
        <v>-261.88497013690005</v>
      </c>
      <c r="OD355" s="20">
        <v>6.3901972106110172</v>
      </c>
      <c r="OE355" s="29">
        <v>288</v>
      </c>
      <c r="OF355" s="1504">
        <v>45261</v>
      </c>
      <c r="OG355" s="19"/>
      <c r="OH355" s="93">
        <v>986.10114882400012</v>
      </c>
      <c r="OI355" s="93">
        <v>2491.7672695840001</v>
      </c>
      <c r="OJ355" s="93">
        <v>0.99675835400000001</v>
      </c>
      <c r="OK355" s="93">
        <v>2189.17</v>
      </c>
      <c r="OL355" s="93">
        <v>301.60051123</v>
      </c>
      <c r="OM355" s="93">
        <v>3477.8684184080003</v>
      </c>
      <c r="ON355" s="93">
        <v>2074.1401083189999</v>
      </c>
      <c r="OO355" s="93">
        <v>5552.0085267270006</v>
      </c>
      <c r="OP355" s="93"/>
      <c r="OQ355" s="93">
        <v>1626.2842100790003</v>
      </c>
      <c r="OR355" s="93">
        <v>-372.52078992099985</v>
      </c>
      <c r="OS355" s="93">
        <v>1998.8049999999998</v>
      </c>
      <c r="OT355" s="93">
        <v>4764.6858344120001</v>
      </c>
      <c r="OU355" s="93">
        <v>443.46075541800013</v>
      </c>
      <c r="OV355" s="93">
        <v>199.76375541800002</v>
      </c>
      <c r="OW355" s="93">
        <v>243.69700000000012</v>
      </c>
      <c r="OX355" s="93">
        <v>4321.2250789939999</v>
      </c>
      <c r="OY355" s="93">
        <v>9.0020789939999997</v>
      </c>
      <c r="OZ355" s="93">
        <v>4312.223</v>
      </c>
      <c r="PA355" s="93">
        <v>1370.4811924599999</v>
      </c>
      <c r="PB355" s="93">
        <v>-531.51967469599992</v>
      </c>
      <c r="PC355" s="20">
        <v>5552.0085267270006</v>
      </c>
      <c r="PD355" s="29">
        <v>288</v>
      </c>
      <c r="PE355" s="19"/>
      <c r="PF355" s="93">
        <v>-372.52078992099985</v>
      </c>
      <c r="PG355" s="93">
        <v>524.372294302</v>
      </c>
      <c r="PH355" s="93">
        <v>896.89308422299985</v>
      </c>
      <c r="PI355" s="93">
        <v>1508.405847045</v>
      </c>
      <c r="PJ355" s="93">
        <v>206.32895775600002</v>
      </c>
      <c r="PK355" s="93">
        <v>333.17791819000001</v>
      </c>
      <c r="PL355" s="93">
        <v>126.84896043400001</v>
      </c>
      <c r="PM355" s="93">
        <v>9.0020789939999997</v>
      </c>
      <c r="PN355" s="93">
        <v>2.6890000000000001</v>
      </c>
      <c r="PO355" s="93">
        <v>0</v>
      </c>
      <c r="PP355" s="93">
        <v>0</v>
      </c>
      <c r="PQ355" s="93">
        <v>6.3130789939999996</v>
      </c>
      <c r="PR355" s="93">
        <v>1382.586212357</v>
      </c>
      <c r="PS355" s="93">
        <v>1147.2083511620001</v>
      </c>
      <c r="PT355" s="93">
        <v>234.04799452200001</v>
      </c>
      <c r="PU355" s="93">
        <v>1.3298666729999999</v>
      </c>
      <c r="PV355" s="93">
        <v>0</v>
      </c>
      <c r="PW355" s="93">
        <v>3.6631229470000002</v>
      </c>
      <c r="PX355" s="93">
        <v>0</v>
      </c>
      <c r="PY355" s="93">
        <v>0</v>
      </c>
      <c r="PZ355" s="93">
        <v>3.6631229470000002</v>
      </c>
      <c r="QA355" s="93">
        <v>0</v>
      </c>
      <c r="QB355" s="93">
        <v>0</v>
      </c>
      <c r="QC355" s="93">
        <v>0</v>
      </c>
      <c r="QD355" s="93">
        <v>0.48906951300000001</v>
      </c>
      <c r="QE355" s="20">
        <v>-35.522310943000001</v>
      </c>
      <c r="QF355" s="1739">
        <v>288</v>
      </c>
      <c r="QG355" s="19"/>
      <c r="QH355" s="93">
        <v>1998.8049999999998</v>
      </c>
      <c r="QI355" s="93">
        <v>2624.3069999999998</v>
      </c>
      <c r="QJ355" s="93">
        <v>-625.50199999999995</v>
      </c>
      <c r="QK355" s="93">
        <v>433.61</v>
      </c>
      <c r="QL355" s="93">
        <v>154.542</v>
      </c>
      <c r="QM355" s="93">
        <v>279.06800000000004</v>
      </c>
      <c r="QN355" s="93">
        <v>0</v>
      </c>
      <c r="QO355" s="93">
        <v>243.69700000000012</v>
      </c>
      <c r="QP355" s="93">
        <v>1154.7450000000001</v>
      </c>
      <c r="QQ355" s="93">
        <v>-911.048</v>
      </c>
      <c r="QR355" s="93">
        <v>4312.223</v>
      </c>
      <c r="QS355" s="93">
        <v>72.391000000000005</v>
      </c>
      <c r="QT355" s="93">
        <v>5.3620000000000001</v>
      </c>
      <c r="QU355" s="93">
        <v>347.82799999999997</v>
      </c>
      <c r="QV355" s="93">
        <v>3886.6419999999998</v>
      </c>
      <c r="QW355" s="93"/>
      <c r="QX355" s="93">
        <v>1508.2710000000002</v>
      </c>
      <c r="QY355" s="93">
        <v>2189.17</v>
      </c>
      <c r="QZ355" s="93">
        <v>2073.8069999999998</v>
      </c>
      <c r="RA355" s="93">
        <v>0</v>
      </c>
      <c r="RB355" s="93">
        <v>380.92499999999995</v>
      </c>
      <c r="RC355" s="93">
        <v>0</v>
      </c>
      <c r="RD355" s="93">
        <v>73.088999999999999</v>
      </c>
      <c r="RE355" s="93">
        <v>0</v>
      </c>
      <c r="RF355" s="93">
        <v>0</v>
      </c>
      <c r="RG355" s="93">
        <v>912.31500000000005</v>
      </c>
      <c r="RH355" s="93">
        <v>-149.24200000000008</v>
      </c>
      <c r="RI355" s="93"/>
      <c r="RJ355" s="93"/>
      <c r="RK355" s="93"/>
      <c r="RL355" s="93"/>
      <c r="RM355" s="20"/>
      <c r="RN355" s="29">
        <v>288</v>
      </c>
      <c r="RO355" s="19"/>
      <c r="RP355" s="20"/>
      <c r="RQ355" s="29"/>
      <c r="RR355" s="20"/>
      <c r="RS355" s="29"/>
      <c r="RT355" s="1504">
        <v>45261</v>
      </c>
      <c r="RU355" s="19">
        <v>2435</v>
      </c>
      <c r="RV355" s="20">
        <v>35</v>
      </c>
      <c r="RW355" s="29">
        <v>288</v>
      </c>
      <c r="RX355" s="1504">
        <v>45261</v>
      </c>
      <c r="RY355" s="29"/>
      <c r="RZ355" s="20"/>
      <c r="SA355" s="29"/>
      <c r="SB355" s="29"/>
    </row>
    <row r="356" spans="1:496">
      <c r="A356" s="41">
        <f t="shared" si="346"/>
        <v>2024</v>
      </c>
      <c r="B356" s="1504">
        <v>45292</v>
      </c>
      <c r="C356" s="1813"/>
      <c r="D356" s="1814"/>
      <c r="E356" s="1814"/>
      <c r="F356" s="1815"/>
      <c r="G356" s="1814"/>
      <c r="H356" s="1814"/>
      <c r="I356" s="1814"/>
      <c r="J356" s="1816"/>
      <c r="K356" s="1807"/>
      <c r="L356" s="25"/>
      <c r="M356" s="97"/>
      <c r="N356" s="1504">
        <v>45292</v>
      </c>
      <c r="O356" s="19"/>
      <c r="P356" s="93"/>
      <c r="Q356" s="93"/>
      <c r="R356" s="93"/>
      <c r="S356" s="93"/>
      <c r="T356" s="93"/>
      <c r="U356" s="93"/>
      <c r="V356" s="93"/>
      <c r="W356" s="93"/>
      <c r="X356" s="93"/>
      <c r="Y356" s="93"/>
      <c r="Z356" s="93"/>
      <c r="AA356" s="93"/>
      <c r="AB356" s="20"/>
      <c r="AC356" s="25"/>
      <c r="AD356" s="97"/>
      <c r="AE356" s="1504">
        <v>45292</v>
      </c>
      <c r="AF356" s="19"/>
      <c r="AG356" s="93"/>
      <c r="AH356" s="93"/>
      <c r="AI356" s="93"/>
      <c r="AJ356" s="93"/>
      <c r="AK356" s="93"/>
      <c r="AL356" s="93"/>
      <c r="AM356" s="93"/>
      <c r="AN356" s="93"/>
      <c r="AO356" s="93"/>
      <c r="AP356" s="93"/>
      <c r="AQ356" s="93"/>
      <c r="AR356" s="93"/>
      <c r="AS356" s="20"/>
      <c r="AT356" s="25"/>
      <c r="AU356" s="97"/>
      <c r="AV356" s="1504">
        <v>45292</v>
      </c>
      <c r="AW356" s="19"/>
      <c r="AX356" s="93"/>
      <c r="AY356" s="93"/>
      <c r="AZ356" s="93"/>
      <c r="BA356" s="93"/>
      <c r="BB356" s="93"/>
      <c r="BC356" s="93"/>
      <c r="BD356" s="93"/>
      <c r="BE356" s="93"/>
      <c r="BF356" s="93"/>
      <c r="BG356" s="93"/>
      <c r="BH356" s="93"/>
      <c r="BI356" s="93"/>
      <c r="BJ356" s="20"/>
      <c r="BK356" s="25"/>
      <c r="BL356" s="97"/>
      <c r="BM356" s="1504">
        <v>45292</v>
      </c>
      <c r="BN356" s="19"/>
      <c r="BO356" s="93"/>
      <c r="BP356" s="93"/>
      <c r="BQ356" s="93"/>
      <c r="BR356" s="93"/>
      <c r="BS356" s="93"/>
      <c r="BT356" s="93"/>
      <c r="BU356" s="20"/>
      <c r="BV356" s="25"/>
      <c r="BW356" s="97"/>
      <c r="BX356" s="1504">
        <v>45292</v>
      </c>
      <c r="BY356" s="19"/>
      <c r="BZ356" s="93"/>
      <c r="CA356" s="93"/>
      <c r="CB356" s="93"/>
      <c r="CC356" s="93"/>
      <c r="CD356" s="25"/>
      <c r="CE356" s="97"/>
      <c r="CF356" s="1504">
        <v>45292</v>
      </c>
      <c r="CG356" s="19"/>
      <c r="CH356" s="93"/>
      <c r="CI356" s="219"/>
      <c r="CJ356" s="20"/>
      <c r="CK356" s="19"/>
      <c r="CL356" s="93"/>
      <c r="CM356" s="93"/>
      <c r="CN356" s="93"/>
      <c r="CO356" s="93"/>
      <c r="CP356" s="20"/>
      <c r="CQ356" s="219"/>
      <c r="CR356" s="93"/>
      <c r="CS356" s="93"/>
      <c r="CT356" s="93"/>
      <c r="CU356" s="93"/>
      <c r="CV356" s="214"/>
      <c r="CW356" s="29"/>
      <c r="CX356" s="41">
        <f t="shared" si="319"/>
        <v>2024</v>
      </c>
      <c r="CY356" s="1504">
        <v>45292</v>
      </c>
      <c r="CZ356" s="19"/>
      <c r="DA356" s="93"/>
      <c r="DB356" s="93"/>
      <c r="DC356" s="93"/>
      <c r="DD356" s="93"/>
      <c r="DE356" s="20"/>
      <c r="DF356" s="29"/>
      <c r="DG356" s="1504">
        <v>45292</v>
      </c>
      <c r="DH356" s="19"/>
      <c r="DI356" s="93"/>
      <c r="DJ356" s="93"/>
      <c r="DK356" s="93"/>
      <c r="DL356" s="93"/>
      <c r="DM356" s="93"/>
      <c r="DN356" s="20"/>
      <c r="DO356" s="295"/>
      <c r="DP356" s="29"/>
      <c r="DQ356" s="1504">
        <v>45292</v>
      </c>
      <c r="DR356" s="19"/>
      <c r="DS356" s="93"/>
      <c r="DT356" s="93"/>
      <c r="DU356" s="93"/>
      <c r="DV356" s="93"/>
      <c r="DW356" s="93"/>
      <c r="DX356" s="20"/>
      <c r="DY356" s="29"/>
      <c r="DZ356" s="1504">
        <v>45292</v>
      </c>
      <c r="EA356" s="19"/>
      <c r="EB356" s="93"/>
      <c r="EC356" s="20"/>
      <c r="ED356" s="29"/>
      <c r="EE356" s="1504">
        <v>45292</v>
      </c>
      <c r="EF356" s="19"/>
      <c r="EG356" s="93"/>
      <c r="EH356" s="93"/>
      <c r="EI356" s="214"/>
      <c r="EJ356" s="93"/>
      <c r="EK356" s="93"/>
      <c r="EL356" s="93"/>
      <c r="EM356" s="93"/>
      <c r="EN356" s="20"/>
      <c r="EO356" s="29"/>
      <c r="EP356" s="1504">
        <v>45292</v>
      </c>
      <c r="EQ356" s="19"/>
      <c r="ER356" s="93"/>
      <c r="ES356" s="93"/>
      <c r="ET356" s="214"/>
      <c r="EU356" s="93"/>
      <c r="EV356" s="93"/>
      <c r="EW356" s="93"/>
      <c r="EX356" s="93"/>
      <c r="EY356" s="20"/>
      <c r="EZ356" s="29"/>
      <c r="FA356" s="1504">
        <v>45292</v>
      </c>
      <c r="FB356" s="29"/>
      <c r="FC356" s="29"/>
      <c r="FD356" s="29"/>
      <c r="FE356" s="29"/>
      <c r="FF356" s="29"/>
      <c r="FG356" s="29"/>
      <c r="FH356" s="29"/>
      <c r="FI356" s="29"/>
      <c r="FJ356" s="29"/>
      <c r="FK356" s="29"/>
      <c r="FL356" s="1504">
        <v>45292</v>
      </c>
      <c r="FM356" s="19"/>
      <c r="FN356" s="93"/>
      <c r="FO356" s="93"/>
      <c r="FP356" s="93"/>
      <c r="FQ356" s="93"/>
      <c r="FR356" s="93"/>
      <c r="FS356" s="93"/>
      <c r="FT356" s="93"/>
      <c r="FU356" s="93"/>
      <c r="FV356" s="93"/>
      <c r="FW356" s="93"/>
      <c r="FX356" s="93"/>
      <c r="FY356" s="93"/>
      <c r="FZ356" s="29"/>
      <c r="GA356" s="1504">
        <v>45292</v>
      </c>
      <c r="GB356" s="19"/>
      <c r="GC356" s="93"/>
      <c r="GD356" s="93"/>
      <c r="GE356" s="93"/>
      <c r="GF356" s="93"/>
      <c r="GG356" s="93"/>
      <c r="GH356" s="93"/>
      <c r="GI356" s="93"/>
      <c r="GJ356" s="93"/>
      <c r="GK356" s="93"/>
      <c r="GL356" s="93"/>
      <c r="GM356" s="93"/>
      <c r="GN356" s="20"/>
      <c r="GO356" s="29"/>
      <c r="GP356" s="1504">
        <v>45292</v>
      </c>
      <c r="GQ356" s="19"/>
      <c r="GR356" s="93"/>
      <c r="GS356" s="93"/>
      <c r="GT356" s="93"/>
      <c r="GU356" s="93"/>
      <c r="GV356" s="20"/>
      <c r="GW356" s="19"/>
      <c r="GX356" s="93"/>
      <c r="GY356" s="93"/>
      <c r="GZ356" s="93"/>
      <c r="HA356" s="93"/>
      <c r="HB356" s="20"/>
      <c r="HC356" s="19"/>
      <c r="HD356" s="93"/>
      <c r="HE356" s="93"/>
      <c r="HF356" s="93"/>
      <c r="HG356" s="93"/>
      <c r="HH356" s="20"/>
      <c r="HI356" s="19"/>
      <c r="HJ356" s="93"/>
      <c r="HK356" s="93"/>
      <c r="HL356" s="93"/>
      <c r="HM356" s="93"/>
      <c r="HN356" s="20"/>
      <c r="HO356" s="219"/>
      <c r="HP356" s="20"/>
      <c r="HQ356" s="25"/>
      <c r="HR356" s="29"/>
      <c r="HS356" s="1504">
        <v>45292</v>
      </c>
      <c r="HT356" s="19"/>
      <c r="HU356" s="93"/>
      <c r="HV356" s="93"/>
      <c r="HW356" s="93"/>
      <c r="HX356" s="93"/>
      <c r="HY356" s="93"/>
      <c r="HZ356" s="93"/>
      <c r="IA356" s="20"/>
      <c r="IB356" s="19"/>
      <c r="IC356" s="93"/>
      <c r="ID356" s="93"/>
      <c r="IE356" s="93"/>
      <c r="IF356" s="93"/>
      <c r="IG356" s="20"/>
      <c r="IH356" s="19"/>
      <c r="II356" s="93"/>
      <c r="IJ356" s="93"/>
      <c r="IK356" s="93"/>
      <c r="IL356" s="93"/>
      <c r="IM356" s="93"/>
      <c r="IN356" s="93"/>
      <c r="IO356" s="20"/>
      <c r="IP356" s="29"/>
      <c r="IQ356" s="19"/>
      <c r="IR356" s="93"/>
      <c r="IS356" s="93"/>
      <c r="IT356" s="93"/>
      <c r="IU356" s="93"/>
      <c r="IV356" s="20"/>
      <c r="IW356" s="29"/>
      <c r="IX356" s="19"/>
      <c r="IY356" s="93"/>
      <c r="IZ356" s="93"/>
      <c r="JA356" s="93"/>
      <c r="JB356" s="93"/>
      <c r="JC356" s="93"/>
      <c r="JD356" s="93"/>
      <c r="JE356" s="20"/>
      <c r="JF356" s="29"/>
      <c r="JG356" s="19"/>
      <c r="JH356" s="93"/>
      <c r="JI356" s="93"/>
      <c r="JJ356" s="93"/>
      <c r="JK356" s="93"/>
      <c r="JL356" s="93"/>
      <c r="JM356" s="93"/>
      <c r="JN356" s="20"/>
      <c r="JO356" s="29"/>
      <c r="JP356" s="19"/>
      <c r="JQ356" s="93"/>
      <c r="JR356" s="93"/>
      <c r="JS356" s="93"/>
      <c r="JT356" s="93"/>
      <c r="JU356" s="20"/>
      <c r="JV356" s="29"/>
      <c r="JW356" s="1504">
        <v>45292</v>
      </c>
      <c r="JX356" s="19"/>
      <c r="JY356" s="93"/>
      <c r="JZ356" s="93"/>
      <c r="KA356" s="93"/>
      <c r="KB356" s="93"/>
      <c r="KC356" s="93"/>
      <c r="KD356" s="20"/>
      <c r="KE356" s="29"/>
      <c r="KF356" s="19"/>
      <c r="KG356" s="93"/>
      <c r="KH356" s="93"/>
      <c r="KI356" s="93"/>
      <c r="KJ356" s="93"/>
      <c r="KK356" s="20"/>
      <c r="KL356" s="29"/>
      <c r="KM356" s="19"/>
      <c r="KN356" s="93"/>
      <c r="KO356" s="93"/>
      <c r="KP356" s="93"/>
      <c r="KQ356" s="93"/>
      <c r="KR356" s="20"/>
      <c r="KS356" s="29"/>
      <c r="KT356" s="19"/>
      <c r="KU356" s="93"/>
      <c r="KV356" s="93"/>
      <c r="KW356" s="93"/>
      <c r="KX356" s="93"/>
      <c r="KY356" s="20"/>
      <c r="KZ356" s="29"/>
      <c r="LA356" s="1504">
        <v>45292</v>
      </c>
      <c r="LB356" s="19"/>
      <c r="LC356" s="93"/>
      <c r="LD356" s="93"/>
      <c r="LE356" s="93"/>
      <c r="LF356" s="93"/>
      <c r="LG356" s="93"/>
      <c r="LH356" s="20"/>
      <c r="LI356" s="29"/>
      <c r="LJ356" s="19"/>
      <c r="LK356" s="93"/>
      <c r="LL356" s="93"/>
      <c r="LM356" s="93"/>
      <c r="LN356" s="93"/>
      <c r="LO356" s="20"/>
      <c r="LP356" s="29"/>
      <c r="LQ356" s="19"/>
      <c r="LR356" s="93"/>
      <c r="LS356" s="93"/>
      <c r="LT356" s="93"/>
      <c r="LU356" s="93"/>
      <c r="LV356" s="93"/>
      <c r="LW356" s="93"/>
      <c r="LX356" s="93"/>
      <c r="LY356" s="93"/>
      <c r="LZ356" s="93"/>
      <c r="MA356" s="20"/>
      <c r="MB356" s="29"/>
      <c r="MC356" s="1504">
        <v>45292</v>
      </c>
      <c r="MD356" s="19"/>
      <c r="ME356" s="93"/>
      <c r="MF356" s="93"/>
      <c r="MG356" s="93"/>
      <c r="MH356" s="93"/>
      <c r="MI356" s="93"/>
      <c r="MJ356" s="93"/>
      <c r="MK356" s="93"/>
      <c r="ML356" s="93"/>
      <c r="MM356" s="93"/>
      <c r="MN356" s="93"/>
      <c r="MO356" s="93"/>
      <c r="MP356" s="93"/>
      <c r="MQ356" s="93"/>
      <c r="MR356" s="93"/>
      <c r="MS356" s="93"/>
      <c r="MT356" s="93"/>
      <c r="MU356" s="93"/>
      <c r="MV356" s="93"/>
      <c r="MW356" s="93"/>
      <c r="MX356" s="93"/>
      <c r="MY356" s="93"/>
      <c r="MZ356" s="93"/>
      <c r="NA356" s="93"/>
      <c r="NB356" s="93"/>
      <c r="NC356" s="93"/>
      <c r="ND356" s="93"/>
      <c r="NE356" s="93"/>
      <c r="NF356" s="93"/>
      <c r="NG356" s="93"/>
      <c r="NH356" s="93"/>
      <c r="NI356" s="93"/>
      <c r="NJ356" s="93"/>
      <c r="NK356" s="93"/>
      <c r="NL356" s="93"/>
      <c r="NM356" s="93"/>
      <c r="NN356" s="93"/>
      <c r="NO356" s="93"/>
      <c r="NP356" s="93"/>
      <c r="NQ356" s="93"/>
      <c r="NR356" s="93"/>
      <c r="NS356" s="93"/>
      <c r="NT356" s="93"/>
      <c r="NU356" s="93"/>
      <c r="NV356" s="93"/>
      <c r="NW356" s="93"/>
      <c r="NX356" s="93"/>
      <c r="NY356" s="93"/>
      <c r="NZ356" s="93"/>
      <c r="OA356" s="93"/>
      <c r="OB356" s="93"/>
      <c r="OC356" s="93"/>
      <c r="OD356" s="20"/>
      <c r="OE356" s="29"/>
      <c r="OF356" s="1504">
        <v>45292</v>
      </c>
      <c r="OG356" s="19"/>
      <c r="OH356" s="93"/>
      <c r="OI356" s="93"/>
      <c r="OJ356" s="93"/>
      <c r="OK356" s="93"/>
      <c r="OL356" s="93"/>
      <c r="OM356" s="93"/>
      <c r="ON356" s="93"/>
      <c r="OO356" s="93"/>
      <c r="OP356" s="93"/>
      <c r="OQ356" s="93"/>
      <c r="OR356" s="93"/>
      <c r="OS356" s="93"/>
      <c r="OT356" s="93"/>
      <c r="OU356" s="93"/>
      <c r="OV356" s="93"/>
      <c r="OW356" s="93"/>
      <c r="OX356" s="93"/>
      <c r="OY356" s="93"/>
      <c r="OZ356" s="93"/>
      <c r="PA356" s="93"/>
      <c r="PB356" s="93"/>
      <c r="PC356" s="20"/>
      <c r="PD356" s="29"/>
      <c r="PE356" s="19"/>
      <c r="PF356" s="93"/>
      <c r="PG356" s="93"/>
      <c r="PH356" s="93"/>
      <c r="PI356" s="93"/>
      <c r="PJ356" s="93"/>
      <c r="PK356" s="93"/>
      <c r="PL356" s="93"/>
      <c r="PM356" s="93"/>
      <c r="PN356" s="93"/>
      <c r="PO356" s="93"/>
      <c r="PP356" s="93"/>
      <c r="PQ356" s="93"/>
      <c r="PR356" s="93"/>
      <c r="PS356" s="93"/>
      <c r="PT356" s="93"/>
      <c r="PU356" s="93"/>
      <c r="PV356" s="93"/>
      <c r="PW356" s="93"/>
      <c r="PX356" s="93"/>
      <c r="PY356" s="93"/>
      <c r="PZ356" s="93"/>
      <c r="QA356" s="93"/>
      <c r="QB356" s="93"/>
      <c r="QC356" s="93"/>
      <c r="QD356" s="93"/>
      <c r="QE356" s="20"/>
      <c r="QF356" s="1739"/>
      <c r="QG356" s="19"/>
      <c r="QH356" s="93"/>
      <c r="QI356" s="93"/>
      <c r="QJ356" s="93"/>
      <c r="QK356" s="93"/>
      <c r="QL356" s="93"/>
      <c r="QM356" s="93"/>
      <c r="QN356" s="93"/>
      <c r="QO356" s="93"/>
      <c r="QP356" s="93"/>
      <c r="QQ356" s="93"/>
      <c r="QR356" s="93"/>
      <c r="QS356" s="93"/>
      <c r="QT356" s="93"/>
      <c r="QU356" s="93"/>
      <c r="QV356" s="93"/>
      <c r="QW356" s="93"/>
      <c r="QX356" s="93"/>
      <c r="QY356" s="93"/>
      <c r="QZ356" s="93"/>
      <c r="RA356" s="93"/>
      <c r="RB356" s="93"/>
      <c r="RC356" s="93"/>
      <c r="RD356" s="93"/>
      <c r="RE356" s="93"/>
      <c r="RF356" s="93"/>
      <c r="RG356" s="93"/>
      <c r="RH356" s="93"/>
      <c r="RI356" s="93"/>
      <c r="RJ356" s="93"/>
      <c r="RK356" s="93"/>
      <c r="RL356" s="93"/>
      <c r="RM356" s="20"/>
      <c r="RN356" s="29"/>
      <c r="RO356" s="19"/>
      <c r="RP356" s="20"/>
      <c r="RQ356" s="29"/>
      <c r="RR356" s="20"/>
      <c r="RS356" s="29"/>
      <c r="RT356" s="1504">
        <v>45292</v>
      </c>
      <c r="RU356" s="19"/>
      <c r="RV356" s="20"/>
      <c r="RW356" s="29"/>
      <c r="RX356" s="1504">
        <v>45292</v>
      </c>
      <c r="RY356" s="29"/>
      <c r="RZ356" s="20"/>
      <c r="SA356" s="29"/>
      <c r="SB356" s="29"/>
    </row>
    <row r="357" spans="1:496">
      <c r="A357" s="41">
        <f t="shared" si="346"/>
        <v>2024</v>
      </c>
      <c r="B357" s="1504">
        <v>45323</v>
      </c>
      <c r="C357" s="1813"/>
      <c r="D357" s="1814"/>
      <c r="E357" s="1814"/>
      <c r="F357" s="1815"/>
      <c r="G357" s="1814"/>
      <c r="H357" s="1814"/>
      <c r="I357" s="1814"/>
      <c r="J357" s="1816"/>
      <c r="K357" s="1807"/>
      <c r="L357" s="25"/>
      <c r="M357" s="97"/>
      <c r="N357" s="1504">
        <v>45323</v>
      </c>
      <c r="O357" s="19"/>
      <c r="P357" s="93"/>
      <c r="Q357" s="93"/>
      <c r="R357" s="93"/>
      <c r="S357" s="93"/>
      <c r="T357" s="93"/>
      <c r="U357" s="93"/>
      <c r="V357" s="93"/>
      <c r="W357" s="93"/>
      <c r="X357" s="93"/>
      <c r="Y357" s="93"/>
      <c r="Z357" s="93"/>
      <c r="AA357" s="93"/>
      <c r="AB357" s="20"/>
      <c r="AC357" s="25"/>
      <c r="AD357" s="97"/>
      <c r="AE357" s="1504">
        <v>45323</v>
      </c>
      <c r="AF357" s="19"/>
      <c r="AG357" s="93"/>
      <c r="AH357" s="93"/>
      <c r="AI357" s="93"/>
      <c r="AJ357" s="93"/>
      <c r="AK357" s="93"/>
      <c r="AL357" s="93"/>
      <c r="AM357" s="93"/>
      <c r="AN357" s="93"/>
      <c r="AO357" s="93"/>
      <c r="AP357" s="93"/>
      <c r="AQ357" s="93"/>
      <c r="AR357" s="93"/>
      <c r="AS357" s="20"/>
      <c r="AT357" s="25"/>
      <c r="AU357" s="97"/>
      <c r="AV357" s="1504">
        <v>45323</v>
      </c>
      <c r="AW357" s="19"/>
      <c r="AX357" s="93"/>
      <c r="AY357" s="93"/>
      <c r="AZ357" s="93"/>
      <c r="BA357" s="93"/>
      <c r="BB357" s="93"/>
      <c r="BC357" s="93"/>
      <c r="BD357" s="93"/>
      <c r="BE357" s="93"/>
      <c r="BF357" s="93"/>
      <c r="BG357" s="93"/>
      <c r="BH357" s="93"/>
      <c r="BI357" s="93"/>
      <c r="BJ357" s="20"/>
      <c r="BK357" s="25"/>
      <c r="BL357" s="97"/>
      <c r="BM357" s="1504">
        <v>45323</v>
      </c>
      <c r="BN357" s="19"/>
      <c r="BO357" s="93"/>
      <c r="BP357" s="93"/>
      <c r="BQ357" s="93"/>
      <c r="BR357" s="93"/>
      <c r="BS357" s="93"/>
      <c r="BT357" s="93"/>
      <c r="BU357" s="20"/>
      <c r="BV357" s="25"/>
      <c r="BW357" s="97"/>
      <c r="BX357" s="1504">
        <v>45323</v>
      </c>
      <c r="BY357" s="19"/>
      <c r="BZ357" s="93"/>
      <c r="CA357" s="93"/>
      <c r="CB357" s="93"/>
      <c r="CC357" s="93"/>
      <c r="CD357" s="25"/>
      <c r="CE357" s="97"/>
      <c r="CF357" s="1504">
        <v>45323</v>
      </c>
      <c r="CG357" s="19"/>
      <c r="CH357" s="93"/>
      <c r="CI357" s="219"/>
      <c r="CJ357" s="20"/>
      <c r="CK357" s="19"/>
      <c r="CL357" s="93"/>
      <c r="CM357" s="93"/>
      <c r="CN357" s="93"/>
      <c r="CO357" s="93"/>
      <c r="CP357" s="20"/>
      <c r="CQ357" s="219"/>
      <c r="CR357" s="93"/>
      <c r="CS357" s="93"/>
      <c r="CT357" s="93"/>
      <c r="CU357" s="93"/>
      <c r="CV357" s="214"/>
      <c r="CW357" s="29"/>
      <c r="CX357" s="41">
        <f t="shared" si="319"/>
        <v>2024</v>
      </c>
      <c r="CY357" s="1504">
        <v>45323</v>
      </c>
      <c r="CZ357" s="19"/>
      <c r="DA357" s="93"/>
      <c r="DB357" s="93"/>
      <c r="DC357" s="93"/>
      <c r="DD357" s="93"/>
      <c r="DE357" s="20"/>
      <c r="DF357" s="29"/>
      <c r="DG357" s="1504">
        <v>45323</v>
      </c>
      <c r="DH357" s="19"/>
      <c r="DI357" s="93"/>
      <c r="DJ357" s="93"/>
      <c r="DK357" s="93"/>
      <c r="DL357" s="93"/>
      <c r="DM357" s="93"/>
      <c r="DN357" s="20"/>
      <c r="DO357" s="295"/>
      <c r="DP357" s="29"/>
      <c r="DQ357" s="1504">
        <v>45323</v>
      </c>
      <c r="DR357" s="19"/>
      <c r="DS357" s="93"/>
      <c r="DT357" s="93"/>
      <c r="DU357" s="93"/>
      <c r="DV357" s="93"/>
      <c r="DW357" s="93"/>
      <c r="DX357" s="20"/>
      <c r="DY357" s="29"/>
      <c r="DZ357" s="1504">
        <v>45323</v>
      </c>
      <c r="EA357" s="19"/>
      <c r="EB357" s="93"/>
      <c r="EC357" s="20"/>
      <c r="ED357" s="29"/>
      <c r="EE357" s="1504">
        <v>45323</v>
      </c>
      <c r="EF357" s="19"/>
      <c r="EG357" s="93"/>
      <c r="EH357" s="93"/>
      <c r="EI357" s="214"/>
      <c r="EJ357" s="93"/>
      <c r="EK357" s="93"/>
      <c r="EL357" s="93"/>
      <c r="EM357" s="93"/>
      <c r="EN357" s="20"/>
      <c r="EO357" s="29"/>
      <c r="EP357" s="1504">
        <v>45323</v>
      </c>
      <c r="EQ357" s="19"/>
      <c r="ER357" s="93"/>
      <c r="ES357" s="93"/>
      <c r="ET357" s="214"/>
      <c r="EU357" s="93"/>
      <c r="EV357" s="93"/>
      <c r="EW357" s="93"/>
      <c r="EX357" s="93"/>
      <c r="EY357" s="20"/>
      <c r="EZ357" s="29"/>
      <c r="FA357" s="1504">
        <v>45323</v>
      </c>
      <c r="FB357" s="29"/>
      <c r="FC357" s="29"/>
      <c r="FD357" s="29"/>
      <c r="FE357" s="29"/>
      <c r="FF357" s="29"/>
      <c r="FG357" s="29"/>
      <c r="FH357" s="29"/>
      <c r="FI357" s="29"/>
      <c r="FJ357" s="29"/>
      <c r="FK357" s="29"/>
      <c r="FL357" s="1504">
        <v>45323</v>
      </c>
      <c r="FM357" s="19"/>
      <c r="FN357" s="93"/>
      <c r="FO357" s="93"/>
      <c r="FP357" s="93"/>
      <c r="FQ357" s="93"/>
      <c r="FR357" s="93"/>
      <c r="FS357" s="93"/>
      <c r="FT357" s="93"/>
      <c r="FU357" s="93"/>
      <c r="FV357" s="93"/>
      <c r="FW357" s="93"/>
      <c r="FX357" s="93"/>
      <c r="FY357" s="93"/>
      <c r="FZ357" s="29"/>
      <c r="GA357" s="1504">
        <v>45323</v>
      </c>
      <c r="GB357" s="19"/>
      <c r="GC357" s="93"/>
      <c r="GD357" s="93"/>
      <c r="GE357" s="93"/>
      <c r="GF357" s="93"/>
      <c r="GG357" s="93"/>
      <c r="GH357" s="93"/>
      <c r="GI357" s="93"/>
      <c r="GJ357" s="93"/>
      <c r="GK357" s="93"/>
      <c r="GL357" s="93"/>
      <c r="GM357" s="93"/>
      <c r="GN357" s="20"/>
      <c r="GO357" s="29"/>
      <c r="GP357" s="1504">
        <v>45323</v>
      </c>
      <c r="GQ357" s="19"/>
      <c r="GR357" s="93"/>
      <c r="GS357" s="93"/>
      <c r="GT357" s="93"/>
      <c r="GU357" s="93"/>
      <c r="GV357" s="20"/>
      <c r="GW357" s="19"/>
      <c r="GX357" s="93"/>
      <c r="GY357" s="93"/>
      <c r="GZ357" s="93"/>
      <c r="HA357" s="93"/>
      <c r="HB357" s="20"/>
      <c r="HC357" s="19"/>
      <c r="HD357" s="93"/>
      <c r="HE357" s="93"/>
      <c r="HF357" s="93"/>
      <c r="HG357" s="93"/>
      <c r="HH357" s="20"/>
      <c r="HI357" s="19"/>
      <c r="HJ357" s="93"/>
      <c r="HK357" s="93"/>
      <c r="HL357" s="93"/>
      <c r="HM357" s="93"/>
      <c r="HN357" s="20"/>
      <c r="HO357" s="219"/>
      <c r="HP357" s="20"/>
      <c r="HQ357" s="25"/>
      <c r="HR357" s="29"/>
      <c r="HS357" s="1504">
        <v>45323</v>
      </c>
      <c r="HT357" s="19"/>
      <c r="HU357" s="93"/>
      <c r="HV357" s="93"/>
      <c r="HW357" s="93"/>
      <c r="HX357" s="93"/>
      <c r="HY357" s="93"/>
      <c r="HZ357" s="93"/>
      <c r="IA357" s="20"/>
      <c r="IB357" s="19"/>
      <c r="IC357" s="93"/>
      <c r="ID357" s="93"/>
      <c r="IE357" s="93"/>
      <c r="IF357" s="93"/>
      <c r="IG357" s="20"/>
      <c r="IH357" s="19"/>
      <c r="II357" s="93"/>
      <c r="IJ357" s="93"/>
      <c r="IK357" s="93"/>
      <c r="IL357" s="93"/>
      <c r="IM357" s="93"/>
      <c r="IN357" s="93"/>
      <c r="IO357" s="20"/>
      <c r="IP357" s="29"/>
      <c r="IQ357" s="19"/>
      <c r="IR357" s="93"/>
      <c r="IS357" s="93"/>
      <c r="IT357" s="93"/>
      <c r="IU357" s="93"/>
      <c r="IV357" s="20"/>
      <c r="IW357" s="29"/>
      <c r="IX357" s="19"/>
      <c r="IY357" s="93"/>
      <c r="IZ357" s="93"/>
      <c r="JA357" s="93"/>
      <c r="JB357" s="93"/>
      <c r="JC357" s="93"/>
      <c r="JD357" s="93"/>
      <c r="JE357" s="20"/>
      <c r="JF357" s="29"/>
      <c r="JG357" s="19"/>
      <c r="JH357" s="93"/>
      <c r="JI357" s="93"/>
      <c r="JJ357" s="93"/>
      <c r="JK357" s="93"/>
      <c r="JL357" s="93"/>
      <c r="JM357" s="93"/>
      <c r="JN357" s="20"/>
      <c r="JO357" s="29"/>
      <c r="JP357" s="19"/>
      <c r="JQ357" s="93"/>
      <c r="JR357" s="93"/>
      <c r="JS357" s="93"/>
      <c r="JT357" s="93"/>
      <c r="JU357" s="20"/>
      <c r="JV357" s="29"/>
      <c r="JW357" s="1504">
        <v>45323</v>
      </c>
      <c r="JX357" s="19"/>
      <c r="JY357" s="93"/>
      <c r="JZ357" s="93"/>
      <c r="KA357" s="93"/>
      <c r="KB357" s="93"/>
      <c r="KC357" s="93"/>
      <c r="KD357" s="20"/>
      <c r="KE357" s="29"/>
      <c r="KF357" s="19"/>
      <c r="KG357" s="93"/>
      <c r="KH357" s="93"/>
      <c r="KI357" s="93"/>
      <c r="KJ357" s="93"/>
      <c r="KK357" s="20"/>
      <c r="KL357" s="29"/>
      <c r="KM357" s="19"/>
      <c r="KN357" s="93"/>
      <c r="KO357" s="93"/>
      <c r="KP357" s="93"/>
      <c r="KQ357" s="93"/>
      <c r="KR357" s="20"/>
      <c r="KS357" s="29"/>
      <c r="KT357" s="19"/>
      <c r="KU357" s="93"/>
      <c r="KV357" s="93"/>
      <c r="KW357" s="93"/>
      <c r="KX357" s="93"/>
      <c r="KY357" s="20"/>
      <c r="KZ357" s="29"/>
      <c r="LA357" s="1504">
        <v>45323</v>
      </c>
      <c r="LB357" s="19"/>
      <c r="LC357" s="93"/>
      <c r="LD357" s="93"/>
      <c r="LE357" s="93"/>
      <c r="LF357" s="93"/>
      <c r="LG357" s="93"/>
      <c r="LH357" s="20"/>
      <c r="LI357" s="29"/>
      <c r="LJ357" s="19"/>
      <c r="LK357" s="93"/>
      <c r="LL357" s="93"/>
      <c r="LM357" s="93"/>
      <c r="LN357" s="93"/>
      <c r="LO357" s="20"/>
      <c r="LP357" s="29"/>
      <c r="LQ357" s="19"/>
      <c r="LR357" s="93"/>
      <c r="LS357" s="93"/>
      <c r="LT357" s="93"/>
      <c r="LU357" s="93"/>
      <c r="LV357" s="93"/>
      <c r="LW357" s="93"/>
      <c r="LX357" s="93"/>
      <c r="LY357" s="93"/>
      <c r="LZ357" s="93"/>
      <c r="MA357" s="20"/>
      <c r="MB357" s="29"/>
      <c r="MC357" s="1504">
        <v>45323</v>
      </c>
      <c r="MD357" s="19"/>
      <c r="ME357" s="93"/>
      <c r="MF357" s="93"/>
      <c r="MG357" s="93"/>
      <c r="MH357" s="93"/>
      <c r="MI357" s="93"/>
      <c r="MJ357" s="93"/>
      <c r="MK357" s="93"/>
      <c r="ML357" s="93"/>
      <c r="MM357" s="93"/>
      <c r="MN357" s="93"/>
      <c r="MO357" s="93"/>
      <c r="MP357" s="93"/>
      <c r="MQ357" s="93"/>
      <c r="MR357" s="93"/>
      <c r="MS357" s="93"/>
      <c r="MT357" s="93"/>
      <c r="MU357" s="93"/>
      <c r="MV357" s="93"/>
      <c r="MW357" s="93"/>
      <c r="MX357" s="93"/>
      <c r="MY357" s="93"/>
      <c r="MZ357" s="93"/>
      <c r="NA357" s="93"/>
      <c r="NB357" s="93"/>
      <c r="NC357" s="93"/>
      <c r="ND357" s="93"/>
      <c r="NE357" s="93"/>
      <c r="NF357" s="93"/>
      <c r="NG357" s="93"/>
      <c r="NH357" s="93"/>
      <c r="NI357" s="93"/>
      <c r="NJ357" s="93"/>
      <c r="NK357" s="93"/>
      <c r="NL357" s="93"/>
      <c r="NM357" s="93"/>
      <c r="NN357" s="93"/>
      <c r="NO357" s="93"/>
      <c r="NP357" s="93"/>
      <c r="NQ357" s="93"/>
      <c r="NR357" s="93"/>
      <c r="NS357" s="93"/>
      <c r="NT357" s="93"/>
      <c r="NU357" s="93"/>
      <c r="NV357" s="93"/>
      <c r="NW357" s="93"/>
      <c r="NX357" s="93"/>
      <c r="NY357" s="93"/>
      <c r="NZ357" s="93"/>
      <c r="OA357" s="93"/>
      <c r="OB357" s="93"/>
      <c r="OC357" s="93"/>
      <c r="OD357" s="20"/>
      <c r="OE357" s="29"/>
      <c r="OF357" s="1504">
        <v>45323</v>
      </c>
      <c r="OG357" s="19"/>
      <c r="OH357" s="93"/>
      <c r="OI357" s="93"/>
      <c r="OJ357" s="93"/>
      <c r="OK357" s="93"/>
      <c r="OL357" s="93"/>
      <c r="OM357" s="93"/>
      <c r="ON357" s="93"/>
      <c r="OO357" s="93"/>
      <c r="OP357" s="93"/>
      <c r="OQ357" s="93"/>
      <c r="OR357" s="93"/>
      <c r="OS357" s="93"/>
      <c r="OT357" s="93"/>
      <c r="OU357" s="93"/>
      <c r="OV357" s="93"/>
      <c r="OW357" s="93"/>
      <c r="OX357" s="93"/>
      <c r="OY357" s="93"/>
      <c r="OZ357" s="93"/>
      <c r="PA357" s="93"/>
      <c r="PB357" s="93"/>
      <c r="PC357" s="20"/>
      <c r="PD357" s="29"/>
      <c r="PE357" s="19"/>
      <c r="PF357" s="93"/>
      <c r="PG357" s="93"/>
      <c r="PH357" s="93"/>
      <c r="PI357" s="93"/>
      <c r="PJ357" s="93"/>
      <c r="PK357" s="93"/>
      <c r="PL357" s="93"/>
      <c r="PM357" s="93"/>
      <c r="PN357" s="93"/>
      <c r="PO357" s="93"/>
      <c r="PP357" s="93"/>
      <c r="PQ357" s="93"/>
      <c r="PR357" s="93"/>
      <c r="PS357" s="93"/>
      <c r="PT357" s="93"/>
      <c r="PU357" s="93"/>
      <c r="PV357" s="93"/>
      <c r="PW357" s="93"/>
      <c r="PX357" s="93"/>
      <c r="PY357" s="93"/>
      <c r="PZ357" s="93"/>
      <c r="QA357" s="93"/>
      <c r="QB357" s="93"/>
      <c r="QC357" s="93"/>
      <c r="QD357" s="93"/>
      <c r="QE357" s="20"/>
      <c r="QF357" s="1739"/>
      <c r="QG357" s="19"/>
      <c r="QH357" s="93"/>
      <c r="QI357" s="93"/>
      <c r="QJ357" s="93"/>
      <c r="QK357" s="93"/>
      <c r="QL357" s="93"/>
      <c r="QM357" s="93"/>
      <c r="QN357" s="93"/>
      <c r="QO357" s="93"/>
      <c r="QP357" s="93"/>
      <c r="QQ357" s="93"/>
      <c r="QR357" s="93"/>
      <c r="QS357" s="93"/>
      <c r="QT357" s="93"/>
      <c r="QU357" s="93"/>
      <c r="QV357" s="93"/>
      <c r="QW357" s="93"/>
      <c r="QX357" s="93"/>
      <c r="QY357" s="93"/>
      <c r="QZ357" s="93"/>
      <c r="RA357" s="93"/>
      <c r="RB357" s="93"/>
      <c r="RC357" s="93"/>
      <c r="RD357" s="93"/>
      <c r="RE357" s="93"/>
      <c r="RF357" s="93"/>
      <c r="RG357" s="93"/>
      <c r="RH357" s="93"/>
      <c r="RI357" s="93"/>
      <c r="RJ357" s="93"/>
      <c r="RK357" s="93"/>
      <c r="RL357" s="93"/>
      <c r="RM357" s="20"/>
      <c r="RN357" s="29"/>
      <c r="RO357" s="19"/>
      <c r="RP357" s="20"/>
      <c r="RQ357" s="29"/>
      <c r="RR357" s="20"/>
      <c r="RS357" s="29"/>
      <c r="RT357" s="1504">
        <v>45323</v>
      </c>
      <c r="RU357" s="19"/>
      <c r="RV357" s="20"/>
      <c r="RW357" s="29"/>
      <c r="RX357" s="1504">
        <v>45323</v>
      </c>
      <c r="RY357" s="29"/>
      <c r="RZ357" s="20"/>
      <c r="SA357" s="29"/>
      <c r="SB357" s="29"/>
    </row>
    <row r="358" spans="1:496">
      <c r="A358" s="41">
        <f t="shared" si="346"/>
        <v>2024</v>
      </c>
      <c r="B358" s="1504">
        <v>45352</v>
      </c>
      <c r="C358" s="1813"/>
      <c r="D358" s="1814"/>
      <c r="E358" s="1814"/>
      <c r="F358" s="1815"/>
      <c r="G358" s="1814"/>
      <c r="H358" s="1814"/>
      <c r="I358" s="1814"/>
      <c r="J358" s="1816"/>
      <c r="K358" s="1807"/>
      <c r="L358" s="25"/>
      <c r="M358" s="97"/>
      <c r="N358" s="1504">
        <v>45352</v>
      </c>
      <c r="O358" s="19"/>
      <c r="P358" s="93"/>
      <c r="Q358" s="93"/>
      <c r="R358" s="93"/>
      <c r="S358" s="93"/>
      <c r="T358" s="93"/>
      <c r="U358" s="93"/>
      <c r="V358" s="93"/>
      <c r="W358" s="93"/>
      <c r="X358" s="93"/>
      <c r="Y358" s="93"/>
      <c r="Z358" s="93"/>
      <c r="AA358" s="93"/>
      <c r="AB358" s="20"/>
      <c r="AC358" s="25"/>
      <c r="AD358" s="97"/>
      <c r="AE358" s="1504">
        <v>45352</v>
      </c>
      <c r="AF358" s="19"/>
      <c r="AG358" s="93"/>
      <c r="AH358" s="93"/>
      <c r="AI358" s="93"/>
      <c r="AJ358" s="93"/>
      <c r="AK358" s="93"/>
      <c r="AL358" s="93"/>
      <c r="AM358" s="93"/>
      <c r="AN358" s="93"/>
      <c r="AO358" s="93"/>
      <c r="AP358" s="93"/>
      <c r="AQ358" s="93"/>
      <c r="AR358" s="93"/>
      <c r="AS358" s="20"/>
      <c r="AT358" s="25"/>
      <c r="AU358" s="97"/>
      <c r="AV358" s="1504">
        <v>45352</v>
      </c>
      <c r="AW358" s="19"/>
      <c r="AX358" s="93"/>
      <c r="AY358" s="93"/>
      <c r="AZ358" s="93"/>
      <c r="BA358" s="93"/>
      <c r="BB358" s="93"/>
      <c r="BC358" s="93"/>
      <c r="BD358" s="93"/>
      <c r="BE358" s="93"/>
      <c r="BF358" s="93"/>
      <c r="BG358" s="93"/>
      <c r="BH358" s="93"/>
      <c r="BI358" s="93"/>
      <c r="BJ358" s="20"/>
      <c r="BK358" s="25"/>
      <c r="BL358" s="97"/>
      <c r="BM358" s="1504">
        <v>45352</v>
      </c>
      <c r="BN358" s="19"/>
      <c r="BO358" s="93"/>
      <c r="BP358" s="93"/>
      <c r="BQ358" s="93"/>
      <c r="BR358" s="93"/>
      <c r="BS358" s="93"/>
      <c r="BT358" s="93"/>
      <c r="BU358" s="20"/>
      <c r="BV358" s="25"/>
      <c r="BW358" s="97"/>
      <c r="BX358" s="1504">
        <v>45352</v>
      </c>
      <c r="BY358" s="19"/>
      <c r="BZ358" s="93"/>
      <c r="CA358" s="93"/>
      <c r="CB358" s="93"/>
      <c r="CC358" s="93"/>
      <c r="CD358" s="25"/>
      <c r="CE358" s="97"/>
      <c r="CF358" s="1504">
        <v>45352</v>
      </c>
      <c r="CG358" s="19"/>
      <c r="CH358" s="93"/>
      <c r="CI358" s="219"/>
      <c r="CJ358" s="20"/>
      <c r="CK358" s="19"/>
      <c r="CL358" s="93"/>
      <c r="CM358" s="93"/>
      <c r="CN358" s="93"/>
      <c r="CO358" s="93"/>
      <c r="CP358" s="20"/>
      <c r="CQ358" s="219"/>
      <c r="CR358" s="93"/>
      <c r="CS358" s="93"/>
      <c r="CT358" s="93"/>
      <c r="CU358" s="93"/>
      <c r="CV358" s="214"/>
      <c r="CW358" s="29"/>
      <c r="CX358" s="41">
        <f t="shared" si="319"/>
        <v>2024</v>
      </c>
      <c r="CY358" s="1504">
        <v>45352</v>
      </c>
      <c r="CZ358" s="19"/>
      <c r="DA358" s="93"/>
      <c r="DB358" s="93"/>
      <c r="DC358" s="93"/>
      <c r="DD358" s="93"/>
      <c r="DE358" s="20"/>
      <c r="DF358" s="29"/>
      <c r="DG358" s="1504">
        <v>45352</v>
      </c>
      <c r="DH358" s="19"/>
      <c r="DI358" s="93"/>
      <c r="DJ358" s="93"/>
      <c r="DK358" s="93"/>
      <c r="DL358" s="93"/>
      <c r="DM358" s="93"/>
      <c r="DN358" s="20"/>
      <c r="DO358" s="295"/>
      <c r="DP358" s="29"/>
      <c r="DQ358" s="1504">
        <v>45352</v>
      </c>
      <c r="DR358" s="19"/>
      <c r="DS358" s="93"/>
      <c r="DT358" s="93"/>
      <c r="DU358" s="93"/>
      <c r="DV358" s="93"/>
      <c r="DW358" s="93"/>
      <c r="DX358" s="20"/>
      <c r="DY358" s="29"/>
      <c r="DZ358" s="1504">
        <v>45352</v>
      </c>
      <c r="EA358" s="19"/>
      <c r="EB358" s="93"/>
      <c r="EC358" s="20"/>
      <c r="ED358" s="29"/>
      <c r="EE358" s="1504">
        <v>45352</v>
      </c>
      <c r="EF358" s="19"/>
      <c r="EG358" s="93"/>
      <c r="EH358" s="93"/>
      <c r="EI358" s="214"/>
      <c r="EJ358" s="93"/>
      <c r="EK358" s="93"/>
      <c r="EL358" s="93"/>
      <c r="EM358" s="93"/>
      <c r="EN358" s="20"/>
      <c r="EO358" s="29"/>
      <c r="EP358" s="1504">
        <v>45352</v>
      </c>
      <c r="EQ358" s="19"/>
      <c r="ER358" s="93"/>
      <c r="ES358" s="93"/>
      <c r="ET358" s="214"/>
      <c r="EU358" s="93"/>
      <c r="EV358" s="93"/>
      <c r="EW358" s="93"/>
      <c r="EX358" s="93"/>
      <c r="EY358" s="20"/>
      <c r="EZ358" s="29"/>
      <c r="FA358" s="1504">
        <v>45352</v>
      </c>
      <c r="FB358" s="29"/>
      <c r="FC358" s="29"/>
      <c r="FD358" s="29"/>
      <c r="FE358" s="29"/>
      <c r="FF358" s="29"/>
      <c r="FG358" s="29"/>
      <c r="FH358" s="29"/>
      <c r="FI358" s="29"/>
      <c r="FJ358" s="29"/>
      <c r="FK358" s="29"/>
      <c r="FL358" s="1504">
        <v>45352</v>
      </c>
      <c r="FM358" s="19"/>
      <c r="FN358" s="93"/>
      <c r="FO358" s="93"/>
      <c r="FP358" s="93"/>
      <c r="FQ358" s="93"/>
      <c r="FR358" s="93"/>
      <c r="FS358" s="93"/>
      <c r="FT358" s="93"/>
      <c r="FU358" s="93"/>
      <c r="FV358" s="93"/>
      <c r="FW358" s="93"/>
      <c r="FX358" s="93"/>
      <c r="FY358" s="93"/>
      <c r="FZ358" s="29"/>
      <c r="GA358" s="1504">
        <v>45352</v>
      </c>
      <c r="GB358" s="19"/>
      <c r="GC358" s="93"/>
      <c r="GD358" s="93"/>
      <c r="GE358" s="93"/>
      <c r="GF358" s="93"/>
      <c r="GG358" s="93"/>
      <c r="GH358" s="93"/>
      <c r="GI358" s="93"/>
      <c r="GJ358" s="93"/>
      <c r="GK358" s="93"/>
      <c r="GL358" s="93"/>
      <c r="GM358" s="93"/>
      <c r="GN358" s="20"/>
      <c r="GO358" s="29"/>
      <c r="GP358" s="1504">
        <v>45352</v>
      </c>
      <c r="GQ358" s="19"/>
      <c r="GR358" s="93"/>
      <c r="GS358" s="93"/>
      <c r="GT358" s="93"/>
      <c r="GU358" s="93"/>
      <c r="GV358" s="20"/>
      <c r="GW358" s="19"/>
      <c r="GX358" s="93"/>
      <c r="GY358" s="93"/>
      <c r="GZ358" s="93"/>
      <c r="HA358" s="93"/>
      <c r="HB358" s="20"/>
      <c r="HC358" s="19"/>
      <c r="HD358" s="93"/>
      <c r="HE358" s="93"/>
      <c r="HF358" s="93"/>
      <c r="HG358" s="93"/>
      <c r="HH358" s="20"/>
      <c r="HI358" s="19"/>
      <c r="HJ358" s="93"/>
      <c r="HK358" s="93"/>
      <c r="HL358" s="93"/>
      <c r="HM358" s="93"/>
      <c r="HN358" s="20"/>
      <c r="HO358" s="219"/>
      <c r="HP358" s="20"/>
      <c r="HQ358" s="25"/>
      <c r="HR358" s="29"/>
      <c r="HS358" s="1504">
        <v>45352</v>
      </c>
      <c r="HT358" s="19"/>
      <c r="HU358" s="93"/>
      <c r="HV358" s="93"/>
      <c r="HW358" s="93"/>
      <c r="HX358" s="93"/>
      <c r="HY358" s="93"/>
      <c r="HZ358" s="93"/>
      <c r="IA358" s="20"/>
      <c r="IB358" s="19"/>
      <c r="IC358" s="93"/>
      <c r="ID358" s="93"/>
      <c r="IE358" s="93"/>
      <c r="IF358" s="93"/>
      <c r="IG358" s="20"/>
      <c r="IH358" s="19"/>
      <c r="II358" s="93"/>
      <c r="IJ358" s="93"/>
      <c r="IK358" s="93"/>
      <c r="IL358" s="93"/>
      <c r="IM358" s="93"/>
      <c r="IN358" s="93"/>
      <c r="IO358" s="20"/>
      <c r="IP358" s="29"/>
      <c r="IQ358" s="19"/>
      <c r="IR358" s="93"/>
      <c r="IS358" s="93"/>
      <c r="IT358" s="93"/>
      <c r="IU358" s="93"/>
      <c r="IV358" s="20"/>
      <c r="IW358" s="29"/>
      <c r="IX358" s="19"/>
      <c r="IY358" s="93"/>
      <c r="IZ358" s="93"/>
      <c r="JA358" s="93"/>
      <c r="JB358" s="93"/>
      <c r="JC358" s="93"/>
      <c r="JD358" s="93"/>
      <c r="JE358" s="20"/>
      <c r="JF358" s="29"/>
      <c r="JG358" s="19"/>
      <c r="JH358" s="93"/>
      <c r="JI358" s="93"/>
      <c r="JJ358" s="93"/>
      <c r="JK358" s="93"/>
      <c r="JL358" s="93"/>
      <c r="JM358" s="93"/>
      <c r="JN358" s="20"/>
      <c r="JO358" s="29"/>
      <c r="JP358" s="19"/>
      <c r="JQ358" s="93"/>
      <c r="JR358" s="93"/>
      <c r="JS358" s="93"/>
      <c r="JT358" s="93"/>
      <c r="JU358" s="20"/>
      <c r="JV358" s="29"/>
      <c r="JW358" s="1504">
        <v>45352</v>
      </c>
      <c r="JX358" s="19"/>
      <c r="JY358" s="93"/>
      <c r="JZ358" s="93"/>
      <c r="KA358" s="93"/>
      <c r="KB358" s="93"/>
      <c r="KC358" s="93"/>
      <c r="KD358" s="20"/>
      <c r="KE358" s="29"/>
      <c r="KF358" s="19"/>
      <c r="KG358" s="93"/>
      <c r="KH358" s="93"/>
      <c r="KI358" s="93"/>
      <c r="KJ358" s="93"/>
      <c r="KK358" s="20"/>
      <c r="KL358" s="29"/>
      <c r="KM358" s="19"/>
      <c r="KN358" s="93"/>
      <c r="KO358" s="93"/>
      <c r="KP358" s="93"/>
      <c r="KQ358" s="93"/>
      <c r="KR358" s="20"/>
      <c r="KS358" s="29"/>
      <c r="KT358" s="19"/>
      <c r="KU358" s="93"/>
      <c r="KV358" s="93"/>
      <c r="KW358" s="93"/>
      <c r="KX358" s="93"/>
      <c r="KY358" s="20"/>
      <c r="KZ358" s="29"/>
      <c r="LA358" s="1504">
        <v>45352</v>
      </c>
      <c r="LB358" s="19"/>
      <c r="LC358" s="93"/>
      <c r="LD358" s="93"/>
      <c r="LE358" s="93"/>
      <c r="LF358" s="93"/>
      <c r="LG358" s="93"/>
      <c r="LH358" s="20"/>
      <c r="LI358" s="29"/>
      <c r="LJ358" s="19"/>
      <c r="LK358" s="93"/>
      <c r="LL358" s="93"/>
      <c r="LM358" s="93"/>
      <c r="LN358" s="93"/>
      <c r="LO358" s="20"/>
      <c r="LP358" s="29"/>
      <c r="LQ358" s="19"/>
      <c r="LR358" s="93"/>
      <c r="LS358" s="93"/>
      <c r="LT358" s="93"/>
      <c r="LU358" s="93"/>
      <c r="LV358" s="93"/>
      <c r="LW358" s="93"/>
      <c r="LX358" s="93"/>
      <c r="LY358" s="93"/>
      <c r="LZ358" s="93"/>
      <c r="MA358" s="20"/>
      <c r="MB358" s="29"/>
      <c r="MC358" s="1504">
        <v>45352</v>
      </c>
      <c r="MD358" s="19"/>
      <c r="ME358" s="93"/>
      <c r="MF358" s="93"/>
      <c r="MG358" s="93"/>
      <c r="MH358" s="93"/>
      <c r="MI358" s="93"/>
      <c r="MJ358" s="93"/>
      <c r="MK358" s="93"/>
      <c r="ML358" s="93"/>
      <c r="MM358" s="93"/>
      <c r="MN358" s="93"/>
      <c r="MO358" s="93"/>
      <c r="MP358" s="93"/>
      <c r="MQ358" s="93"/>
      <c r="MR358" s="93"/>
      <c r="MS358" s="93"/>
      <c r="MT358" s="93"/>
      <c r="MU358" s="93"/>
      <c r="MV358" s="93"/>
      <c r="MW358" s="93"/>
      <c r="MX358" s="93"/>
      <c r="MY358" s="93"/>
      <c r="MZ358" s="93"/>
      <c r="NA358" s="93"/>
      <c r="NB358" s="93"/>
      <c r="NC358" s="93"/>
      <c r="ND358" s="93"/>
      <c r="NE358" s="93"/>
      <c r="NF358" s="93"/>
      <c r="NG358" s="93"/>
      <c r="NH358" s="93"/>
      <c r="NI358" s="93"/>
      <c r="NJ358" s="93"/>
      <c r="NK358" s="93"/>
      <c r="NL358" s="93"/>
      <c r="NM358" s="93"/>
      <c r="NN358" s="93"/>
      <c r="NO358" s="93"/>
      <c r="NP358" s="93"/>
      <c r="NQ358" s="93"/>
      <c r="NR358" s="93"/>
      <c r="NS358" s="93"/>
      <c r="NT358" s="93"/>
      <c r="NU358" s="93"/>
      <c r="NV358" s="93"/>
      <c r="NW358" s="93"/>
      <c r="NX358" s="93"/>
      <c r="NY358" s="93"/>
      <c r="NZ358" s="93"/>
      <c r="OA358" s="93"/>
      <c r="OB358" s="93"/>
      <c r="OC358" s="93"/>
      <c r="OD358" s="20"/>
      <c r="OE358" s="29"/>
      <c r="OF358" s="1504">
        <v>45352</v>
      </c>
      <c r="OG358" s="19"/>
      <c r="OH358" s="93"/>
      <c r="OI358" s="93"/>
      <c r="OJ358" s="93"/>
      <c r="OK358" s="93"/>
      <c r="OL358" s="93"/>
      <c r="OM358" s="93"/>
      <c r="ON358" s="93"/>
      <c r="OO358" s="93"/>
      <c r="OP358" s="93"/>
      <c r="OQ358" s="93"/>
      <c r="OR358" s="93"/>
      <c r="OS358" s="93"/>
      <c r="OT358" s="93"/>
      <c r="OU358" s="93"/>
      <c r="OV358" s="93"/>
      <c r="OW358" s="93"/>
      <c r="OX358" s="93"/>
      <c r="OY358" s="93"/>
      <c r="OZ358" s="93"/>
      <c r="PA358" s="93"/>
      <c r="PB358" s="93"/>
      <c r="PC358" s="20"/>
      <c r="PD358" s="29"/>
      <c r="PE358" s="19"/>
      <c r="PF358" s="93"/>
      <c r="PG358" s="93"/>
      <c r="PH358" s="93"/>
      <c r="PI358" s="93"/>
      <c r="PJ358" s="93"/>
      <c r="PK358" s="93"/>
      <c r="PL358" s="93"/>
      <c r="PM358" s="93"/>
      <c r="PN358" s="93"/>
      <c r="PO358" s="93"/>
      <c r="PP358" s="93"/>
      <c r="PQ358" s="93"/>
      <c r="PR358" s="93"/>
      <c r="PS358" s="93"/>
      <c r="PT358" s="93"/>
      <c r="PU358" s="93"/>
      <c r="PV358" s="93"/>
      <c r="PW358" s="93"/>
      <c r="PX358" s="93"/>
      <c r="PY358" s="93"/>
      <c r="PZ358" s="93"/>
      <c r="QA358" s="93"/>
      <c r="QB358" s="93"/>
      <c r="QC358" s="93"/>
      <c r="QD358" s="93"/>
      <c r="QE358" s="20"/>
      <c r="QF358" s="1739"/>
      <c r="QG358" s="19"/>
      <c r="QH358" s="93"/>
      <c r="QI358" s="93"/>
      <c r="QJ358" s="93"/>
      <c r="QK358" s="93"/>
      <c r="QL358" s="93"/>
      <c r="QM358" s="93"/>
      <c r="QN358" s="93"/>
      <c r="QO358" s="93"/>
      <c r="QP358" s="93"/>
      <c r="QQ358" s="93"/>
      <c r="QR358" s="93"/>
      <c r="QS358" s="93"/>
      <c r="QT358" s="93"/>
      <c r="QU358" s="93"/>
      <c r="QV358" s="93"/>
      <c r="QW358" s="93"/>
      <c r="QX358" s="93"/>
      <c r="QY358" s="93"/>
      <c r="QZ358" s="93"/>
      <c r="RA358" s="93"/>
      <c r="RB358" s="93"/>
      <c r="RC358" s="93"/>
      <c r="RD358" s="93"/>
      <c r="RE358" s="93"/>
      <c r="RF358" s="93"/>
      <c r="RG358" s="93"/>
      <c r="RH358" s="93"/>
      <c r="RI358" s="93"/>
      <c r="RJ358" s="93"/>
      <c r="RK358" s="93"/>
      <c r="RL358" s="93"/>
      <c r="RM358" s="20"/>
      <c r="RN358" s="29"/>
      <c r="RO358" s="19"/>
      <c r="RP358" s="20"/>
      <c r="RQ358" s="29"/>
      <c r="RR358" s="20"/>
      <c r="RS358" s="29"/>
      <c r="RT358" s="1504">
        <v>45352</v>
      </c>
      <c r="RU358" s="19"/>
      <c r="RV358" s="20"/>
      <c r="RW358" s="29"/>
      <c r="RX358" s="1504">
        <v>45352</v>
      </c>
      <c r="RY358" s="29"/>
      <c r="RZ358" s="20"/>
      <c r="SA358" s="29"/>
      <c r="SB358" s="29"/>
    </row>
    <row r="359" spans="1:496">
      <c r="A359" s="41">
        <f t="shared" si="346"/>
        <v>2024</v>
      </c>
      <c r="B359" s="1504">
        <v>45383</v>
      </c>
      <c r="C359" s="1813"/>
      <c r="D359" s="1814"/>
      <c r="E359" s="1814"/>
      <c r="F359" s="1815"/>
      <c r="G359" s="1814"/>
      <c r="H359" s="1814"/>
      <c r="I359" s="1814"/>
      <c r="J359" s="1816"/>
      <c r="K359" s="1807"/>
      <c r="L359" s="25"/>
      <c r="M359" s="97"/>
      <c r="N359" s="1504">
        <v>45383</v>
      </c>
      <c r="O359" s="19"/>
      <c r="P359" s="93"/>
      <c r="Q359" s="93"/>
      <c r="R359" s="93"/>
      <c r="S359" s="93"/>
      <c r="T359" s="93"/>
      <c r="U359" s="93"/>
      <c r="V359" s="93"/>
      <c r="W359" s="93"/>
      <c r="X359" s="93"/>
      <c r="Y359" s="93"/>
      <c r="Z359" s="93"/>
      <c r="AA359" s="93"/>
      <c r="AB359" s="20"/>
      <c r="AC359" s="25"/>
      <c r="AD359" s="97"/>
      <c r="AE359" s="1504">
        <v>45383</v>
      </c>
      <c r="AF359" s="19"/>
      <c r="AG359" s="93"/>
      <c r="AH359" s="93"/>
      <c r="AI359" s="93"/>
      <c r="AJ359" s="93"/>
      <c r="AK359" s="93"/>
      <c r="AL359" s="93"/>
      <c r="AM359" s="93"/>
      <c r="AN359" s="93"/>
      <c r="AO359" s="93"/>
      <c r="AP359" s="93"/>
      <c r="AQ359" s="93"/>
      <c r="AR359" s="93"/>
      <c r="AS359" s="20"/>
      <c r="AT359" s="25"/>
      <c r="AU359" s="97"/>
      <c r="AV359" s="1504">
        <v>45383</v>
      </c>
      <c r="AW359" s="19"/>
      <c r="AX359" s="93"/>
      <c r="AY359" s="93"/>
      <c r="AZ359" s="93"/>
      <c r="BA359" s="93"/>
      <c r="BB359" s="93"/>
      <c r="BC359" s="93"/>
      <c r="BD359" s="93"/>
      <c r="BE359" s="93"/>
      <c r="BF359" s="93"/>
      <c r="BG359" s="93"/>
      <c r="BH359" s="93"/>
      <c r="BI359" s="93"/>
      <c r="BJ359" s="20"/>
      <c r="BK359" s="25"/>
      <c r="BL359" s="97"/>
      <c r="BM359" s="1504">
        <v>45383</v>
      </c>
      <c r="BN359" s="19"/>
      <c r="BO359" s="93"/>
      <c r="BP359" s="93"/>
      <c r="BQ359" s="93"/>
      <c r="BR359" s="93"/>
      <c r="BS359" s="93"/>
      <c r="BT359" s="93"/>
      <c r="BU359" s="20"/>
      <c r="BV359" s="25"/>
      <c r="BW359" s="97"/>
      <c r="BX359" s="1504">
        <v>45383</v>
      </c>
      <c r="BY359" s="19"/>
      <c r="BZ359" s="93"/>
      <c r="CA359" s="93"/>
      <c r="CB359" s="93"/>
      <c r="CC359" s="93"/>
      <c r="CD359" s="25"/>
      <c r="CE359" s="97"/>
      <c r="CF359" s="1504">
        <v>45383</v>
      </c>
      <c r="CG359" s="19"/>
      <c r="CH359" s="93"/>
      <c r="CI359" s="219"/>
      <c r="CJ359" s="20"/>
      <c r="CK359" s="19"/>
      <c r="CL359" s="93"/>
      <c r="CM359" s="93"/>
      <c r="CN359" s="93"/>
      <c r="CO359" s="93"/>
      <c r="CP359" s="20"/>
      <c r="CQ359" s="219"/>
      <c r="CR359" s="93"/>
      <c r="CS359" s="93"/>
      <c r="CT359" s="93"/>
      <c r="CU359" s="93"/>
      <c r="CV359" s="214"/>
      <c r="CW359" s="29"/>
      <c r="CX359" s="41">
        <f t="shared" si="319"/>
        <v>2024</v>
      </c>
      <c r="CY359" s="1504">
        <v>45383</v>
      </c>
      <c r="CZ359" s="19"/>
      <c r="DA359" s="93"/>
      <c r="DB359" s="93"/>
      <c r="DC359" s="93"/>
      <c r="DD359" s="93"/>
      <c r="DE359" s="20"/>
      <c r="DF359" s="29"/>
      <c r="DG359" s="1504">
        <v>45383</v>
      </c>
      <c r="DH359" s="19"/>
      <c r="DI359" s="93"/>
      <c r="DJ359" s="93"/>
      <c r="DK359" s="93"/>
      <c r="DL359" s="93"/>
      <c r="DM359" s="93"/>
      <c r="DN359" s="20"/>
      <c r="DO359" s="295"/>
      <c r="DP359" s="29"/>
      <c r="DQ359" s="1504">
        <v>45383</v>
      </c>
      <c r="DR359" s="19"/>
      <c r="DS359" s="93"/>
      <c r="DT359" s="93"/>
      <c r="DU359" s="93"/>
      <c r="DV359" s="93"/>
      <c r="DW359" s="93"/>
      <c r="DX359" s="20"/>
      <c r="DY359" s="29"/>
      <c r="DZ359" s="1504">
        <v>45383</v>
      </c>
      <c r="EA359" s="19"/>
      <c r="EB359" s="93"/>
      <c r="EC359" s="20"/>
      <c r="ED359" s="29"/>
      <c r="EE359" s="1504">
        <v>45383</v>
      </c>
      <c r="EF359" s="19"/>
      <c r="EG359" s="93"/>
      <c r="EH359" s="93"/>
      <c r="EI359" s="214"/>
      <c r="EJ359" s="93"/>
      <c r="EK359" s="93"/>
      <c r="EL359" s="93"/>
      <c r="EM359" s="93"/>
      <c r="EN359" s="20"/>
      <c r="EO359" s="29"/>
      <c r="EP359" s="1504">
        <v>45383</v>
      </c>
      <c r="EQ359" s="19"/>
      <c r="ER359" s="93"/>
      <c r="ES359" s="93"/>
      <c r="ET359" s="214"/>
      <c r="EU359" s="93"/>
      <c r="EV359" s="93"/>
      <c r="EW359" s="93"/>
      <c r="EX359" s="93"/>
      <c r="EY359" s="20"/>
      <c r="EZ359" s="29"/>
      <c r="FA359" s="1504">
        <v>45383</v>
      </c>
      <c r="FB359" s="29"/>
      <c r="FC359" s="29"/>
      <c r="FD359" s="29"/>
      <c r="FE359" s="29"/>
      <c r="FF359" s="29"/>
      <c r="FG359" s="29"/>
      <c r="FH359" s="29"/>
      <c r="FI359" s="29"/>
      <c r="FJ359" s="29"/>
      <c r="FK359" s="29"/>
      <c r="FL359" s="1504">
        <v>45383</v>
      </c>
      <c r="FM359" s="19"/>
      <c r="FN359" s="93"/>
      <c r="FO359" s="93"/>
      <c r="FP359" s="93"/>
      <c r="FQ359" s="93"/>
      <c r="FR359" s="93"/>
      <c r="FS359" s="93"/>
      <c r="FT359" s="93"/>
      <c r="FU359" s="93"/>
      <c r="FV359" s="93"/>
      <c r="FW359" s="93"/>
      <c r="FX359" s="93"/>
      <c r="FY359" s="93"/>
      <c r="FZ359" s="29"/>
      <c r="GA359" s="1504">
        <v>45383</v>
      </c>
      <c r="GB359" s="19"/>
      <c r="GC359" s="93"/>
      <c r="GD359" s="93"/>
      <c r="GE359" s="93"/>
      <c r="GF359" s="93"/>
      <c r="GG359" s="93"/>
      <c r="GH359" s="93"/>
      <c r="GI359" s="93"/>
      <c r="GJ359" s="93"/>
      <c r="GK359" s="93"/>
      <c r="GL359" s="93"/>
      <c r="GM359" s="93"/>
      <c r="GN359" s="20"/>
      <c r="GO359" s="29"/>
      <c r="GP359" s="1504">
        <v>45383</v>
      </c>
      <c r="GQ359" s="19"/>
      <c r="GR359" s="93"/>
      <c r="GS359" s="93"/>
      <c r="GT359" s="93"/>
      <c r="GU359" s="93"/>
      <c r="GV359" s="20"/>
      <c r="GW359" s="19"/>
      <c r="GX359" s="93"/>
      <c r="GY359" s="93"/>
      <c r="GZ359" s="93"/>
      <c r="HA359" s="93"/>
      <c r="HB359" s="20"/>
      <c r="HC359" s="19"/>
      <c r="HD359" s="93"/>
      <c r="HE359" s="93"/>
      <c r="HF359" s="93"/>
      <c r="HG359" s="93"/>
      <c r="HH359" s="20"/>
      <c r="HI359" s="19"/>
      <c r="HJ359" s="93"/>
      <c r="HK359" s="93"/>
      <c r="HL359" s="93"/>
      <c r="HM359" s="93"/>
      <c r="HN359" s="20"/>
      <c r="HO359" s="219"/>
      <c r="HP359" s="20"/>
      <c r="HQ359" s="25"/>
      <c r="HR359" s="29"/>
      <c r="HS359" s="1504">
        <v>45383</v>
      </c>
      <c r="HT359" s="19"/>
      <c r="HU359" s="93"/>
      <c r="HV359" s="93"/>
      <c r="HW359" s="93"/>
      <c r="HX359" s="93"/>
      <c r="HY359" s="93"/>
      <c r="HZ359" s="93"/>
      <c r="IA359" s="20"/>
      <c r="IB359" s="19"/>
      <c r="IC359" s="93"/>
      <c r="ID359" s="93"/>
      <c r="IE359" s="93"/>
      <c r="IF359" s="93"/>
      <c r="IG359" s="20"/>
      <c r="IH359" s="19"/>
      <c r="II359" s="93"/>
      <c r="IJ359" s="93"/>
      <c r="IK359" s="93"/>
      <c r="IL359" s="93"/>
      <c r="IM359" s="93"/>
      <c r="IN359" s="93"/>
      <c r="IO359" s="20"/>
      <c r="IP359" s="29"/>
      <c r="IQ359" s="19"/>
      <c r="IR359" s="93"/>
      <c r="IS359" s="93"/>
      <c r="IT359" s="93"/>
      <c r="IU359" s="93"/>
      <c r="IV359" s="20"/>
      <c r="IW359" s="29"/>
      <c r="IX359" s="19"/>
      <c r="IY359" s="93"/>
      <c r="IZ359" s="93"/>
      <c r="JA359" s="93"/>
      <c r="JB359" s="93"/>
      <c r="JC359" s="93"/>
      <c r="JD359" s="93"/>
      <c r="JE359" s="20"/>
      <c r="JF359" s="29"/>
      <c r="JG359" s="19"/>
      <c r="JH359" s="93"/>
      <c r="JI359" s="93"/>
      <c r="JJ359" s="93"/>
      <c r="JK359" s="93"/>
      <c r="JL359" s="93"/>
      <c r="JM359" s="93"/>
      <c r="JN359" s="20"/>
      <c r="JO359" s="29"/>
      <c r="JP359" s="19"/>
      <c r="JQ359" s="93"/>
      <c r="JR359" s="93"/>
      <c r="JS359" s="93"/>
      <c r="JT359" s="93"/>
      <c r="JU359" s="20"/>
      <c r="JV359" s="29"/>
      <c r="JW359" s="1504">
        <v>45383</v>
      </c>
      <c r="JX359" s="19"/>
      <c r="JY359" s="93"/>
      <c r="JZ359" s="93"/>
      <c r="KA359" s="93"/>
      <c r="KB359" s="93"/>
      <c r="KC359" s="93"/>
      <c r="KD359" s="20"/>
      <c r="KE359" s="29"/>
      <c r="KF359" s="19"/>
      <c r="KG359" s="93"/>
      <c r="KH359" s="93"/>
      <c r="KI359" s="93"/>
      <c r="KJ359" s="93"/>
      <c r="KK359" s="20"/>
      <c r="KL359" s="29"/>
      <c r="KM359" s="19"/>
      <c r="KN359" s="93"/>
      <c r="KO359" s="93"/>
      <c r="KP359" s="93"/>
      <c r="KQ359" s="93"/>
      <c r="KR359" s="20"/>
      <c r="KS359" s="29"/>
      <c r="KT359" s="19"/>
      <c r="KU359" s="93"/>
      <c r="KV359" s="93"/>
      <c r="KW359" s="93"/>
      <c r="KX359" s="93"/>
      <c r="KY359" s="20"/>
      <c r="KZ359" s="29"/>
      <c r="LA359" s="1504">
        <v>45383</v>
      </c>
      <c r="LB359" s="19"/>
      <c r="LC359" s="93"/>
      <c r="LD359" s="93"/>
      <c r="LE359" s="93"/>
      <c r="LF359" s="93"/>
      <c r="LG359" s="93"/>
      <c r="LH359" s="20"/>
      <c r="LI359" s="29"/>
      <c r="LJ359" s="19"/>
      <c r="LK359" s="93"/>
      <c r="LL359" s="93"/>
      <c r="LM359" s="93"/>
      <c r="LN359" s="93"/>
      <c r="LO359" s="20"/>
      <c r="LP359" s="29"/>
      <c r="LQ359" s="19"/>
      <c r="LR359" s="93"/>
      <c r="LS359" s="93"/>
      <c r="LT359" s="93"/>
      <c r="LU359" s="93"/>
      <c r="LV359" s="93"/>
      <c r="LW359" s="93"/>
      <c r="LX359" s="93"/>
      <c r="LY359" s="93"/>
      <c r="LZ359" s="93"/>
      <c r="MA359" s="20"/>
      <c r="MB359" s="29"/>
      <c r="MC359" s="1504">
        <v>45383</v>
      </c>
      <c r="MD359" s="19"/>
      <c r="ME359" s="93"/>
      <c r="MF359" s="93"/>
      <c r="MG359" s="93"/>
      <c r="MH359" s="93"/>
      <c r="MI359" s="93"/>
      <c r="MJ359" s="93"/>
      <c r="MK359" s="93"/>
      <c r="ML359" s="93"/>
      <c r="MM359" s="93"/>
      <c r="MN359" s="93"/>
      <c r="MO359" s="93"/>
      <c r="MP359" s="93"/>
      <c r="MQ359" s="93"/>
      <c r="MR359" s="93"/>
      <c r="MS359" s="93"/>
      <c r="MT359" s="93"/>
      <c r="MU359" s="93"/>
      <c r="MV359" s="93"/>
      <c r="MW359" s="93"/>
      <c r="MX359" s="93"/>
      <c r="MY359" s="93"/>
      <c r="MZ359" s="93"/>
      <c r="NA359" s="93"/>
      <c r="NB359" s="93"/>
      <c r="NC359" s="93"/>
      <c r="ND359" s="93"/>
      <c r="NE359" s="93"/>
      <c r="NF359" s="93"/>
      <c r="NG359" s="93"/>
      <c r="NH359" s="93"/>
      <c r="NI359" s="93"/>
      <c r="NJ359" s="93"/>
      <c r="NK359" s="93"/>
      <c r="NL359" s="93"/>
      <c r="NM359" s="93"/>
      <c r="NN359" s="93"/>
      <c r="NO359" s="93"/>
      <c r="NP359" s="93"/>
      <c r="NQ359" s="93"/>
      <c r="NR359" s="93"/>
      <c r="NS359" s="93"/>
      <c r="NT359" s="93"/>
      <c r="NU359" s="93"/>
      <c r="NV359" s="93"/>
      <c r="NW359" s="93"/>
      <c r="NX359" s="93"/>
      <c r="NY359" s="93"/>
      <c r="NZ359" s="93"/>
      <c r="OA359" s="93"/>
      <c r="OB359" s="93"/>
      <c r="OC359" s="93"/>
      <c r="OD359" s="20"/>
      <c r="OE359" s="29"/>
      <c r="OF359" s="1504">
        <v>45383</v>
      </c>
      <c r="OG359" s="19"/>
      <c r="OH359" s="93"/>
      <c r="OI359" s="93"/>
      <c r="OJ359" s="93"/>
      <c r="OK359" s="93"/>
      <c r="OL359" s="93"/>
      <c r="OM359" s="93"/>
      <c r="ON359" s="93"/>
      <c r="OO359" s="93"/>
      <c r="OP359" s="93"/>
      <c r="OQ359" s="93"/>
      <c r="OR359" s="93"/>
      <c r="OS359" s="93"/>
      <c r="OT359" s="93"/>
      <c r="OU359" s="93"/>
      <c r="OV359" s="93"/>
      <c r="OW359" s="93"/>
      <c r="OX359" s="93"/>
      <c r="OY359" s="93"/>
      <c r="OZ359" s="93"/>
      <c r="PA359" s="93"/>
      <c r="PB359" s="93"/>
      <c r="PC359" s="20"/>
      <c r="PD359" s="29"/>
      <c r="PE359" s="19"/>
      <c r="PF359" s="93"/>
      <c r="PG359" s="93"/>
      <c r="PH359" s="93"/>
      <c r="PI359" s="93"/>
      <c r="PJ359" s="93"/>
      <c r="PK359" s="93"/>
      <c r="PL359" s="93"/>
      <c r="PM359" s="93"/>
      <c r="PN359" s="93"/>
      <c r="PO359" s="93"/>
      <c r="PP359" s="93"/>
      <c r="PQ359" s="93"/>
      <c r="PR359" s="93"/>
      <c r="PS359" s="93"/>
      <c r="PT359" s="93"/>
      <c r="PU359" s="93"/>
      <c r="PV359" s="93"/>
      <c r="PW359" s="93"/>
      <c r="PX359" s="93"/>
      <c r="PY359" s="93"/>
      <c r="PZ359" s="93"/>
      <c r="QA359" s="93"/>
      <c r="QB359" s="93"/>
      <c r="QC359" s="93"/>
      <c r="QD359" s="93"/>
      <c r="QE359" s="20"/>
      <c r="QF359" s="1739"/>
      <c r="QG359" s="19"/>
      <c r="QH359" s="93"/>
      <c r="QI359" s="93"/>
      <c r="QJ359" s="93"/>
      <c r="QK359" s="93"/>
      <c r="QL359" s="93"/>
      <c r="QM359" s="93"/>
      <c r="QN359" s="93"/>
      <c r="QO359" s="93"/>
      <c r="QP359" s="93"/>
      <c r="QQ359" s="93"/>
      <c r="QR359" s="93"/>
      <c r="QS359" s="93"/>
      <c r="QT359" s="93"/>
      <c r="QU359" s="93"/>
      <c r="QV359" s="93"/>
      <c r="QW359" s="93"/>
      <c r="QX359" s="93"/>
      <c r="QY359" s="93"/>
      <c r="QZ359" s="93"/>
      <c r="RA359" s="93"/>
      <c r="RB359" s="93"/>
      <c r="RC359" s="93"/>
      <c r="RD359" s="93"/>
      <c r="RE359" s="93"/>
      <c r="RF359" s="93"/>
      <c r="RG359" s="93"/>
      <c r="RH359" s="93"/>
      <c r="RI359" s="93"/>
      <c r="RJ359" s="93"/>
      <c r="RK359" s="93"/>
      <c r="RL359" s="93"/>
      <c r="RM359" s="20"/>
      <c r="RN359" s="29"/>
      <c r="RO359" s="19"/>
      <c r="RP359" s="20"/>
      <c r="RQ359" s="29"/>
      <c r="RR359" s="20"/>
      <c r="RS359" s="29"/>
      <c r="RT359" s="1504">
        <v>45383</v>
      </c>
      <c r="RU359" s="19"/>
      <c r="RV359" s="20"/>
      <c r="RW359" s="29"/>
      <c r="RX359" s="1504">
        <v>45383</v>
      </c>
      <c r="RY359" s="29"/>
      <c r="RZ359" s="20"/>
      <c r="SA359" s="29"/>
      <c r="SB359" s="29"/>
    </row>
    <row r="360" spans="1:496">
      <c r="A360" s="41">
        <f t="shared" si="346"/>
        <v>2024</v>
      </c>
      <c r="B360" s="1504">
        <v>45413</v>
      </c>
      <c r="C360" s="1813"/>
      <c r="D360" s="1814"/>
      <c r="E360" s="1814"/>
      <c r="F360" s="1815"/>
      <c r="G360" s="1814"/>
      <c r="H360" s="1814"/>
      <c r="I360" s="1814"/>
      <c r="J360" s="1816"/>
      <c r="K360" s="1807"/>
      <c r="L360" s="25"/>
      <c r="M360" s="97"/>
      <c r="N360" s="1504">
        <v>45413</v>
      </c>
      <c r="O360" s="19"/>
      <c r="P360" s="93"/>
      <c r="Q360" s="93"/>
      <c r="R360" s="93"/>
      <c r="S360" s="93"/>
      <c r="T360" s="93"/>
      <c r="U360" s="93"/>
      <c r="V360" s="93"/>
      <c r="W360" s="93"/>
      <c r="X360" s="93"/>
      <c r="Y360" s="93"/>
      <c r="Z360" s="93"/>
      <c r="AA360" s="93"/>
      <c r="AB360" s="20"/>
      <c r="AC360" s="25"/>
      <c r="AD360" s="97"/>
      <c r="AE360" s="1504">
        <v>45413</v>
      </c>
      <c r="AF360" s="19"/>
      <c r="AG360" s="93"/>
      <c r="AH360" s="93"/>
      <c r="AI360" s="93"/>
      <c r="AJ360" s="93"/>
      <c r="AK360" s="93"/>
      <c r="AL360" s="93"/>
      <c r="AM360" s="93"/>
      <c r="AN360" s="93"/>
      <c r="AO360" s="93"/>
      <c r="AP360" s="93"/>
      <c r="AQ360" s="93"/>
      <c r="AR360" s="93"/>
      <c r="AS360" s="20"/>
      <c r="AT360" s="25"/>
      <c r="AU360" s="97"/>
      <c r="AV360" s="1504">
        <v>45413</v>
      </c>
      <c r="AW360" s="19"/>
      <c r="AX360" s="93"/>
      <c r="AY360" s="93"/>
      <c r="AZ360" s="93"/>
      <c r="BA360" s="93"/>
      <c r="BB360" s="93"/>
      <c r="BC360" s="93"/>
      <c r="BD360" s="93"/>
      <c r="BE360" s="93"/>
      <c r="BF360" s="93"/>
      <c r="BG360" s="93"/>
      <c r="BH360" s="93"/>
      <c r="BI360" s="93"/>
      <c r="BJ360" s="20"/>
      <c r="BK360" s="25"/>
      <c r="BL360" s="97"/>
      <c r="BM360" s="1504">
        <v>45413</v>
      </c>
      <c r="BN360" s="19"/>
      <c r="BO360" s="93"/>
      <c r="BP360" s="93"/>
      <c r="BQ360" s="93"/>
      <c r="BR360" s="93"/>
      <c r="BS360" s="93"/>
      <c r="BT360" s="93"/>
      <c r="BU360" s="20"/>
      <c r="BV360" s="25"/>
      <c r="BW360" s="97"/>
      <c r="BX360" s="1504">
        <v>45413</v>
      </c>
      <c r="BY360" s="19"/>
      <c r="BZ360" s="93"/>
      <c r="CA360" s="93"/>
      <c r="CB360" s="93"/>
      <c r="CC360" s="93"/>
      <c r="CD360" s="25"/>
      <c r="CE360" s="97"/>
      <c r="CF360" s="1504">
        <v>45413</v>
      </c>
      <c r="CG360" s="19"/>
      <c r="CH360" s="93"/>
      <c r="CI360" s="219"/>
      <c r="CJ360" s="20"/>
      <c r="CK360" s="19"/>
      <c r="CL360" s="93"/>
      <c r="CM360" s="93"/>
      <c r="CN360" s="93"/>
      <c r="CO360" s="93"/>
      <c r="CP360" s="20"/>
      <c r="CQ360" s="219"/>
      <c r="CR360" s="93"/>
      <c r="CS360" s="93"/>
      <c r="CT360" s="93"/>
      <c r="CU360" s="93"/>
      <c r="CV360" s="214"/>
      <c r="CW360" s="29"/>
      <c r="CX360" s="41">
        <f t="shared" si="319"/>
        <v>2024</v>
      </c>
      <c r="CY360" s="1504">
        <v>45413</v>
      </c>
      <c r="CZ360" s="19"/>
      <c r="DA360" s="93"/>
      <c r="DB360" s="93"/>
      <c r="DC360" s="93"/>
      <c r="DD360" s="93"/>
      <c r="DE360" s="20"/>
      <c r="DF360" s="29"/>
      <c r="DG360" s="1504">
        <v>45413</v>
      </c>
      <c r="DH360" s="19"/>
      <c r="DI360" s="93"/>
      <c r="DJ360" s="93"/>
      <c r="DK360" s="93"/>
      <c r="DL360" s="93"/>
      <c r="DM360" s="93"/>
      <c r="DN360" s="20"/>
      <c r="DO360" s="295"/>
      <c r="DP360" s="29"/>
      <c r="DQ360" s="1504">
        <v>45413</v>
      </c>
      <c r="DR360" s="19"/>
      <c r="DS360" s="93"/>
      <c r="DT360" s="93"/>
      <c r="DU360" s="93"/>
      <c r="DV360" s="93"/>
      <c r="DW360" s="93"/>
      <c r="DX360" s="20"/>
      <c r="DY360" s="29"/>
      <c r="DZ360" s="1504">
        <v>45413</v>
      </c>
      <c r="EA360" s="19"/>
      <c r="EB360" s="93"/>
      <c r="EC360" s="20"/>
      <c r="ED360" s="29"/>
      <c r="EE360" s="1504">
        <v>45413</v>
      </c>
      <c r="EF360" s="19"/>
      <c r="EG360" s="93"/>
      <c r="EH360" s="93"/>
      <c r="EI360" s="214"/>
      <c r="EJ360" s="93"/>
      <c r="EK360" s="93"/>
      <c r="EL360" s="93"/>
      <c r="EM360" s="93"/>
      <c r="EN360" s="20"/>
      <c r="EO360" s="29"/>
      <c r="EP360" s="1504">
        <v>45413</v>
      </c>
      <c r="EQ360" s="19"/>
      <c r="ER360" s="93"/>
      <c r="ES360" s="93"/>
      <c r="ET360" s="214"/>
      <c r="EU360" s="93"/>
      <c r="EV360" s="93"/>
      <c r="EW360" s="93"/>
      <c r="EX360" s="93"/>
      <c r="EY360" s="20"/>
      <c r="EZ360" s="29"/>
      <c r="FA360" s="1504">
        <v>45413</v>
      </c>
      <c r="FB360" s="29"/>
      <c r="FC360" s="29"/>
      <c r="FD360" s="29"/>
      <c r="FE360" s="29"/>
      <c r="FF360" s="29"/>
      <c r="FG360" s="29"/>
      <c r="FH360" s="29"/>
      <c r="FI360" s="29"/>
      <c r="FJ360" s="29"/>
      <c r="FK360" s="29"/>
      <c r="FL360" s="1504">
        <v>45413</v>
      </c>
      <c r="FM360" s="19"/>
      <c r="FN360" s="93"/>
      <c r="FO360" s="93"/>
      <c r="FP360" s="93"/>
      <c r="FQ360" s="93"/>
      <c r="FR360" s="93"/>
      <c r="FS360" s="93"/>
      <c r="FT360" s="93"/>
      <c r="FU360" s="93"/>
      <c r="FV360" s="93"/>
      <c r="FW360" s="93"/>
      <c r="FX360" s="93"/>
      <c r="FY360" s="93"/>
      <c r="FZ360" s="29"/>
      <c r="GA360" s="1504">
        <v>45413</v>
      </c>
      <c r="GB360" s="19"/>
      <c r="GC360" s="93"/>
      <c r="GD360" s="93"/>
      <c r="GE360" s="93"/>
      <c r="GF360" s="93"/>
      <c r="GG360" s="93"/>
      <c r="GH360" s="93"/>
      <c r="GI360" s="93"/>
      <c r="GJ360" s="93"/>
      <c r="GK360" s="93"/>
      <c r="GL360" s="93"/>
      <c r="GM360" s="93"/>
      <c r="GN360" s="20"/>
      <c r="GO360" s="29"/>
      <c r="GP360" s="1504">
        <v>45413</v>
      </c>
      <c r="GQ360" s="19"/>
      <c r="GR360" s="93"/>
      <c r="GS360" s="93"/>
      <c r="GT360" s="93"/>
      <c r="GU360" s="93"/>
      <c r="GV360" s="20"/>
      <c r="GW360" s="19"/>
      <c r="GX360" s="93"/>
      <c r="GY360" s="93"/>
      <c r="GZ360" s="93"/>
      <c r="HA360" s="93"/>
      <c r="HB360" s="20"/>
      <c r="HC360" s="19"/>
      <c r="HD360" s="93"/>
      <c r="HE360" s="93"/>
      <c r="HF360" s="93"/>
      <c r="HG360" s="93"/>
      <c r="HH360" s="20"/>
      <c r="HI360" s="19"/>
      <c r="HJ360" s="93"/>
      <c r="HK360" s="93"/>
      <c r="HL360" s="93"/>
      <c r="HM360" s="93"/>
      <c r="HN360" s="20"/>
      <c r="HO360" s="219"/>
      <c r="HP360" s="20"/>
      <c r="HQ360" s="25"/>
      <c r="HR360" s="29"/>
      <c r="HS360" s="1504">
        <v>45413</v>
      </c>
      <c r="HT360" s="19"/>
      <c r="HU360" s="93"/>
      <c r="HV360" s="93"/>
      <c r="HW360" s="93"/>
      <c r="HX360" s="93"/>
      <c r="HY360" s="93"/>
      <c r="HZ360" s="93"/>
      <c r="IA360" s="20"/>
      <c r="IB360" s="19"/>
      <c r="IC360" s="93"/>
      <c r="ID360" s="93"/>
      <c r="IE360" s="93"/>
      <c r="IF360" s="93"/>
      <c r="IG360" s="20"/>
      <c r="IH360" s="19"/>
      <c r="II360" s="93"/>
      <c r="IJ360" s="93"/>
      <c r="IK360" s="93"/>
      <c r="IL360" s="93"/>
      <c r="IM360" s="93"/>
      <c r="IN360" s="93"/>
      <c r="IO360" s="20"/>
      <c r="IP360" s="29"/>
      <c r="IQ360" s="19"/>
      <c r="IR360" s="93"/>
      <c r="IS360" s="93"/>
      <c r="IT360" s="93"/>
      <c r="IU360" s="93"/>
      <c r="IV360" s="20"/>
      <c r="IW360" s="29"/>
      <c r="IX360" s="19"/>
      <c r="IY360" s="93"/>
      <c r="IZ360" s="93"/>
      <c r="JA360" s="93"/>
      <c r="JB360" s="93"/>
      <c r="JC360" s="93"/>
      <c r="JD360" s="93"/>
      <c r="JE360" s="20"/>
      <c r="JF360" s="29"/>
      <c r="JG360" s="19"/>
      <c r="JH360" s="93"/>
      <c r="JI360" s="93"/>
      <c r="JJ360" s="93"/>
      <c r="JK360" s="93"/>
      <c r="JL360" s="93"/>
      <c r="JM360" s="93"/>
      <c r="JN360" s="20"/>
      <c r="JO360" s="29"/>
      <c r="JP360" s="19"/>
      <c r="JQ360" s="93"/>
      <c r="JR360" s="93"/>
      <c r="JS360" s="93"/>
      <c r="JT360" s="93"/>
      <c r="JU360" s="20"/>
      <c r="JV360" s="29"/>
      <c r="JW360" s="1504">
        <v>45413</v>
      </c>
      <c r="JX360" s="19"/>
      <c r="JY360" s="93"/>
      <c r="JZ360" s="93"/>
      <c r="KA360" s="93"/>
      <c r="KB360" s="93"/>
      <c r="KC360" s="93"/>
      <c r="KD360" s="20"/>
      <c r="KE360" s="29"/>
      <c r="KF360" s="19"/>
      <c r="KG360" s="93"/>
      <c r="KH360" s="93"/>
      <c r="KI360" s="93"/>
      <c r="KJ360" s="93"/>
      <c r="KK360" s="20"/>
      <c r="KL360" s="29"/>
      <c r="KM360" s="19"/>
      <c r="KN360" s="93"/>
      <c r="KO360" s="93"/>
      <c r="KP360" s="93"/>
      <c r="KQ360" s="93"/>
      <c r="KR360" s="20"/>
      <c r="KS360" s="29"/>
      <c r="KT360" s="19"/>
      <c r="KU360" s="93"/>
      <c r="KV360" s="93"/>
      <c r="KW360" s="93"/>
      <c r="KX360" s="93"/>
      <c r="KY360" s="20"/>
      <c r="KZ360" s="29"/>
      <c r="LA360" s="1504">
        <v>45413</v>
      </c>
      <c r="LB360" s="19"/>
      <c r="LC360" s="93"/>
      <c r="LD360" s="93"/>
      <c r="LE360" s="93"/>
      <c r="LF360" s="93"/>
      <c r="LG360" s="93"/>
      <c r="LH360" s="20"/>
      <c r="LI360" s="29"/>
      <c r="LJ360" s="19"/>
      <c r="LK360" s="93"/>
      <c r="LL360" s="93"/>
      <c r="LM360" s="93"/>
      <c r="LN360" s="93"/>
      <c r="LO360" s="20"/>
      <c r="LP360" s="29"/>
      <c r="LQ360" s="19"/>
      <c r="LR360" s="93"/>
      <c r="LS360" s="93"/>
      <c r="LT360" s="93"/>
      <c r="LU360" s="93"/>
      <c r="LV360" s="93"/>
      <c r="LW360" s="93"/>
      <c r="LX360" s="93"/>
      <c r="LY360" s="93"/>
      <c r="LZ360" s="93"/>
      <c r="MA360" s="20"/>
      <c r="MB360" s="29"/>
      <c r="MC360" s="1504">
        <v>45413</v>
      </c>
      <c r="MD360" s="19"/>
      <c r="ME360" s="93"/>
      <c r="MF360" s="93"/>
      <c r="MG360" s="93"/>
      <c r="MH360" s="93"/>
      <c r="MI360" s="93"/>
      <c r="MJ360" s="93"/>
      <c r="MK360" s="93"/>
      <c r="ML360" s="93"/>
      <c r="MM360" s="93"/>
      <c r="MN360" s="93"/>
      <c r="MO360" s="93"/>
      <c r="MP360" s="93"/>
      <c r="MQ360" s="93"/>
      <c r="MR360" s="93"/>
      <c r="MS360" s="93"/>
      <c r="MT360" s="93"/>
      <c r="MU360" s="93"/>
      <c r="MV360" s="93"/>
      <c r="MW360" s="93"/>
      <c r="MX360" s="93"/>
      <c r="MY360" s="93"/>
      <c r="MZ360" s="93"/>
      <c r="NA360" s="93"/>
      <c r="NB360" s="93"/>
      <c r="NC360" s="93"/>
      <c r="ND360" s="93"/>
      <c r="NE360" s="93"/>
      <c r="NF360" s="93"/>
      <c r="NG360" s="93"/>
      <c r="NH360" s="93"/>
      <c r="NI360" s="93"/>
      <c r="NJ360" s="93"/>
      <c r="NK360" s="93"/>
      <c r="NL360" s="93"/>
      <c r="NM360" s="93"/>
      <c r="NN360" s="93"/>
      <c r="NO360" s="93"/>
      <c r="NP360" s="93"/>
      <c r="NQ360" s="93"/>
      <c r="NR360" s="93"/>
      <c r="NS360" s="93"/>
      <c r="NT360" s="93"/>
      <c r="NU360" s="93"/>
      <c r="NV360" s="93"/>
      <c r="NW360" s="93"/>
      <c r="NX360" s="93"/>
      <c r="NY360" s="93"/>
      <c r="NZ360" s="93"/>
      <c r="OA360" s="93"/>
      <c r="OB360" s="93"/>
      <c r="OC360" s="93"/>
      <c r="OD360" s="20"/>
      <c r="OE360" s="29"/>
      <c r="OF360" s="1504">
        <v>45413</v>
      </c>
      <c r="OG360" s="19"/>
      <c r="OH360" s="93"/>
      <c r="OI360" s="93"/>
      <c r="OJ360" s="93"/>
      <c r="OK360" s="93"/>
      <c r="OL360" s="93"/>
      <c r="OM360" s="93"/>
      <c r="ON360" s="93"/>
      <c r="OO360" s="93"/>
      <c r="OP360" s="93"/>
      <c r="OQ360" s="93"/>
      <c r="OR360" s="93"/>
      <c r="OS360" s="93"/>
      <c r="OT360" s="93"/>
      <c r="OU360" s="93"/>
      <c r="OV360" s="93"/>
      <c r="OW360" s="93"/>
      <c r="OX360" s="93"/>
      <c r="OY360" s="93"/>
      <c r="OZ360" s="93"/>
      <c r="PA360" s="93"/>
      <c r="PB360" s="93"/>
      <c r="PC360" s="20"/>
      <c r="PD360" s="29"/>
      <c r="PE360" s="19"/>
      <c r="PF360" s="93"/>
      <c r="PG360" s="93"/>
      <c r="PH360" s="93"/>
      <c r="PI360" s="93"/>
      <c r="PJ360" s="93"/>
      <c r="PK360" s="93"/>
      <c r="PL360" s="93"/>
      <c r="PM360" s="93"/>
      <c r="PN360" s="93"/>
      <c r="PO360" s="93"/>
      <c r="PP360" s="93"/>
      <c r="PQ360" s="93"/>
      <c r="PR360" s="93"/>
      <c r="PS360" s="93"/>
      <c r="PT360" s="93"/>
      <c r="PU360" s="93"/>
      <c r="PV360" s="93"/>
      <c r="PW360" s="93"/>
      <c r="PX360" s="93"/>
      <c r="PY360" s="93"/>
      <c r="PZ360" s="93"/>
      <c r="QA360" s="93"/>
      <c r="QB360" s="93"/>
      <c r="QC360" s="93"/>
      <c r="QD360" s="93"/>
      <c r="QE360" s="20"/>
      <c r="QF360" s="1739"/>
      <c r="QG360" s="19"/>
      <c r="QH360" s="93"/>
      <c r="QI360" s="93"/>
      <c r="QJ360" s="93"/>
      <c r="QK360" s="93"/>
      <c r="QL360" s="93"/>
      <c r="QM360" s="93"/>
      <c r="QN360" s="93"/>
      <c r="QO360" s="93"/>
      <c r="QP360" s="93"/>
      <c r="QQ360" s="93"/>
      <c r="QR360" s="93"/>
      <c r="QS360" s="93"/>
      <c r="QT360" s="93"/>
      <c r="QU360" s="93"/>
      <c r="QV360" s="93"/>
      <c r="QW360" s="93"/>
      <c r="QX360" s="93"/>
      <c r="QY360" s="93"/>
      <c r="QZ360" s="93"/>
      <c r="RA360" s="93"/>
      <c r="RB360" s="93"/>
      <c r="RC360" s="93"/>
      <c r="RD360" s="93"/>
      <c r="RE360" s="93"/>
      <c r="RF360" s="93"/>
      <c r="RG360" s="93"/>
      <c r="RH360" s="93"/>
      <c r="RI360" s="93"/>
      <c r="RJ360" s="93"/>
      <c r="RK360" s="93"/>
      <c r="RL360" s="93"/>
      <c r="RM360" s="20"/>
      <c r="RN360" s="29"/>
      <c r="RO360" s="19"/>
      <c r="RP360" s="20"/>
      <c r="RQ360" s="29"/>
      <c r="RR360" s="20"/>
      <c r="RS360" s="29"/>
      <c r="RT360" s="1504">
        <v>45413</v>
      </c>
      <c r="RU360" s="19"/>
      <c r="RV360" s="20"/>
      <c r="RW360" s="29"/>
      <c r="RX360" s="1504">
        <v>45413</v>
      </c>
      <c r="RY360" s="29"/>
      <c r="RZ360" s="20"/>
      <c r="SA360" s="29"/>
      <c r="SB360" s="29"/>
    </row>
    <row r="361" spans="1:496">
      <c r="A361" s="41">
        <f t="shared" si="346"/>
        <v>2024</v>
      </c>
      <c r="B361" s="1504">
        <v>45444</v>
      </c>
      <c r="C361" s="1813"/>
      <c r="D361" s="1814"/>
      <c r="E361" s="1814"/>
      <c r="F361" s="1815"/>
      <c r="G361" s="1814"/>
      <c r="H361" s="1814"/>
      <c r="I361" s="1814"/>
      <c r="J361" s="1816"/>
      <c r="K361" s="1807"/>
      <c r="L361" s="25"/>
      <c r="M361" s="97"/>
      <c r="N361" s="1504">
        <v>45444</v>
      </c>
      <c r="O361" s="19"/>
      <c r="P361" s="93"/>
      <c r="Q361" s="93"/>
      <c r="R361" s="93"/>
      <c r="S361" s="93"/>
      <c r="T361" s="93"/>
      <c r="U361" s="93"/>
      <c r="V361" s="93"/>
      <c r="W361" s="93"/>
      <c r="X361" s="93"/>
      <c r="Y361" s="93"/>
      <c r="Z361" s="93"/>
      <c r="AA361" s="93"/>
      <c r="AB361" s="20"/>
      <c r="AC361" s="25"/>
      <c r="AD361" s="97"/>
      <c r="AE361" s="1504">
        <v>45444</v>
      </c>
      <c r="AF361" s="19"/>
      <c r="AG361" s="93"/>
      <c r="AH361" s="93"/>
      <c r="AI361" s="93"/>
      <c r="AJ361" s="93"/>
      <c r="AK361" s="93"/>
      <c r="AL361" s="93"/>
      <c r="AM361" s="93"/>
      <c r="AN361" s="93"/>
      <c r="AO361" s="93"/>
      <c r="AP361" s="93"/>
      <c r="AQ361" s="93"/>
      <c r="AR361" s="93"/>
      <c r="AS361" s="20"/>
      <c r="AT361" s="25"/>
      <c r="AU361" s="97"/>
      <c r="AV361" s="1504">
        <v>45444</v>
      </c>
      <c r="AW361" s="19"/>
      <c r="AX361" s="93"/>
      <c r="AY361" s="93"/>
      <c r="AZ361" s="93"/>
      <c r="BA361" s="93"/>
      <c r="BB361" s="93"/>
      <c r="BC361" s="93"/>
      <c r="BD361" s="93"/>
      <c r="BE361" s="93"/>
      <c r="BF361" s="93"/>
      <c r="BG361" s="93"/>
      <c r="BH361" s="93"/>
      <c r="BI361" s="93"/>
      <c r="BJ361" s="20"/>
      <c r="BK361" s="25"/>
      <c r="BL361" s="97"/>
      <c r="BM361" s="1504">
        <v>45444</v>
      </c>
      <c r="BN361" s="19"/>
      <c r="BO361" s="93"/>
      <c r="BP361" s="93"/>
      <c r="BQ361" s="93"/>
      <c r="BR361" s="93"/>
      <c r="BS361" s="93"/>
      <c r="BT361" s="93"/>
      <c r="BU361" s="20"/>
      <c r="BV361" s="25"/>
      <c r="BW361" s="97"/>
      <c r="BX361" s="1504">
        <v>45444</v>
      </c>
      <c r="BY361" s="19"/>
      <c r="BZ361" s="93"/>
      <c r="CA361" s="93"/>
      <c r="CB361" s="93"/>
      <c r="CC361" s="93"/>
      <c r="CD361" s="25"/>
      <c r="CE361" s="97"/>
      <c r="CF361" s="1504">
        <v>45444</v>
      </c>
      <c r="CG361" s="19"/>
      <c r="CH361" s="93"/>
      <c r="CI361" s="219"/>
      <c r="CJ361" s="20"/>
      <c r="CK361" s="19"/>
      <c r="CL361" s="93"/>
      <c r="CM361" s="93"/>
      <c r="CN361" s="93"/>
      <c r="CO361" s="93"/>
      <c r="CP361" s="20"/>
      <c r="CQ361" s="219"/>
      <c r="CR361" s="93"/>
      <c r="CS361" s="93"/>
      <c r="CT361" s="93"/>
      <c r="CU361" s="93"/>
      <c r="CV361" s="214"/>
      <c r="CW361" s="29"/>
      <c r="CX361" s="41">
        <f t="shared" si="319"/>
        <v>2024</v>
      </c>
      <c r="CY361" s="1504">
        <v>45444</v>
      </c>
      <c r="CZ361" s="19"/>
      <c r="DA361" s="93"/>
      <c r="DB361" s="93"/>
      <c r="DC361" s="93"/>
      <c r="DD361" s="93"/>
      <c r="DE361" s="20"/>
      <c r="DF361" s="29"/>
      <c r="DG361" s="1504">
        <v>45444</v>
      </c>
      <c r="DH361" s="19"/>
      <c r="DI361" s="93"/>
      <c r="DJ361" s="93"/>
      <c r="DK361" s="93"/>
      <c r="DL361" s="93"/>
      <c r="DM361" s="93"/>
      <c r="DN361" s="20"/>
      <c r="DO361" s="295"/>
      <c r="DP361" s="29"/>
      <c r="DQ361" s="1504">
        <v>45444</v>
      </c>
      <c r="DR361" s="19"/>
      <c r="DS361" s="93"/>
      <c r="DT361" s="93"/>
      <c r="DU361" s="93"/>
      <c r="DV361" s="93"/>
      <c r="DW361" s="93"/>
      <c r="DX361" s="20"/>
      <c r="DY361" s="29"/>
      <c r="DZ361" s="1504">
        <v>45444</v>
      </c>
      <c r="EA361" s="19"/>
      <c r="EB361" s="93"/>
      <c r="EC361" s="20"/>
      <c r="ED361" s="29"/>
      <c r="EE361" s="1504">
        <v>45444</v>
      </c>
      <c r="EF361" s="19"/>
      <c r="EG361" s="93"/>
      <c r="EH361" s="93"/>
      <c r="EI361" s="214"/>
      <c r="EJ361" s="93"/>
      <c r="EK361" s="93"/>
      <c r="EL361" s="93"/>
      <c r="EM361" s="93"/>
      <c r="EN361" s="20"/>
      <c r="EO361" s="29"/>
      <c r="EP361" s="1504">
        <v>45444</v>
      </c>
      <c r="EQ361" s="19"/>
      <c r="ER361" s="93"/>
      <c r="ES361" s="93"/>
      <c r="ET361" s="214"/>
      <c r="EU361" s="93"/>
      <c r="EV361" s="93"/>
      <c r="EW361" s="93"/>
      <c r="EX361" s="93"/>
      <c r="EY361" s="20"/>
      <c r="EZ361" s="29"/>
      <c r="FA361" s="1504">
        <v>45444</v>
      </c>
      <c r="FB361" s="29"/>
      <c r="FC361" s="29"/>
      <c r="FD361" s="29"/>
      <c r="FE361" s="29"/>
      <c r="FF361" s="29"/>
      <c r="FG361" s="29"/>
      <c r="FH361" s="29"/>
      <c r="FI361" s="29"/>
      <c r="FJ361" s="29"/>
      <c r="FK361" s="29"/>
      <c r="FL361" s="1504">
        <v>45444</v>
      </c>
      <c r="FM361" s="19"/>
      <c r="FN361" s="93"/>
      <c r="FO361" s="93"/>
      <c r="FP361" s="93"/>
      <c r="FQ361" s="93"/>
      <c r="FR361" s="93"/>
      <c r="FS361" s="93"/>
      <c r="FT361" s="93"/>
      <c r="FU361" s="93"/>
      <c r="FV361" s="93"/>
      <c r="FW361" s="93"/>
      <c r="FX361" s="93"/>
      <c r="FY361" s="93"/>
      <c r="FZ361" s="29"/>
      <c r="GA361" s="1504">
        <v>45444</v>
      </c>
      <c r="GB361" s="19"/>
      <c r="GC361" s="93"/>
      <c r="GD361" s="93"/>
      <c r="GE361" s="93"/>
      <c r="GF361" s="93"/>
      <c r="GG361" s="93"/>
      <c r="GH361" s="93"/>
      <c r="GI361" s="93"/>
      <c r="GJ361" s="93"/>
      <c r="GK361" s="93"/>
      <c r="GL361" s="93"/>
      <c r="GM361" s="93"/>
      <c r="GN361" s="20"/>
      <c r="GO361" s="29"/>
      <c r="GP361" s="1504">
        <v>45444</v>
      </c>
      <c r="GQ361" s="19"/>
      <c r="GR361" s="93"/>
      <c r="GS361" s="93"/>
      <c r="GT361" s="93"/>
      <c r="GU361" s="93"/>
      <c r="GV361" s="20"/>
      <c r="GW361" s="19"/>
      <c r="GX361" s="93"/>
      <c r="GY361" s="93"/>
      <c r="GZ361" s="93"/>
      <c r="HA361" s="93"/>
      <c r="HB361" s="20"/>
      <c r="HC361" s="19"/>
      <c r="HD361" s="93"/>
      <c r="HE361" s="93"/>
      <c r="HF361" s="93"/>
      <c r="HG361" s="93"/>
      <c r="HH361" s="20"/>
      <c r="HI361" s="19"/>
      <c r="HJ361" s="93"/>
      <c r="HK361" s="93"/>
      <c r="HL361" s="93"/>
      <c r="HM361" s="93"/>
      <c r="HN361" s="20"/>
      <c r="HO361" s="219"/>
      <c r="HP361" s="20"/>
      <c r="HQ361" s="25"/>
      <c r="HR361" s="29"/>
      <c r="HS361" s="1504">
        <v>45444</v>
      </c>
      <c r="HT361" s="19"/>
      <c r="HU361" s="93"/>
      <c r="HV361" s="93"/>
      <c r="HW361" s="93"/>
      <c r="HX361" s="93"/>
      <c r="HY361" s="93"/>
      <c r="HZ361" s="93"/>
      <c r="IA361" s="20"/>
      <c r="IB361" s="19"/>
      <c r="IC361" s="93"/>
      <c r="ID361" s="93"/>
      <c r="IE361" s="93"/>
      <c r="IF361" s="93"/>
      <c r="IG361" s="20"/>
      <c r="IH361" s="19"/>
      <c r="II361" s="93"/>
      <c r="IJ361" s="93"/>
      <c r="IK361" s="93"/>
      <c r="IL361" s="93"/>
      <c r="IM361" s="93"/>
      <c r="IN361" s="93"/>
      <c r="IO361" s="20"/>
      <c r="IP361" s="29"/>
      <c r="IQ361" s="19"/>
      <c r="IR361" s="93"/>
      <c r="IS361" s="93"/>
      <c r="IT361" s="93"/>
      <c r="IU361" s="93"/>
      <c r="IV361" s="20"/>
      <c r="IW361" s="29"/>
      <c r="IX361" s="19"/>
      <c r="IY361" s="93"/>
      <c r="IZ361" s="93"/>
      <c r="JA361" s="93"/>
      <c r="JB361" s="93"/>
      <c r="JC361" s="93"/>
      <c r="JD361" s="93"/>
      <c r="JE361" s="20"/>
      <c r="JF361" s="29"/>
      <c r="JG361" s="19"/>
      <c r="JH361" s="93"/>
      <c r="JI361" s="93"/>
      <c r="JJ361" s="93"/>
      <c r="JK361" s="93"/>
      <c r="JL361" s="93"/>
      <c r="JM361" s="93"/>
      <c r="JN361" s="20"/>
      <c r="JO361" s="29"/>
      <c r="JP361" s="19"/>
      <c r="JQ361" s="93"/>
      <c r="JR361" s="93"/>
      <c r="JS361" s="93"/>
      <c r="JT361" s="93"/>
      <c r="JU361" s="20"/>
      <c r="JV361" s="29"/>
      <c r="JW361" s="1504">
        <v>45444</v>
      </c>
      <c r="JX361" s="19"/>
      <c r="JY361" s="93"/>
      <c r="JZ361" s="93"/>
      <c r="KA361" s="93"/>
      <c r="KB361" s="93"/>
      <c r="KC361" s="93"/>
      <c r="KD361" s="20"/>
      <c r="KE361" s="29"/>
      <c r="KF361" s="19"/>
      <c r="KG361" s="93"/>
      <c r="KH361" s="93"/>
      <c r="KI361" s="93"/>
      <c r="KJ361" s="93"/>
      <c r="KK361" s="20"/>
      <c r="KL361" s="29"/>
      <c r="KM361" s="19"/>
      <c r="KN361" s="93"/>
      <c r="KO361" s="93"/>
      <c r="KP361" s="93"/>
      <c r="KQ361" s="93"/>
      <c r="KR361" s="20"/>
      <c r="KS361" s="29"/>
      <c r="KT361" s="19"/>
      <c r="KU361" s="93"/>
      <c r="KV361" s="93"/>
      <c r="KW361" s="93"/>
      <c r="KX361" s="93"/>
      <c r="KY361" s="20"/>
      <c r="KZ361" s="29"/>
      <c r="LA361" s="1504">
        <v>45444</v>
      </c>
      <c r="LB361" s="19"/>
      <c r="LC361" s="93"/>
      <c r="LD361" s="93"/>
      <c r="LE361" s="93"/>
      <c r="LF361" s="93"/>
      <c r="LG361" s="93"/>
      <c r="LH361" s="20"/>
      <c r="LI361" s="29"/>
      <c r="LJ361" s="19"/>
      <c r="LK361" s="93"/>
      <c r="LL361" s="93"/>
      <c r="LM361" s="93"/>
      <c r="LN361" s="93"/>
      <c r="LO361" s="20"/>
      <c r="LP361" s="29"/>
      <c r="LQ361" s="19"/>
      <c r="LR361" s="93"/>
      <c r="LS361" s="93"/>
      <c r="LT361" s="93"/>
      <c r="LU361" s="93"/>
      <c r="LV361" s="93"/>
      <c r="LW361" s="93"/>
      <c r="LX361" s="93"/>
      <c r="LY361" s="93"/>
      <c r="LZ361" s="93"/>
      <c r="MA361" s="20"/>
      <c r="MB361" s="29"/>
      <c r="MC361" s="1504">
        <v>45444</v>
      </c>
      <c r="MD361" s="19"/>
      <c r="ME361" s="93"/>
      <c r="MF361" s="93"/>
      <c r="MG361" s="93"/>
      <c r="MH361" s="93"/>
      <c r="MI361" s="93"/>
      <c r="MJ361" s="93"/>
      <c r="MK361" s="93"/>
      <c r="ML361" s="93"/>
      <c r="MM361" s="93"/>
      <c r="MN361" s="93"/>
      <c r="MO361" s="93"/>
      <c r="MP361" s="93"/>
      <c r="MQ361" s="93"/>
      <c r="MR361" s="93"/>
      <c r="MS361" s="93"/>
      <c r="MT361" s="93"/>
      <c r="MU361" s="93"/>
      <c r="MV361" s="93"/>
      <c r="MW361" s="93"/>
      <c r="MX361" s="93"/>
      <c r="MY361" s="93"/>
      <c r="MZ361" s="93"/>
      <c r="NA361" s="93"/>
      <c r="NB361" s="93"/>
      <c r="NC361" s="93"/>
      <c r="ND361" s="93"/>
      <c r="NE361" s="93"/>
      <c r="NF361" s="93"/>
      <c r="NG361" s="93"/>
      <c r="NH361" s="93"/>
      <c r="NI361" s="93"/>
      <c r="NJ361" s="93"/>
      <c r="NK361" s="93"/>
      <c r="NL361" s="93"/>
      <c r="NM361" s="93"/>
      <c r="NN361" s="93"/>
      <c r="NO361" s="93"/>
      <c r="NP361" s="93"/>
      <c r="NQ361" s="93"/>
      <c r="NR361" s="93"/>
      <c r="NS361" s="93"/>
      <c r="NT361" s="93"/>
      <c r="NU361" s="93"/>
      <c r="NV361" s="93"/>
      <c r="NW361" s="93"/>
      <c r="NX361" s="93"/>
      <c r="NY361" s="93"/>
      <c r="NZ361" s="93"/>
      <c r="OA361" s="93"/>
      <c r="OB361" s="93"/>
      <c r="OC361" s="93"/>
      <c r="OD361" s="20"/>
      <c r="OE361" s="29"/>
      <c r="OF361" s="1504">
        <v>45444</v>
      </c>
      <c r="OG361" s="19"/>
      <c r="OH361" s="93"/>
      <c r="OI361" s="93"/>
      <c r="OJ361" s="93"/>
      <c r="OK361" s="93"/>
      <c r="OL361" s="93"/>
      <c r="OM361" s="93"/>
      <c r="ON361" s="93"/>
      <c r="OO361" s="93"/>
      <c r="OP361" s="93"/>
      <c r="OQ361" s="93"/>
      <c r="OR361" s="93"/>
      <c r="OS361" s="93"/>
      <c r="OT361" s="93"/>
      <c r="OU361" s="93"/>
      <c r="OV361" s="93"/>
      <c r="OW361" s="93"/>
      <c r="OX361" s="93"/>
      <c r="OY361" s="93"/>
      <c r="OZ361" s="93"/>
      <c r="PA361" s="93"/>
      <c r="PB361" s="93"/>
      <c r="PC361" s="20"/>
      <c r="PD361" s="29"/>
      <c r="PE361" s="19"/>
      <c r="PF361" s="93"/>
      <c r="PG361" s="93"/>
      <c r="PH361" s="93"/>
      <c r="PI361" s="93"/>
      <c r="PJ361" s="93"/>
      <c r="PK361" s="93"/>
      <c r="PL361" s="93"/>
      <c r="PM361" s="93"/>
      <c r="PN361" s="93"/>
      <c r="PO361" s="93"/>
      <c r="PP361" s="93"/>
      <c r="PQ361" s="93"/>
      <c r="PR361" s="93"/>
      <c r="PS361" s="93"/>
      <c r="PT361" s="93"/>
      <c r="PU361" s="93"/>
      <c r="PV361" s="93"/>
      <c r="PW361" s="93"/>
      <c r="PX361" s="93"/>
      <c r="PY361" s="93"/>
      <c r="PZ361" s="93"/>
      <c r="QA361" s="93"/>
      <c r="QB361" s="93"/>
      <c r="QC361" s="93"/>
      <c r="QD361" s="93"/>
      <c r="QE361" s="20"/>
      <c r="QF361" s="1739"/>
      <c r="QG361" s="19"/>
      <c r="QH361" s="93"/>
      <c r="QI361" s="93"/>
      <c r="QJ361" s="93"/>
      <c r="QK361" s="93"/>
      <c r="QL361" s="93"/>
      <c r="QM361" s="93"/>
      <c r="QN361" s="93"/>
      <c r="QO361" s="93"/>
      <c r="QP361" s="93"/>
      <c r="QQ361" s="93"/>
      <c r="QR361" s="93"/>
      <c r="QS361" s="93"/>
      <c r="QT361" s="93"/>
      <c r="QU361" s="93"/>
      <c r="QV361" s="93"/>
      <c r="QW361" s="93"/>
      <c r="QX361" s="93"/>
      <c r="QY361" s="93"/>
      <c r="QZ361" s="93"/>
      <c r="RA361" s="93"/>
      <c r="RB361" s="93"/>
      <c r="RC361" s="93"/>
      <c r="RD361" s="93"/>
      <c r="RE361" s="93"/>
      <c r="RF361" s="93"/>
      <c r="RG361" s="93"/>
      <c r="RH361" s="93"/>
      <c r="RI361" s="93"/>
      <c r="RJ361" s="93"/>
      <c r="RK361" s="93"/>
      <c r="RL361" s="93"/>
      <c r="RM361" s="20"/>
      <c r="RN361" s="29"/>
      <c r="RO361" s="19"/>
      <c r="RP361" s="20"/>
      <c r="RQ361" s="29"/>
      <c r="RR361" s="20"/>
      <c r="RS361" s="29"/>
      <c r="RT361" s="1504">
        <v>45444</v>
      </c>
      <c r="RU361" s="19"/>
      <c r="RV361" s="20"/>
      <c r="RW361" s="29"/>
      <c r="RX361" s="1504">
        <v>45444</v>
      </c>
      <c r="RY361" s="29"/>
      <c r="RZ361" s="20"/>
      <c r="SA361" s="29"/>
      <c r="SB361" s="29"/>
    </row>
    <row r="362" spans="1:496">
      <c r="A362" s="41">
        <f t="shared" si="346"/>
        <v>2024</v>
      </c>
      <c r="B362" s="1504">
        <v>45474</v>
      </c>
      <c r="C362" s="1813"/>
      <c r="D362" s="1814"/>
      <c r="E362" s="1814"/>
      <c r="F362" s="1815"/>
      <c r="G362" s="1814"/>
      <c r="H362" s="1814"/>
      <c r="I362" s="1814"/>
      <c r="J362" s="1816"/>
      <c r="K362" s="1807"/>
      <c r="L362" s="25"/>
      <c r="M362" s="97"/>
      <c r="N362" s="1504">
        <v>45474</v>
      </c>
      <c r="O362" s="19"/>
      <c r="P362" s="93"/>
      <c r="Q362" s="93"/>
      <c r="R362" s="93"/>
      <c r="S362" s="93"/>
      <c r="T362" s="93"/>
      <c r="U362" s="93"/>
      <c r="V362" s="93"/>
      <c r="W362" s="93"/>
      <c r="X362" s="93"/>
      <c r="Y362" s="93"/>
      <c r="Z362" s="93"/>
      <c r="AA362" s="93"/>
      <c r="AB362" s="20"/>
      <c r="AC362" s="25"/>
      <c r="AD362" s="97"/>
      <c r="AE362" s="1504">
        <v>45474</v>
      </c>
      <c r="AF362" s="19"/>
      <c r="AG362" s="93"/>
      <c r="AH362" s="93"/>
      <c r="AI362" s="93"/>
      <c r="AJ362" s="93"/>
      <c r="AK362" s="93"/>
      <c r="AL362" s="93"/>
      <c r="AM362" s="93"/>
      <c r="AN362" s="93"/>
      <c r="AO362" s="93"/>
      <c r="AP362" s="93"/>
      <c r="AQ362" s="93"/>
      <c r="AR362" s="93"/>
      <c r="AS362" s="20"/>
      <c r="AT362" s="25"/>
      <c r="AU362" s="97"/>
      <c r="AV362" s="1504">
        <v>45474</v>
      </c>
      <c r="AW362" s="19"/>
      <c r="AX362" s="93"/>
      <c r="AY362" s="93"/>
      <c r="AZ362" s="93"/>
      <c r="BA362" s="93"/>
      <c r="BB362" s="93"/>
      <c r="BC362" s="93"/>
      <c r="BD362" s="93"/>
      <c r="BE362" s="93"/>
      <c r="BF362" s="93"/>
      <c r="BG362" s="93"/>
      <c r="BH362" s="93"/>
      <c r="BI362" s="93"/>
      <c r="BJ362" s="20"/>
      <c r="BK362" s="25"/>
      <c r="BL362" s="97"/>
      <c r="BM362" s="1504">
        <v>45474</v>
      </c>
      <c r="BN362" s="19"/>
      <c r="BO362" s="93"/>
      <c r="BP362" s="93"/>
      <c r="BQ362" s="93"/>
      <c r="BR362" s="93"/>
      <c r="BS362" s="93"/>
      <c r="BT362" s="93"/>
      <c r="BU362" s="20"/>
      <c r="BV362" s="25"/>
      <c r="BW362" s="97"/>
      <c r="BX362" s="1504">
        <v>45474</v>
      </c>
      <c r="BY362" s="19"/>
      <c r="BZ362" s="93"/>
      <c r="CA362" s="93"/>
      <c r="CB362" s="93"/>
      <c r="CC362" s="93"/>
      <c r="CD362" s="25"/>
      <c r="CE362" s="97"/>
      <c r="CF362" s="1504">
        <v>45474</v>
      </c>
      <c r="CG362" s="19"/>
      <c r="CH362" s="93"/>
      <c r="CI362" s="219"/>
      <c r="CJ362" s="20"/>
      <c r="CK362" s="19"/>
      <c r="CL362" s="93"/>
      <c r="CM362" s="93"/>
      <c r="CN362" s="93"/>
      <c r="CO362" s="93"/>
      <c r="CP362" s="20"/>
      <c r="CQ362" s="219"/>
      <c r="CR362" s="93"/>
      <c r="CS362" s="93"/>
      <c r="CT362" s="93"/>
      <c r="CU362" s="93"/>
      <c r="CV362" s="214"/>
      <c r="CW362" s="29"/>
      <c r="CX362" s="41">
        <f t="shared" si="319"/>
        <v>2024</v>
      </c>
      <c r="CY362" s="1504">
        <v>45474</v>
      </c>
      <c r="CZ362" s="19"/>
      <c r="DA362" s="93"/>
      <c r="DB362" s="93"/>
      <c r="DC362" s="93"/>
      <c r="DD362" s="93"/>
      <c r="DE362" s="20"/>
      <c r="DF362" s="29"/>
      <c r="DG362" s="1504">
        <v>45474</v>
      </c>
      <c r="DH362" s="19"/>
      <c r="DI362" s="93"/>
      <c r="DJ362" s="93"/>
      <c r="DK362" s="93"/>
      <c r="DL362" s="93"/>
      <c r="DM362" s="93"/>
      <c r="DN362" s="20"/>
      <c r="DO362" s="295"/>
      <c r="DP362" s="29"/>
      <c r="DQ362" s="1504">
        <v>45474</v>
      </c>
      <c r="DR362" s="19"/>
      <c r="DS362" s="93"/>
      <c r="DT362" s="93"/>
      <c r="DU362" s="93"/>
      <c r="DV362" s="93"/>
      <c r="DW362" s="93"/>
      <c r="DX362" s="20"/>
      <c r="DY362" s="29"/>
      <c r="DZ362" s="1504">
        <v>45474</v>
      </c>
      <c r="EA362" s="19"/>
      <c r="EB362" s="93"/>
      <c r="EC362" s="20"/>
      <c r="ED362" s="29"/>
      <c r="EE362" s="1504">
        <v>45474</v>
      </c>
      <c r="EF362" s="19"/>
      <c r="EG362" s="93"/>
      <c r="EH362" s="93"/>
      <c r="EI362" s="214"/>
      <c r="EJ362" s="93"/>
      <c r="EK362" s="93"/>
      <c r="EL362" s="93"/>
      <c r="EM362" s="93"/>
      <c r="EN362" s="20"/>
      <c r="EO362" s="29"/>
      <c r="EP362" s="1504">
        <v>45474</v>
      </c>
      <c r="EQ362" s="19"/>
      <c r="ER362" s="93"/>
      <c r="ES362" s="93"/>
      <c r="ET362" s="214"/>
      <c r="EU362" s="93"/>
      <c r="EV362" s="93"/>
      <c r="EW362" s="93"/>
      <c r="EX362" s="93"/>
      <c r="EY362" s="20"/>
      <c r="EZ362" s="29"/>
      <c r="FA362" s="1504">
        <v>45474</v>
      </c>
      <c r="FB362" s="29"/>
      <c r="FC362" s="29"/>
      <c r="FD362" s="29"/>
      <c r="FE362" s="29"/>
      <c r="FF362" s="29"/>
      <c r="FG362" s="29"/>
      <c r="FH362" s="29"/>
      <c r="FI362" s="29"/>
      <c r="FJ362" s="29"/>
      <c r="FK362" s="29"/>
      <c r="FL362" s="1504">
        <v>45474</v>
      </c>
      <c r="FM362" s="19"/>
      <c r="FN362" s="93"/>
      <c r="FO362" s="93"/>
      <c r="FP362" s="93"/>
      <c r="FQ362" s="93"/>
      <c r="FR362" s="93"/>
      <c r="FS362" s="93"/>
      <c r="FT362" s="93"/>
      <c r="FU362" s="93"/>
      <c r="FV362" s="93"/>
      <c r="FW362" s="93"/>
      <c r="FX362" s="93"/>
      <c r="FY362" s="93"/>
      <c r="FZ362" s="29"/>
      <c r="GA362" s="1504">
        <v>45474</v>
      </c>
      <c r="GB362" s="19"/>
      <c r="GC362" s="93"/>
      <c r="GD362" s="93"/>
      <c r="GE362" s="93"/>
      <c r="GF362" s="93"/>
      <c r="GG362" s="93"/>
      <c r="GH362" s="93"/>
      <c r="GI362" s="93"/>
      <c r="GJ362" s="93"/>
      <c r="GK362" s="93"/>
      <c r="GL362" s="93"/>
      <c r="GM362" s="93"/>
      <c r="GN362" s="20"/>
      <c r="GO362" s="29"/>
      <c r="GP362" s="1504">
        <v>45474</v>
      </c>
      <c r="GQ362" s="19"/>
      <c r="GR362" s="93"/>
      <c r="GS362" s="93"/>
      <c r="GT362" s="93"/>
      <c r="GU362" s="93"/>
      <c r="GV362" s="20"/>
      <c r="GW362" s="19"/>
      <c r="GX362" s="93"/>
      <c r="GY362" s="93"/>
      <c r="GZ362" s="93"/>
      <c r="HA362" s="93"/>
      <c r="HB362" s="20"/>
      <c r="HC362" s="19"/>
      <c r="HD362" s="93"/>
      <c r="HE362" s="93"/>
      <c r="HF362" s="93"/>
      <c r="HG362" s="93"/>
      <c r="HH362" s="20"/>
      <c r="HI362" s="19"/>
      <c r="HJ362" s="93"/>
      <c r="HK362" s="93"/>
      <c r="HL362" s="93"/>
      <c r="HM362" s="93"/>
      <c r="HN362" s="20"/>
      <c r="HO362" s="219"/>
      <c r="HP362" s="20"/>
      <c r="HQ362" s="25"/>
      <c r="HR362" s="29"/>
      <c r="HS362" s="1504">
        <v>45474</v>
      </c>
      <c r="HT362" s="19"/>
      <c r="HU362" s="93"/>
      <c r="HV362" s="93"/>
      <c r="HW362" s="93"/>
      <c r="HX362" s="93"/>
      <c r="HY362" s="93"/>
      <c r="HZ362" s="93"/>
      <c r="IA362" s="20"/>
      <c r="IB362" s="19"/>
      <c r="IC362" s="93"/>
      <c r="ID362" s="93"/>
      <c r="IE362" s="93"/>
      <c r="IF362" s="93"/>
      <c r="IG362" s="20"/>
      <c r="IH362" s="19"/>
      <c r="II362" s="93"/>
      <c r="IJ362" s="93"/>
      <c r="IK362" s="93"/>
      <c r="IL362" s="93"/>
      <c r="IM362" s="93"/>
      <c r="IN362" s="93"/>
      <c r="IO362" s="20"/>
      <c r="IP362" s="29"/>
      <c r="IQ362" s="19"/>
      <c r="IR362" s="93"/>
      <c r="IS362" s="93"/>
      <c r="IT362" s="93"/>
      <c r="IU362" s="93"/>
      <c r="IV362" s="20"/>
      <c r="IW362" s="29"/>
      <c r="IX362" s="19"/>
      <c r="IY362" s="93"/>
      <c r="IZ362" s="93"/>
      <c r="JA362" s="93"/>
      <c r="JB362" s="93"/>
      <c r="JC362" s="93"/>
      <c r="JD362" s="93"/>
      <c r="JE362" s="20"/>
      <c r="JF362" s="29"/>
      <c r="JG362" s="19"/>
      <c r="JH362" s="93"/>
      <c r="JI362" s="93"/>
      <c r="JJ362" s="93"/>
      <c r="JK362" s="93"/>
      <c r="JL362" s="93"/>
      <c r="JM362" s="93"/>
      <c r="JN362" s="20"/>
      <c r="JO362" s="29"/>
      <c r="JP362" s="19"/>
      <c r="JQ362" s="93"/>
      <c r="JR362" s="93"/>
      <c r="JS362" s="93"/>
      <c r="JT362" s="93"/>
      <c r="JU362" s="20"/>
      <c r="JV362" s="29"/>
      <c r="JW362" s="1504">
        <v>45474</v>
      </c>
      <c r="JX362" s="19"/>
      <c r="JY362" s="93"/>
      <c r="JZ362" s="93"/>
      <c r="KA362" s="93"/>
      <c r="KB362" s="93"/>
      <c r="KC362" s="93"/>
      <c r="KD362" s="20"/>
      <c r="KE362" s="29"/>
      <c r="KF362" s="19"/>
      <c r="KG362" s="93"/>
      <c r="KH362" s="93"/>
      <c r="KI362" s="93"/>
      <c r="KJ362" s="93"/>
      <c r="KK362" s="20"/>
      <c r="KL362" s="29"/>
      <c r="KM362" s="19"/>
      <c r="KN362" s="93"/>
      <c r="KO362" s="93"/>
      <c r="KP362" s="93"/>
      <c r="KQ362" s="93"/>
      <c r="KR362" s="20"/>
      <c r="KS362" s="29"/>
      <c r="KT362" s="19"/>
      <c r="KU362" s="93"/>
      <c r="KV362" s="93"/>
      <c r="KW362" s="93"/>
      <c r="KX362" s="93"/>
      <c r="KY362" s="20"/>
      <c r="KZ362" s="29"/>
      <c r="LA362" s="1504">
        <v>45474</v>
      </c>
      <c r="LB362" s="19"/>
      <c r="LC362" s="93"/>
      <c r="LD362" s="93"/>
      <c r="LE362" s="93"/>
      <c r="LF362" s="93"/>
      <c r="LG362" s="93"/>
      <c r="LH362" s="20"/>
      <c r="LI362" s="29"/>
      <c r="LJ362" s="19"/>
      <c r="LK362" s="93"/>
      <c r="LL362" s="93"/>
      <c r="LM362" s="93"/>
      <c r="LN362" s="93"/>
      <c r="LO362" s="20"/>
      <c r="LP362" s="29"/>
      <c r="LQ362" s="19"/>
      <c r="LR362" s="93"/>
      <c r="LS362" s="93"/>
      <c r="LT362" s="93"/>
      <c r="LU362" s="93"/>
      <c r="LV362" s="93"/>
      <c r="LW362" s="93"/>
      <c r="LX362" s="93"/>
      <c r="LY362" s="93"/>
      <c r="LZ362" s="93"/>
      <c r="MA362" s="20"/>
      <c r="MB362" s="29"/>
      <c r="MC362" s="1504">
        <v>45474</v>
      </c>
      <c r="MD362" s="19"/>
      <c r="ME362" s="93"/>
      <c r="MF362" s="93"/>
      <c r="MG362" s="93"/>
      <c r="MH362" s="93"/>
      <c r="MI362" s="93"/>
      <c r="MJ362" s="93"/>
      <c r="MK362" s="93"/>
      <c r="ML362" s="93"/>
      <c r="MM362" s="93"/>
      <c r="MN362" s="93"/>
      <c r="MO362" s="93"/>
      <c r="MP362" s="93"/>
      <c r="MQ362" s="93"/>
      <c r="MR362" s="93"/>
      <c r="MS362" s="93"/>
      <c r="MT362" s="93"/>
      <c r="MU362" s="93"/>
      <c r="MV362" s="93"/>
      <c r="MW362" s="93"/>
      <c r="MX362" s="93"/>
      <c r="MY362" s="93"/>
      <c r="MZ362" s="93"/>
      <c r="NA362" s="93"/>
      <c r="NB362" s="93"/>
      <c r="NC362" s="93"/>
      <c r="ND362" s="93"/>
      <c r="NE362" s="93"/>
      <c r="NF362" s="93"/>
      <c r="NG362" s="93"/>
      <c r="NH362" s="93"/>
      <c r="NI362" s="93"/>
      <c r="NJ362" s="93"/>
      <c r="NK362" s="93"/>
      <c r="NL362" s="93"/>
      <c r="NM362" s="93"/>
      <c r="NN362" s="93"/>
      <c r="NO362" s="93"/>
      <c r="NP362" s="93"/>
      <c r="NQ362" s="93"/>
      <c r="NR362" s="93"/>
      <c r="NS362" s="93"/>
      <c r="NT362" s="93"/>
      <c r="NU362" s="93"/>
      <c r="NV362" s="93"/>
      <c r="NW362" s="93"/>
      <c r="NX362" s="93"/>
      <c r="NY362" s="93"/>
      <c r="NZ362" s="93"/>
      <c r="OA362" s="93"/>
      <c r="OB362" s="93"/>
      <c r="OC362" s="93"/>
      <c r="OD362" s="20"/>
      <c r="OE362" s="29"/>
      <c r="OF362" s="1504">
        <v>45474</v>
      </c>
      <c r="OG362" s="19"/>
      <c r="OH362" s="93"/>
      <c r="OI362" s="93"/>
      <c r="OJ362" s="93"/>
      <c r="OK362" s="93"/>
      <c r="OL362" s="93"/>
      <c r="OM362" s="93"/>
      <c r="ON362" s="93"/>
      <c r="OO362" s="93"/>
      <c r="OP362" s="93"/>
      <c r="OQ362" s="93"/>
      <c r="OR362" s="93"/>
      <c r="OS362" s="93"/>
      <c r="OT362" s="93"/>
      <c r="OU362" s="93"/>
      <c r="OV362" s="93"/>
      <c r="OW362" s="93"/>
      <c r="OX362" s="93"/>
      <c r="OY362" s="93"/>
      <c r="OZ362" s="93"/>
      <c r="PA362" s="93"/>
      <c r="PB362" s="93"/>
      <c r="PC362" s="20"/>
      <c r="PD362" s="29"/>
      <c r="PE362" s="19"/>
      <c r="PF362" s="93"/>
      <c r="PG362" s="93"/>
      <c r="PH362" s="93"/>
      <c r="PI362" s="93"/>
      <c r="PJ362" s="93"/>
      <c r="PK362" s="93"/>
      <c r="PL362" s="93"/>
      <c r="PM362" s="93"/>
      <c r="PN362" s="93"/>
      <c r="PO362" s="93"/>
      <c r="PP362" s="93"/>
      <c r="PQ362" s="93"/>
      <c r="PR362" s="93"/>
      <c r="PS362" s="93"/>
      <c r="PT362" s="93"/>
      <c r="PU362" s="93"/>
      <c r="PV362" s="93"/>
      <c r="PW362" s="93"/>
      <c r="PX362" s="93"/>
      <c r="PY362" s="93"/>
      <c r="PZ362" s="93"/>
      <c r="QA362" s="93"/>
      <c r="QB362" s="93"/>
      <c r="QC362" s="93"/>
      <c r="QD362" s="93"/>
      <c r="QE362" s="20"/>
      <c r="QF362" s="1739"/>
      <c r="QG362" s="19"/>
      <c r="QH362" s="93"/>
      <c r="QI362" s="93"/>
      <c r="QJ362" s="93"/>
      <c r="QK362" s="93"/>
      <c r="QL362" s="93"/>
      <c r="QM362" s="93"/>
      <c r="QN362" s="93"/>
      <c r="QO362" s="93"/>
      <c r="QP362" s="93"/>
      <c r="QQ362" s="93"/>
      <c r="QR362" s="93"/>
      <c r="QS362" s="93"/>
      <c r="QT362" s="93"/>
      <c r="QU362" s="93"/>
      <c r="QV362" s="93"/>
      <c r="QW362" s="93"/>
      <c r="QX362" s="93"/>
      <c r="QY362" s="93"/>
      <c r="QZ362" s="93"/>
      <c r="RA362" s="93"/>
      <c r="RB362" s="93"/>
      <c r="RC362" s="93"/>
      <c r="RD362" s="93"/>
      <c r="RE362" s="93"/>
      <c r="RF362" s="93"/>
      <c r="RG362" s="93"/>
      <c r="RH362" s="93"/>
      <c r="RI362" s="93"/>
      <c r="RJ362" s="93"/>
      <c r="RK362" s="93"/>
      <c r="RL362" s="93"/>
      <c r="RM362" s="20"/>
      <c r="RN362" s="29"/>
      <c r="RO362" s="19"/>
      <c r="RP362" s="20"/>
      <c r="RQ362" s="29"/>
      <c r="RR362" s="20"/>
      <c r="RS362" s="29"/>
      <c r="RT362" s="1504">
        <v>45474</v>
      </c>
      <c r="RU362" s="19"/>
      <c r="RV362" s="20"/>
      <c r="RW362" s="29"/>
      <c r="RX362" s="1504">
        <v>45474</v>
      </c>
      <c r="RY362" s="29"/>
      <c r="RZ362" s="20"/>
      <c r="SA362" s="29"/>
      <c r="SB362" s="29"/>
    </row>
    <row r="363" spans="1:496">
      <c r="A363" s="41">
        <f t="shared" si="346"/>
        <v>2024</v>
      </c>
      <c r="B363" s="1504">
        <v>45505</v>
      </c>
      <c r="C363" s="1813"/>
      <c r="D363" s="1814"/>
      <c r="E363" s="1814"/>
      <c r="F363" s="1815"/>
      <c r="G363" s="1814"/>
      <c r="H363" s="1814"/>
      <c r="I363" s="1814"/>
      <c r="J363" s="1816"/>
      <c r="K363" s="1807"/>
      <c r="L363" s="25"/>
      <c r="M363" s="97"/>
      <c r="N363" s="1504">
        <v>45505</v>
      </c>
      <c r="O363" s="19"/>
      <c r="P363" s="93"/>
      <c r="Q363" s="93"/>
      <c r="R363" s="93"/>
      <c r="S363" s="93"/>
      <c r="T363" s="93"/>
      <c r="U363" s="93"/>
      <c r="V363" s="93"/>
      <c r="W363" s="93"/>
      <c r="X363" s="93"/>
      <c r="Y363" s="93"/>
      <c r="Z363" s="93"/>
      <c r="AA363" s="93"/>
      <c r="AB363" s="20"/>
      <c r="AC363" s="25"/>
      <c r="AD363" s="97"/>
      <c r="AE363" s="1504">
        <v>45505</v>
      </c>
      <c r="AF363" s="19"/>
      <c r="AG363" s="93"/>
      <c r="AH363" s="93"/>
      <c r="AI363" s="93"/>
      <c r="AJ363" s="93"/>
      <c r="AK363" s="93"/>
      <c r="AL363" s="93"/>
      <c r="AM363" s="93"/>
      <c r="AN363" s="93"/>
      <c r="AO363" s="93"/>
      <c r="AP363" s="93"/>
      <c r="AQ363" s="93"/>
      <c r="AR363" s="93"/>
      <c r="AS363" s="20"/>
      <c r="AT363" s="25"/>
      <c r="AU363" s="97"/>
      <c r="AV363" s="1504">
        <v>45505</v>
      </c>
      <c r="AW363" s="19"/>
      <c r="AX363" s="93"/>
      <c r="AY363" s="93"/>
      <c r="AZ363" s="93"/>
      <c r="BA363" s="93"/>
      <c r="BB363" s="93"/>
      <c r="BC363" s="93"/>
      <c r="BD363" s="93"/>
      <c r="BE363" s="93"/>
      <c r="BF363" s="93"/>
      <c r="BG363" s="93"/>
      <c r="BH363" s="93"/>
      <c r="BI363" s="93"/>
      <c r="BJ363" s="20"/>
      <c r="BK363" s="25"/>
      <c r="BL363" s="97"/>
      <c r="BM363" s="1504">
        <v>45505</v>
      </c>
      <c r="BN363" s="19"/>
      <c r="BO363" s="93"/>
      <c r="BP363" s="93"/>
      <c r="BQ363" s="93"/>
      <c r="BR363" s="93"/>
      <c r="BS363" s="93"/>
      <c r="BT363" s="93"/>
      <c r="BU363" s="20"/>
      <c r="BV363" s="25"/>
      <c r="BW363" s="97"/>
      <c r="BX363" s="1504">
        <v>45505</v>
      </c>
      <c r="BY363" s="19"/>
      <c r="BZ363" s="93"/>
      <c r="CA363" s="93"/>
      <c r="CB363" s="93"/>
      <c r="CC363" s="93"/>
      <c r="CD363" s="25"/>
      <c r="CE363" s="97"/>
      <c r="CF363" s="1504">
        <v>45505</v>
      </c>
      <c r="CG363" s="19"/>
      <c r="CH363" s="93"/>
      <c r="CI363" s="219"/>
      <c r="CJ363" s="20"/>
      <c r="CK363" s="19"/>
      <c r="CL363" s="93"/>
      <c r="CM363" s="93"/>
      <c r="CN363" s="93"/>
      <c r="CO363" s="93"/>
      <c r="CP363" s="20"/>
      <c r="CQ363" s="219"/>
      <c r="CR363" s="93"/>
      <c r="CS363" s="93"/>
      <c r="CT363" s="93"/>
      <c r="CU363" s="93"/>
      <c r="CV363" s="214"/>
      <c r="CW363" s="29"/>
      <c r="CX363" s="41">
        <f t="shared" si="319"/>
        <v>2024</v>
      </c>
      <c r="CY363" s="1504">
        <v>45505</v>
      </c>
      <c r="CZ363" s="19"/>
      <c r="DA363" s="93"/>
      <c r="DB363" s="93"/>
      <c r="DC363" s="93"/>
      <c r="DD363" s="93"/>
      <c r="DE363" s="20"/>
      <c r="DF363" s="29"/>
      <c r="DG363" s="1504">
        <v>45505</v>
      </c>
      <c r="DH363" s="19"/>
      <c r="DI363" s="93"/>
      <c r="DJ363" s="93"/>
      <c r="DK363" s="93"/>
      <c r="DL363" s="93"/>
      <c r="DM363" s="93"/>
      <c r="DN363" s="20"/>
      <c r="DO363" s="295"/>
      <c r="DP363" s="29"/>
      <c r="DQ363" s="1504">
        <v>45505</v>
      </c>
      <c r="DR363" s="19"/>
      <c r="DS363" s="93"/>
      <c r="DT363" s="93"/>
      <c r="DU363" s="93"/>
      <c r="DV363" s="93"/>
      <c r="DW363" s="93"/>
      <c r="DX363" s="20"/>
      <c r="DY363" s="29"/>
      <c r="DZ363" s="1504">
        <v>45505</v>
      </c>
      <c r="EA363" s="19"/>
      <c r="EB363" s="93"/>
      <c r="EC363" s="20"/>
      <c r="ED363" s="29"/>
      <c r="EE363" s="1504">
        <v>45505</v>
      </c>
      <c r="EF363" s="19"/>
      <c r="EG363" s="93"/>
      <c r="EH363" s="93"/>
      <c r="EI363" s="214"/>
      <c r="EJ363" s="93"/>
      <c r="EK363" s="93"/>
      <c r="EL363" s="93"/>
      <c r="EM363" s="93"/>
      <c r="EN363" s="20"/>
      <c r="EO363" s="29"/>
      <c r="EP363" s="1504">
        <v>45505</v>
      </c>
      <c r="EQ363" s="19"/>
      <c r="ER363" s="93"/>
      <c r="ES363" s="93"/>
      <c r="ET363" s="214"/>
      <c r="EU363" s="93"/>
      <c r="EV363" s="93"/>
      <c r="EW363" s="93"/>
      <c r="EX363" s="93"/>
      <c r="EY363" s="20"/>
      <c r="EZ363" s="29"/>
      <c r="FA363" s="1504">
        <v>45505</v>
      </c>
      <c r="FB363" s="29"/>
      <c r="FC363" s="29"/>
      <c r="FD363" s="29"/>
      <c r="FE363" s="29"/>
      <c r="FF363" s="29"/>
      <c r="FG363" s="29"/>
      <c r="FH363" s="29"/>
      <c r="FI363" s="29"/>
      <c r="FJ363" s="29"/>
      <c r="FK363" s="29"/>
      <c r="FL363" s="1504">
        <v>45505</v>
      </c>
      <c r="FM363" s="19"/>
      <c r="FN363" s="93"/>
      <c r="FO363" s="93"/>
      <c r="FP363" s="93"/>
      <c r="FQ363" s="93"/>
      <c r="FR363" s="93"/>
      <c r="FS363" s="93"/>
      <c r="FT363" s="93"/>
      <c r="FU363" s="93"/>
      <c r="FV363" s="93"/>
      <c r="FW363" s="93"/>
      <c r="FX363" s="93"/>
      <c r="FY363" s="93"/>
      <c r="FZ363" s="29"/>
      <c r="GA363" s="1504">
        <v>45505</v>
      </c>
      <c r="GB363" s="19"/>
      <c r="GC363" s="93"/>
      <c r="GD363" s="93"/>
      <c r="GE363" s="93"/>
      <c r="GF363" s="93"/>
      <c r="GG363" s="93"/>
      <c r="GH363" s="93"/>
      <c r="GI363" s="93"/>
      <c r="GJ363" s="93"/>
      <c r="GK363" s="93"/>
      <c r="GL363" s="93"/>
      <c r="GM363" s="93"/>
      <c r="GN363" s="20"/>
      <c r="GO363" s="29"/>
      <c r="GP363" s="1504">
        <v>45505</v>
      </c>
      <c r="GQ363" s="19"/>
      <c r="GR363" s="93"/>
      <c r="GS363" s="93"/>
      <c r="GT363" s="93"/>
      <c r="GU363" s="93"/>
      <c r="GV363" s="20"/>
      <c r="GW363" s="19"/>
      <c r="GX363" s="93"/>
      <c r="GY363" s="93"/>
      <c r="GZ363" s="93"/>
      <c r="HA363" s="93"/>
      <c r="HB363" s="20"/>
      <c r="HC363" s="19"/>
      <c r="HD363" s="93"/>
      <c r="HE363" s="93"/>
      <c r="HF363" s="93"/>
      <c r="HG363" s="93"/>
      <c r="HH363" s="20"/>
      <c r="HI363" s="19"/>
      <c r="HJ363" s="93"/>
      <c r="HK363" s="93"/>
      <c r="HL363" s="93"/>
      <c r="HM363" s="93"/>
      <c r="HN363" s="20"/>
      <c r="HO363" s="219"/>
      <c r="HP363" s="20"/>
      <c r="HQ363" s="25"/>
      <c r="HR363" s="29"/>
      <c r="HS363" s="1504">
        <v>45505</v>
      </c>
      <c r="HT363" s="19"/>
      <c r="HU363" s="93"/>
      <c r="HV363" s="93"/>
      <c r="HW363" s="93"/>
      <c r="HX363" s="93"/>
      <c r="HY363" s="93"/>
      <c r="HZ363" s="93"/>
      <c r="IA363" s="20"/>
      <c r="IB363" s="19"/>
      <c r="IC363" s="93"/>
      <c r="ID363" s="93"/>
      <c r="IE363" s="93"/>
      <c r="IF363" s="93"/>
      <c r="IG363" s="20"/>
      <c r="IH363" s="19"/>
      <c r="II363" s="93"/>
      <c r="IJ363" s="93"/>
      <c r="IK363" s="93"/>
      <c r="IL363" s="93"/>
      <c r="IM363" s="93"/>
      <c r="IN363" s="93"/>
      <c r="IO363" s="20"/>
      <c r="IP363" s="29"/>
      <c r="IQ363" s="19"/>
      <c r="IR363" s="93"/>
      <c r="IS363" s="93"/>
      <c r="IT363" s="93"/>
      <c r="IU363" s="93"/>
      <c r="IV363" s="20"/>
      <c r="IW363" s="29"/>
      <c r="IX363" s="19"/>
      <c r="IY363" s="93"/>
      <c r="IZ363" s="93"/>
      <c r="JA363" s="93"/>
      <c r="JB363" s="93"/>
      <c r="JC363" s="93"/>
      <c r="JD363" s="93"/>
      <c r="JE363" s="20"/>
      <c r="JF363" s="29"/>
      <c r="JG363" s="19"/>
      <c r="JH363" s="93"/>
      <c r="JI363" s="93"/>
      <c r="JJ363" s="93"/>
      <c r="JK363" s="93"/>
      <c r="JL363" s="93"/>
      <c r="JM363" s="93"/>
      <c r="JN363" s="20"/>
      <c r="JO363" s="29"/>
      <c r="JP363" s="19"/>
      <c r="JQ363" s="93"/>
      <c r="JR363" s="93"/>
      <c r="JS363" s="93"/>
      <c r="JT363" s="93"/>
      <c r="JU363" s="20"/>
      <c r="JV363" s="29"/>
      <c r="JW363" s="1504">
        <v>45505</v>
      </c>
      <c r="JX363" s="19"/>
      <c r="JY363" s="93"/>
      <c r="JZ363" s="93"/>
      <c r="KA363" s="93"/>
      <c r="KB363" s="93"/>
      <c r="KC363" s="93"/>
      <c r="KD363" s="20"/>
      <c r="KE363" s="29"/>
      <c r="KF363" s="19"/>
      <c r="KG363" s="93"/>
      <c r="KH363" s="93"/>
      <c r="KI363" s="93"/>
      <c r="KJ363" s="93"/>
      <c r="KK363" s="20"/>
      <c r="KL363" s="29"/>
      <c r="KM363" s="19"/>
      <c r="KN363" s="93"/>
      <c r="KO363" s="93"/>
      <c r="KP363" s="93"/>
      <c r="KQ363" s="93"/>
      <c r="KR363" s="20"/>
      <c r="KS363" s="29"/>
      <c r="KT363" s="19"/>
      <c r="KU363" s="93"/>
      <c r="KV363" s="93"/>
      <c r="KW363" s="93"/>
      <c r="KX363" s="93"/>
      <c r="KY363" s="20"/>
      <c r="KZ363" s="29"/>
      <c r="LA363" s="1504">
        <v>45505</v>
      </c>
      <c r="LB363" s="19"/>
      <c r="LC363" s="93"/>
      <c r="LD363" s="93"/>
      <c r="LE363" s="93"/>
      <c r="LF363" s="93"/>
      <c r="LG363" s="93"/>
      <c r="LH363" s="20"/>
      <c r="LI363" s="29"/>
      <c r="LJ363" s="19"/>
      <c r="LK363" s="93"/>
      <c r="LL363" s="93"/>
      <c r="LM363" s="93"/>
      <c r="LN363" s="93"/>
      <c r="LO363" s="20"/>
      <c r="LP363" s="29"/>
      <c r="LQ363" s="19"/>
      <c r="LR363" s="93"/>
      <c r="LS363" s="93"/>
      <c r="LT363" s="93"/>
      <c r="LU363" s="93"/>
      <c r="LV363" s="93"/>
      <c r="LW363" s="93"/>
      <c r="LX363" s="93"/>
      <c r="LY363" s="93"/>
      <c r="LZ363" s="93"/>
      <c r="MA363" s="20"/>
      <c r="MB363" s="29"/>
      <c r="MC363" s="1504">
        <v>45505</v>
      </c>
      <c r="MD363" s="19"/>
      <c r="ME363" s="93"/>
      <c r="MF363" s="93"/>
      <c r="MG363" s="93"/>
      <c r="MH363" s="93"/>
      <c r="MI363" s="93"/>
      <c r="MJ363" s="93"/>
      <c r="MK363" s="93"/>
      <c r="ML363" s="93"/>
      <c r="MM363" s="93"/>
      <c r="MN363" s="93"/>
      <c r="MO363" s="93"/>
      <c r="MP363" s="93"/>
      <c r="MQ363" s="93"/>
      <c r="MR363" s="93"/>
      <c r="MS363" s="93"/>
      <c r="MT363" s="93"/>
      <c r="MU363" s="93"/>
      <c r="MV363" s="93"/>
      <c r="MW363" s="93"/>
      <c r="MX363" s="93"/>
      <c r="MY363" s="93"/>
      <c r="MZ363" s="93"/>
      <c r="NA363" s="93"/>
      <c r="NB363" s="93"/>
      <c r="NC363" s="93"/>
      <c r="ND363" s="93"/>
      <c r="NE363" s="93"/>
      <c r="NF363" s="93"/>
      <c r="NG363" s="93"/>
      <c r="NH363" s="93"/>
      <c r="NI363" s="93"/>
      <c r="NJ363" s="93"/>
      <c r="NK363" s="93"/>
      <c r="NL363" s="93"/>
      <c r="NM363" s="93"/>
      <c r="NN363" s="93"/>
      <c r="NO363" s="93"/>
      <c r="NP363" s="93"/>
      <c r="NQ363" s="93"/>
      <c r="NR363" s="93"/>
      <c r="NS363" s="93"/>
      <c r="NT363" s="93"/>
      <c r="NU363" s="93"/>
      <c r="NV363" s="93"/>
      <c r="NW363" s="93"/>
      <c r="NX363" s="93"/>
      <c r="NY363" s="93"/>
      <c r="NZ363" s="93"/>
      <c r="OA363" s="93"/>
      <c r="OB363" s="93"/>
      <c r="OC363" s="93"/>
      <c r="OD363" s="20"/>
      <c r="OE363" s="29"/>
      <c r="OF363" s="1504">
        <v>45505</v>
      </c>
      <c r="OG363" s="19"/>
      <c r="OH363" s="93"/>
      <c r="OI363" s="93"/>
      <c r="OJ363" s="93"/>
      <c r="OK363" s="93"/>
      <c r="OL363" s="93"/>
      <c r="OM363" s="93"/>
      <c r="ON363" s="93"/>
      <c r="OO363" s="93"/>
      <c r="OP363" s="93"/>
      <c r="OQ363" s="93"/>
      <c r="OR363" s="93"/>
      <c r="OS363" s="93"/>
      <c r="OT363" s="93"/>
      <c r="OU363" s="93"/>
      <c r="OV363" s="93"/>
      <c r="OW363" s="93"/>
      <c r="OX363" s="93"/>
      <c r="OY363" s="93"/>
      <c r="OZ363" s="93"/>
      <c r="PA363" s="93"/>
      <c r="PB363" s="93"/>
      <c r="PC363" s="20"/>
      <c r="PD363" s="29"/>
      <c r="PE363" s="19"/>
      <c r="PF363" s="93"/>
      <c r="PG363" s="93"/>
      <c r="PH363" s="93"/>
      <c r="PI363" s="93"/>
      <c r="PJ363" s="93"/>
      <c r="PK363" s="93"/>
      <c r="PL363" s="93"/>
      <c r="PM363" s="93"/>
      <c r="PN363" s="93"/>
      <c r="PO363" s="93"/>
      <c r="PP363" s="93"/>
      <c r="PQ363" s="93"/>
      <c r="PR363" s="93"/>
      <c r="PS363" s="93"/>
      <c r="PT363" s="93"/>
      <c r="PU363" s="93"/>
      <c r="PV363" s="93"/>
      <c r="PW363" s="93"/>
      <c r="PX363" s="93"/>
      <c r="PY363" s="93"/>
      <c r="PZ363" s="93"/>
      <c r="QA363" s="93"/>
      <c r="QB363" s="93"/>
      <c r="QC363" s="93"/>
      <c r="QD363" s="93"/>
      <c r="QE363" s="20"/>
      <c r="QF363" s="1739"/>
      <c r="QG363" s="19"/>
      <c r="QH363" s="93"/>
      <c r="QI363" s="93"/>
      <c r="QJ363" s="93"/>
      <c r="QK363" s="93"/>
      <c r="QL363" s="93"/>
      <c r="QM363" s="93"/>
      <c r="QN363" s="93"/>
      <c r="QO363" s="93"/>
      <c r="QP363" s="93"/>
      <c r="QQ363" s="93"/>
      <c r="QR363" s="93"/>
      <c r="QS363" s="93"/>
      <c r="QT363" s="93"/>
      <c r="QU363" s="93"/>
      <c r="QV363" s="93"/>
      <c r="QW363" s="93"/>
      <c r="QX363" s="93"/>
      <c r="QY363" s="93"/>
      <c r="QZ363" s="93"/>
      <c r="RA363" s="93"/>
      <c r="RB363" s="93"/>
      <c r="RC363" s="93"/>
      <c r="RD363" s="93"/>
      <c r="RE363" s="93"/>
      <c r="RF363" s="93"/>
      <c r="RG363" s="93"/>
      <c r="RH363" s="93"/>
      <c r="RI363" s="93"/>
      <c r="RJ363" s="93"/>
      <c r="RK363" s="93"/>
      <c r="RL363" s="93"/>
      <c r="RM363" s="20"/>
      <c r="RN363" s="29"/>
      <c r="RO363" s="19"/>
      <c r="RP363" s="20"/>
      <c r="RQ363" s="29"/>
      <c r="RR363" s="20"/>
      <c r="RS363" s="29"/>
      <c r="RT363" s="1504">
        <v>45505</v>
      </c>
      <c r="RU363" s="19"/>
      <c r="RV363" s="20"/>
      <c r="RW363" s="29"/>
      <c r="RX363" s="1504">
        <v>45505</v>
      </c>
      <c r="RY363" s="29"/>
      <c r="RZ363" s="20"/>
      <c r="SA363" s="29"/>
      <c r="SB363" s="29"/>
    </row>
    <row r="364" spans="1:496">
      <c r="A364" s="41">
        <f t="shared" si="346"/>
        <v>2024</v>
      </c>
      <c r="B364" s="1504">
        <v>45536</v>
      </c>
      <c r="C364" s="1813"/>
      <c r="D364" s="1814"/>
      <c r="E364" s="1814"/>
      <c r="F364" s="1815"/>
      <c r="G364" s="1814"/>
      <c r="H364" s="1814"/>
      <c r="I364" s="1814"/>
      <c r="J364" s="1816"/>
      <c r="K364" s="1807"/>
      <c r="L364" s="25"/>
      <c r="M364" s="97"/>
      <c r="N364" s="1504">
        <v>45536</v>
      </c>
      <c r="O364" s="19"/>
      <c r="P364" s="93"/>
      <c r="Q364" s="93"/>
      <c r="R364" s="93"/>
      <c r="S364" s="93"/>
      <c r="T364" s="93"/>
      <c r="U364" s="93"/>
      <c r="V364" s="93"/>
      <c r="W364" s="93"/>
      <c r="X364" s="93"/>
      <c r="Y364" s="93"/>
      <c r="Z364" s="93"/>
      <c r="AA364" s="93"/>
      <c r="AB364" s="20"/>
      <c r="AC364" s="25"/>
      <c r="AD364" s="97"/>
      <c r="AE364" s="1504">
        <v>45536</v>
      </c>
      <c r="AF364" s="19"/>
      <c r="AG364" s="93"/>
      <c r="AH364" s="93"/>
      <c r="AI364" s="93"/>
      <c r="AJ364" s="93"/>
      <c r="AK364" s="93"/>
      <c r="AL364" s="93"/>
      <c r="AM364" s="93"/>
      <c r="AN364" s="93"/>
      <c r="AO364" s="93"/>
      <c r="AP364" s="93"/>
      <c r="AQ364" s="93"/>
      <c r="AR364" s="93"/>
      <c r="AS364" s="20"/>
      <c r="AT364" s="25"/>
      <c r="AU364" s="97"/>
      <c r="AV364" s="1504">
        <v>45536</v>
      </c>
      <c r="AW364" s="19"/>
      <c r="AX364" s="93"/>
      <c r="AY364" s="93"/>
      <c r="AZ364" s="93"/>
      <c r="BA364" s="93"/>
      <c r="BB364" s="93"/>
      <c r="BC364" s="93"/>
      <c r="BD364" s="93"/>
      <c r="BE364" s="93"/>
      <c r="BF364" s="93"/>
      <c r="BG364" s="93"/>
      <c r="BH364" s="93"/>
      <c r="BI364" s="93"/>
      <c r="BJ364" s="20"/>
      <c r="BK364" s="25"/>
      <c r="BL364" s="97"/>
      <c r="BM364" s="1504">
        <v>45536</v>
      </c>
      <c r="BN364" s="19"/>
      <c r="BO364" s="93"/>
      <c r="BP364" s="93"/>
      <c r="BQ364" s="93"/>
      <c r="BR364" s="93"/>
      <c r="BS364" s="93"/>
      <c r="BT364" s="93"/>
      <c r="BU364" s="20"/>
      <c r="BV364" s="25"/>
      <c r="BW364" s="97"/>
      <c r="BX364" s="1504">
        <v>45536</v>
      </c>
      <c r="BY364" s="19"/>
      <c r="BZ364" s="93"/>
      <c r="CA364" s="93"/>
      <c r="CB364" s="93"/>
      <c r="CC364" s="93"/>
      <c r="CD364" s="25"/>
      <c r="CE364" s="97"/>
      <c r="CF364" s="1504">
        <v>45536</v>
      </c>
      <c r="CG364" s="19"/>
      <c r="CH364" s="93"/>
      <c r="CI364" s="219"/>
      <c r="CJ364" s="20"/>
      <c r="CK364" s="19"/>
      <c r="CL364" s="93"/>
      <c r="CM364" s="93"/>
      <c r="CN364" s="93"/>
      <c r="CO364" s="93"/>
      <c r="CP364" s="20"/>
      <c r="CQ364" s="219"/>
      <c r="CR364" s="93"/>
      <c r="CS364" s="93"/>
      <c r="CT364" s="93"/>
      <c r="CU364" s="93"/>
      <c r="CV364" s="214"/>
      <c r="CW364" s="29"/>
      <c r="CX364" s="41">
        <f t="shared" si="319"/>
        <v>2024</v>
      </c>
      <c r="CY364" s="1504">
        <v>45536</v>
      </c>
      <c r="CZ364" s="19"/>
      <c r="DA364" s="93"/>
      <c r="DB364" s="93"/>
      <c r="DC364" s="93"/>
      <c r="DD364" s="93"/>
      <c r="DE364" s="20"/>
      <c r="DF364" s="29"/>
      <c r="DG364" s="1504">
        <v>45536</v>
      </c>
      <c r="DH364" s="19"/>
      <c r="DI364" s="93"/>
      <c r="DJ364" s="93"/>
      <c r="DK364" s="93"/>
      <c r="DL364" s="93"/>
      <c r="DM364" s="93"/>
      <c r="DN364" s="20"/>
      <c r="DO364" s="295"/>
      <c r="DP364" s="29"/>
      <c r="DQ364" s="1504">
        <v>45536</v>
      </c>
      <c r="DR364" s="19"/>
      <c r="DS364" s="93"/>
      <c r="DT364" s="93"/>
      <c r="DU364" s="93"/>
      <c r="DV364" s="93"/>
      <c r="DW364" s="93"/>
      <c r="DX364" s="20"/>
      <c r="DY364" s="29"/>
      <c r="DZ364" s="1504">
        <v>45536</v>
      </c>
      <c r="EA364" s="19"/>
      <c r="EB364" s="93"/>
      <c r="EC364" s="20"/>
      <c r="ED364" s="29"/>
      <c r="EE364" s="1504">
        <v>45536</v>
      </c>
      <c r="EF364" s="19"/>
      <c r="EG364" s="93"/>
      <c r="EH364" s="93"/>
      <c r="EI364" s="214"/>
      <c r="EJ364" s="93"/>
      <c r="EK364" s="93"/>
      <c r="EL364" s="93"/>
      <c r="EM364" s="93"/>
      <c r="EN364" s="20"/>
      <c r="EO364" s="29"/>
      <c r="EP364" s="1504">
        <v>45536</v>
      </c>
      <c r="EQ364" s="19"/>
      <c r="ER364" s="93"/>
      <c r="ES364" s="93"/>
      <c r="ET364" s="214"/>
      <c r="EU364" s="93"/>
      <c r="EV364" s="93"/>
      <c r="EW364" s="93"/>
      <c r="EX364" s="93"/>
      <c r="EY364" s="20"/>
      <c r="EZ364" s="29"/>
      <c r="FA364" s="1504">
        <v>45536</v>
      </c>
      <c r="FB364" s="29"/>
      <c r="FC364" s="29"/>
      <c r="FD364" s="29"/>
      <c r="FE364" s="29"/>
      <c r="FF364" s="29"/>
      <c r="FG364" s="29"/>
      <c r="FH364" s="29"/>
      <c r="FI364" s="29"/>
      <c r="FJ364" s="29"/>
      <c r="FK364" s="29"/>
      <c r="FL364" s="1504">
        <v>45536</v>
      </c>
      <c r="FM364" s="19"/>
      <c r="FN364" s="93"/>
      <c r="FO364" s="93"/>
      <c r="FP364" s="93"/>
      <c r="FQ364" s="93"/>
      <c r="FR364" s="93"/>
      <c r="FS364" s="93"/>
      <c r="FT364" s="93"/>
      <c r="FU364" s="93"/>
      <c r="FV364" s="93"/>
      <c r="FW364" s="93"/>
      <c r="FX364" s="93"/>
      <c r="FY364" s="93"/>
      <c r="FZ364" s="29"/>
      <c r="GA364" s="1504">
        <v>45536</v>
      </c>
      <c r="GB364" s="19"/>
      <c r="GC364" s="93"/>
      <c r="GD364" s="93"/>
      <c r="GE364" s="93"/>
      <c r="GF364" s="93"/>
      <c r="GG364" s="93"/>
      <c r="GH364" s="93"/>
      <c r="GI364" s="93"/>
      <c r="GJ364" s="93"/>
      <c r="GK364" s="93"/>
      <c r="GL364" s="93"/>
      <c r="GM364" s="93"/>
      <c r="GN364" s="20"/>
      <c r="GO364" s="29"/>
      <c r="GP364" s="1504">
        <v>45536</v>
      </c>
      <c r="GQ364" s="19"/>
      <c r="GR364" s="93"/>
      <c r="GS364" s="93"/>
      <c r="GT364" s="93"/>
      <c r="GU364" s="93"/>
      <c r="GV364" s="20"/>
      <c r="GW364" s="19"/>
      <c r="GX364" s="93"/>
      <c r="GY364" s="93"/>
      <c r="GZ364" s="93"/>
      <c r="HA364" s="93"/>
      <c r="HB364" s="20"/>
      <c r="HC364" s="19"/>
      <c r="HD364" s="93"/>
      <c r="HE364" s="93"/>
      <c r="HF364" s="93"/>
      <c r="HG364" s="93"/>
      <c r="HH364" s="20"/>
      <c r="HI364" s="19"/>
      <c r="HJ364" s="93"/>
      <c r="HK364" s="93"/>
      <c r="HL364" s="93"/>
      <c r="HM364" s="93"/>
      <c r="HN364" s="20"/>
      <c r="HO364" s="219"/>
      <c r="HP364" s="20"/>
      <c r="HQ364" s="25"/>
      <c r="HR364" s="29"/>
      <c r="HS364" s="1504">
        <v>45536</v>
      </c>
      <c r="HT364" s="19"/>
      <c r="HU364" s="93"/>
      <c r="HV364" s="93"/>
      <c r="HW364" s="93"/>
      <c r="HX364" s="93"/>
      <c r="HY364" s="93"/>
      <c r="HZ364" s="93"/>
      <c r="IA364" s="20"/>
      <c r="IB364" s="19"/>
      <c r="IC364" s="93"/>
      <c r="ID364" s="93"/>
      <c r="IE364" s="93"/>
      <c r="IF364" s="93"/>
      <c r="IG364" s="20"/>
      <c r="IH364" s="19"/>
      <c r="II364" s="93"/>
      <c r="IJ364" s="93"/>
      <c r="IK364" s="93"/>
      <c r="IL364" s="93"/>
      <c r="IM364" s="93"/>
      <c r="IN364" s="93"/>
      <c r="IO364" s="20"/>
      <c r="IP364" s="29"/>
      <c r="IQ364" s="19"/>
      <c r="IR364" s="93"/>
      <c r="IS364" s="93"/>
      <c r="IT364" s="93"/>
      <c r="IU364" s="93"/>
      <c r="IV364" s="20"/>
      <c r="IW364" s="29"/>
      <c r="IX364" s="19"/>
      <c r="IY364" s="93"/>
      <c r="IZ364" s="93"/>
      <c r="JA364" s="93"/>
      <c r="JB364" s="93"/>
      <c r="JC364" s="93"/>
      <c r="JD364" s="93"/>
      <c r="JE364" s="20"/>
      <c r="JF364" s="29"/>
      <c r="JG364" s="19"/>
      <c r="JH364" s="93"/>
      <c r="JI364" s="93"/>
      <c r="JJ364" s="93"/>
      <c r="JK364" s="93"/>
      <c r="JL364" s="93"/>
      <c r="JM364" s="93"/>
      <c r="JN364" s="20"/>
      <c r="JO364" s="29"/>
      <c r="JP364" s="19"/>
      <c r="JQ364" s="93"/>
      <c r="JR364" s="93"/>
      <c r="JS364" s="93"/>
      <c r="JT364" s="93"/>
      <c r="JU364" s="20"/>
      <c r="JV364" s="29"/>
      <c r="JW364" s="1504">
        <v>45536</v>
      </c>
      <c r="JX364" s="19"/>
      <c r="JY364" s="93"/>
      <c r="JZ364" s="93"/>
      <c r="KA364" s="93"/>
      <c r="KB364" s="93"/>
      <c r="KC364" s="93"/>
      <c r="KD364" s="20"/>
      <c r="KE364" s="29"/>
      <c r="KF364" s="19"/>
      <c r="KG364" s="93"/>
      <c r="KH364" s="93"/>
      <c r="KI364" s="93"/>
      <c r="KJ364" s="93"/>
      <c r="KK364" s="20"/>
      <c r="KL364" s="29"/>
      <c r="KM364" s="19"/>
      <c r="KN364" s="93"/>
      <c r="KO364" s="93"/>
      <c r="KP364" s="93"/>
      <c r="KQ364" s="93"/>
      <c r="KR364" s="20"/>
      <c r="KS364" s="29"/>
      <c r="KT364" s="19"/>
      <c r="KU364" s="93"/>
      <c r="KV364" s="93"/>
      <c r="KW364" s="93"/>
      <c r="KX364" s="93"/>
      <c r="KY364" s="20"/>
      <c r="KZ364" s="29"/>
      <c r="LA364" s="1504">
        <v>45536</v>
      </c>
      <c r="LB364" s="19"/>
      <c r="LC364" s="93"/>
      <c r="LD364" s="93"/>
      <c r="LE364" s="93"/>
      <c r="LF364" s="93"/>
      <c r="LG364" s="93"/>
      <c r="LH364" s="20"/>
      <c r="LI364" s="29"/>
      <c r="LJ364" s="19"/>
      <c r="LK364" s="93"/>
      <c r="LL364" s="93"/>
      <c r="LM364" s="93"/>
      <c r="LN364" s="93"/>
      <c r="LO364" s="20"/>
      <c r="LP364" s="29"/>
      <c r="LQ364" s="19"/>
      <c r="LR364" s="93"/>
      <c r="LS364" s="93"/>
      <c r="LT364" s="93"/>
      <c r="LU364" s="93"/>
      <c r="LV364" s="93"/>
      <c r="LW364" s="93"/>
      <c r="LX364" s="93"/>
      <c r="LY364" s="93"/>
      <c r="LZ364" s="93"/>
      <c r="MA364" s="20"/>
      <c r="MB364" s="29"/>
      <c r="MC364" s="1504">
        <v>45536</v>
      </c>
      <c r="MD364" s="19"/>
      <c r="ME364" s="93"/>
      <c r="MF364" s="93"/>
      <c r="MG364" s="93"/>
      <c r="MH364" s="93"/>
      <c r="MI364" s="93"/>
      <c r="MJ364" s="93"/>
      <c r="MK364" s="93"/>
      <c r="ML364" s="93"/>
      <c r="MM364" s="93"/>
      <c r="MN364" s="93"/>
      <c r="MO364" s="93"/>
      <c r="MP364" s="93"/>
      <c r="MQ364" s="93"/>
      <c r="MR364" s="93"/>
      <c r="MS364" s="93"/>
      <c r="MT364" s="93"/>
      <c r="MU364" s="93"/>
      <c r="MV364" s="93"/>
      <c r="MW364" s="93"/>
      <c r="MX364" s="93"/>
      <c r="MY364" s="93"/>
      <c r="MZ364" s="93"/>
      <c r="NA364" s="93"/>
      <c r="NB364" s="93"/>
      <c r="NC364" s="93"/>
      <c r="ND364" s="93"/>
      <c r="NE364" s="93"/>
      <c r="NF364" s="93"/>
      <c r="NG364" s="93"/>
      <c r="NH364" s="93"/>
      <c r="NI364" s="93"/>
      <c r="NJ364" s="93"/>
      <c r="NK364" s="93"/>
      <c r="NL364" s="93"/>
      <c r="NM364" s="93"/>
      <c r="NN364" s="93"/>
      <c r="NO364" s="93"/>
      <c r="NP364" s="93"/>
      <c r="NQ364" s="93"/>
      <c r="NR364" s="93"/>
      <c r="NS364" s="93"/>
      <c r="NT364" s="93"/>
      <c r="NU364" s="93"/>
      <c r="NV364" s="93"/>
      <c r="NW364" s="93"/>
      <c r="NX364" s="93"/>
      <c r="NY364" s="93"/>
      <c r="NZ364" s="93"/>
      <c r="OA364" s="93"/>
      <c r="OB364" s="93"/>
      <c r="OC364" s="93"/>
      <c r="OD364" s="20"/>
      <c r="OE364" s="29"/>
      <c r="OF364" s="1504">
        <v>45536</v>
      </c>
      <c r="OG364" s="19"/>
      <c r="OH364" s="93"/>
      <c r="OI364" s="93"/>
      <c r="OJ364" s="93"/>
      <c r="OK364" s="93"/>
      <c r="OL364" s="93"/>
      <c r="OM364" s="93"/>
      <c r="ON364" s="93"/>
      <c r="OO364" s="93"/>
      <c r="OP364" s="93"/>
      <c r="OQ364" s="93"/>
      <c r="OR364" s="93"/>
      <c r="OS364" s="93"/>
      <c r="OT364" s="93"/>
      <c r="OU364" s="93"/>
      <c r="OV364" s="93"/>
      <c r="OW364" s="93"/>
      <c r="OX364" s="93"/>
      <c r="OY364" s="93"/>
      <c r="OZ364" s="93"/>
      <c r="PA364" s="93"/>
      <c r="PB364" s="93"/>
      <c r="PC364" s="20"/>
      <c r="PD364" s="29"/>
      <c r="PE364" s="19"/>
      <c r="PF364" s="93"/>
      <c r="PG364" s="93"/>
      <c r="PH364" s="93"/>
      <c r="PI364" s="93"/>
      <c r="PJ364" s="93"/>
      <c r="PK364" s="93"/>
      <c r="PL364" s="93"/>
      <c r="PM364" s="93"/>
      <c r="PN364" s="93"/>
      <c r="PO364" s="93"/>
      <c r="PP364" s="93"/>
      <c r="PQ364" s="93"/>
      <c r="PR364" s="93"/>
      <c r="PS364" s="93"/>
      <c r="PT364" s="93"/>
      <c r="PU364" s="93"/>
      <c r="PV364" s="93"/>
      <c r="PW364" s="93"/>
      <c r="PX364" s="93"/>
      <c r="PY364" s="93"/>
      <c r="PZ364" s="93"/>
      <c r="QA364" s="93"/>
      <c r="QB364" s="93"/>
      <c r="QC364" s="93"/>
      <c r="QD364" s="93"/>
      <c r="QE364" s="20"/>
      <c r="QF364" s="1739"/>
      <c r="QG364" s="19"/>
      <c r="QH364" s="93"/>
      <c r="QI364" s="93"/>
      <c r="QJ364" s="93"/>
      <c r="QK364" s="93"/>
      <c r="QL364" s="93"/>
      <c r="QM364" s="93"/>
      <c r="QN364" s="93"/>
      <c r="QO364" s="93"/>
      <c r="QP364" s="93"/>
      <c r="QQ364" s="93"/>
      <c r="QR364" s="93"/>
      <c r="QS364" s="93"/>
      <c r="QT364" s="93"/>
      <c r="QU364" s="93"/>
      <c r="QV364" s="93"/>
      <c r="QW364" s="93"/>
      <c r="QX364" s="93"/>
      <c r="QY364" s="93"/>
      <c r="QZ364" s="93"/>
      <c r="RA364" s="93"/>
      <c r="RB364" s="93"/>
      <c r="RC364" s="93"/>
      <c r="RD364" s="93"/>
      <c r="RE364" s="93"/>
      <c r="RF364" s="93"/>
      <c r="RG364" s="93"/>
      <c r="RH364" s="93"/>
      <c r="RI364" s="93"/>
      <c r="RJ364" s="93"/>
      <c r="RK364" s="93"/>
      <c r="RL364" s="93"/>
      <c r="RM364" s="20"/>
      <c r="RN364" s="29"/>
      <c r="RO364" s="19"/>
      <c r="RP364" s="20"/>
      <c r="RQ364" s="29"/>
      <c r="RR364" s="20"/>
      <c r="RS364" s="29"/>
      <c r="RT364" s="1504">
        <v>45536</v>
      </c>
      <c r="RU364" s="19"/>
      <c r="RV364" s="20"/>
      <c r="RW364" s="29"/>
      <c r="RX364" s="1504">
        <v>45536</v>
      </c>
      <c r="RY364" s="29"/>
      <c r="RZ364" s="20"/>
      <c r="SA364" s="29"/>
      <c r="SB364" s="29"/>
    </row>
    <row r="365" spans="1:496">
      <c r="A365" s="41">
        <f t="shared" si="346"/>
        <v>2024</v>
      </c>
      <c r="B365" s="1504">
        <v>45566</v>
      </c>
      <c r="C365" s="1813"/>
      <c r="D365" s="1814"/>
      <c r="E365" s="1814"/>
      <c r="F365" s="1815"/>
      <c r="G365" s="1814"/>
      <c r="H365" s="1814"/>
      <c r="I365" s="1814"/>
      <c r="J365" s="1816"/>
      <c r="K365" s="1807"/>
      <c r="L365" s="25"/>
      <c r="M365" s="97"/>
      <c r="N365" s="1504">
        <v>45566</v>
      </c>
      <c r="O365" s="19"/>
      <c r="P365" s="93"/>
      <c r="Q365" s="93"/>
      <c r="R365" s="93"/>
      <c r="S365" s="93"/>
      <c r="T365" s="93"/>
      <c r="U365" s="93"/>
      <c r="V365" s="93"/>
      <c r="W365" s="93"/>
      <c r="X365" s="93"/>
      <c r="Y365" s="93"/>
      <c r="Z365" s="93"/>
      <c r="AA365" s="93"/>
      <c r="AB365" s="20"/>
      <c r="AC365" s="25"/>
      <c r="AD365" s="97"/>
      <c r="AE365" s="1504">
        <v>45566</v>
      </c>
      <c r="AF365" s="19"/>
      <c r="AG365" s="93"/>
      <c r="AH365" s="93"/>
      <c r="AI365" s="93"/>
      <c r="AJ365" s="93"/>
      <c r="AK365" s="93"/>
      <c r="AL365" s="93"/>
      <c r="AM365" s="93"/>
      <c r="AN365" s="93"/>
      <c r="AO365" s="93"/>
      <c r="AP365" s="93"/>
      <c r="AQ365" s="93"/>
      <c r="AR365" s="93"/>
      <c r="AS365" s="20"/>
      <c r="AT365" s="25"/>
      <c r="AU365" s="97"/>
      <c r="AV365" s="1504">
        <v>45566</v>
      </c>
      <c r="AW365" s="19"/>
      <c r="AX365" s="93"/>
      <c r="AY365" s="93"/>
      <c r="AZ365" s="93"/>
      <c r="BA365" s="93"/>
      <c r="BB365" s="93"/>
      <c r="BC365" s="93"/>
      <c r="BD365" s="93"/>
      <c r="BE365" s="93"/>
      <c r="BF365" s="93"/>
      <c r="BG365" s="93"/>
      <c r="BH365" s="93"/>
      <c r="BI365" s="93"/>
      <c r="BJ365" s="20"/>
      <c r="BK365" s="25"/>
      <c r="BL365" s="97"/>
      <c r="BM365" s="1504">
        <v>45566</v>
      </c>
      <c r="BN365" s="19"/>
      <c r="BO365" s="93"/>
      <c r="BP365" s="93"/>
      <c r="BQ365" s="93"/>
      <c r="BR365" s="93"/>
      <c r="BS365" s="93"/>
      <c r="BT365" s="93"/>
      <c r="BU365" s="20"/>
      <c r="BV365" s="25"/>
      <c r="BW365" s="97"/>
      <c r="BX365" s="1504">
        <v>45566</v>
      </c>
      <c r="BY365" s="19"/>
      <c r="BZ365" s="93"/>
      <c r="CA365" s="93"/>
      <c r="CB365" s="93"/>
      <c r="CC365" s="93"/>
      <c r="CD365" s="25"/>
      <c r="CE365" s="97"/>
      <c r="CF365" s="1504">
        <v>45566</v>
      </c>
      <c r="CG365" s="19"/>
      <c r="CH365" s="93"/>
      <c r="CI365" s="219"/>
      <c r="CJ365" s="20"/>
      <c r="CK365" s="19"/>
      <c r="CL365" s="93"/>
      <c r="CM365" s="93"/>
      <c r="CN365" s="93"/>
      <c r="CO365" s="93"/>
      <c r="CP365" s="20"/>
      <c r="CQ365" s="219"/>
      <c r="CR365" s="93"/>
      <c r="CS365" s="93"/>
      <c r="CT365" s="93"/>
      <c r="CU365" s="93"/>
      <c r="CV365" s="214"/>
      <c r="CW365" s="29"/>
      <c r="CX365" s="41">
        <f t="shared" si="319"/>
        <v>2024</v>
      </c>
      <c r="CY365" s="1504">
        <v>45566</v>
      </c>
      <c r="CZ365" s="19"/>
      <c r="DA365" s="93"/>
      <c r="DB365" s="93"/>
      <c r="DC365" s="93"/>
      <c r="DD365" s="93"/>
      <c r="DE365" s="20"/>
      <c r="DF365" s="29"/>
      <c r="DG365" s="1504">
        <v>45566</v>
      </c>
      <c r="DH365" s="19"/>
      <c r="DI365" s="93"/>
      <c r="DJ365" s="93"/>
      <c r="DK365" s="93"/>
      <c r="DL365" s="93"/>
      <c r="DM365" s="93"/>
      <c r="DN365" s="20"/>
      <c r="DO365" s="295"/>
      <c r="DP365" s="29"/>
      <c r="DQ365" s="1504">
        <v>45566</v>
      </c>
      <c r="DR365" s="19"/>
      <c r="DS365" s="93"/>
      <c r="DT365" s="93"/>
      <c r="DU365" s="93"/>
      <c r="DV365" s="93"/>
      <c r="DW365" s="93"/>
      <c r="DX365" s="20"/>
      <c r="DY365" s="29"/>
      <c r="DZ365" s="1504">
        <v>45566</v>
      </c>
      <c r="EA365" s="19"/>
      <c r="EB365" s="93"/>
      <c r="EC365" s="20"/>
      <c r="ED365" s="29"/>
      <c r="EE365" s="1504">
        <v>45566</v>
      </c>
      <c r="EF365" s="19"/>
      <c r="EG365" s="93"/>
      <c r="EH365" s="93"/>
      <c r="EI365" s="214"/>
      <c r="EJ365" s="93"/>
      <c r="EK365" s="93"/>
      <c r="EL365" s="93"/>
      <c r="EM365" s="93"/>
      <c r="EN365" s="20"/>
      <c r="EO365" s="29"/>
      <c r="EP365" s="1504">
        <v>45566</v>
      </c>
      <c r="EQ365" s="19"/>
      <c r="ER365" s="93"/>
      <c r="ES365" s="93"/>
      <c r="ET365" s="214"/>
      <c r="EU365" s="93"/>
      <c r="EV365" s="93"/>
      <c r="EW365" s="93"/>
      <c r="EX365" s="93"/>
      <c r="EY365" s="20"/>
      <c r="EZ365" s="29"/>
      <c r="FA365" s="1504">
        <v>45566</v>
      </c>
      <c r="FB365" s="29"/>
      <c r="FC365" s="29"/>
      <c r="FD365" s="29"/>
      <c r="FE365" s="29"/>
      <c r="FF365" s="29"/>
      <c r="FG365" s="29"/>
      <c r="FH365" s="29"/>
      <c r="FI365" s="29"/>
      <c r="FJ365" s="29"/>
      <c r="FK365" s="29"/>
      <c r="FL365" s="1504">
        <v>45566</v>
      </c>
      <c r="FM365" s="19"/>
      <c r="FN365" s="93"/>
      <c r="FO365" s="93"/>
      <c r="FP365" s="93"/>
      <c r="FQ365" s="93"/>
      <c r="FR365" s="93"/>
      <c r="FS365" s="93"/>
      <c r="FT365" s="93"/>
      <c r="FU365" s="93"/>
      <c r="FV365" s="93"/>
      <c r="FW365" s="93"/>
      <c r="FX365" s="93"/>
      <c r="FY365" s="93"/>
      <c r="FZ365" s="29"/>
      <c r="GA365" s="1504">
        <v>45566</v>
      </c>
      <c r="GB365" s="19"/>
      <c r="GC365" s="93"/>
      <c r="GD365" s="93"/>
      <c r="GE365" s="93"/>
      <c r="GF365" s="93"/>
      <c r="GG365" s="93"/>
      <c r="GH365" s="93"/>
      <c r="GI365" s="93"/>
      <c r="GJ365" s="93"/>
      <c r="GK365" s="93"/>
      <c r="GL365" s="93"/>
      <c r="GM365" s="93"/>
      <c r="GN365" s="20"/>
      <c r="GO365" s="29"/>
      <c r="GP365" s="1504">
        <v>45566</v>
      </c>
      <c r="GQ365" s="19"/>
      <c r="GR365" s="93"/>
      <c r="GS365" s="93"/>
      <c r="GT365" s="93"/>
      <c r="GU365" s="93"/>
      <c r="GV365" s="20"/>
      <c r="GW365" s="19"/>
      <c r="GX365" s="93"/>
      <c r="GY365" s="93"/>
      <c r="GZ365" s="93"/>
      <c r="HA365" s="93"/>
      <c r="HB365" s="20"/>
      <c r="HC365" s="19"/>
      <c r="HD365" s="93"/>
      <c r="HE365" s="93"/>
      <c r="HF365" s="93"/>
      <c r="HG365" s="93"/>
      <c r="HH365" s="20"/>
      <c r="HI365" s="19"/>
      <c r="HJ365" s="93"/>
      <c r="HK365" s="93"/>
      <c r="HL365" s="93"/>
      <c r="HM365" s="93"/>
      <c r="HN365" s="20"/>
      <c r="HO365" s="219"/>
      <c r="HP365" s="20"/>
      <c r="HQ365" s="25"/>
      <c r="HR365" s="29"/>
      <c r="HS365" s="1504">
        <v>45566</v>
      </c>
      <c r="HT365" s="19"/>
      <c r="HU365" s="93"/>
      <c r="HV365" s="93"/>
      <c r="HW365" s="93"/>
      <c r="HX365" s="93"/>
      <c r="HY365" s="93"/>
      <c r="HZ365" s="93"/>
      <c r="IA365" s="20"/>
      <c r="IB365" s="19"/>
      <c r="IC365" s="93"/>
      <c r="ID365" s="93"/>
      <c r="IE365" s="93"/>
      <c r="IF365" s="93"/>
      <c r="IG365" s="20"/>
      <c r="IH365" s="19"/>
      <c r="II365" s="93"/>
      <c r="IJ365" s="93"/>
      <c r="IK365" s="93"/>
      <c r="IL365" s="93"/>
      <c r="IM365" s="93"/>
      <c r="IN365" s="93"/>
      <c r="IO365" s="20"/>
      <c r="IP365" s="29"/>
      <c r="IQ365" s="19"/>
      <c r="IR365" s="93"/>
      <c r="IS365" s="93"/>
      <c r="IT365" s="93"/>
      <c r="IU365" s="93"/>
      <c r="IV365" s="20"/>
      <c r="IW365" s="29"/>
      <c r="IX365" s="19"/>
      <c r="IY365" s="93"/>
      <c r="IZ365" s="93"/>
      <c r="JA365" s="93"/>
      <c r="JB365" s="93"/>
      <c r="JC365" s="93"/>
      <c r="JD365" s="93"/>
      <c r="JE365" s="20"/>
      <c r="JF365" s="29"/>
      <c r="JG365" s="19"/>
      <c r="JH365" s="93"/>
      <c r="JI365" s="93"/>
      <c r="JJ365" s="93"/>
      <c r="JK365" s="93"/>
      <c r="JL365" s="93"/>
      <c r="JM365" s="93"/>
      <c r="JN365" s="20"/>
      <c r="JO365" s="29"/>
      <c r="JP365" s="19"/>
      <c r="JQ365" s="93"/>
      <c r="JR365" s="93"/>
      <c r="JS365" s="93"/>
      <c r="JT365" s="93"/>
      <c r="JU365" s="20"/>
      <c r="JV365" s="29"/>
      <c r="JW365" s="1504">
        <v>45566</v>
      </c>
      <c r="JX365" s="19"/>
      <c r="JY365" s="93"/>
      <c r="JZ365" s="93"/>
      <c r="KA365" s="93"/>
      <c r="KB365" s="93"/>
      <c r="KC365" s="93"/>
      <c r="KD365" s="20"/>
      <c r="KE365" s="29"/>
      <c r="KF365" s="19"/>
      <c r="KG365" s="93"/>
      <c r="KH365" s="93"/>
      <c r="KI365" s="93"/>
      <c r="KJ365" s="93"/>
      <c r="KK365" s="20"/>
      <c r="KL365" s="29"/>
      <c r="KM365" s="19"/>
      <c r="KN365" s="93"/>
      <c r="KO365" s="93"/>
      <c r="KP365" s="93"/>
      <c r="KQ365" s="93"/>
      <c r="KR365" s="20"/>
      <c r="KS365" s="29"/>
      <c r="KT365" s="19"/>
      <c r="KU365" s="93"/>
      <c r="KV365" s="93"/>
      <c r="KW365" s="93"/>
      <c r="KX365" s="93"/>
      <c r="KY365" s="20"/>
      <c r="KZ365" s="29"/>
      <c r="LA365" s="1504">
        <v>45566</v>
      </c>
      <c r="LB365" s="19"/>
      <c r="LC365" s="93"/>
      <c r="LD365" s="93"/>
      <c r="LE365" s="93"/>
      <c r="LF365" s="93"/>
      <c r="LG365" s="93"/>
      <c r="LH365" s="20"/>
      <c r="LI365" s="29"/>
      <c r="LJ365" s="19"/>
      <c r="LK365" s="93"/>
      <c r="LL365" s="93"/>
      <c r="LM365" s="93"/>
      <c r="LN365" s="93"/>
      <c r="LO365" s="20"/>
      <c r="LP365" s="29"/>
      <c r="LQ365" s="19"/>
      <c r="LR365" s="93"/>
      <c r="LS365" s="93"/>
      <c r="LT365" s="93"/>
      <c r="LU365" s="93"/>
      <c r="LV365" s="93"/>
      <c r="LW365" s="93"/>
      <c r="LX365" s="93"/>
      <c r="LY365" s="93"/>
      <c r="LZ365" s="93"/>
      <c r="MA365" s="20"/>
      <c r="MB365" s="29"/>
      <c r="MC365" s="1504">
        <v>45566</v>
      </c>
      <c r="MD365" s="19"/>
      <c r="ME365" s="93"/>
      <c r="MF365" s="93"/>
      <c r="MG365" s="93"/>
      <c r="MH365" s="93"/>
      <c r="MI365" s="93"/>
      <c r="MJ365" s="93"/>
      <c r="MK365" s="93"/>
      <c r="ML365" s="93"/>
      <c r="MM365" s="93"/>
      <c r="MN365" s="93"/>
      <c r="MO365" s="93"/>
      <c r="MP365" s="93"/>
      <c r="MQ365" s="93"/>
      <c r="MR365" s="93"/>
      <c r="MS365" s="93"/>
      <c r="MT365" s="93"/>
      <c r="MU365" s="93"/>
      <c r="MV365" s="93"/>
      <c r="MW365" s="93"/>
      <c r="MX365" s="93"/>
      <c r="MY365" s="93"/>
      <c r="MZ365" s="93"/>
      <c r="NA365" s="93"/>
      <c r="NB365" s="93"/>
      <c r="NC365" s="93"/>
      <c r="ND365" s="93"/>
      <c r="NE365" s="93"/>
      <c r="NF365" s="93"/>
      <c r="NG365" s="93"/>
      <c r="NH365" s="93"/>
      <c r="NI365" s="93"/>
      <c r="NJ365" s="93"/>
      <c r="NK365" s="93"/>
      <c r="NL365" s="93"/>
      <c r="NM365" s="93"/>
      <c r="NN365" s="93"/>
      <c r="NO365" s="93"/>
      <c r="NP365" s="93"/>
      <c r="NQ365" s="93"/>
      <c r="NR365" s="93"/>
      <c r="NS365" s="93"/>
      <c r="NT365" s="93"/>
      <c r="NU365" s="93"/>
      <c r="NV365" s="93"/>
      <c r="NW365" s="93"/>
      <c r="NX365" s="93"/>
      <c r="NY365" s="93"/>
      <c r="NZ365" s="93"/>
      <c r="OA365" s="93"/>
      <c r="OB365" s="93"/>
      <c r="OC365" s="93"/>
      <c r="OD365" s="20"/>
      <c r="OE365" s="29"/>
      <c r="OF365" s="1504">
        <v>45566</v>
      </c>
      <c r="OG365" s="19"/>
      <c r="OH365" s="93"/>
      <c r="OI365" s="93"/>
      <c r="OJ365" s="93"/>
      <c r="OK365" s="93"/>
      <c r="OL365" s="93"/>
      <c r="OM365" s="93"/>
      <c r="ON365" s="93"/>
      <c r="OO365" s="93"/>
      <c r="OP365" s="93"/>
      <c r="OQ365" s="93"/>
      <c r="OR365" s="93"/>
      <c r="OS365" s="93"/>
      <c r="OT365" s="93"/>
      <c r="OU365" s="93"/>
      <c r="OV365" s="93"/>
      <c r="OW365" s="93"/>
      <c r="OX365" s="93"/>
      <c r="OY365" s="93"/>
      <c r="OZ365" s="93"/>
      <c r="PA365" s="93"/>
      <c r="PB365" s="93"/>
      <c r="PC365" s="20"/>
      <c r="PD365" s="29"/>
      <c r="PE365" s="19"/>
      <c r="PF365" s="93"/>
      <c r="PG365" s="93"/>
      <c r="PH365" s="93"/>
      <c r="PI365" s="93"/>
      <c r="PJ365" s="93"/>
      <c r="PK365" s="93"/>
      <c r="PL365" s="93"/>
      <c r="PM365" s="93"/>
      <c r="PN365" s="93"/>
      <c r="PO365" s="93"/>
      <c r="PP365" s="93"/>
      <c r="PQ365" s="93"/>
      <c r="PR365" s="93"/>
      <c r="PS365" s="93"/>
      <c r="PT365" s="93"/>
      <c r="PU365" s="93"/>
      <c r="PV365" s="93"/>
      <c r="PW365" s="93"/>
      <c r="PX365" s="93"/>
      <c r="PY365" s="93"/>
      <c r="PZ365" s="93"/>
      <c r="QA365" s="93"/>
      <c r="QB365" s="93"/>
      <c r="QC365" s="93"/>
      <c r="QD365" s="93"/>
      <c r="QE365" s="20"/>
      <c r="QF365" s="1739"/>
      <c r="QG365" s="19"/>
      <c r="QH365" s="93"/>
      <c r="QI365" s="93"/>
      <c r="QJ365" s="93"/>
      <c r="QK365" s="93"/>
      <c r="QL365" s="93"/>
      <c r="QM365" s="93"/>
      <c r="QN365" s="93"/>
      <c r="QO365" s="93"/>
      <c r="QP365" s="93"/>
      <c r="QQ365" s="93"/>
      <c r="QR365" s="93"/>
      <c r="QS365" s="93"/>
      <c r="QT365" s="93"/>
      <c r="QU365" s="93"/>
      <c r="QV365" s="93"/>
      <c r="QW365" s="93"/>
      <c r="QX365" s="93"/>
      <c r="QY365" s="93"/>
      <c r="QZ365" s="93"/>
      <c r="RA365" s="93"/>
      <c r="RB365" s="93"/>
      <c r="RC365" s="93"/>
      <c r="RD365" s="93"/>
      <c r="RE365" s="93"/>
      <c r="RF365" s="93"/>
      <c r="RG365" s="93"/>
      <c r="RH365" s="93"/>
      <c r="RI365" s="93"/>
      <c r="RJ365" s="93"/>
      <c r="RK365" s="93"/>
      <c r="RL365" s="93"/>
      <c r="RM365" s="20"/>
      <c r="RN365" s="29"/>
      <c r="RO365" s="19"/>
      <c r="RP365" s="20"/>
      <c r="RQ365" s="29"/>
      <c r="RR365" s="20"/>
      <c r="RS365" s="29"/>
      <c r="RT365" s="1504">
        <v>45566</v>
      </c>
      <c r="RU365" s="19"/>
      <c r="RV365" s="20"/>
      <c r="RW365" s="29"/>
      <c r="RX365" s="1504">
        <v>45566</v>
      </c>
      <c r="RY365" s="29"/>
      <c r="RZ365" s="20"/>
      <c r="SA365" s="29"/>
      <c r="SB365" s="29"/>
    </row>
    <row r="366" spans="1:496">
      <c r="A366" s="41">
        <f t="shared" si="346"/>
        <v>2024</v>
      </c>
      <c r="B366" s="1504">
        <v>45597</v>
      </c>
      <c r="C366" s="1813"/>
      <c r="D366" s="1814"/>
      <c r="E366" s="1814"/>
      <c r="F366" s="1815"/>
      <c r="G366" s="1814"/>
      <c r="H366" s="1814"/>
      <c r="I366" s="1814"/>
      <c r="J366" s="1816"/>
      <c r="K366" s="1807"/>
      <c r="L366" s="25"/>
      <c r="M366" s="97"/>
      <c r="N366" s="1504">
        <v>45597</v>
      </c>
      <c r="O366" s="19"/>
      <c r="P366" s="93"/>
      <c r="Q366" s="93"/>
      <c r="R366" s="93"/>
      <c r="S366" s="93"/>
      <c r="T366" s="93"/>
      <c r="U366" s="93"/>
      <c r="V366" s="93"/>
      <c r="W366" s="93"/>
      <c r="X366" s="93"/>
      <c r="Y366" s="93"/>
      <c r="Z366" s="93"/>
      <c r="AA366" s="93"/>
      <c r="AB366" s="20"/>
      <c r="AC366" s="25"/>
      <c r="AD366" s="97"/>
      <c r="AE366" s="1504">
        <v>45597</v>
      </c>
      <c r="AF366" s="19"/>
      <c r="AG366" s="93"/>
      <c r="AH366" s="93"/>
      <c r="AI366" s="93"/>
      <c r="AJ366" s="93"/>
      <c r="AK366" s="93"/>
      <c r="AL366" s="93"/>
      <c r="AM366" s="93"/>
      <c r="AN366" s="93"/>
      <c r="AO366" s="93"/>
      <c r="AP366" s="93"/>
      <c r="AQ366" s="93"/>
      <c r="AR366" s="93"/>
      <c r="AS366" s="20"/>
      <c r="AT366" s="25"/>
      <c r="AU366" s="97"/>
      <c r="AV366" s="1504">
        <v>45597</v>
      </c>
      <c r="AW366" s="19"/>
      <c r="AX366" s="93"/>
      <c r="AY366" s="93"/>
      <c r="AZ366" s="93"/>
      <c r="BA366" s="93"/>
      <c r="BB366" s="93"/>
      <c r="BC366" s="93"/>
      <c r="BD366" s="93"/>
      <c r="BE366" s="93"/>
      <c r="BF366" s="93"/>
      <c r="BG366" s="93"/>
      <c r="BH366" s="93"/>
      <c r="BI366" s="93"/>
      <c r="BJ366" s="20"/>
      <c r="BK366" s="25"/>
      <c r="BL366" s="97"/>
      <c r="BM366" s="1504">
        <v>45597</v>
      </c>
      <c r="BN366" s="19"/>
      <c r="BO366" s="93"/>
      <c r="BP366" s="93"/>
      <c r="BQ366" s="93"/>
      <c r="BR366" s="93"/>
      <c r="BS366" s="93"/>
      <c r="BT366" s="93"/>
      <c r="BU366" s="20"/>
      <c r="BV366" s="25"/>
      <c r="BW366" s="97"/>
      <c r="BX366" s="1504">
        <v>45597</v>
      </c>
      <c r="BY366" s="19"/>
      <c r="BZ366" s="93"/>
      <c r="CA366" s="93"/>
      <c r="CB366" s="93"/>
      <c r="CC366" s="93"/>
      <c r="CD366" s="25"/>
      <c r="CE366" s="97"/>
      <c r="CF366" s="1504">
        <v>45597</v>
      </c>
      <c r="CG366" s="19"/>
      <c r="CH366" s="93"/>
      <c r="CI366" s="219"/>
      <c r="CJ366" s="20"/>
      <c r="CK366" s="19"/>
      <c r="CL366" s="93"/>
      <c r="CM366" s="93"/>
      <c r="CN366" s="93"/>
      <c r="CO366" s="93"/>
      <c r="CP366" s="20"/>
      <c r="CQ366" s="219"/>
      <c r="CR366" s="93"/>
      <c r="CS366" s="93"/>
      <c r="CT366" s="93"/>
      <c r="CU366" s="93"/>
      <c r="CV366" s="214"/>
      <c r="CW366" s="29"/>
      <c r="CX366" s="41">
        <f t="shared" si="319"/>
        <v>2024</v>
      </c>
      <c r="CY366" s="1504">
        <v>45597</v>
      </c>
      <c r="CZ366" s="19"/>
      <c r="DA366" s="93"/>
      <c r="DB366" s="93"/>
      <c r="DC366" s="93"/>
      <c r="DD366" s="93"/>
      <c r="DE366" s="20"/>
      <c r="DF366" s="29"/>
      <c r="DG366" s="1504">
        <v>45597</v>
      </c>
      <c r="DH366" s="19"/>
      <c r="DI366" s="93"/>
      <c r="DJ366" s="93"/>
      <c r="DK366" s="93"/>
      <c r="DL366" s="93"/>
      <c r="DM366" s="93"/>
      <c r="DN366" s="20"/>
      <c r="DO366" s="295"/>
      <c r="DP366" s="29"/>
      <c r="DQ366" s="1504">
        <v>45597</v>
      </c>
      <c r="DR366" s="19"/>
      <c r="DS366" s="93"/>
      <c r="DT366" s="93"/>
      <c r="DU366" s="93"/>
      <c r="DV366" s="93"/>
      <c r="DW366" s="93"/>
      <c r="DX366" s="20"/>
      <c r="DY366" s="29"/>
      <c r="DZ366" s="1504">
        <v>45597</v>
      </c>
      <c r="EA366" s="19"/>
      <c r="EB366" s="93"/>
      <c r="EC366" s="20"/>
      <c r="ED366" s="29"/>
      <c r="EE366" s="1504">
        <v>45597</v>
      </c>
      <c r="EF366" s="19"/>
      <c r="EG366" s="93"/>
      <c r="EH366" s="93"/>
      <c r="EI366" s="214"/>
      <c r="EJ366" s="93"/>
      <c r="EK366" s="93"/>
      <c r="EL366" s="93"/>
      <c r="EM366" s="93"/>
      <c r="EN366" s="20"/>
      <c r="EO366" s="29"/>
      <c r="EP366" s="1504">
        <v>45597</v>
      </c>
      <c r="EQ366" s="19"/>
      <c r="ER366" s="93"/>
      <c r="ES366" s="93"/>
      <c r="ET366" s="214"/>
      <c r="EU366" s="93"/>
      <c r="EV366" s="93"/>
      <c r="EW366" s="93"/>
      <c r="EX366" s="93"/>
      <c r="EY366" s="20"/>
      <c r="EZ366" s="29"/>
      <c r="FA366" s="1504">
        <v>45597</v>
      </c>
      <c r="FB366" s="29"/>
      <c r="FC366" s="29"/>
      <c r="FD366" s="29"/>
      <c r="FE366" s="29"/>
      <c r="FF366" s="29"/>
      <c r="FG366" s="29"/>
      <c r="FH366" s="29"/>
      <c r="FI366" s="29"/>
      <c r="FJ366" s="29"/>
      <c r="FK366" s="29"/>
      <c r="FL366" s="1504">
        <v>45597</v>
      </c>
      <c r="FM366" s="19"/>
      <c r="FN366" s="93"/>
      <c r="FO366" s="93"/>
      <c r="FP366" s="93"/>
      <c r="FQ366" s="93"/>
      <c r="FR366" s="93"/>
      <c r="FS366" s="93"/>
      <c r="FT366" s="93"/>
      <c r="FU366" s="93"/>
      <c r="FV366" s="93"/>
      <c r="FW366" s="93"/>
      <c r="FX366" s="93"/>
      <c r="FY366" s="93"/>
      <c r="FZ366" s="29"/>
      <c r="GA366" s="1504">
        <v>45597</v>
      </c>
      <c r="GB366" s="19"/>
      <c r="GC366" s="93"/>
      <c r="GD366" s="93"/>
      <c r="GE366" s="93"/>
      <c r="GF366" s="93"/>
      <c r="GG366" s="93"/>
      <c r="GH366" s="93"/>
      <c r="GI366" s="93"/>
      <c r="GJ366" s="93"/>
      <c r="GK366" s="93"/>
      <c r="GL366" s="93"/>
      <c r="GM366" s="93"/>
      <c r="GN366" s="20"/>
      <c r="GO366" s="29"/>
      <c r="GP366" s="1504">
        <v>45597</v>
      </c>
      <c r="GQ366" s="19"/>
      <c r="GR366" s="93"/>
      <c r="GS366" s="93"/>
      <c r="GT366" s="93"/>
      <c r="GU366" s="93"/>
      <c r="GV366" s="20"/>
      <c r="GW366" s="19"/>
      <c r="GX366" s="93"/>
      <c r="GY366" s="93"/>
      <c r="GZ366" s="93"/>
      <c r="HA366" s="93"/>
      <c r="HB366" s="20"/>
      <c r="HC366" s="19"/>
      <c r="HD366" s="93"/>
      <c r="HE366" s="93"/>
      <c r="HF366" s="93"/>
      <c r="HG366" s="93"/>
      <c r="HH366" s="20"/>
      <c r="HI366" s="19"/>
      <c r="HJ366" s="93"/>
      <c r="HK366" s="93"/>
      <c r="HL366" s="93"/>
      <c r="HM366" s="93"/>
      <c r="HN366" s="20"/>
      <c r="HO366" s="219"/>
      <c r="HP366" s="20"/>
      <c r="HQ366" s="25"/>
      <c r="HR366" s="29"/>
      <c r="HS366" s="1504">
        <v>45597</v>
      </c>
      <c r="HT366" s="19"/>
      <c r="HU366" s="93"/>
      <c r="HV366" s="93"/>
      <c r="HW366" s="93"/>
      <c r="HX366" s="93"/>
      <c r="HY366" s="93"/>
      <c r="HZ366" s="93"/>
      <c r="IA366" s="20"/>
      <c r="IB366" s="19"/>
      <c r="IC366" s="93"/>
      <c r="ID366" s="93"/>
      <c r="IE366" s="93"/>
      <c r="IF366" s="93"/>
      <c r="IG366" s="20"/>
      <c r="IH366" s="19"/>
      <c r="II366" s="93"/>
      <c r="IJ366" s="93"/>
      <c r="IK366" s="93"/>
      <c r="IL366" s="93"/>
      <c r="IM366" s="93"/>
      <c r="IN366" s="93"/>
      <c r="IO366" s="20"/>
      <c r="IP366" s="29"/>
      <c r="IQ366" s="19"/>
      <c r="IR366" s="93"/>
      <c r="IS366" s="93"/>
      <c r="IT366" s="93"/>
      <c r="IU366" s="93"/>
      <c r="IV366" s="20"/>
      <c r="IW366" s="29"/>
      <c r="IX366" s="19"/>
      <c r="IY366" s="93"/>
      <c r="IZ366" s="93"/>
      <c r="JA366" s="93"/>
      <c r="JB366" s="93"/>
      <c r="JC366" s="93"/>
      <c r="JD366" s="93"/>
      <c r="JE366" s="20"/>
      <c r="JF366" s="29"/>
      <c r="JG366" s="19"/>
      <c r="JH366" s="93"/>
      <c r="JI366" s="93"/>
      <c r="JJ366" s="93"/>
      <c r="JK366" s="93"/>
      <c r="JL366" s="93"/>
      <c r="JM366" s="93"/>
      <c r="JN366" s="20"/>
      <c r="JO366" s="29"/>
      <c r="JP366" s="19"/>
      <c r="JQ366" s="93"/>
      <c r="JR366" s="93"/>
      <c r="JS366" s="93"/>
      <c r="JT366" s="93"/>
      <c r="JU366" s="20"/>
      <c r="JV366" s="29"/>
      <c r="JW366" s="1504">
        <v>45597</v>
      </c>
      <c r="JX366" s="19"/>
      <c r="JY366" s="93"/>
      <c r="JZ366" s="93"/>
      <c r="KA366" s="93"/>
      <c r="KB366" s="93"/>
      <c r="KC366" s="93"/>
      <c r="KD366" s="20"/>
      <c r="KE366" s="29"/>
      <c r="KF366" s="19"/>
      <c r="KG366" s="93"/>
      <c r="KH366" s="93"/>
      <c r="KI366" s="93"/>
      <c r="KJ366" s="93"/>
      <c r="KK366" s="20"/>
      <c r="KL366" s="29"/>
      <c r="KM366" s="19"/>
      <c r="KN366" s="93"/>
      <c r="KO366" s="93"/>
      <c r="KP366" s="93"/>
      <c r="KQ366" s="93"/>
      <c r="KR366" s="20"/>
      <c r="KS366" s="29"/>
      <c r="KT366" s="19"/>
      <c r="KU366" s="93"/>
      <c r="KV366" s="93"/>
      <c r="KW366" s="93"/>
      <c r="KX366" s="93"/>
      <c r="KY366" s="20"/>
      <c r="KZ366" s="29"/>
      <c r="LA366" s="1504">
        <v>45597</v>
      </c>
      <c r="LB366" s="19"/>
      <c r="LC366" s="93"/>
      <c r="LD366" s="93"/>
      <c r="LE366" s="93"/>
      <c r="LF366" s="93"/>
      <c r="LG366" s="93"/>
      <c r="LH366" s="20"/>
      <c r="LI366" s="29"/>
      <c r="LJ366" s="19"/>
      <c r="LK366" s="93"/>
      <c r="LL366" s="93"/>
      <c r="LM366" s="93"/>
      <c r="LN366" s="93"/>
      <c r="LO366" s="20"/>
      <c r="LP366" s="29"/>
      <c r="LQ366" s="19"/>
      <c r="LR366" s="93"/>
      <c r="LS366" s="93"/>
      <c r="LT366" s="93"/>
      <c r="LU366" s="93"/>
      <c r="LV366" s="93"/>
      <c r="LW366" s="93"/>
      <c r="LX366" s="93"/>
      <c r="LY366" s="93"/>
      <c r="LZ366" s="93"/>
      <c r="MA366" s="20"/>
      <c r="MB366" s="29"/>
      <c r="MC366" s="1504">
        <v>45597</v>
      </c>
      <c r="MD366" s="19"/>
      <c r="ME366" s="93"/>
      <c r="MF366" s="93"/>
      <c r="MG366" s="93"/>
      <c r="MH366" s="93"/>
      <c r="MI366" s="93"/>
      <c r="MJ366" s="93"/>
      <c r="MK366" s="93"/>
      <c r="ML366" s="93"/>
      <c r="MM366" s="93"/>
      <c r="MN366" s="93"/>
      <c r="MO366" s="93"/>
      <c r="MP366" s="93"/>
      <c r="MQ366" s="93"/>
      <c r="MR366" s="93"/>
      <c r="MS366" s="93"/>
      <c r="MT366" s="93"/>
      <c r="MU366" s="93"/>
      <c r="MV366" s="93"/>
      <c r="MW366" s="93"/>
      <c r="MX366" s="93"/>
      <c r="MY366" s="93"/>
      <c r="MZ366" s="93"/>
      <c r="NA366" s="93"/>
      <c r="NB366" s="93"/>
      <c r="NC366" s="93"/>
      <c r="ND366" s="93"/>
      <c r="NE366" s="93"/>
      <c r="NF366" s="93"/>
      <c r="NG366" s="93"/>
      <c r="NH366" s="93"/>
      <c r="NI366" s="93"/>
      <c r="NJ366" s="93"/>
      <c r="NK366" s="93"/>
      <c r="NL366" s="93"/>
      <c r="NM366" s="93"/>
      <c r="NN366" s="93"/>
      <c r="NO366" s="93"/>
      <c r="NP366" s="93"/>
      <c r="NQ366" s="93"/>
      <c r="NR366" s="93"/>
      <c r="NS366" s="93"/>
      <c r="NT366" s="93"/>
      <c r="NU366" s="93"/>
      <c r="NV366" s="93"/>
      <c r="NW366" s="93"/>
      <c r="NX366" s="93"/>
      <c r="NY366" s="93"/>
      <c r="NZ366" s="93"/>
      <c r="OA366" s="93"/>
      <c r="OB366" s="93"/>
      <c r="OC366" s="93"/>
      <c r="OD366" s="20"/>
      <c r="OE366" s="29"/>
      <c r="OF366" s="1504">
        <v>45597</v>
      </c>
      <c r="OG366" s="19"/>
      <c r="OH366" s="93"/>
      <c r="OI366" s="93"/>
      <c r="OJ366" s="93"/>
      <c r="OK366" s="93"/>
      <c r="OL366" s="93"/>
      <c r="OM366" s="93"/>
      <c r="ON366" s="93"/>
      <c r="OO366" s="93"/>
      <c r="OP366" s="93"/>
      <c r="OQ366" s="93"/>
      <c r="OR366" s="93"/>
      <c r="OS366" s="93"/>
      <c r="OT366" s="93"/>
      <c r="OU366" s="93"/>
      <c r="OV366" s="93"/>
      <c r="OW366" s="93"/>
      <c r="OX366" s="93"/>
      <c r="OY366" s="93"/>
      <c r="OZ366" s="93"/>
      <c r="PA366" s="93"/>
      <c r="PB366" s="93"/>
      <c r="PC366" s="20"/>
      <c r="PD366" s="29"/>
      <c r="PE366" s="19"/>
      <c r="PF366" s="93"/>
      <c r="PG366" s="93"/>
      <c r="PH366" s="93"/>
      <c r="PI366" s="93"/>
      <c r="PJ366" s="93"/>
      <c r="PK366" s="93"/>
      <c r="PL366" s="93"/>
      <c r="PM366" s="93"/>
      <c r="PN366" s="93"/>
      <c r="PO366" s="93"/>
      <c r="PP366" s="93"/>
      <c r="PQ366" s="93"/>
      <c r="PR366" s="93"/>
      <c r="PS366" s="93"/>
      <c r="PT366" s="93"/>
      <c r="PU366" s="93"/>
      <c r="PV366" s="93"/>
      <c r="PW366" s="93"/>
      <c r="PX366" s="93"/>
      <c r="PY366" s="93"/>
      <c r="PZ366" s="93"/>
      <c r="QA366" s="93"/>
      <c r="QB366" s="93"/>
      <c r="QC366" s="93"/>
      <c r="QD366" s="93"/>
      <c r="QE366" s="20"/>
      <c r="QF366" s="1739"/>
      <c r="QG366" s="19"/>
      <c r="QH366" s="93"/>
      <c r="QI366" s="93"/>
      <c r="QJ366" s="93"/>
      <c r="QK366" s="93"/>
      <c r="QL366" s="93"/>
      <c r="QM366" s="93"/>
      <c r="QN366" s="93"/>
      <c r="QO366" s="93"/>
      <c r="QP366" s="93"/>
      <c r="QQ366" s="93"/>
      <c r="QR366" s="93"/>
      <c r="QS366" s="93"/>
      <c r="QT366" s="93"/>
      <c r="QU366" s="93"/>
      <c r="QV366" s="93"/>
      <c r="QW366" s="93"/>
      <c r="QX366" s="93"/>
      <c r="QY366" s="93"/>
      <c r="QZ366" s="93"/>
      <c r="RA366" s="93"/>
      <c r="RB366" s="93"/>
      <c r="RC366" s="93"/>
      <c r="RD366" s="93"/>
      <c r="RE366" s="93"/>
      <c r="RF366" s="93"/>
      <c r="RG366" s="93"/>
      <c r="RH366" s="93"/>
      <c r="RI366" s="93"/>
      <c r="RJ366" s="93"/>
      <c r="RK366" s="93"/>
      <c r="RL366" s="93"/>
      <c r="RM366" s="20"/>
      <c r="RN366" s="29"/>
      <c r="RO366" s="19"/>
      <c r="RP366" s="20"/>
      <c r="RQ366" s="29"/>
      <c r="RR366" s="20"/>
      <c r="RS366" s="29"/>
      <c r="RT366" s="1504">
        <v>45597</v>
      </c>
      <c r="RU366" s="19"/>
      <c r="RV366" s="20"/>
      <c r="RW366" s="29"/>
      <c r="RX366" s="1504">
        <v>45597</v>
      </c>
      <c r="RY366" s="29"/>
      <c r="RZ366" s="20"/>
      <c r="SA366" s="29"/>
      <c r="SB366" s="29"/>
    </row>
    <row r="367" spans="1:496">
      <c r="A367" s="41">
        <f t="shared" si="346"/>
        <v>2024</v>
      </c>
      <c r="B367" s="1504">
        <v>45627</v>
      </c>
      <c r="C367" s="1813"/>
      <c r="D367" s="1814"/>
      <c r="E367" s="1814"/>
      <c r="F367" s="1815"/>
      <c r="G367" s="1814"/>
      <c r="H367" s="1814"/>
      <c r="I367" s="1814"/>
      <c r="J367" s="1816"/>
      <c r="K367" s="1807"/>
      <c r="L367" s="25"/>
      <c r="M367" s="97"/>
      <c r="N367" s="1504">
        <v>45627</v>
      </c>
      <c r="O367" s="19"/>
      <c r="P367" s="93"/>
      <c r="Q367" s="93"/>
      <c r="R367" s="93"/>
      <c r="S367" s="93"/>
      <c r="T367" s="93"/>
      <c r="U367" s="93"/>
      <c r="V367" s="93"/>
      <c r="W367" s="93"/>
      <c r="X367" s="93"/>
      <c r="Y367" s="93"/>
      <c r="Z367" s="93"/>
      <c r="AA367" s="93"/>
      <c r="AB367" s="20"/>
      <c r="AC367" s="25"/>
      <c r="AD367" s="97"/>
      <c r="AE367" s="1504">
        <v>45627</v>
      </c>
      <c r="AF367" s="19"/>
      <c r="AG367" s="93"/>
      <c r="AH367" s="93"/>
      <c r="AI367" s="93"/>
      <c r="AJ367" s="93"/>
      <c r="AK367" s="93"/>
      <c r="AL367" s="93"/>
      <c r="AM367" s="93"/>
      <c r="AN367" s="93"/>
      <c r="AO367" s="93"/>
      <c r="AP367" s="93"/>
      <c r="AQ367" s="93"/>
      <c r="AR367" s="93"/>
      <c r="AS367" s="20"/>
      <c r="AT367" s="25"/>
      <c r="AU367" s="97"/>
      <c r="AV367" s="1504">
        <v>45627</v>
      </c>
      <c r="AW367" s="19"/>
      <c r="AX367" s="93"/>
      <c r="AY367" s="93"/>
      <c r="AZ367" s="93"/>
      <c r="BA367" s="93"/>
      <c r="BB367" s="93"/>
      <c r="BC367" s="93"/>
      <c r="BD367" s="93"/>
      <c r="BE367" s="93"/>
      <c r="BF367" s="93"/>
      <c r="BG367" s="93"/>
      <c r="BH367" s="93"/>
      <c r="BI367" s="93"/>
      <c r="BJ367" s="20"/>
      <c r="BK367" s="25"/>
      <c r="BL367" s="97"/>
      <c r="BM367" s="1504">
        <v>45627</v>
      </c>
      <c r="BN367" s="19"/>
      <c r="BO367" s="93"/>
      <c r="BP367" s="93"/>
      <c r="BQ367" s="93"/>
      <c r="BR367" s="93"/>
      <c r="BS367" s="93"/>
      <c r="BT367" s="93"/>
      <c r="BU367" s="20"/>
      <c r="BV367" s="25"/>
      <c r="BW367" s="97"/>
      <c r="BX367" s="1504">
        <v>45627</v>
      </c>
      <c r="BY367" s="19"/>
      <c r="BZ367" s="93"/>
      <c r="CA367" s="93"/>
      <c r="CB367" s="93"/>
      <c r="CC367" s="93"/>
      <c r="CD367" s="25"/>
      <c r="CE367" s="97"/>
      <c r="CF367" s="1504">
        <v>45627</v>
      </c>
      <c r="CG367" s="19"/>
      <c r="CH367" s="93"/>
      <c r="CI367" s="219"/>
      <c r="CJ367" s="20"/>
      <c r="CK367" s="19"/>
      <c r="CL367" s="93"/>
      <c r="CM367" s="93"/>
      <c r="CN367" s="93"/>
      <c r="CO367" s="93"/>
      <c r="CP367" s="20"/>
      <c r="CQ367" s="219"/>
      <c r="CR367" s="93"/>
      <c r="CS367" s="93"/>
      <c r="CT367" s="93"/>
      <c r="CU367" s="93"/>
      <c r="CV367" s="214"/>
      <c r="CW367" s="29"/>
      <c r="CX367" s="41">
        <f t="shared" si="319"/>
        <v>2024</v>
      </c>
      <c r="CY367" s="1504">
        <v>45627</v>
      </c>
      <c r="CZ367" s="19"/>
      <c r="DA367" s="93"/>
      <c r="DB367" s="93"/>
      <c r="DC367" s="93"/>
      <c r="DD367" s="93"/>
      <c r="DE367" s="20"/>
      <c r="DF367" s="29"/>
      <c r="DG367" s="1504">
        <v>45627</v>
      </c>
      <c r="DH367" s="19"/>
      <c r="DI367" s="93"/>
      <c r="DJ367" s="93"/>
      <c r="DK367" s="93"/>
      <c r="DL367" s="93"/>
      <c r="DM367" s="93"/>
      <c r="DN367" s="20"/>
      <c r="DO367" s="295"/>
      <c r="DP367" s="29"/>
      <c r="DQ367" s="1504">
        <v>45627</v>
      </c>
      <c r="DR367" s="19"/>
      <c r="DS367" s="93"/>
      <c r="DT367" s="93"/>
      <c r="DU367" s="93"/>
      <c r="DV367" s="93"/>
      <c r="DW367" s="93"/>
      <c r="DX367" s="20"/>
      <c r="DY367" s="29"/>
      <c r="DZ367" s="1504">
        <v>45627</v>
      </c>
      <c r="EA367" s="19"/>
      <c r="EB367" s="93"/>
      <c r="EC367" s="20"/>
      <c r="ED367" s="29"/>
      <c r="EE367" s="1504">
        <v>45627</v>
      </c>
      <c r="EF367" s="19"/>
      <c r="EG367" s="93"/>
      <c r="EH367" s="93"/>
      <c r="EI367" s="214"/>
      <c r="EJ367" s="93"/>
      <c r="EK367" s="93"/>
      <c r="EL367" s="93"/>
      <c r="EM367" s="93"/>
      <c r="EN367" s="20"/>
      <c r="EO367" s="29"/>
      <c r="EP367" s="1504">
        <v>45627</v>
      </c>
      <c r="EQ367" s="19"/>
      <c r="ER367" s="93"/>
      <c r="ES367" s="93"/>
      <c r="ET367" s="214"/>
      <c r="EU367" s="93"/>
      <c r="EV367" s="93"/>
      <c r="EW367" s="93"/>
      <c r="EX367" s="93"/>
      <c r="EY367" s="20"/>
      <c r="EZ367" s="29"/>
      <c r="FA367" s="1504">
        <v>45627</v>
      </c>
      <c r="FB367" s="29"/>
      <c r="FC367" s="29"/>
      <c r="FD367" s="29"/>
      <c r="FE367" s="29"/>
      <c r="FF367" s="29"/>
      <c r="FG367" s="29"/>
      <c r="FH367" s="29"/>
      <c r="FI367" s="29"/>
      <c r="FJ367" s="29"/>
      <c r="FK367" s="29"/>
      <c r="FL367" s="1504">
        <v>45627</v>
      </c>
      <c r="FM367" s="19"/>
      <c r="FN367" s="93"/>
      <c r="FO367" s="93"/>
      <c r="FP367" s="93"/>
      <c r="FQ367" s="93"/>
      <c r="FR367" s="93"/>
      <c r="FS367" s="93"/>
      <c r="FT367" s="93"/>
      <c r="FU367" s="93"/>
      <c r="FV367" s="93"/>
      <c r="FW367" s="93"/>
      <c r="FX367" s="93"/>
      <c r="FY367" s="93"/>
      <c r="FZ367" s="29"/>
      <c r="GA367" s="1504">
        <v>45627</v>
      </c>
      <c r="GB367" s="19"/>
      <c r="GC367" s="93"/>
      <c r="GD367" s="93"/>
      <c r="GE367" s="93"/>
      <c r="GF367" s="93"/>
      <c r="GG367" s="93"/>
      <c r="GH367" s="93"/>
      <c r="GI367" s="93"/>
      <c r="GJ367" s="93"/>
      <c r="GK367" s="93"/>
      <c r="GL367" s="93"/>
      <c r="GM367" s="93"/>
      <c r="GN367" s="20"/>
      <c r="GO367" s="29"/>
      <c r="GP367" s="1504">
        <v>45627</v>
      </c>
      <c r="GQ367" s="19"/>
      <c r="GR367" s="93"/>
      <c r="GS367" s="93"/>
      <c r="GT367" s="93"/>
      <c r="GU367" s="93"/>
      <c r="GV367" s="20"/>
      <c r="GW367" s="19"/>
      <c r="GX367" s="93"/>
      <c r="GY367" s="93"/>
      <c r="GZ367" s="93"/>
      <c r="HA367" s="93"/>
      <c r="HB367" s="20"/>
      <c r="HC367" s="19"/>
      <c r="HD367" s="93"/>
      <c r="HE367" s="93"/>
      <c r="HF367" s="93"/>
      <c r="HG367" s="93"/>
      <c r="HH367" s="20"/>
      <c r="HI367" s="19"/>
      <c r="HJ367" s="93"/>
      <c r="HK367" s="93"/>
      <c r="HL367" s="93"/>
      <c r="HM367" s="93"/>
      <c r="HN367" s="20"/>
      <c r="HO367" s="219"/>
      <c r="HP367" s="20"/>
      <c r="HQ367" s="25"/>
      <c r="HR367" s="29"/>
      <c r="HS367" s="1504">
        <v>45627</v>
      </c>
      <c r="HT367" s="19"/>
      <c r="HU367" s="93"/>
      <c r="HV367" s="93"/>
      <c r="HW367" s="93"/>
      <c r="HX367" s="93"/>
      <c r="HY367" s="93"/>
      <c r="HZ367" s="93"/>
      <c r="IA367" s="20"/>
      <c r="IB367" s="19"/>
      <c r="IC367" s="93"/>
      <c r="ID367" s="93"/>
      <c r="IE367" s="93"/>
      <c r="IF367" s="93"/>
      <c r="IG367" s="20"/>
      <c r="IH367" s="19"/>
      <c r="II367" s="93"/>
      <c r="IJ367" s="93"/>
      <c r="IK367" s="93"/>
      <c r="IL367" s="93"/>
      <c r="IM367" s="93"/>
      <c r="IN367" s="93"/>
      <c r="IO367" s="20"/>
      <c r="IP367" s="29"/>
      <c r="IQ367" s="19"/>
      <c r="IR367" s="93"/>
      <c r="IS367" s="93"/>
      <c r="IT367" s="93"/>
      <c r="IU367" s="93"/>
      <c r="IV367" s="20"/>
      <c r="IW367" s="29"/>
      <c r="IX367" s="19"/>
      <c r="IY367" s="93"/>
      <c r="IZ367" s="93"/>
      <c r="JA367" s="93"/>
      <c r="JB367" s="93"/>
      <c r="JC367" s="93"/>
      <c r="JD367" s="93"/>
      <c r="JE367" s="20"/>
      <c r="JF367" s="29"/>
      <c r="JG367" s="19"/>
      <c r="JH367" s="93"/>
      <c r="JI367" s="93"/>
      <c r="JJ367" s="93"/>
      <c r="JK367" s="93"/>
      <c r="JL367" s="93"/>
      <c r="JM367" s="93"/>
      <c r="JN367" s="20"/>
      <c r="JO367" s="29"/>
      <c r="JP367" s="19"/>
      <c r="JQ367" s="93"/>
      <c r="JR367" s="93"/>
      <c r="JS367" s="93"/>
      <c r="JT367" s="93"/>
      <c r="JU367" s="20"/>
      <c r="JV367" s="29"/>
      <c r="JW367" s="1504">
        <v>45627</v>
      </c>
      <c r="JX367" s="19"/>
      <c r="JY367" s="93"/>
      <c r="JZ367" s="93"/>
      <c r="KA367" s="93"/>
      <c r="KB367" s="93"/>
      <c r="KC367" s="93"/>
      <c r="KD367" s="20"/>
      <c r="KE367" s="29"/>
      <c r="KF367" s="19"/>
      <c r="KG367" s="93"/>
      <c r="KH367" s="93"/>
      <c r="KI367" s="93"/>
      <c r="KJ367" s="93"/>
      <c r="KK367" s="20"/>
      <c r="KL367" s="29"/>
      <c r="KM367" s="19"/>
      <c r="KN367" s="93"/>
      <c r="KO367" s="93"/>
      <c r="KP367" s="93"/>
      <c r="KQ367" s="93"/>
      <c r="KR367" s="20"/>
      <c r="KS367" s="29"/>
      <c r="KT367" s="19"/>
      <c r="KU367" s="93"/>
      <c r="KV367" s="93"/>
      <c r="KW367" s="93"/>
      <c r="KX367" s="93"/>
      <c r="KY367" s="20"/>
      <c r="KZ367" s="29"/>
      <c r="LA367" s="1504">
        <v>45627</v>
      </c>
      <c r="LB367" s="19"/>
      <c r="LC367" s="93"/>
      <c r="LD367" s="93"/>
      <c r="LE367" s="93"/>
      <c r="LF367" s="93"/>
      <c r="LG367" s="93"/>
      <c r="LH367" s="20"/>
      <c r="LI367" s="29"/>
      <c r="LJ367" s="19"/>
      <c r="LK367" s="93"/>
      <c r="LL367" s="93"/>
      <c r="LM367" s="93"/>
      <c r="LN367" s="93"/>
      <c r="LO367" s="20"/>
      <c r="LP367" s="29"/>
      <c r="LQ367" s="19"/>
      <c r="LR367" s="93"/>
      <c r="LS367" s="93"/>
      <c r="LT367" s="93"/>
      <c r="LU367" s="93"/>
      <c r="LV367" s="93"/>
      <c r="LW367" s="93"/>
      <c r="LX367" s="93"/>
      <c r="LY367" s="93"/>
      <c r="LZ367" s="93"/>
      <c r="MA367" s="20"/>
      <c r="MB367" s="29"/>
      <c r="MC367" s="1504">
        <v>45627</v>
      </c>
      <c r="MD367" s="19"/>
      <c r="ME367" s="93"/>
      <c r="MF367" s="93"/>
      <c r="MG367" s="93"/>
      <c r="MH367" s="93"/>
      <c r="MI367" s="93"/>
      <c r="MJ367" s="93"/>
      <c r="MK367" s="93"/>
      <c r="ML367" s="93"/>
      <c r="MM367" s="93"/>
      <c r="MN367" s="93"/>
      <c r="MO367" s="93"/>
      <c r="MP367" s="93"/>
      <c r="MQ367" s="93"/>
      <c r="MR367" s="93"/>
      <c r="MS367" s="93"/>
      <c r="MT367" s="93"/>
      <c r="MU367" s="93"/>
      <c r="MV367" s="93"/>
      <c r="MW367" s="93"/>
      <c r="MX367" s="93"/>
      <c r="MY367" s="93"/>
      <c r="MZ367" s="93"/>
      <c r="NA367" s="93"/>
      <c r="NB367" s="93"/>
      <c r="NC367" s="93"/>
      <c r="ND367" s="93"/>
      <c r="NE367" s="93"/>
      <c r="NF367" s="93"/>
      <c r="NG367" s="93"/>
      <c r="NH367" s="93"/>
      <c r="NI367" s="93"/>
      <c r="NJ367" s="93"/>
      <c r="NK367" s="93"/>
      <c r="NL367" s="93"/>
      <c r="NM367" s="93"/>
      <c r="NN367" s="93"/>
      <c r="NO367" s="93"/>
      <c r="NP367" s="93"/>
      <c r="NQ367" s="93"/>
      <c r="NR367" s="93"/>
      <c r="NS367" s="93"/>
      <c r="NT367" s="93"/>
      <c r="NU367" s="93"/>
      <c r="NV367" s="93"/>
      <c r="NW367" s="93"/>
      <c r="NX367" s="93"/>
      <c r="NY367" s="93"/>
      <c r="NZ367" s="93"/>
      <c r="OA367" s="93"/>
      <c r="OB367" s="93"/>
      <c r="OC367" s="93"/>
      <c r="OD367" s="20"/>
      <c r="OE367" s="29"/>
      <c r="OF367" s="1504">
        <v>45627</v>
      </c>
      <c r="OG367" s="19"/>
      <c r="OH367" s="93"/>
      <c r="OI367" s="93"/>
      <c r="OJ367" s="93"/>
      <c r="OK367" s="93"/>
      <c r="OL367" s="93"/>
      <c r="OM367" s="93"/>
      <c r="ON367" s="93"/>
      <c r="OO367" s="93"/>
      <c r="OP367" s="93"/>
      <c r="OQ367" s="93"/>
      <c r="OR367" s="93"/>
      <c r="OS367" s="93"/>
      <c r="OT367" s="93"/>
      <c r="OU367" s="93"/>
      <c r="OV367" s="93"/>
      <c r="OW367" s="93"/>
      <c r="OX367" s="93"/>
      <c r="OY367" s="93"/>
      <c r="OZ367" s="93"/>
      <c r="PA367" s="93"/>
      <c r="PB367" s="93"/>
      <c r="PC367" s="20"/>
      <c r="PD367" s="29"/>
      <c r="PE367" s="19"/>
      <c r="PF367" s="93"/>
      <c r="PG367" s="93"/>
      <c r="PH367" s="93"/>
      <c r="PI367" s="93"/>
      <c r="PJ367" s="93"/>
      <c r="PK367" s="93"/>
      <c r="PL367" s="93"/>
      <c r="PM367" s="93"/>
      <c r="PN367" s="93"/>
      <c r="PO367" s="93"/>
      <c r="PP367" s="93"/>
      <c r="PQ367" s="93"/>
      <c r="PR367" s="93"/>
      <c r="PS367" s="93"/>
      <c r="PT367" s="93"/>
      <c r="PU367" s="93"/>
      <c r="PV367" s="93"/>
      <c r="PW367" s="93"/>
      <c r="PX367" s="93"/>
      <c r="PY367" s="93"/>
      <c r="PZ367" s="93"/>
      <c r="QA367" s="93"/>
      <c r="QB367" s="93"/>
      <c r="QC367" s="93"/>
      <c r="QD367" s="93"/>
      <c r="QE367" s="20"/>
      <c r="QF367" s="1739"/>
      <c r="QG367" s="19"/>
      <c r="QH367" s="93"/>
      <c r="QI367" s="93"/>
      <c r="QJ367" s="93"/>
      <c r="QK367" s="93"/>
      <c r="QL367" s="93"/>
      <c r="QM367" s="93"/>
      <c r="QN367" s="93"/>
      <c r="QO367" s="93"/>
      <c r="QP367" s="93"/>
      <c r="QQ367" s="93"/>
      <c r="QR367" s="93"/>
      <c r="QS367" s="93"/>
      <c r="QT367" s="93"/>
      <c r="QU367" s="93"/>
      <c r="QV367" s="93"/>
      <c r="QW367" s="93"/>
      <c r="QX367" s="93"/>
      <c r="QY367" s="93"/>
      <c r="QZ367" s="93"/>
      <c r="RA367" s="93"/>
      <c r="RB367" s="93"/>
      <c r="RC367" s="93"/>
      <c r="RD367" s="93"/>
      <c r="RE367" s="93"/>
      <c r="RF367" s="93"/>
      <c r="RG367" s="93"/>
      <c r="RH367" s="93"/>
      <c r="RI367" s="93"/>
      <c r="RJ367" s="93"/>
      <c r="RK367" s="93"/>
      <c r="RL367" s="93"/>
      <c r="RM367" s="20"/>
      <c r="RN367" s="29"/>
      <c r="RO367" s="19"/>
      <c r="RP367" s="20"/>
      <c r="RQ367" s="29"/>
      <c r="RR367" s="20"/>
      <c r="RS367" s="29"/>
      <c r="RT367" s="1504">
        <v>45627</v>
      </c>
      <c r="RU367" s="19"/>
      <c r="RV367" s="20"/>
      <c r="RW367" s="29"/>
      <c r="RX367" s="1504">
        <v>45627</v>
      </c>
      <c r="RY367" s="29"/>
      <c r="RZ367" s="20"/>
      <c r="SA367" s="29"/>
      <c r="SB367" s="29"/>
    </row>
    <row r="368" spans="1:496">
      <c r="A368" s="41">
        <f t="shared" si="346"/>
        <v>2025</v>
      </c>
      <c r="B368" s="1504">
        <v>45658</v>
      </c>
      <c r="C368" s="1813"/>
      <c r="D368" s="1814"/>
      <c r="E368" s="1814"/>
      <c r="F368" s="1815"/>
      <c r="G368" s="1814"/>
      <c r="H368" s="1814"/>
      <c r="I368" s="1814"/>
      <c r="J368" s="1816"/>
      <c r="K368" s="1807"/>
      <c r="L368" s="25"/>
      <c r="M368" s="97"/>
      <c r="N368" s="1504">
        <v>45658</v>
      </c>
      <c r="O368" s="19"/>
      <c r="P368" s="93"/>
      <c r="Q368" s="93"/>
      <c r="R368" s="93"/>
      <c r="S368" s="93"/>
      <c r="T368" s="93"/>
      <c r="U368" s="93"/>
      <c r="V368" s="93"/>
      <c r="W368" s="93"/>
      <c r="X368" s="93"/>
      <c r="Y368" s="93"/>
      <c r="Z368" s="93"/>
      <c r="AA368" s="93"/>
      <c r="AB368" s="20"/>
      <c r="AC368" s="25"/>
      <c r="AD368" s="97"/>
      <c r="AE368" s="1504">
        <v>45658</v>
      </c>
      <c r="AF368" s="19"/>
      <c r="AG368" s="93"/>
      <c r="AH368" s="93"/>
      <c r="AI368" s="93"/>
      <c r="AJ368" s="93"/>
      <c r="AK368" s="93"/>
      <c r="AL368" s="93"/>
      <c r="AM368" s="93"/>
      <c r="AN368" s="93"/>
      <c r="AO368" s="93"/>
      <c r="AP368" s="93"/>
      <c r="AQ368" s="93"/>
      <c r="AR368" s="93"/>
      <c r="AS368" s="20"/>
      <c r="AT368" s="25"/>
      <c r="AU368" s="97"/>
      <c r="AV368" s="1504">
        <v>45658</v>
      </c>
      <c r="AW368" s="19"/>
      <c r="AX368" s="93"/>
      <c r="AY368" s="93"/>
      <c r="AZ368" s="93"/>
      <c r="BA368" s="93"/>
      <c r="BB368" s="93"/>
      <c r="BC368" s="93"/>
      <c r="BD368" s="93"/>
      <c r="BE368" s="93"/>
      <c r="BF368" s="93"/>
      <c r="BG368" s="93"/>
      <c r="BH368" s="93"/>
      <c r="BI368" s="93"/>
      <c r="BJ368" s="20"/>
      <c r="BK368" s="25"/>
      <c r="BL368" s="97"/>
      <c r="BM368" s="1504">
        <v>45658</v>
      </c>
      <c r="BN368" s="19"/>
      <c r="BO368" s="93"/>
      <c r="BP368" s="93"/>
      <c r="BQ368" s="93"/>
      <c r="BR368" s="93"/>
      <c r="BS368" s="93"/>
      <c r="BT368" s="93"/>
      <c r="BU368" s="20"/>
      <c r="BV368" s="25"/>
      <c r="BW368" s="97"/>
      <c r="BX368" s="1504">
        <v>45658</v>
      </c>
      <c r="BY368" s="19"/>
      <c r="BZ368" s="93"/>
      <c r="CA368" s="93"/>
      <c r="CB368" s="93"/>
      <c r="CC368" s="93"/>
      <c r="CD368" s="25"/>
      <c r="CE368" s="97"/>
      <c r="CF368" s="1504">
        <v>45658</v>
      </c>
      <c r="CG368" s="19"/>
      <c r="CH368" s="93"/>
      <c r="CI368" s="219"/>
      <c r="CJ368" s="20"/>
      <c r="CK368" s="19"/>
      <c r="CL368" s="93"/>
      <c r="CM368" s="93"/>
      <c r="CN368" s="93"/>
      <c r="CO368" s="93"/>
      <c r="CP368" s="20"/>
      <c r="CQ368" s="219"/>
      <c r="CR368" s="93"/>
      <c r="CS368" s="93"/>
      <c r="CT368" s="93"/>
      <c r="CU368" s="93"/>
      <c r="CV368" s="214"/>
      <c r="CW368" s="29"/>
      <c r="CX368" s="41">
        <f t="shared" si="319"/>
        <v>2025</v>
      </c>
      <c r="CY368" s="1504">
        <v>45658</v>
      </c>
      <c r="CZ368" s="19"/>
      <c r="DA368" s="93"/>
      <c r="DB368" s="93"/>
      <c r="DC368" s="93"/>
      <c r="DD368" s="93"/>
      <c r="DE368" s="20"/>
      <c r="DF368" s="29"/>
      <c r="DG368" s="1504">
        <v>45658</v>
      </c>
      <c r="DH368" s="19"/>
      <c r="DI368" s="93"/>
      <c r="DJ368" s="93"/>
      <c r="DK368" s="93"/>
      <c r="DL368" s="93"/>
      <c r="DM368" s="93"/>
      <c r="DN368" s="20"/>
      <c r="DO368" s="295"/>
      <c r="DP368" s="29"/>
      <c r="DQ368" s="1504">
        <v>45658</v>
      </c>
      <c r="DR368" s="19"/>
      <c r="DS368" s="93"/>
      <c r="DT368" s="93"/>
      <c r="DU368" s="93"/>
      <c r="DV368" s="93"/>
      <c r="DW368" s="93"/>
      <c r="DX368" s="20"/>
      <c r="DY368" s="29"/>
      <c r="DZ368" s="1504">
        <v>45658</v>
      </c>
      <c r="EA368" s="19"/>
      <c r="EB368" s="93"/>
      <c r="EC368" s="20"/>
      <c r="ED368" s="29"/>
      <c r="EE368" s="1504">
        <v>45658</v>
      </c>
      <c r="EF368" s="19"/>
      <c r="EG368" s="93"/>
      <c r="EH368" s="93"/>
      <c r="EI368" s="214"/>
      <c r="EJ368" s="93"/>
      <c r="EK368" s="93"/>
      <c r="EL368" s="93"/>
      <c r="EM368" s="93"/>
      <c r="EN368" s="20"/>
      <c r="EO368" s="29"/>
      <c r="EP368" s="1504">
        <v>45658</v>
      </c>
      <c r="EQ368" s="19"/>
      <c r="ER368" s="93"/>
      <c r="ES368" s="93"/>
      <c r="ET368" s="214"/>
      <c r="EU368" s="93"/>
      <c r="EV368" s="93"/>
      <c r="EW368" s="93"/>
      <c r="EX368" s="93"/>
      <c r="EY368" s="20"/>
      <c r="EZ368" s="29"/>
      <c r="FA368" s="1504">
        <v>45658</v>
      </c>
      <c r="FB368" s="29"/>
      <c r="FC368" s="29"/>
      <c r="FD368" s="29"/>
      <c r="FE368" s="29"/>
      <c r="FF368" s="29"/>
      <c r="FG368" s="29"/>
      <c r="FH368" s="29"/>
      <c r="FI368" s="29"/>
      <c r="FJ368" s="29"/>
      <c r="FK368" s="29"/>
      <c r="FL368" s="1504">
        <v>45658</v>
      </c>
      <c r="FM368" s="19"/>
      <c r="FN368" s="93"/>
      <c r="FO368" s="93"/>
      <c r="FP368" s="93"/>
      <c r="FQ368" s="93"/>
      <c r="FR368" s="93"/>
      <c r="FS368" s="93"/>
      <c r="FT368" s="93"/>
      <c r="FU368" s="93"/>
      <c r="FV368" s="93"/>
      <c r="FW368" s="93"/>
      <c r="FX368" s="93"/>
      <c r="FY368" s="93"/>
      <c r="FZ368" s="29"/>
      <c r="GA368" s="1504">
        <v>45658</v>
      </c>
      <c r="GB368" s="19"/>
      <c r="GC368" s="93"/>
      <c r="GD368" s="93"/>
      <c r="GE368" s="93"/>
      <c r="GF368" s="93"/>
      <c r="GG368" s="93"/>
      <c r="GH368" s="93"/>
      <c r="GI368" s="93"/>
      <c r="GJ368" s="93"/>
      <c r="GK368" s="93"/>
      <c r="GL368" s="93"/>
      <c r="GM368" s="93"/>
      <c r="GN368" s="20"/>
      <c r="GO368" s="29"/>
      <c r="GP368" s="1504">
        <v>45658</v>
      </c>
      <c r="GQ368" s="19"/>
      <c r="GR368" s="93"/>
      <c r="GS368" s="93"/>
      <c r="GT368" s="93"/>
      <c r="GU368" s="93"/>
      <c r="GV368" s="20"/>
      <c r="GW368" s="19"/>
      <c r="GX368" s="93"/>
      <c r="GY368" s="93"/>
      <c r="GZ368" s="93"/>
      <c r="HA368" s="93"/>
      <c r="HB368" s="20"/>
      <c r="HC368" s="19"/>
      <c r="HD368" s="93"/>
      <c r="HE368" s="93"/>
      <c r="HF368" s="93"/>
      <c r="HG368" s="93"/>
      <c r="HH368" s="20"/>
      <c r="HI368" s="19"/>
      <c r="HJ368" s="93"/>
      <c r="HK368" s="93"/>
      <c r="HL368" s="93"/>
      <c r="HM368" s="93"/>
      <c r="HN368" s="20"/>
      <c r="HO368" s="219"/>
      <c r="HP368" s="20"/>
      <c r="HQ368" s="25"/>
      <c r="HR368" s="29"/>
      <c r="HS368" s="1504">
        <v>45658</v>
      </c>
      <c r="HT368" s="19"/>
      <c r="HU368" s="93"/>
      <c r="HV368" s="93"/>
      <c r="HW368" s="93"/>
      <c r="HX368" s="93"/>
      <c r="HY368" s="93"/>
      <c r="HZ368" s="93"/>
      <c r="IA368" s="20"/>
      <c r="IB368" s="19"/>
      <c r="IC368" s="93"/>
      <c r="ID368" s="93"/>
      <c r="IE368" s="93"/>
      <c r="IF368" s="93"/>
      <c r="IG368" s="20"/>
      <c r="IH368" s="19"/>
      <c r="II368" s="93"/>
      <c r="IJ368" s="93"/>
      <c r="IK368" s="93"/>
      <c r="IL368" s="93"/>
      <c r="IM368" s="93"/>
      <c r="IN368" s="93"/>
      <c r="IO368" s="20"/>
      <c r="IP368" s="29"/>
      <c r="IQ368" s="19"/>
      <c r="IR368" s="93"/>
      <c r="IS368" s="93"/>
      <c r="IT368" s="93"/>
      <c r="IU368" s="93"/>
      <c r="IV368" s="20"/>
      <c r="IW368" s="29"/>
      <c r="IX368" s="19"/>
      <c r="IY368" s="93"/>
      <c r="IZ368" s="93"/>
      <c r="JA368" s="93"/>
      <c r="JB368" s="93"/>
      <c r="JC368" s="93"/>
      <c r="JD368" s="93"/>
      <c r="JE368" s="20"/>
      <c r="JF368" s="29"/>
      <c r="JG368" s="19"/>
      <c r="JH368" s="93"/>
      <c r="JI368" s="93"/>
      <c r="JJ368" s="93"/>
      <c r="JK368" s="93"/>
      <c r="JL368" s="93"/>
      <c r="JM368" s="93"/>
      <c r="JN368" s="20"/>
      <c r="JO368" s="29"/>
      <c r="JP368" s="19"/>
      <c r="JQ368" s="93"/>
      <c r="JR368" s="93"/>
      <c r="JS368" s="93"/>
      <c r="JT368" s="93"/>
      <c r="JU368" s="20"/>
      <c r="JV368" s="29"/>
      <c r="JW368" s="1504">
        <v>45658</v>
      </c>
      <c r="JX368" s="19"/>
      <c r="JY368" s="93"/>
      <c r="JZ368" s="93"/>
      <c r="KA368" s="93"/>
      <c r="KB368" s="93"/>
      <c r="KC368" s="93"/>
      <c r="KD368" s="20"/>
      <c r="KE368" s="29"/>
      <c r="KF368" s="19"/>
      <c r="KG368" s="93"/>
      <c r="KH368" s="93"/>
      <c r="KI368" s="93"/>
      <c r="KJ368" s="93"/>
      <c r="KK368" s="20"/>
      <c r="KL368" s="29"/>
      <c r="KM368" s="19"/>
      <c r="KN368" s="93"/>
      <c r="KO368" s="93"/>
      <c r="KP368" s="93"/>
      <c r="KQ368" s="93"/>
      <c r="KR368" s="20"/>
      <c r="KS368" s="29"/>
      <c r="KT368" s="19"/>
      <c r="KU368" s="93"/>
      <c r="KV368" s="93"/>
      <c r="KW368" s="93"/>
      <c r="KX368" s="93"/>
      <c r="KY368" s="20"/>
      <c r="KZ368" s="29"/>
      <c r="LA368" s="1504">
        <v>45658</v>
      </c>
      <c r="LB368" s="19"/>
      <c r="LC368" s="93"/>
      <c r="LD368" s="93"/>
      <c r="LE368" s="93"/>
      <c r="LF368" s="93"/>
      <c r="LG368" s="93"/>
      <c r="LH368" s="20"/>
      <c r="LI368" s="29"/>
      <c r="LJ368" s="19"/>
      <c r="LK368" s="93"/>
      <c r="LL368" s="93"/>
      <c r="LM368" s="93"/>
      <c r="LN368" s="93"/>
      <c r="LO368" s="20"/>
      <c r="LP368" s="29"/>
      <c r="LQ368" s="19"/>
      <c r="LR368" s="93"/>
      <c r="LS368" s="93"/>
      <c r="LT368" s="93"/>
      <c r="LU368" s="93"/>
      <c r="LV368" s="93"/>
      <c r="LW368" s="93"/>
      <c r="LX368" s="93"/>
      <c r="LY368" s="93"/>
      <c r="LZ368" s="93"/>
      <c r="MA368" s="20"/>
      <c r="MB368" s="29"/>
      <c r="MC368" s="1504">
        <v>45658</v>
      </c>
      <c r="MD368" s="19"/>
      <c r="ME368" s="93"/>
      <c r="MF368" s="93"/>
      <c r="MG368" s="93"/>
      <c r="MH368" s="93"/>
      <c r="MI368" s="93"/>
      <c r="MJ368" s="93"/>
      <c r="MK368" s="93"/>
      <c r="ML368" s="93"/>
      <c r="MM368" s="93"/>
      <c r="MN368" s="93"/>
      <c r="MO368" s="93"/>
      <c r="MP368" s="93"/>
      <c r="MQ368" s="93"/>
      <c r="MR368" s="93"/>
      <c r="MS368" s="93"/>
      <c r="MT368" s="93"/>
      <c r="MU368" s="93"/>
      <c r="MV368" s="93"/>
      <c r="MW368" s="93"/>
      <c r="MX368" s="93"/>
      <c r="MY368" s="93"/>
      <c r="MZ368" s="93"/>
      <c r="NA368" s="93"/>
      <c r="NB368" s="93"/>
      <c r="NC368" s="93"/>
      <c r="ND368" s="93"/>
      <c r="NE368" s="93"/>
      <c r="NF368" s="93"/>
      <c r="NG368" s="93"/>
      <c r="NH368" s="93"/>
      <c r="NI368" s="93"/>
      <c r="NJ368" s="93"/>
      <c r="NK368" s="93"/>
      <c r="NL368" s="93"/>
      <c r="NM368" s="93"/>
      <c r="NN368" s="93"/>
      <c r="NO368" s="93"/>
      <c r="NP368" s="93"/>
      <c r="NQ368" s="93"/>
      <c r="NR368" s="93"/>
      <c r="NS368" s="93"/>
      <c r="NT368" s="93"/>
      <c r="NU368" s="93"/>
      <c r="NV368" s="93"/>
      <c r="NW368" s="93"/>
      <c r="NX368" s="93"/>
      <c r="NY368" s="93"/>
      <c r="NZ368" s="93"/>
      <c r="OA368" s="93"/>
      <c r="OB368" s="93"/>
      <c r="OC368" s="93"/>
      <c r="OD368" s="20"/>
      <c r="OE368" s="29"/>
      <c r="OF368" s="1504">
        <v>45658</v>
      </c>
      <c r="OG368" s="19"/>
      <c r="OH368" s="93"/>
      <c r="OI368" s="93"/>
      <c r="OJ368" s="93"/>
      <c r="OK368" s="93"/>
      <c r="OL368" s="93"/>
      <c r="OM368" s="93"/>
      <c r="ON368" s="93"/>
      <c r="OO368" s="93"/>
      <c r="OP368" s="93"/>
      <c r="OQ368" s="93"/>
      <c r="OR368" s="93"/>
      <c r="OS368" s="93"/>
      <c r="OT368" s="93"/>
      <c r="OU368" s="93"/>
      <c r="OV368" s="93"/>
      <c r="OW368" s="93"/>
      <c r="OX368" s="93"/>
      <c r="OY368" s="93"/>
      <c r="OZ368" s="93"/>
      <c r="PA368" s="93"/>
      <c r="PB368" s="93"/>
      <c r="PC368" s="20"/>
      <c r="PD368" s="29"/>
      <c r="PE368" s="19"/>
      <c r="PF368" s="93"/>
      <c r="PG368" s="93"/>
      <c r="PH368" s="93"/>
      <c r="PI368" s="93"/>
      <c r="PJ368" s="93"/>
      <c r="PK368" s="93"/>
      <c r="PL368" s="93"/>
      <c r="PM368" s="93"/>
      <c r="PN368" s="93"/>
      <c r="PO368" s="93"/>
      <c r="PP368" s="93"/>
      <c r="PQ368" s="93"/>
      <c r="PR368" s="93"/>
      <c r="PS368" s="93"/>
      <c r="PT368" s="93"/>
      <c r="PU368" s="93"/>
      <c r="PV368" s="93"/>
      <c r="PW368" s="93"/>
      <c r="PX368" s="93"/>
      <c r="PY368" s="93"/>
      <c r="PZ368" s="93"/>
      <c r="QA368" s="93"/>
      <c r="QB368" s="93"/>
      <c r="QC368" s="93"/>
      <c r="QD368" s="93"/>
      <c r="QE368" s="20"/>
      <c r="QF368" s="1739"/>
      <c r="QG368" s="19"/>
      <c r="QH368" s="93"/>
      <c r="QI368" s="93"/>
      <c r="QJ368" s="93"/>
      <c r="QK368" s="93"/>
      <c r="QL368" s="93"/>
      <c r="QM368" s="93"/>
      <c r="QN368" s="93"/>
      <c r="QO368" s="93"/>
      <c r="QP368" s="93"/>
      <c r="QQ368" s="93"/>
      <c r="QR368" s="93"/>
      <c r="QS368" s="93"/>
      <c r="QT368" s="93"/>
      <c r="QU368" s="93"/>
      <c r="QV368" s="93"/>
      <c r="QW368" s="93"/>
      <c r="QX368" s="93"/>
      <c r="QY368" s="93"/>
      <c r="QZ368" s="93"/>
      <c r="RA368" s="93"/>
      <c r="RB368" s="93"/>
      <c r="RC368" s="93"/>
      <c r="RD368" s="93"/>
      <c r="RE368" s="93"/>
      <c r="RF368" s="93"/>
      <c r="RG368" s="93"/>
      <c r="RH368" s="93"/>
      <c r="RI368" s="93"/>
      <c r="RJ368" s="93"/>
      <c r="RK368" s="93"/>
      <c r="RL368" s="93"/>
      <c r="RM368" s="20"/>
      <c r="RN368" s="29"/>
      <c r="RO368" s="19"/>
      <c r="RP368" s="20"/>
      <c r="RQ368" s="29"/>
      <c r="RR368" s="20"/>
      <c r="RS368" s="29"/>
      <c r="RT368" s="1504">
        <v>45658</v>
      </c>
      <c r="RU368" s="19"/>
      <c r="RV368" s="20"/>
      <c r="RW368" s="29"/>
      <c r="RX368" s="1504">
        <v>45658</v>
      </c>
      <c r="RY368" s="29"/>
      <c r="RZ368" s="20"/>
      <c r="SA368" s="29"/>
      <c r="SB368" s="29"/>
    </row>
    <row r="369" spans="1:496">
      <c r="A369" s="41">
        <f t="shared" si="346"/>
        <v>2025</v>
      </c>
      <c r="B369" s="1504">
        <v>45689</v>
      </c>
      <c r="C369" s="1813"/>
      <c r="D369" s="1814"/>
      <c r="E369" s="1814"/>
      <c r="F369" s="1815"/>
      <c r="G369" s="1814"/>
      <c r="H369" s="1814"/>
      <c r="I369" s="1814"/>
      <c r="J369" s="1816"/>
      <c r="K369" s="1807"/>
      <c r="L369" s="25"/>
      <c r="M369" s="97"/>
      <c r="N369" s="1504">
        <v>45689</v>
      </c>
      <c r="O369" s="19"/>
      <c r="P369" s="93"/>
      <c r="Q369" s="93"/>
      <c r="R369" s="93"/>
      <c r="S369" s="93"/>
      <c r="T369" s="93"/>
      <c r="U369" s="93"/>
      <c r="V369" s="93"/>
      <c r="W369" s="93"/>
      <c r="X369" s="93"/>
      <c r="Y369" s="93"/>
      <c r="Z369" s="93"/>
      <c r="AA369" s="93"/>
      <c r="AB369" s="20"/>
      <c r="AC369" s="25"/>
      <c r="AD369" s="97"/>
      <c r="AE369" s="1504">
        <v>45689</v>
      </c>
      <c r="AF369" s="19"/>
      <c r="AG369" s="93"/>
      <c r="AH369" s="93"/>
      <c r="AI369" s="93"/>
      <c r="AJ369" s="93"/>
      <c r="AK369" s="93"/>
      <c r="AL369" s="93"/>
      <c r="AM369" s="93"/>
      <c r="AN369" s="93"/>
      <c r="AO369" s="93"/>
      <c r="AP369" s="93"/>
      <c r="AQ369" s="93"/>
      <c r="AR369" s="93"/>
      <c r="AS369" s="20"/>
      <c r="AT369" s="25"/>
      <c r="AU369" s="97"/>
      <c r="AV369" s="1504">
        <v>45689</v>
      </c>
      <c r="AW369" s="19"/>
      <c r="AX369" s="93"/>
      <c r="AY369" s="93"/>
      <c r="AZ369" s="93"/>
      <c r="BA369" s="93"/>
      <c r="BB369" s="93"/>
      <c r="BC369" s="93"/>
      <c r="BD369" s="93"/>
      <c r="BE369" s="93"/>
      <c r="BF369" s="93"/>
      <c r="BG369" s="93"/>
      <c r="BH369" s="93"/>
      <c r="BI369" s="93"/>
      <c r="BJ369" s="20"/>
      <c r="BK369" s="25"/>
      <c r="BL369" s="97"/>
      <c r="BM369" s="1504">
        <v>45689</v>
      </c>
      <c r="BN369" s="19"/>
      <c r="BO369" s="93"/>
      <c r="BP369" s="93"/>
      <c r="BQ369" s="93"/>
      <c r="BR369" s="93"/>
      <c r="BS369" s="93"/>
      <c r="BT369" s="93"/>
      <c r="BU369" s="20"/>
      <c r="BV369" s="25"/>
      <c r="BW369" s="97"/>
      <c r="BX369" s="1504">
        <v>45689</v>
      </c>
      <c r="BY369" s="19"/>
      <c r="BZ369" s="93"/>
      <c r="CA369" s="93"/>
      <c r="CB369" s="93"/>
      <c r="CC369" s="93"/>
      <c r="CD369" s="25"/>
      <c r="CE369" s="97"/>
      <c r="CF369" s="1504">
        <v>45689</v>
      </c>
      <c r="CG369" s="19"/>
      <c r="CH369" s="93"/>
      <c r="CI369" s="219"/>
      <c r="CJ369" s="20"/>
      <c r="CK369" s="19"/>
      <c r="CL369" s="93"/>
      <c r="CM369" s="93"/>
      <c r="CN369" s="93"/>
      <c r="CO369" s="93"/>
      <c r="CP369" s="20"/>
      <c r="CQ369" s="219"/>
      <c r="CR369" s="93"/>
      <c r="CS369" s="93"/>
      <c r="CT369" s="93"/>
      <c r="CU369" s="93"/>
      <c r="CV369" s="214"/>
      <c r="CW369" s="29"/>
      <c r="CX369" s="41">
        <f t="shared" si="319"/>
        <v>2025</v>
      </c>
      <c r="CY369" s="1504">
        <v>45689</v>
      </c>
      <c r="CZ369" s="19"/>
      <c r="DA369" s="93"/>
      <c r="DB369" s="93"/>
      <c r="DC369" s="93"/>
      <c r="DD369" s="93"/>
      <c r="DE369" s="20"/>
      <c r="DF369" s="29"/>
      <c r="DG369" s="1504">
        <v>45689</v>
      </c>
      <c r="DH369" s="19"/>
      <c r="DI369" s="93"/>
      <c r="DJ369" s="93"/>
      <c r="DK369" s="93"/>
      <c r="DL369" s="93"/>
      <c r="DM369" s="93"/>
      <c r="DN369" s="20"/>
      <c r="DO369" s="295"/>
      <c r="DP369" s="29"/>
      <c r="DQ369" s="1504">
        <v>45689</v>
      </c>
      <c r="DR369" s="19"/>
      <c r="DS369" s="93"/>
      <c r="DT369" s="93"/>
      <c r="DU369" s="93"/>
      <c r="DV369" s="93"/>
      <c r="DW369" s="93"/>
      <c r="DX369" s="20"/>
      <c r="DY369" s="29"/>
      <c r="DZ369" s="1504">
        <v>45689</v>
      </c>
      <c r="EA369" s="19"/>
      <c r="EB369" s="93"/>
      <c r="EC369" s="20"/>
      <c r="ED369" s="29"/>
      <c r="EE369" s="1504">
        <v>45689</v>
      </c>
      <c r="EF369" s="19"/>
      <c r="EG369" s="93"/>
      <c r="EH369" s="93"/>
      <c r="EI369" s="214"/>
      <c r="EJ369" s="93"/>
      <c r="EK369" s="93"/>
      <c r="EL369" s="93"/>
      <c r="EM369" s="93"/>
      <c r="EN369" s="20"/>
      <c r="EO369" s="29"/>
      <c r="EP369" s="1504">
        <v>45689</v>
      </c>
      <c r="EQ369" s="19"/>
      <c r="ER369" s="93"/>
      <c r="ES369" s="93"/>
      <c r="ET369" s="214"/>
      <c r="EU369" s="93"/>
      <c r="EV369" s="93"/>
      <c r="EW369" s="93"/>
      <c r="EX369" s="93"/>
      <c r="EY369" s="20"/>
      <c r="EZ369" s="29"/>
      <c r="FA369" s="1504">
        <v>45689</v>
      </c>
      <c r="FB369" s="29"/>
      <c r="FC369" s="29"/>
      <c r="FD369" s="29"/>
      <c r="FE369" s="29"/>
      <c r="FF369" s="29"/>
      <c r="FG369" s="29"/>
      <c r="FH369" s="29"/>
      <c r="FI369" s="29"/>
      <c r="FJ369" s="29"/>
      <c r="FK369" s="29"/>
      <c r="FL369" s="1504">
        <v>45689</v>
      </c>
      <c r="FM369" s="19"/>
      <c r="FN369" s="93"/>
      <c r="FO369" s="93"/>
      <c r="FP369" s="93"/>
      <c r="FQ369" s="93"/>
      <c r="FR369" s="93"/>
      <c r="FS369" s="93"/>
      <c r="FT369" s="93"/>
      <c r="FU369" s="93"/>
      <c r="FV369" s="93"/>
      <c r="FW369" s="93"/>
      <c r="FX369" s="93"/>
      <c r="FY369" s="93"/>
      <c r="FZ369" s="29"/>
      <c r="GA369" s="1504">
        <v>45689</v>
      </c>
      <c r="GB369" s="19"/>
      <c r="GC369" s="93"/>
      <c r="GD369" s="93"/>
      <c r="GE369" s="93"/>
      <c r="GF369" s="93"/>
      <c r="GG369" s="93"/>
      <c r="GH369" s="93"/>
      <c r="GI369" s="93"/>
      <c r="GJ369" s="93"/>
      <c r="GK369" s="93"/>
      <c r="GL369" s="93"/>
      <c r="GM369" s="93"/>
      <c r="GN369" s="20"/>
      <c r="GO369" s="29"/>
      <c r="GP369" s="1504">
        <v>45689</v>
      </c>
      <c r="GQ369" s="19"/>
      <c r="GR369" s="93"/>
      <c r="GS369" s="93"/>
      <c r="GT369" s="93"/>
      <c r="GU369" s="93"/>
      <c r="GV369" s="20"/>
      <c r="GW369" s="19"/>
      <c r="GX369" s="93"/>
      <c r="GY369" s="93"/>
      <c r="GZ369" s="93"/>
      <c r="HA369" s="93"/>
      <c r="HB369" s="20"/>
      <c r="HC369" s="19"/>
      <c r="HD369" s="93"/>
      <c r="HE369" s="93"/>
      <c r="HF369" s="93"/>
      <c r="HG369" s="93"/>
      <c r="HH369" s="20"/>
      <c r="HI369" s="19"/>
      <c r="HJ369" s="93"/>
      <c r="HK369" s="93"/>
      <c r="HL369" s="93"/>
      <c r="HM369" s="93"/>
      <c r="HN369" s="20"/>
      <c r="HO369" s="219"/>
      <c r="HP369" s="20"/>
      <c r="HQ369" s="25"/>
      <c r="HR369" s="29"/>
      <c r="HS369" s="1504">
        <v>45689</v>
      </c>
      <c r="HT369" s="19"/>
      <c r="HU369" s="93"/>
      <c r="HV369" s="93"/>
      <c r="HW369" s="93"/>
      <c r="HX369" s="93"/>
      <c r="HY369" s="93"/>
      <c r="HZ369" s="93"/>
      <c r="IA369" s="20"/>
      <c r="IB369" s="19"/>
      <c r="IC369" s="93"/>
      <c r="ID369" s="93"/>
      <c r="IE369" s="93"/>
      <c r="IF369" s="93"/>
      <c r="IG369" s="20"/>
      <c r="IH369" s="19"/>
      <c r="II369" s="93"/>
      <c r="IJ369" s="93"/>
      <c r="IK369" s="93"/>
      <c r="IL369" s="93"/>
      <c r="IM369" s="93"/>
      <c r="IN369" s="93"/>
      <c r="IO369" s="20"/>
      <c r="IP369" s="29"/>
      <c r="IQ369" s="19"/>
      <c r="IR369" s="93"/>
      <c r="IS369" s="93"/>
      <c r="IT369" s="93"/>
      <c r="IU369" s="93"/>
      <c r="IV369" s="20"/>
      <c r="IW369" s="29"/>
      <c r="IX369" s="19"/>
      <c r="IY369" s="93"/>
      <c r="IZ369" s="93"/>
      <c r="JA369" s="93"/>
      <c r="JB369" s="93"/>
      <c r="JC369" s="93"/>
      <c r="JD369" s="93"/>
      <c r="JE369" s="20"/>
      <c r="JF369" s="29"/>
      <c r="JG369" s="19"/>
      <c r="JH369" s="93"/>
      <c r="JI369" s="93"/>
      <c r="JJ369" s="93"/>
      <c r="JK369" s="93"/>
      <c r="JL369" s="93"/>
      <c r="JM369" s="93"/>
      <c r="JN369" s="20"/>
      <c r="JO369" s="29"/>
      <c r="JP369" s="19"/>
      <c r="JQ369" s="93"/>
      <c r="JR369" s="93"/>
      <c r="JS369" s="93"/>
      <c r="JT369" s="93"/>
      <c r="JU369" s="20"/>
      <c r="JV369" s="29"/>
      <c r="JW369" s="1504">
        <v>45689</v>
      </c>
      <c r="JX369" s="19"/>
      <c r="JY369" s="93"/>
      <c r="JZ369" s="93"/>
      <c r="KA369" s="93"/>
      <c r="KB369" s="93"/>
      <c r="KC369" s="93"/>
      <c r="KD369" s="20"/>
      <c r="KE369" s="29"/>
      <c r="KF369" s="19"/>
      <c r="KG369" s="93"/>
      <c r="KH369" s="93"/>
      <c r="KI369" s="93"/>
      <c r="KJ369" s="93"/>
      <c r="KK369" s="20"/>
      <c r="KL369" s="29"/>
      <c r="KM369" s="19"/>
      <c r="KN369" s="93"/>
      <c r="KO369" s="93"/>
      <c r="KP369" s="93"/>
      <c r="KQ369" s="93"/>
      <c r="KR369" s="20"/>
      <c r="KS369" s="29"/>
      <c r="KT369" s="19"/>
      <c r="KU369" s="93"/>
      <c r="KV369" s="93"/>
      <c r="KW369" s="93"/>
      <c r="KX369" s="93"/>
      <c r="KY369" s="20"/>
      <c r="KZ369" s="29"/>
      <c r="LA369" s="1504">
        <v>45689</v>
      </c>
      <c r="LB369" s="19"/>
      <c r="LC369" s="93"/>
      <c r="LD369" s="93"/>
      <c r="LE369" s="93"/>
      <c r="LF369" s="93"/>
      <c r="LG369" s="93"/>
      <c r="LH369" s="20"/>
      <c r="LI369" s="29"/>
      <c r="LJ369" s="19"/>
      <c r="LK369" s="93"/>
      <c r="LL369" s="93"/>
      <c r="LM369" s="93"/>
      <c r="LN369" s="93"/>
      <c r="LO369" s="20"/>
      <c r="LP369" s="29"/>
      <c r="LQ369" s="19"/>
      <c r="LR369" s="93"/>
      <c r="LS369" s="93"/>
      <c r="LT369" s="93"/>
      <c r="LU369" s="93"/>
      <c r="LV369" s="93"/>
      <c r="LW369" s="93"/>
      <c r="LX369" s="93"/>
      <c r="LY369" s="93"/>
      <c r="LZ369" s="93"/>
      <c r="MA369" s="20"/>
      <c r="MB369" s="29"/>
      <c r="MC369" s="1504">
        <v>45689</v>
      </c>
      <c r="MD369" s="19"/>
      <c r="ME369" s="93"/>
      <c r="MF369" s="93"/>
      <c r="MG369" s="93"/>
      <c r="MH369" s="93"/>
      <c r="MI369" s="93"/>
      <c r="MJ369" s="93"/>
      <c r="MK369" s="93"/>
      <c r="ML369" s="93"/>
      <c r="MM369" s="93"/>
      <c r="MN369" s="93"/>
      <c r="MO369" s="93"/>
      <c r="MP369" s="93"/>
      <c r="MQ369" s="93"/>
      <c r="MR369" s="93"/>
      <c r="MS369" s="93"/>
      <c r="MT369" s="93"/>
      <c r="MU369" s="93"/>
      <c r="MV369" s="93"/>
      <c r="MW369" s="93"/>
      <c r="MX369" s="93"/>
      <c r="MY369" s="93"/>
      <c r="MZ369" s="93"/>
      <c r="NA369" s="93"/>
      <c r="NB369" s="93"/>
      <c r="NC369" s="93"/>
      <c r="ND369" s="93"/>
      <c r="NE369" s="93"/>
      <c r="NF369" s="93"/>
      <c r="NG369" s="93"/>
      <c r="NH369" s="93"/>
      <c r="NI369" s="93"/>
      <c r="NJ369" s="93"/>
      <c r="NK369" s="93"/>
      <c r="NL369" s="93"/>
      <c r="NM369" s="93"/>
      <c r="NN369" s="93"/>
      <c r="NO369" s="93"/>
      <c r="NP369" s="93"/>
      <c r="NQ369" s="93"/>
      <c r="NR369" s="93"/>
      <c r="NS369" s="93"/>
      <c r="NT369" s="93"/>
      <c r="NU369" s="93"/>
      <c r="NV369" s="93"/>
      <c r="NW369" s="93"/>
      <c r="NX369" s="93"/>
      <c r="NY369" s="93"/>
      <c r="NZ369" s="93"/>
      <c r="OA369" s="93"/>
      <c r="OB369" s="93"/>
      <c r="OC369" s="93"/>
      <c r="OD369" s="20"/>
      <c r="OE369" s="29"/>
      <c r="OF369" s="1504">
        <v>45689</v>
      </c>
      <c r="OG369" s="19"/>
      <c r="OH369" s="93"/>
      <c r="OI369" s="93"/>
      <c r="OJ369" s="93"/>
      <c r="OK369" s="93"/>
      <c r="OL369" s="93"/>
      <c r="OM369" s="93"/>
      <c r="ON369" s="93"/>
      <c r="OO369" s="93"/>
      <c r="OP369" s="93"/>
      <c r="OQ369" s="93"/>
      <c r="OR369" s="93"/>
      <c r="OS369" s="93"/>
      <c r="OT369" s="93"/>
      <c r="OU369" s="93"/>
      <c r="OV369" s="93"/>
      <c r="OW369" s="93"/>
      <c r="OX369" s="93"/>
      <c r="OY369" s="93"/>
      <c r="OZ369" s="93"/>
      <c r="PA369" s="93"/>
      <c r="PB369" s="93"/>
      <c r="PC369" s="20"/>
      <c r="PD369" s="29"/>
      <c r="PE369" s="19"/>
      <c r="PF369" s="93"/>
      <c r="PG369" s="93"/>
      <c r="PH369" s="93"/>
      <c r="PI369" s="93"/>
      <c r="PJ369" s="93"/>
      <c r="PK369" s="93"/>
      <c r="PL369" s="93"/>
      <c r="PM369" s="93"/>
      <c r="PN369" s="93"/>
      <c r="PO369" s="93"/>
      <c r="PP369" s="93"/>
      <c r="PQ369" s="93"/>
      <c r="PR369" s="93"/>
      <c r="PS369" s="93"/>
      <c r="PT369" s="93"/>
      <c r="PU369" s="93"/>
      <c r="PV369" s="93"/>
      <c r="PW369" s="93"/>
      <c r="PX369" s="93"/>
      <c r="PY369" s="93"/>
      <c r="PZ369" s="93"/>
      <c r="QA369" s="93"/>
      <c r="QB369" s="93"/>
      <c r="QC369" s="93"/>
      <c r="QD369" s="93"/>
      <c r="QE369" s="20"/>
      <c r="QF369" s="1739"/>
      <c r="QG369" s="19"/>
      <c r="QH369" s="93"/>
      <c r="QI369" s="93"/>
      <c r="QJ369" s="93"/>
      <c r="QK369" s="93"/>
      <c r="QL369" s="93"/>
      <c r="QM369" s="93"/>
      <c r="QN369" s="93"/>
      <c r="QO369" s="93"/>
      <c r="QP369" s="93"/>
      <c r="QQ369" s="93"/>
      <c r="QR369" s="93"/>
      <c r="QS369" s="93"/>
      <c r="QT369" s="93"/>
      <c r="QU369" s="93"/>
      <c r="QV369" s="93"/>
      <c r="QW369" s="93"/>
      <c r="QX369" s="93"/>
      <c r="QY369" s="93"/>
      <c r="QZ369" s="93"/>
      <c r="RA369" s="93"/>
      <c r="RB369" s="93"/>
      <c r="RC369" s="93"/>
      <c r="RD369" s="93"/>
      <c r="RE369" s="93"/>
      <c r="RF369" s="93"/>
      <c r="RG369" s="93"/>
      <c r="RH369" s="93"/>
      <c r="RI369" s="93"/>
      <c r="RJ369" s="93"/>
      <c r="RK369" s="93"/>
      <c r="RL369" s="93"/>
      <c r="RM369" s="20"/>
      <c r="RN369" s="29"/>
      <c r="RO369" s="19"/>
      <c r="RP369" s="20"/>
      <c r="RQ369" s="29"/>
      <c r="RR369" s="20"/>
      <c r="RS369" s="29"/>
      <c r="RT369" s="1504">
        <v>45689</v>
      </c>
      <c r="RU369" s="19"/>
      <c r="RV369" s="20"/>
      <c r="RW369" s="29"/>
      <c r="RX369" s="1504">
        <v>45689</v>
      </c>
      <c r="RY369" s="29"/>
      <c r="RZ369" s="20"/>
      <c r="SA369" s="29"/>
      <c r="SB369" s="29"/>
    </row>
    <row r="370" spans="1:496">
      <c r="A370" s="41">
        <f t="shared" si="346"/>
        <v>2025</v>
      </c>
      <c r="B370" s="1504">
        <v>45717</v>
      </c>
      <c r="C370" s="1813"/>
      <c r="D370" s="1814"/>
      <c r="E370" s="1814"/>
      <c r="F370" s="1815"/>
      <c r="G370" s="1814"/>
      <c r="H370" s="1814"/>
      <c r="I370" s="1814"/>
      <c r="J370" s="1816"/>
      <c r="K370" s="1807"/>
      <c r="L370" s="25"/>
      <c r="M370" s="97"/>
      <c r="N370" s="1504">
        <v>45717</v>
      </c>
      <c r="O370" s="19"/>
      <c r="P370" s="93"/>
      <c r="Q370" s="93"/>
      <c r="R370" s="93"/>
      <c r="S370" s="93"/>
      <c r="T370" s="93"/>
      <c r="U370" s="93"/>
      <c r="V370" s="93"/>
      <c r="W370" s="93"/>
      <c r="X370" s="93"/>
      <c r="Y370" s="93"/>
      <c r="Z370" s="93"/>
      <c r="AA370" s="93"/>
      <c r="AB370" s="20"/>
      <c r="AC370" s="25"/>
      <c r="AD370" s="97"/>
      <c r="AE370" s="1504">
        <v>45717</v>
      </c>
      <c r="AF370" s="19"/>
      <c r="AG370" s="93"/>
      <c r="AH370" s="93"/>
      <c r="AI370" s="93"/>
      <c r="AJ370" s="93"/>
      <c r="AK370" s="93"/>
      <c r="AL370" s="93"/>
      <c r="AM370" s="93"/>
      <c r="AN370" s="93"/>
      <c r="AO370" s="93"/>
      <c r="AP370" s="93"/>
      <c r="AQ370" s="93"/>
      <c r="AR370" s="93"/>
      <c r="AS370" s="20"/>
      <c r="AT370" s="25"/>
      <c r="AU370" s="97"/>
      <c r="AV370" s="1504">
        <v>45717</v>
      </c>
      <c r="AW370" s="19"/>
      <c r="AX370" s="93"/>
      <c r="AY370" s="93"/>
      <c r="AZ370" s="93"/>
      <c r="BA370" s="93"/>
      <c r="BB370" s="93"/>
      <c r="BC370" s="93"/>
      <c r="BD370" s="93"/>
      <c r="BE370" s="93"/>
      <c r="BF370" s="93"/>
      <c r="BG370" s="93"/>
      <c r="BH370" s="93"/>
      <c r="BI370" s="93"/>
      <c r="BJ370" s="20"/>
      <c r="BK370" s="25"/>
      <c r="BL370" s="97"/>
      <c r="BM370" s="1504">
        <v>45717</v>
      </c>
      <c r="BN370" s="19"/>
      <c r="BO370" s="93"/>
      <c r="BP370" s="93"/>
      <c r="BQ370" s="93"/>
      <c r="BR370" s="93"/>
      <c r="BS370" s="93"/>
      <c r="BT370" s="93"/>
      <c r="BU370" s="20"/>
      <c r="BV370" s="25"/>
      <c r="BW370" s="97"/>
      <c r="BX370" s="1504">
        <v>45717</v>
      </c>
      <c r="BY370" s="19"/>
      <c r="BZ370" s="93"/>
      <c r="CA370" s="93"/>
      <c r="CB370" s="93"/>
      <c r="CC370" s="93"/>
      <c r="CD370" s="25"/>
      <c r="CE370" s="97"/>
      <c r="CF370" s="1504">
        <v>45717</v>
      </c>
      <c r="CG370" s="19"/>
      <c r="CH370" s="93"/>
      <c r="CI370" s="219"/>
      <c r="CJ370" s="20"/>
      <c r="CK370" s="19"/>
      <c r="CL370" s="93"/>
      <c r="CM370" s="93"/>
      <c r="CN370" s="93"/>
      <c r="CO370" s="93"/>
      <c r="CP370" s="20"/>
      <c r="CQ370" s="219"/>
      <c r="CR370" s="93"/>
      <c r="CS370" s="93"/>
      <c r="CT370" s="93"/>
      <c r="CU370" s="93"/>
      <c r="CV370" s="214"/>
      <c r="CW370" s="29"/>
      <c r="CX370" s="41">
        <f t="shared" si="319"/>
        <v>2025</v>
      </c>
      <c r="CY370" s="1504">
        <v>45717</v>
      </c>
      <c r="CZ370" s="19"/>
      <c r="DA370" s="93"/>
      <c r="DB370" s="93"/>
      <c r="DC370" s="93"/>
      <c r="DD370" s="93"/>
      <c r="DE370" s="20"/>
      <c r="DF370" s="29"/>
      <c r="DG370" s="1504">
        <v>45717</v>
      </c>
      <c r="DH370" s="19"/>
      <c r="DI370" s="93"/>
      <c r="DJ370" s="93"/>
      <c r="DK370" s="93"/>
      <c r="DL370" s="93"/>
      <c r="DM370" s="93"/>
      <c r="DN370" s="20"/>
      <c r="DO370" s="295"/>
      <c r="DP370" s="29"/>
      <c r="DQ370" s="1504">
        <v>45717</v>
      </c>
      <c r="DR370" s="19"/>
      <c r="DS370" s="93"/>
      <c r="DT370" s="93"/>
      <c r="DU370" s="93"/>
      <c r="DV370" s="93"/>
      <c r="DW370" s="93"/>
      <c r="DX370" s="20"/>
      <c r="DY370" s="29"/>
      <c r="DZ370" s="1504">
        <v>45717</v>
      </c>
      <c r="EA370" s="19"/>
      <c r="EB370" s="93"/>
      <c r="EC370" s="20"/>
      <c r="ED370" s="29"/>
      <c r="EE370" s="1504">
        <v>45717</v>
      </c>
      <c r="EF370" s="19"/>
      <c r="EG370" s="93"/>
      <c r="EH370" s="93"/>
      <c r="EI370" s="214"/>
      <c r="EJ370" s="93"/>
      <c r="EK370" s="93"/>
      <c r="EL370" s="93"/>
      <c r="EM370" s="93"/>
      <c r="EN370" s="20"/>
      <c r="EO370" s="29"/>
      <c r="EP370" s="1504">
        <v>45717</v>
      </c>
      <c r="EQ370" s="19"/>
      <c r="ER370" s="93"/>
      <c r="ES370" s="93"/>
      <c r="ET370" s="214"/>
      <c r="EU370" s="93"/>
      <c r="EV370" s="93"/>
      <c r="EW370" s="93"/>
      <c r="EX370" s="93"/>
      <c r="EY370" s="20"/>
      <c r="EZ370" s="29"/>
      <c r="FA370" s="1504">
        <v>45717</v>
      </c>
      <c r="FB370" s="29"/>
      <c r="FC370" s="29"/>
      <c r="FD370" s="29"/>
      <c r="FE370" s="29"/>
      <c r="FF370" s="29"/>
      <c r="FG370" s="29"/>
      <c r="FH370" s="29"/>
      <c r="FI370" s="29"/>
      <c r="FJ370" s="29"/>
      <c r="FK370" s="29"/>
      <c r="FL370" s="1504">
        <v>45717</v>
      </c>
      <c r="FM370" s="19"/>
      <c r="FN370" s="93"/>
      <c r="FO370" s="93"/>
      <c r="FP370" s="93"/>
      <c r="FQ370" s="93"/>
      <c r="FR370" s="93"/>
      <c r="FS370" s="93"/>
      <c r="FT370" s="93"/>
      <c r="FU370" s="93"/>
      <c r="FV370" s="93"/>
      <c r="FW370" s="93"/>
      <c r="FX370" s="93"/>
      <c r="FY370" s="93"/>
      <c r="FZ370" s="29"/>
      <c r="GA370" s="1504">
        <v>45717</v>
      </c>
      <c r="GB370" s="19"/>
      <c r="GC370" s="93"/>
      <c r="GD370" s="93"/>
      <c r="GE370" s="93"/>
      <c r="GF370" s="93"/>
      <c r="GG370" s="93"/>
      <c r="GH370" s="93"/>
      <c r="GI370" s="93"/>
      <c r="GJ370" s="93"/>
      <c r="GK370" s="93"/>
      <c r="GL370" s="93"/>
      <c r="GM370" s="93"/>
      <c r="GN370" s="20"/>
      <c r="GO370" s="29"/>
      <c r="GP370" s="1504">
        <v>45717</v>
      </c>
      <c r="GQ370" s="19"/>
      <c r="GR370" s="93"/>
      <c r="GS370" s="93"/>
      <c r="GT370" s="93"/>
      <c r="GU370" s="93"/>
      <c r="GV370" s="20"/>
      <c r="GW370" s="19"/>
      <c r="GX370" s="93"/>
      <c r="GY370" s="93"/>
      <c r="GZ370" s="93"/>
      <c r="HA370" s="93"/>
      <c r="HB370" s="20"/>
      <c r="HC370" s="19"/>
      <c r="HD370" s="93"/>
      <c r="HE370" s="93"/>
      <c r="HF370" s="93"/>
      <c r="HG370" s="93"/>
      <c r="HH370" s="20"/>
      <c r="HI370" s="19"/>
      <c r="HJ370" s="93"/>
      <c r="HK370" s="93"/>
      <c r="HL370" s="93"/>
      <c r="HM370" s="93"/>
      <c r="HN370" s="20"/>
      <c r="HO370" s="219"/>
      <c r="HP370" s="20"/>
      <c r="HQ370" s="25"/>
      <c r="HR370" s="29"/>
      <c r="HS370" s="1504">
        <v>45717</v>
      </c>
      <c r="HT370" s="19"/>
      <c r="HU370" s="93"/>
      <c r="HV370" s="93"/>
      <c r="HW370" s="93"/>
      <c r="HX370" s="93"/>
      <c r="HY370" s="93"/>
      <c r="HZ370" s="93"/>
      <c r="IA370" s="20"/>
      <c r="IB370" s="19"/>
      <c r="IC370" s="93"/>
      <c r="ID370" s="93"/>
      <c r="IE370" s="93"/>
      <c r="IF370" s="93"/>
      <c r="IG370" s="20"/>
      <c r="IH370" s="19"/>
      <c r="II370" s="93"/>
      <c r="IJ370" s="93"/>
      <c r="IK370" s="93"/>
      <c r="IL370" s="93"/>
      <c r="IM370" s="93"/>
      <c r="IN370" s="93"/>
      <c r="IO370" s="20"/>
      <c r="IP370" s="29"/>
      <c r="IQ370" s="19"/>
      <c r="IR370" s="93"/>
      <c r="IS370" s="93"/>
      <c r="IT370" s="93"/>
      <c r="IU370" s="93"/>
      <c r="IV370" s="20"/>
      <c r="IW370" s="29"/>
      <c r="IX370" s="19"/>
      <c r="IY370" s="93"/>
      <c r="IZ370" s="93"/>
      <c r="JA370" s="93"/>
      <c r="JB370" s="93"/>
      <c r="JC370" s="93"/>
      <c r="JD370" s="93"/>
      <c r="JE370" s="20"/>
      <c r="JF370" s="29"/>
      <c r="JG370" s="19"/>
      <c r="JH370" s="93"/>
      <c r="JI370" s="93"/>
      <c r="JJ370" s="93"/>
      <c r="JK370" s="93"/>
      <c r="JL370" s="93"/>
      <c r="JM370" s="93"/>
      <c r="JN370" s="20"/>
      <c r="JO370" s="29"/>
      <c r="JP370" s="19"/>
      <c r="JQ370" s="93"/>
      <c r="JR370" s="93"/>
      <c r="JS370" s="93"/>
      <c r="JT370" s="93"/>
      <c r="JU370" s="20"/>
      <c r="JV370" s="29"/>
      <c r="JW370" s="1504">
        <v>45717</v>
      </c>
      <c r="JX370" s="19"/>
      <c r="JY370" s="93"/>
      <c r="JZ370" s="93"/>
      <c r="KA370" s="93"/>
      <c r="KB370" s="93"/>
      <c r="KC370" s="93"/>
      <c r="KD370" s="20"/>
      <c r="KE370" s="29"/>
      <c r="KF370" s="19"/>
      <c r="KG370" s="93"/>
      <c r="KH370" s="93"/>
      <c r="KI370" s="93"/>
      <c r="KJ370" s="93"/>
      <c r="KK370" s="20"/>
      <c r="KL370" s="29"/>
      <c r="KM370" s="19"/>
      <c r="KN370" s="93"/>
      <c r="KO370" s="93"/>
      <c r="KP370" s="93"/>
      <c r="KQ370" s="93"/>
      <c r="KR370" s="20"/>
      <c r="KS370" s="29"/>
      <c r="KT370" s="19"/>
      <c r="KU370" s="93"/>
      <c r="KV370" s="93"/>
      <c r="KW370" s="93"/>
      <c r="KX370" s="93"/>
      <c r="KY370" s="20"/>
      <c r="KZ370" s="29"/>
      <c r="LA370" s="1504">
        <v>45717</v>
      </c>
      <c r="LB370" s="19"/>
      <c r="LC370" s="93"/>
      <c r="LD370" s="93"/>
      <c r="LE370" s="93"/>
      <c r="LF370" s="93"/>
      <c r="LG370" s="93"/>
      <c r="LH370" s="20"/>
      <c r="LI370" s="29"/>
      <c r="LJ370" s="19"/>
      <c r="LK370" s="93"/>
      <c r="LL370" s="93"/>
      <c r="LM370" s="93"/>
      <c r="LN370" s="93"/>
      <c r="LO370" s="20"/>
      <c r="LP370" s="29"/>
      <c r="LQ370" s="19"/>
      <c r="LR370" s="93"/>
      <c r="LS370" s="93"/>
      <c r="LT370" s="93"/>
      <c r="LU370" s="93"/>
      <c r="LV370" s="93"/>
      <c r="LW370" s="93"/>
      <c r="LX370" s="93"/>
      <c r="LY370" s="93"/>
      <c r="LZ370" s="93"/>
      <c r="MA370" s="20"/>
      <c r="MB370" s="29"/>
      <c r="MC370" s="1504">
        <v>45717</v>
      </c>
      <c r="MD370" s="19"/>
      <c r="ME370" s="93"/>
      <c r="MF370" s="93"/>
      <c r="MG370" s="93"/>
      <c r="MH370" s="93"/>
      <c r="MI370" s="93"/>
      <c r="MJ370" s="93"/>
      <c r="MK370" s="93"/>
      <c r="ML370" s="93"/>
      <c r="MM370" s="93"/>
      <c r="MN370" s="93"/>
      <c r="MO370" s="93"/>
      <c r="MP370" s="93"/>
      <c r="MQ370" s="93"/>
      <c r="MR370" s="93"/>
      <c r="MS370" s="93"/>
      <c r="MT370" s="93"/>
      <c r="MU370" s="93"/>
      <c r="MV370" s="93"/>
      <c r="MW370" s="93"/>
      <c r="MX370" s="93"/>
      <c r="MY370" s="93"/>
      <c r="MZ370" s="93"/>
      <c r="NA370" s="93"/>
      <c r="NB370" s="93"/>
      <c r="NC370" s="93"/>
      <c r="ND370" s="93"/>
      <c r="NE370" s="93"/>
      <c r="NF370" s="93"/>
      <c r="NG370" s="93"/>
      <c r="NH370" s="93"/>
      <c r="NI370" s="93"/>
      <c r="NJ370" s="93"/>
      <c r="NK370" s="93"/>
      <c r="NL370" s="93"/>
      <c r="NM370" s="93"/>
      <c r="NN370" s="93"/>
      <c r="NO370" s="93"/>
      <c r="NP370" s="93"/>
      <c r="NQ370" s="93"/>
      <c r="NR370" s="93"/>
      <c r="NS370" s="93"/>
      <c r="NT370" s="93"/>
      <c r="NU370" s="93"/>
      <c r="NV370" s="93"/>
      <c r="NW370" s="93"/>
      <c r="NX370" s="93"/>
      <c r="NY370" s="93"/>
      <c r="NZ370" s="93"/>
      <c r="OA370" s="93"/>
      <c r="OB370" s="93"/>
      <c r="OC370" s="93"/>
      <c r="OD370" s="20"/>
      <c r="OE370" s="29"/>
      <c r="OF370" s="1504">
        <v>45717</v>
      </c>
      <c r="OG370" s="19"/>
      <c r="OH370" s="93"/>
      <c r="OI370" s="93"/>
      <c r="OJ370" s="93"/>
      <c r="OK370" s="93"/>
      <c r="OL370" s="93"/>
      <c r="OM370" s="93"/>
      <c r="ON370" s="93"/>
      <c r="OO370" s="93"/>
      <c r="OP370" s="93"/>
      <c r="OQ370" s="93"/>
      <c r="OR370" s="93"/>
      <c r="OS370" s="93"/>
      <c r="OT370" s="93"/>
      <c r="OU370" s="93"/>
      <c r="OV370" s="93"/>
      <c r="OW370" s="93"/>
      <c r="OX370" s="93"/>
      <c r="OY370" s="93"/>
      <c r="OZ370" s="93"/>
      <c r="PA370" s="93"/>
      <c r="PB370" s="93"/>
      <c r="PC370" s="20"/>
      <c r="PD370" s="29"/>
      <c r="PE370" s="19"/>
      <c r="PF370" s="93"/>
      <c r="PG370" s="93"/>
      <c r="PH370" s="93"/>
      <c r="PI370" s="93"/>
      <c r="PJ370" s="93"/>
      <c r="PK370" s="93"/>
      <c r="PL370" s="93"/>
      <c r="PM370" s="93"/>
      <c r="PN370" s="93"/>
      <c r="PO370" s="93"/>
      <c r="PP370" s="93"/>
      <c r="PQ370" s="93"/>
      <c r="PR370" s="93"/>
      <c r="PS370" s="93"/>
      <c r="PT370" s="93"/>
      <c r="PU370" s="93"/>
      <c r="PV370" s="93"/>
      <c r="PW370" s="93"/>
      <c r="PX370" s="93"/>
      <c r="PY370" s="93"/>
      <c r="PZ370" s="93"/>
      <c r="QA370" s="93"/>
      <c r="QB370" s="93"/>
      <c r="QC370" s="93"/>
      <c r="QD370" s="93"/>
      <c r="QE370" s="20"/>
      <c r="QF370" s="1739"/>
      <c r="QG370" s="19"/>
      <c r="QH370" s="93"/>
      <c r="QI370" s="93"/>
      <c r="QJ370" s="93"/>
      <c r="QK370" s="93"/>
      <c r="QL370" s="93"/>
      <c r="QM370" s="93"/>
      <c r="QN370" s="93"/>
      <c r="QO370" s="93"/>
      <c r="QP370" s="93"/>
      <c r="QQ370" s="93"/>
      <c r="QR370" s="93"/>
      <c r="QS370" s="93"/>
      <c r="QT370" s="93"/>
      <c r="QU370" s="93"/>
      <c r="QV370" s="93"/>
      <c r="QW370" s="93"/>
      <c r="QX370" s="93"/>
      <c r="QY370" s="93"/>
      <c r="QZ370" s="93"/>
      <c r="RA370" s="93"/>
      <c r="RB370" s="93"/>
      <c r="RC370" s="93"/>
      <c r="RD370" s="93"/>
      <c r="RE370" s="93"/>
      <c r="RF370" s="93"/>
      <c r="RG370" s="93"/>
      <c r="RH370" s="93"/>
      <c r="RI370" s="93"/>
      <c r="RJ370" s="93"/>
      <c r="RK370" s="93"/>
      <c r="RL370" s="93"/>
      <c r="RM370" s="20"/>
      <c r="RN370" s="29"/>
      <c r="RO370" s="19"/>
      <c r="RP370" s="20"/>
      <c r="RQ370" s="29"/>
      <c r="RR370" s="20"/>
      <c r="RS370" s="29"/>
      <c r="RT370" s="1504">
        <v>45717</v>
      </c>
      <c r="RU370" s="19"/>
      <c r="RV370" s="20"/>
      <c r="RW370" s="29"/>
      <c r="RX370" s="1504">
        <v>45717</v>
      </c>
      <c r="RY370" s="29"/>
      <c r="RZ370" s="20"/>
      <c r="SA370" s="29"/>
      <c r="SB370" s="29"/>
    </row>
    <row r="371" spans="1:496">
      <c r="A371" s="41">
        <f t="shared" si="346"/>
        <v>2025</v>
      </c>
      <c r="B371" s="1504">
        <v>45748</v>
      </c>
      <c r="C371" s="1813"/>
      <c r="D371" s="1814"/>
      <c r="E371" s="1814"/>
      <c r="F371" s="1815"/>
      <c r="G371" s="1814"/>
      <c r="H371" s="1814"/>
      <c r="I371" s="1814"/>
      <c r="J371" s="1816"/>
      <c r="K371" s="1807"/>
      <c r="L371" s="25"/>
      <c r="M371" s="97"/>
      <c r="N371" s="1504">
        <v>45748</v>
      </c>
      <c r="O371" s="19"/>
      <c r="P371" s="93"/>
      <c r="Q371" s="93"/>
      <c r="R371" s="93"/>
      <c r="S371" s="93"/>
      <c r="T371" s="93"/>
      <c r="U371" s="93"/>
      <c r="V371" s="93"/>
      <c r="W371" s="93"/>
      <c r="X371" s="93"/>
      <c r="Y371" s="93"/>
      <c r="Z371" s="93"/>
      <c r="AA371" s="93"/>
      <c r="AB371" s="20"/>
      <c r="AC371" s="25"/>
      <c r="AD371" s="97"/>
      <c r="AE371" s="1504">
        <v>45748</v>
      </c>
      <c r="AF371" s="19"/>
      <c r="AG371" s="93"/>
      <c r="AH371" s="93"/>
      <c r="AI371" s="93"/>
      <c r="AJ371" s="93"/>
      <c r="AK371" s="93"/>
      <c r="AL371" s="93"/>
      <c r="AM371" s="93"/>
      <c r="AN371" s="93"/>
      <c r="AO371" s="93"/>
      <c r="AP371" s="93"/>
      <c r="AQ371" s="93"/>
      <c r="AR371" s="93"/>
      <c r="AS371" s="20"/>
      <c r="AT371" s="25"/>
      <c r="AU371" s="97"/>
      <c r="AV371" s="1504">
        <v>45748</v>
      </c>
      <c r="AW371" s="19"/>
      <c r="AX371" s="93"/>
      <c r="AY371" s="93"/>
      <c r="AZ371" s="93"/>
      <c r="BA371" s="93"/>
      <c r="BB371" s="93"/>
      <c r="BC371" s="93"/>
      <c r="BD371" s="93"/>
      <c r="BE371" s="93"/>
      <c r="BF371" s="93"/>
      <c r="BG371" s="93"/>
      <c r="BH371" s="93"/>
      <c r="BI371" s="93"/>
      <c r="BJ371" s="20"/>
      <c r="BK371" s="25"/>
      <c r="BL371" s="97"/>
      <c r="BM371" s="1504">
        <v>45748</v>
      </c>
      <c r="BN371" s="19"/>
      <c r="BO371" s="93"/>
      <c r="BP371" s="93"/>
      <c r="BQ371" s="93"/>
      <c r="BR371" s="93"/>
      <c r="BS371" s="93"/>
      <c r="BT371" s="93"/>
      <c r="BU371" s="20"/>
      <c r="BV371" s="25"/>
      <c r="BW371" s="97"/>
      <c r="BX371" s="1504">
        <v>45748</v>
      </c>
      <c r="BY371" s="19"/>
      <c r="BZ371" s="93"/>
      <c r="CA371" s="93"/>
      <c r="CB371" s="93"/>
      <c r="CC371" s="93"/>
      <c r="CD371" s="25"/>
      <c r="CE371" s="97"/>
      <c r="CF371" s="1504">
        <v>45748</v>
      </c>
      <c r="CG371" s="19"/>
      <c r="CH371" s="93"/>
      <c r="CI371" s="219"/>
      <c r="CJ371" s="20"/>
      <c r="CK371" s="19"/>
      <c r="CL371" s="93"/>
      <c r="CM371" s="93"/>
      <c r="CN371" s="93"/>
      <c r="CO371" s="93"/>
      <c r="CP371" s="20"/>
      <c r="CQ371" s="219"/>
      <c r="CR371" s="93"/>
      <c r="CS371" s="93"/>
      <c r="CT371" s="93"/>
      <c r="CU371" s="93"/>
      <c r="CV371" s="214"/>
      <c r="CW371" s="29"/>
      <c r="CX371" s="41">
        <f t="shared" si="319"/>
        <v>2025</v>
      </c>
      <c r="CY371" s="1504">
        <v>45748</v>
      </c>
      <c r="CZ371" s="19"/>
      <c r="DA371" s="93"/>
      <c r="DB371" s="93"/>
      <c r="DC371" s="93"/>
      <c r="DD371" s="93"/>
      <c r="DE371" s="20"/>
      <c r="DF371" s="29"/>
      <c r="DG371" s="1504">
        <v>45748</v>
      </c>
      <c r="DH371" s="19"/>
      <c r="DI371" s="93"/>
      <c r="DJ371" s="93"/>
      <c r="DK371" s="93"/>
      <c r="DL371" s="93"/>
      <c r="DM371" s="93"/>
      <c r="DN371" s="20"/>
      <c r="DO371" s="295"/>
      <c r="DP371" s="29"/>
      <c r="DQ371" s="1504">
        <v>45748</v>
      </c>
      <c r="DR371" s="19"/>
      <c r="DS371" s="93"/>
      <c r="DT371" s="93"/>
      <c r="DU371" s="93"/>
      <c r="DV371" s="93"/>
      <c r="DW371" s="93"/>
      <c r="DX371" s="20"/>
      <c r="DY371" s="29"/>
      <c r="DZ371" s="1504">
        <v>45748</v>
      </c>
      <c r="EA371" s="19"/>
      <c r="EB371" s="93"/>
      <c r="EC371" s="20"/>
      <c r="ED371" s="29"/>
      <c r="EE371" s="1504">
        <v>45748</v>
      </c>
      <c r="EF371" s="19"/>
      <c r="EG371" s="93"/>
      <c r="EH371" s="93"/>
      <c r="EI371" s="214"/>
      <c r="EJ371" s="93"/>
      <c r="EK371" s="93"/>
      <c r="EL371" s="93"/>
      <c r="EM371" s="93"/>
      <c r="EN371" s="20"/>
      <c r="EO371" s="29"/>
      <c r="EP371" s="1504">
        <v>45748</v>
      </c>
      <c r="EQ371" s="19"/>
      <c r="ER371" s="93"/>
      <c r="ES371" s="93"/>
      <c r="ET371" s="214"/>
      <c r="EU371" s="93"/>
      <c r="EV371" s="93"/>
      <c r="EW371" s="93"/>
      <c r="EX371" s="93"/>
      <c r="EY371" s="20"/>
      <c r="EZ371" s="29"/>
      <c r="FA371" s="1504">
        <v>45748</v>
      </c>
      <c r="FB371" s="29"/>
      <c r="FC371" s="29"/>
      <c r="FD371" s="29"/>
      <c r="FE371" s="29"/>
      <c r="FF371" s="29"/>
      <c r="FG371" s="29"/>
      <c r="FH371" s="29"/>
      <c r="FI371" s="29"/>
      <c r="FJ371" s="29"/>
      <c r="FK371" s="29"/>
      <c r="FL371" s="1504">
        <v>45748</v>
      </c>
      <c r="FM371" s="19"/>
      <c r="FN371" s="93"/>
      <c r="FO371" s="93"/>
      <c r="FP371" s="93"/>
      <c r="FQ371" s="93"/>
      <c r="FR371" s="93"/>
      <c r="FS371" s="93"/>
      <c r="FT371" s="93"/>
      <c r="FU371" s="93"/>
      <c r="FV371" s="93"/>
      <c r="FW371" s="93"/>
      <c r="FX371" s="93"/>
      <c r="FY371" s="93"/>
      <c r="FZ371" s="29"/>
      <c r="GA371" s="1504">
        <v>45748</v>
      </c>
      <c r="GB371" s="19"/>
      <c r="GC371" s="93"/>
      <c r="GD371" s="93"/>
      <c r="GE371" s="93"/>
      <c r="GF371" s="93"/>
      <c r="GG371" s="93"/>
      <c r="GH371" s="93"/>
      <c r="GI371" s="93"/>
      <c r="GJ371" s="93"/>
      <c r="GK371" s="93"/>
      <c r="GL371" s="93"/>
      <c r="GM371" s="93"/>
      <c r="GN371" s="20"/>
      <c r="GO371" s="29"/>
      <c r="GP371" s="1504">
        <v>45748</v>
      </c>
      <c r="GQ371" s="19"/>
      <c r="GR371" s="93"/>
      <c r="GS371" s="93"/>
      <c r="GT371" s="93"/>
      <c r="GU371" s="93"/>
      <c r="GV371" s="20"/>
      <c r="GW371" s="19"/>
      <c r="GX371" s="93"/>
      <c r="GY371" s="93"/>
      <c r="GZ371" s="93"/>
      <c r="HA371" s="93"/>
      <c r="HB371" s="20"/>
      <c r="HC371" s="19"/>
      <c r="HD371" s="93"/>
      <c r="HE371" s="93"/>
      <c r="HF371" s="93"/>
      <c r="HG371" s="93"/>
      <c r="HH371" s="20"/>
      <c r="HI371" s="19"/>
      <c r="HJ371" s="93"/>
      <c r="HK371" s="93"/>
      <c r="HL371" s="93"/>
      <c r="HM371" s="93"/>
      <c r="HN371" s="20"/>
      <c r="HO371" s="219"/>
      <c r="HP371" s="20"/>
      <c r="HQ371" s="25"/>
      <c r="HR371" s="29"/>
      <c r="HS371" s="1504">
        <v>45748</v>
      </c>
      <c r="HT371" s="19"/>
      <c r="HU371" s="93"/>
      <c r="HV371" s="93"/>
      <c r="HW371" s="93"/>
      <c r="HX371" s="93"/>
      <c r="HY371" s="93"/>
      <c r="HZ371" s="93"/>
      <c r="IA371" s="20"/>
      <c r="IB371" s="19"/>
      <c r="IC371" s="93"/>
      <c r="ID371" s="93"/>
      <c r="IE371" s="93"/>
      <c r="IF371" s="93"/>
      <c r="IG371" s="20"/>
      <c r="IH371" s="19"/>
      <c r="II371" s="93"/>
      <c r="IJ371" s="93"/>
      <c r="IK371" s="93"/>
      <c r="IL371" s="93"/>
      <c r="IM371" s="93"/>
      <c r="IN371" s="93"/>
      <c r="IO371" s="20"/>
      <c r="IP371" s="29"/>
      <c r="IQ371" s="19"/>
      <c r="IR371" s="93"/>
      <c r="IS371" s="93"/>
      <c r="IT371" s="93"/>
      <c r="IU371" s="93"/>
      <c r="IV371" s="20"/>
      <c r="IW371" s="29"/>
      <c r="IX371" s="19"/>
      <c r="IY371" s="93"/>
      <c r="IZ371" s="93"/>
      <c r="JA371" s="93"/>
      <c r="JB371" s="93"/>
      <c r="JC371" s="93"/>
      <c r="JD371" s="93"/>
      <c r="JE371" s="20"/>
      <c r="JF371" s="29"/>
      <c r="JG371" s="19"/>
      <c r="JH371" s="93"/>
      <c r="JI371" s="93"/>
      <c r="JJ371" s="93"/>
      <c r="JK371" s="93"/>
      <c r="JL371" s="93"/>
      <c r="JM371" s="93"/>
      <c r="JN371" s="20"/>
      <c r="JO371" s="29"/>
      <c r="JP371" s="19"/>
      <c r="JQ371" s="93"/>
      <c r="JR371" s="93"/>
      <c r="JS371" s="93"/>
      <c r="JT371" s="93"/>
      <c r="JU371" s="20"/>
      <c r="JV371" s="29"/>
      <c r="JW371" s="1504">
        <v>45748</v>
      </c>
      <c r="JX371" s="19"/>
      <c r="JY371" s="93"/>
      <c r="JZ371" s="93"/>
      <c r="KA371" s="93"/>
      <c r="KB371" s="93"/>
      <c r="KC371" s="93"/>
      <c r="KD371" s="20"/>
      <c r="KE371" s="29"/>
      <c r="KF371" s="19"/>
      <c r="KG371" s="93"/>
      <c r="KH371" s="93"/>
      <c r="KI371" s="93"/>
      <c r="KJ371" s="93"/>
      <c r="KK371" s="20"/>
      <c r="KL371" s="29"/>
      <c r="KM371" s="19"/>
      <c r="KN371" s="93"/>
      <c r="KO371" s="93"/>
      <c r="KP371" s="93"/>
      <c r="KQ371" s="93"/>
      <c r="KR371" s="20"/>
      <c r="KS371" s="29"/>
      <c r="KT371" s="19"/>
      <c r="KU371" s="93"/>
      <c r="KV371" s="93"/>
      <c r="KW371" s="93"/>
      <c r="KX371" s="93"/>
      <c r="KY371" s="20"/>
      <c r="KZ371" s="29"/>
      <c r="LA371" s="1504">
        <v>45748</v>
      </c>
      <c r="LB371" s="19"/>
      <c r="LC371" s="93"/>
      <c r="LD371" s="93"/>
      <c r="LE371" s="93"/>
      <c r="LF371" s="93"/>
      <c r="LG371" s="93"/>
      <c r="LH371" s="20"/>
      <c r="LI371" s="29"/>
      <c r="LJ371" s="19"/>
      <c r="LK371" s="93"/>
      <c r="LL371" s="93"/>
      <c r="LM371" s="93"/>
      <c r="LN371" s="93"/>
      <c r="LO371" s="20"/>
      <c r="LP371" s="29"/>
      <c r="LQ371" s="19"/>
      <c r="LR371" s="93"/>
      <c r="LS371" s="93"/>
      <c r="LT371" s="93"/>
      <c r="LU371" s="93"/>
      <c r="LV371" s="93"/>
      <c r="LW371" s="93"/>
      <c r="LX371" s="93"/>
      <c r="LY371" s="93"/>
      <c r="LZ371" s="93"/>
      <c r="MA371" s="20"/>
      <c r="MB371" s="29"/>
      <c r="MC371" s="1504">
        <v>45748</v>
      </c>
      <c r="MD371" s="19"/>
      <c r="ME371" s="93"/>
      <c r="MF371" s="93"/>
      <c r="MG371" s="93"/>
      <c r="MH371" s="93"/>
      <c r="MI371" s="93"/>
      <c r="MJ371" s="93"/>
      <c r="MK371" s="93"/>
      <c r="ML371" s="93"/>
      <c r="MM371" s="93"/>
      <c r="MN371" s="93"/>
      <c r="MO371" s="93"/>
      <c r="MP371" s="93"/>
      <c r="MQ371" s="93"/>
      <c r="MR371" s="93"/>
      <c r="MS371" s="93"/>
      <c r="MT371" s="93"/>
      <c r="MU371" s="93"/>
      <c r="MV371" s="93"/>
      <c r="MW371" s="93"/>
      <c r="MX371" s="93"/>
      <c r="MY371" s="93"/>
      <c r="MZ371" s="93"/>
      <c r="NA371" s="93"/>
      <c r="NB371" s="93"/>
      <c r="NC371" s="93"/>
      <c r="ND371" s="93"/>
      <c r="NE371" s="93"/>
      <c r="NF371" s="93"/>
      <c r="NG371" s="93"/>
      <c r="NH371" s="93"/>
      <c r="NI371" s="93"/>
      <c r="NJ371" s="93"/>
      <c r="NK371" s="93"/>
      <c r="NL371" s="93"/>
      <c r="NM371" s="93"/>
      <c r="NN371" s="93"/>
      <c r="NO371" s="93"/>
      <c r="NP371" s="93"/>
      <c r="NQ371" s="93"/>
      <c r="NR371" s="93"/>
      <c r="NS371" s="93"/>
      <c r="NT371" s="93"/>
      <c r="NU371" s="93"/>
      <c r="NV371" s="93"/>
      <c r="NW371" s="93"/>
      <c r="NX371" s="93"/>
      <c r="NY371" s="93"/>
      <c r="NZ371" s="93"/>
      <c r="OA371" s="93"/>
      <c r="OB371" s="93"/>
      <c r="OC371" s="93"/>
      <c r="OD371" s="20"/>
      <c r="OE371" s="29"/>
      <c r="OF371" s="1504">
        <v>45748</v>
      </c>
      <c r="OG371" s="19"/>
      <c r="OH371" s="93"/>
      <c r="OI371" s="93"/>
      <c r="OJ371" s="93"/>
      <c r="OK371" s="93"/>
      <c r="OL371" s="93"/>
      <c r="OM371" s="93"/>
      <c r="ON371" s="93"/>
      <c r="OO371" s="93"/>
      <c r="OP371" s="93"/>
      <c r="OQ371" s="93"/>
      <c r="OR371" s="93"/>
      <c r="OS371" s="93"/>
      <c r="OT371" s="93"/>
      <c r="OU371" s="93"/>
      <c r="OV371" s="93"/>
      <c r="OW371" s="93"/>
      <c r="OX371" s="93"/>
      <c r="OY371" s="93"/>
      <c r="OZ371" s="93"/>
      <c r="PA371" s="93"/>
      <c r="PB371" s="93"/>
      <c r="PC371" s="20"/>
      <c r="PD371" s="29"/>
      <c r="PE371" s="19"/>
      <c r="PF371" s="93"/>
      <c r="PG371" s="93"/>
      <c r="PH371" s="93"/>
      <c r="PI371" s="93"/>
      <c r="PJ371" s="93"/>
      <c r="PK371" s="93"/>
      <c r="PL371" s="93"/>
      <c r="PM371" s="93"/>
      <c r="PN371" s="93"/>
      <c r="PO371" s="93"/>
      <c r="PP371" s="93"/>
      <c r="PQ371" s="93"/>
      <c r="PR371" s="93"/>
      <c r="PS371" s="93"/>
      <c r="PT371" s="93"/>
      <c r="PU371" s="93"/>
      <c r="PV371" s="93"/>
      <c r="PW371" s="93"/>
      <c r="PX371" s="93"/>
      <c r="PY371" s="93"/>
      <c r="PZ371" s="93"/>
      <c r="QA371" s="93"/>
      <c r="QB371" s="93"/>
      <c r="QC371" s="93"/>
      <c r="QD371" s="93"/>
      <c r="QE371" s="20"/>
      <c r="QF371" s="1739"/>
      <c r="QG371" s="19"/>
      <c r="QH371" s="93"/>
      <c r="QI371" s="93"/>
      <c r="QJ371" s="93"/>
      <c r="QK371" s="93"/>
      <c r="QL371" s="93"/>
      <c r="QM371" s="93"/>
      <c r="QN371" s="93"/>
      <c r="QO371" s="93"/>
      <c r="QP371" s="93"/>
      <c r="QQ371" s="93"/>
      <c r="QR371" s="93"/>
      <c r="QS371" s="93"/>
      <c r="QT371" s="93"/>
      <c r="QU371" s="93"/>
      <c r="QV371" s="93"/>
      <c r="QW371" s="93"/>
      <c r="QX371" s="93"/>
      <c r="QY371" s="93"/>
      <c r="QZ371" s="93"/>
      <c r="RA371" s="93"/>
      <c r="RB371" s="93"/>
      <c r="RC371" s="93"/>
      <c r="RD371" s="93"/>
      <c r="RE371" s="93"/>
      <c r="RF371" s="93"/>
      <c r="RG371" s="93"/>
      <c r="RH371" s="93"/>
      <c r="RI371" s="93"/>
      <c r="RJ371" s="93"/>
      <c r="RK371" s="93"/>
      <c r="RL371" s="93"/>
      <c r="RM371" s="20"/>
      <c r="RN371" s="29"/>
      <c r="RO371" s="19"/>
      <c r="RP371" s="20"/>
      <c r="RQ371" s="29"/>
      <c r="RR371" s="20"/>
      <c r="RS371" s="29"/>
      <c r="RT371" s="1504">
        <v>45748</v>
      </c>
      <c r="RU371" s="19"/>
      <c r="RV371" s="20"/>
      <c r="RW371" s="29"/>
      <c r="RX371" s="1504">
        <v>45748</v>
      </c>
      <c r="RY371" s="29"/>
      <c r="RZ371" s="20"/>
      <c r="SA371" s="29"/>
      <c r="SB371" s="29"/>
    </row>
    <row r="372" spans="1:496">
      <c r="A372" s="41">
        <f t="shared" si="346"/>
        <v>2025</v>
      </c>
      <c r="B372" s="1504">
        <v>45778</v>
      </c>
      <c r="C372" s="1813"/>
      <c r="D372" s="1814"/>
      <c r="E372" s="1814"/>
      <c r="F372" s="1815"/>
      <c r="G372" s="1814"/>
      <c r="H372" s="1814"/>
      <c r="I372" s="1814"/>
      <c r="J372" s="1816"/>
      <c r="K372" s="1807"/>
      <c r="L372" s="25"/>
      <c r="M372" s="97"/>
      <c r="N372" s="1504">
        <v>45778</v>
      </c>
      <c r="O372" s="19"/>
      <c r="P372" s="93"/>
      <c r="Q372" s="93"/>
      <c r="R372" s="93"/>
      <c r="S372" s="93"/>
      <c r="T372" s="93"/>
      <c r="U372" s="93"/>
      <c r="V372" s="93"/>
      <c r="W372" s="93"/>
      <c r="X372" s="93"/>
      <c r="Y372" s="93"/>
      <c r="Z372" s="93"/>
      <c r="AA372" s="93"/>
      <c r="AB372" s="20"/>
      <c r="AC372" s="25"/>
      <c r="AD372" s="97"/>
      <c r="AE372" s="1504">
        <v>45778</v>
      </c>
      <c r="AF372" s="19"/>
      <c r="AG372" s="93"/>
      <c r="AH372" s="93"/>
      <c r="AI372" s="93"/>
      <c r="AJ372" s="93"/>
      <c r="AK372" s="93"/>
      <c r="AL372" s="93"/>
      <c r="AM372" s="93"/>
      <c r="AN372" s="93"/>
      <c r="AO372" s="93"/>
      <c r="AP372" s="93"/>
      <c r="AQ372" s="93"/>
      <c r="AR372" s="93"/>
      <c r="AS372" s="20"/>
      <c r="AT372" s="25"/>
      <c r="AU372" s="97"/>
      <c r="AV372" s="1504">
        <v>45778</v>
      </c>
      <c r="AW372" s="19"/>
      <c r="AX372" s="93"/>
      <c r="AY372" s="93"/>
      <c r="AZ372" s="93"/>
      <c r="BA372" s="93"/>
      <c r="BB372" s="93"/>
      <c r="BC372" s="93"/>
      <c r="BD372" s="93"/>
      <c r="BE372" s="93"/>
      <c r="BF372" s="93"/>
      <c r="BG372" s="93"/>
      <c r="BH372" s="93"/>
      <c r="BI372" s="93"/>
      <c r="BJ372" s="20"/>
      <c r="BK372" s="25"/>
      <c r="BL372" s="97"/>
      <c r="BM372" s="1504">
        <v>45778</v>
      </c>
      <c r="BN372" s="19"/>
      <c r="BO372" s="93"/>
      <c r="BP372" s="93"/>
      <c r="BQ372" s="93"/>
      <c r="BR372" s="93"/>
      <c r="BS372" s="93"/>
      <c r="BT372" s="93"/>
      <c r="BU372" s="20"/>
      <c r="BV372" s="25"/>
      <c r="BW372" s="97"/>
      <c r="BX372" s="1504">
        <v>45778</v>
      </c>
      <c r="BY372" s="19"/>
      <c r="BZ372" s="93"/>
      <c r="CA372" s="93"/>
      <c r="CB372" s="93"/>
      <c r="CC372" s="93"/>
      <c r="CD372" s="25"/>
      <c r="CE372" s="97"/>
      <c r="CF372" s="1504">
        <v>45778</v>
      </c>
      <c r="CG372" s="19"/>
      <c r="CH372" s="93"/>
      <c r="CI372" s="219"/>
      <c r="CJ372" s="20"/>
      <c r="CK372" s="19"/>
      <c r="CL372" s="93"/>
      <c r="CM372" s="93"/>
      <c r="CN372" s="93"/>
      <c r="CO372" s="93"/>
      <c r="CP372" s="20"/>
      <c r="CQ372" s="219"/>
      <c r="CR372" s="93"/>
      <c r="CS372" s="93"/>
      <c r="CT372" s="93"/>
      <c r="CU372" s="93"/>
      <c r="CV372" s="214"/>
      <c r="CW372" s="29"/>
      <c r="CX372" s="41">
        <f t="shared" si="319"/>
        <v>2025</v>
      </c>
      <c r="CY372" s="1504">
        <v>45778</v>
      </c>
      <c r="CZ372" s="19"/>
      <c r="DA372" s="93"/>
      <c r="DB372" s="93"/>
      <c r="DC372" s="93"/>
      <c r="DD372" s="93"/>
      <c r="DE372" s="20"/>
      <c r="DF372" s="29"/>
      <c r="DG372" s="1504">
        <v>45778</v>
      </c>
      <c r="DH372" s="19"/>
      <c r="DI372" s="93"/>
      <c r="DJ372" s="93"/>
      <c r="DK372" s="93"/>
      <c r="DL372" s="93"/>
      <c r="DM372" s="93"/>
      <c r="DN372" s="20"/>
      <c r="DO372" s="295"/>
      <c r="DP372" s="29"/>
      <c r="DQ372" s="1504">
        <v>45778</v>
      </c>
      <c r="DR372" s="19"/>
      <c r="DS372" s="93"/>
      <c r="DT372" s="93"/>
      <c r="DU372" s="93"/>
      <c r="DV372" s="93"/>
      <c r="DW372" s="93"/>
      <c r="DX372" s="20"/>
      <c r="DY372" s="29"/>
      <c r="DZ372" s="1504">
        <v>45778</v>
      </c>
      <c r="EA372" s="19"/>
      <c r="EB372" s="93"/>
      <c r="EC372" s="20"/>
      <c r="ED372" s="29"/>
      <c r="EE372" s="1504">
        <v>45778</v>
      </c>
      <c r="EF372" s="19"/>
      <c r="EG372" s="93"/>
      <c r="EH372" s="93"/>
      <c r="EI372" s="214"/>
      <c r="EJ372" s="93"/>
      <c r="EK372" s="93"/>
      <c r="EL372" s="93"/>
      <c r="EM372" s="93"/>
      <c r="EN372" s="20"/>
      <c r="EO372" s="29"/>
      <c r="EP372" s="1504">
        <v>45778</v>
      </c>
      <c r="EQ372" s="19"/>
      <c r="ER372" s="93"/>
      <c r="ES372" s="93"/>
      <c r="ET372" s="214"/>
      <c r="EU372" s="93"/>
      <c r="EV372" s="93"/>
      <c r="EW372" s="93"/>
      <c r="EX372" s="93"/>
      <c r="EY372" s="20"/>
      <c r="EZ372" s="29"/>
      <c r="FA372" s="1504">
        <v>45778</v>
      </c>
      <c r="FB372" s="29"/>
      <c r="FC372" s="29"/>
      <c r="FD372" s="29"/>
      <c r="FE372" s="29"/>
      <c r="FF372" s="29"/>
      <c r="FG372" s="29"/>
      <c r="FH372" s="29"/>
      <c r="FI372" s="29"/>
      <c r="FJ372" s="29"/>
      <c r="FK372" s="29"/>
      <c r="FL372" s="1504">
        <v>45778</v>
      </c>
      <c r="FM372" s="19"/>
      <c r="FN372" s="93"/>
      <c r="FO372" s="93"/>
      <c r="FP372" s="93"/>
      <c r="FQ372" s="93"/>
      <c r="FR372" s="93"/>
      <c r="FS372" s="93"/>
      <c r="FT372" s="93"/>
      <c r="FU372" s="93"/>
      <c r="FV372" s="93"/>
      <c r="FW372" s="93"/>
      <c r="FX372" s="93"/>
      <c r="FY372" s="93"/>
      <c r="FZ372" s="29"/>
      <c r="GA372" s="1504">
        <v>45778</v>
      </c>
      <c r="GB372" s="19"/>
      <c r="GC372" s="93"/>
      <c r="GD372" s="93"/>
      <c r="GE372" s="93"/>
      <c r="GF372" s="93"/>
      <c r="GG372" s="93"/>
      <c r="GH372" s="93"/>
      <c r="GI372" s="93"/>
      <c r="GJ372" s="93"/>
      <c r="GK372" s="93"/>
      <c r="GL372" s="93"/>
      <c r="GM372" s="93"/>
      <c r="GN372" s="20"/>
      <c r="GO372" s="29"/>
      <c r="GP372" s="1504">
        <v>45778</v>
      </c>
      <c r="GQ372" s="19"/>
      <c r="GR372" s="93"/>
      <c r="GS372" s="93"/>
      <c r="GT372" s="93"/>
      <c r="GU372" s="93"/>
      <c r="GV372" s="20"/>
      <c r="GW372" s="19"/>
      <c r="GX372" s="93"/>
      <c r="GY372" s="93"/>
      <c r="GZ372" s="93"/>
      <c r="HA372" s="93"/>
      <c r="HB372" s="20"/>
      <c r="HC372" s="19"/>
      <c r="HD372" s="93"/>
      <c r="HE372" s="93"/>
      <c r="HF372" s="93"/>
      <c r="HG372" s="93"/>
      <c r="HH372" s="20"/>
      <c r="HI372" s="19"/>
      <c r="HJ372" s="93"/>
      <c r="HK372" s="93"/>
      <c r="HL372" s="93"/>
      <c r="HM372" s="93"/>
      <c r="HN372" s="20"/>
      <c r="HO372" s="219"/>
      <c r="HP372" s="20"/>
      <c r="HQ372" s="25"/>
      <c r="HR372" s="29"/>
      <c r="HS372" s="1504">
        <v>45778</v>
      </c>
      <c r="HT372" s="19"/>
      <c r="HU372" s="93"/>
      <c r="HV372" s="93"/>
      <c r="HW372" s="93"/>
      <c r="HX372" s="93"/>
      <c r="HY372" s="93"/>
      <c r="HZ372" s="93"/>
      <c r="IA372" s="20"/>
      <c r="IB372" s="19"/>
      <c r="IC372" s="93"/>
      <c r="ID372" s="93"/>
      <c r="IE372" s="93"/>
      <c r="IF372" s="93"/>
      <c r="IG372" s="20"/>
      <c r="IH372" s="19"/>
      <c r="II372" s="93"/>
      <c r="IJ372" s="93"/>
      <c r="IK372" s="93"/>
      <c r="IL372" s="93"/>
      <c r="IM372" s="93"/>
      <c r="IN372" s="93"/>
      <c r="IO372" s="20"/>
      <c r="IP372" s="29"/>
      <c r="IQ372" s="19"/>
      <c r="IR372" s="93"/>
      <c r="IS372" s="93"/>
      <c r="IT372" s="93"/>
      <c r="IU372" s="93"/>
      <c r="IV372" s="20"/>
      <c r="IW372" s="29"/>
      <c r="IX372" s="19"/>
      <c r="IY372" s="93"/>
      <c r="IZ372" s="93"/>
      <c r="JA372" s="93"/>
      <c r="JB372" s="93"/>
      <c r="JC372" s="93"/>
      <c r="JD372" s="93"/>
      <c r="JE372" s="20"/>
      <c r="JF372" s="29"/>
      <c r="JG372" s="19"/>
      <c r="JH372" s="93"/>
      <c r="JI372" s="93"/>
      <c r="JJ372" s="93"/>
      <c r="JK372" s="93"/>
      <c r="JL372" s="93"/>
      <c r="JM372" s="93"/>
      <c r="JN372" s="20"/>
      <c r="JO372" s="29"/>
      <c r="JP372" s="19"/>
      <c r="JQ372" s="93"/>
      <c r="JR372" s="93"/>
      <c r="JS372" s="93"/>
      <c r="JT372" s="93"/>
      <c r="JU372" s="20"/>
      <c r="JV372" s="29"/>
      <c r="JW372" s="1504">
        <v>45778</v>
      </c>
      <c r="JX372" s="19"/>
      <c r="JY372" s="93"/>
      <c r="JZ372" s="93"/>
      <c r="KA372" s="93"/>
      <c r="KB372" s="93"/>
      <c r="KC372" s="93"/>
      <c r="KD372" s="20"/>
      <c r="KE372" s="29"/>
      <c r="KF372" s="19"/>
      <c r="KG372" s="93"/>
      <c r="KH372" s="93"/>
      <c r="KI372" s="93"/>
      <c r="KJ372" s="93"/>
      <c r="KK372" s="20"/>
      <c r="KL372" s="29"/>
      <c r="KM372" s="19"/>
      <c r="KN372" s="93"/>
      <c r="KO372" s="93"/>
      <c r="KP372" s="93"/>
      <c r="KQ372" s="93"/>
      <c r="KR372" s="20"/>
      <c r="KS372" s="29"/>
      <c r="KT372" s="19"/>
      <c r="KU372" s="93"/>
      <c r="KV372" s="93"/>
      <c r="KW372" s="93"/>
      <c r="KX372" s="93"/>
      <c r="KY372" s="20"/>
      <c r="KZ372" s="29"/>
      <c r="LA372" s="1504">
        <v>45778</v>
      </c>
      <c r="LB372" s="19"/>
      <c r="LC372" s="93"/>
      <c r="LD372" s="93"/>
      <c r="LE372" s="93"/>
      <c r="LF372" s="93"/>
      <c r="LG372" s="93"/>
      <c r="LH372" s="20"/>
      <c r="LI372" s="29"/>
      <c r="LJ372" s="19"/>
      <c r="LK372" s="93"/>
      <c r="LL372" s="93"/>
      <c r="LM372" s="93"/>
      <c r="LN372" s="93"/>
      <c r="LO372" s="20"/>
      <c r="LP372" s="29"/>
      <c r="LQ372" s="19"/>
      <c r="LR372" s="93"/>
      <c r="LS372" s="93"/>
      <c r="LT372" s="93"/>
      <c r="LU372" s="93"/>
      <c r="LV372" s="93"/>
      <c r="LW372" s="93"/>
      <c r="LX372" s="93"/>
      <c r="LY372" s="93"/>
      <c r="LZ372" s="93"/>
      <c r="MA372" s="20"/>
      <c r="MB372" s="29"/>
      <c r="MC372" s="1504">
        <v>45778</v>
      </c>
      <c r="MD372" s="19"/>
      <c r="ME372" s="93"/>
      <c r="MF372" s="93"/>
      <c r="MG372" s="93"/>
      <c r="MH372" s="93"/>
      <c r="MI372" s="93"/>
      <c r="MJ372" s="93"/>
      <c r="MK372" s="93"/>
      <c r="ML372" s="93"/>
      <c r="MM372" s="93"/>
      <c r="MN372" s="93"/>
      <c r="MO372" s="93"/>
      <c r="MP372" s="93"/>
      <c r="MQ372" s="93"/>
      <c r="MR372" s="93"/>
      <c r="MS372" s="93"/>
      <c r="MT372" s="93"/>
      <c r="MU372" s="93"/>
      <c r="MV372" s="93"/>
      <c r="MW372" s="93"/>
      <c r="MX372" s="93"/>
      <c r="MY372" s="93"/>
      <c r="MZ372" s="93"/>
      <c r="NA372" s="93"/>
      <c r="NB372" s="93"/>
      <c r="NC372" s="93"/>
      <c r="ND372" s="93"/>
      <c r="NE372" s="93"/>
      <c r="NF372" s="93"/>
      <c r="NG372" s="93"/>
      <c r="NH372" s="93"/>
      <c r="NI372" s="93"/>
      <c r="NJ372" s="93"/>
      <c r="NK372" s="93"/>
      <c r="NL372" s="93"/>
      <c r="NM372" s="93"/>
      <c r="NN372" s="93"/>
      <c r="NO372" s="93"/>
      <c r="NP372" s="93"/>
      <c r="NQ372" s="93"/>
      <c r="NR372" s="93"/>
      <c r="NS372" s="93"/>
      <c r="NT372" s="93"/>
      <c r="NU372" s="93"/>
      <c r="NV372" s="93"/>
      <c r="NW372" s="93"/>
      <c r="NX372" s="93"/>
      <c r="NY372" s="93"/>
      <c r="NZ372" s="93"/>
      <c r="OA372" s="93"/>
      <c r="OB372" s="93"/>
      <c r="OC372" s="93"/>
      <c r="OD372" s="20"/>
      <c r="OE372" s="29"/>
      <c r="OF372" s="1504">
        <v>45778</v>
      </c>
      <c r="OG372" s="19"/>
      <c r="OH372" s="93"/>
      <c r="OI372" s="93"/>
      <c r="OJ372" s="93"/>
      <c r="OK372" s="93"/>
      <c r="OL372" s="93"/>
      <c r="OM372" s="93"/>
      <c r="ON372" s="93"/>
      <c r="OO372" s="93"/>
      <c r="OP372" s="93"/>
      <c r="OQ372" s="93"/>
      <c r="OR372" s="93"/>
      <c r="OS372" s="93"/>
      <c r="OT372" s="93"/>
      <c r="OU372" s="93"/>
      <c r="OV372" s="93"/>
      <c r="OW372" s="93"/>
      <c r="OX372" s="93"/>
      <c r="OY372" s="93"/>
      <c r="OZ372" s="93"/>
      <c r="PA372" s="93"/>
      <c r="PB372" s="93"/>
      <c r="PC372" s="20"/>
      <c r="PD372" s="29"/>
      <c r="PE372" s="19"/>
      <c r="PF372" s="93"/>
      <c r="PG372" s="93"/>
      <c r="PH372" s="93"/>
      <c r="PI372" s="93"/>
      <c r="PJ372" s="93"/>
      <c r="PK372" s="93"/>
      <c r="PL372" s="93"/>
      <c r="PM372" s="93"/>
      <c r="PN372" s="93"/>
      <c r="PO372" s="93"/>
      <c r="PP372" s="93"/>
      <c r="PQ372" s="93"/>
      <c r="PR372" s="93"/>
      <c r="PS372" s="93"/>
      <c r="PT372" s="93"/>
      <c r="PU372" s="93"/>
      <c r="PV372" s="93"/>
      <c r="PW372" s="93"/>
      <c r="PX372" s="93"/>
      <c r="PY372" s="93"/>
      <c r="PZ372" s="93"/>
      <c r="QA372" s="93"/>
      <c r="QB372" s="93"/>
      <c r="QC372" s="93"/>
      <c r="QD372" s="93"/>
      <c r="QE372" s="20"/>
      <c r="QF372" s="1739"/>
      <c r="QG372" s="19"/>
      <c r="QH372" s="93"/>
      <c r="QI372" s="93"/>
      <c r="QJ372" s="93"/>
      <c r="QK372" s="93"/>
      <c r="QL372" s="93"/>
      <c r="QM372" s="93"/>
      <c r="QN372" s="93"/>
      <c r="QO372" s="93"/>
      <c r="QP372" s="93"/>
      <c r="QQ372" s="93"/>
      <c r="QR372" s="93"/>
      <c r="QS372" s="93"/>
      <c r="QT372" s="93"/>
      <c r="QU372" s="93"/>
      <c r="QV372" s="93"/>
      <c r="QW372" s="93"/>
      <c r="QX372" s="93"/>
      <c r="QY372" s="93"/>
      <c r="QZ372" s="93"/>
      <c r="RA372" s="93"/>
      <c r="RB372" s="93"/>
      <c r="RC372" s="93"/>
      <c r="RD372" s="93"/>
      <c r="RE372" s="93"/>
      <c r="RF372" s="93"/>
      <c r="RG372" s="93"/>
      <c r="RH372" s="93"/>
      <c r="RI372" s="93"/>
      <c r="RJ372" s="93"/>
      <c r="RK372" s="93"/>
      <c r="RL372" s="93"/>
      <c r="RM372" s="20"/>
      <c r="RN372" s="29"/>
      <c r="RO372" s="19"/>
      <c r="RP372" s="20"/>
      <c r="RQ372" s="29"/>
      <c r="RR372" s="20"/>
      <c r="RS372" s="29"/>
      <c r="RT372" s="1504">
        <v>45778</v>
      </c>
      <c r="RU372" s="19"/>
      <c r="RV372" s="20"/>
      <c r="RW372" s="29"/>
      <c r="RX372" s="1504">
        <v>45778</v>
      </c>
      <c r="RY372" s="29"/>
      <c r="RZ372" s="20"/>
      <c r="SA372" s="29"/>
      <c r="SB372" s="29"/>
    </row>
    <row r="373" spans="1:496">
      <c r="A373" s="41">
        <f t="shared" si="346"/>
        <v>2025</v>
      </c>
      <c r="B373" s="1504">
        <v>45809</v>
      </c>
      <c r="C373" s="1813"/>
      <c r="D373" s="1814"/>
      <c r="E373" s="1814"/>
      <c r="F373" s="1815"/>
      <c r="G373" s="1814"/>
      <c r="H373" s="1814"/>
      <c r="I373" s="1814"/>
      <c r="J373" s="1816"/>
      <c r="K373" s="1807"/>
      <c r="L373" s="25"/>
      <c r="M373" s="97"/>
      <c r="N373" s="1504">
        <v>45809</v>
      </c>
      <c r="O373" s="19"/>
      <c r="P373" s="93"/>
      <c r="Q373" s="93"/>
      <c r="R373" s="93"/>
      <c r="S373" s="93"/>
      <c r="T373" s="93"/>
      <c r="U373" s="93"/>
      <c r="V373" s="93"/>
      <c r="W373" s="93"/>
      <c r="X373" s="93"/>
      <c r="Y373" s="93"/>
      <c r="Z373" s="93"/>
      <c r="AA373" s="93"/>
      <c r="AB373" s="20"/>
      <c r="AC373" s="25"/>
      <c r="AD373" s="97"/>
      <c r="AE373" s="1504">
        <v>45809</v>
      </c>
      <c r="AF373" s="19"/>
      <c r="AG373" s="93"/>
      <c r="AH373" s="93"/>
      <c r="AI373" s="93"/>
      <c r="AJ373" s="93"/>
      <c r="AK373" s="93"/>
      <c r="AL373" s="93"/>
      <c r="AM373" s="93"/>
      <c r="AN373" s="93"/>
      <c r="AO373" s="93"/>
      <c r="AP373" s="93"/>
      <c r="AQ373" s="93"/>
      <c r="AR373" s="93"/>
      <c r="AS373" s="20"/>
      <c r="AT373" s="25"/>
      <c r="AU373" s="97"/>
      <c r="AV373" s="1504">
        <v>45809</v>
      </c>
      <c r="AW373" s="19"/>
      <c r="AX373" s="93"/>
      <c r="AY373" s="93"/>
      <c r="AZ373" s="93"/>
      <c r="BA373" s="93"/>
      <c r="BB373" s="93"/>
      <c r="BC373" s="93"/>
      <c r="BD373" s="93"/>
      <c r="BE373" s="93"/>
      <c r="BF373" s="93"/>
      <c r="BG373" s="93"/>
      <c r="BH373" s="93"/>
      <c r="BI373" s="93"/>
      <c r="BJ373" s="20"/>
      <c r="BK373" s="25"/>
      <c r="BL373" s="97"/>
      <c r="BM373" s="1504">
        <v>45809</v>
      </c>
      <c r="BN373" s="19"/>
      <c r="BO373" s="93"/>
      <c r="BP373" s="93"/>
      <c r="BQ373" s="93"/>
      <c r="BR373" s="93"/>
      <c r="BS373" s="93"/>
      <c r="BT373" s="93"/>
      <c r="BU373" s="20"/>
      <c r="BV373" s="25"/>
      <c r="BW373" s="97"/>
      <c r="BX373" s="1504">
        <v>45809</v>
      </c>
      <c r="BY373" s="19"/>
      <c r="BZ373" s="93"/>
      <c r="CA373" s="93"/>
      <c r="CB373" s="93"/>
      <c r="CC373" s="93"/>
      <c r="CD373" s="25"/>
      <c r="CE373" s="97"/>
      <c r="CF373" s="1504">
        <v>45809</v>
      </c>
      <c r="CG373" s="19"/>
      <c r="CH373" s="93"/>
      <c r="CI373" s="219"/>
      <c r="CJ373" s="20"/>
      <c r="CK373" s="19"/>
      <c r="CL373" s="93"/>
      <c r="CM373" s="93"/>
      <c r="CN373" s="93"/>
      <c r="CO373" s="93"/>
      <c r="CP373" s="20"/>
      <c r="CQ373" s="219"/>
      <c r="CR373" s="93"/>
      <c r="CS373" s="93"/>
      <c r="CT373" s="93"/>
      <c r="CU373" s="93"/>
      <c r="CV373" s="214"/>
      <c r="CW373" s="29"/>
      <c r="CX373" s="41">
        <f t="shared" si="319"/>
        <v>2025</v>
      </c>
      <c r="CY373" s="1504">
        <v>45809</v>
      </c>
      <c r="CZ373" s="19"/>
      <c r="DA373" s="93"/>
      <c r="DB373" s="93"/>
      <c r="DC373" s="93"/>
      <c r="DD373" s="93"/>
      <c r="DE373" s="20"/>
      <c r="DF373" s="29"/>
      <c r="DG373" s="1504">
        <v>45809</v>
      </c>
      <c r="DH373" s="19"/>
      <c r="DI373" s="93"/>
      <c r="DJ373" s="93"/>
      <c r="DK373" s="93"/>
      <c r="DL373" s="93"/>
      <c r="DM373" s="93"/>
      <c r="DN373" s="20"/>
      <c r="DO373" s="295"/>
      <c r="DP373" s="29"/>
      <c r="DQ373" s="1504">
        <v>45809</v>
      </c>
      <c r="DR373" s="19"/>
      <c r="DS373" s="93"/>
      <c r="DT373" s="93"/>
      <c r="DU373" s="93"/>
      <c r="DV373" s="93"/>
      <c r="DW373" s="93"/>
      <c r="DX373" s="20"/>
      <c r="DY373" s="29"/>
      <c r="DZ373" s="1504">
        <v>45809</v>
      </c>
      <c r="EA373" s="19"/>
      <c r="EB373" s="93"/>
      <c r="EC373" s="20"/>
      <c r="ED373" s="29"/>
      <c r="EE373" s="1504">
        <v>45809</v>
      </c>
      <c r="EF373" s="19"/>
      <c r="EG373" s="93"/>
      <c r="EH373" s="93"/>
      <c r="EI373" s="214"/>
      <c r="EJ373" s="93"/>
      <c r="EK373" s="93"/>
      <c r="EL373" s="93"/>
      <c r="EM373" s="93"/>
      <c r="EN373" s="20"/>
      <c r="EO373" s="29"/>
      <c r="EP373" s="1504">
        <v>45809</v>
      </c>
      <c r="EQ373" s="19"/>
      <c r="ER373" s="93"/>
      <c r="ES373" s="93"/>
      <c r="ET373" s="214"/>
      <c r="EU373" s="93"/>
      <c r="EV373" s="93"/>
      <c r="EW373" s="93"/>
      <c r="EX373" s="93"/>
      <c r="EY373" s="20"/>
      <c r="EZ373" s="29"/>
      <c r="FA373" s="1504">
        <v>45809</v>
      </c>
      <c r="FB373" s="29"/>
      <c r="FC373" s="29"/>
      <c r="FD373" s="29"/>
      <c r="FE373" s="29"/>
      <c r="FF373" s="29"/>
      <c r="FG373" s="29"/>
      <c r="FH373" s="29"/>
      <c r="FI373" s="29"/>
      <c r="FJ373" s="29"/>
      <c r="FK373" s="29"/>
      <c r="FL373" s="1504">
        <v>45809</v>
      </c>
      <c r="FM373" s="19"/>
      <c r="FN373" s="93"/>
      <c r="FO373" s="93"/>
      <c r="FP373" s="93"/>
      <c r="FQ373" s="93"/>
      <c r="FR373" s="93"/>
      <c r="FS373" s="93"/>
      <c r="FT373" s="93"/>
      <c r="FU373" s="93"/>
      <c r="FV373" s="93"/>
      <c r="FW373" s="93"/>
      <c r="FX373" s="93"/>
      <c r="FY373" s="93"/>
      <c r="FZ373" s="29"/>
      <c r="GA373" s="1504">
        <v>45809</v>
      </c>
      <c r="GB373" s="19"/>
      <c r="GC373" s="93"/>
      <c r="GD373" s="93"/>
      <c r="GE373" s="93"/>
      <c r="GF373" s="93"/>
      <c r="GG373" s="93"/>
      <c r="GH373" s="93"/>
      <c r="GI373" s="93"/>
      <c r="GJ373" s="93"/>
      <c r="GK373" s="93"/>
      <c r="GL373" s="93"/>
      <c r="GM373" s="93"/>
      <c r="GN373" s="20"/>
      <c r="GO373" s="29"/>
      <c r="GP373" s="1504">
        <v>45809</v>
      </c>
      <c r="GQ373" s="19"/>
      <c r="GR373" s="93"/>
      <c r="GS373" s="93"/>
      <c r="GT373" s="93"/>
      <c r="GU373" s="93"/>
      <c r="GV373" s="20"/>
      <c r="GW373" s="19"/>
      <c r="GX373" s="93"/>
      <c r="GY373" s="93"/>
      <c r="GZ373" s="93"/>
      <c r="HA373" s="93"/>
      <c r="HB373" s="20"/>
      <c r="HC373" s="19"/>
      <c r="HD373" s="93"/>
      <c r="HE373" s="93"/>
      <c r="HF373" s="93"/>
      <c r="HG373" s="93"/>
      <c r="HH373" s="20"/>
      <c r="HI373" s="19"/>
      <c r="HJ373" s="93"/>
      <c r="HK373" s="93"/>
      <c r="HL373" s="93"/>
      <c r="HM373" s="93"/>
      <c r="HN373" s="20"/>
      <c r="HO373" s="219"/>
      <c r="HP373" s="20"/>
      <c r="HQ373" s="25"/>
      <c r="HR373" s="29"/>
      <c r="HS373" s="1504">
        <v>45809</v>
      </c>
      <c r="HT373" s="19"/>
      <c r="HU373" s="93"/>
      <c r="HV373" s="93"/>
      <c r="HW373" s="93"/>
      <c r="HX373" s="93"/>
      <c r="HY373" s="93"/>
      <c r="HZ373" s="93"/>
      <c r="IA373" s="20"/>
      <c r="IB373" s="19"/>
      <c r="IC373" s="93"/>
      <c r="ID373" s="93"/>
      <c r="IE373" s="93"/>
      <c r="IF373" s="93"/>
      <c r="IG373" s="20"/>
      <c r="IH373" s="19"/>
      <c r="II373" s="93"/>
      <c r="IJ373" s="93"/>
      <c r="IK373" s="93"/>
      <c r="IL373" s="93"/>
      <c r="IM373" s="93"/>
      <c r="IN373" s="93"/>
      <c r="IO373" s="20"/>
      <c r="IP373" s="29"/>
      <c r="IQ373" s="19"/>
      <c r="IR373" s="93"/>
      <c r="IS373" s="93"/>
      <c r="IT373" s="93"/>
      <c r="IU373" s="93"/>
      <c r="IV373" s="20"/>
      <c r="IW373" s="29"/>
      <c r="IX373" s="19"/>
      <c r="IY373" s="93"/>
      <c r="IZ373" s="93"/>
      <c r="JA373" s="93"/>
      <c r="JB373" s="93"/>
      <c r="JC373" s="93"/>
      <c r="JD373" s="93"/>
      <c r="JE373" s="20"/>
      <c r="JF373" s="29"/>
      <c r="JG373" s="19"/>
      <c r="JH373" s="93"/>
      <c r="JI373" s="93"/>
      <c r="JJ373" s="93"/>
      <c r="JK373" s="93"/>
      <c r="JL373" s="93"/>
      <c r="JM373" s="93"/>
      <c r="JN373" s="20"/>
      <c r="JO373" s="29"/>
      <c r="JP373" s="19"/>
      <c r="JQ373" s="93"/>
      <c r="JR373" s="93"/>
      <c r="JS373" s="93"/>
      <c r="JT373" s="93"/>
      <c r="JU373" s="20"/>
      <c r="JV373" s="29"/>
      <c r="JW373" s="1504">
        <v>45809</v>
      </c>
      <c r="JX373" s="19"/>
      <c r="JY373" s="93"/>
      <c r="JZ373" s="93"/>
      <c r="KA373" s="93"/>
      <c r="KB373" s="93"/>
      <c r="KC373" s="93"/>
      <c r="KD373" s="20"/>
      <c r="KE373" s="29"/>
      <c r="KF373" s="19"/>
      <c r="KG373" s="93"/>
      <c r="KH373" s="93"/>
      <c r="KI373" s="93"/>
      <c r="KJ373" s="93"/>
      <c r="KK373" s="20"/>
      <c r="KL373" s="29"/>
      <c r="KM373" s="19"/>
      <c r="KN373" s="93"/>
      <c r="KO373" s="93"/>
      <c r="KP373" s="93"/>
      <c r="KQ373" s="93"/>
      <c r="KR373" s="20"/>
      <c r="KS373" s="29"/>
      <c r="KT373" s="19"/>
      <c r="KU373" s="93"/>
      <c r="KV373" s="93"/>
      <c r="KW373" s="93"/>
      <c r="KX373" s="93"/>
      <c r="KY373" s="20"/>
      <c r="KZ373" s="29"/>
      <c r="LA373" s="1504">
        <v>45809</v>
      </c>
      <c r="LB373" s="19"/>
      <c r="LC373" s="93"/>
      <c r="LD373" s="93"/>
      <c r="LE373" s="93"/>
      <c r="LF373" s="93"/>
      <c r="LG373" s="93"/>
      <c r="LH373" s="20"/>
      <c r="LI373" s="29"/>
      <c r="LJ373" s="19"/>
      <c r="LK373" s="93"/>
      <c r="LL373" s="93"/>
      <c r="LM373" s="93"/>
      <c r="LN373" s="93"/>
      <c r="LO373" s="20"/>
      <c r="LP373" s="29"/>
      <c r="LQ373" s="19"/>
      <c r="LR373" s="93"/>
      <c r="LS373" s="93"/>
      <c r="LT373" s="93"/>
      <c r="LU373" s="93"/>
      <c r="LV373" s="93"/>
      <c r="LW373" s="93"/>
      <c r="LX373" s="93"/>
      <c r="LY373" s="93"/>
      <c r="LZ373" s="93"/>
      <c r="MA373" s="20"/>
      <c r="MB373" s="29"/>
      <c r="MC373" s="1504">
        <v>45809</v>
      </c>
      <c r="MD373" s="19"/>
      <c r="ME373" s="93"/>
      <c r="MF373" s="93"/>
      <c r="MG373" s="93"/>
      <c r="MH373" s="93"/>
      <c r="MI373" s="93"/>
      <c r="MJ373" s="93"/>
      <c r="MK373" s="93"/>
      <c r="ML373" s="93"/>
      <c r="MM373" s="93"/>
      <c r="MN373" s="93"/>
      <c r="MO373" s="93"/>
      <c r="MP373" s="93"/>
      <c r="MQ373" s="93"/>
      <c r="MR373" s="93"/>
      <c r="MS373" s="93"/>
      <c r="MT373" s="93"/>
      <c r="MU373" s="93"/>
      <c r="MV373" s="93"/>
      <c r="MW373" s="93"/>
      <c r="MX373" s="93"/>
      <c r="MY373" s="93"/>
      <c r="MZ373" s="93"/>
      <c r="NA373" s="93"/>
      <c r="NB373" s="93"/>
      <c r="NC373" s="93"/>
      <c r="ND373" s="93"/>
      <c r="NE373" s="93"/>
      <c r="NF373" s="93"/>
      <c r="NG373" s="93"/>
      <c r="NH373" s="93"/>
      <c r="NI373" s="93"/>
      <c r="NJ373" s="93"/>
      <c r="NK373" s="93"/>
      <c r="NL373" s="93"/>
      <c r="NM373" s="93"/>
      <c r="NN373" s="93"/>
      <c r="NO373" s="93"/>
      <c r="NP373" s="93"/>
      <c r="NQ373" s="93"/>
      <c r="NR373" s="93"/>
      <c r="NS373" s="93"/>
      <c r="NT373" s="93"/>
      <c r="NU373" s="93"/>
      <c r="NV373" s="93"/>
      <c r="NW373" s="93"/>
      <c r="NX373" s="93"/>
      <c r="NY373" s="93"/>
      <c r="NZ373" s="93"/>
      <c r="OA373" s="93"/>
      <c r="OB373" s="93"/>
      <c r="OC373" s="93"/>
      <c r="OD373" s="20"/>
      <c r="OE373" s="29"/>
      <c r="OF373" s="1504">
        <v>45809</v>
      </c>
      <c r="OG373" s="19"/>
      <c r="OH373" s="93"/>
      <c r="OI373" s="93"/>
      <c r="OJ373" s="93"/>
      <c r="OK373" s="93"/>
      <c r="OL373" s="93"/>
      <c r="OM373" s="93"/>
      <c r="ON373" s="93"/>
      <c r="OO373" s="93"/>
      <c r="OP373" s="93"/>
      <c r="OQ373" s="93"/>
      <c r="OR373" s="93"/>
      <c r="OS373" s="93"/>
      <c r="OT373" s="93"/>
      <c r="OU373" s="93"/>
      <c r="OV373" s="93"/>
      <c r="OW373" s="93"/>
      <c r="OX373" s="93"/>
      <c r="OY373" s="93"/>
      <c r="OZ373" s="93"/>
      <c r="PA373" s="93"/>
      <c r="PB373" s="93"/>
      <c r="PC373" s="20"/>
      <c r="PD373" s="29"/>
      <c r="PE373" s="19"/>
      <c r="PF373" s="93"/>
      <c r="PG373" s="93"/>
      <c r="PH373" s="93"/>
      <c r="PI373" s="93"/>
      <c r="PJ373" s="93"/>
      <c r="PK373" s="93"/>
      <c r="PL373" s="93"/>
      <c r="PM373" s="93"/>
      <c r="PN373" s="93"/>
      <c r="PO373" s="93"/>
      <c r="PP373" s="93"/>
      <c r="PQ373" s="93"/>
      <c r="PR373" s="93"/>
      <c r="PS373" s="93"/>
      <c r="PT373" s="93"/>
      <c r="PU373" s="93"/>
      <c r="PV373" s="93"/>
      <c r="PW373" s="93"/>
      <c r="PX373" s="93"/>
      <c r="PY373" s="93"/>
      <c r="PZ373" s="93"/>
      <c r="QA373" s="93"/>
      <c r="QB373" s="93"/>
      <c r="QC373" s="93"/>
      <c r="QD373" s="93"/>
      <c r="QE373" s="20"/>
      <c r="QF373" s="1739"/>
      <c r="QG373" s="19"/>
      <c r="QH373" s="93"/>
      <c r="QI373" s="93"/>
      <c r="QJ373" s="93"/>
      <c r="QK373" s="93"/>
      <c r="QL373" s="93"/>
      <c r="QM373" s="93"/>
      <c r="QN373" s="93"/>
      <c r="QO373" s="93"/>
      <c r="QP373" s="93"/>
      <c r="QQ373" s="93"/>
      <c r="QR373" s="93"/>
      <c r="QS373" s="93"/>
      <c r="QT373" s="93"/>
      <c r="QU373" s="93"/>
      <c r="QV373" s="93"/>
      <c r="QW373" s="93"/>
      <c r="QX373" s="93"/>
      <c r="QY373" s="93"/>
      <c r="QZ373" s="93"/>
      <c r="RA373" s="93"/>
      <c r="RB373" s="93"/>
      <c r="RC373" s="93"/>
      <c r="RD373" s="93"/>
      <c r="RE373" s="93"/>
      <c r="RF373" s="93"/>
      <c r="RG373" s="93"/>
      <c r="RH373" s="93"/>
      <c r="RI373" s="93"/>
      <c r="RJ373" s="93"/>
      <c r="RK373" s="93"/>
      <c r="RL373" s="93"/>
      <c r="RM373" s="20"/>
      <c r="RN373" s="29"/>
      <c r="RO373" s="19"/>
      <c r="RP373" s="20"/>
      <c r="RQ373" s="29"/>
      <c r="RR373" s="20"/>
      <c r="RS373" s="29"/>
      <c r="RT373" s="1504">
        <v>45809</v>
      </c>
      <c r="RU373" s="19"/>
      <c r="RV373" s="20"/>
      <c r="RW373" s="29"/>
      <c r="RX373" s="1504">
        <v>45809</v>
      </c>
      <c r="RY373" s="29"/>
      <c r="RZ373" s="20"/>
      <c r="SA373" s="29"/>
      <c r="SB373" s="29"/>
    </row>
    <row r="374" spans="1:496">
      <c r="A374" s="41">
        <f t="shared" si="346"/>
        <v>2025</v>
      </c>
      <c r="B374" s="1504">
        <v>45839</v>
      </c>
      <c r="C374" s="1813"/>
      <c r="D374" s="1814"/>
      <c r="E374" s="1814"/>
      <c r="F374" s="1815"/>
      <c r="G374" s="1814"/>
      <c r="H374" s="1814"/>
      <c r="I374" s="1814"/>
      <c r="J374" s="1816"/>
      <c r="K374" s="1807"/>
      <c r="L374" s="25"/>
      <c r="M374" s="97"/>
      <c r="N374" s="1504">
        <v>45839</v>
      </c>
      <c r="O374" s="19"/>
      <c r="P374" s="93"/>
      <c r="Q374" s="93"/>
      <c r="R374" s="93"/>
      <c r="S374" s="93"/>
      <c r="T374" s="93"/>
      <c r="U374" s="93"/>
      <c r="V374" s="93"/>
      <c r="W374" s="93"/>
      <c r="X374" s="93"/>
      <c r="Y374" s="93"/>
      <c r="Z374" s="93"/>
      <c r="AA374" s="93"/>
      <c r="AB374" s="20"/>
      <c r="AC374" s="25"/>
      <c r="AD374" s="97"/>
      <c r="AE374" s="1504">
        <v>45839</v>
      </c>
      <c r="AF374" s="19"/>
      <c r="AG374" s="93"/>
      <c r="AH374" s="93"/>
      <c r="AI374" s="93"/>
      <c r="AJ374" s="93"/>
      <c r="AK374" s="93"/>
      <c r="AL374" s="93"/>
      <c r="AM374" s="93"/>
      <c r="AN374" s="93"/>
      <c r="AO374" s="93"/>
      <c r="AP374" s="93"/>
      <c r="AQ374" s="93"/>
      <c r="AR374" s="93"/>
      <c r="AS374" s="20"/>
      <c r="AT374" s="25"/>
      <c r="AU374" s="97"/>
      <c r="AV374" s="1504">
        <v>45839</v>
      </c>
      <c r="AW374" s="19"/>
      <c r="AX374" s="93"/>
      <c r="AY374" s="93"/>
      <c r="AZ374" s="93"/>
      <c r="BA374" s="93"/>
      <c r="BB374" s="93"/>
      <c r="BC374" s="93"/>
      <c r="BD374" s="93"/>
      <c r="BE374" s="93"/>
      <c r="BF374" s="93"/>
      <c r="BG374" s="93"/>
      <c r="BH374" s="93"/>
      <c r="BI374" s="93"/>
      <c r="BJ374" s="20"/>
      <c r="BK374" s="25"/>
      <c r="BL374" s="97"/>
      <c r="BM374" s="1504">
        <v>45839</v>
      </c>
      <c r="BN374" s="19"/>
      <c r="BO374" s="93"/>
      <c r="BP374" s="93"/>
      <c r="BQ374" s="93"/>
      <c r="BR374" s="93"/>
      <c r="BS374" s="93"/>
      <c r="BT374" s="93"/>
      <c r="BU374" s="20"/>
      <c r="BV374" s="25"/>
      <c r="BW374" s="97"/>
      <c r="BX374" s="1504">
        <v>45839</v>
      </c>
      <c r="BY374" s="19"/>
      <c r="BZ374" s="93"/>
      <c r="CA374" s="93"/>
      <c r="CB374" s="93"/>
      <c r="CC374" s="93"/>
      <c r="CD374" s="25"/>
      <c r="CE374" s="97"/>
      <c r="CF374" s="1504">
        <v>45839</v>
      </c>
      <c r="CG374" s="19"/>
      <c r="CH374" s="93"/>
      <c r="CI374" s="219"/>
      <c r="CJ374" s="20"/>
      <c r="CK374" s="19"/>
      <c r="CL374" s="93"/>
      <c r="CM374" s="93"/>
      <c r="CN374" s="93"/>
      <c r="CO374" s="93"/>
      <c r="CP374" s="20"/>
      <c r="CQ374" s="219"/>
      <c r="CR374" s="93"/>
      <c r="CS374" s="93"/>
      <c r="CT374" s="93"/>
      <c r="CU374" s="93"/>
      <c r="CV374" s="214"/>
      <c r="CW374" s="29"/>
      <c r="CX374" s="41">
        <f t="shared" si="319"/>
        <v>2025</v>
      </c>
      <c r="CY374" s="1504">
        <v>45839</v>
      </c>
      <c r="CZ374" s="19"/>
      <c r="DA374" s="93"/>
      <c r="DB374" s="93"/>
      <c r="DC374" s="93"/>
      <c r="DD374" s="93"/>
      <c r="DE374" s="20"/>
      <c r="DF374" s="29"/>
      <c r="DG374" s="1504">
        <v>45839</v>
      </c>
      <c r="DH374" s="19"/>
      <c r="DI374" s="93"/>
      <c r="DJ374" s="93"/>
      <c r="DK374" s="93"/>
      <c r="DL374" s="93"/>
      <c r="DM374" s="93"/>
      <c r="DN374" s="20"/>
      <c r="DO374" s="295"/>
      <c r="DP374" s="29"/>
      <c r="DQ374" s="1504">
        <v>45839</v>
      </c>
      <c r="DR374" s="19"/>
      <c r="DS374" s="93"/>
      <c r="DT374" s="93"/>
      <c r="DU374" s="93"/>
      <c r="DV374" s="93"/>
      <c r="DW374" s="93"/>
      <c r="DX374" s="20"/>
      <c r="DY374" s="29"/>
      <c r="DZ374" s="1504">
        <v>45839</v>
      </c>
      <c r="EA374" s="19"/>
      <c r="EB374" s="93"/>
      <c r="EC374" s="20"/>
      <c r="ED374" s="29"/>
      <c r="EE374" s="1504">
        <v>45839</v>
      </c>
      <c r="EF374" s="19"/>
      <c r="EG374" s="93"/>
      <c r="EH374" s="93"/>
      <c r="EI374" s="214"/>
      <c r="EJ374" s="93"/>
      <c r="EK374" s="93"/>
      <c r="EL374" s="93"/>
      <c r="EM374" s="93"/>
      <c r="EN374" s="20"/>
      <c r="EO374" s="29"/>
      <c r="EP374" s="1504">
        <v>45839</v>
      </c>
      <c r="EQ374" s="19"/>
      <c r="ER374" s="93"/>
      <c r="ES374" s="93"/>
      <c r="ET374" s="214"/>
      <c r="EU374" s="93"/>
      <c r="EV374" s="93"/>
      <c r="EW374" s="93"/>
      <c r="EX374" s="93"/>
      <c r="EY374" s="20"/>
      <c r="EZ374" s="29"/>
      <c r="FA374" s="1504">
        <v>45839</v>
      </c>
      <c r="FB374" s="29"/>
      <c r="FC374" s="29"/>
      <c r="FD374" s="29"/>
      <c r="FE374" s="29"/>
      <c r="FF374" s="29"/>
      <c r="FG374" s="29"/>
      <c r="FH374" s="29"/>
      <c r="FI374" s="29"/>
      <c r="FJ374" s="29"/>
      <c r="FK374" s="29"/>
      <c r="FL374" s="1504">
        <v>45839</v>
      </c>
      <c r="FM374" s="19"/>
      <c r="FN374" s="93"/>
      <c r="FO374" s="93"/>
      <c r="FP374" s="93"/>
      <c r="FQ374" s="93"/>
      <c r="FR374" s="93"/>
      <c r="FS374" s="93"/>
      <c r="FT374" s="93"/>
      <c r="FU374" s="93"/>
      <c r="FV374" s="93"/>
      <c r="FW374" s="93"/>
      <c r="FX374" s="93"/>
      <c r="FY374" s="93"/>
      <c r="FZ374" s="29"/>
      <c r="GA374" s="1504">
        <v>45839</v>
      </c>
      <c r="GB374" s="19"/>
      <c r="GC374" s="93"/>
      <c r="GD374" s="93"/>
      <c r="GE374" s="93"/>
      <c r="GF374" s="93"/>
      <c r="GG374" s="93"/>
      <c r="GH374" s="93"/>
      <c r="GI374" s="93"/>
      <c r="GJ374" s="93"/>
      <c r="GK374" s="93"/>
      <c r="GL374" s="93"/>
      <c r="GM374" s="93"/>
      <c r="GN374" s="20"/>
      <c r="GO374" s="29"/>
      <c r="GP374" s="1504">
        <v>45839</v>
      </c>
      <c r="GQ374" s="19"/>
      <c r="GR374" s="93"/>
      <c r="GS374" s="93"/>
      <c r="GT374" s="93"/>
      <c r="GU374" s="93"/>
      <c r="GV374" s="20"/>
      <c r="GW374" s="19"/>
      <c r="GX374" s="93"/>
      <c r="GY374" s="93"/>
      <c r="GZ374" s="93"/>
      <c r="HA374" s="93"/>
      <c r="HB374" s="20"/>
      <c r="HC374" s="19"/>
      <c r="HD374" s="93"/>
      <c r="HE374" s="93"/>
      <c r="HF374" s="93"/>
      <c r="HG374" s="93"/>
      <c r="HH374" s="20"/>
      <c r="HI374" s="19"/>
      <c r="HJ374" s="93"/>
      <c r="HK374" s="93"/>
      <c r="HL374" s="93"/>
      <c r="HM374" s="93"/>
      <c r="HN374" s="20"/>
      <c r="HO374" s="219"/>
      <c r="HP374" s="20"/>
      <c r="HQ374" s="25"/>
      <c r="HR374" s="29"/>
      <c r="HS374" s="1504">
        <v>45839</v>
      </c>
      <c r="HT374" s="19"/>
      <c r="HU374" s="93"/>
      <c r="HV374" s="93"/>
      <c r="HW374" s="93"/>
      <c r="HX374" s="93"/>
      <c r="HY374" s="93"/>
      <c r="HZ374" s="93"/>
      <c r="IA374" s="20"/>
      <c r="IB374" s="19"/>
      <c r="IC374" s="93"/>
      <c r="ID374" s="93"/>
      <c r="IE374" s="93"/>
      <c r="IF374" s="93"/>
      <c r="IG374" s="20"/>
      <c r="IH374" s="19"/>
      <c r="II374" s="93"/>
      <c r="IJ374" s="93"/>
      <c r="IK374" s="93"/>
      <c r="IL374" s="93"/>
      <c r="IM374" s="93"/>
      <c r="IN374" s="93"/>
      <c r="IO374" s="20"/>
      <c r="IP374" s="29"/>
      <c r="IQ374" s="19"/>
      <c r="IR374" s="93"/>
      <c r="IS374" s="93"/>
      <c r="IT374" s="93"/>
      <c r="IU374" s="93"/>
      <c r="IV374" s="20"/>
      <c r="IW374" s="29"/>
      <c r="IX374" s="19"/>
      <c r="IY374" s="93"/>
      <c r="IZ374" s="93"/>
      <c r="JA374" s="93"/>
      <c r="JB374" s="93"/>
      <c r="JC374" s="93"/>
      <c r="JD374" s="93"/>
      <c r="JE374" s="20"/>
      <c r="JF374" s="29"/>
      <c r="JG374" s="19"/>
      <c r="JH374" s="93"/>
      <c r="JI374" s="93"/>
      <c r="JJ374" s="93"/>
      <c r="JK374" s="93"/>
      <c r="JL374" s="93"/>
      <c r="JM374" s="93"/>
      <c r="JN374" s="20"/>
      <c r="JO374" s="29"/>
      <c r="JP374" s="19"/>
      <c r="JQ374" s="93"/>
      <c r="JR374" s="93"/>
      <c r="JS374" s="93"/>
      <c r="JT374" s="93"/>
      <c r="JU374" s="20"/>
      <c r="JV374" s="29"/>
      <c r="JW374" s="1504">
        <v>45839</v>
      </c>
      <c r="JX374" s="19"/>
      <c r="JY374" s="93"/>
      <c r="JZ374" s="93"/>
      <c r="KA374" s="93"/>
      <c r="KB374" s="93"/>
      <c r="KC374" s="93"/>
      <c r="KD374" s="20"/>
      <c r="KE374" s="29"/>
      <c r="KF374" s="19"/>
      <c r="KG374" s="93"/>
      <c r="KH374" s="93"/>
      <c r="KI374" s="93"/>
      <c r="KJ374" s="93"/>
      <c r="KK374" s="20"/>
      <c r="KL374" s="29"/>
      <c r="KM374" s="19"/>
      <c r="KN374" s="93"/>
      <c r="KO374" s="93"/>
      <c r="KP374" s="93"/>
      <c r="KQ374" s="93"/>
      <c r="KR374" s="20"/>
      <c r="KS374" s="29"/>
      <c r="KT374" s="19"/>
      <c r="KU374" s="93"/>
      <c r="KV374" s="93"/>
      <c r="KW374" s="93"/>
      <c r="KX374" s="93"/>
      <c r="KY374" s="20"/>
      <c r="KZ374" s="29"/>
      <c r="LA374" s="1504">
        <v>45839</v>
      </c>
      <c r="LB374" s="19"/>
      <c r="LC374" s="93"/>
      <c r="LD374" s="93"/>
      <c r="LE374" s="93"/>
      <c r="LF374" s="93"/>
      <c r="LG374" s="93"/>
      <c r="LH374" s="20"/>
      <c r="LI374" s="29"/>
      <c r="LJ374" s="19"/>
      <c r="LK374" s="93"/>
      <c r="LL374" s="93"/>
      <c r="LM374" s="93"/>
      <c r="LN374" s="93"/>
      <c r="LO374" s="20"/>
      <c r="LP374" s="29"/>
      <c r="LQ374" s="19"/>
      <c r="LR374" s="93"/>
      <c r="LS374" s="93"/>
      <c r="LT374" s="93"/>
      <c r="LU374" s="93"/>
      <c r="LV374" s="93"/>
      <c r="LW374" s="93"/>
      <c r="LX374" s="93"/>
      <c r="LY374" s="93"/>
      <c r="LZ374" s="93"/>
      <c r="MA374" s="20"/>
      <c r="MB374" s="29"/>
      <c r="MC374" s="1504">
        <v>45839</v>
      </c>
      <c r="MD374" s="19"/>
      <c r="ME374" s="93"/>
      <c r="MF374" s="93"/>
      <c r="MG374" s="93"/>
      <c r="MH374" s="93"/>
      <c r="MI374" s="93"/>
      <c r="MJ374" s="93"/>
      <c r="MK374" s="93"/>
      <c r="ML374" s="93"/>
      <c r="MM374" s="93"/>
      <c r="MN374" s="93"/>
      <c r="MO374" s="93"/>
      <c r="MP374" s="93"/>
      <c r="MQ374" s="93"/>
      <c r="MR374" s="93"/>
      <c r="MS374" s="93"/>
      <c r="MT374" s="93"/>
      <c r="MU374" s="93"/>
      <c r="MV374" s="93"/>
      <c r="MW374" s="93"/>
      <c r="MX374" s="93"/>
      <c r="MY374" s="93"/>
      <c r="MZ374" s="93"/>
      <c r="NA374" s="93"/>
      <c r="NB374" s="93"/>
      <c r="NC374" s="93"/>
      <c r="ND374" s="93"/>
      <c r="NE374" s="93"/>
      <c r="NF374" s="93"/>
      <c r="NG374" s="93"/>
      <c r="NH374" s="93"/>
      <c r="NI374" s="93"/>
      <c r="NJ374" s="93"/>
      <c r="NK374" s="93"/>
      <c r="NL374" s="93"/>
      <c r="NM374" s="93"/>
      <c r="NN374" s="93"/>
      <c r="NO374" s="93"/>
      <c r="NP374" s="93"/>
      <c r="NQ374" s="93"/>
      <c r="NR374" s="93"/>
      <c r="NS374" s="93"/>
      <c r="NT374" s="93"/>
      <c r="NU374" s="93"/>
      <c r="NV374" s="93"/>
      <c r="NW374" s="93"/>
      <c r="NX374" s="93"/>
      <c r="NY374" s="93"/>
      <c r="NZ374" s="93"/>
      <c r="OA374" s="93"/>
      <c r="OB374" s="93"/>
      <c r="OC374" s="93"/>
      <c r="OD374" s="20"/>
      <c r="OE374" s="29"/>
      <c r="OF374" s="1504">
        <v>45839</v>
      </c>
      <c r="OG374" s="19"/>
      <c r="OH374" s="93"/>
      <c r="OI374" s="93"/>
      <c r="OJ374" s="93"/>
      <c r="OK374" s="93"/>
      <c r="OL374" s="93"/>
      <c r="OM374" s="93"/>
      <c r="ON374" s="93"/>
      <c r="OO374" s="93"/>
      <c r="OP374" s="93"/>
      <c r="OQ374" s="93"/>
      <c r="OR374" s="93"/>
      <c r="OS374" s="93"/>
      <c r="OT374" s="93"/>
      <c r="OU374" s="93"/>
      <c r="OV374" s="93"/>
      <c r="OW374" s="93"/>
      <c r="OX374" s="93"/>
      <c r="OY374" s="93"/>
      <c r="OZ374" s="93"/>
      <c r="PA374" s="93"/>
      <c r="PB374" s="93"/>
      <c r="PC374" s="20"/>
      <c r="PD374" s="29"/>
      <c r="PE374" s="19"/>
      <c r="PF374" s="93"/>
      <c r="PG374" s="93"/>
      <c r="PH374" s="93"/>
      <c r="PI374" s="93"/>
      <c r="PJ374" s="93"/>
      <c r="PK374" s="93"/>
      <c r="PL374" s="93"/>
      <c r="PM374" s="93"/>
      <c r="PN374" s="93"/>
      <c r="PO374" s="93"/>
      <c r="PP374" s="93"/>
      <c r="PQ374" s="93"/>
      <c r="PR374" s="93"/>
      <c r="PS374" s="93"/>
      <c r="PT374" s="93"/>
      <c r="PU374" s="93"/>
      <c r="PV374" s="93"/>
      <c r="PW374" s="93"/>
      <c r="PX374" s="93"/>
      <c r="PY374" s="93"/>
      <c r="PZ374" s="93"/>
      <c r="QA374" s="93"/>
      <c r="QB374" s="93"/>
      <c r="QC374" s="93"/>
      <c r="QD374" s="93"/>
      <c r="QE374" s="20"/>
      <c r="QF374" s="1739"/>
      <c r="QG374" s="19"/>
      <c r="QH374" s="93"/>
      <c r="QI374" s="93"/>
      <c r="QJ374" s="93"/>
      <c r="QK374" s="93"/>
      <c r="QL374" s="93"/>
      <c r="QM374" s="93"/>
      <c r="QN374" s="93"/>
      <c r="QO374" s="93"/>
      <c r="QP374" s="93"/>
      <c r="QQ374" s="93"/>
      <c r="QR374" s="93"/>
      <c r="QS374" s="93"/>
      <c r="QT374" s="93"/>
      <c r="QU374" s="93"/>
      <c r="QV374" s="93"/>
      <c r="QW374" s="93"/>
      <c r="QX374" s="93"/>
      <c r="QY374" s="93"/>
      <c r="QZ374" s="93"/>
      <c r="RA374" s="93"/>
      <c r="RB374" s="93"/>
      <c r="RC374" s="93"/>
      <c r="RD374" s="93"/>
      <c r="RE374" s="93"/>
      <c r="RF374" s="93"/>
      <c r="RG374" s="93"/>
      <c r="RH374" s="93"/>
      <c r="RI374" s="93"/>
      <c r="RJ374" s="93"/>
      <c r="RK374" s="93"/>
      <c r="RL374" s="93"/>
      <c r="RM374" s="20"/>
      <c r="RN374" s="29"/>
      <c r="RO374" s="19"/>
      <c r="RP374" s="20"/>
      <c r="RQ374" s="29"/>
      <c r="RR374" s="20"/>
      <c r="RS374" s="29"/>
      <c r="RT374" s="1504">
        <v>45839</v>
      </c>
      <c r="RU374" s="19"/>
      <c r="RV374" s="20"/>
      <c r="RW374" s="29"/>
      <c r="RX374" s="1504">
        <v>45839</v>
      </c>
      <c r="RY374" s="29"/>
      <c r="RZ374" s="20"/>
      <c r="SA374" s="29"/>
      <c r="SB374" s="29"/>
    </row>
    <row r="375" spans="1:496">
      <c r="A375" s="41">
        <f t="shared" si="346"/>
        <v>2025</v>
      </c>
      <c r="B375" s="1504">
        <v>45870</v>
      </c>
      <c r="C375" s="1813"/>
      <c r="D375" s="1814"/>
      <c r="E375" s="1814"/>
      <c r="F375" s="1815"/>
      <c r="G375" s="1814"/>
      <c r="H375" s="1814"/>
      <c r="I375" s="1814"/>
      <c r="J375" s="1816"/>
      <c r="K375" s="1807"/>
      <c r="L375" s="25"/>
      <c r="M375" s="97"/>
      <c r="N375" s="1504">
        <v>45870</v>
      </c>
      <c r="O375" s="19"/>
      <c r="P375" s="93"/>
      <c r="Q375" s="93"/>
      <c r="R375" s="93"/>
      <c r="S375" s="93"/>
      <c r="T375" s="93"/>
      <c r="U375" s="93"/>
      <c r="V375" s="93"/>
      <c r="W375" s="93"/>
      <c r="X375" s="93"/>
      <c r="Y375" s="93"/>
      <c r="Z375" s="93"/>
      <c r="AA375" s="93"/>
      <c r="AB375" s="20"/>
      <c r="AC375" s="25"/>
      <c r="AD375" s="97"/>
      <c r="AE375" s="1504">
        <v>45870</v>
      </c>
      <c r="AF375" s="19"/>
      <c r="AG375" s="93"/>
      <c r="AH375" s="93"/>
      <c r="AI375" s="93"/>
      <c r="AJ375" s="93"/>
      <c r="AK375" s="93"/>
      <c r="AL375" s="93"/>
      <c r="AM375" s="93"/>
      <c r="AN375" s="93"/>
      <c r="AO375" s="93"/>
      <c r="AP375" s="93"/>
      <c r="AQ375" s="93"/>
      <c r="AR375" s="93"/>
      <c r="AS375" s="20"/>
      <c r="AT375" s="25"/>
      <c r="AU375" s="97"/>
      <c r="AV375" s="1504">
        <v>45870</v>
      </c>
      <c r="AW375" s="19"/>
      <c r="AX375" s="93"/>
      <c r="AY375" s="93"/>
      <c r="AZ375" s="93"/>
      <c r="BA375" s="93"/>
      <c r="BB375" s="93"/>
      <c r="BC375" s="93"/>
      <c r="BD375" s="93"/>
      <c r="BE375" s="93"/>
      <c r="BF375" s="93"/>
      <c r="BG375" s="93"/>
      <c r="BH375" s="93"/>
      <c r="BI375" s="93"/>
      <c r="BJ375" s="20"/>
      <c r="BK375" s="25"/>
      <c r="BL375" s="97"/>
      <c r="BM375" s="1504">
        <v>45870</v>
      </c>
      <c r="BN375" s="19"/>
      <c r="BO375" s="93"/>
      <c r="BP375" s="93"/>
      <c r="BQ375" s="93"/>
      <c r="BR375" s="93"/>
      <c r="BS375" s="93"/>
      <c r="BT375" s="93"/>
      <c r="BU375" s="20"/>
      <c r="BV375" s="25"/>
      <c r="BW375" s="97"/>
      <c r="BX375" s="1504">
        <v>45870</v>
      </c>
      <c r="BY375" s="19"/>
      <c r="BZ375" s="93"/>
      <c r="CA375" s="93"/>
      <c r="CB375" s="93"/>
      <c r="CC375" s="93"/>
      <c r="CD375" s="25"/>
      <c r="CE375" s="97"/>
      <c r="CF375" s="1504">
        <v>45870</v>
      </c>
      <c r="CG375" s="19"/>
      <c r="CH375" s="93"/>
      <c r="CI375" s="219"/>
      <c r="CJ375" s="20"/>
      <c r="CK375" s="19"/>
      <c r="CL375" s="93"/>
      <c r="CM375" s="93"/>
      <c r="CN375" s="93"/>
      <c r="CO375" s="93"/>
      <c r="CP375" s="20"/>
      <c r="CQ375" s="219"/>
      <c r="CR375" s="93"/>
      <c r="CS375" s="93"/>
      <c r="CT375" s="93"/>
      <c r="CU375" s="93"/>
      <c r="CV375" s="214"/>
      <c r="CW375" s="29"/>
      <c r="CX375" s="41">
        <f t="shared" si="319"/>
        <v>2025</v>
      </c>
      <c r="CY375" s="1504">
        <v>45870</v>
      </c>
      <c r="CZ375" s="19"/>
      <c r="DA375" s="93"/>
      <c r="DB375" s="93"/>
      <c r="DC375" s="93"/>
      <c r="DD375" s="93"/>
      <c r="DE375" s="20"/>
      <c r="DF375" s="29"/>
      <c r="DG375" s="1504">
        <v>45870</v>
      </c>
      <c r="DH375" s="19"/>
      <c r="DI375" s="93"/>
      <c r="DJ375" s="93"/>
      <c r="DK375" s="93"/>
      <c r="DL375" s="93"/>
      <c r="DM375" s="93"/>
      <c r="DN375" s="20"/>
      <c r="DO375" s="295"/>
      <c r="DP375" s="29"/>
      <c r="DQ375" s="1504">
        <v>45870</v>
      </c>
      <c r="DR375" s="19"/>
      <c r="DS375" s="93"/>
      <c r="DT375" s="93"/>
      <c r="DU375" s="93"/>
      <c r="DV375" s="93"/>
      <c r="DW375" s="93"/>
      <c r="DX375" s="20"/>
      <c r="DY375" s="29"/>
      <c r="DZ375" s="1504">
        <v>45870</v>
      </c>
      <c r="EA375" s="19"/>
      <c r="EB375" s="93"/>
      <c r="EC375" s="20"/>
      <c r="ED375" s="29"/>
      <c r="EE375" s="1504">
        <v>45870</v>
      </c>
      <c r="EF375" s="19"/>
      <c r="EG375" s="93"/>
      <c r="EH375" s="93"/>
      <c r="EI375" s="214"/>
      <c r="EJ375" s="93"/>
      <c r="EK375" s="93"/>
      <c r="EL375" s="93"/>
      <c r="EM375" s="93"/>
      <c r="EN375" s="20"/>
      <c r="EO375" s="29"/>
      <c r="EP375" s="1504">
        <v>45870</v>
      </c>
      <c r="EQ375" s="19"/>
      <c r="ER375" s="93"/>
      <c r="ES375" s="93"/>
      <c r="ET375" s="214"/>
      <c r="EU375" s="93"/>
      <c r="EV375" s="93"/>
      <c r="EW375" s="93"/>
      <c r="EX375" s="93"/>
      <c r="EY375" s="20"/>
      <c r="EZ375" s="29"/>
      <c r="FA375" s="1504">
        <v>45870</v>
      </c>
      <c r="FB375" s="29"/>
      <c r="FC375" s="29"/>
      <c r="FD375" s="29"/>
      <c r="FE375" s="29"/>
      <c r="FF375" s="29"/>
      <c r="FG375" s="29"/>
      <c r="FH375" s="29"/>
      <c r="FI375" s="29"/>
      <c r="FJ375" s="29"/>
      <c r="FK375" s="29"/>
      <c r="FL375" s="1504">
        <v>45870</v>
      </c>
      <c r="FM375" s="19"/>
      <c r="FN375" s="93"/>
      <c r="FO375" s="93"/>
      <c r="FP375" s="93"/>
      <c r="FQ375" s="93"/>
      <c r="FR375" s="93"/>
      <c r="FS375" s="93"/>
      <c r="FT375" s="93"/>
      <c r="FU375" s="93"/>
      <c r="FV375" s="93"/>
      <c r="FW375" s="93"/>
      <c r="FX375" s="93"/>
      <c r="FY375" s="93"/>
      <c r="FZ375" s="29"/>
      <c r="GA375" s="1504">
        <v>45870</v>
      </c>
      <c r="GB375" s="19"/>
      <c r="GC375" s="93"/>
      <c r="GD375" s="93"/>
      <c r="GE375" s="93"/>
      <c r="GF375" s="93"/>
      <c r="GG375" s="93"/>
      <c r="GH375" s="93"/>
      <c r="GI375" s="93"/>
      <c r="GJ375" s="93"/>
      <c r="GK375" s="93"/>
      <c r="GL375" s="93"/>
      <c r="GM375" s="93"/>
      <c r="GN375" s="20"/>
      <c r="GO375" s="29"/>
      <c r="GP375" s="1504">
        <v>45870</v>
      </c>
      <c r="GQ375" s="19"/>
      <c r="GR375" s="93"/>
      <c r="GS375" s="93"/>
      <c r="GT375" s="93"/>
      <c r="GU375" s="93"/>
      <c r="GV375" s="20"/>
      <c r="GW375" s="19"/>
      <c r="GX375" s="93"/>
      <c r="GY375" s="93"/>
      <c r="GZ375" s="93"/>
      <c r="HA375" s="93"/>
      <c r="HB375" s="20"/>
      <c r="HC375" s="19"/>
      <c r="HD375" s="93"/>
      <c r="HE375" s="93"/>
      <c r="HF375" s="93"/>
      <c r="HG375" s="93"/>
      <c r="HH375" s="20"/>
      <c r="HI375" s="19"/>
      <c r="HJ375" s="93"/>
      <c r="HK375" s="93"/>
      <c r="HL375" s="93"/>
      <c r="HM375" s="93"/>
      <c r="HN375" s="20"/>
      <c r="HO375" s="219"/>
      <c r="HP375" s="20"/>
      <c r="HQ375" s="25"/>
      <c r="HR375" s="29"/>
      <c r="HS375" s="1504">
        <v>45870</v>
      </c>
      <c r="HT375" s="19"/>
      <c r="HU375" s="93"/>
      <c r="HV375" s="93"/>
      <c r="HW375" s="93"/>
      <c r="HX375" s="93"/>
      <c r="HY375" s="93"/>
      <c r="HZ375" s="93"/>
      <c r="IA375" s="20"/>
      <c r="IB375" s="19"/>
      <c r="IC375" s="93"/>
      <c r="ID375" s="93"/>
      <c r="IE375" s="93"/>
      <c r="IF375" s="93"/>
      <c r="IG375" s="20"/>
      <c r="IH375" s="19"/>
      <c r="II375" s="93"/>
      <c r="IJ375" s="93"/>
      <c r="IK375" s="93"/>
      <c r="IL375" s="93"/>
      <c r="IM375" s="93"/>
      <c r="IN375" s="93"/>
      <c r="IO375" s="20"/>
      <c r="IP375" s="29"/>
      <c r="IQ375" s="19"/>
      <c r="IR375" s="93"/>
      <c r="IS375" s="93"/>
      <c r="IT375" s="93"/>
      <c r="IU375" s="93"/>
      <c r="IV375" s="20"/>
      <c r="IW375" s="29"/>
      <c r="IX375" s="19"/>
      <c r="IY375" s="93"/>
      <c r="IZ375" s="93"/>
      <c r="JA375" s="93"/>
      <c r="JB375" s="93"/>
      <c r="JC375" s="93"/>
      <c r="JD375" s="93"/>
      <c r="JE375" s="20"/>
      <c r="JF375" s="29"/>
      <c r="JG375" s="19"/>
      <c r="JH375" s="93"/>
      <c r="JI375" s="93"/>
      <c r="JJ375" s="93"/>
      <c r="JK375" s="93"/>
      <c r="JL375" s="93"/>
      <c r="JM375" s="93"/>
      <c r="JN375" s="20"/>
      <c r="JO375" s="29"/>
      <c r="JP375" s="19"/>
      <c r="JQ375" s="93"/>
      <c r="JR375" s="93"/>
      <c r="JS375" s="93"/>
      <c r="JT375" s="93"/>
      <c r="JU375" s="20"/>
      <c r="JV375" s="29"/>
      <c r="JW375" s="1504">
        <v>45870</v>
      </c>
      <c r="JX375" s="19"/>
      <c r="JY375" s="93"/>
      <c r="JZ375" s="93"/>
      <c r="KA375" s="93"/>
      <c r="KB375" s="93"/>
      <c r="KC375" s="93"/>
      <c r="KD375" s="20"/>
      <c r="KE375" s="29"/>
      <c r="KF375" s="19"/>
      <c r="KG375" s="93"/>
      <c r="KH375" s="93"/>
      <c r="KI375" s="93"/>
      <c r="KJ375" s="93"/>
      <c r="KK375" s="20"/>
      <c r="KL375" s="29"/>
      <c r="KM375" s="19"/>
      <c r="KN375" s="93"/>
      <c r="KO375" s="93"/>
      <c r="KP375" s="93"/>
      <c r="KQ375" s="93"/>
      <c r="KR375" s="20"/>
      <c r="KS375" s="29"/>
      <c r="KT375" s="19"/>
      <c r="KU375" s="93"/>
      <c r="KV375" s="93"/>
      <c r="KW375" s="93"/>
      <c r="KX375" s="93"/>
      <c r="KY375" s="20"/>
      <c r="KZ375" s="29"/>
      <c r="LA375" s="1504">
        <v>45870</v>
      </c>
      <c r="LB375" s="19"/>
      <c r="LC375" s="93"/>
      <c r="LD375" s="93"/>
      <c r="LE375" s="93"/>
      <c r="LF375" s="93"/>
      <c r="LG375" s="93"/>
      <c r="LH375" s="20"/>
      <c r="LI375" s="29"/>
      <c r="LJ375" s="19"/>
      <c r="LK375" s="93"/>
      <c r="LL375" s="93"/>
      <c r="LM375" s="93"/>
      <c r="LN375" s="93"/>
      <c r="LO375" s="20"/>
      <c r="LP375" s="29"/>
      <c r="LQ375" s="19"/>
      <c r="LR375" s="93"/>
      <c r="LS375" s="93"/>
      <c r="LT375" s="93"/>
      <c r="LU375" s="93"/>
      <c r="LV375" s="93"/>
      <c r="LW375" s="93"/>
      <c r="LX375" s="93"/>
      <c r="LY375" s="93"/>
      <c r="LZ375" s="93"/>
      <c r="MA375" s="20"/>
      <c r="MB375" s="29"/>
      <c r="MC375" s="1504">
        <v>45870</v>
      </c>
      <c r="MD375" s="19"/>
      <c r="ME375" s="93"/>
      <c r="MF375" s="93"/>
      <c r="MG375" s="93"/>
      <c r="MH375" s="93"/>
      <c r="MI375" s="93"/>
      <c r="MJ375" s="93"/>
      <c r="MK375" s="93"/>
      <c r="ML375" s="93"/>
      <c r="MM375" s="93"/>
      <c r="MN375" s="93"/>
      <c r="MO375" s="93"/>
      <c r="MP375" s="93"/>
      <c r="MQ375" s="93"/>
      <c r="MR375" s="93"/>
      <c r="MS375" s="93"/>
      <c r="MT375" s="93"/>
      <c r="MU375" s="93"/>
      <c r="MV375" s="93"/>
      <c r="MW375" s="93"/>
      <c r="MX375" s="93"/>
      <c r="MY375" s="93"/>
      <c r="MZ375" s="93"/>
      <c r="NA375" s="93"/>
      <c r="NB375" s="93"/>
      <c r="NC375" s="93"/>
      <c r="ND375" s="93"/>
      <c r="NE375" s="93"/>
      <c r="NF375" s="93"/>
      <c r="NG375" s="93"/>
      <c r="NH375" s="93"/>
      <c r="NI375" s="93"/>
      <c r="NJ375" s="93"/>
      <c r="NK375" s="93"/>
      <c r="NL375" s="93"/>
      <c r="NM375" s="93"/>
      <c r="NN375" s="93"/>
      <c r="NO375" s="93"/>
      <c r="NP375" s="93"/>
      <c r="NQ375" s="93"/>
      <c r="NR375" s="93"/>
      <c r="NS375" s="93"/>
      <c r="NT375" s="93"/>
      <c r="NU375" s="93"/>
      <c r="NV375" s="93"/>
      <c r="NW375" s="93"/>
      <c r="NX375" s="93"/>
      <c r="NY375" s="93"/>
      <c r="NZ375" s="93"/>
      <c r="OA375" s="93"/>
      <c r="OB375" s="93"/>
      <c r="OC375" s="93"/>
      <c r="OD375" s="20"/>
      <c r="OE375" s="29"/>
      <c r="OF375" s="1504">
        <v>45870</v>
      </c>
      <c r="OG375" s="19"/>
      <c r="OH375" s="93"/>
      <c r="OI375" s="93"/>
      <c r="OJ375" s="93"/>
      <c r="OK375" s="93"/>
      <c r="OL375" s="93"/>
      <c r="OM375" s="93"/>
      <c r="ON375" s="93"/>
      <c r="OO375" s="93"/>
      <c r="OP375" s="93"/>
      <c r="OQ375" s="93"/>
      <c r="OR375" s="93"/>
      <c r="OS375" s="93"/>
      <c r="OT375" s="93"/>
      <c r="OU375" s="93"/>
      <c r="OV375" s="93"/>
      <c r="OW375" s="93"/>
      <c r="OX375" s="93"/>
      <c r="OY375" s="93"/>
      <c r="OZ375" s="93"/>
      <c r="PA375" s="93"/>
      <c r="PB375" s="93"/>
      <c r="PC375" s="20"/>
      <c r="PD375" s="29"/>
      <c r="PE375" s="19"/>
      <c r="PF375" s="93"/>
      <c r="PG375" s="93"/>
      <c r="PH375" s="93"/>
      <c r="PI375" s="93"/>
      <c r="PJ375" s="93"/>
      <c r="PK375" s="93"/>
      <c r="PL375" s="93"/>
      <c r="PM375" s="93"/>
      <c r="PN375" s="93"/>
      <c r="PO375" s="93"/>
      <c r="PP375" s="93"/>
      <c r="PQ375" s="93"/>
      <c r="PR375" s="93"/>
      <c r="PS375" s="93"/>
      <c r="PT375" s="93"/>
      <c r="PU375" s="93"/>
      <c r="PV375" s="93"/>
      <c r="PW375" s="93"/>
      <c r="PX375" s="93"/>
      <c r="PY375" s="93"/>
      <c r="PZ375" s="93"/>
      <c r="QA375" s="93"/>
      <c r="QB375" s="93"/>
      <c r="QC375" s="93"/>
      <c r="QD375" s="93"/>
      <c r="QE375" s="20"/>
      <c r="QF375" s="1739"/>
      <c r="QG375" s="19"/>
      <c r="QH375" s="93"/>
      <c r="QI375" s="93"/>
      <c r="QJ375" s="93"/>
      <c r="QK375" s="93"/>
      <c r="QL375" s="93"/>
      <c r="QM375" s="93"/>
      <c r="QN375" s="93"/>
      <c r="QO375" s="93"/>
      <c r="QP375" s="93"/>
      <c r="QQ375" s="93"/>
      <c r="QR375" s="93"/>
      <c r="QS375" s="93"/>
      <c r="QT375" s="93"/>
      <c r="QU375" s="93"/>
      <c r="QV375" s="93"/>
      <c r="QW375" s="93"/>
      <c r="QX375" s="93"/>
      <c r="QY375" s="93"/>
      <c r="QZ375" s="93"/>
      <c r="RA375" s="93"/>
      <c r="RB375" s="93"/>
      <c r="RC375" s="93"/>
      <c r="RD375" s="93"/>
      <c r="RE375" s="93"/>
      <c r="RF375" s="93"/>
      <c r="RG375" s="93"/>
      <c r="RH375" s="93"/>
      <c r="RI375" s="93"/>
      <c r="RJ375" s="93"/>
      <c r="RK375" s="93"/>
      <c r="RL375" s="93"/>
      <c r="RM375" s="20"/>
      <c r="RN375" s="29"/>
      <c r="RO375" s="19"/>
      <c r="RP375" s="20"/>
      <c r="RQ375" s="29"/>
      <c r="RR375" s="20"/>
      <c r="RS375" s="29"/>
      <c r="RT375" s="1504">
        <v>45870</v>
      </c>
      <c r="RU375" s="19"/>
      <c r="RV375" s="20"/>
      <c r="RW375" s="29"/>
      <c r="RX375" s="1504">
        <v>45870</v>
      </c>
      <c r="RY375" s="29"/>
      <c r="RZ375" s="20"/>
      <c r="SA375" s="29"/>
      <c r="SB375" s="29"/>
    </row>
    <row r="376" spans="1:496">
      <c r="A376" s="41">
        <f t="shared" si="346"/>
        <v>2025</v>
      </c>
      <c r="B376" s="1504">
        <v>45901</v>
      </c>
      <c r="C376" s="1813"/>
      <c r="D376" s="1814"/>
      <c r="E376" s="1814"/>
      <c r="F376" s="1815"/>
      <c r="G376" s="1814"/>
      <c r="H376" s="1814"/>
      <c r="I376" s="1814"/>
      <c r="J376" s="1816"/>
      <c r="K376" s="1807"/>
      <c r="L376" s="25"/>
      <c r="M376" s="97"/>
      <c r="N376" s="1504">
        <v>45901</v>
      </c>
      <c r="O376" s="19"/>
      <c r="P376" s="93"/>
      <c r="Q376" s="93"/>
      <c r="R376" s="93"/>
      <c r="S376" s="93"/>
      <c r="T376" s="93"/>
      <c r="U376" s="93"/>
      <c r="V376" s="93"/>
      <c r="W376" s="93"/>
      <c r="X376" s="93"/>
      <c r="Y376" s="93"/>
      <c r="Z376" s="93"/>
      <c r="AA376" s="93"/>
      <c r="AB376" s="20"/>
      <c r="AC376" s="25"/>
      <c r="AD376" s="97"/>
      <c r="AE376" s="1504">
        <v>45901</v>
      </c>
      <c r="AF376" s="19"/>
      <c r="AG376" s="93"/>
      <c r="AH376" s="93"/>
      <c r="AI376" s="93"/>
      <c r="AJ376" s="93"/>
      <c r="AK376" s="93"/>
      <c r="AL376" s="93"/>
      <c r="AM376" s="93"/>
      <c r="AN376" s="93"/>
      <c r="AO376" s="93"/>
      <c r="AP376" s="93"/>
      <c r="AQ376" s="93"/>
      <c r="AR376" s="93"/>
      <c r="AS376" s="20"/>
      <c r="AT376" s="25"/>
      <c r="AU376" s="97"/>
      <c r="AV376" s="1504">
        <v>45901</v>
      </c>
      <c r="AW376" s="19"/>
      <c r="AX376" s="93"/>
      <c r="AY376" s="93"/>
      <c r="AZ376" s="93"/>
      <c r="BA376" s="93"/>
      <c r="BB376" s="93"/>
      <c r="BC376" s="93"/>
      <c r="BD376" s="93"/>
      <c r="BE376" s="93"/>
      <c r="BF376" s="93"/>
      <c r="BG376" s="93"/>
      <c r="BH376" s="93"/>
      <c r="BI376" s="93"/>
      <c r="BJ376" s="20"/>
      <c r="BK376" s="25"/>
      <c r="BL376" s="97"/>
      <c r="BM376" s="1504">
        <v>45901</v>
      </c>
      <c r="BN376" s="19"/>
      <c r="BO376" s="93"/>
      <c r="BP376" s="93"/>
      <c r="BQ376" s="93"/>
      <c r="BR376" s="93"/>
      <c r="BS376" s="93"/>
      <c r="BT376" s="93"/>
      <c r="BU376" s="20"/>
      <c r="BV376" s="25"/>
      <c r="BW376" s="97"/>
      <c r="BX376" s="1504">
        <v>45901</v>
      </c>
      <c r="BY376" s="19"/>
      <c r="BZ376" s="93"/>
      <c r="CA376" s="93"/>
      <c r="CB376" s="93"/>
      <c r="CC376" s="93"/>
      <c r="CD376" s="25"/>
      <c r="CE376" s="97"/>
      <c r="CF376" s="1504">
        <v>45901</v>
      </c>
      <c r="CG376" s="19"/>
      <c r="CH376" s="93"/>
      <c r="CI376" s="219"/>
      <c r="CJ376" s="20"/>
      <c r="CK376" s="19"/>
      <c r="CL376" s="93"/>
      <c r="CM376" s="93"/>
      <c r="CN376" s="93"/>
      <c r="CO376" s="93"/>
      <c r="CP376" s="20"/>
      <c r="CQ376" s="219"/>
      <c r="CR376" s="93"/>
      <c r="CS376" s="93"/>
      <c r="CT376" s="93"/>
      <c r="CU376" s="93"/>
      <c r="CV376" s="214"/>
      <c r="CW376" s="29"/>
      <c r="CX376" s="41">
        <f t="shared" si="319"/>
        <v>2025</v>
      </c>
      <c r="CY376" s="1504">
        <v>45901</v>
      </c>
      <c r="CZ376" s="19"/>
      <c r="DA376" s="93"/>
      <c r="DB376" s="93"/>
      <c r="DC376" s="93"/>
      <c r="DD376" s="93"/>
      <c r="DE376" s="20"/>
      <c r="DF376" s="29"/>
      <c r="DG376" s="1504">
        <v>45901</v>
      </c>
      <c r="DH376" s="19"/>
      <c r="DI376" s="93"/>
      <c r="DJ376" s="93"/>
      <c r="DK376" s="93"/>
      <c r="DL376" s="93"/>
      <c r="DM376" s="93"/>
      <c r="DN376" s="20"/>
      <c r="DO376" s="295"/>
      <c r="DP376" s="29"/>
      <c r="DQ376" s="1504">
        <v>45901</v>
      </c>
      <c r="DR376" s="19"/>
      <c r="DS376" s="93"/>
      <c r="DT376" s="93"/>
      <c r="DU376" s="93"/>
      <c r="DV376" s="93"/>
      <c r="DW376" s="93"/>
      <c r="DX376" s="20"/>
      <c r="DY376" s="29"/>
      <c r="DZ376" s="1504">
        <v>45901</v>
      </c>
      <c r="EA376" s="19"/>
      <c r="EB376" s="93"/>
      <c r="EC376" s="20"/>
      <c r="ED376" s="29"/>
      <c r="EE376" s="1504">
        <v>45901</v>
      </c>
      <c r="EF376" s="19"/>
      <c r="EG376" s="93"/>
      <c r="EH376" s="93"/>
      <c r="EI376" s="214"/>
      <c r="EJ376" s="93"/>
      <c r="EK376" s="93"/>
      <c r="EL376" s="93"/>
      <c r="EM376" s="93"/>
      <c r="EN376" s="20"/>
      <c r="EO376" s="29"/>
      <c r="EP376" s="1504">
        <v>45901</v>
      </c>
      <c r="EQ376" s="19"/>
      <c r="ER376" s="93"/>
      <c r="ES376" s="93"/>
      <c r="ET376" s="214"/>
      <c r="EU376" s="93"/>
      <c r="EV376" s="93"/>
      <c r="EW376" s="93"/>
      <c r="EX376" s="93"/>
      <c r="EY376" s="20"/>
      <c r="EZ376" s="29"/>
      <c r="FA376" s="1504">
        <v>45901</v>
      </c>
      <c r="FB376" s="29"/>
      <c r="FC376" s="29"/>
      <c r="FD376" s="29"/>
      <c r="FE376" s="29"/>
      <c r="FF376" s="29"/>
      <c r="FG376" s="29"/>
      <c r="FH376" s="29"/>
      <c r="FI376" s="29"/>
      <c r="FJ376" s="29"/>
      <c r="FK376" s="29"/>
      <c r="FL376" s="1504">
        <v>45901</v>
      </c>
      <c r="FM376" s="19"/>
      <c r="FN376" s="93"/>
      <c r="FO376" s="93"/>
      <c r="FP376" s="93"/>
      <c r="FQ376" s="93"/>
      <c r="FR376" s="93"/>
      <c r="FS376" s="93"/>
      <c r="FT376" s="93"/>
      <c r="FU376" s="93"/>
      <c r="FV376" s="93"/>
      <c r="FW376" s="93"/>
      <c r="FX376" s="93"/>
      <c r="FY376" s="93"/>
      <c r="FZ376" s="29"/>
      <c r="GA376" s="1504">
        <v>45901</v>
      </c>
      <c r="GB376" s="19"/>
      <c r="GC376" s="93"/>
      <c r="GD376" s="93"/>
      <c r="GE376" s="93"/>
      <c r="GF376" s="93"/>
      <c r="GG376" s="93"/>
      <c r="GH376" s="93"/>
      <c r="GI376" s="93"/>
      <c r="GJ376" s="93"/>
      <c r="GK376" s="93"/>
      <c r="GL376" s="93"/>
      <c r="GM376" s="93"/>
      <c r="GN376" s="20"/>
      <c r="GO376" s="29"/>
      <c r="GP376" s="1504">
        <v>45901</v>
      </c>
      <c r="GQ376" s="19"/>
      <c r="GR376" s="93"/>
      <c r="GS376" s="93"/>
      <c r="GT376" s="93"/>
      <c r="GU376" s="93"/>
      <c r="GV376" s="20"/>
      <c r="GW376" s="19"/>
      <c r="GX376" s="93"/>
      <c r="GY376" s="93"/>
      <c r="GZ376" s="93"/>
      <c r="HA376" s="93"/>
      <c r="HB376" s="20"/>
      <c r="HC376" s="19"/>
      <c r="HD376" s="93"/>
      <c r="HE376" s="93"/>
      <c r="HF376" s="93"/>
      <c r="HG376" s="93"/>
      <c r="HH376" s="20"/>
      <c r="HI376" s="19"/>
      <c r="HJ376" s="93"/>
      <c r="HK376" s="93"/>
      <c r="HL376" s="93"/>
      <c r="HM376" s="93"/>
      <c r="HN376" s="20"/>
      <c r="HO376" s="219"/>
      <c r="HP376" s="20"/>
      <c r="HQ376" s="25"/>
      <c r="HR376" s="29"/>
      <c r="HS376" s="1504">
        <v>45901</v>
      </c>
      <c r="HT376" s="19"/>
      <c r="HU376" s="93"/>
      <c r="HV376" s="93"/>
      <c r="HW376" s="93"/>
      <c r="HX376" s="93"/>
      <c r="HY376" s="93"/>
      <c r="HZ376" s="93"/>
      <c r="IA376" s="20"/>
      <c r="IB376" s="19"/>
      <c r="IC376" s="93"/>
      <c r="ID376" s="93"/>
      <c r="IE376" s="93"/>
      <c r="IF376" s="93"/>
      <c r="IG376" s="20"/>
      <c r="IH376" s="19"/>
      <c r="II376" s="93"/>
      <c r="IJ376" s="93"/>
      <c r="IK376" s="93"/>
      <c r="IL376" s="93"/>
      <c r="IM376" s="93"/>
      <c r="IN376" s="93"/>
      <c r="IO376" s="20"/>
      <c r="IP376" s="29"/>
      <c r="IQ376" s="19"/>
      <c r="IR376" s="93"/>
      <c r="IS376" s="93"/>
      <c r="IT376" s="93"/>
      <c r="IU376" s="93"/>
      <c r="IV376" s="20"/>
      <c r="IW376" s="29"/>
      <c r="IX376" s="19"/>
      <c r="IY376" s="93"/>
      <c r="IZ376" s="93"/>
      <c r="JA376" s="93"/>
      <c r="JB376" s="93"/>
      <c r="JC376" s="93"/>
      <c r="JD376" s="93"/>
      <c r="JE376" s="20"/>
      <c r="JF376" s="29"/>
      <c r="JG376" s="19"/>
      <c r="JH376" s="93"/>
      <c r="JI376" s="93"/>
      <c r="JJ376" s="93"/>
      <c r="JK376" s="93"/>
      <c r="JL376" s="93"/>
      <c r="JM376" s="93"/>
      <c r="JN376" s="20"/>
      <c r="JO376" s="29"/>
      <c r="JP376" s="19"/>
      <c r="JQ376" s="93"/>
      <c r="JR376" s="93"/>
      <c r="JS376" s="93"/>
      <c r="JT376" s="93"/>
      <c r="JU376" s="20"/>
      <c r="JV376" s="29"/>
      <c r="JW376" s="1504">
        <v>45901</v>
      </c>
      <c r="JX376" s="19"/>
      <c r="JY376" s="93"/>
      <c r="JZ376" s="93"/>
      <c r="KA376" s="93"/>
      <c r="KB376" s="93"/>
      <c r="KC376" s="93"/>
      <c r="KD376" s="20"/>
      <c r="KE376" s="29"/>
      <c r="KF376" s="19"/>
      <c r="KG376" s="93"/>
      <c r="KH376" s="93"/>
      <c r="KI376" s="93"/>
      <c r="KJ376" s="93"/>
      <c r="KK376" s="20"/>
      <c r="KL376" s="29"/>
      <c r="KM376" s="19"/>
      <c r="KN376" s="93"/>
      <c r="KO376" s="93"/>
      <c r="KP376" s="93"/>
      <c r="KQ376" s="93"/>
      <c r="KR376" s="20"/>
      <c r="KS376" s="29"/>
      <c r="KT376" s="19"/>
      <c r="KU376" s="93"/>
      <c r="KV376" s="93"/>
      <c r="KW376" s="93"/>
      <c r="KX376" s="93"/>
      <c r="KY376" s="20"/>
      <c r="KZ376" s="29"/>
      <c r="LA376" s="1504">
        <v>45901</v>
      </c>
      <c r="LB376" s="19"/>
      <c r="LC376" s="93"/>
      <c r="LD376" s="93"/>
      <c r="LE376" s="93"/>
      <c r="LF376" s="93"/>
      <c r="LG376" s="93"/>
      <c r="LH376" s="20"/>
      <c r="LI376" s="29"/>
      <c r="LJ376" s="19"/>
      <c r="LK376" s="93"/>
      <c r="LL376" s="93"/>
      <c r="LM376" s="93"/>
      <c r="LN376" s="93"/>
      <c r="LO376" s="20"/>
      <c r="LP376" s="29"/>
      <c r="LQ376" s="19"/>
      <c r="LR376" s="93"/>
      <c r="LS376" s="93"/>
      <c r="LT376" s="93"/>
      <c r="LU376" s="93"/>
      <c r="LV376" s="93"/>
      <c r="LW376" s="93"/>
      <c r="LX376" s="93"/>
      <c r="LY376" s="93"/>
      <c r="LZ376" s="93"/>
      <c r="MA376" s="20"/>
      <c r="MB376" s="29"/>
      <c r="MC376" s="1504">
        <v>45901</v>
      </c>
      <c r="MD376" s="19"/>
      <c r="ME376" s="93"/>
      <c r="MF376" s="93"/>
      <c r="MG376" s="93"/>
      <c r="MH376" s="93"/>
      <c r="MI376" s="93"/>
      <c r="MJ376" s="93"/>
      <c r="MK376" s="93"/>
      <c r="ML376" s="93"/>
      <c r="MM376" s="93"/>
      <c r="MN376" s="93"/>
      <c r="MO376" s="93"/>
      <c r="MP376" s="93"/>
      <c r="MQ376" s="93"/>
      <c r="MR376" s="93"/>
      <c r="MS376" s="93"/>
      <c r="MT376" s="93"/>
      <c r="MU376" s="93"/>
      <c r="MV376" s="93"/>
      <c r="MW376" s="93"/>
      <c r="MX376" s="93"/>
      <c r="MY376" s="93"/>
      <c r="MZ376" s="93"/>
      <c r="NA376" s="93"/>
      <c r="NB376" s="93"/>
      <c r="NC376" s="93"/>
      <c r="ND376" s="93"/>
      <c r="NE376" s="93"/>
      <c r="NF376" s="93"/>
      <c r="NG376" s="93"/>
      <c r="NH376" s="93"/>
      <c r="NI376" s="93"/>
      <c r="NJ376" s="93"/>
      <c r="NK376" s="93"/>
      <c r="NL376" s="93"/>
      <c r="NM376" s="93"/>
      <c r="NN376" s="93"/>
      <c r="NO376" s="93"/>
      <c r="NP376" s="93"/>
      <c r="NQ376" s="93"/>
      <c r="NR376" s="93"/>
      <c r="NS376" s="93"/>
      <c r="NT376" s="93"/>
      <c r="NU376" s="93"/>
      <c r="NV376" s="93"/>
      <c r="NW376" s="93"/>
      <c r="NX376" s="93"/>
      <c r="NY376" s="93"/>
      <c r="NZ376" s="93"/>
      <c r="OA376" s="93"/>
      <c r="OB376" s="93"/>
      <c r="OC376" s="93"/>
      <c r="OD376" s="20"/>
      <c r="OE376" s="29"/>
      <c r="OF376" s="1504">
        <v>45901</v>
      </c>
      <c r="OG376" s="19"/>
      <c r="OH376" s="93"/>
      <c r="OI376" s="93"/>
      <c r="OJ376" s="93"/>
      <c r="OK376" s="93"/>
      <c r="OL376" s="93"/>
      <c r="OM376" s="93"/>
      <c r="ON376" s="93"/>
      <c r="OO376" s="93"/>
      <c r="OP376" s="93"/>
      <c r="OQ376" s="93"/>
      <c r="OR376" s="93"/>
      <c r="OS376" s="93"/>
      <c r="OT376" s="93"/>
      <c r="OU376" s="93"/>
      <c r="OV376" s="93"/>
      <c r="OW376" s="93"/>
      <c r="OX376" s="93"/>
      <c r="OY376" s="93"/>
      <c r="OZ376" s="93"/>
      <c r="PA376" s="93"/>
      <c r="PB376" s="93"/>
      <c r="PC376" s="20"/>
      <c r="PD376" s="29"/>
      <c r="PE376" s="19"/>
      <c r="PF376" s="93"/>
      <c r="PG376" s="93"/>
      <c r="PH376" s="93"/>
      <c r="PI376" s="93"/>
      <c r="PJ376" s="93"/>
      <c r="PK376" s="93"/>
      <c r="PL376" s="93"/>
      <c r="PM376" s="93"/>
      <c r="PN376" s="93"/>
      <c r="PO376" s="93"/>
      <c r="PP376" s="93"/>
      <c r="PQ376" s="93"/>
      <c r="PR376" s="93"/>
      <c r="PS376" s="93"/>
      <c r="PT376" s="93"/>
      <c r="PU376" s="93"/>
      <c r="PV376" s="93"/>
      <c r="PW376" s="93"/>
      <c r="PX376" s="93"/>
      <c r="PY376" s="93"/>
      <c r="PZ376" s="93"/>
      <c r="QA376" s="93"/>
      <c r="QB376" s="93"/>
      <c r="QC376" s="93"/>
      <c r="QD376" s="93"/>
      <c r="QE376" s="20"/>
      <c r="QF376" s="1739"/>
      <c r="QG376" s="19"/>
      <c r="QH376" s="93"/>
      <c r="QI376" s="93"/>
      <c r="QJ376" s="93"/>
      <c r="QK376" s="93"/>
      <c r="QL376" s="93"/>
      <c r="QM376" s="93"/>
      <c r="QN376" s="93"/>
      <c r="QO376" s="93"/>
      <c r="QP376" s="93"/>
      <c r="QQ376" s="93"/>
      <c r="QR376" s="93"/>
      <c r="QS376" s="93"/>
      <c r="QT376" s="93"/>
      <c r="QU376" s="93"/>
      <c r="QV376" s="93"/>
      <c r="QW376" s="93"/>
      <c r="QX376" s="93"/>
      <c r="QY376" s="93"/>
      <c r="QZ376" s="93"/>
      <c r="RA376" s="93"/>
      <c r="RB376" s="93"/>
      <c r="RC376" s="93"/>
      <c r="RD376" s="93"/>
      <c r="RE376" s="93"/>
      <c r="RF376" s="93"/>
      <c r="RG376" s="93"/>
      <c r="RH376" s="93"/>
      <c r="RI376" s="93"/>
      <c r="RJ376" s="93"/>
      <c r="RK376" s="93"/>
      <c r="RL376" s="93"/>
      <c r="RM376" s="20"/>
      <c r="RN376" s="29"/>
      <c r="RO376" s="19"/>
      <c r="RP376" s="20"/>
      <c r="RQ376" s="29"/>
      <c r="RR376" s="20"/>
      <c r="RS376" s="29"/>
      <c r="RT376" s="1504">
        <v>45901</v>
      </c>
      <c r="RU376" s="19"/>
      <c r="RV376" s="20"/>
      <c r="RW376" s="29"/>
      <c r="RX376" s="1504">
        <v>45901</v>
      </c>
      <c r="RY376" s="29"/>
      <c r="RZ376" s="20"/>
      <c r="SA376" s="29"/>
      <c r="SB376" s="29"/>
    </row>
    <row r="377" spans="1:496">
      <c r="A377" s="41">
        <f t="shared" si="346"/>
        <v>2025</v>
      </c>
      <c r="B377" s="1504">
        <v>45931</v>
      </c>
      <c r="C377" s="1813"/>
      <c r="D377" s="1814"/>
      <c r="E377" s="1814"/>
      <c r="F377" s="1815"/>
      <c r="G377" s="1814"/>
      <c r="H377" s="1814"/>
      <c r="I377" s="1814"/>
      <c r="J377" s="1816"/>
      <c r="K377" s="1807"/>
      <c r="L377" s="25"/>
      <c r="M377" s="97"/>
      <c r="N377" s="1504">
        <v>45931</v>
      </c>
      <c r="O377" s="19"/>
      <c r="P377" s="93"/>
      <c r="Q377" s="93"/>
      <c r="R377" s="93"/>
      <c r="S377" s="93"/>
      <c r="T377" s="93"/>
      <c r="U377" s="93"/>
      <c r="V377" s="93"/>
      <c r="W377" s="93"/>
      <c r="X377" s="93"/>
      <c r="Y377" s="93"/>
      <c r="Z377" s="93"/>
      <c r="AA377" s="93"/>
      <c r="AB377" s="20"/>
      <c r="AC377" s="25"/>
      <c r="AD377" s="97"/>
      <c r="AE377" s="1504">
        <v>45931</v>
      </c>
      <c r="AF377" s="19"/>
      <c r="AG377" s="93"/>
      <c r="AH377" s="93"/>
      <c r="AI377" s="93"/>
      <c r="AJ377" s="93"/>
      <c r="AK377" s="93"/>
      <c r="AL377" s="93"/>
      <c r="AM377" s="93"/>
      <c r="AN377" s="93"/>
      <c r="AO377" s="93"/>
      <c r="AP377" s="93"/>
      <c r="AQ377" s="93"/>
      <c r="AR377" s="93"/>
      <c r="AS377" s="20"/>
      <c r="AT377" s="25"/>
      <c r="AU377" s="97"/>
      <c r="AV377" s="1504">
        <v>45931</v>
      </c>
      <c r="AW377" s="19"/>
      <c r="AX377" s="93"/>
      <c r="AY377" s="93"/>
      <c r="AZ377" s="93"/>
      <c r="BA377" s="93"/>
      <c r="BB377" s="93"/>
      <c r="BC377" s="93"/>
      <c r="BD377" s="93"/>
      <c r="BE377" s="93"/>
      <c r="BF377" s="93"/>
      <c r="BG377" s="93"/>
      <c r="BH377" s="93"/>
      <c r="BI377" s="93"/>
      <c r="BJ377" s="20"/>
      <c r="BK377" s="25"/>
      <c r="BL377" s="97"/>
      <c r="BM377" s="1504">
        <v>45931</v>
      </c>
      <c r="BN377" s="19"/>
      <c r="BO377" s="93"/>
      <c r="BP377" s="93"/>
      <c r="BQ377" s="93"/>
      <c r="BR377" s="93"/>
      <c r="BS377" s="93"/>
      <c r="BT377" s="93"/>
      <c r="BU377" s="20"/>
      <c r="BV377" s="25"/>
      <c r="BW377" s="97"/>
      <c r="BX377" s="1504">
        <v>45931</v>
      </c>
      <c r="BY377" s="19"/>
      <c r="BZ377" s="93"/>
      <c r="CA377" s="93"/>
      <c r="CB377" s="93"/>
      <c r="CC377" s="93"/>
      <c r="CD377" s="25"/>
      <c r="CE377" s="97"/>
      <c r="CF377" s="1504">
        <v>45931</v>
      </c>
      <c r="CG377" s="19"/>
      <c r="CH377" s="93"/>
      <c r="CI377" s="219"/>
      <c r="CJ377" s="20"/>
      <c r="CK377" s="19"/>
      <c r="CL377" s="93"/>
      <c r="CM377" s="93"/>
      <c r="CN377" s="93"/>
      <c r="CO377" s="93"/>
      <c r="CP377" s="20"/>
      <c r="CQ377" s="219"/>
      <c r="CR377" s="93"/>
      <c r="CS377" s="93"/>
      <c r="CT377" s="93"/>
      <c r="CU377" s="93"/>
      <c r="CV377" s="214"/>
      <c r="CW377" s="29"/>
      <c r="CX377" s="41">
        <f t="shared" si="319"/>
        <v>2025</v>
      </c>
      <c r="CY377" s="1504">
        <v>45931</v>
      </c>
      <c r="CZ377" s="19"/>
      <c r="DA377" s="93"/>
      <c r="DB377" s="93"/>
      <c r="DC377" s="93"/>
      <c r="DD377" s="93"/>
      <c r="DE377" s="20"/>
      <c r="DF377" s="29"/>
      <c r="DG377" s="1504">
        <v>45931</v>
      </c>
      <c r="DH377" s="19"/>
      <c r="DI377" s="93"/>
      <c r="DJ377" s="93"/>
      <c r="DK377" s="93"/>
      <c r="DL377" s="93"/>
      <c r="DM377" s="93"/>
      <c r="DN377" s="20"/>
      <c r="DO377" s="295"/>
      <c r="DP377" s="29"/>
      <c r="DQ377" s="1504">
        <v>45931</v>
      </c>
      <c r="DR377" s="19"/>
      <c r="DS377" s="93"/>
      <c r="DT377" s="93"/>
      <c r="DU377" s="93"/>
      <c r="DV377" s="93"/>
      <c r="DW377" s="93"/>
      <c r="DX377" s="20"/>
      <c r="DY377" s="29"/>
      <c r="DZ377" s="1504">
        <v>45931</v>
      </c>
      <c r="EA377" s="19"/>
      <c r="EB377" s="93"/>
      <c r="EC377" s="20"/>
      <c r="ED377" s="29"/>
      <c r="EE377" s="1504">
        <v>45931</v>
      </c>
      <c r="EF377" s="19"/>
      <c r="EG377" s="93"/>
      <c r="EH377" s="93"/>
      <c r="EI377" s="214"/>
      <c r="EJ377" s="93"/>
      <c r="EK377" s="93"/>
      <c r="EL377" s="93"/>
      <c r="EM377" s="93"/>
      <c r="EN377" s="20"/>
      <c r="EO377" s="29"/>
      <c r="EP377" s="1504">
        <v>45931</v>
      </c>
      <c r="EQ377" s="19"/>
      <c r="ER377" s="93"/>
      <c r="ES377" s="93"/>
      <c r="ET377" s="214"/>
      <c r="EU377" s="93"/>
      <c r="EV377" s="93"/>
      <c r="EW377" s="93"/>
      <c r="EX377" s="93"/>
      <c r="EY377" s="20"/>
      <c r="EZ377" s="29"/>
      <c r="FA377" s="1504">
        <v>45931</v>
      </c>
      <c r="FB377" s="29"/>
      <c r="FC377" s="29"/>
      <c r="FD377" s="29"/>
      <c r="FE377" s="29"/>
      <c r="FF377" s="29"/>
      <c r="FG377" s="29"/>
      <c r="FH377" s="29"/>
      <c r="FI377" s="29"/>
      <c r="FJ377" s="29"/>
      <c r="FK377" s="29"/>
      <c r="FL377" s="1504">
        <v>45931</v>
      </c>
      <c r="FM377" s="19"/>
      <c r="FN377" s="93"/>
      <c r="FO377" s="93"/>
      <c r="FP377" s="93"/>
      <c r="FQ377" s="93"/>
      <c r="FR377" s="93"/>
      <c r="FS377" s="93"/>
      <c r="FT377" s="93"/>
      <c r="FU377" s="93"/>
      <c r="FV377" s="93"/>
      <c r="FW377" s="93"/>
      <c r="FX377" s="93"/>
      <c r="FY377" s="93"/>
      <c r="FZ377" s="29"/>
      <c r="GA377" s="1504">
        <v>45931</v>
      </c>
      <c r="GB377" s="19"/>
      <c r="GC377" s="93"/>
      <c r="GD377" s="93"/>
      <c r="GE377" s="93"/>
      <c r="GF377" s="93"/>
      <c r="GG377" s="93"/>
      <c r="GH377" s="93"/>
      <c r="GI377" s="93"/>
      <c r="GJ377" s="93"/>
      <c r="GK377" s="93"/>
      <c r="GL377" s="93"/>
      <c r="GM377" s="93"/>
      <c r="GN377" s="20"/>
      <c r="GO377" s="29"/>
      <c r="GP377" s="1504">
        <v>45931</v>
      </c>
      <c r="GQ377" s="19"/>
      <c r="GR377" s="93"/>
      <c r="GS377" s="93"/>
      <c r="GT377" s="93"/>
      <c r="GU377" s="93"/>
      <c r="GV377" s="20"/>
      <c r="GW377" s="19"/>
      <c r="GX377" s="93"/>
      <c r="GY377" s="93"/>
      <c r="GZ377" s="93"/>
      <c r="HA377" s="93"/>
      <c r="HB377" s="20"/>
      <c r="HC377" s="19"/>
      <c r="HD377" s="93"/>
      <c r="HE377" s="93"/>
      <c r="HF377" s="93"/>
      <c r="HG377" s="93"/>
      <c r="HH377" s="20"/>
      <c r="HI377" s="19"/>
      <c r="HJ377" s="93"/>
      <c r="HK377" s="93"/>
      <c r="HL377" s="93"/>
      <c r="HM377" s="93"/>
      <c r="HN377" s="20"/>
      <c r="HO377" s="219"/>
      <c r="HP377" s="20"/>
      <c r="HQ377" s="25"/>
      <c r="HR377" s="29"/>
      <c r="HS377" s="1504">
        <v>45931</v>
      </c>
      <c r="HT377" s="19"/>
      <c r="HU377" s="93"/>
      <c r="HV377" s="93"/>
      <c r="HW377" s="93"/>
      <c r="HX377" s="93"/>
      <c r="HY377" s="93"/>
      <c r="HZ377" s="93"/>
      <c r="IA377" s="20"/>
      <c r="IB377" s="19"/>
      <c r="IC377" s="93"/>
      <c r="ID377" s="93"/>
      <c r="IE377" s="93"/>
      <c r="IF377" s="93"/>
      <c r="IG377" s="20"/>
      <c r="IH377" s="19"/>
      <c r="II377" s="93"/>
      <c r="IJ377" s="93"/>
      <c r="IK377" s="93"/>
      <c r="IL377" s="93"/>
      <c r="IM377" s="93"/>
      <c r="IN377" s="93"/>
      <c r="IO377" s="20"/>
      <c r="IP377" s="29"/>
      <c r="IQ377" s="19"/>
      <c r="IR377" s="93"/>
      <c r="IS377" s="93"/>
      <c r="IT377" s="93"/>
      <c r="IU377" s="93"/>
      <c r="IV377" s="20"/>
      <c r="IW377" s="29"/>
      <c r="IX377" s="19"/>
      <c r="IY377" s="93"/>
      <c r="IZ377" s="93"/>
      <c r="JA377" s="93"/>
      <c r="JB377" s="93"/>
      <c r="JC377" s="93"/>
      <c r="JD377" s="93"/>
      <c r="JE377" s="20"/>
      <c r="JF377" s="29"/>
      <c r="JG377" s="19"/>
      <c r="JH377" s="93"/>
      <c r="JI377" s="93"/>
      <c r="JJ377" s="93"/>
      <c r="JK377" s="93"/>
      <c r="JL377" s="93"/>
      <c r="JM377" s="93"/>
      <c r="JN377" s="20"/>
      <c r="JO377" s="29"/>
      <c r="JP377" s="19"/>
      <c r="JQ377" s="93"/>
      <c r="JR377" s="93"/>
      <c r="JS377" s="93"/>
      <c r="JT377" s="93"/>
      <c r="JU377" s="20"/>
      <c r="JV377" s="29"/>
      <c r="JW377" s="1504">
        <v>45931</v>
      </c>
      <c r="JX377" s="19"/>
      <c r="JY377" s="93"/>
      <c r="JZ377" s="93"/>
      <c r="KA377" s="93"/>
      <c r="KB377" s="93"/>
      <c r="KC377" s="93"/>
      <c r="KD377" s="20"/>
      <c r="KE377" s="29"/>
      <c r="KF377" s="19"/>
      <c r="KG377" s="93"/>
      <c r="KH377" s="93"/>
      <c r="KI377" s="93"/>
      <c r="KJ377" s="93"/>
      <c r="KK377" s="20"/>
      <c r="KL377" s="29"/>
      <c r="KM377" s="19"/>
      <c r="KN377" s="93"/>
      <c r="KO377" s="93"/>
      <c r="KP377" s="93"/>
      <c r="KQ377" s="93"/>
      <c r="KR377" s="20"/>
      <c r="KS377" s="29"/>
      <c r="KT377" s="19"/>
      <c r="KU377" s="93"/>
      <c r="KV377" s="93"/>
      <c r="KW377" s="93"/>
      <c r="KX377" s="93"/>
      <c r="KY377" s="20"/>
      <c r="KZ377" s="29"/>
      <c r="LA377" s="1504">
        <v>45931</v>
      </c>
      <c r="LB377" s="19"/>
      <c r="LC377" s="93"/>
      <c r="LD377" s="93"/>
      <c r="LE377" s="93"/>
      <c r="LF377" s="93"/>
      <c r="LG377" s="93"/>
      <c r="LH377" s="20"/>
      <c r="LI377" s="29"/>
      <c r="LJ377" s="19"/>
      <c r="LK377" s="93"/>
      <c r="LL377" s="93"/>
      <c r="LM377" s="93"/>
      <c r="LN377" s="93"/>
      <c r="LO377" s="20"/>
      <c r="LP377" s="29"/>
      <c r="LQ377" s="19"/>
      <c r="LR377" s="93"/>
      <c r="LS377" s="93"/>
      <c r="LT377" s="93"/>
      <c r="LU377" s="93"/>
      <c r="LV377" s="93"/>
      <c r="LW377" s="93"/>
      <c r="LX377" s="93"/>
      <c r="LY377" s="93"/>
      <c r="LZ377" s="93"/>
      <c r="MA377" s="20"/>
      <c r="MB377" s="29"/>
      <c r="MC377" s="1504">
        <v>45931</v>
      </c>
      <c r="MD377" s="19"/>
      <c r="ME377" s="93"/>
      <c r="MF377" s="93"/>
      <c r="MG377" s="93"/>
      <c r="MH377" s="93"/>
      <c r="MI377" s="93"/>
      <c r="MJ377" s="93"/>
      <c r="MK377" s="93"/>
      <c r="ML377" s="93"/>
      <c r="MM377" s="93"/>
      <c r="MN377" s="93"/>
      <c r="MO377" s="93"/>
      <c r="MP377" s="93"/>
      <c r="MQ377" s="93"/>
      <c r="MR377" s="93"/>
      <c r="MS377" s="93"/>
      <c r="MT377" s="93"/>
      <c r="MU377" s="93"/>
      <c r="MV377" s="93"/>
      <c r="MW377" s="93"/>
      <c r="MX377" s="93"/>
      <c r="MY377" s="93"/>
      <c r="MZ377" s="93"/>
      <c r="NA377" s="93"/>
      <c r="NB377" s="93"/>
      <c r="NC377" s="93"/>
      <c r="ND377" s="93"/>
      <c r="NE377" s="93"/>
      <c r="NF377" s="93"/>
      <c r="NG377" s="93"/>
      <c r="NH377" s="93"/>
      <c r="NI377" s="93"/>
      <c r="NJ377" s="93"/>
      <c r="NK377" s="93"/>
      <c r="NL377" s="93"/>
      <c r="NM377" s="93"/>
      <c r="NN377" s="93"/>
      <c r="NO377" s="93"/>
      <c r="NP377" s="93"/>
      <c r="NQ377" s="93"/>
      <c r="NR377" s="93"/>
      <c r="NS377" s="93"/>
      <c r="NT377" s="93"/>
      <c r="NU377" s="93"/>
      <c r="NV377" s="93"/>
      <c r="NW377" s="93"/>
      <c r="NX377" s="93"/>
      <c r="NY377" s="93"/>
      <c r="NZ377" s="93"/>
      <c r="OA377" s="93"/>
      <c r="OB377" s="93"/>
      <c r="OC377" s="93"/>
      <c r="OD377" s="20"/>
      <c r="OE377" s="29"/>
      <c r="OF377" s="1504">
        <v>45931</v>
      </c>
      <c r="OG377" s="19"/>
      <c r="OH377" s="93"/>
      <c r="OI377" s="93"/>
      <c r="OJ377" s="93"/>
      <c r="OK377" s="93"/>
      <c r="OL377" s="93"/>
      <c r="OM377" s="93"/>
      <c r="ON377" s="93"/>
      <c r="OO377" s="93"/>
      <c r="OP377" s="93"/>
      <c r="OQ377" s="93"/>
      <c r="OR377" s="93"/>
      <c r="OS377" s="93"/>
      <c r="OT377" s="93"/>
      <c r="OU377" s="93"/>
      <c r="OV377" s="93"/>
      <c r="OW377" s="93"/>
      <c r="OX377" s="93"/>
      <c r="OY377" s="93"/>
      <c r="OZ377" s="93"/>
      <c r="PA377" s="93"/>
      <c r="PB377" s="93"/>
      <c r="PC377" s="20"/>
      <c r="PD377" s="29"/>
      <c r="PE377" s="19"/>
      <c r="PF377" s="93"/>
      <c r="PG377" s="93"/>
      <c r="PH377" s="93"/>
      <c r="PI377" s="93"/>
      <c r="PJ377" s="93"/>
      <c r="PK377" s="93"/>
      <c r="PL377" s="93"/>
      <c r="PM377" s="93"/>
      <c r="PN377" s="93"/>
      <c r="PO377" s="93"/>
      <c r="PP377" s="93"/>
      <c r="PQ377" s="93"/>
      <c r="PR377" s="93"/>
      <c r="PS377" s="93"/>
      <c r="PT377" s="93"/>
      <c r="PU377" s="93"/>
      <c r="PV377" s="93"/>
      <c r="PW377" s="93"/>
      <c r="PX377" s="93"/>
      <c r="PY377" s="93"/>
      <c r="PZ377" s="93"/>
      <c r="QA377" s="93"/>
      <c r="QB377" s="93"/>
      <c r="QC377" s="93"/>
      <c r="QD377" s="93"/>
      <c r="QE377" s="20"/>
      <c r="QF377" s="1739"/>
      <c r="QG377" s="19"/>
      <c r="QH377" s="93"/>
      <c r="QI377" s="93"/>
      <c r="QJ377" s="93"/>
      <c r="QK377" s="93"/>
      <c r="QL377" s="93"/>
      <c r="QM377" s="93"/>
      <c r="QN377" s="93"/>
      <c r="QO377" s="93"/>
      <c r="QP377" s="93"/>
      <c r="QQ377" s="93"/>
      <c r="QR377" s="93"/>
      <c r="QS377" s="93"/>
      <c r="QT377" s="93"/>
      <c r="QU377" s="93"/>
      <c r="QV377" s="93"/>
      <c r="QW377" s="93"/>
      <c r="QX377" s="93"/>
      <c r="QY377" s="93"/>
      <c r="QZ377" s="93"/>
      <c r="RA377" s="93"/>
      <c r="RB377" s="93"/>
      <c r="RC377" s="93"/>
      <c r="RD377" s="93"/>
      <c r="RE377" s="93"/>
      <c r="RF377" s="93"/>
      <c r="RG377" s="93"/>
      <c r="RH377" s="93"/>
      <c r="RI377" s="93"/>
      <c r="RJ377" s="93"/>
      <c r="RK377" s="93"/>
      <c r="RL377" s="93"/>
      <c r="RM377" s="20"/>
      <c r="RN377" s="29"/>
      <c r="RO377" s="19"/>
      <c r="RP377" s="20"/>
      <c r="RQ377" s="29"/>
      <c r="RR377" s="20"/>
      <c r="RS377" s="29"/>
      <c r="RT377" s="1504">
        <v>45931</v>
      </c>
      <c r="RU377" s="19"/>
      <c r="RV377" s="20"/>
      <c r="RW377" s="29"/>
      <c r="RX377" s="1504">
        <v>45931</v>
      </c>
      <c r="RY377" s="29"/>
      <c r="RZ377" s="20"/>
      <c r="SA377" s="29"/>
      <c r="SB377" s="29"/>
    </row>
    <row r="378" spans="1:496">
      <c r="A378" s="41">
        <f t="shared" si="346"/>
        <v>2025</v>
      </c>
      <c r="B378" s="1504">
        <v>45962</v>
      </c>
      <c r="C378" s="1813"/>
      <c r="D378" s="1814"/>
      <c r="E378" s="1814"/>
      <c r="F378" s="1815"/>
      <c r="G378" s="1814"/>
      <c r="H378" s="1814"/>
      <c r="I378" s="1814"/>
      <c r="J378" s="1816"/>
      <c r="K378" s="1807"/>
      <c r="L378" s="25"/>
      <c r="M378" s="97"/>
      <c r="N378" s="1504">
        <v>45962</v>
      </c>
      <c r="O378" s="19"/>
      <c r="P378" s="93"/>
      <c r="Q378" s="93"/>
      <c r="R378" s="93"/>
      <c r="S378" s="93"/>
      <c r="T378" s="93"/>
      <c r="U378" s="93"/>
      <c r="V378" s="93"/>
      <c r="W378" s="93"/>
      <c r="X378" s="93"/>
      <c r="Y378" s="93"/>
      <c r="Z378" s="93"/>
      <c r="AA378" s="93"/>
      <c r="AB378" s="20"/>
      <c r="AC378" s="25"/>
      <c r="AD378" s="97"/>
      <c r="AE378" s="1504">
        <v>45962</v>
      </c>
      <c r="AF378" s="19"/>
      <c r="AG378" s="93"/>
      <c r="AH378" s="93"/>
      <c r="AI378" s="93"/>
      <c r="AJ378" s="93"/>
      <c r="AK378" s="93"/>
      <c r="AL378" s="93"/>
      <c r="AM378" s="93"/>
      <c r="AN378" s="93"/>
      <c r="AO378" s="93"/>
      <c r="AP378" s="93"/>
      <c r="AQ378" s="93"/>
      <c r="AR378" s="93"/>
      <c r="AS378" s="20"/>
      <c r="AT378" s="25"/>
      <c r="AU378" s="97"/>
      <c r="AV378" s="1504">
        <v>45962</v>
      </c>
      <c r="AW378" s="19"/>
      <c r="AX378" s="93"/>
      <c r="AY378" s="93"/>
      <c r="AZ378" s="93"/>
      <c r="BA378" s="93"/>
      <c r="BB378" s="93"/>
      <c r="BC378" s="93"/>
      <c r="BD378" s="93"/>
      <c r="BE378" s="93"/>
      <c r="BF378" s="93"/>
      <c r="BG378" s="93"/>
      <c r="BH378" s="93"/>
      <c r="BI378" s="93"/>
      <c r="BJ378" s="20"/>
      <c r="BK378" s="25"/>
      <c r="BL378" s="97"/>
      <c r="BM378" s="1504">
        <v>45962</v>
      </c>
      <c r="BN378" s="19"/>
      <c r="BO378" s="93"/>
      <c r="BP378" s="93"/>
      <c r="BQ378" s="93"/>
      <c r="BR378" s="93"/>
      <c r="BS378" s="93"/>
      <c r="BT378" s="93"/>
      <c r="BU378" s="20"/>
      <c r="BV378" s="25"/>
      <c r="BW378" s="97"/>
      <c r="BX378" s="1504">
        <v>45962</v>
      </c>
      <c r="BY378" s="19"/>
      <c r="BZ378" s="93"/>
      <c r="CA378" s="93"/>
      <c r="CB378" s="93"/>
      <c r="CC378" s="93"/>
      <c r="CD378" s="25"/>
      <c r="CE378" s="97"/>
      <c r="CF378" s="1504">
        <v>45962</v>
      </c>
      <c r="CG378" s="19"/>
      <c r="CH378" s="93"/>
      <c r="CI378" s="219"/>
      <c r="CJ378" s="20"/>
      <c r="CK378" s="19"/>
      <c r="CL378" s="93"/>
      <c r="CM378" s="93"/>
      <c r="CN378" s="93"/>
      <c r="CO378" s="93"/>
      <c r="CP378" s="20"/>
      <c r="CQ378" s="219"/>
      <c r="CR378" s="93"/>
      <c r="CS378" s="93"/>
      <c r="CT378" s="93"/>
      <c r="CU378" s="93"/>
      <c r="CV378" s="214"/>
      <c r="CW378" s="29"/>
      <c r="CX378" s="41">
        <f t="shared" si="319"/>
        <v>2025</v>
      </c>
      <c r="CY378" s="1504">
        <v>45962</v>
      </c>
      <c r="CZ378" s="19"/>
      <c r="DA378" s="93"/>
      <c r="DB378" s="93"/>
      <c r="DC378" s="93"/>
      <c r="DD378" s="93"/>
      <c r="DE378" s="20"/>
      <c r="DF378" s="29"/>
      <c r="DG378" s="1504">
        <v>45962</v>
      </c>
      <c r="DH378" s="19"/>
      <c r="DI378" s="93"/>
      <c r="DJ378" s="93"/>
      <c r="DK378" s="93"/>
      <c r="DL378" s="93"/>
      <c r="DM378" s="93"/>
      <c r="DN378" s="20"/>
      <c r="DO378" s="295"/>
      <c r="DP378" s="29"/>
      <c r="DQ378" s="1504">
        <v>45962</v>
      </c>
      <c r="DR378" s="19"/>
      <c r="DS378" s="93"/>
      <c r="DT378" s="93"/>
      <c r="DU378" s="93"/>
      <c r="DV378" s="93"/>
      <c r="DW378" s="93"/>
      <c r="DX378" s="20"/>
      <c r="DY378" s="29"/>
      <c r="DZ378" s="1504">
        <v>45962</v>
      </c>
      <c r="EA378" s="19"/>
      <c r="EB378" s="93"/>
      <c r="EC378" s="20"/>
      <c r="ED378" s="29"/>
      <c r="EE378" s="1504">
        <v>45962</v>
      </c>
      <c r="EF378" s="19"/>
      <c r="EG378" s="93"/>
      <c r="EH378" s="93"/>
      <c r="EI378" s="214"/>
      <c r="EJ378" s="93"/>
      <c r="EK378" s="93"/>
      <c r="EL378" s="93"/>
      <c r="EM378" s="93"/>
      <c r="EN378" s="20"/>
      <c r="EO378" s="29"/>
      <c r="EP378" s="1504">
        <v>45962</v>
      </c>
      <c r="EQ378" s="19"/>
      <c r="ER378" s="93"/>
      <c r="ES378" s="93"/>
      <c r="ET378" s="214"/>
      <c r="EU378" s="93"/>
      <c r="EV378" s="93"/>
      <c r="EW378" s="93"/>
      <c r="EX378" s="93"/>
      <c r="EY378" s="20"/>
      <c r="EZ378" s="29"/>
      <c r="FA378" s="1504">
        <v>45962</v>
      </c>
      <c r="FB378" s="29"/>
      <c r="FC378" s="29"/>
      <c r="FD378" s="29"/>
      <c r="FE378" s="29"/>
      <c r="FF378" s="29"/>
      <c r="FG378" s="29"/>
      <c r="FH378" s="29"/>
      <c r="FI378" s="29"/>
      <c r="FJ378" s="29"/>
      <c r="FK378" s="29"/>
      <c r="FL378" s="1504">
        <v>45962</v>
      </c>
      <c r="FM378" s="19"/>
      <c r="FN378" s="93"/>
      <c r="FO378" s="93"/>
      <c r="FP378" s="93"/>
      <c r="FQ378" s="93"/>
      <c r="FR378" s="93"/>
      <c r="FS378" s="93"/>
      <c r="FT378" s="93"/>
      <c r="FU378" s="93"/>
      <c r="FV378" s="93"/>
      <c r="FW378" s="93"/>
      <c r="FX378" s="93"/>
      <c r="FY378" s="93"/>
      <c r="FZ378" s="29"/>
      <c r="GA378" s="1504">
        <v>45962</v>
      </c>
      <c r="GB378" s="19"/>
      <c r="GC378" s="93"/>
      <c r="GD378" s="93"/>
      <c r="GE378" s="93"/>
      <c r="GF378" s="93"/>
      <c r="GG378" s="93"/>
      <c r="GH378" s="93"/>
      <c r="GI378" s="93"/>
      <c r="GJ378" s="93"/>
      <c r="GK378" s="93"/>
      <c r="GL378" s="93"/>
      <c r="GM378" s="93"/>
      <c r="GN378" s="20"/>
      <c r="GO378" s="29"/>
      <c r="GP378" s="1504">
        <v>45962</v>
      </c>
      <c r="GQ378" s="19"/>
      <c r="GR378" s="93"/>
      <c r="GS378" s="93"/>
      <c r="GT378" s="93"/>
      <c r="GU378" s="93"/>
      <c r="GV378" s="20"/>
      <c r="GW378" s="19"/>
      <c r="GX378" s="93"/>
      <c r="GY378" s="93"/>
      <c r="GZ378" s="93"/>
      <c r="HA378" s="93"/>
      <c r="HB378" s="20"/>
      <c r="HC378" s="19"/>
      <c r="HD378" s="93"/>
      <c r="HE378" s="93"/>
      <c r="HF378" s="93"/>
      <c r="HG378" s="93"/>
      <c r="HH378" s="20"/>
      <c r="HI378" s="19"/>
      <c r="HJ378" s="93"/>
      <c r="HK378" s="93"/>
      <c r="HL378" s="93"/>
      <c r="HM378" s="93"/>
      <c r="HN378" s="20"/>
      <c r="HO378" s="219"/>
      <c r="HP378" s="20"/>
      <c r="HQ378" s="25"/>
      <c r="HR378" s="29"/>
      <c r="HS378" s="1504">
        <v>45962</v>
      </c>
      <c r="HT378" s="19"/>
      <c r="HU378" s="93"/>
      <c r="HV378" s="93"/>
      <c r="HW378" s="93"/>
      <c r="HX378" s="93"/>
      <c r="HY378" s="93"/>
      <c r="HZ378" s="93"/>
      <c r="IA378" s="20"/>
      <c r="IB378" s="19"/>
      <c r="IC378" s="93"/>
      <c r="ID378" s="93"/>
      <c r="IE378" s="93"/>
      <c r="IF378" s="93"/>
      <c r="IG378" s="20"/>
      <c r="IH378" s="19"/>
      <c r="II378" s="93"/>
      <c r="IJ378" s="93"/>
      <c r="IK378" s="93"/>
      <c r="IL378" s="93"/>
      <c r="IM378" s="93"/>
      <c r="IN378" s="93"/>
      <c r="IO378" s="20"/>
      <c r="IP378" s="29"/>
      <c r="IQ378" s="19"/>
      <c r="IR378" s="93"/>
      <c r="IS378" s="93"/>
      <c r="IT378" s="93"/>
      <c r="IU378" s="93"/>
      <c r="IV378" s="20"/>
      <c r="IW378" s="29"/>
      <c r="IX378" s="19"/>
      <c r="IY378" s="93"/>
      <c r="IZ378" s="93"/>
      <c r="JA378" s="93"/>
      <c r="JB378" s="93"/>
      <c r="JC378" s="93"/>
      <c r="JD378" s="93"/>
      <c r="JE378" s="20"/>
      <c r="JF378" s="29"/>
      <c r="JG378" s="19"/>
      <c r="JH378" s="93"/>
      <c r="JI378" s="93"/>
      <c r="JJ378" s="93"/>
      <c r="JK378" s="93"/>
      <c r="JL378" s="93"/>
      <c r="JM378" s="93"/>
      <c r="JN378" s="20"/>
      <c r="JO378" s="29"/>
      <c r="JP378" s="19"/>
      <c r="JQ378" s="93"/>
      <c r="JR378" s="93"/>
      <c r="JS378" s="93"/>
      <c r="JT378" s="93"/>
      <c r="JU378" s="20"/>
      <c r="JV378" s="29"/>
      <c r="JW378" s="1504">
        <v>45962</v>
      </c>
      <c r="JX378" s="19"/>
      <c r="JY378" s="93"/>
      <c r="JZ378" s="93"/>
      <c r="KA378" s="93"/>
      <c r="KB378" s="93"/>
      <c r="KC378" s="93"/>
      <c r="KD378" s="20"/>
      <c r="KE378" s="29"/>
      <c r="KF378" s="19"/>
      <c r="KG378" s="93"/>
      <c r="KH378" s="93"/>
      <c r="KI378" s="93"/>
      <c r="KJ378" s="93"/>
      <c r="KK378" s="20"/>
      <c r="KL378" s="29"/>
      <c r="KM378" s="19"/>
      <c r="KN378" s="93"/>
      <c r="KO378" s="93"/>
      <c r="KP378" s="93"/>
      <c r="KQ378" s="93"/>
      <c r="KR378" s="20"/>
      <c r="KS378" s="29"/>
      <c r="KT378" s="19"/>
      <c r="KU378" s="93"/>
      <c r="KV378" s="93"/>
      <c r="KW378" s="93"/>
      <c r="KX378" s="93"/>
      <c r="KY378" s="20"/>
      <c r="KZ378" s="29"/>
      <c r="LA378" s="1504">
        <v>45962</v>
      </c>
      <c r="LB378" s="19"/>
      <c r="LC378" s="93"/>
      <c r="LD378" s="93"/>
      <c r="LE378" s="93"/>
      <c r="LF378" s="93"/>
      <c r="LG378" s="93"/>
      <c r="LH378" s="20"/>
      <c r="LI378" s="29"/>
      <c r="LJ378" s="19"/>
      <c r="LK378" s="93"/>
      <c r="LL378" s="93"/>
      <c r="LM378" s="93"/>
      <c r="LN378" s="93"/>
      <c r="LO378" s="20"/>
      <c r="LP378" s="29"/>
      <c r="LQ378" s="19"/>
      <c r="LR378" s="93"/>
      <c r="LS378" s="93"/>
      <c r="LT378" s="93"/>
      <c r="LU378" s="93"/>
      <c r="LV378" s="93"/>
      <c r="LW378" s="93"/>
      <c r="LX378" s="93"/>
      <c r="LY378" s="93"/>
      <c r="LZ378" s="93"/>
      <c r="MA378" s="20"/>
      <c r="MB378" s="29"/>
      <c r="MC378" s="1504">
        <v>45962</v>
      </c>
      <c r="MD378" s="19"/>
      <c r="ME378" s="93"/>
      <c r="MF378" s="93"/>
      <c r="MG378" s="93"/>
      <c r="MH378" s="93"/>
      <c r="MI378" s="93"/>
      <c r="MJ378" s="93"/>
      <c r="MK378" s="93"/>
      <c r="ML378" s="93"/>
      <c r="MM378" s="93"/>
      <c r="MN378" s="93"/>
      <c r="MO378" s="93"/>
      <c r="MP378" s="93"/>
      <c r="MQ378" s="93"/>
      <c r="MR378" s="93"/>
      <c r="MS378" s="93"/>
      <c r="MT378" s="93"/>
      <c r="MU378" s="93"/>
      <c r="MV378" s="93"/>
      <c r="MW378" s="93"/>
      <c r="MX378" s="93"/>
      <c r="MY378" s="93"/>
      <c r="MZ378" s="93"/>
      <c r="NA378" s="93"/>
      <c r="NB378" s="93"/>
      <c r="NC378" s="93"/>
      <c r="ND378" s="93"/>
      <c r="NE378" s="93"/>
      <c r="NF378" s="93"/>
      <c r="NG378" s="93"/>
      <c r="NH378" s="93"/>
      <c r="NI378" s="93"/>
      <c r="NJ378" s="93"/>
      <c r="NK378" s="93"/>
      <c r="NL378" s="93"/>
      <c r="NM378" s="93"/>
      <c r="NN378" s="93"/>
      <c r="NO378" s="93"/>
      <c r="NP378" s="93"/>
      <c r="NQ378" s="93"/>
      <c r="NR378" s="93"/>
      <c r="NS378" s="93"/>
      <c r="NT378" s="93"/>
      <c r="NU378" s="93"/>
      <c r="NV378" s="93"/>
      <c r="NW378" s="93"/>
      <c r="NX378" s="93"/>
      <c r="NY378" s="93"/>
      <c r="NZ378" s="93"/>
      <c r="OA378" s="93"/>
      <c r="OB378" s="93"/>
      <c r="OC378" s="93"/>
      <c r="OD378" s="20"/>
      <c r="OE378" s="29"/>
      <c r="OF378" s="1504">
        <v>45962</v>
      </c>
      <c r="OG378" s="19"/>
      <c r="OH378" s="93"/>
      <c r="OI378" s="93"/>
      <c r="OJ378" s="93"/>
      <c r="OK378" s="93"/>
      <c r="OL378" s="93"/>
      <c r="OM378" s="93"/>
      <c r="ON378" s="93"/>
      <c r="OO378" s="93"/>
      <c r="OP378" s="93"/>
      <c r="OQ378" s="93"/>
      <c r="OR378" s="93"/>
      <c r="OS378" s="93"/>
      <c r="OT378" s="93"/>
      <c r="OU378" s="93"/>
      <c r="OV378" s="93"/>
      <c r="OW378" s="93"/>
      <c r="OX378" s="93"/>
      <c r="OY378" s="93"/>
      <c r="OZ378" s="93"/>
      <c r="PA378" s="93"/>
      <c r="PB378" s="93"/>
      <c r="PC378" s="20"/>
      <c r="PD378" s="29"/>
      <c r="PE378" s="19"/>
      <c r="PF378" s="93"/>
      <c r="PG378" s="93"/>
      <c r="PH378" s="93"/>
      <c r="PI378" s="93"/>
      <c r="PJ378" s="93"/>
      <c r="PK378" s="93"/>
      <c r="PL378" s="93"/>
      <c r="PM378" s="93"/>
      <c r="PN378" s="93"/>
      <c r="PO378" s="93"/>
      <c r="PP378" s="93"/>
      <c r="PQ378" s="93"/>
      <c r="PR378" s="93"/>
      <c r="PS378" s="93"/>
      <c r="PT378" s="93"/>
      <c r="PU378" s="93"/>
      <c r="PV378" s="93"/>
      <c r="PW378" s="93"/>
      <c r="PX378" s="93"/>
      <c r="PY378" s="93"/>
      <c r="PZ378" s="93"/>
      <c r="QA378" s="93"/>
      <c r="QB378" s="93"/>
      <c r="QC378" s="93"/>
      <c r="QD378" s="93"/>
      <c r="QE378" s="20"/>
      <c r="QF378" s="1739"/>
      <c r="QG378" s="19"/>
      <c r="QH378" s="93"/>
      <c r="QI378" s="93"/>
      <c r="QJ378" s="93"/>
      <c r="QK378" s="93"/>
      <c r="QL378" s="93"/>
      <c r="QM378" s="93"/>
      <c r="QN378" s="93"/>
      <c r="QO378" s="93"/>
      <c r="QP378" s="93"/>
      <c r="QQ378" s="93"/>
      <c r="QR378" s="93"/>
      <c r="QS378" s="93"/>
      <c r="QT378" s="93"/>
      <c r="QU378" s="93"/>
      <c r="QV378" s="93"/>
      <c r="QW378" s="93"/>
      <c r="QX378" s="93"/>
      <c r="QY378" s="93"/>
      <c r="QZ378" s="93"/>
      <c r="RA378" s="93"/>
      <c r="RB378" s="93"/>
      <c r="RC378" s="93"/>
      <c r="RD378" s="93"/>
      <c r="RE378" s="93"/>
      <c r="RF378" s="93"/>
      <c r="RG378" s="93"/>
      <c r="RH378" s="93"/>
      <c r="RI378" s="93"/>
      <c r="RJ378" s="93"/>
      <c r="RK378" s="93"/>
      <c r="RL378" s="93"/>
      <c r="RM378" s="20"/>
      <c r="RN378" s="29"/>
      <c r="RO378" s="19"/>
      <c r="RP378" s="20"/>
      <c r="RQ378" s="29"/>
      <c r="RR378" s="20"/>
      <c r="RS378" s="29"/>
      <c r="RT378" s="1504">
        <v>45962</v>
      </c>
      <c r="RU378" s="19"/>
      <c r="RV378" s="20"/>
      <c r="RW378" s="29"/>
      <c r="RX378" s="1504">
        <v>45962</v>
      </c>
      <c r="RY378" s="29"/>
      <c r="RZ378" s="20"/>
      <c r="SA378" s="29"/>
      <c r="SB378" s="29"/>
    </row>
    <row r="379" spans="1:496">
      <c r="A379" s="41">
        <f t="shared" si="346"/>
        <v>2025</v>
      </c>
      <c r="B379" s="1504">
        <v>45992</v>
      </c>
      <c r="C379" s="1813"/>
      <c r="D379" s="1814"/>
      <c r="E379" s="1814"/>
      <c r="F379" s="1815"/>
      <c r="G379" s="1814"/>
      <c r="H379" s="1814"/>
      <c r="I379" s="1814"/>
      <c r="J379" s="1816"/>
      <c r="K379" s="1807"/>
      <c r="L379" s="25"/>
      <c r="M379" s="97"/>
      <c r="N379" s="1504">
        <v>45992</v>
      </c>
      <c r="O379" s="19"/>
      <c r="P379" s="93"/>
      <c r="Q379" s="93"/>
      <c r="R379" s="93"/>
      <c r="S379" s="93"/>
      <c r="T379" s="93"/>
      <c r="U379" s="93"/>
      <c r="V379" s="93"/>
      <c r="W379" s="93"/>
      <c r="X379" s="93"/>
      <c r="Y379" s="93"/>
      <c r="Z379" s="93"/>
      <c r="AA379" s="93"/>
      <c r="AB379" s="20"/>
      <c r="AC379" s="25"/>
      <c r="AD379" s="97"/>
      <c r="AE379" s="1504">
        <v>45992</v>
      </c>
      <c r="AF379" s="19"/>
      <c r="AG379" s="93"/>
      <c r="AH379" s="93"/>
      <c r="AI379" s="93"/>
      <c r="AJ379" s="93"/>
      <c r="AK379" s="93"/>
      <c r="AL379" s="93"/>
      <c r="AM379" s="93"/>
      <c r="AN379" s="93"/>
      <c r="AO379" s="93"/>
      <c r="AP379" s="93"/>
      <c r="AQ379" s="93"/>
      <c r="AR379" s="93"/>
      <c r="AS379" s="20"/>
      <c r="AT379" s="25"/>
      <c r="AU379" s="97"/>
      <c r="AV379" s="1504">
        <v>45992</v>
      </c>
      <c r="AW379" s="19"/>
      <c r="AX379" s="93"/>
      <c r="AY379" s="93"/>
      <c r="AZ379" s="93"/>
      <c r="BA379" s="93"/>
      <c r="BB379" s="93"/>
      <c r="BC379" s="93"/>
      <c r="BD379" s="93"/>
      <c r="BE379" s="93"/>
      <c r="BF379" s="93"/>
      <c r="BG379" s="93"/>
      <c r="BH379" s="93"/>
      <c r="BI379" s="93"/>
      <c r="BJ379" s="20"/>
      <c r="BK379" s="25"/>
      <c r="BL379" s="97"/>
      <c r="BM379" s="1504">
        <v>45992</v>
      </c>
      <c r="BN379" s="19"/>
      <c r="BO379" s="93"/>
      <c r="BP379" s="93"/>
      <c r="BQ379" s="93"/>
      <c r="BR379" s="93"/>
      <c r="BS379" s="93"/>
      <c r="BT379" s="93"/>
      <c r="BU379" s="20"/>
      <c r="BV379" s="25"/>
      <c r="BW379" s="97"/>
      <c r="BX379" s="1504">
        <v>45992</v>
      </c>
      <c r="BY379" s="19"/>
      <c r="BZ379" s="93"/>
      <c r="CA379" s="93"/>
      <c r="CB379" s="93"/>
      <c r="CC379" s="93"/>
      <c r="CD379" s="25"/>
      <c r="CE379" s="97"/>
      <c r="CF379" s="1504">
        <v>45992</v>
      </c>
      <c r="CG379" s="19"/>
      <c r="CH379" s="93"/>
      <c r="CI379" s="219"/>
      <c r="CJ379" s="20"/>
      <c r="CK379" s="19"/>
      <c r="CL379" s="93"/>
      <c r="CM379" s="93"/>
      <c r="CN379" s="93"/>
      <c r="CO379" s="93"/>
      <c r="CP379" s="20"/>
      <c r="CQ379" s="219"/>
      <c r="CR379" s="93"/>
      <c r="CS379" s="93"/>
      <c r="CT379" s="93"/>
      <c r="CU379" s="93"/>
      <c r="CV379" s="214"/>
      <c r="CW379" s="29"/>
      <c r="CX379" s="41">
        <f t="shared" si="319"/>
        <v>2025</v>
      </c>
      <c r="CY379" s="1504">
        <v>45992</v>
      </c>
      <c r="CZ379" s="19"/>
      <c r="DA379" s="93"/>
      <c r="DB379" s="93"/>
      <c r="DC379" s="93"/>
      <c r="DD379" s="93"/>
      <c r="DE379" s="20"/>
      <c r="DF379" s="29"/>
      <c r="DG379" s="1504">
        <v>45992</v>
      </c>
      <c r="DH379" s="19"/>
      <c r="DI379" s="93"/>
      <c r="DJ379" s="93"/>
      <c r="DK379" s="93"/>
      <c r="DL379" s="93"/>
      <c r="DM379" s="93"/>
      <c r="DN379" s="20"/>
      <c r="DO379" s="295"/>
      <c r="DP379" s="29"/>
      <c r="DQ379" s="1504">
        <v>45992</v>
      </c>
      <c r="DR379" s="19"/>
      <c r="DS379" s="93"/>
      <c r="DT379" s="93"/>
      <c r="DU379" s="93"/>
      <c r="DV379" s="93"/>
      <c r="DW379" s="93"/>
      <c r="DX379" s="20"/>
      <c r="DY379" s="29"/>
      <c r="DZ379" s="1504">
        <v>45992</v>
      </c>
      <c r="EA379" s="19"/>
      <c r="EB379" s="93"/>
      <c r="EC379" s="20"/>
      <c r="ED379" s="29"/>
      <c r="EE379" s="1504">
        <v>45992</v>
      </c>
      <c r="EF379" s="19"/>
      <c r="EG379" s="93"/>
      <c r="EH379" s="93"/>
      <c r="EI379" s="214"/>
      <c r="EJ379" s="93"/>
      <c r="EK379" s="93"/>
      <c r="EL379" s="93"/>
      <c r="EM379" s="93"/>
      <c r="EN379" s="20"/>
      <c r="EO379" s="29"/>
      <c r="EP379" s="1504">
        <v>45992</v>
      </c>
      <c r="EQ379" s="19"/>
      <c r="ER379" s="93"/>
      <c r="ES379" s="93"/>
      <c r="ET379" s="214"/>
      <c r="EU379" s="93"/>
      <c r="EV379" s="93"/>
      <c r="EW379" s="93"/>
      <c r="EX379" s="93"/>
      <c r="EY379" s="20"/>
      <c r="EZ379" s="29"/>
      <c r="FA379" s="1504">
        <v>45992</v>
      </c>
      <c r="FB379" s="29"/>
      <c r="FC379" s="29"/>
      <c r="FD379" s="29"/>
      <c r="FE379" s="29"/>
      <c r="FF379" s="29"/>
      <c r="FG379" s="29"/>
      <c r="FH379" s="29"/>
      <c r="FI379" s="29"/>
      <c r="FJ379" s="29"/>
      <c r="FK379" s="29"/>
      <c r="FL379" s="1504">
        <v>45992</v>
      </c>
      <c r="FM379" s="19"/>
      <c r="FN379" s="93"/>
      <c r="FO379" s="93"/>
      <c r="FP379" s="93"/>
      <c r="FQ379" s="93"/>
      <c r="FR379" s="93"/>
      <c r="FS379" s="93"/>
      <c r="FT379" s="93"/>
      <c r="FU379" s="93"/>
      <c r="FV379" s="93"/>
      <c r="FW379" s="93"/>
      <c r="FX379" s="93"/>
      <c r="FY379" s="93"/>
      <c r="FZ379" s="29"/>
      <c r="GA379" s="1504">
        <v>45992</v>
      </c>
      <c r="GB379" s="19"/>
      <c r="GC379" s="93"/>
      <c r="GD379" s="93"/>
      <c r="GE379" s="93"/>
      <c r="GF379" s="93"/>
      <c r="GG379" s="93"/>
      <c r="GH379" s="93"/>
      <c r="GI379" s="93"/>
      <c r="GJ379" s="93"/>
      <c r="GK379" s="93"/>
      <c r="GL379" s="93"/>
      <c r="GM379" s="93"/>
      <c r="GN379" s="20"/>
      <c r="GO379" s="29"/>
      <c r="GP379" s="1504">
        <v>45992</v>
      </c>
      <c r="GQ379" s="19"/>
      <c r="GR379" s="93"/>
      <c r="GS379" s="93"/>
      <c r="GT379" s="93"/>
      <c r="GU379" s="93"/>
      <c r="GV379" s="20"/>
      <c r="GW379" s="19"/>
      <c r="GX379" s="93"/>
      <c r="GY379" s="93"/>
      <c r="GZ379" s="93"/>
      <c r="HA379" s="93"/>
      <c r="HB379" s="20"/>
      <c r="HC379" s="19"/>
      <c r="HD379" s="93"/>
      <c r="HE379" s="93"/>
      <c r="HF379" s="93"/>
      <c r="HG379" s="93"/>
      <c r="HH379" s="20"/>
      <c r="HI379" s="19"/>
      <c r="HJ379" s="93"/>
      <c r="HK379" s="93"/>
      <c r="HL379" s="93"/>
      <c r="HM379" s="93"/>
      <c r="HN379" s="20"/>
      <c r="HO379" s="219"/>
      <c r="HP379" s="20"/>
      <c r="HQ379" s="25"/>
      <c r="HR379" s="29"/>
      <c r="HS379" s="1504">
        <v>45992</v>
      </c>
      <c r="HT379" s="19"/>
      <c r="HU379" s="93"/>
      <c r="HV379" s="93"/>
      <c r="HW379" s="93"/>
      <c r="HX379" s="93"/>
      <c r="HY379" s="93"/>
      <c r="HZ379" s="93"/>
      <c r="IA379" s="20"/>
      <c r="IB379" s="19"/>
      <c r="IC379" s="93"/>
      <c r="ID379" s="93"/>
      <c r="IE379" s="93"/>
      <c r="IF379" s="93"/>
      <c r="IG379" s="20"/>
      <c r="IH379" s="19"/>
      <c r="II379" s="93"/>
      <c r="IJ379" s="93"/>
      <c r="IK379" s="93"/>
      <c r="IL379" s="93"/>
      <c r="IM379" s="93"/>
      <c r="IN379" s="93"/>
      <c r="IO379" s="20"/>
      <c r="IP379" s="29"/>
      <c r="IQ379" s="19"/>
      <c r="IR379" s="93"/>
      <c r="IS379" s="93"/>
      <c r="IT379" s="93"/>
      <c r="IU379" s="93"/>
      <c r="IV379" s="20"/>
      <c r="IW379" s="29"/>
      <c r="IX379" s="19"/>
      <c r="IY379" s="93"/>
      <c r="IZ379" s="93"/>
      <c r="JA379" s="93"/>
      <c r="JB379" s="93"/>
      <c r="JC379" s="93"/>
      <c r="JD379" s="93"/>
      <c r="JE379" s="20"/>
      <c r="JF379" s="29"/>
      <c r="JG379" s="19"/>
      <c r="JH379" s="93"/>
      <c r="JI379" s="93"/>
      <c r="JJ379" s="93"/>
      <c r="JK379" s="93"/>
      <c r="JL379" s="93"/>
      <c r="JM379" s="93"/>
      <c r="JN379" s="20"/>
      <c r="JO379" s="29"/>
      <c r="JP379" s="19"/>
      <c r="JQ379" s="93"/>
      <c r="JR379" s="93"/>
      <c r="JS379" s="93"/>
      <c r="JT379" s="93"/>
      <c r="JU379" s="20"/>
      <c r="JV379" s="29"/>
      <c r="JW379" s="1504">
        <v>45992</v>
      </c>
      <c r="JX379" s="19"/>
      <c r="JY379" s="93"/>
      <c r="JZ379" s="93"/>
      <c r="KA379" s="93"/>
      <c r="KB379" s="93"/>
      <c r="KC379" s="93"/>
      <c r="KD379" s="20"/>
      <c r="KE379" s="29"/>
      <c r="KF379" s="19"/>
      <c r="KG379" s="93"/>
      <c r="KH379" s="93"/>
      <c r="KI379" s="93"/>
      <c r="KJ379" s="93"/>
      <c r="KK379" s="20"/>
      <c r="KL379" s="29"/>
      <c r="KM379" s="19"/>
      <c r="KN379" s="93"/>
      <c r="KO379" s="93"/>
      <c r="KP379" s="93"/>
      <c r="KQ379" s="93"/>
      <c r="KR379" s="20"/>
      <c r="KS379" s="29"/>
      <c r="KT379" s="19"/>
      <c r="KU379" s="93"/>
      <c r="KV379" s="93"/>
      <c r="KW379" s="93"/>
      <c r="KX379" s="93"/>
      <c r="KY379" s="20"/>
      <c r="KZ379" s="29"/>
      <c r="LA379" s="1504">
        <v>45992</v>
      </c>
      <c r="LB379" s="19"/>
      <c r="LC379" s="93"/>
      <c r="LD379" s="93"/>
      <c r="LE379" s="93"/>
      <c r="LF379" s="93"/>
      <c r="LG379" s="93"/>
      <c r="LH379" s="20"/>
      <c r="LI379" s="29"/>
      <c r="LJ379" s="19"/>
      <c r="LK379" s="93"/>
      <c r="LL379" s="93"/>
      <c r="LM379" s="93"/>
      <c r="LN379" s="93"/>
      <c r="LO379" s="20"/>
      <c r="LP379" s="29"/>
      <c r="LQ379" s="19"/>
      <c r="LR379" s="93"/>
      <c r="LS379" s="93"/>
      <c r="LT379" s="93"/>
      <c r="LU379" s="93"/>
      <c r="LV379" s="93"/>
      <c r="LW379" s="93"/>
      <c r="LX379" s="93"/>
      <c r="LY379" s="93"/>
      <c r="LZ379" s="93"/>
      <c r="MA379" s="20"/>
      <c r="MB379" s="29"/>
      <c r="MC379" s="1504">
        <v>45992</v>
      </c>
      <c r="MD379" s="19"/>
      <c r="ME379" s="93"/>
      <c r="MF379" s="93"/>
      <c r="MG379" s="93"/>
      <c r="MH379" s="93"/>
      <c r="MI379" s="93"/>
      <c r="MJ379" s="93"/>
      <c r="MK379" s="93"/>
      <c r="ML379" s="93"/>
      <c r="MM379" s="93"/>
      <c r="MN379" s="93"/>
      <c r="MO379" s="93"/>
      <c r="MP379" s="93"/>
      <c r="MQ379" s="93"/>
      <c r="MR379" s="93"/>
      <c r="MS379" s="93"/>
      <c r="MT379" s="93"/>
      <c r="MU379" s="93"/>
      <c r="MV379" s="93"/>
      <c r="MW379" s="93"/>
      <c r="MX379" s="93"/>
      <c r="MY379" s="93"/>
      <c r="MZ379" s="93"/>
      <c r="NA379" s="93"/>
      <c r="NB379" s="93"/>
      <c r="NC379" s="93"/>
      <c r="ND379" s="93"/>
      <c r="NE379" s="93"/>
      <c r="NF379" s="93"/>
      <c r="NG379" s="93"/>
      <c r="NH379" s="93"/>
      <c r="NI379" s="93"/>
      <c r="NJ379" s="93"/>
      <c r="NK379" s="93"/>
      <c r="NL379" s="93"/>
      <c r="NM379" s="93"/>
      <c r="NN379" s="93"/>
      <c r="NO379" s="93"/>
      <c r="NP379" s="93"/>
      <c r="NQ379" s="93"/>
      <c r="NR379" s="93"/>
      <c r="NS379" s="93"/>
      <c r="NT379" s="93"/>
      <c r="NU379" s="93"/>
      <c r="NV379" s="93"/>
      <c r="NW379" s="93"/>
      <c r="NX379" s="93"/>
      <c r="NY379" s="93"/>
      <c r="NZ379" s="93"/>
      <c r="OA379" s="93"/>
      <c r="OB379" s="93"/>
      <c r="OC379" s="93"/>
      <c r="OD379" s="20"/>
      <c r="OE379" s="29"/>
      <c r="OF379" s="1504">
        <v>45992</v>
      </c>
      <c r="OG379" s="19"/>
      <c r="OH379" s="93"/>
      <c r="OI379" s="93"/>
      <c r="OJ379" s="93"/>
      <c r="OK379" s="93"/>
      <c r="OL379" s="93"/>
      <c r="OM379" s="93"/>
      <c r="ON379" s="93"/>
      <c r="OO379" s="93"/>
      <c r="OP379" s="93"/>
      <c r="OQ379" s="93"/>
      <c r="OR379" s="93"/>
      <c r="OS379" s="93"/>
      <c r="OT379" s="93"/>
      <c r="OU379" s="93"/>
      <c r="OV379" s="93"/>
      <c r="OW379" s="93"/>
      <c r="OX379" s="93"/>
      <c r="OY379" s="93"/>
      <c r="OZ379" s="93"/>
      <c r="PA379" s="93"/>
      <c r="PB379" s="93"/>
      <c r="PC379" s="20"/>
      <c r="PD379" s="29"/>
      <c r="PE379" s="19"/>
      <c r="PF379" s="93"/>
      <c r="PG379" s="93"/>
      <c r="PH379" s="93"/>
      <c r="PI379" s="93"/>
      <c r="PJ379" s="93"/>
      <c r="PK379" s="93"/>
      <c r="PL379" s="93"/>
      <c r="PM379" s="93"/>
      <c r="PN379" s="93"/>
      <c r="PO379" s="93"/>
      <c r="PP379" s="93"/>
      <c r="PQ379" s="93"/>
      <c r="PR379" s="93"/>
      <c r="PS379" s="93"/>
      <c r="PT379" s="93"/>
      <c r="PU379" s="93"/>
      <c r="PV379" s="93"/>
      <c r="PW379" s="93"/>
      <c r="PX379" s="93"/>
      <c r="PY379" s="93"/>
      <c r="PZ379" s="93"/>
      <c r="QA379" s="93"/>
      <c r="QB379" s="93"/>
      <c r="QC379" s="93"/>
      <c r="QD379" s="93"/>
      <c r="QE379" s="20"/>
      <c r="QF379" s="1739"/>
      <c r="QG379" s="19"/>
      <c r="QH379" s="93"/>
      <c r="QI379" s="93"/>
      <c r="QJ379" s="93"/>
      <c r="QK379" s="93"/>
      <c r="QL379" s="93"/>
      <c r="QM379" s="93"/>
      <c r="QN379" s="93"/>
      <c r="QO379" s="93"/>
      <c r="QP379" s="93"/>
      <c r="QQ379" s="93"/>
      <c r="QR379" s="93"/>
      <c r="QS379" s="93"/>
      <c r="QT379" s="93"/>
      <c r="QU379" s="93"/>
      <c r="QV379" s="93"/>
      <c r="QW379" s="93"/>
      <c r="QX379" s="93"/>
      <c r="QY379" s="93"/>
      <c r="QZ379" s="93"/>
      <c r="RA379" s="93"/>
      <c r="RB379" s="93"/>
      <c r="RC379" s="93"/>
      <c r="RD379" s="93"/>
      <c r="RE379" s="93"/>
      <c r="RF379" s="93"/>
      <c r="RG379" s="93"/>
      <c r="RH379" s="93"/>
      <c r="RI379" s="93"/>
      <c r="RJ379" s="93"/>
      <c r="RK379" s="93"/>
      <c r="RL379" s="93"/>
      <c r="RM379" s="20"/>
      <c r="RN379" s="29"/>
      <c r="RO379" s="19"/>
      <c r="RP379" s="20"/>
      <c r="RQ379" s="29"/>
      <c r="RR379" s="20"/>
      <c r="RS379" s="29"/>
      <c r="RT379" s="1504">
        <v>45992</v>
      </c>
      <c r="RU379" s="19"/>
      <c r="RV379" s="20"/>
      <c r="RW379" s="29"/>
      <c r="RX379" s="1504">
        <v>45992</v>
      </c>
      <c r="RY379" s="29"/>
      <c r="RZ379" s="20"/>
      <c r="SA379" s="29"/>
      <c r="SB379" s="29"/>
    </row>
    <row r="380" spans="1:496">
      <c r="A380" s="41">
        <f t="shared" si="346"/>
        <v>2026</v>
      </c>
      <c r="B380" s="1504">
        <v>46023</v>
      </c>
      <c r="C380" s="1813"/>
      <c r="D380" s="1814"/>
      <c r="E380" s="1814"/>
      <c r="F380" s="1815"/>
      <c r="G380" s="1814"/>
      <c r="H380" s="1814"/>
      <c r="I380" s="1814"/>
      <c r="J380" s="1816"/>
      <c r="K380" s="1807"/>
      <c r="L380" s="25"/>
      <c r="M380" s="97"/>
      <c r="N380" s="1504">
        <v>46023</v>
      </c>
      <c r="O380" s="19"/>
      <c r="P380" s="93"/>
      <c r="Q380" s="93"/>
      <c r="R380" s="93"/>
      <c r="S380" s="93"/>
      <c r="T380" s="93"/>
      <c r="U380" s="93"/>
      <c r="V380" s="93"/>
      <c r="W380" s="93"/>
      <c r="X380" s="93"/>
      <c r="Y380" s="93"/>
      <c r="Z380" s="93"/>
      <c r="AA380" s="93"/>
      <c r="AB380" s="20"/>
      <c r="AC380" s="25"/>
      <c r="AD380" s="97"/>
      <c r="AE380" s="1504">
        <v>46023</v>
      </c>
      <c r="AF380" s="19"/>
      <c r="AG380" s="93"/>
      <c r="AH380" s="93"/>
      <c r="AI380" s="93"/>
      <c r="AJ380" s="93"/>
      <c r="AK380" s="93"/>
      <c r="AL380" s="93"/>
      <c r="AM380" s="93"/>
      <c r="AN380" s="93"/>
      <c r="AO380" s="93"/>
      <c r="AP380" s="93"/>
      <c r="AQ380" s="93"/>
      <c r="AR380" s="93"/>
      <c r="AS380" s="20"/>
      <c r="AT380" s="25"/>
      <c r="AU380" s="97"/>
      <c r="AV380" s="1504">
        <v>46023</v>
      </c>
      <c r="AW380" s="19"/>
      <c r="AX380" s="93"/>
      <c r="AY380" s="93"/>
      <c r="AZ380" s="93"/>
      <c r="BA380" s="93"/>
      <c r="BB380" s="93"/>
      <c r="BC380" s="93"/>
      <c r="BD380" s="93"/>
      <c r="BE380" s="93"/>
      <c r="BF380" s="93"/>
      <c r="BG380" s="93"/>
      <c r="BH380" s="93"/>
      <c r="BI380" s="93"/>
      <c r="BJ380" s="20"/>
      <c r="BK380" s="25"/>
      <c r="BL380" s="97"/>
      <c r="BM380" s="1504">
        <v>46023</v>
      </c>
      <c r="BN380" s="19"/>
      <c r="BO380" s="93"/>
      <c r="BP380" s="93"/>
      <c r="BQ380" s="93"/>
      <c r="BR380" s="93"/>
      <c r="BS380" s="93"/>
      <c r="BT380" s="93"/>
      <c r="BU380" s="20"/>
      <c r="BV380" s="25"/>
      <c r="BW380" s="97"/>
      <c r="BX380" s="1504">
        <v>46023</v>
      </c>
      <c r="BY380" s="19"/>
      <c r="BZ380" s="93"/>
      <c r="CA380" s="93"/>
      <c r="CB380" s="93"/>
      <c r="CC380" s="93"/>
      <c r="CD380" s="25"/>
      <c r="CE380" s="97"/>
      <c r="CF380" s="1504">
        <v>46023</v>
      </c>
      <c r="CG380" s="19"/>
      <c r="CH380" s="93"/>
      <c r="CI380" s="219"/>
      <c r="CJ380" s="20"/>
      <c r="CK380" s="19"/>
      <c r="CL380" s="93"/>
      <c r="CM380" s="93"/>
      <c r="CN380" s="93"/>
      <c r="CO380" s="93"/>
      <c r="CP380" s="20"/>
      <c r="CQ380" s="219"/>
      <c r="CR380" s="93"/>
      <c r="CS380" s="93"/>
      <c r="CT380" s="93"/>
      <c r="CU380" s="93"/>
      <c r="CV380" s="214"/>
      <c r="CW380" s="29"/>
      <c r="CX380" s="41">
        <f t="shared" si="319"/>
        <v>2026</v>
      </c>
      <c r="CY380" s="1504">
        <v>46023</v>
      </c>
      <c r="CZ380" s="19"/>
      <c r="DA380" s="93"/>
      <c r="DB380" s="93"/>
      <c r="DC380" s="93"/>
      <c r="DD380" s="93"/>
      <c r="DE380" s="20"/>
      <c r="DF380" s="29"/>
      <c r="DG380" s="1504">
        <v>46023</v>
      </c>
      <c r="DH380" s="19"/>
      <c r="DI380" s="93"/>
      <c r="DJ380" s="93"/>
      <c r="DK380" s="93"/>
      <c r="DL380" s="93"/>
      <c r="DM380" s="93"/>
      <c r="DN380" s="20"/>
      <c r="DO380" s="295"/>
      <c r="DP380" s="29"/>
      <c r="DQ380" s="1504">
        <v>46023</v>
      </c>
      <c r="DR380" s="19"/>
      <c r="DS380" s="93"/>
      <c r="DT380" s="93"/>
      <c r="DU380" s="93"/>
      <c r="DV380" s="93"/>
      <c r="DW380" s="93"/>
      <c r="DX380" s="20"/>
      <c r="DY380" s="29"/>
      <c r="DZ380" s="1504">
        <v>46023</v>
      </c>
      <c r="EA380" s="19"/>
      <c r="EB380" s="93"/>
      <c r="EC380" s="20"/>
      <c r="ED380" s="29"/>
      <c r="EE380" s="1504">
        <v>46023</v>
      </c>
      <c r="EF380" s="19"/>
      <c r="EG380" s="93"/>
      <c r="EH380" s="93"/>
      <c r="EI380" s="214"/>
      <c r="EJ380" s="93"/>
      <c r="EK380" s="93"/>
      <c r="EL380" s="93"/>
      <c r="EM380" s="93"/>
      <c r="EN380" s="20"/>
      <c r="EO380" s="29"/>
      <c r="EP380" s="1504">
        <v>46023</v>
      </c>
      <c r="EQ380" s="19"/>
      <c r="ER380" s="93"/>
      <c r="ES380" s="93"/>
      <c r="ET380" s="214"/>
      <c r="EU380" s="93"/>
      <c r="EV380" s="93"/>
      <c r="EW380" s="93"/>
      <c r="EX380" s="93"/>
      <c r="EY380" s="20"/>
      <c r="EZ380" s="29"/>
      <c r="FA380" s="1504">
        <v>46023</v>
      </c>
      <c r="FB380" s="29"/>
      <c r="FC380" s="29"/>
      <c r="FD380" s="29"/>
      <c r="FE380" s="29"/>
      <c r="FF380" s="29"/>
      <c r="FG380" s="29"/>
      <c r="FH380" s="29"/>
      <c r="FI380" s="29"/>
      <c r="FJ380" s="29"/>
      <c r="FK380" s="29"/>
      <c r="FL380" s="1504">
        <v>46023</v>
      </c>
      <c r="FM380" s="19"/>
      <c r="FN380" s="93"/>
      <c r="FO380" s="93"/>
      <c r="FP380" s="93"/>
      <c r="FQ380" s="93"/>
      <c r="FR380" s="93"/>
      <c r="FS380" s="93"/>
      <c r="FT380" s="93"/>
      <c r="FU380" s="93"/>
      <c r="FV380" s="93"/>
      <c r="FW380" s="93"/>
      <c r="FX380" s="93"/>
      <c r="FY380" s="93"/>
      <c r="FZ380" s="29"/>
      <c r="GA380" s="1504">
        <v>46023</v>
      </c>
      <c r="GB380" s="19"/>
      <c r="GC380" s="93"/>
      <c r="GD380" s="93"/>
      <c r="GE380" s="93"/>
      <c r="GF380" s="93"/>
      <c r="GG380" s="93"/>
      <c r="GH380" s="93"/>
      <c r="GI380" s="93"/>
      <c r="GJ380" s="93"/>
      <c r="GK380" s="93"/>
      <c r="GL380" s="93"/>
      <c r="GM380" s="93"/>
      <c r="GN380" s="20"/>
      <c r="GO380" s="29"/>
      <c r="GP380" s="1504">
        <v>46023</v>
      </c>
      <c r="GQ380" s="19"/>
      <c r="GR380" s="93"/>
      <c r="GS380" s="93"/>
      <c r="GT380" s="93"/>
      <c r="GU380" s="93"/>
      <c r="GV380" s="20"/>
      <c r="GW380" s="19"/>
      <c r="GX380" s="93"/>
      <c r="GY380" s="93"/>
      <c r="GZ380" s="93"/>
      <c r="HA380" s="93"/>
      <c r="HB380" s="20"/>
      <c r="HC380" s="19"/>
      <c r="HD380" s="93"/>
      <c r="HE380" s="93"/>
      <c r="HF380" s="93"/>
      <c r="HG380" s="93"/>
      <c r="HH380" s="20"/>
      <c r="HI380" s="19"/>
      <c r="HJ380" s="93"/>
      <c r="HK380" s="93"/>
      <c r="HL380" s="93"/>
      <c r="HM380" s="93"/>
      <c r="HN380" s="20"/>
      <c r="HO380" s="219"/>
      <c r="HP380" s="20"/>
      <c r="HQ380" s="25"/>
      <c r="HR380" s="29"/>
      <c r="HS380" s="1504">
        <v>46023</v>
      </c>
      <c r="HT380" s="19"/>
      <c r="HU380" s="93"/>
      <c r="HV380" s="93"/>
      <c r="HW380" s="93"/>
      <c r="HX380" s="93"/>
      <c r="HY380" s="93"/>
      <c r="HZ380" s="93"/>
      <c r="IA380" s="20"/>
      <c r="IB380" s="19"/>
      <c r="IC380" s="93"/>
      <c r="ID380" s="93"/>
      <c r="IE380" s="93"/>
      <c r="IF380" s="93"/>
      <c r="IG380" s="20"/>
      <c r="IH380" s="19"/>
      <c r="II380" s="93"/>
      <c r="IJ380" s="93"/>
      <c r="IK380" s="93"/>
      <c r="IL380" s="93"/>
      <c r="IM380" s="93"/>
      <c r="IN380" s="93"/>
      <c r="IO380" s="20"/>
      <c r="IP380" s="29"/>
      <c r="IQ380" s="19"/>
      <c r="IR380" s="93"/>
      <c r="IS380" s="93"/>
      <c r="IT380" s="93"/>
      <c r="IU380" s="93"/>
      <c r="IV380" s="20"/>
      <c r="IW380" s="29"/>
      <c r="IX380" s="19"/>
      <c r="IY380" s="93"/>
      <c r="IZ380" s="93"/>
      <c r="JA380" s="93"/>
      <c r="JB380" s="93"/>
      <c r="JC380" s="93"/>
      <c r="JD380" s="93"/>
      <c r="JE380" s="20"/>
      <c r="JF380" s="29"/>
      <c r="JG380" s="19"/>
      <c r="JH380" s="93"/>
      <c r="JI380" s="93"/>
      <c r="JJ380" s="93"/>
      <c r="JK380" s="93"/>
      <c r="JL380" s="93"/>
      <c r="JM380" s="93"/>
      <c r="JN380" s="20"/>
      <c r="JO380" s="29"/>
      <c r="JP380" s="19"/>
      <c r="JQ380" s="93"/>
      <c r="JR380" s="93"/>
      <c r="JS380" s="93"/>
      <c r="JT380" s="93"/>
      <c r="JU380" s="20"/>
      <c r="JV380" s="29"/>
      <c r="JW380" s="1504">
        <v>46023</v>
      </c>
      <c r="JX380" s="19"/>
      <c r="JY380" s="93"/>
      <c r="JZ380" s="93"/>
      <c r="KA380" s="93"/>
      <c r="KB380" s="93"/>
      <c r="KC380" s="93"/>
      <c r="KD380" s="20"/>
      <c r="KE380" s="29"/>
      <c r="KF380" s="19"/>
      <c r="KG380" s="93"/>
      <c r="KH380" s="93"/>
      <c r="KI380" s="93"/>
      <c r="KJ380" s="93"/>
      <c r="KK380" s="20"/>
      <c r="KL380" s="29"/>
      <c r="KM380" s="19"/>
      <c r="KN380" s="93"/>
      <c r="KO380" s="93"/>
      <c r="KP380" s="93"/>
      <c r="KQ380" s="93"/>
      <c r="KR380" s="20"/>
      <c r="KS380" s="29"/>
      <c r="KT380" s="19"/>
      <c r="KU380" s="93"/>
      <c r="KV380" s="93"/>
      <c r="KW380" s="93"/>
      <c r="KX380" s="93"/>
      <c r="KY380" s="20"/>
      <c r="KZ380" s="29"/>
      <c r="LA380" s="1504">
        <v>46023</v>
      </c>
      <c r="LB380" s="19"/>
      <c r="LC380" s="93"/>
      <c r="LD380" s="93"/>
      <c r="LE380" s="93"/>
      <c r="LF380" s="93"/>
      <c r="LG380" s="93"/>
      <c r="LH380" s="20"/>
      <c r="LI380" s="29"/>
      <c r="LJ380" s="19"/>
      <c r="LK380" s="93"/>
      <c r="LL380" s="93"/>
      <c r="LM380" s="93"/>
      <c r="LN380" s="93"/>
      <c r="LO380" s="20"/>
      <c r="LP380" s="29"/>
      <c r="LQ380" s="19"/>
      <c r="LR380" s="93"/>
      <c r="LS380" s="93"/>
      <c r="LT380" s="93"/>
      <c r="LU380" s="93"/>
      <c r="LV380" s="93"/>
      <c r="LW380" s="93"/>
      <c r="LX380" s="93"/>
      <c r="LY380" s="93"/>
      <c r="LZ380" s="93"/>
      <c r="MA380" s="20"/>
      <c r="MB380" s="29"/>
      <c r="MC380" s="1504">
        <v>46023</v>
      </c>
      <c r="MD380" s="19"/>
      <c r="ME380" s="93"/>
      <c r="MF380" s="93"/>
      <c r="MG380" s="93"/>
      <c r="MH380" s="93"/>
      <c r="MI380" s="93"/>
      <c r="MJ380" s="93"/>
      <c r="MK380" s="93"/>
      <c r="ML380" s="93"/>
      <c r="MM380" s="93"/>
      <c r="MN380" s="93"/>
      <c r="MO380" s="93"/>
      <c r="MP380" s="93"/>
      <c r="MQ380" s="93"/>
      <c r="MR380" s="93"/>
      <c r="MS380" s="93"/>
      <c r="MT380" s="93"/>
      <c r="MU380" s="93"/>
      <c r="MV380" s="93"/>
      <c r="MW380" s="93"/>
      <c r="MX380" s="93"/>
      <c r="MY380" s="93"/>
      <c r="MZ380" s="93"/>
      <c r="NA380" s="93"/>
      <c r="NB380" s="93"/>
      <c r="NC380" s="93"/>
      <c r="ND380" s="93"/>
      <c r="NE380" s="93"/>
      <c r="NF380" s="93"/>
      <c r="NG380" s="93"/>
      <c r="NH380" s="93"/>
      <c r="NI380" s="93"/>
      <c r="NJ380" s="93"/>
      <c r="NK380" s="93"/>
      <c r="NL380" s="93"/>
      <c r="NM380" s="93"/>
      <c r="NN380" s="93"/>
      <c r="NO380" s="93"/>
      <c r="NP380" s="93"/>
      <c r="NQ380" s="93"/>
      <c r="NR380" s="93"/>
      <c r="NS380" s="93"/>
      <c r="NT380" s="93"/>
      <c r="NU380" s="93"/>
      <c r="NV380" s="93"/>
      <c r="NW380" s="93"/>
      <c r="NX380" s="93"/>
      <c r="NY380" s="93"/>
      <c r="NZ380" s="93"/>
      <c r="OA380" s="93"/>
      <c r="OB380" s="93"/>
      <c r="OC380" s="93"/>
      <c r="OD380" s="20"/>
      <c r="OE380" s="29"/>
      <c r="OF380" s="1504">
        <v>46023</v>
      </c>
      <c r="OG380" s="19"/>
      <c r="OH380" s="93"/>
      <c r="OI380" s="93"/>
      <c r="OJ380" s="93"/>
      <c r="OK380" s="93"/>
      <c r="OL380" s="93"/>
      <c r="OM380" s="93"/>
      <c r="ON380" s="93"/>
      <c r="OO380" s="93"/>
      <c r="OP380" s="93"/>
      <c r="OQ380" s="93"/>
      <c r="OR380" s="93"/>
      <c r="OS380" s="93"/>
      <c r="OT380" s="93"/>
      <c r="OU380" s="93"/>
      <c r="OV380" s="93"/>
      <c r="OW380" s="93"/>
      <c r="OX380" s="93"/>
      <c r="OY380" s="93"/>
      <c r="OZ380" s="93"/>
      <c r="PA380" s="93"/>
      <c r="PB380" s="93"/>
      <c r="PC380" s="20"/>
      <c r="PD380" s="29"/>
      <c r="PE380" s="19"/>
      <c r="PF380" s="93"/>
      <c r="PG380" s="93"/>
      <c r="PH380" s="93"/>
      <c r="PI380" s="93"/>
      <c r="PJ380" s="93"/>
      <c r="PK380" s="93"/>
      <c r="PL380" s="93"/>
      <c r="PM380" s="93"/>
      <c r="PN380" s="93"/>
      <c r="PO380" s="93"/>
      <c r="PP380" s="93"/>
      <c r="PQ380" s="93"/>
      <c r="PR380" s="93"/>
      <c r="PS380" s="93"/>
      <c r="PT380" s="93"/>
      <c r="PU380" s="93"/>
      <c r="PV380" s="93"/>
      <c r="PW380" s="93"/>
      <c r="PX380" s="93"/>
      <c r="PY380" s="93"/>
      <c r="PZ380" s="93"/>
      <c r="QA380" s="93"/>
      <c r="QB380" s="93"/>
      <c r="QC380" s="93"/>
      <c r="QD380" s="93"/>
      <c r="QE380" s="20"/>
      <c r="QF380" s="1739"/>
      <c r="QG380" s="19"/>
      <c r="QH380" s="93"/>
      <c r="QI380" s="93"/>
      <c r="QJ380" s="93"/>
      <c r="QK380" s="93"/>
      <c r="QL380" s="93"/>
      <c r="QM380" s="93"/>
      <c r="QN380" s="93"/>
      <c r="QO380" s="93"/>
      <c r="QP380" s="93"/>
      <c r="QQ380" s="93"/>
      <c r="QR380" s="93"/>
      <c r="QS380" s="93"/>
      <c r="QT380" s="93"/>
      <c r="QU380" s="93"/>
      <c r="QV380" s="93"/>
      <c r="QW380" s="93"/>
      <c r="QX380" s="93"/>
      <c r="QY380" s="93"/>
      <c r="QZ380" s="93"/>
      <c r="RA380" s="93"/>
      <c r="RB380" s="93"/>
      <c r="RC380" s="93"/>
      <c r="RD380" s="93"/>
      <c r="RE380" s="93"/>
      <c r="RF380" s="93"/>
      <c r="RG380" s="93"/>
      <c r="RH380" s="93"/>
      <c r="RI380" s="93"/>
      <c r="RJ380" s="93"/>
      <c r="RK380" s="93"/>
      <c r="RL380" s="93"/>
      <c r="RM380" s="20"/>
      <c r="RN380" s="29"/>
      <c r="RO380" s="19"/>
      <c r="RP380" s="20"/>
      <c r="RQ380" s="29"/>
      <c r="RR380" s="20"/>
      <c r="RS380" s="29"/>
      <c r="RT380" s="1504">
        <v>46023</v>
      </c>
      <c r="RU380" s="19"/>
      <c r="RV380" s="20"/>
      <c r="RW380" s="29"/>
      <c r="RX380" s="1504">
        <v>46023</v>
      </c>
      <c r="RY380" s="29"/>
      <c r="RZ380" s="20"/>
      <c r="SA380" s="29"/>
      <c r="SB380" s="29"/>
    </row>
    <row r="381" spans="1:496">
      <c r="A381" s="41">
        <f t="shared" si="346"/>
        <v>2026</v>
      </c>
      <c r="B381" s="1504">
        <v>46054</v>
      </c>
      <c r="C381" s="1813"/>
      <c r="D381" s="1814"/>
      <c r="E381" s="1814"/>
      <c r="F381" s="1815"/>
      <c r="G381" s="1814"/>
      <c r="H381" s="1814"/>
      <c r="I381" s="1814"/>
      <c r="J381" s="1816"/>
      <c r="K381" s="1807"/>
      <c r="L381" s="25"/>
      <c r="M381" s="97"/>
      <c r="N381" s="1504">
        <v>46054</v>
      </c>
      <c r="O381" s="19"/>
      <c r="P381" s="93"/>
      <c r="Q381" s="93"/>
      <c r="R381" s="93"/>
      <c r="S381" s="93"/>
      <c r="T381" s="93"/>
      <c r="U381" s="93"/>
      <c r="V381" s="93"/>
      <c r="W381" s="93"/>
      <c r="X381" s="93"/>
      <c r="Y381" s="93"/>
      <c r="Z381" s="93"/>
      <c r="AA381" s="93"/>
      <c r="AB381" s="20"/>
      <c r="AC381" s="25"/>
      <c r="AD381" s="97"/>
      <c r="AE381" s="1504">
        <v>46054</v>
      </c>
      <c r="AF381" s="19"/>
      <c r="AG381" s="93"/>
      <c r="AH381" s="93"/>
      <c r="AI381" s="93"/>
      <c r="AJ381" s="93"/>
      <c r="AK381" s="93"/>
      <c r="AL381" s="93"/>
      <c r="AM381" s="93"/>
      <c r="AN381" s="93"/>
      <c r="AO381" s="93"/>
      <c r="AP381" s="93"/>
      <c r="AQ381" s="93"/>
      <c r="AR381" s="93"/>
      <c r="AS381" s="20"/>
      <c r="AT381" s="25"/>
      <c r="AU381" s="97"/>
      <c r="AV381" s="1504">
        <v>46054</v>
      </c>
      <c r="AW381" s="19"/>
      <c r="AX381" s="93"/>
      <c r="AY381" s="93"/>
      <c r="AZ381" s="93"/>
      <c r="BA381" s="93"/>
      <c r="BB381" s="93"/>
      <c r="BC381" s="93"/>
      <c r="BD381" s="93"/>
      <c r="BE381" s="93"/>
      <c r="BF381" s="93"/>
      <c r="BG381" s="93"/>
      <c r="BH381" s="93"/>
      <c r="BI381" s="93"/>
      <c r="BJ381" s="20"/>
      <c r="BK381" s="25"/>
      <c r="BL381" s="97"/>
      <c r="BM381" s="1504">
        <v>46054</v>
      </c>
      <c r="BN381" s="19"/>
      <c r="BO381" s="93"/>
      <c r="BP381" s="93"/>
      <c r="BQ381" s="93"/>
      <c r="BR381" s="93"/>
      <c r="BS381" s="93"/>
      <c r="BT381" s="93"/>
      <c r="BU381" s="20"/>
      <c r="BV381" s="25"/>
      <c r="BW381" s="97"/>
      <c r="BX381" s="1504">
        <v>46054</v>
      </c>
      <c r="BY381" s="19"/>
      <c r="BZ381" s="93"/>
      <c r="CA381" s="93"/>
      <c r="CB381" s="93"/>
      <c r="CC381" s="93"/>
      <c r="CD381" s="25"/>
      <c r="CE381" s="97"/>
      <c r="CF381" s="1504">
        <v>46054</v>
      </c>
      <c r="CG381" s="19"/>
      <c r="CH381" s="93"/>
      <c r="CI381" s="219"/>
      <c r="CJ381" s="20"/>
      <c r="CK381" s="19"/>
      <c r="CL381" s="93"/>
      <c r="CM381" s="93"/>
      <c r="CN381" s="93"/>
      <c r="CO381" s="93"/>
      <c r="CP381" s="20"/>
      <c r="CQ381" s="219"/>
      <c r="CR381" s="93"/>
      <c r="CS381" s="93"/>
      <c r="CT381" s="93"/>
      <c r="CU381" s="93"/>
      <c r="CV381" s="214"/>
      <c r="CW381" s="29"/>
      <c r="CX381" s="41">
        <f t="shared" si="319"/>
        <v>2026</v>
      </c>
      <c r="CY381" s="1504">
        <v>46054</v>
      </c>
      <c r="CZ381" s="19"/>
      <c r="DA381" s="93"/>
      <c r="DB381" s="93"/>
      <c r="DC381" s="93"/>
      <c r="DD381" s="93"/>
      <c r="DE381" s="20"/>
      <c r="DF381" s="29"/>
      <c r="DG381" s="1504">
        <v>46054</v>
      </c>
      <c r="DH381" s="19"/>
      <c r="DI381" s="93"/>
      <c r="DJ381" s="93"/>
      <c r="DK381" s="93"/>
      <c r="DL381" s="93"/>
      <c r="DM381" s="93"/>
      <c r="DN381" s="20"/>
      <c r="DO381" s="295"/>
      <c r="DP381" s="29"/>
      <c r="DQ381" s="1504">
        <v>46054</v>
      </c>
      <c r="DR381" s="19"/>
      <c r="DS381" s="93"/>
      <c r="DT381" s="93"/>
      <c r="DU381" s="93"/>
      <c r="DV381" s="93"/>
      <c r="DW381" s="93"/>
      <c r="DX381" s="20"/>
      <c r="DY381" s="29"/>
      <c r="DZ381" s="1504">
        <v>46054</v>
      </c>
      <c r="EA381" s="19"/>
      <c r="EB381" s="93"/>
      <c r="EC381" s="20"/>
      <c r="ED381" s="29"/>
      <c r="EE381" s="1504">
        <v>46054</v>
      </c>
      <c r="EF381" s="19"/>
      <c r="EG381" s="93"/>
      <c r="EH381" s="93"/>
      <c r="EI381" s="214"/>
      <c r="EJ381" s="93"/>
      <c r="EK381" s="93"/>
      <c r="EL381" s="93"/>
      <c r="EM381" s="93"/>
      <c r="EN381" s="20"/>
      <c r="EO381" s="29"/>
      <c r="EP381" s="1504">
        <v>46054</v>
      </c>
      <c r="EQ381" s="19"/>
      <c r="ER381" s="93"/>
      <c r="ES381" s="93"/>
      <c r="ET381" s="214"/>
      <c r="EU381" s="93"/>
      <c r="EV381" s="93"/>
      <c r="EW381" s="93"/>
      <c r="EX381" s="93"/>
      <c r="EY381" s="20"/>
      <c r="EZ381" s="29"/>
      <c r="FA381" s="1504">
        <v>46054</v>
      </c>
      <c r="FB381" s="29"/>
      <c r="FC381" s="29"/>
      <c r="FD381" s="29"/>
      <c r="FE381" s="29"/>
      <c r="FF381" s="29"/>
      <c r="FG381" s="29"/>
      <c r="FH381" s="29"/>
      <c r="FI381" s="29"/>
      <c r="FJ381" s="29"/>
      <c r="FK381" s="29"/>
      <c r="FL381" s="1504">
        <v>46054</v>
      </c>
      <c r="FM381" s="19"/>
      <c r="FN381" s="93"/>
      <c r="FO381" s="93"/>
      <c r="FP381" s="93"/>
      <c r="FQ381" s="93"/>
      <c r="FR381" s="93"/>
      <c r="FS381" s="93"/>
      <c r="FT381" s="93"/>
      <c r="FU381" s="93"/>
      <c r="FV381" s="93"/>
      <c r="FW381" s="93"/>
      <c r="FX381" s="93"/>
      <c r="FY381" s="93"/>
      <c r="FZ381" s="29"/>
      <c r="GA381" s="1504">
        <v>46054</v>
      </c>
      <c r="GB381" s="19"/>
      <c r="GC381" s="93"/>
      <c r="GD381" s="93"/>
      <c r="GE381" s="93"/>
      <c r="GF381" s="93"/>
      <c r="GG381" s="93"/>
      <c r="GH381" s="93"/>
      <c r="GI381" s="93"/>
      <c r="GJ381" s="93"/>
      <c r="GK381" s="93"/>
      <c r="GL381" s="93"/>
      <c r="GM381" s="93"/>
      <c r="GN381" s="20"/>
      <c r="GO381" s="29"/>
      <c r="GP381" s="1504">
        <v>46054</v>
      </c>
      <c r="GQ381" s="19"/>
      <c r="GR381" s="93"/>
      <c r="GS381" s="93"/>
      <c r="GT381" s="93"/>
      <c r="GU381" s="93"/>
      <c r="GV381" s="20"/>
      <c r="GW381" s="19"/>
      <c r="GX381" s="93"/>
      <c r="GY381" s="93"/>
      <c r="GZ381" s="93"/>
      <c r="HA381" s="93"/>
      <c r="HB381" s="20"/>
      <c r="HC381" s="19"/>
      <c r="HD381" s="93"/>
      <c r="HE381" s="93"/>
      <c r="HF381" s="93"/>
      <c r="HG381" s="93"/>
      <c r="HH381" s="20"/>
      <c r="HI381" s="19"/>
      <c r="HJ381" s="93"/>
      <c r="HK381" s="93"/>
      <c r="HL381" s="93"/>
      <c r="HM381" s="93"/>
      <c r="HN381" s="20"/>
      <c r="HO381" s="219"/>
      <c r="HP381" s="20"/>
      <c r="HQ381" s="25"/>
      <c r="HR381" s="29"/>
      <c r="HS381" s="1504">
        <v>46054</v>
      </c>
      <c r="HT381" s="19"/>
      <c r="HU381" s="93"/>
      <c r="HV381" s="93"/>
      <c r="HW381" s="93"/>
      <c r="HX381" s="93"/>
      <c r="HY381" s="93"/>
      <c r="HZ381" s="93"/>
      <c r="IA381" s="20"/>
      <c r="IB381" s="19"/>
      <c r="IC381" s="93"/>
      <c r="ID381" s="93"/>
      <c r="IE381" s="93"/>
      <c r="IF381" s="93"/>
      <c r="IG381" s="20"/>
      <c r="IH381" s="19"/>
      <c r="II381" s="93"/>
      <c r="IJ381" s="93"/>
      <c r="IK381" s="93"/>
      <c r="IL381" s="93"/>
      <c r="IM381" s="93"/>
      <c r="IN381" s="93"/>
      <c r="IO381" s="20"/>
      <c r="IP381" s="29"/>
      <c r="IQ381" s="19"/>
      <c r="IR381" s="93"/>
      <c r="IS381" s="93"/>
      <c r="IT381" s="93"/>
      <c r="IU381" s="93"/>
      <c r="IV381" s="20"/>
      <c r="IW381" s="29"/>
      <c r="IX381" s="19"/>
      <c r="IY381" s="93"/>
      <c r="IZ381" s="93"/>
      <c r="JA381" s="93"/>
      <c r="JB381" s="93"/>
      <c r="JC381" s="93"/>
      <c r="JD381" s="93"/>
      <c r="JE381" s="20"/>
      <c r="JF381" s="29"/>
      <c r="JG381" s="19"/>
      <c r="JH381" s="93"/>
      <c r="JI381" s="93"/>
      <c r="JJ381" s="93"/>
      <c r="JK381" s="93"/>
      <c r="JL381" s="93"/>
      <c r="JM381" s="93"/>
      <c r="JN381" s="20"/>
      <c r="JO381" s="29"/>
      <c r="JP381" s="19"/>
      <c r="JQ381" s="93"/>
      <c r="JR381" s="93"/>
      <c r="JS381" s="93"/>
      <c r="JT381" s="93"/>
      <c r="JU381" s="20"/>
      <c r="JV381" s="29"/>
      <c r="JW381" s="1504">
        <v>46054</v>
      </c>
      <c r="JX381" s="19"/>
      <c r="JY381" s="93"/>
      <c r="JZ381" s="93"/>
      <c r="KA381" s="93"/>
      <c r="KB381" s="93"/>
      <c r="KC381" s="93"/>
      <c r="KD381" s="20"/>
      <c r="KE381" s="29"/>
      <c r="KF381" s="19"/>
      <c r="KG381" s="93"/>
      <c r="KH381" s="93"/>
      <c r="KI381" s="93"/>
      <c r="KJ381" s="93"/>
      <c r="KK381" s="20"/>
      <c r="KL381" s="29"/>
      <c r="KM381" s="19"/>
      <c r="KN381" s="93"/>
      <c r="KO381" s="93"/>
      <c r="KP381" s="93"/>
      <c r="KQ381" s="93"/>
      <c r="KR381" s="20"/>
      <c r="KS381" s="29"/>
      <c r="KT381" s="19"/>
      <c r="KU381" s="93"/>
      <c r="KV381" s="93"/>
      <c r="KW381" s="93"/>
      <c r="KX381" s="93"/>
      <c r="KY381" s="20"/>
      <c r="KZ381" s="29"/>
      <c r="LA381" s="1504">
        <v>46054</v>
      </c>
      <c r="LB381" s="19"/>
      <c r="LC381" s="93"/>
      <c r="LD381" s="93"/>
      <c r="LE381" s="93"/>
      <c r="LF381" s="93"/>
      <c r="LG381" s="93"/>
      <c r="LH381" s="20"/>
      <c r="LI381" s="29"/>
      <c r="LJ381" s="19"/>
      <c r="LK381" s="93"/>
      <c r="LL381" s="93"/>
      <c r="LM381" s="93"/>
      <c r="LN381" s="93"/>
      <c r="LO381" s="20"/>
      <c r="LP381" s="29"/>
      <c r="LQ381" s="19"/>
      <c r="LR381" s="93"/>
      <c r="LS381" s="93"/>
      <c r="LT381" s="93"/>
      <c r="LU381" s="93"/>
      <c r="LV381" s="93"/>
      <c r="LW381" s="93"/>
      <c r="LX381" s="93"/>
      <c r="LY381" s="93"/>
      <c r="LZ381" s="93"/>
      <c r="MA381" s="20"/>
      <c r="MB381" s="29"/>
      <c r="MC381" s="1504">
        <v>46054</v>
      </c>
      <c r="MD381" s="19"/>
      <c r="ME381" s="93"/>
      <c r="MF381" s="93"/>
      <c r="MG381" s="93"/>
      <c r="MH381" s="93"/>
      <c r="MI381" s="93"/>
      <c r="MJ381" s="93"/>
      <c r="MK381" s="93"/>
      <c r="ML381" s="93"/>
      <c r="MM381" s="93"/>
      <c r="MN381" s="93"/>
      <c r="MO381" s="93"/>
      <c r="MP381" s="93"/>
      <c r="MQ381" s="93"/>
      <c r="MR381" s="93"/>
      <c r="MS381" s="93"/>
      <c r="MT381" s="93"/>
      <c r="MU381" s="93"/>
      <c r="MV381" s="93"/>
      <c r="MW381" s="93"/>
      <c r="MX381" s="93"/>
      <c r="MY381" s="93"/>
      <c r="MZ381" s="93"/>
      <c r="NA381" s="93"/>
      <c r="NB381" s="93"/>
      <c r="NC381" s="93"/>
      <c r="ND381" s="93"/>
      <c r="NE381" s="93"/>
      <c r="NF381" s="93"/>
      <c r="NG381" s="93"/>
      <c r="NH381" s="93"/>
      <c r="NI381" s="93"/>
      <c r="NJ381" s="93"/>
      <c r="NK381" s="93"/>
      <c r="NL381" s="93"/>
      <c r="NM381" s="93"/>
      <c r="NN381" s="93"/>
      <c r="NO381" s="93"/>
      <c r="NP381" s="93"/>
      <c r="NQ381" s="93"/>
      <c r="NR381" s="93"/>
      <c r="NS381" s="93"/>
      <c r="NT381" s="93"/>
      <c r="NU381" s="93"/>
      <c r="NV381" s="93"/>
      <c r="NW381" s="93"/>
      <c r="NX381" s="93"/>
      <c r="NY381" s="93"/>
      <c r="NZ381" s="93"/>
      <c r="OA381" s="93"/>
      <c r="OB381" s="93"/>
      <c r="OC381" s="93"/>
      <c r="OD381" s="20"/>
      <c r="OE381" s="29"/>
      <c r="OF381" s="1504">
        <v>46054</v>
      </c>
      <c r="OG381" s="19"/>
      <c r="OH381" s="93"/>
      <c r="OI381" s="93"/>
      <c r="OJ381" s="93"/>
      <c r="OK381" s="93"/>
      <c r="OL381" s="93"/>
      <c r="OM381" s="93"/>
      <c r="ON381" s="93"/>
      <c r="OO381" s="93"/>
      <c r="OP381" s="93"/>
      <c r="OQ381" s="93"/>
      <c r="OR381" s="93"/>
      <c r="OS381" s="93"/>
      <c r="OT381" s="93"/>
      <c r="OU381" s="93"/>
      <c r="OV381" s="93"/>
      <c r="OW381" s="93"/>
      <c r="OX381" s="93"/>
      <c r="OY381" s="93"/>
      <c r="OZ381" s="93"/>
      <c r="PA381" s="93"/>
      <c r="PB381" s="93"/>
      <c r="PC381" s="20"/>
      <c r="PD381" s="29"/>
      <c r="PE381" s="19"/>
      <c r="PF381" s="93"/>
      <c r="PG381" s="93"/>
      <c r="PH381" s="93"/>
      <c r="PI381" s="93"/>
      <c r="PJ381" s="93"/>
      <c r="PK381" s="93"/>
      <c r="PL381" s="93"/>
      <c r="PM381" s="93"/>
      <c r="PN381" s="93"/>
      <c r="PO381" s="93"/>
      <c r="PP381" s="93"/>
      <c r="PQ381" s="93"/>
      <c r="PR381" s="93"/>
      <c r="PS381" s="93"/>
      <c r="PT381" s="93"/>
      <c r="PU381" s="93"/>
      <c r="PV381" s="93"/>
      <c r="PW381" s="93"/>
      <c r="PX381" s="93"/>
      <c r="PY381" s="93"/>
      <c r="PZ381" s="93"/>
      <c r="QA381" s="93"/>
      <c r="QB381" s="93"/>
      <c r="QC381" s="93"/>
      <c r="QD381" s="93"/>
      <c r="QE381" s="20"/>
      <c r="QF381" s="1739"/>
      <c r="QG381" s="19"/>
      <c r="QH381" s="93"/>
      <c r="QI381" s="93"/>
      <c r="QJ381" s="93"/>
      <c r="QK381" s="93"/>
      <c r="QL381" s="93"/>
      <c r="QM381" s="93"/>
      <c r="QN381" s="93"/>
      <c r="QO381" s="93"/>
      <c r="QP381" s="93"/>
      <c r="QQ381" s="93"/>
      <c r="QR381" s="93"/>
      <c r="QS381" s="93"/>
      <c r="QT381" s="93"/>
      <c r="QU381" s="93"/>
      <c r="QV381" s="93"/>
      <c r="QW381" s="93"/>
      <c r="QX381" s="93"/>
      <c r="QY381" s="93"/>
      <c r="QZ381" s="93"/>
      <c r="RA381" s="93"/>
      <c r="RB381" s="93"/>
      <c r="RC381" s="93"/>
      <c r="RD381" s="93"/>
      <c r="RE381" s="93"/>
      <c r="RF381" s="93"/>
      <c r="RG381" s="93"/>
      <c r="RH381" s="93"/>
      <c r="RI381" s="93"/>
      <c r="RJ381" s="93"/>
      <c r="RK381" s="93"/>
      <c r="RL381" s="93"/>
      <c r="RM381" s="20"/>
      <c r="RN381" s="29"/>
      <c r="RO381" s="19"/>
      <c r="RP381" s="20"/>
      <c r="RQ381" s="29"/>
      <c r="RR381" s="20"/>
      <c r="RS381" s="29"/>
      <c r="RT381" s="1504">
        <v>46054</v>
      </c>
      <c r="RU381" s="19"/>
      <c r="RV381" s="20"/>
      <c r="RW381" s="29"/>
      <c r="RX381" s="1504">
        <v>46054</v>
      </c>
      <c r="RY381" s="29"/>
      <c r="RZ381" s="20"/>
      <c r="SA381" s="29"/>
      <c r="SB381" s="29"/>
    </row>
    <row r="382" spans="1:496">
      <c r="A382" s="41">
        <f t="shared" si="346"/>
        <v>2026</v>
      </c>
      <c r="B382" s="1504">
        <v>46082</v>
      </c>
      <c r="C382" s="1813"/>
      <c r="D382" s="1814"/>
      <c r="E382" s="1814"/>
      <c r="F382" s="1815"/>
      <c r="G382" s="1814"/>
      <c r="H382" s="1814"/>
      <c r="I382" s="1814"/>
      <c r="J382" s="1816"/>
      <c r="K382" s="1807"/>
      <c r="L382" s="25"/>
      <c r="M382" s="97"/>
      <c r="N382" s="1504">
        <v>46082</v>
      </c>
      <c r="O382" s="19"/>
      <c r="P382" s="93"/>
      <c r="Q382" s="93"/>
      <c r="R382" s="93"/>
      <c r="S382" s="93"/>
      <c r="T382" s="93"/>
      <c r="U382" s="93"/>
      <c r="V382" s="93"/>
      <c r="W382" s="93"/>
      <c r="X382" s="93"/>
      <c r="Y382" s="93"/>
      <c r="Z382" s="93"/>
      <c r="AA382" s="93"/>
      <c r="AB382" s="20"/>
      <c r="AC382" s="25"/>
      <c r="AD382" s="97"/>
      <c r="AE382" s="1504">
        <v>46082</v>
      </c>
      <c r="AF382" s="19"/>
      <c r="AG382" s="93"/>
      <c r="AH382" s="93"/>
      <c r="AI382" s="93"/>
      <c r="AJ382" s="93"/>
      <c r="AK382" s="93"/>
      <c r="AL382" s="93"/>
      <c r="AM382" s="93"/>
      <c r="AN382" s="93"/>
      <c r="AO382" s="93"/>
      <c r="AP382" s="93"/>
      <c r="AQ382" s="93"/>
      <c r="AR382" s="93"/>
      <c r="AS382" s="20"/>
      <c r="AT382" s="25"/>
      <c r="AU382" s="97"/>
      <c r="AV382" s="1504">
        <v>46082</v>
      </c>
      <c r="AW382" s="19"/>
      <c r="AX382" s="93"/>
      <c r="AY382" s="93"/>
      <c r="AZ382" s="93"/>
      <c r="BA382" s="93"/>
      <c r="BB382" s="93"/>
      <c r="BC382" s="93"/>
      <c r="BD382" s="93"/>
      <c r="BE382" s="93"/>
      <c r="BF382" s="93"/>
      <c r="BG382" s="93"/>
      <c r="BH382" s="93"/>
      <c r="BI382" s="93"/>
      <c r="BJ382" s="20"/>
      <c r="BK382" s="25"/>
      <c r="BL382" s="97"/>
      <c r="BM382" s="1504">
        <v>46082</v>
      </c>
      <c r="BN382" s="19"/>
      <c r="BO382" s="93"/>
      <c r="BP382" s="93"/>
      <c r="BQ382" s="93"/>
      <c r="BR382" s="93"/>
      <c r="BS382" s="93"/>
      <c r="BT382" s="93"/>
      <c r="BU382" s="20"/>
      <c r="BV382" s="25"/>
      <c r="BW382" s="97"/>
      <c r="BX382" s="1504">
        <v>46082</v>
      </c>
      <c r="BY382" s="19"/>
      <c r="BZ382" s="93"/>
      <c r="CA382" s="93"/>
      <c r="CB382" s="93"/>
      <c r="CC382" s="93"/>
      <c r="CD382" s="25"/>
      <c r="CE382" s="97"/>
      <c r="CF382" s="1504">
        <v>46082</v>
      </c>
      <c r="CG382" s="19"/>
      <c r="CH382" s="93"/>
      <c r="CI382" s="219"/>
      <c r="CJ382" s="20"/>
      <c r="CK382" s="19"/>
      <c r="CL382" s="93"/>
      <c r="CM382" s="93"/>
      <c r="CN382" s="93"/>
      <c r="CO382" s="93"/>
      <c r="CP382" s="20"/>
      <c r="CQ382" s="219"/>
      <c r="CR382" s="93"/>
      <c r="CS382" s="93"/>
      <c r="CT382" s="93"/>
      <c r="CU382" s="93"/>
      <c r="CV382" s="214"/>
      <c r="CW382" s="29"/>
      <c r="CX382" s="41">
        <f t="shared" si="319"/>
        <v>2026</v>
      </c>
      <c r="CY382" s="1504">
        <v>46082</v>
      </c>
      <c r="CZ382" s="19"/>
      <c r="DA382" s="93"/>
      <c r="DB382" s="93"/>
      <c r="DC382" s="93"/>
      <c r="DD382" s="93"/>
      <c r="DE382" s="20"/>
      <c r="DF382" s="29"/>
      <c r="DG382" s="1504">
        <v>46082</v>
      </c>
      <c r="DH382" s="19"/>
      <c r="DI382" s="93"/>
      <c r="DJ382" s="93"/>
      <c r="DK382" s="93"/>
      <c r="DL382" s="93"/>
      <c r="DM382" s="93"/>
      <c r="DN382" s="20"/>
      <c r="DO382" s="295"/>
      <c r="DP382" s="29"/>
      <c r="DQ382" s="1504">
        <v>46082</v>
      </c>
      <c r="DR382" s="19"/>
      <c r="DS382" s="93"/>
      <c r="DT382" s="93"/>
      <c r="DU382" s="93"/>
      <c r="DV382" s="93"/>
      <c r="DW382" s="93"/>
      <c r="DX382" s="20"/>
      <c r="DY382" s="29"/>
      <c r="DZ382" s="1504">
        <v>46082</v>
      </c>
      <c r="EA382" s="19"/>
      <c r="EB382" s="93"/>
      <c r="EC382" s="20"/>
      <c r="ED382" s="29"/>
      <c r="EE382" s="1504">
        <v>46082</v>
      </c>
      <c r="EF382" s="19"/>
      <c r="EG382" s="93"/>
      <c r="EH382" s="93"/>
      <c r="EI382" s="214"/>
      <c r="EJ382" s="93"/>
      <c r="EK382" s="93"/>
      <c r="EL382" s="93"/>
      <c r="EM382" s="93"/>
      <c r="EN382" s="20"/>
      <c r="EO382" s="29"/>
      <c r="EP382" s="1504">
        <v>46082</v>
      </c>
      <c r="EQ382" s="19"/>
      <c r="ER382" s="93"/>
      <c r="ES382" s="93"/>
      <c r="ET382" s="214"/>
      <c r="EU382" s="93"/>
      <c r="EV382" s="93"/>
      <c r="EW382" s="93"/>
      <c r="EX382" s="93"/>
      <c r="EY382" s="20"/>
      <c r="EZ382" s="29"/>
      <c r="FA382" s="1504">
        <v>46082</v>
      </c>
      <c r="FB382" s="29"/>
      <c r="FC382" s="29"/>
      <c r="FD382" s="29"/>
      <c r="FE382" s="29"/>
      <c r="FF382" s="29"/>
      <c r="FG382" s="29"/>
      <c r="FH382" s="29"/>
      <c r="FI382" s="29"/>
      <c r="FJ382" s="29"/>
      <c r="FK382" s="29"/>
      <c r="FL382" s="1504">
        <v>46082</v>
      </c>
      <c r="FM382" s="19"/>
      <c r="FN382" s="93"/>
      <c r="FO382" s="93"/>
      <c r="FP382" s="93"/>
      <c r="FQ382" s="93"/>
      <c r="FR382" s="93"/>
      <c r="FS382" s="93"/>
      <c r="FT382" s="93"/>
      <c r="FU382" s="93"/>
      <c r="FV382" s="93"/>
      <c r="FW382" s="93"/>
      <c r="FX382" s="93"/>
      <c r="FY382" s="93"/>
      <c r="FZ382" s="29"/>
      <c r="GA382" s="1504">
        <v>46082</v>
      </c>
      <c r="GB382" s="19"/>
      <c r="GC382" s="93"/>
      <c r="GD382" s="93"/>
      <c r="GE382" s="93"/>
      <c r="GF382" s="93"/>
      <c r="GG382" s="93"/>
      <c r="GH382" s="93"/>
      <c r="GI382" s="93"/>
      <c r="GJ382" s="93"/>
      <c r="GK382" s="93"/>
      <c r="GL382" s="93"/>
      <c r="GM382" s="93"/>
      <c r="GN382" s="20"/>
      <c r="GO382" s="29"/>
      <c r="GP382" s="1504">
        <v>46082</v>
      </c>
      <c r="GQ382" s="19"/>
      <c r="GR382" s="93"/>
      <c r="GS382" s="93"/>
      <c r="GT382" s="93"/>
      <c r="GU382" s="93"/>
      <c r="GV382" s="20"/>
      <c r="GW382" s="19"/>
      <c r="GX382" s="93"/>
      <c r="GY382" s="93"/>
      <c r="GZ382" s="93"/>
      <c r="HA382" s="93"/>
      <c r="HB382" s="20"/>
      <c r="HC382" s="19"/>
      <c r="HD382" s="93"/>
      <c r="HE382" s="93"/>
      <c r="HF382" s="93"/>
      <c r="HG382" s="93"/>
      <c r="HH382" s="20"/>
      <c r="HI382" s="19"/>
      <c r="HJ382" s="93"/>
      <c r="HK382" s="93"/>
      <c r="HL382" s="93"/>
      <c r="HM382" s="93"/>
      <c r="HN382" s="20"/>
      <c r="HO382" s="219"/>
      <c r="HP382" s="20"/>
      <c r="HQ382" s="25"/>
      <c r="HR382" s="29"/>
      <c r="HS382" s="1504">
        <v>46082</v>
      </c>
      <c r="HT382" s="19"/>
      <c r="HU382" s="93"/>
      <c r="HV382" s="93"/>
      <c r="HW382" s="93"/>
      <c r="HX382" s="93"/>
      <c r="HY382" s="93"/>
      <c r="HZ382" s="93"/>
      <c r="IA382" s="20"/>
      <c r="IB382" s="19"/>
      <c r="IC382" s="93"/>
      <c r="ID382" s="93"/>
      <c r="IE382" s="93"/>
      <c r="IF382" s="93"/>
      <c r="IG382" s="20"/>
      <c r="IH382" s="19"/>
      <c r="II382" s="93"/>
      <c r="IJ382" s="93"/>
      <c r="IK382" s="93"/>
      <c r="IL382" s="93"/>
      <c r="IM382" s="93"/>
      <c r="IN382" s="93"/>
      <c r="IO382" s="20"/>
      <c r="IP382" s="29"/>
      <c r="IQ382" s="19"/>
      <c r="IR382" s="93"/>
      <c r="IS382" s="93"/>
      <c r="IT382" s="93"/>
      <c r="IU382" s="93"/>
      <c r="IV382" s="20"/>
      <c r="IW382" s="29"/>
      <c r="IX382" s="19"/>
      <c r="IY382" s="93"/>
      <c r="IZ382" s="93"/>
      <c r="JA382" s="93"/>
      <c r="JB382" s="93"/>
      <c r="JC382" s="93"/>
      <c r="JD382" s="93"/>
      <c r="JE382" s="20"/>
      <c r="JF382" s="29"/>
      <c r="JG382" s="19"/>
      <c r="JH382" s="93"/>
      <c r="JI382" s="93"/>
      <c r="JJ382" s="93"/>
      <c r="JK382" s="93"/>
      <c r="JL382" s="93"/>
      <c r="JM382" s="93"/>
      <c r="JN382" s="20"/>
      <c r="JO382" s="29"/>
      <c r="JP382" s="19"/>
      <c r="JQ382" s="93"/>
      <c r="JR382" s="93"/>
      <c r="JS382" s="93"/>
      <c r="JT382" s="93"/>
      <c r="JU382" s="20"/>
      <c r="JV382" s="29"/>
      <c r="JW382" s="1504">
        <v>46082</v>
      </c>
      <c r="JX382" s="19"/>
      <c r="JY382" s="93"/>
      <c r="JZ382" s="93"/>
      <c r="KA382" s="93"/>
      <c r="KB382" s="93"/>
      <c r="KC382" s="93"/>
      <c r="KD382" s="20"/>
      <c r="KE382" s="29"/>
      <c r="KF382" s="19"/>
      <c r="KG382" s="93"/>
      <c r="KH382" s="93"/>
      <c r="KI382" s="93"/>
      <c r="KJ382" s="93"/>
      <c r="KK382" s="20"/>
      <c r="KL382" s="29"/>
      <c r="KM382" s="19"/>
      <c r="KN382" s="93"/>
      <c r="KO382" s="93"/>
      <c r="KP382" s="93"/>
      <c r="KQ382" s="93"/>
      <c r="KR382" s="20"/>
      <c r="KS382" s="29"/>
      <c r="KT382" s="19"/>
      <c r="KU382" s="93"/>
      <c r="KV382" s="93"/>
      <c r="KW382" s="93"/>
      <c r="KX382" s="93"/>
      <c r="KY382" s="20"/>
      <c r="KZ382" s="29"/>
      <c r="LA382" s="1504">
        <v>46082</v>
      </c>
      <c r="LB382" s="19"/>
      <c r="LC382" s="93"/>
      <c r="LD382" s="93"/>
      <c r="LE382" s="93"/>
      <c r="LF382" s="93"/>
      <c r="LG382" s="93"/>
      <c r="LH382" s="20"/>
      <c r="LI382" s="29"/>
      <c r="LJ382" s="19"/>
      <c r="LK382" s="93"/>
      <c r="LL382" s="93"/>
      <c r="LM382" s="93"/>
      <c r="LN382" s="93"/>
      <c r="LO382" s="20"/>
      <c r="LP382" s="29"/>
      <c r="LQ382" s="19"/>
      <c r="LR382" s="93"/>
      <c r="LS382" s="93"/>
      <c r="LT382" s="93"/>
      <c r="LU382" s="93"/>
      <c r="LV382" s="93"/>
      <c r="LW382" s="93"/>
      <c r="LX382" s="93"/>
      <c r="LY382" s="93"/>
      <c r="LZ382" s="93"/>
      <c r="MA382" s="20"/>
      <c r="MB382" s="29"/>
      <c r="MC382" s="1504">
        <v>46082</v>
      </c>
      <c r="MD382" s="19"/>
      <c r="ME382" s="93"/>
      <c r="MF382" s="93"/>
      <c r="MG382" s="93"/>
      <c r="MH382" s="93"/>
      <c r="MI382" s="93"/>
      <c r="MJ382" s="93"/>
      <c r="MK382" s="93"/>
      <c r="ML382" s="93"/>
      <c r="MM382" s="93"/>
      <c r="MN382" s="93"/>
      <c r="MO382" s="93"/>
      <c r="MP382" s="93"/>
      <c r="MQ382" s="93"/>
      <c r="MR382" s="93"/>
      <c r="MS382" s="93"/>
      <c r="MT382" s="93"/>
      <c r="MU382" s="93"/>
      <c r="MV382" s="93"/>
      <c r="MW382" s="93"/>
      <c r="MX382" s="93"/>
      <c r="MY382" s="93"/>
      <c r="MZ382" s="93"/>
      <c r="NA382" s="93"/>
      <c r="NB382" s="93"/>
      <c r="NC382" s="93"/>
      <c r="ND382" s="93"/>
      <c r="NE382" s="93"/>
      <c r="NF382" s="93"/>
      <c r="NG382" s="93"/>
      <c r="NH382" s="93"/>
      <c r="NI382" s="93"/>
      <c r="NJ382" s="93"/>
      <c r="NK382" s="93"/>
      <c r="NL382" s="93"/>
      <c r="NM382" s="93"/>
      <c r="NN382" s="93"/>
      <c r="NO382" s="93"/>
      <c r="NP382" s="93"/>
      <c r="NQ382" s="93"/>
      <c r="NR382" s="93"/>
      <c r="NS382" s="93"/>
      <c r="NT382" s="93"/>
      <c r="NU382" s="93"/>
      <c r="NV382" s="93"/>
      <c r="NW382" s="93"/>
      <c r="NX382" s="93"/>
      <c r="NY382" s="93"/>
      <c r="NZ382" s="93"/>
      <c r="OA382" s="93"/>
      <c r="OB382" s="93"/>
      <c r="OC382" s="93"/>
      <c r="OD382" s="20"/>
      <c r="OE382" s="29"/>
      <c r="OF382" s="1504">
        <v>46082</v>
      </c>
      <c r="OG382" s="19"/>
      <c r="OH382" s="93"/>
      <c r="OI382" s="93"/>
      <c r="OJ382" s="93"/>
      <c r="OK382" s="93"/>
      <c r="OL382" s="93"/>
      <c r="OM382" s="93"/>
      <c r="ON382" s="93"/>
      <c r="OO382" s="93"/>
      <c r="OP382" s="93"/>
      <c r="OQ382" s="93"/>
      <c r="OR382" s="93"/>
      <c r="OS382" s="93"/>
      <c r="OT382" s="93"/>
      <c r="OU382" s="93"/>
      <c r="OV382" s="93"/>
      <c r="OW382" s="93"/>
      <c r="OX382" s="93"/>
      <c r="OY382" s="93"/>
      <c r="OZ382" s="93"/>
      <c r="PA382" s="93"/>
      <c r="PB382" s="93"/>
      <c r="PC382" s="20"/>
      <c r="PD382" s="29"/>
      <c r="PE382" s="19"/>
      <c r="PF382" s="93"/>
      <c r="PG382" s="93"/>
      <c r="PH382" s="93"/>
      <c r="PI382" s="93"/>
      <c r="PJ382" s="93"/>
      <c r="PK382" s="93"/>
      <c r="PL382" s="93"/>
      <c r="PM382" s="93"/>
      <c r="PN382" s="93"/>
      <c r="PO382" s="93"/>
      <c r="PP382" s="93"/>
      <c r="PQ382" s="93"/>
      <c r="PR382" s="93"/>
      <c r="PS382" s="93"/>
      <c r="PT382" s="93"/>
      <c r="PU382" s="93"/>
      <c r="PV382" s="93"/>
      <c r="PW382" s="93"/>
      <c r="PX382" s="93"/>
      <c r="PY382" s="93"/>
      <c r="PZ382" s="93"/>
      <c r="QA382" s="93"/>
      <c r="QB382" s="93"/>
      <c r="QC382" s="93"/>
      <c r="QD382" s="93"/>
      <c r="QE382" s="20"/>
      <c r="QF382" s="1739"/>
      <c r="QG382" s="19"/>
      <c r="QH382" s="93"/>
      <c r="QI382" s="93"/>
      <c r="QJ382" s="93"/>
      <c r="QK382" s="93"/>
      <c r="QL382" s="93"/>
      <c r="QM382" s="93"/>
      <c r="QN382" s="93"/>
      <c r="QO382" s="93"/>
      <c r="QP382" s="93"/>
      <c r="QQ382" s="93"/>
      <c r="QR382" s="93"/>
      <c r="QS382" s="93"/>
      <c r="QT382" s="93"/>
      <c r="QU382" s="93"/>
      <c r="QV382" s="93"/>
      <c r="QW382" s="93"/>
      <c r="QX382" s="93"/>
      <c r="QY382" s="93"/>
      <c r="QZ382" s="93"/>
      <c r="RA382" s="93"/>
      <c r="RB382" s="93"/>
      <c r="RC382" s="93"/>
      <c r="RD382" s="93"/>
      <c r="RE382" s="93"/>
      <c r="RF382" s="93"/>
      <c r="RG382" s="93"/>
      <c r="RH382" s="93"/>
      <c r="RI382" s="93"/>
      <c r="RJ382" s="93"/>
      <c r="RK382" s="93"/>
      <c r="RL382" s="93"/>
      <c r="RM382" s="20"/>
      <c r="RN382" s="29"/>
      <c r="RO382" s="19"/>
      <c r="RP382" s="20"/>
      <c r="RQ382" s="29"/>
      <c r="RR382" s="20"/>
      <c r="RS382" s="29"/>
      <c r="RT382" s="1504">
        <v>46082</v>
      </c>
      <c r="RU382" s="19"/>
      <c r="RV382" s="20"/>
      <c r="RW382" s="29"/>
      <c r="RX382" s="1504">
        <v>46082</v>
      </c>
      <c r="RY382" s="29"/>
      <c r="RZ382" s="20"/>
      <c r="SA382" s="29"/>
      <c r="SB382" s="29"/>
    </row>
    <row r="383" spans="1:496">
      <c r="A383" s="41">
        <f t="shared" si="346"/>
        <v>2026</v>
      </c>
      <c r="B383" s="1504">
        <v>46113</v>
      </c>
      <c r="C383" s="1813"/>
      <c r="D383" s="1814"/>
      <c r="E383" s="1814"/>
      <c r="F383" s="1815"/>
      <c r="G383" s="1814"/>
      <c r="H383" s="1814"/>
      <c r="I383" s="1814"/>
      <c r="J383" s="1816"/>
      <c r="K383" s="1807"/>
      <c r="L383" s="25"/>
      <c r="M383" s="97"/>
      <c r="N383" s="1504">
        <v>46113</v>
      </c>
      <c r="O383" s="19"/>
      <c r="P383" s="93"/>
      <c r="Q383" s="93"/>
      <c r="R383" s="93"/>
      <c r="S383" s="93"/>
      <c r="T383" s="93"/>
      <c r="U383" s="93"/>
      <c r="V383" s="93"/>
      <c r="W383" s="93"/>
      <c r="X383" s="93"/>
      <c r="Y383" s="93"/>
      <c r="Z383" s="93"/>
      <c r="AA383" s="93"/>
      <c r="AB383" s="20"/>
      <c r="AC383" s="25"/>
      <c r="AD383" s="97"/>
      <c r="AE383" s="1504">
        <v>46113</v>
      </c>
      <c r="AF383" s="19"/>
      <c r="AG383" s="93"/>
      <c r="AH383" s="93"/>
      <c r="AI383" s="93"/>
      <c r="AJ383" s="93"/>
      <c r="AK383" s="93"/>
      <c r="AL383" s="93"/>
      <c r="AM383" s="93"/>
      <c r="AN383" s="93"/>
      <c r="AO383" s="93"/>
      <c r="AP383" s="93"/>
      <c r="AQ383" s="93"/>
      <c r="AR383" s="93"/>
      <c r="AS383" s="20"/>
      <c r="AT383" s="25"/>
      <c r="AU383" s="97"/>
      <c r="AV383" s="1504">
        <v>46113</v>
      </c>
      <c r="AW383" s="19"/>
      <c r="AX383" s="93"/>
      <c r="AY383" s="93"/>
      <c r="AZ383" s="93"/>
      <c r="BA383" s="93"/>
      <c r="BB383" s="93"/>
      <c r="BC383" s="93"/>
      <c r="BD383" s="93"/>
      <c r="BE383" s="93"/>
      <c r="BF383" s="93"/>
      <c r="BG383" s="93"/>
      <c r="BH383" s="93"/>
      <c r="BI383" s="93"/>
      <c r="BJ383" s="20"/>
      <c r="BK383" s="25"/>
      <c r="BL383" s="97"/>
      <c r="BM383" s="1504">
        <v>46113</v>
      </c>
      <c r="BN383" s="19"/>
      <c r="BO383" s="93"/>
      <c r="BP383" s="93"/>
      <c r="BQ383" s="93"/>
      <c r="BR383" s="93"/>
      <c r="BS383" s="93"/>
      <c r="BT383" s="93"/>
      <c r="BU383" s="20"/>
      <c r="BV383" s="25"/>
      <c r="BW383" s="97"/>
      <c r="BX383" s="1504">
        <v>46113</v>
      </c>
      <c r="BY383" s="19"/>
      <c r="BZ383" s="93"/>
      <c r="CA383" s="93"/>
      <c r="CB383" s="93"/>
      <c r="CC383" s="93"/>
      <c r="CD383" s="25"/>
      <c r="CE383" s="97"/>
      <c r="CF383" s="1504">
        <v>46113</v>
      </c>
      <c r="CG383" s="19"/>
      <c r="CH383" s="93"/>
      <c r="CI383" s="219"/>
      <c r="CJ383" s="20"/>
      <c r="CK383" s="19"/>
      <c r="CL383" s="93"/>
      <c r="CM383" s="93"/>
      <c r="CN383" s="93"/>
      <c r="CO383" s="93"/>
      <c r="CP383" s="20"/>
      <c r="CQ383" s="219"/>
      <c r="CR383" s="93"/>
      <c r="CS383" s="93"/>
      <c r="CT383" s="93"/>
      <c r="CU383" s="93"/>
      <c r="CV383" s="214"/>
      <c r="CW383" s="29"/>
      <c r="CX383" s="41">
        <f t="shared" si="319"/>
        <v>2026</v>
      </c>
      <c r="CY383" s="1504">
        <v>46113</v>
      </c>
      <c r="CZ383" s="19"/>
      <c r="DA383" s="93"/>
      <c r="DB383" s="93"/>
      <c r="DC383" s="93"/>
      <c r="DD383" s="93"/>
      <c r="DE383" s="20"/>
      <c r="DF383" s="29"/>
      <c r="DG383" s="1504">
        <v>46113</v>
      </c>
      <c r="DH383" s="19"/>
      <c r="DI383" s="93"/>
      <c r="DJ383" s="93"/>
      <c r="DK383" s="93"/>
      <c r="DL383" s="93"/>
      <c r="DM383" s="93"/>
      <c r="DN383" s="20"/>
      <c r="DO383" s="295"/>
      <c r="DP383" s="29"/>
      <c r="DQ383" s="1504">
        <v>46113</v>
      </c>
      <c r="DR383" s="19"/>
      <c r="DS383" s="93"/>
      <c r="DT383" s="93"/>
      <c r="DU383" s="93"/>
      <c r="DV383" s="93"/>
      <c r="DW383" s="93"/>
      <c r="DX383" s="20"/>
      <c r="DY383" s="29"/>
      <c r="DZ383" s="1504">
        <v>46113</v>
      </c>
      <c r="EA383" s="19"/>
      <c r="EB383" s="93"/>
      <c r="EC383" s="20"/>
      <c r="ED383" s="29"/>
      <c r="EE383" s="1504">
        <v>46113</v>
      </c>
      <c r="EF383" s="19"/>
      <c r="EG383" s="93"/>
      <c r="EH383" s="93"/>
      <c r="EI383" s="214"/>
      <c r="EJ383" s="93"/>
      <c r="EK383" s="93"/>
      <c r="EL383" s="93"/>
      <c r="EM383" s="93"/>
      <c r="EN383" s="20"/>
      <c r="EO383" s="29"/>
      <c r="EP383" s="1504">
        <v>46113</v>
      </c>
      <c r="EQ383" s="19"/>
      <c r="ER383" s="93"/>
      <c r="ES383" s="93"/>
      <c r="ET383" s="214"/>
      <c r="EU383" s="93"/>
      <c r="EV383" s="93"/>
      <c r="EW383" s="93"/>
      <c r="EX383" s="93"/>
      <c r="EY383" s="20"/>
      <c r="EZ383" s="29"/>
      <c r="FA383" s="1504">
        <v>46113</v>
      </c>
      <c r="FB383" s="29"/>
      <c r="FC383" s="29"/>
      <c r="FD383" s="29"/>
      <c r="FE383" s="29"/>
      <c r="FF383" s="29"/>
      <c r="FG383" s="29"/>
      <c r="FH383" s="29"/>
      <c r="FI383" s="29"/>
      <c r="FJ383" s="29"/>
      <c r="FK383" s="29"/>
      <c r="FL383" s="1504">
        <v>46113</v>
      </c>
      <c r="FM383" s="19"/>
      <c r="FN383" s="93"/>
      <c r="FO383" s="93"/>
      <c r="FP383" s="93"/>
      <c r="FQ383" s="93"/>
      <c r="FR383" s="93"/>
      <c r="FS383" s="93"/>
      <c r="FT383" s="93"/>
      <c r="FU383" s="93"/>
      <c r="FV383" s="93"/>
      <c r="FW383" s="93"/>
      <c r="FX383" s="93"/>
      <c r="FY383" s="93"/>
      <c r="FZ383" s="29"/>
      <c r="GA383" s="1504">
        <v>46113</v>
      </c>
      <c r="GB383" s="19"/>
      <c r="GC383" s="93"/>
      <c r="GD383" s="93"/>
      <c r="GE383" s="93"/>
      <c r="GF383" s="93"/>
      <c r="GG383" s="93"/>
      <c r="GH383" s="93"/>
      <c r="GI383" s="93"/>
      <c r="GJ383" s="93"/>
      <c r="GK383" s="93"/>
      <c r="GL383" s="93"/>
      <c r="GM383" s="93"/>
      <c r="GN383" s="20"/>
      <c r="GO383" s="29"/>
      <c r="GP383" s="1504">
        <v>46113</v>
      </c>
      <c r="GQ383" s="19"/>
      <c r="GR383" s="93"/>
      <c r="GS383" s="93"/>
      <c r="GT383" s="93"/>
      <c r="GU383" s="93"/>
      <c r="GV383" s="20"/>
      <c r="GW383" s="19"/>
      <c r="GX383" s="93"/>
      <c r="GY383" s="93"/>
      <c r="GZ383" s="93"/>
      <c r="HA383" s="93"/>
      <c r="HB383" s="20"/>
      <c r="HC383" s="19"/>
      <c r="HD383" s="93"/>
      <c r="HE383" s="93"/>
      <c r="HF383" s="93"/>
      <c r="HG383" s="93"/>
      <c r="HH383" s="20"/>
      <c r="HI383" s="19"/>
      <c r="HJ383" s="93"/>
      <c r="HK383" s="93"/>
      <c r="HL383" s="93"/>
      <c r="HM383" s="93"/>
      <c r="HN383" s="20"/>
      <c r="HO383" s="219"/>
      <c r="HP383" s="20"/>
      <c r="HQ383" s="25"/>
      <c r="HR383" s="29"/>
      <c r="HS383" s="1504">
        <v>46113</v>
      </c>
      <c r="HT383" s="19"/>
      <c r="HU383" s="93"/>
      <c r="HV383" s="93"/>
      <c r="HW383" s="93"/>
      <c r="HX383" s="93"/>
      <c r="HY383" s="93"/>
      <c r="HZ383" s="93"/>
      <c r="IA383" s="20"/>
      <c r="IB383" s="19"/>
      <c r="IC383" s="93"/>
      <c r="ID383" s="93"/>
      <c r="IE383" s="93"/>
      <c r="IF383" s="93"/>
      <c r="IG383" s="20"/>
      <c r="IH383" s="19"/>
      <c r="II383" s="93"/>
      <c r="IJ383" s="93"/>
      <c r="IK383" s="93"/>
      <c r="IL383" s="93"/>
      <c r="IM383" s="93"/>
      <c r="IN383" s="93"/>
      <c r="IO383" s="20"/>
      <c r="IP383" s="29"/>
      <c r="IQ383" s="19"/>
      <c r="IR383" s="93"/>
      <c r="IS383" s="93"/>
      <c r="IT383" s="93"/>
      <c r="IU383" s="93"/>
      <c r="IV383" s="20"/>
      <c r="IW383" s="29"/>
      <c r="IX383" s="19"/>
      <c r="IY383" s="93"/>
      <c r="IZ383" s="93"/>
      <c r="JA383" s="93"/>
      <c r="JB383" s="93"/>
      <c r="JC383" s="93"/>
      <c r="JD383" s="93"/>
      <c r="JE383" s="20"/>
      <c r="JF383" s="29"/>
      <c r="JG383" s="19"/>
      <c r="JH383" s="93"/>
      <c r="JI383" s="93"/>
      <c r="JJ383" s="93"/>
      <c r="JK383" s="93"/>
      <c r="JL383" s="93"/>
      <c r="JM383" s="93"/>
      <c r="JN383" s="20"/>
      <c r="JO383" s="29"/>
      <c r="JP383" s="19"/>
      <c r="JQ383" s="93"/>
      <c r="JR383" s="93"/>
      <c r="JS383" s="93"/>
      <c r="JT383" s="93"/>
      <c r="JU383" s="20"/>
      <c r="JV383" s="29"/>
      <c r="JW383" s="1504">
        <v>46113</v>
      </c>
      <c r="JX383" s="19"/>
      <c r="JY383" s="93"/>
      <c r="JZ383" s="93"/>
      <c r="KA383" s="93"/>
      <c r="KB383" s="93"/>
      <c r="KC383" s="93"/>
      <c r="KD383" s="20"/>
      <c r="KE383" s="29"/>
      <c r="KF383" s="19"/>
      <c r="KG383" s="93"/>
      <c r="KH383" s="93"/>
      <c r="KI383" s="93"/>
      <c r="KJ383" s="93"/>
      <c r="KK383" s="20"/>
      <c r="KL383" s="29"/>
      <c r="KM383" s="19"/>
      <c r="KN383" s="93"/>
      <c r="KO383" s="93"/>
      <c r="KP383" s="93"/>
      <c r="KQ383" s="93"/>
      <c r="KR383" s="20"/>
      <c r="KS383" s="29"/>
      <c r="KT383" s="19"/>
      <c r="KU383" s="93"/>
      <c r="KV383" s="93"/>
      <c r="KW383" s="93"/>
      <c r="KX383" s="93"/>
      <c r="KY383" s="20"/>
      <c r="KZ383" s="29"/>
      <c r="LA383" s="1504">
        <v>46113</v>
      </c>
      <c r="LB383" s="19"/>
      <c r="LC383" s="93"/>
      <c r="LD383" s="93"/>
      <c r="LE383" s="93"/>
      <c r="LF383" s="93"/>
      <c r="LG383" s="93"/>
      <c r="LH383" s="20"/>
      <c r="LI383" s="29"/>
      <c r="LJ383" s="19"/>
      <c r="LK383" s="93"/>
      <c r="LL383" s="93"/>
      <c r="LM383" s="93"/>
      <c r="LN383" s="93"/>
      <c r="LO383" s="20"/>
      <c r="LP383" s="29"/>
      <c r="LQ383" s="19"/>
      <c r="LR383" s="93"/>
      <c r="LS383" s="93"/>
      <c r="LT383" s="93"/>
      <c r="LU383" s="93"/>
      <c r="LV383" s="93"/>
      <c r="LW383" s="93"/>
      <c r="LX383" s="93"/>
      <c r="LY383" s="93"/>
      <c r="LZ383" s="93"/>
      <c r="MA383" s="20"/>
      <c r="MB383" s="29"/>
      <c r="MC383" s="1504">
        <v>46113</v>
      </c>
      <c r="MD383" s="19"/>
      <c r="ME383" s="93"/>
      <c r="MF383" s="93"/>
      <c r="MG383" s="93"/>
      <c r="MH383" s="93"/>
      <c r="MI383" s="93"/>
      <c r="MJ383" s="93"/>
      <c r="MK383" s="93"/>
      <c r="ML383" s="93"/>
      <c r="MM383" s="93"/>
      <c r="MN383" s="93"/>
      <c r="MO383" s="93"/>
      <c r="MP383" s="93"/>
      <c r="MQ383" s="93"/>
      <c r="MR383" s="93"/>
      <c r="MS383" s="93"/>
      <c r="MT383" s="93"/>
      <c r="MU383" s="93"/>
      <c r="MV383" s="93"/>
      <c r="MW383" s="93"/>
      <c r="MX383" s="93"/>
      <c r="MY383" s="93"/>
      <c r="MZ383" s="93"/>
      <c r="NA383" s="93"/>
      <c r="NB383" s="93"/>
      <c r="NC383" s="93"/>
      <c r="ND383" s="93"/>
      <c r="NE383" s="93"/>
      <c r="NF383" s="93"/>
      <c r="NG383" s="93"/>
      <c r="NH383" s="93"/>
      <c r="NI383" s="93"/>
      <c r="NJ383" s="93"/>
      <c r="NK383" s="93"/>
      <c r="NL383" s="93"/>
      <c r="NM383" s="93"/>
      <c r="NN383" s="93"/>
      <c r="NO383" s="93"/>
      <c r="NP383" s="93"/>
      <c r="NQ383" s="93"/>
      <c r="NR383" s="93"/>
      <c r="NS383" s="93"/>
      <c r="NT383" s="93"/>
      <c r="NU383" s="93"/>
      <c r="NV383" s="93"/>
      <c r="NW383" s="93"/>
      <c r="NX383" s="93"/>
      <c r="NY383" s="93"/>
      <c r="NZ383" s="93"/>
      <c r="OA383" s="93"/>
      <c r="OB383" s="93"/>
      <c r="OC383" s="93"/>
      <c r="OD383" s="20"/>
      <c r="OE383" s="29"/>
      <c r="OF383" s="1504">
        <v>46113</v>
      </c>
      <c r="OG383" s="19"/>
      <c r="OH383" s="93"/>
      <c r="OI383" s="93"/>
      <c r="OJ383" s="93"/>
      <c r="OK383" s="93"/>
      <c r="OL383" s="93"/>
      <c r="OM383" s="93"/>
      <c r="ON383" s="93"/>
      <c r="OO383" s="93"/>
      <c r="OP383" s="93"/>
      <c r="OQ383" s="93"/>
      <c r="OR383" s="93"/>
      <c r="OS383" s="93"/>
      <c r="OT383" s="93"/>
      <c r="OU383" s="93"/>
      <c r="OV383" s="93"/>
      <c r="OW383" s="93"/>
      <c r="OX383" s="93"/>
      <c r="OY383" s="93"/>
      <c r="OZ383" s="93"/>
      <c r="PA383" s="93"/>
      <c r="PB383" s="93"/>
      <c r="PC383" s="20"/>
      <c r="PD383" s="29"/>
      <c r="PE383" s="19"/>
      <c r="PF383" s="93"/>
      <c r="PG383" s="93"/>
      <c r="PH383" s="93"/>
      <c r="PI383" s="93"/>
      <c r="PJ383" s="93"/>
      <c r="PK383" s="93"/>
      <c r="PL383" s="93"/>
      <c r="PM383" s="93"/>
      <c r="PN383" s="93"/>
      <c r="PO383" s="93"/>
      <c r="PP383" s="93"/>
      <c r="PQ383" s="93"/>
      <c r="PR383" s="93"/>
      <c r="PS383" s="93"/>
      <c r="PT383" s="93"/>
      <c r="PU383" s="93"/>
      <c r="PV383" s="93"/>
      <c r="PW383" s="93"/>
      <c r="PX383" s="93"/>
      <c r="PY383" s="93"/>
      <c r="PZ383" s="93"/>
      <c r="QA383" s="93"/>
      <c r="QB383" s="93"/>
      <c r="QC383" s="93"/>
      <c r="QD383" s="93"/>
      <c r="QE383" s="20"/>
      <c r="QF383" s="1739"/>
      <c r="QG383" s="19"/>
      <c r="QH383" s="93"/>
      <c r="QI383" s="93"/>
      <c r="QJ383" s="93"/>
      <c r="QK383" s="93"/>
      <c r="QL383" s="93"/>
      <c r="QM383" s="93"/>
      <c r="QN383" s="93"/>
      <c r="QO383" s="93"/>
      <c r="QP383" s="93"/>
      <c r="QQ383" s="93"/>
      <c r="QR383" s="93"/>
      <c r="QS383" s="93"/>
      <c r="QT383" s="93"/>
      <c r="QU383" s="93"/>
      <c r="QV383" s="93"/>
      <c r="QW383" s="93"/>
      <c r="QX383" s="93"/>
      <c r="QY383" s="93"/>
      <c r="QZ383" s="93"/>
      <c r="RA383" s="93"/>
      <c r="RB383" s="93"/>
      <c r="RC383" s="93"/>
      <c r="RD383" s="93"/>
      <c r="RE383" s="93"/>
      <c r="RF383" s="93"/>
      <c r="RG383" s="93"/>
      <c r="RH383" s="93"/>
      <c r="RI383" s="93"/>
      <c r="RJ383" s="93"/>
      <c r="RK383" s="93"/>
      <c r="RL383" s="93"/>
      <c r="RM383" s="20"/>
      <c r="RN383" s="29"/>
      <c r="RO383" s="19"/>
      <c r="RP383" s="20"/>
      <c r="RQ383" s="29"/>
      <c r="RR383" s="20"/>
      <c r="RS383" s="29"/>
      <c r="RT383" s="1504">
        <v>46113</v>
      </c>
      <c r="RU383" s="19"/>
      <c r="RV383" s="20"/>
      <c r="RW383" s="29"/>
      <c r="RX383" s="1504">
        <v>46113</v>
      </c>
      <c r="RY383" s="29"/>
      <c r="RZ383" s="20"/>
      <c r="SA383" s="29"/>
      <c r="SB383" s="29"/>
    </row>
    <row r="384" spans="1:496">
      <c r="A384" s="41">
        <f t="shared" si="346"/>
        <v>2026</v>
      </c>
      <c r="B384" s="1504">
        <v>46143</v>
      </c>
      <c r="C384" s="1813"/>
      <c r="D384" s="1814"/>
      <c r="E384" s="1814"/>
      <c r="F384" s="1815"/>
      <c r="G384" s="1814"/>
      <c r="H384" s="1814"/>
      <c r="I384" s="1814"/>
      <c r="J384" s="1816"/>
      <c r="K384" s="1807"/>
      <c r="L384" s="25"/>
      <c r="M384" s="97"/>
      <c r="N384" s="1504">
        <v>46143</v>
      </c>
      <c r="O384" s="19"/>
      <c r="P384" s="93"/>
      <c r="Q384" s="93"/>
      <c r="R384" s="93"/>
      <c r="S384" s="93"/>
      <c r="T384" s="93"/>
      <c r="U384" s="93"/>
      <c r="V384" s="93"/>
      <c r="W384" s="93"/>
      <c r="X384" s="93"/>
      <c r="Y384" s="93"/>
      <c r="Z384" s="93"/>
      <c r="AA384" s="93"/>
      <c r="AB384" s="20"/>
      <c r="AC384" s="25"/>
      <c r="AD384" s="97"/>
      <c r="AE384" s="1504">
        <v>46143</v>
      </c>
      <c r="AF384" s="19"/>
      <c r="AG384" s="93"/>
      <c r="AH384" s="93"/>
      <c r="AI384" s="93"/>
      <c r="AJ384" s="93"/>
      <c r="AK384" s="93"/>
      <c r="AL384" s="93"/>
      <c r="AM384" s="93"/>
      <c r="AN384" s="93"/>
      <c r="AO384" s="93"/>
      <c r="AP384" s="93"/>
      <c r="AQ384" s="93"/>
      <c r="AR384" s="93"/>
      <c r="AS384" s="20"/>
      <c r="AT384" s="25"/>
      <c r="AU384" s="97"/>
      <c r="AV384" s="1504">
        <v>46143</v>
      </c>
      <c r="AW384" s="19"/>
      <c r="AX384" s="93"/>
      <c r="AY384" s="93"/>
      <c r="AZ384" s="93"/>
      <c r="BA384" s="93"/>
      <c r="BB384" s="93"/>
      <c r="BC384" s="93"/>
      <c r="BD384" s="93"/>
      <c r="BE384" s="93"/>
      <c r="BF384" s="93"/>
      <c r="BG384" s="93"/>
      <c r="BH384" s="93"/>
      <c r="BI384" s="93"/>
      <c r="BJ384" s="20"/>
      <c r="BK384" s="25"/>
      <c r="BL384" s="97"/>
      <c r="BM384" s="1504">
        <v>46143</v>
      </c>
      <c r="BN384" s="19"/>
      <c r="BO384" s="93"/>
      <c r="BP384" s="93"/>
      <c r="BQ384" s="93"/>
      <c r="BR384" s="93"/>
      <c r="BS384" s="93"/>
      <c r="BT384" s="93"/>
      <c r="BU384" s="20"/>
      <c r="BV384" s="25"/>
      <c r="BW384" s="97"/>
      <c r="BX384" s="1504">
        <v>46143</v>
      </c>
      <c r="BY384" s="19"/>
      <c r="BZ384" s="93"/>
      <c r="CA384" s="93"/>
      <c r="CB384" s="93"/>
      <c r="CC384" s="93"/>
      <c r="CD384" s="25"/>
      <c r="CE384" s="97"/>
      <c r="CF384" s="1504">
        <v>46143</v>
      </c>
      <c r="CG384" s="19"/>
      <c r="CH384" s="93"/>
      <c r="CI384" s="219"/>
      <c r="CJ384" s="20"/>
      <c r="CK384" s="19"/>
      <c r="CL384" s="93"/>
      <c r="CM384" s="93"/>
      <c r="CN384" s="93"/>
      <c r="CO384" s="93"/>
      <c r="CP384" s="20"/>
      <c r="CQ384" s="219"/>
      <c r="CR384" s="93"/>
      <c r="CS384" s="93"/>
      <c r="CT384" s="93"/>
      <c r="CU384" s="93"/>
      <c r="CV384" s="214"/>
      <c r="CW384" s="29"/>
      <c r="CX384" s="41">
        <f t="shared" si="319"/>
        <v>2026</v>
      </c>
      <c r="CY384" s="1504">
        <v>46143</v>
      </c>
      <c r="CZ384" s="19"/>
      <c r="DA384" s="93"/>
      <c r="DB384" s="93"/>
      <c r="DC384" s="93"/>
      <c r="DD384" s="93"/>
      <c r="DE384" s="20"/>
      <c r="DF384" s="29"/>
      <c r="DG384" s="1504">
        <v>46143</v>
      </c>
      <c r="DH384" s="19"/>
      <c r="DI384" s="93"/>
      <c r="DJ384" s="93"/>
      <c r="DK384" s="93"/>
      <c r="DL384" s="93"/>
      <c r="DM384" s="93"/>
      <c r="DN384" s="20"/>
      <c r="DO384" s="295"/>
      <c r="DP384" s="29"/>
      <c r="DQ384" s="1504">
        <v>46143</v>
      </c>
      <c r="DR384" s="19"/>
      <c r="DS384" s="93"/>
      <c r="DT384" s="93"/>
      <c r="DU384" s="93"/>
      <c r="DV384" s="93"/>
      <c r="DW384" s="93"/>
      <c r="DX384" s="20"/>
      <c r="DY384" s="29"/>
      <c r="DZ384" s="1504">
        <v>46143</v>
      </c>
      <c r="EA384" s="19"/>
      <c r="EB384" s="93"/>
      <c r="EC384" s="20"/>
      <c r="ED384" s="29"/>
      <c r="EE384" s="1504">
        <v>46143</v>
      </c>
      <c r="EF384" s="19"/>
      <c r="EG384" s="93"/>
      <c r="EH384" s="93"/>
      <c r="EI384" s="214"/>
      <c r="EJ384" s="93"/>
      <c r="EK384" s="93"/>
      <c r="EL384" s="93"/>
      <c r="EM384" s="93"/>
      <c r="EN384" s="20"/>
      <c r="EO384" s="29"/>
      <c r="EP384" s="1504">
        <v>46143</v>
      </c>
      <c r="EQ384" s="19"/>
      <c r="ER384" s="93"/>
      <c r="ES384" s="93"/>
      <c r="ET384" s="214"/>
      <c r="EU384" s="93"/>
      <c r="EV384" s="93"/>
      <c r="EW384" s="93"/>
      <c r="EX384" s="93"/>
      <c r="EY384" s="20"/>
      <c r="EZ384" s="29"/>
      <c r="FA384" s="1504">
        <v>46143</v>
      </c>
      <c r="FB384" s="29"/>
      <c r="FC384" s="29"/>
      <c r="FD384" s="29"/>
      <c r="FE384" s="29"/>
      <c r="FF384" s="29"/>
      <c r="FG384" s="29"/>
      <c r="FH384" s="29"/>
      <c r="FI384" s="29"/>
      <c r="FJ384" s="29"/>
      <c r="FK384" s="29"/>
      <c r="FL384" s="1504">
        <v>46143</v>
      </c>
      <c r="FM384" s="19"/>
      <c r="FN384" s="93"/>
      <c r="FO384" s="93"/>
      <c r="FP384" s="93"/>
      <c r="FQ384" s="93"/>
      <c r="FR384" s="93"/>
      <c r="FS384" s="93"/>
      <c r="FT384" s="93"/>
      <c r="FU384" s="93"/>
      <c r="FV384" s="93"/>
      <c r="FW384" s="93"/>
      <c r="FX384" s="93"/>
      <c r="FY384" s="93"/>
      <c r="FZ384" s="29"/>
      <c r="GA384" s="1504">
        <v>46143</v>
      </c>
      <c r="GB384" s="19"/>
      <c r="GC384" s="93"/>
      <c r="GD384" s="93"/>
      <c r="GE384" s="93"/>
      <c r="GF384" s="93"/>
      <c r="GG384" s="93"/>
      <c r="GH384" s="93"/>
      <c r="GI384" s="93"/>
      <c r="GJ384" s="93"/>
      <c r="GK384" s="93"/>
      <c r="GL384" s="93"/>
      <c r="GM384" s="93"/>
      <c r="GN384" s="20"/>
      <c r="GO384" s="29"/>
      <c r="GP384" s="1504">
        <v>46143</v>
      </c>
      <c r="GQ384" s="19"/>
      <c r="GR384" s="93"/>
      <c r="GS384" s="93"/>
      <c r="GT384" s="93"/>
      <c r="GU384" s="93"/>
      <c r="GV384" s="20"/>
      <c r="GW384" s="19"/>
      <c r="GX384" s="93"/>
      <c r="GY384" s="93"/>
      <c r="GZ384" s="93"/>
      <c r="HA384" s="93"/>
      <c r="HB384" s="20"/>
      <c r="HC384" s="19"/>
      <c r="HD384" s="93"/>
      <c r="HE384" s="93"/>
      <c r="HF384" s="93"/>
      <c r="HG384" s="93"/>
      <c r="HH384" s="20"/>
      <c r="HI384" s="19"/>
      <c r="HJ384" s="93"/>
      <c r="HK384" s="93"/>
      <c r="HL384" s="93"/>
      <c r="HM384" s="93"/>
      <c r="HN384" s="20"/>
      <c r="HO384" s="219"/>
      <c r="HP384" s="20"/>
      <c r="HQ384" s="25"/>
      <c r="HR384" s="29"/>
      <c r="HS384" s="1504">
        <v>46143</v>
      </c>
      <c r="HT384" s="19"/>
      <c r="HU384" s="93"/>
      <c r="HV384" s="93"/>
      <c r="HW384" s="93"/>
      <c r="HX384" s="93"/>
      <c r="HY384" s="93"/>
      <c r="HZ384" s="93"/>
      <c r="IA384" s="20"/>
      <c r="IB384" s="19"/>
      <c r="IC384" s="93"/>
      <c r="ID384" s="93"/>
      <c r="IE384" s="93"/>
      <c r="IF384" s="93"/>
      <c r="IG384" s="20"/>
      <c r="IH384" s="19"/>
      <c r="II384" s="93"/>
      <c r="IJ384" s="93"/>
      <c r="IK384" s="93"/>
      <c r="IL384" s="93"/>
      <c r="IM384" s="93"/>
      <c r="IN384" s="93"/>
      <c r="IO384" s="20"/>
      <c r="IP384" s="29"/>
      <c r="IQ384" s="19"/>
      <c r="IR384" s="93"/>
      <c r="IS384" s="93"/>
      <c r="IT384" s="93"/>
      <c r="IU384" s="93"/>
      <c r="IV384" s="20"/>
      <c r="IW384" s="29"/>
      <c r="IX384" s="19"/>
      <c r="IY384" s="93"/>
      <c r="IZ384" s="93"/>
      <c r="JA384" s="93"/>
      <c r="JB384" s="93"/>
      <c r="JC384" s="93"/>
      <c r="JD384" s="93"/>
      <c r="JE384" s="20"/>
      <c r="JF384" s="29"/>
      <c r="JG384" s="19"/>
      <c r="JH384" s="93"/>
      <c r="JI384" s="93"/>
      <c r="JJ384" s="93"/>
      <c r="JK384" s="93"/>
      <c r="JL384" s="93"/>
      <c r="JM384" s="93"/>
      <c r="JN384" s="20"/>
      <c r="JO384" s="29"/>
      <c r="JP384" s="19"/>
      <c r="JQ384" s="93"/>
      <c r="JR384" s="93"/>
      <c r="JS384" s="93"/>
      <c r="JT384" s="93"/>
      <c r="JU384" s="20"/>
      <c r="JV384" s="29"/>
      <c r="JW384" s="1504">
        <v>46143</v>
      </c>
      <c r="JX384" s="19"/>
      <c r="JY384" s="93"/>
      <c r="JZ384" s="93"/>
      <c r="KA384" s="93"/>
      <c r="KB384" s="93"/>
      <c r="KC384" s="93"/>
      <c r="KD384" s="20"/>
      <c r="KE384" s="29"/>
      <c r="KF384" s="19"/>
      <c r="KG384" s="93"/>
      <c r="KH384" s="93"/>
      <c r="KI384" s="93"/>
      <c r="KJ384" s="93"/>
      <c r="KK384" s="20"/>
      <c r="KL384" s="29"/>
      <c r="KM384" s="19"/>
      <c r="KN384" s="93"/>
      <c r="KO384" s="93"/>
      <c r="KP384" s="93"/>
      <c r="KQ384" s="93"/>
      <c r="KR384" s="20"/>
      <c r="KS384" s="29"/>
      <c r="KT384" s="19"/>
      <c r="KU384" s="93"/>
      <c r="KV384" s="93"/>
      <c r="KW384" s="93"/>
      <c r="KX384" s="93"/>
      <c r="KY384" s="20"/>
      <c r="KZ384" s="29"/>
      <c r="LA384" s="1504">
        <v>46143</v>
      </c>
      <c r="LB384" s="19"/>
      <c r="LC384" s="93"/>
      <c r="LD384" s="93"/>
      <c r="LE384" s="93"/>
      <c r="LF384" s="93"/>
      <c r="LG384" s="93"/>
      <c r="LH384" s="20"/>
      <c r="LI384" s="29"/>
      <c r="LJ384" s="19"/>
      <c r="LK384" s="93"/>
      <c r="LL384" s="93"/>
      <c r="LM384" s="93"/>
      <c r="LN384" s="93"/>
      <c r="LO384" s="20"/>
      <c r="LP384" s="29"/>
      <c r="LQ384" s="19"/>
      <c r="LR384" s="93"/>
      <c r="LS384" s="93"/>
      <c r="LT384" s="93"/>
      <c r="LU384" s="93"/>
      <c r="LV384" s="93"/>
      <c r="LW384" s="93"/>
      <c r="LX384" s="93"/>
      <c r="LY384" s="93"/>
      <c r="LZ384" s="93"/>
      <c r="MA384" s="20"/>
      <c r="MB384" s="29"/>
      <c r="MC384" s="1504">
        <v>46143</v>
      </c>
      <c r="MD384" s="19"/>
      <c r="ME384" s="93"/>
      <c r="MF384" s="93"/>
      <c r="MG384" s="93"/>
      <c r="MH384" s="93"/>
      <c r="MI384" s="93"/>
      <c r="MJ384" s="93"/>
      <c r="MK384" s="93"/>
      <c r="ML384" s="93"/>
      <c r="MM384" s="93"/>
      <c r="MN384" s="93"/>
      <c r="MO384" s="93"/>
      <c r="MP384" s="93"/>
      <c r="MQ384" s="93"/>
      <c r="MR384" s="93"/>
      <c r="MS384" s="93"/>
      <c r="MT384" s="93"/>
      <c r="MU384" s="93"/>
      <c r="MV384" s="93"/>
      <c r="MW384" s="93"/>
      <c r="MX384" s="93"/>
      <c r="MY384" s="93"/>
      <c r="MZ384" s="93"/>
      <c r="NA384" s="93"/>
      <c r="NB384" s="93"/>
      <c r="NC384" s="93"/>
      <c r="ND384" s="93"/>
      <c r="NE384" s="93"/>
      <c r="NF384" s="93"/>
      <c r="NG384" s="93"/>
      <c r="NH384" s="93"/>
      <c r="NI384" s="93"/>
      <c r="NJ384" s="93"/>
      <c r="NK384" s="93"/>
      <c r="NL384" s="93"/>
      <c r="NM384" s="93"/>
      <c r="NN384" s="93"/>
      <c r="NO384" s="93"/>
      <c r="NP384" s="93"/>
      <c r="NQ384" s="93"/>
      <c r="NR384" s="93"/>
      <c r="NS384" s="93"/>
      <c r="NT384" s="93"/>
      <c r="NU384" s="93"/>
      <c r="NV384" s="93"/>
      <c r="NW384" s="93"/>
      <c r="NX384" s="93"/>
      <c r="NY384" s="93"/>
      <c r="NZ384" s="93"/>
      <c r="OA384" s="93"/>
      <c r="OB384" s="93"/>
      <c r="OC384" s="93"/>
      <c r="OD384" s="20"/>
      <c r="OE384" s="29"/>
      <c r="OF384" s="1504">
        <v>46143</v>
      </c>
      <c r="OG384" s="19"/>
      <c r="OH384" s="93"/>
      <c r="OI384" s="93"/>
      <c r="OJ384" s="93"/>
      <c r="OK384" s="93"/>
      <c r="OL384" s="93"/>
      <c r="OM384" s="93"/>
      <c r="ON384" s="93"/>
      <c r="OO384" s="93"/>
      <c r="OP384" s="93"/>
      <c r="OQ384" s="93"/>
      <c r="OR384" s="93"/>
      <c r="OS384" s="93"/>
      <c r="OT384" s="93"/>
      <c r="OU384" s="93"/>
      <c r="OV384" s="93"/>
      <c r="OW384" s="93"/>
      <c r="OX384" s="93"/>
      <c r="OY384" s="93"/>
      <c r="OZ384" s="93"/>
      <c r="PA384" s="93"/>
      <c r="PB384" s="93"/>
      <c r="PC384" s="20"/>
      <c r="PD384" s="29"/>
      <c r="PE384" s="19"/>
      <c r="PF384" s="93"/>
      <c r="PG384" s="93"/>
      <c r="PH384" s="93"/>
      <c r="PI384" s="93"/>
      <c r="PJ384" s="93"/>
      <c r="PK384" s="93"/>
      <c r="PL384" s="93"/>
      <c r="PM384" s="93"/>
      <c r="PN384" s="93"/>
      <c r="PO384" s="93"/>
      <c r="PP384" s="93"/>
      <c r="PQ384" s="93"/>
      <c r="PR384" s="93"/>
      <c r="PS384" s="93"/>
      <c r="PT384" s="93"/>
      <c r="PU384" s="93"/>
      <c r="PV384" s="93"/>
      <c r="PW384" s="93"/>
      <c r="PX384" s="93"/>
      <c r="PY384" s="93"/>
      <c r="PZ384" s="93"/>
      <c r="QA384" s="93"/>
      <c r="QB384" s="93"/>
      <c r="QC384" s="93"/>
      <c r="QD384" s="93"/>
      <c r="QE384" s="20"/>
      <c r="QF384" s="1739"/>
      <c r="QG384" s="19"/>
      <c r="QH384" s="93"/>
      <c r="QI384" s="93"/>
      <c r="QJ384" s="93"/>
      <c r="QK384" s="93"/>
      <c r="QL384" s="93"/>
      <c r="QM384" s="93"/>
      <c r="QN384" s="93"/>
      <c r="QO384" s="93"/>
      <c r="QP384" s="93"/>
      <c r="QQ384" s="93"/>
      <c r="QR384" s="93"/>
      <c r="QS384" s="93"/>
      <c r="QT384" s="93"/>
      <c r="QU384" s="93"/>
      <c r="QV384" s="93"/>
      <c r="QW384" s="93"/>
      <c r="QX384" s="93"/>
      <c r="QY384" s="93"/>
      <c r="QZ384" s="93"/>
      <c r="RA384" s="93"/>
      <c r="RB384" s="93"/>
      <c r="RC384" s="93"/>
      <c r="RD384" s="93"/>
      <c r="RE384" s="93"/>
      <c r="RF384" s="93"/>
      <c r="RG384" s="93"/>
      <c r="RH384" s="93"/>
      <c r="RI384" s="93"/>
      <c r="RJ384" s="93"/>
      <c r="RK384" s="93"/>
      <c r="RL384" s="93"/>
      <c r="RM384" s="20"/>
      <c r="RN384" s="29"/>
      <c r="RO384" s="19"/>
      <c r="RP384" s="20"/>
      <c r="RQ384" s="29"/>
      <c r="RR384" s="20"/>
      <c r="RS384" s="29"/>
      <c r="RT384" s="1504">
        <v>46143</v>
      </c>
      <c r="RU384" s="19"/>
      <c r="RV384" s="20"/>
      <c r="RW384" s="29"/>
      <c r="RX384" s="1504">
        <v>46143</v>
      </c>
      <c r="RY384" s="29"/>
      <c r="RZ384" s="20"/>
      <c r="SA384" s="29"/>
      <c r="SB384" s="29"/>
    </row>
    <row r="385" spans="1:496">
      <c r="A385" s="41">
        <f t="shared" si="346"/>
        <v>2026</v>
      </c>
      <c r="B385" s="1504">
        <v>46174</v>
      </c>
      <c r="C385" s="1813"/>
      <c r="D385" s="1814"/>
      <c r="E385" s="1814"/>
      <c r="F385" s="1815"/>
      <c r="G385" s="1814"/>
      <c r="H385" s="1814"/>
      <c r="I385" s="1814"/>
      <c r="J385" s="1816"/>
      <c r="K385" s="1807"/>
      <c r="L385" s="25"/>
      <c r="M385" s="97"/>
      <c r="N385" s="1504">
        <v>46174</v>
      </c>
      <c r="O385" s="19"/>
      <c r="P385" s="93"/>
      <c r="Q385" s="93"/>
      <c r="R385" s="93"/>
      <c r="S385" s="93"/>
      <c r="T385" s="93"/>
      <c r="U385" s="93"/>
      <c r="V385" s="93"/>
      <c r="W385" s="93"/>
      <c r="X385" s="93"/>
      <c r="Y385" s="93"/>
      <c r="Z385" s="93"/>
      <c r="AA385" s="93"/>
      <c r="AB385" s="20"/>
      <c r="AC385" s="25"/>
      <c r="AD385" s="97"/>
      <c r="AE385" s="1504">
        <v>46174</v>
      </c>
      <c r="AF385" s="19"/>
      <c r="AG385" s="93"/>
      <c r="AH385" s="93"/>
      <c r="AI385" s="93"/>
      <c r="AJ385" s="93"/>
      <c r="AK385" s="93"/>
      <c r="AL385" s="93"/>
      <c r="AM385" s="93"/>
      <c r="AN385" s="93"/>
      <c r="AO385" s="93"/>
      <c r="AP385" s="93"/>
      <c r="AQ385" s="93"/>
      <c r="AR385" s="93"/>
      <c r="AS385" s="20"/>
      <c r="AT385" s="25"/>
      <c r="AU385" s="97"/>
      <c r="AV385" s="1504">
        <v>46174</v>
      </c>
      <c r="AW385" s="19"/>
      <c r="AX385" s="93"/>
      <c r="AY385" s="93"/>
      <c r="AZ385" s="93"/>
      <c r="BA385" s="93"/>
      <c r="BB385" s="93"/>
      <c r="BC385" s="93"/>
      <c r="BD385" s="93"/>
      <c r="BE385" s="93"/>
      <c r="BF385" s="93"/>
      <c r="BG385" s="93"/>
      <c r="BH385" s="93"/>
      <c r="BI385" s="93"/>
      <c r="BJ385" s="20"/>
      <c r="BK385" s="25"/>
      <c r="BL385" s="97"/>
      <c r="BM385" s="1504">
        <v>46174</v>
      </c>
      <c r="BN385" s="19"/>
      <c r="BO385" s="93"/>
      <c r="BP385" s="93"/>
      <c r="BQ385" s="93"/>
      <c r="BR385" s="93"/>
      <c r="BS385" s="93"/>
      <c r="BT385" s="93"/>
      <c r="BU385" s="20"/>
      <c r="BV385" s="25"/>
      <c r="BW385" s="97"/>
      <c r="BX385" s="1504">
        <v>46174</v>
      </c>
      <c r="BY385" s="19"/>
      <c r="BZ385" s="93"/>
      <c r="CA385" s="93"/>
      <c r="CB385" s="93"/>
      <c r="CC385" s="93"/>
      <c r="CD385" s="25"/>
      <c r="CE385" s="97"/>
      <c r="CF385" s="1504">
        <v>46174</v>
      </c>
      <c r="CG385" s="19"/>
      <c r="CH385" s="93"/>
      <c r="CI385" s="219"/>
      <c r="CJ385" s="20"/>
      <c r="CK385" s="19"/>
      <c r="CL385" s="93"/>
      <c r="CM385" s="93"/>
      <c r="CN385" s="93"/>
      <c r="CO385" s="93"/>
      <c r="CP385" s="20"/>
      <c r="CQ385" s="219"/>
      <c r="CR385" s="93"/>
      <c r="CS385" s="93"/>
      <c r="CT385" s="93"/>
      <c r="CU385" s="93"/>
      <c r="CV385" s="214"/>
      <c r="CW385" s="29"/>
      <c r="CX385" s="41">
        <f t="shared" si="319"/>
        <v>2026</v>
      </c>
      <c r="CY385" s="1504">
        <v>46174</v>
      </c>
      <c r="CZ385" s="19"/>
      <c r="DA385" s="93"/>
      <c r="DB385" s="93"/>
      <c r="DC385" s="93"/>
      <c r="DD385" s="93"/>
      <c r="DE385" s="20"/>
      <c r="DF385" s="29"/>
      <c r="DG385" s="1504">
        <v>46174</v>
      </c>
      <c r="DH385" s="19"/>
      <c r="DI385" s="93"/>
      <c r="DJ385" s="93"/>
      <c r="DK385" s="93"/>
      <c r="DL385" s="93"/>
      <c r="DM385" s="93"/>
      <c r="DN385" s="20"/>
      <c r="DO385" s="295"/>
      <c r="DP385" s="29"/>
      <c r="DQ385" s="1504">
        <v>46174</v>
      </c>
      <c r="DR385" s="19"/>
      <c r="DS385" s="93"/>
      <c r="DT385" s="93"/>
      <c r="DU385" s="93"/>
      <c r="DV385" s="93"/>
      <c r="DW385" s="93"/>
      <c r="DX385" s="20"/>
      <c r="DY385" s="29"/>
      <c r="DZ385" s="1504">
        <v>46174</v>
      </c>
      <c r="EA385" s="19"/>
      <c r="EB385" s="93"/>
      <c r="EC385" s="20"/>
      <c r="ED385" s="29"/>
      <c r="EE385" s="1504">
        <v>46174</v>
      </c>
      <c r="EF385" s="19"/>
      <c r="EG385" s="93"/>
      <c r="EH385" s="93"/>
      <c r="EI385" s="214"/>
      <c r="EJ385" s="93"/>
      <c r="EK385" s="93"/>
      <c r="EL385" s="93"/>
      <c r="EM385" s="93"/>
      <c r="EN385" s="20"/>
      <c r="EO385" s="29"/>
      <c r="EP385" s="1504">
        <v>46174</v>
      </c>
      <c r="EQ385" s="19"/>
      <c r="ER385" s="93"/>
      <c r="ES385" s="93"/>
      <c r="ET385" s="214"/>
      <c r="EU385" s="93"/>
      <c r="EV385" s="93"/>
      <c r="EW385" s="93"/>
      <c r="EX385" s="93"/>
      <c r="EY385" s="20"/>
      <c r="EZ385" s="29"/>
      <c r="FA385" s="1504">
        <v>46174</v>
      </c>
      <c r="FB385" s="29"/>
      <c r="FC385" s="29"/>
      <c r="FD385" s="29"/>
      <c r="FE385" s="29"/>
      <c r="FF385" s="29"/>
      <c r="FG385" s="29"/>
      <c r="FH385" s="29"/>
      <c r="FI385" s="29"/>
      <c r="FJ385" s="29"/>
      <c r="FK385" s="29"/>
      <c r="FL385" s="1504">
        <v>46174</v>
      </c>
      <c r="FM385" s="19"/>
      <c r="FN385" s="93"/>
      <c r="FO385" s="93"/>
      <c r="FP385" s="93"/>
      <c r="FQ385" s="93"/>
      <c r="FR385" s="93"/>
      <c r="FS385" s="93"/>
      <c r="FT385" s="93"/>
      <c r="FU385" s="93"/>
      <c r="FV385" s="93"/>
      <c r="FW385" s="93"/>
      <c r="FX385" s="93"/>
      <c r="FY385" s="93"/>
      <c r="FZ385" s="29"/>
      <c r="GA385" s="1504">
        <v>46174</v>
      </c>
      <c r="GB385" s="19"/>
      <c r="GC385" s="93"/>
      <c r="GD385" s="93"/>
      <c r="GE385" s="93"/>
      <c r="GF385" s="93"/>
      <c r="GG385" s="93"/>
      <c r="GH385" s="93"/>
      <c r="GI385" s="93"/>
      <c r="GJ385" s="93"/>
      <c r="GK385" s="93"/>
      <c r="GL385" s="93"/>
      <c r="GM385" s="93"/>
      <c r="GN385" s="20"/>
      <c r="GO385" s="29"/>
      <c r="GP385" s="1504">
        <v>46174</v>
      </c>
      <c r="GQ385" s="19"/>
      <c r="GR385" s="93"/>
      <c r="GS385" s="93"/>
      <c r="GT385" s="93"/>
      <c r="GU385" s="93"/>
      <c r="GV385" s="20"/>
      <c r="GW385" s="19"/>
      <c r="GX385" s="93"/>
      <c r="GY385" s="93"/>
      <c r="GZ385" s="93"/>
      <c r="HA385" s="93"/>
      <c r="HB385" s="20"/>
      <c r="HC385" s="19"/>
      <c r="HD385" s="93"/>
      <c r="HE385" s="93"/>
      <c r="HF385" s="93"/>
      <c r="HG385" s="93"/>
      <c r="HH385" s="20"/>
      <c r="HI385" s="19"/>
      <c r="HJ385" s="93"/>
      <c r="HK385" s="93"/>
      <c r="HL385" s="93"/>
      <c r="HM385" s="93"/>
      <c r="HN385" s="20"/>
      <c r="HO385" s="219"/>
      <c r="HP385" s="20"/>
      <c r="HQ385" s="25"/>
      <c r="HR385" s="29"/>
      <c r="HS385" s="1504">
        <v>46174</v>
      </c>
      <c r="HT385" s="19"/>
      <c r="HU385" s="93"/>
      <c r="HV385" s="93"/>
      <c r="HW385" s="93"/>
      <c r="HX385" s="93"/>
      <c r="HY385" s="93"/>
      <c r="HZ385" s="93"/>
      <c r="IA385" s="20"/>
      <c r="IB385" s="19"/>
      <c r="IC385" s="93"/>
      <c r="ID385" s="93"/>
      <c r="IE385" s="93"/>
      <c r="IF385" s="93"/>
      <c r="IG385" s="20"/>
      <c r="IH385" s="19"/>
      <c r="II385" s="93"/>
      <c r="IJ385" s="93"/>
      <c r="IK385" s="93"/>
      <c r="IL385" s="93"/>
      <c r="IM385" s="93"/>
      <c r="IN385" s="93"/>
      <c r="IO385" s="20"/>
      <c r="IP385" s="29"/>
      <c r="IQ385" s="19"/>
      <c r="IR385" s="93"/>
      <c r="IS385" s="93"/>
      <c r="IT385" s="93"/>
      <c r="IU385" s="93"/>
      <c r="IV385" s="20"/>
      <c r="IW385" s="29"/>
      <c r="IX385" s="19"/>
      <c r="IY385" s="93"/>
      <c r="IZ385" s="93"/>
      <c r="JA385" s="93"/>
      <c r="JB385" s="93"/>
      <c r="JC385" s="93"/>
      <c r="JD385" s="93"/>
      <c r="JE385" s="20"/>
      <c r="JF385" s="29"/>
      <c r="JG385" s="19"/>
      <c r="JH385" s="93"/>
      <c r="JI385" s="93"/>
      <c r="JJ385" s="93"/>
      <c r="JK385" s="93"/>
      <c r="JL385" s="93"/>
      <c r="JM385" s="93"/>
      <c r="JN385" s="20"/>
      <c r="JO385" s="29"/>
      <c r="JP385" s="19"/>
      <c r="JQ385" s="93"/>
      <c r="JR385" s="93"/>
      <c r="JS385" s="93"/>
      <c r="JT385" s="93"/>
      <c r="JU385" s="20"/>
      <c r="JV385" s="29"/>
      <c r="JW385" s="1504">
        <v>46174</v>
      </c>
      <c r="JX385" s="19"/>
      <c r="JY385" s="93"/>
      <c r="JZ385" s="93"/>
      <c r="KA385" s="93"/>
      <c r="KB385" s="93"/>
      <c r="KC385" s="93"/>
      <c r="KD385" s="20"/>
      <c r="KE385" s="29"/>
      <c r="KF385" s="19"/>
      <c r="KG385" s="93"/>
      <c r="KH385" s="93"/>
      <c r="KI385" s="93"/>
      <c r="KJ385" s="93"/>
      <c r="KK385" s="20"/>
      <c r="KL385" s="29"/>
      <c r="KM385" s="19"/>
      <c r="KN385" s="93"/>
      <c r="KO385" s="93"/>
      <c r="KP385" s="93"/>
      <c r="KQ385" s="93"/>
      <c r="KR385" s="20"/>
      <c r="KS385" s="29"/>
      <c r="KT385" s="19"/>
      <c r="KU385" s="93"/>
      <c r="KV385" s="93"/>
      <c r="KW385" s="93"/>
      <c r="KX385" s="93"/>
      <c r="KY385" s="20"/>
      <c r="KZ385" s="29"/>
      <c r="LA385" s="1504">
        <v>46174</v>
      </c>
      <c r="LB385" s="19"/>
      <c r="LC385" s="93"/>
      <c r="LD385" s="93"/>
      <c r="LE385" s="93"/>
      <c r="LF385" s="93"/>
      <c r="LG385" s="93"/>
      <c r="LH385" s="20"/>
      <c r="LI385" s="29"/>
      <c r="LJ385" s="19"/>
      <c r="LK385" s="93"/>
      <c r="LL385" s="93"/>
      <c r="LM385" s="93"/>
      <c r="LN385" s="93"/>
      <c r="LO385" s="20"/>
      <c r="LP385" s="29"/>
      <c r="LQ385" s="19"/>
      <c r="LR385" s="93"/>
      <c r="LS385" s="93"/>
      <c r="LT385" s="93"/>
      <c r="LU385" s="93"/>
      <c r="LV385" s="93"/>
      <c r="LW385" s="93"/>
      <c r="LX385" s="93"/>
      <c r="LY385" s="93"/>
      <c r="LZ385" s="93"/>
      <c r="MA385" s="20"/>
      <c r="MB385" s="29"/>
      <c r="MC385" s="1504">
        <v>46174</v>
      </c>
      <c r="MD385" s="19"/>
      <c r="ME385" s="93"/>
      <c r="MF385" s="93"/>
      <c r="MG385" s="93"/>
      <c r="MH385" s="93"/>
      <c r="MI385" s="93"/>
      <c r="MJ385" s="93"/>
      <c r="MK385" s="93"/>
      <c r="ML385" s="93"/>
      <c r="MM385" s="93"/>
      <c r="MN385" s="93"/>
      <c r="MO385" s="93"/>
      <c r="MP385" s="93"/>
      <c r="MQ385" s="93"/>
      <c r="MR385" s="93"/>
      <c r="MS385" s="93"/>
      <c r="MT385" s="93"/>
      <c r="MU385" s="93"/>
      <c r="MV385" s="93"/>
      <c r="MW385" s="93"/>
      <c r="MX385" s="93"/>
      <c r="MY385" s="93"/>
      <c r="MZ385" s="93"/>
      <c r="NA385" s="93"/>
      <c r="NB385" s="93"/>
      <c r="NC385" s="93"/>
      <c r="ND385" s="93"/>
      <c r="NE385" s="93"/>
      <c r="NF385" s="93"/>
      <c r="NG385" s="93"/>
      <c r="NH385" s="93"/>
      <c r="NI385" s="93"/>
      <c r="NJ385" s="93"/>
      <c r="NK385" s="93"/>
      <c r="NL385" s="93"/>
      <c r="NM385" s="93"/>
      <c r="NN385" s="93"/>
      <c r="NO385" s="93"/>
      <c r="NP385" s="93"/>
      <c r="NQ385" s="93"/>
      <c r="NR385" s="93"/>
      <c r="NS385" s="93"/>
      <c r="NT385" s="93"/>
      <c r="NU385" s="93"/>
      <c r="NV385" s="93"/>
      <c r="NW385" s="93"/>
      <c r="NX385" s="93"/>
      <c r="NY385" s="93"/>
      <c r="NZ385" s="93"/>
      <c r="OA385" s="93"/>
      <c r="OB385" s="93"/>
      <c r="OC385" s="93"/>
      <c r="OD385" s="20"/>
      <c r="OE385" s="29"/>
      <c r="OF385" s="1504">
        <v>46174</v>
      </c>
      <c r="OG385" s="19"/>
      <c r="OH385" s="93"/>
      <c r="OI385" s="93"/>
      <c r="OJ385" s="93"/>
      <c r="OK385" s="93"/>
      <c r="OL385" s="93"/>
      <c r="OM385" s="93"/>
      <c r="ON385" s="93"/>
      <c r="OO385" s="93"/>
      <c r="OP385" s="93"/>
      <c r="OQ385" s="93"/>
      <c r="OR385" s="93"/>
      <c r="OS385" s="93"/>
      <c r="OT385" s="93"/>
      <c r="OU385" s="93"/>
      <c r="OV385" s="93"/>
      <c r="OW385" s="93"/>
      <c r="OX385" s="93"/>
      <c r="OY385" s="93"/>
      <c r="OZ385" s="93"/>
      <c r="PA385" s="93"/>
      <c r="PB385" s="93"/>
      <c r="PC385" s="20"/>
      <c r="PD385" s="29"/>
      <c r="PE385" s="19"/>
      <c r="PF385" s="93"/>
      <c r="PG385" s="93"/>
      <c r="PH385" s="93"/>
      <c r="PI385" s="93"/>
      <c r="PJ385" s="93"/>
      <c r="PK385" s="93"/>
      <c r="PL385" s="93"/>
      <c r="PM385" s="93"/>
      <c r="PN385" s="93"/>
      <c r="PO385" s="93"/>
      <c r="PP385" s="93"/>
      <c r="PQ385" s="93"/>
      <c r="PR385" s="93"/>
      <c r="PS385" s="93"/>
      <c r="PT385" s="93"/>
      <c r="PU385" s="93"/>
      <c r="PV385" s="93"/>
      <c r="PW385" s="93"/>
      <c r="PX385" s="93"/>
      <c r="PY385" s="93"/>
      <c r="PZ385" s="93"/>
      <c r="QA385" s="93"/>
      <c r="QB385" s="93"/>
      <c r="QC385" s="93"/>
      <c r="QD385" s="93"/>
      <c r="QE385" s="20"/>
      <c r="QF385" s="1739"/>
      <c r="QG385" s="19"/>
      <c r="QH385" s="93"/>
      <c r="QI385" s="93"/>
      <c r="QJ385" s="93"/>
      <c r="QK385" s="93"/>
      <c r="QL385" s="93"/>
      <c r="QM385" s="93"/>
      <c r="QN385" s="93"/>
      <c r="QO385" s="93"/>
      <c r="QP385" s="93"/>
      <c r="QQ385" s="93"/>
      <c r="QR385" s="93"/>
      <c r="QS385" s="93"/>
      <c r="QT385" s="93"/>
      <c r="QU385" s="93"/>
      <c r="QV385" s="93"/>
      <c r="QW385" s="93"/>
      <c r="QX385" s="93"/>
      <c r="QY385" s="93"/>
      <c r="QZ385" s="93"/>
      <c r="RA385" s="93"/>
      <c r="RB385" s="93"/>
      <c r="RC385" s="93"/>
      <c r="RD385" s="93"/>
      <c r="RE385" s="93"/>
      <c r="RF385" s="93"/>
      <c r="RG385" s="93"/>
      <c r="RH385" s="93"/>
      <c r="RI385" s="93"/>
      <c r="RJ385" s="93"/>
      <c r="RK385" s="93"/>
      <c r="RL385" s="93"/>
      <c r="RM385" s="20"/>
      <c r="RN385" s="29"/>
      <c r="RO385" s="19"/>
      <c r="RP385" s="20"/>
      <c r="RQ385" s="29"/>
      <c r="RR385" s="20"/>
      <c r="RS385" s="29"/>
      <c r="RT385" s="1504">
        <v>46174</v>
      </c>
      <c r="RU385" s="19"/>
      <c r="RV385" s="20"/>
      <c r="RW385" s="29"/>
      <c r="RX385" s="1504">
        <v>46174</v>
      </c>
      <c r="RY385" s="29"/>
      <c r="RZ385" s="20"/>
      <c r="SA385" s="29"/>
      <c r="SB385" s="29"/>
    </row>
    <row r="386" spans="1:496">
      <c r="A386" s="41">
        <f t="shared" si="346"/>
        <v>2026</v>
      </c>
      <c r="B386" s="1504">
        <v>46204</v>
      </c>
      <c r="C386" s="1813"/>
      <c r="D386" s="1814"/>
      <c r="E386" s="1814"/>
      <c r="F386" s="1815"/>
      <c r="G386" s="1814"/>
      <c r="H386" s="1814"/>
      <c r="I386" s="1814"/>
      <c r="J386" s="1816"/>
      <c r="K386" s="1807"/>
      <c r="L386" s="25"/>
      <c r="M386" s="97"/>
      <c r="N386" s="1504">
        <v>46204</v>
      </c>
      <c r="O386" s="19"/>
      <c r="P386" s="93"/>
      <c r="Q386" s="93"/>
      <c r="R386" s="93"/>
      <c r="S386" s="93"/>
      <c r="T386" s="93"/>
      <c r="U386" s="93"/>
      <c r="V386" s="93"/>
      <c r="W386" s="93"/>
      <c r="X386" s="93"/>
      <c r="Y386" s="93"/>
      <c r="Z386" s="93"/>
      <c r="AA386" s="93"/>
      <c r="AB386" s="20"/>
      <c r="AC386" s="25"/>
      <c r="AD386" s="97"/>
      <c r="AE386" s="1504">
        <v>46204</v>
      </c>
      <c r="AF386" s="19"/>
      <c r="AG386" s="93"/>
      <c r="AH386" s="93"/>
      <c r="AI386" s="93"/>
      <c r="AJ386" s="93"/>
      <c r="AK386" s="93"/>
      <c r="AL386" s="93"/>
      <c r="AM386" s="93"/>
      <c r="AN386" s="93"/>
      <c r="AO386" s="93"/>
      <c r="AP386" s="93"/>
      <c r="AQ386" s="93"/>
      <c r="AR386" s="93"/>
      <c r="AS386" s="20"/>
      <c r="AT386" s="25"/>
      <c r="AU386" s="97"/>
      <c r="AV386" s="1504">
        <v>46204</v>
      </c>
      <c r="AW386" s="19"/>
      <c r="AX386" s="93"/>
      <c r="AY386" s="93"/>
      <c r="AZ386" s="93"/>
      <c r="BA386" s="93"/>
      <c r="BB386" s="93"/>
      <c r="BC386" s="93"/>
      <c r="BD386" s="93"/>
      <c r="BE386" s="93"/>
      <c r="BF386" s="93"/>
      <c r="BG386" s="93"/>
      <c r="BH386" s="93"/>
      <c r="BI386" s="93"/>
      <c r="BJ386" s="20"/>
      <c r="BK386" s="25"/>
      <c r="BL386" s="97"/>
      <c r="BM386" s="1504">
        <v>46204</v>
      </c>
      <c r="BN386" s="19"/>
      <c r="BO386" s="93"/>
      <c r="BP386" s="93"/>
      <c r="BQ386" s="93"/>
      <c r="BR386" s="93"/>
      <c r="BS386" s="93"/>
      <c r="BT386" s="93"/>
      <c r="BU386" s="20"/>
      <c r="BV386" s="25"/>
      <c r="BW386" s="97"/>
      <c r="BX386" s="1504">
        <v>46204</v>
      </c>
      <c r="BY386" s="19"/>
      <c r="BZ386" s="93"/>
      <c r="CA386" s="93"/>
      <c r="CB386" s="93"/>
      <c r="CC386" s="93"/>
      <c r="CD386" s="25"/>
      <c r="CE386" s="97"/>
      <c r="CF386" s="1504">
        <v>46204</v>
      </c>
      <c r="CG386" s="19"/>
      <c r="CH386" s="93"/>
      <c r="CI386" s="219"/>
      <c r="CJ386" s="20"/>
      <c r="CK386" s="19"/>
      <c r="CL386" s="93"/>
      <c r="CM386" s="93"/>
      <c r="CN386" s="93"/>
      <c r="CO386" s="93"/>
      <c r="CP386" s="20"/>
      <c r="CQ386" s="219"/>
      <c r="CR386" s="93"/>
      <c r="CS386" s="93"/>
      <c r="CT386" s="93"/>
      <c r="CU386" s="93"/>
      <c r="CV386" s="214"/>
      <c r="CW386" s="29"/>
      <c r="CX386" s="41">
        <f t="shared" si="319"/>
        <v>2026</v>
      </c>
      <c r="CY386" s="1504">
        <v>46204</v>
      </c>
      <c r="CZ386" s="19"/>
      <c r="DA386" s="93"/>
      <c r="DB386" s="93"/>
      <c r="DC386" s="93"/>
      <c r="DD386" s="93"/>
      <c r="DE386" s="20"/>
      <c r="DF386" s="29"/>
      <c r="DG386" s="1504">
        <v>46204</v>
      </c>
      <c r="DH386" s="19"/>
      <c r="DI386" s="93"/>
      <c r="DJ386" s="93"/>
      <c r="DK386" s="93"/>
      <c r="DL386" s="93"/>
      <c r="DM386" s="93"/>
      <c r="DN386" s="20"/>
      <c r="DO386" s="295"/>
      <c r="DP386" s="29"/>
      <c r="DQ386" s="1504">
        <v>46204</v>
      </c>
      <c r="DR386" s="19"/>
      <c r="DS386" s="93"/>
      <c r="DT386" s="93"/>
      <c r="DU386" s="93"/>
      <c r="DV386" s="93"/>
      <c r="DW386" s="93"/>
      <c r="DX386" s="20"/>
      <c r="DY386" s="29"/>
      <c r="DZ386" s="1504">
        <v>46204</v>
      </c>
      <c r="EA386" s="19"/>
      <c r="EB386" s="93"/>
      <c r="EC386" s="20"/>
      <c r="ED386" s="29"/>
      <c r="EE386" s="1504">
        <v>46204</v>
      </c>
      <c r="EF386" s="19"/>
      <c r="EG386" s="93"/>
      <c r="EH386" s="93"/>
      <c r="EI386" s="214"/>
      <c r="EJ386" s="93"/>
      <c r="EK386" s="93"/>
      <c r="EL386" s="93"/>
      <c r="EM386" s="93"/>
      <c r="EN386" s="20"/>
      <c r="EO386" s="29"/>
      <c r="EP386" s="1504">
        <v>46204</v>
      </c>
      <c r="EQ386" s="19"/>
      <c r="ER386" s="93"/>
      <c r="ES386" s="93"/>
      <c r="ET386" s="214"/>
      <c r="EU386" s="93"/>
      <c r="EV386" s="93"/>
      <c r="EW386" s="93"/>
      <c r="EX386" s="93"/>
      <c r="EY386" s="20"/>
      <c r="EZ386" s="29"/>
      <c r="FA386" s="1504">
        <v>46204</v>
      </c>
      <c r="FB386" s="29"/>
      <c r="FC386" s="29"/>
      <c r="FD386" s="29"/>
      <c r="FE386" s="29"/>
      <c r="FF386" s="29"/>
      <c r="FG386" s="29"/>
      <c r="FH386" s="29"/>
      <c r="FI386" s="29"/>
      <c r="FJ386" s="29"/>
      <c r="FK386" s="29"/>
      <c r="FL386" s="1504">
        <v>46204</v>
      </c>
      <c r="FM386" s="19"/>
      <c r="FN386" s="93"/>
      <c r="FO386" s="93"/>
      <c r="FP386" s="93"/>
      <c r="FQ386" s="93"/>
      <c r="FR386" s="93"/>
      <c r="FS386" s="93"/>
      <c r="FT386" s="93"/>
      <c r="FU386" s="93"/>
      <c r="FV386" s="93"/>
      <c r="FW386" s="93"/>
      <c r="FX386" s="93"/>
      <c r="FY386" s="93"/>
      <c r="FZ386" s="29"/>
      <c r="GA386" s="1504">
        <v>46204</v>
      </c>
      <c r="GB386" s="19"/>
      <c r="GC386" s="93"/>
      <c r="GD386" s="93"/>
      <c r="GE386" s="93"/>
      <c r="GF386" s="93"/>
      <c r="GG386" s="93"/>
      <c r="GH386" s="93"/>
      <c r="GI386" s="93"/>
      <c r="GJ386" s="93"/>
      <c r="GK386" s="93"/>
      <c r="GL386" s="93"/>
      <c r="GM386" s="93"/>
      <c r="GN386" s="20"/>
      <c r="GO386" s="29"/>
      <c r="GP386" s="1504">
        <v>46204</v>
      </c>
      <c r="GQ386" s="19"/>
      <c r="GR386" s="93"/>
      <c r="GS386" s="93"/>
      <c r="GT386" s="93"/>
      <c r="GU386" s="93"/>
      <c r="GV386" s="20"/>
      <c r="GW386" s="19"/>
      <c r="GX386" s="93"/>
      <c r="GY386" s="93"/>
      <c r="GZ386" s="93"/>
      <c r="HA386" s="93"/>
      <c r="HB386" s="20"/>
      <c r="HC386" s="19"/>
      <c r="HD386" s="93"/>
      <c r="HE386" s="93"/>
      <c r="HF386" s="93"/>
      <c r="HG386" s="93"/>
      <c r="HH386" s="20"/>
      <c r="HI386" s="19"/>
      <c r="HJ386" s="93"/>
      <c r="HK386" s="93"/>
      <c r="HL386" s="93"/>
      <c r="HM386" s="93"/>
      <c r="HN386" s="20"/>
      <c r="HO386" s="219"/>
      <c r="HP386" s="20"/>
      <c r="HQ386" s="25"/>
      <c r="HR386" s="29"/>
      <c r="HS386" s="1504">
        <v>46204</v>
      </c>
      <c r="HT386" s="19"/>
      <c r="HU386" s="93"/>
      <c r="HV386" s="93"/>
      <c r="HW386" s="93"/>
      <c r="HX386" s="93"/>
      <c r="HY386" s="93"/>
      <c r="HZ386" s="93"/>
      <c r="IA386" s="20"/>
      <c r="IB386" s="19"/>
      <c r="IC386" s="93"/>
      <c r="ID386" s="93"/>
      <c r="IE386" s="93"/>
      <c r="IF386" s="93"/>
      <c r="IG386" s="20"/>
      <c r="IH386" s="19"/>
      <c r="II386" s="93"/>
      <c r="IJ386" s="93"/>
      <c r="IK386" s="93"/>
      <c r="IL386" s="93"/>
      <c r="IM386" s="93"/>
      <c r="IN386" s="93"/>
      <c r="IO386" s="20"/>
      <c r="IP386" s="29"/>
      <c r="IQ386" s="19"/>
      <c r="IR386" s="93"/>
      <c r="IS386" s="93"/>
      <c r="IT386" s="93"/>
      <c r="IU386" s="93"/>
      <c r="IV386" s="20"/>
      <c r="IW386" s="29"/>
      <c r="IX386" s="19"/>
      <c r="IY386" s="93"/>
      <c r="IZ386" s="93"/>
      <c r="JA386" s="93"/>
      <c r="JB386" s="93"/>
      <c r="JC386" s="93"/>
      <c r="JD386" s="93"/>
      <c r="JE386" s="20"/>
      <c r="JF386" s="29"/>
      <c r="JG386" s="19"/>
      <c r="JH386" s="93"/>
      <c r="JI386" s="93"/>
      <c r="JJ386" s="93"/>
      <c r="JK386" s="93"/>
      <c r="JL386" s="93"/>
      <c r="JM386" s="93"/>
      <c r="JN386" s="20"/>
      <c r="JO386" s="29"/>
      <c r="JP386" s="19"/>
      <c r="JQ386" s="93"/>
      <c r="JR386" s="93"/>
      <c r="JS386" s="93"/>
      <c r="JT386" s="93"/>
      <c r="JU386" s="20"/>
      <c r="JV386" s="29"/>
      <c r="JW386" s="1504">
        <v>46204</v>
      </c>
      <c r="JX386" s="19"/>
      <c r="JY386" s="93"/>
      <c r="JZ386" s="93"/>
      <c r="KA386" s="93"/>
      <c r="KB386" s="93"/>
      <c r="KC386" s="93"/>
      <c r="KD386" s="20"/>
      <c r="KE386" s="29"/>
      <c r="KF386" s="19"/>
      <c r="KG386" s="93"/>
      <c r="KH386" s="93"/>
      <c r="KI386" s="93"/>
      <c r="KJ386" s="93"/>
      <c r="KK386" s="20"/>
      <c r="KL386" s="29"/>
      <c r="KM386" s="19"/>
      <c r="KN386" s="93"/>
      <c r="KO386" s="93"/>
      <c r="KP386" s="93"/>
      <c r="KQ386" s="93"/>
      <c r="KR386" s="20"/>
      <c r="KS386" s="29"/>
      <c r="KT386" s="19"/>
      <c r="KU386" s="93"/>
      <c r="KV386" s="93"/>
      <c r="KW386" s="93"/>
      <c r="KX386" s="93"/>
      <c r="KY386" s="20"/>
      <c r="KZ386" s="29"/>
      <c r="LA386" s="1504">
        <v>46204</v>
      </c>
      <c r="LB386" s="19"/>
      <c r="LC386" s="93"/>
      <c r="LD386" s="93"/>
      <c r="LE386" s="93"/>
      <c r="LF386" s="93"/>
      <c r="LG386" s="93"/>
      <c r="LH386" s="20"/>
      <c r="LI386" s="29"/>
      <c r="LJ386" s="19"/>
      <c r="LK386" s="93"/>
      <c r="LL386" s="93"/>
      <c r="LM386" s="93"/>
      <c r="LN386" s="93"/>
      <c r="LO386" s="20"/>
      <c r="LP386" s="29"/>
      <c r="LQ386" s="19"/>
      <c r="LR386" s="93"/>
      <c r="LS386" s="93"/>
      <c r="LT386" s="93"/>
      <c r="LU386" s="93"/>
      <c r="LV386" s="93"/>
      <c r="LW386" s="93"/>
      <c r="LX386" s="93"/>
      <c r="LY386" s="93"/>
      <c r="LZ386" s="93"/>
      <c r="MA386" s="20"/>
      <c r="MB386" s="29"/>
      <c r="MC386" s="1504">
        <v>46204</v>
      </c>
      <c r="MD386" s="19"/>
      <c r="ME386" s="93"/>
      <c r="MF386" s="93"/>
      <c r="MG386" s="93"/>
      <c r="MH386" s="93"/>
      <c r="MI386" s="93"/>
      <c r="MJ386" s="93"/>
      <c r="MK386" s="93"/>
      <c r="ML386" s="93"/>
      <c r="MM386" s="93"/>
      <c r="MN386" s="93"/>
      <c r="MO386" s="93"/>
      <c r="MP386" s="93"/>
      <c r="MQ386" s="93"/>
      <c r="MR386" s="93"/>
      <c r="MS386" s="93"/>
      <c r="MT386" s="93"/>
      <c r="MU386" s="93"/>
      <c r="MV386" s="93"/>
      <c r="MW386" s="93"/>
      <c r="MX386" s="93"/>
      <c r="MY386" s="93"/>
      <c r="MZ386" s="93"/>
      <c r="NA386" s="93"/>
      <c r="NB386" s="93"/>
      <c r="NC386" s="93"/>
      <c r="ND386" s="93"/>
      <c r="NE386" s="93"/>
      <c r="NF386" s="93"/>
      <c r="NG386" s="93"/>
      <c r="NH386" s="93"/>
      <c r="NI386" s="93"/>
      <c r="NJ386" s="93"/>
      <c r="NK386" s="93"/>
      <c r="NL386" s="93"/>
      <c r="NM386" s="93"/>
      <c r="NN386" s="93"/>
      <c r="NO386" s="93"/>
      <c r="NP386" s="93"/>
      <c r="NQ386" s="93"/>
      <c r="NR386" s="93"/>
      <c r="NS386" s="93"/>
      <c r="NT386" s="93"/>
      <c r="NU386" s="93"/>
      <c r="NV386" s="93"/>
      <c r="NW386" s="93"/>
      <c r="NX386" s="93"/>
      <c r="NY386" s="93"/>
      <c r="NZ386" s="93"/>
      <c r="OA386" s="93"/>
      <c r="OB386" s="93"/>
      <c r="OC386" s="93"/>
      <c r="OD386" s="20"/>
      <c r="OE386" s="29"/>
      <c r="OF386" s="1504">
        <v>46204</v>
      </c>
      <c r="OG386" s="19"/>
      <c r="OH386" s="93"/>
      <c r="OI386" s="93"/>
      <c r="OJ386" s="93"/>
      <c r="OK386" s="93"/>
      <c r="OL386" s="93"/>
      <c r="OM386" s="93"/>
      <c r="ON386" s="93"/>
      <c r="OO386" s="93"/>
      <c r="OP386" s="93"/>
      <c r="OQ386" s="93"/>
      <c r="OR386" s="93"/>
      <c r="OS386" s="93"/>
      <c r="OT386" s="93"/>
      <c r="OU386" s="93"/>
      <c r="OV386" s="93"/>
      <c r="OW386" s="93"/>
      <c r="OX386" s="93"/>
      <c r="OY386" s="93"/>
      <c r="OZ386" s="93"/>
      <c r="PA386" s="93"/>
      <c r="PB386" s="93"/>
      <c r="PC386" s="20"/>
      <c r="PD386" s="29"/>
      <c r="PE386" s="19"/>
      <c r="PF386" s="93"/>
      <c r="PG386" s="93"/>
      <c r="PH386" s="93"/>
      <c r="PI386" s="93"/>
      <c r="PJ386" s="93"/>
      <c r="PK386" s="93"/>
      <c r="PL386" s="93"/>
      <c r="PM386" s="93"/>
      <c r="PN386" s="93"/>
      <c r="PO386" s="93"/>
      <c r="PP386" s="93"/>
      <c r="PQ386" s="93"/>
      <c r="PR386" s="93"/>
      <c r="PS386" s="93"/>
      <c r="PT386" s="93"/>
      <c r="PU386" s="93"/>
      <c r="PV386" s="93"/>
      <c r="PW386" s="93"/>
      <c r="PX386" s="93"/>
      <c r="PY386" s="93"/>
      <c r="PZ386" s="93"/>
      <c r="QA386" s="93"/>
      <c r="QB386" s="93"/>
      <c r="QC386" s="93"/>
      <c r="QD386" s="93"/>
      <c r="QE386" s="20"/>
      <c r="QF386" s="1739"/>
      <c r="QG386" s="19"/>
      <c r="QH386" s="93"/>
      <c r="QI386" s="93"/>
      <c r="QJ386" s="93"/>
      <c r="QK386" s="93"/>
      <c r="QL386" s="93"/>
      <c r="QM386" s="93"/>
      <c r="QN386" s="93"/>
      <c r="QO386" s="93"/>
      <c r="QP386" s="93"/>
      <c r="QQ386" s="93"/>
      <c r="QR386" s="93"/>
      <c r="QS386" s="93"/>
      <c r="QT386" s="93"/>
      <c r="QU386" s="93"/>
      <c r="QV386" s="93"/>
      <c r="QW386" s="93"/>
      <c r="QX386" s="93"/>
      <c r="QY386" s="93"/>
      <c r="QZ386" s="93"/>
      <c r="RA386" s="93"/>
      <c r="RB386" s="93"/>
      <c r="RC386" s="93"/>
      <c r="RD386" s="93"/>
      <c r="RE386" s="93"/>
      <c r="RF386" s="93"/>
      <c r="RG386" s="93"/>
      <c r="RH386" s="93"/>
      <c r="RI386" s="93"/>
      <c r="RJ386" s="93"/>
      <c r="RK386" s="93"/>
      <c r="RL386" s="93"/>
      <c r="RM386" s="20"/>
      <c r="RN386" s="29"/>
      <c r="RO386" s="19"/>
      <c r="RP386" s="20"/>
      <c r="RQ386" s="29"/>
      <c r="RR386" s="20"/>
      <c r="RS386" s="29"/>
      <c r="RT386" s="1504">
        <v>46204</v>
      </c>
      <c r="RU386" s="19"/>
      <c r="RV386" s="20"/>
      <c r="RW386" s="29"/>
      <c r="RX386" s="1504">
        <v>46204</v>
      </c>
      <c r="RY386" s="29"/>
      <c r="RZ386" s="20"/>
      <c r="SA386" s="29"/>
      <c r="SB386" s="29"/>
    </row>
    <row r="387" spans="1:496">
      <c r="A387" s="41">
        <f t="shared" si="346"/>
        <v>2026</v>
      </c>
      <c r="B387" s="1504">
        <v>46235</v>
      </c>
      <c r="C387" s="1813"/>
      <c r="D387" s="1814"/>
      <c r="E387" s="1814"/>
      <c r="F387" s="1815"/>
      <c r="G387" s="1814"/>
      <c r="H387" s="1814"/>
      <c r="I387" s="1814"/>
      <c r="J387" s="1816"/>
      <c r="K387" s="1807"/>
      <c r="L387" s="25"/>
      <c r="M387" s="97"/>
      <c r="N387" s="1504">
        <v>46235</v>
      </c>
      <c r="O387" s="19"/>
      <c r="P387" s="93"/>
      <c r="Q387" s="93"/>
      <c r="R387" s="93"/>
      <c r="S387" s="93"/>
      <c r="T387" s="93"/>
      <c r="U387" s="93"/>
      <c r="V387" s="93"/>
      <c r="W387" s="93"/>
      <c r="X387" s="93"/>
      <c r="Y387" s="93"/>
      <c r="Z387" s="93"/>
      <c r="AA387" s="93"/>
      <c r="AB387" s="20"/>
      <c r="AC387" s="25"/>
      <c r="AD387" s="97"/>
      <c r="AE387" s="1504">
        <v>46235</v>
      </c>
      <c r="AF387" s="19"/>
      <c r="AG387" s="93"/>
      <c r="AH387" s="93"/>
      <c r="AI387" s="93"/>
      <c r="AJ387" s="93"/>
      <c r="AK387" s="93"/>
      <c r="AL387" s="93"/>
      <c r="AM387" s="93"/>
      <c r="AN387" s="93"/>
      <c r="AO387" s="93"/>
      <c r="AP387" s="93"/>
      <c r="AQ387" s="93"/>
      <c r="AR387" s="93"/>
      <c r="AS387" s="20"/>
      <c r="AT387" s="25"/>
      <c r="AU387" s="97"/>
      <c r="AV387" s="1504">
        <v>46235</v>
      </c>
      <c r="AW387" s="19"/>
      <c r="AX387" s="93"/>
      <c r="AY387" s="93"/>
      <c r="AZ387" s="93"/>
      <c r="BA387" s="93"/>
      <c r="BB387" s="93"/>
      <c r="BC387" s="93"/>
      <c r="BD387" s="93"/>
      <c r="BE387" s="93"/>
      <c r="BF387" s="93"/>
      <c r="BG387" s="93"/>
      <c r="BH387" s="93"/>
      <c r="BI387" s="93"/>
      <c r="BJ387" s="20"/>
      <c r="BK387" s="25"/>
      <c r="BL387" s="97"/>
      <c r="BM387" s="1504">
        <v>46235</v>
      </c>
      <c r="BN387" s="19"/>
      <c r="BO387" s="93"/>
      <c r="BP387" s="93"/>
      <c r="BQ387" s="93"/>
      <c r="BR387" s="93"/>
      <c r="BS387" s="93"/>
      <c r="BT387" s="93"/>
      <c r="BU387" s="20"/>
      <c r="BV387" s="25"/>
      <c r="BW387" s="97"/>
      <c r="BX387" s="1504">
        <v>46235</v>
      </c>
      <c r="BY387" s="19"/>
      <c r="BZ387" s="93"/>
      <c r="CA387" s="93"/>
      <c r="CB387" s="93"/>
      <c r="CC387" s="93"/>
      <c r="CD387" s="25"/>
      <c r="CE387" s="97"/>
      <c r="CF387" s="1504">
        <v>46235</v>
      </c>
      <c r="CG387" s="19"/>
      <c r="CH387" s="93"/>
      <c r="CI387" s="219"/>
      <c r="CJ387" s="20"/>
      <c r="CK387" s="19"/>
      <c r="CL387" s="93"/>
      <c r="CM387" s="93"/>
      <c r="CN387" s="93"/>
      <c r="CO387" s="93"/>
      <c r="CP387" s="20"/>
      <c r="CQ387" s="219"/>
      <c r="CR387" s="93"/>
      <c r="CS387" s="93"/>
      <c r="CT387" s="93"/>
      <c r="CU387" s="93"/>
      <c r="CV387" s="214"/>
      <c r="CW387" s="29"/>
      <c r="CX387" s="41">
        <f t="shared" si="319"/>
        <v>2026</v>
      </c>
      <c r="CY387" s="1504">
        <v>46235</v>
      </c>
      <c r="CZ387" s="19"/>
      <c r="DA387" s="93"/>
      <c r="DB387" s="93"/>
      <c r="DC387" s="93"/>
      <c r="DD387" s="93"/>
      <c r="DE387" s="20"/>
      <c r="DF387" s="29"/>
      <c r="DG387" s="1504">
        <v>46235</v>
      </c>
      <c r="DH387" s="19"/>
      <c r="DI387" s="93"/>
      <c r="DJ387" s="93"/>
      <c r="DK387" s="93"/>
      <c r="DL387" s="93"/>
      <c r="DM387" s="93"/>
      <c r="DN387" s="20"/>
      <c r="DO387" s="295"/>
      <c r="DP387" s="29"/>
      <c r="DQ387" s="1504">
        <v>46235</v>
      </c>
      <c r="DR387" s="19"/>
      <c r="DS387" s="93"/>
      <c r="DT387" s="93"/>
      <c r="DU387" s="93"/>
      <c r="DV387" s="93"/>
      <c r="DW387" s="93"/>
      <c r="DX387" s="20"/>
      <c r="DY387" s="29"/>
      <c r="DZ387" s="1504">
        <v>46235</v>
      </c>
      <c r="EA387" s="19"/>
      <c r="EB387" s="93"/>
      <c r="EC387" s="20"/>
      <c r="ED387" s="29"/>
      <c r="EE387" s="1504">
        <v>46235</v>
      </c>
      <c r="EF387" s="19"/>
      <c r="EG387" s="93"/>
      <c r="EH387" s="93"/>
      <c r="EI387" s="214"/>
      <c r="EJ387" s="93"/>
      <c r="EK387" s="93"/>
      <c r="EL387" s="93"/>
      <c r="EM387" s="93"/>
      <c r="EN387" s="20"/>
      <c r="EO387" s="29"/>
      <c r="EP387" s="1504">
        <v>46235</v>
      </c>
      <c r="EQ387" s="19"/>
      <c r="ER387" s="93"/>
      <c r="ES387" s="93"/>
      <c r="ET387" s="214"/>
      <c r="EU387" s="93"/>
      <c r="EV387" s="93"/>
      <c r="EW387" s="93"/>
      <c r="EX387" s="93"/>
      <c r="EY387" s="20"/>
      <c r="EZ387" s="29"/>
      <c r="FA387" s="1504">
        <v>46235</v>
      </c>
      <c r="FB387" s="29"/>
      <c r="FC387" s="29"/>
      <c r="FD387" s="29"/>
      <c r="FE387" s="29"/>
      <c r="FF387" s="29"/>
      <c r="FG387" s="29"/>
      <c r="FH387" s="29"/>
      <c r="FI387" s="29"/>
      <c r="FJ387" s="29"/>
      <c r="FK387" s="29"/>
      <c r="FL387" s="1504">
        <v>46235</v>
      </c>
      <c r="FM387" s="19"/>
      <c r="FN387" s="93"/>
      <c r="FO387" s="93"/>
      <c r="FP387" s="93"/>
      <c r="FQ387" s="93"/>
      <c r="FR387" s="93"/>
      <c r="FS387" s="93"/>
      <c r="FT387" s="93"/>
      <c r="FU387" s="93"/>
      <c r="FV387" s="93"/>
      <c r="FW387" s="93"/>
      <c r="FX387" s="93"/>
      <c r="FY387" s="93"/>
      <c r="FZ387" s="29"/>
      <c r="GA387" s="1504">
        <v>46235</v>
      </c>
      <c r="GB387" s="19"/>
      <c r="GC387" s="93"/>
      <c r="GD387" s="93"/>
      <c r="GE387" s="93"/>
      <c r="GF387" s="93"/>
      <c r="GG387" s="93"/>
      <c r="GH387" s="93"/>
      <c r="GI387" s="93"/>
      <c r="GJ387" s="93"/>
      <c r="GK387" s="93"/>
      <c r="GL387" s="93"/>
      <c r="GM387" s="93"/>
      <c r="GN387" s="20"/>
      <c r="GO387" s="29"/>
      <c r="GP387" s="1504">
        <v>46235</v>
      </c>
      <c r="GQ387" s="19"/>
      <c r="GR387" s="93"/>
      <c r="GS387" s="93"/>
      <c r="GT387" s="93"/>
      <c r="GU387" s="93"/>
      <c r="GV387" s="20"/>
      <c r="GW387" s="19"/>
      <c r="GX387" s="93"/>
      <c r="GY387" s="93"/>
      <c r="GZ387" s="93"/>
      <c r="HA387" s="93"/>
      <c r="HB387" s="20"/>
      <c r="HC387" s="19"/>
      <c r="HD387" s="93"/>
      <c r="HE387" s="93"/>
      <c r="HF387" s="93"/>
      <c r="HG387" s="93"/>
      <c r="HH387" s="20"/>
      <c r="HI387" s="19"/>
      <c r="HJ387" s="93"/>
      <c r="HK387" s="93"/>
      <c r="HL387" s="93"/>
      <c r="HM387" s="93"/>
      <c r="HN387" s="20"/>
      <c r="HO387" s="219"/>
      <c r="HP387" s="20"/>
      <c r="HQ387" s="25"/>
      <c r="HR387" s="29"/>
      <c r="HS387" s="1504">
        <v>46235</v>
      </c>
      <c r="HT387" s="19"/>
      <c r="HU387" s="93"/>
      <c r="HV387" s="93"/>
      <c r="HW387" s="93"/>
      <c r="HX387" s="93"/>
      <c r="HY387" s="93"/>
      <c r="HZ387" s="93"/>
      <c r="IA387" s="20"/>
      <c r="IB387" s="19"/>
      <c r="IC387" s="93"/>
      <c r="ID387" s="93"/>
      <c r="IE387" s="93"/>
      <c r="IF387" s="93"/>
      <c r="IG387" s="20"/>
      <c r="IH387" s="19"/>
      <c r="II387" s="93"/>
      <c r="IJ387" s="93"/>
      <c r="IK387" s="93"/>
      <c r="IL387" s="93"/>
      <c r="IM387" s="93"/>
      <c r="IN387" s="93"/>
      <c r="IO387" s="20"/>
      <c r="IP387" s="29"/>
      <c r="IQ387" s="19"/>
      <c r="IR387" s="93"/>
      <c r="IS387" s="93"/>
      <c r="IT387" s="93"/>
      <c r="IU387" s="93"/>
      <c r="IV387" s="20"/>
      <c r="IW387" s="29"/>
      <c r="IX387" s="19"/>
      <c r="IY387" s="93"/>
      <c r="IZ387" s="93"/>
      <c r="JA387" s="93"/>
      <c r="JB387" s="93"/>
      <c r="JC387" s="93"/>
      <c r="JD387" s="93"/>
      <c r="JE387" s="20"/>
      <c r="JF387" s="29"/>
      <c r="JG387" s="19"/>
      <c r="JH387" s="93"/>
      <c r="JI387" s="93"/>
      <c r="JJ387" s="93"/>
      <c r="JK387" s="93"/>
      <c r="JL387" s="93"/>
      <c r="JM387" s="93"/>
      <c r="JN387" s="20"/>
      <c r="JO387" s="29"/>
      <c r="JP387" s="19"/>
      <c r="JQ387" s="93"/>
      <c r="JR387" s="93"/>
      <c r="JS387" s="93"/>
      <c r="JT387" s="93"/>
      <c r="JU387" s="20"/>
      <c r="JV387" s="29"/>
      <c r="JW387" s="1504">
        <v>46235</v>
      </c>
      <c r="JX387" s="19"/>
      <c r="JY387" s="93"/>
      <c r="JZ387" s="93"/>
      <c r="KA387" s="93"/>
      <c r="KB387" s="93"/>
      <c r="KC387" s="93"/>
      <c r="KD387" s="20"/>
      <c r="KE387" s="29"/>
      <c r="KF387" s="19"/>
      <c r="KG387" s="93"/>
      <c r="KH387" s="93"/>
      <c r="KI387" s="93"/>
      <c r="KJ387" s="93"/>
      <c r="KK387" s="20"/>
      <c r="KL387" s="29"/>
      <c r="KM387" s="19"/>
      <c r="KN387" s="93"/>
      <c r="KO387" s="93"/>
      <c r="KP387" s="93"/>
      <c r="KQ387" s="93"/>
      <c r="KR387" s="20"/>
      <c r="KS387" s="29"/>
      <c r="KT387" s="19"/>
      <c r="KU387" s="93"/>
      <c r="KV387" s="93"/>
      <c r="KW387" s="93"/>
      <c r="KX387" s="93"/>
      <c r="KY387" s="20"/>
      <c r="KZ387" s="29"/>
      <c r="LA387" s="1504">
        <v>46235</v>
      </c>
      <c r="LB387" s="19"/>
      <c r="LC387" s="93"/>
      <c r="LD387" s="93"/>
      <c r="LE387" s="93"/>
      <c r="LF387" s="93"/>
      <c r="LG387" s="93"/>
      <c r="LH387" s="20"/>
      <c r="LI387" s="29"/>
      <c r="LJ387" s="19"/>
      <c r="LK387" s="93"/>
      <c r="LL387" s="93"/>
      <c r="LM387" s="93"/>
      <c r="LN387" s="93"/>
      <c r="LO387" s="20"/>
      <c r="LP387" s="29"/>
      <c r="LQ387" s="19"/>
      <c r="LR387" s="93"/>
      <c r="LS387" s="93"/>
      <c r="LT387" s="93"/>
      <c r="LU387" s="93"/>
      <c r="LV387" s="93"/>
      <c r="LW387" s="93"/>
      <c r="LX387" s="93"/>
      <c r="LY387" s="93"/>
      <c r="LZ387" s="93"/>
      <c r="MA387" s="20"/>
      <c r="MB387" s="29"/>
      <c r="MC387" s="1504">
        <v>46235</v>
      </c>
      <c r="MD387" s="19"/>
      <c r="ME387" s="93"/>
      <c r="MF387" s="93"/>
      <c r="MG387" s="93"/>
      <c r="MH387" s="93"/>
      <c r="MI387" s="93"/>
      <c r="MJ387" s="93"/>
      <c r="MK387" s="93"/>
      <c r="ML387" s="93"/>
      <c r="MM387" s="93"/>
      <c r="MN387" s="93"/>
      <c r="MO387" s="93"/>
      <c r="MP387" s="93"/>
      <c r="MQ387" s="93"/>
      <c r="MR387" s="93"/>
      <c r="MS387" s="93"/>
      <c r="MT387" s="93"/>
      <c r="MU387" s="93"/>
      <c r="MV387" s="93"/>
      <c r="MW387" s="93"/>
      <c r="MX387" s="93"/>
      <c r="MY387" s="93"/>
      <c r="MZ387" s="93"/>
      <c r="NA387" s="93"/>
      <c r="NB387" s="93"/>
      <c r="NC387" s="93"/>
      <c r="ND387" s="93"/>
      <c r="NE387" s="93"/>
      <c r="NF387" s="93"/>
      <c r="NG387" s="93"/>
      <c r="NH387" s="93"/>
      <c r="NI387" s="93"/>
      <c r="NJ387" s="93"/>
      <c r="NK387" s="93"/>
      <c r="NL387" s="93"/>
      <c r="NM387" s="93"/>
      <c r="NN387" s="93"/>
      <c r="NO387" s="93"/>
      <c r="NP387" s="93"/>
      <c r="NQ387" s="93"/>
      <c r="NR387" s="93"/>
      <c r="NS387" s="93"/>
      <c r="NT387" s="93"/>
      <c r="NU387" s="93"/>
      <c r="NV387" s="93"/>
      <c r="NW387" s="93"/>
      <c r="NX387" s="93"/>
      <c r="NY387" s="93"/>
      <c r="NZ387" s="93"/>
      <c r="OA387" s="93"/>
      <c r="OB387" s="93"/>
      <c r="OC387" s="93"/>
      <c r="OD387" s="20"/>
      <c r="OE387" s="29"/>
      <c r="OF387" s="1504">
        <v>46235</v>
      </c>
      <c r="OG387" s="19"/>
      <c r="OH387" s="93"/>
      <c r="OI387" s="93"/>
      <c r="OJ387" s="93"/>
      <c r="OK387" s="93"/>
      <c r="OL387" s="93"/>
      <c r="OM387" s="93"/>
      <c r="ON387" s="93"/>
      <c r="OO387" s="93"/>
      <c r="OP387" s="93"/>
      <c r="OQ387" s="93"/>
      <c r="OR387" s="93"/>
      <c r="OS387" s="93"/>
      <c r="OT387" s="93"/>
      <c r="OU387" s="93"/>
      <c r="OV387" s="93"/>
      <c r="OW387" s="93"/>
      <c r="OX387" s="93"/>
      <c r="OY387" s="93"/>
      <c r="OZ387" s="93"/>
      <c r="PA387" s="93"/>
      <c r="PB387" s="93"/>
      <c r="PC387" s="20"/>
      <c r="PD387" s="29"/>
      <c r="PE387" s="19"/>
      <c r="PF387" s="93"/>
      <c r="PG387" s="93"/>
      <c r="PH387" s="93"/>
      <c r="PI387" s="93"/>
      <c r="PJ387" s="93"/>
      <c r="PK387" s="93"/>
      <c r="PL387" s="93"/>
      <c r="PM387" s="93"/>
      <c r="PN387" s="93"/>
      <c r="PO387" s="93"/>
      <c r="PP387" s="93"/>
      <c r="PQ387" s="93"/>
      <c r="PR387" s="93"/>
      <c r="PS387" s="93"/>
      <c r="PT387" s="93"/>
      <c r="PU387" s="93"/>
      <c r="PV387" s="93"/>
      <c r="PW387" s="93"/>
      <c r="PX387" s="93"/>
      <c r="PY387" s="93"/>
      <c r="PZ387" s="93"/>
      <c r="QA387" s="93"/>
      <c r="QB387" s="93"/>
      <c r="QC387" s="93"/>
      <c r="QD387" s="93"/>
      <c r="QE387" s="20"/>
      <c r="QF387" s="1739"/>
      <c r="QG387" s="19"/>
      <c r="QH387" s="93"/>
      <c r="QI387" s="93"/>
      <c r="QJ387" s="93"/>
      <c r="QK387" s="93"/>
      <c r="QL387" s="93"/>
      <c r="QM387" s="93"/>
      <c r="QN387" s="93"/>
      <c r="QO387" s="93"/>
      <c r="QP387" s="93"/>
      <c r="QQ387" s="93"/>
      <c r="QR387" s="93"/>
      <c r="QS387" s="93"/>
      <c r="QT387" s="93"/>
      <c r="QU387" s="93"/>
      <c r="QV387" s="93"/>
      <c r="QW387" s="93"/>
      <c r="QX387" s="93"/>
      <c r="QY387" s="93"/>
      <c r="QZ387" s="93"/>
      <c r="RA387" s="93"/>
      <c r="RB387" s="93"/>
      <c r="RC387" s="93"/>
      <c r="RD387" s="93"/>
      <c r="RE387" s="93"/>
      <c r="RF387" s="93"/>
      <c r="RG387" s="93"/>
      <c r="RH387" s="93"/>
      <c r="RI387" s="93"/>
      <c r="RJ387" s="93"/>
      <c r="RK387" s="93"/>
      <c r="RL387" s="93"/>
      <c r="RM387" s="20"/>
      <c r="RN387" s="29"/>
      <c r="RO387" s="19"/>
      <c r="RP387" s="20"/>
      <c r="RQ387" s="29"/>
      <c r="RR387" s="20"/>
      <c r="RS387" s="29"/>
      <c r="RT387" s="1504">
        <v>46235</v>
      </c>
      <c r="RU387" s="19"/>
      <c r="RV387" s="20"/>
      <c r="RW387" s="29"/>
      <c r="RX387" s="1504">
        <v>46235</v>
      </c>
      <c r="RY387" s="29"/>
      <c r="RZ387" s="20"/>
      <c r="SA387" s="29"/>
      <c r="SB387" s="29"/>
    </row>
    <row r="388" spans="1:496">
      <c r="A388" s="41">
        <f t="shared" si="346"/>
        <v>2026</v>
      </c>
      <c r="B388" s="1504">
        <v>46266</v>
      </c>
      <c r="C388" s="1813"/>
      <c r="D388" s="1814"/>
      <c r="E388" s="1814"/>
      <c r="F388" s="1815"/>
      <c r="G388" s="1814"/>
      <c r="H388" s="1814"/>
      <c r="I388" s="1814"/>
      <c r="J388" s="1816"/>
      <c r="K388" s="1807"/>
      <c r="L388" s="25"/>
      <c r="M388" s="97"/>
      <c r="N388" s="1504">
        <v>46266</v>
      </c>
      <c r="O388" s="19"/>
      <c r="P388" s="93"/>
      <c r="Q388" s="93"/>
      <c r="R388" s="93"/>
      <c r="S388" s="93"/>
      <c r="T388" s="93"/>
      <c r="U388" s="93"/>
      <c r="V388" s="93"/>
      <c r="W388" s="93"/>
      <c r="X388" s="93"/>
      <c r="Y388" s="93"/>
      <c r="Z388" s="93"/>
      <c r="AA388" s="93"/>
      <c r="AB388" s="20"/>
      <c r="AC388" s="25"/>
      <c r="AD388" s="97"/>
      <c r="AE388" s="1504">
        <v>46266</v>
      </c>
      <c r="AF388" s="19"/>
      <c r="AG388" s="93"/>
      <c r="AH388" s="93"/>
      <c r="AI388" s="93"/>
      <c r="AJ388" s="93"/>
      <c r="AK388" s="93"/>
      <c r="AL388" s="93"/>
      <c r="AM388" s="93"/>
      <c r="AN388" s="93"/>
      <c r="AO388" s="93"/>
      <c r="AP388" s="93"/>
      <c r="AQ388" s="93"/>
      <c r="AR388" s="93"/>
      <c r="AS388" s="20"/>
      <c r="AT388" s="25"/>
      <c r="AU388" s="97"/>
      <c r="AV388" s="1504">
        <v>46266</v>
      </c>
      <c r="AW388" s="19"/>
      <c r="AX388" s="93"/>
      <c r="AY388" s="93"/>
      <c r="AZ388" s="93"/>
      <c r="BA388" s="93"/>
      <c r="BB388" s="93"/>
      <c r="BC388" s="93"/>
      <c r="BD388" s="93"/>
      <c r="BE388" s="93"/>
      <c r="BF388" s="93"/>
      <c r="BG388" s="93"/>
      <c r="BH388" s="93"/>
      <c r="BI388" s="93"/>
      <c r="BJ388" s="20"/>
      <c r="BK388" s="25"/>
      <c r="BL388" s="97"/>
      <c r="BM388" s="1504">
        <v>46266</v>
      </c>
      <c r="BN388" s="19"/>
      <c r="BO388" s="93"/>
      <c r="BP388" s="93"/>
      <c r="BQ388" s="93"/>
      <c r="BR388" s="93"/>
      <c r="BS388" s="93"/>
      <c r="BT388" s="93"/>
      <c r="BU388" s="20"/>
      <c r="BV388" s="25"/>
      <c r="BW388" s="97"/>
      <c r="BX388" s="1504">
        <v>46266</v>
      </c>
      <c r="BY388" s="19"/>
      <c r="BZ388" s="93"/>
      <c r="CA388" s="93"/>
      <c r="CB388" s="93"/>
      <c r="CC388" s="93"/>
      <c r="CD388" s="25"/>
      <c r="CE388" s="97"/>
      <c r="CF388" s="1504">
        <v>46266</v>
      </c>
      <c r="CG388" s="19"/>
      <c r="CH388" s="93"/>
      <c r="CI388" s="219"/>
      <c r="CJ388" s="20"/>
      <c r="CK388" s="19"/>
      <c r="CL388" s="93"/>
      <c r="CM388" s="93"/>
      <c r="CN388" s="93"/>
      <c r="CO388" s="93"/>
      <c r="CP388" s="20"/>
      <c r="CQ388" s="219"/>
      <c r="CR388" s="93"/>
      <c r="CS388" s="93"/>
      <c r="CT388" s="93"/>
      <c r="CU388" s="93"/>
      <c r="CV388" s="214"/>
      <c r="CW388" s="29"/>
      <c r="CX388" s="41">
        <f t="shared" si="319"/>
        <v>2026</v>
      </c>
      <c r="CY388" s="1504">
        <v>46266</v>
      </c>
      <c r="CZ388" s="19"/>
      <c r="DA388" s="93"/>
      <c r="DB388" s="93"/>
      <c r="DC388" s="93"/>
      <c r="DD388" s="93"/>
      <c r="DE388" s="20"/>
      <c r="DF388" s="29"/>
      <c r="DG388" s="1504">
        <v>46266</v>
      </c>
      <c r="DH388" s="19"/>
      <c r="DI388" s="93"/>
      <c r="DJ388" s="93"/>
      <c r="DK388" s="93"/>
      <c r="DL388" s="93"/>
      <c r="DM388" s="93"/>
      <c r="DN388" s="20"/>
      <c r="DO388" s="295"/>
      <c r="DP388" s="29"/>
      <c r="DQ388" s="1504">
        <v>46266</v>
      </c>
      <c r="DR388" s="19"/>
      <c r="DS388" s="93"/>
      <c r="DT388" s="93"/>
      <c r="DU388" s="93"/>
      <c r="DV388" s="93"/>
      <c r="DW388" s="93"/>
      <c r="DX388" s="20"/>
      <c r="DY388" s="29"/>
      <c r="DZ388" s="1504">
        <v>46266</v>
      </c>
      <c r="EA388" s="19"/>
      <c r="EB388" s="93"/>
      <c r="EC388" s="20"/>
      <c r="ED388" s="29"/>
      <c r="EE388" s="1504">
        <v>46266</v>
      </c>
      <c r="EF388" s="19"/>
      <c r="EG388" s="93"/>
      <c r="EH388" s="93"/>
      <c r="EI388" s="214"/>
      <c r="EJ388" s="93"/>
      <c r="EK388" s="93"/>
      <c r="EL388" s="93"/>
      <c r="EM388" s="93"/>
      <c r="EN388" s="20"/>
      <c r="EO388" s="29"/>
      <c r="EP388" s="1504">
        <v>46266</v>
      </c>
      <c r="EQ388" s="19"/>
      <c r="ER388" s="93"/>
      <c r="ES388" s="93"/>
      <c r="ET388" s="214"/>
      <c r="EU388" s="93"/>
      <c r="EV388" s="93"/>
      <c r="EW388" s="93"/>
      <c r="EX388" s="93"/>
      <c r="EY388" s="20"/>
      <c r="EZ388" s="29"/>
      <c r="FA388" s="1504">
        <v>46266</v>
      </c>
      <c r="FB388" s="29"/>
      <c r="FC388" s="29"/>
      <c r="FD388" s="29"/>
      <c r="FE388" s="29"/>
      <c r="FF388" s="29"/>
      <c r="FG388" s="29"/>
      <c r="FH388" s="29"/>
      <c r="FI388" s="29"/>
      <c r="FJ388" s="29"/>
      <c r="FK388" s="29"/>
      <c r="FL388" s="1504">
        <v>46266</v>
      </c>
      <c r="FM388" s="19"/>
      <c r="FN388" s="93"/>
      <c r="FO388" s="93"/>
      <c r="FP388" s="93"/>
      <c r="FQ388" s="93"/>
      <c r="FR388" s="93"/>
      <c r="FS388" s="93"/>
      <c r="FT388" s="93"/>
      <c r="FU388" s="93"/>
      <c r="FV388" s="93"/>
      <c r="FW388" s="93"/>
      <c r="FX388" s="93"/>
      <c r="FY388" s="93"/>
      <c r="FZ388" s="29"/>
      <c r="GA388" s="1504">
        <v>46266</v>
      </c>
      <c r="GB388" s="19"/>
      <c r="GC388" s="93"/>
      <c r="GD388" s="93"/>
      <c r="GE388" s="93"/>
      <c r="GF388" s="93"/>
      <c r="GG388" s="93"/>
      <c r="GH388" s="93"/>
      <c r="GI388" s="93"/>
      <c r="GJ388" s="93"/>
      <c r="GK388" s="93"/>
      <c r="GL388" s="93"/>
      <c r="GM388" s="93"/>
      <c r="GN388" s="20"/>
      <c r="GO388" s="29"/>
      <c r="GP388" s="1504">
        <v>46266</v>
      </c>
      <c r="GQ388" s="19"/>
      <c r="GR388" s="93"/>
      <c r="GS388" s="93"/>
      <c r="GT388" s="93"/>
      <c r="GU388" s="93"/>
      <c r="GV388" s="20"/>
      <c r="GW388" s="19"/>
      <c r="GX388" s="93"/>
      <c r="GY388" s="93"/>
      <c r="GZ388" s="93"/>
      <c r="HA388" s="93"/>
      <c r="HB388" s="20"/>
      <c r="HC388" s="19"/>
      <c r="HD388" s="93"/>
      <c r="HE388" s="93"/>
      <c r="HF388" s="93"/>
      <c r="HG388" s="93"/>
      <c r="HH388" s="20"/>
      <c r="HI388" s="19"/>
      <c r="HJ388" s="93"/>
      <c r="HK388" s="93"/>
      <c r="HL388" s="93"/>
      <c r="HM388" s="93"/>
      <c r="HN388" s="20"/>
      <c r="HO388" s="219"/>
      <c r="HP388" s="20"/>
      <c r="HQ388" s="25"/>
      <c r="HR388" s="29"/>
      <c r="HS388" s="1504">
        <v>46266</v>
      </c>
      <c r="HT388" s="19"/>
      <c r="HU388" s="93"/>
      <c r="HV388" s="93"/>
      <c r="HW388" s="93"/>
      <c r="HX388" s="93"/>
      <c r="HY388" s="93"/>
      <c r="HZ388" s="93"/>
      <c r="IA388" s="20"/>
      <c r="IB388" s="19"/>
      <c r="IC388" s="93"/>
      <c r="ID388" s="93"/>
      <c r="IE388" s="93"/>
      <c r="IF388" s="93"/>
      <c r="IG388" s="20"/>
      <c r="IH388" s="19"/>
      <c r="II388" s="93"/>
      <c r="IJ388" s="93"/>
      <c r="IK388" s="93"/>
      <c r="IL388" s="93"/>
      <c r="IM388" s="93"/>
      <c r="IN388" s="93"/>
      <c r="IO388" s="20"/>
      <c r="IP388" s="29"/>
      <c r="IQ388" s="19"/>
      <c r="IR388" s="93"/>
      <c r="IS388" s="93"/>
      <c r="IT388" s="93"/>
      <c r="IU388" s="93"/>
      <c r="IV388" s="20"/>
      <c r="IW388" s="29"/>
      <c r="IX388" s="19"/>
      <c r="IY388" s="93"/>
      <c r="IZ388" s="93"/>
      <c r="JA388" s="93"/>
      <c r="JB388" s="93"/>
      <c r="JC388" s="93"/>
      <c r="JD388" s="93"/>
      <c r="JE388" s="20"/>
      <c r="JF388" s="29"/>
      <c r="JG388" s="19"/>
      <c r="JH388" s="93"/>
      <c r="JI388" s="93"/>
      <c r="JJ388" s="93"/>
      <c r="JK388" s="93"/>
      <c r="JL388" s="93"/>
      <c r="JM388" s="93"/>
      <c r="JN388" s="20"/>
      <c r="JO388" s="29"/>
      <c r="JP388" s="19"/>
      <c r="JQ388" s="93"/>
      <c r="JR388" s="93"/>
      <c r="JS388" s="93"/>
      <c r="JT388" s="93"/>
      <c r="JU388" s="20"/>
      <c r="JV388" s="29"/>
      <c r="JW388" s="1504">
        <v>46266</v>
      </c>
      <c r="JX388" s="19"/>
      <c r="JY388" s="93"/>
      <c r="JZ388" s="93"/>
      <c r="KA388" s="93"/>
      <c r="KB388" s="93"/>
      <c r="KC388" s="93"/>
      <c r="KD388" s="20"/>
      <c r="KE388" s="29"/>
      <c r="KF388" s="19"/>
      <c r="KG388" s="93"/>
      <c r="KH388" s="93"/>
      <c r="KI388" s="93"/>
      <c r="KJ388" s="93"/>
      <c r="KK388" s="20"/>
      <c r="KL388" s="29"/>
      <c r="KM388" s="19"/>
      <c r="KN388" s="93"/>
      <c r="KO388" s="93"/>
      <c r="KP388" s="93"/>
      <c r="KQ388" s="93"/>
      <c r="KR388" s="20"/>
      <c r="KS388" s="29"/>
      <c r="KT388" s="19"/>
      <c r="KU388" s="93"/>
      <c r="KV388" s="93"/>
      <c r="KW388" s="93"/>
      <c r="KX388" s="93"/>
      <c r="KY388" s="20"/>
      <c r="KZ388" s="29"/>
      <c r="LA388" s="1504">
        <v>46266</v>
      </c>
      <c r="LB388" s="19"/>
      <c r="LC388" s="93"/>
      <c r="LD388" s="93"/>
      <c r="LE388" s="93"/>
      <c r="LF388" s="93"/>
      <c r="LG388" s="93"/>
      <c r="LH388" s="20"/>
      <c r="LI388" s="29"/>
      <c r="LJ388" s="19"/>
      <c r="LK388" s="93"/>
      <c r="LL388" s="93"/>
      <c r="LM388" s="93"/>
      <c r="LN388" s="93"/>
      <c r="LO388" s="20"/>
      <c r="LP388" s="29"/>
      <c r="LQ388" s="19"/>
      <c r="LR388" s="93"/>
      <c r="LS388" s="93"/>
      <c r="LT388" s="93"/>
      <c r="LU388" s="93"/>
      <c r="LV388" s="93"/>
      <c r="LW388" s="93"/>
      <c r="LX388" s="93"/>
      <c r="LY388" s="93"/>
      <c r="LZ388" s="93"/>
      <c r="MA388" s="20"/>
      <c r="MB388" s="29"/>
      <c r="MC388" s="1504">
        <v>46266</v>
      </c>
      <c r="MD388" s="19"/>
      <c r="ME388" s="93"/>
      <c r="MF388" s="93"/>
      <c r="MG388" s="93"/>
      <c r="MH388" s="93"/>
      <c r="MI388" s="93"/>
      <c r="MJ388" s="93"/>
      <c r="MK388" s="93"/>
      <c r="ML388" s="93"/>
      <c r="MM388" s="93"/>
      <c r="MN388" s="93"/>
      <c r="MO388" s="93"/>
      <c r="MP388" s="93"/>
      <c r="MQ388" s="93"/>
      <c r="MR388" s="93"/>
      <c r="MS388" s="93"/>
      <c r="MT388" s="93"/>
      <c r="MU388" s="93"/>
      <c r="MV388" s="93"/>
      <c r="MW388" s="93"/>
      <c r="MX388" s="93"/>
      <c r="MY388" s="93"/>
      <c r="MZ388" s="93"/>
      <c r="NA388" s="93"/>
      <c r="NB388" s="93"/>
      <c r="NC388" s="93"/>
      <c r="ND388" s="93"/>
      <c r="NE388" s="93"/>
      <c r="NF388" s="93"/>
      <c r="NG388" s="93"/>
      <c r="NH388" s="93"/>
      <c r="NI388" s="93"/>
      <c r="NJ388" s="93"/>
      <c r="NK388" s="93"/>
      <c r="NL388" s="93"/>
      <c r="NM388" s="93"/>
      <c r="NN388" s="93"/>
      <c r="NO388" s="93"/>
      <c r="NP388" s="93"/>
      <c r="NQ388" s="93"/>
      <c r="NR388" s="93"/>
      <c r="NS388" s="93"/>
      <c r="NT388" s="93"/>
      <c r="NU388" s="93"/>
      <c r="NV388" s="93"/>
      <c r="NW388" s="93"/>
      <c r="NX388" s="93"/>
      <c r="NY388" s="93"/>
      <c r="NZ388" s="93"/>
      <c r="OA388" s="93"/>
      <c r="OB388" s="93"/>
      <c r="OC388" s="93"/>
      <c r="OD388" s="20"/>
      <c r="OE388" s="29"/>
      <c r="OF388" s="1504">
        <v>46266</v>
      </c>
      <c r="OG388" s="19"/>
      <c r="OH388" s="93"/>
      <c r="OI388" s="93"/>
      <c r="OJ388" s="93"/>
      <c r="OK388" s="93"/>
      <c r="OL388" s="93"/>
      <c r="OM388" s="93"/>
      <c r="ON388" s="93"/>
      <c r="OO388" s="93"/>
      <c r="OP388" s="93"/>
      <c r="OQ388" s="93"/>
      <c r="OR388" s="93"/>
      <c r="OS388" s="93"/>
      <c r="OT388" s="93"/>
      <c r="OU388" s="93"/>
      <c r="OV388" s="93"/>
      <c r="OW388" s="93"/>
      <c r="OX388" s="93"/>
      <c r="OY388" s="93"/>
      <c r="OZ388" s="93"/>
      <c r="PA388" s="93"/>
      <c r="PB388" s="93"/>
      <c r="PC388" s="20"/>
      <c r="PD388" s="29"/>
      <c r="PE388" s="19"/>
      <c r="PF388" s="93"/>
      <c r="PG388" s="93"/>
      <c r="PH388" s="93"/>
      <c r="PI388" s="93"/>
      <c r="PJ388" s="93"/>
      <c r="PK388" s="93"/>
      <c r="PL388" s="93"/>
      <c r="PM388" s="93"/>
      <c r="PN388" s="93"/>
      <c r="PO388" s="93"/>
      <c r="PP388" s="93"/>
      <c r="PQ388" s="93"/>
      <c r="PR388" s="93"/>
      <c r="PS388" s="93"/>
      <c r="PT388" s="93"/>
      <c r="PU388" s="93"/>
      <c r="PV388" s="93"/>
      <c r="PW388" s="93"/>
      <c r="PX388" s="93"/>
      <c r="PY388" s="93"/>
      <c r="PZ388" s="93"/>
      <c r="QA388" s="93"/>
      <c r="QB388" s="93"/>
      <c r="QC388" s="93"/>
      <c r="QD388" s="93"/>
      <c r="QE388" s="20"/>
      <c r="QF388" s="1739"/>
      <c r="QG388" s="19"/>
      <c r="QH388" s="93"/>
      <c r="QI388" s="93"/>
      <c r="QJ388" s="93"/>
      <c r="QK388" s="93"/>
      <c r="QL388" s="93"/>
      <c r="QM388" s="93"/>
      <c r="QN388" s="93"/>
      <c r="QO388" s="93"/>
      <c r="QP388" s="93"/>
      <c r="QQ388" s="93"/>
      <c r="QR388" s="93"/>
      <c r="QS388" s="93"/>
      <c r="QT388" s="93"/>
      <c r="QU388" s="93"/>
      <c r="QV388" s="93"/>
      <c r="QW388" s="93"/>
      <c r="QX388" s="93"/>
      <c r="QY388" s="93"/>
      <c r="QZ388" s="93"/>
      <c r="RA388" s="93"/>
      <c r="RB388" s="93"/>
      <c r="RC388" s="93"/>
      <c r="RD388" s="93"/>
      <c r="RE388" s="93"/>
      <c r="RF388" s="93"/>
      <c r="RG388" s="93"/>
      <c r="RH388" s="93"/>
      <c r="RI388" s="93"/>
      <c r="RJ388" s="93"/>
      <c r="RK388" s="93"/>
      <c r="RL388" s="93"/>
      <c r="RM388" s="20"/>
      <c r="RN388" s="29"/>
      <c r="RO388" s="19"/>
      <c r="RP388" s="20"/>
      <c r="RQ388" s="29"/>
      <c r="RR388" s="20"/>
      <c r="RS388" s="29"/>
      <c r="RT388" s="1504">
        <v>46266</v>
      </c>
      <c r="RU388" s="19"/>
      <c r="RV388" s="20"/>
      <c r="RW388" s="29"/>
      <c r="RX388" s="1504">
        <v>46266</v>
      </c>
      <c r="RY388" s="29"/>
      <c r="RZ388" s="20"/>
      <c r="SA388" s="29"/>
      <c r="SB388" s="29"/>
    </row>
    <row r="389" spans="1:496">
      <c r="A389" s="41">
        <f t="shared" si="346"/>
        <v>2026</v>
      </c>
      <c r="B389" s="1504">
        <v>46296</v>
      </c>
      <c r="C389" s="1813"/>
      <c r="D389" s="1814"/>
      <c r="E389" s="1814"/>
      <c r="F389" s="1815"/>
      <c r="G389" s="1814"/>
      <c r="H389" s="1814"/>
      <c r="I389" s="1814"/>
      <c r="J389" s="1816"/>
      <c r="K389" s="1807"/>
      <c r="L389" s="25"/>
      <c r="M389" s="97"/>
      <c r="N389" s="1504">
        <v>46296</v>
      </c>
      <c r="O389" s="19"/>
      <c r="P389" s="93"/>
      <c r="Q389" s="93"/>
      <c r="R389" s="93"/>
      <c r="S389" s="93"/>
      <c r="T389" s="93"/>
      <c r="U389" s="93"/>
      <c r="V389" s="93"/>
      <c r="W389" s="93"/>
      <c r="X389" s="93"/>
      <c r="Y389" s="93"/>
      <c r="Z389" s="93"/>
      <c r="AA389" s="93"/>
      <c r="AB389" s="20"/>
      <c r="AC389" s="25"/>
      <c r="AD389" s="97"/>
      <c r="AE389" s="1504">
        <v>46296</v>
      </c>
      <c r="AF389" s="19"/>
      <c r="AG389" s="93"/>
      <c r="AH389" s="93"/>
      <c r="AI389" s="93"/>
      <c r="AJ389" s="93"/>
      <c r="AK389" s="93"/>
      <c r="AL389" s="93"/>
      <c r="AM389" s="93"/>
      <c r="AN389" s="93"/>
      <c r="AO389" s="93"/>
      <c r="AP389" s="93"/>
      <c r="AQ389" s="93"/>
      <c r="AR389" s="93"/>
      <c r="AS389" s="20"/>
      <c r="AT389" s="25"/>
      <c r="AU389" s="97"/>
      <c r="AV389" s="1504">
        <v>46296</v>
      </c>
      <c r="AW389" s="19"/>
      <c r="AX389" s="93"/>
      <c r="AY389" s="93"/>
      <c r="AZ389" s="93"/>
      <c r="BA389" s="93"/>
      <c r="BB389" s="93"/>
      <c r="BC389" s="93"/>
      <c r="BD389" s="93"/>
      <c r="BE389" s="93"/>
      <c r="BF389" s="93"/>
      <c r="BG389" s="93"/>
      <c r="BH389" s="93"/>
      <c r="BI389" s="93"/>
      <c r="BJ389" s="20"/>
      <c r="BK389" s="25"/>
      <c r="BL389" s="97"/>
      <c r="BM389" s="1504">
        <v>46296</v>
      </c>
      <c r="BN389" s="19"/>
      <c r="BO389" s="93"/>
      <c r="BP389" s="93"/>
      <c r="BQ389" s="93"/>
      <c r="BR389" s="93"/>
      <c r="BS389" s="93"/>
      <c r="BT389" s="93"/>
      <c r="BU389" s="20"/>
      <c r="BV389" s="25"/>
      <c r="BW389" s="97"/>
      <c r="BX389" s="1504">
        <v>46296</v>
      </c>
      <c r="BY389" s="19"/>
      <c r="BZ389" s="93"/>
      <c r="CA389" s="93"/>
      <c r="CB389" s="93"/>
      <c r="CC389" s="93"/>
      <c r="CD389" s="25"/>
      <c r="CE389" s="97"/>
      <c r="CF389" s="1504">
        <v>46296</v>
      </c>
      <c r="CG389" s="19"/>
      <c r="CH389" s="93"/>
      <c r="CI389" s="219"/>
      <c r="CJ389" s="20"/>
      <c r="CK389" s="19"/>
      <c r="CL389" s="93"/>
      <c r="CM389" s="93"/>
      <c r="CN389" s="93"/>
      <c r="CO389" s="93"/>
      <c r="CP389" s="20"/>
      <c r="CQ389" s="219"/>
      <c r="CR389" s="93"/>
      <c r="CS389" s="93"/>
      <c r="CT389" s="93"/>
      <c r="CU389" s="93"/>
      <c r="CV389" s="214"/>
      <c r="CW389" s="29"/>
      <c r="CX389" s="41">
        <f t="shared" ref="CX389:CX452" si="357">YEAR(CY389)</f>
        <v>2026</v>
      </c>
      <c r="CY389" s="1504">
        <v>46296</v>
      </c>
      <c r="CZ389" s="19"/>
      <c r="DA389" s="93"/>
      <c r="DB389" s="93"/>
      <c r="DC389" s="93"/>
      <c r="DD389" s="93"/>
      <c r="DE389" s="20"/>
      <c r="DF389" s="29"/>
      <c r="DG389" s="1504">
        <v>46296</v>
      </c>
      <c r="DH389" s="19"/>
      <c r="DI389" s="93"/>
      <c r="DJ389" s="93"/>
      <c r="DK389" s="93"/>
      <c r="DL389" s="93"/>
      <c r="DM389" s="93"/>
      <c r="DN389" s="20"/>
      <c r="DO389" s="295"/>
      <c r="DP389" s="29"/>
      <c r="DQ389" s="1504">
        <v>46296</v>
      </c>
      <c r="DR389" s="19"/>
      <c r="DS389" s="93"/>
      <c r="DT389" s="93"/>
      <c r="DU389" s="93"/>
      <c r="DV389" s="93"/>
      <c r="DW389" s="93"/>
      <c r="DX389" s="20"/>
      <c r="DY389" s="29"/>
      <c r="DZ389" s="1504">
        <v>46296</v>
      </c>
      <c r="EA389" s="19"/>
      <c r="EB389" s="93"/>
      <c r="EC389" s="20"/>
      <c r="ED389" s="29"/>
      <c r="EE389" s="1504">
        <v>46296</v>
      </c>
      <c r="EF389" s="19"/>
      <c r="EG389" s="93"/>
      <c r="EH389" s="93"/>
      <c r="EI389" s="214"/>
      <c r="EJ389" s="93"/>
      <c r="EK389" s="93"/>
      <c r="EL389" s="93"/>
      <c r="EM389" s="93"/>
      <c r="EN389" s="20"/>
      <c r="EO389" s="29"/>
      <c r="EP389" s="1504">
        <v>46296</v>
      </c>
      <c r="EQ389" s="19"/>
      <c r="ER389" s="93"/>
      <c r="ES389" s="93"/>
      <c r="ET389" s="214"/>
      <c r="EU389" s="93"/>
      <c r="EV389" s="93"/>
      <c r="EW389" s="93"/>
      <c r="EX389" s="93"/>
      <c r="EY389" s="20"/>
      <c r="EZ389" s="29"/>
      <c r="FA389" s="1504">
        <v>46296</v>
      </c>
      <c r="FB389" s="29"/>
      <c r="FC389" s="29"/>
      <c r="FD389" s="29"/>
      <c r="FE389" s="29"/>
      <c r="FF389" s="29"/>
      <c r="FG389" s="29"/>
      <c r="FH389" s="29"/>
      <c r="FI389" s="29"/>
      <c r="FJ389" s="29"/>
      <c r="FK389" s="29"/>
      <c r="FL389" s="1504">
        <v>46296</v>
      </c>
      <c r="FM389" s="19"/>
      <c r="FN389" s="93"/>
      <c r="FO389" s="93"/>
      <c r="FP389" s="93"/>
      <c r="FQ389" s="93"/>
      <c r="FR389" s="93"/>
      <c r="FS389" s="93"/>
      <c r="FT389" s="93"/>
      <c r="FU389" s="93"/>
      <c r="FV389" s="93"/>
      <c r="FW389" s="93"/>
      <c r="FX389" s="93"/>
      <c r="FY389" s="93"/>
      <c r="FZ389" s="29"/>
      <c r="GA389" s="1504">
        <v>46296</v>
      </c>
      <c r="GB389" s="19"/>
      <c r="GC389" s="93"/>
      <c r="GD389" s="93"/>
      <c r="GE389" s="93"/>
      <c r="GF389" s="93"/>
      <c r="GG389" s="93"/>
      <c r="GH389" s="93"/>
      <c r="GI389" s="93"/>
      <c r="GJ389" s="93"/>
      <c r="GK389" s="93"/>
      <c r="GL389" s="93"/>
      <c r="GM389" s="93"/>
      <c r="GN389" s="20"/>
      <c r="GO389" s="29"/>
      <c r="GP389" s="1504">
        <v>46296</v>
      </c>
      <c r="GQ389" s="19"/>
      <c r="GR389" s="93"/>
      <c r="GS389" s="93"/>
      <c r="GT389" s="93"/>
      <c r="GU389" s="93"/>
      <c r="GV389" s="20"/>
      <c r="GW389" s="19"/>
      <c r="GX389" s="93"/>
      <c r="GY389" s="93"/>
      <c r="GZ389" s="93"/>
      <c r="HA389" s="93"/>
      <c r="HB389" s="20"/>
      <c r="HC389" s="19"/>
      <c r="HD389" s="93"/>
      <c r="HE389" s="93"/>
      <c r="HF389" s="93"/>
      <c r="HG389" s="93"/>
      <c r="HH389" s="20"/>
      <c r="HI389" s="19"/>
      <c r="HJ389" s="93"/>
      <c r="HK389" s="93"/>
      <c r="HL389" s="93"/>
      <c r="HM389" s="93"/>
      <c r="HN389" s="20"/>
      <c r="HO389" s="219"/>
      <c r="HP389" s="20"/>
      <c r="HQ389" s="25"/>
      <c r="HR389" s="29"/>
      <c r="HS389" s="1504">
        <v>46296</v>
      </c>
      <c r="HT389" s="19"/>
      <c r="HU389" s="93"/>
      <c r="HV389" s="93"/>
      <c r="HW389" s="93"/>
      <c r="HX389" s="93"/>
      <c r="HY389" s="93"/>
      <c r="HZ389" s="93"/>
      <c r="IA389" s="20"/>
      <c r="IB389" s="19"/>
      <c r="IC389" s="93"/>
      <c r="ID389" s="93"/>
      <c r="IE389" s="93"/>
      <c r="IF389" s="93"/>
      <c r="IG389" s="20"/>
      <c r="IH389" s="19"/>
      <c r="II389" s="93"/>
      <c r="IJ389" s="93"/>
      <c r="IK389" s="93"/>
      <c r="IL389" s="93"/>
      <c r="IM389" s="93"/>
      <c r="IN389" s="93"/>
      <c r="IO389" s="20"/>
      <c r="IP389" s="29"/>
      <c r="IQ389" s="19"/>
      <c r="IR389" s="93"/>
      <c r="IS389" s="93"/>
      <c r="IT389" s="93"/>
      <c r="IU389" s="93"/>
      <c r="IV389" s="20"/>
      <c r="IW389" s="29"/>
      <c r="IX389" s="19"/>
      <c r="IY389" s="93"/>
      <c r="IZ389" s="93"/>
      <c r="JA389" s="93"/>
      <c r="JB389" s="93"/>
      <c r="JC389" s="93"/>
      <c r="JD389" s="93"/>
      <c r="JE389" s="20"/>
      <c r="JF389" s="29"/>
      <c r="JG389" s="19"/>
      <c r="JH389" s="93"/>
      <c r="JI389" s="93"/>
      <c r="JJ389" s="93"/>
      <c r="JK389" s="93"/>
      <c r="JL389" s="93"/>
      <c r="JM389" s="93"/>
      <c r="JN389" s="20"/>
      <c r="JO389" s="29"/>
      <c r="JP389" s="19"/>
      <c r="JQ389" s="93"/>
      <c r="JR389" s="93"/>
      <c r="JS389" s="93"/>
      <c r="JT389" s="93"/>
      <c r="JU389" s="20"/>
      <c r="JV389" s="29"/>
      <c r="JW389" s="1504">
        <v>46296</v>
      </c>
      <c r="JX389" s="19"/>
      <c r="JY389" s="93"/>
      <c r="JZ389" s="93"/>
      <c r="KA389" s="93"/>
      <c r="KB389" s="93"/>
      <c r="KC389" s="93"/>
      <c r="KD389" s="20"/>
      <c r="KE389" s="29"/>
      <c r="KF389" s="19"/>
      <c r="KG389" s="93"/>
      <c r="KH389" s="93"/>
      <c r="KI389" s="93"/>
      <c r="KJ389" s="93"/>
      <c r="KK389" s="20"/>
      <c r="KL389" s="29"/>
      <c r="KM389" s="19"/>
      <c r="KN389" s="93"/>
      <c r="KO389" s="93"/>
      <c r="KP389" s="93"/>
      <c r="KQ389" s="93"/>
      <c r="KR389" s="20"/>
      <c r="KS389" s="29"/>
      <c r="KT389" s="19"/>
      <c r="KU389" s="93"/>
      <c r="KV389" s="93"/>
      <c r="KW389" s="93"/>
      <c r="KX389" s="93"/>
      <c r="KY389" s="20"/>
      <c r="KZ389" s="29"/>
      <c r="LA389" s="1504">
        <v>46296</v>
      </c>
      <c r="LB389" s="19"/>
      <c r="LC389" s="93"/>
      <c r="LD389" s="93"/>
      <c r="LE389" s="93"/>
      <c r="LF389" s="93"/>
      <c r="LG389" s="93"/>
      <c r="LH389" s="20"/>
      <c r="LI389" s="29"/>
      <c r="LJ389" s="19"/>
      <c r="LK389" s="93"/>
      <c r="LL389" s="93"/>
      <c r="LM389" s="93"/>
      <c r="LN389" s="93"/>
      <c r="LO389" s="20"/>
      <c r="LP389" s="29"/>
      <c r="LQ389" s="19"/>
      <c r="LR389" s="93"/>
      <c r="LS389" s="93"/>
      <c r="LT389" s="93"/>
      <c r="LU389" s="93"/>
      <c r="LV389" s="93"/>
      <c r="LW389" s="93"/>
      <c r="LX389" s="93"/>
      <c r="LY389" s="93"/>
      <c r="LZ389" s="93"/>
      <c r="MA389" s="20"/>
      <c r="MB389" s="29"/>
      <c r="MC389" s="1504">
        <v>46296</v>
      </c>
      <c r="MD389" s="19"/>
      <c r="ME389" s="93"/>
      <c r="MF389" s="93"/>
      <c r="MG389" s="93"/>
      <c r="MH389" s="93"/>
      <c r="MI389" s="93"/>
      <c r="MJ389" s="93"/>
      <c r="MK389" s="93"/>
      <c r="ML389" s="93"/>
      <c r="MM389" s="93"/>
      <c r="MN389" s="93"/>
      <c r="MO389" s="93"/>
      <c r="MP389" s="93"/>
      <c r="MQ389" s="93"/>
      <c r="MR389" s="93"/>
      <c r="MS389" s="93"/>
      <c r="MT389" s="93"/>
      <c r="MU389" s="93"/>
      <c r="MV389" s="93"/>
      <c r="MW389" s="93"/>
      <c r="MX389" s="93"/>
      <c r="MY389" s="93"/>
      <c r="MZ389" s="93"/>
      <c r="NA389" s="93"/>
      <c r="NB389" s="93"/>
      <c r="NC389" s="93"/>
      <c r="ND389" s="93"/>
      <c r="NE389" s="93"/>
      <c r="NF389" s="93"/>
      <c r="NG389" s="93"/>
      <c r="NH389" s="93"/>
      <c r="NI389" s="93"/>
      <c r="NJ389" s="93"/>
      <c r="NK389" s="93"/>
      <c r="NL389" s="93"/>
      <c r="NM389" s="93"/>
      <c r="NN389" s="93"/>
      <c r="NO389" s="93"/>
      <c r="NP389" s="93"/>
      <c r="NQ389" s="93"/>
      <c r="NR389" s="93"/>
      <c r="NS389" s="93"/>
      <c r="NT389" s="93"/>
      <c r="NU389" s="93"/>
      <c r="NV389" s="93"/>
      <c r="NW389" s="93"/>
      <c r="NX389" s="93"/>
      <c r="NY389" s="93"/>
      <c r="NZ389" s="93"/>
      <c r="OA389" s="93"/>
      <c r="OB389" s="93"/>
      <c r="OC389" s="93"/>
      <c r="OD389" s="20"/>
      <c r="OE389" s="29"/>
      <c r="OF389" s="1504">
        <v>46296</v>
      </c>
      <c r="OG389" s="19"/>
      <c r="OH389" s="93"/>
      <c r="OI389" s="93"/>
      <c r="OJ389" s="93"/>
      <c r="OK389" s="93"/>
      <c r="OL389" s="93"/>
      <c r="OM389" s="93"/>
      <c r="ON389" s="93"/>
      <c r="OO389" s="93"/>
      <c r="OP389" s="93"/>
      <c r="OQ389" s="93"/>
      <c r="OR389" s="93"/>
      <c r="OS389" s="93"/>
      <c r="OT389" s="93"/>
      <c r="OU389" s="93"/>
      <c r="OV389" s="93"/>
      <c r="OW389" s="93"/>
      <c r="OX389" s="93"/>
      <c r="OY389" s="93"/>
      <c r="OZ389" s="93"/>
      <c r="PA389" s="93"/>
      <c r="PB389" s="93"/>
      <c r="PC389" s="20"/>
      <c r="PD389" s="29"/>
      <c r="PE389" s="19"/>
      <c r="PF389" s="93"/>
      <c r="PG389" s="93"/>
      <c r="PH389" s="93"/>
      <c r="PI389" s="93"/>
      <c r="PJ389" s="93"/>
      <c r="PK389" s="93"/>
      <c r="PL389" s="93"/>
      <c r="PM389" s="93"/>
      <c r="PN389" s="93"/>
      <c r="PO389" s="93"/>
      <c r="PP389" s="93"/>
      <c r="PQ389" s="93"/>
      <c r="PR389" s="93"/>
      <c r="PS389" s="93"/>
      <c r="PT389" s="93"/>
      <c r="PU389" s="93"/>
      <c r="PV389" s="93"/>
      <c r="PW389" s="93"/>
      <c r="PX389" s="93"/>
      <c r="PY389" s="93"/>
      <c r="PZ389" s="93"/>
      <c r="QA389" s="93"/>
      <c r="QB389" s="93"/>
      <c r="QC389" s="93"/>
      <c r="QD389" s="93"/>
      <c r="QE389" s="20"/>
      <c r="QF389" s="1739"/>
      <c r="QG389" s="19"/>
      <c r="QH389" s="93"/>
      <c r="QI389" s="93"/>
      <c r="QJ389" s="93"/>
      <c r="QK389" s="93"/>
      <c r="QL389" s="93"/>
      <c r="QM389" s="93"/>
      <c r="QN389" s="93"/>
      <c r="QO389" s="93"/>
      <c r="QP389" s="93"/>
      <c r="QQ389" s="93"/>
      <c r="QR389" s="93"/>
      <c r="QS389" s="93"/>
      <c r="QT389" s="93"/>
      <c r="QU389" s="93"/>
      <c r="QV389" s="93"/>
      <c r="QW389" s="93"/>
      <c r="QX389" s="93"/>
      <c r="QY389" s="93"/>
      <c r="QZ389" s="93"/>
      <c r="RA389" s="93"/>
      <c r="RB389" s="93"/>
      <c r="RC389" s="93"/>
      <c r="RD389" s="93"/>
      <c r="RE389" s="93"/>
      <c r="RF389" s="93"/>
      <c r="RG389" s="93"/>
      <c r="RH389" s="93"/>
      <c r="RI389" s="93"/>
      <c r="RJ389" s="93"/>
      <c r="RK389" s="93"/>
      <c r="RL389" s="93"/>
      <c r="RM389" s="20"/>
      <c r="RN389" s="29"/>
      <c r="RO389" s="19"/>
      <c r="RP389" s="20"/>
      <c r="RQ389" s="29"/>
      <c r="RR389" s="20"/>
      <c r="RS389" s="29"/>
      <c r="RT389" s="1504">
        <v>46296</v>
      </c>
      <c r="RU389" s="19"/>
      <c r="RV389" s="20"/>
      <c r="RW389" s="29"/>
      <c r="RX389" s="1504">
        <v>46296</v>
      </c>
      <c r="RY389" s="29"/>
      <c r="RZ389" s="20"/>
      <c r="SA389" s="29"/>
      <c r="SB389" s="29"/>
    </row>
    <row r="390" spans="1:496">
      <c r="A390" s="41">
        <f t="shared" si="346"/>
        <v>2026</v>
      </c>
      <c r="B390" s="1504">
        <v>46327</v>
      </c>
      <c r="C390" s="1813"/>
      <c r="D390" s="1814"/>
      <c r="E390" s="1814"/>
      <c r="F390" s="1815"/>
      <c r="G390" s="1814"/>
      <c r="H390" s="1814"/>
      <c r="I390" s="1814"/>
      <c r="J390" s="1816"/>
      <c r="K390" s="1807"/>
      <c r="L390" s="25"/>
      <c r="M390" s="97"/>
      <c r="N390" s="1504">
        <v>46327</v>
      </c>
      <c r="O390" s="19"/>
      <c r="P390" s="93"/>
      <c r="Q390" s="93"/>
      <c r="R390" s="93"/>
      <c r="S390" s="93"/>
      <c r="T390" s="93"/>
      <c r="U390" s="93"/>
      <c r="V390" s="93"/>
      <c r="W390" s="93"/>
      <c r="X390" s="93"/>
      <c r="Y390" s="93"/>
      <c r="Z390" s="93"/>
      <c r="AA390" s="93"/>
      <c r="AB390" s="20"/>
      <c r="AC390" s="25"/>
      <c r="AD390" s="97"/>
      <c r="AE390" s="1504">
        <v>46327</v>
      </c>
      <c r="AF390" s="19"/>
      <c r="AG390" s="93"/>
      <c r="AH390" s="93"/>
      <c r="AI390" s="93"/>
      <c r="AJ390" s="93"/>
      <c r="AK390" s="93"/>
      <c r="AL390" s="93"/>
      <c r="AM390" s="93"/>
      <c r="AN390" s="93"/>
      <c r="AO390" s="93"/>
      <c r="AP390" s="93"/>
      <c r="AQ390" s="93"/>
      <c r="AR390" s="93"/>
      <c r="AS390" s="20"/>
      <c r="AT390" s="25"/>
      <c r="AU390" s="97"/>
      <c r="AV390" s="1504">
        <v>46327</v>
      </c>
      <c r="AW390" s="19"/>
      <c r="AX390" s="93"/>
      <c r="AY390" s="93"/>
      <c r="AZ390" s="93"/>
      <c r="BA390" s="93"/>
      <c r="BB390" s="93"/>
      <c r="BC390" s="93"/>
      <c r="BD390" s="93"/>
      <c r="BE390" s="93"/>
      <c r="BF390" s="93"/>
      <c r="BG390" s="93"/>
      <c r="BH390" s="93"/>
      <c r="BI390" s="93"/>
      <c r="BJ390" s="20"/>
      <c r="BK390" s="25"/>
      <c r="BL390" s="97"/>
      <c r="BM390" s="1504">
        <v>46327</v>
      </c>
      <c r="BN390" s="19"/>
      <c r="BO390" s="93"/>
      <c r="BP390" s="93"/>
      <c r="BQ390" s="93"/>
      <c r="BR390" s="93"/>
      <c r="BS390" s="93"/>
      <c r="BT390" s="93"/>
      <c r="BU390" s="20"/>
      <c r="BV390" s="25"/>
      <c r="BW390" s="97"/>
      <c r="BX390" s="1504">
        <v>46327</v>
      </c>
      <c r="BY390" s="19"/>
      <c r="BZ390" s="93"/>
      <c r="CA390" s="93"/>
      <c r="CB390" s="93"/>
      <c r="CC390" s="93"/>
      <c r="CD390" s="25"/>
      <c r="CE390" s="97"/>
      <c r="CF390" s="1504">
        <v>46327</v>
      </c>
      <c r="CG390" s="19"/>
      <c r="CH390" s="93"/>
      <c r="CI390" s="219"/>
      <c r="CJ390" s="20"/>
      <c r="CK390" s="19"/>
      <c r="CL390" s="93"/>
      <c r="CM390" s="93"/>
      <c r="CN390" s="93"/>
      <c r="CO390" s="93"/>
      <c r="CP390" s="20"/>
      <c r="CQ390" s="219"/>
      <c r="CR390" s="93"/>
      <c r="CS390" s="93"/>
      <c r="CT390" s="93"/>
      <c r="CU390" s="93"/>
      <c r="CV390" s="214"/>
      <c r="CW390" s="29"/>
      <c r="CX390" s="41">
        <f t="shared" si="357"/>
        <v>2026</v>
      </c>
      <c r="CY390" s="1504">
        <v>46327</v>
      </c>
      <c r="CZ390" s="19"/>
      <c r="DA390" s="93"/>
      <c r="DB390" s="93"/>
      <c r="DC390" s="93"/>
      <c r="DD390" s="93"/>
      <c r="DE390" s="20"/>
      <c r="DF390" s="29"/>
      <c r="DG390" s="1504">
        <v>46327</v>
      </c>
      <c r="DH390" s="19"/>
      <c r="DI390" s="93"/>
      <c r="DJ390" s="93"/>
      <c r="DK390" s="93"/>
      <c r="DL390" s="93"/>
      <c r="DM390" s="93"/>
      <c r="DN390" s="20"/>
      <c r="DO390" s="295"/>
      <c r="DP390" s="29"/>
      <c r="DQ390" s="1504">
        <v>46327</v>
      </c>
      <c r="DR390" s="19"/>
      <c r="DS390" s="93"/>
      <c r="DT390" s="93"/>
      <c r="DU390" s="93"/>
      <c r="DV390" s="93"/>
      <c r="DW390" s="93"/>
      <c r="DX390" s="20"/>
      <c r="DY390" s="29"/>
      <c r="DZ390" s="1504">
        <v>46327</v>
      </c>
      <c r="EA390" s="19"/>
      <c r="EB390" s="93"/>
      <c r="EC390" s="20"/>
      <c r="ED390" s="29"/>
      <c r="EE390" s="1504">
        <v>46327</v>
      </c>
      <c r="EF390" s="19"/>
      <c r="EG390" s="93"/>
      <c r="EH390" s="93"/>
      <c r="EI390" s="214"/>
      <c r="EJ390" s="93"/>
      <c r="EK390" s="93"/>
      <c r="EL390" s="93"/>
      <c r="EM390" s="93"/>
      <c r="EN390" s="20"/>
      <c r="EO390" s="29"/>
      <c r="EP390" s="1504">
        <v>46327</v>
      </c>
      <c r="EQ390" s="19"/>
      <c r="ER390" s="93"/>
      <c r="ES390" s="93"/>
      <c r="ET390" s="214"/>
      <c r="EU390" s="93"/>
      <c r="EV390" s="93"/>
      <c r="EW390" s="93"/>
      <c r="EX390" s="93"/>
      <c r="EY390" s="20"/>
      <c r="EZ390" s="29"/>
      <c r="FA390" s="1504">
        <v>46327</v>
      </c>
      <c r="FB390" s="29"/>
      <c r="FC390" s="29"/>
      <c r="FD390" s="29"/>
      <c r="FE390" s="29"/>
      <c r="FF390" s="29"/>
      <c r="FG390" s="29"/>
      <c r="FH390" s="29"/>
      <c r="FI390" s="29"/>
      <c r="FJ390" s="29"/>
      <c r="FK390" s="29"/>
      <c r="FL390" s="1504">
        <v>46327</v>
      </c>
      <c r="FM390" s="19"/>
      <c r="FN390" s="93"/>
      <c r="FO390" s="93"/>
      <c r="FP390" s="93"/>
      <c r="FQ390" s="93"/>
      <c r="FR390" s="93"/>
      <c r="FS390" s="93"/>
      <c r="FT390" s="93"/>
      <c r="FU390" s="93"/>
      <c r="FV390" s="93"/>
      <c r="FW390" s="93"/>
      <c r="FX390" s="93"/>
      <c r="FY390" s="93"/>
      <c r="FZ390" s="29"/>
      <c r="GA390" s="1504">
        <v>46327</v>
      </c>
      <c r="GB390" s="19"/>
      <c r="GC390" s="93"/>
      <c r="GD390" s="93"/>
      <c r="GE390" s="93"/>
      <c r="GF390" s="93"/>
      <c r="GG390" s="93"/>
      <c r="GH390" s="93"/>
      <c r="GI390" s="93"/>
      <c r="GJ390" s="93"/>
      <c r="GK390" s="93"/>
      <c r="GL390" s="93"/>
      <c r="GM390" s="93"/>
      <c r="GN390" s="20"/>
      <c r="GO390" s="29"/>
      <c r="GP390" s="1504">
        <v>46327</v>
      </c>
      <c r="GQ390" s="19"/>
      <c r="GR390" s="93"/>
      <c r="GS390" s="93"/>
      <c r="GT390" s="93"/>
      <c r="GU390" s="93"/>
      <c r="GV390" s="20"/>
      <c r="GW390" s="19"/>
      <c r="GX390" s="93"/>
      <c r="GY390" s="93"/>
      <c r="GZ390" s="93"/>
      <c r="HA390" s="93"/>
      <c r="HB390" s="20"/>
      <c r="HC390" s="19"/>
      <c r="HD390" s="93"/>
      <c r="HE390" s="93"/>
      <c r="HF390" s="93"/>
      <c r="HG390" s="93"/>
      <c r="HH390" s="20"/>
      <c r="HI390" s="19"/>
      <c r="HJ390" s="93"/>
      <c r="HK390" s="93"/>
      <c r="HL390" s="93"/>
      <c r="HM390" s="93"/>
      <c r="HN390" s="20"/>
      <c r="HO390" s="219"/>
      <c r="HP390" s="20"/>
      <c r="HQ390" s="25"/>
      <c r="HR390" s="29"/>
      <c r="HS390" s="1504">
        <v>46327</v>
      </c>
      <c r="HT390" s="19"/>
      <c r="HU390" s="93"/>
      <c r="HV390" s="93"/>
      <c r="HW390" s="93"/>
      <c r="HX390" s="93"/>
      <c r="HY390" s="93"/>
      <c r="HZ390" s="93"/>
      <c r="IA390" s="20"/>
      <c r="IB390" s="19"/>
      <c r="IC390" s="93"/>
      <c r="ID390" s="93"/>
      <c r="IE390" s="93"/>
      <c r="IF390" s="93"/>
      <c r="IG390" s="20"/>
      <c r="IH390" s="19"/>
      <c r="II390" s="93"/>
      <c r="IJ390" s="93"/>
      <c r="IK390" s="93"/>
      <c r="IL390" s="93"/>
      <c r="IM390" s="93"/>
      <c r="IN390" s="93"/>
      <c r="IO390" s="20"/>
      <c r="IP390" s="29"/>
      <c r="IQ390" s="19"/>
      <c r="IR390" s="93"/>
      <c r="IS390" s="93"/>
      <c r="IT390" s="93"/>
      <c r="IU390" s="93"/>
      <c r="IV390" s="20"/>
      <c r="IW390" s="29"/>
      <c r="IX390" s="19"/>
      <c r="IY390" s="93"/>
      <c r="IZ390" s="93"/>
      <c r="JA390" s="93"/>
      <c r="JB390" s="93"/>
      <c r="JC390" s="93"/>
      <c r="JD390" s="93"/>
      <c r="JE390" s="20"/>
      <c r="JF390" s="29"/>
      <c r="JG390" s="19"/>
      <c r="JH390" s="93"/>
      <c r="JI390" s="93"/>
      <c r="JJ390" s="93"/>
      <c r="JK390" s="93"/>
      <c r="JL390" s="93"/>
      <c r="JM390" s="93"/>
      <c r="JN390" s="20"/>
      <c r="JO390" s="29"/>
      <c r="JP390" s="19"/>
      <c r="JQ390" s="93"/>
      <c r="JR390" s="93"/>
      <c r="JS390" s="93"/>
      <c r="JT390" s="93"/>
      <c r="JU390" s="20"/>
      <c r="JV390" s="29"/>
      <c r="JW390" s="1504">
        <v>46327</v>
      </c>
      <c r="JX390" s="19"/>
      <c r="JY390" s="93"/>
      <c r="JZ390" s="93"/>
      <c r="KA390" s="93"/>
      <c r="KB390" s="93"/>
      <c r="KC390" s="93"/>
      <c r="KD390" s="20"/>
      <c r="KE390" s="29"/>
      <c r="KF390" s="19"/>
      <c r="KG390" s="93"/>
      <c r="KH390" s="93"/>
      <c r="KI390" s="93"/>
      <c r="KJ390" s="93"/>
      <c r="KK390" s="20"/>
      <c r="KL390" s="29"/>
      <c r="KM390" s="19"/>
      <c r="KN390" s="93"/>
      <c r="KO390" s="93"/>
      <c r="KP390" s="93"/>
      <c r="KQ390" s="93"/>
      <c r="KR390" s="20"/>
      <c r="KS390" s="29"/>
      <c r="KT390" s="19"/>
      <c r="KU390" s="93"/>
      <c r="KV390" s="93"/>
      <c r="KW390" s="93"/>
      <c r="KX390" s="93"/>
      <c r="KY390" s="20"/>
      <c r="KZ390" s="29"/>
      <c r="LA390" s="1504">
        <v>46327</v>
      </c>
      <c r="LB390" s="19"/>
      <c r="LC390" s="93"/>
      <c r="LD390" s="93"/>
      <c r="LE390" s="93"/>
      <c r="LF390" s="93"/>
      <c r="LG390" s="93"/>
      <c r="LH390" s="20"/>
      <c r="LI390" s="29"/>
      <c r="LJ390" s="19"/>
      <c r="LK390" s="93"/>
      <c r="LL390" s="93"/>
      <c r="LM390" s="93"/>
      <c r="LN390" s="93"/>
      <c r="LO390" s="20"/>
      <c r="LP390" s="29"/>
      <c r="LQ390" s="19"/>
      <c r="LR390" s="93"/>
      <c r="LS390" s="93"/>
      <c r="LT390" s="93"/>
      <c r="LU390" s="93"/>
      <c r="LV390" s="93"/>
      <c r="LW390" s="93"/>
      <c r="LX390" s="93"/>
      <c r="LY390" s="93"/>
      <c r="LZ390" s="93"/>
      <c r="MA390" s="20"/>
      <c r="MB390" s="29"/>
      <c r="MC390" s="1504">
        <v>46327</v>
      </c>
      <c r="MD390" s="19"/>
      <c r="ME390" s="93"/>
      <c r="MF390" s="93"/>
      <c r="MG390" s="93"/>
      <c r="MH390" s="93"/>
      <c r="MI390" s="93"/>
      <c r="MJ390" s="93"/>
      <c r="MK390" s="93"/>
      <c r="ML390" s="93"/>
      <c r="MM390" s="93"/>
      <c r="MN390" s="93"/>
      <c r="MO390" s="93"/>
      <c r="MP390" s="93"/>
      <c r="MQ390" s="93"/>
      <c r="MR390" s="93"/>
      <c r="MS390" s="93"/>
      <c r="MT390" s="93"/>
      <c r="MU390" s="93"/>
      <c r="MV390" s="93"/>
      <c r="MW390" s="93"/>
      <c r="MX390" s="93"/>
      <c r="MY390" s="93"/>
      <c r="MZ390" s="93"/>
      <c r="NA390" s="93"/>
      <c r="NB390" s="93"/>
      <c r="NC390" s="93"/>
      <c r="ND390" s="93"/>
      <c r="NE390" s="93"/>
      <c r="NF390" s="93"/>
      <c r="NG390" s="93"/>
      <c r="NH390" s="93"/>
      <c r="NI390" s="93"/>
      <c r="NJ390" s="93"/>
      <c r="NK390" s="93"/>
      <c r="NL390" s="93"/>
      <c r="NM390" s="93"/>
      <c r="NN390" s="93"/>
      <c r="NO390" s="93"/>
      <c r="NP390" s="93"/>
      <c r="NQ390" s="93"/>
      <c r="NR390" s="93"/>
      <c r="NS390" s="93"/>
      <c r="NT390" s="93"/>
      <c r="NU390" s="93"/>
      <c r="NV390" s="93"/>
      <c r="NW390" s="93"/>
      <c r="NX390" s="93"/>
      <c r="NY390" s="93"/>
      <c r="NZ390" s="93"/>
      <c r="OA390" s="93"/>
      <c r="OB390" s="93"/>
      <c r="OC390" s="93"/>
      <c r="OD390" s="20"/>
      <c r="OE390" s="29"/>
      <c r="OF390" s="1504">
        <v>46327</v>
      </c>
      <c r="OG390" s="19"/>
      <c r="OH390" s="93"/>
      <c r="OI390" s="93"/>
      <c r="OJ390" s="93"/>
      <c r="OK390" s="93"/>
      <c r="OL390" s="93"/>
      <c r="OM390" s="93"/>
      <c r="ON390" s="93"/>
      <c r="OO390" s="93"/>
      <c r="OP390" s="93"/>
      <c r="OQ390" s="93"/>
      <c r="OR390" s="93"/>
      <c r="OS390" s="93"/>
      <c r="OT390" s="93"/>
      <c r="OU390" s="93"/>
      <c r="OV390" s="93"/>
      <c r="OW390" s="93"/>
      <c r="OX390" s="93"/>
      <c r="OY390" s="93"/>
      <c r="OZ390" s="93"/>
      <c r="PA390" s="93"/>
      <c r="PB390" s="93"/>
      <c r="PC390" s="20"/>
      <c r="PD390" s="29"/>
      <c r="PE390" s="19"/>
      <c r="PF390" s="93"/>
      <c r="PG390" s="93"/>
      <c r="PH390" s="93"/>
      <c r="PI390" s="93"/>
      <c r="PJ390" s="93"/>
      <c r="PK390" s="93"/>
      <c r="PL390" s="93"/>
      <c r="PM390" s="93"/>
      <c r="PN390" s="93"/>
      <c r="PO390" s="93"/>
      <c r="PP390" s="93"/>
      <c r="PQ390" s="93"/>
      <c r="PR390" s="93"/>
      <c r="PS390" s="93"/>
      <c r="PT390" s="93"/>
      <c r="PU390" s="93"/>
      <c r="PV390" s="93"/>
      <c r="PW390" s="93"/>
      <c r="PX390" s="93"/>
      <c r="PY390" s="93"/>
      <c r="PZ390" s="93"/>
      <c r="QA390" s="93"/>
      <c r="QB390" s="93"/>
      <c r="QC390" s="93"/>
      <c r="QD390" s="93"/>
      <c r="QE390" s="20"/>
      <c r="QF390" s="1739"/>
      <c r="QG390" s="19"/>
      <c r="QH390" s="93"/>
      <c r="QI390" s="93"/>
      <c r="QJ390" s="93"/>
      <c r="QK390" s="93"/>
      <c r="QL390" s="93"/>
      <c r="QM390" s="93"/>
      <c r="QN390" s="93"/>
      <c r="QO390" s="93"/>
      <c r="QP390" s="93"/>
      <c r="QQ390" s="93"/>
      <c r="QR390" s="93"/>
      <c r="QS390" s="93"/>
      <c r="QT390" s="93"/>
      <c r="QU390" s="93"/>
      <c r="QV390" s="93"/>
      <c r="QW390" s="93"/>
      <c r="QX390" s="93"/>
      <c r="QY390" s="93"/>
      <c r="QZ390" s="93"/>
      <c r="RA390" s="93"/>
      <c r="RB390" s="93"/>
      <c r="RC390" s="93"/>
      <c r="RD390" s="93"/>
      <c r="RE390" s="93"/>
      <c r="RF390" s="93"/>
      <c r="RG390" s="93"/>
      <c r="RH390" s="93"/>
      <c r="RI390" s="93"/>
      <c r="RJ390" s="93"/>
      <c r="RK390" s="93"/>
      <c r="RL390" s="93"/>
      <c r="RM390" s="20"/>
      <c r="RN390" s="29"/>
      <c r="RO390" s="19"/>
      <c r="RP390" s="20"/>
      <c r="RQ390" s="29"/>
      <c r="RR390" s="20"/>
      <c r="RS390" s="29"/>
      <c r="RT390" s="1504">
        <v>46327</v>
      </c>
      <c r="RU390" s="19"/>
      <c r="RV390" s="20"/>
      <c r="RW390" s="29"/>
      <c r="RX390" s="1504">
        <v>46327</v>
      </c>
      <c r="RY390" s="29"/>
      <c r="RZ390" s="20"/>
      <c r="SA390" s="29"/>
      <c r="SB390" s="29"/>
    </row>
    <row r="391" spans="1:496">
      <c r="A391" s="41">
        <f t="shared" si="346"/>
        <v>2026</v>
      </c>
      <c r="B391" s="1504">
        <v>46357</v>
      </c>
      <c r="C391" s="1813"/>
      <c r="D391" s="1814"/>
      <c r="E391" s="1814"/>
      <c r="F391" s="1815"/>
      <c r="G391" s="1814"/>
      <c r="H391" s="1814"/>
      <c r="I391" s="1814"/>
      <c r="J391" s="1816"/>
      <c r="K391" s="1807"/>
      <c r="L391" s="25"/>
      <c r="M391" s="97"/>
      <c r="N391" s="1504">
        <v>46357</v>
      </c>
      <c r="O391" s="19"/>
      <c r="P391" s="93"/>
      <c r="Q391" s="93"/>
      <c r="R391" s="93"/>
      <c r="S391" s="93"/>
      <c r="T391" s="93"/>
      <c r="U391" s="93"/>
      <c r="V391" s="93"/>
      <c r="W391" s="93"/>
      <c r="X391" s="93"/>
      <c r="Y391" s="93"/>
      <c r="Z391" s="93"/>
      <c r="AA391" s="93"/>
      <c r="AB391" s="20"/>
      <c r="AC391" s="25"/>
      <c r="AD391" s="97"/>
      <c r="AE391" s="1504">
        <v>46357</v>
      </c>
      <c r="AF391" s="19"/>
      <c r="AG391" s="93"/>
      <c r="AH391" s="93"/>
      <c r="AI391" s="93"/>
      <c r="AJ391" s="93"/>
      <c r="AK391" s="93"/>
      <c r="AL391" s="93"/>
      <c r="AM391" s="93"/>
      <c r="AN391" s="93"/>
      <c r="AO391" s="93"/>
      <c r="AP391" s="93"/>
      <c r="AQ391" s="93"/>
      <c r="AR391" s="93"/>
      <c r="AS391" s="20"/>
      <c r="AT391" s="25"/>
      <c r="AU391" s="97"/>
      <c r="AV391" s="1504">
        <v>46357</v>
      </c>
      <c r="AW391" s="19"/>
      <c r="AX391" s="93"/>
      <c r="AY391" s="93"/>
      <c r="AZ391" s="93"/>
      <c r="BA391" s="93"/>
      <c r="BB391" s="93"/>
      <c r="BC391" s="93"/>
      <c r="BD391" s="93"/>
      <c r="BE391" s="93"/>
      <c r="BF391" s="93"/>
      <c r="BG391" s="93"/>
      <c r="BH391" s="93"/>
      <c r="BI391" s="93"/>
      <c r="BJ391" s="20"/>
      <c r="BK391" s="25"/>
      <c r="BL391" s="97"/>
      <c r="BM391" s="1504">
        <v>46357</v>
      </c>
      <c r="BN391" s="19"/>
      <c r="BO391" s="93"/>
      <c r="BP391" s="93"/>
      <c r="BQ391" s="93"/>
      <c r="BR391" s="93"/>
      <c r="BS391" s="93"/>
      <c r="BT391" s="93"/>
      <c r="BU391" s="20"/>
      <c r="BV391" s="25"/>
      <c r="BW391" s="97"/>
      <c r="BX391" s="1504">
        <v>46357</v>
      </c>
      <c r="BY391" s="19"/>
      <c r="BZ391" s="93"/>
      <c r="CA391" s="93"/>
      <c r="CB391" s="93"/>
      <c r="CC391" s="93"/>
      <c r="CD391" s="25"/>
      <c r="CE391" s="97"/>
      <c r="CF391" s="1504">
        <v>46357</v>
      </c>
      <c r="CG391" s="19"/>
      <c r="CH391" s="93"/>
      <c r="CI391" s="219"/>
      <c r="CJ391" s="20"/>
      <c r="CK391" s="19"/>
      <c r="CL391" s="93"/>
      <c r="CM391" s="93"/>
      <c r="CN391" s="93"/>
      <c r="CO391" s="93"/>
      <c r="CP391" s="20"/>
      <c r="CQ391" s="219"/>
      <c r="CR391" s="93"/>
      <c r="CS391" s="93"/>
      <c r="CT391" s="93"/>
      <c r="CU391" s="93"/>
      <c r="CV391" s="214"/>
      <c r="CW391" s="29"/>
      <c r="CX391" s="41">
        <f t="shared" si="357"/>
        <v>2026</v>
      </c>
      <c r="CY391" s="1504">
        <v>46357</v>
      </c>
      <c r="CZ391" s="19"/>
      <c r="DA391" s="93"/>
      <c r="DB391" s="93"/>
      <c r="DC391" s="93"/>
      <c r="DD391" s="93"/>
      <c r="DE391" s="20"/>
      <c r="DF391" s="29"/>
      <c r="DG391" s="1504">
        <v>46357</v>
      </c>
      <c r="DH391" s="19"/>
      <c r="DI391" s="93"/>
      <c r="DJ391" s="93"/>
      <c r="DK391" s="93"/>
      <c r="DL391" s="93"/>
      <c r="DM391" s="93"/>
      <c r="DN391" s="20"/>
      <c r="DO391" s="295"/>
      <c r="DP391" s="29"/>
      <c r="DQ391" s="1504">
        <v>46357</v>
      </c>
      <c r="DR391" s="19"/>
      <c r="DS391" s="93"/>
      <c r="DT391" s="93"/>
      <c r="DU391" s="93"/>
      <c r="DV391" s="93"/>
      <c r="DW391" s="93"/>
      <c r="DX391" s="20"/>
      <c r="DY391" s="29"/>
      <c r="DZ391" s="1504">
        <v>46357</v>
      </c>
      <c r="EA391" s="19"/>
      <c r="EB391" s="93"/>
      <c r="EC391" s="20"/>
      <c r="ED391" s="29"/>
      <c r="EE391" s="1504">
        <v>46357</v>
      </c>
      <c r="EF391" s="19"/>
      <c r="EG391" s="93"/>
      <c r="EH391" s="93"/>
      <c r="EI391" s="214"/>
      <c r="EJ391" s="93"/>
      <c r="EK391" s="93"/>
      <c r="EL391" s="93"/>
      <c r="EM391" s="93"/>
      <c r="EN391" s="20"/>
      <c r="EO391" s="29"/>
      <c r="EP391" s="1504">
        <v>46357</v>
      </c>
      <c r="EQ391" s="19"/>
      <c r="ER391" s="93"/>
      <c r="ES391" s="93"/>
      <c r="ET391" s="214"/>
      <c r="EU391" s="93"/>
      <c r="EV391" s="93"/>
      <c r="EW391" s="93"/>
      <c r="EX391" s="93"/>
      <c r="EY391" s="20"/>
      <c r="EZ391" s="29"/>
      <c r="FA391" s="1504">
        <v>46357</v>
      </c>
      <c r="FB391" s="29"/>
      <c r="FC391" s="29"/>
      <c r="FD391" s="29"/>
      <c r="FE391" s="29"/>
      <c r="FF391" s="29"/>
      <c r="FG391" s="29"/>
      <c r="FH391" s="29"/>
      <c r="FI391" s="29"/>
      <c r="FJ391" s="29"/>
      <c r="FK391" s="29"/>
      <c r="FL391" s="1504">
        <v>46357</v>
      </c>
      <c r="FM391" s="19"/>
      <c r="FN391" s="93"/>
      <c r="FO391" s="93"/>
      <c r="FP391" s="93"/>
      <c r="FQ391" s="93"/>
      <c r="FR391" s="93"/>
      <c r="FS391" s="93"/>
      <c r="FT391" s="93"/>
      <c r="FU391" s="93"/>
      <c r="FV391" s="93"/>
      <c r="FW391" s="93"/>
      <c r="FX391" s="93"/>
      <c r="FY391" s="93"/>
      <c r="FZ391" s="29"/>
      <c r="GA391" s="1504">
        <v>46357</v>
      </c>
      <c r="GB391" s="19"/>
      <c r="GC391" s="93"/>
      <c r="GD391" s="93"/>
      <c r="GE391" s="93"/>
      <c r="GF391" s="93"/>
      <c r="GG391" s="93"/>
      <c r="GH391" s="93"/>
      <c r="GI391" s="93"/>
      <c r="GJ391" s="93"/>
      <c r="GK391" s="93"/>
      <c r="GL391" s="93"/>
      <c r="GM391" s="93"/>
      <c r="GN391" s="20"/>
      <c r="GO391" s="29"/>
      <c r="GP391" s="1504">
        <v>46357</v>
      </c>
      <c r="GQ391" s="19"/>
      <c r="GR391" s="93"/>
      <c r="GS391" s="93"/>
      <c r="GT391" s="93"/>
      <c r="GU391" s="93"/>
      <c r="GV391" s="20"/>
      <c r="GW391" s="19"/>
      <c r="GX391" s="93"/>
      <c r="GY391" s="93"/>
      <c r="GZ391" s="93"/>
      <c r="HA391" s="93"/>
      <c r="HB391" s="20"/>
      <c r="HC391" s="19"/>
      <c r="HD391" s="93"/>
      <c r="HE391" s="93"/>
      <c r="HF391" s="93"/>
      <c r="HG391" s="93"/>
      <c r="HH391" s="20"/>
      <c r="HI391" s="19"/>
      <c r="HJ391" s="93"/>
      <c r="HK391" s="93"/>
      <c r="HL391" s="93"/>
      <c r="HM391" s="93"/>
      <c r="HN391" s="20"/>
      <c r="HO391" s="219"/>
      <c r="HP391" s="20"/>
      <c r="HQ391" s="25"/>
      <c r="HR391" s="29"/>
      <c r="HS391" s="1504">
        <v>46357</v>
      </c>
      <c r="HT391" s="19"/>
      <c r="HU391" s="93"/>
      <c r="HV391" s="93"/>
      <c r="HW391" s="93"/>
      <c r="HX391" s="93"/>
      <c r="HY391" s="93"/>
      <c r="HZ391" s="93"/>
      <c r="IA391" s="20"/>
      <c r="IB391" s="19"/>
      <c r="IC391" s="93"/>
      <c r="ID391" s="93"/>
      <c r="IE391" s="93"/>
      <c r="IF391" s="93"/>
      <c r="IG391" s="20"/>
      <c r="IH391" s="19"/>
      <c r="II391" s="93"/>
      <c r="IJ391" s="93"/>
      <c r="IK391" s="93"/>
      <c r="IL391" s="93"/>
      <c r="IM391" s="93"/>
      <c r="IN391" s="93"/>
      <c r="IO391" s="20"/>
      <c r="IP391" s="29"/>
      <c r="IQ391" s="19"/>
      <c r="IR391" s="93"/>
      <c r="IS391" s="93"/>
      <c r="IT391" s="93"/>
      <c r="IU391" s="93"/>
      <c r="IV391" s="20"/>
      <c r="IW391" s="29"/>
      <c r="IX391" s="19"/>
      <c r="IY391" s="93"/>
      <c r="IZ391" s="93"/>
      <c r="JA391" s="93"/>
      <c r="JB391" s="93"/>
      <c r="JC391" s="93"/>
      <c r="JD391" s="93"/>
      <c r="JE391" s="20"/>
      <c r="JF391" s="29"/>
      <c r="JG391" s="19"/>
      <c r="JH391" s="93"/>
      <c r="JI391" s="93"/>
      <c r="JJ391" s="93"/>
      <c r="JK391" s="93"/>
      <c r="JL391" s="93"/>
      <c r="JM391" s="93"/>
      <c r="JN391" s="20"/>
      <c r="JO391" s="29"/>
      <c r="JP391" s="19"/>
      <c r="JQ391" s="93"/>
      <c r="JR391" s="93"/>
      <c r="JS391" s="93"/>
      <c r="JT391" s="93"/>
      <c r="JU391" s="20"/>
      <c r="JV391" s="29"/>
      <c r="JW391" s="1504">
        <v>46357</v>
      </c>
      <c r="JX391" s="19"/>
      <c r="JY391" s="93"/>
      <c r="JZ391" s="93"/>
      <c r="KA391" s="93"/>
      <c r="KB391" s="93"/>
      <c r="KC391" s="93"/>
      <c r="KD391" s="20"/>
      <c r="KE391" s="29"/>
      <c r="KF391" s="19"/>
      <c r="KG391" s="93"/>
      <c r="KH391" s="93"/>
      <c r="KI391" s="93"/>
      <c r="KJ391" s="93"/>
      <c r="KK391" s="20"/>
      <c r="KL391" s="29"/>
      <c r="KM391" s="19"/>
      <c r="KN391" s="93"/>
      <c r="KO391" s="93"/>
      <c r="KP391" s="93"/>
      <c r="KQ391" s="93"/>
      <c r="KR391" s="20"/>
      <c r="KS391" s="29"/>
      <c r="KT391" s="19"/>
      <c r="KU391" s="93"/>
      <c r="KV391" s="93"/>
      <c r="KW391" s="93"/>
      <c r="KX391" s="93"/>
      <c r="KY391" s="20"/>
      <c r="KZ391" s="29"/>
      <c r="LA391" s="1504">
        <v>46357</v>
      </c>
      <c r="LB391" s="19"/>
      <c r="LC391" s="93"/>
      <c r="LD391" s="93"/>
      <c r="LE391" s="93"/>
      <c r="LF391" s="93"/>
      <c r="LG391" s="93"/>
      <c r="LH391" s="20"/>
      <c r="LI391" s="29"/>
      <c r="LJ391" s="19"/>
      <c r="LK391" s="93"/>
      <c r="LL391" s="93"/>
      <c r="LM391" s="93"/>
      <c r="LN391" s="93"/>
      <c r="LO391" s="20"/>
      <c r="LP391" s="29"/>
      <c r="LQ391" s="19"/>
      <c r="LR391" s="93"/>
      <c r="LS391" s="93"/>
      <c r="LT391" s="93"/>
      <c r="LU391" s="93"/>
      <c r="LV391" s="93"/>
      <c r="LW391" s="93"/>
      <c r="LX391" s="93"/>
      <c r="LY391" s="93"/>
      <c r="LZ391" s="93"/>
      <c r="MA391" s="20"/>
      <c r="MB391" s="29"/>
      <c r="MC391" s="1504">
        <v>46357</v>
      </c>
      <c r="MD391" s="19"/>
      <c r="ME391" s="93"/>
      <c r="MF391" s="93"/>
      <c r="MG391" s="93"/>
      <c r="MH391" s="93"/>
      <c r="MI391" s="93"/>
      <c r="MJ391" s="93"/>
      <c r="MK391" s="93"/>
      <c r="ML391" s="93"/>
      <c r="MM391" s="93"/>
      <c r="MN391" s="93"/>
      <c r="MO391" s="93"/>
      <c r="MP391" s="93"/>
      <c r="MQ391" s="93"/>
      <c r="MR391" s="93"/>
      <c r="MS391" s="93"/>
      <c r="MT391" s="93"/>
      <c r="MU391" s="93"/>
      <c r="MV391" s="93"/>
      <c r="MW391" s="93"/>
      <c r="MX391" s="93"/>
      <c r="MY391" s="93"/>
      <c r="MZ391" s="93"/>
      <c r="NA391" s="93"/>
      <c r="NB391" s="93"/>
      <c r="NC391" s="93"/>
      <c r="ND391" s="93"/>
      <c r="NE391" s="93"/>
      <c r="NF391" s="93"/>
      <c r="NG391" s="93"/>
      <c r="NH391" s="93"/>
      <c r="NI391" s="93"/>
      <c r="NJ391" s="93"/>
      <c r="NK391" s="93"/>
      <c r="NL391" s="93"/>
      <c r="NM391" s="93"/>
      <c r="NN391" s="93"/>
      <c r="NO391" s="93"/>
      <c r="NP391" s="93"/>
      <c r="NQ391" s="93"/>
      <c r="NR391" s="93"/>
      <c r="NS391" s="93"/>
      <c r="NT391" s="93"/>
      <c r="NU391" s="93"/>
      <c r="NV391" s="93"/>
      <c r="NW391" s="93"/>
      <c r="NX391" s="93"/>
      <c r="NY391" s="93"/>
      <c r="NZ391" s="93"/>
      <c r="OA391" s="93"/>
      <c r="OB391" s="93"/>
      <c r="OC391" s="93"/>
      <c r="OD391" s="20"/>
      <c r="OE391" s="29"/>
      <c r="OF391" s="1504">
        <v>46357</v>
      </c>
      <c r="OG391" s="19"/>
      <c r="OH391" s="93"/>
      <c r="OI391" s="93"/>
      <c r="OJ391" s="93"/>
      <c r="OK391" s="93"/>
      <c r="OL391" s="93"/>
      <c r="OM391" s="93"/>
      <c r="ON391" s="93"/>
      <c r="OO391" s="93"/>
      <c r="OP391" s="93"/>
      <c r="OQ391" s="93"/>
      <c r="OR391" s="93"/>
      <c r="OS391" s="93"/>
      <c r="OT391" s="93"/>
      <c r="OU391" s="93"/>
      <c r="OV391" s="93"/>
      <c r="OW391" s="93"/>
      <c r="OX391" s="93"/>
      <c r="OY391" s="93"/>
      <c r="OZ391" s="93"/>
      <c r="PA391" s="93"/>
      <c r="PB391" s="93"/>
      <c r="PC391" s="20"/>
      <c r="PD391" s="29"/>
      <c r="PE391" s="19"/>
      <c r="PF391" s="93"/>
      <c r="PG391" s="93"/>
      <c r="PH391" s="93"/>
      <c r="PI391" s="93"/>
      <c r="PJ391" s="93"/>
      <c r="PK391" s="93"/>
      <c r="PL391" s="93"/>
      <c r="PM391" s="93"/>
      <c r="PN391" s="93"/>
      <c r="PO391" s="93"/>
      <c r="PP391" s="93"/>
      <c r="PQ391" s="93"/>
      <c r="PR391" s="93"/>
      <c r="PS391" s="93"/>
      <c r="PT391" s="93"/>
      <c r="PU391" s="93"/>
      <c r="PV391" s="93"/>
      <c r="PW391" s="93"/>
      <c r="PX391" s="93"/>
      <c r="PY391" s="93"/>
      <c r="PZ391" s="93"/>
      <c r="QA391" s="93"/>
      <c r="QB391" s="93"/>
      <c r="QC391" s="93"/>
      <c r="QD391" s="93"/>
      <c r="QE391" s="20"/>
      <c r="QF391" s="1739"/>
      <c r="QG391" s="19"/>
      <c r="QH391" s="93"/>
      <c r="QI391" s="93"/>
      <c r="QJ391" s="93"/>
      <c r="QK391" s="93"/>
      <c r="QL391" s="93"/>
      <c r="QM391" s="93"/>
      <c r="QN391" s="93"/>
      <c r="QO391" s="93"/>
      <c r="QP391" s="93"/>
      <c r="QQ391" s="93"/>
      <c r="QR391" s="93"/>
      <c r="QS391" s="93"/>
      <c r="QT391" s="93"/>
      <c r="QU391" s="93"/>
      <c r="QV391" s="93"/>
      <c r="QW391" s="93"/>
      <c r="QX391" s="93"/>
      <c r="QY391" s="93"/>
      <c r="QZ391" s="93"/>
      <c r="RA391" s="93"/>
      <c r="RB391" s="93"/>
      <c r="RC391" s="93"/>
      <c r="RD391" s="93"/>
      <c r="RE391" s="93"/>
      <c r="RF391" s="93"/>
      <c r="RG391" s="93"/>
      <c r="RH391" s="93"/>
      <c r="RI391" s="93"/>
      <c r="RJ391" s="93"/>
      <c r="RK391" s="93"/>
      <c r="RL391" s="93"/>
      <c r="RM391" s="20"/>
      <c r="RN391" s="29"/>
      <c r="RO391" s="19"/>
      <c r="RP391" s="20"/>
      <c r="RQ391" s="29"/>
      <c r="RR391" s="20"/>
      <c r="RS391" s="29"/>
      <c r="RT391" s="1504">
        <v>46357</v>
      </c>
      <c r="RU391" s="19"/>
      <c r="RV391" s="20"/>
      <c r="RW391" s="29"/>
      <c r="RX391" s="1504">
        <v>46357</v>
      </c>
      <c r="RY391" s="29"/>
      <c r="RZ391" s="20"/>
      <c r="SA391" s="29"/>
      <c r="SB391" s="29"/>
    </row>
    <row r="392" spans="1:496">
      <c r="A392" s="41">
        <f t="shared" si="346"/>
        <v>2027</v>
      </c>
      <c r="B392" s="1504">
        <v>46388</v>
      </c>
      <c r="C392" s="1813"/>
      <c r="D392" s="1814"/>
      <c r="E392" s="1814"/>
      <c r="F392" s="1815"/>
      <c r="G392" s="1814"/>
      <c r="H392" s="1814"/>
      <c r="I392" s="1814"/>
      <c r="J392" s="1816"/>
      <c r="K392" s="1807"/>
      <c r="L392" s="25"/>
      <c r="M392" s="97"/>
      <c r="N392" s="1504">
        <v>46388</v>
      </c>
      <c r="O392" s="19"/>
      <c r="P392" s="93"/>
      <c r="Q392" s="93"/>
      <c r="R392" s="93"/>
      <c r="S392" s="93"/>
      <c r="T392" s="93"/>
      <c r="U392" s="93"/>
      <c r="V392" s="93"/>
      <c r="W392" s="93"/>
      <c r="X392" s="93"/>
      <c r="Y392" s="93"/>
      <c r="Z392" s="93"/>
      <c r="AA392" s="93"/>
      <c r="AB392" s="20"/>
      <c r="AC392" s="25"/>
      <c r="AD392" s="97"/>
      <c r="AE392" s="1504">
        <v>46388</v>
      </c>
      <c r="AF392" s="19"/>
      <c r="AG392" s="93"/>
      <c r="AH392" s="93"/>
      <c r="AI392" s="93"/>
      <c r="AJ392" s="93"/>
      <c r="AK392" s="93"/>
      <c r="AL392" s="93"/>
      <c r="AM392" s="93"/>
      <c r="AN392" s="93"/>
      <c r="AO392" s="93"/>
      <c r="AP392" s="93"/>
      <c r="AQ392" s="93"/>
      <c r="AR392" s="93"/>
      <c r="AS392" s="20"/>
      <c r="AT392" s="25"/>
      <c r="AU392" s="97"/>
      <c r="AV392" s="1504">
        <v>46388</v>
      </c>
      <c r="AW392" s="19"/>
      <c r="AX392" s="93"/>
      <c r="AY392" s="93"/>
      <c r="AZ392" s="93"/>
      <c r="BA392" s="93"/>
      <c r="BB392" s="93"/>
      <c r="BC392" s="93"/>
      <c r="BD392" s="93"/>
      <c r="BE392" s="93"/>
      <c r="BF392" s="93"/>
      <c r="BG392" s="93"/>
      <c r="BH392" s="93"/>
      <c r="BI392" s="93"/>
      <c r="BJ392" s="20"/>
      <c r="BK392" s="25"/>
      <c r="BL392" s="97"/>
      <c r="BM392" s="1504">
        <v>46388</v>
      </c>
      <c r="BN392" s="19"/>
      <c r="BO392" s="93"/>
      <c r="BP392" s="93"/>
      <c r="BQ392" s="93"/>
      <c r="BR392" s="93"/>
      <c r="BS392" s="93"/>
      <c r="BT392" s="93"/>
      <c r="BU392" s="20"/>
      <c r="BV392" s="25"/>
      <c r="BW392" s="97"/>
      <c r="BX392" s="1504">
        <v>46388</v>
      </c>
      <c r="BY392" s="19"/>
      <c r="BZ392" s="93"/>
      <c r="CA392" s="93"/>
      <c r="CB392" s="93"/>
      <c r="CC392" s="93"/>
      <c r="CD392" s="25"/>
      <c r="CE392" s="97"/>
      <c r="CF392" s="1504">
        <v>46388</v>
      </c>
      <c r="CG392" s="19"/>
      <c r="CH392" s="93"/>
      <c r="CI392" s="219"/>
      <c r="CJ392" s="20"/>
      <c r="CK392" s="19"/>
      <c r="CL392" s="93"/>
      <c r="CM392" s="93"/>
      <c r="CN392" s="93"/>
      <c r="CO392" s="93"/>
      <c r="CP392" s="20"/>
      <c r="CQ392" s="219"/>
      <c r="CR392" s="93"/>
      <c r="CS392" s="93"/>
      <c r="CT392" s="93"/>
      <c r="CU392" s="93"/>
      <c r="CV392" s="214"/>
      <c r="CW392" s="29"/>
      <c r="CX392" s="41">
        <f t="shared" si="357"/>
        <v>2027</v>
      </c>
      <c r="CY392" s="1504">
        <v>46388</v>
      </c>
      <c r="CZ392" s="19"/>
      <c r="DA392" s="93"/>
      <c r="DB392" s="93"/>
      <c r="DC392" s="93"/>
      <c r="DD392" s="93"/>
      <c r="DE392" s="20"/>
      <c r="DF392" s="29"/>
      <c r="DG392" s="1504">
        <v>46388</v>
      </c>
      <c r="DH392" s="19"/>
      <c r="DI392" s="93"/>
      <c r="DJ392" s="93"/>
      <c r="DK392" s="93"/>
      <c r="DL392" s="93"/>
      <c r="DM392" s="93"/>
      <c r="DN392" s="20"/>
      <c r="DO392" s="295"/>
      <c r="DP392" s="29"/>
      <c r="DQ392" s="1504">
        <v>46388</v>
      </c>
      <c r="DR392" s="19"/>
      <c r="DS392" s="93"/>
      <c r="DT392" s="93"/>
      <c r="DU392" s="93"/>
      <c r="DV392" s="93"/>
      <c r="DW392" s="93"/>
      <c r="DX392" s="20"/>
      <c r="DY392" s="29"/>
      <c r="DZ392" s="1504">
        <v>46388</v>
      </c>
      <c r="EA392" s="19"/>
      <c r="EB392" s="93"/>
      <c r="EC392" s="20"/>
      <c r="ED392" s="29"/>
      <c r="EE392" s="1504">
        <v>46388</v>
      </c>
      <c r="EF392" s="19"/>
      <c r="EG392" s="93"/>
      <c r="EH392" s="93"/>
      <c r="EI392" s="214"/>
      <c r="EJ392" s="93"/>
      <c r="EK392" s="93"/>
      <c r="EL392" s="93"/>
      <c r="EM392" s="93"/>
      <c r="EN392" s="20"/>
      <c r="EO392" s="29"/>
      <c r="EP392" s="1504">
        <v>46388</v>
      </c>
      <c r="EQ392" s="19"/>
      <c r="ER392" s="93"/>
      <c r="ES392" s="93"/>
      <c r="ET392" s="214"/>
      <c r="EU392" s="93"/>
      <c r="EV392" s="93"/>
      <c r="EW392" s="93"/>
      <c r="EX392" s="93"/>
      <c r="EY392" s="20"/>
      <c r="EZ392" s="29"/>
      <c r="FA392" s="1504">
        <v>46388</v>
      </c>
      <c r="FB392" s="29"/>
      <c r="FC392" s="29"/>
      <c r="FD392" s="29"/>
      <c r="FE392" s="29"/>
      <c r="FF392" s="29"/>
      <c r="FG392" s="29"/>
      <c r="FH392" s="29"/>
      <c r="FI392" s="29"/>
      <c r="FJ392" s="29"/>
      <c r="FK392" s="29"/>
      <c r="FL392" s="1504">
        <v>46388</v>
      </c>
      <c r="FM392" s="19"/>
      <c r="FN392" s="93"/>
      <c r="FO392" s="93"/>
      <c r="FP392" s="93"/>
      <c r="FQ392" s="93"/>
      <c r="FR392" s="93"/>
      <c r="FS392" s="93"/>
      <c r="FT392" s="93"/>
      <c r="FU392" s="93"/>
      <c r="FV392" s="93"/>
      <c r="FW392" s="93"/>
      <c r="FX392" s="93"/>
      <c r="FY392" s="93"/>
      <c r="FZ392" s="29"/>
      <c r="GA392" s="1504">
        <v>46388</v>
      </c>
      <c r="GB392" s="19"/>
      <c r="GC392" s="93"/>
      <c r="GD392" s="93"/>
      <c r="GE392" s="93"/>
      <c r="GF392" s="93"/>
      <c r="GG392" s="93"/>
      <c r="GH392" s="93"/>
      <c r="GI392" s="93"/>
      <c r="GJ392" s="93"/>
      <c r="GK392" s="93"/>
      <c r="GL392" s="93"/>
      <c r="GM392" s="93"/>
      <c r="GN392" s="20"/>
      <c r="GO392" s="29"/>
      <c r="GP392" s="1504">
        <v>46388</v>
      </c>
      <c r="GQ392" s="19"/>
      <c r="GR392" s="93"/>
      <c r="GS392" s="93"/>
      <c r="GT392" s="93"/>
      <c r="GU392" s="93"/>
      <c r="GV392" s="20"/>
      <c r="GW392" s="19"/>
      <c r="GX392" s="93"/>
      <c r="GY392" s="93"/>
      <c r="GZ392" s="93"/>
      <c r="HA392" s="93"/>
      <c r="HB392" s="20"/>
      <c r="HC392" s="19"/>
      <c r="HD392" s="93"/>
      <c r="HE392" s="93"/>
      <c r="HF392" s="93"/>
      <c r="HG392" s="93"/>
      <c r="HH392" s="20"/>
      <c r="HI392" s="19"/>
      <c r="HJ392" s="93"/>
      <c r="HK392" s="93"/>
      <c r="HL392" s="93"/>
      <c r="HM392" s="93"/>
      <c r="HN392" s="20"/>
      <c r="HO392" s="219"/>
      <c r="HP392" s="20"/>
      <c r="HQ392" s="25"/>
      <c r="HR392" s="29"/>
      <c r="HS392" s="1504">
        <v>46388</v>
      </c>
      <c r="HT392" s="19"/>
      <c r="HU392" s="93"/>
      <c r="HV392" s="93"/>
      <c r="HW392" s="93"/>
      <c r="HX392" s="93"/>
      <c r="HY392" s="93"/>
      <c r="HZ392" s="93"/>
      <c r="IA392" s="20"/>
      <c r="IB392" s="19"/>
      <c r="IC392" s="93"/>
      <c r="ID392" s="93"/>
      <c r="IE392" s="93"/>
      <c r="IF392" s="93"/>
      <c r="IG392" s="20"/>
      <c r="IH392" s="19"/>
      <c r="II392" s="93"/>
      <c r="IJ392" s="93"/>
      <c r="IK392" s="93"/>
      <c r="IL392" s="93"/>
      <c r="IM392" s="93"/>
      <c r="IN392" s="93"/>
      <c r="IO392" s="20"/>
      <c r="IP392" s="29"/>
      <c r="IQ392" s="19"/>
      <c r="IR392" s="93"/>
      <c r="IS392" s="93"/>
      <c r="IT392" s="93"/>
      <c r="IU392" s="93"/>
      <c r="IV392" s="20"/>
      <c r="IW392" s="29"/>
      <c r="IX392" s="19"/>
      <c r="IY392" s="93"/>
      <c r="IZ392" s="93"/>
      <c r="JA392" s="93"/>
      <c r="JB392" s="93"/>
      <c r="JC392" s="93"/>
      <c r="JD392" s="93"/>
      <c r="JE392" s="20"/>
      <c r="JF392" s="29"/>
      <c r="JG392" s="19"/>
      <c r="JH392" s="93"/>
      <c r="JI392" s="93"/>
      <c r="JJ392" s="93"/>
      <c r="JK392" s="93"/>
      <c r="JL392" s="93"/>
      <c r="JM392" s="93"/>
      <c r="JN392" s="20"/>
      <c r="JO392" s="29"/>
      <c r="JP392" s="19"/>
      <c r="JQ392" s="93"/>
      <c r="JR392" s="93"/>
      <c r="JS392" s="93"/>
      <c r="JT392" s="93"/>
      <c r="JU392" s="20"/>
      <c r="JV392" s="29"/>
      <c r="JW392" s="1504">
        <v>46388</v>
      </c>
      <c r="JX392" s="19"/>
      <c r="JY392" s="93"/>
      <c r="JZ392" s="93"/>
      <c r="KA392" s="93"/>
      <c r="KB392" s="93"/>
      <c r="KC392" s="93"/>
      <c r="KD392" s="20"/>
      <c r="KE392" s="29"/>
      <c r="KF392" s="19"/>
      <c r="KG392" s="93"/>
      <c r="KH392" s="93"/>
      <c r="KI392" s="93"/>
      <c r="KJ392" s="93"/>
      <c r="KK392" s="20"/>
      <c r="KL392" s="29"/>
      <c r="KM392" s="19"/>
      <c r="KN392" s="93"/>
      <c r="KO392" s="93"/>
      <c r="KP392" s="93"/>
      <c r="KQ392" s="93"/>
      <c r="KR392" s="20"/>
      <c r="KS392" s="29"/>
      <c r="KT392" s="19"/>
      <c r="KU392" s="93"/>
      <c r="KV392" s="93"/>
      <c r="KW392" s="93"/>
      <c r="KX392" s="93"/>
      <c r="KY392" s="20"/>
      <c r="KZ392" s="29"/>
      <c r="LA392" s="1504">
        <v>46388</v>
      </c>
      <c r="LB392" s="19"/>
      <c r="LC392" s="93"/>
      <c r="LD392" s="93"/>
      <c r="LE392" s="93"/>
      <c r="LF392" s="93"/>
      <c r="LG392" s="93"/>
      <c r="LH392" s="20"/>
      <c r="LI392" s="29"/>
      <c r="LJ392" s="19"/>
      <c r="LK392" s="93"/>
      <c r="LL392" s="93"/>
      <c r="LM392" s="93"/>
      <c r="LN392" s="93"/>
      <c r="LO392" s="20"/>
      <c r="LP392" s="29"/>
      <c r="LQ392" s="19"/>
      <c r="LR392" s="93"/>
      <c r="LS392" s="93"/>
      <c r="LT392" s="93"/>
      <c r="LU392" s="93"/>
      <c r="LV392" s="93"/>
      <c r="LW392" s="93"/>
      <c r="LX392" s="93"/>
      <c r="LY392" s="93"/>
      <c r="LZ392" s="93"/>
      <c r="MA392" s="20"/>
      <c r="MB392" s="29"/>
      <c r="MC392" s="1504">
        <v>46388</v>
      </c>
      <c r="MD392" s="19"/>
      <c r="ME392" s="93"/>
      <c r="MF392" s="93"/>
      <c r="MG392" s="93"/>
      <c r="MH392" s="93"/>
      <c r="MI392" s="93"/>
      <c r="MJ392" s="93"/>
      <c r="MK392" s="93"/>
      <c r="ML392" s="93"/>
      <c r="MM392" s="93"/>
      <c r="MN392" s="93"/>
      <c r="MO392" s="93"/>
      <c r="MP392" s="93"/>
      <c r="MQ392" s="93"/>
      <c r="MR392" s="93"/>
      <c r="MS392" s="93"/>
      <c r="MT392" s="93"/>
      <c r="MU392" s="93"/>
      <c r="MV392" s="93"/>
      <c r="MW392" s="93"/>
      <c r="MX392" s="93"/>
      <c r="MY392" s="93"/>
      <c r="MZ392" s="93"/>
      <c r="NA392" s="93"/>
      <c r="NB392" s="93"/>
      <c r="NC392" s="93"/>
      <c r="ND392" s="93"/>
      <c r="NE392" s="93"/>
      <c r="NF392" s="93"/>
      <c r="NG392" s="93"/>
      <c r="NH392" s="93"/>
      <c r="NI392" s="93"/>
      <c r="NJ392" s="93"/>
      <c r="NK392" s="93"/>
      <c r="NL392" s="93"/>
      <c r="NM392" s="93"/>
      <c r="NN392" s="93"/>
      <c r="NO392" s="93"/>
      <c r="NP392" s="93"/>
      <c r="NQ392" s="93"/>
      <c r="NR392" s="93"/>
      <c r="NS392" s="93"/>
      <c r="NT392" s="93"/>
      <c r="NU392" s="93"/>
      <c r="NV392" s="93"/>
      <c r="NW392" s="93"/>
      <c r="NX392" s="93"/>
      <c r="NY392" s="93"/>
      <c r="NZ392" s="93"/>
      <c r="OA392" s="93"/>
      <c r="OB392" s="93"/>
      <c r="OC392" s="93"/>
      <c r="OD392" s="20"/>
      <c r="OE392" s="29"/>
      <c r="OF392" s="1504">
        <v>46388</v>
      </c>
      <c r="OG392" s="19"/>
      <c r="OH392" s="93"/>
      <c r="OI392" s="93"/>
      <c r="OJ392" s="93"/>
      <c r="OK392" s="93"/>
      <c r="OL392" s="93"/>
      <c r="OM392" s="93"/>
      <c r="ON392" s="93"/>
      <c r="OO392" s="93"/>
      <c r="OP392" s="93"/>
      <c r="OQ392" s="93"/>
      <c r="OR392" s="93"/>
      <c r="OS392" s="93"/>
      <c r="OT392" s="93"/>
      <c r="OU392" s="93"/>
      <c r="OV392" s="93"/>
      <c r="OW392" s="93"/>
      <c r="OX392" s="93"/>
      <c r="OY392" s="93"/>
      <c r="OZ392" s="93"/>
      <c r="PA392" s="93"/>
      <c r="PB392" s="93"/>
      <c r="PC392" s="20"/>
      <c r="PD392" s="29"/>
      <c r="PE392" s="19"/>
      <c r="PF392" s="93"/>
      <c r="PG392" s="93"/>
      <c r="PH392" s="93"/>
      <c r="PI392" s="93"/>
      <c r="PJ392" s="93"/>
      <c r="PK392" s="93"/>
      <c r="PL392" s="93"/>
      <c r="PM392" s="93"/>
      <c r="PN392" s="93"/>
      <c r="PO392" s="93"/>
      <c r="PP392" s="93"/>
      <c r="PQ392" s="93"/>
      <c r="PR392" s="93"/>
      <c r="PS392" s="93"/>
      <c r="PT392" s="93"/>
      <c r="PU392" s="93"/>
      <c r="PV392" s="93"/>
      <c r="PW392" s="93"/>
      <c r="PX392" s="93"/>
      <c r="PY392" s="93"/>
      <c r="PZ392" s="93"/>
      <c r="QA392" s="93"/>
      <c r="QB392" s="93"/>
      <c r="QC392" s="93"/>
      <c r="QD392" s="93"/>
      <c r="QE392" s="20"/>
      <c r="QF392" s="1739"/>
      <c r="QG392" s="19"/>
      <c r="QH392" s="93"/>
      <c r="QI392" s="93"/>
      <c r="QJ392" s="93"/>
      <c r="QK392" s="93"/>
      <c r="QL392" s="93"/>
      <c r="QM392" s="93"/>
      <c r="QN392" s="93"/>
      <c r="QO392" s="93"/>
      <c r="QP392" s="93"/>
      <c r="QQ392" s="93"/>
      <c r="QR392" s="93"/>
      <c r="QS392" s="93"/>
      <c r="QT392" s="93"/>
      <c r="QU392" s="93"/>
      <c r="QV392" s="93"/>
      <c r="QW392" s="93"/>
      <c r="QX392" s="93"/>
      <c r="QY392" s="93"/>
      <c r="QZ392" s="93"/>
      <c r="RA392" s="93"/>
      <c r="RB392" s="93"/>
      <c r="RC392" s="93"/>
      <c r="RD392" s="93"/>
      <c r="RE392" s="93"/>
      <c r="RF392" s="93"/>
      <c r="RG392" s="93"/>
      <c r="RH392" s="93"/>
      <c r="RI392" s="93"/>
      <c r="RJ392" s="93"/>
      <c r="RK392" s="93"/>
      <c r="RL392" s="93"/>
      <c r="RM392" s="20"/>
      <c r="RN392" s="29"/>
      <c r="RO392" s="19"/>
      <c r="RP392" s="20"/>
      <c r="RQ392" s="29"/>
      <c r="RR392" s="20"/>
      <c r="RS392" s="29"/>
      <c r="RT392" s="1504">
        <v>46388</v>
      </c>
      <c r="RU392" s="19"/>
      <c r="RV392" s="20"/>
      <c r="RW392" s="29"/>
      <c r="RX392" s="1504">
        <v>46388</v>
      </c>
      <c r="RY392" s="29"/>
      <c r="RZ392" s="20"/>
      <c r="SA392" s="29"/>
      <c r="SB392" s="29"/>
    </row>
    <row r="393" spans="1:496">
      <c r="A393" s="41">
        <f t="shared" si="346"/>
        <v>2027</v>
      </c>
      <c r="B393" s="1504">
        <v>46419</v>
      </c>
      <c r="C393" s="1813"/>
      <c r="D393" s="1814"/>
      <c r="E393" s="1814"/>
      <c r="F393" s="1815"/>
      <c r="G393" s="1814"/>
      <c r="H393" s="1814"/>
      <c r="I393" s="1814"/>
      <c r="J393" s="1816"/>
      <c r="K393" s="1807"/>
      <c r="L393" s="25"/>
      <c r="M393" s="97"/>
      <c r="N393" s="1504">
        <v>46419</v>
      </c>
      <c r="O393" s="19"/>
      <c r="P393" s="93"/>
      <c r="Q393" s="93"/>
      <c r="R393" s="93"/>
      <c r="S393" s="93"/>
      <c r="T393" s="93"/>
      <c r="U393" s="93"/>
      <c r="V393" s="93"/>
      <c r="W393" s="93"/>
      <c r="X393" s="93"/>
      <c r="Y393" s="93"/>
      <c r="Z393" s="93"/>
      <c r="AA393" s="93"/>
      <c r="AB393" s="20"/>
      <c r="AC393" s="25"/>
      <c r="AD393" s="97"/>
      <c r="AE393" s="1504">
        <v>46419</v>
      </c>
      <c r="AF393" s="19"/>
      <c r="AG393" s="93"/>
      <c r="AH393" s="93"/>
      <c r="AI393" s="93"/>
      <c r="AJ393" s="93"/>
      <c r="AK393" s="93"/>
      <c r="AL393" s="93"/>
      <c r="AM393" s="93"/>
      <c r="AN393" s="93"/>
      <c r="AO393" s="93"/>
      <c r="AP393" s="93"/>
      <c r="AQ393" s="93"/>
      <c r="AR393" s="93"/>
      <c r="AS393" s="20"/>
      <c r="AT393" s="25"/>
      <c r="AU393" s="97"/>
      <c r="AV393" s="1504">
        <v>46419</v>
      </c>
      <c r="AW393" s="19"/>
      <c r="AX393" s="93"/>
      <c r="AY393" s="93"/>
      <c r="AZ393" s="93"/>
      <c r="BA393" s="93"/>
      <c r="BB393" s="93"/>
      <c r="BC393" s="93"/>
      <c r="BD393" s="93"/>
      <c r="BE393" s="93"/>
      <c r="BF393" s="93"/>
      <c r="BG393" s="93"/>
      <c r="BH393" s="93"/>
      <c r="BI393" s="93"/>
      <c r="BJ393" s="20"/>
      <c r="BK393" s="25"/>
      <c r="BL393" s="97"/>
      <c r="BM393" s="1504">
        <v>46419</v>
      </c>
      <c r="BN393" s="19"/>
      <c r="BO393" s="93"/>
      <c r="BP393" s="93"/>
      <c r="BQ393" s="93"/>
      <c r="BR393" s="93"/>
      <c r="BS393" s="93"/>
      <c r="BT393" s="93"/>
      <c r="BU393" s="20"/>
      <c r="BV393" s="25"/>
      <c r="BW393" s="97"/>
      <c r="BX393" s="1504">
        <v>46419</v>
      </c>
      <c r="BY393" s="19"/>
      <c r="BZ393" s="93"/>
      <c r="CA393" s="93"/>
      <c r="CB393" s="93"/>
      <c r="CC393" s="93"/>
      <c r="CD393" s="25"/>
      <c r="CE393" s="97"/>
      <c r="CF393" s="1504">
        <v>46419</v>
      </c>
      <c r="CG393" s="19"/>
      <c r="CH393" s="93"/>
      <c r="CI393" s="219"/>
      <c r="CJ393" s="20"/>
      <c r="CK393" s="19"/>
      <c r="CL393" s="93"/>
      <c r="CM393" s="93"/>
      <c r="CN393" s="93"/>
      <c r="CO393" s="93"/>
      <c r="CP393" s="20"/>
      <c r="CQ393" s="219"/>
      <c r="CR393" s="93"/>
      <c r="CS393" s="93"/>
      <c r="CT393" s="93"/>
      <c r="CU393" s="93"/>
      <c r="CV393" s="214"/>
      <c r="CW393" s="29"/>
      <c r="CX393" s="41">
        <f t="shared" si="357"/>
        <v>2027</v>
      </c>
      <c r="CY393" s="1504">
        <v>46419</v>
      </c>
      <c r="CZ393" s="19"/>
      <c r="DA393" s="93"/>
      <c r="DB393" s="93"/>
      <c r="DC393" s="93"/>
      <c r="DD393" s="93"/>
      <c r="DE393" s="20"/>
      <c r="DF393" s="29"/>
      <c r="DG393" s="1504">
        <v>46419</v>
      </c>
      <c r="DH393" s="19"/>
      <c r="DI393" s="93"/>
      <c r="DJ393" s="93"/>
      <c r="DK393" s="93"/>
      <c r="DL393" s="93"/>
      <c r="DM393" s="93"/>
      <c r="DN393" s="20"/>
      <c r="DO393" s="295"/>
      <c r="DP393" s="29"/>
      <c r="DQ393" s="1504">
        <v>46419</v>
      </c>
      <c r="DR393" s="19"/>
      <c r="DS393" s="93"/>
      <c r="DT393" s="93"/>
      <c r="DU393" s="93"/>
      <c r="DV393" s="93"/>
      <c r="DW393" s="93"/>
      <c r="DX393" s="20"/>
      <c r="DY393" s="29"/>
      <c r="DZ393" s="1504">
        <v>46419</v>
      </c>
      <c r="EA393" s="19"/>
      <c r="EB393" s="93"/>
      <c r="EC393" s="20"/>
      <c r="ED393" s="29"/>
      <c r="EE393" s="1504">
        <v>46419</v>
      </c>
      <c r="EF393" s="19"/>
      <c r="EG393" s="93"/>
      <c r="EH393" s="93"/>
      <c r="EI393" s="214"/>
      <c r="EJ393" s="93"/>
      <c r="EK393" s="93"/>
      <c r="EL393" s="93"/>
      <c r="EM393" s="93"/>
      <c r="EN393" s="20"/>
      <c r="EO393" s="29"/>
      <c r="EP393" s="1504">
        <v>46419</v>
      </c>
      <c r="EQ393" s="19"/>
      <c r="ER393" s="93"/>
      <c r="ES393" s="93"/>
      <c r="ET393" s="214"/>
      <c r="EU393" s="93"/>
      <c r="EV393" s="93"/>
      <c r="EW393" s="93"/>
      <c r="EX393" s="93"/>
      <c r="EY393" s="20"/>
      <c r="EZ393" s="29"/>
      <c r="FA393" s="1504">
        <v>46419</v>
      </c>
      <c r="FB393" s="29"/>
      <c r="FC393" s="29"/>
      <c r="FD393" s="29"/>
      <c r="FE393" s="29"/>
      <c r="FF393" s="29"/>
      <c r="FG393" s="29"/>
      <c r="FH393" s="29"/>
      <c r="FI393" s="29"/>
      <c r="FJ393" s="29"/>
      <c r="FK393" s="29"/>
      <c r="FL393" s="1504">
        <v>46419</v>
      </c>
      <c r="FM393" s="19"/>
      <c r="FN393" s="93"/>
      <c r="FO393" s="93"/>
      <c r="FP393" s="93"/>
      <c r="FQ393" s="93"/>
      <c r="FR393" s="93"/>
      <c r="FS393" s="93"/>
      <c r="FT393" s="93"/>
      <c r="FU393" s="93"/>
      <c r="FV393" s="93"/>
      <c r="FW393" s="93"/>
      <c r="FX393" s="93"/>
      <c r="FY393" s="93"/>
      <c r="FZ393" s="29"/>
      <c r="GA393" s="1504">
        <v>46419</v>
      </c>
      <c r="GB393" s="19"/>
      <c r="GC393" s="93"/>
      <c r="GD393" s="93"/>
      <c r="GE393" s="93"/>
      <c r="GF393" s="93"/>
      <c r="GG393" s="93"/>
      <c r="GH393" s="93"/>
      <c r="GI393" s="93"/>
      <c r="GJ393" s="93"/>
      <c r="GK393" s="93"/>
      <c r="GL393" s="93"/>
      <c r="GM393" s="93"/>
      <c r="GN393" s="20"/>
      <c r="GO393" s="29"/>
      <c r="GP393" s="1504">
        <v>46419</v>
      </c>
      <c r="GQ393" s="19"/>
      <c r="GR393" s="93"/>
      <c r="GS393" s="93"/>
      <c r="GT393" s="93"/>
      <c r="GU393" s="93"/>
      <c r="GV393" s="20"/>
      <c r="GW393" s="19"/>
      <c r="GX393" s="93"/>
      <c r="GY393" s="93"/>
      <c r="GZ393" s="93"/>
      <c r="HA393" s="93"/>
      <c r="HB393" s="20"/>
      <c r="HC393" s="19"/>
      <c r="HD393" s="93"/>
      <c r="HE393" s="93"/>
      <c r="HF393" s="93"/>
      <c r="HG393" s="93"/>
      <c r="HH393" s="20"/>
      <c r="HI393" s="19"/>
      <c r="HJ393" s="93"/>
      <c r="HK393" s="93"/>
      <c r="HL393" s="93"/>
      <c r="HM393" s="93"/>
      <c r="HN393" s="20"/>
      <c r="HO393" s="219"/>
      <c r="HP393" s="20"/>
      <c r="HQ393" s="25"/>
      <c r="HR393" s="29"/>
      <c r="HS393" s="1504">
        <v>46419</v>
      </c>
      <c r="HT393" s="19"/>
      <c r="HU393" s="93"/>
      <c r="HV393" s="93"/>
      <c r="HW393" s="93"/>
      <c r="HX393" s="93"/>
      <c r="HY393" s="93"/>
      <c r="HZ393" s="93"/>
      <c r="IA393" s="20"/>
      <c r="IB393" s="19"/>
      <c r="IC393" s="93"/>
      <c r="ID393" s="93"/>
      <c r="IE393" s="93"/>
      <c r="IF393" s="93"/>
      <c r="IG393" s="20"/>
      <c r="IH393" s="19"/>
      <c r="II393" s="93"/>
      <c r="IJ393" s="93"/>
      <c r="IK393" s="93"/>
      <c r="IL393" s="93"/>
      <c r="IM393" s="93"/>
      <c r="IN393" s="93"/>
      <c r="IO393" s="20"/>
      <c r="IP393" s="29"/>
      <c r="IQ393" s="19"/>
      <c r="IR393" s="93"/>
      <c r="IS393" s="93"/>
      <c r="IT393" s="93"/>
      <c r="IU393" s="93"/>
      <c r="IV393" s="20"/>
      <c r="IW393" s="29"/>
      <c r="IX393" s="19"/>
      <c r="IY393" s="93"/>
      <c r="IZ393" s="93"/>
      <c r="JA393" s="93"/>
      <c r="JB393" s="93"/>
      <c r="JC393" s="93"/>
      <c r="JD393" s="93"/>
      <c r="JE393" s="20"/>
      <c r="JF393" s="29"/>
      <c r="JG393" s="19"/>
      <c r="JH393" s="93"/>
      <c r="JI393" s="93"/>
      <c r="JJ393" s="93"/>
      <c r="JK393" s="93"/>
      <c r="JL393" s="93"/>
      <c r="JM393" s="93"/>
      <c r="JN393" s="20"/>
      <c r="JO393" s="29"/>
      <c r="JP393" s="19"/>
      <c r="JQ393" s="93"/>
      <c r="JR393" s="93"/>
      <c r="JS393" s="93"/>
      <c r="JT393" s="93"/>
      <c r="JU393" s="20"/>
      <c r="JV393" s="29"/>
      <c r="JW393" s="1504">
        <v>46419</v>
      </c>
      <c r="JX393" s="19"/>
      <c r="JY393" s="93"/>
      <c r="JZ393" s="93"/>
      <c r="KA393" s="93"/>
      <c r="KB393" s="93"/>
      <c r="KC393" s="93"/>
      <c r="KD393" s="20"/>
      <c r="KE393" s="29"/>
      <c r="KF393" s="19"/>
      <c r="KG393" s="93"/>
      <c r="KH393" s="93"/>
      <c r="KI393" s="93"/>
      <c r="KJ393" s="93"/>
      <c r="KK393" s="20"/>
      <c r="KL393" s="29"/>
      <c r="KM393" s="19"/>
      <c r="KN393" s="93"/>
      <c r="KO393" s="93"/>
      <c r="KP393" s="93"/>
      <c r="KQ393" s="93"/>
      <c r="KR393" s="20"/>
      <c r="KS393" s="29"/>
      <c r="KT393" s="19"/>
      <c r="KU393" s="93"/>
      <c r="KV393" s="93"/>
      <c r="KW393" s="93"/>
      <c r="KX393" s="93"/>
      <c r="KY393" s="20"/>
      <c r="KZ393" s="29"/>
      <c r="LA393" s="1504">
        <v>46419</v>
      </c>
      <c r="LB393" s="19"/>
      <c r="LC393" s="93"/>
      <c r="LD393" s="93"/>
      <c r="LE393" s="93"/>
      <c r="LF393" s="93"/>
      <c r="LG393" s="93"/>
      <c r="LH393" s="20"/>
      <c r="LI393" s="29"/>
      <c r="LJ393" s="19"/>
      <c r="LK393" s="93"/>
      <c r="LL393" s="93"/>
      <c r="LM393" s="93"/>
      <c r="LN393" s="93"/>
      <c r="LO393" s="20"/>
      <c r="LP393" s="29"/>
      <c r="LQ393" s="19"/>
      <c r="LR393" s="93"/>
      <c r="LS393" s="93"/>
      <c r="LT393" s="93"/>
      <c r="LU393" s="93"/>
      <c r="LV393" s="93"/>
      <c r="LW393" s="93"/>
      <c r="LX393" s="93"/>
      <c r="LY393" s="93"/>
      <c r="LZ393" s="93"/>
      <c r="MA393" s="20"/>
      <c r="MB393" s="29"/>
      <c r="MC393" s="1504">
        <v>46419</v>
      </c>
      <c r="MD393" s="19"/>
      <c r="ME393" s="93"/>
      <c r="MF393" s="93"/>
      <c r="MG393" s="93"/>
      <c r="MH393" s="93"/>
      <c r="MI393" s="93"/>
      <c r="MJ393" s="93"/>
      <c r="MK393" s="93"/>
      <c r="ML393" s="93"/>
      <c r="MM393" s="93"/>
      <c r="MN393" s="93"/>
      <c r="MO393" s="93"/>
      <c r="MP393" s="93"/>
      <c r="MQ393" s="93"/>
      <c r="MR393" s="93"/>
      <c r="MS393" s="93"/>
      <c r="MT393" s="93"/>
      <c r="MU393" s="93"/>
      <c r="MV393" s="93"/>
      <c r="MW393" s="93"/>
      <c r="MX393" s="93"/>
      <c r="MY393" s="93"/>
      <c r="MZ393" s="93"/>
      <c r="NA393" s="93"/>
      <c r="NB393" s="93"/>
      <c r="NC393" s="93"/>
      <c r="ND393" s="93"/>
      <c r="NE393" s="93"/>
      <c r="NF393" s="93"/>
      <c r="NG393" s="93"/>
      <c r="NH393" s="93"/>
      <c r="NI393" s="93"/>
      <c r="NJ393" s="93"/>
      <c r="NK393" s="93"/>
      <c r="NL393" s="93"/>
      <c r="NM393" s="93"/>
      <c r="NN393" s="93"/>
      <c r="NO393" s="93"/>
      <c r="NP393" s="93"/>
      <c r="NQ393" s="93"/>
      <c r="NR393" s="93"/>
      <c r="NS393" s="93"/>
      <c r="NT393" s="93"/>
      <c r="NU393" s="93"/>
      <c r="NV393" s="93"/>
      <c r="NW393" s="93"/>
      <c r="NX393" s="93"/>
      <c r="NY393" s="93"/>
      <c r="NZ393" s="93"/>
      <c r="OA393" s="93"/>
      <c r="OB393" s="93"/>
      <c r="OC393" s="93"/>
      <c r="OD393" s="20"/>
      <c r="OE393" s="29"/>
      <c r="OF393" s="1504">
        <v>46419</v>
      </c>
      <c r="OG393" s="19"/>
      <c r="OH393" s="93"/>
      <c r="OI393" s="93"/>
      <c r="OJ393" s="93"/>
      <c r="OK393" s="93"/>
      <c r="OL393" s="93"/>
      <c r="OM393" s="93"/>
      <c r="ON393" s="93"/>
      <c r="OO393" s="93"/>
      <c r="OP393" s="93"/>
      <c r="OQ393" s="93"/>
      <c r="OR393" s="93"/>
      <c r="OS393" s="93"/>
      <c r="OT393" s="93"/>
      <c r="OU393" s="93"/>
      <c r="OV393" s="93"/>
      <c r="OW393" s="93"/>
      <c r="OX393" s="93"/>
      <c r="OY393" s="93"/>
      <c r="OZ393" s="93"/>
      <c r="PA393" s="93"/>
      <c r="PB393" s="93"/>
      <c r="PC393" s="20"/>
      <c r="PD393" s="29"/>
      <c r="PE393" s="19"/>
      <c r="PF393" s="93"/>
      <c r="PG393" s="93"/>
      <c r="PH393" s="93"/>
      <c r="PI393" s="93"/>
      <c r="PJ393" s="93"/>
      <c r="PK393" s="93"/>
      <c r="PL393" s="93"/>
      <c r="PM393" s="93"/>
      <c r="PN393" s="93"/>
      <c r="PO393" s="93"/>
      <c r="PP393" s="93"/>
      <c r="PQ393" s="93"/>
      <c r="PR393" s="93"/>
      <c r="PS393" s="93"/>
      <c r="PT393" s="93"/>
      <c r="PU393" s="93"/>
      <c r="PV393" s="93"/>
      <c r="PW393" s="93"/>
      <c r="PX393" s="93"/>
      <c r="PY393" s="93"/>
      <c r="PZ393" s="93"/>
      <c r="QA393" s="93"/>
      <c r="QB393" s="93"/>
      <c r="QC393" s="93"/>
      <c r="QD393" s="93"/>
      <c r="QE393" s="20"/>
      <c r="QF393" s="1739"/>
      <c r="QG393" s="19"/>
      <c r="QH393" s="93"/>
      <c r="QI393" s="93"/>
      <c r="QJ393" s="93"/>
      <c r="QK393" s="93"/>
      <c r="QL393" s="93"/>
      <c r="QM393" s="93"/>
      <c r="QN393" s="93"/>
      <c r="QO393" s="93"/>
      <c r="QP393" s="93"/>
      <c r="QQ393" s="93"/>
      <c r="QR393" s="93"/>
      <c r="QS393" s="93"/>
      <c r="QT393" s="93"/>
      <c r="QU393" s="93"/>
      <c r="QV393" s="93"/>
      <c r="QW393" s="93"/>
      <c r="QX393" s="93"/>
      <c r="QY393" s="93"/>
      <c r="QZ393" s="93"/>
      <c r="RA393" s="93"/>
      <c r="RB393" s="93"/>
      <c r="RC393" s="93"/>
      <c r="RD393" s="93"/>
      <c r="RE393" s="93"/>
      <c r="RF393" s="93"/>
      <c r="RG393" s="93"/>
      <c r="RH393" s="93"/>
      <c r="RI393" s="93"/>
      <c r="RJ393" s="93"/>
      <c r="RK393" s="93"/>
      <c r="RL393" s="93"/>
      <c r="RM393" s="20"/>
      <c r="RN393" s="29"/>
      <c r="RO393" s="19"/>
      <c r="RP393" s="20"/>
      <c r="RQ393" s="29"/>
      <c r="RR393" s="20"/>
      <c r="RS393" s="29"/>
      <c r="RT393" s="1504">
        <v>46419</v>
      </c>
      <c r="RU393" s="19"/>
      <c r="RV393" s="20"/>
      <c r="RW393" s="29"/>
      <c r="RX393" s="1504">
        <v>46419</v>
      </c>
      <c r="RY393" s="29"/>
      <c r="RZ393" s="20"/>
      <c r="SA393" s="29"/>
      <c r="SB393" s="29"/>
    </row>
    <row r="394" spans="1:496">
      <c r="A394" s="41">
        <f t="shared" si="346"/>
        <v>2027</v>
      </c>
      <c r="B394" s="1504">
        <v>46447</v>
      </c>
      <c r="C394" s="1813"/>
      <c r="D394" s="1814"/>
      <c r="E394" s="1814"/>
      <c r="F394" s="1815"/>
      <c r="G394" s="1814"/>
      <c r="H394" s="1814"/>
      <c r="I394" s="1814"/>
      <c r="J394" s="1816"/>
      <c r="K394" s="1807"/>
      <c r="L394" s="25"/>
      <c r="M394" s="97"/>
      <c r="N394" s="1504">
        <v>46447</v>
      </c>
      <c r="O394" s="19"/>
      <c r="P394" s="93"/>
      <c r="Q394" s="93"/>
      <c r="R394" s="93"/>
      <c r="S394" s="93"/>
      <c r="T394" s="93"/>
      <c r="U394" s="93"/>
      <c r="V394" s="93"/>
      <c r="W394" s="93"/>
      <c r="X394" s="93"/>
      <c r="Y394" s="93"/>
      <c r="Z394" s="93"/>
      <c r="AA394" s="93"/>
      <c r="AB394" s="20"/>
      <c r="AC394" s="25"/>
      <c r="AD394" s="97"/>
      <c r="AE394" s="1504">
        <v>46447</v>
      </c>
      <c r="AF394" s="19"/>
      <c r="AG394" s="93"/>
      <c r="AH394" s="93"/>
      <c r="AI394" s="93"/>
      <c r="AJ394" s="93"/>
      <c r="AK394" s="93"/>
      <c r="AL394" s="93"/>
      <c r="AM394" s="93"/>
      <c r="AN394" s="93"/>
      <c r="AO394" s="93"/>
      <c r="AP394" s="93"/>
      <c r="AQ394" s="93"/>
      <c r="AR394" s="93"/>
      <c r="AS394" s="20"/>
      <c r="AT394" s="25"/>
      <c r="AU394" s="97"/>
      <c r="AV394" s="1504">
        <v>46447</v>
      </c>
      <c r="AW394" s="19"/>
      <c r="AX394" s="93"/>
      <c r="AY394" s="93"/>
      <c r="AZ394" s="93"/>
      <c r="BA394" s="93"/>
      <c r="BB394" s="93"/>
      <c r="BC394" s="93"/>
      <c r="BD394" s="93"/>
      <c r="BE394" s="93"/>
      <c r="BF394" s="93"/>
      <c r="BG394" s="93"/>
      <c r="BH394" s="93"/>
      <c r="BI394" s="93"/>
      <c r="BJ394" s="20"/>
      <c r="BK394" s="25"/>
      <c r="BL394" s="97"/>
      <c r="BM394" s="1504">
        <v>46447</v>
      </c>
      <c r="BN394" s="19"/>
      <c r="BO394" s="93"/>
      <c r="BP394" s="93"/>
      <c r="BQ394" s="93"/>
      <c r="BR394" s="93"/>
      <c r="BS394" s="93"/>
      <c r="BT394" s="93"/>
      <c r="BU394" s="20"/>
      <c r="BV394" s="25"/>
      <c r="BW394" s="97"/>
      <c r="BX394" s="1504">
        <v>46447</v>
      </c>
      <c r="BY394" s="19"/>
      <c r="BZ394" s="93"/>
      <c r="CA394" s="93"/>
      <c r="CB394" s="93"/>
      <c r="CC394" s="93"/>
      <c r="CD394" s="25"/>
      <c r="CE394" s="97"/>
      <c r="CF394" s="1504">
        <v>46447</v>
      </c>
      <c r="CG394" s="19"/>
      <c r="CH394" s="93"/>
      <c r="CI394" s="219"/>
      <c r="CJ394" s="20"/>
      <c r="CK394" s="19"/>
      <c r="CL394" s="93"/>
      <c r="CM394" s="93"/>
      <c r="CN394" s="93"/>
      <c r="CO394" s="93"/>
      <c r="CP394" s="20"/>
      <c r="CQ394" s="219"/>
      <c r="CR394" s="93"/>
      <c r="CS394" s="93"/>
      <c r="CT394" s="93"/>
      <c r="CU394" s="93"/>
      <c r="CV394" s="214"/>
      <c r="CW394" s="29"/>
      <c r="CX394" s="41">
        <f t="shared" si="357"/>
        <v>2027</v>
      </c>
      <c r="CY394" s="1504">
        <v>46447</v>
      </c>
      <c r="CZ394" s="19"/>
      <c r="DA394" s="93"/>
      <c r="DB394" s="93"/>
      <c r="DC394" s="93"/>
      <c r="DD394" s="93"/>
      <c r="DE394" s="20"/>
      <c r="DF394" s="29"/>
      <c r="DG394" s="1504">
        <v>46447</v>
      </c>
      <c r="DH394" s="19"/>
      <c r="DI394" s="93"/>
      <c r="DJ394" s="93"/>
      <c r="DK394" s="93"/>
      <c r="DL394" s="93"/>
      <c r="DM394" s="93"/>
      <c r="DN394" s="20"/>
      <c r="DO394" s="295"/>
      <c r="DP394" s="29"/>
      <c r="DQ394" s="1504">
        <v>46447</v>
      </c>
      <c r="DR394" s="19"/>
      <c r="DS394" s="93"/>
      <c r="DT394" s="93"/>
      <c r="DU394" s="93"/>
      <c r="DV394" s="93"/>
      <c r="DW394" s="93"/>
      <c r="DX394" s="20"/>
      <c r="DY394" s="29"/>
      <c r="DZ394" s="1504">
        <v>46447</v>
      </c>
      <c r="EA394" s="19"/>
      <c r="EB394" s="93"/>
      <c r="EC394" s="20"/>
      <c r="ED394" s="29"/>
      <c r="EE394" s="1504">
        <v>46447</v>
      </c>
      <c r="EF394" s="19"/>
      <c r="EG394" s="93"/>
      <c r="EH394" s="93"/>
      <c r="EI394" s="214"/>
      <c r="EJ394" s="93"/>
      <c r="EK394" s="93"/>
      <c r="EL394" s="93"/>
      <c r="EM394" s="93"/>
      <c r="EN394" s="20"/>
      <c r="EO394" s="29"/>
      <c r="EP394" s="1504">
        <v>46447</v>
      </c>
      <c r="EQ394" s="19"/>
      <c r="ER394" s="93"/>
      <c r="ES394" s="93"/>
      <c r="ET394" s="214"/>
      <c r="EU394" s="93"/>
      <c r="EV394" s="93"/>
      <c r="EW394" s="93"/>
      <c r="EX394" s="93"/>
      <c r="EY394" s="20"/>
      <c r="EZ394" s="29"/>
      <c r="FA394" s="1504">
        <v>46447</v>
      </c>
      <c r="FB394" s="29"/>
      <c r="FC394" s="29"/>
      <c r="FD394" s="29"/>
      <c r="FE394" s="29"/>
      <c r="FF394" s="29"/>
      <c r="FG394" s="29"/>
      <c r="FH394" s="29"/>
      <c r="FI394" s="29"/>
      <c r="FJ394" s="29"/>
      <c r="FK394" s="29"/>
      <c r="FL394" s="1504">
        <v>46447</v>
      </c>
      <c r="FM394" s="19"/>
      <c r="FN394" s="93"/>
      <c r="FO394" s="93"/>
      <c r="FP394" s="93"/>
      <c r="FQ394" s="93"/>
      <c r="FR394" s="93"/>
      <c r="FS394" s="93"/>
      <c r="FT394" s="93"/>
      <c r="FU394" s="93"/>
      <c r="FV394" s="93"/>
      <c r="FW394" s="93"/>
      <c r="FX394" s="93"/>
      <c r="FY394" s="93"/>
      <c r="FZ394" s="29"/>
      <c r="GA394" s="1504">
        <v>46447</v>
      </c>
      <c r="GB394" s="19"/>
      <c r="GC394" s="93"/>
      <c r="GD394" s="93"/>
      <c r="GE394" s="93"/>
      <c r="GF394" s="93"/>
      <c r="GG394" s="93"/>
      <c r="GH394" s="93"/>
      <c r="GI394" s="93"/>
      <c r="GJ394" s="93"/>
      <c r="GK394" s="93"/>
      <c r="GL394" s="93"/>
      <c r="GM394" s="93"/>
      <c r="GN394" s="20"/>
      <c r="GO394" s="29"/>
      <c r="GP394" s="1504">
        <v>46447</v>
      </c>
      <c r="GQ394" s="19"/>
      <c r="GR394" s="93"/>
      <c r="GS394" s="93"/>
      <c r="GT394" s="93"/>
      <c r="GU394" s="93"/>
      <c r="GV394" s="20"/>
      <c r="GW394" s="19"/>
      <c r="GX394" s="93"/>
      <c r="GY394" s="93"/>
      <c r="GZ394" s="93"/>
      <c r="HA394" s="93"/>
      <c r="HB394" s="20"/>
      <c r="HC394" s="19"/>
      <c r="HD394" s="93"/>
      <c r="HE394" s="93"/>
      <c r="HF394" s="93"/>
      <c r="HG394" s="93"/>
      <c r="HH394" s="20"/>
      <c r="HI394" s="19"/>
      <c r="HJ394" s="93"/>
      <c r="HK394" s="93"/>
      <c r="HL394" s="93"/>
      <c r="HM394" s="93"/>
      <c r="HN394" s="20"/>
      <c r="HO394" s="219"/>
      <c r="HP394" s="20"/>
      <c r="HQ394" s="25"/>
      <c r="HR394" s="29"/>
      <c r="HS394" s="1504">
        <v>46447</v>
      </c>
      <c r="HT394" s="19"/>
      <c r="HU394" s="93"/>
      <c r="HV394" s="93"/>
      <c r="HW394" s="93"/>
      <c r="HX394" s="93"/>
      <c r="HY394" s="93"/>
      <c r="HZ394" s="93"/>
      <c r="IA394" s="20"/>
      <c r="IB394" s="19"/>
      <c r="IC394" s="93"/>
      <c r="ID394" s="93"/>
      <c r="IE394" s="93"/>
      <c r="IF394" s="93"/>
      <c r="IG394" s="20"/>
      <c r="IH394" s="19"/>
      <c r="II394" s="93"/>
      <c r="IJ394" s="93"/>
      <c r="IK394" s="93"/>
      <c r="IL394" s="93"/>
      <c r="IM394" s="93"/>
      <c r="IN394" s="93"/>
      <c r="IO394" s="20"/>
      <c r="IP394" s="29"/>
      <c r="IQ394" s="19"/>
      <c r="IR394" s="93"/>
      <c r="IS394" s="93"/>
      <c r="IT394" s="93"/>
      <c r="IU394" s="93"/>
      <c r="IV394" s="20"/>
      <c r="IW394" s="29"/>
      <c r="IX394" s="19"/>
      <c r="IY394" s="93"/>
      <c r="IZ394" s="93"/>
      <c r="JA394" s="93"/>
      <c r="JB394" s="93"/>
      <c r="JC394" s="93"/>
      <c r="JD394" s="93"/>
      <c r="JE394" s="20"/>
      <c r="JF394" s="29"/>
      <c r="JG394" s="19"/>
      <c r="JH394" s="93"/>
      <c r="JI394" s="93"/>
      <c r="JJ394" s="93"/>
      <c r="JK394" s="93"/>
      <c r="JL394" s="93"/>
      <c r="JM394" s="93"/>
      <c r="JN394" s="20"/>
      <c r="JO394" s="29"/>
      <c r="JP394" s="19"/>
      <c r="JQ394" s="93"/>
      <c r="JR394" s="93"/>
      <c r="JS394" s="93"/>
      <c r="JT394" s="93"/>
      <c r="JU394" s="20"/>
      <c r="JV394" s="29"/>
      <c r="JW394" s="1504">
        <v>46447</v>
      </c>
      <c r="JX394" s="19"/>
      <c r="JY394" s="93"/>
      <c r="JZ394" s="93"/>
      <c r="KA394" s="93"/>
      <c r="KB394" s="93"/>
      <c r="KC394" s="93"/>
      <c r="KD394" s="20"/>
      <c r="KE394" s="29"/>
      <c r="KF394" s="19"/>
      <c r="KG394" s="93"/>
      <c r="KH394" s="93"/>
      <c r="KI394" s="93"/>
      <c r="KJ394" s="93"/>
      <c r="KK394" s="20"/>
      <c r="KL394" s="29"/>
      <c r="KM394" s="19"/>
      <c r="KN394" s="93"/>
      <c r="KO394" s="93"/>
      <c r="KP394" s="93"/>
      <c r="KQ394" s="93"/>
      <c r="KR394" s="20"/>
      <c r="KS394" s="29"/>
      <c r="KT394" s="19"/>
      <c r="KU394" s="93"/>
      <c r="KV394" s="93"/>
      <c r="KW394" s="93"/>
      <c r="KX394" s="93"/>
      <c r="KY394" s="20"/>
      <c r="KZ394" s="29"/>
      <c r="LA394" s="1504">
        <v>46447</v>
      </c>
      <c r="LB394" s="19"/>
      <c r="LC394" s="93"/>
      <c r="LD394" s="93"/>
      <c r="LE394" s="93"/>
      <c r="LF394" s="93"/>
      <c r="LG394" s="93"/>
      <c r="LH394" s="20"/>
      <c r="LI394" s="29"/>
      <c r="LJ394" s="19"/>
      <c r="LK394" s="93"/>
      <c r="LL394" s="93"/>
      <c r="LM394" s="93"/>
      <c r="LN394" s="93"/>
      <c r="LO394" s="20"/>
      <c r="LP394" s="29"/>
      <c r="LQ394" s="19"/>
      <c r="LR394" s="93"/>
      <c r="LS394" s="93"/>
      <c r="LT394" s="93"/>
      <c r="LU394" s="93"/>
      <c r="LV394" s="93"/>
      <c r="LW394" s="93"/>
      <c r="LX394" s="93"/>
      <c r="LY394" s="93"/>
      <c r="LZ394" s="93"/>
      <c r="MA394" s="20"/>
      <c r="MB394" s="29"/>
      <c r="MC394" s="1504">
        <v>46447</v>
      </c>
      <c r="MD394" s="19"/>
      <c r="ME394" s="93"/>
      <c r="MF394" s="93"/>
      <c r="MG394" s="93"/>
      <c r="MH394" s="93"/>
      <c r="MI394" s="93"/>
      <c r="MJ394" s="93"/>
      <c r="MK394" s="93"/>
      <c r="ML394" s="93"/>
      <c r="MM394" s="93"/>
      <c r="MN394" s="93"/>
      <c r="MO394" s="93"/>
      <c r="MP394" s="93"/>
      <c r="MQ394" s="93"/>
      <c r="MR394" s="93"/>
      <c r="MS394" s="93"/>
      <c r="MT394" s="93"/>
      <c r="MU394" s="93"/>
      <c r="MV394" s="93"/>
      <c r="MW394" s="93"/>
      <c r="MX394" s="93"/>
      <c r="MY394" s="93"/>
      <c r="MZ394" s="93"/>
      <c r="NA394" s="93"/>
      <c r="NB394" s="93"/>
      <c r="NC394" s="93"/>
      <c r="ND394" s="93"/>
      <c r="NE394" s="93"/>
      <c r="NF394" s="93"/>
      <c r="NG394" s="93"/>
      <c r="NH394" s="93"/>
      <c r="NI394" s="93"/>
      <c r="NJ394" s="93"/>
      <c r="NK394" s="93"/>
      <c r="NL394" s="93"/>
      <c r="NM394" s="93"/>
      <c r="NN394" s="93"/>
      <c r="NO394" s="93"/>
      <c r="NP394" s="93"/>
      <c r="NQ394" s="93"/>
      <c r="NR394" s="93"/>
      <c r="NS394" s="93"/>
      <c r="NT394" s="93"/>
      <c r="NU394" s="93"/>
      <c r="NV394" s="93"/>
      <c r="NW394" s="93"/>
      <c r="NX394" s="93"/>
      <c r="NY394" s="93"/>
      <c r="NZ394" s="93"/>
      <c r="OA394" s="93"/>
      <c r="OB394" s="93"/>
      <c r="OC394" s="93"/>
      <c r="OD394" s="20"/>
      <c r="OE394" s="29"/>
      <c r="OF394" s="1504">
        <v>46447</v>
      </c>
      <c r="OG394" s="19"/>
      <c r="OH394" s="93"/>
      <c r="OI394" s="93"/>
      <c r="OJ394" s="93"/>
      <c r="OK394" s="93"/>
      <c r="OL394" s="93"/>
      <c r="OM394" s="93"/>
      <c r="ON394" s="93"/>
      <c r="OO394" s="93"/>
      <c r="OP394" s="93"/>
      <c r="OQ394" s="93"/>
      <c r="OR394" s="93"/>
      <c r="OS394" s="93"/>
      <c r="OT394" s="93"/>
      <c r="OU394" s="93"/>
      <c r="OV394" s="93"/>
      <c r="OW394" s="93"/>
      <c r="OX394" s="93"/>
      <c r="OY394" s="93"/>
      <c r="OZ394" s="93"/>
      <c r="PA394" s="93"/>
      <c r="PB394" s="93"/>
      <c r="PC394" s="20"/>
      <c r="PD394" s="29"/>
      <c r="PE394" s="19"/>
      <c r="PF394" s="93"/>
      <c r="PG394" s="93"/>
      <c r="PH394" s="93"/>
      <c r="PI394" s="93"/>
      <c r="PJ394" s="93"/>
      <c r="PK394" s="93"/>
      <c r="PL394" s="93"/>
      <c r="PM394" s="93"/>
      <c r="PN394" s="93"/>
      <c r="PO394" s="93"/>
      <c r="PP394" s="93"/>
      <c r="PQ394" s="93"/>
      <c r="PR394" s="93"/>
      <c r="PS394" s="93"/>
      <c r="PT394" s="93"/>
      <c r="PU394" s="93"/>
      <c r="PV394" s="93"/>
      <c r="PW394" s="93"/>
      <c r="PX394" s="93"/>
      <c r="PY394" s="93"/>
      <c r="PZ394" s="93"/>
      <c r="QA394" s="93"/>
      <c r="QB394" s="93"/>
      <c r="QC394" s="93"/>
      <c r="QD394" s="93"/>
      <c r="QE394" s="20"/>
      <c r="QF394" s="1739"/>
      <c r="QG394" s="19"/>
      <c r="QH394" s="93"/>
      <c r="QI394" s="93"/>
      <c r="QJ394" s="93"/>
      <c r="QK394" s="93"/>
      <c r="QL394" s="93"/>
      <c r="QM394" s="93"/>
      <c r="QN394" s="93"/>
      <c r="QO394" s="93"/>
      <c r="QP394" s="93"/>
      <c r="QQ394" s="93"/>
      <c r="QR394" s="93"/>
      <c r="QS394" s="93"/>
      <c r="QT394" s="93"/>
      <c r="QU394" s="93"/>
      <c r="QV394" s="93"/>
      <c r="QW394" s="93"/>
      <c r="QX394" s="93"/>
      <c r="QY394" s="93"/>
      <c r="QZ394" s="93"/>
      <c r="RA394" s="93"/>
      <c r="RB394" s="93"/>
      <c r="RC394" s="93"/>
      <c r="RD394" s="93"/>
      <c r="RE394" s="93"/>
      <c r="RF394" s="93"/>
      <c r="RG394" s="93"/>
      <c r="RH394" s="93"/>
      <c r="RI394" s="93"/>
      <c r="RJ394" s="93"/>
      <c r="RK394" s="93"/>
      <c r="RL394" s="93"/>
      <c r="RM394" s="20"/>
      <c r="RN394" s="29"/>
      <c r="RO394" s="19"/>
      <c r="RP394" s="20"/>
      <c r="RQ394" s="29"/>
      <c r="RR394" s="20"/>
      <c r="RS394" s="29"/>
      <c r="RT394" s="1504">
        <v>46447</v>
      </c>
      <c r="RU394" s="19"/>
      <c r="RV394" s="20"/>
      <c r="RW394" s="29"/>
      <c r="RX394" s="1504">
        <v>46447</v>
      </c>
      <c r="RY394" s="29"/>
      <c r="RZ394" s="20"/>
      <c r="SA394" s="29"/>
      <c r="SB394" s="29"/>
    </row>
    <row r="395" spans="1:496">
      <c r="A395" s="41">
        <f t="shared" si="346"/>
        <v>2027</v>
      </c>
      <c r="B395" s="1504">
        <v>46478</v>
      </c>
      <c r="C395" s="1813"/>
      <c r="D395" s="1814"/>
      <c r="E395" s="1814"/>
      <c r="F395" s="1815"/>
      <c r="G395" s="1814"/>
      <c r="H395" s="1814"/>
      <c r="I395" s="1814"/>
      <c r="J395" s="1816"/>
      <c r="K395" s="1807"/>
      <c r="L395" s="25"/>
      <c r="M395" s="97"/>
      <c r="N395" s="1504">
        <v>46478</v>
      </c>
      <c r="O395" s="19"/>
      <c r="P395" s="93"/>
      <c r="Q395" s="93"/>
      <c r="R395" s="93"/>
      <c r="S395" s="93"/>
      <c r="T395" s="93"/>
      <c r="U395" s="93"/>
      <c r="V395" s="93"/>
      <c r="W395" s="93"/>
      <c r="X395" s="93"/>
      <c r="Y395" s="93"/>
      <c r="Z395" s="93"/>
      <c r="AA395" s="93"/>
      <c r="AB395" s="20"/>
      <c r="AC395" s="25"/>
      <c r="AD395" s="97"/>
      <c r="AE395" s="1504">
        <v>46478</v>
      </c>
      <c r="AF395" s="19"/>
      <c r="AG395" s="93"/>
      <c r="AH395" s="93"/>
      <c r="AI395" s="93"/>
      <c r="AJ395" s="93"/>
      <c r="AK395" s="93"/>
      <c r="AL395" s="93"/>
      <c r="AM395" s="93"/>
      <c r="AN395" s="93"/>
      <c r="AO395" s="93"/>
      <c r="AP395" s="93"/>
      <c r="AQ395" s="93"/>
      <c r="AR395" s="93"/>
      <c r="AS395" s="20"/>
      <c r="AT395" s="25"/>
      <c r="AU395" s="97"/>
      <c r="AV395" s="1504">
        <v>46478</v>
      </c>
      <c r="AW395" s="19"/>
      <c r="AX395" s="93"/>
      <c r="AY395" s="93"/>
      <c r="AZ395" s="93"/>
      <c r="BA395" s="93"/>
      <c r="BB395" s="93"/>
      <c r="BC395" s="93"/>
      <c r="BD395" s="93"/>
      <c r="BE395" s="93"/>
      <c r="BF395" s="93"/>
      <c r="BG395" s="93"/>
      <c r="BH395" s="93"/>
      <c r="BI395" s="93"/>
      <c r="BJ395" s="20"/>
      <c r="BK395" s="25"/>
      <c r="BL395" s="97"/>
      <c r="BM395" s="1504">
        <v>46478</v>
      </c>
      <c r="BN395" s="19"/>
      <c r="BO395" s="93"/>
      <c r="BP395" s="93"/>
      <c r="BQ395" s="93"/>
      <c r="BR395" s="93"/>
      <c r="BS395" s="93"/>
      <c r="BT395" s="93"/>
      <c r="BU395" s="20"/>
      <c r="BV395" s="25"/>
      <c r="BW395" s="97"/>
      <c r="BX395" s="1504">
        <v>46478</v>
      </c>
      <c r="BY395" s="19"/>
      <c r="BZ395" s="93"/>
      <c r="CA395" s="93"/>
      <c r="CB395" s="93"/>
      <c r="CC395" s="93"/>
      <c r="CD395" s="25"/>
      <c r="CE395" s="97"/>
      <c r="CF395" s="1504">
        <v>46478</v>
      </c>
      <c r="CG395" s="19"/>
      <c r="CH395" s="93"/>
      <c r="CI395" s="219"/>
      <c r="CJ395" s="20"/>
      <c r="CK395" s="19"/>
      <c r="CL395" s="93"/>
      <c r="CM395" s="93"/>
      <c r="CN395" s="93"/>
      <c r="CO395" s="93"/>
      <c r="CP395" s="20"/>
      <c r="CQ395" s="219"/>
      <c r="CR395" s="93"/>
      <c r="CS395" s="93"/>
      <c r="CT395" s="93"/>
      <c r="CU395" s="93"/>
      <c r="CV395" s="214"/>
      <c r="CW395" s="29"/>
      <c r="CX395" s="41">
        <f t="shared" si="357"/>
        <v>2027</v>
      </c>
      <c r="CY395" s="1504">
        <v>46478</v>
      </c>
      <c r="CZ395" s="19"/>
      <c r="DA395" s="93"/>
      <c r="DB395" s="93"/>
      <c r="DC395" s="93"/>
      <c r="DD395" s="93"/>
      <c r="DE395" s="20"/>
      <c r="DF395" s="29"/>
      <c r="DG395" s="1504">
        <v>46478</v>
      </c>
      <c r="DH395" s="19"/>
      <c r="DI395" s="93"/>
      <c r="DJ395" s="93"/>
      <c r="DK395" s="93"/>
      <c r="DL395" s="93"/>
      <c r="DM395" s="93"/>
      <c r="DN395" s="20"/>
      <c r="DO395" s="295"/>
      <c r="DP395" s="29"/>
      <c r="DQ395" s="1504">
        <v>46478</v>
      </c>
      <c r="DR395" s="19"/>
      <c r="DS395" s="93"/>
      <c r="DT395" s="93"/>
      <c r="DU395" s="93"/>
      <c r="DV395" s="93"/>
      <c r="DW395" s="93"/>
      <c r="DX395" s="20"/>
      <c r="DY395" s="29"/>
      <c r="DZ395" s="1504">
        <v>46478</v>
      </c>
      <c r="EA395" s="19"/>
      <c r="EB395" s="93"/>
      <c r="EC395" s="20"/>
      <c r="ED395" s="29"/>
      <c r="EE395" s="1504">
        <v>46478</v>
      </c>
      <c r="EF395" s="19"/>
      <c r="EG395" s="93"/>
      <c r="EH395" s="93"/>
      <c r="EI395" s="214"/>
      <c r="EJ395" s="93"/>
      <c r="EK395" s="93"/>
      <c r="EL395" s="93"/>
      <c r="EM395" s="93"/>
      <c r="EN395" s="20"/>
      <c r="EO395" s="29"/>
      <c r="EP395" s="1504">
        <v>46478</v>
      </c>
      <c r="EQ395" s="19"/>
      <c r="ER395" s="93"/>
      <c r="ES395" s="93"/>
      <c r="ET395" s="214"/>
      <c r="EU395" s="93"/>
      <c r="EV395" s="93"/>
      <c r="EW395" s="93"/>
      <c r="EX395" s="93"/>
      <c r="EY395" s="20"/>
      <c r="EZ395" s="29"/>
      <c r="FA395" s="1504">
        <v>46478</v>
      </c>
      <c r="FB395" s="29"/>
      <c r="FC395" s="29"/>
      <c r="FD395" s="29"/>
      <c r="FE395" s="29"/>
      <c r="FF395" s="29"/>
      <c r="FG395" s="29"/>
      <c r="FH395" s="29"/>
      <c r="FI395" s="29"/>
      <c r="FJ395" s="29"/>
      <c r="FK395" s="29"/>
      <c r="FL395" s="1504">
        <v>46478</v>
      </c>
      <c r="FM395" s="19"/>
      <c r="FN395" s="93"/>
      <c r="FO395" s="93"/>
      <c r="FP395" s="93"/>
      <c r="FQ395" s="93"/>
      <c r="FR395" s="93"/>
      <c r="FS395" s="93"/>
      <c r="FT395" s="93"/>
      <c r="FU395" s="93"/>
      <c r="FV395" s="93"/>
      <c r="FW395" s="93"/>
      <c r="FX395" s="93"/>
      <c r="FY395" s="93"/>
      <c r="FZ395" s="29"/>
      <c r="GA395" s="1504">
        <v>46478</v>
      </c>
      <c r="GB395" s="19"/>
      <c r="GC395" s="93"/>
      <c r="GD395" s="93"/>
      <c r="GE395" s="93"/>
      <c r="GF395" s="93"/>
      <c r="GG395" s="93"/>
      <c r="GH395" s="93"/>
      <c r="GI395" s="93"/>
      <c r="GJ395" s="93"/>
      <c r="GK395" s="93"/>
      <c r="GL395" s="93"/>
      <c r="GM395" s="93"/>
      <c r="GN395" s="20"/>
      <c r="GO395" s="29"/>
      <c r="GP395" s="1504">
        <v>46478</v>
      </c>
      <c r="GQ395" s="19"/>
      <c r="GR395" s="93"/>
      <c r="GS395" s="93"/>
      <c r="GT395" s="93"/>
      <c r="GU395" s="93"/>
      <c r="GV395" s="20"/>
      <c r="GW395" s="19"/>
      <c r="GX395" s="93"/>
      <c r="GY395" s="93"/>
      <c r="GZ395" s="93"/>
      <c r="HA395" s="93"/>
      <c r="HB395" s="20"/>
      <c r="HC395" s="19"/>
      <c r="HD395" s="93"/>
      <c r="HE395" s="93"/>
      <c r="HF395" s="93"/>
      <c r="HG395" s="93"/>
      <c r="HH395" s="20"/>
      <c r="HI395" s="19"/>
      <c r="HJ395" s="93"/>
      <c r="HK395" s="93"/>
      <c r="HL395" s="93"/>
      <c r="HM395" s="93"/>
      <c r="HN395" s="20"/>
      <c r="HO395" s="219"/>
      <c r="HP395" s="20"/>
      <c r="HQ395" s="25"/>
      <c r="HR395" s="29"/>
      <c r="HS395" s="1504">
        <v>46478</v>
      </c>
      <c r="HT395" s="19"/>
      <c r="HU395" s="93"/>
      <c r="HV395" s="93"/>
      <c r="HW395" s="93"/>
      <c r="HX395" s="93"/>
      <c r="HY395" s="93"/>
      <c r="HZ395" s="93"/>
      <c r="IA395" s="20"/>
      <c r="IB395" s="19"/>
      <c r="IC395" s="93"/>
      <c r="ID395" s="93"/>
      <c r="IE395" s="93"/>
      <c r="IF395" s="93"/>
      <c r="IG395" s="20"/>
      <c r="IH395" s="19"/>
      <c r="II395" s="93"/>
      <c r="IJ395" s="93"/>
      <c r="IK395" s="93"/>
      <c r="IL395" s="93"/>
      <c r="IM395" s="93"/>
      <c r="IN395" s="93"/>
      <c r="IO395" s="20"/>
      <c r="IP395" s="29"/>
      <c r="IQ395" s="19"/>
      <c r="IR395" s="93"/>
      <c r="IS395" s="93"/>
      <c r="IT395" s="93"/>
      <c r="IU395" s="93"/>
      <c r="IV395" s="20"/>
      <c r="IW395" s="29"/>
      <c r="IX395" s="19"/>
      <c r="IY395" s="93"/>
      <c r="IZ395" s="93"/>
      <c r="JA395" s="93"/>
      <c r="JB395" s="93"/>
      <c r="JC395" s="93"/>
      <c r="JD395" s="93"/>
      <c r="JE395" s="20"/>
      <c r="JF395" s="29"/>
      <c r="JG395" s="19"/>
      <c r="JH395" s="93"/>
      <c r="JI395" s="93"/>
      <c r="JJ395" s="93"/>
      <c r="JK395" s="93"/>
      <c r="JL395" s="93"/>
      <c r="JM395" s="93"/>
      <c r="JN395" s="20"/>
      <c r="JO395" s="29"/>
      <c r="JP395" s="19"/>
      <c r="JQ395" s="93"/>
      <c r="JR395" s="93"/>
      <c r="JS395" s="93"/>
      <c r="JT395" s="93"/>
      <c r="JU395" s="20"/>
      <c r="JV395" s="29"/>
      <c r="JW395" s="1504">
        <v>46478</v>
      </c>
      <c r="JX395" s="19"/>
      <c r="JY395" s="93"/>
      <c r="JZ395" s="93"/>
      <c r="KA395" s="93"/>
      <c r="KB395" s="93"/>
      <c r="KC395" s="93"/>
      <c r="KD395" s="20"/>
      <c r="KE395" s="29"/>
      <c r="KF395" s="19"/>
      <c r="KG395" s="93"/>
      <c r="KH395" s="93"/>
      <c r="KI395" s="93"/>
      <c r="KJ395" s="93"/>
      <c r="KK395" s="20"/>
      <c r="KL395" s="29"/>
      <c r="KM395" s="19"/>
      <c r="KN395" s="93"/>
      <c r="KO395" s="93"/>
      <c r="KP395" s="93"/>
      <c r="KQ395" s="93"/>
      <c r="KR395" s="20"/>
      <c r="KS395" s="29"/>
      <c r="KT395" s="19"/>
      <c r="KU395" s="93"/>
      <c r="KV395" s="93"/>
      <c r="KW395" s="93"/>
      <c r="KX395" s="93"/>
      <c r="KY395" s="20"/>
      <c r="KZ395" s="29"/>
      <c r="LA395" s="1504">
        <v>46478</v>
      </c>
      <c r="LB395" s="19"/>
      <c r="LC395" s="93"/>
      <c r="LD395" s="93"/>
      <c r="LE395" s="93"/>
      <c r="LF395" s="93"/>
      <c r="LG395" s="93"/>
      <c r="LH395" s="20"/>
      <c r="LI395" s="29"/>
      <c r="LJ395" s="19"/>
      <c r="LK395" s="93"/>
      <c r="LL395" s="93"/>
      <c r="LM395" s="93"/>
      <c r="LN395" s="93"/>
      <c r="LO395" s="20"/>
      <c r="LP395" s="29"/>
      <c r="LQ395" s="19"/>
      <c r="LR395" s="93"/>
      <c r="LS395" s="93"/>
      <c r="LT395" s="93"/>
      <c r="LU395" s="93"/>
      <c r="LV395" s="93"/>
      <c r="LW395" s="93"/>
      <c r="LX395" s="93"/>
      <c r="LY395" s="93"/>
      <c r="LZ395" s="93"/>
      <c r="MA395" s="20"/>
      <c r="MB395" s="29"/>
      <c r="MC395" s="1504">
        <v>46478</v>
      </c>
      <c r="MD395" s="19"/>
      <c r="ME395" s="93"/>
      <c r="MF395" s="93"/>
      <c r="MG395" s="93"/>
      <c r="MH395" s="93"/>
      <c r="MI395" s="93"/>
      <c r="MJ395" s="93"/>
      <c r="MK395" s="93"/>
      <c r="ML395" s="93"/>
      <c r="MM395" s="93"/>
      <c r="MN395" s="93"/>
      <c r="MO395" s="93"/>
      <c r="MP395" s="93"/>
      <c r="MQ395" s="93"/>
      <c r="MR395" s="93"/>
      <c r="MS395" s="93"/>
      <c r="MT395" s="93"/>
      <c r="MU395" s="93"/>
      <c r="MV395" s="93"/>
      <c r="MW395" s="93"/>
      <c r="MX395" s="93"/>
      <c r="MY395" s="93"/>
      <c r="MZ395" s="93"/>
      <c r="NA395" s="93"/>
      <c r="NB395" s="93"/>
      <c r="NC395" s="93"/>
      <c r="ND395" s="93"/>
      <c r="NE395" s="93"/>
      <c r="NF395" s="93"/>
      <c r="NG395" s="93"/>
      <c r="NH395" s="93"/>
      <c r="NI395" s="93"/>
      <c r="NJ395" s="93"/>
      <c r="NK395" s="93"/>
      <c r="NL395" s="93"/>
      <c r="NM395" s="93"/>
      <c r="NN395" s="93"/>
      <c r="NO395" s="93"/>
      <c r="NP395" s="93"/>
      <c r="NQ395" s="93"/>
      <c r="NR395" s="93"/>
      <c r="NS395" s="93"/>
      <c r="NT395" s="93"/>
      <c r="NU395" s="93"/>
      <c r="NV395" s="93"/>
      <c r="NW395" s="93"/>
      <c r="NX395" s="93"/>
      <c r="NY395" s="93"/>
      <c r="NZ395" s="93"/>
      <c r="OA395" s="93"/>
      <c r="OB395" s="93"/>
      <c r="OC395" s="93"/>
      <c r="OD395" s="20"/>
      <c r="OE395" s="29"/>
      <c r="OF395" s="1504">
        <v>46478</v>
      </c>
      <c r="OG395" s="19"/>
      <c r="OH395" s="93"/>
      <c r="OI395" s="93"/>
      <c r="OJ395" s="93"/>
      <c r="OK395" s="93"/>
      <c r="OL395" s="93"/>
      <c r="OM395" s="93"/>
      <c r="ON395" s="93"/>
      <c r="OO395" s="93"/>
      <c r="OP395" s="93"/>
      <c r="OQ395" s="93"/>
      <c r="OR395" s="93"/>
      <c r="OS395" s="93"/>
      <c r="OT395" s="93"/>
      <c r="OU395" s="93"/>
      <c r="OV395" s="93"/>
      <c r="OW395" s="93"/>
      <c r="OX395" s="93"/>
      <c r="OY395" s="93"/>
      <c r="OZ395" s="93"/>
      <c r="PA395" s="93"/>
      <c r="PB395" s="93"/>
      <c r="PC395" s="20"/>
      <c r="PD395" s="29"/>
      <c r="PE395" s="19"/>
      <c r="PF395" s="93"/>
      <c r="PG395" s="93"/>
      <c r="PH395" s="93"/>
      <c r="PI395" s="93"/>
      <c r="PJ395" s="93"/>
      <c r="PK395" s="93"/>
      <c r="PL395" s="93"/>
      <c r="PM395" s="93"/>
      <c r="PN395" s="93"/>
      <c r="PO395" s="93"/>
      <c r="PP395" s="93"/>
      <c r="PQ395" s="93"/>
      <c r="PR395" s="93"/>
      <c r="PS395" s="93"/>
      <c r="PT395" s="93"/>
      <c r="PU395" s="93"/>
      <c r="PV395" s="93"/>
      <c r="PW395" s="93"/>
      <c r="PX395" s="93"/>
      <c r="PY395" s="93"/>
      <c r="PZ395" s="93"/>
      <c r="QA395" s="93"/>
      <c r="QB395" s="93"/>
      <c r="QC395" s="93"/>
      <c r="QD395" s="93"/>
      <c r="QE395" s="20"/>
      <c r="QF395" s="1739"/>
      <c r="QG395" s="19"/>
      <c r="QH395" s="93"/>
      <c r="QI395" s="93"/>
      <c r="QJ395" s="93"/>
      <c r="QK395" s="93"/>
      <c r="QL395" s="93"/>
      <c r="QM395" s="93"/>
      <c r="QN395" s="93"/>
      <c r="QO395" s="93"/>
      <c r="QP395" s="93"/>
      <c r="QQ395" s="93"/>
      <c r="QR395" s="93"/>
      <c r="QS395" s="93"/>
      <c r="QT395" s="93"/>
      <c r="QU395" s="93"/>
      <c r="QV395" s="93"/>
      <c r="QW395" s="93"/>
      <c r="QX395" s="93"/>
      <c r="QY395" s="93"/>
      <c r="QZ395" s="93"/>
      <c r="RA395" s="93"/>
      <c r="RB395" s="93"/>
      <c r="RC395" s="93"/>
      <c r="RD395" s="93"/>
      <c r="RE395" s="93"/>
      <c r="RF395" s="93"/>
      <c r="RG395" s="93"/>
      <c r="RH395" s="93"/>
      <c r="RI395" s="93"/>
      <c r="RJ395" s="93"/>
      <c r="RK395" s="93"/>
      <c r="RL395" s="93"/>
      <c r="RM395" s="20"/>
      <c r="RN395" s="29"/>
      <c r="RO395" s="19"/>
      <c r="RP395" s="20"/>
      <c r="RQ395" s="29"/>
      <c r="RR395" s="20"/>
      <c r="RS395" s="29"/>
      <c r="RT395" s="1504">
        <v>46478</v>
      </c>
      <c r="RU395" s="19"/>
      <c r="RV395" s="20"/>
      <c r="RW395" s="29"/>
      <c r="RX395" s="1504">
        <v>46478</v>
      </c>
      <c r="RY395" s="29"/>
      <c r="RZ395" s="20"/>
      <c r="SA395" s="29"/>
      <c r="SB395" s="29"/>
    </row>
    <row r="396" spans="1:496">
      <c r="A396" s="41">
        <f t="shared" si="346"/>
        <v>2027</v>
      </c>
      <c r="B396" s="1504">
        <v>46508</v>
      </c>
      <c r="C396" s="1813"/>
      <c r="D396" s="1814"/>
      <c r="E396" s="1814"/>
      <c r="F396" s="1815"/>
      <c r="G396" s="1814"/>
      <c r="H396" s="1814"/>
      <c r="I396" s="1814"/>
      <c r="J396" s="1816"/>
      <c r="K396" s="1807"/>
      <c r="L396" s="25"/>
      <c r="M396" s="97"/>
      <c r="N396" s="1504">
        <v>46508</v>
      </c>
      <c r="O396" s="19"/>
      <c r="P396" s="93"/>
      <c r="Q396" s="93"/>
      <c r="R396" s="93"/>
      <c r="S396" s="93"/>
      <c r="T396" s="93"/>
      <c r="U396" s="93"/>
      <c r="V396" s="93"/>
      <c r="W396" s="93"/>
      <c r="X396" s="93"/>
      <c r="Y396" s="93"/>
      <c r="Z396" s="93"/>
      <c r="AA396" s="93"/>
      <c r="AB396" s="20"/>
      <c r="AC396" s="25"/>
      <c r="AD396" s="97"/>
      <c r="AE396" s="1504">
        <v>46508</v>
      </c>
      <c r="AF396" s="19"/>
      <c r="AG396" s="93"/>
      <c r="AH396" s="93"/>
      <c r="AI396" s="93"/>
      <c r="AJ396" s="93"/>
      <c r="AK396" s="93"/>
      <c r="AL396" s="93"/>
      <c r="AM396" s="93"/>
      <c r="AN396" s="93"/>
      <c r="AO396" s="93"/>
      <c r="AP396" s="93"/>
      <c r="AQ396" s="93"/>
      <c r="AR396" s="93"/>
      <c r="AS396" s="20"/>
      <c r="AT396" s="25"/>
      <c r="AU396" s="97"/>
      <c r="AV396" s="1504">
        <v>46508</v>
      </c>
      <c r="AW396" s="19"/>
      <c r="AX396" s="93"/>
      <c r="AY396" s="93"/>
      <c r="AZ396" s="93"/>
      <c r="BA396" s="93"/>
      <c r="BB396" s="93"/>
      <c r="BC396" s="93"/>
      <c r="BD396" s="93"/>
      <c r="BE396" s="93"/>
      <c r="BF396" s="93"/>
      <c r="BG396" s="93"/>
      <c r="BH396" s="93"/>
      <c r="BI396" s="93"/>
      <c r="BJ396" s="20"/>
      <c r="BK396" s="25"/>
      <c r="BL396" s="97"/>
      <c r="BM396" s="1504">
        <v>46508</v>
      </c>
      <c r="BN396" s="19"/>
      <c r="BO396" s="93"/>
      <c r="BP396" s="93"/>
      <c r="BQ396" s="93"/>
      <c r="BR396" s="93"/>
      <c r="BS396" s="93"/>
      <c r="BT396" s="93"/>
      <c r="BU396" s="20"/>
      <c r="BV396" s="25"/>
      <c r="BW396" s="97"/>
      <c r="BX396" s="1504">
        <v>46508</v>
      </c>
      <c r="BY396" s="19"/>
      <c r="BZ396" s="93"/>
      <c r="CA396" s="93"/>
      <c r="CB396" s="93"/>
      <c r="CC396" s="93"/>
      <c r="CD396" s="25"/>
      <c r="CE396" s="97"/>
      <c r="CF396" s="1504">
        <v>46508</v>
      </c>
      <c r="CG396" s="19"/>
      <c r="CH396" s="93"/>
      <c r="CI396" s="219"/>
      <c r="CJ396" s="20"/>
      <c r="CK396" s="19"/>
      <c r="CL396" s="93"/>
      <c r="CM396" s="93"/>
      <c r="CN396" s="93"/>
      <c r="CO396" s="93"/>
      <c r="CP396" s="20"/>
      <c r="CQ396" s="219"/>
      <c r="CR396" s="93"/>
      <c r="CS396" s="93"/>
      <c r="CT396" s="93"/>
      <c r="CU396" s="93"/>
      <c r="CV396" s="214"/>
      <c r="CW396" s="29"/>
      <c r="CX396" s="41">
        <f t="shared" si="357"/>
        <v>2027</v>
      </c>
      <c r="CY396" s="1504">
        <v>46508</v>
      </c>
      <c r="CZ396" s="19"/>
      <c r="DA396" s="93"/>
      <c r="DB396" s="93"/>
      <c r="DC396" s="93"/>
      <c r="DD396" s="93"/>
      <c r="DE396" s="20"/>
      <c r="DF396" s="29"/>
      <c r="DG396" s="1504">
        <v>46508</v>
      </c>
      <c r="DH396" s="19"/>
      <c r="DI396" s="93"/>
      <c r="DJ396" s="93"/>
      <c r="DK396" s="93"/>
      <c r="DL396" s="93"/>
      <c r="DM396" s="93"/>
      <c r="DN396" s="20"/>
      <c r="DO396" s="295"/>
      <c r="DP396" s="29"/>
      <c r="DQ396" s="1504">
        <v>46508</v>
      </c>
      <c r="DR396" s="19"/>
      <c r="DS396" s="93"/>
      <c r="DT396" s="93"/>
      <c r="DU396" s="93"/>
      <c r="DV396" s="93"/>
      <c r="DW396" s="93"/>
      <c r="DX396" s="20"/>
      <c r="DY396" s="29"/>
      <c r="DZ396" s="1504">
        <v>46508</v>
      </c>
      <c r="EA396" s="19"/>
      <c r="EB396" s="93"/>
      <c r="EC396" s="20"/>
      <c r="ED396" s="29"/>
      <c r="EE396" s="1504">
        <v>46508</v>
      </c>
      <c r="EF396" s="19"/>
      <c r="EG396" s="93"/>
      <c r="EH396" s="93"/>
      <c r="EI396" s="214"/>
      <c r="EJ396" s="93"/>
      <c r="EK396" s="93"/>
      <c r="EL396" s="93"/>
      <c r="EM396" s="93"/>
      <c r="EN396" s="20"/>
      <c r="EO396" s="29"/>
      <c r="EP396" s="1504">
        <v>46508</v>
      </c>
      <c r="EQ396" s="19"/>
      <c r="ER396" s="93"/>
      <c r="ES396" s="93"/>
      <c r="ET396" s="214"/>
      <c r="EU396" s="93"/>
      <c r="EV396" s="93"/>
      <c r="EW396" s="93"/>
      <c r="EX396" s="93"/>
      <c r="EY396" s="20"/>
      <c r="EZ396" s="29"/>
      <c r="FA396" s="1504">
        <v>46508</v>
      </c>
      <c r="FB396" s="29"/>
      <c r="FC396" s="29"/>
      <c r="FD396" s="29"/>
      <c r="FE396" s="29"/>
      <c r="FF396" s="29"/>
      <c r="FG396" s="29"/>
      <c r="FH396" s="29"/>
      <c r="FI396" s="29"/>
      <c r="FJ396" s="29"/>
      <c r="FK396" s="29"/>
      <c r="FL396" s="1504">
        <v>46508</v>
      </c>
      <c r="FM396" s="19"/>
      <c r="FN396" s="93"/>
      <c r="FO396" s="93"/>
      <c r="FP396" s="93"/>
      <c r="FQ396" s="93"/>
      <c r="FR396" s="93"/>
      <c r="FS396" s="93"/>
      <c r="FT396" s="93"/>
      <c r="FU396" s="93"/>
      <c r="FV396" s="93"/>
      <c r="FW396" s="93"/>
      <c r="FX396" s="93"/>
      <c r="FY396" s="93"/>
      <c r="FZ396" s="29"/>
      <c r="GA396" s="1504">
        <v>46508</v>
      </c>
      <c r="GB396" s="19"/>
      <c r="GC396" s="93"/>
      <c r="GD396" s="93"/>
      <c r="GE396" s="93"/>
      <c r="GF396" s="93"/>
      <c r="GG396" s="93"/>
      <c r="GH396" s="93"/>
      <c r="GI396" s="93"/>
      <c r="GJ396" s="93"/>
      <c r="GK396" s="93"/>
      <c r="GL396" s="93"/>
      <c r="GM396" s="93"/>
      <c r="GN396" s="20"/>
      <c r="GO396" s="29"/>
      <c r="GP396" s="1504">
        <v>46508</v>
      </c>
      <c r="GQ396" s="19"/>
      <c r="GR396" s="93"/>
      <c r="GS396" s="93"/>
      <c r="GT396" s="93"/>
      <c r="GU396" s="93"/>
      <c r="GV396" s="20"/>
      <c r="GW396" s="19"/>
      <c r="GX396" s="93"/>
      <c r="GY396" s="93"/>
      <c r="GZ396" s="93"/>
      <c r="HA396" s="93"/>
      <c r="HB396" s="20"/>
      <c r="HC396" s="19"/>
      <c r="HD396" s="93"/>
      <c r="HE396" s="93"/>
      <c r="HF396" s="93"/>
      <c r="HG396" s="93"/>
      <c r="HH396" s="20"/>
      <c r="HI396" s="19"/>
      <c r="HJ396" s="93"/>
      <c r="HK396" s="93"/>
      <c r="HL396" s="93"/>
      <c r="HM396" s="93"/>
      <c r="HN396" s="20"/>
      <c r="HO396" s="219"/>
      <c r="HP396" s="20"/>
      <c r="HQ396" s="25"/>
      <c r="HR396" s="29"/>
      <c r="HS396" s="1504">
        <v>46508</v>
      </c>
      <c r="HT396" s="19"/>
      <c r="HU396" s="93"/>
      <c r="HV396" s="93"/>
      <c r="HW396" s="93"/>
      <c r="HX396" s="93"/>
      <c r="HY396" s="93"/>
      <c r="HZ396" s="93"/>
      <c r="IA396" s="20"/>
      <c r="IB396" s="19"/>
      <c r="IC396" s="93"/>
      <c r="ID396" s="93"/>
      <c r="IE396" s="93"/>
      <c r="IF396" s="93"/>
      <c r="IG396" s="20"/>
      <c r="IH396" s="19"/>
      <c r="II396" s="93"/>
      <c r="IJ396" s="93"/>
      <c r="IK396" s="93"/>
      <c r="IL396" s="93"/>
      <c r="IM396" s="93"/>
      <c r="IN396" s="93"/>
      <c r="IO396" s="20"/>
      <c r="IP396" s="29"/>
      <c r="IQ396" s="19"/>
      <c r="IR396" s="93"/>
      <c r="IS396" s="93"/>
      <c r="IT396" s="93"/>
      <c r="IU396" s="93"/>
      <c r="IV396" s="20"/>
      <c r="IW396" s="29"/>
      <c r="IX396" s="19"/>
      <c r="IY396" s="93"/>
      <c r="IZ396" s="93"/>
      <c r="JA396" s="93"/>
      <c r="JB396" s="93"/>
      <c r="JC396" s="93"/>
      <c r="JD396" s="93"/>
      <c r="JE396" s="20"/>
      <c r="JF396" s="29"/>
      <c r="JG396" s="19"/>
      <c r="JH396" s="93"/>
      <c r="JI396" s="93"/>
      <c r="JJ396" s="93"/>
      <c r="JK396" s="93"/>
      <c r="JL396" s="93"/>
      <c r="JM396" s="93"/>
      <c r="JN396" s="20"/>
      <c r="JO396" s="29"/>
      <c r="JP396" s="19"/>
      <c r="JQ396" s="93"/>
      <c r="JR396" s="93"/>
      <c r="JS396" s="93"/>
      <c r="JT396" s="93"/>
      <c r="JU396" s="20"/>
      <c r="JV396" s="29"/>
      <c r="JW396" s="1504">
        <v>46508</v>
      </c>
      <c r="JX396" s="19"/>
      <c r="JY396" s="93"/>
      <c r="JZ396" s="93"/>
      <c r="KA396" s="93"/>
      <c r="KB396" s="93"/>
      <c r="KC396" s="93"/>
      <c r="KD396" s="20"/>
      <c r="KE396" s="29"/>
      <c r="KF396" s="19"/>
      <c r="KG396" s="93"/>
      <c r="KH396" s="93"/>
      <c r="KI396" s="93"/>
      <c r="KJ396" s="93"/>
      <c r="KK396" s="20"/>
      <c r="KL396" s="29"/>
      <c r="KM396" s="19"/>
      <c r="KN396" s="93"/>
      <c r="KO396" s="93"/>
      <c r="KP396" s="93"/>
      <c r="KQ396" s="93"/>
      <c r="KR396" s="20"/>
      <c r="KS396" s="29"/>
      <c r="KT396" s="19"/>
      <c r="KU396" s="93"/>
      <c r="KV396" s="93"/>
      <c r="KW396" s="93"/>
      <c r="KX396" s="93"/>
      <c r="KY396" s="20"/>
      <c r="KZ396" s="29"/>
      <c r="LA396" s="1504">
        <v>46508</v>
      </c>
      <c r="LB396" s="19"/>
      <c r="LC396" s="93"/>
      <c r="LD396" s="93"/>
      <c r="LE396" s="93"/>
      <c r="LF396" s="93"/>
      <c r="LG396" s="93"/>
      <c r="LH396" s="20"/>
      <c r="LI396" s="29"/>
      <c r="LJ396" s="19"/>
      <c r="LK396" s="93"/>
      <c r="LL396" s="93"/>
      <c r="LM396" s="93"/>
      <c r="LN396" s="93"/>
      <c r="LO396" s="20"/>
      <c r="LP396" s="29"/>
      <c r="LQ396" s="19"/>
      <c r="LR396" s="93"/>
      <c r="LS396" s="93"/>
      <c r="LT396" s="93"/>
      <c r="LU396" s="93"/>
      <c r="LV396" s="93"/>
      <c r="LW396" s="93"/>
      <c r="LX396" s="93"/>
      <c r="LY396" s="93"/>
      <c r="LZ396" s="93"/>
      <c r="MA396" s="20"/>
      <c r="MB396" s="29"/>
      <c r="MC396" s="1504">
        <v>46508</v>
      </c>
      <c r="MD396" s="19"/>
      <c r="ME396" s="93"/>
      <c r="MF396" s="93"/>
      <c r="MG396" s="93"/>
      <c r="MH396" s="93"/>
      <c r="MI396" s="93"/>
      <c r="MJ396" s="93"/>
      <c r="MK396" s="93"/>
      <c r="ML396" s="93"/>
      <c r="MM396" s="93"/>
      <c r="MN396" s="93"/>
      <c r="MO396" s="93"/>
      <c r="MP396" s="93"/>
      <c r="MQ396" s="93"/>
      <c r="MR396" s="93"/>
      <c r="MS396" s="93"/>
      <c r="MT396" s="93"/>
      <c r="MU396" s="93"/>
      <c r="MV396" s="93"/>
      <c r="MW396" s="93"/>
      <c r="MX396" s="93"/>
      <c r="MY396" s="93"/>
      <c r="MZ396" s="93"/>
      <c r="NA396" s="93"/>
      <c r="NB396" s="93"/>
      <c r="NC396" s="93"/>
      <c r="ND396" s="93"/>
      <c r="NE396" s="93"/>
      <c r="NF396" s="93"/>
      <c r="NG396" s="93"/>
      <c r="NH396" s="93"/>
      <c r="NI396" s="93"/>
      <c r="NJ396" s="93"/>
      <c r="NK396" s="93"/>
      <c r="NL396" s="93"/>
      <c r="NM396" s="93"/>
      <c r="NN396" s="93"/>
      <c r="NO396" s="93"/>
      <c r="NP396" s="93"/>
      <c r="NQ396" s="93"/>
      <c r="NR396" s="93"/>
      <c r="NS396" s="93"/>
      <c r="NT396" s="93"/>
      <c r="NU396" s="93"/>
      <c r="NV396" s="93"/>
      <c r="NW396" s="93"/>
      <c r="NX396" s="93"/>
      <c r="NY396" s="93"/>
      <c r="NZ396" s="93"/>
      <c r="OA396" s="93"/>
      <c r="OB396" s="93"/>
      <c r="OC396" s="93"/>
      <c r="OD396" s="20"/>
      <c r="OE396" s="29"/>
      <c r="OF396" s="1504">
        <v>46508</v>
      </c>
      <c r="OG396" s="19"/>
      <c r="OH396" s="93"/>
      <c r="OI396" s="93"/>
      <c r="OJ396" s="93"/>
      <c r="OK396" s="93"/>
      <c r="OL396" s="93"/>
      <c r="OM396" s="93"/>
      <c r="ON396" s="93"/>
      <c r="OO396" s="93"/>
      <c r="OP396" s="93"/>
      <c r="OQ396" s="93"/>
      <c r="OR396" s="93"/>
      <c r="OS396" s="93"/>
      <c r="OT396" s="93"/>
      <c r="OU396" s="93"/>
      <c r="OV396" s="93"/>
      <c r="OW396" s="93"/>
      <c r="OX396" s="93"/>
      <c r="OY396" s="93"/>
      <c r="OZ396" s="93"/>
      <c r="PA396" s="93"/>
      <c r="PB396" s="93"/>
      <c r="PC396" s="20"/>
      <c r="PD396" s="29"/>
      <c r="PE396" s="19"/>
      <c r="PF396" s="93"/>
      <c r="PG396" s="93"/>
      <c r="PH396" s="93"/>
      <c r="PI396" s="93"/>
      <c r="PJ396" s="93"/>
      <c r="PK396" s="93"/>
      <c r="PL396" s="93"/>
      <c r="PM396" s="93"/>
      <c r="PN396" s="93"/>
      <c r="PO396" s="93"/>
      <c r="PP396" s="93"/>
      <c r="PQ396" s="93"/>
      <c r="PR396" s="93"/>
      <c r="PS396" s="93"/>
      <c r="PT396" s="93"/>
      <c r="PU396" s="93"/>
      <c r="PV396" s="93"/>
      <c r="PW396" s="93"/>
      <c r="PX396" s="93"/>
      <c r="PY396" s="93"/>
      <c r="PZ396" s="93"/>
      <c r="QA396" s="93"/>
      <c r="QB396" s="93"/>
      <c r="QC396" s="93"/>
      <c r="QD396" s="93"/>
      <c r="QE396" s="20"/>
      <c r="QF396" s="1739"/>
      <c r="QG396" s="19"/>
      <c r="QH396" s="93"/>
      <c r="QI396" s="93"/>
      <c r="QJ396" s="93"/>
      <c r="QK396" s="93"/>
      <c r="QL396" s="93"/>
      <c r="QM396" s="93"/>
      <c r="QN396" s="93"/>
      <c r="QO396" s="93"/>
      <c r="QP396" s="93"/>
      <c r="QQ396" s="93"/>
      <c r="QR396" s="93"/>
      <c r="QS396" s="93"/>
      <c r="QT396" s="93"/>
      <c r="QU396" s="93"/>
      <c r="QV396" s="93"/>
      <c r="QW396" s="93"/>
      <c r="QX396" s="93"/>
      <c r="QY396" s="93"/>
      <c r="QZ396" s="93"/>
      <c r="RA396" s="93"/>
      <c r="RB396" s="93"/>
      <c r="RC396" s="93"/>
      <c r="RD396" s="93"/>
      <c r="RE396" s="93"/>
      <c r="RF396" s="93"/>
      <c r="RG396" s="93"/>
      <c r="RH396" s="93"/>
      <c r="RI396" s="93"/>
      <c r="RJ396" s="93"/>
      <c r="RK396" s="93"/>
      <c r="RL396" s="93"/>
      <c r="RM396" s="20"/>
      <c r="RN396" s="29"/>
      <c r="RO396" s="19"/>
      <c r="RP396" s="20"/>
      <c r="RQ396" s="29"/>
      <c r="RR396" s="20"/>
      <c r="RS396" s="29"/>
      <c r="RT396" s="1504">
        <v>46508</v>
      </c>
      <c r="RU396" s="19"/>
      <c r="RV396" s="20"/>
      <c r="RW396" s="29"/>
      <c r="RX396" s="1504">
        <v>46508</v>
      </c>
      <c r="RY396" s="29"/>
      <c r="RZ396" s="20"/>
      <c r="SA396" s="29"/>
      <c r="SB396" s="29"/>
    </row>
    <row r="397" spans="1:496">
      <c r="A397" s="41">
        <f t="shared" si="346"/>
        <v>2027</v>
      </c>
      <c r="B397" s="1504">
        <v>46539</v>
      </c>
      <c r="C397" s="1813"/>
      <c r="D397" s="1814"/>
      <c r="E397" s="1814"/>
      <c r="F397" s="1815"/>
      <c r="G397" s="1814"/>
      <c r="H397" s="1814"/>
      <c r="I397" s="1814"/>
      <c r="J397" s="1816"/>
      <c r="K397" s="1807"/>
      <c r="L397" s="25"/>
      <c r="M397" s="97"/>
      <c r="N397" s="1504">
        <v>46539</v>
      </c>
      <c r="O397" s="19"/>
      <c r="P397" s="93"/>
      <c r="Q397" s="93"/>
      <c r="R397" s="93"/>
      <c r="S397" s="93"/>
      <c r="T397" s="93"/>
      <c r="U397" s="93"/>
      <c r="V397" s="93"/>
      <c r="W397" s="93"/>
      <c r="X397" s="93"/>
      <c r="Y397" s="93"/>
      <c r="Z397" s="93"/>
      <c r="AA397" s="93"/>
      <c r="AB397" s="20"/>
      <c r="AC397" s="25"/>
      <c r="AD397" s="97"/>
      <c r="AE397" s="1504">
        <v>46539</v>
      </c>
      <c r="AF397" s="19"/>
      <c r="AG397" s="93"/>
      <c r="AH397" s="93"/>
      <c r="AI397" s="93"/>
      <c r="AJ397" s="93"/>
      <c r="AK397" s="93"/>
      <c r="AL397" s="93"/>
      <c r="AM397" s="93"/>
      <c r="AN397" s="93"/>
      <c r="AO397" s="93"/>
      <c r="AP397" s="93"/>
      <c r="AQ397" s="93"/>
      <c r="AR397" s="93"/>
      <c r="AS397" s="20"/>
      <c r="AT397" s="25"/>
      <c r="AU397" s="97"/>
      <c r="AV397" s="1504">
        <v>46539</v>
      </c>
      <c r="AW397" s="19"/>
      <c r="AX397" s="93"/>
      <c r="AY397" s="93"/>
      <c r="AZ397" s="93"/>
      <c r="BA397" s="93"/>
      <c r="BB397" s="93"/>
      <c r="BC397" s="93"/>
      <c r="BD397" s="93"/>
      <c r="BE397" s="93"/>
      <c r="BF397" s="93"/>
      <c r="BG397" s="93"/>
      <c r="BH397" s="93"/>
      <c r="BI397" s="93"/>
      <c r="BJ397" s="20"/>
      <c r="BK397" s="25"/>
      <c r="BL397" s="97"/>
      <c r="BM397" s="1504">
        <v>46539</v>
      </c>
      <c r="BN397" s="19"/>
      <c r="BO397" s="93"/>
      <c r="BP397" s="93"/>
      <c r="BQ397" s="93"/>
      <c r="BR397" s="93"/>
      <c r="BS397" s="93"/>
      <c r="BT397" s="93"/>
      <c r="BU397" s="20"/>
      <c r="BV397" s="25"/>
      <c r="BW397" s="97"/>
      <c r="BX397" s="1504">
        <v>46539</v>
      </c>
      <c r="BY397" s="19"/>
      <c r="BZ397" s="93"/>
      <c r="CA397" s="93"/>
      <c r="CB397" s="93"/>
      <c r="CC397" s="93"/>
      <c r="CD397" s="25"/>
      <c r="CE397" s="97"/>
      <c r="CF397" s="1504">
        <v>46539</v>
      </c>
      <c r="CG397" s="19"/>
      <c r="CH397" s="93"/>
      <c r="CI397" s="219"/>
      <c r="CJ397" s="20"/>
      <c r="CK397" s="19"/>
      <c r="CL397" s="93"/>
      <c r="CM397" s="93"/>
      <c r="CN397" s="93"/>
      <c r="CO397" s="93"/>
      <c r="CP397" s="20"/>
      <c r="CQ397" s="219"/>
      <c r="CR397" s="93"/>
      <c r="CS397" s="93"/>
      <c r="CT397" s="93"/>
      <c r="CU397" s="93"/>
      <c r="CV397" s="214"/>
      <c r="CW397" s="29"/>
      <c r="CX397" s="41">
        <f t="shared" si="357"/>
        <v>2027</v>
      </c>
      <c r="CY397" s="1504">
        <v>46539</v>
      </c>
      <c r="CZ397" s="19"/>
      <c r="DA397" s="93"/>
      <c r="DB397" s="93"/>
      <c r="DC397" s="93"/>
      <c r="DD397" s="93"/>
      <c r="DE397" s="20"/>
      <c r="DF397" s="29"/>
      <c r="DG397" s="1504">
        <v>46539</v>
      </c>
      <c r="DH397" s="19"/>
      <c r="DI397" s="93"/>
      <c r="DJ397" s="93"/>
      <c r="DK397" s="93"/>
      <c r="DL397" s="93"/>
      <c r="DM397" s="93"/>
      <c r="DN397" s="20"/>
      <c r="DO397" s="295"/>
      <c r="DP397" s="29"/>
      <c r="DQ397" s="1504">
        <v>46539</v>
      </c>
      <c r="DR397" s="19"/>
      <c r="DS397" s="93"/>
      <c r="DT397" s="93"/>
      <c r="DU397" s="93"/>
      <c r="DV397" s="93"/>
      <c r="DW397" s="93"/>
      <c r="DX397" s="20"/>
      <c r="DY397" s="29"/>
      <c r="DZ397" s="1504">
        <v>46539</v>
      </c>
      <c r="EA397" s="19"/>
      <c r="EB397" s="93"/>
      <c r="EC397" s="20"/>
      <c r="ED397" s="29"/>
      <c r="EE397" s="1504">
        <v>46539</v>
      </c>
      <c r="EF397" s="19"/>
      <c r="EG397" s="93"/>
      <c r="EH397" s="93"/>
      <c r="EI397" s="214"/>
      <c r="EJ397" s="93"/>
      <c r="EK397" s="93"/>
      <c r="EL397" s="93"/>
      <c r="EM397" s="93"/>
      <c r="EN397" s="20"/>
      <c r="EO397" s="29"/>
      <c r="EP397" s="1504">
        <v>46539</v>
      </c>
      <c r="EQ397" s="19"/>
      <c r="ER397" s="93"/>
      <c r="ES397" s="93"/>
      <c r="ET397" s="214"/>
      <c r="EU397" s="93"/>
      <c r="EV397" s="93"/>
      <c r="EW397" s="93"/>
      <c r="EX397" s="93"/>
      <c r="EY397" s="20"/>
      <c r="EZ397" s="29"/>
      <c r="FA397" s="1504">
        <v>46539</v>
      </c>
      <c r="FB397" s="29"/>
      <c r="FC397" s="29"/>
      <c r="FD397" s="29"/>
      <c r="FE397" s="29"/>
      <c r="FF397" s="29"/>
      <c r="FG397" s="29"/>
      <c r="FH397" s="29"/>
      <c r="FI397" s="29"/>
      <c r="FJ397" s="29"/>
      <c r="FK397" s="29"/>
      <c r="FL397" s="1504">
        <v>46539</v>
      </c>
      <c r="FM397" s="19"/>
      <c r="FN397" s="93"/>
      <c r="FO397" s="93"/>
      <c r="FP397" s="93"/>
      <c r="FQ397" s="93"/>
      <c r="FR397" s="93"/>
      <c r="FS397" s="93"/>
      <c r="FT397" s="93"/>
      <c r="FU397" s="93"/>
      <c r="FV397" s="93"/>
      <c r="FW397" s="93"/>
      <c r="FX397" s="93"/>
      <c r="FY397" s="93"/>
      <c r="FZ397" s="29"/>
      <c r="GA397" s="1504">
        <v>46539</v>
      </c>
      <c r="GB397" s="19"/>
      <c r="GC397" s="93"/>
      <c r="GD397" s="93"/>
      <c r="GE397" s="93"/>
      <c r="GF397" s="93"/>
      <c r="GG397" s="93"/>
      <c r="GH397" s="93"/>
      <c r="GI397" s="93"/>
      <c r="GJ397" s="93"/>
      <c r="GK397" s="93"/>
      <c r="GL397" s="93"/>
      <c r="GM397" s="93"/>
      <c r="GN397" s="20"/>
      <c r="GO397" s="29"/>
      <c r="GP397" s="1504">
        <v>46539</v>
      </c>
      <c r="GQ397" s="19"/>
      <c r="GR397" s="93"/>
      <c r="GS397" s="93"/>
      <c r="GT397" s="93"/>
      <c r="GU397" s="93"/>
      <c r="GV397" s="20"/>
      <c r="GW397" s="19"/>
      <c r="GX397" s="93"/>
      <c r="GY397" s="93"/>
      <c r="GZ397" s="93"/>
      <c r="HA397" s="93"/>
      <c r="HB397" s="20"/>
      <c r="HC397" s="19"/>
      <c r="HD397" s="93"/>
      <c r="HE397" s="93"/>
      <c r="HF397" s="93"/>
      <c r="HG397" s="93"/>
      <c r="HH397" s="20"/>
      <c r="HI397" s="19"/>
      <c r="HJ397" s="93"/>
      <c r="HK397" s="93"/>
      <c r="HL397" s="93"/>
      <c r="HM397" s="93"/>
      <c r="HN397" s="20"/>
      <c r="HO397" s="219"/>
      <c r="HP397" s="20"/>
      <c r="HQ397" s="25"/>
      <c r="HR397" s="29"/>
      <c r="HS397" s="1504">
        <v>46539</v>
      </c>
      <c r="HT397" s="19"/>
      <c r="HU397" s="93"/>
      <c r="HV397" s="93"/>
      <c r="HW397" s="93"/>
      <c r="HX397" s="93"/>
      <c r="HY397" s="93"/>
      <c r="HZ397" s="93"/>
      <c r="IA397" s="20"/>
      <c r="IB397" s="19"/>
      <c r="IC397" s="93"/>
      <c r="ID397" s="93"/>
      <c r="IE397" s="93"/>
      <c r="IF397" s="93"/>
      <c r="IG397" s="20"/>
      <c r="IH397" s="19"/>
      <c r="II397" s="93"/>
      <c r="IJ397" s="93"/>
      <c r="IK397" s="93"/>
      <c r="IL397" s="93"/>
      <c r="IM397" s="93"/>
      <c r="IN397" s="93"/>
      <c r="IO397" s="20"/>
      <c r="IP397" s="29"/>
      <c r="IQ397" s="19"/>
      <c r="IR397" s="93"/>
      <c r="IS397" s="93"/>
      <c r="IT397" s="93"/>
      <c r="IU397" s="93"/>
      <c r="IV397" s="20"/>
      <c r="IW397" s="29"/>
      <c r="IX397" s="19"/>
      <c r="IY397" s="93"/>
      <c r="IZ397" s="93"/>
      <c r="JA397" s="93"/>
      <c r="JB397" s="93"/>
      <c r="JC397" s="93"/>
      <c r="JD397" s="93"/>
      <c r="JE397" s="20"/>
      <c r="JF397" s="29"/>
      <c r="JG397" s="19"/>
      <c r="JH397" s="93"/>
      <c r="JI397" s="93"/>
      <c r="JJ397" s="93"/>
      <c r="JK397" s="93"/>
      <c r="JL397" s="93"/>
      <c r="JM397" s="93"/>
      <c r="JN397" s="20"/>
      <c r="JO397" s="29"/>
      <c r="JP397" s="19"/>
      <c r="JQ397" s="93"/>
      <c r="JR397" s="93"/>
      <c r="JS397" s="93"/>
      <c r="JT397" s="93"/>
      <c r="JU397" s="20"/>
      <c r="JV397" s="29"/>
      <c r="JW397" s="1504">
        <v>46539</v>
      </c>
      <c r="JX397" s="19"/>
      <c r="JY397" s="93"/>
      <c r="JZ397" s="93"/>
      <c r="KA397" s="93"/>
      <c r="KB397" s="93"/>
      <c r="KC397" s="93"/>
      <c r="KD397" s="20"/>
      <c r="KE397" s="29"/>
      <c r="KF397" s="19"/>
      <c r="KG397" s="93"/>
      <c r="KH397" s="93"/>
      <c r="KI397" s="93"/>
      <c r="KJ397" s="93"/>
      <c r="KK397" s="20"/>
      <c r="KL397" s="29"/>
      <c r="KM397" s="19"/>
      <c r="KN397" s="93"/>
      <c r="KO397" s="93"/>
      <c r="KP397" s="93"/>
      <c r="KQ397" s="93"/>
      <c r="KR397" s="20"/>
      <c r="KS397" s="29"/>
      <c r="KT397" s="19"/>
      <c r="KU397" s="93"/>
      <c r="KV397" s="93"/>
      <c r="KW397" s="93"/>
      <c r="KX397" s="93"/>
      <c r="KY397" s="20"/>
      <c r="KZ397" s="29"/>
      <c r="LA397" s="1504">
        <v>46539</v>
      </c>
      <c r="LB397" s="19"/>
      <c r="LC397" s="93"/>
      <c r="LD397" s="93"/>
      <c r="LE397" s="93"/>
      <c r="LF397" s="93"/>
      <c r="LG397" s="93"/>
      <c r="LH397" s="20"/>
      <c r="LI397" s="29"/>
      <c r="LJ397" s="19"/>
      <c r="LK397" s="93"/>
      <c r="LL397" s="93"/>
      <c r="LM397" s="93"/>
      <c r="LN397" s="93"/>
      <c r="LO397" s="20"/>
      <c r="LP397" s="29"/>
      <c r="LQ397" s="19"/>
      <c r="LR397" s="93"/>
      <c r="LS397" s="93"/>
      <c r="LT397" s="93"/>
      <c r="LU397" s="93"/>
      <c r="LV397" s="93"/>
      <c r="LW397" s="93"/>
      <c r="LX397" s="93"/>
      <c r="LY397" s="93"/>
      <c r="LZ397" s="93"/>
      <c r="MA397" s="20"/>
      <c r="MB397" s="29"/>
      <c r="MC397" s="1504">
        <v>46539</v>
      </c>
      <c r="MD397" s="19"/>
      <c r="ME397" s="93"/>
      <c r="MF397" s="93"/>
      <c r="MG397" s="93"/>
      <c r="MH397" s="93"/>
      <c r="MI397" s="93"/>
      <c r="MJ397" s="93"/>
      <c r="MK397" s="93"/>
      <c r="ML397" s="93"/>
      <c r="MM397" s="93"/>
      <c r="MN397" s="93"/>
      <c r="MO397" s="93"/>
      <c r="MP397" s="93"/>
      <c r="MQ397" s="93"/>
      <c r="MR397" s="93"/>
      <c r="MS397" s="93"/>
      <c r="MT397" s="93"/>
      <c r="MU397" s="93"/>
      <c r="MV397" s="93"/>
      <c r="MW397" s="93"/>
      <c r="MX397" s="93"/>
      <c r="MY397" s="93"/>
      <c r="MZ397" s="93"/>
      <c r="NA397" s="93"/>
      <c r="NB397" s="93"/>
      <c r="NC397" s="93"/>
      <c r="ND397" s="93"/>
      <c r="NE397" s="93"/>
      <c r="NF397" s="93"/>
      <c r="NG397" s="93"/>
      <c r="NH397" s="93"/>
      <c r="NI397" s="93"/>
      <c r="NJ397" s="93"/>
      <c r="NK397" s="93"/>
      <c r="NL397" s="93"/>
      <c r="NM397" s="93"/>
      <c r="NN397" s="93"/>
      <c r="NO397" s="93"/>
      <c r="NP397" s="93"/>
      <c r="NQ397" s="93"/>
      <c r="NR397" s="93"/>
      <c r="NS397" s="93"/>
      <c r="NT397" s="93"/>
      <c r="NU397" s="93"/>
      <c r="NV397" s="93"/>
      <c r="NW397" s="93"/>
      <c r="NX397" s="93"/>
      <c r="NY397" s="93"/>
      <c r="NZ397" s="93"/>
      <c r="OA397" s="93"/>
      <c r="OB397" s="93"/>
      <c r="OC397" s="93"/>
      <c r="OD397" s="20"/>
      <c r="OE397" s="29"/>
      <c r="OF397" s="1504">
        <v>46539</v>
      </c>
      <c r="OG397" s="19"/>
      <c r="OH397" s="93"/>
      <c r="OI397" s="93"/>
      <c r="OJ397" s="93"/>
      <c r="OK397" s="93"/>
      <c r="OL397" s="93"/>
      <c r="OM397" s="93"/>
      <c r="ON397" s="93"/>
      <c r="OO397" s="93"/>
      <c r="OP397" s="93"/>
      <c r="OQ397" s="93"/>
      <c r="OR397" s="93"/>
      <c r="OS397" s="93"/>
      <c r="OT397" s="93"/>
      <c r="OU397" s="93"/>
      <c r="OV397" s="93"/>
      <c r="OW397" s="93"/>
      <c r="OX397" s="93"/>
      <c r="OY397" s="93"/>
      <c r="OZ397" s="93"/>
      <c r="PA397" s="93"/>
      <c r="PB397" s="93"/>
      <c r="PC397" s="20"/>
      <c r="PD397" s="29"/>
      <c r="PE397" s="19"/>
      <c r="PF397" s="93"/>
      <c r="PG397" s="93"/>
      <c r="PH397" s="93"/>
      <c r="PI397" s="93"/>
      <c r="PJ397" s="93"/>
      <c r="PK397" s="93"/>
      <c r="PL397" s="93"/>
      <c r="PM397" s="93"/>
      <c r="PN397" s="93"/>
      <c r="PO397" s="93"/>
      <c r="PP397" s="93"/>
      <c r="PQ397" s="93"/>
      <c r="PR397" s="93"/>
      <c r="PS397" s="93"/>
      <c r="PT397" s="93"/>
      <c r="PU397" s="93"/>
      <c r="PV397" s="93"/>
      <c r="PW397" s="93"/>
      <c r="PX397" s="93"/>
      <c r="PY397" s="93"/>
      <c r="PZ397" s="93"/>
      <c r="QA397" s="93"/>
      <c r="QB397" s="93"/>
      <c r="QC397" s="93"/>
      <c r="QD397" s="93"/>
      <c r="QE397" s="20"/>
      <c r="QF397" s="1739"/>
      <c r="QG397" s="19"/>
      <c r="QH397" s="93"/>
      <c r="QI397" s="93"/>
      <c r="QJ397" s="93"/>
      <c r="QK397" s="93"/>
      <c r="QL397" s="93"/>
      <c r="QM397" s="93"/>
      <c r="QN397" s="93"/>
      <c r="QO397" s="93"/>
      <c r="QP397" s="93"/>
      <c r="QQ397" s="93"/>
      <c r="QR397" s="93"/>
      <c r="QS397" s="93"/>
      <c r="QT397" s="93"/>
      <c r="QU397" s="93"/>
      <c r="QV397" s="93"/>
      <c r="QW397" s="93"/>
      <c r="QX397" s="93"/>
      <c r="QY397" s="93"/>
      <c r="QZ397" s="93"/>
      <c r="RA397" s="93"/>
      <c r="RB397" s="93"/>
      <c r="RC397" s="93"/>
      <c r="RD397" s="93"/>
      <c r="RE397" s="93"/>
      <c r="RF397" s="93"/>
      <c r="RG397" s="93"/>
      <c r="RH397" s="93"/>
      <c r="RI397" s="93"/>
      <c r="RJ397" s="93"/>
      <c r="RK397" s="93"/>
      <c r="RL397" s="93"/>
      <c r="RM397" s="20"/>
      <c r="RN397" s="29"/>
      <c r="RO397" s="19"/>
      <c r="RP397" s="20"/>
      <c r="RQ397" s="29"/>
      <c r="RR397" s="20"/>
      <c r="RS397" s="29"/>
      <c r="RT397" s="1504">
        <v>46539</v>
      </c>
      <c r="RU397" s="19"/>
      <c r="RV397" s="20"/>
      <c r="RW397" s="29"/>
      <c r="RX397" s="1504">
        <v>46539</v>
      </c>
      <c r="RY397" s="29"/>
      <c r="RZ397" s="20"/>
      <c r="SA397" s="29"/>
      <c r="SB397" s="29"/>
    </row>
    <row r="398" spans="1:496">
      <c r="A398" s="41">
        <f t="shared" si="346"/>
        <v>2027</v>
      </c>
      <c r="B398" s="1504">
        <v>46569</v>
      </c>
      <c r="C398" s="1813"/>
      <c r="D398" s="1814"/>
      <c r="E398" s="1814"/>
      <c r="F398" s="1815"/>
      <c r="G398" s="1814"/>
      <c r="H398" s="1814"/>
      <c r="I398" s="1814"/>
      <c r="J398" s="1816"/>
      <c r="K398" s="1807"/>
      <c r="L398" s="25"/>
      <c r="M398" s="97"/>
      <c r="N398" s="1504">
        <v>46569</v>
      </c>
      <c r="O398" s="19"/>
      <c r="P398" s="93"/>
      <c r="Q398" s="93"/>
      <c r="R398" s="93"/>
      <c r="S398" s="93"/>
      <c r="T398" s="93"/>
      <c r="U398" s="93"/>
      <c r="V398" s="93"/>
      <c r="W398" s="93"/>
      <c r="X398" s="93"/>
      <c r="Y398" s="93"/>
      <c r="Z398" s="93"/>
      <c r="AA398" s="93"/>
      <c r="AB398" s="20"/>
      <c r="AC398" s="25"/>
      <c r="AD398" s="97"/>
      <c r="AE398" s="1504">
        <v>46569</v>
      </c>
      <c r="AF398" s="19"/>
      <c r="AG398" s="93"/>
      <c r="AH398" s="93"/>
      <c r="AI398" s="93"/>
      <c r="AJ398" s="93"/>
      <c r="AK398" s="93"/>
      <c r="AL398" s="93"/>
      <c r="AM398" s="93"/>
      <c r="AN398" s="93"/>
      <c r="AO398" s="93"/>
      <c r="AP398" s="93"/>
      <c r="AQ398" s="93"/>
      <c r="AR398" s="93"/>
      <c r="AS398" s="20"/>
      <c r="AT398" s="25"/>
      <c r="AU398" s="97"/>
      <c r="AV398" s="1504">
        <v>46569</v>
      </c>
      <c r="AW398" s="19"/>
      <c r="AX398" s="93"/>
      <c r="AY398" s="93"/>
      <c r="AZ398" s="93"/>
      <c r="BA398" s="93"/>
      <c r="BB398" s="93"/>
      <c r="BC398" s="93"/>
      <c r="BD398" s="93"/>
      <c r="BE398" s="93"/>
      <c r="BF398" s="93"/>
      <c r="BG398" s="93"/>
      <c r="BH398" s="93"/>
      <c r="BI398" s="93"/>
      <c r="BJ398" s="20"/>
      <c r="BK398" s="25"/>
      <c r="BL398" s="97"/>
      <c r="BM398" s="1504">
        <v>46569</v>
      </c>
      <c r="BN398" s="19"/>
      <c r="BO398" s="93"/>
      <c r="BP398" s="93"/>
      <c r="BQ398" s="93"/>
      <c r="BR398" s="93"/>
      <c r="BS398" s="93"/>
      <c r="BT398" s="93"/>
      <c r="BU398" s="20"/>
      <c r="BV398" s="25"/>
      <c r="BW398" s="97"/>
      <c r="BX398" s="1504">
        <v>46569</v>
      </c>
      <c r="BY398" s="19"/>
      <c r="BZ398" s="93"/>
      <c r="CA398" s="93"/>
      <c r="CB398" s="93"/>
      <c r="CC398" s="93"/>
      <c r="CD398" s="25"/>
      <c r="CE398" s="97"/>
      <c r="CF398" s="1504">
        <v>46569</v>
      </c>
      <c r="CG398" s="19"/>
      <c r="CH398" s="93"/>
      <c r="CI398" s="219"/>
      <c r="CJ398" s="20"/>
      <c r="CK398" s="19"/>
      <c r="CL398" s="93"/>
      <c r="CM398" s="93"/>
      <c r="CN398" s="93"/>
      <c r="CO398" s="93"/>
      <c r="CP398" s="20"/>
      <c r="CQ398" s="219"/>
      <c r="CR398" s="93"/>
      <c r="CS398" s="93"/>
      <c r="CT398" s="93"/>
      <c r="CU398" s="93"/>
      <c r="CV398" s="214"/>
      <c r="CW398" s="29"/>
      <c r="CX398" s="41">
        <f t="shared" si="357"/>
        <v>2027</v>
      </c>
      <c r="CY398" s="1504">
        <v>46569</v>
      </c>
      <c r="CZ398" s="19"/>
      <c r="DA398" s="93"/>
      <c r="DB398" s="93"/>
      <c r="DC398" s="93"/>
      <c r="DD398" s="93"/>
      <c r="DE398" s="20"/>
      <c r="DF398" s="29"/>
      <c r="DG398" s="1504">
        <v>46569</v>
      </c>
      <c r="DH398" s="19"/>
      <c r="DI398" s="93"/>
      <c r="DJ398" s="93"/>
      <c r="DK398" s="93"/>
      <c r="DL398" s="93"/>
      <c r="DM398" s="93"/>
      <c r="DN398" s="20"/>
      <c r="DO398" s="295"/>
      <c r="DP398" s="29"/>
      <c r="DQ398" s="1504">
        <v>46569</v>
      </c>
      <c r="DR398" s="19"/>
      <c r="DS398" s="93"/>
      <c r="DT398" s="93"/>
      <c r="DU398" s="93"/>
      <c r="DV398" s="93"/>
      <c r="DW398" s="93"/>
      <c r="DX398" s="20"/>
      <c r="DY398" s="29"/>
      <c r="DZ398" s="1504">
        <v>46569</v>
      </c>
      <c r="EA398" s="19"/>
      <c r="EB398" s="93"/>
      <c r="EC398" s="20"/>
      <c r="ED398" s="29"/>
      <c r="EE398" s="1504">
        <v>46569</v>
      </c>
      <c r="EF398" s="19"/>
      <c r="EG398" s="93"/>
      <c r="EH398" s="93"/>
      <c r="EI398" s="214"/>
      <c r="EJ398" s="93"/>
      <c r="EK398" s="93"/>
      <c r="EL398" s="93"/>
      <c r="EM398" s="93"/>
      <c r="EN398" s="20"/>
      <c r="EO398" s="29"/>
      <c r="EP398" s="1504">
        <v>46569</v>
      </c>
      <c r="EQ398" s="19"/>
      <c r="ER398" s="93"/>
      <c r="ES398" s="93"/>
      <c r="ET398" s="214"/>
      <c r="EU398" s="93"/>
      <c r="EV398" s="93"/>
      <c r="EW398" s="93"/>
      <c r="EX398" s="93"/>
      <c r="EY398" s="20"/>
      <c r="EZ398" s="29"/>
      <c r="FA398" s="1504">
        <v>46569</v>
      </c>
      <c r="FB398" s="29"/>
      <c r="FC398" s="29"/>
      <c r="FD398" s="29"/>
      <c r="FE398" s="29"/>
      <c r="FF398" s="29"/>
      <c r="FG398" s="29"/>
      <c r="FH398" s="29"/>
      <c r="FI398" s="29"/>
      <c r="FJ398" s="29"/>
      <c r="FK398" s="29"/>
      <c r="FL398" s="1504">
        <v>46569</v>
      </c>
      <c r="FM398" s="19"/>
      <c r="FN398" s="93"/>
      <c r="FO398" s="93"/>
      <c r="FP398" s="93"/>
      <c r="FQ398" s="93"/>
      <c r="FR398" s="93"/>
      <c r="FS398" s="93"/>
      <c r="FT398" s="93"/>
      <c r="FU398" s="93"/>
      <c r="FV398" s="93"/>
      <c r="FW398" s="93"/>
      <c r="FX398" s="93"/>
      <c r="FY398" s="93"/>
      <c r="FZ398" s="29"/>
      <c r="GA398" s="1504">
        <v>46569</v>
      </c>
      <c r="GB398" s="19"/>
      <c r="GC398" s="93"/>
      <c r="GD398" s="93"/>
      <c r="GE398" s="93"/>
      <c r="GF398" s="93"/>
      <c r="GG398" s="93"/>
      <c r="GH398" s="93"/>
      <c r="GI398" s="93"/>
      <c r="GJ398" s="93"/>
      <c r="GK398" s="93"/>
      <c r="GL398" s="93"/>
      <c r="GM398" s="93"/>
      <c r="GN398" s="20"/>
      <c r="GO398" s="29"/>
      <c r="GP398" s="1504">
        <v>46569</v>
      </c>
      <c r="GQ398" s="19"/>
      <c r="GR398" s="93"/>
      <c r="GS398" s="93"/>
      <c r="GT398" s="93"/>
      <c r="GU398" s="93"/>
      <c r="GV398" s="20"/>
      <c r="GW398" s="19"/>
      <c r="GX398" s="93"/>
      <c r="GY398" s="93"/>
      <c r="GZ398" s="93"/>
      <c r="HA398" s="93"/>
      <c r="HB398" s="20"/>
      <c r="HC398" s="19"/>
      <c r="HD398" s="93"/>
      <c r="HE398" s="93"/>
      <c r="HF398" s="93"/>
      <c r="HG398" s="93"/>
      <c r="HH398" s="20"/>
      <c r="HI398" s="19"/>
      <c r="HJ398" s="93"/>
      <c r="HK398" s="93"/>
      <c r="HL398" s="93"/>
      <c r="HM398" s="93"/>
      <c r="HN398" s="20"/>
      <c r="HO398" s="219"/>
      <c r="HP398" s="20"/>
      <c r="HQ398" s="25"/>
      <c r="HR398" s="29"/>
      <c r="HS398" s="1504">
        <v>46569</v>
      </c>
      <c r="HT398" s="19"/>
      <c r="HU398" s="93"/>
      <c r="HV398" s="93"/>
      <c r="HW398" s="93"/>
      <c r="HX398" s="93"/>
      <c r="HY398" s="93"/>
      <c r="HZ398" s="93"/>
      <c r="IA398" s="20"/>
      <c r="IB398" s="19"/>
      <c r="IC398" s="93"/>
      <c r="ID398" s="93"/>
      <c r="IE398" s="93"/>
      <c r="IF398" s="93"/>
      <c r="IG398" s="20"/>
      <c r="IH398" s="19"/>
      <c r="II398" s="93"/>
      <c r="IJ398" s="93"/>
      <c r="IK398" s="93"/>
      <c r="IL398" s="93"/>
      <c r="IM398" s="93"/>
      <c r="IN398" s="93"/>
      <c r="IO398" s="20"/>
      <c r="IP398" s="29"/>
      <c r="IQ398" s="19"/>
      <c r="IR398" s="93"/>
      <c r="IS398" s="93"/>
      <c r="IT398" s="93"/>
      <c r="IU398" s="93"/>
      <c r="IV398" s="20"/>
      <c r="IW398" s="29"/>
      <c r="IX398" s="19"/>
      <c r="IY398" s="93"/>
      <c r="IZ398" s="93"/>
      <c r="JA398" s="93"/>
      <c r="JB398" s="93"/>
      <c r="JC398" s="93"/>
      <c r="JD398" s="93"/>
      <c r="JE398" s="20"/>
      <c r="JF398" s="29"/>
      <c r="JG398" s="19"/>
      <c r="JH398" s="93"/>
      <c r="JI398" s="93"/>
      <c r="JJ398" s="93"/>
      <c r="JK398" s="93"/>
      <c r="JL398" s="93"/>
      <c r="JM398" s="93"/>
      <c r="JN398" s="20"/>
      <c r="JO398" s="29"/>
      <c r="JP398" s="19"/>
      <c r="JQ398" s="93"/>
      <c r="JR398" s="93"/>
      <c r="JS398" s="93"/>
      <c r="JT398" s="93"/>
      <c r="JU398" s="20"/>
      <c r="JV398" s="29"/>
      <c r="JW398" s="1504">
        <v>46569</v>
      </c>
      <c r="JX398" s="19"/>
      <c r="JY398" s="93"/>
      <c r="JZ398" s="93"/>
      <c r="KA398" s="93"/>
      <c r="KB398" s="93"/>
      <c r="KC398" s="93"/>
      <c r="KD398" s="20"/>
      <c r="KE398" s="29"/>
      <c r="KF398" s="19"/>
      <c r="KG398" s="93"/>
      <c r="KH398" s="93"/>
      <c r="KI398" s="93"/>
      <c r="KJ398" s="93"/>
      <c r="KK398" s="20"/>
      <c r="KL398" s="29"/>
      <c r="KM398" s="19"/>
      <c r="KN398" s="93"/>
      <c r="KO398" s="93"/>
      <c r="KP398" s="93"/>
      <c r="KQ398" s="93"/>
      <c r="KR398" s="20"/>
      <c r="KS398" s="29"/>
      <c r="KT398" s="19"/>
      <c r="KU398" s="93"/>
      <c r="KV398" s="93"/>
      <c r="KW398" s="93"/>
      <c r="KX398" s="93"/>
      <c r="KY398" s="20"/>
      <c r="KZ398" s="29"/>
      <c r="LA398" s="1504">
        <v>46569</v>
      </c>
      <c r="LB398" s="19"/>
      <c r="LC398" s="93"/>
      <c r="LD398" s="93"/>
      <c r="LE398" s="93"/>
      <c r="LF398" s="93"/>
      <c r="LG398" s="93"/>
      <c r="LH398" s="20"/>
      <c r="LI398" s="29"/>
      <c r="LJ398" s="19"/>
      <c r="LK398" s="93"/>
      <c r="LL398" s="93"/>
      <c r="LM398" s="93"/>
      <c r="LN398" s="93"/>
      <c r="LO398" s="20"/>
      <c r="LP398" s="29"/>
      <c r="LQ398" s="19"/>
      <c r="LR398" s="93"/>
      <c r="LS398" s="93"/>
      <c r="LT398" s="93"/>
      <c r="LU398" s="93"/>
      <c r="LV398" s="93"/>
      <c r="LW398" s="93"/>
      <c r="LX398" s="93"/>
      <c r="LY398" s="93"/>
      <c r="LZ398" s="93"/>
      <c r="MA398" s="20"/>
      <c r="MB398" s="29"/>
      <c r="MC398" s="1504">
        <v>46569</v>
      </c>
      <c r="MD398" s="19"/>
      <c r="ME398" s="93"/>
      <c r="MF398" s="93"/>
      <c r="MG398" s="93"/>
      <c r="MH398" s="93"/>
      <c r="MI398" s="93"/>
      <c r="MJ398" s="93"/>
      <c r="MK398" s="93"/>
      <c r="ML398" s="93"/>
      <c r="MM398" s="93"/>
      <c r="MN398" s="93"/>
      <c r="MO398" s="93"/>
      <c r="MP398" s="93"/>
      <c r="MQ398" s="93"/>
      <c r="MR398" s="93"/>
      <c r="MS398" s="93"/>
      <c r="MT398" s="93"/>
      <c r="MU398" s="93"/>
      <c r="MV398" s="93"/>
      <c r="MW398" s="93"/>
      <c r="MX398" s="93"/>
      <c r="MY398" s="93"/>
      <c r="MZ398" s="93"/>
      <c r="NA398" s="93"/>
      <c r="NB398" s="93"/>
      <c r="NC398" s="93"/>
      <c r="ND398" s="93"/>
      <c r="NE398" s="93"/>
      <c r="NF398" s="93"/>
      <c r="NG398" s="93"/>
      <c r="NH398" s="93"/>
      <c r="NI398" s="93"/>
      <c r="NJ398" s="93"/>
      <c r="NK398" s="93"/>
      <c r="NL398" s="93"/>
      <c r="NM398" s="93"/>
      <c r="NN398" s="93"/>
      <c r="NO398" s="93"/>
      <c r="NP398" s="93"/>
      <c r="NQ398" s="93"/>
      <c r="NR398" s="93"/>
      <c r="NS398" s="93"/>
      <c r="NT398" s="93"/>
      <c r="NU398" s="93"/>
      <c r="NV398" s="93"/>
      <c r="NW398" s="93"/>
      <c r="NX398" s="93"/>
      <c r="NY398" s="93"/>
      <c r="NZ398" s="93"/>
      <c r="OA398" s="93"/>
      <c r="OB398" s="93"/>
      <c r="OC398" s="93"/>
      <c r="OD398" s="20"/>
      <c r="OE398" s="29"/>
      <c r="OF398" s="1504">
        <v>46569</v>
      </c>
      <c r="OG398" s="19"/>
      <c r="OH398" s="93"/>
      <c r="OI398" s="93"/>
      <c r="OJ398" s="93"/>
      <c r="OK398" s="93"/>
      <c r="OL398" s="93"/>
      <c r="OM398" s="93"/>
      <c r="ON398" s="93"/>
      <c r="OO398" s="93"/>
      <c r="OP398" s="93"/>
      <c r="OQ398" s="93"/>
      <c r="OR398" s="93"/>
      <c r="OS398" s="93"/>
      <c r="OT398" s="93"/>
      <c r="OU398" s="93"/>
      <c r="OV398" s="93"/>
      <c r="OW398" s="93"/>
      <c r="OX398" s="93"/>
      <c r="OY398" s="93"/>
      <c r="OZ398" s="93"/>
      <c r="PA398" s="93"/>
      <c r="PB398" s="93"/>
      <c r="PC398" s="20"/>
      <c r="PD398" s="29"/>
      <c r="PE398" s="19"/>
      <c r="PF398" s="93"/>
      <c r="PG398" s="93"/>
      <c r="PH398" s="93"/>
      <c r="PI398" s="93"/>
      <c r="PJ398" s="93"/>
      <c r="PK398" s="93"/>
      <c r="PL398" s="93"/>
      <c r="PM398" s="93"/>
      <c r="PN398" s="93"/>
      <c r="PO398" s="93"/>
      <c r="PP398" s="93"/>
      <c r="PQ398" s="93"/>
      <c r="PR398" s="93"/>
      <c r="PS398" s="93"/>
      <c r="PT398" s="93"/>
      <c r="PU398" s="93"/>
      <c r="PV398" s="93"/>
      <c r="PW398" s="93"/>
      <c r="PX398" s="93"/>
      <c r="PY398" s="93"/>
      <c r="PZ398" s="93"/>
      <c r="QA398" s="93"/>
      <c r="QB398" s="93"/>
      <c r="QC398" s="93"/>
      <c r="QD398" s="93"/>
      <c r="QE398" s="20"/>
      <c r="QF398" s="1739"/>
      <c r="QG398" s="19"/>
      <c r="QH398" s="93"/>
      <c r="QI398" s="93"/>
      <c r="QJ398" s="93"/>
      <c r="QK398" s="93"/>
      <c r="QL398" s="93"/>
      <c r="QM398" s="93"/>
      <c r="QN398" s="93"/>
      <c r="QO398" s="93"/>
      <c r="QP398" s="93"/>
      <c r="QQ398" s="93"/>
      <c r="QR398" s="93"/>
      <c r="QS398" s="93"/>
      <c r="QT398" s="93"/>
      <c r="QU398" s="93"/>
      <c r="QV398" s="93"/>
      <c r="QW398" s="93"/>
      <c r="QX398" s="93"/>
      <c r="QY398" s="93"/>
      <c r="QZ398" s="93"/>
      <c r="RA398" s="93"/>
      <c r="RB398" s="93"/>
      <c r="RC398" s="93"/>
      <c r="RD398" s="93"/>
      <c r="RE398" s="93"/>
      <c r="RF398" s="93"/>
      <c r="RG398" s="93"/>
      <c r="RH398" s="93"/>
      <c r="RI398" s="93"/>
      <c r="RJ398" s="93"/>
      <c r="RK398" s="93"/>
      <c r="RL398" s="93"/>
      <c r="RM398" s="20"/>
      <c r="RN398" s="29"/>
      <c r="RO398" s="19"/>
      <c r="RP398" s="20"/>
      <c r="RQ398" s="29"/>
      <c r="RR398" s="20"/>
      <c r="RS398" s="29"/>
      <c r="RT398" s="1504">
        <v>46569</v>
      </c>
      <c r="RU398" s="19"/>
      <c r="RV398" s="20"/>
      <c r="RW398" s="29"/>
      <c r="RX398" s="1504">
        <v>46569</v>
      </c>
      <c r="RY398" s="29"/>
      <c r="RZ398" s="20"/>
      <c r="SA398" s="29"/>
      <c r="SB398" s="29"/>
    </row>
    <row r="399" spans="1:496">
      <c r="A399" s="41">
        <f t="shared" si="346"/>
        <v>2027</v>
      </c>
      <c r="B399" s="1504">
        <v>46600</v>
      </c>
      <c r="C399" s="1813"/>
      <c r="D399" s="1814"/>
      <c r="E399" s="1814"/>
      <c r="F399" s="1815"/>
      <c r="G399" s="1814"/>
      <c r="H399" s="1814"/>
      <c r="I399" s="1814"/>
      <c r="J399" s="1816"/>
      <c r="K399" s="1807"/>
      <c r="L399" s="25"/>
      <c r="M399" s="97"/>
      <c r="N399" s="1504">
        <v>46600</v>
      </c>
      <c r="O399" s="19"/>
      <c r="P399" s="93"/>
      <c r="Q399" s="93"/>
      <c r="R399" s="93"/>
      <c r="S399" s="93"/>
      <c r="T399" s="93"/>
      <c r="U399" s="93"/>
      <c r="V399" s="93"/>
      <c r="W399" s="93"/>
      <c r="X399" s="93"/>
      <c r="Y399" s="93"/>
      <c r="Z399" s="93"/>
      <c r="AA399" s="93"/>
      <c r="AB399" s="20"/>
      <c r="AC399" s="25"/>
      <c r="AD399" s="97"/>
      <c r="AE399" s="1504">
        <v>46600</v>
      </c>
      <c r="AF399" s="19"/>
      <c r="AG399" s="93"/>
      <c r="AH399" s="93"/>
      <c r="AI399" s="93"/>
      <c r="AJ399" s="93"/>
      <c r="AK399" s="93"/>
      <c r="AL399" s="93"/>
      <c r="AM399" s="93"/>
      <c r="AN399" s="93"/>
      <c r="AO399" s="93"/>
      <c r="AP399" s="93"/>
      <c r="AQ399" s="93"/>
      <c r="AR399" s="93"/>
      <c r="AS399" s="20"/>
      <c r="AT399" s="25"/>
      <c r="AU399" s="97"/>
      <c r="AV399" s="1504">
        <v>46600</v>
      </c>
      <c r="AW399" s="19"/>
      <c r="AX399" s="93"/>
      <c r="AY399" s="93"/>
      <c r="AZ399" s="93"/>
      <c r="BA399" s="93"/>
      <c r="BB399" s="93"/>
      <c r="BC399" s="93"/>
      <c r="BD399" s="93"/>
      <c r="BE399" s="93"/>
      <c r="BF399" s="93"/>
      <c r="BG399" s="93"/>
      <c r="BH399" s="93"/>
      <c r="BI399" s="93"/>
      <c r="BJ399" s="20"/>
      <c r="BK399" s="25"/>
      <c r="BL399" s="97"/>
      <c r="BM399" s="1504">
        <v>46600</v>
      </c>
      <c r="BN399" s="19"/>
      <c r="BO399" s="93"/>
      <c r="BP399" s="93"/>
      <c r="BQ399" s="93"/>
      <c r="BR399" s="93"/>
      <c r="BS399" s="93"/>
      <c r="BT399" s="93"/>
      <c r="BU399" s="20"/>
      <c r="BV399" s="25"/>
      <c r="BW399" s="97"/>
      <c r="BX399" s="1504">
        <v>46600</v>
      </c>
      <c r="BY399" s="19"/>
      <c r="BZ399" s="93"/>
      <c r="CA399" s="93"/>
      <c r="CB399" s="93"/>
      <c r="CC399" s="93"/>
      <c r="CD399" s="25"/>
      <c r="CE399" s="97"/>
      <c r="CF399" s="1504">
        <v>46600</v>
      </c>
      <c r="CG399" s="19"/>
      <c r="CH399" s="93"/>
      <c r="CI399" s="219"/>
      <c r="CJ399" s="20"/>
      <c r="CK399" s="19"/>
      <c r="CL399" s="93"/>
      <c r="CM399" s="93"/>
      <c r="CN399" s="93"/>
      <c r="CO399" s="93"/>
      <c r="CP399" s="20"/>
      <c r="CQ399" s="219"/>
      <c r="CR399" s="93"/>
      <c r="CS399" s="93"/>
      <c r="CT399" s="93"/>
      <c r="CU399" s="93"/>
      <c r="CV399" s="214"/>
      <c r="CW399" s="29"/>
      <c r="CX399" s="41">
        <f t="shared" si="357"/>
        <v>2027</v>
      </c>
      <c r="CY399" s="1504">
        <v>46600</v>
      </c>
      <c r="CZ399" s="19"/>
      <c r="DA399" s="93"/>
      <c r="DB399" s="93"/>
      <c r="DC399" s="93"/>
      <c r="DD399" s="93"/>
      <c r="DE399" s="20"/>
      <c r="DF399" s="29"/>
      <c r="DG399" s="1504">
        <v>46600</v>
      </c>
      <c r="DH399" s="19"/>
      <c r="DI399" s="93"/>
      <c r="DJ399" s="93"/>
      <c r="DK399" s="93"/>
      <c r="DL399" s="93"/>
      <c r="DM399" s="93"/>
      <c r="DN399" s="20"/>
      <c r="DO399" s="295"/>
      <c r="DP399" s="29"/>
      <c r="DQ399" s="1504">
        <v>46600</v>
      </c>
      <c r="DR399" s="19"/>
      <c r="DS399" s="93"/>
      <c r="DT399" s="93"/>
      <c r="DU399" s="93"/>
      <c r="DV399" s="93"/>
      <c r="DW399" s="93"/>
      <c r="DX399" s="20"/>
      <c r="DY399" s="29"/>
      <c r="DZ399" s="1504">
        <v>46600</v>
      </c>
      <c r="EA399" s="19"/>
      <c r="EB399" s="93"/>
      <c r="EC399" s="20"/>
      <c r="ED399" s="29"/>
      <c r="EE399" s="1504">
        <v>46600</v>
      </c>
      <c r="EF399" s="19"/>
      <c r="EG399" s="93"/>
      <c r="EH399" s="93"/>
      <c r="EI399" s="214"/>
      <c r="EJ399" s="93"/>
      <c r="EK399" s="93"/>
      <c r="EL399" s="93"/>
      <c r="EM399" s="93"/>
      <c r="EN399" s="20"/>
      <c r="EO399" s="29"/>
      <c r="EP399" s="1504">
        <v>46600</v>
      </c>
      <c r="EQ399" s="19"/>
      <c r="ER399" s="93"/>
      <c r="ES399" s="93"/>
      <c r="ET399" s="214"/>
      <c r="EU399" s="93"/>
      <c r="EV399" s="93"/>
      <c r="EW399" s="93"/>
      <c r="EX399" s="93"/>
      <c r="EY399" s="20"/>
      <c r="EZ399" s="29"/>
      <c r="FA399" s="1504">
        <v>46600</v>
      </c>
      <c r="FB399" s="29"/>
      <c r="FC399" s="29"/>
      <c r="FD399" s="29"/>
      <c r="FE399" s="29"/>
      <c r="FF399" s="29"/>
      <c r="FG399" s="29"/>
      <c r="FH399" s="29"/>
      <c r="FI399" s="29"/>
      <c r="FJ399" s="29"/>
      <c r="FK399" s="29"/>
      <c r="FL399" s="1504">
        <v>46600</v>
      </c>
      <c r="FM399" s="19"/>
      <c r="FN399" s="93"/>
      <c r="FO399" s="93"/>
      <c r="FP399" s="93"/>
      <c r="FQ399" s="93"/>
      <c r="FR399" s="93"/>
      <c r="FS399" s="93"/>
      <c r="FT399" s="93"/>
      <c r="FU399" s="93"/>
      <c r="FV399" s="93"/>
      <c r="FW399" s="93"/>
      <c r="FX399" s="93"/>
      <c r="FY399" s="93"/>
      <c r="FZ399" s="29"/>
      <c r="GA399" s="1504">
        <v>46600</v>
      </c>
      <c r="GB399" s="19"/>
      <c r="GC399" s="93"/>
      <c r="GD399" s="93"/>
      <c r="GE399" s="93"/>
      <c r="GF399" s="93"/>
      <c r="GG399" s="93"/>
      <c r="GH399" s="93"/>
      <c r="GI399" s="93"/>
      <c r="GJ399" s="93"/>
      <c r="GK399" s="93"/>
      <c r="GL399" s="93"/>
      <c r="GM399" s="93"/>
      <c r="GN399" s="20"/>
      <c r="GO399" s="29"/>
      <c r="GP399" s="1504">
        <v>46600</v>
      </c>
      <c r="GQ399" s="19"/>
      <c r="GR399" s="93"/>
      <c r="GS399" s="93"/>
      <c r="GT399" s="93"/>
      <c r="GU399" s="93"/>
      <c r="GV399" s="20"/>
      <c r="GW399" s="19"/>
      <c r="GX399" s="93"/>
      <c r="GY399" s="93"/>
      <c r="GZ399" s="93"/>
      <c r="HA399" s="93"/>
      <c r="HB399" s="20"/>
      <c r="HC399" s="19"/>
      <c r="HD399" s="93"/>
      <c r="HE399" s="93"/>
      <c r="HF399" s="93"/>
      <c r="HG399" s="93"/>
      <c r="HH399" s="20"/>
      <c r="HI399" s="19"/>
      <c r="HJ399" s="93"/>
      <c r="HK399" s="93"/>
      <c r="HL399" s="93"/>
      <c r="HM399" s="93"/>
      <c r="HN399" s="20"/>
      <c r="HO399" s="219"/>
      <c r="HP399" s="20"/>
      <c r="HQ399" s="25"/>
      <c r="HR399" s="29"/>
      <c r="HS399" s="1504">
        <v>46600</v>
      </c>
      <c r="HT399" s="19"/>
      <c r="HU399" s="93"/>
      <c r="HV399" s="93"/>
      <c r="HW399" s="93"/>
      <c r="HX399" s="93"/>
      <c r="HY399" s="93"/>
      <c r="HZ399" s="93"/>
      <c r="IA399" s="20"/>
      <c r="IB399" s="19"/>
      <c r="IC399" s="93"/>
      <c r="ID399" s="93"/>
      <c r="IE399" s="93"/>
      <c r="IF399" s="93"/>
      <c r="IG399" s="20"/>
      <c r="IH399" s="19"/>
      <c r="II399" s="93"/>
      <c r="IJ399" s="93"/>
      <c r="IK399" s="93"/>
      <c r="IL399" s="93"/>
      <c r="IM399" s="93"/>
      <c r="IN399" s="93"/>
      <c r="IO399" s="20"/>
      <c r="IP399" s="29"/>
      <c r="IQ399" s="19"/>
      <c r="IR399" s="93"/>
      <c r="IS399" s="93"/>
      <c r="IT399" s="93"/>
      <c r="IU399" s="93"/>
      <c r="IV399" s="20"/>
      <c r="IW399" s="29"/>
      <c r="IX399" s="19"/>
      <c r="IY399" s="93"/>
      <c r="IZ399" s="93"/>
      <c r="JA399" s="93"/>
      <c r="JB399" s="93"/>
      <c r="JC399" s="93"/>
      <c r="JD399" s="93"/>
      <c r="JE399" s="20"/>
      <c r="JF399" s="29"/>
      <c r="JG399" s="19"/>
      <c r="JH399" s="93"/>
      <c r="JI399" s="93"/>
      <c r="JJ399" s="93"/>
      <c r="JK399" s="93"/>
      <c r="JL399" s="93"/>
      <c r="JM399" s="93"/>
      <c r="JN399" s="20"/>
      <c r="JO399" s="29"/>
      <c r="JP399" s="19"/>
      <c r="JQ399" s="93"/>
      <c r="JR399" s="93"/>
      <c r="JS399" s="93"/>
      <c r="JT399" s="93"/>
      <c r="JU399" s="20"/>
      <c r="JV399" s="29"/>
      <c r="JW399" s="1504">
        <v>46600</v>
      </c>
      <c r="JX399" s="19"/>
      <c r="JY399" s="93"/>
      <c r="JZ399" s="93"/>
      <c r="KA399" s="93"/>
      <c r="KB399" s="93"/>
      <c r="KC399" s="93"/>
      <c r="KD399" s="20"/>
      <c r="KE399" s="29"/>
      <c r="KF399" s="19"/>
      <c r="KG399" s="93"/>
      <c r="KH399" s="93"/>
      <c r="KI399" s="93"/>
      <c r="KJ399" s="93"/>
      <c r="KK399" s="20"/>
      <c r="KL399" s="29"/>
      <c r="KM399" s="19"/>
      <c r="KN399" s="93"/>
      <c r="KO399" s="93"/>
      <c r="KP399" s="93"/>
      <c r="KQ399" s="93"/>
      <c r="KR399" s="20"/>
      <c r="KS399" s="29"/>
      <c r="KT399" s="19"/>
      <c r="KU399" s="93"/>
      <c r="KV399" s="93"/>
      <c r="KW399" s="93"/>
      <c r="KX399" s="93"/>
      <c r="KY399" s="20"/>
      <c r="KZ399" s="29"/>
      <c r="LA399" s="1504">
        <v>46600</v>
      </c>
      <c r="LB399" s="19"/>
      <c r="LC399" s="93"/>
      <c r="LD399" s="93"/>
      <c r="LE399" s="93"/>
      <c r="LF399" s="93"/>
      <c r="LG399" s="93"/>
      <c r="LH399" s="20"/>
      <c r="LI399" s="29"/>
      <c r="LJ399" s="19"/>
      <c r="LK399" s="93"/>
      <c r="LL399" s="93"/>
      <c r="LM399" s="93"/>
      <c r="LN399" s="93"/>
      <c r="LO399" s="20"/>
      <c r="LP399" s="29"/>
      <c r="LQ399" s="19"/>
      <c r="LR399" s="93"/>
      <c r="LS399" s="93"/>
      <c r="LT399" s="93"/>
      <c r="LU399" s="93"/>
      <c r="LV399" s="93"/>
      <c r="LW399" s="93"/>
      <c r="LX399" s="93"/>
      <c r="LY399" s="93"/>
      <c r="LZ399" s="93"/>
      <c r="MA399" s="20"/>
      <c r="MB399" s="29"/>
      <c r="MC399" s="1504">
        <v>46600</v>
      </c>
      <c r="MD399" s="19"/>
      <c r="ME399" s="93"/>
      <c r="MF399" s="93"/>
      <c r="MG399" s="93"/>
      <c r="MH399" s="93"/>
      <c r="MI399" s="93"/>
      <c r="MJ399" s="93"/>
      <c r="MK399" s="93"/>
      <c r="ML399" s="93"/>
      <c r="MM399" s="93"/>
      <c r="MN399" s="93"/>
      <c r="MO399" s="93"/>
      <c r="MP399" s="93"/>
      <c r="MQ399" s="93"/>
      <c r="MR399" s="93"/>
      <c r="MS399" s="93"/>
      <c r="MT399" s="93"/>
      <c r="MU399" s="93"/>
      <c r="MV399" s="93"/>
      <c r="MW399" s="93"/>
      <c r="MX399" s="93"/>
      <c r="MY399" s="93"/>
      <c r="MZ399" s="93"/>
      <c r="NA399" s="93"/>
      <c r="NB399" s="93"/>
      <c r="NC399" s="93"/>
      <c r="ND399" s="93"/>
      <c r="NE399" s="93"/>
      <c r="NF399" s="93"/>
      <c r="NG399" s="93"/>
      <c r="NH399" s="93"/>
      <c r="NI399" s="93"/>
      <c r="NJ399" s="93"/>
      <c r="NK399" s="93"/>
      <c r="NL399" s="93"/>
      <c r="NM399" s="93"/>
      <c r="NN399" s="93"/>
      <c r="NO399" s="93"/>
      <c r="NP399" s="93"/>
      <c r="NQ399" s="93"/>
      <c r="NR399" s="93"/>
      <c r="NS399" s="93"/>
      <c r="NT399" s="93"/>
      <c r="NU399" s="93"/>
      <c r="NV399" s="93"/>
      <c r="NW399" s="93"/>
      <c r="NX399" s="93"/>
      <c r="NY399" s="93"/>
      <c r="NZ399" s="93"/>
      <c r="OA399" s="93"/>
      <c r="OB399" s="93"/>
      <c r="OC399" s="93"/>
      <c r="OD399" s="20"/>
      <c r="OE399" s="29"/>
      <c r="OF399" s="1504">
        <v>46600</v>
      </c>
      <c r="OG399" s="19"/>
      <c r="OH399" s="93"/>
      <c r="OI399" s="93"/>
      <c r="OJ399" s="93"/>
      <c r="OK399" s="93"/>
      <c r="OL399" s="93"/>
      <c r="OM399" s="93"/>
      <c r="ON399" s="93"/>
      <c r="OO399" s="93"/>
      <c r="OP399" s="93"/>
      <c r="OQ399" s="93"/>
      <c r="OR399" s="93"/>
      <c r="OS399" s="93"/>
      <c r="OT399" s="93"/>
      <c r="OU399" s="93"/>
      <c r="OV399" s="93"/>
      <c r="OW399" s="93"/>
      <c r="OX399" s="93"/>
      <c r="OY399" s="93"/>
      <c r="OZ399" s="93"/>
      <c r="PA399" s="93"/>
      <c r="PB399" s="93"/>
      <c r="PC399" s="20"/>
      <c r="PD399" s="29"/>
      <c r="PE399" s="19"/>
      <c r="PF399" s="93"/>
      <c r="PG399" s="93"/>
      <c r="PH399" s="93"/>
      <c r="PI399" s="93"/>
      <c r="PJ399" s="93"/>
      <c r="PK399" s="93"/>
      <c r="PL399" s="93"/>
      <c r="PM399" s="93"/>
      <c r="PN399" s="93"/>
      <c r="PO399" s="93"/>
      <c r="PP399" s="93"/>
      <c r="PQ399" s="93"/>
      <c r="PR399" s="93"/>
      <c r="PS399" s="93"/>
      <c r="PT399" s="93"/>
      <c r="PU399" s="93"/>
      <c r="PV399" s="93"/>
      <c r="PW399" s="93"/>
      <c r="PX399" s="93"/>
      <c r="PY399" s="93"/>
      <c r="PZ399" s="93"/>
      <c r="QA399" s="93"/>
      <c r="QB399" s="93"/>
      <c r="QC399" s="93"/>
      <c r="QD399" s="93"/>
      <c r="QE399" s="20"/>
      <c r="QF399" s="1739"/>
      <c r="QG399" s="19"/>
      <c r="QH399" s="93"/>
      <c r="QI399" s="93"/>
      <c r="QJ399" s="93"/>
      <c r="QK399" s="93"/>
      <c r="QL399" s="93"/>
      <c r="QM399" s="93"/>
      <c r="QN399" s="93"/>
      <c r="QO399" s="93"/>
      <c r="QP399" s="93"/>
      <c r="QQ399" s="93"/>
      <c r="QR399" s="93"/>
      <c r="QS399" s="93"/>
      <c r="QT399" s="93"/>
      <c r="QU399" s="93"/>
      <c r="QV399" s="93"/>
      <c r="QW399" s="93"/>
      <c r="QX399" s="93"/>
      <c r="QY399" s="93"/>
      <c r="QZ399" s="93"/>
      <c r="RA399" s="93"/>
      <c r="RB399" s="93"/>
      <c r="RC399" s="93"/>
      <c r="RD399" s="93"/>
      <c r="RE399" s="93"/>
      <c r="RF399" s="93"/>
      <c r="RG399" s="93"/>
      <c r="RH399" s="93"/>
      <c r="RI399" s="93"/>
      <c r="RJ399" s="93"/>
      <c r="RK399" s="93"/>
      <c r="RL399" s="93"/>
      <c r="RM399" s="20"/>
      <c r="RN399" s="29"/>
      <c r="RO399" s="19"/>
      <c r="RP399" s="20"/>
      <c r="RQ399" s="29"/>
      <c r="RR399" s="20"/>
      <c r="RS399" s="29"/>
      <c r="RT399" s="1504">
        <v>46600</v>
      </c>
      <c r="RU399" s="19"/>
      <c r="RV399" s="20"/>
      <c r="RW399" s="29"/>
      <c r="RX399" s="1504">
        <v>46600</v>
      </c>
      <c r="RY399" s="29"/>
      <c r="RZ399" s="20"/>
      <c r="SA399" s="29"/>
      <c r="SB399" s="29"/>
    </row>
    <row r="400" spans="1:496">
      <c r="A400" s="41">
        <f t="shared" si="346"/>
        <v>2027</v>
      </c>
      <c r="B400" s="1504">
        <v>46631</v>
      </c>
      <c r="C400" s="1813"/>
      <c r="D400" s="1814"/>
      <c r="E400" s="1814"/>
      <c r="F400" s="1815"/>
      <c r="G400" s="1814"/>
      <c r="H400" s="1814"/>
      <c r="I400" s="1814"/>
      <c r="J400" s="1816"/>
      <c r="K400" s="1807"/>
      <c r="L400" s="25"/>
      <c r="M400" s="97"/>
      <c r="N400" s="1504">
        <v>46631</v>
      </c>
      <c r="O400" s="19"/>
      <c r="P400" s="93"/>
      <c r="Q400" s="93"/>
      <c r="R400" s="93"/>
      <c r="S400" s="93"/>
      <c r="T400" s="93"/>
      <c r="U400" s="93"/>
      <c r="V400" s="93"/>
      <c r="W400" s="93"/>
      <c r="X400" s="93"/>
      <c r="Y400" s="93"/>
      <c r="Z400" s="93"/>
      <c r="AA400" s="93"/>
      <c r="AB400" s="20"/>
      <c r="AC400" s="25"/>
      <c r="AD400" s="97"/>
      <c r="AE400" s="1504">
        <v>46631</v>
      </c>
      <c r="AF400" s="19"/>
      <c r="AG400" s="93"/>
      <c r="AH400" s="93"/>
      <c r="AI400" s="93"/>
      <c r="AJ400" s="93"/>
      <c r="AK400" s="93"/>
      <c r="AL400" s="93"/>
      <c r="AM400" s="93"/>
      <c r="AN400" s="93"/>
      <c r="AO400" s="93"/>
      <c r="AP400" s="93"/>
      <c r="AQ400" s="93"/>
      <c r="AR400" s="93"/>
      <c r="AS400" s="20"/>
      <c r="AT400" s="25"/>
      <c r="AU400" s="97"/>
      <c r="AV400" s="1504">
        <v>46631</v>
      </c>
      <c r="AW400" s="19"/>
      <c r="AX400" s="93"/>
      <c r="AY400" s="93"/>
      <c r="AZ400" s="93"/>
      <c r="BA400" s="93"/>
      <c r="BB400" s="93"/>
      <c r="BC400" s="93"/>
      <c r="BD400" s="93"/>
      <c r="BE400" s="93"/>
      <c r="BF400" s="93"/>
      <c r="BG400" s="93"/>
      <c r="BH400" s="93"/>
      <c r="BI400" s="93"/>
      <c r="BJ400" s="20"/>
      <c r="BK400" s="25"/>
      <c r="BL400" s="97"/>
      <c r="BM400" s="1504">
        <v>46631</v>
      </c>
      <c r="BN400" s="19"/>
      <c r="BO400" s="93"/>
      <c r="BP400" s="93"/>
      <c r="BQ400" s="93"/>
      <c r="BR400" s="93"/>
      <c r="BS400" s="93"/>
      <c r="BT400" s="93"/>
      <c r="BU400" s="20"/>
      <c r="BV400" s="25"/>
      <c r="BW400" s="97"/>
      <c r="BX400" s="1504">
        <v>46631</v>
      </c>
      <c r="BY400" s="19"/>
      <c r="BZ400" s="93"/>
      <c r="CA400" s="93"/>
      <c r="CB400" s="93"/>
      <c r="CC400" s="93"/>
      <c r="CD400" s="25"/>
      <c r="CE400" s="97"/>
      <c r="CF400" s="1504">
        <v>46631</v>
      </c>
      <c r="CG400" s="19"/>
      <c r="CH400" s="93"/>
      <c r="CI400" s="219"/>
      <c r="CJ400" s="20"/>
      <c r="CK400" s="19"/>
      <c r="CL400" s="93"/>
      <c r="CM400" s="93"/>
      <c r="CN400" s="93"/>
      <c r="CO400" s="93"/>
      <c r="CP400" s="20"/>
      <c r="CQ400" s="219"/>
      <c r="CR400" s="93"/>
      <c r="CS400" s="93"/>
      <c r="CT400" s="93"/>
      <c r="CU400" s="93"/>
      <c r="CV400" s="214"/>
      <c r="CW400" s="29"/>
      <c r="CX400" s="41">
        <f t="shared" si="357"/>
        <v>2027</v>
      </c>
      <c r="CY400" s="1504">
        <v>46631</v>
      </c>
      <c r="CZ400" s="19"/>
      <c r="DA400" s="93"/>
      <c r="DB400" s="93"/>
      <c r="DC400" s="93"/>
      <c r="DD400" s="93"/>
      <c r="DE400" s="20"/>
      <c r="DF400" s="29"/>
      <c r="DG400" s="1504">
        <v>46631</v>
      </c>
      <c r="DH400" s="19"/>
      <c r="DI400" s="93"/>
      <c r="DJ400" s="93"/>
      <c r="DK400" s="93"/>
      <c r="DL400" s="93"/>
      <c r="DM400" s="93"/>
      <c r="DN400" s="20"/>
      <c r="DO400" s="295"/>
      <c r="DP400" s="29"/>
      <c r="DQ400" s="1504">
        <v>46631</v>
      </c>
      <c r="DR400" s="19"/>
      <c r="DS400" s="93"/>
      <c r="DT400" s="93"/>
      <c r="DU400" s="93"/>
      <c r="DV400" s="93"/>
      <c r="DW400" s="93"/>
      <c r="DX400" s="20"/>
      <c r="DY400" s="29"/>
      <c r="DZ400" s="1504">
        <v>46631</v>
      </c>
      <c r="EA400" s="19"/>
      <c r="EB400" s="93"/>
      <c r="EC400" s="20"/>
      <c r="ED400" s="29"/>
      <c r="EE400" s="1504">
        <v>46631</v>
      </c>
      <c r="EF400" s="19"/>
      <c r="EG400" s="93"/>
      <c r="EH400" s="93"/>
      <c r="EI400" s="214"/>
      <c r="EJ400" s="93"/>
      <c r="EK400" s="93"/>
      <c r="EL400" s="93"/>
      <c r="EM400" s="93"/>
      <c r="EN400" s="20"/>
      <c r="EO400" s="29"/>
      <c r="EP400" s="1504">
        <v>46631</v>
      </c>
      <c r="EQ400" s="19"/>
      <c r="ER400" s="93"/>
      <c r="ES400" s="93"/>
      <c r="ET400" s="214"/>
      <c r="EU400" s="93"/>
      <c r="EV400" s="93"/>
      <c r="EW400" s="93"/>
      <c r="EX400" s="93"/>
      <c r="EY400" s="20"/>
      <c r="EZ400" s="29"/>
      <c r="FA400" s="1504">
        <v>46631</v>
      </c>
      <c r="FB400" s="29"/>
      <c r="FC400" s="29"/>
      <c r="FD400" s="29"/>
      <c r="FE400" s="29"/>
      <c r="FF400" s="29"/>
      <c r="FG400" s="29"/>
      <c r="FH400" s="29"/>
      <c r="FI400" s="29"/>
      <c r="FJ400" s="29"/>
      <c r="FK400" s="29"/>
      <c r="FL400" s="1504">
        <v>46631</v>
      </c>
      <c r="FM400" s="19"/>
      <c r="FN400" s="93"/>
      <c r="FO400" s="93"/>
      <c r="FP400" s="93"/>
      <c r="FQ400" s="93"/>
      <c r="FR400" s="93"/>
      <c r="FS400" s="93"/>
      <c r="FT400" s="93"/>
      <c r="FU400" s="93"/>
      <c r="FV400" s="93"/>
      <c r="FW400" s="93"/>
      <c r="FX400" s="93"/>
      <c r="FY400" s="93"/>
      <c r="FZ400" s="29"/>
      <c r="GA400" s="1504">
        <v>46631</v>
      </c>
      <c r="GB400" s="19"/>
      <c r="GC400" s="93"/>
      <c r="GD400" s="93"/>
      <c r="GE400" s="93"/>
      <c r="GF400" s="93"/>
      <c r="GG400" s="93"/>
      <c r="GH400" s="93"/>
      <c r="GI400" s="93"/>
      <c r="GJ400" s="93"/>
      <c r="GK400" s="93"/>
      <c r="GL400" s="93"/>
      <c r="GM400" s="93"/>
      <c r="GN400" s="20"/>
      <c r="GO400" s="29"/>
      <c r="GP400" s="1504">
        <v>46631</v>
      </c>
      <c r="GQ400" s="19"/>
      <c r="GR400" s="93"/>
      <c r="GS400" s="93"/>
      <c r="GT400" s="93"/>
      <c r="GU400" s="93"/>
      <c r="GV400" s="20"/>
      <c r="GW400" s="19"/>
      <c r="GX400" s="93"/>
      <c r="GY400" s="93"/>
      <c r="GZ400" s="93"/>
      <c r="HA400" s="93"/>
      <c r="HB400" s="20"/>
      <c r="HC400" s="19"/>
      <c r="HD400" s="93"/>
      <c r="HE400" s="93"/>
      <c r="HF400" s="93"/>
      <c r="HG400" s="93"/>
      <c r="HH400" s="20"/>
      <c r="HI400" s="19"/>
      <c r="HJ400" s="93"/>
      <c r="HK400" s="93"/>
      <c r="HL400" s="93"/>
      <c r="HM400" s="93"/>
      <c r="HN400" s="20"/>
      <c r="HO400" s="219"/>
      <c r="HP400" s="20"/>
      <c r="HQ400" s="25"/>
      <c r="HR400" s="29"/>
      <c r="HS400" s="1504">
        <v>46631</v>
      </c>
      <c r="HT400" s="19"/>
      <c r="HU400" s="93"/>
      <c r="HV400" s="93"/>
      <c r="HW400" s="93"/>
      <c r="HX400" s="93"/>
      <c r="HY400" s="93"/>
      <c r="HZ400" s="93"/>
      <c r="IA400" s="20"/>
      <c r="IB400" s="19"/>
      <c r="IC400" s="93"/>
      <c r="ID400" s="93"/>
      <c r="IE400" s="93"/>
      <c r="IF400" s="93"/>
      <c r="IG400" s="20"/>
      <c r="IH400" s="19"/>
      <c r="II400" s="93"/>
      <c r="IJ400" s="93"/>
      <c r="IK400" s="93"/>
      <c r="IL400" s="93"/>
      <c r="IM400" s="93"/>
      <c r="IN400" s="93"/>
      <c r="IO400" s="20"/>
      <c r="IP400" s="29"/>
      <c r="IQ400" s="19"/>
      <c r="IR400" s="93"/>
      <c r="IS400" s="93"/>
      <c r="IT400" s="93"/>
      <c r="IU400" s="93"/>
      <c r="IV400" s="20"/>
      <c r="IW400" s="29"/>
      <c r="IX400" s="19"/>
      <c r="IY400" s="93"/>
      <c r="IZ400" s="93"/>
      <c r="JA400" s="93"/>
      <c r="JB400" s="93"/>
      <c r="JC400" s="93"/>
      <c r="JD400" s="93"/>
      <c r="JE400" s="20"/>
      <c r="JF400" s="29"/>
      <c r="JG400" s="19"/>
      <c r="JH400" s="93"/>
      <c r="JI400" s="93"/>
      <c r="JJ400" s="93"/>
      <c r="JK400" s="93"/>
      <c r="JL400" s="93"/>
      <c r="JM400" s="93"/>
      <c r="JN400" s="20"/>
      <c r="JO400" s="29"/>
      <c r="JP400" s="19"/>
      <c r="JQ400" s="93"/>
      <c r="JR400" s="93"/>
      <c r="JS400" s="93"/>
      <c r="JT400" s="93"/>
      <c r="JU400" s="20"/>
      <c r="JV400" s="29"/>
      <c r="JW400" s="1504">
        <v>46631</v>
      </c>
      <c r="JX400" s="19"/>
      <c r="JY400" s="93"/>
      <c r="JZ400" s="93"/>
      <c r="KA400" s="93"/>
      <c r="KB400" s="93"/>
      <c r="KC400" s="93"/>
      <c r="KD400" s="20"/>
      <c r="KE400" s="29"/>
      <c r="KF400" s="19"/>
      <c r="KG400" s="93"/>
      <c r="KH400" s="93"/>
      <c r="KI400" s="93"/>
      <c r="KJ400" s="93"/>
      <c r="KK400" s="20"/>
      <c r="KL400" s="29"/>
      <c r="KM400" s="19"/>
      <c r="KN400" s="93"/>
      <c r="KO400" s="93"/>
      <c r="KP400" s="93"/>
      <c r="KQ400" s="93"/>
      <c r="KR400" s="20"/>
      <c r="KS400" s="29"/>
      <c r="KT400" s="19"/>
      <c r="KU400" s="93"/>
      <c r="KV400" s="93"/>
      <c r="KW400" s="93"/>
      <c r="KX400" s="93"/>
      <c r="KY400" s="20"/>
      <c r="KZ400" s="29"/>
      <c r="LA400" s="1504">
        <v>46631</v>
      </c>
      <c r="LB400" s="19"/>
      <c r="LC400" s="93"/>
      <c r="LD400" s="93"/>
      <c r="LE400" s="93"/>
      <c r="LF400" s="93"/>
      <c r="LG400" s="93"/>
      <c r="LH400" s="20"/>
      <c r="LI400" s="29"/>
      <c r="LJ400" s="19"/>
      <c r="LK400" s="93"/>
      <c r="LL400" s="93"/>
      <c r="LM400" s="93"/>
      <c r="LN400" s="93"/>
      <c r="LO400" s="20"/>
      <c r="LP400" s="29"/>
      <c r="LQ400" s="19"/>
      <c r="LR400" s="93"/>
      <c r="LS400" s="93"/>
      <c r="LT400" s="93"/>
      <c r="LU400" s="93"/>
      <c r="LV400" s="93"/>
      <c r="LW400" s="93"/>
      <c r="LX400" s="93"/>
      <c r="LY400" s="93"/>
      <c r="LZ400" s="93"/>
      <c r="MA400" s="20"/>
      <c r="MB400" s="29"/>
      <c r="MC400" s="1504">
        <v>46631</v>
      </c>
      <c r="MD400" s="19"/>
      <c r="ME400" s="93"/>
      <c r="MF400" s="93"/>
      <c r="MG400" s="93"/>
      <c r="MH400" s="93"/>
      <c r="MI400" s="93"/>
      <c r="MJ400" s="93"/>
      <c r="MK400" s="93"/>
      <c r="ML400" s="93"/>
      <c r="MM400" s="93"/>
      <c r="MN400" s="93"/>
      <c r="MO400" s="93"/>
      <c r="MP400" s="93"/>
      <c r="MQ400" s="93"/>
      <c r="MR400" s="93"/>
      <c r="MS400" s="93"/>
      <c r="MT400" s="93"/>
      <c r="MU400" s="93"/>
      <c r="MV400" s="93"/>
      <c r="MW400" s="93"/>
      <c r="MX400" s="93"/>
      <c r="MY400" s="93"/>
      <c r="MZ400" s="93"/>
      <c r="NA400" s="93"/>
      <c r="NB400" s="93"/>
      <c r="NC400" s="93"/>
      <c r="ND400" s="93"/>
      <c r="NE400" s="93"/>
      <c r="NF400" s="93"/>
      <c r="NG400" s="93"/>
      <c r="NH400" s="93"/>
      <c r="NI400" s="93"/>
      <c r="NJ400" s="93"/>
      <c r="NK400" s="93"/>
      <c r="NL400" s="93"/>
      <c r="NM400" s="93"/>
      <c r="NN400" s="93"/>
      <c r="NO400" s="93"/>
      <c r="NP400" s="93"/>
      <c r="NQ400" s="93"/>
      <c r="NR400" s="93"/>
      <c r="NS400" s="93"/>
      <c r="NT400" s="93"/>
      <c r="NU400" s="93"/>
      <c r="NV400" s="93"/>
      <c r="NW400" s="93"/>
      <c r="NX400" s="93"/>
      <c r="NY400" s="93"/>
      <c r="NZ400" s="93"/>
      <c r="OA400" s="93"/>
      <c r="OB400" s="93"/>
      <c r="OC400" s="93"/>
      <c r="OD400" s="20"/>
      <c r="OE400" s="29"/>
      <c r="OF400" s="1504">
        <v>46631</v>
      </c>
      <c r="OG400" s="19"/>
      <c r="OH400" s="93"/>
      <c r="OI400" s="93"/>
      <c r="OJ400" s="93"/>
      <c r="OK400" s="93"/>
      <c r="OL400" s="93"/>
      <c r="OM400" s="93"/>
      <c r="ON400" s="93"/>
      <c r="OO400" s="93"/>
      <c r="OP400" s="93"/>
      <c r="OQ400" s="93"/>
      <c r="OR400" s="93"/>
      <c r="OS400" s="93"/>
      <c r="OT400" s="93"/>
      <c r="OU400" s="93"/>
      <c r="OV400" s="93"/>
      <c r="OW400" s="93"/>
      <c r="OX400" s="93"/>
      <c r="OY400" s="93"/>
      <c r="OZ400" s="93"/>
      <c r="PA400" s="93"/>
      <c r="PB400" s="93"/>
      <c r="PC400" s="20"/>
      <c r="PD400" s="29"/>
      <c r="PE400" s="19"/>
      <c r="PF400" s="93"/>
      <c r="PG400" s="93"/>
      <c r="PH400" s="93"/>
      <c r="PI400" s="93"/>
      <c r="PJ400" s="93"/>
      <c r="PK400" s="93"/>
      <c r="PL400" s="93"/>
      <c r="PM400" s="93"/>
      <c r="PN400" s="93"/>
      <c r="PO400" s="93"/>
      <c r="PP400" s="93"/>
      <c r="PQ400" s="93"/>
      <c r="PR400" s="93"/>
      <c r="PS400" s="93"/>
      <c r="PT400" s="93"/>
      <c r="PU400" s="93"/>
      <c r="PV400" s="93"/>
      <c r="PW400" s="93"/>
      <c r="PX400" s="93"/>
      <c r="PY400" s="93"/>
      <c r="PZ400" s="93"/>
      <c r="QA400" s="93"/>
      <c r="QB400" s="93"/>
      <c r="QC400" s="93"/>
      <c r="QD400" s="93"/>
      <c r="QE400" s="20"/>
      <c r="QF400" s="1739"/>
      <c r="QG400" s="19"/>
      <c r="QH400" s="93"/>
      <c r="QI400" s="93"/>
      <c r="QJ400" s="93"/>
      <c r="QK400" s="93"/>
      <c r="QL400" s="93"/>
      <c r="QM400" s="93"/>
      <c r="QN400" s="93"/>
      <c r="QO400" s="93"/>
      <c r="QP400" s="93"/>
      <c r="QQ400" s="93"/>
      <c r="QR400" s="93"/>
      <c r="QS400" s="93"/>
      <c r="QT400" s="93"/>
      <c r="QU400" s="93"/>
      <c r="QV400" s="93"/>
      <c r="QW400" s="93"/>
      <c r="QX400" s="93"/>
      <c r="QY400" s="93"/>
      <c r="QZ400" s="93"/>
      <c r="RA400" s="93"/>
      <c r="RB400" s="93"/>
      <c r="RC400" s="93"/>
      <c r="RD400" s="93"/>
      <c r="RE400" s="93"/>
      <c r="RF400" s="93"/>
      <c r="RG400" s="93"/>
      <c r="RH400" s="93"/>
      <c r="RI400" s="93"/>
      <c r="RJ400" s="93"/>
      <c r="RK400" s="93"/>
      <c r="RL400" s="93"/>
      <c r="RM400" s="20"/>
      <c r="RN400" s="29"/>
      <c r="RO400" s="19"/>
      <c r="RP400" s="20"/>
      <c r="RQ400" s="29"/>
      <c r="RR400" s="20"/>
      <c r="RS400" s="29"/>
      <c r="RT400" s="1504">
        <v>46631</v>
      </c>
      <c r="RU400" s="19"/>
      <c r="RV400" s="20"/>
      <c r="RW400" s="29"/>
      <c r="RX400" s="1504">
        <v>46631</v>
      </c>
      <c r="RY400" s="29"/>
      <c r="RZ400" s="20"/>
      <c r="SA400" s="29"/>
      <c r="SB400" s="29"/>
    </row>
    <row r="401" spans="1:496">
      <c r="A401" s="41">
        <f t="shared" si="346"/>
        <v>2027</v>
      </c>
      <c r="B401" s="1504">
        <v>46661</v>
      </c>
      <c r="C401" s="1813"/>
      <c r="D401" s="1814"/>
      <c r="E401" s="1814"/>
      <c r="F401" s="1815"/>
      <c r="G401" s="1814"/>
      <c r="H401" s="1814"/>
      <c r="I401" s="1814"/>
      <c r="J401" s="1816"/>
      <c r="K401" s="1807"/>
      <c r="L401" s="25"/>
      <c r="M401" s="97"/>
      <c r="N401" s="1504">
        <v>46661</v>
      </c>
      <c r="O401" s="19"/>
      <c r="P401" s="93"/>
      <c r="Q401" s="93"/>
      <c r="R401" s="93"/>
      <c r="S401" s="93"/>
      <c r="T401" s="93"/>
      <c r="U401" s="93"/>
      <c r="V401" s="93"/>
      <c r="W401" s="93"/>
      <c r="X401" s="93"/>
      <c r="Y401" s="93"/>
      <c r="Z401" s="93"/>
      <c r="AA401" s="93"/>
      <c r="AB401" s="20"/>
      <c r="AC401" s="25"/>
      <c r="AD401" s="97"/>
      <c r="AE401" s="1504">
        <v>46661</v>
      </c>
      <c r="AF401" s="19"/>
      <c r="AG401" s="93"/>
      <c r="AH401" s="93"/>
      <c r="AI401" s="93"/>
      <c r="AJ401" s="93"/>
      <c r="AK401" s="93"/>
      <c r="AL401" s="93"/>
      <c r="AM401" s="93"/>
      <c r="AN401" s="93"/>
      <c r="AO401" s="93"/>
      <c r="AP401" s="93"/>
      <c r="AQ401" s="93"/>
      <c r="AR401" s="93"/>
      <c r="AS401" s="20"/>
      <c r="AT401" s="25"/>
      <c r="AU401" s="97"/>
      <c r="AV401" s="1504">
        <v>46661</v>
      </c>
      <c r="AW401" s="19"/>
      <c r="AX401" s="93"/>
      <c r="AY401" s="93"/>
      <c r="AZ401" s="93"/>
      <c r="BA401" s="93"/>
      <c r="BB401" s="93"/>
      <c r="BC401" s="93"/>
      <c r="BD401" s="93"/>
      <c r="BE401" s="93"/>
      <c r="BF401" s="93"/>
      <c r="BG401" s="93"/>
      <c r="BH401" s="93"/>
      <c r="BI401" s="93"/>
      <c r="BJ401" s="20"/>
      <c r="BK401" s="25"/>
      <c r="BL401" s="97"/>
      <c r="BM401" s="1504">
        <v>46661</v>
      </c>
      <c r="BN401" s="19"/>
      <c r="BO401" s="93"/>
      <c r="BP401" s="93"/>
      <c r="BQ401" s="93"/>
      <c r="BR401" s="93"/>
      <c r="BS401" s="93"/>
      <c r="BT401" s="93"/>
      <c r="BU401" s="20"/>
      <c r="BV401" s="25"/>
      <c r="BW401" s="97"/>
      <c r="BX401" s="1504">
        <v>46661</v>
      </c>
      <c r="BY401" s="19"/>
      <c r="BZ401" s="93"/>
      <c r="CA401" s="93"/>
      <c r="CB401" s="93"/>
      <c r="CC401" s="93"/>
      <c r="CD401" s="25"/>
      <c r="CE401" s="97"/>
      <c r="CF401" s="1504">
        <v>46661</v>
      </c>
      <c r="CG401" s="19"/>
      <c r="CH401" s="93"/>
      <c r="CI401" s="219"/>
      <c r="CJ401" s="20"/>
      <c r="CK401" s="19"/>
      <c r="CL401" s="93"/>
      <c r="CM401" s="93"/>
      <c r="CN401" s="93"/>
      <c r="CO401" s="93"/>
      <c r="CP401" s="20"/>
      <c r="CQ401" s="219"/>
      <c r="CR401" s="93"/>
      <c r="CS401" s="93"/>
      <c r="CT401" s="93"/>
      <c r="CU401" s="93"/>
      <c r="CV401" s="214"/>
      <c r="CW401" s="29"/>
      <c r="CX401" s="41">
        <f t="shared" si="357"/>
        <v>2027</v>
      </c>
      <c r="CY401" s="1504">
        <v>46661</v>
      </c>
      <c r="CZ401" s="19"/>
      <c r="DA401" s="93"/>
      <c r="DB401" s="93"/>
      <c r="DC401" s="93"/>
      <c r="DD401" s="93"/>
      <c r="DE401" s="20"/>
      <c r="DF401" s="29"/>
      <c r="DG401" s="1504">
        <v>46661</v>
      </c>
      <c r="DH401" s="19"/>
      <c r="DI401" s="93"/>
      <c r="DJ401" s="93"/>
      <c r="DK401" s="93"/>
      <c r="DL401" s="93"/>
      <c r="DM401" s="93"/>
      <c r="DN401" s="20"/>
      <c r="DO401" s="295"/>
      <c r="DP401" s="29"/>
      <c r="DQ401" s="1504">
        <v>46661</v>
      </c>
      <c r="DR401" s="19"/>
      <c r="DS401" s="93"/>
      <c r="DT401" s="93"/>
      <c r="DU401" s="93"/>
      <c r="DV401" s="93"/>
      <c r="DW401" s="93"/>
      <c r="DX401" s="20"/>
      <c r="DY401" s="29"/>
      <c r="DZ401" s="1504">
        <v>46661</v>
      </c>
      <c r="EA401" s="19"/>
      <c r="EB401" s="93"/>
      <c r="EC401" s="20"/>
      <c r="ED401" s="29"/>
      <c r="EE401" s="1504">
        <v>46661</v>
      </c>
      <c r="EF401" s="19"/>
      <c r="EG401" s="93"/>
      <c r="EH401" s="93"/>
      <c r="EI401" s="214"/>
      <c r="EJ401" s="93"/>
      <c r="EK401" s="93"/>
      <c r="EL401" s="93"/>
      <c r="EM401" s="93"/>
      <c r="EN401" s="20"/>
      <c r="EO401" s="29"/>
      <c r="EP401" s="1504">
        <v>46661</v>
      </c>
      <c r="EQ401" s="19"/>
      <c r="ER401" s="93"/>
      <c r="ES401" s="93"/>
      <c r="ET401" s="214"/>
      <c r="EU401" s="93"/>
      <c r="EV401" s="93"/>
      <c r="EW401" s="93"/>
      <c r="EX401" s="93"/>
      <c r="EY401" s="20"/>
      <c r="EZ401" s="29"/>
      <c r="FA401" s="1504">
        <v>46661</v>
      </c>
      <c r="FB401" s="29"/>
      <c r="FC401" s="29"/>
      <c r="FD401" s="29"/>
      <c r="FE401" s="29"/>
      <c r="FF401" s="29"/>
      <c r="FG401" s="29"/>
      <c r="FH401" s="29"/>
      <c r="FI401" s="29"/>
      <c r="FJ401" s="29"/>
      <c r="FK401" s="29"/>
      <c r="FL401" s="1504">
        <v>46661</v>
      </c>
      <c r="FM401" s="19"/>
      <c r="FN401" s="93"/>
      <c r="FO401" s="93"/>
      <c r="FP401" s="93"/>
      <c r="FQ401" s="93"/>
      <c r="FR401" s="93"/>
      <c r="FS401" s="93"/>
      <c r="FT401" s="93"/>
      <c r="FU401" s="93"/>
      <c r="FV401" s="93"/>
      <c r="FW401" s="93"/>
      <c r="FX401" s="93"/>
      <c r="FY401" s="93"/>
      <c r="FZ401" s="29"/>
      <c r="GA401" s="1504">
        <v>46661</v>
      </c>
      <c r="GB401" s="19"/>
      <c r="GC401" s="93"/>
      <c r="GD401" s="93"/>
      <c r="GE401" s="93"/>
      <c r="GF401" s="93"/>
      <c r="GG401" s="93"/>
      <c r="GH401" s="93"/>
      <c r="GI401" s="93"/>
      <c r="GJ401" s="93"/>
      <c r="GK401" s="93"/>
      <c r="GL401" s="93"/>
      <c r="GM401" s="93"/>
      <c r="GN401" s="20"/>
      <c r="GO401" s="29"/>
      <c r="GP401" s="1504">
        <v>46661</v>
      </c>
      <c r="GQ401" s="19"/>
      <c r="GR401" s="93"/>
      <c r="GS401" s="93"/>
      <c r="GT401" s="93"/>
      <c r="GU401" s="93"/>
      <c r="GV401" s="20"/>
      <c r="GW401" s="19"/>
      <c r="GX401" s="93"/>
      <c r="GY401" s="93"/>
      <c r="GZ401" s="93"/>
      <c r="HA401" s="93"/>
      <c r="HB401" s="20"/>
      <c r="HC401" s="19"/>
      <c r="HD401" s="93"/>
      <c r="HE401" s="93"/>
      <c r="HF401" s="93"/>
      <c r="HG401" s="93"/>
      <c r="HH401" s="20"/>
      <c r="HI401" s="19"/>
      <c r="HJ401" s="93"/>
      <c r="HK401" s="93"/>
      <c r="HL401" s="93"/>
      <c r="HM401" s="93"/>
      <c r="HN401" s="20"/>
      <c r="HO401" s="219"/>
      <c r="HP401" s="20"/>
      <c r="HQ401" s="25"/>
      <c r="HR401" s="29"/>
      <c r="HS401" s="1504">
        <v>46661</v>
      </c>
      <c r="HT401" s="19"/>
      <c r="HU401" s="93"/>
      <c r="HV401" s="93"/>
      <c r="HW401" s="93"/>
      <c r="HX401" s="93"/>
      <c r="HY401" s="93"/>
      <c r="HZ401" s="93"/>
      <c r="IA401" s="20"/>
      <c r="IB401" s="19"/>
      <c r="IC401" s="93"/>
      <c r="ID401" s="93"/>
      <c r="IE401" s="93"/>
      <c r="IF401" s="93"/>
      <c r="IG401" s="20"/>
      <c r="IH401" s="19"/>
      <c r="II401" s="93"/>
      <c r="IJ401" s="93"/>
      <c r="IK401" s="93"/>
      <c r="IL401" s="93"/>
      <c r="IM401" s="93"/>
      <c r="IN401" s="93"/>
      <c r="IO401" s="20"/>
      <c r="IP401" s="29"/>
      <c r="IQ401" s="19"/>
      <c r="IR401" s="93"/>
      <c r="IS401" s="93"/>
      <c r="IT401" s="93"/>
      <c r="IU401" s="93"/>
      <c r="IV401" s="20"/>
      <c r="IW401" s="29"/>
      <c r="IX401" s="19"/>
      <c r="IY401" s="93"/>
      <c r="IZ401" s="93"/>
      <c r="JA401" s="93"/>
      <c r="JB401" s="93"/>
      <c r="JC401" s="93"/>
      <c r="JD401" s="93"/>
      <c r="JE401" s="20"/>
      <c r="JF401" s="29"/>
      <c r="JG401" s="19"/>
      <c r="JH401" s="93"/>
      <c r="JI401" s="93"/>
      <c r="JJ401" s="93"/>
      <c r="JK401" s="93"/>
      <c r="JL401" s="93"/>
      <c r="JM401" s="93"/>
      <c r="JN401" s="20"/>
      <c r="JO401" s="29"/>
      <c r="JP401" s="19"/>
      <c r="JQ401" s="93"/>
      <c r="JR401" s="93"/>
      <c r="JS401" s="93"/>
      <c r="JT401" s="93"/>
      <c r="JU401" s="20"/>
      <c r="JV401" s="29"/>
      <c r="JW401" s="1504">
        <v>46661</v>
      </c>
      <c r="JX401" s="19"/>
      <c r="JY401" s="93"/>
      <c r="JZ401" s="93"/>
      <c r="KA401" s="93"/>
      <c r="KB401" s="93"/>
      <c r="KC401" s="93"/>
      <c r="KD401" s="20"/>
      <c r="KE401" s="29"/>
      <c r="KF401" s="19"/>
      <c r="KG401" s="93"/>
      <c r="KH401" s="93"/>
      <c r="KI401" s="93"/>
      <c r="KJ401" s="93"/>
      <c r="KK401" s="20"/>
      <c r="KL401" s="29"/>
      <c r="KM401" s="19"/>
      <c r="KN401" s="93"/>
      <c r="KO401" s="93"/>
      <c r="KP401" s="93"/>
      <c r="KQ401" s="93"/>
      <c r="KR401" s="20"/>
      <c r="KS401" s="29"/>
      <c r="KT401" s="19"/>
      <c r="KU401" s="93"/>
      <c r="KV401" s="93"/>
      <c r="KW401" s="93"/>
      <c r="KX401" s="93"/>
      <c r="KY401" s="20"/>
      <c r="KZ401" s="29"/>
      <c r="LA401" s="1504">
        <v>46661</v>
      </c>
      <c r="LB401" s="19"/>
      <c r="LC401" s="93"/>
      <c r="LD401" s="93"/>
      <c r="LE401" s="93"/>
      <c r="LF401" s="93"/>
      <c r="LG401" s="93"/>
      <c r="LH401" s="20"/>
      <c r="LI401" s="29"/>
      <c r="LJ401" s="19"/>
      <c r="LK401" s="93"/>
      <c r="LL401" s="93"/>
      <c r="LM401" s="93"/>
      <c r="LN401" s="93"/>
      <c r="LO401" s="20"/>
      <c r="LP401" s="29"/>
      <c r="LQ401" s="19"/>
      <c r="LR401" s="93"/>
      <c r="LS401" s="93"/>
      <c r="LT401" s="93"/>
      <c r="LU401" s="93"/>
      <c r="LV401" s="93"/>
      <c r="LW401" s="93"/>
      <c r="LX401" s="93"/>
      <c r="LY401" s="93"/>
      <c r="LZ401" s="93"/>
      <c r="MA401" s="20"/>
      <c r="MB401" s="29"/>
      <c r="MC401" s="1504">
        <v>46661</v>
      </c>
      <c r="MD401" s="19"/>
      <c r="ME401" s="93"/>
      <c r="MF401" s="93"/>
      <c r="MG401" s="93"/>
      <c r="MH401" s="93"/>
      <c r="MI401" s="93"/>
      <c r="MJ401" s="93"/>
      <c r="MK401" s="93"/>
      <c r="ML401" s="93"/>
      <c r="MM401" s="93"/>
      <c r="MN401" s="93"/>
      <c r="MO401" s="93"/>
      <c r="MP401" s="93"/>
      <c r="MQ401" s="93"/>
      <c r="MR401" s="93"/>
      <c r="MS401" s="93"/>
      <c r="MT401" s="93"/>
      <c r="MU401" s="93"/>
      <c r="MV401" s="93"/>
      <c r="MW401" s="93"/>
      <c r="MX401" s="93"/>
      <c r="MY401" s="93"/>
      <c r="MZ401" s="93"/>
      <c r="NA401" s="93"/>
      <c r="NB401" s="93"/>
      <c r="NC401" s="93"/>
      <c r="ND401" s="93"/>
      <c r="NE401" s="93"/>
      <c r="NF401" s="93"/>
      <c r="NG401" s="93"/>
      <c r="NH401" s="93"/>
      <c r="NI401" s="93"/>
      <c r="NJ401" s="93"/>
      <c r="NK401" s="93"/>
      <c r="NL401" s="93"/>
      <c r="NM401" s="93"/>
      <c r="NN401" s="93"/>
      <c r="NO401" s="93"/>
      <c r="NP401" s="93"/>
      <c r="NQ401" s="93"/>
      <c r="NR401" s="93"/>
      <c r="NS401" s="93"/>
      <c r="NT401" s="93"/>
      <c r="NU401" s="93"/>
      <c r="NV401" s="93"/>
      <c r="NW401" s="93"/>
      <c r="NX401" s="93"/>
      <c r="NY401" s="93"/>
      <c r="NZ401" s="93"/>
      <c r="OA401" s="93"/>
      <c r="OB401" s="93"/>
      <c r="OC401" s="93"/>
      <c r="OD401" s="20"/>
      <c r="OE401" s="29"/>
      <c r="OF401" s="1504">
        <v>46661</v>
      </c>
      <c r="OG401" s="19"/>
      <c r="OH401" s="93"/>
      <c r="OI401" s="93"/>
      <c r="OJ401" s="93"/>
      <c r="OK401" s="93"/>
      <c r="OL401" s="93"/>
      <c r="OM401" s="93"/>
      <c r="ON401" s="93"/>
      <c r="OO401" s="93"/>
      <c r="OP401" s="93"/>
      <c r="OQ401" s="93"/>
      <c r="OR401" s="93"/>
      <c r="OS401" s="93"/>
      <c r="OT401" s="93"/>
      <c r="OU401" s="93"/>
      <c r="OV401" s="93"/>
      <c r="OW401" s="93"/>
      <c r="OX401" s="93"/>
      <c r="OY401" s="93"/>
      <c r="OZ401" s="93"/>
      <c r="PA401" s="93"/>
      <c r="PB401" s="93"/>
      <c r="PC401" s="20"/>
      <c r="PD401" s="29"/>
      <c r="PE401" s="19"/>
      <c r="PF401" s="93"/>
      <c r="PG401" s="93"/>
      <c r="PH401" s="93"/>
      <c r="PI401" s="93"/>
      <c r="PJ401" s="93"/>
      <c r="PK401" s="93"/>
      <c r="PL401" s="93"/>
      <c r="PM401" s="93"/>
      <c r="PN401" s="93"/>
      <c r="PO401" s="93"/>
      <c r="PP401" s="93"/>
      <c r="PQ401" s="93"/>
      <c r="PR401" s="93"/>
      <c r="PS401" s="93"/>
      <c r="PT401" s="93"/>
      <c r="PU401" s="93"/>
      <c r="PV401" s="93"/>
      <c r="PW401" s="93"/>
      <c r="PX401" s="93"/>
      <c r="PY401" s="93"/>
      <c r="PZ401" s="93"/>
      <c r="QA401" s="93"/>
      <c r="QB401" s="93"/>
      <c r="QC401" s="93"/>
      <c r="QD401" s="93"/>
      <c r="QE401" s="20"/>
      <c r="QF401" s="1739"/>
      <c r="QG401" s="19"/>
      <c r="QH401" s="93"/>
      <c r="QI401" s="93"/>
      <c r="QJ401" s="93"/>
      <c r="QK401" s="93"/>
      <c r="QL401" s="93"/>
      <c r="QM401" s="93"/>
      <c r="QN401" s="93"/>
      <c r="QO401" s="93"/>
      <c r="QP401" s="93"/>
      <c r="QQ401" s="93"/>
      <c r="QR401" s="93"/>
      <c r="QS401" s="93"/>
      <c r="QT401" s="93"/>
      <c r="QU401" s="93"/>
      <c r="QV401" s="93"/>
      <c r="QW401" s="93"/>
      <c r="QX401" s="93"/>
      <c r="QY401" s="93"/>
      <c r="QZ401" s="93"/>
      <c r="RA401" s="93"/>
      <c r="RB401" s="93"/>
      <c r="RC401" s="93"/>
      <c r="RD401" s="93"/>
      <c r="RE401" s="93"/>
      <c r="RF401" s="93"/>
      <c r="RG401" s="93"/>
      <c r="RH401" s="93"/>
      <c r="RI401" s="93"/>
      <c r="RJ401" s="93"/>
      <c r="RK401" s="93"/>
      <c r="RL401" s="93"/>
      <c r="RM401" s="20"/>
      <c r="RN401" s="29"/>
      <c r="RO401" s="19"/>
      <c r="RP401" s="20"/>
      <c r="RQ401" s="29"/>
      <c r="RR401" s="20"/>
      <c r="RS401" s="29"/>
      <c r="RT401" s="1504">
        <v>46661</v>
      </c>
      <c r="RU401" s="19"/>
      <c r="RV401" s="20"/>
      <c r="RW401" s="29"/>
      <c r="RX401" s="1504">
        <v>46661</v>
      </c>
      <c r="RY401" s="29"/>
      <c r="RZ401" s="20"/>
      <c r="SA401" s="29"/>
      <c r="SB401" s="29"/>
    </row>
    <row r="402" spans="1:496">
      <c r="A402" s="41">
        <f t="shared" si="346"/>
        <v>2027</v>
      </c>
      <c r="B402" s="1504">
        <v>46692</v>
      </c>
      <c r="C402" s="1813"/>
      <c r="D402" s="1814"/>
      <c r="E402" s="1814"/>
      <c r="F402" s="1815"/>
      <c r="G402" s="1814"/>
      <c r="H402" s="1814"/>
      <c r="I402" s="1814"/>
      <c r="J402" s="1816"/>
      <c r="K402" s="1807"/>
      <c r="L402" s="25"/>
      <c r="M402" s="97"/>
      <c r="N402" s="1504">
        <v>46692</v>
      </c>
      <c r="O402" s="19"/>
      <c r="P402" s="93"/>
      <c r="Q402" s="93"/>
      <c r="R402" s="93"/>
      <c r="S402" s="93"/>
      <c r="T402" s="93"/>
      <c r="U402" s="93"/>
      <c r="V402" s="93"/>
      <c r="W402" s="93"/>
      <c r="X402" s="93"/>
      <c r="Y402" s="93"/>
      <c r="Z402" s="93"/>
      <c r="AA402" s="93"/>
      <c r="AB402" s="20"/>
      <c r="AC402" s="25"/>
      <c r="AD402" s="97"/>
      <c r="AE402" s="1504">
        <v>46692</v>
      </c>
      <c r="AF402" s="19"/>
      <c r="AG402" s="93"/>
      <c r="AH402" s="93"/>
      <c r="AI402" s="93"/>
      <c r="AJ402" s="93"/>
      <c r="AK402" s="93"/>
      <c r="AL402" s="93"/>
      <c r="AM402" s="93"/>
      <c r="AN402" s="93"/>
      <c r="AO402" s="93"/>
      <c r="AP402" s="93"/>
      <c r="AQ402" s="93"/>
      <c r="AR402" s="93"/>
      <c r="AS402" s="20"/>
      <c r="AT402" s="25"/>
      <c r="AU402" s="97"/>
      <c r="AV402" s="1504">
        <v>46692</v>
      </c>
      <c r="AW402" s="19"/>
      <c r="AX402" s="93"/>
      <c r="AY402" s="93"/>
      <c r="AZ402" s="93"/>
      <c r="BA402" s="93"/>
      <c r="BB402" s="93"/>
      <c r="BC402" s="93"/>
      <c r="BD402" s="93"/>
      <c r="BE402" s="93"/>
      <c r="BF402" s="93"/>
      <c r="BG402" s="93"/>
      <c r="BH402" s="93"/>
      <c r="BI402" s="93"/>
      <c r="BJ402" s="20"/>
      <c r="BK402" s="25"/>
      <c r="BL402" s="97"/>
      <c r="BM402" s="1504">
        <v>46692</v>
      </c>
      <c r="BN402" s="19"/>
      <c r="BO402" s="93"/>
      <c r="BP402" s="93"/>
      <c r="BQ402" s="93"/>
      <c r="BR402" s="93"/>
      <c r="BS402" s="93"/>
      <c r="BT402" s="93"/>
      <c r="BU402" s="20"/>
      <c r="BV402" s="25"/>
      <c r="BW402" s="97"/>
      <c r="BX402" s="1504">
        <v>46692</v>
      </c>
      <c r="BY402" s="19"/>
      <c r="BZ402" s="93"/>
      <c r="CA402" s="93"/>
      <c r="CB402" s="93"/>
      <c r="CC402" s="93"/>
      <c r="CD402" s="25"/>
      <c r="CE402" s="97"/>
      <c r="CF402" s="1504">
        <v>46692</v>
      </c>
      <c r="CG402" s="19"/>
      <c r="CH402" s="93"/>
      <c r="CI402" s="219"/>
      <c r="CJ402" s="20"/>
      <c r="CK402" s="19"/>
      <c r="CL402" s="93"/>
      <c r="CM402" s="93"/>
      <c r="CN402" s="93"/>
      <c r="CO402" s="93"/>
      <c r="CP402" s="20"/>
      <c r="CQ402" s="219"/>
      <c r="CR402" s="93"/>
      <c r="CS402" s="93"/>
      <c r="CT402" s="93"/>
      <c r="CU402" s="93"/>
      <c r="CV402" s="214"/>
      <c r="CW402" s="29"/>
      <c r="CX402" s="41">
        <f t="shared" si="357"/>
        <v>2027</v>
      </c>
      <c r="CY402" s="1504">
        <v>46692</v>
      </c>
      <c r="CZ402" s="19"/>
      <c r="DA402" s="93"/>
      <c r="DB402" s="93"/>
      <c r="DC402" s="93"/>
      <c r="DD402" s="93"/>
      <c r="DE402" s="20"/>
      <c r="DF402" s="29"/>
      <c r="DG402" s="1504">
        <v>46692</v>
      </c>
      <c r="DH402" s="19"/>
      <c r="DI402" s="93"/>
      <c r="DJ402" s="93"/>
      <c r="DK402" s="93"/>
      <c r="DL402" s="93"/>
      <c r="DM402" s="93"/>
      <c r="DN402" s="20"/>
      <c r="DO402" s="295"/>
      <c r="DP402" s="29"/>
      <c r="DQ402" s="1504">
        <v>46692</v>
      </c>
      <c r="DR402" s="19"/>
      <c r="DS402" s="93"/>
      <c r="DT402" s="93"/>
      <c r="DU402" s="93"/>
      <c r="DV402" s="93"/>
      <c r="DW402" s="93"/>
      <c r="DX402" s="20"/>
      <c r="DY402" s="29"/>
      <c r="DZ402" s="1504">
        <v>46692</v>
      </c>
      <c r="EA402" s="19"/>
      <c r="EB402" s="93"/>
      <c r="EC402" s="20"/>
      <c r="ED402" s="29"/>
      <c r="EE402" s="1504">
        <v>46692</v>
      </c>
      <c r="EF402" s="19"/>
      <c r="EG402" s="93"/>
      <c r="EH402" s="93"/>
      <c r="EI402" s="214"/>
      <c r="EJ402" s="93"/>
      <c r="EK402" s="93"/>
      <c r="EL402" s="93"/>
      <c r="EM402" s="93"/>
      <c r="EN402" s="20"/>
      <c r="EO402" s="29"/>
      <c r="EP402" s="1504">
        <v>46692</v>
      </c>
      <c r="EQ402" s="19"/>
      <c r="ER402" s="93"/>
      <c r="ES402" s="93"/>
      <c r="ET402" s="214"/>
      <c r="EU402" s="93"/>
      <c r="EV402" s="93"/>
      <c r="EW402" s="93"/>
      <c r="EX402" s="93"/>
      <c r="EY402" s="20"/>
      <c r="EZ402" s="29"/>
      <c r="FA402" s="1504">
        <v>46692</v>
      </c>
      <c r="FB402" s="29"/>
      <c r="FC402" s="29"/>
      <c r="FD402" s="29"/>
      <c r="FE402" s="29"/>
      <c r="FF402" s="29"/>
      <c r="FG402" s="29"/>
      <c r="FH402" s="29"/>
      <c r="FI402" s="29"/>
      <c r="FJ402" s="29"/>
      <c r="FK402" s="29"/>
      <c r="FL402" s="1504">
        <v>46692</v>
      </c>
      <c r="FM402" s="19"/>
      <c r="FN402" s="93"/>
      <c r="FO402" s="93"/>
      <c r="FP402" s="93"/>
      <c r="FQ402" s="93"/>
      <c r="FR402" s="93"/>
      <c r="FS402" s="93"/>
      <c r="FT402" s="93"/>
      <c r="FU402" s="93"/>
      <c r="FV402" s="93"/>
      <c r="FW402" s="93"/>
      <c r="FX402" s="93"/>
      <c r="FY402" s="93"/>
      <c r="FZ402" s="29"/>
      <c r="GA402" s="1504">
        <v>46692</v>
      </c>
      <c r="GB402" s="19"/>
      <c r="GC402" s="93"/>
      <c r="GD402" s="93"/>
      <c r="GE402" s="93"/>
      <c r="GF402" s="93"/>
      <c r="GG402" s="93"/>
      <c r="GH402" s="93"/>
      <c r="GI402" s="93"/>
      <c r="GJ402" s="93"/>
      <c r="GK402" s="93"/>
      <c r="GL402" s="93"/>
      <c r="GM402" s="93"/>
      <c r="GN402" s="20"/>
      <c r="GO402" s="29"/>
      <c r="GP402" s="1504">
        <v>46692</v>
      </c>
      <c r="GQ402" s="19"/>
      <c r="GR402" s="93"/>
      <c r="GS402" s="93"/>
      <c r="GT402" s="93"/>
      <c r="GU402" s="93"/>
      <c r="GV402" s="20"/>
      <c r="GW402" s="19"/>
      <c r="GX402" s="93"/>
      <c r="GY402" s="93"/>
      <c r="GZ402" s="93"/>
      <c r="HA402" s="93"/>
      <c r="HB402" s="20"/>
      <c r="HC402" s="19"/>
      <c r="HD402" s="93"/>
      <c r="HE402" s="93"/>
      <c r="HF402" s="93"/>
      <c r="HG402" s="93"/>
      <c r="HH402" s="20"/>
      <c r="HI402" s="19"/>
      <c r="HJ402" s="93"/>
      <c r="HK402" s="93"/>
      <c r="HL402" s="93"/>
      <c r="HM402" s="93"/>
      <c r="HN402" s="20"/>
      <c r="HO402" s="219"/>
      <c r="HP402" s="20"/>
      <c r="HQ402" s="25"/>
      <c r="HR402" s="29"/>
      <c r="HS402" s="1504">
        <v>46692</v>
      </c>
      <c r="HT402" s="19"/>
      <c r="HU402" s="93"/>
      <c r="HV402" s="93"/>
      <c r="HW402" s="93"/>
      <c r="HX402" s="93"/>
      <c r="HY402" s="93"/>
      <c r="HZ402" s="93"/>
      <c r="IA402" s="20"/>
      <c r="IB402" s="19"/>
      <c r="IC402" s="93"/>
      <c r="ID402" s="93"/>
      <c r="IE402" s="93"/>
      <c r="IF402" s="93"/>
      <c r="IG402" s="20"/>
      <c r="IH402" s="19"/>
      <c r="II402" s="93"/>
      <c r="IJ402" s="93"/>
      <c r="IK402" s="93"/>
      <c r="IL402" s="93"/>
      <c r="IM402" s="93"/>
      <c r="IN402" s="93"/>
      <c r="IO402" s="20"/>
      <c r="IP402" s="29"/>
      <c r="IQ402" s="19"/>
      <c r="IR402" s="93"/>
      <c r="IS402" s="93"/>
      <c r="IT402" s="93"/>
      <c r="IU402" s="93"/>
      <c r="IV402" s="20"/>
      <c r="IW402" s="29"/>
      <c r="IX402" s="19"/>
      <c r="IY402" s="93"/>
      <c r="IZ402" s="93"/>
      <c r="JA402" s="93"/>
      <c r="JB402" s="93"/>
      <c r="JC402" s="93"/>
      <c r="JD402" s="93"/>
      <c r="JE402" s="20"/>
      <c r="JF402" s="29"/>
      <c r="JG402" s="19"/>
      <c r="JH402" s="93"/>
      <c r="JI402" s="93"/>
      <c r="JJ402" s="93"/>
      <c r="JK402" s="93"/>
      <c r="JL402" s="93"/>
      <c r="JM402" s="93"/>
      <c r="JN402" s="20"/>
      <c r="JO402" s="29"/>
      <c r="JP402" s="19"/>
      <c r="JQ402" s="93"/>
      <c r="JR402" s="93"/>
      <c r="JS402" s="93"/>
      <c r="JT402" s="93"/>
      <c r="JU402" s="20"/>
      <c r="JV402" s="29"/>
      <c r="JW402" s="1504">
        <v>46692</v>
      </c>
      <c r="JX402" s="19"/>
      <c r="JY402" s="93"/>
      <c r="JZ402" s="93"/>
      <c r="KA402" s="93"/>
      <c r="KB402" s="93"/>
      <c r="KC402" s="93"/>
      <c r="KD402" s="20"/>
      <c r="KE402" s="29"/>
      <c r="KF402" s="19"/>
      <c r="KG402" s="93"/>
      <c r="KH402" s="93"/>
      <c r="KI402" s="93"/>
      <c r="KJ402" s="93"/>
      <c r="KK402" s="20"/>
      <c r="KL402" s="29"/>
      <c r="KM402" s="19"/>
      <c r="KN402" s="93"/>
      <c r="KO402" s="93"/>
      <c r="KP402" s="93"/>
      <c r="KQ402" s="93"/>
      <c r="KR402" s="20"/>
      <c r="KS402" s="29"/>
      <c r="KT402" s="19"/>
      <c r="KU402" s="93"/>
      <c r="KV402" s="93"/>
      <c r="KW402" s="93"/>
      <c r="KX402" s="93"/>
      <c r="KY402" s="20"/>
      <c r="KZ402" s="29"/>
      <c r="LA402" s="1504">
        <v>46692</v>
      </c>
      <c r="LB402" s="19"/>
      <c r="LC402" s="93"/>
      <c r="LD402" s="93"/>
      <c r="LE402" s="93"/>
      <c r="LF402" s="93"/>
      <c r="LG402" s="93"/>
      <c r="LH402" s="20"/>
      <c r="LI402" s="29"/>
      <c r="LJ402" s="19"/>
      <c r="LK402" s="93"/>
      <c r="LL402" s="93"/>
      <c r="LM402" s="93"/>
      <c r="LN402" s="93"/>
      <c r="LO402" s="20"/>
      <c r="LP402" s="29"/>
      <c r="LQ402" s="19"/>
      <c r="LR402" s="93"/>
      <c r="LS402" s="93"/>
      <c r="LT402" s="93"/>
      <c r="LU402" s="93"/>
      <c r="LV402" s="93"/>
      <c r="LW402" s="93"/>
      <c r="LX402" s="93"/>
      <c r="LY402" s="93"/>
      <c r="LZ402" s="93"/>
      <c r="MA402" s="20"/>
      <c r="MB402" s="29"/>
      <c r="MC402" s="1504">
        <v>46692</v>
      </c>
      <c r="MD402" s="19"/>
      <c r="ME402" s="93"/>
      <c r="MF402" s="93"/>
      <c r="MG402" s="93"/>
      <c r="MH402" s="93"/>
      <c r="MI402" s="93"/>
      <c r="MJ402" s="93"/>
      <c r="MK402" s="93"/>
      <c r="ML402" s="93"/>
      <c r="MM402" s="93"/>
      <c r="MN402" s="93"/>
      <c r="MO402" s="93"/>
      <c r="MP402" s="93"/>
      <c r="MQ402" s="93"/>
      <c r="MR402" s="93"/>
      <c r="MS402" s="93"/>
      <c r="MT402" s="93"/>
      <c r="MU402" s="93"/>
      <c r="MV402" s="93"/>
      <c r="MW402" s="93"/>
      <c r="MX402" s="93"/>
      <c r="MY402" s="93"/>
      <c r="MZ402" s="93"/>
      <c r="NA402" s="93"/>
      <c r="NB402" s="93"/>
      <c r="NC402" s="93"/>
      <c r="ND402" s="93"/>
      <c r="NE402" s="93"/>
      <c r="NF402" s="93"/>
      <c r="NG402" s="93"/>
      <c r="NH402" s="93"/>
      <c r="NI402" s="93"/>
      <c r="NJ402" s="93"/>
      <c r="NK402" s="93"/>
      <c r="NL402" s="93"/>
      <c r="NM402" s="93"/>
      <c r="NN402" s="93"/>
      <c r="NO402" s="93"/>
      <c r="NP402" s="93"/>
      <c r="NQ402" s="93"/>
      <c r="NR402" s="93"/>
      <c r="NS402" s="93"/>
      <c r="NT402" s="93"/>
      <c r="NU402" s="93"/>
      <c r="NV402" s="93"/>
      <c r="NW402" s="93"/>
      <c r="NX402" s="93"/>
      <c r="NY402" s="93"/>
      <c r="NZ402" s="93"/>
      <c r="OA402" s="93"/>
      <c r="OB402" s="93"/>
      <c r="OC402" s="93"/>
      <c r="OD402" s="20"/>
      <c r="OE402" s="29"/>
      <c r="OF402" s="1504">
        <v>46692</v>
      </c>
      <c r="OG402" s="19"/>
      <c r="OH402" s="93"/>
      <c r="OI402" s="93"/>
      <c r="OJ402" s="93"/>
      <c r="OK402" s="93"/>
      <c r="OL402" s="93"/>
      <c r="OM402" s="93"/>
      <c r="ON402" s="93"/>
      <c r="OO402" s="93"/>
      <c r="OP402" s="93"/>
      <c r="OQ402" s="93"/>
      <c r="OR402" s="93"/>
      <c r="OS402" s="93"/>
      <c r="OT402" s="93"/>
      <c r="OU402" s="93"/>
      <c r="OV402" s="93"/>
      <c r="OW402" s="93"/>
      <c r="OX402" s="93"/>
      <c r="OY402" s="93"/>
      <c r="OZ402" s="93"/>
      <c r="PA402" s="93"/>
      <c r="PB402" s="93"/>
      <c r="PC402" s="20"/>
      <c r="PD402" s="29"/>
      <c r="PE402" s="19"/>
      <c r="PF402" s="93"/>
      <c r="PG402" s="93"/>
      <c r="PH402" s="93"/>
      <c r="PI402" s="93"/>
      <c r="PJ402" s="93"/>
      <c r="PK402" s="93"/>
      <c r="PL402" s="93"/>
      <c r="PM402" s="93"/>
      <c r="PN402" s="93"/>
      <c r="PO402" s="93"/>
      <c r="PP402" s="93"/>
      <c r="PQ402" s="93"/>
      <c r="PR402" s="93"/>
      <c r="PS402" s="93"/>
      <c r="PT402" s="93"/>
      <c r="PU402" s="93"/>
      <c r="PV402" s="93"/>
      <c r="PW402" s="93"/>
      <c r="PX402" s="93"/>
      <c r="PY402" s="93"/>
      <c r="PZ402" s="93"/>
      <c r="QA402" s="93"/>
      <c r="QB402" s="93"/>
      <c r="QC402" s="93"/>
      <c r="QD402" s="93"/>
      <c r="QE402" s="20"/>
      <c r="QF402" s="1739"/>
      <c r="QG402" s="19"/>
      <c r="QH402" s="93"/>
      <c r="QI402" s="93"/>
      <c r="QJ402" s="93"/>
      <c r="QK402" s="93"/>
      <c r="QL402" s="93"/>
      <c r="QM402" s="93"/>
      <c r="QN402" s="93"/>
      <c r="QO402" s="93"/>
      <c r="QP402" s="93"/>
      <c r="QQ402" s="93"/>
      <c r="QR402" s="93"/>
      <c r="QS402" s="93"/>
      <c r="QT402" s="93"/>
      <c r="QU402" s="93"/>
      <c r="QV402" s="93"/>
      <c r="QW402" s="93"/>
      <c r="QX402" s="93"/>
      <c r="QY402" s="93"/>
      <c r="QZ402" s="93"/>
      <c r="RA402" s="93"/>
      <c r="RB402" s="93"/>
      <c r="RC402" s="93"/>
      <c r="RD402" s="93"/>
      <c r="RE402" s="93"/>
      <c r="RF402" s="93"/>
      <c r="RG402" s="93"/>
      <c r="RH402" s="93"/>
      <c r="RI402" s="93"/>
      <c r="RJ402" s="93"/>
      <c r="RK402" s="93"/>
      <c r="RL402" s="93"/>
      <c r="RM402" s="20"/>
      <c r="RN402" s="29"/>
      <c r="RO402" s="19"/>
      <c r="RP402" s="20"/>
      <c r="RQ402" s="29"/>
      <c r="RR402" s="20"/>
      <c r="RS402" s="29"/>
      <c r="RT402" s="1504">
        <v>46692</v>
      </c>
      <c r="RU402" s="19"/>
      <c r="RV402" s="20"/>
      <c r="RW402" s="29"/>
      <c r="RX402" s="1504">
        <v>46692</v>
      </c>
      <c r="RY402" s="29"/>
      <c r="RZ402" s="20"/>
      <c r="SA402" s="29"/>
      <c r="SB402" s="29"/>
    </row>
    <row r="403" spans="1:496">
      <c r="A403" s="41">
        <f t="shared" si="346"/>
        <v>2027</v>
      </c>
      <c r="B403" s="1504">
        <v>46722</v>
      </c>
      <c r="C403" s="1813"/>
      <c r="D403" s="1814"/>
      <c r="E403" s="1814"/>
      <c r="F403" s="1815"/>
      <c r="G403" s="1814"/>
      <c r="H403" s="1814"/>
      <c r="I403" s="1814"/>
      <c r="J403" s="1816"/>
      <c r="K403" s="1807"/>
      <c r="L403" s="25"/>
      <c r="M403" s="97"/>
      <c r="N403" s="1504">
        <v>46722</v>
      </c>
      <c r="O403" s="19"/>
      <c r="P403" s="93"/>
      <c r="Q403" s="93"/>
      <c r="R403" s="93"/>
      <c r="S403" s="93"/>
      <c r="T403" s="93"/>
      <c r="U403" s="93"/>
      <c r="V403" s="93"/>
      <c r="W403" s="93"/>
      <c r="X403" s="93"/>
      <c r="Y403" s="93"/>
      <c r="Z403" s="93"/>
      <c r="AA403" s="93"/>
      <c r="AB403" s="20"/>
      <c r="AC403" s="25"/>
      <c r="AD403" s="97"/>
      <c r="AE403" s="1504">
        <v>46722</v>
      </c>
      <c r="AF403" s="19"/>
      <c r="AG403" s="93"/>
      <c r="AH403" s="93"/>
      <c r="AI403" s="93"/>
      <c r="AJ403" s="93"/>
      <c r="AK403" s="93"/>
      <c r="AL403" s="93"/>
      <c r="AM403" s="93"/>
      <c r="AN403" s="93"/>
      <c r="AO403" s="93"/>
      <c r="AP403" s="93"/>
      <c r="AQ403" s="93"/>
      <c r="AR403" s="93"/>
      <c r="AS403" s="20"/>
      <c r="AT403" s="25"/>
      <c r="AU403" s="97"/>
      <c r="AV403" s="1504">
        <v>46722</v>
      </c>
      <c r="AW403" s="19"/>
      <c r="AX403" s="93"/>
      <c r="AY403" s="93"/>
      <c r="AZ403" s="93"/>
      <c r="BA403" s="93"/>
      <c r="BB403" s="93"/>
      <c r="BC403" s="93"/>
      <c r="BD403" s="93"/>
      <c r="BE403" s="93"/>
      <c r="BF403" s="93"/>
      <c r="BG403" s="93"/>
      <c r="BH403" s="93"/>
      <c r="BI403" s="93"/>
      <c r="BJ403" s="20"/>
      <c r="BK403" s="25"/>
      <c r="BL403" s="97"/>
      <c r="BM403" s="1504">
        <v>46722</v>
      </c>
      <c r="BN403" s="19"/>
      <c r="BO403" s="93"/>
      <c r="BP403" s="93"/>
      <c r="BQ403" s="93"/>
      <c r="BR403" s="93"/>
      <c r="BS403" s="93"/>
      <c r="BT403" s="93"/>
      <c r="BU403" s="20"/>
      <c r="BV403" s="25"/>
      <c r="BW403" s="97"/>
      <c r="BX403" s="1504">
        <v>46722</v>
      </c>
      <c r="BY403" s="19"/>
      <c r="BZ403" s="93"/>
      <c r="CA403" s="93"/>
      <c r="CB403" s="93"/>
      <c r="CC403" s="93"/>
      <c r="CD403" s="25"/>
      <c r="CE403" s="97"/>
      <c r="CF403" s="1504">
        <v>46722</v>
      </c>
      <c r="CG403" s="19"/>
      <c r="CH403" s="93"/>
      <c r="CI403" s="219"/>
      <c r="CJ403" s="20"/>
      <c r="CK403" s="19"/>
      <c r="CL403" s="93"/>
      <c r="CM403" s="93"/>
      <c r="CN403" s="93"/>
      <c r="CO403" s="93"/>
      <c r="CP403" s="20"/>
      <c r="CQ403" s="219"/>
      <c r="CR403" s="93"/>
      <c r="CS403" s="93"/>
      <c r="CT403" s="93"/>
      <c r="CU403" s="93"/>
      <c r="CV403" s="214"/>
      <c r="CW403" s="29"/>
      <c r="CX403" s="41">
        <f t="shared" si="357"/>
        <v>2027</v>
      </c>
      <c r="CY403" s="1504">
        <v>46722</v>
      </c>
      <c r="CZ403" s="19"/>
      <c r="DA403" s="93"/>
      <c r="DB403" s="93"/>
      <c r="DC403" s="93"/>
      <c r="DD403" s="93"/>
      <c r="DE403" s="20"/>
      <c r="DF403" s="29"/>
      <c r="DG403" s="1504">
        <v>46722</v>
      </c>
      <c r="DH403" s="19"/>
      <c r="DI403" s="93"/>
      <c r="DJ403" s="93"/>
      <c r="DK403" s="93"/>
      <c r="DL403" s="93"/>
      <c r="DM403" s="93"/>
      <c r="DN403" s="20"/>
      <c r="DO403" s="295"/>
      <c r="DP403" s="29"/>
      <c r="DQ403" s="1504">
        <v>46722</v>
      </c>
      <c r="DR403" s="19"/>
      <c r="DS403" s="93"/>
      <c r="DT403" s="93"/>
      <c r="DU403" s="93"/>
      <c r="DV403" s="93"/>
      <c r="DW403" s="93"/>
      <c r="DX403" s="20"/>
      <c r="DY403" s="29"/>
      <c r="DZ403" s="1504">
        <v>46722</v>
      </c>
      <c r="EA403" s="19"/>
      <c r="EB403" s="93"/>
      <c r="EC403" s="20"/>
      <c r="ED403" s="29"/>
      <c r="EE403" s="1504">
        <v>46722</v>
      </c>
      <c r="EF403" s="19"/>
      <c r="EG403" s="93"/>
      <c r="EH403" s="93"/>
      <c r="EI403" s="214"/>
      <c r="EJ403" s="93"/>
      <c r="EK403" s="93"/>
      <c r="EL403" s="93"/>
      <c r="EM403" s="93"/>
      <c r="EN403" s="20"/>
      <c r="EO403" s="29"/>
      <c r="EP403" s="1504">
        <v>46722</v>
      </c>
      <c r="EQ403" s="19"/>
      <c r="ER403" s="93"/>
      <c r="ES403" s="93"/>
      <c r="ET403" s="214"/>
      <c r="EU403" s="93"/>
      <c r="EV403" s="93"/>
      <c r="EW403" s="93"/>
      <c r="EX403" s="93"/>
      <c r="EY403" s="20"/>
      <c r="EZ403" s="29"/>
      <c r="FA403" s="1504">
        <v>46722</v>
      </c>
      <c r="FB403" s="29"/>
      <c r="FC403" s="29"/>
      <c r="FD403" s="29"/>
      <c r="FE403" s="29"/>
      <c r="FF403" s="29"/>
      <c r="FG403" s="29"/>
      <c r="FH403" s="29"/>
      <c r="FI403" s="29"/>
      <c r="FJ403" s="29"/>
      <c r="FK403" s="29"/>
      <c r="FL403" s="1504">
        <v>46722</v>
      </c>
      <c r="FM403" s="19"/>
      <c r="FN403" s="93"/>
      <c r="FO403" s="93"/>
      <c r="FP403" s="93"/>
      <c r="FQ403" s="93"/>
      <c r="FR403" s="93"/>
      <c r="FS403" s="93"/>
      <c r="FT403" s="93"/>
      <c r="FU403" s="93"/>
      <c r="FV403" s="93"/>
      <c r="FW403" s="93"/>
      <c r="FX403" s="93"/>
      <c r="FY403" s="93"/>
      <c r="FZ403" s="29"/>
      <c r="GA403" s="1504">
        <v>46722</v>
      </c>
      <c r="GB403" s="19"/>
      <c r="GC403" s="93"/>
      <c r="GD403" s="93"/>
      <c r="GE403" s="93"/>
      <c r="GF403" s="93"/>
      <c r="GG403" s="93"/>
      <c r="GH403" s="93"/>
      <c r="GI403" s="93"/>
      <c r="GJ403" s="93"/>
      <c r="GK403" s="93"/>
      <c r="GL403" s="93"/>
      <c r="GM403" s="93"/>
      <c r="GN403" s="20"/>
      <c r="GO403" s="29"/>
      <c r="GP403" s="1504">
        <v>46722</v>
      </c>
      <c r="GQ403" s="19"/>
      <c r="GR403" s="93"/>
      <c r="GS403" s="93"/>
      <c r="GT403" s="93"/>
      <c r="GU403" s="93"/>
      <c r="GV403" s="20"/>
      <c r="GW403" s="19"/>
      <c r="GX403" s="93"/>
      <c r="GY403" s="93"/>
      <c r="GZ403" s="93"/>
      <c r="HA403" s="93"/>
      <c r="HB403" s="20"/>
      <c r="HC403" s="19"/>
      <c r="HD403" s="93"/>
      <c r="HE403" s="93"/>
      <c r="HF403" s="93"/>
      <c r="HG403" s="93"/>
      <c r="HH403" s="20"/>
      <c r="HI403" s="19"/>
      <c r="HJ403" s="93"/>
      <c r="HK403" s="93"/>
      <c r="HL403" s="93"/>
      <c r="HM403" s="93"/>
      <c r="HN403" s="20"/>
      <c r="HO403" s="219"/>
      <c r="HP403" s="20"/>
      <c r="HQ403" s="25"/>
      <c r="HR403" s="29"/>
      <c r="HS403" s="1504">
        <v>46722</v>
      </c>
      <c r="HT403" s="19"/>
      <c r="HU403" s="93"/>
      <c r="HV403" s="93"/>
      <c r="HW403" s="93"/>
      <c r="HX403" s="93"/>
      <c r="HY403" s="93"/>
      <c r="HZ403" s="93"/>
      <c r="IA403" s="20"/>
      <c r="IB403" s="19"/>
      <c r="IC403" s="93"/>
      <c r="ID403" s="93"/>
      <c r="IE403" s="93"/>
      <c r="IF403" s="93"/>
      <c r="IG403" s="20"/>
      <c r="IH403" s="19"/>
      <c r="II403" s="93"/>
      <c r="IJ403" s="93"/>
      <c r="IK403" s="93"/>
      <c r="IL403" s="93"/>
      <c r="IM403" s="93"/>
      <c r="IN403" s="93"/>
      <c r="IO403" s="20"/>
      <c r="IP403" s="29"/>
      <c r="IQ403" s="19"/>
      <c r="IR403" s="93"/>
      <c r="IS403" s="93"/>
      <c r="IT403" s="93"/>
      <c r="IU403" s="93"/>
      <c r="IV403" s="20"/>
      <c r="IW403" s="29"/>
      <c r="IX403" s="19"/>
      <c r="IY403" s="93"/>
      <c r="IZ403" s="93"/>
      <c r="JA403" s="93"/>
      <c r="JB403" s="93"/>
      <c r="JC403" s="93"/>
      <c r="JD403" s="93"/>
      <c r="JE403" s="20"/>
      <c r="JF403" s="29"/>
      <c r="JG403" s="19"/>
      <c r="JH403" s="93"/>
      <c r="JI403" s="93"/>
      <c r="JJ403" s="93"/>
      <c r="JK403" s="93"/>
      <c r="JL403" s="93"/>
      <c r="JM403" s="93"/>
      <c r="JN403" s="20"/>
      <c r="JO403" s="29"/>
      <c r="JP403" s="19"/>
      <c r="JQ403" s="93"/>
      <c r="JR403" s="93"/>
      <c r="JS403" s="93"/>
      <c r="JT403" s="93"/>
      <c r="JU403" s="20"/>
      <c r="JV403" s="29"/>
      <c r="JW403" s="1504">
        <v>46722</v>
      </c>
      <c r="JX403" s="19"/>
      <c r="JY403" s="93"/>
      <c r="JZ403" s="93"/>
      <c r="KA403" s="93"/>
      <c r="KB403" s="93"/>
      <c r="KC403" s="93"/>
      <c r="KD403" s="20"/>
      <c r="KE403" s="29"/>
      <c r="KF403" s="19"/>
      <c r="KG403" s="93"/>
      <c r="KH403" s="93"/>
      <c r="KI403" s="93"/>
      <c r="KJ403" s="93"/>
      <c r="KK403" s="20"/>
      <c r="KL403" s="29"/>
      <c r="KM403" s="19"/>
      <c r="KN403" s="93"/>
      <c r="KO403" s="93"/>
      <c r="KP403" s="93"/>
      <c r="KQ403" s="93"/>
      <c r="KR403" s="20"/>
      <c r="KS403" s="29"/>
      <c r="KT403" s="19"/>
      <c r="KU403" s="93"/>
      <c r="KV403" s="93"/>
      <c r="KW403" s="93"/>
      <c r="KX403" s="93"/>
      <c r="KY403" s="20"/>
      <c r="KZ403" s="29"/>
      <c r="LA403" s="1504">
        <v>46722</v>
      </c>
      <c r="LB403" s="19"/>
      <c r="LC403" s="93"/>
      <c r="LD403" s="93"/>
      <c r="LE403" s="93"/>
      <c r="LF403" s="93"/>
      <c r="LG403" s="93"/>
      <c r="LH403" s="20"/>
      <c r="LI403" s="29"/>
      <c r="LJ403" s="19"/>
      <c r="LK403" s="93"/>
      <c r="LL403" s="93"/>
      <c r="LM403" s="93"/>
      <c r="LN403" s="93"/>
      <c r="LO403" s="20"/>
      <c r="LP403" s="29"/>
      <c r="LQ403" s="19"/>
      <c r="LR403" s="93"/>
      <c r="LS403" s="93"/>
      <c r="LT403" s="93"/>
      <c r="LU403" s="93"/>
      <c r="LV403" s="93"/>
      <c r="LW403" s="93"/>
      <c r="LX403" s="93"/>
      <c r="LY403" s="93"/>
      <c r="LZ403" s="93"/>
      <c r="MA403" s="20"/>
      <c r="MB403" s="29"/>
      <c r="MC403" s="1504">
        <v>46722</v>
      </c>
      <c r="MD403" s="19"/>
      <c r="ME403" s="93"/>
      <c r="MF403" s="93"/>
      <c r="MG403" s="93"/>
      <c r="MH403" s="93"/>
      <c r="MI403" s="93"/>
      <c r="MJ403" s="93"/>
      <c r="MK403" s="93"/>
      <c r="ML403" s="93"/>
      <c r="MM403" s="93"/>
      <c r="MN403" s="93"/>
      <c r="MO403" s="93"/>
      <c r="MP403" s="93"/>
      <c r="MQ403" s="93"/>
      <c r="MR403" s="93"/>
      <c r="MS403" s="93"/>
      <c r="MT403" s="93"/>
      <c r="MU403" s="93"/>
      <c r="MV403" s="93"/>
      <c r="MW403" s="93"/>
      <c r="MX403" s="93"/>
      <c r="MY403" s="93"/>
      <c r="MZ403" s="93"/>
      <c r="NA403" s="93"/>
      <c r="NB403" s="93"/>
      <c r="NC403" s="93"/>
      <c r="ND403" s="93"/>
      <c r="NE403" s="93"/>
      <c r="NF403" s="93"/>
      <c r="NG403" s="93"/>
      <c r="NH403" s="93"/>
      <c r="NI403" s="93"/>
      <c r="NJ403" s="93"/>
      <c r="NK403" s="93"/>
      <c r="NL403" s="93"/>
      <c r="NM403" s="93"/>
      <c r="NN403" s="93"/>
      <c r="NO403" s="93"/>
      <c r="NP403" s="93"/>
      <c r="NQ403" s="93"/>
      <c r="NR403" s="93"/>
      <c r="NS403" s="93"/>
      <c r="NT403" s="93"/>
      <c r="NU403" s="93"/>
      <c r="NV403" s="93"/>
      <c r="NW403" s="93"/>
      <c r="NX403" s="93"/>
      <c r="NY403" s="93"/>
      <c r="NZ403" s="93"/>
      <c r="OA403" s="93"/>
      <c r="OB403" s="93"/>
      <c r="OC403" s="93"/>
      <c r="OD403" s="20"/>
      <c r="OE403" s="29"/>
      <c r="OF403" s="1504">
        <v>46722</v>
      </c>
      <c r="OG403" s="19"/>
      <c r="OH403" s="93"/>
      <c r="OI403" s="93"/>
      <c r="OJ403" s="93"/>
      <c r="OK403" s="93"/>
      <c r="OL403" s="93"/>
      <c r="OM403" s="93"/>
      <c r="ON403" s="93"/>
      <c r="OO403" s="93"/>
      <c r="OP403" s="93"/>
      <c r="OQ403" s="93"/>
      <c r="OR403" s="93"/>
      <c r="OS403" s="93"/>
      <c r="OT403" s="93"/>
      <c r="OU403" s="93"/>
      <c r="OV403" s="93"/>
      <c r="OW403" s="93"/>
      <c r="OX403" s="93"/>
      <c r="OY403" s="93"/>
      <c r="OZ403" s="93"/>
      <c r="PA403" s="93"/>
      <c r="PB403" s="93"/>
      <c r="PC403" s="20"/>
      <c r="PD403" s="29"/>
      <c r="PE403" s="19"/>
      <c r="PF403" s="93"/>
      <c r="PG403" s="93"/>
      <c r="PH403" s="93"/>
      <c r="PI403" s="93"/>
      <c r="PJ403" s="93"/>
      <c r="PK403" s="93"/>
      <c r="PL403" s="93"/>
      <c r="PM403" s="93"/>
      <c r="PN403" s="93"/>
      <c r="PO403" s="93"/>
      <c r="PP403" s="93"/>
      <c r="PQ403" s="93"/>
      <c r="PR403" s="93"/>
      <c r="PS403" s="93"/>
      <c r="PT403" s="93"/>
      <c r="PU403" s="93"/>
      <c r="PV403" s="93"/>
      <c r="PW403" s="93"/>
      <c r="PX403" s="93"/>
      <c r="PY403" s="93"/>
      <c r="PZ403" s="93"/>
      <c r="QA403" s="93"/>
      <c r="QB403" s="93"/>
      <c r="QC403" s="93"/>
      <c r="QD403" s="93"/>
      <c r="QE403" s="20"/>
      <c r="QF403" s="1739"/>
      <c r="QG403" s="19"/>
      <c r="QH403" s="93"/>
      <c r="QI403" s="93"/>
      <c r="QJ403" s="93"/>
      <c r="QK403" s="93"/>
      <c r="QL403" s="93"/>
      <c r="QM403" s="93"/>
      <c r="QN403" s="93"/>
      <c r="QO403" s="93"/>
      <c r="QP403" s="93"/>
      <c r="QQ403" s="93"/>
      <c r="QR403" s="93"/>
      <c r="QS403" s="93"/>
      <c r="QT403" s="93"/>
      <c r="QU403" s="93"/>
      <c r="QV403" s="93"/>
      <c r="QW403" s="93"/>
      <c r="QX403" s="93"/>
      <c r="QY403" s="93"/>
      <c r="QZ403" s="93"/>
      <c r="RA403" s="93"/>
      <c r="RB403" s="93"/>
      <c r="RC403" s="93"/>
      <c r="RD403" s="93"/>
      <c r="RE403" s="93"/>
      <c r="RF403" s="93"/>
      <c r="RG403" s="93"/>
      <c r="RH403" s="93"/>
      <c r="RI403" s="93"/>
      <c r="RJ403" s="93"/>
      <c r="RK403" s="93"/>
      <c r="RL403" s="93"/>
      <c r="RM403" s="20"/>
      <c r="RN403" s="29"/>
      <c r="RO403" s="19"/>
      <c r="RP403" s="20"/>
      <c r="RQ403" s="29"/>
      <c r="RR403" s="20"/>
      <c r="RS403" s="29"/>
      <c r="RT403" s="1504">
        <v>46722</v>
      </c>
      <c r="RU403" s="19"/>
      <c r="RV403" s="20"/>
      <c r="RW403" s="29"/>
      <c r="RX403" s="1504">
        <v>46722</v>
      </c>
      <c r="RY403" s="29"/>
      <c r="RZ403" s="20"/>
      <c r="SA403" s="29"/>
      <c r="SB403" s="29"/>
    </row>
    <row r="404" spans="1:496">
      <c r="A404" s="41">
        <f t="shared" si="346"/>
        <v>2028</v>
      </c>
      <c r="B404" s="1504">
        <v>46753</v>
      </c>
      <c r="C404" s="1813"/>
      <c r="D404" s="1814"/>
      <c r="E404" s="1814"/>
      <c r="F404" s="1815"/>
      <c r="G404" s="1814"/>
      <c r="H404" s="1814"/>
      <c r="I404" s="1814"/>
      <c r="J404" s="1816"/>
      <c r="K404" s="1807"/>
      <c r="L404" s="25"/>
      <c r="M404" s="97"/>
      <c r="N404" s="1504">
        <v>46753</v>
      </c>
      <c r="O404" s="19"/>
      <c r="P404" s="93"/>
      <c r="Q404" s="93"/>
      <c r="R404" s="93"/>
      <c r="S404" s="93"/>
      <c r="T404" s="93"/>
      <c r="U404" s="93"/>
      <c r="V404" s="93"/>
      <c r="W404" s="93"/>
      <c r="X404" s="93"/>
      <c r="Y404" s="93"/>
      <c r="Z404" s="93"/>
      <c r="AA404" s="93"/>
      <c r="AB404" s="20"/>
      <c r="AC404" s="25"/>
      <c r="AD404" s="97"/>
      <c r="AE404" s="1504">
        <v>46753</v>
      </c>
      <c r="AF404" s="19"/>
      <c r="AG404" s="93"/>
      <c r="AH404" s="93"/>
      <c r="AI404" s="93"/>
      <c r="AJ404" s="93"/>
      <c r="AK404" s="93"/>
      <c r="AL404" s="93"/>
      <c r="AM404" s="93"/>
      <c r="AN404" s="93"/>
      <c r="AO404" s="93"/>
      <c r="AP404" s="93"/>
      <c r="AQ404" s="93"/>
      <c r="AR404" s="93"/>
      <c r="AS404" s="20"/>
      <c r="AT404" s="25"/>
      <c r="AU404" s="97"/>
      <c r="AV404" s="1504">
        <v>46753</v>
      </c>
      <c r="AW404" s="19"/>
      <c r="AX404" s="93"/>
      <c r="AY404" s="93"/>
      <c r="AZ404" s="93"/>
      <c r="BA404" s="93"/>
      <c r="BB404" s="93"/>
      <c r="BC404" s="93"/>
      <c r="BD404" s="93"/>
      <c r="BE404" s="93"/>
      <c r="BF404" s="93"/>
      <c r="BG404" s="93"/>
      <c r="BH404" s="93"/>
      <c r="BI404" s="93"/>
      <c r="BJ404" s="20"/>
      <c r="BK404" s="25"/>
      <c r="BL404" s="97"/>
      <c r="BM404" s="1504">
        <v>46753</v>
      </c>
      <c r="BN404" s="19"/>
      <c r="BO404" s="93"/>
      <c r="BP404" s="93"/>
      <c r="BQ404" s="93"/>
      <c r="BR404" s="93"/>
      <c r="BS404" s="93"/>
      <c r="BT404" s="93"/>
      <c r="BU404" s="20"/>
      <c r="BV404" s="25"/>
      <c r="BW404" s="97"/>
      <c r="BX404" s="1504">
        <v>46753</v>
      </c>
      <c r="BY404" s="19"/>
      <c r="BZ404" s="93"/>
      <c r="CA404" s="93"/>
      <c r="CB404" s="93"/>
      <c r="CC404" s="93"/>
      <c r="CD404" s="25"/>
      <c r="CE404" s="97"/>
      <c r="CF404" s="1504">
        <v>46753</v>
      </c>
      <c r="CG404" s="19"/>
      <c r="CH404" s="93"/>
      <c r="CI404" s="219"/>
      <c r="CJ404" s="20"/>
      <c r="CK404" s="19"/>
      <c r="CL404" s="93"/>
      <c r="CM404" s="93"/>
      <c r="CN404" s="93"/>
      <c r="CO404" s="93"/>
      <c r="CP404" s="20"/>
      <c r="CQ404" s="219"/>
      <c r="CR404" s="93"/>
      <c r="CS404" s="93"/>
      <c r="CT404" s="93"/>
      <c r="CU404" s="93"/>
      <c r="CV404" s="214"/>
      <c r="CW404" s="29"/>
      <c r="CX404" s="41">
        <f t="shared" si="357"/>
        <v>2028</v>
      </c>
      <c r="CY404" s="1504">
        <v>46753</v>
      </c>
      <c r="CZ404" s="19"/>
      <c r="DA404" s="93"/>
      <c r="DB404" s="93"/>
      <c r="DC404" s="93"/>
      <c r="DD404" s="93"/>
      <c r="DE404" s="20"/>
      <c r="DF404" s="29"/>
      <c r="DG404" s="1504">
        <v>46753</v>
      </c>
      <c r="DH404" s="19"/>
      <c r="DI404" s="93"/>
      <c r="DJ404" s="93"/>
      <c r="DK404" s="93"/>
      <c r="DL404" s="93"/>
      <c r="DM404" s="93"/>
      <c r="DN404" s="20"/>
      <c r="DO404" s="295"/>
      <c r="DP404" s="29"/>
      <c r="DQ404" s="1504">
        <v>46753</v>
      </c>
      <c r="DR404" s="19"/>
      <c r="DS404" s="93"/>
      <c r="DT404" s="93"/>
      <c r="DU404" s="93"/>
      <c r="DV404" s="93"/>
      <c r="DW404" s="93"/>
      <c r="DX404" s="20"/>
      <c r="DY404" s="29"/>
      <c r="DZ404" s="1504">
        <v>46753</v>
      </c>
      <c r="EA404" s="19"/>
      <c r="EB404" s="93"/>
      <c r="EC404" s="20"/>
      <c r="ED404" s="29"/>
      <c r="EE404" s="1504">
        <v>46753</v>
      </c>
      <c r="EF404" s="19"/>
      <c r="EG404" s="93"/>
      <c r="EH404" s="93"/>
      <c r="EI404" s="214"/>
      <c r="EJ404" s="93"/>
      <c r="EK404" s="93"/>
      <c r="EL404" s="93"/>
      <c r="EM404" s="93"/>
      <c r="EN404" s="20"/>
      <c r="EO404" s="29"/>
      <c r="EP404" s="1504">
        <v>46753</v>
      </c>
      <c r="EQ404" s="19"/>
      <c r="ER404" s="93"/>
      <c r="ES404" s="93"/>
      <c r="ET404" s="214"/>
      <c r="EU404" s="93"/>
      <c r="EV404" s="93"/>
      <c r="EW404" s="93"/>
      <c r="EX404" s="93"/>
      <c r="EY404" s="20"/>
      <c r="EZ404" s="29"/>
      <c r="FA404" s="1504">
        <v>46753</v>
      </c>
      <c r="FB404" s="29"/>
      <c r="FC404" s="29"/>
      <c r="FD404" s="29"/>
      <c r="FE404" s="29"/>
      <c r="FF404" s="29"/>
      <c r="FG404" s="29"/>
      <c r="FH404" s="29"/>
      <c r="FI404" s="29"/>
      <c r="FJ404" s="29"/>
      <c r="FK404" s="29"/>
      <c r="FL404" s="1504">
        <v>46753</v>
      </c>
      <c r="FM404" s="19"/>
      <c r="FN404" s="93"/>
      <c r="FO404" s="93"/>
      <c r="FP404" s="93"/>
      <c r="FQ404" s="93"/>
      <c r="FR404" s="93"/>
      <c r="FS404" s="93"/>
      <c r="FT404" s="93"/>
      <c r="FU404" s="93"/>
      <c r="FV404" s="93"/>
      <c r="FW404" s="93"/>
      <c r="FX404" s="93"/>
      <c r="FY404" s="93"/>
      <c r="FZ404" s="29"/>
      <c r="GA404" s="1504">
        <v>46753</v>
      </c>
      <c r="GB404" s="19"/>
      <c r="GC404" s="93"/>
      <c r="GD404" s="93"/>
      <c r="GE404" s="93"/>
      <c r="GF404" s="93"/>
      <c r="GG404" s="93"/>
      <c r="GH404" s="93"/>
      <c r="GI404" s="93"/>
      <c r="GJ404" s="93"/>
      <c r="GK404" s="93"/>
      <c r="GL404" s="93"/>
      <c r="GM404" s="93"/>
      <c r="GN404" s="20"/>
      <c r="GO404" s="29"/>
      <c r="GP404" s="1504">
        <v>46753</v>
      </c>
      <c r="GQ404" s="19"/>
      <c r="GR404" s="93"/>
      <c r="GS404" s="93"/>
      <c r="GT404" s="93"/>
      <c r="GU404" s="93"/>
      <c r="GV404" s="20"/>
      <c r="GW404" s="19"/>
      <c r="GX404" s="93"/>
      <c r="GY404" s="93"/>
      <c r="GZ404" s="93"/>
      <c r="HA404" s="93"/>
      <c r="HB404" s="20"/>
      <c r="HC404" s="19"/>
      <c r="HD404" s="93"/>
      <c r="HE404" s="93"/>
      <c r="HF404" s="93"/>
      <c r="HG404" s="93"/>
      <c r="HH404" s="20"/>
      <c r="HI404" s="19"/>
      <c r="HJ404" s="93"/>
      <c r="HK404" s="93"/>
      <c r="HL404" s="93"/>
      <c r="HM404" s="93"/>
      <c r="HN404" s="20"/>
      <c r="HO404" s="219"/>
      <c r="HP404" s="20"/>
      <c r="HQ404" s="25"/>
      <c r="HR404" s="29"/>
      <c r="HS404" s="1504">
        <v>46753</v>
      </c>
      <c r="HT404" s="19"/>
      <c r="HU404" s="93"/>
      <c r="HV404" s="93"/>
      <c r="HW404" s="93"/>
      <c r="HX404" s="93"/>
      <c r="HY404" s="93"/>
      <c r="HZ404" s="93"/>
      <c r="IA404" s="20"/>
      <c r="IB404" s="19"/>
      <c r="IC404" s="93"/>
      <c r="ID404" s="93"/>
      <c r="IE404" s="93"/>
      <c r="IF404" s="93"/>
      <c r="IG404" s="20"/>
      <c r="IH404" s="19"/>
      <c r="II404" s="93"/>
      <c r="IJ404" s="93"/>
      <c r="IK404" s="93"/>
      <c r="IL404" s="93"/>
      <c r="IM404" s="93"/>
      <c r="IN404" s="93"/>
      <c r="IO404" s="20"/>
      <c r="IP404" s="29"/>
      <c r="IQ404" s="19"/>
      <c r="IR404" s="93"/>
      <c r="IS404" s="93"/>
      <c r="IT404" s="93"/>
      <c r="IU404" s="93"/>
      <c r="IV404" s="20"/>
      <c r="IW404" s="29"/>
      <c r="IX404" s="19"/>
      <c r="IY404" s="93"/>
      <c r="IZ404" s="93"/>
      <c r="JA404" s="93"/>
      <c r="JB404" s="93"/>
      <c r="JC404" s="93"/>
      <c r="JD404" s="93"/>
      <c r="JE404" s="20"/>
      <c r="JF404" s="29"/>
      <c r="JG404" s="19"/>
      <c r="JH404" s="93"/>
      <c r="JI404" s="93"/>
      <c r="JJ404" s="93"/>
      <c r="JK404" s="93"/>
      <c r="JL404" s="93"/>
      <c r="JM404" s="93"/>
      <c r="JN404" s="20"/>
      <c r="JO404" s="29"/>
      <c r="JP404" s="19"/>
      <c r="JQ404" s="93"/>
      <c r="JR404" s="93"/>
      <c r="JS404" s="93"/>
      <c r="JT404" s="93"/>
      <c r="JU404" s="20"/>
      <c r="JV404" s="29"/>
      <c r="JW404" s="1504">
        <v>46753</v>
      </c>
      <c r="JX404" s="19"/>
      <c r="JY404" s="93"/>
      <c r="JZ404" s="93"/>
      <c r="KA404" s="93"/>
      <c r="KB404" s="93"/>
      <c r="KC404" s="93"/>
      <c r="KD404" s="20"/>
      <c r="KE404" s="29"/>
      <c r="KF404" s="19"/>
      <c r="KG404" s="93"/>
      <c r="KH404" s="93"/>
      <c r="KI404" s="93"/>
      <c r="KJ404" s="93"/>
      <c r="KK404" s="20"/>
      <c r="KL404" s="29"/>
      <c r="KM404" s="19"/>
      <c r="KN404" s="93"/>
      <c r="KO404" s="93"/>
      <c r="KP404" s="93"/>
      <c r="KQ404" s="93"/>
      <c r="KR404" s="20"/>
      <c r="KS404" s="29"/>
      <c r="KT404" s="19"/>
      <c r="KU404" s="93"/>
      <c r="KV404" s="93"/>
      <c r="KW404" s="93"/>
      <c r="KX404" s="93"/>
      <c r="KY404" s="20"/>
      <c r="KZ404" s="29"/>
      <c r="LA404" s="1504">
        <v>46753</v>
      </c>
      <c r="LB404" s="19"/>
      <c r="LC404" s="93"/>
      <c r="LD404" s="93"/>
      <c r="LE404" s="93"/>
      <c r="LF404" s="93"/>
      <c r="LG404" s="93"/>
      <c r="LH404" s="20"/>
      <c r="LI404" s="29"/>
      <c r="LJ404" s="19"/>
      <c r="LK404" s="93"/>
      <c r="LL404" s="93"/>
      <c r="LM404" s="93"/>
      <c r="LN404" s="93"/>
      <c r="LO404" s="20"/>
      <c r="LP404" s="29"/>
      <c r="LQ404" s="19"/>
      <c r="LR404" s="93"/>
      <c r="LS404" s="93"/>
      <c r="LT404" s="93"/>
      <c r="LU404" s="93"/>
      <c r="LV404" s="93"/>
      <c r="LW404" s="93"/>
      <c r="LX404" s="93"/>
      <c r="LY404" s="93"/>
      <c r="LZ404" s="93"/>
      <c r="MA404" s="20"/>
      <c r="MB404" s="29"/>
      <c r="MC404" s="1504">
        <v>46753</v>
      </c>
      <c r="MD404" s="19"/>
      <c r="ME404" s="93"/>
      <c r="MF404" s="93"/>
      <c r="MG404" s="93"/>
      <c r="MH404" s="93"/>
      <c r="MI404" s="93"/>
      <c r="MJ404" s="93"/>
      <c r="MK404" s="93"/>
      <c r="ML404" s="93"/>
      <c r="MM404" s="93"/>
      <c r="MN404" s="93"/>
      <c r="MO404" s="93"/>
      <c r="MP404" s="93"/>
      <c r="MQ404" s="93"/>
      <c r="MR404" s="93"/>
      <c r="MS404" s="93"/>
      <c r="MT404" s="93"/>
      <c r="MU404" s="93"/>
      <c r="MV404" s="93"/>
      <c r="MW404" s="93"/>
      <c r="MX404" s="93"/>
      <c r="MY404" s="93"/>
      <c r="MZ404" s="93"/>
      <c r="NA404" s="93"/>
      <c r="NB404" s="93"/>
      <c r="NC404" s="93"/>
      <c r="ND404" s="93"/>
      <c r="NE404" s="93"/>
      <c r="NF404" s="93"/>
      <c r="NG404" s="93"/>
      <c r="NH404" s="93"/>
      <c r="NI404" s="93"/>
      <c r="NJ404" s="93"/>
      <c r="NK404" s="93"/>
      <c r="NL404" s="93"/>
      <c r="NM404" s="93"/>
      <c r="NN404" s="93"/>
      <c r="NO404" s="93"/>
      <c r="NP404" s="93"/>
      <c r="NQ404" s="93"/>
      <c r="NR404" s="93"/>
      <c r="NS404" s="93"/>
      <c r="NT404" s="93"/>
      <c r="NU404" s="93"/>
      <c r="NV404" s="93"/>
      <c r="NW404" s="93"/>
      <c r="NX404" s="93"/>
      <c r="NY404" s="93"/>
      <c r="NZ404" s="93"/>
      <c r="OA404" s="93"/>
      <c r="OB404" s="93"/>
      <c r="OC404" s="93"/>
      <c r="OD404" s="20"/>
      <c r="OE404" s="29"/>
      <c r="OF404" s="1504">
        <v>46753</v>
      </c>
      <c r="OG404" s="19"/>
      <c r="OH404" s="93"/>
      <c r="OI404" s="93"/>
      <c r="OJ404" s="93"/>
      <c r="OK404" s="93"/>
      <c r="OL404" s="93"/>
      <c r="OM404" s="93"/>
      <c r="ON404" s="93"/>
      <c r="OO404" s="93"/>
      <c r="OP404" s="93"/>
      <c r="OQ404" s="93"/>
      <c r="OR404" s="93"/>
      <c r="OS404" s="93"/>
      <c r="OT404" s="93"/>
      <c r="OU404" s="93"/>
      <c r="OV404" s="93"/>
      <c r="OW404" s="93"/>
      <c r="OX404" s="93"/>
      <c r="OY404" s="93"/>
      <c r="OZ404" s="93"/>
      <c r="PA404" s="93"/>
      <c r="PB404" s="93"/>
      <c r="PC404" s="20"/>
      <c r="PD404" s="29"/>
      <c r="PE404" s="19"/>
      <c r="PF404" s="93"/>
      <c r="PG404" s="93"/>
      <c r="PH404" s="93"/>
      <c r="PI404" s="93"/>
      <c r="PJ404" s="93"/>
      <c r="PK404" s="93"/>
      <c r="PL404" s="93"/>
      <c r="PM404" s="93"/>
      <c r="PN404" s="93"/>
      <c r="PO404" s="93"/>
      <c r="PP404" s="93"/>
      <c r="PQ404" s="93"/>
      <c r="PR404" s="93"/>
      <c r="PS404" s="93"/>
      <c r="PT404" s="93"/>
      <c r="PU404" s="93"/>
      <c r="PV404" s="93"/>
      <c r="PW404" s="93"/>
      <c r="PX404" s="93"/>
      <c r="PY404" s="93"/>
      <c r="PZ404" s="93"/>
      <c r="QA404" s="93"/>
      <c r="QB404" s="93"/>
      <c r="QC404" s="93"/>
      <c r="QD404" s="93"/>
      <c r="QE404" s="20"/>
      <c r="QF404" s="1739"/>
      <c r="QG404" s="19"/>
      <c r="QH404" s="93"/>
      <c r="QI404" s="93"/>
      <c r="QJ404" s="93"/>
      <c r="QK404" s="93"/>
      <c r="QL404" s="93"/>
      <c r="QM404" s="93"/>
      <c r="QN404" s="93"/>
      <c r="QO404" s="93"/>
      <c r="QP404" s="93"/>
      <c r="QQ404" s="93"/>
      <c r="QR404" s="93"/>
      <c r="QS404" s="93"/>
      <c r="QT404" s="93"/>
      <c r="QU404" s="93"/>
      <c r="QV404" s="93"/>
      <c r="QW404" s="93"/>
      <c r="QX404" s="93"/>
      <c r="QY404" s="93"/>
      <c r="QZ404" s="93"/>
      <c r="RA404" s="93"/>
      <c r="RB404" s="93"/>
      <c r="RC404" s="93"/>
      <c r="RD404" s="93"/>
      <c r="RE404" s="93"/>
      <c r="RF404" s="93"/>
      <c r="RG404" s="93"/>
      <c r="RH404" s="93"/>
      <c r="RI404" s="93"/>
      <c r="RJ404" s="93"/>
      <c r="RK404" s="93"/>
      <c r="RL404" s="93"/>
      <c r="RM404" s="20"/>
      <c r="RN404" s="29"/>
      <c r="RO404" s="19"/>
      <c r="RP404" s="20"/>
      <c r="RQ404" s="29"/>
      <c r="RR404" s="20"/>
      <c r="RS404" s="29"/>
      <c r="RT404" s="1504">
        <v>46753</v>
      </c>
      <c r="RU404" s="19"/>
      <c r="RV404" s="20"/>
      <c r="RW404" s="29"/>
      <c r="RX404" s="1504">
        <v>46753</v>
      </c>
      <c r="RY404" s="29"/>
      <c r="RZ404" s="20"/>
      <c r="SA404" s="29"/>
      <c r="SB404" s="29"/>
    </row>
    <row r="405" spans="1:496">
      <c r="A405" s="41">
        <f t="shared" si="346"/>
        <v>2028</v>
      </c>
      <c r="B405" s="1504">
        <v>46784</v>
      </c>
      <c r="C405" s="1813"/>
      <c r="D405" s="1814"/>
      <c r="E405" s="1814"/>
      <c r="F405" s="1815"/>
      <c r="G405" s="1814"/>
      <c r="H405" s="1814"/>
      <c r="I405" s="1814"/>
      <c r="J405" s="1816"/>
      <c r="K405" s="1807"/>
      <c r="L405" s="25"/>
      <c r="M405" s="97"/>
      <c r="N405" s="1504">
        <v>46784</v>
      </c>
      <c r="O405" s="19"/>
      <c r="P405" s="93"/>
      <c r="Q405" s="93"/>
      <c r="R405" s="93"/>
      <c r="S405" s="93"/>
      <c r="T405" s="93"/>
      <c r="U405" s="93"/>
      <c r="V405" s="93"/>
      <c r="W405" s="93"/>
      <c r="X405" s="93"/>
      <c r="Y405" s="93"/>
      <c r="Z405" s="93"/>
      <c r="AA405" s="93"/>
      <c r="AB405" s="20"/>
      <c r="AC405" s="25"/>
      <c r="AD405" s="97"/>
      <c r="AE405" s="1504">
        <v>46784</v>
      </c>
      <c r="AF405" s="19"/>
      <c r="AG405" s="93"/>
      <c r="AH405" s="93"/>
      <c r="AI405" s="93"/>
      <c r="AJ405" s="93"/>
      <c r="AK405" s="93"/>
      <c r="AL405" s="93"/>
      <c r="AM405" s="93"/>
      <c r="AN405" s="93"/>
      <c r="AO405" s="93"/>
      <c r="AP405" s="93"/>
      <c r="AQ405" s="93"/>
      <c r="AR405" s="93"/>
      <c r="AS405" s="20"/>
      <c r="AT405" s="25"/>
      <c r="AU405" s="97"/>
      <c r="AV405" s="1504">
        <v>46784</v>
      </c>
      <c r="AW405" s="19"/>
      <c r="AX405" s="93"/>
      <c r="AY405" s="93"/>
      <c r="AZ405" s="93"/>
      <c r="BA405" s="93"/>
      <c r="BB405" s="93"/>
      <c r="BC405" s="93"/>
      <c r="BD405" s="93"/>
      <c r="BE405" s="93"/>
      <c r="BF405" s="93"/>
      <c r="BG405" s="93"/>
      <c r="BH405" s="93"/>
      <c r="BI405" s="93"/>
      <c r="BJ405" s="20"/>
      <c r="BK405" s="25"/>
      <c r="BL405" s="97"/>
      <c r="BM405" s="1504">
        <v>46784</v>
      </c>
      <c r="BN405" s="19"/>
      <c r="BO405" s="93"/>
      <c r="BP405" s="93"/>
      <c r="BQ405" s="93"/>
      <c r="BR405" s="93"/>
      <c r="BS405" s="93"/>
      <c r="BT405" s="93"/>
      <c r="BU405" s="20"/>
      <c r="BV405" s="25"/>
      <c r="BW405" s="97"/>
      <c r="BX405" s="1504">
        <v>46784</v>
      </c>
      <c r="BY405" s="19"/>
      <c r="BZ405" s="93"/>
      <c r="CA405" s="93"/>
      <c r="CB405" s="93"/>
      <c r="CC405" s="93"/>
      <c r="CD405" s="25"/>
      <c r="CE405" s="97"/>
      <c r="CF405" s="1504">
        <v>46784</v>
      </c>
      <c r="CG405" s="19"/>
      <c r="CH405" s="93"/>
      <c r="CI405" s="219"/>
      <c r="CJ405" s="20"/>
      <c r="CK405" s="19"/>
      <c r="CL405" s="93"/>
      <c r="CM405" s="93"/>
      <c r="CN405" s="93"/>
      <c r="CO405" s="93"/>
      <c r="CP405" s="20"/>
      <c r="CQ405" s="219"/>
      <c r="CR405" s="93"/>
      <c r="CS405" s="93"/>
      <c r="CT405" s="93"/>
      <c r="CU405" s="93"/>
      <c r="CV405" s="214"/>
      <c r="CW405" s="29"/>
      <c r="CX405" s="41">
        <f t="shared" si="357"/>
        <v>2028</v>
      </c>
      <c r="CY405" s="1504">
        <v>46784</v>
      </c>
      <c r="CZ405" s="19"/>
      <c r="DA405" s="93"/>
      <c r="DB405" s="93"/>
      <c r="DC405" s="93"/>
      <c r="DD405" s="93"/>
      <c r="DE405" s="20"/>
      <c r="DF405" s="29"/>
      <c r="DG405" s="1504">
        <v>46784</v>
      </c>
      <c r="DH405" s="19"/>
      <c r="DI405" s="93"/>
      <c r="DJ405" s="93"/>
      <c r="DK405" s="93"/>
      <c r="DL405" s="93"/>
      <c r="DM405" s="93"/>
      <c r="DN405" s="20"/>
      <c r="DO405" s="295"/>
      <c r="DP405" s="29"/>
      <c r="DQ405" s="1504">
        <v>46784</v>
      </c>
      <c r="DR405" s="19"/>
      <c r="DS405" s="93"/>
      <c r="DT405" s="93"/>
      <c r="DU405" s="93"/>
      <c r="DV405" s="93"/>
      <c r="DW405" s="93"/>
      <c r="DX405" s="20"/>
      <c r="DY405" s="29"/>
      <c r="DZ405" s="1504">
        <v>46784</v>
      </c>
      <c r="EA405" s="19"/>
      <c r="EB405" s="93"/>
      <c r="EC405" s="20"/>
      <c r="ED405" s="29"/>
      <c r="EE405" s="1504">
        <v>46784</v>
      </c>
      <c r="EF405" s="19"/>
      <c r="EG405" s="93"/>
      <c r="EH405" s="93"/>
      <c r="EI405" s="214"/>
      <c r="EJ405" s="93"/>
      <c r="EK405" s="93"/>
      <c r="EL405" s="93"/>
      <c r="EM405" s="93"/>
      <c r="EN405" s="20"/>
      <c r="EO405" s="29"/>
      <c r="EP405" s="1504">
        <v>46784</v>
      </c>
      <c r="EQ405" s="19"/>
      <c r="ER405" s="93"/>
      <c r="ES405" s="93"/>
      <c r="ET405" s="214"/>
      <c r="EU405" s="93"/>
      <c r="EV405" s="93"/>
      <c r="EW405" s="93"/>
      <c r="EX405" s="93"/>
      <c r="EY405" s="20"/>
      <c r="EZ405" s="29"/>
      <c r="FA405" s="1504">
        <v>46784</v>
      </c>
      <c r="FB405" s="29"/>
      <c r="FC405" s="29"/>
      <c r="FD405" s="29"/>
      <c r="FE405" s="29"/>
      <c r="FF405" s="29"/>
      <c r="FG405" s="29"/>
      <c r="FH405" s="29"/>
      <c r="FI405" s="29"/>
      <c r="FJ405" s="29"/>
      <c r="FK405" s="29"/>
      <c r="FL405" s="1504">
        <v>46784</v>
      </c>
      <c r="FM405" s="19"/>
      <c r="FN405" s="93"/>
      <c r="FO405" s="93"/>
      <c r="FP405" s="93"/>
      <c r="FQ405" s="93"/>
      <c r="FR405" s="93"/>
      <c r="FS405" s="93"/>
      <c r="FT405" s="93"/>
      <c r="FU405" s="93"/>
      <c r="FV405" s="93"/>
      <c r="FW405" s="93"/>
      <c r="FX405" s="93"/>
      <c r="FY405" s="93"/>
      <c r="FZ405" s="29"/>
      <c r="GA405" s="1504">
        <v>46784</v>
      </c>
      <c r="GB405" s="19"/>
      <c r="GC405" s="93"/>
      <c r="GD405" s="93"/>
      <c r="GE405" s="93"/>
      <c r="GF405" s="93"/>
      <c r="GG405" s="93"/>
      <c r="GH405" s="93"/>
      <c r="GI405" s="93"/>
      <c r="GJ405" s="93"/>
      <c r="GK405" s="93"/>
      <c r="GL405" s="93"/>
      <c r="GM405" s="93"/>
      <c r="GN405" s="20"/>
      <c r="GO405" s="29"/>
      <c r="GP405" s="1504">
        <v>46784</v>
      </c>
      <c r="GQ405" s="19"/>
      <c r="GR405" s="93"/>
      <c r="GS405" s="93"/>
      <c r="GT405" s="93"/>
      <c r="GU405" s="93"/>
      <c r="GV405" s="20"/>
      <c r="GW405" s="19"/>
      <c r="GX405" s="93"/>
      <c r="GY405" s="93"/>
      <c r="GZ405" s="93"/>
      <c r="HA405" s="93"/>
      <c r="HB405" s="20"/>
      <c r="HC405" s="19"/>
      <c r="HD405" s="93"/>
      <c r="HE405" s="93"/>
      <c r="HF405" s="93"/>
      <c r="HG405" s="93"/>
      <c r="HH405" s="20"/>
      <c r="HI405" s="19"/>
      <c r="HJ405" s="93"/>
      <c r="HK405" s="93"/>
      <c r="HL405" s="93"/>
      <c r="HM405" s="93"/>
      <c r="HN405" s="20"/>
      <c r="HO405" s="219"/>
      <c r="HP405" s="20"/>
      <c r="HQ405" s="25"/>
      <c r="HR405" s="29"/>
      <c r="HS405" s="1504">
        <v>46784</v>
      </c>
      <c r="HT405" s="19"/>
      <c r="HU405" s="93"/>
      <c r="HV405" s="93"/>
      <c r="HW405" s="93"/>
      <c r="HX405" s="93"/>
      <c r="HY405" s="93"/>
      <c r="HZ405" s="93"/>
      <c r="IA405" s="20"/>
      <c r="IB405" s="19"/>
      <c r="IC405" s="93"/>
      <c r="ID405" s="93"/>
      <c r="IE405" s="93"/>
      <c r="IF405" s="93"/>
      <c r="IG405" s="20"/>
      <c r="IH405" s="19"/>
      <c r="II405" s="93"/>
      <c r="IJ405" s="93"/>
      <c r="IK405" s="93"/>
      <c r="IL405" s="93"/>
      <c r="IM405" s="93"/>
      <c r="IN405" s="93"/>
      <c r="IO405" s="20"/>
      <c r="IP405" s="29"/>
      <c r="IQ405" s="19"/>
      <c r="IR405" s="93"/>
      <c r="IS405" s="93"/>
      <c r="IT405" s="93"/>
      <c r="IU405" s="93"/>
      <c r="IV405" s="20"/>
      <c r="IW405" s="29"/>
      <c r="IX405" s="19"/>
      <c r="IY405" s="93"/>
      <c r="IZ405" s="93"/>
      <c r="JA405" s="93"/>
      <c r="JB405" s="93"/>
      <c r="JC405" s="93"/>
      <c r="JD405" s="93"/>
      <c r="JE405" s="20"/>
      <c r="JF405" s="29"/>
      <c r="JG405" s="19"/>
      <c r="JH405" s="93"/>
      <c r="JI405" s="93"/>
      <c r="JJ405" s="93"/>
      <c r="JK405" s="93"/>
      <c r="JL405" s="93"/>
      <c r="JM405" s="93"/>
      <c r="JN405" s="20"/>
      <c r="JO405" s="29"/>
      <c r="JP405" s="19"/>
      <c r="JQ405" s="93"/>
      <c r="JR405" s="93"/>
      <c r="JS405" s="93"/>
      <c r="JT405" s="93"/>
      <c r="JU405" s="20"/>
      <c r="JV405" s="29"/>
      <c r="JW405" s="1504">
        <v>46784</v>
      </c>
      <c r="JX405" s="19"/>
      <c r="JY405" s="93"/>
      <c r="JZ405" s="93"/>
      <c r="KA405" s="93"/>
      <c r="KB405" s="93"/>
      <c r="KC405" s="93"/>
      <c r="KD405" s="20"/>
      <c r="KE405" s="29"/>
      <c r="KF405" s="19"/>
      <c r="KG405" s="93"/>
      <c r="KH405" s="93"/>
      <c r="KI405" s="93"/>
      <c r="KJ405" s="93"/>
      <c r="KK405" s="20"/>
      <c r="KL405" s="29"/>
      <c r="KM405" s="19"/>
      <c r="KN405" s="93"/>
      <c r="KO405" s="93"/>
      <c r="KP405" s="93"/>
      <c r="KQ405" s="93"/>
      <c r="KR405" s="20"/>
      <c r="KS405" s="29"/>
      <c r="KT405" s="19"/>
      <c r="KU405" s="93"/>
      <c r="KV405" s="93"/>
      <c r="KW405" s="93"/>
      <c r="KX405" s="93"/>
      <c r="KY405" s="20"/>
      <c r="KZ405" s="29"/>
      <c r="LA405" s="1504">
        <v>46784</v>
      </c>
      <c r="LB405" s="19"/>
      <c r="LC405" s="93"/>
      <c r="LD405" s="93"/>
      <c r="LE405" s="93"/>
      <c r="LF405" s="93"/>
      <c r="LG405" s="93"/>
      <c r="LH405" s="20"/>
      <c r="LI405" s="29"/>
      <c r="LJ405" s="19"/>
      <c r="LK405" s="93"/>
      <c r="LL405" s="93"/>
      <c r="LM405" s="93"/>
      <c r="LN405" s="93"/>
      <c r="LO405" s="20"/>
      <c r="LP405" s="29"/>
      <c r="LQ405" s="19"/>
      <c r="LR405" s="93"/>
      <c r="LS405" s="93"/>
      <c r="LT405" s="93"/>
      <c r="LU405" s="93"/>
      <c r="LV405" s="93"/>
      <c r="LW405" s="93"/>
      <c r="LX405" s="93"/>
      <c r="LY405" s="93"/>
      <c r="LZ405" s="93"/>
      <c r="MA405" s="20"/>
      <c r="MB405" s="29"/>
      <c r="MC405" s="1504">
        <v>46784</v>
      </c>
      <c r="MD405" s="19"/>
      <c r="ME405" s="93"/>
      <c r="MF405" s="93"/>
      <c r="MG405" s="93"/>
      <c r="MH405" s="93"/>
      <c r="MI405" s="93"/>
      <c r="MJ405" s="93"/>
      <c r="MK405" s="93"/>
      <c r="ML405" s="93"/>
      <c r="MM405" s="93"/>
      <c r="MN405" s="93"/>
      <c r="MO405" s="93"/>
      <c r="MP405" s="93"/>
      <c r="MQ405" s="93"/>
      <c r="MR405" s="93"/>
      <c r="MS405" s="93"/>
      <c r="MT405" s="93"/>
      <c r="MU405" s="93"/>
      <c r="MV405" s="93"/>
      <c r="MW405" s="93"/>
      <c r="MX405" s="93"/>
      <c r="MY405" s="93"/>
      <c r="MZ405" s="93"/>
      <c r="NA405" s="93"/>
      <c r="NB405" s="93"/>
      <c r="NC405" s="93"/>
      <c r="ND405" s="93"/>
      <c r="NE405" s="93"/>
      <c r="NF405" s="93"/>
      <c r="NG405" s="93"/>
      <c r="NH405" s="93"/>
      <c r="NI405" s="93"/>
      <c r="NJ405" s="93"/>
      <c r="NK405" s="93"/>
      <c r="NL405" s="93"/>
      <c r="NM405" s="93"/>
      <c r="NN405" s="93"/>
      <c r="NO405" s="93"/>
      <c r="NP405" s="93"/>
      <c r="NQ405" s="93"/>
      <c r="NR405" s="93"/>
      <c r="NS405" s="93"/>
      <c r="NT405" s="93"/>
      <c r="NU405" s="93"/>
      <c r="NV405" s="93"/>
      <c r="NW405" s="93"/>
      <c r="NX405" s="93"/>
      <c r="NY405" s="93"/>
      <c r="NZ405" s="93"/>
      <c r="OA405" s="93"/>
      <c r="OB405" s="93"/>
      <c r="OC405" s="93"/>
      <c r="OD405" s="20"/>
      <c r="OE405" s="29"/>
      <c r="OF405" s="1504">
        <v>46784</v>
      </c>
      <c r="OG405" s="19"/>
      <c r="OH405" s="93"/>
      <c r="OI405" s="93"/>
      <c r="OJ405" s="93"/>
      <c r="OK405" s="93"/>
      <c r="OL405" s="93"/>
      <c r="OM405" s="93"/>
      <c r="ON405" s="93"/>
      <c r="OO405" s="93"/>
      <c r="OP405" s="93"/>
      <c r="OQ405" s="93"/>
      <c r="OR405" s="93"/>
      <c r="OS405" s="93"/>
      <c r="OT405" s="93"/>
      <c r="OU405" s="93"/>
      <c r="OV405" s="93"/>
      <c r="OW405" s="93"/>
      <c r="OX405" s="93"/>
      <c r="OY405" s="93"/>
      <c r="OZ405" s="93"/>
      <c r="PA405" s="93"/>
      <c r="PB405" s="93"/>
      <c r="PC405" s="20"/>
      <c r="PD405" s="29"/>
      <c r="PE405" s="19"/>
      <c r="PF405" s="93"/>
      <c r="PG405" s="93"/>
      <c r="PH405" s="93"/>
      <c r="PI405" s="93"/>
      <c r="PJ405" s="93"/>
      <c r="PK405" s="93"/>
      <c r="PL405" s="93"/>
      <c r="PM405" s="93"/>
      <c r="PN405" s="93"/>
      <c r="PO405" s="93"/>
      <c r="PP405" s="93"/>
      <c r="PQ405" s="93"/>
      <c r="PR405" s="93"/>
      <c r="PS405" s="93"/>
      <c r="PT405" s="93"/>
      <c r="PU405" s="93"/>
      <c r="PV405" s="93"/>
      <c r="PW405" s="93"/>
      <c r="PX405" s="93"/>
      <c r="PY405" s="93"/>
      <c r="PZ405" s="93"/>
      <c r="QA405" s="93"/>
      <c r="QB405" s="93"/>
      <c r="QC405" s="93"/>
      <c r="QD405" s="93"/>
      <c r="QE405" s="20"/>
      <c r="QF405" s="1739"/>
      <c r="QG405" s="19"/>
      <c r="QH405" s="93"/>
      <c r="QI405" s="93"/>
      <c r="QJ405" s="93"/>
      <c r="QK405" s="93"/>
      <c r="QL405" s="93"/>
      <c r="QM405" s="93"/>
      <c r="QN405" s="93"/>
      <c r="QO405" s="93"/>
      <c r="QP405" s="93"/>
      <c r="QQ405" s="93"/>
      <c r="QR405" s="93"/>
      <c r="QS405" s="93"/>
      <c r="QT405" s="93"/>
      <c r="QU405" s="93"/>
      <c r="QV405" s="93"/>
      <c r="QW405" s="93"/>
      <c r="QX405" s="93"/>
      <c r="QY405" s="93"/>
      <c r="QZ405" s="93"/>
      <c r="RA405" s="93"/>
      <c r="RB405" s="93"/>
      <c r="RC405" s="93"/>
      <c r="RD405" s="93"/>
      <c r="RE405" s="93"/>
      <c r="RF405" s="93"/>
      <c r="RG405" s="93"/>
      <c r="RH405" s="93"/>
      <c r="RI405" s="93"/>
      <c r="RJ405" s="93"/>
      <c r="RK405" s="93"/>
      <c r="RL405" s="93"/>
      <c r="RM405" s="20"/>
      <c r="RN405" s="29"/>
      <c r="RO405" s="19"/>
      <c r="RP405" s="20"/>
      <c r="RQ405" s="29"/>
      <c r="RR405" s="20"/>
      <c r="RS405" s="29"/>
      <c r="RT405" s="1504">
        <v>46784</v>
      </c>
      <c r="RU405" s="19"/>
      <c r="RV405" s="20"/>
      <c r="RW405" s="29"/>
      <c r="RX405" s="1504">
        <v>46784</v>
      </c>
      <c r="RY405" s="29"/>
      <c r="RZ405" s="20"/>
      <c r="SA405" s="29"/>
      <c r="SB405" s="29"/>
    </row>
    <row r="406" spans="1:496">
      <c r="A406" s="41">
        <f t="shared" si="346"/>
        <v>2028</v>
      </c>
      <c r="B406" s="1504">
        <v>46813</v>
      </c>
      <c r="C406" s="1813"/>
      <c r="D406" s="1814"/>
      <c r="E406" s="1814"/>
      <c r="F406" s="1815"/>
      <c r="G406" s="1814"/>
      <c r="H406" s="1814"/>
      <c r="I406" s="1814"/>
      <c r="J406" s="1816"/>
      <c r="K406" s="1807"/>
      <c r="L406" s="25"/>
      <c r="M406" s="97"/>
      <c r="N406" s="1504">
        <v>46813</v>
      </c>
      <c r="O406" s="19"/>
      <c r="P406" s="93"/>
      <c r="Q406" s="93"/>
      <c r="R406" s="93"/>
      <c r="S406" s="93"/>
      <c r="T406" s="93"/>
      <c r="U406" s="93"/>
      <c r="V406" s="93"/>
      <c r="W406" s="93"/>
      <c r="X406" s="93"/>
      <c r="Y406" s="93"/>
      <c r="Z406" s="93"/>
      <c r="AA406" s="93"/>
      <c r="AB406" s="20"/>
      <c r="AC406" s="25"/>
      <c r="AD406" s="97"/>
      <c r="AE406" s="1504">
        <v>46813</v>
      </c>
      <c r="AF406" s="19"/>
      <c r="AG406" s="93"/>
      <c r="AH406" s="93"/>
      <c r="AI406" s="93"/>
      <c r="AJ406" s="93"/>
      <c r="AK406" s="93"/>
      <c r="AL406" s="93"/>
      <c r="AM406" s="93"/>
      <c r="AN406" s="93"/>
      <c r="AO406" s="93"/>
      <c r="AP406" s="93"/>
      <c r="AQ406" s="93"/>
      <c r="AR406" s="93"/>
      <c r="AS406" s="20"/>
      <c r="AT406" s="25"/>
      <c r="AU406" s="97"/>
      <c r="AV406" s="1504">
        <v>46813</v>
      </c>
      <c r="AW406" s="19"/>
      <c r="AX406" s="93"/>
      <c r="AY406" s="93"/>
      <c r="AZ406" s="93"/>
      <c r="BA406" s="93"/>
      <c r="BB406" s="93"/>
      <c r="BC406" s="93"/>
      <c r="BD406" s="93"/>
      <c r="BE406" s="93"/>
      <c r="BF406" s="93"/>
      <c r="BG406" s="93"/>
      <c r="BH406" s="93"/>
      <c r="BI406" s="93"/>
      <c r="BJ406" s="20"/>
      <c r="BK406" s="25"/>
      <c r="BL406" s="97"/>
      <c r="BM406" s="1504">
        <v>46813</v>
      </c>
      <c r="BN406" s="19"/>
      <c r="BO406" s="93"/>
      <c r="BP406" s="93"/>
      <c r="BQ406" s="93"/>
      <c r="BR406" s="93"/>
      <c r="BS406" s="93"/>
      <c r="BT406" s="93"/>
      <c r="BU406" s="20"/>
      <c r="BV406" s="25"/>
      <c r="BW406" s="97"/>
      <c r="BX406" s="1504">
        <v>46813</v>
      </c>
      <c r="BY406" s="19"/>
      <c r="BZ406" s="93"/>
      <c r="CA406" s="93"/>
      <c r="CB406" s="93"/>
      <c r="CC406" s="93"/>
      <c r="CD406" s="25"/>
      <c r="CE406" s="97"/>
      <c r="CF406" s="1504">
        <v>46813</v>
      </c>
      <c r="CG406" s="19"/>
      <c r="CH406" s="93"/>
      <c r="CI406" s="219"/>
      <c r="CJ406" s="20"/>
      <c r="CK406" s="19"/>
      <c r="CL406" s="93"/>
      <c r="CM406" s="93"/>
      <c r="CN406" s="93"/>
      <c r="CO406" s="93"/>
      <c r="CP406" s="20"/>
      <c r="CQ406" s="219"/>
      <c r="CR406" s="93"/>
      <c r="CS406" s="93"/>
      <c r="CT406" s="93"/>
      <c r="CU406" s="93"/>
      <c r="CV406" s="214"/>
      <c r="CW406" s="29"/>
      <c r="CX406" s="41">
        <f t="shared" si="357"/>
        <v>2028</v>
      </c>
      <c r="CY406" s="1504">
        <v>46813</v>
      </c>
      <c r="CZ406" s="19"/>
      <c r="DA406" s="93"/>
      <c r="DB406" s="93"/>
      <c r="DC406" s="93"/>
      <c r="DD406" s="93"/>
      <c r="DE406" s="20"/>
      <c r="DF406" s="29"/>
      <c r="DG406" s="1504">
        <v>46813</v>
      </c>
      <c r="DH406" s="19"/>
      <c r="DI406" s="93"/>
      <c r="DJ406" s="93"/>
      <c r="DK406" s="93"/>
      <c r="DL406" s="93"/>
      <c r="DM406" s="93"/>
      <c r="DN406" s="20"/>
      <c r="DO406" s="295"/>
      <c r="DP406" s="29"/>
      <c r="DQ406" s="1504">
        <v>46813</v>
      </c>
      <c r="DR406" s="19"/>
      <c r="DS406" s="93"/>
      <c r="DT406" s="93"/>
      <c r="DU406" s="93"/>
      <c r="DV406" s="93"/>
      <c r="DW406" s="93"/>
      <c r="DX406" s="20"/>
      <c r="DY406" s="29"/>
      <c r="DZ406" s="1504">
        <v>46813</v>
      </c>
      <c r="EA406" s="19"/>
      <c r="EB406" s="93"/>
      <c r="EC406" s="20"/>
      <c r="ED406" s="29"/>
      <c r="EE406" s="1504">
        <v>46813</v>
      </c>
      <c r="EF406" s="19"/>
      <c r="EG406" s="93"/>
      <c r="EH406" s="93"/>
      <c r="EI406" s="214"/>
      <c r="EJ406" s="93"/>
      <c r="EK406" s="93"/>
      <c r="EL406" s="93"/>
      <c r="EM406" s="93"/>
      <c r="EN406" s="20"/>
      <c r="EO406" s="29"/>
      <c r="EP406" s="1504">
        <v>46813</v>
      </c>
      <c r="EQ406" s="19"/>
      <c r="ER406" s="93"/>
      <c r="ES406" s="93"/>
      <c r="ET406" s="214"/>
      <c r="EU406" s="93"/>
      <c r="EV406" s="93"/>
      <c r="EW406" s="93"/>
      <c r="EX406" s="93"/>
      <c r="EY406" s="20"/>
      <c r="EZ406" s="29"/>
      <c r="FA406" s="1504">
        <v>46813</v>
      </c>
      <c r="FB406" s="29"/>
      <c r="FC406" s="29"/>
      <c r="FD406" s="29"/>
      <c r="FE406" s="29"/>
      <c r="FF406" s="29"/>
      <c r="FG406" s="29"/>
      <c r="FH406" s="29"/>
      <c r="FI406" s="29"/>
      <c r="FJ406" s="29"/>
      <c r="FK406" s="29"/>
      <c r="FL406" s="1504">
        <v>46813</v>
      </c>
      <c r="FM406" s="19"/>
      <c r="FN406" s="93"/>
      <c r="FO406" s="93"/>
      <c r="FP406" s="93"/>
      <c r="FQ406" s="93"/>
      <c r="FR406" s="93"/>
      <c r="FS406" s="93"/>
      <c r="FT406" s="93"/>
      <c r="FU406" s="93"/>
      <c r="FV406" s="93"/>
      <c r="FW406" s="93"/>
      <c r="FX406" s="93"/>
      <c r="FY406" s="93"/>
      <c r="FZ406" s="29"/>
      <c r="GA406" s="1504">
        <v>46813</v>
      </c>
      <c r="GB406" s="19"/>
      <c r="GC406" s="93"/>
      <c r="GD406" s="93"/>
      <c r="GE406" s="93"/>
      <c r="GF406" s="93"/>
      <c r="GG406" s="93"/>
      <c r="GH406" s="93"/>
      <c r="GI406" s="93"/>
      <c r="GJ406" s="93"/>
      <c r="GK406" s="93"/>
      <c r="GL406" s="93"/>
      <c r="GM406" s="93"/>
      <c r="GN406" s="20"/>
      <c r="GO406" s="29"/>
      <c r="GP406" s="1504">
        <v>46813</v>
      </c>
      <c r="GQ406" s="19"/>
      <c r="GR406" s="93"/>
      <c r="GS406" s="93"/>
      <c r="GT406" s="93"/>
      <c r="GU406" s="93"/>
      <c r="GV406" s="20"/>
      <c r="GW406" s="19"/>
      <c r="GX406" s="93"/>
      <c r="GY406" s="93"/>
      <c r="GZ406" s="93"/>
      <c r="HA406" s="93"/>
      <c r="HB406" s="20"/>
      <c r="HC406" s="19"/>
      <c r="HD406" s="93"/>
      <c r="HE406" s="93"/>
      <c r="HF406" s="93"/>
      <c r="HG406" s="93"/>
      <c r="HH406" s="20"/>
      <c r="HI406" s="19"/>
      <c r="HJ406" s="93"/>
      <c r="HK406" s="93"/>
      <c r="HL406" s="93"/>
      <c r="HM406" s="93"/>
      <c r="HN406" s="20"/>
      <c r="HO406" s="219"/>
      <c r="HP406" s="20"/>
      <c r="HQ406" s="25"/>
      <c r="HR406" s="29"/>
      <c r="HS406" s="1504">
        <v>46813</v>
      </c>
      <c r="HT406" s="19"/>
      <c r="HU406" s="93"/>
      <c r="HV406" s="93"/>
      <c r="HW406" s="93"/>
      <c r="HX406" s="93"/>
      <c r="HY406" s="93"/>
      <c r="HZ406" s="93"/>
      <c r="IA406" s="20"/>
      <c r="IB406" s="19"/>
      <c r="IC406" s="93"/>
      <c r="ID406" s="93"/>
      <c r="IE406" s="93"/>
      <c r="IF406" s="93"/>
      <c r="IG406" s="20"/>
      <c r="IH406" s="19"/>
      <c r="II406" s="93"/>
      <c r="IJ406" s="93"/>
      <c r="IK406" s="93"/>
      <c r="IL406" s="93"/>
      <c r="IM406" s="93"/>
      <c r="IN406" s="93"/>
      <c r="IO406" s="20"/>
      <c r="IP406" s="29"/>
      <c r="IQ406" s="19"/>
      <c r="IR406" s="93"/>
      <c r="IS406" s="93"/>
      <c r="IT406" s="93"/>
      <c r="IU406" s="93"/>
      <c r="IV406" s="20"/>
      <c r="IW406" s="29"/>
      <c r="IX406" s="19"/>
      <c r="IY406" s="93"/>
      <c r="IZ406" s="93"/>
      <c r="JA406" s="93"/>
      <c r="JB406" s="93"/>
      <c r="JC406" s="93"/>
      <c r="JD406" s="93"/>
      <c r="JE406" s="20"/>
      <c r="JF406" s="29"/>
      <c r="JG406" s="19"/>
      <c r="JH406" s="93"/>
      <c r="JI406" s="93"/>
      <c r="JJ406" s="93"/>
      <c r="JK406" s="93"/>
      <c r="JL406" s="93"/>
      <c r="JM406" s="93"/>
      <c r="JN406" s="20"/>
      <c r="JO406" s="29"/>
      <c r="JP406" s="19"/>
      <c r="JQ406" s="93"/>
      <c r="JR406" s="93"/>
      <c r="JS406" s="93"/>
      <c r="JT406" s="93"/>
      <c r="JU406" s="20"/>
      <c r="JV406" s="29"/>
      <c r="JW406" s="1504">
        <v>46813</v>
      </c>
      <c r="JX406" s="19"/>
      <c r="JY406" s="93"/>
      <c r="JZ406" s="93"/>
      <c r="KA406" s="93"/>
      <c r="KB406" s="93"/>
      <c r="KC406" s="93"/>
      <c r="KD406" s="20"/>
      <c r="KE406" s="29"/>
      <c r="KF406" s="19"/>
      <c r="KG406" s="93"/>
      <c r="KH406" s="93"/>
      <c r="KI406" s="93"/>
      <c r="KJ406" s="93"/>
      <c r="KK406" s="20"/>
      <c r="KL406" s="29"/>
      <c r="KM406" s="19"/>
      <c r="KN406" s="93"/>
      <c r="KO406" s="93"/>
      <c r="KP406" s="93"/>
      <c r="KQ406" s="93"/>
      <c r="KR406" s="20"/>
      <c r="KS406" s="29"/>
      <c r="KT406" s="19"/>
      <c r="KU406" s="93"/>
      <c r="KV406" s="93"/>
      <c r="KW406" s="93"/>
      <c r="KX406" s="93"/>
      <c r="KY406" s="20"/>
      <c r="KZ406" s="29"/>
      <c r="LA406" s="1504">
        <v>46813</v>
      </c>
      <c r="LB406" s="19"/>
      <c r="LC406" s="93"/>
      <c r="LD406" s="93"/>
      <c r="LE406" s="93"/>
      <c r="LF406" s="93"/>
      <c r="LG406" s="93"/>
      <c r="LH406" s="20"/>
      <c r="LI406" s="29"/>
      <c r="LJ406" s="19"/>
      <c r="LK406" s="93"/>
      <c r="LL406" s="93"/>
      <c r="LM406" s="93"/>
      <c r="LN406" s="93"/>
      <c r="LO406" s="20"/>
      <c r="LP406" s="29"/>
      <c r="LQ406" s="19"/>
      <c r="LR406" s="93"/>
      <c r="LS406" s="93"/>
      <c r="LT406" s="93"/>
      <c r="LU406" s="93"/>
      <c r="LV406" s="93"/>
      <c r="LW406" s="93"/>
      <c r="LX406" s="93"/>
      <c r="LY406" s="93"/>
      <c r="LZ406" s="93"/>
      <c r="MA406" s="20"/>
      <c r="MB406" s="29"/>
      <c r="MC406" s="1504">
        <v>46813</v>
      </c>
      <c r="MD406" s="19"/>
      <c r="ME406" s="93"/>
      <c r="MF406" s="93"/>
      <c r="MG406" s="93"/>
      <c r="MH406" s="93"/>
      <c r="MI406" s="93"/>
      <c r="MJ406" s="93"/>
      <c r="MK406" s="93"/>
      <c r="ML406" s="93"/>
      <c r="MM406" s="93"/>
      <c r="MN406" s="93"/>
      <c r="MO406" s="93"/>
      <c r="MP406" s="93"/>
      <c r="MQ406" s="93"/>
      <c r="MR406" s="93"/>
      <c r="MS406" s="93"/>
      <c r="MT406" s="93"/>
      <c r="MU406" s="93"/>
      <c r="MV406" s="93"/>
      <c r="MW406" s="93"/>
      <c r="MX406" s="93"/>
      <c r="MY406" s="93"/>
      <c r="MZ406" s="93"/>
      <c r="NA406" s="93"/>
      <c r="NB406" s="93"/>
      <c r="NC406" s="93"/>
      <c r="ND406" s="93"/>
      <c r="NE406" s="93"/>
      <c r="NF406" s="93"/>
      <c r="NG406" s="93"/>
      <c r="NH406" s="93"/>
      <c r="NI406" s="93"/>
      <c r="NJ406" s="93"/>
      <c r="NK406" s="93"/>
      <c r="NL406" s="93"/>
      <c r="NM406" s="93"/>
      <c r="NN406" s="93"/>
      <c r="NO406" s="93"/>
      <c r="NP406" s="93"/>
      <c r="NQ406" s="93"/>
      <c r="NR406" s="93"/>
      <c r="NS406" s="93"/>
      <c r="NT406" s="93"/>
      <c r="NU406" s="93"/>
      <c r="NV406" s="93"/>
      <c r="NW406" s="93"/>
      <c r="NX406" s="93"/>
      <c r="NY406" s="93"/>
      <c r="NZ406" s="93"/>
      <c r="OA406" s="93"/>
      <c r="OB406" s="93"/>
      <c r="OC406" s="93"/>
      <c r="OD406" s="20"/>
      <c r="OE406" s="29"/>
      <c r="OF406" s="1504">
        <v>46813</v>
      </c>
      <c r="OG406" s="19"/>
      <c r="OH406" s="93"/>
      <c r="OI406" s="93"/>
      <c r="OJ406" s="93"/>
      <c r="OK406" s="93"/>
      <c r="OL406" s="93"/>
      <c r="OM406" s="93"/>
      <c r="ON406" s="93"/>
      <c r="OO406" s="93"/>
      <c r="OP406" s="93"/>
      <c r="OQ406" s="93"/>
      <c r="OR406" s="93"/>
      <c r="OS406" s="93"/>
      <c r="OT406" s="93"/>
      <c r="OU406" s="93"/>
      <c r="OV406" s="93"/>
      <c r="OW406" s="93"/>
      <c r="OX406" s="93"/>
      <c r="OY406" s="93"/>
      <c r="OZ406" s="93"/>
      <c r="PA406" s="93"/>
      <c r="PB406" s="93"/>
      <c r="PC406" s="20"/>
      <c r="PD406" s="29"/>
      <c r="PE406" s="19"/>
      <c r="PF406" s="93"/>
      <c r="PG406" s="93"/>
      <c r="PH406" s="93"/>
      <c r="PI406" s="93"/>
      <c r="PJ406" s="93"/>
      <c r="PK406" s="93"/>
      <c r="PL406" s="93"/>
      <c r="PM406" s="93"/>
      <c r="PN406" s="93"/>
      <c r="PO406" s="93"/>
      <c r="PP406" s="93"/>
      <c r="PQ406" s="93"/>
      <c r="PR406" s="93"/>
      <c r="PS406" s="93"/>
      <c r="PT406" s="93"/>
      <c r="PU406" s="93"/>
      <c r="PV406" s="93"/>
      <c r="PW406" s="93"/>
      <c r="PX406" s="93"/>
      <c r="PY406" s="93"/>
      <c r="PZ406" s="93"/>
      <c r="QA406" s="93"/>
      <c r="QB406" s="93"/>
      <c r="QC406" s="93"/>
      <c r="QD406" s="93"/>
      <c r="QE406" s="20"/>
      <c r="QF406" s="1739"/>
      <c r="QG406" s="19"/>
      <c r="QH406" s="93"/>
      <c r="QI406" s="93"/>
      <c r="QJ406" s="93"/>
      <c r="QK406" s="93"/>
      <c r="QL406" s="93"/>
      <c r="QM406" s="93"/>
      <c r="QN406" s="93"/>
      <c r="QO406" s="93"/>
      <c r="QP406" s="93"/>
      <c r="QQ406" s="93"/>
      <c r="QR406" s="93"/>
      <c r="QS406" s="93"/>
      <c r="QT406" s="93"/>
      <c r="QU406" s="93"/>
      <c r="QV406" s="93"/>
      <c r="QW406" s="93"/>
      <c r="QX406" s="93"/>
      <c r="QY406" s="93"/>
      <c r="QZ406" s="93"/>
      <c r="RA406" s="93"/>
      <c r="RB406" s="93"/>
      <c r="RC406" s="93"/>
      <c r="RD406" s="93"/>
      <c r="RE406" s="93"/>
      <c r="RF406" s="93"/>
      <c r="RG406" s="93"/>
      <c r="RH406" s="93"/>
      <c r="RI406" s="93"/>
      <c r="RJ406" s="93"/>
      <c r="RK406" s="93"/>
      <c r="RL406" s="93"/>
      <c r="RM406" s="20"/>
      <c r="RN406" s="29"/>
      <c r="RO406" s="19"/>
      <c r="RP406" s="20"/>
      <c r="RQ406" s="29"/>
      <c r="RR406" s="20"/>
      <c r="RS406" s="29"/>
      <c r="RT406" s="1504">
        <v>46813</v>
      </c>
      <c r="RU406" s="19"/>
      <c r="RV406" s="20"/>
      <c r="RW406" s="29"/>
      <c r="RX406" s="1504">
        <v>46813</v>
      </c>
      <c r="RY406" s="29"/>
      <c r="RZ406" s="20"/>
      <c r="SA406" s="29"/>
      <c r="SB406" s="29"/>
    </row>
    <row r="407" spans="1:496">
      <c r="A407" s="41">
        <f t="shared" si="346"/>
        <v>2028</v>
      </c>
      <c r="B407" s="1504">
        <v>46844</v>
      </c>
      <c r="C407" s="1813"/>
      <c r="D407" s="1814"/>
      <c r="E407" s="1814"/>
      <c r="F407" s="1815"/>
      <c r="G407" s="1814"/>
      <c r="H407" s="1814"/>
      <c r="I407" s="1814"/>
      <c r="J407" s="1816"/>
      <c r="K407" s="1807"/>
      <c r="L407" s="25"/>
      <c r="M407" s="97"/>
      <c r="N407" s="1504">
        <v>46844</v>
      </c>
      <c r="O407" s="19"/>
      <c r="P407" s="93"/>
      <c r="Q407" s="93"/>
      <c r="R407" s="93"/>
      <c r="S407" s="93"/>
      <c r="T407" s="93"/>
      <c r="U407" s="93"/>
      <c r="V407" s="93"/>
      <c r="W407" s="93"/>
      <c r="X407" s="93"/>
      <c r="Y407" s="93"/>
      <c r="Z407" s="93"/>
      <c r="AA407" s="93"/>
      <c r="AB407" s="20"/>
      <c r="AC407" s="25"/>
      <c r="AD407" s="97"/>
      <c r="AE407" s="1504">
        <v>46844</v>
      </c>
      <c r="AF407" s="19"/>
      <c r="AG407" s="93"/>
      <c r="AH407" s="93"/>
      <c r="AI407" s="93"/>
      <c r="AJ407" s="93"/>
      <c r="AK407" s="93"/>
      <c r="AL407" s="93"/>
      <c r="AM407" s="93"/>
      <c r="AN407" s="93"/>
      <c r="AO407" s="93"/>
      <c r="AP407" s="93"/>
      <c r="AQ407" s="93"/>
      <c r="AR407" s="93"/>
      <c r="AS407" s="20"/>
      <c r="AT407" s="25"/>
      <c r="AU407" s="97"/>
      <c r="AV407" s="1504">
        <v>46844</v>
      </c>
      <c r="AW407" s="19"/>
      <c r="AX407" s="93"/>
      <c r="AY407" s="93"/>
      <c r="AZ407" s="93"/>
      <c r="BA407" s="93"/>
      <c r="BB407" s="93"/>
      <c r="BC407" s="93"/>
      <c r="BD407" s="93"/>
      <c r="BE407" s="93"/>
      <c r="BF407" s="93"/>
      <c r="BG407" s="93"/>
      <c r="BH407" s="93"/>
      <c r="BI407" s="93"/>
      <c r="BJ407" s="20"/>
      <c r="BK407" s="25"/>
      <c r="BL407" s="97"/>
      <c r="BM407" s="1504">
        <v>46844</v>
      </c>
      <c r="BN407" s="19"/>
      <c r="BO407" s="93"/>
      <c r="BP407" s="93"/>
      <c r="BQ407" s="93"/>
      <c r="BR407" s="93"/>
      <c r="BS407" s="93"/>
      <c r="BT407" s="93"/>
      <c r="BU407" s="20"/>
      <c r="BV407" s="25"/>
      <c r="BW407" s="97"/>
      <c r="BX407" s="1504">
        <v>46844</v>
      </c>
      <c r="BY407" s="19"/>
      <c r="BZ407" s="93"/>
      <c r="CA407" s="93"/>
      <c r="CB407" s="93"/>
      <c r="CC407" s="93"/>
      <c r="CD407" s="25"/>
      <c r="CE407" s="97"/>
      <c r="CF407" s="1504">
        <v>46844</v>
      </c>
      <c r="CG407" s="19"/>
      <c r="CH407" s="93"/>
      <c r="CI407" s="219"/>
      <c r="CJ407" s="20"/>
      <c r="CK407" s="19"/>
      <c r="CL407" s="93"/>
      <c r="CM407" s="93"/>
      <c r="CN407" s="93"/>
      <c r="CO407" s="93"/>
      <c r="CP407" s="20"/>
      <c r="CQ407" s="219"/>
      <c r="CR407" s="93"/>
      <c r="CS407" s="93"/>
      <c r="CT407" s="93"/>
      <c r="CU407" s="93"/>
      <c r="CV407" s="214"/>
      <c r="CW407" s="29"/>
      <c r="CX407" s="41">
        <f t="shared" si="357"/>
        <v>2028</v>
      </c>
      <c r="CY407" s="1504">
        <v>46844</v>
      </c>
      <c r="CZ407" s="19"/>
      <c r="DA407" s="93"/>
      <c r="DB407" s="93"/>
      <c r="DC407" s="93"/>
      <c r="DD407" s="93"/>
      <c r="DE407" s="20"/>
      <c r="DF407" s="29"/>
      <c r="DG407" s="1504">
        <v>46844</v>
      </c>
      <c r="DH407" s="19"/>
      <c r="DI407" s="93"/>
      <c r="DJ407" s="93"/>
      <c r="DK407" s="93"/>
      <c r="DL407" s="93"/>
      <c r="DM407" s="93"/>
      <c r="DN407" s="20"/>
      <c r="DO407" s="295"/>
      <c r="DP407" s="29"/>
      <c r="DQ407" s="1504">
        <v>46844</v>
      </c>
      <c r="DR407" s="19"/>
      <c r="DS407" s="93"/>
      <c r="DT407" s="93"/>
      <c r="DU407" s="93"/>
      <c r="DV407" s="93"/>
      <c r="DW407" s="93"/>
      <c r="DX407" s="20"/>
      <c r="DY407" s="29"/>
      <c r="DZ407" s="1504">
        <v>46844</v>
      </c>
      <c r="EA407" s="19"/>
      <c r="EB407" s="93"/>
      <c r="EC407" s="20"/>
      <c r="ED407" s="29"/>
      <c r="EE407" s="1504">
        <v>46844</v>
      </c>
      <c r="EF407" s="19"/>
      <c r="EG407" s="93"/>
      <c r="EH407" s="93"/>
      <c r="EI407" s="214"/>
      <c r="EJ407" s="93"/>
      <c r="EK407" s="93"/>
      <c r="EL407" s="93"/>
      <c r="EM407" s="93"/>
      <c r="EN407" s="20"/>
      <c r="EO407" s="29"/>
      <c r="EP407" s="1504">
        <v>46844</v>
      </c>
      <c r="EQ407" s="19"/>
      <c r="ER407" s="93"/>
      <c r="ES407" s="93"/>
      <c r="ET407" s="214"/>
      <c r="EU407" s="93"/>
      <c r="EV407" s="93"/>
      <c r="EW407" s="93"/>
      <c r="EX407" s="93"/>
      <c r="EY407" s="20"/>
      <c r="EZ407" s="29"/>
      <c r="FA407" s="1504">
        <v>46844</v>
      </c>
      <c r="FB407" s="29"/>
      <c r="FC407" s="29"/>
      <c r="FD407" s="29"/>
      <c r="FE407" s="29"/>
      <c r="FF407" s="29"/>
      <c r="FG407" s="29"/>
      <c r="FH407" s="29"/>
      <c r="FI407" s="29"/>
      <c r="FJ407" s="29"/>
      <c r="FK407" s="29"/>
      <c r="FL407" s="1504">
        <v>46844</v>
      </c>
      <c r="FM407" s="19"/>
      <c r="FN407" s="93"/>
      <c r="FO407" s="93"/>
      <c r="FP407" s="93"/>
      <c r="FQ407" s="93"/>
      <c r="FR407" s="93"/>
      <c r="FS407" s="93"/>
      <c r="FT407" s="93"/>
      <c r="FU407" s="93"/>
      <c r="FV407" s="93"/>
      <c r="FW407" s="93"/>
      <c r="FX407" s="93"/>
      <c r="FY407" s="93"/>
      <c r="FZ407" s="29"/>
      <c r="GA407" s="1504">
        <v>46844</v>
      </c>
      <c r="GB407" s="19"/>
      <c r="GC407" s="93"/>
      <c r="GD407" s="93"/>
      <c r="GE407" s="93"/>
      <c r="GF407" s="93"/>
      <c r="GG407" s="93"/>
      <c r="GH407" s="93"/>
      <c r="GI407" s="93"/>
      <c r="GJ407" s="93"/>
      <c r="GK407" s="93"/>
      <c r="GL407" s="93"/>
      <c r="GM407" s="93"/>
      <c r="GN407" s="20"/>
      <c r="GO407" s="29"/>
      <c r="GP407" s="1504">
        <v>46844</v>
      </c>
      <c r="GQ407" s="19"/>
      <c r="GR407" s="93"/>
      <c r="GS407" s="93"/>
      <c r="GT407" s="93"/>
      <c r="GU407" s="93"/>
      <c r="GV407" s="20"/>
      <c r="GW407" s="19"/>
      <c r="GX407" s="93"/>
      <c r="GY407" s="93"/>
      <c r="GZ407" s="93"/>
      <c r="HA407" s="93"/>
      <c r="HB407" s="20"/>
      <c r="HC407" s="19"/>
      <c r="HD407" s="93"/>
      <c r="HE407" s="93"/>
      <c r="HF407" s="93"/>
      <c r="HG407" s="93"/>
      <c r="HH407" s="20"/>
      <c r="HI407" s="19"/>
      <c r="HJ407" s="93"/>
      <c r="HK407" s="93"/>
      <c r="HL407" s="93"/>
      <c r="HM407" s="93"/>
      <c r="HN407" s="20"/>
      <c r="HO407" s="219"/>
      <c r="HP407" s="20"/>
      <c r="HQ407" s="25"/>
      <c r="HR407" s="29"/>
      <c r="HS407" s="1504">
        <v>46844</v>
      </c>
      <c r="HT407" s="19"/>
      <c r="HU407" s="93"/>
      <c r="HV407" s="93"/>
      <c r="HW407" s="93"/>
      <c r="HX407" s="93"/>
      <c r="HY407" s="93"/>
      <c r="HZ407" s="93"/>
      <c r="IA407" s="20"/>
      <c r="IB407" s="19"/>
      <c r="IC407" s="93"/>
      <c r="ID407" s="93"/>
      <c r="IE407" s="93"/>
      <c r="IF407" s="93"/>
      <c r="IG407" s="20"/>
      <c r="IH407" s="19"/>
      <c r="II407" s="93"/>
      <c r="IJ407" s="93"/>
      <c r="IK407" s="93"/>
      <c r="IL407" s="93"/>
      <c r="IM407" s="93"/>
      <c r="IN407" s="93"/>
      <c r="IO407" s="20"/>
      <c r="IP407" s="29"/>
      <c r="IQ407" s="19"/>
      <c r="IR407" s="93"/>
      <c r="IS407" s="93"/>
      <c r="IT407" s="93"/>
      <c r="IU407" s="93"/>
      <c r="IV407" s="20"/>
      <c r="IW407" s="29"/>
      <c r="IX407" s="19"/>
      <c r="IY407" s="93"/>
      <c r="IZ407" s="93"/>
      <c r="JA407" s="93"/>
      <c r="JB407" s="93"/>
      <c r="JC407" s="93"/>
      <c r="JD407" s="93"/>
      <c r="JE407" s="20"/>
      <c r="JF407" s="29"/>
      <c r="JG407" s="19"/>
      <c r="JH407" s="93"/>
      <c r="JI407" s="93"/>
      <c r="JJ407" s="93"/>
      <c r="JK407" s="93"/>
      <c r="JL407" s="93"/>
      <c r="JM407" s="93"/>
      <c r="JN407" s="20"/>
      <c r="JO407" s="29"/>
      <c r="JP407" s="19"/>
      <c r="JQ407" s="93"/>
      <c r="JR407" s="93"/>
      <c r="JS407" s="93"/>
      <c r="JT407" s="93"/>
      <c r="JU407" s="20"/>
      <c r="JV407" s="29"/>
      <c r="JW407" s="1504">
        <v>46844</v>
      </c>
      <c r="JX407" s="19"/>
      <c r="JY407" s="93"/>
      <c r="JZ407" s="93"/>
      <c r="KA407" s="93"/>
      <c r="KB407" s="93"/>
      <c r="KC407" s="93"/>
      <c r="KD407" s="20"/>
      <c r="KE407" s="29"/>
      <c r="KF407" s="19"/>
      <c r="KG407" s="93"/>
      <c r="KH407" s="93"/>
      <c r="KI407" s="93"/>
      <c r="KJ407" s="93"/>
      <c r="KK407" s="20"/>
      <c r="KL407" s="29"/>
      <c r="KM407" s="19"/>
      <c r="KN407" s="93"/>
      <c r="KO407" s="93"/>
      <c r="KP407" s="93"/>
      <c r="KQ407" s="93"/>
      <c r="KR407" s="20"/>
      <c r="KS407" s="29"/>
      <c r="KT407" s="19"/>
      <c r="KU407" s="93"/>
      <c r="KV407" s="93"/>
      <c r="KW407" s="93"/>
      <c r="KX407" s="93"/>
      <c r="KY407" s="20"/>
      <c r="KZ407" s="29"/>
      <c r="LA407" s="1504">
        <v>46844</v>
      </c>
      <c r="LB407" s="19"/>
      <c r="LC407" s="93"/>
      <c r="LD407" s="93"/>
      <c r="LE407" s="93"/>
      <c r="LF407" s="93"/>
      <c r="LG407" s="93"/>
      <c r="LH407" s="20"/>
      <c r="LI407" s="29"/>
      <c r="LJ407" s="19"/>
      <c r="LK407" s="93"/>
      <c r="LL407" s="93"/>
      <c r="LM407" s="93"/>
      <c r="LN407" s="93"/>
      <c r="LO407" s="20"/>
      <c r="LP407" s="29"/>
      <c r="LQ407" s="19"/>
      <c r="LR407" s="93"/>
      <c r="LS407" s="93"/>
      <c r="LT407" s="93"/>
      <c r="LU407" s="93"/>
      <c r="LV407" s="93"/>
      <c r="LW407" s="93"/>
      <c r="LX407" s="93"/>
      <c r="LY407" s="93"/>
      <c r="LZ407" s="93"/>
      <c r="MA407" s="20"/>
      <c r="MB407" s="29"/>
      <c r="MC407" s="1504">
        <v>46844</v>
      </c>
      <c r="MD407" s="19"/>
      <c r="ME407" s="93"/>
      <c r="MF407" s="93"/>
      <c r="MG407" s="93"/>
      <c r="MH407" s="93"/>
      <c r="MI407" s="93"/>
      <c r="MJ407" s="93"/>
      <c r="MK407" s="93"/>
      <c r="ML407" s="93"/>
      <c r="MM407" s="93"/>
      <c r="MN407" s="93"/>
      <c r="MO407" s="93"/>
      <c r="MP407" s="93"/>
      <c r="MQ407" s="93"/>
      <c r="MR407" s="93"/>
      <c r="MS407" s="93"/>
      <c r="MT407" s="93"/>
      <c r="MU407" s="93"/>
      <c r="MV407" s="93"/>
      <c r="MW407" s="93"/>
      <c r="MX407" s="93"/>
      <c r="MY407" s="93"/>
      <c r="MZ407" s="93"/>
      <c r="NA407" s="93"/>
      <c r="NB407" s="93"/>
      <c r="NC407" s="93"/>
      <c r="ND407" s="93"/>
      <c r="NE407" s="93"/>
      <c r="NF407" s="93"/>
      <c r="NG407" s="93"/>
      <c r="NH407" s="93"/>
      <c r="NI407" s="93"/>
      <c r="NJ407" s="93"/>
      <c r="NK407" s="93"/>
      <c r="NL407" s="93"/>
      <c r="NM407" s="93"/>
      <c r="NN407" s="93"/>
      <c r="NO407" s="93"/>
      <c r="NP407" s="93"/>
      <c r="NQ407" s="93"/>
      <c r="NR407" s="93"/>
      <c r="NS407" s="93"/>
      <c r="NT407" s="93"/>
      <c r="NU407" s="93"/>
      <c r="NV407" s="93"/>
      <c r="NW407" s="93"/>
      <c r="NX407" s="93"/>
      <c r="NY407" s="93"/>
      <c r="NZ407" s="93"/>
      <c r="OA407" s="93"/>
      <c r="OB407" s="93"/>
      <c r="OC407" s="93"/>
      <c r="OD407" s="20"/>
      <c r="OE407" s="29"/>
      <c r="OF407" s="1504">
        <v>46844</v>
      </c>
      <c r="OG407" s="19"/>
      <c r="OH407" s="93"/>
      <c r="OI407" s="93"/>
      <c r="OJ407" s="93"/>
      <c r="OK407" s="93"/>
      <c r="OL407" s="93"/>
      <c r="OM407" s="93"/>
      <c r="ON407" s="93"/>
      <c r="OO407" s="93"/>
      <c r="OP407" s="93"/>
      <c r="OQ407" s="93"/>
      <c r="OR407" s="93"/>
      <c r="OS407" s="93"/>
      <c r="OT407" s="93"/>
      <c r="OU407" s="93"/>
      <c r="OV407" s="93"/>
      <c r="OW407" s="93"/>
      <c r="OX407" s="93"/>
      <c r="OY407" s="93"/>
      <c r="OZ407" s="93"/>
      <c r="PA407" s="93"/>
      <c r="PB407" s="93"/>
      <c r="PC407" s="20"/>
      <c r="PD407" s="29"/>
      <c r="PE407" s="19"/>
      <c r="PF407" s="93"/>
      <c r="PG407" s="93"/>
      <c r="PH407" s="93"/>
      <c r="PI407" s="93"/>
      <c r="PJ407" s="93"/>
      <c r="PK407" s="93"/>
      <c r="PL407" s="93"/>
      <c r="PM407" s="93"/>
      <c r="PN407" s="93"/>
      <c r="PO407" s="93"/>
      <c r="PP407" s="93"/>
      <c r="PQ407" s="93"/>
      <c r="PR407" s="93"/>
      <c r="PS407" s="93"/>
      <c r="PT407" s="93"/>
      <c r="PU407" s="93"/>
      <c r="PV407" s="93"/>
      <c r="PW407" s="93"/>
      <c r="PX407" s="93"/>
      <c r="PY407" s="93"/>
      <c r="PZ407" s="93"/>
      <c r="QA407" s="93"/>
      <c r="QB407" s="93"/>
      <c r="QC407" s="93"/>
      <c r="QD407" s="93"/>
      <c r="QE407" s="20"/>
      <c r="QF407" s="1739"/>
      <c r="QG407" s="19"/>
      <c r="QH407" s="93"/>
      <c r="QI407" s="93"/>
      <c r="QJ407" s="93"/>
      <c r="QK407" s="93"/>
      <c r="QL407" s="93"/>
      <c r="QM407" s="93"/>
      <c r="QN407" s="93"/>
      <c r="QO407" s="93"/>
      <c r="QP407" s="93"/>
      <c r="QQ407" s="93"/>
      <c r="QR407" s="93"/>
      <c r="QS407" s="93"/>
      <c r="QT407" s="93"/>
      <c r="QU407" s="93"/>
      <c r="QV407" s="93"/>
      <c r="QW407" s="93"/>
      <c r="QX407" s="93"/>
      <c r="QY407" s="93"/>
      <c r="QZ407" s="93"/>
      <c r="RA407" s="93"/>
      <c r="RB407" s="93"/>
      <c r="RC407" s="93"/>
      <c r="RD407" s="93"/>
      <c r="RE407" s="93"/>
      <c r="RF407" s="93"/>
      <c r="RG407" s="93"/>
      <c r="RH407" s="93"/>
      <c r="RI407" s="93"/>
      <c r="RJ407" s="93"/>
      <c r="RK407" s="93"/>
      <c r="RL407" s="93"/>
      <c r="RM407" s="20"/>
      <c r="RN407" s="29"/>
      <c r="RO407" s="19"/>
      <c r="RP407" s="20"/>
      <c r="RQ407" s="29"/>
      <c r="RR407" s="20"/>
      <c r="RS407" s="29"/>
      <c r="RT407" s="1504">
        <v>46844</v>
      </c>
      <c r="RU407" s="19"/>
      <c r="RV407" s="20"/>
      <c r="RW407" s="29"/>
      <c r="RX407" s="1504">
        <v>46844</v>
      </c>
      <c r="RY407" s="29"/>
      <c r="RZ407" s="20"/>
      <c r="SA407" s="29"/>
      <c r="SB407" s="29"/>
    </row>
    <row r="408" spans="1:496">
      <c r="A408" s="41">
        <f t="shared" si="346"/>
        <v>2028</v>
      </c>
      <c r="B408" s="1504">
        <v>46874</v>
      </c>
      <c r="C408" s="1813"/>
      <c r="D408" s="1814"/>
      <c r="E408" s="1814"/>
      <c r="F408" s="1815"/>
      <c r="G408" s="1814"/>
      <c r="H408" s="1814"/>
      <c r="I408" s="1814"/>
      <c r="J408" s="1816"/>
      <c r="K408" s="1807"/>
      <c r="L408" s="25"/>
      <c r="M408" s="97"/>
      <c r="N408" s="1504">
        <v>46874</v>
      </c>
      <c r="O408" s="19"/>
      <c r="P408" s="93"/>
      <c r="Q408" s="93"/>
      <c r="R408" s="93"/>
      <c r="S408" s="93"/>
      <c r="T408" s="93"/>
      <c r="U408" s="93"/>
      <c r="V408" s="93"/>
      <c r="W408" s="93"/>
      <c r="X408" s="93"/>
      <c r="Y408" s="93"/>
      <c r="Z408" s="93"/>
      <c r="AA408" s="93"/>
      <c r="AB408" s="20"/>
      <c r="AC408" s="25"/>
      <c r="AD408" s="97"/>
      <c r="AE408" s="1504">
        <v>46874</v>
      </c>
      <c r="AF408" s="19"/>
      <c r="AG408" s="93"/>
      <c r="AH408" s="93"/>
      <c r="AI408" s="93"/>
      <c r="AJ408" s="93"/>
      <c r="AK408" s="93"/>
      <c r="AL408" s="93"/>
      <c r="AM408" s="93"/>
      <c r="AN408" s="93"/>
      <c r="AO408" s="93"/>
      <c r="AP408" s="93"/>
      <c r="AQ408" s="93"/>
      <c r="AR408" s="93"/>
      <c r="AS408" s="20"/>
      <c r="AT408" s="25"/>
      <c r="AU408" s="97"/>
      <c r="AV408" s="1504">
        <v>46874</v>
      </c>
      <c r="AW408" s="19"/>
      <c r="AX408" s="93"/>
      <c r="AY408" s="93"/>
      <c r="AZ408" s="93"/>
      <c r="BA408" s="93"/>
      <c r="BB408" s="93"/>
      <c r="BC408" s="93"/>
      <c r="BD408" s="93"/>
      <c r="BE408" s="93"/>
      <c r="BF408" s="93"/>
      <c r="BG408" s="93"/>
      <c r="BH408" s="93"/>
      <c r="BI408" s="93"/>
      <c r="BJ408" s="20"/>
      <c r="BK408" s="25"/>
      <c r="BL408" s="97"/>
      <c r="BM408" s="1504">
        <v>46874</v>
      </c>
      <c r="BN408" s="19"/>
      <c r="BO408" s="93"/>
      <c r="BP408" s="93"/>
      <c r="BQ408" s="93"/>
      <c r="BR408" s="93"/>
      <c r="BS408" s="93"/>
      <c r="BT408" s="93"/>
      <c r="BU408" s="20"/>
      <c r="BV408" s="25"/>
      <c r="BW408" s="97"/>
      <c r="BX408" s="1504">
        <v>46874</v>
      </c>
      <c r="BY408" s="19"/>
      <c r="BZ408" s="93"/>
      <c r="CA408" s="93"/>
      <c r="CB408" s="93"/>
      <c r="CC408" s="93"/>
      <c r="CD408" s="25"/>
      <c r="CE408" s="97"/>
      <c r="CF408" s="1504">
        <v>46874</v>
      </c>
      <c r="CG408" s="19"/>
      <c r="CH408" s="93"/>
      <c r="CI408" s="219"/>
      <c r="CJ408" s="20"/>
      <c r="CK408" s="19"/>
      <c r="CL408" s="93"/>
      <c r="CM408" s="93"/>
      <c r="CN408" s="93"/>
      <c r="CO408" s="93"/>
      <c r="CP408" s="20"/>
      <c r="CQ408" s="219"/>
      <c r="CR408" s="93"/>
      <c r="CS408" s="93"/>
      <c r="CT408" s="93"/>
      <c r="CU408" s="93"/>
      <c r="CV408" s="214"/>
      <c r="CW408" s="29"/>
      <c r="CX408" s="41">
        <f t="shared" si="357"/>
        <v>2028</v>
      </c>
      <c r="CY408" s="1504">
        <v>46874</v>
      </c>
      <c r="CZ408" s="19"/>
      <c r="DA408" s="93"/>
      <c r="DB408" s="93"/>
      <c r="DC408" s="93"/>
      <c r="DD408" s="93"/>
      <c r="DE408" s="20"/>
      <c r="DF408" s="29"/>
      <c r="DG408" s="1504">
        <v>46874</v>
      </c>
      <c r="DH408" s="19"/>
      <c r="DI408" s="93"/>
      <c r="DJ408" s="93"/>
      <c r="DK408" s="93"/>
      <c r="DL408" s="93"/>
      <c r="DM408" s="93"/>
      <c r="DN408" s="20"/>
      <c r="DO408" s="295"/>
      <c r="DP408" s="29"/>
      <c r="DQ408" s="1504">
        <v>46874</v>
      </c>
      <c r="DR408" s="19"/>
      <c r="DS408" s="93"/>
      <c r="DT408" s="93"/>
      <c r="DU408" s="93"/>
      <c r="DV408" s="93"/>
      <c r="DW408" s="93"/>
      <c r="DX408" s="20"/>
      <c r="DY408" s="29"/>
      <c r="DZ408" s="1504">
        <v>46874</v>
      </c>
      <c r="EA408" s="19"/>
      <c r="EB408" s="93"/>
      <c r="EC408" s="20"/>
      <c r="ED408" s="29"/>
      <c r="EE408" s="1504">
        <v>46874</v>
      </c>
      <c r="EF408" s="19"/>
      <c r="EG408" s="93"/>
      <c r="EH408" s="93"/>
      <c r="EI408" s="214"/>
      <c r="EJ408" s="93"/>
      <c r="EK408" s="93"/>
      <c r="EL408" s="93"/>
      <c r="EM408" s="93"/>
      <c r="EN408" s="20"/>
      <c r="EO408" s="29"/>
      <c r="EP408" s="1504">
        <v>46874</v>
      </c>
      <c r="EQ408" s="19"/>
      <c r="ER408" s="93"/>
      <c r="ES408" s="93"/>
      <c r="ET408" s="214"/>
      <c r="EU408" s="93"/>
      <c r="EV408" s="93"/>
      <c r="EW408" s="93"/>
      <c r="EX408" s="93"/>
      <c r="EY408" s="20"/>
      <c r="EZ408" s="29"/>
      <c r="FA408" s="1504">
        <v>46874</v>
      </c>
      <c r="FB408" s="29"/>
      <c r="FC408" s="29"/>
      <c r="FD408" s="29"/>
      <c r="FE408" s="29"/>
      <c r="FF408" s="29"/>
      <c r="FG408" s="29"/>
      <c r="FH408" s="29"/>
      <c r="FI408" s="29"/>
      <c r="FJ408" s="29"/>
      <c r="FK408" s="29"/>
      <c r="FL408" s="1504">
        <v>46874</v>
      </c>
      <c r="FM408" s="19"/>
      <c r="FN408" s="93"/>
      <c r="FO408" s="93"/>
      <c r="FP408" s="93"/>
      <c r="FQ408" s="93"/>
      <c r="FR408" s="93"/>
      <c r="FS408" s="93"/>
      <c r="FT408" s="93"/>
      <c r="FU408" s="93"/>
      <c r="FV408" s="93"/>
      <c r="FW408" s="93"/>
      <c r="FX408" s="93"/>
      <c r="FY408" s="93"/>
      <c r="FZ408" s="29"/>
      <c r="GA408" s="1504">
        <v>46874</v>
      </c>
      <c r="GB408" s="19"/>
      <c r="GC408" s="93"/>
      <c r="GD408" s="93"/>
      <c r="GE408" s="93"/>
      <c r="GF408" s="93"/>
      <c r="GG408" s="93"/>
      <c r="GH408" s="93"/>
      <c r="GI408" s="93"/>
      <c r="GJ408" s="93"/>
      <c r="GK408" s="93"/>
      <c r="GL408" s="93"/>
      <c r="GM408" s="93"/>
      <c r="GN408" s="20"/>
      <c r="GO408" s="29"/>
      <c r="GP408" s="1504">
        <v>46874</v>
      </c>
      <c r="GQ408" s="19"/>
      <c r="GR408" s="93"/>
      <c r="GS408" s="93"/>
      <c r="GT408" s="93"/>
      <c r="GU408" s="93"/>
      <c r="GV408" s="20"/>
      <c r="GW408" s="19"/>
      <c r="GX408" s="93"/>
      <c r="GY408" s="93"/>
      <c r="GZ408" s="93"/>
      <c r="HA408" s="93"/>
      <c r="HB408" s="20"/>
      <c r="HC408" s="19"/>
      <c r="HD408" s="93"/>
      <c r="HE408" s="93"/>
      <c r="HF408" s="93"/>
      <c r="HG408" s="93"/>
      <c r="HH408" s="20"/>
      <c r="HI408" s="19"/>
      <c r="HJ408" s="93"/>
      <c r="HK408" s="93"/>
      <c r="HL408" s="93"/>
      <c r="HM408" s="93"/>
      <c r="HN408" s="20"/>
      <c r="HO408" s="219"/>
      <c r="HP408" s="20"/>
      <c r="HQ408" s="25"/>
      <c r="HR408" s="29"/>
      <c r="HS408" s="1504">
        <v>46874</v>
      </c>
      <c r="HT408" s="19"/>
      <c r="HU408" s="93"/>
      <c r="HV408" s="93"/>
      <c r="HW408" s="93"/>
      <c r="HX408" s="93"/>
      <c r="HY408" s="93"/>
      <c r="HZ408" s="93"/>
      <c r="IA408" s="20"/>
      <c r="IB408" s="19"/>
      <c r="IC408" s="93"/>
      <c r="ID408" s="93"/>
      <c r="IE408" s="93"/>
      <c r="IF408" s="93"/>
      <c r="IG408" s="20"/>
      <c r="IH408" s="19"/>
      <c r="II408" s="93"/>
      <c r="IJ408" s="93"/>
      <c r="IK408" s="93"/>
      <c r="IL408" s="93"/>
      <c r="IM408" s="93"/>
      <c r="IN408" s="93"/>
      <c r="IO408" s="20"/>
      <c r="IP408" s="29"/>
      <c r="IQ408" s="19"/>
      <c r="IR408" s="93"/>
      <c r="IS408" s="93"/>
      <c r="IT408" s="93"/>
      <c r="IU408" s="93"/>
      <c r="IV408" s="20"/>
      <c r="IW408" s="29"/>
      <c r="IX408" s="19"/>
      <c r="IY408" s="93"/>
      <c r="IZ408" s="93"/>
      <c r="JA408" s="93"/>
      <c r="JB408" s="93"/>
      <c r="JC408" s="93"/>
      <c r="JD408" s="93"/>
      <c r="JE408" s="20"/>
      <c r="JF408" s="29"/>
      <c r="JG408" s="19"/>
      <c r="JH408" s="93"/>
      <c r="JI408" s="93"/>
      <c r="JJ408" s="93"/>
      <c r="JK408" s="93"/>
      <c r="JL408" s="93"/>
      <c r="JM408" s="93"/>
      <c r="JN408" s="20"/>
      <c r="JO408" s="29"/>
      <c r="JP408" s="19"/>
      <c r="JQ408" s="93"/>
      <c r="JR408" s="93"/>
      <c r="JS408" s="93"/>
      <c r="JT408" s="93"/>
      <c r="JU408" s="20"/>
      <c r="JV408" s="29"/>
      <c r="JW408" s="1504">
        <v>46874</v>
      </c>
      <c r="JX408" s="19"/>
      <c r="JY408" s="93"/>
      <c r="JZ408" s="93"/>
      <c r="KA408" s="93"/>
      <c r="KB408" s="93"/>
      <c r="KC408" s="93"/>
      <c r="KD408" s="20"/>
      <c r="KE408" s="29"/>
      <c r="KF408" s="19"/>
      <c r="KG408" s="93"/>
      <c r="KH408" s="93"/>
      <c r="KI408" s="93"/>
      <c r="KJ408" s="93"/>
      <c r="KK408" s="20"/>
      <c r="KL408" s="29"/>
      <c r="KM408" s="19"/>
      <c r="KN408" s="93"/>
      <c r="KO408" s="93"/>
      <c r="KP408" s="93"/>
      <c r="KQ408" s="93"/>
      <c r="KR408" s="20"/>
      <c r="KS408" s="29"/>
      <c r="KT408" s="19"/>
      <c r="KU408" s="93"/>
      <c r="KV408" s="93"/>
      <c r="KW408" s="93"/>
      <c r="KX408" s="93"/>
      <c r="KY408" s="20"/>
      <c r="KZ408" s="29"/>
      <c r="LA408" s="1504">
        <v>46874</v>
      </c>
      <c r="LB408" s="19"/>
      <c r="LC408" s="93"/>
      <c r="LD408" s="93"/>
      <c r="LE408" s="93"/>
      <c r="LF408" s="93"/>
      <c r="LG408" s="93"/>
      <c r="LH408" s="20"/>
      <c r="LI408" s="29"/>
      <c r="LJ408" s="19"/>
      <c r="LK408" s="93"/>
      <c r="LL408" s="93"/>
      <c r="LM408" s="93"/>
      <c r="LN408" s="93"/>
      <c r="LO408" s="20"/>
      <c r="LP408" s="29"/>
      <c r="LQ408" s="19"/>
      <c r="LR408" s="93"/>
      <c r="LS408" s="93"/>
      <c r="LT408" s="93"/>
      <c r="LU408" s="93"/>
      <c r="LV408" s="93"/>
      <c r="LW408" s="93"/>
      <c r="LX408" s="93"/>
      <c r="LY408" s="93"/>
      <c r="LZ408" s="93"/>
      <c r="MA408" s="20"/>
      <c r="MB408" s="29"/>
      <c r="MC408" s="1504">
        <v>46874</v>
      </c>
      <c r="MD408" s="19"/>
      <c r="ME408" s="93"/>
      <c r="MF408" s="93"/>
      <c r="MG408" s="93"/>
      <c r="MH408" s="93"/>
      <c r="MI408" s="93"/>
      <c r="MJ408" s="93"/>
      <c r="MK408" s="93"/>
      <c r="ML408" s="93"/>
      <c r="MM408" s="93"/>
      <c r="MN408" s="93"/>
      <c r="MO408" s="93"/>
      <c r="MP408" s="93"/>
      <c r="MQ408" s="93"/>
      <c r="MR408" s="93"/>
      <c r="MS408" s="93"/>
      <c r="MT408" s="93"/>
      <c r="MU408" s="93"/>
      <c r="MV408" s="93"/>
      <c r="MW408" s="93"/>
      <c r="MX408" s="93"/>
      <c r="MY408" s="93"/>
      <c r="MZ408" s="93"/>
      <c r="NA408" s="93"/>
      <c r="NB408" s="93"/>
      <c r="NC408" s="93"/>
      <c r="ND408" s="93"/>
      <c r="NE408" s="93"/>
      <c r="NF408" s="93"/>
      <c r="NG408" s="93"/>
      <c r="NH408" s="93"/>
      <c r="NI408" s="93"/>
      <c r="NJ408" s="93"/>
      <c r="NK408" s="93"/>
      <c r="NL408" s="93"/>
      <c r="NM408" s="93"/>
      <c r="NN408" s="93"/>
      <c r="NO408" s="93"/>
      <c r="NP408" s="93"/>
      <c r="NQ408" s="93"/>
      <c r="NR408" s="93"/>
      <c r="NS408" s="93"/>
      <c r="NT408" s="93"/>
      <c r="NU408" s="93"/>
      <c r="NV408" s="93"/>
      <c r="NW408" s="93"/>
      <c r="NX408" s="93"/>
      <c r="NY408" s="93"/>
      <c r="NZ408" s="93"/>
      <c r="OA408" s="93"/>
      <c r="OB408" s="93"/>
      <c r="OC408" s="93"/>
      <c r="OD408" s="20"/>
      <c r="OE408" s="29"/>
      <c r="OF408" s="1504">
        <v>46874</v>
      </c>
      <c r="OG408" s="19"/>
      <c r="OH408" s="93"/>
      <c r="OI408" s="93"/>
      <c r="OJ408" s="93"/>
      <c r="OK408" s="93"/>
      <c r="OL408" s="93"/>
      <c r="OM408" s="93"/>
      <c r="ON408" s="93"/>
      <c r="OO408" s="93"/>
      <c r="OP408" s="93"/>
      <c r="OQ408" s="93"/>
      <c r="OR408" s="93"/>
      <c r="OS408" s="93"/>
      <c r="OT408" s="93"/>
      <c r="OU408" s="93"/>
      <c r="OV408" s="93"/>
      <c r="OW408" s="93"/>
      <c r="OX408" s="93"/>
      <c r="OY408" s="93"/>
      <c r="OZ408" s="93"/>
      <c r="PA408" s="93"/>
      <c r="PB408" s="93"/>
      <c r="PC408" s="20"/>
      <c r="PD408" s="29"/>
      <c r="PE408" s="19"/>
      <c r="PF408" s="93"/>
      <c r="PG408" s="93"/>
      <c r="PH408" s="93"/>
      <c r="PI408" s="93"/>
      <c r="PJ408" s="93"/>
      <c r="PK408" s="93"/>
      <c r="PL408" s="93"/>
      <c r="PM408" s="93"/>
      <c r="PN408" s="93"/>
      <c r="PO408" s="93"/>
      <c r="PP408" s="93"/>
      <c r="PQ408" s="93"/>
      <c r="PR408" s="93"/>
      <c r="PS408" s="93"/>
      <c r="PT408" s="93"/>
      <c r="PU408" s="93"/>
      <c r="PV408" s="93"/>
      <c r="PW408" s="93"/>
      <c r="PX408" s="93"/>
      <c r="PY408" s="93"/>
      <c r="PZ408" s="93"/>
      <c r="QA408" s="93"/>
      <c r="QB408" s="93"/>
      <c r="QC408" s="93"/>
      <c r="QD408" s="93"/>
      <c r="QE408" s="20"/>
      <c r="QF408" s="1739"/>
      <c r="QG408" s="19"/>
      <c r="QH408" s="93"/>
      <c r="QI408" s="93"/>
      <c r="QJ408" s="93"/>
      <c r="QK408" s="93"/>
      <c r="QL408" s="93"/>
      <c r="QM408" s="93"/>
      <c r="QN408" s="93"/>
      <c r="QO408" s="93"/>
      <c r="QP408" s="93"/>
      <c r="QQ408" s="93"/>
      <c r="QR408" s="93"/>
      <c r="QS408" s="93"/>
      <c r="QT408" s="93"/>
      <c r="QU408" s="93"/>
      <c r="QV408" s="93"/>
      <c r="QW408" s="93"/>
      <c r="QX408" s="93"/>
      <c r="QY408" s="93"/>
      <c r="QZ408" s="93"/>
      <c r="RA408" s="93"/>
      <c r="RB408" s="93"/>
      <c r="RC408" s="93"/>
      <c r="RD408" s="93"/>
      <c r="RE408" s="93"/>
      <c r="RF408" s="93"/>
      <c r="RG408" s="93"/>
      <c r="RH408" s="93"/>
      <c r="RI408" s="93"/>
      <c r="RJ408" s="93"/>
      <c r="RK408" s="93"/>
      <c r="RL408" s="93"/>
      <c r="RM408" s="20"/>
      <c r="RN408" s="29"/>
      <c r="RO408" s="19"/>
      <c r="RP408" s="20"/>
      <c r="RQ408" s="29"/>
      <c r="RR408" s="20"/>
      <c r="RS408" s="29"/>
      <c r="RT408" s="1504">
        <v>46874</v>
      </c>
      <c r="RU408" s="19"/>
      <c r="RV408" s="20"/>
      <c r="RW408" s="29"/>
      <c r="RX408" s="1504">
        <v>46874</v>
      </c>
      <c r="RY408" s="29"/>
      <c r="RZ408" s="20"/>
      <c r="SA408" s="29"/>
      <c r="SB408" s="29"/>
    </row>
    <row r="409" spans="1:496">
      <c r="A409" s="41">
        <f t="shared" si="346"/>
        <v>2028</v>
      </c>
      <c r="B409" s="1504">
        <v>46905</v>
      </c>
      <c r="C409" s="1813"/>
      <c r="D409" s="1814"/>
      <c r="E409" s="1814"/>
      <c r="F409" s="1815"/>
      <c r="G409" s="1814"/>
      <c r="H409" s="1814"/>
      <c r="I409" s="1814"/>
      <c r="J409" s="1816"/>
      <c r="K409" s="1807"/>
      <c r="L409" s="25"/>
      <c r="M409" s="97"/>
      <c r="N409" s="1504">
        <v>46905</v>
      </c>
      <c r="O409" s="19"/>
      <c r="P409" s="93"/>
      <c r="Q409" s="93"/>
      <c r="R409" s="93"/>
      <c r="S409" s="93"/>
      <c r="T409" s="93"/>
      <c r="U409" s="93"/>
      <c r="V409" s="93"/>
      <c r="W409" s="93"/>
      <c r="X409" s="93"/>
      <c r="Y409" s="93"/>
      <c r="Z409" s="93"/>
      <c r="AA409" s="93"/>
      <c r="AB409" s="20"/>
      <c r="AC409" s="25"/>
      <c r="AD409" s="97"/>
      <c r="AE409" s="1504">
        <v>46905</v>
      </c>
      <c r="AF409" s="19"/>
      <c r="AG409" s="93"/>
      <c r="AH409" s="93"/>
      <c r="AI409" s="93"/>
      <c r="AJ409" s="93"/>
      <c r="AK409" s="93"/>
      <c r="AL409" s="93"/>
      <c r="AM409" s="93"/>
      <c r="AN409" s="93"/>
      <c r="AO409" s="93"/>
      <c r="AP409" s="93"/>
      <c r="AQ409" s="93"/>
      <c r="AR409" s="93"/>
      <c r="AS409" s="20"/>
      <c r="AT409" s="25"/>
      <c r="AU409" s="97"/>
      <c r="AV409" s="1504">
        <v>46905</v>
      </c>
      <c r="AW409" s="19"/>
      <c r="AX409" s="93"/>
      <c r="AY409" s="93"/>
      <c r="AZ409" s="93"/>
      <c r="BA409" s="93"/>
      <c r="BB409" s="93"/>
      <c r="BC409" s="93"/>
      <c r="BD409" s="93"/>
      <c r="BE409" s="93"/>
      <c r="BF409" s="93"/>
      <c r="BG409" s="93"/>
      <c r="BH409" s="93"/>
      <c r="BI409" s="93"/>
      <c r="BJ409" s="20"/>
      <c r="BK409" s="25"/>
      <c r="BL409" s="97"/>
      <c r="BM409" s="1504">
        <v>46905</v>
      </c>
      <c r="BN409" s="19"/>
      <c r="BO409" s="93"/>
      <c r="BP409" s="93"/>
      <c r="BQ409" s="93"/>
      <c r="BR409" s="93"/>
      <c r="BS409" s="93"/>
      <c r="BT409" s="93"/>
      <c r="BU409" s="20"/>
      <c r="BV409" s="25"/>
      <c r="BW409" s="97"/>
      <c r="BX409" s="1504">
        <v>46905</v>
      </c>
      <c r="BY409" s="19"/>
      <c r="BZ409" s="93"/>
      <c r="CA409" s="93"/>
      <c r="CB409" s="93"/>
      <c r="CC409" s="93"/>
      <c r="CD409" s="25"/>
      <c r="CE409" s="97"/>
      <c r="CF409" s="1504">
        <v>46905</v>
      </c>
      <c r="CG409" s="19"/>
      <c r="CH409" s="93"/>
      <c r="CI409" s="219"/>
      <c r="CJ409" s="20"/>
      <c r="CK409" s="19"/>
      <c r="CL409" s="93"/>
      <c r="CM409" s="93"/>
      <c r="CN409" s="93"/>
      <c r="CO409" s="93"/>
      <c r="CP409" s="20"/>
      <c r="CQ409" s="219"/>
      <c r="CR409" s="93"/>
      <c r="CS409" s="93"/>
      <c r="CT409" s="93"/>
      <c r="CU409" s="93"/>
      <c r="CV409" s="214"/>
      <c r="CW409" s="29"/>
      <c r="CX409" s="41">
        <f t="shared" si="357"/>
        <v>2028</v>
      </c>
      <c r="CY409" s="1504">
        <v>46905</v>
      </c>
      <c r="CZ409" s="19"/>
      <c r="DA409" s="93"/>
      <c r="DB409" s="93"/>
      <c r="DC409" s="93"/>
      <c r="DD409" s="93"/>
      <c r="DE409" s="20"/>
      <c r="DF409" s="29"/>
      <c r="DG409" s="1504">
        <v>46905</v>
      </c>
      <c r="DH409" s="19"/>
      <c r="DI409" s="93"/>
      <c r="DJ409" s="93"/>
      <c r="DK409" s="93"/>
      <c r="DL409" s="93"/>
      <c r="DM409" s="93"/>
      <c r="DN409" s="20"/>
      <c r="DO409" s="295"/>
      <c r="DP409" s="29"/>
      <c r="DQ409" s="1504">
        <v>46905</v>
      </c>
      <c r="DR409" s="19"/>
      <c r="DS409" s="93"/>
      <c r="DT409" s="93"/>
      <c r="DU409" s="93"/>
      <c r="DV409" s="93"/>
      <c r="DW409" s="93"/>
      <c r="DX409" s="20"/>
      <c r="DY409" s="29"/>
      <c r="DZ409" s="1504">
        <v>46905</v>
      </c>
      <c r="EA409" s="19"/>
      <c r="EB409" s="93"/>
      <c r="EC409" s="20"/>
      <c r="ED409" s="29"/>
      <c r="EE409" s="1504">
        <v>46905</v>
      </c>
      <c r="EF409" s="19"/>
      <c r="EG409" s="93"/>
      <c r="EH409" s="93"/>
      <c r="EI409" s="214"/>
      <c r="EJ409" s="93"/>
      <c r="EK409" s="93"/>
      <c r="EL409" s="93"/>
      <c r="EM409" s="93"/>
      <c r="EN409" s="20"/>
      <c r="EO409" s="29"/>
      <c r="EP409" s="1504">
        <v>46905</v>
      </c>
      <c r="EQ409" s="19"/>
      <c r="ER409" s="93"/>
      <c r="ES409" s="93"/>
      <c r="ET409" s="214"/>
      <c r="EU409" s="93"/>
      <c r="EV409" s="93"/>
      <c r="EW409" s="93"/>
      <c r="EX409" s="93"/>
      <c r="EY409" s="20"/>
      <c r="EZ409" s="29"/>
      <c r="FA409" s="1504">
        <v>46905</v>
      </c>
      <c r="FB409" s="29"/>
      <c r="FC409" s="29"/>
      <c r="FD409" s="29"/>
      <c r="FE409" s="29"/>
      <c r="FF409" s="29"/>
      <c r="FG409" s="29"/>
      <c r="FH409" s="29"/>
      <c r="FI409" s="29"/>
      <c r="FJ409" s="29"/>
      <c r="FK409" s="29"/>
      <c r="FL409" s="1504">
        <v>46905</v>
      </c>
      <c r="FM409" s="19"/>
      <c r="FN409" s="93"/>
      <c r="FO409" s="93"/>
      <c r="FP409" s="93"/>
      <c r="FQ409" s="93"/>
      <c r="FR409" s="93"/>
      <c r="FS409" s="93"/>
      <c r="FT409" s="93"/>
      <c r="FU409" s="93"/>
      <c r="FV409" s="93"/>
      <c r="FW409" s="93"/>
      <c r="FX409" s="93"/>
      <c r="FY409" s="93"/>
      <c r="FZ409" s="29"/>
      <c r="GA409" s="1504">
        <v>46905</v>
      </c>
      <c r="GB409" s="19"/>
      <c r="GC409" s="93"/>
      <c r="GD409" s="93"/>
      <c r="GE409" s="93"/>
      <c r="GF409" s="93"/>
      <c r="GG409" s="93"/>
      <c r="GH409" s="93"/>
      <c r="GI409" s="93"/>
      <c r="GJ409" s="93"/>
      <c r="GK409" s="93"/>
      <c r="GL409" s="93"/>
      <c r="GM409" s="93"/>
      <c r="GN409" s="20"/>
      <c r="GO409" s="29"/>
      <c r="GP409" s="1504">
        <v>46905</v>
      </c>
      <c r="GQ409" s="19"/>
      <c r="GR409" s="93"/>
      <c r="GS409" s="93"/>
      <c r="GT409" s="93"/>
      <c r="GU409" s="93"/>
      <c r="GV409" s="20"/>
      <c r="GW409" s="19"/>
      <c r="GX409" s="93"/>
      <c r="GY409" s="93"/>
      <c r="GZ409" s="93"/>
      <c r="HA409" s="93"/>
      <c r="HB409" s="20"/>
      <c r="HC409" s="19"/>
      <c r="HD409" s="93"/>
      <c r="HE409" s="93"/>
      <c r="HF409" s="93"/>
      <c r="HG409" s="93"/>
      <c r="HH409" s="20"/>
      <c r="HI409" s="19"/>
      <c r="HJ409" s="93"/>
      <c r="HK409" s="93"/>
      <c r="HL409" s="93"/>
      <c r="HM409" s="93"/>
      <c r="HN409" s="20"/>
      <c r="HO409" s="219"/>
      <c r="HP409" s="20"/>
      <c r="HQ409" s="25"/>
      <c r="HR409" s="29"/>
      <c r="HS409" s="1504">
        <v>46905</v>
      </c>
      <c r="HT409" s="19"/>
      <c r="HU409" s="93"/>
      <c r="HV409" s="93"/>
      <c r="HW409" s="93"/>
      <c r="HX409" s="93"/>
      <c r="HY409" s="93"/>
      <c r="HZ409" s="93"/>
      <c r="IA409" s="20"/>
      <c r="IB409" s="19"/>
      <c r="IC409" s="93"/>
      <c r="ID409" s="93"/>
      <c r="IE409" s="93"/>
      <c r="IF409" s="93"/>
      <c r="IG409" s="20"/>
      <c r="IH409" s="19"/>
      <c r="II409" s="93"/>
      <c r="IJ409" s="93"/>
      <c r="IK409" s="93"/>
      <c r="IL409" s="93"/>
      <c r="IM409" s="93"/>
      <c r="IN409" s="93"/>
      <c r="IO409" s="20"/>
      <c r="IP409" s="29"/>
      <c r="IQ409" s="19"/>
      <c r="IR409" s="93"/>
      <c r="IS409" s="93"/>
      <c r="IT409" s="93"/>
      <c r="IU409" s="93"/>
      <c r="IV409" s="20"/>
      <c r="IW409" s="29"/>
      <c r="IX409" s="19"/>
      <c r="IY409" s="93"/>
      <c r="IZ409" s="93"/>
      <c r="JA409" s="93"/>
      <c r="JB409" s="93"/>
      <c r="JC409" s="93"/>
      <c r="JD409" s="93"/>
      <c r="JE409" s="20"/>
      <c r="JF409" s="29"/>
      <c r="JG409" s="19"/>
      <c r="JH409" s="93"/>
      <c r="JI409" s="93"/>
      <c r="JJ409" s="93"/>
      <c r="JK409" s="93"/>
      <c r="JL409" s="93"/>
      <c r="JM409" s="93"/>
      <c r="JN409" s="20"/>
      <c r="JO409" s="29"/>
      <c r="JP409" s="19"/>
      <c r="JQ409" s="93"/>
      <c r="JR409" s="93"/>
      <c r="JS409" s="93"/>
      <c r="JT409" s="93"/>
      <c r="JU409" s="20"/>
      <c r="JV409" s="29"/>
      <c r="JW409" s="1504">
        <v>46905</v>
      </c>
      <c r="JX409" s="19"/>
      <c r="JY409" s="93"/>
      <c r="JZ409" s="93"/>
      <c r="KA409" s="93"/>
      <c r="KB409" s="93"/>
      <c r="KC409" s="93"/>
      <c r="KD409" s="20"/>
      <c r="KE409" s="29"/>
      <c r="KF409" s="19"/>
      <c r="KG409" s="93"/>
      <c r="KH409" s="93"/>
      <c r="KI409" s="93"/>
      <c r="KJ409" s="93"/>
      <c r="KK409" s="20"/>
      <c r="KL409" s="29"/>
      <c r="KM409" s="19"/>
      <c r="KN409" s="93"/>
      <c r="KO409" s="93"/>
      <c r="KP409" s="93"/>
      <c r="KQ409" s="93"/>
      <c r="KR409" s="20"/>
      <c r="KS409" s="29"/>
      <c r="KT409" s="19"/>
      <c r="KU409" s="93"/>
      <c r="KV409" s="93"/>
      <c r="KW409" s="93"/>
      <c r="KX409" s="93"/>
      <c r="KY409" s="20"/>
      <c r="KZ409" s="29"/>
      <c r="LA409" s="1504">
        <v>46905</v>
      </c>
      <c r="LB409" s="19"/>
      <c r="LC409" s="93"/>
      <c r="LD409" s="93"/>
      <c r="LE409" s="93"/>
      <c r="LF409" s="93"/>
      <c r="LG409" s="93"/>
      <c r="LH409" s="20"/>
      <c r="LI409" s="29"/>
      <c r="LJ409" s="19"/>
      <c r="LK409" s="93"/>
      <c r="LL409" s="93"/>
      <c r="LM409" s="93"/>
      <c r="LN409" s="93"/>
      <c r="LO409" s="20"/>
      <c r="LP409" s="29"/>
      <c r="LQ409" s="19"/>
      <c r="LR409" s="93"/>
      <c r="LS409" s="93"/>
      <c r="LT409" s="93"/>
      <c r="LU409" s="93"/>
      <c r="LV409" s="93"/>
      <c r="LW409" s="93"/>
      <c r="LX409" s="93"/>
      <c r="LY409" s="93"/>
      <c r="LZ409" s="93"/>
      <c r="MA409" s="20"/>
      <c r="MB409" s="29"/>
      <c r="MC409" s="1504">
        <v>46905</v>
      </c>
      <c r="MD409" s="19"/>
      <c r="ME409" s="93"/>
      <c r="MF409" s="93"/>
      <c r="MG409" s="93"/>
      <c r="MH409" s="93"/>
      <c r="MI409" s="93"/>
      <c r="MJ409" s="93"/>
      <c r="MK409" s="93"/>
      <c r="ML409" s="93"/>
      <c r="MM409" s="93"/>
      <c r="MN409" s="93"/>
      <c r="MO409" s="93"/>
      <c r="MP409" s="93"/>
      <c r="MQ409" s="93"/>
      <c r="MR409" s="93"/>
      <c r="MS409" s="93"/>
      <c r="MT409" s="93"/>
      <c r="MU409" s="93"/>
      <c r="MV409" s="93"/>
      <c r="MW409" s="93"/>
      <c r="MX409" s="93"/>
      <c r="MY409" s="93"/>
      <c r="MZ409" s="93"/>
      <c r="NA409" s="93"/>
      <c r="NB409" s="93"/>
      <c r="NC409" s="93"/>
      <c r="ND409" s="93"/>
      <c r="NE409" s="93"/>
      <c r="NF409" s="93"/>
      <c r="NG409" s="93"/>
      <c r="NH409" s="93"/>
      <c r="NI409" s="93"/>
      <c r="NJ409" s="93"/>
      <c r="NK409" s="93"/>
      <c r="NL409" s="93"/>
      <c r="NM409" s="93"/>
      <c r="NN409" s="93"/>
      <c r="NO409" s="93"/>
      <c r="NP409" s="93"/>
      <c r="NQ409" s="93"/>
      <c r="NR409" s="93"/>
      <c r="NS409" s="93"/>
      <c r="NT409" s="93"/>
      <c r="NU409" s="93"/>
      <c r="NV409" s="93"/>
      <c r="NW409" s="93"/>
      <c r="NX409" s="93"/>
      <c r="NY409" s="93"/>
      <c r="NZ409" s="93"/>
      <c r="OA409" s="93"/>
      <c r="OB409" s="93"/>
      <c r="OC409" s="93"/>
      <c r="OD409" s="20"/>
      <c r="OE409" s="29"/>
      <c r="OF409" s="1504">
        <v>46905</v>
      </c>
      <c r="OG409" s="19"/>
      <c r="OH409" s="93"/>
      <c r="OI409" s="93"/>
      <c r="OJ409" s="93"/>
      <c r="OK409" s="93"/>
      <c r="OL409" s="93"/>
      <c r="OM409" s="93"/>
      <c r="ON409" s="93"/>
      <c r="OO409" s="93"/>
      <c r="OP409" s="93"/>
      <c r="OQ409" s="93"/>
      <c r="OR409" s="93"/>
      <c r="OS409" s="93"/>
      <c r="OT409" s="93"/>
      <c r="OU409" s="93"/>
      <c r="OV409" s="93"/>
      <c r="OW409" s="93"/>
      <c r="OX409" s="93"/>
      <c r="OY409" s="93"/>
      <c r="OZ409" s="93"/>
      <c r="PA409" s="93"/>
      <c r="PB409" s="93"/>
      <c r="PC409" s="20"/>
      <c r="PD409" s="29"/>
      <c r="PE409" s="19"/>
      <c r="PF409" s="93"/>
      <c r="PG409" s="93"/>
      <c r="PH409" s="93"/>
      <c r="PI409" s="93"/>
      <c r="PJ409" s="93"/>
      <c r="PK409" s="93"/>
      <c r="PL409" s="93"/>
      <c r="PM409" s="93"/>
      <c r="PN409" s="93"/>
      <c r="PO409" s="93"/>
      <c r="PP409" s="93"/>
      <c r="PQ409" s="93"/>
      <c r="PR409" s="93"/>
      <c r="PS409" s="93"/>
      <c r="PT409" s="93"/>
      <c r="PU409" s="93"/>
      <c r="PV409" s="93"/>
      <c r="PW409" s="93"/>
      <c r="PX409" s="93"/>
      <c r="PY409" s="93"/>
      <c r="PZ409" s="93"/>
      <c r="QA409" s="93"/>
      <c r="QB409" s="93"/>
      <c r="QC409" s="93"/>
      <c r="QD409" s="93"/>
      <c r="QE409" s="20"/>
      <c r="QF409" s="1739"/>
      <c r="QG409" s="19"/>
      <c r="QH409" s="93"/>
      <c r="QI409" s="93"/>
      <c r="QJ409" s="93"/>
      <c r="QK409" s="93"/>
      <c r="QL409" s="93"/>
      <c r="QM409" s="93"/>
      <c r="QN409" s="93"/>
      <c r="QO409" s="93"/>
      <c r="QP409" s="93"/>
      <c r="QQ409" s="93"/>
      <c r="QR409" s="93"/>
      <c r="QS409" s="93"/>
      <c r="QT409" s="93"/>
      <c r="QU409" s="93"/>
      <c r="QV409" s="93"/>
      <c r="QW409" s="93"/>
      <c r="QX409" s="93"/>
      <c r="QY409" s="93"/>
      <c r="QZ409" s="93"/>
      <c r="RA409" s="93"/>
      <c r="RB409" s="93"/>
      <c r="RC409" s="93"/>
      <c r="RD409" s="93"/>
      <c r="RE409" s="93"/>
      <c r="RF409" s="93"/>
      <c r="RG409" s="93"/>
      <c r="RH409" s="93"/>
      <c r="RI409" s="93"/>
      <c r="RJ409" s="93"/>
      <c r="RK409" s="93"/>
      <c r="RL409" s="93"/>
      <c r="RM409" s="20"/>
      <c r="RN409" s="29"/>
      <c r="RO409" s="19"/>
      <c r="RP409" s="20"/>
      <c r="RQ409" s="29"/>
      <c r="RR409" s="20"/>
      <c r="RS409" s="29"/>
      <c r="RT409" s="1504">
        <v>46905</v>
      </c>
      <c r="RU409" s="19"/>
      <c r="RV409" s="20"/>
      <c r="RW409" s="29"/>
      <c r="RX409" s="1504">
        <v>46905</v>
      </c>
      <c r="RY409" s="29"/>
      <c r="RZ409" s="20"/>
      <c r="SA409" s="29"/>
      <c r="SB409" s="29"/>
    </row>
    <row r="410" spans="1:496">
      <c r="A410" s="41">
        <f t="shared" si="346"/>
        <v>2028</v>
      </c>
      <c r="B410" s="1504">
        <v>46935</v>
      </c>
      <c r="C410" s="1813"/>
      <c r="D410" s="1814"/>
      <c r="E410" s="1814"/>
      <c r="F410" s="1815"/>
      <c r="G410" s="1814"/>
      <c r="H410" s="1814"/>
      <c r="I410" s="1814"/>
      <c r="J410" s="1816"/>
      <c r="K410" s="1807"/>
      <c r="L410" s="25"/>
      <c r="M410" s="97"/>
      <c r="N410" s="1504">
        <v>46935</v>
      </c>
      <c r="O410" s="19"/>
      <c r="P410" s="93"/>
      <c r="Q410" s="93"/>
      <c r="R410" s="93"/>
      <c r="S410" s="93"/>
      <c r="T410" s="93"/>
      <c r="U410" s="93"/>
      <c r="V410" s="93"/>
      <c r="W410" s="93"/>
      <c r="X410" s="93"/>
      <c r="Y410" s="93"/>
      <c r="Z410" s="93"/>
      <c r="AA410" s="93"/>
      <c r="AB410" s="20"/>
      <c r="AC410" s="25"/>
      <c r="AD410" s="97"/>
      <c r="AE410" s="1504">
        <v>46935</v>
      </c>
      <c r="AF410" s="19"/>
      <c r="AG410" s="93"/>
      <c r="AH410" s="93"/>
      <c r="AI410" s="93"/>
      <c r="AJ410" s="93"/>
      <c r="AK410" s="93"/>
      <c r="AL410" s="93"/>
      <c r="AM410" s="93"/>
      <c r="AN410" s="93"/>
      <c r="AO410" s="93"/>
      <c r="AP410" s="93"/>
      <c r="AQ410" s="93"/>
      <c r="AR410" s="93"/>
      <c r="AS410" s="20"/>
      <c r="AT410" s="25"/>
      <c r="AU410" s="97"/>
      <c r="AV410" s="1504">
        <v>46935</v>
      </c>
      <c r="AW410" s="19"/>
      <c r="AX410" s="93"/>
      <c r="AY410" s="93"/>
      <c r="AZ410" s="93"/>
      <c r="BA410" s="93"/>
      <c r="BB410" s="93"/>
      <c r="BC410" s="93"/>
      <c r="BD410" s="93"/>
      <c r="BE410" s="93"/>
      <c r="BF410" s="93"/>
      <c r="BG410" s="93"/>
      <c r="BH410" s="93"/>
      <c r="BI410" s="93"/>
      <c r="BJ410" s="20"/>
      <c r="BK410" s="25"/>
      <c r="BL410" s="97"/>
      <c r="BM410" s="1504">
        <v>46935</v>
      </c>
      <c r="BN410" s="19"/>
      <c r="BO410" s="93"/>
      <c r="BP410" s="93"/>
      <c r="BQ410" s="93"/>
      <c r="BR410" s="93"/>
      <c r="BS410" s="93"/>
      <c r="BT410" s="93"/>
      <c r="BU410" s="20"/>
      <c r="BV410" s="25"/>
      <c r="BW410" s="97"/>
      <c r="BX410" s="1504">
        <v>46935</v>
      </c>
      <c r="BY410" s="19"/>
      <c r="BZ410" s="93"/>
      <c r="CA410" s="93"/>
      <c r="CB410" s="93"/>
      <c r="CC410" s="93"/>
      <c r="CD410" s="25"/>
      <c r="CE410" s="97"/>
      <c r="CF410" s="1504">
        <v>46935</v>
      </c>
      <c r="CG410" s="19"/>
      <c r="CH410" s="93"/>
      <c r="CI410" s="219"/>
      <c r="CJ410" s="20"/>
      <c r="CK410" s="19"/>
      <c r="CL410" s="93"/>
      <c r="CM410" s="93"/>
      <c r="CN410" s="93"/>
      <c r="CO410" s="93"/>
      <c r="CP410" s="20"/>
      <c r="CQ410" s="219"/>
      <c r="CR410" s="93"/>
      <c r="CS410" s="93"/>
      <c r="CT410" s="93"/>
      <c r="CU410" s="93"/>
      <c r="CV410" s="214"/>
      <c r="CW410" s="29"/>
      <c r="CX410" s="41">
        <f t="shared" si="357"/>
        <v>2028</v>
      </c>
      <c r="CY410" s="1504">
        <v>46935</v>
      </c>
      <c r="CZ410" s="19"/>
      <c r="DA410" s="93"/>
      <c r="DB410" s="93"/>
      <c r="DC410" s="93"/>
      <c r="DD410" s="93"/>
      <c r="DE410" s="20"/>
      <c r="DF410" s="29"/>
      <c r="DG410" s="1504">
        <v>46935</v>
      </c>
      <c r="DH410" s="19"/>
      <c r="DI410" s="93"/>
      <c r="DJ410" s="93"/>
      <c r="DK410" s="93"/>
      <c r="DL410" s="93"/>
      <c r="DM410" s="93"/>
      <c r="DN410" s="20"/>
      <c r="DO410" s="295"/>
      <c r="DP410" s="29"/>
      <c r="DQ410" s="1504">
        <v>46935</v>
      </c>
      <c r="DR410" s="19"/>
      <c r="DS410" s="93"/>
      <c r="DT410" s="93"/>
      <c r="DU410" s="93"/>
      <c r="DV410" s="93"/>
      <c r="DW410" s="93"/>
      <c r="DX410" s="20"/>
      <c r="DY410" s="29"/>
      <c r="DZ410" s="1504">
        <v>46935</v>
      </c>
      <c r="EA410" s="19"/>
      <c r="EB410" s="93"/>
      <c r="EC410" s="20"/>
      <c r="ED410" s="29"/>
      <c r="EE410" s="1504">
        <v>46935</v>
      </c>
      <c r="EF410" s="19"/>
      <c r="EG410" s="93"/>
      <c r="EH410" s="93"/>
      <c r="EI410" s="214"/>
      <c r="EJ410" s="93"/>
      <c r="EK410" s="93"/>
      <c r="EL410" s="93"/>
      <c r="EM410" s="93"/>
      <c r="EN410" s="20"/>
      <c r="EO410" s="29"/>
      <c r="EP410" s="1504">
        <v>46935</v>
      </c>
      <c r="EQ410" s="19"/>
      <c r="ER410" s="93"/>
      <c r="ES410" s="93"/>
      <c r="ET410" s="214"/>
      <c r="EU410" s="93"/>
      <c r="EV410" s="93"/>
      <c r="EW410" s="93"/>
      <c r="EX410" s="93"/>
      <c r="EY410" s="20"/>
      <c r="EZ410" s="29"/>
      <c r="FA410" s="1504">
        <v>46935</v>
      </c>
      <c r="FB410" s="29"/>
      <c r="FC410" s="29"/>
      <c r="FD410" s="29"/>
      <c r="FE410" s="29"/>
      <c r="FF410" s="29"/>
      <c r="FG410" s="29"/>
      <c r="FH410" s="29"/>
      <c r="FI410" s="29"/>
      <c r="FJ410" s="29"/>
      <c r="FK410" s="29"/>
      <c r="FL410" s="1504">
        <v>46935</v>
      </c>
      <c r="FM410" s="19"/>
      <c r="FN410" s="93"/>
      <c r="FO410" s="93"/>
      <c r="FP410" s="93"/>
      <c r="FQ410" s="93"/>
      <c r="FR410" s="93"/>
      <c r="FS410" s="93"/>
      <c r="FT410" s="93"/>
      <c r="FU410" s="93"/>
      <c r="FV410" s="93"/>
      <c r="FW410" s="93"/>
      <c r="FX410" s="93"/>
      <c r="FY410" s="93"/>
      <c r="FZ410" s="29"/>
      <c r="GA410" s="1504">
        <v>46935</v>
      </c>
      <c r="GB410" s="19"/>
      <c r="GC410" s="93"/>
      <c r="GD410" s="93"/>
      <c r="GE410" s="93"/>
      <c r="GF410" s="93"/>
      <c r="GG410" s="93"/>
      <c r="GH410" s="93"/>
      <c r="GI410" s="93"/>
      <c r="GJ410" s="93"/>
      <c r="GK410" s="93"/>
      <c r="GL410" s="93"/>
      <c r="GM410" s="93"/>
      <c r="GN410" s="20"/>
      <c r="GO410" s="29"/>
      <c r="GP410" s="1504">
        <v>46935</v>
      </c>
      <c r="GQ410" s="19"/>
      <c r="GR410" s="93"/>
      <c r="GS410" s="93"/>
      <c r="GT410" s="93"/>
      <c r="GU410" s="93"/>
      <c r="GV410" s="20"/>
      <c r="GW410" s="19"/>
      <c r="GX410" s="93"/>
      <c r="GY410" s="93"/>
      <c r="GZ410" s="93"/>
      <c r="HA410" s="93"/>
      <c r="HB410" s="20"/>
      <c r="HC410" s="19"/>
      <c r="HD410" s="93"/>
      <c r="HE410" s="93"/>
      <c r="HF410" s="93"/>
      <c r="HG410" s="93"/>
      <c r="HH410" s="20"/>
      <c r="HI410" s="19"/>
      <c r="HJ410" s="93"/>
      <c r="HK410" s="93"/>
      <c r="HL410" s="93"/>
      <c r="HM410" s="93"/>
      <c r="HN410" s="20"/>
      <c r="HO410" s="219"/>
      <c r="HP410" s="20"/>
      <c r="HQ410" s="25"/>
      <c r="HR410" s="29"/>
      <c r="HS410" s="1504">
        <v>46935</v>
      </c>
      <c r="HT410" s="19"/>
      <c r="HU410" s="93"/>
      <c r="HV410" s="93"/>
      <c r="HW410" s="93"/>
      <c r="HX410" s="93"/>
      <c r="HY410" s="93"/>
      <c r="HZ410" s="93"/>
      <c r="IA410" s="20"/>
      <c r="IB410" s="19"/>
      <c r="IC410" s="93"/>
      <c r="ID410" s="93"/>
      <c r="IE410" s="93"/>
      <c r="IF410" s="93"/>
      <c r="IG410" s="20"/>
      <c r="IH410" s="19"/>
      <c r="II410" s="93"/>
      <c r="IJ410" s="93"/>
      <c r="IK410" s="93"/>
      <c r="IL410" s="93"/>
      <c r="IM410" s="93"/>
      <c r="IN410" s="93"/>
      <c r="IO410" s="20"/>
      <c r="IP410" s="29"/>
      <c r="IQ410" s="19"/>
      <c r="IR410" s="93"/>
      <c r="IS410" s="93"/>
      <c r="IT410" s="93"/>
      <c r="IU410" s="93"/>
      <c r="IV410" s="20"/>
      <c r="IW410" s="29"/>
      <c r="IX410" s="19"/>
      <c r="IY410" s="93"/>
      <c r="IZ410" s="93"/>
      <c r="JA410" s="93"/>
      <c r="JB410" s="93"/>
      <c r="JC410" s="93"/>
      <c r="JD410" s="93"/>
      <c r="JE410" s="20"/>
      <c r="JF410" s="29"/>
      <c r="JG410" s="19"/>
      <c r="JH410" s="93"/>
      <c r="JI410" s="93"/>
      <c r="JJ410" s="93"/>
      <c r="JK410" s="93"/>
      <c r="JL410" s="93"/>
      <c r="JM410" s="93"/>
      <c r="JN410" s="20"/>
      <c r="JO410" s="29"/>
      <c r="JP410" s="19"/>
      <c r="JQ410" s="93"/>
      <c r="JR410" s="93"/>
      <c r="JS410" s="93"/>
      <c r="JT410" s="93"/>
      <c r="JU410" s="20"/>
      <c r="JV410" s="29"/>
      <c r="JW410" s="1504">
        <v>46935</v>
      </c>
      <c r="JX410" s="19"/>
      <c r="JY410" s="93"/>
      <c r="JZ410" s="93"/>
      <c r="KA410" s="93"/>
      <c r="KB410" s="93"/>
      <c r="KC410" s="93"/>
      <c r="KD410" s="20"/>
      <c r="KE410" s="29"/>
      <c r="KF410" s="19"/>
      <c r="KG410" s="93"/>
      <c r="KH410" s="93"/>
      <c r="KI410" s="93"/>
      <c r="KJ410" s="93"/>
      <c r="KK410" s="20"/>
      <c r="KL410" s="29"/>
      <c r="KM410" s="19"/>
      <c r="KN410" s="93"/>
      <c r="KO410" s="93"/>
      <c r="KP410" s="93"/>
      <c r="KQ410" s="93"/>
      <c r="KR410" s="20"/>
      <c r="KS410" s="29"/>
      <c r="KT410" s="19"/>
      <c r="KU410" s="93"/>
      <c r="KV410" s="93"/>
      <c r="KW410" s="93"/>
      <c r="KX410" s="93"/>
      <c r="KY410" s="20"/>
      <c r="KZ410" s="29"/>
      <c r="LA410" s="1504">
        <v>46935</v>
      </c>
      <c r="LB410" s="19"/>
      <c r="LC410" s="93"/>
      <c r="LD410" s="93"/>
      <c r="LE410" s="93"/>
      <c r="LF410" s="93"/>
      <c r="LG410" s="93"/>
      <c r="LH410" s="20"/>
      <c r="LI410" s="29"/>
      <c r="LJ410" s="19"/>
      <c r="LK410" s="93"/>
      <c r="LL410" s="93"/>
      <c r="LM410" s="93"/>
      <c r="LN410" s="93"/>
      <c r="LO410" s="20"/>
      <c r="LP410" s="29"/>
      <c r="LQ410" s="19"/>
      <c r="LR410" s="93"/>
      <c r="LS410" s="93"/>
      <c r="LT410" s="93"/>
      <c r="LU410" s="93"/>
      <c r="LV410" s="93"/>
      <c r="LW410" s="93"/>
      <c r="LX410" s="93"/>
      <c r="LY410" s="93"/>
      <c r="LZ410" s="93"/>
      <c r="MA410" s="20"/>
      <c r="MB410" s="29"/>
      <c r="MC410" s="1504">
        <v>46935</v>
      </c>
      <c r="MD410" s="19"/>
      <c r="ME410" s="93"/>
      <c r="MF410" s="93"/>
      <c r="MG410" s="93"/>
      <c r="MH410" s="93"/>
      <c r="MI410" s="93"/>
      <c r="MJ410" s="93"/>
      <c r="MK410" s="93"/>
      <c r="ML410" s="93"/>
      <c r="MM410" s="93"/>
      <c r="MN410" s="93"/>
      <c r="MO410" s="93"/>
      <c r="MP410" s="93"/>
      <c r="MQ410" s="93"/>
      <c r="MR410" s="93"/>
      <c r="MS410" s="93"/>
      <c r="MT410" s="93"/>
      <c r="MU410" s="93"/>
      <c r="MV410" s="93"/>
      <c r="MW410" s="93"/>
      <c r="MX410" s="93"/>
      <c r="MY410" s="93"/>
      <c r="MZ410" s="93"/>
      <c r="NA410" s="93"/>
      <c r="NB410" s="93"/>
      <c r="NC410" s="93"/>
      <c r="ND410" s="93"/>
      <c r="NE410" s="93"/>
      <c r="NF410" s="93"/>
      <c r="NG410" s="93"/>
      <c r="NH410" s="93"/>
      <c r="NI410" s="93"/>
      <c r="NJ410" s="93"/>
      <c r="NK410" s="93"/>
      <c r="NL410" s="93"/>
      <c r="NM410" s="93"/>
      <c r="NN410" s="93"/>
      <c r="NO410" s="93"/>
      <c r="NP410" s="93"/>
      <c r="NQ410" s="93"/>
      <c r="NR410" s="93"/>
      <c r="NS410" s="93"/>
      <c r="NT410" s="93"/>
      <c r="NU410" s="93"/>
      <c r="NV410" s="93"/>
      <c r="NW410" s="93"/>
      <c r="NX410" s="93"/>
      <c r="NY410" s="93"/>
      <c r="NZ410" s="93"/>
      <c r="OA410" s="93"/>
      <c r="OB410" s="93"/>
      <c r="OC410" s="93"/>
      <c r="OD410" s="20"/>
      <c r="OE410" s="29"/>
      <c r="OF410" s="1504">
        <v>46935</v>
      </c>
      <c r="OG410" s="19"/>
      <c r="OH410" s="93"/>
      <c r="OI410" s="93"/>
      <c r="OJ410" s="93"/>
      <c r="OK410" s="93"/>
      <c r="OL410" s="93"/>
      <c r="OM410" s="93"/>
      <c r="ON410" s="93"/>
      <c r="OO410" s="93"/>
      <c r="OP410" s="93"/>
      <c r="OQ410" s="93"/>
      <c r="OR410" s="93"/>
      <c r="OS410" s="93"/>
      <c r="OT410" s="93"/>
      <c r="OU410" s="93"/>
      <c r="OV410" s="93"/>
      <c r="OW410" s="93"/>
      <c r="OX410" s="93"/>
      <c r="OY410" s="93"/>
      <c r="OZ410" s="93"/>
      <c r="PA410" s="93"/>
      <c r="PB410" s="93"/>
      <c r="PC410" s="20"/>
      <c r="PD410" s="29"/>
      <c r="PE410" s="19"/>
      <c r="PF410" s="93"/>
      <c r="PG410" s="93"/>
      <c r="PH410" s="93"/>
      <c r="PI410" s="93"/>
      <c r="PJ410" s="93"/>
      <c r="PK410" s="93"/>
      <c r="PL410" s="93"/>
      <c r="PM410" s="93"/>
      <c r="PN410" s="93"/>
      <c r="PO410" s="93"/>
      <c r="PP410" s="93"/>
      <c r="PQ410" s="93"/>
      <c r="PR410" s="93"/>
      <c r="PS410" s="93"/>
      <c r="PT410" s="93"/>
      <c r="PU410" s="93"/>
      <c r="PV410" s="93"/>
      <c r="PW410" s="93"/>
      <c r="PX410" s="93"/>
      <c r="PY410" s="93"/>
      <c r="PZ410" s="93"/>
      <c r="QA410" s="93"/>
      <c r="QB410" s="93"/>
      <c r="QC410" s="93"/>
      <c r="QD410" s="93"/>
      <c r="QE410" s="20"/>
      <c r="QF410" s="1739"/>
      <c r="QG410" s="19"/>
      <c r="QH410" s="93"/>
      <c r="QI410" s="93"/>
      <c r="QJ410" s="93"/>
      <c r="QK410" s="93"/>
      <c r="QL410" s="93"/>
      <c r="QM410" s="93"/>
      <c r="QN410" s="93"/>
      <c r="QO410" s="93"/>
      <c r="QP410" s="93"/>
      <c r="QQ410" s="93"/>
      <c r="QR410" s="93"/>
      <c r="QS410" s="93"/>
      <c r="QT410" s="93"/>
      <c r="QU410" s="93"/>
      <c r="QV410" s="93"/>
      <c r="QW410" s="93"/>
      <c r="QX410" s="93"/>
      <c r="QY410" s="93"/>
      <c r="QZ410" s="93"/>
      <c r="RA410" s="93"/>
      <c r="RB410" s="93"/>
      <c r="RC410" s="93"/>
      <c r="RD410" s="93"/>
      <c r="RE410" s="93"/>
      <c r="RF410" s="93"/>
      <c r="RG410" s="93"/>
      <c r="RH410" s="93"/>
      <c r="RI410" s="93"/>
      <c r="RJ410" s="93"/>
      <c r="RK410" s="93"/>
      <c r="RL410" s="93"/>
      <c r="RM410" s="20"/>
      <c r="RN410" s="29"/>
      <c r="RO410" s="19"/>
      <c r="RP410" s="20"/>
      <c r="RQ410" s="29"/>
      <c r="RR410" s="20"/>
      <c r="RS410" s="29"/>
      <c r="RT410" s="1504">
        <v>46935</v>
      </c>
      <c r="RU410" s="19"/>
      <c r="RV410" s="20"/>
      <c r="RW410" s="29"/>
      <c r="RX410" s="1504">
        <v>46935</v>
      </c>
      <c r="RY410" s="29"/>
      <c r="RZ410" s="20"/>
      <c r="SA410" s="29"/>
      <c r="SB410" s="29"/>
    </row>
    <row r="411" spans="1:496">
      <c r="A411" s="41">
        <f t="shared" si="346"/>
        <v>2028</v>
      </c>
      <c r="B411" s="1504">
        <v>46966</v>
      </c>
      <c r="C411" s="1813"/>
      <c r="D411" s="1814"/>
      <c r="E411" s="1814"/>
      <c r="F411" s="1815"/>
      <c r="G411" s="1814"/>
      <c r="H411" s="1814"/>
      <c r="I411" s="1814"/>
      <c r="J411" s="1816"/>
      <c r="K411" s="1807"/>
      <c r="L411" s="25"/>
      <c r="M411" s="97"/>
      <c r="N411" s="1504">
        <v>46966</v>
      </c>
      <c r="O411" s="19"/>
      <c r="P411" s="93"/>
      <c r="Q411" s="93"/>
      <c r="R411" s="93"/>
      <c r="S411" s="93"/>
      <c r="T411" s="93"/>
      <c r="U411" s="93"/>
      <c r="V411" s="93"/>
      <c r="W411" s="93"/>
      <c r="X411" s="93"/>
      <c r="Y411" s="93"/>
      <c r="Z411" s="93"/>
      <c r="AA411" s="93"/>
      <c r="AB411" s="20"/>
      <c r="AC411" s="25"/>
      <c r="AD411" s="97"/>
      <c r="AE411" s="1504">
        <v>46966</v>
      </c>
      <c r="AF411" s="19"/>
      <c r="AG411" s="93"/>
      <c r="AH411" s="93"/>
      <c r="AI411" s="93"/>
      <c r="AJ411" s="93"/>
      <c r="AK411" s="93"/>
      <c r="AL411" s="93"/>
      <c r="AM411" s="93"/>
      <c r="AN411" s="93"/>
      <c r="AO411" s="93"/>
      <c r="AP411" s="93"/>
      <c r="AQ411" s="93"/>
      <c r="AR411" s="93"/>
      <c r="AS411" s="20"/>
      <c r="AT411" s="25"/>
      <c r="AU411" s="97"/>
      <c r="AV411" s="1504">
        <v>46966</v>
      </c>
      <c r="AW411" s="19"/>
      <c r="AX411" s="93"/>
      <c r="AY411" s="93"/>
      <c r="AZ411" s="93"/>
      <c r="BA411" s="93"/>
      <c r="BB411" s="93"/>
      <c r="BC411" s="93"/>
      <c r="BD411" s="93"/>
      <c r="BE411" s="93"/>
      <c r="BF411" s="93"/>
      <c r="BG411" s="93"/>
      <c r="BH411" s="93"/>
      <c r="BI411" s="93"/>
      <c r="BJ411" s="20"/>
      <c r="BK411" s="25"/>
      <c r="BL411" s="97"/>
      <c r="BM411" s="1504">
        <v>46966</v>
      </c>
      <c r="BN411" s="19"/>
      <c r="BO411" s="93"/>
      <c r="BP411" s="93"/>
      <c r="BQ411" s="93"/>
      <c r="BR411" s="93"/>
      <c r="BS411" s="93"/>
      <c r="BT411" s="93"/>
      <c r="BU411" s="20"/>
      <c r="BV411" s="25"/>
      <c r="BW411" s="97"/>
      <c r="BX411" s="1504">
        <v>46966</v>
      </c>
      <c r="BY411" s="19"/>
      <c r="BZ411" s="93"/>
      <c r="CA411" s="93"/>
      <c r="CB411" s="93"/>
      <c r="CC411" s="93"/>
      <c r="CD411" s="25"/>
      <c r="CE411" s="97"/>
      <c r="CF411" s="1504">
        <v>46966</v>
      </c>
      <c r="CG411" s="19"/>
      <c r="CH411" s="93"/>
      <c r="CI411" s="219"/>
      <c r="CJ411" s="20"/>
      <c r="CK411" s="19"/>
      <c r="CL411" s="93"/>
      <c r="CM411" s="93"/>
      <c r="CN411" s="93"/>
      <c r="CO411" s="93"/>
      <c r="CP411" s="20"/>
      <c r="CQ411" s="219"/>
      <c r="CR411" s="93"/>
      <c r="CS411" s="93"/>
      <c r="CT411" s="93"/>
      <c r="CU411" s="93"/>
      <c r="CV411" s="214"/>
      <c r="CW411" s="29"/>
      <c r="CX411" s="41">
        <f t="shared" si="357"/>
        <v>2028</v>
      </c>
      <c r="CY411" s="1504">
        <v>46966</v>
      </c>
      <c r="CZ411" s="19"/>
      <c r="DA411" s="93"/>
      <c r="DB411" s="93"/>
      <c r="DC411" s="93"/>
      <c r="DD411" s="93"/>
      <c r="DE411" s="20"/>
      <c r="DF411" s="29"/>
      <c r="DG411" s="1504">
        <v>46966</v>
      </c>
      <c r="DH411" s="19"/>
      <c r="DI411" s="93"/>
      <c r="DJ411" s="93"/>
      <c r="DK411" s="93"/>
      <c r="DL411" s="93"/>
      <c r="DM411" s="93"/>
      <c r="DN411" s="20"/>
      <c r="DO411" s="295"/>
      <c r="DP411" s="29"/>
      <c r="DQ411" s="1504">
        <v>46966</v>
      </c>
      <c r="DR411" s="19"/>
      <c r="DS411" s="93"/>
      <c r="DT411" s="93"/>
      <c r="DU411" s="93"/>
      <c r="DV411" s="93"/>
      <c r="DW411" s="93"/>
      <c r="DX411" s="20"/>
      <c r="DY411" s="29"/>
      <c r="DZ411" s="1504">
        <v>46966</v>
      </c>
      <c r="EA411" s="19"/>
      <c r="EB411" s="93"/>
      <c r="EC411" s="20"/>
      <c r="ED411" s="29"/>
      <c r="EE411" s="1504">
        <v>46966</v>
      </c>
      <c r="EF411" s="19"/>
      <c r="EG411" s="93"/>
      <c r="EH411" s="93"/>
      <c r="EI411" s="214"/>
      <c r="EJ411" s="93"/>
      <c r="EK411" s="93"/>
      <c r="EL411" s="93"/>
      <c r="EM411" s="93"/>
      <c r="EN411" s="20"/>
      <c r="EO411" s="29"/>
      <c r="EP411" s="1504">
        <v>46966</v>
      </c>
      <c r="EQ411" s="19"/>
      <c r="ER411" s="93"/>
      <c r="ES411" s="93"/>
      <c r="ET411" s="214"/>
      <c r="EU411" s="93"/>
      <c r="EV411" s="93"/>
      <c r="EW411" s="93"/>
      <c r="EX411" s="93"/>
      <c r="EY411" s="20"/>
      <c r="EZ411" s="29"/>
      <c r="FA411" s="1504">
        <v>46966</v>
      </c>
      <c r="FB411" s="29"/>
      <c r="FC411" s="29"/>
      <c r="FD411" s="29"/>
      <c r="FE411" s="29"/>
      <c r="FF411" s="29"/>
      <c r="FG411" s="29"/>
      <c r="FH411" s="29"/>
      <c r="FI411" s="29"/>
      <c r="FJ411" s="29"/>
      <c r="FK411" s="29"/>
      <c r="FL411" s="1504">
        <v>46966</v>
      </c>
      <c r="FM411" s="19"/>
      <c r="FN411" s="93"/>
      <c r="FO411" s="93"/>
      <c r="FP411" s="93"/>
      <c r="FQ411" s="93"/>
      <c r="FR411" s="93"/>
      <c r="FS411" s="93"/>
      <c r="FT411" s="93"/>
      <c r="FU411" s="93"/>
      <c r="FV411" s="93"/>
      <c r="FW411" s="93"/>
      <c r="FX411" s="93"/>
      <c r="FY411" s="93"/>
      <c r="FZ411" s="29"/>
      <c r="GA411" s="1504">
        <v>46966</v>
      </c>
      <c r="GB411" s="19"/>
      <c r="GC411" s="93"/>
      <c r="GD411" s="93"/>
      <c r="GE411" s="93"/>
      <c r="GF411" s="93"/>
      <c r="GG411" s="93"/>
      <c r="GH411" s="93"/>
      <c r="GI411" s="93"/>
      <c r="GJ411" s="93"/>
      <c r="GK411" s="93"/>
      <c r="GL411" s="93"/>
      <c r="GM411" s="93"/>
      <c r="GN411" s="20"/>
      <c r="GO411" s="29"/>
      <c r="GP411" s="1504">
        <v>46966</v>
      </c>
      <c r="GQ411" s="19"/>
      <c r="GR411" s="93"/>
      <c r="GS411" s="93"/>
      <c r="GT411" s="93"/>
      <c r="GU411" s="93"/>
      <c r="GV411" s="20"/>
      <c r="GW411" s="19"/>
      <c r="GX411" s="93"/>
      <c r="GY411" s="93"/>
      <c r="GZ411" s="93"/>
      <c r="HA411" s="93"/>
      <c r="HB411" s="20"/>
      <c r="HC411" s="19"/>
      <c r="HD411" s="93"/>
      <c r="HE411" s="93"/>
      <c r="HF411" s="93"/>
      <c r="HG411" s="93"/>
      <c r="HH411" s="20"/>
      <c r="HI411" s="19"/>
      <c r="HJ411" s="93"/>
      <c r="HK411" s="93"/>
      <c r="HL411" s="93"/>
      <c r="HM411" s="93"/>
      <c r="HN411" s="20"/>
      <c r="HO411" s="219"/>
      <c r="HP411" s="20"/>
      <c r="HQ411" s="25"/>
      <c r="HR411" s="29"/>
      <c r="HS411" s="1504">
        <v>46966</v>
      </c>
      <c r="HT411" s="19"/>
      <c r="HU411" s="93"/>
      <c r="HV411" s="93"/>
      <c r="HW411" s="93"/>
      <c r="HX411" s="93"/>
      <c r="HY411" s="93"/>
      <c r="HZ411" s="93"/>
      <c r="IA411" s="20"/>
      <c r="IB411" s="19"/>
      <c r="IC411" s="93"/>
      <c r="ID411" s="93"/>
      <c r="IE411" s="93"/>
      <c r="IF411" s="93"/>
      <c r="IG411" s="20"/>
      <c r="IH411" s="19"/>
      <c r="II411" s="93"/>
      <c r="IJ411" s="93"/>
      <c r="IK411" s="93"/>
      <c r="IL411" s="93"/>
      <c r="IM411" s="93"/>
      <c r="IN411" s="93"/>
      <c r="IO411" s="20"/>
      <c r="IP411" s="29"/>
      <c r="IQ411" s="19"/>
      <c r="IR411" s="93"/>
      <c r="IS411" s="93"/>
      <c r="IT411" s="93"/>
      <c r="IU411" s="93"/>
      <c r="IV411" s="20"/>
      <c r="IW411" s="29"/>
      <c r="IX411" s="19"/>
      <c r="IY411" s="93"/>
      <c r="IZ411" s="93"/>
      <c r="JA411" s="93"/>
      <c r="JB411" s="93"/>
      <c r="JC411" s="93"/>
      <c r="JD411" s="93"/>
      <c r="JE411" s="20"/>
      <c r="JF411" s="29"/>
      <c r="JG411" s="19"/>
      <c r="JH411" s="93"/>
      <c r="JI411" s="93"/>
      <c r="JJ411" s="93"/>
      <c r="JK411" s="93"/>
      <c r="JL411" s="93"/>
      <c r="JM411" s="93"/>
      <c r="JN411" s="20"/>
      <c r="JO411" s="29"/>
      <c r="JP411" s="19"/>
      <c r="JQ411" s="93"/>
      <c r="JR411" s="93"/>
      <c r="JS411" s="93"/>
      <c r="JT411" s="93"/>
      <c r="JU411" s="20"/>
      <c r="JV411" s="29"/>
      <c r="JW411" s="1504">
        <v>46966</v>
      </c>
      <c r="JX411" s="19"/>
      <c r="JY411" s="93"/>
      <c r="JZ411" s="93"/>
      <c r="KA411" s="93"/>
      <c r="KB411" s="93"/>
      <c r="KC411" s="93"/>
      <c r="KD411" s="20"/>
      <c r="KE411" s="29"/>
      <c r="KF411" s="19"/>
      <c r="KG411" s="93"/>
      <c r="KH411" s="93"/>
      <c r="KI411" s="93"/>
      <c r="KJ411" s="93"/>
      <c r="KK411" s="20"/>
      <c r="KL411" s="29"/>
      <c r="KM411" s="19"/>
      <c r="KN411" s="93"/>
      <c r="KO411" s="93"/>
      <c r="KP411" s="93"/>
      <c r="KQ411" s="93"/>
      <c r="KR411" s="20"/>
      <c r="KS411" s="29"/>
      <c r="KT411" s="19"/>
      <c r="KU411" s="93"/>
      <c r="KV411" s="93"/>
      <c r="KW411" s="93"/>
      <c r="KX411" s="93"/>
      <c r="KY411" s="20"/>
      <c r="KZ411" s="29"/>
      <c r="LA411" s="1504">
        <v>46966</v>
      </c>
      <c r="LB411" s="19"/>
      <c r="LC411" s="93"/>
      <c r="LD411" s="93"/>
      <c r="LE411" s="93"/>
      <c r="LF411" s="93"/>
      <c r="LG411" s="93"/>
      <c r="LH411" s="20"/>
      <c r="LI411" s="29"/>
      <c r="LJ411" s="19"/>
      <c r="LK411" s="93"/>
      <c r="LL411" s="93"/>
      <c r="LM411" s="93"/>
      <c r="LN411" s="93"/>
      <c r="LO411" s="20"/>
      <c r="LP411" s="29"/>
      <c r="LQ411" s="19"/>
      <c r="LR411" s="93"/>
      <c r="LS411" s="93"/>
      <c r="LT411" s="93"/>
      <c r="LU411" s="93"/>
      <c r="LV411" s="93"/>
      <c r="LW411" s="93"/>
      <c r="LX411" s="93"/>
      <c r="LY411" s="93"/>
      <c r="LZ411" s="93"/>
      <c r="MA411" s="20"/>
      <c r="MB411" s="29"/>
      <c r="MC411" s="1504">
        <v>46966</v>
      </c>
      <c r="MD411" s="19"/>
      <c r="ME411" s="93"/>
      <c r="MF411" s="93"/>
      <c r="MG411" s="93"/>
      <c r="MH411" s="93"/>
      <c r="MI411" s="93"/>
      <c r="MJ411" s="93"/>
      <c r="MK411" s="93"/>
      <c r="ML411" s="93"/>
      <c r="MM411" s="93"/>
      <c r="MN411" s="93"/>
      <c r="MO411" s="93"/>
      <c r="MP411" s="93"/>
      <c r="MQ411" s="93"/>
      <c r="MR411" s="93"/>
      <c r="MS411" s="93"/>
      <c r="MT411" s="93"/>
      <c r="MU411" s="93"/>
      <c r="MV411" s="93"/>
      <c r="MW411" s="93"/>
      <c r="MX411" s="93"/>
      <c r="MY411" s="93"/>
      <c r="MZ411" s="93"/>
      <c r="NA411" s="93"/>
      <c r="NB411" s="93"/>
      <c r="NC411" s="93"/>
      <c r="ND411" s="93"/>
      <c r="NE411" s="93"/>
      <c r="NF411" s="93"/>
      <c r="NG411" s="93"/>
      <c r="NH411" s="93"/>
      <c r="NI411" s="93"/>
      <c r="NJ411" s="93"/>
      <c r="NK411" s="93"/>
      <c r="NL411" s="93"/>
      <c r="NM411" s="93"/>
      <c r="NN411" s="93"/>
      <c r="NO411" s="93"/>
      <c r="NP411" s="93"/>
      <c r="NQ411" s="93"/>
      <c r="NR411" s="93"/>
      <c r="NS411" s="93"/>
      <c r="NT411" s="93"/>
      <c r="NU411" s="93"/>
      <c r="NV411" s="93"/>
      <c r="NW411" s="93"/>
      <c r="NX411" s="93"/>
      <c r="NY411" s="93"/>
      <c r="NZ411" s="93"/>
      <c r="OA411" s="93"/>
      <c r="OB411" s="93"/>
      <c r="OC411" s="93"/>
      <c r="OD411" s="20"/>
      <c r="OE411" s="29"/>
      <c r="OF411" s="1504">
        <v>46966</v>
      </c>
      <c r="OG411" s="19"/>
      <c r="OH411" s="93"/>
      <c r="OI411" s="93"/>
      <c r="OJ411" s="93"/>
      <c r="OK411" s="93"/>
      <c r="OL411" s="93"/>
      <c r="OM411" s="93"/>
      <c r="ON411" s="93"/>
      <c r="OO411" s="93"/>
      <c r="OP411" s="93"/>
      <c r="OQ411" s="93"/>
      <c r="OR411" s="93"/>
      <c r="OS411" s="93"/>
      <c r="OT411" s="93"/>
      <c r="OU411" s="93"/>
      <c r="OV411" s="93"/>
      <c r="OW411" s="93"/>
      <c r="OX411" s="93"/>
      <c r="OY411" s="93"/>
      <c r="OZ411" s="93"/>
      <c r="PA411" s="93"/>
      <c r="PB411" s="93"/>
      <c r="PC411" s="20"/>
      <c r="PD411" s="29"/>
      <c r="PE411" s="19"/>
      <c r="PF411" s="93"/>
      <c r="PG411" s="93"/>
      <c r="PH411" s="93"/>
      <c r="PI411" s="93"/>
      <c r="PJ411" s="93"/>
      <c r="PK411" s="93"/>
      <c r="PL411" s="93"/>
      <c r="PM411" s="93"/>
      <c r="PN411" s="93"/>
      <c r="PO411" s="93"/>
      <c r="PP411" s="93"/>
      <c r="PQ411" s="93"/>
      <c r="PR411" s="93"/>
      <c r="PS411" s="93"/>
      <c r="PT411" s="93"/>
      <c r="PU411" s="93"/>
      <c r="PV411" s="93"/>
      <c r="PW411" s="93"/>
      <c r="PX411" s="93"/>
      <c r="PY411" s="93"/>
      <c r="PZ411" s="93"/>
      <c r="QA411" s="93"/>
      <c r="QB411" s="93"/>
      <c r="QC411" s="93"/>
      <c r="QD411" s="93"/>
      <c r="QE411" s="20"/>
      <c r="QF411" s="1739"/>
      <c r="QG411" s="19"/>
      <c r="QH411" s="93"/>
      <c r="QI411" s="93"/>
      <c r="QJ411" s="93"/>
      <c r="QK411" s="93"/>
      <c r="QL411" s="93"/>
      <c r="QM411" s="93"/>
      <c r="QN411" s="93"/>
      <c r="QO411" s="93"/>
      <c r="QP411" s="93"/>
      <c r="QQ411" s="93"/>
      <c r="QR411" s="93"/>
      <c r="QS411" s="93"/>
      <c r="QT411" s="93"/>
      <c r="QU411" s="93"/>
      <c r="QV411" s="93"/>
      <c r="QW411" s="93"/>
      <c r="QX411" s="93"/>
      <c r="QY411" s="93"/>
      <c r="QZ411" s="93"/>
      <c r="RA411" s="93"/>
      <c r="RB411" s="93"/>
      <c r="RC411" s="93"/>
      <c r="RD411" s="93"/>
      <c r="RE411" s="93"/>
      <c r="RF411" s="93"/>
      <c r="RG411" s="93"/>
      <c r="RH411" s="93"/>
      <c r="RI411" s="93"/>
      <c r="RJ411" s="93"/>
      <c r="RK411" s="93"/>
      <c r="RL411" s="93"/>
      <c r="RM411" s="20"/>
      <c r="RN411" s="29"/>
      <c r="RO411" s="19"/>
      <c r="RP411" s="20"/>
      <c r="RQ411" s="29"/>
      <c r="RR411" s="20"/>
      <c r="RS411" s="29"/>
      <c r="RT411" s="1504">
        <v>46966</v>
      </c>
      <c r="RU411" s="19"/>
      <c r="RV411" s="20"/>
      <c r="RW411" s="29"/>
      <c r="RX411" s="1504">
        <v>46966</v>
      </c>
      <c r="RY411" s="29"/>
      <c r="RZ411" s="20"/>
      <c r="SA411" s="29"/>
      <c r="SB411" s="29"/>
    </row>
    <row r="412" spans="1:496">
      <c r="A412" s="41">
        <f t="shared" si="346"/>
        <v>2028</v>
      </c>
      <c r="B412" s="1504">
        <v>46997</v>
      </c>
      <c r="C412" s="1813"/>
      <c r="D412" s="1814"/>
      <c r="E412" s="1814"/>
      <c r="F412" s="1815"/>
      <c r="G412" s="1814"/>
      <c r="H412" s="1814"/>
      <c r="I412" s="1814"/>
      <c r="J412" s="1816"/>
      <c r="K412" s="1807"/>
      <c r="L412" s="25"/>
      <c r="M412" s="97"/>
      <c r="N412" s="1504">
        <v>46997</v>
      </c>
      <c r="O412" s="19"/>
      <c r="P412" s="93"/>
      <c r="Q412" s="93"/>
      <c r="R412" s="93"/>
      <c r="S412" s="93"/>
      <c r="T412" s="93"/>
      <c r="U412" s="93"/>
      <c r="V412" s="93"/>
      <c r="W412" s="93"/>
      <c r="X412" s="93"/>
      <c r="Y412" s="93"/>
      <c r="Z412" s="93"/>
      <c r="AA412" s="93"/>
      <c r="AB412" s="20"/>
      <c r="AC412" s="25"/>
      <c r="AD412" s="97"/>
      <c r="AE412" s="1504">
        <v>46997</v>
      </c>
      <c r="AF412" s="19"/>
      <c r="AG412" s="93"/>
      <c r="AH412" s="93"/>
      <c r="AI412" s="93"/>
      <c r="AJ412" s="93"/>
      <c r="AK412" s="93"/>
      <c r="AL412" s="93"/>
      <c r="AM412" s="93"/>
      <c r="AN412" s="93"/>
      <c r="AO412" s="93"/>
      <c r="AP412" s="93"/>
      <c r="AQ412" s="93"/>
      <c r="AR412" s="93"/>
      <c r="AS412" s="20"/>
      <c r="AT412" s="25"/>
      <c r="AU412" s="97"/>
      <c r="AV412" s="1504">
        <v>46997</v>
      </c>
      <c r="AW412" s="19"/>
      <c r="AX412" s="93"/>
      <c r="AY412" s="93"/>
      <c r="AZ412" s="93"/>
      <c r="BA412" s="93"/>
      <c r="BB412" s="93"/>
      <c r="BC412" s="93"/>
      <c r="BD412" s="93"/>
      <c r="BE412" s="93"/>
      <c r="BF412" s="93"/>
      <c r="BG412" s="93"/>
      <c r="BH412" s="93"/>
      <c r="BI412" s="93"/>
      <c r="BJ412" s="20"/>
      <c r="BK412" s="25"/>
      <c r="BL412" s="97"/>
      <c r="BM412" s="1504">
        <v>46997</v>
      </c>
      <c r="BN412" s="19"/>
      <c r="BO412" s="93"/>
      <c r="BP412" s="93"/>
      <c r="BQ412" s="93"/>
      <c r="BR412" s="93"/>
      <c r="BS412" s="93"/>
      <c r="BT412" s="93"/>
      <c r="BU412" s="20"/>
      <c r="BV412" s="25"/>
      <c r="BW412" s="97"/>
      <c r="BX412" s="1504">
        <v>46997</v>
      </c>
      <c r="BY412" s="19"/>
      <c r="BZ412" s="93"/>
      <c r="CA412" s="93"/>
      <c r="CB412" s="93"/>
      <c r="CC412" s="93"/>
      <c r="CD412" s="25"/>
      <c r="CE412" s="97"/>
      <c r="CF412" s="1504">
        <v>46997</v>
      </c>
      <c r="CG412" s="19"/>
      <c r="CH412" s="93"/>
      <c r="CI412" s="219"/>
      <c r="CJ412" s="20"/>
      <c r="CK412" s="19"/>
      <c r="CL412" s="93"/>
      <c r="CM412" s="93"/>
      <c r="CN412" s="93"/>
      <c r="CO412" s="93"/>
      <c r="CP412" s="20"/>
      <c r="CQ412" s="219"/>
      <c r="CR412" s="93"/>
      <c r="CS412" s="93"/>
      <c r="CT412" s="93"/>
      <c r="CU412" s="93"/>
      <c r="CV412" s="214"/>
      <c r="CW412" s="29"/>
      <c r="CX412" s="41">
        <f t="shared" si="357"/>
        <v>2028</v>
      </c>
      <c r="CY412" s="1504">
        <v>46997</v>
      </c>
      <c r="CZ412" s="19"/>
      <c r="DA412" s="93"/>
      <c r="DB412" s="93"/>
      <c r="DC412" s="93"/>
      <c r="DD412" s="93"/>
      <c r="DE412" s="20"/>
      <c r="DF412" s="29"/>
      <c r="DG412" s="1504">
        <v>46997</v>
      </c>
      <c r="DH412" s="19"/>
      <c r="DI412" s="93"/>
      <c r="DJ412" s="93"/>
      <c r="DK412" s="93"/>
      <c r="DL412" s="93"/>
      <c r="DM412" s="93"/>
      <c r="DN412" s="20"/>
      <c r="DO412" s="295"/>
      <c r="DP412" s="29"/>
      <c r="DQ412" s="1504">
        <v>46997</v>
      </c>
      <c r="DR412" s="19"/>
      <c r="DS412" s="93"/>
      <c r="DT412" s="93"/>
      <c r="DU412" s="93"/>
      <c r="DV412" s="93"/>
      <c r="DW412" s="93"/>
      <c r="DX412" s="20"/>
      <c r="DY412" s="29"/>
      <c r="DZ412" s="1504">
        <v>46997</v>
      </c>
      <c r="EA412" s="19"/>
      <c r="EB412" s="93"/>
      <c r="EC412" s="20"/>
      <c r="ED412" s="29"/>
      <c r="EE412" s="1504">
        <v>46997</v>
      </c>
      <c r="EF412" s="19"/>
      <c r="EG412" s="93"/>
      <c r="EH412" s="93"/>
      <c r="EI412" s="214"/>
      <c r="EJ412" s="93"/>
      <c r="EK412" s="93"/>
      <c r="EL412" s="93"/>
      <c r="EM412" s="93"/>
      <c r="EN412" s="20"/>
      <c r="EO412" s="29"/>
      <c r="EP412" s="1504">
        <v>46997</v>
      </c>
      <c r="EQ412" s="19"/>
      <c r="ER412" s="93"/>
      <c r="ES412" s="93"/>
      <c r="ET412" s="214"/>
      <c r="EU412" s="93"/>
      <c r="EV412" s="93"/>
      <c r="EW412" s="93"/>
      <c r="EX412" s="93"/>
      <c r="EY412" s="20"/>
      <c r="EZ412" s="29"/>
      <c r="FA412" s="1504">
        <v>46997</v>
      </c>
      <c r="FB412" s="29"/>
      <c r="FC412" s="29"/>
      <c r="FD412" s="29"/>
      <c r="FE412" s="29"/>
      <c r="FF412" s="29"/>
      <c r="FG412" s="29"/>
      <c r="FH412" s="29"/>
      <c r="FI412" s="29"/>
      <c r="FJ412" s="29"/>
      <c r="FK412" s="29"/>
      <c r="FL412" s="1504">
        <v>46997</v>
      </c>
      <c r="FM412" s="19"/>
      <c r="FN412" s="93"/>
      <c r="FO412" s="93"/>
      <c r="FP412" s="93"/>
      <c r="FQ412" s="93"/>
      <c r="FR412" s="93"/>
      <c r="FS412" s="93"/>
      <c r="FT412" s="93"/>
      <c r="FU412" s="93"/>
      <c r="FV412" s="93"/>
      <c r="FW412" s="93"/>
      <c r="FX412" s="93"/>
      <c r="FY412" s="93"/>
      <c r="FZ412" s="29"/>
      <c r="GA412" s="1504">
        <v>46997</v>
      </c>
      <c r="GB412" s="19"/>
      <c r="GC412" s="93"/>
      <c r="GD412" s="93"/>
      <c r="GE412" s="93"/>
      <c r="GF412" s="93"/>
      <c r="GG412" s="93"/>
      <c r="GH412" s="93"/>
      <c r="GI412" s="93"/>
      <c r="GJ412" s="93"/>
      <c r="GK412" s="93"/>
      <c r="GL412" s="93"/>
      <c r="GM412" s="93"/>
      <c r="GN412" s="20"/>
      <c r="GO412" s="29"/>
      <c r="GP412" s="1504">
        <v>46997</v>
      </c>
      <c r="GQ412" s="19"/>
      <c r="GR412" s="93"/>
      <c r="GS412" s="93"/>
      <c r="GT412" s="93"/>
      <c r="GU412" s="93"/>
      <c r="GV412" s="20"/>
      <c r="GW412" s="19"/>
      <c r="GX412" s="93"/>
      <c r="GY412" s="93"/>
      <c r="GZ412" s="93"/>
      <c r="HA412" s="93"/>
      <c r="HB412" s="20"/>
      <c r="HC412" s="19"/>
      <c r="HD412" s="93"/>
      <c r="HE412" s="93"/>
      <c r="HF412" s="93"/>
      <c r="HG412" s="93"/>
      <c r="HH412" s="20"/>
      <c r="HI412" s="19"/>
      <c r="HJ412" s="93"/>
      <c r="HK412" s="93"/>
      <c r="HL412" s="93"/>
      <c r="HM412" s="93"/>
      <c r="HN412" s="20"/>
      <c r="HO412" s="219"/>
      <c r="HP412" s="20"/>
      <c r="HQ412" s="25"/>
      <c r="HR412" s="29"/>
      <c r="HS412" s="1504">
        <v>46997</v>
      </c>
      <c r="HT412" s="19"/>
      <c r="HU412" s="93"/>
      <c r="HV412" s="93"/>
      <c r="HW412" s="93"/>
      <c r="HX412" s="93"/>
      <c r="HY412" s="93"/>
      <c r="HZ412" s="93"/>
      <c r="IA412" s="20"/>
      <c r="IB412" s="19"/>
      <c r="IC412" s="93"/>
      <c r="ID412" s="93"/>
      <c r="IE412" s="93"/>
      <c r="IF412" s="93"/>
      <c r="IG412" s="20"/>
      <c r="IH412" s="19"/>
      <c r="II412" s="93"/>
      <c r="IJ412" s="93"/>
      <c r="IK412" s="93"/>
      <c r="IL412" s="93"/>
      <c r="IM412" s="93"/>
      <c r="IN412" s="93"/>
      <c r="IO412" s="20"/>
      <c r="IP412" s="29"/>
      <c r="IQ412" s="19"/>
      <c r="IR412" s="93"/>
      <c r="IS412" s="93"/>
      <c r="IT412" s="93"/>
      <c r="IU412" s="93"/>
      <c r="IV412" s="20"/>
      <c r="IW412" s="29"/>
      <c r="IX412" s="19"/>
      <c r="IY412" s="93"/>
      <c r="IZ412" s="93"/>
      <c r="JA412" s="93"/>
      <c r="JB412" s="93"/>
      <c r="JC412" s="93"/>
      <c r="JD412" s="93"/>
      <c r="JE412" s="20"/>
      <c r="JF412" s="29"/>
      <c r="JG412" s="19"/>
      <c r="JH412" s="93"/>
      <c r="JI412" s="93"/>
      <c r="JJ412" s="93"/>
      <c r="JK412" s="93"/>
      <c r="JL412" s="93"/>
      <c r="JM412" s="93"/>
      <c r="JN412" s="20"/>
      <c r="JO412" s="29"/>
      <c r="JP412" s="19"/>
      <c r="JQ412" s="93"/>
      <c r="JR412" s="93"/>
      <c r="JS412" s="93"/>
      <c r="JT412" s="93"/>
      <c r="JU412" s="20"/>
      <c r="JV412" s="29"/>
      <c r="JW412" s="1504">
        <v>46997</v>
      </c>
      <c r="JX412" s="19"/>
      <c r="JY412" s="93"/>
      <c r="JZ412" s="93"/>
      <c r="KA412" s="93"/>
      <c r="KB412" s="93"/>
      <c r="KC412" s="93"/>
      <c r="KD412" s="20"/>
      <c r="KE412" s="29"/>
      <c r="KF412" s="19"/>
      <c r="KG412" s="93"/>
      <c r="KH412" s="93"/>
      <c r="KI412" s="93"/>
      <c r="KJ412" s="93"/>
      <c r="KK412" s="20"/>
      <c r="KL412" s="29"/>
      <c r="KM412" s="19"/>
      <c r="KN412" s="93"/>
      <c r="KO412" s="93"/>
      <c r="KP412" s="93"/>
      <c r="KQ412" s="93"/>
      <c r="KR412" s="20"/>
      <c r="KS412" s="29"/>
      <c r="KT412" s="19"/>
      <c r="KU412" s="93"/>
      <c r="KV412" s="93"/>
      <c r="KW412" s="93"/>
      <c r="KX412" s="93"/>
      <c r="KY412" s="20"/>
      <c r="KZ412" s="29"/>
      <c r="LA412" s="1504">
        <v>46997</v>
      </c>
      <c r="LB412" s="19"/>
      <c r="LC412" s="93"/>
      <c r="LD412" s="93"/>
      <c r="LE412" s="93"/>
      <c r="LF412" s="93"/>
      <c r="LG412" s="93"/>
      <c r="LH412" s="20"/>
      <c r="LI412" s="29"/>
      <c r="LJ412" s="19"/>
      <c r="LK412" s="93"/>
      <c r="LL412" s="93"/>
      <c r="LM412" s="93"/>
      <c r="LN412" s="93"/>
      <c r="LO412" s="20"/>
      <c r="LP412" s="29"/>
      <c r="LQ412" s="19"/>
      <c r="LR412" s="93"/>
      <c r="LS412" s="93"/>
      <c r="LT412" s="93"/>
      <c r="LU412" s="93"/>
      <c r="LV412" s="93"/>
      <c r="LW412" s="93"/>
      <c r="LX412" s="93"/>
      <c r="LY412" s="93"/>
      <c r="LZ412" s="93"/>
      <c r="MA412" s="20"/>
      <c r="MB412" s="29"/>
      <c r="MC412" s="1504">
        <v>46997</v>
      </c>
      <c r="MD412" s="19"/>
      <c r="ME412" s="93"/>
      <c r="MF412" s="93"/>
      <c r="MG412" s="93"/>
      <c r="MH412" s="93"/>
      <c r="MI412" s="93"/>
      <c r="MJ412" s="93"/>
      <c r="MK412" s="93"/>
      <c r="ML412" s="93"/>
      <c r="MM412" s="93"/>
      <c r="MN412" s="93"/>
      <c r="MO412" s="93"/>
      <c r="MP412" s="93"/>
      <c r="MQ412" s="93"/>
      <c r="MR412" s="93"/>
      <c r="MS412" s="93"/>
      <c r="MT412" s="93"/>
      <c r="MU412" s="93"/>
      <c r="MV412" s="93"/>
      <c r="MW412" s="93"/>
      <c r="MX412" s="93"/>
      <c r="MY412" s="93"/>
      <c r="MZ412" s="93"/>
      <c r="NA412" s="93"/>
      <c r="NB412" s="93"/>
      <c r="NC412" s="93"/>
      <c r="ND412" s="93"/>
      <c r="NE412" s="93"/>
      <c r="NF412" s="93"/>
      <c r="NG412" s="93"/>
      <c r="NH412" s="93"/>
      <c r="NI412" s="93"/>
      <c r="NJ412" s="93"/>
      <c r="NK412" s="93"/>
      <c r="NL412" s="93"/>
      <c r="NM412" s="93"/>
      <c r="NN412" s="93"/>
      <c r="NO412" s="93"/>
      <c r="NP412" s="93"/>
      <c r="NQ412" s="93"/>
      <c r="NR412" s="93"/>
      <c r="NS412" s="93"/>
      <c r="NT412" s="93"/>
      <c r="NU412" s="93"/>
      <c r="NV412" s="93"/>
      <c r="NW412" s="93"/>
      <c r="NX412" s="93"/>
      <c r="NY412" s="93"/>
      <c r="NZ412" s="93"/>
      <c r="OA412" s="93"/>
      <c r="OB412" s="93"/>
      <c r="OC412" s="93"/>
      <c r="OD412" s="20"/>
      <c r="OE412" s="29"/>
      <c r="OF412" s="1504">
        <v>46997</v>
      </c>
      <c r="OG412" s="19"/>
      <c r="OH412" s="93"/>
      <c r="OI412" s="93"/>
      <c r="OJ412" s="93"/>
      <c r="OK412" s="93"/>
      <c r="OL412" s="93"/>
      <c r="OM412" s="93"/>
      <c r="ON412" s="93"/>
      <c r="OO412" s="93"/>
      <c r="OP412" s="93"/>
      <c r="OQ412" s="93"/>
      <c r="OR412" s="93"/>
      <c r="OS412" s="93"/>
      <c r="OT412" s="93"/>
      <c r="OU412" s="93"/>
      <c r="OV412" s="93"/>
      <c r="OW412" s="93"/>
      <c r="OX412" s="93"/>
      <c r="OY412" s="93"/>
      <c r="OZ412" s="93"/>
      <c r="PA412" s="93"/>
      <c r="PB412" s="93"/>
      <c r="PC412" s="20"/>
      <c r="PD412" s="29"/>
      <c r="PE412" s="19"/>
      <c r="PF412" s="93"/>
      <c r="PG412" s="93"/>
      <c r="PH412" s="93"/>
      <c r="PI412" s="93"/>
      <c r="PJ412" s="93"/>
      <c r="PK412" s="93"/>
      <c r="PL412" s="93"/>
      <c r="PM412" s="93"/>
      <c r="PN412" s="93"/>
      <c r="PO412" s="93"/>
      <c r="PP412" s="93"/>
      <c r="PQ412" s="93"/>
      <c r="PR412" s="93"/>
      <c r="PS412" s="93"/>
      <c r="PT412" s="93"/>
      <c r="PU412" s="93"/>
      <c r="PV412" s="93"/>
      <c r="PW412" s="93"/>
      <c r="PX412" s="93"/>
      <c r="PY412" s="93"/>
      <c r="PZ412" s="93"/>
      <c r="QA412" s="93"/>
      <c r="QB412" s="93"/>
      <c r="QC412" s="93"/>
      <c r="QD412" s="93"/>
      <c r="QE412" s="20"/>
      <c r="QF412" s="1739"/>
      <c r="QG412" s="19"/>
      <c r="QH412" s="93"/>
      <c r="QI412" s="93"/>
      <c r="QJ412" s="93"/>
      <c r="QK412" s="93"/>
      <c r="QL412" s="93"/>
      <c r="QM412" s="93"/>
      <c r="QN412" s="93"/>
      <c r="QO412" s="93"/>
      <c r="QP412" s="93"/>
      <c r="QQ412" s="93"/>
      <c r="QR412" s="93"/>
      <c r="QS412" s="93"/>
      <c r="QT412" s="93"/>
      <c r="QU412" s="93"/>
      <c r="QV412" s="93"/>
      <c r="QW412" s="93"/>
      <c r="QX412" s="93"/>
      <c r="QY412" s="93"/>
      <c r="QZ412" s="93"/>
      <c r="RA412" s="93"/>
      <c r="RB412" s="93"/>
      <c r="RC412" s="93"/>
      <c r="RD412" s="93"/>
      <c r="RE412" s="93"/>
      <c r="RF412" s="93"/>
      <c r="RG412" s="93"/>
      <c r="RH412" s="93"/>
      <c r="RI412" s="93"/>
      <c r="RJ412" s="93"/>
      <c r="RK412" s="93"/>
      <c r="RL412" s="93"/>
      <c r="RM412" s="20"/>
      <c r="RN412" s="29"/>
      <c r="RO412" s="19"/>
      <c r="RP412" s="20"/>
      <c r="RQ412" s="29"/>
      <c r="RR412" s="20"/>
      <c r="RS412" s="29"/>
      <c r="RT412" s="1504">
        <v>46997</v>
      </c>
      <c r="RU412" s="19"/>
      <c r="RV412" s="20"/>
      <c r="RW412" s="29"/>
      <c r="RX412" s="1504">
        <v>46997</v>
      </c>
      <c r="RY412" s="29"/>
      <c r="RZ412" s="20"/>
      <c r="SA412" s="29"/>
      <c r="SB412" s="29"/>
    </row>
    <row r="413" spans="1:496">
      <c r="A413" s="41">
        <f t="shared" si="346"/>
        <v>2028</v>
      </c>
      <c r="B413" s="1504">
        <v>47027</v>
      </c>
      <c r="C413" s="1813"/>
      <c r="D413" s="1814"/>
      <c r="E413" s="1814"/>
      <c r="F413" s="1815"/>
      <c r="G413" s="1814"/>
      <c r="H413" s="1814"/>
      <c r="I413" s="1814"/>
      <c r="J413" s="1816"/>
      <c r="K413" s="1807"/>
      <c r="L413" s="25"/>
      <c r="M413" s="97"/>
      <c r="N413" s="1504">
        <v>47027</v>
      </c>
      <c r="O413" s="19"/>
      <c r="P413" s="93"/>
      <c r="Q413" s="93"/>
      <c r="R413" s="93"/>
      <c r="S413" s="93"/>
      <c r="T413" s="93"/>
      <c r="U413" s="93"/>
      <c r="V413" s="93"/>
      <c r="W413" s="93"/>
      <c r="X413" s="93"/>
      <c r="Y413" s="93"/>
      <c r="Z413" s="93"/>
      <c r="AA413" s="93"/>
      <c r="AB413" s="20"/>
      <c r="AC413" s="25"/>
      <c r="AD413" s="97"/>
      <c r="AE413" s="1504">
        <v>47027</v>
      </c>
      <c r="AF413" s="19"/>
      <c r="AG413" s="93"/>
      <c r="AH413" s="93"/>
      <c r="AI413" s="93"/>
      <c r="AJ413" s="93"/>
      <c r="AK413" s="93"/>
      <c r="AL413" s="93"/>
      <c r="AM413" s="93"/>
      <c r="AN413" s="93"/>
      <c r="AO413" s="93"/>
      <c r="AP413" s="93"/>
      <c r="AQ413" s="93"/>
      <c r="AR413" s="93"/>
      <c r="AS413" s="20"/>
      <c r="AT413" s="25"/>
      <c r="AU413" s="97"/>
      <c r="AV413" s="1504">
        <v>47027</v>
      </c>
      <c r="AW413" s="19"/>
      <c r="AX413" s="93"/>
      <c r="AY413" s="93"/>
      <c r="AZ413" s="93"/>
      <c r="BA413" s="93"/>
      <c r="BB413" s="93"/>
      <c r="BC413" s="93"/>
      <c r="BD413" s="93"/>
      <c r="BE413" s="93"/>
      <c r="BF413" s="93"/>
      <c r="BG413" s="93"/>
      <c r="BH413" s="93"/>
      <c r="BI413" s="93"/>
      <c r="BJ413" s="20"/>
      <c r="BK413" s="25"/>
      <c r="BL413" s="97"/>
      <c r="BM413" s="1504">
        <v>47027</v>
      </c>
      <c r="BN413" s="19"/>
      <c r="BO413" s="93"/>
      <c r="BP413" s="93"/>
      <c r="BQ413" s="93"/>
      <c r="BR413" s="93"/>
      <c r="BS413" s="93"/>
      <c r="BT413" s="93"/>
      <c r="BU413" s="20"/>
      <c r="BV413" s="25"/>
      <c r="BW413" s="97"/>
      <c r="BX413" s="1504">
        <v>47027</v>
      </c>
      <c r="BY413" s="19"/>
      <c r="BZ413" s="93"/>
      <c r="CA413" s="93"/>
      <c r="CB413" s="93"/>
      <c r="CC413" s="93"/>
      <c r="CD413" s="25"/>
      <c r="CE413" s="97"/>
      <c r="CF413" s="1504">
        <v>47027</v>
      </c>
      <c r="CG413" s="19"/>
      <c r="CH413" s="93"/>
      <c r="CI413" s="219"/>
      <c r="CJ413" s="20"/>
      <c r="CK413" s="19"/>
      <c r="CL413" s="93"/>
      <c r="CM413" s="93"/>
      <c r="CN413" s="93"/>
      <c r="CO413" s="93"/>
      <c r="CP413" s="20"/>
      <c r="CQ413" s="219"/>
      <c r="CR413" s="93"/>
      <c r="CS413" s="93"/>
      <c r="CT413" s="93"/>
      <c r="CU413" s="93"/>
      <c r="CV413" s="214"/>
      <c r="CW413" s="29"/>
      <c r="CX413" s="41">
        <f t="shared" si="357"/>
        <v>2028</v>
      </c>
      <c r="CY413" s="1504">
        <v>47027</v>
      </c>
      <c r="CZ413" s="19"/>
      <c r="DA413" s="93"/>
      <c r="DB413" s="93"/>
      <c r="DC413" s="93"/>
      <c r="DD413" s="93"/>
      <c r="DE413" s="20"/>
      <c r="DF413" s="29"/>
      <c r="DG413" s="1504">
        <v>47027</v>
      </c>
      <c r="DH413" s="19"/>
      <c r="DI413" s="93"/>
      <c r="DJ413" s="93"/>
      <c r="DK413" s="93"/>
      <c r="DL413" s="93"/>
      <c r="DM413" s="93"/>
      <c r="DN413" s="20"/>
      <c r="DO413" s="295"/>
      <c r="DP413" s="29"/>
      <c r="DQ413" s="1504">
        <v>47027</v>
      </c>
      <c r="DR413" s="19"/>
      <c r="DS413" s="93"/>
      <c r="DT413" s="93"/>
      <c r="DU413" s="93"/>
      <c r="DV413" s="93"/>
      <c r="DW413" s="93"/>
      <c r="DX413" s="20"/>
      <c r="DY413" s="29"/>
      <c r="DZ413" s="1504">
        <v>47027</v>
      </c>
      <c r="EA413" s="19"/>
      <c r="EB413" s="93"/>
      <c r="EC413" s="20"/>
      <c r="ED413" s="29"/>
      <c r="EE413" s="1504">
        <v>47027</v>
      </c>
      <c r="EF413" s="19"/>
      <c r="EG413" s="93"/>
      <c r="EH413" s="93"/>
      <c r="EI413" s="214"/>
      <c r="EJ413" s="93"/>
      <c r="EK413" s="93"/>
      <c r="EL413" s="93"/>
      <c r="EM413" s="93"/>
      <c r="EN413" s="20"/>
      <c r="EO413" s="29"/>
      <c r="EP413" s="1504">
        <v>47027</v>
      </c>
      <c r="EQ413" s="19"/>
      <c r="ER413" s="93"/>
      <c r="ES413" s="93"/>
      <c r="ET413" s="214"/>
      <c r="EU413" s="93"/>
      <c r="EV413" s="93"/>
      <c r="EW413" s="93"/>
      <c r="EX413" s="93"/>
      <c r="EY413" s="20"/>
      <c r="EZ413" s="29"/>
      <c r="FA413" s="1504">
        <v>47027</v>
      </c>
      <c r="FB413" s="29"/>
      <c r="FC413" s="29"/>
      <c r="FD413" s="29"/>
      <c r="FE413" s="29"/>
      <c r="FF413" s="29"/>
      <c r="FG413" s="29"/>
      <c r="FH413" s="29"/>
      <c r="FI413" s="29"/>
      <c r="FJ413" s="29"/>
      <c r="FK413" s="29"/>
      <c r="FL413" s="1504">
        <v>47027</v>
      </c>
      <c r="FM413" s="19"/>
      <c r="FN413" s="93"/>
      <c r="FO413" s="93"/>
      <c r="FP413" s="93"/>
      <c r="FQ413" s="93"/>
      <c r="FR413" s="93"/>
      <c r="FS413" s="93"/>
      <c r="FT413" s="93"/>
      <c r="FU413" s="93"/>
      <c r="FV413" s="93"/>
      <c r="FW413" s="93"/>
      <c r="FX413" s="93"/>
      <c r="FY413" s="93"/>
      <c r="FZ413" s="29"/>
      <c r="GA413" s="1504">
        <v>47027</v>
      </c>
      <c r="GB413" s="19"/>
      <c r="GC413" s="93"/>
      <c r="GD413" s="93"/>
      <c r="GE413" s="93"/>
      <c r="GF413" s="93"/>
      <c r="GG413" s="93"/>
      <c r="GH413" s="93"/>
      <c r="GI413" s="93"/>
      <c r="GJ413" s="93"/>
      <c r="GK413" s="93"/>
      <c r="GL413" s="93"/>
      <c r="GM413" s="93"/>
      <c r="GN413" s="20"/>
      <c r="GO413" s="29"/>
      <c r="GP413" s="1504">
        <v>47027</v>
      </c>
      <c r="GQ413" s="19"/>
      <c r="GR413" s="93"/>
      <c r="GS413" s="93"/>
      <c r="GT413" s="93"/>
      <c r="GU413" s="93"/>
      <c r="GV413" s="20"/>
      <c r="GW413" s="19"/>
      <c r="GX413" s="93"/>
      <c r="GY413" s="93"/>
      <c r="GZ413" s="93"/>
      <c r="HA413" s="93"/>
      <c r="HB413" s="20"/>
      <c r="HC413" s="19"/>
      <c r="HD413" s="93"/>
      <c r="HE413" s="93"/>
      <c r="HF413" s="93"/>
      <c r="HG413" s="93"/>
      <c r="HH413" s="20"/>
      <c r="HI413" s="19"/>
      <c r="HJ413" s="93"/>
      <c r="HK413" s="93"/>
      <c r="HL413" s="93"/>
      <c r="HM413" s="93"/>
      <c r="HN413" s="20"/>
      <c r="HO413" s="219"/>
      <c r="HP413" s="20"/>
      <c r="HQ413" s="25"/>
      <c r="HR413" s="29"/>
      <c r="HS413" s="1504">
        <v>47027</v>
      </c>
      <c r="HT413" s="19"/>
      <c r="HU413" s="93"/>
      <c r="HV413" s="93"/>
      <c r="HW413" s="93"/>
      <c r="HX413" s="93"/>
      <c r="HY413" s="93"/>
      <c r="HZ413" s="93"/>
      <c r="IA413" s="20"/>
      <c r="IB413" s="19"/>
      <c r="IC413" s="93"/>
      <c r="ID413" s="93"/>
      <c r="IE413" s="93"/>
      <c r="IF413" s="93"/>
      <c r="IG413" s="20"/>
      <c r="IH413" s="19"/>
      <c r="II413" s="93"/>
      <c r="IJ413" s="93"/>
      <c r="IK413" s="93"/>
      <c r="IL413" s="93"/>
      <c r="IM413" s="93"/>
      <c r="IN413" s="93"/>
      <c r="IO413" s="20"/>
      <c r="IP413" s="29"/>
      <c r="IQ413" s="19"/>
      <c r="IR413" s="93"/>
      <c r="IS413" s="93"/>
      <c r="IT413" s="93"/>
      <c r="IU413" s="93"/>
      <c r="IV413" s="20"/>
      <c r="IW413" s="29"/>
      <c r="IX413" s="19"/>
      <c r="IY413" s="93"/>
      <c r="IZ413" s="93"/>
      <c r="JA413" s="93"/>
      <c r="JB413" s="93"/>
      <c r="JC413" s="93"/>
      <c r="JD413" s="93"/>
      <c r="JE413" s="20"/>
      <c r="JF413" s="29"/>
      <c r="JG413" s="19"/>
      <c r="JH413" s="93"/>
      <c r="JI413" s="93"/>
      <c r="JJ413" s="93"/>
      <c r="JK413" s="93"/>
      <c r="JL413" s="93"/>
      <c r="JM413" s="93"/>
      <c r="JN413" s="20"/>
      <c r="JO413" s="29"/>
      <c r="JP413" s="19"/>
      <c r="JQ413" s="93"/>
      <c r="JR413" s="93"/>
      <c r="JS413" s="93"/>
      <c r="JT413" s="93"/>
      <c r="JU413" s="20"/>
      <c r="JV413" s="29"/>
      <c r="JW413" s="1504">
        <v>47027</v>
      </c>
      <c r="JX413" s="19"/>
      <c r="JY413" s="93"/>
      <c r="JZ413" s="93"/>
      <c r="KA413" s="93"/>
      <c r="KB413" s="93"/>
      <c r="KC413" s="93"/>
      <c r="KD413" s="20"/>
      <c r="KE413" s="29"/>
      <c r="KF413" s="19"/>
      <c r="KG413" s="93"/>
      <c r="KH413" s="93"/>
      <c r="KI413" s="93"/>
      <c r="KJ413" s="93"/>
      <c r="KK413" s="20"/>
      <c r="KL413" s="29"/>
      <c r="KM413" s="19"/>
      <c r="KN413" s="93"/>
      <c r="KO413" s="93"/>
      <c r="KP413" s="93"/>
      <c r="KQ413" s="93"/>
      <c r="KR413" s="20"/>
      <c r="KS413" s="29"/>
      <c r="KT413" s="19"/>
      <c r="KU413" s="93"/>
      <c r="KV413" s="93"/>
      <c r="KW413" s="93"/>
      <c r="KX413" s="93"/>
      <c r="KY413" s="20"/>
      <c r="KZ413" s="29"/>
      <c r="LA413" s="1504">
        <v>47027</v>
      </c>
      <c r="LB413" s="19"/>
      <c r="LC413" s="93"/>
      <c r="LD413" s="93"/>
      <c r="LE413" s="93"/>
      <c r="LF413" s="93"/>
      <c r="LG413" s="93"/>
      <c r="LH413" s="20"/>
      <c r="LI413" s="29"/>
      <c r="LJ413" s="19"/>
      <c r="LK413" s="93"/>
      <c r="LL413" s="93"/>
      <c r="LM413" s="93"/>
      <c r="LN413" s="93"/>
      <c r="LO413" s="20"/>
      <c r="LP413" s="29"/>
      <c r="LQ413" s="19"/>
      <c r="LR413" s="93"/>
      <c r="LS413" s="93"/>
      <c r="LT413" s="93"/>
      <c r="LU413" s="93"/>
      <c r="LV413" s="93"/>
      <c r="LW413" s="93"/>
      <c r="LX413" s="93"/>
      <c r="LY413" s="93"/>
      <c r="LZ413" s="93"/>
      <c r="MA413" s="20"/>
      <c r="MB413" s="29"/>
      <c r="MC413" s="1504">
        <v>47027</v>
      </c>
      <c r="MD413" s="19"/>
      <c r="ME413" s="93"/>
      <c r="MF413" s="93"/>
      <c r="MG413" s="93"/>
      <c r="MH413" s="93"/>
      <c r="MI413" s="93"/>
      <c r="MJ413" s="93"/>
      <c r="MK413" s="93"/>
      <c r="ML413" s="93"/>
      <c r="MM413" s="93"/>
      <c r="MN413" s="93"/>
      <c r="MO413" s="93"/>
      <c r="MP413" s="93"/>
      <c r="MQ413" s="93"/>
      <c r="MR413" s="93"/>
      <c r="MS413" s="93"/>
      <c r="MT413" s="93"/>
      <c r="MU413" s="93"/>
      <c r="MV413" s="93"/>
      <c r="MW413" s="93"/>
      <c r="MX413" s="93"/>
      <c r="MY413" s="93"/>
      <c r="MZ413" s="93"/>
      <c r="NA413" s="93"/>
      <c r="NB413" s="93"/>
      <c r="NC413" s="93"/>
      <c r="ND413" s="93"/>
      <c r="NE413" s="93"/>
      <c r="NF413" s="93"/>
      <c r="NG413" s="93"/>
      <c r="NH413" s="93"/>
      <c r="NI413" s="93"/>
      <c r="NJ413" s="93"/>
      <c r="NK413" s="93"/>
      <c r="NL413" s="93"/>
      <c r="NM413" s="93"/>
      <c r="NN413" s="93"/>
      <c r="NO413" s="93"/>
      <c r="NP413" s="93"/>
      <c r="NQ413" s="93"/>
      <c r="NR413" s="93"/>
      <c r="NS413" s="93"/>
      <c r="NT413" s="93"/>
      <c r="NU413" s="93"/>
      <c r="NV413" s="93"/>
      <c r="NW413" s="93"/>
      <c r="NX413" s="93"/>
      <c r="NY413" s="93"/>
      <c r="NZ413" s="93"/>
      <c r="OA413" s="93"/>
      <c r="OB413" s="93"/>
      <c r="OC413" s="93"/>
      <c r="OD413" s="20"/>
      <c r="OE413" s="29"/>
      <c r="OF413" s="1504">
        <v>47027</v>
      </c>
      <c r="OG413" s="19"/>
      <c r="OH413" s="93"/>
      <c r="OI413" s="93"/>
      <c r="OJ413" s="93"/>
      <c r="OK413" s="93"/>
      <c r="OL413" s="93"/>
      <c r="OM413" s="93"/>
      <c r="ON413" s="93"/>
      <c r="OO413" s="93"/>
      <c r="OP413" s="93"/>
      <c r="OQ413" s="93"/>
      <c r="OR413" s="93"/>
      <c r="OS413" s="93"/>
      <c r="OT413" s="93"/>
      <c r="OU413" s="93"/>
      <c r="OV413" s="93"/>
      <c r="OW413" s="93"/>
      <c r="OX413" s="93"/>
      <c r="OY413" s="93"/>
      <c r="OZ413" s="93"/>
      <c r="PA413" s="93"/>
      <c r="PB413" s="93"/>
      <c r="PC413" s="20"/>
      <c r="PD413" s="29"/>
      <c r="PE413" s="19"/>
      <c r="PF413" s="93"/>
      <c r="PG413" s="93"/>
      <c r="PH413" s="93"/>
      <c r="PI413" s="93"/>
      <c r="PJ413" s="93"/>
      <c r="PK413" s="93"/>
      <c r="PL413" s="93"/>
      <c r="PM413" s="93"/>
      <c r="PN413" s="93"/>
      <c r="PO413" s="93"/>
      <c r="PP413" s="93"/>
      <c r="PQ413" s="93"/>
      <c r="PR413" s="93"/>
      <c r="PS413" s="93"/>
      <c r="PT413" s="93"/>
      <c r="PU413" s="93"/>
      <c r="PV413" s="93"/>
      <c r="PW413" s="93"/>
      <c r="PX413" s="93"/>
      <c r="PY413" s="93"/>
      <c r="PZ413" s="93"/>
      <c r="QA413" s="93"/>
      <c r="QB413" s="93"/>
      <c r="QC413" s="93"/>
      <c r="QD413" s="93"/>
      <c r="QE413" s="20"/>
      <c r="QF413" s="1739"/>
      <c r="QG413" s="19"/>
      <c r="QH413" s="93"/>
      <c r="QI413" s="93"/>
      <c r="QJ413" s="93"/>
      <c r="QK413" s="93"/>
      <c r="QL413" s="93"/>
      <c r="QM413" s="93"/>
      <c r="QN413" s="93"/>
      <c r="QO413" s="93"/>
      <c r="QP413" s="93"/>
      <c r="QQ413" s="93"/>
      <c r="QR413" s="93"/>
      <c r="QS413" s="93"/>
      <c r="QT413" s="93"/>
      <c r="QU413" s="93"/>
      <c r="QV413" s="93"/>
      <c r="QW413" s="93"/>
      <c r="QX413" s="93"/>
      <c r="QY413" s="93"/>
      <c r="QZ413" s="93"/>
      <c r="RA413" s="93"/>
      <c r="RB413" s="93"/>
      <c r="RC413" s="93"/>
      <c r="RD413" s="93"/>
      <c r="RE413" s="93"/>
      <c r="RF413" s="93"/>
      <c r="RG413" s="93"/>
      <c r="RH413" s="93"/>
      <c r="RI413" s="93"/>
      <c r="RJ413" s="93"/>
      <c r="RK413" s="93"/>
      <c r="RL413" s="93"/>
      <c r="RM413" s="20"/>
      <c r="RN413" s="29"/>
      <c r="RO413" s="19"/>
      <c r="RP413" s="20"/>
      <c r="RQ413" s="29"/>
      <c r="RR413" s="20"/>
      <c r="RS413" s="29"/>
      <c r="RT413" s="1504">
        <v>47027</v>
      </c>
      <c r="RU413" s="19"/>
      <c r="RV413" s="20"/>
      <c r="RW413" s="29"/>
      <c r="RX413" s="1504">
        <v>47027</v>
      </c>
      <c r="RY413" s="29"/>
      <c r="RZ413" s="20"/>
      <c r="SA413" s="29"/>
      <c r="SB413" s="29"/>
    </row>
    <row r="414" spans="1:496">
      <c r="A414" s="41">
        <f t="shared" si="346"/>
        <v>2028</v>
      </c>
      <c r="B414" s="1504">
        <v>47058</v>
      </c>
      <c r="C414" s="1813"/>
      <c r="D414" s="1814"/>
      <c r="E414" s="1814"/>
      <c r="F414" s="1815"/>
      <c r="G414" s="1814"/>
      <c r="H414" s="1814"/>
      <c r="I414" s="1814"/>
      <c r="J414" s="1816"/>
      <c r="K414" s="1807"/>
      <c r="L414" s="25"/>
      <c r="M414" s="97"/>
      <c r="N414" s="1504">
        <v>47058</v>
      </c>
      <c r="O414" s="19"/>
      <c r="P414" s="93"/>
      <c r="Q414" s="93"/>
      <c r="R414" s="93"/>
      <c r="S414" s="93"/>
      <c r="T414" s="93"/>
      <c r="U414" s="93"/>
      <c r="V414" s="93"/>
      <c r="W414" s="93"/>
      <c r="X414" s="93"/>
      <c r="Y414" s="93"/>
      <c r="Z414" s="93"/>
      <c r="AA414" s="93"/>
      <c r="AB414" s="20"/>
      <c r="AC414" s="25"/>
      <c r="AD414" s="97"/>
      <c r="AE414" s="1504">
        <v>47058</v>
      </c>
      <c r="AF414" s="19"/>
      <c r="AG414" s="93"/>
      <c r="AH414" s="93"/>
      <c r="AI414" s="93"/>
      <c r="AJ414" s="93"/>
      <c r="AK414" s="93"/>
      <c r="AL414" s="93"/>
      <c r="AM414" s="93"/>
      <c r="AN414" s="93"/>
      <c r="AO414" s="93"/>
      <c r="AP414" s="93"/>
      <c r="AQ414" s="93"/>
      <c r="AR414" s="93"/>
      <c r="AS414" s="20"/>
      <c r="AT414" s="25"/>
      <c r="AU414" s="97"/>
      <c r="AV414" s="1504">
        <v>47058</v>
      </c>
      <c r="AW414" s="19"/>
      <c r="AX414" s="93"/>
      <c r="AY414" s="93"/>
      <c r="AZ414" s="93"/>
      <c r="BA414" s="93"/>
      <c r="BB414" s="93"/>
      <c r="BC414" s="93"/>
      <c r="BD414" s="93"/>
      <c r="BE414" s="93"/>
      <c r="BF414" s="93"/>
      <c r="BG414" s="93"/>
      <c r="BH414" s="93"/>
      <c r="BI414" s="93"/>
      <c r="BJ414" s="20"/>
      <c r="BK414" s="25"/>
      <c r="BL414" s="97"/>
      <c r="BM414" s="1504">
        <v>47058</v>
      </c>
      <c r="BN414" s="19"/>
      <c r="BO414" s="93"/>
      <c r="BP414" s="93"/>
      <c r="BQ414" s="93"/>
      <c r="BR414" s="93"/>
      <c r="BS414" s="93"/>
      <c r="BT414" s="93"/>
      <c r="BU414" s="20"/>
      <c r="BV414" s="25"/>
      <c r="BW414" s="97"/>
      <c r="BX414" s="1504">
        <v>47058</v>
      </c>
      <c r="BY414" s="19"/>
      <c r="BZ414" s="93"/>
      <c r="CA414" s="93"/>
      <c r="CB414" s="93"/>
      <c r="CC414" s="93"/>
      <c r="CD414" s="25"/>
      <c r="CE414" s="97"/>
      <c r="CF414" s="1504">
        <v>47058</v>
      </c>
      <c r="CG414" s="19"/>
      <c r="CH414" s="93"/>
      <c r="CI414" s="219"/>
      <c r="CJ414" s="20"/>
      <c r="CK414" s="19"/>
      <c r="CL414" s="93"/>
      <c r="CM414" s="93"/>
      <c r="CN414" s="93"/>
      <c r="CO414" s="93"/>
      <c r="CP414" s="20"/>
      <c r="CQ414" s="219"/>
      <c r="CR414" s="93"/>
      <c r="CS414" s="93"/>
      <c r="CT414" s="93"/>
      <c r="CU414" s="93"/>
      <c r="CV414" s="214"/>
      <c r="CW414" s="29"/>
      <c r="CX414" s="41">
        <f t="shared" si="357"/>
        <v>2028</v>
      </c>
      <c r="CY414" s="1504">
        <v>47058</v>
      </c>
      <c r="CZ414" s="19"/>
      <c r="DA414" s="93"/>
      <c r="DB414" s="93"/>
      <c r="DC414" s="93"/>
      <c r="DD414" s="93"/>
      <c r="DE414" s="20"/>
      <c r="DF414" s="29"/>
      <c r="DG414" s="1504">
        <v>47058</v>
      </c>
      <c r="DH414" s="19"/>
      <c r="DI414" s="93"/>
      <c r="DJ414" s="93"/>
      <c r="DK414" s="93"/>
      <c r="DL414" s="93"/>
      <c r="DM414" s="93"/>
      <c r="DN414" s="20"/>
      <c r="DO414" s="295"/>
      <c r="DP414" s="29"/>
      <c r="DQ414" s="1504">
        <v>47058</v>
      </c>
      <c r="DR414" s="19"/>
      <c r="DS414" s="93"/>
      <c r="DT414" s="93"/>
      <c r="DU414" s="93"/>
      <c r="DV414" s="93"/>
      <c r="DW414" s="93"/>
      <c r="DX414" s="20"/>
      <c r="DY414" s="29"/>
      <c r="DZ414" s="1504">
        <v>47058</v>
      </c>
      <c r="EA414" s="19"/>
      <c r="EB414" s="93"/>
      <c r="EC414" s="20"/>
      <c r="ED414" s="29"/>
      <c r="EE414" s="1504">
        <v>47058</v>
      </c>
      <c r="EF414" s="19"/>
      <c r="EG414" s="93"/>
      <c r="EH414" s="93"/>
      <c r="EI414" s="214"/>
      <c r="EJ414" s="93"/>
      <c r="EK414" s="93"/>
      <c r="EL414" s="93"/>
      <c r="EM414" s="93"/>
      <c r="EN414" s="20"/>
      <c r="EO414" s="29"/>
      <c r="EP414" s="1504">
        <v>47058</v>
      </c>
      <c r="EQ414" s="19"/>
      <c r="ER414" s="93"/>
      <c r="ES414" s="93"/>
      <c r="ET414" s="214"/>
      <c r="EU414" s="93"/>
      <c r="EV414" s="93"/>
      <c r="EW414" s="93"/>
      <c r="EX414" s="93"/>
      <c r="EY414" s="20"/>
      <c r="EZ414" s="29"/>
      <c r="FA414" s="1504">
        <v>47058</v>
      </c>
      <c r="FB414" s="29"/>
      <c r="FC414" s="29"/>
      <c r="FD414" s="29"/>
      <c r="FE414" s="29"/>
      <c r="FF414" s="29"/>
      <c r="FG414" s="29"/>
      <c r="FH414" s="29"/>
      <c r="FI414" s="29"/>
      <c r="FJ414" s="29"/>
      <c r="FK414" s="29"/>
      <c r="FL414" s="1504">
        <v>47058</v>
      </c>
      <c r="FM414" s="19"/>
      <c r="FN414" s="93"/>
      <c r="FO414" s="93"/>
      <c r="FP414" s="93"/>
      <c r="FQ414" s="93"/>
      <c r="FR414" s="93"/>
      <c r="FS414" s="93"/>
      <c r="FT414" s="93"/>
      <c r="FU414" s="93"/>
      <c r="FV414" s="93"/>
      <c r="FW414" s="93"/>
      <c r="FX414" s="93"/>
      <c r="FY414" s="93"/>
      <c r="FZ414" s="29"/>
      <c r="GA414" s="1504">
        <v>47058</v>
      </c>
      <c r="GB414" s="19"/>
      <c r="GC414" s="93"/>
      <c r="GD414" s="93"/>
      <c r="GE414" s="93"/>
      <c r="GF414" s="93"/>
      <c r="GG414" s="93"/>
      <c r="GH414" s="93"/>
      <c r="GI414" s="93"/>
      <c r="GJ414" s="93"/>
      <c r="GK414" s="93"/>
      <c r="GL414" s="93"/>
      <c r="GM414" s="93"/>
      <c r="GN414" s="20"/>
      <c r="GO414" s="29"/>
      <c r="GP414" s="1504">
        <v>47058</v>
      </c>
      <c r="GQ414" s="19"/>
      <c r="GR414" s="93"/>
      <c r="GS414" s="93"/>
      <c r="GT414" s="93"/>
      <c r="GU414" s="93"/>
      <c r="GV414" s="20"/>
      <c r="GW414" s="19"/>
      <c r="GX414" s="93"/>
      <c r="GY414" s="93"/>
      <c r="GZ414" s="93"/>
      <c r="HA414" s="93"/>
      <c r="HB414" s="20"/>
      <c r="HC414" s="19"/>
      <c r="HD414" s="93"/>
      <c r="HE414" s="93"/>
      <c r="HF414" s="93"/>
      <c r="HG414" s="93"/>
      <c r="HH414" s="20"/>
      <c r="HI414" s="19"/>
      <c r="HJ414" s="93"/>
      <c r="HK414" s="93"/>
      <c r="HL414" s="93"/>
      <c r="HM414" s="93"/>
      <c r="HN414" s="20"/>
      <c r="HO414" s="219"/>
      <c r="HP414" s="20"/>
      <c r="HQ414" s="25"/>
      <c r="HR414" s="29"/>
      <c r="HS414" s="1504">
        <v>47058</v>
      </c>
      <c r="HT414" s="19"/>
      <c r="HU414" s="93"/>
      <c r="HV414" s="93"/>
      <c r="HW414" s="93"/>
      <c r="HX414" s="93"/>
      <c r="HY414" s="93"/>
      <c r="HZ414" s="93"/>
      <c r="IA414" s="20"/>
      <c r="IB414" s="19"/>
      <c r="IC414" s="93"/>
      <c r="ID414" s="93"/>
      <c r="IE414" s="93"/>
      <c r="IF414" s="93"/>
      <c r="IG414" s="20"/>
      <c r="IH414" s="19"/>
      <c r="II414" s="93"/>
      <c r="IJ414" s="93"/>
      <c r="IK414" s="93"/>
      <c r="IL414" s="93"/>
      <c r="IM414" s="93"/>
      <c r="IN414" s="93"/>
      <c r="IO414" s="20"/>
      <c r="IP414" s="29"/>
      <c r="IQ414" s="19"/>
      <c r="IR414" s="93"/>
      <c r="IS414" s="93"/>
      <c r="IT414" s="93"/>
      <c r="IU414" s="93"/>
      <c r="IV414" s="20"/>
      <c r="IW414" s="29"/>
      <c r="IX414" s="19"/>
      <c r="IY414" s="93"/>
      <c r="IZ414" s="93"/>
      <c r="JA414" s="93"/>
      <c r="JB414" s="93"/>
      <c r="JC414" s="93"/>
      <c r="JD414" s="93"/>
      <c r="JE414" s="20"/>
      <c r="JF414" s="29"/>
      <c r="JG414" s="19"/>
      <c r="JH414" s="93"/>
      <c r="JI414" s="93"/>
      <c r="JJ414" s="93"/>
      <c r="JK414" s="93"/>
      <c r="JL414" s="93"/>
      <c r="JM414" s="93"/>
      <c r="JN414" s="20"/>
      <c r="JO414" s="29"/>
      <c r="JP414" s="19"/>
      <c r="JQ414" s="93"/>
      <c r="JR414" s="93"/>
      <c r="JS414" s="93"/>
      <c r="JT414" s="93"/>
      <c r="JU414" s="20"/>
      <c r="JV414" s="29"/>
      <c r="JW414" s="1504">
        <v>47058</v>
      </c>
      <c r="JX414" s="19"/>
      <c r="JY414" s="93"/>
      <c r="JZ414" s="93"/>
      <c r="KA414" s="93"/>
      <c r="KB414" s="93"/>
      <c r="KC414" s="93"/>
      <c r="KD414" s="20"/>
      <c r="KE414" s="29"/>
      <c r="KF414" s="19"/>
      <c r="KG414" s="93"/>
      <c r="KH414" s="93"/>
      <c r="KI414" s="93"/>
      <c r="KJ414" s="93"/>
      <c r="KK414" s="20"/>
      <c r="KL414" s="29"/>
      <c r="KM414" s="19"/>
      <c r="KN414" s="93"/>
      <c r="KO414" s="93"/>
      <c r="KP414" s="93"/>
      <c r="KQ414" s="93"/>
      <c r="KR414" s="20"/>
      <c r="KS414" s="29"/>
      <c r="KT414" s="19"/>
      <c r="KU414" s="93"/>
      <c r="KV414" s="93"/>
      <c r="KW414" s="93"/>
      <c r="KX414" s="93"/>
      <c r="KY414" s="20"/>
      <c r="KZ414" s="29"/>
      <c r="LA414" s="1504">
        <v>47058</v>
      </c>
      <c r="LB414" s="19"/>
      <c r="LC414" s="93"/>
      <c r="LD414" s="93"/>
      <c r="LE414" s="93"/>
      <c r="LF414" s="93"/>
      <c r="LG414" s="93"/>
      <c r="LH414" s="20"/>
      <c r="LI414" s="29"/>
      <c r="LJ414" s="19"/>
      <c r="LK414" s="93"/>
      <c r="LL414" s="93"/>
      <c r="LM414" s="93"/>
      <c r="LN414" s="93"/>
      <c r="LO414" s="20"/>
      <c r="LP414" s="29"/>
      <c r="LQ414" s="19"/>
      <c r="LR414" s="93"/>
      <c r="LS414" s="93"/>
      <c r="LT414" s="93"/>
      <c r="LU414" s="93"/>
      <c r="LV414" s="93"/>
      <c r="LW414" s="93"/>
      <c r="LX414" s="93"/>
      <c r="LY414" s="93"/>
      <c r="LZ414" s="93"/>
      <c r="MA414" s="20"/>
      <c r="MB414" s="29"/>
      <c r="MC414" s="1504">
        <v>47058</v>
      </c>
      <c r="MD414" s="19"/>
      <c r="ME414" s="93"/>
      <c r="MF414" s="93"/>
      <c r="MG414" s="93"/>
      <c r="MH414" s="93"/>
      <c r="MI414" s="93"/>
      <c r="MJ414" s="93"/>
      <c r="MK414" s="93"/>
      <c r="ML414" s="93"/>
      <c r="MM414" s="93"/>
      <c r="MN414" s="93"/>
      <c r="MO414" s="93"/>
      <c r="MP414" s="93"/>
      <c r="MQ414" s="93"/>
      <c r="MR414" s="93"/>
      <c r="MS414" s="93"/>
      <c r="MT414" s="93"/>
      <c r="MU414" s="93"/>
      <c r="MV414" s="93"/>
      <c r="MW414" s="93"/>
      <c r="MX414" s="93"/>
      <c r="MY414" s="93"/>
      <c r="MZ414" s="93"/>
      <c r="NA414" s="93"/>
      <c r="NB414" s="93"/>
      <c r="NC414" s="93"/>
      <c r="ND414" s="93"/>
      <c r="NE414" s="93"/>
      <c r="NF414" s="93"/>
      <c r="NG414" s="93"/>
      <c r="NH414" s="93"/>
      <c r="NI414" s="93"/>
      <c r="NJ414" s="93"/>
      <c r="NK414" s="93"/>
      <c r="NL414" s="93"/>
      <c r="NM414" s="93"/>
      <c r="NN414" s="93"/>
      <c r="NO414" s="93"/>
      <c r="NP414" s="93"/>
      <c r="NQ414" s="93"/>
      <c r="NR414" s="93"/>
      <c r="NS414" s="93"/>
      <c r="NT414" s="93"/>
      <c r="NU414" s="93"/>
      <c r="NV414" s="93"/>
      <c r="NW414" s="93"/>
      <c r="NX414" s="93"/>
      <c r="NY414" s="93"/>
      <c r="NZ414" s="93"/>
      <c r="OA414" s="93"/>
      <c r="OB414" s="93"/>
      <c r="OC414" s="93"/>
      <c r="OD414" s="20"/>
      <c r="OE414" s="29"/>
      <c r="OF414" s="1504">
        <v>47058</v>
      </c>
      <c r="OG414" s="19"/>
      <c r="OH414" s="93"/>
      <c r="OI414" s="93"/>
      <c r="OJ414" s="93"/>
      <c r="OK414" s="93"/>
      <c r="OL414" s="93"/>
      <c r="OM414" s="93"/>
      <c r="ON414" s="93"/>
      <c r="OO414" s="93"/>
      <c r="OP414" s="93"/>
      <c r="OQ414" s="93"/>
      <c r="OR414" s="93"/>
      <c r="OS414" s="93"/>
      <c r="OT414" s="93"/>
      <c r="OU414" s="93"/>
      <c r="OV414" s="93"/>
      <c r="OW414" s="93"/>
      <c r="OX414" s="93"/>
      <c r="OY414" s="93"/>
      <c r="OZ414" s="93"/>
      <c r="PA414" s="93"/>
      <c r="PB414" s="93"/>
      <c r="PC414" s="20"/>
      <c r="PD414" s="29"/>
      <c r="PE414" s="19"/>
      <c r="PF414" s="93"/>
      <c r="PG414" s="93"/>
      <c r="PH414" s="93"/>
      <c r="PI414" s="93"/>
      <c r="PJ414" s="93"/>
      <c r="PK414" s="93"/>
      <c r="PL414" s="93"/>
      <c r="PM414" s="93"/>
      <c r="PN414" s="93"/>
      <c r="PO414" s="93"/>
      <c r="PP414" s="93"/>
      <c r="PQ414" s="93"/>
      <c r="PR414" s="93"/>
      <c r="PS414" s="93"/>
      <c r="PT414" s="93"/>
      <c r="PU414" s="93"/>
      <c r="PV414" s="93"/>
      <c r="PW414" s="93"/>
      <c r="PX414" s="93"/>
      <c r="PY414" s="93"/>
      <c r="PZ414" s="93"/>
      <c r="QA414" s="93"/>
      <c r="QB414" s="93"/>
      <c r="QC414" s="93"/>
      <c r="QD414" s="93"/>
      <c r="QE414" s="20"/>
      <c r="QF414" s="1739"/>
      <c r="QG414" s="19"/>
      <c r="QH414" s="93"/>
      <c r="QI414" s="93"/>
      <c r="QJ414" s="93"/>
      <c r="QK414" s="93"/>
      <c r="QL414" s="93"/>
      <c r="QM414" s="93"/>
      <c r="QN414" s="93"/>
      <c r="QO414" s="93"/>
      <c r="QP414" s="93"/>
      <c r="QQ414" s="93"/>
      <c r="QR414" s="93"/>
      <c r="QS414" s="93"/>
      <c r="QT414" s="93"/>
      <c r="QU414" s="93"/>
      <c r="QV414" s="93"/>
      <c r="QW414" s="93"/>
      <c r="QX414" s="93"/>
      <c r="QY414" s="93"/>
      <c r="QZ414" s="93"/>
      <c r="RA414" s="93"/>
      <c r="RB414" s="93"/>
      <c r="RC414" s="93"/>
      <c r="RD414" s="93"/>
      <c r="RE414" s="93"/>
      <c r="RF414" s="93"/>
      <c r="RG414" s="93"/>
      <c r="RH414" s="93"/>
      <c r="RI414" s="93"/>
      <c r="RJ414" s="93"/>
      <c r="RK414" s="93"/>
      <c r="RL414" s="93"/>
      <c r="RM414" s="20"/>
      <c r="RN414" s="29"/>
      <c r="RO414" s="19"/>
      <c r="RP414" s="20"/>
      <c r="RQ414" s="29"/>
      <c r="RR414" s="20"/>
      <c r="RS414" s="29"/>
      <c r="RT414" s="1504">
        <v>47058</v>
      </c>
      <c r="RU414" s="19"/>
      <c r="RV414" s="20"/>
      <c r="RW414" s="29"/>
      <c r="RX414" s="1504">
        <v>47058</v>
      </c>
      <c r="RY414" s="29"/>
      <c r="RZ414" s="20"/>
      <c r="SA414" s="29"/>
      <c r="SB414" s="29"/>
    </row>
    <row r="415" spans="1:496">
      <c r="A415" s="41">
        <f t="shared" si="346"/>
        <v>2028</v>
      </c>
      <c r="B415" s="1504">
        <v>47088</v>
      </c>
      <c r="C415" s="1813"/>
      <c r="D415" s="1814"/>
      <c r="E415" s="1814"/>
      <c r="F415" s="1815"/>
      <c r="G415" s="1814"/>
      <c r="H415" s="1814"/>
      <c r="I415" s="1814"/>
      <c r="J415" s="1816"/>
      <c r="K415" s="1807"/>
      <c r="L415" s="25"/>
      <c r="M415" s="97"/>
      <c r="N415" s="1504">
        <v>47088</v>
      </c>
      <c r="O415" s="19"/>
      <c r="P415" s="93"/>
      <c r="Q415" s="93"/>
      <c r="R415" s="93"/>
      <c r="S415" s="93"/>
      <c r="T415" s="93"/>
      <c r="U415" s="93"/>
      <c r="V415" s="93"/>
      <c r="W415" s="93"/>
      <c r="X415" s="93"/>
      <c r="Y415" s="93"/>
      <c r="Z415" s="93"/>
      <c r="AA415" s="93"/>
      <c r="AB415" s="20"/>
      <c r="AC415" s="25"/>
      <c r="AD415" s="97"/>
      <c r="AE415" s="1504">
        <v>47088</v>
      </c>
      <c r="AF415" s="19"/>
      <c r="AG415" s="93"/>
      <c r="AH415" s="93"/>
      <c r="AI415" s="93"/>
      <c r="AJ415" s="93"/>
      <c r="AK415" s="93"/>
      <c r="AL415" s="93"/>
      <c r="AM415" s="93"/>
      <c r="AN415" s="93"/>
      <c r="AO415" s="93"/>
      <c r="AP415" s="93"/>
      <c r="AQ415" s="93"/>
      <c r="AR415" s="93"/>
      <c r="AS415" s="20"/>
      <c r="AT415" s="25"/>
      <c r="AU415" s="97"/>
      <c r="AV415" s="1504">
        <v>47088</v>
      </c>
      <c r="AW415" s="19"/>
      <c r="AX415" s="93"/>
      <c r="AY415" s="93"/>
      <c r="AZ415" s="93"/>
      <c r="BA415" s="93"/>
      <c r="BB415" s="93"/>
      <c r="BC415" s="93"/>
      <c r="BD415" s="93"/>
      <c r="BE415" s="93"/>
      <c r="BF415" s="93"/>
      <c r="BG415" s="93"/>
      <c r="BH415" s="93"/>
      <c r="BI415" s="93"/>
      <c r="BJ415" s="20"/>
      <c r="BK415" s="25"/>
      <c r="BL415" s="97"/>
      <c r="BM415" s="1504">
        <v>47088</v>
      </c>
      <c r="BN415" s="19"/>
      <c r="BO415" s="93"/>
      <c r="BP415" s="93"/>
      <c r="BQ415" s="93"/>
      <c r="BR415" s="93"/>
      <c r="BS415" s="93"/>
      <c r="BT415" s="93"/>
      <c r="BU415" s="20"/>
      <c r="BV415" s="25"/>
      <c r="BW415" s="97"/>
      <c r="BX415" s="1504">
        <v>47088</v>
      </c>
      <c r="BY415" s="19"/>
      <c r="BZ415" s="93"/>
      <c r="CA415" s="93"/>
      <c r="CB415" s="93"/>
      <c r="CC415" s="93"/>
      <c r="CD415" s="25"/>
      <c r="CE415" s="97"/>
      <c r="CF415" s="1504">
        <v>47088</v>
      </c>
      <c r="CG415" s="19"/>
      <c r="CH415" s="93"/>
      <c r="CI415" s="219"/>
      <c r="CJ415" s="20"/>
      <c r="CK415" s="19"/>
      <c r="CL415" s="93"/>
      <c r="CM415" s="93"/>
      <c r="CN415" s="93"/>
      <c r="CO415" s="93"/>
      <c r="CP415" s="20"/>
      <c r="CQ415" s="219"/>
      <c r="CR415" s="93"/>
      <c r="CS415" s="93"/>
      <c r="CT415" s="93"/>
      <c r="CU415" s="93"/>
      <c r="CV415" s="214"/>
      <c r="CW415" s="29"/>
      <c r="CX415" s="41">
        <f t="shared" si="357"/>
        <v>2028</v>
      </c>
      <c r="CY415" s="1504">
        <v>47088</v>
      </c>
      <c r="CZ415" s="19"/>
      <c r="DA415" s="93"/>
      <c r="DB415" s="93"/>
      <c r="DC415" s="93"/>
      <c r="DD415" s="93"/>
      <c r="DE415" s="20"/>
      <c r="DF415" s="29"/>
      <c r="DG415" s="1504">
        <v>47088</v>
      </c>
      <c r="DH415" s="19"/>
      <c r="DI415" s="93"/>
      <c r="DJ415" s="93"/>
      <c r="DK415" s="93"/>
      <c r="DL415" s="93"/>
      <c r="DM415" s="93"/>
      <c r="DN415" s="20"/>
      <c r="DO415" s="295"/>
      <c r="DP415" s="29"/>
      <c r="DQ415" s="1504">
        <v>47088</v>
      </c>
      <c r="DR415" s="19"/>
      <c r="DS415" s="93"/>
      <c r="DT415" s="93"/>
      <c r="DU415" s="93"/>
      <c r="DV415" s="93"/>
      <c r="DW415" s="93"/>
      <c r="DX415" s="20"/>
      <c r="DY415" s="29"/>
      <c r="DZ415" s="1504">
        <v>47088</v>
      </c>
      <c r="EA415" s="19"/>
      <c r="EB415" s="93"/>
      <c r="EC415" s="20"/>
      <c r="ED415" s="29"/>
      <c r="EE415" s="1504">
        <v>47088</v>
      </c>
      <c r="EF415" s="19"/>
      <c r="EG415" s="93"/>
      <c r="EH415" s="93"/>
      <c r="EI415" s="214"/>
      <c r="EJ415" s="93"/>
      <c r="EK415" s="93"/>
      <c r="EL415" s="93"/>
      <c r="EM415" s="93"/>
      <c r="EN415" s="20"/>
      <c r="EO415" s="29"/>
      <c r="EP415" s="1504">
        <v>47088</v>
      </c>
      <c r="EQ415" s="19"/>
      <c r="ER415" s="93"/>
      <c r="ES415" s="93"/>
      <c r="ET415" s="214"/>
      <c r="EU415" s="93"/>
      <c r="EV415" s="93"/>
      <c r="EW415" s="93"/>
      <c r="EX415" s="93"/>
      <c r="EY415" s="20"/>
      <c r="EZ415" s="29"/>
      <c r="FA415" s="1504">
        <v>47088</v>
      </c>
      <c r="FB415" s="29"/>
      <c r="FC415" s="29"/>
      <c r="FD415" s="29"/>
      <c r="FE415" s="29"/>
      <c r="FF415" s="29"/>
      <c r="FG415" s="29"/>
      <c r="FH415" s="29"/>
      <c r="FI415" s="29"/>
      <c r="FJ415" s="29"/>
      <c r="FK415" s="29"/>
      <c r="FL415" s="1504">
        <v>47088</v>
      </c>
      <c r="FM415" s="19"/>
      <c r="FN415" s="93"/>
      <c r="FO415" s="93"/>
      <c r="FP415" s="93"/>
      <c r="FQ415" s="93"/>
      <c r="FR415" s="93"/>
      <c r="FS415" s="93"/>
      <c r="FT415" s="93"/>
      <c r="FU415" s="93"/>
      <c r="FV415" s="93"/>
      <c r="FW415" s="93"/>
      <c r="FX415" s="93"/>
      <c r="FY415" s="93"/>
      <c r="FZ415" s="29"/>
      <c r="GA415" s="1504">
        <v>47088</v>
      </c>
      <c r="GB415" s="19"/>
      <c r="GC415" s="93"/>
      <c r="GD415" s="93"/>
      <c r="GE415" s="93"/>
      <c r="GF415" s="93"/>
      <c r="GG415" s="93"/>
      <c r="GH415" s="93"/>
      <c r="GI415" s="93"/>
      <c r="GJ415" s="93"/>
      <c r="GK415" s="93"/>
      <c r="GL415" s="93"/>
      <c r="GM415" s="93"/>
      <c r="GN415" s="20"/>
      <c r="GO415" s="29"/>
      <c r="GP415" s="1504">
        <v>47088</v>
      </c>
      <c r="GQ415" s="19"/>
      <c r="GR415" s="93"/>
      <c r="GS415" s="93"/>
      <c r="GT415" s="93"/>
      <c r="GU415" s="93"/>
      <c r="GV415" s="20"/>
      <c r="GW415" s="19"/>
      <c r="GX415" s="93"/>
      <c r="GY415" s="93"/>
      <c r="GZ415" s="93"/>
      <c r="HA415" s="93"/>
      <c r="HB415" s="20"/>
      <c r="HC415" s="19"/>
      <c r="HD415" s="93"/>
      <c r="HE415" s="93"/>
      <c r="HF415" s="93"/>
      <c r="HG415" s="93"/>
      <c r="HH415" s="20"/>
      <c r="HI415" s="19"/>
      <c r="HJ415" s="93"/>
      <c r="HK415" s="93"/>
      <c r="HL415" s="93"/>
      <c r="HM415" s="93"/>
      <c r="HN415" s="20"/>
      <c r="HO415" s="219"/>
      <c r="HP415" s="20"/>
      <c r="HQ415" s="25"/>
      <c r="HR415" s="29"/>
      <c r="HS415" s="1504">
        <v>47088</v>
      </c>
      <c r="HT415" s="19"/>
      <c r="HU415" s="93"/>
      <c r="HV415" s="93"/>
      <c r="HW415" s="93"/>
      <c r="HX415" s="93"/>
      <c r="HY415" s="93"/>
      <c r="HZ415" s="93"/>
      <c r="IA415" s="20"/>
      <c r="IB415" s="19"/>
      <c r="IC415" s="93"/>
      <c r="ID415" s="93"/>
      <c r="IE415" s="93"/>
      <c r="IF415" s="93"/>
      <c r="IG415" s="20"/>
      <c r="IH415" s="19"/>
      <c r="II415" s="93"/>
      <c r="IJ415" s="93"/>
      <c r="IK415" s="93"/>
      <c r="IL415" s="93"/>
      <c r="IM415" s="93"/>
      <c r="IN415" s="93"/>
      <c r="IO415" s="20"/>
      <c r="IP415" s="29"/>
      <c r="IQ415" s="19"/>
      <c r="IR415" s="93"/>
      <c r="IS415" s="93"/>
      <c r="IT415" s="93"/>
      <c r="IU415" s="93"/>
      <c r="IV415" s="20"/>
      <c r="IW415" s="29"/>
      <c r="IX415" s="19"/>
      <c r="IY415" s="93"/>
      <c r="IZ415" s="93"/>
      <c r="JA415" s="93"/>
      <c r="JB415" s="93"/>
      <c r="JC415" s="93"/>
      <c r="JD415" s="93"/>
      <c r="JE415" s="20"/>
      <c r="JF415" s="29"/>
      <c r="JG415" s="19"/>
      <c r="JH415" s="93"/>
      <c r="JI415" s="93"/>
      <c r="JJ415" s="93"/>
      <c r="JK415" s="93"/>
      <c r="JL415" s="93"/>
      <c r="JM415" s="93"/>
      <c r="JN415" s="20"/>
      <c r="JO415" s="29"/>
      <c r="JP415" s="19"/>
      <c r="JQ415" s="93"/>
      <c r="JR415" s="93"/>
      <c r="JS415" s="93"/>
      <c r="JT415" s="93"/>
      <c r="JU415" s="20"/>
      <c r="JV415" s="29"/>
      <c r="JW415" s="1504">
        <v>47088</v>
      </c>
      <c r="JX415" s="19"/>
      <c r="JY415" s="93"/>
      <c r="JZ415" s="93"/>
      <c r="KA415" s="93"/>
      <c r="KB415" s="93"/>
      <c r="KC415" s="93"/>
      <c r="KD415" s="20"/>
      <c r="KE415" s="29"/>
      <c r="KF415" s="19"/>
      <c r="KG415" s="93"/>
      <c r="KH415" s="93"/>
      <c r="KI415" s="93"/>
      <c r="KJ415" s="93"/>
      <c r="KK415" s="20"/>
      <c r="KL415" s="29"/>
      <c r="KM415" s="19"/>
      <c r="KN415" s="93"/>
      <c r="KO415" s="93"/>
      <c r="KP415" s="93"/>
      <c r="KQ415" s="93"/>
      <c r="KR415" s="20"/>
      <c r="KS415" s="29"/>
      <c r="KT415" s="19"/>
      <c r="KU415" s="93"/>
      <c r="KV415" s="93"/>
      <c r="KW415" s="93"/>
      <c r="KX415" s="93"/>
      <c r="KY415" s="20"/>
      <c r="KZ415" s="29"/>
      <c r="LA415" s="1504">
        <v>47088</v>
      </c>
      <c r="LB415" s="19"/>
      <c r="LC415" s="93"/>
      <c r="LD415" s="93"/>
      <c r="LE415" s="93"/>
      <c r="LF415" s="93"/>
      <c r="LG415" s="93"/>
      <c r="LH415" s="20"/>
      <c r="LI415" s="29"/>
      <c r="LJ415" s="19"/>
      <c r="LK415" s="93"/>
      <c r="LL415" s="93"/>
      <c r="LM415" s="93"/>
      <c r="LN415" s="93"/>
      <c r="LO415" s="20"/>
      <c r="LP415" s="29"/>
      <c r="LQ415" s="19"/>
      <c r="LR415" s="93"/>
      <c r="LS415" s="93"/>
      <c r="LT415" s="93"/>
      <c r="LU415" s="93"/>
      <c r="LV415" s="93"/>
      <c r="LW415" s="93"/>
      <c r="LX415" s="93"/>
      <c r="LY415" s="93"/>
      <c r="LZ415" s="93"/>
      <c r="MA415" s="20"/>
      <c r="MB415" s="29"/>
      <c r="MC415" s="1504">
        <v>47088</v>
      </c>
      <c r="MD415" s="19"/>
      <c r="ME415" s="93"/>
      <c r="MF415" s="93"/>
      <c r="MG415" s="93"/>
      <c r="MH415" s="93"/>
      <c r="MI415" s="93"/>
      <c r="MJ415" s="93"/>
      <c r="MK415" s="93"/>
      <c r="ML415" s="93"/>
      <c r="MM415" s="93"/>
      <c r="MN415" s="93"/>
      <c r="MO415" s="93"/>
      <c r="MP415" s="93"/>
      <c r="MQ415" s="93"/>
      <c r="MR415" s="93"/>
      <c r="MS415" s="93"/>
      <c r="MT415" s="93"/>
      <c r="MU415" s="93"/>
      <c r="MV415" s="93"/>
      <c r="MW415" s="93"/>
      <c r="MX415" s="93"/>
      <c r="MY415" s="93"/>
      <c r="MZ415" s="93"/>
      <c r="NA415" s="93"/>
      <c r="NB415" s="93"/>
      <c r="NC415" s="93"/>
      <c r="ND415" s="93"/>
      <c r="NE415" s="93"/>
      <c r="NF415" s="93"/>
      <c r="NG415" s="93"/>
      <c r="NH415" s="93"/>
      <c r="NI415" s="93"/>
      <c r="NJ415" s="93"/>
      <c r="NK415" s="93"/>
      <c r="NL415" s="93"/>
      <c r="NM415" s="93"/>
      <c r="NN415" s="93"/>
      <c r="NO415" s="93"/>
      <c r="NP415" s="93"/>
      <c r="NQ415" s="93"/>
      <c r="NR415" s="93"/>
      <c r="NS415" s="93"/>
      <c r="NT415" s="93"/>
      <c r="NU415" s="93"/>
      <c r="NV415" s="93"/>
      <c r="NW415" s="93"/>
      <c r="NX415" s="93"/>
      <c r="NY415" s="93"/>
      <c r="NZ415" s="93"/>
      <c r="OA415" s="93"/>
      <c r="OB415" s="93"/>
      <c r="OC415" s="93"/>
      <c r="OD415" s="20"/>
      <c r="OE415" s="29"/>
      <c r="OF415" s="1504">
        <v>47088</v>
      </c>
      <c r="OG415" s="19"/>
      <c r="OH415" s="93"/>
      <c r="OI415" s="93"/>
      <c r="OJ415" s="93"/>
      <c r="OK415" s="93"/>
      <c r="OL415" s="93"/>
      <c r="OM415" s="93"/>
      <c r="ON415" s="93"/>
      <c r="OO415" s="93"/>
      <c r="OP415" s="93"/>
      <c r="OQ415" s="93"/>
      <c r="OR415" s="93"/>
      <c r="OS415" s="93"/>
      <c r="OT415" s="93"/>
      <c r="OU415" s="93"/>
      <c r="OV415" s="93"/>
      <c r="OW415" s="93"/>
      <c r="OX415" s="93"/>
      <c r="OY415" s="93"/>
      <c r="OZ415" s="93"/>
      <c r="PA415" s="93"/>
      <c r="PB415" s="93"/>
      <c r="PC415" s="20"/>
      <c r="PD415" s="29"/>
      <c r="PE415" s="19"/>
      <c r="PF415" s="93"/>
      <c r="PG415" s="93"/>
      <c r="PH415" s="93"/>
      <c r="PI415" s="93"/>
      <c r="PJ415" s="93"/>
      <c r="PK415" s="93"/>
      <c r="PL415" s="93"/>
      <c r="PM415" s="93"/>
      <c r="PN415" s="93"/>
      <c r="PO415" s="93"/>
      <c r="PP415" s="93"/>
      <c r="PQ415" s="93"/>
      <c r="PR415" s="93"/>
      <c r="PS415" s="93"/>
      <c r="PT415" s="93"/>
      <c r="PU415" s="93"/>
      <c r="PV415" s="93"/>
      <c r="PW415" s="93"/>
      <c r="PX415" s="93"/>
      <c r="PY415" s="93"/>
      <c r="PZ415" s="93"/>
      <c r="QA415" s="93"/>
      <c r="QB415" s="93"/>
      <c r="QC415" s="93"/>
      <c r="QD415" s="93"/>
      <c r="QE415" s="20"/>
      <c r="QF415" s="1739"/>
      <c r="QG415" s="19"/>
      <c r="QH415" s="93"/>
      <c r="QI415" s="93"/>
      <c r="QJ415" s="93"/>
      <c r="QK415" s="93"/>
      <c r="QL415" s="93"/>
      <c r="QM415" s="93"/>
      <c r="QN415" s="93"/>
      <c r="QO415" s="93"/>
      <c r="QP415" s="93"/>
      <c r="QQ415" s="93"/>
      <c r="QR415" s="93"/>
      <c r="QS415" s="93"/>
      <c r="QT415" s="93"/>
      <c r="QU415" s="93"/>
      <c r="QV415" s="93"/>
      <c r="QW415" s="93"/>
      <c r="QX415" s="93"/>
      <c r="QY415" s="93"/>
      <c r="QZ415" s="93"/>
      <c r="RA415" s="93"/>
      <c r="RB415" s="93"/>
      <c r="RC415" s="93"/>
      <c r="RD415" s="93"/>
      <c r="RE415" s="93"/>
      <c r="RF415" s="93"/>
      <c r="RG415" s="93"/>
      <c r="RH415" s="93"/>
      <c r="RI415" s="93"/>
      <c r="RJ415" s="93"/>
      <c r="RK415" s="93"/>
      <c r="RL415" s="93"/>
      <c r="RM415" s="20"/>
      <c r="RN415" s="29"/>
      <c r="RO415" s="19"/>
      <c r="RP415" s="20"/>
      <c r="RQ415" s="29"/>
      <c r="RR415" s="20"/>
      <c r="RS415" s="29"/>
      <c r="RT415" s="1504">
        <v>47088</v>
      </c>
      <c r="RU415" s="19"/>
      <c r="RV415" s="20"/>
      <c r="RW415" s="29"/>
      <c r="RX415" s="1504">
        <v>47088</v>
      </c>
      <c r="RY415" s="29"/>
      <c r="RZ415" s="20"/>
      <c r="SA415" s="29"/>
      <c r="SB415" s="29"/>
    </row>
    <row r="416" spans="1:496">
      <c r="A416" s="41">
        <f t="shared" ref="A416:A479" si="358">YEAR(B416)</f>
        <v>2029</v>
      </c>
      <c r="B416" s="1504">
        <v>47119</v>
      </c>
      <c r="C416" s="1813"/>
      <c r="D416" s="1814"/>
      <c r="E416" s="1814"/>
      <c r="F416" s="1815"/>
      <c r="G416" s="1814"/>
      <c r="H416" s="1814"/>
      <c r="I416" s="1814"/>
      <c r="J416" s="1816"/>
      <c r="K416" s="1807"/>
      <c r="L416" s="25"/>
      <c r="M416" s="97"/>
      <c r="N416" s="1504">
        <v>47119</v>
      </c>
      <c r="O416" s="19"/>
      <c r="P416" s="93"/>
      <c r="Q416" s="93"/>
      <c r="R416" s="93"/>
      <c r="S416" s="93"/>
      <c r="T416" s="93"/>
      <c r="U416" s="93"/>
      <c r="V416" s="93"/>
      <c r="W416" s="93"/>
      <c r="X416" s="93"/>
      <c r="Y416" s="93"/>
      <c r="Z416" s="93"/>
      <c r="AA416" s="93"/>
      <c r="AB416" s="20"/>
      <c r="AC416" s="25"/>
      <c r="AD416" s="97"/>
      <c r="AE416" s="1504">
        <v>47119</v>
      </c>
      <c r="AF416" s="19"/>
      <c r="AG416" s="93"/>
      <c r="AH416" s="93"/>
      <c r="AI416" s="93"/>
      <c r="AJ416" s="93"/>
      <c r="AK416" s="93"/>
      <c r="AL416" s="93"/>
      <c r="AM416" s="93"/>
      <c r="AN416" s="93"/>
      <c r="AO416" s="93"/>
      <c r="AP416" s="93"/>
      <c r="AQ416" s="93"/>
      <c r="AR416" s="93"/>
      <c r="AS416" s="20"/>
      <c r="AT416" s="25"/>
      <c r="AU416" s="97"/>
      <c r="AV416" s="1504">
        <v>47119</v>
      </c>
      <c r="AW416" s="19"/>
      <c r="AX416" s="93"/>
      <c r="AY416" s="93"/>
      <c r="AZ416" s="93"/>
      <c r="BA416" s="93"/>
      <c r="BB416" s="93"/>
      <c r="BC416" s="93"/>
      <c r="BD416" s="93"/>
      <c r="BE416" s="93"/>
      <c r="BF416" s="93"/>
      <c r="BG416" s="93"/>
      <c r="BH416" s="93"/>
      <c r="BI416" s="93"/>
      <c r="BJ416" s="20"/>
      <c r="BK416" s="25"/>
      <c r="BL416" s="97"/>
      <c r="BM416" s="1504">
        <v>47119</v>
      </c>
      <c r="BN416" s="19"/>
      <c r="BO416" s="93"/>
      <c r="BP416" s="93"/>
      <c r="BQ416" s="93"/>
      <c r="BR416" s="93"/>
      <c r="BS416" s="93"/>
      <c r="BT416" s="93"/>
      <c r="BU416" s="20"/>
      <c r="BV416" s="25"/>
      <c r="BW416" s="97"/>
      <c r="BX416" s="1504">
        <v>47119</v>
      </c>
      <c r="BY416" s="19"/>
      <c r="BZ416" s="93"/>
      <c r="CA416" s="93"/>
      <c r="CB416" s="93"/>
      <c r="CC416" s="93"/>
      <c r="CD416" s="25"/>
      <c r="CE416" s="97"/>
      <c r="CF416" s="1504">
        <v>47119</v>
      </c>
      <c r="CG416" s="19"/>
      <c r="CH416" s="93"/>
      <c r="CI416" s="219"/>
      <c r="CJ416" s="20"/>
      <c r="CK416" s="19"/>
      <c r="CL416" s="93"/>
      <c r="CM416" s="93"/>
      <c r="CN416" s="93"/>
      <c r="CO416" s="93"/>
      <c r="CP416" s="20"/>
      <c r="CQ416" s="219"/>
      <c r="CR416" s="93"/>
      <c r="CS416" s="93"/>
      <c r="CT416" s="93"/>
      <c r="CU416" s="93"/>
      <c r="CV416" s="214"/>
      <c r="CW416" s="29"/>
      <c r="CX416" s="41">
        <f t="shared" si="357"/>
        <v>2029</v>
      </c>
      <c r="CY416" s="1504">
        <v>47119</v>
      </c>
      <c r="CZ416" s="19"/>
      <c r="DA416" s="93"/>
      <c r="DB416" s="93"/>
      <c r="DC416" s="93"/>
      <c r="DD416" s="93"/>
      <c r="DE416" s="20"/>
      <c r="DF416" s="29"/>
      <c r="DG416" s="1504">
        <v>47119</v>
      </c>
      <c r="DH416" s="19"/>
      <c r="DI416" s="93"/>
      <c r="DJ416" s="93"/>
      <c r="DK416" s="93"/>
      <c r="DL416" s="93"/>
      <c r="DM416" s="93"/>
      <c r="DN416" s="20"/>
      <c r="DO416" s="295"/>
      <c r="DP416" s="29"/>
      <c r="DQ416" s="1504">
        <v>47119</v>
      </c>
      <c r="DR416" s="19"/>
      <c r="DS416" s="93"/>
      <c r="DT416" s="93"/>
      <c r="DU416" s="93"/>
      <c r="DV416" s="93"/>
      <c r="DW416" s="93"/>
      <c r="DX416" s="20"/>
      <c r="DY416" s="29"/>
      <c r="DZ416" s="1504">
        <v>47119</v>
      </c>
      <c r="EA416" s="19"/>
      <c r="EB416" s="93"/>
      <c r="EC416" s="20"/>
      <c r="ED416" s="29"/>
      <c r="EE416" s="1504">
        <v>47119</v>
      </c>
      <c r="EF416" s="19"/>
      <c r="EG416" s="93"/>
      <c r="EH416" s="93"/>
      <c r="EI416" s="214"/>
      <c r="EJ416" s="93"/>
      <c r="EK416" s="93"/>
      <c r="EL416" s="93"/>
      <c r="EM416" s="93"/>
      <c r="EN416" s="20"/>
      <c r="EO416" s="29"/>
      <c r="EP416" s="1504">
        <v>47119</v>
      </c>
      <c r="EQ416" s="19"/>
      <c r="ER416" s="93"/>
      <c r="ES416" s="93"/>
      <c r="ET416" s="214"/>
      <c r="EU416" s="93"/>
      <c r="EV416" s="93"/>
      <c r="EW416" s="93"/>
      <c r="EX416" s="93"/>
      <c r="EY416" s="20"/>
      <c r="EZ416" s="29"/>
      <c r="FA416" s="1504">
        <v>47119</v>
      </c>
      <c r="FB416" s="29"/>
      <c r="FC416" s="29"/>
      <c r="FD416" s="29"/>
      <c r="FE416" s="29"/>
      <c r="FF416" s="29"/>
      <c r="FG416" s="29"/>
      <c r="FH416" s="29"/>
      <c r="FI416" s="29"/>
      <c r="FJ416" s="29"/>
      <c r="FK416" s="29"/>
      <c r="FL416" s="1504">
        <v>47119</v>
      </c>
      <c r="FM416" s="19"/>
      <c r="FN416" s="93"/>
      <c r="FO416" s="93"/>
      <c r="FP416" s="93"/>
      <c r="FQ416" s="93"/>
      <c r="FR416" s="93"/>
      <c r="FS416" s="93"/>
      <c r="FT416" s="93"/>
      <c r="FU416" s="93"/>
      <c r="FV416" s="93"/>
      <c r="FW416" s="93"/>
      <c r="FX416" s="93"/>
      <c r="FY416" s="93"/>
      <c r="FZ416" s="29"/>
      <c r="GA416" s="1504">
        <v>47119</v>
      </c>
      <c r="GB416" s="19"/>
      <c r="GC416" s="93"/>
      <c r="GD416" s="93"/>
      <c r="GE416" s="93"/>
      <c r="GF416" s="93"/>
      <c r="GG416" s="93"/>
      <c r="GH416" s="93"/>
      <c r="GI416" s="93"/>
      <c r="GJ416" s="93"/>
      <c r="GK416" s="93"/>
      <c r="GL416" s="93"/>
      <c r="GM416" s="93"/>
      <c r="GN416" s="20"/>
      <c r="GO416" s="29"/>
      <c r="GP416" s="1504">
        <v>47119</v>
      </c>
      <c r="GQ416" s="19"/>
      <c r="GR416" s="93"/>
      <c r="GS416" s="93"/>
      <c r="GT416" s="93"/>
      <c r="GU416" s="93"/>
      <c r="GV416" s="20"/>
      <c r="GW416" s="19"/>
      <c r="GX416" s="93"/>
      <c r="GY416" s="93"/>
      <c r="GZ416" s="93"/>
      <c r="HA416" s="93"/>
      <c r="HB416" s="20"/>
      <c r="HC416" s="19"/>
      <c r="HD416" s="93"/>
      <c r="HE416" s="93"/>
      <c r="HF416" s="93"/>
      <c r="HG416" s="93"/>
      <c r="HH416" s="20"/>
      <c r="HI416" s="19"/>
      <c r="HJ416" s="93"/>
      <c r="HK416" s="93"/>
      <c r="HL416" s="93"/>
      <c r="HM416" s="93"/>
      <c r="HN416" s="20"/>
      <c r="HO416" s="219"/>
      <c r="HP416" s="20"/>
      <c r="HQ416" s="25"/>
      <c r="HR416" s="29"/>
      <c r="HS416" s="1504">
        <v>47119</v>
      </c>
      <c r="HT416" s="19"/>
      <c r="HU416" s="93"/>
      <c r="HV416" s="93"/>
      <c r="HW416" s="93"/>
      <c r="HX416" s="93"/>
      <c r="HY416" s="93"/>
      <c r="HZ416" s="93"/>
      <c r="IA416" s="20"/>
      <c r="IB416" s="19"/>
      <c r="IC416" s="93"/>
      <c r="ID416" s="93"/>
      <c r="IE416" s="93"/>
      <c r="IF416" s="93"/>
      <c r="IG416" s="20"/>
      <c r="IH416" s="19"/>
      <c r="II416" s="93"/>
      <c r="IJ416" s="93"/>
      <c r="IK416" s="93"/>
      <c r="IL416" s="93"/>
      <c r="IM416" s="93"/>
      <c r="IN416" s="93"/>
      <c r="IO416" s="20"/>
      <c r="IP416" s="29"/>
      <c r="IQ416" s="19"/>
      <c r="IR416" s="93"/>
      <c r="IS416" s="93"/>
      <c r="IT416" s="93"/>
      <c r="IU416" s="93"/>
      <c r="IV416" s="20"/>
      <c r="IW416" s="29"/>
      <c r="IX416" s="19"/>
      <c r="IY416" s="93"/>
      <c r="IZ416" s="93"/>
      <c r="JA416" s="93"/>
      <c r="JB416" s="93"/>
      <c r="JC416" s="93"/>
      <c r="JD416" s="93"/>
      <c r="JE416" s="20"/>
      <c r="JF416" s="29"/>
      <c r="JG416" s="19"/>
      <c r="JH416" s="93"/>
      <c r="JI416" s="93"/>
      <c r="JJ416" s="93"/>
      <c r="JK416" s="93"/>
      <c r="JL416" s="93"/>
      <c r="JM416" s="93"/>
      <c r="JN416" s="20"/>
      <c r="JO416" s="29"/>
      <c r="JP416" s="19"/>
      <c r="JQ416" s="93"/>
      <c r="JR416" s="93"/>
      <c r="JS416" s="93"/>
      <c r="JT416" s="93"/>
      <c r="JU416" s="20"/>
      <c r="JV416" s="29"/>
      <c r="JW416" s="1504">
        <v>47119</v>
      </c>
      <c r="JX416" s="19"/>
      <c r="JY416" s="93"/>
      <c r="JZ416" s="93"/>
      <c r="KA416" s="93"/>
      <c r="KB416" s="93"/>
      <c r="KC416" s="93"/>
      <c r="KD416" s="20"/>
      <c r="KE416" s="29"/>
      <c r="KF416" s="19"/>
      <c r="KG416" s="93"/>
      <c r="KH416" s="93"/>
      <c r="KI416" s="93"/>
      <c r="KJ416" s="93"/>
      <c r="KK416" s="20"/>
      <c r="KL416" s="29"/>
      <c r="KM416" s="19"/>
      <c r="KN416" s="93"/>
      <c r="KO416" s="93"/>
      <c r="KP416" s="93"/>
      <c r="KQ416" s="93"/>
      <c r="KR416" s="20"/>
      <c r="KS416" s="29"/>
      <c r="KT416" s="19"/>
      <c r="KU416" s="93"/>
      <c r="KV416" s="93"/>
      <c r="KW416" s="93"/>
      <c r="KX416" s="93"/>
      <c r="KY416" s="20"/>
      <c r="KZ416" s="29"/>
      <c r="LA416" s="1504">
        <v>47119</v>
      </c>
      <c r="LB416" s="19"/>
      <c r="LC416" s="93"/>
      <c r="LD416" s="93"/>
      <c r="LE416" s="93"/>
      <c r="LF416" s="93"/>
      <c r="LG416" s="93"/>
      <c r="LH416" s="20"/>
      <c r="LI416" s="29"/>
      <c r="LJ416" s="19"/>
      <c r="LK416" s="93"/>
      <c r="LL416" s="93"/>
      <c r="LM416" s="93"/>
      <c r="LN416" s="93"/>
      <c r="LO416" s="20"/>
      <c r="LP416" s="29"/>
      <c r="LQ416" s="19"/>
      <c r="LR416" s="93"/>
      <c r="LS416" s="93"/>
      <c r="LT416" s="93"/>
      <c r="LU416" s="93"/>
      <c r="LV416" s="93"/>
      <c r="LW416" s="93"/>
      <c r="LX416" s="93"/>
      <c r="LY416" s="93"/>
      <c r="LZ416" s="93"/>
      <c r="MA416" s="20"/>
      <c r="MB416" s="29"/>
      <c r="MC416" s="1504">
        <v>47119</v>
      </c>
      <c r="MD416" s="19"/>
      <c r="ME416" s="93"/>
      <c r="MF416" s="93"/>
      <c r="MG416" s="93"/>
      <c r="MH416" s="93"/>
      <c r="MI416" s="93"/>
      <c r="MJ416" s="93"/>
      <c r="MK416" s="93"/>
      <c r="ML416" s="93"/>
      <c r="MM416" s="93"/>
      <c r="MN416" s="93"/>
      <c r="MO416" s="93"/>
      <c r="MP416" s="93"/>
      <c r="MQ416" s="93"/>
      <c r="MR416" s="93"/>
      <c r="MS416" s="93"/>
      <c r="MT416" s="93"/>
      <c r="MU416" s="93"/>
      <c r="MV416" s="93"/>
      <c r="MW416" s="93"/>
      <c r="MX416" s="93"/>
      <c r="MY416" s="93"/>
      <c r="MZ416" s="93"/>
      <c r="NA416" s="93"/>
      <c r="NB416" s="93"/>
      <c r="NC416" s="93"/>
      <c r="ND416" s="93"/>
      <c r="NE416" s="93"/>
      <c r="NF416" s="93"/>
      <c r="NG416" s="93"/>
      <c r="NH416" s="93"/>
      <c r="NI416" s="93"/>
      <c r="NJ416" s="93"/>
      <c r="NK416" s="93"/>
      <c r="NL416" s="93"/>
      <c r="NM416" s="93"/>
      <c r="NN416" s="93"/>
      <c r="NO416" s="93"/>
      <c r="NP416" s="93"/>
      <c r="NQ416" s="93"/>
      <c r="NR416" s="93"/>
      <c r="NS416" s="93"/>
      <c r="NT416" s="93"/>
      <c r="NU416" s="93"/>
      <c r="NV416" s="93"/>
      <c r="NW416" s="93"/>
      <c r="NX416" s="93"/>
      <c r="NY416" s="93"/>
      <c r="NZ416" s="93"/>
      <c r="OA416" s="93"/>
      <c r="OB416" s="93"/>
      <c r="OC416" s="93"/>
      <c r="OD416" s="20"/>
      <c r="OE416" s="29"/>
      <c r="OF416" s="1504">
        <v>47119</v>
      </c>
      <c r="OG416" s="19"/>
      <c r="OH416" s="93"/>
      <c r="OI416" s="93"/>
      <c r="OJ416" s="93"/>
      <c r="OK416" s="93"/>
      <c r="OL416" s="93"/>
      <c r="OM416" s="93"/>
      <c r="ON416" s="93"/>
      <c r="OO416" s="93"/>
      <c r="OP416" s="93"/>
      <c r="OQ416" s="93"/>
      <c r="OR416" s="93"/>
      <c r="OS416" s="93"/>
      <c r="OT416" s="93"/>
      <c r="OU416" s="93"/>
      <c r="OV416" s="93"/>
      <c r="OW416" s="93"/>
      <c r="OX416" s="93"/>
      <c r="OY416" s="93"/>
      <c r="OZ416" s="93"/>
      <c r="PA416" s="93"/>
      <c r="PB416" s="93"/>
      <c r="PC416" s="20"/>
      <c r="PD416" s="29"/>
      <c r="PE416" s="19"/>
      <c r="PF416" s="93"/>
      <c r="PG416" s="93"/>
      <c r="PH416" s="93"/>
      <c r="PI416" s="93"/>
      <c r="PJ416" s="93"/>
      <c r="PK416" s="93"/>
      <c r="PL416" s="93"/>
      <c r="PM416" s="93"/>
      <c r="PN416" s="93"/>
      <c r="PO416" s="93"/>
      <c r="PP416" s="93"/>
      <c r="PQ416" s="93"/>
      <c r="PR416" s="93"/>
      <c r="PS416" s="93"/>
      <c r="PT416" s="93"/>
      <c r="PU416" s="93"/>
      <c r="PV416" s="93"/>
      <c r="PW416" s="93"/>
      <c r="PX416" s="93"/>
      <c r="PY416" s="93"/>
      <c r="PZ416" s="93"/>
      <c r="QA416" s="93"/>
      <c r="QB416" s="93"/>
      <c r="QC416" s="93"/>
      <c r="QD416" s="93"/>
      <c r="QE416" s="20"/>
      <c r="QF416" s="1739"/>
      <c r="QG416" s="19"/>
      <c r="QH416" s="93"/>
      <c r="QI416" s="93"/>
      <c r="QJ416" s="93"/>
      <c r="QK416" s="93"/>
      <c r="QL416" s="93"/>
      <c r="QM416" s="93"/>
      <c r="QN416" s="93"/>
      <c r="QO416" s="93"/>
      <c r="QP416" s="93"/>
      <c r="QQ416" s="93"/>
      <c r="QR416" s="93"/>
      <c r="QS416" s="93"/>
      <c r="QT416" s="93"/>
      <c r="QU416" s="93"/>
      <c r="QV416" s="93"/>
      <c r="QW416" s="93"/>
      <c r="QX416" s="93"/>
      <c r="QY416" s="93"/>
      <c r="QZ416" s="93"/>
      <c r="RA416" s="93"/>
      <c r="RB416" s="93"/>
      <c r="RC416" s="93"/>
      <c r="RD416" s="93"/>
      <c r="RE416" s="93"/>
      <c r="RF416" s="93"/>
      <c r="RG416" s="93"/>
      <c r="RH416" s="93"/>
      <c r="RI416" s="93"/>
      <c r="RJ416" s="93"/>
      <c r="RK416" s="93"/>
      <c r="RL416" s="93"/>
      <c r="RM416" s="20"/>
      <c r="RN416" s="29"/>
      <c r="RO416" s="19"/>
      <c r="RP416" s="20"/>
      <c r="RQ416" s="29"/>
      <c r="RR416" s="20"/>
      <c r="RS416" s="29"/>
      <c r="RT416" s="1504">
        <v>47119</v>
      </c>
      <c r="RU416" s="19"/>
      <c r="RV416" s="20"/>
      <c r="RW416" s="29"/>
      <c r="RX416" s="1504">
        <v>47119</v>
      </c>
      <c r="RY416" s="29"/>
      <c r="RZ416" s="20"/>
      <c r="SA416" s="29"/>
      <c r="SB416" s="29"/>
    </row>
    <row r="417" spans="1:496">
      <c r="A417" s="41">
        <f t="shared" si="358"/>
        <v>2029</v>
      </c>
      <c r="B417" s="1504">
        <v>47150</v>
      </c>
      <c r="C417" s="1813"/>
      <c r="D417" s="1814"/>
      <c r="E417" s="1814"/>
      <c r="F417" s="1815"/>
      <c r="G417" s="1814"/>
      <c r="H417" s="1814"/>
      <c r="I417" s="1814"/>
      <c r="J417" s="1816"/>
      <c r="K417" s="1807"/>
      <c r="L417" s="25"/>
      <c r="M417" s="97"/>
      <c r="N417" s="1504">
        <v>47150</v>
      </c>
      <c r="O417" s="19"/>
      <c r="P417" s="93"/>
      <c r="Q417" s="93"/>
      <c r="R417" s="93"/>
      <c r="S417" s="93"/>
      <c r="T417" s="93"/>
      <c r="U417" s="93"/>
      <c r="V417" s="93"/>
      <c r="W417" s="93"/>
      <c r="X417" s="93"/>
      <c r="Y417" s="93"/>
      <c r="Z417" s="93"/>
      <c r="AA417" s="93"/>
      <c r="AB417" s="20"/>
      <c r="AC417" s="25"/>
      <c r="AD417" s="97"/>
      <c r="AE417" s="1504">
        <v>47150</v>
      </c>
      <c r="AF417" s="19"/>
      <c r="AG417" s="93"/>
      <c r="AH417" s="93"/>
      <c r="AI417" s="93"/>
      <c r="AJ417" s="93"/>
      <c r="AK417" s="93"/>
      <c r="AL417" s="93"/>
      <c r="AM417" s="93"/>
      <c r="AN417" s="93"/>
      <c r="AO417" s="93"/>
      <c r="AP417" s="93"/>
      <c r="AQ417" s="93"/>
      <c r="AR417" s="93"/>
      <c r="AS417" s="20"/>
      <c r="AT417" s="25"/>
      <c r="AU417" s="97"/>
      <c r="AV417" s="1504">
        <v>47150</v>
      </c>
      <c r="AW417" s="19"/>
      <c r="AX417" s="93"/>
      <c r="AY417" s="93"/>
      <c r="AZ417" s="93"/>
      <c r="BA417" s="93"/>
      <c r="BB417" s="93"/>
      <c r="BC417" s="93"/>
      <c r="BD417" s="93"/>
      <c r="BE417" s="93"/>
      <c r="BF417" s="93"/>
      <c r="BG417" s="93"/>
      <c r="BH417" s="93"/>
      <c r="BI417" s="93"/>
      <c r="BJ417" s="20"/>
      <c r="BK417" s="25"/>
      <c r="BL417" s="97"/>
      <c r="BM417" s="1504">
        <v>47150</v>
      </c>
      <c r="BN417" s="19"/>
      <c r="BO417" s="93"/>
      <c r="BP417" s="93"/>
      <c r="BQ417" s="93"/>
      <c r="BR417" s="93"/>
      <c r="BS417" s="93"/>
      <c r="BT417" s="93"/>
      <c r="BU417" s="20"/>
      <c r="BV417" s="25"/>
      <c r="BW417" s="97"/>
      <c r="BX417" s="1504">
        <v>47150</v>
      </c>
      <c r="BY417" s="19"/>
      <c r="BZ417" s="93"/>
      <c r="CA417" s="93"/>
      <c r="CB417" s="93"/>
      <c r="CC417" s="93"/>
      <c r="CD417" s="25"/>
      <c r="CE417" s="97"/>
      <c r="CF417" s="1504">
        <v>47150</v>
      </c>
      <c r="CG417" s="19"/>
      <c r="CH417" s="93"/>
      <c r="CI417" s="219"/>
      <c r="CJ417" s="20"/>
      <c r="CK417" s="19"/>
      <c r="CL417" s="93"/>
      <c r="CM417" s="93"/>
      <c r="CN417" s="93"/>
      <c r="CO417" s="93"/>
      <c r="CP417" s="20"/>
      <c r="CQ417" s="219"/>
      <c r="CR417" s="93"/>
      <c r="CS417" s="93"/>
      <c r="CT417" s="93"/>
      <c r="CU417" s="93"/>
      <c r="CV417" s="214"/>
      <c r="CW417" s="29"/>
      <c r="CX417" s="41">
        <f t="shared" si="357"/>
        <v>2029</v>
      </c>
      <c r="CY417" s="1504">
        <v>47150</v>
      </c>
      <c r="CZ417" s="19"/>
      <c r="DA417" s="93"/>
      <c r="DB417" s="93"/>
      <c r="DC417" s="93"/>
      <c r="DD417" s="93"/>
      <c r="DE417" s="20"/>
      <c r="DF417" s="29"/>
      <c r="DG417" s="1504">
        <v>47150</v>
      </c>
      <c r="DH417" s="19"/>
      <c r="DI417" s="93"/>
      <c r="DJ417" s="93"/>
      <c r="DK417" s="93"/>
      <c r="DL417" s="93"/>
      <c r="DM417" s="93"/>
      <c r="DN417" s="20"/>
      <c r="DO417" s="295"/>
      <c r="DP417" s="29"/>
      <c r="DQ417" s="1504">
        <v>47150</v>
      </c>
      <c r="DR417" s="19"/>
      <c r="DS417" s="93"/>
      <c r="DT417" s="93"/>
      <c r="DU417" s="93"/>
      <c r="DV417" s="93"/>
      <c r="DW417" s="93"/>
      <c r="DX417" s="20"/>
      <c r="DY417" s="29"/>
      <c r="DZ417" s="1504">
        <v>47150</v>
      </c>
      <c r="EA417" s="19"/>
      <c r="EB417" s="93"/>
      <c r="EC417" s="20"/>
      <c r="ED417" s="29"/>
      <c r="EE417" s="1504">
        <v>47150</v>
      </c>
      <c r="EF417" s="19"/>
      <c r="EG417" s="93"/>
      <c r="EH417" s="93"/>
      <c r="EI417" s="214"/>
      <c r="EJ417" s="93"/>
      <c r="EK417" s="93"/>
      <c r="EL417" s="93"/>
      <c r="EM417" s="93"/>
      <c r="EN417" s="20"/>
      <c r="EO417" s="29"/>
      <c r="EP417" s="1504">
        <v>47150</v>
      </c>
      <c r="EQ417" s="19"/>
      <c r="ER417" s="93"/>
      <c r="ES417" s="93"/>
      <c r="ET417" s="214"/>
      <c r="EU417" s="93"/>
      <c r="EV417" s="93"/>
      <c r="EW417" s="93"/>
      <c r="EX417" s="93"/>
      <c r="EY417" s="20"/>
      <c r="EZ417" s="29"/>
      <c r="FA417" s="1504">
        <v>47150</v>
      </c>
      <c r="FB417" s="29"/>
      <c r="FC417" s="29"/>
      <c r="FD417" s="29"/>
      <c r="FE417" s="29"/>
      <c r="FF417" s="29"/>
      <c r="FG417" s="29"/>
      <c r="FH417" s="29"/>
      <c r="FI417" s="29"/>
      <c r="FJ417" s="29"/>
      <c r="FK417" s="29"/>
      <c r="FL417" s="1504">
        <v>47150</v>
      </c>
      <c r="FM417" s="19"/>
      <c r="FN417" s="93"/>
      <c r="FO417" s="93"/>
      <c r="FP417" s="93"/>
      <c r="FQ417" s="93"/>
      <c r="FR417" s="93"/>
      <c r="FS417" s="93"/>
      <c r="FT417" s="93"/>
      <c r="FU417" s="93"/>
      <c r="FV417" s="93"/>
      <c r="FW417" s="93"/>
      <c r="FX417" s="93"/>
      <c r="FY417" s="93"/>
      <c r="FZ417" s="29"/>
      <c r="GA417" s="1504">
        <v>47150</v>
      </c>
      <c r="GB417" s="19"/>
      <c r="GC417" s="93"/>
      <c r="GD417" s="93"/>
      <c r="GE417" s="93"/>
      <c r="GF417" s="93"/>
      <c r="GG417" s="93"/>
      <c r="GH417" s="93"/>
      <c r="GI417" s="93"/>
      <c r="GJ417" s="93"/>
      <c r="GK417" s="93"/>
      <c r="GL417" s="93"/>
      <c r="GM417" s="93"/>
      <c r="GN417" s="20"/>
      <c r="GO417" s="29"/>
      <c r="GP417" s="1504">
        <v>47150</v>
      </c>
      <c r="GQ417" s="19"/>
      <c r="GR417" s="93"/>
      <c r="GS417" s="93"/>
      <c r="GT417" s="93"/>
      <c r="GU417" s="93"/>
      <c r="GV417" s="20"/>
      <c r="GW417" s="19"/>
      <c r="GX417" s="93"/>
      <c r="GY417" s="93"/>
      <c r="GZ417" s="93"/>
      <c r="HA417" s="93"/>
      <c r="HB417" s="20"/>
      <c r="HC417" s="19"/>
      <c r="HD417" s="93"/>
      <c r="HE417" s="93"/>
      <c r="HF417" s="93"/>
      <c r="HG417" s="93"/>
      <c r="HH417" s="20"/>
      <c r="HI417" s="19"/>
      <c r="HJ417" s="93"/>
      <c r="HK417" s="93"/>
      <c r="HL417" s="93"/>
      <c r="HM417" s="93"/>
      <c r="HN417" s="20"/>
      <c r="HO417" s="219"/>
      <c r="HP417" s="20"/>
      <c r="HQ417" s="25"/>
      <c r="HR417" s="29"/>
      <c r="HS417" s="1504">
        <v>47150</v>
      </c>
      <c r="HT417" s="19"/>
      <c r="HU417" s="93"/>
      <c r="HV417" s="93"/>
      <c r="HW417" s="93"/>
      <c r="HX417" s="93"/>
      <c r="HY417" s="93"/>
      <c r="HZ417" s="93"/>
      <c r="IA417" s="20"/>
      <c r="IB417" s="19"/>
      <c r="IC417" s="93"/>
      <c r="ID417" s="93"/>
      <c r="IE417" s="93"/>
      <c r="IF417" s="93"/>
      <c r="IG417" s="20"/>
      <c r="IH417" s="19"/>
      <c r="II417" s="93"/>
      <c r="IJ417" s="93"/>
      <c r="IK417" s="93"/>
      <c r="IL417" s="93"/>
      <c r="IM417" s="93"/>
      <c r="IN417" s="93"/>
      <c r="IO417" s="20"/>
      <c r="IP417" s="29"/>
      <c r="IQ417" s="19"/>
      <c r="IR417" s="93"/>
      <c r="IS417" s="93"/>
      <c r="IT417" s="93"/>
      <c r="IU417" s="93"/>
      <c r="IV417" s="20"/>
      <c r="IW417" s="29"/>
      <c r="IX417" s="19"/>
      <c r="IY417" s="93"/>
      <c r="IZ417" s="93"/>
      <c r="JA417" s="93"/>
      <c r="JB417" s="93"/>
      <c r="JC417" s="93"/>
      <c r="JD417" s="93"/>
      <c r="JE417" s="20"/>
      <c r="JF417" s="29"/>
      <c r="JG417" s="19"/>
      <c r="JH417" s="93"/>
      <c r="JI417" s="93"/>
      <c r="JJ417" s="93"/>
      <c r="JK417" s="93"/>
      <c r="JL417" s="93"/>
      <c r="JM417" s="93"/>
      <c r="JN417" s="20"/>
      <c r="JO417" s="29"/>
      <c r="JP417" s="19"/>
      <c r="JQ417" s="93"/>
      <c r="JR417" s="93"/>
      <c r="JS417" s="93"/>
      <c r="JT417" s="93"/>
      <c r="JU417" s="20"/>
      <c r="JV417" s="29"/>
      <c r="JW417" s="1504">
        <v>47150</v>
      </c>
      <c r="JX417" s="19"/>
      <c r="JY417" s="93"/>
      <c r="JZ417" s="93"/>
      <c r="KA417" s="93"/>
      <c r="KB417" s="93"/>
      <c r="KC417" s="93"/>
      <c r="KD417" s="20"/>
      <c r="KE417" s="29"/>
      <c r="KF417" s="19"/>
      <c r="KG417" s="93"/>
      <c r="KH417" s="93"/>
      <c r="KI417" s="93"/>
      <c r="KJ417" s="93"/>
      <c r="KK417" s="20"/>
      <c r="KL417" s="29"/>
      <c r="KM417" s="19"/>
      <c r="KN417" s="93"/>
      <c r="KO417" s="93"/>
      <c r="KP417" s="93"/>
      <c r="KQ417" s="93"/>
      <c r="KR417" s="20"/>
      <c r="KS417" s="29"/>
      <c r="KT417" s="19"/>
      <c r="KU417" s="93"/>
      <c r="KV417" s="93"/>
      <c r="KW417" s="93"/>
      <c r="KX417" s="93"/>
      <c r="KY417" s="20"/>
      <c r="KZ417" s="29"/>
      <c r="LA417" s="1504">
        <v>47150</v>
      </c>
      <c r="LB417" s="19"/>
      <c r="LC417" s="93"/>
      <c r="LD417" s="93"/>
      <c r="LE417" s="93"/>
      <c r="LF417" s="93"/>
      <c r="LG417" s="93"/>
      <c r="LH417" s="20"/>
      <c r="LI417" s="29"/>
      <c r="LJ417" s="19"/>
      <c r="LK417" s="93"/>
      <c r="LL417" s="93"/>
      <c r="LM417" s="93"/>
      <c r="LN417" s="93"/>
      <c r="LO417" s="20"/>
      <c r="LP417" s="29"/>
      <c r="LQ417" s="19"/>
      <c r="LR417" s="93"/>
      <c r="LS417" s="93"/>
      <c r="LT417" s="93"/>
      <c r="LU417" s="93"/>
      <c r="LV417" s="93"/>
      <c r="LW417" s="93"/>
      <c r="LX417" s="93"/>
      <c r="LY417" s="93"/>
      <c r="LZ417" s="93"/>
      <c r="MA417" s="20"/>
      <c r="MB417" s="29"/>
      <c r="MC417" s="1504">
        <v>47150</v>
      </c>
      <c r="MD417" s="19"/>
      <c r="ME417" s="93"/>
      <c r="MF417" s="93"/>
      <c r="MG417" s="93"/>
      <c r="MH417" s="93"/>
      <c r="MI417" s="93"/>
      <c r="MJ417" s="93"/>
      <c r="MK417" s="93"/>
      <c r="ML417" s="93"/>
      <c r="MM417" s="93"/>
      <c r="MN417" s="93"/>
      <c r="MO417" s="93"/>
      <c r="MP417" s="93"/>
      <c r="MQ417" s="93"/>
      <c r="MR417" s="93"/>
      <c r="MS417" s="93"/>
      <c r="MT417" s="93"/>
      <c r="MU417" s="93"/>
      <c r="MV417" s="93"/>
      <c r="MW417" s="93"/>
      <c r="MX417" s="93"/>
      <c r="MY417" s="93"/>
      <c r="MZ417" s="93"/>
      <c r="NA417" s="93"/>
      <c r="NB417" s="93"/>
      <c r="NC417" s="93"/>
      <c r="ND417" s="93"/>
      <c r="NE417" s="93"/>
      <c r="NF417" s="93"/>
      <c r="NG417" s="93"/>
      <c r="NH417" s="93"/>
      <c r="NI417" s="93"/>
      <c r="NJ417" s="93"/>
      <c r="NK417" s="93"/>
      <c r="NL417" s="93"/>
      <c r="NM417" s="93"/>
      <c r="NN417" s="93"/>
      <c r="NO417" s="93"/>
      <c r="NP417" s="93"/>
      <c r="NQ417" s="93"/>
      <c r="NR417" s="93"/>
      <c r="NS417" s="93"/>
      <c r="NT417" s="93"/>
      <c r="NU417" s="93"/>
      <c r="NV417" s="93"/>
      <c r="NW417" s="93"/>
      <c r="NX417" s="93"/>
      <c r="NY417" s="93"/>
      <c r="NZ417" s="93"/>
      <c r="OA417" s="93"/>
      <c r="OB417" s="93"/>
      <c r="OC417" s="93"/>
      <c r="OD417" s="20"/>
      <c r="OE417" s="29"/>
      <c r="OF417" s="1504">
        <v>47150</v>
      </c>
      <c r="OG417" s="19"/>
      <c r="OH417" s="93"/>
      <c r="OI417" s="93"/>
      <c r="OJ417" s="93"/>
      <c r="OK417" s="93"/>
      <c r="OL417" s="93"/>
      <c r="OM417" s="93"/>
      <c r="ON417" s="93"/>
      <c r="OO417" s="93"/>
      <c r="OP417" s="93"/>
      <c r="OQ417" s="93"/>
      <c r="OR417" s="93"/>
      <c r="OS417" s="93"/>
      <c r="OT417" s="93"/>
      <c r="OU417" s="93"/>
      <c r="OV417" s="93"/>
      <c r="OW417" s="93"/>
      <c r="OX417" s="93"/>
      <c r="OY417" s="93"/>
      <c r="OZ417" s="93"/>
      <c r="PA417" s="93"/>
      <c r="PB417" s="93"/>
      <c r="PC417" s="20"/>
      <c r="PD417" s="29"/>
      <c r="PE417" s="19"/>
      <c r="PF417" s="93"/>
      <c r="PG417" s="93"/>
      <c r="PH417" s="93"/>
      <c r="PI417" s="93"/>
      <c r="PJ417" s="93"/>
      <c r="PK417" s="93"/>
      <c r="PL417" s="93"/>
      <c r="PM417" s="93"/>
      <c r="PN417" s="93"/>
      <c r="PO417" s="93"/>
      <c r="PP417" s="93"/>
      <c r="PQ417" s="93"/>
      <c r="PR417" s="93"/>
      <c r="PS417" s="93"/>
      <c r="PT417" s="93"/>
      <c r="PU417" s="93"/>
      <c r="PV417" s="93"/>
      <c r="PW417" s="93"/>
      <c r="PX417" s="93"/>
      <c r="PY417" s="93"/>
      <c r="PZ417" s="93"/>
      <c r="QA417" s="93"/>
      <c r="QB417" s="93"/>
      <c r="QC417" s="93"/>
      <c r="QD417" s="93"/>
      <c r="QE417" s="20"/>
      <c r="QF417" s="1739"/>
      <c r="QG417" s="19"/>
      <c r="QH417" s="93"/>
      <c r="QI417" s="93"/>
      <c r="QJ417" s="93"/>
      <c r="QK417" s="93"/>
      <c r="QL417" s="93"/>
      <c r="QM417" s="93"/>
      <c r="QN417" s="93"/>
      <c r="QO417" s="93"/>
      <c r="QP417" s="93"/>
      <c r="QQ417" s="93"/>
      <c r="QR417" s="93"/>
      <c r="QS417" s="93"/>
      <c r="QT417" s="93"/>
      <c r="QU417" s="93"/>
      <c r="QV417" s="93"/>
      <c r="QW417" s="93"/>
      <c r="QX417" s="93"/>
      <c r="QY417" s="93"/>
      <c r="QZ417" s="93"/>
      <c r="RA417" s="93"/>
      <c r="RB417" s="93"/>
      <c r="RC417" s="93"/>
      <c r="RD417" s="93"/>
      <c r="RE417" s="93"/>
      <c r="RF417" s="93"/>
      <c r="RG417" s="93"/>
      <c r="RH417" s="93"/>
      <c r="RI417" s="93"/>
      <c r="RJ417" s="93"/>
      <c r="RK417" s="93"/>
      <c r="RL417" s="93"/>
      <c r="RM417" s="20"/>
      <c r="RN417" s="29"/>
      <c r="RO417" s="19"/>
      <c r="RP417" s="20"/>
      <c r="RQ417" s="29"/>
      <c r="RR417" s="20"/>
      <c r="RS417" s="29"/>
      <c r="RT417" s="1504">
        <v>47150</v>
      </c>
      <c r="RU417" s="19"/>
      <c r="RV417" s="20"/>
      <c r="RW417" s="29"/>
      <c r="RX417" s="1504">
        <v>47150</v>
      </c>
      <c r="RY417" s="29"/>
      <c r="RZ417" s="20"/>
      <c r="SA417" s="29"/>
      <c r="SB417" s="29"/>
    </row>
    <row r="418" spans="1:496">
      <c r="A418" s="41">
        <f t="shared" si="358"/>
        <v>2029</v>
      </c>
      <c r="B418" s="1504">
        <v>47178</v>
      </c>
      <c r="C418" s="1813"/>
      <c r="D418" s="1814"/>
      <c r="E418" s="1814"/>
      <c r="F418" s="1815"/>
      <c r="G418" s="1814"/>
      <c r="H418" s="1814"/>
      <c r="I418" s="1814"/>
      <c r="J418" s="1816"/>
      <c r="K418" s="1807"/>
      <c r="L418" s="25"/>
      <c r="M418" s="97"/>
      <c r="N418" s="1504">
        <v>47178</v>
      </c>
      <c r="O418" s="19"/>
      <c r="P418" s="93"/>
      <c r="Q418" s="93"/>
      <c r="R418" s="93"/>
      <c r="S418" s="93"/>
      <c r="T418" s="93"/>
      <c r="U418" s="93"/>
      <c r="V418" s="93"/>
      <c r="W418" s="93"/>
      <c r="X418" s="93"/>
      <c r="Y418" s="93"/>
      <c r="Z418" s="93"/>
      <c r="AA418" s="93"/>
      <c r="AB418" s="20"/>
      <c r="AC418" s="25"/>
      <c r="AD418" s="97"/>
      <c r="AE418" s="1504">
        <v>47178</v>
      </c>
      <c r="AF418" s="19"/>
      <c r="AG418" s="93"/>
      <c r="AH418" s="93"/>
      <c r="AI418" s="93"/>
      <c r="AJ418" s="93"/>
      <c r="AK418" s="93"/>
      <c r="AL418" s="93"/>
      <c r="AM418" s="93"/>
      <c r="AN418" s="93"/>
      <c r="AO418" s="93"/>
      <c r="AP418" s="93"/>
      <c r="AQ418" s="93"/>
      <c r="AR418" s="93"/>
      <c r="AS418" s="20"/>
      <c r="AT418" s="25"/>
      <c r="AU418" s="97"/>
      <c r="AV418" s="1504">
        <v>47178</v>
      </c>
      <c r="AW418" s="19"/>
      <c r="AX418" s="93"/>
      <c r="AY418" s="93"/>
      <c r="AZ418" s="93"/>
      <c r="BA418" s="93"/>
      <c r="BB418" s="93"/>
      <c r="BC418" s="93"/>
      <c r="BD418" s="93"/>
      <c r="BE418" s="93"/>
      <c r="BF418" s="93"/>
      <c r="BG418" s="93"/>
      <c r="BH418" s="93"/>
      <c r="BI418" s="93"/>
      <c r="BJ418" s="20"/>
      <c r="BK418" s="25"/>
      <c r="BL418" s="97"/>
      <c r="BM418" s="1504">
        <v>47178</v>
      </c>
      <c r="BN418" s="19"/>
      <c r="BO418" s="93"/>
      <c r="BP418" s="93"/>
      <c r="BQ418" s="93"/>
      <c r="BR418" s="93"/>
      <c r="BS418" s="93"/>
      <c r="BT418" s="93"/>
      <c r="BU418" s="20"/>
      <c r="BV418" s="25"/>
      <c r="BW418" s="97"/>
      <c r="BX418" s="1504">
        <v>47178</v>
      </c>
      <c r="BY418" s="19"/>
      <c r="BZ418" s="93"/>
      <c r="CA418" s="93"/>
      <c r="CB418" s="93"/>
      <c r="CC418" s="93"/>
      <c r="CD418" s="25"/>
      <c r="CE418" s="97"/>
      <c r="CF418" s="1504">
        <v>47178</v>
      </c>
      <c r="CG418" s="19"/>
      <c r="CH418" s="93"/>
      <c r="CI418" s="219"/>
      <c r="CJ418" s="20"/>
      <c r="CK418" s="19"/>
      <c r="CL418" s="93"/>
      <c r="CM418" s="93"/>
      <c r="CN418" s="93"/>
      <c r="CO418" s="93"/>
      <c r="CP418" s="20"/>
      <c r="CQ418" s="219"/>
      <c r="CR418" s="93"/>
      <c r="CS418" s="93"/>
      <c r="CT418" s="93"/>
      <c r="CU418" s="93"/>
      <c r="CV418" s="214"/>
      <c r="CW418" s="29"/>
      <c r="CX418" s="41">
        <f t="shared" si="357"/>
        <v>2029</v>
      </c>
      <c r="CY418" s="1504">
        <v>47178</v>
      </c>
      <c r="CZ418" s="19"/>
      <c r="DA418" s="93"/>
      <c r="DB418" s="93"/>
      <c r="DC418" s="93"/>
      <c r="DD418" s="93"/>
      <c r="DE418" s="20"/>
      <c r="DF418" s="29"/>
      <c r="DG418" s="1504">
        <v>47178</v>
      </c>
      <c r="DH418" s="19"/>
      <c r="DI418" s="93"/>
      <c r="DJ418" s="93"/>
      <c r="DK418" s="93"/>
      <c r="DL418" s="93"/>
      <c r="DM418" s="93"/>
      <c r="DN418" s="20"/>
      <c r="DO418" s="295"/>
      <c r="DP418" s="29"/>
      <c r="DQ418" s="1504">
        <v>47178</v>
      </c>
      <c r="DR418" s="19"/>
      <c r="DS418" s="93"/>
      <c r="DT418" s="93"/>
      <c r="DU418" s="93"/>
      <c r="DV418" s="93"/>
      <c r="DW418" s="93"/>
      <c r="DX418" s="20"/>
      <c r="DY418" s="29"/>
      <c r="DZ418" s="1504">
        <v>47178</v>
      </c>
      <c r="EA418" s="19"/>
      <c r="EB418" s="93"/>
      <c r="EC418" s="20"/>
      <c r="ED418" s="29"/>
      <c r="EE418" s="1504">
        <v>47178</v>
      </c>
      <c r="EF418" s="19"/>
      <c r="EG418" s="93"/>
      <c r="EH418" s="93"/>
      <c r="EI418" s="214"/>
      <c r="EJ418" s="93"/>
      <c r="EK418" s="93"/>
      <c r="EL418" s="93"/>
      <c r="EM418" s="93"/>
      <c r="EN418" s="20"/>
      <c r="EO418" s="29"/>
      <c r="EP418" s="1504">
        <v>47178</v>
      </c>
      <c r="EQ418" s="19"/>
      <c r="ER418" s="93"/>
      <c r="ES418" s="93"/>
      <c r="ET418" s="214"/>
      <c r="EU418" s="93"/>
      <c r="EV418" s="93"/>
      <c r="EW418" s="93"/>
      <c r="EX418" s="93"/>
      <c r="EY418" s="20"/>
      <c r="EZ418" s="29"/>
      <c r="FA418" s="1504">
        <v>47178</v>
      </c>
      <c r="FB418" s="29"/>
      <c r="FC418" s="29"/>
      <c r="FD418" s="29"/>
      <c r="FE418" s="29"/>
      <c r="FF418" s="29"/>
      <c r="FG418" s="29"/>
      <c r="FH418" s="29"/>
      <c r="FI418" s="29"/>
      <c r="FJ418" s="29"/>
      <c r="FK418" s="29"/>
      <c r="FL418" s="1504">
        <v>47178</v>
      </c>
      <c r="FM418" s="19"/>
      <c r="FN418" s="93"/>
      <c r="FO418" s="93"/>
      <c r="FP418" s="93"/>
      <c r="FQ418" s="93"/>
      <c r="FR418" s="93"/>
      <c r="FS418" s="93"/>
      <c r="FT418" s="93"/>
      <c r="FU418" s="93"/>
      <c r="FV418" s="93"/>
      <c r="FW418" s="93"/>
      <c r="FX418" s="93"/>
      <c r="FY418" s="93"/>
      <c r="FZ418" s="29"/>
      <c r="GA418" s="1504">
        <v>47178</v>
      </c>
      <c r="GB418" s="19"/>
      <c r="GC418" s="93"/>
      <c r="GD418" s="93"/>
      <c r="GE418" s="93"/>
      <c r="GF418" s="93"/>
      <c r="GG418" s="93"/>
      <c r="GH418" s="93"/>
      <c r="GI418" s="93"/>
      <c r="GJ418" s="93"/>
      <c r="GK418" s="93"/>
      <c r="GL418" s="93"/>
      <c r="GM418" s="93"/>
      <c r="GN418" s="20"/>
      <c r="GO418" s="29"/>
      <c r="GP418" s="1504">
        <v>47178</v>
      </c>
      <c r="GQ418" s="19"/>
      <c r="GR418" s="93"/>
      <c r="GS418" s="93"/>
      <c r="GT418" s="93"/>
      <c r="GU418" s="93"/>
      <c r="GV418" s="20"/>
      <c r="GW418" s="19"/>
      <c r="GX418" s="93"/>
      <c r="GY418" s="93"/>
      <c r="GZ418" s="93"/>
      <c r="HA418" s="93"/>
      <c r="HB418" s="20"/>
      <c r="HC418" s="19"/>
      <c r="HD418" s="93"/>
      <c r="HE418" s="93"/>
      <c r="HF418" s="93"/>
      <c r="HG418" s="93"/>
      <c r="HH418" s="20"/>
      <c r="HI418" s="19"/>
      <c r="HJ418" s="93"/>
      <c r="HK418" s="93"/>
      <c r="HL418" s="93"/>
      <c r="HM418" s="93"/>
      <c r="HN418" s="20"/>
      <c r="HO418" s="219"/>
      <c r="HP418" s="20"/>
      <c r="HQ418" s="25"/>
      <c r="HR418" s="29"/>
      <c r="HS418" s="1504">
        <v>47178</v>
      </c>
      <c r="HT418" s="19"/>
      <c r="HU418" s="93"/>
      <c r="HV418" s="93"/>
      <c r="HW418" s="93"/>
      <c r="HX418" s="93"/>
      <c r="HY418" s="93"/>
      <c r="HZ418" s="93"/>
      <c r="IA418" s="20"/>
      <c r="IB418" s="19"/>
      <c r="IC418" s="93"/>
      <c r="ID418" s="93"/>
      <c r="IE418" s="93"/>
      <c r="IF418" s="93"/>
      <c r="IG418" s="20"/>
      <c r="IH418" s="19"/>
      <c r="II418" s="93"/>
      <c r="IJ418" s="93"/>
      <c r="IK418" s="93"/>
      <c r="IL418" s="93"/>
      <c r="IM418" s="93"/>
      <c r="IN418" s="93"/>
      <c r="IO418" s="20"/>
      <c r="IP418" s="29"/>
      <c r="IQ418" s="19"/>
      <c r="IR418" s="93"/>
      <c r="IS418" s="93"/>
      <c r="IT418" s="93"/>
      <c r="IU418" s="93"/>
      <c r="IV418" s="20"/>
      <c r="IW418" s="29"/>
      <c r="IX418" s="19"/>
      <c r="IY418" s="93"/>
      <c r="IZ418" s="93"/>
      <c r="JA418" s="93"/>
      <c r="JB418" s="93"/>
      <c r="JC418" s="93"/>
      <c r="JD418" s="93"/>
      <c r="JE418" s="20"/>
      <c r="JF418" s="29"/>
      <c r="JG418" s="19"/>
      <c r="JH418" s="93"/>
      <c r="JI418" s="93"/>
      <c r="JJ418" s="93"/>
      <c r="JK418" s="93"/>
      <c r="JL418" s="93"/>
      <c r="JM418" s="93"/>
      <c r="JN418" s="20"/>
      <c r="JO418" s="29"/>
      <c r="JP418" s="19"/>
      <c r="JQ418" s="93"/>
      <c r="JR418" s="93"/>
      <c r="JS418" s="93"/>
      <c r="JT418" s="93"/>
      <c r="JU418" s="20"/>
      <c r="JV418" s="29"/>
      <c r="JW418" s="1504">
        <v>47178</v>
      </c>
      <c r="JX418" s="19"/>
      <c r="JY418" s="93"/>
      <c r="JZ418" s="93"/>
      <c r="KA418" s="93"/>
      <c r="KB418" s="93"/>
      <c r="KC418" s="93"/>
      <c r="KD418" s="20"/>
      <c r="KE418" s="29"/>
      <c r="KF418" s="19"/>
      <c r="KG418" s="93"/>
      <c r="KH418" s="93"/>
      <c r="KI418" s="93"/>
      <c r="KJ418" s="93"/>
      <c r="KK418" s="20"/>
      <c r="KL418" s="29"/>
      <c r="KM418" s="19"/>
      <c r="KN418" s="93"/>
      <c r="KO418" s="93"/>
      <c r="KP418" s="93"/>
      <c r="KQ418" s="93"/>
      <c r="KR418" s="20"/>
      <c r="KS418" s="29"/>
      <c r="KT418" s="19"/>
      <c r="KU418" s="93"/>
      <c r="KV418" s="93"/>
      <c r="KW418" s="93"/>
      <c r="KX418" s="93"/>
      <c r="KY418" s="20"/>
      <c r="KZ418" s="29"/>
      <c r="LA418" s="1504">
        <v>47178</v>
      </c>
      <c r="LB418" s="19"/>
      <c r="LC418" s="93"/>
      <c r="LD418" s="93"/>
      <c r="LE418" s="93"/>
      <c r="LF418" s="93"/>
      <c r="LG418" s="93"/>
      <c r="LH418" s="20"/>
      <c r="LI418" s="29"/>
      <c r="LJ418" s="19"/>
      <c r="LK418" s="93"/>
      <c r="LL418" s="93"/>
      <c r="LM418" s="93"/>
      <c r="LN418" s="93"/>
      <c r="LO418" s="20"/>
      <c r="LP418" s="29"/>
      <c r="LQ418" s="19"/>
      <c r="LR418" s="93"/>
      <c r="LS418" s="93"/>
      <c r="LT418" s="93"/>
      <c r="LU418" s="93"/>
      <c r="LV418" s="93"/>
      <c r="LW418" s="93"/>
      <c r="LX418" s="93"/>
      <c r="LY418" s="93"/>
      <c r="LZ418" s="93"/>
      <c r="MA418" s="20"/>
      <c r="MB418" s="29"/>
      <c r="MC418" s="1504">
        <v>47178</v>
      </c>
      <c r="MD418" s="19"/>
      <c r="ME418" s="93"/>
      <c r="MF418" s="93"/>
      <c r="MG418" s="93"/>
      <c r="MH418" s="93"/>
      <c r="MI418" s="93"/>
      <c r="MJ418" s="93"/>
      <c r="MK418" s="93"/>
      <c r="ML418" s="93"/>
      <c r="MM418" s="93"/>
      <c r="MN418" s="93"/>
      <c r="MO418" s="93"/>
      <c r="MP418" s="93"/>
      <c r="MQ418" s="93"/>
      <c r="MR418" s="93"/>
      <c r="MS418" s="93"/>
      <c r="MT418" s="93"/>
      <c r="MU418" s="93"/>
      <c r="MV418" s="93"/>
      <c r="MW418" s="93"/>
      <c r="MX418" s="93"/>
      <c r="MY418" s="93"/>
      <c r="MZ418" s="93"/>
      <c r="NA418" s="93"/>
      <c r="NB418" s="93"/>
      <c r="NC418" s="93"/>
      <c r="ND418" s="93"/>
      <c r="NE418" s="93"/>
      <c r="NF418" s="93"/>
      <c r="NG418" s="93"/>
      <c r="NH418" s="93"/>
      <c r="NI418" s="93"/>
      <c r="NJ418" s="93"/>
      <c r="NK418" s="93"/>
      <c r="NL418" s="93"/>
      <c r="NM418" s="93"/>
      <c r="NN418" s="93"/>
      <c r="NO418" s="93"/>
      <c r="NP418" s="93"/>
      <c r="NQ418" s="93"/>
      <c r="NR418" s="93"/>
      <c r="NS418" s="93"/>
      <c r="NT418" s="93"/>
      <c r="NU418" s="93"/>
      <c r="NV418" s="93"/>
      <c r="NW418" s="93"/>
      <c r="NX418" s="93"/>
      <c r="NY418" s="93"/>
      <c r="NZ418" s="93"/>
      <c r="OA418" s="93"/>
      <c r="OB418" s="93"/>
      <c r="OC418" s="93"/>
      <c r="OD418" s="20"/>
      <c r="OE418" s="29"/>
      <c r="OF418" s="1504">
        <v>47178</v>
      </c>
      <c r="OG418" s="19"/>
      <c r="OH418" s="93"/>
      <c r="OI418" s="93"/>
      <c r="OJ418" s="93"/>
      <c r="OK418" s="93"/>
      <c r="OL418" s="93"/>
      <c r="OM418" s="93"/>
      <c r="ON418" s="93"/>
      <c r="OO418" s="93"/>
      <c r="OP418" s="93"/>
      <c r="OQ418" s="93"/>
      <c r="OR418" s="93"/>
      <c r="OS418" s="93"/>
      <c r="OT418" s="93"/>
      <c r="OU418" s="93"/>
      <c r="OV418" s="93"/>
      <c r="OW418" s="93"/>
      <c r="OX418" s="93"/>
      <c r="OY418" s="93"/>
      <c r="OZ418" s="93"/>
      <c r="PA418" s="93"/>
      <c r="PB418" s="93"/>
      <c r="PC418" s="20"/>
      <c r="PD418" s="29"/>
      <c r="PE418" s="19"/>
      <c r="PF418" s="93"/>
      <c r="PG418" s="93"/>
      <c r="PH418" s="93"/>
      <c r="PI418" s="93"/>
      <c r="PJ418" s="93"/>
      <c r="PK418" s="93"/>
      <c r="PL418" s="93"/>
      <c r="PM418" s="93"/>
      <c r="PN418" s="93"/>
      <c r="PO418" s="93"/>
      <c r="PP418" s="93"/>
      <c r="PQ418" s="93"/>
      <c r="PR418" s="93"/>
      <c r="PS418" s="93"/>
      <c r="PT418" s="93"/>
      <c r="PU418" s="93"/>
      <c r="PV418" s="93"/>
      <c r="PW418" s="93"/>
      <c r="PX418" s="93"/>
      <c r="PY418" s="93"/>
      <c r="PZ418" s="93"/>
      <c r="QA418" s="93"/>
      <c r="QB418" s="93"/>
      <c r="QC418" s="93"/>
      <c r="QD418" s="93"/>
      <c r="QE418" s="20"/>
      <c r="QF418" s="1739"/>
      <c r="QG418" s="19"/>
      <c r="QH418" s="93"/>
      <c r="QI418" s="93"/>
      <c r="QJ418" s="93"/>
      <c r="QK418" s="93"/>
      <c r="QL418" s="93"/>
      <c r="QM418" s="93"/>
      <c r="QN418" s="93"/>
      <c r="QO418" s="93"/>
      <c r="QP418" s="93"/>
      <c r="QQ418" s="93"/>
      <c r="QR418" s="93"/>
      <c r="QS418" s="93"/>
      <c r="QT418" s="93"/>
      <c r="QU418" s="93"/>
      <c r="QV418" s="93"/>
      <c r="QW418" s="93"/>
      <c r="QX418" s="93"/>
      <c r="QY418" s="93"/>
      <c r="QZ418" s="93"/>
      <c r="RA418" s="93"/>
      <c r="RB418" s="93"/>
      <c r="RC418" s="93"/>
      <c r="RD418" s="93"/>
      <c r="RE418" s="93"/>
      <c r="RF418" s="93"/>
      <c r="RG418" s="93"/>
      <c r="RH418" s="93"/>
      <c r="RI418" s="93"/>
      <c r="RJ418" s="93"/>
      <c r="RK418" s="93"/>
      <c r="RL418" s="93"/>
      <c r="RM418" s="20"/>
      <c r="RN418" s="29"/>
      <c r="RO418" s="19"/>
      <c r="RP418" s="20"/>
      <c r="RQ418" s="29"/>
      <c r="RR418" s="20"/>
      <c r="RS418" s="29"/>
      <c r="RT418" s="1504">
        <v>47178</v>
      </c>
      <c r="RU418" s="19"/>
      <c r="RV418" s="20"/>
      <c r="RW418" s="29"/>
      <c r="RX418" s="1504">
        <v>47178</v>
      </c>
      <c r="RY418" s="29"/>
      <c r="RZ418" s="20"/>
      <c r="SA418" s="29"/>
      <c r="SB418" s="29"/>
    </row>
    <row r="419" spans="1:496">
      <c r="A419" s="41">
        <f t="shared" si="358"/>
        <v>2029</v>
      </c>
      <c r="B419" s="1504">
        <v>47209</v>
      </c>
      <c r="C419" s="1813"/>
      <c r="D419" s="1814"/>
      <c r="E419" s="1814"/>
      <c r="F419" s="1815"/>
      <c r="G419" s="1814"/>
      <c r="H419" s="1814"/>
      <c r="I419" s="1814"/>
      <c r="J419" s="1816"/>
      <c r="K419" s="1807"/>
      <c r="L419" s="25"/>
      <c r="M419" s="97"/>
      <c r="N419" s="1504">
        <v>47209</v>
      </c>
      <c r="O419" s="19"/>
      <c r="P419" s="93"/>
      <c r="Q419" s="93"/>
      <c r="R419" s="93"/>
      <c r="S419" s="93"/>
      <c r="T419" s="93"/>
      <c r="U419" s="93"/>
      <c r="V419" s="93"/>
      <c r="W419" s="93"/>
      <c r="X419" s="93"/>
      <c r="Y419" s="93"/>
      <c r="Z419" s="93"/>
      <c r="AA419" s="93"/>
      <c r="AB419" s="20"/>
      <c r="AC419" s="25"/>
      <c r="AD419" s="97"/>
      <c r="AE419" s="1504">
        <v>47209</v>
      </c>
      <c r="AF419" s="19"/>
      <c r="AG419" s="93"/>
      <c r="AH419" s="93"/>
      <c r="AI419" s="93"/>
      <c r="AJ419" s="93"/>
      <c r="AK419" s="93"/>
      <c r="AL419" s="93"/>
      <c r="AM419" s="93"/>
      <c r="AN419" s="93"/>
      <c r="AO419" s="93"/>
      <c r="AP419" s="93"/>
      <c r="AQ419" s="93"/>
      <c r="AR419" s="93"/>
      <c r="AS419" s="20"/>
      <c r="AT419" s="25"/>
      <c r="AU419" s="97"/>
      <c r="AV419" s="1504">
        <v>47209</v>
      </c>
      <c r="AW419" s="19"/>
      <c r="AX419" s="93"/>
      <c r="AY419" s="93"/>
      <c r="AZ419" s="93"/>
      <c r="BA419" s="93"/>
      <c r="BB419" s="93"/>
      <c r="BC419" s="93"/>
      <c r="BD419" s="93"/>
      <c r="BE419" s="93"/>
      <c r="BF419" s="93"/>
      <c r="BG419" s="93"/>
      <c r="BH419" s="93"/>
      <c r="BI419" s="93"/>
      <c r="BJ419" s="20"/>
      <c r="BK419" s="25"/>
      <c r="BL419" s="97"/>
      <c r="BM419" s="1504">
        <v>47209</v>
      </c>
      <c r="BN419" s="19"/>
      <c r="BO419" s="93"/>
      <c r="BP419" s="93"/>
      <c r="BQ419" s="93"/>
      <c r="BR419" s="93"/>
      <c r="BS419" s="93"/>
      <c r="BT419" s="93"/>
      <c r="BU419" s="20"/>
      <c r="BV419" s="25"/>
      <c r="BW419" s="97"/>
      <c r="BX419" s="1504">
        <v>47209</v>
      </c>
      <c r="BY419" s="19"/>
      <c r="BZ419" s="93"/>
      <c r="CA419" s="93"/>
      <c r="CB419" s="93"/>
      <c r="CC419" s="93"/>
      <c r="CD419" s="25"/>
      <c r="CE419" s="97"/>
      <c r="CF419" s="1504">
        <v>47209</v>
      </c>
      <c r="CG419" s="19"/>
      <c r="CH419" s="93"/>
      <c r="CI419" s="219"/>
      <c r="CJ419" s="20"/>
      <c r="CK419" s="19"/>
      <c r="CL419" s="93"/>
      <c r="CM419" s="93"/>
      <c r="CN419" s="93"/>
      <c r="CO419" s="93"/>
      <c r="CP419" s="20"/>
      <c r="CQ419" s="219"/>
      <c r="CR419" s="93"/>
      <c r="CS419" s="93"/>
      <c r="CT419" s="93"/>
      <c r="CU419" s="93"/>
      <c r="CV419" s="214"/>
      <c r="CW419" s="29"/>
      <c r="CX419" s="41">
        <f t="shared" si="357"/>
        <v>2029</v>
      </c>
      <c r="CY419" s="1504">
        <v>47209</v>
      </c>
      <c r="CZ419" s="19"/>
      <c r="DA419" s="93"/>
      <c r="DB419" s="93"/>
      <c r="DC419" s="93"/>
      <c r="DD419" s="93"/>
      <c r="DE419" s="20"/>
      <c r="DF419" s="29"/>
      <c r="DG419" s="1504">
        <v>47209</v>
      </c>
      <c r="DH419" s="19"/>
      <c r="DI419" s="93"/>
      <c r="DJ419" s="93"/>
      <c r="DK419" s="93"/>
      <c r="DL419" s="93"/>
      <c r="DM419" s="93"/>
      <c r="DN419" s="20"/>
      <c r="DO419" s="295"/>
      <c r="DP419" s="29"/>
      <c r="DQ419" s="1504">
        <v>47209</v>
      </c>
      <c r="DR419" s="19"/>
      <c r="DS419" s="93"/>
      <c r="DT419" s="93"/>
      <c r="DU419" s="93"/>
      <c r="DV419" s="93"/>
      <c r="DW419" s="93"/>
      <c r="DX419" s="20"/>
      <c r="DY419" s="29"/>
      <c r="DZ419" s="1504">
        <v>47209</v>
      </c>
      <c r="EA419" s="19"/>
      <c r="EB419" s="93"/>
      <c r="EC419" s="20"/>
      <c r="ED419" s="29"/>
      <c r="EE419" s="1504">
        <v>47209</v>
      </c>
      <c r="EF419" s="19"/>
      <c r="EG419" s="93"/>
      <c r="EH419" s="93"/>
      <c r="EI419" s="214"/>
      <c r="EJ419" s="93"/>
      <c r="EK419" s="93"/>
      <c r="EL419" s="93"/>
      <c r="EM419" s="93"/>
      <c r="EN419" s="20"/>
      <c r="EO419" s="29"/>
      <c r="EP419" s="1504">
        <v>47209</v>
      </c>
      <c r="EQ419" s="19"/>
      <c r="ER419" s="93"/>
      <c r="ES419" s="93"/>
      <c r="ET419" s="214"/>
      <c r="EU419" s="93"/>
      <c r="EV419" s="93"/>
      <c r="EW419" s="93"/>
      <c r="EX419" s="93"/>
      <c r="EY419" s="20"/>
      <c r="EZ419" s="29"/>
      <c r="FA419" s="1504">
        <v>47209</v>
      </c>
      <c r="FB419" s="29"/>
      <c r="FC419" s="29"/>
      <c r="FD419" s="29"/>
      <c r="FE419" s="29"/>
      <c r="FF419" s="29"/>
      <c r="FG419" s="29"/>
      <c r="FH419" s="29"/>
      <c r="FI419" s="29"/>
      <c r="FJ419" s="29"/>
      <c r="FK419" s="29"/>
      <c r="FL419" s="1504">
        <v>47209</v>
      </c>
      <c r="FM419" s="19"/>
      <c r="FN419" s="93"/>
      <c r="FO419" s="93"/>
      <c r="FP419" s="93"/>
      <c r="FQ419" s="93"/>
      <c r="FR419" s="93"/>
      <c r="FS419" s="93"/>
      <c r="FT419" s="93"/>
      <c r="FU419" s="93"/>
      <c r="FV419" s="93"/>
      <c r="FW419" s="93"/>
      <c r="FX419" s="93"/>
      <c r="FY419" s="93"/>
      <c r="FZ419" s="29"/>
      <c r="GA419" s="1504">
        <v>47209</v>
      </c>
      <c r="GB419" s="19"/>
      <c r="GC419" s="93"/>
      <c r="GD419" s="93"/>
      <c r="GE419" s="93"/>
      <c r="GF419" s="93"/>
      <c r="GG419" s="93"/>
      <c r="GH419" s="93"/>
      <c r="GI419" s="93"/>
      <c r="GJ419" s="93"/>
      <c r="GK419" s="93"/>
      <c r="GL419" s="93"/>
      <c r="GM419" s="93"/>
      <c r="GN419" s="20"/>
      <c r="GO419" s="29"/>
      <c r="GP419" s="1504">
        <v>47209</v>
      </c>
      <c r="GQ419" s="19"/>
      <c r="GR419" s="93"/>
      <c r="GS419" s="93"/>
      <c r="GT419" s="93"/>
      <c r="GU419" s="93"/>
      <c r="GV419" s="20"/>
      <c r="GW419" s="19"/>
      <c r="GX419" s="93"/>
      <c r="GY419" s="93"/>
      <c r="GZ419" s="93"/>
      <c r="HA419" s="93"/>
      <c r="HB419" s="20"/>
      <c r="HC419" s="19"/>
      <c r="HD419" s="93"/>
      <c r="HE419" s="93"/>
      <c r="HF419" s="93"/>
      <c r="HG419" s="93"/>
      <c r="HH419" s="20"/>
      <c r="HI419" s="19"/>
      <c r="HJ419" s="93"/>
      <c r="HK419" s="93"/>
      <c r="HL419" s="93"/>
      <c r="HM419" s="93"/>
      <c r="HN419" s="20"/>
      <c r="HO419" s="219"/>
      <c r="HP419" s="20"/>
      <c r="HQ419" s="25"/>
      <c r="HR419" s="29"/>
      <c r="HS419" s="1504">
        <v>47209</v>
      </c>
      <c r="HT419" s="19"/>
      <c r="HU419" s="93"/>
      <c r="HV419" s="93"/>
      <c r="HW419" s="93"/>
      <c r="HX419" s="93"/>
      <c r="HY419" s="93"/>
      <c r="HZ419" s="93"/>
      <c r="IA419" s="20"/>
      <c r="IB419" s="19"/>
      <c r="IC419" s="93"/>
      <c r="ID419" s="93"/>
      <c r="IE419" s="93"/>
      <c r="IF419" s="93"/>
      <c r="IG419" s="20"/>
      <c r="IH419" s="19"/>
      <c r="II419" s="93"/>
      <c r="IJ419" s="93"/>
      <c r="IK419" s="93"/>
      <c r="IL419" s="93"/>
      <c r="IM419" s="93"/>
      <c r="IN419" s="93"/>
      <c r="IO419" s="20"/>
      <c r="IP419" s="29"/>
      <c r="IQ419" s="19"/>
      <c r="IR419" s="93"/>
      <c r="IS419" s="93"/>
      <c r="IT419" s="93"/>
      <c r="IU419" s="93"/>
      <c r="IV419" s="20"/>
      <c r="IW419" s="29"/>
      <c r="IX419" s="19"/>
      <c r="IY419" s="93"/>
      <c r="IZ419" s="93"/>
      <c r="JA419" s="93"/>
      <c r="JB419" s="93"/>
      <c r="JC419" s="93"/>
      <c r="JD419" s="93"/>
      <c r="JE419" s="20"/>
      <c r="JF419" s="29"/>
      <c r="JG419" s="19"/>
      <c r="JH419" s="93"/>
      <c r="JI419" s="93"/>
      <c r="JJ419" s="93"/>
      <c r="JK419" s="93"/>
      <c r="JL419" s="93"/>
      <c r="JM419" s="93"/>
      <c r="JN419" s="20"/>
      <c r="JO419" s="29"/>
      <c r="JP419" s="19"/>
      <c r="JQ419" s="93"/>
      <c r="JR419" s="93"/>
      <c r="JS419" s="93"/>
      <c r="JT419" s="93"/>
      <c r="JU419" s="20"/>
      <c r="JV419" s="29"/>
      <c r="JW419" s="1504">
        <v>47209</v>
      </c>
      <c r="JX419" s="19"/>
      <c r="JY419" s="93"/>
      <c r="JZ419" s="93"/>
      <c r="KA419" s="93"/>
      <c r="KB419" s="93"/>
      <c r="KC419" s="93"/>
      <c r="KD419" s="20"/>
      <c r="KE419" s="29"/>
      <c r="KF419" s="19"/>
      <c r="KG419" s="93"/>
      <c r="KH419" s="93"/>
      <c r="KI419" s="93"/>
      <c r="KJ419" s="93"/>
      <c r="KK419" s="20"/>
      <c r="KL419" s="29"/>
      <c r="KM419" s="19"/>
      <c r="KN419" s="93"/>
      <c r="KO419" s="93"/>
      <c r="KP419" s="93"/>
      <c r="KQ419" s="93"/>
      <c r="KR419" s="20"/>
      <c r="KS419" s="29"/>
      <c r="KT419" s="19"/>
      <c r="KU419" s="93"/>
      <c r="KV419" s="93"/>
      <c r="KW419" s="93"/>
      <c r="KX419" s="93"/>
      <c r="KY419" s="20"/>
      <c r="KZ419" s="29"/>
      <c r="LA419" s="1504">
        <v>47209</v>
      </c>
      <c r="LB419" s="19"/>
      <c r="LC419" s="93"/>
      <c r="LD419" s="93"/>
      <c r="LE419" s="93"/>
      <c r="LF419" s="93"/>
      <c r="LG419" s="93"/>
      <c r="LH419" s="20"/>
      <c r="LI419" s="29"/>
      <c r="LJ419" s="19"/>
      <c r="LK419" s="93"/>
      <c r="LL419" s="93"/>
      <c r="LM419" s="93"/>
      <c r="LN419" s="93"/>
      <c r="LO419" s="20"/>
      <c r="LP419" s="29"/>
      <c r="LQ419" s="19"/>
      <c r="LR419" s="93"/>
      <c r="LS419" s="93"/>
      <c r="LT419" s="93"/>
      <c r="LU419" s="93"/>
      <c r="LV419" s="93"/>
      <c r="LW419" s="93"/>
      <c r="LX419" s="93"/>
      <c r="LY419" s="93"/>
      <c r="LZ419" s="93"/>
      <c r="MA419" s="20"/>
      <c r="MB419" s="29"/>
      <c r="MC419" s="1504">
        <v>47209</v>
      </c>
      <c r="MD419" s="19"/>
      <c r="ME419" s="93"/>
      <c r="MF419" s="93"/>
      <c r="MG419" s="93"/>
      <c r="MH419" s="93"/>
      <c r="MI419" s="93"/>
      <c r="MJ419" s="93"/>
      <c r="MK419" s="93"/>
      <c r="ML419" s="93"/>
      <c r="MM419" s="93"/>
      <c r="MN419" s="93"/>
      <c r="MO419" s="93"/>
      <c r="MP419" s="93"/>
      <c r="MQ419" s="93"/>
      <c r="MR419" s="93"/>
      <c r="MS419" s="93"/>
      <c r="MT419" s="93"/>
      <c r="MU419" s="93"/>
      <c r="MV419" s="93"/>
      <c r="MW419" s="93"/>
      <c r="MX419" s="93"/>
      <c r="MY419" s="93"/>
      <c r="MZ419" s="93"/>
      <c r="NA419" s="93"/>
      <c r="NB419" s="93"/>
      <c r="NC419" s="93"/>
      <c r="ND419" s="93"/>
      <c r="NE419" s="93"/>
      <c r="NF419" s="93"/>
      <c r="NG419" s="93"/>
      <c r="NH419" s="93"/>
      <c r="NI419" s="93"/>
      <c r="NJ419" s="93"/>
      <c r="NK419" s="93"/>
      <c r="NL419" s="93"/>
      <c r="NM419" s="93"/>
      <c r="NN419" s="93"/>
      <c r="NO419" s="93"/>
      <c r="NP419" s="93"/>
      <c r="NQ419" s="93"/>
      <c r="NR419" s="93"/>
      <c r="NS419" s="93"/>
      <c r="NT419" s="93"/>
      <c r="NU419" s="93"/>
      <c r="NV419" s="93"/>
      <c r="NW419" s="93"/>
      <c r="NX419" s="93"/>
      <c r="NY419" s="93"/>
      <c r="NZ419" s="93"/>
      <c r="OA419" s="93"/>
      <c r="OB419" s="93"/>
      <c r="OC419" s="93"/>
      <c r="OD419" s="20"/>
      <c r="OE419" s="29"/>
      <c r="OF419" s="1504">
        <v>47209</v>
      </c>
      <c r="OG419" s="19"/>
      <c r="OH419" s="93"/>
      <c r="OI419" s="93"/>
      <c r="OJ419" s="93"/>
      <c r="OK419" s="93"/>
      <c r="OL419" s="93"/>
      <c r="OM419" s="93"/>
      <c r="ON419" s="93"/>
      <c r="OO419" s="93"/>
      <c r="OP419" s="93"/>
      <c r="OQ419" s="93"/>
      <c r="OR419" s="93"/>
      <c r="OS419" s="93"/>
      <c r="OT419" s="93"/>
      <c r="OU419" s="93"/>
      <c r="OV419" s="93"/>
      <c r="OW419" s="93"/>
      <c r="OX419" s="93"/>
      <c r="OY419" s="93"/>
      <c r="OZ419" s="93"/>
      <c r="PA419" s="93"/>
      <c r="PB419" s="93"/>
      <c r="PC419" s="20"/>
      <c r="PD419" s="29"/>
      <c r="PE419" s="19"/>
      <c r="PF419" s="93"/>
      <c r="PG419" s="93"/>
      <c r="PH419" s="93"/>
      <c r="PI419" s="93"/>
      <c r="PJ419" s="93"/>
      <c r="PK419" s="93"/>
      <c r="PL419" s="93"/>
      <c r="PM419" s="93"/>
      <c r="PN419" s="93"/>
      <c r="PO419" s="93"/>
      <c r="PP419" s="93"/>
      <c r="PQ419" s="93"/>
      <c r="PR419" s="93"/>
      <c r="PS419" s="93"/>
      <c r="PT419" s="93"/>
      <c r="PU419" s="93"/>
      <c r="PV419" s="93"/>
      <c r="PW419" s="93"/>
      <c r="PX419" s="93"/>
      <c r="PY419" s="93"/>
      <c r="PZ419" s="93"/>
      <c r="QA419" s="93"/>
      <c r="QB419" s="93"/>
      <c r="QC419" s="93"/>
      <c r="QD419" s="93"/>
      <c r="QE419" s="20"/>
      <c r="QF419" s="1739"/>
      <c r="QG419" s="19"/>
      <c r="QH419" s="93"/>
      <c r="QI419" s="93"/>
      <c r="QJ419" s="93"/>
      <c r="QK419" s="93"/>
      <c r="QL419" s="93"/>
      <c r="QM419" s="93"/>
      <c r="QN419" s="93"/>
      <c r="QO419" s="93"/>
      <c r="QP419" s="93"/>
      <c r="QQ419" s="93"/>
      <c r="QR419" s="93"/>
      <c r="QS419" s="93"/>
      <c r="QT419" s="93"/>
      <c r="QU419" s="93"/>
      <c r="QV419" s="93"/>
      <c r="QW419" s="93"/>
      <c r="QX419" s="93"/>
      <c r="QY419" s="93"/>
      <c r="QZ419" s="93"/>
      <c r="RA419" s="93"/>
      <c r="RB419" s="93"/>
      <c r="RC419" s="93"/>
      <c r="RD419" s="93"/>
      <c r="RE419" s="93"/>
      <c r="RF419" s="93"/>
      <c r="RG419" s="93"/>
      <c r="RH419" s="93"/>
      <c r="RI419" s="93"/>
      <c r="RJ419" s="93"/>
      <c r="RK419" s="93"/>
      <c r="RL419" s="93"/>
      <c r="RM419" s="20"/>
      <c r="RN419" s="29"/>
      <c r="RO419" s="19"/>
      <c r="RP419" s="20"/>
      <c r="RQ419" s="29"/>
      <c r="RR419" s="20"/>
      <c r="RS419" s="29"/>
      <c r="RT419" s="1504">
        <v>47209</v>
      </c>
      <c r="RU419" s="19"/>
      <c r="RV419" s="20"/>
      <c r="RW419" s="29"/>
      <c r="RX419" s="1504">
        <v>47209</v>
      </c>
      <c r="RY419" s="29"/>
      <c r="RZ419" s="20"/>
      <c r="SA419" s="29"/>
      <c r="SB419" s="29"/>
    </row>
    <row r="420" spans="1:496">
      <c r="A420" s="41">
        <f t="shared" si="358"/>
        <v>2029</v>
      </c>
      <c r="B420" s="1504">
        <v>47239</v>
      </c>
      <c r="C420" s="1813"/>
      <c r="D420" s="1814"/>
      <c r="E420" s="1814"/>
      <c r="F420" s="1815"/>
      <c r="G420" s="1814"/>
      <c r="H420" s="1814"/>
      <c r="I420" s="1814"/>
      <c r="J420" s="1816"/>
      <c r="K420" s="1807"/>
      <c r="L420" s="25"/>
      <c r="M420" s="97"/>
      <c r="N420" s="1504">
        <v>47239</v>
      </c>
      <c r="O420" s="19"/>
      <c r="P420" s="93"/>
      <c r="Q420" s="93"/>
      <c r="R420" s="93"/>
      <c r="S420" s="93"/>
      <c r="T420" s="93"/>
      <c r="U420" s="93"/>
      <c r="V420" s="93"/>
      <c r="W420" s="93"/>
      <c r="X420" s="93"/>
      <c r="Y420" s="93"/>
      <c r="Z420" s="93"/>
      <c r="AA420" s="93"/>
      <c r="AB420" s="20"/>
      <c r="AC420" s="25"/>
      <c r="AD420" s="97"/>
      <c r="AE420" s="1504">
        <v>47239</v>
      </c>
      <c r="AF420" s="19"/>
      <c r="AG420" s="93"/>
      <c r="AH420" s="93"/>
      <c r="AI420" s="93"/>
      <c r="AJ420" s="93"/>
      <c r="AK420" s="93"/>
      <c r="AL420" s="93"/>
      <c r="AM420" s="93"/>
      <c r="AN420" s="93"/>
      <c r="AO420" s="93"/>
      <c r="AP420" s="93"/>
      <c r="AQ420" s="93"/>
      <c r="AR420" s="93"/>
      <c r="AS420" s="20"/>
      <c r="AT420" s="25"/>
      <c r="AU420" s="97"/>
      <c r="AV420" s="1504">
        <v>47239</v>
      </c>
      <c r="AW420" s="19"/>
      <c r="AX420" s="93"/>
      <c r="AY420" s="93"/>
      <c r="AZ420" s="93"/>
      <c r="BA420" s="93"/>
      <c r="BB420" s="93"/>
      <c r="BC420" s="93"/>
      <c r="BD420" s="93"/>
      <c r="BE420" s="93"/>
      <c r="BF420" s="93"/>
      <c r="BG420" s="93"/>
      <c r="BH420" s="93"/>
      <c r="BI420" s="93"/>
      <c r="BJ420" s="20"/>
      <c r="BK420" s="25"/>
      <c r="BL420" s="97"/>
      <c r="BM420" s="1504">
        <v>47239</v>
      </c>
      <c r="BN420" s="19"/>
      <c r="BO420" s="93"/>
      <c r="BP420" s="93"/>
      <c r="BQ420" s="93"/>
      <c r="BR420" s="93"/>
      <c r="BS420" s="93"/>
      <c r="BT420" s="93"/>
      <c r="BU420" s="20"/>
      <c r="BV420" s="25"/>
      <c r="BW420" s="97"/>
      <c r="BX420" s="1504">
        <v>47239</v>
      </c>
      <c r="BY420" s="19"/>
      <c r="BZ420" s="93"/>
      <c r="CA420" s="93"/>
      <c r="CB420" s="93"/>
      <c r="CC420" s="93"/>
      <c r="CD420" s="25"/>
      <c r="CE420" s="97"/>
      <c r="CF420" s="1504">
        <v>47239</v>
      </c>
      <c r="CG420" s="19"/>
      <c r="CH420" s="93"/>
      <c r="CI420" s="219"/>
      <c r="CJ420" s="20"/>
      <c r="CK420" s="19"/>
      <c r="CL420" s="93"/>
      <c r="CM420" s="93"/>
      <c r="CN420" s="93"/>
      <c r="CO420" s="93"/>
      <c r="CP420" s="20"/>
      <c r="CQ420" s="219"/>
      <c r="CR420" s="93"/>
      <c r="CS420" s="93"/>
      <c r="CT420" s="93"/>
      <c r="CU420" s="93"/>
      <c r="CV420" s="214"/>
      <c r="CW420" s="29"/>
      <c r="CX420" s="41">
        <f t="shared" si="357"/>
        <v>2029</v>
      </c>
      <c r="CY420" s="1504">
        <v>47239</v>
      </c>
      <c r="CZ420" s="19"/>
      <c r="DA420" s="93"/>
      <c r="DB420" s="93"/>
      <c r="DC420" s="93"/>
      <c r="DD420" s="93"/>
      <c r="DE420" s="20"/>
      <c r="DF420" s="29"/>
      <c r="DG420" s="1504">
        <v>47239</v>
      </c>
      <c r="DH420" s="19"/>
      <c r="DI420" s="93"/>
      <c r="DJ420" s="93"/>
      <c r="DK420" s="93"/>
      <c r="DL420" s="93"/>
      <c r="DM420" s="93"/>
      <c r="DN420" s="20"/>
      <c r="DO420" s="295"/>
      <c r="DP420" s="29"/>
      <c r="DQ420" s="1504">
        <v>47239</v>
      </c>
      <c r="DR420" s="19"/>
      <c r="DS420" s="93"/>
      <c r="DT420" s="93"/>
      <c r="DU420" s="93"/>
      <c r="DV420" s="93"/>
      <c r="DW420" s="93"/>
      <c r="DX420" s="20"/>
      <c r="DY420" s="29"/>
      <c r="DZ420" s="1504">
        <v>47239</v>
      </c>
      <c r="EA420" s="19"/>
      <c r="EB420" s="93"/>
      <c r="EC420" s="20"/>
      <c r="ED420" s="29"/>
      <c r="EE420" s="1504">
        <v>47239</v>
      </c>
      <c r="EF420" s="19"/>
      <c r="EG420" s="93"/>
      <c r="EH420" s="93"/>
      <c r="EI420" s="214"/>
      <c r="EJ420" s="93"/>
      <c r="EK420" s="93"/>
      <c r="EL420" s="93"/>
      <c r="EM420" s="93"/>
      <c r="EN420" s="20"/>
      <c r="EO420" s="29"/>
      <c r="EP420" s="1504">
        <v>47239</v>
      </c>
      <c r="EQ420" s="19"/>
      <c r="ER420" s="93"/>
      <c r="ES420" s="93"/>
      <c r="ET420" s="214"/>
      <c r="EU420" s="93"/>
      <c r="EV420" s="93"/>
      <c r="EW420" s="93"/>
      <c r="EX420" s="93"/>
      <c r="EY420" s="20"/>
      <c r="EZ420" s="29"/>
      <c r="FA420" s="1504">
        <v>47239</v>
      </c>
      <c r="FB420" s="29"/>
      <c r="FC420" s="29"/>
      <c r="FD420" s="29"/>
      <c r="FE420" s="29"/>
      <c r="FF420" s="29"/>
      <c r="FG420" s="29"/>
      <c r="FH420" s="29"/>
      <c r="FI420" s="29"/>
      <c r="FJ420" s="29"/>
      <c r="FK420" s="29"/>
      <c r="FL420" s="1504">
        <v>47239</v>
      </c>
      <c r="FM420" s="19"/>
      <c r="FN420" s="93"/>
      <c r="FO420" s="93"/>
      <c r="FP420" s="93"/>
      <c r="FQ420" s="93"/>
      <c r="FR420" s="93"/>
      <c r="FS420" s="93"/>
      <c r="FT420" s="93"/>
      <c r="FU420" s="93"/>
      <c r="FV420" s="93"/>
      <c r="FW420" s="93"/>
      <c r="FX420" s="93"/>
      <c r="FY420" s="93"/>
      <c r="FZ420" s="29"/>
      <c r="GA420" s="1504">
        <v>47239</v>
      </c>
      <c r="GB420" s="19"/>
      <c r="GC420" s="93"/>
      <c r="GD420" s="93"/>
      <c r="GE420" s="93"/>
      <c r="GF420" s="93"/>
      <c r="GG420" s="93"/>
      <c r="GH420" s="93"/>
      <c r="GI420" s="93"/>
      <c r="GJ420" s="93"/>
      <c r="GK420" s="93"/>
      <c r="GL420" s="93"/>
      <c r="GM420" s="93"/>
      <c r="GN420" s="20"/>
      <c r="GO420" s="29"/>
      <c r="GP420" s="1504">
        <v>47239</v>
      </c>
      <c r="GQ420" s="19"/>
      <c r="GR420" s="93"/>
      <c r="GS420" s="93"/>
      <c r="GT420" s="93"/>
      <c r="GU420" s="93"/>
      <c r="GV420" s="20"/>
      <c r="GW420" s="19"/>
      <c r="GX420" s="93"/>
      <c r="GY420" s="93"/>
      <c r="GZ420" s="93"/>
      <c r="HA420" s="93"/>
      <c r="HB420" s="20"/>
      <c r="HC420" s="19"/>
      <c r="HD420" s="93"/>
      <c r="HE420" s="93"/>
      <c r="HF420" s="93"/>
      <c r="HG420" s="93"/>
      <c r="HH420" s="20"/>
      <c r="HI420" s="19"/>
      <c r="HJ420" s="93"/>
      <c r="HK420" s="93"/>
      <c r="HL420" s="93"/>
      <c r="HM420" s="93"/>
      <c r="HN420" s="20"/>
      <c r="HO420" s="219"/>
      <c r="HP420" s="20"/>
      <c r="HQ420" s="25"/>
      <c r="HR420" s="29"/>
      <c r="HS420" s="1504">
        <v>47239</v>
      </c>
      <c r="HT420" s="19"/>
      <c r="HU420" s="93"/>
      <c r="HV420" s="93"/>
      <c r="HW420" s="93"/>
      <c r="HX420" s="93"/>
      <c r="HY420" s="93"/>
      <c r="HZ420" s="93"/>
      <c r="IA420" s="20"/>
      <c r="IB420" s="19"/>
      <c r="IC420" s="93"/>
      <c r="ID420" s="93"/>
      <c r="IE420" s="93"/>
      <c r="IF420" s="93"/>
      <c r="IG420" s="20"/>
      <c r="IH420" s="19"/>
      <c r="II420" s="93"/>
      <c r="IJ420" s="93"/>
      <c r="IK420" s="93"/>
      <c r="IL420" s="93"/>
      <c r="IM420" s="93"/>
      <c r="IN420" s="93"/>
      <c r="IO420" s="20"/>
      <c r="IP420" s="29"/>
      <c r="IQ420" s="19"/>
      <c r="IR420" s="93"/>
      <c r="IS420" s="93"/>
      <c r="IT420" s="93"/>
      <c r="IU420" s="93"/>
      <c r="IV420" s="20"/>
      <c r="IW420" s="29"/>
      <c r="IX420" s="19"/>
      <c r="IY420" s="93"/>
      <c r="IZ420" s="93"/>
      <c r="JA420" s="93"/>
      <c r="JB420" s="93"/>
      <c r="JC420" s="93"/>
      <c r="JD420" s="93"/>
      <c r="JE420" s="20"/>
      <c r="JF420" s="29"/>
      <c r="JG420" s="19"/>
      <c r="JH420" s="93"/>
      <c r="JI420" s="93"/>
      <c r="JJ420" s="93"/>
      <c r="JK420" s="93"/>
      <c r="JL420" s="93"/>
      <c r="JM420" s="93"/>
      <c r="JN420" s="20"/>
      <c r="JO420" s="29"/>
      <c r="JP420" s="19"/>
      <c r="JQ420" s="93"/>
      <c r="JR420" s="93"/>
      <c r="JS420" s="93"/>
      <c r="JT420" s="93"/>
      <c r="JU420" s="20"/>
      <c r="JV420" s="29"/>
      <c r="JW420" s="1504">
        <v>47239</v>
      </c>
      <c r="JX420" s="19"/>
      <c r="JY420" s="93"/>
      <c r="JZ420" s="93"/>
      <c r="KA420" s="93"/>
      <c r="KB420" s="93"/>
      <c r="KC420" s="93"/>
      <c r="KD420" s="20"/>
      <c r="KE420" s="29"/>
      <c r="KF420" s="19"/>
      <c r="KG420" s="93"/>
      <c r="KH420" s="93"/>
      <c r="KI420" s="93"/>
      <c r="KJ420" s="93"/>
      <c r="KK420" s="20"/>
      <c r="KL420" s="29"/>
      <c r="KM420" s="19"/>
      <c r="KN420" s="93"/>
      <c r="KO420" s="93"/>
      <c r="KP420" s="93"/>
      <c r="KQ420" s="93"/>
      <c r="KR420" s="20"/>
      <c r="KS420" s="29"/>
      <c r="KT420" s="19"/>
      <c r="KU420" s="93"/>
      <c r="KV420" s="93"/>
      <c r="KW420" s="93"/>
      <c r="KX420" s="93"/>
      <c r="KY420" s="20"/>
      <c r="KZ420" s="29"/>
      <c r="LA420" s="1504">
        <v>47239</v>
      </c>
      <c r="LB420" s="19"/>
      <c r="LC420" s="93"/>
      <c r="LD420" s="93"/>
      <c r="LE420" s="93"/>
      <c r="LF420" s="93"/>
      <c r="LG420" s="93"/>
      <c r="LH420" s="20"/>
      <c r="LI420" s="29"/>
      <c r="LJ420" s="19"/>
      <c r="LK420" s="93"/>
      <c r="LL420" s="93"/>
      <c r="LM420" s="93"/>
      <c r="LN420" s="93"/>
      <c r="LO420" s="20"/>
      <c r="LP420" s="29"/>
      <c r="LQ420" s="19"/>
      <c r="LR420" s="93"/>
      <c r="LS420" s="93"/>
      <c r="LT420" s="93"/>
      <c r="LU420" s="93"/>
      <c r="LV420" s="93"/>
      <c r="LW420" s="93"/>
      <c r="LX420" s="93"/>
      <c r="LY420" s="93"/>
      <c r="LZ420" s="93"/>
      <c r="MA420" s="20"/>
      <c r="MB420" s="29"/>
      <c r="MC420" s="1504">
        <v>47239</v>
      </c>
      <c r="MD420" s="19"/>
      <c r="ME420" s="93"/>
      <c r="MF420" s="93"/>
      <c r="MG420" s="93"/>
      <c r="MH420" s="93"/>
      <c r="MI420" s="93"/>
      <c r="MJ420" s="93"/>
      <c r="MK420" s="93"/>
      <c r="ML420" s="93"/>
      <c r="MM420" s="93"/>
      <c r="MN420" s="93"/>
      <c r="MO420" s="93"/>
      <c r="MP420" s="93"/>
      <c r="MQ420" s="93"/>
      <c r="MR420" s="93"/>
      <c r="MS420" s="93"/>
      <c r="MT420" s="93"/>
      <c r="MU420" s="93"/>
      <c r="MV420" s="93"/>
      <c r="MW420" s="93"/>
      <c r="MX420" s="93"/>
      <c r="MY420" s="93"/>
      <c r="MZ420" s="93"/>
      <c r="NA420" s="93"/>
      <c r="NB420" s="93"/>
      <c r="NC420" s="93"/>
      <c r="ND420" s="93"/>
      <c r="NE420" s="93"/>
      <c r="NF420" s="93"/>
      <c r="NG420" s="93"/>
      <c r="NH420" s="93"/>
      <c r="NI420" s="93"/>
      <c r="NJ420" s="93"/>
      <c r="NK420" s="93"/>
      <c r="NL420" s="93"/>
      <c r="NM420" s="93"/>
      <c r="NN420" s="93"/>
      <c r="NO420" s="93"/>
      <c r="NP420" s="93"/>
      <c r="NQ420" s="93"/>
      <c r="NR420" s="93"/>
      <c r="NS420" s="93"/>
      <c r="NT420" s="93"/>
      <c r="NU420" s="93"/>
      <c r="NV420" s="93"/>
      <c r="NW420" s="93"/>
      <c r="NX420" s="93"/>
      <c r="NY420" s="93"/>
      <c r="NZ420" s="93"/>
      <c r="OA420" s="93"/>
      <c r="OB420" s="93"/>
      <c r="OC420" s="93"/>
      <c r="OD420" s="20"/>
      <c r="OE420" s="29"/>
      <c r="OF420" s="1504">
        <v>47239</v>
      </c>
      <c r="OG420" s="19"/>
      <c r="OH420" s="93"/>
      <c r="OI420" s="93"/>
      <c r="OJ420" s="93"/>
      <c r="OK420" s="93"/>
      <c r="OL420" s="93"/>
      <c r="OM420" s="93"/>
      <c r="ON420" s="93"/>
      <c r="OO420" s="93"/>
      <c r="OP420" s="93"/>
      <c r="OQ420" s="93"/>
      <c r="OR420" s="93"/>
      <c r="OS420" s="93"/>
      <c r="OT420" s="93"/>
      <c r="OU420" s="93"/>
      <c r="OV420" s="93"/>
      <c r="OW420" s="93"/>
      <c r="OX420" s="93"/>
      <c r="OY420" s="93"/>
      <c r="OZ420" s="93"/>
      <c r="PA420" s="93"/>
      <c r="PB420" s="93"/>
      <c r="PC420" s="20"/>
      <c r="PD420" s="29"/>
      <c r="PE420" s="19"/>
      <c r="PF420" s="93"/>
      <c r="PG420" s="93"/>
      <c r="PH420" s="93"/>
      <c r="PI420" s="93"/>
      <c r="PJ420" s="93"/>
      <c r="PK420" s="93"/>
      <c r="PL420" s="93"/>
      <c r="PM420" s="93"/>
      <c r="PN420" s="93"/>
      <c r="PO420" s="93"/>
      <c r="PP420" s="93"/>
      <c r="PQ420" s="93"/>
      <c r="PR420" s="93"/>
      <c r="PS420" s="93"/>
      <c r="PT420" s="93"/>
      <c r="PU420" s="93"/>
      <c r="PV420" s="93"/>
      <c r="PW420" s="93"/>
      <c r="PX420" s="93"/>
      <c r="PY420" s="93"/>
      <c r="PZ420" s="93"/>
      <c r="QA420" s="93"/>
      <c r="QB420" s="93"/>
      <c r="QC420" s="93"/>
      <c r="QD420" s="93"/>
      <c r="QE420" s="20"/>
      <c r="QF420" s="1739"/>
      <c r="QG420" s="19"/>
      <c r="QH420" s="93"/>
      <c r="QI420" s="93"/>
      <c r="QJ420" s="93"/>
      <c r="QK420" s="93"/>
      <c r="QL420" s="93"/>
      <c r="QM420" s="93"/>
      <c r="QN420" s="93"/>
      <c r="QO420" s="93"/>
      <c r="QP420" s="93"/>
      <c r="QQ420" s="93"/>
      <c r="QR420" s="93"/>
      <c r="QS420" s="93"/>
      <c r="QT420" s="93"/>
      <c r="QU420" s="93"/>
      <c r="QV420" s="93"/>
      <c r="QW420" s="93"/>
      <c r="QX420" s="93"/>
      <c r="QY420" s="93"/>
      <c r="QZ420" s="93"/>
      <c r="RA420" s="93"/>
      <c r="RB420" s="93"/>
      <c r="RC420" s="93"/>
      <c r="RD420" s="93"/>
      <c r="RE420" s="93"/>
      <c r="RF420" s="93"/>
      <c r="RG420" s="93"/>
      <c r="RH420" s="93"/>
      <c r="RI420" s="93"/>
      <c r="RJ420" s="93"/>
      <c r="RK420" s="93"/>
      <c r="RL420" s="93"/>
      <c r="RM420" s="20"/>
      <c r="RN420" s="29"/>
      <c r="RO420" s="19"/>
      <c r="RP420" s="20"/>
      <c r="RQ420" s="29"/>
      <c r="RR420" s="20"/>
      <c r="RS420" s="29"/>
      <c r="RT420" s="1504">
        <v>47239</v>
      </c>
      <c r="RU420" s="19"/>
      <c r="RV420" s="20"/>
      <c r="RW420" s="29"/>
      <c r="RX420" s="1504">
        <v>47239</v>
      </c>
      <c r="RY420" s="29"/>
      <c r="RZ420" s="20"/>
      <c r="SA420" s="29"/>
      <c r="SB420" s="29"/>
    </row>
    <row r="421" spans="1:496">
      <c r="A421" s="41">
        <f t="shared" si="358"/>
        <v>2029</v>
      </c>
      <c r="B421" s="1504">
        <v>47270</v>
      </c>
      <c r="C421" s="1813"/>
      <c r="D421" s="1814"/>
      <c r="E421" s="1814"/>
      <c r="F421" s="1815"/>
      <c r="G421" s="1814"/>
      <c r="H421" s="1814"/>
      <c r="I421" s="1814"/>
      <c r="J421" s="1816"/>
      <c r="K421" s="1807"/>
      <c r="L421" s="25"/>
      <c r="M421" s="97"/>
      <c r="N421" s="1504">
        <v>47270</v>
      </c>
      <c r="O421" s="19"/>
      <c r="P421" s="93"/>
      <c r="Q421" s="93"/>
      <c r="R421" s="93"/>
      <c r="S421" s="93"/>
      <c r="T421" s="93"/>
      <c r="U421" s="93"/>
      <c r="V421" s="93"/>
      <c r="W421" s="93"/>
      <c r="X421" s="93"/>
      <c r="Y421" s="93"/>
      <c r="Z421" s="93"/>
      <c r="AA421" s="93"/>
      <c r="AB421" s="20"/>
      <c r="AC421" s="25"/>
      <c r="AD421" s="97"/>
      <c r="AE421" s="1504">
        <v>47270</v>
      </c>
      <c r="AF421" s="19"/>
      <c r="AG421" s="93"/>
      <c r="AH421" s="93"/>
      <c r="AI421" s="93"/>
      <c r="AJ421" s="93"/>
      <c r="AK421" s="93"/>
      <c r="AL421" s="93"/>
      <c r="AM421" s="93"/>
      <c r="AN421" s="93"/>
      <c r="AO421" s="93"/>
      <c r="AP421" s="93"/>
      <c r="AQ421" s="93"/>
      <c r="AR421" s="93"/>
      <c r="AS421" s="20"/>
      <c r="AT421" s="25"/>
      <c r="AU421" s="97"/>
      <c r="AV421" s="1504">
        <v>47270</v>
      </c>
      <c r="AW421" s="19"/>
      <c r="AX421" s="93"/>
      <c r="AY421" s="93"/>
      <c r="AZ421" s="93"/>
      <c r="BA421" s="93"/>
      <c r="BB421" s="93"/>
      <c r="BC421" s="93"/>
      <c r="BD421" s="93"/>
      <c r="BE421" s="93"/>
      <c r="BF421" s="93"/>
      <c r="BG421" s="93"/>
      <c r="BH421" s="93"/>
      <c r="BI421" s="93"/>
      <c r="BJ421" s="20"/>
      <c r="BK421" s="25"/>
      <c r="BL421" s="97"/>
      <c r="BM421" s="1504">
        <v>47270</v>
      </c>
      <c r="BN421" s="19"/>
      <c r="BO421" s="93"/>
      <c r="BP421" s="93"/>
      <c r="BQ421" s="93"/>
      <c r="BR421" s="93"/>
      <c r="BS421" s="93"/>
      <c r="BT421" s="93"/>
      <c r="BU421" s="20"/>
      <c r="BV421" s="25"/>
      <c r="BW421" s="97"/>
      <c r="BX421" s="1504">
        <v>47270</v>
      </c>
      <c r="BY421" s="19"/>
      <c r="BZ421" s="93"/>
      <c r="CA421" s="93"/>
      <c r="CB421" s="93"/>
      <c r="CC421" s="93"/>
      <c r="CD421" s="25"/>
      <c r="CE421" s="97"/>
      <c r="CF421" s="1504">
        <v>47270</v>
      </c>
      <c r="CG421" s="19"/>
      <c r="CH421" s="93"/>
      <c r="CI421" s="219"/>
      <c r="CJ421" s="20"/>
      <c r="CK421" s="19"/>
      <c r="CL421" s="93"/>
      <c r="CM421" s="93"/>
      <c r="CN421" s="93"/>
      <c r="CO421" s="93"/>
      <c r="CP421" s="20"/>
      <c r="CQ421" s="219"/>
      <c r="CR421" s="93"/>
      <c r="CS421" s="93"/>
      <c r="CT421" s="93"/>
      <c r="CU421" s="93"/>
      <c r="CV421" s="214"/>
      <c r="CW421" s="29"/>
      <c r="CX421" s="41">
        <f t="shared" si="357"/>
        <v>2029</v>
      </c>
      <c r="CY421" s="1504">
        <v>47270</v>
      </c>
      <c r="CZ421" s="19"/>
      <c r="DA421" s="93"/>
      <c r="DB421" s="93"/>
      <c r="DC421" s="93"/>
      <c r="DD421" s="93"/>
      <c r="DE421" s="20"/>
      <c r="DF421" s="29"/>
      <c r="DG421" s="1504">
        <v>47270</v>
      </c>
      <c r="DH421" s="19"/>
      <c r="DI421" s="93"/>
      <c r="DJ421" s="93"/>
      <c r="DK421" s="93"/>
      <c r="DL421" s="93"/>
      <c r="DM421" s="93"/>
      <c r="DN421" s="20"/>
      <c r="DO421" s="295"/>
      <c r="DP421" s="29"/>
      <c r="DQ421" s="1504">
        <v>47270</v>
      </c>
      <c r="DR421" s="19"/>
      <c r="DS421" s="93"/>
      <c r="DT421" s="93"/>
      <c r="DU421" s="93"/>
      <c r="DV421" s="93"/>
      <c r="DW421" s="93"/>
      <c r="DX421" s="20"/>
      <c r="DY421" s="29"/>
      <c r="DZ421" s="1504">
        <v>47270</v>
      </c>
      <c r="EA421" s="19"/>
      <c r="EB421" s="93"/>
      <c r="EC421" s="20"/>
      <c r="ED421" s="29"/>
      <c r="EE421" s="1504">
        <v>47270</v>
      </c>
      <c r="EF421" s="19"/>
      <c r="EG421" s="93"/>
      <c r="EH421" s="93"/>
      <c r="EI421" s="214"/>
      <c r="EJ421" s="93"/>
      <c r="EK421" s="93"/>
      <c r="EL421" s="93"/>
      <c r="EM421" s="93"/>
      <c r="EN421" s="20"/>
      <c r="EO421" s="29"/>
      <c r="EP421" s="1504">
        <v>47270</v>
      </c>
      <c r="EQ421" s="19"/>
      <c r="ER421" s="93"/>
      <c r="ES421" s="93"/>
      <c r="ET421" s="214"/>
      <c r="EU421" s="93"/>
      <c r="EV421" s="93"/>
      <c r="EW421" s="93"/>
      <c r="EX421" s="93"/>
      <c r="EY421" s="20"/>
      <c r="EZ421" s="29"/>
      <c r="FA421" s="1504">
        <v>47270</v>
      </c>
      <c r="FB421" s="29"/>
      <c r="FC421" s="29"/>
      <c r="FD421" s="29"/>
      <c r="FE421" s="29"/>
      <c r="FF421" s="29"/>
      <c r="FG421" s="29"/>
      <c r="FH421" s="29"/>
      <c r="FI421" s="29"/>
      <c r="FJ421" s="29"/>
      <c r="FK421" s="29"/>
      <c r="FL421" s="1504">
        <v>47270</v>
      </c>
      <c r="FM421" s="19"/>
      <c r="FN421" s="93"/>
      <c r="FO421" s="93"/>
      <c r="FP421" s="93"/>
      <c r="FQ421" s="93"/>
      <c r="FR421" s="93"/>
      <c r="FS421" s="93"/>
      <c r="FT421" s="93"/>
      <c r="FU421" s="93"/>
      <c r="FV421" s="93"/>
      <c r="FW421" s="93"/>
      <c r="FX421" s="93"/>
      <c r="FY421" s="93"/>
      <c r="FZ421" s="29"/>
      <c r="GA421" s="1504">
        <v>47270</v>
      </c>
      <c r="GB421" s="19"/>
      <c r="GC421" s="93"/>
      <c r="GD421" s="93"/>
      <c r="GE421" s="93"/>
      <c r="GF421" s="93"/>
      <c r="GG421" s="93"/>
      <c r="GH421" s="93"/>
      <c r="GI421" s="93"/>
      <c r="GJ421" s="93"/>
      <c r="GK421" s="93"/>
      <c r="GL421" s="93"/>
      <c r="GM421" s="93"/>
      <c r="GN421" s="20"/>
      <c r="GO421" s="29"/>
      <c r="GP421" s="1504">
        <v>47270</v>
      </c>
      <c r="GQ421" s="19"/>
      <c r="GR421" s="93"/>
      <c r="GS421" s="93"/>
      <c r="GT421" s="93"/>
      <c r="GU421" s="93"/>
      <c r="GV421" s="20"/>
      <c r="GW421" s="19"/>
      <c r="GX421" s="93"/>
      <c r="GY421" s="93"/>
      <c r="GZ421" s="93"/>
      <c r="HA421" s="93"/>
      <c r="HB421" s="20"/>
      <c r="HC421" s="19"/>
      <c r="HD421" s="93"/>
      <c r="HE421" s="93"/>
      <c r="HF421" s="93"/>
      <c r="HG421" s="93"/>
      <c r="HH421" s="20"/>
      <c r="HI421" s="19"/>
      <c r="HJ421" s="93"/>
      <c r="HK421" s="93"/>
      <c r="HL421" s="93"/>
      <c r="HM421" s="93"/>
      <c r="HN421" s="20"/>
      <c r="HO421" s="219"/>
      <c r="HP421" s="20"/>
      <c r="HQ421" s="25"/>
      <c r="HR421" s="29"/>
      <c r="HS421" s="1504">
        <v>47270</v>
      </c>
      <c r="HT421" s="19"/>
      <c r="HU421" s="93"/>
      <c r="HV421" s="93"/>
      <c r="HW421" s="93"/>
      <c r="HX421" s="93"/>
      <c r="HY421" s="93"/>
      <c r="HZ421" s="93"/>
      <c r="IA421" s="20"/>
      <c r="IB421" s="19"/>
      <c r="IC421" s="93"/>
      <c r="ID421" s="93"/>
      <c r="IE421" s="93"/>
      <c r="IF421" s="93"/>
      <c r="IG421" s="20"/>
      <c r="IH421" s="19"/>
      <c r="II421" s="93"/>
      <c r="IJ421" s="93"/>
      <c r="IK421" s="93"/>
      <c r="IL421" s="93"/>
      <c r="IM421" s="93"/>
      <c r="IN421" s="93"/>
      <c r="IO421" s="20"/>
      <c r="IP421" s="29"/>
      <c r="IQ421" s="19"/>
      <c r="IR421" s="93"/>
      <c r="IS421" s="93"/>
      <c r="IT421" s="93"/>
      <c r="IU421" s="93"/>
      <c r="IV421" s="20"/>
      <c r="IW421" s="29"/>
      <c r="IX421" s="19"/>
      <c r="IY421" s="93"/>
      <c r="IZ421" s="93"/>
      <c r="JA421" s="93"/>
      <c r="JB421" s="93"/>
      <c r="JC421" s="93"/>
      <c r="JD421" s="93"/>
      <c r="JE421" s="20"/>
      <c r="JF421" s="29"/>
      <c r="JG421" s="19"/>
      <c r="JH421" s="93"/>
      <c r="JI421" s="93"/>
      <c r="JJ421" s="93"/>
      <c r="JK421" s="93"/>
      <c r="JL421" s="93"/>
      <c r="JM421" s="93"/>
      <c r="JN421" s="20"/>
      <c r="JO421" s="29"/>
      <c r="JP421" s="19"/>
      <c r="JQ421" s="93"/>
      <c r="JR421" s="93"/>
      <c r="JS421" s="93"/>
      <c r="JT421" s="93"/>
      <c r="JU421" s="20"/>
      <c r="JV421" s="29"/>
      <c r="JW421" s="1504">
        <v>47270</v>
      </c>
      <c r="JX421" s="19"/>
      <c r="JY421" s="93"/>
      <c r="JZ421" s="93"/>
      <c r="KA421" s="93"/>
      <c r="KB421" s="93"/>
      <c r="KC421" s="93"/>
      <c r="KD421" s="20"/>
      <c r="KE421" s="29"/>
      <c r="KF421" s="19"/>
      <c r="KG421" s="93"/>
      <c r="KH421" s="93"/>
      <c r="KI421" s="93"/>
      <c r="KJ421" s="93"/>
      <c r="KK421" s="20"/>
      <c r="KL421" s="29"/>
      <c r="KM421" s="19"/>
      <c r="KN421" s="93"/>
      <c r="KO421" s="93"/>
      <c r="KP421" s="93"/>
      <c r="KQ421" s="93"/>
      <c r="KR421" s="20"/>
      <c r="KS421" s="29"/>
      <c r="KT421" s="19"/>
      <c r="KU421" s="93"/>
      <c r="KV421" s="93"/>
      <c r="KW421" s="93"/>
      <c r="KX421" s="93"/>
      <c r="KY421" s="20"/>
      <c r="KZ421" s="29"/>
      <c r="LA421" s="1504">
        <v>47270</v>
      </c>
      <c r="LB421" s="19"/>
      <c r="LC421" s="93"/>
      <c r="LD421" s="93"/>
      <c r="LE421" s="93"/>
      <c r="LF421" s="93"/>
      <c r="LG421" s="93"/>
      <c r="LH421" s="20"/>
      <c r="LI421" s="29"/>
      <c r="LJ421" s="19"/>
      <c r="LK421" s="93"/>
      <c r="LL421" s="93"/>
      <c r="LM421" s="93"/>
      <c r="LN421" s="93"/>
      <c r="LO421" s="20"/>
      <c r="LP421" s="29"/>
      <c r="LQ421" s="19"/>
      <c r="LR421" s="93"/>
      <c r="LS421" s="93"/>
      <c r="LT421" s="93"/>
      <c r="LU421" s="93"/>
      <c r="LV421" s="93"/>
      <c r="LW421" s="93"/>
      <c r="LX421" s="93"/>
      <c r="LY421" s="93"/>
      <c r="LZ421" s="93"/>
      <c r="MA421" s="20"/>
      <c r="MB421" s="29"/>
      <c r="MC421" s="1504">
        <v>47270</v>
      </c>
      <c r="MD421" s="19"/>
      <c r="ME421" s="93"/>
      <c r="MF421" s="93"/>
      <c r="MG421" s="93"/>
      <c r="MH421" s="93"/>
      <c r="MI421" s="93"/>
      <c r="MJ421" s="93"/>
      <c r="MK421" s="93"/>
      <c r="ML421" s="93"/>
      <c r="MM421" s="93"/>
      <c r="MN421" s="93"/>
      <c r="MO421" s="93"/>
      <c r="MP421" s="93"/>
      <c r="MQ421" s="93"/>
      <c r="MR421" s="93"/>
      <c r="MS421" s="93"/>
      <c r="MT421" s="93"/>
      <c r="MU421" s="93"/>
      <c r="MV421" s="93"/>
      <c r="MW421" s="93"/>
      <c r="MX421" s="93"/>
      <c r="MY421" s="93"/>
      <c r="MZ421" s="93"/>
      <c r="NA421" s="93"/>
      <c r="NB421" s="93"/>
      <c r="NC421" s="93"/>
      <c r="ND421" s="93"/>
      <c r="NE421" s="93"/>
      <c r="NF421" s="93"/>
      <c r="NG421" s="93"/>
      <c r="NH421" s="93"/>
      <c r="NI421" s="93"/>
      <c r="NJ421" s="93"/>
      <c r="NK421" s="93"/>
      <c r="NL421" s="93"/>
      <c r="NM421" s="93"/>
      <c r="NN421" s="93"/>
      <c r="NO421" s="93"/>
      <c r="NP421" s="93"/>
      <c r="NQ421" s="93"/>
      <c r="NR421" s="93"/>
      <c r="NS421" s="93"/>
      <c r="NT421" s="93"/>
      <c r="NU421" s="93"/>
      <c r="NV421" s="93"/>
      <c r="NW421" s="93"/>
      <c r="NX421" s="93"/>
      <c r="NY421" s="93"/>
      <c r="NZ421" s="93"/>
      <c r="OA421" s="93"/>
      <c r="OB421" s="93"/>
      <c r="OC421" s="93"/>
      <c r="OD421" s="20"/>
      <c r="OE421" s="29"/>
      <c r="OF421" s="1504">
        <v>47270</v>
      </c>
      <c r="OG421" s="19"/>
      <c r="OH421" s="93"/>
      <c r="OI421" s="93"/>
      <c r="OJ421" s="93"/>
      <c r="OK421" s="93"/>
      <c r="OL421" s="93"/>
      <c r="OM421" s="93"/>
      <c r="ON421" s="93"/>
      <c r="OO421" s="93"/>
      <c r="OP421" s="93"/>
      <c r="OQ421" s="93"/>
      <c r="OR421" s="93"/>
      <c r="OS421" s="93"/>
      <c r="OT421" s="93"/>
      <c r="OU421" s="93"/>
      <c r="OV421" s="93"/>
      <c r="OW421" s="93"/>
      <c r="OX421" s="93"/>
      <c r="OY421" s="93"/>
      <c r="OZ421" s="93"/>
      <c r="PA421" s="93"/>
      <c r="PB421" s="93"/>
      <c r="PC421" s="20"/>
      <c r="PD421" s="29"/>
      <c r="PE421" s="19"/>
      <c r="PF421" s="93"/>
      <c r="PG421" s="93"/>
      <c r="PH421" s="93"/>
      <c r="PI421" s="93"/>
      <c r="PJ421" s="93"/>
      <c r="PK421" s="93"/>
      <c r="PL421" s="93"/>
      <c r="PM421" s="93"/>
      <c r="PN421" s="93"/>
      <c r="PO421" s="93"/>
      <c r="PP421" s="93"/>
      <c r="PQ421" s="93"/>
      <c r="PR421" s="93"/>
      <c r="PS421" s="93"/>
      <c r="PT421" s="93"/>
      <c r="PU421" s="93"/>
      <c r="PV421" s="93"/>
      <c r="PW421" s="93"/>
      <c r="PX421" s="93"/>
      <c r="PY421" s="93"/>
      <c r="PZ421" s="93"/>
      <c r="QA421" s="93"/>
      <c r="QB421" s="93"/>
      <c r="QC421" s="93"/>
      <c r="QD421" s="93"/>
      <c r="QE421" s="20"/>
      <c r="QF421" s="1739"/>
      <c r="QG421" s="19"/>
      <c r="QH421" s="93"/>
      <c r="QI421" s="93"/>
      <c r="QJ421" s="93"/>
      <c r="QK421" s="93"/>
      <c r="QL421" s="93"/>
      <c r="QM421" s="93"/>
      <c r="QN421" s="93"/>
      <c r="QO421" s="93"/>
      <c r="QP421" s="93"/>
      <c r="QQ421" s="93"/>
      <c r="QR421" s="93"/>
      <c r="QS421" s="93"/>
      <c r="QT421" s="93"/>
      <c r="QU421" s="93"/>
      <c r="QV421" s="93"/>
      <c r="QW421" s="93"/>
      <c r="QX421" s="93"/>
      <c r="QY421" s="93"/>
      <c r="QZ421" s="93"/>
      <c r="RA421" s="93"/>
      <c r="RB421" s="93"/>
      <c r="RC421" s="93"/>
      <c r="RD421" s="93"/>
      <c r="RE421" s="93"/>
      <c r="RF421" s="93"/>
      <c r="RG421" s="93"/>
      <c r="RH421" s="93"/>
      <c r="RI421" s="93"/>
      <c r="RJ421" s="93"/>
      <c r="RK421" s="93"/>
      <c r="RL421" s="93"/>
      <c r="RM421" s="20"/>
      <c r="RN421" s="29"/>
      <c r="RO421" s="19"/>
      <c r="RP421" s="20"/>
      <c r="RQ421" s="29"/>
      <c r="RR421" s="20"/>
      <c r="RS421" s="29"/>
      <c r="RT421" s="1504">
        <v>47270</v>
      </c>
      <c r="RU421" s="19"/>
      <c r="RV421" s="20"/>
      <c r="RW421" s="29"/>
      <c r="RX421" s="1504">
        <v>47270</v>
      </c>
      <c r="RY421" s="29"/>
      <c r="RZ421" s="20"/>
      <c r="SA421" s="29"/>
      <c r="SB421" s="29"/>
    </row>
    <row r="422" spans="1:496">
      <c r="A422" s="41">
        <f t="shared" si="358"/>
        <v>2029</v>
      </c>
      <c r="B422" s="1504">
        <v>47300</v>
      </c>
      <c r="C422" s="1813"/>
      <c r="D422" s="1814"/>
      <c r="E422" s="1814"/>
      <c r="F422" s="1815"/>
      <c r="G422" s="1814"/>
      <c r="H422" s="1814"/>
      <c r="I422" s="1814"/>
      <c r="J422" s="1816"/>
      <c r="K422" s="1807"/>
      <c r="L422" s="25"/>
      <c r="M422" s="97"/>
      <c r="N422" s="1504">
        <v>47300</v>
      </c>
      <c r="O422" s="19"/>
      <c r="P422" s="93"/>
      <c r="Q422" s="93"/>
      <c r="R422" s="93"/>
      <c r="S422" s="93"/>
      <c r="T422" s="93"/>
      <c r="U422" s="93"/>
      <c r="V422" s="93"/>
      <c r="W422" s="93"/>
      <c r="X422" s="93"/>
      <c r="Y422" s="93"/>
      <c r="Z422" s="93"/>
      <c r="AA422" s="93"/>
      <c r="AB422" s="20"/>
      <c r="AC422" s="25"/>
      <c r="AD422" s="97"/>
      <c r="AE422" s="1504">
        <v>47300</v>
      </c>
      <c r="AF422" s="19"/>
      <c r="AG422" s="93"/>
      <c r="AH422" s="93"/>
      <c r="AI422" s="93"/>
      <c r="AJ422" s="93"/>
      <c r="AK422" s="93"/>
      <c r="AL422" s="93"/>
      <c r="AM422" s="93"/>
      <c r="AN422" s="93"/>
      <c r="AO422" s="93"/>
      <c r="AP422" s="93"/>
      <c r="AQ422" s="93"/>
      <c r="AR422" s="93"/>
      <c r="AS422" s="20"/>
      <c r="AT422" s="25"/>
      <c r="AU422" s="97"/>
      <c r="AV422" s="1504">
        <v>47300</v>
      </c>
      <c r="AW422" s="19"/>
      <c r="AX422" s="93"/>
      <c r="AY422" s="93"/>
      <c r="AZ422" s="93"/>
      <c r="BA422" s="93"/>
      <c r="BB422" s="93"/>
      <c r="BC422" s="93"/>
      <c r="BD422" s="93"/>
      <c r="BE422" s="93"/>
      <c r="BF422" s="93"/>
      <c r="BG422" s="93"/>
      <c r="BH422" s="93"/>
      <c r="BI422" s="93"/>
      <c r="BJ422" s="20"/>
      <c r="BK422" s="25"/>
      <c r="BL422" s="97"/>
      <c r="BM422" s="1504">
        <v>47300</v>
      </c>
      <c r="BN422" s="19"/>
      <c r="BO422" s="93"/>
      <c r="BP422" s="93"/>
      <c r="BQ422" s="93"/>
      <c r="BR422" s="93"/>
      <c r="BS422" s="93"/>
      <c r="BT422" s="93"/>
      <c r="BU422" s="20"/>
      <c r="BV422" s="25"/>
      <c r="BW422" s="97"/>
      <c r="BX422" s="1504">
        <v>47300</v>
      </c>
      <c r="BY422" s="19"/>
      <c r="BZ422" s="93"/>
      <c r="CA422" s="93"/>
      <c r="CB422" s="93"/>
      <c r="CC422" s="93"/>
      <c r="CD422" s="25"/>
      <c r="CE422" s="97"/>
      <c r="CF422" s="1504">
        <v>47300</v>
      </c>
      <c r="CG422" s="19"/>
      <c r="CH422" s="93"/>
      <c r="CI422" s="219"/>
      <c r="CJ422" s="20"/>
      <c r="CK422" s="19"/>
      <c r="CL422" s="93"/>
      <c r="CM422" s="93"/>
      <c r="CN422" s="93"/>
      <c r="CO422" s="93"/>
      <c r="CP422" s="20"/>
      <c r="CQ422" s="219"/>
      <c r="CR422" s="93"/>
      <c r="CS422" s="93"/>
      <c r="CT422" s="93"/>
      <c r="CU422" s="93"/>
      <c r="CV422" s="214"/>
      <c r="CW422" s="29"/>
      <c r="CX422" s="41">
        <f t="shared" si="357"/>
        <v>2029</v>
      </c>
      <c r="CY422" s="1504">
        <v>47300</v>
      </c>
      <c r="CZ422" s="19"/>
      <c r="DA422" s="93"/>
      <c r="DB422" s="93"/>
      <c r="DC422" s="93"/>
      <c r="DD422" s="93"/>
      <c r="DE422" s="20"/>
      <c r="DF422" s="29"/>
      <c r="DG422" s="1504">
        <v>47300</v>
      </c>
      <c r="DH422" s="19"/>
      <c r="DI422" s="93"/>
      <c r="DJ422" s="93"/>
      <c r="DK422" s="93"/>
      <c r="DL422" s="93"/>
      <c r="DM422" s="93"/>
      <c r="DN422" s="20"/>
      <c r="DO422" s="295"/>
      <c r="DP422" s="29"/>
      <c r="DQ422" s="1504">
        <v>47300</v>
      </c>
      <c r="DR422" s="19"/>
      <c r="DS422" s="93"/>
      <c r="DT422" s="93"/>
      <c r="DU422" s="93"/>
      <c r="DV422" s="93"/>
      <c r="DW422" s="93"/>
      <c r="DX422" s="20"/>
      <c r="DY422" s="29"/>
      <c r="DZ422" s="1504">
        <v>47300</v>
      </c>
      <c r="EA422" s="19"/>
      <c r="EB422" s="93"/>
      <c r="EC422" s="20"/>
      <c r="ED422" s="29"/>
      <c r="EE422" s="1504">
        <v>47300</v>
      </c>
      <c r="EF422" s="19"/>
      <c r="EG422" s="93"/>
      <c r="EH422" s="93"/>
      <c r="EI422" s="214"/>
      <c r="EJ422" s="93"/>
      <c r="EK422" s="93"/>
      <c r="EL422" s="93"/>
      <c r="EM422" s="93"/>
      <c r="EN422" s="20"/>
      <c r="EO422" s="29"/>
      <c r="EP422" s="1504">
        <v>47300</v>
      </c>
      <c r="EQ422" s="19"/>
      <c r="ER422" s="93"/>
      <c r="ES422" s="93"/>
      <c r="ET422" s="214"/>
      <c r="EU422" s="93"/>
      <c r="EV422" s="93"/>
      <c r="EW422" s="93"/>
      <c r="EX422" s="93"/>
      <c r="EY422" s="20"/>
      <c r="EZ422" s="29"/>
      <c r="FA422" s="1504">
        <v>47300</v>
      </c>
      <c r="FB422" s="29"/>
      <c r="FC422" s="29"/>
      <c r="FD422" s="29"/>
      <c r="FE422" s="29"/>
      <c r="FF422" s="29"/>
      <c r="FG422" s="29"/>
      <c r="FH422" s="29"/>
      <c r="FI422" s="29"/>
      <c r="FJ422" s="29"/>
      <c r="FK422" s="29"/>
      <c r="FL422" s="1504">
        <v>47300</v>
      </c>
      <c r="FM422" s="19"/>
      <c r="FN422" s="93"/>
      <c r="FO422" s="93"/>
      <c r="FP422" s="93"/>
      <c r="FQ422" s="93"/>
      <c r="FR422" s="93"/>
      <c r="FS422" s="93"/>
      <c r="FT422" s="93"/>
      <c r="FU422" s="93"/>
      <c r="FV422" s="93"/>
      <c r="FW422" s="93"/>
      <c r="FX422" s="93"/>
      <c r="FY422" s="93"/>
      <c r="FZ422" s="29"/>
      <c r="GA422" s="1504">
        <v>47300</v>
      </c>
      <c r="GB422" s="19"/>
      <c r="GC422" s="93"/>
      <c r="GD422" s="93"/>
      <c r="GE422" s="93"/>
      <c r="GF422" s="93"/>
      <c r="GG422" s="93"/>
      <c r="GH422" s="93"/>
      <c r="GI422" s="93"/>
      <c r="GJ422" s="93"/>
      <c r="GK422" s="93"/>
      <c r="GL422" s="93"/>
      <c r="GM422" s="93"/>
      <c r="GN422" s="20"/>
      <c r="GO422" s="29"/>
      <c r="GP422" s="1504">
        <v>47300</v>
      </c>
      <c r="GQ422" s="19"/>
      <c r="GR422" s="93"/>
      <c r="GS422" s="93"/>
      <c r="GT422" s="93"/>
      <c r="GU422" s="93"/>
      <c r="GV422" s="20"/>
      <c r="GW422" s="19"/>
      <c r="GX422" s="93"/>
      <c r="GY422" s="93"/>
      <c r="GZ422" s="93"/>
      <c r="HA422" s="93"/>
      <c r="HB422" s="20"/>
      <c r="HC422" s="19"/>
      <c r="HD422" s="93"/>
      <c r="HE422" s="93"/>
      <c r="HF422" s="93"/>
      <c r="HG422" s="93"/>
      <c r="HH422" s="20"/>
      <c r="HI422" s="19"/>
      <c r="HJ422" s="93"/>
      <c r="HK422" s="93"/>
      <c r="HL422" s="93"/>
      <c r="HM422" s="93"/>
      <c r="HN422" s="20"/>
      <c r="HO422" s="219"/>
      <c r="HP422" s="20"/>
      <c r="HQ422" s="25"/>
      <c r="HR422" s="29"/>
      <c r="HS422" s="1504">
        <v>47300</v>
      </c>
      <c r="HT422" s="19"/>
      <c r="HU422" s="93"/>
      <c r="HV422" s="93"/>
      <c r="HW422" s="93"/>
      <c r="HX422" s="93"/>
      <c r="HY422" s="93"/>
      <c r="HZ422" s="93"/>
      <c r="IA422" s="20"/>
      <c r="IB422" s="19"/>
      <c r="IC422" s="93"/>
      <c r="ID422" s="93"/>
      <c r="IE422" s="93"/>
      <c r="IF422" s="93"/>
      <c r="IG422" s="20"/>
      <c r="IH422" s="19"/>
      <c r="II422" s="93"/>
      <c r="IJ422" s="93"/>
      <c r="IK422" s="93"/>
      <c r="IL422" s="93"/>
      <c r="IM422" s="93"/>
      <c r="IN422" s="93"/>
      <c r="IO422" s="20"/>
      <c r="IP422" s="29"/>
      <c r="IQ422" s="19"/>
      <c r="IR422" s="93"/>
      <c r="IS422" s="93"/>
      <c r="IT422" s="93"/>
      <c r="IU422" s="93"/>
      <c r="IV422" s="20"/>
      <c r="IW422" s="29"/>
      <c r="IX422" s="19"/>
      <c r="IY422" s="93"/>
      <c r="IZ422" s="93"/>
      <c r="JA422" s="93"/>
      <c r="JB422" s="93"/>
      <c r="JC422" s="93"/>
      <c r="JD422" s="93"/>
      <c r="JE422" s="20"/>
      <c r="JF422" s="29"/>
      <c r="JG422" s="19"/>
      <c r="JH422" s="93"/>
      <c r="JI422" s="93"/>
      <c r="JJ422" s="93"/>
      <c r="JK422" s="93"/>
      <c r="JL422" s="93"/>
      <c r="JM422" s="93"/>
      <c r="JN422" s="20"/>
      <c r="JO422" s="29"/>
      <c r="JP422" s="19"/>
      <c r="JQ422" s="93"/>
      <c r="JR422" s="93"/>
      <c r="JS422" s="93"/>
      <c r="JT422" s="93"/>
      <c r="JU422" s="20"/>
      <c r="JV422" s="29"/>
      <c r="JW422" s="1504">
        <v>47300</v>
      </c>
      <c r="JX422" s="19"/>
      <c r="JY422" s="93"/>
      <c r="JZ422" s="93"/>
      <c r="KA422" s="93"/>
      <c r="KB422" s="93"/>
      <c r="KC422" s="93"/>
      <c r="KD422" s="20"/>
      <c r="KE422" s="29"/>
      <c r="KF422" s="19"/>
      <c r="KG422" s="93"/>
      <c r="KH422" s="93"/>
      <c r="KI422" s="93"/>
      <c r="KJ422" s="93"/>
      <c r="KK422" s="20"/>
      <c r="KL422" s="29"/>
      <c r="KM422" s="19"/>
      <c r="KN422" s="93"/>
      <c r="KO422" s="93"/>
      <c r="KP422" s="93"/>
      <c r="KQ422" s="93"/>
      <c r="KR422" s="20"/>
      <c r="KS422" s="29"/>
      <c r="KT422" s="19"/>
      <c r="KU422" s="93"/>
      <c r="KV422" s="93"/>
      <c r="KW422" s="93"/>
      <c r="KX422" s="93"/>
      <c r="KY422" s="20"/>
      <c r="KZ422" s="29"/>
      <c r="LA422" s="1504">
        <v>47300</v>
      </c>
      <c r="LB422" s="19"/>
      <c r="LC422" s="93"/>
      <c r="LD422" s="93"/>
      <c r="LE422" s="93"/>
      <c r="LF422" s="93"/>
      <c r="LG422" s="93"/>
      <c r="LH422" s="20"/>
      <c r="LI422" s="29"/>
      <c r="LJ422" s="19"/>
      <c r="LK422" s="93"/>
      <c r="LL422" s="93"/>
      <c r="LM422" s="93"/>
      <c r="LN422" s="93"/>
      <c r="LO422" s="20"/>
      <c r="LP422" s="29"/>
      <c r="LQ422" s="19"/>
      <c r="LR422" s="93"/>
      <c r="LS422" s="93"/>
      <c r="LT422" s="93"/>
      <c r="LU422" s="93"/>
      <c r="LV422" s="93"/>
      <c r="LW422" s="93"/>
      <c r="LX422" s="93"/>
      <c r="LY422" s="93"/>
      <c r="LZ422" s="93"/>
      <c r="MA422" s="20"/>
      <c r="MB422" s="29"/>
      <c r="MC422" s="1504">
        <v>47300</v>
      </c>
      <c r="MD422" s="19"/>
      <c r="ME422" s="93"/>
      <c r="MF422" s="93"/>
      <c r="MG422" s="93"/>
      <c r="MH422" s="93"/>
      <c r="MI422" s="93"/>
      <c r="MJ422" s="93"/>
      <c r="MK422" s="93"/>
      <c r="ML422" s="93"/>
      <c r="MM422" s="93"/>
      <c r="MN422" s="93"/>
      <c r="MO422" s="93"/>
      <c r="MP422" s="93"/>
      <c r="MQ422" s="93"/>
      <c r="MR422" s="93"/>
      <c r="MS422" s="93"/>
      <c r="MT422" s="93"/>
      <c r="MU422" s="93"/>
      <c r="MV422" s="93"/>
      <c r="MW422" s="93"/>
      <c r="MX422" s="93"/>
      <c r="MY422" s="93"/>
      <c r="MZ422" s="93"/>
      <c r="NA422" s="93"/>
      <c r="NB422" s="93"/>
      <c r="NC422" s="93"/>
      <c r="ND422" s="93"/>
      <c r="NE422" s="93"/>
      <c r="NF422" s="93"/>
      <c r="NG422" s="93"/>
      <c r="NH422" s="93"/>
      <c r="NI422" s="93"/>
      <c r="NJ422" s="93"/>
      <c r="NK422" s="93"/>
      <c r="NL422" s="93"/>
      <c r="NM422" s="93"/>
      <c r="NN422" s="93"/>
      <c r="NO422" s="93"/>
      <c r="NP422" s="93"/>
      <c r="NQ422" s="93"/>
      <c r="NR422" s="93"/>
      <c r="NS422" s="93"/>
      <c r="NT422" s="93"/>
      <c r="NU422" s="93"/>
      <c r="NV422" s="93"/>
      <c r="NW422" s="93"/>
      <c r="NX422" s="93"/>
      <c r="NY422" s="93"/>
      <c r="NZ422" s="93"/>
      <c r="OA422" s="93"/>
      <c r="OB422" s="93"/>
      <c r="OC422" s="93"/>
      <c r="OD422" s="20"/>
      <c r="OE422" s="29"/>
      <c r="OF422" s="1504">
        <v>47300</v>
      </c>
      <c r="OG422" s="19"/>
      <c r="OH422" s="93"/>
      <c r="OI422" s="93"/>
      <c r="OJ422" s="93"/>
      <c r="OK422" s="93"/>
      <c r="OL422" s="93"/>
      <c r="OM422" s="93"/>
      <c r="ON422" s="93"/>
      <c r="OO422" s="93"/>
      <c r="OP422" s="93"/>
      <c r="OQ422" s="93"/>
      <c r="OR422" s="93"/>
      <c r="OS422" s="93"/>
      <c r="OT422" s="93"/>
      <c r="OU422" s="93"/>
      <c r="OV422" s="93"/>
      <c r="OW422" s="93"/>
      <c r="OX422" s="93"/>
      <c r="OY422" s="93"/>
      <c r="OZ422" s="93"/>
      <c r="PA422" s="93"/>
      <c r="PB422" s="93"/>
      <c r="PC422" s="20"/>
      <c r="PD422" s="29"/>
      <c r="PE422" s="19"/>
      <c r="PF422" s="93"/>
      <c r="PG422" s="93"/>
      <c r="PH422" s="93"/>
      <c r="PI422" s="93"/>
      <c r="PJ422" s="93"/>
      <c r="PK422" s="93"/>
      <c r="PL422" s="93"/>
      <c r="PM422" s="93"/>
      <c r="PN422" s="93"/>
      <c r="PO422" s="93"/>
      <c r="PP422" s="93"/>
      <c r="PQ422" s="93"/>
      <c r="PR422" s="93"/>
      <c r="PS422" s="93"/>
      <c r="PT422" s="93"/>
      <c r="PU422" s="93"/>
      <c r="PV422" s="93"/>
      <c r="PW422" s="93"/>
      <c r="PX422" s="93"/>
      <c r="PY422" s="93"/>
      <c r="PZ422" s="93"/>
      <c r="QA422" s="93"/>
      <c r="QB422" s="93"/>
      <c r="QC422" s="93"/>
      <c r="QD422" s="93"/>
      <c r="QE422" s="20"/>
      <c r="QF422" s="1739"/>
      <c r="QG422" s="19"/>
      <c r="QH422" s="93"/>
      <c r="QI422" s="93"/>
      <c r="QJ422" s="93"/>
      <c r="QK422" s="93"/>
      <c r="QL422" s="93"/>
      <c r="QM422" s="93"/>
      <c r="QN422" s="93"/>
      <c r="QO422" s="93"/>
      <c r="QP422" s="93"/>
      <c r="QQ422" s="93"/>
      <c r="QR422" s="93"/>
      <c r="QS422" s="93"/>
      <c r="QT422" s="93"/>
      <c r="QU422" s="93"/>
      <c r="QV422" s="93"/>
      <c r="QW422" s="93"/>
      <c r="QX422" s="93"/>
      <c r="QY422" s="93"/>
      <c r="QZ422" s="93"/>
      <c r="RA422" s="93"/>
      <c r="RB422" s="93"/>
      <c r="RC422" s="93"/>
      <c r="RD422" s="93"/>
      <c r="RE422" s="93"/>
      <c r="RF422" s="93"/>
      <c r="RG422" s="93"/>
      <c r="RH422" s="93"/>
      <c r="RI422" s="93"/>
      <c r="RJ422" s="93"/>
      <c r="RK422" s="93"/>
      <c r="RL422" s="93"/>
      <c r="RM422" s="20"/>
      <c r="RN422" s="29"/>
      <c r="RO422" s="19"/>
      <c r="RP422" s="20"/>
      <c r="RQ422" s="29"/>
      <c r="RR422" s="20"/>
      <c r="RS422" s="29"/>
      <c r="RT422" s="1504">
        <v>47300</v>
      </c>
      <c r="RU422" s="19"/>
      <c r="RV422" s="20"/>
      <c r="RW422" s="29"/>
      <c r="RX422" s="1504">
        <v>47300</v>
      </c>
      <c r="RY422" s="29"/>
      <c r="RZ422" s="20"/>
      <c r="SA422" s="29"/>
      <c r="SB422" s="29"/>
    </row>
    <row r="423" spans="1:496">
      <c r="A423" s="41">
        <f t="shared" si="358"/>
        <v>2029</v>
      </c>
      <c r="B423" s="1504">
        <v>47331</v>
      </c>
      <c r="C423" s="1813"/>
      <c r="D423" s="1814"/>
      <c r="E423" s="1814"/>
      <c r="F423" s="1815"/>
      <c r="G423" s="1814"/>
      <c r="H423" s="1814"/>
      <c r="I423" s="1814"/>
      <c r="J423" s="1816"/>
      <c r="K423" s="1807"/>
      <c r="L423" s="25"/>
      <c r="M423" s="97"/>
      <c r="N423" s="1504">
        <v>47331</v>
      </c>
      <c r="O423" s="19"/>
      <c r="P423" s="93"/>
      <c r="Q423" s="93"/>
      <c r="R423" s="93"/>
      <c r="S423" s="93"/>
      <c r="T423" s="93"/>
      <c r="U423" s="93"/>
      <c r="V423" s="93"/>
      <c r="W423" s="93"/>
      <c r="X423" s="93"/>
      <c r="Y423" s="93"/>
      <c r="Z423" s="93"/>
      <c r="AA423" s="93"/>
      <c r="AB423" s="20"/>
      <c r="AC423" s="25"/>
      <c r="AD423" s="97"/>
      <c r="AE423" s="1504">
        <v>47331</v>
      </c>
      <c r="AF423" s="19"/>
      <c r="AG423" s="93"/>
      <c r="AH423" s="93"/>
      <c r="AI423" s="93"/>
      <c r="AJ423" s="93"/>
      <c r="AK423" s="93"/>
      <c r="AL423" s="93"/>
      <c r="AM423" s="93"/>
      <c r="AN423" s="93"/>
      <c r="AO423" s="93"/>
      <c r="AP423" s="93"/>
      <c r="AQ423" s="93"/>
      <c r="AR423" s="93"/>
      <c r="AS423" s="20"/>
      <c r="AT423" s="25"/>
      <c r="AU423" s="97"/>
      <c r="AV423" s="1504">
        <v>47331</v>
      </c>
      <c r="AW423" s="19"/>
      <c r="AX423" s="93"/>
      <c r="AY423" s="93"/>
      <c r="AZ423" s="93"/>
      <c r="BA423" s="93"/>
      <c r="BB423" s="93"/>
      <c r="BC423" s="93"/>
      <c r="BD423" s="93"/>
      <c r="BE423" s="93"/>
      <c r="BF423" s="93"/>
      <c r="BG423" s="93"/>
      <c r="BH423" s="93"/>
      <c r="BI423" s="93"/>
      <c r="BJ423" s="20"/>
      <c r="BK423" s="25"/>
      <c r="BL423" s="97"/>
      <c r="BM423" s="1504">
        <v>47331</v>
      </c>
      <c r="BN423" s="19"/>
      <c r="BO423" s="93"/>
      <c r="BP423" s="93"/>
      <c r="BQ423" s="93"/>
      <c r="BR423" s="93"/>
      <c r="BS423" s="93"/>
      <c r="BT423" s="93"/>
      <c r="BU423" s="20"/>
      <c r="BV423" s="25"/>
      <c r="BW423" s="97"/>
      <c r="BX423" s="1504">
        <v>47331</v>
      </c>
      <c r="BY423" s="19"/>
      <c r="BZ423" s="93"/>
      <c r="CA423" s="93"/>
      <c r="CB423" s="93"/>
      <c r="CC423" s="93"/>
      <c r="CD423" s="25"/>
      <c r="CE423" s="97"/>
      <c r="CF423" s="1504">
        <v>47331</v>
      </c>
      <c r="CG423" s="19"/>
      <c r="CH423" s="93"/>
      <c r="CI423" s="219"/>
      <c r="CJ423" s="20"/>
      <c r="CK423" s="19"/>
      <c r="CL423" s="93"/>
      <c r="CM423" s="93"/>
      <c r="CN423" s="93"/>
      <c r="CO423" s="93"/>
      <c r="CP423" s="20"/>
      <c r="CQ423" s="219"/>
      <c r="CR423" s="93"/>
      <c r="CS423" s="93"/>
      <c r="CT423" s="93"/>
      <c r="CU423" s="93"/>
      <c r="CV423" s="214"/>
      <c r="CW423" s="29"/>
      <c r="CX423" s="41">
        <f t="shared" si="357"/>
        <v>2029</v>
      </c>
      <c r="CY423" s="1504">
        <v>47331</v>
      </c>
      <c r="CZ423" s="19"/>
      <c r="DA423" s="93"/>
      <c r="DB423" s="93"/>
      <c r="DC423" s="93"/>
      <c r="DD423" s="93"/>
      <c r="DE423" s="20"/>
      <c r="DF423" s="29"/>
      <c r="DG423" s="1504">
        <v>47331</v>
      </c>
      <c r="DH423" s="19"/>
      <c r="DI423" s="93"/>
      <c r="DJ423" s="93"/>
      <c r="DK423" s="93"/>
      <c r="DL423" s="93"/>
      <c r="DM423" s="93"/>
      <c r="DN423" s="20"/>
      <c r="DO423" s="295"/>
      <c r="DP423" s="29"/>
      <c r="DQ423" s="1504">
        <v>47331</v>
      </c>
      <c r="DR423" s="19"/>
      <c r="DS423" s="93"/>
      <c r="DT423" s="93"/>
      <c r="DU423" s="93"/>
      <c r="DV423" s="93"/>
      <c r="DW423" s="93"/>
      <c r="DX423" s="20"/>
      <c r="DY423" s="29"/>
      <c r="DZ423" s="1504">
        <v>47331</v>
      </c>
      <c r="EA423" s="19"/>
      <c r="EB423" s="93"/>
      <c r="EC423" s="20"/>
      <c r="ED423" s="29"/>
      <c r="EE423" s="1504">
        <v>47331</v>
      </c>
      <c r="EF423" s="19"/>
      <c r="EG423" s="93"/>
      <c r="EH423" s="93"/>
      <c r="EI423" s="214"/>
      <c r="EJ423" s="93"/>
      <c r="EK423" s="93"/>
      <c r="EL423" s="93"/>
      <c r="EM423" s="93"/>
      <c r="EN423" s="20"/>
      <c r="EO423" s="29"/>
      <c r="EP423" s="1504">
        <v>47331</v>
      </c>
      <c r="EQ423" s="19"/>
      <c r="ER423" s="93"/>
      <c r="ES423" s="93"/>
      <c r="ET423" s="214"/>
      <c r="EU423" s="93"/>
      <c r="EV423" s="93"/>
      <c r="EW423" s="93"/>
      <c r="EX423" s="93"/>
      <c r="EY423" s="20"/>
      <c r="EZ423" s="29"/>
      <c r="FA423" s="1504">
        <v>47331</v>
      </c>
      <c r="FB423" s="29"/>
      <c r="FC423" s="29"/>
      <c r="FD423" s="29"/>
      <c r="FE423" s="29"/>
      <c r="FF423" s="29"/>
      <c r="FG423" s="29"/>
      <c r="FH423" s="29"/>
      <c r="FI423" s="29"/>
      <c r="FJ423" s="29"/>
      <c r="FK423" s="29"/>
      <c r="FL423" s="1504">
        <v>47331</v>
      </c>
      <c r="FM423" s="19"/>
      <c r="FN423" s="93"/>
      <c r="FO423" s="93"/>
      <c r="FP423" s="93"/>
      <c r="FQ423" s="93"/>
      <c r="FR423" s="93"/>
      <c r="FS423" s="93"/>
      <c r="FT423" s="93"/>
      <c r="FU423" s="93"/>
      <c r="FV423" s="93"/>
      <c r="FW423" s="93"/>
      <c r="FX423" s="93"/>
      <c r="FY423" s="93"/>
      <c r="FZ423" s="29"/>
      <c r="GA423" s="1504">
        <v>47331</v>
      </c>
      <c r="GB423" s="19"/>
      <c r="GC423" s="93"/>
      <c r="GD423" s="93"/>
      <c r="GE423" s="93"/>
      <c r="GF423" s="93"/>
      <c r="GG423" s="93"/>
      <c r="GH423" s="93"/>
      <c r="GI423" s="93"/>
      <c r="GJ423" s="93"/>
      <c r="GK423" s="93"/>
      <c r="GL423" s="93"/>
      <c r="GM423" s="93"/>
      <c r="GN423" s="20"/>
      <c r="GO423" s="29"/>
      <c r="GP423" s="1504">
        <v>47331</v>
      </c>
      <c r="GQ423" s="19"/>
      <c r="GR423" s="93"/>
      <c r="GS423" s="93"/>
      <c r="GT423" s="93"/>
      <c r="GU423" s="93"/>
      <c r="GV423" s="20"/>
      <c r="GW423" s="19"/>
      <c r="GX423" s="93"/>
      <c r="GY423" s="93"/>
      <c r="GZ423" s="93"/>
      <c r="HA423" s="93"/>
      <c r="HB423" s="20"/>
      <c r="HC423" s="19"/>
      <c r="HD423" s="93"/>
      <c r="HE423" s="93"/>
      <c r="HF423" s="93"/>
      <c r="HG423" s="93"/>
      <c r="HH423" s="20"/>
      <c r="HI423" s="19"/>
      <c r="HJ423" s="93"/>
      <c r="HK423" s="93"/>
      <c r="HL423" s="93"/>
      <c r="HM423" s="93"/>
      <c r="HN423" s="20"/>
      <c r="HO423" s="219"/>
      <c r="HP423" s="20"/>
      <c r="HQ423" s="25"/>
      <c r="HR423" s="29"/>
      <c r="HS423" s="1504">
        <v>47331</v>
      </c>
      <c r="HT423" s="19"/>
      <c r="HU423" s="93"/>
      <c r="HV423" s="93"/>
      <c r="HW423" s="93"/>
      <c r="HX423" s="93"/>
      <c r="HY423" s="93"/>
      <c r="HZ423" s="93"/>
      <c r="IA423" s="20"/>
      <c r="IB423" s="19"/>
      <c r="IC423" s="93"/>
      <c r="ID423" s="93"/>
      <c r="IE423" s="93"/>
      <c r="IF423" s="93"/>
      <c r="IG423" s="20"/>
      <c r="IH423" s="19"/>
      <c r="II423" s="93"/>
      <c r="IJ423" s="93"/>
      <c r="IK423" s="93"/>
      <c r="IL423" s="93"/>
      <c r="IM423" s="93"/>
      <c r="IN423" s="93"/>
      <c r="IO423" s="20"/>
      <c r="IP423" s="29"/>
      <c r="IQ423" s="19"/>
      <c r="IR423" s="93"/>
      <c r="IS423" s="93"/>
      <c r="IT423" s="93"/>
      <c r="IU423" s="93"/>
      <c r="IV423" s="20"/>
      <c r="IW423" s="29"/>
      <c r="IX423" s="19"/>
      <c r="IY423" s="93"/>
      <c r="IZ423" s="93"/>
      <c r="JA423" s="93"/>
      <c r="JB423" s="93"/>
      <c r="JC423" s="93"/>
      <c r="JD423" s="93"/>
      <c r="JE423" s="20"/>
      <c r="JF423" s="29"/>
      <c r="JG423" s="19"/>
      <c r="JH423" s="93"/>
      <c r="JI423" s="93"/>
      <c r="JJ423" s="93"/>
      <c r="JK423" s="93"/>
      <c r="JL423" s="93"/>
      <c r="JM423" s="93"/>
      <c r="JN423" s="20"/>
      <c r="JO423" s="29"/>
      <c r="JP423" s="19"/>
      <c r="JQ423" s="93"/>
      <c r="JR423" s="93"/>
      <c r="JS423" s="93"/>
      <c r="JT423" s="93"/>
      <c r="JU423" s="20"/>
      <c r="JV423" s="29"/>
      <c r="JW423" s="1504">
        <v>47331</v>
      </c>
      <c r="JX423" s="19"/>
      <c r="JY423" s="93"/>
      <c r="JZ423" s="93"/>
      <c r="KA423" s="93"/>
      <c r="KB423" s="93"/>
      <c r="KC423" s="93"/>
      <c r="KD423" s="20"/>
      <c r="KE423" s="29"/>
      <c r="KF423" s="19"/>
      <c r="KG423" s="93"/>
      <c r="KH423" s="93"/>
      <c r="KI423" s="93"/>
      <c r="KJ423" s="93"/>
      <c r="KK423" s="20"/>
      <c r="KL423" s="29"/>
      <c r="KM423" s="19"/>
      <c r="KN423" s="93"/>
      <c r="KO423" s="93"/>
      <c r="KP423" s="93"/>
      <c r="KQ423" s="93"/>
      <c r="KR423" s="20"/>
      <c r="KS423" s="29"/>
      <c r="KT423" s="19"/>
      <c r="KU423" s="93"/>
      <c r="KV423" s="93"/>
      <c r="KW423" s="93"/>
      <c r="KX423" s="93"/>
      <c r="KY423" s="20"/>
      <c r="KZ423" s="29"/>
      <c r="LA423" s="1504">
        <v>47331</v>
      </c>
      <c r="LB423" s="19"/>
      <c r="LC423" s="93"/>
      <c r="LD423" s="93"/>
      <c r="LE423" s="93"/>
      <c r="LF423" s="93"/>
      <c r="LG423" s="93"/>
      <c r="LH423" s="20"/>
      <c r="LI423" s="29"/>
      <c r="LJ423" s="19"/>
      <c r="LK423" s="93"/>
      <c r="LL423" s="93"/>
      <c r="LM423" s="93"/>
      <c r="LN423" s="93"/>
      <c r="LO423" s="20"/>
      <c r="LP423" s="29"/>
      <c r="LQ423" s="19"/>
      <c r="LR423" s="93"/>
      <c r="LS423" s="93"/>
      <c r="LT423" s="93"/>
      <c r="LU423" s="93"/>
      <c r="LV423" s="93"/>
      <c r="LW423" s="93"/>
      <c r="LX423" s="93"/>
      <c r="LY423" s="93"/>
      <c r="LZ423" s="93"/>
      <c r="MA423" s="20"/>
      <c r="MB423" s="29"/>
      <c r="MC423" s="1504">
        <v>47331</v>
      </c>
      <c r="MD423" s="19"/>
      <c r="ME423" s="93"/>
      <c r="MF423" s="93"/>
      <c r="MG423" s="93"/>
      <c r="MH423" s="93"/>
      <c r="MI423" s="93"/>
      <c r="MJ423" s="93"/>
      <c r="MK423" s="93"/>
      <c r="ML423" s="93"/>
      <c r="MM423" s="93"/>
      <c r="MN423" s="93"/>
      <c r="MO423" s="93"/>
      <c r="MP423" s="93"/>
      <c r="MQ423" s="93"/>
      <c r="MR423" s="93"/>
      <c r="MS423" s="93"/>
      <c r="MT423" s="93"/>
      <c r="MU423" s="93"/>
      <c r="MV423" s="93"/>
      <c r="MW423" s="93"/>
      <c r="MX423" s="93"/>
      <c r="MY423" s="93"/>
      <c r="MZ423" s="93"/>
      <c r="NA423" s="93"/>
      <c r="NB423" s="93"/>
      <c r="NC423" s="93"/>
      <c r="ND423" s="93"/>
      <c r="NE423" s="93"/>
      <c r="NF423" s="93"/>
      <c r="NG423" s="93"/>
      <c r="NH423" s="93"/>
      <c r="NI423" s="93"/>
      <c r="NJ423" s="93"/>
      <c r="NK423" s="93"/>
      <c r="NL423" s="93"/>
      <c r="NM423" s="93"/>
      <c r="NN423" s="93"/>
      <c r="NO423" s="93"/>
      <c r="NP423" s="93"/>
      <c r="NQ423" s="93"/>
      <c r="NR423" s="93"/>
      <c r="NS423" s="93"/>
      <c r="NT423" s="93"/>
      <c r="NU423" s="93"/>
      <c r="NV423" s="93"/>
      <c r="NW423" s="93"/>
      <c r="NX423" s="93"/>
      <c r="NY423" s="93"/>
      <c r="NZ423" s="93"/>
      <c r="OA423" s="93"/>
      <c r="OB423" s="93"/>
      <c r="OC423" s="93"/>
      <c r="OD423" s="20"/>
      <c r="OE423" s="29"/>
      <c r="OF423" s="1504">
        <v>47331</v>
      </c>
      <c r="OG423" s="19"/>
      <c r="OH423" s="93"/>
      <c r="OI423" s="93"/>
      <c r="OJ423" s="93"/>
      <c r="OK423" s="93"/>
      <c r="OL423" s="93"/>
      <c r="OM423" s="93"/>
      <c r="ON423" s="93"/>
      <c r="OO423" s="93"/>
      <c r="OP423" s="93"/>
      <c r="OQ423" s="93"/>
      <c r="OR423" s="93"/>
      <c r="OS423" s="93"/>
      <c r="OT423" s="93"/>
      <c r="OU423" s="93"/>
      <c r="OV423" s="93"/>
      <c r="OW423" s="93"/>
      <c r="OX423" s="93"/>
      <c r="OY423" s="93"/>
      <c r="OZ423" s="93"/>
      <c r="PA423" s="93"/>
      <c r="PB423" s="93"/>
      <c r="PC423" s="20"/>
      <c r="PD423" s="29"/>
      <c r="PE423" s="19"/>
      <c r="PF423" s="93"/>
      <c r="PG423" s="93"/>
      <c r="PH423" s="93"/>
      <c r="PI423" s="93"/>
      <c r="PJ423" s="93"/>
      <c r="PK423" s="93"/>
      <c r="PL423" s="93"/>
      <c r="PM423" s="93"/>
      <c r="PN423" s="93"/>
      <c r="PO423" s="93"/>
      <c r="PP423" s="93"/>
      <c r="PQ423" s="93"/>
      <c r="PR423" s="93"/>
      <c r="PS423" s="93"/>
      <c r="PT423" s="93"/>
      <c r="PU423" s="93"/>
      <c r="PV423" s="93"/>
      <c r="PW423" s="93"/>
      <c r="PX423" s="93"/>
      <c r="PY423" s="93"/>
      <c r="PZ423" s="93"/>
      <c r="QA423" s="93"/>
      <c r="QB423" s="93"/>
      <c r="QC423" s="93"/>
      <c r="QD423" s="93"/>
      <c r="QE423" s="20"/>
      <c r="QF423" s="1739"/>
      <c r="QG423" s="19"/>
      <c r="QH423" s="93"/>
      <c r="QI423" s="93"/>
      <c r="QJ423" s="93"/>
      <c r="QK423" s="93"/>
      <c r="QL423" s="93"/>
      <c r="QM423" s="93"/>
      <c r="QN423" s="93"/>
      <c r="QO423" s="93"/>
      <c r="QP423" s="93"/>
      <c r="QQ423" s="93"/>
      <c r="QR423" s="93"/>
      <c r="QS423" s="93"/>
      <c r="QT423" s="93"/>
      <c r="QU423" s="93"/>
      <c r="QV423" s="93"/>
      <c r="QW423" s="93"/>
      <c r="QX423" s="93"/>
      <c r="QY423" s="93"/>
      <c r="QZ423" s="93"/>
      <c r="RA423" s="93"/>
      <c r="RB423" s="93"/>
      <c r="RC423" s="93"/>
      <c r="RD423" s="93"/>
      <c r="RE423" s="93"/>
      <c r="RF423" s="93"/>
      <c r="RG423" s="93"/>
      <c r="RH423" s="93"/>
      <c r="RI423" s="93"/>
      <c r="RJ423" s="93"/>
      <c r="RK423" s="93"/>
      <c r="RL423" s="93"/>
      <c r="RM423" s="20"/>
      <c r="RN423" s="29"/>
      <c r="RO423" s="19"/>
      <c r="RP423" s="20"/>
      <c r="RQ423" s="29"/>
      <c r="RR423" s="20"/>
      <c r="RS423" s="29"/>
      <c r="RT423" s="1504">
        <v>47331</v>
      </c>
      <c r="RU423" s="19"/>
      <c r="RV423" s="20"/>
      <c r="RW423" s="29"/>
      <c r="RX423" s="1504">
        <v>47331</v>
      </c>
      <c r="RY423" s="29"/>
      <c r="RZ423" s="20"/>
      <c r="SA423" s="29"/>
      <c r="SB423" s="29"/>
    </row>
    <row r="424" spans="1:496">
      <c r="A424" s="41">
        <f t="shared" si="358"/>
        <v>2029</v>
      </c>
      <c r="B424" s="1504">
        <v>47362</v>
      </c>
      <c r="C424" s="1813"/>
      <c r="D424" s="1814"/>
      <c r="E424" s="1814"/>
      <c r="F424" s="1815"/>
      <c r="G424" s="1814"/>
      <c r="H424" s="1814"/>
      <c r="I424" s="1814"/>
      <c r="J424" s="1816"/>
      <c r="K424" s="1807"/>
      <c r="L424" s="25"/>
      <c r="M424" s="97"/>
      <c r="N424" s="1504">
        <v>47362</v>
      </c>
      <c r="O424" s="19"/>
      <c r="P424" s="93"/>
      <c r="Q424" s="93"/>
      <c r="R424" s="93"/>
      <c r="S424" s="93"/>
      <c r="T424" s="93"/>
      <c r="U424" s="93"/>
      <c r="V424" s="93"/>
      <c r="W424" s="93"/>
      <c r="X424" s="93"/>
      <c r="Y424" s="93"/>
      <c r="Z424" s="93"/>
      <c r="AA424" s="93"/>
      <c r="AB424" s="20"/>
      <c r="AC424" s="25"/>
      <c r="AD424" s="97"/>
      <c r="AE424" s="1504">
        <v>47362</v>
      </c>
      <c r="AF424" s="19"/>
      <c r="AG424" s="93"/>
      <c r="AH424" s="93"/>
      <c r="AI424" s="93"/>
      <c r="AJ424" s="93"/>
      <c r="AK424" s="93"/>
      <c r="AL424" s="93"/>
      <c r="AM424" s="93"/>
      <c r="AN424" s="93"/>
      <c r="AO424" s="93"/>
      <c r="AP424" s="93"/>
      <c r="AQ424" s="93"/>
      <c r="AR424" s="93"/>
      <c r="AS424" s="20"/>
      <c r="AT424" s="25"/>
      <c r="AU424" s="97"/>
      <c r="AV424" s="1504">
        <v>47362</v>
      </c>
      <c r="AW424" s="19"/>
      <c r="AX424" s="93"/>
      <c r="AY424" s="93"/>
      <c r="AZ424" s="93"/>
      <c r="BA424" s="93"/>
      <c r="BB424" s="93"/>
      <c r="BC424" s="93"/>
      <c r="BD424" s="93"/>
      <c r="BE424" s="93"/>
      <c r="BF424" s="93"/>
      <c r="BG424" s="93"/>
      <c r="BH424" s="93"/>
      <c r="BI424" s="93"/>
      <c r="BJ424" s="20"/>
      <c r="BK424" s="25"/>
      <c r="BL424" s="97"/>
      <c r="BM424" s="1504">
        <v>47362</v>
      </c>
      <c r="BN424" s="19"/>
      <c r="BO424" s="93"/>
      <c r="BP424" s="93"/>
      <c r="BQ424" s="93"/>
      <c r="BR424" s="93"/>
      <c r="BS424" s="93"/>
      <c r="BT424" s="93"/>
      <c r="BU424" s="20"/>
      <c r="BV424" s="25"/>
      <c r="BW424" s="97"/>
      <c r="BX424" s="1504">
        <v>47362</v>
      </c>
      <c r="BY424" s="19"/>
      <c r="BZ424" s="93"/>
      <c r="CA424" s="93"/>
      <c r="CB424" s="93"/>
      <c r="CC424" s="93"/>
      <c r="CD424" s="25"/>
      <c r="CE424" s="97"/>
      <c r="CF424" s="1504">
        <v>47362</v>
      </c>
      <c r="CG424" s="19"/>
      <c r="CH424" s="93"/>
      <c r="CI424" s="219"/>
      <c r="CJ424" s="20"/>
      <c r="CK424" s="19"/>
      <c r="CL424" s="93"/>
      <c r="CM424" s="93"/>
      <c r="CN424" s="93"/>
      <c r="CO424" s="93"/>
      <c r="CP424" s="20"/>
      <c r="CQ424" s="219"/>
      <c r="CR424" s="93"/>
      <c r="CS424" s="93"/>
      <c r="CT424" s="93"/>
      <c r="CU424" s="93"/>
      <c r="CV424" s="214"/>
      <c r="CW424" s="29"/>
      <c r="CX424" s="41">
        <f t="shared" si="357"/>
        <v>2029</v>
      </c>
      <c r="CY424" s="1504">
        <v>47362</v>
      </c>
      <c r="CZ424" s="19"/>
      <c r="DA424" s="93"/>
      <c r="DB424" s="93"/>
      <c r="DC424" s="93"/>
      <c r="DD424" s="93"/>
      <c r="DE424" s="20"/>
      <c r="DF424" s="29"/>
      <c r="DG424" s="1504">
        <v>47362</v>
      </c>
      <c r="DH424" s="19"/>
      <c r="DI424" s="93"/>
      <c r="DJ424" s="93"/>
      <c r="DK424" s="93"/>
      <c r="DL424" s="93"/>
      <c r="DM424" s="93"/>
      <c r="DN424" s="20"/>
      <c r="DO424" s="295"/>
      <c r="DP424" s="29"/>
      <c r="DQ424" s="1504">
        <v>47362</v>
      </c>
      <c r="DR424" s="19"/>
      <c r="DS424" s="93"/>
      <c r="DT424" s="93"/>
      <c r="DU424" s="93"/>
      <c r="DV424" s="93"/>
      <c r="DW424" s="93"/>
      <c r="DX424" s="20"/>
      <c r="DY424" s="29"/>
      <c r="DZ424" s="1504">
        <v>47362</v>
      </c>
      <c r="EA424" s="19"/>
      <c r="EB424" s="93"/>
      <c r="EC424" s="20"/>
      <c r="ED424" s="29"/>
      <c r="EE424" s="1504">
        <v>47362</v>
      </c>
      <c r="EF424" s="19"/>
      <c r="EG424" s="93"/>
      <c r="EH424" s="93"/>
      <c r="EI424" s="214"/>
      <c r="EJ424" s="93"/>
      <c r="EK424" s="93"/>
      <c r="EL424" s="93"/>
      <c r="EM424" s="93"/>
      <c r="EN424" s="20"/>
      <c r="EO424" s="29"/>
      <c r="EP424" s="1504">
        <v>47362</v>
      </c>
      <c r="EQ424" s="19"/>
      <c r="ER424" s="93"/>
      <c r="ES424" s="93"/>
      <c r="ET424" s="214"/>
      <c r="EU424" s="93"/>
      <c r="EV424" s="93"/>
      <c r="EW424" s="93"/>
      <c r="EX424" s="93"/>
      <c r="EY424" s="20"/>
      <c r="EZ424" s="29"/>
      <c r="FA424" s="1504">
        <v>47362</v>
      </c>
      <c r="FB424" s="29"/>
      <c r="FC424" s="29"/>
      <c r="FD424" s="29"/>
      <c r="FE424" s="29"/>
      <c r="FF424" s="29"/>
      <c r="FG424" s="29"/>
      <c r="FH424" s="29"/>
      <c r="FI424" s="29"/>
      <c r="FJ424" s="29"/>
      <c r="FK424" s="29"/>
      <c r="FL424" s="1504">
        <v>47362</v>
      </c>
      <c r="FM424" s="19"/>
      <c r="FN424" s="93"/>
      <c r="FO424" s="93"/>
      <c r="FP424" s="93"/>
      <c r="FQ424" s="93"/>
      <c r="FR424" s="93"/>
      <c r="FS424" s="93"/>
      <c r="FT424" s="93"/>
      <c r="FU424" s="93"/>
      <c r="FV424" s="93"/>
      <c r="FW424" s="93"/>
      <c r="FX424" s="93"/>
      <c r="FY424" s="93"/>
      <c r="FZ424" s="29"/>
      <c r="GA424" s="1504">
        <v>47362</v>
      </c>
      <c r="GB424" s="19"/>
      <c r="GC424" s="93"/>
      <c r="GD424" s="93"/>
      <c r="GE424" s="93"/>
      <c r="GF424" s="93"/>
      <c r="GG424" s="93"/>
      <c r="GH424" s="93"/>
      <c r="GI424" s="93"/>
      <c r="GJ424" s="93"/>
      <c r="GK424" s="93"/>
      <c r="GL424" s="93"/>
      <c r="GM424" s="93"/>
      <c r="GN424" s="20"/>
      <c r="GO424" s="29"/>
      <c r="GP424" s="1504">
        <v>47362</v>
      </c>
      <c r="GQ424" s="19"/>
      <c r="GR424" s="93"/>
      <c r="GS424" s="93"/>
      <c r="GT424" s="93"/>
      <c r="GU424" s="93"/>
      <c r="GV424" s="20"/>
      <c r="GW424" s="19"/>
      <c r="GX424" s="93"/>
      <c r="GY424" s="93"/>
      <c r="GZ424" s="93"/>
      <c r="HA424" s="93"/>
      <c r="HB424" s="20"/>
      <c r="HC424" s="19"/>
      <c r="HD424" s="93"/>
      <c r="HE424" s="93"/>
      <c r="HF424" s="93"/>
      <c r="HG424" s="93"/>
      <c r="HH424" s="20"/>
      <c r="HI424" s="19"/>
      <c r="HJ424" s="93"/>
      <c r="HK424" s="93"/>
      <c r="HL424" s="93"/>
      <c r="HM424" s="93"/>
      <c r="HN424" s="20"/>
      <c r="HO424" s="219"/>
      <c r="HP424" s="20"/>
      <c r="HQ424" s="25"/>
      <c r="HR424" s="29"/>
      <c r="HS424" s="1504">
        <v>47362</v>
      </c>
      <c r="HT424" s="19"/>
      <c r="HU424" s="93"/>
      <c r="HV424" s="93"/>
      <c r="HW424" s="93"/>
      <c r="HX424" s="93"/>
      <c r="HY424" s="93"/>
      <c r="HZ424" s="93"/>
      <c r="IA424" s="20"/>
      <c r="IB424" s="19"/>
      <c r="IC424" s="93"/>
      <c r="ID424" s="93"/>
      <c r="IE424" s="93"/>
      <c r="IF424" s="93"/>
      <c r="IG424" s="20"/>
      <c r="IH424" s="19"/>
      <c r="II424" s="93"/>
      <c r="IJ424" s="93"/>
      <c r="IK424" s="93"/>
      <c r="IL424" s="93"/>
      <c r="IM424" s="93"/>
      <c r="IN424" s="93"/>
      <c r="IO424" s="20"/>
      <c r="IP424" s="29"/>
      <c r="IQ424" s="19"/>
      <c r="IR424" s="93"/>
      <c r="IS424" s="93"/>
      <c r="IT424" s="93"/>
      <c r="IU424" s="93"/>
      <c r="IV424" s="20"/>
      <c r="IW424" s="29"/>
      <c r="IX424" s="19"/>
      <c r="IY424" s="93"/>
      <c r="IZ424" s="93"/>
      <c r="JA424" s="93"/>
      <c r="JB424" s="93"/>
      <c r="JC424" s="93"/>
      <c r="JD424" s="93"/>
      <c r="JE424" s="20"/>
      <c r="JF424" s="29"/>
      <c r="JG424" s="19"/>
      <c r="JH424" s="93"/>
      <c r="JI424" s="93"/>
      <c r="JJ424" s="93"/>
      <c r="JK424" s="93"/>
      <c r="JL424" s="93"/>
      <c r="JM424" s="93"/>
      <c r="JN424" s="20"/>
      <c r="JO424" s="29"/>
      <c r="JP424" s="19"/>
      <c r="JQ424" s="93"/>
      <c r="JR424" s="93"/>
      <c r="JS424" s="93"/>
      <c r="JT424" s="93"/>
      <c r="JU424" s="20"/>
      <c r="JV424" s="29"/>
      <c r="JW424" s="1504">
        <v>47362</v>
      </c>
      <c r="JX424" s="19"/>
      <c r="JY424" s="93"/>
      <c r="JZ424" s="93"/>
      <c r="KA424" s="93"/>
      <c r="KB424" s="93"/>
      <c r="KC424" s="93"/>
      <c r="KD424" s="20"/>
      <c r="KE424" s="29"/>
      <c r="KF424" s="19"/>
      <c r="KG424" s="93"/>
      <c r="KH424" s="93"/>
      <c r="KI424" s="93"/>
      <c r="KJ424" s="93"/>
      <c r="KK424" s="20"/>
      <c r="KL424" s="29"/>
      <c r="KM424" s="19"/>
      <c r="KN424" s="93"/>
      <c r="KO424" s="93"/>
      <c r="KP424" s="93"/>
      <c r="KQ424" s="93"/>
      <c r="KR424" s="20"/>
      <c r="KS424" s="29"/>
      <c r="KT424" s="19"/>
      <c r="KU424" s="93"/>
      <c r="KV424" s="93"/>
      <c r="KW424" s="93"/>
      <c r="KX424" s="93"/>
      <c r="KY424" s="20"/>
      <c r="KZ424" s="29"/>
      <c r="LA424" s="1504">
        <v>47362</v>
      </c>
      <c r="LB424" s="19"/>
      <c r="LC424" s="93"/>
      <c r="LD424" s="93"/>
      <c r="LE424" s="93"/>
      <c r="LF424" s="93"/>
      <c r="LG424" s="93"/>
      <c r="LH424" s="20"/>
      <c r="LI424" s="29"/>
      <c r="LJ424" s="19"/>
      <c r="LK424" s="93"/>
      <c r="LL424" s="93"/>
      <c r="LM424" s="93"/>
      <c r="LN424" s="93"/>
      <c r="LO424" s="20"/>
      <c r="LP424" s="29"/>
      <c r="LQ424" s="19"/>
      <c r="LR424" s="93"/>
      <c r="LS424" s="93"/>
      <c r="LT424" s="93"/>
      <c r="LU424" s="93"/>
      <c r="LV424" s="93"/>
      <c r="LW424" s="93"/>
      <c r="LX424" s="93"/>
      <c r="LY424" s="93"/>
      <c r="LZ424" s="93"/>
      <c r="MA424" s="20"/>
      <c r="MB424" s="29"/>
      <c r="MC424" s="1504">
        <v>47362</v>
      </c>
      <c r="MD424" s="19"/>
      <c r="ME424" s="93"/>
      <c r="MF424" s="93"/>
      <c r="MG424" s="93"/>
      <c r="MH424" s="93"/>
      <c r="MI424" s="93"/>
      <c r="MJ424" s="93"/>
      <c r="MK424" s="93"/>
      <c r="ML424" s="93"/>
      <c r="MM424" s="93"/>
      <c r="MN424" s="93"/>
      <c r="MO424" s="93"/>
      <c r="MP424" s="93"/>
      <c r="MQ424" s="93"/>
      <c r="MR424" s="93"/>
      <c r="MS424" s="93"/>
      <c r="MT424" s="93"/>
      <c r="MU424" s="93"/>
      <c r="MV424" s="93"/>
      <c r="MW424" s="93"/>
      <c r="MX424" s="93"/>
      <c r="MY424" s="93"/>
      <c r="MZ424" s="93"/>
      <c r="NA424" s="93"/>
      <c r="NB424" s="93"/>
      <c r="NC424" s="93"/>
      <c r="ND424" s="93"/>
      <c r="NE424" s="93"/>
      <c r="NF424" s="93"/>
      <c r="NG424" s="93"/>
      <c r="NH424" s="93"/>
      <c r="NI424" s="93"/>
      <c r="NJ424" s="93"/>
      <c r="NK424" s="93"/>
      <c r="NL424" s="93"/>
      <c r="NM424" s="93"/>
      <c r="NN424" s="93"/>
      <c r="NO424" s="93"/>
      <c r="NP424" s="93"/>
      <c r="NQ424" s="93"/>
      <c r="NR424" s="93"/>
      <c r="NS424" s="93"/>
      <c r="NT424" s="93"/>
      <c r="NU424" s="93"/>
      <c r="NV424" s="93"/>
      <c r="NW424" s="93"/>
      <c r="NX424" s="93"/>
      <c r="NY424" s="93"/>
      <c r="NZ424" s="93"/>
      <c r="OA424" s="93"/>
      <c r="OB424" s="93"/>
      <c r="OC424" s="93"/>
      <c r="OD424" s="20"/>
      <c r="OE424" s="29"/>
      <c r="OF424" s="1504">
        <v>47362</v>
      </c>
      <c r="OG424" s="19"/>
      <c r="OH424" s="93"/>
      <c r="OI424" s="93"/>
      <c r="OJ424" s="93"/>
      <c r="OK424" s="93"/>
      <c r="OL424" s="93"/>
      <c r="OM424" s="93"/>
      <c r="ON424" s="93"/>
      <c r="OO424" s="93"/>
      <c r="OP424" s="93"/>
      <c r="OQ424" s="93"/>
      <c r="OR424" s="93"/>
      <c r="OS424" s="93"/>
      <c r="OT424" s="93"/>
      <c r="OU424" s="93"/>
      <c r="OV424" s="93"/>
      <c r="OW424" s="93"/>
      <c r="OX424" s="93"/>
      <c r="OY424" s="93"/>
      <c r="OZ424" s="93"/>
      <c r="PA424" s="93"/>
      <c r="PB424" s="93"/>
      <c r="PC424" s="20"/>
      <c r="PD424" s="29"/>
      <c r="PE424" s="19"/>
      <c r="PF424" s="93"/>
      <c r="PG424" s="93"/>
      <c r="PH424" s="93"/>
      <c r="PI424" s="93"/>
      <c r="PJ424" s="93"/>
      <c r="PK424" s="93"/>
      <c r="PL424" s="93"/>
      <c r="PM424" s="93"/>
      <c r="PN424" s="93"/>
      <c r="PO424" s="93"/>
      <c r="PP424" s="93"/>
      <c r="PQ424" s="93"/>
      <c r="PR424" s="93"/>
      <c r="PS424" s="93"/>
      <c r="PT424" s="93"/>
      <c r="PU424" s="93"/>
      <c r="PV424" s="93"/>
      <c r="PW424" s="93"/>
      <c r="PX424" s="93"/>
      <c r="PY424" s="93"/>
      <c r="PZ424" s="93"/>
      <c r="QA424" s="93"/>
      <c r="QB424" s="93"/>
      <c r="QC424" s="93"/>
      <c r="QD424" s="93"/>
      <c r="QE424" s="20"/>
      <c r="QF424" s="1739"/>
      <c r="QG424" s="19"/>
      <c r="QH424" s="93"/>
      <c r="QI424" s="93"/>
      <c r="QJ424" s="93"/>
      <c r="QK424" s="93"/>
      <c r="QL424" s="93"/>
      <c r="QM424" s="93"/>
      <c r="QN424" s="93"/>
      <c r="QO424" s="93"/>
      <c r="QP424" s="93"/>
      <c r="QQ424" s="93"/>
      <c r="QR424" s="93"/>
      <c r="QS424" s="93"/>
      <c r="QT424" s="93"/>
      <c r="QU424" s="93"/>
      <c r="QV424" s="93"/>
      <c r="QW424" s="93"/>
      <c r="QX424" s="93"/>
      <c r="QY424" s="93"/>
      <c r="QZ424" s="93"/>
      <c r="RA424" s="93"/>
      <c r="RB424" s="93"/>
      <c r="RC424" s="93"/>
      <c r="RD424" s="93"/>
      <c r="RE424" s="93"/>
      <c r="RF424" s="93"/>
      <c r="RG424" s="93"/>
      <c r="RH424" s="93"/>
      <c r="RI424" s="93"/>
      <c r="RJ424" s="93"/>
      <c r="RK424" s="93"/>
      <c r="RL424" s="93"/>
      <c r="RM424" s="20"/>
      <c r="RN424" s="29"/>
      <c r="RO424" s="19"/>
      <c r="RP424" s="20"/>
      <c r="RQ424" s="29"/>
      <c r="RR424" s="20"/>
      <c r="RS424" s="29"/>
      <c r="RT424" s="1504">
        <v>47362</v>
      </c>
      <c r="RU424" s="19"/>
      <c r="RV424" s="20"/>
      <c r="RW424" s="29"/>
      <c r="RX424" s="1504">
        <v>47362</v>
      </c>
      <c r="RY424" s="29"/>
      <c r="RZ424" s="20"/>
      <c r="SA424" s="29"/>
      <c r="SB424" s="29"/>
    </row>
    <row r="425" spans="1:496">
      <c r="A425" s="41">
        <f t="shared" si="358"/>
        <v>2029</v>
      </c>
      <c r="B425" s="1504">
        <v>47392</v>
      </c>
      <c r="C425" s="1813"/>
      <c r="D425" s="1814"/>
      <c r="E425" s="1814"/>
      <c r="F425" s="1815"/>
      <c r="G425" s="1814"/>
      <c r="H425" s="1814"/>
      <c r="I425" s="1814"/>
      <c r="J425" s="1816"/>
      <c r="K425" s="1807"/>
      <c r="L425" s="25"/>
      <c r="M425" s="97"/>
      <c r="N425" s="1504">
        <v>47392</v>
      </c>
      <c r="O425" s="19"/>
      <c r="P425" s="93"/>
      <c r="Q425" s="93"/>
      <c r="R425" s="93"/>
      <c r="S425" s="93"/>
      <c r="T425" s="93"/>
      <c r="U425" s="93"/>
      <c r="V425" s="93"/>
      <c r="W425" s="93"/>
      <c r="X425" s="93"/>
      <c r="Y425" s="93"/>
      <c r="Z425" s="93"/>
      <c r="AA425" s="93"/>
      <c r="AB425" s="20"/>
      <c r="AC425" s="25"/>
      <c r="AD425" s="97"/>
      <c r="AE425" s="1504">
        <v>47392</v>
      </c>
      <c r="AF425" s="19"/>
      <c r="AG425" s="93"/>
      <c r="AH425" s="93"/>
      <c r="AI425" s="93"/>
      <c r="AJ425" s="93"/>
      <c r="AK425" s="93"/>
      <c r="AL425" s="93"/>
      <c r="AM425" s="93"/>
      <c r="AN425" s="93"/>
      <c r="AO425" s="93"/>
      <c r="AP425" s="93"/>
      <c r="AQ425" s="93"/>
      <c r="AR425" s="93"/>
      <c r="AS425" s="20"/>
      <c r="AT425" s="25"/>
      <c r="AU425" s="97"/>
      <c r="AV425" s="1504">
        <v>47392</v>
      </c>
      <c r="AW425" s="19"/>
      <c r="AX425" s="93"/>
      <c r="AY425" s="93"/>
      <c r="AZ425" s="93"/>
      <c r="BA425" s="93"/>
      <c r="BB425" s="93"/>
      <c r="BC425" s="93"/>
      <c r="BD425" s="93"/>
      <c r="BE425" s="93"/>
      <c r="BF425" s="93"/>
      <c r="BG425" s="93"/>
      <c r="BH425" s="93"/>
      <c r="BI425" s="93"/>
      <c r="BJ425" s="20"/>
      <c r="BK425" s="25"/>
      <c r="BL425" s="97"/>
      <c r="BM425" s="1504">
        <v>47392</v>
      </c>
      <c r="BN425" s="19"/>
      <c r="BO425" s="93"/>
      <c r="BP425" s="93"/>
      <c r="BQ425" s="93"/>
      <c r="BR425" s="93"/>
      <c r="BS425" s="93"/>
      <c r="BT425" s="93"/>
      <c r="BU425" s="20"/>
      <c r="BV425" s="25"/>
      <c r="BW425" s="97"/>
      <c r="BX425" s="1504">
        <v>47392</v>
      </c>
      <c r="BY425" s="19"/>
      <c r="BZ425" s="93"/>
      <c r="CA425" s="93"/>
      <c r="CB425" s="93"/>
      <c r="CC425" s="93"/>
      <c r="CD425" s="25"/>
      <c r="CE425" s="97"/>
      <c r="CF425" s="1504">
        <v>47392</v>
      </c>
      <c r="CG425" s="19"/>
      <c r="CH425" s="93"/>
      <c r="CI425" s="219"/>
      <c r="CJ425" s="20"/>
      <c r="CK425" s="19"/>
      <c r="CL425" s="93"/>
      <c r="CM425" s="93"/>
      <c r="CN425" s="93"/>
      <c r="CO425" s="93"/>
      <c r="CP425" s="20"/>
      <c r="CQ425" s="219"/>
      <c r="CR425" s="93"/>
      <c r="CS425" s="93"/>
      <c r="CT425" s="93"/>
      <c r="CU425" s="93"/>
      <c r="CV425" s="214"/>
      <c r="CW425" s="29"/>
      <c r="CX425" s="41">
        <f t="shared" si="357"/>
        <v>2029</v>
      </c>
      <c r="CY425" s="1504">
        <v>47392</v>
      </c>
      <c r="CZ425" s="19"/>
      <c r="DA425" s="93"/>
      <c r="DB425" s="93"/>
      <c r="DC425" s="93"/>
      <c r="DD425" s="93"/>
      <c r="DE425" s="20"/>
      <c r="DF425" s="29"/>
      <c r="DG425" s="1504">
        <v>47392</v>
      </c>
      <c r="DH425" s="19"/>
      <c r="DI425" s="93"/>
      <c r="DJ425" s="93"/>
      <c r="DK425" s="93"/>
      <c r="DL425" s="93"/>
      <c r="DM425" s="93"/>
      <c r="DN425" s="20"/>
      <c r="DO425" s="295"/>
      <c r="DP425" s="29"/>
      <c r="DQ425" s="1504">
        <v>47392</v>
      </c>
      <c r="DR425" s="19"/>
      <c r="DS425" s="93"/>
      <c r="DT425" s="93"/>
      <c r="DU425" s="93"/>
      <c r="DV425" s="93"/>
      <c r="DW425" s="93"/>
      <c r="DX425" s="20"/>
      <c r="DY425" s="29"/>
      <c r="DZ425" s="1504">
        <v>47392</v>
      </c>
      <c r="EA425" s="19"/>
      <c r="EB425" s="93"/>
      <c r="EC425" s="20"/>
      <c r="ED425" s="29"/>
      <c r="EE425" s="1504">
        <v>47392</v>
      </c>
      <c r="EF425" s="19"/>
      <c r="EG425" s="93"/>
      <c r="EH425" s="93"/>
      <c r="EI425" s="214"/>
      <c r="EJ425" s="93"/>
      <c r="EK425" s="93"/>
      <c r="EL425" s="93"/>
      <c r="EM425" s="93"/>
      <c r="EN425" s="20"/>
      <c r="EO425" s="29"/>
      <c r="EP425" s="1504">
        <v>47392</v>
      </c>
      <c r="EQ425" s="19"/>
      <c r="ER425" s="93"/>
      <c r="ES425" s="93"/>
      <c r="ET425" s="214"/>
      <c r="EU425" s="93"/>
      <c r="EV425" s="93"/>
      <c r="EW425" s="93"/>
      <c r="EX425" s="93"/>
      <c r="EY425" s="20"/>
      <c r="EZ425" s="29"/>
      <c r="FA425" s="1504">
        <v>47392</v>
      </c>
      <c r="FB425" s="29"/>
      <c r="FC425" s="29"/>
      <c r="FD425" s="29"/>
      <c r="FE425" s="29"/>
      <c r="FF425" s="29"/>
      <c r="FG425" s="29"/>
      <c r="FH425" s="29"/>
      <c r="FI425" s="29"/>
      <c r="FJ425" s="29"/>
      <c r="FK425" s="29"/>
      <c r="FL425" s="1504">
        <v>47392</v>
      </c>
      <c r="FM425" s="19"/>
      <c r="FN425" s="93"/>
      <c r="FO425" s="93"/>
      <c r="FP425" s="93"/>
      <c r="FQ425" s="93"/>
      <c r="FR425" s="93"/>
      <c r="FS425" s="93"/>
      <c r="FT425" s="93"/>
      <c r="FU425" s="93"/>
      <c r="FV425" s="93"/>
      <c r="FW425" s="93"/>
      <c r="FX425" s="93"/>
      <c r="FY425" s="93"/>
      <c r="FZ425" s="29"/>
      <c r="GA425" s="1504">
        <v>47392</v>
      </c>
      <c r="GB425" s="19"/>
      <c r="GC425" s="93"/>
      <c r="GD425" s="93"/>
      <c r="GE425" s="93"/>
      <c r="GF425" s="93"/>
      <c r="GG425" s="93"/>
      <c r="GH425" s="93"/>
      <c r="GI425" s="93"/>
      <c r="GJ425" s="93"/>
      <c r="GK425" s="93"/>
      <c r="GL425" s="93"/>
      <c r="GM425" s="93"/>
      <c r="GN425" s="20"/>
      <c r="GO425" s="29"/>
      <c r="GP425" s="1504">
        <v>47392</v>
      </c>
      <c r="GQ425" s="19"/>
      <c r="GR425" s="93"/>
      <c r="GS425" s="93"/>
      <c r="GT425" s="93"/>
      <c r="GU425" s="93"/>
      <c r="GV425" s="20"/>
      <c r="GW425" s="19"/>
      <c r="GX425" s="93"/>
      <c r="GY425" s="93"/>
      <c r="GZ425" s="93"/>
      <c r="HA425" s="93"/>
      <c r="HB425" s="20"/>
      <c r="HC425" s="19"/>
      <c r="HD425" s="93"/>
      <c r="HE425" s="93"/>
      <c r="HF425" s="93"/>
      <c r="HG425" s="93"/>
      <c r="HH425" s="20"/>
      <c r="HI425" s="19"/>
      <c r="HJ425" s="93"/>
      <c r="HK425" s="93"/>
      <c r="HL425" s="93"/>
      <c r="HM425" s="93"/>
      <c r="HN425" s="20"/>
      <c r="HO425" s="219"/>
      <c r="HP425" s="20"/>
      <c r="HQ425" s="25"/>
      <c r="HR425" s="29"/>
      <c r="HS425" s="1504">
        <v>47392</v>
      </c>
      <c r="HT425" s="19"/>
      <c r="HU425" s="93"/>
      <c r="HV425" s="93"/>
      <c r="HW425" s="93"/>
      <c r="HX425" s="93"/>
      <c r="HY425" s="93"/>
      <c r="HZ425" s="93"/>
      <c r="IA425" s="20"/>
      <c r="IB425" s="19"/>
      <c r="IC425" s="93"/>
      <c r="ID425" s="93"/>
      <c r="IE425" s="93"/>
      <c r="IF425" s="93"/>
      <c r="IG425" s="20"/>
      <c r="IH425" s="19"/>
      <c r="II425" s="93"/>
      <c r="IJ425" s="93"/>
      <c r="IK425" s="93"/>
      <c r="IL425" s="93"/>
      <c r="IM425" s="93"/>
      <c r="IN425" s="93"/>
      <c r="IO425" s="20"/>
      <c r="IP425" s="29"/>
      <c r="IQ425" s="19"/>
      <c r="IR425" s="93"/>
      <c r="IS425" s="93"/>
      <c r="IT425" s="93"/>
      <c r="IU425" s="93"/>
      <c r="IV425" s="20"/>
      <c r="IW425" s="29"/>
      <c r="IX425" s="19"/>
      <c r="IY425" s="93"/>
      <c r="IZ425" s="93"/>
      <c r="JA425" s="93"/>
      <c r="JB425" s="93"/>
      <c r="JC425" s="93"/>
      <c r="JD425" s="93"/>
      <c r="JE425" s="20"/>
      <c r="JF425" s="29"/>
      <c r="JG425" s="19"/>
      <c r="JH425" s="93"/>
      <c r="JI425" s="93"/>
      <c r="JJ425" s="93"/>
      <c r="JK425" s="93"/>
      <c r="JL425" s="93"/>
      <c r="JM425" s="93"/>
      <c r="JN425" s="20"/>
      <c r="JO425" s="29"/>
      <c r="JP425" s="19"/>
      <c r="JQ425" s="93"/>
      <c r="JR425" s="93"/>
      <c r="JS425" s="93"/>
      <c r="JT425" s="93"/>
      <c r="JU425" s="20"/>
      <c r="JV425" s="29"/>
      <c r="JW425" s="1504">
        <v>47392</v>
      </c>
      <c r="JX425" s="19"/>
      <c r="JY425" s="93"/>
      <c r="JZ425" s="93"/>
      <c r="KA425" s="93"/>
      <c r="KB425" s="93"/>
      <c r="KC425" s="93"/>
      <c r="KD425" s="20"/>
      <c r="KE425" s="29"/>
      <c r="KF425" s="19"/>
      <c r="KG425" s="93"/>
      <c r="KH425" s="93"/>
      <c r="KI425" s="93"/>
      <c r="KJ425" s="93"/>
      <c r="KK425" s="20"/>
      <c r="KL425" s="29"/>
      <c r="KM425" s="19"/>
      <c r="KN425" s="93"/>
      <c r="KO425" s="93"/>
      <c r="KP425" s="93"/>
      <c r="KQ425" s="93"/>
      <c r="KR425" s="20"/>
      <c r="KS425" s="29"/>
      <c r="KT425" s="19"/>
      <c r="KU425" s="93"/>
      <c r="KV425" s="93"/>
      <c r="KW425" s="93"/>
      <c r="KX425" s="93"/>
      <c r="KY425" s="20"/>
      <c r="KZ425" s="29"/>
      <c r="LA425" s="1504">
        <v>47392</v>
      </c>
      <c r="LB425" s="19"/>
      <c r="LC425" s="93"/>
      <c r="LD425" s="93"/>
      <c r="LE425" s="93"/>
      <c r="LF425" s="93"/>
      <c r="LG425" s="93"/>
      <c r="LH425" s="20"/>
      <c r="LI425" s="29"/>
      <c r="LJ425" s="19"/>
      <c r="LK425" s="93"/>
      <c r="LL425" s="93"/>
      <c r="LM425" s="93"/>
      <c r="LN425" s="93"/>
      <c r="LO425" s="20"/>
      <c r="LP425" s="29"/>
      <c r="LQ425" s="19"/>
      <c r="LR425" s="93"/>
      <c r="LS425" s="93"/>
      <c r="LT425" s="93"/>
      <c r="LU425" s="93"/>
      <c r="LV425" s="93"/>
      <c r="LW425" s="93"/>
      <c r="LX425" s="93"/>
      <c r="LY425" s="93"/>
      <c r="LZ425" s="93"/>
      <c r="MA425" s="20"/>
      <c r="MB425" s="29"/>
      <c r="MC425" s="1504">
        <v>47392</v>
      </c>
      <c r="MD425" s="19"/>
      <c r="ME425" s="93"/>
      <c r="MF425" s="93"/>
      <c r="MG425" s="93"/>
      <c r="MH425" s="93"/>
      <c r="MI425" s="93"/>
      <c r="MJ425" s="93"/>
      <c r="MK425" s="93"/>
      <c r="ML425" s="93"/>
      <c r="MM425" s="93"/>
      <c r="MN425" s="93"/>
      <c r="MO425" s="93"/>
      <c r="MP425" s="93"/>
      <c r="MQ425" s="93"/>
      <c r="MR425" s="93"/>
      <c r="MS425" s="93"/>
      <c r="MT425" s="93"/>
      <c r="MU425" s="93"/>
      <c r="MV425" s="93"/>
      <c r="MW425" s="93"/>
      <c r="MX425" s="93"/>
      <c r="MY425" s="93"/>
      <c r="MZ425" s="93"/>
      <c r="NA425" s="93"/>
      <c r="NB425" s="93"/>
      <c r="NC425" s="93"/>
      <c r="ND425" s="93"/>
      <c r="NE425" s="93"/>
      <c r="NF425" s="93"/>
      <c r="NG425" s="93"/>
      <c r="NH425" s="93"/>
      <c r="NI425" s="93"/>
      <c r="NJ425" s="93"/>
      <c r="NK425" s="93"/>
      <c r="NL425" s="93"/>
      <c r="NM425" s="93"/>
      <c r="NN425" s="93"/>
      <c r="NO425" s="93"/>
      <c r="NP425" s="93"/>
      <c r="NQ425" s="93"/>
      <c r="NR425" s="93"/>
      <c r="NS425" s="93"/>
      <c r="NT425" s="93"/>
      <c r="NU425" s="93"/>
      <c r="NV425" s="93"/>
      <c r="NW425" s="93"/>
      <c r="NX425" s="93"/>
      <c r="NY425" s="93"/>
      <c r="NZ425" s="93"/>
      <c r="OA425" s="93"/>
      <c r="OB425" s="93"/>
      <c r="OC425" s="93"/>
      <c r="OD425" s="20"/>
      <c r="OE425" s="29"/>
      <c r="OF425" s="1504">
        <v>47392</v>
      </c>
      <c r="OG425" s="19"/>
      <c r="OH425" s="93"/>
      <c r="OI425" s="93"/>
      <c r="OJ425" s="93"/>
      <c r="OK425" s="93"/>
      <c r="OL425" s="93"/>
      <c r="OM425" s="93"/>
      <c r="ON425" s="93"/>
      <c r="OO425" s="93"/>
      <c r="OP425" s="93"/>
      <c r="OQ425" s="93"/>
      <c r="OR425" s="93"/>
      <c r="OS425" s="93"/>
      <c r="OT425" s="93"/>
      <c r="OU425" s="93"/>
      <c r="OV425" s="93"/>
      <c r="OW425" s="93"/>
      <c r="OX425" s="93"/>
      <c r="OY425" s="93"/>
      <c r="OZ425" s="93"/>
      <c r="PA425" s="93"/>
      <c r="PB425" s="93"/>
      <c r="PC425" s="20"/>
      <c r="PD425" s="29"/>
      <c r="PE425" s="19"/>
      <c r="PF425" s="93"/>
      <c r="PG425" s="93"/>
      <c r="PH425" s="93"/>
      <c r="PI425" s="93"/>
      <c r="PJ425" s="93"/>
      <c r="PK425" s="93"/>
      <c r="PL425" s="93"/>
      <c r="PM425" s="93"/>
      <c r="PN425" s="93"/>
      <c r="PO425" s="93"/>
      <c r="PP425" s="93"/>
      <c r="PQ425" s="93"/>
      <c r="PR425" s="93"/>
      <c r="PS425" s="93"/>
      <c r="PT425" s="93"/>
      <c r="PU425" s="93"/>
      <c r="PV425" s="93"/>
      <c r="PW425" s="93"/>
      <c r="PX425" s="93"/>
      <c r="PY425" s="93"/>
      <c r="PZ425" s="93"/>
      <c r="QA425" s="93"/>
      <c r="QB425" s="93"/>
      <c r="QC425" s="93"/>
      <c r="QD425" s="93"/>
      <c r="QE425" s="20"/>
      <c r="QF425" s="1739"/>
      <c r="QG425" s="19"/>
      <c r="QH425" s="93"/>
      <c r="QI425" s="93"/>
      <c r="QJ425" s="93"/>
      <c r="QK425" s="93"/>
      <c r="QL425" s="93"/>
      <c r="QM425" s="93"/>
      <c r="QN425" s="93"/>
      <c r="QO425" s="93"/>
      <c r="QP425" s="93"/>
      <c r="QQ425" s="93"/>
      <c r="QR425" s="93"/>
      <c r="QS425" s="93"/>
      <c r="QT425" s="93"/>
      <c r="QU425" s="93"/>
      <c r="QV425" s="93"/>
      <c r="QW425" s="93"/>
      <c r="QX425" s="93"/>
      <c r="QY425" s="93"/>
      <c r="QZ425" s="93"/>
      <c r="RA425" s="93"/>
      <c r="RB425" s="93"/>
      <c r="RC425" s="93"/>
      <c r="RD425" s="93"/>
      <c r="RE425" s="93"/>
      <c r="RF425" s="93"/>
      <c r="RG425" s="93"/>
      <c r="RH425" s="93"/>
      <c r="RI425" s="93"/>
      <c r="RJ425" s="93"/>
      <c r="RK425" s="93"/>
      <c r="RL425" s="93"/>
      <c r="RM425" s="20"/>
      <c r="RN425" s="29"/>
      <c r="RO425" s="19"/>
      <c r="RP425" s="20"/>
      <c r="RQ425" s="29"/>
      <c r="RR425" s="20"/>
      <c r="RS425" s="29"/>
      <c r="RT425" s="1504">
        <v>47392</v>
      </c>
      <c r="RU425" s="19"/>
      <c r="RV425" s="20"/>
      <c r="RW425" s="29"/>
      <c r="RX425" s="1504">
        <v>47392</v>
      </c>
      <c r="RY425" s="29"/>
      <c r="RZ425" s="20"/>
      <c r="SA425" s="29"/>
      <c r="SB425" s="29"/>
    </row>
    <row r="426" spans="1:496">
      <c r="A426" s="41">
        <f t="shared" si="358"/>
        <v>2029</v>
      </c>
      <c r="B426" s="1504">
        <v>47423</v>
      </c>
      <c r="C426" s="1813"/>
      <c r="D426" s="1814"/>
      <c r="E426" s="1814"/>
      <c r="F426" s="1815"/>
      <c r="G426" s="1814"/>
      <c r="H426" s="1814"/>
      <c r="I426" s="1814"/>
      <c r="J426" s="1816"/>
      <c r="K426" s="1807"/>
      <c r="L426" s="25"/>
      <c r="M426" s="97"/>
      <c r="N426" s="1504">
        <v>47423</v>
      </c>
      <c r="O426" s="19"/>
      <c r="P426" s="93"/>
      <c r="Q426" s="93"/>
      <c r="R426" s="93"/>
      <c r="S426" s="93"/>
      <c r="T426" s="93"/>
      <c r="U426" s="93"/>
      <c r="V426" s="93"/>
      <c r="W426" s="93"/>
      <c r="X426" s="93"/>
      <c r="Y426" s="93"/>
      <c r="Z426" s="93"/>
      <c r="AA426" s="93"/>
      <c r="AB426" s="20"/>
      <c r="AC426" s="25"/>
      <c r="AD426" s="97"/>
      <c r="AE426" s="1504">
        <v>47423</v>
      </c>
      <c r="AF426" s="19"/>
      <c r="AG426" s="93"/>
      <c r="AH426" s="93"/>
      <c r="AI426" s="93"/>
      <c r="AJ426" s="93"/>
      <c r="AK426" s="93"/>
      <c r="AL426" s="93"/>
      <c r="AM426" s="93"/>
      <c r="AN426" s="93"/>
      <c r="AO426" s="93"/>
      <c r="AP426" s="93"/>
      <c r="AQ426" s="93"/>
      <c r="AR426" s="93"/>
      <c r="AS426" s="20"/>
      <c r="AT426" s="25"/>
      <c r="AU426" s="97"/>
      <c r="AV426" s="1504">
        <v>47423</v>
      </c>
      <c r="AW426" s="19"/>
      <c r="AX426" s="93"/>
      <c r="AY426" s="93"/>
      <c r="AZ426" s="93"/>
      <c r="BA426" s="93"/>
      <c r="BB426" s="93"/>
      <c r="BC426" s="93"/>
      <c r="BD426" s="93"/>
      <c r="BE426" s="93"/>
      <c r="BF426" s="93"/>
      <c r="BG426" s="93"/>
      <c r="BH426" s="93"/>
      <c r="BI426" s="93"/>
      <c r="BJ426" s="20"/>
      <c r="BK426" s="25"/>
      <c r="BL426" s="97"/>
      <c r="BM426" s="1504">
        <v>47423</v>
      </c>
      <c r="BN426" s="19"/>
      <c r="BO426" s="93"/>
      <c r="BP426" s="93"/>
      <c r="BQ426" s="93"/>
      <c r="BR426" s="93"/>
      <c r="BS426" s="93"/>
      <c r="BT426" s="93"/>
      <c r="BU426" s="20"/>
      <c r="BV426" s="25"/>
      <c r="BW426" s="97"/>
      <c r="BX426" s="1504">
        <v>47423</v>
      </c>
      <c r="BY426" s="19"/>
      <c r="BZ426" s="93"/>
      <c r="CA426" s="93"/>
      <c r="CB426" s="93"/>
      <c r="CC426" s="93"/>
      <c r="CD426" s="25"/>
      <c r="CE426" s="97"/>
      <c r="CF426" s="1504">
        <v>47423</v>
      </c>
      <c r="CG426" s="19"/>
      <c r="CH426" s="93"/>
      <c r="CI426" s="219"/>
      <c r="CJ426" s="20"/>
      <c r="CK426" s="19"/>
      <c r="CL426" s="93"/>
      <c r="CM426" s="93"/>
      <c r="CN426" s="93"/>
      <c r="CO426" s="93"/>
      <c r="CP426" s="20"/>
      <c r="CQ426" s="219"/>
      <c r="CR426" s="93"/>
      <c r="CS426" s="93"/>
      <c r="CT426" s="93"/>
      <c r="CU426" s="93"/>
      <c r="CV426" s="214"/>
      <c r="CW426" s="29"/>
      <c r="CX426" s="41">
        <f t="shared" si="357"/>
        <v>2029</v>
      </c>
      <c r="CY426" s="1504">
        <v>47423</v>
      </c>
      <c r="CZ426" s="19"/>
      <c r="DA426" s="93"/>
      <c r="DB426" s="93"/>
      <c r="DC426" s="93"/>
      <c r="DD426" s="93"/>
      <c r="DE426" s="20"/>
      <c r="DF426" s="29"/>
      <c r="DG426" s="1504">
        <v>47423</v>
      </c>
      <c r="DH426" s="19"/>
      <c r="DI426" s="93"/>
      <c r="DJ426" s="93"/>
      <c r="DK426" s="93"/>
      <c r="DL426" s="93"/>
      <c r="DM426" s="93"/>
      <c r="DN426" s="20"/>
      <c r="DO426" s="295"/>
      <c r="DP426" s="29"/>
      <c r="DQ426" s="1504">
        <v>47423</v>
      </c>
      <c r="DR426" s="19"/>
      <c r="DS426" s="93"/>
      <c r="DT426" s="93"/>
      <c r="DU426" s="93"/>
      <c r="DV426" s="93"/>
      <c r="DW426" s="93"/>
      <c r="DX426" s="20"/>
      <c r="DY426" s="29"/>
      <c r="DZ426" s="1504">
        <v>47423</v>
      </c>
      <c r="EA426" s="19"/>
      <c r="EB426" s="93"/>
      <c r="EC426" s="20"/>
      <c r="ED426" s="29"/>
      <c r="EE426" s="1504">
        <v>47423</v>
      </c>
      <c r="EF426" s="19"/>
      <c r="EG426" s="93"/>
      <c r="EH426" s="93"/>
      <c r="EI426" s="214"/>
      <c r="EJ426" s="93"/>
      <c r="EK426" s="93"/>
      <c r="EL426" s="93"/>
      <c r="EM426" s="93"/>
      <c r="EN426" s="20"/>
      <c r="EO426" s="29"/>
      <c r="EP426" s="1504">
        <v>47423</v>
      </c>
      <c r="EQ426" s="19"/>
      <c r="ER426" s="93"/>
      <c r="ES426" s="93"/>
      <c r="ET426" s="214"/>
      <c r="EU426" s="93"/>
      <c r="EV426" s="93"/>
      <c r="EW426" s="93"/>
      <c r="EX426" s="93"/>
      <c r="EY426" s="20"/>
      <c r="EZ426" s="29"/>
      <c r="FA426" s="1504">
        <v>47423</v>
      </c>
      <c r="FB426" s="29"/>
      <c r="FC426" s="29"/>
      <c r="FD426" s="29"/>
      <c r="FE426" s="29"/>
      <c r="FF426" s="29"/>
      <c r="FG426" s="29"/>
      <c r="FH426" s="29"/>
      <c r="FI426" s="29"/>
      <c r="FJ426" s="29"/>
      <c r="FK426" s="29"/>
      <c r="FL426" s="1504">
        <v>47423</v>
      </c>
      <c r="FM426" s="19"/>
      <c r="FN426" s="93"/>
      <c r="FO426" s="93"/>
      <c r="FP426" s="93"/>
      <c r="FQ426" s="93"/>
      <c r="FR426" s="93"/>
      <c r="FS426" s="93"/>
      <c r="FT426" s="93"/>
      <c r="FU426" s="93"/>
      <c r="FV426" s="93"/>
      <c r="FW426" s="93"/>
      <c r="FX426" s="93"/>
      <c r="FY426" s="93"/>
      <c r="FZ426" s="29"/>
      <c r="GA426" s="1504">
        <v>47423</v>
      </c>
      <c r="GB426" s="19"/>
      <c r="GC426" s="93"/>
      <c r="GD426" s="93"/>
      <c r="GE426" s="93"/>
      <c r="GF426" s="93"/>
      <c r="GG426" s="93"/>
      <c r="GH426" s="93"/>
      <c r="GI426" s="93"/>
      <c r="GJ426" s="93"/>
      <c r="GK426" s="93"/>
      <c r="GL426" s="93"/>
      <c r="GM426" s="93"/>
      <c r="GN426" s="20"/>
      <c r="GO426" s="29"/>
      <c r="GP426" s="1504">
        <v>47423</v>
      </c>
      <c r="GQ426" s="19"/>
      <c r="GR426" s="93"/>
      <c r="GS426" s="93"/>
      <c r="GT426" s="93"/>
      <c r="GU426" s="93"/>
      <c r="GV426" s="20"/>
      <c r="GW426" s="19"/>
      <c r="GX426" s="93"/>
      <c r="GY426" s="93"/>
      <c r="GZ426" s="93"/>
      <c r="HA426" s="93"/>
      <c r="HB426" s="20"/>
      <c r="HC426" s="19"/>
      <c r="HD426" s="93"/>
      <c r="HE426" s="93"/>
      <c r="HF426" s="93"/>
      <c r="HG426" s="93"/>
      <c r="HH426" s="20"/>
      <c r="HI426" s="19"/>
      <c r="HJ426" s="93"/>
      <c r="HK426" s="93"/>
      <c r="HL426" s="93"/>
      <c r="HM426" s="93"/>
      <c r="HN426" s="20"/>
      <c r="HO426" s="219"/>
      <c r="HP426" s="20"/>
      <c r="HQ426" s="25"/>
      <c r="HR426" s="29"/>
      <c r="HS426" s="1504">
        <v>47423</v>
      </c>
      <c r="HT426" s="19"/>
      <c r="HU426" s="93"/>
      <c r="HV426" s="93"/>
      <c r="HW426" s="93"/>
      <c r="HX426" s="93"/>
      <c r="HY426" s="93"/>
      <c r="HZ426" s="93"/>
      <c r="IA426" s="20"/>
      <c r="IB426" s="19"/>
      <c r="IC426" s="93"/>
      <c r="ID426" s="93"/>
      <c r="IE426" s="93"/>
      <c r="IF426" s="93"/>
      <c r="IG426" s="20"/>
      <c r="IH426" s="19"/>
      <c r="II426" s="93"/>
      <c r="IJ426" s="93"/>
      <c r="IK426" s="93"/>
      <c r="IL426" s="93"/>
      <c r="IM426" s="93"/>
      <c r="IN426" s="93"/>
      <c r="IO426" s="20"/>
      <c r="IP426" s="29"/>
      <c r="IQ426" s="19"/>
      <c r="IR426" s="93"/>
      <c r="IS426" s="93"/>
      <c r="IT426" s="93"/>
      <c r="IU426" s="93"/>
      <c r="IV426" s="20"/>
      <c r="IW426" s="29"/>
      <c r="IX426" s="19"/>
      <c r="IY426" s="93"/>
      <c r="IZ426" s="93"/>
      <c r="JA426" s="93"/>
      <c r="JB426" s="93"/>
      <c r="JC426" s="93"/>
      <c r="JD426" s="93"/>
      <c r="JE426" s="20"/>
      <c r="JF426" s="29"/>
      <c r="JG426" s="19"/>
      <c r="JH426" s="93"/>
      <c r="JI426" s="93"/>
      <c r="JJ426" s="93"/>
      <c r="JK426" s="93"/>
      <c r="JL426" s="93"/>
      <c r="JM426" s="93"/>
      <c r="JN426" s="20"/>
      <c r="JO426" s="29"/>
      <c r="JP426" s="19"/>
      <c r="JQ426" s="93"/>
      <c r="JR426" s="93"/>
      <c r="JS426" s="93"/>
      <c r="JT426" s="93"/>
      <c r="JU426" s="20"/>
      <c r="JV426" s="29"/>
      <c r="JW426" s="1504">
        <v>47423</v>
      </c>
      <c r="JX426" s="19"/>
      <c r="JY426" s="93"/>
      <c r="JZ426" s="93"/>
      <c r="KA426" s="93"/>
      <c r="KB426" s="93"/>
      <c r="KC426" s="93"/>
      <c r="KD426" s="20"/>
      <c r="KE426" s="29"/>
      <c r="KF426" s="19"/>
      <c r="KG426" s="93"/>
      <c r="KH426" s="93"/>
      <c r="KI426" s="93"/>
      <c r="KJ426" s="93"/>
      <c r="KK426" s="20"/>
      <c r="KL426" s="29"/>
      <c r="KM426" s="19"/>
      <c r="KN426" s="93"/>
      <c r="KO426" s="93"/>
      <c r="KP426" s="93"/>
      <c r="KQ426" s="93"/>
      <c r="KR426" s="20"/>
      <c r="KS426" s="29"/>
      <c r="KT426" s="19"/>
      <c r="KU426" s="93"/>
      <c r="KV426" s="93"/>
      <c r="KW426" s="93"/>
      <c r="KX426" s="93"/>
      <c r="KY426" s="20"/>
      <c r="KZ426" s="29"/>
      <c r="LA426" s="1504">
        <v>47423</v>
      </c>
      <c r="LB426" s="19"/>
      <c r="LC426" s="93"/>
      <c r="LD426" s="93"/>
      <c r="LE426" s="93"/>
      <c r="LF426" s="93"/>
      <c r="LG426" s="93"/>
      <c r="LH426" s="20"/>
      <c r="LI426" s="29"/>
      <c r="LJ426" s="19"/>
      <c r="LK426" s="93"/>
      <c r="LL426" s="93"/>
      <c r="LM426" s="93"/>
      <c r="LN426" s="93"/>
      <c r="LO426" s="20"/>
      <c r="LP426" s="29"/>
      <c r="LQ426" s="19"/>
      <c r="LR426" s="93"/>
      <c r="LS426" s="93"/>
      <c r="LT426" s="93"/>
      <c r="LU426" s="93"/>
      <c r="LV426" s="93"/>
      <c r="LW426" s="93"/>
      <c r="LX426" s="93"/>
      <c r="LY426" s="93"/>
      <c r="LZ426" s="93"/>
      <c r="MA426" s="20"/>
      <c r="MB426" s="29"/>
      <c r="MC426" s="1504">
        <v>47423</v>
      </c>
      <c r="MD426" s="19"/>
      <c r="ME426" s="93"/>
      <c r="MF426" s="93"/>
      <c r="MG426" s="93"/>
      <c r="MH426" s="93"/>
      <c r="MI426" s="93"/>
      <c r="MJ426" s="93"/>
      <c r="MK426" s="93"/>
      <c r="ML426" s="93"/>
      <c r="MM426" s="93"/>
      <c r="MN426" s="93"/>
      <c r="MO426" s="93"/>
      <c r="MP426" s="93"/>
      <c r="MQ426" s="93"/>
      <c r="MR426" s="93"/>
      <c r="MS426" s="93"/>
      <c r="MT426" s="93"/>
      <c r="MU426" s="93"/>
      <c r="MV426" s="93"/>
      <c r="MW426" s="93"/>
      <c r="MX426" s="93"/>
      <c r="MY426" s="93"/>
      <c r="MZ426" s="93"/>
      <c r="NA426" s="93"/>
      <c r="NB426" s="93"/>
      <c r="NC426" s="93"/>
      <c r="ND426" s="93"/>
      <c r="NE426" s="93"/>
      <c r="NF426" s="93"/>
      <c r="NG426" s="93"/>
      <c r="NH426" s="93"/>
      <c r="NI426" s="93"/>
      <c r="NJ426" s="93"/>
      <c r="NK426" s="93"/>
      <c r="NL426" s="93"/>
      <c r="NM426" s="93"/>
      <c r="NN426" s="93"/>
      <c r="NO426" s="93"/>
      <c r="NP426" s="93"/>
      <c r="NQ426" s="93"/>
      <c r="NR426" s="93"/>
      <c r="NS426" s="93"/>
      <c r="NT426" s="93"/>
      <c r="NU426" s="93"/>
      <c r="NV426" s="93"/>
      <c r="NW426" s="93"/>
      <c r="NX426" s="93"/>
      <c r="NY426" s="93"/>
      <c r="NZ426" s="93"/>
      <c r="OA426" s="93"/>
      <c r="OB426" s="93"/>
      <c r="OC426" s="93"/>
      <c r="OD426" s="20"/>
      <c r="OE426" s="29"/>
      <c r="OF426" s="1504">
        <v>47423</v>
      </c>
      <c r="OG426" s="19"/>
      <c r="OH426" s="93"/>
      <c r="OI426" s="93"/>
      <c r="OJ426" s="93"/>
      <c r="OK426" s="93"/>
      <c r="OL426" s="93"/>
      <c r="OM426" s="93"/>
      <c r="ON426" s="93"/>
      <c r="OO426" s="93"/>
      <c r="OP426" s="93"/>
      <c r="OQ426" s="93"/>
      <c r="OR426" s="93"/>
      <c r="OS426" s="93"/>
      <c r="OT426" s="93"/>
      <c r="OU426" s="93"/>
      <c r="OV426" s="93"/>
      <c r="OW426" s="93"/>
      <c r="OX426" s="93"/>
      <c r="OY426" s="93"/>
      <c r="OZ426" s="93"/>
      <c r="PA426" s="93"/>
      <c r="PB426" s="93"/>
      <c r="PC426" s="20"/>
      <c r="PD426" s="29"/>
      <c r="PE426" s="19"/>
      <c r="PF426" s="93"/>
      <c r="PG426" s="93"/>
      <c r="PH426" s="93"/>
      <c r="PI426" s="93"/>
      <c r="PJ426" s="93"/>
      <c r="PK426" s="93"/>
      <c r="PL426" s="93"/>
      <c r="PM426" s="93"/>
      <c r="PN426" s="93"/>
      <c r="PO426" s="93"/>
      <c r="PP426" s="93"/>
      <c r="PQ426" s="93"/>
      <c r="PR426" s="93"/>
      <c r="PS426" s="93"/>
      <c r="PT426" s="93"/>
      <c r="PU426" s="93"/>
      <c r="PV426" s="93"/>
      <c r="PW426" s="93"/>
      <c r="PX426" s="93"/>
      <c r="PY426" s="93"/>
      <c r="PZ426" s="93"/>
      <c r="QA426" s="93"/>
      <c r="QB426" s="93"/>
      <c r="QC426" s="93"/>
      <c r="QD426" s="93"/>
      <c r="QE426" s="20"/>
      <c r="QF426" s="1739"/>
      <c r="QG426" s="19"/>
      <c r="QH426" s="93"/>
      <c r="QI426" s="93"/>
      <c r="QJ426" s="93"/>
      <c r="QK426" s="93"/>
      <c r="QL426" s="93"/>
      <c r="QM426" s="93"/>
      <c r="QN426" s="93"/>
      <c r="QO426" s="93"/>
      <c r="QP426" s="93"/>
      <c r="QQ426" s="93"/>
      <c r="QR426" s="93"/>
      <c r="QS426" s="93"/>
      <c r="QT426" s="93"/>
      <c r="QU426" s="93"/>
      <c r="QV426" s="93"/>
      <c r="QW426" s="93"/>
      <c r="QX426" s="93"/>
      <c r="QY426" s="93"/>
      <c r="QZ426" s="93"/>
      <c r="RA426" s="93"/>
      <c r="RB426" s="93"/>
      <c r="RC426" s="93"/>
      <c r="RD426" s="93"/>
      <c r="RE426" s="93"/>
      <c r="RF426" s="93"/>
      <c r="RG426" s="93"/>
      <c r="RH426" s="93"/>
      <c r="RI426" s="93"/>
      <c r="RJ426" s="93"/>
      <c r="RK426" s="93"/>
      <c r="RL426" s="93"/>
      <c r="RM426" s="20"/>
      <c r="RN426" s="29"/>
      <c r="RO426" s="19"/>
      <c r="RP426" s="20"/>
      <c r="RQ426" s="29"/>
      <c r="RR426" s="20"/>
      <c r="RS426" s="29"/>
      <c r="RT426" s="1504">
        <v>47423</v>
      </c>
      <c r="RU426" s="19"/>
      <c r="RV426" s="20"/>
      <c r="RW426" s="29"/>
      <c r="RX426" s="1504">
        <v>47423</v>
      </c>
      <c r="RY426" s="29"/>
      <c r="RZ426" s="20"/>
      <c r="SA426" s="29"/>
      <c r="SB426" s="29"/>
    </row>
    <row r="427" spans="1:496">
      <c r="A427" s="41">
        <f t="shared" si="358"/>
        <v>2029</v>
      </c>
      <c r="B427" s="1504">
        <v>47453</v>
      </c>
      <c r="C427" s="1813"/>
      <c r="D427" s="1814"/>
      <c r="E427" s="1814"/>
      <c r="F427" s="1815"/>
      <c r="G427" s="1814"/>
      <c r="H427" s="1814"/>
      <c r="I427" s="1814"/>
      <c r="J427" s="1816"/>
      <c r="K427" s="1807"/>
      <c r="L427" s="25"/>
      <c r="M427" s="97"/>
      <c r="N427" s="1504">
        <v>47453</v>
      </c>
      <c r="O427" s="19"/>
      <c r="P427" s="93"/>
      <c r="Q427" s="93"/>
      <c r="R427" s="93"/>
      <c r="S427" s="93"/>
      <c r="T427" s="93"/>
      <c r="U427" s="93"/>
      <c r="V427" s="93"/>
      <c r="W427" s="93"/>
      <c r="X427" s="93"/>
      <c r="Y427" s="93"/>
      <c r="Z427" s="93"/>
      <c r="AA427" s="93"/>
      <c r="AB427" s="20"/>
      <c r="AC427" s="25"/>
      <c r="AD427" s="97"/>
      <c r="AE427" s="1504">
        <v>47453</v>
      </c>
      <c r="AF427" s="19"/>
      <c r="AG427" s="93"/>
      <c r="AH427" s="93"/>
      <c r="AI427" s="93"/>
      <c r="AJ427" s="93"/>
      <c r="AK427" s="93"/>
      <c r="AL427" s="93"/>
      <c r="AM427" s="93"/>
      <c r="AN427" s="93"/>
      <c r="AO427" s="93"/>
      <c r="AP427" s="93"/>
      <c r="AQ427" s="93"/>
      <c r="AR427" s="93"/>
      <c r="AS427" s="20"/>
      <c r="AT427" s="25"/>
      <c r="AU427" s="97"/>
      <c r="AV427" s="1504">
        <v>47453</v>
      </c>
      <c r="AW427" s="19"/>
      <c r="AX427" s="93"/>
      <c r="AY427" s="93"/>
      <c r="AZ427" s="93"/>
      <c r="BA427" s="93"/>
      <c r="BB427" s="93"/>
      <c r="BC427" s="93"/>
      <c r="BD427" s="93"/>
      <c r="BE427" s="93"/>
      <c r="BF427" s="93"/>
      <c r="BG427" s="93"/>
      <c r="BH427" s="93"/>
      <c r="BI427" s="93"/>
      <c r="BJ427" s="20"/>
      <c r="BK427" s="25"/>
      <c r="BL427" s="97"/>
      <c r="BM427" s="1504">
        <v>47453</v>
      </c>
      <c r="BN427" s="19"/>
      <c r="BO427" s="93"/>
      <c r="BP427" s="93"/>
      <c r="BQ427" s="93"/>
      <c r="BR427" s="93"/>
      <c r="BS427" s="93"/>
      <c r="BT427" s="93"/>
      <c r="BU427" s="20"/>
      <c r="BV427" s="25"/>
      <c r="BW427" s="97"/>
      <c r="BX427" s="1504">
        <v>47453</v>
      </c>
      <c r="BY427" s="19"/>
      <c r="BZ427" s="93"/>
      <c r="CA427" s="93"/>
      <c r="CB427" s="93"/>
      <c r="CC427" s="93"/>
      <c r="CD427" s="25"/>
      <c r="CE427" s="97"/>
      <c r="CF427" s="1504">
        <v>47453</v>
      </c>
      <c r="CG427" s="19"/>
      <c r="CH427" s="93"/>
      <c r="CI427" s="219"/>
      <c r="CJ427" s="20"/>
      <c r="CK427" s="19"/>
      <c r="CL427" s="93"/>
      <c r="CM427" s="93"/>
      <c r="CN427" s="93"/>
      <c r="CO427" s="93"/>
      <c r="CP427" s="20"/>
      <c r="CQ427" s="219"/>
      <c r="CR427" s="93"/>
      <c r="CS427" s="93"/>
      <c r="CT427" s="93"/>
      <c r="CU427" s="93"/>
      <c r="CV427" s="214"/>
      <c r="CW427" s="29"/>
      <c r="CX427" s="41">
        <f t="shared" si="357"/>
        <v>2029</v>
      </c>
      <c r="CY427" s="1504">
        <v>47453</v>
      </c>
      <c r="CZ427" s="19"/>
      <c r="DA427" s="93"/>
      <c r="DB427" s="93"/>
      <c r="DC427" s="93"/>
      <c r="DD427" s="93"/>
      <c r="DE427" s="20"/>
      <c r="DF427" s="29"/>
      <c r="DG427" s="1504">
        <v>47453</v>
      </c>
      <c r="DH427" s="19"/>
      <c r="DI427" s="93"/>
      <c r="DJ427" s="93"/>
      <c r="DK427" s="93"/>
      <c r="DL427" s="93"/>
      <c r="DM427" s="93"/>
      <c r="DN427" s="20"/>
      <c r="DO427" s="295"/>
      <c r="DP427" s="29"/>
      <c r="DQ427" s="1504">
        <v>47453</v>
      </c>
      <c r="DR427" s="19"/>
      <c r="DS427" s="93"/>
      <c r="DT427" s="93"/>
      <c r="DU427" s="93"/>
      <c r="DV427" s="93"/>
      <c r="DW427" s="93"/>
      <c r="DX427" s="20"/>
      <c r="DY427" s="29"/>
      <c r="DZ427" s="1504">
        <v>47453</v>
      </c>
      <c r="EA427" s="19"/>
      <c r="EB427" s="93"/>
      <c r="EC427" s="20"/>
      <c r="ED427" s="29"/>
      <c r="EE427" s="1504">
        <v>47453</v>
      </c>
      <c r="EF427" s="19"/>
      <c r="EG427" s="93"/>
      <c r="EH427" s="93"/>
      <c r="EI427" s="214"/>
      <c r="EJ427" s="93"/>
      <c r="EK427" s="93"/>
      <c r="EL427" s="93"/>
      <c r="EM427" s="93"/>
      <c r="EN427" s="20"/>
      <c r="EO427" s="29"/>
      <c r="EP427" s="1504">
        <v>47453</v>
      </c>
      <c r="EQ427" s="19"/>
      <c r="ER427" s="93"/>
      <c r="ES427" s="93"/>
      <c r="ET427" s="214"/>
      <c r="EU427" s="93"/>
      <c r="EV427" s="93"/>
      <c r="EW427" s="93"/>
      <c r="EX427" s="93"/>
      <c r="EY427" s="20"/>
      <c r="EZ427" s="29"/>
      <c r="FA427" s="1504">
        <v>47453</v>
      </c>
      <c r="FB427" s="29"/>
      <c r="FC427" s="29"/>
      <c r="FD427" s="29"/>
      <c r="FE427" s="29"/>
      <c r="FF427" s="29"/>
      <c r="FG427" s="29"/>
      <c r="FH427" s="29"/>
      <c r="FI427" s="29"/>
      <c r="FJ427" s="29"/>
      <c r="FK427" s="29"/>
      <c r="FL427" s="1504">
        <v>47453</v>
      </c>
      <c r="FM427" s="19"/>
      <c r="FN427" s="93"/>
      <c r="FO427" s="93"/>
      <c r="FP427" s="93"/>
      <c r="FQ427" s="93"/>
      <c r="FR427" s="93"/>
      <c r="FS427" s="93"/>
      <c r="FT427" s="93"/>
      <c r="FU427" s="93"/>
      <c r="FV427" s="93"/>
      <c r="FW427" s="93"/>
      <c r="FX427" s="93"/>
      <c r="FY427" s="93"/>
      <c r="FZ427" s="29"/>
      <c r="GA427" s="1504">
        <v>47453</v>
      </c>
      <c r="GB427" s="19"/>
      <c r="GC427" s="93"/>
      <c r="GD427" s="93"/>
      <c r="GE427" s="93"/>
      <c r="GF427" s="93"/>
      <c r="GG427" s="93"/>
      <c r="GH427" s="93"/>
      <c r="GI427" s="93"/>
      <c r="GJ427" s="93"/>
      <c r="GK427" s="93"/>
      <c r="GL427" s="93"/>
      <c r="GM427" s="93"/>
      <c r="GN427" s="20"/>
      <c r="GO427" s="29"/>
      <c r="GP427" s="1504">
        <v>47453</v>
      </c>
      <c r="GQ427" s="19"/>
      <c r="GR427" s="93"/>
      <c r="GS427" s="93"/>
      <c r="GT427" s="93"/>
      <c r="GU427" s="93"/>
      <c r="GV427" s="20"/>
      <c r="GW427" s="19"/>
      <c r="GX427" s="93"/>
      <c r="GY427" s="93"/>
      <c r="GZ427" s="93"/>
      <c r="HA427" s="93"/>
      <c r="HB427" s="20"/>
      <c r="HC427" s="19"/>
      <c r="HD427" s="93"/>
      <c r="HE427" s="93"/>
      <c r="HF427" s="93"/>
      <c r="HG427" s="93"/>
      <c r="HH427" s="20"/>
      <c r="HI427" s="19"/>
      <c r="HJ427" s="93"/>
      <c r="HK427" s="93"/>
      <c r="HL427" s="93"/>
      <c r="HM427" s="93"/>
      <c r="HN427" s="20"/>
      <c r="HO427" s="219"/>
      <c r="HP427" s="20"/>
      <c r="HQ427" s="25"/>
      <c r="HR427" s="29"/>
      <c r="HS427" s="1504">
        <v>47453</v>
      </c>
      <c r="HT427" s="19"/>
      <c r="HU427" s="93"/>
      <c r="HV427" s="93"/>
      <c r="HW427" s="93"/>
      <c r="HX427" s="93"/>
      <c r="HY427" s="93"/>
      <c r="HZ427" s="93"/>
      <c r="IA427" s="20"/>
      <c r="IB427" s="19"/>
      <c r="IC427" s="93"/>
      <c r="ID427" s="93"/>
      <c r="IE427" s="93"/>
      <c r="IF427" s="93"/>
      <c r="IG427" s="20"/>
      <c r="IH427" s="19"/>
      <c r="II427" s="93"/>
      <c r="IJ427" s="93"/>
      <c r="IK427" s="93"/>
      <c r="IL427" s="93"/>
      <c r="IM427" s="93"/>
      <c r="IN427" s="93"/>
      <c r="IO427" s="20"/>
      <c r="IP427" s="29"/>
      <c r="IQ427" s="19"/>
      <c r="IR427" s="93"/>
      <c r="IS427" s="93"/>
      <c r="IT427" s="93"/>
      <c r="IU427" s="93"/>
      <c r="IV427" s="20"/>
      <c r="IW427" s="29"/>
      <c r="IX427" s="19"/>
      <c r="IY427" s="93"/>
      <c r="IZ427" s="93"/>
      <c r="JA427" s="93"/>
      <c r="JB427" s="93"/>
      <c r="JC427" s="93"/>
      <c r="JD427" s="93"/>
      <c r="JE427" s="20"/>
      <c r="JF427" s="29"/>
      <c r="JG427" s="19"/>
      <c r="JH427" s="93"/>
      <c r="JI427" s="93"/>
      <c r="JJ427" s="93"/>
      <c r="JK427" s="93"/>
      <c r="JL427" s="93"/>
      <c r="JM427" s="93"/>
      <c r="JN427" s="20"/>
      <c r="JO427" s="29"/>
      <c r="JP427" s="19"/>
      <c r="JQ427" s="93"/>
      <c r="JR427" s="93"/>
      <c r="JS427" s="93"/>
      <c r="JT427" s="93"/>
      <c r="JU427" s="20"/>
      <c r="JV427" s="29"/>
      <c r="JW427" s="1504">
        <v>47453</v>
      </c>
      <c r="JX427" s="19"/>
      <c r="JY427" s="93"/>
      <c r="JZ427" s="93"/>
      <c r="KA427" s="93"/>
      <c r="KB427" s="93"/>
      <c r="KC427" s="93"/>
      <c r="KD427" s="20"/>
      <c r="KE427" s="29"/>
      <c r="KF427" s="19"/>
      <c r="KG427" s="93"/>
      <c r="KH427" s="93"/>
      <c r="KI427" s="93"/>
      <c r="KJ427" s="93"/>
      <c r="KK427" s="20"/>
      <c r="KL427" s="29"/>
      <c r="KM427" s="19"/>
      <c r="KN427" s="93"/>
      <c r="KO427" s="93"/>
      <c r="KP427" s="93"/>
      <c r="KQ427" s="93"/>
      <c r="KR427" s="20"/>
      <c r="KS427" s="29"/>
      <c r="KT427" s="19"/>
      <c r="KU427" s="93"/>
      <c r="KV427" s="93"/>
      <c r="KW427" s="93"/>
      <c r="KX427" s="93"/>
      <c r="KY427" s="20"/>
      <c r="KZ427" s="29"/>
      <c r="LA427" s="1504">
        <v>47453</v>
      </c>
      <c r="LB427" s="19"/>
      <c r="LC427" s="93"/>
      <c r="LD427" s="93"/>
      <c r="LE427" s="93"/>
      <c r="LF427" s="93"/>
      <c r="LG427" s="93"/>
      <c r="LH427" s="20"/>
      <c r="LI427" s="29"/>
      <c r="LJ427" s="19"/>
      <c r="LK427" s="93"/>
      <c r="LL427" s="93"/>
      <c r="LM427" s="93"/>
      <c r="LN427" s="93"/>
      <c r="LO427" s="20"/>
      <c r="LP427" s="29"/>
      <c r="LQ427" s="19"/>
      <c r="LR427" s="93"/>
      <c r="LS427" s="93"/>
      <c r="LT427" s="93"/>
      <c r="LU427" s="93"/>
      <c r="LV427" s="93"/>
      <c r="LW427" s="93"/>
      <c r="LX427" s="93"/>
      <c r="LY427" s="93"/>
      <c r="LZ427" s="93"/>
      <c r="MA427" s="20"/>
      <c r="MB427" s="29"/>
      <c r="MC427" s="1504">
        <v>47453</v>
      </c>
      <c r="MD427" s="19"/>
      <c r="ME427" s="93"/>
      <c r="MF427" s="93"/>
      <c r="MG427" s="93"/>
      <c r="MH427" s="93"/>
      <c r="MI427" s="93"/>
      <c r="MJ427" s="93"/>
      <c r="MK427" s="93"/>
      <c r="ML427" s="93"/>
      <c r="MM427" s="93"/>
      <c r="MN427" s="93"/>
      <c r="MO427" s="93"/>
      <c r="MP427" s="93"/>
      <c r="MQ427" s="93"/>
      <c r="MR427" s="93"/>
      <c r="MS427" s="93"/>
      <c r="MT427" s="93"/>
      <c r="MU427" s="93"/>
      <c r="MV427" s="93"/>
      <c r="MW427" s="93"/>
      <c r="MX427" s="93"/>
      <c r="MY427" s="93"/>
      <c r="MZ427" s="93"/>
      <c r="NA427" s="93"/>
      <c r="NB427" s="93"/>
      <c r="NC427" s="93"/>
      <c r="ND427" s="93"/>
      <c r="NE427" s="93"/>
      <c r="NF427" s="93"/>
      <c r="NG427" s="93"/>
      <c r="NH427" s="93"/>
      <c r="NI427" s="93"/>
      <c r="NJ427" s="93"/>
      <c r="NK427" s="93"/>
      <c r="NL427" s="93"/>
      <c r="NM427" s="93"/>
      <c r="NN427" s="93"/>
      <c r="NO427" s="93"/>
      <c r="NP427" s="93"/>
      <c r="NQ427" s="93"/>
      <c r="NR427" s="93"/>
      <c r="NS427" s="93"/>
      <c r="NT427" s="93"/>
      <c r="NU427" s="93"/>
      <c r="NV427" s="93"/>
      <c r="NW427" s="93"/>
      <c r="NX427" s="93"/>
      <c r="NY427" s="93"/>
      <c r="NZ427" s="93"/>
      <c r="OA427" s="93"/>
      <c r="OB427" s="93"/>
      <c r="OC427" s="93"/>
      <c r="OD427" s="20"/>
      <c r="OE427" s="29"/>
      <c r="OF427" s="1504">
        <v>47453</v>
      </c>
      <c r="OG427" s="19"/>
      <c r="OH427" s="93"/>
      <c r="OI427" s="93"/>
      <c r="OJ427" s="93"/>
      <c r="OK427" s="93"/>
      <c r="OL427" s="93"/>
      <c r="OM427" s="93"/>
      <c r="ON427" s="93"/>
      <c r="OO427" s="93"/>
      <c r="OP427" s="93"/>
      <c r="OQ427" s="93"/>
      <c r="OR427" s="93"/>
      <c r="OS427" s="93"/>
      <c r="OT427" s="93"/>
      <c r="OU427" s="93"/>
      <c r="OV427" s="93"/>
      <c r="OW427" s="93"/>
      <c r="OX427" s="93"/>
      <c r="OY427" s="93"/>
      <c r="OZ427" s="93"/>
      <c r="PA427" s="93"/>
      <c r="PB427" s="93"/>
      <c r="PC427" s="20"/>
      <c r="PD427" s="29"/>
      <c r="PE427" s="19"/>
      <c r="PF427" s="93"/>
      <c r="PG427" s="93"/>
      <c r="PH427" s="93"/>
      <c r="PI427" s="93"/>
      <c r="PJ427" s="93"/>
      <c r="PK427" s="93"/>
      <c r="PL427" s="93"/>
      <c r="PM427" s="93"/>
      <c r="PN427" s="93"/>
      <c r="PO427" s="93"/>
      <c r="PP427" s="93"/>
      <c r="PQ427" s="93"/>
      <c r="PR427" s="93"/>
      <c r="PS427" s="93"/>
      <c r="PT427" s="93"/>
      <c r="PU427" s="93"/>
      <c r="PV427" s="93"/>
      <c r="PW427" s="93"/>
      <c r="PX427" s="93"/>
      <c r="PY427" s="93"/>
      <c r="PZ427" s="93"/>
      <c r="QA427" s="93"/>
      <c r="QB427" s="93"/>
      <c r="QC427" s="93"/>
      <c r="QD427" s="93"/>
      <c r="QE427" s="20"/>
      <c r="QF427" s="1739"/>
      <c r="QG427" s="19"/>
      <c r="QH427" s="93"/>
      <c r="QI427" s="93"/>
      <c r="QJ427" s="93"/>
      <c r="QK427" s="93"/>
      <c r="QL427" s="93"/>
      <c r="QM427" s="93"/>
      <c r="QN427" s="93"/>
      <c r="QO427" s="93"/>
      <c r="QP427" s="93"/>
      <c r="QQ427" s="93"/>
      <c r="QR427" s="93"/>
      <c r="QS427" s="93"/>
      <c r="QT427" s="93"/>
      <c r="QU427" s="93"/>
      <c r="QV427" s="93"/>
      <c r="QW427" s="93"/>
      <c r="QX427" s="93"/>
      <c r="QY427" s="93"/>
      <c r="QZ427" s="93"/>
      <c r="RA427" s="93"/>
      <c r="RB427" s="93"/>
      <c r="RC427" s="93"/>
      <c r="RD427" s="93"/>
      <c r="RE427" s="93"/>
      <c r="RF427" s="93"/>
      <c r="RG427" s="93"/>
      <c r="RH427" s="93"/>
      <c r="RI427" s="93"/>
      <c r="RJ427" s="93"/>
      <c r="RK427" s="93"/>
      <c r="RL427" s="93"/>
      <c r="RM427" s="20"/>
      <c r="RN427" s="29"/>
      <c r="RO427" s="19"/>
      <c r="RP427" s="20"/>
      <c r="RQ427" s="29"/>
      <c r="RR427" s="20"/>
      <c r="RS427" s="29"/>
      <c r="RT427" s="1504">
        <v>47453</v>
      </c>
      <c r="RU427" s="19"/>
      <c r="RV427" s="20"/>
      <c r="RW427" s="29"/>
      <c r="RX427" s="1504">
        <v>47453</v>
      </c>
      <c r="RY427" s="29"/>
      <c r="RZ427" s="20"/>
      <c r="SA427" s="29"/>
      <c r="SB427" s="29"/>
    </row>
    <row r="428" spans="1:496">
      <c r="A428" s="41">
        <f t="shared" si="358"/>
        <v>2030</v>
      </c>
      <c r="B428" s="1504">
        <v>47484</v>
      </c>
      <c r="C428" s="1813"/>
      <c r="D428" s="1814"/>
      <c r="E428" s="1814"/>
      <c r="F428" s="1815"/>
      <c r="G428" s="1814"/>
      <c r="H428" s="1814"/>
      <c r="I428" s="1814"/>
      <c r="J428" s="1816"/>
      <c r="K428" s="1807"/>
      <c r="L428" s="25"/>
      <c r="M428" s="97"/>
      <c r="N428" s="1504">
        <v>47484</v>
      </c>
      <c r="O428" s="19"/>
      <c r="P428" s="93"/>
      <c r="Q428" s="93"/>
      <c r="R428" s="93"/>
      <c r="S428" s="93"/>
      <c r="T428" s="93"/>
      <c r="U428" s="93"/>
      <c r="V428" s="93"/>
      <c r="W428" s="93"/>
      <c r="X428" s="93"/>
      <c r="Y428" s="93"/>
      <c r="Z428" s="93"/>
      <c r="AA428" s="93"/>
      <c r="AB428" s="20"/>
      <c r="AC428" s="25"/>
      <c r="AD428" s="97"/>
      <c r="AE428" s="1504">
        <v>47484</v>
      </c>
      <c r="AF428" s="19"/>
      <c r="AG428" s="93"/>
      <c r="AH428" s="93"/>
      <c r="AI428" s="93"/>
      <c r="AJ428" s="93"/>
      <c r="AK428" s="93"/>
      <c r="AL428" s="93"/>
      <c r="AM428" s="93"/>
      <c r="AN428" s="93"/>
      <c r="AO428" s="93"/>
      <c r="AP428" s="93"/>
      <c r="AQ428" s="93"/>
      <c r="AR428" s="93"/>
      <c r="AS428" s="20"/>
      <c r="AT428" s="25"/>
      <c r="AU428" s="97"/>
      <c r="AV428" s="1504">
        <v>47484</v>
      </c>
      <c r="AW428" s="19"/>
      <c r="AX428" s="93"/>
      <c r="AY428" s="93"/>
      <c r="AZ428" s="93"/>
      <c r="BA428" s="93"/>
      <c r="BB428" s="93"/>
      <c r="BC428" s="93"/>
      <c r="BD428" s="93"/>
      <c r="BE428" s="93"/>
      <c r="BF428" s="93"/>
      <c r="BG428" s="93"/>
      <c r="BH428" s="93"/>
      <c r="BI428" s="93"/>
      <c r="BJ428" s="20"/>
      <c r="BK428" s="25"/>
      <c r="BL428" s="97"/>
      <c r="BM428" s="1504">
        <v>47484</v>
      </c>
      <c r="BN428" s="19"/>
      <c r="BO428" s="93"/>
      <c r="BP428" s="93"/>
      <c r="BQ428" s="93"/>
      <c r="BR428" s="93"/>
      <c r="BS428" s="93"/>
      <c r="BT428" s="93"/>
      <c r="BU428" s="20"/>
      <c r="BV428" s="25"/>
      <c r="BW428" s="97"/>
      <c r="BX428" s="1504">
        <v>47484</v>
      </c>
      <c r="BY428" s="19"/>
      <c r="BZ428" s="93"/>
      <c r="CA428" s="93"/>
      <c r="CB428" s="93"/>
      <c r="CC428" s="93"/>
      <c r="CD428" s="25"/>
      <c r="CE428" s="97"/>
      <c r="CF428" s="1504">
        <v>47484</v>
      </c>
      <c r="CG428" s="19"/>
      <c r="CH428" s="93"/>
      <c r="CI428" s="219"/>
      <c r="CJ428" s="20"/>
      <c r="CK428" s="19"/>
      <c r="CL428" s="93"/>
      <c r="CM428" s="93"/>
      <c r="CN428" s="93"/>
      <c r="CO428" s="93"/>
      <c r="CP428" s="20"/>
      <c r="CQ428" s="219"/>
      <c r="CR428" s="93"/>
      <c r="CS428" s="93"/>
      <c r="CT428" s="93"/>
      <c r="CU428" s="93"/>
      <c r="CV428" s="214"/>
      <c r="CW428" s="29"/>
      <c r="CX428" s="41">
        <f t="shared" si="357"/>
        <v>2030</v>
      </c>
      <c r="CY428" s="1504">
        <v>47484</v>
      </c>
      <c r="CZ428" s="19"/>
      <c r="DA428" s="93"/>
      <c r="DB428" s="93"/>
      <c r="DC428" s="93"/>
      <c r="DD428" s="93"/>
      <c r="DE428" s="20"/>
      <c r="DF428" s="29"/>
      <c r="DG428" s="1504">
        <v>47484</v>
      </c>
      <c r="DH428" s="19"/>
      <c r="DI428" s="93"/>
      <c r="DJ428" s="93"/>
      <c r="DK428" s="93"/>
      <c r="DL428" s="93"/>
      <c r="DM428" s="93"/>
      <c r="DN428" s="20"/>
      <c r="DO428" s="295"/>
      <c r="DP428" s="29"/>
      <c r="DQ428" s="1504">
        <v>47484</v>
      </c>
      <c r="DR428" s="19"/>
      <c r="DS428" s="93"/>
      <c r="DT428" s="93"/>
      <c r="DU428" s="93"/>
      <c r="DV428" s="93"/>
      <c r="DW428" s="93"/>
      <c r="DX428" s="20"/>
      <c r="DY428" s="29"/>
      <c r="DZ428" s="1504">
        <v>47484</v>
      </c>
      <c r="EA428" s="19"/>
      <c r="EB428" s="93"/>
      <c r="EC428" s="20"/>
      <c r="ED428" s="29"/>
      <c r="EE428" s="1504">
        <v>47484</v>
      </c>
      <c r="EF428" s="19"/>
      <c r="EG428" s="93"/>
      <c r="EH428" s="93"/>
      <c r="EI428" s="214"/>
      <c r="EJ428" s="93"/>
      <c r="EK428" s="93"/>
      <c r="EL428" s="93"/>
      <c r="EM428" s="93"/>
      <c r="EN428" s="20"/>
      <c r="EO428" s="29"/>
      <c r="EP428" s="1504">
        <v>47484</v>
      </c>
      <c r="EQ428" s="19"/>
      <c r="ER428" s="93"/>
      <c r="ES428" s="93"/>
      <c r="ET428" s="214"/>
      <c r="EU428" s="93"/>
      <c r="EV428" s="93"/>
      <c r="EW428" s="93"/>
      <c r="EX428" s="93"/>
      <c r="EY428" s="20"/>
      <c r="EZ428" s="29"/>
      <c r="FA428" s="1504">
        <v>47484</v>
      </c>
      <c r="FB428" s="29"/>
      <c r="FC428" s="29"/>
      <c r="FD428" s="29"/>
      <c r="FE428" s="29"/>
      <c r="FF428" s="29"/>
      <c r="FG428" s="29"/>
      <c r="FH428" s="29"/>
      <c r="FI428" s="29"/>
      <c r="FJ428" s="29"/>
      <c r="FK428" s="29"/>
      <c r="FL428" s="1504">
        <v>47484</v>
      </c>
      <c r="FM428" s="19"/>
      <c r="FN428" s="93"/>
      <c r="FO428" s="93"/>
      <c r="FP428" s="93"/>
      <c r="FQ428" s="93"/>
      <c r="FR428" s="93"/>
      <c r="FS428" s="93"/>
      <c r="FT428" s="93"/>
      <c r="FU428" s="93"/>
      <c r="FV428" s="93"/>
      <c r="FW428" s="93"/>
      <c r="FX428" s="93"/>
      <c r="FY428" s="93"/>
      <c r="FZ428" s="29"/>
      <c r="GA428" s="1504">
        <v>47484</v>
      </c>
      <c r="GB428" s="19"/>
      <c r="GC428" s="93"/>
      <c r="GD428" s="93"/>
      <c r="GE428" s="93"/>
      <c r="GF428" s="93"/>
      <c r="GG428" s="93"/>
      <c r="GH428" s="93"/>
      <c r="GI428" s="93"/>
      <c r="GJ428" s="93"/>
      <c r="GK428" s="93"/>
      <c r="GL428" s="93"/>
      <c r="GM428" s="93"/>
      <c r="GN428" s="20"/>
      <c r="GO428" s="29"/>
      <c r="GP428" s="1504">
        <v>47484</v>
      </c>
      <c r="GQ428" s="19"/>
      <c r="GR428" s="93"/>
      <c r="GS428" s="93"/>
      <c r="GT428" s="93"/>
      <c r="GU428" s="93"/>
      <c r="GV428" s="20"/>
      <c r="GW428" s="19"/>
      <c r="GX428" s="93"/>
      <c r="GY428" s="93"/>
      <c r="GZ428" s="93"/>
      <c r="HA428" s="93"/>
      <c r="HB428" s="20"/>
      <c r="HC428" s="19"/>
      <c r="HD428" s="93"/>
      <c r="HE428" s="93"/>
      <c r="HF428" s="93"/>
      <c r="HG428" s="93"/>
      <c r="HH428" s="20"/>
      <c r="HI428" s="19"/>
      <c r="HJ428" s="93"/>
      <c r="HK428" s="93"/>
      <c r="HL428" s="93"/>
      <c r="HM428" s="93"/>
      <c r="HN428" s="20"/>
      <c r="HO428" s="219"/>
      <c r="HP428" s="20"/>
      <c r="HQ428" s="25"/>
      <c r="HR428" s="29"/>
      <c r="HS428" s="1504">
        <v>47484</v>
      </c>
      <c r="HT428" s="19"/>
      <c r="HU428" s="93"/>
      <c r="HV428" s="93"/>
      <c r="HW428" s="93"/>
      <c r="HX428" s="93"/>
      <c r="HY428" s="93"/>
      <c r="HZ428" s="93"/>
      <c r="IA428" s="20"/>
      <c r="IB428" s="19"/>
      <c r="IC428" s="93"/>
      <c r="ID428" s="93"/>
      <c r="IE428" s="93"/>
      <c r="IF428" s="93"/>
      <c r="IG428" s="20"/>
      <c r="IH428" s="19"/>
      <c r="II428" s="93"/>
      <c r="IJ428" s="93"/>
      <c r="IK428" s="93"/>
      <c r="IL428" s="93"/>
      <c r="IM428" s="93"/>
      <c r="IN428" s="93"/>
      <c r="IO428" s="20"/>
      <c r="IP428" s="29"/>
      <c r="IQ428" s="19"/>
      <c r="IR428" s="93"/>
      <c r="IS428" s="93"/>
      <c r="IT428" s="93"/>
      <c r="IU428" s="93"/>
      <c r="IV428" s="20"/>
      <c r="IW428" s="29"/>
      <c r="IX428" s="19"/>
      <c r="IY428" s="93"/>
      <c r="IZ428" s="93"/>
      <c r="JA428" s="93"/>
      <c r="JB428" s="93"/>
      <c r="JC428" s="93"/>
      <c r="JD428" s="93"/>
      <c r="JE428" s="20"/>
      <c r="JF428" s="29"/>
      <c r="JG428" s="19"/>
      <c r="JH428" s="93"/>
      <c r="JI428" s="93"/>
      <c r="JJ428" s="93"/>
      <c r="JK428" s="93"/>
      <c r="JL428" s="93"/>
      <c r="JM428" s="93"/>
      <c r="JN428" s="20"/>
      <c r="JO428" s="29"/>
      <c r="JP428" s="19"/>
      <c r="JQ428" s="93"/>
      <c r="JR428" s="93"/>
      <c r="JS428" s="93"/>
      <c r="JT428" s="93"/>
      <c r="JU428" s="20"/>
      <c r="JV428" s="29"/>
      <c r="JW428" s="1504">
        <v>47484</v>
      </c>
      <c r="JX428" s="19"/>
      <c r="JY428" s="93"/>
      <c r="JZ428" s="93"/>
      <c r="KA428" s="93"/>
      <c r="KB428" s="93"/>
      <c r="KC428" s="93"/>
      <c r="KD428" s="20"/>
      <c r="KE428" s="29"/>
      <c r="KF428" s="19"/>
      <c r="KG428" s="93"/>
      <c r="KH428" s="93"/>
      <c r="KI428" s="93"/>
      <c r="KJ428" s="93"/>
      <c r="KK428" s="20"/>
      <c r="KL428" s="29"/>
      <c r="KM428" s="19"/>
      <c r="KN428" s="93"/>
      <c r="KO428" s="93"/>
      <c r="KP428" s="93"/>
      <c r="KQ428" s="93"/>
      <c r="KR428" s="20"/>
      <c r="KS428" s="29"/>
      <c r="KT428" s="19"/>
      <c r="KU428" s="93"/>
      <c r="KV428" s="93"/>
      <c r="KW428" s="93"/>
      <c r="KX428" s="93"/>
      <c r="KY428" s="20"/>
      <c r="KZ428" s="29"/>
      <c r="LA428" s="1504">
        <v>47484</v>
      </c>
      <c r="LB428" s="19"/>
      <c r="LC428" s="93"/>
      <c r="LD428" s="93"/>
      <c r="LE428" s="93"/>
      <c r="LF428" s="93"/>
      <c r="LG428" s="93"/>
      <c r="LH428" s="20"/>
      <c r="LI428" s="29"/>
      <c r="LJ428" s="19"/>
      <c r="LK428" s="93"/>
      <c r="LL428" s="93"/>
      <c r="LM428" s="93"/>
      <c r="LN428" s="93"/>
      <c r="LO428" s="20"/>
      <c r="LP428" s="29"/>
      <c r="LQ428" s="19"/>
      <c r="LR428" s="93"/>
      <c r="LS428" s="93"/>
      <c r="LT428" s="93"/>
      <c r="LU428" s="93"/>
      <c r="LV428" s="93"/>
      <c r="LW428" s="93"/>
      <c r="LX428" s="93"/>
      <c r="LY428" s="93"/>
      <c r="LZ428" s="93"/>
      <c r="MA428" s="20"/>
      <c r="MB428" s="29"/>
      <c r="MC428" s="1504">
        <v>47484</v>
      </c>
      <c r="MD428" s="19"/>
      <c r="ME428" s="93"/>
      <c r="MF428" s="93"/>
      <c r="MG428" s="93"/>
      <c r="MH428" s="93"/>
      <c r="MI428" s="93"/>
      <c r="MJ428" s="93"/>
      <c r="MK428" s="93"/>
      <c r="ML428" s="93"/>
      <c r="MM428" s="93"/>
      <c r="MN428" s="93"/>
      <c r="MO428" s="93"/>
      <c r="MP428" s="93"/>
      <c r="MQ428" s="93"/>
      <c r="MR428" s="93"/>
      <c r="MS428" s="93"/>
      <c r="MT428" s="93"/>
      <c r="MU428" s="93"/>
      <c r="MV428" s="93"/>
      <c r="MW428" s="93"/>
      <c r="MX428" s="93"/>
      <c r="MY428" s="93"/>
      <c r="MZ428" s="93"/>
      <c r="NA428" s="93"/>
      <c r="NB428" s="93"/>
      <c r="NC428" s="93"/>
      <c r="ND428" s="93"/>
      <c r="NE428" s="93"/>
      <c r="NF428" s="93"/>
      <c r="NG428" s="93"/>
      <c r="NH428" s="93"/>
      <c r="NI428" s="93"/>
      <c r="NJ428" s="93"/>
      <c r="NK428" s="93"/>
      <c r="NL428" s="93"/>
      <c r="NM428" s="93"/>
      <c r="NN428" s="93"/>
      <c r="NO428" s="93"/>
      <c r="NP428" s="93"/>
      <c r="NQ428" s="93"/>
      <c r="NR428" s="93"/>
      <c r="NS428" s="93"/>
      <c r="NT428" s="93"/>
      <c r="NU428" s="93"/>
      <c r="NV428" s="93"/>
      <c r="NW428" s="93"/>
      <c r="NX428" s="93"/>
      <c r="NY428" s="93"/>
      <c r="NZ428" s="93"/>
      <c r="OA428" s="93"/>
      <c r="OB428" s="93"/>
      <c r="OC428" s="93"/>
      <c r="OD428" s="20"/>
      <c r="OE428" s="29"/>
      <c r="OF428" s="1504">
        <v>47484</v>
      </c>
      <c r="OG428" s="19"/>
      <c r="OH428" s="93"/>
      <c r="OI428" s="93"/>
      <c r="OJ428" s="93"/>
      <c r="OK428" s="93"/>
      <c r="OL428" s="93"/>
      <c r="OM428" s="93"/>
      <c r="ON428" s="93"/>
      <c r="OO428" s="93"/>
      <c r="OP428" s="93"/>
      <c r="OQ428" s="93"/>
      <c r="OR428" s="93"/>
      <c r="OS428" s="93"/>
      <c r="OT428" s="93"/>
      <c r="OU428" s="93"/>
      <c r="OV428" s="93"/>
      <c r="OW428" s="93"/>
      <c r="OX428" s="93"/>
      <c r="OY428" s="93"/>
      <c r="OZ428" s="93"/>
      <c r="PA428" s="93"/>
      <c r="PB428" s="93"/>
      <c r="PC428" s="20"/>
      <c r="PD428" s="29"/>
      <c r="PE428" s="19"/>
      <c r="PF428" s="93"/>
      <c r="PG428" s="93"/>
      <c r="PH428" s="93"/>
      <c r="PI428" s="93"/>
      <c r="PJ428" s="93"/>
      <c r="PK428" s="93"/>
      <c r="PL428" s="93"/>
      <c r="PM428" s="93"/>
      <c r="PN428" s="93"/>
      <c r="PO428" s="93"/>
      <c r="PP428" s="93"/>
      <c r="PQ428" s="93"/>
      <c r="PR428" s="93"/>
      <c r="PS428" s="93"/>
      <c r="PT428" s="93"/>
      <c r="PU428" s="93"/>
      <c r="PV428" s="93"/>
      <c r="PW428" s="93"/>
      <c r="PX428" s="93"/>
      <c r="PY428" s="93"/>
      <c r="PZ428" s="93"/>
      <c r="QA428" s="93"/>
      <c r="QB428" s="93"/>
      <c r="QC428" s="93"/>
      <c r="QD428" s="93"/>
      <c r="QE428" s="20"/>
      <c r="QF428" s="1739"/>
      <c r="QG428" s="19"/>
      <c r="QH428" s="93"/>
      <c r="QI428" s="93"/>
      <c r="QJ428" s="93"/>
      <c r="QK428" s="93"/>
      <c r="QL428" s="93"/>
      <c r="QM428" s="93"/>
      <c r="QN428" s="93"/>
      <c r="QO428" s="93"/>
      <c r="QP428" s="93"/>
      <c r="QQ428" s="93"/>
      <c r="QR428" s="93"/>
      <c r="QS428" s="93"/>
      <c r="QT428" s="93"/>
      <c r="QU428" s="93"/>
      <c r="QV428" s="93"/>
      <c r="QW428" s="93"/>
      <c r="QX428" s="93"/>
      <c r="QY428" s="93"/>
      <c r="QZ428" s="93"/>
      <c r="RA428" s="93"/>
      <c r="RB428" s="93"/>
      <c r="RC428" s="93"/>
      <c r="RD428" s="93"/>
      <c r="RE428" s="93"/>
      <c r="RF428" s="93"/>
      <c r="RG428" s="93"/>
      <c r="RH428" s="93"/>
      <c r="RI428" s="93"/>
      <c r="RJ428" s="93"/>
      <c r="RK428" s="93"/>
      <c r="RL428" s="93"/>
      <c r="RM428" s="20"/>
      <c r="RN428" s="29"/>
      <c r="RO428" s="19"/>
      <c r="RP428" s="20"/>
      <c r="RQ428" s="29"/>
      <c r="RR428" s="20"/>
      <c r="RS428" s="29"/>
      <c r="RT428" s="1504">
        <v>47484</v>
      </c>
      <c r="RU428" s="19"/>
      <c r="RV428" s="20"/>
      <c r="RW428" s="29"/>
      <c r="RX428" s="1504">
        <v>47484</v>
      </c>
      <c r="RY428" s="29"/>
      <c r="RZ428" s="20"/>
      <c r="SA428" s="29"/>
      <c r="SB428" s="29"/>
    </row>
    <row r="429" spans="1:496">
      <c r="A429" s="41">
        <f t="shared" si="358"/>
        <v>2030</v>
      </c>
      <c r="B429" s="1504">
        <v>47515</v>
      </c>
      <c r="C429" s="1813"/>
      <c r="D429" s="1814"/>
      <c r="E429" s="1814"/>
      <c r="F429" s="1815"/>
      <c r="G429" s="1814"/>
      <c r="H429" s="1814"/>
      <c r="I429" s="1814"/>
      <c r="J429" s="1816"/>
      <c r="K429" s="1807"/>
      <c r="L429" s="25"/>
      <c r="M429" s="97"/>
      <c r="N429" s="1504">
        <v>47515</v>
      </c>
      <c r="O429" s="19"/>
      <c r="P429" s="93"/>
      <c r="Q429" s="93"/>
      <c r="R429" s="93"/>
      <c r="S429" s="93"/>
      <c r="T429" s="93"/>
      <c r="U429" s="93"/>
      <c r="V429" s="93"/>
      <c r="W429" s="93"/>
      <c r="X429" s="93"/>
      <c r="Y429" s="93"/>
      <c r="Z429" s="93"/>
      <c r="AA429" s="93"/>
      <c r="AB429" s="20"/>
      <c r="AC429" s="25"/>
      <c r="AD429" s="97"/>
      <c r="AE429" s="1504">
        <v>47515</v>
      </c>
      <c r="AF429" s="19"/>
      <c r="AG429" s="93"/>
      <c r="AH429" s="93"/>
      <c r="AI429" s="93"/>
      <c r="AJ429" s="93"/>
      <c r="AK429" s="93"/>
      <c r="AL429" s="93"/>
      <c r="AM429" s="93"/>
      <c r="AN429" s="93"/>
      <c r="AO429" s="93"/>
      <c r="AP429" s="93"/>
      <c r="AQ429" s="93"/>
      <c r="AR429" s="93"/>
      <c r="AS429" s="20"/>
      <c r="AT429" s="25"/>
      <c r="AU429" s="97"/>
      <c r="AV429" s="1504">
        <v>47515</v>
      </c>
      <c r="AW429" s="19"/>
      <c r="AX429" s="93"/>
      <c r="AY429" s="93"/>
      <c r="AZ429" s="93"/>
      <c r="BA429" s="93"/>
      <c r="BB429" s="93"/>
      <c r="BC429" s="93"/>
      <c r="BD429" s="93"/>
      <c r="BE429" s="93"/>
      <c r="BF429" s="93"/>
      <c r="BG429" s="93"/>
      <c r="BH429" s="93"/>
      <c r="BI429" s="93"/>
      <c r="BJ429" s="20"/>
      <c r="BK429" s="25"/>
      <c r="BL429" s="97"/>
      <c r="BM429" s="1504">
        <v>47515</v>
      </c>
      <c r="BN429" s="19"/>
      <c r="BO429" s="93"/>
      <c r="BP429" s="93"/>
      <c r="BQ429" s="93"/>
      <c r="BR429" s="93"/>
      <c r="BS429" s="93"/>
      <c r="BT429" s="93"/>
      <c r="BU429" s="20"/>
      <c r="BV429" s="25"/>
      <c r="BW429" s="97"/>
      <c r="BX429" s="1504">
        <v>47515</v>
      </c>
      <c r="BY429" s="19"/>
      <c r="BZ429" s="93"/>
      <c r="CA429" s="93"/>
      <c r="CB429" s="93"/>
      <c r="CC429" s="93"/>
      <c r="CD429" s="25"/>
      <c r="CE429" s="97"/>
      <c r="CF429" s="1504">
        <v>47515</v>
      </c>
      <c r="CG429" s="19"/>
      <c r="CH429" s="93"/>
      <c r="CI429" s="219"/>
      <c r="CJ429" s="20"/>
      <c r="CK429" s="19"/>
      <c r="CL429" s="93"/>
      <c r="CM429" s="93"/>
      <c r="CN429" s="93"/>
      <c r="CO429" s="93"/>
      <c r="CP429" s="20"/>
      <c r="CQ429" s="219"/>
      <c r="CR429" s="93"/>
      <c r="CS429" s="93"/>
      <c r="CT429" s="93"/>
      <c r="CU429" s="93"/>
      <c r="CV429" s="214"/>
      <c r="CW429" s="29"/>
      <c r="CX429" s="41">
        <f t="shared" si="357"/>
        <v>2030</v>
      </c>
      <c r="CY429" s="1504">
        <v>47515</v>
      </c>
      <c r="CZ429" s="19"/>
      <c r="DA429" s="93"/>
      <c r="DB429" s="93"/>
      <c r="DC429" s="93"/>
      <c r="DD429" s="93"/>
      <c r="DE429" s="20"/>
      <c r="DF429" s="29"/>
      <c r="DG429" s="1504">
        <v>47515</v>
      </c>
      <c r="DH429" s="19"/>
      <c r="DI429" s="93"/>
      <c r="DJ429" s="93"/>
      <c r="DK429" s="93"/>
      <c r="DL429" s="93"/>
      <c r="DM429" s="93"/>
      <c r="DN429" s="20"/>
      <c r="DO429" s="295"/>
      <c r="DP429" s="29"/>
      <c r="DQ429" s="1504">
        <v>47515</v>
      </c>
      <c r="DR429" s="19"/>
      <c r="DS429" s="93"/>
      <c r="DT429" s="93"/>
      <c r="DU429" s="93"/>
      <c r="DV429" s="93"/>
      <c r="DW429" s="93"/>
      <c r="DX429" s="20"/>
      <c r="DY429" s="29"/>
      <c r="DZ429" s="1504">
        <v>47515</v>
      </c>
      <c r="EA429" s="19"/>
      <c r="EB429" s="93"/>
      <c r="EC429" s="20"/>
      <c r="ED429" s="29"/>
      <c r="EE429" s="1504">
        <v>47515</v>
      </c>
      <c r="EF429" s="19"/>
      <c r="EG429" s="93"/>
      <c r="EH429" s="93"/>
      <c r="EI429" s="214"/>
      <c r="EJ429" s="93"/>
      <c r="EK429" s="93"/>
      <c r="EL429" s="93"/>
      <c r="EM429" s="93"/>
      <c r="EN429" s="20"/>
      <c r="EO429" s="29"/>
      <c r="EP429" s="1504">
        <v>47515</v>
      </c>
      <c r="EQ429" s="19"/>
      <c r="ER429" s="93"/>
      <c r="ES429" s="93"/>
      <c r="ET429" s="214"/>
      <c r="EU429" s="93"/>
      <c r="EV429" s="93"/>
      <c r="EW429" s="93"/>
      <c r="EX429" s="93"/>
      <c r="EY429" s="20"/>
      <c r="EZ429" s="29"/>
      <c r="FA429" s="1504">
        <v>47515</v>
      </c>
      <c r="FB429" s="29"/>
      <c r="FC429" s="29"/>
      <c r="FD429" s="29"/>
      <c r="FE429" s="29"/>
      <c r="FF429" s="29"/>
      <c r="FG429" s="29"/>
      <c r="FH429" s="29"/>
      <c r="FI429" s="29"/>
      <c r="FJ429" s="29"/>
      <c r="FK429" s="29"/>
      <c r="FL429" s="1504">
        <v>47515</v>
      </c>
      <c r="FM429" s="19"/>
      <c r="FN429" s="93"/>
      <c r="FO429" s="93"/>
      <c r="FP429" s="93"/>
      <c r="FQ429" s="93"/>
      <c r="FR429" s="93"/>
      <c r="FS429" s="93"/>
      <c r="FT429" s="93"/>
      <c r="FU429" s="93"/>
      <c r="FV429" s="93"/>
      <c r="FW429" s="93"/>
      <c r="FX429" s="93"/>
      <c r="FY429" s="93"/>
      <c r="FZ429" s="29"/>
      <c r="GA429" s="1504">
        <v>47515</v>
      </c>
      <c r="GB429" s="19"/>
      <c r="GC429" s="93"/>
      <c r="GD429" s="93"/>
      <c r="GE429" s="93"/>
      <c r="GF429" s="93"/>
      <c r="GG429" s="93"/>
      <c r="GH429" s="93"/>
      <c r="GI429" s="93"/>
      <c r="GJ429" s="93"/>
      <c r="GK429" s="93"/>
      <c r="GL429" s="93"/>
      <c r="GM429" s="93"/>
      <c r="GN429" s="20"/>
      <c r="GO429" s="29"/>
      <c r="GP429" s="1504">
        <v>47515</v>
      </c>
      <c r="GQ429" s="19"/>
      <c r="GR429" s="93"/>
      <c r="GS429" s="93"/>
      <c r="GT429" s="93"/>
      <c r="GU429" s="93"/>
      <c r="GV429" s="20"/>
      <c r="GW429" s="19"/>
      <c r="GX429" s="93"/>
      <c r="GY429" s="93"/>
      <c r="GZ429" s="93"/>
      <c r="HA429" s="93"/>
      <c r="HB429" s="20"/>
      <c r="HC429" s="19"/>
      <c r="HD429" s="93"/>
      <c r="HE429" s="93"/>
      <c r="HF429" s="93"/>
      <c r="HG429" s="93"/>
      <c r="HH429" s="20"/>
      <c r="HI429" s="19"/>
      <c r="HJ429" s="93"/>
      <c r="HK429" s="93"/>
      <c r="HL429" s="93"/>
      <c r="HM429" s="93"/>
      <c r="HN429" s="20"/>
      <c r="HO429" s="219"/>
      <c r="HP429" s="20"/>
      <c r="HQ429" s="25"/>
      <c r="HR429" s="29"/>
      <c r="HS429" s="1504">
        <v>47515</v>
      </c>
      <c r="HT429" s="19"/>
      <c r="HU429" s="93"/>
      <c r="HV429" s="93"/>
      <c r="HW429" s="93"/>
      <c r="HX429" s="93"/>
      <c r="HY429" s="93"/>
      <c r="HZ429" s="93"/>
      <c r="IA429" s="20"/>
      <c r="IB429" s="19"/>
      <c r="IC429" s="93"/>
      <c r="ID429" s="93"/>
      <c r="IE429" s="93"/>
      <c r="IF429" s="93"/>
      <c r="IG429" s="20"/>
      <c r="IH429" s="19"/>
      <c r="II429" s="93"/>
      <c r="IJ429" s="93"/>
      <c r="IK429" s="93"/>
      <c r="IL429" s="93"/>
      <c r="IM429" s="93"/>
      <c r="IN429" s="93"/>
      <c r="IO429" s="20"/>
      <c r="IP429" s="29"/>
      <c r="IQ429" s="19"/>
      <c r="IR429" s="93"/>
      <c r="IS429" s="93"/>
      <c r="IT429" s="93"/>
      <c r="IU429" s="93"/>
      <c r="IV429" s="20"/>
      <c r="IW429" s="29"/>
      <c r="IX429" s="19"/>
      <c r="IY429" s="93"/>
      <c r="IZ429" s="93"/>
      <c r="JA429" s="93"/>
      <c r="JB429" s="93"/>
      <c r="JC429" s="93"/>
      <c r="JD429" s="93"/>
      <c r="JE429" s="20"/>
      <c r="JF429" s="29"/>
      <c r="JG429" s="19"/>
      <c r="JH429" s="93"/>
      <c r="JI429" s="93"/>
      <c r="JJ429" s="93"/>
      <c r="JK429" s="93"/>
      <c r="JL429" s="93"/>
      <c r="JM429" s="93"/>
      <c r="JN429" s="20"/>
      <c r="JO429" s="29"/>
      <c r="JP429" s="19"/>
      <c r="JQ429" s="93"/>
      <c r="JR429" s="93"/>
      <c r="JS429" s="93"/>
      <c r="JT429" s="93"/>
      <c r="JU429" s="20"/>
      <c r="JV429" s="29"/>
      <c r="JW429" s="1504">
        <v>47515</v>
      </c>
      <c r="JX429" s="19"/>
      <c r="JY429" s="93"/>
      <c r="JZ429" s="93"/>
      <c r="KA429" s="93"/>
      <c r="KB429" s="93"/>
      <c r="KC429" s="93"/>
      <c r="KD429" s="20"/>
      <c r="KE429" s="29"/>
      <c r="KF429" s="19"/>
      <c r="KG429" s="93"/>
      <c r="KH429" s="93"/>
      <c r="KI429" s="93"/>
      <c r="KJ429" s="93"/>
      <c r="KK429" s="20"/>
      <c r="KL429" s="29"/>
      <c r="KM429" s="19"/>
      <c r="KN429" s="93"/>
      <c r="KO429" s="93"/>
      <c r="KP429" s="93"/>
      <c r="KQ429" s="93"/>
      <c r="KR429" s="20"/>
      <c r="KS429" s="29"/>
      <c r="KT429" s="19"/>
      <c r="KU429" s="93"/>
      <c r="KV429" s="93"/>
      <c r="KW429" s="93"/>
      <c r="KX429" s="93"/>
      <c r="KY429" s="20"/>
      <c r="KZ429" s="29"/>
      <c r="LA429" s="1504">
        <v>47515</v>
      </c>
      <c r="LB429" s="19"/>
      <c r="LC429" s="93"/>
      <c r="LD429" s="93"/>
      <c r="LE429" s="93"/>
      <c r="LF429" s="93"/>
      <c r="LG429" s="93"/>
      <c r="LH429" s="20"/>
      <c r="LI429" s="29"/>
      <c r="LJ429" s="19"/>
      <c r="LK429" s="93"/>
      <c r="LL429" s="93"/>
      <c r="LM429" s="93"/>
      <c r="LN429" s="93"/>
      <c r="LO429" s="20"/>
      <c r="LP429" s="29"/>
      <c r="LQ429" s="19"/>
      <c r="LR429" s="93"/>
      <c r="LS429" s="93"/>
      <c r="LT429" s="93"/>
      <c r="LU429" s="93"/>
      <c r="LV429" s="93"/>
      <c r="LW429" s="93"/>
      <c r="LX429" s="93"/>
      <c r="LY429" s="93"/>
      <c r="LZ429" s="93"/>
      <c r="MA429" s="20"/>
      <c r="MB429" s="29"/>
      <c r="MC429" s="1504">
        <v>47515</v>
      </c>
      <c r="MD429" s="19"/>
      <c r="ME429" s="93"/>
      <c r="MF429" s="93"/>
      <c r="MG429" s="93"/>
      <c r="MH429" s="93"/>
      <c r="MI429" s="93"/>
      <c r="MJ429" s="93"/>
      <c r="MK429" s="93"/>
      <c r="ML429" s="93"/>
      <c r="MM429" s="93"/>
      <c r="MN429" s="93"/>
      <c r="MO429" s="93"/>
      <c r="MP429" s="93"/>
      <c r="MQ429" s="93"/>
      <c r="MR429" s="93"/>
      <c r="MS429" s="93"/>
      <c r="MT429" s="93"/>
      <c r="MU429" s="93"/>
      <c r="MV429" s="93"/>
      <c r="MW429" s="93"/>
      <c r="MX429" s="93"/>
      <c r="MY429" s="93"/>
      <c r="MZ429" s="93"/>
      <c r="NA429" s="93"/>
      <c r="NB429" s="93"/>
      <c r="NC429" s="93"/>
      <c r="ND429" s="93"/>
      <c r="NE429" s="93"/>
      <c r="NF429" s="93"/>
      <c r="NG429" s="93"/>
      <c r="NH429" s="93"/>
      <c r="NI429" s="93"/>
      <c r="NJ429" s="93"/>
      <c r="NK429" s="93"/>
      <c r="NL429" s="93"/>
      <c r="NM429" s="93"/>
      <c r="NN429" s="93"/>
      <c r="NO429" s="93"/>
      <c r="NP429" s="93"/>
      <c r="NQ429" s="93"/>
      <c r="NR429" s="93"/>
      <c r="NS429" s="93"/>
      <c r="NT429" s="93"/>
      <c r="NU429" s="93"/>
      <c r="NV429" s="93"/>
      <c r="NW429" s="93"/>
      <c r="NX429" s="93"/>
      <c r="NY429" s="93"/>
      <c r="NZ429" s="93"/>
      <c r="OA429" s="93"/>
      <c r="OB429" s="93"/>
      <c r="OC429" s="93"/>
      <c r="OD429" s="20"/>
      <c r="OE429" s="29"/>
      <c r="OF429" s="1504">
        <v>47515</v>
      </c>
      <c r="OG429" s="19"/>
      <c r="OH429" s="93"/>
      <c r="OI429" s="93"/>
      <c r="OJ429" s="93"/>
      <c r="OK429" s="93"/>
      <c r="OL429" s="93"/>
      <c r="OM429" s="93"/>
      <c r="ON429" s="93"/>
      <c r="OO429" s="93"/>
      <c r="OP429" s="93"/>
      <c r="OQ429" s="93"/>
      <c r="OR429" s="93"/>
      <c r="OS429" s="93"/>
      <c r="OT429" s="93"/>
      <c r="OU429" s="93"/>
      <c r="OV429" s="93"/>
      <c r="OW429" s="93"/>
      <c r="OX429" s="93"/>
      <c r="OY429" s="93"/>
      <c r="OZ429" s="93"/>
      <c r="PA429" s="93"/>
      <c r="PB429" s="93"/>
      <c r="PC429" s="20"/>
      <c r="PD429" s="29"/>
      <c r="PE429" s="19"/>
      <c r="PF429" s="93"/>
      <c r="PG429" s="93"/>
      <c r="PH429" s="93"/>
      <c r="PI429" s="93"/>
      <c r="PJ429" s="93"/>
      <c r="PK429" s="93"/>
      <c r="PL429" s="93"/>
      <c r="PM429" s="93"/>
      <c r="PN429" s="93"/>
      <c r="PO429" s="93"/>
      <c r="PP429" s="93"/>
      <c r="PQ429" s="93"/>
      <c r="PR429" s="93"/>
      <c r="PS429" s="93"/>
      <c r="PT429" s="93"/>
      <c r="PU429" s="93"/>
      <c r="PV429" s="93"/>
      <c r="PW429" s="93"/>
      <c r="PX429" s="93"/>
      <c r="PY429" s="93"/>
      <c r="PZ429" s="93"/>
      <c r="QA429" s="93"/>
      <c r="QB429" s="93"/>
      <c r="QC429" s="93"/>
      <c r="QD429" s="93"/>
      <c r="QE429" s="20"/>
      <c r="QF429" s="1739"/>
      <c r="QG429" s="19"/>
      <c r="QH429" s="93"/>
      <c r="QI429" s="93"/>
      <c r="QJ429" s="93"/>
      <c r="QK429" s="93"/>
      <c r="QL429" s="93"/>
      <c r="QM429" s="93"/>
      <c r="QN429" s="93"/>
      <c r="QO429" s="93"/>
      <c r="QP429" s="93"/>
      <c r="QQ429" s="93"/>
      <c r="QR429" s="93"/>
      <c r="QS429" s="93"/>
      <c r="QT429" s="93"/>
      <c r="QU429" s="93"/>
      <c r="QV429" s="93"/>
      <c r="QW429" s="93"/>
      <c r="QX429" s="93"/>
      <c r="QY429" s="93"/>
      <c r="QZ429" s="93"/>
      <c r="RA429" s="93"/>
      <c r="RB429" s="93"/>
      <c r="RC429" s="93"/>
      <c r="RD429" s="93"/>
      <c r="RE429" s="93"/>
      <c r="RF429" s="93"/>
      <c r="RG429" s="93"/>
      <c r="RH429" s="93"/>
      <c r="RI429" s="93"/>
      <c r="RJ429" s="93"/>
      <c r="RK429" s="93"/>
      <c r="RL429" s="93"/>
      <c r="RM429" s="20"/>
      <c r="RN429" s="29"/>
      <c r="RO429" s="19"/>
      <c r="RP429" s="20"/>
      <c r="RQ429" s="29"/>
      <c r="RR429" s="20"/>
      <c r="RS429" s="29"/>
      <c r="RT429" s="1504">
        <v>47515</v>
      </c>
      <c r="RU429" s="19"/>
      <c r="RV429" s="20"/>
      <c r="RW429" s="29"/>
      <c r="RX429" s="1504">
        <v>47515</v>
      </c>
      <c r="RY429" s="29"/>
      <c r="RZ429" s="20"/>
      <c r="SA429" s="29"/>
      <c r="SB429" s="29"/>
    </row>
    <row r="430" spans="1:496">
      <c r="A430" s="41">
        <f t="shared" si="358"/>
        <v>2030</v>
      </c>
      <c r="B430" s="1504">
        <v>47543</v>
      </c>
      <c r="C430" s="1813"/>
      <c r="D430" s="1814"/>
      <c r="E430" s="1814"/>
      <c r="F430" s="1815"/>
      <c r="G430" s="1814"/>
      <c r="H430" s="1814"/>
      <c r="I430" s="1814"/>
      <c r="J430" s="1816"/>
      <c r="K430" s="1807"/>
      <c r="L430" s="25"/>
      <c r="M430" s="97"/>
      <c r="N430" s="1504">
        <v>47543</v>
      </c>
      <c r="O430" s="19"/>
      <c r="P430" s="93"/>
      <c r="Q430" s="93"/>
      <c r="R430" s="93"/>
      <c r="S430" s="93"/>
      <c r="T430" s="93"/>
      <c r="U430" s="93"/>
      <c r="V430" s="93"/>
      <c r="W430" s="93"/>
      <c r="X430" s="93"/>
      <c r="Y430" s="93"/>
      <c r="Z430" s="93"/>
      <c r="AA430" s="93"/>
      <c r="AB430" s="20"/>
      <c r="AC430" s="25"/>
      <c r="AD430" s="97"/>
      <c r="AE430" s="1504">
        <v>47543</v>
      </c>
      <c r="AF430" s="19"/>
      <c r="AG430" s="93"/>
      <c r="AH430" s="93"/>
      <c r="AI430" s="93"/>
      <c r="AJ430" s="93"/>
      <c r="AK430" s="93"/>
      <c r="AL430" s="93"/>
      <c r="AM430" s="93"/>
      <c r="AN430" s="93"/>
      <c r="AO430" s="93"/>
      <c r="AP430" s="93"/>
      <c r="AQ430" s="93"/>
      <c r="AR430" s="93"/>
      <c r="AS430" s="20"/>
      <c r="AT430" s="25"/>
      <c r="AU430" s="97"/>
      <c r="AV430" s="1504">
        <v>47543</v>
      </c>
      <c r="AW430" s="19"/>
      <c r="AX430" s="93"/>
      <c r="AY430" s="93"/>
      <c r="AZ430" s="93"/>
      <c r="BA430" s="93"/>
      <c r="BB430" s="93"/>
      <c r="BC430" s="93"/>
      <c r="BD430" s="93"/>
      <c r="BE430" s="93"/>
      <c r="BF430" s="93"/>
      <c r="BG430" s="93"/>
      <c r="BH430" s="93"/>
      <c r="BI430" s="93"/>
      <c r="BJ430" s="20"/>
      <c r="BK430" s="25"/>
      <c r="BL430" s="97"/>
      <c r="BM430" s="1504">
        <v>47543</v>
      </c>
      <c r="BN430" s="19"/>
      <c r="BO430" s="93"/>
      <c r="BP430" s="93"/>
      <c r="BQ430" s="93"/>
      <c r="BR430" s="93"/>
      <c r="BS430" s="93"/>
      <c r="BT430" s="93"/>
      <c r="BU430" s="20"/>
      <c r="BV430" s="25"/>
      <c r="BW430" s="97"/>
      <c r="BX430" s="1504">
        <v>47543</v>
      </c>
      <c r="BY430" s="19"/>
      <c r="BZ430" s="93"/>
      <c r="CA430" s="93"/>
      <c r="CB430" s="93"/>
      <c r="CC430" s="93"/>
      <c r="CD430" s="25"/>
      <c r="CE430" s="97"/>
      <c r="CF430" s="1504">
        <v>47543</v>
      </c>
      <c r="CG430" s="19"/>
      <c r="CH430" s="93"/>
      <c r="CI430" s="219"/>
      <c r="CJ430" s="20"/>
      <c r="CK430" s="19"/>
      <c r="CL430" s="93"/>
      <c r="CM430" s="93"/>
      <c r="CN430" s="93"/>
      <c r="CO430" s="93"/>
      <c r="CP430" s="20"/>
      <c r="CQ430" s="219"/>
      <c r="CR430" s="93"/>
      <c r="CS430" s="93"/>
      <c r="CT430" s="93"/>
      <c r="CU430" s="93"/>
      <c r="CV430" s="214"/>
      <c r="CW430" s="29"/>
      <c r="CX430" s="41">
        <f t="shared" si="357"/>
        <v>2030</v>
      </c>
      <c r="CY430" s="1504">
        <v>47543</v>
      </c>
      <c r="CZ430" s="19"/>
      <c r="DA430" s="93"/>
      <c r="DB430" s="93"/>
      <c r="DC430" s="93"/>
      <c r="DD430" s="93"/>
      <c r="DE430" s="20"/>
      <c r="DF430" s="29"/>
      <c r="DG430" s="1504">
        <v>47543</v>
      </c>
      <c r="DH430" s="19"/>
      <c r="DI430" s="93"/>
      <c r="DJ430" s="93"/>
      <c r="DK430" s="93"/>
      <c r="DL430" s="93"/>
      <c r="DM430" s="93"/>
      <c r="DN430" s="20"/>
      <c r="DO430" s="295"/>
      <c r="DP430" s="29"/>
      <c r="DQ430" s="1504">
        <v>47543</v>
      </c>
      <c r="DR430" s="19"/>
      <c r="DS430" s="93"/>
      <c r="DT430" s="93"/>
      <c r="DU430" s="93"/>
      <c r="DV430" s="93"/>
      <c r="DW430" s="93"/>
      <c r="DX430" s="20"/>
      <c r="DY430" s="29"/>
      <c r="DZ430" s="1504">
        <v>47543</v>
      </c>
      <c r="EA430" s="19"/>
      <c r="EB430" s="93"/>
      <c r="EC430" s="20"/>
      <c r="ED430" s="29"/>
      <c r="EE430" s="1504">
        <v>47543</v>
      </c>
      <c r="EF430" s="19"/>
      <c r="EG430" s="93"/>
      <c r="EH430" s="93"/>
      <c r="EI430" s="214"/>
      <c r="EJ430" s="93"/>
      <c r="EK430" s="93"/>
      <c r="EL430" s="93"/>
      <c r="EM430" s="93"/>
      <c r="EN430" s="20"/>
      <c r="EO430" s="29"/>
      <c r="EP430" s="1504">
        <v>47543</v>
      </c>
      <c r="EQ430" s="19"/>
      <c r="ER430" s="93"/>
      <c r="ES430" s="93"/>
      <c r="ET430" s="214"/>
      <c r="EU430" s="93"/>
      <c r="EV430" s="93"/>
      <c r="EW430" s="93"/>
      <c r="EX430" s="93"/>
      <c r="EY430" s="20"/>
      <c r="EZ430" s="29"/>
      <c r="FA430" s="1504">
        <v>47543</v>
      </c>
      <c r="FB430" s="29"/>
      <c r="FC430" s="29"/>
      <c r="FD430" s="29"/>
      <c r="FE430" s="29"/>
      <c r="FF430" s="29"/>
      <c r="FG430" s="29"/>
      <c r="FH430" s="29"/>
      <c r="FI430" s="29"/>
      <c r="FJ430" s="29"/>
      <c r="FK430" s="29"/>
      <c r="FL430" s="1504">
        <v>47543</v>
      </c>
      <c r="FM430" s="19"/>
      <c r="FN430" s="93"/>
      <c r="FO430" s="93"/>
      <c r="FP430" s="93"/>
      <c r="FQ430" s="93"/>
      <c r="FR430" s="93"/>
      <c r="FS430" s="93"/>
      <c r="FT430" s="93"/>
      <c r="FU430" s="93"/>
      <c r="FV430" s="93"/>
      <c r="FW430" s="93"/>
      <c r="FX430" s="93"/>
      <c r="FY430" s="93"/>
      <c r="FZ430" s="29"/>
      <c r="GA430" s="1504">
        <v>47543</v>
      </c>
      <c r="GB430" s="19"/>
      <c r="GC430" s="93"/>
      <c r="GD430" s="93"/>
      <c r="GE430" s="93"/>
      <c r="GF430" s="93"/>
      <c r="GG430" s="93"/>
      <c r="GH430" s="93"/>
      <c r="GI430" s="93"/>
      <c r="GJ430" s="93"/>
      <c r="GK430" s="93"/>
      <c r="GL430" s="93"/>
      <c r="GM430" s="93"/>
      <c r="GN430" s="20"/>
      <c r="GO430" s="29"/>
      <c r="GP430" s="1504">
        <v>47543</v>
      </c>
      <c r="GQ430" s="19"/>
      <c r="GR430" s="93"/>
      <c r="GS430" s="93"/>
      <c r="GT430" s="93"/>
      <c r="GU430" s="93"/>
      <c r="GV430" s="20"/>
      <c r="GW430" s="19"/>
      <c r="GX430" s="93"/>
      <c r="GY430" s="93"/>
      <c r="GZ430" s="93"/>
      <c r="HA430" s="93"/>
      <c r="HB430" s="20"/>
      <c r="HC430" s="19"/>
      <c r="HD430" s="93"/>
      <c r="HE430" s="93"/>
      <c r="HF430" s="93"/>
      <c r="HG430" s="93"/>
      <c r="HH430" s="20"/>
      <c r="HI430" s="19"/>
      <c r="HJ430" s="93"/>
      <c r="HK430" s="93"/>
      <c r="HL430" s="93"/>
      <c r="HM430" s="93"/>
      <c r="HN430" s="20"/>
      <c r="HO430" s="219"/>
      <c r="HP430" s="20"/>
      <c r="HQ430" s="25"/>
      <c r="HR430" s="29"/>
      <c r="HS430" s="1504">
        <v>47543</v>
      </c>
      <c r="HT430" s="19"/>
      <c r="HU430" s="93"/>
      <c r="HV430" s="93"/>
      <c r="HW430" s="93"/>
      <c r="HX430" s="93"/>
      <c r="HY430" s="93"/>
      <c r="HZ430" s="93"/>
      <c r="IA430" s="20"/>
      <c r="IB430" s="19"/>
      <c r="IC430" s="93"/>
      <c r="ID430" s="93"/>
      <c r="IE430" s="93"/>
      <c r="IF430" s="93"/>
      <c r="IG430" s="20"/>
      <c r="IH430" s="19"/>
      <c r="II430" s="93"/>
      <c r="IJ430" s="93"/>
      <c r="IK430" s="93"/>
      <c r="IL430" s="93"/>
      <c r="IM430" s="93"/>
      <c r="IN430" s="93"/>
      <c r="IO430" s="20"/>
      <c r="IP430" s="29"/>
      <c r="IQ430" s="19"/>
      <c r="IR430" s="93"/>
      <c r="IS430" s="93"/>
      <c r="IT430" s="93"/>
      <c r="IU430" s="93"/>
      <c r="IV430" s="20"/>
      <c r="IW430" s="29"/>
      <c r="IX430" s="19"/>
      <c r="IY430" s="93"/>
      <c r="IZ430" s="93"/>
      <c r="JA430" s="93"/>
      <c r="JB430" s="93"/>
      <c r="JC430" s="93"/>
      <c r="JD430" s="93"/>
      <c r="JE430" s="20"/>
      <c r="JF430" s="29"/>
      <c r="JG430" s="19"/>
      <c r="JH430" s="93"/>
      <c r="JI430" s="93"/>
      <c r="JJ430" s="93"/>
      <c r="JK430" s="93"/>
      <c r="JL430" s="93"/>
      <c r="JM430" s="93"/>
      <c r="JN430" s="20"/>
      <c r="JO430" s="29"/>
      <c r="JP430" s="19"/>
      <c r="JQ430" s="93"/>
      <c r="JR430" s="93"/>
      <c r="JS430" s="93"/>
      <c r="JT430" s="93"/>
      <c r="JU430" s="20"/>
      <c r="JV430" s="29"/>
      <c r="JW430" s="1504">
        <v>47543</v>
      </c>
      <c r="JX430" s="19"/>
      <c r="JY430" s="93"/>
      <c r="JZ430" s="93"/>
      <c r="KA430" s="93"/>
      <c r="KB430" s="93"/>
      <c r="KC430" s="93"/>
      <c r="KD430" s="20"/>
      <c r="KE430" s="29"/>
      <c r="KF430" s="19"/>
      <c r="KG430" s="93"/>
      <c r="KH430" s="93"/>
      <c r="KI430" s="93"/>
      <c r="KJ430" s="93"/>
      <c r="KK430" s="20"/>
      <c r="KL430" s="29"/>
      <c r="KM430" s="19"/>
      <c r="KN430" s="93"/>
      <c r="KO430" s="93"/>
      <c r="KP430" s="93"/>
      <c r="KQ430" s="93"/>
      <c r="KR430" s="20"/>
      <c r="KS430" s="29"/>
      <c r="KT430" s="19"/>
      <c r="KU430" s="93"/>
      <c r="KV430" s="93"/>
      <c r="KW430" s="93"/>
      <c r="KX430" s="93"/>
      <c r="KY430" s="20"/>
      <c r="KZ430" s="29"/>
      <c r="LA430" s="1504">
        <v>47543</v>
      </c>
      <c r="LB430" s="19"/>
      <c r="LC430" s="93"/>
      <c r="LD430" s="93"/>
      <c r="LE430" s="93"/>
      <c r="LF430" s="93"/>
      <c r="LG430" s="93"/>
      <c r="LH430" s="20"/>
      <c r="LI430" s="29"/>
      <c r="LJ430" s="19"/>
      <c r="LK430" s="93"/>
      <c r="LL430" s="93"/>
      <c r="LM430" s="93"/>
      <c r="LN430" s="93"/>
      <c r="LO430" s="20"/>
      <c r="LP430" s="29"/>
      <c r="LQ430" s="19"/>
      <c r="LR430" s="93"/>
      <c r="LS430" s="93"/>
      <c r="LT430" s="93"/>
      <c r="LU430" s="93"/>
      <c r="LV430" s="93"/>
      <c r="LW430" s="93"/>
      <c r="LX430" s="93"/>
      <c r="LY430" s="93"/>
      <c r="LZ430" s="93"/>
      <c r="MA430" s="20"/>
      <c r="MB430" s="29"/>
      <c r="MC430" s="1504">
        <v>47543</v>
      </c>
      <c r="MD430" s="19"/>
      <c r="ME430" s="93"/>
      <c r="MF430" s="93"/>
      <c r="MG430" s="93"/>
      <c r="MH430" s="93"/>
      <c r="MI430" s="93"/>
      <c r="MJ430" s="93"/>
      <c r="MK430" s="93"/>
      <c r="ML430" s="93"/>
      <c r="MM430" s="93"/>
      <c r="MN430" s="93"/>
      <c r="MO430" s="93"/>
      <c r="MP430" s="93"/>
      <c r="MQ430" s="93"/>
      <c r="MR430" s="93"/>
      <c r="MS430" s="93"/>
      <c r="MT430" s="93"/>
      <c r="MU430" s="93"/>
      <c r="MV430" s="93"/>
      <c r="MW430" s="93"/>
      <c r="MX430" s="93"/>
      <c r="MY430" s="93"/>
      <c r="MZ430" s="93"/>
      <c r="NA430" s="93"/>
      <c r="NB430" s="93"/>
      <c r="NC430" s="93"/>
      <c r="ND430" s="93"/>
      <c r="NE430" s="93"/>
      <c r="NF430" s="93"/>
      <c r="NG430" s="93"/>
      <c r="NH430" s="93"/>
      <c r="NI430" s="93"/>
      <c r="NJ430" s="93"/>
      <c r="NK430" s="93"/>
      <c r="NL430" s="93"/>
      <c r="NM430" s="93"/>
      <c r="NN430" s="93"/>
      <c r="NO430" s="93"/>
      <c r="NP430" s="93"/>
      <c r="NQ430" s="93"/>
      <c r="NR430" s="93"/>
      <c r="NS430" s="93"/>
      <c r="NT430" s="93"/>
      <c r="NU430" s="93"/>
      <c r="NV430" s="93"/>
      <c r="NW430" s="93"/>
      <c r="NX430" s="93"/>
      <c r="NY430" s="93"/>
      <c r="NZ430" s="93"/>
      <c r="OA430" s="93"/>
      <c r="OB430" s="93"/>
      <c r="OC430" s="93"/>
      <c r="OD430" s="20"/>
      <c r="OE430" s="29"/>
      <c r="OF430" s="1504">
        <v>47543</v>
      </c>
      <c r="OG430" s="19"/>
      <c r="OH430" s="93"/>
      <c r="OI430" s="93"/>
      <c r="OJ430" s="93"/>
      <c r="OK430" s="93"/>
      <c r="OL430" s="93"/>
      <c r="OM430" s="93"/>
      <c r="ON430" s="93"/>
      <c r="OO430" s="93"/>
      <c r="OP430" s="93"/>
      <c r="OQ430" s="93"/>
      <c r="OR430" s="93"/>
      <c r="OS430" s="93"/>
      <c r="OT430" s="93"/>
      <c r="OU430" s="93"/>
      <c r="OV430" s="93"/>
      <c r="OW430" s="93"/>
      <c r="OX430" s="93"/>
      <c r="OY430" s="93"/>
      <c r="OZ430" s="93"/>
      <c r="PA430" s="93"/>
      <c r="PB430" s="93"/>
      <c r="PC430" s="20"/>
      <c r="PD430" s="29"/>
      <c r="PE430" s="19"/>
      <c r="PF430" s="93"/>
      <c r="PG430" s="93"/>
      <c r="PH430" s="93"/>
      <c r="PI430" s="93"/>
      <c r="PJ430" s="93"/>
      <c r="PK430" s="93"/>
      <c r="PL430" s="93"/>
      <c r="PM430" s="93"/>
      <c r="PN430" s="93"/>
      <c r="PO430" s="93"/>
      <c r="PP430" s="93"/>
      <c r="PQ430" s="93"/>
      <c r="PR430" s="93"/>
      <c r="PS430" s="93"/>
      <c r="PT430" s="93"/>
      <c r="PU430" s="93"/>
      <c r="PV430" s="93"/>
      <c r="PW430" s="93"/>
      <c r="PX430" s="93"/>
      <c r="PY430" s="93"/>
      <c r="PZ430" s="93"/>
      <c r="QA430" s="93"/>
      <c r="QB430" s="93"/>
      <c r="QC430" s="93"/>
      <c r="QD430" s="93"/>
      <c r="QE430" s="20"/>
      <c r="QF430" s="1739"/>
      <c r="QG430" s="19"/>
      <c r="QH430" s="93"/>
      <c r="QI430" s="93"/>
      <c r="QJ430" s="93"/>
      <c r="QK430" s="93"/>
      <c r="QL430" s="93"/>
      <c r="QM430" s="93"/>
      <c r="QN430" s="93"/>
      <c r="QO430" s="93"/>
      <c r="QP430" s="93"/>
      <c r="QQ430" s="93"/>
      <c r="QR430" s="93"/>
      <c r="QS430" s="93"/>
      <c r="QT430" s="93"/>
      <c r="QU430" s="93"/>
      <c r="QV430" s="93"/>
      <c r="QW430" s="93"/>
      <c r="QX430" s="93"/>
      <c r="QY430" s="93"/>
      <c r="QZ430" s="93"/>
      <c r="RA430" s="93"/>
      <c r="RB430" s="93"/>
      <c r="RC430" s="93"/>
      <c r="RD430" s="93"/>
      <c r="RE430" s="93"/>
      <c r="RF430" s="93"/>
      <c r="RG430" s="93"/>
      <c r="RH430" s="93"/>
      <c r="RI430" s="93"/>
      <c r="RJ430" s="93"/>
      <c r="RK430" s="93"/>
      <c r="RL430" s="93"/>
      <c r="RM430" s="20"/>
      <c r="RN430" s="29"/>
      <c r="RO430" s="19"/>
      <c r="RP430" s="20"/>
      <c r="RQ430" s="29"/>
      <c r="RR430" s="20"/>
      <c r="RS430" s="29"/>
      <c r="RT430" s="1504">
        <v>47543</v>
      </c>
      <c r="RU430" s="19"/>
      <c r="RV430" s="20"/>
      <c r="RW430" s="29"/>
      <c r="RX430" s="1504">
        <v>47543</v>
      </c>
      <c r="RY430" s="29"/>
      <c r="RZ430" s="20"/>
      <c r="SA430" s="29"/>
      <c r="SB430" s="29"/>
    </row>
    <row r="431" spans="1:496">
      <c r="A431" s="41">
        <f t="shared" si="358"/>
        <v>2030</v>
      </c>
      <c r="B431" s="1504">
        <v>47574</v>
      </c>
      <c r="C431" s="1813"/>
      <c r="D431" s="1814"/>
      <c r="E431" s="1814"/>
      <c r="F431" s="1815"/>
      <c r="G431" s="1814"/>
      <c r="H431" s="1814"/>
      <c r="I431" s="1814"/>
      <c r="J431" s="1816"/>
      <c r="K431" s="1807"/>
      <c r="L431" s="25"/>
      <c r="M431" s="97"/>
      <c r="N431" s="1504">
        <v>47574</v>
      </c>
      <c r="O431" s="19"/>
      <c r="P431" s="93"/>
      <c r="Q431" s="93"/>
      <c r="R431" s="93"/>
      <c r="S431" s="93"/>
      <c r="T431" s="93"/>
      <c r="U431" s="93"/>
      <c r="V431" s="93"/>
      <c r="W431" s="93"/>
      <c r="X431" s="93"/>
      <c r="Y431" s="93"/>
      <c r="Z431" s="93"/>
      <c r="AA431" s="93"/>
      <c r="AB431" s="20"/>
      <c r="AC431" s="25"/>
      <c r="AD431" s="97"/>
      <c r="AE431" s="1504">
        <v>47574</v>
      </c>
      <c r="AF431" s="19"/>
      <c r="AG431" s="93"/>
      <c r="AH431" s="93"/>
      <c r="AI431" s="93"/>
      <c r="AJ431" s="93"/>
      <c r="AK431" s="93"/>
      <c r="AL431" s="93"/>
      <c r="AM431" s="93"/>
      <c r="AN431" s="93"/>
      <c r="AO431" s="93"/>
      <c r="AP431" s="93"/>
      <c r="AQ431" s="93"/>
      <c r="AR431" s="93"/>
      <c r="AS431" s="20"/>
      <c r="AT431" s="25"/>
      <c r="AU431" s="97"/>
      <c r="AV431" s="1504">
        <v>47574</v>
      </c>
      <c r="AW431" s="19"/>
      <c r="AX431" s="93"/>
      <c r="AY431" s="93"/>
      <c r="AZ431" s="93"/>
      <c r="BA431" s="93"/>
      <c r="BB431" s="93"/>
      <c r="BC431" s="93"/>
      <c r="BD431" s="93"/>
      <c r="BE431" s="93"/>
      <c r="BF431" s="93"/>
      <c r="BG431" s="93"/>
      <c r="BH431" s="93"/>
      <c r="BI431" s="93"/>
      <c r="BJ431" s="20"/>
      <c r="BK431" s="25"/>
      <c r="BL431" s="97"/>
      <c r="BM431" s="1504">
        <v>47574</v>
      </c>
      <c r="BN431" s="19"/>
      <c r="BO431" s="93"/>
      <c r="BP431" s="93"/>
      <c r="BQ431" s="93"/>
      <c r="BR431" s="93"/>
      <c r="BS431" s="93"/>
      <c r="BT431" s="93"/>
      <c r="BU431" s="20"/>
      <c r="BV431" s="25"/>
      <c r="BW431" s="97"/>
      <c r="BX431" s="1504">
        <v>47574</v>
      </c>
      <c r="BY431" s="19"/>
      <c r="BZ431" s="93"/>
      <c r="CA431" s="93"/>
      <c r="CB431" s="93"/>
      <c r="CC431" s="93"/>
      <c r="CD431" s="25"/>
      <c r="CE431" s="97"/>
      <c r="CF431" s="1504">
        <v>47574</v>
      </c>
      <c r="CG431" s="19"/>
      <c r="CH431" s="93"/>
      <c r="CI431" s="219"/>
      <c r="CJ431" s="20"/>
      <c r="CK431" s="19"/>
      <c r="CL431" s="93"/>
      <c r="CM431" s="93"/>
      <c r="CN431" s="93"/>
      <c r="CO431" s="93"/>
      <c r="CP431" s="20"/>
      <c r="CQ431" s="219"/>
      <c r="CR431" s="93"/>
      <c r="CS431" s="93"/>
      <c r="CT431" s="93"/>
      <c r="CU431" s="93"/>
      <c r="CV431" s="214"/>
      <c r="CW431" s="29"/>
      <c r="CX431" s="41">
        <f t="shared" si="357"/>
        <v>2030</v>
      </c>
      <c r="CY431" s="1504">
        <v>47574</v>
      </c>
      <c r="CZ431" s="19"/>
      <c r="DA431" s="93"/>
      <c r="DB431" s="93"/>
      <c r="DC431" s="93"/>
      <c r="DD431" s="93"/>
      <c r="DE431" s="20"/>
      <c r="DF431" s="29"/>
      <c r="DG431" s="1504">
        <v>47574</v>
      </c>
      <c r="DH431" s="19"/>
      <c r="DI431" s="93"/>
      <c r="DJ431" s="93"/>
      <c r="DK431" s="93"/>
      <c r="DL431" s="93"/>
      <c r="DM431" s="93"/>
      <c r="DN431" s="20"/>
      <c r="DO431" s="295"/>
      <c r="DP431" s="29"/>
      <c r="DQ431" s="1504">
        <v>47574</v>
      </c>
      <c r="DR431" s="19"/>
      <c r="DS431" s="93"/>
      <c r="DT431" s="93"/>
      <c r="DU431" s="93"/>
      <c r="DV431" s="93"/>
      <c r="DW431" s="93"/>
      <c r="DX431" s="20"/>
      <c r="DY431" s="29"/>
      <c r="DZ431" s="1504">
        <v>47574</v>
      </c>
      <c r="EA431" s="19"/>
      <c r="EB431" s="93"/>
      <c r="EC431" s="20"/>
      <c r="ED431" s="29"/>
      <c r="EE431" s="1504">
        <v>47574</v>
      </c>
      <c r="EF431" s="19"/>
      <c r="EG431" s="93"/>
      <c r="EH431" s="93"/>
      <c r="EI431" s="214"/>
      <c r="EJ431" s="93"/>
      <c r="EK431" s="93"/>
      <c r="EL431" s="93"/>
      <c r="EM431" s="93"/>
      <c r="EN431" s="20"/>
      <c r="EO431" s="29"/>
      <c r="EP431" s="1504">
        <v>47574</v>
      </c>
      <c r="EQ431" s="19"/>
      <c r="ER431" s="93"/>
      <c r="ES431" s="93"/>
      <c r="ET431" s="214"/>
      <c r="EU431" s="93"/>
      <c r="EV431" s="93"/>
      <c r="EW431" s="93"/>
      <c r="EX431" s="93"/>
      <c r="EY431" s="20"/>
      <c r="EZ431" s="29"/>
      <c r="FA431" s="1504">
        <v>47574</v>
      </c>
      <c r="FB431" s="29"/>
      <c r="FC431" s="29"/>
      <c r="FD431" s="29"/>
      <c r="FE431" s="29"/>
      <c r="FF431" s="29"/>
      <c r="FG431" s="29"/>
      <c r="FH431" s="29"/>
      <c r="FI431" s="29"/>
      <c r="FJ431" s="29"/>
      <c r="FK431" s="29"/>
      <c r="FL431" s="1504">
        <v>47574</v>
      </c>
      <c r="FM431" s="19"/>
      <c r="FN431" s="93"/>
      <c r="FO431" s="93"/>
      <c r="FP431" s="93"/>
      <c r="FQ431" s="93"/>
      <c r="FR431" s="93"/>
      <c r="FS431" s="93"/>
      <c r="FT431" s="93"/>
      <c r="FU431" s="93"/>
      <c r="FV431" s="93"/>
      <c r="FW431" s="93"/>
      <c r="FX431" s="93"/>
      <c r="FY431" s="93"/>
      <c r="FZ431" s="29"/>
      <c r="GA431" s="1504">
        <v>47574</v>
      </c>
      <c r="GB431" s="19"/>
      <c r="GC431" s="93"/>
      <c r="GD431" s="93"/>
      <c r="GE431" s="93"/>
      <c r="GF431" s="93"/>
      <c r="GG431" s="93"/>
      <c r="GH431" s="93"/>
      <c r="GI431" s="93"/>
      <c r="GJ431" s="93"/>
      <c r="GK431" s="93"/>
      <c r="GL431" s="93"/>
      <c r="GM431" s="93"/>
      <c r="GN431" s="20"/>
      <c r="GO431" s="29"/>
      <c r="GP431" s="1504">
        <v>47574</v>
      </c>
      <c r="GQ431" s="19"/>
      <c r="GR431" s="93"/>
      <c r="GS431" s="93"/>
      <c r="GT431" s="93"/>
      <c r="GU431" s="93"/>
      <c r="GV431" s="20"/>
      <c r="GW431" s="19"/>
      <c r="GX431" s="93"/>
      <c r="GY431" s="93"/>
      <c r="GZ431" s="93"/>
      <c r="HA431" s="93"/>
      <c r="HB431" s="20"/>
      <c r="HC431" s="19"/>
      <c r="HD431" s="93"/>
      <c r="HE431" s="93"/>
      <c r="HF431" s="93"/>
      <c r="HG431" s="93"/>
      <c r="HH431" s="20"/>
      <c r="HI431" s="19"/>
      <c r="HJ431" s="93"/>
      <c r="HK431" s="93"/>
      <c r="HL431" s="93"/>
      <c r="HM431" s="93"/>
      <c r="HN431" s="20"/>
      <c r="HO431" s="219"/>
      <c r="HP431" s="20"/>
      <c r="HQ431" s="25"/>
      <c r="HR431" s="29"/>
      <c r="HS431" s="1504">
        <v>47574</v>
      </c>
      <c r="HT431" s="19"/>
      <c r="HU431" s="93"/>
      <c r="HV431" s="93"/>
      <c r="HW431" s="93"/>
      <c r="HX431" s="93"/>
      <c r="HY431" s="93"/>
      <c r="HZ431" s="93"/>
      <c r="IA431" s="20"/>
      <c r="IB431" s="19"/>
      <c r="IC431" s="93"/>
      <c r="ID431" s="93"/>
      <c r="IE431" s="93"/>
      <c r="IF431" s="93"/>
      <c r="IG431" s="20"/>
      <c r="IH431" s="19"/>
      <c r="II431" s="93"/>
      <c r="IJ431" s="93"/>
      <c r="IK431" s="93"/>
      <c r="IL431" s="93"/>
      <c r="IM431" s="93"/>
      <c r="IN431" s="93"/>
      <c r="IO431" s="20"/>
      <c r="IP431" s="29"/>
      <c r="IQ431" s="19"/>
      <c r="IR431" s="93"/>
      <c r="IS431" s="93"/>
      <c r="IT431" s="93"/>
      <c r="IU431" s="93"/>
      <c r="IV431" s="20"/>
      <c r="IW431" s="29"/>
      <c r="IX431" s="19"/>
      <c r="IY431" s="93"/>
      <c r="IZ431" s="93"/>
      <c r="JA431" s="93"/>
      <c r="JB431" s="93"/>
      <c r="JC431" s="93"/>
      <c r="JD431" s="93"/>
      <c r="JE431" s="20"/>
      <c r="JF431" s="29"/>
      <c r="JG431" s="19"/>
      <c r="JH431" s="93"/>
      <c r="JI431" s="93"/>
      <c r="JJ431" s="93"/>
      <c r="JK431" s="93"/>
      <c r="JL431" s="93"/>
      <c r="JM431" s="93"/>
      <c r="JN431" s="20"/>
      <c r="JO431" s="29"/>
      <c r="JP431" s="19"/>
      <c r="JQ431" s="93"/>
      <c r="JR431" s="93"/>
      <c r="JS431" s="93"/>
      <c r="JT431" s="93"/>
      <c r="JU431" s="20"/>
      <c r="JV431" s="29"/>
      <c r="JW431" s="1504">
        <v>47574</v>
      </c>
      <c r="JX431" s="19"/>
      <c r="JY431" s="93"/>
      <c r="JZ431" s="93"/>
      <c r="KA431" s="93"/>
      <c r="KB431" s="93"/>
      <c r="KC431" s="93"/>
      <c r="KD431" s="20"/>
      <c r="KE431" s="29"/>
      <c r="KF431" s="19"/>
      <c r="KG431" s="93"/>
      <c r="KH431" s="93"/>
      <c r="KI431" s="93"/>
      <c r="KJ431" s="93"/>
      <c r="KK431" s="20"/>
      <c r="KL431" s="29"/>
      <c r="KM431" s="19"/>
      <c r="KN431" s="93"/>
      <c r="KO431" s="93"/>
      <c r="KP431" s="93"/>
      <c r="KQ431" s="93"/>
      <c r="KR431" s="20"/>
      <c r="KS431" s="29"/>
      <c r="KT431" s="19"/>
      <c r="KU431" s="93"/>
      <c r="KV431" s="93"/>
      <c r="KW431" s="93"/>
      <c r="KX431" s="93"/>
      <c r="KY431" s="20"/>
      <c r="KZ431" s="29"/>
      <c r="LA431" s="1504">
        <v>47574</v>
      </c>
      <c r="LB431" s="19"/>
      <c r="LC431" s="93"/>
      <c r="LD431" s="93"/>
      <c r="LE431" s="93"/>
      <c r="LF431" s="93"/>
      <c r="LG431" s="93"/>
      <c r="LH431" s="20"/>
      <c r="LI431" s="29"/>
      <c r="LJ431" s="19"/>
      <c r="LK431" s="93"/>
      <c r="LL431" s="93"/>
      <c r="LM431" s="93"/>
      <c r="LN431" s="93"/>
      <c r="LO431" s="20"/>
      <c r="LP431" s="29"/>
      <c r="LQ431" s="19"/>
      <c r="LR431" s="93"/>
      <c r="LS431" s="93"/>
      <c r="LT431" s="93"/>
      <c r="LU431" s="93"/>
      <c r="LV431" s="93"/>
      <c r="LW431" s="93"/>
      <c r="LX431" s="93"/>
      <c r="LY431" s="93"/>
      <c r="LZ431" s="93"/>
      <c r="MA431" s="20"/>
      <c r="MB431" s="29"/>
      <c r="MC431" s="1504">
        <v>47574</v>
      </c>
      <c r="MD431" s="19"/>
      <c r="ME431" s="93"/>
      <c r="MF431" s="93"/>
      <c r="MG431" s="93"/>
      <c r="MH431" s="93"/>
      <c r="MI431" s="93"/>
      <c r="MJ431" s="93"/>
      <c r="MK431" s="93"/>
      <c r="ML431" s="93"/>
      <c r="MM431" s="93"/>
      <c r="MN431" s="93"/>
      <c r="MO431" s="93"/>
      <c r="MP431" s="93"/>
      <c r="MQ431" s="93"/>
      <c r="MR431" s="93"/>
      <c r="MS431" s="93"/>
      <c r="MT431" s="93"/>
      <c r="MU431" s="93"/>
      <c r="MV431" s="93"/>
      <c r="MW431" s="93"/>
      <c r="MX431" s="93"/>
      <c r="MY431" s="93"/>
      <c r="MZ431" s="93"/>
      <c r="NA431" s="93"/>
      <c r="NB431" s="93"/>
      <c r="NC431" s="93"/>
      <c r="ND431" s="93"/>
      <c r="NE431" s="93"/>
      <c r="NF431" s="93"/>
      <c r="NG431" s="93"/>
      <c r="NH431" s="93"/>
      <c r="NI431" s="93"/>
      <c r="NJ431" s="93"/>
      <c r="NK431" s="93"/>
      <c r="NL431" s="93"/>
      <c r="NM431" s="93"/>
      <c r="NN431" s="93"/>
      <c r="NO431" s="93"/>
      <c r="NP431" s="93"/>
      <c r="NQ431" s="93"/>
      <c r="NR431" s="93"/>
      <c r="NS431" s="93"/>
      <c r="NT431" s="93"/>
      <c r="NU431" s="93"/>
      <c r="NV431" s="93"/>
      <c r="NW431" s="93"/>
      <c r="NX431" s="93"/>
      <c r="NY431" s="93"/>
      <c r="NZ431" s="93"/>
      <c r="OA431" s="93"/>
      <c r="OB431" s="93"/>
      <c r="OC431" s="93"/>
      <c r="OD431" s="20"/>
      <c r="OE431" s="29"/>
      <c r="OF431" s="1504">
        <v>47574</v>
      </c>
      <c r="OG431" s="19"/>
      <c r="OH431" s="93"/>
      <c r="OI431" s="93"/>
      <c r="OJ431" s="93"/>
      <c r="OK431" s="93"/>
      <c r="OL431" s="93"/>
      <c r="OM431" s="93"/>
      <c r="ON431" s="93"/>
      <c r="OO431" s="93"/>
      <c r="OP431" s="93"/>
      <c r="OQ431" s="93"/>
      <c r="OR431" s="93"/>
      <c r="OS431" s="93"/>
      <c r="OT431" s="93"/>
      <c r="OU431" s="93"/>
      <c r="OV431" s="93"/>
      <c r="OW431" s="93"/>
      <c r="OX431" s="93"/>
      <c r="OY431" s="93"/>
      <c r="OZ431" s="93"/>
      <c r="PA431" s="93"/>
      <c r="PB431" s="93"/>
      <c r="PC431" s="20"/>
      <c r="PD431" s="29"/>
      <c r="PE431" s="19"/>
      <c r="PF431" s="93"/>
      <c r="PG431" s="93"/>
      <c r="PH431" s="93"/>
      <c r="PI431" s="93"/>
      <c r="PJ431" s="93"/>
      <c r="PK431" s="93"/>
      <c r="PL431" s="93"/>
      <c r="PM431" s="93"/>
      <c r="PN431" s="93"/>
      <c r="PO431" s="93"/>
      <c r="PP431" s="93"/>
      <c r="PQ431" s="93"/>
      <c r="PR431" s="93"/>
      <c r="PS431" s="93"/>
      <c r="PT431" s="93"/>
      <c r="PU431" s="93"/>
      <c r="PV431" s="93"/>
      <c r="PW431" s="93"/>
      <c r="PX431" s="93"/>
      <c r="PY431" s="93"/>
      <c r="PZ431" s="93"/>
      <c r="QA431" s="93"/>
      <c r="QB431" s="93"/>
      <c r="QC431" s="93"/>
      <c r="QD431" s="93"/>
      <c r="QE431" s="20"/>
      <c r="QF431" s="1739"/>
      <c r="QG431" s="19"/>
      <c r="QH431" s="93"/>
      <c r="QI431" s="93"/>
      <c r="QJ431" s="93"/>
      <c r="QK431" s="93"/>
      <c r="QL431" s="93"/>
      <c r="QM431" s="93"/>
      <c r="QN431" s="93"/>
      <c r="QO431" s="93"/>
      <c r="QP431" s="93"/>
      <c r="QQ431" s="93"/>
      <c r="QR431" s="93"/>
      <c r="QS431" s="93"/>
      <c r="QT431" s="93"/>
      <c r="QU431" s="93"/>
      <c r="QV431" s="93"/>
      <c r="QW431" s="93"/>
      <c r="QX431" s="93"/>
      <c r="QY431" s="93"/>
      <c r="QZ431" s="93"/>
      <c r="RA431" s="93"/>
      <c r="RB431" s="93"/>
      <c r="RC431" s="93"/>
      <c r="RD431" s="93"/>
      <c r="RE431" s="93"/>
      <c r="RF431" s="93"/>
      <c r="RG431" s="93"/>
      <c r="RH431" s="93"/>
      <c r="RI431" s="93"/>
      <c r="RJ431" s="93"/>
      <c r="RK431" s="93"/>
      <c r="RL431" s="93"/>
      <c r="RM431" s="20"/>
      <c r="RN431" s="29"/>
      <c r="RO431" s="19"/>
      <c r="RP431" s="20"/>
      <c r="RQ431" s="29"/>
      <c r="RR431" s="20"/>
      <c r="RS431" s="29"/>
      <c r="RT431" s="1504">
        <v>47574</v>
      </c>
      <c r="RU431" s="19"/>
      <c r="RV431" s="20"/>
      <c r="RW431" s="29"/>
      <c r="RX431" s="1504">
        <v>47574</v>
      </c>
      <c r="RY431" s="29"/>
      <c r="RZ431" s="20"/>
      <c r="SA431" s="29"/>
      <c r="SB431" s="29"/>
    </row>
    <row r="432" spans="1:496">
      <c r="A432" s="41">
        <f t="shared" si="358"/>
        <v>2030</v>
      </c>
      <c r="B432" s="1504">
        <v>47604</v>
      </c>
      <c r="C432" s="1813"/>
      <c r="D432" s="1814"/>
      <c r="E432" s="1814"/>
      <c r="F432" s="1815"/>
      <c r="G432" s="1814"/>
      <c r="H432" s="1814"/>
      <c r="I432" s="1814"/>
      <c r="J432" s="1816"/>
      <c r="K432" s="1807"/>
      <c r="L432" s="25"/>
      <c r="M432" s="97"/>
      <c r="N432" s="1504">
        <v>47604</v>
      </c>
      <c r="O432" s="19"/>
      <c r="P432" s="93"/>
      <c r="Q432" s="93"/>
      <c r="R432" s="93"/>
      <c r="S432" s="93"/>
      <c r="T432" s="93"/>
      <c r="U432" s="93"/>
      <c r="V432" s="93"/>
      <c r="W432" s="93"/>
      <c r="X432" s="93"/>
      <c r="Y432" s="93"/>
      <c r="Z432" s="93"/>
      <c r="AA432" s="93"/>
      <c r="AB432" s="20"/>
      <c r="AC432" s="25"/>
      <c r="AD432" s="97"/>
      <c r="AE432" s="1504">
        <v>47604</v>
      </c>
      <c r="AF432" s="19"/>
      <c r="AG432" s="93"/>
      <c r="AH432" s="93"/>
      <c r="AI432" s="93"/>
      <c r="AJ432" s="93"/>
      <c r="AK432" s="93"/>
      <c r="AL432" s="93"/>
      <c r="AM432" s="93"/>
      <c r="AN432" s="93"/>
      <c r="AO432" s="93"/>
      <c r="AP432" s="93"/>
      <c r="AQ432" s="93"/>
      <c r="AR432" s="93"/>
      <c r="AS432" s="20"/>
      <c r="AT432" s="25"/>
      <c r="AU432" s="97"/>
      <c r="AV432" s="1504">
        <v>47604</v>
      </c>
      <c r="AW432" s="19"/>
      <c r="AX432" s="93"/>
      <c r="AY432" s="93"/>
      <c r="AZ432" s="93"/>
      <c r="BA432" s="93"/>
      <c r="BB432" s="93"/>
      <c r="BC432" s="93"/>
      <c r="BD432" s="93"/>
      <c r="BE432" s="93"/>
      <c r="BF432" s="93"/>
      <c r="BG432" s="93"/>
      <c r="BH432" s="93"/>
      <c r="BI432" s="93"/>
      <c r="BJ432" s="20"/>
      <c r="BK432" s="25"/>
      <c r="BL432" s="97"/>
      <c r="BM432" s="1504">
        <v>47604</v>
      </c>
      <c r="BN432" s="19"/>
      <c r="BO432" s="93"/>
      <c r="BP432" s="93"/>
      <c r="BQ432" s="93"/>
      <c r="BR432" s="93"/>
      <c r="BS432" s="93"/>
      <c r="BT432" s="93"/>
      <c r="BU432" s="20"/>
      <c r="BV432" s="25"/>
      <c r="BW432" s="97"/>
      <c r="BX432" s="1504">
        <v>47604</v>
      </c>
      <c r="BY432" s="19"/>
      <c r="BZ432" s="93"/>
      <c r="CA432" s="93"/>
      <c r="CB432" s="93"/>
      <c r="CC432" s="93"/>
      <c r="CD432" s="25"/>
      <c r="CE432" s="97"/>
      <c r="CF432" s="1504">
        <v>47604</v>
      </c>
      <c r="CG432" s="19"/>
      <c r="CH432" s="93"/>
      <c r="CI432" s="219"/>
      <c r="CJ432" s="20"/>
      <c r="CK432" s="19"/>
      <c r="CL432" s="93"/>
      <c r="CM432" s="93"/>
      <c r="CN432" s="93"/>
      <c r="CO432" s="93"/>
      <c r="CP432" s="20"/>
      <c r="CQ432" s="219"/>
      <c r="CR432" s="93"/>
      <c r="CS432" s="93"/>
      <c r="CT432" s="93"/>
      <c r="CU432" s="93"/>
      <c r="CV432" s="214"/>
      <c r="CW432" s="29"/>
      <c r="CX432" s="41">
        <f t="shared" si="357"/>
        <v>2030</v>
      </c>
      <c r="CY432" s="1504">
        <v>47604</v>
      </c>
      <c r="CZ432" s="19"/>
      <c r="DA432" s="93"/>
      <c r="DB432" s="93"/>
      <c r="DC432" s="93"/>
      <c r="DD432" s="93"/>
      <c r="DE432" s="20"/>
      <c r="DF432" s="29"/>
      <c r="DG432" s="1504">
        <v>47604</v>
      </c>
      <c r="DH432" s="19"/>
      <c r="DI432" s="93"/>
      <c r="DJ432" s="93"/>
      <c r="DK432" s="93"/>
      <c r="DL432" s="93"/>
      <c r="DM432" s="93"/>
      <c r="DN432" s="20"/>
      <c r="DO432" s="295"/>
      <c r="DP432" s="29"/>
      <c r="DQ432" s="1504">
        <v>47604</v>
      </c>
      <c r="DR432" s="19"/>
      <c r="DS432" s="93"/>
      <c r="DT432" s="93"/>
      <c r="DU432" s="93"/>
      <c r="DV432" s="93"/>
      <c r="DW432" s="93"/>
      <c r="DX432" s="20"/>
      <c r="DY432" s="29"/>
      <c r="DZ432" s="1504">
        <v>47604</v>
      </c>
      <c r="EA432" s="19"/>
      <c r="EB432" s="93"/>
      <c r="EC432" s="20"/>
      <c r="ED432" s="29"/>
      <c r="EE432" s="1504">
        <v>47604</v>
      </c>
      <c r="EF432" s="19"/>
      <c r="EG432" s="93"/>
      <c r="EH432" s="93"/>
      <c r="EI432" s="214"/>
      <c r="EJ432" s="93"/>
      <c r="EK432" s="93"/>
      <c r="EL432" s="93"/>
      <c r="EM432" s="93"/>
      <c r="EN432" s="20"/>
      <c r="EO432" s="29"/>
      <c r="EP432" s="1504">
        <v>47604</v>
      </c>
      <c r="EQ432" s="19"/>
      <c r="ER432" s="93"/>
      <c r="ES432" s="93"/>
      <c r="ET432" s="214"/>
      <c r="EU432" s="93"/>
      <c r="EV432" s="93"/>
      <c r="EW432" s="93"/>
      <c r="EX432" s="93"/>
      <c r="EY432" s="20"/>
      <c r="EZ432" s="29"/>
      <c r="FA432" s="1504">
        <v>47604</v>
      </c>
      <c r="FB432" s="29"/>
      <c r="FC432" s="29"/>
      <c r="FD432" s="29"/>
      <c r="FE432" s="29"/>
      <c r="FF432" s="29"/>
      <c r="FG432" s="29"/>
      <c r="FH432" s="29"/>
      <c r="FI432" s="29"/>
      <c r="FJ432" s="29"/>
      <c r="FK432" s="29"/>
      <c r="FL432" s="1504">
        <v>47604</v>
      </c>
      <c r="FM432" s="19"/>
      <c r="FN432" s="93"/>
      <c r="FO432" s="93"/>
      <c r="FP432" s="93"/>
      <c r="FQ432" s="93"/>
      <c r="FR432" s="93"/>
      <c r="FS432" s="93"/>
      <c r="FT432" s="93"/>
      <c r="FU432" s="93"/>
      <c r="FV432" s="93"/>
      <c r="FW432" s="93"/>
      <c r="FX432" s="93"/>
      <c r="FY432" s="93"/>
      <c r="FZ432" s="29"/>
      <c r="GA432" s="1504">
        <v>47604</v>
      </c>
      <c r="GB432" s="19"/>
      <c r="GC432" s="93"/>
      <c r="GD432" s="93"/>
      <c r="GE432" s="93"/>
      <c r="GF432" s="93"/>
      <c r="GG432" s="93"/>
      <c r="GH432" s="93"/>
      <c r="GI432" s="93"/>
      <c r="GJ432" s="93"/>
      <c r="GK432" s="93"/>
      <c r="GL432" s="93"/>
      <c r="GM432" s="93"/>
      <c r="GN432" s="20"/>
      <c r="GO432" s="29"/>
      <c r="GP432" s="1504">
        <v>47604</v>
      </c>
      <c r="GQ432" s="19"/>
      <c r="GR432" s="93"/>
      <c r="GS432" s="93"/>
      <c r="GT432" s="93"/>
      <c r="GU432" s="93"/>
      <c r="GV432" s="20"/>
      <c r="GW432" s="19"/>
      <c r="GX432" s="93"/>
      <c r="GY432" s="93"/>
      <c r="GZ432" s="93"/>
      <c r="HA432" s="93"/>
      <c r="HB432" s="20"/>
      <c r="HC432" s="19"/>
      <c r="HD432" s="93"/>
      <c r="HE432" s="93"/>
      <c r="HF432" s="93"/>
      <c r="HG432" s="93"/>
      <c r="HH432" s="20"/>
      <c r="HI432" s="19"/>
      <c r="HJ432" s="93"/>
      <c r="HK432" s="93"/>
      <c r="HL432" s="93"/>
      <c r="HM432" s="93"/>
      <c r="HN432" s="20"/>
      <c r="HO432" s="219"/>
      <c r="HP432" s="20"/>
      <c r="HQ432" s="25"/>
      <c r="HR432" s="29"/>
      <c r="HS432" s="1504">
        <v>47604</v>
      </c>
      <c r="HT432" s="19"/>
      <c r="HU432" s="93"/>
      <c r="HV432" s="93"/>
      <c r="HW432" s="93"/>
      <c r="HX432" s="93"/>
      <c r="HY432" s="93"/>
      <c r="HZ432" s="93"/>
      <c r="IA432" s="20"/>
      <c r="IB432" s="19"/>
      <c r="IC432" s="93"/>
      <c r="ID432" s="93"/>
      <c r="IE432" s="93"/>
      <c r="IF432" s="93"/>
      <c r="IG432" s="20"/>
      <c r="IH432" s="19"/>
      <c r="II432" s="93"/>
      <c r="IJ432" s="93"/>
      <c r="IK432" s="93"/>
      <c r="IL432" s="93"/>
      <c r="IM432" s="93"/>
      <c r="IN432" s="93"/>
      <c r="IO432" s="20"/>
      <c r="IP432" s="29"/>
      <c r="IQ432" s="19"/>
      <c r="IR432" s="93"/>
      <c r="IS432" s="93"/>
      <c r="IT432" s="93"/>
      <c r="IU432" s="93"/>
      <c r="IV432" s="20"/>
      <c r="IW432" s="29"/>
      <c r="IX432" s="19"/>
      <c r="IY432" s="93"/>
      <c r="IZ432" s="93"/>
      <c r="JA432" s="93"/>
      <c r="JB432" s="93"/>
      <c r="JC432" s="93"/>
      <c r="JD432" s="93"/>
      <c r="JE432" s="20"/>
      <c r="JF432" s="29"/>
      <c r="JG432" s="19"/>
      <c r="JH432" s="93"/>
      <c r="JI432" s="93"/>
      <c r="JJ432" s="93"/>
      <c r="JK432" s="93"/>
      <c r="JL432" s="93"/>
      <c r="JM432" s="93"/>
      <c r="JN432" s="20"/>
      <c r="JO432" s="29"/>
      <c r="JP432" s="19"/>
      <c r="JQ432" s="93"/>
      <c r="JR432" s="93"/>
      <c r="JS432" s="93"/>
      <c r="JT432" s="93"/>
      <c r="JU432" s="20"/>
      <c r="JV432" s="29"/>
      <c r="JW432" s="1504">
        <v>47604</v>
      </c>
      <c r="JX432" s="19"/>
      <c r="JY432" s="93"/>
      <c r="JZ432" s="93"/>
      <c r="KA432" s="93"/>
      <c r="KB432" s="93"/>
      <c r="KC432" s="93"/>
      <c r="KD432" s="20"/>
      <c r="KE432" s="29"/>
      <c r="KF432" s="19"/>
      <c r="KG432" s="93"/>
      <c r="KH432" s="93"/>
      <c r="KI432" s="93"/>
      <c r="KJ432" s="93"/>
      <c r="KK432" s="20"/>
      <c r="KL432" s="29"/>
      <c r="KM432" s="19"/>
      <c r="KN432" s="93"/>
      <c r="KO432" s="93"/>
      <c r="KP432" s="93"/>
      <c r="KQ432" s="93"/>
      <c r="KR432" s="20"/>
      <c r="KS432" s="29"/>
      <c r="KT432" s="19"/>
      <c r="KU432" s="93"/>
      <c r="KV432" s="93"/>
      <c r="KW432" s="93"/>
      <c r="KX432" s="93"/>
      <c r="KY432" s="20"/>
      <c r="KZ432" s="29"/>
      <c r="LA432" s="1504">
        <v>47604</v>
      </c>
      <c r="LB432" s="19"/>
      <c r="LC432" s="93"/>
      <c r="LD432" s="93"/>
      <c r="LE432" s="93"/>
      <c r="LF432" s="93"/>
      <c r="LG432" s="93"/>
      <c r="LH432" s="20"/>
      <c r="LI432" s="29"/>
      <c r="LJ432" s="19"/>
      <c r="LK432" s="93"/>
      <c r="LL432" s="93"/>
      <c r="LM432" s="93"/>
      <c r="LN432" s="93"/>
      <c r="LO432" s="20"/>
      <c r="LP432" s="29"/>
      <c r="LQ432" s="19"/>
      <c r="LR432" s="93"/>
      <c r="LS432" s="93"/>
      <c r="LT432" s="93"/>
      <c r="LU432" s="93"/>
      <c r="LV432" s="93"/>
      <c r="LW432" s="93"/>
      <c r="LX432" s="93"/>
      <c r="LY432" s="93"/>
      <c r="LZ432" s="93"/>
      <c r="MA432" s="20"/>
      <c r="MB432" s="29"/>
      <c r="MC432" s="1504">
        <v>47604</v>
      </c>
      <c r="MD432" s="19"/>
      <c r="ME432" s="93"/>
      <c r="MF432" s="93"/>
      <c r="MG432" s="93"/>
      <c r="MH432" s="93"/>
      <c r="MI432" s="93"/>
      <c r="MJ432" s="93"/>
      <c r="MK432" s="93"/>
      <c r="ML432" s="93"/>
      <c r="MM432" s="93"/>
      <c r="MN432" s="93"/>
      <c r="MO432" s="93"/>
      <c r="MP432" s="93"/>
      <c r="MQ432" s="93"/>
      <c r="MR432" s="93"/>
      <c r="MS432" s="93"/>
      <c r="MT432" s="93"/>
      <c r="MU432" s="93"/>
      <c r="MV432" s="93"/>
      <c r="MW432" s="93"/>
      <c r="MX432" s="93"/>
      <c r="MY432" s="93"/>
      <c r="MZ432" s="93"/>
      <c r="NA432" s="93"/>
      <c r="NB432" s="93"/>
      <c r="NC432" s="93"/>
      <c r="ND432" s="93"/>
      <c r="NE432" s="93"/>
      <c r="NF432" s="93"/>
      <c r="NG432" s="93"/>
      <c r="NH432" s="93"/>
      <c r="NI432" s="93"/>
      <c r="NJ432" s="93"/>
      <c r="NK432" s="93"/>
      <c r="NL432" s="93"/>
      <c r="NM432" s="93"/>
      <c r="NN432" s="93"/>
      <c r="NO432" s="93"/>
      <c r="NP432" s="93"/>
      <c r="NQ432" s="93"/>
      <c r="NR432" s="93"/>
      <c r="NS432" s="93"/>
      <c r="NT432" s="93"/>
      <c r="NU432" s="93"/>
      <c r="NV432" s="93"/>
      <c r="NW432" s="93"/>
      <c r="NX432" s="93"/>
      <c r="NY432" s="93"/>
      <c r="NZ432" s="93"/>
      <c r="OA432" s="93"/>
      <c r="OB432" s="93"/>
      <c r="OC432" s="93"/>
      <c r="OD432" s="20"/>
      <c r="OE432" s="29"/>
      <c r="OF432" s="1504">
        <v>47604</v>
      </c>
      <c r="OG432" s="19"/>
      <c r="OH432" s="93"/>
      <c r="OI432" s="93"/>
      <c r="OJ432" s="93"/>
      <c r="OK432" s="93"/>
      <c r="OL432" s="93"/>
      <c r="OM432" s="93"/>
      <c r="ON432" s="93"/>
      <c r="OO432" s="93"/>
      <c r="OP432" s="93"/>
      <c r="OQ432" s="93"/>
      <c r="OR432" s="93"/>
      <c r="OS432" s="93"/>
      <c r="OT432" s="93"/>
      <c r="OU432" s="93"/>
      <c r="OV432" s="93"/>
      <c r="OW432" s="93"/>
      <c r="OX432" s="93"/>
      <c r="OY432" s="93"/>
      <c r="OZ432" s="93"/>
      <c r="PA432" s="93"/>
      <c r="PB432" s="93"/>
      <c r="PC432" s="20"/>
      <c r="PD432" s="29"/>
      <c r="PE432" s="19"/>
      <c r="PF432" s="93"/>
      <c r="PG432" s="93"/>
      <c r="PH432" s="93"/>
      <c r="PI432" s="93"/>
      <c r="PJ432" s="93"/>
      <c r="PK432" s="93"/>
      <c r="PL432" s="93"/>
      <c r="PM432" s="93"/>
      <c r="PN432" s="93"/>
      <c r="PO432" s="93"/>
      <c r="PP432" s="93"/>
      <c r="PQ432" s="93"/>
      <c r="PR432" s="93"/>
      <c r="PS432" s="93"/>
      <c r="PT432" s="93"/>
      <c r="PU432" s="93"/>
      <c r="PV432" s="93"/>
      <c r="PW432" s="93"/>
      <c r="PX432" s="93"/>
      <c r="PY432" s="93"/>
      <c r="PZ432" s="93"/>
      <c r="QA432" s="93"/>
      <c r="QB432" s="93"/>
      <c r="QC432" s="93"/>
      <c r="QD432" s="93"/>
      <c r="QE432" s="20"/>
      <c r="QF432" s="1739"/>
      <c r="QG432" s="19"/>
      <c r="QH432" s="93"/>
      <c r="QI432" s="93"/>
      <c r="QJ432" s="93"/>
      <c r="QK432" s="93"/>
      <c r="QL432" s="93"/>
      <c r="QM432" s="93"/>
      <c r="QN432" s="93"/>
      <c r="QO432" s="93"/>
      <c r="QP432" s="93"/>
      <c r="QQ432" s="93"/>
      <c r="QR432" s="93"/>
      <c r="QS432" s="93"/>
      <c r="QT432" s="93"/>
      <c r="QU432" s="93"/>
      <c r="QV432" s="93"/>
      <c r="QW432" s="93"/>
      <c r="QX432" s="93"/>
      <c r="QY432" s="93"/>
      <c r="QZ432" s="93"/>
      <c r="RA432" s="93"/>
      <c r="RB432" s="93"/>
      <c r="RC432" s="93"/>
      <c r="RD432" s="93"/>
      <c r="RE432" s="93"/>
      <c r="RF432" s="93"/>
      <c r="RG432" s="93"/>
      <c r="RH432" s="93"/>
      <c r="RI432" s="93"/>
      <c r="RJ432" s="93"/>
      <c r="RK432" s="93"/>
      <c r="RL432" s="93"/>
      <c r="RM432" s="20"/>
      <c r="RN432" s="29"/>
      <c r="RO432" s="19"/>
      <c r="RP432" s="20"/>
      <c r="RQ432" s="29"/>
      <c r="RR432" s="20"/>
      <c r="RS432" s="29"/>
      <c r="RT432" s="1504">
        <v>47604</v>
      </c>
      <c r="RU432" s="19"/>
      <c r="RV432" s="20"/>
      <c r="RW432" s="29"/>
      <c r="RX432" s="1504">
        <v>47604</v>
      </c>
      <c r="RY432" s="29"/>
      <c r="RZ432" s="20"/>
      <c r="SA432" s="29"/>
      <c r="SB432" s="29"/>
    </row>
    <row r="433" spans="1:496">
      <c r="A433" s="41">
        <f t="shared" si="358"/>
        <v>2030</v>
      </c>
      <c r="B433" s="1504">
        <v>47635</v>
      </c>
      <c r="C433" s="1813"/>
      <c r="D433" s="1814"/>
      <c r="E433" s="1814"/>
      <c r="F433" s="1815"/>
      <c r="G433" s="1814"/>
      <c r="H433" s="1814"/>
      <c r="I433" s="1814"/>
      <c r="J433" s="1816"/>
      <c r="K433" s="1807"/>
      <c r="L433" s="25"/>
      <c r="M433" s="97"/>
      <c r="N433" s="1504">
        <v>47635</v>
      </c>
      <c r="O433" s="19"/>
      <c r="P433" s="93"/>
      <c r="Q433" s="93"/>
      <c r="R433" s="93"/>
      <c r="S433" s="93"/>
      <c r="T433" s="93"/>
      <c r="U433" s="93"/>
      <c r="V433" s="93"/>
      <c r="W433" s="93"/>
      <c r="X433" s="93"/>
      <c r="Y433" s="93"/>
      <c r="Z433" s="93"/>
      <c r="AA433" s="93"/>
      <c r="AB433" s="20"/>
      <c r="AC433" s="25"/>
      <c r="AD433" s="97"/>
      <c r="AE433" s="1504">
        <v>47635</v>
      </c>
      <c r="AF433" s="19"/>
      <c r="AG433" s="93"/>
      <c r="AH433" s="93"/>
      <c r="AI433" s="93"/>
      <c r="AJ433" s="93"/>
      <c r="AK433" s="93"/>
      <c r="AL433" s="93"/>
      <c r="AM433" s="93"/>
      <c r="AN433" s="93"/>
      <c r="AO433" s="93"/>
      <c r="AP433" s="93"/>
      <c r="AQ433" s="93"/>
      <c r="AR433" s="93"/>
      <c r="AS433" s="20"/>
      <c r="AT433" s="25"/>
      <c r="AU433" s="97"/>
      <c r="AV433" s="1504">
        <v>47635</v>
      </c>
      <c r="AW433" s="19"/>
      <c r="AX433" s="93"/>
      <c r="AY433" s="93"/>
      <c r="AZ433" s="93"/>
      <c r="BA433" s="93"/>
      <c r="BB433" s="93"/>
      <c r="BC433" s="93"/>
      <c r="BD433" s="93"/>
      <c r="BE433" s="93"/>
      <c r="BF433" s="93"/>
      <c r="BG433" s="93"/>
      <c r="BH433" s="93"/>
      <c r="BI433" s="93"/>
      <c r="BJ433" s="20"/>
      <c r="BK433" s="25"/>
      <c r="BL433" s="97"/>
      <c r="BM433" s="1504">
        <v>47635</v>
      </c>
      <c r="BN433" s="19"/>
      <c r="BO433" s="93"/>
      <c r="BP433" s="93"/>
      <c r="BQ433" s="93"/>
      <c r="BR433" s="93"/>
      <c r="BS433" s="93"/>
      <c r="BT433" s="93"/>
      <c r="BU433" s="20"/>
      <c r="BV433" s="25"/>
      <c r="BW433" s="97"/>
      <c r="BX433" s="1504">
        <v>47635</v>
      </c>
      <c r="BY433" s="19"/>
      <c r="BZ433" s="93"/>
      <c r="CA433" s="93"/>
      <c r="CB433" s="93"/>
      <c r="CC433" s="93"/>
      <c r="CD433" s="25"/>
      <c r="CE433" s="97"/>
      <c r="CF433" s="1504">
        <v>47635</v>
      </c>
      <c r="CG433" s="19"/>
      <c r="CH433" s="93"/>
      <c r="CI433" s="219"/>
      <c r="CJ433" s="20"/>
      <c r="CK433" s="19"/>
      <c r="CL433" s="93"/>
      <c r="CM433" s="93"/>
      <c r="CN433" s="93"/>
      <c r="CO433" s="93"/>
      <c r="CP433" s="20"/>
      <c r="CQ433" s="219"/>
      <c r="CR433" s="93"/>
      <c r="CS433" s="93"/>
      <c r="CT433" s="93"/>
      <c r="CU433" s="93"/>
      <c r="CV433" s="214"/>
      <c r="CW433" s="29"/>
      <c r="CX433" s="41">
        <f t="shared" si="357"/>
        <v>2030</v>
      </c>
      <c r="CY433" s="1504">
        <v>47635</v>
      </c>
      <c r="CZ433" s="19"/>
      <c r="DA433" s="93"/>
      <c r="DB433" s="93"/>
      <c r="DC433" s="93"/>
      <c r="DD433" s="93"/>
      <c r="DE433" s="20"/>
      <c r="DF433" s="29"/>
      <c r="DG433" s="1504">
        <v>47635</v>
      </c>
      <c r="DH433" s="19"/>
      <c r="DI433" s="93"/>
      <c r="DJ433" s="93"/>
      <c r="DK433" s="93"/>
      <c r="DL433" s="93"/>
      <c r="DM433" s="93"/>
      <c r="DN433" s="20"/>
      <c r="DO433" s="295"/>
      <c r="DP433" s="29"/>
      <c r="DQ433" s="1504">
        <v>47635</v>
      </c>
      <c r="DR433" s="19"/>
      <c r="DS433" s="93"/>
      <c r="DT433" s="93"/>
      <c r="DU433" s="93"/>
      <c r="DV433" s="93"/>
      <c r="DW433" s="93"/>
      <c r="DX433" s="20"/>
      <c r="DY433" s="29"/>
      <c r="DZ433" s="1504">
        <v>47635</v>
      </c>
      <c r="EA433" s="19"/>
      <c r="EB433" s="93"/>
      <c r="EC433" s="20"/>
      <c r="ED433" s="29"/>
      <c r="EE433" s="1504">
        <v>47635</v>
      </c>
      <c r="EF433" s="19"/>
      <c r="EG433" s="93"/>
      <c r="EH433" s="93"/>
      <c r="EI433" s="214"/>
      <c r="EJ433" s="93"/>
      <c r="EK433" s="93"/>
      <c r="EL433" s="93"/>
      <c r="EM433" s="93"/>
      <c r="EN433" s="20"/>
      <c r="EO433" s="29"/>
      <c r="EP433" s="1504">
        <v>47635</v>
      </c>
      <c r="EQ433" s="19"/>
      <c r="ER433" s="93"/>
      <c r="ES433" s="93"/>
      <c r="ET433" s="214"/>
      <c r="EU433" s="93"/>
      <c r="EV433" s="93"/>
      <c r="EW433" s="93"/>
      <c r="EX433" s="93"/>
      <c r="EY433" s="20"/>
      <c r="EZ433" s="29"/>
      <c r="FA433" s="1504">
        <v>47635</v>
      </c>
      <c r="FB433" s="29"/>
      <c r="FC433" s="29"/>
      <c r="FD433" s="29"/>
      <c r="FE433" s="29"/>
      <c r="FF433" s="29"/>
      <c r="FG433" s="29"/>
      <c r="FH433" s="29"/>
      <c r="FI433" s="29"/>
      <c r="FJ433" s="29"/>
      <c r="FK433" s="29"/>
      <c r="FL433" s="1504">
        <v>47635</v>
      </c>
      <c r="FM433" s="19"/>
      <c r="FN433" s="93"/>
      <c r="FO433" s="93"/>
      <c r="FP433" s="93"/>
      <c r="FQ433" s="93"/>
      <c r="FR433" s="93"/>
      <c r="FS433" s="93"/>
      <c r="FT433" s="93"/>
      <c r="FU433" s="93"/>
      <c r="FV433" s="93"/>
      <c r="FW433" s="93"/>
      <c r="FX433" s="93"/>
      <c r="FY433" s="93"/>
      <c r="FZ433" s="29"/>
      <c r="GA433" s="1504">
        <v>47635</v>
      </c>
      <c r="GB433" s="19"/>
      <c r="GC433" s="93"/>
      <c r="GD433" s="93"/>
      <c r="GE433" s="93"/>
      <c r="GF433" s="93"/>
      <c r="GG433" s="93"/>
      <c r="GH433" s="93"/>
      <c r="GI433" s="93"/>
      <c r="GJ433" s="93"/>
      <c r="GK433" s="93"/>
      <c r="GL433" s="93"/>
      <c r="GM433" s="93"/>
      <c r="GN433" s="20"/>
      <c r="GO433" s="29"/>
      <c r="GP433" s="1504">
        <v>47635</v>
      </c>
      <c r="GQ433" s="19"/>
      <c r="GR433" s="93"/>
      <c r="GS433" s="93"/>
      <c r="GT433" s="93"/>
      <c r="GU433" s="93"/>
      <c r="GV433" s="20"/>
      <c r="GW433" s="19"/>
      <c r="GX433" s="93"/>
      <c r="GY433" s="93"/>
      <c r="GZ433" s="93"/>
      <c r="HA433" s="93"/>
      <c r="HB433" s="20"/>
      <c r="HC433" s="19"/>
      <c r="HD433" s="93"/>
      <c r="HE433" s="93"/>
      <c r="HF433" s="93"/>
      <c r="HG433" s="93"/>
      <c r="HH433" s="20"/>
      <c r="HI433" s="19"/>
      <c r="HJ433" s="93"/>
      <c r="HK433" s="93"/>
      <c r="HL433" s="93"/>
      <c r="HM433" s="93"/>
      <c r="HN433" s="20"/>
      <c r="HO433" s="219"/>
      <c r="HP433" s="20"/>
      <c r="HQ433" s="25"/>
      <c r="HR433" s="29"/>
      <c r="HS433" s="1504">
        <v>47635</v>
      </c>
      <c r="HT433" s="19"/>
      <c r="HU433" s="93"/>
      <c r="HV433" s="93"/>
      <c r="HW433" s="93"/>
      <c r="HX433" s="93"/>
      <c r="HY433" s="93"/>
      <c r="HZ433" s="93"/>
      <c r="IA433" s="20"/>
      <c r="IB433" s="19"/>
      <c r="IC433" s="93"/>
      <c r="ID433" s="93"/>
      <c r="IE433" s="93"/>
      <c r="IF433" s="93"/>
      <c r="IG433" s="20"/>
      <c r="IH433" s="19"/>
      <c r="II433" s="93"/>
      <c r="IJ433" s="93"/>
      <c r="IK433" s="93"/>
      <c r="IL433" s="93"/>
      <c r="IM433" s="93"/>
      <c r="IN433" s="93"/>
      <c r="IO433" s="20"/>
      <c r="IP433" s="29"/>
      <c r="IQ433" s="19"/>
      <c r="IR433" s="93"/>
      <c r="IS433" s="93"/>
      <c r="IT433" s="93"/>
      <c r="IU433" s="93"/>
      <c r="IV433" s="20"/>
      <c r="IW433" s="29"/>
      <c r="IX433" s="19"/>
      <c r="IY433" s="93"/>
      <c r="IZ433" s="93"/>
      <c r="JA433" s="93"/>
      <c r="JB433" s="93"/>
      <c r="JC433" s="93"/>
      <c r="JD433" s="93"/>
      <c r="JE433" s="20"/>
      <c r="JF433" s="29"/>
      <c r="JG433" s="19"/>
      <c r="JH433" s="93"/>
      <c r="JI433" s="93"/>
      <c r="JJ433" s="93"/>
      <c r="JK433" s="93"/>
      <c r="JL433" s="93"/>
      <c r="JM433" s="93"/>
      <c r="JN433" s="20"/>
      <c r="JO433" s="29"/>
      <c r="JP433" s="19"/>
      <c r="JQ433" s="93"/>
      <c r="JR433" s="93"/>
      <c r="JS433" s="93"/>
      <c r="JT433" s="93"/>
      <c r="JU433" s="20"/>
      <c r="JV433" s="29"/>
      <c r="JW433" s="1504">
        <v>47635</v>
      </c>
      <c r="JX433" s="19"/>
      <c r="JY433" s="93"/>
      <c r="JZ433" s="93"/>
      <c r="KA433" s="93"/>
      <c r="KB433" s="93"/>
      <c r="KC433" s="93"/>
      <c r="KD433" s="20"/>
      <c r="KE433" s="29"/>
      <c r="KF433" s="19"/>
      <c r="KG433" s="93"/>
      <c r="KH433" s="93"/>
      <c r="KI433" s="93"/>
      <c r="KJ433" s="93"/>
      <c r="KK433" s="20"/>
      <c r="KL433" s="29"/>
      <c r="KM433" s="19"/>
      <c r="KN433" s="93"/>
      <c r="KO433" s="93"/>
      <c r="KP433" s="93"/>
      <c r="KQ433" s="93"/>
      <c r="KR433" s="20"/>
      <c r="KS433" s="29"/>
      <c r="KT433" s="19"/>
      <c r="KU433" s="93"/>
      <c r="KV433" s="93"/>
      <c r="KW433" s="93"/>
      <c r="KX433" s="93"/>
      <c r="KY433" s="20"/>
      <c r="KZ433" s="29"/>
      <c r="LA433" s="1504">
        <v>47635</v>
      </c>
      <c r="LB433" s="19"/>
      <c r="LC433" s="93"/>
      <c r="LD433" s="93"/>
      <c r="LE433" s="93"/>
      <c r="LF433" s="93"/>
      <c r="LG433" s="93"/>
      <c r="LH433" s="20"/>
      <c r="LI433" s="29"/>
      <c r="LJ433" s="19"/>
      <c r="LK433" s="93"/>
      <c r="LL433" s="93"/>
      <c r="LM433" s="93"/>
      <c r="LN433" s="93"/>
      <c r="LO433" s="20"/>
      <c r="LP433" s="29"/>
      <c r="LQ433" s="19"/>
      <c r="LR433" s="93"/>
      <c r="LS433" s="93"/>
      <c r="LT433" s="93"/>
      <c r="LU433" s="93"/>
      <c r="LV433" s="93"/>
      <c r="LW433" s="93"/>
      <c r="LX433" s="93"/>
      <c r="LY433" s="93"/>
      <c r="LZ433" s="93"/>
      <c r="MA433" s="20"/>
      <c r="MB433" s="29"/>
      <c r="MC433" s="1504">
        <v>47635</v>
      </c>
      <c r="MD433" s="19"/>
      <c r="ME433" s="93"/>
      <c r="MF433" s="93"/>
      <c r="MG433" s="93"/>
      <c r="MH433" s="93"/>
      <c r="MI433" s="93"/>
      <c r="MJ433" s="93"/>
      <c r="MK433" s="93"/>
      <c r="ML433" s="93"/>
      <c r="MM433" s="93"/>
      <c r="MN433" s="93"/>
      <c r="MO433" s="93"/>
      <c r="MP433" s="93"/>
      <c r="MQ433" s="93"/>
      <c r="MR433" s="93"/>
      <c r="MS433" s="93"/>
      <c r="MT433" s="93"/>
      <c r="MU433" s="93"/>
      <c r="MV433" s="93"/>
      <c r="MW433" s="93"/>
      <c r="MX433" s="93"/>
      <c r="MY433" s="93"/>
      <c r="MZ433" s="93"/>
      <c r="NA433" s="93"/>
      <c r="NB433" s="93"/>
      <c r="NC433" s="93"/>
      <c r="ND433" s="93"/>
      <c r="NE433" s="93"/>
      <c r="NF433" s="93"/>
      <c r="NG433" s="93"/>
      <c r="NH433" s="93"/>
      <c r="NI433" s="93"/>
      <c r="NJ433" s="93"/>
      <c r="NK433" s="93"/>
      <c r="NL433" s="93"/>
      <c r="NM433" s="93"/>
      <c r="NN433" s="93"/>
      <c r="NO433" s="93"/>
      <c r="NP433" s="93"/>
      <c r="NQ433" s="93"/>
      <c r="NR433" s="93"/>
      <c r="NS433" s="93"/>
      <c r="NT433" s="93"/>
      <c r="NU433" s="93"/>
      <c r="NV433" s="93"/>
      <c r="NW433" s="93"/>
      <c r="NX433" s="93"/>
      <c r="NY433" s="93"/>
      <c r="NZ433" s="93"/>
      <c r="OA433" s="93"/>
      <c r="OB433" s="93"/>
      <c r="OC433" s="93"/>
      <c r="OD433" s="20"/>
      <c r="OE433" s="29"/>
      <c r="OF433" s="1504">
        <v>47635</v>
      </c>
      <c r="OG433" s="19"/>
      <c r="OH433" s="93"/>
      <c r="OI433" s="93"/>
      <c r="OJ433" s="93"/>
      <c r="OK433" s="93"/>
      <c r="OL433" s="93"/>
      <c r="OM433" s="93"/>
      <c r="ON433" s="93"/>
      <c r="OO433" s="93"/>
      <c r="OP433" s="93"/>
      <c r="OQ433" s="93"/>
      <c r="OR433" s="93"/>
      <c r="OS433" s="93"/>
      <c r="OT433" s="93"/>
      <c r="OU433" s="93"/>
      <c r="OV433" s="93"/>
      <c r="OW433" s="93"/>
      <c r="OX433" s="93"/>
      <c r="OY433" s="93"/>
      <c r="OZ433" s="93"/>
      <c r="PA433" s="93"/>
      <c r="PB433" s="93"/>
      <c r="PC433" s="20"/>
      <c r="PD433" s="29"/>
      <c r="PE433" s="19"/>
      <c r="PF433" s="93"/>
      <c r="PG433" s="93"/>
      <c r="PH433" s="93"/>
      <c r="PI433" s="93"/>
      <c r="PJ433" s="93"/>
      <c r="PK433" s="93"/>
      <c r="PL433" s="93"/>
      <c r="PM433" s="93"/>
      <c r="PN433" s="93"/>
      <c r="PO433" s="93"/>
      <c r="PP433" s="93"/>
      <c r="PQ433" s="93"/>
      <c r="PR433" s="93"/>
      <c r="PS433" s="93"/>
      <c r="PT433" s="93"/>
      <c r="PU433" s="93"/>
      <c r="PV433" s="93"/>
      <c r="PW433" s="93"/>
      <c r="PX433" s="93"/>
      <c r="PY433" s="93"/>
      <c r="PZ433" s="93"/>
      <c r="QA433" s="93"/>
      <c r="QB433" s="93"/>
      <c r="QC433" s="93"/>
      <c r="QD433" s="93"/>
      <c r="QE433" s="20"/>
      <c r="QF433" s="1739"/>
      <c r="QG433" s="19"/>
      <c r="QH433" s="93"/>
      <c r="QI433" s="93"/>
      <c r="QJ433" s="93"/>
      <c r="QK433" s="93"/>
      <c r="QL433" s="93"/>
      <c r="QM433" s="93"/>
      <c r="QN433" s="93"/>
      <c r="QO433" s="93"/>
      <c r="QP433" s="93"/>
      <c r="QQ433" s="93"/>
      <c r="QR433" s="93"/>
      <c r="QS433" s="93"/>
      <c r="QT433" s="93"/>
      <c r="QU433" s="93"/>
      <c r="QV433" s="93"/>
      <c r="QW433" s="93"/>
      <c r="QX433" s="93"/>
      <c r="QY433" s="93"/>
      <c r="QZ433" s="93"/>
      <c r="RA433" s="93"/>
      <c r="RB433" s="93"/>
      <c r="RC433" s="93"/>
      <c r="RD433" s="93"/>
      <c r="RE433" s="93"/>
      <c r="RF433" s="93"/>
      <c r="RG433" s="93"/>
      <c r="RH433" s="93"/>
      <c r="RI433" s="93"/>
      <c r="RJ433" s="93"/>
      <c r="RK433" s="93"/>
      <c r="RL433" s="93"/>
      <c r="RM433" s="20"/>
      <c r="RN433" s="29"/>
      <c r="RO433" s="19"/>
      <c r="RP433" s="20"/>
      <c r="RQ433" s="29"/>
      <c r="RR433" s="20"/>
      <c r="RS433" s="29"/>
      <c r="RT433" s="1504">
        <v>47635</v>
      </c>
      <c r="RU433" s="19"/>
      <c r="RV433" s="20"/>
      <c r="RW433" s="29"/>
      <c r="RX433" s="1504">
        <v>47635</v>
      </c>
      <c r="RY433" s="29"/>
      <c r="RZ433" s="20"/>
      <c r="SA433" s="29"/>
      <c r="SB433" s="29"/>
    </row>
    <row r="434" spans="1:496">
      <c r="A434" s="41">
        <f t="shared" si="358"/>
        <v>2030</v>
      </c>
      <c r="B434" s="1504">
        <v>47665</v>
      </c>
      <c r="C434" s="1813"/>
      <c r="D434" s="1814"/>
      <c r="E434" s="1814"/>
      <c r="F434" s="1815"/>
      <c r="G434" s="1814"/>
      <c r="H434" s="1814"/>
      <c r="I434" s="1814"/>
      <c r="J434" s="1816"/>
      <c r="K434" s="1807"/>
      <c r="L434" s="25"/>
      <c r="M434" s="97"/>
      <c r="N434" s="1504">
        <v>47665</v>
      </c>
      <c r="O434" s="19"/>
      <c r="P434" s="93"/>
      <c r="Q434" s="93"/>
      <c r="R434" s="93"/>
      <c r="S434" s="93"/>
      <c r="T434" s="93"/>
      <c r="U434" s="93"/>
      <c r="V434" s="93"/>
      <c r="W434" s="93"/>
      <c r="X434" s="93"/>
      <c r="Y434" s="93"/>
      <c r="Z434" s="93"/>
      <c r="AA434" s="93"/>
      <c r="AB434" s="20"/>
      <c r="AC434" s="25"/>
      <c r="AD434" s="97"/>
      <c r="AE434" s="1504">
        <v>47665</v>
      </c>
      <c r="AF434" s="19"/>
      <c r="AG434" s="93"/>
      <c r="AH434" s="93"/>
      <c r="AI434" s="93"/>
      <c r="AJ434" s="93"/>
      <c r="AK434" s="93"/>
      <c r="AL434" s="93"/>
      <c r="AM434" s="93"/>
      <c r="AN434" s="93"/>
      <c r="AO434" s="93"/>
      <c r="AP434" s="93"/>
      <c r="AQ434" s="93"/>
      <c r="AR434" s="93"/>
      <c r="AS434" s="20"/>
      <c r="AT434" s="25"/>
      <c r="AU434" s="97"/>
      <c r="AV434" s="1504">
        <v>47665</v>
      </c>
      <c r="AW434" s="19"/>
      <c r="AX434" s="93"/>
      <c r="AY434" s="93"/>
      <c r="AZ434" s="93"/>
      <c r="BA434" s="93"/>
      <c r="BB434" s="93"/>
      <c r="BC434" s="93"/>
      <c r="BD434" s="93"/>
      <c r="BE434" s="93"/>
      <c r="BF434" s="93"/>
      <c r="BG434" s="93"/>
      <c r="BH434" s="93"/>
      <c r="BI434" s="93"/>
      <c r="BJ434" s="20"/>
      <c r="BK434" s="25"/>
      <c r="BL434" s="97"/>
      <c r="BM434" s="1504">
        <v>47665</v>
      </c>
      <c r="BN434" s="19"/>
      <c r="BO434" s="93"/>
      <c r="BP434" s="93"/>
      <c r="BQ434" s="93"/>
      <c r="BR434" s="93"/>
      <c r="BS434" s="93"/>
      <c r="BT434" s="93"/>
      <c r="BU434" s="20"/>
      <c r="BV434" s="25"/>
      <c r="BW434" s="97"/>
      <c r="BX434" s="1504">
        <v>47665</v>
      </c>
      <c r="BY434" s="19"/>
      <c r="BZ434" s="93"/>
      <c r="CA434" s="93"/>
      <c r="CB434" s="93"/>
      <c r="CC434" s="93"/>
      <c r="CD434" s="25"/>
      <c r="CE434" s="97"/>
      <c r="CF434" s="1504">
        <v>47665</v>
      </c>
      <c r="CG434" s="19"/>
      <c r="CH434" s="93"/>
      <c r="CI434" s="219"/>
      <c r="CJ434" s="20"/>
      <c r="CK434" s="19"/>
      <c r="CL434" s="93"/>
      <c r="CM434" s="93"/>
      <c r="CN434" s="93"/>
      <c r="CO434" s="93"/>
      <c r="CP434" s="20"/>
      <c r="CQ434" s="219"/>
      <c r="CR434" s="93"/>
      <c r="CS434" s="93"/>
      <c r="CT434" s="93"/>
      <c r="CU434" s="93"/>
      <c r="CV434" s="214"/>
      <c r="CW434" s="29"/>
      <c r="CX434" s="41">
        <f t="shared" si="357"/>
        <v>2030</v>
      </c>
      <c r="CY434" s="1504">
        <v>47665</v>
      </c>
      <c r="CZ434" s="19"/>
      <c r="DA434" s="93"/>
      <c r="DB434" s="93"/>
      <c r="DC434" s="93"/>
      <c r="DD434" s="93"/>
      <c r="DE434" s="20"/>
      <c r="DF434" s="29"/>
      <c r="DG434" s="1504">
        <v>47665</v>
      </c>
      <c r="DH434" s="19"/>
      <c r="DI434" s="93"/>
      <c r="DJ434" s="93"/>
      <c r="DK434" s="93"/>
      <c r="DL434" s="93"/>
      <c r="DM434" s="93"/>
      <c r="DN434" s="20"/>
      <c r="DO434" s="295"/>
      <c r="DP434" s="29"/>
      <c r="DQ434" s="1504">
        <v>47665</v>
      </c>
      <c r="DR434" s="19"/>
      <c r="DS434" s="93"/>
      <c r="DT434" s="93"/>
      <c r="DU434" s="93"/>
      <c r="DV434" s="93"/>
      <c r="DW434" s="93"/>
      <c r="DX434" s="20"/>
      <c r="DY434" s="29"/>
      <c r="DZ434" s="1504">
        <v>47665</v>
      </c>
      <c r="EA434" s="19"/>
      <c r="EB434" s="93"/>
      <c r="EC434" s="20"/>
      <c r="ED434" s="29"/>
      <c r="EE434" s="1504">
        <v>47665</v>
      </c>
      <c r="EF434" s="19"/>
      <c r="EG434" s="93"/>
      <c r="EH434" s="93"/>
      <c r="EI434" s="214"/>
      <c r="EJ434" s="93"/>
      <c r="EK434" s="93"/>
      <c r="EL434" s="93"/>
      <c r="EM434" s="93"/>
      <c r="EN434" s="20"/>
      <c r="EO434" s="29"/>
      <c r="EP434" s="1504">
        <v>47665</v>
      </c>
      <c r="EQ434" s="19"/>
      <c r="ER434" s="93"/>
      <c r="ES434" s="93"/>
      <c r="ET434" s="214"/>
      <c r="EU434" s="93"/>
      <c r="EV434" s="93"/>
      <c r="EW434" s="93"/>
      <c r="EX434" s="93"/>
      <c r="EY434" s="20"/>
      <c r="EZ434" s="29"/>
      <c r="FA434" s="1504">
        <v>47665</v>
      </c>
      <c r="FB434" s="29"/>
      <c r="FC434" s="29"/>
      <c r="FD434" s="29"/>
      <c r="FE434" s="29"/>
      <c r="FF434" s="29"/>
      <c r="FG434" s="29"/>
      <c r="FH434" s="29"/>
      <c r="FI434" s="29"/>
      <c r="FJ434" s="29"/>
      <c r="FK434" s="29"/>
      <c r="FL434" s="1504">
        <v>47665</v>
      </c>
      <c r="FM434" s="19"/>
      <c r="FN434" s="93"/>
      <c r="FO434" s="93"/>
      <c r="FP434" s="93"/>
      <c r="FQ434" s="93"/>
      <c r="FR434" s="93"/>
      <c r="FS434" s="93"/>
      <c r="FT434" s="93"/>
      <c r="FU434" s="93"/>
      <c r="FV434" s="93"/>
      <c r="FW434" s="93"/>
      <c r="FX434" s="93"/>
      <c r="FY434" s="93"/>
      <c r="FZ434" s="29"/>
      <c r="GA434" s="1504">
        <v>47665</v>
      </c>
      <c r="GB434" s="19"/>
      <c r="GC434" s="93"/>
      <c r="GD434" s="93"/>
      <c r="GE434" s="93"/>
      <c r="GF434" s="93"/>
      <c r="GG434" s="93"/>
      <c r="GH434" s="93"/>
      <c r="GI434" s="93"/>
      <c r="GJ434" s="93"/>
      <c r="GK434" s="93"/>
      <c r="GL434" s="93"/>
      <c r="GM434" s="93"/>
      <c r="GN434" s="20"/>
      <c r="GO434" s="29"/>
      <c r="GP434" s="1504">
        <v>47665</v>
      </c>
      <c r="GQ434" s="19"/>
      <c r="GR434" s="93"/>
      <c r="GS434" s="93"/>
      <c r="GT434" s="93"/>
      <c r="GU434" s="93"/>
      <c r="GV434" s="20"/>
      <c r="GW434" s="19"/>
      <c r="GX434" s="93"/>
      <c r="GY434" s="93"/>
      <c r="GZ434" s="93"/>
      <c r="HA434" s="93"/>
      <c r="HB434" s="20"/>
      <c r="HC434" s="19"/>
      <c r="HD434" s="93"/>
      <c r="HE434" s="93"/>
      <c r="HF434" s="93"/>
      <c r="HG434" s="93"/>
      <c r="HH434" s="20"/>
      <c r="HI434" s="19"/>
      <c r="HJ434" s="93"/>
      <c r="HK434" s="93"/>
      <c r="HL434" s="93"/>
      <c r="HM434" s="93"/>
      <c r="HN434" s="20"/>
      <c r="HO434" s="219"/>
      <c r="HP434" s="20"/>
      <c r="HQ434" s="25"/>
      <c r="HR434" s="29"/>
      <c r="HS434" s="1504">
        <v>47665</v>
      </c>
      <c r="HT434" s="19"/>
      <c r="HU434" s="93"/>
      <c r="HV434" s="93"/>
      <c r="HW434" s="93"/>
      <c r="HX434" s="93"/>
      <c r="HY434" s="93"/>
      <c r="HZ434" s="93"/>
      <c r="IA434" s="20"/>
      <c r="IB434" s="19"/>
      <c r="IC434" s="93"/>
      <c r="ID434" s="93"/>
      <c r="IE434" s="93"/>
      <c r="IF434" s="93"/>
      <c r="IG434" s="20"/>
      <c r="IH434" s="19"/>
      <c r="II434" s="93"/>
      <c r="IJ434" s="93"/>
      <c r="IK434" s="93"/>
      <c r="IL434" s="93"/>
      <c r="IM434" s="93"/>
      <c r="IN434" s="93"/>
      <c r="IO434" s="20"/>
      <c r="IP434" s="29"/>
      <c r="IQ434" s="19"/>
      <c r="IR434" s="93"/>
      <c r="IS434" s="93"/>
      <c r="IT434" s="93"/>
      <c r="IU434" s="93"/>
      <c r="IV434" s="20"/>
      <c r="IW434" s="29"/>
      <c r="IX434" s="19"/>
      <c r="IY434" s="93"/>
      <c r="IZ434" s="93"/>
      <c r="JA434" s="93"/>
      <c r="JB434" s="93"/>
      <c r="JC434" s="93"/>
      <c r="JD434" s="93"/>
      <c r="JE434" s="20"/>
      <c r="JF434" s="29"/>
      <c r="JG434" s="19"/>
      <c r="JH434" s="93"/>
      <c r="JI434" s="93"/>
      <c r="JJ434" s="93"/>
      <c r="JK434" s="93"/>
      <c r="JL434" s="93"/>
      <c r="JM434" s="93"/>
      <c r="JN434" s="20"/>
      <c r="JO434" s="29"/>
      <c r="JP434" s="19"/>
      <c r="JQ434" s="93"/>
      <c r="JR434" s="93"/>
      <c r="JS434" s="93"/>
      <c r="JT434" s="93"/>
      <c r="JU434" s="20"/>
      <c r="JV434" s="29"/>
      <c r="JW434" s="1504">
        <v>47665</v>
      </c>
      <c r="JX434" s="19"/>
      <c r="JY434" s="93"/>
      <c r="JZ434" s="93"/>
      <c r="KA434" s="93"/>
      <c r="KB434" s="93"/>
      <c r="KC434" s="93"/>
      <c r="KD434" s="20"/>
      <c r="KE434" s="29"/>
      <c r="KF434" s="19"/>
      <c r="KG434" s="93"/>
      <c r="KH434" s="93"/>
      <c r="KI434" s="93"/>
      <c r="KJ434" s="93"/>
      <c r="KK434" s="20"/>
      <c r="KL434" s="29"/>
      <c r="KM434" s="19"/>
      <c r="KN434" s="93"/>
      <c r="KO434" s="93"/>
      <c r="KP434" s="93"/>
      <c r="KQ434" s="93"/>
      <c r="KR434" s="20"/>
      <c r="KS434" s="29"/>
      <c r="KT434" s="19"/>
      <c r="KU434" s="93"/>
      <c r="KV434" s="93"/>
      <c r="KW434" s="93"/>
      <c r="KX434" s="93"/>
      <c r="KY434" s="20"/>
      <c r="KZ434" s="29"/>
      <c r="LA434" s="1504">
        <v>47665</v>
      </c>
      <c r="LB434" s="19"/>
      <c r="LC434" s="93"/>
      <c r="LD434" s="93"/>
      <c r="LE434" s="93"/>
      <c r="LF434" s="93"/>
      <c r="LG434" s="93"/>
      <c r="LH434" s="20"/>
      <c r="LI434" s="29"/>
      <c r="LJ434" s="19"/>
      <c r="LK434" s="93"/>
      <c r="LL434" s="93"/>
      <c r="LM434" s="93"/>
      <c r="LN434" s="93"/>
      <c r="LO434" s="20"/>
      <c r="LP434" s="29"/>
      <c r="LQ434" s="19"/>
      <c r="LR434" s="93"/>
      <c r="LS434" s="93"/>
      <c r="LT434" s="93"/>
      <c r="LU434" s="93"/>
      <c r="LV434" s="93"/>
      <c r="LW434" s="93"/>
      <c r="LX434" s="93"/>
      <c r="LY434" s="93"/>
      <c r="LZ434" s="93"/>
      <c r="MA434" s="20"/>
      <c r="MB434" s="29"/>
      <c r="MC434" s="1504">
        <v>47665</v>
      </c>
      <c r="MD434" s="19"/>
      <c r="ME434" s="93"/>
      <c r="MF434" s="93"/>
      <c r="MG434" s="93"/>
      <c r="MH434" s="93"/>
      <c r="MI434" s="93"/>
      <c r="MJ434" s="93"/>
      <c r="MK434" s="93"/>
      <c r="ML434" s="93"/>
      <c r="MM434" s="93"/>
      <c r="MN434" s="93"/>
      <c r="MO434" s="93"/>
      <c r="MP434" s="93"/>
      <c r="MQ434" s="93"/>
      <c r="MR434" s="93"/>
      <c r="MS434" s="93"/>
      <c r="MT434" s="93"/>
      <c r="MU434" s="93"/>
      <c r="MV434" s="93"/>
      <c r="MW434" s="93"/>
      <c r="MX434" s="93"/>
      <c r="MY434" s="93"/>
      <c r="MZ434" s="93"/>
      <c r="NA434" s="93"/>
      <c r="NB434" s="93"/>
      <c r="NC434" s="93"/>
      <c r="ND434" s="93"/>
      <c r="NE434" s="93"/>
      <c r="NF434" s="93"/>
      <c r="NG434" s="93"/>
      <c r="NH434" s="93"/>
      <c r="NI434" s="93"/>
      <c r="NJ434" s="93"/>
      <c r="NK434" s="93"/>
      <c r="NL434" s="93"/>
      <c r="NM434" s="93"/>
      <c r="NN434" s="93"/>
      <c r="NO434" s="93"/>
      <c r="NP434" s="93"/>
      <c r="NQ434" s="93"/>
      <c r="NR434" s="93"/>
      <c r="NS434" s="93"/>
      <c r="NT434" s="93"/>
      <c r="NU434" s="93"/>
      <c r="NV434" s="93"/>
      <c r="NW434" s="93"/>
      <c r="NX434" s="93"/>
      <c r="NY434" s="93"/>
      <c r="NZ434" s="93"/>
      <c r="OA434" s="93"/>
      <c r="OB434" s="93"/>
      <c r="OC434" s="93"/>
      <c r="OD434" s="20"/>
      <c r="OE434" s="29"/>
      <c r="OF434" s="1504">
        <v>47665</v>
      </c>
      <c r="OG434" s="19"/>
      <c r="OH434" s="93"/>
      <c r="OI434" s="93"/>
      <c r="OJ434" s="93"/>
      <c r="OK434" s="93"/>
      <c r="OL434" s="93"/>
      <c r="OM434" s="93"/>
      <c r="ON434" s="93"/>
      <c r="OO434" s="93"/>
      <c r="OP434" s="93"/>
      <c r="OQ434" s="93"/>
      <c r="OR434" s="93"/>
      <c r="OS434" s="93"/>
      <c r="OT434" s="93"/>
      <c r="OU434" s="93"/>
      <c r="OV434" s="93"/>
      <c r="OW434" s="93"/>
      <c r="OX434" s="93"/>
      <c r="OY434" s="93"/>
      <c r="OZ434" s="93"/>
      <c r="PA434" s="93"/>
      <c r="PB434" s="93"/>
      <c r="PC434" s="20"/>
      <c r="PD434" s="29"/>
      <c r="PE434" s="19"/>
      <c r="PF434" s="93"/>
      <c r="PG434" s="93"/>
      <c r="PH434" s="93"/>
      <c r="PI434" s="93"/>
      <c r="PJ434" s="93"/>
      <c r="PK434" s="93"/>
      <c r="PL434" s="93"/>
      <c r="PM434" s="93"/>
      <c r="PN434" s="93"/>
      <c r="PO434" s="93"/>
      <c r="PP434" s="93"/>
      <c r="PQ434" s="93"/>
      <c r="PR434" s="93"/>
      <c r="PS434" s="93"/>
      <c r="PT434" s="93"/>
      <c r="PU434" s="93"/>
      <c r="PV434" s="93"/>
      <c r="PW434" s="93"/>
      <c r="PX434" s="93"/>
      <c r="PY434" s="93"/>
      <c r="PZ434" s="93"/>
      <c r="QA434" s="93"/>
      <c r="QB434" s="93"/>
      <c r="QC434" s="93"/>
      <c r="QD434" s="93"/>
      <c r="QE434" s="20"/>
      <c r="QF434" s="1739"/>
      <c r="QG434" s="19"/>
      <c r="QH434" s="93"/>
      <c r="QI434" s="93"/>
      <c r="QJ434" s="93"/>
      <c r="QK434" s="93"/>
      <c r="QL434" s="93"/>
      <c r="QM434" s="93"/>
      <c r="QN434" s="93"/>
      <c r="QO434" s="93"/>
      <c r="QP434" s="93"/>
      <c r="QQ434" s="93"/>
      <c r="QR434" s="93"/>
      <c r="QS434" s="93"/>
      <c r="QT434" s="93"/>
      <c r="QU434" s="93"/>
      <c r="QV434" s="93"/>
      <c r="QW434" s="93"/>
      <c r="QX434" s="93"/>
      <c r="QY434" s="93"/>
      <c r="QZ434" s="93"/>
      <c r="RA434" s="93"/>
      <c r="RB434" s="93"/>
      <c r="RC434" s="93"/>
      <c r="RD434" s="93"/>
      <c r="RE434" s="93"/>
      <c r="RF434" s="93"/>
      <c r="RG434" s="93"/>
      <c r="RH434" s="93"/>
      <c r="RI434" s="93"/>
      <c r="RJ434" s="93"/>
      <c r="RK434" s="93"/>
      <c r="RL434" s="93"/>
      <c r="RM434" s="20"/>
      <c r="RN434" s="29"/>
      <c r="RO434" s="19"/>
      <c r="RP434" s="20"/>
      <c r="RQ434" s="29"/>
      <c r="RR434" s="20"/>
      <c r="RS434" s="29"/>
      <c r="RT434" s="1504">
        <v>47665</v>
      </c>
      <c r="RU434" s="19"/>
      <c r="RV434" s="20"/>
      <c r="RW434" s="29"/>
      <c r="RX434" s="1504">
        <v>47665</v>
      </c>
      <c r="RY434" s="29"/>
      <c r="RZ434" s="20"/>
      <c r="SA434" s="29"/>
      <c r="SB434" s="29"/>
    </row>
    <row r="435" spans="1:496">
      <c r="A435" s="41">
        <f t="shared" si="358"/>
        <v>2030</v>
      </c>
      <c r="B435" s="1504">
        <v>47696</v>
      </c>
      <c r="C435" s="1813"/>
      <c r="D435" s="1814"/>
      <c r="E435" s="1814"/>
      <c r="F435" s="1815"/>
      <c r="G435" s="1814"/>
      <c r="H435" s="1814"/>
      <c r="I435" s="1814"/>
      <c r="J435" s="1816"/>
      <c r="K435" s="1807"/>
      <c r="L435" s="25"/>
      <c r="M435" s="97"/>
      <c r="N435" s="1504">
        <v>47696</v>
      </c>
      <c r="O435" s="19"/>
      <c r="P435" s="93"/>
      <c r="Q435" s="93"/>
      <c r="R435" s="93"/>
      <c r="S435" s="93"/>
      <c r="T435" s="93"/>
      <c r="U435" s="93"/>
      <c r="V435" s="93"/>
      <c r="W435" s="93"/>
      <c r="X435" s="93"/>
      <c r="Y435" s="93"/>
      <c r="Z435" s="93"/>
      <c r="AA435" s="93"/>
      <c r="AB435" s="20"/>
      <c r="AC435" s="25"/>
      <c r="AD435" s="97"/>
      <c r="AE435" s="1504">
        <v>47696</v>
      </c>
      <c r="AF435" s="19"/>
      <c r="AG435" s="93"/>
      <c r="AH435" s="93"/>
      <c r="AI435" s="93"/>
      <c r="AJ435" s="93"/>
      <c r="AK435" s="93"/>
      <c r="AL435" s="93"/>
      <c r="AM435" s="93"/>
      <c r="AN435" s="93"/>
      <c r="AO435" s="93"/>
      <c r="AP435" s="93"/>
      <c r="AQ435" s="93"/>
      <c r="AR435" s="93"/>
      <c r="AS435" s="20"/>
      <c r="AT435" s="25"/>
      <c r="AU435" s="97"/>
      <c r="AV435" s="1504">
        <v>47696</v>
      </c>
      <c r="AW435" s="19"/>
      <c r="AX435" s="93"/>
      <c r="AY435" s="93"/>
      <c r="AZ435" s="93"/>
      <c r="BA435" s="93"/>
      <c r="BB435" s="93"/>
      <c r="BC435" s="93"/>
      <c r="BD435" s="93"/>
      <c r="BE435" s="93"/>
      <c r="BF435" s="93"/>
      <c r="BG435" s="93"/>
      <c r="BH435" s="93"/>
      <c r="BI435" s="93"/>
      <c r="BJ435" s="20"/>
      <c r="BK435" s="25"/>
      <c r="BL435" s="97"/>
      <c r="BM435" s="1504">
        <v>47696</v>
      </c>
      <c r="BN435" s="19"/>
      <c r="BO435" s="93"/>
      <c r="BP435" s="93"/>
      <c r="BQ435" s="93"/>
      <c r="BR435" s="93"/>
      <c r="BS435" s="93"/>
      <c r="BT435" s="93"/>
      <c r="BU435" s="20"/>
      <c r="BV435" s="25"/>
      <c r="BW435" s="97"/>
      <c r="BX435" s="1504">
        <v>47696</v>
      </c>
      <c r="BY435" s="19"/>
      <c r="BZ435" s="93"/>
      <c r="CA435" s="93"/>
      <c r="CB435" s="93"/>
      <c r="CC435" s="93"/>
      <c r="CD435" s="25"/>
      <c r="CE435" s="97"/>
      <c r="CF435" s="1504">
        <v>47696</v>
      </c>
      <c r="CG435" s="19"/>
      <c r="CH435" s="93"/>
      <c r="CI435" s="219"/>
      <c r="CJ435" s="20"/>
      <c r="CK435" s="19"/>
      <c r="CL435" s="93"/>
      <c r="CM435" s="93"/>
      <c r="CN435" s="93"/>
      <c r="CO435" s="93"/>
      <c r="CP435" s="20"/>
      <c r="CQ435" s="219"/>
      <c r="CR435" s="93"/>
      <c r="CS435" s="93"/>
      <c r="CT435" s="93"/>
      <c r="CU435" s="93"/>
      <c r="CV435" s="214"/>
      <c r="CW435" s="29"/>
      <c r="CX435" s="41">
        <f t="shared" si="357"/>
        <v>2030</v>
      </c>
      <c r="CY435" s="1504">
        <v>47696</v>
      </c>
      <c r="CZ435" s="19"/>
      <c r="DA435" s="93"/>
      <c r="DB435" s="93"/>
      <c r="DC435" s="93"/>
      <c r="DD435" s="93"/>
      <c r="DE435" s="20"/>
      <c r="DF435" s="29"/>
      <c r="DG435" s="1504">
        <v>47696</v>
      </c>
      <c r="DH435" s="19"/>
      <c r="DI435" s="93"/>
      <c r="DJ435" s="93"/>
      <c r="DK435" s="93"/>
      <c r="DL435" s="93"/>
      <c r="DM435" s="93"/>
      <c r="DN435" s="20"/>
      <c r="DO435" s="295"/>
      <c r="DP435" s="29"/>
      <c r="DQ435" s="1504">
        <v>47696</v>
      </c>
      <c r="DR435" s="19"/>
      <c r="DS435" s="93"/>
      <c r="DT435" s="93"/>
      <c r="DU435" s="93"/>
      <c r="DV435" s="93"/>
      <c r="DW435" s="93"/>
      <c r="DX435" s="20"/>
      <c r="DY435" s="29"/>
      <c r="DZ435" s="1504">
        <v>47696</v>
      </c>
      <c r="EA435" s="19"/>
      <c r="EB435" s="93"/>
      <c r="EC435" s="20"/>
      <c r="ED435" s="29"/>
      <c r="EE435" s="1504">
        <v>47696</v>
      </c>
      <c r="EF435" s="19"/>
      <c r="EG435" s="93"/>
      <c r="EH435" s="93"/>
      <c r="EI435" s="214"/>
      <c r="EJ435" s="93"/>
      <c r="EK435" s="93"/>
      <c r="EL435" s="93"/>
      <c r="EM435" s="93"/>
      <c r="EN435" s="20"/>
      <c r="EO435" s="29"/>
      <c r="EP435" s="1504">
        <v>47696</v>
      </c>
      <c r="EQ435" s="19"/>
      <c r="ER435" s="93"/>
      <c r="ES435" s="93"/>
      <c r="ET435" s="214"/>
      <c r="EU435" s="93"/>
      <c r="EV435" s="93"/>
      <c r="EW435" s="93"/>
      <c r="EX435" s="93"/>
      <c r="EY435" s="20"/>
      <c r="EZ435" s="29"/>
      <c r="FA435" s="1504">
        <v>47696</v>
      </c>
      <c r="FB435" s="29"/>
      <c r="FC435" s="29"/>
      <c r="FD435" s="29"/>
      <c r="FE435" s="29"/>
      <c r="FF435" s="29"/>
      <c r="FG435" s="29"/>
      <c r="FH435" s="29"/>
      <c r="FI435" s="29"/>
      <c r="FJ435" s="29"/>
      <c r="FK435" s="29"/>
      <c r="FL435" s="1504">
        <v>47696</v>
      </c>
      <c r="FM435" s="19"/>
      <c r="FN435" s="93"/>
      <c r="FO435" s="93"/>
      <c r="FP435" s="93"/>
      <c r="FQ435" s="93"/>
      <c r="FR435" s="93"/>
      <c r="FS435" s="93"/>
      <c r="FT435" s="93"/>
      <c r="FU435" s="93"/>
      <c r="FV435" s="93"/>
      <c r="FW435" s="93"/>
      <c r="FX435" s="93"/>
      <c r="FY435" s="93"/>
      <c r="FZ435" s="29"/>
      <c r="GA435" s="1504">
        <v>47696</v>
      </c>
      <c r="GB435" s="19"/>
      <c r="GC435" s="93"/>
      <c r="GD435" s="93"/>
      <c r="GE435" s="93"/>
      <c r="GF435" s="93"/>
      <c r="GG435" s="93"/>
      <c r="GH435" s="93"/>
      <c r="GI435" s="93"/>
      <c r="GJ435" s="93"/>
      <c r="GK435" s="93"/>
      <c r="GL435" s="93"/>
      <c r="GM435" s="93"/>
      <c r="GN435" s="20"/>
      <c r="GO435" s="29"/>
      <c r="GP435" s="1504">
        <v>47696</v>
      </c>
      <c r="GQ435" s="19"/>
      <c r="GR435" s="93"/>
      <c r="GS435" s="93"/>
      <c r="GT435" s="93"/>
      <c r="GU435" s="93"/>
      <c r="GV435" s="20"/>
      <c r="GW435" s="19"/>
      <c r="GX435" s="93"/>
      <c r="GY435" s="93"/>
      <c r="GZ435" s="93"/>
      <c r="HA435" s="93"/>
      <c r="HB435" s="20"/>
      <c r="HC435" s="19"/>
      <c r="HD435" s="93"/>
      <c r="HE435" s="93"/>
      <c r="HF435" s="93"/>
      <c r="HG435" s="93"/>
      <c r="HH435" s="20"/>
      <c r="HI435" s="19"/>
      <c r="HJ435" s="93"/>
      <c r="HK435" s="93"/>
      <c r="HL435" s="93"/>
      <c r="HM435" s="93"/>
      <c r="HN435" s="20"/>
      <c r="HO435" s="219"/>
      <c r="HP435" s="20"/>
      <c r="HQ435" s="25"/>
      <c r="HR435" s="29"/>
      <c r="HS435" s="1504">
        <v>47696</v>
      </c>
      <c r="HT435" s="19"/>
      <c r="HU435" s="93"/>
      <c r="HV435" s="93"/>
      <c r="HW435" s="93"/>
      <c r="HX435" s="93"/>
      <c r="HY435" s="93"/>
      <c r="HZ435" s="93"/>
      <c r="IA435" s="20"/>
      <c r="IB435" s="19"/>
      <c r="IC435" s="93"/>
      <c r="ID435" s="93"/>
      <c r="IE435" s="93"/>
      <c r="IF435" s="93"/>
      <c r="IG435" s="20"/>
      <c r="IH435" s="19"/>
      <c r="II435" s="93"/>
      <c r="IJ435" s="93"/>
      <c r="IK435" s="93"/>
      <c r="IL435" s="93"/>
      <c r="IM435" s="93"/>
      <c r="IN435" s="93"/>
      <c r="IO435" s="20"/>
      <c r="IP435" s="29"/>
      <c r="IQ435" s="19"/>
      <c r="IR435" s="93"/>
      <c r="IS435" s="93"/>
      <c r="IT435" s="93"/>
      <c r="IU435" s="93"/>
      <c r="IV435" s="20"/>
      <c r="IW435" s="29"/>
      <c r="IX435" s="19"/>
      <c r="IY435" s="93"/>
      <c r="IZ435" s="93"/>
      <c r="JA435" s="93"/>
      <c r="JB435" s="93"/>
      <c r="JC435" s="93"/>
      <c r="JD435" s="93"/>
      <c r="JE435" s="20"/>
      <c r="JF435" s="29"/>
      <c r="JG435" s="19"/>
      <c r="JH435" s="93"/>
      <c r="JI435" s="93"/>
      <c r="JJ435" s="93"/>
      <c r="JK435" s="93"/>
      <c r="JL435" s="93"/>
      <c r="JM435" s="93"/>
      <c r="JN435" s="20"/>
      <c r="JO435" s="29"/>
      <c r="JP435" s="19"/>
      <c r="JQ435" s="93"/>
      <c r="JR435" s="93"/>
      <c r="JS435" s="93"/>
      <c r="JT435" s="93"/>
      <c r="JU435" s="20"/>
      <c r="JV435" s="29"/>
      <c r="JW435" s="1504">
        <v>47696</v>
      </c>
      <c r="JX435" s="19"/>
      <c r="JY435" s="93"/>
      <c r="JZ435" s="93"/>
      <c r="KA435" s="93"/>
      <c r="KB435" s="93"/>
      <c r="KC435" s="93"/>
      <c r="KD435" s="20"/>
      <c r="KE435" s="29"/>
      <c r="KF435" s="19"/>
      <c r="KG435" s="93"/>
      <c r="KH435" s="93"/>
      <c r="KI435" s="93"/>
      <c r="KJ435" s="93"/>
      <c r="KK435" s="20"/>
      <c r="KL435" s="29"/>
      <c r="KM435" s="19"/>
      <c r="KN435" s="93"/>
      <c r="KO435" s="93"/>
      <c r="KP435" s="93"/>
      <c r="KQ435" s="93"/>
      <c r="KR435" s="20"/>
      <c r="KS435" s="29"/>
      <c r="KT435" s="19"/>
      <c r="KU435" s="93"/>
      <c r="KV435" s="93"/>
      <c r="KW435" s="93"/>
      <c r="KX435" s="93"/>
      <c r="KY435" s="20"/>
      <c r="KZ435" s="29"/>
      <c r="LA435" s="1504">
        <v>47696</v>
      </c>
      <c r="LB435" s="19"/>
      <c r="LC435" s="93"/>
      <c r="LD435" s="93"/>
      <c r="LE435" s="93"/>
      <c r="LF435" s="93"/>
      <c r="LG435" s="93"/>
      <c r="LH435" s="20"/>
      <c r="LI435" s="29"/>
      <c r="LJ435" s="19"/>
      <c r="LK435" s="93"/>
      <c r="LL435" s="93"/>
      <c r="LM435" s="93"/>
      <c r="LN435" s="93"/>
      <c r="LO435" s="20"/>
      <c r="LP435" s="29"/>
      <c r="LQ435" s="19"/>
      <c r="LR435" s="93"/>
      <c r="LS435" s="93"/>
      <c r="LT435" s="93"/>
      <c r="LU435" s="93"/>
      <c r="LV435" s="93"/>
      <c r="LW435" s="93"/>
      <c r="LX435" s="93"/>
      <c r="LY435" s="93"/>
      <c r="LZ435" s="93"/>
      <c r="MA435" s="20"/>
      <c r="MB435" s="29"/>
      <c r="MC435" s="1504">
        <v>47696</v>
      </c>
      <c r="MD435" s="19"/>
      <c r="ME435" s="93"/>
      <c r="MF435" s="93"/>
      <c r="MG435" s="93"/>
      <c r="MH435" s="93"/>
      <c r="MI435" s="93"/>
      <c r="MJ435" s="93"/>
      <c r="MK435" s="93"/>
      <c r="ML435" s="93"/>
      <c r="MM435" s="93"/>
      <c r="MN435" s="93"/>
      <c r="MO435" s="93"/>
      <c r="MP435" s="93"/>
      <c r="MQ435" s="93"/>
      <c r="MR435" s="93"/>
      <c r="MS435" s="93"/>
      <c r="MT435" s="93"/>
      <c r="MU435" s="93"/>
      <c r="MV435" s="93"/>
      <c r="MW435" s="93"/>
      <c r="MX435" s="93"/>
      <c r="MY435" s="93"/>
      <c r="MZ435" s="93"/>
      <c r="NA435" s="93"/>
      <c r="NB435" s="93"/>
      <c r="NC435" s="93"/>
      <c r="ND435" s="93"/>
      <c r="NE435" s="93"/>
      <c r="NF435" s="93"/>
      <c r="NG435" s="93"/>
      <c r="NH435" s="93"/>
      <c r="NI435" s="93"/>
      <c r="NJ435" s="93"/>
      <c r="NK435" s="93"/>
      <c r="NL435" s="93"/>
      <c r="NM435" s="93"/>
      <c r="NN435" s="93"/>
      <c r="NO435" s="93"/>
      <c r="NP435" s="93"/>
      <c r="NQ435" s="93"/>
      <c r="NR435" s="93"/>
      <c r="NS435" s="93"/>
      <c r="NT435" s="93"/>
      <c r="NU435" s="93"/>
      <c r="NV435" s="93"/>
      <c r="NW435" s="93"/>
      <c r="NX435" s="93"/>
      <c r="NY435" s="93"/>
      <c r="NZ435" s="93"/>
      <c r="OA435" s="93"/>
      <c r="OB435" s="93"/>
      <c r="OC435" s="93"/>
      <c r="OD435" s="20"/>
      <c r="OE435" s="29"/>
      <c r="OF435" s="1504">
        <v>47696</v>
      </c>
      <c r="OG435" s="19"/>
      <c r="OH435" s="93"/>
      <c r="OI435" s="93"/>
      <c r="OJ435" s="93"/>
      <c r="OK435" s="93"/>
      <c r="OL435" s="93"/>
      <c r="OM435" s="93"/>
      <c r="ON435" s="93"/>
      <c r="OO435" s="93"/>
      <c r="OP435" s="93"/>
      <c r="OQ435" s="93"/>
      <c r="OR435" s="93"/>
      <c r="OS435" s="93"/>
      <c r="OT435" s="93"/>
      <c r="OU435" s="93"/>
      <c r="OV435" s="93"/>
      <c r="OW435" s="93"/>
      <c r="OX435" s="93"/>
      <c r="OY435" s="93"/>
      <c r="OZ435" s="93"/>
      <c r="PA435" s="93"/>
      <c r="PB435" s="93"/>
      <c r="PC435" s="20"/>
      <c r="PD435" s="29"/>
      <c r="PE435" s="19"/>
      <c r="PF435" s="93"/>
      <c r="PG435" s="93"/>
      <c r="PH435" s="93"/>
      <c r="PI435" s="93"/>
      <c r="PJ435" s="93"/>
      <c r="PK435" s="93"/>
      <c r="PL435" s="93"/>
      <c r="PM435" s="93"/>
      <c r="PN435" s="93"/>
      <c r="PO435" s="93"/>
      <c r="PP435" s="93"/>
      <c r="PQ435" s="93"/>
      <c r="PR435" s="93"/>
      <c r="PS435" s="93"/>
      <c r="PT435" s="93"/>
      <c r="PU435" s="93"/>
      <c r="PV435" s="93"/>
      <c r="PW435" s="93"/>
      <c r="PX435" s="93"/>
      <c r="PY435" s="93"/>
      <c r="PZ435" s="93"/>
      <c r="QA435" s="93"/>
      <c r="QB435" s="93"/>
      <c r="QC435" s="93"/>
      <c r="QD435" s="93"/>
      <c r="QE435" s="20"/>
      <c r="QF435" s="1739"/>
      <c r="QG435" s="19"/>
      <c r="QH435" s="93"/>
      <c r="QI435" s="93"/>
      <c r="QJ435" s="93"/>
      <c r="QK435" s="93"/>
      <c r="QL435" s="93"/>
      <c r="QM435" s="93"/>
      <c r="QN435" s="93"/>
      <c r="QO435" s="93"/>
      <c r="QP435" s="93"/>
      <c r="QQ435" s="93"/>
      <c r="QR435" s="93"/>
      <c r="QS435" s="93"/>
      <c r="QT435" s="93"/>
      <c r="QU435" s="93"/>
      <c r="QV435" s="93"/>
      <c r="QW435" s="93"/>
      <c r="QX435" s="93"/>
      <c r="QY435" s="93"/>
      <c r="QZ435" s="93"/>
      <c r="RA435" s="93"/>
      <c r="RB435" s="93"/>
      <c r="RC435" s="93"/>
      <c r="RD435" s="93"/>
      <c r="RE435" s="93"/>
      <c r="RF435" s="93"/>
      <c r="RG435" s="93"/>
      <c r="RH435" s="93"/>
      <c r="RI435" s="93"/>
      <c r="RJ435" s="93"/>
      <c r="RK435" s="93"/>
      <c r="RL435" s="93"/>
      <c r="RM435" s="20"/>
      <c r="RN435" s="29"/>
      <c r="RO435" s="19"/>
      <c r="RP435" s="20"/>
      <c r="RQ435" s="29"/>
      <c r="RR435" s="20"/>
      <c r="RS435" s="29"/>
      <c r="RT435" s="1504">
        <v>47696</v>
      </c>
      <c r="RU435" s="19"/>
      <c r="RV435" s="20"/>
      <c r="RW435" s="29"/>
      <c r="RX435" s="1504">
        <v>47696</v>
      </c>
      <c r="RY435" s="29"/>
      <c r="RZ435" s="20"/>
      <c r="SA435" s="29"/>
      <c r="SB435" s="29"/>
    </row>
    <row r="436" spans="1:496">
      <c r="A436" s="41">
        <f t="shared" si="358"/>
        <v>2030</v>
      </c>
      <c r="B436" s="1504">
        <v>47727</v>
      </c>
      <c r="C436" s="1813"/>
      <c r="D436" s="1814"/>
      <c r="E436" s="1814"/>
      <c r="F436" s="1815"/>
      <c r="G436" s="1814"/>
      <c r="H436" s="1814"/>
      <c r="I436" s="1814"/>
      <c r="J436" s="1816"/>
      <c r="K436" s="1807"/>
      <c r="L436" s="25"/>
      <c r="M436" s="97"/>
      <c r="N436" s="1504">
        <v>47727</v>
      </c>
      <c r="O436" s="19"/>
      <c r="P436" s="93"/>
      <c r="Q436" s="93"/>
      <c r="R436" s="93"/>
      <c r="S436" s="93"/>
      <c r="T436" s="93"/>
      <c r="U436" s="93"/>
      <c r="V436" s="93"/>
      <c r="W436" s="93"/>
      <c r="X436" s="93"/>
      <c r="Y436" s="93"/>
      <c r="Z436" s="93"/>
      <c r="AA436" s="93"/>
      <c r="AB436" s="20"/>
      <c r="AC436" s="25"/>
      <c r="AD436" s="97"/>
      <c r="AE436" s="1504">
        <v>47727</v>
      </c>
      <c r="AF436" s="19"/>
      <c r="AG436" s="93"/>
      <c r="AH436" s="93"/>
      <c r="AI436" s="93"/>
      <c r="AJ436" s="93"/>
      <c r="AK436" s="93"/>
      <c r="AL436" s="93"/>
      <c r="AM436" s="93"/>
      <c r="AN436" s="93"/>
      <c r="AO436" s="93"/>
      <c r="AP436" s="93"/>
      <c r="AQ436" s="93"/>
      <c r="AR436" s="93"/>
      <c r="AS436" s="20"/>
      <c r="AT436" s="25"/>
      <c r="AU436" s="97"/>
      <c r="AV436" s="1504">
        <v>47727</v>
      </c>
      <c r="AW436" s="19"/>
      <c r="AX436" s="93"/>
      <c r="AY436" s="93"/>
      <c r="AZ436" s="93"/>
      <c r="BA436" s="93"/>
      <c r="BB436" s="93"/>
      <c r="BC436" s="93"/>
      <c r="BD436" s="93"/>
      <c r="BE436" s="93"/>
      <c r="BF436" s="93"/>
      <c r="BG436" s="93"/>
      <c r="BH436" s="93"/>
      <c r="BI436" s="93"/>
      <c r="BJ436" s="20"/>
      <c r="BK436" s="25"/>
      <c r="BL436" s="97"/>
      <c r="BM436" s="1504">
        <v>47727</v>
      </c>
      <c r="BN436" s="19"/>
      <c r="BO436" s="93"/>
      <c r="BP436" s="93"/>
      <c r="BQ436" s="93"/>
      <c r="BR436" s="93"/>
      <c r="BS436" s="93"/>
      <c r="BT436" s="93"/>
      <c r="BU436" s="20"/>
      <c r="BV436" s="25"/>
      <c r="BW436" s="97"/>
      <c r="BX436" s="1504">
        <v>47727</v>
      </c>
      <c r="BY436" s="19"/>
      <c r="BZ436" s="93"/>
      <c r="CA436" s="93"/>
      <c r="CB436" s="93"/>
      <c r="CC436" s="93"/>
      <c r="CD436" s="25"/>
      <c r="CE436" s="97"/>
      <c r="CF436" s="1504">
        <v>47727</v>
      </c>
      <c r="CG436" s="19"/>
      <c r="CH436" s="93"/>
      <c r="CI436" s="219"/>
      <c r="CJ436" s="20"/>
      <c r="CK436" s="19"/>
      <c r="CL436" s="93"/>
      <c r="CM436" s="93"/>
      <c r="CN436" s="93"/>
      <c r="CO436" s="93"/>
      <c r="CP436" s="20"/>
      <c r="CQ436" s="219"/>
      <c r="CR436" s="93"/>
      <c r="CS436" s="93"/>
      <c r="CT436" s="93"/>
      <c r="CU436" s="93"/>
      <c r="CV436" s="214"/>
      <c r="CW436" s="29"/>
      <c r="CX436" s="41">
        <f t="shared" si="357"/>
        <v>2030</v>
      </c>
      <c r="CY436" s="1504">
        <v>47727</v>
      </c>
      <c r="CZ436" s="19"/>
      <c r="DA436" s="93"/>
      <c r="DB436" s="93"/>
      <c r="DC436" s="93"/>
      <c r="DD436" s="93"/>
      <c r="DE436" s="20"/>
      <c r="DF436" s="29"/>
      <c r="DG436" s="1504">
        <v>47727</v>
      </c>
      <c r="DH436" s="19"/>
      <c r="DI436" s="93"/>
      <c r="DJ436" s="93"/>
      <c r="DK436" s="93"/>
      <c r="DL436" s="93"/>
      <c r="DM436" s="93"/>
      <c r="DN436" s="20"/>
      <c r="DO436" s="295"/>
      <c r="DP436" s="29"/>
      <c r="DQ436" s="1504">
        <v>47727</v>
      </c>
      <c r="DR436" s="19"/>
      <c r="DS436" s="93"/>
      <c r="DT436" s="93"/>
      <c r="DU436" s="93"/>
      <c r="DV436" s="93"/>
      <c r="DW436" s="93"/>
      <c r="DX436" s="20"/>
      <c r="DY436" s="29"/>
      <c r="DZ436" s="1504">
        <v>47727</v>
      </c>
      <c r="EA436" s="19"/>
      <c r="EB436" s="93"/>
      <c r="EC436" s="20"/>
      <c r="ED436" s="29"/>
      <c r="EE436" s="1504">
        <v>47727</v>
      </c>
      <c r="EF436" s="19"/>
      <c r="EG436" s="93"/>
      <c r="EH436" s="93"/>
      <c r="EI436" s="214"/>
      <c r="EJ436" s="93"/>
      <c r="EK436" s="93"/>
      <c r="EL436" s="93"/>
      <c r="EM436" s="93"/>
      <c r="EN436" s="20"/>
      <c r="EO436" s="29"/>
      <c r="EP436" s="1504">
        <v>47727</v>
      </c>
      <c r="EQ436" s="19"/>
      <c r="ER436" s="93"/>
      <c r="ES436" s="93"/>
      <c r="ET436" s="214"/>
      <c r="EU436" s="93"/>
      <c r="EV436" s="93"/>
      <c r="EW436" s="93"/>
      <c r="EX436" s="93"/>
      <c r="EY436" s="20"/>
      <c r="EZ436" s="29"/>
      <c r="FA436" s="1504">
        <v>47727</v>
      </c>
      <c r="FB436" s="29"/>
      <c r="FC436" s="29"/>
      <c r="FD436" s="29"/>
      <c r="FE436" s="29"/>
      <c r="FF436" s="29"/>
      <c r="FG436" s="29"/>
      <c r="FH436" s="29"/>
      <c r="FI436" s="29"/>
      <c r="FJ436" s="29"/>
      <c r="FK436" s="29"/>
      <c r="FL436" s="1504">
        <v>47727</v>
      </c>
      <c r="FM436" s="19"/>
      <c r="FN436" s="93"/>
      <c r="FO436" s="93"/>
      <c r="FP436" s="93"/>
      <c r="FQ436" s="93"/>
      <c r="FR436" s="93"/>
      <c r="FS436" s="93"/>
      <c r="FT436" s="93"/>
      <c r="FU436" s="93"/>
      <c r="FV436" s="93"/>
      <c r="FW436" s="93"/>
      <c r="FX436" s="93"/>
      <c r="FY436" s="93"/>
      <c r="FZ436" s="29"/>
      <c r="GA436" s="1504">
        <v>47727</v>
      </c>
      <c r="GB436" s="19"/>
      <c r="GC436" s="93"/>
      <c r="GD436" s="93"/>
      <c r="GE436" s="93"/>
      <c r="GF436" s="93"/>
      <c r="GG436" s="93"/>
      <c r="GH436" s="93"/>
      <c r="GI436" s="93"/>
      <c r="GJ436" s="93"/>
      <c r="GK436" s="93"/>
      <c r="GL436" s="93"/>
      <c r="GM436" s="93"/>
      <c r="GN436" s="20"/>
      <c r="GO436" s="29"/>
      <c r="GP436" s="1504">
        <v>47727</v>
      </c>
      <c r="GQ436" s="19"/>
      <c r="GR436" s="93"/>
      <c r="GS436" s="93"/>
      <c r="GT436" s="93"/>
      <c r="GU436" s="93"/>
      <c r="GV436" s="20"/>
      <c r="GW436" s="19"/>
      <c r="GX436" s="93"/>
      <c r="GY436" s="93"/>
      <c r="GZ436" s="93"/>
      <c r="HA436" s="93"/>
      <c r="HB436" s="20"/>
      <c r="HC436" s="19"/>
      <c r="HD436" s="93"/>
      <c r="HE436" s="93"/>
      <c r="HF436" s="93"/>
      <c r="HG436" s="93"/>
      <c r="HH436" s="20"/>
      <c r="HI436" s="19"/>
      <c r="HJ436" s="93"/>
      <c r="HK436" s="93"/>
      <c r="HL436" s="93"/>
      <c r="HM436" s="93"/>
      <c r="HN436" s="20"/>
      <c r="HO436" s="219"/>
      <c r="HP436" s="20"/>
      <c r="HQ436" s="25"/>
      <c r="HR436" s="29"/>
      <c r="HS436" s="1504">
        <v>47727</v>
      </c>
      <c r="HT436" s="19"/>
      <c r="HU436" s="93"/>
      <c r="HV436" s="93"/>
      <c r="HW436" s="93"/>
      <c r="HX436" s="93"/>
      <c r="HY436" s="93"/>
      <c r="HZ436" s="93"/>
      <c r="IA436" s="20"/>
      <c r="IB436" s="19"/>
      <c r="IC436" s="93"/>
      <c r="ID436" s="93"/>
      <c r="IE436" s="93"/>
      <c r="IF436" s="93"/>
      <c r="IG436" s="20"/>
      <c r="IH436" s="19"/>
      <c r="II436" s="93"/>
      <c r="IJ436" s="93"/>
      <c r="IK436" s="93"/>
      <c r="IL436" s="93"/>
      <c r="IM436" s="93"/>
      <c r="IN436" s="93"/>
      <c r="IO436" s="20"/>
      <c r="IP436" s="29"/>
      <c r="IQ436" s="19"/>
      <c r="IR436" s="93"/>
      <c r="IS436" s="93"/>
      <c r="IT436" s="93"/>
      <c r="IU436" s="93"/>
      <c r="IV436" s="20"/>
      <c r="IW436" s="29"/>
      <c r="IX436" s="19"/>
      <c r="IY436" s="93"/>
      <c r="IZ436" s="93"/>
      <c r="JA436" s="93"/>
      <c r="JB436" s="93"/>
      <c r="JC436" s="93"/>
      <c r="JD436" s="93"/>
      <c r="JE436" s="20"/>
      <c r="JF436" s="29"/>
      <c r="JG436" s="19"/>
      <c r="JH436" s="93"/>
      <c r="JI436" s="93"/>
      <c r="JJ436" s="93"/>
      <c r="JK436" s="93"/>
      <c r="JL436" s="93"/>
      <c r="JM436" s="93"/>
      <c r="JN436" s="20"/>
      <c r="JO436" s="29"/>
      <c r="JP436" s="19"/>
      <c r="JQ436" s="93"/>
      <c r="JR436" s="93"/>
      <c r="JS436" s="93"/>
      <c r="JT436" s="93"/>
      <c r="JU436" s="20"/>
      <c r="JV436" s="29"/>
      <c r="JW436" s="1504">
        <v>47727</v>
      </c>
      <c r="JX436" s="19"/>
      <c r="JY436" s="93"/>
      <c r="JZ436" s="93"/>
      <c r="KA436" s="93"/>
      <c r="KB436" s="93"/>
      <c r="KC436" s="93"/>
      <c r="KD436" s="20"/>
      <c r="KE436" s="29"/>
      <c r="KF436" s="19"/>
      <c r="KG436" s="93"/>
      <c r="KH436" s="93"/>
      <c r="KI436" s="93"/>
      <c r="KJ436" s="93"/>
      <c r="KK436" s="20"/>
      <c r="KL436" s="29"/>
      <c r="KM436" s="19"/>
      <c r="KN436" s="93"/>
      <c r="KO436" s="93"/>
      <c r="KP436" s="93"/>
      <c r="KQ436" s="93"/>
      <c r="KR436" s="20"/>
      <c r="KS436" s="29"/>
      <c r="KT436" s="19"/>
      <c r="KU436" s="93"/>
      <c r="KV436" s="93"/>
      <c r="KW436" s="93"/>
      <c r="KX436" s="93"/>
      <c r="KY436" s="20"/>
      <c r="KZ436" s="29"/>
      <c r="LA436" s="1504">
        <v>47727</v>
      </c>
      <c r="LB436" s="19"/>
      <c r="LC436" s="93"/>
      <c r="LD436" s="93"/>
      <c r="LE436" s="93"/>
      <c r="LF436" s="93"/>
      <c r="LG436" s="93"/>
      <c r="LH436" s="20"/>
      <c r="LI436" s="29"/>
      <c r="LJ436" s="19"/>
      <c r="LK436" s="93"/>
      <c r="LL436" s="93"/>
      <c r="LM436" s="93"/>
      <c r="LN436" s="93"/>
      <c r="LO436" s="20"/>
      <c r="LP436" s="29"/>
      <c r="LQ436" s="19"/>
      <c r="LR436" s="93"/>
      <c r="LS436" s="93"/>
      <c r="LT436" s="93"/>
      <c r="LU436" s="93"/>
      <c r="LV436" s="93"/>
      <c r="LW436" s="93"/>
      <c r="LX436" s="93"/>
      <c r="LY436" s="93"/>
      <c r="LZ436" s="93"/>
      <c r="MA436" s="20"/>
      <c r="MB436" s="29"/>
      <c r="MC436" s="1504">
        <v>47727</v>
      </c>
      <c r="MD436" s="19"/>
      <c r="ME436" s="93"/>
      <c r="MF436" s="93"/>
      <c r="MG436" s="93"/>
      <c r="MH436" s="93"/>
      <c r="MI436" s="93"/>
      <c r="MJ436" s="93"/>
      <c r="MK436" s="93"/>
      <c r="ML436" s="93"/>
      <c r="MM436" s="93"/>
      <c r="MN436" s="93"/>
      <c r="MO436" s="93"/>
      <c r="MP436" s="93"/>
      <c r="MQ436" s="93"/>
      <c r="MR436" s="93"/>
      <c r="MS436" s="93"/>
      <c r="MT436" s="93"/>
      <c r="MU436" s="93"/>
      <c r="MV436" s="93"/>
      <c r="MW436" s="93"/>
      <c r="MX436" s="93"/>
      <c r="MY436" s="93"/>
      <c r="MZ436" s="93"/>
      <c r="NA436" s="93"/>
      <c r="NB436" s="93"/>
      <c r="NC436" s="93"/>
      <c r="ND436" s="93"/>
      <c r="NE436" s="93"/>
      <c r="NF436" s="93"/>
      <c r="NG436" s="93"/>
      <c r="NH436" s="93"/>
      <c r="NI436" s="93"/>
      <c r="NJ436" s="93"/>
      <c r="NK436" s="93"/>
      <c r="NL436" s="93"/>
      <c r="NM436" s="93"/>
      <c r="NN436" s="93"/>
      <c r="NO436" s="93"/>
      <c r="NP436" s="93"/>
      <c r="NQ436" s="93"/>
      <c r="NR436" s="93"/>
      <c r="NS436" s="93"/>
      <c r="NT436" s="93"/>
      <c r="NU436" s="93"/>
      <c r="NV436" s="93"/>
      <c r="NW436" s="93"/>
      <c r="NX436" s="93"/>
      <c r="NY436" s="93"/>
      <c r="NZ436" s="93"/>
      <c r="OA436" s="93"/>
      <c r="OB436" s="93"/>
      <c r="OC436" s="93"/>
      <c r="OD436" s="20"/>
      <c r="OE436" s="29"/>
      <c r="OF436" s="1504">
        <v>47727</v>
      </c>
      <c r="OG436" s="19"/>
      <c r="OH436" s="93"/>
      <c r="OI436" s="93"/>
      <c r="OJ436" s="93"/>
      <c r="OK436" s="93"/>
      <c r="OL436" s="93"/>
      <c r="OM436" s="93"/>
      <c r="ON436" s="93"/>
      <c r="OO436" s="93"/>
      <c r="OP436" s="93"/>
      <c r="OQ436" s="93"/>
      <c r="OR436" s="93"/>
      <c r="OS436" s="93"/>
      <c r="OT436" s="93"/>
      <c r="OU436" s="93"/>
      <c r="OV436" s="93"/>
      <c r="OW436" s="93"/>
      <c r="OX436" s="93"/>
      <c r="OY436" s="93"/>
      <c r="OZ436" s="93"/>
      <c r="PA436" s="93"/>
      <c r="PB436" s="93"/>
      <c r="PC436" s="20"/>
      <c r="PD436" s="29"/>
      <c r="PE436" s="19"/>
      <c r="PF436" s="93"/>
      <c r="PG436" s="93"/>
      <c r="PH436" s="93"/>
      <c r="PI436" s="93"/>
      <c r="PJ436" s="93"/>
      <c r="PK436" s="93"/>
      <c r="PL436" s="93"/>
      <c r="PM436" s="93"/>
      <c r="PN436" s="93"/>
      <c r="PO436" s="93"/>
      <c r="PP436" s="93"/>
      <c r="PQ436" s="93"/>
      <c r="PR436" s="93"/>
      <c r="PS436" s="93"/>
      <c r="PT436" s="93"/>
      <c r="PU436" s="93"/>
      <c r="PV436" s="93"/>
      <c r="PW436" s="93"/>
      <c r="PX436" s="93"/>
      <c r="PY436" s="93"/>
      <c r="PZ436" s="93"/>
      <c r="QA436" s="93"/>
      <c r="QB436" s="93"/>
      <c r="QC436" s="93"/>
      <c r="QD436" s="93"/>
      <c r="QE436" s="20"/>
      <c r="QF436" s="1739"/>
      <c r="QG436" s="19"/>
      <c r="QH436" s="93"/>
      <c r="QI436" s="93"/>
      <c r="QJ436" s="93"/>
      <c r="QK436" s="93"/>
      <c r="QL436" s="93"/>
      <c r="QM436" s="93"/>
      <c r="QN436" s="93"/>
      <c r="QO436" s="93"/>
      <c r="QP436" s="93"/>
      <c r="QQ436" s="93"/>
      <c r="QR436" s="93"/>
      <c r="QS436" s="93"/>
      <c r="QT436" s="93"/>
      <c r="QU436" s="93"/>
      <c r="QV436" s="93"/>
      <c r="QW436" s="93"/>
      <c r="QX436" s="93"/>
      <c r="QY436" s="93"/>
      <c r="QZ436" s="93"/>
      <c r="RA436" s="93"/>
      <c r="RB436" s="93"/>
      <c r="RC436" s="93"/>
      <c r="RD436" s="93"/>
      <c r="RE436" s="93"/>
      <c r="RF436" s="93"/>
      <c r="RG436" s="93"/>
      <c r="RH436" s="93"/>
      <c r="RI436" s="93"/>
      <c r="RJ436" s="93"/>
      <c r="RK436" s="93"/>
      <c r="RL436" s="93"/>
      <c r="RM436" s="20"/>
      <c r="RN436" s="29"/>
      <c r="RO436" s="19"/>
      <c r="RP436" s="20"/>
      <c r="RQ436" s="29"/>
      <c r="RR436" s="20"/>
      <c r="RS436" s="29"/>
      <c r="RT436" s="1504">
        <v>47727</v>
      </c>
      <c r="RU436" s="19"/>
      <c r="RV436" s="20"/>
      <c r="RW436" s="29"/>
      <c r="RX436" s="1504">
        <v>47727</v>
      </c>
      <c r="RY436" s="29"/>
      <c r="RZ436" s="20"/>
      <c r="SA436" s="29"/>
      <c r="SB436" s="29"/>
    </row>
    <row r="437" spans="1:496">
      <c r="A437" s="41">
        <f t="shared" si="358"/>
        <v>2030</v>
      </c>
      <c r="B437" s="1504">
        <v>47757</v>
      </c>
      <c r="C437" s="1813"/>
      <c r="D437" s="1814"/>
      <c r="E437" s="1814"/>
      <c r="F437" s="1815"/>
      <c r="G437" s="1814"/>
      <c r="H437" s="1814"/>
      <c r="I437" s="1814"/>
      <c r="J437" s="1816"/>
      <c r="K437" s="1807"/>
      <c r="L437" s="25"/>
      <c r="M437" s="97"/>
      <c r="N437" s="1504">
        <v>47757</v>
      </c>
      <c r="O437" s="19"/>
      <c r="P437" s="93"/>
      <c r="Q437" s="93"/>
      <c r="R437" s="93"/>
      <c r="S437" s="93"/>
      <c r="T437" s="93"/>
      <c r="U437" s="93"/>
      <c r="V437" s="93"/>
      <c r="W437" s="93"/>
      <c r="X437" s="93"/>
      <c r="Y437" s="93"/>
      <c r="Z437" s="93"/>
      <c r="AA437" s="93"/>
      <c r="AB437" s="20"/>
      <c r="AC437" s="25"/>
      <c r="AD437" s="97"/>
      <c r="AE437" s="1504">
        <v>47757</v>
      </c>
      <c r="AF437" s="19"/>
      <c r="AG437" s="93"/>
      <c r="AH437" s="93"/>
      <c r="AI437" s="93"/>
      <c r="AJ437" s="93"/>
      <c r="AK437" s="93"/>
      <c r="AL437" s="93"/>
      <c r="AM437" s="93"/>
      <c r="AN437" s="93"/>
      <c r="AO437" s="93"/>
      <c r="AP437" s="93"/>
      <c r="AQ437" s="93"/>
      <c r="AR437" s="93"/>
      <c r="AS437" s="20"/>
      <c r="AT437" s="25"/>
      <c r="AU437" s="97"/>
      <c r="AV437" s="1504">
        <v>47757</v>
      </c>
      <c r="AW437" s="19"/>
      <c r="AX437" s="93"/>
      <c r="AY437" s="93"/>
      <c r="AZ437" s="93"/>
      <c r="BA437" s="93"/>
      <c r="BB437" s="93"/>
      <c r="BC437" s="93"/>
      <c r="BD437" s="93"/>
      <c r="BE437" s="93"/>
      <c r="BF437" s="93"/>
      <c r="BG437" s="93"/>
      <c r="BH437" s="93"/>
      <c r="BI437" s="93"/>
      <c r="BJ437" s="20"/>
      <c r="BK437" s="25"/>
      <c r="BL437" s="97"/>
      <c r="BM437" s="1504">
        <v>47757</v>
      </c>
      <c r="BN437" s="19"/>
      <c r="BO437" s="93"/>
      <c r="BP437" s="93"/>
      <c r="BQ437" s="93"/>
      <c r="BR437" s="93"/>
      <c r="BS437" s="93"/>
      <c r="BT437" s="93"/>
      <c r="BU437" s="20"/>
      <c r="BV437" s="25"/>
      <c r="BW437" s="97"/>
      <c r="BX437" s="1504">
        <v>47757</v>
      </c>
      <c r="BY437" s="19"/>
      <c r="BZ437" s="93"/>
      <c r="CA437" s="93"/>
      <c r="CB437" s="93"/>
      <c r="CC437" s="93"/>
      <c r="CD437" s="25"/>
      <c r="CE437" s="97"/>
      <c r="CF437" s="1504">
        <v>47757</v>
      </c>
      <c r="CG437" s="19"/>
      <c r="CH437" s="93"/>
      <c r="CI437" s="219"/>
      <c r="CJ437" s="20"/>
      <c r="CK437" s="19"/>
      <c r="CL437" s="93"/>
      <c r="CM437" s="93"/>
      <c r="CN437" s="93"/>
      <c r="CO437" s="93"/>
      <c r="CP437" s="20"/>
      <c r="CQ437" s="219"/>
      <c r="CR437" s="93"/>
      <c r="CS437" s="93"/>
      <c r="CT437" s="93"/>
      <c r="CU437" s="93"/>
      <c r="CV437" s="214"/>
      <c r="CW437" s="29"/>
      <c r="CX437" s="41">
        <f t="shared" si="357"/>
        <v>2030</v>
      </c>
      <c r="CY437" s="1504">
        <v>47757</v>
      </c>
      <c r="CZ437" s="19"/>
      <c r="DA437" s="93"/>
      <c r="DB437" s="93"/>
      <c r="DC437" s="93"/>
      <c r="DD437" s="93"/>
      <c r="DE437" s="20"/>
      <c r="DF437" s="29"/>
      <c r="DG437" s="1504">
        <v>47757</v>
      </c>
      <c r="DH437" s="19"/>
      <c r="DI437" s="93"/>
      <c r="DJ437" s="93"/>
      <c r="DK437" s="93"/>
      <c r="DL437" s="93"/>
      <c r="DM437" s="93"/>
      <c r="DN437" s="20"/>
      <c r="DO437" s="295"/>
      <c r="DP437" s="29"/>
      <c r="DQ437" s="1504">
        <v>47757</v>
      </c>
      <c r="DR437" s="19"/>
      <c r="DS437" s="93"/>
      <c r="DT437" s="93"/>
      <c r="DU437" s="93"/>
      <c r="DV437" s="93"/>
      <c r="DW437" s="93"/>
      <c r="DX437" s="20"/>
      <c r="DY437" s="29"/>
      <c r="DZ437" s="1504">
        <v>47757</v>
      </c>
      <c r="EA437" s="19"/>
      <c r="EB437" s="93"/>
      <c r="EC437" s="20"/>
      <c r="ED437" s="29"/>
      <c r="EE437" s="1504">
        <v>47757</v>
      </c>
      <c r="EF437" s="19"/>
      <c r="EG437" s="93"/>
      <c r="EH437" s="93"/>
      <c r="EI437" s="214"/>
      <c r="EJ437" s="93"/>
      <c r="EK437" s="93"/>
      <c r="EL437" s="93"/>
      <c r="EM437" s="93"/>
      <c r="EN437" s="20"/>
      <c r="EO437" s="29"/>
      <c r="EP437" s="1504">
        <v>47757</v>
      </c>
      <c r="EQ437" s="19"/>
      <c r="ER437" s="93"/>
      <c r="ES437" s="93"/>
      <c r="ET437" s="214"/>
      <c r="EU437" s="93"/>
      <c r="EV437" s="93"/>
      <c r="EW437" s="93"/>
      <c r="EX437" s="93"/>
      <c r="EY437" s="20"/>
      <c r="EZ437" s="29"/>
      <c r="FA437" s="1504">
        <v>47757</v>
      </c>
      <c r="FB437" s="29"/>
      <c r="FC437" s="29"/>
      <c r="FD437" s="29"/>
      <c r="FE437" s="29"/>
      <c r="FF437" s="29"/>
      <c r="FG437" s="29"/>
      <c r="FH437" s="29"/>
      <c r="FI437" s="29"/>
      <c r="FJ437" s="29"/>
      <c r="FK437" s="29"/>
      <c r="FL437" s="1504">
        <v>47757</v>
      </c>
      <c r="FM437" s="19"/>
      <c r="FN437" s="93"/>
      <c r="FO437" s="93"/>
      <c r="FP437" s="93"/>
      <c r="FQ437" s="93"/>
      <c r="FR437" s="93"/>
      <c r="FS437" s="93"/>
      <c r="FT437" s="93"/>
      <c r="FU437" s="93"/>
      <c r="FV437" s="93"/>
      <c r="FW437" s="93"/>
      <c r="FX437" s="93"/>
      <c r="FY437" s="93"/>
      <c r="FZ437" s="29"/>
      <c r="GA437" s="1504">
        <v>47757</v>
      </c>
      <c r="GB437" s="19"/>
      <c r="GC437" s="93"/>
      <c r="GD437" s="93"/>
      <c r="GE437" s="93"/>
      <c r="GF437" s="93"/>
      <c r="GG437" s="93"/>
      <c r="GH437" s="93"/>
      <c r="GI437" s="93"/>
      <c r="GJ437" s="93"/>
      <c r="GK437" s="93"/>
      <c r="GL437" s="93"/>
      <c r="GM437" s="93"/>
      <c r="GN437" s="20"/>
      <c r="GO437" s="29"/>
      <c r="GP437" s="1504">
        <v>47757</v>
      </c>
      <c r="GQ437" s="19"/>
      <c r="GR437" s="93"/>
      <c r="GS437" s="93"/>
      <c r="GT437" s="93"/>
      <c r="GU437" s="93"/>
      <c r="GV437" s="20"/>
      <c r="GW437" s="19"/>
      <c r="GX437" s="93"/>
      <c r="GY437" s="93"/>
      <c r="GZ437" s="93"/>
      <c r="HA437" s="93"/>
      <c r="HB437" s="20"/>
      <c r="HC437" s="19"/>
      <c r="HD437" s="93"/>
      <c r="HE437" s="93"/>
      <c r="HF437" s="93"/>
      <c r="HG437" s="93"/>
      <c r="HH437" s="20"/>
      <c r="HI437" s="19"/>
      <c r="HJ437" s="93"/>
      <c r="HK437" s="93"/>
      <c r="HL437" s="93"/>
      <c r="HM437" s="93"/>
      <c r="HN437" s="20"/>
      <c r="HO437" s="219"/>
      <c r="HP437" s="20"/>
      <c r="HQ437" s="25"/>
      <c r="HR437" s="29"/>
      <c r="HS437" s="1504">
        <v>47757</v>
      </c>
      <c r="HT437" s="19"/>
      <c r="HU437" s="93"/>
      <c r="HV437" s="93"/>
      <c r="HW437" s="93"/>
      <c r="HX437" s="93"/>
      <c r="HY437" s="93"/>
      <c r="HZ437" s="93"/>
      <c r="IA437" s="20"/>
      <c r="IB437" s="19"/>
      <c r="IC437" s="93"/>
      <c r="ID437" s="93"/>
      <c r="IE437" s="93"/>
      <c r="IF437" s="93"/>
      <c r="IG437" s="20"/>
      <c r="IH437" s="19"/>
      <c r="II437" s="93"/>
      <c r="IJ437" s="93"/>
      <c r="IK437" s="93"/>
      <c r="IL437" s="93"/>
      <c r="IM437" s="93"/>
      <c r="IN437" s="93"/>
      <c r="IO437" s="20"/>
      <c r="IP437" s="29"/>
      <c r="IQ437" s="19"/>
      <c r="IR437" s="93"/>
      <c r="IS437" s="93"/>
      <c r="IT437" s="93"/>
      <c r="IU437" s="93"/>
      <c r="IV437" s="20"/>
      <c r="IW437" s="29"/>
      <c r="IX437" s="19"/>
      <c r="IY437" s="93"/>
      <c r="IZ437" s="93"/>
      <c r="JA437" s="93"/>
      <c r="JB437" s="93"/>
      <c r="JC437" s="93"/>
      <c r="JD437" s="93"/>
      <c r="JE437" s="20"/>
      <c r="JF437" s="29"/>
      <c r="JG437" s="19"/>
      <c r="JH437" s="93"/>
      <c r="JI437" s="93"/>
      <c r="JJ437" s="93"/>
      <c r="JK437" s="93"/>
      <c r="JL437" s="93"/>
      <c r="JM437" s="93"/>
      <c r="JN437" s="20"/>
      <c r="JO437" s="29"/>
      <c r="JP437" s="19"/>
      <c r="JQ437" s="93"/>
      <c r="JR437" s="93"/>
      <c r="JS437" s="93"/>
      <c r="JT437" s="93"/>
      <c r="JU437" s="20"/>
      <c r="JV437" s="29"/>
      <c r="JW437" s="1504">
        <v>47757</v>
      </c>
      <c r="JX437" s="19"/>
      <c r="JY437" s="93"/>
      <c r="JZ437" s="93"/>
      <c r="KA437" s="93"/>
      <c r="KB437" s="93"/>
      <c r="KC437" s="93"/>
      <c r="KD437" s="20"/>
      <c r="KE437" s="29"/>
      <c r="KF437" s="19"/>
      <c r="KG437" s="93"/>
      <c r="KH437" s="93"/>
      <c r="KI437" s="93"/>
      <c r="KJ437" s="93"/>
      <c r="KK437" s="20"/>
      <c r="KL437" s="29"/>
      <c r="KM437" s="19"/>
      <c r="KN437" s="93"/>
      <c r="KO437" s="93"/>
      <c r="KP437" s="93"/>
      <c r="KQ437" s="93"/>
      <c r="KR437" s="20"/>
      <c r="KS437" s="29"/>
      <c r="KT437" s="19"/>
      <c r="KU437" s="93"/>
      <c r="KV437" s="93"/>
      <c r="KW437" s="93"/>
      <c r="KX437" s="93"/>
      <c r="KY437" s="20"/>
      <c r="KZ437" s="29"/>
      <c r="LA437" s="1504">
        <v>47757</v>
      </c>
      <c r="LB437" s="19"/>
      <c r="LC437" s="93"/>
      <c r="LD437" s="93"/>
      <c r="LE437" s="93"/>
      <c r="LF437" s="93"/>
      <c r="LG437" s="93"/>
      <c r="LH437" s="20"/>
      <c r="LI437" s="29"/>
      <c r="LJ437" s="19"/>
      <c r="LK437" s="93"/>
      <c r="LL437" s="93"/>
      <c r="LM437" s="93"/>
      <c r="LN437" s="93"/>
      <c r="LO437" s="20"/>
      <c r="LP437" s="29"/>
      <c r="LQ437" s="19"/>
      <c r="LR437" s="93"/>
      <c r="LS437" s="93"/>
      <c r="LT437" s="93"/>
      <c r="LU437" s="93"/>
      <c r="LV437" s="93"/>
      <c r="LW437" s="93"/>
      <c r="LX437" s="93"/>
      <c r="LY437" s="93"/>
      <c r="LZ437" s="93"/>
      <c r="MA437" s="20"/>
      <c r="MB437" s="29"/>
      <c r="MC437" s="1504">
        <v>47757</v>
      </c>
      <c r="MD437" s="19"/>
      <c r="ME437" s="93"/>
      <c r="MF437" s="93"/>
      <c r="MG437" s="93"/>
      <c r="MH437" s="93"/>
      <c r="MI437" s="93"/>
      <c r="MJ437" s="93"/>
      <c r="MK437" s="93"/>
      <c r="ML437" s="93"/>
      <c r="MM437" s="93"/>
      <c r="MN437" s="93"/>
      <c r="MO437" s="93"/>
      <c r="MP437" s="93"/>
      <c r="MQ437" s="93"/>
      <c r="MR437" s="93"/>
      <c r="MS437" s="93"/>
      <c r="MT437" s="93"/>
      <c r="MU437" s="93"/>
      <c r="MV437" s="93"/>
      <c r="MW437" s="93"/>
      <c r="MX437" s="93"/>
      <c r="MY437" s="93"/>
      <c r="MZ437" s="93"/>
      <c r="NA437" s="93"/>
      <c r="NB437" s="93"/>
      <c r="NC437" s="93"/>
      <c r="ND437" s="93"/>
      <c r="NE437" s="93"/>
      <c r="NF437" s="93"/>
      <c r="NG437" s="93"/>
      <c r="NH437" s="93"/>
      <c r="NI437" s="93"/>
      <c r="NJ437" s="93"/>
      <c r="NK437" s="93"/>
      <c r="NL437" s="93"/>
      <c r="NM437" s="93"/>
      <c r="NN437" s="93"/>
      <c r="NO437" s="93"/>
      <c r="NP437" s="93"/>
      <c r="NQ437" s="93"/>
      <c r="NR437" s="93"/>
      <c r="NS437" s="93"/>
      <c r="NT437" s="93"/>
      <c r="NU437" s="93"/>
      <c r="NV437" s="93"/>
      <c r="NW437" s="93"/>
      <c r="NX437" s="93"/>
      <c r="NY437" s="93"/>
      <c r="NZ437" s="93"/>
      <c r="OA437" s="93"/>
      <c r="OB437" s="93"/>
      <c r="OC437" s="93"/>
      <c r="OD437" s="20"/>
      <c r="OE437" s="29"/>
      <c r="OF437" s="1504">
        <v>47757</v>
      </c>
      <c r="OG437" s="19"/>
      <c r="OH437" s="93"/>
      <c r="OI437" s="93"/>
      <c r="OJ437" s="93"/>
      <c r="OK437" s="93"/>
      <c r="OL437" s="93"/>
      <c r="OM437" s="93"/>
      <c r="ON437" s="93"/>
      <c r="OO437" s="93"/>
      <c r="OP437" s="93"/>
      <c r="OQ437" s="93"/>
      <c r="OR437" s="93"/>
      <c r="OS437" s="93"/>
      <c r="OT437" s="93"/>
      <c r="OU437" s="93"/>
      <c r="OV437" s="93"/>
      <c r="OW437" s="93"/>
      <c r="OX437" s="93"/>
      <c r="OY437" s="93"/>
      <c r="OZ437" s="93"/>
      <c r="PA437" s="93"/>
      <c r="PB437" s="93"/>
      <c r="PC437" s="20"/>
      <c r="PD437" s="29"/>
      <c r="PE437" s="19"/>
      <c r="PF437" s="93"/>
      <c r="PG437" s="93"/>
      <c r="PH437" s="93"/>
      <c r="PI437" s="93"/>
      <c r="PJ437" s="93"/>
      <c r="PK437" s="93"/>
      <c r="PL437" s="93"/>
      <c r="PM437" s="93"/>
      <c r="PN437" s="93"/>
      <c r="PO437" s="93"/>
      <c r="PP437" s="93"/>
      <c r="PQ437" s="93"/>
      <c r="PR437" s="93"/>
      <c r="PS437" s="93"/>
      <c r="PT437" s="93"/>
      <c r="PU437" s="93"/>
      <c r="PV437" s="93"/>
      <c r="PW437" s="93"/>
      <c r="PX437" s="93"/>
      <c r="PY437" s="93"/>
      <c r="PZ437" s="93"/>
      <c r="QA437" s="93"/>
      <c r="QB437" s="93"/>
      <c r="QC437" s="93"/>
      <c r="QD437" s="93"/>
      <c r="QE437" s="20"/>
      <c r="QF437" s="1739"/>
      <c r="QG437" s="19"/>
      <c r="QH437" s="93"/>
      <c r="QI437" s="93"/>
      <c r="QJ437" s="93"/>
      <c r="QK437" s="93"/>
      <c r="QL437" s="93"/>
      <c r="QM437" s="93"/>
      <c r="QN437" s="93"/>
      <c r="QO437" s="93"/>
      <c r="QP437" s="93"/>
      <c r="QQ437" s="93"/>
      <c r="QR437" s="93"/>
      <c r="QS437" s="93"/>
      <c r="QT437" s="93"/>
      <c r="QU437" s="93"/>
      <c r="QV437" s="93"/>
      <c r="QW437" s="93"/>
      <c r="QX437" s="93"/>
      <c r="QY437" s="93"/>
      <c r="QZ437" s="93"/>
      <c r="RA437" s="93"/>
      <c r="RB437" s="93"/>
      <c r="RC437" s="93"/>
      <c r="RD437" s="93"/>
      <c r="RE437" s="93"/>
      <c r="RF437" s="93"/>
      <c r="RG437" s="93"/>
      <c r="RH437" s="93"/>
      <c r="RI437" s="93"/>
      <c r="RJ437" s="93"/>
      <c r="RK437" s="93"/>
      <c r="RL437" s="93"/>
      <c r="RM437" s="20"/>
      <c r="RN437" s="29"/>
      <c r="RO437" s="19"/>
      <c r="RP437" s="20"/>
      <c r="RQ437" s="29"/>
      <c r="RR437" s="20"/>
      <c r="RS437" s="29"/>
      <c r="RT437" s="1504">
        <v>47757</v>
      </c>
      <c r="RU437" s="19"/>
      <c r="RV437" s="20"/>
      <c r="RW437" s="29"/>
      <c r="RX437" s="1504">
        <v>47757</v>
      </c>
      <c r="RY437" s="29"/>
      <c r="RZ437" s="20"/>
      <c r="SA437" s="29"/>
      <c r="SB437" s="29"/>
    </row>
    <row r="438" spans="1:496">
      <c r="A438" s="41">
        <f t="shared" si="358"/>
        <v>2030</v>
      </c>
      <c r="B438" s="1504">
        <v>47788</v>
      </c>
      <c r="C438" s="1813"/>
      <c r="D438" s="1814"/>
      <c r="E438" s="1814"/>
      <c r="F438" s="1815"/>
      <c r="G438" s="1814"/>
      <c r="H438" s="1814"/>
      <c r="I438" s="1814"/>
      <c r="J438" s="1816"/>
      <c r="K438" s="1807"/>
      <c r="L438" s="25"/>
      <c r="M438" s="97"/>
      <c r="N438" s="1504">
        <v>47788</v>
      </c>
      <c r="O438" s="19"/>
      <c r="P438" s="93"/>
      <c r="Q438" s="93"/>
      <c r="R438" s="93"/>
      <c r="S438" s="93"/>
      <c r="T438" s="93"/>
      <c r="U438" s="93"/>
      <c r="V438" s="93"/>
      <c r="W438" s="93"/>
      <c r="X438" s="93"/>
      <c r="Y438" s="93"/>
      <c r="Z438" s="93"/>
      <c r="AA438" s="93"/>
      <c r="AB438" s="20"/>
      <c r="AC438" s="25"/>
      <c r="AD438" s="97"/>
      <c r="AE438" s="1504">
        <v>47788</v>
      </c>
      <c r="AF438" s="19"/>
      <c r="AG438" s="93"/>
      <c r="AH438" s="93"/>
      <c r="AI438" s="93"/>
      <c r="AJ438" s="93"/>
      <c r="AK438" s="93"/>
      <c r="AL438" s="93"/>
      <c r="AM438" s="93"/>
      <c r="AN438" s="93"/>
      <c r="AO438" s="93"/>
      <c r="AP438" s="93"/>
      <c r="AQ438" s="93"/>
      <c r="AR438" s="93"/>
      <c r="AS438" s="20"/>
      <c r="AT438" s="25"/>
      <c r="AU438" s="97"/>
      <c r="AV438" s="1504">
        <v>47788</v>
      </c>
      <c r="AW438" s="19"/>
      <c r="AX438" s="93"/>
      <c r="AY438" s="93"/>
      <c r="AZ438" s="93"/>
      <c r="BA438" s="93"/>
      <c r="BB438" s="93"/>
      <c r="BC438" s="93"/>
      <c r="BD438" s="93"/>
      <c r="BE438" s="93"/>
      <c r="BF438" s="93"/>
      <c r="BG438" s="93"/>
      <c r="BH438" s="93"/>
      <c r="BI438" s="93"/>
      <c r="BJ438" s="20"/>
      <c r="BK438" s="25"/>
      <c r="BL438" s="97"/>
      <c r="BM438" s="1504">
        <v>47788</v>
      </c>
      <c r="BN438" s="19"/>
      <c r="BO438" s="93"/>
      <c r="BP438" s="93"/>
      <c r="BQ438" s="93"/>
      <c r="BR438" s="93"/>
      <c r="BS438" s="93"/>
      <c r="BT438" s="93"/>
      <c r="BU438" s="20"/>
      <c r="BV438" s="25"/>
      <c r="BW438" s="97"/>
      <c r="BX438" s="1504">
        <v>47788</v>
      </c>
      <c r="BY438" s="19"/>
      <c r="BZ438" s="93"/>
      <c r="CA438" s="93"/>
      <c r="CB438" s="93"/>
      <c r="CC438" s="93"/>
      <c r="CD438" s="25"/>
      <c r="CE438" s="97"/>
      <c r="CF438" s="1504">
        <v>47788</v>
      </c>
      <c r="CG438" s="19"/>
      <c r="CH438" s="93"/>
      <c r="CI438" s="219"/>
      <c r="CJ438" s="20"/>
      <c r="CK438" s="19"/>
      <c r="CL438" s="93"/>
      <c r="CM438" s="93"/>
      <c r="CN438" s="93"/>
      <c r="CO438" s="93"/>
      <c r="CP438" s="20"/>
      <c r="CQ438" s="219"/>
      <c r="CR438" s="93"/>
      <c r="CS438" s="93"/>
      <c r="CT438" s="93"/>
      <c r="CU438" s="93"/>
      <c r="CV438" s="214"/>
      <c r="CW438" s="29"/>
      <c r="CX438" s="41">
        <f t="shared" si="357"/>
        <v>2030</v>
      </c>
      <c r="CY438" s="1504">
        <v>47788</v>
      </c>
      <c r="CZ438" s="19"/>
      <c r="DA438" s="93"/>
      <c r="DB438" s="93"/>
      <c r="DC438" s="93"/>
      <c r="DD438" s="93"/>
      <c r="DE438" s="20"/>
      <c r="DF438" s="29"/>
      <c r="DG438" s="1504">
        <v>47788</v>
      </c>
      <c r="DH438" s="19"/>
      <c r="DI438" s="93"/>
      <c r="DJ438" s="93"/>
      <c r="DK438" s="93"/>
      <c r="DL438" s="93"/>
      <c r="DM438" s="93"/>
      <c r="DN438" s="20"/>
      <c r="DO438" s="295"/>
      <c r="DP438" s="29"/>
      <c r="DQ438" s="1504">
        <v>47788</v>
      </c>
      <c r="DR438" s="19"/>
      <c r="DS438" s="93"/>
      <c r="DT438" s="93"/>
      <c r="DU438" s="93"/>
      <c r="DV438" s="93"/>
      <c r="DW438" s="93"/>
      <c r="DX438" s="20"/>
      <c r="DY438" s="29"/>
      <c r="DZ438" s="1504">
        <v>47788</v>
      </c>
      <c r="EA438" s="19"/>
      <c r="EB438" s="93"/>
      <c r="EC438" s="20"/>
      <c r="ED438" s="29"/>
      <c r="EE438" s="1504">
        <v>47788</v>
      </c>
      <c r="EF438" s="19"/>
      <c r="EG438" s="93"/>
      <c r="EH438" s="93"/>
      <c r="EI438" s="214"/>
      <c r="EJ438" s="93"/>
      <c r="EK438" s="93"/>
      <c r="EL438" s="93"/>
      <c r="EM438" s="93"/>
      <c r="EN438" s="20"/>
      <c r="EO438" s="29"/>
      <c r="EP438" s="1504">
        <v>47788</v>
      </c>
      <c r="EQ438" s="19"/>
      <c r="ER438" s="93"/>
      <c r="ES438" s="93"/>
      <c r="ET438" s="214"/>
      <c r="EU438" s="93"/>
      <c r="EV438" s="93"/>
      <c r="EW438" s="93"/>
      <c r="EX438" s="93"/>
      <c r="EY438" s="20"/>
      <c r="EZ438" s="29"/>
      <c r="FA438" s="1504">
        <v>47788</v>
      </c>
      <c r="FB438" s="29"/>
      <c r="FC438" s="29"/>
      <c r="FD438" s="29"/>
      <c r="FE438" s="29"/>
      <c r="FF438" s="29"/>
      <c r="FG438" s="29"/>
      <c r="FH438" s="29"/>
      <c r="FI438" s="29"/>
      <c r="FJ438" s="29"/>
      <c r="FK438" s="29"/>
      <c r="FL438" s="1504">
        <v>47788</v>
      </c>
      <c r="FM438" s="19"/>
      <c r="FN438" s="93"/>
      <c r="FO438" s="93"/>
      <c r="FP438" s="93"/>
      <c r="FQ438" s="93"/>
      <c r="FR438" s="93"/>
      <c r="FS438" s="93"/>
      <c r="FT438" s="93"/>
      <c r="FU438" s="93"/>
      <c r="FV438" s="93"/>
      <c r="FW438" s="93"/>
      <c r="FX438" s="93"/>
      <c r="FY438" s="93"/>
      <c r="FZ438" s="29"/>
      <c r="GA438" s="1504">
        <v>47788</v>
      </c>
      <c r="GB438" s="19"/>
      <c r="GC438" s="93"/>
      <c r="GD438" s="93"/>
      <c r="GE438" s="93"/>
      <c r="GF438" s="93"/>
      <c r="GG438" s="93"/>
      <c r="GH438" s="93"/>
      <c r="GI438" s="93"/>
      <c r="GJ438" s="93"/>
      <c r="GK438" s="93"/>
      <c r="GL438" s="93"/>
      <c r="GM438" s="93"/>
      <c r="GN438" s="20"/>
      <c r="GO438" s="29"/>
      <c r="GP438" s="1504">
        <v>47788</v>
      </c>
      <c r="GQ438" s="19"/>
      <c r="GR438" s="93"/>
      <c r="GS438" s="93"/>
      <c r="GT438" s="93"/>
      <c r="GU438" s="93"/>
      <c r="GV438" s="20"/>
      <c r="GW438" s="19"/>
      <c r="GX438" s="93"/>
      <c r="GY438" s="93"/>
      <c r="GZ438" s="93"/>
      <c r="HA438" s="93"/>
      <c r="HB438" s="20"/>
      <c r="HC438" s="19"/>
      <c r="HD438" s="93"/>
      <c r="HE438" s="93"/>
      <c r="HF438" s="93"/>
      <c r="HG438" s="93"/>
      <c r="HH438" s="20"/>
      <c r="HI438" s="19"/>
      <c r="HJ438" s="93"/>
      <c r="HK438" s="93"/>
      <c r="HL438" s="93"/>
      <c r="HM438" s="93"/>
      <c r="HN438" s="20"/>
      <c r="HO438" s="219"/>
      <c r="HP438" s="20"/>
      <c r="HQ438" s="25"/>
      <c r="HR438" s="29"/>
      <c r="HS438" s="1504">
        <v>47788</v>
      </c>
      <c r="HT438" s="19"/>
      <c r="HU438" s="93"/>
      <c r="HV438" s="93"/>
      <c r="HW438" s="93"/>
      <c r="HX438" s="93"/>
      <c r="HY438" s="93"/>
      <c r="HZ438" s="93"/>
      <c r="IA438" s="20"/>
      <c r="IB438" s="19"/>
      <c r="IC438" s="93"/>
      <c r="ID438" s="93"/>
      <c r="IE438" s="93"/>
      <c r="IF438" s="93"/>
      <c r="IG438" s="20"/>
      <c r="IH438" s="19"/>
      <c r="II438" s="93"/>
      <c r="IJ438" s="93"/>
      <c r="IK438" s="93"/>
      <c r="IL438" s="93"/>
      <c r="IM438" s="93"/>
      <c r="IN438" s="93"/>
      <c r="IO438" s="20"/>
      <c r="IP438" s="29"/>
      <c r="IQ438" s="19"/>
      <c r="IR438" s="93"/>
      <c r="IS438" s="93"/>
      <c r="IT438" s="93"/>
      <c r="IU438" s="93"/>
      <c r="IV438" s="20"/>
      <c r="IW438" s="29"/>
      <c r="IX438" s="19"/>
      <c r="IY438" s="93"/>
      <c r="IZ438" s="93"/>
      <c r="JA438" s="93"/>
      <c r="JB438" s="93"/>
      <c r="JC438" s="93"/>
      <c r="JD438" s="93"/>
      <c r="JE438" s="20"/>
      <c r="JF438" s="29"/>
      <c r="JG438" s="19"/>
      <c r="JH438" s="93"/>
      <c r="JI438" s="93"/>
      <c r="JJ438" s="93"/>
      <c r="JK438" s="93"/>
      <c r="JL438" s="93"/>
      <c r="JM438" s="93"/>
      <c r="JN438" s="20"/>
      <c r="JO438" s="29"/>
      <c r="JP438" s="19"/>
      <c r="JQ438" s="93"/>
      <c r="JR438" s="93"/>
      <c r="JS438" s="93"/>
      <c r="JT438" s="93"/>
      <c r="JU438" s="20"/>
      <c r="JV438" s="29"/>
      <c r="JW438" s="1504">
        <v>47788</v>
      </c>
      <c r="JX438" s="19"/>
      <c r="JY438" s="93"/>
      <c r="JZ438" s="93"/>
      <c r="KA438" s="93"/>
      <c r="KB438" s="93"/>
      <c r="KC438" s="93"/>
      <c r="KD438" s="20"/>
      <c r="KE438" s="29"/>
      <c r="KF438" s="19"/>
      <c r="KG438" s="93"/>
      <c r="KH438" s="93"/>
      <c r="KI438" s="93"/>
      <c r="KJ438" s="93"/>
      <c r="KK438" s="20"/>
      <c r="KL438" s="29"/>
      <c r="KM438" s="19"/>
      <c r="KN438" s="93"/>
      <c r="KO438" s="93"/>
      <c r="KP438" s="93"/>
      <c r="KQ438" s="93"/>
      <c r="KR438" s="20"/>
      <c r="KS438" s="29"/>
      <c r="KT438" s="19"/>
      <c r="KU438" s="93"/>
      <c r="KV438" s="93"/>
      <c r="KW438" s="93"/>
      <c r="KX438" s="93"/>
      <c r="KY438" s="20"/>
      <c r="KZ438" s="29"/>
      <c r="LA438" s="1504">
        <v>47788</v>
      </c>
      <c r="LB438" s="19"/>
      <c r="LC438" s="93"/>
      <c r="LD438" s="93"/>
      <c r="LE438" s="93"/>
      <c r="LF438" s="93"/>
      <c r="LG438" s="93"/>
      <c r="LH438" s="20"/>
      <c r="LI438" s="29"/>
      <c r="LJ438" s="19"/>
      <c r="LK438" s="93"/>
      <c r="LL438" s="93"/>
      <c r="LM438" s="93"/>
      <c r="LN438" s="93"/>
      <c r="LO438" s="20"/>
      <c r="LP438" s="29"/>
      <c r="LQ438" s="19"/>
      <c r="LR438" s="93"/>
      <c r="LS438" s="93"/>
      <c r="LT438" s="93"/>
      <c r="LU438" s="93"/>
      <c r="LV438" s="93"/>
      <c r="LW438" s="93"/>
      <c r="LX438" s="93"/>
      <c r="LY438" s="93"/>
      <c r="LZ438" s="93"/>
      <c r="MA438" s="20"/>
      <c r="MB438" s="29"/>
      <c r="MC438" s="1504">
        <v>47788</v>
      </c>
      <c r="MD438" s="19"/>
      <c r="ME438" s="93"/>
      <c r="MF438" s="93"/>
      <c r="MG438" s="93"/>
      <c r="MH438" s="93"/>
      <c r="MI438" s="93"/>
      <c r="MJ438" s="93"/>
      <c r="MK438" s="93"/>
      <c r="ML438" s="93"/>
      <c r="MM438" s="93"/>
      <c r="MN438" s="93"/>
      <c r="MO438" s="93"/>
      <c r="MP438" s="93"/>
      <c r="MQ438" s="93"/>
      <c r="MR438" s="93"/>
      <c r="MS438" s="93"/>
      <c r="MT438" s="93"/>
      <c r="MU438" s="93"/>
      <c r="MV438" s="93"/>
      <c r="MW438" s="93"/>
      <c r="MX438" s="93"/>
      <c r="MY438" s="93"/>
      <c r="MZ438" s="93"/>
      <c r="NA438" s="93"/>
      <c r="NB438" s="93"/>
      <c r="NC438" s="93"/>
      <c r="ND438" s="93"/>
      <c r="NE438" s="93"/>
      <c r="NF438" s="93"/>
      <c r="NG438" s="93"/>
      <c r="NH438" s="93"/>
      <c r="NI438" s="93"/>
      <c r="NJ438" s="93"/>
      <c r="NK438" s="93"/>
      <c r="NL438" s="93"/>
      <c r="NM438" s="93"/>
      <c r="NN438" s="93"/>
      <c r="NO438" s="93"/>
      <c r="NP438" s="93"/>
      <c r="NQ438" s="93"/>
      <c r="NR438" s="93"/>
      <c r="NS438" s="93"/>
      <c r="NT438" s="93"/>
      <c r="NU438" s="93"/>
      <c r="NV438" s="93"/>
      <c r="NW438" s="93"/>
      <c r="NX438" s="93"/>
      <c r="NY438" s="93"/>
      <c r="NZ438" s="93"/>
      <c r="OA438" s="93"/>
      <c r="OB438" s="93"/>
      <c r="OC438" s="93"/>
      <c r="OD438" s="20"/>
      <c r="OE438" s="29"/>
      <c r="OF438" s="1504">
        <v>47788</v>
      </c>
      <c r="OG438" s="19"/>
      <c r="OH438" s="93"/>
      <c r="OI438" s="93"/>
      <c r="OJ438" s="93"/>
      <c r="OK438" s="93"/>
      <c r="OL438" s="93"/>
      <c r="OM438" s="93"/>
      <c r="ON438" s="93"/>
      <c r="OO438" s="93"/>
      <c r="OP438" s="93"/>
      <c r="OQ438" s="93"/>
      <c r="OR438" s="93"/>
      <c r="OS438" s="93"/>
      <c r="OT438" s="93"/>
      <c r="OU438" s="93"/>
      <c r="OV438" s="93"/>
      <c r="OW438" s="93"/>
      <c r="OX438" s="93"/>
      <c r="OY438" s="93"/>
      <c r="OZ438" s="93"/>
      <c r="PA438" s="93"/>
      <c r="PB438" s="93"/>
      <c r="PC438" s="20"/>
      <c r="PD438" s="29"/>
      <c r="PE438" s="19"/>
      <c r="PF438" s="93"/>
      <c r="PG438" s="93"/>
      <c r="PH438" s="93"/>
      <c r="PI438" s="93"/>
      <c r="PJ438" s="93"/>
      <c r="PK438" s="93"/>
      <c r="PL438" s="93"/>
      <c r="PM438" s="93"/>
      <c r="PN438" s="93"/>
      <c r="PO438" s="93"/>
      <c r="PP438" s="93"/>
      <c r="PQ438" s="93"/>
      <c r="PR438" s="93"/>
      <c r="PS438" s="93"/>
      <c r="PT438" s="93"/>
      <c r="PU438" s="93"/>
      <c r="PV438" s="93"/>
      <c r="PW438" s="93"/>
      <c r="PX438" s="93"/>
      <c r="PY438" s="93"/>
      <c r="PZ438" s="93"/>
      <c r="QA438" s="93"/>
      <c r="QB438" s="93"/>
      <c r="QC438" s="93"/>
      <c r="QD438" s="93"/>
      <c r="QE438" s="20"/>
      <c r="QF438" s="1739"/>
      <c r="QG438" s="19"/>
      <c r="QH438" s="93"/>
      <c r="QI438" s="93"/>
      <c r="QJ438" s="93"/>
      <c r="QK438" s="93"/>
      <c r="QL438" s="93"/>
      <c r="QM438" s="93"/>
      <c r="QN438" s="93"/>
      <c r="QO438" s="93"/>
      <c r="QP438" s="93"/>
      <c r="QQ438" s="93"/>
      <c r="QR438" s="93"/>
      <c r="QS438" s="93"/>
      <c r="QT438" s="93"/>
      <c r="QU438" s="93"/>
      <c r="QV438" s="93"/>
      <c r="QW438" s="93"/>
      <c r="QX438" s="93"/>
      <c r="QY438" s="93"/>
      <c r="QZ438" s="93"/>
      <c r="RA438" s="93"/>
      <c r="RB438" s="93"/>
      <c r="RC438" s="93"/>
      <c r="RD438" s="93"/>
      <c r="RE438" s="93"/>
      <c r="RF438" s="93"/>
      <c r="RG438" s="93"/>
      <c r="RH438" s="93"/>
      <c r="RI438" s="93"/>
      <c r="RJ438" s="93"/>
      <c r="RK438" s="93"/>
      <c r="RL438" s="93"/>
      <c r="RM438" s="20"/>
      <c r="RN438" s="29"/>
      <c r="RO438" s="19"/>
      <c r="RP438" s="20"/>
      <c r="RQ438" s="29"/>
      <c r="RR438" s="20"/>
      <c r="RS438" s="29"/>
      <c r="RT438" s="1504">
        <v>47788</v>
      </c>
      <c r="RU438" s="19"/>
      <c r="RV438" s="20"/>
      <c r="RW438" s="29"/>
      <c r="RX438" s="1504">
        <v>47788</v>
      </c>
      <c r="RY438" s="29"/>
      <c r="RZ438" s="20"/>
      <c r="SA438" s="29"/>
      <c r="SB438" s="29"/>
    </row>
    <row r="439" spans="1:496">
      <c r="A439" s="41">
        <f t="shared" si="358"/>
        <v>2030</v>
      </c>
      <c r="B439" s="1504">
        <v>47818</v>
      </c>
      <c r="C439" s="1813"/>
      <c r="D439" s="1814"/>
      <c r="E439" s="1814"/>
      <c r="F439" s="1815"/>
      <c r="G439" s="1814"/>
      <c r="H439" s="1814"/>
      <c r="I439" s="1814"/>
      <c r="J439" s="1816"/>
      <c r="K439" s="1807"/>
      <c r="L439" s="25"/>
      <c r="M439" s="97"/>
      <c r="N439" s="1504">
        <v>47818</v>
      </c>
      <c r="O439" s="19"/>
      <c r="P439" s="93"/>
      <c r="Q439" s="93"/>
      <c r="R439" s="93"/>
      <c r="S439" s="93"/>
      <c r="T439" s="93"/>
      <c r="U439" s="93"/>
      <c r="V439" s="93"/>
      <c r="W439" s="93"/>
      <c r="X439" s="93"/>
      <c r="Y439" s="93"/>
      <c r="Z439" s="93"/>
      <c r="AA439" s="93"/>
      <c r="AB439" s="20"/>
      <c r="AC439" s="25"/>
      <c r="AD439" s="97"/>
      <c r="AE439" s="1504">
        <v>47818</v>
      </c>
      <c r="AF439" s="19"/>
      <c r="AG439" s="93"/>
      <c r="AH439" s="93"/>
      <c r="AI439" s="93"/>
      <c r="AJ439" s="93"/>
      <c r="AK439" s="93"/>
      <c r="AL439" s="93"/>
      <c r="AM439" s="93"/>
      <c r="AN439" s="93"/>
      <c r="AO439" s="93"/>
      <c r="AP439" s="93"/>
      <c r="AQ439" s="93"/>
      <c r="AR439" s="93"/>
      <c r="AS439" s="20"/>
      <c r="AT439" s="25"/>
      <c r="AU439" s="97"/>
      <c r="AV439" s="1504">
        <v>47818</v>
      </c>
      <c r="AW439" s="19"/>
      <c r="AX439" s="93"/>
      <c r="AY439" s="93"/>
      <c r="AZ439" s="93"/>
      <c r="BA439" s="93"/>
      <c r="BB439" s="93"/>
      <c r="BC439" s="93"/>
      <c r="BD439" s="93"/>
      <c r="BE439" s="93"/>
      <c r="BF439" s="93"/>
      <c r="BG439" s="93"/>
      <c r="BH439" s="93"/>
      <c r="BI439" s="93"/>
      <c r="BJ439" s="20"/>
      <c r="BK439" s="25"/>
      <c r="BL439" s="97"/>
      <c r="BM439" s="1504">
        <v>47818</v>
      </c>
      <c r="BN439" s="19"/>
      <c r="BO439" s="93"/>
      <c r="BP439" s="93"/>
      <c r="BQ439" s="93"/>
      <c r="BR439" s="93"/>
      <c r="BS439" s="93"/>
      <c r="BT439" s="93"/>
      <c r="BU439" s="20"/>
      <c r="BV439" s="25"/>
      <c r="BW439" s="97"/>
      <c r="BX439" s="1504">
        <v>47818</v>
      </c>
      <c r="BY439" s="19"/>
      <c r="BZ439" s="93"/>
      <c r="CA439" s="93"/>
      <c r="CB439" s="93"/>
      <c r="CC439" s="93"/>
      <c r="CD439" s="25"/>
      <c r="CE439" s="97"/>
      <c r="CF439" s="1504">
        <v>47818</v>
      </c>
      <c r="CG439" s="19"/>
      <c r="CH439" s="93"/>
      <c r="CI439" s="219"/>
      <c r="CJ439" s="20"/>
      <c r="CK439" s="19"/>
      <c r="CL439" s="93"/>
      <c r="CM439" s="93"/>
      <c r="CN439" s="93"/>
      <c r="CO439" s="93"/>
      <c r="CP439" s="20"/>
      <c r="CQ439" s="219"/>
      <c r="CR439" s="93"/>
      <c r="CS439" s="93"/>
      <c r="CT439" s="93"/>
      <c r="CU439" s="93"/>
      <c r="CV439" s="214"/>
      <c r="CW439" s="29"/>
      <c r="CX439" s="41">
        <f t="shared" si="357"/>
        <v>2030</v>
      </c>
      <c r="CY439" s="1504">
        <v>47818</v>
      </c>
      <c r="CZ439" s="19"/>
      <c r="DA439" s="93"/>
      <c r="DB439" s="93"/>
      <c r="DC439" s="93"/>
      <c r="DD439" s="93"/>
      <c r="DE439" s="20"/>
      <c r="DF439" s="29"/>
      <c r="DG439" s="1504">
        <v>47818</v>
      </c>
      <c r="DH439" s="19"/>
      <c r="DI439" s="93"/>
      <c r="DJ439" s="93"/>
      <c r="DK439" s="93"/>
      <c r="DL439" s="93"/>
      <c r="DM439" s="93"/>
      <c r="DN439" s="20"/>
      <c r="DO439" s="295"/>
      <c r="DP439" s="29"/>
      <c r="DQ439" s="1504">
        <v>47818</v>
      </c>
      <c r="DR439" s="19"/>
      <c r="DS439" s="93"/>
      <c r="DT439" s="93"/>
      <c r="DU439" s="93"/>
      <c r="DV439" s="93"/>
      <c r="DW439" s="93"/>
      <c r="DX439" s="20"/>
      <c r="DY439" s="29"/>
      <c r="DZ439" s="1504">
        <v>47818</v>
      </c>
      <c r="EA439" s="19"/>
      <c r="EB439" s="93"/>
      <c r="EC439" s="20"/>
      <c r="ED439" s="29"/>
      <c r="EE439" s="1504">
        <v>47818</v>
      </c>
      <c r="EF439" s="19"/>
      <c r="EG439" s="93"/>
      <c r="EH439" s="93"/>
      <c r="EI439" s="214"/>
      <c r="EJ439" s="93"/>
      <c r="EK439" s="93"/>
      <c r="EL439" s="93"/>
      <c r="EM439" s="93"/>
      <c r="EN439" s="20"/>
      <c r="EO439" s="29"/>
      <c r="EP439" s="1504">
        <v>47818</v>
      </c>
      <c r="EQ439" s="19"/>
      <c r="ER439" s="93"/>
      <c r="ES439" s="93"/>
      <c r="ET439" s="214"/>
      <c r="EU439" s="93"/>
      <c r="EV439" s="93"/>
      <c r="EW439" s="93"/>
      <c r="EX439" s="93"/>
      <c r="EY439" s="20"/>
      <c r="EZ439" s="29"/>
      <c r="FA439" s="1504">
        <v>47818</v>
      </c>
      <c r="FB439" s="29"/>
      <c r="FC439" s="29"/>
      <c r="FD439" s="29"/>
      <c r="FE439" s="29"/>
      <c r="FF439" s="29"/>
      <c r="FG439" s="29"/>
      <c r="FH439" s="29"/>
      <c r="FI439" s="29"/>
      <c r="FJ439" s="29"/>
      <c r="FK439" s="29"/>
      <c r="FL439" s="1504">
        <v>47818</v>
      </c>
      <c r="FM439" s="19"/>
      <c r="FN439" s="93"/>
      <c r="FO439" s="93"/>
      <c r="FP439" s="93"/>
      <c r="FQ439" s="93"/>
      <c r="FR439" s="93"/>
      <c r="FS439" s="93"/>
      <c r="FT439" s="93"/>
      <c r="FU439" s="93"/>
      <c r="FV439" s="93"/>
      <c r="FW439" s="93"/>
      <c r="FX439" s="93"/>
      <c r="FY439" s="93"/>
      <c r="FZ439" s="29"/>
      <c r="GA439" s="1504">
        <v>47818</v>
      </c>
      <c r="GB439" s="19"/>
      <c r="GC439" s="93"/>
      <c r="GD439" s="93"/>
      <c r="GE439" s="93"/>
      <c r="GF439" s="93"/>
      <c r="GG439" s="93"/>
      <c r="GH439" s="93"/>
      <c r="GI439" s="93"/>
      <c r="GJ439" s="93"/>
      <c r="GK439" s="93"/>
      <c r="GL439" s="93"/>
      <c r="GM439" s="93"/>
      <c r="GN439" s="20"/>
      <c r="GO439" s="29"/>
      <c r="GP439" s="1504">
        <v>47818</v>
      </c>
      <c r="GQ439" s="19"/>
      <c r="GR439" s="93"/>
      <c r="GS439" s="93"/>
      <c r="GT439" s="93"/>
      <c r="GU439" s="93"/>
      <c r="GV439" s="20"/>
      <c r="GW439" s="19"/>
      <c r="GX439" s="93"/>
      <c r="GY439" s="93"/>
      <c r="GZ439" s="93"/>
      <c r="HA439" s="93"/>
      <c r="HB439" s="20"/>
      <c r="HC439" s="19"/>
      <c r="HD439" s="93"/>
      <c r="HE439" s="93"/>
      <c r="HF439" s="93"/>
      <c r="HG439" s="93"/>
      <c r="HH439" s="20"/>
      <c r="HI439" s="19"/>
      <c r="HJ439" s="93"/>
      <c r="HK439" s="93"/>
      <c r="HL439" s="93"/>
      <c r="HM439" s="93"/>
      <c r="HN439" s="20"/>
      <c r="HO439" s="219"/>
      <c r="HP439" s="20"/>
      <c r="HQ439" s="25"/>
      <c r="HR439" s="29"/>
      <c r="HS439" s="1504">
        <v>47818</v>
      </c>
      <c r="HT439" s="19"/>
      <c r="HU439" s="93"/>
      <c r="HV439" s="93"/>
      <c r="HW439" s="93"/>
      <c r="HX439" s="93"/>
      <c r="HY439" s="93"/>
      <c r="HZ439" s="93"/>
      <c r="IA439" s="20"/>
      <c r="IB439" s="19"/>
      <c r="IC439" s="93"/>
      <c r="ID439" s="93"/>
      <c r="IE439" s="93"/>
      <c r="IF439" s="93"/>
      <c r="IG439" s="20"/>
      <c r="IH439" s="19"/>
      <c r="II439" s="93"/>
      <c r="IJ439" s="93"/>
      <c r="IK439" s="93"/>
      <c r="IL439" s="93"/>
      <c r="IM439" s="93"/>
      <c r="IN439" s="93"/>
      <c r="IO439" s="20"/>
      <c r="IP439" s="29"/>
      <c r="IQ439" s="19"/>
      <c r="IR439" s="93"/>
      <c r="IS439" s="93"/>
      <c r="IT439" s="93"/>
      <c r="IU439" s="93"/>
      <c r="IV439" s="20"/>
      <c r="IW439" s="29"/>
      <c r="IX439" s="19"/>
      <c r="IY439" s="93"/>
      <c r="IZ439" s="93"/>
      <c r="JA439" s="93"/>
      <c r="JB439" s="93"/>
      <c r="JC439" s="93"/>
      <c r="JD439" s="93"/>
      <c r="JE439" s="20"/>
      <c r="JF439" s="29"/>
      <c r="JG439" s="19"/>
      <c r="JH439" s="93"/>
      <c r="JI439" s="93"/>
      <c r="JJ439" s="93"/>
      <c r="JK439" s="93"/>
      <c r="JL439" s="93"/>
      <c r="JM439" s="93"/>
      <c r="JN439" s="20"/>
      <c r="JO439" s="29"/>
      <c r="JP439" s="19"/>
      <c r="JQ439" s="93"/>
      <c r="JR439" s="93"/>
      <c r="JS439" s="93"/>
      <c r="JT439" s="93"/>
      <c r="JU439" s="20"/>
      <c r="JV439" s="29"/>
      <c r="JW439" s="1504">
        <v>47818</v>
      </c>
      <c r="JX439" s="19"/>
      <c r="JY439" s="93"/>
      <c r="JZ439" s="93"/>
      <c r="KA439" s="93"/>
      <c r="KB439" s="93"/>
      <c r="KC439" s="93"/>
      <c r="KD439" s="20"/>
      <c r="KE439" s="29"/>
      <c r="KF439" s="19"/>
      <c r="KG439" s="93"/>
      <c r="KH439" s="93"/>
      <c r="KI439" s="93"/>
      <c r="KJ439" s="93"/>
      <c r="KK439" s="20"/>
      <c r="KL439" s="29"/>
      <c r="KM439" s="19"/>
      <c r="KN439" s="93"/>
      <c r="KO439" s="93"/>
      <c r="KP439" s="93"/>
      <c r="KQ439" s="93"/>
      <c r="KR439" s="20"/>
      <c r="KS439" s="29"/>
      <c r="KT439" s="19"/>
      <c r="KU439" s="93"/>
      <c r="KV439" s="93"/>
      <c r="KW439" s="93"/>
      <c r="KX439" s="93"/>
      <c r="KY439" s="20"/>
      <c r="KZ439" s="29"/>
      <c r="LA439" s="1504">
        <v>47818</v>
      </c>
      <c r="LB439" s="19"/>
      <c r="LC439" s="93"/>
      <c r="LD439" s="93"/>
      <c r="LE439" s="93"/>
      <c r="LF439" s="93"/>
      <c r="LG439" s="93"/>
      <c r="LH439" s="20"/>
      <c r="LI439" s="29"/>
      <c r="LJ439" s="19"/>
      <c r="LK439" s="93"/>
      <c r="LL439" s="93"/>
      <c r="LM439" s="93"/>
      <c r="LN439" s="93"/>
      <c r="LO439" s="20"/>
      <c r="LP439" s="29"/>
      <c r="LQ439" s="19"/>
      <c r="LR439" s="93"/>
      <c r="LS439" s="93"/>
      <c r="LT439" s="93"/>
      <c r="LU439" s="93"/>
      <c r="LV439" s="93"/>
      <c r="LW439" s="93"/>
      <c r="LX439" s="93"/>
      <c r="LY439" s="93"/>
      <c r="LZ439" s="93"/>
      <c r="MA439" s="20"/>
      <c r="MB439" s="29"/>
      <c r="MC439" s="1504">
        <v>47818</v>
      </c>
      <c r="MD439" s="19"/>
      <c r="ME439" s="93"/>
      <c r="MF439" s="93"/>
      <c r="MG439" s="93"/>
      <c r="MH439" s="93"/>
      <c r="MI439" s="93"/>
      <c r="MJ439" s="93"/>
      <c r="MK439" s="93"/>
      <c r="ML439" s="93"/>
      <c r="MM439" s="93"/>
      <c r="MN439" s="93"/>
      <c r="MO439" s="93"/>
      <c r="MP439" s="93"/>
      <c r="MQ439" s="93"/>
      <c r="MR439" s="93"/>
      <c r="MS439" s="93"/>
      <c r="MT439" s="93"/>
      <c r="MU439" s="93"/>
      <c r="MV439" s="93"/>
      <c r="MW439" s="93"/>
      <c r="MX439" s="93"/>
      <c r="MY439" s="93"/>
      <c r="MZ439" s="93"/>
      <c r="NA439" s="93"/>
      <c r="NB439" s="93"/>
      <c r="NC439" s="93"/>
      <c r="ND439" s="93"/>
      <c r="NE439" s="93"/>
      <c r="NF439" s="93"/>
      <c r="NG439" s="93"/>
      <c r="NH439" s="93"/>
      <c r="NI439" s="93"/>
      <c r="NJ439" s="93"/>
      <c r="NK439" s="93"/>
      <c r="NL439" s="93"/>
      <c r="NM439" s="93"/>
      <c r="NN439" s="93"/>
      <c r="NO439" s="93"/>
      <c r="NP439" s="93"/>
      <c r="NQ439" s="93"/>
      <c r="NR439" s="93"/>
      <c r="NS439" s="93"/>
      <c r="NT439" s="93"/>
      <c r="NU439" s="93"/>
      <c r="NV439" s="93"/>
      <c r="NW439" s="93"/>
      <c r="NX439" s="93"/>
      <c r="NY439" s="93"/>
      <c r="NZ439" s="93"/>
      <c r="OA439" s="93"/>
      <c r="OB439" s="93"/>
      <c r="OC439" s="93"/>
      <c r="OD439" s="20"/>
      <c r="OE439" s="29"/>
      <c r="OF439" s="1504">
        <v>47818</v>
      </c>
      <c r="OG439" s="19"/>
      <c r="OH439" s="93"/>
      <c r="OI439" s="93"/>
      <c r="OJ439" s="93"/>
      <c r="OK439" s="93"/>
      <c r="OL439" s="93"/>
      <c r="OM439" s="93"/>
      <c r="ON439" s="93"/>
      <c r="OO439" s="93"/>
      <c r="OP439" s="93"/>
      <c r="OQ439" s="93"/>
      <c r="OR439" s="93"/>
      <c r="OS439" s="93"/>
      <c r="OT439" s="93"/>
      <c r="OU439" s="93"/>
      <c r="OV439" s="93"/>
      <c r="OW439" s="93"/>
      <c r="OX439" s="93"/>
      <c r="OY439" s="93"/>
      <c r="OZ439" s="93"/>
      <c r="PA439" s="93"/>
      <c r="PB439" s="93"/>
      <c r="PC439" s="20"/>
      <c r="PD439" s="29"/>
      <c r="PE439" s="19"/>
      <c r="PF439" s="93"/>
      <c r="PG439" s="93"/>
      <c r="PH439" s="93"/>
      <c r="PI439" s="93"/>
      <c r="PJ439" s="93"/>
      <c r="PK439" s="93"/>
      <c r="PL439" s="93"/>
      <c r="PM439" s="93"/>
      <c r="PN439" s="93"/>
      <c r="PO439" s="93"/>
      <c r="PP439" s="93"/>
      <c r="PQ439" s="93"/>
      <c r="PR439" s="93"/>
      <c r="PS439" s="93"/>
      <c r="PT439" s="93"/>
      <c r="PU439" s="93"/>
      <c r="PV439" s="93"/>
      <c r="PW439" s="93"/>
      <c r="PX439" s="93"/>
      <c r="PY439" s="93"/>
      <c r="PZ439" s="93"/>
      <c r="QA439" s="93"/>
      <c r="QB439" s="93"/>
      <c r="QC439" s="93"/>
      <c r="QD439" s="93"/>
      <c r="QE439" s="20"/>
      <c r="QF439" s="1739"/>
      <c r="QG439" s="19"/>
      <c r="QH439" s="93"/>
      <c r="QI439" s="93"/>
      <c r="QJ439" s="93"/>
      <c r="QK439" s="93"/>
      <c r="QL439" s="93"/>
      <c r="QM439" s="93"/>
      <c r="QN439" s="93"/>
      <c r="QO439" s="93"/>
      <c r="QP439" s="93"/>
      <c r="QQ439" s="93"/>
      <c r="QR439" s="93"/>
      <c r="QS439" s="93"/>
      <c r="QT439" s="93"/>
      <c r="QU439" s="93"/>
      <c r="QV439" s="93"/>
      <c r="QW439" s="93"/>
      <c r="QX439" s="93"/>
      <c r="QY439" s="93"/>
      <c r="QZ439" s="93"/>
      <c r="RA439" s="93"/>
      <c r="RB439" s="93"/>
      <c r="RC439" s="93"/>
      <c r="RD439" s="93"/>
      <c r="RE439" s="93"/>
      <c r="RF439" s="93"/>
      <c r="RG439" s="93"/>
      <c r="RH439" s="93"/>
      <c r="RI439" s="93"/>
      <c r="RJ439" s="93"/>
      <c r="RK439" s="93"/>
      <c r="RL439" s="93"/>
      <c r="RM439" s="20"/>
      <c r="RN439" s="29"/>
      <c r="RO439" s="19"/>
      <c r="RP439" s="20"/>
      <c r="RQ439" s="29"/>
      <c r="RR439" s="20"/>
      <c r="RS439" s="29"/>
      <c r="RT439" s="1504">
        <v>47818</v>
      </c>
      <c r="RU439" s="19"/>
      <c r="RV439" s="20"/>
      <c r="RW439" s="29"/>
      <c r="RX439" s="1504">
        <v>47818</v>
      </c>
      <c r="RY439" s="29"/>
      <c r="RZ439" s="20"/>
      <c r="SA439" s="29"/>
      <c r="SB439" s="29"/>
    </row>
    <row r="440" spans="1:496">
      <c r="A440" s="41">
        <f t="shared" si="358"/>
        <v>2031</v>
      </c>
      <c r="B440" s="1504">
        <v>47849</v>
      </c>
      <c r="C440" s="1813"/>
      <c r="D440" s="1814"/>
      <c r="E440" s="1814"/>
      <c r="F440" s="1815"/>
      <c r="G440" s="1814"/>
      <c r="H440" s="1814"/>
      <c r="I440" s="1814"/>
      <c r="J440" s="1816"/>
      <c r="K440" s="1807"/>
      <c r="L440" s="25"/>
      <c r="M440" s="97"/>
      <c r="N440" s="1504">
        <v>47849</v>
      </c>
      <c r="O440" s="19"/>
      <c r="P440" s="93"/>
      <c r="Q440" s="93"/>
      <c r="R440" s="93"/>
      <c r="S440" s="93"/>
      <c r="T440" s="93"/>
      <c r="U440" s="93"/>
      <c r="V440" s="93"/>
      <c r="W440" s="93"/>
      <c r="X440" s="93"/>
      <c r="Y440" s="93"/>
      <c r="Z440" s="93"/>
      <c r="AA440" s="93"/>
      <c r="AB440" s="20"/>
      <c r="AC440" s="25"/>
      <c r="AD440" s="97"/>
      <c r="AE440" s="1504">
        <v>47849</v>
      </c>
      <c r="AF440" s="19"/>
      <c r="AG440" s="93"/>
      <c r="AH440" s="93"/>
      <c r="AI440" s="93"/>
      <c r="AJ440" s="93"/>
      <c r="AK440" s="93"/>
      <c r="AL440" s="93"/>
      <c r="AM440" s="93"/>
      <c r="AN440" s="93"/>
      <c r="AO440" s="93"/>
      <c r="AP440" s="93"/>
      <c r="AQ440" s="93"/>
      <c r="AR440" s="93"/>
      <c r="AS440" s="20"/>
      <c r="AT440" s="25"/>
      <c r="AU440" s="97"/>
      <c r="AV440" s="1504">
        <v>47849</v>
      </c>
      <c r="AW440" s="19"/>
      <c r="AX440" s="93"/>
      <c r="AY440" s="93"/>
      <c r="AZ440" s="93"/>
      <c r="BA440" s="93"/>
      <c r="BB440" s="93"/>
      <c r="BC440" s="93"/>
      <c r="BD440" s="93"/>
      <c r="BE440" s="93"/>
      <c r="BF440" s="93"/>
      <c r="BG440" s="93"/>
      <c r="BH440" s="93"/>
      <c r="BI440" s="93"/>
      <c r="BJ440" s="20"/>
      <c r="BK440" s="25"/>
      <c r="BL440" s="97"/>
      <c r="BM440" s="1504">
        <v>47849</v>
      </c>
      <c r="BN440" s="19"/>
      <c r="BO440" s="93"/>
      <c r="BP440" s="93"/>
      <c r="BQ440" s="93"/>
      <c r="BR440" s="93"/>
      <c r="BS440" s="93"/>
      <c r="BT440" s="93"/>
      <c r="BU440" s="20"/>
      <c r="BV440" s="25"/>
      <c r="BW440" s="97"/>
      <c r="BX440" s="1504">
        <v>47849</v>
      </c>
      <c r="BY440" s="19"/>
      <c r="BZ440" s="93"/>
      <c r="CA440" s="93"/>
      <c r="CB440" s="93"/>
      <c r="CC440" s="93"/>
      <c r="CD440" s="25"/>
      <c r="CE440" s="97"/>
      <c r="CF440" s="1504">
        <v>47849</v>
      </c>
      <c r="CG440" s="19"/>
      <c r="CH440" s="93"/>
      <c r="CI440" s="219"/>
      <c r="CJ440" s="20"/>
      <c r="CK440" s="19"/>
      <c r="CL440" s="93"/>
      <c r="CM440" s="93"/>
      <c r="CN440" s="93"/>
      <c r="CO440" s="93"/>
      <c r="CP440" s="20"/>
      <c r="CQ440" s="219"/>
      <c r="CR440" s="93"/>
      <c r="CS440" s="93"/>
      <c r="CT440" s="93"/>
      <c r="CU440" s="93"/>
      <c r="CV440" s="214"/>
      <c r="CW440" s="29"/>
      <c r="CX440" s="41">
        <f t="shared" si="357"/>
        <v>2031</v>
      </c>
      <c r="CY440" s="1504">
        <v>47849</v>
      </c>
      <c r="CZ440" s="19"/>
      <c r="DA440" s="93"/>
      <c r="DB440" s="93"/>
      <c r="DC440" s="93"/>
      <c r="DD440" s="93"/>
      <c r="DE440" s="20"/>
      <c r="DF440" s="29"/>
      <c r="DG440" s="1504">
        <v>47849</v>
      </c>
      <c r="DH440" s="19"/>
      <c r="DI440" s="93"/>
      <c r="DJ440" s="93"/>
      <c r="DK440" s="93"/>
      <c r="DL440" s="93"/>
      <c r="DM440" s="93"/>
      <c r="DN440" s="20"/>
      <c r="DO440" s="295"/>
      <c r="DP440" s="29"/>
      <c r="DQ440" s="1504">
        <v>47849</v>
      </c>
      <c r="DR440" s="19"/>
      <c r="DS440" s="93"/>
      <c r="DT440" s="93"/>
      <c r="DU440" s="93"/>
      <c r="DV440" s="93"/>
      <c r="DW440" s="93"/>
      <c r="DX440" s="20"/>
      <c r="DY440" s="29"/>
      <c r="DZ440" s="1504">
        <v>47849</v>
      </c>
      <c r="EA440" s="19"/>
      <c r="EB440" s="93"/>
      <c r="EC440" s="20"/>
      <c r="ED440" s="29"/>
      <c r="EE440" s="1504">
        <v>47849</v>
      </c>
      <c r="EF440" s="19"/>
      <c r="EG440" s="93"/>
      <c r="EH440" s="93"/>
      <c r="EI440" s="214"/>
      <c r="EJ440" s="93"/>
      <c r="EK440" s="93"/>
      <c r="EL440" s="93"/>
      <c r="EM440" s="93"/>
      <c r="EN440" s="20"/>
      <c r="EO440" s="29"/>
      <c r="EP440" s="1504">
        <v>47849</v>
      </c>
      <c r="EQ440" s="19"/>
      <c r="ER440" s="93"/>
      <c r="ES440" s="93"/>
      <c r="ET440" s="214"/>
      <c r="EU440" s="93"/>
      <c r="EV440" s="93"/>
      <c r="EW440" s="93"/>
      <c r="EX440" s="93"/>
      <c r="EY440" s="20"/>
      <c r="EZ440" s="29"/>
      <c r="FA440" s="1504">
        <v>47849</v>
      </c>
      <c r="FB440" s="29"/>
      <c r="FC440" s="29"/>
      <c r="FD440" s="29"/>
      <c r="FE440" s="29"/>
      <c r="FF440" s="29"/>
      <c r="FG440" s="29"/>
      <c r="FH440" s="29"/>
      <c r="FI440" s="29"/>
      <c r="FJ440" s="29"/>
      <c r="FK440" s="29"/>
      <c r="FL440" s="1504">
        <v>47849</v>
      </c>
      <c r="FM440" s="19"/>
      <c r="FN440" s="93"/>
      <c r="FO440" s="93"/>
      <c r="FP440" s="93"/>
      <c r="FQ440" s="93"/>
      <c r="FR440" s="93"/>
      <c r="FS440" s="93"/>
      <c r="FT440" s="93"/>
      <c r="FU440" s="93"/>
      <c r="FV440" s="93"/>
      <c r="FW440" s="93"/>
      <c r="FX440" s="93"/>
      <c r="FY440" s="93"/>
      <c r="FZ440" s="29"/>
      <c r="GA440" s="1504">
        <v>47849</v>
      </c>
      <c r="GB440" s="19"/>
      <c r="GC440" s="93"/>
      <c r="GD440" s="93"/>
      <c r="GE440" s="93"/>
      <c r="GF440" s="93"/>
      <c r="GG440" s="93"/>
      <c r="GH440" s="93"/>
      <c r="GI440" s="93"/>
      <c r="GJ440" s="93"/>
      <c r="GK440" s="93"/>
      <c r="GL440" s="93"/>
      <c r="GM440" s="93"/>
      <c r="GN440" s="20"/>
      <c r="GO440" s="29"/>
      <c r="GP440" s="1504">
        <v>47849</v>
      </c>
      <c r="GQ440" s="19"/>
      <c r="GR440" s="93"/>
      <c r="GS440" s="93"/>
      <c r="GT440" s="93"/>
      <c r="GU440" s="93"/>
      <c r="GV440" s="20"/>
      <c r="GW440" s="19"/>
      <c r="GX440" s="93"/>
      <c r="GY440" s="93"/>
      <c r="GZ440" s="93"/>
      <c r="HA440" s="93"/>
      <c r="HB440" s="20"/>
      <c r="HC440" s="19"/>
      <c r="HD440" s="93"/>
      <c r="HE440" s="93"/>
      <c r="HF440" s="93"/>
      <c r="HG440" s="93"/>
      <c r="HH440" s="20"/>
      <c r="HI440" s="19"/>
      <c r="HJ440" s="93"/>
      <c r="HK440" s="93"/>
      <c r="HL440" s="93"/>
      <c r="HM440" s="93"/>
      <c r="HN440" s="20"/>
      <c r="HO440" s="219"/>
      <c r="HP440" s="20"/>
      <c r="HQ440" s="25"/>
      <c r="HR440" s="29"/>
      <c r="HS440" s="1504">
        <v>47849</v>
      </c>
      <c r="HT440" s="19"/>
      <c r="HU440" s="93"/>
      <c r="HV440" s="93"/>
      <c r="HW440" s="93"/>
      <c r="HX440" s="93"/>
      <c r="HY440" s="93"/>
      <c r="HZ440" s="93"/>
      <c r="IA440" s="20"/>
      <c r="IB440" s="19"/>
      <c r="IC440" s="93"/>
      <c r="ID440" s="93"/>
      <c r="IE440" s="93"/>
      <c r="IF440" s="93"/>
      <c r="IG440" s="20"/>
      <c r="IH440" s="19"/>
      <c r="II440" s="93"/>
      <c r="IJ440" s="93"/>
      <c r="IK440" s="93"/>
      <c r="IL440" s="93"/>
      <c r="IM440" s="93"/>
      <c r="IN440" s="93"/>
      <c r="IO440" s="20"/>
      <c r="IP440" s="29"/>
      <c r="IQ440" s="19"/>
      <c r="IR440" s="93"/>
      <c r="IS440" s="93"/>
      <c r="IT440" s="93"/>
      <c r="IU440" s="93"/>
      <c r="IV440" s="20"/>
      <c r="IW440" s="29"/>
      <c r="IX440" s="19"/>
      <c r="IY440" s="93"/>
      <c r="IZ440" s="93"/>
      <c r="JA440" s="93"/>
      <c r="JB440" s="93"/>
      <c r="JC440" s="93"/>
      <c r="JD440" s="93"/>
      <c r="JE440" s="20"/>
      <c r="JF440" s="29"/>
      <c r="JG440" s="19"/>
      <c r="JH440" s="93"/>
      <c r="JI440" s="93"/>
      <c r="JJ440" s="93"/>
      <c r="JK440" s="93"/>
      <c r="JL440" s="93"/>
      <c r="JM440" s="93"/>
      <c r="JN440" s="20"/>
      <c r="JO440" s="29"/>
      <c r="JP440" s="19"/>
      <c r="JQ440" s="93"/>
      <c r="JR440" s="93"/>
      <c r="JS440" s="93"/>
      <c r="JT440" s="93"/>
      <c r="JU440" s="20"/>
      <c r="JV440" s="29"/>
      <c r="JW440" s="1504">
        <v>47849</v>
      </c>
      <c r="JX440" s="19"/>
      <c r="JY440" s="93"/>
      <c r="JZ440" s="93"/>
      <c r="KA440" s="93"/>
      <c r="KB440" s="93"/>
      <c r="KC440" s="93"/>
      <c r="KD440" s="20"/>
      <c r="KE440" s="29"/>
      <c r="KF440" s="19"/>
      <c r="KG440" s="93"/>
      <c r="KH440" s="93"/>
      <c r="KI440" s="93"/>
      <c r="KJ440" s="93"/>
      <c r="KK440" s="20"/>
      <c r="KL440" s="29"/>
      <c r="KM440" s="19"/>
      <c r="KN440" s="93"/>
      <c r="KO440" s="93"/>
      <c r="KP440" s="93"/>
      <c r="KQ440" s="93"/>
      <c r="KR440" s="20"/>
      <c r="KS440" s="29"/>
      <c r="KT440" s="19"/>
      <c r="KU440" s="93"/>
      <c r="KV440" s="93"/>
      <c r="KW440" s="93"/>
      <c r="KX440" s="93"/>
      <c r="KY440" s="20"/>
      <c r="KZ440" s="29"/>
      <c r="LA440" s="1504">
        <v>47849</v>
      </c>
      <c r="LB440" s="19"/>
      <c r="LC440" s="93"/>
      <c r="LD440" s="93"/>
      <c r="LE440" s="93"/>
      <c r="LF440" s="93"/>
      <c r="LG440" s="93"/>
      <c r="LH440" s="20"/>
      <c r="LI440" s="29"/>
      <c r="LJ440" s="19"/>
      <c r="LK440" s="93"/>
      <c r="LL440" s="93"/>
      <c r="LM440" s="93"/>
      <c r="LN440" s="93"/>
      <c r="LO440" s="20"/>
      <c r="LP440" s="29"/>
      <c r="LQ440" s="19"/>
      <c r="LR440" s="93"/>
      <c r="LS440" s="93"/>
      <c r="LT440" s="93"/>
      <c r="LU440" s="93"/>
      <c r="LV440" s="93"/>
      <c r="LW440" s="93"/>
      <c r="LX440" s="93"/>
      <c r="LY440" s="93"/>
      <c r="LZ440" s="93"/>
      <c r="MA440" s="20"/>
      <c r="MB440" s="29"/>
      <c r="MC440" s="1504">
        <v>47849</v>
      </c>
      <c r="MD440" s="19"/>
      <c r="ME440" s="93"/>
      <c r="MF440" s="93"/>
      <c r="MG440" s="93"/>
      <c r="MH440" s="93"/>
      <c r="MI440" s="93"/>
      <c r="MJ440" s="93"/>
      <c r="MK440" s="93"/>
      <c r="ML440" s="93"/>
      <c r="MM440" s="93"/>
      <c r="MN440" s="93"/>
      <c r="MO440" s="93"/>
      <c r="MP440" s="93"/>
      <c r="MQ440" s="93"/>
      <c r="MR440" s="93"/>
      <c r="MS440" s="93"/>
      <c r="MT440" s="93"/>
      <c r="MU440" s="93"/>
      <c r="MV440" s="93"/>
      <c r="MW440" s="93"/>
      <c r="MX440" s="93"/>
      <c r="MY440" s="93"/>
      <c r="MZ440" s="93"/>
      <c r="NA440" s="93"/>
      <c r="NB440" s="93"/>
      <c r="NC440" s="93"/>
      <c r="ND440" s="93"/>
      <c r="NE440" s="93"/>
      <c r="NF440" s="93"/>
      <c r="NG440" s="93"/>
      <c r="NH440" s="93"/>
      <c r="NI440" s="93"/>
      <c r="NJ440" s="93"/>
      <c r="NK440" s="93"/>
      <c r="NL440" s="93"/>
      <c r="NM440" s="93"/>
      <c r="NN440" s="93"/>
      <c r="NO440" s="93"/>
      <c r="NP440" s="93"/>
      <c r="NQ440" s="93"/>
      <c r="NR440" s="93"/>
      <c r="NS440" s="93"/>
      <c r="NT440" s="93"/>
      <c r="NU440" s="93"/>
      <c r="NV440" s="93"/>
      <c r="NW440" s="93"/>
      <c r="NX440" s="93"/>
      <c r="NY440" s="93"/>
      <c r="NZ440" s="93"/>
      <c r="OA440" s="93"/>
      <c r="OB440" s="93"/>
      <c r="OC440" s="93"/>
      <c r="OD440" s="20"/>
      <c r="OE440" s="29"/>
      <c r="OF440" s="1504">
        <v>47849</v>
      </c>
      <c r="OG440" s="19"/>
      <c r="OH440" s="93"/>
      <c r="OI440" s="93"/>
      <c r="OJ440" s="93"/>
      <c r="OK440" s="93"/>
      <c r="OL440" s="93"/>
      <c r="OM440" s="93"/>
      <c r="ON440" s="93"/>
      <c r="OO440" s="93"/>
      <c r="OP440" s="93"/>
      <c r="OQ440" s="93"/>
      <c r="OR440" s="93"/>
      <c r="OS440" s="93"/>
      <c r="OT440" s="93"/>
      <c r="OU440" s="93"/>
      <c r="OV440" s="93"/>
      <c r="OW440" s="93"/>
      <c r="OX440" s="93"/>
      <c r="OY440" s="93"/>
      <c r="OZ440" s="93"/>
      <c r="PA440" s="93"/>
      <c r="PB440" s="93"/>
      <c r="PC440" s="20"/>
      <c r="PD440" s="29"/>
      <c r="PE440" s="19"/>
      <c r="PF440" s="93"/>
      <c r="PG440" s="93"/>
      <c r="PH440" s="93"/>
      <c r="PI440" s="93"/>
      <c r="PJ440" s="93"/>
      <c r="PK440" s="93"/>
      <c r="PL440" s="93"/>
      <c r="PM440" s="93"/>
      <c r="PN440" s="93"/>
      <c r="PO440" s="93"/>
      <c r="PP440" s="93"/>
      <c r="PQ440" s="93"/>
      <c r="PR440" s="93"/>
      <c r="PS440" s="93"/>
      <c r="PT440" s="93"/>
      <c r="PU440" s="93"/>
      <c r="PV440" s="93"/>
      <c r="PW440" s="93"/>
      <c r="PX440" s="93"/>
      <c r="PY440" s="93"/>
      <c r="PZ440" s="93"/>
      <c r="QA440" s="93"/>
      <c r="QB440" s="93"/>
      <c r="QC440" s="93"/>
      <c r="QD440" s="93"/>
      <c r="QE440" s="20"/>
      <c r="QF440" s="1739"/>
      <c r="QG440" s="19"/>
      <c r="QH440" s="93"/>
      <c r="QI440" s="93"/>
      <c r="QJ440" s="93"/>
      <c r="QK440" s="93"/>
      <c r="QL440" s="93"/>
      <c r="QM440" s="93"/>
      <c r="QN440" s="93"/>
      <c r="QO440" s="93"/>
      <c r="QP440" s="93"/>
      <c r="QQ440" s="93"/>
      <c r="QR440" s="93"/>
      <c r="QS440" s="93"/>
      <c r="QT440" s="93"/>
      <c r="QU440" s="93"/>
      <c r="QV440" s="93"/>
      <c r="QW440" s="93"/>
      <c r="QX440" s="93"/>
      <c r="QY440" s="93"/>
      <c r="QZ440" s="93"/>
      <c r="RA440" s="93"/>
      <c r="RB440" s="93"/>
      <c r="RC440" s="93"/>
      <c r="RD440" s="93"/>
      <c r="RE440" s="93"/>
      <c r="RF440" s="93"/>
      <c r="RG440" s="93"/>
      <c r="RH440" s="93"/>
      <c r="RI440" s="93"/>
      <c r="RJ440" s="93"/>
      <c r="RK440" s="93"/>
      <c r="RL440" s="93"/>
      <c r="RM440" s="20"/>
      <c r="RN440" s="29"/>
      <c r="RO440" s="19"/>
      <c r="RP440" s="20"/>
      <c r="RQ440" s="29"/>
      <c r="RR440" s="20"/>
      <c r="RS440" s="29"/>
      <c r="RT440" s="1504">
        <v>47849</v>
      </c>
      <c r="RU440" s="19"/>
      <c r="RV440" s="20"/>
      <c r="RW440" s="29"/>
      <c r="RX440" s="1504">
        <v>47849</v>
      </c>
      <c r="RY440" s="29"/>
      <c r="RZ440" s="20"/>
      <c r="SA440" s="29"/>
      <c r="SB440" s="29"/>
    </row>
    <row r="441" spans="1:496">
      <c r="A441" s="41">
        <f t="shared" si="358"/>
        <v>2031</v>
      </c>
      <c r="B441" s="1504">
        <v>47880</v>
      </c>
      <c r="C441" s="1813"/>
      <c r="D441" s="1814"/>
      <c r="E441" s="1814"/>
      <c r="F441" s="1815"/>
      <c r="G441" s="1814"/>
      <c r="H441" s="1814"/>
      <c r="I441" s="1814"/>
      <c r="J441" s="1816"/>
      <c r="K441" s="1807"/>
      <c r="L441" s="25"/>
      <c r="M441" s="97"/>
      <c r="N441" s="1504">
        <v>47880</v>
      </c>
      <c r="O441" s="19"/>
      <c r="P441" s="93"/>
      <c r="Q441" s="93"/>
      <c r="R441" s="93"/>
      <c r="S441" s="93"/>
      <c r="T441" s="93"/>
      <c r="U441" s="93"/>
      <c r="V441" s="93"/>
      <c r="W441" s="93"/>
      <c r="X441" s="93"/>
      <c r="Y441" s="93"/>
      <c r="Z441" s="93"/>
      <c r="AA441" s="93"/>
      <c r="AB441" s="20"/>
      <c r="AC441" s="25"/>
      <c r="AD441" s="97"/>
      <c r="AE441" s="1504">
        <v>47880</v>
      </c>
      <c r="AF441" s="19"/>
      <c r="AG441" s="93"/>
      <c r="AH441" s="93"/>
      <c r="AI441" s="93"/>
      <c r="AJ441" s="93"/>
      <c r="AK441" s="93"/>
      <c r="AL441" s="93"/>
      <c r="AM441" s="93"/>
      <c r="AN441" s="93"/>
      <c r="AO441" s="93"/>
      <c r="AP441" s="93"/>
      <c r="AQ441" s="93"/>
      <c r="AR441" s="93"/>
      <c r="AS441" s="20"/>
      <c r="AT441" s="25"/>
      <c r="AU441" s="97"/>
      <c r="AV441" s="1504">
        <v>47880</v>
      </c>
      <c r="AW441" s="19"/>
      <c r="AX441" s="93"/>
      <c r="AY441" s="93"/>
      <c r="AZ441" s="93"/>
      <c r="BA441" s="93"/>
      <c r="BB441" s="93"/>
      <c r="BC441" s="93"/>
      <c r="BD441" s="93"/>
      <c r="BE441" s="93"/>
      <c r="BF441" s="93"/>
      <c r="BG441" s="93"/>
      <c r="BH441" s="93"/>
      <c r="BI441" s="93"/>
      <c r="BJ441" s="20"/>
      <c r="BK441" s="25"/>
      <c r="BL441" s="97"/>
      <c r="BM441" s="1504">
        <v>47880</v>
      </c>
      <c r="BN441" s="19"/>
      <c r="BO441" s="93"/>
      <c r="BP441" s="93"/>
      <c r="BQ441" s="93"/>
      <c r="BR441" s="93"/>
      <c r="BS441" s="93"/>
      <c r="BT441" s="93"/>
      <c r="BU441" s="20"/>
      <c r="BV441" s="25"/>
      <c r="BW441" s="97"/>
      <c r="BX441" s="1504">
        <v>47880</v>
      </c>
      <c r="BY441" s="19"/>
      <c r="BZ441" s="93"/>
      <c r="CA441" s="93"/>
      <c r="CB441" s="93"/>
      <c r="CC441" s="93"/>
      <c r="CD441" s="25"/>
      <c r="CE441" s="97"/>
      <c r="CF441" s="1504">
        <v>47880</v>
      </c>
      <c r="CG441" s="19"/>
      <c r="CH441" s="93"/>
      <c r="CI441" s="219"/>
      <c r="CJ441" s="20"/>
      <c r="CK441" s="19"/>
      <c r="CL441" s="93"/>
      <c r="CM441" s="93"/>
      <c r="CN441" s="93"/>
      <c r="CO441" s="93"/>
      <c r="CP441" s="20"/>
      <c r="CQ441" s="219"/>
      <c r="CR441" s="93"/>
      <c r="CS441" s="93"/>
      <c r="CT441" s="93"/>
      <c r="CU441" s="93"/>
      <c r="CV441" s="214"/>
      <c r="CW441" s="29"/>
      <c r="CX441" s="41">
        <f t="shared" si="357"/>
        <v>2031</v>
      </c>
      <c r="CY441" s="1504">
        <v>47880</v>
      </c>
      <c r="CZ441" s="19"/>
      <c r="DA441" s="93"/>
      <c r="DB441" s="93"/>
      <c r="DC441" s="93"/>
      <c r="DD441" s="93"/>
      <c r="DE441" s="20"/>
      <c r="DF441" s="29"/>
      <c r="DG441" s="1504">
        <v>47880</v>
      </c>
      <c r="DH441" s="19"/>
      <c r="DI441" s="93"/>
      <c r="DJ441" s="93"/>
      <c r="DK441" s="93"/>
      <c r="DL441" s="93"/>
      <c r="DM441" s="93"/>
      <c r="DN441" s="20"/>
      <c r="DO441" s="295"/>
      <c r="DP441" s="29"/>
      <c r="DQ441" s="1504">
        <v>47880</v>
      </c>
      <c r="DR441" s="19"/>
      <c r="DS441" s="93"/>
      <c r="DT441" s="93"/>
      <c r="DU441" s="93"/>
      <c r="DV441" s="93"/>
      <c r="DW441" s="93"/>
      <c r="DX441" s="20"/>
      <c r="DY441" s="29"/>
      <c r="DZ441" s="1504">
        <v>47880</v>
      </c>
      <c r="EA441" s="19"/>
      <c r="EB441" s="93"/>
      <c r="EC441" s="20"/>
      <c r="ED441" s="29"/>
      <c r="EE441" s="1504">
        <v>47880</v>
      </c>
      <c r="EF441" s="19"/>
      <c r="EG441" s="93"/>
      <c r="EH441" s="93"/>
      <c r="EI441" s="214"/>
      <c r="EJ441" s="93"/>
      <c r="EK441" s="93"/>
      <c r="EL441" s="93"/>
      <c r="EM441" s="93"/>
      <c r="EN441" s="20"/>
      <c r="EO441" s="29"/>
      <c r="EP441" s="1504">
        <v>47880</v>
      </c>
      <c r="EQ441" s="19"/>
      <c r="ER441" s="93"/>
      <c r="ES441" s="93"/>
      <c r="ET441" s="214"/>
      <c r="EU441" s="93"/>
      <c r="EV441" s="93"/>
      <c r="EW441" s="93"/>
      <c r="EX441" s="93"/>
      <c r="EY441" s="20"/>
      <c r="EZ441" s="29"/>
      <c r="FA441" s="1504">
        <v>47880</v>
      </c>
      <c r="FB441" s="29"/>
      <c r="FC441" s="29"/>
      <c r="FD441" s="29"/>
      <c r="FE441" s="29"/>
      <c r="FF441" s="29"/>
      <c r="FG441" s="29"/>
      <c r="FH441" s="29"/>
      <c r="FI441" s="29"/>
      <c r="FJ441" s="29"/>
      <c r="FK441" s="29"/>
      <c r="FL441" s="1504">
        <v>47880</v>
      </c>
      <c r="FM441" s="19"/>
      <c r="FN441" s="93"/>
      <c r="FO441" s="93"/>
      <c r="FP441" s="93"/>
      <c r="FQ441" s="93"/>
      <c r="FR441" s="93"/>
      <c r="FS441" s="93"/>
      <c r="FT441" s="93"/>
      <c r="FU441" s="93"/>
      <c r="FV441" s="93"/>
      <c r="FW441" s="93"/>
      <c r="FX441" s="93"/>
      <c r="FY441" s="93"/>
      <c r="FZ441" s="29"/>
      <c r="GA441" s="1504">
        <v>47880</v>
      </c>
      <c r="GB441" s="19"/>
      <c r="GC441" s="93"/>
      <c r="GD441" s="93"/>
      <c r="GE441" s="93"/>
      <c r="GF441" s="93"/>
      <c r="GG441" s="93"/>
      <c r="GH441" s="93"/>
      <c r="GI441" s="93"/>
      <c r="GJ441" s="93"/>
      <c r="GK441" s="93"/>
      <c r="GL441" s="93"/>
      <c r="GM441" s="93"/>
      <c r="GN441" s="20"/>
      <c r="GO441" s="29"/>
      <c r="GP441" s="1504">
        <v>47880</v>
      </c>
      <c r="GQ441" s="19"/>
      <c r="GR441" s="93"/>
      <c r="GS441" s="93"/>
      <c r="GT441" s="93"/>
      <c r="GU441" s="93"/>
      <c r="GV441" s="20"/>
      <c r="GW441" s="19"/>
      <c r="GX441" s="93"/>
      <c r="GY441" s="93"/>
      <c r="GZ441" s="93"/>
      <c r="HA441" s="93"/>
      <c r="HB441" s="20"/>
      <c r="HC441" s="19"/>
      <c r="HD441" s="93"/>
      <c r="HE441" s="93"/>
      <c r="HF441" s="93"/>
      <c r="HG441" s="93"/>
      <c r="HH441" s="20"/>
      <c r="HI441" s="19"/>
      <c r="HJ441" s="93"/>
      <c r="HK441" s="93"/>
      <c r="HL441" s="93"/>
      <c r="HM441" s="93"/>
      <c r="HN441" s="20"/>
      <c r="HO441" s="219"/>
      <c r="HP441" s="20"/>
      <c r="HQ441" s="25"/>
      <c r="HR441" s="29"/>
      <c r="HS441" s="1504">
        <v>47880</v>
      </c>
      <c r="HT441" s="19"/>
      <c r="HU441" s="93"/>
      <c r="HV441" s="93"/>
      <c r="HW441" s="93"/>
      <c r="HX441" s="93"/>
      <c r="HY441" s="93"/>
      <c r="HZ441" s="93"/>
      <c r="IA441" s="20"/>
      <c r="IB441" s="19"/>
      <c r="IC441" s="93"/>
      <c r="ID441" s="93"/>
      <c r="IE441" s="93"/>
      <c r="IF441" s="93"/>
      <c r="IG441" s="20"/>
      <c r="IH441" s="19"/>
      <c r="II441" s="93"/>
      <c r="IJ441" s="93"/>
      <c r="IK441" s="93"/>
      <c r="IL441" s="93"/>
      <c r="IM441" s="93"/>
      <c r="IN441" s="93"/>
      <c r="IO441" s="20"/>
      <c r="IP441" s="29"/>
      <c r="IQ441" s="19"/>
      <c r="IR441" s="93"/>
      <c r="IS441" s="93"/>
      <c r="IT441" s="93"/>
      <c r="IU441" s="93"/>
      <c r="IV441" s="20"/>
      <c r="IW441" s="29"/>
      <c r="IX441" s="19"/>
      <c r="IY441" s="93"/>
      <c r="IZ441" s="93"/>
      <c r="JA441" s="93"/>
      <c r="JB441" s="93"/>
      <c r="JC441" s="93"/>
      <c r="JD441" s="93"/>
      <c r="JE441" s="20"/>
      <c r="JF441" s="29"/>
      <c r="JG441" s="19"/>
      <c r="JH441" s="93"/>
      <c r="JI441" s="93"/>
      <c r="JJ441" s="93"/>
      <c r="JK441" s="93"/>
      <c r="JL441" s="93"/>
      <c r="JM441" s="93"/>
      <c r="JN441" s="20"/>
      <c r="JO441" s="29"/>
      <c r="JP441" s="19"/>
      <c r="JQ441" s="93"/>
      <c r="JR441" s="93"/>
      <c r="JS441" s="93"/>
      <c r="JT441" s="93"/>
      <c r="JU441" s="20"/>
      <c r="JV441" s="29"/>
      <c r="JW441" s="1504">
        <v>47880</v>
      </c>
      <c r="JX441" s="19"/>
      <c r="JY441" s="93"/>
      <c r="JZ441" s="93"/>
      <c r="KA441" s="93"/>
      <c r="KB441" s="93"/>
      <c r="KC441" s="93"/>
      <c r="KD441" s="20"/>
      <c r="KE441" s="29"/>
      <c r="KF441" s="19"/>
      <c r="KG441" s="93"/>
      <c r="KH441" s="93"/>
      <c r="KI441" s="93"/>
      <c r="KJ441" s="93"/>
      <c r="KK441" s="20"/>
      <c r="KL441" s="29"/>
      <c r="KM441" s="19"/>
      <c r="KN441" s="93"/>
      <c r="KO441" s="93"/>
      <c r="KP441" s="93"/>
      <c r="KQ441" s="93"/>
      <c r="KR441" s="20"/>
      <c r="KS441" s="29"/>
      <c r="KT441" s="19"/>
      <c r="KU441" s="93"/>
      <c r="KV441" s="93"/>
      <c r="KW441" s="93"/>
      <c r="KX441" s="93"/>
      <c r="KY441" s="20"/>
      <c r="KZ441" s="29"/>
      <c r="LA441" s="1504">
        <v>47880</v>
      </c>
      <c r="LB441" s="19"/>
      <c r="LC441" s="93"/>
      <c r="LD441" s="93"/>
      <c r="LE441" s="93"/>
      <c r="LF441" s="93"/>
      <c r="LG441" s="93"/>
      <c r="LH441" s="20"/>
      <c r="LI441" s="29"/>
      <c r="LJ441" s="19"/>
      <c r="LK441" s="93"/>
      <c r="LL441" s="93"/>
      <c r="LM441" s="93"/>
      <c r="LN441" s="93"/>
      <c r="LO441" s="20"/>
      <c r="LP441" s="29"/>
      <c r="LQ441" s="19"/>
      <c r="LR441" s="93"/>
      <c r="LS441" s="93"/>
      <c r="LT441" s="93"/>
      <c r="LU441" s="93"/>
      <c r="LV441" s="93"/>
      <c r="LW441" s="93"/>
      <c r="LX441" s="93"/>
      <c r="LY441" s="93"/>
      <c r="LZ441" s="93"/>
      <c r="MA441" s="20"/>
      <c r="MB441" s="29"/>
      <c r="MC441" s="1504">
        <v>47880</v>
      </c>
      <c r="MD441" s="19"/>
      <c r="ME441" s="93"/>
      <c r="MF441" s="93"/>
      <c r="MG441" s="93"/>
      <c r="MH441" s="93"/>
      <c r="MI441" s="93"/>
      <c r="MJ441" s="93"/>
      <c r="MK441" s="93"/>
      <c r="ML441" s="93"/>
      <c r="MM441" s="93"/>
      <c r="MN441" s="93"/>
      <c r="MO441" s="93"/>
      <c r="MP441" s="93"/>
      <c r="MQ441" s="93"/>
      <c r="MR441" s="93"/>
      <c r="MS441" s="93"/>
      <c r="MT441" s="93"/>
      <c r="MU441" s="93"/>
      <c r="MV441" s="93"/>
      <c r="MW441" s="93"/>
      <c r="MX441" s="93"/>
      <c r="MY441" s="93"/>
      <c r="MZ441" s="93"/>
      <c r="NA441" s="93"/>
      <c r="NB441" s="93"/>
      <c r="NC441" s="93"/>
      <c r="ND441" s="93"/>
      <c r="NE441" s="93"/>
      <c r="NF441" s="93"/>
      <c r="NG441" s="93"/>
      <c r="NH441" s="93"/>
      <c r="NI441" s="93"/>
      <c r="NJ441" s="93"/>
      <c r="NK441" s="93"/>
      <c r="NL441" s="93"/>
      <c r="NM441" s="93"/>
      <c r="NN441" s="93"/>
      <c r="NO441" s="93"/>
      <c r="NP441" s="93"/>
      <c r="NQ441" s="93"/>
      <c r="NR441" s="93"/>
      <c r="NS441" s="93"/>
      <c r="NT441" s="93"/>
      <c r="NU441" s="93"/>
      <c r="NV441" s="93"/>
      <c r="NW441" s="93"/>
      <c r="NX441" s="93"/>
      <c r="NY441" s="93"/>
      <c r="NZ441" s="93"/>
      <c r="OA441" s="93"/>
      <c r="OB441" s="93"/>
      <c r="OC441" s="93"/>
      <c r="OD441" s="20"/>
      <c r="OE441" s="29"/>
      <c r="OF441" s="1504">
        <v>47880</v>
      </c>
      <c r="OG441" s="19"/>
      <c r="OH441" s="93"/>
      <c r="OI441" s="93"/>
      <c r="OJ441" s="93"/>
      <c r="OK441" s="93"/>
      <c r="OL441" s="93"/>
      <c r="OM441" s="93"/>
      <c r="ON441" s="93"/>
      <c r="OO441" s="93"/>
      <c r="OP441" s="93"/>
      <c r="OQ441" s="93"/>
      <c r="OR441" s="93"/>
      <c r="OS441" s="93"/>
      <c r="OT441" s="93"/>
      <c r="OU441" s="93"/>
      <c r="OV441" s="93"/>
      <c r="OW441" s="93"/>
      <c r="OX441" s="93"/>
      <c r="OY441" s="93"/>
      <c r="OZ441" s="93"/>
      <c r="PA441" s="93"/>
      <c r="PB441" s="93"/>
      <c r="PC441" s="20"/>
      <c r="PD441" s="29"/>
      <c r="PE441" s="19"/>
      <c r="PF441" s="93"/>
      <c r="PG441" s="93"/>
      <c r="PH441" s="93"/>
      <c r="PI441" s="93"/>
      <c r="PJ441" s="93"/>
      <c r="PK441" s="93"/>
      <c r="PL441" s="93"/>
      <c r="PM441" s="93"/>
      <c r="PN441" s="93"/>
      <c r="PO441" s="93"/>
      <c r="PP441" s="93"/>
      <c r="PQ441" s="93"/>
      <c r="PR441" s="93"/>
      <c r="PS441" s="93"/>
      <c r="PT441" s="93"/>
      <c r="PU441" s="93"/>
      <c r="PV441" s="93"/>
      <c r="PW441" s="93"/>
      <c r="PX441" s="93"/>
      <c r="PY441" s="93"/>
      <c r="PZ441" s="93"/>
      <c r="QA441" s="93"/>
      <c r="QB441" s="93"/>
      <c r="QC441" s="93"/>
      <c r="QD441" s="93"/>
      <c r="QE441" s="20"/>
      <c r="QF441" s="1739"/>
      <c r="QG441" s="19"/>
      <c r="QH441" s="93"/>
      <c r="QI441" s="93"/>
      <c r="QJ441" s="93"/>
      <c r="QK441" s="93"/>
      <c r="QL441" s="93"/>
      <c r="QM441" s="93"/>
      <c r="QN441" s="93"/>
      <c r="QO441" s="93"/>
      <c r="QP441" s="93"/>
      <c r="QQ441" s="93"/>
      <c r="QR441" s="93"/>
      <c r="QS441" s="93"/>
      <c r="QT441" s="93"/>
      <c r="QU441" s="93"/>
      <c r="QV441" s="93"/>
      <c r="QW441" s="93"/>
      <c r="QX441" s="93"/>
      <c r="QY441" s="93"/>
      <c r="QZ441" s="93"/>
      <c r="RA441" s="93"/>
      <c r="RB441" s="93"/>
      <c r="RC441" s="93"/>
      <c r="RD441" s="93"/>
      <c r="RE441" s="93"/>
      <c r="RF441" s="93"/>
      <c r="RG441" s="93"/>
      <c r="RH441" s="93"/>
      <c r="RI441" s="93"/>
      <c r="RJ441" s="93"/>
      <c r="RK441" s="93"/>
      <c r="RL441" s="93"/>
      <c r="RM441" s="20"/>
      <c r="RN441" s="29"/>
      <c r="RO441" s="19"/>
      <c r="RP441" s="20"/>
      <c r="RQ441" s="29"/>
      <c r="RR441" s="20"/>
      <c r="RS441" s="29"/>
      <c r="RT441" s="1504">
        <v>47880</v>
      </c>
      <c r="RU441" s="19"/>
      <c r="RV441" s="20"/>
      <c r="RW441" s="29"/>
      <c r="RX441" s="1504">
        <v>47880</v>
      </c>
      <c r="RY441" s="29"/>
      <c r="RZ441" s="20"/>
      <c r="SA441" s="29"/>
      <c r="SB441" s="29"/>
    </row>
    <row r="442" spans="1:496">
      <c r="A442" s="41">
        <f t="shared" si="358"/>
        <v>2031</v>
      </c>
      <c r="B442" s="1504">
        <v>47908</v>
      </c>
      <c r="C442" s="1813"/>
      <c r="D442" s="1814"/>
      <c r="E442" s="1814"/>
      <c r="F442" s="1815"/>
      <c r="G442" s="1814"/>
      <c r="H442" s="1814"/>
      <c r="I442" s="1814"/>
      <c r="J442" s="1816"/>
      <c r="K442" s="1807"/>
      <c r="L442" s="25"/>
      <c r="M442" s="97"/>
      <c r="N442" s="1504">
        <v>47908</v>
      </c>
      <c r="O442" s="19"/>
      <c r="P442" s="93"/>
      <c r="Q442" s="93"/>
      <c r="R442" s="93"/>
      <c r="S442" s="93"/>
      <c r="T442" s="93"/>
      <c r="U442" s="93"/>
      <c r="V442" s="93"/>
      <c r="W442" s="93"/>
      <c r="X442" s="93"/>
      <c r="Y442" s="93"/>
      <c r="Z442" s="93"/>
      <c r="AA442" s="93"/>
      <c r="AB442" s="20"/>
      <c r="AC442" s="25"/>
      <c r="AD442" s="97"/>
      <c r="AE442" s="1504">
        <v>47908</v>
      </c>
      <c r="AF442" s="19"/>
      <c r="AG442" s="93"/>
      <c r="AH442" s="93"/>
      <c r="AI442" s="93"/>
      <c r="AJ442" s="93"/>
      <c r="AK442" s="93"/>
      <c r="AL442" s="93"/>
      <c r="AM442" s="93"/>
      <c r="AN442" s="93"/>
      <c r="AO442" s="93"/>
      <c r="AP442" s="93"/>
      <c r="AQ442" s="93"/>
      <c r="AR442" s="93"/>
      <c r="AS442" s="20"/>
      <c r="AT442" s="25"/>
      <c r="AU442" s="97"/>
      <c r="AV442" s="1504">
        <v>47908</v>
      </c>
      <c r="AW442" s="19"/>
      <c r="AX442" s="93"/>
      <c r="AY442" s="93"/>
      <c r="AZ442" s="93"/>
      <c r="BA442" s="93"/>
      <c r="BB442" s="93"/>
      <c r="BC442" s="93"/>
      <c r="BD442" s="93"/>
      <c r="BE442" s="93"/>
      <c r="BF442" s="93"/>
      <c r="BG442" s="93"/>
      <c r="BH442" s="93"/>
      <c r="BI442" s="93"/>
      <c r="BJ442" s="20"/>
      <c r="BK442" s="25"/>
      <c r="BL442" s="97"/>
      <c r="BM442" s="1504">
        <v>47908</v>
      </c>
      <c r="BN442" s="19"/>
      <c r="BO442" s="93"/>
      <c r="BP442" s="93"/>
      <c r="BQ442" s="93"/>
      <c r="BR442" s="93"/>
      <c r="BS442" s="93"/>
      <c r="BT442" s="93"/>
      <c r="BU442" s="20"/>
      <c r="BV442" s="25"/>
      <c r="BW442" s="97"/>
      <c r="BX442" s="1504">
        <v>47908</v>
      </c>
      <c r="BY442" s="19"/>
      <c r="BZ442" s="93"/>
      <c r="CA442" s="93"/>
      <c r="CB442" s="93"/>
      <c r="CC442" s="93"/>
      <c r="CD442" s="25"/>
      <c r="CE442" s="97"/>
      <c r="CF442" s="1504">
        <v>47908</v>
      </c>
      <c r="CG442" s="19"/>
      <c r="CH442" s="93"/>
      <c r="CI442" s="219"/>
      <c r="CJ442" s="20"/>
      <c r="CK442" s="19"/>
      <c r="CL442" s="93"/>
      <c r="CM442" s="93"/>
      <c r="CN442" s="93"/>
      <c r="CO442" s="93"/>
      <c r="CP442" s="20"/>
      <c r="CQ442" s="219"/>
      <c r="CR442" s="93"/>
      <c r="CS442" s="93"/>
      <c r="CT442" s="93"/>
      <c r="CU442" s="93"/>
      <c r="CV442" s="214"/>
      <c r="CW442" s="29"/>
      <c r="CX442" s="41">
        <f t="shared" si="357"/>
        <v>2031</v>
      </c>
      <c r="CY442" s="1504">
        <v>47908</v>
      </c>
      <c r="CZ442" s="19"/>
      <c r="DA442" s="93"/>
      <c r="DB442" s="93"/>
      <c r="DC442" s="93"/>
      <c r="DD442" s="93"/>
      <c r="DE442" s="20"/>
      <c r="DF442" s="29"/>
      <c r="DG442" s="1504">
        <v>47908</v>
      </c>
      <c r="DH442" s="19"/>
      <c r="DI442" s="93"/>
      <c r="DJ442" s="93"/>
      <c r="DK442" s="93"/>
      <c r="DL442" s="93"/>
      <c r="DM442" s="93"/>
      <c r="DN442" s="20"/>
      <c r="DO442" s="295"/>
      <c r="DP442" s="29"/>
      <c r="DQ442" s="1504">
        <v>47908</v>
      </c>
      <c r="DR442" s="19"/>
      <c r="DS442" s="93"/>
      <c r="DT442" s="93"/>
      <c r="DU442" s="93"/>
      <c r="DV442" s="93"/>
      <c r="DW442" s="93"/>
      <c r="DX442" s="20"/>
      <c r="DY442" s="29"/>
      <c r="DZ442" s="1504">
        <v>47908</v>
      </c>
      <c r="EA442" s="19"/>
      <c r="EB442" s="93"/>
      <c r="EC442" s="20"/>
      <c r="ED442" s="29"/>
      <c r="EE442" s="1504">
        <v>47908</v>
      </c>
      <c r="EF442" s="19"/>
      <c r="EG442" s="93"/>
      <c r="EH442" s="93"/>
      <c r="EI442" s="214"/>
      <c r="EJ442" s="93"/>
      <c r="EK442" s="93"/>
      <c r="EL442" s="93"/>
      <c r="EM442" s="93"/>
      <c r="EN442" s="20"/>
      <c r="EO442" s="29"/>
      <c r="EP442" s="1504">
        <v>47908</v>
      </c>
      <c r="EQ442" s="19"/>
      <c r="ER442" s="93"/>
      <c r="ES442" s="93"/>
      <c r="ET442" s="214"/>
      <c r="EU442" s="93"/>
      <c r="EV442" s="93"/>
      <c r="EW442" s="93"/>
      <c r="EX442" s="93"/>
      <c r="EY442" s="20"/>
      <c r="EZ442" s="29"/>
      <c r="FA442" s="1504">
        <v>47908</v>
      </c>
      <c r="FB442" s="29"/>
      <c r="FC442" s="29"/>
      <c r="FD442" s="29"/>
      <c r="FE442" s="29"/>
      <c r="FF442" s="29"/>
      <c r="FG442" s="29"/>
      <c r="FH442" s="29"/>
      <c r="FI442" s="29"/>
      <c r="FJ442" s="29"/>
      <c r="FK442" s="29"/>
      <c r="FL442" s="1504">
        <v>47908</v>
      </c>
      <c r="FM442" s="19"/>
      <c r="FN442" s="93"/>
      <c r="FO442" s="93"/>
      <c r="FP442" s="93"/>
      <c r="FQ442" s="93"/>
      <c r="FR442" s="93"/>
      <c r="FS442" s="93"/>
      <c r="FT442" s="93"/>
      <c r="FU442" s="93"/>
      <c r="FV442" s="93"/>
      <c r="FW442" s="93"/>
      <c r="FX442" s="93"/>
      <c r="FY442" s="93"/>
      <c r="FZ442" s="29"/>
      <c r="GA442" s="1504">
        <v>47908</v>
      </c>
      <c r="GB442" s="19"/>
      <c r="GC442" s="93"/>
      <c r="GD442" s="93"/>
      <c r="GE442" s="93"/>
      <c r="GF442" s="93"/>
      <c r="GG442" s="93"/>
      <c r="GH442" s="93"/>
      <c r="GI442" s="93"/>
      <c r="GJ442" s="93"/>
      <c r="GK442" s="93"/>
      <c r="GL442" s="93"/>
      <c r="GM442" s="93"/>
      <c r="GN442" s="20"/>
      <c r="GO442" s="29"/>
      <c r="GP442" s="1504">
        <v>47908</v>
      </c>
      <c r="GQ442" s="19"/>
      <c r="GR442" s="93"/>
      <c r="GS442" s="93"/>
      <c r="GT442" s="93"/>
      <c r="GU442" s="93"/>
      <c r="GV442" s="20"/>
      <c r="GW442" s="19"/>
      <c r="GX442" s="93"/>
      <c r="GY442" s="93"/>
      <c r="GZ442" s="93"/>
      <c r="HA442" s="93"/>
      <c r="HB442" s="20"/>
      <c r="HC442" s="19"/>
      <c r="HD442" s="93"/>
      <c r="HE442" s="93"/>
      <c r="HF442" s="93"/>
      <c r="HG442" s="93"/>
      <c r="HH442" s="20"/>
      <c r="HI442" s="19"/>
      <c r="HJ442" s="93"/>
      <c r="HK442" s="93"/>
      <c r="HL442" s="93"/>
      <c r="HM442" s="93"/>
      <c r="HN442" s="20"/>
      <c r="HO442" s="219"/>
      <c r="HP442" s="20"/>
      <c r="HQ442" s="25"/>
      <c r="HR442" s="29"/>
      <c r="HS442" s="1504">
        <v>47908</v>
      </c>
      <c r="HT442" s="19"/>
      <c r="HU442" s="93"/>
      <c r="HV442" s="93"/>
      <c r="HW442" s="93"/>
      <c r="HX442" s="93"/>
      <c r="HY442" s="93"/>
      <c r="HZ442" s="93"/>
      <c r="IA442" s="20"/>
      <c r="IB442" s="19"/>
      <c r="IC442" s="93"/>
      <c r="ID442" s="93"/>
      <c r="IE442" s="93"/>
      <c r="IF442" s="93"/>
      <c r="IG442" s="20"/>
      <c r="IH442" s="19"/>
      <c r="II442" s="93"/>
      <c r="IJ442" s="93"/>
      <c r="IK442" s="93"/>
      <c r="IL442" s="93"/>
      <c r="IM442" s="93"/>
      <c r="IN442" s="93"/>
      <c r="IO442" s="20"/>
      <c r="IP442" s="29"/>
      <c r="IQ442" s="19"/>
      <c r="IR442" s="93"/>
      <c r="IS442" s="93"/>
      <c r="IT442" s="93"/>
      <c r="IU442" s="93"/>
      <c r="IV442" s="20"/>
      <c r="IW442" s="29"/>
      <c r="IX442" s="19"/>
      <c r="IY442" s="93"/>
      <c r="IZ442" s="93"/>
      <c r="JA442" s="93"/>
      <c r="JB442" s="93"/>
      <c r="JC442" s="93"/>
      <c r="JD442" s="93"/>
      <c r="JE442" s="20"/>
      <c r="JF442" s="29"/>
      <c r="JG442" s="19"/>
      <c r="JH442" s="93"/>
      <c r="JI442" s="93"/>
      <c r="JJ442" s="93"/>
      <c r="JK442" s="93"/>
      <c r="JL442" s="93"/>
      <c r="JM442" s="93"/>
      <c r="JN442" s="20"/>
      <c r="JO442" s="29"/>
      <c r="JP442" s="19"/>
      <c r="JQ442" s="93"/>
      <c r="JR442" s="93"/>
      <c r="JS442" s="93"/>
      <c r="JT442" s="93"/>
      <c r="JU442" s="20"/>
      <c r="JV442" s="29"/>
      <c r="JW442" s="1504">
        <v>47908</v>
      </c>
      <c r="JX442" s="19"/>
      <c r="JY442" s="93"/>
      <c r="JZ442" s="93"/>
      <c r="KA442" s="93"/>
      <c r="KB442" s="93"/>
      <c r="KC442" s="93"/>
      <c r="KD442" s="20"/>
      <c r="KE442" s="29"/>
      <c r="KF442" s="19"/>
      <c r="KG442" s="93"/>
      <c r="KH442" s="93"/>
      <c r="KI442" s="93"/>
      <c r="KJ442" s="93"/>
      <c r="KK442" s="20"/>
      <c r="KL442" s="29"/>
      <c r="KM442" s="19"/>
      <c r="KN442" s="93"/>
      <c r="KO442" s="93"/>
      <c r="KP442" s="93"/>
      <c r="KQ442" s="93"/>
      <c r="KR442" s="20"/>
      <c r="KS442" s="29"/>
      <c r="KT442" s="19"/>
      <c r="KU442" s="93"/>
      <c r="KV442" s="93"/>
      <c r="KW442" s="93"/>
      <c r="KX442" s="93"/>
      <c r="KY442" s="20"/>
      <c r="KZ442" s="29"/>
      <c r="LA442" s="1504">
        <v>47908</v>
      </c>
      <c r="LB442" s="19"/>
      <c r="LC442" s="93"/>
      <c r="LD442" s="93"/>
      <c r="LE442" s="93"/>
      <c r="LF442" s="93"/>
      <c r="LG442" s="93"/>
      <c r="LH442" s="20"/>
      <c r="LI442" s="29"/>
      <c r="LJ442" s="19"/>
      <c r="LK442" s="93"/>
      <c r="LL442" s="93"/>
      <c r="LM442" s="93"/>
      <c r="LN442" s="93"/>
      <c r="LO442" s="20"/>
      <c r="LP442" s="29"/>
      <c r="LQ442" s="19"/>
      <c r="LR442" s="93"/>
      <c r="LS442" s="93"/>
      <c r="LT442" s="93"/>
      <c r="LU442" s="93"/>
      <c r="LV442" s="93"/>
      <c r="LW442" s="93"/>
      <c r="LX442" s="93"/>
      <c r="LY442" s="93"/>
      <c r="LZ442" s="93"/>
      <c r="MA442" s="20"/>
      <c r="MB442" s="29"/>
      <c r="MC442" s="1504">
        <v>47908</v>
      </c>
      <c r="MD442" s="19"/>
      <c r="ME442" s="93"/>
      <c r="MF442" s="93"/>
      <c r="MG442" s="93"/>
      <c r="MH442" s="93"/>
      <c r="MI442" s="93"/>
      <c r="MJ442" s="93"/>
      <c r="MK442" s="93"/>
      <c r="ML442" s="93"/>
      <c r="MM442" s="93"/>
      <c r="MN442" s="93"/>
      <c r="MO442" s="93"/>
      <c r="MP442" s="93"/>
      <c r="MQ442" s="93"/>
      <c r="MR442" s="93"/>
      <c r="MS442" s="93"/>
      <c r="MT442" s="93"/>
      <c r="MU442" s="93"/>
      <c r="MV442" s="93"/>
      <c r="MW442" s="93"/>
      <c r="MX442" s="93"/>
      <c r="MY442" s="93"/>
      <c r="MZ442" s="93"/>
      <c r="NA442" s="93"/>
      <c r="NB442" s="93"/>
      <c r="NC442" s="93"/>
      <c r="ND442" s="93"/>
      <c r="NE442" s="93"/>
      <c r="NF442" s="93"/>
      <c r="NG442" s="93"/>
      <c r="NH442" s="93"/>
      <c r="NI442" s="93"/>
      <c r="NJ442" s="93"/>
      <c r="NK442" s="93"/>
      <c r="NL442" s="93"/>
      <c r="NM442" s="93"/>
      <c r="NN442" s="93"/>
      <c r="NO442" s="93"/>
      <c r="NP442" s="93"/>
      <c r="NQ442" s="93"/>
      <c r="NR442" s="93"/>
      <c r="NS442" s="93"/>
      <c r="NT442" s="93"/>
      <c r="NU442" s="93"/>
      <c r="NV442" s="93"/>
      <c r="NW442" s="93"/>
      <c r="NX442" s="93"/>
      <c r="NY442" s="93"/>
      <c r="NZ442" s="93"/>
      <c r="OA442" s="93"/>
      <c r="OB442" s="93"/>
      <c r="OC442" s="93"/>
      <c r="OD442" s="20"/>
      <c r="OE442" s="29"/>
      <c r="OF442" s="1504">
        <v>47908</v>
      </c>
      <c r="OG442" s="19"/>
      <c r="OH442" s="93"/>
      <c r="OI442" s="93"/>
      <c r="OJ442" s="93"/>
      <c r="OK442" s="93"/>
      <c r="OL442" s="93"/>
      <c r="OM442" s="93"/>
      <c r="ON442" s="93"/>
      <c r="OO442" s="93"/>
      <c r="OP442" s="93"/>
      <c r="OQ442" s="93"/>
      <c r="OR442" s="93"/>
      <c r="OS442" s="93"/>
      <c r="OT442" s="93"/>
      <c r="OU442" s="93"/>
      <c r="OV442" s="93"/>
      <c r="OW442" s="93"/>
      <c r="OX442" s="93"/>
      <c r="OY442" s="93"/>
      <c r="OZ442" s="93"/>
      <c r="PA442" s="93"/>
      <c r="PB442" s="93"/>
      <c r="PC442" s="20"/>
      <c r="PD442" s="29"/>
      <c r="PE442" s="19"/>
      <c r="PF442" s="93"/>
      <c r="PG442" s="93"/>
      <c r="PH442" s="93"/>
      <c r="PI442" s="93"/>
      <c r="PJ442" s="93"/>
      <c r="PK442" s="93"/>
      <c r="PL442" s="93"/>
      <c r="PM442" s="93"/>
      <c r="PN442" s="93"/>
      <c r="PO442" s="93"/>
      <c r="PP442" s="93"/>
      <c r="PQ442" s="93"/>
      <c r="PR442" s="93"/>
      <c r="PS442" s="93"/>
      <c r="PT442" s="93"/>
      <c r="PU442" s="93"/>
      <c r="PV442" s="93"/>
      <c r="PW442" s="93"/>
      <c r="PX442" s="93"/>
      <c r="PY442" s="93"/>
      <c r="PZ442" s="93"/>
      <c r="QA442" s="93"/>
      <c r="QB442" s="93"/>
      <c r="QC442" s="93"/>
      <c r="QD442" s="93"/>
      <c r="QE442" s="20"/>
      <c r="QF442" s="1739"/>
      <c r="QG442" s="19"/>
      <c r="QH442" s="93"/>
      <c r="QI442" s="93"/>
      <c r="QJ442" s="93"/>
      <c r="QK442" s="93"/>
      <c r="QL442" s="93"/>
      <c r="QM442" s="93"/>
      <c r="QN442" s="93"/>
      <c r="QO442" s="93"/>
      <c r="QP442" s="93"/>
      <c r="QQ442" s="93"/>
      <c r="QR442" s="93"/>
      <c r="QS442" s="93"/>
      <c r="QT442" s="93"/>
      <c r="QU442" s="93"/>
      <c r="QV442" s="93"/>
      <c r="QW442" s="93"/>
      <c r="QX442" s="93"/>
      <c r="QY442" s="93"/>
      <c r="QZ442" s="93"/>
      <c r="RA442" s="93"/>
      <c r="RB442" s="93"/>
      <c r="RC442" s="93"/>
      <c r="RD442" s="93"/>
      <c r="RE442" s="93"/>
      <c r="RF442" s="93"/>
      <c r="RG442" s="93"/>
      <c r="RH442" s="93"/>
      <c r="RI442" s="93"/>
      <c r="RJ442" s="93"/>
      <c r="RK442" s="93"/>
      <c r="RL442" s="93"/>
      <c r="RM442" s="20"/>
      <c r="RN442" s="29"/>
      <c r="RO442" s="19"/>
      <c r="RP442" s="20"/>
      <c r="RQ442" s="29"/>
      <c r="RR442" s="20"/>
      <c r="RS442" s="29"/>
      <c r="RT442" s="1504">
        <v>47908</v>
      </c>
      <c r="RU442" s="19"/>
      <c r="RV442" s="20"/>
      <c r="RW442" s="29"/>
      <c r="RX442" s="1504">
        <v>47908</v>
      </c>
      <c r="RY442" s="29"/>
      <c r="RZ442" s="20"/>
      <c r="SA442" s="29"/>
      <c r="SB442" s="29"/>
    </row>
    <row r="443" spans="1:496">
      <c r="A443" s="41">
        <f t="shared" si="358"/>
        <v>2031</v>
      </c>
      <c r="B443" s="1504">
        <v>47939</v>
      </c>
      <c r="C443" s="1813"/>
      <c r="D443" s="1814"/>
      <c r="E443" s="1814"/>
      <c r="F443" s="1815"/>
      <c r="G443" s="1814"/>
      <c r="H443" s="1814"/>
      <c r="I443" s="1814"/>
      <c r="J443" s="1816"/>
      <c r="K443" s="1807"/>
      <c r="L443" s="25"/>
      <c r="M443" s="97"/>
      <c r="N443" s="1504">
        <v>47939</v>
      </c>
      <c r="O443" s="19"/>
      <c r="P443" s="93"/>
      <c r="Q443" s="93"/>
      <c r="R443" s="93"/>
      <c r="S443" s="93"/>
      <c r="T443" s="93"/>
      <c r="U443" s="93"/>
      <c r="V443" s="93"/>
      <c r="W443" s="93"/>
      <c r="X443" s="93"/>
      <c r="Y443" s="93"/>
      <c r="Z443" s="93"/>
      <c r="AA443" s="93"/>
      <c r="AB443" s="20"/>
      <c r="AC443" s="25"/>
      <c r="AD443" s="97"/>
      <c r="AE443" s="1504">
        <v>47939</v>
      </c>
      <c r="AF443" s="19"/>
      <c r="AG443" s="93"/>
      <c r="AH443" s="93"/>
      <c r="AI443" s="93"/>
      <c r="AJ443" s="93"/>
      <c r="AK443" s="93"/>
      <c r="AL443" s="93"/>
      <c r="AM443" s="93"/>
      <c r="AN443" s="93"/>
      <c r="AO443" s="93"/>
      <c r="AP443" s="93"/>
      <c r="AQ443" s="93"/>
      <c r="AR443" s="93"/>
      <c r="AS443" s="20"/>
      <c r="AT443" s="25"/>
      <c r="AU443" s="97"/>
      <c r="AV443" s="1504">
        <v>47939</v>
      </c>
      <c r="AW443" s="19"/>
      <c r="AX443" s="93"/>
      <c r="AY443" s="93"/>
      <c r="AZ443" s="93"/>
      <c r="BA443" s="93"/>
      <c r="BB443" s="93"/>
      <c r="BC443" s="93"/>
      <c r="BD443" s="93"/>
      <c r="BE443" s="93"/>
      <c r="BF443" s="93"/>
      <c r="BG443" s="93"/>
      <c r="BH443" s="93"/>
      <c r="BI443" s="93"/>
      <c r="BJ443" s="20"/>
      <c r="BK443" s="25"/>
      <c r="BL443" s="97"/>
      <c r="BM443" s="1504">
        <v>47939</v>
      </c>
      <c r="BN443" s="19"/>
      <c r="BO443" s="93"/>
      <c r="BP443" s="93"/>
      <c r="BQ443" s="93"/>
      <c r="BR443" s="93"/>
      <c r="BS443" s="93"/>
      <c r="BT443" s="93"/>
      <c r="BU443" s="20"/>
      <c r="BV443" s="25"/>
      <c r="BW443" s="97"/>
      <c r="BX443" s="1504">
        <v>47939</v>
      </c>
      <c r="BY443" s="19"/>
      <c r="BZ443" s="93"/>
      <c r="CA443" s="93"/>
      <c r="CB443" s="93"/>
      <c r="CC443" s="93"/>
      <c r="CD443" s="25"/>
      <c r="CE443" s="97"/>
      <c r="CF443" s="1504">
        <v>47939</v>
      </c>
      <c r="CG443" s="19"/>
      <c r="CH443" s="93"/>
      <c r="CI443" s="219"/>
      <c r="CJ443" s="20"/>
      <c r="CK443" s="19"/>
      <c r="CL443" s="93"/>
      <c r="CM443" s="93"/>
      <c r="CN443" s="93"/>
      <c r="CO443" s="93"/>
      <c r="CP443" s="20"/>
      <c r="CQ443" s="219"/>
      <c r="CR443" s="93"/>
      <c r="CS443" s="93"/>
      <c r="CT443" s="93"/>
      <c r="CU443" s="93"/>
      <c r="CV443" s="214"/>
      <c r="CW443" s="29"/>
      <c r="CX443" s="41">
        <f t="shared" si="357"/>
        <v>2031</v>
      </c>
      <c r="CY443" s="1504">
        <v>47939</v>
      </c>
      <c r="CZ443" s="19"/>
      <c r="DA443" s="93"/>
      <c r="DB443" s="93"/>
      <c r="DC443" s="93"/>
      <c r="DD443" s="93"/>
      <c r="DE443" s="20"/>
      <c r="DF443" s="29"/>
      <c r="DG443" s="1504">
        <v>47939</v>
      </c>
      <c r="DH443" s="19"/>
      <c r="DI443" s="93"/>
      <c r="DJ443" s="93"/>
      <c r="DK443" s="93"/>
      <c r="DL443" s="93"/>
      <c r="DM443" s="93"/>
      <c r="DN443" s="20"/>
      <c r="DO443" s="295"/>
      <c r="DP443" s="29"/>
      <c r="DQ443" s="1504">
        <v>47939</v>
      </c>
      <c r="DR443" s="19"/>
      <c r="DS443" s="93"/>
      <c r="DT443" s="93"/>
      <c r="DU443" s="93"/>
      <c r="DV443" s="93"/>
      <c r="DW443" s="93"/>
      <c r="DX443" s="20"/>
      <c r="DY443" s="29"/>
      <c r="DZ443" s="1504">
        <v>47939</v>
      </c>
      <c r="EA443" s="19"/>
      <c r="EB443" s="93"/>
      <c r="EC443" s="20"/>
      <c r="ED443" s="29"/>
      <c r="EE443" s="1504">
        <v>47939</v>
      </c>
      <c r="EF443" s="19"/>
      <c r="EG443" s="93"/>
      <c r="EH443" s="93"/>
      <c r="EI443" s="214"/>
      <c r="EJ443" s="93"/>
      <c r="EK443" s="93"/>
      <c r="EL443" s="93"/>
      <c r="EM443" s="93"/>
      <c r="EN443" s="20"/>
      <c r="EO443" s="29"/>
      <c r="EP443" s="1504">
        <v>47939</v>
      </c>
      <c r="EQ443" s="19"/>
      <c r="ER443" s="93"/>
      <c r="ES443" s="93"/>
      <c r="ET443" s="214"/>
      <c r="EU443" s="93"/>
      <c r="EV443" s="93"/>
      <c r="EW443" s="93"/>
      <c r="EX443" s="93"/>
      <c r="EY443" s="20"/>
      <c r="EZ443" s="29"/>
      <c r="FA443" s="1504">
        <v>47939</v>
      </c>
      <c r="FB443" s="29"/>
      <c r="FC443" s="29"/>
      <c r="FD443" s="29"/>
      <c r="FE443" s="29"/>
      <c r="FF443" s="29"/>
      <c r="FG443" s="29"/>
      <c r="FH443" s="29"/>
      <c r="FI443" s="29"/>
      <c r="FJ443" s="29"/>
      <c r="FK443" s="29"/>
      <c r="FL443" s="1504">
        <v>47939</v>
      </c>
      <c r="FM443" s="19"/>
      <c r="FN443" s="93"/>
      <c r="FO443" s="93"/>
      <c r="FP443" s="93"/>
      <c r="FQ443" s="93"/>
      <c r="FR443" s="93"/>
      <c r="FS443" s="93"/>
      <c r="FT443" s="93"/>
      <c r="FU443" s="93"/>
      <c r="FV443" s="93"/>
      <c r="FW443" s="93"/>
      <c r="FX443" s="93"/>
      <c r="FY443" s="93"/>
      <c r="FZ443" s="29"/>
      <c r="GA443" s="1504">
        <v>47939</v>
      </c>
      <c r="GB443" s="19"/>
      <c r="GC443" s="93"/>
      <c r="GD443" s="93"/>
      <c r="GE443" s="93"/>
      <c r="GF443" s="93"/>
      <c r="GG443" s="93"/>
      <c r="GH443" s="93"/>
      <c r="GI443" s="93"/>
      <c r="GJ443" s="93"/>
      <c r="GK443" s="93"/>
      <c r="GL443" s="93"/>
      <c r="GM443" s="93"/>
      <c r="GN443" s="20"/>
      <c r="GO443" s="29"/>
      <c r="GP443" s="1504">
        <v>47939</v>
      </c>
      <c r="GQ443" s="19"/>
      <c r="GR443" s="93"/>
      <c r="GS443" s="93"/>
      <c r="GT443" s="93"/>
      <c r="GU443" s="93"/>
      <c r="GV443" s="20"/>
      <c r="GW443" s="19"/>
      <c r="GX443" s="93"/>
      <c r="GY443" s="93"/>
      <c r="GZ443" s="93"/>
      <c r="HA443" s="93"/>
      <c r="HB443" s="20"/>
      <c r="HC443" s="19"/>
      <c r="HD443" s="93"/>
      <c r="HE443" s="93"/>
      <c r="HF443" s="93"/>
      <c r="HG443" s="93"/>
      <c r="HH443" s="20"/>
      <c r="HI443" s="19"/>
      <c r="HJ443" s="93"/>
      <c r="HK443" s="93"/>
      <c r="HL443" s="93"/>
      <c r="HM443" s="93"/>
      <c r="HN443" s="20"/>
      <c r="HO443" s="219"/>
      <c r="HP443" s="20"/>
      <c r="HQ443" s="25"/>
      <c r="HR443" s="29"/>
      <c r="HS443" s="1504">
        <v>47939</v>
      </c>
      <c r="HT443" s="19"/>
      <c r="HU443" s="93"/>
      <c r="HV443" s="93"/>
      <c r="HW443" s="93"/>
      <c r="HX443" s="93"/>
      <c r="HY443" s="93"/>
      <c r="HZ443" s="93"/>
      <c r="IA443" s="20"/>
      <c r="IB443" s="19"/>
      <c r="IC443" s="93"/>
      <c r="ID443" s="93"/>
      <c r="IE443" s="93"/>
      <c r="IF443" s="93"/>
      <c r="IG443" s="20"/>
      <c r="IH443" s="19"/>
      <c r="II443" s="93"/>
      <c r="IJ443" s="93"/>
      <c r="IK443" s="93"/>
      <c r="IL443" s="93"/>
      <c r="IM443" s="93"/>
      <c r="IN443" s="93"/>
      <c r="IO443" s="20"/>
      <c r="IP443" s="29"/>
      <c r="IQ443" s="19"/>
      <c r="IR443" s="93"/>
      <c r="IS443" s="93"/>
      <c r="IT443" s="93"/>
      <c r="IU443" s="93"/>
      <c r="IV443" s="20"/>
      <c r="IW443" s="29"/>
      <c r="IX443" s="19"/>
      <c r="IY443" s="93"/>
      <c r="IZ443" s="93"/>
      <c r="JA443" s="93"/>
      <c r="JB443" s="93"/>
      <c r="JC443" s="93"/>
      <c r="JD443" s="93"/>
      <c r="JE443" s="20"/>
      <c r="JF443" s="29"/>
      <c r="JG443" s="19"/>
      <c r="JH443" s="93"/>
      <c r="JI443" s="93"/>
      <c r="JJ443" s="93"/>
      <c r="JK443" s="93"/>
      <c r="JL443" s="93"/>
      <c r="JM443" s="93"/>
      <c r="JN443" s="20"/>
      <c r="JO443" s="29"/>
      <c r="JP443" s="19"/>
      <c r="JQ443" s="93"/>
      <c r="JR443" s="93"/>
      <c r="JS443" s="93"/>
      <c r="JT443" s="93"/>
      <c r="JU443" s="20"/>
      <c r="JV443" s="29"/>
      <c r="JW443" s="1504">
        <v>47939</v>
      </c>
      <c r="JX443" s="19"/>
      <c r="JY443" s="93"/>
      <c r="JZ443" s="93"/>
      <c r="KA443" s="93"/>
      <c r="KB443" s="93"/>
      <c r="KC443" s="93"/>
      <c r="KD443" s="20"/>
      <c r="KE443" s="29"/>
      <c r="KF443" s="19"/>
      <c r="KG443" s="93"/>
      <c r="KH443" s="93"/>
      <c r="KI443" s="93"/>
      <c r="KJ443" s="93"/>
      <c r="KK443" s="20"/>
      <c r="KL443" s="29"/>
      <c r="KM443" s="19"/>
      <c r="KN443" s="93"/>
      <c r="KO443" s="93"/>
      <c r="KP443" s="93"/>
      <c r="KQ443" s="93"/>
      <c r="KR443" s="20"/>
      <c r="KS443" s="29"/>
      <c r="KT443" s="19"/>
      <c r="KU443" s="93"/>
      <c r="KV443" s="93"/>
      <c r="KW443" s="93"/>
      <c r="KX443" s="93"/>
      <c r="KY443" s="20"/>
      <c r="KZ443" s="29"/>
      <c r="LA443" s="1504">
        <v>47939</v>
      </c>
      <c r="LB443" s="19"/>
      <c r="LC443" s="93"/>
      <c r="LD443" s="93"/>
      <c r="LE443" s="93"/>
      <c r="LF443" s="93"/>
      <c r="LG443" s="93"/>
      <c r="LH443" s="20"/>
      <c r="LI443" s="29"/>
      <c r="LJ443" s="19"/>
      <c r="LK443" s="93"/>
      <c r="LL443" s="93"/>
      <c r="LM443" s="93"/>
      <c r="LN443" s="93"/>
      <c r="LO443" s="20"/>
      <c r="LP443" s="29"/>
      <c r="LQ443" s="19"/>
      <c r="LR443" s="93"/>
      <c r="LS443" s="93"/>
      <c r="LT443" s="93"/>
      <c r="LU443" s="93"/>
      <c r="LV443" s="93"/>
      <c r="LW443" s="93"/>
      <c r="LX443" s="93"/>
      <c r="LY443" s="93"/>
      <c r="LZ443" s="93"/>
      <c r="MA443" s="20"/>
      <c r="MB443" s="29"/>
      <c r="MC443" s="1504">
        <v>47939</v>
      </c>
      <c r="MD443" s="19"/>
      <c r="ME443" s="93"/>
      <c r="MF443" s="93"/>
      <c r="MG443" s="93"/>
      <c r="MH443" s="93"/>
      <c r="MI443" s="93"/>
      <c r="MJ443" s="93"/>
      <c r="MK443" s="93"/>
      <c r="ML443" s="93"/>
      <c r="MM443" s="93"/>
      <c r="MN443" s="93"/>
      <c r="MO443" s="93"/>
      <c r="MP443" s="93"/>
      <c r="MQ443" s="93"/>
      <c r="MR443" s="93"/>
      <c r="MS443" s="93"/>
      <c r="MT443" s="93"/>
      <c r="MU443" s="93"/>
      <c r="MV443" s="93"/>
      <c r="MW443" s="93"/>
      <c r="MX443" s="93"/>
      <c r="MY443" s="93"/>
      <c r="MZ443" s="93"/>
      <c r="NA443" s="93"/>
      <c r="NB443" s="93"/>
      <c r="NC443" s="93"/>
      <c r="ND443" s="93"/>
      <c r="NE443" s="93"/>
      <c r="NF443" s="93"/>
      <c r="NG443" s="93"/>
      <c r="NH443" s="93"/>
      <c r="NI443" s="93"/>
      <c r="NJ443" s="93"/>
      <c r="NK443" s="93"/>
      <c r="NL443" s="93"/>
      <c r="NM443" s="93"/>
      <c r="NN443" s="93"/>
      <c r="NO443" s="93"/>
      <c r="NP443" s="93"/>
      <c r="NQ443" s="93"/>
      <c r="NR443" s="93"/>
      <c r="NS443" s="93"/>
      <c r="NT443" s="93"/>
      <c r="NU443" s="93"/>
      <c r="NV443" s="93"/>
      <c r="NW443" s="93"/>
      <c r="NX443" s="93"/>
      <c r="NY443" s="93"/>
      <c r="NZ443" s="93"/>
      <c r="OA443" s="93"/>
      <c r="OB443" s="93"/>
      <c r="OC443" s="93"/>
      <c r="OD443" s="20"/>
      <c r="OE443" s="29"/>
      <c r="OF443" s="1504">
        <v>47939</v>
      </c>
      <c r="OG443" s="19"/>
      <c r="OH443" s="93"/>
      <c r="OI443" s="93"/>
      <c r="OJ443" s="93"/>
      <c r="OK443" s="93"/>
      <c r="OL443" s="93"/>
      <c r="OM443" s="93"/>
      <c r="ON443" s="93"/>
      <c r="OO443" s="93"/>
      <c r="OP443" s="93"/>
      <c r="OQ443" s="93"/>
      <c r="OR443" s="93"/>
      <c r="OS443" s="93"/>
      <c r="OT443" s="93"/>
      <c r="OU443" s="93"/>
      <c r="OV443" s="93"/>
      <c r="OW443" s="93"/>
      <c r="OX443" s="93"/>
      <c r="OY443" s="93"/>
      <c r="OZ443" s="93"/>
      <c r="PA443" s="93"/>
      <c r="PB443" s="93"/>
      <c r="PC443" s="20"/>
      <c r="PD443" s="29"/>
      <c r="PE443" s="19"/>
      <c r="PF443" s="93"/>
      <c r="PG443" s="93"/>
      <c r="PH443" s="93"/>
      <c r="PI443" s="93"/>
      <c r="PJ443" s="93"/>
      <c r="PK443" s="93"/>
      <c r="PL443" s="93"/>
      <c r="PM443" s="93"/>
      <c r="PN443" s="93"/>
      <c r="PO443" s="93"/>
      <c r="PP443" s="93"/>
      <c r="PQ443" s="93"/>
      <c r="PR443" s="93"/>
      <c r="PS443" s="93"/>
      <c r="PT443" s="93"/>
      <c r="PU443" s="93"/>
      <c r="PV443" s="93"/>
      <c r="PW443" s="93"/>
      <c r="PX443" s="93"/>
      <c r="PY443" s="93"/>
      <c r="PZ443" s="93"/>
      <c r="QA443" s="93"/>
      <c r="QB443" s="93"/>
      <c r="QC443" s="93"/>
      <c r="QD443" s="93"/>
      <c r="QE443" s="20"/>
      <c r="QF443" s="1739"/>
      <c r="QG443" s="19"/>
      <c r="QH443" s="93"/>
      <c r="QI443" s="93"/>
      <c r="QJ443" s="93"/>
      <c r="QK443" s="93"/>
      <c r="QL443" s="93"/>
      <c r="QM443" s="93"/>
      <c r="QN443" s="93"/>
      <c r="QO443" s="93"/>
      <c r="QP443" s="93"/>
      <c r="QQ443" s="93"/>
      <c r="QR443" s="93"/>
      <c r="QS443" s="93"/>
      <c r="QT443" s="93"/>
      <c r="QU443" s="93"/>
      <c r="QV443" s="93"/>
      <c r="QW443" s="93"/>
      <c r="QX443" s="93"/>
      <c r="QY443" s="93"/>
      <c r="QZ443" s="93"/>
      <c r="RA443" s="93"/>
      <c r="RB443" s="93"/>
      <c r="RC443" s="93"/>
      <c r="RD443" s="93"/>
      <c r="RE443" s="93"/>
      <c r="RF443" s="93"/>
      <c r="RG443" s="93"/>
      <c r="RH443" s="93"/>
      <c r="RI443" s="93"/>
      <c r="RJ443" s="93"/>
      <c r="RK443" s="93"/>
      <c r="RL443" s="93"/>
      <c r="RM443" s="20"/>
      <c r="RN443" s="29"/>
      <c r="RO443" s="19"/>
      <c r="RP443" s="20"/>
      <c r="RQ443" s="29"/>
      <c r="RR443" s="20"/>
      <c r="RS443" s="29"/>
      <c r="RT443" s="1504">
        <v>47939</v>
      </c>
      <c r="RU443" s="19"/>
      <c r="RV443" s="20"/>
      <c r="RW443" s="29"/>
      <c r="RX443" s="1504">
        <v>47939</v>
      </c>
      <c r="RY443" s="29"/>
      <c r="RZ443" s="20"/>
      <c r="SA443" s="29"/>
      <c r="SB443" s="29"/>
    </row>
    <row r="444" spans="1:496">
      <c r="A444" s="41">
        <f t="shared" si="358"/>
        <v>2031</v>
      </c>
      <c r="B444" s="1504">
        <v>47969</v>
      </c>
      <c r="C444" s="1813"/>
      <c r="D444" s="1814"/>
      <c r="E444" s="1814"/>
      <c r="F444" s="1815"/>
      <c r="G444" s="1814"/>
      <c r="H444" s="1814"/>
      <c r="I444" s="1814"/>
      <c r="J444" s="1816"/>
      <c r="K444" s="1807"/>
      <c r="L444" s="25"/>
      <c r="M444" s="97"/>
      <c r="N444" s="1504">
        <v>47969</v>
      </c>
      <c r="O444" s="19"/>
      <c r="P444" s="93"/>
      <c r="Q444" s="93"/>
      <c r="R444" s="93"/>
      <c r="S444" s="93"/>
      <c r="T444" s="93"/>
      <c r="U444" s="93"/>
      <c r="V444" s="93"/>
      <c r="W444" s="93"/>
      <c r="X444" s="93"/>
      <c r="Y444" s="93"/>
      <c r="Z444" s="93"/>
      <c r="AA444" s="93"/>
      <c r="AB444" s="20"/>
      <c r="AC444" s="25"/>
      <c r="AD444" s="97"/>
      <c r="AE444" s="1504">
        <v>47969</v>
      </c>
      <c r="AF444" s="19"/>
      <c r="AG444" s="93"/>
      <c r="AH444" s="93"/>
      <c r="AI444" s="93"/>
      <c r="AJ444" s="93"/>
      <c r="AK444" s="93"/>
      <c r="AL444" s="93"/>
      <c r="AM444" s="93"/>
      <c r="AN444" s="93"/>
      <c r="AO444" s="93"/>
      <c r="AP444" s="93"/>
      <c r="AQ444" s="93"/>
      <c r="AR444" s="93"/>
      <c r="AS444" s="20"/>
      <c r="AT444" s="25"/>
      <c r="AU444" s="97"/>
      <c r="AV444" s="1504">
        <v>47969</v>
      </c>
      <c r="AW444" s="19"/>
      <c r="AX444" s="93"/>
      <c r="AY444" s="93"/>
      <c r="AZ444" s="93"/>
      <c r="BA444" s="93"/>
      <c r="BB444" s="93"/>
      <c r="BC444" s="93"/>
      <c r="BD444" s="93"/>
      <c r="BE444" s="93"/>
      <c r="BF444" s="93"/>
      <c r="BG444" s="93"/>
      <c r="BH444" s="93"/>
      <c r="BI444" s="93"/>
      <c r="BJ444" s="20"/>
      <c r="BK444" s="25"/>
      <c r="BL444" s="97"/>
      <c r="BM444" s="1504">
        <v>47969</v>
      </c>
      <c r="BN444" s="19"/>
      <c r="BO444" s="93"/>
      <c r="BP444" s="93"/>
      <c r="BQ444" s="93"/>
      <c r="BR444" s="93"/>
      <c r="BS444" s="93"/>
      <c r="BT444" s="93"/>
      <c r="BU444" s="20"/>
      <c r="BV444" s="25"/>
      <c r="BW444" s="97"/>
      <c r="BX444" s="1504">
        <v>47969</v>
      </c>
      <c r="BY444" s="19"/>
      <c r="BZ444" s="93"/>
      <c r="CA444" s="93"/>
      <c r="CB444" s="93"/>
      <c r="CC444" s="93"/>
      <c r="CD444" s="25"/>
      <c r="CE444" s="97"/>
      <c r="CF444" s="1504">
        <v>47969</v>
      </c>
      <c r="CG444" s="19"/>
      <c r="CH444" s="93"/>
      <c r="CI444" s="219"/>
      <c r="CJ444" s="20"/>
      <c r="CK444" s="19"/>
      <c r="CL444" s="93"/>
      <c r="CM444" s="93"/>
      <c r="CN444" s="93"/>
      <c r="CO444" s="93"/>
      <c r="CP444" s="20"/>
      <c r="CQ444" s="219"/>
      <c r="CR444" s="93"/>
      <c r="CS444" s="93"/>
      <c r="CT444" s="93"/>
      <c r="CU444" s="93"/>
      <c r="CV444" s="214"/>
      <c r="CW444" s="29"/>
      <c r="CX444" s="41">
        <f t="shared" si="357"/>
        <v>2031</v>
      </c>
      <c r="CY444" s="1504">
        <v>47969</v>
      </c>
      <c r="CZ444" s="19"/>
      <c r="DA444" s="93"/>
      <c r="DB444" s="93"/>
      <c r="DC444" s="93"/>
      <c r="DD444" s="93"/>
      <c r="DE444" s="20"/>
      <c r="DF444" s="29"/>
      <c r="DG444" s="1504">
        <v>47969</v>
      </c>
      <c r="DH444" s="19"/>
      <c r="DI444" s="93"/>
      <c r="DJ444" s="93"/>
      <c r="DK444" s="93"/>
      <c r="DL444" s="93"/>
      <c r="DM444" s="93"/>
      <c r="DN444" s="20"/>
      <c r="DO444" s="295"/>
      <c r="DP444" s="29"/>
      <c r="DQ444" s="1504">
        <v>47969</v>
      </c>
      <c r="DR444" s="19"/>
      <c r="DS444" s="93"/>
      <c r="DT444" s="93"/>
      <c r="DU444" s="93"/>
      <c r="DV444" s="93"/>
      <c r="DW444" s="93"/>
      <c r="DX444" s="20"/>
      <c r="DY444" s="29"/>
      <c r="DZ444" s="1504">
        <v>47969</v>
      </c>
      <c r="EA444" s="19"/>
      <c r="EB444" s="93"/>
      <c r="EC444" s="20"/>
      <c r="ED444" s="29"/>
      <c r="EE444" s="1504">
        <v>47969</v>
      </c>
      <c r="EF444" s="19"/>
      <c r="EG444" s="93"/>
      <c r="EH444" s="93"/>
      <c r="EI444" s="214"/>
      <c r="EJ444" s="93"/>
      <c r="EK444" s="93"/>
      <c r="EL444" s="93"/>
      <c r="EM444" s="93"/>
      <c r="EN444" s="20"/>
      <c r="EO444" s="29"/>
      <c r="EP444" s="1504">
        <v>47969</v>
      </c>
      <c r="EQ444" s="19"/>
      <c r="ER444" s="93"/>
      <c r="ES444" s="93"/>
      <c r="ET444" s="214"/>
      <c r="EU444" s="93"/>
      <c r="EV444" s="93"/>
      <c r="EW444" s="93"/>
      <c r="EX444" s="93"/>
      <c r="EY444" s="20"/>
      <c r="EZ444" s="29"/>
      <c r="FA444" s="1504">
        <v>47969</v>
      </c>
      <c r="FB444" s="29"/>
      <c r="FC444" s="29"/>
      <c r="FD444" s="29"/>
      <c r="FE444" s="29"/>
      <c r="FF444" s="29"/>
      <c r="FG444" s="29"/>
      <c r="FH444" s="29"/>
      <c r="FI444" s="29"/>
      <c r="FJ444" s="29"/>
      <c r="FK444" s="29"/>
      <c r="FL444" s="1504">
        <v>47969</v>
      </c>
      <c r="FM444" s="19"/>
      <c r="FN444" s="93"/>
      <c r="FO444" s="93"/>
      <c r="FP444" s="93"/>
      <c r="FQ444" s="93"/>
      <c r="FR444" s="93"/>
      <c r="FS444" s="93"/>
      <c r="FT444" s="93"/>
      <c r="FU444" s="93"/>
      <c r="FV444" s="93"/>
      <c r="FW444" s="93"/>
      <c r="FX444" s="93"/>
      <c r="FY444" s="93"/>
      <c r="FZ444" s="29"/>
      <c r="GA444" s="1504">
        <v>47969</v>
      </c>
      <c r="GB444" s="19"/>
      <c r="GC444" s="93"/>
      <c r="GD444" s="93"/>
      <c r="GE444" s="93"/>
      <c r="GF444" s="93"/>
      <c r="GG444" s="93"/>
      <c r="GH444" s="93"/>
      <c r="GI444" s="93"/>
      <c r="GJ444" s="93"/>
      <c r="GK444" s="93"/>
      <c r="GL444" s="93"/>
      <c r="GM444" s="93"/>
      <c r="GN444" s="20"/>
      <c r="GO444" s="29"/>
      <c r="GP444" s="1504">
        <v>47969</v>
      </c>
      <c r="GQ444" s="19"/>
      <c r="GR444" s="93"/>
      <c r="GS444" s="93"/>
      <c r="GT444" s="93"/>
      <c r="GU444" s="93"/>
      <c r="GV444" s="20"/>
      <c r="GW444" s="19"/>
      <c r="GX444" s="93"/>
      <c r="GY444" s="93"/>
      <c r="GZ444" s="93"/>
      <c r="HA444" s="93"/>
      <c r="HB444" s="20"/>
      <c r="HC444" s="19"/>
      <c r="HD444" s="93"/>
      <c r="HE444" s="93"/>
      <c r="HF444" s="93"/>
      <c r="HG444" s="93"/>
      <c r="HH444" s="20"/>
      <c r="HI444" s="19"/>
      <c r="HJ444" s="93"/>
      <c r="HK444" s="93"/>
      <c r="HL444" s="93"/>
      <c r="HM444" s="93"/>
      <c r="HN444" s="20"/>
      <c r="HO444" s="219"/>
      <c r="HP444" s="20"/>
      <c r="HQ444" s="25"/>
      <c r="HR444" s="29"/>
      <c r="HS444" s="1504">
        <v>47969</v>
      </c>
      <c r="HT444" s="19"/>
      <c r="HU444" s="93"/>
      <c r="HV444" s="93"/>
      <c r="HW444" s="93"/>
      <c r="HX444" s="93"/>
      <c r="HY444" s="93"/>
      <c r="HZ444" s="93"/>
      <c r="IA444" s="20"/>
      <c r="IB444" s="19"/>
      <c r="IC444" s="93"/>
      <c r="ID444" s="93"/>
      <c r="IE444" s="93"/>
      <c r="IF444" s="93"/>
      <c r="IG444" s="20"/>
      <c r="IH444" s="19"/>
      <c r="II444" s="93"/>
      <c r="IJ444" s="93"/>
      <c r="IK444" s="93"/>
      <c r="IL444" s="93"/>
      <c r="IM444" s="93"/>
      <c r="IN444" s="93"/>
      <c r="IO444" s="20"/>
      <c r="IP444" s="29"/>
      <c r="IQ444" s="19"/>
      <c r="IR444" s="93"/>
      <c r="IS444" s="93"/>
      <c r="IT444" s="93"/>
      <c r="IU444" s="93"/>
      <c r="IV444" s="20"/>
      <c r="IW444" s="29"/>
      <c r="IX444" s="19"/>
      <c r="IY444" s="93"/>
      <c r="IZ444" s="93"/>
      <c r="JA444" s="93"/>
      <c r="JB444" s="93"/>
      <c r="JC444" s="93"/>
      <c r="JD444" s="93"/>
      <c r="JE444" s="20"/>
      <c r="JF444" s="29"/>
      <c r="JG444" s="19"/>
      <c r="JH444" s="93"/>
      <c r="JI444" s="93"/>
      <c r="JJ444" s="93"/>
      <c r="JK444" s="93"/>
      <c r="JL444" s="93"/>
      <c r="JM444" s="93"/>
      <c r="JN444" s="20"/>
      <c r="JO444" s="29"/>
      <c r="JP444" s="19"/>
      <c r="JQ444" s="93"/>
      <c r="JR444" s="93"/>
      <c r="JS444" s="93"/>
      <c r="JT444" s="93"/>
      <c r="JU444" s="20"/>
      <c r="JV444" s="29"/>
      <c r="JW444" s="1504">
        <v>47969</v>
      </c>
      <c r="JX444" s="19"/>
      <c r="JY444" s="93"/>
      <c r="JZ444" s="93"/>
      <c r="KA444" s="93"/>
      <c r="KB444" s="93"/>
      <c r="KC444" s="93"/>
      <c r="KD444" s="20"/>
      <c r="KE444" s="29"/>
      <c r="KF444" s="19"/>
      <c r="KG444" s="93"/>
      <c r="KH444" s="93"/>
      <c r="KI444" s="93"/>
      <c r="KJ444" s="93"/>
      <c r="KK444" s="20"/>
      <c r="KL444" s="29"/>
      <c r="KM444" s="19"/>
      <c r="KN444" s="93"/>
      <c r="KO444" s="93"/>
      <c r="KP444" s="93"/>
      <c r="KQ444" s="93"/>
      <c r="KR444" s="20"/>
      <c r="KS444" s="29"/>
      <c r="KT444" s="19"/>
      <c r="KU444" s="93"/>
      <c r="KV444" s="93"/>
      <c r="KW444" s="93"/>
      <c r="KX444" s="93"/>
      <c r="KY444" s="20"/>
      <c r="KZ444" s="29"/>
      <c r="LA444" s="1504">
        <v>47969</v>
      </c>
      <c r="LB444" s="19"/>
      <c r="LC444" s="93"/>
      <c r="LD444" s="93"/>
      <c r="LE444" s="93"/>
      <c r="LF444" s="93"/>
      <c r="LG444" s="93"/>
      <c r="LH444" s="20"/>
      <c r="LI444" s="29"/>
      <c r="LJ444" s="19"/>
      <c r="LK444" s="93"/>
      <c r="LL444" s="93"/>
      <c r="LM444" s="93"/>
      <c r="LN444" s="93"/>
      <c r="LO444" s="20"/>
      <c r="LP444" s="29"/>
      <c r="LQ444" s="19"/>
      <c r="LR444" s="93"/>
      <c r="LS444" s="93"/>
      <c r="LT444" s="93"/>
      <c r="LU444" s="93"/>
      <c r="LV444" s="93"/>
      <c r="LW444" s="93"/>
      <c r="LX444" s="93"/>
      <c r="LY444" s="93"/>
      <c r="LZ444" s="93"/>
      <c r="MA444" s="20"/>
      <c r="MB444" s="29"/>
      <c r="MC444" s="1504">
        <v>47969</v>
      </c>
      <c r="MD444" s="19"/>
      <c r="ME444" s="93"/>
      <c r="MF444" s="93"/>
      <c r="MG444" s="93"/>
      <c r="MH444" s="93"/>
      <c r="MI444" s="93"/>
      <c r="MJ444" s="93"/>
      <c r="MK444" s="93"/>
      <c r="ML444" s="93"/>
      <c r="MM444" s="93"/>
      <c r="MN444" s="93"/>
      <c r="MO444" s="93"/>
      <c r="MP444" s="93"/>
      <c r="MQ444" s="93"/>
      <c r="MR444" s="93"/>
      <c r="MS444" s="93"/>
      <c r="MT444" s="93"/>
      <c r="MU444" s="93"/>
      <c r="MV444" s="93"/>
      <c r="MW444" s="93"/>
      <c r="MX444" s="93"/>
      <c r="MY444" s="93"/>
      <c r="MZ444" s="93"/>
      <c r="NA444" s="93"/>
      <c r="NB444" s="93"/>
      <c r="NC444" s="93"/>
      <c r="ND444" s="93"/>
      <c r="NE444" s="93"/>
      <c r="NF444" s="93"/>
      <c r="NG444" s="93"/>
      <c r="NH444" s="93"/>
      <c r="NI444" s="93"/>
      <c r="NJ444" s="93"/>
      <c r="NK444" s="93"/>
      <c r="NL444" s="93"/>
      <c r="NM444" s="93"/>
      <c r="NN444" s="93"/>
      <c r="NO444" s="93"/>
      <c r="NP444" s="93"/>
      <c r="NQ444" s="93"/>
      <c r="NR444" s="93"/>
      <c r="NS444" s="93"/>
      <c r="NT444" s="93"/>
      <c r="NU444" s="93"/>
      <c r="NV444" s="93"/>
      <c r="NW444" s="93"/>
      <c r="NX444" s="93"/>
      <c r="NY444" s="93"/>
      <c r="NZ444" s="93"/>
      <c r="OA444" s="93"/>
      <c r="OB444" s="93"/>
      <c r="OC444" s="93"/>
      <c r="OD444" s="20"/>
      <c r="OE444" s="29"/>
      <c r="OF444" s="1504">
        <v>47969</v>
      </c>
      <c r="OG444" s="19"/>
      <c r="OH444" s="93"/>
      <c r="OI444" s="93"/>
      <c r="OJ444" s="93"/>
      <c r="OK444" s="93"/>
      <c r="OL444" s="93"/>
      <c r="OM444" s="93"/>
      <c r="ON444" s="93"/>
      <c r="OO444" s="93"/>
      <c r="OP444" s="93"/>
      <c r="OQ444" s="93"/>
      <c r="OR444" s="93"/>
      <c r="OS444" s="93"/>
      <c r="OT444" s="93"/>
      <c r="OU444" s="93"/>
      <c r="OV444" s="93"/>
      <c r="OW444" s="93"/>
      <c r="OX444" s="93"/>
      <c r="OY444" s="93"/>
      <c r="OZ444" s="93"/>
      <c r="PA444" s="93"/>
      <c r="PB444" s="93"/>
      <c r="PC444" s="20"/>
      <c r="PD444" s="29"/>
      <c r="PE444" s="19"/>
      <c r="PF444" s="93"/>
      <c r="PG444" s="93"/>
      <c r="PH444" s="93"/>
      <c r="PI444" s="93"/>
      <c r="PJ444" s="93"/>
      <c r="PK444" s="93"/>
      <c r="PL444" s="93"/>
      <c r="PM444" s="93"/>
      <c r="PN444" s="93"/>
      <c r="PO444" s="93"/>
      <c r="PP444" s="93"/>
      <c r="PQ444" s="93"/>
      <c r="PR444" s="93"/>
      <c r="PS444" s="93"/>
      <c r="PT444" s="93"/>
      <c r="PU444" s="93"/>
      <c r="PV444" s="93"/>
      <c r="PW444" s="93"/>
      <c r="PX444" s="93"/>
      <c r="PY444" s="93"/>
      <c r="PZ444" s="93"/>
      <c r="QA444" s="93"/>
      <c r="QB444" s="93"/>
      <c r="QC444" s="93"/>
      <c r="QD444" s="93"/>
      <c r="QE444" s="20"/>
      <c r="QF444" s="1739"/>
      <c r="QG444" s="19"/>
      <c r="QH444" s="93"/>
      <c r="QI444" s="93"/>
      <c r="QJ444" s="93"/>
      <c r="QK444" s="93"/>
      <c r="QL444" s="93"/>
      <c r="QM444" s="93"/>
      <c r="QN444" s="93"/>
      <c r="QO444" s="93"/>
      <c r="QP444" s="93"/>
      <c r="QQ444" s="93"/>
      <c r="QR444" s="93"/>
      <c r="QS444" s="93"/>
      <c r="QT444" s="93"/>
      <c r="QU444" s="93"/>
      <c r="QV444" s="93"/>
      <c r="QW444" s="93"/>
      <c r="QX444" s="93"/>
      <c r="QY444" s="93"/>
      <c r="QZ444" s="93"/>
      <c r="RA444" s="93"/>
      <c r="RB444" s="93"/>
      <c r="RC444" s="93"/>
      <c r="RD444" s="93"/>
      <c r="RE444" s="93"/>
      <c r="RF444" s="93"/>
      <c r="RG444" s="93"/>
      <c r="RH444" s="93"/>
      <c r="RI444" s="93"/>
      <c r="RJ444" s="93"/>
      <c r="RK444" s="93"/>
      <c r="RL444" s="93"/>
      <c r="RM444" s="20"/>
      <c r="RN444" s="29"/>
      <c r="RO444" s="19"/>
      <c r="RP444" s="20"/>
      <c r="RQ444" s="29"/>
      <c r="RR444" s="20"/>
      <c r="RS444" s="29"/>
      <c r="RT444" s="1504">
        <v>47969</v>
      </c>
      <c r="RU444" s="19"/>
      <c r="RV444" s="20"/>
      <c r="RW444" s="29"/>
      <c r="RX444" s="1504">
        <v>47969</v>
      </c>
      <c r="RY444" s="29"/>
      <c r="RZ444" s="20"/>
      <c r="SA444" s="29"/>
      <c r="SB444" s="29"/>
    </row>
    <row r="445" spans="1:496">
      <c r="A445" s="41">
        <f t="shared" si="358"/>
        <v>2031</v>
      </c>
      <c r="B445" s="1504">
        <v>48000</v>
      </c>
      <c r="C445" s="1813"/>
      <c r="D445" s="1814"/>
      <c r="E445" s="1814"/>
      <c r="F445" s="1815"/>
      <c r="G445" s="1814"/>
      <c r="H445" s="1814"/>
      <c r="I445" s="1814"/>
      <c r="J445" s="1816"/>
      <c r="K445" s="1807"/>
      <c r="L445" s="25"/>
      <c r="M445" s="97"/>
      <c r="N445" s="1504">
        <v>48000</v>
      </c>
      <c r="O445" s="19"/>
      <c r="P445" s="93"/>
      <c r="Q445" s="93"/>
      <c r="R445" s="93"/>
      <c r="S445" s="93"/>
      <c r="T445" s="93"/>
      <c r="U445" s="93"/>
      <c r="V445" s="93"/>
      <c r="W445" s="93"/>
      <c r="X445" s="93"/>
      <c r="Y445" s="93"/>
      <c r="Z445" s="93"/>
      <c r="AA445" s="93"/>
      <c r="AB445" s="20"/>
      <c r="AC445" s="25"/>
      <c r="AD445" s="97"/>
      <c r="AE445" s="1504">
        <v>48000</v>
      </c>
      <c r="AF445" s="19"/>
      <c r="AG445" s="93"/>
      <c r="AH445" s="93"/>
      <c r="AI445" s="93"/>
      <c r="AJ445" s="93"/>
      <c r="AK445" s="93"/>
      <c r="AL445" s="93"/>
      <c r="AM445" s="93"/>
      <c r="AN445" s="93"/>
      <c r="AO445" s="93"/>
      <c r="AP445" s="93"/>
      <c r="AQ445" s="93"/>
      <c r="AR445" s="93"/>
      <c r="AS445" s="20"/>
      <c r="AT445" s="25"/>
      <c r="AU445" s="97"/>
      <c r="AV445" s="1504">
        <v>48000</v>
      </c>
      <c r="AW445" s="19"/>
      <c r="AX445" s="93"/>
      <c r="AY445" s="93"/>
      <c r="AZ445" s="93"/>
      <c r="BA445" s="93"/>
      <c r="BB445" s="93"/>
      <c r="BC445" s="93"/>
      <c r="BD445" s="93"/>
      <c r="BE445" s="93"/>
      <c r="BF445" s="93"/>
      <c r="BG445" s="93"/>
      <c r="BH445" s="93"/>
      <c r="BI445" s="93"/>
      <c r="BJ445" s="20"/>
      <c r="BK445" s="25"/>
      <c r="BL445" s="97"/>
      <c r="BM445" s="1504">
        <v>48000</v>
      </c>
      <c r="BN445" s="19"/>
      <c r="BO445" s="93"/>
      <c r="BP445" s="93"/>
      <c r="BQ445" s="93"/>
      <c r="BR445" s="93"/>
      <c r="BS445" s="93"/>
      <c r="BT445" s="93"/>
      <c r="BU445" s="20"/>
      <c r="BV445" s="25"/>
      <c r="BW445" s="97"/>
      <c r="BX445" s="1504">
        <v>48000</v>
      </c>
      <c r="BY445" s="19"/>
      <c r="BZ445" s="93"/>
      <c r="CA445" s="93"/>
      <c r="CB445" s="93"/>
      <c r="CC445" s="93"/>
      <c r="CD445" s="25"/>
      <c r="CE445" s="97"/>
      <c r="CF445" s="1504">
        <v>48000</v>
      </c>
      <c r="CG445" s="19"/>
      <c r="CH445" s="93"/>
      <c r="CI445" s="219"/>
      <c r="CJ445" s="20"/>
      <c r="CK445" s="19"/>
      <c r="CL445" s="93"/>
      <c r="CM445" s="93"/>
      <c r="CN445" s="93"/>
      <c r="CO445" s="93"/>
      <c r="CP445" s="20"/>
      <c r="CQ445" s="219"/>
      <c r="CR445" s="93"/>
      <c r="CS445" s="93"/>
      <c r="CT445" s="93"/>
      <c r="CU445" s="93"/>
      <c r="CV445" s="214"/>
      <c r="CW445" s="29"/>
      <c r="CX445" s="41">
        <f t="shared" si="357"/>
        <v>2031</v>
      </c>
      <c r="CY445" s="1504">
        <v>48000</v>
      </c>
      <c r="CZ445" s="19"/>
      <c r="DA445" s="93"/>
      <c r="DB445" s="93"/>
      <c r="DC445" s="93"/>
      <c r="DD445" s="93"/>
      <c r="DE445" s="20"/>
      <c r="DF445" s="29"/>
      <c r="DG445" s="1504">
        <v>48000</v>
      </c>
      <c r="DH445" s="19"/>
      <c r="DI445" s="93"/>
      <c r="DJ445" s="93"/>
      <c r="DK445" s="93"/>
      <c r="DL445" s="93"/>
      <c r="DM445" s="93"/>
      <c r="DN445" s="20"/>
      <c r="DO445" s="295"/>
      <c r="DP445" s="29"/>
      <c r="DQ445" s="1504">
        <v>48000</v>
      </c>
      <c r="DR445" s="19"/>
      <c r="DS445" s="93"/>
      <c r="DT445" s="93"/>
      <c r="DU445" s="93"/>
      <c r="DV445" s="93"/>
      <c r="DW445" s="93"/>
      <c r="DX445" s="20"/>
      <c r="DY445" s="29"/>
      <c r="DZ445" s="1504">
        <v>48000</v>
      </c>
      <c r="EA445" s="19"/>
      <c r="EB445" s="93"/>
      <c r="EC445" s="20"/>
      <c r="ED445" s="29"/>
      <c r="EE445" s="1504">
        <v>48000</v>
      </c>
      <c r="EF445" s="19"/>
      <c r="EG445" s="93"/>
      <c r="EH445" s="93"/>
      <c r="EI445" s="214"/>
      <c r="EJ445" s="93"/>
      <c r="EK445" s="93"/>
      <c r="EL445" s="93"/>
      <c r="EM445" s="93"/>
      <c r="EN445" s="20"/>
      <c r="EO445" s="29"/>
      <c r="EP445" s="1504">
        <v>48000</v>
      </c>
      <c r="EQ445" s="19"/>
      <c r="ER445" s="93"/>
      <c r="ES445" s="93"/>
      <c r="ET445" s="214"/>
      <c r="EU445" s="93"/>
      <c r="EV445" s="93"/>
      <c r="EW445" s="93"/>
      <c r="EX445" s="93"/>
      <c r="EY445" s="20"/>
      <c r="EZ445" s="29"/>
      <c r="FA445" s="1504">
        <v>48000</v>
      </c>
      <c r="FB445" s="29"/>
      <c r="FC445" s="29"/>
      <c r="FD445" s="29"/>
      <c r="FE445" s="29"/>
      <c r="FF445" s="29"/>
      <c r="FG445" s="29"/>
      <c r="FH445" s="29"/>
      <c r="FI445" s="29"/>
      <c r="FJ445" s="29"/>
      <c r="FK445" s="29"/>
      <c r="FL445" s="1504">
        <v>48000</v>
      </c>
      <c r="FM445" s="19"/>
      <c r="FN445" s="93"/>
      <c r="FO445" s="93"/>
      <c r="FP445" s="93"/>
      <c r="FQ445" s="93"/>
      <c r="FR445" s="93"/>
      <c r="FS445" s="93"/>
      <c r="FT445" s="93"/>
      <c r="FU445" s="93"/>
      <c r="FV445" s="93"/>
      <c r="FW445" s="93"/>
      <c r="FX445" s="93"/>
      <c r="FY445" s="93"/>
      <c r="FZ445" s="29"/>
      <c r="GA445" s="1504">
        <v>48000</v>
      </c>
      <c r="GB445" s="19"/>
      <c r="GC445" s="93"/>
      <c r="GD445" s="93"/>
      <c r="GE445" s="93"/>
      <c r="GF445" s="93"/>
      <c r="GG445" s="93"/>
      <c r="GH445" s="93"/>
      <c r="GI445" s="93"/>
      <c r="GJ445" s="93"/>
      <c r="GK445" s="93"/>
      <c r="GL445" s="93"/>
      <c r="GM445" s="93"/>
      <c r="GN445" s="20"/>
      <c r="GO445" s="29"/>
      <c r="GP445" s="1504">
        <v>48000</v>
      </c>
      <c r="GQ445" s="19"/>
      <c r="GR445" s="93"/>
      <c r="GS445" s="93"/>
      <c r="GT445" s="93"/>
      <c r="GU445" s="93"/>
      <c r="GV445" s="20"/>
      <c r="GW445" s="19"/>
      <c r="GX445" s="93"/>
      <c r="GY445" s="93"/>
      <c r="GZ445" s="93"/>
      <c r="HA445" s="93"/>
      <c r="HB445" s="20"/>
      <c r="HC445" s="19"/>
      <c r="HD445" s="93"/>
      <c r="HE445" s="93"/>
      <c r="HF445" s="93"/>
      <c r="HG445" s="93"/>
      <c r="HH445" s="20"/>
      <c r="HI445" s="19"/>
      <c r="HJ445" s="93"/>
      <c r="HK445" s="93"/>
      <c r="HL445" s="93"/>
      <c r="HM445" s="93"/>
      <c r="HN445" s="20"/>
      <c r="HO445" s="219"/>
      <c r="HP445" s="20"/>
      <c r="HQ445" s="25"/>
      <c r="HR445" s="29"/>
      <c r="HS445" s="1504">
        <v>48000</v>
      </c>
      <c r="HT445" s="19"/>
      <c r="HU445" s="93"/>
      <c r="HV445" s="93"/>
      <c r="HW445" s="93"/>
      <c r="HX445" s="93"/>
      <c r="HY445" s="93"/>
      <c r="HZ445" s="93"/>
      <c r="IA445" s="20"/>
      <c r="IB445" s="19"/>
      <c r="IC445" s="93"/>
      <c r="ID445" s="93"/>
      <c r="IE445" s="93"/>
      <c r="IF445" s="93"/>
      <c r="IG445" s="20"/>
      <c r="IH445" s="19"/>
      <c r="II445" s="93"/>
      <c r="IJ445" s="93"/>
      <c r="IK445" s="93"/>
      <c r="IL445" s="93"/>
      <c r="IM445" s="93"/>
      <c r="IN445" s="93"/>
      <c r="IO445" s="20"/>
      <c r="IP445" s="29"/>
      <c r="IQ445" s="19"/>
      <c r="IR445" s="93"/>
      <c r="IS445" s="93"/>
      <c r="IT445" s="93"/>
      <c r="IU445" s="93"/>
      <c r="IV445" s="20"/>
      <c r="IW445" s="29"/>
      <c r="IX445" s="19"/>
      <c r="IY445" s="93"/>
      <c r="IZ445" s="93"/>
      <c r="JA445" s="93"/>
      <c r="JB445" s="93"/>
      <c r="JC445" s="93"/>
      <c r="JD445" s="93"/>
      <c r="JE445" s="20"/>
      <c r="JF445" s="29"/>
      <c r="JG445" s="19"/>
      <c r="JH445" s="93"/>
      <c r="JI445" s="93"/>
      <c r="JJ445" s="93"/>
      <c r="JK445" s="93"/>
      <c r="JL445" s="93"/>
      <c r="JM445" s="93"/>
      <c r="JN445" s="20"/>
      <c r="JO445" s="29"/>
      <c r="JP445" s="19"/>
      <c r="JQ445" s="93"/>
      <c r="JR445" s="93"/>
      <c r="JS445" s="93"/>
      <c r="JT445" s="93"/>
      <c r="JU445" s="20"/>
      <c r="JV445" s="29"/>
      <c r="JW445" s="1504">
        <v>48000</v>
      </c>
      <c r="JX445" s="19"/>
      <c r="JY445" s="93"/>
      <c r="JZ445" s="93"/>
      <c r="KA445" s="93"/>
      <c r="KB445" s="93"/>
      <c r="KC445" s="93"/>
      <c r="KD445" s="20"/>
      <c r="KE445" s="29"/>
      <c r="KF445" s="19"/>
      <c r="KG445" s="93"/>
      <c r="KH445" s="93"/>
      <c r="KI445" s="93"/>
      <c r="KJ445" s="93"/>
      <c r="KK445" s="20"/>
      <c r="KL445" s="29"/>
      <c r="KM445" s="19"/>
      <c r="KN445" s="93"/>
      <c r="KO445" s="93"/>
      <c r="KP445" s="93"/>
      <c r="KQ445" s="93"/>
      <c r="KR445" s="20"/>
      <c r="KS445" s="29"/>
      <c r="KT445" s="19"/>
      <c r="KU445" s="93"/>
      <c r="KV445" s="93"/>
      <c r="KW445" s="93"/>
      <c r="KX445" s="93"/>
      <c r="KY445" s="20"/>
      <c r="KZ445" s="29"/>
      <c r="LA445" s="1504">
        <v>48000</v>
      </c>
      <c r="LB445" s="19"/>
      <c r="LC445" s="93"/>
      <c r="LD445" s="93"/>
      <c r="LE445" s="93"/>
      <c r="LF445" s="93"/>
      <c r="LG445" s="93"/>
      <c r="LH445" s="20"/>
      <c r="LI445" s="29"/>
      <c r="LJ445" s="19"/>
      <c r="LK445" s="93"/>
      <c r="LL445" s="93"/>
      <c r="LM445" s="93"/>
      <c r="LN445" s="93"/>
      <c r="LO445" s="20"/>
      <c r="LP445" s="29"/>
      <c r="LQ445" s="19"/>
      <c r="LR445" s="93"/>
      <c r="LS445" s="93"/>
      <c r="LT445" s="93"/>
      <c r="LU445" s="93"/>
      <c r="LV445" s="93"/>
      <c r="LW445" s="93"/>
      <c r="LX445" s="93"/>
      <c r="LY445" s="93"/>
      <c r="LZ445" s="93"/>
      <c r="MA445" s="20"/>
      <c r="MB445" s="29"/>
      <c r="MC445" s="1504">
        <v>48000</v>
      </c>
      <c r="MD445" s="19"/>
      <c r="ME445" s="93"/>
      <c r="MF445" s="93"/>
      <c r="MG445" s="93"/>
      <c r="MH445" s="93"/>
      <c r="MI445" s="93"/>
      <c r="MJ445" s="93"/>
      <c r="MK445" s="93"/>
      <c r="ML445" s="93"/>
      <c r="MM445" s="93"/>
      <c r="MN445" s="93"/>
      <c r="MO445" s="93"/>
      <c r="MP445" s="93"/>
      <c r="MQ445" s="93"/>
      <c r="MR445" s="93"/>
      <c r="MS445" s="93"/>
      <c r="MT445" s="93"/>
      <c r="MU445" s="93"/>
      <c r="MV445" s="93"/>
      <c r="MW445" s="93"/>
      <c r="MX445" s="93"/>
      <c r="MY445" s="93"/>
      <c r="MZ445" s="93"/>
      <c r="NA445" s="93"/>
      <c r="NB445" s="93"/>
      <c r="NC445" s="93"/>
      <c r="ND445" s="93"/>
      <c r="NE445" s="93"/>
      <c r="NF445" s="93"/>
      <c r="NG445" s="93"/>
      <c r="NH445" s="93"/>
      <c r="NI445" s="93"/>
      <c r="NJ445" s="93"/>
      <c r="NK445" s="93"/>
      <c r="NL445" s="93"/>
      <c r="NM445" s="93"/>
      <c r="NN445" s="93"/>
      <c r="NO445" s="93"/>
      <c r="NP445" s="93"/>
      <c r="NQ445" s="93"/>
      <c r="NR445" s="93"/>
      <c r="NS445" s="93"/>
      <c r="NT445" s="93"/>
      <c r="NU445" s="93"/>
      <c r="NV445" s="93"/>
      <c r="NW445" s="93"/>
      <c r="NX445" s="93"/>
      <c r="NY445" s="93"/>
      <c r="NZ445" s="93"/>
      <c r="OA445" s="93"/>
      <c r="OB445" s="93"/>
      <c r="OC445" s="93"/>
      <c r="OD445" s="20"/>
      <c r="OE445" s="29"/>
      <c r="OF445" s="1504">
        <v>48000</v>
      </c>
      <c r="OG445" s="19"/>
      <c r="OH445" s="93"/>
      <c r="OI445" s="93"/>
      <c r="OJ445" s="93"/>
      <c r="OK445" s="93"/>
      <c r="OL445" s="93"/>
      <c r="OM445" s="93"/>
      <c r="ON445" s="93"/>
      <c r="OO445" s="93"/>
      <c r="OP445" s="93"/>
      <c r="OQ445" s="93"/>
      <c r="OR445" s="93"/>
      <c r="OS445" s="93"/>
      <c r="OT445" s="93"/>
      <c r="OU445" s="93"/>
      <c r="OV445" s="93"/>
      <c r="OW445" s="93"/>
      <c r="OX445" s="93"/>
      <c r="OY445" s="93"/>
      <c r="OZ445" s="93"/>
      <c r="PA445" s="93"/>
      <c r="PB445" s="93"/>
      <c r="PC445" s="20"/>
      <c r="PD445" s="29"/>
      <c r="PE445" s="19"/>
      <c r="PF445" s="93"/>
      <c r="PG445" s="93"/>
      <c r="PH445" s="93"/>
      <c r="PI445" s="93"/>
      <c r="PJ445" s="93"/>
      <c r="PK445" s="93"/>
      <c r="PL445" s="93"/>
      <c r="PM445" s="93"/>
      <c r="PN445" s="93"/>
      <c r="PO445" s="93"/>
      <c r="PP445" s="93"/>
      <c r="PQ445" s="93"/>
      <c r="PR445" s="93"/>
      <c r="PS445" s="93"/>
      <c r="PT445" s="93"/>
      <c r="PU445" s="93"/>
      <c r="PV445" s="93"/>
      <c r="PW445" s="93"/>
      <c r="PX445" s="93"/>
      <c r="PY445" s="93"/>
      <c r="PZ445" s="93"/>
      <c r="QA445" s="93"/>
      <c r="QB445" s="93"/>
      <c r="QC445" s="93"/>
      <c r="QD445" s="93"/>
      <c r="QE445" s="20"/>
      <c r="QF445" s="1739"/>
      <c r="QG445" s="19"/>
      <c r="QH445" s="93"/>
      <c r="QI445" s="93"/>
      <c r="QJ445" s="93"/>
      <c r="QK445" s="93"/>
      <c r="QL445" s="93"/>
      <c r="QM445" s="93"/>
      <c r="QN445" s="93"/>
      <c r="QO445" s="93"/>
      <c r="QP445" s="93"/>
      <c r="QQ445" s="93"/>
      <c r="QR445" s="93"/>
      <c r="QS445" s="93"/>
      <c r="QT445" s="93"/>
      <c r="QU445" s="93"/>
      <c r="QV445" s="93"/>
      <c r="QW445" s="93"/>
      <c r="QX445" s="93"/>
      <c r="QY445" s="93"/>
      <c r="QZ445" s="93"/>
      <c r="RA445" s="93"/>
      <c r="RB445" s="93"/>
      <c r="RC445" s="93"/>
      <c r="RD445" s="93"/>
      <c r="RE445" s="93"/>
      <c r="RF445" s="93"/>
      <c r="RG445" s="93"/>
      <c r="RH445" s="93"/>
      <c r="RI445" s="93"/>
      <c r="RJ445" s="93"/>
      <c r="RK445" s="93"/>
      <c r="RL445" s="93"/>
      <c r="RM445" s="20"/>
      <c r="RN445" s="29"/>
      <c r="RO445" s="19"/>
      <c r="RP445" s="20"/>
      <c r="RQ445" s="29"/>
      <c r="RR445" s="20"/>
      <c r="RS445" s="29"/>
      <c r="RT445" s="1504">
        <v>48000</v>
      </c>
      <c r="RU445" s="19"/>
      <c r="RV445" s="20"/>
      <c r="RW445" s="29"/>
      <c r="RX445" s="1504">
        <v>48000</v>
      </c>
      <c r="RY445" s="29"/>
      <c r="RZ445" s="20"/>
      <c r="SA445" s="29"/>
      <c r="SB445" s="29"/>
    </row>
    <row r="446" spans="1:496">
      <c r="A446" s="41">
        <f t="shared" si="358"/>
        <v>2031</v>
      </c>
      <c r="B446" s="1504">
        <v>48030</v>
      </c>
      <c r="C446" s="1813"/>
      <c r="D446" s="1814"/>
      <c r="E446" s="1814"/>
      <c r="F446" s="1815"/>
      <c r="G446" s="1814"/>
      <c r="H446" s="1814"/>
      <c r="I446" s="1814"/>
      <c r="J446" s="1816"/>
      <c r="K446" s="1807"/>
      <c r="L446" s="25"/>
      <c r="M446" s="97"/>
      <c r="N446" s="1504">
        <v>48030</v>
      </c>
      <c r="O446" s="19"/>
      <c r="P446" s="93"/>
      <c r="Q446" s="93"/>
      <c r="R446" s="93"/>
      <c r="S446" s="93"/>
      <c r="T446" s="93"/>
      <c r="U446" s="93"/>
      <c r="V446" s="93"/>
      <c r="W446" s="93"/>
      <c r="X446" s="93"/>
      <c r="Y446" s="93"/>
      <c r="Z446" s="93"/>
      <c r="AA446" s="93"/>
      <c r="AB446" s="20"/>
      <c r="AC446" s="25"/>
      <c r="AD446" s="97"/>
      <c r="AE446" s="1504">
        <v>48030</v>
      </c>
      <c r="AF446" s="19"/>
      <c r="AG446" s="93"/>
      <c r="AH446" s="93"/>
      <c r="AI446" s="93"/>
      <c r="AJ446" s="93"/>
      <c r="AK446" s="93"/>
      <c r="AL446" s="93"/>
      <c r="AM446" s="93"/>
      <c r="AN446" s="93"/>
      <c r="AO446" s="93"/>
      <c r="AP446" s="93"/>
      <c r="AQ446" s="93"/>
      <c r="AR446" s="93"/>
      <c r="AS446" s="20"/>
      <c r="AT446" s="25"/>
      <c r="AU446" s="97"/>
      <c r="AV446" s="1504">
        <v>48030</v>
      </c>
      <c r="AW446" s="19"/>
      <c r="AX446" s="93"/>
      <c r="AY446" s="93"/>
      <c r="AZ446" s="93"/>
      <c r="BA446" s="93"/>
      <c r="BB446" s="93"/>
      <c r="BC446" s="93"/>
      <c r="BD446" s="93"/>
      <c r="BE446" s="93"/>
      <c r="BF446" s="93"/>
      <c r="BG446" s="93"/>
      <c r="BH446" s="93"/>
      <c r="BI446" s="93"/>
      <c r="BJ446" s="20"/>
      <c r="BK446" s="25"/>
      <c r="BL446" s="97"/>
      <c r="BM446" s="1504">
        <v>48030</v>
      </c>
      <c r="BN446" s="19"/>
      <c r="BO446" s="93"/>
      <c r="BP446" s="93"/>
      <c r="BQ446" s="93"/>
      <c r="BR446" s="93"/>
      <c r="BS446" s="93"/>
      <c r="BT446" s="93"/>
      <c r="BU446" s="20"/>
      <c r="BV446" s="25"/>
      <c r="BW446" s="97"/>
      <c r="BX446" s="1504">
        <v>48030</v>
      </c>
      <c r="BY446" s="19"/>
      <c r="BZ446" s="93"/>
      <c r="CA446" s="93"/>
      <c r="CB446" s="93"/>
      <c r="CC446" s="93"/>
      <c r="CD446" s="25"/>
      <c r="CE446" s="97"/>
      <c r="CF446" s="1504">
        <v>48030</v>
      </c>
      <c r="CG446" s="19"/>
      <c r="CH446" s="93"/>
      <c r="CI446" s="219"/>
      <c r="CJ446" s="20"/>
      <c r="CK446" s="19"/>
      <c r="CL446" s="93"/>
      <c r="CM446" s="93"/>
      <c r="CN446" s="93"/>
      <c r="CO446" s="93"/>
      <c r="CP446" s="20"/>
      <c r="CQ446" s="219"/>
      <c r="CR446" s="93"/>
      <c r="CS446" s="93"/>
      <c r="CT446" s="93"/>
      <c r="CU446" s="93"/>
      <c r="CV446" s="214"/>
      <c r="CW446" s="29"/>
      <c r="CX446" s="41">
        <f t="shared" si="357"/>
        <v>2031</v>
      </c>
      <c r="CY446" s="1504">
        <v>48030</v>
      </c>
      <c r="CZ446" s="19"/>
      <c r="DA446" s="93"/>
      <c r="DB446" s="93"/>
      <c r="DC446" s="93"/>
      <c r="DD446" s="93"/>
      <c r="DE446" s="20"/>
      <c r="DF446" s="29"/>
      <c r="DG446" s="1504">
        <v>48030</v>
      </c>
      <c r="DH446" s="19"/>
      <c r="DI446" s="93"/>
      <c r="DJ446" s="93"/>
      <c r="DK446" s="93"/>
      <c r="DL446" s="93"/>
      <c r="DM446" s="93"/>
      <c r="DN446" s="20"/>
      <c r="DO446" s="295"/>
      <c r="DP446" s="29"/>
      <c r="DQ446" s="1504">
        <v>48030</v>
      </c>
      <c r="DR446" s="19"/>
      <c r="DS446" s="93"/>
      <c r="DT446" s="93"/>
      <c r="DU446" s="93"/>
      <c r="DV446" s="93"/>
      <c r="DW446" s="93"/>
      <c r="DX446" s="20"/>
      <c r="DY446" s="29"/>
      <c r="DZ446" s="1504">
        <v>48030</v>
      </c>
      <c r="EA446" s="19"/>
      <c r="EB446" s="93"/>
      <c r="EC446" s="20"/>
      <c r="ED446" s="29"/>
      <c r="EE446" s="1504">
        <v>48030</v>
      </c>
      <c r="EF446" s="19"/>
      <c r="EG446" s="93"/>
      <c r="EH446" s="93"/>
      <c r="EI446" s="214"/>
      <c r="EJ446" s="93"/>
      <c r="EK446" s="93"/>
      <c r="EL446" s="93"/>
      <c r="EM446" s="93"/>
      <c r="EN446" s="20"/>
      <c r="EO446" s="29"/>
      <c r="EP446" s="1504">
        <v>48030</v>
      </c>
      <c r="EQ446" s="19"/>
      <c r="ER446" s="93"/>
      <c r="ES446" s="93"/>
      <c r="ET446" s="214"/>
      <c r="EU446" s="93"/>
      <c r="EV446" s="93"/>
      <c r="EW446" s="93"/>
      <c r="EX446" s="93"/>
      <c r="EY446" s="20"/>
      <c r="EZ446" s="29"/>
      <c r="FA446" s="1504">
        <v>48030</v>
      </c>
      <c r="FB446" s="29"/>
      <c r="FC446" s="29"/>
      <c r="FD446" s="29"/>
      <c r="FE446" s="29"/>
      <c r="FF446" s="29"/>
      <c r="FG446" s="29"/>
      <c r="FH446" s="29"/>
      <c r="FI446" s="29"/>
      <c r="FJ446" s="29"/>
      <c r="FK446" s="29"/>
      <c r="FL446" s="1504">
        <v>48030</v>
      </c>
      <c r="FM446" s="19"/>
      <c r="FN446" s="93"/>
      <c r="FO446" s="93"/>
      <c r="FP446" s="93"/>
      <c r="FQ446" s="93"/>
      <c r="FR446" s="93"/>
      <c r="FS446" s="93"/>
      <c r="FT446" s="93"/>
      <c r="FU446" s="93"/>
      <c r="FV446" s="93"/>
      <c r="FW446" s="93"/>
      <c r="FX446" s="93"/>
      <c r="FY446" s="93"/>
      <c r="FZ446" s="29"/>
      <c r="GA446" s="1504">
        <v>48030</v>
      </c>
      <c r="GB446" s="19"/>
      <c r="GC446" s="93"/>
      <c r="GD446" s="93"/>
      <c r="GE446" s="93"/>
      <c r="GF446" s="93"/>
      <c r="GG446" s="93"/>
      <c r="GH446" s="93"/>
      <c r="GI446" s="93"/>
      <c r="GJ446" s="93"/>
      <c r="GK446" s="93"/>
      <c r="GL446" s="93"/>
      <c r="GM446" s="93"/>
      <c r="GN446" s="20"/>
      <c r="GO446" s="29"/>
      <c r="GP446" s="1504">
        <v>48030</v>
      </c>
      <c r="GQ446" s="19"/>
      <c r="GR446" s="93"/>
      <c r="GS446" s="93"/>
      <c r="GT446" s="93"/>
      <c r="GU446" s="93"/>
      <c r="GV446" s="20"/>
      <c r="GW446" s="19"/>
      <c r="GX446" s="93"/>
      <c r="GY446" s="93"/>
      <c r="GZ446" s="93"/>
      <c r="HA446" s="93"/>
      <c r="HB446" s="20"/>
      <c r="HC446" s="19"/>
      <c r="HD446" s="93"/>
      <c r="HE446" s="93"/>
      <c r="HF446" s="93"/>
      <c r="HG446" s="93"/>
      <c r="HH446" s="20"/>
      <c r="HI446" s="19"/>
      <c r="HJ446" s="93"/>
      <c r="HK446" s="93"/>
      <c r="HL446" s="93"/>
      <c r="HM446" s="93"/>
      <c r="HN446" s="20"/>
      <c r="HO446" s="219"/>
      <c r="HP446" s="20"/>
      <c r="HQ446" s="25"/>
      <c r="HR446" s="29"/>
      <c r="HS446" s="1504">
        <v>48030</v>
      </c>
      <c r="HT446" s="19"/>
      <c r="HU446" s="93"/>
      <c r="HV446" s="93"/>
      <c r="HW446" s="93"/>
      <c r="HX446" s="93"/>
      <c r="HY446" s="93"/>
      <c r="HZ446" s="93"/>
      <c r="IA446" s="20"/>
      <c r="IB446" s="19"/>
      <c r="IC446" s="93"/>
      <c r="ID446" s="93"/>
      <c r="IE446" s="93"/>
      <c r="IF446" s="93"/>
      <c r="IG446" s="20"/>
      <c r="IH446" s="19"/>
      <c r="II446" s="93"/>
      <c r="IJ446" s="93"/>
      <c r="IK446" s="93"/>
      <c r="IL446" s="93"/>
      <c r="IM446" s="93"/>
      <c r="IN446" s="93"/>
      <c r="IO446" s="20"/>
      <c r="IP446" s="29"/>
      <c r="IQ446" s="19"/>
      <c r="IR446" s="93"/>
      <c r="IS446" s="93"/>
      <c r="IT446" s="93"/>
      <c r="IU446" s="93"/>
      <c r="IV446" s="20"/>
      <c r="IW446" s="29"/>
      <c r="IX446" s="19"/>
      <c r="IY446" s="93"/>
      <c r="IZ446" s="93"/>
      <c r="JA446" s="93"/>
      <c r="JB446" s="93"/>
      <c r="JC446" s="93"/>
      <c r="JD446" s="93"/>
      <c r="JE446" s="20"/>
      <c r="JF446" s="29"/>
      <c r="JG446" s="19"/>
      <c r="JH446" s="93"/>
      <c r="JI446" s="93"/>
      <c r="JJ446" s="93"/>
      <c r="JK446" s="93"/>
      <c r="JL446" s="93"/>
      <c r="JM446" s="93"/>
      <c r="JN446" s="20"/>
      <c r="JO446" s="29"/>
      <c r="JP446" s="19"/>
      <c r="JQ446" s="93"/>
      <c r="JR446" s="93"/>
      <c r="JS446" s="93"/>
      <c r="JT446" s="93"/>
      <c r="JU446" s="20"/>
      <c r="JV446" s="29"/>
      <c r="JW446" s="1504">
        <v>48030</v>
      </c>
      <c r="JX446" s="19"/>
      <c r="JY446" s="93"/>
      <c r="JZ446" s="93"/>
      <c r="KA446" s="93"/>
      <c r="KB446" s="93"/>
      <c r="KC446" s="93"/>
      <c r="KD446" s="20"/>
      <c r="KE446" s="29"/>
      <c r="KF446" s="19"/>
      <c r="KG446" s="93"/>
      <c r="KH446" s="93"/>
      <c r="KI446" s="93"/>
      <c r="KJ446" s="93"/>
      <c r="KK446" s="20"/>
      <c r="KL446" s="29"/>
      <c r="KM446" s="19"/>
      <c r="KN446" s="93"/>
      <c r="KO446" s="93"/>
      <c r="KP446" s="93"/>
      <c r="KQ446" s="93"/>
      <c r="KR446" s="20"/>
      <c r="KS446" s="29"/>
      <c r="KT446" s="19"/>
      <c r="KU446" s="93"/>
      <c r="KV446" s="93"/>
      <c r="KW446" s="93"/>
      <c r="KX446" s="93"/>
      <c r="KY446" s="20"/>
      <c r="KZ446" s="29"/>
      <c r="LA446" s="1504">
        <v>48030</v>
      </c>
      <c r="LB446" s="19"/>
      <c r="LC446" s="93"/>
      <c r="LD446" s="93"/>
      <c r="LE446" s="93"/>
      <c r="LF446" s="93"/>
      <c r="LG446" s="93"/>
      <c r="LH446" s="20"/>
      <c r="LI446" s="29"/>
      <c r="LJ446" s="19"/>
      <c r="LK446" s="93"/>
      <c r="LL446" s="93"/>
      <c r="LM446" s="93"/>
      <c r="LN446" s="93"/>
      <c r="LO446" s="20"/>
      <c r="LP446" s="29"/>
      <c r="LQ446" s="19"/>
      <c r="LR446" s="93"/>
      <c r="LS446" s="93"/>
      <c r="LT446" s="93"/>
      <c r="LU446" s="93"/>
      <c r="LV446" s="93"/>
      <c r="LW446" s="93"/>
      <c r="LX446" s="93"/>
      <c r="LY446" s="93"/>
      <c r="LZ446" s="93"/>
      <c r="MA446" s="20"/>
      <c r="MB446" s="29"/>
      <c r="MC446" s="1504">
        <v>48030</v>
      </c>
      <c r="MD446" s="19"/>
      <c r="ME446" s="93"/>
      <c r="MF446" s="93"/>
      <c r="MG446" s="93"/>
      <c r="MH446" s="93"/>
      <c r="MI446" s="93"/>
      <c r="MJ446" s="93"/>
      <c r="MK446" s="93"/>
      <c r="ML446" s="93"/>
      <c r="MM446" s="93"/>
      <c r="MN446" s="93"/>
      <c r="MO446" s="93"/>
      <c r="MP446" s="93"/>
      <c r="MQ446" s="93"/>
      <c r="MR446" s="93"/>
      <c r="MS446" s="93"/>
      <c r="MT446" s="93"/>
      <c r="MU446" s="93"/>
      <c r="MV446" s="93"/>
      <c r="MW446" s="93"/>
      <c r="MX446" s="93"/>
      <c r="MY446" s="93"/>
      <c r="MZ446" s="93"/>
      <c r="NA446" s="93"/>
      <c r="NB446" s="93"/>
      <c r="NC446" s="93"/>
      <c r="ND446" s="93"/>
      <c r="NE446" s="93"/>
      <c r="NF446" s="93"/>
      <c r="NG446" s="93"/>
      <c r="NH446" s="93"/>
      <c r="NI446" s="93"/>
      <c r="NJ446" s="93"/>
      <c r="NK446" s="93"/>
      <c r="NL446" s="93"/>
      <c r="NM446" s="93"/>
      <c r="NN446" s="93"/>
      <c r="NO446" s="93"/>
      <c r="NP446" s="93"/>
      <c r="NQ446" s="93"/>
      <c r="NR446" s="93"/>
      <c r="NS446" s="93"/>
      <c r="NT446" s="93"/>
      <c r="NU446" s="93"/>
      <c r="NV446" s="93"/>
      <c r="NW446" s="93"/>
      <c r="NX446" s="93"/>
      <c r="NY446" s="93"/>
      <c r="NZ446" s="93"/>
      <c r="OA446" s="93"/>
      <c r="OB446" s="93"/>
      <c r="OC446" s="93"/>
      <c r="OD446" s="20"/>
      <c r="OE446" s="29"/>
      <c r="OF446" s="1504">
        <v>48030</v>
      </c>
      <c r="OG446" s="19"/>
      <c r="OH446" s="93"/>
      <c r="OI446" s="93"/>
      <c r="OJ446" s="93"/>
      <c r="OK446" s="93"/>
      <c r="OL446" s="93"/>
      <c r="OM446" s="93"/>
      <c r="ON446" s="93"/>
      <c r="OO446" s="93"/>
      <c r="OP446" s="93"/>
      <c r="OQ446" s="93"/>
      <c r="OR446" s="93"/>
      <c r="OS446" s="93"/>
      <c r="OT446" s="93"/>
      <c r="OU446" s="93"/>
      <c r="OV446" s="93"/>
      <c r="OW446" s="93"/>
      <c r="OX446" s="93"/>
      <c r="OY446" s="93"/>
      <c r="OZ446" s="93"/>
      <c r="PA446" s="93"/>
      <c r="PB446" s="93"/>
      <c r="PC446" s="20"/>
      <c r="PD446" s="29"/>
      <c r="PE446" s="19"/>
      <c r="PF446" s="93"/>
      <c r="PG446" s="93"/>
      <c r="PH446" s="93"/>
      <c r="PI446" s="93"/>
      <c r="PJ446" s="93"/>
      <c r="PK446" s="93"/>
      <c r="PL446" s="93"/>
      <c r="PM446" s="93"/>
      <c r="PN446" s="93"/>
      <c r="PO446" s="93"/>
      <c r="PP446" s="93"/>
      <c r="PQ446" s="93"/>
      <c r="PR446" s="93"/>
      <c r="PS446" s="93"/>
      <c r="PT446" s="93"/>
      <c r="PU446" s="93"/>
      <c r="PV446" s="93"/>
      <c r="PW446" s="93"/>
      <c r="PX446" s="93"/>
      <c r="PY446" s="93"/>
      <c r="PZ446" s="93"/>
      <c r="QA446" s="93"/>
      <c r="QB446" s="93"/>
      <c r="QC446" s="93"/>
      <c r="QD446" s="93"/>
      <c r="QE446" s="20"/>
      <c r="QF446" s="1739"/>
      <c r="QG446" s="19"/>
      <c r="QH446" s="93"/>
      <c r="QI446" s="93"/>
      <c r="QJ446" s="93"/>
      <c r="QK446" s="93"/>
      <c r="QL446" s="93"/>
      <c r="QM446" s="93"/>
      <c r="QN446" s="93"/>
      <c r="QO446" s="93"/>
      <c r="QP446" s="93"/>
      <c r="QQ446" s="93"/>
      <c r="QR446" s="93"/>
      <c r="QS446" s="93"/>
      <c r="QT446" s="93"/>
      <c r="QU446" s="93"/>
      <c r="QV446" s="93"/>
      <c r="QW446" s="93"/>
      <c r="QX446" s="93"/>
      <c r="QY446" s="93"/>
      <c r="QZ446" s="93"/>
      <c r="RA446" s="93"/>
      <c r="RB446" s="93"/>
      <c r="RC446" s="93"/>
      <c r="RD446" s="93"/>
      <c r="RE446" s="93"/>
      <c r="RF446" s="93"/>
      <c r="RG446" s="93"/>
      <c r="RH446" s="93"/>
      <c r="RI446" s="93"/>
      <c r="RJ446" s="93"/>
      <c r="RK446" s="93"/>
      <c r="RL446" s="93"/>
      <c r="RM446" s="20"/>
      <c r="RN446" s="29"/>
      <c r="RO446" s="19"/>
      <c r="RP446" s="20"/>
      <c r="RQ446" s="29"/>
      <c r="RR446" s="20"/>
      <c r="RS446" s="29"/>
      <c r="RT446" s="1504">
        <v>48030</v>
      </c>
      <c r="RU446" s="19"/>
      <c r="RV446" s="20"/>
      <c r="RW446" s="29"/>
      <c r="RX446" s="1504">
        <v>48030</v>
      </c>
      <c r="RY446" s="29"/>
      <c r="RZ446" s="20"/>
      <c r="SA446" s="29"/>
      <c r="SB446" s="29"/>
    </row>
    <row r="447" spans="1:496">
      <c r="A447" s="41">
        <f t="shared" si="358"/>
        <v>2031</v>
      </c>
      <c r="B447" s="1504">
        <v>48061</v>
      </c>
      <c r="C447" s="1813"/>
      <c r="D447" s="1814"/>
      <c r="E447" s="1814"/>
      <c r="F447" s="1815"/>
      <c r="G447" s="1814"/>
      <c r="H447" s="1814"/>
      <c r="I447" s="1814"/>
      <c r="J447" s="1816"/>
      <c r="K447" s="1807"/>
      <c r="L447" s="25"/>
      <c r="M447" s="97"/>
      <c r="N447" s="1504">
        <v>48061</v>
      </c>
      <c r="O447" s="19"/>
      <c r="P447" s="93"/>
      <c r="Q447" s="93"/>
      <c r="R447" s="93"/>
      <c r="S447" s="93"/>
      <c r="T447" s="93"/>
      <c r="U447" s="93"/>
      <c r="V447" s="93"/>
      <c r="W447" s="93"/>
      <c r="X447" s="93"/>
      <c r="Y447" s="93"/>
      <c r="Z447" s="93"/>
      <c r="AA447" s="93"/>
      <c r="AB447" s="20"/>
      <c r="AC447" s="25"/>
      <c r="AD447" s="97"/>
      <c r="AE447" s="1504">
        <v>48061</v>
      </c>
      <c r="AF447" s="19"/>
      <c r="AG447" s="93"/>
      <c r="AH447" s="93"/>
      <c r="AI447" s="93"/>
      <c r="AJ447" s="93"/>
      <c r="AK447" s="93"/>
      <c r="AL447" s="93"/>
      <c r="AM447" s="93"/>
      <c r="AN447" s="93"/>
      <c r="AO447" s="93"/>
      <c r="AP447" s="93"/>
      <c r="AQ447" s="93"/>
      <c r="AR447" s="93"/>
      <c r="AS447" s="20"/>
      <c r="AT447" s="25"/>
      <c r="AU447" s="97"/>
      <c r="AV447" s="1504">
        <v>48061</v>
      </c>
      <c r="AW447" s="19"/>
      <c r="AX447" s="93"/>
      <c r="AY447" s="93"/>
      <c r="AZ447" s="93"/>
      <c r="BA447" s="93"/>
      <c r="BB447" s="93"/>
      <c r="BC447" s="93"/>
      <c r="BD447" s="93"/>
      <c r="BE447" s="93"/>
      <c r="BF447" s="93"/>
      <c r="BG447" s="93"/>
      <c r="BH447" s="93"/>
      <c r="BI447" s="93"/>
      <c r="BJ447" s="20"/>
      <c r="BK447" s="25"/>
      <c r="BL447" s="97"/>
      <c r="BM447" s="1504">
        <v>48061</v>
      </c>
      <c r="BN447" s="19"/>
      <c r="BO447" s="93"/>
      <c r="BP447" s="93"/>
      <c r="BQ447" s="93"/>
      <c r="BR447" s="93"/>
      <c r="BS447" s="93"/>
      <c r="BT447" s="93"/>
      <c r="BU447" s="20"/>
      <c r="BV447" s="25"/>
      <c r="BW447" s="97"/>
      <c r="BX447" s="1504">
        <v>48061</v>
      </c>
      <c r="BY447" s="19"/>
      <c r="BZ447" s="93"/>
      <c r="CA447" s="93"/>
      <c r="CB447" s="93"/>
      <c r="CC447" s="93"/>
      <c r="CD447" s="25"/>
      <c r="CE447" s="97"/>
      <c r="CF447" s="1504">
        <v>48061</v>
      </c>
      <c r="CG447" s="19"/>
      <c r="CH447" s="93"/>
      <c r="CI447" s="219"/>
      <c r="CJ447" s="20"/>
      <c r="CK447" s="19"/>
      <c r="CL447" s="93"/>
      <c r="CM447" s="93"/>
      <c r="CN447" s="93"/>
      <c r="CO447" s="93"/>
      <c r="CP447" s="20"/>
      <c r="CQ447" s="219"/>
      <c r="CR447" s="93"/>
      <c r="CS447" s="93"/>
      <c r="CT447" s="93"/>
      <c r="CU447" s="93"/>
      <c r="CV447" s="214"/>
      <c r="CW447" s="29"/>
      <c r="CX447" s="41">
        <f t="shared" si="357"/>
        <v>2031</v>
      </c>
      <c r="CY447" s="1504">
        <v>48061</v>
      </c>
      <c r="CZ447" s="19"/>
      <c r="DA447" s="93"/>
      <c r="DB447" s="93"/>
      <c r="DC447" s="93"/>
      <c r="DD447" s="93"/>
      <c r="DE447" s="20"/>
      <c r="DF447" s="29"/>
      <c r="DG447" s="1504">
        <v>48061</v>
      </c>
      <c r="DH447" s="19"/>
      <c r="DI447" s="93"/>
      <c r="DJ447" s="93"/>
      <c r="DK447" s="93"/>
      <c r="DL447" s="93"/>
      <c r="DM447" s="93"/>
      <c r="DN447" s="20"/>
      <c r="DO447" s="295"/>
      <c r="DP447" s="29"/>
      <c r="DQ447" s="1504">
        <v>48061</v>
      </c>
      <c r="DR447" s="19"/>
      <c r="DS447" s="93"/>
      <c r="DT447" s="93"/>
      <c r="DU447" s="93"/>
      <c r="DV447" s="93"/>
      <c r="DW447" s="93"/>
      <c r="DX447" s="20"/>
      <c r="DY447" s="29"/>
      <c r="DZ447" s="1504">
        <v>48061</v>
      </c>
      <c r="EA447" s="19"/>
      <c r="EB447" s="93"/>
      <c r="EC447" s="20"/>
      <c r="ED447" s="29"/>
      <c r="EE447" s="1504">
        <v>48061</v>
      </c>
      <c r="EF447" s="19"/>
      <c r="EG447" s="93"/>
      <c r="EH447" s="93"/>
      <c r="EI447" s="214"/>
      <c r="EJ447" s="93"/>
      <c r="EK447" s="93"/>
      <c r="EL447" s="93"/>
      <c r="EM447" s="93"/>
      <c r="EN447" s="20"/>
      <c r="EO447" s="29"/>
      <c r="EP447" s="1504">
        <v>48061</v>
      </c>
      <c r="EQ447" s="19"/>
      <c r="ER447" s="93"/>
      <c r="ES447" s="93"/>
      <c r="ET447" s="214"/>
      <c r="EU447" s="93"/>
      <c r="EV447" s="93"/>
      <c r="EW447" s="93"/>
      <c r="EX447" s="93"/>
      <c r="EY447" s="20"/>
      <c r="EZ447" s="29"/>
      <c r="FA447" s="1504">
        <v>48061</v>
      </c>
      <c r="FB447" s="29"/>
      <c r="FC447" s="29"/>
      <c r="FD447" s="29"/>
      <c r="FE447" s="29"/>
      <c r="FF447" s="29"/>
      <c r="FG447" s="29"/>
      <c r="FH447" s="29"/>
      <c r="FI447" s="29"/>
      <c r="FJ447" s="29"/>
      <c r="FK447" s="29"/>
      <c r="FL447" s="1504">
        <v>48061</v>
      </c>
      <c r="FM447" s="19"/>
      <c r="FN447" s="93"/>
      <c r="FO447" s="93"/>
      <c r="FP447" s="93"/>
      <c r="FQ447" s="93"/>
      <c r="FR447" s="93"/>
      <c r="FS447" s="93"/>
      <c r="FT447" s="93"/>
      <c r="FU447" s="93"/>
      <c r="FV447" s="93"/>
      <c r="FW447" s="93"/>
      <c r="FX447" s="93"/>
      <c r="FY447" s="93"/>
      <c r="FZ447" s="29"/>
      <c r="GA447" s="1504">
        <v>48061</v>
      </c>
      <c r="GB447" s="19"/>
      <c r="GC447" s="93"/>
      <c r="GD447" s="93"/>
      <c r="GE447" s="93"/>
      <c r="GF447" s="93"/>
      <c r="GG447" s="93"/>
      <c r="GH447" s="93"/>
      <c r="GI447" s="93"/>
      <c r="GJ447" s="93"/>
      <c r="GK447" s="93"/>
      <c r="GL447" s="93"/>
      <c r="GM447" s="93"/>
      <c r="GN447" s="20"/>
      <c r="GO447" s="29"/>
      <c r="GP447" s="1504">
        <v>48061</v>
      </c>
      <c r="GQ447" s="19"/>
      <c r="GR447" s="93"/>
      <c r="GS447" s="93"/>
      <c r="GT447" s="93"/>
      <c r="GU447" s="93"/>
      <c r="GV447" s="20"/>
      <c r="GW447" s="19"/>
      <c r="GX447" s="93"/>
      <c r="GY447" s="93"/>
      <c r="GZ447" s="93"/>
      <c r="HA447" s="93"/>
      <c r="HB447" s="20"/>
      <c r="HC447" s="19"/>
      <c r="HD447" s="93"/>
      <c r="HE447" s="93"/>
      <c r="HF447" s="93"/>
      <c r="HG447" s="93"/>
      <c r="HH447" s="20"/>
      <c r="HI447" s="19"/>
      <c r="HJ447" s="93"/>
      <c r="HK447" s="93"/>
      <c r="HL447" s="93"/>
      <c r="HM447" s="93"/>
      <c r="HN447" s="20"/>
      <c r="HO447" s="219"/>
      <c r="HP447" s="20"/>
      <c r="HQ447" s="25"/>
      <c r="HR447" s="29"/>
      <c r="HS447" s="1504">
        <v>48061</v>
      </c>
      <c r="HT447" s="19"/>
      <c r="HU447" s="93"/>
      <c r="HV447" s="93"/>
      <c r="HW447" s="93"/>
      <c r="HX447" s="93"/>
      <c r="HY447" s="93"/>
      <c r="HZ447" s="93"/>
      <c r="IA447" s="20"/>
      <c r="IB447" s="19"/>
      <c r="IC447" s="93"/>
      <c r="ID447" s="93"/>
      <c r="IE447" s="93"/>
      <c r="IF447" s="93"/>
      <c r="IG447" s="20"/>
      <c r="IH447" s="19"/>
      <c r="II447" s="93"/>
      <c r="IJ447" s="93"/>
      <c r="IK447" s="93"/>
      <c r="IL447" s="93"/>
      <c r="IM447" s="93"/>
      <c r="IN447" s="93"/>
      <c r="IO447" s="20"/>
      <c r="IP447" s="29"/>
      <c r="IQ447" s="19"/>
      <c r="IR447" s="93"/>
      <c r="IS447" s="93"/>
      <c r="IT447" s="93"/>
      <c r="IU447" s="93"/>
      <c r="IV447" s="20"/>
      <c r="IW447" s="29"/>
      <c r="IX447" s="19"/>
      <c r="IY447" s="93"/>
      <c r="IZ447" s="93"/>
      <c r="JA447" s="93"/>
      <c r="JB447" s="93"/>
      <c r="JC447" s="93"/>
      <c r="JD447" s="93"/>
      <c r="JE447" s="20"/>
      <c r="JF447" s="29"/>
      <c r="JG447" s="19"/>
      <c r="JH447" s="93"/>
      <c r="JI447" s="93"/>
      <c r="JJ447" s="93"/>
      <c r="JK447" s="93"/>
      <c r="JL447" s="93"/>
      <c r="JM447" s="93"/>
      <c r="JN447" s="20"/>
      <c r="JO447" s="29"/>
      <c r="JP447" s="19"/>
      <c r="JQ447" s="93"/>
      <c r="JR447" s="93"/>
      <c r="JS447" s="93"/>
      <c r="JT447" s="93"/>
      <c r="JU447" s="20"/>
      <c r="JV447" s="29"/>
      <c r="JW447" s="1504">
        <v>48061</v>
      </c>
      <c r="JX447" s="19"/>
      <c r="JY447" s="93"/>
      <c r="JZ447" s="93"/>
      <c r="KA447" s="93"/>
      <c r="KB447" s="93"/>
      <c r="KC447" s="93"/>
      <c r="KD447" s="20"/>
      <c r="KE447" s="29"/>
      <c r="KF447" s="19"/>
      <c r="KG447" s="93"/>
      <c r="KH447" s="93"/>
      <c r="KI447" s="93"/>
      <c r="KJ447" s="93"/>
      <c r="KK447" s="20"/>
      <c r="KL447" s="29"/>
      <c r="KM447" s="19"/>
      <c r="KN447" s="93"/>
      <c r="KO447" s="93"/>
      <c r="KP447" s="93"/>
      <c r="KQ447" s="93"/>
      <c r="KR447" s="20"/>
      <c r="KS447" s="29"/>
      <c r="KT447" s="19"/>
      <c r="KU447" s="93"/>
      <c r="KV447" s="93"/>
      <c r="KW447" s="93"/>
      <c r="KX447" s="93"/>
      <c r="KY447" s="20"/>
      <c r="KZ447" s="29"/>
      <c r="LA447" s="1504">
        <v>48061</v>
      </c>
      <c r="LB447" s="19"/>
      <c r="LC447" s="93"/>
      <c r="LD447" s="93"/>
      <c r="LE447" s="93"/>
      <c r="LF447" s="93"/>
      <c r="LG447" s="93"/>
      <c r="LH447" s="20"/>
      <c r="LI447" s="29"/>
      <c r="LJ447" s="19"/>
      <c r="LK447" s="93"/>
      <c r="LL447" s="93"/>
      <c r="LM447" s="93"/>
      <c r="LN447" s="93"/>
      <c r="LO447" s="20"/>
      <c r="LP447" s="29"/>
      <c r="LQ447" s="19"/>
      <c r="LR447" s="93"/>
      <c r="LS447" s="93"/>
      <c r="LT447" s="93"/>
      <c r="LU447" s="93"/>
      <c r="LV447" s="93"/>
      <c r="LW447" s="93"/>
      <c r="LX447" s="93"/>
      <c r="LY447" s="93"/>
      <c r="LZ447" s="93"/>
      <c r="MA447" s="20"/>
      <c r="MB447" s="29"/>
      <c r="MC447" s="1504">
        <v>48061</v>
      </c>
      <c r="MD447" s="19"/>
      <c r="ME447" s="93"/>
      <c r="MF447" s="93"/>
      <c r="MG447" s="93"/>
      <c r="MH447" s="93"/>
      <c r="MI447" s="93"/>
      <c r="MJ447" s="93"/>
      <c r="MK447" s="93"/>
      <c r="ML447" s="93"/>
      <c r="MM447" s="93"/>
      <c r="MN447" s="93"/>
      <c r="MO447" s="93"/>
      <c r="MP447" s="93"/>
      <c r="MQ447" s="93"/>
      <c r="MR447" s="93"/>
      <c r="MS447" s="93"/>
      <c r="MT447" s="93"/>
      <c r="MU447" s="93"/>
      <c r="MV447" s="93"/>
      <c r="MW447" s="93"/>
      <c r="MX447" s="93"/>
      <c r="MY447" s="93"/>
      <c r="MZ447" s="93"/>
      <c r="NA447" s="93"/>
      <c r="NB447" s="93"/>
      <c r="NC447" s="93"/>
      <c r="ND447" s="93"/>
      <c r="NE447" s="93"/>
      <c r="NF447" s="93"/>
      <c r="NG447" s="93"/>
      <c r="NH447" s="93"/>
      <c r="NI447" s="93"/>
      <c r="NJ447" s="93"/>
      <c r="NK447" s="93"/>
      <c r="NL447" s="93"/>
      <c r="NM447" s="93"/>
      <c r="NN447" s="93"/>
      <c r="NO447" s="93"/>
      <c r="NP447" s="93"/>
      <c r="NQ447" s="93"/>
      <c r="NR447" s="93"/>
      <c r="NS447" s="93"/>
      <c r="NT447" s="93"/>
      <c r="NU447" s="93"/>
      <c r="NV447" s="93"/>
      <c r="NW447" s="93"/>
      <c r="NX447" s="93"/>
      <c r="NY447" s="93"/>
      <c r="NZ447" s="93"/>
      <c r="OA447" s="93"/>
      <c r="OB447" s="93"/>
      <c r="OC447" s="93"/>
      <c r="OD447" s="20"/>
      <c r="OE447" s="29"/>
      <c r="OF447" s="1504">
        <v>48061</v>
      </c>
      <c r="OG447" s="19"/>
      <c r="OH447" s="93"/>
      <c r="OI447" s="93"/>
      <c r="OJ447" s="93"/>
      <c r="OK447" s="93"/>
      <c r="OL447" s="93"/>
      <c r="OM447" s="93"/>
      <c r="ON447" s="93"/>
      <c r="OO447" s="93"/>
      <c r="OP447" s="93"/>
      <c r="OQ447" s="93"/>
      <c r="OR447" s="93"/>
      <c r="OS447" s="93"/>
      <c r="OT447" s="93"/>
      <c r="OU447" s="93"/>
      <c r="OV447" s="93"/>
      <c r="OW447" s="93"/>
      <c r="OX447" s="93"/>
      <c r="OY447" s="93"/>
      <c r="OZ447" s="93"/>
      <c r="PA447" s="93"/>
      <c r="PB447" s="93"/>
      <c r="PC447" s="20"/>
      <c r="PD447" s="29"/>
      <c r="PE447" s="19"/>
      <c r="PF447" s="93"/>
      <c r="PG447" s="93"/>
      <c r="PH447" s="93"/>
      <c r="PI447" s="93"/>
      <c r="PJ447" s="93"/>
      <c r="PK447" s="93"/>
      <c r="PL447" s="93"/>
      <c r="PM447" s="93"/>
      <c r="PN447" s="93"/>
      <c r="PO447" s="93"/>
      <c r="PP447" s="93"/>
      <c r="PQ447" s="93"/>
      <c r="PR447" s="93"/>
      <c r="PS447" s="93"/>
      <c r="PT447" s="93"/>
      <c r="PU447" s="93"/>
      <c r="PV447" s="93"/>
      <c r="PW447" s="93"/>
      <c r="PX447" s="93"/>
      <c r="PY447" s="93"/>
      <c r="PZ447" s="93"/>
      <c r="QA447" s="93"/>
      <c r="QB447" s="93"/>
      <c r="QC447" s="93"/>
      <c r="QD447" s="93"/>
      <c r="QE447" s="20"/>
      <c r="QF447" s="1739"/>
      <c r="QG447" s="19"/>
      <c r="QH447" s="93"/>
      <c r="QI447" s="93"/>
      <c r="QJ447" s="93"/>
      <c r="QK447" s="93"/>
      <c r="QL447" s="93"/>
      <c r="QM447" s="93"/>
      <c r="QN447" s="93"/>
      <c r="QO447" s="93"/>
      <c r="QP447" s="93"/>
      <c r="QQ447" s="93"/>
      <c r="QR447" s="93"/>
      <c r="QS447" s="93"/>
      <c r="QT447" s="93"/>
      <c r="QU447" s="93"/>
      <c r="QV447" s="93"/>
      <c r="QW447" s="93"/>
      <c r="QX447" s="93"/>
      <c r="QY447" s="93"/>
      <c r="QZ447" s="93"/>
      <c r="RA447" s="93"/>
      <c r="RB447" s="93"/>
      <c r="RC447" s="93"/>
      <c r="RD447" s="93"/>
      <c r="RE447" s="93"/>
      <c r="RF447" s="93"/>
      <c r="RG447" s="93"/>
      <c r="RH447" s="93"/>
      <c r="RI447" s="93"/>
      <c r="RJ447" s="93"/>
      <c r="RK447" s="93"/>
      <c r="RL447" s="93"/>
      <c r="RM447" s="20"/>
      <c r="RN447" s="29"/>
      <c r="RO447" s="19"/>
      <c r="RP447" s="20"/>
      <c r="RQ447" s="29"/>
      <c r="RR447" s="20"/>
      <c r="RS447" s="29"/>
      <c r="RT447" s="1504">
        <v>48061</v>
      </c>
      <c r="RU447" s="19"/>
      <c r="RV447" s="20"/>
      <c r="RW447" s="29"/>
      <c r="RX447" s="1504">
        <v>48061</v>
      </c>
      <c r="RY447" s="29"/>
      <c r="RZ447" s="20"/>
      <c r="SA447" s="29"/>
      <c r="SB447" s="29"/>
    </row>
    <row r="448" spans="1:496">
      <c r="A448" s="41">
        <f t="shared" si="358"/>
        <v>2031</v>
      </c>
      <c r="B448" s="1504">
        <v>48092</v>
      </c>
      <c r="C448" s="1813"/>
      <c r="D448" s="1814"/>
      <c r="E448" s="1814"/>
      <c r="F448" s="1815"/>
      <c r="G448" s="1814"/>
      <c r="H448" s="1814"/>
      <c r="I448" s="1814"/>
      <c r="J448" s="1816"/>
      <c r="K448" s="1807"/>
      <c r="L448" s="25"/>
      <c r="M448" s="97"/>
      <c r="N448" s="1504">
        <v>48092</v>
      </c>
      <c r="O448" s="19"/>
      <c r="P448" s="93"/>
      <c r="Q448" s="93"/>
      <c r="R448" s="93"/>
      <c r="S448" s="93"/>
      <c r="T448" s="93"/>
      <c r="U448" s="93"/>
      <c r="V448" s="93"/>
      <c r="W448" s="93"/>
      <c r="X448" s="93"/>
      <c r="Y448" s="93"/>
      <c r="Z448" s="93"/>
      <c r="AA448" s="93"/>
      <c r="AB448" s="20"/>
      <c r="AC448" s="25"/>
      <c r="AD448" s="97"/>
      <c r="AE448" s="1504">
        <v>48092</v>
      </c>
      <c r="AF448" s="19"/>
      <c r="AG448" s="93"/>
      <c r="AH448" s="93"/>
      <c r="AI448" s="93"/>
      <c r="AJ448" s="93"/>
      <c r="AK448" s="93"/>
      <c r="AL448" s="93"/>
      <c r="AM448" s="93"/>
      <c r="AN448" s="93"/>
      <c r="AO448" s="93"/>
      <c r="AP448" s="93"/>
      <c r="AQ448" s="93"/>
      <c r="AR448" s="93"/>
      <c r="AS448" s="20"/>
      <c r="AT448" s="25"/>
      <c r="AU448" s="97"/>
      <c r="AV448" s="1504">
        <v>48092</v>
      </c>
      <c r="AW448" s="19"/>
      <c r="AX448" s="93"/>
      <c r="AY448" s="93"/>
      <c r="AZ448" s="93"/>
      <c r="BA448" s="93"/>
      <c r="BB448" s="93"/>
      <c r="BC448" s="93"/>
      <c r="BD448" s="93"/>
      <c r="BE448" s="93"/>
      <c r="BF448" s="93"/>
      <c r="BG448" s="93"/>
      <c r="BH448" s="93"/>
      <c r="BI448" s="93"/>
      <c r="BJ448" s="20"/>
      <c r="BK448" s="25"/>
      <c r="BL448" s="97"/>
      <c r="BM448" s="1504">
        <v>48092</v>
      </c>
      <c r="BN448" s="19"/>
      <c r="BO448" s="93"/>
      <c r="BP448" s="93"/>
      <c r="BQ448" s="93"/>
      <c r="BR448" s="93"/>
      <c r="BS448" s="93"/>
      <c r="BT448" s="93"/>
      <c r="BU448" s="20"/>
      <c r="BV448" s="25"/>
      <c r="BW448" s="97"/>
      <c r="BX448" s="1504">
        <v>48092</v>
      </c>
      <c r="BY448" s="19"/>
      <c r="BZ448" s="93"/>
      <c r="CA448" s="93"/>
      <c r="CB448" s="93"/>
      <c r="CC448" s="93"/>
      <c r="CD448" s="25"/>
      <c r="CE448" s="97"/>
      <c r="CF448" s="1504">
        <v>48092</v>
      </c>
      <c r="CG448" s="19"/>
      <c r="CH448" s="93"/>
      <c r="CI448" s="219"/>
      <c r="CJ448" s="20"/>
      <c r="CK448" s="19"/>
      <c r="CL448" s="93"/>
      <c r="CM448" s="93"/>
      <c r="CN448" s="93"/>
      <c r="CO448" s="93"/>
      <c r="CP448" s="20"/>
      <c r="CQ448" s="219"/>
      <c r="CR448" s="93"/>
      <c r="CS448" s="93"/>
      <c r="CT448" s="93"/>
      <c r="CU448" s="93"/>
      <c r="CV448" s="214"/>
      <c r="CW448" s="29"/>
      <c r="CX448" s="41">
        <f t="shared" si="357"/>
        <v>2031</v>
      </c>
      <c r="CY448" s="1504">
        <v>48092</v>
      </c>
      <c r="CZ448" s="19"/>
      <c r="DA448" s="93"/>
      <c r="DB448" s="93"/>
      <c r="DC448" s="93"/>
      <c r="DD448" s="93"/>
      <c r="DE448" s="20"/>
      <c r="DF448" s="29"/>
      <c r="DG448" s="1504">
        <v>48092</v>
      </c>
      <c r="DH448" s="19"/>
      <c r="DI448" s="93"/>
      <c r="DJ448" s="93"/>
      <c r="DK448" s="93"/>
      <c r="DL448" s="93"/>
      <c r="DM448" s="93"/>
      <c r="DN448" s="20"/>
      <c r="DO448" s="295"/>
      <c r="DP448" s="29"/>
      <c r="DQ448" s="1504">
        <v>48092</v>
      </c>
      <c r="DR448" s="19"/>
      <c r="DS448" s="93"/>
      <c r="DT448" s="93"/>
      <c r="DU448" s="93"/>
      <c r="DV448" s="93"/>
      <c r="DW448" s="93"/>
      <c r="DX448" s="20"/>
      <c r="DY448" s="29"/>
      <c r="DZ448" s="1504">
        <v>48092</v>
      </c>
      <c r="EA448" s="19"/>
      <c r="EB448" s="93"/>
      <c r="EC448" s="20"/>
      <c r="ED448" s="29"/>
      <c r="EE448" s="1504">
        <v>48092</v>
      </c>
      <c r="EF448" s="19"/>
      <c r="EG448" s="93"/>
      <c r="EH448" s="93"/>
      <c r="EI448" s="214"/>
      <c r="EJ448" s="93"/>
      <c r="EK448" s="93"/>
      <c r="EL448" s="93"/>
      <c r="EM448" s="93"/>
      <c r="EN448" s="20"/>
      <c r="EO448" s="29"/>
      <c r="EP448" s="1504">
        <v>48092</v>
      </c>
      <c r="EQ448" s="19"/>
      <c r="ER448" s="93"/>
      <c r="ES448" s="93"/>
      <c r="ET448" s="214"/>
      <c r="EU448" s="93"/>
      <c r="EV448" s="93"/>
      <c r="EW448" s="93"/>
      <c r="EX448" s="93"/>
      <c r="EY448" s="20"/>
      <c r="EZ448" s="29"/>
      <c r="FA448" s="1504">
        <v>48092</v>
      </c>
      <c r="FB448" s="29"/>
      <c r="FC448" s="29"/>
      <c r="FD448" s="29"/>
      <c r="FE448" s="29"/>
      <c r="FF448" s="29"/>
      <c r="FG448" s="29"/>
      <c r="FH448" s="29"/>
      <c r="FI448" s="29"/>
      <c r="FJ448" s="29"/>
      <c r="FK448" s="29"/>
      <c r="FL448" s="1504">
        <v>48092</v>
      </c>
      <c r="FM448" s="19"/>
      <c r="FN448" s="93"/>
      <c r="FO448" s="93"/>
      <c r="FP448" s="93"/>
      <c r="FQ448" s="93"/>
      <c r="FR448" s="93"/>
      <c r="FS448" s="93"/>
      <c r="FT448" s="93"/>
      <c r="FU448" s="93"/>
      <c r="FV448" s="93"/>
      <c r="FW448" s="93"/>
      <c r="FX448" s="93"/>
      <c r="FY448" s="93"/>
      <c r="FZ448" s="29"/>
      <c r="GA448" s="1504">
        <v>48092</v>
      </c>
      <c r="GB448" s="19"/>
      <c r="GC448" s="93"/>
      <c r="GD448" s="93"/>
      <c r="GE448" s="93"/>
      <c r="GF448" s="93"/>
      <c r="GG448" s="93"/>
      <c r="GH448" s="93"/>
      <c r="GI448" s="93"/>
      <c r="GJ448" s="93"/>
      <c r="GK448" s="93"/>
      <c r="GL448" s="93"/>
      <c r="GM448" s="93"/>
      <c r="GN448" s="20"/>
      <c r="GO448" s="29"/>
      <c r="GP448" s="1504">
        <v>48092</v>
      </c>
      <c r="GQ448" s="19"/>
      <c r="GR448" s="93"/>
      <c r="GS448" s="93"/>
      <c r="GT448" s="93"/>
      <c r="GU448" s="93"/>
      <c r="GV448" s="20"/>
      <c r="GW448" s="19"/>
      <c r="GX448" s="93"/>
      <c r="GY448" s="93"/>
      <c r="GZ448" s="93"/>
      <c r="HA448" s="93"/>
      <c r="HB448" s="20"/>
      <c r="HC448" s="19"/>
      <c r="HD448" s="93"/>
      <c r="HE448" s="93"/>
      <c r="HF448" s="93"/>
      <c r="HG448" s="93"/>
      <c r="HH448" s="20"/>
      <c r="HI448" s="19"/>
      <c r="HJ448" s="93"/>
      <c r="HK448" s="93"/>
      <c r="HL448" s="93"/>
      <c r="HM448" s="93"/>
      <c r="HN448" s="20"/>
      <c r="HO448" s="219"/>
      <c r="HP448" s="20"/>
      <c r="HQ448" s="25"/>
      <c r="HR448" s="29"/>
      <c r="HS448" s="1504">
        <v>48092</v>
      </c>
      <c r="HT448" s="19"/>
      <c r="HU448" s="93"/>
      <c r="HV448" s="93"/>
      <c r="HW448" s="93"/>
      <c r="HX448" s="93"/>
      <c r="HY448" s="93"/>
      <c r="HZ448" s="93"/>
      <c r="IA448" s="20"/>
      <c r="IB448" s="19"/>
      <c r="IC448" s="93"/>
      <c r="ID448" s="93"/>
      <c r="IE448" s="93"/>
      <c r="IF448" s="93"/>
      <c r="IG448" s="20"/>
      <c r="IH448" s="19"/>
      <c r="II448" s="93"/>
      <c r="IJ448" s="93"/>
      <c r="IK448" s="93"/>
      <c r="IL448" s="93"/>
      <c r="IM448" s="93"/>
      <c r="IN448" s="93"/>
      <c r="IO448" s="20"/>
      <c r="IP448" s="29"/>
      <c r="IQ448" s="19"/>
      <c r="IR448" s="93"/>
      <c r="IS448" s="93"/>
      <c r="IT448" s="93"/>
      <c r="IU448" s="93"/>
      <c r="IV448" s="20"/>
      <c r="IW448" s="29"/>
      <c r="IX448" s="19"/>
      <c r="IY448" s="93"/>
      <c r="IZ448" s="93"/>
      <c r="JA448" s="93"/>
      <c r="JB448" s="93"/>
      <c r="JC448" s="93"/>
      <c r="JD448" s="93"/>
      <c r="JE448" s="20"/>
      <c r="JF448" s="29"/>
      <c r="JG448" s="19"/>
      <c r="JH448" s="93"/>
      <c r="JI448" s="93"/>
      <c r="JJ448" s="93"/>
      <c r="JK448" s="93"/>
      <c r="JL448" s="93"/>
      <c r="JM448" s="93"/>
      <c r="JN448" s="20"/>
      <c r="JO448" s="29"/>
      <c r="JP448" s="19"/>
      <c r="JQ448" s="93"/>
      <c r="JR448" s="93"/>
      <c r="JS448" s="93"/>
      <c r="JT448" s="93"/>
      <c r="JU448" s="20"/>
      <c r="JV448" s="29"/>
      <c r="JW448" s="1504">
        <v>48092</v>
      </c>
      <c r="JX448" s="19"/>
      <c r="JY448" s="93"/>
      <c r="JZ448" s="93"/>
      <c r="KA448" s="93"/>
      <c r="KB448" s="93"/>
      <c r="KC448" s="93"/>
      <c r="KD448" s="20"/>
      <c r="KE448" s="29"/>
      <c r="KF448" s="19"/>
      <c r="KG448" s="93"/>
      <c r="KH448" s="93"/>
      <c r="KI448" s="93"/>
      <c r="KJ448" s="93"/>
      <c r="KK448" s="20"/>
      <c r="KL448" s="29"/>
      <c r="KM448" s="19"/>
      <c r="KN448" s="93"/>
      <c r="KO448" s="93"/>
      <c r="KP448" s="93"/>
      <c r="KQ448" s="93"/>
      <c r="KR448" s="20"/>
      <c r="KS448" s="29"/>
      <c r="KT448" s="19"/>
      <c r="KU448" s="93"/>
      <c r="KV448" s="93"/>
      <c r="KW448" s="93"/>
      <c r="KX448" s="93"/>
      <c r="KY448" s="20"/>
      <c r="KZ448" s="29"/>
      <c r="LA448" s="1504">
        <v>48092</v>
      </c>
      <c r="LB448" s="19"/>
      <c r="LC448" s="93"/>
      <c r="LD448" s="93"/>
      <c r="LE448" s="93"/>
      <c r="LF448" s="93"/>
      <c r="LG448" s="93"/>
      <c r="LH448" s="20"/>
      <c r="LI448" s="29"/>
      <c r="LJ448" s="19"/>
      <c r="LK448" s="93"/>
      <c r="LL448" s="93"/>
      <c r="LM448" s="93"/>
      <c r="LN448" s="93"/>
      <c r="LO448" s="20"/>
      <c r="LP448" s="29"/>
      <c r="LQ448" s="19"/>
      <c r="LR448" s="93"/>
      <c r="LS448" s="93"/>
      <c r="LT448" s="93"/>
      <c r="LU448" s="93"/>
      <c r="LV448" s="93"/>
      <c r="LW448" s="93"/>
      <c r="LX448" s="93"/>
      <c r="LY448" s="93"/>
      <c r="LZ448" s="93"/>
      <c r="MA448" s="20"/>
      <c r="MB448" s="29"/>
      <c r="MC448" s="1504">
        <v>48092</v>
      </c>
      <c r="MD448" s="19"/>
      <c r="ME448" s="93"/>
      <c r="MF448" s="93"/>
      <c r="MG448" s="93"/>
      <c r="MH448" s="93"/>
      <c r="MI448" s="93"/>
      <c r="MJ448" s="93"/>
      <c r="MK448" s="93"/>
      <c r="ML448" s="93"/>
      <c r="MM448" s="93"/>
      <c r="MN448" s="93"/>
      <c r="MO448" s="93"/>
      <c r="MP448" s="93"/>
      <c r="MQ448" s="93"/>
      <c r="MR448" s="93"/>
      <c r="MS448" s="93"/>
      <c r="MT448" s="93"/>
      <c r="MU448" s="93"/>
      <c r="MV448" s="93"/>
      <c r="MW448" s="93"/>
      <c r="MX448" s="93"/>
      <c r="MY448" s="93"/>
      <c r="MZ448" s="93"/>
      <c r="NA448" s="93"/>
      <c r="NB448" s="93"/>
      <c r="NC448" s="93"/>
      <c r="ND448" s="93"/>
      <c r="NE448" s="93"/>
      <c r="NF448" s="93"/>
      <c r="NG448" s="93"/>
      <c r="NH448" s="93"/>
      <c r="NI448" s="93"/>
      <c r="NJ448" s="93"/>
      <c r="NK448" s="93"/>
      <c r="NL448" s="93"/>
      <c r="NM448" s="93"/>
      <c r="NN448" s="93"/>
      <c r="NO448" s="93"/>
      <c r="NP448" s="93"/>
      <c r="NQ448" s="93"/>
      <c r="NR448" s="93"/>
      <c r="NS448" s="93"/>
      <c r="NT448" s="93"/>
      <c r="NU448" s="93"/>
      <c r="NV448" s="93"/>
      <c r="NW448" s="93"/>
      <c r="NX448" s="93"/>
      <c r="NY448" s="93"/>
      <c r="NZ448" s="93"/>
      <c r="OA448" s="93"/>
      <c r="OB448" s="93"/>
      <c r="OC448" s="93"/>
      <c r="OD448" s="20"/>
      <c r="OE448" s="29"/>
      <c r="OF448" s="1504">
        <v>48092</v>
      </c>
      <c r="OG448" s="19"/>
      <c r="OH448" s="93"/>
      <c r="OI448" s="93"/>
      <c r="OJ448" s="93"/>
      <c r="OK448" s="93"/>
      <c r="OL448" s="93"/>
      <c r="OM448" s="93"/>
      <c r="ON448" s="93"/>
      <c r="OO448" s="93"/>
      <c r="OP448" s="93"/>
      <c r="OQ448" s="93"/>
      <c r="OR448" s="93"/>
      <c r="OS448" s="93"/>
      <c r="OT448" s="93"/>
      <c r="OU448" s="93"/>
      <c r="OV448" s="93"/>
      <c r="OW448" s="93"/>
      <c r="OX448" s="93"/>
      <c r="OY448" s="93"/>
      <c r="OZ448" s="93"/>
      <c r="PA448" s="93"/>
      <c r="PB448" s="93"/>
      <c r="PC448" s="20"/>
      <c r="PD448" s="29"/>
      <c r="PE448" s="19"/>
      <c r="PF448" s="93"/>
      <c r="PG448" s="93"/>
      <c r="PH448" s="93"/>
      <c r="PI448" s="93"/>
      <c r="PJ448" s="93"/>
      <c r="PK448" s="93"/>
      <c r="PL448" s="93"/>
      <c r="PM448" s="93"/>
      <c r="PN448" s="93"/>
      <c r="PO448" s="93"/>
      <c r="PP448" s="93"/>
      <c r="PQ448" s="93"/>
      <c r="PR448" s="93"/>
      <c r="PS448" s="93"/>
      <c r="PT448" s="93"/>
      <c r="PU448" s="93"/>
      <c r="PV448" s="93"/>
      <c r="PW448" s="93"/>
      <c r="PX448" s="93"/>
      <c r="PY448" s="93"/>
      <c r="PZ448" s="93"/>
      <c r="QA448" s="93"/>
      <c r="QB448" s="93"/>
      <c r="QC448" s="93"/>
      <c r="QD448" s="93"/>
      <c r="QE448" s="20"/>
      <c r="QF448" s="1739"/>
      <c r="QG448" s="19"/>
      <c r="QH448" s="93"/>
      <c r="QI448" s="93"/>
      <c r="QJ448" s="93"/>
      <c r="QK448" s="93"/>
      <c r="QL448" s="93"/>
      <c r="QM448" s="93"/>
      <c r="QN448" s="93"/>
      <c r="QO448" s="93"/>
      <c r="QP448" s="93"/>
      <c r="QQ448" s="93"/>
      <c r="QR448" s="93"/>
      <c r="QS448" s="93"/>
      <c r="QT448" s="93"/>
      <c r="QU448" s="93"/>
      <c r="QV448" s="93"/>
      <c r="QW448" s="93"/>
      <c r="QX448" s="93"/>
      <c r="QY448" s="93"/>
      <c r="QZ448" s="93"/>
      <c r="RA448" s="93"/>
      <c r="RB448" s="93"/>
      <c r="RC448" s="93"/>
      <c r="RD448" s="93"/>
      <c r="RE448" s="93"/>
      <c r="RF448" s="93"/>
      <c r="RG448" s="93"/>
      <c r="RH448" s="93"/>
      <c r="RI448" s="93"/>
      <c r="RJ448" s="93"/>
      <c r="RK448" s="93"/>
      <c r="RL448" s="93"/>
      <c r="RM448" s="20"/>
      <c r="RN448" s="29"/>
      <c r="RO448" s="19"/>
      <c r="RP448" s="20"/>
      <c r="RQ448" s="29"/>
      <c r="RR448" s="20"/>
      <c r="RS448" s="29"/>
      <c r="RT448" s="1504">
        <v>48092</v>
      </c>
      <c r="RU448" s="19"/>
      <c r="RV448" s="20"/>
      <c r="RW448" s="29"/>
      <c r="RX448" s="1504">
        <v>48092</v>
      </c>
      <c r="RY448" s="29"/>
      <c r="RZ448" s="20"/>
      <c r="SA448" s="29"/>
      <c r="SB448" s="29"/>
    </row>
    <row r="449" spans="1:496">
      <c r="A449" s="41">
        <f t="shared" si="358"/>
        <v>2031</v>
      </c>
      <c r="B449" s="1504">
        <v>48122</v>
      </c>
      <c r="C449" s="1813"/>
      <c r="D449" s="1814"/>
      <c r="E449" s="1814"/>
      <c r="F449" s="1815"/>
      <c r="G449" s="1814"/>
      <c r="H449" s="1814"/>
      <c r="I449" s="1814"/>
      <c r="J449" s="1816"/>
      <c r="K449" s="1807"/>
      <c r="L449" s="25"/>
      <c r="M449" s="97"/>
      <c r="N449" s="1504">
        <v>48122</v>
      </c>
      <c r="O449" s="19"/>
      <c r="P449" s="93"/>
      <c r="Q449" s="93"/>
      <c r="R449" s="93"/>
      <c r="S449" s="93"/>
      <c r="T449" s="93"/>
      <c r="U449" s="93"/>
      <c r="V449" s="93"/>
      <c r="W449" s="93"/>
      <c r="X449" s="93"/>
      <c r="Y449" s="93"/>
      <c r="Z449" s="93"/>
      <c r="AA449" s="93"/>
      <c r="AB449" s="20"/>
      <c r="AC449" s="25"/>
      <c r="AD449" s="97"/>
      <c r="AE449" s="1504">
        <v>48122</v>
      </c>
      <c r="AF449" s="19"/>
      <c r="AG449" s="93"/>
      <c r="AH449" s="93"/>
      <c r="AI449" s="93"/>
      <c r="AJ449" s="93"/>
      <c r="AK449" s="93"/>
      <c r="AL449" s="93"/>
      <c r="AM449" s="93"/>
      <c r="AN449" s="93"/>
      <c r="AO449" s="93"/>
      <c r="AP449" s="93"/>
      <c r="AQ449" s="93"/>
      <c r="AR449" s="93"/>
      <c r="AS449" s="20"/>
      <c r="AT449" s="25"/>
      <c r="AU449" s="97"/>
      <c r="AV449" s="1504">
        <v>48122</v>
      </c>
      <c r="AW449" s="19"/>
      <c r="AX449" s="93"/>
      <c r="AY449" s="93"/>
      <c r="AZ449" s="93"/>
      <c r="BA449" s="93"/>
      <c r="BB449" s="93"/>
      <c r="BC449" s="93"/>
      <c r="BD449" s="93"/>
      <c r="BE449" s="93"/>
      <c r="BF449" s="93"/>
      <c r="BG449" s="93"/>
      <c r="BH449" s="93"/>
      <c r="BI449" s="93"/>
      <c r="BJ449" s="20"/>
      <c r="BK449" s="25"/>
      <c r="BL449" s="97"/>
      <c r="BM449" s="1504">
        <v>48122</v>
      </c>
      <c r="BN449" s="19"/>
      <c r="BO449" s="93"/>
      <c r="BP449" s="93"/>
      <c r="BQ449" s="93"/>
      <c r="BR449" s="93"/>
      <c r="BS449" s="93"/>
      <c r="BT449" s="93"/>
      <c r="BU449" s="20"/>
      <c r="BV449" s="25"/>
      <c r="BW449" s="97"/>
      <c r="BX449" s="1504">
        <v>48122</v>
      </c>
      <c r="BY449" s="19"/>
      <c r="BZ449" s="93"/>
      <c r="CA449" s="93"/>
      <c r="CB449" s="93"/>
      <c r="CC449" s="93"/>
      <c r="CD449" s="25"/>
      <c r="CE449" s="97"/>
      <c r="CF449" s="1504">
        <v>48122</v>
      </c>
      <c r="CG449" s="19"/>
      <c r="CH449" s="93"/>
      <c r="CI449" s="219"/>
      <c r="CJ449" s="20"/>
      <c r="CK449" s="19"/>
      <c r="CL449" s="93"/>
      <c r="CM449" s="93"/>
      <c r="CN449" s="93"/>
      <c r="CO449" s="93"/>
      <c r="CP449" s="20"/>
      <c r="CQ449" s="219"/>
      <c r="CR449" s="93"/>
      <c r="CS449" s="93"/>
      <c r="CT449" s="93"/>
      <c r="CU449" s="93"/>
      <c r="CV449" s="214"/>
      <c r="CW449" s="29"/>
      <c r="CX449" s="41">
        <f t="shared" si="357"/>
        <v>2031</v>
      </c>
      <c r="CY449" s="1504">
        <v>48122</v>
      </c>
      <c r="CZ449" s="19"/>
      <c r="DA449" s="93"/>
      <c r="DB449" s="93"/>
      <c r="DC449" s="93"/>
      <c r="DD449" s="93"/>
      <c r="DE449" s="20"/>
      <c r="DF449" s="29"/>
      <c r="DG449" s="1504">
        <v>48122</v>
      </c>
      <c r="DH449" s="19"/>
      <c r="DI449" s="93"/>
      <c r="DJ449" s="93"/>
      <c r="DK449" s="93"/>
      <c r="DL449" s="93"/>
      <c r="DM449" s="93"/>
      <c r="DN449" s="20"/>
      <c r="DO449" s="295"/>
      <c r="DP449" s="29"/>
      <c r="DQ449" s="1504">
        <v>48122</v>
      </c>
      <c r="DR449" s="19"/>
      <c r="DS449" s="93"/>
      <c r="DT449" s="93"/>
      <c r="DU449" s="93"/>
      <c r="DV449" s="93"/>
      <c r="DW449" s="93"/>
      <c r="DX449" s="20"/>
      <c r="DY449" s="29"/>
      <c r="DZ449" s="1504">
        <v>48122</v>
      </c>
      <c r="EA449" s="19"/>
      <c r="EB449" s="93"/>
      <c r="EC449" s="20"/>
      <c r="ED449" s="29"/>
      <c r="EE449" s="1504">
        <v>48122</v>
      </c>
      <c r="EF449" s="19"/>
      <c r="EG449" s="93"/>
      <c r="EH449" s="93"/>
      <c r="EI449" s="214"/>
      <c r="EJ449" s="93"/>
      <c r="EK449" s="93"/>
      <c r="EL449" s="93"/>
      <c r="EM449" s="93"/>
      <c r="EN449" s="20"/>
      <c r="EO449" s="29"/>
      <c r="EP449" s="1504">
        <v>48122</v>
      </c>
      <c r="EQ449" s="19"/>
      <c r="ER449" s="93"/>
      <c r="ES449" s="93"/>
      <c r="ET449" s="214"/>
      <c r="EU449" s="93"/>
      <c r="EV449" s="93"/>
      <c r="EW449" s="93"/>
      <c r="EX449" s="93"/>
      <c r="EY449" s="20"/>
      <c r="EZ449" s="29"/>
      <c r="FA449" s="1504">
        <v>48122</v>
      </c>
      <c r="FB449" s="29"/>
      <c r="FC449" s="29"/>
      <c r="FD449" s="29"/>
      <c r="FE449" s="29"/>
      <c r="FF449" s="29"/>
      <c r="FG449" s="29"/>
      <c r="FH449" s="29"/>
      <c r="FI449" s="29"/>
      <c r="FJ449" s="29"/>
      <c r="FK449" s="29"/>
      <c r="FL449" s="1504">
        <v>48122</v>
      </c>
      <c r="FM449" s="19"/>
      <c r="FN449" s="93"/>
      <c r="FO449" s="93"/>
      <c r="FP449" s="93"/>
      <c r="FQ449" s="93"/>
      <c r="FR449" s="93"/>
      <c r="FS449" s="93"/>
      <c r="FT449" s="93"/>
      <c r="FU449" s="93"/>
      <c r="FV449" s="93"/>
      <c r="FW449" s="93"/>
      <c r="FX449" s="93"/>
      <c r="FY449" s="93"/>
      <c r="FZ449" s="29"/>
      <c r="GA449" s="1504">
        <v>48122</v>
      </c>
      <c r="GB449" s="19"/>
      <c r="GC449" s="93"/>
      <c r="GD449" s="93"/>
      <c r="GE449" s="93"/>
      <c r="GF449" s="93"/>
      <c r="GG449" s="93"/>
      <c r="GH449" s="93"/>
      <c r="GI449" s="93"/>
      <c r="GJ449" s="93"/>
      <c r="GK449" s="93"/>
      <c r="GL449" s="93"/>
      <c r="GM449" s="93"/>
      <c r="GN449" s="20"/>
      <c r="GO449" s="29"/>
      <c r="GP449" s="1504">
        <v>48122</v>
      </c>
      <c r="GQ449" s="19"/>
      <c r="GR449" s="93"/>
      <c r="GS449" s="93"/>
      <c r="GT449" s="93"/>
      <c r="GU449" s="93"/>
      <c r="GV449" s="20"/>
      <c r="GW449" s="19"/>
      <c r="GX449" s="93"/>
      <c r="GY449" s="93"/>
      <c r="GZ449" s="93"/>
      <c r="HA449" s="93"/>
      <c r="HB449" s="20"/>
      <c r="HC449" s="19"/>
      <c r="HD449" s="93"/>
      <c r="HE449" s="93"/>
      <c r="HF449" s="93"/>
      <c r="HG449" s="93"/>
      <c r="HH449" s="20"/>
      <c r="HI449" s="19"/>
      <c r="HJ449" s="93"/>
      <c r="HK449" s="93"/>
      <c r="HL449" s="93"/>
      <c r="HM449" s="93"/>
      <c r="HN449" s="20"/>
      <c r="HO449" s="219"/>
      <c r="HP449" s="20"/>
      <c r="HQ449" s="25"/>
      <c r="HR449" s="29"/>
      <c r="HS449" s="1504">
        <v>48122</v>
      </c>
      <c r="HT449" s="19"/>
      <c r="HU449" s="93"/>
      <c r="HV449" s="93"/>
      <c r="HW449" s="93"/>
      <c r="HX449" s="93"/>
      <c r="HY449" s="93"/>
      <c r="HZ449" s="93"/>
      <c r="IA449" s="20"/>
      <c r="IB449" s="19"/>
      <c r="IC449" s="93"/>
      <c r="ID449" s="93"/>
      <c r="IE449" s="93"/>
      <c r="IF449" s="93"/>
      <c r="IG449" s="20"/>
      <c r="IH449" s="19"/>
      <c r="II449" s="93"/>
      <c r="IJ449" s="93"/>
      <c r="IK449" s="93"/>
      <c r="IL449" s="93"/>
      <c r="IM449" s="93"/>
      <c r="IN449" s="93"/>
      <c r="IO449" s="20"/>
      <c r="IP449" s="29"/>
      <c r="IQ449" s="19"/>
      <c r="IR449" s="93"/>
      <c r="IS449" s="93"/>
      <c r="IT449" s="93"/>
      <c r="IU449" s="93"/>
      <c r="IV449" s="20"/>
      <c r="IW449" s="29"/>
      <c r="IX449" s="19"/>
      <c r="IY449" s="93"/>
      <c r="IZ449" s="93"/>
      <c r="JA449" s="93"/>
      <c r="JB449" s="93"/>
      <c r="JC449" s="93"/>
      <c r="JD449" s="93"/>
      <c r="JE449" s="20"/>
      <c r="JF449" s="29"/>
      <c r="JG449" s="19"/>
      <c r="JH449" s="93"/>
      <c r="JI449" s="93"/>
      <c r="JJ449" s="93"/>
      <c r="JK449" s="93"/>
      <c r="JL449" s="93"/>
      <c r="JM449" s="93"/>
      <c r="JN449" s="20"/>
      <c r="JO449" s="29"/>
      <c r="JP449" s="19"/>
      <c r="JQ449" s="93"/>
      <c r="JR449" s="93"/>
      <c r="JS449" s="93"/>
      <c r="JT449" s="93"/>
      <c r="JU449" s="20"/>
      <c r="JV449" s="29"/>
      <c r="JW449" s="1504">
        <v>48122</v>
      </c>
      <c r="JX449" s="19"/>
      <c r="JY449" s="93"/>
      <c r="JZ449" s="93"/>
      <c r="KA449" s="93"/>
      <c r="KB449" s="93"/>
      <c r="KC449" s="93"/>
      <c r="KD449" s="20"/>
      <c r="KE449" s="29"/>
      <c r="KF449" s="19"/>
      <c r="KG449" s="93"/>
      <c r="KH449" s="93"/>
      <c r="KI449" s="93"/>
      <c r="KJ449" s="93"/>
      <c r="KK449" s="20"/>
      <c r="KL449" s="29"/>
      <c r="KM449" s="19"/>
      <c r="KN449" s="93"/>
      <c r="KO449" s="93"/>
      <c r="KP449" s="93"/>
      <c r="KQ449" s="93"/>
      <c r="KR449" s="20"/>
      <c r="KS449" s="29"/>
      <c r="KT449" s="19"/>
      <c r="KU449" s="93"/>
      <c r="KV449" s="93"/>
      <c r="KW449" s="93"/>
      <c r="KX449" s="93"/>
      <c r="KY449" s="20"/>
      <c r="KZ449" s="29"/>
      <c r="LA449" s="1504">
        <v>48122</v>
      </c>
      <c r="LB449" s="19"/>
      <c r="LC449" s="93"/>
      <c r="LD449" s="93"/>
      <c r="LE449" s="93"/>
      <c r="LF449" s="93"/>
      <c r="LG449" s="93"/>
      <c r="LH449" s="20"/>
      <c r="LI449" s="29"/>
      <c r="LJ449" s="19"/>
      <c r="LK449" s="93"/>
      <c r="LL449" s="93"/>
      <c r="LM449" s="93"/>
      <c r="LN449" s="93"/>
      <c r="LO449" s="20"/>
      <c r="LP449" s="29"/>
      <c r="LQ449" s="19"/>
      <c r="LR449" s="93"/>
      <c r="LS449" s="93"/>
      <c r="LT449" s="93"/>
      <c r="LU449" s="93"/>
      <c r="LV449" s="93"/>
      <c r="LW449" s="93"/>
      <c r="LX449" s="93"/>
      <c r="LY449" s="93"/>
      <c r="LZ449" s="93"/>
      <c r="MA449" s="20"/>
      <c r="MB449" s="29"/>
      <c r="MC449" s="1504">
        <v>48122</v>
      </c>
      <c r="MD449" s="19"/>
      <c r="ME449" s="93"/>
      <c r="MF449" s="93"/>
      <c r="MG449" s="93"/>
      <c r="MH449" s="93"/>
      <c r="MI449" s="93"/>
      <c r="MJ449" s="93"/>
      <c r="MK449" s="93"/>
      <c r="ML449" s="93"/>
      <c r="MM449" s="93"/>
      <c r="MN449" s="93"/>
      <c r="MO449" s="93"/>
      <c r="MP449" s="93"/>
      <c r="MQ449" s="93"/>
      <c r="MR449" s="93"/>
      <c r="MS449" s="93"/>
      <c r="MT449" s="93"/>
      <c r="MU449" s="93"/>
      <c r="MV449" s="93"/>
      <c r="MW449" s="93"/>
      <c r="MX449" s="93"/>
      <c r="MY449" s="93"/>
      <c r="MZ449" s="93"/>
      <c r="NA449" s="93"/>
      <c r="NB449" s="93"/>
      <c r="NC449" s="93"/>
      <c r="ND449" s="93"/>
      <c r="NE449" s="93"/>
      <c r="NF449" s="93"/>
      <c r="NG449" s="93"/>
      <c r="NH449" s="93"/>
      <c r="NI449" s="93"/>
      <c r="NJ449" s="93"/>
      <c r="NK449" s="93"/>
      <c r="NL449" s="93"/>
      <c r="NM449" s="93"/>
      <c r="NN449" s="93"/>
      <c r="NO449" s="93"/>
      <c r="NP449" s="93"/>
      <c r="NQ449" s="93"/>
      <c r="NR449" s="93"/>
      <c r="NS449" s="93"/>
      <c r="NT449" s="93"/>
      <c r="NU449" s="93"/>
      <c r="NV449" s="93"/>
      <c r="NW449" s="93"/>
      <c r="NX449" s="93"/>
      <c r="NY449" s="93"/>
      <c r="NZ449" s="93"/>
      <c r="OA449" s="93"/>
      <c r="OB449" s="93"/>
      <c r="OC449" s="93"/>
      <c r="OD449" s="20"/>
      <c r="OE449" s="29"/>
      <c r="OF449" s="1504">
        <v>48122</v>
      </c>
      <c r="OG449" s="19"/>
      <c r="OH449" s="93"/>
      <c r="OI449" s="93"/>
      <c r="OJ449" s="93"/>
      <c r="OK449" s="93"/>
      <c r="OL449" s="93"/>
      <c r="OM449" s="93"/>
      <c r="ON449" s="93"/>
      <c r="OO449" s="93"/>
      <c r="OP449" s="93"/>
      <c r="OQ449" s="93"/>
      <c r="OR449" s="93"/>
      <c r="OS449" s="93"/>
      <c r="OT449" s="93"/>
      <c r="OU449" s="93"/>
      <c r="OV449" s="93"/>
      <c r="OW449" s="93"/>
      <c r="OX449" s="93"/>
      <c r="OY449" s="93"/>
      <c r="OZ449" s="93"/>
      <c r="PA449" s="93"/>
      <c r="PB449" s="93"/>
      <c r="PC449" s="20"/>
      <c r="PD449" s="29"/>
      <c r="PE449" s="19"/>
      <c r="PF449" s="93"/>
      <c r="PG449" s="93"/>
      <c r="PH449" s="93"/>
      <c r="PI449" s="93"/>
      <c r="PJ449" s="93"/>
      <c r="PK449" s="93"/>
      <c r="PL449" s="93"/>
      <c r="PM449" s="93"/>
      <c r="PN449" s="93"/>
      <c r="PO449" s="93"/>
      <c r="PP449" s="93"/>
      <c r="PQ449" s="93"/>
      <c r="PR449" s="93"/>
      <c r="PS449" s="93"/>
      <c r="PT449" s="93"/>
      <c r="PU449" s="93"/>
      <c r="PV449" s="93"/>
      <c r="PW449" s="93"/>
      <c r="PX449" s="93"/>
      <c r="PY449" s="93"/>
      <c r="PZ449" s="93"/>
      <c r="QA449" s="93"/>
      <c r="QB449" s="93"/>
      <c r="QC449" s="93"/>
      <c r="QD449" s="93"/>
      <c r="QE449" s="20"/>
      <c r="QF449" s="1739"/>
      <c r="QG449" s="19"/>
      <c r="QH449" s="93"/>
      <c r="QI449" s="93"/>
      <c r="QJ449" s="93"/>
      <c r="QK449" s="93"/>
      <c r="QL449" s="93"/>
      <c r="QM449" s="93"/>
      <c r="QN449" s="93"/>
      <c r="QO449" s="93"/>
      <c r="QP449" s="93"/>
      <c r="QQ449" s="93"/>
      <c r="QR449" s="93"/>
      <c r="QS449" s="93"/>
      <c r="QT449" s="93"/>
      <c r="QU449" s="93"/>
      <c r="QV449" s="93"/>
      <c r="QW449" s="93"/>
      <c r="QX449" s="93"/>
      <c r="QY449" s="93"/>
      <c r="QZ449" s="93"/>
      <c r="RA449" s="93"/>
      <c r="RB449" s="93"/>
      <c r="RC449" s="93"/>
      <c r="RD449" s="93"/>
      <c r="RE449" s="93"/>
      <c r="RF449" s="93"/>
      <c r="RG449" s="93"/>
      <c r="RH449" s="93"/>
      <c r="RI449" s="93"/>
      <c r="RJ449" s="93"/>
      <c r="RK449" s="93"/>
      <c r="RL449" s="93"/>
      <c r="RM449" s="20"/>
      <c r="RN449" s="29"/>
      <c r="RO449" s="19"/>
      <c r="RP449" s="20"/>
      <c r="RQ449" s="29"/>
      <c r="RR449" s="20"/>
      <c r="RS449" s="29"/>
      <c r="RT449" s="1504">
        <v>48122</v>
      </c>
      <c r="RU449" s="19"/>
      <c r="RV449" s="20"/>
      <c r="RW449" s="29"/>
      <c r="RX449" s="1504">
        <v>48122</v>
      </c>
      <c r="RY449" s="29"/>
      <c r="RZ449" s="20"/>
      <c r="SA449" s="29"/>
      <c r="SB449" s="29"/>
    </row>
    <row r="450" spans="1:496">
      <c r="A450" s="41">
        <f t="shared" si="358"/>
        <v>2031</v>
      </c>
      <c r="B450" s="1504">
        <v>48153</v>
      </c>
      <c r="C450" s="1813"/>
      <c r="D450" s="1814"/>
      <c r="E450" s="1814"/>
      <c r="F450" s="1815"/>
      <c r="G450" s="1814"/>
      <c r="H450" s="1814"/>
      <c r="I450" s="1814"/>
      <c r="J450" s="1816"/>
      <c r="K450" s="1807"/>
      <c r="L450" s="25"/>
      <c r="M450" s="97"/>
      <c r="N450" s="1504">
        <v>48153</v>
      </c>
      <c r="O450" s="19"/>
      <c r="P450" s="93"/>
      <c r="Q450" s="93"/>
      <c r="R450" s="93"/>
      <c r="S450" s="93"/>
      <c r="T450" s="93"/>
      <c r="U450" s="93"/>
      <c r="V450" s="93"/>
      <c r="W450" s="93"/>
      <c r="X450" s="93"/>
      <c r="Y450" s="93"/>
      <c r="Z450" s="93"/>
      <c r="AA450" s="93"/>
      <c r="AB450" s="20"/>
      <c r="AC450" s="25"/>
      <c r="AD450" s="97"/>
      <c r="AE450" s="1504">
        <v>48153</v>
      </c>
      <c r="AF450" s="19"/>
      <c r="AG450" s="93"/>
      <c r="AH450" s="93"/>
      <c r="AI450" s="93"/>
      <c r="AJ450" s="93"/>
      <c r="AK450" s="93"/>
      <c r="AL450" s="93"/>
      <c r="AM450" s="93"/>
      <c r="AN450" s="93"/>
      <c r="AO450" s="93"/>
      <c r="AP450" s="93"/>
      <c r="AQ450" s="93"/>
      <c r="AR450" s="93"/>
      <c r="AS450" s="20"/>
      <c r="AT450" s="25"/>
      <c r="AU450" s="97"/>
      <c r="AV450" s="1504">
        <v>48153</v>
      </c>
      <c r="AW450" s="19"/>
      <c r="AX450" s="93"/>
      <c r="AY450" s="93"/>
      <c r="AZ450" s="93"/>
      <c r="BA450" s="93"/>
      <c r="BB450" s="93"/>
      <c r="BC450" s="93"/>
      <c r="BD450" s="93"/>
      <c r="BE450" s="93"/>
      <c r="BF450" s="93"/>
      <c r="BG450" s="93"/>
      <c r="BH450" s="93"/>
      <c r="BI450" s="93"/>
      <c r="BJ450" s="20"/>
      <c r="BK450" s="25"/>
      <c r="BL450" s="97"/>
      <c r="BM450" s="1504">
        <v>48153</v>
      </c>
      <c r="BN450" s="19"/>
      <c r="BO450" s="93"/>
      <c r="BP450" s="93"/>
      <c r="BQ450" s="93"/>
      <c r="BR450" s="93"/>
      <c r="BS450" s="93"/>
      <c r="BT450" s="93"/>
      <c r="BU450" s="20"/>
      <c r="BV450" s="25"/>
      <c r="BW450" s="97"/>
      <c r="BX450" s="1504">
        <v>48153</v>
      </c>
      <c r="BY450" s="19"/>
      <c r="BZ450" s="93"/>
      <c r="CA450" s="93"/>
      <c r="CB450" s="93"/>
      <c r="CC450" s="93"/>
      <c r="CD450" s="25"/>
      <c r="CE450" s="97"/>
      <c r="CF450" s="1504">
        <v>48153</v>
      </c>
      <c r="CG450" s="19"/>
      <c r="CH450" s="93"/>
      <c r="CI450" s="219"/>
      <c r="CJ450" s="20"/>
      <c r="CK450" s="19"/>
      <c r="CL450" s="93"/>
      <c r="CM450" s="93"/>
      <c r="CN450" s="93"/>
      <c r="CO450" s="93"/>
      <c r="CP450" s="20"/>
      <c r="CQ450" s="219"/>
      <c r="CR450" s="93"/>
      <c r="CS450" s="93"/>
      <c r="CT450" s="93"/>
      <c r="CU450" s="93"/>
      <c r="CV450" s="214"/>
      <c r="CW450" s="29"/>
      <c r="CX450" s="41">
        <f t="shared" si="357"/>
        <v>2031</v>
      </c>
      <c r="CY450" s="1504">
        <v>48153</v>
      </c>
      <c r="CZ450" s="19"/>
      <c r="DA450" s="93"/>
      <c r="DB450" s="93"/>
      <c r="DC450" s="93"/>
      <c r="DD450" s="93"/>
      <c r="DE450" s="20"/>
      <c r="DF450" s="29"/>
      <c r="DG450" s="1504">
        <v>48153</v>
      </c>
      <c r="DH450" s="19"/>
      <c r="DI450" s="93"/>
      <c r="DJ450" s="93"/>
      <c r="DK450" s="93"/>
      <c r="DL450" s="93"/>
      <c r="DM450" s="93"/>
      <c r="DN450" s="20"/>
      <c r="DO450" s="295"/>
      <c r="DP450" s="29"/>
      <c r="DQ450" s="1504">
        <v>48153</v>
      </c>
      <c r="DR450" s="19"/>
      <c r="DS450" s="93"/>
      <c r="DT450" s="93"/>
      <c r="DU450" s="93"/>
      <c r="DV450" s="93"/>
      <c r="DW450" s="93"/>
      <c r="DX450" s="20"/>
      <c r="DY450" s="29"/>
      <c r="DZ450" s="1504">
        <v>48153</v>
      </c>
      <c r="EA450" s="19"/>
      <c r="EB450" s="93"/>
      <c r="EC450" s="20"/>
      <c r="ED450" s="29"/>
      <c r="EE450" s="1504">
        <v>48153</v>
      </c>
      <c r="EF450" s="19"/>
      <c r="EG450" s="93"/>
      <c r="EH450" s="93"/>
      <c r="EI450" s="214"/>
      <c r="EJ450" s="93"/>
      <c r="EK450" s="93"/>
      <c r="EL450" s="93"/>
      <c r="EM450" s="93"/>
      <c r="EN450" s="20"/>
      <c r="EO450" s="29"/>
      <c r="EP450" s="1504">
        <v>48153</v>
      </c>
      <c r="EQ450" s="19"/>
      <c r="ER450" s="93"/>
      <c r="ES450" s="93"/>
      <c r="ET450" s="214"/>
      <c r="EU450" s="93"/>
      <c r="EV450" s="93"/>
      <c r="EW450" s="93"/>
      <c r="EX450" s="93"/>
      <c r="EY450" s="20"/>
      <c r="EZ450" s="29"/>
      <c r="FA450" s="1504">
        <v>48153</v>
      </c>
      <c r="FB450" s="29"/>
      <c r="FC450" s="29"/>
      <c r="FD450" s="29"/>
      <c r="FE450" s="29"/>
      <c r="FF450" s="29"/>
      <c r="FG450" s="29"/>
      <c r="FH450" s="29"/>
      <c r="FI450" s="29"/>
      <c r="FJ450" s="29"/>
      <c r="FK450" s="29"/>
      <c r="FL450" s="1504">
        <v>48153</v>
      </c>
      <c r="FM450" s="19"/>
      <c r="FN450" s="93"/>
      <c r="FO450" s="93"/>
      <c r="FP450" s="93"/>
      <c r="FQ450" s="93"/>
      <c r="FR450" s="93"/>
      <c r="FS450" s="93"/>
      <c r="FT450" s="93"/>
      <c r="FU450" s="93"/>
      <c r="FV450" s="93"/>
      <c r="FW450" s="93"/>
      <c r="FX450" s="93"/>
      <c r="FY450" s="93"/>
      <c r="FZ450" s="29"/>
      <c r="GA450" s="1504">
        <v>48153</v>
      </c>
      <c r="GB450" s="19"/>
      <c r="GC450" s="93"/>
      <c r="GD450" s="93"/>
      <c r="GE450" s="93"/>
      <c r="GF450" s="93"/>
      <c r="GG450" s="93"/>
      <c r="GH450" s="93"/>
      <c r="GI450" s="93"/>
      <c r="GJ450" s="93"/>
      <c r="GK450" s="93"/>
      <c r="GL450" s="93"/>
      <c r="GM450" s="93"/>
      <c r="GN450" s="20"/>
      <c r="GO450" s="29"/>
      <c r="GP450" s="1504">
        <v>48153</v>
      </c>
      <c r="GQ450" s="19"/>
      <c r="GR450" s="93"/>
      <c r="GS450" s="93"/>
      <c r="GT450" s="93"/>
      <c r="GU450" s="93"/>
      <c r="GV450" s="20"/>
      <c r="GW450" s="19"/>
      <c r="GX450" s="93"/>
      <c r="GY450" s="93"/>
      <c r="GZ450" s="93"/>
      <c r="HA450" s="93"/>
      <c r="HB450" s="20"/>
      <c r="HC450" s="19"/>
      <c r="HD450" s="93"/>
      <c r="HE450" s="93"/>
      <c r="HF450" s="93"/>
      <c r="HG450" s="93"/>
      <c r="HH450" s="20"/>
      <c r="HI450" s="19"/>
      <c r="HJ450" s="93"/>
      <c r="HK450" s="93"/>
      <c r="HL450" s="93"/>
      <c r="HM450" s="93"/>
      <c r="HN450" s="20"/>
      <c r="HO450" s="219"/>
      <c r="HP450" s="20"/>
      <c r="HQ450" s="25"/>
      <c r="HR450" s="29"/>
      <c r="HS450" s="1504">
        <v>48153</v>
      </c>
      <c r="HT450" s="19"/>
      <c r="HU450" s="93"/>
      <c r="HV450" s="93"/>
      <c r="HW450" s="93"/>
      <c r="HX450" s="93"/>
      <c r="HY450" s="93"/>
      <c r="HZ450" s="93"/>
      <c r="IA450" s="20"/>
      <c r="IB450" s="19"/>
      <c r="IC450" s="93"/>
      <c r="ID450" s="93"/>
      <c r="IE450" s="93"/>
      <c r="IF450" s="93"/>
      <c r="IG450" s="20"/>
      <c r="IH450" s="19"/>
      <c r="II450" s="93"/>
      <c r="IJ450" s="93"/>
      <c r="IK450" s="93"/>
      <c r="IL450" s="93"/>
      <c r="IM450" s="93"/>
      <c r="IN450" s="93"/>
      <c r="IO450" s="20"/>
      <c r="IP450" s="29"/>
      <c r="IQ450" s="19"/>
      <c r="IR450" s="93"/>
      <c r="IS450" s="93"/>
      <c r="IT450" s="93"/>
      <c r="IU450" s="93"/>
      <c r="IV450" s="20"/>
      <c r="IW450" s="29"/>
      <c r="IX450" s="19"/>
      <c r="IY450" s="93"/>
      <c r="IZ450" s="93"/>
      <c r="JA450" s="93"/>
      <c r="JB450" s="93"/>
      <c r="JC450" s="93"/>
      <c r="JD450" s="93"/>
      <c r="JE450" s="20"/>
      <c r="JF450" s="29"/>
      <c r="JG450" s="19"/>
      <c r="JH450" s="93"/>
      <c r="JI450" s="93"/>
      <c r="JJ450" s="93"/>
      <c r="JK450" s="93"/>
      <c r="JL450" s="93"/>
      <c r="JM450" s="93"/>
      <c r="JN450" s="20"/>
      <c r="JO450" s="29"/>
      <c r="JP450" s="19"/>
      <c r="JQ450" s="93"/>
      <c r="JR450" s="93"/>
      <c r="JS450" s="93"/>
      <c r="JT450" s="93"/>
      <c r="JU450" s="20"/>
      <c r="JV450" s="29"/>
      <c r="JW450" s="1504">
        <v>48153</v>
      </c>
      <c r="JX450" s="19"/>
      <c r="JY450" s="93"/>
      <c r="JZ450" s="93"/>
      <c r="KA450" s="93"/>
      <c r="KB450" s="93"/>
      <c r="KC450" s="93"/>
      <c r="KD450" s="20"/>
      <c r="KE450" s="29"/>
      <c r="KF450" s="19"/>
      <c r="KG450" s="93"/>
      <c r="KH450" s="93"/>
      <c r="KI450" s="93"/>
      <c r="KJ450" s="93"/>
      <c r="KK450" s="20"/>
      <c r="KL450" s="29"/>
      <c r="KM450" s="19"/>
      <c r="KN450" s="93"/>
      <c r="KO450" s="93"/>
      <c r="KP450" s="93"/>
      <c r="KQ450" s="93"/>
      <c r="KR450" s="20"/>
      <c r="KS450" s="29"/>
      <c r="KT450" s="19"/>
      <c r="KU450" s="93"/>
      <c r="KV450" s="93"/>
      <c r="KW450" s="93"/>
      <c r="KX450" s="93"/>
      <c r="KY450" s="20"/>
      <c r="KZ450" s="29"/>
      <c r="LA450" s="1504">
        <v>48153</v>
      </c>
      <c r="LB450" s="19"/>
      <c r="LC450" s="93"/>
      <c r="LD450" s="93"/>
      <c r="LE450" s="93"/>
      <c r="LF450" s="93"/>
      <c r="LG450" s="93"/>
      <c r="LH450" s="20"/>
      <c r="LI450" s="29"/>
      <c r="LJ450" s="19"/>
      <c r="LK450" s="93"/>
      <c r="LL450" s="93"/>
      <c r="LM450" s="93"/>
      <c r="LN450" s="93"/>
      <c r="LO450" s="20"/>
      <c r="LP450" s="29"/>
      <c r="LQ450" s="19"/>
      <c r="LR450" s="93"/>
      <c r="LS450" s="93"/>
      <c r="LT450" s="93"/>
      <c r="LU450" s="93"/>
      <c r="LV450" s="93"/>
      <c r="LW450" s="93"/>
      <c r="LX450" s="93"/>
      <c r="LY450" s="93"/>
      <c r="LZ450" s="93"/>
      <c r="MA450" s="20"/>
      <c r="MB450" s="29"/>
      <c r="MC450" s="1504">
        <v>48153</v>
      </c>
      <c r="MD450" s="19"/>
      <c r="ME450" s="93"/>
      <c r="MF450" s="93"/>
      <c r="MG450" s="93"/>
      <c r="MH450" s="93"/>
      <c r="MI450" s="93"/>
      <c r="MJ450" s="93"/>
      <c r="MK450" s="93"/>
      <c r="ML450" s="93"/>
      <c r="MM450" s="93"/>
      <c r="MN450" s="93"/>
      <c r="MO450" s="93"/>
      <c r="MP450" s="93"/>
      <c r="MQ450" s="93"/>
      <c r="MR450" s="93"/>
      <c r="MS450" s="93"/>
      <c r="MT450" s="93"/>
      <c r="MU450" s="93"/>
      <c r="MV450" s="93"/>
      <c r="MW450" s="93"/>
      <c r="MX450" s="93"/>
      <c r="MY450" s="93"/>
      <c r="MZ450" s="93"/>
      <c r="NA450" s="93"/>
      <c r="NB450" s="93"/>
      <c r="NC450" s="93"/>
      <c r="ND450" s="93"/>
      <c r="NE450" s="93"/>
      <c r="NF450" s="93"/>
      <c r="NG450" s="93"/>
      <c r="NH450" s="93"/>
      <c r="NI450" s="93"/>
      <c r="NJ450" s="93"/>
      <c r="NK450" s="93"/>
      <c r="NL450" s="93"/>
      <c r="NM450" s="93"/>
      <c r="NN450" s="93"/>
      <c r="NO450" s="93"/>
      <c r="NP450" s="93"/>
      <c r="NQ450" s="93"/>
      <c r="NR450" s="93"/>
      <c r="NS450" s="93"/>
      <c r="NT450" s="93"/>
      <c r="NU450" s="93"/>
      <c r="NV450" s="93"/>
      <c r="NW450" s="93"/>
      <c r="NX450" s="93"/>
      <c r="NY450" s="93"/>
      <c r="NZ450" s="93"/>
      <c r="OA450" s="93"/>
      <c r="OB450" s="93"/>
      <c r="OC450" s="93"/>
      <c r="OD450" s="20"/>
      <c r="OE450" s="29"/>
      <c r="OF450" s="1504">
        <v>48153</v>
      </c>
      <c r="OG450" s="19"/>
      <c r="OH450" s="93"/>
      <c r="OI450" s="93"/>
      <c r="OJ450" s="93"/>
      <c r="OK450" s="93"/>
      <c r="OL450" s="93"/>
      <c r="OM450" s="93"/>
      <c r="ON450" s="93"/>
      <c r="OO450" s="93"/>
      <c r="OP450" s="93"/>
      <c r="OQ450" s="93"/>
      <c r="OR450" s="93"/>
      <c r="OS450" s="93"/>
      <c r="OT450" s="93"/>
      <c r="OU450" s="93"/>
      <c r="OV450" s="93"/>
      <c r="OW450" s="93"/>
      <c r="OX450" s="93"/>
      <c r="OY450" s="93"/>
      <c r="OZ450" s="93"/>
      <c r="PA450" s="93"/>
      <c r="PB450" s="93"/>
      <c r="PC450" s="20"/>
      <c r="PD450" s="29"/>
      <c r="PE450" s="19"/>
      <c r="PF450" s="93"/>
      <c r="PG450" s="93"/>
      <c r="PH450" s="93"/>
      <c r="PI450" s="93"/>
      <c r="PJ450" s="93"/>
      <c r="PK450" s="93"/>
      <c r="PL450" s="93"/>
      <c r="PM450" s="93"/>
      <c r="PN450" s="93"/>
      <c r="PO450" s="93"/>
      <c r="PP450" s="93"/>
      <c r="PQ450" s="93"/>
      <c r="PR450" s="93"/>
      <c r="PS450" s="93"/>
      <c r="PT450" s="93"/>
      <c r="PU450" s="93"/>
      <c r="PV450" s="93"/>
      <c r="PW450" s="93"/>
      <c r="PX450" s="93"/>
      <c r="PY450" s="93"/>
      <c r="PZ450" s="93"/>
      <c r="QA450" s="93"/>
      <c r="QB450" s="93"/>
      <c r="QC450" s="93"/>
      <c r="QD450" s="93"/>
      <c r="QE450" s="20"/>
      <c r="QF450" s="1739"/>
      <c r="QG450" s="19"/>
      <c r="QH450" s="93"/>
      <c r="QI450" s="93"/>
      <c r="QJ450" s="93"/>
      <c r="QK450" s="93"/>
      <c r="QL450" s="93"/>
      <c r="QM450" s="93"/>
      <c r="QN450" s="93"/>
      <c r="QO450" s="93"/>
      <c r="QP450" s="93"/>
      <c r="QQ450" s="93"/>
      <c r="QR450" s="93"/>
      <c r="QS450" s="93"/>
      <c r="QT450" s="93"/>
      <c r="QU450" s="93"/>
      <c r="QV450" s="93"/>
      <c r="QW450" s="93"/>
      <c r="QX450" s="93"/>
      <c r="QY450" s="93"/>
      <c r="QZ450" s="93"/>
      <c r="RA450" s="93"/>
      <c r="RB450" s="93"/>
      <c r="RC450" s="93"/>
      <c r="RD450" s="93"/>
      <c r="RE450" s="93"/>
      <c r="RF450" s="93"/>
      <c r="RG450" s="93"/>
      <c r="RH450" s="93"/>
      <c r="RI450" s="93"/>
      <c r="RJ450" s="93"/>
      <c r="RK450" s="93"/>
      <c r="RL450" s="93"/>
      <c r="RM450" s="20"/>
      <c r="RN450" s="29"/>
      <c r="RO450" s="19"/>
      <c r="RP450" s="20"/>
      <c r="RQ450" s="29"/>
      <c r="RR450" s="20"/>
      <c r="RS450" s="29"/>
      <c r="RT450" s="1504">
        <v>48153</v>
      </c>
      <c r="RU450" s="19"/>
      <c r="RV450" s="20"/>
      <c r="RW450" s="29"/>
      <c r="RX450" s="1504">
        <v>48153</v>
      </c>
      <c r="RY450" s="29"/>
      <c r="RZ450" s="20"/>
      <c r="SA450" s="29"/>
      <c r="SB450" s="29"/>
    </row>
    <row r="451" spans="1:496">
      <c r="A451" s="41">
        <f t="shared" si="358"/>
        <v>2031</v>
      </c>
      <c r="B451" s="1504">
        <v>48183</v>
      </c>
      <c r="C451" s="1813"/>
      <c r="D451" s="1814"/>
      <c r="E451" s="1814"/>
      <c r="F451" s="1815"/>
      <c r="G451" s="1814"/>
      <c r="H451" s="1814"/>
      <c r="I451" s="1814"/>
      <c r="J451" s="1816"/>
      <c r="K451" s="1807"/>
      <c r="L451" s="25"/>
      <c r="M451" s="97"/>
      <c r="N451" s="1504">
        <v>48183</v>
      </c>
      <c r="O451" s="19"/>
      <c r="P451" s="93"/>
      <c r="Q451" s="93"/>
      <c r="R451" s="93"/>
      <c r="S451" s="93"/>
      <c r="T451" s="93"/>
      <c r="U451" s="93"/>
      <c r="V451" s="93"/>
      <c r="W451" s="93"/>
      <c r="X451" s="93"/>
      <c r="Y451" s="93"/>
      <c r="Z451" s="93"/>
      <c r="AA451" s="93"/>
      <c r="AB451" s="20"/>
      <c r="AC451" s="25"/>
      <c r="AD451" s="97"/>
      <c r="AE451" s="1504">
        <v>48183</v>
      </c>
      <c r="AF451" s="19"/>
      <c r="AG451" s="93"/>
      <c r="AH451" s="93"/>
      <c r="AI451" s="93"/>
      <c r="AJ451" s="93"/>
      <c r="AK451" s="93"/>
      <c r="AL451" s="93"/>
      <c r="AM451" s="93"/>
      <c r="AN451" s="93"/>
      <c r="AO451" s="93"/>
      <c r="AP451" s="93"/>
      <c r="AQ451" s="93"/>
      <c r="AR451" s="93"/>
      <c r="AS451" s="20"/>
      <c r="AT451" s="25"/>
      <c r="AU451" s="97"/>
      <c r="AV451" s="1504">
        <v>48183</v>
      </c>
      <c r="AW451" s="19"/>
      <c r="AX451" s="93"/>
      <c r="AY451" s="93"/>
      <c r="AZ451" s="93"/>
      <c r="BA451" s="93"/>
      <c r="BB451" s="93"/>
      <c r="BC451" s="93"/>
      <c r="BD451" s="93"/>
      <c r="BE451" s="93"/>
      <c r="BF451" s="93"/>
      <c r="BG451" s="93"/>
      <c r="BH451" s="93"/>
      <c r="BI451" s="93"/>
      <c r="BJ451" s="20"/>
      <c r="BK451" s="25"/>
      <c r="BL451" s="97"/>
      <c r="BM451" s="1504">
        <v>48183</v>
      </c>
      <c r="BN451" s="19"/>
      <c r="BO451" s="93"/>
      <c r="BP451" s="93"/>
      <c r="BQ451" s="93"/>
      <c r="BR451" s="93"/>
      <c r="BS451" s="93"/>
      <c r="BT451" s="93"/>
      <c r="BU451" s="20"/>
      <c r="BV451" s="25"/>
      <c r="BW451" s="97"/>
      <c r="BX451" s="1504">
        <v>48183</v>
      </c>
      <c r="BY451" s="19"/>
      <c r="BZ451" s="93"/>
      <c r="CA451" s="93"/>
      <c r="CB451" s="93"/>
      <c r="CC451" s="93"/>
      <c r="CD451" s="25"/>
      <c r="CE451" s="97"/>
      <c r="CF451" s="1504">
        <v>48183</v>
      </c>
      <c r="CG451" s="19"/>
      <c r="CH451" s="93"/>
      <c r="CI451" s="219"/>
      <c r="CJ451" s="20"/>
      <c r="CK451" s="19"/>
      <c r="CL451" s="93"/>
      <c r="CM451" s="93"/>
      <c r="CN451" s="93"/>
      <c r="CO451" s="93"/>
      <c r="CP451" s="20"/>
      <c r="CQ451" s="219"/>
      <c r="CR451" s="93"/>
      <c r="CS451" s="93"/>
      <c r="CT451" s="93"/>
      <c r="CU451" s="93"/>
      <c r="CV451" s="214"/>
      <c r="CW451" s="29"/>
      <c r="CX451" s="41">
        <f t="shared" si="357"/>
        <v>2031</v>
      </c>
      <c r="CY451" s="1504">
        <v>48183</v>
      </c>
      <c r="CZ451" s="19"/>
      <c r="DA451" s="93"/>
      <c r="DB451" s="93"/>
      <c r="DC451" s="93"/>
      <c r="DD451" s="93"/>
      <c r="DE451" s="20"/>
      <c r="DF451" s="29"/>
      <c r="DG451" s="1504">
        <v>48183</v>
      </c>
      <c r="DH451" s="19"/>
      <c r="DI451" s="93"/>
      <c r="DJ451" s="93"/>
      <c r="DK451" s="93"/>
      <c r="DL451" s="93"/>
      <c r="DM451" s="93"/>
      <c r="DN451" s="20"/>
      <c r="DO451" s="295"/>
      <c r="DP451" s="29"/>
      <c r="DQ451" s="1504">
        <v>48183</v>
      </c>
      <c r="DR451" s="19"/>
      <c r="DS451" s="93"/>
      <c r="DT451" s="93"/>
      <c r="DU451" s="93"/>
      <c r="DV451" s="93"/>
      <c r="DW451" s="93"/>
      <c r="DX451" s="20"/>
      <c r="DY451" s="29"/>
      <c r="DZ451" s="1504">
        <v>48183</v>
      </c>
      <c r="EA451" s="19"/>
      <c r="EB451" s="93"/>
      <c r="EC451" s="20"/>
      <c r="ED451" s="29"/>
      <c r="EE451" s="1504">
        <v>48183</v>
      </c>
      <c r="EF451" s="19"/>
      <c r="EG451" s="93"/>
      <c r="EH451" s="93"/>
      <c r="EI451" s="214"/>
      <c r="EJ451" s="93"/>
      <c r="EK451" s="93"/>
      <c r="EL451" s="93"/>
      <c r="EM451" s="93"/>
      <c r="EN451" s="20"/>
      <c r="EO451" s="29"/>
      <c r="EP451" s="1504">
        <v>48183</v>
      </c>
      <c r="EQ451" s="19"/>
      <c r="ER451" s="93"/>
      <c r="ES451" s="93"/>
      <c r="ET451" s="214"/>
      <c r="EU451" s="93"/>
      <c r="EV451" s="93"/>
      <c r="EW451" s="93"/>
      <c r="EX451" s="93"/>
      <c r="EY451" s="20"/>
      <c r="EZ451" s="29"/>
      <c r="FA451" s="1504">
        <v>48183</v>
      </c>
      <c r="FB451" s="29"/>
      <c r="FC451" s="29"/>
      <c r="FD451" s="29"/>
      <c r="FE451" s="29"/>
      <c r="FF451" s="29"/>
      <c r="FG451" s="29"/>
      <c r="FH451" s="29"/>
      <c r="FI451" s="29"/>
      <c r="FJ451" s="29"/>
      <c r="FK451" s="29"/>
      <c r="FL451" s="1504">
        <v>48183</v>
      </c>
      <c r="FM451" s="19"/>
      <c r="FN451" s="93"/>
      <c r="FO451" s="93"/>
      <c r="FP451" s="93"/>
      <c r="FQ451" s="93"/>
      <c r="FR451" s="93"/>
      <c r="FS451" s="93"/>
      <c r="FT451" s="93"/>
      <c r="FU451" s="93"/>
      <c r="FV451" s="93"/>
      <c r="FW451" s="93"/>
      <c r="FX451" s="93"/>
      <c r="FY451" s="93"/>
      <c r="FZ451" s="29"/>
      <c r="GA451" s="1504">
        <v>48183</v>
      </c>
      <c r="GB451" s="19"/>
      <c r="GC451" s="93"/>
      <c r="GD451" s="93"/>
      <c r="GE451" s="93"/>
      <c r="GF451" s="93"/>
      <c r="GG451" s="93"/>
      <c r="GH451" s="93"/>
      <c r="GI451" s="93"/>
      <c r="GJ451" s="93"/>
      <c r="GK451" s="93"/>
      <c r="GL451" s="93"/>
      <c r="GM451" s="93"/>
      <c r="GN451" s="20"/>
      <c r="GO451" s="29"/>
      <c r="GP451" s="1504">
        <v>48183</v>
      </c>
      <c r="GQ451" s="19"/>
      <c r="GR451" s="93"/>
      <c r="GS451" s="93"/>
      <c r="GT451" s="93"/>
      <c r="GU451" s="93"/>
      <c r="GV451" s="20"/>
      <c r="GW451" s="19"/>
      <c r="GX451" s="93"/>
      <c r="GY451" s="93"/>
      <c r="GZ451" s="93"/>
      <c r="HA451" s="93"/>
      <c r="HB451" s="20"/>
      <c r="HC451" s="19"/>
      <c r="HD451" s="93"/>
      <c r="HE451" s="93"/>
      <c r="HF451" s="93"/>
      <c r="HG451" s="93"/>
      <c r="HH451" s="20"/>
      <c r="HI451" s="19"/>
      <c r="HJ451" s="93"/>
      <c r="HK451" s="93"/>
      <c r="HL451" s="93"/>
      <c r="HM451" s="93"/>
      <c r="HN451" s="20"/>
      <c r="HO451" s="219"/>
      <c r="HP451" s="20"/>
      <c r="HQ451" s="25"/>
      <c r="HR451" s="29"/>
      <c r="HS451" s="1504">
        <v>48183</v>
      </c>
      <c r="HT451" s="19"/>
      <c r="HU451" s="93"/>
      <c r="HV451" s="93"/>
      <c r="HW451" s="93"/>
      <c r="HX451" s="93"/>
      <c r="HY451" s="93"/>
      <c r="HZ451" s="93"/>
      <c r="IA451" s="20"/>
      <c r="IB451" s="19"/>
      <c r="IC451" s="93"/>
      <c r="ID451" s="93"/>
      <c r="IE451" s="93"/>
      <c r="IF451" s="93"/>
      <c r="IG451" s="20"/>
      <c r="IH451" s="19"/>
      <c r="II451" s="93"/>
      <c r="IJ451" s="93"/>
      <c r="IK451" s="93"/>
      <c r="IL451" s="93"/>
      <c r="IM451" s="93"/>
      <c r="IN451" s="93"/>
      <c r="IO451" s="20"/>
      <c r="IP451" s="29"/>
      <c r="IQ451" s="19"/>
      <c r="IR451" s="93"/>
      <c r="IS451" s="93"/>
      <c r="IT451" s="93"/>
      <c r="IU451" s="93"/>
      <c r="IV451" s="20"/>
      <c r="IW451" s="29"/>
      <c r="IX451" s="19"/>
      <c r="IY451" s="93"/>
      <c r="IZ451" s="93"/>
      <c r="JA451" s="93"/>
      <c r="JB451" s="93"/>
      <c r="JC451" s="93"/>
      <c r="JD451" s="93"/>
      <c r="JE451" s="20"/>
      <c r="JF451" s="29"/>
      <c r="JG451" s="19"/>
      <c r="JH451" s="93"/>
      <c r="JI451" s="93"/>
      <c r="JJ451" s="93"/>
      <c r="JK451" s="93"/>
      <c r="JL451" s="93"/>
      <c r="JM451" s="93"/>
      <c r="JN451" s="20"/>
      <c r="JO451" s="29"/>
      <c r="JP451" s="19"/>
      <c r="JQ451" s="93"/>
      <c r="JR451" s="93"/>
      <c r="JS451" s="93"/>
      <c r="JT451" s="93"/>
      <c r="JU451" s="20"/>
      <c r="JV451" s="29"/>
      <c r="JW451" s="1504">
        <v>48183</v>
      </c>
      <c r="JX451" s="19"/>
      <c r="JY451" s="93"/>
      <c r="JZ451" s="93"/>
      <c r="KA451" s="93"/>
      <c r="KB451" s="93"/>
      <c r="KC451" s="93"/>
      <c r="KD451" s="20"/>
      <c r="KE451" s="29"/>
      <c r="KF451" s="19"/>
      <c r="KG451" s="93"/>
      <c r="KH451" s="93"/>
      <c r="KI451" s="93"/>
      <c r="KJ451" s="93"/>
      <c r="KK451" s="20"/>
      <c r="KL451" s="29"/>
      <c r="KM451" s="19"/>
      <c r="KN451" s="93"/>
      <c r="KO451" s="93"/>
      <c r="KP451" s="93"/>
      <c r="KQ451" s="93"/>
      <c r="KR451" s="20"/>
      <c r="KS451" s="29"/>
      <c r="KT451" s="19"/>
      <c r="KU451" s="93"/>
      <c r="KV451" s="93"/>
      <c r="KW451" s="93"/>
      <c r="KX451" s="93"/>
      <c r="KY451" s="20"/>
      <c r="KZ451" s="29"/>
      <c r="LA451" s="1504">
        <v>48183</v>
      </c>
      <c r="LB451" s="19"/>
      <c r="LC451" s="93"/>
      <c r="LD451" s="93"/>
      <c r="LE451" s="93"/>
      <c r="LF451" s="93"/>
      <c r="LG451" s="93"/>
      <c r="LH451" s="20"/>
      <c r="LI451" s="29"/>
      <c r="LJ451" s="19"/>
      <c r="LK451" s="93"/>
      <c r="LL451" s="93"/>
      <c r="LM451" s="93"/>
      <c r="LN451" s="93"/>
      <c r="LO451" s="20"/>
      <c r="LP451" s="29"/>
      <c r="LQ451" s="19"/>
      <c r="LR451" s="93"/>
      <c r="LS451" s="93"/>
      <c r="LT451" s="93"/>
      <c r="LU451" s="93"/>
      <c r="LV451" s="93"/>
      <c r="LW451" s="93"/>
      <c r="LX451" s="93"/>
      <c r="LY451" s="93"/>
      <c r="LZ451" s="93"/>
      <c r="MA451" s="20"/>
      <c r="MB451" s="29"/>
      <c r="MC451" s="1504">
        <v>48183</v>
      </c>
      <c r="MD451" s="19"/>
      <c r="ME451" s="93"/>
      <c r="MF451" s="93"/>
      <c r="MG451" s="93"/>
      <c r="MH451" s="93"/>
      <c r="MI451" s="93"/>
      <c r="MJ451" s="93"/>
      <c r="MK451" s="93"/>
      <c r="ML451" s="93"/>
      <c r="MM451" s="93"/>
      <c r="MN451" s="93"/>
      <c r="MO451" s="93"/>
      <c r="MP451" s="93"/>
      <c r="MQ451" s="93"/>
      <c r="MR451" s="93"/>
      <c r="MS451" s="93"/>
      <c r="MT451" s="93"/>
      <c r="MU451" s="93"/>
      <c r="MV451" s="93"/>
      <c r="MW451" s="93"/>
      <c r="MX451" s="93"/>
      <c r="MY451" s="93"/>
      <c r="MZ451" s="93"/>
      <c r="NA451" s="93"/>
      <c r="NB451" s="93"/>
      <c r="NC451" s="93"/>
      <c r="ND451" s="93"/>
      <c r="NE451" s="93"/>
      <c r="NF451" s="93"/>
      <c r="NG451" s="93"/>
      <c r="NH451" s="93"/>
      <c r="NI451" s="93"/>
      <c r="NJ451" s="93"/>
      <c r="NK451" s="93"/>
      <c r="NL451" s="93"/>
      <c r="NM451" s="93"/>
      <c r="NN451" s="93"/>
      <c r="NO451" s="93"/>
      <c r="NP451" s="93"/>
      <c r="NQ451" s="93"/>
      <c r="NR451" s="93"/>
      <c r="NS451" s="93"/>
      <c r="NT451" s="93"/>
      <c r="NU451" s="93"/>
      <c r="NV451" s="93"/>
      <c r="NW451" s="93"/>
      <c r="NX451" s="93"/>
      <c r="NY451" s="93"/>
      <c r="NZ451" s="93"/>
      <c r="OA451" s="93"/>
      <c r="OB451" s="93"/>
      <c r="OC451" s="93"/>
      <c r="OD451" s="20"/>
      <c r="OE451" s="29"/>
      <c r="OF451" s="1504">
        <v>48183</v>
      </c>
      <c r="OG451" s="19"/>
      <c r="OH451" s="93"/>
      <c r="OI451" s="93"/>
      <c r="OJ451" s="93"/>
      <c r="OK451" s="93"/>
      <c r="OL451" s="93"/>
      <c r="OM451" s="93"/>
      <c r="ON451" s="93"/>
      <c r="OO451" s="93"/>
      <c r="OP451" s="93"/>
      <c r="OQ451" s="93"/>
      <c r="OR451" s="93"/>
      <c r="OS451" s="93"/>
      <c r="OT451" s="93"/>
      <c r="OU451" s="93"/>
      <c r="OV451" s="93"/>
      <c r="OW451" s="93"/>
      <c r="OX451" s="93"/>
      <c r="OY451" s="93"/>
      <c r="OZ451" s="93"/>
      <c r="PA451" s="93"/>
      <c r="PB451" s="93"/>
      <c r="PC451" s="20"/>
      <c r="PD451" s="29"/>
      <c r="PE451" s="19"/>
      <c r="PF451" s="93"/>
      <c r="PG451" s="93"/>
      <c r="PH451" s="93"/>
      <c r="PI451" s="93"/>
      <c r="PJ451" s="93"/>
      <c r="PK451" s="93"/>
      <c r="PL451" s="93"/>
      <c r="PM451" s="93"/>
      <c r="PN451" s="93"/>
      <c r="PO451" s="93"/>
      <c r="PP451" s="93"/>
      <c r="PQ451" s="93"/>
      <c r="PR451" s="93"/>
      <c r="PS451" s="93"/>
      <c r="PT451" s="93"/>
      <c r="PU451" s="93"/>
      <c r="PV451" s="93"/>
      <c r="PW451" s="93"/>
      <c r="PX451" s="93"/>
      <c r="PY451" s="93"/>
      <c r="PZ451" s="93"/>
      <c r="QA451" s="93"/>
      <c r="QB451" s="93"/>
      <c r="QC451" s="93"/>
      <c r="QD451" s="93"/>
      <c r="QE451" s="20"/>
      <c r="QF451" s="1739"/>
      <c r="QG451" s="19"/>
      <c r="QH451" s="93"/>
      <c r="QI451" s="93"/>
      <c r="QJ451" s="93"/>
      <c r="QK451" s="93"/>
      <c r="QL451" s="93"/>
      <c r="QM451" s="93"/>
      <c r="QN451" s="93"/>
      <c r="QO451" s="93"/>
      <c r="QP451" s="93"/>
      <c r="QQ451" s="93"/>
      <c r="QR451" s="93"/>
      <c r="QS451" s="93"/>
      <c r="QT451" s="93"/>
      <c r="QU451" s="93"/>
      <c r="QV451" s="93"/>
      <c r="QW451" s="93"/>
      <c r="QX451" s="93"/>
      <c r="QY451" s="93"/>
      <c r="QZ451" s="93"/>
      <c r="RA451" s="93"/>
      <c r="RB451" s="93"/>
      <c r="RC451" s="93"/>
      <c r="RD451" s="93"/>
      <c r="RE451" s="93"/>
      <c r="RF451" s="93"/>
      <c r="RG451" s="93"/>
      <c r="RH451" s="93"/>
      <c r="RI451" s="93"/>
      <c r="RJ451" s="93"/>
      <c r="RK451" s="93"/>
      <c r="RL451" s="93"/>
      <c r="RM451" s="20"/>
      <c r="RN451" s="29"/>
      <c r="RO451" s="19"/>
      <c r="RP451" s="20"/>
      <c r="RQ451" s="29"/>
      <c r="RR451" s="20"/>
      <c r="RS451" s="29"/>
      <c r="RT451" s="1504">
        <v>48183</v>
      </c>
      <c r="RU451" s="19"/>
      <c r="RV451" s="20"/>
      <c r="RW451" s="29"/>
      <c r="RX451" s="1504">
        <v>48183</v>
      </c>
      <c r="RY451" s="29"/>
      <c r="RZ451" s="20"/>
      <c r="SA451" s="29"/>
      <c r="SB451" s="29"/>
    </row>
    <row r="452" spans="1:496">
      <c r="A452" s="41">
        <f t="shared" si="358"/>
        <v>2032</v>
      </c>
      <c r="B452" s="1504">
        <v>48214</v>
      </c>
      <c r="C452" s="1813"/>
      <c r="D452" s="1814"/>
      <c r="E452" s="1814"/>
      <c r="F452" s="1815"/>
      <c r="G452" s="1814"/>
      <c r="H452" s="1814"/>
      <c r="I452" s="1814"/>
      <c r="J452" s="1816"/>
      <c r="K452" s="1807"/>
      <c r="L452" s="25"/>
      <c r="M452" s="97"/>
      <c r="N452" s="1504">
        <v>48214</v>
      </c>
      <c r="O452" s="19"/>
      <c r="P452" s="93"/>
      <c r="Q452" s="93"/>
      <c r="R452" s="93"/>
      <c r="S452" s="93"/>
      <c r="T452" s="93"/>
      <c r="U452" s="93"/>
      <c r="V452" s="93"/>
      <c r="W452" s="93"/>
      <c r="X452" s="93"/>
      <c r="Y452" s="93"/>
      <c r="Z452" s="93"/>
      <c r="AA452" s="93"/>
      <c r="AB452" s="20"/>
      <c r="AC452" s="25"/>
      <c r="AD452" s="97"/>
      <c r="AE452" s="1504">
        <v>48214</v>
      </c>
      <c r="AF452" s="19"/>
      <c r="AG452" s="93"/>
      <c r="AH452" s="93"/>
      <c r="AI452" s="93"/>
      <c r="AJ452" s="93"/>
      <c r="AK452" s="93"/>
      <c r="AL452" s="93"/>
      <c r="AM452" s="93"/>
      <c r="AN452" s="93"/>
      <c r="AO452" s="93"/>
      <c r="AP452" s="93"/>
      <c r="AQ452" s="93"/>
      <c r="AR452" s="93"/>
      <c r="AS452" s="20"/>
      <c r="AT452" s="25"/>
      <c r="AU452" s="97"/>
      <c r="AV452" s="1504">
        <v>48214</v>
      </c>
      <c r="AW452" s="19"/>
      <c r="AX452" s="93"/>
      <c r="AY452" s="93"/>
      <c r="AZ452" s="93"/>
      <c r="BA452" s="93"/>
      <c r="BB452" s="93"/>
      <c r="BC452" s="93"/>
      <c r="BD452" s="93"/>
      <c r="BE452" s="93"/>
      <c r="BF452" s="93"/>
      <c r="BG452" s="93"/>
      <c r="BH452" s="93"/>
      <c r="BI452" s="93"/>
      <c r="BJ452" s="20"/>
      <c r="BK452" s="25"/>
      <c r="BL452" s="97"/>
      <c r="BM452" s="1504">
        <v>48214</v>
      </c>
      <c r="BN452" s="19"/>
      <c r="BO452" s="93"/>
      <c r="BP452" s="93"/>
      <c r="BQ452" s="93"/>
      <c r="BR452" s="93"/>
      <c r="BS452" s="93"/>
      <c r="BT452" s="93"/>
      <c r="BU452" s="20"/>
      <c r="BV452" s="25"/>
      <c r="BW452" s="97"/>
      <c r="BX452" s="1504">
        <v>48214</v>
      </c>
      <c r="BY452" s="19"/>
      <c r="BZ452" s="93"/>
      <c r="CA452" s="93"/>
      <c r="CB452" s="93"/>
      <c r="CC452" s="93"/>
      <c r="CD452" s="25"/>
      <c r="CE452" s="97"/>
      <c r="CF452" s="1504">
        <v>48214</v>
      </c>
      <c r="CG452" s="19"/>
      <c r="CH452" s="93"/>
      <c r="CI452" s="219"/>
      <c r="CJ452" s="20"/>
      <c r="CK452" s="19"/>
      <c r="CL452" s="93"/>
      <c r="CM452" s="93"/>
      <c r="CN452" s="93"/>
      <c r="CO452" s="93"/>
      <c r="CP452" s="20"/>
      <c r="CQ452" s="219"/>
      <c r="CR452" s="93"/>
      <c r="CS452" s="93"/>
      <c r="CT452" s="93"/>
      <c r="CU452" s="93"/>
      <c r="CV452" s="214"/>
      <c r="CW452" s="29"/>
      <c r="CX452" s="41">
        <f t="shared" si="357"/>
        <v>2032</v>
      </c>
      <c r="CY452" s="1504">
        <v>48214</v>
      </c>
      <c r="CZ452" s="19"/>
      <c r="DA452" s="93"/>
      <c r="DB452" s="93"/>
      <c r="DC452" s="93"/>
      <c r="DD452" s="93"/>
      <c r="DE452" s="20"/>
      <c r="DF452" s="29"/>
      <c r="DG452" s="1504">
        <v>48214</v>
      </c>
      <c r="DH452" s="19"/>
      <c r="DI452" s="93"/>
      <c r="DJ452" s="93"/>
      <c r="DK452" s="93"/>
      <c r="DL452" s="93"/>
      <c r="DM452" s="93"/>
      <c r="DN452" s="20"/>
      <c r="DO452" s="295"/>
      <c r="DP452" s="29"/>
      <c r="DQ452" s="1504">
        <v>48214</v>
      </c>
      <c r="DR452" s="19"/>
      <c r="DS452" s="93"/>
      <c r="DT452" s="93"/>
      <c r="DU452" s="93"/>
      <c r="DV452" s="93"/>
      <c r="DW452" s="93"/>
      <c r="DX452" s="20"/>
      <c r="DY452" s="29"/>
      <c r="DZ452" s="1504">
        <v>48214</v>
      </c>
      <c r="EA452" s="19"/>
      <c r="EB452" s="93"/>
      <c r="EC452" s="20"/>
      <c r="ED452" s="29"/>
      <c r="EE452" s="1504">
        <v>48214</v>
      </c>
      <c r="EF452" s="19"/>
      <c r="EG452" s="93"/>
      <c r="EH452" s="93"/>
      <c r="EI452" s="214"/>
      <c r="EJ452" s="93"/>
      <c r="EK452" s="93"/>
      <c r="EL452" s="93"/>
      <c r="EM452" s="93"/>
      <c r="EN452" s="20"/>
      <c r="EO452" s="29"/>
      <c r="EP452" s="1504">
        <v>48214</v>
      </c>
      <c r="EQ452" s="19"/>
      <c r="ER452" s="93"/>
      <c r="ES452" s="93"/>
      <c r="ET452" s="214"/>
      <c r="EU452" s="93"/>
      <c r="EV452" s="93"/>
      <c r="EW452" s="93"/>
      <c r="EX452" s="93"/>
      <c r="EY452" s="20"/>
      <c r="EZ452" s="29"/>
      <c r="FA452" s="1504">
        <v>48214</v>
      </c>
      <c r="FB452" s="29"/>
      <c r="FC452" s="29"/>
      <c r="FD452" s="29"/>
      <c r="FE452" s="29"/>
      <c r="FF452" s="29"/>
      <c r="FG452" s="29"/>
      <c r="FH452" s="29"/>
      <c r="FI452" s="29"/>
      <c r="FJ452" s="29"/>
      <c r="FK452" s="29"/>
      <c r="FL452" s="1504">
        <v>48214</v>
      </c>
      <c r="FM452" s="19"/>
      <c r="FN452" s="93"/>
      <c r="FO452" s="93"/>
      <c r="FP452" s="93"/>
      <c r="FQ452" s="93"/>
      <c r="FR452" s="93"/>
      <c r="FS452" s="93"/>
      <c r="FT452" s="93"/>
      <c r="FU452" s="93"/>
      <c r="FV452" s="93"/>
      <c r="FW452" s="93"/>
      <c r="FX452" s="93"/>
      <c r="FY452" s="93"/>
      <c r="FZ452" s="29"/>
      <c r="GA452" s="1504">
        <v>48214</v>
      </c>
      <c r="GB452" s="19"/>
      <c r="GC452" s="93"/>
      <c r="GD452" s="93"/>
      <c r="GE452" s="93"/>
      <c r="GF452" s="93"/>
      <c r="GG452" s="93"/>
      <c r="GH452" s="93"/>
      <c r="GI452" s="93"/>
      <c r="GJ452" s="93"/>
      <c r="GK452" s="93"/>
      <c r="GL452" s="93"/>
      <c r="GM452" s="93"/>
      <c r="GN452" s="20"/>
      <c r="GO452" s="29"/>
      <c r="GP452" s="1504">
        <v>48214</v>
      </c>
      <c r="GQ452" s="19"/>
      <c r="GR452" s="93"/>
      <c r="GS452" s="93"/>
      <c r="GT452" s="93"/>
      <c r="GU452" s="93"/>
      <c r="GV452" s="20"/>
      <c r="GW452" s="19"/>
      <c r="GX452" s="93"/>
      <c r="GY452" s="93"/>
      <c r="GZ452" s="93"/>
      <c r="HA452" s="93"/>
      <c r="HB452" s="20"/>
      <c r="HC452" s="19"/>
      <c r="HD452" s="93"/>
      <c r="HE452" s="93"/>
      <c r="HF452" s="93"/>
      <c r="HG452" s="93"/>
      <c r="HH452" s="20"/>
      <c r="HI452" s="19"/>
      <c r="HJ452" s="93"/>
      <c r="HK452" s="93"/>
      <c r="HL452" s="93"/>
      <c r="HM452" s="93"/>
      <c r="HN452" s="20"/>
      <c r="HO452" s="219"/>
      <c r="HP452" s="20"/>
      <c r="HQ452" s="25"/>
      <c r="HR452" s="29"/>
      <c r="HS452" s="1504">
        <v>48214</v>
      </c>
      <c r="HT452" s="19"/>
      <c r="HU452" s="93"/>
      <c r="HV452" s="93"/>
      <c r="HW452" s="93"/>
      <c r="HX452" s="93"/>
      <c r="HY452" s="93"/>
      <c r="HZ452" s="93"/>
      <c r="IA452" s="20"/>
      <c r="IB452" s="19"/>
      <c r="IC452" s="93"/>
      <c r="ID452" s="93"/>
      <c r="IE452" s="93"/>
      <c r="IF452" s="93"/>
      <c r="IG452" s="20"/>
      <c r="IH452" s="19"/>
      <c r="II452" s="93"/>
      <c r="IJ452" s="93"/>
      <c r="IK452" s="93"/>
      <c r="IL452" s="93"/>
      <c r="IM452" s="93"/>
      <c r="IN452" s="93"/>
      <c r="IO452" s="20"/>
      <c r="IP452" s="29"/>
      <c r="IQ452" s="19"/>
      <c r="IR452" s="93"/>
      <c r="IS452" s="93"/>
      <c r="IT452" s="93"/>
      <c r="IU452" s="93"/>
      <c r="IV452" s="20"/>
      <c r="IW452" s="29"/>
      <c r="IX452" s="19"/>
      <c r="IY452" s="93"/>
      <c r="IZ452" s="93"/>
      <c r="JA452" s="93"/>
      <c r="JB452" s="93"/>
      <c r="JC452" s="93"/>
      <c r="JD452" s="93"/>
      <c r="JE452" s="20"/>
      <c r="JF452" s="29"/>
      <c r="JG452" s="19"/>
      <c r="JH452" s="93"/>
      <c r="JI452" s="93"/>
      <c r="JJ452" s="93"/>
      <c r="JK452" s="93"/>
      <c r="JL452" s="93"/>
      <c r="JM452" s="93"/>
      <c r="JN452" s="20"/>
      <c r="JO452" s="29"/>
      <c r="JP452" s="19"/>
      <c r="JQ452" s="93"/>
      <c r="JR452" s="93"/>
      <c r="JS452" s="93"/>
      <c r="JT452" s="93"/>
      <c r="JU452" s="20"/>
      <c r="JV452" s="29"/>
      <c r="JW452" s="1504">
        <v>48214</v>
      </c>
      <c r="JX452" s="19"/>
      <c r="JY452" s="93"/>
      <c r="JZ452" s="93"/>
      <c r="KA452" s="93"/>
      <c r="KB452" s="93"/>
      <c r="KC452" s="93"/>
      <c r="KD452" s="20"/>
      <c r="KE452" s="29"/>
      <c r="KF452" s="19"/>
      <c r="KG452" s="93"/>
      <c r="KH452" s="93"/>
      <c r="KI452" s="93"/>
      <c r="KJ452" s="93"/>
      <c r="KK452" s="20"/>
      <c r="KL452" s="29"/>
      <c r="KM452" s="19"/>
      <c r="KN452" s="93"/>
      <c r="KO452" s="93"/>
      <c r="KP452" s="93"/>
      <c r="KQ452" s="93"/>
      <c r="KR452" s="20"/>
      <c r="KS452" s="29"/>
      <c r="KT452" s="19"/>
      <c r="KU452" s="93"/>
      <c r="KV452" s="93"/>
      <c r="KW452" s="93"/>
      <c r="KX452" s="93"/>
      <c r="KY452" s="20"/>
      <c r="KZ452" s="29"/>
      <c r="LA452" s="1504">
        <v>48214</v>
      </c>
      <c r="LB452" s="19"/>
      <c r="LC452" s="93"/>
      <c r="LD452" s="93"/>
      <c r="LE452" s="93"/>
      <c r="LF452" s="93"/>
      <c r="LG452" s="93"/>
      <c r="LH452" s="20"/>
      <c r="LI452" s="29"/>
      <c r="LJ452" s="19"/>
      <c r="LK452" s="93"/>
      <c r="LL452" s="93"/>
      <c r="LM452" s="93"/>
      <c r="LN452" s="93"/>
      <c r="LO452" s="20"/>
      <c r="LP452" s="29"/>
      <c r="LQ452" s="19"/>
      <c r="LR452" s="93"/>
      <c r="LS452" s="93"/>
      <c r="LT452" s="93"/>
      <c r="LU452" s="93"/>
      <c r="LV452" s="93"/>
      <c r="LW452" s="93"/>
      <c r="LX452" s="93"/>
      <c r="LY452" s="93"/>
      <c r="LZ452" s="93"/>
      <c r="MA452" s="20"/>
      <c r="MB452" s="29"/>
      <c r="MC452" s="1504">
        <v>48214</v>
      </c>
      <c r="MD452" s="19"/>
      <c r="ME452" s="93"/>
      <c r="MF452" s="93"/>
      <c r="MG452" s="93"/>
      <c r="MH452" s="93"/>
      <c r="MI452" s="93"/>
      <c r="MJ452" s="93"/>
      <c r="MK452" s="93"/>
      <c r="ML452" s="93"/>
      <c r="MM452" s="93"/>
      <c r="MN452" s="93"/>
      <c r="MO452" s="93"/>
      <c r="MP452" s="93"/>
      <c r="MQ452" s="93"/>
      <c r="MR452" s="93"/>
      <c r="MS452" s="93"/>
      <c r="MT452" s="93"/>
      <c r="MU452" s="93"/>
      <c r="MV452" s="93"/>
      <c r="MW452" s="93"/>
      <c r="MX452" s="93"/>
      <c r="MY452" s="93"/>
      <c r="MZ452" s="93"/>
      <c r="NA452" s="93"/>
      <c r="NB452" s="93"/>
      <c r="NC452" s="93"/>
      <c r="ND452" s="93"/>
      <c r="NE452" s="93"/>
      <c r="NF452" s="93"/>
      <c r="NG452" s="93"/>
      <c r="NH452" s="93"/>
      <c r="NI452" s="93"/>
      <c r="NJ452" s="93"/>
      <c r="NK452" s="93"/>
      <c r="NL452" s="93"/>
      <c r="NM452" s="93"/>
      <c r="NN452" s="93"/>
      <c r="NO452" s="93"/>
      <c r="NP452" s="93"/>
      <c r="NQ452" s="93"/>
      <c r="NR452" s="93"/>
      <c r="NS452" s="93"/>
      <c r="NT452" s="93"/>
      <c r="NU452" s="93"/>
      <c r="NV452" s="93"/>
      <c r="NW452" s="93"/>
      <c r="NX452" s="93"/>
      <c r="NY452" s="93"/>
      <c r="NZ452" s="93"/>
      <c r="OA452" s="93"/>
      <c r="OB452" s="93"/>
      <c r="OC452" s="93"/>
      <c r="OD452" s="20"/>
      <c r="OE452" s="29"/>
      <c r="OF452" s="1504">
        <v>48214</v>
      </c>
      <c r="OG452" s="19"/>
      <c r="OH452" s="93"/>
      <c r="OI452" s="93"/>
      <c r="OJ452" s="93"/>
      <c r="OK452" s="93"/>
      <c r="OL452" s="93"/>
      <c r="OM452" s="93"/>
      <c r="ON452" s="93"/>
      <c r="OO452" s="93"/>
      <c r="OP452" s="93"/>
      <c r="OQ452" s="93"/>
      <c r="OR452" s="93"/>
      <c r="OS452" s="93"/>
      <c r="OT452" s="93"/>
      <c r="OU452" s="93"/>
      <c r="OV452" s="93"/>
      <c r="OW452" s="93"/>
      <c r="OX452" s="93"/>
      <c r="OY452" s="93"/>
      <c r="OZ452" s="93"/>
      <c r="PA452" s="93"/>
      <c r="PB452" s="93"/>
      <c r="PC452" s="20"/>
      <c r="PD452" s="29"/>
      <c r="PE452" s="19"/>
      <c r="PF452" s="93"/>
      <c r="PG452" s="93"/>
      <c r="PH452" s="93"/>
      <c r="PI452" s="93"/>
      <c r="PJ452" s="93"/>
      <c r="PK452" s="93"/>
      <c r="PL452" s="93"/>
      <c r="PM452" s="93"/>
      <c r="PN452" s="93"/>
      <c r="PO452" s="93"/>
      <c r="PP452" s="93"/>
      <c r="PQ452" s="93"/>
      <c r="PR452" s="93"/>
      <c r="PS452" s="93"/>
      <c r="PT452" s="93"/>
      <c r="PU452" s="93"/>
      <c r="PV452" s="93"/>
      <c r="PW452" s="93"/>
      <c r="PX452" s="93"/>
      <c r="PY452" s="93"/>
      <c r="PZ452" s="93"/>
      <c r="QA452" s="93"/>
      <c r="QB452" s="93"/>
      <c r="QC452" s="93"/>
      <c r="QD452" s="93"/>
      <c r="QE452" s="20"/>
      <c r="QF452" s="1739"/>
      <c r="QG452" s="19"/>
      <c r="QH452" s="93"/>
      <c r="QI452" s="93"/>
      <c r="QJ452" s="93"/>
      <c r="QK452" s="93"/>
      <c r="QL452" s="93"/>
      <c r="QM452" s="93"/>
      <c r="QN452" s="93"/>
      <c r="QO452" s="93"/>
      <c r="QP452" s="93"/>
      <c r="QQ452" s="93"/>
      <c r="QR452" s="93"/>
      <c r="QS452" s="93"/>
      <c r="QT452" s="93"/>
      <c r="QU452" s="93"/>
      <c r="QV452" s="93"/>
      <c r="QW452" s="93"/>
      <c r="QX452" s="93"/>
      <c r="QY452" s="93"/>
      <c r="QZ452" s="93"/>
      <c r="RA452" s="93"/>
      <c r="RB452" s="93"/>
      <c r="RC452" s="93"/>
      <c r="RD452" s="93"/>
      <c r="RE452" s="93"/>
      <c r="RF452" s="93"/>
      <c r="RG452" s="93"/>
      <c r="RH452" s="93"/>
      <c r="RI452" s="93"/>
      <c r="RJ452" s="93"/>
      <c r="RK452" s="93"/>
      <c r="RL452" s="93"/>
      <c r="RM452" s="20"/>
      <c r="RN452" s="29"/>
      <c r="RO452" s="19"/>
      <c r="RP452" s="20"/>
      <c r="RQ452" s="29"/>
      <c r="RR452" s="20"/>
      <c r="RS452" s="29"/>
      <c r="RT452" s="1504">
        <v>48214</v>
      </c>
      <c r="RU452" s="19"/>
      <c r="RV452" s="20"/>
      <c r="RW452" s="29"/>
      <c r="RX452" s="1504">
        <v>48214</v>
      </c>
      <c r="RY452" s="29"/>
      <c r="RZ452" s="20"/>
      <c r="SA452" s="29"/>
      <c r="SB452" s="29"/>
    </row>
    <row r="453" spans="1:496">
      <c r="A453" s="41">
        <f t="shared" si="358"/>
        <v>2032</v>
      </c>
      <c r="B453" s="1504">
        <v>48245</v>
      </c>
      <c r="C453" s="1813"/>
      <c r="D453" s="1814"/>
      <c r="E453" s="1814"/>
      <c r="F453" s="1815"/>
      <c r="G453" s="1814"/>
      <c r="H453" s="1814"/>
      <c r="I453" s="1814"/>
      <c r="J453" s="1816"/>
      <c r="K453" s="1807"/>
      <c r="L453" s="25"/>
      <c r="M453" s="97"/>
      <c r="N453" s="1504">
        <v>48245</v>
      </c>
      <c r="O453" s="19"/>
      <c r="P453" s="93"/>
      <c r="Q453" s="93"/>
      <c r="R453" s="93"/>
      <c r="S453" s="93"/>
      <c r="T453" s="93"/>
      <c r="U453" s="93"/>
      <c r="V453" s="93"/>
      <c r="W453" s="93"/>
      <c r="X453" s="93"/>
      <c r="Y453" s="93"/>
      <c r="Z453" s="93"/>
      <c r="AA453" s="93"/>
      <c r="AB453" s="20"/>
      <c r="AC453" s="25"/>
      <c r="AD453" s="97"/>
      <c r="AE453" s="1504">
        <v>48245</v>
      </c>
      <c r="AF453" s="19"/>
      <c r="AG453" s="93"/>
      <c r="AH453" s="93"/>
      <c r="AI453" s="93"/>
      <c r="AJ453" s="93"/>
      <c r="AK453" s="93"/>
      <c r="AL453" s="93"/>
      <c r="AM453" s="93"/>
      <c r="AN453" s="93"/>
      <c r="AO453" s="93"/>
      <c r="AP453" s="93"/>
      <c r="AQ453" s="93"/>
      <c r="AR453" s="93"/>
      <c r="AS453" s="20"/>
      <c r="AT453" s="25"/>
      <c r="AU453" s="97"/>
      <c r="AV453" s="1504">
        <v>48245</v>
      </c>
      <c r="AW453" s="19"/>
      <c r="AX453" s="93"/>
      <c r="AY453" s="93"/>
      <c r="AZ453" s="93"/>
      <c r="BA453" s="93"/>
      <c r="BB453" s="93"/>
      <c r="BC453" s="93"/>
      <c r="BD453" s="93"/>
      <c r="BE453" s="93"/>
      <c r="BF453" s="93"/>
      <c r="BG453" s="93"/>
      <c r="BH453" s="93"/>
      <c r="BI453" s="93"/>
      <c r="BJ453" s="20"/>
      <c r="BK453" s="25"/>
      <c r="BL453" s="97"/>
      <c r="BM453" s="1504">
        <v>48245</v>
      </c>
      <c r="BN453" s="19"/>
      <c r="BO453" s="93"/>
      <c r="BP453" s="93"/>
      <c r="BQ453" s="93"/>
      <c r="BR453" s="93"/>
      <c r="BS453" s="93"/>
      <c r="BT453" s="93"/>
      <c r="BU453" s="20"/>
      <c r="BV453" s="25"/>
      <c r="BW453" s="97"/>
      <c r="BX453" s="1504">
        <v>48245</v>
      </c>
      <c r="BY453" s="19"/>
      <c r="BZ453" s="93"/>
      <c r="CA453" s="93"/>
      <c r="CB453" s="93"/>
      <c r="CC453" s="93"/>
      <c r="CD453" s="25"/>
      <c r="CE453" s="97"/>
      <c r="CF453" s="1504">
        <v>48245</v>
      </c>
      <c r="CG453" s="19"/>
      <c r="CH453" s="93"/>
      <c r="CI453" s="219"/>
      <c r="CJ453" s="20"/>
      <c r="CK453" s="19"/>
      <c r="CL453" s="93"/>
      <c r="CM453" s="93"/>
      <c r="CN453" s="93"/>
      <c r="CO453" s="93"/>
      <c r="CP453" s="20"/>
      <c r="CQ453" s="219"/>
      <c r="CR453" s="93"/>
      <c r="CS453" s="93"/>
      <c r="CT453" s="93"/>
      <c r="CU453" s="93"/>
      <c r="CV453" s="214"/>
      <c r="CW453" s="29"/>
      <c r="CX453" s="41">
        <f t="shared" ref="CX453:CX516" si="359">YEAR(CY453)</f>
        <v>2032</v>
      </c>
      <c r="CY453" s="1504">
        <v>48245</v>
      </c>
      <c r="CZ453" s="19"/>
      <c r="DA453" s="93"/>
      <c r="DB453" s="93"/>
      <c r="DC453" s="93"/>
      <c r="DD453" s="93"/>
      <c r="DE453" s="20"/>
      <c r="DF453" s="29"/>
      <c r="DG453" s="1504">
        <v>48245</v>
      </c>
      <c r="DH453" s="19"/>
      <c r="DI453" s="93"/>
      <c r="DJ453" s="93"/>
      <c r="DK453" s="93"/>
      <c r="DL453" s="93"/>
      <c r="DM453" s="93"/>
      <c r="DN453" s="20"/>
      <c r="DO453" s="295"/>
      <c r="DP453" s="29"/>
      <c r="DQ453" s="1504">
        <v>48245</v>
      </c>
      <c r="DR453" s="19"/>
      <c r="DS453" s="93"/>
      <c r="DT453" s="93"/>
      <c r="DU453" s="93"/>
      <c r="DV453" s="93"/>
      <c r="DW453" s="93"/>
      <c r="DX453" s="20"/>
      <c r="DY453" s="29"/>
      <c r="DZ453" s="1504">
        <v>48245</v>
      </c>
      <c r="EA453" s="19"/>
      <c r="EB453" s="93"/>
      <c r="EC453" s="20"/>
      <c r="ED453" s="29"/>
      <c r="EE453" s="1504">
        <v>48245</v>
      </c>
      <c r="EF453" s="19"/>
      <c r="EG453" s="93"/>
      <c r="EH453" s="93"/>
      <c r="EI453" s="214"/>
      <c r="EJ453" s="93"/>
      <c r="EK453" s="93"/>
      <c r="EL453" s="93"/>
      <c r="EM453" s="93"/>
      <c r="EN453" s="20"/>
      <c r="EO453" s="29"/>
      <c r="EP453" s="1504">
        <v>48245</v>
      </c>
      <c r="EQ453" s="19"/>
      <c r="ER453" s="93"/>
      <c r="ES453" s="93"/>
      <c r="ET453" s="214"/>
      <c r="EU453" s="93"/>
      <c r="EV453" s="93"/>
      <c r="EW453" s="93"/>
      <c r="EX453" s="93"/>
      <c r="EY453" s="20"/>
      <c r="EZ453" s="29"/>
      <c r="FA453" s="1504">
        <v>48245</v>
      </c>
      <c r="FB453" s="29"/>
      <c r="FC453" s="29"/>
      <c r="FD453" s="29"/>
      <c r="FE453" s="29"/>
      <c r="FF453" s="29"/>
      <c r="FG453" s="29"/>
      <c r="FH453" s="29"/>
      <c r="FI453" s="29"/>
      <c r="FJ453" s="29"/>
      <c r="FK453" s="29"/>
      <c r="FL453" s="1504">
        <v>48245</v>
      </c>
      <c r="FM453" s="19"/>
      <c r="FN453" s="93"/>
      <c r="FO453" s="93"/>
      <c r="FP453" s="93"/>
      <c r="FQ453" s="93"/>
      <c r="FR453" s="93"/>
      <c r="FS453" s="93"/>
      <c r="FT453" s="93"/>
      <c r="FU453" s="93"/>
      <c r="FV453" s="93"/>
      <c r="FW453" s="93"/>
      <c r="FX453" s="93"/>
      <c r="FY453" s="93"/>
      <c r="FZ453" s="29"/>
      <c r="GA453" s="1504">
        <v>48245</v>
      </c>
      <c r="GB453" s="19"/>
      <c r="GC453" s="93"/>
      <c r="GD453" s="93"/>
      <c r="GE453" s="93"/>
      <c r="GF453" s="93"/>
      <c r="GG453" s="93"/>
      <c r="GH453" s="93"/>
      <c r="GI453" s="93"/>
      <c r="GJ453" s="93"/>
      <c r="GK453" s="93"/>
      <c r="GL453" s="93"/>
      <c r="GM453" s="93"/>
      <c r="GN453" s="20"/>
      <c r="GO453" s="29"/>
      <c r="GP453" s="1504">
        <v>48245</v>
      </c>
      <c r="GQ453" s="19"/>
      <c r="GR453" s="93"/>
      <c r="GS453" s="93"/>
      <c r="GT453" s="93"/>
      <c r="GU453" s="93"/>
      <c r="GV453" s="20"/>
      <c r="GW453" s="19"/>
      <c r="GX453" s="93"/>
      <c r="GY453" s="93"/>
      <c r="GZ453" s="93"/>
      <c r="HA453" s="93"/>
      <c r="HB453" s="20"/>
      <c r="HC453" s="19"/>
      <c r="HD453" s="93"/>
      <c r="HE453" s="93"/>
      <c r="HF453" s="93"/>
      <c r="HG453" s="93"/>
      <c r="HH453" s="20"/>
      <c r="HI453" s="19"/>
      <c r="HJ453" s="93"/>
      <c r="HK453" s="93"/>
      <c r="HL453" s="93"/>
      <c r="HM453" s="93"/>
      <c r="HN453" s="20"/>
      <c r="HO453" s="219"/>
      <c r="HP453" s="20"/>
      <c r="HQ453" s="25"/>
      <c r="HR453" s="29"/>
      <c r="HS453" s="1504">
        <v>48245</v>
      </c>
      <c r="HT453" s="19"/>
      <c r="HU453" s="93"/>
      <c r="HV453" s="93"/>
      <c r="HW453" s="93"/>
      <c r="HX453" s="93"/>
      <c r="HY453" s="93"/>
      <c r="HZ453" s="93"/>
      <c r="IA453" s="20"/>
      <c r="IB453" s="19"/>
      <c r="IC453" s="93"/>
      <c r="ID453" s="93"/>
      <c r="IE453" s="93"/>
      <c r="IF453" s="93"/>
      <c r="IG453" s="20"/>
      <c r="IH453" s="19"/>
      <c r="II453" s="93"/>
      <c r="IJ453" s="93"/>
      <c r="IK453" s="93"/>
      <c r="IL453" s="93"/>
      <c r="IM453" s="93"/>
      <c r="IN453" s="93"/>
      <c r="IO453" s="20"/>
      <c r="IP453" s="29"/>
      <c r="IQ453" s="19"/>
      <c r="IR453" s="93"/>
      <c r="IS453" s="93"/>
      <c r="IT453" s="93"/>
      <c r="IU453" s="93"/>
      <c r="IV453" s="20"/>
      <c r="IW453" s="29"/>
      <c r="IX453" s="19"/>
      <c r="IY453" s="93"/>
      <c r="IZ453" s="93"/>
      <c r="JA453" s="93"/>
      <c r="JB453" s="93"/>
      <c r="JC453" s="93"/>
      <c r="JD453" s="93"/>
      <c r="JE453" s="20"/>
      <c r="JF453" s="29"/>
      <c r="JG453" s="19"/>
      <c r="JH453" s="93"/>
      <c r="JI453" s="93"/>
      <c r="JJ453" s="93"/>
      <c r="JK453" s="93"/>
      <c r="JL453" s="93"/>
      <c r="JM453" s="93"/>
      <c r="JN453" s="20"/>
      <c r="JO453" s="29"/>
      <c r="JP453" s="19"/>
      <c r="JQ453" s="93"/>
      <c r="JR453" s="93"/>
      <c r="JS453" s="93"/>
      <c r="JT453" s="93"/>
      <c r="JU453" s="20"/>
      <c r="JV453" s="29"/>
      <c r="JW453" s="1504">
        <v>48245</v>
      </c>
      <c r="JX453" s="19"/>
      <c r="JY453" s="93"/>
      <c r="JZ453" s="93"/>
      <c r="KA453" s="93"/>
      <c r="KB453" s="93"/>
      <c r="KC453" s="93"/>
      <c r="KD453" s="20"/>
      <c r="KE453" s="29"/>
      <c r="KF453" s="19"/>
      <c r="KG453" s="93"/>
      <c r="KH453" s="93"/>
      <c r="KI453" s="93"/>
      <c r="KJ453" s="93"/>
      <c r="KK453" s="20"/>
      <c r="KL453" s="29"/>
      <c r="KM453" s="19"/>
      <c r="KN453" s="93"/>
      <c r="KO453" s="93"/>
      <c r="KP453" s="93"/>
      <c r="KQ453" s="93"/>
      <c r="KR453" s="20"/>
      <c r="KS453" s="29"/>
      <c r="KT453" s="19"/>
      <c r="KU453" s="93"/>
      <c r="KV453" s="93"/>
      <c r="KW453" s="93"/>
      <c r="KX453" s="93"/>
      <c r="KY453" s="20"/>
      <c r="KZ453" s="29"/>
      <c r="LA453" s="1504">
        <v>48245</v>
      </c>
      <c r="LB453" s="19"/>
      <c r="LC453" s="93"/>
      <c r="LD453" s="93"/>
      <c r="LE453" s="93"/>
      <c r="LF453" s="93"/>
      <c r="LG453" s="93"/>
      <c r="LH453" s="20"/>
      <c r="LI453" s="29"/>
      <c r="LJ453" s="19"/>
      <c r="LK453" s="93"/>
      <c r="LL453" s="93"/>
      <c r="LM453" s="93"/>
      <c r="LN453" s="93"/>
      <c r="LO453" s="20"/>
      <c r="LP453" s="29"/>
      <c r="LQ453" s="19"/>
      <c r="LR453" s="93"/>
      <c r="LS453" s="93"/>
      <c r="LT453" s="93"/>
      <c r="LU453" s="93"/>
      <c r="LV453" s="93"/>
      <c r="LW453" s="93"/>
      <c r="LX453" s="93"/>
      <c r="LY453" s="93"/>
      <c r="LZ453" s="93"/>
      <c r="MA453" s="20"/>
      <c r="MB453" s="29"/>
      <c r="MC453" s="1504">
        <v>48245</v>
      </c>
      <c r="MD453" s="19"/>
      <c r="ME453" s="93"/>
      <c r="MF453" s="93"/>
      <c r="MG453" s="93"/>
      <c r="MH453" s="93"/>
      <c r="MI453" s="93"/>
      <c r="MJ453" s="93"/>
      <c r="MK453" s="93"/>
      <c r="ML453" s="93"/>
      <c r="MM453" s="93"/>
      <c r="MN453" s="93"/>
      <c r="MO453" s="93"/>
      <c r="MP453" s="93"/>
      <c r="MQ453" s="93"/>
      <c r="MR453" s="93"/>
      <c r="MS453" s="93"/>
      <c r="MT453" s="93"/>
      <c r="MU453" s="93"/>
      <c r="MV453" s="93"/>
      <c r="MW453" s="93"/>
      <c r="MX453" s="93"/>
      <c r="MY453" s="93"/>
      <c r="MZ453" s="93"/>
      <c r="NA453" s="93"/>
      <c r="NB453" s="93"/>
      <c r="NC453" s="93"/>
      <c r="ND453" s="93"/>
      <c r="NE453" s="93"/>
      <c r="NF453" s="93"/>
      <c r="NG453" s="93"/>
      <c r="NH453" s="93"/>
      <c r="NI453" s="93"/>
      <c r="NJ453" s="93"/>
      <c r="NK453" s="93"/>
      <c r="NL453" s="93"/>
      <c r="NM453" s="93"/>
      <c r="NN453" s="93"/>
      <c r="NO453" s="93"/>
      <c r="NP453" s="93"/>
      <c r="NQ453" s="93"/>
      <c r="NR453" s="93"/>
      <c r="NS453" s="93"/>
      <c r="NT453" s="93"/>
      <c r="NU453" s="93"/>
      <c r="NV453" s="93"/>
      <c r="NW453" s="93"/>
      <c r="NX453" s="93"/>
      <c r="NY453" s="93"/>
      <c r="NZ453" s="93"/>
      <c r="OA453" s="93"/>
      <c r="OB453" s="93"/>
      <c r="OC453" s="93"/>
      <c r="OD453" s="20"/>
      <c r="OE453" s="29"/>
      <c r="OF453" s="1504">
        <v>48245</v>
      </c>
      <c r="OG453" s="19"/>
      <c r="OH453" s="93"/>
      <c r="OI453" s="93"/>
      <c r="OJ453" s="93"/>
      <c r="OK453" s="93"/>
      <c r="OL453" s="93"/>
      <c r="OM453" s="93"/>
      <c r="ON453" s="93"/>
      <c r="OO453" s="93"/>
      <c r="OP453" s="93"/>
      <c r="OQ453" s="93"/>
      <c r="OR453" s="93"/>
      <c r="OS453" s="93"/>
      <c r="OT453" s="93"/>
      <c r="OU453" s="93"/>
      <c r="OV453" s="93"/>
      <c r="OW453" s="93"/>
      <c r="OX453" s="93"/>
      <c r="OY453" s="93"/>
      <c r="OZ453" s="93"/>
      <c r="PA453" s="93"/>
      <c r="PB453" s="93"/>
      <c r="PC453" s="20"/>
      <c r="PD453" s="29"/>
      <c r="PE453" s="19"/>
      <c r="PF453" s="93"/>
      <c r="PG453" s="93"/>
      <c r="PH453" s="93"/>
      <c r="PI453" s="93"/>
      <c r="PJ453" s="93"/>
      <c r="PK453" s="93"/>
      <c r="PL453" s="93"/>
      <c r="PM453" s="93"/>
      <c r="PN453" s="93"/>
      <c r="PO453" s="93"/>
      <c r="PP453" s="93"/>
      <c r="PQ453" s="93"/>
      <c r="PR453" s="93"/>
      <c r="PS453" s="93"/>
      <c r="PT453" s="93"/>
      <c r="PU453" s="93"/>
      <c r="PV453" s="93"/>
      <c r="PW453" s="93"/>
      <c r="PX453" s="93"/>
      <c r="PY453" s="93"/>
      <c r="PZ453" s="93"/>
      <c r="QA453" s="93"/>
      <c r="QB453" s="93"/>
      <c r="QC453" s="93"/>
      <c r="QD453" s="93"/>
      <c r="QE453" s="20"/>
      <c r="QF453" s="1739"/>
      <c r="QG453" s="19"/>
      <c r="QH453" s="93"/>
      <c r="QI453" s="93"/>
      <c r="QJ453" s="93"/>
      <c r="QK453" s="93"/>
      <c r="QL453" s="93"/>
      <c r="QM453" s="93"/>
      <c r="QN453" s="93"/>
      <c r="QO453" s="93"/>
      <c r="QP453" s="93"/>
      <c r="QQ453" s="93"/>
      <c r="QR453" s="93"/>
      <c r="QS453" s="93"/>
      <c r="QT453" s="93"/>
      <c r="QU453" s="93"/>
      <c r="QV453" s="93"/>
      <c r="QW453" s="93"/>
      <c r="QX453" s="93"/>
      <c r="QY453" s="93"/>
      <c r="QZ453" s="93"/>
      <c r="RA453" s="93"/>
      <c r="RB453" s="93"/>
      <c r="RC453" s="93"/>
      <c r="RD453" s="93"/>
      <c r="RE453" s="93"/>
      <c r="RF453" s="93"/>
      <c r="RG453" s="93"/>
      <c r="RH453" s="93"/>
      <c r="RI453" s="93"/>
      <c r="RJ453" s="93"/>
      <c r="RK453" s="93"/>
      <c r="RL453" s="93"/>
      <c r="RM453" s="20"/>
      <c r="RN453" s="29"/>
      <c r="RO453" s="19"/>
      <c r="RP453" s="20"/>
      <c r="RQ453" s="29"/>
      <c r="RR453" s="20"/>
      <c r="RS453" s="29"/>
      <c r="RT453" s="1504">
        <v>48245</v>
      </c>
      <c r="RU453" s="19"/>
      <c r="RV453" s="20"/>
      <c r="RW453" s="29"/>
      <c r="RX453" s="1504">
        <v>48245</v>
      </c>
      <c r="RY453" s="29"/>
      <c r="RZ453" s="20"/>
      <c r="SA453" s="29"/>
      <c r="SB453" s="29"/>
    </row>
    <row r="454" spans="1:496">
      <c r="A454" s="41">
        <f t="shared" si="358"/>
        <v>2032</v>
      </c>
      <c r="B454" s="1504">
        <v>48274</v>
      </c>
      <c r="C454" s="1813"/>
      <c r="D454" s="1814"/>
      <c r="E454" s="1814"/>
      <c r="F454" s="1815"/>
      <c r="G454" s="1814"/>
      <c r="H454" s="1814"/>
      <c r="I454" s="1814"/>
      <c r="J454" s="1816"/>
      <c r="K454" s="1807"/>
      <c r="L454" s="25"/>
      <c r="M454" s="97"/>
      <c r="N454" s="1504">
        <v>48274</v>
      </c>
      <c r="O454" s="19"/>
      <c r="P454" s="93"/>
      <c r="Q454" s="93"/>
      <c r="R454" s="93"/>
      <c r="S454" s="93"/>
      <c r="T454" s="93"/>
      <c r="U454" s="93"/>
      <c r="V454" s="93"/>
      <c r="W454" s="93"/>
      <c r="X454" s="93"/>
      <c r="Y454" s="93"/>
      <c r="Z454" s="93"/>
      <c r="AA454" s="93"/>
      <c r="AB454" s="20"/>
      <c r="AC454" s="25"/>
      <c r="AD454" s="97"/>
      <c r="AE454" s="1504">
        <v>48274</v>
      </c>
      <c r="AF454" s="19"/>
      <c r="AG454" s="93"/>
      <c r="AH454" s="93"/>
      <c r="AI454" s="93"/>
      <c r="AJ454" s="93"/>
      <c r="AK454" s="93"/>
      <c r="AL454" s="93"/>
      <c r="AM454" s="93"/>
      <c r="AN454" s="93"/>
      <c r="AO454" s="93"/>
      <c r="AP454" s="93"/>
      <c r="AQ454" s="93"/>
      <c r="AR454" s="93"/>
      <c r="AS454" s="20"/>
      <c r="AT454" s="25"/>
      <c r="AU454" s="97"/>
      <c r="AV454" s="1504">
        <v>48274</v>
      </c>
      <c r="AW454" s="19"/>
      <c r="AX454" s="93"/>
      <c r="AY454" s="93"/>
      <c r="AZ454" s="93"/>
      <c r="BA454" s="93"/>
      <c r="BB454" s="93"/>
      <c r="BC454" s="93"/>
      <c r="BD454" s="93"/>
      <c r="BE454" s="93"/>
      <c r="BF454" s="93"/>
      <c r="BG454" s="93"/>
      <c r="BH454" s="93"/>
      <c r="BI454" s="93"/>
      <c r="BJ454" s="20"/>
      <c r="BK454" s="25"/>
      <c r="BL454" s="97"/>
      <c r="BM454" s="1504">
        <v>48274</v>
      </c>
      <c r="BN454" s="19"/>
      <c r="BO454" s="93"/>
      <c r="BP454" s="93"/>
      <c r="BQ454" s="93"/>
      <c r="BR454" s="93"/>
      <c r="BS454" s="93"/>
      <c r="BT454" s="93"/>
      <c r="BU454" s="20"/>
      <c r="BV454" s="25"/>
      <c r="BW454" s="97"/>
      <c r="BX454" s="1504">
        <v>48274</v>
      </c>
      <c r="BY454" s="19"/>
      <c r="BZ454" s="93"/>
      <c r="CA454" s="93"/>
      <c r="CB454" s="93"/>
      <c r="CC454" s="93"/>
      <c r="CD454" s="25"/>
      <c r="CE454" s="97"/>
      <c r="CF454" s="1504">
        <v>48274</v>
      </c>
      <c r="CG454" s="19"/>
      <c r="CH454" s="93"/>
      <c r="CI454" s="219"/>
      <c r="CJ454" s="20"/>
      <c r="CK454" s="19"/>
      <c r="CL454" s="93"/>
      <c r="CM454" s="93"/>
      <c r="CN454" s="93"/>
      <c r="CO454" s="93"/>
      <c r="CP454" s="20"/>
      <c r="CQ454" s="219"/>
      <c r="CR454" s="93"/>
      <c r="CS454" s="93"/>
      <c r="CT454" s="93"/>
      <c r="CU454" s="93"/>
      <c r="CV454" s="214"/>
      <c r="CW454" s="29"/>
      <c r="CX454" s="41">
        <f t="shared" si="359"/>
        <v>2032</v>
      </c>
      <c r="CY454" s="1504">
        <v>48274</v>
      </c>
      <c r="CZ454" s="19"/>
      <c r="DA454" s="93"/>
      <c r="DB454" s="93"/>
      <c r="DC454" s="93"/>
      <c r="DD454" s="93"/>
      <c r="DE454" s="20"/>
      <c r="DF454" s="29"/>
      <c r="DG454" s="1504">
        <v>48274</v>
      </c>
      <c r="DH454" s="19"/>
      <c r="DI454" s="93"/>
      <c r="DJ454" s="93"/>
      <c r="DK454" s="93"/>
      <c r="DL454" s="93"/>
      <c r="DM454" s="93"/>
      <c r="DN454" s="20"/>
      <c r="DO454" s="295"/>
      <c r="DP454" s="29"/>
      <c r="DQ454" s="1504">
        <v>48274</v>
      </c>
      <c r="DR454" s="19"/>
      <c r="DS454" s="93"/>
      <c r="DT454" s="93"/>
      <c r="DU454" s="93"/>
      <c r="DV454" s="93"/>
      <c r="DW454" s="93"/>
      <c r="DX454" s="20"/>
      <c r="DY454" s="29"/>
      <c r="DZ454" s="1504">
        <v>48274</v>
      </c>
      <c r="EA454" s="19"/>
      <c r="EB454" s="93"/>
      <c r="EC454" s="20"/>
      <c r="ED454" s="29"/>
      <c r="EE454" s="1504">
        <v>48274</v>
      </c>
      <c r="EF454" s="19"/>
      <c r="EG454" s="93"/>
      <c r="EH454" s="93"/>
      <c r="EI454" s="214"/>
      <c r="EJ454" s="93"/>
      <c r="EK454" s="93"/>
      <c r="EL454" s="93"/>
      <c r="EM454" s="93"/>
      <c r="EN454" s="20"/>
      <c r="EO454" s="29"/>
      <c r="EP454" s="1504">
        <v>48274</v>
      </c>
      <c r="EQ454" s="19"/>
      <c r="ER454" s="93"/>
      <c r="ES454" s="93"/>
      <c r="ET454" s="214"/>
      <c r="EU454" s="93"/>
      <c r="EV454" s="93"/>
      <c r="EW454" s="93"/>
      <c r="EX454" s="93"/>
      <c r="EY454" s="20"/>
      <c r="EZ454" s="29"/>
      <c r="FA454" s="1504">
        <v>48274</v>
      </c>
      <c r="FB454" s="29"/>
      <c r="FC454" s="29"/>
      <c r="FD454" s="29"/>
      <c r="FE454" s="29"/>
      <c r="FF454" s="29"/>
      <c r="FG454" s="29"/>
      <c r="FH454" s="29"/>
      <c r="FI454" s="29"/>
      <c r="FJ454" s="29"/>
      <c r="FK454" s="29"/>
      <c r="FL454" s="1504">
        <v>48274</v>
      </c>
      <c r="FM454" s="19"/>
      <c r="FN454" s="93"/>
      <c r="FO454" s="93"/>
      <c r="FP454" s="93"/>
      <c r="FQ454" s="93"/>
      <c r="FR454" s="93"/>
      <c r="FS454" s="93"/>
      <c r="FT454" s="93"/>
      <c r="FU454" s="93"/>
      <c r="FV454" s="93"/>
      <c r="FW454" s="93"/>
      <c r="FX454" s="93"/>
      <c r="FY454" s="93"/>
      <c r="FZ454" s="29"/>
      <c r="GA454" s="1504">
        <v>48274</v>
      </c>
      <c r="GB454" s="19"/>
      <c r="GC454" s="93"/>
      <c r="GD454" s="93"/>
      <c r="GE454" s="93"/>
      <c r="GF454" s="93"/>
      <c r="GG454" s="93"/>
      <c r="GH454" s="93"/>
      <c r="GI454" s="93"/>
      <c r="GJ454" s="93"/>
      <c r="GK454" s="93"/>
      <c r="GL454" s="93"/>
      <c r="GM454" s="93"/>
      <c r="GN454" s="20"/>
      <c r="GO454" s="29"/>
      <c r="GP454" s="1504">
        <v>48274</v>
      </c>
      <c r="GQ454" s="19"/>
      <c r="GR454" s="93"/>
      <c r="GS454" s="93"/>
      <c r="GT454" s="93"/>
      <c r="GU454" s="93"/>
      <c r="GV454" s="20"/>
      <c r="GW454" s="19"/>
      <c r="GX454" s="93"/>
      <c r="GY454" s="93"/>
      <c r="GZ454" s="93"/>
      <c r="HA454" s="93"/>
      <c r="HB454" s="20"/>
      <c r="HC454" s="19"/>
      <c r="HD454" s="93"/>
      <c r="HE454" s="93"/>
      <c r="HF454" s="93"/>
      <c r="HG454" s="93"/>
      <c r="HH454" s="20"/>
      <c r="HI454" s="19"/>
      <c r="HJ454" s="93"/>
      <c r="HK454" s="93"/>
      <c r="HL454" s="93"/>
      <c r="HM454" s="93"/>
      <c r="HN454" s="20"/>
      <c r="HO454" s="219"/>
      <c r="HP454" s="20"/>
      <c r="HQ454" s="25"/>
      <c r="HR454" s="29"/>
      <c r="HS454" s="1504">
        <v>48274</v>
      </c>
      <c r="HT454" s="19"/>
      <c r="HU454" s="93"/>
      <c r="HV454" s="93"/>
      <c r="HW454" s="93"/>
      <c r="HX454" s="93"/>
      <c r="HY454" s="93"/>
      <c r="HZ454" s="93"/>
      <c r="IA454" s="20"/>
      <c r="IB454" s="19"/>
      <c r="IC454" s="93"/>
      <c r="ID454" s="93"/>
      <c r="IE454" s="93"/>
      <c r="IF454" s="93"/>
      <c r="IG454" s="20"/>
      <c r="IH454" s="19"/>
      <c r="II454" s="93"/>
      <c r="IJ454" s="93"/>
      <c r="IK454" s="93"/>
      <c r="IL454" s="93"/>
      <c r="IM454" s="93"/>
      <c r="IN454" s="93"/>
      <c r="IO454" s="20"/>
      <c r="IP454" s="29"/>
      <c r="IQ454" s="19"/>
      <c r="IR454" s="93"/>
      <c r="IS454" s="93"/>
      <c r="IT454" s="93"/>
      <c r="IU454" s="93"/>
      <c r="IV454" s="20"/>
      <c r="IW454" s="29"/>
      <c r="IX454" s="19"/>
      <c r="IY454" s="93"/>
      <c r="IZ454" s="93"/>
      <c r="JA454" s="93"/>
      <c r="JB454" s="93"/>
      <c r="JC454" s="93"/>
      <c r="JD454" s="93"/>
      <c r="JE454" s="20"/>
      <c r="JF454" s="29"/>
      <c r="JG454" s="19"/>
      <c r="JH454" s="93"/>
      <c r="JI454" s="93"/>
      <c r="JJ454" s="93"/>
      <c r="JK454" s="93"/>
      <c r="JL454" s="93"/>
      <c r="JM454" s="93"/>
      <c r="JN454" s="20"/>
      <c r="JO454" s="29"/>
      <c r="JP454" s="19"/>
      <c r="JQ454" s="93"/>
      <c r="JR454" s="93"/>
      <c r="JS454" s="93"/>
      <c r="JT454" s="93"/>
      <c r="JU454" s="20"/>
      <c r="JV454" s="29"/>
      <c r="JW454" s="1504">
        <v>48274</v>
      </c>
      <c r="JX454" s="19"/>
      <c r="JY454" s="93"/>
      <c r="JZ454" s="93"/>
      <c r="KA454" s="93"/>
      <c r="KB454" s="93"/>
      <c r="KC454" s="93"/>
      <c r="KD454" s="20"/>
      <c r="KE454" s="29"/>
      <c r="KF454" s="19"/>
      <c r="KG454" s="93"/>
      <c r="KH454" s="93"/>
      <c r="KI454" s="93"/>
      <c r="KJ454" s="93"/>
      <c r="KK454" s="20"/>
      <c r="KL454" s="29"/>
      <c r="KM454" s="19"/>
      <c r="KN454" s="93"/>
      <c r="KO454" s="93"/>
      <c r="KP454" s="93"/>
      <c r="KQ454" s="93"/>
      <c r="KR454" s="20"/>
      <c r="KS454" s="29"/>
      <c r="KT454" s="19"/>
      <c r="KU454" s="93"/>
      <c r="KV454" s="93"/>
      <c r="KW454" s="93"/>
      <c r="KX454" s="93"/>
      <c r="KY454" s="20"/>
      <c r="KZ454" s="29"/>
      <c r="LA454" s="1504">
        <v>48274</v>
      </c>
      <c r="LB454" s="19"/>
      <c r="LC454" s="93"/>
      <c r="LD454" s="93"/>
      <c r="LE454" s="93"/>
      <c r="LF454" s="93"/>
      <c r="LG454" s="93"/>
      <c r="LH454" s="20"/>
      <c r="LI454" s="29"/>
      <c r="LJ454" s="19"/>
      <c r="LK454" s="93"/>
      <c r="LL454" s="93"/>
      <c r="LM454" s="93"/>
      <c r="LN454" s="93"/>
      <c r="LO454" s="20"/>
      <c r="LP454" s="29"/>
      <c r="LQ454" s="19"/>
      <c r="LR454" s="93"/>
      <c r="LS454" s="93"/>
      <c r="LT454" s="93"/>
      <c r="LU454" s="93"/>
      <c r="LV454" s="93"/>
      <c r="LW454" s="93"/>
      <c r="LX454" s="93"/>
      <c r="LY454" s="93"/>
      <c r="LZ454" s="93"/>
      <c r="MA454" s="20"/>
      <c r="MB454" s="29"/>
      <c r="MC454" s="1504">
        <v>48274</v>
      </c>
      <c r="MD454" s="19"/>
      <c r="ME454" s="93"/>
      <c r="MF454" s="93"/>
      <c r="MG454" s="93"/>
      <c r="MH454" s="93"/>
      <c r="MI454" s="93"/>
      <c r="MJ454" s="93"/>
      <c r="MK454" s="93"/>
      <c r="ML454" s="93"/>
      <c r="MM454" s="93"/>
      <c r="MN454" s="93"/>
      <c r="MO454" s="93"/>
      <c r="MP454" s="93"/>
      <c r="MQ454" s="93"/>
      <c r="MR454" s="93"/>
      <c r="MS454" s="93"/>
      <c r="MT454" s="93"/>
      <c r="MU454" s="93"/>
      <c r="MV454" s="93"/>
      <c r="MW454" s="93"/>
      <c r="MX454" s="93"/>
      <c r="MY454" s="93"/>
      <c r="MZ454" s="93"/>
      <c r="NA454" s="93"/>
      <c r="NB454" s="93"/>
      <c r="NC454" s="93"/>
      <c r="ND454" s="93"/>
      <c r="NE454" s="93"/>
      <c r="NF454" s="93"/>
      <c r="NG454" s="93"/>
      <c r="NH454" s="93"/>
      <c r="NI454" s="93"/>
      <c r="NJ454" s="93"/>
      <c r="NK454" s="93"/>
      <c r="NL454" s="93"/>
      <c r="NM454" s="93"/>
      <c r="NN454" s="93"/>
      <c r="NO454" s="93"/>
      <c r="NP454" s="93"/>
      <c r="NQ454" s="93"/>
      <c r="NR454" s="93"/>
      <c r="NS454" s="93"/>
      <c r="NT454" s="93"/>
      <c r="NU454" s="93"/>
      <c r="NV454" s="93"/>
      <c r="NW454" s="93"/>
      <c r="NX454" s="93"/>
      <c r="NY454" s="93"/>
      <c r="NZ454" s="93"/>
      <c r="OA454" s="93"/>
      <c r="OB454" s="93"/>
      <c r="OC454" s="93"/>
      <c r="OD454" s="20"/>
      <c r="OE454" s="29"/>
      <c r="OF454" s="1504">
        <v>48274</v>
      </c>
      <c r="OG454" s="19"/>
      <c r="OH454" s="93"/>
      <c r="OI454" s="93"/>
      <c r="OJ454" s="93"/>
      <c r="OK454" s="93"/>
      <c r="OL454" s="93"/>
      <c r="OM454" s="93"/>
      <c r="ON454" s="93"/>
      <c r="OO454" s="93"/>
      <c r="OP454" s="93"/>
      <c r="OQ454" s="93"/>
      <c r="OR454" s="93"/>
      <c r="OS454" s="93"/>
      <c r="OT454" s="93"/>
      <c r="OU454" s="93"/>
      <c r="OV454" s="93"/>
      <c r="OW454" s="93"/>
      <c r="OX454" s="93"/>
      <c r="OY454" s="93"/>
      <c r="OZ454" s="93"/>
      <c r="PA454" s="93"/>
      <c r="PB454" s="93"/>
      <c r="PC454" s="20"/>
      <c r="PD454" s="29"/>
      <c r="PE454" s="19"/>
      <c r="PF454" s="93"/>
      <c r="PG454" s="93"/>
      <c r="PH454" s="93"/>
      <c r="PI454" s="93"/>
      <c r="PJ454" s="93"/>
      <c r="PK454" s="93"/>
      <c r="PL454" s="93"/>
      <c r="PM454" s="93"/>
      <c r="PN454" s="93"/>
      <c r="PO454" s="93"/>
      <c r="PP454" s="93"/>
      <c r="PQ454" s="93"/>
      <c r="PR454" s="93"/>
      <c r="PS454" s="93"/>
      <c r="PT454" s="93"/>
      <c r="PU454" s="93"/>
      <c r="PV454" s="93"/>
      <c r="PW454" s="93"/>
      <c r="PX454" s="93"/>
      <c r="PY454" s="93"/>
      <c r="PZ454" s="93"/>
      <c r="QA454" s="93"/>
      <c r="QB454" s="93"/>
      <c r="QC454" s="93"/>
      <c r="QD454" s="93"/>
      <c r="QE454" s="20"/>
      <c r="QF454" s="1739"/>
      <c r="QG454" s="19"/>
      <c r="QH454" s="93"/>
      <c r="QI454" s="93"/>
      <c r="QJ454" s="93"/>
      <c r="QK454" s="93"/>
      <c r="QL454" s="93"/>
      <c r="QM454" s="93"/>
      <c r="QN454" s="93"/>
      <c r="QO454" s="93"/>
      <c r="QP454" s="93"/>
      <c r="QQ454" s="93"/>
      <c r="QR454" s="93"/>
      <c r="QS454" s="93"/>
      <c r="QT454" s="93"/>
      <c r="QU454" s="93"/>
      <c r="QV454" s="93"/>
      <c r="QW454" s="93"/>
      <c r="QX454" s="93"/>
      <c r="QY454" s="93"/>
      <c r="QZ454" s="93"/>
      <c r="RA454" s="93"/>
      <c r="RB454" s="93"/>
      <c r="RC454" s="93"/>
      <c r="RD454" s="93"/>
      <c r="RE454" s="93"/>
      <c r="RF454" s="93"/>
      <c r="RG454" s="93"/>
      <c r="RH454" s="93"/>
      <c r="RI454" s="93"/>
      <c r="RJ454" s="93"/>
      <c r="RK454" s="93"/>
      <c r="RL454" s="93"/>
      <c r="RM454" s="20"/>
      <c r="RN454" s="29"/>
      <c r="RO454" s="19"/>
      <c r="RP454" s="20"/>
      <c r="RQ454" s="29"/>
      <c r="RR454" s="20"/>
      <c r="RS454" s="29"/>
      <c r="RT454" s="1504">
        <v>48274</v>
      </c>
      <c r="RU454" s="19"/>
      <c r="RV454" s="20"/>
      <c r="RW454" s="29"/>
      <c r="RX454" s="1504">
        <v>48274</v>
      </c>
      <c r="RY454" s="29"/>
      <c r="RZ454" s="20"/>
      <c r="SA454" s="29"/>
      <c r="SB454" s="29"/>
    </row>
    <row r="455" spans="1:496">
      <c r="A455" s="41">
        <f t="shared" si="358"/>
        <v>2032</v>
      </c>
      <c r="B455" s="1504">
        <v>48305</v>
      </c>
      <c r="C455" s="1813"/>
      <c r="D455" s="1814"/>
      <c r="E455" s="1814"/>
      <c r="F455" s="1815"/>
      <c r="G455" s="1814"/>
      <c r="H455" s="1814"/>
      <c r="I455" s="1814"/>
      <c r="J455" s="1816"/>
      <c r="K455" s="1807"/>
      <c r="L455" s="25"/>
      <c r="M455" s="97"/>
      <c r="N455" s="1504">
        <v>48305</v>
      </c>
      <c r="O455" s="19"/>
      <c r="P455" s="93"/>
      <c r="Q455" s="93"/>
      <c r="R455" s="93"/>
      <c r="S455" s="93"/>
      <c r="T455" s="93"/>
      <c r="U455" s="93"/>
      <c r="V455" s="93"/>
      <c r="W455" s="93"/>
      <c r="X455" s="93"/>
      <c r="Y455" s="93"/>
      <c r="Z455" s="93"/>
      <c r="AA455" s="93"/>
      <c r="AB455" s="20"/>
      <c r="AC455" s="25"/>
      <c r="AD455" s="97"/>
      <c r="AE455" s="1504">
        <v>48305</v>
      </c>
      <c r="AF455" s="19"/>
      <c r="AG455" s="93"/>
      <c r="AH455" s="93"/>
      <c r="AI455" s="93"/>
      <c r="AJ455" s="93"/>
      <c r="AK455" s="93"/>
      <c r="AL455" s="93"/>
      <c r="AM455" s="93"/>
      <c r="AN455" s="93"/>
      <c r="AO455" s="93"/>
      <c r="AP455" s="93"/>
      <c r="AQ455" s="93"/>
      <c r="AR455" s="93"/>
      <c r="AS455" s="20"/>
      <c r="AT455" s="25"/>
      <c r="AU455" s="97"/>
      <c r="AV455" s="1504">
        <v>48305</v>
      </c>
      <c r="AW455" s="19"/>
      <c r="AX455" s="93"/>
      <c r="AY455" s="93"/>
      <c r="AZ455" s="93"/>
      <c r="BA455" s="93"/>
      <c r="BB455" s="93"/>
      <c r="BC455" s="93"/>
      <c r="BD455" s="93"/>
      <c r="BE455" s="93"/>
      <c r="BF455" s="93"/>
      <c r="BG455" s="93"/>
      <c r="BH455" s="93"/>
      <c r="BI455" s="93"/>
      <c r="BJ455" s="20"/>
      <c r="BK455" s="25"/>
      <c r="BL455" s="97"/>
      <c r="BM455" s="1504">
        <v>48305</v>
      </c>
      <c r="BN455" s="19"/>
      <c r="BO455" s="93"/>
      <c r="BP455" s="93"/>
      <c r="BQ455" s="93"/>
      <c r="BR455" s="93"/>
      <c r="BS455" s="93"/>
      <c r="BT455" s="93"/>
      <c r="BU455" s="20"/>
      <c r="BV455" s="25"/>
      <c r="BW455" s="97"/>
      <c r="BX455" s="1504">
        <v>48305</v>
      </c>
      <c r="BY455" s="19"/>
      <c r="BZ455" s="93"/>
      <c r="CA455" s="93"/>
      <c r="CB455" s="93"/>
      <c r="CC455" s="93"/>
      <c r="CD455" s="25"/>
      <c r="CE455" s="97"/>
      <c r="CF455" s="1504">
        <v>48305</v>
      </c>
      <c r="CG455" s="19"/>
      <c r="CH455" s="93"/>
      <c r="CI455" s="219"/>
      <c r="CJ455" s="20"/>
      <c r="CK455" s="19"/>
      <c r="CL455" s="93"/>
      <c r="CM455" s="93"/>
      <c r="CN455" s="93"/>
      <c r="CO455" s="93"/>
      <c r="CP455" s="20"/>
      <c r="CQ455" s="219"/>
      <c r="CR455" s="93"/>
      <c r="CS455" s="93"/>
      <c r="CT455" s="93"/>
      <c r="CU455" s="93"/>
      <c r="CV455" s="214"/>
      <c r="CW455" s="29"/>
      <c r="CX455" s="41">
        <f t="shared" si="359"/>
        <v>2032</v>
      </c>
      <c r="CY455" s="1504">
        <v>48305</v>
      </c>
      <c r="CZ455" s="19"/>
      <c r="DA455" s="93"/>
      <c r="DB455" s="93"/>
      <c r="DC455" s="93"/>
      <c r="DD455" s="93"/>
      <c r="DE455" s="20"/>
      <c r="DF455" s="29"/>
      <c r="DG455" s="1504">
        <v>48305</v>
      </c>
      <c r="DH455" s="19"/>
      <c r="DI455" s="93"/>
      <c r="DJ455" s="93"/>
      <c r="DK455" s="93"/>
      <c r="DL455" s="93"/>
      <c r="DM455" s="93"/>
      <c r="DN455" s="20"/>
      <c r="DO455" s="295"/>
      <c r="DP455" s="29"/>
      <c r="DQ455" s="1504">
        <v>48305</v>
      </c>
      <c r="DR455" s="19"/>
      <c r="DS455" s="93"/>
      <c r="DT455" s="93"/>
      <c r="DU455" s="93"/>
      <c r="DV455" s="93"/>
      <c r="DW455" s="93"/>
      <c r="DX455" s="20"/>
      <c r="DY455" s="29"/>
      <c r="DZ455" s="1504">
        <v>48305</v>
      </c>
      <c r="EA455" s="19"/>
      <c r="EB455" s="93"/>
      <c r="EC455" s="20"/>
      <c r="ED455" s="29"/>
      <c r="EE455" s="1504">
        <v>48305</v>
      </c>
      <c r="EF455" s="19"/>
      <c r="EG455" s="93"/>
      <c r="EH455" s="93"/>
      <c r="EI455" s="214"/>
      <c r="EJ455" s="93"/>
      <c r="EK455" s="93"/>
      <c r="EL455" s="93"/>
      <c r="EM455" s="93"/>
      <c r="EN455" s="20"/>
      <c r="EO455" s="29"/>
      <c r="EP455" s="1504">
        <v>48305</v>
      </c>
      <c r="EQ455" s="19"/>
      <c r="ER455" s="93"/>
      <c r="ES455" s="93"/>
      <c r="ET455" s="214"/>
      <c r="EU455" s="93"/>
      <c r="EV455" s="93"/>
      <c r="EW455" s="93"/>
      <c r="EX455" s="93"/>
      <c r="EY455" s="20"/>
      <c r="EZ455" s="29"/>
      <c r="FA455" s="1504">
        <v>48305</v>
      </c>
      <c r="FB455" s="29"/>
      <c r="FC455" s="29"/>
      <c r="FD455" s="29"/>
      <c r="FE455" s="29"/>
      <c r="FF455" s="29"/>
      <c r="FG455" s="29"/>
      <c r="FH455" s="29"/>
      <c r="FI455" s="29"/>
      <c r="FJ455" s="29"/>
      <c r="FK455" s="29"/>
      <c r="FL455" s="1504">
        <v>48305</v>
      </c>
      <c r="FM455" s="19"/>
      <c r="FN455" s="93"/>
      <c r="FO455" s="93"/>
      <c r="FP455" s="93"/>
      <c r="FQ455" s="93"/>
      <c r="FR455" s="93"/>
      <c r="FS455" s="93"/>
      <c r="FT455" s="93"/>
      <c r="FU455" s="93"/>
      <c r="FV455" s="93"/>
      <c r="FW455" s="93"/>
      <c r="FX455" s="93"/>
      <c r="FY455" s="93"/>
      <c r="FZ455" s="29"/>
      <c r="GA455" s="1504">
        <v>48305</v>
      </c>
      <c r="GB455" s="19"/>
      <c r="GC455" s="93"/>
      <c r="GD455" s="93"/>
      <c r="GE455" s="93"/>
      <c r="GF455" s="93"/>
      <c r="GG455" s="93"/>
      <c r="GH455" s="93"/>
      <c r="GI455" s="93"/>
      <c r="GJ455" s="93"/>
      <c r="GK455" s="93"/>
      <c r="GL455" s="93"/>
      <c r="GM455" s="93"/>
      <c r="GN455" s="20"/>
      <c r="GO455" s="29"/>
      <c r="GP455" s="1504">
        <v>48305</v>
      </c>
      <c r="GQ455" s="19"/>
      <c r="GR455" s="93"/>
      <c r="GS455" s="93"/>
      <c r="GT455" s="93"/>
      <c r="GU455" s="93"/>
      <c r="GV455" s="20"/>
      <c r="GW455" s="19"/>
      <c r="GX455" s="93"/>
      <c r="GY455" s="93"/>
      <c r="GZ455" s="93"/>
      <c r="HA455" s="93"/>
      <c r="HB455" s="20"/>
      <c r="HC455" s="19"/>
      <c r="HD455" s="93"/>
      <c r="HE455" s="93"/>
      <c r="HF455" s="93"/>
      <c r="HG455" s="93"/>
      <c r="HH455" s="20"/>
      <c r="HI455" s="19"/>
      <c r="HJ455" s="93"/>
      <c r="HK455" s="93"/>
      <c r="HL455" s="93"/>
      <c r="HM455" s="93"/>
      <c r="HN455" s="20"/>
      <c r="HO455" s="219"/>
      <c r="HP455" s="20"/>
      <c r="HQ455" s="25"/>
      <c r="HR455" s="29"/>
      <c r="HS455" s="1504">
        <v>48305</v>
      </c>
      <c r="HT455" s="19"/>
      <c r="HU455" s="93"/>
      <c r="HV455" s="93"/>
      <c r="HW455" s="93"/>
      <c r="HX455" s="93"/>
      <c r="HY455" s="93"/>
      <c r="HZ455" s="93"/>
      <c r="IA455" s="20"/>
      <c r="IB455" s="19"/>
      <c r="IC455" s="93"/>
      <c r="ID455" s="93"/>
      <c r="IE455" s="93"/>
      <c r="IF455" s="93"/>
      <c r="IG455" s="20"/>
      <c r="IH455" s="19"/>
      <c r="II455" s="93"/>
      <c r="IJ455" s="93"/>
      <c r="IK455" s="93"/>
      <c r="IL455" s="93"/>
      <c r="IM455" s="93"/>
      <c r="IN455" s="93"/>
      <c r="IO455" s="20"/>
      <c r="IP455" s="29"/>
      <c r="IQ455" s="19"/>
      <c r="IR455" s="93"/>
      <c r="IS455" s="93"/>
      <c r="IT455" s="93"/>
      <c r="IU455" s="93"/>
      <c r="IV455" s="20"/>
      <c r="IW455" s="29"/>
      <c r="IX455" s="19"/>
      <c r="IY455" s="93"/>
      <c r="IZ455" s="93"/>
      <c r="JA455" s="93"/>
      <c r="JB455" s="93"/>
      <c r="JC455" s="93"/>
      <c r="JD455" s="93"/>
      <c r="JE455" s="20"/>
      <c r="JF455" s="29"/>
      <c r="JG455" s="19"/>
      <c r="JH455" s="93"/>
      <c r="JI455" s="93"/>
      <c r="JJ455" s="93"/>
      <c r="JK455" s="93"/>
      <c r="JL455" s="93"/>
      <c r="JM455" s="93"/>
      <c r="JN455" s="20"/>
      <c r="JO455" s="29"/>
      <c r="JP455" s="19"/>
      <c r="JQ455" s="93"/>
      <c r="JR455" s="93"/>
      <c r="JS455" s="93"/>
      <c r="JT455" s="93"/>
      <c r="JU455" s="20"/>
      <c r="JV455" s="29"/>
      <c r="JW455" s="1504">
        <v>48305</v>
      </c>
      <c r="JX455" s="19"/>
      <c r="JY455" s="93"/>
      <c r="JZ455" s="93"/>
      <c r="KA455" s="93"/>
      <c r="KB455" s="93"/>
      <c r="KC455" s="93"/>
      <c r="KD455" s="20"/>
      <c r="KE455" s="29"/>
      <c r="KF455" s="19"/>
      <c r="KG455" s="93"/>
      <c r="KH455" s="93"/>
      <c r="KI455" s="93"/>
      <c r="KJ455" s="93"/>
      <c r="KK455" s="20"/>
      <c r="KL455" s="29"/>
      <c r="KM455" s="19"/>
      <c r="KN455" s="93"/>
      <c r="KO455" s="93"/>
      <c r="KP455" s="93"/>
      <c r="KQ455" s="93"/>
      <c r="KR455" s="20"/>
      <c r="KS455" s="29"/>
      <c r="KT455" s="19"/>
      <c r="KU455" s="93"/>
      <c r="KV455" s="93"/>
      <c r="KW455" s="93"/>
      <c r="KX455" s="93"/>
      <c r="KY455" s="20"/>
      <c r="KZ455" s="29"/>
      <c r="LA455" s="1504">
        <v>48305</v>
      </c>
      <c r="LB455" s="19"/>
      <c r="LC455" s="93"/>
      <c r="LD455" s="93"/>
      <c r="LE455" s="93"/>
      <c r="LF455" s="93"/>
      <c r="LG455" s="93"/>
      <c r="LH455" s="20"/>
      <c r="LI455" s="29"/>
      <c r="LJ455" s="19"/>
      <c r="LK455" s="93"/>
      <c r="LL455" s="93"/>
      <c r="LM455" s="93"/>
      <c r="LN455" s="93"/>
      <c r="LO455" s="20"/>
      <c r="LP455" s="29"/>
      <c r="LQ455" s="19"/>
      <c r="LR455" s="93"/>
      <c r="LS455" s="93"/>
      <c r="LT455" s="93"/>
      <c r="LU455" s="93"/>
      <c r="LV455" s="93"/>
      <c r="LW455" s="93"/>
      <c r="LX455" s="93"/>
      <c r="LY455" s="93"/>
      <c r="LZ455" s="93"/>
      <c r="MA455" s="20"/>
      <c r="MB455" s="29"/>
      <c r="MC455" s="1504">
        <v>48305</v>
      </c>
      <c r="MD455" s="19"/>
      <c r="ME455" s="93"/>
      <c r="MF455" s="93"/>
      <c r="MG455" s="93"/>
      <c r="MH455" s="93"/>
      <c r="MI455" s="93"/>
      <c r="MJ455" s="93"/>
      <c r="MK455" s="93"/>
      <c r="ML455" s="93"/>
      <c r="MM455" s="93"/>
      <c r="MN455" s="93"/>
      <c r="MO455" s="93"/>
      <c r="MP455" s="93"/>
      <c r="MQ455" s="93"/>
      <c r="MR455" s="93"/>
      <c r="MS455" s="93"/>
      <c r="MT455" s="93"/>
      <c r="MU455" s="93"/>
      <c r="MV455" s="93"/>
      <c r="MW455" s="93"/>
      <c r="MX455" s="93"/>
      <c r="MY455" s="93"/>
      <c r="MZ455" s="93"/>
      <c r="NA455" s="93"/>
      <c r="NB455" s="93"/>
      <c r="NC455" s="93"/>
      <c r="ND455" s="93"/>
      <c r="NE455" s="93"/>
      <c r="NF455" s="93"/>
      <c r="NG455" s="93"/>
      <c r="NH455" s="93"/>
      <c r="NI455" s="93"/>
      <c r="NJ455" s="93"/>
      <c r="NK455" s="93"/>
      <c r="NL455" s="93"/>
      <c r="NM455" s="93"/>
      <c r="NN455" s="93"/>
      <c r="NO455" s="93"/>
      <c r="NP455" s="93"/>
      <c r="NQ455" s="93"/>
      <c r="NR455" s="93"/>
      <c r="NS455" s="93"/>
      <c r="NT455" s="93"/>
      <c r="NU455" s="93"/>
      <c r="NV455" s="93"/>
      <c r="NW455" s="93"/>
      <c r="NX455" s="93"/>
      <c r="NY455" s="93"/>
      <c r="NZ455" s="93"/>
      <c r="OA455" s="93"/>
      <c r="OB455" s="93"/>
      <c r="OC455" s="93"/>
      <c r="OD455" s="20"/>
      <c r="OE455" s="29"/>
      <c r="OF455" s="1504">
        <v>48305</v>
      </c>
      <c r="OG455" s="19"/>
      <c r="OH455" s="93"/>
      <c r="OI455" s="93"/>
      <c r="OJ455" s="93"/>
      <c r="OK455" s="93"/>
      <c r="OL455" s="93"/>
      <c r="OM455" s="93"/>
      <c r="ON455" s="93"/>
      <c r="OO455" s="93"/>
      <c r="OP455" s="93"/>
      <c r="OQ455" s="93"/>
      <c r="OR455" s="93"/>
      <c r="OS455" s="93"/>
      <c r="OT455" s="93"/>
      <c r="OU455" s="93"/>
      <c r="OV455" s="93"/>
      <c r="OW455" s="93"/>
      <c r="OX455" s="93"/>
      <c r="OY455" s="93"/>
      <c r="OZ455" s="93"/>
      <c r="PA455" s="93"/>
      <c r="PB455" s="93"/>
      <c r="PC455" s="20"/>
      <c r="PD455" s="29"/>
      <c r="PE455" s="19"/>
      <c r="PF455" s="93"/>
      <c r="PG455" s="93"/>
      <c r="PH455" s="93"/>
      <c r="PI455" s="93"/>
      <c r="PJ455" s="93"/>
      <c r="PK455" s="93"/>
      <c r="PL455" s="93"/>
      <c r="PM455" s="93"/>
      <c r="PN455" s="93"/>
      <c r="PO455" s="93"/>
      <c r="PP455" s="93"/>
      <c r="PQ455" s="93"/>
      <c r="PR455" s="93"/>
      <c r="PS455" s="93"/>
      <c r="PT455" s="93"/>
      <c r="PU455" s="93"/>
      <c r="PV455" s="93"/>
      <c r="PW455" s="93"/>
      <c r="PX455" s="93"/>
      <c r="PY455" s="93"/>
      <c r="PZ455" s="93"/>
      <c r="QA455" s="93"/>
      <c r="QB455" s="93"/>
      <c r="QC455" s="93"/>
      <c r="QD455" s="93"/>
      <c r="QE455" s="20"/>
      <c r="QF455" s="1739"/>
      <c r="QG455" s="19"/>
      <c r="QH455" s="93"/>
      <c r="QI455" s="93"/>
      <c r="QJ455" s="93"/>
      <c r="QK455" s="93"/>
      <c r="QL455" s="93"/>
      <c r="QM455" s="93"/>
      <c r="QN455" s="93"/>
      <c r="QO455" s="93"/>
      <c r="QP455" s="93"/>
      <c r="QQ455" s="93"/>
      <c r="QR455" s="93"/>
      <c r="QS455" s="93"/>
      <c r="QT455" s="93"/>
      <c r="QU455" s="93"/>
      <c r="QV455" s="93"/>
      <c r="QW455" s="93"/>
      <c r="QX455" s="93"/>
      <c r="QY455" s="93"/>
      <c r="QZ455" s="93"/>
      <c r="RA455" s="93"/>
      <c r="RB455" s="93"/>
      <c r="RC455" s="93"/>
      <c r="RD455" s="93"/>
      <c r="RE455" s="93"/>
      <c r="RF455" s="93"/>
      <c r="RG455" s="93"/>
      <c r="RH455" s="93"/>
      <c r="RI455" s="93"/>
      <c r="RJ455" s="93"/>
      <c r="RK455" s="93"/>
      <c r="RL455" s="93"/>
      <c r="RM455" s="20"/>
      <c r="RN455" s="29"/>
      <c r="RO455" s="19"/>
      <c r="RP455" s="20"/>
      <c r="RQ455" s="29"/>
      <c r="RR455" s="20"/>
      <c r="RS455" s="29"/>
      <c r="RT455" s="1504">
        <v>48305</v>
      </c>
      <c r="RU455" s="19"/>
      <c r="RV455" s="20"/>
      <c r="RW455" s="29"/>
      <c r="RX455" s="1504">
        <v>48305</v>
      </c>
      <c r="RY455" s="29"/>
      <c r="RZ455" s="20"/>
      <c r="SA455" s="29"/>
      <c r="SB455" s="29"/>
    </row>
    <row r="456" spans="1:496">
      <c r="A456" s="41">
        <f t="shared" si="358"/>
        <v>2032</v>
      </c>
      <c r="B456" s="1504">
        <v>48335</v>
      </c>
      <c r="C456" s="1813"/>
      <c r="D456" s="1814"/>
      <c r="E456" s="1814"/>
      <c r="F456" s="1815"/>
      <c r="G456" s="1814"/>
      <c r="H456" s="1814"/>
      <c r="I456" s="1814"/>
      <c r="J456" s="1816"/>
      <c r="K456" s="1807"/>
      <c r="L456" s="25"/>
      <c r="M456" s="97"/>
      <c r="N456" s="1504">
        <v>48335</v>
      </c>
      <c r="O456" s="19"/>
      <c r="P456" s="93"/>
      <c r="Q456" s="93"/>
      <c r="R456" s="93"/>
      <c r="S456" s="93"/>
      <c r="T456" s="93"/>
      <c r="U456" s="93"/>
      <c r="V456" s="93"/>
      <c r="W456" s="93"/>
      <c r="X456" s="93"/>
      <c r="Y456" s="93"/>
      <c r="Z456" s="93"/>
      <c r="AA456" s="93"/>
      <c r="AB456" s="20"/>
      <c r="AC456" s="25"/>
      <c r="AD456" s="97"/>
      <c r="AE456" s="1504">
        <v>48335</v>
      </c>
      <c r="AF456" s="19"/>
      <c r="AG456" s="93"/>
      <c r="AH456" s="93"/>
      <c r="AI456" s="93"/>
      <c r="AJ456" s="93"/>
      <c r="AK456" s="93"/>
      <c r="AL456" s="93"/>
      <c r="AM456" s="93"/>
      <c r="AN456" s="93"/>
      <c r="AO456" s="93"/>
      <c r="AP456" s="93"/>
      <c r="AQ456" s="93"/>
      <c r="AR456" s="93"/>
      <c r="AS456" s="20"/>
      <c r="AT456" s="25"/>
      <c r="AU456" s="97"/>
      <c r="AV456" s="1504">
        <v>48335</v>
      </c>
      <c r="AW456" s="19"/>
      <c r="AX456" s="93"/>
      <c r="AY456" s="93"/>
      <c r="AZ456" s="93"/>
      <c r="BA456" s="93"/>
      <c r="BB456" s="93"/>
      <c r="BC456" s="93"/>
      <c r="BD456" s="93"/>
      <c r="BE456" s="93"/>
      <c r="BF456" s="93"/>
      <c r="BG456" s="93"/>
      <c r="BH456" s="93"/>
      <c r="BI456" s="93"/>
      <c r="BJ456" s="20"/>
      <c r="BK456" s="25"/>
      <c r="BL456" s="97"/>
      <c r="BM456" s="1504">
        <v>48335</v>
      </c>
      <c r="BN456" s="19"/>
      <c r="BO456" s="93"/>
      <c r="BP456" s="93"/>
      <c r="BQ456" s="93"/>
      <c r="BR456" s="93"/>
      <c r="BS456" s="93"/>
      <c r="BT456" s="93"/>
      <c r="BU456" s="20"/>
      <c r="BV456" s="25"/>
      <c r="BW456" s="97"/>
      <c r="BX456" s="1504">
        <v>48335</v>
      </c>
      <c r="BY456" s="19"/>
      <c r="BZ456" s="93"/>
      <c r="CA456" s="93"/>
      <c r="CB456" s="93"/>
      <c r="CC456" s="93"/>
      <c r="CD456" s="25"/>
      <c r="CE456" s="97"/>
      <c r="CF456" s="1504">
        <v>48335</v>
      </c>
      <c r="CG456" s="19"/>
      <c r="CH456" s="93"/>
      <c r="CI456" s="219"/>
      <c r="CJ456" s="20"/>
      <c r="CK456" s="19"/>
      <c r="CL456" s="93"/>
      <c r="CM456" s="93"/>
      <c r="CN456" s="93"/>
      <c r="CO456" s="93"/>
      <c r="CP456" s="20"/>
      <c r="CQ456" s="219"/>
      <c r="CR456" s="93"/>
      <c r="CS456" s="93"/>
      <c r="CT456" s="93"/>
      <c r="CU456" s="93"/>
      <c r="CV456" s="214"/>
      <c r="CW456" s="29"/>
      <c r="CX456" s="41">
        <f t="shared" si="359"/>
        <v>2032</v>
      </c>
      <c r="CY456" s="1504">
        <v>48335</v>
      </c>
      <c r="CZ456" s="19"/>
      <c r="DA456" s="93"/>
      <c r="DB456" s="93"/>
      <c r="DC456" s="93"/>
      <c r="DD456" s="93"/>
      <c r="DE456" s="20"/>
      <c r="DF456" s="29"/>
      <c r="DG456" s="1504">
        <v>48335</v>
      </c>
      <c r="DH456" s="19"/>
      <c r="DI456" s="93"/>
      <c r="DJ456" s="93"/>
      <c r="DK456" s="93"/>
      <c r="DL456" s="93"/>
      <c r="DM456" s="93"/>
      <c r="DN456" s="20"/>
      <c r="DO456" s="295"/>
      <c r="DP456" s="29"/>
      <c r="DQ456" s="1504">
        <v>48335</v>
      </c>
      <c r="DR456" s="19"/>
      <c r="DS456" s="93"/>
      <c r="DT456" s="93"/>
      <c r="DU456" s="93"/>
      <c r="DV456" s="93"/>
      <c r="DW456" s="93"/>
      <c r="DX456" s="20"/>
      <c r="DY456" s="29"/>
      <c r="DZ456" s="1504">
        <v>48335</v>
      </c>
      <c r="EA456" s="19"/>
      <c r="EB456" s="93"/>
      <c r="EC456" s="20"/>
      <c r="ED456" s="29"/>
      <c r="EE456" s="1504">
        <v>48335</v>
      </c>
      <c r="EF456" s="19"/>
      <c r="EG456" s="93"/>
      <c r="EH456" s="93"/>
      <c r="EI456" s="214"/>
      <c r="EJ456" s="93"/>
      <c r="EK456" s="93"/>
      <c r="EL456" s="93"/>
      <c r="EM456" s="93"/>
      <c r="EN456" s="20"/>
      <c r="EO456" s="29"/>
      <c r="EP456" s="1504">
        <v>48335</v>
      </c>
      <c r="EQ456" s="19"/>
      <c r="ER456" s="93"/>
      <c r="ES456" s="93"/>
      <c r="ET456" s="214"/>
      <c r="EU456" s="93"/>
      <c r="EV456" s="93"/>
      <c r="EW456" s="93"/>
      <c r="EX456" s="93"/>
      <c r="EY456" s="20"/>
      <c r="EZ456" s="29"/>
      <c r="FA456" s="1504">
        <v>48335</v>
      </c>
      <c r="FB456" s="29"/>
      <c r="FC456" s="29"/>
      <c r="FD456" s="29"/>
      <c r="FE456" s="29"/>
      <c r="FF456" s="29"/>
      <c r="FG456" s="29"/>
      <c r="FH456" s="29"/>
      <c r="FI456" s="29"/>
      <c r="FJ456" s="29"/>
      <c r="FK456" s="29"/>
      <c r="FL456" s="1504">
        <v>48335</v>
      </c>
      <c r="FM456" s="19"/>
      <c r="FN456" s="93"/>
      <c r="FO456" s="93"/>
      <c r="FP456" s="93"/>
      <c r="FQ456" s="93"/>
      <c r="FR456" s="93"/>
      <c r="FS456" s="93"/>
      <c r="FT456" s="93"/>
      <c r="FU456" s="93"/>
      <c r="FV456" s="93"/>
      <c r="FW456" s="93"/>
      <c r="FX456" s="93"/>
      <c r="FY456" s="93"/>
      <c r="FZ456" s="29"/>
      <c r="GA456" s="1504">
        <v>48335</v>
      </c>
      <c r="GB456" s="19"/>
      <c r="GC456" s="93"/>
      <c r="GD456" s="93"/>
      <c r="GE456" s="93"/>
      <c r="GF456" s="93"/>
      <c r="GG456" s="93"/>
      <c r="GH456" s="93"/>
      <c r="GI456" s="93"/>
      <c r="GJ456" s="93"/>
      <c r="GK456" s="93"/>
      <c r="GL456" s="93"/>
      <c r="GM456" s="93"/>
      <c r="GN456" s="20"/>
      <c r="GO456" s="29"/>
      <c r="GP456" s="1504">
        <v>48335</v>
      </c>
      <c r="GQ456" s="19"/>
      <c r="GR456" s="93"/>
      <c r="GS456" s="93"/>
      <c r="GT456" s="93"/>
      <c r="GU456" s="93"/>
      <c r="GV456" s="20"/>
      <c r="GW456" s="19"/>
      <c r="GX456" s="93"/>
      <c r="GY456" s="93"/>
      <c r="GZ456" s="93"/>
      <c r="HA456" s="93"/>
      <c r="HB456" s="20"/>
      <c r="HC456" s="19"/>
      <c r="HD456" s="93"/>
      <c r="HE456" s="93"/>
      <c r="HF456" s="93"/>
      <c r="HG456" s="93"/>
      <c r="HH456" s="20"/>
      <c r="HI456" s="19"/>
      <c r="HJ456" s="93"/>
      <c r="HK456" s="93"/>
      <c r="HL456" s="93"/>
      <c r="HM456" s="93"/>
      <c r="HN456" s="20"/>
      <c r="HO456" s="219"/>
      <c r="HP456" s="20"/>
      <c r="HQ456" s="25"/>
      <c r="HR456" s="29"/>
      <c r="HS456" s="1504">
        <v>48335</v>
      </c>
      <c r="HT456" s="19"/>
      <c r="HU456" s="93"/>
      <c r="HV456" s="93"/>
      <c r="HW456" s="93"/>
      <c r="HX456" s="93"/>
      <c r="HY456" s="93"/>
      <c r="HZ456" s="93"/>
      <c r="IA456" s="20"/>
      <c r="IB456" s="19"/>
      <c r="IC456" s="93"/>
      <c r="ID456" s="93"/>
      <c r="IE456" s="93"/>
      <c r="IF456" s="93"/>
      <c r="IG456" s="20"/>
      <c r="IH456" s="19"/>
      <c r="II456" s="93"/>
      <c r="IJ456" s="93"/>
      <c r="IK456" s="93"/>
      <c r="IL456" s="93"/>
      <c r="IM456" s="93"/>
      <c r="IN456" s="93"/>
      <c r="IO456" s="20"/>
      <c r="IP456" s="29"/>
      <c r="IQ456" s="19"/>
      <c r="IR456" s="93"/>
      <c r="IS456" s="93"/>
      <c r="IT456" s="93"/>
      <c r="IU456" s="93"/>
      <c r="IV456" s="20"/>
      <c r="IW456" s="29"/>
      <c r="IX456" s="19"/>
      <c r="IY456" s="93"/>
      <c r="IZ456" s="93"/>
      <c r="JA456" s="93"/>
      <c r="JB456" s="93"/>
      <c r="JC456" s="93"/>
      <c r="JD456" s="93"/>
      <c r="JE456" s="20"/>
      <c r="JF456" s="29"/>
      <c r="JG456" s="19"/>
      <c r="JH456" s="93"/>
      <c r="JI456" s="93"/>
      <c r="JJ456" s="93"/>
      <c r="JK456" s="93"/>
      <c r="JL456" s="93"/>
      <c r="JM456" s="93"/>
      <c r="JN456" s="20"/>
      <c r="JO456" s="29"/>
      <c r="JP456" s="19"/>
      <c r="JQ456" s="93"/>
      <c r="JR456" s="93"/>
      <c r="JS456" s="93"/>
      <c r="JT456" s="93"/>
      <c r="JU456" s="20"/>
      <c r="JV456" s="29"/>
      <c r="JW456" s="1504">
        <v>48335</v>
      </c>
      <c r="JX456" s="19"/>
      <c r="JY456" s="93"/>
      <c r="JZ456" s="93"/>
      <c r="KA456" s="93"/>
      <c r="KB456" s="93"/>
      <c r="KC456" s="93"/>
      <c r="KD456" s="20"/>
      <c r="KE456" s="29"/>
      <c r="KF456" s="19"/>
      <c r="KG456" s="93"/>
      <c r="KH456" s="93"/>
      <c r="KI456" s="93"/>
      <c r="KJ456" s="93"/>
      <c r="KK456" s="20"/>
      <c r="KL456" s="29"/>
      <c r="KM456" s="19"/>
      <c r="KN456" s="93"/>
      <c r="KO456" s="93"/>
      <c r="KP456" s="93"/>
      <c r="KQ456" s="93"/>
      <c r="KR456" s="20"/>
      <c r="KS456" s="29"/>
      <c r="KT456" s="19"/>
      <c r="KU456" s="93"/>
      <c r="KV456" s="93"/>
      <c r="KW456" s="93"/>
      <c r="KX456" s="93"/>
      <c r="KY456" s="20"/>
      <c r="KZ456" s="29"/>
      <c r="LA456" s="1504">
        <v>48335</v>
      </c>
      <c r="LB456" s="19"/>
      <c r="LC456" s="93"/>
      <c r="LD456" s="93"/>
      <c r="LE456" s="93"/>
      <c r="LF456" s="93"/>
      <c r="LG456" s="93"/>
      <c r="LH456" s="20"/>
      <c r="LI456" s="29"/>
      <c r="LJ456" s="19"/>
      <c r="LK456" s="93"/>
      <c r="LL456" s="93"/>
      <c r="LM456" s="93"/>
      <c r="LN456" s="93"/>
      <c r="LO456" s="20"/>
      <c r="LP456" s="29"/>
      <c r="LQ456" s="19"/>
      <c r="LR456" s="93"/>
      <c r="LS456" s="93"/>
      <c r="LT456" s="93"/>
      <c r="LU456" s="93"/>
      <c r="LV456" s="93"/>
      <c r="LW456" s="93"/>
      <c r="LX456" s="93"/>
      <c r="LY456" s="93"/>
      <c r="LZ456" s="93"/>
      <c r="MA456" s="20"/>
      <c r="MB456" s="29"/>
      <c r="MC456" s="1504">
        <v>48335</v>
      </c>
      <c r="MD456" s="19"/>
      <c r="ME456" s="93"/>
      <c r="MF456" s="93"/>
      <c r="MG456" s="93"/>
      <c r="MH456" s="93"/>
      <c r="MI456" s="93"/>
      <c r="MJ456" s="93"/>
      <c r="MK456" s="93"/>
      <c r="ML456" s="93"/>
      <c r="MM456" s="93"/>
      <c r="MN456" s="93"/>
      <c r="MO456" s="93"/>
      <c r="MP456" s="93"/>
      <c r="MQ456" s="93"/>
      <c r="MR456" s="93"/>
      <c r="MS456" s="93"/>
      <c r="MT456" s="93"/>
      <c r="MU456" s="93"/>
      <c r="MV456" s="93"/>
      <c r="MW456" s="93"/>
      <c r="MX456" s="93"/>
      <c r="MY456" s="93"/>
      <c r="MZ456" s="93"/>
      <c r="NA456" s="93"/>
      <c r="NB456" s="93"/>
      <c r="NC456" s="93"/>
      <c r="ND456" s="93"/>
      <c r="NE456" s="93"/>
      <c r="NF456" s="93"/>
      <c r="NG456" s="93"/>
      <c r="NH456" s="93"/>
      <c r="NI456" s="93"/>
      <c r="NJ456" s="93"/>
      <c r="NK456" s="93"/>
      <c r="NL456" s="93"/>
      <c r="NM456" s="93"/>
      <c r="NN456" s="93"/>
      <c r="NO456" s="93"/>
      <c r="NP456" s="93"/>
      <c r="NQ456" s="93"/>
      <c r="NR456" s="93"/>
      <c r="NS456" s="93"/>
      <c r="NT456" s="93"/>
      <c r="NU456" s="93"/>
      <c r="NV456" s="93"/>
      <c r="NW456" s="93"/>
      <c r="NX456" s="93"/>
      <c r="NY456" s="93"/>
      <c r="NZ456" s="93"/>
      <c r="OA456" s="93"/>
      <c r="OB456" s="93"/>
      <c r="OC456" s="93"/>
      <c r="OD456" s="20"/>
      <c r="OE456" s="29"/>
      <c r="OF456" s="1504">
        <v>48335</v>
      </c>
      <c r="OG456" s="19"/>
      <c r="OH456" s="93"/>
      <c r="OI456" s="93"/>
      <c r="OJ456" s="93"/>
      <c r="OK456" s="93"/>
      <c r="OL456" s="93"/>
      <c r="OM456" s="93"/>
      <c r="ON456" s="93"/>
      <c r="OO456" s="93"/>
      <c r="OP456" s="93"/>
      <c r="OQ456" s="93"/>
      <c r="OR456" s="93"/>
      <c r="OS456" s="93"/>
      <c r="OT456" s="93"/>
      <c r="OU456" s="93"/>
      <c r="OV456" s="93"/>
      <c r="OW456" s="93"/>
      <c r="OX456" s="93"/>
      <c r="OY456" s="93"/>
      <c r="OZ456" s="93"/>
      <c r="PA456" s="93"/>
      <c r="PB456" s="93"/>
      <c r="PC456" s="20"/>
      <c r="PD456" s="29"/>
      <c r="PE456" s="19"/>
      <c r="PF456" s="93"/>
      <c r="PG456" s="93"/>
      <c r="PH456" s="93"/>
      <c r="PI456" s="93"/>
      <c r="PJ456" s="93"/>
      <c r="PK456" s="93"/>
      <c r="PL456" s="93"/>
      <c r="PM456" s="93"/>
      <c r="PN456" s="93"/>
      <c r="PO456" s="93"/>
      <c r="PP456" s="93"/>
      <c r="PQ456" s="93"/>
      <c r="PR456" s="93"/>
      <c r="PS456" s="93"/>
      <c r="PT456" s="93"/>
      <c r="PU456" s="93"/>
      <c r="PV456" s="93"/>
      <c r="PW456" s="93"/>
      <c r="PX456" s="93"/>
      <c r="PY456" s="93"/>
      <c r="PZ456" s="93"/>
      <c r="QA456" s="93"/>
      <c r="QB456" s="93"/>
      <c r="QC456" s="93"/>
      <c r="QD456" s="93"/>
      <c r="QE456" s="20"/>
      <c r="QF456" s="1739"/>
      <c r="QG456" s="19"/>
      <c r="QH456" s="93"/>
      <c r="QI456" s="93"/>
      <c r="QJ456" s="93"/>
      <c r="QK456" s="93"/>
      <c r="QL456" s="93"/>
      <c r="QM456" s="93"/>
      <c r="QN456" s="93"/>
      <c r="QO456" s="93"/>
      <c r="QP456" s="93"/>
      <c r="QQ456" s="93"/>
      <c r="QR456" s="93"/>
      <c r="QS456" s="93"/>
      <c r="QT456" s="93"/>
      <c r="QU456" s="93"/>
      <c r="QV456" s="93"/>
      <c r="QW456" s="93"/>
      <c r="QX456" s="93"/>
      <c r="QY456" s="93"/>
      <c r="QZ456" s="93"/>
      <c r="RA456" s="93"/>
      <c r="RB456" s="93"/>
      <c r="RC456" s="93"/>
      <c r="RD456" s="93"/>
      <c r="RE456" s="93"/>
      <c r="RF456" s="93"/>
      <c r="RG456" s="93"/>
      <c r="RH456" s="93"/>
      <c r="RI456" s="93"/>
      <c r="RJ456" s="93"/>
      <c r="RK456" s="93"/>
      <c r="RL456" s="93"/>
      <c r="RM456" s="20"/>
      <c r="RN456" s="29"/>
      <c r="RO456" s="19"/>
      <c r="RP456" s="20"/>
      <c r="RQ456" s="29"/>
      <c r="RR456" s="20"/>
      <c r="RS456" s="29"/>
      <c r="RT456" s="1504">
        <v>48335</v>
      </c>
      <c r="RU456" s="19"/>
      <c r="RV456" s="20"/>
      <c r="RW456" s="29"/>
      <c r="RX456" s="1504">
        <v>48335</v>
      </c>
      <c r="RY456" s="29"/>
      <c r="RZ456" s="20"/>
      <c r="SA456" s="29"/>
      <c r="SB456" s="29"/>
    </row>
    <row r="457" spans="1:496">
      <c r="A457" s="41">
        <f t="shared" si="358"/>
        <v>2032</v>
      </c>
      <c r="B457" s="1504">
        <v>48366</v>
      </c>
      <c r="C457" s="1813"/>
      <c r="D457" s="1814"/>
      <c r="E457" s="1814"/>
      <c r="F457" s="1815"/>
      <c r="G457" s="1814"/>
      <c r="H457" s="1814"/>
      <c r="I457" s="1814"/>
      <c r="J457" s="1816"/>
      <c r="K457" s="1807"/>
      <c r="L457" s="25"/>
      <c r="M457" s="97"/>
      <c r="N457" s="1504">
        <v>48366</v>
      </c>
      <c r="O457" s="19"/>
      <c r="P457" s="93"/>
      <c r="Q457" s="93"/>
      <c r="R457" s="93"/>
      <c r="S457" s="93"/>
      <c r="T457" s="93"/>
      <c r="U457" s="93"/>
      <c r="V457" s="93"/>
      <c r="W457" s="93"/>
      <c r="X457" s="93"/>
      <c r="Y457" s="93"/>
      <c r="Z457" s="93"/>
      <c r="AA457" s="93"/>
      <c r="AB457" s="20"/>
      <c r="AC457" s="25"/>
      <c r="AD457" s="97"/>
      <c r="AE457" s="1504">
        <v>48366</v>
      </c>
      <c r="AF457" s="19"/>
      <c r="AG457" s="93"/>
      <c r="AH457" s="93"/>
      <c r="AI457" s="93"/>
      <c r="AJ457" s="93"/>
      <c r="AK457" s="93"/>
      <c r="AL457" s="93"/>
      <c r="AM457" s="93"/>
      <c r="AN457" s="93"/>
      <c r="AO457" s="93"/>
      <c r="AP457" s="93"/>
      <c r="AQ457" s="93"/>
      <c r="AR457" s="93"/>
      <c r="AS457" s="20"/>
      <c r="AT457" s="25"/>
      <c r="AU457" s="97"/>
      <c r="AV457" s="1504">
        <v>48366</v>
      </c>
      <c r="AW457" s="19"/>
      <c r="AX457" s="93"/>
      <c r="AY457" s="93"/>
      <c r="AZ457" s="93"/>
      <c r="BA457" s="93"/>
      <c r="BB457" s="93"/>
      <c r="BC457" s="93"/>
      <c r="BD457" s="93"/>
      <c r="BE457" s="93"/>
      <c r="BF457" s="93"/>
      <c r="BG457" s="93"/>
      <c r="BH457" s="93"/>
      <c r="BI457" s="93"/>
      <c r="BJ457" s="20"/>
      <c r="BK457" s="25"/>
      <c r="BL457" s="97"/>
      <c r="BM457" s="1504">
        <v>48366</v>
      </c>
      <c r="BN457" s="19"/>
      <c r="BO457" s="93"/>
      <c r="BP457" s="93"/>
      <c r="BQ457" s="93"/>
      <c r="BR457" s="93"/>
      <c r="BS457" s="93"/>
      <c r="BT457" s="93"/>
      <c r="BU457" s="20"/>
      <c r="BV457" s="25"/>
      <c r="BW457" s="97"/>
      <c r="BX457" s="1504">
        <v>48366</v>
      </c>
      <c r="BY457" s="19"/>
      <c r="BZ457" s="93"/>
      <c r="CA457" s="93"/>
      <c r="CB457" s="93"/>
      <c r="CC457" s="93"/>
      <c r="CD457" s="25"/>
      <c r="CE457" s="97"/>
      <c r="CF457" s="1504">
        <v>48366</v>
      </c>
      <c r="CG457" s="19"/>
      <c r="CH457" s="93"/>
      <c r="CI457" s="219"/>
      <c r="CJ457" s="20"/>
      <c r="CK457" s="19"/>
      <c r="CL457" s="93"/>
      <c r="CM457" s="93"/>
      <c r="CN457" s="93"/>
      <c r="CO457" s="93"/>
      <c r="CP457" s="20"/>
      <c r="CQ457" s="219"/>
      <c r="CR457" s="93"/>
      <c r="CS457" s="93"/>
      <c r="CT457" s="93"/>
      <c r="CU457" s="93"/>
      <c r="CV457" s="214"/>
      <c r="CW457" s="29"/>
      <c r="CX457" s="41">
        <f t="shared" si="359"/>
        <v>2032</v>
      </c>
      <c r="CY457" s="1504">
        <v>48366</v>
      </c>
      <c r="CZ457" s="19"/>
      <c r="DA457" s="93"/>
      <c r="DB457" s="93"/>
      <c r="DC457" s="93"/>
      <c r="DD457" s="93"/>
      <c r="DE457" s="20"/>
      <c r="DF457" s="29"/>
      <c r="DG457" s="1504">
        <v>48366</v>
      </c>
      <c r="DH457" s="19"/>
      <c r="DI457" s="93"/>
      <c r="DJ457" s="93"/>
      <c r="DK457" s="93"/>
      <c r="DL457" s="93"/>
      <c r="DM457" s="93"/>
      <c r="DN457" s="20"/>
      <c r="DO457" s="295"/>
      <c r="DP457" s="29"/>
      <c r="DQ457" s="1504">
        <v>48366</v>
      </c>
      <c r="DR457" s="19"/>
      <c r="DS457" s="93"/>
      <c r="DT457" s="93"/>
      <c r="DU457" s="93"/>
      <c r="DV457" s="93"/>
      <c r="DW457" s="93"/>
      <c r="DX457" s="20"/>
      <c r="DY457" s="29"/>
      <c r="DZ457" s="1504">
        <v>48366</v>
      </c>
      <c r="EA457" s="19"/>
      <c r="EB457" s="93"/>
      <c r="EC457" s="20"/>
      <c r="ED457" s="29"/>
      <c r="EE457" s="1504">
        <v>48366</v>
      </c>
      <c r="EF457" s="19"/>
      <c r="EG457" s="93"/>
      <c r="EH457" s="93"/>
      <c r="EI457" s="214"/>
      <c r="EJ457" s="93"/>
      <c r="EK457" s="93"/>
      <c r="EL457" s="93"/>
      <c r="EM457" s="93"/>
      <c r="EN457" s="20"/>
      <c r="EO457" s="29"/>
      <c r="EP457" s="1504">
        <v>48366</v>
      </c>
      <c r="EQ457" s="19"/>
      <c r="ER457" s="93"/>
      <c r="ES457" s="93"/>
      <c r="ET457" s="214"/>
      <c r="EU457" s="93"/>
      <c r="EV457" s="93"/>
      <c r="EW457" s="93"/>
      <c r="EX457" s="93"/>
      <c r="EY457" s="20"/>
      <c r="EZ457" s="29"/>
      <c r="FA457" s="1504">
        <v>48366</v>
      </c>
      <c r="FB457" s="29"/>
      <c r="FC457" s="29"/>
      <c r="FD457" s="29"/>
      <c r="FE457" s="29"/>
      <c r="FF457" s="29"/>
      <c r="FG457" s="29"/>
      <c r="FH457" s="29"/>
      <c r="FI457" s="29"/>
      <c r="FJ457" s="29"/>
      <c r="FK457" s="29"/>
      <c r="FL457" s="1504">
        <v>48366</v>
      </c>
      <c r="FM457" s="19"/>
      <c r="FN457" s="93"/>
      <c r="FO457" s="93"/>
      <c r="FP457" s="93"/>
      <c r="FQ457" s="93"/>
      <c r="FR457" s="93"/>
      <c r="FS457" s="93"/>
      <c r="FT457" s="93"/>
      <c r="FU457" s="93"/>
      <c r="FV457" s="93"/>
      <c r="FW457" s="93"/>
      <c r="FX457" s="93"/>
      <c r="FY457" s="93"/>
      <c r="FZ457" s="29"/>
      <c r="GA457" s="1504">
        <v>48366</v>
      </c>
      <c r="GB457" s="19"/>
      <c r="GC457" s="93"/>
      <c r="GD457" s="93"/>
      <c r="GE457" s="93"/>
      <c r="GF457" s="93"/>
      <c r="GG457" s="93"/>
      <c r="GH457" s="93"/>
      <c r="GI457" s="93"/>
      <c r="GJ457" s="93"/>
      <c r="GK457" s="93"/>
      <c r="GL457" s="93"/>
      <c r="GM457" s="93"/>
      <c r="GN457" s="20"/>
      <c r="GO457" s="29"/>
      <c r="GP457" s="1504">
        <v>48366</v>
      </c>
      <c r="GQ457" s="19"/>
      <c r="GR457" s="93"/>
      <c r="GS457" s="93"/>
      <c r="GT457" s="93"/>
      <c r="GU457" s="93"/>
      <c r="GV457" s="20"/>
      <c r="GW457" s="19"/>
      <c r="GX457" s="93"/>
      <c r="GY457" s="93"/>
      <c r="GZ457" s="93"/>
      <c r="HA457" s="93"/>
      <c r="HB457" s="20"/>
      <c r="HC457" s="19"/>
      <c r="HD457" s="93"/>
      <c r="HE457" s="93"/>
      <c r="HF457" s="93"/>
      <c r="HG457" s="93"/>
      <c r="HH457" s="20"/>
      <c r="HI457" s="19"/>
      <c r="HJ457" s="93"/>
      <c r="HK457" s="93"/>
      <c r="HL457" s="93"/>
      <c r="HM457" s="93"/>
      <c r="HN457" s="20"/>
      <c r="HO457" s="219"/>
      <c r="HP457" s="20"/>
      <c r="HQ457" s="25"/>
      <c r="HR457" s="29"/>
      <c r="HS457" s="1504">
        <v>48366</v>
      </c>
      <c r="HT457" s="19"/>
      <c r="HU457" s="93"/>
      <c r="HV457" s="93"/>
      <c r="HW457" s="93"/>
      <c r="HX457" s="93"/>
      <c r="HY457" s="93"/>
      <c r="HZ457" s="93"/>
      <c r="IA457" s="20"/>
      <c r="IB457" s="19"/>
      <c r="IC457" s="93"/>
      <c r="ID457" s="93"/>
      <c r="IE457" s="93"/>
      <c r="IF457" s="93"/>
      <c r="IG457" s="20"/>
      <c r="IH457" s="19"/>
      <c r="II457" s="93"/>
      <c r="IJ457" s="93"/>
      <c r="IK457" s="93"/>
      <c r="IL457" s="93"/>
      <c r="IM457" s="93"/>
      <c r="IN457" s="93"/>
      <c r="IO457" s="20"/>
      <c r="IP457" s="29"/>
      <c r="IQ457" s="19"/>
      <c r="IR457" s="93"/>
      <c r="IS457" s="93"/>
      <c r="IT457" s="93"/>
      <c r="IU457" s="93"/>
      <c r="IV457" s="20"/>
      <c r="IW457" s="29"/>
      <c r="IX457" s="19"/>
      <c r="IY457" s="93"/>
      <c r="IZ457" s="93"/>
      <c r="JA457" s="93"/>
      <c r="JB457" s="93"/>
      <c r="JC457" s="93"/>
      <c r="JD457" s="93"/>
      <c r="JE457" s="20"/>
      <c r="JF457" s="29"/>
      <c r="JG457" s="19"/>
      <c r="JH457" s="93"/>
      <c r="JI457" s="93"/>
      <c r="JJ457" s="93"/>
      <c r="JK457" s="93"/>
      <c r="JL457" s="93"/>
      <c r="JM457" s="93"/>
      <c r="JN457" s="20"/>
      <c r="JO457" s="29"/>
      <c r="JP457" s="19"/>
      <c r="JQ457" s="93"/>
      <c r="JR457" s="93"/>
      <c r="JS457" s="93"/>
      <c r="JT457" s="93"/>
      <c r="JU457" s="20"/>
      <c r="JV457" s="29"/>
      <c r="JW457" s="1504">
        <v>48366</v>
      </c>
      <c r="JX457" s="19"/>
      <c r="JY457" s="93"/>
      <c r="JZ457" s="93"/>
      <c r="KA457" s="93"/>
      <c r="KB457" s="93"/>
      <c r="KC457" s="93"/>
      <c r="KD457" s="20"/>
      <c r="KE457" s="29"/>
      <c r="KF457" s="19"/>
      <c r="KG457" s="93"/>
      <c r="KH457" s="93"/>
      <c r="KI457" s="93"/>
      <c r="KJ457" s="93"/>
      <c r="KK457" s="20"/>
      <c r="KL457" s="29"/>
      <c r="KM457" s="19"/>
      <c r="KN457" s="93"/>
      <c r="KO457" s="93"/>
      <c r="KP457" s="93"/>
      <c r="KQ457" s="93"/>
      <c r="KR457" s="20"/>
      <c r="KS457" s="29"/>
      <c r="KT457" s="19"/>
      <c r="KU457" s="93"/>
      <c r="KV457" s="93"/>
      <c r="KW457" s="93"/>
      <c r="KX457" s="93"/>
      <c r="KY457" s="20"/>
      <c r="KZ457" s="29"/>
      <c r="LA457" s="1504">
        <v>48366</v>
      </c>
      <c r="LB457" s="19"/>
      <c r="LC457" s="93"/>
      <c r="LD457" s="93"/>
      <c r="LE457" s="93"/>
      <c r="LF457" s="93"/>
      <c r="LG457" s="93"/>
      <c r="LH457" s="20"/>
      <c r="LI457" s="29"/>
      <c r="LJ457" s="19"/>
      <c r="LK457" s="93"/>
      <c r="LL457" s="93"/>
      <c r="LM457" s="93"/>
      <c r="LN457" s="93"/>
      <c r="LO457" s="20"/>
      <c r="LP457" s="29"/>
      <c r="LQ457" s="19"/>
      <c r="LR457" s="93"/>
      <c r="LS457" s="93"/>
      <c r="LT457" s="93"/>
      <c r="LU457" s="93"/>
      <c r="LV457" s="93"/>
      <c r="LW457" s="93"/>
      <c r="LX457" s="93"/>
      <c r="LY457" s="93"/>
      <c r="LZ457" s="93"/>
      <c r="MA457" s="20"/>
      <c r="MB457" s="29"/>
      <c r="MC457" s="1504">
        <v>48366</v>
      </c>
      <c r="MD457" s="19"/>
      <c r="ME457" s="93"/>
      <c r="MF457" s="93"/>
      <c r="MG457" s="93"/>
      <c r="MH457" s="93"/>
      <c r="MI457" s="93"/>
      <c r="MJ457" s="93"/>
      <c r="MK457" s="93"/>
      <c r="ML457" s="93"/>
      <c r="MM457" s="93"/>
      <c r="MN457" s="93"/>
      <c r="MO457" s="93"/>
      <c r="MP457" s="93"/>
      <c r="MQ457" s="93"/>
      <c r="MR457" s="93"/>
      <c r="MS457" s="93"/>
      <c r="MT457" s="93"/>
      <c r="MU457" s="93"/>
      <c r="MV457" s="93"/>
      <c r="MW457" s="93"/>
      <c r="MX457" s="93"/>
      <c r="MY457" s="93"/>
      <c r="MZ457" s="93"/>
      <c r="NA457" s="93"/>
      <c r="NB457" s="93"/>
      <c r="NC457" s="93"/>
      <c r="ND457" s="93"/>
      <c r="NE457" s="93"/>
      <c r="NF457" s="93"/>
      <c r="NG457" s="93"/>
      <c r="NH457" s="93"/>
      <c r="NI457" s="93"/>
      <c r="NJ457" s="93"/>
      <c r="NK457" s="93"/>
      <c r="NL457" s="93"/>
      <c r="NM457" s="93"/>
      <c r="NN457" s="93"/>
      <c r="NO457" s="93"/>
      <c r="NP457" s="93"/>
      <c r="NQ457" s="93"/>
      <c r="NR457" s="93"/>
      <c r="NS457" s="93"/>
      <c r="NT457" s="93"/>
      <c r="NU457" s="93"/>
      <c r="NV457" s="93"/>
      <c r="NW457" s="93"/>
      <c r="NX457" s="93"/>
      <c r="NY457" s="93"/>
      <c r="NZ457" s="93"/>
      <c r="OA457" s="93"/>
      <c r="OB457" s="93"/>
      <c r="OC457" s="93"/>
      <c r="OD457" s="20"/>
      <c r="OE457" s="29"/>
      <c r="OF457" s="1504">
        <v>48366</v>
      </c>
      <c r="OG457" s="19"/>
      <c r="OH457" s="93"/>
      <c r="OI457" s="93"/>
      <c r="OJ457" s="93"/>
      <c r="OK457" s="93"/>
      <c r="OL457" s="93"/>
      <c r="OM457" s="93"/>
      <c r="ON457" s="93"/>
      <c r="OO457" s="93"/>
      <c r="OP457" s="93"/>
      <c r="OQ457" s="93"/>
      <c r="OR457" s="93"/>
      <c r="OS457" s="93"/>
      <c r="OT457" s="93"/>
      <c r="OU457" s="93"/>
      <c r="OV457" s="93"/>
      <c r="OW457" s="93"/>
      <c r="OX457" s="93"/>
      <c r="OY457" s="93"/>
      <c r="OZ457" s="93"/>
      <c r="PA457" s="93"/>
      <c r="PB457" s="93"/>
      <c r="PC457" s="20"/>
      <c r="PD457" s="29"/>
      <c r="PE457" s="19"/>
      <c r="PF457" s="93"/>
      <c r="PG457" s="93"/>
      <c r="PH457" s="93"/>
      <c r="PI457" s="93"/>
      <c r="PJ457" s="93"/>
      <c r="PK457" s="93"/>
      <c r="PL457" s="93"/>
      <c r="PM457" s="93"/>
      <c r="PN457" s="93"/>
      <c r="PO457" s="93"/>
      <c r="PP457" s="93"/>
      <c r="PQ457" s="93"/>
      <c r="PR457" s="93"/>
      <c r="PS457" s="93"/>
      <c r="PT457" s="93"/>
      <c r="PU457" s="93"/>
      <c r="PV457" s="93"/>
      <c r="PW457" s="93"/>
      <c r="PX457" s="93"/>
      <c r="PY457" s="93"/>
      <c r="PZ457" s="93"/>
      <c r="QA457" s="93"/>
      <c r="QB457" s="93"/>
      <c r="QC457" s="93"/>
      <c r="QD457" s="93"/>
      <c r="QE457" s="20"/>
      <c r="QF457" s="1739"/>
      <c r="QG457" s="19"/>
      <c r="QH457" s="93"/>
      <c r="QI457" s="93"/>
      <c r="QJ457" s="93"/>
      <c r="QK457" s="93"/>
      <c r="QL457" s="93"/>
      <c r="QM457" s="93"/>
      <c r="QN457" s="93"/>
      <c r="QO457" s="93"/>
      <c r="QP457" s="93"/>
      <c r="QQ457" s="93"/>
      <c r="QR457" s="93"/>
      <c r="QS457" s="93"/>
      <c r="QT457" s="93"/>
      <c r="QU457" s="93"/>
      <c r="QV457" s="93"/>
      <c r="QW457" s="93"/>
      <c r="QX457" s="93"/>
      <c r="QY457" s="93"/>
      <c r="QZ457" s="93"/>
      <c r="RA457" s="93"/>
      <c r="RB457" s="93"/>
      <c r="RC457" s="93"/>
      <c r="RD457" s="93"/>
      <c r="RE457" s="93"/>
      <c r="RF457" s="93"/>
      <c r="RG457" s="93"/>
      <c r="RH457" s="93"/>
      <c r="RI457" s="93"/>
      <c r="RJ457" s="93"/>
      <c r="RK457" s="93"/>
      <c r="RL457" s="93"/>
      <c r="RM457" s="20"/>
      <c r="RN457" s="29"/>
      <c r="RO457" s="19"/>
      <c r="RP457" s="20"/>
      <c r="RQ457" s="29"/>
      <c r="RR457" s="20"/>
      <c r="RS457" s="29"/>
      <c r="RT457" s="1504">
        <v>48366</v>
      </c>
      <c r="RU457" s="19"/>
      <c r="RV457" s="20"/>
      <c r="RW457" s="29"/>
      <c r="RX457" s="1504">
        <v>48366</v>
      </c>
      <c r="RY457" s="29"/>
      <c r="RZ457" s="20"/>
      <c r="SA457" s="29"/>
      <c r="SB457" s="29"/>
    </row>
    <row r="458" spans="1:496">
      <c r="A458" s="41">
        <f t="shared" si="358"/>
        <v>2032</v>
      </c>
      <c r="B458" s="1504">
        <v>48396</v>
      </c>
      <c r="C458" s="1813"/>
      <c r="D458" s="1814"/>
      <c r="E458" s="1814"/>
      <c r="F458" s="1815"/>
      <c r="G458" s="1814"/>
      <c r="H458" s="1814"/>
      <c r="I458" s="1814"/>
      <c r="J458" s="1816"/>
      <c r="K458" s="1807"/>
      <c r="L458" s="25"/>
      <c r="M458" s="97"/>
      <c r="N458" s="1504">
        <v>48396</v>
      </c>
      <c r="O458" s="19"/>
      <c r="P458" s="93"/>
      <c r="Q458" s="93"/>
      <c r="R458" s="93"/>
      <c r="S458" s="93"/>
      <c r="T458" s="93"/>
      <c r="U458" s="93"/>
      <c r="V458" s="93"/>
      <c r="W458" s="93"/>
      <c r="X458" s="93"/>
      <c r="Y458" s="93"/>
      <c r="Z458" s="93"/>
      <c r="AA458" s="93"/>
      <c r="AB458" s="20"/>
      <c r="AC458" s="25"/>
      <c r="AD458" s="97"/>
      <c r="AE458" s="1504">
        <v>48396</v>
      </c>
      <c r="AF458" s="19"/>
      <c r="AG458" s="93"/>
      <c r="AH458" s="93"/>
      <c r="AI458" s="93"/>
      <c r="AJ458" s="93"/>
      <c r="AK458" s="93"/>
      <c r="AL458" s="93"/>
      <c r="AM458" s="93"/>
      <c r="AN458" s="93"/>
      <c r="AO458" s="93"/>
      <c r="AP458" s="93"/>
      <c r="AQ458" s="93"/>
      <c r="AR458" s="93"/>
      <c r="AS458" s="20"/>
      <c r="AT458" s="25"/>
      <c r="AU458" s="97"/>
      <c r="AV458" s="1504">
        <v>48396</v>
      </c>
      <c r="AW458" s="19"/>
      <c r="AX458" s="93"/>
      <c r="AY458" s="93"/>
      <c r="AZ458" s="93"/>
      <c r="BA458" s="93"/>
      <c r="BB458" s="93"/>
      <c r="BC458" s="93"/>
      <c r="BD458" s="93"/>
      <c r="BE458" s="93"/>
      <c r="BF458" s="93"/>
      <c r="BG458" s="93"/>
      <c r="BH458" s="93"/>
      <c r="BI458" s="93"/>
      <c r="BJ458" s="20"/>
      <c r="BK458" s="25"/>
      <c r="BL458" s="97"/>
      <c r="BM458" s="1504">
        <v>48396</v>
      </c>
      <c r="BN458" s="19"/>
      <c r="BO458" s="93"/>
      <c r="BP458" s="93"/>
      <c r="BQ458" s="93"/>
      <c r="BR458" s="93"/>
      <c r="BS458" s="93"/>
      <c r="BT458" s="93"/>
      <c r="BU458" s="20"/>
      <c r="BV458" s="25"/>
      <c r="BW458" s="97"/>
      <c r="BX458" s="1504">
        <v>48396</v>
      </c>
      <c r="BY458" s="19"/>
      <c r="BZ458" s="93"/>
      <c r="CA458" s="93"/>
      <c r="CB458" s="93"/>
      <c r="CC458" s="93"/>
      <c r="CD458" s="25"/>
      <c r="CE458" s="97"/>
      <c r="CF458" s="1504">
        <v>48396</v>
      </c>
      <c r="CG458" s="19"/>
      <c r="CH458" s="93"/>
      <c r="CI458" s="219"/>
      <c r="CJ458" s="20"/>
      <c r="CK458" s="19"/>
      <c r="CL458" s="93"/>
      <c r="CM458" s="93"/>
      <c r="CN458" s="93"/>
      <c r="CO458" s="93"/>
      <c r="CP458" s="20"/>
      <c r="CQ458" s="219"/>
      <c r="CR458" s="93"/>
      <c r="CS458" s="93"/>
      <c r="CT458" s="93"/>
      <c r="CU458" s="93"/>
      <c r="CV458" s="214"/>
      <c r="CW458" s="29"/>
      <c r="CX458" s="41">
        <f t="shared" si="359"/>
        <v>2032</v>
      </c>
      <c r="CY458" s="1504">
        <v>48396</v>
      </c>
      <c r="CZ458" s="19"/>
      <c r="DA458" s="93"/>
      <c r="DB458" s="93"/>
      <c r="DC458" s="93"/>
      <c r="DD458" s="93"/>
      <c r="DE458" s="20"/>
      <c r="DF458" s="29"/>
      <c r="DG458" s="1504">
        <v>48396</v>
      </c>
      <c r="DH458" s="19"/>
      <c r="DI458" s="93"/>
      <c r="DJ458" s="93"/>
      <c r="DK458" s="93"/>
      <c r="DL458" s="93"/>
      <c r="DM458" s="93"/>
      <c r="DN458" s="20"/>
      <c r="DO458" s="295"/>
      <c r="DP458" s="29"/>
      <c r="DQ458" s="1504">
        <v>48396</v>
      </c>
      <c r="DR458" s="19"/>
      <c r="DS458" s="93"/>
      <c r="DT458" s="93"/>
      <c r="DU458" s="93"/>
      <c r="DV458" s="93"/>
      <c r="DW458" s="93"/>
      <c r="DX458" s="20"/>
      <c r="DY458" s="29"/>
      <c r="DZ458" s="1504">
        <v>48396</v>
      </c>
      <c r="EA458" s="19"/>
      <c r="EB458" s="93"/>
      <c r="EC458" s="20"/>
      <c r="ED458" s="29"/>
      <c r="EE458" s="1504">
        <v>48396</v>
      </c>
      <c r="EF458" s="19"/>
      <c r="EG458" s="93"/>
      <c r="EH458" s="93"/>
      <c r="EI458" s="214"/>
      <c r="EJ458" s="93"/>
      <c r="EK458" s="93"/>
      <c r="EL458" s="93"/>
      <c r="EM458" s="93"/>
      <c r="EN458" s="20"/>
      <c r="EO458" s="29"/>
      <c r="EP458" s="1504">
        <v>48396</v>
      </c>
      <c r="EQ458" s="19"/>
      <c r="ER458" s="93"/>
      <c r="ES458" s="93"/>
      <c r="ET458" s="214"/>
      <c r="EU458" s="93"/>
      <c r="EV458" s="93"/>
      <c r="EW458" s="93"/>
      <c r="EX458" s="93"/>
      <c r="EY458" s="20"/>
      <c r="EZ458" s="29"/>
      <c r="FA458" s="1504">
        <v>48396</v>
      </c>
      <c r="FB458" s="29"/>
      <c r="FC458" s="29"/>
      <c r="FD458" s="29"/>
      <c r="FE458" s="29"/>
      <c r="FF458" s="29"/>
      <c r="FG458" s="29"/>
      <c r="FH458" s="29"/>
      <c r="FI458" s="29"/>
      <c r="FJ458" s="29"/>
      <c r="FK458" s="29"/>
      <c r="FL458" s="1504">
        <v>48396</v>
      </c>
      <c r="FM458" s="19"/>
      <c r="FN458" s="93"/>
      <c r="FO458" s="93"/>
      <c r="FP458" s="93"/>
      <c r="FQ458" s="93"/>
      <c r="FR458" s="93"/>
      <c r="FS458" s="93"/>
      <c r="FT458" s="93"/>
      <c r="FU458" s="93"/>
      <c r="FV458" s="93"/>
      <c r="FW458" s="93"/>
      <c r="FX458" s="93"/>
      <c r="FY458" s="93"/>
      <c r="FZ458" s="29"/>
      <c r="GA458" s="1504">
        <v>48396</v>
      </c>
      <c r="GB458" s="19"/>
      <c r="GC458" s="93"/>
      <c r="GD458" s="93"/>
      <c r="GE458" s="93"/>
      <c r="GF458" s="93"/>
      <c r="GG458" s="93"/>
      <c r="GH458" s="93"/>
      <c r="GI458" s="93"/>
      <c r="GJ458" s="93"/>
      <c r="GK458" s="93"/>
      <c r="GL458" s="93"/>
      <c r="GM458" s="93"/>
      <c r="GN458" s="20"/>
      <c r="GO458" s="29"/>
      <c r="GP458" s="1504">
        <v>48396</v>
      </c>
      <c r="GQ458" s="19"/>
      <c r="GR458" s="93"/>
      <c r="GS458" s="93"/>
      <c r="GT458" s="93"/>
      <c r="GU458" s="93"/>
      <c r="GV458" s="20"/>
      <c r="GW458" s="19"/>
      <c r="GX458" s="93"/>
      <c r="GY458" s="93"/>
      <c r="GZ458" s="93"/>
      <c r="HA458" s="93"/>
      <c r="HB458" s="20"/>
      <c r="HC458" s="19"/>
      <c r="HD458" s="93"/>
      <c r="HE458" s="93"/>
      <c r="HF458" s="93"/>
      <c r="HG458" s="93"/>
      <c r="HH458" s="20"/>
      <c r="HI458" s="19"/>
      <c r="HJ458" s="93"/>
      <c r="HK458" s="93"/>
      <c r="HL458" s="93"/>
      <c r="HM458" s="93"/>
      <c r="HN458" s="20"/>
      <c r="HO458" s="219"/>
      <c r="HP458" s="20"/>
      <c r="HQ458" s="25"/>
      <c r="HR458" s="29"/>
      <c r="HS458" s="1504">
        <v>48396</v>
      </c>
      <c r="HT458" s="19"/>
      <c r="HU458" s="93"/>
      <c r="HV458" s="93"/>
      <c r="HW458" s="93"/>
      <c r="HX458" s="93"/>
      <c r="HY458" s="93"/>
      <c r="HZ458" s="93"/>
      <c r="IA458" s="20"/>
      <c r="IB458" s="19"/>
      <c r="IC458" s="93"/>
      <c r="ID458" s="93"/>
      <c r="IE458" s="93"/>
      <c r="IF458" s="93"/>
      <c r="IG458" s="20"/>
      <c r="IH458" s="19"/>
      <c r="II458" s="93"/>
      <c r="IJ458" s="93"/>
      <c r="IK458" s="93"/>
      <c r="IL458" s="93"/>
      <c r="IM458" s="93"/>
      <c r="IN458" s="93"/>
      <c r="IO458" s="20"/>
      <c r="IP458" s="29"/>
      <c r="IQ458" s="19"/>
      <c r="IR458" s="93"/>
      <c r="IS458" s="93"/>
      <c r="IT458" s="93"/>
      <c r="IU458" s="93"/>
      <c r="IV458" s="20"/>
      <c r="IW458" s="29"/>
      <c r="IX458" s="19"/>
      <c r="IY458" s="93"/>
      <c r="IZ458" s="93"/>
      <c r="JA458" s="93"/>
      <c r="JB458" s="93"/>
      <c r="JC458" s="93"/>
      <c r="JD458" s="93"/>
      <c r="JE458" s="20"/>
      <c r="JF458" s="29"/>
      <c r="JG458" s="19"/>
      <c r="JH458" s="93"/>
      <c r="JI458" s="93"/>
      <c r="JJ458" s="93"/>
      <c r="JK458" s="93"/>
      <c r="JL458" s="93"/>
      <c r="JM458" s="93"/>
      <c r="JN458" s="20"/>
      <c r="JO458" s="29"/>
      <c r="JP458" s="19"/>
      <c r="JQ458" s="93"/>
      <c r="JR458" s="93"/>
      <c r="JS458" s="93"/>
      <c r="JT458" s="93"/>
      <c r="JU458" s="20"/>
      <c r="JV458" s="29"/>
      <c r="JW458" s="1504">
        <v>48396</v>
      </c>
      <c r="JX458" s="19"/>
      <c r="JY458" s="93"/>
      <c r="JZ458" s="93"/>
      <c r="KA458" s="93"/>
      <c r="KB458" s="93"/>
      <c r="KC458" s="93"/>
      <c r="KD458" s="20"/>
      <c r="KE458" s="29"/>
      <c r="KF458" s="19"/>
      <c r="KG458" s="93"/>
      <c r="KH458" s="93"/>
      <c r="KI458" s="93"/>
      <c r="KJ458" s="93"/>
      <c r="KK458" s="20"/>
      <c r="KL458" s="29"/>
      <c r="KM458" s="19"/>
      <c r="KN458" s="93"/>
      <c r="KO458" s="93"/>
      <c r="KP458" s="93"/>
      <c r="KQ458" s="93"/>
      <c r="KR458" s="20"/>
      <c r="KS458" s="29"/>
      <c r="KT458" s="19"/>
      <c r="KU458" s="93"/>
      <c r="KV458" s="93"/>
      <c r="KW458" s="93"/>
      <c r="KX458" s="93"/>
      <c r="KY458" s="20"/>
      <c r="KZ458" s="29"/>
      <c r="LA458" s="1504">
        <v>48396</v>
      </c>
      <c r="LB458" s="19"/>
      <c r="LC458" s="93"/>
      <c r="LD458" s="93"/>
      <c r="LE458" s="93"/>
      <c r="LF458" s="93"/>
      <c r="LG458" s="93"/>
      <c r="LH458" s="20"/>
      <c r="LI458" s="29"/>
      <c r="LJ458" s="19"/>
      <c r="LK458" s="93"/>
      <c r="LL458" s="93"/>
      <c r="LM458" s="93"/>
      <c r="LN458" s="93"/>
      <c r="LO458" s="20"/>
      <c r="LP458" s="29"/>
      <c r="LQ458" s="19"/>
      <c r="LR458" s="93"/>
      <c r="LS458" s="93"/>
      <c r="LT458" s="93"/>
      <c r="LU458" s="93"/>
      <c r="LV458" s="93"/>
      <c r="LW458" s="93"/>
      <c r="LX458" s="93"/>
      <c r="LY458" s="93"/>
      <c r="LZ458" s="93"/>
      <c r="MA458" s="20"/>
      <c r="MB458" s="29"/>
      <c r="MC458" s="1504">
        <v>48396</v>
      </c>
      <c r="MD458" s="19"/>
      <c r="ME458" s="93"/>
      <c r="MF458" s="93"/>
      <c r="MG458" s="93"/>
      <c r="MH458" s="93"/>
      <c r="MI458" s="93"/>
      <c r="MJ458" s="93"/>
      <c r="MK458" s="93"/>
      <c r="ML458" s="93"/>
      <c r="MM458" s="93"/>
      <c r="MN458" s="93"/>
      <c r="MO458" s="93"/>
      <c r="MP458" s="93"/>
      <c r="MQ458" s="93"/>
      <c r="MR458" s="93"/>
      <c r="MS458" s="93"/>
      <c r="MT458" s="93"/>
      <c r="MU458" s="93"/>
      <c r="MV458" s="93"/>
      <c r="MW458" s="93"/>
      <c r="MX458" s="93"/>
      <c r="MY458" s="93"/>
      <c r="MZ458" s="93"/>
      <c r="NA458" s="93"/>
      <c r="NB458" s="93"/>
      <c r="NC458" s="93"/>
      <c r="ND458" s="93"/>
      <c r="NE458" s="93"/>
      <c r="NF458" s="93"/>
      <c r="NG458" s="93"/>
      <c r="NH458" s="93"/>
      <c r="NI458" s="93"/>
      <c r="NJ458" s="93"/>
      <c r="NK458" s="93"/>
      <c r="NL458" s="93"/>
      <c r="NM458" s="93"/>
      <c r="NN458" s="93"/>
      <c r="NO458" s="93"/>
      <c r="NP458" s="93"/>
      <c r="NQ458" s="93"/>
      <c r="NR458" s="93"/>
      <c r="NS458" s="93"/>
      <c r="NT458" s="93"/>
      <c r="NU458" s="93"/>
      <c r="NV458" s="93"/>
      <c r="NW458" s="93"/>
      <c r="NX458" s="93"/>
      <c r="NY458" s="93"/>
      <c r="NZ458" s="93"/>
      <c r="OA458" s="93"/>
      <c r="OB458" s="93"/>
      <c r="OC458" s="93"/>
      <c r="OD458" s="20"/>
      <c r="OE458" s="29"/>
      <c r="OF458" s="1504">
        <v>48396</v>
      </c>
      <c r="OG458" s="19"/>
      <c r="OH458" s="93"/>
      <c r="OI458" s="93"/>
      <c r="OJ458" s="93"/>
      <c r="OK458" s="93"/>
      <c r="OL458" s="93"/>
      <c r="OM458" s="93"/>
      <c r="ON458" s="93"/>
      <c r="OO458" s="93"/>
      <c r="OP458" s="93"/>
      <c r="OQ458" s="93"/>
      <c r="OR458" s="93"/>
      <c r="OS458" s="93"/>
      <c r="OT458" s="93"/>
      <c r="OU458" s="93"/>
      <c r="OV458" s="93"/>
      <c r="OW458" s="93"/>
      <c r="OX458" s="93"/>
      <c r="OY458" s="93"/>
      <c r="OZ458" s="93"/>
      <c r="PA458" s="93"/>
      <c r="PB458" s="93"/>
      <c r="PC458" s="20"/>
      <c r="PD458" s="29"/>
      <c r="PE458" s="19"/>
      <c r="PF458" s="93"/>
      <c r="PG458" s="93"/>
      <c r="PH458" s="93"/>
      <c r="PI458" s="93"/>
      <c r="PJ458" s="93"/>
      <c r="PK458" s="93"/>
      <c r="PL458" s="93"/>
      <c r="PM458" s="93"/>
      <c r="PN458" s="93"/>
      <c r="PO458" s="93"/>
      <c r="PP458" s="93"/>
      <c r="PQ458" s="93"/>
      <c r="PR458" s="93"/>
      <c r="PS458" s="93"/>
      <c r="PT458" s="93"/>
      <c r="PU458" s="93"/>
      <c r="PV458" s="93"/>
      <c r="PW458" s="93"/>
      <c r="PX458" s="93"/>
      <c r="PY458" s="93"/>
      <c r="PZ458" s="93"/>
      <c r="QA458" s="93"/>
      <c r="QB458" s="93"/>
      <c r="QC458" s="93"/>
      <c r="QD458" s="93"/>
      <c r="QE458" s="20"/>
      <c r="QF458" s="1739"/>
      <c r="QG458" s="19"/>
      <c r="QH458" s="93"/>
      <c r="QI458" s="93"/>
      <c r="QJ458" s="93"/>
      <c r="QK458" s="93"/>
      <c r="QL458" s="93"/>
      <c r="QM458" s="93"/>
      <c r="QN458" s="93"/>
      <c r="QO458" s="93"/>
      <c r="QP458" s="93"/>
      <c r="QQ458" s="93"/>
      <c r="QR458" s="93"/>
      <c r="QS458" s="93"/>
      <c r="QT458" s="93"/>
      <c r="QU458" s="93"/>
      <c r="QV458" s="93"/>
      <c r="QW458" s="93"/>
      <c r="QX458" s="93"/>
      <c r="QY458" s="93"/>
      <c r="QZ458" s="93"/>
      <c r="RA458" s="93"/>
      <c r="RB458" s="93"/>
      <c r="RC458" s="93"/>
      <c r="RD458" s="93"/>
      <c r="RE458" s="93"/>
      <c r="RF458" s="93"/>
      <c r="RG458" s="93"/>
      <c r="RH458" s="93"/>
      <c r="RI458" s="93"/>
      <c r="RJ458" s="93"/>
      <c r="RK458" s="93"/>
      <c r="RL458" s="93"/>
      <c r="RM458" s="20"/>
      <c r="RN458" s="29"/>
      <c r="RO458" s="19"/>
      <c r="RP458" s="20"/>
      <c r="RQ458" s="29"/>
      <c r="RR458" s="20"/>
      <c r="RS458" s="29"/>
      <c r="RT458" s="1504">
        <v>48396</v>
      </c>
      <c r="RU458" s="19"/>
      <c r="RV458" s="20"/>
      <c r="RW458" s="29"/>
      <c r="RX458" s="1504">
        <v>48396</v>
      </c>
      <c r="RY458" s="29"/>
      <c r="RZ458" s="20"/>
      <c r="SA458" s="29"/>
      <c r="SB458" s="29"/>
    </row>
    <row r="459" spans="1:496">
      <c r="A459" s="41">
        <f t="shared" si="358"/>
        <v>2032</v>
      </c>
      <c r="B459" s="1504">
        <v>48427</v>
      </c>
      <c r="C459" s="1813"/>
      <c r="D459" s="1814"/>
      <c r="E459" s="1814"/>
      <c r="F459" s="1815"/>
      <c r="G459" s="1814"/>
      <c r="H459" s="1814"/>
      <c r="I459" s="1814"/>
      <c r="J459" s="1816"/>
      <c r="K459" s="1807"/>
      <c r="L459" s="25"/>
      <c r="M459" s="97"/>
      <c r="N459" s="1504">
        <v>48427</v>
      </c>
      <c r="O459" s="19"/>
      <c r="P459" s="93"/>
      <c r="Q459" s="93"/>
      <c r="R459" s="93"/>
      <c r="S459" s="93"/>
      <c r="T459" s="93"/>
      <c r="U459" s="93"/>
      <c r="V459" s="93"/>
      <c r="W459" s="93"/>
      <c r="X459" s="93"/>
      <c r="Y459" s="93"/>
      <c r="Z459" s="93"/>
      <c r="AA459" s="93"/>
      <c r="AB459" s="20"/>
      <c r="AC459" s="25"/>
      <c r="AD459" s="97"/>
      <c r="AE459" s="1504">
        <v>48427</v>
      </c>
      <c r="AF459" s="19"/>
      <c r="AG459" s="93"/>
      <c r="AH459" s="93"/>
      <c r="AI459" s="93"/>
      <c r="AJ459" s="93"/>
      <c r="AK459" s="93"/>
      <c r="AL459" s="93"/>
      <c r="AM459" s="93"/>
      <c r="AN459" s="93"/>
      <c r="AO459" s="93"/>
      <c r="AP459" s="93"/>
      <c r="AQ459" s="93"/>
      <c r="AR459" s="93"/>
      <c r="AS459" s="20"/>
      <c r="AT459" s="25"/>
      <c r="AU459" s="97"/>
      <c r="AV459" s="1504">
        <v>48427</v>
      </c>
      <c r="AW459" s="19"/>
      <c r="AX459" s="93"/>
      <c r="AY459" s="93"/>
      <c r="AZ459" s="93"/>
      <c r="BA459" s="93"/>
      <c r="BB459" s="93"/>
      <c r="BC459" s="93"/>
      <c r="BD459" s="93"/>
      <c r="BE459" s="93"/>
      <c r="BF459" s="93"/>
      <c r="BG459" s="93"/>
      <c r="BH459" s="93"/>
      <c r="BI459" s="93"/>
      <c r="BJ459" s="20"/>
      <c r="BK459" s="25"/>
      <c r="BL459" s="97"/>
      <c r="BM459" s="1504">
        <v>48427</v>
      </c>
      <c r="BN459" s="19"/>
      <c r="BO459" s="93"/>
      <c r="BP459" s="93"/>
      <c r="BQ459" s="93"/>
      <c r="BR459" s="93"/>
      <c r="BS459" s="93"/>
      <c r="BT459" s="93"/>
      <c r="BU459" s="20"/>
      <c r="BV459" s="25"/>
      <c r="BW459" s="97"/>
      <c r="BX459" s="1504">
        <v>48427</v>
      </c>
      <c r="BY459" s="19"/>
      <c r="BZ459" s="93"/>
      <c r="CA459" s="93"/>
      <c r="CB459" s="93"/>
      <c r="CC459" s="93"/>
      <c r="CD459" s="25"/>
      <c r="CE459" s="97"/>
      <c r="CF459" s="1504">
        <v>48427</v>
      </c>
      <c r="CG459" s="19"/>
      <c r="CH459" s="93"/>
      <c r="CI459" s="219"/>
      <c r="CJ459" s="20"/>
      <c r="CK459" s="19"/>
      <c r="CL459" s="93"/>
      <c r="CM459" s="93"/>
      <c r="CN459" s="93"/>
      <c r="CO459" s="93"/>
      <c r="CP459" s="20"/>
      <c r="CQ459" s="219"/>
      <c r="CR459" s="93"/>
      <c r="CS459" s="93"/>
      <c r="CT459" s="93"/>
      <c r="CU459" s="93"/>
      <c r="CV459" s="214"/>
      <c r="CW459" s="29"/>
      <c r="CX459" s="41">
        <f t="shared" si="359"/>
        <v>2032</v>
      </c>
      <c r="CY459" s="1504">
        <v>48427</v>
      </c>
      <c r="CZ459" s="19"/>
      <c r="DA459" s="93"/>
      <c r="DB459" s="93"/>
      <c r="DC459" s="93"/>
      <c r="DD459" s="93"/>
      <c r="DE459" s="20"/>
      <c r="DF459" s="29"/>
      <c r="DG459" s="1504">
        <v>48427</v>
      </c>
      <c r="DH459" s="19"/>
      <c r="DI459" s="93"/>
      <c r="DJ459" s="93"/>
      <c r="DK459" s="93"/>
      <c r="DL459" s="93"/>
      <c r="DM459" s="93"/>
      <c r="DN459" s="20"/>
      <c r="DO459" s="295"/>
      <c r="DP459" s="29"/>
      <c r="DQ459" s="1504">
        <v>48427</v>
      </c>
      <c r="DR459" s="19"/>
      <c r="DS459" s="93"/>
      <c r="DT459" s="93"/>
      <c r="DU459" s="93"/>
      <c r="DV459" s="93"/>
      <c r="DW459" s="93"/>
      <c r="DX459" s="20"/>
      <c r="DY459" s="29"/>
      <c r="DZ459" s="1504">
        <v>48427</v>
      </c>
      <c r="EA459" s="19"/>
      <c r="EB459" s="93"/>
      <c r="EC459" s="20"/>
      <c r="ED459" s="29"/>
      <c r="EE459" s="1504">
        <v>48427</v>
      </c>
      <c r="EF459" s="19"/>
      <c r="EG459" s="93"/>
      <c r="EH459" s="93"/>
      <c r="EI459" s="214"/>
      <c r="EJ459" s="93"/>
      <c r="EK459" s="93"/>
      <c r="EL459" s="93"/>
      <c r="EM459" s="93"/>
      <c r="EN459" s="20"/>
      <c r="EO459" s="29"/>
      <c r="EP459" s="1504">
        <v>48427</v>
      </c>
      <c r="EQ459" s="19"/>
      <c r="ER459" s="93"/>
      <c r="ES459" s="93"/>
      <c r="ET459" s="214"/>
      <c r="EU459" s="93"/>
      <c r="EV459" s="93"/>
      <c r="EW459" s="93"/>
      <c r="EX459" s="93"/>
      <c r="EY459" s="20"/>
      <c r="EZ459" s="29"/>
      <c r="FA459" s="1504">
        <v>48427</v>
      </c>
      <c r="FB459" s="29"/>
      <c r="FC459" s="29"/>
      <c r="FD459" s="29"/>
      <c r="FE459" s="29"/>
      <c r="FF459" s="29"/>
      <c r="FG459" s="29"/>
      <c r="FH459" s="29"/>
      <c r="FI459" s="29"/>
      <c r="FJ459" s="29"/>
      <c r="FK459" s="29"/>
      <c r="FL459" s="1504">
        <v>48427</v>
      </c>
      <c r="FM459" s="19"/>
      <c r="FN459" s="93"/>
      <c r="FO459" s="93"/>
      <c r="FP459" s="93"/>
      <c r="FQ459" s="93"/>
      <c r="FR459" s="93"/>
      <c r="FS459" s="93"/>
      <c r="FT459" s="93"/>
      <c r="FU459" s="93"/>
      <c r="FV459" s="93"/>
      <c r="FW459" s="93"/>
      <c r="FX459" s="93"/>
      <c r="FY459" s="93"/>
      <c r="FZ459" s="29"/>
      <c r="GA459" s="1504">
        <v>48427</v>
      </c>
      <c r="GB459" s="19"/>
      <c r="GC459" s="93"/>
      <c r="GD459" s="93"/>
      <c r="GE459" s="93"/>
      <c r="GF459" s="93"/>
      <c r="GG459" s="93"/>
      <c r="GH459" s="93"/>
      <c r="GI459" s="93"/>
      <c r="GJ459" s="93"/>
      <c r="GK459" s="93"/>
      <c r="GL459" s="93"/>
      <c r="GM459" s="93"/>
      <c r="GN459" s="20"/>
      <c r="GO459" s="29"/>
      <c r="GP459" s="1504">
        <v>48427</v>
      </c>
      <c r="GQ459" s="19"/>
      <c r="GR459" s="93"/>
      <c r="GS459" s="93"/>
      <c r="GT459" s="93"/>
      <c r="GU459" s="93"/>
      <c r="GV459" s="20"/>
      <c r="GW459" s="19"/>
      <c r="GX459" s="93"/>
      <c r="GY459" s="93"/>
      <c r="GZ459" s="93"/>
      <c r="HA459" s="93"/>
      <c r="HB459" s="20"/>
      <c r="HC459" s="19"/>
      <c r="HD459" s="93"/>
      <c r="HE459" s="93"/>
      <c r="HF459" s="93"/>
      <c r="HG459" s="93"/>
      <c r="HH459" s="20"/>
      <c r="HI459" s="19"/>
      <c r="HJ459" s="93"/>
      <c r="HK459" s="93"/>
      <c r="HL459" s="93"/>
      <c r="HM459" s="93"/>
      <c r="HN459" s="20"/>
      <c r="HO459" s="219"/>
      <c r="HP459" s="20"/>
      <c r="HQ459" s="25"/>
      <c r="HR459" s="29"/>
      <c r="HS459" s="1504">
        <v>48427</v>
      </c>
      <c r="HT459" s="19"/>
      <c r="HU459" s="93"/>
      <c r="HV459" s="93"/>
      <c r="HW459" s="93"/>
      <c r="HX459" s="93"/>
      <c r="HY459" s="93"/>
      <c r="HZ459" s="93"/>
      <c r="IA459" s="20"/>
      <c r="IB459" s="19"/>
      <c r="IC459" s="93"/>
      <c r="ID459" s="93"/>
      <c r="IE459" s="93"/>
      <c r="IF459" s="93"/>
      <c r="IG459" s="20"/>
      <c r="IH459" s="19"/>
      <c r="II459" s="93"/>
      <c r="IJ459" s="93"/>
      <c r="IK459" s="93"/>
      <c r="IL459" s="93"/>
      <c r="IM459" s="93"/>
      <c r="IN459" s="93"/>
      <c r="IO459" s="20"/>
      <c r="IP459" s="29"/>
      <c r="IQ459" s="19"/>
      <c r="IR459" s="93"/>
      <c r="IS459" s="93"/>
      <c r="IT459" s="93"/>
      <c r="IU459" s="93"/>
      <c r="IV459" s="20"/>
      <c r="IW459" s="29"/>
      <c r="IX459" s="19"/>
      <c r="IY459" s="93"/>
      <c r="IZ459" s="93"/>
      <c r="JA459" s="93"/>
      <c r="JB459" s="93"/>
      <c r="JC459" s="93"/>
      <c r="JD459" s="93"/>
      <c r="JE459" s="20"/>
      <c r="JF459" s="29"/>
      <c r="JG459" s="19"/>
      <c r="JH459" s="93"/>
      <c r="JI459" s="93"/>
      <c r="JJ459" s="93"/>
      <c r="JK459" s="93"/>
      <c r="JL459" s="93"/>
      <c r="JM459" s="93"/>
      <c r="JN459" s="20"/>
      <c r="JO459" s="29"/>
      <c r="JP459" s="19"/>
      <c r="JQ459" s="93"/>
      <c r="JR459" s="93"/>
      <c r="JS459" s="93"/>
      <c r="JT459" s="93"/>
      <c r="JU459" s="20"/>
      <c r="JV459" s="29"/>
      <c r="JW459" s="1504">
        <v>48427</v>
      </c>
      <c r="JX459" s="19"/>
      <c r="JY459" s="93"/>
      <c r="JZ459" s="93"/>
      <c r="KA459" s="93"/>
      <c r="KB459" s="93"/>
      <c r="KC459" s="93"/>
      <c r="KD459" s="20"/>
      <c r="KE459" s="29"/>
      <c r="KF459" s="19"/>
      <c r="KG459" s="93"/>
      <c r="KH459" s="93"/>
      <c r="KI459" s="93"/>
      <c r="KJ459" s="93"/>
      <c r="KK459" s="20"/>
      <c r="KL459" s="29"/>
      <c r="KM459" s="19"/>
      <c r="KN459" s="93"/>
      <c r="KO459" s="93"/>
      <c r="KP459" s="93"/>
      <c r="KQ459" s="93"/>
      <c r="KR459" s="20"/>
      <c r="KS459" s="29"/>
      <c r="KT459" s="19"/>
      <c r="KU459" s="93"/>
      <c r="KV459" s="93"/>
      <c r="KW459" s="93"/>
      <c r="KX459" s="93"/>
      <c r="KY459" s="20"/>
      <c r="KZ459" s="29"/>
      <c r="LA459" s="1504">
        <v>48427</v>
      </c>
      <c r="LB459" s="19"/>
      <c r="LC459" s="93"/>
      <c r="LD459" s="93"/>
      <c r="LE459" s="93"/>
      <c r="LF459" s="93"/>
      <c r="LG459" s="93"/>
      <c r="LH459" s="20"/>
      <c r="LI459" s="29"/>
      <c r="LJ459" s="19"/>
      <c r="LK459" s="93"/>
      <c r="LL459" s="93"/>
      <c r="LM459" s="93"/>
      <c r="LN459" s="93"/>
      <c r="LO459" s="20"/>
      <c r="LP459" s="29"/>
      <c r="LQ459" s="19"/>
      <c r="LR459" s="93"/>
      <c r="LS459" s="93"/>
      <c r="LT459" s="93"/>
      <c r="LU459" s="93"/>
      <c r="LV459" s="93"/>
      <c r="LW459" s="93"/>
      <c r="LX459" s="93"/>
      <c r="LY459" s="93"/>
      <c r="LZ459" s="93"/>
      <c r="MA459" s="20"/>
      <c r="MB459" s="29"/>
      <c r="MC459" s="1504">
        <v>48427</v>
      </c>
      <c r="MD459" s="19"/>
      <c r="ME459" s="93"/>
      <c r="MF459" s="93"/>
      <c r="MG459" s="93"/>
      <c r="MH459" s="93"/>
      <c r="MI459" s="93"/>
      <c r="MJ459" s="93"/>
      <c r="MK459" s="93"/>
      <c r="ML459" s="93"/>
      <c r="MM459" s="93"/>
      <c r="MN459" s="93"/>
      <c r="MO459" s="93"/>
      <c r="MP459" s="93"/>
      <c r="MQ459" s="93"/>
      <c r="MR459" s="93"/>
      <c r="MS459" s="93"/>
      <c r="MT459" s="93"/>
      <c r="MU459" s="93"/>
      <c r="MV459" s="93"/>
      <c r="MW459" s="93"/>
      <c r="MX459" s="93"/>
      <c r="MY459" s="93"/>
      <c r="MZ459" s="93"/>
      <c r="NA459" s="93"/>
      <c r="NB459" s="93"/>
      <c r="NC459" s="93"/>
      <c r="ND459" s="93"/>
      <c r="NE459" s="93"/>
      <c r="NF459" s="93"/>
      <c r="NG459" s="93"/>
      <c r="NH459" s="93"/>
      <c r="NI459" s="93"/>
      <c r="NJ459" s="93"/>
      <c r="NK459" s="93"/>
      <c r="NL459" s="93"/>
      <c r="NM459" s="93"/>
      <c r="NN459" s="93"/>
      <c r="NO459" s="93"/>
      <c r="NP459" s="93"/>
      <c r="NQ459" s="93"/>
      <c r="NR459" s="93"/>
      <c r="NS459" s="93"/>
      <c r="NT459" s="93"/>
      <c r="NU459" s="93"/>
      <c r="NV459" s="93"/>
      <c r="NW459" s="93"/>
      <c r="NX459" s="93"/>
      <c r="NY459" s="93"/>
      <c r="NZ459" s="93"/>
      <c r="OA459" s="93"/>
      <c r="OB459" s="93"/>
      <c r="OC459" s="93"/>
      <c r="OD459" s="20"/>
      <c r="OE459" s="29"/>
      <c r="OF459" s="1504">
        <v>48427</v>
      </c>
      <c r="OG459" s="19"/>
      <c r="OH459" s="93"/>
      <c r="OI459" s="93"/>
      <c r="OJ459" s="93"/>
      <c r="OK459" s="93"/>
      <c r="OL459" s="93"/>
      <c r="OM459" s="93"/>
      <c r="ON459" s="93"/>
      <c r="OO459" s="93"/>
      <c r="OP459" s="93"/>
      <c r="OQ459" s="93"/>
      <c r="OR459" s="93"/>
      <c r="OS459" s="93"/>
      <c r="OT459" s="93"/>
      <c r="OU459" s="93"/>
      <c r="OV459" s="93"/>
      <c r="OW459" s="93"/>
      <c r="OX459" s="93"/>
      <c r="OY459" s="93"/>
      <c r="OZ459" s="93"/>
      <c r="PA459" s="93"/>
      <c r="PB459" s="93"/>
      <c r="PC459" s="20"/>
      <c r="PD459" s="29"/>
      <c r="PE459" s="19"/>
      <c r="PF459" s="93"/>
      <c r="PG459" s="93"/>
      <c r="PH459" s="93"/>
      <c r="PI459" s="93"/>
      <c r="PJ459" s="93"/>
      <c r="PK459" s="93"/>
      <c r="PL459" s="93"/>
      <c r="PM459" s="93"/>
      <c r="PN459" s="93"/>
      <c r="PO459" s="93"/>
      <c r="PP459" s="93"/>
      <c r="PQ459" s="93"/>
      <c r="PR459" s="93"/>
      <c r="PS459" s="93"/>
      <c r="PT459" s="93"/>
      <c r="PU459" s="93"/>
      <c r="PV459" s="93"/>
      <c r="PW459" s="93"/>
      <c r="PX459" s="93"/>
      <c r="PY459" s="93"/>
      <c r="PZ459" s="93"/>
      <c r="QA459" s="93"/>
      <c r="QB459" s="93"/>
      <c r="QC459" s="93"/>
      <c r="QD459" s="93"/>
      <c r="QE459" s="20"/>
      <c r="QF459" s="1739"/>
      <c r="QG459" s="19"/>
      <c r="QH459" s="93"/>
      <c r="QI459" s="93"/>
      <c r="QJ459" s="93"/>
      <c r="QK459" s="93"/>
      <c r="QL459" s="93"/>
      <c r="QM459" s="93"/>
      <c r="QN459" s="93"/>
      <c r="QO459" s="93"/>
      <c r="QP459" s="93"/>
      <c r="QQ459" s="93"/>
      <c r="QR459" s="93"/>
      <c r="QS459" s="93"/>
      <c r="QT459" s="93"/>
      <c r="QU459" s="93"/>
      <c r="QV459" s="93"/>
      <c r="QW459" s="93"/>
      <c r="QX459" s="93"/>
      <c r="QY459" s="93"/>
      <c r="QZ459" s="93"/>
      <c r="RA459" s="93"/>
      <c r="RB459" s="93"/>
      <c r="RC459" s="93"/>
      <c r="RD459" s="93"/>
      <c r="RE459" s="93"/>
      <c r="RF459" s="93"/>
      <c r="RG459" s="93"/>
      <c r="RH459" s="93"/>
      <c r="RI459" s="93"/>
      <c r="RJ459" s="93"/>
      <c r="RK459" s="93"/>
      <c r="RL459" s="93"/>
      <c r="RM459" s="20"/>
      <c r="RN459" s="29"/>
      <c r="RO459" s="19"/>
      <c r="RP459" s="20"/>
      <c r="RQ459" s="29"/>
      <c r="RR459" s="20"/>
      <c r="RS459" s="29"/>
      <c r="RT459" s="1504">
        <v>48427</v>
      </c>
      <c r="RU459" s="19"/>
      <c r="RV459" s="20"/>
      <c r="RW459" s="29"/>
      <c r="RX459" s="1504">
        <v>48427</v>
      </c>
      <c r="RY459" s="29"/>
      <c r="RZ459" s="20"/>
      <c r="SA459" s="29"/>
      <c r="SB459" s="29"/>
    </row>
    <row r="460" spans="1:496">
      <c r="A460" s="41">
        <f t="shared" si="358"/>
        <v>2032</v>
      </c>
      <c r="B460" s="1504">
        <v>48458</v>
      </c>
      <c r="C460" s="1813"/>
      <c r="D460" s="1814"/>
      <c r="E460" s="1814"/>
      <c r="F460" s="1815"/>
      <c r="G460" s="1814"/>
      <c r="H460" s="1814"/>
      <c r="I460" s="1814"/>
      <c r="J460" s="1816"/>
      <c r="K460" s="1807"/>
      <c r="L460" s="25"/>
      <c r="M460" s="97"/>
      <c r="N460" s="1504">
        <v>48458</v>
      </c>
      <c r="O460" s="19"/>
      <c r="P460" s="93"/>
      <c r="Q460" s="93"/>
      <c r="R460" s="93"/>
      <c r="S460" s="93"/>
      <c r="T460" s="93"/>
      <c r="U460" s="93"/>
      <c r="V460" s="93"/>
      <c r="W460" s="93"/>
      <c r="X460" s="93"/>
      <c r="Y460" s="93"/>
      <c r="Z460" s="93"/>
      <c r="AA460" s="93"/>
      <c r="AB460" s="20"/>
      <c r="AC460" s="25"/>
      <c r="AD460" s="97"/>
      <c r="AE460" s="1504">
        <v>48458</v>
      </c>
      <c r="AF460" s="19"/>
      <c r="AG460" s="93"/>
      <c r="AH460" s="93"/>
      <c r="AI460" s="93"/>
      <c r="AJ460" s="93"/>
      <c r="AK460" s="93"/>
      <c r="AL460" s="93"/>
      <c r="AM460" s="93"/>
      <c r="AN460" s="93"/>
      <c r="AO460" s="93"/>
      <c r="AP460" s="93"/>
      <c r="AQ460" s="93"/>
      <c r="AR460" s="93"/>
      <c r="AS460" s="20"/>
      <c r="AT460" s="25"/>
      <c r="AU460" s="97"/>
      <c r="AV460" s="1504">
        <v>48458</v>
      </c>
      <c r="AW460" s="19"/>
      <c r="AX460" s="93"/>
      <c r="AY460" s="93"/>
      <c r="AZ460" s="93"/>
      <c r="BA460" s="93"/>
      <c r="BB460" s="93"/>
      <c r="BC460" s="93"/>
      <c r="BD460" s="93"/>
      <c r="BE460" s="93"/>
      <c r="BF460" s="93"/>
      <c r="BG460" s="93"/>
      <c r="BH460" s="93"/>
      <c r="BI460" s="93"/>
      <c r="BJ460" s="20"/>
      <c r="BK460" s="25"/>
      <c r="BL460" s="97"/>
      <c r="BM460" s="1504">
        <v>48458</v>
      </c>
      <c r="BN460" s="19"/>
      <c r="BO460" s="93"/>
      <c r="BP460" s="93"/>
      <c r="BQ460" s="93"/>
      <c r="BR460" s="93"/>
      <c r="BS460" s="93"/>
      <c r="BT460" s="93"/>
      <c r="BU460" s="20"/>
      <c r="BV460" s="25"/>
      <c r="BW460" s="97"/>
      <c r="BX460" s="1504">
        <v>48458</v>
      </c>
      <c r="BY460" s="19"/>
      <c r="BZ460" s="93"/>
      <c r="CA460" s="93"/>
      <c r="CB460" s="93"/>
      <c r="CC460" s="93"/>
      <c r="CD460" s="25"/>
      <c r="CE460" s="97"/>
      <c r="CF460" s="1504">
        <v>48458</v>
      </c>
      <c r="CG460" s="19"/>
      <c r="CH460" s="93"/>
      <c r="CI460" s="219"/>
      <c r="CJ460" s="20"/>
      <c r="CK460" s="19"/>
      <c r="CL460" s="93"/>
      <c r="CM460" s="93"/>
      <c r="CN460" s="93"/>
      <c r="CO460" s="93"/>
      <c r="CP460" s="20"/>
      <c r="CQ460" s="219"/>
      <c r="CR460" s="93"/>
      <c r="CS460" s="93"/>
      <c r="CT460" s="93"/>
      <c r="CU460" s="93"/>
      <c r="CV460" s="214"/>
      <c r="CW460" s="29"/>
      <c r="CX460" s="41">
        <f t="shared" si="359"/>
        <v>2032</v>
      </c>
      <c r="CY460" s="1504">
        <v>48458</v>
      </c>
      <c r="CZ460" s="19"/>
      <c r="DA460" s="93"/>
      <c r="DB460" s="93"/>
      <c r="DC460" s="93"/>
      <c r="DD460" s="93"/>
      <c r="DE460" s="20"/>
      <c r="DF460" s="29"/>
      <c r="DG460" s="1504">
        <v>48458</v>
      </c>
      <c r="DH460" s="19"/>
      <c r="DI460" s="93"/>
      <c r="DJ460" s="93"/>
      <c r="DK460" s="93"/>
      <c r="DL460" s="93"/>
      <c r="DM460" s="93"/>
      <c r="DN460" s="20"/>
      <c r="DO460" s="295"/>
      <c r="DP460" s="29"/>
      <c r="DQ460" s="1504">
        <v>48458</v>
      </c>
      <c r="DR460" s="19"/>
      <c r="DS460" s="93"/>
      <c r="DT460" s="93"/>
      <c r="DU460" s="93"/>
      <c r="DV460" s="93"/>
      <c r="DW460" s="93"/>
      <c r="DX460" s="20"/>
      <c r="DY460" s="29"/>
      <c r="DZ460" s="1504">
        <v>48458</v>
      </c>
      <c r="EA460" s="19"/>
      <c r="EB460" s="93"/>
      <c r="EC460" s="20"/>
      <c r="ED460" s="29"/>
      <c r="EE460" s="1504">
        <v>48458</v>
      </c>
      <c r="EF460" s="19"/>
      <c r="EG460" s="93"/>
      <c r="EH460" s="93"/>
      <c r="EI460" s="214"/>
      <c r="EJ460" s="93"/>
      <c r="EK460" s="93"/>
      <c r="EL460" s="93"/>
      <c r="EM460" s="93"/>
      <c r="EN460" s="20"/>
      <c r="EO460" s="29"/>
      <c r="EP460" s="1504">
        <v>48458</v>
      </c>
      <c r="EQ460" s="19"/>
      <c r="ER460" s="93"/>
      <c r="ES460" s="93"/>
      <c r="ET460" s="214"/>
      <c r="EU460" s="93"/>
      <c r="EV460" s="93"/>
      <c r="EW460" s="93"/>
      <c r="EX460" s="93"/>
      <c r="EY460" s="20"/>
      <c r="EZ460" s="29"/>
      <c r="FA460" s="1504">
        <v>48458</v>
      </c>
      <c r="FB460" s="29"/>
      <c r="FC460" s="29"/>
      <c r="FD460" s="29"/>
      <c r="FE460" s="29"/>
      <c r="FF460" s="29"/>
      <c r="FG460" s="29"/>
      <c r="FH460" s="29"/>
      <c r="FI460" s="29"/>
      <c r="FJ460" s="29"/>
      <c r="FK460" s="29"/>
      <c r="FL460" s="1504">
        <v>48458</v>
      </c>
      <c r="FM460" s="19"/>
      <c r="FN460" s="93"/>
      <c r="FO460" s="93"/>
      <c r="FP460" s="93"/>
      <c r="FQ460" s="93"/>
      <c r="FR460" s="93"/>
      <c r="FS460" s="93"/>
      <c r="FT460" s="93"/>
      <c r="FU460" s="93"/>
      <c r="FV460" s="93"/>
      <c r="FW460" s="93"/>
      <c r="FX460" s="93"/>
      <c r="FY460" s="93"/>
      <c r="FZ460" s="29"/>
      <c r="GA460" s="1504">
        <v>48458</v>
      </c>
      <c r="GB460" s="19"/>
      <c r="GC460" s="93"/>
      <c r="GD460" s="93"/>
      <c r="GE460" s="93"/>
      <c r="GF460" s="93"/>
      <c r="GG460" s="93"/>
      <c r="GH460" s="93"/>
      <c r="GI460" s="93"/>
      <c r="GJ460" s="93"/>
      <c r="GK460" s="93"/>
      <c r="GL460" s="93"/>
      <c r="GM460" s="93"/>
      <c r="GN460" s="20"/>
      <c r="GO460" s="29"/>
      <c r="GP460" s="1504">
        <v>48458</v>
      </c>
      <c r="GQ460" s="19"/>
      <c r="GR460" s="93"/>
      <c r="GS460" s="93"/>
      <c r="GT460" s="93"/>
      <c r="GU460" s="93"/>
      <c r="GV460" s="20"/>
      <c r="GW460" s="19"/>
      <c r="GX460" s="93"/>
      <c r="GY460" s="93"/>
      <c r="GZ460" s="93"/>
      <c r="HA460" s="93"/>
      <c r="HB460" s="20"/>
      <c r="HC460" s="19"/>
      <c r="HD460" s="93"/>
      <c r="HE460" s="93"/>
      <c r="HF460" s="93"/>
      <c r="HG460" s="93"/>
      <c r="HH460" s="20"/>
      <c r="HI460" s="19"/>
      <c r="HJ460" s="93"/>
      <c r="HK460" s="93"/>
      <c r="HL460" s="93"/>
      <c r="HM460" s="93"/>
      <c r="HN460" s="20"/>
      <c r="HO460" s="219"/>
      <c r="HP460" s="20"/>
      <c r="HQ460" s="25"/>
      <c r="HR460" s="29"/>
      <c r="HS460" s="1504">
        <v>48458</v>
      </c>
      <c r="HT460" s="19"/>
      <c r="HU460" s="93"/>
      <c r="HV460" s="93"/>
      <c r="HW460" s="93"/>
      <c r="HX460" s="93"/>
      <c r="HY460" s="93"/>
      <c r="HZ460" s="93"/>
      <c r="IA460" s="20"/>
      <c r="IB460" s="19"/>
      <c r="IC460" s="93"/>
      <c r="ID460" s="93"/>
      <c r="IE460" s="93"/>
      <c r="IF460" s="93"/>
      <c r="IG460" s="20"/>
      <c r="IH460" s="19"/>
      <c r="II460" s="93"/>
      <c r="IJ460" s="93"/>
      <c r="IK460" s="93"/>
      <c r="IL460" s="93"/>
      <c r="IM460" s="93"/>
      <c r="IN460" s="93"/>
      <c r="IO460" s="20"/>
      <c r="IP460" s="29"/>
      <c r="IQ460" s="19"/>
      <c r="IR460" s="93"/>
      <c r="IS460" s="93"/>
      <c r="IT460" s="93"/>
      <c r="IU460" s="93"/>
      <c r="IV460" s="20"/>
      <c r="IW460" s="29"/>
      <c r="IX460" s="19"/>
      <c r="IY460" s="93"/>
      <c r="IZ460" s="93"/>
      <c r="JA460" s="93"/>
      <c r="JB460" s="93"/>
      <c r="JC460" s="93"/>
      <c r="JD460" s="93"/>
      <c r="JE460" s="20"/>
      <c r="JF460" s="29"/>
      <c r="JG460" s="19"/>
      <c r="JH460" s="93"/>
      <c r="JI460" s="93"/>
      <c r="JJ460" s="93"/>
      <c r="JK460" s="93"/>
      <c r="JL460" s="93"/>
      <c r="JM460" s="93"/>
      <c r="JN460" s="20"/>
      <c r="JO460" s="29"/>
      <c r="JP460" s="19"/>
      <c r="JQ460" s="93"/>
      <c r="JR460" s="93"/>
      <c r="JS460" s="93"/>
      <c r="JT460" s="93"/>
      <c r="JU460" s="20"/>
      <c r="JV460" s="29"/>
      <c r="JW460" s="1504">
        <v>48458</v>
      </c>
      <c r="JX460" s="19"/>
      <c r="JY460" s="93"/>
      <c r="JZ460" s="93"/>
      <c r="KA460" s="93"/>
      <c r="KB460" s="93"/>
      <c r="KC460" s="93"/>
      <c r="KD460" s="20"/>
      <c r="KE460" s="29"/>
      <c r="KF460" s="19"/>
      <c r="KG460" s="93"/>
      <c r="KH460" s="93"/>
      <c r="KI460" s="93"/>
      <c r="KJ460" s="93"/>
      <c r="KK460" s="20"/>
      <c r="KL460" s="29"/>
      <c r="KM460" s="19"/>
      <c r="KN460" s="93"/>
      <c r="KO460" s="93"/>
      <c r="KP460" s="93"/>
      <c r="KQ460" s="93"/>
      <c r="KR460" s="20"/>
      <c r="KS460" s="29"/>
      <c r="KT460" s="19"/>
      <c r="KU460" s="93"/>
      <c r="KV460" s="93"/>
      <c r="KW460" s="93"/>
      <c r="KX460" s="93"/>
      <c r="KY460" s="20"/>
      <c r="KZ460" s="29"/>
      <c r="LA460" s="1504">
        <v>48458</v>
      </c>
      <c r="LB460" s="19"/>
      <c r="LC460" s="93"/>
      <c r="LD460" s="93"/>
      <c r="LE460" s="93"/>
      <c r="LF460" s="93"/>
      <c r="LG460" s="93"/>
      <c r="LH460" s="20"/>
      <c r="LI460" s="29"/>
      <c r="LJ460" s="19"/>
      <c r="LK460" s="93"/>
      <c r="LL460" s="93"/>
      <c r="LM460" s="93"/>
      <c r="LN460" s="93"/>
      <c r="LO460" s="20"/>
      <c r="LP460" s="29"/>
      <c r="LQ460" s="19"/>
      <c r="LR460" s="93"/>
      <c r="LS460" s="93"/>
      <c r="LT460" s="93"/>
      <c r="LU460" s="93"/>
      <c r="LV460" s="93"/>
      <c r="LW460" s="93"/>
      <c r="LX460" s="93"/>
      <c r="LY460" s="93"/>
      <c r="LZ460" s="93"/>
      <c r="MA460" s="20"/>
      <c r="MB460" s="29"/>
      <c r="MC460" s="1504">
        <v>48458</v>
      </c>
      <c r="MD460" s="19"/>
      <c r="ME460" s="93"/>
      <c r="MF460" s="93"/>
      <c r="MG460" s="93"/>
      <c r="MH460" s="93"/>
      <c r="MI460" s="93"/>
      <c r="MJ460" s="93"/>
      <c r="MK460" s="93"/>
      <c r="ML460" s="93"/>
      <c r="MM460" s="93"/>
      <c r="MN460" s="93"/>
      <c r="MO460" s="93"/>
      <c r="MP460" s="93"/>
      <c r="MQ460" s="93"/>
      <c r="MR460" s="93"/>
      <c r="MS460" s="93"/>
      <c r="MT460" s="93"/>
      <c r="MU460" s="93"/>
      <c r="MV460" s="93"/>
      <c r="MW460" s="93"/>
      <c r="MX460" s="93"/>
      <c r="MY460" s="93"/>
      <c r="MZ460" s="93"/>
      <c r="NA460" s="93"/>
      <c r="NB460" s="93"/>
      <c r="NC460" s="93"/>
      <c r="ND460" s="93"/>
      <c r="NE460" s="93"/>
      <c r="NF460" s="93"/>
      <c r="NG460" s="93"/>
      <c r="NH460" s="93"/>
      <c r="NI460" s="93"/>
      <c r="NJ460" s="93"/>
      <c r="NK460" s="93"/>
      <c r="NL460" s="93"/>
      <c r="NM460" s="93"/>
      <c r="NN460" s="93"/>
      <c r="NO460" s="93"/>
      <c r="NP460" s="93"/>
      <c r="NQ460" s="93"/>
      <c r="NR460" s="93"/>
      <c r="NS460" s="93"/>
      <c r="NT460" s="93"/>
      <c r="NU460" s="93"/>
      <c r="NV460" s="93"/>
      <c r="NW460" s="93"/>
      <c r="NX460" s="93"/>
      <c r="NY460" s="93"/>
      <c r="NZ460" s="93"/>
      <c r="OA460" s="93"/>
      <c r="OB460" s="93"/>
      <c r="OC460" s="93"/>
      <c r="OD460" s="20"/>
      <c r="OE460" s="29"/>
      <c r="OF460" s="1504">
        <v>48458</v>
      </c>
      <c r="OG460" s="19"/>
      <c r="OH460" s="93"/>
      <c r="OI460" s="93"/>
      <c r="OJ460" s="93"/>
      <c r="OK460" s="93"/>
      <c r="OL460" s="93"/>
      <c r="OM460" s="93"/>
      <c r="ON460" s="93"/>
      <c r="OO460" s="93"/>
      <c r="OP460" s="93"/>
      <c r="OQ460" s="93"/>
      <c r="OR460" s="93"/>
      <c r="OS460" s="93"/>
      <c r="OT460" s="93"/>
      <c r="OU460" s="93"/>
      <c r="OV460" s="93"/>
      <c r="OW460" s="93"/>
      <c r="OX460" s="93"/>
      <c r="OY460" s="93"/>
      <c r="OZ460" s="93"/>
      <c r="PA460" s="93"/>
      <c r="PB460" s="93"/>
      <c r="PC460" s="20"/>
      <c r="PD460" s="29"/>
      <c r="PE460" s="19"/>
      <c r="PF460" s="93"/>
      <c r="PG460" s="93"/>
      <c r="PH460" s="93"/>
      <c r="PI460" s="93"/>
      <c r="PJ460" s="93"/>
      <c r="PK460" s="93"/>
      <c r="PL460" s="93"/>
      <c r="PM460" s="93"/>
      <c r="PN460" s="93"/>
      <c r="PO460" s="93"/>
      <c r="PP460" s="93"/>
      <c r="PQ460" s="93"/>
      <c r="PR460" s="93"/>
      <c r="PS460" s="93"/>
      <c r="PT460" s="93"/>
      <c r="PU460" s="93"/>
      <c r="PV460" s="93"/>
      <c r="PW460" s="93"/>
      <c r="PX460" s="93"/>
      <c r="PY460" s="93"/>
      <c r="PZ460" s="93"/>
      <c r="QA460" s="93"/>
      <c r="QB460" s="93"/>
      <c r="QC460" s="93"/>
      <c r="QD460" s="93"/>
      <c r="QE460" s="20"/>
      <c r="QF460" s="1739"/>
      <c r="QG460" s="19"/>
      <c r="QH460" s="93"/>
      <c r="QI460" s="93"/>
      <c r="QJ460" s="93"/>
      <c r="QK460" s="93"/>
      <c r="QL460" s="93"/>
      <c r="QM460" s="93"/>
      <c r="QN460" s="93"/>
      <c r="QO460" s="93"/>
      <c r="QP460" s="93"/>
      <c r="QQ460" s="93"/>
      <c r="QR460" s="93"/>
      <c r="QS460" s="93"/>
      <c r="QT460" s="93"/>
      <c r="QU460" s="93"/>
      <c r="QV460" s="93"/>
      <c r="QW460" s="93"/>
      <c r="QX460" s="93"/>
      <c r="QY460" s="93"/>
      <c r="QZ460" s="93"/>
      <c r="RA460" s="93"/>
      <c r="RB460" s="93"/>
      <c r="RC460" s="93"/>
      <c r="RD460" s="93"/>
      <c r="RE460" s="93"/>
      <c r="RF460" s="93"/>
      <c r="RG460" s="93"/>
      <c r="RH460" s="93"/>
      <c r="RI460" s="93"/>
      <c r="RJ460" s="93"/>
      <c r="RK460" s="93"/>
      <c r="RL460" s="93"/>
      <c r="RM460" s="20"/>
      <c r="RN460" s="29"/>
      <c r="RO460" s="19"/>
      <c r="RP460" s="20"/>
      <c r="RQ460" s="29"/>
      <c r="RR460" s="20"/>
      <c r="RS460" s="29"/>
      <c r="RT460" s="1504">
        <v>48458</v>
      </c>
      <c r="RU460" s="19"/>
      <c r="RV460" s="20"/>
      <c r="RW460" s="29"/>
      <c r="RX460" s="1504">
        <v>48458</v>
      </c>
      <c r="RY460" s="29"/>
      <c r="RZ460" s="20"/>
      <c r="SA460" s="29"/>
      <c r="SB460" s="29"/>
    </row>
    <row r="461" spans="1:496">
      <c r="A461" s="41">
        <f t="shared" si="358"/>
        <v>2032</v>
      </c>
      <c r="B461" s="1504">
        <v>48488</v>
      </c>
      <c r="C461" s="1813"/>
      <c r="D461" s="1814"/>
      <c r="E461" s="1814"/>
      <c r="F461" s="1815"/>
      <c r="G461" s="1814"/>
      <c r="H461" s="1814"/>
      <c r="I461" s="1814"/>
      <c r="J461" s="1816"/>
      <c r="K461" s="1807"/>
      <c r="L461" s="25"/>
      <c r="M461" s="97"/>
      <c r="N461" s="1504">
        <v>48488</v>
      </c>
      <c r="O461" s="19"/>
      <c r="P461" s="93"/>
      <c r="Q461" s="93"/>
      <c r="R461" s="93"/>
      <c r="S461" s="93"/>
      <c r="T461" s="93"/>
      <c r="U461" s="93"/>
      <c r="V461" s="93"/>
      <c r="W461" s="93"/>
      <c r="X461" s="93"/>
      <c r="Y461" s="93"/>
      <c r="Z461" s="93"/>
      <c r="AA461" s="93"/>
      <c r="AB461" s="20"/>
      <c r="AC461" s="25"/>
      <c r="AD461" s="97"/>
      <c r="AE461" s="1504">
        <v>48488</v>
      </c>
      <c r="AF461" s="19"/>
      <c r="AG461" s="93"/>
      <c r="AH461" s="93"/>
      <c r="AI461" s="93"/>
      <c r="AJ461" s="93"/>
      <c r="AK461" s="93"/>
      <c r="AL461" s="93"/>
      <c r="AM461" s="93"/>
      <c r="AN461" s="93"/>
      <c r="AO461" s="93"/>
      <c r="AP461" s="93"/>
      <c r="AQ461" s="93"/>
      <c r="AR461" s="93"/>
      <c r="AS461" s="20"/>
      <c r="AT461" s="25"/>
      <c r="AU461" s="97"/>
      <c r="AV461" s="1504">
        <v>48488</v>
      </c>
      <c r="AW461" s="19"/>
      <c r="AX461" s="93"/>
      <c r="AY461" s="93"/>
      <c r="AZ461" s="93"/>
      <c r="BA461" s="93"/>
      <c r="BB461" s="93"/>
      <c r="BC461" s="93"/>
      <c r="BD461" s="93"/>
      <c r="BE461" s="93"/>
      <c r="BF461" s="93"/>
      <c r="BG461" s="93"/>
      <c r="BH461" s="93"/>
      <c r="BI461" s="93"/>
      <c r="BJ461" s="20"/>
      <c r="BK461" s="25"/>
      <c r="BL461" s="97"/>
      <c r="BM461" s="1504">
        <v>48488</v>
      </c>
      <c r="BN461" s="19"/>
      <c r="BO461" s="93"/>
      <c r="BP461" s="93"/>
      <c r="BQ461" s="93"/>
      <c r="BR461" s="93"/>
      <c r="BS461" s="93"/>
      <c r="BT461" s="93"/>
      <c r="BU461" s="20"/>
      <c r="BV461" s="25"/>
      <c r="BW461" s="97"/>
      <c r="BX461" s="1504">
        <v>48488</v>
      </c>
      <c r="BY461" s="19"/>
      <c r="BZ461" s="93"/>
      <c r="CA461" s="93"/>
      <c r="CB461" s="93"/>
      <c r="CC461" s="93"/>
      <c r="CD461" s="25"/>
      <c r="CE461" s="97"/>
      <c r="CF461" s="1504">
        <v>48488</v>
      </c>
      <c r="CG461" s="19"/>
      <c r="CH461" s="93"/>
      <c r="CI461" s="219"/>
      <c r="CJ461" s="20"/>
      <c r="CK461" s="19"/>
      <c r="CL461" s="93"/>
      <c r="CM461" s="93"/>
      <c r="CN461" s="93"/>
      <c r="CO461" s="93"/>
      <c r="CP461" s="20"/>
      <c r="CQ461" s="219"/>
      <c r="CR461" s="93"/>
      <c r="CS461" s="93"/>
      <c r="CT461" s="93"/>
      <c r="CU461" s="93"/>
      <c r="CV461" s="214"/>
      <c r="CW461" s="29"/>
      <c r="CX461" s="41">
        <f t="shared" si="359"/>
        <v>2032</v>
      </c>
      <c r="CY461" s="1504">
        <v>48488</v>
      </c>
      <c r="CZ461" s="19"/>
      <c r="DA461" s="93"/>
      <c r="DB461" s="93"/>
      <c r="DC461" s="93"/>
      <c r="DD461" s="93"/>
      <c r="DE461" s="20"/>
      <c r="DF461" s="29"/>
      <c r="DG461" s="1504">
        <v>48488</v>
      </c>
      <c r="DH461" s="19"/>
      <c r="DI461" s="93"/>
      <c r="DJ461" s="93"/>
      <c r="DK461" s="93"/>
      <c r="DL461" s="93"/>
      <c r="DM461" s="93"/>
      <c r="DN461" s="20"/>
      <c r="DO461" s="295"/>
      <c r="DP461" s="29"/>
      <c r="DQ461" s="1504">
        <v>48488</v>
      </c>
      <c r="DR461" s="19"/>
      <c r="DS461" s="93"/>
      <c r="DT461" s="93"/>
      <c r="DU461" s="93"/>
      <c r="DV461" s="93"/>
      <c r="DW461" s="93"/>
      <c r="DX461" s="20"/>
      <c r="DY461" s="29"/>
      <c r="DZ461" s="1504">
        <v>48488</v>
      </c>
      <c r="EA461" s="19"/>
      <c r="EB461" s="93"/>
      <c r="EC461" s="20"/>
      <c r="ED461" s="29"/>
      <c r="EE461" s="1504">
        <v>48488</v>
      </c>
      <c r="EF461" s="19"/>
      <c r="EG461" s="93"/>
      <c r="EH461" s="93"/>
      <c r="EI461" s="214"/>
      <c r="EJ461" s="93"/>
      <c r="EK461" s="93"/>
      <c r="EL461" s="93"/>
      <c r="EM461" s="93"/>
      <c r="EN461" s="20"/>
      <c r="EO461" s="29"/>
      <c r="EP461" s="1504">
        <v>48488</v>
      </c>
      <c r="EQ461" s="19"/>
      <c r="ER461" s="93"/>
      <c r="ES461" s="93"/>
      <c r="ET461" s="214"/>
      <c r="EU461" s="93"/>
      <c r="EV461" s="93"/>
      <c r="EW461" s="93"/>
      <c r="EX461" s="93"/>
      <c r="EY461" s="20"/>
      <c r="EZ461" s="29"/>
      <c r="FA461" s="1504">
        <v>48488</v>
      </c>
      <c r="FB461" s="29"/>
      <c r="FC461" s="29"/>
      <c r="FD461" s="29"/>
      <c r="FE461" s="29"/>
      <c r="FF461" s="29"/>
      <c r="FG461" s="29"/>
      <c r="FH461" s="29"/>
      <c r="FI461" s="29"/>
      <c r="FJ461" s="29"/>
      <c r="FK461" s="29"/>
      <c r="FL461" s="1504">
        <v>48488</v>
      </c>
      <c r="FM461" s="19"/>
      <c r="FN461" s="93"/>
      <c r="FO461" s="93"/>
      <c r="FP461" s="93"/>
      <c r="FQ461" s="93"/>
      <c r="FR461" s="93"/>
      <c r="FS461" s="93"/>
      <c r="FT461" s="93"/>
      <c r="FU461" s="93"/>
      <c r="FV461" s="93"/>
      <c r="FW461" s="93"/>
      <c r="FX461" s="93"/>
      <c r="FY461" s="93"/>
      <c r="FZ461" s="29"/>
      <c r="GA461" s="1504">
        <v>48488</v>
      </c>
      <c r="GB461" s="19"/>
      <c r="GC461" s="93"/>
      <c r="GD461" s="93"/>
      <c r="GE461" s="93"/>
      <c r="GF461" s="93"/>
      <c r="GG461" s="93"/>
      <c r="GH461" s="93"/>
      <c r="GI461" s="93"/>
      <c r="GJ461" s="93"/>
      <c r="GK461" s="93"/>
      <c r="GL461" s="93"/>
      <c r="GM461" s="93"/>
      <c r="GN461" s="20"/>
      <c r="GO461" s="29"/>
      <c r="GP461" s="1504">
        <v>48488</v>
      </c>
      <c r="GQ461" s="19"/>
      <c r="GR461" s="93"/>
      <c r="GS461" s="93"/>
      <c r="GT461" s="93"/>
      <c r="GU461" s="93"/>
      <c r="GV461" s="20"/>
      <c r="GW461" s="19"/>
      <c r="GX461" s="93"/>
      <c r="GY461" s="93"/>
      <c r="GZ461" s="93"/>
      <c r="HA461" s="93"/>
      <c r="HB461" s="20"/>
      <c r="HC461" s="19"/>
      <c r="HD461" s="93"/>
      <c r="HE461" s="93"/>
      <c r="HF461" s="93"/>
      <c r="HG461" s="93"/>
      <c r="HH461" s="20"/>
      <c r="HI461" s="19"/>
      <c r="HJ461" s="93"/>
      <c r="HK461" s="93"/>
      <c r="HL461" s="93"/>
      <c r="HM461" s="93"/>
      <c r="HN461" s="20"/>
      <c r="HO461" s="219"/>
      <c r="HP461" s="20"/>
      <c r="HQ461" s="25"/>
      <c r="HR461" s="29"/>
      <c r="HS461" s="1504">
        <v>48488</v>
      </c>
      <c r="HT461" s="19"/>
      <c r="HU461" s="93"/>
      <c r="HV461" s="93"/>
      <c r="HW461" s="93"/>
      <c r="HX461" s="93"/>
      <c r="HY461" s="93"/>
      <c r="HZ461" s="93"/>
      <c r="IA461" s="20"/>
      <c r="IB461" s="19"/>
      <c r="IC461" s="93"/>
      <c r="ID461" s="93"/>
      <c r="IE461" s="93"/>
      <c r="IF461" s="93"/>
      <c r="IG461" s="20"/>
      <c r="IH461" s="19"/>
      <c r="II461" s="93"/>
      <c r="IJ461" s="93"/>
      <c r="IK461" s="93"/>
      <c r="IL461" s="93"/>
      <c r="IM461" s="93"/>
      <c r="IN461" s="93"/>
      <c r="IO461" s="20"/>
      <c r="IP461" s="29"/>
      <c r="IQ461" s="19"/>
      <c r="IR461" s="93"/>
      <c r="IS461" s="93"/>
      <c r="IT461" s="93"/>
      <c r="IU461" s="93"/>
      <c r="IV461" s="20"/>
      <c r="IW461" s="29"/>
      <c r="IX461" s="19"/>
      <c r="IY461" s="93"/>
      <c r="IZ461" s="93"/>
      <c r="JA461" s="93"/>
      <c r="JB461" s="93"/>
      <c r="JC461" s="93"/>
      <c r="JD461" s="93"/>
      <c r="JE461" s="20"/>
      <c r="JF461" s="29"/>
      <c r="JG461" s="19"/>
      <c r="JH461" s="93"/>
      <c r="JI461" s="93"/>
      <c r="JJ461" s="93"/>
      <c r="JK461" s="93"/>
      <c r="JL461" s="93"/>
      <c r="JM461" s="93"/>
      <c r="JN461" s="20"/>
      <c r="JO461" s="29"/>
      <c r="JP461" s="19"/>
      <c r="JQ461" s="93"/>
      <c r="JR461" s="93"/>
      <c r="JS461" s="93"/>
      <c r="JT461" s="93"/>
      <c r="JU461" s="20"/>
      <c r="JV461" s="29"/>
      <c r="JW461" s="1504">
        <v>48488</v>
      </c>
      <c r="JX461" s="19"/>
      <c r="JY461" s="93"/>
      <c r="JZ461" s="93"/>
      <c r="KA461" s="93"/>
      <c r="KB461" s="93"/>
      <c r="KC461" s="93"/>
      <c r="KD461" s="20"/>
      <c r="KE461" s="29"/>
      <c r="KF461" s="19"/>
      <c r="KG461" s="93"/>
      <c r="KH461" s="93"/>
      <c r="KI461" s="93"/>
      <c r="KJ461" s="93"/>
      <c r="KK461" s="20"/>
      <c r="KL461" s="29"/>
      <c r="KM461" s="19"/>
      <c r="KN461" s="93"/>
      <c r="KO461" s="93"/>
      <c r="KP461" s="93"/>
      <c r="KQ461" s="93"/>
      <c r="KR461" s="20"/>
      <c r="KS461" s="29"/>
      <c r="KT461" s="19"/>
      <c r="KU461" s="93"/>
      <c r="KV461" s="93"/>
      <c r="KW461" s="93"/>
      <c r="KX461" s="93"/>
      <c r="KY461" s="20"/>
      <c r="KZ461" s="29"/>
      <c r="LA461" s="1504">
        <v>48488</v>
      </c>
      <c r="LB461" s="19"/>
      <c r="LC461" s="93"/>
      <c r="LD461" s="93"/>
      <c r="LE461" s="93"/>
      <c r="LF461" s="93"/>
      <c r="LG461" s="93"/>
      <c r="LH461" s="20"/>
      <c r="LI461" s="29"/>
      <c r="LJ461" s="19"/>
      <c r="LK461" s="93"/>
      <c r="LL461" s="93"/>
      <c r="LM461" s="93"/>
      <c r="LN461" s="93"/>
      <c r="LO461" s="20"/>
      <c r="LP461" s="29"/>
      <c r="LQ461" s="19"/>
      <c r="LR461" s="93"/>
      <c r="LS461" s="93"/>
      <c r="LT461" s="93"/>
      <c r="LU461" s="93"/>
      <c r="LV461" s="93"/>
      <c r="LW461" s="93"/>
      <c r="LX461" s="93"/>
      <c r="LY461" s="93"/>
      <c r="LZ461" s="93"/>
      <c r="MA461" s="20"/>
      <c r="MB461" s="29"/>
      <c r="MC461" s="1504">
        <v>48488</v>
      </c>
      <c r="MD461" s="19"/>
      <c r="ME461" s="93"/>
      <c r="MF461" s="93"/>
      <c r="MG461" s="93"/>
      <c r="MH461" s="93"/>
      <c r="MI461" s="93"/>
      <c r="MJ461" s="93"/>
      <c r="MK461" s="93"/>
      <c r="ML461" s="93"/>
      <c r="MM461" s="93"/>
      <c r="MN461" s="93"/>
      <c r="MO461" s="93"/>
      <c r="MP461" s="93"/>
      <c r="MQ461" s="93"/>
      <c r="MR461" s="93"/>
      <c r="MS461" s="93"/>
      <c r="MT461" s="93"/>
      <c r="MU461" s="93"/>
      <c r="MV461" s="93"/>
      <c r="MW461" s="93"/>
      <c r="MX461" s="93"/>
      <c r="MY461" s="93"/>
      <c r="MZ461" s="93"/>
      <c r="NA461" s="93"/>
      <c r="NB461" s="93"/>
      <c r="NC461" s="93"/>
      <c r="ND461" s="93"/>
      <c r="NE461" s="93"/>
      <c r="NF461" s="93"/>
      <c r="NG461" s="93"/>
      <c r="NH461" s="93"/>
      <c r="NI461" s="93"/>
      <c r="NJ461" s="93"/>
      <c r="NK461" s="93"/>
      <c r="NL461" s="93"/>
      <c r="NM461" s="93"/>
      <c r="NN461" s="93"/>
      <c r="NO461" s="93"/>
      <c r="NP461" s="93"/>
      <c r="NQ461" s="93"/>
      <c r="NR461" s="93"/>
      <c r="NS461" s="93"/>
      <c r="NT461" s="93"/>
      <c r="NU461" s="93"/>
      <c r="NV461" s="93"/>
      <c r="NW461" s="93"/>
      <c r="NX461" s="93"/>
      <c r="NY461" s="93"/>
      <c r="NZ461" s="93"/>
      <c r="OA461" s="93"/>
      <c r="OB461" s="93"/>
      <c r="OC461" s="93"/>
      <c r="OD461" s="20"/>
      <c r="OE461" s="29"/>
      <c r="OF461" s="1504">
        <v>48488</v>
      </c>
      <c r="OG461" s="19"/>
      <c r="OH461" s="93"/>
      <c r="OI461" s="93"/>
      <c r="OJ461" s="93"/>
      <c r="OK461" s="93"/>
      <c r="OL461" s="93"/>
      <c r="OM461" s="93"/>
      <c r="ON461" s="93"/>
      <c r="OO461" s="93"/>
      <c r="OP461" s="93"/>
      <c r="OQ461" s="93"/>
      <c r="OR461" s="93"/>
      <c r="OS461" s="93"/>
      <c r="OT461" s="93"/>
      <c r="OU461" s="93"/>
      <c r="OV461" s="93"/>
      <c r="OW461" s="93"/>
      <c r="OX461" s="93"/>
      <c r="OY461" s="93"/>
      <c r="OZ461" s="93"/>
      <c r="PA461" s="93"/>
      <c r="PB461" s="93"/>
      <c r="PC461" s="20"/>
      <c r="PD461" s="29"/>
      <c r="PE461" s="19"/>
      <c r="PF461" s="93"/>
      <c r="PG461" s="93"/>
      <c r="PH461" s="93"/>
      <c r="PI461" s="93"/>
      <c r="PJ461" s="93"/>
      <c r="PK461" s="93"/>
      <c r="PL461" s="93"/>
      <c r="PM461" s="93"/>
      <c r="PN461" s="93"/>
      <c r="PO461" s="93"/>
      <c r="PP461" s="93"/>
      <c r="PQ461" s="93"/>
      <c r="PR461" s="93"/>
      <c r="PS461" s="93"/>
      <c r="PT461" s="93"/>
      <c r="PU461" s="93"/>
      <c r="PV461" s="93"/>
      <c r="PW461" s="93"/>
      <c r="PX461" s="93"/>
      <c r="PY461" s="93"/>
      <c r="PZ461" s="93"/>
      <c r="QA461" s="93"/>
      <c r="QB461" s="93"/>
      <c r="QC461" s="93"/>
      <c r="QD461" s="93"/>
      <c r="QE461" s="20"/>
      <c r="QF461" s="1739"/>
      <c r="QG461" s="19"/>
      <c r="QH461" s="93"/>
      <c r="QI461" s="93"/>
      <c r="QJ461" s="93"/>
      <c r="QK461" s="93"/>
      <c r="QL461" s="93"/>
      <c r="QM461" s="93"/>
      <c r="QN461" s="93"/>
      <c r="QO461" s="93"/>
      <c r="QP461" s="93"/>
      <c r="QQ461" s="93"/>
      <c r="QR461" s="93"/>
      <c r="QS461" s="93"/>
      <c r="QT461" s="93"/>
      <c r="QU461" s="93"/>
      <c r="QV461" s="93"/>
      <c r="QW461" s="93"/>
      <c r="QX461" s="93"/>
      <c r="QY461" s="93"/>
      <c r="QZ461" s="93"/>
      <c r="RA461" s="93"/>
      <c r="RB461" s="93"/>
      <c r="RC461" s="93"/>
      <c r="RD461" s="93"/>
      <c r="RE461" s="93"/>
      <c r="RF461" s="93"/>
      <c r="RG461" s="93"/>
      <c r="RH461" s="93"/>
      <c r="RI461" s="93"/>
      <c r="RJ461" s="93"/>
      <c r="RK461" s="93"/>
      <c r="RL461" s="93"/>
      <c r="RM461" s="20"/>
      <c r="RN461" s="29"/>
      <c r="RO461" s="19"/>
      <c r="RP461" s="20"/>
      <c r="RQ461" s="29"/>
      <c r="RR461" s="20"/>
      <c r="RS461" s="29"/>
      <c r="RT461" s="1504">
        <v>48488</v>
      </c>
      <c r="RU461" s="19"/>
      <c r="RV461" s="20"/>
      <c r="RW461" s="29"/>
      <c r="RX461" s="1504">
        <v>48488</v>
      </c>
      <c r="RY461" s="29"/>
      <c r="RZ461" s="20"/>
      <c r="SA461" s="29"/>
      <c r="SB461" s="29"/>
    </row>
    <row r="462" spans="1:496">
      <c r="A462" s="41">
        <f t="shared" si="358"/>
        <v>2032</v>
      </c>
      <c r="B462" s="1504">
        <v>48519</v>
      </c>
      <c r="C462" s="1813"/>
      <c r="D462" s="1814"/>
      <c r="E462" s="1814"/>
      <c r="F462" s="1815"/>
      <c r="G462" s="1814"/>
      <c r="H462" s="1814"/>
      <c r="I462" s="1814"/>
      <c r="J462" s="1816"/>
      <c r="K462" s="1807"/>
      <c r="L462" s="25"/>
      <c r="M462" s="97"/>
      <c r="N462" s="1504">
        <v>48519</v>
      </c>
      <c r="O462" s="19"/>
      <c r="P462" s="93"/>
      <c r="Q462" s="93"/>
      <c r="R462" s="93"/>
      <c r="S462" s="93"/>
      <c r="T462" s="93"/>
      <c r="U462" s="93"/>
      <c r="V462" s="93"/>
      <c r="W462" s="93"/>
      <c r="X462" s="93"/>
      <c r="Y462" s="93"/>
      <c r="Z462" s="93"/>
      <c r="AA462" s="93"/>
      <c r="AB462" s="20"/>
      <c r="AC462" s="25"/>
      <c r="AD462" s="97"/>
      <c r="AE462" s="1504">
        <v>48519</v>
      </c>
      <c r="AF462" s="19"/>
      <c r="AG462" s="93"/>
      <c r="AH462" s="93"/>
      <c r="AI462" s="93"/>
      <c r="AJ462" s="93"/>
      <c r="AK462" s="93"/>
      <c r="AL462" s="93"/>
      <c r="AM462" s="93"/>
      <c r="AN462" s="93"/>
      <c r="AO462" s="93"/>
      <c r="AP462" s="93"/>
      <c r="AQ462" s="93"/>
      <c r="AR462" s="93"/>
      <c r="AS462" s="20"/>
      <c r="AT462" s="25"/>
      <c r="AU462" s="97"/>
      <c r="AV462" s="1504">
        <v>48519</v>
      </c>
      <c r="AW462" s="19"/>
      <c r="AX462" s="93"/>
      <c r="AY462" s="93"/>
      <c r="AZ462" s="93"/>
      <c r="BA462" s="93"/>
      <c r="BB462" s="93"/>
      <c r="BC462" s="93"/>
      <c r="BD462" s="93"/>
      <c r="BE462" s="93"/>
      <c r="BF462" s="93"/>
      <c r="BG462" s="93"/>
      <c r="BH462" s="93"/>
      <c r="BI462" s="93"/>
      <c r="BJ462" s="20"/>
      <c r="BK462" s="25"/>
      <c r="BL462" s="97"/>
      <c r="BM462" s="1504">
        <v>48519</v>
      </c>
      <c r="BN462" s="19"/>
      <c r="BO462" s="93"/>
      <c r="BP462" s="93"/>
      <c r="BQ462" s="93"/>
      <c r="BR462" s="93"/>
      <c r="BS462" s="93"/>
      <c r="BT462" s="93"/>
      <c r="BU462" s="20"/>
      <c r="BV462" s="25"/>
      <c r="BW462" s="97"/>
      <c r="BX462" s="1504">
        <v>48519</v>
      </c>
      <c r="BY462" s="19"/>
      <c r="BZ462" s="93"/>
      <c r="CA462" s="93"/>
      <c r="CB462" s="93"/>
      <c r="CC462" s="93"/>
      <c r="CD462" s="25"/>
      <c r="CE462" s="97"/>
      <c r="CF462" s="1504">
        <v>48519</v>
      </c>
      <c r="CG462" s="19"/>
      <c r="CH462" s="93"/>
      <c r="CI462" s="219"/>
      <c r="CJ462" s="20"/>
      <c r="CK462" s="19"/>
      <c r="CL462" s="93"/>
      <c r="CM462" s="93"/>
      <c r="CN462" s="93"/>
      <c r="CO462" s="93"/>
      <c r="CP462" s="20"/>
      <c r="CQ462" s="219"/>
      <c r="CR462" s="93"/>
      <c r="CS462" s="93"/>
      <c r="CT462" s="93"/>
      <c r="CU462" s="93"/>
      <c r="CV462" s="214"/>
      <c r="CW462" s="29"/>
      <c r="CX462" s="41">
        <f t="shared" si="359"/>
        <v>2032</v>
      </c>
      <c r="CY462" s="1504">
        <v>48519</v>
      </c>
      <c r="CZ462" s="19"/>
      <c r="DA462" s="93"/>
      <c r="DB462" s="93"/>
      <c r="DC462" s="93"/>
      <c r="DD462" s="93"/>
      <c r="DE462" s="20"/>
      <c r="DF462" s="29"/>
      <c r="DG462" s="1504">
        <v>48519</v>
      </c>
      <c r="DH462" s="19"/>
      <c r="DI462" s="93"/>
      <c r="DJ462" s="93"/>
      <c r="DK462" s="93"/>
      <c r="DL462" s="93"/>
      <c r="DM462" s="93"/>
      <c r="DN462" s="20"/>
      <c r="DO462" s="295"/>
      <c r="DP462" s="29"/>
      <c r="DQ462" s="1504">
        <v>48519</v>
      </c>
      <c r="DR462" s="19"/>
      <c r="DS462" s="93"/>
      <c r="DT462" s="93"/>
      <c r="DU462" s="93"/>
      <c r="DV462" s="93"/>
      <c r="DW462" s="93"/>
      <c r="DX462" s="20"/>
      <c r="DY462" s="29"/>
      <c r="DZ462" s="1504">
        <v>48519</v>
      </c>
      <c r="EA462" s="19"/>
      <c r="EB462" s="93"/>
      <c r="EC462" s="20"/>
      <c r="ED462" s="29"/>
      <c r="EE462" s="1504">
        <v>48519</v>
      </c>
      <c r="EF462" s="19"/>
      <c r="EG462" s="93"/>
      <c r="EH462" s="93"/>
      <c r="EI462" s="214"/>
      <c r="EJ462" s="93"/>
      <c r="EK462" s="93"/>
      <c r="EL462" s="93"/>
      <c r="EM462" s="93"/>
      <c r="EN462" s="20"/>
      <c r="EO462" s="29"/>
      <c r="EP462" s="1504">
        <v>48519</v>
      </c>
      <c r="EQ462" s="19"/>
      <c r="ER462" s="93"/>
      <c r="ES462" s="93"/>
      <c r="ET462" s="214"/>
      <c r="EU462" s="93"/>
      <c r="EV462" s="93"/>
      <c r="EW462" s="93"/>
      <c r="EX462" s="93"/>
      <c r="EY462" s="20"/>
      <c r="EZ462" s="29"/>
      <c r="FA462" s="1504">
        <v>48519</v>
      </c>
      <c r="FB462" s="29"/>
      <c r="FC462" s="29"/>
      <c r="FD462" s="29"/>
      <c r="FE462" s="29"/>
      <c r="FF462" s="29"/>
      <c r="FG462" s="29"/>
      <c r="FH462" s="29"/>
      <c r="FI462" s="29"/>
      <c r="FJ462" s="29"/>
      <c r="FK462" s="29"/>
      <c r="FL462" s="1504">
        <v>48519</v>
      </c>
      <c r="FM462" s="19"/>
      <c r="FN462" s="93"/>
      <c r="FO462" s="93"/>
      <c r="FP462" s="93"/>
      <c r="FQ462" s="93"/>
      <c r="FR462" s="93"/>
      <c r="FS462" s="93"/>
      <c r="FT462" s="93"/>
      <c r="FU462" s="93"/>
      <c r="FV462" s="93"/>
      <c r="FW462" s="93"/>
      <c r="FX462" s="93"/>
      <c r="FY462" s="93"/>
      <c r="FZ462" s="29"/>
      <c r="GA462" s="1504">
        <v>48519</v>
      </c>
      <c r="GB462" s="19"/>
      <c r="GC462" s="93"/>
      <c r="GD462" s="93"/>
      <c r="GE462" s="93"/>
      <c r="GF462" s="93"/>
      <c r="GG462" s="93"/>
      <c r="GH462" s="93"/>
      <c r="GI462" s="93"/>
      <c r="GJ462" s="93"/>
      <c r="GK462" s="93"/>
      <c r="GL462" s="93"/>
      <c r="GM462" s="93"/>
      <c r="GN462" s="20"/>
      <c r="GO462" s="29"/>
      <c r="GP462" s="1504">
        <v>48519</v>
      </c>
      <c r="GQ462" s="19"/>
      <c r="GR462" s="93"/>
      <c r="GS462" s="93"/>
      <c r="GT462" s="93"/>
      <c r="GU462" s="93"/>
      <c r="GV462" s="20"/>
      <c r="GW462" s="19"/>
      <c r="GX462" s="93"/>
      <c r="GY462" s="93"/>
      <c r="GZ462" s="93"/>
      <c r="HA462" s="93"/>
      <c r="HB462" s="20"/>
      <c r="HC462" s="19"/>
      <c r="HD462" s="93"/>
      <c r="HE462" s="93"/>
      <c r="HF462" s="93"/>
      <c r="HG462" s="93"/>
      <c r="HH462" s="20"/>
      <c r="HI462" s="19"/>
      <c r="HJ462" s="93"/>
      <c r="HK462" s="93"/>
      <c r="HL462" s="93"/>
      <c r="HM462" s="93"/>
      <c r="HN462" s="20"/>
      <c r="HO462" s="219"/>
      <c r="HP462" s="20"/>
      <c r="HQ462" s="25"/>
      <c r="HR462" s="29"/>
      <c r="HS462" s="1504">
        <v>48519</v>
      </c>
      <c r="HT462" s="19"/>
      <c r="HU462" s="93"/>
      <c r="HV462" s="93"/>
      <c r="HW462" s="93"/>
      <c r="HX462" s="93"/>
      <c r="HY462" s="93"/>
      <c r="HZ462" s="93"/>
      <c r="IA462" s="20"/>
      <c r="IB462" s="19"/>
      <c r="IC462" s="93"/>
      <c r="ID462" s="93"/>
      <c r="IE462" s="93"/>
      <c r="IF462" s="93"/>
      <c r="IG462" s="20"/>
      <c r="IH462" s="19"/>
      <c r="II462" s="93"/>
      <c r="IJ462" s="93"/>
      <c r="IK462" s="93"/>
      <c r="IL462" s="93"/>
      <c r="IM462" s="93"/>
      <c r="IN462" s="93"/>
      <c r="IO462" s="20"/>
      <c r="IP462" s="29"/>
      <c r="IQ462" s="19"/>
      <c r="IR462" s="93"/>
      <c r="IS462" s="93"/>
      <c r="IT462" s="93"/>
      <c r="IU462" s="93"/>
      <c r="IV462" s="20"/>
      <c r="IW462" s="29"/>
      <c r="IX462" s="19"/>
      <c r="IY462" s="93"/>
      <c r="IZ462" s="93"/>
      <c r="JA462" s="93"/>
      <c r="JB462" s="93"/>
      <c r="JC462" s="93"/>
      <c r="JD462" s="93"/>
      <c r="JE462" s="20"/>
      <c r="JF462" s="29"/>
      <c r="JG462" s="19"/>
      <c r="JH462" s="93"/>
      <c r="JI462" s="93"/>
      <c r="JJ462" s="93"/>
      <c r="JK462" s="93"/>
      <c r="JL462" s="93"/>
      <c r="JM462" s="93"/>
      <c r="JN462" s="20"/>
      <c r="JO462" s="29"/>
      <c r="JP462" s="19"/>
      <c r="JQ462" s="93"/>
      <c r="JR462" s="93"/>
      <c r="JS462" s="93"/>
      <c r="JT462" s="93"/>
      <c r="JU462" s="20"/>
      <c r="JV462" s="29"/>
      <c r="JW462" s="1504">
        <v>48519</v>
      </c>
      <c r="JX462" s="19"/>
      <c r="JY462" s="93"/>
      <c r="JZ462" s="93"/>
      <c r="KA462" s="93"/>
      <c r="KB462" s="93"/>
      <c r="KC462" s="93"/>
      <c r="KD462" s="20"/>
      <c r="KE462" s="29"/>
      <c r="KF462" s="19"/>
      <c r="KG462" s="93"/>
      <c r="KH462" s="93"/>
      <c r="KI462" s="93"/>
      <c r="KJ462" s="93"/>
      <c r="KK462" s="20"/>
      <c r="KL462" s="29"/>
      <c r="KM462" s="19"/>
      <c r="KN462" s="93"/>
      <c r="KO462" s="93"/>
      <c r="KP462" s="93"/>
      <c r="KQ462" s="93"/>
      <c r="KR462" s="20"/>
      <c r="KS462" s="29"/>
      <c r="KT462" s="19"/>
      <c r="KU462" s="93"/>
      <c r="KV462" s="93"/>
      <c r="KW462" s="93"/>
      <c r="KX462" s="93"/>
      <c r="KY462" s="20"/>
      <c r="KZ462" s="29"/>
      <c r="LA462" s="1504">
        <v>48519</v>
      </c>
      <c r="LB462" s="19"/>
      <c r="LC462" s="93"/>
      <c r="LD462" s="93"/>
      <c r="LE462" s="93"/>
      <c r="LF462" s="93"/>
      <c r="LG462" s="93"/>
      <c r="LH462" s="20"/>
      <c r="LI462" s="29"/>
      <c r="LJ462" s="19"/>
      <c r="LK462" s="93"/>
      <c r="LL462" s="93"/>
      <c r="LM462" s="93"/>
      <c r="LN462" s="93"/>
      <c r="LO462" s="20"/>
      <c r="LP462" s="29"/>
      <c r="LQ462" s="19"/>
      <c r="LR462" s="93"/>
      <c r="LS462" s="93"/>
      <c r="LT462" s="93"/>
      <c r="LU462" s="93"/>
      <c r="LV462" s="93"/>
      <c r="LW462" s="93"/>
      <c r="LX462" s="93"/>
      <c r="LY462" s="93"/>
      <c r="LZ462" s="93"/>
      <c r="MA462" s="20"/>
      <c r="MB462" s="29"/>
      <c r="MC462" s="1504">
        <v>48519</v>
      </c>
      <c r="MD462" s="19"/>
      <c r="ME462" s="93"/>
      <c r="MF462" s="93"/>
      <c r="MG462" s="93"/>
      <c r="MH462" s="93"/>
      <c r="MI462" s="93"/>
      <c r="MJ462" s="93"/>
      <c r="MK462" s="93"/>
      <c r="ML462" s="93"/>
      <c r="MM462" s="93"/>
      <c r="MN462" s="93"/>
      <c r="MO462" s="93"/>
      <c r="MP462" s="93"/>
      <c r="MQ462" s="93"/>
      <c r="MR462" s="93"/>
      <c r="MS462" s="93"/>
      <c r="MT462" s="93"/>
      <c r="MU462" s="93"/>
      <c r="MV462" s="93"/>
      <c r="MW462" s="93"/>
      <c r="MX462" s="93"/>
      <c r="MY462" s="93"/>
      <c r="MZ462" s="93"/>
      <c r="NA462" s="93"/>
      <c r="NB462" s="93"/>
      <c r="NC462" s="93"/>
      <c r="ND462" s="93"/>
      <c r="NE462" s="93"/>
      <c r="NF462" s="93"/>
      <c r="NG462" s="93"/>
      <c r="NH462" s="93"/>
      <c r="NI462" s="93"/>
      <c r="NJ462" s="93"/>
      <c r="NK462" s="93"/>
      <c r="NL462" s="93"/>
      <c r="NM462" s="93"/>
      <c r="NN462" s="93"/>
      <c r="NO462" s="93"/>
      <c r="NP462" s="93"/>
      <c r="NQ462" s="93"/>
      <c r="NR462" s="93"/>
      <c r="NS462" s="93"/>
      <c r="NT462" s="93"/>
      <c r="NU462" s="93"/>
      <c r="NV462" s="93"/>
      <c r="NW462" s="93"/>
      <c r="NX462" s="93"/>
      <c r="NY462" s="93"/>
      <c r="NZ462" s="93"/>
      <c r="OA462" s="93"/>
      <c r="OB462" s="93"/>
      <c r="OC462" s="93"/>
      <c r="OD462" s="20"/>
      <c r="OE462" s="29"/>
      <c r="OF462" s="1504">
        <v>48519</v>
      </c>
      <c r="OG462" s="19"/>
      <c r="OH462" s="93"/>
      <c r="OI462" s="93"/>
      <c r="OJ462" s="93"/>
      <c r="OK462" s="93"/>
      <c r="OL462" s="93"/>
      <c r="OM462" s="93"/>
      <c r="ON462" s="93"/>
      <c r="OO462" s="93"/>
      <c r="OP462" s="93"/>
      <c r="OQ462" s="93"/>
      <c r="OR462" s="93"/>
      <c r="OS462" s="93"/>
      <c r="OT462" s="93"/>
      <c r="OU462" s="93"/>
      <c r="OV462" s="93"/>
      <c r="OW462" s="93"/>
      <c r="OX462" s="93"/>
      <c r="OY462" s="93"/>
      <c r="OZ462" s="93"/>
      <c r="PA462" s="93"/>
      <c r="PB462" s="93"/>
      <c r="PC462" s="20"/>
      <c r="PD462" s="29"/>
      <c r="PE462" s="19"/>
      <c r="PF462" s="93"/>
      <c r="PG462" s="93"/>
      <c r="PH462" s="93"/>
      <c r="PI462" s="93"/>
      <c r="PJ462" s="93"/>
      <c r="PK462" s="93"/>
      <c r="PL462" s="93"/>
      <c r="PM462" s="93"/>
      <c r="PN462" s="93"/>
      <c r="PO462" s="93"/>
      <c r="PP462" s="93"/>
      <c r="PQ462" s="93"/>
      <c r="PR462" s="93"/>
      <c r="PS462" s="93"/>
      <c r="PT462" s="93"/>
      <c r="PU462" s="93"/>
      <c r="PV462" s="93"/>
      <c r="PW462" s="93"/>
      <c r="PX462" s="93"/>
      <c r="PY462" s="93"/>
      <c r="PZ462" s="93"/>
      <c r="QA462" s="93"/>
      <c r="QB462" s="93"/>
      <c r="QC462" s="93"/>
      <c r="QD462" s="93"/>
      <c r="QE462" s="20"/>
      <c r="QF462" s="1739"/>
      <c r="QG462" s="19"/>
      <c r="QH462" s="93"/>
      <c r="QI462" s="93"/>
      <c r="QJ462" s="93"/>
      <c r="QK462" s="93"/>
      <c r="QL462" s="93"/>
      <c r="QM462" s="93"/>
      <c r="QN462" s="93"/>
      <c r="QO462" s="93"/>
      <c r="QP462" s="93"/>
      <c r="QQ462" s="93"/>
      <c r="QR462" s="93"/>
      <c r="QS462" s="93"/>
      <c r="QT462" s="93"/>
      <c r="QU462" s="93"/>
      <c r="QV462" s="93"/>
      <c r="QW462" s="93"/>
      <c r="QX462" s="93"/>
      <c r="QY462" s="93"/>
      <c r="QZ462" s="93"/>
      <c r="RA462" s="93"/>
      <c r="RB462" s="93"/>
      <c r="RC462" s="93"/>
      <c r="RD462" s="93"/>
      <c r="RE462" s="93"/>
      <c r="RF462" s="93"/>
      <c r="RG462" s="93"/>
      <c r="RH462" s="93"/>
      <c r="RI462" s="93"/>
      <c r="RJ462" s="93"/>
      <c r="RK462" s="93"/>
      <c r="RL462" s="93"/>
      <c r="RM462" s="20"/>
      <c r="RN462" s="29"/>
      <c r="RO462" s="19"/>
      <c r="RP462" s="20"/>
      <c r="RQ462" s="29"/>
      <c r="RR462" s="20"/>
      <c r="RS462" s="29"/>
      <c r="RT462" s="1504">
        <v>48519</v>
      </c>
      <c r="RU462" s="19"/>
      <c r="RV462" s="20"/>
      <c r="RW462" s="29"/>
      <c r="RX462" s="1504">
        <v>48519</v>
      </c>
      <c r="RY462" s="29"/>
      <c r="RZ462" s="20"/>
      <c r="SA462" s="29"/>
      <c r="SB462" s="29"/>
    </row>
    <row r="463" spans="1:496">
      <c r="A463" s="41">
        <f t="shared" si="358"/>
        <v>2032</v>
      </c>
      <c r="B463" s="1504">
        <v>48549</v>
      </c>
      <c r="C463" s="1813"/>
      <c r="D463" s="1814"/>
      <c r="E463" s="1814"/>
      <c r="F463" s="1815"/>
      <c r="G463" s="1814"/>
      <c r="H463" s="1814"/>
      <c r="I463" s="1814"/>
      <c r="J463" s="1816"/>
      <c r="K463" s="1807"/>
      <c r="L463" s="25"/>
      <c r="M463" s="97"/>
      <c r="N463" s="1504">
        <v>48549</v>
      </c>
      <c r="O463" s="19"/>
      <c r="P463" s="93"/>
      <c r="Q463" s="93"/>
      <c r="R463" s="93"/>
      <c r="S463" s="93"/>
      <c r="T463" s="93"/>
      <c r="U463" s="93"/>
      <c r="V463" s="93"/>
      <c r="W463" s="93"/>
      <c r="X463" s="93"/>
      <c r="Y463" s="93"/>
      <c r="Z463" s="93"/>
      <c r="AA463" s="93"/>
      <c r="AB463" s="20"/>
      <c r="AC463" s="25"/>
      <c r="AD463" s="97"/>
      <c r="AE463" s="1504">
        <v>48549</v>
      </c>
      <c r="AF463" s="19"/>
      <c r="AG463" s="93"/>
      <c r="AH463" s="93"/>
      <c r="AI463" s="93"/>
      <c r="AJ463" s="93"/>
      <c r="AK463" s="93"/>
      <c r="AL463" s="93"/>
      <c r="AM463" s="93"/>
      <c r="AN463" s="93"/>
      <c r="AO463" s="93"/>
      <c r="AP463" s="93"/>
      <c r="AQ463" s="93"/>
      <c r="AR463" s="93"/>
      <c r="AS463" s="20"/>
      <c r="AT463" s="25"/>
      <c r="AU463" s="97"/>
      <c r="AV463" s="1504">
        <v>48549</v>
      </c>
      <c r="AW463" s="19"/>
      <c r="AX463" s="93"/>
      <c r="AY463" s="93"/>
      <c r="AZ463" s="93"/>
      <c r="BA463" s="93"/>
      <c r="BB463" s="93"/>
      <c r="BC463" s="93"/>
      <c r="BD463" s="93"/>
      <c r="BE463" s="93"/>
      <c r="BF463" s="93"/>
      <c r="BG463" s="93"/>
      <c r="BH463" s="93"/>
      <c r="BI463" s="93"/>
      <c r="BJ463" s="20"/>
      <c r="BK463" s="25"/>
      <c r="BL463" s="97"/>
      <c r="BM463" s="1504">
        <v>48549</v>
      </c>
      <c r="BN463" s="19"/>
      <c r="BO463" s="93"/>
      <c r="BP463" s="93"/>
      <c r="BQ463" s="93"/>
      <c r="BR463" s="93"/>
      <c r="BS463" s="93"/>
      <c r="BT463" s="93"/>
      <c r="BU463" s="20"/>
      <c r="BV463" s="25"/>
      <c r="BW463" s="97"/>
      <c r="BX463" s="1504">
        <v>48549</v>
      </c>
      <c r="BY463" s="19"/>
      <c r="BZ463" s="93"/>
      <c r="CA463" s="93"/>
      <c r="CB463" s="93"/>
      <c r="CC463" s="93"/>
      <c r="CD463" s="25"/>
      <c r="CE463" s="97"/>
      <c r="CF463" s="1504">
        <v>48549</v>
      </c>
      <c r="CG463" s="19"/>
      <c r="CH463" s="93"/>
      <c r="CI463" s="219"/>
      <c r="CJ463" s="20"/>
      <c r="CK463" s="19"/>
      <c r="CL463" s="93"/>
      <c r="CM463" s="93"/>
      <c r="CN463" s="93"/>
      <c r="CO463" s="93"/>
      <c r="CP463" s="20"/>
      <c r="CQ463" s="219"/>
      <c r="CR463" s="93"/>
      <c r="CS463" s="93"/>
      <c r="CT463" s="93"/>
      <c r="CU463" s="93"/>
      <c r="CV463" s="214"/>
      <c r="CW463" s="29"/>
      <c r="CX463" s="41">
        <f t="shared" si="359"/>
        <v>2032</v>
      </c>
      <c r="CY463" s="1504">
        <v>48549</v>
      </c>
      <c r="CZ463" s="19"/>
      <c r="DA463" s="93"/>
      <c r="DB463" s="93"/>
      <c r="DC463" s="93"/>
      <c r="DD463" s="93"/>
      <c r="DE463" s="20"/>
      <c r="DF463" s="29"/>
      <c r="DG463" s="1504">
        <v>48549</v>
      </c>
      <c r="DH463" s="19"/>
      <c r="DI463" s="93"/>
      <c r="DJ463" s="93"/>
      <c r="DK463" s="93"/>
      <c r="DL463" s="93"/>
      <c r="DM463" s="93"/>
      <c r="DN463" s="20"/>
      <c r="DO463" s="295"/>
      <c r="DP463" s="29"/>
      <c r="DQ463" s="1504">
        <v>48549</v>
      </c>
      <c r="DR463" s="19"/>
      <c r="DS463" s="93"/>
      <c r="DT463" s="93"/>
      <c r="DU463" s="93"/>
      <c r="DV463" s="93"/>
      <c r="DW463" s="93"/>
      <c r="DX463" s="20"/>
      <c r="DY463" s="29"/>
      <c r="DZ463" s="1504">
        <v>48549</v>
      </c>
      <c r="EA463" s="19"/>
      <c r="EB463" s="93"/>
      <c r="EC463" s="20"/>
      <c r="ED463" s="29"/>
      <c r="EE463" s="1504">
        <v>48549</v>
      </c>
      <c r="EF463" s="19"/>
      <c r="EG463" s="93"/>
      <c r="EH463" s="93"/>
      <c r="EI463" s="214"/>
      <c r="EJ463" s="93"/>
      <c r="EK463" s="93"/>
      <c r="EL463" s="93"/>
      <c r="EM463" s="93"/>
      <c r="EN463" s="20"/>
      <c r="EO463" s="29"/>
      <c r="EP463" s="1504">
        <v>48549</v>
      </c>
      <c r="EQ463" s="19"/>
      <c r="ER463" s="93"/>
      <c r="ES463" s="93"/>
      <c r="ET463" s="214"/>
      <c r="EU463" s="93"/>
      <c r="EV463" s="93"/>
      <c r="EW463" s="93"/>
      <c r="EX463" s="93"/>
      <c r="EY463" s="20"/>
      <c r="EZ463" s="29"/>
      <c r="FA463" s="1504">
        <v>48549</v>
      </c>
      <c r="FB463" s="29"/>
      <c r="FC463" s="29"/>
      <c r="FD463" s="29"/>
      <c r="FE463" s="29"/>
      <c r="FF463" s="29"/>
      <c r="FG463" s="29"/>
      <c r="FH463" s="29"/>
      <c r="FI463" s="29"/>
      <c r="FJ463" s="29"/>
      <c r="FK463" s="29"/>
      <c r="FL463" s="1504">
        <v>48549</v>
      </c>
      <c r="FM463" s="19"/>
      <c r="FN463" s="93"/>
      <c r="FO463" s="93"/>
      <c r="FP463" s="93"/>
      <c r="FQ463" s="93"/>
      <c r="FR463" s="93"/>
      <c r="FS463" s="93"/>
      <c r="FT463" s="93"/>
      <c r="FU463" s="93"/>
      <c r="FV463" s="93"/>
      <c r="FW463" s="93"/>
      <c r="FX463" s="93"/>
      <c r="FY463" s="93"/>
      <c r="FZ463" s="29"/>
      <c r="GA463" s="1504">
        <v>48549</v>
      </c>
      <c r="GB463" s="19"/>
      <c r="GC463" s="93"/>
      <c r="GD463" s="93"/>
      <c r="GE463" s="93"/>
      <c r="GF463" s="93"/>
      <c r="GG463" s="93"/>
      <c r="GH463" s="93"/>
      <c r="GI463" s="93"/>
      <c r="GJ463" s="93"/>
      <c r="GK463" s="93"/>
      <c r="GL463" s="93"/>
      <c r="GM463" s="93"/>
      <c r="GN463" s="20"/>
      <c r="GO463" s="29"/>
      <c r="GP463" s="1504">
        <v>48549</v>
      </c>
      <c r="GQ463" s="19"/>
      <c r="GR463" s="93"/>
      <c r="GS463" s="93"/>
      <c r="GT463" s="93"/>
      <c r="GU463" s="93"/>
      <c r="GV463" s="20"/>
      <c r="GW463" s="19"/>
      <c r="GX463" s="93"/>
      <c r="GY463" s="93"/>
      <c r="GZ463" s="93"/>
      <c r="HA463" s="93"/>
      <c r="HB463" s="20"/>
      <c r="HC463" s="19"/>
      <c r="HD463" s="93"/>
      <c r="HE463" s="93"/>
      <c r="HF463" s="93"/>
      <c r="HG463" s="93"/>
      <c r="HH463" s="20"/>
      <c r="HI463" s="19"/>
      <c r="HJ463" s="93"/>
      <c r="HK463" s="93"/>
      <c r="HL463" s="93"/>
      <c r="HM463" s="93"/>
      <c r="HN463" s="20"/>
      <c r="HO463" s="219"/>
      <c r="HP463" s="20"/>
      <c r="HQ463" s="25"/>
      <c r="HR463" s="29"/>
      <c r="HS463" s="1504">
        <v>48549</v>
      </c>
      <c r="HT463" s="19"/>
      <c r="HU463" s="93"/>
      <c r="HV463" s="93"/>
      <c r="HW463" s="93"/>
      <c r="HX463" s="93"/>
      <c r="HY463" s="93"/>
      <c r="HZ463" s="93"/>
      <c r="IA463" s="20"/>
      <c r="IB463" s="19"/>
      <c r="IC463" s="93"/>
      <c r="ID463" s="93"/>
      <c r="IE463" s="93"/>
      <c r="IF463" s="93"/>
      <c r="IG463" s="20"/>
      <c r="IH463" s="19"/>
      <c r="II463" s="93"/>
      <c r="IJ463" s="93"/>
      <c r="IK463" s="93"/>
      <c r="IL463" s="93"/>
      <c r="IM463" s="93"/>
      <c r="IN463" s="93"/>
      <c r="IO463" s="20"/>
      <c r="IP463" s="29"/>
      <c r="IQ463" s="19"/>
      <c r="IR463" s="93"/>
      <c r="IS463" s="93"/>
      <c r="IT463" s="93"/>
      <c r="IU463" s="93"/>
      <c r="IV463" s="20"/>
      <c r="IW463" s="29"/>
      <c r="IX463" s="19"/>
      <c r="IY463" s="93"/>
      <c r="IZ463" s="93"/>
      <c r="JA463" s="93"/>
      <c r="JB463" s="93"/>
      <c r="JC463" s="93"/>
      <c r="JD463" s="93"/>
      <c r="JE463" s="20"/>
      <c r="JF463" s="29"/>
      <c r="JG463" s="19"/>
      <c r="JH463" s="93"/>
      <c r="JI463" s="93"/>
      <c r="JJ463" s="93"/>
      <c r="JK463" s="93"/>
      <c r="JL463" s="93"/>
      <c r="JM463" s="93"/>
      <c r="JN463" s="20"/>
      <c r="JO463" s="29"/>
      <c r="JP463" s="19"/>
      <c r="JQ463" s="93"/>
      <c r="JR463" s="93"/>
      <c r="JS463" s="93"/>
      <c r="JT463" s="93"/>
      <c r="JU463" s="20"/>
      <c r="JV463" s="29"/>
      <c r="JW463" s="1504">
        <v>48549</v>
      </c>
      <c r="JX463" s="19"/>
      <c r="JY463" s="93"/>
      <c r="JZ463" s="93"/>
      <c r="KA463" s="93"/>
      <c r="KB463" s="93"/>
      <c r="KC463" s="93"/>
      <c r="KD463" s="20"/>
      <c r="KE463" s="29"/>
      <c r="KF463" s="19"/>
      <c r="KG463" s="93"/>
      <c r="KH463" s="93"/>
      <c r="KI463" s="93"/>
      <c r="KJ463" s="93"/>
      <c r="KK463" s="20"/>
      <c r="KL463" s="29"/>
      <c r="KM463" s="19"/>
      <c r="KN463" s="93"/>
      <c r="KO463" s="93"/>
      <c r="KP463" s="93"/>
      <c r="KQ463" s="93"/>
      <c r="KR463" s="20"/>
      <c r="KS463" s="29"/>
      <c r="KT463" s="19"/>
      <c r="KU463" s="93"/>
      <c r="KV463" s="93"/>
      <c r="KW463" s="93"/>
      <c r="KX463" s="93"/>
      <c r="KY463" s="20"/>
      <c r="KZ463" s="29"/>
      <c r="LA463" s="1504">
        <v>48549</v>
      </c>
      <c r="LB463" s="19"/>
      <c r="LC463" s="93"/>
      <c r="LD463" s="93"/>
      <c r="LE463" s="93"/>
      <c r="LF463" s="93"/>
      <c r="LG463" s="93"/>
      <c r="LH463" s="20"/>
      <c r="LI463" s="29"/>
      <c r="LJ463" s="19"/>
      <c r="LK463" s="93"/>
      <c r="LL463" s="93"/>
      <c r="LM463" s="93"/>
      <c r="LN463" s="93"/>
      <c r="LO463" s="20"/>
      <c r="LP463" s="29"/>
      <c r="LQ463" s="19"/>
      <c r="LR463" s="93"/>
      <c r="LS463" s="93"/>
      <c r="LT463" s="93"/>
      <c r="LU463" s="93"/>
      <c r="LV463" s="93"/>
      <c r="LW463" s="93"/>
      <c r="LX463" s="93"/>
      <c r="LY463" s="93"/>
      <c r="LZ463" s="93"/>
      <c r="MA463" s="20"/>
      <c r="MB463" s="29"/>
      <c r="MC463" s="1504">
        <v>48549</v>
      </c>
      <c r="MD463" s="19"/>
      <c r="ME463" s="93"/>
      <c r="MF463" s="93"/>
      <c r="MG463" s="93"/>
      <c r="MH463" s="93"/>
      <c r="MI463" s="93"/>
      <c r="MJ463" s="93"/>
      <c r="MK463" s="93"/>
      <c r="ML463" s="93"/>
      <c r="MM463" s="93"/>
      <c r="MN463" s="93"/>
      <c r="MO463" s="93"/>
      <c r="MP463" s="93"/>
      <c r="MQ463" s="93"/>
      <c r="MR463" s="93"/>
      <c r="MS463" s="93"/>
      <c r="MT463" s="93"/>
      <c r="MU463" s="93"/>
      <c r="MV463" s="93"/>
      <c r="MW463" s="93"/>
      <c r="MX463" s="93"/>
      <c r="MY463" s="93"/>
      <c r="MZ463" s="93"/>
      <c r="NA463" s="93"/>
      <c r="NB463" s="93"/>
      <c r="NC463" s="93"/>
      <c r="ND463" s="93"/>
      <c r="NE463" s="93"/>
      <c r="NF463" s="93"/>
      <c r="NG463" s="93"/>
      <c r="NH463" s="93"/>
      <c r="NI463" s="93"/>
      <c r="NJ463" s="93"/>
      <c r="NK463" s="93"/>
      <c r="NL463" s="93"/>
      <c r="NM463" s="93"/>
      <c r="NN463" s="93"/>
      <c r="NO463" s="93"/>
      <c r="NP463" s="93"/>
      <c r="NQ463" s="93"/>
      <c r="NR463" s="93"/>
      <c r="NS463" s="93"/>
      <c r="NT463" s="93"/>
      <c r="NU463" s="93"/>
      <c r="NV463" s="93"/>
      <c r="NW463" s="93"/>
      <c r="NX463" s="93"/>
      <c r="NY463" s="93"/>
      <c r="NZ463" s="93"/>
      <c r="OA463" s="93"/>
      <c r="OB463" s="93"/>
      <c r="OC463" s="93"/>
      <c r="OD463" s="20"/>
      <c r="OE463" s="29"/>
      <c r="OF463" s="1504">
        <v>48549</v>
      </c>
      <c r="OG463" s="19"/>
      <c r="OH463" s="93"/>
      <c r="OI463" s="93"/>
      <c r="OJ463" s="93"/>
      <c r="OK463" s="93"/>
      <c r="OL463" s="93"/>
      <c r="OM463" s="93"/>
      <c r="ON463" s="93"/>
      <c r="OO463" s="93"/>
      <c r="OP463" s="93"/>
      <c r="OQ463" s="93"/>
      <c r="OR463" s="93"/>
      <c r="OS463" s="93"/>
      <c r="OT463" s="93"/>
      <c r="OU463" s="93"/>
      <c r="OV463" s="93"/>
      <c r="OW463" s="93"/>
      <c r="OX463" s="93"/>
      <c r="OY463" s="93"/>
      <c r="OZ463" s="93"/>
      <c r="PA463" s="93"/>
      <c r="PB463" s="93"/>
      <c r="PC463" s="20"/>
      <c r="PD463" s="29"/>
      <c r="PE463" s="19"/>
      <c r="PF463" s="93"/>
      <c r="PG463" s="93"/>
      <c r="PH463" s="93"/>
      <c r="PI463" s="93"/>
      <c r="PJ463" s="93"/>
      <c r="PK463" s="93"/>
      <c r="PL463" s="93"/>
      <c r="PM463" s="93"/>
      <c r="PN463" s="93"/>
      <c r="PO463" s="93"/>
      <c r="PP463" s="93"/>
      <c r="PQ463" s="93"/>
      <c r="PR463" s="93"/>
      <c r="PS463" s="93"/>
      <c r="PT463" s="93"/>
      <c r="PU463" s="93"/>
      <c r="PV463" s="93"/>
      <c r="PW463" s="93"/>
      <c r="PX463" s="93"/>
      <c r="PY463" s="93"/>
      <c r="PZ463" s="93"/>
      <c r="QA463" s="93"/>
      <c r="QB463" s="93"/>
      <c r="QC463" s="93"/>
      <c r="QD463" s="93"/>
      <c r="QE463" s="20"/>
      <c r="QF463" s="1739"/>
      <c r="QG463" s="19"/>
      <c r="QH463" s="93"/>
      <c r="QI463" s="93"/>
      <c r="QJ463" s="93"/>
      <c r="QK463" s="93"/>
      <c r="QL463" s="93"/>
      <c r="QM463" s="93"/>
      <c r="QN463" s="93"/>
      <c r="QO463" s="93"/>
      <c r="QP463" s="93"/>
      <c r="QQ463" s="93"/>
      <c r="QR463" s="93"/>
      <c r="QS463" s="93"/>
      <c r="QT463" s="93"/>
      <c r="QU463" s="93"/>
      <c r="QV463" s="93"/>
      <c r="QW463" s="93"/>
      <c r="QX463" s="93"/>
      <c r="QY463" s="93"/>
      <c r="QZ463" s="93"/>
      <c r="RA463" s="93"/>
      <c r="RB463" s="93"/>
      <c r="RC463" s="93"/>
      <c r="RD463" s="93"/>
      <c r="RE463" s="93"/>
      <c r="RF463" s="93"/>
      <c r="RG463" s="93"/>
      <c r="RH463" s="93"/>
      <c r="RI463" s="93"/>
      <c r="RJ463" s="93"/>
      <c r="RK463" s="93"/>
      <c r="RL463" s="93"/>
      <c r="RM463" s="20"/>
      <c r="RN463" s="29"/>
      <c r="RO463" s="19"/>
      <c r="RP463" s="20"/>
      <c r="RQ463" s="29"/>
      <c r="RR463" s="20"/>
      <c r="RS463" s="29"/>
      <c r="RT463" s="1504">
        <v>48549</v>
      </c>
      <c r="RU463" s="19"/>
      <c r="RV463" s="20"/>
      <c r="RW463" s="29"/>
      <c r="RX463" s="1504">
        <v>48549</v>
      </c>
      <c r="RY463" s="29"/>
      <c r="RZ463" s="20"/>
      <c r="SA463" s="29"/>
      <c r="SB463" s="29"/>
    </row>
    <row r="464" spans="1:496">
      <c r="A464" s="41">
        <f t="shared" si="358"/>
        <v>2033</v>
      </c>
      <c r="B464" s="1504">
        <v>48580</v>
      </c>
      <c r="C464" s="1813"/>
      <c r="D464" s="1814"/>
      <c r="E464" s="1814"/>
      <c r="F464" s="1815"/>
      <c r="G464" s="1814"/>
      <c r="H464" s="1814"/>
      <c r="I464" s="1814"/>
      <c r="J464" s="1816"/>
      <c r="K464" s="1807"/>
      <c r="L464" s="25"/>
      <c r="M464" s="97"/>
      <c r="N464" s="1504">
        <v>48580</v>
      </c>
      <c r="O464" s="19"/>
      <c r="P464" s="93"/>
      <c r="Q464" s="93"/>
      <c r="R464" s="93"/>
      <c r="S464" s="93"/>
      <c r="T464" s="93"/>
      <c r="U464" s="93"/>
      <c r="V464" s="93"/>
      <c r="W464" s="93"/>
      <c r="X464" s="93"/>
      <c r="Y464" s="93"/>
      <c r="Z464" s="93"/>
      <c r="AA464" s="93"/>
      <c r="AB464" s="20"/>
      <c r="AC464" s="25"/>
      <c r="AD464" s="97"/>
      <c r="AE464" s="1504">
        <v>48580</v>
      </c>
      <c r="AF464" s="19"/>
      <c r="AG464" s="93"/>
      <c r="AH464" s="93"/>
      <c r="AI464" s="93"/>
      <c r="AJ464" s="93"/>
      <c r="AK464" s="93"/>
      <c r="AL464" s="93"/>
      <c r="AM464" s="93"/>
      <c r="AN464" s="93"/>
      <c r="AO464" s="93"/>
      <c r="AP464" s="93"/>
      <c r="AQ464" s="93"/>
      <c r="AR464" s="93"/>
      <c r="AS464" s="20"/>
      <c r="AT464" s="25"/>
      <c r="AU464" s="97"/>
      <c r="AV464" s="1504">
        <v>48580</v>
      </c>
      <c r="AW464" s="19"/>
      <c r="AX464" s="93"/>
      <c r="AY464" s="93"/>
      <c r="AZ464" s="93"/>
      <c r="BA464" s="93"/>
      <c r="BB464" s="93"/>
      <c r="BC464" s="93"/>
      <c r="BD464" s="93"/>
      <c r="BE464" s="93"/>
      <c r="BF464" s="93"/>
      <c r="BG464" s="93"/>
      <c r="BH464" s="93"/>
      <c r="BI464" s="93"/>
      <c r="BJ464" s="20"/>
      <c r="BK464" s="25"/>
      <c r="BL464" s="97"/>
      <c r="BM464" s="1504">
        <v>48580</v>
      </c>
      <c r="BN464" s="19"/>
      <c r="BO464" s="93"/>
      <c r="BP464" s="93"/>
      <c r="BQ464" s="93"/>
      <c r="BR464" s="93"/>
      <c r="BS464" s="93"/>
      <c r="BT464" s="93"/>
      <c r="BU464" s="20"/>
      <c r="BV464" s="25"/>
      <c r="BW464" s="97"/>
      <c r="BX464" s="1504">
        <v>48580</v>
      </c>
      <c r="BY464" s="19"/>
      <c r="BZ464" s="93"/>
      <c r="CA464" s="93"/>
      <c r="CB464" s="93"/>
      <c r="CC464" s="93"/>
      <c r="CD464" s="25"/>
      <c r="CE464" s="97"/>
      <c r="CF464" s="1504">
        <v>48580</v>
      </c>
      <c r="CG464" s="19"/>
      <c r="CH464" s="93"/>
      <c r="CI464" s="219"/>
      <c r="CJ464" s="20"/>
      <c r="CK464" s="19"/>
      <c r="CL464" s="93"/>
      <c r="CM464" s="93"/>
      <c r="CN464" s="93"/>
      <c r="CO464" s="93"/>
      <c r="CP464" s="20"/>
      <c r="CQ464" s="219"/>
      <c r="CR464" s="93"/>
      <c r="CS464" s="93"/>
      <c r="CT464" s="93"/>
      <c r="CU464" s="93"/>
      <c r="CV464" s="214"/>
      <c r="CW464" s="29"/>
      <c r="CX464" s="41">
        <f t="shared" si="359"/>
        <v>2033</v>
      </c>
      <c r="CY464" s="1504">
        <v>48580</v>
      </c>
      <c r="CZ464" s="19"/>
      <c r="DA464" s="93"/>
      <c r="DB464" s="93"/>
      <c r="DC464" s="93"/>
      <c r="DD464" s="93"/>
      <c r="DE464" s="20"/>
      <c r="DF464" s="29"/>
      <c r="DG464" s="1504">
        <v>48580</v>
      </c>
      <c r="DH464" s="19"/>
      <c r="DI464" s="93"/>
      <c r="DJ464" s="93"/>
      <c r="DK464" s="93"/>
      <c r="DL464" s="93"/>
      <c r="DM464" s="93"/>
      <c r="DN464" s="20"/>
      <c r="DO464" s="295"/>
      <c r="DP464" s="29"/>
      <c r="DQ464" s="1504">
        <v>48580</v>
      </c>
      <c r="DR464" s="19"/>
      <c r="DS464" s="93"/>
      <c r="DT464" s="93"/>
      <c r="DU464" s="93"/>
      <c r="DV464" s="93"/>
      <c r="DW464" s="93"/>
      <c r="DX464" s="20"/>
      <c r="DY464" s="29"/>
      <c r="DZ464" s="1504">
        <v>48580</v>
      </c>
      <c r="EA464" s="19"/>
      <c r="EB464" s="93"/>
      <c r="EC464" s="20"/>
      <c r="ED464" s="29"/>
      <c r="EE464" s="1504">
        <v>48580</v>
      </c>
      <c r="EF464" s="19"/>
      <c r="EG464" s="93"/>
      <c r="EH464" s="93"/>
      <c r="EI464" s="214"/>
      <c r="EJ464" s="93"/>
      <c r="EK464" s="93"/>
      <c r="EL464" s="93"/>
      <c r="EM464" s="93"/>
      <c r="EN464" s="20"/>
      <c r="EO464" s="29"/>
      <c r="EP464" s="1504">
        <v>48580</v>
      </c>
      <c r="EQ464" s="19"/>
      <c r="ER464" s="93"/>
      <c r="ES464" s="93"/>
      <c r="ET464" s="214"/>
      <c r="EU464" s="93"/>
      <c r="EV464" s="93"/>
      <c r="EW464" s="93"/>
      <c r="EX464" s="93"/>
      <c r="EY464" s="20"/>
      <c r="EZ464" s="29"/>
      <c r="FA464" s="1504">
        <v>48580</v>
      </c>
      <c r="FB464" s="29"/>
      <c r="FC464" s="29"/>
      <c r="FD464" s="29"/>
      <c r="FE464" s="29"/>
      <c r="FF464" s="29"/>
      <c r="FG464" s="29"/>
      <c r="FH464" s="29"/>
      <c r="FI464" s="29"/>
      <c r="FJ464" s="29"/>
      <c r="FK464" s="29"/>
      <c r="FL464" s="1504">
        <v>48580</v>
      </c>
      <c r="FM464" s="19"/>
      <c r="FN464" s="93"/>
      <c r="FO464" s="93"/>
      <c r="FP464" s="93"/>
      <c r="FQ464" s="93"/>
      <c r="FR464" s="93"/>
      <c r="FS464" s="93"/>
      <c r="FT464" s="93"/>
      <c r="FU464" s="93"/>
      <c r="FV464" s="93"/>
      <c r="FW464" s="93"/>
      <c r="FX464" s="93"/>
      <c r="FY464" s="93"/>
      <c r="FZ464" s="29"/>
      <c r="GA464" s="1504">
        <v>48580</v>
      </c>
      <c r="GB464" s="19"/>
      <c r="GC464" s="93"/>
      <c r="GD464" s="93"/>
      <c r="GE464" s="93"/>
      <c r="GF464" s="93"/>
      <c r="GG464" s="93"/>
      <c r="GH464" s="93"/>
      <c r="GI464" s="93"/>
      <c r="GJ464" s="93"/>
      <c r="GK464" s="93"/>
      <c r="GL464" s="93"/>
      <c r="GM464" s="93"/>
      <c r="GN464" s="20"/>
      <c r="GO464" s="29"/>
      <c r="GP464" s="1504">
        <v>48580</v>
      </c>
      <c r="GQ464" s="19"/>
      <c r="GR464" s="93"/>
      <c r="GS464" s="93"/>
      <c r="GT464" s="93"/>
      <c r="GU464" s="93"/>
      <c r="GV464" s="20"/>
      <c r="GW464" s="19"/>
      <c r="GX464" s="93"/>
      <c r="GY464" s="93"/>
      <c r="GZ464" s="93"/>
      <c r="HA464" s="93"/>
      <c r="HB464" s="20"/>
      <c r="HC464" s="19"/>
      <c r="HD464" s="93"/>
      <c r="HE464" s="93"/>
      <c r="HF464" s="93"/>
      <c r="HG464" s="93"/>
      <c r="HH464" s="20"/>
      <c r="HI464" s="19"/>
      <c r="HJ464" s="93"/>
      <c r="HK464" s="93"/>
      <c r="HL464" s="93"/>
      <c r="HM464" s="93"/>
      <c r="HN464" s="20"/>
      <c r="HO464" s="219"/>
      <c r="HP464" s="20"/>
      <c r="HQ464" s="25"/>
      <c r="HR464" s="29"/>
      <c r="HS464" s="1504">
        <v>48580</v>
      </c>
      <c r="HT464" s="19"/>
      <c r="HU464" s="93"/>
      <c r="HV464" s="93"/>
      <c r="HW464" s="93"/>
      <c r="HX464" s="93"/>
      <c r="HY464" s="93"/>
      <c r="HZ464" s="93"/>
      <c r="IA464" s="20"/>
      <c r="IB464" s="19"/>
      <c r="IC464" s="93"/>
      <c r="ID464" s="93"/>
      <c r="IE464" s="93"/>
      <c r="IF464" s="93"/>
      <c r="IG464" s="20"/>
      <c r="IH464" s="19"/>
      <c r="II464" s="93"/>
      <c r="IJ464" s="93"/>
      <c r="IK464" s="93"/>
      <c r="IL464" s="93"/>
      <c r="IM464" s="93"/>
      <c r="IN464" s="93"/>
      <c r="IO464" s="20"/>
      <c r="IP464" s="29"/>
      <c r="IQ464" s="19"/>
      <c r="IR464" s="93"/>
      <c r="IS464" s="93"/>
      <c r="IT464" s="93"/>
      <c r="IU464" s="93"/>
      <c r="IV464" s="20"/>
      <c r="IW464" s="29"/>
      <c r="IX464" s="19"/>
      <c r="IY464" s="93"/>
      <c r="IZ464" s="93"/>
      <c r="JA464" s="93"/>
      <c r="JB464" s="93"/>
      <c r="JC464" s="93"/>
      <c r="JD464" s="93"/>
      <c r="JE464" s="20"/>
      <c r="JF464" s="29"/>
      <c r="JG464" s="19"/>
      <c r="JH464" s="93"/>
      <c r="JI464" s="93"/>
      <c r="JJ464" s="93"/>
      <c r="JK464" s="93"/>
      <c r="JL464" s="93"/>
      <c r="JM464" s="93"/>
      <c r="JN464" s="20"/>
      <c r="JO464" s="29"/>
      <c r="JP464" s="19"/>
      <c r="JQ464" s="93"/>
      <c r="JR464" s="93"/>
      <c r="JS464" s="93"/>
      <c r="JT464" s="93"/>
      <c r="JU464" s="20"/>
      <c r="JV464" s="29"/>
      <c r="JW464" s="1504">
        <v>48580</v>
      </c>
      <c r="JX464" s="19"/>
      <c r="JY464" s="93"/>
      <c r="JZ464" s="93"/>
      <c r="KA464" s="93"/>
      <c r="KB464" s="93"/>
      <c r="KC464" s="93"/>
      <c r="KD464" s="20"/>
      <c r="KE464" s="29"/>
      <c r="KF464" s="19"/>
      <c r="KG464" s="93"/>
      <c r="KH464" s="93"/>
      <c r="KI464" s="93"/>
      <c r="KJ464" s="93"/>
      <c r="KK464" s="20"/>
      <c r="KL464" s="29"/>
      <c r="KM464" s="19"/>
      <c r="KN464" s="93"/>
      <c r="KO464" s="93"/>
      <c r="KP464" s="93"/>
      <c r="KQ464" s="93"/>
      <c r="KR464" s="20"/>
      <c r="KS464" s="29"/>
      <c r="KT464" s="19"/>
      <c r="KU464" s="93"/>
      <c r="KV464" s="93"/>
      <c r="KW464" s="93"/>
      <c r="KX464" s="93"/>
      <c r="KY464" s="20"/>
      <c r="KZ464" s="29"/>
      <c r="LA464" s="1504">
        <v>48580</v>
      </c>
      <c r="LB464" s="19"/>
      <c r="LC464" s="93"/>
      <c r="LD464" s="93"/>
      <c r="LE464" s="93"/>
      <c r="LF464" s="93"/>
      <c r="LG464" s="93"/>
      <c r="LH464" s="20"/>
      <c r="LI464" s="29"/>
      <c r="LJ464" s="19"/>
      <c r="LK464" s="93"/>
      <c r="LL464" s="93"/>
      <c r="LM464" s="93"/>
      <c r="LN464" s="93"/>
      <c r="LO464" s="20"/>
      <c r="LP464" s="29"/>
      <c r="LQ464" s="19"/>
      <c r="LR464" s="93"/>
      <c r="LS464" s="93"/>
      <c r="LT464" s="93"/>
      <c r="LU464" s="93"/>
      <c r="LV464" s="93"/>
      <c r="LW464" s="93"/>
      <c r="LX464" s="93"/>
      <c r="LY464" s="93"/>
      <c r="LZ464" s="93"/>
      <c r="MA464" s="20"/>
      <c r="MB464" s="29"/>
      <c r="MC464" s="1504">
        <v>48580</v>
      </c>
      <c r="MD464" s="19"/>
      <c r="ME464" s="93"/>
      <c r="MF464" s="93"/>
      <c r="MG464" s="93"/>
      <c r="MH464" s="93"/>
      <c r="MI464" s="93"/>
      <c r="MJ464" s="93"/>
      <c r="MK464" s="93"/>
      <c r="ML464" s="93"/>
      <c r="MM464" s="93"/>
      <c r="MN464" s="93"/>
      <c r="MO464" s="93"/>
      <c r="MP464" s="93"/>
      <c r="MQ464" s="93"/>
      <c r="MR464" s="93"/>
      <c r="MS464" s="93"/>
      <c r="MT464" s="93"/>
      <c r="MU464" s="93"/>
      <c r="MV464" s="93"/>
      <c r="MW464" s="93"/>
      <c r="MX464" s="93"/>
      <c r="MY464" s="93"/>
      <c r="MZ464" s="93"/>
      <c r="NA464" s="93"/>
      <c r="NB464" s="93"/>
      <c r="NC464" s="93"/>
      <c r="ND464" s="93"/>
      <c r="NE464" s="93"/>
      <c r="NF464" s="93"/>
      <c r="NG464" s="93"/>
      <c r="NH464" s="93"/>
      <c r="NI464" s="93"/>
      <c r="NJ464" s="93"/>
      <c r="NK464" s="93"/>
      <c r="NL464" s="93"/>
      <c r="NM464" s="93"/>
      <c r="NN464" s="93"/>
      <c r="NO464" s="93"/>
      <c r="NP464" s="93"/>
      <c r="NQ464" s="93"/>
      <c r="NR464" s="93"/>
      <c r="NS464" s="93"/>
      <c r="NT464" s="93"/>
      <c r="NU464" s="93"/>
      <c r="NV464" s="93"/>
      <c r="NW464" s="93"/>
      <c r="NX464" s="93"/>
      <c r="NY464" s="93"/>
      <c r="NZ464" s="93"/>
      <c r="OA464" s="93"/>
      <c r="OB464" s="93"/>
      <c r="OC464" s="93"/>
      <c r="OD464" s="20"/>
      <c r="OE464" s="29"/>
      <c r="OF464" s="1504">
        <v>48580</v>
      </c>
      <c r="OG464" s="19"/>
      <c r="OH464" s="93"/>
      <c r="OI464" s="93"/>
      <c r="OJ464" s="93"/>
      <c r="OK464" s="93"/>
      <c r="OL464" s="93"/>
      <c r="OM464" s="93"/>
      <c r="ON464" s="93"/>
      <c r="OO464" s="93"/>
      <c r="OP464" s="93"/>
      <c r="OQ464" s="93"/>
      <c r="OR464" s="93"/>
      <c r="OS464" s="93"/>
      <c r="OT464" s="93"/>
      <c r="OU464" s="93"/>
      <c r="OV464" s="93"/>
      <c r="OW464" s="93"/>
      <c r="OX464" s="93"/>
      <c r="OY464" s="93"/>
      <c r="OZ464" s="93"/>
      <c r="PA464" s="93"/>
      <c r="PB464" s="93"/>
      <c r="PC464" s="20"/>
      <c r="PD464" s="29"/>
      <c r="PE464" s="19"/>
      <c r="PF464" s="93"/>
      <c r="PG464" s="93"/>
      <c r="PH464" s="93"/>
      <c r="PI464" s="93"/>
      <c r="PJ464" s="93"/>
      <c r="PK464" s="93"/>
      <c r="PL464" s="93"/>
      <c r="PM464" s="93"/>
      <c r="PN464" s="93"/>
      <c r="PO464" s="93"/>
      <c r="PP464" s="93"/>
      <c r="PQ464" s="93"/>
      <c r="PR464" s="93"/>
      <c r="PS464" s="93"/>
      <c r="PT464" s="93"/>
      <c r="PU464" s="93"/>
      <c r="PV464" s="93"/>
      <c r="PW464" s="93"/>
      <c r="PX464" s="93"/>
      <c r="PY464" s="93"/>
      <c r="PZ464" s="93"/>
      <c r="QA464" s="93"/>
      <c r="QB464" s="93"/>
      <c r="QC464" s="93"/>
      <c r="QD464" s="93"/>
      <c r="QE464" s="20"/>
      <c r="QF464" s="1739"/>
      <c r="QG464" s="19"/>
      <c r="QH464" s="93"/>
      <c r="QI464" s="93"/>
      <c r="QJ464" s="93"/>
      <c r="QK464" s="93"/>
      <c r="QL464" s="93"/>
      <c r="QM464" s="93"/>
      <c r="QN464" s="93"/>
      <c r="QO464" s="93"/>
      <c r="QP464" s="93"/>
      <c r="QQ464" s="93"/>
      <c r="QR464" s="93"/>
      <c r="QS464" s="93"/>
      <c r="QT464" s="93"/>
      <c r="QU464" s="93"/>
      <c r="QV464" s="93"/>
      <c r="QW464" s="93"/>
      <c r="QX464" s="93"/>
      <c r="QY464" s="93"/>
      <c r="QZ464" s="93"/>
      <c r="RA464" s="93"/>
      <c r="RB464" s="93"/>
      <c r="RC464" s="93"/>
      <c r="RD464" s="93"/>
      <c r="RE464" s="93"/>
      <c r="RF464" s="93"/>
      <c r="RG464" s="93"/>
      <c r="RH464" s="93"/>
      <c r="RI464" s="93"/>
      <c r="RJ464" s="93"/>
      <c r="RK464" s="93"/>
      <c r="RL464" s="93"/>
      <c r="RM464" s="20"/>
      <c r="RN464" s="29"/>
      <c r="RO464" s="19"/>
      <c r="RP464" s="20"/>
      <c r="RQ464" s="29"/>
      <c r="RR464" s="20"/>
      <c r="RS464" s="29"/>
      <c r="RT464" s="1504">
        <v>48580</v>
      </c>
      <c r="RU464" s="19"/>
      <c r="RV464" s="20"/>
      <c r="RW464" s="29"/>
      <c r="RX464" s="1504">
        <v>48580</v>
      </c>
      <c r="RY464" s="29"/>
      <c r="RZ464" s="20"/>
      <c r="SA464" s="29"/>
      <c r="SB464" s="29"/>
    </row>
    <row r="465" spans="1:496">
      <c r="A465" s="41">
        <f t="shared" si="358"/>
        <v>2033</v>
      </c>
      <c r="B465" s="1504">
        <v>48611</v>
      </c>
      <c r="C465" s="1813"/>
      <c r="D465" s="1814"/>
      <c r="E465" s="1814"/>
      <c r="F465" s="1815"/>
      <c r="G465" s="1814"/>
      <c r="H465" s="1814"/>
      <c r="I465" s="1814"/>
      <c r="J465" s="1816"/>
      <c r="K465" s="1807"/>
      <c r="L465" s="25"/>
      <c r="M465" s="97"/>
      <c r="N465" s="1504">
        <v>48611</v>
      </c>
      <c r="O465" s="19"/>
      <c r="P465" s="93"/>
      <c r="Q465" s="93"/>
      <c r="R465" s="93"/>
      <c r="S465" s="93"/>
      <c r="T465" s="93"/>
      <c r="U465" s="93"/>
      <c r="V465" s="93"/>
      <c r="W465" s="93"/>
      <c r="X465" s="93"/>
      <c r="Y465" s="93"/>
      <c r="Z465" s="93"/>
      <c r="AA465" s="93"/>
      <c r="AB465" s="20"/>
      <c r="AC465" s="25"/>
      <c r="AD465" s="97"/>
      <c r="AE465" s="1504">
        <v>48611</v>
      </c>
      <c r="AF465" s="19"/>
      <c r="AG465" s="93"/>
      <c r="AH465" s="93"/>
      <c r="AI465" s="93"/>
      <c r="AJ465" s="93"/>
      <c r="AK465" s="93"/>
      <c r="AL465" s="93"/>
      <c r="AM465" s="93"/>
      <c r="AN465" s="93"/>
      <c r="AO465" s="93"/>
      <c r="AP465" s="93"/>
      <c r="AQ465" s="93"/>
      <c r="AR465" s="93"/>
      <c r="AS465" s="20"/>
      <c r="AT465" s="25"/>
      <c r="AU465" s="97"/>
      <c r="AV465" s="1504">
        <v>48611</v>
      </c>
      <c r="AW465" s="19"/>
      <c r="AX465" s="93"/>
      <c r="AY465" s="93"/>
      <c r="AZ465" s="93"/>
      <c r="BA465" s="93"/>
      <c r="BB465" s="93"/>
      <c r="BC465" s="93"/>
      <c r="BD465" s="93"/>
      <c r="BE465" s="93"/>
      <c r="BF465" s="93"/>
      <c r="BG465" s="93"/>
      <c r="BH465" s="93"/>
      <c r="BI465" s="93"/>
      <c r="BJ465" s="20"/>
      <c r="BK465" s="25"/>
      <c r="BL465" s="97"/>
      <c r="BM465" s="1504">
        <v>48611</v>
      </c>
      <c r="BN465" s="19"/>
      <c r="BO465" s="93"/>
      <c r="BP465" s="93"/>
      <c r="BQ465" s="93"/>
      <c r="BR465" s="93"/>
      <c r="BS465" s="93"/>
      <c r="BT465" s="93"/>
      <c r="BU465" s="20"/>
      <c r="BV465" s="25"/>
      <c r="BW465" s="97"/>
      <c r="BX465" s="1504">
        <v>48611</v>
      </c>
      <c r="BY465" s="19"/>
      <c r="BZ465" s="93"/>
      <c r="CA465" s="93"/>
      <c r="CB465" s="93"/>
      <c r="CC465" s="93"/>
      <c r="CD465" s="25"/>
      <c r="CE465" s="97"/>
      <c r="CF465" s="1504">
        <v>48611</v>
      </c>
      <c r="CG465" s="19"/>
      <c r="CH465" s="93"/>
      <c r="CI465" s="219"/>
      <c r="CJ465" s="20"/>
      <c r="CK465" s="19"/>
      <c r="CL465" s="93"/>
      <c r="CM465" s="93"/>
      <c r="CN465" s="93"/>
      <c r="CO465" s="93"/>
      <c r="CP465" s="20"/>
      <c r="CQ465" s="219"/>
      <c r="CR465" s="93"/>
      <c r="CS465" s="93"/>
      <c r="CT465" s="93"/>
      <c r="CU465" s="93"/>
      <c r="CV465" s="214"/>
      <c r="CW465" s="29"/>
      <c r="CX465" s="41">
        <f t="shared" si="359"/>
        <v>2033</v>
      </c>
      <c r="CY465" s="1504">
        <v>48611</v>
      </c>
      <c r="CZ465" s="19"/>
      <c r="DA465" s="93"/>
      <c r="DB465" s="93"/>
      <c r="DC465" s="93"/>
      <c r="DD465" s="93"/>
      <c r="DE465" s="20"/>
      <c r="DF465" s="29"/>
      <c r="DG465" s="1504">
        <v>48611</v>
      </c>
      <c r="DH465" s="19"/>
      <c r="DI465" s="93"/>
      <c r="DJ465" s="93"/>
      <c r="DK465" s="93"/>
      <c r="DL465" s="93"/>
      <c r="DM465" s="93"/>
      <c r="DN465" s="20"/>
      <c r="DO465" s="295"/>
      <c r="DP465" s="29"/>
      <c r="DQ465" s="1504">
        <v>48611</v>
      </c>
      <c r="DR465" s="19"/>
      <c r="DS465" s="93"/>
      <c r="DT465" s="93"/>
      <c r="DU465" s="93"/>
      <c r="DV465" s="93"/>
      <c r="DW465" s="93"/>
      <c r="DX465" s="20"/>
      <c r="DY465" s="29"/>
      <c r="DZ465" s="1504">
        <v>48611</v>
      </c>
      <c r="EA465" s="19"/>
      <c r="EB465" s="93"/>
      <c r="EC465" s="20"/>
      <c r="ED465" s="29"/>
      <c r="EE465" s="1504">
        <v>48611</v>
      </c>
      <c r="EF465" s="19"/>
      <c r="EG465" s="93"/>
      <c r="EH465" s="93"/>
      <c r="EI465" s="214"/>
      <c r="EJ465" s="93"/>
      <c r="EK465" s="93"/>
      <c r="EL465" s="93"/>
      <c r="EM465" s="93"/>
      <c r="EN465" s="20"/>
      <c r="EO465" s="29"/>
      <c r="EP465" s="1504">
        <v>48611</v>
      </c>
      <c r="EQ465" s="19"/>
      <c r="ER465" s="93"/>
      <c r="ES465" s="93"/>
      <c r="ET465" s="214"/>
      <c r="EU465" s="93"/>
      <c r="EV465" s="93"/>
      <c r="EW465" s="93"/>
      <c r="EX465" s="93"/>
      <c r="EY465" s="20"/>
      <c r="EZ465" s="29"/>
      <c r="FA465" s="1504">
        <v>48611</v>
      </c>
      <c r="FB465" s="29"/>
      <c r="FC465" s="29"/>
      <c r="FD465" s="29"/>
      <c r="FE465" s="29"/>
      <c r="FF465" s="29"/>
      <c r="FG465" s="29"/>
      <c r="FH465" s="29"/>
      <c r="FI465" s="29"/>
      <c r="FJ465" s="29"/>
      <c r="FK465" s="29"/>
      <c r="FL465" s="1504">
        <v>48611</v>
      </c>
      <c r="FM465" s="19"/>
      <c r="FN465" s="93"/>
      <c r="FO465" s="93"/>
      <c r="FP465" s="93"/>
      <c r="FQ465" s="93"/>
      <c r="FR465" s="93"/>
      <c r="FS465" s="93"/>
      <c r="FT465" s="93"/>
      <c r="FU465" s="93"/>
      <c r="FV465" s="93"/>
      <c r="FW465" s="93"/>
      <c r="FX465" s="93"/>
      <c r="FY465" s="93"/>
      <c r="FZ465" s="29"/>
      <c r="GA465" s="1504">
        <v>48611</v>
      </c>
      <c r="GB465" s="19"/>
      <c r="GC465" s="93"/>
      <c r="GD465" s="93"/>
      <c r="GE465" s="93"/>
      <c r="GF465" s="93"/>
      <c r="GG465" s="93"/>
      <c r="GH465" s="93"/>
      <c r="GI465" s="93"/>
      <c r="GJ465" s="93"/>
      <c r="GK465" s="93"/>
      <c r="GL465" s="93"/>
      <c r="GM465" s="93"/>
      <c r="GN465" s="20"/>
      <c r="GO465" s="29"/>
      <c r="GP465" s="1504">
        <v>48611</v>
      </c>
      <c r="GQ465" s="19"/>
      <c r="GR465" s="93"/>
      <c r="GS465" s="93"/>
      <c r="GT465" s="93"/>
      <c r="GU465" s="93"/>
      <c r="GV465" s="20"/>
      <c r="GW465" s="19"/>
      <c r="GX465" s="93"/>
      <c r="GY465" s="93"/>
      <c r="GZ465" s="93"/>
      <c r="HA465" s="93"/>
      <c r="HB465" s="20"/>
      <c r="HC465" s="19"/>
      <c r="HD465" s="93"/>
      <c r="HE465" s="93"/>
      <c r="HF465" s="93"/>
      <c r="HG465" s="93"/>
      <c r="HH465" s="20"/>
      <c r="HI465" s="19"/>
      <c r="HJ465" s="93"/>
      <c r="HK465" s="93"/>
      <c r="HL465" s="93"/>
      <c r="HM465" s="93"/>
      <c r="HN465" s="20"/>
      <c r="HO465" s="219"/>
      <c r="HP465" s="20"/>
      <c r="HQ465" s="25"/>
      <c r="HR465" s="29"/>
      <c r="HS465" s="1504">
        <v>48611</v>
      </c>
      <c r="HT465" s="19"/>
      <c r="HU465" s="93"/>
      <c r="HV465" s="93"/>
      <c r="HW465" s="93"/>
      <c r="HX465" s="93"/>
      <c r="HY465" s="93"/>
      <c r="HZ465" s="93"/>
      <c r="IA465" s="20"/>
      <c r="IB465" s="19"/>
      <c r="IC465" s="93"/>
      <c r="ID465" s="93"/>
      <c r="IE465" s="93"/>
      <c r="IF465" s="93"/>
      <c r="IG465" s="20"/>
      <c r="IH465" s="19"/>
      <c r="II465" s="93"/>
      <c r="IJ465" s="93"/>
      <c r="IK465" s="93"/>
      <c r="IL465" s="93"/>
      <c r="IM465" s="93"/>
      <c r="IN465" s="93"/>
      <c r="IO465" s="20"/>
      <c r="IP465" s="29"/>
      <c r="IQ465" s="19"/>
      <c r="IR465" s="93"/>
      <c r="IS465" s="93"/>
      <c r="IT465" s="93"/>
      <c r="IU465" s="93"/>
      <c r="IV465" s="20"/>
      <c r="IW465" s="29"/>
      <c r="IX465" s="19"/>
      <c r="IY465" s="93"/>
      <c r="IZ465" s="93"/>
      <c r="JA465" s="93"/>
      <c r="JB465" s="93"/>
      <c r="JC465" s="93"/>
      <c r="JD465" s="93"/>
      <c r="JE465" s="20"/>
      <c r="JF465" s="29"/>
      <c r="JG465" s="19"/>
      <c r="JH465" s="93"/>
      <c r="JI465" s="93"/>
      <c r="JJ465" s="93"/>
      <c r="JK465" s="93"/>
      <c r="JL465" s="93"/>
      <c r="JM465" s="93"/>
      <c r="JN465" s="20"/>
      <c r="JO465" s="29"/>
      <c r="JP465" s="19"/>
      <c r="JQ465" s="93"/>
      <c r="JR465" s="93"/>
      <c r="JS465" s="93"/>
      <c r="JT465" s="93"/>
      <c r="JU465" s="20"/>
      <c r="JV465" s="29"/>
      <c r="JW465" s="1504">
        <v>48611</v>
      </c>
      <c r="JX465" s="19"/>
      <c r="JY465" s="93"/>
      <c r="JZ465" s="93"/>
      <c r="KA465" s="93"/>
      <c r="KB465" s="93"/>
      <c r="KC465" s="93"/>
      <c r="KD465" s="20"/>
      <c r="KE465" s="29"/>
      <c r="KF465" s="19"/>
      <c r="KG465" s="93"/>
      <c r="KH465" s="93"/>
      <c r="KI465" s="93"/>
      <c r="KJ465" s="93"/>
      <c r="KK465" s="20"/>
      <c r="KL465" s="29"/>
      <c r="KM465" s="19"/>
      <c r="KN465" s="93"/>
      <c r="KO465" s="93"/>
      <c r="KP465" s="93"/>
      <c r="KQ465" s="93"/>
      <c r="KR465" s="20"/>
      <c r="KS465" s="29"/>
      <c r="KT465" s="19"/>
      <c r="KU465" s="93"/>
      <c r="KV465" s="93"/>
      <c r="KW465" s="93"/>
      <c r="KX465" s="93"/>
      <c r="KY465" s="20"/>
      <c r="KZ465" s="29"/>
      <c r="LA465" s="1504">
        <v>48611</v>
      </c>
      <c r="LB465" s="19"/>
      <c r="LC465" s="93"/>
      <c r="LD465" s="93"/>
      <c r="LE465" s="93"/>
      <c r="LF465" s="93"/>
      <c r="LG465" s="93"/>
      <c r="LH465" s="20"/>
      <c r="LI465" s="29"/>
      <c r="LJ465" s="19"/>
      <c r="LK465" s="93"/>
      <c r="LL465" s="93"/>
      <c r="LM465" s="93"/>
      <c r="LN465" s="93"/>
      <c r="LO465" s="20"/>
      <c r="LP465" s="29"/>
      <c r="LQ465" s="19"/>
      <c r="LR465" s="93"/>
      <c r="LS465" s="93"/>
      <c r="LT465" s="93"/>
      <c r="LU465" s="93"/>
      <c r="LV465" s="93"/>
      <c r="LW465" s="93"/>
      <c r="LX465" s="93"/>
      <c r="LY465" s="93"/>
      <c r="LZ465" s="93"/>
      <c r="MA465" s="20"/>
      <c r="MB465" s="29"/>
      <c r="MC465" s="1504">
        <v>48611</v>
      </c>
      <c r="MD465" s="19"/>
      <c r="ME465" s="93"/>
      <c r="MF465" s="93"/>
      <c r="MG465" s="93"/>
      <c r="MH465" s="93"/>
      <c r="MI465" s="93"/>
      <c r="MJ465" s="93"/>
      <c r="MK465" s="93"/>
      <c r="ML465" s="93"/>
      <c r="MM465" s="93"/>
      <c r="MN465" s="93"/>
      <c r="MO465" s="93"/>
      <c r="MP465" s="93"/>
      <c r="MQ465" s="93"/>
      <c r="MR465" s="93"/>
      <c r="MS465" s="93"/>
      <c r="MT465" s="93"/>
      <c r="MU465" s="93"/>
      <c r="MV465" s="93"/>
      <c r="MW465" s="93"/>
      <c r="MX465" s="93"/>
      <c r="MY465" s="93"/>
      <c r="MZ465" s="93"/>
      <c r="NA465" s="93"/>
      <c r="NB465" s="93"/>
      <c r="NC465" s="93"/>
      <c r="ND465" s="93"/>
      <c r="NE465" s="93"/>
      <c r="NF465" s="93"/>
      <c r="NG465" s="93"/>
      <c r="NH465" s="93"/>
      <c r="NI465" s="93"/>
      <c r="NJ465" s="93"/>
      <c r="NK465" s="93"/>
      <c r="NL465" s="93"/>
      <c r="NM465" s="93"/>
      <c r="NN465" s="93"/>
      <c r="NO465" s="93"/>
      <c r="NP465" s="93"/>
      <c r="NQ465" s="93"/>
      <c r="NR465" s="93"/>
      <c r="NS465" s="93"/>
      <c r="NT465" s="93"/>
      <c r="NU465" s="93"/>
      <c r="NV465" s="93"/>
      <c r="NW465" s="93"/>
      <c r="NX465" s="93"/>
      <c r="NY465" s="93"/>
      <c r="NZ465" s="93"/>
      <c r="OA465" s="93"/>
      <c r="OB465" s="93"/>
      <c r="OC465" s="93"/>
      <c r="OD465" s="20"/>
      <c r="OE465" s="29"/>
      <c r="OF465" s="1504">
        <v>48611</v>
      </c>
      <c r="OG465" s="19"/>
      <c r="OH465" s="93"/>
      <c r="OI465" s="93"/>
      <c r="OJ465" s="93"/>
      <c r="OK465" s="93"/>
      <c r="OL465" s="93"/>
      <c r="OM465" s="93"/>
      <c r="ON465" s="93"/>
      <c r="OO465" s="93"/>
      <c r="OP465" s="93"/>
      <c r="OQ465" s="93"/>
      <c r="OR465" s="93"/>
      <c r="OS465" s="93"/>
      <c r="OT465" s="93"/>
      <c r="OU465" s="93"/>
      <c r="OV465" s="93"/>
      <c r="OW465" s="93"/>
      <c r="OX465" s="93"/>
      <c r="OY465" s="93"/>
      <c r="OZ465" s="93"/>
      <c r="PA465" s="93"/>
      <c r="PB465" s="93"/>
      <c r="PC465" s="20"/>
      <c r="PD465" s="29"/>
      <c r="PE465" s="19"/>
      <c r="PF465" s="93"/>
      <c r="PG465" s="93"/>
      <c r="PH465" s="93"/>
      <c r="PI465" s="93"/>
      <c r="PJ465" s="93"/>
      <c r="PK465" s="93"/>
      <c r="PL465" s="93"/>
      <c r="PM465" s="93"/>
      <c r="PN465" s="93"/>
      <c r="PO465" s="93"/>
      <c r="PP465" s="93"/>
      <c r="PQ465" s="93"/>
      <c r="PR465" s="93"/>
      <c r="PS465" s="93"/>
      <c r="PT465" s="93"/>
      <c r="PU465" s="93"/>
      <c r="PV465" s="93"/>
      <c r="PW465" s="93"/>
      <c r="PX465" s="93"/>
      <c r="PY465" s="93"/>
      <c r="PZ465" s="93"/>
      <c r="QA465" s="93"/>
      <c r="QB465" s="93"/>
      <c r="QC465" s="93"/>
      <c r="QD465" s="93"/>
      <c r="QE465" s="20"/>
      <c r="QF465" s="1739"/>
      <c r="QG465" s="19"/>
      <c r="QH465" s="93"/>
      <c r="QI465" s="93"/>
      <c r="QJ465" s="93"/>
      <c r="QK465" s="93"/>
      <c r="QL465" s="93"/>
      <c r="QM465" s="93"/>
      <c r="QN465" s="93"/>
      <c r="QO465" s="93"/>
      <c r="QP465" s="93"/>
      <c r="QQ465" s="93"/>
      <c r="QR465" s="93"/>
      <c r="QS465" s="93"/>
      <c r="QT465" s="93"/>
      <c r="QU465" s="93"/>
      <c r="QV465" s="93"/>
      <c r="QW465" s="93"/>
      <c r="QX465" s="93"/>
      <c r="QY465" s="93"/>
      <c r="QZ465" s="93"/>
      <c r="RA465" s="93"/>
      <c r="RB465" s="93"/>
      <c r="RC465" s="93"/>
      <c r="RD465" s="93"/>
      <c r="RE465" s="93"/>
      <c r="RF465" s="93"/>
      <c r="RG465" s="93"/>
      <c r="RH465" s="93"/>
      <c r="RI465" s="93"/>
      <c r="RJ465" s="93"/>
      <c r="RK465" s="93"/>
      <c r="RL465" s="93"/>
      <c r="RM465" s="20"/>
      <c r="RN465" s="29"/>
      <c r="RO465" s="19"/>
      <c r="RP465" s="20"/>
      <c r="RQ465" s="29"/>
      <c r="RR465" s="20"/>
      <c r="RS465" s="29"/>
      <c r="RT465" s="1504">
        <v>48611</v>
      </c>
      <c r="RU465" s="19"/>
      <c r="RV465" s="20"/>
      <c r="RW465" s="29"/>
      <c r="RX465" s="1504">
        <v>48611</v>
      </c>
      <c r="RY465" s="29"/>
      <c r="RZ465" s="20"/>
      <c r="SA465" s="29"/>
      <c r="SB465" s="29"/>
    </row>
    <row r="466" spans="1:496">
      <c r="A466" s="41">
        <f t="shared" si="358"/>
        <v>2033</v>
      </c>
      <c r="B466" s="1504">
        <v>48639</v>
      </c>
      <c r="C466" s="1813"/>
      <c r="D466" s="1814"/>
      <c r="E466" s="1814"/>
      <c r="F466" s="1815"/>
      <c r="G466" s="1814"/>
      <c r="H466" s="1814"/>
      <c r="I466" s="1814"/>
      <c r="J466" s="1816"/>
      <c r="K466" s="1807"/>
      <c r="L466" s="25"/>
      <c r="M466" s="97"/>
      <c r="N466" s="1504">
        <v>48639</v>
      </c>
      <c r="O466" s="19"/>
      <c r="P466" s="93"/>
      <c r="Q466" s="93"/>
      <c r="R466" s="93"/>
      <c r="S466" s="93"/>
      <c r="T466" s="93"/>
      <c r="U466" s="93"/>
      <c r="V466" s="93"/>
      <c r="W466" s="93"/>
      <c r="X466" s="93"/>
      <c r="Y466" s="93"/>
      <c r="Z466" s="93"/>
      <c r="AA466" s="93"/>
      <c r="AB466" s="20"/>
      <c r="AC466" s="25"/>
      <c r="AD466" s="97"/>
      <c r="AE466" s="1504">
        <v>48639</v>
      </c>
      <c r="AF466" s="19"/>
      <c r="AG466" s="93"/>
      <c r="AH466" s="93"/>
      <c r="AI466" s="93"/>
      <c r="AJ466" s="93"/>
      <c r="AK466" s="93"/>
      <c r="AL466" s="93"/>
      <c r="AM466" s="93"/>
      <c r="AN466" s="93"/>
      <c r="AO466" s="93"/>
      <c r="AP466" s="93"/>
      <c r="AQ466" s="93"/>
      <c r="AR466" s="93"/>
      <c r="AS466" s="20"/>
      <c r="AT466" s="25"/>
      <c r="AU466" s="97"/>
      <c r="AV466" s="1504">
        <v>48639</v>
      </c>
      <c r="AW466" s="19"/>
      <c r="AX466" s="93"/>
      <c r="AY466" s="93"/>
      <c r="AZ466" s="93"/>
      <c r="BA466" s="93"/>
      <c r="BB466" s="93"/>
      <c r="BC466" s="93"/>
      <c r="BD466" s="93"/>
      <c r="BE466" s="93"/>
      <c r="BF466" s="93"/>
      <c r="BG466" s="93"/>
      <c r="BH466" s="93"/>
      <c r="BI466" s="93"/>
      <c r="BJ466" s="20"/>
      <c r="BK466" s="25"/>
      <c r="BL466" s="97"/>
      <c r="BM466" s="1504">
        <v>48639</v>
      </c>
      <c r="BN466" s="19"/>
      <c r="BO466" s="93"/>
      <c r="BP466" s="93"/>
      <c r="BQ466" s="93"/>
      <c r="BR466" s="93"/>
      <c r="BS466" s="93"/>
      <c r="BT466" s="93"/>
      <c r="BU466" s="20"/>
      <c r="BV466" s="25"/>
      <c r="BW466" s="97"/>
      <c r="BX466" s="1504">
        <v>48639</v>
      </c>
      <c r="BY466" s="19"/>
      <c r="BZ466" s="93"/>
      <c r="CA466" s="93"/>
      <c r="CB466" s="93"/>
      <c r="CC466" s="93"/>
      <c r="CD466" s="25"/>
      <c r="CE466" s="97"/>
      <c r="CF466" s="1504">
        <v>48639</v>
      </c>
      <c r="CG466" s="19"/>
      <c r="CH466" s="93"/>
      <c r="CI466" s="219"/>
      <c r="CJ466" s="20"/>
      <c r="CK466" s="19"/>
      <c r="CL466" s="93"/>
      <c r="CM466" s="93"/>
      <c r="CN466" s="93"/>
      <c r="CO466" s="93"/>
      <c r="CP466" s="20"/>
      <c r="CQ466" s="219"/>
      <c r="CR466" s="93"/>
      <c r="CS466" s="93"/>
      <c r="CT466" s="93"/>
      <c r="CU466" s="93"/>
      <c r="CV466" s="214"/>
      <c r="CW466" s="29"/>
      <c r="CX466" s="41">
        <f t="shared" si="359"/>
        <v>2033</v>
      </c>
      <c r="CY466" s="1504">
        <v>48639</v>
      </c>
      <c r="CZ466" s="19"/>
      <c r="DA466" s="93"/>
      <c r="DB466" s="93"/>
      <c r="DC466" s="93"/>
      <c r="DD466" s="93"/>
      <c r="DE466" s="20"/>
      <c r="DF466" s="29"/>
      <c r="DG466" s="1504">
        <v>48639</v>
      </c>
      <c r="DH466" s="19"/>
      <c r="DI466" s="93"/>
      <c r="DJ466" s="93"/>
      <c r="DK466" s="93"/>
      <c r="DL466" s="93"/>
      <c r="DM466" s="93"/>
      <c r="DN466" s="20"/>
      <c r="DO466" s="295"/>
      <c r="DP466" s="29"/>
      <c r="DQ466" s="1504">
        <v>48639</v>
      </c>
      <c r="DR466" s="19"/>
      <c r="DS466" s="93"/>
      <c r="DT466" s="93"/>
      <c r="DU466" s="93"/>
      <c r="DV466" s="93"/>
      <c r="DW466" s="93"/>
      <c r="DX466" s="20"/>
      <c r="DY466" s="29"/>
      <c r="DZ466" s="1504">
        <v>48639</v>
      </c>
      <c r="EA466" s="19"/>
      <c r="EB466" s="93"/>
      <c r="EC466" s="20"/>
      <c r="ED466" s="29"/>
      <c r="EE466" s="1504">
        <v>48639</v>
      </c>
      <c r="EF466" s="19"/>
      <c r="EG466" s="93"/>
      <c r="EH466" s="93"/>
      <c r="EI466" s="214"/>
      <c r="EJ466" s="93"/>
      <c r="EK466" s="93"/>
      <c r="EL466" s="93"/>
      <c r="EM466" s="93"/>
      <c r="EN466" s="20"/>
      <c r="EO466" s="29"/>
      <c r="EP466" s="1504">
        <v>48639</v>
      </c>
      <c r="EQ466" s="19"/>
      <c r="ER466" s="93"/>
      <c r="ES466" s="93"/>
      <c r="ET466" s="214"/>
      <c r="EU466" s="93"/>
      <c r="EV466" s="93"/>
      <c r="EW466" s="93"/>
      <c r="EX466" s="93"/>
      <c r="EY466" s="20"/>
      <c r="EZ466" s="29"/>
      <c r="FA466" s="1504">
        <v>48639</v>
      </c>
      <c r="FB466" s="29"/>
      <c r="FC466" s="29"/>
      <c r="FD466" s="29"/>
      <c r="FE466" s="29"/>
      <c r="FF466" s="29"/>
      <c r="FG466" s="29"/>
      <c r="FH466" s="29"/>
      <c r="FI466" s="29"/>
      <c r="FJ466" s="29"/>
      <c r="FK466" s="29"/>
      <c r="FL466" s="1504">
        <v>48639</v>
      </c>
      <c r="FM466" s="19"/>
      <c r="FN466" s="93"/>
      <c r="FO466" s="93"/>
      <c r="FP466" s="93"/>
      <c r="FQ466" s="93"/>
      <c r="FR466" s="93"/>
      <c r="FS466" s="93"/>
      <c r="FT466" s="93"/>
      <c r="FU466" s="93"/>
      <c r="FV466" s="93"/>
      <c r="FW466" s="93"/>
      <c r="FX466" s="93"/>
      <c r="FY466" s="93"/>
      <c r="FZ466" s="29"/>
      <c r="GA466" s="1504">
        <v>48639</v>
      </c>
      <c r="GB466" s="19"/>
      <c r="GC466" s="93"/>
      <c r="GD466" s="93"/>
      <c r="GE466" s="93"/>
      <c r="GF466" s="93"/>
      <c r="GG466" s="93"/>
      <c r="GH466" s="93"/>
      <c r="GI466" s="93"/>
      <c r="GJ466" s="93"/>
      <c r="GK466" s="93"/>
      <c r="GL466" s="93"/>
      <c r="GM466" s="93"/>
      <c r="GN466" s="20"/>
      <c r="GO466" s="29"/>
      <c r="GP466" s="1504">
        <v>48639</v>
      </c>
      <c r="GQ466" s="19"/>
      <c r="GR466" s="93"/>
      <c r="GS466" s="93"/>
      <c r="GT466" s="93"/>
      <c r="GU466" s="93"/>
      <c r="GV466" s="20"/>
      <c r="GW466" s="19"/>
      <c r="GX466" s="93"/>
      <c r="GY466" s="93"/>
      <c r="GZ466" s="93"/>
      <c r="HA466" s="93"/>
      <c r="HB466" s="20"/>
      <c r="HC466" s="19"/>
      <c r="HD466" s="93"/>
      <c r="HE466" s="93"/>
      <c r="HF466" s="93"/>
      <c r="HG466" s="93"/>
      <c r="HH466" s="20"/>
      <c r="HI466" s="19"/>
      <c r="HJ466" s="93"/>
      <c r="HK466" s="93"/>
      <c r="HL466" s="93"/>
      <c r="HM466" s="93"/>
      <c r="HN466" s="20"/>
      <c r="HO466" s="219"/>
      <c r="HP466" s="20"/>
      <c r="HQ466" s="25"/>
      <c r="HR466" s="29"/>
      <c r="HS466" s="1504">
        <v>48639</v>
      </c>
      <c r="HT466" s="19"/>
      <c r="HU466" s="93"/>
      <c r="HV466" s="93"/>
      <c r="HW466" s="93"/>
      <c r="HX466" s="93"/>
      <c r="HY466" s="93"/>
      <c r="HZ466" s="93"/>
      <c r="IA466" s="20"/>
      <c r="IB466" s="19"/>
      <c r="IC466" s="93"/>
      <c r="ID466" s="93"/>
      <c r="IE466" s="93"/>
      <c r="IF466" s="93"/>
      <c r="IG466" s="20"/>
      <c r="IH466" s="19"/>
      <c r="II466" s="93"/>
      <c r="IJ466" s="93"/>
      <c r="IK466" s="93"/>
      <c r="IL466" s="93"/>
      <c r="IM466" s="93"/>
      <c r="IN466" s="93"/>
      <c r="IO466" s="20"/>
      <c r="IP466" s="29"/>
      <c r="IQ466" s="19"/>
      <c r="IR466" s="93"/>
      <c r="IS466" s="93"/>
      <c r="IT466" s="93"/>
      <c r="IU466" s="93"/>
      <c r="IV466" s="20"/>
      <c r="IW466" s="29"/>
      <c r="IX466" s="19"/>
      <c r="IY466" s="93"/>
      <c r="IZ466" s="93"/>
      <c r="JA466" s="93"/>
      <c r="JB466" s="93"/>
      <c r="JC466" s="93"/>
      <c r="JD466" s="93"/>
      <c r="JE466" s="20"/>
      <c r="JF466" s="29"/>
      <c r="JG466" s="19"/>
      <c r="JH466" s="93"/>
      <c r="JI466" s="93"/>
      <c r="JJ466" s="93"/>
      <c r="JK466" s="93"/>
      <c r="JL466" s="93"/>
      <c r="JM466" s="93"/>
      <c r="JN466" s="20"/>
      <c r="JO466" s="29"/>
      <c r="JP466" s="19"/>
      <c r="JQ466" s="93"/>
      <c r="JR466" s="93"/>
      <c r="JS466" s="93"/>
      <c r="JT466" s="93"/>
      <c r="JU466" s="20"/>
      <c r="JV466" s="29"/>
      <c r="JW466" s="1504">
        <v>48639</v>
      </c>
      <c r="JX466" s="19"/>
      <c r="JY466" s="93"/>
      <c r="JZ466" s="93"/>
      <c r="KA466" s="93"/>
      <c r="KB466" s="93"/>
      <c r="KC466" s="93"/>
      <c r="KD466" s="20"/>
      <c r="KE466" s="29"/>
      <c r="KF466" s="19"/>
      <c r="KG466" s="93"/>
      <c r="KH466" s="93"/>
      <c r="KI466" s="93"/>
      <c r="KJ466" s="93"/>
      <c r="KK466" s="20"/>
      <c r="KL466" s="29"/>
      <c r="KM466" s="19"/>
      <c r="KN466" s="93"/>
      <c r="KO466" s="93"/>
      <c r="KP466" s="93"/>
      <c r="KQ466" s="93"/>
      <c r="KR466" s="20"/>
      <c r="KS466" s="29"/>
      <c r="KT466" s="19"/>
      <c r="KU466" s="93"/>
      <c r="KV466" s="93"/>
      <c r="KW466" s="93"/>
      <c r="KX466" s="93"/>
      <c r="KY466" s="20"/>
      <c r="KZ466" s="29"/>
      <c r="LA466" s="1504">
        <v>48639</v>
      </c>
      <c r="LB466" s="19"/>
      <c r="LC466" s="93"/>
      <c r="LD466" s="93"/>
      <c r="LE466" s="93"/>
      <c r="LF466" s="93"/>
      <c r="LG466" s="93"/>
      <c r="LH466" s="20"/>
      <c r="LI466" s="29"/>
      <c r="LJ466" s="19"/>
      <c r="LK466" s="93"/>
      <c r="LL466" s="93"/>
      <c r="LM466" s="93"/>
      <c r="LN466" s="93"/>
      <c r="LO466" s="20"/>
      <c r="LP466" s="29"/>
      <c r="LQ466" s="19"/>
      <c r="LR466" s="93"/>
      <c r="LS466" s="93"/>
      <c r="LT466" s="93"/>
      <c r="LU466" s="93"/>
      <c r="LV466" s="93"/>
      <c r="LW466" s="93"/>
      <c r="LX466" s="93"/>
      <c r="LY466" s="93"/>
      <c r="LZ466" s="93"/>
      <c r="MA466" s="20"/>
      <c r="MB466" s="29"/>
      <c r="MC466" s="1504">
        <v>48639</v>
      </c>
      <c r="MD466" s="19"/>
      <c r="ME466" s="93"/>
      <c r="MF466" s="93"/>
      <c r="MG466" s="93"/>
      <c r="MH466" s="93"/>
      <c r="MI466" s="93"/>
      <c r="MJ466" s="93"/>
      <c r="MK466" s="93"/>
      <c r="ML466" s="93"/>
      <c r="MM466" s="93"/>
      <c r="MN466" s="93"/>
      <c r="MO466" s="93"/>
      <c r="MP466" s="93"/>
      <c r="MQ466" s="93"/>
      <c r="MR466" s="93"/>
      <c r="MS466" s="93"/>
      <c r="MT466" s="93"/>
      <c r="MU466" s="93"/>
      <c r="MV466" s="93"/>
      <c r="MW466" s="93"/>
      <c r="MX466" s="93"/>
      <c r="MY466" s="93"/>
      <c r="MZ466" s="93"/>
      <c r="NA466" s="93"/>
      <c r="NB466" s="93"/>
      <c r="NC466" s="93"/>
      <c r="ND466" s="93"/>
      <c r="NE466" s="93"/>
      <c r="NF466" s="93"/>
      <c r="NG466" s="93"/>
      <c r="NH466" s="93"/>
      <c r="NI466" s="93"/>
      <c r="NJ466" s="93"/>
      <c r="NK466" s="93"/>
      <c r="NL466" s="93"/>
      <c r="NM466" s="93"/>
      <c r="NN466" s="93"/>
      <c r="NO466" s="93"/>
      <c r="NP466" s="93"/>
      <c r="NQ466" s="93"/>
      <c r="NR466" s="93"/>
      <c r="NS466" s="93"/>
      <c r="NT466" s="93"/>
      <c r="NU466" s="93"/>
      <c r="NV466" s="93"/>
      <c r="NW466" s="93"/>
      <c r="NX466" s="93"/>
      <c r="NY466" s="93"/>
      <c r="NZ466" s="93"/>
      <c r="OA466" s="93"/>
      <c r="OB466" s="93"/>
      <c r="OC466" s="93"/>
      <c r="OD466" s="20"/>
      <c r="OE466" s="29"/>
      <c r="OF466" s="1504">
        <v>48639</v>
      </c>
      <c r="OG466" s="19"/>
      <c r="OH466" s="93"/>
      <c r="OI466" s="93"/>
      <c r="OJ466" s="93"/>
      <c r="OK466" s="93"/>
      <c r="OL466" s="93"/>
      <c r="OM466" s="93"/>
      <c r="ON466" s="93"/>
      <c r="OO466" s="93"/>
      <c r="OP466" s="93"/>
      <c r="OQ466" s="93"/>
      <c r="OR466" s="93"/>
      <c r="OS466" s="93"/>
      <c r="OT466" s="93"/>
      <c r="OU466" s="93"/>
      <c r="OV466" s="93"/>
      <c r="OW466" s="93"/>
      <c r="OX466" s="93"/>
      <c r="OY466" s="93"/>
      <c r="OZ466" s="93"/>
      <c r="PA466" s="93"/>
      <c r="PB466" s="93"/>
      <c r="PC466" s="20"/>
      <c r="PD466" s="29"/>
      <c r="PE466" s="19"/>
      <c r="PF466" s="93"/>
      <c r="PG466" s="93"/>
      <c r="PH466" s="93"/>
      <c r="PI466" s="93"/>
      <c r="PJ466" s="93"/>
      <c r="PK466" s="93"/>
      <c r="PL466" s="93"/>
      <c r="PM466" s="93"/>
      <c r="PN466" s="93"/>
      <c r="PO466" s="93"/>
      <c r="PP466" s="93"/>
      <c r="PQ466" s="93"/>
      <c r="PR466" s="93"/>
      <c r="PS466" s="93"/>
      <c r="PT466" s="93"/>
      <c r="PU466" s="93"/>
      <c r="PV466" s="93"/>
      <c r="PW466" s="93"/>
      <c r="PX466" s="93"/>
      <c r="PY466" s="93"/>
      <c r="PZ466" s="93"/>
      <c r="QA466" s="93"/>
      <c r="QB466" s="93"/>
      <c r="QC466" s="93"/>
      <c r="QD466" s="93"/>
      <c r="QE466" s="20"/>
      <c r="QF466" s="1739"/>
      <c r="QG466" s="19"/>
      <c r="QH466" s="93"/>
      <c r="QI466" s="93"/>
      <c r="QJ466" s="93"/>
      <c r="QK466" s="93"/>
      <c r="QL466" s="93"/>
      <c r="QM466" s="93"/>
      <c r="QN466" s="93"/>
      <c r="QO466" s="93"/>
      <c r="QP466" s="93"/>
      <c r="QQ466" s="93"/>
      <c r="QR466" s="93"/>
      <c r="QS466" s="93"/>
      <c r="QT466" s="93"/>
      <c r="QU466" s="93"/>
      <c r="QV466" s="93"/>
      <c r="QW466" s="93"/>
      <c r="QX466" s="93"/>
      <c r="QY466" s="93"/>
      <c r="QZ466" s="93"/>
      <c r="RA466" s="93"/>
      <c r="RB466" s="93"/>
      <c r="RC466" s="93"/>
      <c r="RD466" s="93"/>
      <c r="RE466" s="93"/>
      <c r="RF466" s="93"/>
      <c r="RG466" s="93"/>
      <c r="RH466" s="93"/>
      <c r="RI466" s="93"/>
      <c r="RJ466" s="93"/>
      <c r="RK466" s="93"/>
      <c r="RL466" s="93"/>
      <c r="RM466" s="20"/>
      <c r="RN466" s="29"/>
      <c r="RO466" s="19"/>
      <c r="RP466" s="20"/>
      <c r="RQ466" s="29"/>
      <c r="RR466" s="20"/>
      <c r="RS466" s="29"/>
      <c r="RT466" s="1504">
        <v>48639</v>
      </c>
      <c r="RU466" s="19"/>
      <c r="RV466" s="20"/>
      <c r="RW466" s="29"/>
      <c r="RX466" s="1504">
        <v>48639</v>
      </c>
      <c r="RY466" s="29"/>
      <c r="RZ466" s="20"/>
      <c r="SA466" s="29"/>
      <c r="SB466" s="29"/>
    </row>
    <row r="467" spans="1:496">
      <c r="A467" s="41">
        <f t="shared" si="358"/>
        <v>2033</v>
      </c>
      <c r="B467" s="1504">
        <v>48670</v>
      </c>
      <c r="C467" s="1813"/>
      <c r="D467" s="1814"/>
      <c r="E467" s="1814"/>
      <c r="F467" s="1815"/>
      <c r="G467" s="1814"/>
      <c r="H467" s="1814"/>
      <c r="I467" s="1814"/>
      <c r="J467" s="1816"/>
      <c r="K467" s="1807"/>
      <c r="L467" s="25"/>
      <c r="M467" s="97"/>
      <c r="N467" s="1504">
        <v>48670</v>
      </c>
      <c r="O467" s="19"/>
      <c r="P467" s="93"/>
      <c r="Q467" s="93"/>
      <c r="R467" s="93"/>
      <c r="S467" s="93"/>
      <c r="T467" s="93"/>
      <c r="U467" s="93"/>
      <c r="V467" s="93"/>
      <c r="W467" s="93"/>
      <c r="X467" s="93"/>
      <c r="Y467" s="93"/>
      <c r="Z467" s="93"/>
      <c r="AA467" s="93"/>
      <c r="AB467" s="20"/>
      <c r="AC467" s="25"/>
      <c r="AD467" s="97"/>
      <c r="AE467" s="1504">
        <v>48670</v>
      </c>
      <c r="AF467" s="19"/>
      <c r="AG467" s="93"/>
      <c r="AH467" s="93"/>
      <c r="AI467" s="93"/>
      <c r="AJ467" s="93"/>
      <c r="AK467" s="93"/>
      <c r="AL467" s="93"/>
      <c r="AM467" s="93"/>
      <c r="AN467" s="93"/>
      <c r="AO467" s="93"/>
      <c r="AP467" s="93"/>
      <c r="AQ467" s="93"/>
      <c r="AR467" s="93"/>
      <c r="AS467" s="20"/>
      <c r="AT467" s="25"/>
      <c r="AU467" s="97"/>
      <c r="AV467" s="1504">
        <v>48670</v>
      </c>
      <c r="AW467" s="19"/>
      <c r="AX467" s="93"/>
      <c r="AY467" s="93"/>
      <c r="AZ467" s="93"/>
      <c r="BA467" s="93"/>
      <c r="BB467" s="93"/>
      <c r="BC467" s="93"/>
      <c r="BD467" s="93"/>
      <c r="BE467" s="93"/>
      <c r="BF467" s="93"/>
      <c r="BG467" s="93"/>
      <c r="BH467" s="93"/>
      <c r="BI467" s="93"/>
      <c r="BJ467" s="20"/>
      <c r="BK467" s="25"/>
      <c r="BL467" s="97"/>
      <c r="BM467" s="1504">
        <v>48670</v>
      </c>
      <c r="BN467" s="19"/>
      <c r="BO467" s="93"/>
      <c r="BP467" s="93"/>
      <c r="BQ467" s="93"/>
      <c r="BR467" s="93"/>
      <c r="BS467" s="93"/>
      <c r="BT467" s="93"/>
      <c r="BU467" s="20"/>
      <c r="BV467" s="25"/>
      <c r="BW467" s="97"/>
      <c r="BX467" s="1504">
        <v>48670</v>
      </c>
      <c r="BY467" s="19"/>
      <c r="BZ467" s="93"/>
      <c r="CA467" s="93"/>
      <c r="CB467" s="93"/>
      <c r="CC467" s="93"/>
      <c r="CD467" s="25"/>
      <c r="CE467" s="97"/>
      <c r="CF467" s="1504">
        <v>48670</v>
      </c>
      <c r="CG467" s="19"/>
      <c r="CH467" s="93"/>
      <c r="CI467" s="219"/>
      <c r="CJ467" s="20"/>
      <c r="CK467" s="19"/>
      <c r="CL467" s="93"/>
      <c r="CM467" s="93"/>
      <c r="CN467" s="93"/>
      <c r="CO467" s="93"/>
      <c r="CP467" s="20"/>
      <c r="CQ467" s="219"/>
      <c r="CR467" s="93"/>
      <c r="CS467" s="93"/>
      <c r="CT467" s="93"/>
      <c r="CU467" s="93"/>
      <c r="CV467" s="214"/>
      <c r="CW467" s="29"/>
      <c r="CX467" s="41">
        <f t="shared" si="359"/>
        <v>2033</v>
      </c>
      <c r="CY467" s="1504">
        <v>48670</v>
      </c>
      <c r="CZ467" s="19"/>
      <c r="DA467" s="93"/>
      <c r="DB467" s="93"/>
      <c r="DC467" s="93"/>
      <c r="DD467" s="93"/>
      <c r="DE467" s="20"/>
      <c r="DF467" s="29"/>
      <c r="DG467" s="1504">
        <v>48670</v>
      </c>
      <c r="DH467" s="19"/>
      <c r="DI467" s="93"/>
      <c r="DJ467" s="93"/>
      <c r="DK467" s="93"/>
      <c r="DL467" s="93"/>
      <c r="DM467" s="93"/>
      <c r="DN467" s="20"/>
      <c r="DO467" s="295"/>
      <c r="DP467" s="29"/>
      <c r="DQ467" s="1504">
        <v>48670</v>
      </c>
      <c r="DR467" s="19"/>
      <c r="DS467" s="93"/>
      <c r="DT467" s="93"/>
      <c r="DU467" s="93"/>
      <c r="DV467" s="93"/>
      <c r="DW467" s="93"/>
      <c r="DX467" s="20"/>
      <c r="DY467" s="29"/>
      <c r="DZ467" s="1504">
        <v>48670</v>
      </c>
      <c r="EA467" s="19"/>
      <c r="EB467" s="93"/>
      <c r="EC467" s="20"/>
      <c r="ED467" s="29"/>
      <c r="EE467" s="1504">
        <v>48670</v>
      </c>
      <c r="EF467" s="19"/>
      <c r="EG467" s="93"/>
      <c r="EH467" s="93"/>
      <c r="EI467" s="214"/>
      <c r="EJ467" s="93"/>
      <c r="EK467" s="93"/>
      <c r="EL467" s="93"/>
      <c r="EM467" s="93"/>
      <c r="EN467" s="20"/>
      <c r="EO467" s="29"/>
      <c r="EP467" s="1504">
        <v>48670</v>
      </c>
      <c r="EQ467" s="19"/>
      <c r="ER467" s="93"/>
      <c r="ES467" s="93"/>
      <c r="ET467" s="214"/>
      <c r="EU467" s="93"/>
      <c r="EV467" s="93"/>
      <c r="EW467" s="93"/>
      <c r="EX467" s="93"/>
      <c r="EY467" s="20"/>
      <c r="EZ467" s="29"/>
      <c r="FA467" s="1504">
        <v>48670</v>
      </c>
      <c r="FB467" s="29"/>
      <c r="FC467" s="29"/>
      <c r="FD467" s="29"/>
      <c r="FE467" s="29"/>
      <c r="FF467" s="29"/>
      <c r="FG467" s="29"/>
      <c r="FH467" s="29"/>
      <c r="FI467" s="29"/>
      <c r="FJ467" s="29"/>
      <c r="FK467" s="29"/>
      <c r="FL467" s="1504">
        <v>48670</v>
      </c>
      <c r="FM467" s="19"/>
      <c r="FN467" s="93"/>
      <c r="FO467" s="93"/>
      <c r="FP467" s="93"/>
      <c r="FQ467" s="93"/>
      <c r="FR467" s="93"/>
      <c r="FS467" s="93"/>
      <c r="FT467" s="93"/>
      <c r="FU467" s="93"/>
      <c r="FV467" s="93"/>
      <c r="FW467" s="93"/>
      <c r="FX467" s="93"/>
      <c r="FY467" s="93"/>
      <c r="FZ467" s="29"/>
      <c r="GA467" s="1504">
        <v>48670</v>
      </c>
      <c r="GB467" s="19"/>
      <c r="GC467" s="93"/>
      <c r="GD467" s="93"/>
      <c r="GE467" s="93"/>
      <c r="GF467" s="93"/>
      <c r="GG467" s="93"/>
      <c r="GH467" s="93"/>
      <c r="GI467" s="93"/>
      <c r="GJ467" s="93"/>
      <c r="GK467" s="93"/>
      <c r="GL467" s="93"/>
      <c r="GM467" s="93"/>
      <c r="GN467" s="20"/>
      <c r="GO467" s="29"/>
      <c r="GP467" s="1504">
        <v>48670</v>
      </c>
      <c r="GQ467" s="19"/>
      <c r="GR467" s="93"/>
      <c r="GS467" s="93"/>
      <c r="GT467" s="93"/>
      <c r="GU467" s="93"/>
      <c r="GV467" s="20"/>
      <c r="GW467" s="19"/>
      <c r="GX467" s="93"/>
      <c r="GY467" s="93"/>
      <c r="GZ467" s="93"/>
      <c r="HA467" s="93"/>
      <c r="HB467" s="20"/>
      <c r="HC467" s="19"/>
      <c r="HD467" s="93"/>
      <c r="HE467" s="93"/>
      <c r="HF467" s="93"/>
      <c r="HG467" s="93"/>
      <c r="HH467" s="20"/>
      <c r="HI467" s="19"/>
      <c r="HJ467" s="93"/>
      <c r="HK467" s="93"/>
      <c r="HL467" s="93"/>
      <c r="HM467" s="93"/>
      <c r="HN467" s="20"/>
      <c r="HO467" s="219"/>
      <c r="HP467" s="20"/>
      <c r="HQ467" s="25"/>
      <c r="HR467" s="29"/>
      <c r="HS467" s="1504">
        <v>48670</v>
      </c>
      <c r="HT467" s="19"/>
      <c r="HU467" s="93"/>
      <c r="HV467" s="93"/>
      <c r="HW467" s="93"/>
      <c r="HX467" s="93"/>
      <c r="HY467" s="93"/>
      <c r="HZ467" s="93"/>
      <c r="IA467" s="20"/>
      <c r="IB467" s="19"/>
      <c r="IC467" s="93"/>
      <c r="ID467" s="93"/>
      <c r="IE467" s="93"/>
      <c r="IF467" s="93"/>
      <c r="IG467" s="20"/>
      <c r="IH467" s="19"/>
      <c r="II467" s="93"/>
      <c r="IJ467" s="93"/>
      <c r="IK467" s="93"/>
      <c r="IL467" s="93"/>
      <c r="IM467" s="93"/>
      <c r="IN467" s="93"/>
      <c r="IO467" s="20"/>
      <c r="IP467" s="29"/>
      <c r="IQ467" s="19"/>
      <c r="IR467" s="93"/>
      <c r="IS467" s="93"/>
      <c r="IT467" s="93"/>
      <c r="IU467" s="93"/>
      <c r="IV467" s="20"/>
      <c r="IW467" s="29"/>
      <c r="IX467" s="19"/>
      <c r="IY467" s="93"/>
      <c r="IZ467" s="93"/>
      <c r="JA467" s="93"/>
      <c r="JB467" s="93"/>
      <c r="JC467" s="93"/>
      <c r="JD467" s="93"/>
      <c r="JE467" s="20"/>
      <c r="JF467" s="29"/>
      <c r="JG467" s="19"/>
      <c r="JH467" s="93"/>
      <c r="JI467" s="93"/>
      <c r="JJ467" s="93"/>
      <c r="JK467" s="93"/>
      <c r="JL467" s="93"/>
      <c r="JM467" s="93"/>
      <c r="JN467" s="20"/>
      <c r="JO467" s="29"/>
      <c r="JP467" s="19"/>
      <c r="JQ467" s="93"/>
      <c r="JR467" s="93"/>
      <c r="JS467" s="93"/>
      <c r="JT467" s="93"/>
      <c r="JU467" s="20"/>
      <c r="JV467" s="29"/>
      <c r="JW467" s="1504">
        <v>48670</v>
      </c>
      <c r="JX467" s="19"/>
      <c r="JY467" s="93"/>
      <c r="JZ467" s="93"/>
      <c r="KA467" s="93"/>
      <c r="KB467" s="93"/>
      <c r="KC467" s="93"/>
      <c r="KD467" s="20"/>
      <c r="KE467" s="29"/>
      <c r="KF467" s="19"/>
      <c r="KG467" s="93"/>
      <c r="KH467" s="93"/>
      <c r="KI467" s="93"/>
      <c r="KJ467" s="93"/>
      <c r="KK467" s="20"/>
      <c r="KL467" s="29"/>
      <c r="KM467" s="19"/>
      <c r="KN467" s="93"/>
      <c r="KO467" s="93"/>
      <c r="KP467" s="93"/>
      <c r="KQ467" s="93"/>
      <c r="KR467" s="20"/>
      <c r="KS467" s="29"/>
      <c r="KT467" s="19"/>
      <c r="KU467" s="93"/>
      <c r="KV467" s="93"/>
      <c r="KW467" s="93"/>
      <c r="KX467" s="93"/>
      <c r="KY467" s="20"/>
      <c r="KZ467" s="29"/>
      <c r="LA467" s="1504">
        <v>48670</v>
      </c>
      <c r="LB467" s="19"/>
      <c r="LC467" s="93"/>
      <c r="LD467" s="93"/>
      <c r="LE467" s="93"/>
      <c r="LF467" s="93"/>
      <c r="LG467" s="93"/>
      <c r="LH467" s="20"/>
      <c r="LI467" s="29"/>
      <c r="LJ467" s="19"/>
      <c r="LK467" s="93"/>
      <c r="LL467" s="93"/>
      <c r="LM467" s="93"/>
      <c r="LN467" s="93"/>
      <c r="LO467" s="20"/>
      <c r="LP467" s="29"/>
      <c r="LQ467" s="19"/>
      <c r="LR467" s="93"/>
      <c r="LS467" s="93"/>
      <c r="LT467" s="93"/>
      <c r="LU467" s="93"/>
      <c r="LV467" s="93"/>
      <c r="LW467" s="93"/>
      <c r="LX467" s="93"/>
      <c r="LY467" s="93"/>
      <c r="LZ467" s="93"/>
      <c r="MA467" s="20"/>
      <c r="MB467" s="29"/>
      <c r="MC467" s="1504">
        <v>48670</v>
      </c>
      <c r="MD467" s="19"/>
      <c r="ME467" s="93"/>
      <c r="MF467" s="93"/>
      <c r="MG467" s="93"/>
      <c r="MH467" s="93"/>
      <c r="MI467" s="93"/>
      <c r="MJ467" s="93"/>
      <c r="MK467" s="93"/>
      <c r="ML467" s="93"/>
      <c r="MM467" s="93"/>
      <c r="MN467" s="93"/>
      <c r="MO467" s="93"/>
      <c r="MP467" s="93"/>
      <c r="MQ467" s="93"/>
      <c r="MR467" s="93"/>
      <c r="MS467" s="93"/>
      <c r="MT467" s="93"/>
      <c r="MU467" s="93"/>
      <c r="MV467" s="93"/>
      <c r="MW467" s="93"/>
      <c r="MX467" s="93"/>
      <c r="MY467" s="93"/>
      <c r="MZ467" s="93"/>
      <c r="NA467" s="93"/>
      <c r="NB467" s="93"/>
      <c r="NC467" s="93"/>
      <c r="ND467" s="93"/>
      <c r="NE467" s="93"/>
      <c r="NF467" s="93"/>
      <c r="NG467" s="93"/>
      <c r="NH467" s="93"/>
      <c r="NI467" s="93"/>
      <c r="NJ467" s="93"/>
      <c r="NK467" s="93"/>
      <c r="NL467" s="93"/>
      <c r="NM467" s="93"/>
      <c r="NN467" s="93"/>
      <c r="NO467" s="93"/>
      <c r="NP467" s="93"/>
      <c r="NQ467" s="93"/>
      <c r="NR467" s="93"/>
      <c r="NS467" s="93"/>
      <c r="NT467" s="93"/>
      <c r="NU467" s="93"/>
      <c r="NV467" s="93"/>
      <c r="NW467" s="93"/>
      <c r="NX467" s="93"/>
      <c r="NY467" s="93"/>
      <c r="NZ467" s="93"/>
      <c r="OA467" s="93"/>
      <c r="OB467" s="93"/>
      <c r="OC467" s="93"/>
      <c r="OD467" s="20"/>
      <c r="OE467" s="29"/>
      <c r="OF467" s="1504">
        <v>48670</v>
      </c>
      <c r="OG467" s="19"/>
      <c r="OH467" s="93"/>
      <c r="OI467" s="93"/>
      <c r="OJ467" s="93"/>
      <c r="OK467" s="93"/>
      <c r="OL467" s="93"/>
      <c r="OM467" s="93"/>
      <c r="ON467" s="93"/>
      <c r="OO467" s="93"/>
      <c r="OP467" s="93"/>
      <c r="OQ467" s="93"/>
      <c r="OR467" s="93"/>
      <c r="OS467" s="93"/>
      <c r="OT467" s="93"/>
      <c r="OU467" s="93"/>
      <c r="OV467" s="93"/>
      <c r="OW467" s="93"/>
      <c r="OX467" s="93"/>
      <c r="OY467" s="93"/>
      <c r="OZ467" s="93"/>
      <c r="PA467" s="93"/>
      <c r="PB467" s="93"/>
      <c r="PC467" s="20"/>
      <c r="PD467" s="29"/>
      <c r="PE467" s="19"/>
      <c r="PF467" s="93"/>
      <c r="PG467" s="93"/>
      <c r="PH467" s="93"/>
      <c r="PI467" s="93"/>
      <c r="PJ467" s="93"/>
      <c r="PK467" s="93"/>
      <c r="PL467" s="93"/>
      <c r="PM467" s="93"/>
      <c r="PN467" s="93"/>
      <c r="PO467" s="93"/>
      <c r="PP467" s="93"/>
      <c r="PQ467" s="93"/>
      <c r="PR467" s="93"/>
      <c r="PS467" s="93"/>
      <c r="PT467" s="93"/>
      <c r="PU467" s="93"/>
      <c r="PV467" s="93"/>
      <c r="PW467" s="93"/>
      <c r="PX467" s="93"/>
      <c r="PY467" s="93"/>
      <c r="PZ467" s="93"/>
      <c r="QA467" s="93"/>
      <c r="QB467" s="93"/>
      <c r="QC467" s="93"/>
      <c r="QD467" s="93"/>
      <c r="QE467" s="20"/>
      <c r="QF467" s="1739"/>
      <c r="QG467" s="19"/>
      <c r="QH467" s="93"/>
      <c r="QI467" s="93"/>
      <c r="QJ467" s="93"/>
      <c r="QK467" s="93"/>
      <c r="QL467" s="93"/>
      <c r="QM467" s="93"/>
      <c r="QN467" s="93"/>
      <c r="QO467" s="93"/>
      <c r="QP467" s="93"/>
      <c r="QQ467" s="93"/>
      <c r="QR467" s="93"/>
      <c r="QS467" s="93"/>
      <c r="QT467" s="93"/>
      <c r="QU467" s="93"/>
      <c r="QV467" s="93"/>
      <c r="QW467" s="93"/>
      <c r="QX467" s="93"/>
      <c r="QY467" s="93"/>
      <c r="QZ467" s="93"/>
      <c r="RA467" s="93"/>
      <c r="RB467" s="93"/>
      <c r="RC467" s="93"/>
      <c r="RD467" s="93"/>
      <c r="RE467" s="93"/>
      <c r="RF467" s="93"/>
      <c r="RG467" s="93"/>
      <c r="RH467" s="93"/>
      <c r="RI467" s="93"/>
      <c r="RJ467" s="93"/>
      <c r="RK467" s="93"/>
      <c r="RL467" s="93"/>
      <c r="RM467" s="20"/>
      <c r="RN467" s="29"/>
      <c r="RO467" s="19"/>
      <c r="RP467" s="20"/>
      <c r="RQ467" s="29"/>
      <c r="RR467" s="20"/>
      <c r="RS467" s="29"/>
      <c r="RT467" s="1504">
        <v>48670</v>
      </c>
      <c r="RU467" s="19"/>
      <c r="RV467" s="20"/>
      <c r="RW467" s="29"/>
      <c r="RX467" s="1504">
        <v>48670</v>
      </c>
      <c r="RY467" s="29"/>
      <c r="RZ467" s="20"/>
      <c r="SA467" s="29"/>
      <c r="SB467" s="29"/>
    </row>
    <row r="468" spans="1:496">
      <c r="A468" s="41">
        <f t="shared" si="358"/>
        <v>2033</v>
      </c>
      <c r="B468" s="1504">
        <v>48700</v>
      </c>
      <c r="C468" s="1813"/>
      <c r="D468" s="1814"/>
      <c r="E468" s="1814"/>
      <c r="F468" s="1815"/>
      <c r="G468" s="1814"/>
      <c r="H468" s="1814"/>
      <c r="I468" s="1814"/>
      <c r="J468" s="1816"/>
      <c r="K468" s="1807"/>
      <c r="L468" s="25"/>
      <c r="M468" s="97"/>
      <c r="N468" s="1504">
        <v>48700</v>
      </c>
      <c r="O468" s="19"/>
      <c r="P468" s="93"/>
      <c r="Q468" s="93"/>
      <c r="R468" s="93"/>
      <c r="S468" s="93"/>
      <c r="T468" s="93"/>
      <c r="U468" s="93"/>
      <c r="V468" s="93"/>
      <c r="W468" s="93"/>
      <c r="X468" s="93"/>
      <c r="Y468" s="93"/>
      <c r="Z468" s="93"/>
      <c r="AA468" s="93"/>
      <c r="AB468" s="20"/>
      <c r="AC468" s="25"/>
      <c r="AD468" s="97"/>
      <c r="AE468" s="1504">
        <v>48700</v>
      </c>
      <c r="AF468" s="19"/>
      <c r="AG468" s="93"/>
      <c r="AH468" s="93"/>
      <c r="AI468" s="93"/>
      <c r="AJ468" s="93"/>
      <c r="AK468" s="93"/>
      <c r="AL468" s="93"/>
      <c r="AM468" s="93"/>
      <c r="AN468" s="93"/>
      <c r="AO468" s="93"/>
      <c r="AP468" s="93"/>
      <c r="AQ468" s="93"/>
      <c r="AR468" s="93"/>
      <c r="AS468" s="20"/>
      <c r="AT468" s="25"/>
      <c r="AU468" s="97"/>
      <c r="AV468" s="1504">
        <v>48700</v>
      </c>
      <c r="AW468" s="19"/>
      <c r="AX468" s="93"/>
      <c r="AY468" s="93"/>
      <c r="AZ468" s="93"/>
      <c r="BA468" s="93"/>
      <c r="BB468" s="93"/>
      <c r="BC468" s="93"/>
      <c r="BD468" s="93"/>
      <c r="BE468" s="93"/>
      <c r="BF468" s="93"/>
      <c r="BG468" s="93"/>
      <c r="BH468" s="93"/>
      <c r="BI468" s="93"/>
      <c r="BJ468" s="20"/>
      <c r="BK468" s="25"/>
      <c r="BL468" s="97"/>
      <c r="BM468" s="1504">
        <v>48700</v>
      </c>
      <c r="BN468" s="19"/>
      <c r="BO468" s="93"/>
      <c r="BP468" s="93"/>
      <c r="BQ468" s="93"/>
      <c r="BR468" s="93"/>
      <c r="BS468" s="93"/>
      <c r="BT468" s="93"/>
      <c r="BU468" s="20"/>
      <c r="BV468" s="25"/>
      <c r="BW468" s="97"/>
      <c r="BX468" s="1504">
        <v>48700</v>
      </c>
      <c r="BY468" s="19"/>
      <c r="BZ468" s="93"/>
      <c r="CA468" s="93"/>
      <c r="CB468" s="93"/>
      <c r="CC468" s="93"/>
      <c r="CD468" s="25"/>
      <c r="CE468" s="97"/>
      <c r="CF468" s="1504">
        <v>48700</v>
      </c>
      <c r="CG468" s="19"/>
      <c r="CH468" s="93"/>
      <c r="CI468" s="219"/>
      <c r="CJ468" s="20"/>
      <c r="CK468" s="19"/>
      <c r="CL468" s="93"/>
      <c r="CM468" s="93"/>
      <c r="CN468" s="93"/>
      <c r="CO468" s="93"/>
      <c r="CP468" s="20"/>
      <c r="CQ468" s="219"/>
      <c r="CR468" s="93"/>
      <c r="CS468" s="93"/>
      <c r="CT468" s="93"/>
      <c r="CU468" s="93"/>
      <c r="CV468" s="214"/>
      <c r="CW468" s="29"/>
      <c r="CX468" s="41">
        <f t="shared" si="359"/>
        <v>2033</v>
      </c>
      <c r="CY468" s="1504">
        <v>48700</v>
      </c>
      <c r="CZ468" s="19"/>
      <c r="DA468" s="93"/>
      <c r="DB468" s="93"/>
      <c r="DC468" s="93"/>
      <c r="DD468" s="93"/>
      <c r="DE468" s="20"/>
      <c r="DF468" s="29"/>
      <c r="DG468" s="1504">
        <v>48700</v>
      </c>
      <c r="DH468" s="19"/>
      <c r="DI468" s="93"/>
      <c r="DJ468" s="93"/>
      <c r="DK468" s="93"/>
      <c r="DL468" s="93"/>
      <c r="DM468" s="93"/>
      <c r="DN468" s="20"/>
      <c r="DO468" s="295"/>
      <c r="DP468" s="29"/>
      <c r="DQ468" s="1504">
        <v>48700</v>
      </c>
      <c r="DR468" s="19"/>
      <c r="DS468" s="93"/>
      <c r="DT468" s="93"/>
      <c r="DU468" s="93"/>
      <c r="DV468" s="93"/>
      <c r="DW468" s="93"/>
      <c r="DX468" s="20"/>
      <c r="DY468" s="29"/>
      <c r="DZ468" s="1504">
        <v>48700</v>
      </c>
      <c r="EA468" s="19"/>
      <c r="EB468" s="93"/>
      <c r="EC468" s="20"/>
      <c r="ED468" s="29"/>
      <c r="EE468" s="1504">
        <v>48700</v>
      </c>
      <c r="EF468" s="19"/>
      <c r="EG468" s="93"/>
      <c r="EH468" s="93"/>
      <c r="EI468" s="214"/>
      <c r="EJ468" s="93"/>
      <c r="EK468" s="93"/>
      <c r="EL468" s="93"/>
      <c r="EM468" s="93"/>
      <c r="EN468" s="20"/>
      <c r="EO468" s="29"/>
      <c r="EP468" s="1504">
        <v>48700</v>
      </c>
      <c r="EQ468" s="19"/>
      <c r="ER468" s="93"/>
      <c r="ES468" s="93"/>
      <c r="ET468" s="214"/>
      <c r="EU468" s="93"/>
      <c r="EV468" s="93"/>
      <c r="EW468" s="93"/>
      <c r="EX468" s="93"/>
      <c r="EY468" s="20"/>
      <c r="EZ468" s="29"/>
      <c r="FA468" s="1504">
        <v>48700</v>
      </c>
      <c r="FB468" s="29"/>
      <c r="FC468" s="29"/>
      <c r="FD468" s="29"/>
      <c r="FE468" s="29"/>
      <c r="FF468" s="29"/>
      <c r="FG468" s="29"/>
      <c r="FH468" s="29"/>
      <c r="FI468" s="29"/>
      <c r="FJ468" s="29"/>
      <c r="FK468" s="29"/>
      <c r="FL468" s="1504">
        <v>48700</v>
      </c>
      <c r="FM468" s="19"/>
      <c r="FN468" s="93"/>
      <c r="FO468" s="93"/>
      <c r="FP468" s="93"/>
      <c r="FQ468" s="93"/>
      <c r="FR468" s="93"/>
      <c r="FS468" s="93"/>
      <c r="FT468" s="93"/>
      <c r="FU468" s="93"/>
      <c r="FV468" s="93"/>
      <c r="FW468" s="93"/>
      <c r="FX468" s="93"/>
      <c r="FY468" s="93"/>
      <c r="FZ468" s="29"/>
      <c r="GA468" s="1504">
        <v>48700</v>
      </c>
      <c r="GB468" s="19"/>
      <c r="GC468" s="93"/>
      <c r="GD468" s="93"/>
      <c r="GE468" s="93"/>
      <c r="GF468" s="93"/>
      <c r="GG468" s="93"/>
      <c r="GH468" s="93"/>
      <c r="GI468" s="93"/>
      <c r="GJ468" s="93"/>
      <c r="GK468" s="93"/>
      <c r="GL468" s="93"/>
      <c r="GM468" s="93"/>
      <c r="GN468" s="20"/>
      <c r="GO468" s="29"/>
      <c r="GP468" s="1504">
        <v>48700</v>
      </c>
      <c r="GQ468" s="19"/>
      <c r="GR468" s="93"/>
      <c r="GS468" s="93"/>
      <c r="GT468" s="93"/>
      <c r="GU468" s="93"/>
      <c r="GV468" s="20"/>
      <c r="GW468" s="19"/>
      <c r="GX468" s="93"/>
      <c r="GY468" s="93"/>
      <c r="GZ468" s="93"/>
      <c r="HA468" s="93"/>
      <c r="HB468" s="20"/>
      <c r="HC468" s="19"/>
      <c r="HD468" s="93"/>
      <c r="HE468" s="93"/>
      <c r="HF468" s="93"/>
      <c r="HG468" s="93"/>
      <c r="HH468" s="20"/>
      <c r="HI468" s="19"/>
      <c r="HJ468" s="93"/>
      <c r="HK468" s="93"/>
      <c r="HL468" s="93"/>
      <c r="HM468" s="93"/>
      <c r="HN468" s="20"/>
      <c r="HO468" s="219"/>
      <c r="HP468" s="20"/>
      <c r="HQ468" s="25"/>
      <c r="HR468" s="29"/>
      <c r="HS468" s="1504">
        <v>48700</v>
      </c>
      <c r="HT468" s="19"/>
      <c r="HU468" s="93"/>
      <c r="HV468" s="93"/>
      <c r="HW468" s="93"/>
      <c r="HX468" s="93"/>
      <c r="HY468" s="93"/>
      <c r="HZ468" s="93"/>
      <c r="IA468" s="20"/>
      <c r="IB468" s="19"/>
      <c r="IC468" s="93"/>
      <c r="ID468" s="93"/>
      <c r="IE468" s="93"/>
      <c r="IF468" s="93"/>
      <c r="IG468" s="20"/>
      <c r="IH468" s="19"/>
      <c r="II468" s="93"/>
      <c r="IJ468" s="93"/>
      <c r="IK468" s="93"/>
      <c r="IL468" s="93"/>
      <c r="IM468" s="93"/>
      <c r="IN468" s="93"/>
      <c r="IO468" s="20"/>
      <c r="IP468" s="29"/>
      <c r="IQ468" s="19"/>
      <c r="IR468" s="93"/>
      <c r="IS468" s="93"/>
      <c r="IT468" s="93"/>
      <c r="IU468" s="93"/>
      <c r="IV468" s="20"/>
      <c r="IW468" s="29"/>
      <c r="IX468" s="19"/>
      <c r="IY468" s="93"/>
      <c r="IZ468" s="93"/>
      <c r="JA468" s="93"/>
      <c r="JB468" s="93"/>
      <c r="JC468" s="93"/>
      <c r="JD468" s="93"/>
      <c r="JE468" s="20"/>
      <c r="JF468" s="29"/>
      <c r="JG468" s="19"/>
      <c r="JH468" s="93"/>
      <c r="JI468" s="93"/>
      <c r="JJ468" s="93"/>
      <c r="JK468" s="93"/>
      <c r="JL468" s="93"/>
      <c r="JM468" s="93"/>
      <c r="JN468" s="20"/>
      <c r="JO468" s="29"/>
      <c r="JP468" s="19"/>
      <c r="JQ468" s="93"/>
      <c r="JR468" s="93"/>
      <c r="JS468" s="93"/>
      <c r="JT468" s="93"/>
      <c r="JU468" s="20"/>
      <c r="JV468" s="29"/>
      <c r="JW468" s="1504">
        <v>48700</v>
      </c>
      <c r="JX468" s="19"/>
      <c r="JY468" s="93"/>
      <c r="JZ468" s="93"/>
      <c r="KA468" s="93"/>
      <c r="KB468" s="93"/>
      <c r="KC468" s="93"/>
      <c r="KD468" s="20"/>
      <c r="KE468" s="29"/>
      <c r="KF468" s="19"/>
      <c r="KG468" s="93"/>
      <c r="KH468" s="93"/>
      <c r="KI468" s="93"/>
      <c r="KJ468" s="93"/>
      <c r="KK468" s="20"/>
      <c r="KL468" s="29"/>
      <c r="KM468" s="19"/>
      <c r="KN468" s="93"/>
      <c r="KO468" s="93"/>
      <c r="KP468" s="93"/>
      <c r="KQ468" s="93"/>
      <c r="KR468" s="20"/>
      <c r="KS468" s="29"/>
      <c r="KT468" s="19"/>
      <c r="KU468" s="93"/>
      <c r="KV468" s="93"/>
      <c r="KW468" s="93"/>
      <c r="KX468" s="93"/>
      <c r="KY468" s="20"/>
      <c r="KZ468" s="29"/>
      <c r="LA468" s="1504">
        <v>48700</v>
      </c>
      <c r="LB468" s="19"/>
      <c r="LC468" s="93"/>
      <c r="LD468" s="93"/>
      <c r="LE468" s="93"/>
      <c r="LF468" s="93"/>
      <c r="LG468" s="93"/>
      <c r="LH468" s="20"/>
      <c r="LI468" s="29"/>
      <c r="LJ468" s="19"/>
      <c r="LK468" s="93"/>
      <c r="LL468" s="93"/>
      <c r="LM468" s="93"/>
      <c r="LN468" s="93"/>
      <c r="LO468" s="20"/>
      <c r="LP468" s="29"/>
      <c r="LQ468" s="19"/>
      <c r="LR468" s="93"/>
      <c r="LS468" s="93"/>
      <c r="LT468" s="93"/>
      <c r="LU468" s="93"/>
      <c r="LV468" s="93"/>
      <c r="LW468" s="93"/>
      <c r="LX468" s="93"/>
      <c r="LY468" s="93"/>
      <c r="LZ468" s="93"/>
      <c r="MA468" s="20"/>
      <c r="MB468" s="29"/>
      <c r="MC468" s="1504">
        <v>48700</v>
      </c>
      <c r="MD468" s="19"/>
      <c r="ME468" s="93"/>
      <c r="MF468" s="93"/>
      <c r="MG468" s="93"/>
      <c r="MH468" s="93"/>
      <c r="MI468" s="93"/>
      <c r="MJ468" s="93"/>
      <c r="MK468" s="93"/>
      <c r="ML468" s="93"/>
      <c r="MM468" s="93"/>
      <c r="MN468" s="93"/>
      <c r="MO468" s="93"/>
      <c r="MP468" s="93"/>
      <c r="MQ468" s="93"/>
      <c r="MR468" s="93"/>
      <c r="MS468" s="93"/>
      <c r="MT468" s="93"/>
      <c r="MU468" s="93"/>
      <c r="MV468" s="93"/>
      <c r="MW468" s="93"/>
      <c r="MX468" s="93"/>
      <c r="MY468" s="93"/>
      <c r="MZ468" s="93"/>
      <c r="NA468" s="93"/>
      <c r="NB468" s="93"/>
      <c r="NC468" s="93"/>
      <c r="ND468" s="93"/>
      <c r="NE468" s="93"/>
      <c r="NF468" s="93"/>
      <c r="NG468" s="93"/>
      <c r="NH468" s="93"/>
      <c r="NI468" s="93"/>
      <c r="NJ468" s="93"/>
      <c r="NK468" s="93"/>
      <c r="NL468" s="93"/>
      <c r="NM468" s="93"/>
      <c r="NN468" s="93"/>
      <c r="NO468" s="93"/>
      <c r="NP468" s="93"/>
      <c r="NQ468" s="93"/>
      <c r="NR468" s="93"/>
      <c r="NS468" s="93"/>
      <c r="NT468" s="93"/>
      <c r="NU468" s="93"/>
      <c r="NV468" s="93"/>
      <c r="NW468" s="93"/>
      <c r="NX468" s="93"/>
      <c r="NY468" s="93"/>
      <c r="NZ468" s="93"/>
      <c r="OA468" s="93"/>
      <c r="OB468" s="93"/>
      <c r="OC468" s="93"/>
      <c r="OD468" s="20"/>
      <c r="OE468" s="29"/>
      <c r="OF468" s="1504">
        <v>48700</v>
      </c>
      <c r="OG468" s="19"/>
      <c r="OH468" s="93"/>
      <c r="OI468" s="93"/>
      <c r="OJ468" s="93"/>
      <c r="OK468" s="93"/>
      <c r="OL468" s="93"/>
      <c r="OM468" s="93"/>
      <c r="ON468" s="93"/>
      <c r="OO468" s="93"/>
      <c r="OP468" s="93"/>
      <c r="OQ468" s="93"/>
      <c r="OR468" s="93"/>
      <c r="OS468" s="93"/>
      <c r="OT468" s="93"/>
      <c r="OU468" s="93"/>
      <c r="OV468" s="93"/>
      <c r="OW468" s="93"/>
      <c r="OX468" s="93"/>
      <c r="OY468" s="93"/>
      <c r="OZ468" s="93"/>
      <c r="PA468" s="93"/>
      <c r="PB468" s="93"/>
      <c r="PC468" s="20"/>
      <c r="PD468" s="29"/>
      <c r="PE468" s="19"/>
      <c r="PF468" s="93"/>
      <c r="PG468" s="93"/>
      <c r="PH468" s="93"/>
      <c r="PI468" s="93"/>
      <c r="PJ468" s="93"/>
      <c r="PK468" s="93"/>
      <c r="PL468" s="93"/>
      <c r="PM468" s="93"/>
      <c r="PN468" s="93"/>
      <c r="PO468" s="93"/>
      <c r="PP468" s="93"/>
      <c r="PQ468" s="93"/>
      <c r="PR468" s="93"/>
      <c r="PS468" s="93"/>
      <c r="PT468" s="93"/>
      <c r="PU468" s="93"/>
      <c r="PV468" s="93"/>
      <c r="PW468" s="93"/>
      <c r="PX468" s="93"/>
      <c r="PY468" s="93"/>
      <c r="PZ468" s="93"/>
      <c r="QA468" s="93"/>
      <c r="QB468" s="93"/>
      <c r="QC468" s="93"/>
      <c r="QD468" s="93"/>
      <c r="QE468" s="20"/>
      <c r="QF468" s="1739"/>
      <c r="QG468" s="19"/>
      <c r="QH468" s="93"/>
      <c r="QI468" s="93"/>
      <c r="QJ468" s="93"/>
      <c r="QK468" s="93"/>
      <c r="QL468" s="93"/>
      <c r="QM468" s="93"/>
      <c r="QN468" s="93"/>
      <c r="QO468" s="93"/>
      <c r="QP468" s="93"/>
      <c r="QQ468" s="93"/>
      <c r="QR468" s="93"/>
      <c r="QS468" s="93"/>
      <c r="QT468" s="93"/>
      <c r="QU468" s="93"/>
      <c r="QV468" s="93"/>
      <c r="QW468" s="93"/>
      <c r="QX468" s="93"/>
      <c r="QY468" s="93"/>
      <c r="QZ468" s="93"/>
      <c r="RA468" s="93"/>
      <c r="RB468" s="93"/>
      <c r="RC468" s="93"/>
      <c r="RD468" s="93"/>
      <c r="RE468" s="93"/>
      <c r="RF468" s="93"/>
      <c r="RG468" s="93"/>
      <c r="RH468" s="93"/>
      <c r="RI468" s="93"/>
      <c r="RJ468" s="93"/>
      <c r="RK468" s="93"/>
      <c r="RL468" s="93"/>
      <c r="RM468" s="20"/>
      <c r="RN468" s="29"/>
      <c r="RO468" s="19"/>
      <c r="RP468" s="20"/>
      <c r="RQ468" s="29"/>
      <c r="RR468" s="20"/>
      <c r="RS468" s="29"/>
      <c r="RT468" s="1504">
        <v>48700</v>
      </c>
      <c r="RU468" s="19"/>
      <c r="RV468" s="20"/>
      <c r="RW468" s="29"/>
      <c r="RX468" s="1504">
        <v>48700</v>
      </c>
      <c r="RY468" s="29"/>
      <c r="RZ468" s="20"/>
      <c r="SA468" s="29"/>
      <c r="SB468" s="29"/>
    </row>
    <row r="469" spans="1:496">
      <c r="A469" s="41">
        <f t="shared" si="358"/>
        <v>2033</v>
      </c>
      <c r="B469" s="1504">
        <v>48731</v>
      </c>
      <c r="C469" s="1813"/>
      <c r="D469" s="1814"/>
      <c r="E469" s="1814"/>
      <c r="F469" s="1815"/>
      <c r="G469" s="1814"/>
      <c r="H469" s="1814"/>
      <c r="I469" s="1814"/>
      <c r="J469" s="1816"/>
      <c r="K469" s="1807"/>
      <c r="L469" s="25"/>
      <c r="M469" s="97"/>
      <c r="N469" s="1504">
        <v>48731</v>
      </c>
      <c r="O469" s="19"/>
      <c r="P469" s="93"/>
      <c r="Q469" s="93"/>
      <c r="R469" s="93"/>
      <c r="S469" s="93"/>
      <c r="T469" s="93"/>
      <c r="U469" s="93"/>
      <c r="V469" s="93"/>
      <c r="W469" s="93"/>
      <c r="X469" s="93"/>
      <c r="Y469" s="93"/>
      <c r="Z469" s="93"/>
      <c r="AA469" s="93"/>
      <c r="AB469" s="20"/>
      <c r="AC469" s="25"/>
      <c r="AD469" s="97"/>
      <c r="AE469" s="1504">
        <v>48731</v>
      </c>
      <c r="AF469" s="19"/>
      <c r="AG469" s="93"/>
      <c r="AH469" s="93"/>
      <c r="AI469" s="93"/>
      <c r="AJ469" s="93"/>
      <c r="AK469" s="93"/>
      <c r="AL469" s="93"/>
      <c r="AM469" s="93"/>
      <c r="AN469" s="93"/>
      <c r="AO469" s="93"/>
      <c r="AP469" s="93"/>
      <c r="AQ469" s="93"/>
      <c r="AR469" s="93"/>
      <c r="AS469" s="20"/>
      <c r="AT469" s="25"/>
      <c r="AU469" s="97"/>
      <c r="AV469" s="1504">
        <v>48731</v>
      </c>
      <c r="AW469" s="19"/>
      <c r="AX469" s="93"/>
      <c r="AY469" s="93"/>
      <c r="AZ469" s="93"/>
      <c r="BA469" s="93"/>
      <c r="BB469" s="93"/>
      <c r="BC469" s="93"/>
      <c r="BD469" s="93"/>
      <c r="BE469" s="93"/>
      <c r="BF469" s="93"/>
      <c r="BG469" s="93"/>
      <c r="BH469" s="93"/>
      <c r="BI469" s="93"/>
      <c r="BJ469" s="20"/>
      <c r="BK469" s="25"/>
      <c r="BL469" s="97"/>
      <c r="BM469" s="1504">
        <v>48731</v>
      </c>
      <c r="BN469" s="19"/>
      <c r="BO469" s="93"/>
      <c r="BP469" s="93"/>
      <c r="BQ469" s="93"/>
      <c r="BR469" s="93"/>
      <c r="BS469" s="93"/>
      <c r="BT469" s="93"/>
      <c r="BU469" s="20"/>
      <c r="BV469" s="25"/>
      <c r="BW469" s="97"/>
      <c r="BX469" s="1504">
        <v>48731</v>
      </c>
      <c r="BY469" s="19"/>
      <c r="BZ469" s="93"/>
      <c r="CA469" s="93"/>
      <c r="CB469" s="93"/>
      <c r="CC469" s="93"/>
      <c r="CD469" s="25"/>
      <c r="CE469" s="97"/>
      <c r="CF469" s="1504">
        <v>48731</v>
      </c>
      <c r="CG469" s="19"/>
      <c r="CH469" s="93"/>
      <c r="CI469" s="219"/>
      <c r="CJ469" s="20"/>
      <c r="CK469" s="19"/>
      <c r="CL469" s="93"/>
      <c r="CM469" s="93"/>
      <c r="CN469" s="93"/>
      <c r="CO469" s="93"/>
      <c r="CP469" s="20"/>
      <c r="CQ469" s="219"/>
      <c r="CR469" s="93"/>
      <c r="CS469" s="93"/>
      <c r="CT469" s="93"/>
      <c r="CU469" s="93"/>
      <c r="CV469" s="214"/>
      <c r="CW469" s="29"/>
      <c r="CX469" s="41">
        <f t="shared" si="359"/>
        <v>2033</v>
      </c>
      <c r="CY469" s="1504">
        <v>48731</v>
      </c>
      <c r="CZ469" s="19"/>
      <c r="DA469" s="93"/>
      <c r="DB469" s="93"/>
      <c r="DC469" s="93"/>
      <c r="DD469" s="93"/>
      <c r="DE469" s="20"/>
      <c r="DF469" s="29"/>
      <c r="DG469" s="1504">
        <v>48731</v>
      </c>
      <c r="DH469" s="19"/>
      <c r="DI469" s="93"/>
      <c r="DJ469" s="93"/>
      <c r="DK469" s="93"/>
      <c r="DL469" s="93"/>
      <c r="DM469" s="93"/>
      <c r="DN469" s="20"/>
      <c r="DO469" s="295"/>
      <c r="DP469" s="29"/>
      <c r="DQ469" s="1504">
        <v>48731</v>
      </c>
      <c r="DR469" s="19"/>
      <c r="DS469" s="93"/>
      <c r="DT469" s="93"/>
      <c r="DU469" s="93"/>
      <c r="DV469" s="93"/>
      <c r="DW469" s="93"/>
      <c r="DX469" s="20"/>
      <c r="DY469" s="29"/>
      <c r="DZ469" s="1504">
        <v>48731</v>
      </c>
      <c r="EA469" s="19"/>
      <c r="EB469" s="93"/>
      <c r="EC469" s="20"/>
      <c r="ED469" s="29"/>
      <c r="EE469" s="1504">
        <v>48731</v>
      </c>
      <c r="EF469" s="19"/>
      <c r="EG469" s="93"/>
      <c r="EH469" s="93"/>
      <c r="EI469" s="214"/>
      <c r="EJ469" s="93"/>
      <c r="EK469" s="93"/>
      <c r="EL469" s="93"/>
      <c r="EM469" s="93"/>
      <c r="EN469" s="20"/>
      <c r="EO469" s="29"/>
      <c r="EP469" s="1504">
        <v>48731</v>
      </c>
      <c r="EQ469" s="19"/>
      <c r="ER469" s="93"/>
      <c r="ES469" s="93"/>
      <c r="ET469" s="214"/>
      <c r="EU469" s="93"/>
      <c r="EV469" s="93"/>
      <c r="EW469" s="93"/>
      <c r="EX469" s="93"/>
      <c r="EY469" s="20"/>
      <c r="EZ469" s="29"/>
      <c r="FA469" s="1504">
        <v>48731</v>
      </c>
      <c r="FB469" s="29"/>
      <c r="FC469" s="29"/>
      <c r="FD469" s="29"/>
      <c r="FE469" s="29"/>
      <c r="FF469" s="29"/>
      <c r="FG469" s="29"/>
      <c r="FH469" s="29"/>
      <c r="FI469" s="29"/>
      <c r="FJ469" s="29"/>
      <c r="FK469" s="29"/>
      <c r="FL469" s="1504">
        <v>48731</v>
      </c>
      <c r="FM469" s="19"/>
      <c r="FN469" s="93"/>
      <c r="FO469" s="93"/>
      <c r="FP469" s="93"/>
      <c r="FQ469" s="93"/>
      <c r="FR469" s="93"/>
      <c r="FS469" s="93"/>
      <c r="FT469" s="93"/>
      <c r="FU469" s="93"/>
      <c r="FV469" s="93"/>
      <c r="FW469" s="93"/>
      <c r="FX469" s="93"/>
      <c r="FY469" s="93"/>
      <c r="FZ469" s="29"/>
      <c r="GA469" s="1504">
        <v>48731</v>
      </c>
      <c r="GB469" s="19"/>
      <c r="GC469" s="93"/>
      <c r="GD469" s="93"/>
      <c r="GE469" s="93"/>
      <c r="GF469" s="93"/>
      <c r="GG469" s="93"/>
      <c r="GH469" s="93"/>
      <c r="GI469" s="93"/>
      <c r="GJ469" s="93"/>
      <c r="GK469" s="93"/>
      <c r="GL469" s="93"/>
      <c r="GM469" s="93"/>
      <c r="GN469" s="20"/>
      <c r="GO469" s="29"/>
      <c r="GP469" s="1504">
        <v>48731</v>
      </c>
      <c r="GQ469" s="19"/>
      <c r="GR469" s="93"/>
      <c r="GS469" s="93"/>
      <c r="GT469" s="93"/>
      <c r="GU469" s="93"/>
      <c r="GV469" s="20"/>
      <c r="GW469" s="19"/>
      <c r="GX469" s="93"/>
      <c r="GY469" s="93"/>
      <c r="GZ469" s="93"/>
      <c r="HA469" s="93"/>
      <c r="HB469" s="20"/>
      <c r="HC469" s="19"/>
      <c r="HD469" s="93"/>
      <c r="HE469" s="93"/>
      <c r="HF469" s="93"/>
      <c r="HG469" s="93"/>
      <c r="HH469" s="20"/>
      <c r="HI469" s="19"/>
      <c r="HJ469" s="93"/>
      <c r="HK469" s="93"/>
      <c r="HL469" s="93"/>
      <c r="HM469" s="93"/>
      <c r="HN469" s="20"/>
      <c r="HO469" s="219"/>
      <c r="HP469" s="20"/>
      <c r="HQ469" s="25"/>
      <c r="HR469" s="29"/>
      <c r="HS469" s="1504">
        <v>48731</v>
      </c>
      <c r="HT469" s="19"/>
      <c r="HU469" s="93"/>
      <c r="HV469" s="93"/>
      <c r="HW469" s="93"/>
      <c r="HX469" s="93"/>
      <c r="HY469" s="93"/>
      <c r="HZ469" s="93"/>
      <c r="IA469" s="20"/>
      <c r="IB469" s="19"/>
      <c r="IC469" s="93"/>
      <c r="ID469" s="93"/>
      <c r="IE469" s="93"/>
      <c r="IF469" s="93"/>
      <c r="IG469" s="20"/>
      <c r="IH469" s="19"/>
      <c r="II469" s="93"/>
      <c r="IJ469" s="93"/>
      <c r="IK469" s="93"/>
      <c r="IL469" s="93"/>
      <c r="IM469" s="93"/>
      <c r="IN469" s="93"/>
      <c r="IO469" s="20"/>
      <c r="IP469" s="29"/>
      <c r="IQ469" s="19"/>
      <c r="IR469" s="93"/>
      <c r="IS469" s="93"/>
      <c r="IT469" s="93"/>
      <c r="IU469" s="93"/>
      <c r="IV469" s="20"/>
      <c r="IW469" s="29"/>
      <c r="IX469" s="19"/>
      <c r="IY469" s="93"/>
      <c r="IZ469" s="93"/>
      <c r="JA469" s="93"/>
      <c r="JB469" s="93"/>
      <c r="JC469" s="93"/>
      <c r="JD469" s="93"/>
      <c r="JE469" s="20"/>
      <c r="JF469" s="29"/>
      <c r="JG469" s="19"/>
      <c r="JH469" s="93"/>
      <c r="JI469" s="93"/>
      <c r="JJ469" s="93"/>
      <c r="JK469" s="93"/>
      <c r="JL469" s="93"/>
      <c r="JM469" s="93"/>
      <c r="JN469" s="20"/>
      <c r="JO469" s="29"/>
      <c r="JP469" s="19"/>
      <c r="JQ469" s="93"/>
      <c r="JR469" s="93"/>
      <c r="JS469" s="93"/>
      <c r="JT469" s="93"/>
      <c r="JU469" s="20"/>
      <c r="JV469" s="29"/>
      <c r="JW469" s="1504">
        <v>48731</v>
      </c>
      <c r="JX469" s="19"/>
      <c r="JY469" s="93"/>
      <c r="JZ469" s="93"/>
      <c r="KA469" s="93"/>
      <c r="KB469" s="93"/>
      <c r="KC469" s="93"/>
      <c r="KD469" s="20"/>
      <c r="KE469" s="29"/>
      <c r="KF469" s="19"/>
      <c r="KG469" s="93"/>
      <c r="KH469" s="93"/>
      <c r="KI469" s="93"/>
      <c r="KJ469" s="93"/>
      <c r="KK469" s="20"/>
      <c r="KL469" s="29"/>
      <c r="KM469" s="19"/>
      <c r="KN469" s="93"/>
      <c r="KO469" s="93"/>
      <c r="KP469" s="93"/>
      <c r="KQ469" s="93"/>
      <c r="KR469" s="20"/>
      <c r="KS469" s="29"/>
      <c r="KT469" s="19"/>
      <c r="KU469" s="93"/>
      <c r="KV469" s="93"/>
      <c r="KW469" s="93"/>
      <c r="KX469" s="93"/>
      <c r="KY469" s="20"/>
      <c r="KZ469" s="29"/>
      <c r="LA469" s="1504">
        <v>48731</v>
      </c>
      <c r="LB469" s="19"/>
      <c r="LC469" s="93"/>
      <c r="LD469" s="93"/>
      <c r="LE469" s="93"/>
      <c r="LF469" s="93"/>
      <c r="LG469" s="93"/>
      <c r="LH469" s="20"/>
      <c r="LI469" s="29"/>
      <c r="LJ469" s="19"/>
      <c r="LK469" s="93"/>
      <c r="LL469" s="93"/>
      <c r="LM469" s="93"/>
      <c r="LN469" s="93"/>
      <c r="LO469" s="20"/>
      <c r="LP469" s="29"/>
      <c r="LQ469" s="19"/>
      <c r="LR469" s="93"/>
      <c r="LS469" s="93"/>
      <c r="LT469" s="93"/>
      <c r="LU469" s="93"/>
      <c r="LV469" s="93"/>
      <c r="LW469" s="93"/>
      <c r="LX469" s="93"/>
      <c r="LY469" s="93"/>
      <c r="LZ469" s="93"/>
      <c r="MA469" s="20"/>
      <c r="MB469" s="29"/>
      <c r="MC469" s="1504">
        <v>48731</v>
      </c>
      <c r="MD469" s="19"/>
      <c r="ME469" s="93"/>
      <c r="MF469" s="93"/>
      <c r="MG469" s="93"/>
      <c r="MH469" s="93"/>
      <c r="MI469" s="93"/>
      <c r="MJ469" s="93"/>
      <c r="MK469" s="93"/>
      <c r="ML469" s="93"/>
      <c r="MM469" s="93"/>
      <c r="MN469" s="93"/>
      <c r="MO469" s="93"/>
      <c r="MP469" s="93"/>
      <c r="MQ469" s="93"/>
      <c r="MR469" s="93"/>
      <c r="MS469" s="93"/>
      <c r="MT469" s="93"/>
      <c r="MU469" s="93"/>
      <c r="MV469" s="93"/>
      <c r="MW469" s="93"/>
      <c r="MX469" s="93"/>
      <c r="MY469" s="93"/>
      <c r="MZ469" s="93"/>
      <c r="NA469" s="93"/>
      <c r="NB469" s="93"/>
      <c r="NC469" s="93"/>
      <c r="ND469" s="93"/>
      <c r="NE469" s="93"/>
      <c r="NF469" s="93"/>
      <c r="NG469" s="93"/>
      <c r="NH469" s="93"/>
      <c r="NI469" s="93"/>
      <c r="NJ469" s="93"/>
      <c r="NK469" s="93"/>
      <c r="NL469" s="93"/>
      <c r="NM469" s="93"/>
      <c r="NN469" s="93"/>
      <c r="NO469" s="93"/>
      <c r="NP469" s="93"/>
      <c r="NQ469" s="93"/>
      <c r="NR469" s="93"/>
      <c r="NS469" s="93"/>
      <c r="NT469" s="93"/>
      <c r="NU469" s="93"/>
      <c r="NV469" s="93"/>
      <c r="NW469" s="93"/>
      <c r="NX469" s="93"/>
      <c r="NY469" s="93"/>
      <c r="NZ469" s="93"/>
      <c r="OA469" s="93"/>
      <c r="OB469" s="93"/>
      <c r="OC469" s="93"/>
      <c r="OD469" s="20"/>
      <c r="OE469" s="29"/>
      <c r="OF469" s="1504">
        <v>48731</v>
      </c>
      <c r="OG469" s="19"/>
      <c r="OH469" s="93"/>
      <c r="OI469" s="93"/>
      <c r="OJ469" s="93"/>
      <c r="OK469" s="93"/>
      <c r="OL469" s="93"/>
      <c r="OM469" s="93"/>
      <c r="ON469" s="93"/>
      <c r="OO469" s="93"/>
      <c r="OP469" s="93"/>
      <c r="OQ469" s="93"/>
      <c r="OR469" s="93"/>
      <c r="OS469" s="93"/>
      <c r="OT469" s="93"/>
      <c r="OU469" s="93"/>
      <c r="OV469" s="93"/>
      <c r="OW469" s="93"/>
      <c r="OX469" s="93"/>
      <c r="OY469" s="93"/>
      <c r="OZ469" s="93"/>
      <c r="PA469" s="93"/>
      <c r="PB469" s="93"/>
      <c r="PC469" s="20"/>
      <c r="PD469" s="29"/>
      <c r="PE469" s="19"/>
      <c r="PF469" s="93"/>
      <c r="PG469" s="93"/>
      <c r="PH469" s="93"/>
      <c r="PI469" s="93"/>
      <c r="PJ469" s="93"/>
      <c r="PK469" s="93"/>
      <c r="PL469" s="93"/>
      <c r="PM469" s="93"/>
      <c r="PN469" s="93"/>
      <c r="PO469" s="93"/>
      <c r="PP469" s="93"/>
      <c r="PQ469" s="93"/>
      <c r="PR469" s="93"/>
      <c r="PS469" s="93"/>
      <c r="PT469" s="93"/>
      <c r="PU469" s="93"/>
      <c r="PV469" s="93"/>
      <c r="PW469" s="93"/>
      <c r="PX469" s="93"/>
      <c r="PY469" s="93"/>
      <c r="PZ469" s="93"/>
      <c r="QA469" s="93"/>
      <c r="QB469" s="93"/>
      <c r="QC469" s="93"/>
      <c r="QD469" s="93"/>
      <c r="QE469" s="20"/>
      <c r="QF469" s="1739"/>
      <c r="QG469" s="19"/>
      <c r="QH469" s="93"/>
      <c r="QI469" s="93"/>
      <c r="QJ469" s="93"/>
      <c r="QK469" s="93"/>
      <c r="QL469" s="93"/>
      <c r="QM469" s="93"/>
      <c r="QN469" s="93"/>
      <c r="QO469" s="93"/>
      <c r="QP469" s="93"/>
      <c r="QQ469" s="93"/>
      <c r="QR469" s="93"/>
      <c r="QS469" s="93"/>
      <c r="QT469" s="93"/>
      <c r="QU469" s="93"/>
      <c r="QV469" s="93"/>
      <c r="QW469" s="93"/>
      <c r="QX469" s="93"/>
      <c r="QY469" s="93"/>
      <c r="QZ469" s="93"/>
      <c r="RA469" s="93"/>
      <c r="RB469" s="93"/>
      <c r="RC469" s="93"/>
      <c r="RD469" s="93"/>
      <c r="RE469" s="93"/>
      <c r="RF469" s="93"/>
      <c r="RG469" s="93"/>
      <c r="RH469" s="93"/>
      <c r="RI469" s="93"/>
      <c r="RJ469" s="93"/>
      <c r="RK469" s="93"/>
      <c r="RL469" s="93"/>
      <c r="RM469" s="20"/>
      <c r="RN469" s="29"/>
      <c r="RO469" s="19"/>
      <c r="RP469" s="20"/>
      <c r="RQ469" s="29"/>
      <c r="RR469" s="20"/>
      <c r="RS469" s="29"/>
      <c r="RT469" s="1504">
        <v>48731</v>
      </c>
      <c r="RU469" s="19"/>
      <c r="RV469" s="20"/>
      <c r="RW469" s="29"/>
      <c r="RX469" s="1504">
        <v>48731</v>
      </c>
      <c r="RY469" s="29"/>
      <c r="RZ469" s="20"/>
      <c r="SA469" s="29"/>
      <c r="SB469" s="29"/>
    </row>
    <row r="470" spans="1:496">
      <c r="A470" s="41">
        <f t="shared" si="358"/>
        <v>2033</v>
      </c>
      <c r="B470" s="1504">
        <v>48761</v>
      </c>
      <c r="C470" s="1813"/>
      <c r="D470" s="1814"/>
      <c r="E470" s="1814"/>
      <c r="F470" s="1815"/>
      <c r="G470" s="1814"/>
      <c r="H470" s="1814"/>
      <c r="I470" s="1814"/>
      <c r="J470" s="1816"/>
      <c r="K470" s="1807"/>
      <c r="L470" s="25"/>
      <c r="M470" s="97"/>
      <c r="N470" s="1504">
        <v>48761</v>
      </c>
      <c r="O470" s="19"/>
      <c r="P470" s="93"/>
      <c r="Q470" s="93"/>
      <c r="R470" s="93"/>
      <c r="S470" s="93"/>
      <c r="T470" s="93"/>
      <c r="U470" s="93"/>
      <c r="V470" s="93"/>
      <c r="W470" s="93"/>
      <c r="X470" s="93"/>
      <c r="Y470" s="93"/>
      <c r="Z470" s="93"/>
      <c r="AA470" s="93"/>
      <c r="AB470" s="20"/>
      <c r="AC470" s="25"/>
      <c r="AD470" s="97"/>
      <c r="AE470" s="1504">
        <v>48761</v>
      </c>
      <c r="AF470" s="19"/>
      <c r="AG470" s="93"/>
      <c r="AH470" s="93"/>
      <c r="AI470" s="93"/>
      <c r="AJ470" s="93"/>
      <c r="AK470" s="93"/>
      <c r="AL470" s="93"/>
      <c r="AM470" s="93"/>
      <c r="AN470" s="93"/>
      <c r="AO470" s="93"/>
      <c r="AP470" s="93"/>
      <c r="AQ470" s="93"/>
      <c r="AR470" s="93"/>
      <c r="AS470" s="20"/>
      <c r="AT470" s="25"/>
      <c r="AU470" s="97"/>
      <c r="AV470" s="1504">
        <v>48761</v>
      </c>
      <c r="AW470" s="19"/>
      <c r="AX470" s="93"/>
      <c r="AY470" s="93"/>
      <c r="AZ470" s="93"/>
      <c r="BA470" s="93"/>
      <c r="BB470" s="93"/>
      <c r="BC470" s="93"/>
      <c r="BD470" s="93"/>
      <c r="BE470" s="93"/>
      <c r="BF470" s="93"/>
      <c r="BG470" s="93"/>
      <c r="BH470" s="93"/>
      <c r="BI470" s="93"/>
      <c r="BJ470" s="20"/>
      <c r="BK470" s="25"/>
      <c r="BL470" s="97"/>
      <c r="BM470" s="1504">
        <v>48761</v>
      </c>
      <c r="BN470" s="19"/>
      <c r="BO470" s="93"/>
      <c r="BP470" s="93"/>
      <c r="BQ470" s="93"/>
      <c r="BR470" s="93"/>
      <c r="BS470" s="93"/>
      <c r="BT470" s="93"/>
      <c r="BU470" s="20"/>
      <c r="BV470" s="25"/>
      <c r="BW470" s="97"/>
      <c r="BX470" s="1504">
        <v>48761</v>
      </c>
      <c r="BY470" s="19"/>
      <c r="BZ470" s="93"/>
      <c r="CA470" s="93"/>
      <c r="CB470" s="93"/>
      <c r="CC470" s="93"/>
      <c r="CD470" s="25"/>
      <c r="CE470" s="97"/>
      <c r="CF470" s="1504">
        <v>48761</v>
      </c>
      <c r="CG470" s="19"/>
      <c r="CH470" s="93"/>
      <c r="CI470" s="219"/>
      <c r="CJ470" s="20"/>
      <c r="CK470" s="19"/>
      <c r="CL470" s="93"/>
      <c r="CM470" s="93"/>
      <c r="CN470" s="93"/>
      <c r="CO470" s="93"/>
      <c r="CP470" s="20"/>
      <c r="CQ470" s="219"/>
      <c r="CR470" s="93"/>
      <c r="CS470" s="93"/>
      <c r="CT470" s="93"/>
      <c r="CU470" s="93"/>
      <c r="CV470" s="214"/>
      <c r="CW470" s="29"/>
      <c r="CX470" s="41">
        <f t="shared" si="359"/>
        <v>2033</v>
      </c>
      <c r="CY470" s="1504">
        <v>48761</v>
      </c>
      <c r="CZ470" s="19"/>
      <c r="DA470" s="93"/>
      <c r="DB470" s="93"/>
      <c r="DC470" s="93"/>
      <c r="DD470" s="93"/>
      <c r="DE470" s="20"/>
      <c r="DF470" s="29"/>
      <c r="DG470" s="1504">
        <v>48761</v>
      </c>
      <c r="DH470" s="19"/>
      <c r="DI470" s="93"/>
      <c r="DJ470" s="93"/>
      <c r="DK470" s="93"/>
      <c r="DL470" s="93"/>
      <c r="DM470" s="93"/>
      <c r="DN470" s="20"/>
      <c r="DO470" s="295"/>
      <c r="DP470" s="29"/>
      <c r="DQ470" s="1504">
        <v>48761</v>
      </c>
      <c r="DR470" s="19"/>
      <c r="DS470" s="93"/>
      <c r="DT470" s="93"/>
      <c r="DU470" s="93"/>
      <c r="DV470" s="93"/>
      <c r="DW470" s="93"/>
      <c r="DX470" s="20"/>
      <c r="DY470" s="29"/>
      <c r="DZ470" s="1504">
        <v>48761</v>
      </c>
      <c r="EA470" s="19"/>
      <c r="EB470" s="93"/>
      <c r="EC470" s="20"/>
      <c r="ED470" s="29"/>
      <c r="EE470" s="1504">
        <v>48761</v>
      </c>
      <c r="EF470" s="19"/>
      <c r="EG470" s="93"/>
      <c r="EH470" s="93"/>
      <c r="EI470" s="214"/>
      <c r="EJ470" s="93"/>
      <c r="EK470" s="93"/>
      <c r="EL470" s="93"/>
      <c r="EM470" s="93"/>
      <c r="EN470" s="20"/>
      <c r="EO470" s="29"/>
      <c r="EP470" s="1504">
        <v>48761</v>
      </c>
      <c r="EQ470" s="19"/>
      <c r="ER470" s="93"/>
      <c r="ES470" s="93"/>
      <c r="ET470" s="214"/>
      <c r="EU470" s="93"/>
      <c r="EV470" s="93"/>
      <c r="EW470" s="93"/>
      <c r="EX470" s="93"/>
      <c r="EY470" s="20"/>
      <c r="EZ470" s="29"/>
      <c r="FA470" s="1504">
        <v>48761</v>
      </c>
      <c r="FB470" s="29"/>
      <c r="FC470" s="29"/>
      <c r="FD470" s="29"/>
      <c r="FE470" s="29"/>
      <c r="FF470" s="29"/>
      <c r="FG470" s="29"/>
      <c r="FH470" s="29"/>
      <c r="FI470" s="29"/>
      <c r="FJ470" s="29"/>
      <c r="FK470" s="29"/>
      <c r="FL470" s="1504">
        <v>48761</v>
      </c>
      <c r="FM470" s="19"/>
      <c r="FN470" s="93"/>
      <c r="FO470" s="93"/>
      <c r="FP470" s="93"/>
      <c r="FQ470" s="93"/>
      <c r="FR470" s="93"/>
      <c r="FS470" s="93"/>
      <c r="FT470" s="93"/>
      <c r="FU470" s="93"/>
      <c r="FV470" s="93"/>
      <c r="FW470" s="93"/>
      <c r="FX470" s="93"/>
      <c r="FY470" s="93"/>
      <c r="FZ470" s="29"/>
      <c r="GA470" s="1504">
        <v>48761</v>
      </c>
      <c r="GB470" s="19"/>
      <c r="GC470" s="93"/>
      <c r="GD470" s="93"/>
      <c r="GE470" s="93"/>
      <c r="GF470" s="93"/>
      <c r="GG470" s="93"/>
      <c r="GH470" s="93"/>
      <c r="GI470" s="93"/>
      <c r="GJ470" s="93"/>
      <c r="GK470" s="93"/>
      <c r="GL470" s="93"/>
      <c r="GM470" s="93"/>
      <c r="GN470" s="20"/>
      <c r="GO470" s="29"/>
      <c r="GP470" s="1504">
        <v>48761</v>
      </c>
      <c r="GQ470" s="19"/>
      <c r="GR470" s="93"/>
      <c r="GS470" s="93"/>
      <c r="GT470" s="93"/>
      <c r="GU470" s="93"/>
      <c r="GV470" s="20"/>
      <c r="GW470" s="19"/>
      <c r="GX470" s="93"/>
      <c r="GY470" s="93"/>
      <c r="GZ470" s="93"/>
      <c r="HA470" s="93"/>
      <c r="HB470" s="20"/>
      <c r="HC470" s="19"/>
      <c r="HD470" s="93"/>
      <c r="HE470" s="93"/>
      <c r="HF470" s="93"/>
      <c r="HG470" s="93"/>
      <c r="HH470" s="20"/>
      <c r="HI470" s="19"/>
      <c r="HJ470" s="93"/>
      <c r="HK470" s="93"/>
      <c r="HL470" s="93"/>
      <c r="HM470" s="93"/>
      <c r="HN470" s="20"/>
      <c r="HO470" s="219"/>
      <c r="HP470" s="20"/>
      <c r="HQ470" s="25"/>
      <c r="HR470" s="29"/>
      <c r="HS470" s="1504">
        <v>48761</v>
      </c>
      <c r="HT470" s="19"/>
      <c r="HU470" s="93"/>
      <c r="HV470" s="93"/>
      <c r="HW470" s="93"/>
      <c r="HX470" s="93"/>
      <c r="HY470" s="93"/>
      <c r="HZ470" s="93"/>
      <c r="IA470" s="20"/>
      <c r="IB470" s="19"/>
      <c r="IC470" s="93"/>
      <c r="ID470" s="93"/>
      <c r="IE470" s="93"/>
      <c r="IF470" s="93"/>
      <c r="IG470" s="20"/>
      <c r="IH470" s="19"/>
      <c r="II470" s="93"/>
      <c r="IJ470" s="93"/>
      <c r="IK470" s="93"/>
      <c r="IL470" s="93"/>
      <c r="IM470" s="93"/>
      <c r="IN470" s="93"/>
      <c r="IO470" s="20"/>
      <c r="IP470" s="29"/>
      <c r="IQ470" s="19"/>
      <c r="IR470" s="93"/>
      <c r="IS470" s="93"/>
      <c r="IT470" s="93"/>
      <c r="IU470" s="93"/>
      <c r="IV470" s="20"/>
      <c r="IW470" s="29"/>
      <c r="IX470" s="19"/>
      <c r="IY470" s="93"/>
      <c r="IZ470" s="93"/>
      <c r="JA470" s="93"/>
      <c r="JB470" s="93"/>
      <c r="JC470" s="93"/>
      <c r="JD470" s="93"/>
      <c r="JE470" s="20"/>
      <c r="JF470" s="29"/>
      <c r="JG470" s="19"/>
      <c r="JH470" s="93"/>
      <c r="JI470" s="93"/>
      <c r="JJ470" s="93"/>
      <c r="JK470" s="93"/>
      <c r="JL470" s="93"/>
      <c r="JM470" s="93"/>
      <c r="JN470" s="20"/>
      <c r="JO470" s="29"/>
      <c r="JP470" s="19"/>
      <c r="JQ470" s="93"/>
      <c r="JR470" s="93"/>
      <c r="JS470" s="93"/>
      <c r="JT470" s="93"/>
      <c r="JU470" s="20"/>
      <c r="JV470" s="29"/>
      <c r="JW470" s="1504">
        <v>48761</v>
      </c>
      <c r="JX470" s="19"/>
      <c r="JY470" s="93"/>
      <c r="JZ470" s="93"/>
      <c r="KA470" s="93"/>
      <c r="KB470" s="93"/>
      <c r="KC470" s="93"/>
      <c r="KD470" s="20"/>
      <c r="KE470" s="29"/>
      <c r="KF470" s="19"/>
      <c r="KG470" s="93"/>
      <c r="KH470" s="93"/>
      <c r="KI470" s="93"/>
      <c r="KJ470" s="93"/>
      <c r="KK470" s="20"/>
      <c r="KL470" s="29"/>
      <c r="KM470" s="19"/>
      <c r="KN470" s="93"/>
      <c r="KO470" s="93"/>
      <c r="KP470" s="93"/>
      <c r="KQ470" s="93"/>
      <c r="KR470" s="20"/>
      <c r="KS470" s="29"/>
      <c r="KT470" s="19"/>
      <c r="KU470" s="93"/>
      <c r="KV470" s="93"/>
      <c r="KW470" s="93"/>
      <c r="KX470" s="93"/>
      <c r="KY470" s="20"/>
      <c r="KZ470" s="29"/>
      <c r="LA470" s="1504">
        <v>48761</v>
      </c>
      <c r="LB470" s="19"/>
      <c r="LC470" s="93"/>
      <c r="LD470" s="93"/>
      <c r="LE470" s="93"/>
      <c r="LF470" s="93"/>
      <c r="LG470" s="93"/>
      <c r="LH470" s="20"/>
      <c r="LI470" s="29"/>
      <c r="LJ470" s="19"/>
      <c r="LK470" s="93"/>
      <c r="LL470" s="93"/>
      <c r="LM470" s="93"/>
      <c r="LN470" s="93"/>
      <c r="LO470" s="20"/>
      <c r="LP470" s="29"/>
      <c r="LQ470" s="19"/>
      <c r="LR470" s="93"/>
      <c r="LS470" s="93"/>
      <c r="LT470" s="93"/>
      <c r="LU470" s="93"/>
      <c r="LV470" s="93"/>
      <c r="LW470" s="93"/>
      <c r="LX470" s="93"/>
      <c r="LY470" s="93"/>
      <c r="LZ470" s="93"/>
      <c r="MA470" s="20"/>
      <c r="MB470" s="29"/>
      <c r="MC470" s="1504">
        <v>48761</v>
      </c>
      <c r="MD470" s="19"/>
      <c r="ME470" s="93"/>
      <c r="MF470" s="93"/>
      <c r="MG470" s="93"/>
      <c r="MH470" s="93"/>
      <c r="MI470" s="93"/>
      <c r="MJ470" s="93"/>
      <c r="MK470" s="93"/>
      <c r="ML470" s="93"/>
      <c r="MM470" s="93"/>
      <c r="MN470" s="93"/>
      <c r="MO470" s="93"/>
      <c r="MP470" s="93"/>
      <c r="MQ470" s="93"/>
      <c r="MR470" s="93"/>
      <c r="MS470" s="93"/>
      <c r="MT470" s="93"/>
      <c r="MU470" s="93"/>
      <c r="MV470" s="93"/>
      <c r="MW470" s="93"/>
      <c r="MX470" s="93"/>
      <c r="MY470" s="93"/>
      <c r="MZ470" s="93"/>
      <c r="NA470" s="93"/>
      <c r="NB470" s="93"/>
      <c r="NC470" s="93"/>
      <c r="ND470" s="93"/>
      <c r="NE470" s="93"/>
      <c r="NF470" s="93"/>
      <c r="NG470" s="93"/>
      <c r="NH470" s="93"/>
      <c r="NI470" s="93"/>
      <c r="NJ470" s="93"/>
      <c r="NK470" s="93"/>
      <c r="NL470" s="93"/>
      <c r="NM470" s="93"/>
      <c r="NN470" s="93"/>
      <c r="NO470" s="93"/>
      <c r="NP470" s="93"/>
      <c r="NQ470" s="93"/>
      <c r="NR470" s="93"/>
      <c r="NS470" s="93"/>
      <c r="NT470" s="93"/>
      <c r="NU470" s="93"/>
      <c r="NV470" s="93"/>
      <c r="NW470" s="93"/>
      <c r="NX470" s="93"/>
      <c r="NY470" s="93"/>
      <c r="NZ470" s="93"/>
      <c r="OA470" s="93"/>
      <c r="OB470" s="93"/>
      <c r="OC470" s="93"/>
      <c r="OD470" s="20"/>
      <c r="OE470" s="29"/>
      <c r="OF470" s="1504">
        <v>48761</v>
      </c>
      <c r="OG470" s="19"/>
      <c r="OH470" s="93"/>
      <c r="OI470" s="93"/>
      <c r="OJ470" s="93"/>
      <c r="OK470" s="93"/>
      <c r="OL470" s="93"/>
      <c r="OM470" s="93"/>
      <c r="ON470" s="93"/>
      <c r="OO470" s="93"/>
      <c r="OP470" s="93"/>
      <c r="OQ470" s="93"/>
      <c r="OR470" s="93"/>
      <c r="OS470" s="93"/>
      <c r="OT470" s="93"/>
      <c r="OU470" s="93"/>
      <c r="OV470" s="93"/>
      <c r="OW470" s="93"/>
      <c r="OX470" s="93"/>
      <c r="OY470" s="93"/>
      <c r="OZ470" s="93"/>
      <c r="PA470" s="93"/>
      <c r="PB470" s="93"/>
      <c r="PC470" s="20"/>
      <c r="PD470" s="29"/>
      <c r="PE470" s="19"/>
      <c r="PF470" s="93"/>
      <c r="PG470" s="93"/>
      <c r="PH470" s="93"/>
      <c r="PI470" s="93"/>
      <c r="PJ470" s="93"/>
      <c r="PK470" s="93"/>
      <c r="PL470" s="93"/>
      <c r="PM470" s="93"/>
      <c r="PN470" s="93"/>
      <c r="PO470" s="93"/>
      <c r="PP470" s="93"/>
      <c r="PQ470" s="93"/>
      <c r="PR470" s="93"/>
      <c r="PS470" s="93"/>
      <c r="PT470" s="93"/>
      <c r="PU470" s="93"/>
      <c r="PV470" s="93"/>
      <c r="PW470" s="93"/>
      <c r="PX470" s="93"/>
      <c r="PY470" s="93"/>
      <c r="PZ470" s="93"/>
      <c r="QA470" s="93"/>
      <c r="QB470" s="93"/>
      <c r="QC470" s="93"/>
      <c r="QD470" s="93"/>
      <c r="QE470" s="20"/>
      <c r="QF470" s="1739"/>
      <c r="QG470" s="19"/>
      <c r="QH470" s="93"/>
      <c r="QI470" s="93"/>
      <c r="QJ470" s="93"/>
      <c r="QK470" s="93"/>
      <c r="QL470" s="93"/>
      <c r="QM470" s="93"/>
      <c r="QN470" s="93"/>
      <c r="QO470" s="93"/>
      <c r="QP470" s="93"/>
      <c r="QQ470" s="93"/>
      <c r="QR470" s="93"/>
      <c r="QS470" s="93"/>
      <c r="QT470" s="93"/>
      <c r="QU470" s="93"/>
      <c r="QV470" s="93"/>
      <c r="QW470" s="93"/>
      <c r="QX470" s="93"/>
      <c r="QY470" s="93"/>
      <c r="QZ470" s="93"/>
      <c r="RA470" s="93"/>
      <c r="RB470" s="93"/>
      <c r="RC470" s="93"/>
      <c r="RD470" s="93"/>
      <c r="RE470" s="93"/>
      <c r="RF470" s="93"/>
      <c r="RG470" s="93"/>
      <c r="RH470" s="93"/>
      <c r="RI470" s="93"/>
      <c r="RJ470" s="93"/>
      <c r="RK470" s="93"/>
      <c r="RL470" s="93"/>
      <c r="RM470" s="20"/>
      <c r="RN470" s="29"/>
      <c r="RO470" s="19"/>
      <c r="RP470" s="20"/>
      <c r="RQ470" s="29"/>
      <c r="RR470" s="20"/>
      <c r="RS470" s="29"/>
      <c r="RT470" s="1504">
        <v>48761</v>
      </c>
      <c r="RU470" s="19"/>
      <c r="RV470" s="20"/>
      <c r="RW470" s="29"/>
      <c r="RX470" s="1504">
        <v>48761</v>
      </c>
      <c r="RY470" s="29"/>
      <c r="RZ470" s="20"/>
      <c r="SA470" s="29"/>
      <c r="SB470" s="29"/>
    </row>
    <row r="471" spans="1:496">
      <c r="A471" s="41">
        <f t="shared" si="358"/>
        <v>2033</v>
      </c>
      <c r="B471" s="1504">
        <v>48792</v>
      </c>
      <c r="C471" s="1813"/>
      <c r="D471" s="1814"/>
      <c r="E471" s="1814"/>
      <c r="F471" s="1815"/>
      <c r="G471" s="1814"/>
      <c r="H471" s="1814"/>
      <c r="I471" s="1814"/>
      <c r="J471" s="1816"/>
      <c r="K471" s="1807"/>
      <c r="L471" s="25"/>
      <c r="M471" s="97"/>
      <c r="N471" s="1504">
        <v>48792</v>
      </c>
      <c r="O471" s="19"/>
      <c r="P471" s="93"/>
      <c r="Q471" s="93"/>
      <c r="R471" s="93"/>
      <c r="S471" s="93"/>
      <c r="T471" s="93"/>
      <c r="U471" s="93"/>
      <c r="V471" s="93"/>
      <c r="W471" s="93"/>
      <c r="X471" s="93"/>
      <c r="Y471" s="93"/>
      <c r="Z471" s="93"/>
      <c r="AA471" s="93"/>
      <c r="AB471" s="20"/>
      <c r="AC471" s="25"/>
      <c r="AD471" s="97"/>
      <c r="AE471" s="1504">
        <v>48792</v>
      </c>
      <c r="AF471" s="19"/>
      <c r="AG471" s="93"/>
      <c r="AH471" s="93"/>
      <c r="AI471" s="93"/>
      <c r="AJ471" s="93"/>
      <c r="AK471" s="93"/>
      <c r="AL471" s="93"/>
      <c r="AM471" s="93"/>
      <c r="AN471" s="93"/>
      <c r="AO471" s="93"/>
      <c r="AP471" s="93"/>
      <c r="AQ471" s="93"/>
      <c r="AR471" s="93"/>
      <c r="AS471" s="20"/>
      <c r="AT471" s="25"/>
      <c r="AU471" s="97"/>
      <c r="AV471" s="1504">
        <v>48792</v>
      </c>
      <c r="AW471" s="19"/>
      <c r="AX471" s="93"/>
      <c r="AY471" s="93"/>
      <c r="AZ471" s="93"/>
      <c r="BA471" s="93"/>
      <c r="BB471" s="93"/>
      <c r="BC471" s="93"/>
      <c r="BD471" s="93"/>
      <c r="BE471" s="93"/>
      <c r="BF471" s="93"/>
      <c r="BG471" s="93"/>
      <c r="BH471" s="93"/>
      <c r="BI471" s="93"/>
      <c r="BJ471" s="20"/>
      <c r="BK471" s="25"/>
      <c r="BL471" s="97"/>
      <c r="BM471" s="1504">
        <v>48792</v>
      </c>
      <c r="BN471" s="19"/>
      <c r="BO471" s="93"/>
      <c r="BP471" s="93"/>
      <c r="BQ471" s="93"/>
      <c r="BR471" s="93"/>
      <c r="BS471" s="93"/>
      <c r="BT471" s="93"/>
      <c r="BU471" s="20"/>
      <c r="BV471" s="25"/>
      <c r="BW471" s="97"/>
      <c r="BX471" s="1504">
        <v>48792</v>
      </c>
      <c r="BY471" s="19"/>
      <c r="BZ471" s="93"/>
      <c r="CA471" s="93"/>
      <c r="CB471" s="93"/>
      <c r="CC471" s="93"/>
      <c r="CD471" s="25"/>
      <c r="CE471" s="97"/>
      <c r="CF471" s="1504">
        <v>48792</v>
      </c>
      <c r="CG471" s="19"/>
      <c r="CH471" s="93"/>
      <c r="CI471" s="219"/>
      <c r="CJ471" s="20"/>
      <c r="CK471" s="19"/>
      <c r="CL471" s="93"/>
      <c r="CM471" s="93"/>
      <c r="CN471" s="93"/>
      <c r="CO471" s="93"/>
      <c r="CP471" s="20"/>
      <c r="CQ471" s="219"/>
      <c r="CR471" s="93"/>
      <c r="CS471" s="93"/>
      <c r="CT471" s="93"/>
      <c r="CU471" s="93"/>
      <c r="CV471" s="214"/>
      <c r="CW471" s="29"/>
      <c r="CX471" s="41">
        <f t="shared" si="359"/>
        <v>2033</v>
      </c>
      <c r="CY471" s="1504">
        <v>48792</v>
      </c>
      <c r="CZ471" s="19"/>
      <c r="DA471" s="93"/>
      <c r="DB471" s="93"/>
      <c r="DC471" s="93"/>
      <c r="DD471" s="93"/>
      <c r="DE471" s="20"/>
      <c r="DF471" s="29"/>
      <c r="DG471" s="1504">
        <v>48792</v>
      </c>
      <c r="DH471" s="19"/>
      <c r="DI471" s="93"/>
      <c r="DJ471" s="93"/>
      <c r="DK471" s="93"/>
      <c r="DL471" s="93"/>
      <c r="DM471" s="93"/>
      <c r="DN471" s="20"/>
      <c r="DO471" s="295"/>
      <c r="DP471" s="29"/>
      <c r="DQ471" s="1504">
        <v>48792</v>
      </c>
      <c r="DR471" s="19"/>
      <c r="DS471" s="93"/>
      <c r="DT471" s="93"/>
      <c r="DU471" s="93"/>
      <c r="DV471" s="93"/>
      <c r="DW471" s="93"/>
      <c r="DX471" s="20"/>
      <c r="DY471" s="29"/>
      <c r="DZ471" s="1504">
        <v>48792</v>
      </c>
      <c r="EA471" s="19"/>
      <c r="EB471" s="93"/>
      <c r="EC471" s="20"/>
      <c r="ED471" s="29"/>
      <c r="EE471" s="1504">
        <v>48792</v>
      </c>
      <c r="EF471" s="19"/>
      <c r="EG471" s="93"/>
      <c r="EH471" s="93"/>
      <c r="EI471" s="214"/>
      <c r="EJ471" s="93"/>
      <c r="EK471" s="93"/>
      <c r="EL471" s="93"/>
      <c r="EM471" s="93"/>
      <c r="EN471" s="20"/>
      <c r="EO471" s="29"/>
      <c r="EP471" s="1504">
        <v>48792</v>
      </c>
      <c r="EQ471" s="19"/>
      <c r="ER471" s="93"/>
      <c r="ES471" s="93"/>
      <c r="ET471" s="214"/>
      <c r="EU471" s="93"/>
      <c r="EV471" s="93"/>
      <c r="EW471" s="93"/>
      <c r="EX471" s="93"/>
      <c r="EY471" s="20"/>
      <c r="EZ471" s="29"/>
      <c r="FA471" s="1504">
        <v>48792</v>
      </c>
      <c r="FB471" s="29"/>
      <c r="FC471" s="29"/>
      <c r="FD471" s="29"/>
      <c r="FE471" s="29"/>
      <c r="FF471" s="29"/>
      <c r="FG471" s="29"/>
      <c r="FH471" s="29"/>
      <c r="FI471" s="29"/>
      <c r="FJ471" s="29"/>
      <c r="FK471" s="29"/>
      <c r="FL471" s="1504">
        <v>48792</v>
      </c>
      <c r="FM471" s="19"/>
      <c r="FN471" s="93"/>
      <c r="FO471" s="93"/>
      <c r="FP471" s="93"/>
      <c r="FQ471" s="93"/>
      <c r="FR471" s="93"/>
      <c r="FS471" s="93"/>
      <c r="FT471" s="93"/>
      <c r="FU471" s="93"/>
      <c r="FV471" s="93"/>
      <c r="FW471" s="93"/>
      <c r="FX471" s="93"/>
      <c r="FY471" s="93"/>
      <c r="FZ471" s="29"/>
      <c r="GA471" s="1504">
        <v>48792</v>
      </c>
      <c r="GB471" s="19"/>
      <c r="GC471" s="93"/>
      <c r="GD471" s="93"/>
      <c r="GE471" s="93"/>
      <c r="GF471" s="93"/>
      <c r="GG471" s="93"/>
      <c r="GH471" s="93"/>
      <c r="GI471" s="93"/>
      <c r="GJ471" s="93"/>
      <c r="GK471" s="93"/>
      <c r="GL471" s="93"/>
      <c r="GM471" s="93"/>
      <c r="GN471" s="20"/>
      <c r="GO471" s="29"/>
      <c r="GP471" s="1504">
        <v>48792</v>
      </c>
      <c r="GQ471" s="19"/>
      <c r="GR471" s="93"/>
      <c r="GS471" s="93"/>
      <c r="GT471" s="93"/>
      <c r="GU471" s="93"/>
      <c r="GV471" s="20"/>
      <c r="GW471" s="19"/>
      <c r="GX471" s="93"/>
      <c r="GY471" s="93"/>
      <c r="GZ471" s="93"/>
      <c r="HA471" s="93"/>
      <c r="HB471" s="20"/>
      <c r="HC471" s="19"/>
      <c r="HD471" s="93"/>
      <c r="HE471" s="93"/>
      <c r="HF471" s="93"/>
      <c r="HG471" s="93"/>
      <c r="HH471" s="20"/>
      <c r="HI471" s="19"/>
      <c r="HJ471" s="93"/>
      <c r="HK471" s="93"/>
      <c r="HL471" s="93"/>
      <c r="HM471" s="93"/>
      <c r="HN471" s="20"/>
      <c r="HO471" s="219"/>
      <c r="HP471" s="20"/>
      <c r="HQ471" s="25"/>
      <c r="HR471" s="29"/>
      <c r="HS471" s="1504">
        <v>48792</v>
      </c>
      <c r="HT471" s="19"/>
      <c r="HU471" s="93"/>
      <c r="HV471" s="93"/>
      <c r="HW471" s="93"/>
      <c r="HX471" s="93"/>
      <c r="HY471" s="93"/>
      <c r="HZ471" s="93"/>
      <c r="IA471" s="20"/>
      <c r="IB471" s="19"/>
      <c r="IC471" s="93"/>
      <c r="ID471" s="93"/>
      <c r="IE471" s="93"/>
      <c r="IF471" s="93"/>
      <c r="IG471" s="20"/>
      <c r="IH471" s="19"/>
      <c r="II471" s="93"/>
      <c r="IJ471" s="93"/>
      <c r="IK471" s="93"/>
      <c r="IL471" s="93"/>
      <c r="IM471" s="93"/>
      <c r="IN471" s="93"/>
      <c r="IO471" s="20"/>
      <c r="IP471" s="29"/>
      <c r="IQ471" s="19"/>
      <c r="IR471" s="93"/>
      <c r="IS471" s="93"/>
      <c r="IT471" s="93"/>
      <c r="IU471" s="93"/>
      <c r="IV471" s="20"/>
      <c r="IW471" s="29"/>
      <c r="IX471" s="19"/>
      <c r="IY471" s="93"/>
      <c r="IZ471" s="93"/>
      <c r="JA471" s="93"/>
      <c r="JB471" s="93"/>
      <c r="JC471" s="93"/>
      <c r="JD471" s="93"/>
      <c r="JE471" s="20"/>
      <c r="JF471" s="29"/>
      <c r="JG471" s="19"/>
      <c r="JH471" s="93"/>
      <c r="JI471" s="93"/>
      <c r="JJ471" s="93"/>
      <c r="JK471" s="93"/>
      <c r="JL471" s="93"/>
      <c r="JM471" s="93"/>
      <c r="JN471" s="20"/>
      <c r="JO471" s="29"/>
      <c r="JP471" s="19"/>
      <c r="JQ471" s="93"/>
      <c r="JR471" s="93"/>
      <c r="JS471" s="93"/>
      <c r="JT471" s="93"/>
      <c r="JU471" s="20"/>
      <c r="JV471" s="29"/>
      <c r="JW471" s="1504">
        <v>48792</v>
      </c>
      <c r="JX471" s="19"/>
      <c r="JY471" s="93"/>
      <c r="JZ471" s="93"/>
      <c r="KA471" s="93"/>
      <c r="KB471" s="93"/>
      <c r="KC471" s="93"/>
      <c r="KD471" s="20"/>
      <c r="KE471" s="29"/>
      <c r="KF471" s="19"/>
      <c r="KG471" s="93"/>
      <c r="KH471" s="93"/>
      <c r="KI471" s="93"/>
      <c r="KJ471" s="93"/>
      <c r="KK471" s="20"/>
      <c r="KL471" s="29"/>
      <c r="KM471" s="19"/>
      <c r="KN471" s="93"/>
      <c r="KO471" s="93"/>
      <c r="KP471" s="93"/>
      <c r="KQ471" s="93"/>
      <c r="KR471" s="20"/>
      <c r="KS471" s="29"/>
      <c r="KT471" s="19"/>
      <c r="KU471" s="93"/>
      <c r="KV471" s="93"/>
      <c r="KW471" s="93"/>
      <c r="KX471" s="93"/>
      <c r="KY471" s="20"/>
      <c r="KZ471" s="29"/>
      <c r="LA471" s="1504">
        <v>48792</v>
      </c>
      <c r="LB471" s="19"/>
      <c r="LC471" s="93"/>
      <c r="LD471" s="93"/>
      <c r="LE471" s="93"/>
      <c r="LF471" s="93"/>
      <c r="LG471" s="93"/>
      <c r="LH471" s="20"/>
      <c r="LI471" s="29"/>
      <c r="LJ471" s="19"/>
      <c r="LK471" s="93"/>
      <c r="LL471" s="93"/>
      <c r="LM471" s="93"/>
      <c r="LN471" s="93"/>
      <c r="LO471" s="20"/>
      <c r="LP471" s="29"/>
      <c r="LQ471" s="19"/>
      <c r="LR471" s="93"/>
      <c r="LS471" s="93"/>
      <c r="LT471" s="93"/>
      <c r="LU471" s="93"/>
      <c r="LV471" s="93"/>
      <c r="LW471" s="93"/>
      <c r="LX471" s="93"/>
      <c r="LY471" s="93"/>
      <c r="LZ471" s="93"/>
      <c r="MA471" s="20"/>
      <c r="MB471" s="29"/>
      <c r="MC471" s="1504">
        <v>48792</v>
      </c>
      <c r="MD471" s="19"/>
      <c r="ME471" s="93"/>
      <c r="MF471" s="93"/>
      <c r="MG471" s="93"/>
      <c r="MH471" s="93"/>
      <c r="MI471" s="93"/>
      <c r="MJ471" s="93"/>
      <c r="MK471" s="93"/>
      <c r="ML471" s="93"/>
      <c r="MM471" s="93"/>
      <c r="MN471" s="93"/>
      <c r="MO471" s="93"/>
      <c r="MP471" s="93"/>
      <c r="MQ471" s="93"/>
      <c r="MR471" s="93"/>
      <c r="MS471" s="93"/>
      <c r="MT471" s="93"/>
      <c r="MU471" s="93"/>
      <c r="MV471" s="93"/>
      <c r="MW471" s="93"/>
      <c r="MX471" s="93"/>
      <c r="MY471" s="93"/>
      <c r="MZ471" s="93"/>
      <c r="NA471" s="93"/>
      <c r="NB471" s="93"/>
      <c r="NC471" s="93"/>
      <c r="ND471" s="93"/>
      <c r="NE471" s="93"/>
      <c r="NF471" s="93"/>
      <c r="NG471" s="93"/>
      <c r="NH471" s="93"/>
      <c r="NI471" s="93"/>
      <c r="NJ471" s="93"/>
      <c r="NK471" s="93"/>
      <c r="NL471" s="93"/>
      <c r="NM471" s="93"/>
      <c r="NN471" s="93"/>
      <c r="NO471" s="93"/>
      <c r="NP471" s="93"/>
      <c r="NQ471" s="93"/>
      <c r="NR471" s="93"/>
      <c r="NS471" s="93"/>
      <c r="NT471" s="93"/>
      <c r="NU471" s="93"/>
      <c r="NV471" s="93"/>
      <c r="NW471" s="93"/>
      <c r="NX471" s="93"/>
      <c r="NY471" s="93"/>
      <c r="NZ471" s="93"/>
      <c r="OA471" s="93"/>
      <c r="OB471" s="93"/>
      <c r="OC471" s="93"/>
      <c r="OD471" s="20"/>
      <c r="OE471" s="29"/>
      <c r="OF471" s="1504">
        <v>48792</v>
      </c>
      <c r="OG471" s="19"/>
      <c r="OH471" s="93"/>
      <c r="OI471" s="93"/>
      <c r="OJ471" s="93"/>
      <c r="OK471" s="93"/>
      <c r="OL471" s="93"/>
      <c r="OM471" s="93"/>
      <c r="ON471" s="93"/>
      <c r="OO471" s="93"/>
      <c r="OP471" s="93"/>
      <c r="OQ471" s="93"/>
      <c r="OR471" s="93"/>
      <c r="OS471" s="93"/>
      <c r="OT471" s="93"/>
      <c r="OU471" s="93"/>
      <c r="OV471" s="93"/>
      <c r="OW471" s="93"/>
      <c r="OX471" s="93"/>
      <c r="OY471" s="93"/>
      <c r="OZ471" s="93"/>
      <c r="PA471" s="93"/>
      <c r="PB471" s="93"/>
      <c r="PC471" s="20"/>
      <c r="PD471" s="29"/>
      <c r="PE471" s="19"/>
      <c r="PF471" s="93"/>
      <c r="PG471" s="93"/>
      <c r="PH471" s="93"/>
      <c r="PI471" s="93"/>
      <c r="PJ471" s="93"/>
      <c r="PK471" s="93"/>
      <c r="PL471" s="93"/>
      <c r="PM471" s="93"/>
      <c r="PN471" s="93"/>
      <c r="PO471" s="93"/>
      <c r="PP471" s="93"/>
      <c r="PQ471" s="93"/>
      <c r="PR471" s="93"/>
      <c r="PS471" s="93"/>
      <c r="PT471" s="93"/>
      <c r="PU471" s="93"/>
      <c r="PV471" s="93"/>
      <c r="PW471" s="93"/>
      <c r="PX471" s="93"/>
      <c r="PY471" s="93"/>
      <c r="PZ471" s="93"/>
      <c r="QA471" s="93"/>
      <c r="QB471" s="93"/>
      <c r="QC471" s="93"/>
      <c r="QD471" s="93"/>
      <c r="QE471" s="20"/>
      <c r="QF471" s="1739"/>
      <c r="QG471" s="19"/>
      <c r="QH471" s="93"/>
      <c r="QI471" s="93"/>
      <c r="QJ471" s="93"/>
      <c r="QK471" s="93"/>
      <c r="QL471" s="93"/>
      <c r="QM471" s="93"/>
      <c r="QN471" s="93"/>
      <c r="QO471" s="93"/>
      <c r="QP471" s="93"/>
      <c r="QQ471" s="93"/>
      <c r="QR471" s="93"/>
      <c r="QS471" s="93"/>
      <c r="QT471" s="93"/>
      <c r="QU471" s="93"/>
      <c r="QV471" s="93"/>
      <c r="QW471" s="93"/>
      <c r="QX471" s="93"/>
      <c r="QY471" s="93"/>
      <c r="QZ471" s="93"/>
      <c r="RA471" s="93"/>
      <c r="RB471" s="93"/>
      <c r="RC471" s="93"/>
      <c r="RD471" s="93"/>
      <c r="RE471" s="93"/>
      <c r="RF471" s="93"/>
      <c r="RG471" s="93"/>
      <c r="RH471" s="93"/>
      <c r="RI471" s="93"/>
      <c r="RJ471" s="93"/>
      <c r="RK471" s="93"/>
      <c r="RL471" s="93"/>
      <c r="RM471" s="20"/>
      <c r="RN471" s="29"/>
      <c r="RO471" s="19"/>
      <c r="RP471" s="20"/>
      <c r="RQ471" s="29"/>
      <c r="RR471" s="20"/>
      <c r="RS471" s="29"/>
      <c r="RT471" s="1504">
        <v>48792</v>
      </c>
      <c r="RU471" s="19"/>
      <c r="RV471" s="20"/>
      <c r="RW471" s="29"/>
      <c r="RX471" s="1504">
        <v>48792</v>
      </c>
      <c r="RY471" s="29"/>
      <c r="RZ471" s="20"/>
      <c r="SA471" s="29"/>
      <c r="SB471" s="29"/>
    </row>
    <row r="472" spans="1:496">
      <c r="A472" s="41">
        <f t="shared" si="358"/>
        <v>2033</v>
      </c>
      <c r="B472" s="1504">
        <v>48823</v>
      </c>
      <c r="C472" s="1813"/>
      <c r="D472" s="1814"/>
      <c r="E472" s="1814"/>
      <c r="F472" s="1815"/>
      <c r="G472" s="1814"/>
      <c r="H472" s="1814"/>
      <c r="I472" s="1814"/>
      <c r="J472" s="1816"/>
      <c r="K472" s="1807"/>
      <c r="L472" s="25"/>
      <c r="M472" s="97"/>
      <c r="N472" s="1504">
        <v>48823</v>
      </c>
      <c r="O472" s="19"/>
      <c r="P472" s="93"/>
      <c r="Q472" s="93"/>
      <c r="R472" s="93"/>
      <c r="S472" s="93"/>
      <c r="T472" s="93"/>
      <c r="U472" s="93"/>
      <c r="V472" s="93"/>
      <c r="W472" s="93"/>
      <c r="X472" s="93"/>
      <c r="Y472" s="93"/>
      <c r="Z472" s="93"/>
      <c r="AA472" s="93"/>
      <c r="AB472" s="20"/>
      <c r="AC472" s="25"/>
      <c r="AD472" s="97"/>
      <c r="AE472" s="1504">
        <v>48823</v>
      </c>
      <c r="AF472" s="19"/>
      <c r="AG472" s="93"/>
      <c r="AH472" s="93"/>
      <c r="AI472" s="93"/>
      <c r="AJ472" s="93"/>
      <c r="AK472" s="93"/>
      <c r="AL472" s="93"/>
      <c r="AM472" s="93"/>
      <c r="AN472" s="93"/>
      <c r="AO472" s="93"/>
      <c r="AP472" s="93"/>
      <c r="AQ472" s="93"/>
      <c r="AR472" s="93"/>
      <c r="AS472" s="20"/>
      <c r="AT472" s="25"/>
      <c r="AU472" s="97"/>
      <c r="AV472" s="1504">
        <v>48823</v>
      </c>
      <c r="AW472" s="19"/>
      <c r="AX472" s="93"/>
      <c r="AY472" s="93"/>
      <c r="AZ472" s="93"/>
      <c r="BA472" s="93"/>
      <c r="BB472" s="93"/>
      <c r="BC472" s="93"/>
      <c r="BD472" s="93"/>
      <c r="BE472" s="93"/>
      <c r="BF472" s="93"/>
      <c r="BG472" s="93"/>
      <c r="BH472" s="93"/>
      <c r="BI472" s="93"/>
      <c r="BJ472" s="20"/>
      <c r="BK472" s="25"/>
      <c r="BL472" s="97"/>
      <c r="BM472" s="1504">
        <v>48823</v>
      </c>
      <c r="BN472" s="19"/>
      <c r="BO472" s="93"/>
      <c r="BP472" s="93"/>
      <c r="BQ472" s="93"/>
      <c r="BR472" s="93"/>
      <c r="BS472" s="93"/>
      <c r="BT472" s="93"/>
      <c r="BU472" s="20"/>
      <c r="BV472" s="25"/>
      <c r="BW472" s="97"/>
      <c r="BX472" s="1504">
        <v>48823</v>
      </c>
      <c r="BY472" s="19"/>
      <c r="BZ472" s="93"/>
      <c r="CA472" s="93"/>
      <c r="CB472" s="93"/>
      <c r="CC472" s="93"/>
      <c r="CD472" s="25"/>
      <c r="CE472" s="97"/>
      <c r="CF472" s="1504">
        <v>48823</v>
      </c>
      <c r="CG472" s="19"/>
      <c r="CH472" s="93"/>
      <c r="CI472" s="219"/>
      <c r="CJ472" s="20"/>
      <c r="CK472" s="19"/>
      <c r="CL472" s="93"/>
      <c r="CM472" s="93"/>
      <c r="CN472" s="93"/>
      <c r="CO472" s="93"/>
      <c r="CP472" s="20"/>
      <c r="CQ472" s="219"/>
      <c r="CR472" s="93"/>
      <c r="CS472" s="93"/>
      <c r="CT472" s="93"/>
      <c r="CU472" s="93"/>
      <c r="CV472" s="214"/>
      <c r="CW472" s="29"/>
      <c r="CX472" s="41">
        <f t="shared" si="359"/>
        <v>2033</v>
      </c>
      <c r="CY472" s="1504">
        <v>48823</v>
      </c>
      <c r="CZ472" s="19"/>
      <c r="DA472" s="93"/>
      <c r="DB472" s="93"/>
      <c r="DC472" s="93"/>
      <c r="DD472" s="93"/>
      <c r="DE472" s="20"/>
      <c r="DF472" s="29"/>
      <c r="DG472" s="1504">
        <v>48823</v>
      </c>
      <c r="DH472" s="19"/>
      <c r="DI472" s="93"/>
      <c r="DJ472" s="93"/>
      <c r="DK472" s="93"/>
      <c r="DL472" s="93"/>
      <c r="DM472" s="93"/>
      <c r="DN472" s="20"/>
      <c r="DO472" s="295"/>
      <c r="DP472" s="29"/>
      <c r="DQ472" s="1504">
        <v>48823</v>
      </c>
      <c r="DR472" s="19"/>
      <c r="DS472" s="93"/>
      <c r="DT472" s="93"/>
      <c r="DU472" s="93"/>
      <c r="DV472" s="93"/>
      <c r="DW472" s="93"/>
      <c r="DX472" s="20"/>
      <c r="DY472" s="29"/>
      <c r="DZ472" s="1504">
        <v>48823</v>
      </c>
      <c r="EA472" s="19"/>
      <c r="EB472" s="93"/>
      <c r="EC472" s="20"/>
      <c r="ED472" s="29"/>
      <c r="EE472" s="1504">
        <v>48823</v>
      </c>
      <c r="EF472" s="19"/>
      <c r="EG472" s="93"/>
      <c r="EH472" s="93"/>
      <c r="EI472" s="214"/>
      <c r="EJ472" s="93"/>
      <c r="EK472" s="93"/>
      <c r="EL472" s="93"/>
      <c r="EM472" s="93"/>
      <c r="EN472" s="20"/>
      <c r="EO472" s="29"/>
      <c r="EP472" s="1504">
        <v>48823</v>
      </c>
      <c r="EQ472" s="19"/>
      <c r="ER472" s="93"/>
      <c r="ES472" s="93"/>
      <c r="ET472" s="214"/>
      <c r="EU472" s="93"/>
      <c r="EV472" s="93"/>
      <c r="EW472" s="93"/>
      <c r="EX472" s="93"/>
      <c r="EY472" s="20"/>
      <c r="EZ472" s="29"/>
      <c r="FA472" s="1504">
        <v>48823</v>
      </c>
      <c r="FB472" s="29"/>
      <c r="FC472" s="29"/>
      <c r="FD472" s="29"/>
      <c r="FE472" s="29"/>
      <c r="FF472" s="29"/>
      <c r="FG472" s="29"/>
      <c r="FH472" s="29"/>
      <c r="FI472" s="29"/>
      <c r="FJ472" s="29"/>
      <c r="FK472" s="29"/>
      <c r="FL472" s="1504">
        <v>48823</v>
      </c>
      <c r="FM472" s="19"/>
      <c r="FN472" s="93"/>
      <c r="FO472" s="93"/>
      <c r="FP472" s="93"/>
      <c r="FQ472" s="93"/>
      <c r="FR472" s="93"/>
      <c r="FS472" s="93"/>
      <c r="FT472" s="93"/>
      <c r="FU472" s="93"/>
      <c r="FV472" s="93"/>
      <c r="FW472" s="93"/>
      <c r="FX472" s="93"/>
      <c r="FY472" s="93"/>
      <c r="FZ472" s="29"/>
      <c r="GA472" s="1504">
        <v>48823</v>
      </c>
      <c r="GB472" s="19"/>
      <c r="GC472" s="93"/>
      <c r="GD472" s="93"/>
      <c r="GE472" s="93"/>
      <c r="GF472" s="93"/>
      <c r="GG472" s="93"/>
      <c r="GH472" s="93"/>
      <c r="GI472" s="93"/>
      <c r="GJ472" s="93"/>
      <c r="GK472" s="93"/>
      <c r="GL472" s="93"/>
      <c r="GM472" s="93"/>
      <c r="GN472" s="20"/>
      <c r="GO472" s="29"/>
      <c r="GP472" s="1504">
        <v>48823</v>
      </c>
      <c r="GQ472" s="19"/>
      <c r="GR472" s="93"/>
      <c r="GS472" s="93"/>
      <c r="GT472" s="93"/>
      <c r="GU472" s="93"/>
      <c r="GV472" s="20"/>
      <c r="GW472" s="19"/>
      <c r="GX472" s="93"/>
      <c r="GY472" s="93"/>
      <c r="GZ472" s="93"/>
      <c r="HA472" s="93"/>
      <c r="HB472" s="20"/>
      <c r="HC472" s="19"/>
      <c r="HD472" s="93"/>
      <c r="HE472" s="93"/>
      <c r="HF472" s="93"/>
      <c r="HG472" s="93"/>
      <c r="HH472" s="20"/>
      <c r="HI472" s="19"/>
      <c r="HJ472" s="93"/>
      <c r="HK472" s="93"/>
      <c r="HL472" s="93"/>
      <c r="HM472" s="93"/>
      <c r="HN472" s="20"/>
      <c r="HO472" s="219"/>
      <c r="HP472" s="20"/>
      <c r="HQ472" s="25"/>
      <c r="HR472" s="29"/>
      <c r="HS472" s="1504">
        <v>48823</v>
      </c>
      <c r="HT472" s="19"/>
      <c r="HU472" s="93"/>
      <c r="HV472" s="93"/>
      <c r="HW472" s="93"/>
      <c r="HX472" s="93"/>
      <c r="HY472" s="93"/>
      <c r="HZ472" s="93"/>
      <c r="IA472" s="20"/>
      <c r="IB472" s="19"/>
      <c r="IC472" s="93"/>
      <c r="ID472" s="93"/>
      <c r="IE472" s="93"/>
      <c r="IF472" s="93"/>
      <c r="IG472" s="20"/>
      <c r="IH472" s="19"/>
      <c r="II472" s="93"/>
      <c r="IJ472" s="93"/>
      <c r="IK472" s="93"/>
      <c r="IL472" s="93"/>
      <c r="IM472" s="93"/>
      <c r="IN472" s="93"/>
      <c r="IO472" s="20"/>
      <c r="IP472" s="29"/>
      <c r="IQ472" s="19"/>
      <c r="IR472" s="93"/>
      <c r="IS472" s="93"/>
      <c r="IT472" s="93"/>
      <c r="IU472" s="93"/>
      <c r="IV472" s="20"/>
      <c r="IW472" s="29"/>
      <c r="IX472" s="19"/>
      <c r="IY472" s="93"/>
      <c r="IZ472" s="93"/>
      <c r="JA472" s="93"/>
      <c r="JB472" s="93"/>
      <c r="JC472" s="93"/>
      <c r="JD472" s="93"/>
      <c r="JE472" s="20"/>
      <c r="JF472" s="29"/>
      <c r="JG472" s="19"/>
      <c r="JH472" s="93"/>
      <c r="JI472" s="93"/>
      <c r="JJ472" s="93"/>
      <c r="JK472" s="93"/>
      <c r="JL472" s="93"/>
      <c r="JM472" s="93"/>
      <c r="JN472" s="20"/>
      <c r="JO472" s="29"/>
      <c r="JP472" s="19"/>
      <c r="JQ472" s="93"/>
      <c r="JR472" s="93"/>
      <c r="JS472" s="93"/>
      <c r="JT472" s="93"/>
      <c r="JU472" s="20"/>
      <c r="JV472" s="29"/>
      <c r="JW472" s="1504">
        <v>48823</v>
      </c>
      <c r="JX472" s="19"/>
      <c r="JY472" s="93"/>
      <c r="JZ472" s="93"/>
      <c r="KA472" s="93"/>
      <c r="KB472" s="93"/>
      <c r="KC472" s="93"/>
      <c r="KD472" s="20"/>
      <c r="KE472" s="29"/>
      <c r="KF472" s="19"/>
      <c r="KG472" s="93"/>
      <c r="KH472" s="93"/>
      <c r="KI472" s="93"/>
      <c r="KJ472" s="93"/>
      <c r="KK472" s="20"/>
      <c r="KL472" s="29"/>
      <c r="KM472" s="19"/>
      <c r="KN472" s="93"/>
      <c r="KO472" s="93"/>
      <c r="KP472" s="93"/>
      <c r="KQ472" s="93"/>
      <c r="KR472" s="20"/>
      <c r="KS472" s="29"/>
      <c r="KT472" s="19"/>
      <c r="KU472" s="93"/>
      <c r="KV472" s="93"/>
      <c r="KW472" s="93"/>
      <c r="KX472" s="93"/>
      <c r="KY472" s="20"/>
      <c r="KZ472" s="29"/>
      <c r="LA472" s="1504">
        <v>48823</v>
      </c>
      <c r="LB472" s="19"/>
      <c r="LC472" s="93"/>
      <c r="LD472" s="93"/>
      <c r="LE472" s="93"/>
      <c r="LF472" s="93"/>
      <c r="LG472" s="93"/>
      <c r="LH472" s="20"/>
      <c r="LI472" s="29"/>
      <c r="LJ472" s="19"/>
      <c r="LK472" s="93"/>
      <c r="LL472" s="93"/>
      <c r="LM472" s="93"/>
      <c r="LN472" s="93"/>
      <c r="LO472" s="20"/>
      <c r="LP472" s="29"/>
      <c r="LQ472" s="19"/>
      <c r="LR472" s="93"/>
      <c r="LS472" s="93"/>
      <c r="LT472" s="93"/>
      <c r="LU472" s="93"/>
      <c r="LV472" s="93"/>
      <c r="LW472" s="93"/>
      <c r="LX472" s="93"/>
      <c r="LY472" s="93"/>
      <c r="LZ472" s="93"/>
      <c r="MA472" s="20"/>
      <c r="MB472" s="29"/>
      <c r="MC472" s="1504">
        <v>48823</v>
      </c>
      <c r="MD472" s="19"/>
      <c r="ME472" s="93"/>
      <c r="MF472" s="93"/>
      <c r="MG472" s="93"/>
      <c r="MH472" s="93"/>
      <c r="MI472" s="93"/>
      <c r="MJ472" s="93"/>
      <c r="MK472" s="93"/>
      <c r="ML472" s="93"/>
      <c r="MM472" s="93"/>
      <c r="MN472" s="93"/>
      <c r="MO472" s="93"/>
      <c r="MP472" s="93"/>
      <c r="MQ472" s="93"/>
      <c r="MR472" s="93"/>
      <c r="MS472" s="93"/>
      <c r="MT472" s="93"/>
      <c r="MU472" s="93"/>
      <c r="MV472" s="93"/>
      <c r="MW472" s="93"/>
      <c r="MX472" s="93"/>
      <c r="MY472" s="93"/>
      <c r="MZ472" s="93"/>
      <c r="NA472" s="93"/>
      <c r="NB472" s="93"/>
      <c r="NC472" s="93"/>
      <c r="ND472" s="93"/>
      <c r="NE472" s="93"/>
      <c r="NF472" s="93"/>
      <c r="NG472" s="93"/>
      <c r="NH472" s="93"/>
      <c r="NI472" s="93"/>
      <c r="NJ472" s="93"/>
      <c r="NK472" s="93"/>
      <c r="NL472" s="93"/>
      <c r="NM472" s="93"/>
      <c r="NN472" s="93"/>
      <c r="NO472" s="93"/>
      <c r="NP472" s="93"/>
      <c r="NQ472" s="93"/>
      <c r="NR472" s="93"/>
      <c r="NS472" s="93"/>
      <c r="NT472" s="93"/>
      <c r="NU472" s="93"/>
      <c r="NV472" s="93"/>
      <c r="NW472" s="93"/>
      <c r="NX472" s="93"/>
      <c r="NY472" s="93"/>
      <c r="NZ472" s="93"/>
      <c r="OA472" s="93"/>
      <c r="OB472" s="93"/>
      <c r="OC472" s="93"/>
      <c r="OD472" s="20"/>
      <c r="OE472" s="29"/>
      <c r="OF472" s="1504">
        <v>48823</v>
      </c>
      <c r="OG472" s="19"/>
      <c r="OH472" s="93"/>
      <c r="OI472" s="93"/>
      <c r="OJ472" s="93"/>
      <c r="OK472" s="93"/>
      <c r="OL472" s="93"/>
      <c r="OM472" s="93"/>
      <c r="ON472" s="93"/>
      <c r="OO472" s="93"/>
      <c r="OP472" s="93"/>
      <c r="OQ472" s="93"/>
      <c r="OR472" s="93"/>
      <c r="OS472" s="93"/>
      <c r="OT472" s="93"/>
      <c r="OU472" s="93"/>
      <c r="OV472" s="93"/>
      <c r="OW472" s="93"/>
      <c r="OX472" s="93"/>
      <c r="OY472" s="93"/>
      <c r="OZ472" s="93"/>
      <c r="PA472" s="93"/>
      <c r="PB472" s="93"/>
      <c r="PC472" s="20"/>
      <c r="PD472" s="29"/>
      <c r="PE472" s="19"/>
      <c r="PF472" s="93"/>
      <c r="PG472" s="93"/>
      <c r="PH472" s="93"/>
      <c r="PI472" s="93"/>
      <c r="PJ472" s="93"/>
      <c r="PK472" s="93"/>
      <c r="PL472" s="93"/>
      <c r="PM472" s="93"/>
      <c r="PN472" s="93"/>
      <c r="PO472" s="93"/>
      <c r="PP472" s="93"/>
      <c r="PQ472" s="93"/>
      <c r="PR472" s="93"/>
      <c r="PS472" s="93"/>
      <c r="PT472" s="93"/>
      <c r="PU472" s="93"/>
      <c r="PV472" s="93"/>
      <c r="PW472" s="93"/>
      <c r="PX472" s="93"/>
      <c r="PY472" s="93"/>
      <c r="PZ472" s="93"/>
      <c r="QA472" s="93"/>
      <c r="QB472" s="93"/>
      <c r="QC472" s="93"/>
      <c r="QD472" s="93"/>
      <c r="QE472" s="20"/>
      <c r="QF472" s="1739"/>
      <c r="QG472" s="19"/>
      <c r="QH472" s="93"/>
      <c r="QI472" s="93"/>
      <c r="QJ472" s="93"/>
      <c r="QK472" s="93"/>
      <c r="QL472" s="93"/>
      <c r="QM472" s="93"/>
      <c r="QN472" s="93"/>
      <c r="QO472" s="93"/>
      <c r="QP472" s="93"/>
      <c r="QQ472" s="93"/>
      <c r="QR472" s="93"/>
      <c r="QS472" s="93"/>
      <c r="QT472" s="93"/>
      <c r="QU472" s="93"/>
      <c r="QV472" s="93"/>
      <c r="QW472" s="93"/>
      <c r="QX472" s="93"/>
      <c r="QY472" s="93"/>
      <c r="QZ472" s="93"/>
      <c r="RA472" s="93"/>
      <c r="RB472" s="93"/>
      <c r="RC472" s="93"/>
      <c r="RD472" s="93"/>
      <c r="RE472" s="93"/>
      <c r="RF472" s="93"/>
      <c r="RG472" s="93"/>
      <c r="RH472" s="93"/>
      <c r="RI472" s="93"/>
      <c r="RJ472" s="93"/>
      <c r="RK472" s="93"/>
      <c r="RL472" s="93"/>
      <c r="RM472" s="20"/>
      <c r="RN472" s="29"/>
      <c r="RO472" s="19"/>
      <c r="RP472" s="20"/>
      <c r="RQ472" s="29"/>
      <c r="RR472" s="20"/>
      <c r="RS472" s="29"/>
      <c r="RT472" s="1504">
        <v>48823</v>
      </c>
      <c r="RU472" s="19"/>
      <c r="RV472" s="20"/>
      <c r="RW472" s="29"/>
      <c r="RX472" s="1504">
        <v>48823</v>
      </c>
      <c r="RY472" s="29"/>
      <c r="RZ472" s="20"/>
      <c r="SA472" s="29"/>
      <c r="SB472" s="29"/>
    </row>
    <row r="473" spans="1:496">
      <c r="A473" s="41">
        <f t="shared" si="358"/>
        <v>2033</v>
      </c>
      <c r="B473" s="1504">
        <v>48853</v>
      </c>
      <c r="C473" s="1813"/>
      <c r="D473" s="1814"/>
      <c r="E473" s="1814"/>
      <c r="F473" s="1815"/>
      <c r="G473" s="1814"/>
      <c r="H473" s="1814"/>
      <c r="I473" s="1814"/>
      <c r="J473" s="1816"/>
      <c r="K473" s="1807"/>
      <c r="L473" s="25"/>
      <c r="M473" s="97"/>
      <c r="N473" s="1504">
        <v>48853</v>
      </c>
      <c r="O473" s="19"/>
      <c r="P473" s="93"/>
      <c r="Q473" s="93"/>
      <c r="R473" s="93"/>
      <c r="S473" s="93"/>
      <c r="T473" s="93"/>
      <c r="U473" s="93"/>
      <c r="V473" s="93"/>
      <c r="W473" s="93"/>
      <c r="X473" s="93"/>
      <c r="Y473" s="93"/>
      <c r="Z473" s="93"/>
      <c r="AA473" s="93"/>
      <c r="AB473" s="20"/>
      <c r="AC473" s="25"/>
      <c r="AD473" s="97"/>
      <c r="AE473" s="1504">
        <v>48853</v>
      </c>
      <c r="AF473" s="19"/>
      <c r="AG473" s="93"/>
      <c r="AH473" s="93"/>
      <c r="AI473" s="93"/>
      <c r="AJ473" s="93"/>
      <c r="AK473" s="93"/>
      <c r="AL473" s="93"/>
      <c r="AM473" s="93"/>
      <c r="AN473" s="93"/>
      <c r="AO473" s="93"/>
      <c r="AP473" s="93"/>
      <c r="AQ473" s="93"/>
      <c r="AR473" s="93"/>
      <c r="AS473" s="20"/>
      <c r="AT473" s="25"/>
      <c r="AU473" s="97"/>
      <c r="AV473" s="1504">
        <v>48853</v>
      </c>
      <c r="AW473" s="19"/>
      <c r="AX473" s="93"/>
      <c r="AY473" s="93"/>
      <c r="AZ473" s="93"/>
      <c r="BA473" s="93"/>
      <c r="BB473" s="93"/>
      <c r="BC473" s="93"/>
      <c r="BD473" s="93"/>
      <c r="BE473" s="93"/>
      <c r="BF473" s="93"/>
      <c r="BG473" s="93"/>
      <c r="BH473" s="93"/>
      <c r="BI473" s="93"/>
      <c r="BJ473" s="20"/>
      <c r="BK473" s="25"/>
      <c r="BL473" s="97"/>
      <c r="BM473" s="1504">
        <v>48853</v>
      </c>
      <c r="BN473" s="19"/>
      <c r="BO473" s="93"/>
      <c r="BP473" s="93"/>
      <c r="BQ473" s="93"/>
      <c r="BR473" s="93"/>
      <c r="BS473" s="93"/>
      <c r="BT473" s="93"/>
      <c r="BU473" s="20"/>
      <c r="BV473" s="25"/>
      <c r="BW473" s="97"/>
      <c r="BX473" s="1504">
        <v>48853</v>
      </c>
      <c r="BY473" s="19"/>
      <c r="BZ473" s="93"/>
      <c r="CA473" s="93"/>
      <c r="CB473" s="93"/>
      <c r="CC473" s="93"/>
      <c r="CD473" s="25"/>
      <c r="CE473" s="97"/>
      <c r="CF473" s="1504">
        <v>48853</v>
      </c>
      <c r="CG473" s="19"/>
      <c r="CH473" s="93"/>
      <c r="CI473" s="219"/>
      <c r="CJ473" s="20"/>
      <c r="CK473" s="19"/>
      <c r="CL473" s="93"/>
      <c r="CM473" s="93"/>
      <c r="CN473" s="93"/>
      <c r="CO473" s="93"/>
      <c r="CP473" s="20"/>
      <c r="CQ473" s="219"/>
      <c r="CR473" s="93"/>
      <c r="CS473" s="93"/>
      <c r="CT473" s="93"/>
      <c r="CU473" s="93"/>
      <c r="CV473" s="214"/>
      <c r="CW473" s="29"/>
      <c r="CX473" s="41">
        <f t="shared" si="359"/>
        <v>2033</v>
      </c>
      <c r="CY473" s="1504">
        <v>48853</v>
      </c>
      <c r="CZ473" s="19"/>
      <c r="DA473" s="93"/>
      <c r="DB473" s="93"/>
      <c r="DC473" s="93"/>
      <c r="DD473" s="93"/>
      <c r="DE473" s="20"/>
      <c r="DF473" s="29"/>
      <c r="DG473" s="1504">
        <v>48853</v>
      </c>
      <c r="DH473" s="19"/>
      <c r="DI473" s="93"/>
      <c r="DJ473" s="93"/>
      <c r="DK473" s="93"/>
      <c r="DL473" s="93"/>
      <c r="DM473" s="93"/>
      <c r="DN473" s="20"/>
      <c r="DO473" s="295"/>
      <c r="DP473" s="29"/>
      <c r="DQ473" s="1504">
        <v>48853</v>
      </c>
      <c r="DR473" s="19"/>
      <c r="DS473" s="93"/>
      <c r="DT473" s="93"/>
      <c r="DU473" s="93"/>
      <c r="DV473" s="93"/>
      <c r="DW473" s="93"/>
      <c r="DX473" s="20"/>
      <c r="DY473" s="29"/>
      <c r="DZ473" s="1504">
        <v>48853</v>
      </c>
      <c r="EA473" s="19"/>
      <c r="EB473" s="93"/>
      <c r="EC473" s="20"/>
      <c r="ED473" s="29"/>
      <c r="EE473" s="1504">
        <v>48853</v>
      </c>
      <c r="EF473" s="19"/>
      <c r="EG473" s="93"/>
      <c r="EH473" s="93"/>
      <c r="EI473" s="214"/>
      <c r="EJ473" s="93"/>
      <c r="EK473" s="93"/>
      <c r="EL473" s="93"/>
      <c r="EM473" s="93"/>
      <c r="EN473" s="20"/>
      <c r="EO473" s="29"/>
      <c r="EP473" s="1504">
        <v>48853</v>
      </c>
      <c r="EQ473" s="19"/>
      <c r="ER473" s="93"/>
      <c r="ES473" s="93"/>
      <c r="ET473" s="214"/>
      <c r="EU473" s="93"/>
      <c r="EV473" s="93"/>
      <c r="EW473" s="93"/>
      <c r="EX473" s="93"/>
      <c r="EY473" s="20"/>
      <c r="EZ473" s="29"/>
      <c r="FA473" s="1504">
        <v>48853</v>
      </c>
      <c r="FB473" s="29"/>
      <c r="FC473" s="29"/>
      <c r="FD473" s="29"/>
      <c r="FE473" s="29"/>
      <c r="FF473" s="29"/>
      <c r="FG473" s="29"/>
      <c r="FH473" s="29"/>
      <c r="FI473" s="29"/>
      <c r="FJ473" s="29"/>
      <c r="FK473" s="29"/>
      <c r="FL473" s="1504">
        <v>48853</v>
      </c>
      <c r="FM473" s="19"/>
      <c r="FN473" s="93"/>
      <c r="FO473" s="93"/>
      <c r="FP473" s="93"/>
      <c r="FQ473" s="93"/>
      <c r="FR473" s="93"/>
      <c r="FS473" s="93"/>
      <c r="FT473" s="93"/>
      <c r="FU473" s="93"/>
      <c r="FV473" s="93"/>
      <c r="FW473" s="93"/>
      <c r="FX473" s="93"/>
      <c r="FY473" s="93"/>
      <c r="FZ473" s="29"/>
      <c r="GA473" s="1504">
        <v>48853</v>
      </c>
      <c r="GB473" s="19"/>
      <c r="GC473" s="93"/>
      <c r="GD473" s="93"/>
      <c r="GE473" s="93"/>
      <c r="GF473" s="93"/>
      <c r="GG473" s="93"/>
      <c r="GH473" s="93"/>
      <c r="GI473" s="93"/>
      <c r="GJ473" s="93"/>
      <c r="GK473" s="93"/>
      <c r="GL473" s="93"/>
      <c r="GM473" s="93"/>
      <c r="GN473" s="20"/>
      <c r="GO473" s="29"/>
      <c r="GP473" s="1504">
        <v>48853</v>
      </c>
      <c r="GQ473" s="19"/>
      <c r="GR473" s="93"/>
      <c r="GS473" s="93"/>
      <c r="GT473" s="93"/>
      <c r="GU473" s="93"/>
      <c r="GV473" s="20"/>
      <c r="GW473" s="19"/>
      <c r="GX473" s="93"/>
      <c r="GY473" s="93"/>
      <c r="GZ473" s="93"/>
      <c r="HA473" s="93"/>
      <c r="HB473" s="20"/>
      <c r="HC473" s="19"/>
      <c r="HD473" s="93"/>
      <c r="HE473" s="93"/>
      <c r="HF473" s="93"/>
      <c r="HG473" s="93"/>
      <c r="HH473" s="20"/>
      <c r="HI473" s="19"/>
      <c r="HJ473" s="93"/>
      <c r="HK473" s="93"/>
      <c r="HL473" s="93"/>
      <c r="HM473" s="93"/>
      <c r="HN473" s="20"/>
      <c r="HO473" s="219"/>
      <c r="HP473" s="20"/>
      <c r="HQ473" s="25"/>
      <c r="HR473" s="29"/>
      <c r="HS473" s="1504">
        <v>48853</v>
      </c>
      <c r="HT473" s="19"/>
      <c r="HU473" s="93"/>
      <c r="HV473" s="93"/>
      <c r="HW473" s="93"/>
      <c r="HX473" s="93"/>
      <c r="HY473" s="93"/>
      <c r="HZ473" s="93"/>
      <c r="IA473" s="20"/>
      <c r="IB473" s="19"/>
      <c r="IC473" s="93"/>
      <c r="ID473" s="93"/>
      <c r="IE473" s="93"/>
      <c r="IF473" s="93"/>
      <c r="IG473" s="20"/>
      <c r="IH473" s="19"/>
      <c r="II473" s="93"/>
      <c r="IJ473" s="93"/>
      <c r="IK473" s="93"/>
      <c r="IL473" s="93"/>
      <c r="IM473" s="93"/>
      <c r="IN473" s="93"/>
      <c r="IO473" s="20"/>
      <c r="IP473" s="29"/>
      <c r="IQ473" s="19"/>
      <c r="IR473" s="93"/>
      <c r="IS473" s="93"/>
      <c r="IT473" s="93"/>
      <c r="IU473" s="93"/>
      <c r="IV473" s="20"/>
      <c r="IW473" s="29"/>
      <c r="IX473" s="19"/>
      <c r="IY473" s="93"/>
      <c r="IZ473" s="93"/>
      <c r="JA473" s="93"/>
      <c r="JB473" s="93"/>
      <c r="JC473" s="93"/>
      <c r="JD473" s="93"/>
      <c r="JE473" s="20"/>
      <c r="JF473" s="29"/>
      <c r="JG473" s="19"/>
      <c r="JH473" s="93"/>
      <c r="JI473" s="93"/>
      <c r="JJ473" s="93"/>
      <c r="JK473" s="93"/>
      <c r="JL473" s="93"/>
      <c r="JM473" s="93"/>
      <c r="JN473" s="20"/>
      <c r="JO473" s="29"/>
      <c r="JP473" s="19"/>
      <c r="JQ473" s="93"/>
      <c r="JR473" s="93"/>
      <c r="JS473" s="93"/>
      <c r="JT473" s="93"/>
      <c r="JU473" s="20"/>
      <c r="JV473" s="29"/>
      <c r="JW473" s="1504">
        <v>48853</v>
      </c>
      <c r="JX473" s="19"/>
      <c r="JY473" s="93"/>
      <c r="JZ473" s="93"/>
      <c r="KA473" s="93"/>
      <c r="KB473" s="93"/>
      <c r="KC473" s="93"/>
      <c r="KD473" s="20"/>
      <c r="KE473" s="29"/>
      <c r="KF473" s="19"/>
      <c r="KG473" s="93"/>
      <c r="KH473" s="93"/>
      <c r="KI473" s="93"/>
      <c r="KJ473" s="93"/>
      <c r="KK473" s="20"/>
      <c r="KL473" s="29"/>
      <c r="KM473" s="19"/>
      <c r="KN473" s="93"/>
      <c r="KO473" s="93"/>
      <c r="KP473" s="93"/>
      <c r="KQ473" s="93"/>
      <c r="KR473" s="20"/>
      <c r="KS473" s="29"/>
      <c r="KT473" s="19"/>
      <c r="KU473" s="93"/>
      <c r="KV473" s="93"/>
      <c r="KW473" s="93"/>
      <c r="KX473" s="93"/>
      <c r="KY473" s="20"/>
      <c r="KZ473" s="29"/>
      <c r="LA473" s="1504">
        <v>48853</v>
      </c>
      <c r="LB473" s="19"/>
      <c r="LC473" s="93"/>
      <c r="LD473" s="93"/>
      <c r="LE473" s="93"/>
      <c r="LF473" s="93"/>
      <c r="LG473" s="93"/>
      <c r="LH473" s="20"/>
      <c r="LI473" s="29"/>
      <c r="LJ473" s="19"/>
      <c r="LK473" s="93"/>
      <c r="LL473" s="93"/>
      <c r="LM473" s="93"/>
      <c r="LN473" s="93"/>
      <c r="LO473" s="20"/>
      <c r="LP473" s="29"/>
      <c r="LQ473" s="19"/>
      <c r="LR473" s="93"/>
      <c r="LS473" s="93"/>
      <c r="LT473" s="93"/>
      <c r="LU473" s="93"/>
      <c r="LV473" s="93"/>
      <c r="LW473" s="93"/>
      <c r="LX473" s="93"/>
      <c r="LY473" s="93"/>
      <c r="LZ473" s="93"/>
      <c r="MA473" s="20"/>
      <c r="MB473" s="29"/>
      <c r="MC473" s="1504">
        <v>48853</v>
      </c>
      <c r="MD473" s="19"/>
      <c r="ME473" s="93"/>
      <c r="MF473" s="93"/>
      <c r="MG473" s="93"/>
      <c r="MH473" s="93"/>
      <c r="MI473" s="93"/>
      <c r="MJ473" s="93"/>
      <c r="MK473" s="93"/>
      <c r="ML473" s="93"/>
      <c r="MM473" s="93"/>
      <c r="MN473" s="93"/>
      <c r="MO473" s="93"/>
      <c r="MP473" s="93"/>
      <c r="MQ473" s="93"/>
      <c r="MR473" s="93"/>
      <c r="MS473" s="93"/>
      <c r="MT473" s="93"/>
      <c r="MU473" s="93"/>
      <c r="MV473" s="93"/>
      <c r="MW473" s="93"/>
      <c r="MX473" s="93"/>
      <c r="MY473" s="93"/>
      <c r="MZ473" s="93"/>
      <c r="NA473" s="93"/>
      <c r="NB473" s="93"/>
      <c r="NC473" s="93"/>
      <c r="ND473" s="93"/>
      <c r="NE473" s="93"/>
      <c r="NF473" s="93"/>
      <c r="NG473" s="93"/>
      <c r="NH473" s="93"/>
      <c r="NI473" s="93"/>
      <c r="NJ473" s="93"/>
      <c r="NK473" s="93"/>
      <c r="NL473" s="93"/>
      <c r="NM473" s="93"/>
      <c r="NN473" s="93"/>
      <c r="NO473" s="93"/>
      <c r="NP473" s="93"/>
      <c r="NQ473" s="93"/>
      <c r="NR473" s="93"/>
      <c r="NS473" s="93"/>
      <c r="NT473" s="93"/>
      <c r="NU473" s="93"/>
      <c r="NV473" s="93"/>
      <c r="NW473" s="93"/>
      <c r="NX473" s="93"/>
      <c r="NY473" s="93"/>
      <c r="NZ473" s="93"/>
      <c r="OA473" s="93"/>
      <c r="OB473" s="93"/>
      <c r="OC473" s="93"/>
      <c r="OD473" s="20"/>
      <c r="OE473" s="29"/>
      <c r="OF473" s="1504">
        <v>48853</v>
      </c>
      <c r="OG473" s="19"/>
      <c r="OH473" s="93"/>
      <c r="OI473" s="93"/>
      <c r="OJ473" s="93"/>
      <c r="OK473" s="93"/>
      <c r="OL473" s="93"/>
      <c r="OM473" s="93"/>
      <c r="ON473" s="93"/>
      <c r="OO473" s="93"/>
      <c r="OP473" s="93"/>
      <c r="OQ473" s="93"/>
      <c r="OR473" s="93"/>
      <c r="OS473" s="93"/>
      <c r="OT473" s="93"/>
      <c r="OU473" s="93"/>
      <c r="OV473" s="93"/>
      <c r="OW473" s="93"/>
      <c r="OX473" s="93"/>
      <c r="OY473" s="93"/>
      <c r="OZ473" s="93"/>
      <c r="PA473" s="93"/>
      <c r="PB473" s="93"/>
      <c r="PC473" s="20"/>
      <c r="PD473" s="29"/>
      <c r="PE473" s="19"/>
      <c r="PF473" s="93"/>
      <c r="PG473" s="93"/>
      <c r="PH473" s="93"/>
      <c r="PI473" s="93"/>
      <c r="PJ473" s="93"/>
      <c r="PK473" s="93"/>
      <c r="PL473" s="93"/>
      <c r="PM473" s="93"/>
      <c r="PN473" s="93"/>
      <c r="PO473" s="93"/>
      <c r="PP473" s="93"/>
      <c r="PQ473" s="93"/>
      <c r="PR473" s="93"/>
      <c r="PS473" s="93"/>
      <c r="PT473" s="93"/>
      <c r="PU473" s="93"/>
      <c r="PV473" s="93"/>
      <c r="PW473" s="93"/>
      <c r="PX473" s="93"/>
      <c r="PY473" s="93"/>
      <c r="PZ473" s="93"/>
      <c r="QA473" s="93"/>
      <c r="QB473" s="93"/>
      <c r="QC473" s="93"/>
      <c r="QD473" s="93"/>
      <c r="QE473" s="20"/>
      <c r="QF473" s="1739"/>
      <c r="QG473" s="19"/>
      <c r="QH473" s="93"/>
      <c r="QI473" s="93"/>
      <c r="QJ473" s="93"/>
      <c r="QK473" s="93"/>
      <c r="QL473" s="93"/>
      <c r="QM473" s="93"/>
      <c r="QN473" s="93"/>
      <c r="QO473" s="93"/>
      <c r="QP473" s="93"/>
      <c r="QQ473" s="93"/>
      <c r="QR473" s="93"/>
      <c r="QS473" s="93"/>
      <c r="QT473" s="93"/>
      <c r="QU473" s="93"/>
      <c r="QV473" s="93"/>
      <c r="QW473" s="93"/>
      <c r="QX473" s="93"/>
      <c r="QY473" s="93"/>
      <c r="QZ473" s="93"/>
      <c r="RA473" s="93"/>
      <c r="RB473" s="93"/>
      <c r="RC473" s="93"/>
      <c r="RD473" s="93"/>
      <c r="RE473" s="93"/>
      <c r="RF473" s="93"/>
      <c r="RG473" s="93"/>
      <c r="RH473" s="93"/>
      <c r="RI473" s="93"/>
      <c r="RJ473" s="93"/>
      <c r="RK473" s="93"/>
      <c r="RL473" s="93"/>
      <c r="RM473" s="20"/>
      <c r="RN473" s="29"/>
      <c r="RO473" s="19"/>
      <c r="RP473" s="20"/>
      <c r="RQ473" s="29"/>
      <c r="RR473" s="20"/>
      <c r="RS473" s="29"/>
      <c r="RT473" s="1504">
        <v>48853</v>
      </c>
      <c r="RU473" s="19"/>
      <c r="RV473" s="20"/>
      <c r="RW473" s="29"/>
      <c r="RX473" s="1504">
        <v>48853</v>
      </c>
      <c r="RY473" s="29"/>
      <c r="RZ473" s="20"/>
      <c r="SA473" s="29"/>
      <c r="SB473" s="29"/>
    </row>
    <row r="474" spans="1:496">
      <c r="A474" s="41">
        <f t="shared" si="358"/>
        <v>2033</v>
      </c>
      <c r="B474" s="1504">
        <v>48884</v>
      </c>
      <c r="C474" s="1813"/>
      <c r="D474" s="1814"/>
      <c r="E474" s="1814"/>
      <c r="F474" s="1815"/>
      <c r="G474" s="1814"/>
      <c r="H474" s="1814"/>
      <c r="I474" s="1814"/>
      <c r="J474" s="1816"/>
      <c r="K474" s="1807"/>
      <c r="L474" s="25"/>
      <c r="M474" s="97"/>
      <c r="N474" s="1504">
        <v>48884</v>
      </c>
      <c r="O474" s="19"/>
      <c r="P474" s="93"/>
      <c r="Q474" s="93"/>
      <c r="R474" s="93"/>
      <c r="S474" s="93"/>
      <c r="T474" s="93"/>
      <c r="U474" s="93"/>
      <c r="V474" s="93"/>
      <c r="W474" s="93"/>
      <c r="X474" s="93"/>
      <c r="Y474" s="93"/>
      <c r="Z474" s="93"/>
      <c r="AA474" s="93"/>
      <c r="AB474" s="20"/>
      <c r="AC474" s="25"/>
      <c r="AD474" s="97"/>
      <c r="AE474" s="1504">
        <v>48884</v>
      </c>
      <c r="AF474" s="19"/>
      <c r="AG474" s="93"/>
      <c r="AH474" s="93"/>
      <c r="AI474" s="93"/>
      <c r="AJ474" s="93"/>
      <c r="AK474" s="93"/>
      <c r="AL474" s="93"/>
      <c r="AM474" s="93"/>
      <c r="AN474" s="93"/>
      <c r="AO474" s="93"/>
      <c r="AP474" s="93"/>
      <c r="AQ474" s="93"/>
      <c r="AR474" s="93"/>
      <c r="AS474" s="20"/>
      <c r="AT474" s="25"/>
      <c r="AU474" s="97"/>
      <c r="AV474" s="1504">
        <v>48884</v>
      </c>
      <c r="AW474" s="19"/>
      <c r="AX474" s="93"/>
      <c r="AY474" s="93"/>
      <c r="AZ474" s="93"/>
      <c r="BA474" s="93"/>
      <c r="BB474" s="93"/>
      <c r="BC474" s="93"/>
      <c r="BD474" s="93"/>
      <c r="BE474" s="93"/>
      <c r="BF474" s="93"/>
      <c r="BG474" s="93"/>
      <c r="BH474" s="93"/>
      <c r="BI474" s="93"/>
      <c r="BJ474" s="20"/>
      <c r="BK474" s="25"/>
      <c r="BL474" s="97"/>
      <c r="BM474" s="1504">
        <v>48884</v>
      </c>
      <c r="BN474" s="19"/>
      <c r="BO474" s="93"/>
      <c r="BP474" s="93"/>
      <c r="BQ474" s="93"/>
      <c r="BR474" s="93"/>
      <c r="BS474" s="93"/>
      <c r="BT474" s="93"/>
      <c r="BU474" s="20"/>
      <c r="BV474" s="25"/>
      <c r="BW474" s="97"/>
      <c r="BX474" s="1504">
        <v>48884</v>
      </c>
      <c r="BY474" s="19"/>
      <c r="BZ474" s="93"/>
      <c r="CA474" s="93"/>
      <c r="CB474" s="93"/>
      <c r="CC474" s="93"/>
      <c r="CD474" s="25"/>
      <c r="CE474" s="97"/>
      <c r="CF474" s="1504">
        <v>48884</v>
      </c>
      <c r="CG474" s="19"/>
      <c r="CH474" s="93"/>
      <c r="CI474" s="219"/>
      <c r="CJ474" s="20"/>
      <c r="CK474" s="19"/>
      <c r="CL474" s="93"/>
      <c r="CM474" s="93"/>
      <c r="CN474" s="93"/>
      <c r="CO474" s="93"/>
      <c r="CP474" s="20"/>
      <c r="CQ474" s="219"/>
      <c r="CR474" s="93"/>
      <c r="CS474" s="93"/>
      <c r="CT474" s="93"/>
      <c r="CU474" s="93"/>
      <c r="CV474" s="214"/>
      <c r="CW474" s="29"/>
      <c r="CX474" s="41">
        <f t="shared" si="359"/>
        <v>2033</v>
      </c>
      <c r="CY474" s="1504">
        <v>48884</v>
      </c>
      <c r="CZ474" s="19"/>
      <c r="DA474" s="93"/>
      <c r="DB474" s="93"/>
      <c r="DC474" s="93"/>
      <c r="DD474" s="93"/>
      <c r="DE474" s="20"/>
      <c r="DF474" s="29"/>
      <c r="DG474" s="1504">
        <v>48884</v>
      </c>
      <c r="DH474" s="19"/>
      <c r="DI474" s="93"/>
      <c r="DJ474" s="93"/>
      <c r="DK474" s="93"/>
      <c r="DL474" s="93"/>
      <c r="DM474" s="93"/>
      <c r="DN474" s="20"/>
      <c r="DO474" s="295"/>
      <c r="DP474" s="29"/>
      <c r="DQ474" s="1504">
        <v>48884</v>
      </c>
      <c r="DR474" s="19"/>
      <c r="DS474" s="93"/>
      <c r="DT474" s="93"/>
      <c r="DU474" s="93"/>
      <c r="DV474" s="93"/>
      <c r="DW474" s="93"/>
      <c r="DX474" s="20"/>
      <c r="DY474" s="29"/>
      <c r="DZ474" s="1504">
        <v>48884</v>
      </c>
      <c r="EA474" s="19"/>
      <c r="EB474" s="93"/>
      <c r="EC474" s="20"/>
      <c r="ED474" s="29"/>
      <c r="EE474" s="1504">
        <v>48884</v>
      </c>
      <c r="EF474" s="19"/>
      <c r="EG474" s="93"/>
      <c r="EH474" s="93"/>
      <c r="EI474" s="214"/>
      <c r="EJ474" s="93"/>
      <c r="EK474" s="93"/>
      <c r="EL474" s="93"/>
      <c r="EM474" s="93"/>
      <c r="EN474" s="20"/>
      <c r="EO474" s="29"/>
      <c r="EP474" s="1504">
        <v>48884</v>
      </c>
      <c r="EQ474" s="19"/>
      <c r="ER474" s="93"/>
      <c r="ES474" s="93"/>
      <c r="ET474" s="214"/>
      <c r="EU474" s="93"/>
      <c r="EV474" s="93"/>
      <c r="EW474" s="93"/>
      <c r="EX474" s="93"/>
      <c r="EY474" s="20"/>
      <c r="EZ474" s="29"/>
      <c r="FA474" s="1504">
        <v>48884</v>
      </c>
      <c r="FB474" s="29"/>
      <c r="FC474" s="29"/>
      <c r="FD474" s="29"/>
      <c r="FE474" s="29"/>
      <c r="FF474" s="29"/>
      <c r="FG474" s="29"/>
      <c r="FH474" s="29"/>
      <c r="FI474" s="29"/>
      <c r="FJ474" s="29"/>
      <c r="FK474" s="29"/>
      <c r="FL474" s="1504">
        <v>48884</v>
      </c>
      <c r="FM474" s="19"/>
      <c r="FN474" s="93"/>
      <c r="FO474" s="93"/>
      <c r="FP474" s="93"/>
      <c r="FQ474" s="93"/>
      <c r="FR474" s="93"/>
      <c r="FS474" s="93"/>
      <c r="FT474" s="93"/>
      <c r="FU474" s="93"/>
      <c r="FV474" s="93"/>
      <c r="FW474" s="93"/>
      <c r="FX474" s="93"/>
      <c r="FY474" s="93"/>
      <c r="FZ474" s="29"/>
      <c r="GA474" s="1504">
        <v>48884</v>
      </c>
      <c r="GB474" s="19"/>
      <c r="GC474" s="93"/>
      <c r="GD474" s="93"/>
      <c r="GE474" s="93"/>
      <c r="GF474" s="93"/>
      <c r="GG474" s="93"/>
      <c r="GH474" s="93"/>
      <c r="GI474" s="93"/>
      <c r="GJ474" s="93"/>
      <c r="GK474" s="93"/>
      <c r="GL474" s="93"/>
      <c r="GM474" s="93"/>
      <c r="GN474" s="20"/>
      <c r="GO474" s="29"/>
      <c r="GP474" s="1504">
        <v>48884</v>
      </c>
      <c r="GQ474" s="19"/>
      <c r="GR474" s="93"/>
      <c r="GS474" s="93"/>
      <c r="GT474" s="93"/>
      <c r="GU474" s="93"/>
      <c r="GV474" s="20"/>
      <c r="GW474" s="19"/>
      <c r="GX474" s="93"/>
      <c r="GY474" s="93"/>
      <c r="GZ474" s="93"/>
      <c r="HA474" s="93"/>
      <c r="HB474" s="20"/>
      <c r="HC474" s="19"/>
      <c r="HD474" s="93"/>
      <c r="HE474" s="93"/>
      <c r="HF474" s="93"/>
      <c r="HG474" s="93"/>
      <c r="HH474" s="20"/>
      <c r="HI474" s="19"/>
      <c r="HJ474" s="93"/>
      <c r="HK474" s="93"/>
      <c r="HL474" s="93"/>
      <c r="HM474" s="93"/>
      <c r="HN474" s="20"/>
      <c r="HO474" s="219"/>
      <c r="HP474" s="20"/>
      <c r="HQ474" s="25"/>
      <c r="HR474" s="29"/>
      <c r="HS474" s="1504">
        <v>48884</v>
      </c>
      <c r="HT474" s="19"/>
      <c r="HU474" s="93"/>
      <c r="HV474" s="93"/>
      <c r="HW474" s="93"/>
      <c r="HX474" s="93"/>
      <c r="HY474" s="93"/>
      <c r="HZ474" s="93"/>
      <c r="IA474" s="20"/>
      <c r="IB474" s="19"/>
      <c r="IC474" s="93"/>
      <c r="ID474" s="93"/>
      <c r="IE474" s="93"/>
      <c r="IF474" s="93"/>
      <c r="IG474" s="20"/>
      <c r="IH474" s="19"/>
      <c r="II474" s="93"/>
      <c r="IJ474" s="93"/>
      <c r="IK474" s="93"/>
      <c r="IL474" s="93"/>
      <c r="IM474" s="93"/>
      <c r="IN474" s="93"/>
      <c r="IO474" s="20"/>
      <c r="IP474" s="29"/>
      <c r="IQ474" s="19"/>
      <c r="IR474" s="93"/>
      <c r="IS474" s="93"/>
      <c r="IT474" s="93"/>
      <c r="IU474" s="93"/>
      <c r="IV474" s="20"/>
      <c r="IW474" s="29"/>
      <c r="IX474" s="19"/>
      <c r="IY474" s="93"/>
      <c r="IZ474" s="93"/>
      <c r="JA474" s="93"/>
      <c r="JB474" s="93"/>
      <c r="JC474" s="93"/>
      <c r="JD474" s="93"/>
      <c r="JE474" s="20"/>
      <c r="JF474" s="29"/>
      <c r="JG474" s="19"/>
      <c r="JH474" s="93"/>
      <c r="JI474" s="93"/>
      <c r="JJ474" s="93"/>
      <c r="JK474" s="93"/>
      <c r="JL474" s="93"/>
      <c r="JM474" s="93"/>
      <c r="JN474" s="20"/>
      <c r="JO474" s="29"/>
      <c r="JP474" s="19"/>
      <c r="JQ474" s="93"/>
      <c r="JR474" s="93"/>
      <c r="JS474" s="93"/>
      <c r="JT474" s="93"/>
      <c r="JU474" s="20"/>
      <c r="JV474" s="29"/>
      <c r="JW474" s="1504">
        <v>48884</v>
      </c>
      <c r="JX474" s="19"/>
      <c r="JY474" s="93"/>
      <c r="JZ474" s="93"/>
      <c r="KA474" s="93"/>
      <c r="KB474" s="93"/>
      <c r="KC474" s="93"/>
      <c r="KD474" s="20"/>
      <c r="KE474" s="29"/>
      <c r="KF474" s="19"/>
      <c r="KG474" s="93"/>
      <c r="KH474" s="93"/>
      <c r="KI474" s="93"/>
      <c r="KJ474" s="93"/>
      <c r="KK474" s="20"/>
      <c r="KL474" s="29"/>
      <c r="KM474" s="19"/>
      <c r="KN474" s="93"/>
      <c r="KO474" s="93"/>
      <c r="KP474" s="93"/>
      <c r="KQ474" s="93"/>
      <c r="KR474" s="20"/>
      <c r="KS474" s="29"/>
      <c r="KT474" s="19"/>
      <c r="KU474" s="93"/>
      <c r="KV474" s="93"/>
      <c r="KW474" s="93"/>
      <c r="KX474" s="93"/>
      <c r="KY474" s="20"/>
      <c r="KZ474" s="29"/>
      <c r="LA474" s="1504">
        <v>48884</v>
      </c>
      <c r="LB474" s="19"/>
      <c r="LC474" s="93"/>
      <c r="LD474" s="93"/>
      <c r="LE474" s="93"/>
      <c r="LF474" s="93"/>
      <c r="LG474" s="93"/>
      <c r="LH474" s="20"/>
      <c r="LI474" s="29"/>
      <c r="LJ474" s="19"/>
      <c r="LK474" s="93"/>
      <c r="LL474" s="93"/>
      <c r="LM474" s="93"/>
      <c r="LN474" s="93"/>
      <c r="LO474" s="20"/>
      <c r="LP474" s="29"/>
      <c r="LQ474" s="19"/>
      <c r="LR474" s="93"/>
      <c r="LS474" s="93"/>
      <c r="LT474" s="93"/>
      <c r="LU474" s="93"/>
      <c r="LV474" s="93"/>
      <c r="LW474" s="93"/>
      <c r="LX474" s="93"/>
      <c r="LY474" s="93"/>
      <c r="LZ474" s="93"/>
      <c r="MA474" s="20"/>
      <c r="MB474" s="29"/>
      <c r="MC474" s="1504">
        <v>48884</v>
      </c>
      <c r="MD474" s="19"/>
      <c r="ME474" s="93"/>
      <c r="MF474" s="93"/>
      <c r="MG474" s="93"/>
      <c r="MH474" s="93"/>
      <c r="MI474" s="93"/>
      <c r="MJ474" s="93"/>
      <c r="MK474" s="93"/>
      <c r="ML474" s="93"/>
      <c r="MM474" s="93"/>
      <c r="MN474" s="93"/>
      <c r="MO474" s="93"/>
      <c r="MP474" s="93"/>
      <c r="MQ474" s="93"/>
      <c r="MR474" s="93"/>
      <c r="MS474" s="93"/>
      <c r="MT474" s="93"/>
      <c r="MU474" s="93"/>
      <c r="MV474" s="93"/>
      <c r="MW474" s="93"/>
      <c r="MX474" s="93"/>
      <c r="MY474" s="93"/>
      <c r="MZ474" s="93"/>
      <c r="NA474" s="93"/>
      <c r="NB474" s="93"/>
      <c r="NC474" s="93"/>
      <c r="ND474" s="93"/>
      <c r="NE474" s="93"/>
      <c r="NF474" s="93"/>
      <c r="NG474" s="93"/>
      <c r="NH474" s="93"/>
      <c r="NI474" s="93"/>
      <c r="NJ474" s="93"/>
      <c r="NK474" s="93"/>
      <c r="NL474" s="93"/>
      <c r="NM474" s="93"/>
      <c r="NN474" s="93"/>
      <c r="NO474" s="93"/>
      <c r="NP474" s="93"/>
      <c r="NQ474" s="93"/>
      <c r="NR474" s="93"/>
      <c r="NS474" s="93"/>
      <c r="NT474" s="93"/>
      <c r="NU474" s="93"/>
      <c r="NV474" s="93"/>
      <c r="NW474" s="93"/>
      <c r="NX474" s="93"/>
      <c r="NY474" s="93"/>
      <c r="NZ474" s="93"/>
      <c r="OA474" s="93"/>
      <c r="OB474" s="93"/>
      <c r="OC474" s="93"/>
      <c r="OD474" s="20"/>
      <c r="OE474" s="29"/>
      <c r="OF474" s="1504">
        <v>48884</v>
      </c>
      <c r="OG474" s="19"/>
      <c r="OH474" s="93"/>
      <c r="OI474" s="93"/>
      <c r="OJ474" s="93"/>
      <c r="OK474" s="93"/>
      <c r="OL474" s="93"/>
      <c r="OM474" s="93"/>
      <c r="ON474" s="93"/>
      <c r="OO474" s="93"/>
      <c r="OP474" s="93"/>
      <c r="OQ474" s="93"/>
      <c r="OR474" s="93"/>
      <c r="OS474" s="93"/>
      <c r="OT474" s="93"/>
      <c r="OU474" s="93"/>
      <c r="OV474" s="93"/>
      <c r="OW474" s="93"/>
      <c r="OX474" s="93"/>
      <c r="OY474" s="93"/>
      <c r="OZ474" s="93"/>
      <c r="PA474" s="93"/>
      <c r="PB474" s="93"/>
      <c r="PC474" s="20"/>
      <c r="PD474" s="29"/>
      <c r="PE474" s="19"/>
      <c r="PF474" s="93"/>
      <c r="PG474" s="93"/>
      <c r="PH474" s="93"/>
      <c r="PI474" s="93"/>
      <c r="PJ474" s="93"/>
      <c r="PK474" s="93"/>
      <c r="PL474" s="93"/>
      <c r="PM474" s="93"/>
      <c r="PN474" s="93"/>
      <c r="PO474" s="93"/>
      <c r="PP474" s="93"/>
      <c r="PQ474" s="93"/>
      <c r="PR474" s="93"/>
      <c r="PS474" s="93"/>
      <c r="PT474" s="93"/>
      <c r="PU474" s="93"/>
      <c r="PV474" s="93"/>
      <c r="PW474" s="93"/>
      <c r="PX474" s="93"/>
      <c r="PY474" s="93"/>
      <c r="PZ474" s="93"/>
      <c r="QA474" s="93"/>
      <c r="QB474" s="93"/>
      <c r="QC474" s="93"/>
      <c r="QD474" s="93"/>
      <c r="QE474" s="20"/>
      <c r="QF474" s="1739"/>
      <c r="QG474" s="19"/>
      <c r="QH474" s="93"/>
      <c r="QI474" s="93"/>
      <c r="QJ474" s="93"/>
      <c r="QK474" s="93"/>
      <c r="QL474" s="93"/>
      <c r="QM474" s="93"/>
      <c r="QN474" s="93"/>
      <c r="QO474" s="93"/>
      <c r="QP474" s="93"/>
      <c r="QQ474" s="93"/>
      <c r="QR474" s="93"/>
      <c r="QS474" s="93"/>
      <c r="QT474" s="93"/>
      <c r="QU474" s="93"/>
      <c r="QV474" s="93"/>
      <c r="QW474" s="93"/>
      <c r="QX474" s="93"/>
      <c r="QY474" s="93"/>
      <c r="QZ474" s="93"/>
      <c r="RA474" s="93"/>
      <c r="RB474" s="93"/>
      <c r="RC474" s="93"/>
      <c r="RD474" s="93"/>
      <c r="RE474" s="93"/>
      <c r="RF474" s="93"/>
      <c r="RG474" s="93"/>
      <c r="RH474" s="93"/>
      <c r="RI474" s="93"/>
      <c r="RJ474" s="93"/>
      <c r="RK474" s="93"/>
      <c r="RL474" s="93"/>
      <c r="RM474" s="20"/>
      <c r="RN474" s="29"/>
      <c r="RO474" s="19"/>
      <c r="RP474" s="20"/>
      <c r="RQ474" s="29"/>
      <c r="RR474" s="20"/>
      <c r="RS474" s="29"/>
      <c r="RT474" s="1504">
        <v>48884</v>
      </c>
      <c r="RU474" s="19"/>
      <c r="RV474" s="20"/>
      <c r="RW474" s="29"/>
      <c r="RX474" s="1504">
        <v>48884</v>
      </c>
      <c r="RY474" s="29"/>
      <c r="RZ474" s="20"/>
      <c r="SA474" s="29"/>
      <c r="SB474" s="29"/>
    </row>
    <row r="475" spans="1:496">
      <c r="A475" s="41">
        <f t="shared" si="358"/>
        <v>2033</v>
      </c>
      <c r="B475" s="1504">
        <v>48914</v>
      </c>
      <c r="C475" s="1813"/>
      <c r="D475" s="1814"/>
      <c r="E475" s="1814"/>
      <c r="F475" s="1815"/>
      <c r="G475" s="1814"/>
      <c r="H475" s="1814"/>
      <c r="I475" s="1814"/>
      <c r="J475" s="1816"/>
      <c r="K475" s="1807"/>
      <c r="L475" s="25"/>
      <c r="M475" s="97"/>
      <c r="N475" s="1504">
        <v>48914</v>
      </c>
      <c r="O475" s="19"/>
      <c r="P475" s="93"/>
      <c r="Q475" s="93"/>
      <c r="R475" s="93"/>
      <c r="S475" s="93"/>
      <c r="T475" s="93"/>
      <c r="U475" s="93"/>
      <c r="V475" s="93"/>
      <c r="W475" s="93"/>
      <c r="X475" s="93"/>
      <c r="Y475" s="93"/>
      <c r="Z475" s="93"/>
      <c r="AA475" s="93"/>
      <c r="AB475" s="20"/>
      <c r="AC475" s="25"/>
      <c r="AD475" s="97"/>
      <c r="AE475" s="1504">
        <v>48914</v>
      </c>
      <c r="AF475" s="19"/>
      <c r="AG475" s="93"/>
      <c r="AH475" s="93"/>
      <c r="AI475" s="93"/>
      <c r="AJ475" s="93"/>
      <c r="AK475" s="93"/>
      <c r="AL475" s="93"/>
      <c r="AM475" s="93"/>
      <c r="AN475" s="93"/>
      <c r="AO475" s="93"/>
      <c r="AP475" s="93"/>
      <c r="AQ475" s="93"/>
      <c r="AR475" s="93"/>
      <c r="AS475" s="20"/>
      <c r="AT475" s="25"/>
      <c r="AU475" s="97"/>
      <c r="AV475" s="1504">
        <v>48914</v>
      </c>
      <c r="AW475" s="19"/>
      <c r="AX475" s="93"/>
      <c r="AY475" s="93"/>
      <c r="AZ475" s="93"/>
      <c r="BA475" s="93"/>
      <c r="BB475" s="93"/>
      <c r="BC475" s="93"/>
      <c r="BD475" s="93"/>
      <c r="BE475" s="93"/>
      <c r="BF475" s="93"/>
      <c r="BG475" s="93"/>
      <c r="BH475" s="93"/>
      <c r="BI475" s="93"/>
      <c r="BJ475" s="20"/>
      <c r="BK475" s="25"/>
      <c r="BL475" s="97"/>
      <c r="BM475" s="1504">
        <v>48914</v>
      </c>
      <c r="BN475" s="19"/>
      <c r="BO475" s="93"/>
      <c r="BP475" s="93"/>
      <c r="BQ475" s="93"/>
      <c r="BR475" s="93"/>
      <c r="BS475" s="93"/>
      <c r="BT475" s="93"/>
      <c r="BU475" s="20"/>
      <c r="BV475" s="25"/>
      <c r="BW475" s="97"/>
      <c r="BX475" s="1504">
        <v>48914</v>
      </c>
      <c r="BY475" s="19"/>
      <c r="BZ475" s="93"/>
      <c r="CA475" s="93"/>
      <c r="CB475" s="93"/>
      <c r="CC475" s="93"/>
      <c r="CD475" s="25"/>
      <c r="CE475" s="97"/>
      <c r="CF475" s="1504">
        <v>48914</v>
      </c>
      <c r="CG475" s="19"/>
      <c r="CH475" s="93"/>
      <c r="CI475" s="219"/>
      <c r="CJ475" s="20"/>
      <c r="CK475" s="19"/>
      <c r="CL475" s="93"/>
      <c r="CM475" s="93"/>
      <c r="CN475" s="93"/>
      <c r="CO475" s="93"/>
      <c r="CP475" s="20"/>
      <c r="CQ475" s="219"/>
      <c r="CR475" s="93"/>
      <c r="CS475" s="93"/>
      <c r="CT475" s="93"/>
      <c r="CU475" s="93"/>
      <c r="CV475" s="214"/>
      <c r="CW475" s="29"/>
      <c r="CX475" s="41">
        <f t="shared" si="359"/>
        <v>2033</v>
      </c>
      <c r="CY475" s="1504">
        <v>48914</v>
      </c>
      <c r="CZ475" s="19"/>
      <c r="DA475" s="93"/>
      <c r="DB475" s="93"/>
      <c r="DC475" s="93"/>
      <c r="DD475" s="93"/>
      <c r="DE475" s="20"/>
      <c r="DF475" s="29"/>
      <c r="DG475" s="1504">
        <v>48914</v>
      </c>
      <c r="DH475" s="19"/>
      <c r="DI475" s="93"/>
      <c r="DJ475" s="93"/>
      <c r="DK475" s="93"/>
      <c r="DL475" s="93"/>
      <c r="DM475" s="93"/>
      <c r="DN475" s="20"/>
      <c r="DO475" s="295"/>
      <c r="DP475" s="29"/>
      <c r="DQ475" s="1504">
        <v>48914</v>
      </c>
      <c r="DR475" s="19"/>
      <c r="DS475" s="93"/>
      <c r="DT475" s="93"/>
      <c r="DU475" s="93"/>
      <c r="DV475" s="93"/>
      <c r="DW475" s="93"/>
      <c r="DX475" s="20"/>
      <c r="DY475" s="29"/>
      <c r="DZ475" s="1504">
        <v>48914</v>
      </c>
      <c r="EA475" s="19"/>
      <c r="EB475" s="93"/>
      <c r="EC475" s="20"/>
      <c r="ED475" s="29"/>
      <c r="EE475" s="1504">
        <v>48914</v>
      </c>
      <c r="EF475" s="19"/>
      <c r="EG475" s="93"/>
      <c r="EH475" s="93"/>
      <c r="EI475" s="214"/>
      <c r="EJ475" s="93"/>
      <c r="EK475" s="93"/>
      <c r="EL475" s="93"/>
      <c r="EM475" s="93"/>
      <c r="EN475" s="20"/>
      <c r="EO475" s="29"/>
      <c r="EP475" s="1504">
        <v>48914</v>
      </c>
      <c r="EQ475" s="19"/>
      <c r="ER475" s="93"/>
      <c r="ES475" s="93"/>
      <c r="ET475" s="214"/>
      <c r="EU475" s="93"/>
      <c r="EV475" s="93"/>
      <c r="EW475" s="93"/>
      <c r="EX475" s="93"/>
      <c r="EY475" s="20"/>
      <c r="EZ475" s="29"/>
      <c r="FA475" s="1504">
        <v>48914</v>
      </c>
      <c r="FB475" s="29"/>
      <c r="FC475" s="29"/>
      <c r="FD475" s="29"/>
      <c r="FE475" s="29"/>
      <c r="FF475" s="29"/>
      <c r="FG475" s="29"/>
      <c r="FH475" s="29"/>
      <c r="FI475" s="29"/>
      <c r="FJ475" s="29"/>
      <c r="FK475" s="29"/>
      <c r="FL475" s="1504">
        <v>48914</v>
      </c>
      <c r="FM475" s="19"/>
      <c r="FN475" s="93"/>
      <c r="FO475" s="93"/>
      <c r="FP475" s="93"/>
      <c r="FQ475" s="93"/>
      <c r="FR475" s="93"/>
      <c r="FS475" s="93"/>
      <c r="FT475" s="93"/>
      <c r="FU475" s="93"/>
      <c r="FV475" s="93"/>
      <c r="FW475" s="93"/>
      <c r="FX475" s="93"/>
      <c r="FY475" s="93"/>
      <c r="FZ475" s="29"/>
      <c r="GA475" s="1504">
        <v>48914</v>
      </c>
      <c r="GB475" s="19"/>
      <c r="GC475" s="93"/>
      <c r="GD475" s="93"/>
      <c r="GE475" s="93"/>
      <c r="GF475" s="93"/>
      <c r="GG475" s="93"/>
      <c r="GH475" s="93"/>
      <c r="GI475" s="93"/>
      <c r="GJ475" s="93"/>
      <c r="GK475" s="93"/>
      <c r="GL475" s="93"/>
      <c r="GM475" s="93"/>
      <c r="GN475" s="20"/>
      <c r="GO475" s="29"/>
      <c r="GP475" s="1504">
        <v>48914</v>
      </c>
      <c r="GQ475" s="19"/>
      <c r="GR475" s="93"/>
      <c r="GS475" s="93"/>
      <c r="GT475" s="93"/>
      <c r="GU475" s="93"/>
      <c r="GV475" s="20"/>
      <c r="GW475" s="19"/>
      <c r="GX475" s="93"/>
      <c r="GY475" s="93"/>
      <c r="GZ475" s="93"/>
      <c r="HA475" s="93"/>
      <c r="HB475" s="20"/>
      <c r="HC475" s="19"/>
      <c r="HD475" s="93"/>
      <c r="HE475" s="93"/>
      <c r="HF475" s="93"/>
      <c r="HG475" s="93"/>
      <c r="HH475" s="20"/>
      <c r="HI475" s="19"/>
      <c r="HJ475" s="93"/>
      <c r="HK475" s="93"/>
      <c r="HL475" s="93"/>
      <c r="HM475" s="93"/>
      <c r="HN475" s="20"/>
      <c r="HO475" s="219"/>
      <c r="HP475" s="20"/>
      <c r="HQ475" s="25"/>
      <c r="HR475" s="29"/>
      <c r="HS475" s="1504">
        <v>48914</v>
      </c>
      <c r="HT475" s="19"/>
      <c r="HU475" s="93"/>
      <c r="HV475" s="93"/>
      <c r="HW475" s="93"/>
      <c r="HX475" s="93"/>
      <c r="HY475" s="93"/>
      <c r="HZ475" s="93"/>
      <c r="IA475" s="20"/>
      <c r="IB475" s="19"/>
      <c r="IC475" s="93"/>
      <c r="ID475" s="93"/>
      <c r="IE475" s="93"/>
      <c r="IF475" s="93"/>
      <c r="IG475" s="20"/>
      <c r="IH475" s="19"/>
      <c r="II475" s="93"/>
      <c r="IJ475" s="93"/>
      <c r="IK475" s="93"/>
      <c r="IL475" s="93"/>
      <c r="IM475" s="93"/>
      <c r="IN475" s="93"/>
      <c r="IO475" s="20"/>
      <c r="IP475" s="29"/>
      <c r="IQ475" s="19"/>
      <c r="IR475" s="93"/>
      <c r="IS475" s="93"/>
      <c r="IT475" s="93"/>
      <c r="IU475" s="93"/>
      <c r="IV475" s="20"/>
      <c r="IW475" s="29"/>
      <c r="IX475" s="19"/>
      <c r="IY475" s="93"/>
      <c r="IZ475" s="93"/>
      <c r="JA475" s="93"/>
      <c r="JB475" s="93"/>
      <c r="JC475" s="93"/>
      <c r="JD475" s="93"/>
      <c r="JE475" s="20"/>
      <c r="JF475" s="29"/>
      <c r="JG475" s="19"/>
      <c r="JH475" s="93"/>
      <c r="JI475" s="93"/>
      <c r="JJ475" s="93"/>
      <c r="JK475" s="93"/>
      <c r="JL475" s="93"/>
      <c r="JM475" s="93"/>
      <c r="JN475" s="20"/>
      <c r="JO475" s="29"/>
      <c r="JP475" s="19"/>
      <c r="JQ475" s="93"/>
      <c r="JR475" s="93"/>
      <c r="JS475" s="93"/>
      <c r="JT475" s="93"/>
      <c r="JU475" s="20"/>
      <c r="JV475" s="29"/>
      <c r="JW475" s="1504">
        <v>48914</v>
      </c>
      <c r="JX475" s="19"/>
      <c r="JY475" s="93"/>
      <c r="JZ475" s="93"/>
      <c r="KA475" s="93"/>
      <c r="KB475" s="93"/>
      <c r="KC475" s="93"/>
      <c r="KD475" s="20"/>
      <c r="KE475" s="29"/>
      <c r="KF475" s="19"/>
      <c r="KG475" s="93"/>
      <c r="KH475" s="93"/>
      <c r="KI475" s="93"/>
      <c r="KJ475" s="93"/>
      <c r="KK475" s="20"/>
      <c r="KL475" s="29"/>
      <c r="KM475" s="19"/>
      <c r="KN475" s="93"/>
      <c r="KO475" s="93"/>
      <c r="KP475" s="93"/>
      <c r="KQ475" s="93"/>
      <c r="KR475" s="20"/>
      <c r="KS475" s="29"/>
      <c r="KT475" s="19"/>
      <c r="KU475" s="93"/>
      <c r="KV475" s="93"/>
      <c r="KW475" s="93"/>
      <c r="KX475" s="93"/>
      <c r="KY475" s="20"/>
      <c r="KZ475" s="29"/>
      <c r="LA475" s="1504">
        <v>48914</v>
      </c>
      <c r="LB475" s="19"/>
      <c r="LC475" s="93"/>
      <c r="LD475" s="93"/>
      <c r="LE475" s="93"/>
      <c r="LF475" s="93"/>
      <c r="LG475" s="93"/>
      <c r="LH475" s="20"/>
      <c r="LI475" s="29"/>
      <c r="LJ475" s="19"/>
      <c r="LK475" s="93"/>
      <c r="LL475" s="93"/>
      <c r="LM475" s="93"/>
      <c r="LN475" s="93"/>
      <c r="LO475" s="20"/>
      <c r="LP475" s="29"/>
      <c r="LQ475" s="19"/>
      <c r="LR475" s="93"/>
      <c r="LS475" s="93"/>
      <c r="LT475" s="93"/>
      <c r="LU475" s="93"/>
      <c r="LV475" s="93"/>
      <c r="LW475" s="93"/>
      <c r="LX475" s="93"/>
      <c r="LY475" s="93"/>
      <c r="LZ475" s="93"/>
      <c r="MA475" s="20"/>
      <c r="MB475" s="29"/>
      <c r="MC475" s="1504">
        <v>48914</v>
      </c>
      <c r="MD475" s="19"/>
      <c r="ME475" s="93"/>
      <c r="MF475" s="93"/>
      <c r="MG475" s="93"/>
      <c r="MH475" s="93"/>
      <c r="MI475" s="93"/>
      <c r="MJ475" s="93"/>
      <c r="MK475" s="93"/>
      <c r="ML475" s="93"/>
      <c r="MM475" s="93"/>
      <c r="MN475" s="93"/>
      <c r="MO475" s="93"/>
      <c r="MP475" s="93"/>
      <c r="MQ475" s="93"/>
      <c r="MR475" s="93"/>
      <c r="MS475" s="93"/>
      <c r="MT475" s="93"/>
      <c r="MU475" s="93"/>
      <c r="MV475" s="93"/>
      <c r="MW475" s="93"/>
      <c r="MX475" s="93"/>
      <c r="MY475" s="93"/>
      <c r="MZ475" s="93"/>
      <c r="NA475" s="93"/>
      <c r="NB475" s="93"/>
      <c r="NC475" s="93"/>
      <c r="ND475" s="93"/>
      <c r="NE475" s="93"/>
      <c r="NF475" s="93"/>
      <c r="NG475" s="93"/>
      <c r="NH475" s="93"/>
      <c r="NI475" s="93"/>
      <c r="NJ475" s="93"/>
      <c r="NK475" s="93"/>
      <c r="NL475" s="93"/>
      <c r="NM475" s="93"/>
      <c r="NN475" s="93"/>
      <c r="NO475" s="93"/>
      <c r="NP475" s="93"/>
      <c r="NQ475" s="93"/>
      <c r="NR475" s="93"/>
      <c r="NS475" s="93"/>
      <c r="NT475" s="93"/>
      <c r="NU475" s="93"/>
      <c r="NV475" s="93"/>
      <c r="NW475" s="93"/>
      <c r="NX475" s="93"/>
      <c r="NY475" s="93"/>
      <c r="NZ475" s="93"/>
      <c r="OA475" s="93"/>
      <c r="OB475" s="93"/>
      <c r="OC475" s="93"/>
      <c r="OD475" s="20"/>
      <c r="OE475" s="29"/>
      <c r="OF475" s="1504">
        <v>48914</v>
      </c>
      <c r="OG475" s="19"/>
      <c r="OH475" s="93"/>
      <c r="OI475" s="93"/>
      <c r="OJ475" s="93"/>
      <c r="OK475" s="93"/>
      <c r="OL475" s="93"/>
      <c r="OM475" s="93"/>
      <c r="ON475" s="93"/>
      <c r="OO475" s="93"/>
      <c r="OP475" s="93"/>
      <c r="OQ475" s="93"/>
      <c r="OR475" s="93"/>
      <c r="OS475" s="93"/>
      <c r="OT475" s="93"/>
      <c r="OU475" s="93"/>
      <c r="OV475" s="93"/>
      <c r="OW475" s="93"/>
      <c r="OX475" s="93"/>
      <c r="OY475" s="93"/>
      <c r="OZ475" s="93"/>
      <c r="PA475" s="93"/>
      <c r="PB475" s="93"/>
      <c r="PC475" s="20"/>
      <c r="PD475" s="29"/>
      <c r="PE475" s="19"/>
      <c r="PF475" s="93"/>
      <c r="PG475" s="93"/>
      <c r="PH475" s="93"/>
      <c r="PI475" s="93"/>
      <c r="PJ475" s="93"/>
      <c r="PK475" s="93"/>
      <c r="PL475" s="93"/>
      <c r="PM475" s="93"/>
      <c r="PN475" s="93"/>
      <c r="PO475" s="93"/>
      <c r="PP475" s="93"/>
      <c r="PQ475" s="93"/>
      <c r="PR475" s="93"/>
      <c r="PS475" s="93"/>
      <c r="PT475" s="93"/>
      <c r="PU475" s="93"/>
      <c r="PV475" s="93"/>
      <c r="PW475" s="93"/>
      <c r="PX475" s="93"/>
      <c r="PY475" s="93"/>
      <c r="PZ475" s="93"/>
      <c r="QA475" s="93"/>
      <c r="QB475" s="93"/>
      <c r="QC475" s="93"/>
      <c r="QD475" s="93"/>
      <c r="QE475" s="20"/>
      <c r="QF475" s="1739"/>
      <c r="QG475" s="19"/>
      <c r="QH475" s="93"/>
      <c r="QI475" s="93"/>
      <c r="QJ475" s="93"/>
      <c r="QK475" s="93"/>
      <c r="QL475" s="93"/>
      <c r="QM475" s="93"/>
      <c r="QN475" s="93"/>
      <c r="QO475" s="93"/>
      <c r="QP475" s="93"/>
      <c r="QQ475" s="93"/>
      <c r="QR475" s="93"/>
      <c r="QS475" s="93"/>
      <c r="QT475" s="93"/>
      <c r="QU475" s="93"/>
      <c r="QV475" s="93"/>
      <c r="QW475" s="93"/>
      <c r="QX475" s="93"/>
      <c r="QY475" s="93"/>
      <c r="QZ475" s="93"/>
      <c r="RA475" s="93"/>
      <c r="RB475" s="93"/>
      <c r="RC475" s="93"/>
      <c r="RD475" s="93"/>
      <c r="RE475" s="93"/>
      <c r="RF475" s="93"/>
      <c r="RG475" s="93"/>
      <c r="RH475" s="93"/>
      <c r="RI475" s="93"/>
      <c r="RJ475" s="93"/>
      <c r="RK475" s="93"/>
      <c r="RL475" s="93"/>
      <c r="RM475" s="20"/>
      <c r="RN475" s="29"/>
      <c r="RO475" s="19"/>
      <c r="RP475" s="20"/>
      <c r="RQ475" s="29"/>
      <c r="RR475" s="20"/>
      <c r="RS475" s="29"/>
      <c r="RT475" s="1504">
        <v>48914</v>
      </c>
      <c r="RU475" s="19"/>
      <c r="RV475" s="20"/>
      <c r="RW475" s="29"/>
      <c r="RX475" s="1504">
        <v>48914</v>
      </c>
      <c r="RY475" s="29"/>
      <c r="RZ475" s="20"/>
      <c r="SA475" s="29"/>
      <c r="SB475" s="29"/>
    </row>
    <row r="476" spans="1:496">
      <c r="A476" s="41">
        <f t="shared" si="358"/>
        <v>2034</v>
      </c>
      <c r="B476" s="1504">
        <v>48945</v>
      </c>
      <c r="C476" s="1813"/>
      <c r="D476" s="1814"/>
      <c r="E476" s="1814"/>
      <c r="F476" s="1815"/>
      <c r="G476" s="1814"/>
      <c r="H476" s="1814"/>
      <c r="I476" s="1814"/>
      <c r="J476" s="1816"/>
      <c r="K476" s="1807"/>
      <c r="L476" s="25"/>
      <c r="M476" s="97"/>
      <c r="N476" s="1504">
        <v>48945</v>
      </c>
      <c r="O476" s="19"/>
      <c r="P476" s="93"/>
      <c r="Q476" s="93"/>
      <c r="R476" s="93"/>
      <c r="S476" s="93"/>
      <c r="T476" s="93"/>
      <c r="U476" s="93"/>
      <c r="V476" s="93"/>
      <c r="W476" s="93"/>
      <c r="X476" s="93"/>
      <c r="Y476" s="93"/>
      <c r="Z476" s="93"/>
      <c r="AA476" s="93"/>
      <c r="AB476" s="20"/>
      <c r="AC476" s="25"/>
      <c r="AD476" s="97"/>
      <c r="AE476" s="1504">
        <v>48945</v>
      </c>
      <c r="AF476" s="19"/>
      <c r="AG476" s="93"/>
      <c r="AH476" s="93"/>
      <c r="AI476" s="93"/>
      <c r="AJ476" s="93"/>
      <c r="AK476" s="93"/>
      <c r="AL476" s="93"/>
      <c r="AM476" s="93"/>
      <c r="AN476" s="93"/>
      <c r="AO476" s="93"/>
      <c r="AP476" s="93"/>
      <c r="AQ476" s="93"/>
      <c r="AR476" s="93"/>
      <c r="AS476" s="20"/>
      <c r="AT476" s="25"/>
      <c r="AU476" s="97"/>
      <c r="AV476" s="1504">
        <v>48945</v>
      </c>
      <c r="AW476" s="19"/>
      <c r="AX476" s="93"/>
      <c r="AY476" s="93"/>
      <c r="AZ476" s="93"/>
      <c r="BA476" s="93"/>
      <c r="BB476" s="93"/>
      <c r="BC476" s="93"/>
      <c r="BD476" s="93"/>
      <c r="BE476" s="93"/>
      <c r="BF476" s="93"/>
      <c r="BG476" s="93"/>
      <c r="BH476" s="93"/>
      <c r="BI476" s="93"/>
      <c r="BJ476" s="20"/>
      <c r="BK476" s="25"/>
      <c r="BL476" s="97"/>
      <c r="BM476" s="1504">
        <v>48945</v>
      </c>
      <c r="BN476" s="19"/>
      <c r="BO476" s="93"/>
      <c r="BP476" s="93"/>
      <c r="BQ476" s="93"/>
      <c r="BR476" s="93"/>
      <c r="BS476" s="93"/>
      <c r="BT476" s="93"/>
      <c r="BU476" s="20"/>
      <c r="BV476" s="25"/>
      <c r="BW476" s="97"/>
      <c r="BX476" s="1504">
        <v>48945</v>
      </c>
      <c r="BY476" s="19"/>
      <c r="BZ476" s="93"/>
      <c r="CA476" s="93"/>
      <c r="CB476" s="93"/>
      <c r="CC476" s="93"/>
      <c r="CD476" s="25"/>
      <c r="CE476" s="97"/>
      <c r="CF476" s="1504">
        <v>48945</v>
      </c>
      <c r="CG476" s="19"/>
      <c r="CH476" s="93"/>
      <c r="CI476" s="219"/>
      <c r="CJ476" s="20"/>
      <c r="CK476" s="19"/>
      <c r="CL476" s="93"/>
      <c r="CM476" s="93"/>
      <c r="CN476" s="93"/>
      <c r="CO476" s="93"/>
      <c r="CP476" s="20"/>
      <c r="CQ476" s="219"/>
      <c r="CR476" s="93"/>
      <c r="CS476" s="93"/>
      <c r="CT476" s="93"/>
      <c r="CU476" s="93"/>
      <c r="CV476" s="214"/>
      <c r="CW476" s="29"/>
      <c r="CX476" s="41">
        <f t="shared" si="359"/>
        <v>2034</v>
      </c>
      <c r="CY476" s="1504">
        <v>48945</v>
      </c>
      <c r="CZ476" s="19"/>
      <c r="DA476" s="93"/>
      <c r="DB476" s="93"/>
      <c r="DC476" s="93"/>
      <c r="DD476" s="93"/>
      <c r="DE476" s="20"/>
      <c r="DF476" s="29"/>
      <c r="DG476" s="1504">
        <v>48945</v>
      </c>
      <c r="DH476" s="19"/>
      <c r="DI476" s="93"/>
      <c r="DJ476" s="93"/>
      <c r="DK476" s="93"/>
      <c r="DL476" s="93"/>
      <c r="DM476" s="93"/>
      <c r="DN476" s="20"/>
      <c r="DO476" s="295"/>
      <c r="DP476" s="29"/>
      <c r="DQ476" s="1504">
        <v>48945</v>
      </c>
      <c r="DR476" s="19"/>
      <c r="DS476" s="93"/>
      <c r="DT476" s="93"/>
      <c r="DU476" s="93"/>
      <c r="DV476" s="93"/>
      <c r="DW476" s="93"/>
      <c r="DX476" s="20"/>
      <c r="DY476" s="29"/>
      <c r="DZ476" s="1504">
        <v>48945</v>
      </c>
      <c r="EA476" s="19"/>
      <c r="EB476" s="93"/>
      <c r="EC476" s="20"/>
      <c r="ED476" s="29"/>
      <c r="EE476" s="1504">
        <v>48945</v>
      </c>
      <c r="EF476" s="19"/>
      <c r="EG476" s="93"/>
      <c r="EH476" s="93"/>
      <c r="EI476" s="214"/>
      <c r="EJ476" s="93"/>
      <c r="EK476" s="93"/>
      <c r="EL476" s="93"/>
      <c r="EM476" s="93"/>
      <c r="EN476" s="20"/>
      <c r="EO476" s="29"/>
      <c r="EP476" s="1504">
        <v>48945</v>
      </c>
      <c r="EQ476" s="19"/>
      <c r="ER476" s="93"/>
      <c r="ES476" s="93"/>
      <c r="ET476" s="214"/>
      <c r="EU476" s="93"/>
      <c r="EV476" s="93"/>
      <c r="EW476" s="93"/>
      <c r="EX476" s="93"/>
      <c r="EY476" s="20"/>
      <c r="EZ476" s="29"/>
      <c r="FA476" s="1504">
        <v>48945</v>
      </c>
      <c r="FB476" s="29"/>
      <c r="FC476" s="29"/>
      <c r="FD476" s="29"/>
      <c r="FE476" s="29"/>
      <c r="FF476" s="29"/>
      <c r="FG476" s="29"/>
      <c r="FH476" s="29"/>
      <c r="FI476" s="29"/>
      <c r="FJ476" s="29"/>
      <c r="FK476" s="29"/>
      <c r="FL476" s="1504">
        <v>48945</v>
      </c>
      <c r="FM476" s="19"/>
      <c r="FN476" s="93"/>
      <c r="FO476" s="93"/>
      <c r="FP476" s="93"/>
      <c r="FQ476" s="93"/>
      <c r="FR476" s="93"/>
      <c r="FS476" s="93"/>
      <c r="FT476" s="93"/>
      <c r="FU476" s="93"/>
      <c r="FV476" s="93"/>
      <c r="FW476" s="93"/>
      <c r="FX476" s="93"/>
      <c r="FY476" s="93"/>
      <c r="FZ476" s="29"/>
      <c r="GA476" s="1504">
        <v>48945</v>
      </c>
      <c r="GB476" s="19"/>
      <c r="GC476" s="93"/>
      <c r="GD476" s="93"/>
      <c r="GE476" s="93"/>
      <c r="GF476" s="93"/>
      <c r="GG476" s="93"/>
      <c r="GH476" s="93"/>
      <c r="GI476" s="93"/>
      <c r="GJ476" s="93"/>
      <c r="GK476" s="93"/>
      <c r="GL476" s="93"/>
      <c r="GM476" s="93"/>
      <c r="GN476" s="20"/>
      <c r="GO476" s="29"/>
      <c r="GP476" s="1504">
        <v>48945</v>
      </c>
      <c r="GQ476" s="19"/>
      <c r="GR476" s="93"/>
      <c r="GS476" s="93"/>
      <c r="GT476" s="93"/>
      <c r="GU476" s="93"/>
      <c r="GV476" s="20"/>
      <c r="GW476" s="19"/>
      <c r="GX476" s="93"/>
      <c r="GY476" s="93"/>
      <c r="GZ476" s="93"/>
      <c r="HA476" s="93"/>
      <c r="HB476" s="20"/>
      <c r="HC476" s="19"/>
      <c r="HD476" s="93"/>
      <c r="HE476" s="93"/>
      <c r="HF476" s="93"/>
      <c r="HG476" s="93"/>
      <c r="HH476" s="20"/>
      <c r="HI476" s="19"/>
      <c r="HJ476" s="93"/>
      <c r="HK476" s="93"/>
      <c r="HL476" s="93"/>
      <c r="HM476" s="93"/>
      <c r="HN476" s="20"/>
      <c r="HO476" s="219"/>
      <c r="HP476" s="20"/>
      <c r="HQ476" s="25"/>
      <c r="HR476" s="29"/>
      <c r="HS476" s="1504">
        <v>48945</v>
      </c>
      <c r="HT476" s="19"/>
      <c r="HU476" s="93"/>
      <c r="HV476" s="93"/>
      <c r="HW476" s="93"/>
      <c r="HX476" s="93"/>
      <c r="HY476" s="93"/>
      <c r="HZ476" s="93"/>
      <c r="IA476" s="20"/>
      <c r="IB476" s="19"/>
      <c r="IC476" s="93"/>
      <c r="ID476" s="93"/>
      <c r="IE476" s="93"/>
      <c r="IF476" s="93"/>
      <c r="IG476" s="20"/>
      <c r="IH476" s="19"/>
      <c r="II476" s="93"/>
      <c r="IJ476" s="93"/>
      <c r="IK476" s="93"/>
      <c r="IL476" s="93"/>
      <c r="IM476" s="93"/>
      <c r="IN476" s="93"/>
      <c r="IO476" s="20"/>
      <c r="IP476" s="29"/>
      <c r="IQ476" s="19"/>
      <c r="IR476" s="93"/>
      <c r="IS476" s="93"/>
      <c r="IT476" s="93"/>
      <c r="IU476" s="93"/>
      <c r="IV476" s="20"/>
      <c r="IW476" s="29"/>
      <c r="IX476" s="19"/>
      <c r="IY476" s="93"/>
      <c r="IZ476" s="93"/>
      <c r="JA476" s="93"/>
      <c r="JB476" s="93"/>
      <c r="JC476" s="93"/>
      <c r="JD476" s="93"/>
      <c r="JE476" s="20"/>
      <c r="JF476" s="29"/>
      <c r="JG476" s="19"/>
      <c r="JH476" s="93"/>
      <c r="JI476" s="93"/>
      <c r="JJ476" s="93"/>
      <c r="JK476" s="93"/>
      <c r="JL476" s="93"/>
      <c r="JM476" s="93"/>
      <c r="JN476" s="20"/>
      <c r="JO476" s="29"/>
      <c r="JP476" s="19"/>
      <c r="JQ476" s="93"/>
      <c r="JR476" s="93"/>
      <c r="JS476" s="93"/>
      <c r="JT476" s="93"/>
      <c r="JU476" s="20"/>
      <c r="JV476" s="29"/>
      <c r="JW476" s="1504">
        <v>48945</v>
      </c>
      <c r="JX476" s="19"/>
      <c r="JY476" s="93"/>
      <c r="JZ476" s="93"/>
      <c r="KA476" s="93"/>
      <c r="KB476" s="93"/>
      <c r="KC476" s="93"/>
      <c r="KD476" s="20"/>
      <c r="KE476" s="29"/>
      <c r="KF476" s="19"/>
      <c r="KG476" s="93"/>
      <c r="KH476" s="93"/>
      <c r="KI476" s="93"/>
      <c r="KJ476" s="93"/>
      <c r="KK476" s="20"/>
      <c r="KL476" s="29"/>
      <c r="KM476" s="19"/>
      <c r="KN476" s="93"/>
      <c r="KO476" s="93"/>
      <c r="KP476" s="93"/>
      <c r="KQ476" s="93"/>
      <c r="KR476" s="20"/>
      <c r="KS476" s="29"/>
      <c r="KT476" s="19"/>
      <c r="KU476" s="93"/>
      <c r="KV476" s="93"/>
      <c r="KW476" s="93"/>
      <c r="KX476" s="93"/>
      <c r="KY476" s="20"/>
      <c r="KZ476" s="29"/>
      <c r="LA476" s="1504">
        <v>48945</v>
      </c>
      <c r="LB476" s="19"/>
      <c r="LC476" s="93"/>
      <c r="LD476" s="93"/>
      <c r="LE476" s="93"/>
      <c r="LF476" s="93"/>
      <c r="LG476" s="93"/>
      <c r="LH476" s="20"/>
      <c r="LI476" s="29"/>
      <c r="LJ476" s="19"/>
      <c r="LK476" s="93"/>
      <c r="LL476" s="93"/>
      <c r="LM476" s="93"/>
      <c r="LN476" s="93"/>
      <c r="LO476" s="20"/>
      <c r="LP476" s="29"/>
      <c r="LQ476" s="19"/>
      <c r="LR476" s="93"/>
      <c r="LS476" s="93"/>
      <c r="LT476" s="93"/>
      <c r="LU476" s="93"/>
      <c r="LV476" s="93"/>
      <c r="LW476" s="93"/>
      <c r="LX476" s="93"/>
      <c r="LY476" s="93"/>
      <c r="LZ476" s="93"/>
      <c r="MA476" s="20"/>
      <c r="MB476" s="29"/>
      <c r="MC476" s="1504">
        <v>48945</v>
      </c>
      <c r="MD476" s="19"/>
      <c r="ME476" s="93"/>
      <c r="MF476" s="93"/>
      <c r="MG476" s="93"/>
      <c r="MH476" s="93"/>
      <c r="MI476" s="93"/>
      <c r="MJ476" s="93"/>
      <c r="MK476" s="93"/>
      <c r="ML476" s="93"/>
      <c r="MM476" s="93"/>
      <c r="MN476" s="93"/>
      <c r="MO476" s="93"/>
      <c r="MP476" s="93"/>
      <c r="MQ476" s="93"/>
      <c r="MR476" s="93"/>
      <c r="MS476" s="93"/>
      <c r="MT476" s="93"/>
      <c r="MU476" s="93"/>
      <c r="MV476" s="93"/>
      <c r="MW476" s="93"/>
      <c r="MX476" s="93"/>
      <c r="MY476" s="93"/>
      <c r="MZ476" s="93"/>
      <c r="NA476" s="93"/>
      <c r="NB476" s="93"/>
      <c r="NC476" s="93"/>
      <c r="ND476" s="93"/>
      <c r="NE476" s="93"/>
      <c r="NF476" s="93"/>
      <c r="NG476" s="93"/>
      <c r="NH476" s="93"/>
      <c r="NI476" s="93"/>
      <c r="NJ476" s="93"/>
      <c r="NK476" s="93"/>
      <c r="NL476" s="93"/>
      <c r="NM476" s="93"/>
      <c r="NN476" s="93"/>
      <c r="NO476" s="93"/>
      <c r="NP476" s="93"/>
      <c r="NQ476" s="93"/>
      <c r="NR476" s="93"/>
      <c r="NS476" s="93"/>
      <c r="NT476" s="93"/>
      <c r="NU476" s="93"/>
      <c r="NV476" s="93"/>
      <c r="NW476" s="93"/>
      <c r="NX476" s="93"/>
      <c r="NY476" s="93"/>
      <c r="NZ476" s="93"/>
      <c r="OA476" s="93"/>
      <c r="OB476" s="93"/>
      <c r="OC476" s="93"/>
      <c r="OD476" s="20"/>
      <c r="OE476" s="29"/>
      <c r="OF476" s="1504">
        <v>48945</v>
      </c>
      <c r="OG476" s="19"/>
      <c r="OH476" s="93"/>
      <c r="OI476" s="93"/>
      <c r="OJ476" s="93"/>
      <c r="OK476" s="93"/>
      <c r="OL476" s="93"/>
      <c r="OM476" s="93"/>
      <c r="ON476" s="93"/>
      <c r="OO476" s="93"/>
      <c r="OP476" s="93"/>
      <c r="OQ476" s="93"/>
      <c r="OR476" s="93"/>
      <c r="OS476" s="93"/>
      <c r="OT476" s="93"/>
      <c r="OU476" s="93"/>
      <c r="OV476" s="93"/>
      <c r="OW476" s="93"/>
      <c r="OX476" s="93"/>
      <c r="OY476" s="93"/>
      <c r="OZ476" s="93"/>
      <c r="PA476" s="93"/>
      <c r="PB476" s="93"/>
      <c r="PC476" s="20"/>
      <c r="PD476" s="29"/>
      <c r="PE476" s="19"/>
      <c r="PF476" s="93"/>
      <c r="PG476" s="93"/>
      <c r="PH476" s="93"/>
      <c r="PI476" s="93"/>
      <c r="PJ476" s="93"/>
      <c r="PK476" s="93"/>
      <c r="PL476" s="93"/>
      <c r="PM476" s="93"/>
      <c r="PN476" s="93"/>
      <c r="PO476" s="93"/>
      <c r="PP476" s="93"/>
      <c r="PQ476" s="93"/>
      <c r="PR476" s="93"/>
      <c r="PS476" s="93"/>
      <c r="PT476" s="93"/>
      <c r="PU476" s="93"/>
      <c r="PV476" s="93"/>
      <c r="PW476" s="93"/>
      <c r="PX476" s="93"/>
      <c r="PY476" s="93"/>
      <c r="PZ476" s="93"/>
      <c r="QA476" s="93"/>
      <c r="QB476" s="93"/>
      <c r="QC476" s="93"/>
      <c r="QD476" s="93"/>
      <c r="QE476" s="20"/>
      <c r="QF476" s="1739"/>
      <c r="QG476" s="19"/>
      <c r="QH476" s="93"/>
      <c r="QI476" s="93"/>
      <c r="QJ476" s="93"/>
      <c r="QK476" s="93"/>
      <c r="QL476" s="93"/>
      <c r="QM476" s="93"/>
      <c r="QN476" s="93"/>
      <c r="QO476" s="93"/>
      <c r="QP476" s="93"/>
      <c r="QQ476" s="93"/>
      <c r="QR476" s="93"/>
      <c r="QS476" s="93"/>
      <c r="QT476" s="93"/>
      <c r="QU476" s="93"/>
      <c r="QV476" s="93"/>
      <c r="QW476" s="93"/>
      <c r="QX476" s="93"/>
      <c r="QY476" s="93"/>
      <c r="QZ476" s="93"/>
      <c r="RA476" s="93"/>
      <c r="RB476" s="93"/>
      <c r="RC476" s="93"/>
      <c r="RD476" s="93"/>
      <c r="RE476" s="93"/>
      <c r="RF476" s="93"/>
      <c r="RG476" s="93"/>
      <c r="RH476" s="93"/>
      <c r="RI476" s="93"/>
      <c r="RJ476" s="93"/>
      <c r="RK476" s="93"/>
      <c r="RL476" s="93"/>
      <c r="RM476" s="20"/>
      <c r="RN476" s="29"/>
      <c r="RO476" s="19"/>
      <c r="RP476" s="20"/>
      <c r="RQ476" s="29"/>
      <c r="RR476" s="20"/>
      <c r="RS476" s="29"/>
      <c r="RT476" s="1504">
        <v>48945</v>
      </c>
      <c r="RU476" s="19"/>
      <c r="RV476" s="20"/>
      <c r="RW476" s="29"/>
      <c r="RX476" s="1504">
        <v>48945</v>
      </c>
      <c r="RY476" s="29"/>
      <c r="RZ476" s="20"/>
      <c r="SA476" s="29"/>
      <c r="SB476" s="29"/>
    </row>
    <row r="477" spans="1:496">
      <c r="A477" s="41">
        <f t="shared" si="358"/>
        <v>2034</v>
      </c>
      <c r="B477" s="1504">
        <v>48976</v>
      </c>
      <c r="C477" s="1813"/>
      <c r="D477" s="1814"/>
      <c r="E477" s="1814"/>
      <c r="F477" s="1815"/>
      <c r="G477" s="1814"/>
      <c r="H477" s="1814"/>
      <c r="I477" s="1814"/>
      <c r="J477" s="1816"/>
      <c r="K477" s="1807"/>
      <c r="L477" s="25"/>
      <c r="M477" s="97"/>
      <c r="N477" s="1504">
        <v>48976</v>
      </c>
      <c r="O477" s="19"/>
      <c r="P477" s="93"/>
      <c r="Q477" s="93"/>
      <c r="R477" s="93"/>
      <c r="S477" s="93"/>
      <c r="T477" s="93"/>
      <c r="U477" s="93"/>
      <c r="V477" s="93"/>
      <c r="W477" s="93"/>
      <c r="X477" s="93"/>
      <c r="Y477" s="93"/>
      <c r="Z477" s="93"/>
      <c r="AA477" s="93"/>
      <c r="AB477" s="20"/>
      <c r="AC477" s="25"/>
      <c r="AD477" s="97"/>
      <c r="AE477" s="1504">
        <v>48976</v>
      </c>
      <c r="AF477" s="19"/>
      <c r="AG477" s="93"/>
      <c r="AH477" s="93"/>
      <c r="AI477" s="93"/>
      <c r="AJ477" s="93"/>
      <c r="AK477" s="93"/>
      <c r="AL477" s="93"/>
      <c r="AM477" s="93"/>
      <c r="AN477" s="93"/>
      <c r="AO477" s="93"/>
      <c r="AP477" s="93"/>
      <c r="AQ477" s="93"/>
      <c r="AR477" s="93"/>
      <c r="AS477" s="20"/>
      <c r="AT477" s="25"/>
      <c r="AU477" s="97"/>
      <c r="AV477" s="1504">
        <v>48976</v>
      </c>
      <c r="AW477" s="19"/>
      <c r="AX477" s="93"/>
      <c r="AY477" s="93"/>
      <c r="AZ477" s="93"/>
      <c r="BA477" s="93"/>
      <c r="BB477" s="93"/>
      <c r="BC477" s="93"/>
      <c r="BD477" s="93"/>
      <c r="BE477" s="93"/>
      <c r="BF477" s="93"/>
      <c r="BG477" s="93"/>
      <c r="BH477" s="93"/>
      <c r="BI477" s="93"/>
      <c r="BJ477" s="20"/>
      <c r="BK477" s="25"/>
      <c r="BL477" s="97"/>
      <c r="BM477" s="1504">
        <v>48976</v>
      </c>
      <c r="BN477" s="19"/>
      <c r="BO477" s="93"/>
      <c r="BP477" s="93"/>
      <c r="BQ477" s="93"/>
      <c r="BR477" s="93"/>
      <c r="BS477" s="93"/>
      <c r="BT477" s="93"/>
      <c r="BU477" s="20"/>
      <c r="BV477" s="25"/>
      <c r="BW477" s="97"/>
      <c r="BX477" s="1504">
        <v>48976</v>
      </c>
      <c r="BY477" s="19"/>
      <c r="BZ477" s="93"/>
      <c r="CA477" s="93"/>
      <c r="CB477" s="93"/>
      <c r="CC477" s="93"/>
      <c r="CD477" s="25"/>
      <c r="CE477" s="97"/>
      <c r="CF477" s="1504">
        <v>48976</v>
      </c>
      <c r="CG477" s="19"/>
      <c r="CH477" s="93"/>
      <c r="CI477" s="219"/>
      <c r="CJ477" s="20"/>
      <c r="CK477" s="19"/>
      <c r="CL477" s="93"/>
      <c r="CM477" s="93"/>
      <c r="CN477" s="93"/>
      <c r="CO477" s="93"/>
      <c r="CP477" s="20"/>
      <c r="CQ477" s="219"/>
      <c r="CR477" s="93"/>
      <c r="CS477" s="93"/>
      <c r="CT477" s="93"/>
      <c r="CU477" s="93"/>
      <c r="CV477" s="214"/>
      <c r="CW477" s="29"/>
      <c r="CX477" s="41">
        <f t="shared" si="359"/>
        <v>2034</v>
      </c>
      <c r="CY477" s="1504">
        <v>48976</v>
      </c>
      <c r="CZ477" s="19"/>
      <c r="DA477" s="93"/>
      <c r="DB477" s="93"/>
      <c r="DC477" s="93"/>
      <c r="DD477" s="93"/>
      <c r="DE477" s="20"/>
      <c r="DF477" s="29"/>
      <c r="DG477" s="1504">
        <v>48976</v>
      </c>
      <c r="DH477" s="19"/>
      <c r="DI477" s="93"/>
      <c r="DJ477" s="93"/>
      <c r="DK477" s="93"/>
      <c r="DL477" s="93"/>
      <c r="DM477" s="93"/>
      <c r="DN477" s="20"/>
      <c r="DO477" s="295"/>
      <c r="DP477" s="29"/>
      <c r="DQ477" s="1504">
        <v>48976</v>
      </c>
      <c r="DR477" s="19"/>
      <c r="DS477" s="93"/>
      <c r="DT477" s="93"/>
      <c r="DU477" s="93"/>
      <c r="DV477" s="93"/>
      <c r="DW477" s="93"/>
      <c r="DX477" s="20"/>
      <c r="DY477" s="29"/>
      <c r="DZ477" s="1504">
        <v>48976</v>
      </c>
      <c r="EA477" s="19"/>
      <c r="EB477" s="93"/>
      <c r="EC477" s="20"/>
      <c r="ED477" s="29"/>
      <c r="EE477" s="1504">
        <v>48976</v>
      </c>
      <c r="EF477" s="19"/>
      <c r="EG477" s="93"/>
      <c r="EH477" s="93"/>
      <c r="EI477" s="214"/>
      <c r="EJ477" s="93"/>
      <c r="EK477" s="93"/>
      <c r="EL477" s="93"/>
      <c r="EM477" s="93"/>
      <c r="EN477" s="20"/>
      <c r="EO477" s="29"/>
      <c r="EP477" s="1504">
        <v>48976</v>
      </c>
      <c r="EQ477" s="19"/>
      <c r="ER477" s="93"/>
      <c r="ES477" s="93"/>
      <c r="ET477" s="214"/>
      <c r="EU477" s="93"/>
      <c r="EV477" s="93"/>
      <c r="EW477" s="93"/>
      <c r="EX477" s="93"/>
      <c r="EY477" s="20"/>
      <c r="EZ477" s="29"/>
      <c r="FA477" s="1504">
        <v>48976</v>
      </c>
      <c r="FB477" s="29"/>
      <c r="FC477" s="29"/>
      <c r="FD477" s="29"/>
      <c r="FE477" s="29"/>
      <c r="FF477" s="29"/>
      <c r="FG477" s="29"/>
      <c r="FH477" s="29"/>
      <c r="FI477" s="29"/>
      <c r="FJ477" s="29"/>
      <c r="FK477" s="29"/>
      <c r="FL477" s="1504">
        <v>48976</v>
      </c>
      <c r="FM477" s="19"/>
      <c r="FN477" s="93"/>
      <c r="FO477" s="93"/>
      <c r="FP477" s="93"/>
      <c r="FQ477" s="93"/>
      <c r="FR477" s="93"/>
      <c r="FS477" s="93"/>
      <c r="FT477" s="93"/>
      <c r="FU477" s="93"/>
      <c r="FV477" s="93"/>
      <c r="FW477" s="93"/>
      <c r="FX477" s="93"/>
      <c r="FY477" s="93"/>
      <c r="FZ477" s="29"/>
      <c r="GA477" s="1504">
        <v>48976</v>
      </c>
      <c r="GB477" s="19"/>
      <c r="GC477" s="93"/>
      <c r="GD477" s="93"/>
      <c r="GE477" s="93"/>
      <c r="GF477" s="93"/>
      <c r="GG477" s="93"/>
      <c r="GH477" s="93"/>
      <c r="GI477" s="93"/>
      <c r="GJ477" s="93"/>
      <c r="GK477" s="93"/>
      <c r="GL477" s="93"/>
      <c r="GM477" s="93"/>
      <c r="GN477" s="20"/>
      <c r="GO477" s="29"/>
      <c r="GP477" s="1504">
        <v>48976</v>
      </c>
      <c r="GQ477" s="19"/>
      <c r="GR477" s="93"/>
      <c r="GS477" s="93"/>
      <c r="GT477" s="93"/>
      <c r="GU477" s="93"/>
      <c r="GV477" s="20"/>
      <c r="GW477" s="19"/>
      <c r="GX477" s="93"/>
      <c r="GY477" s="93"/>
      <c r="GZ477" s="93"/>
      <c r="HA477" s="93"/>
      <c r="HB477" s="20"/>
      <c r="HC477" s="19"/>
      <c r="HD477" s="93"/>
      <c r="HE477" s="93"/>
      <c r="HF477" s="93"/>
      <c r="HG477" s="93"/>
      <c r="HH477" s="20"/>
      <c r="HI477" s="19"/>
      <c r="HJ477" s="93"/>
      <c r="HK477" s="93"/>
      <c r="HL477" s="93"/>
      <c r="HM477" s="93"/>
      <c r="HN477" s="20"/>
      <c r="HO477" s="219"/>
      <c r="HP477" s="20"/>
      <c r="HQ477" s="25"/>
      <c r="HR477" s="29"/>
      <c r="HS477" s="1504">
        <v>48976</v>
      </c>
      <c r="HT477" s="19"/>
      <c r="HU477" s="93"/>
      <c r="HV477" s="93"/>
      <c r="HW477" s="93"/>
      <c r="HX477" s="93"/>
      <c r="HY477" s="93"/>
      <c r="HZ477" s="93"/>
      <c r="IA477" s="20"/>
      <c r="IB477" s="19"/>
      <c r="IC477" s="93"/>
      <c r="ID477" s="93"/>
      <c r="IE477" s="93"/>
      <c r="IF477" s="93"/>
      <c r="IG477" s="20"/>
      <c r="IH477" s="19"/>
      <c r="II477" s="93"/>
      <c r="IJ477" s="93"/>
      <c r="IK477" s="93"/>
      <c r="IL477" s="93"/>
      <c r="IM477" s="93"/>
      <c r="IN477" s="93"/>
      <c r="IO477" s="20"/>
      <c r="IP477" s="29"/>
      <c r="IQ477" s="19"/>
      <c r="IR477" s="93"/>
      <c r="IS477" s="93"/>
      <c r="IT477" s="93"/>
      <c r="IU477" s="93"/>
      <c r="IV477" s="20"/>
      <c r="IW477" s="29"/>
      <c r="IX477" s="19"/>
      <c r="IY477" s="93"/>
      <c r="IZ477" s="93"/>
      <c r="JA477" s="93"/>
      <c r="JB477" s="93"/>
      <c r="JC477" s="93"/>
      <c r="JD477" s="93"/>
      <c r="JE477" s="20"/>
      <c r="JF477" s="29"/>
      <c r="JG477" s="19"/>
      <c r="JH477" s="93"/>
      <c r="JI477" s="93"/>
      <c r="JJ477" s="93"/>
      <c r="JK477" s="93"/>
      <c r="JL477" s="93"/>
      <c r="JM477" s="93"/>
      <c r="JN477" s="20"/>
      <c r="JO477" s="29"/>
      <c r="JP477" s="19"/>
      <c r="JQ477" s="93"/>
      <c r="JR477" s="93"/>
      <c r="JS477" s="93"/>
      <c r="JT477" s="93"/>
      <c r="JU477" s="20"/>
      <c r="JV477" s="29"/>
      <c r="JW477" s="1504">
        <v>48976</v>
      </c>
      <c r="JX477" s="19"/>
      <c r="JY477" s="93"/>
      <c r="JZ477" s="93"/>
      <c r="KA477" s="93"/>
      <c r="KB477" s="93"/>
      <c r="KC477" s="93"/>
      <c r="KD477" s="20"/>
      <c r="KE477" s="29"/>
      <c r="KF477" s="19"/>
      <c r="KG477" s="93"/>
      <c r="KH477" s="93"/>
      <c r="KI477" s="93"/>
      <c r="KJ477" s="93"/>
      <c r="KK477" s="20"/>
      <c r="KL477" s="29"/>
      <c r="KM477" s="19"/>
      <c r="KN477" s="93"/>
      <c r="KO477" s="93"/>
      <c r="KP477" s="93"/>
      <c r="KQ477" s="93"/>
      <c r="KR477" s="20"/>
      <c r="KS477" s="29"/>
      <c r="KT477" s="19"/>
      <c r="KU477" s="93"/>
      <c r="KV477" s="93"/>
      <c r="KW477" s="93"/>
      <c r="KX477" s="93"/>
      <c r="KY477" s="20"/>
      <c r="KZ477" s="29"/>
      <c r="LA477" s="1504">
        <v>48976</v>
      </c>
      <c r="LB477" s="19"/>
      <c r="LC477" s="93"/>
      <c r="LD477" s="93"/>
      <c r="LE477" s="93"/>
      <c r="LF477" s="93"/>
      <c r="LG477" s="93"/>
      <c r="LH477" s="20"/>
      <c r="LI477" s="29"/>
      <c r="LJ477" s="19"/>
      <c r="LK477" s="93"/>
      <c r="LL477" s="93"/>
      <c r="LM477" s="93"/>
      <c r="LN477" s="93"/>
      <c r="LO477" s="20"/>
      <c r="LP477" s="29"/>
      <c r="LQ477" s="19"/>
      <c r="LR477" s="93"/>
      <c r="LS477" s="93"/>
      <c r="LT477" s="93"/>
      <c r="LU477" s="93"/>
      <c r="LV477" s="93"/>
      <c r="LW477" s="93"/>
      <c r="LX477" s="93"/>
      <c r="LY477" s="93"/>
      <c r="LZ477" s="93"/>
      <c r="MA477" s="20"/>
      <c r="MB477" s="29"/>
      <c r="MC477" s="1504">
        <v>48976</v>
      </c>
      <c r="MD477" s="19"/>
      <c r="ME477" s="93"/>
      <c r="MF477" s="93"/>
      <c r="MG477" s="93"/>
      <c r="MH477" s="93"/>
      <c r="MI477" s="93"/>
      <c r="MJ477" s="93"/>
      <c r="MK477" s="93"/>
      <c r="ML477" s="93"/>
      <c r="MM477" s="93"/>
      <c r="MN477" s="93"/>
      <c r="MO477" s="93"/>
      <c r="MP477" s="93"/>
      <c r="MQ477" s="93"/>
      <c r="MR477" s="93"/>
      <c r="MS477" s="93"/>
      <c r="MT477" s="93"/>
      <c r="MU477" s="93"/>
      <c r="MV477" s="93"/>
      <c r="MW477" s="93"/>
      <c r="MX477" s="93"/>
      <c r="MY477" s="93"/>
      <c r="MZ477" s="93"/>
      <c r="NA477" s="93"/>
      <c r="NB477" s="93"/>
      <c r="NC477" s="93"/>
      <c r="ND477" s="93"/>
      <c r="NE477" s="93"/>
      <c r="NF477" s="93"/>
      <c r="NG477" s="93"/>
      <c r="NH477" s="93"/>
      <c r="NI477" s="93"/>
      <c r="NJ477" s="93"/>
      <c r="NK477" s="93"/>
      <c r="NL477" s="93"/>
      <c r="NM477" s="93"/>
      <c r="NN477" s="93"/>
      <c r="NO477" s="93"/>
      <c r="NP477" s="93"/>
      <c r="NQ477" s="93"/>
      <c r="NR477" s="93"/>
      <c r="NS477" s="93"/>
      <c r="NT477" s="93"/>
      <c r="NU477" s="93"/>
      <c r="NV477" s="93"/>
      <c r="NW477" s="93"/>
      <c r="NX477" s="93"/>
      <c r="NY477" s="93"/>
      <c r="NZ477" s="93"/>
      <c r="OA477" s="93"/>
      <c r="OB477" s="93"/>
      <c r="OC477" s="93"/>
      <c r="OD477" s="20"/>
      <c r="OE477" s="29"/>
      <c r="OF477" s="1504">
        <v>48976</v>
      </c>
      <c r="OG477" s="19"/>
      <c r="OH477" s="93"/>
      <c r="OI477" s="93"/>
      <c r="OJ477" s="93"/>
      <c r="OK477" s="93"/>
      <c r="OL477" s="93"/>
      <c r="OM477" s="93"/>
      <c r="ON477" s="93"/>
      <c r="OO477" s="93"/>
      <c r="OP477" s="93"/>
      <c r="OQ477" s="93"/>
      <c r="OR477" s="93"/>
      <c r="OS477" s="93"/>
      <c r="OT477" s="93"/>
      <c r="OU477" s="93"/>
      <c r="OV477" s="93"/>
      <c r="OW477" s="93"/>
      <c r="OX477" s="93"/>
      <c r="OY477" s="93"/>
      <c r="OZ477" s="93"/>
      <c r="PA477" s="93"/>
      <c r="PB477" s="93"/>
      <c r="PC477" s="20"/>
      <c r="PD477" s="29"/>
      <c r="PE477" s="19"/>
      <c r="PF477" s="93"/>
      <c r="PG477" s="93"/>
      <c r="PH477" s="93"/>
      <c r="PI477" s="93"/>
      <c r="PJ477" s="93"/>
      <c r="PK477" s="93"/>
      <c r="PL477" s="93"/>
      <c r="PM477" s="93"/>
      <c r="PN477" s="93"/>
      <c r="PO477" s="93"/>
      <c r="PP477" s="93"/>
      <c r="PQ477" s="93"/>
      <c r="PR477" s="93"/>
      <c r="PS477" s="93"/>
      <c r="PT477" s="93"/>
      <c r="PU477" s="93"/>
      <c r="PV477" s="93"/>
      <c r="PW477" s="93"/>
      <c r="PX477" s="93"/>
      <c r="PY477" s="93"/>
      <c r="PZ477" s="93"/>
      <c r="QA477" s="93"/>
      <c r="QB477" s="93"/>
      <c r="QC477" s="93"/>
      <c r="QD477" s="93"/>
      <c r="QE477" s="20"/>
      <c r="QF477" s="1739"/>
      <c r="QG477" s="19"/>
      <c r="QH477" s="93"/>
      <c r="QI477" s="93"/>
      <c r="QJ477" s="93"/>
      <c r="QK477" s="93"/>
      <c r="QL477" s="93"/>
      <c r="QM477" s="93"/>
      <c r="QN477" s="93"/>
      <c r="QO477" s="93"/>
      <c r="QP477" s="93"/>
      <c r="QQ477" s="93"/>
      <c r="QR477" s="93"/>
      <c r="QS477" s="93"/>
      <c r="QT477" s="93"/>
      <c r="QU477" s="93"/>
      <c r="QV477" s="93"/>
      <c r="QW477" s="93"/>
      <c r="QX477" s="93"/>
      <c r="QY477" s="93"/>
      <c r="QZ477" s="93"/>
      <c r="RA477" s="93"/>
      <c r="RB477" s="93"/>
      <c r="RC477" s="93"/>
      <c r="RD477" s="93"/>
      <c r="RE477" s="93"/>
      <c r="RF477" s="93"/>
      <c r="RG477" s="93"/>
      <c r="RH477" s="93"/>
      <c r="RI477" s="93"/>
      <c r="RJ477" s="93"/>
      <c r="RK477" s="93"/>
      <c r="RL477" s="93"/>
      <c r="RM477" s="20"/>
      <c r="RN477" s="29"/>
      <c r="RO477" s="19"/>
      <c r="RP477" s="20"/>
      <c r="RQ477" s="29"/>
      <c r="RR477" s="20"/>
      <c r="RS477" s="29"/>
      <c r="RT477" s="1504">
        <v>48976</v>
      </c>
      <c r="RU477" s="19"/>
      <c r="RV477" s="20"/>
      <c r="RW477" s="29"/>
      <c r="RX477" s="1504">
        <v>48976</v>
      </c>
      <c r="RY477" s="29"/>
      <c r="RZ477" s="20"/>
      <c r="SA477" s="29"/>
      <c r="SB477" s="29"/>
    </row>
    <row r="478" spans="1:496">
      <c r="A478" s="41">
        <f t="shared" si="358"/>
        <v>2034</v>
      </c>
      <c r="B478" s="1504">
        <v>49004</v>
      </c>
      <c r="C478" s="1813"/>
      <c r="D478" s="1814"/>
      <c r="E478" s="1814"/>
      <c r="F478" s="1815"/>
      <c r="G478" s="1814"/>
      <c r="H478" s="1814"/>
      <c r="I478" s="1814"/>
      <c r="J478" s="1816"/>
      <c r="K478" s="1807"/>
      <c r="L478" s="25"/>
      <c r="M478" s="97"/>
      <c r="N478" s="1504">
        <v>49004</v>
      </c>
      <c r="O478" s="19"/>
      <c r="P478" s="93"/>
      <c r="Q478" s="93"/>
      <c r="R478" s="93"/>
      <c r="S478" s="93"/>
      <c r="T478" s="93"/>
      <c r="U478" s="93"/>
      <c r="V478" s="93"/>
      <c r="W478" s="93"/>
      <c r="X478" s="93"/>
      <c r="Y478" s="93"/>
      <c r="Z478" s="93"/>
      <c r="AA478" s="93"/>
      <c r="AB478" s="20"/>
      <c r="AC478" s="25"/>
      <c r="AD478" s="97"/>
      <c r="AE478" s="1504">
        <v>49004</v>
      </c>
      <c r="AF478" s="19"/>
      <c r="AG478" s="93"/>
      <c r="AH478" s="93"/>
      <c r="AI478" s="93"/>
      <c r="AJ478" s="93"/>
      <c r="AK478" s="93"/>
      <c r="AL478" s="93"/>
      <c r="AM478" s="93"/>
      <c r="AN478" s="93"/>
      <c r="AO478" s="93"/>
      <c r="AP478" s="93"/>
      <c r="AQ478" s="93"/>
      <c r="AR478" s="93"/>
      <c r="AS478" s="20"/>
      <c r="AT478" s="25"/>
      <c r="AU478" s="97"/>
      <c r="AV478" s="1504">
        <v>49004</v>
      </c>
      <c r="AW478" s="19"/>
      <c r="AX478" s="93"/>
      <c r="AY478" s="93"/>
      <c r="AZ478" s="93"/>
      <c r="BA478" s="93"/>
      <c r="BB478" s="93"/>
      <c r="BC478" s="93"/>
      <c r="BD478" s="93"/>
      <c r="BE478" s="93"/>
      <c r="BF478" s="93"/>
      <c r="BG478" s="93"/>
      <c r="BH478" s="93"/>
      <c r="BI478" s="93"/>
      <c r="BJ478" s="20"/>
      <c r="BK478" s="25"/>
      <c r="BL478" s="97"/>
      <c r="BM478" s="1504">
        <v>49004</v>
      </c>
      <c r="BN478" s="19"/>
      <c r="BO478" s="93"/>
      <c r="BP478" s="93"/>
      <c r="BQ478" s="93"/>
      <c r="BR478" s="93"/>
      <c r="BS478" s="93"/>
      <c r="BT478" s="93"/>
      <c r="BU478" s="20"/>
      <c r="BV478" s="25"/>
      <c r="BW478" s="97"/>
      <c r="BX478" s="1504">
        <v>49004</v>
      </c>
      <c r="BY478" s="19"/>
      <c r="BZ478" s="93"/>
      <c r="CA478" s="93"/>
      <c r="CB478" s="93"/>
      <c r="CC478" s="93"/>
      <c r="CD478" s="25"/>
      <c r="CE478" s="97"/>
      <c r="CF478" s="1504">
        <v>49004</v>
      </c>
      <c r="CG478" s="19"/>
      <c r="CH478" s="93"/>
      <c r="CI478" s="219"/>
      <c r="CJ478" s="20"/>
      <c r="CK478" s="19"/>
      <c r="CL478" s="93"/>
      <c r="CM478" s="93"/>
      <c r="CN478" s="93"/>
      <c r="CO478" s="93"/>
      <c r="CP478" s="20"/>
      <c r="CQ478" s="219"/>
      <c r="CR478" s="93"/>
      <c r="CS478" s="93"/>
      <c r="CT478" s="93"/>
      <c r="CU478" s="93"/>
      <c r="CV478" s="214"/>
      <c r="CW478" s="29"/>
      <c r="CX478" s="41">
        <f t="shared" si="359"/>
        <v>2034</v>
      </c>
      <c r="CY478" s="1504">
        <v>49004</v>
      </c>
      <c r="CZ478" s="19"/>
      <c r="DA478" s="93"/>
      <c r="DB478" s="93"/>
      <c r="DC478" s="93"/>
      <c r="DD478" s="93"/>
      <c r="DE478" s="20"/>
      <c r="DF478" s="29"/>
      <c r="DG478" s="1504">
        <v>49004</v>
      </c>
      <c r="DH478" s="19"/>
      <c r="DI478" s="93"/>
      <c r="DJ478" s="93"/>
      <c r="DK478" s="93"/>
      <c r="DL478" s="93"/>
      <c r="DM478" s="93"/>
      <c r="DN478" s="20"/>
      <c r="DO478" s="295"/>
      <c r="DP478" s="29"/>
      <c r="DQ478" s="1504">
        <v>49004</v>
      </c>
      <c r="DR478" s="19"/>
      <c r="DS478" s="93"/>
      <c r="DT478" s="93"/>
      <c r="DU478" s="93"/>
      <c r="DV478" s="93"/>
      <c r="DW478" s="93"/>
      <c r="DX478" s="20"/>
      <c r="DY478" s="29"/>
      <c r="DZ478" s="1504">
        <v>49004</v>
      </c>
      <c r="EA478" s="19"/>
      <c r="EB478" s="93"/>
      <c r="EC478" s="20"/>
      <c r="ED478" s="29"/>
      <c r="EE478" s="1504">
        <v>49004</v>
      </c>
      <c r="EF478" s="19"/>
      <c r="EG478" s="93"/>
      <c r="EH478" s="93"/>
      <c r="EI478" s="214"/>
      <c r="EJ478" s="93"/>
      <c r="EK478" s="93"/>
      <c r="EL478" s="93"/>
      <c r="EM478" s="93"/>
      <c r="EN478" s="20"/>
      <c r="EO478" s="29"/>
      <c r="EP478" s="1504">
        <v>49004</v>
      </c>
      <c r="EQ478" s="19"/>
      <c r="ER478" s="93"/>
      <c r="ES478" s="93"/>
      <c r="ET478" s="214"/>
      <c r="EU478" s="93"/>
      <c r="EV478" s="93"/>
      <c r="EW478" s="93"/>
      <c r="EX478" s="93"/>
      <c r="EY478" s="20"/>
      <c r="EZ478" s="29"/>
      <c r="FA478" s="1504">
        <v>49004</v>
      </c>
      <c r="FB478" s="29"/>
      <c r="FC478" s="29"/>
      <c r="FD478" s="29"/>
      <c r="FE478" s="29"/>
      <c r="FF478" s="29"/>
      <c r="FG478" s="29"/>
      <c r="FH478" s="29"/>
      <c r="FI478" s="29"/>
      <c r="FJ478" s="29"/>
      <c r="FK478" s="29"/>
      <c r="FL478" s="1504">
        <v>49004</v>
      </c>
      <c r="FM478" s="19"/>
      <c r="FN478" s="93"/>
      <c r="FO478" s="93"/>
      <c r="FP478" s="93"/>
      <c r="FQ478" s="93"/>
      <c r="FR478" s="93"/>
      <c r="FS478" s="93"/>
      <c r="FT478" s="93"/>
      <c r="FU478" s="93"/>
      <c r="FV478" s="93"/>
      <c r="FW478" s="93"/>
      <c r="FX478" s="93"/>
      <c r="FY478" s="93"/>
      <c r="FZ478" s="29"/>
      <c r="GA478" s="1504">
        <v>49004</v>
      </c>
      <c r="GB478" s="19"/>
      <c r="GC478" s="93"/>
      <c r="GD478" s="93"/>
      <c r="GE478" s="93"/>
      <c r="GF478" s="93"/>
      <c r="GG478" s="93"/>
      <c r="GH478" s="93"/>
      <c r="GI478" s="93"/>
      <c r="GJ478" s="93"/>
      <c r="GK478" s="93"/>
      <c r="GL478" s="93"/>
      <c r="GM478" s="93"/>
      <c r="GN478" s="20"/>
      <c r="GO478" s="29"/>
      <c r="GP478" s="1504">
        <v>49004</v>
      </c>
      <c r="GQ478" s="19"/>
      <c r="GR478" s="93"/>
      <c r="GS478" s="93"/>
      <c r="GT478" s="93"/>
      <c r="GU478" s="93"/>
      <c r="GV478" s="20"/>
      <c r="GW478" s="19"/>
      <c r="GX478" s="93"/>
      <c r="GY478" s="93"/>
      <c r="GZ478" s="93"/>
      <c r="HA478" s="93"/>
      <c r="HB478" s="20"/>
      <c r="HC478" s="19"/>
      <c r="HD478" s="93"/>
      <c r="HE478" s="93"/>
      <c r="HF478" s="93"/>
      <c r="HG478" s="93"/>
      <c r="HH478" s="20"/>
      <c r="HI478" s="19"/>
      <c r="HJ478" s="93"/>
      <c r="HK478" s="93"/>
      <c r="HL478" s="93"/>
      <c r="HM478" s="93"/>
      <c r="HN478" s="20"/>
      <c r="HO478" s="219"/>
      <c r="HP478" s="20"/>
      <c r="HQ478" s="25"/>
      <c r="HR478" s="29"/>
      <c r="HS478" s="1504">
        <v>49004</v>
      </c>
      <c r="HT478" s="19"/>
      <c r="HU478" s="93"/>
      <c r="HV478" s="93"/>
      <c r="HW478" s="93"/>
      <c r="HX478" s="93"/>
      <c r="HY478" s="93"/>
      <c r="HZ478" s="93"/>
      <c r="IA478" s="20"/>
      <c r="IB478" s="19"/>
      <c r="IC478" s="93"/>
      <c r="ID478" s="93"/>
      <c r="IE478" s="93"/>
      <c r="IF478" s="93"/>
      <c r="IG478" s="20"/>
      <c r="IH478" s="19"/>
      <c r="II478" s="93"/>
      <c r="IJ478" s="93"/>
      <c r="IK478" s="93"/>
      <c r="IL478" s="93"/>
      <c r="IM478" s="93"/>
      <c r="IN478" s="93"/>
      <c r="IO478" s="20"/>
      <c r="IP478" s="29"/>
      <c r="IQ478" s="19"/>
      <c r="IR478" s="93"/>
      <c r="IS478" s="93"/>
      <c r="IT478" s="93"/>
      <c r="IU478" s="93"/>
      <c r="IV478" s="20"/>
      <c r="IW478" s="29"/>
      <c r="IX478" s="19"/>
      <c r="IY478" s="93"/>
      <c r="IZ478" s="93"/>
      <c r="JA478" s="93"/>
      <c r="JB478" s="93"/>
      <c r="JC478" s="93"/>
      <c r="JD478" s="93"/>
      <c r="JE478" s="20"/>
      <c r="JF478" s="29"/>
      <c r="JG478" s="19"/>
      <c r="JH478" s="93"/>
      <c r="JI478" s="93"/>
      <c r="JJ478" s="93"/>
      <c r="JK478" s="93"/>
      <c r="JL478" s="93"/>
      <c r="JM478" s="93"/>
      <c r="JN478" s="20"/>
      <c r="JO478" s="29"/>
      <c r="JP478" s="19"/>
      <c r="JQ478" s="93"/>
      <c r="JR478" s="93"/>
      <c r="JS478" s="93"/>
      <c r="JT478" s="93"/>
      <c r="JU478" s="20"/>
      <c r="JV478" s="29"/>
      <c r="JW478" s="1504">
        <v>49004</v>
      </c>
      <c r="JX478" s="19"/>
      <c r="JY478" s="93"/>
      <c r="JZ478" s="93"/>
      <c r="KA478" s="93"/>
      <c r="KB478" s="93"/>
      <c r="KC478" s="93"/>
      <c r="KD478" s="20"/>
      <c r="KE478" s="29"/>
      <c r="KF478" s="19"/>
      <c r="KG478" s="93"/>
      <c r="KH478" s="93"/>
      <c r="KI478" s="93"/>
      <c r="KJ478" s="93"/>
      <c r="KK478" s="20"/>
      <c r="KL478" s="29"/>
      <c r="KM478" s="19"/>
      <c r="KN478" s="93"/>
      <c r="KO478" s="93"/>
      <c r="KP478" s="93"/>
      <c r="KQ478" s="93"/>
      <c r="KR478" s="20"/>
      <c r="KS478" s="29"/>
      <c r="KT478" s="19"/>
      <c r="KU478" s="93"/>
      <c r="KV478" s="93"/>
      <c r="KW478" s="93"/>
      <c r="KX478" s="93"/>
      <c r="KY478" s="20"/>
      <c r="KZ478" s="29"/>
      <c r="LA478" s="1504">
        <v>49004</v>
      </c>
      <c r="LB478" s="19"/>
      <c r="LC478" s="93"/>
      <c r="LD478" s="93"/>
      <c r="LE478" s="93"/>
      <c r="LF478" s="93"/>
      <c r="LG478" s="93"/>
      <c r="LH478" s="20"/>
      <c r="LI478" s="29"/>
      <c r="LJ478" s="19"/>
      <c r="LK478" s="93"/>
      <c r="LL478" s="93"/>
      <c r="LM478" s="93"/>
      <c r="LN478" s="93"/>
      <c r="LO478" s="20"/>
      <c r="LP478" s="29"/>
      <c r="LQ478" s="19"/>
      <c r="LR478" s="93"/>
      <c r="LS478" s="93"/>
      <c r="LT478" s="93"/>
      <c r="LU478" s="93"/>
      <c r="LV478" s="93"/>
      <c r="LW478" s="93"/>
      <c r="LX478" s="93"/>
      <c r="LY478" s="93"/>
      <c r="LZ478" s="93"/>
      <c r="MA478" s="20"/>
      <c r="MB478" s="29"/>
      <c r="MC478" s="1504">
        <v>49004</v>
      </c>
      <c r="MD478" s="19"/>
      <c r="ME478" s="93"/>
      <c r="MF478" s="93"/>
      <c r="MG478" s="93"/>
      <c r="MH478" s="93"/>
      <c r="MI478" s="93"/>
      <c r="MJ478" s="93"/>
      <c r="MK478" s="93"/>
      <c r="ML478" s="93"/>
      <c r="MM478" s="93"/>
      <c r="MN478" s="93"/>
      <c r="MO478" s="93"/>
      <c r="MP478" s="93"/>
      <c r="MQ478" s="93"/>
      <c r="MR478" s="93"/>
      <c r="MS478" s="93"/>
      <c r="MT478" s="93"/>
      <c r="MU478" s="93"/>
      <c r="MV478" s="93"/>
      <c r="MW478" s="93"/>
      <c r="MX478" s="93"/>
      <c r="MY478" s="93"/>
      <c r="MZ478" s="93"/>
      <c r="NA478" s="93"/>
      <c r="NB478" s="93"/>
      <c r="NC478" s="93"/>
      <c r="ND478" s="93"/>
      <c r="NE478" s="93"/>
      <c r="NF478" s="93"/>
      <c r="NG478" s="93"/>
      <c r="NH478" s="93"/>
      <c r="NI478" s="93"/>
      <c r="NJ478" s="93"/>
      <c r="NK478" s="93"/>
      <c r="NL478" s="93"/>
      <c r="NM478" s="93"/>
      <c r="NN478" s="93"/>
      <c r="NO478" s="93"/>
      <c r="NP478" s="93"/>
      <c r="NQ478" s="93"/>
      <c r="NR478" s="93"/>
      <c r="NS478" s="93"/>
      <c r="NT478" s="93"/>
      <c r="NU478" s="93"/>
      <c r="NV478" s="93"/>
      <c r="NW478" s="93"/>
      <c r="NX478" s="93"/>
      <c r="NY478" s="93"/>
      <c r="NZ478" s="93"/>
      <c r="OA478" s="93"/>
      <c r="OB478" s="93"/>
      <c r="OC478" s="93"/>
      <c r="OD478" s="20"/>
      <c r="OE478" s="29"/>
      <c r="OF478" s="1504">
        <v>49004</v>
      </c>
      <c r="OG478" s="19"/>
      <c r="OH478" s="93"/>
      <c r="OI478" s="93"/>
      <c r="OJ478" s="93"/>
      <c r="OK478" s="93"/>
      <c r="OL478" s="93"/>
      <c r="OM478" s="93"/>
      <c r="ON478" s="93"/>
      <c r="OO478" s="93"/>
      <c r="OP478" s="93"/>
      <c r="OQ478" s="93"/>
      <c r="OR478" s="93"/>
      <c r="OS478" s="93"/>
      <c r="OT478" s="93"/>
      <c r="OU478" s="93"/>
      <c r="OV478" s="93"/>
      <c r="OW478" s="93"/>
      <c r="OX478" s="93"/>
      <c r="OY478" s="93"/>
      <c r="OZ478" s="93"/>
      <c r="PA478" s="93"/>
      <c r="PB478" s="93"/>
      <c r="PC478" s="20"/>
      <c r="PD478" s="29"/>
      <c r="PE478" s="19"/>
      <c r="PF478" s="93"/>
      <c r="PG478" s="93"/>
      <c r="PH478" s="93"/>
      <c r="PI478" s="93"/>
      <c r="PJ478" s="93"/>
      <c r="PK478" s="93"/>
      <c r="PL478" s="93"/>
      <c r="PM478" s="93"/>
      <c r="PN478" s="93"/>
      <c r="PO478" s="93"/>
      <c r="PP478" s="93"/>
      <c r="PQ478" s="93"/>
      <c r="PR478" s="93"/>
      <c r="PS478" s="93"/>
      <c r="PT478" s="93"/>
      <c r="PU478" s="93"/>
      <c r="PV478" s="93"/>
      <c r="PW478" s="93"/>
      <c r="PX478" s="93"/>
      <c r="PY478" s="93"/>
      <c r="PZ478" s="93"/>
      <c r="QA478" s="93"/>
      <c r="QB478" s="93"/>
      <c r="QC478" s="93"/>
      <c r="QD478" s="93"/>
      <c r="QE478" s="20"/>
      <c r="QF478" s="1739"/>
      <c r="QG478" s="19"/>
      <c r="QH478" s="93"/>
      <c r="QI478" s="93"/>
      <c r="QJ478" s="93"/>
      <c r="QK478" s="93"/>
      <c r="QL478" s="93"/>
      <c r="QM478" s="93"/>
      <c r="QN478" s="93"/>
      <c r="QO478" s="93"/>
      <c r="QP478" s="93"/>
      <c r="QQ478" s="93"/>
      <c r="QR478" s="93"/>
      <c r="QS478" s="93"/>
      <c r="QT478" s="93"/>
      <c r="QU478" s="93"/>
      <c r="QV478" s="93"/>
      <c r="QW478" s="93"/>
      <c r="QX478" s="93"/>
      <c r="QY478" s="93"/>
      <c r="QZ478" s="93"/>
      <c r="RA478" s="93"/>
      <c r="RB478" s="93"/>
      <c r="RC478" s="93"/>
      <c r="RD478" s="93"/>
      <c r="RE478" s="93"/>
      <c r="RF478" s="93"/>
      <c r="RG478" s="93"/>
      <c r="RH478" s="93"/>
      <c r="RI478" s="93"/>
      <c r="RJ478" s="93"/>
      <c r="RK478" s="93"/>
      <c r="RL478" s="93"/>
      <c r="RM478" s="20"/>
      <c r="RN478" s="29"/>
      <c r="RO478" s="19"/>
      <c r="RP478" s="20"/>
      <c r="RQ478" s="29"/>
      <c r="RR478" s="20"/>
      <c r="RS478" s="29"/>
      <c r="RT478" s="1504">
        <v>49004</v>
      </c>
      <c r="RU478" s="19"/>
      <c r="RV478" s="20"/>
      <c r="RW478" s="29"/>
      <c r="RX478" s="1504">
        <v>49004</v>
      </c>
      <c r="RY478" s="29"/>
      <c r="RZ478" s="20"/>
      <c r="SA478" s="29"/>
      <c r="SB478" s="29"/>
    </row>
    <row r="479" spans="1:496">
      <c r="A479" s="41">
        <f t="shared" si="358"/>
        <v>2034</v>
      </c>
      <c r="B479" s="1504">
        <v>49035</v>
      </c>
      <c r="C479" s="1813"/>
      <c r="D479" s="1814"/>
      <c r="E479" s="1814"/>
      <c r="F479" s="1815"/>
      <c r="G479" s="1814"/>
      <c r="H479" s="1814"/>
      <c r="I479" s="1814"/>
      <c r="J479" s="1816"/>
      <c r="K479" s="1807"/>
      <c r="L479" s="25"/>
      <c r="M479" s="97"/>
      <c r="N479" s="1504">
        <v>49035</v>
      </c>
      <c r="O479" s="19"/>
      <c r="P479" s="93"/>
      <c r="Q479" s="93"/>
      <c r="R479" s="93"/>
      <c r="S479" s="93"/>
      <c r="T479" s="93"/>
      <c r="U479" s="93"/>
      <c r="V479" s="93"/>
      <c r="W479" s="93"/>
      <c r="X479" s="93"/>
      <c r="Y479" s="93"/>
      <c r="Z479" s="93"/>
      <c r="AA479" s="93"/>
      <c r="AB479" s="20"/>
      <c r="AC479" s="25"/>
      <c r="AD479" s="97"/>
      <c r="AE479" s="1504">
        <v>49035</v>
      </c>
      <c r="AF479" s="19"/>
      <c r="AG479" s="93"/>
      <c r="AH479" s="93"/>
      <c r="AI479" s="93"/>
      <c r="AJ479" s="93"/>
      <c r="AK479" s="93"/>
      <c r="AL479" s="93"/>
      <c r="AM479" s="93"/>
      <c r="AN479" s="93"/>
      <c r="AO479" s="93"/>
      <c r="AP479" s="93"/>
      <c r="AQ479" s="93"/>
      <c r="AR479" s="93"/>
      <c r="AS479" s="20"/>
      <c r="AT479" s="25"/>
      <c r="AU479" s="97"/>
      <c r="AV479" s="1504">
        <v>49035</v>
      </c>
      <c r="AW479" s="19"/>
      <c r="AX479" s="93"/>
      <c r="AY479" s="93"/>
      <c r="AZ479" s="93"/>
      <c r="BA479" s="93"/>
      <c r="BB479" s="93"/>
      <c r="BC479" s="93"/>
      <c r="BD479" s="93"/>
      <c r="BE479" s="93"/>
      <c r="BF479" s="93"/>
      <c r="BG479" s="93"/>
      <c r="BH479" s="93"/>
      <c r="BI479" s="93"/>
      <c r="BJ479" s="20"/>
      <c r="BK479" s="25"/>
      <c r="BL479" s="97"/>
      <c r="BM479" s="1504">
        <v>49035</v>
      </c>
      <c r="BN479" s="19"/>
      <c r="BO479" s="93"/>
      <c r="BP479" s="93"/>
      <c r="BQ479" s="93"/>
      <c r="BR479" s="93"/>
      <c r="BS479" s="93"/>
      <c r="BT479" s="93"/>
      <c r="BU479" s="20"/>
      <c r="BV479" s="25"/>
      <c r="BW479" s="97"/>
      <c r="BX479" s="1504">
        <v>49035</v>
      </c>
      <c r="BY479" s="19"/>
      <c r="BZ479" s="93"/>
      <c r="CA479" s="93"/>
      <c r="CB479" s="93"/>
      <c r="CC479" s="93"/>
      <c r="CD479" s="25"/>
      <c r="CE479" s="97"/>
      <c r="CF479" s="1504">
        <v>49035</v>
      </c>
      <c r="CG479" s="19"/>
      <c r="CH479" s="93"/>
      <c r="CI479" s="219"/>
      <c r="CJ479" s="20"/>
      <c r="CK479" s="19"/>
      <c r="CL479" s="93"/>
      <c r="CM479" s="93"/>
      <c r="CN479" s="93"/>
      <c r="CO479" s="93"/>
      <c r="CP479" s="20"/>
      <c r="CQ479" s="219"/>
      <c r="CR479" s="93"/>
      <c r="CS479" s="93"/>
      <c r="CT479" s="93"/>
      <c r="CU479" s="93"/>
      <c r="CV479" s="214"/>
      <c r="CW479" s="29"/>
      <c r="CX479" s="41">
        <f t="shared" si="359"/>
        <v>2034</v>
      </c>
      <c r="CY479" s="1504">
        <v>49035</v>
      </c>
      <c r="CZ479" s="19"/>
      <c r="DA479" s="93"/>
      <c r="DB479" s="93"/>
      <c r="DC479" s="93"/>
      <c r="DD479" s="93"/>
      <c r="DE479" s="20"/>
      <c r="DF479" s="29"/>
      <c r="DG479" s="1504">
        <v>49035</v>
      </c>
      <c r="DH479" s="19"/>
      <c r="DI479" s="93"/>
      <c r="DJ479" s="93"/>
      <c r="DK479" s="93"/>
      <c r="DL479" s="93"/>
      <c r="DM479" s="93"/>
      <c r="DN479" s="20"/>
      <c r="DO479" s="295"/>
      <c r="DP479" s="29"/>
      <c r="DQ479" s="1504">
        <v>49035</v>
      </c>
      <c r="DR479" s="19"/>
      <c r="DS479" s="93"/>
      <c r="DT479" s="93"/>
      <c r="DU479" s="93"/>
      <c r="DV479" s="93"/>
      <c r="DW479" s="93"/>
      <c r="DX479" s="20"/>
      <c r="DY479" s="29"/>
      <c r="DZ479" s="1504">
        <v>49035</v>
      </c>
      <c r="EA479" s="19"/>
      <c r="EB479" s="93"/>
      <c r="EC479" s="20"/>
      <c r="ED479" s="29"/>
      <c r="EE479" s="1504">
        <v>49035</v>
      </c>
      <c r="EF479" s="19"/>
      <c r="EG479" s="93"/>
      <c r="EH479" s="93"/>
      <c r="EI479" s="214"/>
      <c r="EJ479" s="93"/>
      <c r="EK479" s="93"/>
      <c r="EL479" s="93"/>
      <c r="EM479" s="93"/>
      <c r="EN479" s="20"/>
      <c r="EO479" s="29"/>
      <c r="EP479" s="1504">
        <v>49035</v>
      </c>
      <c r="EQ479" s="19"/>
      <c r="ER479" s="93"/>
      <c r="ES479" s="93"/>
      <c r="ET479" s="214"/>
      <c r="EU479" s="93"/>
      <c r="EV479" s="93"/>
      <c r="EW479" s="93"/>
      <c r="EX479" s="93"/>
      <c r="EY479" s="20"/>
      <c r="EZ479" s="29"/>
      <c r="FA479" s="1504">
        <v>49035</v>
      </c>
      <c r="FB479" s="29"/>
      <c r="FC479" s="29"/>
      <c r="FD479" s="29"/>
      <c r="FE479" s="29"/>
      <c r="FF479" s="29"/>
      <c r="FG479" s="29"/>
      <c r="FH479" s="29"/>
      <c r="FI479" s="29"/>
      <c r="FJ479" s="29"/>
      <c r="FK479" s="29"/>
      <c r="FL479" s="1504">
        <v>49035</v>
      </c>
      <c r="FM479" s="19"/>
      <c r="FN479" s="93"/>
      <c r="FO479" s="93"/>
      <c r="FP479" s="93"/>
      <c r="FQ479" s="93"/>
      <c r="FR479" s="93"/>
      <c r="FS479" s="93"/>
      <c r="FT479" s="93"/>
      <c r="FU479" s="93"/>
      <c r="FV479" s="93"/>
      <c r="FW479" s="93"/>
      <c r="FX479" s="93"/>
      <c r="FY479" s="93"/>
      <c r="FZ479" s="29"/>
      <c r="GA479" s="1504">
        <v>49035</v>
      </c>
      <c r="GB479" s="19"/>
      <c r="GC479" s="93"/>
      <c r="GD479" s="93"/>
      <c r="GE479" s="93"/>
      <c r="GF479" s="93"/>
      <c r="GG479" s="93"/>
      <c r="GH479" s="93"/>
      <c r="GI479" s="93"/>
      <c r="GJ479" s="93"/>
      <c r="GK479" s="93"/>
      <c r="GL479" s="93"/>
      <c r="GM479" s="93"/>
      <c r="GN479" s="20"/>
      <c r="GO479" s="29"/>
      <c r="GP479" s="1504">
        <v>49035</v>
      </c>
      <c r="GQ479" s="19"/>
      <c r="GR479" s="93"/>
      <c r="GS479" s="93"/>
      <c r="GT479" s="93"/>
      <c r="GU479" s="93"/>
      <c r="GV479" s="20"/>
      <c r="GW479" s="19"/>
      <c r="GX479" s="93"/>
      <c r="GY479" s="93"/>
      <c r="GZ479" s="93"/>
      <c r="HA479" s="93"/>
      <c r="HB479" s="20"/>
      <c r="HC479" s="19"/>
      <c r="HD479" s="93"/>
      <c r="HE479" s="93"/>
      <c r="HF479" s="93"/>
      <c r="HG479" s="93"/>
      <c r="HH479" s="20"/>
      <c r="HI479" s="19"/>
      <c r="HJ479" s="93"/>
      <c r="HK479" s="93"/>
      <c r="HL479" s="93"/>
      <c r="HM479" s="93"/>
      <c r="HN479" s="20"/>
      <c r="HO479" s="219"/>
      <c r="HP479" s="20"/>
      <c r="HQ479" s="25"/>
      <c r="HR479" s="29"/>
      <c r="HS479" s="1504">
        <v>49035</v>
      </c>
      <c r="HT479" s="19"/>
      <c r="HU479" s="93"/>
      <c r="HV479" s="93"/>
      <c r="HW479" s="93"/>
      <c r="HX479" s="93"/>
      <c r="HY479" s="93"/>
      <c r="HZ479" s="93"/>
      <c r="IA479" s="20"/>
      <c r="IB479" s="19"/>
      <c r="IC479" s="93"/>
      <c r="ID479" s="93"/>
      <c r="IE479" s="93"/>
      <c r="IF479" s="93"/>
      <c r="IG479" s="20"/>
      <c r="IH479" s="19"/>
      <c r="II479" s="93"/>
      <c r="IJ479" s="93"/>
      <c r="IK479" s="93"/>
      <c r="IL479" s="93"/>
      <c r="IM479" s="93"/>
      <c r="IN479" s="93"/>
      <c r="IO479" s="20"/>
      <c r="IP479" s="29"/>
      <c r="IQ479" s="19"/>
      <c r="IR479" s="93"/>
      <c r="IS479" s="93"/>
      <c r="IT479" s="93"/>
      <c r="IU479" s="93"/>
      <c r="IV479" s="20"/>
      <c r="IW479" s="29"/>
      <c r="IX479" s="19"/>
      <c r="IY479" s="93"/>
      <c r="IZ479" s="93"/>
      <c r="JA479" s="93"/>
      <c r="JB479" s="93"/>
      <c r="JC479" s="93"/>
      <c r="JD479" s="93"/>
      <c r="JE479" s="20"/>
      <c r="JF479" s="29"/>
      <c r="JG479" s="19"/>
      <c r="JH479" s="93"/>
      <c r="JI479" s="93"/>
      <c r="JJ479" s="93"/>
      <c r="JK479" s="93"/>
      <c r="JL479" s="93"/>
      <c r="JM479" s="93"/>
      <c r="JN479" s="20"/>
      <c r="JO479" s="29"/>
      <c r="JP479" s="19"/>
      <c r="JQ479" s="93"/>
      <c r="JR479" s="93"/>
      <c r="JS479" s="93"/>
      <c r="JT479" s="93"/>
      <c r="JU479" s="20"/>
      <c r="JV479" s="29"/>
      <c r="JW479" s="1504">
        <v>49035</v>
      </c>
      <c r="JX479" s="19"/>
      <c r="JY479" s="93"/>
      <c r="JZ479" s="93"/>
      <c r="KA479" s="93"/>
      <c r="KB479" s="93"/>
      <c r="KC479" s="93"/>
      <c r="KD479" s="20"/>
      <c r="KE479" s="29"/>
      <c r="KF479" s="19"/>
      <c r="KG479" s="93"/>
      <c r="KH479" s="93"/>
      <c r="KI479" s="93"/>
      <c r="KJ479" s="93"/>
      <c r="KK479" s="20"/>
      <c r="KL479" s="29"/>
      <c r="KM479" s="19"/>
      <c r="KN479" s="93"/>
      <c r="KO479" s="93"/>
      <c r="KP479" s="93"/>
      <c r="KQ479" s="93"/>
      <c r="KR479" s="20"/>
      <c r="KS479" s="29"/>
      <c r="KT479" s="19"/>
      <c r="KU479" s="93"/>
      <c r="KV479" s="93"/>
      <c r="KW479" s="93"/>
      <c r="KX479" s="93"/>
      <c r="KY479" s="20"/>
      <c r="KZ479" s="29"/>
      <c r="LA479" s="1504">
        <v>49035</v>
      </c>
      <c r="LB479" s="19"/>
      <c r="LC479" s="93"/>
      <c r="LD479" s="93"/>
      <c r="LE479" s="93"/>
      <c r="LF479" s="93"/>
      <c r="LG479" s="93"/>
      <c r="LH479" s="20"/>
      <c r="LI479" s="29"/>
      <c r="LJ479" s="19"/>
      <c r="LK479" s="93"/>
      <c r="LL479" s="93"/>
      <c r="LM479" s="93"/>
      <c r="LN479" s="93"/>
      <c r="LO479" s="20"/>
      <c r="LP479" s="29"/>
      <c r="LQ479" s="19"/>
      <c r="LR479" s="93"/>
      <c r="LS479" s="93"/>
      <c r="LT479" s="93"/>
      <c r="LU479" s="93"/>
      <c r="LV479" s="93"/>
      <c r="LW479" s="93"/>
      <c r="LX479" s="93"/>
      <c r="LY479" s="93"/>
      <c r="LZ479" s="93"/>
      <c r="MA479" s="20"/>
      <c r="MB479" s="29"/>
      <c r="MC479" s="1504">
        <v>49035</v>
      </c>
      <c r="MD479" s="19"/>
      <c r="ME479" s="93"/>
      <c r="MF479" s="93"/>
      <c r="MG479" s="93"/>
      <c r="MH479" s="93"/>
      <c r="MI479" s="93"/>
      <c r="MJ479" s="93"/>
      <c r="MK479" s="93"/>
      <c r="ML479" s="93"/>
      <c r="MM479" s="93"/>
      <c r="MN479" s="93"/>
      <c r="MO479" s="93"/>
      <c r="MP479" s="93"/>
      <c r="MQ479" s="93"/>
      <c r="MR479" s="93"/>
      <c r="MS479" s="93"/>
      <c r="MT479" s="93"/>
      <c r="MU479" s="93"/>
      <c r="MV479" s="93"/>
      <c r="MW479" s="93"/>
      <c r="MX479" s="93"/>
      <c r="MY479" s="93"/>
      <c r="MZ479" s="93"/>
      <c r="NA479" s="93"/>
      <c r="NB479" s="93"/>
      <c r="NC479" s="93"/>
      <c r="ND479" s="93"/>
      <c r="NE479" s="93"/>
      <c r="NF479" s="93"/>
      <c r="NG479" s="93"/>
      <c r="NH479" s="93"/>
      <c r="NI479" s="93"/>
      <c r="NJ479" s="93"/>
      <c r="NK479" s="93"/>
      <c r="NL479" s="93"/>
      <c r="NM479" s="93"/>
      <c r="NN479" s="93"/>
      <c r="NO479" s="93"/>
      <c r="NP479" s="93"/>
      <c r="NQ479" s="93"/>
      <c r="NR479" s="93"/>
      <c r="NS479" s="93"/>
      <c r="NT479" s="93"/>
      <c r="NU479" s="93"/>
      <c r="NV479" s="93"/>
      <c r="NW479" s="93"/>
      <c r="NX479" s="93"/>
      <c r="NY479" s="93"/>
      <c r="NZ479" s="93"/>
      <c r="OA479" s="93"/>
      <c r="OB479" s="93"/>
      <c r="OC479" s="93"/>
      <c r="OD479" s="20"/>
      <c r="OE479" s="29"/>
      <c r="OF479" s="1504">
        <v>49035</v>
      </c>
      <c r="OG479" s="19"/>
      <c r="OH479" s="93"/>
      <c r="OI479" s="93"/>
      <c r="OJ479" s="93"/>
      <c r="OK479" s="93"/>
      <c r="OL479" s="93"/>
      <c r="OM479" s="93"/>
      <c r="ON479" s="93"/>
      <c r="OO479" s="93"/>
      <c r="OP479" s="93"/>
      <c r="OQ479" s="93"/>
      <c r="OR479" s="93"/>
      <c r="OS479" s="93"/>
      <c r="OT479" s="93"/>
      <c r="OU479" s="93"/>
      <c r="OV479" s="93"/>
      <c r="OW479" s="93"/>
      <c r="OX479" s="93"/>
      <c r="OY479" s="93"/>
      <c r="OZ479" s="93"/>
      <c r="PA479" s="93"/>
      <c r="PB479" s="93"/>
      <c r="PC479" s="20"/>
      <c r="PD479" s="29"/>
      <c r="PE479" s="19"/>
      <c r="PF479" s="93"/>
      <c r="PG479" s="93"/>
      <c r="PH479" s="93"/>
      <c r="PI479" s="93"/>
      <c r="PJ479" s="93"/>
      <c r="PK479" s="93"/>
      <c r="PL479" s="93"/>
      <c r="PM479" s="93"/>
      <c r="PN479" s="93"/>
      <c r="PO479" s="93"/>
      <c r="PP479" s="93"/>
      <c r="PQ479" s="93"/>
      <c r="PR479" s="93"/>
      <c r="PS479" s="93"/>
      <c r="PT479" s="93"/>
      <c r="PU479" s="93"/>
      <c r="PV479" s="93"/>
      <c r="PW479" s="93"/>
      <c r="PX479" s="93"/>
      <c r="PY479" s="93"/>
      <c r="PZ479" s="93"/>
      <c r="QA479" s="93"/>
      <c r="QB479" s="93"/>
      <c r="QC479" s="93"/>
      <c r="QD479" s="93"/>
      <c r="QE479" s="20"/>
      <c r="QF479" s="1739"/>
      <c r="QG479" s="19"/>
      <c r="QH479" s="93"/>
      <c r="QI479" s="93"/>
      <c r="QJ479" s="93"/>
      <c r="QK479" s="93"/>
      <c r="QL479" s="93"/>
      <c r="QM479" s="93"/>
      <c r="QN479" s="93"/>
      <c r="QO479" s="93"/>
      <c r="QP479" s="93"/>
      <c r="QQ479" s="93"/>
      <c r="QR479" s="93"/>
      <c r="QS479" s="93"/>
      <c r="QT479" s="93"/>
      <c r="QU479" s="93"/>
      <c r="QV479" s="93"/>
      <c r="QW479" s="93"/>
      <c r="QX479" s="93"/>
      <c r="QY479" s="93"/>
      <c r="QZ479" s="93"/>
      <c r="RA479" s="93"/>
      <c r="RB479" s="93"/>
      <c r="RC479" s="93"/>
      <c r="RD479" s="93"/>
      <c r="RE479" s="93"/>
      <c r="RF479" s="93"/>
      <c r="RG479" s="93"/>
      <c r="RH479" s="93"/>
      <c r="RI479" s="93"/>
      <c r="RJ479" s="93"/>
      <c r="RK479" s="93"/>
      <c r="RL479" s="93"/>
      <c r="RM479" s="20"/>
      <c r="RN479" s="29"/>
      <c r="RO479" s="19"/>
      <c r="RP479" s="20"/>
      <c r="RQ479" s="29"/>
      <c r="RR479" s="20"/>
      <c r="RS479" s="29"/>
      <c r="RT479" s="1504">
        <v>49035</v>
      </c>
      <c r="RU479" s="19"/>
      <c r="RV479" s="20"/>
      <c r="RW479" s="29"/>
      <c r="RX479" s="1504">
        <v>49035</v>
      </c>
      <c r="RY479" s="29"/>
      <c r="RZ479" s="20"/>
      <c r="SA479" s="29"/>
      <c r="SB479" s="29"/>
    </row>
    <row r="480" spans="1:496">
      <c r="A480" s="41">
        <f t="shared" ref="A480:A543" si="360">YEAR(B480)</f>
        <v>2034</v>
      </c>
      <c r="B480" s="1504">
        <v>49065</v>
      </c>
      <c r="C480" s="1813"/>
      <c r="D480" s="1814"/>
      <c r="E480" s="1814"/>
      <c r="F480" s="1815"/>
      <c r="G480" s="1814"/>
      <c r="H480" s="1814"/>
      <c r="I480" s="1814"/>
      <c r="J480" s="1816"/>
      <c r="K480" s="1807"/>
      <c r="L480" s="25"/>
      <c r="M480" s="97"/>
      <c r="N480" s="1504">
        <v>49065</v>
      </c>
      <c r="O480" s="19"/>
      <c r="P480" s="93"/>
      <c r="Q480" s="93"/>
      <c r="R480" s="93"/>
      <c r="S480" s="93"/>
      <c r="T480" s="93"/>
      <c r="U480" s="93"/>
      <c r="V480" s="93"/>
      <c r="W480" s="93"/>
      <c r="X480" s="93"/>
      <c r="Y480" s="93"/>
      <c r="Z480" s="93"/>
      <c r="AA480" s="93"/>
      <c r="AB480" s="20"/>
      <c r="AC480" s="25"/>
      <c r="AD480" s="97"/>
      <c r="AE480" s="1504">
        <v>49065</v>
      </c>
      <c r="AF480" s="19"/>
      <c r="AG480" s="93"/>
      <c r="AH480" s="93"/>
      <c r="AI480" s="93"/>
      <c r="AJ480" s="93"/>
      <c r="AK480" s="93"/>
      <c r="AL480" s="93"/>
      <c r="AM480" s="93"/>
      <c r="AN480" s="93"/>
      <c r="AO480" s="93"/>
      <c r="AP480" s="93"/>
      <c r="AQ480" s="93"/>
      <c r="AR480" s="93"/>
      <c r="AS480" s="20"/>
      <c r="AT480" s="25"/>
      <c r="AU480" s="97"/>
      <c r="AV480" s="1504">
        <v>49065</v>
      </c>
      <c r="AW480" s="19"/>
      <c r="AX480" s="93"/>
      <c r="AY480" s="93"/>
      <c r="AZ480" s="93"/>
      <c r="BA480" s="93"/>
      <c r="BB480" s="93"/>
      <c r="BC480" s="93"/>
      <c r="BD480" s="93"/>
      <c r="BE480" s="93"/>
      <c r="BF480" s="93"/>
      <c r="BG480" s="93"/>
      <c r="BH480" s="93"/>
      <c r="BI480" s="93"/>
      <c r="BJ480" s="20"/>
      <c r="BK480" s="25"/>
      <c r="BL480" s="97"/>
      <c r="BM480" s="1504">
        <v>49065</v>
      </c>
      <c r="BN480" s="19"/>
      <c r="BO480" s="93"/>
      <c r="BP480" s="93"/>
      <c r="BQ480" s="93"/>
      <c r="BR480" s="93"/>
      <c r="BS480" s="93"/>
      <c r="BT480" s="93"/>
      <c r="BU480" s="20"/>
      <c r="BV480" s="25"/>
      <c r="BW480" s="97"/>
      <c r="BX480" s="1504">
        <v>49065</v>
      </c>
      <c r="BY480" s="19"/>
      <c r="BZ480" s="93"/>
      <c r="CA480" s="93"/>
      <c r="CB480" s="93"/>
      <c r="CC480" s="93"/>
      <c r="CD480" s="25"/>
      <c r="CE480" s="97"/>
      <c r="CF480" s="1504">
        <v>49065</v>
      </c>
      <c r="CG480" s="19"/>
      <c r="CH480" s="93"/>
      <c r="CI480" s="219"/>
      <c r="CJ480" s="20"/>
      <c r="CK480" s="19"/>
      <c r="CL480" s="93"/>
      <c r="CM480" s="93"/>
      <c r="CN480" s="93"/>
      <c r="CO480" s="93"/>
      <c r="CP480" s="20"/>
      <c r="CQ480" s="219"/>
      <c r="CR480" s="93"/>
      <c r="CS480" s="93"/>
      <c r="CT480" s="93"/>
      <c r="CU480" s="93"/>
      <c r="CV480" s="214"/>
      <c r="CW480" s="29"/>
      <c r="CX480" s="41">
        <f t="shared" si="359"/>
        <v>2034</v>
      </c>
      <c r="CY480" s="1504">
        <v>49065</v>
      </c>
      <c r="CZ480" s="19"/>
      <c r="DA480" s="93"/>
      <c r="DB480" s="93"/>
      <c r="DC480" s="93"/>
      <c r="DD480" s="93"/>
      <c r="DE480" s="20"/>
      <c r="DF480" s="29"/>
      <c r="DG480" s="1504">
        <v>49065</v>
      </c>
      <c r="DH480" s="19"/>
      <c r="DI480" s="93"/>
      <c r="DJ480" s="93"/>
      <c r="DK480" s="93"/>
      <c r="DL480" s="93"/>
      <c r="DM480" s="93"/>
      <c r="DN480" s="20"/>
      <c r="DO480" s="295"/>
      <c r="DP480" s="29"/>
      <c r="DQ480" s="1504">
        <v>49065</v>
      </c>
      <c r="DR480" s="19"/>
      <c r="DS480" s="93"/>
      <c r="DT480" s="93"/>
      <c r="DU480" s="93"/>
      <c r="DV480" s="93"/>
      <c r="DW480" s="93"/>
      <c r="DX480" s="20"/>
      <c r="DY480" s="29"/>
      <c r="DZ480" s="1504">
        <v>49065</v>
      </c>
      <c r="EA480" s="19"/>
      <c r="EB480" s="93"/>
      <c r="EC480" s="20"/>
      <c r="ED480" s="29"/>
      <c r="EE480" s="1504">
        <v>49065</v>
      </c>
      <c r="EF480" s="19"/>
      <c r="EG480" s="93"/>
      <c r="EH480" s="93"/>
      <c r="EI480" s="214"/>
      <c r="EJ480" s="93"/>
      <c r="EK480" s="93"/>
      <c r="EL480" s="93"/>
      <c r="EM480" s="93"/>
      <c r="EN480" s="20"/>
      <c r="EO480" s="29"/>
      <c r="EP480" s="1504">
        <v>49065</v>
      </c>
      <c r="EQ480" s="19"/>
      <c r="ER480" s="93"/>
      <c r="ES480" s="93"/>
      <c r="ET480" s="214"/>
      <c r="EU480" s="93"/>
      <c r="EV480" s="93"/>
      <c r="EW480" s="93"/>
      <c r="EX480" s="93"/>
      <c r="EY480" s="20"/>
      <c r="EZ480" s="29"/>
      <c r="FA480" s="1504">
        <v>49065</v>
      </c>
      <c r="FB480" s="29"/>
      <c r="FC480" s="29"/>
      <c r="FD480" s="29"/>
      <c r="FE480" s="29"/>
      <c r="FF480" s="29"/>
      <c r="FG480" s="29"/>
      <c r="FH480" s="29"/>
      <c r="FI480" s="29"/>
      <c r="FJ480" s="29"/>
      <c r="FK480" s="29"/>
      <c r="FL480" s="1504">
        <v>49065</v>
      </c>
      <c r="FM480" s="19"/>
      <c r="FN480" s="93"/>
      <c r="FO480" s="93"/>
      <c r="FP480" s="93"/>
      <c r="FQ480" s="93"/>
      <c r="FR480" s="93"/>
      <c r="FS480" s="93"/>
      <c r="FT480" s="93"/>
      <c r="FU480" s="93"/>
      <c r="FV480" s="93"/>
      <c r="FW480" s="93"/>
      <c r="FX480" s="93"/>
      <c r="FY480" s="93"/>
      <c r="FZ480" s="29"/>
      <c r="GA480" s="1504">
        <v>49065</v>
      </c>
      <c r="GB480" s="19"/>
      <c r="GC480" s="93"/>
      <c r="GD480" s="93"/>
      <c r="GE480" s="93"/>
      <c r="GF480" s="93"/>
      <c r="GG480" s="93"/>
      <c r="GH480" s="93"/>
      <c r="GI480" s="93"/>
      <c r="GJ480" s="93"/>
      <c r="GK480" s="93"/>
      <c r="GL480" s="93"/>
      <c r="GM480" s="93"/>
      <c r="GN480" s="20"/>
      <c r="GO480" s="29"/>
      <c r="GP480" s="1504">
        <v>49065</v>
      </c>
      <c r="GQ480" s="19"/>
      <c r="GR480" s="93"/>
      <c r="GS480" s="93"/>
      <c r="GT480" s="93"/>
      <c r="GU480" s="93"/>
      <c r="GV480" s="20"/>
      <c r="GW480" s="19"/>
      <c r="GX480" s="93"/>
      <c r="GY480" s="93"/>
      <c r="GZ480" s="93"/>
      <c r="HA480" s="93"/>
      <c r="HB480" s="20"/>
      <c r="HC480" s="19"/>
      <c r="HD480" s="93"/>
      <c r="HE480" s="93"/>
      <c r="HF480" s="93"/>
      <c r="HG480" s="93"/>
      <c r="HH480" s="20"/>
      <c r="HI480" s="19"/>
      <c r="HJ480" s="93"/>
      <c r="HK480" s="93"/>
      <c r="HL480" s="93"/>
      <c r="HM480" s="93"/>
      <c r="HN480" s="20"/>
      <c r="HO480" s="219"/>
      <c r="HP480" s="20"/>
      <c r="HQ480" s="25"/>
      <c r="HR480" s="29"/>
      <c r="HS480" s="1504">
        <v>49065</v>
      </c>
      <c r="HT480" s="19"/>
      <c r="HU480" s="93"/>
      <c r="HV480" s="93"/>
      <c r="HW480" s="93"/>
      <c r="HX480" s="93"/>
      <c r="HY480" s="93"/>
      <c r="HZ480" s="93"/>
      <c r="IA480" s="20"/>
      <c r="IB480" s="19"/>
      <c r="IC480" s="93"/>
      <c r="ID480" s="93"/>
      <c r="IE480" s="93"/>
      <c r="IF480" s="93"/>
      <c r="IG480" s="20"/>
      <c r="IH480" s="19"/>
      <c r="II480" s="93"/>
      <c r="IJ480" s="93"/>
      <c r="IK480" s="93"/>
      <c r="IL480" s="93"/>
      <c r="IM480" s="93"/>
      <c r="IN480" s="93"/>
      <c r="IO480" s="20"/>
      <c r="IP480" s="29"/>
      <c r="IQ480" s="19"/>
      <c r="IR480" s="93"/>
      <c r="IS480" s="93"/>
      <c r="IT480" s="93"/>
      <c r="IU480" s="93"/>
      <c r="IV480" s="20"/>
      <c r="IW480" s="29"/>
      <c r="IX480" s="19"/>
      <c r="IY480" s="93"/>
      <c r="IZ480" s="93"/>
      <c r="JA480" s="93"/>
      <c r="JB480" s="93"/>
      <c r="JC480" s="93"/>
      <c r="JD480" s="93"/>
      <c r="JE480" s="20"/>
      <c r="JF480" s="29"/>
      <c r="JG480" s="19"/>
      <c r="JH480" s="93"/>
      <c r="JI480" s="93"/>
      <c r="JJ480" s="93"/>
      <c r="JK480" s="93"/>
      <c r="JL480" s="93"/>
      <c r="JM480" s="93"/>
      <c r="JN480" s="20"/>
      <c r="JO480" s="29"/>
      <c r="JP480" s="19"/>
      <c r="JQ480" s="93"/>
      <c r="JR480" s="93"/>
      <c r="JS480" s="93"/>
      <c r="JT480" s="93"/>
      <c r="JU480" s="20"/>
      <c r="JV480" s="29"/>
      <c r="JW480" s="1504">
        <v>49065</v>
      </c>
      <c r="JX480" s="19"/>
      <c r="JY480" s="93"/>
      <c r="JZ480" s="93"/>
      <c r="KA480" s="93"/>
      <c r="KB480" s="93"/>
      <c r="KC480" s="93"/>
      <c r="KD480" s="20"/>
      <c r="KE480" s="29"/>
      <c r="KF480" s="19"/>
      <c r="KG480" s="93"/>
      <c r="KH480" s="93"/>
      <c r="KI480" s="93"/>
      <c r="KJ480" s="93"/>
      <c r="KK480" s="20"/>
      <c r="KL480" s="29"/>
      <c r="KM480" s="19"/>
      <c r="KN480" s="93"/>
      <c r="KO480" s="93"/>
      <c r="KP480" s="93"/>
      <c r="KQ480" s="93"/>
      <c r="KR480" s="20"/>
      <c r="KS480" s="29"/>
      <c r="KT480" s="19"/>
      <c r="KU480" s="93"/>
      <c r="KV480" s="93"/>
      <c r="KW480" s="93"/>
      <c r="KX480" s="93"/>
      <c r="KY480" s="20"/>
      <c r="KZ480" s="29"/>
      <c r="LA480" s="1504">
        <v>49065</v>
      </c>
      <c r="LB480" s="19"/>
      <c r="LC480" s="93"/>
      <c r="LD480" s="93"/>
      <c r="LE480" s="93"/>
      <c r="LF480" s="93"/>
      <c r="LG480" s="93"/>
      <c r="LH480" s="20"/>
      <c r="LI480" s="29"/>
      <c r="LJ480" s="19"/>
      <c r="LK480" s="93"/>
      <c r="LL480" s="93"/>
      <c r="LM480" s="93"/>
      <c r="LN480" s="93"/>
      <c r="LO480" s="20"/>
      <c r="LP480" s="29"/>
      <c r="LQ480" s="19"/>
      <c r="LR480" s="93"/>
      <c r="LS480" s="93"/>
      <c r="LT480" s="93"/>
      <c r="LU480" s="93"/>
      <c r="LV480" s="93"/>
      <c r="LW480" s="93"/>
      <c r="LX480" s="93"/>
      <c r="LY480" s="93"/>
      <c r="LZ480" s="93"/>
      <c r="MA480" s="20"/>
      <c r="MB480" s="29"/>
      <c r="MC480" s="1504">
        <v>49065</v>
      </c>
      <c r="MD480" s="19"/>
      <c r="ME480" s="93"/>
      <c r="MF480" s="93"/>
      <c r="MG480" s="93"/>
      <c r="MH480" s="93"/>
      <c r="MI480" s="93"/>
      <c r="MJ480" s="93"/>
      <c r="MK480" s="93"/>
      <c r="ML480" s="93"/>
      <c r="MM480" s="93"/>
      <c r="MN480" s="93"/>
      <c r="MO480" s="93"/>
      <c r="MP480" s="93"/>
      <c r="MQ480" s="93"/>
      <c r="MR480" s="93"/>
      <c r="MS480" s="93"/>
      <c r="MT480" s="93"/>
      <c r="MU480" s="93"/>
      <c r="MV480" s="93"/>
      <c r="MW480" s="93"/>
      <c r="MX480" s="93"/>
      <c r="MY480" s="93"/>
      <c r="MZ480" s="93"/>
      <c r="NA480" s="93"/>
      <c r="NB480" s="93"/>
      <c r="NC480" s="93"/>
      <c r="ND480" s="93"/>
      <c r="NE480" s="93"/>
      <c r="NF480" s="93"/>
      <c r="NG480" s="93"/>
      <c r="NH480" s="93"/>
      <c r="NI480" s="93"/>
      <c r="NJ480" s="93"/>
      <c r="NK480" s="93"/>
      <c r="NL480" s="93"/>
      <c r="NM480" s="93"/>
      <c r="NN480" s="93"/>
      <c r="NO480" s="93"/>
      <c r="NP480" s="93"/>
      <c r="NQ480" s="93"/>
      <c r="NR480" s="93"/>
      <c r="NS480" s="93"/>
      <c r="NT480" s="93"/>
      <c r="NU480" s="93"/>
      <c r="NV480" s="93"/>
      <c r="NW480" s="93"/>
      <c r="NX480" s="93"/>
      <c r="NY480" s="93"/>
      <c r="NZ480" s="93"/>
      <c r="OA480" s="93"/>
      <c r="OB480" s="93"/>
      <c r="OC480" s="93"/>
      <c r="OD480" s="20"/>
      <c r="OE480" s="29"/>
      <c r="OF480" s="1504">
        <v>49065</v>
      </c>
      <c r="OG480" s="19"/>
      <c r="OH480" s="93"/>
      <c r="OI480" s="93"/>
      <c r="OJ480" s="93"/>
      <c r="OK480" s="93"/>
      <c r="OL480" s="93"/>
      <c r="OM480" s="93"/>
      <c r="ON480" s="93"/>
      <c r="OO480" s="93"/>
      <c r="OP480" s="93"/>
      <c r="OQ480" s="93"/>
      <c r="OR480" s="93"/>
      <c r="OS480" s="93"/>
      <c r="OT480" s="93"/>
      <c r="OU480" s="93"/>
      <c r="OV480" s="93"/>
      <c r="OW480" s="93"/>
      <c r="OX480" s="93"/>
      <c r="OY480" s="93"/>
      <c r="OZ480" s="93"/>
      <c r="PA480" s="93"/>
      <c r="PB480" s="93"/>
      <c r="PC480" s="20"/>
      <c r="PD480" s="29"/>
      <c r="PE480" s="19"/>
      <c r="PF480" s="93"/>
      <c r="PG480" s="93"/>
      <c r="PH480" s="93"/>
      <c r="PI480" s="93"/>
      <c r="PJ480" s="93"/>
      <c r="PK480" s="93"/>
      <c r="PL480" s="93"/>
      <c r="PM480" s="93"/>
      <c r="PN480" s="93"/>
      <c r="PO480" s="93"/>
      <c r="PP480" s="93"/>
      <c r="PQ480" s="93"/>
      <c r="PR480" s="93"/>
      <c r="PS480" s="93"/>
      <c r="PT480" s="93"/>
      <c r="PU480" s="93"/>
      <c r="PV480" s="93"/>
      <c r="PW480" s="93"/>
      <c r="PX480" s="93"/>
      <c r="PY480" s="93"/>
      <c r="PZ480" s="93"/>
      <c r="QA480" s="93"/>
      <c r="QB480" s="93"/>
      <c r="QC480" s="93"/>
      <c r="QD480" s="93"/>
      <c r="QE480" s="20"/>
      <c r="QF480" s="1739"/>
      <c r="QG480" s="19"/>
      <c r="QH480" s="93"/>
      <c r="QI480" s="93"/>
      <c r="QJ480" s="93"/>
      <c r="QK480" s="93"/>
      <c r="QL480" s="93"/>
      <c r="QM480" s="93"/>
      <c r="QN480" s="93"/>
      <c r="QO480" s="93"/>
      <c r="QP480" s="93"/>
      <c r="QQ480" s="93"/>
      <c r="QR480" s="93"/>
      <c r="QS480" s="93"/>
      <c r="QT480" s="93"/>
      <c r="QU480" s="93"/>
      <c r="QV480" s="93"/>
      <c r="QW480" s="93"/>
      <c r="QX480" s="93"/>
      <c r="QY480" s="93"/>
      <c r="QZ480" s="93"/>
      <c r="RA480" s="93"/>
      <c r="RB480" s="93"/>
      <c r="RC480" s="93"/>
      <c r="RD480" s="93"/>
      <c r="RE480" s="93"/>
      <c r="RF480" s="93"/>
      <c r="RG480" s="93"/>
      <c r="RH480" s="93"/>
      <c r="RI480" s="93"/>
      <c r="RJ480" s="93"/>
      <c r="RK480" s="93"/>
      <c r="RL480" s="93"/>
      <c r="RM480" s="20"/>
      <c r="RN480" s="29"/>
      <c r="RO480" s="19"/>
      <c r="RP480" s="20"/>
      <c r="RQ480" s="29"/>
      <c r="RR480" s="20"/>
      <c r="RS480" s="29"/>
      <c r="RT480" s="1504">
        <v>49065</v>
      </c>
      <c r="RU480" s="19"/>
      <c r="RV480" s="20"/>
      <c r="RW480" s="29"/>
      <c r="RX480" s="1504">
        <v>49065</v>
      </c>
      <c r="RY480" s="29"/>
      <c r="RZ480" s="20"/>
      <c r="SA480" s="29"/>
      <c r="SB480" s="29"/>
    </row>
    <row r="481" spans="1:496">
      <c r="A481" s="41">
        <f t="shared" si="360"/>
        <v>2034</v>
      </c>
      <c r="B481" s="1504">
        <v>49096</v>
      </c>
      <c r="C481" s="1813"/>
      <c r="D481" s="1814"/>
      <c r="E481" s="1814"/>
      <c r="F481" s="1815"/>
      <c r="G481" s="1814"/>
      <c r="H481" s="1814"/>
      <c r="I481" s="1814"/>
      <c r="J481" s="1816"/>
      <c r="K481" s="1807"/>
      <c r="L481" s="25"/>
      <c r="M481" s="97"/>
      <c r="N481" s="1504">
        <v>49096</v>
      </c>
      <c r="O481" s="19"/>
      <c r="P481" s="93"/>
      <c r="Q481" s="93"/>
      <c r="R481" s="93"/>
      <c r="S481" s="93"/>
      <c r="T481" s="93"/>
      <c r="U481" s="93"/>
      <c r="V481" s="93"/>
      <c r="W481" s="93"/>
      <c r="X481" s="93"/>
      <c r="Y481" s="93"/>
      <c r="Z481" s="93"/>
      <c r="AA481" s="93"/>
      <c r="AB481" s="20"/>
      <c r="AC481" s="25"/>
      <c r="AD481" s="97"/>
      <c r="AE481" s="1504">
        <v>49096</v>
      </c>
      <c r="AF481" s="19"/>
      <c r="AG481" s="93"/>
      <c r="AH481" s="93"/>
      <c r="AI481" s="93"/>
      <c r="AJ481" s="93"/>
      <c r="AK481" s="93"/>
      <c r="AL481" s="93"/>
      <c r="AM481" s="93"/>
      <c r="AN481" s="93"/>
      <c r="AO481" s="93"/>
      <c r="AP481" s="93"/>
      <c r="AQ481" s="93"/>
      <c r="AR481" s="93"/>
      <c r="AS481" s="20"/>
      <c r="AT481" s="25"/>
      <c r="AU481" s="97"/>
      <c r="AV481" s="1504">
        <v>49096</v>
      </c>
      <c r="AW481" s="19"/>
      <c r="AX481" s="93"/>
      <c r="AY481" s="93"/>
      <c r="AZ481" s="93"/>
      <c r="BA481" s="93"/>
      <c r="BB481" s="93"/>
      <c r="BC481" s="93"/>
      <c r="BD481" s="93"/>
      <c r="BE481" s="93"/>
      <c r="BF481" s="93"/>
      <c r="BG481" s="93"/>
      <c r="BH481" s="93"/>
      <c r="BI481" s="93"/>
      <c r="BJ481" s="20"/>
      <c r="BK481" s="25"/>
      <c r="BL481" s="97"/>
      <c r="BM481" s="1504">
        <v>49096</v>
      </c>
      <c r="BN481" s="19"/>
      <c r="BO481" s="93"/>
      <c r="BP481" s="93"/>
      <c r="BQ481" s="93"/>
      <c r="BR481" s="93"/>
      <c r="BS481" s="93"/>
      <c r="BT481" s="93"/>
      <c r="BU481" s="20"/>
      <c r="BV481" s="25"/>
      <c r="BW481" s="97"/>
      <c r="BX481" s="1504">
        <v>49096</v>
      </c>
      <c r="BY481" s="19"/>
      <c r="BZ481" s="93"/>
      <c r="CA481" s="93"/>
      <c r="CB481" s="93"/>
      <c r="CC481" s="93"/>
      <c r="CD481" s="25"/>
      <c r="CE481" s="97"/>
      <c r="CF481" s="1504">
        <v>49096</v>
      </c>
      <c r="CG481" s="19"/>
      <c r="CH481" s="93"/>
      <c r="CI481" s="219"/>
      <c r="CJ481" s="20"/>
      <c r="CK481" s="19"/>
      <c r="CL481" s="93"/>
      <c r="CM481" s="93"/>
      <c r="CN481" s="93"/>
      <c r="CO481" s="93"/>
      <c r="CP481" s="20"/>
      <c r="CQ481" s="219"/>
      <c r="CR481" s="93"/>
      <c r="CS481" s="93"/>
      <c r="CT481" s="93"/>
      <c r="CU481" s="93"/>
      <c r="CV481" s="214"/>
      <c r="CW481" s="29"/>
      <c r="CX481" s="41">
        <f t="shared" si="359"/>
        <v>2034</v>
      </c>
      <c r="CY481" s="1504">
        <v>49096</v>
      </c>
      <c r="CZ481" s="19"/>
      <c r="DA481" s="93"/>
      <c r="DB481" s="93"/>
      <c r="DC481" s="93"/>
      <c r="DD481" s="93"/>
      <c r="DE481" s="20"/>
      <c r="DF481" s="29"/>
      <c r="DG481" s="1504">
        <v>49096</v>
      </c>
      <c r="DH481" s="19"/>
      <c r="DI481" s="93"/>
      <c r="DJ481" s="93"/>
      <c r="DK481" s="93"/>
      <c r="DL481" s="93"/>
      <c r="DM481" s="93"/>
      <c r="DN481" s="20"/>
      <c r="DO481" s="295"/>
      <c r="DP481" s="29"/>
      <c r="DQ481" s="1504">
        <v>49096</v>
      </c>
      <c r="DR481" s="19"/>
      <c r="DS481" s="93"/>
      <c r="DT481" s="93"/>
      <c r="DU481" s="93"/>
      <c r="DV481" s="93"/>
      <c r="DW481" s="93"/>
      <c r="DX481" s="20"/>
      <c r="DY481" s="29"/>
      <c r="DZ481" s="1504">
        <v>49096</v>
      </c>
      <c r="EA481" s="19"/>
      <c r="EB481" s="93"/>
      <c r="EC481" s="20"/>
      <c r="ED481" s="29"/>
      <c r="EE481" s="1504">
        <v>49096</v>
      </c>
      <c r="EF481" s="19"/>
      <c r="EG481" s="93"/>
      <c r="EH481" s="93"/>
      <c r="EI481" s="214"/>
      <c r="EJ481" s="93"/>
      <c r="EK481" s="93"/>
      <c r="EL481" s="93"/>
      <c r="EM481" s="93"/>
      <c r="EN481" s="20"/>
      <c r="EO481" s="29"/>
      <c r="EP481" s="1504">
        <v>49096</v>
      </c>
      <c r="EQ481" s="19"/>
      <c r="ER481" s="93"/>
      <c r="ES481" s="93"/>
      <c r="ET481" s="214"/>
      <c r="EU481" s="93"/>
      <c r="EV481" s="93"/>
      <c r="EW481" s="93"/>
      <c r="EX481" s="93"/>
      <c r="EY481" s="20"/>
      <c r="EZ481" s="29"/>
      <c r="FA481" s="1504">
        <v>49096</v>
      </c>
      <c r="FB481" s="29"/>
      <c r="FC481" s="29"/>
      <c r="FD481" s="29"/>
      <c r="FE481" s="29"/>
      <c r="FF481" s="29"/>
      <c r="FG481" s="29"/>
      <c r="FH481" s="29"/>
      <c r="FI481" s="29"/>
      <c r="FJ481" s="29"/>
      <c r="FK481" s="29"/>
      <c r="FL481" s="1504">
        <v>49096</v>
      </c>
      <c r="FM481" s="19"/>
      <c r="FN481" s="93"/>
      <c r="FO481" s="93"/>
      <c r="FP481" s="93"/>
      <c r="FQ481" s="93"/>
      <c r="FR481" s="93"/>
      <c r="FS481" s="93"/>
      <c r="FT481" s="93"/>
      <c r="FU481" s="93"/>
      <c r="FV481" s="93"/>
      <c r="FW481" s="93"/>
      <c r="FX481" s="93"/>
      <c r="FY481" s="93"/>
      <c r="FZ481" s="29"/>
      <c r="GA481" s="1504">
        <v>49096</v>
      </c>
      <c r="GB481" s="19"/>
      <c r="GC481" s="93"/>
      <c r="GD481" s="93"/>
      <c r="GE481" s="93"/>
      <c r="GF481" s="93"/>
      <c r="GG481" s="93"/>
      <c r="GH481" s="93"/>
      <c r="GI481" s="93"/>
      <c r="GJ481" s="93"/>
      <c r="GK481" s="93"/>
      <c r="GL481" s="93"/>
      <c r="GM481" s="93"/>
      <c r="GN481" s="20"/>
      <c r="GO481" s="29"/>
      <c r="GP481" s="1504">
        <v>49096</v>
      </c>
      <c r="GQ481" s="19"/>
      <c r="GR481" s="93"/>
      <c r="GS481" s="93"/>
      <c r="GT481" s="93"/>
      <c r="GU481" s="93"/>
      <c r="GV481" s="20"/>
      <c r="GW481" s="19"/>
      <c r="GX481" s="93"/>
      <c r="GY481" s="93"/>
      <c r="GZ481" s="93"/>
      <c r="HA481" s="93"/>
      <c r="HB481" s="20"/>
      <c r="HC481" s="19"/>
      <c r="HD481" s="93"/>
      <c r="HE481" s="93"/>
      <c r="HF481" s="93"/>
      <c r="HG481" s="93"/>
      <c r="HH481" s="20"/>
      <c r="HI481" s="19"/>
      <c r="HJ481" s="93"/>
      <c r="HK481" s="93"/>
      <c r="HL481" s="93"/>
      <c r="HM481" s="93"/>
      <c r="HN481" s="20"/>
      <c r="HO481" s="219"/>
      <c r="HP481" s="20"/>
      <c r="HQ481" s="25"/>
      <c r="HR481" s="29"/>
      <c r="HS481" s="1504">
        <v>49096</v>
      </c>
      <c r="HT481" s="19"/>
      <c r="HU481" s="93"/>
      <c r="HV481" s="93"/>
      <c r="HW481" s="93"/>
      <c r="HX481" s="93"/>
      <c r="HY481" s="93"/>
      <c r="HZ481" s="93"/>
      <c r="IA481" s="20"/>
      <c r="IB481" s="19"/>
      <c r="IC481" s="93"/>
      <c r="ID481" s="93"/>
      <c r="IE481" s="93"/>
      <c r="IF481" s="93"/>
      <c r="IG481" s="20"/>
      <c r="IH481" s="19"/>
      <c r="II481" s="93"/>
      <c r="IJ481" s="93"/>
      <c r="IK481" s="93"/>
      <c r="IL481" s="93"/>
      <c r="IM481" s="93"/>
      <c r="IN481" s="93"/>
      <c r="IO481" s="20"/>
      <c r="IP481" s="29"/>
      <c r="IQ481" s="19"/>
      <c r="IR481" s="93"/>
      <c r="IS481" s="93"/>
      <c r="IT481" s="93"/>
      <c r="IU481" s="93"/>
      <c r="IV481" s="20"/>
      <c r="IW481" s="29"/>
      <c r="IX481" s="19"/>
      <c r="IY481" s="93"/>
      <c r="IZ481" s="93"/>
      <c r="JA481" s="93"/>
      <c r="JB481" s="93"/>
      <c r="JC481" s="93"/>
      <c r="JD481" s="93"/>
      <c r="JE481" s="20"/>
      <c r="JF481" s="29"/>
      <c r="JG481" s="19"/>
      <c r="JH481" s="93"/>
      <c r="JI481" s="93"/>
      <c r="JJ481" s="93"/>
      <c r="JK481" s="93"/>
      <c r="JL481" s="93"/>
      <c r="JM481" s="93"/>
      <c r="JN481" s="20"/>
      <c r="JO481" s="29"/>
      <c r="JP481" s="19"/>
      <c r="JQ481" s="93"/>
      <c r="JR481" s="93"/>
      <c r="JS481" s="93"/>
      <c r="JT481" s="93"/>
      <c r="JU481" s="20"/>
      <c r="JV481" s="29"/>
      <c r="JW481" s="1504">
        <v>49096</v>
      </c>
      <c r="JX481" s="19"/>
      <c r="JY481" s="93"/>
      <c r="JZ481" s="93"/>
      <c r="KA481" s="93"/>
      <c r="KB481" s="93"/>
      <c r="KC481" s="93"/>
      <c r="KD481" s="20"/>
      <c r="KE481" s="29"/>
      <c r="KF481" s="19"/>
      <c r="KG481" s="93"/>
      <c r="KH481" s="93"/>
      <c r="KI481" s="93"/>
      <c r="KJ481" s="93"/>
      <c r="KK481" s="20"/>
      <c r="KL481" s="29"/>
      <c r="KM481" s="19"/>
      <c r="KN481" s="93"/>
      <c r="KO481" s="93"/>
      <c r="KP481" s="93"/>
      <c r="KQ481" s="93"/>
      <c r="KR481" s="20"/>
      <c r="KS481" s="29"/>
      <c r="KT481" s="19"/>
      <c r="KU481" s="93"/>
      <c r="KV481" s="93"/>
      <c r="KW481" s="93"/>
      <c r="KX481" s="93"/>
      <c r="KY481" s="20"/>
      <c r="KZ481" s="29"/>
      <c r="LA481" s="1504">
        <v>49096</v>
      </c>
      <c r="LB481" s="19"/>
      <c r="LC481" s="93"/>
      <c r="LD481" s="93"/>
      <c r="LE481" s="93"/>
      <c r="LF481" s="93"/>
      <c r="LG481" s="93"/>
      <c r="LH481" s="20"/>
      <c r="LI481" s="29"/>
      <c r="LJ481" s="19"/>
      <c r="LK481" s="93"/>
      <c r="LL481" s="93"/>
      <c r="LM481" s="93"/>
      <c r="LN481" s="93"/>
      <c r="LO481" s="20"/>
      <c r="LP481" s="29"/>
      <c r="LQ481" s="19"/>
      <c r="LR481" s="93"/>
      <c r="LS481" s="93"/>
      <c r="LT481" s="93"/>
      <c r="LU481" s="93"/>
      <c r="LV481" s="93"/>
      <c r="LW481" s="93"/>
      <c r="LX481" s="93"/>
      <c r="LY481" s="93"/>
      <c r="LZ481" s="93"/>
      <c r="MA481" s="20"/>
      <c r="MB481" s="29"/>
      <c r="MC481" s="1504">
        <v>49096</v>
      </c>
      <c r="MD481" s="19"/>
      <c r="ME481" s="93"/>
      <c r="MF481" s="93"/>
      <c r="MG481" s="93"/>
      <c r="MH481" s="93"/>
      <c r="MI481" s="93"/>
      <c r="MJ481" s="93"/>
      <c r="MK481" s="93"/>
      <c r="ML481" s="93"/>
      <c r="MM481" s="93"/>
      <c r="MN481" s="93"/>
      <c r="MO481" s="93"/>
      <c r="MP481" s="93"/>
      <c r="MQ481" s="93"/>
      <c r="MR481" s="93"/>
      <c r="MS481" s="93"/>
      <c r="MT481" s="93"/>
      <c r="MU481" s="93"/>
      <c r="MV481" s="93"/>
      <c r="MW481" s="93"/>
      <c r="MX481" s="93"/>
      <c r="MY481" s="93"/>
      <c r="MZ481" s="93"/>
      <c r="NA481" s="93"/>
      <c r="NB481" s="93"/>
      <c r="NC481" s="93"/>
      <c r="ND481" s="93"/>
      <c r="NE481" s="93"/>
      <c r="NF481" s="93"/>
      <c r="NG481" s="93"/>
      <c r="NH481" s="93"/>
      <c r="NI481" s="93"/>
      <c r="NJ481" s="93"/>
      <c r="NK481" s="93"/>
      <c r="NL481" s="93"/>
      <c r="NM481" s="93"/>
      <c r="NN481" s="93"/>
      <c r="NO481" s="93"/>
      <c r="NP481" s="93"/>
      <c r="NQ481" s="93"/>
      <c r="NR481" s="93"/>
      <c r="NS481" s="93"/>
      <c r="NT481" s="93"/>
      <c r="NU481" s="93"/>
      <c r="NV481" s="93"/>
      <c r="NW481" s="93"/>
      <c r="NX481" s="93"/>
      <c r="NY481" s="93"/>
      <c r="NZ481" s="93"/>
      <c r="OA481" s="93"/>
      <c r="OB481" s="93"/>
      <c r="OC481" s="93"/>
      <c r="OD481" s="20"/>
      <c r="OE481" s="29"/>
      <c r="OF481" s="1504">
        <v>49096</v>
      </c>
      <c r="OG481" s="19"/>
      <c r="OH481" s="93"/>
      <c r="OI481" s="93"/>
      <c r="OJ481" s="93"/>
      <c r="OK481" s="93"/>
      <c r="OL481" s="93"/>
      <c r="OM481" s="93"/>
      <c r="ON481" s="93"/>
      <c r="OO481" s="93"/>
      <c r="OP481" s="93"/>
      <c r="OQ481" s="93"/>
      <c r="OR481" s="93"/>
      <c r="OS481" s="93"/>
      <c r="OT481" s="93"/>
      <c r="OU481" s="93"/>
      <c r="OV481" s="93"/>
      <c r="OW481" s="93"/>
      <c r="OX481" s="93"/>
      <c r="OY481" s="93"/>
      <c r="OZ481" s="93"/>
      <c r="PA481" s="93"/>
      <c r="PB481" s="93"/>
      <c r="PC481" s="20"/>
      <c r="PD481" s="29"/>
      <c r="PE481" s="19"/>
      <c r="PF481" s="93"/>
      <c r="PG481" s="93"/>
      <c r="PH481" s="93"/>
      <c r="PI481" s="93"/>
      <c r="PJ481" s="93"/>
      <c r="PK481" s="93"/>
      <c r="PL481" s="93"/>
      <c r="PM481" s="93"/>
      <c r="PN481" s="93"/>
      <c r="PO481" s="93"/>
      <c r="PP481" s="93"/>
      <c r="PQ481" s="93"/>
      <c r="PR481" s="93"/>
      <c r="PS481" s="93"/>
      <c r="PT481" s="93"/>
      <c r="PU481" s="93"/>
      <c r="PV481" s="93"/>
      <c r="PW481" s="93"/>
      <c r="PX481" s="93"/>
      <c r="PY481" s="93"/>
      <c r="PZ481" s="93"/>
      <c r="QA481" s="93"/>
      <c r="QB481" s="93"/>
      <c r="QC481" s="93"/>
      <c r="QD481" s="93"/>
      <c r="QE481" s="20"/>
      <c r="QF481" s="1739"/>
      <c r="QG481" s="19"/>
      <c r="QH481" s="93"/>
      <c r="QI481" s="93"/>
      <c r="QJ481" s="93"/>
      <c r="QK481" s="93"/>
      <c r="QL481" s="93"/>
      <c r="QM481" s="93"/>
      <c r="QN481" s="93"/>
      <c r="QO481" s="93"/>
      <c r="QP481" s="93"/>
      <c r="QQ481" s="93"/>
      <c r="QR481" s="93"/>
      <c r="QS481" s="93"/>
      <c r="QT481" s="93"/>
      <c r="QU481" s="93"/>
      <c r="QV481" s="93"/>
      <c r="QW481" s="93"/>
      <c r="QX481" s="93"/>
      <c r="QY481" s="93"/>
      <c r="QZ481" s="93"/>
      <c r="RA481" s="93"/>
      <c r="RB481" s="93"/>
      <c r="RC481" s="93"/>
      <c r="RD481" s="93"/>
      <c r="RE481" s="93"/>
      <c r="RF481" s="93"/>
      <c r="RG481" s="93"/>
      <c r="RH481" s="93"/>
      <c r="RI481" s="93"/>
      <c r="RJ481" s="93"/>
      <c r="RK481" s="93"/>
      <c r="RL481" s="93"/>
      <c r="RM481" s="20"/>
      <c r="RN481" s="29"/>
      <c r="RO481" s="19"/>
      <c r="RP481" s="20"/>
      <c r="RQ481" s="29"/>
      <c r="RR481" s="20"/>
      <c r="RS481" s="29"/>
      <c r="RT481" s="1504">
        <v>49096</v>
      </c>
      <c r="RU481" s="19"/>
      <c r="RV481" s="20"/>
      <c r="RW481" s="29"/>
      <c r="RX481" s="1504">
        <v>49096</v>
      </c>
      <c r="RY481" s="29"/>
      <c r="RZ481" s="20"/>
      <c r="SA481" s="29"/>
      <c r="SB481" s="29"/>
    </row>
    <row r="482" spans="1:496">
      <c r="A482" s="41">
        <f t="shared" si="360"/>
        <v>2034</v>
      </c>
      <c r="B482" s="1504">
        <v>49126</v>
      </c>
      <c r="C482" s="1813"/>
      <c r="D482" s="1814"/>
      <c r="E482" s="1814"/>
      <c r="F482" s="1815"/>
      <c r="G482" s="1814"/>
      <c r="H482" s="1814"/>
      <c r="I482" s="1814"/>
      <c r="J482" s="1816"/>
      <c r="K482" s="1807"/>
      <c r="L482" s="25"/>
      <c r="M482" s="97"/>
      <c r="N482" s="1504">
        <v>49126</v>
      </c>
      <c r="O482" s="19"/>
      <c r="P482" s="93"/>
      <c r="Q482" s="93"/>
      <c r="R482" s="93"/>
      <c r="S482" s="93"/>
      <c r="T482" s="93"/>
      <c r="U482" s="93"/>
      <c r="V482" s="93"/>
      <c r="W482" s="93"/>
      <c r="X482" s="93"/>
      <c r="Y482" s="93"/>
      <c r="Z482" s="93"/>
      <c r="AA482" s="93"/>
      <c r="AB482" s="20"/>
      <c r="AC482" s="25"/>
      <c r="AD482" s="97"/>
      <c r="AE482" s="1504">
        <v>49126</v>
      </c>
      <c r="AF482" s="19"/>
      <c r="AG482" s="93"/>
      <c r="AH482" s="93"/>
      <c r="AI482" s="93"/>
      <c r="AJ482" s="93"/>
      <c r="AK482" s="93"/>
      <c r="AL482" s="93"/>
      <c r="AM482" s="93"/>
      <c r="AN482" s="93"/>
      <c r="AO482" s="93"/>
      <c r="AP482" s="93"/>
      <c r="AQ482" s="93"/>
      <c r="AR482" s="93"/>
      <c r="AS482" s="20"/>
      <c r="AT482" s="25"/>
      <c r="AU482" s="97"/>
      <c r="AV482" s="1504">
        <v>49126</v>
      </c>
      <c r="AW482" s="19"/>
      <c r="AX482" s="93"/>
      <c r="AY482" s="93"/>
      <c r="AZ482" s="93"/>
      <c r="BA482" s="93"/>
      <c r="BB482" s="93"/>
      <c r="BC482" s="93"/>
      <c r="BD482" s="93"/>
      <c r="BE482" s="93"/>
      <c r="BF482" s="93"/>
      <c r="BG482" s="93"/>
      <c r="BH482" s="93"/>
      <c r="BI482" s="93"/>
      <c r="BJ482" s="20"/>
      <c r="BK482" s="25"/>
      <c r="BL482" s="97"/>
      <c r="BM482" s="1504">
        <v>49126</v>
      </c>
      <c r="BN482" s="19"/>
      <c r="BO482" s="93"/>
      <c r="BP482" s="93"/>
      <c r="BQ482" s="93"/>
      <c r="BR482" s="93"/>
      <c r="BS482" s="93"/>
      <c r="BT482" s="93"/>
      <c r="BU482" s="20"/>
      <c r="BV482" s="25"/>
      <c r="BW482" s="97"/>
      <c r="BX482" s="1504">
        <v>49126</v>
      </c>
      <c r="BY482" s="19"/>
      <c r="BZ482" s="93"/>
      <c r="CA482" s="93"/>
      <c r="CB482" s="93"/>
      <c r="CC482" s="93"/>
      <c r="CD482" s="25"/>
      <c r="CE482" s="97"/>
      <c r="CF482" s="1504">
        <v>49126</v>
      </c>
      <c r="CG482" s="19"/>
      <c r="CH482" s="93"/>
      <c r="CI482" s="219"/>
      <c r="CJ482" s="20"/>
      <c r="CK482" s="19"/>
      <c r="CL482" s="93"/>
      <c r="CM482" s="93"/>
      <c r="CN482" s="93"/>
      <c r="CO482" s="93"/>
      <c r="CP482" s="20"/>
      <c r="CQ482" s="219"/>
      <c r="CR482" s="93"/>
      <c r="CS482" s="93"/>
      <c r="CT482" s="93"/>
      <c r="CU482" s="93"/>
      <c r="CV482" s="214"/>
      <c r="CW482" s="29"/>
      <c r="CX482" s="41">
        <f t="shared" si="359"/>
        <v>2034</v>
      </c>
      <c r="CY482" s="1504">
        <v>49126</v>
      </c>
      <c r="CZ482" s="19"/>
      <c r="DA482" s="93"/>
      <c r="DB482" s="93"/>
      <c r="DC482" s="93"/>
      <c r="DD482" s="93"/>
      <c r="DE482" s="20"/>
      <c r="DF482" s="29"/>
      <c r="DG482" s="1504">
        <v>49126</v>
      </c>
      <c r="DH482" s="19"/>
      <c r="DI482" s="93"/>
      <c r="DJ482" s="93"/>
      <c r="DK482" s="93"/>
      <c r="DL482" s="93"/>
      <c r="DM482" s="93"/>
      <c r="DN482" s="20"/>
      <c r="DO482" s="295"/>
      <c r="DP482" s="29"/>
      <c r="DQ482" s="1504">
        <v>49126</v>
      </c>
      <c r="DR482" s="19"/>
      <c r="DS482" s="93"/>
      <c r="DT482" s="93"/>
      <c r="DU482" s="93"/>
      <c r="DV482" s="93"/>
      <c r="DW482" s="93"/>
      <c r="DX482" s="20"/>
      <c r="DY482" s="29"/>
      <c r="DZ482" s="1504">
        <v>49126</v>
      </c>
      <c r="EA482" s="19"/>
      <c r="EB482" s="93"/>
      <c r="EC482" s="20"/>
      <c r="ED482" s="29"/>
      <c r="EE482" s="1504">
        <v>49126</v>
      </c>
      <c r="EF482" s="19"/>
      <c r="EG482" s="93"/>
      <c r="EH482" s="93"/>
      <c r="EI482" s="214"/>
      <c r="EJ482" s="93"/>
      <c r="EK482" s="93"/>
      <c r="EL482" s="93"/>
      <c r="EM482" s="93"/>
      <c r="EN482" s="20"/>
      <c r="EO482" s="29"/>
      <c r="EP482" s="1504">
        <v>49126</v>
      </c>
      <c r="EQ482" s="19"/>
      <c r="ER482" s="93"/>
      <c r="ES482" s="93"/>
      <c r="ET482" s="214"/>
      <c r="EU482" s="93"/>
      <c r="EV482" s="93"/>
      <c r="EW482" s="93"/>
      <c r="EX482" s="93"/>
      <c r="EY482" s="20"/>
      <c r="EZ482" s="29"/>
      <c r="FA482" s="1504">
        <v>49126</v>
      </c>
      <c r="FB482" s="29"/>
      <c r="FC482" s="29"/>
      <c r="FD482" s="29"/>
      <c r="FE482" s="29"/>
      <c r="FF482" s="29"/>
      <c r="FG482" s="29"/>
      <c r="FH482" s="29"/>
      <c r="FI482" s="29"/>
      <c r="FJ482" s="29"/>
      <c r="FK482" s="29"/>
      <c r="FL482" s="1504">
        <v>49126</v>
      </c>
      <c r="FM482" s="19"/>
      <c r="FN482" s="93"/>
      <c r="FO482" s="93"/>
      <c r="FP482" s="93"/>
      <c r="FQ482" s="93"/>
      <c r="FR482" s="93"/>
      <c r="FS482" s="93"/>
      <c r="FT482" s="93"/>
      <c r="FU482" s="93"/>
      <c r="FV482" s="93"/>
      <c r="FW482" s="93"/>
      <c r="FX482" s="93"/>
      <c r="FY482" s="93"/>
      <c r="FZ482" s="29"/>
      <c r="GA482" s="1504">
        <v>49126</v>
      </c>
      <c r="GB482" s="19"/>
      <c r="GC482" s="93"/>
      <c r="GD482" s="93"/>
      <c r="GE482" s="93"/>
      <c r="GF482" s="93"/>
      <c r="GG482" s="93"/>
      <c r="GH482" s="93"/>
      <c r="GI482" s="93"/>
      <c r="GJ482" s="93"/>
      <c r="GK482" s="93"/>
      <c r="GL482" s="93"/>
      <c r="GM482" s="93"/>
      <c r="GN482" s="20"/>
      <c r="GO482" s="29"/>
      <c r="GP482" s="1504">
        <v>49126</v>
      </c>
      <c r="GQ482" s="19"/>
      <c r="GR482" s="93"/>
      <c r="GS482" s="93"/>
      <c r="GT482" s="93"/>
      <c r="GU482" s="93"/>
      <c r="GV482" s="20"/>
      <c r="GW482" s="19"/>
      <c r="GX482" s="93"/>
      <c r="GY482" s="93"/>
      <c r="GZ482" s="93"/>
      <c r="HA482" s="93"/>
      <c r="HB482" s="20"/>
      <c r="HC482" s="19"/>
      <c r="HD482" s="93"/>
      <c r="HE482" s="93"/>
      <c r="HF482" s="93"/>
      <c r="HG482" s="93"/>
      <c r="HH482" s="20"/>
      <c r="HI482" s="19"/>
      <c r="HJ482" s="93"/>
      <c r="HK482" s="93"/>
      <c r="HL482" s="93"/>
      <c r="HM482" s="93"/>
      <c r="HN482" s="20"/>
      <c r="HO482" s="219"/>
      <c r="HP482" s="20"/>
      <c r="HQ482" s="25"/>
      <c r="HR482" s="29"/>
      <c r="HS482" s="1504">
        <v>49126</v>
      </c>
      <c r="HT482" s="19"/>
      <c r="HU482" s="93"/>
      <c r="HV482" s="93"/>
      <c r="HW482" s="93"/>
      <c r="HX482" s="93"/>
      <c r="HY482" s="93"/>
      <c r="HZ482" s="93"/>
      <c r="IA482" s="20"/>
      <c r="IB482" s="19"/>
      <c r="IC482" s="93"/>
      <c r="ID482" s="93"/>
      <c r="IE482" s="93"/>
      <c r="IF482" s="93"/>
      <c r="IG482" s="20"/>
      <c r="IH482" s="19"/>
      <c r="II482" s="93"/>
      <c r="IJ482" s="93"/>
      <c r="IK482" s="93"/>
      <c r="IL482" s="93"/>
      <c r="IM482" s="93"/>
      <c r="IN482" s="93"/>
      <c r="IO482" s="20"/>
      <c r="IP482" s="29"/>
      <c r="IQ482" s="19"/>
      <c r="IR482" s="93"/>
      <c r="IS482" s="93"/>
      <c r="IT482" s="93"/>
      <c r="IU482" s="93"/>
      <c r="IV482" s="20"/>
      <c r="IW482" s="29"/>
      <c r="IX482" s="19"/>
      <c r="IY482" s="93"/>
      <c r="IZ482" s="93"/>
      <c r="JA482" s="93"/>
      <c r="JB482" s="93"/>
      <c r="JC482" s="93"/>
      <c r="JD482" s="93"/>
      <c r="JE482" s="20"/>
      <c r="JF482" s="29"/>
      <c r="JG482" s="19"/>
      <c r="JH482" s="93"/>
      <c r="JI482" s="93"/>
      <c r="JJ482" s="93"/>
      <c r="JK482" s="93"/>
      <c r="JL482" s="93"/>
      <c r="JM482" s="93"/>
      <c r="JN482" s="20"/>
      <c r="JO482" s="29"/>
      <c r="JP482" s="19"/>
      <c r="JQ482" s="93"/>
      <c r="JR482" s="93"/>
      <c r="JS482" s="93"/>
      <c r="JT482" s="93"/>
      <c r="JU482" s="20"/>
      <c r="JV482" s="29"/>
      <c r="JW482" s="1504">
        <v>49126</v>
      </c>
      <c r="JX482" s="19"/>
      <c r="JY482" s="93"/>
      <c r="JZ482" s="93"/>
      <c r="KA482" s="93"/>
      <c r="KB482" s="93"/>
      <c r="KC482" s="93"/>
      <c r="KD482" s="20"/>
      <c r="KE482" s="29"/>
      <c r="KF482" s="19"/>
      <c r="KG482" s="93"/>
      <c r="KH482" s="93"/>
      <c r="KI482" s="93"/>
      <c r="KJ482" s="93"/>
      <c r="KK482" s="20"/>
      <c r="KL482" s="29"/>
      <c r="KM482" s="19"/>
      <c r="KN482" s="93"/>
      <c r="KO482" s="93"/>
      <c r="KP482" s="93"/>
      <c r="KQ482" s="93"/>
      <c r="KR482" s="20"/>
      <c r="KS482" s="29"/>
      <c r="KT482" s="19"/>
      <c r="KU482" s="93"/>
      <c r="KV482" s="93"/>
      <c r="KW482" s="93"/>
      <c r="KX482" s="93"/>
      <c r="KY482" s="20"/>
      <c r="KZ482" s="29"/>
      <c r="LA482" s="1504">
        <v>49126</v>
      </c>
      <c r="LB482" s="19"/>
      <c r="LC482" s="93"/>
      <c r="LD482" s="93"/>
      <c r="LE482" s="93"/>
      <c r="LF482" s="93"/>
      <c r="LG482" s="93"/>
      <c r="LH482" s="20"/>
      <c r="LI482" s="29"/>
      <c r="LJ482" s="19"/>
      <c r="LK482" s="93"/>
      <c r="LL482" s="93"/>
      <c r="LM482" s="93"/>
      <c r="LN482" s="93"/>
      <c r="LO482" s="20"/>
      <c r="LP482" s="29"/>
      <c r="LQ482" s="19"/>
      <c r="LR482" s="93"/>
      <c r="LS482" s="93"/>
      <c r="LT482" s="93"/>
      <c r="LU482" s="93"/>
      <c r="LV482" s="93"/>
      <c r="LW482" s="93"/>
      <c r="LX482" s="93"/>
      <c r="LY482" s="93"/>
      <c r="LZ482" s="93"/>
      <c r="MA482" s="20"/>
      <c r="MB482" s="29"/>
      <c r="MC482" s="1504">
        <v>49126</v>
      </c>
      <c r="MD482" s="19"/>
      <c r="ME482" s="93"/>
      <c r="MF482" s="93"/>
      <c r="MG482" s="93"/>
      <c r="MH482" s="93"/>
      <c r="MI482" s="93"/>
      <c r="MJ482" s="93"/>
      <c r="MK482" s="93"/>
      <c r="ML482" s="93"/>
      <c r="MM482" s="93"/>
      <c r="MN482" s="93"/>
      <c r="MO482" s="93"/>
      <c r="MP482" s="93"/>
      <c r="MQ482" s="93"/>
      <c r="MR482" s="93"/>
      <c r="MS482" s="93"/>
      <c r="MT482" s="93"/>
      <c r="MU482" s="93"/>
      <c r="MV482" s="93"/>
      <c r="MW482" s="93"/>
      <c r="MX482" s="93"/>
      <c r="MY482" s="93"/>
      <c r="MZ482" s="93"/>
      <c r="NA482" s="93"/>
      <c r="NB482" s="93"/>
      <c r="NC482" s="93"/>
      <c r="ND482" s="93"/>
      <c r="NE482" s="93"/>
      <c r="NF482" s="93"/>
      <c r="NG482" s="93"/>
      <c r="NH482" s="93"/>
      <c r="NI482" s="93"/>
      <c r="NJ482" s="93"/>
      <c r="NK482" s="93"/>
      <c r="NL482" s="93"/>
      <c r="NM482" s="93"/>
      <c r="NN482" s="93"/>
      <c r="NO482" s="93"/>
      <c r="NP482" s="93"/>
      <c r="NQ482" s="93"/>
      <c r="NR482" s="93"/>
      <c r="NS482" s="93"/>
      <c r="NT482" s="93"/>
      <c r="NU482" s="93"/>
      <c r="NV482" s="93"/>
      <c r="NW482" s="93"/>
      <c r="NX482" s="93"/>
      <c r="NY482" s="93"/>
      <c r="NZ482" s="93"/>
      <c r="OA482" s="93"/>
      <c r="OB482" s="93"/>
      <c r="OC482" s="93"/>
      <c r="OD482" s="20"/>
      <c r="OE482" s="29"/>
      <c r="OF482" s="1504">
        <v>49126</v>
      </c>
      <c r="OG482" s="19"/>
      <c r="OH482" s="93"/>
      <c r="OI482" s="93"/>
      <c r="OJ482" s="93"/>
      <c r="OK482" s="93"/>
      <c r="OL482" s="93"/>
      <c r="OM482" s="93"/>
      <c r="ON482" s="93"/>
      <c r="OO482" s="93"/>
      <c r="OP482" s="93"/>
      <c r="OQ482" s="93"/>
      <c r="OR482" s="93"/>
      <c r="OS482" s="93"/>
      <c r="OT482" s="93"/>
      <c r="OU482" s="93"/>
      <c r="OV482" s="93"/>
      <c r="OW482" s="93"/>
      <c r="OX482" s="93"/>
      <c r="OY482" s="93"/>
      <c r="OZ482" s="93"/>
      <c r="PA482" s="93"/>
      <c r="PB482" s="93"/>
      <c r="PC482" s="20"/>
      <c r="PD482" s="29"/>
      <c r="PE482" s="19"/>
      <c r="PF482" s="93"/>
      <c r="PG482" s="93"/>
      <c r="PH482" s="93"/>
      <c r="PI482" s="93"/>
      <c r="PJ482" s="93"/>
      <c r="PK482" s="93"/>
      <c r="PL482" s="93"/>
      <c r="PM482" s="93"/>
      <c r="PN482" s="93"/>
      <c r="PO482" s="93"/>
      <c r="PP482" s="93"/>
      <c r="PQ482" s="93"/>
      <c r="PR482" s="93"/>
      <c r="PS482" s="93"/>
      <c r="PT482" s="93"/>
      <c r="PU482" s="93"/>
      <c r="PV482" s="93"/>
      <c r="PW482" s="93"/>
      <c r="PX482" s="93"/>
      <c r="PY482" s="93"/>
      <c r="PZ482" s="93"/>
      <c r="QA482" s="93"/>
      <c r="QB482" s="93"/>
      <c r="QC482" s="93"/>
      <c r="QD482" s="93"/>
      <c r="QE482" s="20"/>
      <c r="QF482" s="1739"/>
      <c r="QG482" s="19"/>
      <c r="QH482" s="93"/>
      <c r="QI482" s="93"/>
      <c r="QJ482" s="93"/>
      <c r="QK482" s="93"/>
      <c r="QL482" s="93"/>
      <c r="QM482" s="93"/>
      <c r="QN482" s="93"/>
      <c r="QO482" s="93"/>
      <c r="QP482" s="93"/>
      <c r="QQ482" s="93"/>
      <c r="QR482" s="93"/>
      <c r="QS482" s="93"/>
      <c r="QT482" s="93"/>
      <c r="QU482" s="93"/>
      <c r="QV482" s="93"/>
      <c r="QW482" s="93"/>
      <c r="QX482" s="93"/>
      <c r="QY482" s="93"/>
      <c r="QZ482" s="93"/>
      <c r="RA482" s="93"/>
      <c r="RB482" s="93"/>
      <c r="RC482" s="93"/>
      <c r="RD482" s="93"/>
      <c r="RE482" s="93"/>
      <c r="RF482" s="93"/>
      <c r="RG482" s="93"/>
      <c r="RH482" s="93"/>
      <c r="RI482" s="93"/>
      <c r="RJ482" s="93"/>
      <c r="RK482" s="93"/>
      <c r="RL482" s="93"/>
      <c r="RM482" s="20"/>
      <c r="RN482" s="29"/>
      <c r="RO482" s="19"/>
      <c r="RP482" s="20"/>
      <c r="RQ482" s="29"/>
      <c r="RR482" s="20"/>
      <c r="RS482" s="29"/>
      <c r="RT482" s="1504">
        <v>49126</v>
      </c>
      <c r="RU482" s="19"/>
      <c r="RV482" s="20"/>
      <c r="RW482" s="29"/>
      <c r="RX482" s="1504">
        <v>49126</v>
      </c>
      <c r="RY482" s="29"/>
      <c r="RZ482" s="20"/>
      <c r="SA482" s="29"/>
      <c r="SB482" s="29"/>
    </row>
    <row r="483" spans="1:496">
      <c r="A483" s="41">
        <f t="shared" si="360"/>
        <v>2034</v>
      </c>
      <c r="B483" s="1504">
        <v>49157</v>
      </c>
      <c r="C483" s="1813"/>
      <c r="D483" s="1814"/>
      <c r="E483" s="1814"/>
      <c r="F483" s="1815"/>
      <c r="G483" s="1814"/>
      <c r="H483" s="1814"/>
      <c r="I483" s="1814"/>
      <c r="J483" s="1816"/>
      <c r="K483" s="1807"/>
      <c r="L483" s="25"/>
      <c r="M483" s="97"/>
      <c r="N483" s="1504">
        <v>49157</v>
      </c>
      <c r="O483" s="19"/>
      <c r="P483" s="93"/>
      <c r="Q483" s="93"/>
      <c r="R483" s="93"/>
      <c r="S483" s="93"/>
      <c r="T483" s="93"/>
      <c r="U483" s="93"/>
      <c r="V483" s="93"/>
      <c r="W483" s="93"/>
      <c r="X483" s="93"/>
      <c r="Y483" s="93"/>
      <c r="Z483" s="93"/>
      <c r="AA483" s="93"/>
      <c r="AB483" s="20"/>
      <c r="AC483" s="25"/>
      <c r="AD483" s="97"/>
      <c r="AE483" s="1504">
        <v>49157</v>
      </c>
      <c r="AF483" s="19"/>
      <c r="AG483" s="93"/>
      <c r="AH483" s="93"/>
      <c r="AI483" s="93"/>
      <c r="AJ483" s="93"/>
      <c r="AK483" s="93"/>
      <c r="AL483" s="93"/>
      <c r="AM483" s="93"/>
      <c r="AN483" s="93"/>
      <c r="AO483" s="93"/>
      <c r="AP483" s="93"/>
      <c r="AQ483" s="93"/>
      <c r="AR483" s="93"/>
      <c r="AS483" s="20"/>
      <c r="AT483" s="25"/>
      <c r="AU483" s="97"/>
      <c r="AV483" s="1504">
        <v>49157</v>
      </c>
      <c r="AW483" s="19"/>
      <c r="AX483" s="93"/>
      <c r="AY483" s="93"/>
      <c r="AZ483" s="93"/>
      <c r="BA483" s="93"/>
      <c r="BB483" s="93"/>
      <c r="BC483" s="93"/>
      <c r="BD483" s="93"/>
      <c r="BE483" s="93"/>
      <c r="BF483" s="93"/>
      <c r="BG483" s="93"/>
      <c r="BH483" s="93"/>
      <c r="BI483" s="93"/>
      <c r="BJ483" s="20"/>
      <c r="BK483" s="25"/>
      <c r="BL483" s="97"/>
      <c r="BM483" s="1504">
        <v>49157</v>
      </c>
      <c r="BN483" s="19"/>
      <c r="BO483" s="93"/>
      <c r="BP483" s="93"/>
      <c r="BQ483" s="93"/>
      <c r="BR483" s="93"/>
      <c r="BS483" s="93"/>
      <c r="BT483" s="93"/>
      <c r="BU483" s="20"/>
      <c r="BV483" s="25"/>
      <c r="BW483" s="97"/>
      <c r="BX483" s="1504">
        <v>49157</v>
      </c>
      <c r="BY483" s="19"/>
      <c r="BZ483" s="93"/>
      <c r="CA483" s="93"/>
      <c r="CB483" s="93"/>
      <c r="CC483" s="93"/>
      <c r="CD483" s="25"/>
      <c r="CE483" s="97"/>
      <c r="CF483" s="1504">
        <v>49157</v>
      </c>
      <c r="CG483" s="19"/>
      <c r="CH483" s="93"/>
      <c r="CI483" s="219"/>
      <c r="CJ483" s="20"/>
      <c r="CK483" s="19"/>
      <c r="CL483" s="93"/>
      <c r="CM483" s="93"/>
      <c r="CN483" s="93"/>
      <c r="CO483" s="93"/>
      <c r="CP483" s="20"/>
      <c r="CQ483" s="219"/>
      <c r="CR483" s="93"/>
      <c r="CS483" s="93"/>
      <c r="CT483" s="93"/>
      <c r="CU483" s="93"/>
      <c r="CV483" s="214"/>
      <c r="CW483" s="29"/>
      <c r="CX483" s="41">
        <f t="shared" si="359"/>
        <v>2034</v>
      </c>
      <c r="CY483" s="1504">
        <v>49157</v>
      </c>
      <c r="CZ483" s="19"/>
      <c r="DA483" s="93"/>
      <c r="DB483" s="93"/>
      <c r="DC483" s="93"/>
      <c r="DD483" s="93"/>
      <c r="DE483" s="20"/>
      <c r="DF483" s="29"/>
      <c r="DG483" s="1504">
        <v>49157</v>
      </c>
      <c r="DH483" s="19"/>
      <c r="DI483" s="93"/>
      <c r="DJ483" s="93"/>
      <c r="DK483" s="93"/>
      <c r="DL483" s="93"/>
      <c r="DM483" s="93"/>
      <c r="DN483" s="20"/>
      <c r="DO483" s="295"/>
      <c r="DP483" s="29"/>
      <c r="DQ483" s="1504">
        <v>49157</v>
      </c>
      <c r="DR483" s="19"/>
      <c r="DS483" s="93"/>
      <c r="DT483" s="93"/>
      <c r="DU483" s="93"/>
      <c r="DV483" s="93"/>
      <c r="DW483" s="93"/>
      <c r="DX483" s="20"/>
      <c r="DY483" s="29"/>
      <c r="DZ483" s="1504">
        <v>49157</v>
      </c>
      <c r="EA483" s="19"/>
      <c r="EB483" s="93"/>
      <c r="EC483" s="20"/>
      <c r="ED483" s="29"/>
      <c r="EE483" s="1504">
        <v>49157</v>
      </c>
      <c r="EF483" s="19"/>
      <c r="EG483" s="93"/>
      <c r="EH483" s="93"/>
      <c r="EI483" s="214"/>
      <c r="EJ483" s="93"/>
      <c r="EK483" s="93"/>
      <c r="EL483" s="93"/>
      <c r="EM483" s="93"/>
      <c r="EN483" s="20"/>
      <c r="EO483" s="29"/>
      <c r="EP483" s="1504">
        <v>49157</v>
      </c>
      <c r="EQ483" s="19"/>
      <c r="ER483" s="93"/>
      <c r="ES483" s="93"/>
      <c r="ET483" s="214"/>
      <c r="EU483" s="93"/>
      <c r="EV483" s="93"/>
      <c r="EW483" s="93"/>
      <c r="EX483" s="93"/>
      <c r="EY483" s="20"/>
      <c r="EZ483" s="29"/>
      <c r="FA483" s="1504">
        <v>49157</v>
      </c>
      <c r="FB483" s="29"/>
      <c r="FC483" s="29"/>
      <c r="FD483" s="29"/>
      <c r="FE483" s="29"/>
      <c r="FF483" s="29"/>
      <c r="FG483" s="29"/>
      <c r="FH483" s="29"/>
      <c r="FI483" s="29"/>
      <c r="FJ483" s="29"/>
      <c r="FK483" s="29"/>
      <c r="FL483" s="1504">
        <v>49157</v>
      </c>
      <c r="FM483" s="19"/>
      <c r="FN483" s="93"/>
      <c r="FO483" s="93"/>
      <c r="FP483" s="93"/>
      <c r="FQ483" s="93"/>
      <c r="FR483" s="93"/>
      <c r="FS483" s="93"/>
      <c r="FT483" s="93"/>
      <c r="FU483" s="93"/>
      <c r="FV483" s="93"/>
      <c r="FW483" s="93"/>
      <c r="FX483" s="93"/>
      <c r="FY483" s="93"/>
      <c r="FZ483" s="29"/>
      <c r="GA483" s="1504">
        <v>49157</v>
      </c>
      <c r="GB483" s="19"/>
      <c r="GC483" s="93"/>
      <c r="GD483" s="93"/>
      <c r="GE483" s="93"/>
      <c r="GF483" s="93"/>
      <c r="GG483" s="93"/>
      <c r="GH483" s="93"/>
      <c r="GI483" s="93"/>
      <c r="GJ483" s="93"/>
      <c r="GK483" s="93"/>
      <c r="GL483" s="93"/>
      <c r="GM483" s="93"/>
      <c r="GN483" s="20"/>
      <c r="GO483" s="29"/>
      <c r="GP483" s="1504">
        <v>49157</v>
      </c>
      <c r="GQ483" s="19"/>
      <c r="GR483" s="93"/>
      <c r="GS483" s="93"/>
      <c r="GT483" s="93"/>
      <c r="GU483" s="93"/>
      <c r="GV483" s="20"/>
      <c r="GW483" s="19"/>
      <c r="GX483" s="93"/>
      <c r="GY483" s="93"/>
      <c r="GZ483" s="93"/>
      <c r="HA483" s="93"/>
      <c r="HB483" s="20"/>
      <c r="HC483" s="19"/>
      <c r="HD483" s="93"/>
      <c r="HE483" s="93"/>
      <c r="HF483" s="93"/>
      <c r="HG483" s="93"/>
      <c r="HH483" s="20"/>
      <c r="HI483" s="19"/>
      <c r="HJ483" s="93"/>
      <c r="HK483" s="93"/>
      <c r="HL483" s="93"/>
      <c r="HM483" s="93"/>
      <c r="HN483" s="20"/>
      <c r="HO483" s="219"/>
      <c r="HP483" s="20"/>
      <c r="HQ483" s="25"/>
      <c r="HR483" s="29"/>
      <c r="HS483" s="1504">
        <v>49157</v>
      </c>
      <c r="HT483" s="19"/>
      <c r="HU483" s="93"/>
      <c r="HV483" s="93"/>
      <c r="HW483" s="93"/>
      <c r="HX483" s="93"/>
      <c r="HY483" s="93"/>
      <c r="HZ483" s="93"/>
      <c r="IA483" s="20"/>
      <c r="IB483" s="19"/>
      <c r="IC483" s="93"/>
      <c r="ID483" s="93"/>
      <c r="IE483" s="93"/>
      <c r="IF483" s="93"/>
      <c r="IG483" s="20"/>
      <c r="IH483" s="19"/>
      <c r="II483" s="93"/>
      <c r="IJ483" s="93"/>
      <c r="IK483" s="93"/>
      <c r="IL483" s="93"/>
      <c r="IM483" s="93"/>
      <c r="IN483" s="93"/>
      <c r="IO483" s="20"/>
      <c r="IP483" s="29"/>
      <c r="IQ483" s="19"/>
      <c r="IR483" s="93"/>
      <c r="IS483" s="93"/>
      <c r="IT483" s="93"/>
      <c r="IU483" s="93"/>
      <c r="IV483" s="20"/>
      <c r="IW483" s="29"/>
      <c r="IX483" s="19"/>
      <c r="IY483" s="93"/>
      <c r="IZ483" s="93"/>
      <c r="JA483" s="93"/>
      <c r="JB483" s="93"/>
      <c r="JC483" s="93"/>
      <c r="JD483" s="93"/>
      <c r="JE483" s="20"/>
      <c r="JF483" s="29"/>
      <c r="JG483" s="19"/>
      <c r="JH483" s="93"/>
      <c r="JI483" s="93"/>
      <c r="JJ483" s="93"/>
      <c r="JK483" s="93"/>
      <c r="JL483" s="93"/>
      <c r="JM483" s="93"/>
      <c r="JN483" s="20"/>
      <c r="JO483" s="29"/>
      <c r="JP483" s="19"/>
      <c r="JQ483" s="93"/>
      <c r="JR483" s="93"/>
      <c r="JS483" s="93"/>
      <c r="JT483" s="93"/>
      <c r="JU483" s="20"/>
      <c r="JV483" s="29"/>
      <c r="JW483" s="1504">
        <v>49157</v>
      </c>
      <c r="JX483" s="19"/>
      <c r="JY483" s="93"/>
      <c r="JZ483" s="93"/>
      <c r="KA483" s="93"/>
      <c r="KB483" s="93"/>
      <c r="KC483" s="93"/>
      <c r="KD483" s="20"/>
      <c r="KE483" s="29"/>
      <c r="KF483" s="19"/>
      <c r="KG483" s="93"/>
      <c r="KH483" s="93"/>
      <c r="KI483" s="93"/>
      <c r="KJ483" s="93"/>
      <c r="KK483" s="20"/>
      <c r="KL483" s="29"/>
      <c r="KM483" s="19"/>
      <c r="KN483" s="93"/>
      <c r="KO483" s="93"/>
      <c r="KP483" s="93"/>
      <c r="KQ483" s="93"/>
      <c r="KR483" s="20"/>
      <c r="KS483" s="29"/>
      <c r="KT483" s="19"/>
      <c r="KU483" s="93"/>
      <c r="KV483" s="93"/>
      <c r="KW483" s="93"/>
      <c r="KX483" s="93"/>
      <c r="KY483" s="20"/>
      <c r="KZ483" s="29"/>
      <c r="LA483" s="1504">
        <v>49157</v>
      </c>
      <c r="LB483" s="19"/>
      <c r="LC483" s="93"/>
      <c r="LD483" s="93"/>
      <c r="LE483" s="93"/>
      <c r="LF483" s="93"/>
      <c r="LG483" s="93"/>
      <c r="LH483" s="20"/>
      <c r="LI483" s="29"/>
      <c r="LJ483" s="19"/>
      <c r="LK483" s="93"/>
      <c r="LL483" s="93"/>
      <c r="LM483" s="93"/>
      <c r="LN483" s="93"/>
      <c r="LO483" s="20"/>
      <c r="LP483" s="29"/>
      <c r="LQ483" s="19"/>
      <c r="LR483" s="93"/>
      <c r="LS483" s="93"/>
      <c r="LT483" s="93"/>
      <c r="LU483" s="93"/>
      <c r="LV483" s="93"/>
      <c r="LW483" s="93"/>
      <c r="LX483" s="93"/>
      <c r="LY483" s="93"/>
      <c r="LZ483" s="93"/>
      <c r="MA483" s="20"/>
      <c r="MB483" s="29"/>
      <c r="MC483" s="1504">
        <v>49157</v>
      </c>
      <c r="MD483" s="19"/>
      <c r="ME483" s="93"/>
      <c r="MF483" s="93"/>
      <c r="MG483" s="93"/>
      <c r="MH483" s="93"/>
      <c r="MI483" s="93"/>
      <c r="MJ483" s="93"/>
      <c r="MK483" s="93"/>
      <c r="ML483" s="93"/>
      <c r="MM483" s="93"/>
      <c r="MN483" s="93"/>
      <c r="MO483" s="93"/>
      <c r="MP483" s="93"/>
      <c r="MQ483" s="93"/>
      <c r="MR483" s="93"/>
      <c r="MS483" s="93"/>
      <c r="MT483" s="93"/>
      <c r="MU483" s="93"/>
      <c r="MV483" s="93"/>
      <c r="MW483" s="93"/>
      <c r="MX483" s="93"/>
      <c r="MY483" s="93"/>
      <c r="MZ483" s="93"/>
      <c r="NA483" s="93"/>
      <c r="NB483" s="93"/>
      <c r="NC483" s="93"/>
      <c r="ND483" s="93"/>
      <c r="NE483" s="93"/>
      <c r="NF483" s="93"/>
      <c r="NG483" s="93"/>
      <c r="NH483" s="93"/>
      <c r="NI483" s="93"/>
      <c r="NJ483" s="93"/>
      <c r="NK483" s="93"/>
      <c r="NL483" s="93"/>
      <c r="NM483" s="93"/>
      <c r="NN483" s="93"/>
      <c r="NO483" s="93"/>
      <c r="NP483" s="93"/>
      <c r="NQ483" s="93"/>
      <c r="NR483" s="93"/>
      <c r="NS483" s="93"/>
      <c r="NT483" s="93"/>
      <c r="NU483" s="93"/>
      <c r="NV483" s="93"/>
      <c r="NW483" s="93"/>
      <c r="NX483" s="93"/>
      <c r="NY483" s="93"/>
      <c r="NZ483" s="93"/>
      <c r="OA483" s="93"/>
      <c r="OB483" s="93"/>
      <c r="OC483" s="93"/>
      <c r="OD483" s="20"/>
      <c r="OE483" s="29"/>
      <c r="OF483" s="1504">
        <v>49157</v>
      </c>
      <c r="OG483" s="19"/>
      <c r="OH483" s="93"/>
      <c r="OI483" s="93"/>
      <c r="OJ483" s="93"/>
      <c r="OK483" s="93"/>
      <c r="OL483" s="93"/>
      <c r="OM483" s="93"/>
      <c r="ON483" s="93"/>
      <c r="OO483" s="93"/>
      <c r="OP483" s="93"/>
      <c r="OQ483" s="93"/>
      <c r="OR483" s="93"/>
      <c r="OS483" s="93"/>
      <c r="OT483" s="93"/>
      <c r="OU483" s="93"/>
      <c r="OV483" s="93"/>
      <c r="OW483" s="93"/>
      <c r="OX483" s="93"/>
      <c r="OY483" s="93"/>
      <c r="OZ483" s="93"/>
      <c r="PA483" s="93"/>
      <c r="PB483" s="93"/>
      <c r="PC483" s="20"/>
      <c r="PD483" s="29"/>
      <c r="PE483" s="19"/>
      <c r="PF483" s="93"/>
      <c r="PG483" s="93"/>
      <c r="PH483" s="93"/>
      <c r="PI483" s="93"/>
      <c r="PJ483" s="93"/>
      <c r="PK483" s="93"/>
      <c r="PL483" s="93"/>
      <c r="PM483" s="93"/>
      <c r="PN483" s="93"/>
      <c r="PO483" s="93"/>
      <c r="PP483" s="93"/>
      <c r="PQ483" s="93"/>
      <c r="PR483" s="93"/>
      <c r="PS483" s="93"/>
      <c r="PT483" s="93"/>
      <c r="PU483" s="93"/>
      <c r="PV483" s="93"/>
      <c r="PW483" s="93"/>
      <c r="PX483" s="93"/>
      <c r="PY483" s="93"/>
      <c r="PZ483" s="93"/>
      <c r="QA483" s="93"/>
      <c r="QB483" s="93"/>
      <c r="QC483" s="93"/>
      <c r="QD483" s="93"/>
      <c r="QE483" s="20"/>
      <c r="QF483" s="1739"/>
      <c r="QG483" s="19"/>
      <c r="QH483" s="93"/>
      <c r="QI483" s="93"/>
      <c r="QJ483" s="93"/>
      <c r="QK483" s="93"/>
      <c r="QL483" s="93"/>
      <c r="QM483" s="93"/>
      <c r="QN483" s="93"/>
      <c r="QO483" s="93"/>
      <c r="QP483" s="93"/>
      <c r="QQ483" s="93"/>
      <c r="QR483" s="93"/>
      <c r="QS483" s="93"/>
      <c r="QT483" s="93"/>
      <c r="QU483" s="93"/>
      <c r="QV483" s="93"/>
      <c r="QW483" s="93"/>
      <c r="QX483" s="93"/>
      <c r="QY483" s="93"/>
      <c r="QZ483" s="93"/>
      <c r="RA483" s="93"/>
      <c r="RB483" s="93"/>
      <c r="RC483" s="93"/>
      <c r="RD483" s="93"/>
      <c r="RE483" s="93"/>
      <c r="RF483" s="93"/>
      <c r="RG483" s="93"/>
      <c r="RH483" s="93"/>
      <c r="RI483" s="93"/>
      <c r="RJ483" s="93"/>
      <c r="RK483" s="93"/>
      <c r="RL483" s="93"/>
      <c r="RM483" s="20"/>
      <c r="RN483" s="29"/>
      <c r="RO483" s="19"/>
      <c r="RP483" s="20"/>
      <c r="RQ483" s="29"/>
      <c r="RR483" s="20"/>
      <c r="RS483" s="29"/>
      <c r="RT483" s="1504">
        <v>49157</v>
      </c>
      <c r="RU483" s="19"/>
      <c r="RV483" s="20"/>
      <c r="RW483" s="29"/>
      <c r="RX483" s="1504">
        <v>49157</v>
      </c>
      <c r="RY483" s="29"/>
      <c r="RZ483" s="20"/>
      <c r="SA483" s="29"/>
      <c r="SB483" s="29"/>
    </row>
    <row r="484" spans="1:496">
      <c r="A484" s="41">
        <f t="shared" si="360"/>
        <v>2034</v>
      </c>
      <c r="B484" s="1504">
        <v>49188</v>
      </c>
      <c r="C484" s="1813"/>
      <c r="D484" s="1814"/>
      <c r="E484" s="1814"/>
      <c r="F484" s="1815"/>
      <c r="G484" s="1814"/>
      <c r="H484" s="1814"/>
      <c r="I484" s="1814"/>
      <c r="J484" s="1816"/>
      <c r="K484" s="1807"/>
      <c r="L484" s="25"/>
      <c r="M484" s="97"/>
      <c r="N484" s="1504">
        <v>49188</v>
      </c>
      <c r="O484" s="19"/>
      <c r="P484" s="93"/>
      <c r="Q484" s="93"/>
      <c r="R484" s="93"/>
      <c r="S484" s="93"/>
      <c r="T484" s="93"/>
      <c r="U484" s="93"/>
      <c r="V484" s="93"/>
      <c r="W484" s="93"/>
      <c r="X484" s="93"/>
      <c r="Y484" s="93"/>
      <c r="Z484" s="93"/>
      <c r="AA484" s="93"/>
      <c r="AB484" s="20"/>
      <c r="AC484" s="25"/>
      <c r="AD484" s="97"/>
      <c r="AE484" s="1504">
        <v>49188</v>
      </c>
      <c r="AF484" s="19"/>
      <c r="AG484" s="93"/>
      <c r="AH484" s="93"/>
      <c r="AI484" s="93"/>
      <c r="AJ484" s="93"/>
      <c r="AK484" s="93"/>
      <c r="AL484" s="93"/>
      <c r="AM484" s="93"/>
      <c r="AN484" s="93"/>
      <c r="AO484" s="93"/>
      <c r="AP484" s="93"/>
      <c r="AQ484" s="93"/>
      <c r="AR484" s="93"/>
      <c r="AS484" s="20"/>
      <c r="AT484" s="25"/>
      <c r="AU484" s="97"/>
      <c r="AV484" s="1504">
        <v>49188</v>
      </c>
      <c r="AW484" s="19"/>
      <c r="AX484" s="93"/>
      <c r="AY484" s="93"/>
      <c r="AZ484" s="93"/>
      <c r="BA484" s="93"/>
      <c r="BB484" s="93"/>
      <c r="BC484" s="93"/>
      <c r="BD484" s="93"/>
      <c r="BE484" s="93"/>
      <c r="BF484" s="93"/>
      <c r="BG484" s="93"/>
      <c r="BH484" s="93"/>
      <c r="BI484" s="93"/>
      <c r="BJ484" s="20"/>
      <c r="BK484" s="25"/>
      <c r="BL484" s="97"/>
      <c r="BM484" s="1504">
        <v>49188</v>
      </c>
      <c r="BN484" s="19"/>
      <c r="BO484" s="93"/>
      <c r="BP484" s="93"/>
      <c r="BQ484" s="93"/>
      <c r="BR484" s="93"/>
      <c r="BS484" s="93"/>
      <c r="BT484" s="93"/>
      <c r="BU484" s="20"/>
      <c r="BV484" s="25"/>
      <c r="BW484" s="97"/>
      <c r="BX484" s="1504">
        <v>49188</v>
      </c>
      <c r="BY484" s="19"/>
      <c r="BZ484" s="93"/>
      <c r="CA484" s="93"/>
      <c r="CB484" s="93"/>
      <c r="CC484" s="93"/>
      <c r="CD484" s="25"/>
      <c r="CE484" s="97"/>
      <c r="CF484" s="1504">
        <v>49188</v>
      </c>
      <c r="CG484" s="19"/>
      <c r="CH484" s="93"/>
      <c r="CI484" s="219"/>
      <c r="CJ484" s="20"/>
      <c r="CK484" s="19"/>
      <c r="CL484" s="93"/>
      <c r="CM484" s="93"/>
      <c r="CN484" s="93"/>
      <c r="CO484" s="93"/>
      <c r="CP484" s="20"/>
      <c r="CQ484" s="219"/>
      <c r="CR484" s="93"/>
      <c r="CS484" s="93"/>
      <c r="CT484" s="93"/>
      <c r="CU484" s="93"/>
      <c r="CV484" s="214"/>
      <c r="CW484" s="29"/>
      <c r="CX484" s="41">
        <f t="shared" si="359"/>
        <v>2034</v>
      </c>
      <c r="CY484" s="1504">
        <v>49188</v>
      </c>
      <c r="CZ484" s="19"/>
      <c r="DA484" s="93"/>
      <c r="DB484" s="93"/>
      <c r="DC484" s="93"/>
      <c r="DD484" s="93"/>
      <c r="DE484" s="20"/>
      <c r="DF484" s="29"/>
      <c r="DG484" s="1504">
        <v>49188</v>
      </c>
      <c r="DH484" s="19"/>
      <c r="DI484" s="93"/>
      <c r="DJ484" s="93"/>
      <c r="DK484" s="93"/>
      <c r="DL484" s="93"/>
      <c r="DM484" s="93"/>
      <c r="DN484" s="20"/>
      <c r="DO484" s="295"/>
      <c r="DP484" s="29"/>
      <c r="DQ484" s="1504">
        <v>49188</v>
      </c>
      <c r="DR484" s="19"/>
      <c r="DS484" s="93"/>
      <c r="DT484" s="93"/>
      <c r="DU484" s="93"/>
      <c r="DV484" s="93"/>
      <c r="DW484" s="93"/>
      <c r="DX484" s="20"/>
      <c r="DY484" s="29"/>
      <c r="DZ484" s="1504">
        <v>49188</v>
      </c>
      <c r="EA484" s="19"/>
      <c r="EB484" s="93"/>
      <c r="EC484" s="20"/>
      <c r="ED484" s="29"/>
      <c r="EE484" s="1504">
        <v>49188</v>
      </c>
      <c r="EF484" s="19"/>
      <c r="EG484" s="93"/>
      <c r="EH484" s="93"/>
      <c r="EI484" s="214"/>
      <c r="EJ484" s="93"/>
      <c r="EK484" s="93"/>
      <c r="EL484" s="93"/>
      <c r="EM484" s="93"/>
      <c r="EN484" s="20"/>
      <c r="EO484" s="29"/>
      <c r="EP484" s="1504">
        <v>49188</v>
      </c>
      <c r="EQ484" s="19"/>
      <c r="ER484" s="93"/>
      <c r="ES484" s="93"/>
      <c r="ET484" s="214"/>
      <c r="EU484" s="93"/>
      <c r="EV484" s="93"/>
      <c r="EW484" s="93"/>
      <c r="EX484" s="93"/>
      <c r="EY484" s="20"/>
      <c r="EZ484" s="29"/>
      <c r="FA484" s="1504">
        <v>49188</v>
      </c>
      <c r="FB484" s="29"/>
      <c r="FC484" s="29"/>
      <c r="FD484" s="29"/>
      <c r="FE484" s="29"/>
      <c r="FF484" s="29"/>
      <c r="FG484" s="29"/>
      <c r="FH484" s="29"/>
      <c r="FI484" s="29"/>
      <c r="FJ484" s="29"/>
      <c r="FK484" s="29"/>
      <c r="FL484" s="1504">
        <v>49188</v>
      </c>
      <c r="FM484" s="19"/>
      <c r="FN484" s="93"/>
      <c r="FO484" s="93"/>
      <c r="FP484" s="93"/>
      <c r="FQ484" s="93"/>
      <c r="FR484" s="93"/>
      <c r="FS484" s="93"/>
      <c r="FT484" s="93"/>
      <c r="FU484" s="93"/>
      <c r="FV484" s="93"/>
      <c r="FW484" s="93"/>
      <c r="FX484" s="93"/>
      <c r="FY484" s="93"/>
      <c r="FZ484" s="29"/>
      <c r="GA484" s="1504">
        <v>49188</v>
      </c>
      <c r="GB484" s="19"/>
      <c r="GC484" s="93"/>
      <c r="GD484" s="93"/>
      <c r="GE484" s="93"/>
      <c r="GF484" s="93"/>
      <c r="GG484" s="93"/>
      <c r="GH484" s="93"/>
      <c r="GI484" s="93"/>
      <c r="GJ484" s="93"/>
      <c r="GK484" s="93"/>
      <c r="GL484" s="93"/>
      <c r="GM484" s="93"/>
      <c r="GN484" s="20"/>
      <c r="GO484" s="29"/>
      <c r="GP484" s="1504">
        <v>49188</v>
      </c>
      <c r="GQ484" s="19"/>
      <c r="GR484" s="93"/>
      <c r="GS484" s="93"/>
      <c r="GT484" s="93"/>
      <c r="GU484" s="93"/>
      <c r="GV484" s="20"/>
      <c r="GW484" s="19"/>
      <c r="GX484" s="93"/>
      <c r="GY484" s="93"/>
      <c r="GZ484" s="93"/>
      <c r="HA484" s="93"/>
      <c r="HB484" s="20"/>
      <c r="HC484" s="19"/>
      <c r="HD484" s="93"/>
      <c r="HE484" s="93"/>
      <c r="HF484" s="93"/>
      <c r="HG484" s="93"/>
      <c r="HH484" s="20"/>
      <c r="HI484" s="19"/>
      <c r="HJ484" s="93"/>
      <c r="HK484" s="93"/>
      <c r="HL484" s="93"/>
      <c r="HM484" s="93"/>
      <c r="HN484" s="20"/>
      <c r="HO484" s="219"/>
      <c r="HP484" s="20"/>
      <c r="HQ484" s="25"/>
      <c r="HR484" s="29"/>
      <c r="HS484" s="1504">
        <v>49188</v>
      </c>
      <c r="HT484" s="19"/>
      <c r="HU484" s="93"/>
      <c r="HV484" s="93"/>
      <c r="HW484" s="93"/>
      <c r="HX484" s="93"/>
      <c r="HY484" s="93"/>
      <c r="HZ484" s="93"/>
      <c r="IA484" s="20"/>
      <c r="IB484" s="19"/>
      <c r="IC484" s="93"/>
      <c r="ID484" s="93"/>
      <c r="IE484" s="93"/>
      <c r="IF484" s="93"/>
      <c r="IG484" s="20"/>
      <c r="IH484" s="19"/>
      <c r="II484" s="93"/>
      <c r="IJ484" s="93"/>
      <c r="IK484" s="93"/>
      <c r="IL484" s="93"/>
      <c r="IM484" s="93"/>
      <c r="IN484" s="93"/>
      <c r="IO484" s="20"/>
      <c r="IP484" s="29"/>
      <c r="IQ484" s="19"/>
      <c r="IR484" s="93"/>
      <c r="IS484" s="93"/>
      <c r="IT484" s="93"/>
      <c r="IU484" s="93"/>
      <c r="IV484" s="20"/>
      <c r="IW484" s="29"/>
      <c r="IX484" s="19"/>
      <c r="IY484" s="93"/>
      <c r="IZ484" s="93"/>
      <c r="JA484" s="93"/>
      <c r="JB484" s="93"/>
      <c r="JC484" s="93"/>
      <c r="JD484" s="93"/>
      <c r="JE484" s="20"/>
      <c r="JF484" s="29"/>
      <c r="JG484" s="19"/>
      <c r="JH484" s="93"/>
      <c r="JI484" s="93"/>
      <c r="JJ484" s="93"/>
      <c r="JK484" s="93"/>
      <c r="JL484" s="93"/>
      <c r="JM484" s="93"/>
      <c r="JN484" s="20"/>
      <c r="JO484" s="29"/>
      <c r="JP484" s="19"/>
      <c r="JQ484" s="93"/>
      <c r="JR484" s="93"/>
      <c r="JS484" s="93"/>
      <c r="JT484" s="93"/>
      <c r="JU484" s="20"/>
      <c r="JV484" s="29"/>
      <c r="JW484" s="1504">
        <v>49188</v>
      </c>
      <c r="JX484" s="19"/>
      <c r="JY484" s="93"/>
      <c r="JZ484" s="93"/>
      <c r="KA484" s="93"/>
      <c r="KB484" s="93"/>
      <c r="KC484" s="93"/>
      <c r="KD484" s="20"/>
      <c r="KE484" s="29"/>
      <c r="KF484" s="19"/>
      <c r="KG484" s="93"/>
      <c r="KH484" s="93"/>
      <c r="KI484" s="93"/>
      <c r="KJ484" s="93"/>
      <c r="KK484" s="20"/>
      <c r="KL484" s="29"/>
      <c r="KM484" s="19"/>
      <c r="KN484" s="93"/>
      <c r="KO484" s="93"/>
      <c r="KP484" s="93"/>
      <c r="KQ484" s="93"/>
      <c r="KR484" s="20"/>
      <c r="KS484" s="29"/>
      <c r="KT484" s="19"/>
      <c r="KU484" s="93"/>
      <c r="KV484" s="93"/>
      <c r="KW484" s="93"/>
      <c r="KX484" s="93"/>
      <c r="KY484" s="20"/>
      <c r="KZ484" s="29"/>
      <c r="LA484" s="1504">
        <v>49188</v>
      </c>
      <c r="LB484" s="19"/>
      <c r="LC484" s="93"/>
      <c r="LD484" s="93"/>
      <c r="LE484" s="93"/>
      <c r="LF484" s="93"/>
      <c r="LG484" s="93"/>
      <c r="LH484" s="20"/>
      <c r="LI484" s="29"/>
      <c r="LJ484" s="19"/>
      <c r="LK484" s="93"/>
      <c r="LL484" s="93"/>
      <c r="LM484" s="93"/>
      <c r="LN484" s="93"/>
      <c r="LO484" s="20"/>
      <c r="LP484" s="29"/>
      <c r="LQ484" s="19"/>
      <c r="LR484" s="93"/>
      <c r="LS484" s="93"/>
      <c r="LT484" s="93"/>
      <c r="LU484" s="93"/>
      <c r="LV484" s="93"/>
      <c r="LW484" s="93"/>
      <c r="LX484" s="93"/>
      <c r="LY484" s="93"/>
      <c r="LZ484" s="93"/>
      <c r="MA484" s="20"/>
      <c r="MB484" s="29"/>
      <c r="MC484" s="1504">
        <v>49188</v>
      </c>
      <c r="MD484" s="19"/>
      <c r="ME484" s="93"/>
      <c r="MF484" s="93"/>
      <c r="MG484" s="93"/>
      <c r="MH484" s="93"/>
      <c r="MI484" s="93"/>
      <c r="MJ484" s="93"/>
      <c r="MK484" s="93"/>
      <c r="ML484" s="93"/>
      <c r="MM484" s="93"/>
      <c r="MN484" s="93"/>
      <c r="MO484" s="93"/>
      <c r="MP484" s="93"/>
      <c r="MQ484" s="93"/>
      <c r="MR484" s="93"/>
      <c r="MS484" s="93"/>
      <c r="MT484" s="93"/>
      <c r="MU484" s="93"/>
      <c r="MV484" s="93"/>
      <c r="MW484" s="93"/>
      <c r="MX484" s="93"/>
      <c r="MY484" s="93"/>
      <c r="MZ484" s="93"/>
      <c r="NA484" s="93"/>
      <c r="NB484" s="93"/>
      <c r="NC484" s="93"/>
      <c r="ND484" s="93"/>
      <c r="NE484" s="93"/>
      <c r="NF484" s="93"/>
      <c r="NG484" s="93"/>
      <c r="NH484" s="93"/>
      <c r="NI484" s="93"/>
      <c r="NJ484" s="93"/>
      <c r="NK484" s="93"/>
      <c r="NL484" s="93"/>
      <c r="NM484" s="93"/>
      <c r="NN484" s="93"/>
      <c r="NO484" s="93"/>
      <c r="NP484" s="93"/>
      <c r="NQ484" s="93"/>
      <c r="NR484" s="93"/>
      <c r="NS484" s="93"/>
      <c r="NT484" s="93"/>
      <c r="NU484" s="93"/>
      <c r="NV484" s="93"/>
      <c r="NW484" s="93"/>
      <c r="NX484" s="93"/>
      <c r="NY484" s="93"/>
      <c r="NZ484" s="93"/>
      <c r="OA484" s="93"/>
      <c r="OB484" s="93"/>
      <c r="OC484" s="93"/>
      <c r="OD484" s="20"/>
      <c r="OE484" s="29"/>
      <c r="OF484" s="1504">
        <v>49188</v>
      </c>
      <c r="OG484" s="19"/>
      <c r="OH484" s="93"/>
      <c r="OI484" s="93"/>
      <c r="OJ484" s="93"/>
      <c r="OK484" s="93"/>
      <c r="OL484" s="93"/>
      <c r="OM484" s="93"/>
      <c r="ON484" s="93"/>
      <c r="OO484" s="93"/>
      <c r="OP484" s="93"/>
      <c r="OQ484" s="93"/>
      <c r="OR484" s="93"/>
      <c r="OS484" s="93"/>
      <c r="OT484" s="93"/>
      <c r="OU484" s="93"/>
      <c r="OV484" s="93"/>
      <c r="OW484" s="93"/>
      <c r="OX484" s="93"/>
      <c r="OY484" s="93"/>
      <c r="OZ484" s="93"/>
      <c r="PA484" s="93"/>
      <c r="PB484" s="93"/>
      <c r="PC484" s="20"/>
      <c r="PD484" s="29"/>
      <c r="PE484" s="19"/>
      <c r="PF484" s="93"/>
      <c r="PG484" s="93"/>
      <c r="PH484" s="93"/>
      <c r="PI484" s="93"/>
      <c r="PJ484" s="93"/>
      <c r="PK484" s="93"/>
      <c r="PL484" s="93"/>
      <c r="PM484" s="93"/>
      <c r="PN484" s="93"/>
      <c r="PO484" s="93"/>
      <c r="PP484" s="93"/>
      <c r="PQ484" s="93"/>
      <c r="PR484" s="93"/>
      <c r="PS484" s="93"/>
      <c r="PT484" s="93"/>
      <c r="PU484" s="93"/>
      <c r="PV484" s="93"/>
      <c r="PW484" s="93"/>
      <c r="PX484" s="93"/>
      <c r="PY484" s="93"/>
      <c r="PZ484" s="93"/>
      <c r="QA484" s="93"/>
      <c r="QB484" s="93"/>
      <c r="QC484" s="93"/>
      <c r="QD484" s="93"/>
      <c r="QE484" s="20"/>
      <c r="QF484" s="1739"/>
      <c r="QG484" s="19"/>
      <c r="QH484" s="93"/>
      <c r="QI484" s="93"/>
      <c r="QJ484" s="93"/>
      <c r="QK484" s="93"/>
      <c r="QL484" s="93"/>
      <c r="QM484" s="93"/>
      <c r="QN484" s="93"/>
      <c r="QO484" s="93"/>
      <c r="QP484" s="93"/>
      <c r="QQ484" s="93"/>
      <c r="QR484" s="93"/>
      <c r="QS484" s="93"/>
      <c r="QT484" s="93"/>
      <c r="QU484" s="93"/>
      <c r="QV484" s="93"/>
      <c r="QW484" s="93"/>
      <c r="QX484" s="93"/>
      <c r="QY484" s="93"/>
      <c r="QZ484" s="93"/>
      <c r="RA484" s="93"/>
      <c r="RB484" s="93"/>
      <c r="RC484" s="93"/>
      <c r="RD484" s="93"/>
      <c r="RE484" s="93"/>
      <c r="RF484" s="93"/>
      <c r="RG484" s="93"/>
      <c r="RH484" s="93"/>
      <c r="RI484" s="93"/>
      <c r="RJ484" s="93"/>
      <c r="RK484" s="93"/>
      <c r="RL484" s="93"/>
      <c r="RM484" s="20"/>
      <c r="RN484" s="29"/>
      <c r="RO484" s="19"/>
      <c r="RP484" s="20"/>
      <c r="RQ484" s="29"/>
      <c r="RR484" s="20"/>
      <c r="RS484" s="29"/>
      <c r="RT484" s="1504">
        <v>49188</v>
      </c>
      <c r="RU484" s="19"/>
      <c r="RV484" s="20"/>
      <c r="RW484" s="29"/>
      <c r="RX484" s="1504">
        <v>49188</v>
      </c>
      <c r="RY484" s="29"/>
      <c r="RZ484" s="20"/>
      <c r="SA484" s="29"/>
      <c r="SB484" s="29"/>
    </row>
    <row r="485" spans="1:496">
      <c r="A485" s="41">
        <f t="shared" si="360"/>
        <v>2034</v>
      </c>
      <c r="B485" s="1504">
        <v>49218</v>
      </c>
      <c r="C485" s="1813"/>
      <c r="D485" s="1814"/>
      <c r="E485" s="1814"/>
      <c r="F485" s="1815"/>
      <c r="G485" s="1814"/>
      <c r="H485" s="1814"/>
      <c r="I485" s="1814"/>
      <c r="J485" s="1816"/>
      <c r="K485" s="1807"/>
      <c r="L485" s="25"/>
      <c r="M485" s="97"/>
      <c r="N485" s="1504">
        <v>49218</v>
      </c>
      <c r="O485" s="19"/>
      <c r="P485" s="93"/>
      <c r="Q485" s="93"/>
      <c r="R485" s="93"/>
      <c r="S485" s="93"/>
      <c r="T485" s="93"/>
      <c r="U485" s="93"/>
      <c r="V485" s="93"/>
      <c r="W485" s="93"/>
      <c r="X485" s="93"/>
      <c r="Y485" s="93"/>
      <c r="Z485" s="93"/>
      <c r="AA485" s="93"/>
      <c r="AB485" s="20"/>
      <c r="AC485" s="25"/>
      <c r="AD485" s="97"/>
      <c r="AE485" s="1504">
        <v>49218</v>
      </c>
      <c r="AF485" s="19"/>
      <c r="AG485" s="93"/>
      <c r="AH485" s="93"/>
      <c r="AI485" s="93"/>
      <c r="AJ485" s="93"/>
      <c r="AK485" s="93"/>
      <c r="AL485" s="93"/>
      <c r="AM485" s="93"/>
      <c r="AN485" s="93"/>
      <c r="AO485" s="93"/>
      <c r="AP485" s="93"/>
      <c r="AQ485" s="93"/>
      <c r="AR485" s="93"/>
      <c r="AS485" s="20"/>
      <c r="AT485" s="25"/>
      <c r="AU485" s="97"/>
      <c r="AV485" s="1504">
        <v>49218</v>
      </c>
      <c r="AW485" s="19"/>
      <c r="AX485" s="93"/>
      <c r="AY485" s="93"/>
      <c r="AZ485" s="93"/>
      <c r="BA485" s="93"/>
      <c r="BB485" s="93"/>
      <c r="BC485" s="93"/>
      <c r="BD485" s="93"/>
      <c r="BE485" s="93"/>
      <c r="BF485" s="93"/>
      <c r="BG485" s="93"/>
      <c r="BH485" s="93"/>
      <c r="BI485" s="93"/>
      <c r="BJ485" s="20"/>
      <c r="BK485" s="25"/>
      <c r="BL485" s="97"/>
      <c r="BM485" s="1504">
        <v>49218</v>
      </c>
      <c r="BN485" s="19"/>
      <c r="BO485" s="93"/>
      <c r="BP485" s="93"/>
      <c r="BQ485" s="93"/>
      <c r="BR485" s="93"/>
      <c r="BS485" s="93"/>
      <c r="BT485" s="93"/>
      <c r="BU485" s="20"/>
      <c r="BV485" s="25"/>
      <c r="BW485" s="97"/>
      <c r="BX485" s="1504">
        <v>49218</v>
      </c>
      <c r="BY485" s="19"/>
      <c r="BZ485" s="93"/>
      <c r="CA485" s="93"/>
      <c r="CB485" s="93"/>
      <c r="CC485" s="93"/>
      <c r="CD485" s="25"/>
      <c r="CE485" s="97"/>
      <c r="CF485" s="1504">
        <v>49218</v>
      </c>
      <c r="CG485" s="19"/>
      <c r="CH485" s="93"/>
      <c r="CI485" s="219"/>
      <c r="CJ485" s="20"/>
      <c r="CK485" s="19"/>
      <c r="CL485" s="93"/>
      <c r="CM485" s="93"/>
      <c r="CN485" s="93"/>
      <c r="CO485" s="93"/>
      <c r="CP485" s="20"/>
      <c r="CQ485" s="219"/>
      <c r="CR485" s="93"/>
      <c r="CS485" s="93"/>
      <c r="CT485" s="93"/>
      <c r="CU485" s="93"/>
      <c r="CV485" s="214"/>
      <c r="CW485" s="29"/>
      <c r="CX485" s="41">
        <f t="shared" si="359"/>
        <v>2034</v>
      </c>
      <c r="CY485" s="1504">
        <v>49218</v>
      </c>
      <c r="CZ485" s="19"/>
      <c r="DA485" s="93"/>
      <c r="DB485" s="93"/>
      <c r="DC485" s="93"/>
      <c r="DD485" s="93"/>
      <c r="DE485" s="20"/>
      <c r="DF485" s="29"/>
      <c r="DG485" s="1504">
        <v>49218</v>
      </c>
      <c r="DH485" s="19"/>
      <c r="DI485" s="93"/>
      <c r="DJ485" s="93"/>
      <c r="DK485" s="93"/>
      <c r="DL485" s="93"/>
      <c r="DM485" s="93"/>
      <c r="DN485" s="20"/>
      <c r="DO485" s="295"/>
      <c r="DP485" s="29"/>
      <c r="DQ485" s="1504">
        <v>49218</v>
      </c>
      <c r="DR485" s="19"/>
      <c r="DS485" s="93"/>
      <c r="DT485" s="93"/>
      <c r="DU485" s="93"/>
      <c r="DV485" s="93"/>
      <c r="DW485" s="93"/>
      <c r="DX485" s="20"/>
      <c r="DY485" s="29"/>
      <c r="DZ485" s="1504">
        <v>49218</v>
      </c>
      <c r="EA485" s="19"/>
      <c r="EB485" s="93"/>
      <c r="EC485" s="20"/>
      <c r="ED485" s="29"/>
      <c r="EE485" s="1504">
        <v>49218</v>
      </c>
      <c r="EF485" s="19"/>
      <c r="EG485" s="93"/>
      <c r="EH485" s="93"/>
      <c r="EI485" s="214"/>
      <c r="EJ485" s="93"/>
      <c r="EK485" s="93"/>
      <c r="EL485" s="93"/>
      <c r="EM485" s="93"/>
      <c r="EN485" s="20"/>
      <c r="EO485" s="29"/>
      <c r="EP485" s="1504">
        <v>49218</v>
      </c>
      <c r="EQ485" s="19"/>
      <c r="ER485" s="93"/>
      <c r="ES485" s="93"/>
      <c r="ET485" s="214"/>
      <c r="EU485" s="93"/>
      <c r="EV485" s="93"/>
      <c r="EW485" s="93"/>
      <c r="EX485" s="93"/>
      <c r="EY485" s="20"/>
      <c r="EZ485" s="29"/>
      <c r="FA485" s="1504">
        <v>49218</v>
      </c>
      <c r="FB485" s="29"/>
      <c r="FC485" s="29"/>
      <c r="FD485" s="29"/>
      <c r="FE485" s="29"/>
      <c r="FF485" s="29"/>
      <c r="FG485" s="29"/>
      <c r="FH485" s="29"/>
      <c r="FI485" s="29"/>
      <c r="FJ485" s="29"/>
      <c r="FK485" s="29"/>
      <c r="FL485" s="1504">
        <v>49218</v>
      </c>
      <c r="FM485" s="19"/>
      <c r="FN485" s="93"/>
      <c r="FO485" s="93"/>
      <c r="FP485" s="93"/>
      <c r="FQ485" s="93"/>
      <c r="FR485" s="93"/>
      <c r="FS485" s="93"/>
      <c r="FT485" s="93"/>
      <c r="FU485" s="93"/>
      <c r="FV485" s="93"/>
      <c r="FW485" s="93"/>
      <c r="FX485" s="93"/>
      <c r="FY485" s="93"/>
      <c r="FZ485" s="29"/>
      <c r="GA485" s="1504">
        <v>49218</v>
      </c>
      <c r="GB485" s="19"/>
      <c r="GC485" s="93"/>
      <c r="GD485" s="93"/>
      <c r="GE485" s="93"/>
      <c r="GF485" s="93"/>
      <c r="GG485" s="93"/>
      <c r="GH485" s="93"/>
      <c r="GI485" s="93"/>
      <c r="GJ485" s="93"/>
      <c r="GK485" s="93"/>
      <c r="GL485" s="93"/>
      <c r="GM485" s="93"/>
      <c r="GN485" s="20"/>
      <c r="GO485" s="29"/>
      <c r="GP485" s="1504">
        <v>49218</v>
      </c>
      <c r="GQ485" s="19"/>
      <c r="GR485" s="93"/>
      <c r="GS485" s="93"/>
      <c r="GT485" s="93"/>
      <c r="GU485" s="93"/>
      <c r="GV485" s="20"/>
      <c r="GW485" s="19"/>
      <c r="GX485" s="93"/>
      <c r="GY485" s="93"/>
      <c r="GZ485" s="93"/>
      <c r="HA485" s="93"/>
      <c r="HB485" s="20"/>
      <c r="HC485" s="19"/>
      <c r="HD485" s="93"/>
      <c r="HE485" s="93"/>
      <c r="HF485" s="93"/>
      <c r="HG485" s="93"/>
      <c r="HH485" s="20"/>
      <c r="HI485" s="19"/>
      <c r="HJ485" s="93"/>
      <c r="HK485" s="93"/>
      <c r="HL485" s="93"/>
      <c r="HM485" s="93"/>
      <c r="HN485" s="20"/>
      <c r="HO485" s="219"/>
      <c r="HP485" s="20"/>
      <c r="HQ485" s="25"/>
      <c r="HR485" s="29"/>
      <c r="HS485" s="1504">
        <v>49218</v>
      </c>
      <c r="HT485" s="19"/>
      <c r="HU485" s="93"/>
      <c r="HV485" s="93"/>
      <c r="HW485" s="93"/>
      <c r="HX485" s="93"/>
      <c r="HY485" s="93"/>
      <c r="HZ485" s="93"/>
      <c r="IA485" s="20"/>
      <c r="IB485" s="19"/>
      <c r="IC485" s="93"/>
      <c r="ID485" s="93"/>
      <c r="IE485" s="93"/>
      <c r="IF485" s="93"/>
      <c r="IG485" s="20"/>
      <c r="IH485" s="19"/>
      <c r="II485" s="93"/>
      <c r="IJ485" s="93"/>
      <c r="IK485" s="93"/>
      <c r="IL485" s="93"/>
      <c r="IM485" s="93"/>
      <c r="IN485" s="93"/>
      <c r="IO485" s="20"/>
      <c r="IP485" s="29"/>
      <c r="IQ485" s="19"/>
      <c r="IR485" s="93"/>
      <c r="IS485" s="93"/>
      <c r="IT485" s="93"/>
      <c r="IU485" s="93"/>
      <c r="IV485" s="20"/>
      <c r="IW485" s="29"/>
      <c r="IX485" s="19"/>
      <c r="IY485" s="93"/>
      <c r="IZ485" s="93"/>
      <c r="JA485" s="93"/>
      <c r="JB485" s="93"/>
      <c r="JC485" s="93"/>
      <c r="JD485" s="93"/>
      <c r="JE485" s="20"/>
      <c r="JF485" s="29"/>
      <c r="JG485" s="19"/>
      <c r="JH485" s="93"/>
      <c r="JI485" s="93"/>
      <c r="JJ485" s="93"/>
      <c r="JK485" s="93"/>
      <c r="JL485" s="93"/>
      <c r="JM485" s="93"/>
      <c r="JN485" s="20"/>
      <c r="JO485" s="29"/>
      <c r="JP485" s="19"/>
      <c r="JQ485" s="93"/>
      <c r="JR485" s="93"/>
      <c r="JS485" s="93"/>
      <c r="JT485" s="93"/>
      <c r="JU485" s="20"/>
      <c r="JV485" s="29"/>
      <c r="JW485" s="1504">
        <v>49218</v>
      </c>
      <c r="JX485" s="19"/>
      <c r="JY485" s="93"/>
      <c r="JZ485" s="93"/>
      <c r="KA485" s="93"/>
      <c r="KB485" s="93"/>
      <c r="KC485" s="93"/>
      <c r="KD485" s="20"/>
      <c r="KE485" s="29"/>
      <c r="KF485" s="19"/>
      <c r="KG485" s="93"/>
      <c r="KH485" s="93"/>
      <c r="KI485" s="93"/>
      <c r="KJ485" s="93"/>
      <c r="KK485" s="20"/>
      <c r="KL485" s="29"/>
      <c r="KM485" s="19"/>
      <c r="KN485" s="93"/>
      <c r="KO485" s="93"/>
      <c r="KP485" s="93"/>
      <c r="KQ485" s="93"/>
      <c r="KR485" s="20"/>
      <c r="KS485" s="29"/>
      <c r="KT485" s="19"/>
      <c r="KU485" s="93"/>
      <c r="KV485" s="93"/>
      <c r="KW485" s="93"/>
      <c r="KX485" s="93"/>
      <c r="KY485" s="20"/>
      <c r="KZ485" s="29"/>
      <c r="LA485" s="1504">
        <v>49218</v>
      </c>
      <c r="LB485" s="19"/>
      <c r="LC485" s="93"/>
      <c r="LD485" s="93"/>
      <c r="LE485" s="93"/>
      <c r="LF485" s="93"/>
      <c r="LG485" s="93"/>
      <c r="LH485" s="20"/>
      <c r="LI485" s="29"/>
      <c r="LJ485" s="19"/>
      <c r="LK485" s="93"/>
      <c r="LL485" s="93"/>
      <c r="LM485" s="93"/>
      <c r="LN485" s="93"/>
      <c r="LO485" s="20"/>
      <c r="LP485" s="29"/>
      <c r="LQ485" s="19"/>
      <c r="LR485" s="93"/>
      <c r="LS485" s="93"/>
      <c r="LT485" s="93"/>
      <c r="LU485" s="93"/>
      <c r="LV485" s="93"/>
      <c r="LW485" s="93"/>
      <c r="LX485" s="93"/>
      <c r="LY485" s="93"/>
      <c r="LZ485" s="93"/>
      <c r="MA485" s="20"/>
      <c r="MB485" s="29"/>
      <c r="MC485" s="1504">
        <v>49218</v>
      </c>
      <c r="MD485" s="19"/>
      <c r="ME485" s="93"/>
      <c r="MF485" s="93"/>
      <c r="MG485" s="93"/>
      <c r="MH485" s="93"/>
      <c r="MI485" s="93"/>
      <c r="MJ485" s="93"/>
      <c r="MK485" s="93"/>
      <c r="ML485" s="93"/>
      <c r="MM485" s="93"/>
      <c r="MN485" s="93"/>
      <c r="MO485" s="93"/>
      <c r="MP485" s="93"/>
      <c r="MQ485" s="93"/>
      <c r="MR485" s="93"/>
      <c r="MS485" s="93"/>
      <c r="MT485" s="93"/>
      <c r="MU485" s="93"/>
      <c r="MV485" s="93"/>
      <c r="MW485" s="93"/>
      <c r="MX485" s="93"/>
      <c r="MY485" s="93"/>
      <c r="MZ485" s="93"/>
      <c r="NA485" s="93"/>
      <c r="NB485" s="93"/>
      <c r="NC485" s="93"/>
      <c r="ND485" s="93"/>
      <c r="NE485" s="93"/>
      <c r="NF485" s="93"/>
      <c r="NG485" s="93"/>
      <c r="NH485" s="93"/>
      <c r="NI485" s="93"/>
      <c r="NJ485" s="93"/>
      <c r="NK485" s="93"/>
      <c r="NL485" s="93"/>
      <c r="NM485" s="93"/>
      <c r="NN485" s="93"/>
      <c r="NO485" s="93"/>
      <c r="NP485" s="93"/>
      <c r="NQ485" s="93"/>
      <c r="NR485" s="93"/>
      <c r="NS485" s="93"/>
      <c r="NT485" s="93"/>
      <c r="NU485" s="93"/>
      <c r="NV485" s="93"/>
      <c r="NW485" s="93"/>
      <c r="NX485" s="93"/>
      <c r="NY485" s="93"/>
      <c r="NZ485" s="93"/>
      <c r="OA485" s="93"/>
      <c r="OB485" s="93"/>
      <c r="OC485" s="93"/>
      <c r="OD485" s="20"/>
      <c r="OE485" s="29"/>
      <c r="OF485" s="1504">
        <v>49218</v>
      </c>
      <c r="OG485" s="19"/>
      <c r="OH485" s="93"/>
      <c r="OI485" s="93"/>
      <c r="OJ485" s="93"/>
      <c r="OK485" s="93"/>
      <c r="OL485" s="93"/>
      <c r="OM485" s="93"/>
      <c r="ON485" s="93"/>
      <c r="OO485" s="93"/>
      <c r="OP485" s="93"/>
      <c r="OQ485" s="93"/>
      <c r="OR485" s="93"/>
      <c r="OS485" s="93"/>
      <c r="OT485" s="93"/>
      <c r="OU485" s="93"/>
      <c r="OV485" s="93"/>
      <c r="OW485" s="93"/>
      <c r="OX485" s="93"/>
      <c r="OY485" s="93"/>
      <c r="OZ485" s="93"/>
      <c r="PA485" s="93"/>
      <c r="PB485" s="93"/>
      <c r="PC485" s="20"/>
      <c r="PD485" s="29"/>
      <c r="PE485" s="19"/>
      <c r="PF485" s="93"/>
      <c r="PG485" s="93"/>
      <c r="PH485" s="93"/>
      <c r="PI485" s="93"/>
      <c r="PJ485" s="93"/>
      <c r="PK485" s="93"/>
      <c r="PL485" s="93"/>
      <c r="PM485" s="93"/>
      <c r="PN485" s="93"/>
      <c r="PO485" s="93"/>
      <c r="PP485" s="93"/>
      <c r="PQ485" s="93"/>
      <c r="PR485" s="93"/>
      <c r="PS485" s="93"/>
      <c r="PT485" s="93"/>
      <c r="PU485" s="93"/>
      <c r="PV485" s="93"/>
      <c r="PW485" s="93"/>
      <c r="PX485" s="93"/>
      <c r="PY485" s="93"/>
      <c r="PZ485" s="93"/>
      <c r="QA485" s="93"/>
      <c r="QB485" s="93"/>
      <c r="QC485" s="93"/>
      <c r="QD485" s="93"/>
      <c r="QE485" s="20"/>
      <c r="QF485" s="1739"/>
      <c r="QG485" s="19"/>
      <c r="QH485" s="93"/>
      <c r="QI485" s="93"/>
      <c r="QJ485" s="93"/>
      <c r="QK485" s="93"/>
      <c r="QL485" s="93"/>
      <c r="QM485" s="93"/>
      <c r="QN485" s="93"/>
      <c r="QO485" s="93"/>
      <c r="QP485" s="93"/>
      <c r="QQ485" s="93"/>
      <c r="QR485" s="93"/>
      <c r="QS485" s="93"/>
      <c r="QT485" s="93"/>
      <c r="QU485" s="93"/>
      <c r="QV485" s="93"/>
      <c r="QW485" s="93"/>
      <c r="QX485" s="93"/>
      <c r="QY485" s="93"/>
      <c r="QZ485" s="93"/>
      <c r="RA485" s="93"/>
      <c r="RB485" s="93"/>
      <c r="RC485" s="93"/>
      <c r="RD485" s="93"/>
      <c r="RE485" s="93"/>
      <c r="RF485" s="93"/>
      <c r="RG485" s="93"/>
      <c r="RH485" s="93"/>
      <c r="RI485" s="93"/>
      <c r="RJ485" s="93"/>
      <c r="RK485" s="93"/>
      <c r="RL485" s="93"/>
      <c r="RM485" s="20"/>
      <c r="RN485" s="29"/>
      <c r="RO485" s="19"/>
      <c r="RP485" s="20"/>
      <c r="RQ485" s="29"/>
      <c r="RR485" s="20"/>
      <c r="RS485" s="29"/>
      <c r="RT485" s="1504">
        <v>49218</v>
      </c>
      <c r="RU485" s="19"/>
      <c r="RV485" s="20"/>
      <c r="RW485" s="29"/>
      <c r="RX485" s="1504">
        <v>49218</v>
      </c>
      <c r="RY485" s="29"/>
      <c r="RZ485" s="20"/>
      <c r="SA485" s="29"/>
      <c r="SB485" s="29"/>
    </row>
    <row r="486" spans="1:496">
      <c r="A486" s="41">
        <f t="shared" si="360"/>
        <v>2034</v>
      </c>
      <c r="B486" s="1504">
        <v>49249</v>
      </c>
      <c r="C486" s="1813"/>
      <c r="D486" s="1814"/>
      <c r="E486" s="1814"/>
      <c r="F486" s="1815"/>
      <c r="G486" s="1814"/>
      <c r="H486" s="1814"/>
      <c r="I486" s="1814"/>
      <c r="J486" s="1816"/>
      <c r="K486" s="1807"/>
      <c r="L486" s="25"/>
      <c r="M486" s="97"/>
      <c r="N486" s="1504">
        <v>49249</v>
      </c>
      <c r="O486" s="19"/>
      <c r="P486" s="93"/>
      <c r="Q486" s="93"/>
      <c r="R486" s="93"/>
      <c r="S486" s="93"/>
      <c r="T486" s="93"/>
      <c r="U486" s="93"/>
      <c r="V486" s="93"/>
      <c r="W486" s="93"/>
      <c r="X486" s="93"/>
      <c r="Y486" s="93"/>
      <c r="Z486" s="93"/>
      <c r="AA486" s="93"/>
      <c r="AB486" s="20"/>
      <c r="AC486" s="25"/>
      <c r="AD486" s="97"/>
      <c r="AE486" s="1504">
        <v>49249</v>
      </c>
      <c r="AF486" s="19"/>
      <c r="AG486" s="93"/>
      <c r="AH486" s="93"/>
      <c r="AI486" s="93"/>
      <c r="AJ486" s="93"/>
      <c r="AK486" s="93"/>
      <c r="AL486" s="93"/>
      <c r="AM486" s="93"/>
      <c r="AN486" s="93"/>
      <c r="AO486" s="93"/>
      <c r="AP486" s="93"/>
      <c r="AQ486" s="93"/>
      <c r="AR486" s="93"/>
      <c r="AS486" s="20"/>
      <c r="AT486" s="25"/>
      <c r="AU486" s="97"/>
      <c r="AV486" s="1504">
        <v>49249</v>
      </c>
      <c r="AW486" s="19"/>
      <c r="AX486" s="93"/>
      <c r="AY486" s="93"/>
      <c r="AZ486" s="93"/>
      <c r="BA486" s="93"/>
      <c r="BB486" s="93"/>
      <c r="BC486" s="93"/>
      <c r="BD486" s="93"/>
      <c r="BE486" s="93"/>
      <c r="BF486" s="93"/>
      <c r="BG486" s="93"/>
      <c r="BH486" s="93"/>
      <c r="BI486" s="93"/>
      <c r="BJ486" s="20"/>
      <c r="BK486" s="25"/>
      <c r="BL486" s="97"/>
      <c r="BM486" s="1504">
        <v>49249</v>
      </c>
      <c r="BN486" s="19"/>
      <c r="BO486" s="93"/>
      <c r="BP486" s="93"/>
      <c r="BQ486" s="93"/>
      <c r="BR486" s="93"/>
      <c r="BS486" s="93"/>
      <c r="BT486" s="93"/>
      <c r="BU486" s="20"/>
      <c r="BV486" s="25"/>
      <c r="BW486" s="97"/>
      <c r="BX486" s="1504">
        <v>49249</v>
      </c>
      <c r="BY486" s="19"/>
      <c r="BZ486" s="93"/>
      <c r="CA486" s="93"/>
      <c r="CB486" s="93"/>
      <c r="CC486" s="93"/>
      <c r="CD486" s="25"/>
      <c r="CE486" s="97"/>
      <c r="CF486" s="1504">
        <v>49249</v>
      </c>
      <c r="CG486" s="19"/>
      <c r="CH486" s="93"/>
      <c r="CI486" s="219"/>
      <c r="CJ486" s="20"/>
      <c r="CK486" s="19"/>
      <c r="CL486" s="93"/>
      <c r="CM486" s="93"/>
      <c r="CN486" s="93"/>
      <c r="CO486" s="93"/>
      <c r="CP486" s="20"/>
      <c r="CQ486" s="219"/>
      <c r="CR486" s="93"/>
      <c r="CS486" s="93"/>
      <c r="CT486" s="93"/>
      <c r="CU486" s="93"/>
      <c r="CV486" s="214"/>
      <c r="CW486" s="29"/>
      <c r="CX486" s="41">
        <f t="shared" si="359"/>
        <v>2034</v>
      </c>
      <c r="CY486" s="1504">
        <v>49249</v>
      </c>
      <c r="CZ486" s="19"/>
      <c r="DA486" s="93"/>
      <c r="DB486" s="93"/>
      <c r="DC486" s="93"/>
      <c r="DD486" s="93"/>
      <c r="DE486" s="20"/>
      <c r="DF486" s="29"/>
      <c r="DG486" s="1504">
        <v>49249</v>
      </c>
      <c r="DH486" s="19"/>
      <c r="DI486" s="93"/>
      <c r="DJ486" s="93"/>
      <c r="DK486" s="93"/>
      <c r="DL486" s="93"/>
      <c r="DM486" s="93"/>
      <c r="DN486" s="20"/>
      <c r="DO486" s="295"/>
      <c r="DP486" s="29"/>
      <c r="DQ486" s="1504">
        <v>49249</v>
      </c>
      <c r="DR486" s="19"/>
      <c r="DS486" s="93"/>
      <c r="DT486" s="93"/>
      <c r="DU486" s="93"/>
      <c r="DV486" s="93"/>
      <c r="DW486" s="93"/>
      <c r="DX486" s="20"/>
      <c r="DY486" s="29"/>
      <c r="DZ486" s="1504">
        <v>49249</v>
      </c>
      <c r="EA486" s="19"/>
      <c r="EB486" s="93"/>
      <c r="EC486" s="20"/>
      <c r="ED486" s="29"/>
      <c r="EE486" s="1504">
        <v>49249</v>
      </c>
      <c r="EF486" s="19"/>
      <c r="EG486" s="93"/>
      <c r="EH486" s="93"/>
      <c r="EI486" s="214"/>
      <c r="EJ486" s="93"/>
      <c r="EK486" s="93"/>
      <c r="EL486" s="93"/>
      <c r="EM486" s="93"/>
      <c r="EN486" s="20"/>
      <c r="EO486" s="29"/>
      <c r="EP486" s="1504">
        <v>49249</v>
      </c>
      <c r="EQ486" s="19"/>
      <c r="ER486" s="93"/>
      <c r="ES486" s="93"/>
      <c r="ET486" s="214"/>
      <c r="EU486" s="93"/>
      <c r="EV486" s="93"/>
      <c r="EW486" s="93"/>
      <c r="EX486" s="93"/>
      <c r="EY486" s="20"/>
      <c r="EZ486" s="29"/>
      <c r="FA486" s="1504">
        <v>49249</v>
      </c>
      <c r="FB486" s="29"/>
      <c r="FC486" s="29"/>
      <c r="FD486" s="29"/>
      <c r="FE486" s="29"/>
      <c r="FF486" s="29"/>
      <c r="FG486" s="29"/>
      <c r="FH486" s="29"/>
      <c r="FI486" s="29"/>
      <c r="FJ486" s="29"/>
      <c r="FK486" s="29"/>
      <c r="FL486" s="1504">
        <v>49249</v>
      </c>
      <c r="FM486" s="19"/>
      <c r="FN486" s="93"/>
      <c r="FO486" s="93"/>
      <c r="FP486" s="93"/>
      <c r="FQ486" s="93"/>
      <c r="FR486" s="93"/>
      <c r="FS486" s="93"/>
      <c r="FT486" s="93"/>
      <c r="FU486" s="93"/>
      <c r="FV486" s="93"/>
      <c r="FW486" s="93"/>
      <c r="FX486" s="93"/>
      <c r="FY486" s="93"/>
      <c r="FZ486" s="29"/>
      <c r="GA486" s="1504">
        <v>49249</v>
      </c>
      <c r="GB486" s="19"/>
      <c r="GC486" s="93"/>
      <c r="GD486" s="93"/>
      <c r="GE486" s="93"/>
      <c r="GF486" s="93"/>
      <c r="GG486" s="93"/>
      <c r="GH486" s="93"/>
      <c r="GI486" s="93"/>
      <c r="GJ486" s="93"/>
      <c r="GK486" s="93"/>
      <c r="GL486" s="93"/>
      <c r="GM486" s="93"/>
      <c r="GN486" s="20"/>
      <c r="GO486" s="29"/>
      <c r="GP486" s="1504">
        <v>49249</v>
      </c>
      <c r="GQ486" s="19"/>
      <c r="GR486" s="93"/>
      <c r="GS486" s="93"/>
      <c r="GT486" s="93"/>
      <c r="GU486" s="93"/>
      <c r="GV486" s="20"/>
      <c r="GW486" s="19"/>
      <c r="GX486" s="93"/>
      <c r="GY486" s="93"/>
      <c r="GZ486" s="93"/>
      <c r="HA486" s="93"/>
      <c r="HB486" s="20"/>
      <c r="HC486" s="19"/>
      <c r="HD486" s="93"/>
      <c r="HE486" s="93"/>
      <c r="HF486" s="93"/>
      <c r="HG486" s="93"/>
      <c r="HH486" s="20"/>
      <c r="HI486" s="19"/>
      <c r="HJ486" s="93"/>
      <c r="HK486" s="93"/>
      <c r="HL486" s="93"/>
      <c r="HM486" s="93"/>
      <c r="HN486" s="20"/>
      <c r="HO486" s="219"/>
      <c r="HP486" s="20"/>
      <c r="HQ486" s="25"/>
      <c r="HR486" s="29"/>
      <c r="HS486" s="1504">
        <v>49249</v>
      </c>
      <c r="HT486" s="19"/>
      <c r="HU486" s="93"/>
      <c r="HV486" s="93"/>
      <c r="HW486" s="93"/>
      <c r="HX486" s="93"/>
      <c r="HY486" s="93"/>
      <c r="HZ486" s="93"/>
      <c r="IA486" s="20"/>
      <c r="IB486" s="19"/>
      <c r="IC486" s="93"/>
      <c r="ID486" s="93"/>
      <c r="IE486" s="93"/>
      <c r="IF486" s="93"/>
      <c r="IG486" s="20"/>
      <c r="IH486" s="19"/>
      <c r="II486" s="93"/>
      <c r="IJ486" s="93"/>
      <c r="IK486" s="93"/>
      <c r="IL486" s="93"/>
      <c r="IM486" s="93"/>
      <c r="IN486" s="93"/>
      <c r="IO486" s="20"/>
      <c r="IP486" s="29"/>
      <c r="IQ486" s="19"/>
      <c r="IR486" s="93"/>
      <c r="IS486" s="93"/>
      <c r="IT486" s="93"/>
      <c r="IU486" s="93"/>
      <c r="IV486" s="20"/>
      <c r="IW486" s="29"/>
      <c r="IX486" s="19"/>
      <c r="IY486" s="93"/>
      <c r="IZ486" s="93"/>
      <c r="JA486" s="93"/>
      <c r="JB486" s="93"/>
      <c r="JC486" s="93"/>
      <c r="JD486" s="93"/>
      <c r="JE486" s="20"/>
      <c r="JF486" s="29"/>
      <c r="JG486" s="19"/>
      <c r="JH486" s="93"/>
      <c r="JI486" s="93"/>
      <c r="JJ486" s="93"/>
      <c r="JK486" s="93"/>
      <c r="JL486" s="93"/>
      <c r="JM486" s="93"/>
      <c r="JN486" s="20"/>
      <c r="JO486" s="29"/>
      <c r="JP486" s="19"/>
      <c r="JQ486" s="93"/>
      <c r="JR486" s="93"/>
      <c r="JS486" s="93"/>
      <c r="JT486" s="93"/>
      <c r="JU486" s="20"/>
      <c r="JV486" s="29"/>
      <c r="JW486" s="1504">
        <v>49249</v>
      </c>
      <c r="JX486" s="19"/>
      <c r="JY486" s="93"/>
      <c r="JZ486" s="93"/>
      <c r="KA486" s="93"/>
      <c r="KB486" s="93"/>
      <c r="KC486" s="93"/>
      <c r="KD486" s="20"/>
      <c r="KE486" s="29"/>
      <c r="KF486" s="19"/>
      <c r="KG486" s="93"/>
      <c r="KH486" s="93"/>
      <c r="KI486" s="93"/>
      <c r="KJ486" s="93"/>
      <c r="KK486" s="20"/>
      <c r="KL486" s="29"/>
      <c r="KM486" s="19"/>
      <c r="KN486" s="93"/>
      <c r="KO486" s="93"/>
      <c r="KP486" s="93"/>
      <c r="KQ486" s="93"/>
      <c r="KR486" s="20"/>
      <c r="KS486" s="29"/>
      <c r="KT486" s="19"/>
      <c r="KU486" s="93"/>
      <c r="KV486" s="93"/>
      <c r="KW486" s="93"/>
      <c r="KX486" s="93"/>
      <c r="KY486" s="20"/>
      <c r="KZ486" s="29"/>
      <c r="LA486" s="1504">
        <v>49249</v>
      </c>
      <c r="LB486" s="19"/>
      <c r="LC486" s="93"/>
      <c r="LD486" s="93"/>
      <c r="LE486" s="93"/>
      <c r="LF486" s="93"/>
      <c r="LG486" s="93"/>
      <c r="LH486" s="20"/>
      <c r="LI486" s="29"/>
      <c r="LJ486" s="19"/>
      <c r="LK486" s="93"/>
      <c r="LL486" s="93"/>
      <c r="LM486" s="93"/>
      <c r="LN486" s="93"/>
      <c r="LO486" s="20"/>
      <c r="LP486" s="29"/>
      <c r="LQ486" s="19"/>
      <c r="LR486" s="93"/>
      <c r="LS486" s="93"/>
      <c r="LT486" s="93"/>
      <c r="LU486" s="93"/>
      <c r="LV486" s="93"/>
      <c r="LW486" s="93"/>
      <c r="LX486" s="93"/>
      <c r="LY486" s="93"/>
      <c r="LZ486" s="93"/>
      <c r="MA486" s="20"/>
      <c r="MB486" s="29"/>
      <c r="MC486" s="1504">
        <v>49249</v>
      </c>
      <c r="MD486" s="19"/>
      <c r="ME486" s="93"/>
      <c r="MF486" s="93"/>
      <c r="MG486" s="93"/>
      <c r="MH486" s="93"/>
      <c r="MI486" s="93"/>
      <c r="MJ486" s="93"/>
      <c r="MK486" s="93"/>
      <c r="ML486" s="93"/>
      <c r="MM486" s="93"/>
      <c r="MN486" s="93"/>
      <c r="MO486" s="93"/>
      <c r="MP486" s="93"/>
      <c r="MQ486" s="93"/>
      <c r="MR486" s="93"/>
      <c r="MS486" s="93"/>
      <c r="MT486" s="93"/>
      <c r="MU486" s="93"/>
      <c r="MV486" s="93"/>
      <c r="MW486" s="93"/>
      <c r="MX486" s="93"/>
      <c r="MY486" s="93"/>
      <c r="MZ486" s="93"/>
      <c r="NA486" s="93"/>
      <c r="NB486" s="93"/>
      <c r="NC486" s="93"/>
      <c r="ND486" s="93"/>
      <c r="NE486" s="93"/>
      <c r="NF486" s="93"/>
      <c r="NG486" s="93"/>
      <c r="NH486" s="93"/>
      <c r="NI486" s="93"/>
      <c r="NJ486" s="93"/>
      <c r="NK486" s="93"/>
      <c r="NL486" s="93"/>
      <c r="NM486" s="93"/>
      <c r="NN486" s="93"/>
      <c r="NO486" s="93"/>
      <c r="NP486" s="93"/>
      <c r="NQ486" s="93"/>
      <c r="NR486" s="93"/>
      <c r="NS486" s="93"/>
      <c r="NT486" s="93"/>
      <c r="NU486" s="93"/>
      <c r="NV486" s="93"/>
      <c r="NW486" s="93"/>
      <c r="NX486" s="93"/>
      <c r="NY486" s="93"/>
      <c r="NZ486" s="93"/>
      <c r="OA486" s="93"/>
      <c r="OB486" s="93"/>
      <c r="OC486" s="93"/>
      <c r="OD486" s="20"/>
      <c r="OE486" s="29"/>
      <c r="OF486" s="1504">
        <v>49249</v>
      </c>
      <c r="OG486" s="19"/>
      <c r="OH486" s="93"/>
      <c r="OI486" s="93"/>
      <c r="OJ486" s="93"/>
      <c r="OK486" s="93"/>
      <c r="OL486" s="93"/>
      <c r="OM486" s="93"/>
      <c r="ON486" s="93"/>
      <c r="OO486" s="93"/>
      <c r="OP486" s="93"/>
      <c r="OQ486" s="93"/>
      <c r="OR486" s="93"/>
      <c r="OS486" s="93"/>
      <c r="OT486" s="93"/>
      <c r="OU486" s="93"/>
      <c r="OV486" s="93"/>
      <c r="OW486" s="93"/>
      <c r="OX486" s="93"/>
      <c r="OY486" s="93"/>
      <c r="OZ486" s="93"/>
      <c r="PA486" s="93"/>
      <c r="PB486" s="93"/>
      <c r="PC486" s="20"/>
      <c r="PD486" s="29"/>
      <c r="PE486" s="19"/>
      <c r="PF486" s="93"/>
      <c r="PG486" s="93"/>
      <c r="PH486" s="93"/>
      <c r="PI486" s="93"/>
      <c r="PJ486" s="93"/>
      <c r="PK486" s="93"/>
      <c r="PL486" s="93"/>
      <c r="PM486" s="93"/>
      <c r="PN486" s="93"/>
      <c r="PO486" s="93"/>
      <c r="PP486" s="93"/>
      <c r="PQ486" s="93"/>
      <c r="PR486" s="93"/>
      <c r="PS486" s="93"/>
      <c r="PT486" s="93"/>
      <c r="PU486" s="93"/>
      <c r="PV486" s="93"/>
      <c r="PW486" s="93"/>
      <c r="PX486" s="93"/>
      <c r="PY486" s="93"/>
      <c r="PZ486" s="93"/>
      <c r="QA486" s="93"/>
      <c r="QB486" s="93"/>
      <c r="QC486" s="93"/>
      <c r="QD486" s="93"/>
      <c r="QE486" s="20"/>
      <c r="QF486" s="1739"/>
      <c r="QG486" s="19"/>
      <c r="QH486" s="93"/>
      <c r="QI486" s="93"/>
      <c r="QJ486" s="93"/>
      <c r="QK486" s="93"/>
      <c r="QL486" s="93"/>
      <c r="QM486" s="93"/>
      <c r="QN486" s="93"/>
      <c r="QO486" s="93"/>
      <c r="QP486" s="93"/>
      <c r="QQ486" s="93"/>
      <c r="QR486" s="93"/>
      <c r="QS486" s="93"/>
      <c r="QT486" s="93"/>
      <c r="QU486" s="93"/>
      <c r="QV486" s="93"/>
      <c r="QW486" s="93"/>
      <c r="QX486" s="93"/>
      <c r="QY486" s="93"/>
      <c r="QZ486" s="93"/>
      <c r="RA486" s="93"/>
      <c r="RB486" s="93"/>
      <c r="RC486" s="93"/>
      <c r="RD486" s="93"/>
      <c r="RE486" s="93"/>
      <c r="RF486" s="93"/>
      <c r="RG486" s="93"/>
      <c r="RH486" s="93"/>
      <c r="RI486" s="93"/>
      <c r="RJ486" s="93"/>
      <c r="RK486" s="93"/>
      <c r="RL486" s="93"/>
      <c r="RM486" s="20"/>
      <c r="RN486" s="29"/>
      <c r="RO486" s="19"/>
      <c r="RP486" s="20"/>
      <c r="RQ486" s="29"/>
      <c r="RR486" s="20"/>
      <c r="RS486" s="29"/>
      <c r="RT486" s="1504">
        <v>49249</v>
      </c>
      <c r="RU486" s="19"/>
      <c r="RV486" s="20"/>
      <c r="RW486" s="29"/>
      <c r="RX486" s="1504">
        <v>49249</v>
      </c>
      <c r="RY486" s="29"/>
      <c r="RZ486" s="20"/>
      <c r="SA486" s="29"/>
      <c r="SB486" s="29"/>
    </row>
    <row r="487" spans="1:496">
      <c r="A487" s="41">
        <f t="shared" si="360"/>
        <v>2034</v>
      </c>
      <c r="B487" s="1504">
        <v>49279</v>
      </c>
      <c r="C487" s="1813"/>
      <c r="D487" s="1814"/>
      <c r="E487" s="1814"/>
      <c r="F487" s="1815"/>
      <c r="G487" s="1814"/>
      <c r="H487" s="1814"/>
      <c r="I487" s="1814"/>
      <c r="J487" s="1816"/>
      <c r="K487" s="1807"/>
      <c r="L487" s="25"/>
      <c r="M487" s="97"/>
      <c r="N487" s="1504">
        <v>49279</v>
      </c>
      <c r="O487" s="19"/>
      <c r="P487" s="93"/>
      <c r="Q487" s="93"/>
      <c r="R487" s="93"/>
      <c r="S487" s="93"/>
      <c r="T487" s="93"/>
      <c r="U487" s="93"/>
      <c r="V487" s="93"/>
      <c r="W487" s="93"/>
      <c r="X487" s="93"/>
      <c r="Y487" s="93"/>
      <c r="Z487" s="93"/>
      <c r="AA487" s="93"/>
      <c r="AB487" s="20"/>
      <c r="AC487" s="25"/>
      <c r="AD487" s="97"/>
      <c r="AE487" s="1504">
        <v>49279</v>
      </c>
      <c r="AF487" s="19"/>
      <c r="AG487" s="93"/>
      <c r="AH487" s="93"/>
      <c r="AI487" s="93"/>
      <c r="AJ487" s="93"/>
      <c r="AK487" s="93"/>
      <c r="AL487" s="93"/>
      <c r="AM487" s="93"/>
      <c r="AN487" s="93"/>
      <c r="AO487" s="93"/>
      <c r="AP487" s="93"/>
      <c r="AQ487" s="93"/>
      <c r="AR487" s="93"/>
      <c r="AS487" s="20"/>
      <c r="AT487" s="25"/>
      <c r="AU487" s="97"/>
      <c r="AV487" s="1504">
        <v>49279</v>
      </c>
      <c r="AW487" s="19"/>
      <c r="AX487" s="93"/>
      <c r="AY487" s="93"/>
      <c r="AZ487" s="93"/>
      <c r="BA487" s="93"/>
      <c r="BB487" s="93"/>
      <c r="BC487" s="93"/>
      <c r="BD487" s="93"/>
      <c r="BE487" s="93"/>
      <c r="BF487" s="93"/>
      <c r="BG487" s="93"/>
      <c r="BH487" s="93"/>
      <c r="BI487" s="93"/>
      <c r="BJ487" s="20"/>
      <c r="BK487" s="25"/>
      <c r="BL487" s="97"/>
      <c r="BM487" s="1504">
        <v>49279</v>
      </c>
      <c r="BN487" s="19"/>
      <c r="BO487" s="93"/>
      <c r="BP487" s="93"/>
      <c r="BQ487" s="93"/>
      <c r="BR487" s="93"/>
      <c r="BS487" s="93"/>
      <c r="BT487" s="93"/>
      <c r="BU487" s="20"/>
      <c r="BV487" s="25"/>
      <c r="BW487" s="97"/>
      <c r="BX487" s="1504">
        <v>49279</v>
      </c>
      <c r="BY487" s="19"/>
      <c r="BZ487" s="93"/>
      <c r="CA487" s="93"/>
      <c r="CB487" s="93"/>
      <c r="CC487" s="93"/>
      <c r="CD487" s="25"/>
      <c r="CE487" s="97"/>
      <c r="CF487" s="1504">
        <v>49279</v>
      </c>
      <c r="CG487" s="19"/>
      <c r="CH487" s="93"/>
      <c r="CI487" s="219"/>
      <c r="CJ487" s="20"/>
      <c r="CK487" s="19"/>
      <c r="CL487" s="93"/>
      <c r="CM487" s="93"/>
      <c r="CN487" s="93"/>
      <c r="CO487" s="93"/>
      <c r="CP487" s="20"/>
      <c r="CQ487" s="219"/>
      <c r="CR487" s="93"/>
      <c r="CS487" s="93"/>
      <c r="CT487" s="93"/>
      <c r="CU487" s="93"/>
      <c r="CV487" s="214"/>
      <c r="CW487" s="29"/>
      <c r="CX487" s="41">
        <f t="shared" si="359"/>
        <v>2034</v>
      </c>
      <c r="CY487" s="1504">
        <v>49279</v>
      </c>
      <c r="CZ487" s="19"/>
      <c r="DA487" s="93"/>
      <c r="DB487" s="93"/>
      <c r="DC487" s="93"/>
      <c r="DD487" s="93"/>
      <c r="DE487" s="20"/>
      <c r="DF487" s="29"/>
      <c r="DG487" s="1504">
        <v>49279</v>
      </c>
      <c r="DH487" s="19"/>
      <c r="DI487" s="93"/>
      <c r="DJ487" s="93"/>
      <c r="DK487" s="93"/>
      <c r="DL487" s="93"/>
      <c r="DM487" s="93"/>
      <c r="DN487" s="20"/>
      <c r="DO487" s="295"/>
      <c r="DP487" s="29"/>
      <c r="DQ487" s="1504">
        <v>49279</v>
      </c>
      <c r="DR487" s="19"/>
      <c r="DS487" s="93"/>
      <c r="DT487" s="93"/>
      <c r="DU487" s="93"/>
      <c r="DV487" s="93"/>
      <c r="DW487" s="93"/>
      <c r="DX487" s="20"/>
      <c r="DY487" s="29"/>
      <c r="DZ487" s="1504">
        <v>49279</v>
      </c>
      <c r="EA487" s="19"/>
      <c r="EB487" s="93"/>
      <c r="EC487" s="20"/>
      <c r="ED487" s="29"/>
      <c r="EE487" s="1504">
        <v>49279</v>
      </c>
      <c r="EF487" s="19"/>
      <c r="EG487" s="93"/>
      <c r="EH487" s="93"/>
      <c r="EI487" s="214"/>
      <c r="EJ487" s="93"/>
      <c r="EK487" s="93"/>
      <c r="EL487" s="93"/>
      <c r="EM487" s="93"/>
      <c r="EN487" s="20"/>
      <c r="EO487" s="29"/>
      <c r="EP487" s="1504">
        <v>49279</v>
      </c>
      <c r="EQ487" s="19"/>
      <c r="ER487" s="93"/>
      <c r="ES487" s="93"/>
      <c r="ET487" s="214"/>
      <c r="EU487" s="93"/>
      <c r="EV487" s="93"/>
      <c r="EW487" s="93"/>
      <c r="EX487" s="93"/>
      <c r="EY487" s="20"/>
      <c r="EZ487" s="29"/>
      <c r="FA487" s="1504">
        <v>49279</v>
      </c>
      <c r="FB487" s="29"/>
      <c r="FC487" s="29"/>
      <c r="FD487" s="29"/>
      <c r="FE487" s="29"/>
      <c r="FF487" s="29"/>
      <c r="FG487" s="29"/>
      <c r="FH487" s="29"/>
      <c r="FI487" s="29"/>
      <c r="FJ487" s="29"/>
      <c r="FK487" s="29"/>
      <c r="FL487" s="1504">
        <v>49279</v>
      </c>
      <c r="FM487" s="19"/>
      <c r="FN487" s="93"/>
      <c r="FO487" s="93"/>
      <c r="FP487" s="93"/>
      <c r="FQ487" s="93"/>
      <c r="FR487" s="93"/>
      <c r="FS487" s="93"/>
      <c r="FT487" s="93"/>
      <c r="FU487" s="93"/>
      <c r="FV487" s="93"/>
      <c r="FW487" s="93"/>
      <c r="FX487" s="93"/>
      <c r="FY487" s="93"/>
      <c r="FZ487" s="29"/>
      <c r="GA487" s="1504">
        <v>49279</v>
      </c>
      <c r="GB487" s="19"/>
      <c r="GC487" s="93"/>
      <c r="GD487" s="93"/>
      <c r="GE487" s="93"/>
      <c r="GF487" s="93"/>
      <c r="GG487" s="93"/>
      <c r="GH487" s="93"/>
      <c r="GI487" s="93"/>
      <c r="GJ487" s="93"/>
      <c r="GK487" s="93"/>
      <c r="GL487" s="93"/>
      <c r="GM487" s="93"/>
      <c r="GN487" s="20"/>
      <c r="GO487" s="29"/>
      <c r="GP487" s="1504">
        <v>49279</v>
      </c>
      <c r="GQ487" s="19"/>
      <c r="GR487" s="93"/>
      <c r="GS487" s="93"/>
      <c r="GT487" s="93"/>
      <c r="GU487" s="93"/>
      <c r="GV487" s="20"/>
      <c r="GW487" s="19"/>
      <c r="GX487" s="93"/>
      <c r="GY487" s="93"/>
      <c r="GZ487" s="93"/>
      <c r="HA487" s="93"/>
      <c r="HB487" s="20"/>
      <c r="HC487" s="19"/>
      <c r="HD487" s="93"/>
      <c r="HE487" s="93"/>
      <c r="HF487" s="93"/>
      <c r="HG487" s="93"/>
      <c r="HH487" s="20"/>
      <c r="HI487" s="19"/>
      <c r="HJ487" s="93"/>
      <c r="HK487" s="93"/>
      <c r="HL487" s="93"/>
      <c r="HM487" s="93"/>
      <c r="HN487" s="20"/>
      <c r="HO487" s="219"/>
      <c r="HP487" s="20"/>
      <c r="HQ487" s="25"/>
      <c r="HR487" s="29"/>
      <c r="HS487" s="1504">
        <v>49279</v>
      </c>
      <c r="HT487" s="19"/>
      <c r="HU487" s="93"/>
      <c r="HV487" s="93"/>
      <c r="HW487" s="93"/>
      <c r="HX487" s="93"/>
      <c r="HY487" s="93"/>
      <c r="HZ487" s="93"/>
      <c r="IA487" s="20"/>
      <c r="IB487" s="19"/>
      <c r="IC487" s="93"/>
      <c r="ID487" s="93"/>
      <c r="IE487" s="93"/>
      <c r="IF487" s="93"/>
      <c r="IG487" s="20"/>
      <c r="IH487" s="19"/>
      <c r="II487" s="93"/>
      <c r="IJ487" s="93"/>
      <c r="IK487" s="93"/>
      <c r="IL487" s="93"/>
      <c r="IM487" s="93"/>
      <c r="IN487" s="93"/>
      <c r="IO487" s="20"/>
      <c r="IP487" s="29"/>
      <c r="IQ487" s="19"/>
      <c r="IR487" s="93"/>
      <c r="IS487" s="93"/>
      <c r="IT487" s="93"/>
      <c r="IU487" s="93"/>
      <c r="IV487" s="20"/>
      <c r="IW487" s="29"/>
      <c r="IX487" s="19"/>
      <c r="IY487" s="93"/>
      <c r="IZ487" s="93"/>
      <c r="JA487" s="93"/>
      <c r="JB487" s="93"/>
      <c r="JC487" s="93"/>
      <c r="JD487" s="93"/>
      <c r="JE487" s="20"/>
      <c r="JF487" s="29"/>
      <c r="JG487" s="19"/>
      <c r="JH487" s="93"/>
      <c r="JI487" s="93"/>
      <c r="JJ487" s="93"/>
      <c r="JK487" s="93"/>
      <c r="JL487" s="93"/>
      <c r="JM487" s="93"/>
      <c r="JN487" s="20"/>
      <c r="JO487" s="29"/>
      <c r="JP487" s="19"/>
      <c r="JQ487" s="93"/>
      <c r="JR487" s="93"/>
      <c r="JS487" s="93"/>
      <c r="JT487" s="93"/>
      <c r="JU487" s="20"/>
      <c r="JV487" s="29"/>
      <c r="JW487" s="1504">
        <v>49279</v>
      </c>
      <c r="JX487" s="19"/>
      <c r="JY487" s="93"/>
      <c r="JZ487" s="93"/>
      <c r="KA487" s="93"/>
      <c r="KB487" s="93"/>
      <c r="KC487" s="93"/>
      <c r="KD487" s="20"/>
      <c r="KE487" s="29"/>
      <c r="KF487" s="19"/>
      <c r="KG487" s="93"/>
      <c r="KH487" s="93"/>
      <c r="KI487" s="93"/>
      <c r="KJ487" s="93"/>
      <c r="KK487" s="20"/>
      <c r="KL487" s="29"/>
      <c r="KM487" s="19"/>
      <c r="KN487" s="93"/>
      <c r="KO487" s="93"/>
      <c r="KP487" s="93"/>
      <c r="KQ487" s="93"/>
      <c r="KR487" s="20"/>
      <c r="KS487" s="29"/>
      <c r="KT487" s="19"/>
      <c r="KU487" s="93"/>
      <c r="KV487" s="93"/>
      <c r="KW487" s="93"/>
      <c r="KX487" s="93"/>
      <c r="KY487" s="20"/>
      <c r="KZ487" s="29"/>
      <c r="LA487" s="1504">
        <v>49279</v>
      </c>
      <c r="LB487" s="19"/>
      <c r="LC487" s="93"/>
      <c r="LD487" s="93"/>
      <c r="LE487" s="93"/>
      <c r="LF487" s="93"/>
      <c r="LG487" s="93"/>
      <c r="LH487" s="20"/>
      <c r="LI487" s="29"/>
      <c r="LJ487" s="19"/>
      <c r="LK487" s="93"/>
      <c r="LL487" s="93"/>
      <c r="LM487" s="93"/>
      <c r="LN487" s="93"/>
      <c r="LO487" s="20"/>
      <c r="LP487" s="29"/>
      <c r="LQ487" s="19"/>
      <c r="LR487" s="93"/>
      <c r="LS487" s="93"/>
      <c r="LT487" s="93"/>
      <c r="LU487" s="93"/>
      <c r="LV487" s="93"/>
      <c r="LW487" s="93"/>
      <c r="LX487" s="93"/>
      <c r="LY487" s="93"/>
      <c r="LZ487" s="93"/>
      <c r="MA487" s="20"/>
      <c r="MB487" s="29"/>
      <c r="MC487" s="1504">
        <v>49279</v>
      </c>
      <c r="MD487" s="19"/>
      <c r="ME487" s="93"/>
      <c r="MF487" s="93"/>
      <c r="MG487" s="93"/>
      <c r="MH487" s="93"/>
      <c r="MI487" s="93"/>
      <c r="MJ487" s="93"/>
      <c r="MK487" s="93"/>
      <c r="ML487" s="93"/>
      <c r="MM487" s="93"/>
      <c r="MN487" s="93"/>
      <c r="MO487" s="93"/>
      <c r="MP487" s="93"/>
      <c r="MQ487" s="93"/>
      <c r="MR487" s="93"/>
      <c r="MS487" s="93"/>
      <c r="MT487" s="93"/>
      <c r="MU487" s="93"/>
      <c r="MV487" s="93"/>
      <c r="MW487" s="93"/>
      <c r="MX487" s="93"/>
      <c r="MY487" s="93"/>
      <c r="MZ487" s="93"/>
      <c r="NA487" s="93"/>
      <c r="NB487" s="93"/>
      <c r="NC487" s="93"/>
      <c r="ND487" s="93"/>
      <c r="NE487" s="93"/>
      <c r="NF487" s="93"/>
      <c r="NG487" s="93"/>
      <c r="NH487" s="93"/>
      <c r="NI487" s="93"/>
      <c r="NJ487" s="93"/>
      <c r="NK487" s="93"/>
      <c r="NL487" s="93"/>
      <c r="NM487" s="93"/>
      <c r="NN487" s="93"/>
      <c r="NO487" s="93"/>
      <c r="NP487" s="93"/>
      <c r="NQ487" s="93"/>
      <c r="NR487" s="93"/>
      <c r="NS487" s="93"/>
      <c r="NT487" s="93"/>
      <c r="NU487" s="93"/>
      <c r="NV487" s="93"/>
      <c r="NW487" s="93"/>
      <c r="NX487" s="93"/>
      <c r="NY487" s="93"/>
      <c r="NZ487" s="93"/>
      <c r="OA487" s="93"/>
      <c r="OB487" s="93"/>
      <c r="OC487" s="93"/>
      <c r="OD487" s="20"/>
      <c r="OE487" s="29"/>
      <c r="OF487" s="1504">
        <v>49279</v>
      </c>
      <c r="OG487" s="19"/>
      <c r="OH487" s="93"/>
      <c r="OI487" s="93"/>
      <c r="OJ487" s="93"/>
      <c r="OK487" s="93"/>
      <c r="OL487" s="93"/>
      <c r="OM487" s="93"/>
      <c r="ON487" s="93"/>
      <c r="OO487" s="93"/>
      <c r="OP487" s="93"/>
      <c r="OQ487" s="93"/>
      <c r="OR487" s="93"/>
      <c r="OS487" s="93"/>
      <c r="OT487" s="93"/>
      <c r="OU487" s="93"/>
      <c r="OV487" s="93"/>
      <c r="OW487" s="93"/>
      <c r="OX487" s="93"/>
      <c r="OY487" s="93"/>
      <c r="OZ487" s="93"/>
      <c r="PA487" s="93"/>
      <c r="PB487" s="93"/>
      <c r="PC487" s="20"/>
      <c r="PD487" s="29"/>
      <c r="PE487" s="19"/>
      <c r="PF487" s="93"/>
      <c r="PG487" s="93"/>
      <c r="PH487" s="93"/>
      <c r="PI487" s="93"/>
      <c r="PJ487" s="93"/>
      <c r="PK487" s="93"/>
      <c r="PL487" s="93"/>
      <c r="PM487" s="93"/>
      <c r="PN487" s="93"/>
      <c r="PO487" s="93"/>
      <c r="PP487" s="93"/>
      <c r="PQ487" s="93"/>
      <c r="PR487" s="93"/>
      <c r="PS487" s="93"/>
      <c r="PT487" s="93"/>
      <c r="PU487" s="93"/>
      <c r="PV487" s="93"/>
      <c r="PW487" s="93"/>
      <c r="PX487" s="93"/>
      <c r="PY487" s="93"/>
      <c r="PZ487" s="93"/>
      <c r="QA487" s="93"/>
      <c r="QB487" s="93"/>
      <c r="QC487" s="93"/>
      <c r="QD487" s="93"/>
      <c r="QE487" s="20"/>
      <c r="QF487" s="1739"/>
      <c r="QG487" s="19"/>
      <c r="QH487" s="93"/>
      <c r="QI487" s="93"/>
      <c r="QJ487" s="93"/>
      <c r="QK487" s="93"/>
      <c r="QL487" s="93"/>
      <c r="QM487" s="93"/>
      <c r="QN487" s="93"/>
      <c r="QO487" s="93"/>
      <c r="QP487" s="93"/>
      <c r="QQ487" s="93"/>
      <c r="QR487" s="93"/>
      <c r="QS487" s="93"/>
      <c r="QT487" s="93"/>
      <c r="QU487" s="93"/>
      <c r="QV487" s="93"/>
      <c r="QW487" s="93"/>
      <c r="QX487" s="93"/>
      <c r="QY487" s="93"/>
      <c r="QZ487" s="93"/>
      <c r="RA487" s="93"/>
      <c r="RB487" s="93"/>
      <c r="RC487" s="93"/>
      <c r="RD487" s="93"/>
      <c r="RE487" s="93"/>
      <c r="RF487" s="93"/>
      <c r="RG487" s="93"/>
      <c r="RH487" s="93"/>
      <c r="RI487" s="93"/>
      <c r="RJ487" s="93"/>
      <c r="RK487" s="93"/>
      <c r="RL487" s="93"/>
      <c r="RM487" s="20"/>
      <c r="RN487" s="29"/>
      <c r="RO487" s="19"/>
      <c r="RP487" s="20"/>
      <c r="RQ487" s="29"/>
      <c r="RR487" s="20"/>
      <c r="RS487" s="29"/>
      <c r="RT487" s="1504">
        <v>49279</v>
      </c>
      <c r="RU487" s="19"/>
      <c r="RV487" s="20"/>
      <c r="RW487" s="29"/>
      <c r="RX487" s="1504">
        <v>49279</v>
      </c>
      <c r="RY487" s="29"/>
      <c r="RZ487" s="20"/>
      <c r="SA487" s="29"/>
      <c r="SB487" s="29"/>
    </row>
    <row r="488" spans="1:496">
      <c r="A488" s="41">
        <f t="shared" si="360"/>
        <v>2035</v>
      </c>
      <c r="B488" s="1504">
        <v>49310</v>
      </c>
      <c r="C488" s="1813"/>
      <c r="D488" s="1814"/>
      <c r="E488" s="1814"/>
      <c r="F488" s="1815"/>
      <c r="G488" s="1814"/>
      <c r="H488" s="1814"/>
      <c r="I488" s="1814"/>
      <c r="J488" s="1816"/>
      <c r="K488" s="1807"/>
      <c r="L488" s="25"/>
      <c r="M488" s="97"/>
      <c r="N488" s="1504">
        <v>49310</v>
      </c>
      <c r="O488" s="19"/>
      <c r="P488" s="93"/>
      <c r="Q488" s="93"/>
      <c r="R488" s="93"/>
      <c r="S488" s="93"/>
      <c r="T488" s="93"/>
      <c r="U488" s="93"/>
      <c r="V488" s="93"/>
      <c r="W488" s="93"/>
      <c r="X488" s="93"/>
      <c r="Y488" s="93"/>
      <c r="Z488" s="93"/>
      <c r="AA488" s="93"/>
      <c r="AB488" s="20"/>
      <c r="AC488" s="25"/>
      <c r="AD488" s="97"/>
      <c r="AE488" s="1504">
        <v>49310</v>
      </c>
      <c r="AF488" s="19"/>
      <c r="AG488" s="93"/>
      <c r="AH488" s="93"/>
      <c r="AI488" s="93"/>
      <c r="AJ488" s="93"/>
      <c r="AK488" s="93"/>
      <c r="AL488" s="93"/>
      <c r="AM488" s="93"/>
      <c r="AN488" s="93"/>
      <c r="AO488" s="93"/>
      <c r="AP488" s="93"/>
      <c r="AQ488" s="93"/>
      <c r="AR488" s="93"/>
      <c r="AS488" s="20"/>
      <c r="AT488" s="25"/>
      <c r="AU488" s="97"/>
      <c r="AV488" s="1504">
        <v>49310</v>
      </c>
      <c r="AW488" s="19"/>
      <c r="AX488" s="93"/>
      <c r="AY488" s="93"/>
      <c r="AZ488" s="93"/>
      <c r="BA488" s="93"/>
      <c r="BB488" s="93"/>
      <c r="BC488" s="93"/>
      <c r="BD488" s="93"/>
      <c r="BE488" s="93"/>
      <c r="BF488" s="93"/>
      <c r="BG488" s="93"/>
      <c r="BH488" s="93"/>
      <c r="BI488" s="93"/>
      <c r="BJ488" s="20"/>
      <c r="BK488" s="25"/>
      <c r="BL488" s="97"/>
      <c r="BM488" s="1504">
        <v>49310</v>
      </c>
      <c r="BN488" s="19"/>
      <c r="BO488" s="93"/>
      <c r="BP488" s="93"/>
      <c r="BQ488" s="93"/>
      <c r="BR488" s="93"/>
      <c r="BS488" s="93"/>
      <c r="BT488" s="93"/>
      <c r="BU488" s="20"/>
      <c r="BV488" s="25"/>
      <c r="BW488" s="97"/>
      <c r="BX488" s="1504">
        <v>49310</v>
      </c>
      <c r="BY488" s="19"/>
      <c r="BZ488" s="93"/>
      <c r="CA488" s="93"/>
      <c r="CB488" s="93"/>
      <c r="CC488" s="93"/>
      <c r="CD488" s="25"/>
      <c r="CE488" s="97"/>
      <c r="CF488" s="1504">
        <v>49310</v>
      </c>
      <c r="CG488" s="19"/>
      <c r="CH488" s="93"/>
      <c r="CI488" s="219"/>
      <c r="CJ488" s="20"/>
      <c r="CK488" s="19"/>
      <c r="CL488" s="93"/>
      <c r="CM488" s="93"/>
      <c r="CN488" s="93"/>
      <c r="CO488" s="93"/>
      <c r="CP488" s="20"/>
      <c r="CQ488" s="219"/>
      <c r="CR488" s="93"/>
      <c r="CS488" s="93"/>
      <c r="CT488" s="93"/>
      <c r="CU488" s="93"/>
      <c r="CV488" s="214"/>
      <c r="CW488" s="29"/>
      <c r="CX488" s="41">
        <f t="shared" si="359"/>
        <v>2035</v>
      </c>
      <c r="CY488" s="1504">
        <v>49310</v>
      </c>
      <c r="CZ488" s="19"/>
      <c r="DA488" s="93"/>
      <c r="DB488" s="93"/>
      <c r="DC488" s="93"/>
      <c r="DD488" s="93"/>
      <c r="DE488" s="20"/>
      <c r="DF488" s="29"/>
      <c r="DG488" s="1504">
        <v>49310</v>
      </c>
      <c r="DH488" s="19"/>
      <c r="DI488" s="93"/>
      <c r="DJ488" s="93"/>
      <c r="DK488" s="93"/>
      <c r="DL488" s="93"/>
      <c r="DM488" s="93"/>
      <c r="DN488" s="20"/>
      <c r="DO488" s="295"/>
      <c r="DP488" s="29"/>
      <c r="DQ488" s="1504">
        <v>49310</v>
      </c>
      <c r="DR488" s="19"/>
      <c r="DS488" s="93"/>
      <c r="DT488" s="93"/>
      <c r="DU488" s="93"/>
      <c r="DV488" s="93"/>
      <c r="DW488" s="93"/>
      <c r="DX488" s="20"/>
      <c r="DY488" s="29"/>
      <c r="DZ488" s="1504">
        <v>49310</v>
      </c>
      <c r="EA488" s="19"/>
      <c r="EB488" s="93"/>
      <c r="EC488" s="20"/>
      <c r="ED488" s="29"/>
      <c r="EE488" s="1504">
        <v>49310</v>
      </c>
      <c r="EF488" s="19"/>
      <c r="EG488" s="93"/>
      <c r="EH488" s="93"/>
      <c r="EI488" s="214"/>
      <c r="EJ488" s="93"/>
      <c r="EK488" s="93"/>
      <c r="EL488" s="93"/>
      <c r="EM488" s="93"/>
      <c r="EN488" s="20"/>
      <c r="EO488" s="29"/>
      <c r="EP488" s="1504">
        <v>49310</v>
      </c>
      <c r="EQ488" s="19"/>
      <c r="ER488" s="93"/>
      <c r="ES488" s="93"/>
      <c r="ET488" s="214"/>
      <c r="EU488" s="93"/>
      <c r="EV488" s="93"/>
      <c r="EW488" s="93"/>
      <c r="EX488" s="93"/>
      <c r="EY488" s="20"/>
      <c r="EZ488" s="29"/>
      <c r="FA488" s="1504">
        <v>49310</v>
      </c>
      <c r="FB488" s="29"/>
      <c r="FC488" s="29"/>
      <c r="FD488" s="29"/>
      <c r="FE488" s="29"/>
      <c r="FF488" s="29"/>
      <c r="FG488" s="29"/>
      <c r="FH488" s="29"/>
      <c r="FI488" s="29"/>
      <c r="FJ488" s="29"/>
      <c r="FK488" s="29"/>
      <c r="FL488" s="1504">
        <v>49310</v>
      </c>
      <c r="FM488" s="19"/>
      <c r="FN488" s="93"/>
      <c r="FO488" s="93"/>
      <c r="FP488" s="93"/>
      <c r="FQ488" s="93"/>
      <c r="FR488" s="93"/>
      <c r="FS488" s="93"/>
      <c r="FT488" s="93"/>
      <c r="FU488" s="93"/>
      <c r="FV488" s="93"/>
      <c r="FW488" s="93"/>
      <c r="FX488" s="93"/>
      <c r="FY488" s="93"/>
      <c r="FZ488" s="29"/>
      <c r="GA488" s="1504">
        <v>49310</v>
      </c>
      <c r="GB488" s="19"/>
      <c r="GC488" s="93"/>
      <c r="GD488" s="93"/>
      <c r="GE488" s="93"/>
      <c r="GF488" s="93"/>
      <c r="GG488" s="93"/>
      <c r="GH488" s="93"/>
      <c r="GI488" s="93"/>
      <c r="GJ488" s="93"/>
      <c r="GK488" s="93"/>
      <c r="GL488" s="93"/>
      <c r="GM488" s="93"/>
      <c r="GN488" s="20"/>
      <c r="GO488" s="29"/>
      <c r="GP488" s="1504">
        <v>49310</v>
      </c>
      <c r="GQ488" s="19"/>
      <c r="GR488" s="93"/>
      <c r="GS488" s="93"/>
      <c r="GT488" s="93"/>
      <c r="GU488" s="93"/>
      <c r="GV488" s="20"/>
      <c r="GW488" s="19"/>
      <c r="GX488" s="93"/>
      <c r="GY488" s="93"/>
      <c r="GZ488" s="93"/>
      <c r="HA488" s="93"/>
      <c r="HB488" s="20"/>
      <c r="HC488" s="19"/>
      <c r="HD488" s="93"/>
      <c r="HE488" s="93"/>
      <c r="HF488" s="93"/>
      <c r="HG488" s="93"/>
      <c r="HH488" s="20"/>
      <c r="HI488" s="19"/>
      <c r="HJ488" s="93"/>
      <c r="HK488" s="93"/>
      <c r="HL488" s="93"/>
      <c r="HM488" s="93"/>
      <c r="HN488" s="20"/>
      <c r="HO488" s="219"/>
      <c r="HP488" s="20"/>
      <c r="HQ488" s="25"/>
      <c r="HR488" s="29"/>
      <c r="HS488" s="1504">
        <v>49310</v>
      </c>
      <c r="HT488" s="19"/>
      <c r="HU488" s="93"/>
      <c r="HV488" s="93"/>
      <c r="HW488" s="93"/>
      <c r="HX488" s="93"/>
      <c r="HY488" s="93"/>
      <c r="HZ488" s="93"/>
      <c r="IA488" s="20"/>
      <c r="IB488" s="19"/>
      <c r="IC488" s="93"/>
      <c r="ID488" s="93"/>
      <c r="IE488" s="93"/>
      <c r="IF488" s="93"/>
      <c r="IG488" s="20"/>
      <c r="IH488" s="19"/>
      <c r="II488" s="93"/>
      <c r="IJ488" s="93"/>
      <c r="IK488" s="93"/>
      <c r="IL488" s="93"/>
      <c r="IM488" s="93"/>
      <c r="IN488" s="93"/>
      <c r="IO488" s="20"/>
      <c r="IP488" s="29"/>
      <c r="IQ488" s="19"/>
      <c r="IR488" s="93"/>
      <c r="IS488" s="93"/>
      <c r="IT488" s="93"/>
      <c r="IU488" s="93"/>
      <c r="IV488" s="20"/>
      <c r="IW488" s="29"/>
      <c r="IX488" s="19"/>
      <c r="IY488" s="93"/>
      <c r="IZ488" s="93"/>
      <c r="JA488" s="93"/>
      <c r="JB488" s="93"/>
      <c r="JC488" s="93"/>
      <c r="JD488" s="93"/>
      <c r="JE488" s="20"/>
      <c r="JF488" s="29"/>
      <c r="JG488" s="19"/>
      <c r="JH488" s="93"/>
      <c r="JI488" s="93"/>
      <c r="JJ488" s="93"/>
      <c r="JK488" s="93"/>
      <c r="JL488" s="93"/>
      <c r="JM488" s="93"/>
      <c r="JN488" s="20"/>
      <c r="JO488" s="29"/>
      <c r="JP488" s="19"/>
      <c r="JQ488" s="93"/>
      <c r="JR488" s="93"/>
      <c r="JS488" s="93"/>
      <c r="JT488" s="93"/>
      <c r="JU488" s="20"/>
      <c r="JV488" s="29"/>
      <c r="JW488" s="1504">
        <v>49310</v>
      </c>
      <c r="JX488" s="19"/>
      <c r="JY488" s="93"/>
      <c r="JZ488" s="93"/>
      <c r="KA488" s="93"/>
      <c r="KB488" s="93"/>
      <c r="KC488" s="93"/>
      <c r="KD488" s="20"/>
      <c r="KE488" s="29"/>
      <c r="KF488" s="19"/>
      <c r="KG488" s="93"/>
      <c r="KH488" s="93"/>
      <c r="KI488" s="93"/>
      <c r="KJ488" s="93"/>
      <c r="KK488" s="20"/>
      <c r="KL488" s="29"/>
      <c r="KM488" s="19"/>
      <c r="KN488" s="93"/>
      <c r="KO488" s="93"/>
      <c r="KP488" s="93"/>
      <c r="KQ488" s="93"/>
      <c r="KR488" s="20"/>
      <c r="KS488" s="29"/>
      <c r="KT488" s="19"/>
      <c r="KU488" s="93"/>
      <c r="KV488" s="93"/>
      <c r="KW488" s="93"/>
      <c r="KX488" s="93"/>
      <c r="KY488" s="20"/>
      <c r="KZ488" s="29"/>
      <c r="LA488" s="1504">
        <v>49310</v>
      </c>
      <c r="LB488" s="19"/>
      <c r="LC488" s="93"/>
      <c r="LD488" s="93"/>
      <c r="LE488" s="93"/>
      <c r="LF488" s="93"/>
      <c r="LG488" s="93"/>
      <c r="LH488" s="20"/>
      <c r="LI488" s="29"/>
      <c r="LJ488" s="19"/>
      <c r="LK488" s="93"/>
      <c r="LL488" s="93"/>
      <c r="LM488" s="93"/>
      <c r="LN488" s="93"/>
      <c r="LO488" s="20"/>
      <c r="LP488" s="29"/>
      <c r="LQ488" s="19"/>
      <c r="LR488" s="93"/>
      <c r="LS488" s="93"/>
      <c r="LT488" s="93"/>
      <c r="LU488" s="93"/>
      <c r="LV488" s="93"/>
      <c r="LW488" s="93"/>
      <c r="LX488" s="93"/>
      <c r="LY488" s="93"/>
      <c r="LZ488" s="93"/>
      <c r="MA488" s="20"/>
      <c r="MB488" s="29"/>
      <c r="MC488" s="1504">
        <v>49310</v>
      </c>
      <c r="MD488" s="19"/>
      <c r="ME488" s="93"/>
      <c r="MF488" s="93"/>
      <c r="MG488" s="93"/>
      <c r="MH488" s="93"/>
      <c r="MI488" s="93"/>
      <c r="MJ488" s="93"/>
      <c r="MK488" s="93"/>
      <c r="ML488" s="93"/>
      <c r="MM488" s="93"/>
      <c r="MN488" s="93"/>
      <c r="MO488" s="93"/>
      <c r="MP488" s="93"/>
      <c r="MQ488" s="93"/>
      <c r="MR488" s="93"/>
      <c r="MS488" s="93"/>
      <c r="MT488" s="93"/>
      <c r="MU488" s="93"/>
      <c r="MV488" s="93"/>
      <c r="MW488" s="93"/>
      <c r="MX488" s="93"/>
      <c r="MY488" s="93"/>
      <c r="MZ488" s="93"/>
      <c r="NA488" s="93"/>
      <c r="NB488" s="93"/>
      <c r="NC488" s="93"/>
      <c r="ND488" s="93"/>
      <c r="NE488" s="93"/>
      <c r="NF488" s="93"/>
      <c r="NG488" s="93"/>
      <c r="NH488" s="93"/>
      <c r="NI488" s="93"/>
      <c r="NJ488" s="93"/>
      <c r="NK488" s="93"/>
      <c r="NL488" s="93"/>
      <c r="NM488" s="93"/>
      <c r="NN488" s="93"/>
      <c r="NO488" s="93"/>
      <c r="NP488" s="93"/>
      <c r="NQ488" s="93"/>
      <c r="NR488" s="93"/>
      <c r="NS488" s="93"/>
      <c r="NT488" s="93"/>
      <c r="NU488" s="93"/>
      <c r="NV488" s="93"/>
      <c r="NW488" s="93"/>
      <c r="NX488" s="93"/>
      <c r="NY488" s="93"/>
      <c r="NZ488" s="93"/>
      <c r="OA488" s="93"/>
      <c r="OB488" s="93"/>
      <c r="OC488" s="93"/>
      <c r="OD488" s="20"/>
      <c r="OE488" s="29"/>
      <c r="OF488" s="1504">
        <v>49310</v>
      </c>
      <c r="OG488" s="19"/>
      <c r="OH488" s="93"/>
      <c r="OI488" s="93"/>
      <c r="OJ488" s="93"/>
      <c r="OK488" s="93"/>
      <c r="OL488" s="93"/>
      <c r="OM488" s="93"/>
      <c r="ON488" s="93"/>
      <c r="OO488" s="93"/>
      <c r="OP488" s="93"/>
      <c r="OQ488" s="93"/>
      <c r="OR488" s="93"/>
      <c r="OS488" s="93"/>
      <c r="OT488" s="93"/>
      <c r="OU488" s="93"/>
      <c r="OV488" s="93"/>
      <c r="OW488" s="93"/>
      <c r="OX488" s="93"/>
      <c r="OY488" s="93"/>
      <c r="OZ488" s="93"/>
      <c r="PA488" s="93"/>
      <c r="PB488" s="93"/>
      <c r="PC488" s="20"/>
      <c r="PD488" s="29"/>
      <c r="PE488" s="19"/>
      <c r="PF488" s="93"/>
      <c r="PG488" s="93"/>
      <c r="PH488" s="93"/>
      <c r="PI488" s="93"/>
      <c r="PJ488" s="93"/>
      <c r="PK488" s="93"/>
      <c r="PL488" s="93"/>
      <c r="PM488" s="93"/>
      <c r="PN488" s="93"/>
      <c r="PO488" s="93"/>
      <c r="PP488" s="93"/>
      <c r="PQ488" s="93"/>
      <c r="PR488" s="93"/>
      <c r="PS488" s="93"/>
      <c r="PT488" s="93"/>
      <c r="PU488" s="93"/>
      <c r="PV488" s="93"/>
      <c r="PW488" s="93"/>
      <c r="PX488" s="93"/>
      <c r="PY488" s="93"/>
      <c r="PZ488" s="93"/>
      <c r="QA488" s="93"/>
      <c r="QB488" s="93"/>
      <c r="QC488" s="93"/>
      <c r="QD488" s="93"/>
      <c r="QE488" s="20"/>
      <c r="QF488" s="1739"/>
      <c r="QG488" s="19"/>
      <c r="QH488" s="93"/>
      <c r="QI488" s="93"/>
      <c r="QJ488" s="93"/>
      <c r="QK488" s="93"/>
      <c r="QL488" s="93"/>
      <c r="QM488" s="93"/>
      <c r="QN488" s="93"/>
      <c r="QO488" s="93"/>
      <c r="QP488" s="93"/>
      <c r="QQ488" s="93"/>
      <c r="QR488" s="93"/>
      <c r="QS488" s="93"/>
      <c r="QT488" s="93"/>
      <c r="QU488" s="93"/>
      <c r="QV488" s="93"/>
      <c r="QW488" s="93"/>
      <c r="QX488" s="93"/>
      <c r="QY488" s="93"/>
      <c r="QZ488" s="93"/>
      <c r="RA488" s="93"/>
      <c r="RB488" s="93"/>
      <c r="RC488" s="93"/>
      <c r="RD488" s="93"/>
      <c r="RE488" s="93"/>
      <c r="RF488" s="93"/>
      <c r="RG488" s="93"/>
      <c r="RH488" s="93"/>
      <c r="RI488" s="93"/>
      <c r="RJ488" s="93"/>
      <c r="RK488" s="93"/>
      <c r="RL488" s="93"/>
      <c r="RM488" s="20"/>
      <c r="RN488" s="29"/>
      <c r="RO488" s="19"/>
      <c r="RP488" s="20"/>
      <c r="RQ488" s="29"/>
      <c r="RR488" s="20"/>
      <c r="RS488" s="29"/>
      <c r="RT488" s="1504">
        <v>49310</v>
      </c>
      <c r="RU488" s="19"/>
      <c r="RV488" s="20"/>
      <c r="RW488" s="29"/>
      <c r="RX488" s="1504">
        <v>49310</v>
      </c>
      <c r="RY488" s="29"/>
      <c r="RZ488" s="20"/>
      <c r="SA488" s="29"/>
      <c r="SB488" s="29"/>
    </row>
    <row r="489" spans="1:496">
      <c r="A489" s="41">
        <f t="shared" si="360"/>
        <v>2035</v>
      </c>
      <c r="B489" s="1504">
        <v>49341</v>
      </c>
      <c r="C489" s="1813"/>
      <c r="D489" s="1814"/>
      <c r="E489" s="1814"/>
      <c r="F489" s="1815"/>
      <c r="G489" s="1814"/>
      <c r="H489" s="1814"/>
      <c r="I489" s="1814"/>
      <c r="J489" s="1816"/>
      <c r="K489" s="1807"/>
      <c r="L489" s="25"/>
      <c r="M489" s="97"/>
      <c r="N489" s="1504">
        <v>49341</v>
      </c>
      <c r="O489" s="19"/>
      <c r="P489" s="93"/>
      <c r="Q489" s="93"/>
      <c r="R489" s="93"/>
      <c r="S489" s="93"/>
      <c r="T489" s="93"/>
      <c r="U489" s="93"/>
      <c r="V489" s="93"/>
      <c r="W489" s="93"/>
      <c r="X489" s="93"/>
      <c r="Y489" s="93"/>
      <c r="Z489" s="93"/>
      <c r="AA489" s="93"/>
      <c r="AB489" s="20"/>
      <c r="AC489" s="25"/>
      <c r="AD489" s="97"/>
      <c r="AE489" s="1504">
        <v>49341</v>
      </c>
      <c r="AF489" s="19"/>
      <c r="AG489" s="93"/>
      <c r="AH489" s="93"/>
      <c r="AI489" s="93"/>
      <c r="AJ489" s="93"/>
      <c r="AK489" s="93"/>
      <c r="AL489" s="93"/>
      <c r="AM489" s="93"/>
      <c r="AN489" s="93"/>
      <c r="AO489" s="93"/>
      <c r="AP489" s="93"/>
      <c r="AQ489" s="93"/>
      <c r="AR489" s="93"/>
      <c r="AS489" s="20"/>
      <c r="AT489" s="25"/>
      <c r="AU489" s="97"/>
      <c r="AV489" s="1504">
        <v>49341</v>
      </c>
      <c r="AW489" s="19"/>
      <c r="AX489" s="93"/>
      <c r="AY489" s="93"/>
      <c r="AZ489" s="93"/>
      <c r="BA489" s="93"/>
      <c r="BB489" s="93"/>
      <c r="BC489" s="93"/>
      <c r="BD489" s="93"/>
      <c r="BE489" s="93"/>
      <c r="BF489" s="93"/>
      <c r="BG489" s="93"/>
      <c r="BH489" s="93"/>
      <c r="BI489" s="93"/>
      <c r="BJ489" s="20"/>
      <c r="BK489" s="25"/>
      <c r="BL489" s="97"/>
      <c r="BM489" s="1504">
        <v>49341</v>
      </c>
      <c r="BN489" s="19"/>
      <c r="BO489" s="93"/>
      <c r="BP489" s="93"/>
      <c r="BQ489" s="93"/>
      <c r="BR489" s="93"/>
      <c r="BS489" s="93"/>
      <c r="BT489" s="93"/>
      <c r="BU489" s="20"/>
      <c r="BV489" s="25"/>
      <c r="BW489" s="97"/>
      <c r="BX489" s="1504">
        <v>49341</v>
      </c>
      <c r="BY489" s="19"/>
      <c r="BZ489" s="93"/>
      <c r="CA489" s="93"/>
      <c r="CB489" s="93"/>
      <c r="CC489" s="93"/>
      <c r="CD489" s="25"/>
      <c r="CE489" s="97"/>
      <c r="CF489" s="1504">
        <v>49341</v>
      </c>
      <c r="CG489" s="19"/>
      <c r="CH489" s="93"/>
      <c r="CI489" s="219"/>
      <c r="CJ489" s="20"/>
      <c r="CK489" s="19"/>
      <c r="CL489" s="93"/>
      <c r="CM489" s="93"/>
      <c r="CN489" s="93"/>
      <c r="CO489" s="93"/>
      <c r="CP489" s="20"/>
      <c r="CQ489" s="219"/>
      <c r="CR489" s="93"/>
      <c r="CS489" s="93"/>
      <c r="CT489" s="93"/>
      <c r="CU489" s="93"/>
      <c r="CV489" s="214"/>
      <c r="CW489" s="29"/>
      <c r="CX489" s="41">
        <f t="shared" si="359"/>
        <v>2035</v>
      </c>
      <c r="CY489" s="1504">
        <v>49341</v>
      </c>
      <c r="CZ489" s="19"/>
      <c r="DA489" s="93"/>
      <c r="DB489" s="93"/>
      <c r="DC489" s="93"/>
      <c r="DD489" s="93"/>
      <c r="DE489" s="20"/>
      <c r="DF489" s="29"/>
      <c r="DG489" s="1504">
        <v>49341</v>
      </c>
      <c r="DH489" s="19"/>
      <c r="DI489" s="93"/>
      <c r="DJ489" s="93"/>
      <c r="DK489" s="93"/>
      <c r="DL489" s="93"/>
      <c r="DM489" s="93"/>
      <c r="DN489" s="20"/>
      <c r="DO489" s="295"/>
      <c r="DP489" s="29"/>
      <c r="DQ489" s="1504">
        <v>49341</v>
      </c>
      <c r="DR489" s="19"/>
      <c r="DS489" s="93"/>
      <c r="DT489" s="93"/>
      <c r="DU489" s="93"/>
      <c r="DV489" s="93"/>
      <c r="DW489" s="93"/>
      <c r="DX489" s="20"/>
      <c r="DY489" s="29"/>
      <c r="DZ489" s="1504">
        <v>49341</v>
      </c>
      <c r="EA489" s="19"/>
      <c r="EB489" s="93"/>
      <c r="EC489" s="20"/>
      <c r="ED489" s="29"/>
      <c r="EE489" s="1504">
        <v>49341</v>
      </c>
      <c r="EF489" s="19"/>
      <c r="EG489" s="93"/>
      <c r="EH489" s="93"/>
      <c r="EI489" s="214"/>
      <c r="EJ489" s="93"/>
      <c r="EK489" s="93"/>
      <c r="EL489" s="93"/>
      <c r="EM489" s="93"/>
      <c r="EN489" s="20"/>
      <c r="EO489" s="29"/>
      <c r="EP489" s="1504">
        <v>49341</v>
      </c>
      <c r="EQ489" s="19"/>
      <c r="ER489" s="93"/>
      <c r="ES489" s="93"/>
      <c r="ET489" s="214"/>
      <c r="EU489" s="93"/>
      <c r="EV489" s="93"/>
      <c r="EW489" s="93"/>
      <c r="EX489" s="93"/>
      <c r="EY489" s="20"/>
      <c r="EZ489" s="29"/>
      <c r="FA489" s="1504">
        <v>49341</v>
      </c>
      <c r="FB489" s="29"/>
      <c r="FC489" s="29"/>
      <c r="FD489" s="29"/>
      <c r="FE489" s="29"/>
      <c r="FF489" s="29"/>
      <c r="FG489" s="29"/>
      <c r="FH489" s="29"/>
      <c r="FI489" s="29"/>
      <c r="FJ489" s="29"/>
      <c r="FK489" s="29"/>
      <c r="FL489" s="1504">
        <v>49341</v>
      </c>
      <c r="FM489" s="19"/>
      <c r="FN489" s="93"/>
      <c r="FO489" s="93"/>
      <c r="FP489" s="93"/>
      <c r="FQ489" s="93"/>
      <c r="FR489" s="93"/>
      <c r="FS489" s="93"/>
      <c r="FT489" s="93"/>
      <c r="FU489" s="93"/>
      <c r="FV489" s="93"/>
      <c r="FW489" s="93"/>
      <c r="FX489" s="93"/>
      <c r="FY489" s="93"/>
      <c r="FZ489" s="29"/>
      <c r="GA489" s="1504">
        <v>49341</v>
      </c>
      <c r="GB489" s="19"/>
      <c r="GC489" s="93"/>
      <c r="GD489" s="93"/>
      <c r="GE489" s="93"/>
      <c r="GF489" s="93"/>
      <c r="GG489" s="93"/>
      <c r="GH489" s="93"/>
      <c r="GI489" s="93"/>
      <c r="GJ489" s="93"/>
      <c r="GK489" s="93"/>
      <c r="GL489" s="93"/>
      <c r="GM489" s="93"/>
      <c r="GN489" s="20"/>
      <c r="GO489" s="29"/>
      <c r="GP489" s="1504">
        <v>49341</v>
      </c>
      <c r="GQ489" s="19"/>
      <c r="GR489" s="93"/>
      <c r="GS489" s="93"/>
      <c r="GT489" s="93"/>
      <c r="GU489" s="93"/>
      <c r="GV489" s="20"/>
      <c r="GW489" s="19"/>
      <c r="GX489" s="93"/>
      <c r="GY489" s="93"/>
      <c r="GZ489" s="93"/>
      <c r="HA489" s="93"/>
      <c r="HB489" s="20"/>
      <c r="HC489" s="19"/>
      <c r="HD489" s="93"/>
      <c r="HE489" s="93"/>
      <c r="HF489" s="93"/>
      <c r="HG489" s="93"/>
      <c r="HH489" s="20"/>
      <c r="HI489" s="19"/>
      <c r="HJ489" s="93"/>
      <c r="HK489" s="93"/>
      <c r="HL489" s="93"/>
      <c r="HM489" s="93"/>
      <c r="HN489" s="20"/>
      <c r="HO489" s="219"/>
      <c r="HP489" s="20"/>
      <c r="HQ489" s="25"/>
      <c r="HR489" s="29"/>
      <c r="HS489" s="1504">
        <v>49341</v>
      </c>
      <c r="HT489" s="19"/>
      <c r="HU489" s="93"/>
      <c r="HV489" s="93"/>
      <c r="HW489" s="93"/>
      <c r="HX489" s="93"/>
      <c r="HY489" s="93"/>
      <c r="HZ489" s="93"/>
      <c r="IA489" s="20"/>
      <c r="IB489" s="19"/>
      <c r="IC489" s="93"/>
      <c r="ID489" s="93"/>
      <c r="IE489" s="93"/>
      <c r="IF489" s="93"/>
      <c r="IG489" s="20"/>
      <c r="IH489" s="19"/>
      <c r="II489" s="93"/>
      <c r="IJ489" s="93"/>
      <c r="IK489" s="93"/>
      <c r="IL489" s="93"/>
      <c r="IM489" s="93"/>
      <c r="IN489" s="93"/>
      <c r="IO489" s="20"/>
      <c r="IP489" s="29"/>
      <c r="IQ489" s="19"/>
      <c r="IR489" s="93"/>
      <c r="IS489" s="93"/>
      <c r="IT489" s="93"/>
      <c r="IU489" s="93"/>
      <c r="IV489" s="20"/>
      <c r="IW489" s="29"/>
      <c r="IX489" s="19"/>
      <c r="IY489" s="93"/>
      <c r="IZ489" s="93"/>
      <c r="JA489" s="93"/>
      <c r="JB489" s="93"/>
      <c r="JC489" s="93"/>
      <c r="JD489" s="93"/>
      <c r="JE489" s="20"/>
      <c r="JF489" s="29"/>
      <c r="JG489" s="19"/>
      <c r="JH489" s="93"/>
      <c r="JI489" s="93"/>
      <c r="JJ489" s="93"/>
      <c r="JK489" s="93"/>
      <c r="JL489" s="93"/>
      <c r="JM489" s="93"/>
      <c r="JN489" s="20"/>
      <c r="JO489" s="29"/>
      <c r="JP489" s="19"/>
      <c r="JQ489" s="93"/>
      <c r="JR489" s="93"/>
      <c r="JS489" s="93"/>
      <c r="JT489" s="93"/>
      <c r="JU489" s="20"/>
      <c r="JV489" s="29"/>
      <c r="JW489" s="1504">
        <v>49341</v>
      </c>
      <c r="JX489" s="19"/>
      <c r="JY489" s="93"/>
      <c r="JZ489" s="93"/>
      <c r="KA489" s="93"/>
      <c r="KB489" s="93"/>
      <c r="KC489" s="93"/>
      <c r="KD489" s="20"/>
      <c r="KE489" s="29"/>
      <c r="KF489" s="19"/>
      <c r="KG489" s="93"/>
      <c r="KH489" s="93"/>
      <c r="KI489" s="93"/>
      <c r="KJ489" s="93"/>
      <c r="KK489" s="20"/>
      <c r="KL489" s="29"/>
      <c r="KM489" s="19"/>
      <c r="KN489" s="93"/>
      <c r="KO489" s="93"/>
      <c r="KP489" s="93"/>
      <c r="KQ489" s="93"/>
      <c r="KR489" s="20"/>
      <c r="KS489" s="29"/>
      <c r="KT489" s="19"/>
      <c r="KU489" s="93"/>
      <c r="KV489" s="93"/>
      <c r="KW489" s="93"/>
      <c r="KX489" s="93"/>
      <c r="KY489" s="20"/>
      <c r="KZ489" s="29"/>
      <c r="LA489" s="1504">
        <v>49341</v>
      </c>
      <c r="LB489" s="19"/>
      <c r="LC489" s="93"/>
      <c r="LD489" s="93"/>
      <c r="LE489" s="93"/>
      <c r="LF489" s="93"/>
      <c r="LG489" s="93"/>
      <c r="LH489" s="20"/>
      <c r="LI489" s="29"/>
      <c r="LJ489" s="19"/>
      <c r="LK489" s="93"/>
      <c r="LL489" s="93"/>
      <c r="LM489" s="93"/>
      <c r="LN489" s="93"/>
      <c r="LO489" s="20"/>
      <c r="LP489" s="29"/>
      <c r="LQ489" s="19"/>
      <c r="LR489" s="93"/>
      <c r="LS489" s="93"/>
      <c r="LT489" s="93"/>
      <c r="LU489" s="93"/>
      <c r="LV489" s="93"/>
      <c r="LW489" s="93"/>
      <c r="LX489" s="93"/>
      <c r="LY489" s="93"/>
      <c r="LZ489" s="93"/>
      <c r="MA489" s="20"/>
      <c r="MB489" s="29"/>
      <c r="MC489" s="1504">
        <v>49341</v>
      </c>
      <c r="MD489" s="19"/>
      <c r="ME489" s="93"/>
      <c r="MF489" s="93"/>
      <c r="MG489" s="93"/>
      <c r="MH489" s="93"/>
      <c r="MI489" s="93"/>
      <c r="MJ489" s="93"/>
      <c r="MK489" s="93"/>
      <c r="ML489" s="93"/>
      <c r="MM489" s="93"/>
      <c r="MN489" s="93"/>
      <c r="MO489" s="93"/>
      <c r="MP489" s="93"/>
      <c r="MQ489" s="93"/>
      <c r="MR489" s="93"/>
      <c r="MS489" s="93"/>
      <c r="MT489" s="93"/>
      <c r="MU489" s="93"/>
      <c r="MV489" s="93"/>
      <c r="MW489" s="93"/>
      <c r="MX489" s="93"/>
      <c r="MY489" s="93"/>
      <c r="MZ489" s="93"/>
      <c r="NA489" s="93"/>
      <c r="NB489" s="93"/>
      <c r="NC489" s="93"/>
      <c r="ND489" s="93"/>
      <c r="NE489" s="93"/>
      <c r="NF489" s="93"/>
      <c r="NG489" s="93"/>
      <c r="NH489" s="93"/>
      <c r="NI489" s="93"/>
      <c r="NJ489" s="93"/>
      <c r="NK489" s="93"/>
      <c r="NL489" s="93"/>
      <c r="NM489" s="93"/>
      <c r="NN489" s="93"/>
      <c r="NO489" s="93"/>
      <c r="NP489" s="93"/>
      <c r="NQ489" s="93"/>
      <c r="NR489" s="93"/>
      <c r="NS489" s="93"/>
      <c r="NT489" s="93"/>
      <c r="NU489" s="93"/>
      <c r="NV489" s="93"/>
      <c r="NW489" s="93"/>
      <c r="NX489" s="93"/>
      <c r="NY489" s="93"/>
      <c r="NZ489" s="93"/>
      <c r="OA489" s="93"/>
      <c r="OB489" s="93"/>
      <c r="OC489" s="93"/>
      <c r="OD489" s="20"/>
      <c r="OE489" s="29"/>
      <c r="OF489" s="1504">
        <v>49341</v>
      </c>
      <c r="OG489" s="19"/>
      <c r="OH489" s="93"/>
      <c r="OI489" s="93"/>
      <c r="OJ489" s="93"/>
      <c r="OK489" s="93"/>
      <c r="OL489" s="93"/>
      <c r="OM489" s="93"/>
      <c r="ON489" s="93"/>
      <c r="OO489" s="93"/>
      <c r="OP489" s="93"/>
      <c r="OQ489" s="93"/>
      <c r="OR489" s="93"/>
      <c r="OS489" s="93"/>
      <c r="OT489" s="93"/>
      <c r="OU489" s="93"/>
      <c r="OV489" s="93"/>
      <c r="OW489" s="93"/>
      <c r="OX489" s="93"/>
      <c r="OY489" s="93"/>
      <c r="OZ489" s="93"/>
      <c r="PA489" s="93"/>
      <c r="PB489" s="93"/>
      <c r="PC489" s="20"/>
      <c r="PD489" s="29"/>
      <c r="PE489" s="19"/>
      <c r="PF489" s="93"/>
      <c r="PG489" s="93"/>
      <c r="PH489" s="93"/>
      <c r="PI489" s="93"/>
      <c r="PJ489" s="93"/>
      <c r="PK489" s="93"/>
      <c r="PL489" s="93"/>
      <c r="PM489" s="93"/>
      <c r="PN489" s="93"/>
      <c r="PO489" s="93"/>
      <c r="PP489" s="93"/>
      <c r="PQ489" s="93"/>
      <c r="PR489" s="93"/>
      <c r="PS489" s="93"/>
      <c r="PT489" s="93"/>
      <c r="PU489" s="93"/>
      <c r="PV489" s="93"/>
      <c r="PW489" s="93"/>
      <c r="PX489" s="93"/>
      <c r="PY489" s="93"/>
      <c r="PZ489" s="93"/>
      <c r="QA489" s="93"/>
      <c r="QB489" s="93"/>
      <c r="QC489" s="93"/>
      <c r="QD489" s="93"/>
      <c r="QE489" s="20"/>
      <c r="QF489" s="1739"/>
      <c r="QG489" s="19"/>
      <c r="QH489" s="93"/>
      <c r="QI489" s="93"/>
      <c r="QJ489" s="93"/>
      <c r="QK489" s="93"/>
      <c r="QL489" s="93"/>
      <c r="QM489" s="93"/>
      <c r="QN489" s="93"/>
      <c r="QO489" s="93"/>
      <c r="QP489" s="93"/>
      <c r="QQ489" s="93"/>
      <c r="QR489" s="93"/>
      <c r="QS489" s="93"/>
      <c r="QT489" s="93"/>
      <c r="QU489" s="93"/>
      <c r="QV489" s="93"/>
      <c r="QW489" s="93"/>
      <c r="QX489" s="93"/>
      <c r="QY489" s="93"/>
      <c r="QZ489" s="93"/>
      <c r="RA489" s="93"/>
      <c r="RB489" s="93"/>
      <c r="RC489" s="93"/>
      <c r="RD489" s="93"/>
      <c r="RE489" s="93"/>
      <c r="RF489" s="93"/>
      <c r="RG489" s="93"/>
      <c r="RH489" s="93"/>
      <c r="RI489" s="93"/>
      <c r="RJ489" s="93"/>
      <c r="RK489" s="93"/>
      <c r="RL489" s="93"/>
      <c r="RM489" s="20"/>
      <c r="RN489" s="29"/>
      <c r="RO489" s="19"/>
      <c r="RP489" s="20"/>
      <c r="RQ489" s="29"/>
      <c r="RR489" s="20"/>
      <c r="RS489" s="29"/>
      <c r="RT489" s="1504">
        <v>49341</v>
      </c>
      <c r="RU489" s="19"/>
      <c r="RV489" s="20"/>
      <c r="RW489" s="29"/>
      <c r="RX489" s="1504">
        <v>49341</v>
      </c>
      <c r="RY489" s="29"/>
      <c r="RZ489" s="20"/>
      <c r="SA489" s="29"/>
      <c r="SB489" s="29"/>
    </row>
    <row r="490" spans="1:496">
      <c r="A490" s="41">
        <f t="shared" si="360"/>
        <v>2035</v>
      </c>
      <c r="B490" s="1504">
        <v>49369</v>
      </c>
      <c r="C490" s="1813"/>
      <c r="D490" s="1814"/>
      <c r="E490" s="1814"/>
      <c r="F490" s="1815"/>
      <c r="G490" s="1814"/>
      <c r="H490" s="1814"/>
      <c r="I490" s="1814"/>
      <c r="J490" s="1816"/>
      <c r="K490" s="1807"/>
      <c r="L490" s="25"/>
      <c r="M490" s="97"/>
      <c r="N490" s="1504">
        <v>49369</v>
      </c>
      <c r="O490" s="19"/>
      <c r="P490" s="93"/>
      <c r="Q490" s="93"/>
      <c r="R490" s="93"/>
      <c r="S490" s="93"/>
      <c r="T490" s="93"/>
      <c r="U490" s="93"/>
      <c r="V490" s="93"/>
      <c r="W490" s="93"/>
      <c r="X490" s="93"/>
      <c r="Y490" s="93"/>
      <c r="Z490" s="93"/>
      <c r="AA490" s="93"/>
      <c r="AB490" s="20"/>
      <c r="AC490" s="25"/>
      <c r="AD490" s="97"/>
      <c r="AE490" s="1504">
        <v>49369</v>
      </c>
      <c r="AF490" s="19"/>
      <c r="AG490" s="93"/>
      <c r="AH490" s="93"/>
      <c r="AI490" s="93"/>
      <c r="AJ490" s="93"/>
      <c r="AK490" s="93"/>
      <c r="AL490" s="93"/>
      <c r="AM490" s="93"/>
      <c r="AN490" s="93"/>
      <c r="AO490" s="93"/>
      <c r="AP490" s="93"/>
      <c r="AQ490" s="93"/>
      <c r="AR490" s="93"/>
      <c r="AS490" s="20"/>
      <c r="AT490" s="25"/>
      <c r="AU490" s="97"/>
      <c r="AV490" s="1504">
        <v>49369</v>
      </c>
      <c r="AW490" s="19"/>
      <c r="AX490" s="93"/>
      <c r="AY490" s="93"/>
      <c r="AZ490" s="93"/>
      <c r="BA490" s="93"/>
      <c r="BB490" s="93"/>
      <c r="BC490" s="93"/>
      <c r="BD490" s="93"/>
      <c r="BE490" s="93"/>
      <c r="BF490" s="93"/>
      <c r="BG490" s="93"/>
      <c r="BH490" s="93"/>
      <c r="BI490" s="93"/>
      <c r="BJ490" s="20"/>
      <c r="BK490" s="25"/>
      <c r="BL490" s="97"/>
      <c r="BM490" s="1504">
        <v>49369</v>
      </c>
      <c r="BN490" s="19"/>
      <c r="BO490" s="93"/>
      <c r="BP490" s="93"/>
      <c r="BQ490" s="93"/>
      <c r="BR490" s="93"/>
      <c r="BS490" s="93"/>
      <c r="BT490" s="93"/>
      <c r="BU490" s="20"/>
      <c r="BV490" s="25"/>
      <c r="BW490" s="97"/>
      <c r="BX490" s="1504">
        <v>49369</v>
      </c>
      <c r="BY490" s="19"/>
      <c r="BZ490" s="93"/>
      <c r="CA490" s="93"/>
      <c r="CB490" s="93"/>
      <c r="CC490" s="93"/>
      <c r="CD490" s="25"/>
      <c r="CE490" s="97"/>
      <c r="CF490" s="1504">
        <v>49369</v>
      </c>
      <c r="CG490" s="19"/>
      <c r="CH490" s="93"/>
      <c r="CI490" s="219"/>
      <c r="CJ490" s="20"/>
      <c r="CK490" s="19"/>
      <c r="CL490" s="93"/>
      <c r="CM490" s="93"/>
      <c r="CN490" s="93"/>
      <c r="CO490" s="93"/>
      <c r="CP490" s="20"/>
      <c r="CQ490" s="219"/>
      <c r="CR490" s="93"/>
      <c r="CS490" s="93"/>
      <c r="CT490" s="93"/>
      <c r="CU490" s="93"/>
      <c r="CV490" s="214"/>
      <c r="CW490" s="29"/>
      <c r="CX490" s="41">
        <f t="shared" si="359"/>
        <v>2035</v>
      </c>
      <c r="CY490" s="1504">
        <v>49369</v>
      </c>
      <c r="CZ490" s="19"/>
      <c r="DA490" s="93"/>
      <c r="DB490" s="93"/>
      <c r="DC490" s="93"/>
      <c r="DD490" s="93"/>
      <c r="DE490" s="20"/>
      <c r="DF490" s="29"/>
      <c r="DG490" s="1504">
        <v>49369</v>
      </c>
      <c r="DH490" s="19"/>
      <c r="DI490" s="93"/>
      <c r="DJ490" s="93"/>
      <c r="DK490" s="93"/>
      <c r="DL490" s="93"/>
      <c r="DM490" s="93"/>
      <c r="DN490" s="20"/>
      <c r="DO490" s="295"/>
      <c r="DP490" s="29"/>
      <c r="DQ490" s="1504">
        <v>49369</v>
      </c>
      <c r="DR490" s="19"/>
      <c r="DS490" s="93"/>
      <c r="DT490" s="93"/>
      <c r="DU490" s="93"/>
      <c r="DV490" s="93"/>
      <c r="DW490" s="93"/>
      <c r="DX490" s="20"/>
      <c r="DY490" s="29"/>
      <c r="DZ490" s="1504">
        <v>49369</v>
      </c>
      <c r="EA490" s="19"/>
      <c r="EB490" s="93"/>
      <c r="EC490" s="20"/>
      <c r="ED490" s="29"/>
      <c r="EE490" s="1504">
        <v>49369</v>
      </c>
      <c r="EF490" s="19"/>
      <c r="EG490" s="93"/>
      <c r="EH490" s="93"/>
      <c r="EI490" s="214"/>
      <c r="EJ490" s="93"/>
      <c r="EK490" s="93"/>
      <c r="EL490" s="93"/>
      <c r="EM490" s="93"/>
      <c r="EN490" s="20"/>
      <c r="EO490" s="29"/>
      <c r="EP490" s="1504">
        <v>49369</v>
      </c>
      <c r="EQ490" s="19"/>
      <c r="ER490" s="93"/>
      <c r="ES490" s="93"/>
      <c r="ET490" s="214"/>
      <c r="EU490" s="93"/>
      <c r="EV490" s="93"/>
      <c r="EW490" s="93"/>
      <c r="EX490" s="93"/>
      <c r="EY490" s="20"/>
      <c r="EZ490" s="29"/>
      <c r="FA490" s="1504">
        <v>49369</v>
      </c>
      <c r="FB490" s="29"/>
      <c r="FC490" s="29"/>
      <c r="FD490" s="29"/>
      <c r="FE490" s="29"/>
      <c r="FF490" s="29"/>
      <c r="FG490" s="29"/>
      <c r="FH490" s="29"/>
      <c r="FI490" s="29"/>
      <c r="FJ490" s="29"/>
      <c r="FK490" s="29"/>
      <c r="FL490" s="1504">
        <v>49369</v>
      </c>
      <c r="FM490" s="19"/>
      <c r="FN490" s="93"/>
      <c r="FO490" s="93"/>
      <c r="FP490" s="93"/>
      <c r="FQ490" s="93"/>
      <c r="FR490" s="93"/>
      <c r="FS490" s="93"/>
      <c r="FT490" s="93"/>
      <c r="FU490" s="93"/>
      <c r="FV490" s="93"/>
      <c r="FW490" s="93"/>
      <c r="FX490" s="93"/>
      <c r="FY490" s="93"/>
      <c r="FZ490" s="29"/>
      <c r="GA490" s="1504">
        <v>49369</v>
      </c>
      <c r="GB490" s="19"/>
      <c r="GC490" s="93"/>
      <c r="GD490" s="93"/>
      <c r="GE490" s="93"/>
      <c r="GF490" s="93"/>
      <c r="GG490" s="93"/>
      <c r="GH490" s="93"/>
      <c r="GI490" s="93"/>
      <c r="GJ490" s="93"/>
      <c r="GK490" s="93"/>
      <c r="GL490" s="93"/>
      <c r="GM490" s="93"/>
      <c r="GN490" s="20"/>
      <c r="GO490" s="29"/>
      <c r="GP490" s="1504">
        <v>49369</v>
      </c>
      <c r="GQ490" s="19"/>
      <c r="GR490" s="93"/>
      <c r="GS490" s="93"/>
      <c r="GT490" s="93"/>
      <c r="GU490" s="93"/>
      <c r="GV490" s="20"/>
      <c r="GW490" s="19"/>
      <c r="GX490" s="93"/>
      <c r="GY490" s="93"/>
      <c r="GZ490" s="93"/>
      <c r="HA490" s="93"/>
      <c r="HB490" s="20"/>
      <c r="HC490" s="19"/>
      <c r="HD490" s="93"/>
      <c r="HE490" s="93"/>
      <c r="HF490" s="93"/>
      <c r="HG490" s="93"/>
      <c r="HH490" s="20"/>
      <c r="HI490" s="19"/>
      <c r="HJ490" s="93"/>
      <c r="HK490" s="93"/>
      <c r="HL490" s="93"/>
      <c r="HM490" s="93"/>
      <c r="HN490" s="20"/>
      <c r="HO490" s="219"/>
      <c r="HP490" s="20"/>
      <c r="HQ490" s="25"/>
      <c r="HR490" s="29"/>
      <c r="HS490" s="1504">
        <v>49369</v>
      </c>
      <c r="HT490" s="19"/>
      <c r="HU490" s="93"/>
      <c r="HV490" s="93"/>
      <c r="HW490" s="93"/>
      <c r="HX490" s="93"/>
      <c r="HY490" s="93"/>
      <c r="HZ490" s="93"/>
      <c r="IA490" s="20"/>
      <c r="IB490" s="19"/>
      <c r="IC490" s="93"/>
      <c r="ID490" s="93"/>
      <c r="IE490" s="93"/>
      <c r="IF490" s="93"/>
      <c r="IG490" s="20"/>
      <c r="IH490" s="19"/>
      <c r="II490" s="93"/>
      <c r="IJ490" s="93"/>
      <c r="IK490" s="93"/>
      <c r="IL490" s="93"/>
      <c r="IM490" s="93"/>
      <c r="IN490" s="93"/>
      <c r="IO490" s="20"/>
      <c r="IP490" s="29"/>
      <c r="IQ490" s="19"/>
      <c r="IR490" s="93"/>
      <c r="IS490" s="93"/>
      <c r="IT490" s="93"/>
      <c r="IU490" s="93"/>
      <c r="IV490" s="20"/>
      <c r="IW490" s="29"/>
      <c r="IX490" s="19"/>
      <c r="IY490" s="93"/>
      <c r="IZ490" s="93"/>
      <c r="JA490" s="93"/>
      <c r="JB490" s="93"/>
      <c r="JC490" s="93"/>
      <c r="JD490" s="93"/>
      <c r="JE490" s="20"/>
      <c r="JF490" s="29"/>
      <c r="JG490" s="19"/>
      <c r="JH490" s="93"/>
      <c r="JI490" s="93"/>
      <c r="JJ490" s="93"/>
      <c r="JK490" s="93"/>
      <c r="JL490" s="93"/>
      <c r="JM490" s="93"/>
      <c r="JN490" s="20"/>
      <c r="JO490" s="29"/>
      <c r="JP490" s="19"/>
      <c r="JQ490" s="93"/>
      <c r="JR490" s="93"/>
      <c r="JS490" s="93"/>
      <c r="JT490" s="93"/>
      <c r="JU490" s="20"/>
      <c r="JV490" s="29"/>
      <c r="JW490" s="1504">
        <v>49369</v>
      </c>
      <c r="JX490" s="19"/>
      <c r="JY490" s="93"/>
      <c r="JZ490" s="93"/>
      <c r="KA490" s="93"/>
      <c r="KB490" s="93"/>
      <c r="KC490" s="93"/>
      <c r="KD490" s="20"/>
      <c r="KE490" s="29"/>
      <c r="KF490" s="19"/>
      <c r="KG490" s="93"/>
      <c r="KH490" s="93"/>
      <c r="KI490" s="93"/>
      <c r="KJ490" s="93"/>
      <c r="KK490" s="20"/>
      <c r="KL490" s="29"/>
      <c r="KM490" s="19"/>
      <c r="KN490" s="93"/>
      <c r="KO490" s="93"/>
      <c r="KP490" s="93"/>
      <c r="KQ490" s="93"/>
      <c r="KR490" s="20"/>
      <c r="KS490" s="29"/>
      <c r="KT490" s="19"/>
      <c r="KU490" s="93"/>
      <c r="KV490" s="93"/>
      <c r="KW490" s="93"/>
      <c r="KX490" s="93"/>
      <c r="KY490" s="20"/>
      <c r="KZ490" s="29"/>
      <c r="LA490" s="1504">
        <v>49369</v>
      </c>
      <c r="LB490" s="19"/>
      <c r="LC490" s="93"/>
      <c r="LD490" s="93"/>
      <c r="LE490" s="93"/>
      <c r="LF490" s="93"/>
      <c r="LG490" s="93"/>
      <c r="LH490" s="20"/>
      <c r="LI490" s="29"/>
      <c r="LJ490" s="19"/>
      <c r="LK490" s="93"/>
      <c r="LL490" s="93"/>
      <c r="LM490" s="93"/>
      <c r="LN490" s="93"/>
      <c r="LO490" s="20"/>
      <c r="LP490" s="29"/>
      <c r="LQ490" s="19"/>
      <c r="LR490" s="93"/>
      <c r="LS490" s="93"/>
      <c r="LT490" s="93"/>
      <c r="LU490" s="93"/>
      <c r="LV490" s="93"/>
      <c r="LW490" s="93"/>
      <c r="LX490" s="93"/>
      <c r="LY490" s="93"/>
      <c r="LZ490" s="93"/>
      <c r="MA490" s="20"/>
      <c r="MB490" s="29"/>
      <c r="MC490" s="1504">
        <v>49369</v>
      </c>
      <c r="MD490" s="19"/>
      <c r="ME490" s="93"/>
      <c r="MF490" s="93"/>
      <c r="MG490" s="93"/>
      <c r="MH490" s="93"/>
      <c r="MI490" s="93"/>
      <c r="MJ490" s="93"/>
      <c r="MK490" s="93"/>
      <c r="ML490" s="93"/>
      <c r="MM490" s="93"/>
      <c r="MN490" s="93"/>
      <c r="MO490" s="93"/>
      <c r="MP490" s="93"/>
      <c r="MQ490" s="93"/>
      <c r="MR490" s="93"/>
      <c r="MS490" s="93"/>
      <c r="MT490" s="93"/>
      <c r="MU490" s="93"/>
      <c r="MV490" s="93"/>
      <c r="MW490" s="93"/>
      <c r="MX490" s="93"/>
      <c r="MY490" s="93"/>
      <c r="MZ490" s="93"/>
      <c r="NA490" s="93"/>
      <c r="NB490" s="93"/>
      <c r="NC490" s="93"/>
      <c r="ND490" s="93"/>
      <c r="NE490" s="93"/>
      <c r="NF490" s="93"/>
      <c r="NG490" s="93"/>
      <c r="NH490" s="93"/>
      <c r="NI490" s="93"/>
      <c r="NJ490" s="93"/>
      <c r="NK490" s="93"/>
      <c r="NL490" s="93"/>
      <c r="NM490" s="93"/>
      <c r="NN490" s="93"/>
      <c r="NO490" s="93"/>
      <c r="NP490" s="93"/>
      <c r="NQ490" s="93"/>
      <c r="NR490" s="93"/>
      <c r="NS490" s="93"/>
      <c r="NT490" s="93"/>
      <c r="NU490" s="93"/>
      <c r="NV490" s="93"/>
      <c r="NW490" s="93"/>
      <c r="NX490" s="93"/>
      <c r="NY490" s="93"/>
      <c r="NZ490" s="93"/>
      <c r="OA490" s="93"/>
      <c r="OB490" s="93"/>
      <c r="OC490" s="93"/>
      <c r="OD490" s="20"/>
      <c r="OE490" s="29"/>
      <c r="OF490" s="1504">
        <v>49369</v>
      </c>
      <c r="OG490" s="19"/>
      <c r="OH490" s="93"/>
      <c r="OI490" s="93"/>
      <c r="OJ490" s="93"/>
      <c r="OK490" s="93"/>
      <c r="OL490" s="93"/>
      <c r="OM490" s="93"/>
      <c r="ON490" s="93"/>
      <c r="OO490" s="93"/>
      <c r="OP490" s="93"/>
      <c r="OQ490" s="93"/>
      <c r="OR490" s="93"/>
      <c r="OS490" s="93"/>
      <c r="OT490" s="93"/>
      <c r="OU490" s="93"/>
      <c r="OV490" s="93"/>
      <c r="OW490" s="93"/>
      <c r="OX490" s="93"/>
      <c r="OY490" s="93"/>
      <c r="OZ490" s="93"/>
      <c r="PA490" s="93"/>
      <c r="PB490" s="93"/>
      <c r="PC490" s="20"/>
      <c r="PD490" s="29"/>
      <c r="PE490" s="19"/>
      <c r="PF490" s="93"/>
      <c r="PG490" s="93"/>
      <c r="PH490" s="93"/>
      <c r="PI490" s="93"/>
      <c r="PJ490" s="93"/>
      <c r="PK490" s="93"/>
      <c r="PL490" s="93"/>
      <c r="PM490" s="93"/>
      <c r="PN490" s="93"/>
      <c r="PO490" s="93"/>
      <c r="PP490" s="93"/>
      <c r="PQ490" s="93"/>
      <c r="PR490" s="93"/>
      <c r="PS490" s="93"/>
      <c r="PT490" s="93"/>
      <c r="PU490" s="93"/>
      <c r="PV490" s="93"/>
      <c r="PW490" s="93"/>
      <c r="PX490" s="93"/>
      <c r="PY490" s="93"/>
      <c r="PZ490" s="93"/>
      <c r="QA490" s="93"/>
      <c r="QB490" s="93"/>
      <c r="QC490" s="93"/>
      <c r="QD490" s="93"/>
      <c r="QE490" s="20"/>
      <c r="QF490" s="1739"/>
      <c r="QG490" s="19"/>
      <c r="QH490" s="93"/>
      <c r="QI490" s="93"/>
      <c r="QJ490" s="93"/>
      <c r="QK490" s="93"/>
      <c r="QL490" s="93"/>
      <c r="QM490" s="93"/>
      <c r="QN490" s="93"/>
      <c r="QO490" s="93"/>
      <c r="QP490" s="93"/>
      <c r="QQ490" s="93"/>
      <c r="QR490" s="93"/>
      <c r="QS490" s="93"/>
      <c r="QT490" s="93"/>
      <c r="QU490" s="93"/>
      <c r="QV490" s="93"/>
      <c r="QW490" s="93"/>
      <c r="QX490" s="93"/>
      <c r="QY490" s="93"/>
      <c r="QZ490" s="93"/>
      <c r="RA490" s="93"/>
      <c r="RB490" s="93"/>
      <c r="RC490" s="93"/>
      <c r="RD490" s="93"/>
      <c r="RE490" s="93"/>
      <c r="RF490" s="93"/>
      <c r="RG490" s="93"/>
      <c r="RH490" s="93"/>
      <c r="RI490" s="93"/>
      <c r="RJ490" s="93"/>
      <c r="RK490" s="93"/>
      <c r="RL490" s="93"/>
      <c r="RM490" s="20"/>
      <c r="RN490" s="29"/>
      <c r="RO490" s="19"/>
      <c r="RP490" s="20"/>
      <c r="RQ490" s="29"/>
      <c r="RR490" s="20"/>
      <c r="RS490" s="29"/>
      <c r="RT490" s="1504">
        <v>49369</v>
      </c>
      <c r="RU490" s="19"/>
      <c r="RV490" s="20"/>
      <c r="RW490" s="29"/>
      <c r="RX490" s="1504">
        <v>49369</v>
      </c>
      <c r="RY490" s="29"/>
      <c r="RZ490" s="20"/>
      <c r="SA490" s="29"/>
      <c r="SB490" s="29"/>
    </row>
    <row r="491" spans="1:496">
      <c r="A491" s="41">
        <f t="shared" si="360"/>
        <v>2035</v>
      </c>
      <c r="B491" s="1504">
        <v>49400</v>
      </c>
      <c r="C491" s="1813"/>
      <c r="D491" s="1814"/>
      <c r="E491" s="1814"/>
      <c r="F491" s="1815"/>
      <c r="G491" s="1814"/>
      <c r="H491" s="1814"/>
      <c r="I491" s="1814"/>
      <c r="J491" s="1816"/>
      <c r="K491" s="1807"/>
      <c r="L491" s="25"/>
      <c r="M491" s="97"/>
      <c r="N491" s="1504">
        <v>49400</v>
      </c>
      <c r="O491" s="19"/>
      <c r="P491" s="93"/>
      <c r="Q491" s="93"/>
      <c r="R491" s="93"/>
      <c r="S491" s="93"/>
      <c r="T491" s="93"/>
      <c r="U491" s="93"/>
      <c r="V491" s="93"/>
      <c r="W491" s="93"/>
      <c r="X491" s="93"/>
      <c r="Y491" s="93"/>
      <c r="Z491" s="93"/>
      <c r="AA491" s="93"/>
      <c r="AB491" s="20"/>
      <c r="AC491" s="25"/>
      <c r="AD491" s="97"/>
      <c r="AE491" s="1504">
        <v>49400</v>
      </c>
      <c r="AF491" s="19"/>
      <c r="AG491" s="93"/>
      <c r="AH491" s="93"/>
      <c r="AI491" s="93"/>
      <c r="AJ491" s="93"/>
      <c r="AK491" s="93"/>
      <c r="AL491" s="93"/>
      <c r="AM491" s="93"/>
      <c r="AN491" s="93"/>
      <c r="AO491" s="93"/>
      <c r="AP491" s="93"/>
      <c r="AQ491" s="93"/>
      <c r="AR491" s="93"/>
      <c r="AS491" s="20"/>
      <c r="AT491" s="25"/>
      <c r="AU491" s="97"/>
      <c r="AV491" s="1504">
        <v>49400</v>
      </c>
      <c r="AW491" s="19"/>
      <c r="AX491" s="93"/>
      <c r="AY491" s="93"/>
      <c r="AZ491" s="93"/>
      <c r="BA491" s="93"/>
      <c r="BB491" s="93"/>
      <c r="BC491" s="93"/>
      <c r="BD491" s="93"/>
      <c r="BE491" s="93"/>
      <c r="BF491" s="93"/>
      <c r="BG491" s="93"/>
      <c r="BH491" s="93"/>
      <c r="BI491" s="93"/>
      <c r="BJ491" s="20"/>
      <c r="BK491" s="25"/>
      <c r="BL491" s="97"/>
      <c r="BM491" s="1504">
        <v>49400</v>
      </c>
      <c r="BN491" s="19"/>
      <c r="BO491" s="93"/>
      <c r="BP491" s="93"/>
      <c r="BQ491" s="93"/>
      <c r="BR491" s="93"/>
      <c r="BS491" s="93"/>
      <c r="BT491" s="93"/>
      <c r="BU491" s="20"/>
      <c r="BV491" s="25"/>
      <c r="BW491" s="97"/>
      <c r="BX491" s="1504">
        <v>49400</v>
      </c>
      <c r="BY491" s="19"/>
      <c r="BZ491" s="93"/>
      <c r="CA491" s="93"/>
      <c r="CB491" s="93"/>
      <c r="CC491" s="93"/>
      <c r="CD491" s="25"/>
      <c r="CE491" s="97"/>
      <c r="CF491" s="1504">
        <v>49400</v>
      </c>
      <c r="CG491" s="19"/>
      <c r="CH491" s="93"/>
      <c r="CI491" s="219"/>
      <c r="CJ491" s="20"/>
      <c r="CK491" s="19"/>
      <c r="CL491" s="93"/>
      <c r="CM491" s="93"/>
      <c r="CN491" s="93"/>
      <c r="CO491" s="93"/>
      <c r="CP491" s="20"/>
      <c r="CQ491" s="219"/>
      <c r="CR491" s="93"/>
      <c r="CS491" s="93"/>
      <c r="CT491" s="93"/>
      <c r="CU491" s="93"/>
      <c r="CV491" s="214"/>
      <c r="CW491" s="29"/>
      <c r="CX491" s="41">
        <f t="shared" si="359"/>
        <v>2035</v>
      </c>
      <c r="CY491" s="1504">
        <v>49400</v>
      </c>
      <c r="CZ491" s="19"/>
      <c r="DA491" s="93"/>
      <c r="DB491" s="93"/>
      <c r="DC491" s="93"/>
      <c r="DD491" s="93"/>
      <c r="DE491" s="20"/>
      <c r="DF491" s="29"/>
      <c r="DG491" s="1504">
        <v>49400</v>
      </c>
      <c r="DH491" s="19"/>
      <c r="DI491" s="93"/>
      <c r="DJ491" s="93"/>
      <c r="DK491" s="93"/>
      <c r="DL491" s="93"/>
      <c r="DM491" s="93"/>
      <c r="DN491" s="20"/>
      <c r="DO491" s="295"/>
      <c r="DP491" s="29"/>
      <c r="DQ491" s="1504">
        <v>49400</v>
      </c>
      <c r="DR491" s="19"/>
      <c r="DS491" s="93"/>
      <c r="DT491" s="93"/>
      <c r="DU491" s="93"/>
      <c r="DV491" s="93"/>
      <c r="DW491" s="93"/>
      <c r="DX491" s="20"/>
      <c r="DY491" s="29"/>
      <c r="DZ491" s="1504">
        <v>49400</v>
      </c>
      <c r="EA491" s="19"/>
      <c r="EB491" s="93"/>
      <c r="EC491" s="20"/>
      <c r="ED491" s="29"/>
      <c r="EE491" s="1504">
        <v>49400</v>
      </c>
      <c r="EF491" s="19"/>
      <c r="EG491" s="93"/>
      <c r="EH491" s="93"/>
      <c r="EI491" s="214"/>
      <c r="EJ491" s="93"/>
      <c r="EK491" s="93"/>
      <c r="EL491" s="93"/>
      <c r="EM491" s="93"/>
      <c r="EN491" s="20"/>
      <c r="EO491" s="29"/>
      <c r="EP491" s="1504">
        <v>49400</v>
      </c>
      <c r="EQ491" s="19"/>
      <c r="ER491" s="93"/>
      <c r="ES491" s="93"/>
      <c r="ET491" s="214"/>
      <c r="EU491" s="93"/>
      <c r="EV491" s="93"/>
      <c r="EW491" s="93"/>
      <c r="EX491" s="93"/>
      <c r="EY491" s="20"/>
      <c r="EZ491" s="29"/>
      <c r="FA491" s="1504">
        <v>49400</v>
      </c>
      <c r="FB491" s="29"/>
      <c r="FC491" s="29"/>
      <c r="FD491" s="29"/>
      <c r="FE491" s="29"/>
      <c r="FF491" s="29"/>
      <c r="FG491" s="29"/>
      <c r="FH491" s="29"/>
      <c r="FI491" s="29"/>
      <c r="FJ491" s="29"/>
      <c r="FK491" s="29"/>
      <c r="FL491" s="1504">
        <v>49400</v>
      </c>
      <c r="FM491" s="19"/>
      <c r="FN491" s="93"/>
      <c r="FO491" s="93"/>
      <c r="FP491" s="93"/>
      <c r="FQ491" s="93"/>
      <c r="FR491" s="93"/>
      <c r="FS491" s="93"/>
      <c r="FT491" s="93"/>
      <c r="FU491" s="93"/>
      <c r="FV491" s="93"/>
      <c r="FW491" s="93"/>
      <c r="FX491" s="93"/>
      <c r="FY491" s="93"/>
      <c r="FZ491" s="29"/>
      <c r="GA491" s="1504">
        <v>49400</v>
      </c>
      <c r="GB491" s="19"/>
      <c r="GC491" s="93"/>
      <c r="GD491" s="93"/>
      <c r="GE491" s="93"/>
      <c r="GF491" s="93"/>
      <c r="GG491" s="93"/>
      <c r="GH491" s="93"/>
      <c r="GI491" s="93"/>
      <c r="GJ491" s="93"/>
      <c r="GK491" s="93"/>
      <c r="GL491" s="93"/>
      <c r="GM491" s="93"/>
      <c r="GN491" s="20"/>
      <c r="GO491" s="29"/>
      <c r="GP491" s="1504">
        <v>49400</v>
      </c>
      <c r="GQ491" s="19"/>
      <c r="GR491" s="93"/>
      <c r="GS491" s="93"/>
      <c r="GT491" s="93"/>
      <c r="GU491" s="93"/>
      <c r="GV491" s="20"/>
      <c r="GW491" s="19"/>
      <c r="GX491" s="93"/>
      <c r="GY491" s="93"/>
      <c r="GZ491" s="93"/>
      <c r="HA491" s="93"/>
      <c r="HB491" s="20"/>
      <c r="HC491" s="19"/>
      <c r="HD491" s="93"/>
      <c r="HE491" s="93"/>
      <c r="HF491" s="93"/>
      <c r="HG491" s="93"/>
      <c r="HH491" s="20"/>
      <c r="HI491" s="19"/>
      <c r="HJ491" s="93"/>
      <c r="HK491" s="93"/>
      <c r="HL491" s="93"/>
      <c r="HM491" s="93"/>
      <c r="HN491" s="20"/>
      <c r="HO491" s="219"/>
      <c r="HP491" s="20"/>
      <c r="HQ491" s="25"/>
      <c r="HR491" s="29"/>
      <c r="HS491" s="1504">
        <v>49400</v>
      </c>
      <c r="HT491" s="19"/>
      <c r="HU491" s="93"/>
      <c r="HV491" s="93"/>
      <c r="HW491" s="93"/>
      <c r="HX491" s="93"/>
      <c r="HY491" s="93"/>
      <c r="HZ491" s="93"/>
      <c r="IA491" s="20"/>
      <c r="IB491" s="19"/>
      <c r="IC491" s="93"/>
      <c r="ID491" s="93"/>
      <c r="IE491" s="93"/>
      <c r="IF491" s="93"/>
      <c r="IG491" s="20"/>
      <c r="IH491" s="19"/>
      <c r="II491" s="93"/>
      <c r="IJ491" s="93"/>
      <c r="IK491" s="93"/>
      <c r="IL491" s="93"/>
      <c r="IM491" s="93"/>
      <c r="IN491" s="93"/>
      <c r="IO491" s="20"/>
      <c r="IP491" s="29"/>
      <c r="IQ491" s="19"/>
      <c r="IR491" s="93"/>
      <c r="IS491" s="93"/>
      <c r="IT491" s="93"/>
      <c r="IU491" s="93"/>
      <c r="IV491" s="20"/>
      <c r="IW491" s="29"/>
      <c r="IX491" s="19"/>
      <c r="IY491" s="93"/>
      <c r="IZ491" s="93"/>
      <c r="JA491" s="93"/>
      <c r="JB491" s="93"/>
      <c r="JC491" s="93"/>
      <c r="JD491" s="93"/>
      <c r="JE491" s="20"/>
      <c r="JF491" s="29"/>
      <c r="JG491" s="19"/>
      <c r="JH491" s="93"/>
      <c r="JI491" s="93"/>
      <c r="JJ491" s="93"/>
      <c r="JK491" s="93"/>
      <c r="JL491" s="93"/>
      <c r="JM491" s="93"/>
      <c r="JN491" s="20"/>
      <c r="JO491" s="29"/>
      <c r="JP491" s="19"/>
      <c r="JQ491" s="93"/>
      <c r="JR491" s="93"/>
      <c r="JS491" s="93"/>
      <c r="JT491" s="93"/>
      <c r="JU491" s="20"/>
      <c r="JV491" s="29"/>
      <c r="JW491" s="1504">
        <v>49400</v>
      </c>
      <c r="JX491" s="19"/>
      <c r="JY491" s="93"/>
      <c r="JZ491" s="93"/>
      <c r="KA491" s="93"/>
      <c r="KB491" s="93"/>
      <c r="KC491" s="93"/>
      <c r="KD491" s="20"/>
      <c r="KE491" s="29"/>
      <c r="KF491" s="19"/>
      <c r="KG491" s="93"/>
      <c r="KH491" s="93"/>
      <c r="KI491" s="93"/>
      <c r="KJ491" s="93"/>
      <c r="KK491" s="20"/>
      <c r="KL491" s="29"/>
      <c r="KM491" s="19"/>
      <c r="KN491" s="93"/>
      <c r="KO491" s="93"/>
      <c r="KP491" s="93"/>
      <c r="KQ491" s="93"/>
      <c r="KR491" s="20"/>
      <c r="KS491" s="29"/>
      <c r="KT491" s="19"/>
      <c r="KU491" s="93"/>
      <c r="KV491" s="93"/>
      <c r="KW491" s="93"/>
      <c r="KX491" s="93"/>
      <c r="KY491" s="20"/>
      <c r="KZ491" s="29"/>
      <c r="LA491" s="1504">
        <v>49400</v>
      </c>
      <c r="LB491" s="19"/>
      <c r="LC491" s="93"/>
      <c r="LD491" s="93"/>
      <c r="LE491" s="93"/>
      <c r="LF491" s="93"/>
      <c r="LG491" s="93"/>
      <c r="LH491" s="20"/>
      <c r="LI491" s="29"/>
      <c r="LJ491" s="19"/>
      <c r="LK491" s="93"/>
      <c r="LL491" s="93"/>
      <c r="LM491" s="93"/>
      <c r="LN491" s="93"/>
      <c r="LO491" s="20"/>
      <c r="LP491" s="29"/>
      <c r="LQ491" s="19"/>
      <c r="LR491" s="93"/>
      <c r="LS491" s="93"/>
      <c r="LT491" s="93"/>
      <c r="LU491" s="93"/>
      <c r="LV491" s="93"/>
      <c r="LW491" s="93"/>
      <c r="LX491" s="93"/>
      <c r="LY491" s="93"/>
      <c r="LZ491" s="93"/>
      <c r="MA491" s="20"/>
      <c r="MB491" s="29"/>
      <c r="MC491" s="1504">
        <v>49400</v>
      </c>
      <c r="MD491" s="19"/>
      <c r="ME491" s="93"/>
      <c r="MF491" s="93"/>
      <c r="MG491" s="93"/>
      <c r="MH491" s="93"/>
      <c r="MI491" s="93"/>
      <c r="MJ491" s="93"/>
      <c r="MK491" s="93"/>
      <c r="ML491" s="93"/>
      <c r="MM491" s="93"/>
      <c r="MN491" s="93"/>
      <c r="MO491" s="93"/>
      <c r="MP491" s="93"/>
      <c r="MQ491" s="93"/>
      <c r="MR491" s="93"/>
      <c r="MS491" s="93"/>
      <c r="MT491" s="93"/>
      <c r="MU491" s="93"/>
      <c r="MV491" s="93"/>
      <c r="MW491" s="93"/>
      <c r="MX491" s="93"/>
      <c r="MY491" s="93"/>
      <c r="MZ491" s="93"/>
      <c r="NA491" s="93"/>
      <c r="NB491" s="93"/>
      <c r="NC491" s="93"/>
      <c r="ND491" s="93"/>
      <c r="NE491" s="93"/>
      <c r="NF491" s="93"/>
      <c r="NG491" s="93"/>
      <c r="NH491" s="93"/>
      <c r="NI491" s="93"/>
      <c r="NJ491" s="93"/>
      <c r="NK491" s="93"/>
      <c r="NL491" s="93"/>
      <c r="NM491" s="93"/>
      <c r="NN491" s="93"/>
      <c r="NO491" s="93"/>
      <c r="NP491" s="93"/>
      <c r="NQ491" s="93"/>
      <c r="NR491" s="93"/>
      <c r="NS491" s="93"/>
      <c r="NT491" s="93"/>
      <c r="NU491" s="93"/>
      <c r="NV491" s="93"/>
      <c r="NW491" s="93"/>
      <c r="NX491" s="93"/>
      <c r="NY491" s="93"/>
      <c r="NZ491" s="93"/>
      <c r="OA491" s="93"/>
      <c r="OB491" s="93"/>
      <c r="OC491" s="93"/>
      <c r="OD491" s="20"/>
      <c r="OE491" s="29"/>
      <c r="OF491" s="1504">
        <v>49400</v>
      </c>
      <c r="OG491" s="19"/>
      <c r="OH491" s="93"/>
      <c r="OI491" s="93"/>
      <c r="OJ491" s="93"/>
      <c r="OK491" s="93"/>
      <c r="OL491" s="93"/>
      <c r="OM491" s="93"/>
      <c r="ON491" s="93"/>
      <c r="OO491" s="93"/>
      <c r="OP491" s="93"/>
      <c r="OQ491" s="93"/>
      <c r="OR491" s="93"/>
      <c r="OS491" s="93"/>
      <c r="OT491" s="93"/>
      <c r="OU491" s="93"/>
      <c r="OV491" s="93"/>
      <c r="OW491" s="93"/>
      <c r="OX491" s="93"/>
      <c r="OY491" s="93"/>
      <c r="OZ491" s="93"/>
      <c r="PA491" s="93"/>
      <c r="PB491" s="93"/>
      <c r="PC491" s="20"/>
      <c r="PD491" s="29"/>
      <c r="PE491" s="19"/>
      <c r="PF491" s="93"/>
      <c r="PG491" s="93"/>
      <c r="PH491" s="93"/>
      <c r="PI491" s="93"/>
      <c r="PJ491" s="93"/>
      <c r="PK491" s="93"/>
      <c r="PL491" s="93"/>
      <c r="PM491" s="93"/>
      <c r="PN491" s="93"/>
      <c r="PO491" s="93"/>
      <c r="PP491" s="93"/>
      <c r="PQ491" s="93"/>
      <c r="PR491" s="93"/>
      <c r="PS491" s="93"/>
      <c r="PT491" s="93"/>
      <c r="PU491" s="93"/>
      <c r="PV491" s="93"/>
      <c r="PW491" s="93"/>
      <c r="PX491" s="93"/>
      <c r="PY491" s="93"/>
      <c r="PZ491" s="93"/>
      <c r="QA491" s="93"/>
      <c r="QB491" s="93"/>
      <c r="QC491" s="93"/>
      <c r="QD491" s="93"/>
      <c r="QE491" s="20"/>
      <c r="QF491" s="1739"/>
      <c r="QG491" s="19"/>
      <c r="QH491" s="93"/>
      <c r="QI491" s="93"/>
      <c r="QJ491" s="93"/>
      <c r="QK491" s="93"/>
      <c r="QL491" s="93"/>
      <c r="QM491" s="93"/>
      <c r="QN491" s="93"/>
      <c r="QO491" s="93"/>
      <c r="QP491" s="93"/>
      <c r="QQ491" s="93"/>
      <c r="QR491" s="93"/>
      <c r="QS491" s="93"/>
      <c r="QT491" s="93"/>
      <c r="QU491" s="93"/>
      <c r="QV491" s="93"/>
      <c r="QW491" s="93"/>
      <c r="QX491" s="93"/>
      <c r="QY491" s="93"/>
      <c r="QZ491" s="93"/>
      <c r="RA491" s="93"/>
      <c r="RB491" s="93"/>
      <c r="RC491" s="93"/>
      <c r="RD491" s="93"/>
      <c r="RE491" s="93"/>
      <c r="RF491" s="93"/>
      <c r="RG491" s="93"/>
      <c r="RH491" s="93"/>
      <c r="RI491" s="93"/>
      <c r="RJ491" s="93"/>
      <c r="RK491" s="93"/>
      <c r="RL491" s="93"/>
      <c r="RM491" s="20"/>
      <c r="RN491" s="29"/>
      <c r="RO491" s="19"/>
      <c r="RP491" s="20"/>
      <c r="RQ491" s="29"/>
      <c r="RR491" s="20"/>
      <c r="RS491" s="29"/>
      <c r="RT491" s="1504">
        <v>49400</v>
      </c>
      <c r="RU491" s="19"/>
      <c r="RV491" s="20"/>
      <c r="RW491" s="29"/>
      <c r="RX491" s="1504">
        <v>49400</v>
      </c>
      <c r="RY491" s="29"/>
      <c r="RZ491" s="20"/>
      <c r="SA491" s="29"/>
      <c r="SB491" s="29"/>
    </row>
    <row r="492" spans="1:496">
      <c r="A492" s="41">
        <f t="shared" si="360"/>
        <v>2035</v>
      </c>
      <c r="B492" s="1504">
        <v>49430</v>
      </c>
      <c r="C492" s="1813"/>
      <c r="D492" s="1814"/>
      <c r="E492" s="1814"/>
      <c r="F492" s="1815"/>
      <c r="G492" s="1814"/>
      <c r="H492" s="1814"/>
      <c r="I492" s="1814"/>
      <c r="J492" s="1816"/>
      <c r="K492" s="1807"/>
      <c r="L492" s="25"/>
      <c r="M492" s="97"/>
      <c r="N492" s="1504">
        <v>49430</v>
      </c>
      <c r="O492" s="19"/>
      <c r="P492" s="93"/>
      <c r="Q492" s="93"/>
      <c r="R492" s="93"/>
      <c r="S492" s="93"/>
      <c r="T492" s="93"/>
      <c r="U492" s="93"/>
      <c r="V492" s="93"/>
      <c r="W492" s="93"/>
      <c r="X492" s="93"/>
      <c r="Y492" s="93"/>
      <c r="Z492" s="93"/>
      <c r="AA492" s="93"/>
      <c r="AB492" s="20"/>
      <c r="AC492" s="25"/>
      <c r="AD492" s="97"/>
      <c r="AE492" s="1504">
        <v>49430</v>
      </c>
      <c r="AF492" s="19"/>
      <c r="AG492" s="93"/>
      <c r="AH492" s="93"/>
      <c r="AI492" s="93"/>
      <c r="AJ492" s="93"/>
      <c r="AK492" s="93"/>
      <c r="AL492" s="93"/>
      <c r="AM492" s="93"/>
      <c r="AN492" s="93"/>
      <c r="AO492" s="93"/>
      <c r="AP492" s="93"/>
      <c r="AQ492" s="93"/>
      <c r="AR492" s="93"/>
      <c r="AS492" s="20"/>
      <c r="AT492" s="25"/>
      <c r="AU492" s="97"/>
      <c r="AV492" s="1504">
        <v>49430</v>
      </c>
      <c r="AW492" s="19"/>
      <c r="AX492" s="93"/>
      <c r="AY492" s="93"/>
      <c r="AZ492" s="93"/>
      <c r="BA492" s="93"/>
      <c r="BB492" s="93"/>
      <c r="BC492" s="93"/>
      <c r="BD492" s="93"/>
      <c r="BE492" s="93"/>
      <c r="BF492" s="93"/>
      <c r="BG492" s="93"/>
      <c r="BH492" s="93"/>
      <c r="BI492" s="93"/>
      <c r="BJ492" s="20"/>
      <c r="BK492" s="25"/>
      <c r="BL492" s="97"/>
      <c r="BM492" s="1504">
        <v>49430</v>
      </c>
      <c r="BN492" s="19"/>
      <c r="BO492" s="93"/>
      <c r="BP492" s="93"/>
      <c r="BQ492" s="93"/>
      <c r="BR492" s="93"/>
      <c r="BS492" s="93"/>
      <c r="BT492" s="93"/>
      <c r="BU492" s="20"/>
      <c r="BV492" s="25"/>
      <c r="BW492" s="97"/>
      <c r="BX492" s="1504">
        <v>49430</v>
      </c>
      <c r="BY492" s="19"/>
      <c r="BZ492" s="93"/>
      <c r="CA492" s="93"/>
      <c r="CB492" s="93"/>
      <c r="CC492" s="93"/>
      <c r="CD492" s="25"/>
      <c r="CE492" s="97"/>
      <c r="CF492" s="1504">
        <v>49430</v>
      </c>
      <c r="CG492" s="19"/>
      <c r="CH492" s="93"/>
      <c r="CI492" s="219"/>
      <c r="CJ492" s="20"/>
      <c r="CK492" s="19"/>
      <c r="CL492" s="93"/>
      <c r="CM492" s="93"/>
      <c r="CN492" s="93"/>
      <c r="CO492" s="93"/>
      <c r="CP492" s="20"/>
      <c r="CQ492" s="219"/>
      <c r="CR492" s="93"/>
      <c r="CS492" s="93"/>
      <c r="CT492" s="93"/>
      <c r="CU492" s="93"/>
      <c r="CV492" s="214"/>
      <c r="CW492" s="29"/>
      <c r="CX492" s="41">
        <f t="shared" si="359"/>
        <v>2035</v>
      </c>
      <c r="CY492" s="1504">
        <v>49430</v>
      </c>
      <c r="CZ492" s="19"/>
      <c r="DA492" s="93"/>
      <c r="DB492" s="93"/>
      <c r="DC492" s="93"/>
      <c r="DD492" s="93"/>
      <c r="DE492" s="20"/>
      <c r="DF492" s="29"/>
      <c r="DG492" s="1504">
        <v>49430</v>
      </c>
      <c r="DH492" s="19"/>
      <c r="DI492" s="93"/>
      <c r="DJ492" s="93"/>
      <c r="DK492" s="93"/>
      <c r="DL492" s="93"/>
      <c r="DM492" s="93"/>
      <c r="DN492" s="20"/>
      <c r="DO492" s="295"/>
      <c r="DP492" s="29"/>
      <c r="DQ492" s="1504">
        <v>49430</v>
      </c>
      <c r="DR492" s="19"/>
      <c r="DS492" s="93"/>
      <c r="DT492" s="93"/>
      <c r="DU492" s="93"/>
      <c r="DV492" s="93"/>
      <c r="DW492" s="93"/>
      <c r="DX492" s="20"/>
      <c r="DY492" s="29"/>
      <c r="DZ492" s="1504">
        <v>49430</v>
      </c>
      <c r="EA492" s="19"/>
      <c r="EB492" s="93"/>
      <c r="EC492" s="20"/>
      <c r="ED492" s="29"/>
      <c r="EE492" s="1504">
        <v>49430</v>
      </c>
      <c r="EF492" s="19"/>
      <c r="EG492" s="93"/>
      <c r="EH492" s="93"/>
      <c r="EI492" s="214"/>
      <c r="EJ492" s="93"/>
      <c r="EK492" s="93"/>
      <c r="EL492" s="93"/>
      <c r="EM492" s="93"/>
      <c r="EN492" s="20"/>
      <c r="EO492" s="29"/>
      <c r="EP492" s="1504">
        <v>49430</v>
      </c>
      <c r="EQ492" s="19"/>
      <c r="ER492" s="93"/>
      <c r="ES492" s="93"/>
      <c r="ET492" s="214"/>
      <c r="EU492" s="93"/>
      <c r="EV492" s="93"/>
      <c r="EW492" s="93"/>
      <c r="EX492" s="93"/>
      <c r="EY492" s="20"/>
      <c r="EZ492" s="29"/>
      <c r="FA492" s="1504">
        <v>49430</v>
      </c>
      <c r="FB492" s="29"/>
      <c r="FC492" s="29"/>
      <c r="FD492" s="29"/>
      <c r="FE492" s="29"/>
      <c r="FF492" s="29"/>
      <c r="FG492" s="29"/>
      <c r="FH492" s="29"/>
      <c r="FI492" s="29"/>
      <c r="FJ492" s="29"/>
      <c r="FK492" s="29"/>
      <c r="FL492" s="1504">
        <v>49430</v>
      </c>
      <c r="FM492" s="19"/>
      <c r="FN492" s="93"/>
      <c r="FO492" s="93"/>
      <c r="FP492" s="93"/>
      <c r="FQ492" s="93"/>
      <c r="FR492" s="93"/>
      <c r="FS492" s="93"/>
      <c r="FT492" s="93"/>
      <c r="FU492" s="93"/>
      <c r="FV492" s="93"/>
      <c r="FW492" s="93"/>
      <c r="FX492" s="93"/>
      <c r="FY492" s="93"/>
      <c r="FZ492" s="29"/>
      <c r="GA492" s="1504">
        <v>49430</v>
      </c>
      <c r="GB492" s="19"/>
      <c r="GC492" s="93"/>
      <c r="GD492" s="93"/>
      <c r="GE492" s="93"/>
      <c r="GF492" s="93"/>
      <c r="GG492" s="93"/>
      <c r="GH492" s="93"/>
      <c r="GI492" s="93"/>
      <c r="GJ492" s="93"/>
      <c r="GK492" s="93"/>
      <c r="GL492" s="93"/>
      <c r="GM492" s="93"/>
      <c r="GN492" s="20"/>
      <c r="GO492" s="29"/>
      <c r="GP492" s="1504">
        <v>49430</v>
      </c>
      <c r="GQ492" s="19"/>
      <c r="GR492" s="93"/>
      <c r="GS492" s="93"/>
      <c r="GT492" s="93"/>
      <c r="GU492" s="93"/>
      <c r="GV492" s="20"/>
      <c r="GW492" s="19"/>
      <c r="GX492" s="93"/>
      <c r="GY492" s="93"/>
      <c r="GZ492" s="93"/>
      <c r="HA492" s="93"/>
      <c r="HB492" s="20"/>
      <c r="HC492" s="19"/>
      <c r="HD492" s="93"/>
      <c r="HE492" s="93"/>
      <c r="HF492" s="93"/>
      <c r="HG492" s="93"/>
      <c r="HH492" s="20"/>
      <c r="HI492" s="19"/>
      <c r="HJ492" s="93"/>
      <c r="HK492" s="93"/>
      <c r="HL492" s="93"/>
      <c r="HM492" s="93"/>
      <c r="HN492" s="20"/>
      <c r="HO492" s="219"/>
      <c r="HP492" s="20"/>
      <c r="HQ492" s="25"/>
      <c r="HR492" s="29"/>
      <c r="HS492" s="1504">
        <v>49430</v>
      </c>
      <c r="HT492" s="19"/>
      <c r="HU492" s="93"/>
      <c r="HV492" s="93"/>
      <c r="HW492" s="93"/>
      <c r="HX492" s="93"/>
      <c r="HY492" s="93"/>
      <c r="HZ492" s="93"/>
      <c r="IA492" s="20"/>
      <c r="IB492" s="19"/>
      <c r="IC492" s="93"/>
      <c r="ID492" s="93"/>
      <c r="IE492" s="93"/>
      <c r="IF492" s="93"/>
      <c r="IG492" s="20"/>
      <c r="IH492" s="19"/>
      <c r="II492" s="93"/>
      <c r="IJ492" s="93"/>
      <c r="IK492" s="93"/>
      <c r="IL492" s="93"/>
      <c r="IM492" s="93"/>
      <c r="IN492" s="93"/>
      <c r="IO492" s="20"/>
      <c r="IP492" s="29"/>
      <c r="IQ492" s="19"/>
      <c r="IR492" s="93"/>
      <c r="IS492" s="93"/>
      <c r="IT492" s="93"/>
      <c r="IU492" s="93"/>
      <c r="IV492" s="20"/>
      <c r="IW492" s="29"/>
      <c r="IX492" s="19"/>
      <c r="IY492" s="93"/>
      <c r="IZ492" s="93"/>
      <c r="JA492" s="93"/>
      <c r="JB492" s="93"/>
      <c r="JC492" s="93"/>
      <c r="JD492" s="93"/>
      <c r="JE492" s="20"/>
      <c r="JF492" s="29"/>
      <c r="JG492" s="19"/>
      <c r="JH492" s="93"/>
      <c r="JI492" s="93"/>
      <c r="JJ492" s="93"/>
      <c r="JK492" s="93"/>
      <c r="JL492" s="93"/>
      <c r="JM492" s="93"/>
      <c r="JN492" s="20"/>
      <c r="JO492" s="29"/>
      <c r="JP492" s="19"/>
      <c r="JQ492" s="93"/>
      <c r="JR492" s="93"/>
      <c r="JS492" s="93"/>
      <c r="JT492" s="93"/>
      <c r="JU492" s="20"/>
      <c r="JV492" s="29"/>
      <c r="JW492" s="1504">
        <v>49430</v>
      </c>
      <c r="JX492" s="19"/>
      <c r="JY492" s="93"/>
      <c r="JZ492" s="93"/>
      <c r="KA492" s="93"/>
      <c r="KB492" s="93"/>
      <c r="KC492" s="93"/>
      <c r="KD492" s="20"/>
      <c r="KE492" s="29"/>
      <c r="KF492" s="19"/>
      <c r="KG492" s="93"/>
      <c r="KH492" s="93"/>
      <c r="KI492" s="93"/>
      <c r="KJ492" s="93"/>
      <c r="KK492" s="20"/>
      <c r="KL492" s="29"/>
      <c r="KM492" s="19"/>
      <c r="KN492" s="93"/>
      <c r="KO492" s="93"/>
      <c r="KP492" s="93"/>
      <c r="KQ492" s="93"/>
      <c r="KR492" s="20"/>
      <c r="KS492" s="29"/>
      <c r="KT492" s="19"/>
      <c r="KU492" s="93"/>
      <c r="KV492" s="93"/>
      <c r="KW492" s="93"/>
      <c r="KX492" s="93"/>
      <c r="KY492" s="20"/>
      <c r="KZ492" s="29"/>
      <c r="LA492" s="1504">
        <v>49430</v>
      </c>
      <c r="LB492" s="19"/>
      <c r="LC492" s="93"/>
      <c r="LD492" s="93"/>
      <c r="LE492" s="93"/>
      <c r="LF492" s="93"/>
      <c r="LG492" s="93"/>
      <c r="LH492" s="20"/>
      <c r="LI492" s="29"/>
      <c r="LJ492" s="19"/>
      <c r="LK492" s="93"/>
      <c r="LL492" s="93"/>
      <c r="LM492" s="93"/>
      <c r="LN492" s="93"/>
      <c r="LO492" s="20"/>
      <c r="LP492" s="29"/>
      <c r="LQ492" s="19"/>
      <c r="LR492" s="93"/>
      <c r="LS492" s="93"/>
      <c r="LT492" s="93"/>
      <c r="LU492" s="93"/>
      <c r="LV492" s="93"/>
      <c r="LW492" s="93"/>
      <c r="LX492" s="93"/>
      <c r="LY492" s="93"/>
      <c r="LZ492" s="93"/>
      <c r="MA492" s="20"/>
      <c r="MB492" s="29"/>
      <c r="MC492" s="1504">
        <v>49430</v>
      </c>
      <c r="MD492" s="19"/>
      <c r="ME492" s="93"/>
      <c r="MF492" s="93"/>
      <c r="MG492" s="93"/>
      <c r="MH492" s="93"/>
      <c r="MI492" s="93"/>
      <c r="MJ492" s="93"/>
      <c r="MK492" s="93"/>
      <c r="ML492" s="93"/>
      <c r="MM492" s="93"/>
      <c r="MN492" s="93"/>
      <c r="MO492" s="93"/>
      <c r="MP492" s="93"/>
      <c r="MQ492" s="93"/>
      <c r="MR492" s="93"/>
      <c r="MS492" s="93"/>
      <c r="MT492" s="93"/>
      <c r="MU492" s="93"/>
      <c r="MV492" s="93"/>
      <c r="MW492" s="93"/>
      <c r="MX492" s="93"/>
      <c r="MY492" s="93"/>
      <c r="MZ492" s="93"/>
      <c r="NA492" s="93"/>
      <c r="NB492" s="93"/>
      <c r="NC492" s="93"/>
      <c r="ND492" s="93"/>
      <c r="NE492" s="93"/>
      <c r="NF492" s="93"/>
      <c r="NG492" s="93"/>
      <c r="NH492" s="93"/>
      <c r="NI492" s="93"/>
      <c r="NJ492" s="93"/>
      <c r="NK492" s="93"/>
      <c r="NL492" s="93"/>
      <c r="NM492" s="93"/>
      <c r="NN492" s="93"/>
      <c r="NO492" s="93"/>
      <c r="NP492" s="93"/>
      <c r="NQ492" s="93"/>
      <c r="NR492" s="93"/>
      <c r="NS492" s="93"/>
      <c r="NT492" s="93"/>
      <c r="NU492" s="93"/>
      <c r="NV492" s="93"/>
      <c r="NW492" s="93"/>
      <c r="NX492" s="93"/>
      <c r="NY492" s="93"/>
      <c r="NZ492" s="93"/>
      <c r="OA492" s="93"/>
      <c r="OB492" s="93"/>
      <c r="OC492" s="93"/>
      <c r="OD492" s="20"/>
      <c r="OE492" s="29"/>
      <c r="OF492" s="1504">
        <v>49430</v>
      </c>
      <c r="OG492" s="19"/>
      <c r="OH492" s="93"/>
      <c r="OI492" s="93"/>
      <c r="OJ492" s="93"/>
      <c r="OK492" s="93"/>
      <c r="OL492" s="93"/>
      <c r="OM492" s="93"/>
      <c r="ON492" s="93"/>
      <c r="OO492" s="93"/>
      <c r="OP492" s="93"/>
      <c r="OQ492" s="93"/>
      <c r="OR492" s="93"/>
      <c r="OS492" s="93"/>
      <c r="OT492" s="93"/>
      <c r="OU492" s="93"/>
      <c r="OV492" s="93"/>
      <c r="OW492" s="93"/>
      <c r="OX492" s="93"/>
      <c r="OY492" s="93"/>
      <c r="OZ492" s="93"/>
      <c r="PA492" s="93"/>
      <c r="PB492" s="93"/>
      <c r="PC492" s="20"/>
      <c r="PD492" s="29"/>
      <c r="PE492" s="19"/>
      <c r="PF492" s="93"/>
      <c r="PG492" s="93"/>
      <c r="PH492" s="93"/>
      <c r="PI492" s="93"/>
      <c r="PJ492" s="93"/>
      <c r="PK492" s="93"/>
      <c r="PL492" s="93"/>
      <c r="PM492" s="93"/>
      <c r="PN492" s="93"/>
      <c r="PO492" s="93"/>
      <c r="PP492" s="93"/>
      <c r="PQ492" s="93"/>
      <c r="PR492" s="93"/>
      <c r="PS492" s="93"/>
      <c r="PT492" s="93"/>
      <c r="PU492" s="93"/>
      <c r="PV492" s="93"/>
      <c r="PW492" s="93"/>
      <c r="PX492" s="93"/>
      <c r="PY492" s="93"/>
      <c r="PZ492" s="93"/>
      <c r="QA492" s="93"/>
      <c r="QB492" s="93"/>
      <c r="QC492" s="93"/>
      <c r="QD492" s="93"/>
      <c r="QE492" s="20"/>
      <c r="QF492" s="1739"/>
      <c r="QG492" s="19"/>
      <c r="QH492" s="93"/>
      <c r="QI492" s="93"/>
      <c r="QJ492" s="93"/>
      <c r="QK492" s="93"/>
      <c r="QL492" s="93"/>
      <c r="QM492" s="93"/>
      <c r="QN492" s="93"/>
      <c r="QO492" s="93"/>
      <c r="QP492" s="93"/>
      <c r="QQ492" s="93"/>
      <c r="QR492" s="93"/>
      <c r="QS492" s="93"/>
      <c r="QT492" s="93"/>
      <c r="QU492" s="93"/>
      <c r="QV492" s="93"/>
      <c r="QW492" s="93"/>
      <c r="QX492" s="93"/>
      <c r="QY492" s="93"/>
      <c r="QZ492" s="93"/>
      <c r="RA492" s="93"/>
      <c r="RB492" s="93"/>
      <c r="RC492" s="93"/>
      <c r="RD492" s="93"/>
      <c r="RE492" s="93"/>
      <c r="RF492" s="93"/>
      <c r="RG492" s="93"/>
      <c r="RH492" s="93"/>
      <c r="RI492" s="93"/>
      <c r="RJ492" s="93"/>
      <c r="RK492" s="93"/>
      <c r="RL492" s="93"/>
      <c r="RM492" s="20"/>
      <c r="RN492" s="29"/>
      <c r="RO492" s="19"/>
      <c r="RP492" s="20"/>
      <c r="RQ492" s="29"/>
      <c r="RR492" s="20"/>
      <c r="RS492" s="29"/>
      <c r="RT492" s="1504">
        <v>49430</v>
      </c>
      <c r="RU492" s="19"/>
      <c r="RV492" s="20"/>
      <c r="RW492" s="29"/>
      <c r="RX492" s="1504">
        <v>49430</v>
      </c>
      <c r="RY492" s="29"/>
      <c r="RZ492" s="20"/>
      <c r="SA492" s="29"/>
      <c r="SB492" s="29"/>
    </row>
    <row r="493" spans="1:496">
      <c r="A493" s="41">
        <f t="shared" si="360"/>
        <v>2035</v>
      </c>
      <c r="B493" s="1504">
        <v>49461</v>
      </c>
      <c r="C493" s="1813"/>
      <c r="D493" s="1814"/>
      <c r="E493" s="1814"/>
      <c r="F493" s="1815"/>
      <c r="G493" s="1814"/>
      <c r="H493" s="1814"/>
      <c r="I493" s="1814"/>
      <c r="J493" s="1816"/>
      <c r="K493" s="1807"/>
      <c r="L493" s="25"/>
      <c r="M493" s="97"/>
      <c r="N493" s="1504">
        <v>49461</v>
      </c>
      <c r="O493" s="19"/>
      <c r="P493" s="93"/>
      <c r="Q493" s="93"/>
      <c r="R493" s="93"/>
      <c r="S493" s="93"/>
      <c r="T493" s="93"/>
      <c r="U493" s="93"/>
      <c r="V493" s="93"/>
      <c r="W493" s="93"/>
      <c r="X493" s="93"/>
      <c r="Y493" s="93"/>
      <c r="Z493" s="93"/>
      <c r="AA493" s="93"/>
      <c r="AB493" s="20"/>
      <c r="AC493" s="25"/>
      <c r="AD493" s="97"/>
      <c r="AE493" s="1504">
        <v>49461</v>
      </c>
      <c r="AF493" s="19"/>
      <c r="AG493" s="93"/>
      <c r="AH493" s="93"/>
      <c r="AI493" s="93"/>
      <c r="AJ493" s="93"/>
      <c r="AK493" s="93"/>
      <c r="AL493" s="93"/>
      <c r="AM493" s="93"/>
      <c r="AN493" s="93"/>
      <c r="AO493" s="93"/>
      <c r="AP493" s="93"/>
      <c r="AQ493" s="93"/>
      <c r="AR493" s="93"/>
      <c r="AS493" s="20"/>
      <c r="AT493" s="25"/>
      <c r="AU493" s="97"/>
      <c r="AV493" s="1504">
        <v>49461</v>
      </c>
      <c r="AW493" s="19"/>
      <c r="AX493" s="93"/>
      <c r="AY493" s="93"/>
      <c r="AZ493" s="93"/>
      <c r="BA493" s="93"/>
      <c r="BB493" s="93"/>
      <c r="BC493" s="93"/>
      <c r="BD493" s="93"/>
      <c r="BE493" s="93"/>
      <c r="BF493" s="93"/>
      <c r="BG493" s="93"/>
      <c r="BH493" s="93"/>
      <c r="BI493" s="93"/>
      <c r="BJ493" s="20"/>
      <c r="BK493" s="25"/>
      <c r="BL493" s="97"/>
      <c r="BM493" s="1504">
        <v>49461</v>
      </c>
      <c r="BN493" s="19"/>
      <c r="BO493" s="93"/>
      <c r="BP493" s="93"/>
      <c r="BQ493" s="93"/>
      <c r="BR493" s="93"/>
      <c r="BS493" s="93"/>
      <c r="BT493" s="93"/>
      <c r="BU493" s="20"/>
      <c r="BV493" s="25"/>
      <c r="BW493" s="97"/>
      <c r="BX493" s="1504">
        <v>49461</v>
      </c>
      <c r="BY493" s="19"/>
      <c r="BZ493" s="93"/>
      <c r="CA493" s="93"/>
      <c r="CB493" s="93"/>
      <c r="CC493" s="93"/>
      <c r="CD493" s="25"/>
      <c r="CE493" s="97"/>
      <c r="CF493" s="1504">
        <v>49461</v>
      </c>
      <c r="CG493" s="19"/>
      <c r="CH493" s="93"/>
      <c r="CI493" s="219"/>
      <c r="CJ493" s="20"/>
      <c r="CK493" s="19"/>
      <c r="CL493" s="93"/>
      <c r="CM493" s="93"/>
      <c r="CN493" s="93"/>
      <c r="CO493" s="93"/>
      <c r="CP493" s="20"/>
      <c r="CQ493" s="219"/>
      <c r="CR493" s="93"/>
      <c r="CS493" s="93"/>
      <c r="CT493" s="93"/>
      <c r="CU493" s="93"/>
      <c r="CV493" s="214"/>
      <c r="CW493" s="29"/>
      <c r="CX493" s="41">
        <f t="shared" si="359"/>
        <v>2035</v>
      </c>
      <c r="CY493" s="1504">
        <v>49461</v>
      </c>
      <c r="CZ493" s="19"/>
      <c r="DA493" s="93"/>
      <c r="DB493" s="93"/>
      <c r="DC493" s="93"/>
      <c r="DD493" s="93"/>
      <c r="DE493" s="20"/>
      <c r="DF493" s="29"/>
      <c r="DG493" s="1504">
        <v>49461</v>
      </c>
      <c r="DH493" s="19"/>
      <c r="DI493" s="93"/>
      <c r="DJ493" s="93"/>
      <c r="DK493" s="93"/>
      <c r="DL493" s="93"/>
      <c r="DM493" s="93"/>
      <c r="DN493" s="20"/>
      <c r="DO493" s="295"/>
      <c r="DP493" s="29"/>
      <c r="DQ493" s="1504">
        <v>49461</v>
      </c>
      <c r="DR493" s="19"/>
      <c r="DS493" s="93"/>
      <c r="DT493" s="93"/>
      <c r="DU493" s="93"/>
      <c r="DV493" s="93"/>
      <c r="DW493" s="93"/>
      <c r="DX493" s="20"/>
      <c r="DY493" s="29"/>
      <c r="DZ493" s="1504">
        <v>49461</v>
      </c>
      <c r="EA493" s="19"/>
      <c r="EB493" s="93"/>
      <c r="EC493" s="20"/>
      <c r="ED493" s="29"/>
      <c r="EE493" s="1504">
        <v>49461</v>
      </c>
      <c r="EF493" s="19"/>
      <c r="EG493" s="93"/>
      <c r="EH493" s="93"/>
      <c r="EI493" s="214"/>
      <c r="EJ493" s="93"/>
      <c r="EK493" s="93"/>
      <c r="EL493" s="93"/>
      <c r="EM493" s="93"/>
      <c r="EN493" s="20"/>
      <c r="EO493" s="29"/>
      <c r="EP493" s="1504">
        <v>49461</v>
      </c>
      <c r="EQ493" s="19"/>
      <c r="ER493" s="93"/>
      <c r="ES493" s="93"/>
      <c r="ET493" s="214"/>
      <c r="EU493" s="93"/>
      <c r="EV493" s="93"/>
      <c r="EW493" s="93"/>
      <c r="EX493" s="93"/>
      <c r="EY493" s="20"/>
      <c r="EZ493" s="29"/>
      <c r="FA493" s="1504">
        <v>49461</v>
      </c>
      <c r="FB493" s="29"/>
      <c r="FC493" s="29"/>
      <c r="FD493" s="29"/>
      <c r="FE493" s="29"/>
      <c r="FF493" s="29"/>
      <c r="FG493" s="29"/>
      <c r="FH493" s="29"/>
      <c r="FI493" s="29"/>
      <c r="FJ493" s="29"/>
      <c r="FK493" s="29"/>
      <c r="FL493" s="1504">
        <v>49461</v>
      </c>
      <c r="FM493" s="19"/>
      <c r="FN493" s="93"/>
      <c r="FO493" s="93"/>
      <c r="FP493" s="93"/>
      <c r="FQ493" s="93"/>
      <c r="FR493" s="93"/>
      <c r="FS493" s="93"/>
      <c r="FT493" s="93"/>
      <c r="FU493" s="93"/>
      <c r="FV493" s="93"/>
      <c r="FW493" s="93"/>
      <c r="FX493" s="93"/>
      <c r="FY493" s="93"/>
      <c r="FZ493" s="29"/>
      <c r="GA493" s="1504">
        <v>49461</v>
      </c>
      <c r="GB493" s="19"/>
      <c r="GC493" s="93"/>
      <c r="GD493" s="93"/>
      <c r="GE493" s="93"/>
      <c r="GF493" s="93"/>
      <c r="GG493" s="93"/>
      <c r="GH493" s="93"/>
      <c r="GI493" s="93"/>
      <c r="GJ493" s="93"/>
      <c r="GK493" s="93"/>
      <c r="GL493" s="93"/>
      <c r="GM493" s="93"/>
      <c r="GN493" s="20"/>
      <c r="GO493" s="29"/>
      <c r="GP493" s="1504">
        <v>49461</v>
      </c>
      <c r="GQ493" s="19"/>
      <c r="GR493" s="93"/>
      <c r="GS493" s="93"/>
      <c r="GT493" s="93"/>
      <c r="GU493" s="93"/>
      <c r="GV493" s="20"/>
      <c r="GW493" s="19"/>
      <c r="GX493" s="93"/>
      <c r="GY493" s="93"/>
      <c r="GZ493" s="93"/>
      <c r="HA493" s="93"/>
      <c r="HB493" s="20"/>
      <c r="HC493" s="19"/>
      <c r="HD493" s="93"/>
      <c r="HE493" s="93"/>
      <c r="HF493" s="93"/>
      <c r="HG493" s="93"/>
      <c r="HH493" s="20"/>
      <c r="HI493" s="19"/>
      <c r="HJ493" s="93"/>
      <c r="HK493" s="93"/>
      <c r="HL493" s="93"/>
      <c r="HM493" s="93"/>
      <c r="HN493" s="20"/>
      <c r="HO493" s="219"/>
      <c r="HP493" s="20"/>
      <c r="HQ493" s="25"/>
      <c r="HR493" s="29"/>
      <c r="HS493" s="1504">
        <v>49461</v>
      </c>
      <c r="HT493" s="19"/>
      <c r="HU493" s="93"/>
      <c r="HV493" s="93"/>
      <c r="HW493" s="93"/>
      <c r="HX493" s="93"/>
      <c r="HY493" s="93"/>
      <c r="HZ493" s="93"/>
      <c r="IA493" s="20"/>
      <c r="IB493" s="19"/>
      <c r="IC493" s="93"/>
      <c r="ID493" s="93"/>
      <c r="IE493" s="93"/>
      <c r="IF493" s="93"/>
      <c r="IG493" s="20"/>
      <c r="IH493" s="19"/>
      <c r="II493" s="93"/>
      <c r="IJ493" s="93"/>
      <c r="IK493" s="93"/>
      <c r="IL493" s="93"/>
      <c r="IM493" s="93"/>
      <c r="IN493" s="93"/>
      <c r="IO493" s="20"/>
      <c r="IP493" s="29"/>
      <c r="IQ493" s="19"/>
      <c r="IR493" s="93"/>
      <c r="IS493" s="93"/>
      <c r="IT493" s="93"/>
      <c r="IU493" s="93"/>
      <c r="IV493" s="20"/>
      <c r="IW493" s="29"/>
      <c r="IX493" s="19"/>
      <c r="IY493" s="93"/>
      <c r="IZ493" s="93"/>
      <c r="JA493" s="93"/>
      <c r="JB493" s="93"/>
      <c r="JC493" s="93"/>
      <c r="JD493" s="93"/>
      <c r="JE493" s="20"/>
      <c r="JF493" s="29"/>
      <c r="JG493" s="19"/>
      <c r="JH493" s="93"/>
      <c r="JI493" s="93"/>
      <c r="JJ493" s="93"/>
      <c r="JK493" s="93"/>
      <c r="JL493" s="93"/>
      <c r="JM493" s="93"/>
      <c r="JN493" s="20"/>
      <c r="JO493" s="29"/>
      <c r="JP493" s="19"/>
      <c r="JQ493" s="93"/>
      <c r="JR493" s="93"/>
      <c r="JS493" s="93"/>
      <c r="JT493" s="93"/>
      <c r="JU493" s="20"/>
      <c r="JV493" s="29"/>
      <c r="JW493" s="1504">
        <v>49461</v>
      </c>
      <c r="JX493" s="19"/>
      <c r="JY493" s="93"/>
      <c r="JZ493" s="93"/>
      <c r="KA493" s="93"/>
      <c r="KB493" s="93"/>
      <c r="KC493" s="93"/>
      <c r="KD493" s="20"/>
      <c r="KE493" s="29"/>
      <c r="KF493" s="19"/>
      <c r="KG493" s="93"/>
      <c r="KH493" s="93"/>
      <c r="KI493" s="93"/>
      <c r="KJ493" s="93"/>
      <c r="KK493" s="20"/>
      <c r="KL493" s="29"/>
      <c r="KM493" s="19"/>
      <c r="KN493" s="93"/>
      <c r="KO493" s="93"/>
      <c r="KP493" s="93"/>
      <c r="KQ493" s="93"/>
      <c r="KR493" s="20"/>
      <c r="KS493" s="29"/>
      <c r="KT493" s="19"/>
      <c r="KU493" s="93"/>
      <c r="KV493" s="93"/>
      <c r="KW493" s="93"/>
      <c r="KX493" s="93"/>
      <c r="KY493" s="20"/>
      <c r="KZ493" s="29"/>
      <c r="LA493" s="1504">
        <v>49461</v>
      </c>
      <c r="LB493" s="19"/>
      <c r="LC493" s="93"/>
      <c r="LD493" s="93"/>
      <c r="LE493" s="93"/>
      <c r="LF493" s="93"/>
      <c r="LG493" s="93"/>
      <c r="LH493" s="20"/>
      <c r="LI493" s="29"/>
      <c r="LJ493" s="19"/>
      <c r="LK493" s="93"/>
      <c r="LL493" s="93"/>
      <c r="LM493" s="93"/>
      <c r="LN493" s="93"/>
      <c r="LO493" s="20"/>
      <c r="LP493" s="29"/>
      <c r="LQ493" s="19"/>
      <c r="LR493" s="93"/>
      <c r="LS493" s="93"/>
      <c r="LT493" s="93"/>
      <c r="LU493" s="93"/>
      <c r="LV493" s="93"/>
      <c r="LW493" s="93"/>
      <c r="LX493" s="93"/>
      <c r="LY493" s="93"/>
      <c r="LZ493" s="93"/>
      <c r="MA493" s="20"/>
      <c r="MB493" s="29"/>
      <c r="MC493" s="1504">
        <v>49461</v>
      </c>
      <c r="MD493" s="19"/>
      <c r="ME493" s="93"/>
      <c r="MF493" s="93"/>
      <c r="MG493" s="93"/>
      <c r="MH493" s="93"/>
      <c r="MI493" s="93"/>
      <c r="MJ493" s="93"/>
      <c r="MK493" s="93"/>
      <c r="ML493" s="93"/>
      <c r="MM493" s="93"/>
      <c r="MN493" s="93"/>
      <c r="MO493" s="93"/>
      <c r="MP493" s="93"/>
      <c r="MQ493" s="93"/>
      <c r="MR493" s="93"/>
      <c r="MS493" s="93"/>
      <c r="MT493" s="93"/>
      <c r="MU493" s="93"/>
      <c r="MV493" s="93"/>
      <c r="MW493" s="93"/>
      <c r="MX493" s="93"/>
      <c r="MY493" s="93"/>
      <c r="MZ493" s="93"/>
      <c r="NA493" s="93"/>
      <c r="NB493" s="93"/>
      <c r="NC493" s="93"/>
      <c r="ND493" s="93"/>
      <c r="NE493" s="93"/>
      <c r="NF493" s="93"/>
      <c r="NG493" s="93"/>
      <c r="NH493" s="93"/>
      <c r="NI493" s="93"/>
      <c r="NJ493" s="93"/>
      <c r="NK493" s="93"/>
      <c r="NL493" s="93"/>
      <c r="NM493" s="93"/>
      <c r="NN493" s="93"/>
      <c r="NO493" s="93"/>
      <c r="NP493" s="93"/>
      <c r="NQ493" s="93"/>
      <c r="NR493" s="93"/>
      <c r="NS493" s="93"/>
      <c r="NT493" s="93"/>
      <c r="NU493" s="93"/>
      <c r="NV493" s="93"/>
      <c r="NW493" s="93"/>
      <c r="NX493" s="93"/>
      <c r="NY493" s="93"/>
      <c r="NZ493" s="93"/>
      <c r="OA493" s="93"/>
      <c r="OB493" s="93"/>
      <c r="OC493" s="93"/>
      <c r="OD493" s="20"/>
      <c r="OE493" s="29"/>
      <c r="OF493" s="1504">
        <v>49461</v>
      </c>
      <c r="OG493" s="19"/>
      <c r="OH493" s="93"/>
      <c r="OI493" s="93"/>
      <c r="OJ493" s="93"/>
      <c r="OK493" s="93"/>
      <c r="OL493" s="93"/>
      <c r="OM493" s="93"/>
      <c r="ON493" s="93"/>
      <c r="OO493" s="93"/>
      <c r="OP493" s="93"/>
      <c r="OQ493" s="93"/>
      <c r="OR493" s="93"/>
      <c r="OS493" s="93"/>
      <c r="OT493" s="93"/>
      <c r="OU493" s="93"/>
      <c r="OV493" s="93"/>
      <c r="OW493" s="93"/>
      <c r="OX493" s="93"/>
      <c r="OY493" s="93"/>
      <c r="OZ493" s="93"/>
      <c r="PA493" s="93"/>
      <c r="PB493" s="93"/>
      <c r="PC493" s="20"/>
      <c r="PD493" s="29"/>
      <c r="PE493" s="19"/>
      <c r="PF493" s="93"/>
      <c r="PG493" s="93"/>
      <c r="PH493" s="93"/>
      <c r="PI493" s="93"/>
      <c r="PJ493" s="93"/>
      <c r="PK493" s="93"/>
      <c r="PL493" s="93"/>
      <c r="PM493" s="93"/>
      <c r="PN493" s="93"/>
      <c r="PO493" s="93"/>
      <c r="PP493" s="93"/>
      <c r="PQ493" s="93"/>
      <c r="PR493" s="93"/>
      <c r="PS493" s="93"/>
      <c r="PT493" s="93"/>
      <c r="PU493" s="93"/>
      <c r="PV493" s="93"/>
      <c r="PW493" s="93"/>
      <c r="PX493" s="93"/>
      <c r="PY493" s="93"/>
      <c r="PZ493" s="93"/>
      <c r="QA493" s="93"/>
      <c r="QB493" s="93"/>
      <c r="QC493" s="93"/>
      <c r="QD493" s="93"/>
      <c r="QE493" s="20"/>
      <c r="QF493" s="1739"/>
      <c r="QG493" s="19"/>
      <c r="QH493" s="93"/>
      <c r="QI493" s="93"/>
      <c r="QJ493" s="93"/>
      <c r="QK493" s="93"/>
      <c r="QL493" s="93"/>
      <c r="QM493" s="93"/>
      <c r="QN493" s="93"/>
      <c r="QO493" s="93"/>
      <c r="QP493" s="93"/>
      <c r="QQ493" s="93"/>
      <c r="QR493" s="93"/>
      <c r="QS493" s="93"/>
      <c r="QT493" s="93"/>
      <c r="QU493" s="93"/>
      <c r="QV493" s="93"/>
      <c r="QW493" s="93"/>
      <c r="QX493" s="93"/>
      <c r="QY493" s="93"/>
      <c r="QZ493" s="93"/>
      <c r="RA493" s="93"/>
      <c r="RB493" s="93"/>
      <c r="RC493" s="93"/>
      <c r="RD493" s="93"/>
      <c r="RE493" s="93"/>
      <c r="RF493" s="93"/>
      <c r="RG493" s="93"/>
      <c r="RH493" s="93"/>
      <c r="RI493" s="93"/>
      <c r="RJ493" s="93"/>
      <c r="RK493" s="93"/>
      <c r="RL493" s="93"/>
      <c r="RM493" s="20"/>
      <c r="RN493" s="29"/>
      <c r="RO493" s="19"/>
      <c r="RP493" s="20"/>
      <c r="RQ493" s="29"/>
      <c r="RR493" s="20"/>
      <c r="RS493" s="29"/>
      <c r="RT493" s="1504">
        <v>49461</v>
      </c>
      <c r="RU493" s="19"/>
      <c r="RV493" s="20"/>
      <c r="RW493" s="29"/>
      <c r="RX493" s="1504">
        <v>49461</v>
      </c>
      <c r="RY493" s="29"/>
      <c r="RZ493" s="20"/>
      <c r="SA493" s="29"/>
      <c r="SB493" s="29"/>
    </row>
    <row r="494" spans="1:496">
      <c r="A494" s="41">
        <f t="shared" si="360"/>
        <v>2035</v>
      </c>
      <c r="B494" s="1504">
        <v>49491</v>
      </c>
      <c r="C494" s="1813"/>
      <c r="D494" s="1814"/>
      <c r="E494" s="1814"/>
      <c r="F494" s="1815"/>
      <c r="G494" s="1814"/>
      <c r="H494" s="1814"/>
      <c r="I494" s="1814"/>
      <c r="J494" s="1816"/>
      <c r="K494" s="1807"/>
      <c r="L494" s="25"/>
      <c r="M494" s="97"/>
      <c r="N494" s="1504">
        <v>49491</v>
      </c>
      <c r="O494" s="19"/>
      <c r="P494" s="93"/>
      <c r="Q494" s="93"/>
      <c r="R494" s="93"/>
      <c r="S494" s="93"/>
      <c r="T494" s="93"/>
      <c r="U494" s="93"/>
      <c r="V494" s="93"/>
      <c r="W494" s="93"/>
      <c r="X494" s="93"/>
      <c r="Y494" s="93"/>
      <c r="Z494" s="93"/>
      <c r="AA494" s="93"/>
      <c r="AB494" s="20"/>
      <c r="AC494" s="25"/>
      <c r="AD494" s="97"/>
      <c r="AE494" s="1504">
        <v>49491</v>
      </c>
      <c r="AF494" s="19"/>
      <c r="AG494" s="93"/>
      <c r="AH494" s="93"/>
      <c r="AI494" s="93"/>
      <c r="AJ494" s="93"/>
      <c r="AK494" s="93"/>
      <c r="AL494" s="93"/>
      <c r="AM494" s="93"/>
      <c r="AN494" s="93"/>
      <c r="AO494" s="93"/>
      <c r="AP494" s="93"/>
      <c r="AQ494" s="93"/>
      <c r="AR494" s="93"/>
      <c r="AS494" s="20"/>
      <c r="AT494" s="25"/>
      <c r="AU494" s="97"/>
      <c r="AV494" s="1504">
        <v>49491</v>
      </c>
      <c r="AW494" s="19"/>
      <c r="AX494" s="93"/>
      <c r="AY494" s="93"/>
      <c r="AZ494" s="93"/>
      <c r="BA494" s="93"/>
      <c r="BB494" s="93"/>
      <c r="BC494" s="93"/>
      <c r="BD494" s="93"/>
      <c r="BE494" s="93"/>
      <c r="BF494" s="93"/>
      <c r="BG494" s="93"/>
      <c r="BH494" s="93"/>
      <c r="BI494" s="93"/>
      <c r="BJ494" s="20"/>
      <c r="BK494" s="25"/>
      <c r="BL494" s="97"/>
      <c r="BM494" s="1504">
        <v>49491</v>
      </c>
      <c r="BN494" s="19"/>
      <c r="BO494" s="93"/>
      <c r="BP494" s="93"/>
      <c r="BQ494" s="93"/>
      <c r="BR494" s="93"/>
      <c r="BS494" s="93"/>
      <c r="BT494" s="93"/>
      <c r="BU494" s="20"/>
      <c r="BV494" s="25"/>
      <c r="BW494" s="97"/>
      <c r="BX494" s="1504">
        <v>49491</v>
      </c>
      <c r="BY494" s="19"/>
      <c r="BZ494" s="93"/>
      <c r="CA494" s="93"/>
      <c r="CB494" s="93"/>
      <c r="CC494" s="93"/>
      <c r="CD494" s="25"/>
      <c r="CE494" s="97"/>
      <c r="CF494" s="1504">
        <v>49491</v>
      </c>
      <c r="CG494" s="19"/>
      <c r="CH494" s="93"/>
      <c r="CI494" s="219"/>
      <c r="CJ494" s="20"/>
      <c r="CK494" s="19"/>
      <c r="CL494" s="93"/>
      <c r="CM494" s="93"/>
      <c r="CN494" s="93"/>
      <c r="CO494" s="93"/>
      <c r="CP494" s="20"/>
      <c r="CQ494" s="219"/>
      <c r="CR494" s="93"/>
      <c r="CS494" s="93"/>
      <c r="CT494" s="93"/>
      <c r="CU494" s="93"/>
      <c r="CV494" s="214"/>
      <c r="CW494" s="29"/>
      <c r="CX494" s="41">
        <f t="shared" si="359"/>
        <v>2035</v>
      </c>
      <c r="CY494" s="1504">
        <v>49491</v>
      </c>
      <c r="CZ494" s="19"/>
      <c r="DA494" s="93"/>
      <c r="DB494" s="93"/>
      <c r="DC494" s="93"/>
      <c r="DD494" s="93"/>
      <c r="DE494" s="20"/>
      <c r="DF494" s="29"/>
      <c r="DG494" s="1504">
        <v>49491</v>
      </c>
      <c r="DH494" s="19"/>
      <c r="DI494" s="93"/>
      <c r="DJ494" s="93"/>
      <c r="DK494" s="93"/>
      <c r="DL494" s="93"/>
      <c r="DM494" s="93"/>
      <c r="DN494" s="20"/>
      <c r="DO494" s="295"/>
      <c r="DP494" s="29"/>
      <c r="DQ494" s="1504">
        <v>49491</v>
      </c>
      <c r="DR494" s="19"/>
      <c r="DS494" s="93"/>
      <c r="DT494" s="93"/>
      <c r="DU494" s="93"/>
      <c r="DV494" s="93"/>
      <c r="DW494" s="93"/>
      <c r="DX494" s="20"/>
      <c r="DY494" s="29"/>
      <c r="DZ494" s="1504">
        <v>49491</v>
      </c>
      <c r="EA494" s="19"/>
      <c r="EB494" s="93"/>
      <c r="EC494" s="20"/>
      <c r="ED494" s="29"/>
      <c r="EE494" s="1504">
        <v>49491</v>
      </c>
      <c r="EF494" s="19"/>
      <c r="EG494" s="93"/>
      <c r="EH494" s="93"/>
      <c r="EI494" s="214"/>
      <c r="EJ494" s="93"/>
      <c r="EK494" s="93"/>
      <c r="EL494" s="93"/>
      <c r="EM494" s="93"/>
      <c r="EN494" s="20"/>
      <c r="EO494" s="29"/>
      <c r="EP494" s="1504">
        <v>49491</v>
      </c>
      <c r="EQ494" s="19"/>
      <c r="ER494" s="93"/>
      <c r="ES494" s="93"/>
      <c r="ET494" s="214"/>
      <c r="EU494" s="93"/>
      <c r="EV494" s="93"/>
      <c r="EW494" s="93"/>
      <c r="EX494" s="93"/>
      <c r="EY494" s="20"/>
      <c r="EZ494" s="29"/>
      <c r="FA494" s="1504">
        <v>49491</v>
      </c>
      <c r="FB494" s="29"/>
      <c r="FC494" s="29"/>
      <c r="FD494" s="29"/>
      <c r="FE494" s="29"/>
      <c r="FF494" s="29"/>
      <c r="FG494" s="29"/>
      <c r="FH494" s="29"/>
      <c r="FI494" s="29"/>
      <c r="FJ494" s="29"/>
      <c r="FK494" s="29"/>
      <c r="FL494" s="1504">
        <v>49491</v>
      </c>
      <c r="FM494" s="19"/>
      <c r="FN494" s="93"/>
      <c r="FO494" s="93"/>
      <c r="FP494" s="93"/>
      <c r="FQ494" s="93"/>
      <c r="FR494" s="93"/>
      <c r="FS494" s="93"/>
      <c r="FT494" s="93"/>
      <c r="FU494" s="93"/>
      <c r="FV494" s="93"/>
      <c r="FW494" s="93"/>
      <c r="FX494" s="93"/>
      <c r="FY494" s="93"/>
      <c r="FZ494" s="29"/>
      <c r="GA494" s="1504">
        <v>49491</v>
      </c>
      <c r="GB494" s="19"/>
      <c r="GC494" s="93"/>
      <c r="GD494" s="93"/>
      <c r="GE494" s="93"/>
      <c r="GF494" s="93"/>
      <c r="GG494" s="93"/>
      <c r="GH494" s="93"/>
      <c r="GI494" s="93"/>
      <c r="GJ494" s="93"/>
      <c r="GK494" s="93"/>
      <c r="GL494" s="93"/>
      <c r="GM494" s="93"/>
      <c r="GN494" s="20"/>
      <c r="GO494" s="29"/>
      <c r="GP494" s="1504">
        <v>49491</v>
      </c>
      <c r="GQ494" s="19"/>
      <c r="GR494" s="93"/>
      <c r="GS494" s="93"/>
      <c r="GT494" s="93"/>
      <c r="GU494" s="93"/>
      <c r="GV494" s="20"/>
      <c r="GW494" s="19"/>
      <c r="GX494" s="93"/>
      <c r="GY494" s="93"/>
      <c r="GZ494" s="93"/>
      <c r="HA494" s="93"/>
      <c r="HB494" s="20"/>
      <c r="HC494" s="19"/>
      <c r="HD494" s="93"/>
      <c r="HE494" s="93"/>
      <c r="HF494" s="93"/>
      <c r="HG494" s="93"/>
      <c r="HH494" s="20"/>
      <c r="HI494" s="19"/>
      <c r="HJ494" s="93"/>
      <c r="HK494" s="93"/>
      <c r="HL494" s="93"/>
      <c r="HM494" s="93"/>
      <c r="HN494" s="20"/>
      <c r="HO494" s="219"/>
      <c r="HP494" s="20"/>
      <c r="HQ494" s="25"/>
      <c r="HR494" s="29"/>
      <c r="HS494" s="1504">
        <v>49491</v>
      </c>
      <c r="HT494" s="19"/>
      <c r="HU494" s="93"/>
      <c r="HV494" s="93"/>
      <c r="HW494" s="93"/>
      <c r="HX494" s="93"/>
      <c r="HY494" s="93"/>
      <c r="HZ494" s="93"/>
      <c r="IA494" s="20"/>
      <c r="IB494" s="19"/>
      <c r="IC494" s="93"/>
      <c r="ID494" s="93"/>
      <c r="IE494" s="93"/>
      <c r="IF494" s="93"/>
      <c r="IG494" s="20"/>
      <c r="IH494" s="19"/>
      <c r="II494" s="93"/>
      <c r="IJ494" s="93"/>
      <c r="IK494" s="93"/>
      <c r="IL494" s="93"/>
      <c r="IM494" s="93"/>
      <c r="IN494" s="93"/>
      <c r="IO494" s="20"/>
      <c r="IP494" s="29"/>
      <c r="IQ494" s="19"/>
      <c r="IR494" s="93"/>
      <c r="IS494" s="93"/>
      <c r="IT494" s="93"/>
      <c r="IU494" s="93"/>
      <c r="IV494" s="20"/>
      <c r="IW494" s="29"/>
      <c r="IX494" s="19"/>
      <c r="IY494" s="93"/>
      <c r="IZ494" s="93"/>
      <c r="JA494" s="93"/>
      <c r="JB494" s="93"/>
      <c r="JC494" s="93"/>
      <c r="JD494" s="93"/>
      <c r="JE494" s="20"/>
      <c r="JF494" s="29"/>
      <c r="JG494" s="19"/>
      <c r="JH494" s="93"/>
      <c r="JI494" s="93"/>
      <c r="JJ494" s="93"/>
      <c r="JK494" s="93"/>
      <c r="JL494" s="93"/>
      <c r="JM494" s="93"/>
      <c r="JN494" s="20"/>
      <c r="JO494" s="29"/>
      <c r="JP494" s="19"/>
      <c r="JQ494" s="93"/>
      <c r="JR494" s="93"/>
      <c r="JS494" s="93"/>
      <c r="JT494" s="93"/>
      <c r="JU494" s="20"/>
      <c r="JV494" s="29"/>
      <c r="JW494" s="1504">
        <v>49491</v>
      </c>
      <c r="JX494" s="19"/>
      <c r="JY494" s="93"/>
      <c r="JZ494" s="93"/>
      <c r="KA494" s="93"/>
      <c r="KB494" s="93"/>
      <c r="KC494" s="93"/>
      <c r="KD494" s="20"/>
      <c r="KE494" s="29"/>
      <c r="KF494" s="19"/>
      <c r="KG494" s="93"/>
      <c r="KH494" s="93"/>
      <c r="KI494" s="93"/>
      <c r="KJ494" s="93"/>
      <c r="KK494" s="20"/>
      <c r="KL494" s="29"/>
      <c r="KM494" s="19"/>
      <c r="KN494" s="93"/>
      <c r="KO494" s="93"/>
      <c r="KP494" s="93"/>
      <c r="KQ494" s="93"/>
      <c r="KR494" s="20"/>
      <c r="KS494" s="29"/>
      <c r="KT494" s="19"/>
      <c r="KU494" s="93"/>
      <c r="KV494" s="93"/>
      <c r="KW494" s="93"/>
      <c r="KX494" s="93"/>
      <c r="KY494" s="20"/>
      <c r="KZ494" s="29"/>
      <c r="LA494" s="1504">
        <v>49491</v>
      </c>
      <c r="LB494" s="19"/>
      <c r="LC494" s="93"/>
      <c r="LD494" s="93"/>
      <c r="LE494" s="93"/>
      <c r="LF494" s="93"/>
      <c r="LG494" s="93"/>
      <c r="LH494" s="20"/>
      <c r="LI494" s="29"/>
      <c r="LJ494" s="19"/>
      <c r="LK494" s="93"/>
      <c r="LL494" s="93"/>
      <c r="LM494" s="93"/>
      <c r="LN494" s="93"/>
      <c r="LO494" s="20"/>
      <c r="LP494" s="29"/>
      <c r="LQ494" s="19"/>
      <c r="LR494" s="93"/>
      <c r="LS494" s="93"/>
      <c r="LT494" s="93"/>
      <c r="LU494" s="93"/>
      <c r="LV494" s="93"/>
      <c r="LW494" s="93"/>
      <c r="LX494" s="93"/>
      <c r="LY494" s="93"/>
      <c r="LZ494" s="93"/>
      <c r="MA494" s="20"/>
      <c r="MB494" s="29"/>
      <c r="MC494" s="1504">
        <v>49491</v>
      </c>
      <c r="MD494" s="19"/>
      <c r="ME494" s="93"/>
      <c r="MF494" s="93"/>
      <c r="MG494" s="93"/>
      <c r="MH494" s="93"/>
      <c r="MI494" s="93"/>
      <c r="MJ494" s="93"/>
      <c r="MK494" s="93"/>
      <c r="ML494" s="93"/>
      <c r="MM494" s="93"/>
      <c r="MN494" s="93"/>
      <c r="MO494" s="93"/>
      <c r="MP494" s="93"/>
      <c r="MQ494" s="93"/>
      <c r="MR494" s="93"/>
      <c r="MS494" s="93"/>
      <c r="MT494" s="93"/>
      <c r="MU494" s="93"/>
      <c r="MV494" s="93"/>
      <c r="MW494" s="93"/>
      <c r="MX494" s="93"/>
      <c r="MY494" s="93"/>
      <c r="MZ494" s="93"/>
      <c r="NA494" s="93"/>
      <c r="NB494" s="93"/>
      <c r="NC494" s="93"/>
      <c r="ND494" s="93"/>
      <c r="NE494" s="93"/>
      <c r="NF494" s="93"/>
      <c r="NG494" s="93"/>
      <c r="NH494" s="93"/>
      <c r="NI494" s="93"/>
      <c r="NJ494" s="93"/>
      <c r="NK494" s="93"/>
      <c r="NL494" s="93"/>
      <c r="NM494" s="93"/>
      <c r="NN494" s="93"/>
      <c r="NO494" s="93"/>
      <c r="NP494" s="93"/>
      <c r="NQ494" s="93"/>
      <c r="NR494" s="93"/>
      <c r="NS494" s="93"/>
      <c r="NT494" s="93"/>
      <c r="NU494" s="93"/>
      <c r="NV494" s="93"/>
      <c r="NW494" s="93"/>
      <c r="NX494" s="93"/>
      <c r="NY494" s="93"/>
      <c r="NZ494" s="93"/>
      <c r="OA494" s="93"/>
      <c r="OB494" s="93"/>
      <c r="OC494" s="93"/>
      <c r="OD494" s="20"/>
      <c r="OE494" s="29"/>
      <c r="OF494" s="1504">
        <v>49491</v>
      </c>
      <c r="OG494" s="19"/>
      <c r="OH494" s="93"/>
      <c r="OI494" s="93"/>
      <c r="OJ494" s="93"/>
      <c r="OK494" s="93"/>
      <c r="OL494" s="93"/>
      <c r="OM494" s="93"/>
      <c r="ON494" s="93"/>
      <c r="OO494" s="93"/>
      <c r="OP494" s="93"/>
      <c r="OQ494" s="93"/>
      <c r="OR494" s="93"/>
      <c r="OS494" s="93"/>
      <c r="OT494" s="93"/>
      <c r="OU494" s="93"/>
      <c r="OV494" s="93"/>
      <c r="OW494" s="93"/>
      <c r="OX494" s="93"/>
      <c r="OY494" s="93"/>
      <c r="OZ494" s="93"/>
      <c r="PA494" s="93"/>
      <c r="PB494" s="93"/>
      <c r="PC494" s="20"/>
      <c r="PD494" s="29"/>
      <c r="PE494" s="19"/>
      <c r="PF494" s="93"/>
      <c r="PG494" s="93"/>
      <c r="PH494" s="93"/>
      <c r="PI494" s="93"/>
      <c r="PJ494" s="93"/>
      <c r="PK494" s="93"/>
      <c r="PL494" s="93"/>
      <c r="PM494" s="93"/>
      <c r="PN494" s="93"/>
      <c r="PO494" s="93"/>
      <c r="PP494" s="93"/>
      <c r="PQ494" s="93"/>
      <c r="PR494" s="93"/>
      <c r="PS494" s="93"/>
      <c r="PT494" s="93"/>
      <c r="PU494" s="93"/>
      <c r="PV494" s="93"/>
      <c r="PW494" s="93"/>
      <c r="PX494" s="93"/>
      <c r="PY494" s="93"/>
      <c r="PZ494" s="93"/>
      <c r="QA494" s="93"/>
      <c r="QB494" s="93"/>
      <c r="QC494" s="93"/>
      <c r="QD494" s="93"/>
      <c r="QE494" s="20"/>
      <c r="QF494" s="1739"/>
      <c r="QG494" s="19"/>
      <c r="QH494" s="93"/>
      <c r="QI494" s="93"/>
      <c r="QJ494" s="93"/>
      <c r="QK494" s="93"/>
      <c r="QL494" s="93"/>
      <c r="QM494" s="93"/>
      <c r="QN494" s="93"/>
      <c r="QO494" s="93"/>
      <c r="QP494" s="93"/>
      <c r="QQ494" s="93"/>
      <c r="QR494" s="93"/>
      <c r="QS494" s="93"/>
      <c r="QT494" s="93"/>
      <c r="QU494" s="93"/>
      <c r="QV494" s="93"/>
      <c r="QW494" s="93"/>
      <c r="QX494" s="93"/>
      <c r="QY494" s="93"/>
      <c r="QZ494" s="93"/>
      <c r="RA494" s="93"/>
      <c r="RB494" s="93"/>
      <c r="RC494" s="93"/>
      <c r="RD494" s="93"/>
      <c r="RE494" s="93"/>
      <c r="RF494" s="93"/>
      <c r="RG494" s="93"/>
      <c r="RH494" s="93"/>
      <c r="RI494" s="93"/>
      <c r="RJ494" s="93"/>
      <c r="RK494" s="93"/>
      <c r="RL494" s="93"/>
      <c r="RM494" s="20"/>
      <c r="RN494" s="29"/>
      <c r="RO494" s="19"/>
      <c r="RP494" s="20"/>
      <c r="RQ494" s="29"/>
      <c r="RR494" s="20"/>
      <c r="RS494" s="29"/>
      <c r="RT494" s="1504">
        <v>49491</v>
      </c>
      <c r="RU494" s="19"/>
      <c r="RV494" s="20"/>
      <c r="RW494" s="29"/>
      <c r="RX494" s="1504">
        <v>49491</v>
      </c>
      <c r="RY494" s="29"/>
      <c r="RZ494" s="20"/>
      <c r="SA494" s="29"/>
      <c r="SB494" s="29"/>
    </row>
    <row r="495" spans="1:496">
      <c r="A495" s="41">
        <f t="shared" si="360"/>
        <v>2035</v>
      </c>
      <c r="B495" s="1504">
        <v>49522</v>
      </c>
      <c r="C495" s="1813"/>
      <c r="D495" s="1814"/>
      <c r="E495" s="1814"/>
      <c r="F495" s="1815"/>
      <c r="G495" s="1814"/>
      <c r="H495" s="1814"/>
      <c r="I495" s="1814"/>
      <c r="J495" s="1816"/>
      <c r="K495" s="1807"/>
      <c r="L495" s="25"/>
      <c r="M495" s="97"/>
      <c r="N495" s="1504">
        <v>49522</v>
      </c>
      <c r="O495" s="19"/>
      <c r="P495" s="93"/>
      <c r="Q495" s="93"/>
      <c r="R495" s="93"/>
      <c r="S495" s="93"/>
      <c r="T495" s="93"/>
      <c r="U495" s="93"/>
      <c r="V495" s="93"/>
      <c r="W495" s="93"/>
      <c r="X495" s="93"/>
      <c r="Y495" s="93"/>
      <c r="Z495" s="93"/>
      <c r="AA495" s="93"/>
      <c r="AB495" s="20"/>
      <c r="AC495" s="25"/>
      <c r="AD495" s="97"/>
      <c r="AE495" s="1504">
        <v>49522</v>
      </c>
      <c r="AF495" s="19"/>
      <c r="AG495" s="93"/>
      <c r="AH495" s="93"/>
      <c r="AI495" s="93"/>
      <c r="AJ495" s="93"/>
      <c r="AK495" s="93"/>
      <c r="AL495" s="93"/>
      <c r="AM495" s="93"/>
      <c r="AN495" s="93"/>
      <c r="AO495" s="93"/>
      <c r="AP495" s="93"/>
      <c r="AQ495" s="93"/>
      <c r="AR495" s="93"/>
      <c r="AS495" s="20"/>
      <c r="AT495" s="25"/>
      <c r="AU495" s="97"/>
      <c r="AV495" s="1504">
        <v>49522</v>
      </c>
      <c r="AW495" s="19"/>
      <c r="AX495" s="93"/>
      <c r="AY495" s="93"/>
      <c r="AZ495" s="93"/>
      <c r="BA495" s="93"/>
      <c r="BB495" s="93"/>
      <c r="BC495" s="93"/>
      <c r="BD495" s="93"/>
      <c r="BE495" s="93"/>
      <c r="BF495" s="93"/>
      <c r="BG495" s="93"/>
      <c r="BH495" s="93"/>
      <c r="BI495" s="93"/>
      <c r="BJ495" s="20"/>
      <c r="BK495" s="25"/>
      <c r="BL495" s="97"/>
      <c r="BM495" s="1504">
        <v>49522</v>
      </c>
      <c r="BN495" s="19"/>
      <c r="BO495" s="93"/>
      <c r="BP495" s="93"/>
      <c r="BQ495" s="93"/>
      <c r="BR495" s="93"/>
      <c r="BS495" s="93"/>
      <c r="BT495" s="93"/>
      <c r="BU495" s="20"/>
      <c r="BV495" s="25"/>
      <c r="BW495" s="97"/>
      <c r="BX495" s="1504">
        <v>49522</v>
      </c>
      <c r="BY495" s="19"/>
      <c r="BZ495" s="93"/>
      <c r="CA495" s="93"/>
      <c r="CB495" s="93"/>
      <c r="CC495" s="93"/>
      <c r="CD495" s="25"/>
      <c r="CE495" s="97"/>
      <c r="CF495" s="1504">
        <v>49522</v>
      </c>
      <c r="CG495" s="19"/>
      <c r="CH495" s="93"/>
      <c r="CI495" s="219"/>
      <c r="CJ495" s="20"/>
      <c r="CK495" s="19"/>
      <c r="CL495" s="93"/>
      <c r="CM495" s="93"/>
      <c r="CN495" s="93"/>
      <c r="CO495" s="93"/>
      <c r="CP495" s="20"/>
      <c r="CQ495" s="219"/>
      <c r="CR495" s="93"/>
      <c r="CS495" s="93"/>
      <c r="CT495" s="93"/>
      <c r="CU495" s="93"/>
      <c r="CV495" s="214"/>
      <c r="CW495" s="29"/>
      <c r="CX495" s="41">
        <f t="shared" si="359"/>
        <v>2035</v>
      </c>
      <c r="CY495" s="1504">
        <v>49522</v>
      </c>
      <c r="CZ495" s="19"/>
      <c r="DA495" s="93"/>
      <c r="DB495" s="93"/>
      <c r="DC495" s="93"/>
      <c r="DD495" s="93"/>
      <c r="DE495" s="20"/>
      <c r="DF495" s="29"/>
      <c r="DG495" s="1504">
        <v>49522</v>
      </c>
      <c r="DH495" s="19"/>
      <c r="DI495" s="93"/>
      <c r="DJ495" s="93"/>
      <c r="DK495" s="93"/>
      <c r="DL495" s="93"/>
      <c r="DM495" s="93"/>
      <c r="DN495" s="20"/>
      <c r="DO495" s="295"/>
      <c r="DP495" s="29"/>
      <c r="DQ495" s="1504">
        <v>49522</v>
      </c>
      <c r="DR495" s="19"/>
      <c r="DS495" s="93"/>
      <c r="DT495" s="93"/>
      <c r="DU495" s="93"/>
      <c r="DV495" s="93"/>
      <c r="DW495" s="93"/>
      <c r="DX495" s="20"/>
      <c r="DY495" s="29"/>
      <c r="DZ495" s="1504">
        <v>49522</v>
      </c>
      <c r="EA495" s="19"/>
      <c r="EB495" s="93"/>
      <c r="EC495" s="20"/>
      <c r="ED495" s="29"/>
      <c r="EE495" s="1504">
        <v>49522</v>
      </c>
      <c r="EF495" s="19"/>
      <c r="EG495" s="93"/>
      <c r="EH495" s="93"/>
      <c r="EI495" s="214"/>
      <c r="EJ495" s="93"/>
      <c r="EK495" s="93"/>
      <c r="EL495" s="93"/>
      <c r="EM495" s="93"/>
      <c r="EN495" s="20"/>
      <c r="EO495" s="29"/>
      <c r="EP495" s="1504">
        <v>49522</v>
      </c>
      <c r="EQ495" s="19"/>
      <c r="ER495" s="93"/>
      <c r="ES495" s="93"/>
      <c r="ET495" s="214"/>
      <c r="EU495" s="93"/>
      <c r="EV495" s="93"/>
      <c r="EW495" s="93"/>
      <c r="EX495" s="93"/>
      <c r="EY495" s="20"/>
      <c r="EZ495" s="29"/>
      <c r="FA495" s="1504">
        <v>49522</v>
      </c>
      <c r="FB495" s="29"/>
      <c r="FC495" s="29"/>
      <c r="FD495" s="29"/>
      <c r="FE495" s="29"/>
      <c r="FF495" s="29"/>
      <c r="FG495" s="29"/>
      <c r="FH495" s="29"/>
      <c r="FI495" s="29"/>
      <c r="FJ495" s="29"/>
      <c r="FK495" s="29"/>
      <c r="FL495" s="1504">
        <v>49522</v>
      </c>
      <c r="FM495" s="19"/>
      <c r="FN495" s="93"/>
      <c r="FO495" s="93"/>
      <c r="FP495" s="93"/>
      <c r="FQ495" s="93"/>
      <c r="FR495" s="93"/>
      <c r="FS495" s="93"/>
      <c r="FT495" s="93"/>
      <c r="FU495" s="93"/>
      <c r="FV495" s="93"/>
      <c r="FW495" s="93"/>
      <c r="FX495" s="93"/>
      <c r="FY495" s="93"/>
      <c r="FZ495" s="29"/>
      <c r="GA495" s="1504">
        <v>49522</v>
      </c>
      <c r="GB495" s="19"/>
      <c r="GC495" s="93"/>
      <c r="GD495" s="93"/>
      <c r="GE495" s="93"/>
      <c r="GF495" s="93"/>
      <c r="GG495" s="93"/>
      <c r="GH495" s="93"/>
      <c r="GI495" s="93"/>
      <c r="GJ495" s="93"/>
      <c r="GK495" s="93"/>
      <c r="GL495" s="93"/>
      <c r="GM495" s="93"/>
      <c r="GN495" s="20"/>
      <c r="GO495" s="29"/>
      <c r="GP495" s="1504">
        <v>49522</v>
      </c>
      <c r="GQ495" s="19"/>
      <c r="GR495" s="93"/>
      <c r="GS495" s="93"/>
      <c r="GT495" s="93"/>
      <c r="GU495" s="93"/>
      <c r="GV495" s="20"/>
      <c r="GW495" s="19"/>
      <c r="GX495" s="93"/>
      <c r="GY495" s="93"/>
      <c r="GZ495" s="93"/>
      <c r="HA495" s="93"/>
      <c r="HB495" s="20"/>
      <c r="HC495" s="19"/>
      <c r="HD495" s="93"/>
      <c r="HE495" s="93"/>
      <c r="HF495" s="93"/>
      <c r="HG495" s="93"/>
      <c r="HH495" s="20"/>
      <c r="HI495" s="19"/>
      <c r="HJ495" s="93"/>
      <c r="HK495" s="93"/>
      <c r="HL495" s="93"/>
      <c r="HM495" s="93"/>
      <c r="HN495" s="20"/>
      <c r="HO495" s="219"/>
      <c r="HP495" s="20"/>
      <c r="HQ495" s="25"/>
      <c r="HR495" s="29"/>
      <c r="HS495" s="1504">
        <v>49522</v>
      </c>
      <c r="HT495" s="19"/>
      <c r="HU495" s="93"/>
      <c r="HV495" s="93"/>
      <c r="HW495" s="93"/>
      <c r="HX495" s="93"/>
      <c r="HY495" s="93"/>
      <c r="HZ495" s="93"/>
      <c r="IA495" s="20"/>
      <c r="IB495" s="19"/>
      <c r="IC495" s="93"/>
      <c r="ID495" s="93"/>
      <c r="IE495" s="93"/>
      <c r="IF495" s="93"/>
      <c r="IG495" s="20"/>
      <c r="IH495" s="19"/>
      <c r="II495" s="93"/>
      <c r="IJ495" s="93"/>
      <c r="IK495" s="93"/>
      <c r="IL495" s="93"/>
      <c r="IM495" s="93"/>
      <c r="IN495" s="93"/>
      <c r="IO495" s="20"/>
      <c r="IP495" s="29"/>
      <c r="IQ495" s="19"/>
      <c r="IR495" s="93"/>
      <c r="IS495" s="93"/>
      <c r="IT495" s="93"/>
      <c r="IU495" s="93"/>
      <c r="IV495" s="20"/>
      <c r="IW495" s="29"/>
      <c r="IX495" s="19"/>
      <c r="IY495" s="93"/>
      <c r="IZ495" s="93"/>
      <c r="JA495" s="93"/>
      <c r="JB495" s="93"/>
      <c r="JC495" s="93"/>
      <c r="JD495" s="93"/>
      <c r="JE495" s="20"/>
      <c r="JF495" s="29"/>
      <c r="JG495" s="19"/>
      <c r="JH495" s="93"/>
      <c r="JI495" s="93"/>
      <c r="JJ495" s="93"/>
      <c r="JK495" s="93"/>
      <c r="JL495" s="93"/>
      <c r="JM495" s="93"/>
      <c r="JN495" s="20"/>
      <c r="JO495" s="29"/>
      <c r="JP495" s="19"/>
      <c r="JQ495" s="93"/>
      <c r="JR495" s="93"/>
      <c r="JS495" s="93"/>
      <c r="JT495" s="93"/>
      <c r="JU495" s="20"/>
      <c r="JV495" s="29"/>
      <c r="JW495" s="1504">
        <v>49522</v>
      </c>
      <c r="JX495" s="19"/>
      <c r="JY495" s="93"/>
      <c r="JZ495" s="93"/>
      <c r="KA495" s="93"/>
      <c r="KB495" s="93"/>
      <c r="KC495" s="93"/>
      <c r="KD495" s="20"/>
      <c r="KE495" s="29"/>
      <c r="KF495" s="19"/>
      <c r="KG495" s="93"/>
      <c r="KH495" s="93"/>
      <c r="KI495" s="93"/>
      <c r="KJ495" s="93"/>
      <c r="KK495" s="20"/>
      <c r="KL495" s="29"/>
      <c r="KM495" s="19"/>
      <c r="KN495" s="93"/>
      <c r="KO495" s="93"/>
      <c r="KP495" s="93"/>
      <c r="KQ495" s="93"/>
      <c r="KR495" s="20"/>
      <c r="KS495" s="29"/>
      <c r="KT495" s="19"/>
      <c r="KU495" s="93"/>
      <c r="KV495" s="93"/>
      <c r="KW495" s="93"/>
      <c r="KX495" s="93"/>
      <c r="KY495" s="20"/>
      <c r="KZ495" s="29"/>
      <c r="LA495" s="1504">
        <v>49522</v>
      </c>
      <c r="LB495" s="19"/>
      <c r="LC495" s="93"/>
      <c r="LD495" s="93"/>
      <c r="LE495" s="93"/>
      <c r="LF495" s="93"/>
      <c r="LG495" s="93"/>
      <c r="LH495" s="20"/>
      <c r="LI495" s="29"/>
      <c r="LJ495" s="19"/>
      <c r="LK495" s="93"/>
      <c r="LL495" s="93"/>
      <c r="LM495" s="93"/>
      <c r="LN495" s="93"/>
      <c r="LO495" s="20"/>
      <c r="LP495" s="29"/>
      <c r="LQ495" s="19"/>
      <c r="LR495" s="93"/>
      <c r="LS495" s="93"/>
      <c r="LT495" s="93"/>
      <c r="LU495" s="93"/>
      <c r="LV495" s="93"/>
      <c r="LW495" s="93"/>
      <c r="LX495" s="93"/>
      <c r="LY495" s="93"/>
      <c r="LZ495" s="93"/>
      <c r="MA495" s="20"/>
      <c r="MB495" s="29"/>
      <c r="MC495" s="1504">
        <v>49522</v>
      </c>
      <c r="MD495" s="19"/>
      <c r="ME495" s="93"/>
      <c r="MF495" s="93"/>
      <c r="MG495" s="93"/>
      <c r="MH495" s="93"/>
      <c r="MI495" s="93"/>
      <c r="MJ495" s="93"/>
      <c r="MK495" s="93"/>
      <c r="ML495" s="93"/>
      <c r="MM495" s="93"/>
      <c r="MN495" s="93"/>
      <c r="MO495" s="93"/>
      <c r="MP495" s="93"/>
      <c r="MQ495" s="93"/>
      <c r="MR495" s="93"/>
      <c r="MS495" s="93"/>
      <c r="MT495" s="93"/>
      <c r="MU495" s="93"/>
      <c r="MV495" s="93"/>
      <c r="MW495" s="93"/>
      <c r="MX495" s="93"/>
      <c r="MY495" s="93"/>
      <c r="MZ495" s="93"/>
      <c r="NA495" s="93"/>
      <c r="NB495" s="93"/>
      <c r="NC495" s="93"/>
      <c r="ND495" s="93"/>
      <c r="NE495" s="93"/>
      <c r="NF495" s="93"/>
      <c r="NG495" s="93"/>
      <c r="NH495" s="93"/>
      <c r="NI495" s="93"/>
      <c r="NJ495" s="93"/>
      <c r="NK495" s="93"/>
      <c r="NL495" s="93"/>
      <c r="NM495" s="93"/>
      <c r="NN495" s="93"/>
      <c r="NO495" s="93"/>
      <c r="NP495" s="93"/>
      <c r="NQ495" s="93"/>
      <c r="NR495" s="93"/>
      <c r="NS495" s="93"/>
      <c r="NT495" s="93"/>
      <c r="NU495" s="93"/>
      <c r="NV495" s="93"/>
      <c r="NW495" s="93"/>
      <c r="NX495" s="93"/>
      <c r="NY495" s="93"/>
      <c r="NZ495" s="93"/>
      <c r="OA495" s="93"/>
      <c r="OB495" s="93"/>
      <c r="OC495" s="93"/>
      <c r="OD495" s="20"/>
      <c r="OE495" s="29"/>
      <c r="OF495" s="1504">
        <v>49522</v>
      </c>
      <c r="OG495" s="19"/>
      <c r="OH495" s="93"/>
      <c r="OI495" s="93"/>
      <c r="OJ495" s="93"/>
      <c r="OK495" s="93"/>
      <c r="OL495" s="93"/>
      <c r="OM495" s="93"/>
      <c r="ON495" s="93"/>
      <c r="OO495" s="93"/>
      <c r="OP495" s="93"/>
      <c r="OQ495" s="93"/>
      <c r="OR495" s="93"/>
      <c r="OS495" s="93"/>
      <c r="OT495" s="93"/>
      <c r="OU495" s="93"/>
      <c r="OV495" s="93"/>
      <c r="OW495" s="93"/>
      <c r="OX495" s="93"/>
      <c r="OY495" s="93"/>
      <c r="OZ495" s="93"/>
      <c r="PA495" s="93"/>
      <c r="PB495" s="93"/>
      <c r="PC495" s="20"/>
      <c r="PD495" s="29"/>
      <c r="PE495" s="19"/>
      <c r="PF495" s="93"/>
      <c r="PG495" s="93"/>
      <c r="PH495" s="93"/>
      <c r="PI495" s="93"/>
      <c r="PJ495" s="93"/>
      <c r="PK495" s="93"/>
      <c r="PL495" s="93"/>
      <c r="PM495" s="93"/>
      <c r="PN495" s="93"/>
      <c r="PO495" s="93"/>
      <c r="PP495" s="93"/>
      <c r="PQ495" s="93"/>
      <c r="PR495" s="93"/>
      <c r="PS495" s="93"/>
      <c r="PT495" s="93"/>
      <c r="PU495" s="93"/>
      <c r="PV495" s="93"/>
      <c r="PW495" s="93"/>
      <c r="PX495" s="93"/>
      <c r="PY495" s="93"/>
      <c r="PZ495" s="93"/>
      <c r="QA495" s="93"/>
      <c r="QB495" s="93"/>
      <c r="QC495" s="93"/>
      <c r="QD495" s="93"/>
      <c r="QE495" s="20"/>
      <c r="QF495" s="1739"/>
      <c r="QG495" s="19"/>
      <c r="QH495" s="93"/>
      <c r="QI495" s="93"/>
      <c r="QJ495" s="93"/>
      <c r="QK495" s="93"/>
      <c r="QL495" s="93"/>
      <c r="QM495" s="93"/>
      <c r="QN495" s="93"/>
      <c r="QO495" s="93"/>
      <c r="QP495" s="93"/>
      <c r="QQ495" s="93"/>
      <c r="QR495" s="93"/>
      <c r="QS495" s="93"/>
      <c r="QT495" s="93"/>
      <c r="QU495" s="93"/>
      <c r="QV495" s="93"/>
      <c r="QW495" s="93"/>
      <c r="QX495" s="93"/>
      <c r="QY495" s="93"/>
      <c r="QZ495" s="93"/>
      <c r="RA495" s="93"/>
      <c r="RB495" s="93"/>
      <c r="RC495" s="93"/>
      <c r="RD495" s="93"/>
      <c r="RE495" s="93"/>
      <c r="RF495" s="93"/>
      <c r="RG495" s="93"/>
      <c r="RH495" s="93"/>
      <c r="RI495" s="93"/>
      <c r="RJ495" s="93"/>
      <c r="RK495" s="93"/>
      <c r="RL495" s="93"/>
      <c r="RM495" s="20"/>
      <c r="RN495" s="29"/>
      <c r="RO495" s="19"/>
      <c r="RP495" s="20"/>
      <c r="RQ495" s="29"/>
      <c r="RR495" s="20"/>
      <c r="RS495" s="29"/>
      <c r="RT495" s="1504">
        <v>49522</v>
      </c>
      <c r="RU495" s="19"/>
      <c r="RV495" s="20"/>
      <c r="RW495" s="29"/>
      <c r="RX495" s="1504">
        <v>49522</v>
      </c>
      <c r="RY495" s="29"/>
      <c r="RZ495" s="20"/>
      <c r="SA495" s="29"/>
      <c r="SB495" s="29"/>
    </row>
    <row r="496" spans="1:496">
      <c r="A496" s="41">
        <f t="shared" si="360"/>
        <v>2035</v>
      </c>
      <c r="B496" s="1504">
        <v>49553</v>
      </c>
      <c r="C496" s="1813"/>
      <c r="D496" s="1814"/>
      <c r="E496" s="1814"/>
      <c r="F496" s="1815"/>
      <c r="G496" s="1814"/>
      <c r="H496" s="1814"/>
      <c r="I496" s="1814"/>
      <c r="J496" s="1816"/>
      <c r="K496" s="1807"/>
      <c r="L496" s="25"/>
      <c r="M496" s="97"/>
      <c r="N496" s="1504">
        <v>49553</v>
      </c>
      <c r="O496" s="19"/>
      <c r="P496" s="93"/>
      <c r="Q496" s="93"/>
      <c r="R496" s="93"/>
      <c r="S496" s="93"/>
      <c r="T496" s="93"/>
      <c r="U496" s="93"/>
      <c r="V496" s="93"/>
      <c r="W496" s="93"/>
      <c r="X496" s="93"/>
      <c r="Y496" s="93"/>
      <c r="Z496" s="93"/>
      <c r="AA496" s="93"/>
      <c r="AB496" s="20"/>
      <c r="AC496" s="25"/>
      <c r="AD496" s="97"/>
      <c r="AE496" s="1504">
        <v>49553</v>
      </c>
      <c r="AF496" s="19"/>
      <c r="AG496" s="93"/>
      <c r="AH496" s="93"/>
      <c r="AI496" s="93"/>
      <c r="AJ496" s="93"/>
      <c r="AK496" s="93"/>
      <c r="AL496" s="93"/>
      <c r="AM496" s="93"/>
      <c r="AN496" s="93"/>
      <c r="AO496" s="93"/>
      <c r="AP496" s="93"/>
      <c r="AQ496" s="93"/>
      <c r="AR496" s="93"/>
      <c r="AS496" s="20"/>
      <c r="AT496" s="25"/>
      <c r="AU496" s="97"/>
      <c r="AV496" s="1504">
        <v>49553</v>
      </c>
      <c r="AW496" s="19"/>
      <c r="AX496" s="93"/>
      <c r="AY496" s="93"/>
      <c r="AZ496" s="93"/>
      <c r="BA496" s="93"/>
      <c r="BB496" s="93"/>
      <c r="BC496" s="93"/>
      <c r="BD496" s="93"/>
      <c r="BE496" s="93"/>
      <c r="BF496" s="93"/>
      <c r="BG496" s="93"/>
      <c r="BH496" s="93"/>
      <c r="BI496" s="93"/>
      <c r="BJ496" s="20"/>
      <c r="BK496" s="25"/>
      <c r="BL496" s="97"/>
      <c r="BM496" s="1504">
        <v>49553</v>
      </c>
      <c r="BN496" s="19"/>
      <c r="BO496" s="93"/>
      <c r="BP496" s="93"/>
      <c r="BQ496" s="93"/>
      <c r="BR496" s="93"/>
      <c r="BS496" s="93"/>
      <c r="BT496" s="93"/>
      <c r="BU496" s="20"/>
      <c r="BV496" s="25"/>
      <c r="BW496" s="97"/>
      <c r="BX496" s="1504">
        <v>49553</v>
      </c>
      <c r="BY496" s="19"/>
      <c r="BZ496" s="93"/>
      <c r="CA496" s="93"/>
      <c r="CB496" s="93"/>
      <c r="CC496" s="93"/>
      <c r="CD496" s="25"/>
      <c r="CE496" s="97"/>
      <c r="CF496" s="1504">
        <v>49553</v>
      </c>
      <c r="CG496" s="19"/>
      <c r="CH496" s="93"/>
      <c r="CI496" s="219"/>
      <c r="CJ496" s="20"/>
      <c r="CK496" s="19"/>
      <c r="CL496" s="93"/>
      <c r="CM496" s="93"/>
      <c r="CN496" s="93"/>
      <c r="CO496" s="93"/>
      <c r="CP496" s="20"/>
      <c r="CQ496" s="219"/>
      <c r="CR496" s="93"/>
      <c r="CS496" s="93"/>
      <c r="CT496" s="93"/>
      <c r="CU496" s="93"/>
      <c r="CV496" s="214"/>
      <c r="CW496" s="29"/>
      <c r="CX496" s="41">
        <f t="shared" si="359"/>
        <v>2035</v>
      </c>
      <c r="CY496" s="1504">
        <v>49553</v>
      </c>
      <c r="CZ496" s="19"/>
      <c r="DA496" s="93"/>
      <c r="DB496" s="93"/>
      <c r="DC496" s="93"/>
      <c r="DD496" s="93"/>
      <c r="DE496" s="20"/>
      <c r="DF496" s="29"/>
      <c r="DG496" s="1504">
        <v>49553</v>
      </c>
      <c r="DH496" s="19"/>
      <c r="DI496" s="93"/>
      <c r="DJ496" s="93"/>
      <c r="DK496" s="93"/>
      <c r="DL496" s="93"/>
      <c r="DM496" s="93"/>
      <c r="DN496" s="20"/>
      <c r="DO496" s="295"/>
      <c r="DP496" s="29"/>
      <c r="DQ496" s="1504">
        <v>49553</v>
      </c>
      <c r="DR496" s="19"/>
      <c r="DS496" s="93"/>
      <c r="DT496" s="93"/>
      <c r="DU496" s="93"/>
      <c r="DV496" s="93"/>
      <c r="DW496" s="93"/>
      <c r="DX496" s="20"/>
      <c r="DY496" s="29"/>
      <c r="DZ496" s="1504">
        <v>49553</v>
      </c>
      <c r="EA496" s="19"/>
      <c r="EB496" s="93"/>
      <c r="EC496" s="20"/>
      <c r="ED496" s="29"/>
      <c r="EE496" s="1504">
        <v>49553</v>
      </c>
      <c r="EF496" s="19"/>
      <c r="EG496" s="93"/>
      <c r="EH496" s="93"/>
      <c r="EI496" s="214"/>
      <c r="EJ496" s="93"/>
      <c r="EK496" s="93"/>
      <c r="EL496" s="93"/>
      <c r="EM496" s="93"/>
      <c r="EN496" s="20"/>
      <c r="EO496" s="29"/>
      <c r="EP496" s="1504">
        <v>49553</v>
      </c>
      <c r="EQ496" s="19"/>
      <c r="ER496" s="93"/>
      <c r="ES496" s="93"/>
      <c r="ET496" s="214"/>
      <c r="EU496" s="93"/>
      <c r="EV496" s="93"/>
      <c r="EW496" s="93"/>
      <c r="EX496" s="93"/>
      <c r="EY496" s="20"/>
      <c r="EZ496" s="29"/>
      <c r="FA496" s="1504">
        <v>49553</v>
      </c>
      <c r="FB496" s="29"/>
      <c r="FC496" s="29"/>
      <c r="FD496" s="29"/>
      <c r="FE496" s="29"/>
      <c r="FF496" s="29"/>
      <c r="FG496" s="29"/>
      <c r="FH496" s="29"/>
      <c r="FI496" s="29"/>
      <c r="FJ496" s="29"/>
      <c r="FK496" s="29"/>
      <c r="FL496" s="1504">
        <v>49553</v>
      </c>
      <c r="FM496" s="19"/>
      <c r="FN496" s="93"/>
      <c r="FO496" s="93"/>
      <c r="FP496" s="93"/>
      <c r="FQ496" s="93"/>
      <c r="FR496" s="93"/>
      <c r="FS496" s="93"/>
      <c r="FT496" s="93"/>
      <c r="FU496" s="93"/>
      <c r="FV496" s="93"/>
      <c r="FW496" s="93"/>
      <c r="FX496" s="93"/>
      <c r="FY496" s="93"/>
      <c r="FZ496" s="29"/>
      <c r="GA496" s="1504">
        <v>49553</v>
      </c>
      <c r="GB496" s="19"/>
      <c r="GC496" s="93"/>
      <c r="GD496" s="93"/>
      <c r="GE496" s="93"/>
      <c r="GF496" s="93"/>
      <c r="GG496" s="93"/>
      <c r="GH496" s="93"/>
      <c r="GI496" s="93"/>
      <c r="GJ496" s="93"/>
      <c r="GK496" s="93"/>
      <c r="GL496" s="93"/>
      <c r="GM496" s="93"/>
      <c r="GN496" s="20"/>
      <c r="GO496" s="29"/>
      <c r="GP496" s="1504">
        <v>49553</v>
      </c>
      <c r="GQ496" s="19"/>
      <c r="GR496" s="93"/>
      <c r="GS496" s="93"/>
      <c r="GT496" s="93"/>
      <c r="GU496" s="93"/>
      <c r="GV496" s="20"/>
      <c r="GW496" s="19"/>
      <c r="GX496" s="93"/>
      <c r="GY496" s="93"/>
      <c r="GZ496" s="93"/>
      <c r="HA496" s="93"/>
      <c r="HB496" s="20"/>
      <c r="HC496" s="19"/>
      <c r="HD496" s="93"/>
      <c r="HE496" s="93"/>
      <c r="HF496" s="93"/>
      <c r="HG496" s="93"/>
      <c r="HH496" s="20"/>
      <c r="HI496" s="19"/>
      <c r="HJ496" s="93"/>
      <c r="HK496" s="93"/>
      <c r="HL496" s="93"/>
      <c r="HM496" s="93"/>
      <c r="HN496" s="20"/>
      <c r="HO496" s="219"/>
      <c r="HP496" s="20"/>
      <c r="HQ496" s="25"/>
      <c r="HR496" s="29"/>
      <c r="HS496" s="1504">
        <v>49553</v>
      </c>
      <c r="HT496" s="19"/>
      <c r="HU496" s="93"/>
      <c r="HV496" s="93"/>
      <c r="HW496" s="93"/>
      <c r="HX496" s="93"/>
      <c r="HY496" s="93"/>
      <c r="HZ496" s="93"/>
      <c r="IA496" s="20"/>
      <c r="IB496" s="19"/>
      <c r="IC496" s="93"/>
      <c r="ID496" s="93"/>
      <c r="IE496" s="93"/>
      <c r="IF496" s="93"/>
      <c r="IG496" s="20"/>
      <c r="IH496" s="19"/>
      <c r="II496" s="93"/>
      <c r="IJ496" s="93"/>
      <c r="IK496" s="93"/>
      <c r="IL496" s="93"/>
      <c r="IM496" s="93"/>
      <c r="IN496" s="93"/>
      <c r="IO496" s="20"/>
      <c r="IP496" s="29"/>
      <c r="IQ496" s="19"/>
      <c r="IR496" s="93"/>
      <c r="IS496" s="93"/>
      <c r="IT496" s="93"/>
      <c r="IU496" s="93"/>
      <c r="IV496" s="20"/>
      <c r="IW496" s="29"/>
      <c r="IX496" s="19"/>
      <c r="IY496" s="93"/>
      <c r="IZ496" s="93"/>
      <c r="JA496" s="93"/>
      <c r="JB496" s="93"/>
      <c r="JC496" s="93"/>
      <c r="JD496" s="93"/>
      <c r="JE496" s="20"/>
      <c r="JF496" s="29"/>
      <c r="JG496" s="19"/>
      <c r="JH496" s="93"/>
      <c r="JI496" s="93"/>
      <c r="JJ496" s="93"/>
      <c r="JK496" s="93"/>
      <c r="JL496" s="93"/>
      <c r="JM496" s="93"/>
      <c r="JN496" s="20"/>
      <c r="JO496" s="29"/>
      <c r="JP496" s="19"/>
      <c r="JQ496" s="93"/>
      <c r="JR496" s="93"/>
      <c r="JS496" s="93"/>
      <c r="JT496" s="93"/>
      <c r="JU496" s="20"/>
      <c r="JV496" s="29"/>
      <c r="JW496" s="1504">
        <v>49553</v>
      </c>
      <c r="JX496" s="19"/>
      <c r="JY496" s="93"/>
      <c r="JZ496" s="93"/>
      <c r="KA496" s="93"/>
      <c r="KB496" s="93"/>
      <c r="KC496" s="93"/>
      <c r="KD496" s="20"/>
      <c r="KE496" s="29"/>
      <c r="KF496" s="19"/>
      <c r="KG496" s="93"/>
      <c r="KH496" s="93"/>
      <c r="KI496" s="93"/>
      <c r="KJ496" s="93"/>
      <c r="KK496" s="20"/>
      <c r="KL496" s="29"/>
      <c r="KM496" s="19"/>
      <c r="KN496" s="93"/>
      <c r="KO496" s="93"/>
      <c r="KP496" s="93"/>
      <c r="KQ496" s="93"/>
      <c r="KR496" s="20"/>
      <c r="KS496" s="29"/>
      <c r="KT496" s="19"/>
      <c r="KU496" s="93"/>
      <c r="KV496" s="93"/>
      <c r="KW496" s="93"/>
      <c r="KX496" s="93"/>
      <c r="KY496" s="20"/>
      <c r="KZ496" s="29"/>
      <c r="LA496" s="1504">
        <v>49553</v>
      </c>
      <c r="LB496" s="19"/>
      <c r="LC496" s="93"/>
      <c r="LD496" s="93"/>
      <c r="LE496" s="93"/>
      <c r="LF496" s="93"/>
      <c r="LG496" s="93"/>
      <c r="LH496" s="20"/>
      <c r="LI496" s="29"/>
      <c r="LJ496" s="19"/>
      <c r="LK496" s="93"/>
      <c r="LL496" s="93"/>
      <c r="LM496" s="93"/>
      <c r="LN496" s="93"/>
      <c r="LO496" s="20"/>
      <c r="LP496" s="29"/>
      <c r="LQ496" s="19"/>
      <c r="LR496" s="93"/>
      <c r="LS496" s="93"/>
      <c r="LT496" s="93"/>
      <c r="LU496" s="93"/>
      <c r="LV496" s="93"/>
      <c r="LW496" s="93"/>
      <c r="LX496" s="93"/>
      <c r="LY496" s="93"/>
      <c r="LZ496" s="93"/>
      <c r="MA496" s="20"/>
      <c r="MB496" s="29"/>
      <c r="MC496" s="1504">
        <v>49553</v>
      </c>
      <c r="MD496" s="19"/>
      <c r="ME496" s="93"/>
      <c r="MF496" s="93"/>
      <c r="MG496" s="93"/>
      <c r="MH496" s="93"/>
      <c r="MI496" s="93"/>
      <c r="MJ496" s="93"/>
      <c r="MK496" s="93"/>
      <c r="ML496" s="93"/>
      <c r="MM496" s="93"/>
      <c r="MN496" s="93"/>
      <c r="MO496" s="93"/>
      <c r="MP496" s="93"/>
      <c r="MQ496" s="93"/>
      <c r="MR496" s="93"/>
      <c r="MS496" s="93"/>
      <c r="MT496" s="93"/>
      <c r="MU496" s="93"/>
      <c r="MV496" s="93"/>
      <c r="MW496" s="93"/>
      <c r="MX496" s="93"/>
      <c r="MY496" s="93"/>
      <c r="MZ496" s="93"/>
      <c r="NA496" s="93"/>
      <c r="NB496" s="93"/>
      <c r="NC496" s="93"/>
      <c r="ND496" s="93"/>
      <c r="NE496" s="93"/>
      <c r="NF496" s="93"/>
      <c r="NG496" s="93"/>
      <c r="NH496" s="93"/>
      <c r="NI496" s="93"/>
      <c r="NJ496" s="93"/>
      <c r="NK496" s="93"/>
      <c r="NL496" s="93"/>
      <c r="NM496" s="93"/>
      <c r="NN496" s="93"/>
      <c r="NO496" s="93"/>
      <c r="NP496" s="93"/>
      <c r="NQ496" s="93"/>
      <c r="NR496" s="93"/>
      <c r="NS496" s="93"/>
      <c r="NT496" s="93"/>
      <c r="NU496" s="93"/>
      <c r="NV496" s="93"/>
      <c r="NW496" s="93"/>
      <c r="NX496" s="93"/>
      <c r="NY496" s="93"/>
      <c r="NZ496" s="93"/>
      <c r="OA496" s="93"/>
      <c r="OB496" s="93"/>
      <c r="OC496" s="93"/>
      <c r="OD496" s="20"/>
      <c r="OE496" s="29"/>
      <c r="OF496" s="1504">
        <v>49553</v>
      </c>
      <c r="OG496" s="19"/>
      <c r="OH496" s="93"/>
      <c r="OI496" s="93"/>
      <c r="OJ496" s="93"/>
      <c r="OK496" s="93"/>
      <c r="OL496" s="93"/>
      <c r="OM496" s="93"/>
      <c r="ON496" s="93"/>
      <c r="OO496" s="93"/>
      <c r="OP496" s="93"/>
      <c r="OQ496" s="93"/>
      <c r="OR496" s="93"/>
      <c r="OS496" s="93"/>
      <c r="OT496" s="93"/>
      <c r="OU496" s="93"/>
      <c r="OV496" s="93"/>
      <c r="OW496" s="93"/>
      <c r="OX496" s="93"/>
      <c r="OY496" s="93"/>
      <c r="OZ496" s="93"/>
      <c r="PA496" s="93"/>
      <c r="PB496" s="93"/>
      <c r="PC496" s="20"/>
      <c r="PD496" s="29"/>
      <c r="PE496" s="19"/>
      <c r="PF496" s="93"/>
      <c r="PG496" s="93"/>
      <c r="PH496" s="93"/>
      <c r="PI496" s="93"/>
      <c r="PJ496" s="93"/>
      <c r="PK496" s="93"/>
      <c r="PL496" s="93"/>
      <c r="PM496" s="93"/>
      <c r="PN496" s="93"/>
      <c r="PO496" s="93"/>
      <c r="PP496" s="93"/>
      <c r="PQ496" s="93"/>
      <c r="PR496" s="93"/>
      <c r="PS496" s="93"/>
      <c r="PT496" s="93"/>
      <c r="PU496" s="93"/>
      <c r="PV496" s="93"/>
      <c r="PW496" s="93"/>
      <c r="PX496" s="93"/>
      <c r="PY496" s="93"/>
      <c r="PZ496" s="93"/>
      <c r="QA496" s="93"/>
      <c r="QB496" s="93"/>
      <c r="QC496" s="93"/>
      <c r="QD496" s="93"/>
      <c r="QE496" s="20"/>
      <c r="QF496" s="1739"/>
      <c r="QG496" s="19"/>
      <c r="QH496" s="93"/>
      <c r="QI496" s="93"/>
      <c r="QJ496" s="93"/>
      <c r="QK496" s="93"/>
      <c r="QL496" s="93"/>
      <c r="QM496" s="93"/>
      <c r="QN496" s="93"/>
      <c r="QO496" s="93"/>
      <c r="QP496" s="93"/>
      <c r="QQ496" s="93"/>
      <c r="QR496" s="93"/>
      <c r="QS496" s="93"/>
      <c r="QT496" s="93"/>
      <c r="QU496" s="93"/>
      <c r="QV496" s="93"/>
      <c r="QW496" s="93"/>
      <c r="QX496" s="93"/>
      <c r="QY496" s="93"/>
      <c r="QZ496" s="93"/>
      <c r="RA496" s="93"/>
      <c r="RB496" s="93"/>
      <c r="RC496" s="93"/>
      <c r="RD496" s="93"/>
      <c r="RE496" s="93"/>
      <c r="RF496" s="93"/>
      <c r="RG496" s="93"/>
      <c r="RH496" s="93"/>
      <c r="RI496" s="93"/>
      <c r="RJ496" s="93"/>
      <c r="RK496" s="93"/>
      <c r="RL496" s="93"/>
      <c r="RM496" s="20"/>
      <c r="RN496" s="29"/>
      <c r="RO496" s="19"/>
      <c r="RP496" s="20"/>
      <c r="RQ496" s="29"/>
      <c r="RR496" s="20"/>
      <c r="RS496" s="29"/>
      <c r="RT496" s="1504">
        <v>49553</v>
      </c>
      <c r="RU496" s="19"/>
      <c r="RV496" s="20"/>
      <c r="RW496" s="29"/>
      <c r="RX496" s="1504">
        <v>49553</v>
      </c>
      <c r="RY496" s="29"/>
      <c r="RZ496" s="20"/>
      <c r="SA496" s="29"/>
      <c r="SB496" s="29"/>
    </row>
    <row r="497" spans="1:496">
      <c r="A497" s="41">
        <f t="shared" si="360"/>
        <v>2035</v>
      </c>
      <c r="B497" s="1504">
        <v>49583</v>
      </c>
      <c r="C497" s="1813"/>
      <c r="D497" s="1814"/>
      <c r="E497" s="1814"/>
      <c r="F497" s="1815"/>
      <c r="G497" s="1814"/>
      <c r="H497" s="1814"/>
      <c r="I497" s="1814"/>
      <c r="J497" s="1816"/>
      <c r="K497" s="1807"/>
      <c r="L497" s="25"/>
      <c r="M497" s="97"/>
      <c r="N497" s="1504">
        <v>49583</v>
      </c>
      <c r="O497" s="19"/>
      <c r="P497" s="93"/>
      <c r="Q497" s="93"/>
      <c r="R497" s="93"/>
      <c r="S497" s="93"/>
      <c r="T497" s="93"/>
      <c r="U497" s="93"/>
      <c r="V497" s="93"/>
      <c r="W497" s="93"/>
      <c r="X497" s="93"/>
      <c r="Y497" s="93"/>
      <c r="Z497" s="93"/>
      <c r="AA497" s="93"/>
      <c r="AB497" s="20"/>
      <c r="AC497" s="25"/>
      <c r="AD497" s="97"/>
      <c r="AE497" s="1504">
        <v>49583</v>
      </c>
      <c r="AF497" s="19"/>
      <c r="AG497" s="93"/>
      <c r="AH497" s="93"/>
      <c r="AI497" s="93"/>
      <c r="AJ497" s="93"/>
      <c r="AK497" s="93"/>
      <c r="AL497" s="93"/>
      <c r="AM497" s="93"/>
      <c r="AN497" s="93"/>
      <c r="AO497" s="93"/>
      <c r="AP497" s="93"/>
      <c r="AQ497" s="93"/>
      <c r="AR497" s="93"/>
      <c r="AS497" s="20"/>
      <c r="AT497" s="25"/>
      <c r="AU497" s="97"/>
      <c r="AV497" s="1504">
        <v>49583</v>
      </c>
      <c r="AW497" s="19"/>
      <c r="AX497" s="93"/>
      <c r="AY497" s="93"/>
      <c r="AZ497" s="93"/>
      <c r="BA497" s="93"/>
      <c r="BB497" s="93"/>
      <c r="BC497" s="93"/>
      <c r="BD497" s="93"/>
      <c r="BE497" s="93"/>
      <c r="BF497" s="93"/>
      <c r="BG497" s="93"/>
      <c r="BH497" s="93"/>
      <c r="BI497" s="93"/>
      <c r="BJ497" s="20"/>
      <c r="BK497" s="25"/>
      <c r="BL497" s="97"/>
      <c r="BM497" s="1504">
        <v>49583</v>
      </c>
      <c r="BN497" s="19"/>
      <c r="BO497" s="93"/>
      <c r="BP497" s="93"/>
      <c r="BQ497" s="93"/>
      <c r="BR497" s="93"/>
      <c r="BS497" s="93"/>
      <c r="BT497" s="93"/>
      <c r="BU497" s="20"/>
      <c r="BV497" s="25"/>
      <c r="BW497" s="97"/>
      <c r="BX497" s="1504">
        <v>49583</v>
      </c>
      <c r="BY497" s="19"/>
      <c r="BZ497" s="93"/>
      <c r="CA497" s="93"/>
      <c r="CB497" s="93"/>
      <c r="CC497" s="93"/>
      <c r="CD497" s="25"/>
      <c r="CE497" s="97"/>
      <c r="CF497" s="1504">
        <v>49583</v>
      </c>
      <c r="CG497" s="19"/>
      <c r="CH497" s="93"/>
      <c r="CI497" s="219"/>
      <c r="CJ497" s="20"/>
      <c r="CK497" s="19"/>
      <c r="CL497" s="93"/>
      <c r="CM497" s="93"/>
      <c r="CN497" s="93"/>
      <c r="CO497" s="93"/>
      <c r="CP497" s="20"/>
      <c r="CQ497" s="219"/>
      <c r="CR497" s="93"/>
      <c r="CS497" s="93"/>
      <c r="CT497" s="93"/>
      <c r="CU497" s="93"/>
      <c r="CV497" s="214"/>
      <c r="CW497" s="29"/>
      <c r="CX497" s="41">
        <f t="shared" si="359"/>
        <v>2035</v>
      </c>
      <c r="CY497" s="1504">
        <v>49583</v>
      </c>
      <c r="CZ497" s="19"/>
      <c r="DA497" s="93"/>
      <c r="DB497" s="93"/>
      <c r="DC497" s="93"/>
      <c r="DD497" s="93"/>
      <c r="DE497" s="20"/>
      <c r="DF497" s="29"/>
      <c r="DG497" s="1504">
        <v>49583</v>
      </c>
      <c r="DH497" s="19"/>
      <c r="DI497" s="93"/>
      <c r="DJ497" s="93"/>
      <c r="DK497" s="93"/>
      <c r="DL497" s="93"/>
      <c r="DM497" s="93"/>
      <c r="DN497" s="20"/>
      <c r="DO497" s="295"/>
      <c r="DP497" s="29"/>
      <c r="DQ497" s="1504">
        <v>49583</v>
      </c>
      <c r="DR497" s="19"/>
      <c r="DS497" s="93"/>
      <c r="DT497" s="93"/>
      <c r="DU497" s="93"/>
      <c r="DV497" s="93"/>
      <c r="DW497" s="93"/>
      <c r="DX497" s="20"/>
      <c r="DY497" s="29"/>
      <c r="DZ497" s="1504">
        <v>49583</v>
      </c>
      <c r="EA497" s="19"/>
      <c r="EB497" s="93"/>
      <c r="EC497" s="20"/>
      <c r="ED497" s="29"/>
      <c r="EE497" s="1504">
        <v>49583</v>
      </c>
      <c r="EF497" s="19"/>
      <c r="EG497" s="93"/>
      <c r="EH497" s="93"/>
      <c r="EI497" s="214"/>
      <c r="EJ497" s="93"/>
      <c r="EK497" s="93"/>
      <c r="EL497" s="93"/>
      <c r="EM497" s="93"/>
      <c r="EN497" s="20"/>
      <c r="EO497" s="29"/>
      <c r="EP497" s="1504">
        <v>49583</v>
      </c>
      <c r="EQ497" s="19"/>
      <c r="ER497" s="93"/>
      <c r="ES497" s="93"/>
      <c r="ET497" s="214"/>
      <c r="EU497" s="93"/>
      <c r="EV497" s="93"/>
      <c r="EW497" s="93"/>
      <c r="EX497" s="93"/>
      <c r="EY497" s="20"/>
      <c r="EZ497" s="29"/>
      <c r="FA497" s="1504">
        <v>49583</v>
      </c>
      <c r="FB497" s="29"/>
      <c r="FC497" s="29"/>
      <c r="FD497" s="29"/>
      <c r="FE497" s="29"/>
      <c r="FF497" s="29"/>
      <c r="FG497" s="29"/>
      <c r="FH497" s="29"/>
      <c r="FI497" s="29"/>
      <c r="FJ497" s="29"/>
      <c r="FK497" s="29"/>
      <c r="FL497" s="1504">
        <v>49583</v>
      </c>
      <c r="FM497" s="19"/>
      <c r="FN497" s="93"/>
      <c r="FO497" s="93"/>
      <c r="FP497" s="93"/>
      <c r="FQ497" s="93"/>
      <c r="FR497" s="93"/>
      <c r="FS497" s="93"/>
      <c r="FT497" s="93"/>
      <c r="FU497" s="93"/>
      <c r="FV497" s="93"/>
      <c r="FW497" s="93"/>
      <c r="FX497" s="93"/>
      <c r="FY497" s="93"/>
      <c r="FZ497" s="29"/>
      <c r="GA497" s="1504">
        <v>49583</v>
      </c>
      <c r="GB497" s="19"/>
      <c r="GC497" s="93"/>
      <c r="GD497" s="93"/>
      <c r="GE497" s="93"/>
      <c r="GF497" s="93"/>
      <c r="GG497" s="93"/>
      <c r="GH497" s="93"/>
      <c r="GI497" s="93"/>
      <c r="GJ497" s="93"/>
      <c r="GK497" s="93"/>
      <c r="GL497" s="93"/>
      <c r="GM497" s="93"/>
      <c r="GN497" s="20"/>
      <c r="GO497" s="29"/>
      <c r="GP497" s="1504">
        <v>49583</v>
      </c>
      <c r="GQ497" s="19"/>
      <c r="GR497" s="93"/>
      <c r="GS497" s="93"/>
      <c r="GT497" s="93"/>
      <c r="GU497" s="93"/>
      <c r="GV497" s="20"/>
      <c r="GW497" s="19"/>
      <c r="GX497" s="93"/>
      <c r="GY497" s="93"/>
      <c r="GZ497" s="93"/>
      <c r="HA497" s="93"/>
      <c r="HB497" s="20"/>
      <c r="HC497" s="19"/>
      <c r="HD497" s="93"/>
      <c r="HE497" s="93"/>
      <c r="HF497" s="93"/>
      <c r="HG497" s="93"/>
      <c r="HH497" s="20"/>
      <c r="HI497" s="19"/>
      <c r="HJ497" s="93"/>
      <c r="HK497" s="93"/>
      <c r="HL497" s="93"/>
      <c r="HM497" s="93"/>
      <c r="HN497" s="20"/>
      <c r="HO497" s="219"/>
      <c r="HP497" s="20"/>
      <c r="HQ497" s="25"/>
      <c r="HR497" s="29"/>
      <c r="HS497" s="1504">
        <v>49583</v>
      </c>
      <c r="HT497" s="19"/>
      <c r="HU497" s="93"/>
      <c r="HV497" s="93"/>
      <c r="HW497" s="93"/>
      <c r="HX497" s="93"/>
      <c r="HY497" s="93"/>
      <c r="HZ497" s="93"/>
      <c r="IA497" s="20"/>
      <c r="IB497" s="19"/>
      <c r="IC497" s="93"/>
      <c r="ID497" s="93"/>
      <c r="IE497" s="93"/>
      <c r="IF497" s="93"/>
      <c r="IG497" s="20"/>
      <c r="IH497" s="19"/>
      <c r="II497" s="93"/>
      <c r="IJ497" s="93"/>
      <c r="IK497" s="93"/>
      <c r="IL497" s="93"/>
      <c r="IM497" s="93"/>
      <c r="IN497" s="93"/>
      <c r="IO497" s="20"/>
      <c r="IP497" s="29"/>
      <c r="IQ497" s="19"/>
      <c r="IR497" s="93"/>
      <c r="IS497" s="93"/>
      <c r="IT497" s="93"/>
      <c r="IU497" s="93"/>
      <c r="IV497" s="20"/>
      <c r="IW497" s="29"/>
      <c r="IX497" s="19"/>
      <c r="IY497" s="93"/>
      <c r="IZ497" s="93"/>
      <c r="JA497" s="93"/>
      <c r="JB497" s="93"/>
      <c r="JC497" s="93"/>
      <c r="JD497" s="93"/>
      <c r="JE497" s="20"/>
      <c r="JF497" s="29"/>
      <c r="JG497" s="19"/>
      <c r="JH497" s="93"/>
      <c r="JI497" s="93"/>
      <c r="JJ497" s="93"/>
      <c r="JK497" s="93"/>
      <c r="JL497" s="93"/>
      <c r="JM497" s="93"/>
      <c r="JN497" s="20"/>
      <c r="JO497" s="29"/>
      <c r="JP497" s="19"/>
      <c r="JQ497" s="93"/>
      <c r="JR497" s="93"/>
      <c r="JS497" s="93"/>
      <c r="JT497" s="93"/>
      <c r="JU497" s="20"/>
      <c r="JV497" s="29"/>
      <c r="JW497" s="1504">
        <v>49583</v>
      </c>
      <c r="JX497" s="19"/>
      <c r="JY497" s="93"/>
      <c r="JZ497" s="93"/>
      <c r="KA497" s="93"/>
      <c r="KB497" s="93"/>
      <c r="KC497" s="93"/>
      <c r="KD497" s="20"/>
      <c r="KE497" s="29"/>
      <c r="KF497" s="19"/>
      <c r="KG497" s="93"/>
      <c r="KH497" s="93"/>
      <c r="KI497" s="93"/>
      <c r="KJ497" s="93"/>
      <c r="KK497" s="20"/>
      <c r="KL497" s="29"/>
      <c r="KM497" s="19"/>
      <c r="KN497" s="93"/>
      <c r="KO497" s="93"/>
      <c r="KP497" s="93"/>
      <c r="KQ497" s="93"/>
      <c r="KR497" s="20"/>
      <c r="KS497" s="29"/>
      <c r="KT497" s="19"/>
      <c r="KU497" s="93"/>
      <c r="KV497" s="93"/>
      <c r="KW497" s="93"/>
      <c r="KX497" s="93"/>
      <c r="KY497" s="20"/>
      <c r="KZ497" s="29"/>
      <c r="LA497" s="1504">
        <v>49583</v>
      </c>
      <c r="LB497" s="19"/>
      <c r="LC497" s="93"/>
      <c r="LD497" s="93"/>
      <c r="LE497" s="93"/>
      <c r="LF497" s="93"/>
      <c r="LG497" s="93"/>
      <c r="LH497" s="20"/>
      <c r="LI497" s="29"/>
      <c r="LJ497" s="19"/>
      <c r="LK497" s="93"/>
      <c r="LL497" s="93"/>
      <c r="LM497" s="93"/>
      <c r="LN497" s="93"/>
      <c r="LO497" s="20"/>
      <c r="LP497" s="29"/>
      <c r="LQ497" s="19"/>
      <c r="LR497" s="93"/>
      <c r="LS497" s="93"/>
      <c r="LT497" s="93"/>
      <c r="LU497" s="93"/>
      <c r="LV497" s="93"/>
      <c r="LW497" s="93"/>
      <c r="LX497" s="93"/>
      <c r="LY497" s="93"/>
      <c r="LZ497" s="93"/>
      <c r="MA497" s="20"/>
      <c r="MB497" s="29"/>
      <c r="MC497" s="1504">
        <v>49583</v>
      </c>
      <c r="MD497" s="19"/>
      <c r="ME497" s="93"/>
      <c r="MF497" s="93"/>
      <c r="MG497" s="93"/>
      <c r="MH497" s="93"/>
      <c r="MI497" s="93"/>
      <c r="MJ497" s="93"/>
      <c r="MK497" s="93"/>
      <c r="ML497" s="93"/>
      <c r="MM497" s="93"/>
      <c r="MN497" s="93"/>
      <c r="MO497" s="93"/>
      <c r="MP497" s="93"/>
      <c r="MQ497" s="93"/>
      <c r="MR497" s="93"/>
      <c r="MS497" s="93"/>
      <c r="MT497" s="93"/>
      <c r="MU497" s="93"/>
      <c r="MV497" s="93"/>
      <c r="MW497" s="93"/>
      <c r="MX497" s="93"/>
      <c r="MY497" s="93"/>
      <c r="MZ497" s="93"/>
      <c r="NA497" s="93"/>
      <c r="NB497" s="93"/>
      <c r="NC497" s="93"/>
      <c r="ND497" s="93"/>
      <c r="NE497" s="93"/>
      <c r="NF497" s="93"/>
      <c r="NG497" s="93"/>
      <c r="NH497" s="93"/>
      <c r="NI497" s="93"/>
      <c r="NJ497" s="93"/>
      <c r="NK497" s="93"/>
      <c r="NL497" s="93"/>
      <c r="NM497" s="93"/>
      <c r="NN497" s="93"/>
      <c r="NO497" s="93"/>
      <c r="NP497" s="93"/>
      <c r="NQ497" s="93"/>
      <c r="NR497" s="93"/>
      <c r="NS497" s="93"/>
      <c r="NT497" s="93"/>
      <c r="NU497" s="93"/>
      <c r="NV497" s="93"/>
      <c r="NW497" s="93"/>
      <c r="NX497" s="93"/>
      <c r="NY497" s="93"/>
      <c r="NZ497" s="93"/>
      <c r="OA497" s="93"/>
      <c r="OB497" s="93"/>
      <c r="OC497" s="93"/>
      <c r="OD497" s="20"/>
      <c r="OE497" s="29"/>
      <c r="OF497" s="1504">
        <v>49583</v>
      </c>
      <c r="OG497" s="19"/>
      <c r="OH497" s="93"/>
      <c r="OI497" s="93"/>
      <c r="OJ497" s="93"/>
      <c r="OK497" s="93"/>
      <c r="OL497" s="93"/>
      <c r="OM497" s="93"/>
      <c r="ON497" s="93"/>
      <c r="OO497" s="93"/>
      <c r="OP497" s="93"/>
      <c r="OQ497" s="93"/>
      <c r="OR497" s="93"/>
      <c r="OS497" s="93"/>
      <c r="OT497" s="93"/>
      <c r="OU497" s="93"/>
      <c r="OV497" s="93"/>
      <c r="OW497" s="93"/>
      <c r="OX497" s="93"/>
      <c r="OY497" s="93"/>
      <c r="OZ497" s="93"/>
      <c r="PA497" s="93"/>
      <c r="PB497" s="93"/>
      <c r="PC497" s="20"/>
      <c r="PD497" s="29"/>
      <c r="PE497" s="19"/>
      <c r="PF497" s="93"/>
      <c r="PG497" s="93"/>
      <c r="PH497" s="93"/>
      <c r="PI497" s="93"/>
      <c r="PJ497" s="93"/>
      <c r="PK497" s="93"/>
      <c r="PL497" s="93"/>
      <c r="PM497" s="93"/>
      <c r="PN497" s="93"/>
      <c r="PO497" s="93"/>
      <c r="PP497" s="93"/>
      <c r="PQ497" s="93"/>
      <c r="PR497" s="93"/>
      <c r="PS497" s="93"/>
      <c r="PT497" s="93"/>
      <c r="PU497" s="93"/>
      <c r="PV497" s="93"/>
      <c r="PW497" s="93"/>
      <c r="PX497" s="93"/>
      <c r="PY497" s="93"/>
      <c r="PZ497" s="93"/>
      <c r="QA497" s="93"/>
      <c r="QB497" s="93"/>
      <c r="QC497" s="93"/>
      <c r="QD497" s="93"/>
      <c r="QE497" s="20"/>
      <c r="QF497" s="1739"/>
      <c r="QG497" s="19"/>
      <c r="QH497" s="93"/>
      <c r="QI497" s="93"/>
      <c r="QJ497" s="93"/>
      <c r="QK497" s="93"/>
      <c r="QL497" s="93"/>
      <c r="QM497" s="93"/>
      <c r="QN497" s="93"/>
      <c r="QO497" s="93"/>
      <c r="QP497" s="93"/>
      <c r="QQ497" s="93"/>
      <c r="QR497" s="93"/>
      <c r="QS497" s="93"/>
      <c r="QT497" s="93"/>
      <c r="QU497" s="93"/>
      <c r="QV497" s="93"/>
      <c r="QW497" s="93"/>
      <c r="QX497" s="93"/>
      <c r="QY497" s="93"/>
      <c r="QZ497" s="93"/>
      <c r="RA497" s="93"/>
      <c r="RB497" s="93"/>
      <c r="RC497" s="93"/>
      <c r="RD497" s="93"/>
      <c r="RE497" s="93"/>
      <c r="RF497" s="93"/>
      <c r="RG497" s="93"/>
      <c r="RH497" s="93"/>
      <c r="RI497" s="93"/>
      <c r="RJ497" s="93"/>
      <c r="RK497" s="93"/>
      <c r="RL497" s="93"/>
      <c r="RM497" s="20"/>
      <c r="RN497" s="29"/>
      <c r="RO497" s="19"/>
      <c r="RP497" s="20"/>
      <c r="RQ497" s="29"/>
      <c r="RR497" s="20"/>
      <c r="RS497" s="29"/>
      <c r="RT497" s="1504">
        <v>49583</v>
      </c>
      <c r="RU497" s="19"/>
      <c r="RV497" s="20"/>
      <c r="RW497" s="29"/>
      <c r="RX497" s="1504">
        <v>49583</v>
      </c>
      <c r="RY497" s="29"/>
      <c r="RZ497" s="20"/>
      <c r="SA497" s="29"/>
      <c r="SB497" s="29"/>
    </row>
    <row r="498" spans="1:496">
      <c r="A498" s="41">
        <f t="shared" si="360"/>
        <v>2035</v>
      </c>
      <c r="B498" s="1504">
        <v>49614</v>
      </c>
      <c r="C498" s="1813"/>
      <c r="D498" s="1814"/>
      <c r="E498" s="1814"/>
      <c r="F498" s="1815"/>
      <c r="G498" s="1814"/>
      <c r="H498" s="1814"/>
      <c r="I498" s="1814"/>
      <c r="J498" s="1816"/>
      <c r="K498" s="1807"/>
      <c r="L498" s="25"/>
      <c r="M498" s="97"/>
      <c r="N498" s="1504">
        <v>49614</v>
      </c>
      <c r="O498" s="19"/>
      <c r="P498" s="93"/>
      <c r="Q498" s="93"/>
      <c r="R498" s="93"/>
      <c r="S498" s="93"/>
      <c r="T498" s="93"/>
      <c r="U498" s="93"/>
      <c r="V498" s="93"/>
      <c r="W498" s="93"/>
      <c r="X498" s="93"/>
      <c r="Y498" s="93"/>
      <c r="Z498" s="93"/>
      <c r="AA498" s="93"/>
      <c r="AB498" s="20"/>
      <c r="AC498" s="25"/>
      <c r="AD498" s="97"/>
      <c r="AE498" s="1504">
        <v>49614</v>
      </c>
      <c r="AF498" s="19"/>
      <c r="AG498" s="93"/>
      <c r="AH498" s="93"/>
      <c r="AI498" s="93"/>
      <c r="AJ498" s="93"/>
      <c r="AK498" s="93"/>
      <c r="AL498" s="93"/>
      <c r="AM498" s="93"/>
      <c r="AN498" s="93"/>
      <c r="AO498" s="93"/>
      <c r="AP498" s="93"/>
      <c r="AQ498" s="93"/>
      <c r="AR498" s="93"/>
      <c r="AS498" s="20"/>
      <c r="AT498" s="25"/>
      <c r="AU498" s="97"/>
      <c r="AV498" s="1504">
        <v>49614</v>
      </c>
      <c r="AW498" s="19"/>
      <c r="AX498" s="93"/>
      <c r="AY498" s="93"/>
      <c r="AZ498" s="93"/>
      <c r="BA498" s="93"/>
      <c r="BB498" s="93"/>
      <c r="BC498" s="93"/>
      <c r="BD498" s="93"/>
      <c r="BE498" s="93"/>
      <c r="BF498" s="93"/>
      <c r="BG498" s="93"/>
      <c r="BH498" s="93"/>
      <c r="BI498" s="93"/>
      <c r="BJ498" s="20"/>
      <c r="BK498" s="25"/>
      <c r="BL498" s="97"/>
      <c r="BM498" s="1504">
        <v>49614</v>
      </c>
      <c r="BN498" s="19"/>
      <c r="BO498" s="93"/>
      <c r="BP498" s="93"/>
      <c r="BQ498" s="93"/>
      <c r="BR498" s="93"/>
      <c r="BS498" s="93"/>
      <c r="BT498" s="93"/>
      <c r="BU498" s="20"/>
      <c r="BV498" s="25"/>
      <c r="BW498" s="97"/>
      <c r="BX498" s="1504">
        <v>49614</v>
      </c>
      <c r="BY498" s="19"/>
      <c r="BZ498" s="93"/>
      <c r="CA498" s="93"/>
      <c r="CB498" s="93"/>
      <c r="CC498" s="93"/>
      <c r="CD498" s="25"/>
      <c r="CE498" s="97"/>
      <c r="CF498" s="1504">
        <v>49614</v>
      </c>
      <c r="CG498" s="19"/>
      <c r="CH498" s="93"/>
      <c r="CI498" s="219"/>
      <c r="CJ498" s="20"/>
      <c r="CK498" s="19"/>
      <c r="CL498" s="93"/>
      <c r="CM498" s="93"/>
      <c r="CN498" s="93"/>
      <c r="CO498" s="93"/>
      <c r="CP498" s="20"/>
      <c r="CQ498" s="219"/>
      <c r="CR498" s="93"/>
      <c r="CS498" s="93"/>
      <c r="CT498" s="93"/>
      <c r="CU498" s="93"/>
      <c r="CV498" s="214"/>
      <c r="CW498" s="29"/>
      <c r="CX498" s="41">
        <f t="shared" si="359"/>
        <v>2035</v>
      </c>
      <c r="CY498" s="1504">
        <v>49614</v>
      </c>
      <c r="CZ498" s="19"/>
      <c r="DA498" s="93"/>
      <c r="DB498" s="93"/>
      <c r="DC498" s="93"/>
      <c r="DD498" s="93"/>
      <c r="DE498" s="20"/>
      <c r="DF498" s="29"/>
      <c r="DG498" s="1504">
        <v>49614</v>
      </c>
      <c r="DH498" s="19"/>
      <c r="DI498" s="93"/>
      <c r="DJ498" s="93"/>
      <c r="DK498" s="93"/>
      <c r="DL498" s="93"/>
      <c r="DM498" s="93"/>
      <c r="DN498" s="20"/>
      <c r="DO498" s="295"/>
      <c r="DP498" s="29"/>
      <c r="DQ498" s="1504">
        <v>49614</v>
      </c>
      <c r="DR498" s="19"/>
      <c r="DS498" s="93"/>
      <c r="DT498" s="93"/>
      <c r="DU498" s="93"/>
      <c r="DV498" s="93"/>
      <c r="DW498" s="93"/>
      <c r="DX498" s="20"/>
      <c r="DY498" s="29"/>
      <c r="DZ498" s="1504">
        <v>49614</v>
      </c>
      <c r="EA498" s="19"/>
      <c r="EB498" s="93"/>
      <c r="EC498" s="20"/>
      <c r="ED498" s="29"/>
      <c r="EE498" s="1504">
        <v>49614</v>
      </c>
      <c r="EF498" s="19"/>
      <c r="EG498" s="93"/>
      <c r="EH498" s="93"/>
      <c r="EI498" s="214"/>
      <c r="EJ498" s="93"/>
      <c r="EK498" s="93"/>
      <c r="EL498" s="93"/>
      <c r="EM498" s="93"/>
      <c r="EN498" s="20"/>
      <c r="EO498" s="29"/>
      <c r="EP498" s="1504">
        <v>49614</v>
      </c>
      <c r="EQ498" s="19"/>
      <c r="ER498" s="93"/>
      <c r="ES498" s="93"/>
      <c r="ET498" s="214"/>
      <c r="EU498" s="93"/>
      <c r="EV498" s="93"/>
      <c r="EW498" s="93"/>
      <c r="EX498" s="93"/>
      <c r="EY498" s="20"/>
      <c r="EZ498" s="29"/>
      <c r="FA498" s="1504">
        <v>49614</v>
      </c>
      <c r="FB498" s="29"/>
      <c r="FC498" s="29"/>
      <c r="FD498" s="29"/>
      <c r="FE498" s="29"/>
      <c r="FF498" s="29"/>
      <c r="FG498" s="29"/>
      <c r="FH498" s="29"/>
      <c r="FI498" s="29"/>
      <c r="FJ498" s="29"/>
      <c r="FK498" s="29"/>
      <c r="FL498" s="1504">
        <v>49614</v>
      </c>
      <c r="FM498" s="19"/>
      <c r="FN498" s="93"/>
      <c r="FO498" s="93"/>
      <c r="FP498" s="93"/>
      <c r="FQ498" s="93"/>
      <c r="FR498" s="93"/>
      <c r="FS498" s="93"/>
      <c r="FT498" s="93"/>
      <c r="FU498" s="93"/>
      <c r="FV498" s="93"/>
      <c r="FW498" s="93"/>
      <c r="FX498" s="93"/>
      <c r="FY498" s="93"/>
      <c r="FZ498" s="29"/>
      <c r="GA498" s="1504">
        <v>49614</v>
      </c>
      <c r="GB498" s="19"/>
      <c r="GC498" s="93"/>
      <c r="GD498" s="93"/>
      <c r="GE498" s="93"/>
      <c r="GF498" s="93"/>
      <c r="GG498" s="93"/>
      <c r="GH498" s="93"/>
      <c r="GI498" s="93"/>
      <c r="GJ498" s="93"/>
      <c r="GK498" s="93"/>
      <c r="GL498" s="93"/>
      <c r="GM498" s="93"/>
      <c r="GN498" s="20"/>
      <c r="GO498" s="29"/>
      <c r="GP498" s="1504">
        <v>49614</v>
      </c>
      <c r="GQ498" s="19"/>
      <c r="GR498" s="93"/>
      <c r="GS498" s="93"/>
      <c r="GT498" s="93"/>
      <c r="GU498" s="93"/>
      <c r="GV498" s="20"/>
      <c r="GW498" s="19"/>
      <c r="GX498" s="93"/>
      <c r="GY498" s="93"/>
      <c r="GZ498" s="93"/>
      <c r="HA498" s="93"/>
      <c r="HB498" s="20"/>
      <c r="HC498" s="19"/>
      <c r="HD498" s="93"/>
      <c r="HE498" s="93"/>
      <c r="HF498" s="93"/>
      <c r="HG498" s="93"/>
      <c r="HH498" s="20"/>
      <c r="HI498" s="19"/>
      <c r="HJ498" s="93"/>
      <c r="HK498" s="93"/>
      <c r="HL498" s="93"/>
      <c r="HM498" s="93"/>
      <c r="HN498" s="20"/>
      <c r="HO498" s="219"/>
      <c r="HP498" s="20"/>
      <c r="HQ498" s="25"/>
      <c r="HR498" s="29"/>
      <c r="HS498" s="1504">
        <v>49614</v>
      </c>
      <c r="HT498" s="19"/>
      <c r="HU498" s="93"/>
      <c r="HV498" s="93"/>
      <c r="HW498" s="93"/>
      <c r="HX498" s="93"/>
      <c r="HY498" s="93"/>
      <c r="HZ498" s="93"/>
      <c r="IA498" s="20"/>
      <c r="IB498" s="19"/>
      <c r="IC498" s="93"/>
      <c r="ID498" s="93"/>
      <c r="IE498" s="93"/>
      <c r="IF498" s="93"/>
      <c r="IG498" s="20"/>
      <c r="IH498" s="19"/>
      <c r="II498" s="93"/>
      <c r="IJ498" s="93"/>
      <c r="IK498" s="93"/>
      <c r="IL498" s="93"/>
      <c r="IM498" s="93"/>
      <c r="IN498" s="93"/>
      <c r="IO498" s="20"/>
      <c r="IP498" s="29"/>
      <c r="IQ498" s="19"/>
      <c r="IR498" s="93"/>
      <c r="IS498" s="93"/>
      <c r="IT498" s="93"/>
      <c r="IU498" s="93"/>
      <c r="IV498" s="20"/>
      <c r="IW498" s="29"/>
      <c r="IX498" s="19"/>
      <c r="IY498" s="93"/>
      <c r="IZ498" s="93"/>
      <c r="JA498" s="93"/>
      <c r="JB498" s="93"/>
      <c r="JC498" s="93"/>
      <c r="JD498" s="93"/>
      <c r="JE498" s="20"/>
      <c r="JF498" s="29"/>
      <c r="JG498" s="19"/>
      <c r="JH498" s="93"/>
      <c r="JI498" s="93"/>
      <c r="JJ498" s="93"/>
      <c r="JK498" s="93"/>
      <c r="JL498" s="93"/>
      <c r="JM498" s="93"/>
      <c r="JN498" s="20"/>
      <c r="JO498" s="29"/>
      <c r="JP498" s="19"/>
      <c r="JQ498" s="93"/>
      <c r="JR498" s="93"/>
      <c r="JS498" s="93"/>
      <c r="JT498" s="93"/>
      <c r="JU498" s="20"/>
      <c r="JV498" s="29"/>
      <c r="JW498" s="1504">
        <v>49614</v>
      </c>
      <c r="JX498" s="19"/>
      <c r="JY498" s="93"/>
      <c r="JZ498" s="93"/>
      <c r="KA498" s="93"/>
      <c r="KB498" s="93"/>
      <c r="KC498" s="93"/>
      <c r="KD498" s="20"/>
      <c r="KE498" s="29"/>
      <c r="KF498" s="19"/>
      <c r="KG498" s="93"/>
      <c r="KH498" s="93"/>
      <c r="KI498" s="93"/>
      <c r="KJ498" s="93"/>
      <c r="KK498" s="20"/>
      <c r="KL498" s="29"/>
      <c r="KM498" s="19"/>
      <c r="KN498" s="93"/>
      <c r="KO498" s="93"/>
      <c r="KP498" s="93"/>
      <c r="KQ498" s="93"/>
      <c r="KR498" s="20"/>
      <c r="KS498" s="29"/>
      <c r="KT498" s="19"/>
      <c r="KU498" s="93"/>
      <c r="KV498" s="93"/>
      <c r="KW498" s="93"/>
      <c r="KX498" s="93"/>
      <c r="KY498" s="20"/>
      <c r="KZ498" s="29"/>
      <c r="LA498" s="1504">
        <v>49614</v>
      </c>
      <c r="LB498" s="19"/>
      <c r="LC498" s="93"/>
      <c r="LD498" s="93"/>
      <c r="LE498" s="93"/>
      <c r="LF498" s="93"/>
      <c r="LG498" s="93"/>
      <c r="LH498" s="20"/>
      <c r="LI498" s="29"/>
      <c r="LJ498" s="19"/>
      <c r="LK498" s="93"/>
      <c r="LL498" s="93"/>
      <c r="LM498" s="93"/>
      <c r="LN498" s="93"/>
      <c r="LO498" s="20"/>
      <c r="LP498" s="29"/>
      <c r="LQ498" s="19"/>
      <c r="LR498" s="93"/>
      <c r="LS498" s="93"/>
      <c r="LT498" s="93"/>
      <c r="LU498" s="93"/>
      <c r="LV498" s="93"/>
      <c r="LW498" s="93"/>
      <c r="LX498" s="93"/>
      <c r="LY498" s="93"/>
      <c r="LZ498" s="93"/>
      <c r="MA498" s="20"/>
      <c r="MB498" s="29"/>
      <c r="MC498" s="1504">
        <v>49614</v>
      </c>
      <c r="MD498" s="19"/>
      <c r="ME498" s="93"/>
      <c r="MF498" s="93"/>
      <c r="MG498" s="93"/>
      <c r="MH498" s="93"/>
      <c r="MI498" s="93"/>
      <c r="MJ498" s="93"/>
      <c r="MK498" s="93"/>
      <c r="ML498" s="93"/>
      <c r="MM498" s="93"/>
      <c r="MN498" s="93"/>
      <c r="MO498" s="93"/>
      <c r="MP498" s="93"/>
      <c r="MQ498" s="93"/>
      <c r="MR498" s="93"/>
      <c r="MS498" s="93"/>
      <c r="MT498" s="93"/>
      <c r="MU498" s="93"/>
      <c r="MV498" s="93"/>
      <c r="MW498" s="93"/>
      <c r="MX498" s="93"/>
      <c r="MY498" s="93"/>
      <c r="MZ498" s="93"/>
      <c r="NA498" s="93"/>
      <c r="NB498" s="93"/>
      <c r="NC498" s="93"/>
      <c r="ND498" s="93"/>
      <c r="NE498" s="93"/>
      <c r="NF498" s="93"/>
      <c r="NG498" s="93"/>
      <c r="NH498" s="93"/>
      <c r="NI498" s="93"/>
      <c r="NJ498" s="93"/>
      <c r="NK498" s="93"/>
      <c r="NL498" s="93"/>
      <c r="NM498" s="93"/>
      <c r="NN498" s="93"/>
      <c r="NO498" s="93"/>
      <c r="NP498" s="93"/>
      <c r="NQ498" s="93"/>
      <c r="NR498" s="93"/>
      <c r="NS498" s="93"/>
      <c r="NT498" s="93"/>
      <c r="NU498" s="93"/>
      <c r="NV498" s="93"/>
      <c r="NW498" s="93"/>
      <c r="NX498" s="93"/>
      <c r="NY498" s="93"/>
      <c r="NZ498" s="93"/>
      <c r="OA498" s="93"/>
      <c r="OB498" s="93"/>
      <c r="OC498" s="93"/>
      <c r="OD498" s="20"/>
      <c r="OE498" s="29"/>
      <c r="OF498" s="1504">
        <v>49614</v>
      </c>
      <c r="OG498" s="19"/>
      <c r="OH498" s="93"/>
      <c r="OI498" s="93"/>
      <c r="OJ498" s="93"/>
      <c r="OK498" s="93"/>
      <c r="OL498" s="93"/>
      <c r="OM498" s="93"/>
      <c r="ON498" s="93"/>
      <c r="OO498" s="93"/>
      <c r="OP498" s="93"/>
      <c r="OQ498" s="93"/>
      <c r="OR498" s="93"/>
      <c r="OS498" s="93"/>
      <c r="OT498" s="93"/>
      <c r="OU498" s="93"/>
      <c r="OV498" s="93"/>
      <c r="OW498" s="93"/>
      <c r="OX498" s="93"/>
      <c r="OY498" s="93"/>
      <c r="OZ498" s="93"/>
      <c r="PA498" s="93"/>
      <c r="PB498" s="93"/>
      <c r="PC498" s="20"/>
      <c r="PD498" s="29"/>
      <c r="PE498" s="19"/>
      <c r="PF498" s="93"/>
      <c r="PG498" s="93"/>
      <c r="PH498" s="93"/>
      <c r="PI498" s="93"/>
      <c r="PJ498" s="93"/>
      <c r="PK498" s="93"/>
      <c r="PL498" s="93"/>
      <c r="PM498" s="93"/>
      <c r="PN498" s="93"/>
      <c r="PO498" s="93"/>
      <c r="PP498" s="93"/>
      <c r="PQ498" s="93"/>
      <c r="PR498" s="93"/>
      <c r="PS498" s="93"/>
      <c r="PT498" s="93"/>
      <c r="PU498" s="93"/>
      <c r="PV498" s="93"/>
      <c r="PW498" s="93"/>
      <c r="PX498" s="93"/>
      <c r="PY498" s="93"/>
      <c r="PZ498" s="93"/>
      <c r="QA498" s="93"/>
      <c r="QB498" s="93"/>
      <c r="QC498" s="93"/>
      <c r="QD498" s="93"/>
      <c r="QE498" s="20"/>
      <c r="QF498" s="1739"/>
      <c r="QG498" s="19"/>
      <c r="QH498" s="93"/>
      <c r="QI498" s="93"/>
      <c r="QJ498" s="93"/>
      <c r="QK498" s="93"/>
      <c r="QL498" s="93"/>
      <c r="QM498" s="93"/>
      <c r="QN498" s="93"/>
      <c r="QO498" s="93"/>
      <c r="QP498" s="93"/>
      <c r="QQ498" s="93"/>
      <c r="QR498" s="93"/>
      <c r="QS498" s="93"/>
      <c r="QT498" s="93"/>
      <c r="QU498" s="93"/>
      <c r="QV498" s="93"/>
      <c r="QW498" s="93"/>
      <c r="QX498" s="93"/>
      <c r="QY498" s="93"/>
      <c r="QZ498" s="93"/>
      <c r="RA498" s="93"/>
      <c r="RB498" s="93"/>
      <c r="RC498" s="93"/>
      <c r="RD498" s="93"/>
      <c r="RE498" s="93"/>
      <c r="RF498" s="93"/>
      <c r="RG498" s="93"/>
      <c r="RH498" s="93"/>
      <c r="RI498" s="93"/>
      <c r="RJ498" s="93"/>
      <c r="RK498" s="93"/>
      <c r="RL498" s="93"/>
      <c r="RM498" s="20"/>
      <c r="RN498" s="29"/>
      <c r="RO498" s="19"/>
      <c r="RP498" s="20"/>
      <c r="RQ498" s="29"/>
      <c r="RR498" s="20"/>
      <c r="RS498" s="29"/>
      <c r="RT498" s="1504">
        <v>49614</v>
      </c>
      <c r="RU498" s="19"/>
      <c r="RV498" s="20"/>
      <c r="RW498" s="29"/>
      <c r="RX498" s="1504">
        <v>49614</v>
      </c>
      <c r="RY498" s="29"/>
      <c r="RZ498" s="20"/>
      <c r="SA498" s="29"/>
      <c r="SB498" s="29"/>
    </row>
    <row r="499" spans="1:496">
      <c r="A499" s="41">
        <f t="shared" si="360"/>
        <v>2035</v>
      </c>
      <c r="B499" s="1504">
        <v>49644</v>
      </c>
      <c r="C499" s="1813"/>
      <c r="D499" s="1814"/>
      <c r="E499" s="1814"/>
      <c r="F499" s="1815"/>
      <c r="G499" s="1814"/>
      <c r="H499" s="1814"/>
      <c r="I499" s="1814"/>
      <c r="J499" s="1816"/>
      <c r="K499" s="1807"/>
      <c r="L499" s="25"/>
      <c r="M499" s="97"/>
      <c r="N499" s="1504">
        <v>49644</v>
      </c>
      <c r="O499" s="19"/>
      <c r="P499" s="93"/>
      <c r="Q499" s="93"/>
      <c r="R499" s="93"/>
      <c r="S499" s="93"/>
      <c r="T499" s="93"/>
      <c r="U499" s="93"/>
      <c r="V499" s="93"/>
      <c r="W499" s="93"/>
      <c r="X499" s="93"/>
      <c r="Y499" s="93"/>
      <c r="Z499" s="93"/>
      <c r="AA499" s="93"/>
      <c r="AB499" s="20"/>
      <c r="AC499" s="25"/>
      <c r="AD499" s="97"/>
      <c r="AE499" s="1504">
        <v>49644</v>
      </c>
      <c r="AF499" s="19"/>
      <c r="AG499" s="93"/>
      <c r="AH499" s="93"/>
      <c r="AI499" s="93"/>
      <c r="AJ499" s="93"/>
      <c r="AK499" s="93"/>
      <c r="AL499" s="93"/>
      <c r="AM499" s="93"/>
      <c r="AN499" s="93"/>
      <c r="AO499" s="93"/>
      <c r="AP499" s="93"/>
      <c r="AQ499" s="93"/>
      <c r="AR499" s="93"/>
      <c r="AS499" s="20"/>
      <c r="AT499" s="25"/>
      <c r="AU499" s="97"/>
      <c r="AV499" s="1504">
        <v>49644</v>
      </c>
      <c r="AW499" s="19"/>
      <c r="AX499" s="93"/>
      <c r="AY499" s="93"/>
      <c r="AZ499" s="93"/>
      <c r="BA499" s="93"/>
      <c r="BB499" s="93"/>
      <c r="BC499" s="93"/>
      <c r="BD499" s="93"/>
      <c r="BE499" s="93"/>
      <c r="BF499" s="93"/>
      <c r="BG499" s="93"/>
      <c r="BH499" s="93"/>
      <c r="BI499" s="93"/>
      <c r="BJ499" s="20"/>
      <c r="BK499" s="25"/>
      <c r="BL499" s="97"/>
      <c r="BM499" s="1504">
        <v>49644</v>
      </c>
      <c r="BN499" s="19"/>
      <c r="BO499" s="93"/>
      <c r="BP499" s="93"/>
      <c r="BQ499" s="93"/>
      <c r="BR499" s="93"/>
      <c r="BS499" s="93"/>
      <c r="BT499" s="93"/>
      <c r="BU499" s="20"/>
      <c r="BV499" s="25"/>
      <c r="BW499" s="97"/>
      <c r="BX499" s="1504">
        <v>49644</v>
      </c>
      <c r="BY499" s="19"/>
      <c r="BZ499" s="93"/>
      <c r="CA499" s="93"/>
      <c r="CB499" s="93"/>
      <c r="CC499" s="93"/>
      <c r="CD499" s="25"/>
      <c r="CE499" s="97"/>
      <c r="CF499" s="1504">
        <v>49644</v>
      </c>
      <c r="CG499" s="19"/>
      <c r="CH499" s="93"/>
      <c r="CI499" s="219"/>
      <c r="CJ499" s="20"/>
      <c r="CK499" s="19"/>
      <c r="CL499" s="93"/>
      <c r="CM499" s="93"/>
      <c r="CN499" s="93"/>
      <c r="CO499" s="93"/>
      <c r="CP499" s="20"/>
      <c r="CQ499" s="219"/>
      <c r="CR499" s="93"/>
      <c r="CS499" s="93"/>
      <c r="CT499" s="93"/>
      <c r="CU499" s="93"/>
      <c r="CV499" s="214"/>
      <c r="CW499" s="29"/>
      <c r="CX499" s="41">
        <f t="shared" si="359"/>
        <v>2035</v>
      </c>
      <c r="CY499" s="1504">
        <v>49644</v>
      </c>
      <c r="CZ499" s="19"/>
      <c r="DA499" s="93"/>
      <c r="DB499" s="93"/>
      <c r="DC499" s="93"/>
      <c r="DD499" s="93"/>
      <c r="DE499" s="20"/>
      <c r="DF499" s="29"/>
      <c r="DG499" s="1504">
        <v>49644</v>
      </c>
      <c r="DH499" s="19"/>
      <c r="DI499" s="93"/>
      <c r="DJ499" s="93"/>
      <c r="DK499" s="93"/>
      <c r="DL499" s="93"/>
      <c r="DM499" s="93"/>
      <c r="DN499" s="20"/>
      <c r="DO499" s="295"/>
      <c r="DP499" s="29"/>
      <c r="DQ499" s="1504">
        <v>49644</v>
      </c>
      <c r="DR499" s="19"/>
      <c r="DS499" s="93"/>
      <c r="DT499" s="93"/>
      <c r="DU499" s="93"/>
      <c r="DV499" s="93"/>
      <c r="DW499" s="93"/>
      <c r="DX499" s="20"/>
      <c r="DY499" s="29"/>
      <c r="DZ499" s="1504">
        <v>49644</v>
      </c>
      <c r="EA499" s="19"/>
      <c r="EB499" s="93"/>
      <c r="EC499" s="20"/>
      <c r="ED499" s="29"/>
      <c r="EE499" s="1504">
        <v>49644</v>
      </c>
      <c r="EF499" s="19"/>
      <c r="EG499" s="93"/>
      <c r="EH499" s="93"/>
      <c r="EI499" s="214"/>
      <c r="EJ499" s="93"/>
      <c r="EK499" s="93"/>
      <c r="EL499" s="93"/>
      <c r="EM499" s="93"/>
      <c r="EN499" s="20"/>
      <c r="EO499" s="29"/>
      <c r="EP499" s="1504">
        <v>49644</v>
      </c>
      <c r="EQ499" s="19"/>
      <c r="ER499" s="93"/>
      <c r="ES499" s="93"/>
      <c r="ET499" s="214"/>
      <c r="EU499" s="93"/>
      <c r="EV499" s="93"/>
      <c r="EW499" s="93"/>
      <c r="EX499" s="93"/>
      <c r="EY499" s="20"/>
      <c r="EZ499" s="29"/>
      <c r="FA499" s="1504">
        <v>49644</v>
      </c>
      <c r="FB499" s="29"/>
      <c r="FC499" s="29"/>
      <c r="FD499" s="29"/>
      <c r="FE499" s="29"/>
      <c r="FF499" s="29"/>
      <c r="FG499" s="29"/>
      <c r="FH499" s="29"/>
      <c r="FI499" s="29"/>
      <c r="FJ499" s="29"/>
      <c r="FK499" s="29"/>
      <c r="FL499" s="1504">
        <v>49644</v>
      </c>
      <c r="FM499" s="19"/>
      <c r="FN499" s="93"/>
      <c r="FO499" s="93"/>
      <c r="FP499" s="93"/>
      <c r="FQ499" s="93"/>
      <c r="FR499" s="93"/>
      <c r="FS499" s="93"/>
      <c r="FT499" s="93"/>
      <c r="FU499" s="93"/>
      <c r="FV499" s="93"/>
      <c r="FW499" s="93"/>
      <c r="FX499" s="93"/>
      <c r="FY499" s="93"/>
      <c r="FZ499" s="29"/>
      <c r="GA499" s="1504">
        <v>49644</v>
      </c>
      <c r="GB499" s="19"/>
      <c r="GC499" s="93"/>
      <c r="GD499" s="93"/>
      <c r="GE499" s="93"/>
      <c r="GF499" s="93"/>
      <c r="GG499" s="93"/>
      <c r="GH499" s="93"/>
      <c r="GI499" s="93"/>
      <c r="GJ499" s="93"/>
      <c r="GK499" s="93"/>
      <c r="GL499" s="93"/>
      <c r="GM499" s="93"/>
      <c r="GN499" s="20"/>
      <c r="GO499" s="29"/>
      <c r="GP499" s="1504">
        <v>49644</v>
      </c>
      <c r="GQ499" s="19"/>
      <c r="GR499" s="93"/>
      <c r="GS499" s="93"/>
      <c r="GT499" s="93"/>
      <c r="GU499" s="93"/>
      <c r="GV499" s="20"/>
      <c r="GW499" s="19"/>
      <c r="GX499" s="93"/>
      <c r="GY499" s="93"/>
      <c r="GZ499" s="93"/>
      <c r="HA499" s="93"/>
      <c r="HB499" s="20"/>
      <c r="HC499" s="19"/>
      <c r="HD499" s="93"/>
      <c r="HE499" s="93"/>
      <c r="HF499" s="93"/>
      <c r="HG499" s="93"/>
      <c r="HH499" s="20"/>
      <c r="HI499" s="19"/>
      <c r="HJ499" s="93"/>
      <c r="HK499" s="93"/>
      <c r="HL499" s="93"/>
      <c r="HM499" s="93"/>
      <c r="HN499" s="20"/>
      <c r="HO499" s="219"/>
      <c r="HP499" s="20"/>
      <c r="HQ499" s="25"/>
      <c r="HR499" s="29"/>
      <c r="HS499" s="1504">
        <v>49644</v>
      </c>
      <c r="HT499" s="19"/>
      <c r="HU499" s="93"/>
      <c r="HV499" s="93"/>
      <c r="HW499" s="93"/>
      <c r="HX499" s="93"/>
      <c r="HY499" s="93"/>
      <c r="HZ499" s="93"/>
      <c r="IA499" s="20"/>
      <c r="IB499" s="19"/>
      <c r="IC499" s="93"/>
      <c r="ID499" s="93"/>
      <c r="IE499" s="93"/>
      <c r="IF499" s="93"/>
      <c r="IG499" s="20"/>
      <c r="IH499" s="19"/>
      <c r="II499" s="93"/>
      <c r="IJ499" s="93"/>
      <c r="IK499" s="93"/>
      <c r="IL499" s="93"/>
      <c r="IM499" s="93"/>
      <c r="IN499" s="93"/>
      <c r="IO499" s="20"/>
      <c r="IP499" s="29"/>
      <c r="IQ499" s="19"/>
      <c r="IR499" s="93"/>
      <c r="IS499" s="93"/>
      <c r="IT499" s="93"/>
      <c r="IU499" s="93"/>
      <c r="IV499" s="20"/>
      <c r="IW499" s="29"/>
      <c r="IX499" s="19"/>
      <c r="IY499" s="93"/>
      <c r="IZ499" s="93"/>
      <c r="JA499" s="93"/>
      <c r="JB499" s="93"/>
      <c r="JC499" s="93"/>
      <c r="JD499" s="93"/>
      <c r="JE499" s="20"/>
      <c r="JF499" s="29"/>
      <c r="JG499" s="19"/>
      <c r="JH499" s="93"/>
      <c r="JI499" s="93"/>
      <c r="JJ499" s="93"/>
      <c r="JK499" s="93"/>
      <c r="JL499" s="93"/>
      <c r="JM499" s="93"/>
      <c r="JN499" s="20"/>
      <c r="JO499" s="29"/>
      <c r="JP499" s="19"/>
      <c r="JQ499" s="93"/>
      <c r="JR499" s="93"/>
      <c r="JS499" s="93"/>
      <c r="JT499" s="93"/>
      <c r="JU499" s="20"/>
      <c r="JV499" s="29"/>
      <c r="JW499" s="1504">
        <v>49644</v>
      </c>
      <c r="JX499" s="19"/>
      <c r="JY499" s="93"/>
      <c r="JZ499" s="93"/>
      <c r="KA499" s="93"/>
      <c r="KB499" s="93"/>
      <c r="KC499" s="93"/>
      <c r="KD499" s="20"/>
      <c r="KE499" s="29"/>
      <c r="KF499" s="19"/>
      <c r="KG499" s="93"/>
      <c r="KH499" s="93"/>
      <c r="KI499" s="93"/>
      <c r="KJ499" s="93"/>
      <c r="KK499" s="20"/>
      <c r="KL499" s="29"/>
      <c r="KM499" s="19"/>
      <c r="KN499" s="93"/>
      <c r="KO499" s="93"/>
      <c r="KP499" s="93"/>
      <c r="KQ499" s="93"/>
      <c r="KR499" s="20"/>
      <c r="KS499" s="29"/>
      <c r="KT499" s="19"/>
      <c r="KU499" s="93"/>
      <c r="KV499" s="93"/>
      <c r="KW499" s="93"/>
      <c r="KX499" s="93"/>
      <c r="KY499" s="20"/>
      <c r="KZ499" s="29"/>
      <c r="LA499" s="1504">
        <v>49644</v>
      </c>
      <c r="LB499" s="19"/>
      <c r="LC499" s="93"/>
      <c r="LD499" s="93"/>
      <c r="LE499" s="93"/>
      <c r="LF499" s="93"/>
      <c r="LG499" s="93"/>
      <c r="LH499" s="20"/>
      <c r="LI499" s="29"/>
      <c r="LJ499" s="19"/>
      <c r="LK499" s="93"/>
      <c r="LL499" s="93"/>
      <c r="LM499" s="93"/>
      <c r="LN499" s="93"/>
      <c r="LO499" s="20"/>
      <c r="LP499" s="29"/>
      <c r="LQ499" s="19"/>
      <c r="LR499" s="93"/>
      <c r="LS499" s="93"/>
      <c r="LT499" s="93"/>
      <c r="LU499" s="93"/>
      <c r="LV499" s="93"/>
      <c r="LW499" s="93"/>
      <c r="LX499" s="93"/>
      <c r="LY499" s="93"/>
      <c r="LZ499" s="93"/>
      <c r="MA499" s="20"/>
      <c r="MB499" s="29"/>
      <c r="MC499" s="1504">
        <v>49644</v>
      </c>
      <c r="MD499" s="19"/>
      <c r="ME499" s="93"/>
      <c r="MF499" s="93"/>
      <c r="MG499" s="93"/>
      <c r="MH499" s="93"/>
      <c r="MI499" s="93"/>
      <c r="MJ499" s="93"/>
      <c r="MK499" s="93"/>
      <c r="ML499" s="93"/>
      <c r="MM499" s="93"/>
      <c r="MN499" s="93"/>
      <c r="MO499" s="93"/>
      <c r="MP499" s="93"/>
      <c r="MQ499" s="93"/>
      <c r="MR499" s="93"/>
      <c r="MS499" s="93"/>
      <c r="MT499" s="93"/>
      <c r="MU499" s="93"/>
      <c r="MV499" s="93"/>
      <c r="MW499" s="93"/>
      <c r="MX499" s="93"/>
      <c r="MY499" s="93"/>
      <c r="MZ499" s="93"/>
      <c r="NA499" s="93"/>
      <c r="NB499" s="93"/>
      <c r="NC499" s="93"/>
      <c r="ND499" s="93"/>
      <c r="NE499" s="93"/>
      <c r="NF499" s="93"/>
      <c r="NG499" s="93"/>
      <c r="NH499" s="93"/>
      <c r="NI499" s="93"/>
      <c r="NJ499" s="93"/>
      <c r="NK499" s="93"/>
      <c r="NL499" s="93"/>
      <c r="NM499" s="93"/>
      <c r="NN499" s="93"/>
      <c r="NO499" s="93"/>
      <c r="NP499" s="93"/>
      <c r="NQ499" s="93"/>
      <c r="NR499" s="93"/>
      <c r="NS499" s="93"/>
      <c r="NT499" s="93"/>
      <c r="NU499" s="93"/>
      <c r="NV499" s="93"/>
      <c r="NW499" s="93"/>
      <c r="NX499" s="93"/>
      <c r="NY499" s="93"/>
      <c r="NZ499" s="93"/>
      <c r="OA499" s="93"/>
      <c r="OB499" s="93"/>
      <c r="OC499" s="93"/>
      <c r="OD499" s="20"/>
      <c r="OE499" s="29"/>
      <c r="OF499" s="1504">
        <v>49644</v>
      </c>
      <c r="OG499" s="19"/>
      <c r="OH499" s="93"/>
      <c r="OI499" s="93"/>
      <c r="OJ499" s="93"/>
      <c r="OK499" s="93"/>
      <c r="OL499" s="93"/>
      <c r="OM499" s="93"/>
      <c r="ON499" s="93"/>
      <c r="OO499" s="93"/>
      <c r="OP499" s="93"/>
      <c r="OQ499" s="93"/>
      <c r="OR499" s="93"/>
      <c r="OS499" s="93"/>
      <c r="OT499" s="93"/>
      <c r="OU499" s="93"/>
      <c r="OV499" s="93"/>
      <c r="OW499" s="93"/>
      <c r="OX499" s="93"/>
      <c r="OY499" s="93"/>
      <c r="OZ499" s="93"/>
      <c r="PA499" s="93"/>
      <c r="PB499" s="93"/>
      <c r="PC499" s="20"/>
      <c r="PD499" s="29"/>
      <c r="PE499" s="19"/>
      <c r="PF499" s="93"/>
      <c r="PG499" s="93"/>
      <c r="PH499" s="93"/>
      <c r="PI499" s="93"/>
      <c r="PJ499" s="93"/>
      <c r="PK499" s="93"/>
      <c r="PL499" s="93"/>
      <c r="PM499" s="93"/>
      <c r="PN499" s="93"/>
      <c r="PO499" s="93"/>
      <c r="PP499" s="93"/>
      <c r="PQ499" s="93"/>
      <c r="PR499" s="93"/>
      <c r="PS499" s="93"/>
      <c r="PT499" s="93"/>
      <c r="PU499" s="93"/>
      <c r="PV499" s="93"/>
      <c r="PW499" s="93"/>
      <c r="PX499" s="93"/>
      <c r="PY499" s="93"/>
      <c r="PZ499" s="93"/>
      <c r="QA499" s="93"/>
      <c r="QB499" s="93"/>
      <c r="QC499" s="93"/>
      <c r="QD499" s="93"/>
      <c r="QE499" s="20"/>
      <c r="QF499" s="1739"/>
      <c r="QG499" s="19"/>
      <c r="QH499" s="93"/>
      <c r="QI499" s="93"/>
      <c r="QJ499" s="93"/>
      <c r="QK499" s="93"/>
      <c r="QL499" s="93"/>
      <c r="QM499" s="93"/>
      <c r="QN499" s="93"/>
      <c r="QO499" s="93"/>
      <c r="QP499" s="93"/>
      <c r="QQ499" s="93"/>
      <c r="QR499" s="93"/>
      <c r="QS499" s="93"/>
      <c r="QT499" s="93"/>
      <c r="QU499" s="93"/>
      <c r="QV499" s="93"/>
      <c r="QW499" s="93"/>
      <c r="QX499" s="93"/>
      <c r="QY499" s="93"/>
      <c r="QZ499" s="93"/>
      <c r="RA499" s="93"/>
      <c r="RB499" s="93"/>
      <c r="RC499" s="93"/>
      <c r="RD499" s="93"/>
      <c r="RE499" s="93"/>
      <c r="RF499" s="93"/>
      <c r="RG499" s="93"/>
      <c r="RH499" s="93"/>
      <c r="RI499" s="93"/>
      <c r="RJ499" s="93"/>
      <c r="RK499" s="93"/>
      <c r="RL499" s="93"/>
      <c r="RM499" s="20"/>
      <c r="RN499" s="29"/>
      <c r="RO499" s="19"/>
      <c r="RP499" s="20"/>
      <c r="RQ499" s="29"/>
      <c r="RR499" s="20"/>
      <c r="RS499" s="29"/>
      <c r="RT499" s="1504">
        <v>49644</v>
      </c>
      <c r="RU499" s="19"/>
      <c r="RV499" s="20"/>
      <c r="RW499" s="29"/>
      <c r="RX499" s="1504">
        <v>49644</v>
      </c>
      <c r="RY499" s="29"/>
      <c r="RZ499" s="20"/>
      <c r="SA499" s="29"/>
      <c r="SB499" s="29"/>
    </row>
    <row r="500" spans="1:496">
      <c r="A500" s="41">
        <f t="shared" si="360"/>
        <v>2036</v>
      </c>
      <c r="B500" s="1504">
        <v>49675</v>
      </c>
      <c r="C500" s="1813"/>
      <c r="D500" s="1814"/>
      <c r="E500" s="1814"/>
      <c r="F500" s="1815"/>
      <c r="G500" s="1814"/>
      <c r="H500" s="1814"/>
      <c r="I500" s="1814"/>
      <c r="J500" s="1816"/>
      <c r="K500" s="1807"/>
      <c r="L500" s="25"/>
      <c r="M500" s="97"/>
      <c r="N500" s="1504">
        <v>49675</v>
      </c>
      <c r="O500" s="19"/>
      <c r="P500" s="93"/>
      <c r="Q500" s="93"/>
      <c r="R500" s="93"/>
      <c r="S500" s="93"/>
      <c r="T500" s="93"/>
      <c r="U500" s="93"/>
      <c r="V500" s="93"/>
      <c r="W500" s="93"/>
      <c r="X500" s="93"/>
      <c r="Y500" s="93"/>
      <c r="Z500" s="93"/>
      <c r="AA500" s="93"/>
      <c r="AB500" s="20"/>
      <c r="AC500" s="25"/>
      <c r="AD500" s="97"/>
      <c r="AE500" s="1504">
        <v>49675</v>
      </c>
      <c r="AF500" s="19"/>
      <c r="AG500" s="93"/>
      <c r="AH500" s="93"/>
      <c r="AI500" s="93"/>
      <c r="AJ500" s="93"/>
      <c r="AK500" s="93"/>
      <c r="AL500" s="93"/>
      <c r="AM500" s="93"/>
      <c r="AN500" s="93"/>
      <c r="AO500" s="93"/>
      <c r="AP500" s="93"/>
      <c r="AQ500" s="93"/>
      <c r="AR500" s="93"/>
      <c r="AS500" s="20"/>
      <c r="AT500" s="25"/>
      <c r="AU500" s="97"/>
      <c r="AV500" s="1504">
        <v>49675</v>
      </c>
      <c r="AW500" s="19"/>
      <c r="AX500" s="93"/>
      <c r="AY500" s="93"/>
      <c r="AZ500" s="93"/>
      <c r="BA500" s="93"/>
      <c r="BB500" s="93"/>
      <c r="BC500" s="93"/>
      <c r="BD500" s="93"/>
      <c r="BE500" s="93"/>
      <c r="BF500" s="93"/>
      <c r="BG500" s="93"/>
      <c r="BH500" s="93"/>
      <c r="BI500" s="93"/>
      <c r="BJ500" s="20"/>
      <c r="BK500" s="25"/>
      <c r="BL500" s="97"/>
      <c r="BM500" s="1504">
        <v>49675</v>
      </c>
      <c r="BN500" s="19"/>
      <c r="BO500" s="93"/>
      <c r="BP500" s="93"/>
      <c r="BQ500" s="93"/>
      <c r="BR500" s="93"/>
      <c r="BS500" s="93"/>
      <c r="BT500" s="93"/>
      <c r="BU500" s="20"/>
      <c r="BV500" s="25"/>
      <c r="BW500" s="97"/>
      <c r="BX500" s="1504">
        <v>49675</v>
      </c>
      <c r="BY500" s="19"/>
      <c r="BZ500" s="93"/>
      <c r="CA500" s="93"/>
      <c r="CB500" s="93"/>
      <c r="CC500" s="93"/>
      <c r="CD500" s="25"/>
      <c r="CE500" s="97"/>
      <c r="CF500" s="1504">
        <v>49675</v>
      </c>
      <c r="CG500" s="19"/>
      <c r="CH500" s="93"/>
      <c r="CI500" s="219"/>
      <c r="CJ500" s="20"/>
      <c r="CK500" s="19"/>
      <c r="CL500" s="93"/>
      <c r="CM500" s="93"/>
      <c r="CN500" s="93"/>
      <c r="CO500" s="93"/>
      <c r="CP500" s="20"/>
      <c r="CQ500" s="219"/>
      <c r="CR500" s="93"/>
      <c r="CS500" s="93"/>
      <c r="CT500" s="93"/>
      <c r="CU500" s="93"/>
      <c r="CV500" s="214"/>
      <c r="CW500" s="29"/>
      <c r="CX500" s="41">
        <f t="shared" si="359"/>
        <v>2036</v>
      </c>
      <c r="CY500" s="1504">
        <v>49675</v>
      </c>
      <c r="CZ500" s="19"/>
      <c r="DA500" s="93"/>
      <c r="DB500" s="93"/>
      <c r="DC500" s="93"/>
      <c r="DD500" s="93"/>
      <c r="DE500" s="20"/>
      <c r="DF500" s="29"/>
      <c r="DG500" s="1504">
        <v>49675</v>
      </c>
      <c r="DH500" s="19"/>
      <c r="DI500" s="93"/>
      <c r="DJ500" s="93"/>
      <c r="DK500" s="93"/>
      <c r="DL500" s="93"/>
      <c r="DM500" s="93"/>
      <c r="DN500" s="20"/>
      <c r="DO500" s="295"/>
      <c r="DP500" s="29"/>
      <c r="DQ500" s="1504">
        <v>49675</v>
      </c>
      <c r="DR500" s="19"/>
      <c r="DS500" s="93"/>
      <c r="DT500" s="93"/>
      <c r="DU500" s="93"/>
      <c r="DV500" s="93"/>
      <c r="DW500" s="93"/>
      <c r="DX500" s="20"/>
      <c r="DY500" s="29"/>
      <c r="DZ500" s="1504">
        <v>49675</v>
      </c>
      <c r="EA500" s="19"/>
      <c r="EB500" s="93"/>
      <c r="EC500" s="20"/>
      <c r="ED500" s="29"/>
      <c r="EE500" s="1504">
        <v>49675</v>
      </c>
      <c r="EF500" s="19"/>
      <c r="EG500" s="93"/>
      <c r="EH500" s="93"/>
      <c r="EI500" s="214"/>
      <c r="EJ500" s="93"/>
      <c r="EK500" s="93"/>
      <c r="EL500" s="93"/>
      <c r="EM500" s="93"/>
      <c r="EN500" s="20"/>
      <c r="EO500" s="29"/>
      <c r="EP500" s="1504">
        <v>49675</v>
      </c>
      <c r="EQ500" s="19"/>
      <c r="ER500" s="93"/>
      <c r="ES500" s="93"/>
      <c r="ET500" s="214"/>
      <c r="EU500" s="93"/>
      <c r="EV500" s="93"/>
      <c r="EW500" s="93"/>
      <c r="EX500" s="93"/>
      <c r="EY500" s="20"/>
      <c r="EZ500" s="29"/>
      <c r="FA500" s="1504">
        <v>49675</v>
      </c>
      <c r="FB500" s="29"/>
      <c r="FC500" s="29"/>
      <c r="FD500" s="29"/>
      <c r="FE500" s="29"/>
      <c r="FF500" s="29"/>
      <c r="FG500" s="29"/>
      <c r="FH500" s="29"/>
      <c r="FI500" s="29"/>
      <c r="FJ500" s="29"/>
      <c r="FK500" s="29"/>
      <c r="FL500" s="1504">
        <v>49675</v>
      </c>
      <c r="FM500" s="19"/>
      <c r="FN500" s="93"/>
      <c r="FO500" s="93"/>
      <c r="FP500" s="93"/>
      <c r="FQ500" s="93"/>
      <c r="FR500" s="93"/>
      <c r="FS500" s="93"/>
      <c r="FT500" s="93"/>
      <c r="FU500" s="93"/>
      <c r="FV500" s="93"/>
      <c r="FW500" s="93"/>
      <c r="FX500" s="93"/>
      <c r="FY500" s="93"/>
      <c r="FZ500" s="29"/>
      <c r="GA500" s="1504">
        <v>49675</v>
      </c>
      <c r="GB500" s="19"/>
      <c r="GC500" s="93"/>
      <c r="GD500" s="93"/>
      <c r="GE500" s="93"/>
      <c r="GF500" s="93"/>
      <c r="GG500" s="93"/>
      <c r="GH500" s="93"/>
      <c r="GI500" s="93"/>
      <c r="GJ500" s="93"/>
      <c r="GK500" s="93"/>
      <c r="GL500" s="93"/>
      <c r="GM500" s="93"/>
      <c r="GN500" s="20"/>
      <c r="GO500" s="29"/>
      <c r="GP500" s="1504">
        <v>49675</v>
      </c>
      <c r="GQ500" s="19"/>
      <c r="GR500" s="93"/>
      <c r="GS500" s="93"/>
      <c r="GT500" s="93"/>
      <c r="GU500" s="93"/>
      <c r="GV500" s="20"/>
      <c r="GW500" s="19"/>
      <c r="GX500" s="93"/>
      <c r="GY500" s="93"/>
      <c r="GZ500" s="93"/>
      <c r="HA500" s="93"/>
      <c r="HB500" s="20"/>
      <c r="HC500" s="19"/>
      <c r="HD500" s="93"/>
      <c r="HE500" s="93"/>
      <c r="HF500" s="93"/>
      <c r="HG500" s="93"/>
      <c r="HH500" s="20"/>
      <c r="HI500" s="19"/>
      <c r="HJ500" s="93"/>
      <c r="HK500" s="93"/>
      <c r="HL500" s="93"/>
      <c r="HM500" s="93"/>
      <c r="HN500" s="20"/>
      <c r="HO500" s="219"/>
      <c r="HP500" s="20"/>
      <c r="HQ500" s="25"/>
      <c r="HR500" s="29"/>
      <c r="HS500" s="1504">
        <v>49675</v>
      </c>
      <c r="HT500" s="19"/>
      <c r="HU500" s="93"/>
      <c r="HV500" s="93"/>
      <c r="HW500" s="93"/>
      <c r="HX500" s="93"/>
      <c r="HY500" s="93"/>
      <c r="HZ500" s="93"/>
      <c r="IA500" s="20"/>
      <c r="IB500" s="19"/>
      <c r="IC500" s="93"/>
      <c r="ID500" s="93"/>
      <c r="IE500" s="93"/>
      <c r="IF500" s="93"/>
      <c r="IG500" s="20"/>
      <c r="IH500" s="19"/>
      <c r="II500" s="93"/>
      <c r="IJ500" s="93"/>
      <c r="IK500" s="93"/>
      <c r="IL500" s="93"/>
      <c r="IM500" s="93"/>
      <c r="IN500" s="93"/>
      <c r="IO500" s="20"/>
      <c r="IP500" s="29"/>
      <c r="IQ500" s="19"/>
      <c r="IR500" s="93"/>
      <c r="IS500" s="93"/>
      <c r="IT500" s="93"/>
      <c r="IU500" s="93"/>
      <c r="IV500" s="20"/>
      <c r="IW500" s="29"/>
      <c r="IX500" s="19"/>
      <c r="IY500" s="93"/>
      <c r="IZ500" s="93"/>
      <c r="JA500" s="93"/>
      <c r="JB500" s="93"/>
      <c r="JC500" s="93"/>
      <c r="JD500" s="93"/>
      <c r="JE500" s="20"/>
      <c r="JF500" s="29"/>
      <c r="JG500" s="19"/>
      <c r="JH500" s="93"/>
      <c r="JI500" s="93"/>
      <c r="JJ500" s="93"/>
      <c r="JK500" s="93"/>
      <c r="JL500" s="93"/>
      <c r="JM500" s="93"/>
      <c r="JN500" s="20"/>
      <c r="JO500" s="29"/>
      <c r="JP500" s="19"/>
      <c r="JQ500" s="93"/>
      <c r="JR500" s="93"/>
      <c r="JS500" s="93"/>
      <c r="JT500" s="93"/>
      <c r="JU500" s="20"/>
      <c r="JV500" s="29"/>
      <c r="JW500" s="1504">
        <v>49675</v>
      </c>
      <c r="JX500" s="19"/>
      <c r="JY500" s="93"/>
      <c r="JZ500" s="93"/>
      <c r="KA500" s="93"/>
      <c r="KB500" s="93"/>
      <c r="KC500" s="93"/>
      <c r="KD500" s="20"/>
      <c r="KE500" s="29"/>
      <c r="KF500" s="19"/>
      <c r="KG500" s="93"/>
      <c r="KH500" s="93"/>
      <c r="KI500" s="93"/>
      <c r="KJ500" s="93"/>
      <c r="KK500" s="20"/>
      <c r="KL500" s="29"/>
      <c r="KM500" s="19"/>
      <c r="KN500" s="93"/>
      <c r="KO500" s="93"/>
      <c r="KP500" s="93"/>
      <c r="KQ500" s="93"/>
      <c r="KR500" s="20"/>
      <c r="KS500" s="29"/>
      <c r="KT500" s="19"/>
      <c r="KU500" s="93"/>
      <c r="KV500" s="93"/>
      <c r="KW500" s="93"/>
      <c r="KX500" s="93"/>
      <c r="KY500" s="20"/>
      <c r="KZ500" s="29"/>
      <c r="LA500" s="1504">
        <v>49675</v>
      </c>
      <c r="LB500" s="19"/>
      <c r="LC500" s="93"/>
      <c r="LD500" s="93"/>
      <c r="LE500" s="93"/>
      <c r="LF500" s="93"/>
      <c r="LG500" s="93"/>
      <c r="LH500" s="20"/>
      <c r="LI500" s="29"/>
      <c r="LJ500" s="19"/>
      <c r="LK500" s="93"/>
      <c r="LL500" s="93"/>
      <c r="LM500" s="93"/>
      <c r="LN500" s="93"/>
      <c r="LO500" s="20"/>
      <c r="LP500" s="29"/>
      <c r="LQ500" s="19"/>
      <c r="LR500" s="93"/>
      <c r="LS500" s="93"/>
      <c r="LT500" s="93"/>
      <c r="LU500" s="93"/>
      <c r="LV500" s="93"/>
      <c r="LW500" s="93"/>
      <c r="LX500" s="93"/>
      <c r="LY500" s="93"/>
      <c r="LZ500" s="93"/>
      <c r="MA500" s="20"/>
      <c r="MB500" s="29"/>
      <c r="MC500" s="1504">
        <v>49675</v>
      </c>
      <c r="MD500" s="19"/>
      <c r="ME500" s="93"/>
      <c r="MF500" s="93"/>
      <c r="MG500" s="93"/>
      <c r="MH500" s="93"/>
      <c r="MI500" s="93"/>
      <c r="MJ500" s="93"/>
      <c r="MK500" s="93"/>
      <c r="ML500" s="93"/>
      <c r="MM500" s="93"/>
      <c r="MN500" s="93"/>
      <c r="MO500" s="93"/>
      <c r="MP500" s="93"/>
      <c r="MQ500" s="93"/>
      <c r="MR500" s="93"/>
      <c r="MS500" s="93"/>
      <c r="MT500" s="93"/>
      <c r="MU500" s="93"/>
      <c r="MV500" s="93"/>
      <c r="MW500" s="93"/>
      <c r="MX500" s="93"/>
      <c r="MY500" s="93"/>
      <c r="MZ500" s="93"/>
      <c r="NA500" s="93"/>
      <c r="NB500" s="93"/>
      <c r="NC500" s="93"/>
      <c r="ND500" s="93"/>
      <c r="NE500" s="93"/>
      <c r="NF500" s="93"/>
      <c r="NG500" s="93"/>
      <c r="NH500" s="93"/>
      <c r="NI500" s="93"/>
      <c r="NJ500" s="93"/>
      <c r="NK500" s="93"/>
      <c r="NL500" s="93"/>
      <c r="NM500" s="93"/>
      <c r="NN500" s="93"/>
      <c r="NO500" s="93"/>
      <c r="NP500" s="93"/>
      <c r="NQ500" s="93"/>
      <c r="NR500" s="93"/>
      <c r="NS500" s="93"/>
      <c r="NT500" s="93"/>
      <c r="NU500" s="93"/>
      <c r="NV500" s="93"/>
      <c r="NW500" s="93"/>
      <c r="NX500" s="93"/>
      <c r="NY500" s="93"/>
      <c r="NZ500" s="93"/>
      <c r="OA500" s="93"/>
      <c r="OB500" s="93"/>
      <c r="OC500" s="93"/>
      <c r="OD500" s="20"/>
      <c r="OE500" s="29"/>
      <c r="OF500" s="1504">
        <v>49675</v>
      </c>
      <c r="OG500" s="19"/>
      <c r="OH500" s="93"/>
      <c r="OI500" s="93"/>
      <c r="OJ500" s="93"/>
      <c r="OK500" s="93"/>
      <c r="OL500" s="93"/>
      <c r="OM500" s="93"/>
      <c r="ON500" s="93"/>
      <c r="OO500" s="93"/>
      <c r="OP500" s="93"/>
      <c r="OQ500" s="93"/>
      <c r="OR500" s="93"/>
      <c r="OS500" s="93"/>
      <c r="OT500" s="93"/>
      <c r="OU500" s="93"/>
      <c r="OV500" s="93"/>
      <c r="OW500" s="93"/>
      <c r="OX500" s="93"/>
      <c r="OY500" s="93"/>
      <c r="OZ500" s="93"/>
      <c r="PA500" s="93"/>
      <c r="PB500" s="93"/>
      <c r="PC500" s="20"/>
      <c r="PD500" s="29"/>
      <c r="PE500" s="19"/>
      <c r="PF500" s="93"/>
      <c r="PG500" s="93"/>
      <c r="PH500" s="93"/>
      <c r="PI500" s="93"/>
      <c r="PJ500" s="93"/>
      <c r="PK500" s="93"/>
      <c r="PL500" s="93"/>
      <c r="PM500" s="93"/>
      <c r="PN500" s="93"/>
      <c r="PO500" s="93"/>
      <c r="PP500" s="93"/>
      <c r="PQ500" s="93"/>
      <c r="PR500" s="93"/>
      <c r="PS500" s="93"/>
      <c r="PT500" s="93"/>
      <c r="PU500" s="93"/>
      <c r="PV500" s="93"/>
      <c r="PW500" s="93"/>
      <c r="PX500" s="93"/>
      <c r="PY500" s="93"/>
      <c r="PZ500" s="93"/>
      <c r="QA500" s="93"/>
      <c r="QB500" s="93"/>
      <c r="QC500" s="93"/>
      <c r="QD500" s="93"/>
      <c r="QE500" s="20"/>
      <c r="QF500" s="1739"/>
      <c r="QG500" s="19"/>
      <c r="QH500" s="93"/>
      <c r="QI500" s="93"/>
      <c r="QJ500" s="93"/>
      <c r="QK500" s="93"/>
      <c r="QL500" s="93"/>
      <c r="QM500" s="93"/>
      <c r="QN500" s="93"/>
      <c r="QO500" s="93"/>
      <c r="QP500" s="93"/>
      <c r="QQ500" s="93"/>
      <c r="QR500" s="93"/>
      <c r="QS500" s="93"/>
      <c r="QT500" s="93"/>
      <c r="QU500" s="93"/>
      <c r="QV500" s="93"/>
      <c r="QW500" s="93"/>
      <c r="QX500" s="93"/>
      <c r="QY500" s="93"/>
      <c r="QZ500" s="93"/>
      <c r="RA500" s="93"/>
      <c r="RB500" s="93"/>
      <c r="RC500" s="93"/>
      <c r="RD500" s="93"/>
      <c r="RE500" s="93"/>
      <c r="RF500" s="93"/>
      <c r="RG500" s="93"/>
      <c r="RH500" s="93"/>
      <c r="RI500" s="93"/>
      <c r="RJ500" s="93"/>
      <c r="RK500" s="93"/>
      <c r="RL500" s="93"/>
      <c r="RM500" s="20"/>
      <c r="RN500" s="29"/>
      <c r="RO500" s="19"/>
      <c r="RP500" s="20"/>
      <c r="RQ500" s="29"/>
      <c r="RR500" s="20"/>
      <c r="RS500" s="29"/>
      <c r="RT500" s="1504">
        <v>49675</v>
      </c>
      <c r="RU500" s="19"/>
      <c r="RV500" s="20"/>
      <c r="RW500" s="29"/>
      <c r="RX500" s="1504">
        <v>49675</v>
      </c>
      <c r="RY500" s="29"/>
      <c r="RZ500" s="20"/>
      <c r="SA500" s="29"/>
      <c r="SB500" s="29"/>
    </row>
    <row r="501" spans="1:496">
      <c r="A501" s="41">
        <f t="shared" si="360"/>
        <v>2036</v>
      </c>
      <c r="B501" s="1504">
        <v>49706</v>
      </c>
      <c r="C501" s="1813"/>
      <c r="D501" s="1814"/>
      <c r="E501" s="1814"/>
      <c r="F501" s="1815"/>
      <c r="G501" s="1814"/>
      <c r="H501" s="1814"/>
      <c r="I501" s="1814"/>
      <c r="J501" s="1816"/>
      <c r="K501" s="1807"/>
      <c r="L501" s="25"/>
      <c r="M501" s="97"/>
      <c r="N501" s="1504">
        <v>49706</v>
      </c>
      <c r="O501" s="19"/>
      <c r="P501" s="93"/>
      <c r="Q501" s="93"/>
      <c r="R501" s="93"/>
      <c r="S501" s="93"/>
      <c r="T501" s="93"/>
      <c r="U501" s="93"/>
      <c r="V501" s="93"/>
      <c r="W501" s="93"/>
      <c r="X501" s="93"/>
      <c r="Y501" s="93"/>
      <c r="Z501" s="93"/>
      <c r="AA501" s="93"/>
      <c r="AB501" s="20"/>
      <c r="AC501" s="25"/>
      <c r="AD501" s="97"/>
      <c r="AE501" s="1504">
        <v>49706</v>
      </c>
      <c r="AF501" s="19"/>
      <c r="AG501" s="93"/>
      <c r="AH501" s="93"/>
      <c r="AI501" s="93"/>
      <c r="AJ501" s="93"/>
      <c r="AK501" s="93"/>
      <c r="AL501" s="93"/>
      <c r="AM501" s="93"/>
      <c r="AN501" s="93"/>
      <c r="AO501" s="93"/>
      <c r="AP501" s="93"/>
      <c r="AQ501" s="93"/>
      <c r="AR501" s="93"/>
      <c r="AS501" s="20"/>
      <c r="AT501" s="25"/>
      <c r="AU501" s="97"/>
      <c r="AV501" s="1504">
        <v>49706</v>
      </c>
      <c r="AW501" s="19"/>
      <c r="AX501" s="93"/>
      <c r="AY501" s="93"/>
      <c r="AZ501" s="93"/>
      <c r="BA501" s="93"/>
      <c r="BB501" s="93"/>
      <c r="BC501" s="93"/>
      <c r="BD501" s="93"/>
      <c r="BE501" s="93"/>
      <c r="BF501" s="93"/>
      <c r="BG501" s="93"/>
      <c r="BH501" s="93"/>
      <c r="BI501" s="93"/>
      <c r="BJ501" s="20"/>
      <c r="BK501" s="25"/>
      <c r="BL501" s="97"/>
      <c r="BM501" s="1504">
        <v>49706</v>
      </c>
      <c r="BN501" s="19"/>
      <c r="BO501" s="93"/>
      <c r="BP501" s="93"/>
      <c r="BQ501" s="93"/>
      <c r="BR501" s="93"/>
      <c r="BS501" s="93"/>
      <c r="BT501" s="93"/>
      <c r="BU501" s="20"/>
      <c r="BV501" s="25"/>
      <c r="BW501" s="97"/>
      <c r="BX501" s="1504">
        <v>49706</v>
      </c>
      <c r="BY501" s="19"/>
      <c r="BZ501" s="93"/>
      <c r="CA501" s="93"/>
      <c r="CB501" s="93"/>
      <c r="CC501" s="93"/>
      <c r="CD501" s="25"/>
      <c r="CE501" s="97"/>
      <c r="CF501" s="1504">
        <v>49706</v>
      </c>
      <c r="CG501" s="19"/>
      <c r="CH501" s="93"/>
      <c r="CI501" s="219"/>
      <c r="CJ501" s="20"/>
      <c r="CK501" s="19"/>
      <c r="CL501" s="93"/>
      <c r="CM501" s="93"/>
      <c r="CN501" s="93"/>
      <c r="CO501" s="93"/>
      <c r="CP501" s="20"/>
      <c r="CQ501" s="219"/>
      <c r="CR501" s="93"/>
      <c r="CS501" s="93"/>
      <c r="CT501" s="93"/>
      <c r="CU501" s="93"/>
      <c r="CV501" s="214"/>
      <c r="CW501" s="29"/>
      <c r="CX501" s="41">
        <f t="shared" si="359"/>
        <v>2036</v>
      </c>
      <c r="CY501" s="1504">
        <v>49706</v>
      </c>
      <c r="CZ501" s="19"/>
      <c r="DA501" s="93"/>
      <c r="DB501" s="93"/>
      <c r="DC501" s="93"/>
      <c r="DD501" s="93"/>
      <c r="DE501" s="20"/>
      <c r="DF501" s="29"/>
      <c r="DG501" s="1504">
        <v>49706</v>
      </c>
      <c r="DH501" s="19"/>
      <c r="DI501" s="93"/>
      <c r="DJ501" s="93"/>
      <c r="DK501" s="93"/>
      <c r="DL501" s="93"/>
      <c r="DM501" s="93"/>
      <c r="DN501" s="20"/>
      <c r="DO501" s="295"/>
      <c r="DP501" s="29"/>
      <c r="DQ501" s="1504">
        <v>49706</v>
      </c>
      <c r="DR501" s="19"/>
      <c r="DS501" s="93"/>
      <c r="DT501" s="93"/>
      <c r="DU501" s="93"/>
      <c r="DV501" s="93"/>
      <c r="DW501" s="93"/>
      <c r="DX501" s="20"/>
      <c r="DY501" s="29"/>
      <c r="DZ501" s="1504">
        <v>49706</v>
      </c>
      <c r="EA501" s="19"/>
      <c r="EB501" s="93"/>
      <c r="EC501" s="20"/>
      <c r="ED501" s="29"/>
      <c r="EE501" s="1504">
        <v>49706</v>
      </c>
      <c r="EF501" s="19"/>
      <c r="EG501" s="93"/>
      <c r="EH501" s="93"/>
      <c r="EI501" s="214"/>
      <c r="EJ501" s="93"/>
      <c r="EK501" s="93"/>
      <c r="EL501" s="93"/>
      <c r="EM501" s="93"/>
      <c r="EN501" s="20"/>
      <c r="EO501" s="29"/>
      <c r="EP501" s="1504">
        <v>49706</v>
      </c>
      <c r="EQ501" s="19"/>
      <c r="ER501" s="93"/>
      <c r="ES501" s="93"/>
      <c r="ET501" s="214"/>
      <c r="EU501" s="93"/>
      <c r="EV501" s="93"/>
      <c r="EW501" s="93"/>
      <c r="EX501" s="93"/>
      <c r="EY501" s="20"/>
      <c r="EZ501" s="29"/>
      <c r="FA501" s="1504">
        <v>49706</v>
      </c>
      <c r="FB501" s="29"/>
      <c r="FC501" s="29"/>
      <c r="FD501" s="29"/>
      <c r="FE501" s="29"/>
      <c r="FF501" s="29"/>
      <c r="FG501" s="29"/>
      <c r="FH501" s="29"/>
      <c r="FI501" s="29"/>
      <c r="FJ501" s="29"/>
      <c r="FK501" s="29"/>
      <c r="FL501" s="1504">
        <v>49706</v>
      </c>
      <c r="FM501" s="19"/>
      <c r="FN501" s="93"/>
      <c r="FO501" s="93"/>
      <c r="FP501" s="93"/>
      <c r="FQ501" s="93"/>
      <c r="FR501" s="93"/>
      <c r="FS501" s="93"/>
      <c r="FT501" s="93"/>
      <c r="FU501" s="93"/>
      <c r="FV501" s="93"/>
      <c r="FW501" s="93"/>
      <c r="FX501" s="93"/>
      <c r="FY501" s="93"/>
      <c r="FZ501" s="29"/>
      <c r="GA501" s="1504">
        <v>49706</v>
      </c>
      <c r="GB501" s="19"/>
      <c r="GC501" s="93"/>
      <c r="GD501" s="93"/>
      <c r="GE501" s="93"/>
      <c r="GF501" s="93"/>
      <c r="GG501" s="93"/>
      <c r="GH501" s="93"/>
      <c r="GI501" s="93"/>
      <c r="GJ501" s="93"/>
      <c r="GK501" s="93"/>
      <c r="GL501" s="93"/>
      <c r="GM501" s="93"/>
      <c r="GN501" s="20"/>
      <c r="GO501" s="29"/>
      <c r="GP501" s="1504">
        <v>49706</v>
      </c>
      <c r="GQ501" s="19"/>
      <c r="GR501" s="93"/>
      <c r="GS501" s="93"/>
      <c r="GT501" s="93"/>
      <c r="GU501" s="93"/>
      <c r="GV501" s="20"/>
      <c r="GW501" s="19"/>
      <c r="GX501" s="93"/>
      <c r="GY501" s="93"/>
      <c r="GZ501" s="93"/>
      <c r="HA501" s="93"/>
      <c r="HB501" s="20"/>
      <c r="HC501" s="19"/>
      <c r="HD501" s="93"/>
      <c r="HE501" s="93"/>
      <c r="HF501" s="93"/>
      <c r="HG501" s="93"/>
      <c r="HH501" s="20"/>
      <c r="HI501" s="19"/>
      <c r="HJ501" s="93"/>
      <c r="HK501" s="93"/>
      <c r="HL501" s="93"/>
      <c r="HM501" s="93"/>
      <c r="HN501" s="20"/>
      <c r="HO501" s="219"/>
      <c r="HP501" s="20"/>
      <c r="HQ501" s="25"/>
      <c r="HR501" s="29"/>
      <c r="HS501" s="1504">
        <v>49706</v>
      </c>
      <c r="HT501" s="19"/>
      <c r="HU501" s="93"/>
      <c r="HV501" s="93"/>
      <c r="HW501" s="93"/>
      <c r="HX501" s="93"/>
      <c r="HY501" s="93"/>
      <c r="HZ501" s="93"/>
      <c r="IA501" s="20"/>
      <c r="IB501" s="19"/>
      <c r="IC501" s="93"/>
      <c r="ID501" s="93"/>
      <c r="IE501" s="93"/>
      <c r="IF501" s="93"/>
      <c r="IG501" s="20"/>
      <c r="IH501" s="19"/>
      <c r="II501" s="93"/>
      <c r="IJ501" s="93"/>
      <c r="IK501" s="93"/>
      <c r="IL501" s="93"/>
      <c r="IM501" s="93"/>
      <c r="IN501" s="93"/>
      <c r="IO501" s="20"/>
      <c r="IP501" s="29"/>
      <c r="IQ501" s="19"/>
      <c r="IR501" s="93"/>
      <c r="IS501" s="93"/>
      <c r="IT501" s="93"/>
      <c r="IU501" s="93"/>
      <c r="IV501" s="20"/>
      <c r="IW501" s="29"/>
      <c r="IX501" s="19"/>
      <c r="IY501" s="93"/>
      <c r="IZ501" s="93"/>
      <c r="JA501" s="93"/>
      <c r="JB501" s="93"/>
      <c r="JC501" s="93"/>
      <c r="JD501" s="93"/>
      <c r="JE501" s="20"/>
      <c r="JF501" s="29"/>
      <c r="JG501" s="19"/>
      <c r="JH501" s="93"/>
      <c r="JI501" s="93"/>
      <c r="JJ501" s="93"/>
      <c r="JK501" s="93"/>
      <c r="JL501" s="93"/>
      <c r="JM501" s="93"/>
      <c r="JN501" s="20"/>
      <c r="JO501" s="29"/>
      <c r="JP501" s="19"/>
      <c r="JQ501" s="93"/>
      <c r="JR501" s="93"/>
      <c r="JS501" s="93"/>
      <c r="JT501" s="93"/>
      <c r="JU501" s="20"/>
      <c r="JV501" s="29"/>
      <c r="JW501" s="1504">
        <v>49706</v>
      </c>
      <c r="JX501" s="19"/>
      <c r="JY501" s="93"/>
      <c r="JZ501" s="93"/>
      <c r="KA501" s="93"/>
      <c r="KB501" s="93"/>
      <c r="KC501" s="93"/>
      <c r="KD501" s="20"/>
      <c r="KE501" s="29"/>
      <c r="KF501" s="19"/>
      <c r="KG501" s="93"/>
      <c r="KH501" s="93"/>
      <c r="KI501" s="93"/>
      <c r="KJ501" s="93"/>
      <c r="KK501" s="20"/>
      <c r="KL501" s="29"/>
      <c r="KM501" s="19"/>
      <c r="KN501" s="93"/>
      <c r="KO501" s="93"/>
      <c r="KP501" s="93"/>
      <c r="KQ501" s="93"/>
      <c r="KR501" s="20"/>
      <c r="KS501" s="29"/>
      <c r="KT501" s="19"/>
      <c r="KU501" s="93"/>
      <c r="KV501" s="93"/>
      <c r="KW501" s="93"/>
      <c r="KX501" s="93"/>
      <c r="KY501" s="20"/>
      <c r="KZ501" s="29"/>
      <c r="LA501" s="1504">
        <v>49706</v>
      </c>
      <c r="LB501" s="19"/>
      <c r="LC501" s="93"/>
      <c r="LD501" s="93"/>
      <c r="LE501" s="93"/>
      <c r="LF501" s="93"/>
      <c r="LG501" s="93"/>
      <c r="LH501" s="20"/>
      <c r="LI501" s="29"/>
      <c r="LJ501" s="19"/>
      <c r="LK501" s="93"/>
      <c r="LL501" s="93"/>
      <c r="LM501" s="93"/>
      <c r="LN501" s="93"/>
      <c r="LO501" s="20"/>
      <c r="LP501" s="29"/>
      <c r="LQ501" s="19"/>
      <c r="LR501" s="93"/>
      <c r="LS501" s="93"/>
      <c r="LT501" s="93"/>
      <c r="LU501" s="93"/>
      <c r="LV501" s="93"/>
      <c r="LW501" s="93"/>
      <c r="LX501" s="93"/>
      <c r="LY501" s="93"/>
      <c r="LZ501" s="93"/>
      <c r="MA501" s="20"/>
      <c r="MB501" s="29"/>
      <c r="MC501" s="1504">
        <v>49706</v>
      </c>
      <c r="MD501" s="19"/>
      <c r="ME501" s="93"/>
      <c r="MF501" s="93"/>
      <c r="MG501" s="93"/>
      <c r="MH501" s="93"/>
      <c r="MI501" s="93"/>
      <c r="MJ501" s="93"/>
      <c r="MK501" s="93"/>
      <c r="ML501" s="93"/>
      <c r="MM501" s="93"/>
      <c r="MN501" s="93"/>
      <c r="MO501" s="93"/>
      <c r="MP501" s="93"/>
      <c r="MQ501" s="93"/>
      <c r="MR501" s="93"/>
      <c r="MS501" s="93"/>
      <c r="MT501" s="93"/>
      <c r="MU501" s="93"/>
      <c r="MV501" s="93"/>
      <c r="MW501" s="93"/>
      <c r="MX501" s="93"/>
      <c r="MY501" s="93"/>
      <c r="MZ501" s="93"/>
      <c r="NA501" s="93"/>
      <c r="NB501" s="93"/>
      <c r="NC501" s="93"/>
      <c r="ND501" s="93"/>
      <c r="NE501" s="93"/>
      <c r="NF501" s="93"/>
      <c r="NG501" s="93"/>
      <c r="NH501" s="93"/>
      <c r="NI501" s="93"/>
      <c r="NJ501" s="93"/>
      <c r="NK501" s="93"/>
      <c r="NL501" s="93"/>
      <c r="NM501" s="93"/>
      <c r="NN501" s="93"/>
      <c r="NO501" s="93"/>
      <c r="NP501" s="93"/>
      <c r="NQ501" s="93"/>
      <c r="NR501" s="93"/>
      <c r="NS501" s="93"/>
      <c r="NT501" s="93"/>
      <c r="NU501" s="93"/>
      <c r="NV501" s="93"/>
      <c r="NW501" s="93"/>
      <c r="NX501" s="93"/>
      <c r="NY501" s="93"/>
      <c r="NZ501" s="93"/>
      <c r="OA501" s="93"/>
      <c r="OB501" s="93"/>
      <c r="OC501" s="93"/>
      <c r="OD501" s="20"/>
      <c r="OE501" s="29"/>
      <c r="OF501" s="1504">
        <v>49706</v>
      </c>
      <c r="OG501" s="19"/>
      <c r="OH501" s="93"/>
      <c r="OI501" s="93"/>
      <c r="OJ501" s="93"/>
      <c r="OK501" s="93"/>
      <c r="OL501" s="93"/>
      <c r="OM501" s="93"/>
      <c r="ON501" s="93"/>
      <c r="OO501" s="93"/>
      <c r="OP501" s="93"/>
      <c r="OQ501" s="93"/>
      <c r="OR501" s="93"/>
      <c r="OS501" s="93"/>
      <c r="OT501" s="93"/>
      <c r="OU501" s="93"/>
      <c r="OV501" s="93"/>
      <c r="OW501" s="93"/>
      <c r="OX501" s="93"/>
      <c r="OY501" s="93"/>
      <c r="OZ501" s="93"/>
      <c r="PA501" s="93"/>
      <c r="PB501" s="93"/>
      <c r="PC501" s="20"/>
      <c r="PD501" s="29"/>
      <c r="PE501" s="19"/>
      <c r="PF501" s="93"/>
      <c r="PG501" s="93"/>
      <c r="PH501" s="93"/>
      <c r="PI501" s="93"/>
      <c r="PJ501" s="93"/>
      <c r="PK501" s="93"/>
      <c r="PL501" s="93"/>
      <c r="PM501" s="93"/>
      <c r="PN501" s="93"/>
      <c r="PO501" s="93"/>
      <c r="PP501" s="93"/>
      <c r="PQ501" s="93"/>
      <c r="PR501" s="93"/>
      <c r="PS501" s="93"/>
      <c r="PT501" s="93"/>
      <c r="PU501" s="93"/>
      <c r="PV501" s="93"/>
      <c r="PW501" s="93"/>
      <c r="PX501" s="93"/>
      <c r="PY501" s="93"/>
      <c r="PZ501" s="93"/>
      <c r="QA501" s="93"/>
      <c r="QB501" s="93"/>
      <c r="QC501" s="93"/>
      <c r="QD501" s="93"/>
      <c r="QE501" s="20"/>
      <c r="QF501" s="1739"/>
      <c r="QG501" s="19"/>
      <c r="QH501" s="93"/>
      <c r="QI501" s="93"/>
      <c r="QJ501" s="93"/>
      <c r="QK501" s="93"/>
      <c r="QL501" s="93"/>
      <c r="QM501" s="93"/>
      <c r="QN501" s="93"/>
      <c r="QO501" s="93"/>
      <c r="QP501" s="93"/>
      <c r="QQ501" s="93"/>
      <c r="QR501" s="93"/>
      <c r="QS501" s="93"/>
      <c r="QT501" s="93"/>
      <c r="QU501" s="93"/>
      <c r="QV501" s="93"/>
      <c r="QW501" s="93"/>
      <c r="QX501" s="93"/>
      <c r="QY501" s="93"/>
      <c r="QZ501" s="93"/>
      <c r="RA501" s="93"/>
      <c r="RB501" s="93"/>
      <c r="RC501" s="93"/>
      <c r="RD501" s="93"/>
      <c r="RE501" s="93"/>
      <c r="RF501" s="93"/>
      <c r="RG501" s="93"/>
      <c r="RH501" s="93"/>
      <c r="RI501" s="93"/>
      <c r="RJ501" s="93"/>
      <c r="RK501" s="93"/>
      <c r="RL501" s="93"/>
      <c r="RM501" s="20"/>
      <c r="RN501" s="29"/>
      <c r="RO501" s="19"/>
      <c r="RP501" s="20"/>
      <c r="RQ501" s="29"/>
      <c r="RR501" s="20"/>
      <c r="RS501" s="29"/>
      <c r="RT501" s="1504">
        <v>49706</v>
      </c>
      <c r="RU501" s="19"/>
      <c r="RV501" s="20"/>
      <c r="RW501" s="29"/>
      <c r="RX501" s="1504">
        <v>49706</v>
      </c>
      <c r="RY501" s="29"/>
      <c r="RZ501" s="20"/>
      <c r="SA501" s="29"/>
      <c r="SB501" s="29"/>
    </row>
    <row r="502" spans="1:496">
      <c r="A502" s="41">
        <f t="shared" si="360"/>
        <v>2036</v>
      </c>
      <c r="B502" s="1504">
        <v>49735</v>
      </c>
      <c r="C502" s="1813"/>
      <c r="D502" s="1814"/>
      <c r="E502" s="1814"/>
      <c r="F502" s="1815"/>
      <c r="G502" s="1814"/>
      <c r="H502" s="1814"/>
      <c r="I502" s="1814"/>
      <c r="J502" s="1816"/>
      <c r="K502" s="1807"/>
      <c r="L502" s="25"/>
      <c r="M502" s="97"/>
      <c r="N502" s="1504">
        <v>49735</v>
      </c>
      <c r="O502" s="19"/>
      <c r="P502" s="93"/>
      <c r="Q502" s="93"/>
      <c r="R502" s="93"/>
      <c r="S502" s="93"/>
      <c r="T502" s="93"/>
      <c r="U502" s="93"/>
      <c r="V502" s="93"/>
      <c r="W502" s="93"/>
      <c r="X502" s="93"/>
      <c r="Y502" s="93"/>
      <c r="Z502" s="93"/>
      <c r="AA502" s="93"/>
      <c r="AB502" s="20"/>
      <c r="AC502" s="25"/>
      <c r="AD502" s="97"/>
      <c r="AE502" s="1504">
        <v>49735</v>
      </c>
      <c r="AF502" s="19"/>
      <c r="AG502" s="93"/>
      <c r="AH502" s="93"/>
      <c r="AI502" s="93"/>
      <c r="AJ502" s="93"/>
      <c r="AK502" s="93"/>
      <c r="AL502" s="93"/>
      <c r="AM502" s="93"/>
      <c r="AN502" s="93"/>
      <c r="AO502" s="93"/>
      <c r="AP502" s="93"/>
      <c r="AQ502" s="93"/>
      <c r="AR502" s="93"/>
      <c r="AS502" s="20"/>
      <c r="AT502" s="25"/>
      <c r="AU502" s="97"/>
      <c r="AV502" s="1504">
        <v>49735</v>
      </c>
      <c r="AW502" s="19"/>
      <c r="AX502" s="93"/>
      <c r="AY502" s="93"/>
      <c r="AZ502" s="93"/>
      <c r="BA502" s="93"/>
      <c r="BB502" s="93"/>
      <c r="BC502" s="93"/>
      <c r="BD502" s="93"/>
      <c r="BE502" s="93"/>
      <c r="BF502" s="93"/>
      <c r="BG502" s="93"/>
      <c r="BH502" s="93"/>
      <c r="BI502" s="93"/>
      <c r="BJ502" s="20"/>
      <c r="BK502" s="25"/>
      <c r="BL502" s="97"/>
      <c r="BM502" s="1504">
        <v>49735</v>
      </c>
      <c r="BN502" s="19"/>
      <c r="BO502" s="93"/>
      <c r="BP502" s="93"/>
      <c r="BQ502" s="93"/>
      <c r="BR502" s="93"/>
      <c r="BS502" s="93"/>
      <c r="BT502" s="93"/>
      <c r="BU502" s="20"/>
      <c r="BV502" s="25"/>
      <c r="BW502" s="97"/>
      <c r="BX502" s="1504">
        <v>49735</v>
      </c>
      <c r="BY502" s="19"/>
      <c r="BZ502" s="93"/>
      <c r="CA502" s="93"/>
      <c r="CB502" s="93"/>
      <c r="CC502" s="93"/>
      <c r="CD502" s="25"/>
      <c r="CE502" s="97"/>
      <c r="CF502" s="1504">
        <v>49735</v>
      </c>
      <c r="CG502" s="19"/>
      <c r="CH502" s="93"/>
      <c r="CI502" s="219"/>
      <c r="CJ502" s="20"/>
      <c r="CK502" s="19"/>
      <c r="CL502" s="93"/>
      <c r="CM502" s="93"/>
      <c r="CN502" s="93"/>
      <c r="CO502" s="93"/>
      <c r="CP502" s="20"/>
      <c r="CQ502" s="219"/>
      <c r="CR502" s="93"/>
      <c r="CS502" s="93"/>
      <c r="CT502" s="93"/>
      <c r="CU502" s="93"/>
      <c r="CV502" s="214"/>
      <c r="CW502" s="29"/>
      <c r="CX502" s="41">
        <f t="shared" si="359"/>
        <v>2036</v>
      </c>
      <c r="CY502" s="1504">
        <v>49735</v>
      </c>
      <c r="CZ502" s="19"/>
      <c r="DA502" s="93"/>
      <c r="DB502" s="93"/>
      <c r="DC502" s="93"/>
      <c r="DD502" s="93"/>
      <c r="DE502" s="20"/>
      <c r="DF502" s="29"/>
      <c r="DG502" s="1504">
        <v>49735</v>
      </c>
      <c r="DH502" s="19"/>
      <c r="DI502" s="93"/>
      <c r="DJ502" s="93"/>
      <c r="DK502" s="93"/>
      <c r="DL502" s="93"/>
      <c r="DM502" s="93"/>
      <c r="DN502" s="20"/>
      <c r="DO502" s="295"/>
      <c r="DP502" s="29"/>
      <c r="DQ502" s="1504">
        <v>49735</v>
      </c>
      <c r="DR502" s="19"/>
      <c r="DS502" s="93"/>
      <c r="DT502" s="93"/>
      <c r="DU502" s="93"/>
      <c r="DV502" s="93"/>
      <c r="DW502" s="93"/>
      <c r="DX502" s="20"/>
      <c r="DY502" s="29"/>
      <c r="DZ502" s="1504">
        <v>49735</v>
      </c>
      <c r="EA502" s="19"/>
      <c r="EB502" s="93"/>
      <c r="EC502" s="20"/>
      <c r="ED502" s="29"/>
      <c r="EE502" s="1504">
        <v>49735</v>
      </c>
      <c r="EF502" s="19"/>
      <c r="EG502" s="93"/>
      <c r="EH502" s="93"/>
      <c r="EI502" s="214"/>
      <c r="EJ502" s="93"/>
      <c r="EK502" s="93"/>
      <c r="EL502" s="93"/>
      <c r="EM502" s="93"/>
      <c r="EN502" s="20"/>
      <c r="EO502" s="29"/>
      <c r="EP502" s="1504">
        <v>49735</v>
      </c>
      <c r="EQ502" s="19"/>
      <c r="ER502" s="93"/>
      <c r="ES502" s="93"/>
      <c r="ET502" s="214"/>
      <c r="EU502" s="93"/>
      <c r="EV502" s="93"/>
      <c r="EW502" s="93"/>
      <c r="EX502" s="93"/>
      <c r="EY502" s="20"/>
      <c r="EZ502" s="29"/>
      <c r="FA502" s="1504">
        <v>49735</v>
      </c>
      <c r="FB502" s="29"/>
      <c r="FC502" s="29"/>
      <c r="FD502" s="29"/>
      <c r="FE502" s="29"/>
      <c r="FF502" s="29"/>
      <c r="FG502" s="29"/>
      <c r="FH502" s="29"/>
      <c r="FI502" s="29"/>
      <c r="FJ502" s="29"/>
      <c r="FK502" s="29"/>
      <c r="FL502" s="1504">
        <v>49735</v>
      </c>
      <c r="FM502" s="19"/>
      <c r="FN502" s="93"/>
      <c r="FO502" s="93"/>
      <c r="FP502" s="93"/>
      <c r="FQ502" s="93"/>
      <c r="FR502" s="93"/>
      <c r="FS502" s="93"/>
      <c r="FT502" s="93"/>
      <c r="FU502" s="93"/>
      <c r="FV502" s="93"/>
      <c r="FW502" s="93"/>
      <c r="FX502" s="93"/>
      <c r="FY502" s="93"/>
      <c r="FZ502" s="29"/>
      <c r="GA502" s="1504">
        <v>49735</v>
      </c>
      <c r="GB502" s="19"/>
      <c r="GC502" s="93"/>
      <c r="GD502" s="93"/>
      <c r="GE502" s="93"/>
      <c r="GF502" s="93"/>
      <c r="GG502" s="93"/>
      <c r="GH502" s="93"/>
      <c r="GI502" s="93"/>
      <c r="GJ502" s="93"/>
      <c r="GK502" s="93"/>
      <c r="GL502" s="93"/>
      <c r="GM502" s="93"/>
      <c r="GN502" s="20"/>
      <c r="GO502" s="29"/>
      <c r="GP502" s="1504">
        <v>49735</v>
      </c>
      <c r="GQ502" s="19"/>
      <c r="GR502" s="93"/>
      <c r="GS502" s="93"/>
      <c r="GT502" s="93"/>
      <c r="GU502" s="93"/>
      <c r="GV502" s="20"/>
      <c r="GW502" s="19"/>
      <c r="GX502" s="93"/>
      <c r="GY502" s="93"/>
      <c r="GZ502" s="93"/>
      <c r="HA502" s="93"/>
      <c r="HB502" s="20"/>
      <c r="HC502" s="19"/>
      <c r="HD502" s="93"/>
      <c r="HE502" s="93"/>
      <c r="HF502" s="93"/>
      <c r="HG502" s="93"/>
      <c r="HH502" s="20"/>
      <c r="HI502" s="19"/>
      <c r="HJ502" s="93"/>
      <c r="HK502" s="93"/>
      <c r="HL502" s="93"/>
      <c r="HM502" s="93"/>
      <c r="HN502" s="20"/>
      <c r="HO502" s="219"/>
      <c r="HP502" s="20"/>
      <c r="HQ502" s="25"/>
      <c r="HR502" s="29"/>
      <c r="HS502" s="1504">
        <v>49735</v>
      </c>
      <c r="HT502" s="19"/>
      <c r="HU502" s="93"/>
      <c r="HV502" s="93"/>
      <c r="HW502" s="93"/>
      <c r="HX502" s="93"/>
      <c r="HY502" s="93"/>
      <c r="HZ502" s="93"/>
      <c r="IA502" s="20"/>
      <c r="IB502" s="19"/>
      <c r="IC502" s="93"/>
      <c r="ID502" s="93"/>
      <c r="IE502" s="93"/>
      <c r="IF502" s="93"/>
      <c r="IG502" s="20"/>
      <c r="IH502" s="19"/>
      <c r="II502" s="93"/>
      <c r="IJ502" s="93"/>
      <c r="IK502" s="93"/>
      <c r="IL502" s="93"/>
      <c r="IM502" s="93"/>
      <c r="IN502" s="93"/>
      <c r="IO502" s="20"/>
      <c r="IP502" s="29"/>
      <c r="IQ502" s="19"/>
      <c r="IR502" s="93"/>
      <c r="IS502" s="93"/>
      <c r="IT502" s="93"/>
      <c r="IU502" s="93"/>
      <c r="IV502" s="20"/>
      <c r="IW502" s="29"/>
      <c r="IX502" s="19"/>
      <c r="IY502" s="93"/>
      <c r="IZ502" s="93"/>
      <c r="JA502" s="93"/>
      <c r="JB502" s="93"/>
      <c r="JC502" s="93"/>
      <c r="JD502" s="93"/>
      <c r="JE502" s="20"/>
      <c r="JF502" s="29"/>
      <c r="JG502" s="19"/>
      <c r="JH502" s="93"/>
      <c r="JI502" s="93"/>
      <c r="JJ502" s="93"/>
      <c r="JK502" s="93"/>
      <c r="JL502" s="93"/>
      <c r="JM502" s="93"/>
      <c r="JN502" s="20"/>
      <c r="JO502" s="29"/>
      <c r="JP502" s="19"/>
      <c r="JQ502" s="93"/>
      <c r="JR502" s="93"/>
      <c r="JS502" s="93"/>
      <c r="JT502" s="93"/>
      <c r="JU502" s="20"/>
      <c r="JV502" s="29"/>
      <c r="JW502" s="1504">
        <v>49735</v>
      </c>
      <c r="JX502" s="19"/>
      <c r="JY502" s="93"/>
      <c r="JZ502" s="93"/>
      <c r="KA502" s="93"/>
      <c r="KB502" s="93"/>
      <c r="KC502" s="93"/>
      <c r="KD502" s="20"/>
      <c r="KE502" s="29"/>
      <c r="KF502" s="19"/>
      <c r="KG502" s="93"/>
      <c r="KH502" s="93"/>
      <c r="KI502" s="93"/>
      <c r="KJ502" s="93"/>
      <c r="KK502" s="20"/>
      <c r="KL502" s="29"/>
      <c r="KM502" s="19"/>
      <c r="KN502" s="93"/>
      <c r="KO502" s="93"/>
      <c r="KP502" s="93"/>
      <c r="KQ502" s="93"/>
      <c r="KR502" s="20"/>
      <c r="KS502" s="29"/>
      <c r="KT502" s="19"/>
      <c r="KU502" s="93"/>
      <c r="KV502" s="93"/>
      <c r="KW502" s="93"/>
      <c r="KX502" s="93"/>
      <c r="KY502" s="20"/>
      <c r="KZ502" s="29"/>
      <c r="LA502" s="1504">
        <v>49735</v>
      </c>
      <c r="LB502" s="19"/>
      <c r="LC502" s="93"/>
      <c r="LD502" s="93"/>
      <c r="LE502" s="93"/>
      <c r="LF502" s="93"/>
      <c r="LG502" s="93"/>
      <c r="LH502" s="20"/>
      <c r="LI502" s="29"/>
      <c r="LJ502" s="19"/>
      <c r="LK502" s="93"/>
      <c r="LL502" s="93"/>
      <c r="LM502" s="93"/>
      <c r="LN502" s="93"/>
      <c r="LO502" s="20"/>
      <c r="LP502" s="29"/>
      <c r="LQ502" s="19"/>
      <c r="LR502" s="93"/>
      <c r="LS502" s="93"/>
      <c r="LT502" s="93"/>
      <c r="LU502" s="93"/>
      <c r="LV502" s="93"/>
      <c r="LW502" s="93"/>
      <c r="LX502" s="93"/>
      <c r="LY502" s="93"/>
      <c r="LZ502" s="93"/>
      <c r="MA502" s="20"/>
      <c r="MB502" s="29"/>
      <c r="MC502" s="1504">
        <v>49735</v>
      </c>
      <c r="MD502" s="19"/>
      <c r="ME502" s="93"/>
      <c r="MF502" s="93"/>
      <c r="MG502" s="93"/>
      <c r="MH502" s="93"/>
      <c r="MI502" s="93"/>
      <c r="MJ502" s="93"/>
      <c r="MK502" s="93"/>
      <c r="ML502" s="93"/>
      <c r="MM502" s="93"/>
      <c r="MN502" s="93"/>
      <c r="MO502" s="93"/>
      <c r="MP502" s="93"/>
      <c r="MQ502" s="93"/>
      <c r="MR502" s="93"/>
      <c r="MS502" s="93"/>
      <c r="MT502" s="93"/>
      <c r="MU502" s="93"/>
      <c r="MV502" s="93"/>
      <c r="MW502" s="93"/>
      <c r="MX502" s="93"/>
      <c r="MY502" s="93"/>
      <c r="MZ502" s="93"/>
      <c r="NA502" s="93"/>
      <c r="NB502" s="93"/>
      <c r="NC502" s="93"/>
      <c r="ND502" s="93"/>
      <c r="NE502" s="93"/>
      <c r="NF502" s="93"/>
      <c r="NG502" s="93"/>
      <c r="NH502" s="93"/>
      <c r="NI502" s="93"/>
      <c r="NJ502" s="93"/>
      <c r="NK502" s="93"/>
      <c r="NL502" s="93"/>
      <c r="NM502" s="93"/>
      <c r="NN502" s="93"/>
      <c r="NO502" s="93"/>
      <c r="NP502" s="93"/>
      <c r="NQ502" s="93"/>
      <c r="NR502" s="93"/>
      <c r="NS502" s="93"/>
      <c r="NT502" s="93"/>
      <c r="NU502" s="93"/>
      <c r="NV502" s="93"/>
      <c r="NW502" s="93"/>
      <c r="NX502" s="93"/>
      <c r="NY502" s="93"/>
      <c r="NZ502" s="93"/>
      <c r="OA502" s="93"/>
      <c r="OB502" s="93"/>
      <c r="OC502" s="93"/>
      <c r="OD502" s="20"/>
      <c r="OE502" s="29"/>
      <c r="OF502" s="1504">
        <v>49735</v>
      </c>
      <c r="OG502" s="19"/>
      <c r="OH502" s="93"/>
      <c r="OI502" s="93"/>
      <c r="OJ502" s="93"/>
      <c r="OK502" s="93"/>
      <c r="OL502" s="93"/>
      <c r="OM502" s="93"/>
      <c r="ON502" s="93"/>
      <c r="OO502" s="93"/>
      <c r="OP502" s="93"/>
      <c r="OQ502" s="93"/>
      <c r="OR502" s="93"/>
      <c r="OS502" s="93"/>
      <c r="OT502" s="93"/>
      <c r="OU502" s="93"/>
      <c r="OV502" s="93"/>
      <c r="OW502" s="93"/>
      <c r="OX502" s="93"/>
      <c r="OY502" s="93"/>
      <c r="OZ502" s="93"/>
      <c r="PA502" s="93"/>
      <c r="PB502" s="93"/>
      <c r="PC502" s="20"/>
      <c r="PD502" s="29"/>
      <c r="PE502" s="19"/>
      <c r="PF502" s="93"/>
      <c r="PG502" s="93"/>
      <c r="PH502" s="93"/>
      <c r="PI502" s="93"/>
      <c r="PJ502" s="93"/>
      <c r="PK502" s="93"/>
      <c r="PL502" s="93"/>
      <c r="PM502" s="93"/>
      <c r="PN502" s="93"/>
      <c r="PO502" s="93"/>
      <c r="PP502" s="93"/>
      <c r="PQ502" s="93"/>
      <c r="PR502" s="93"/>
      <c r="PS502" s="93"/>
      <c r="PT502" s="93"/>
      <c r="PU502" s="93"/>
      <c r="PV502" s="93"/>
      <c r="PW502" s="93"/>
      <c r="PX502" s="93"/>
      <c r="PY502" s="93"/>
      <c r="PZ502" s="93"/>
      <c r="QA502" s="93"/>
      <c r="QB502" s="93"/>
      <c r="QC502" s="93"/>
      <c r="QD502" s="93"/>
      <c r="QE502" s="20"/>
      <c r="QF502" s="1739"/>
      <c r="QG502" s="19"/>
      <c r="QH502" s="93"/>
      <c r="QI502" s="93"/>
      <c r="QJ502" s="93"/>
      <c r="QK502" s="93"/>
      <c r="QL502" s="93"/>
      <c r="QM502" s="93"/>
      <c r="QN502" s="93"/>
      <c r="QO502" s="93"/>
      <c r="QP502" s="93"/>
      <c r="QQ502" s="93"/>
      <c r="QR502" s="93"/>
      <c r="QS502" s="93"/>
      <c r="QT502" s="93"/>
      <c r="QU502" s="93"/>
      <c r="QV502" s="93"/>
      <c r="QW502" s="93"/>
      <c r="QX502" s="93"/>
      <c r="QY502" s="93"/>
      <c r="QZ502" s="93"/>
      <c r="RA502" s="93"/>
      <c r="RB502" s="93"/>
      <c r="RC502" s="93"/>
      <c r="RD502" s="93"/>
      <c r="RE502" s="93"/>
      <c r="RF502" s="93"/>
      <c r="RG502" s="93"/>
      <c r="RH502" s="93"/>
      <c r="RI502" s="93"/>
      <c r="RJ502" s="93"/>
      <c r="RK502" s="93"/>
      <c r="RL502" s="93"/>
      <c r="RM502" s="20"/>
      <c r="RN502" s="29"/>
      <c r="RO502" s="19"/>
      <c r="RP502" s="20"/>
      <c r="RQ502" s="29"/>
      <c r="RR502" s="20"/>
      <c r="RS502" s="29"/>
      <c r="RT502" s="1504">
        <v>49735</v>
      </c>
      <c r="RU502" s="19"/>
      <c r="RV502" s="20"/>
      <c r="RW502" s="29"/>
      <c r="RX502" s="1504">
        <v>49735</v>
      </c>
      <c r="RY502" s="29"/>
      <c r="RZ502" s="20"/>
      <c r="SA502" s="29"/>
      <c r="SB502" s="29"/>
    </row>
    <row r="503" spans="1:496">
      <c r="A503" s="41">
        <f t="shared" si="360"/>
        <v>2036</v>
      </c>
      <c r="B503" s="1504">
        <v>49766</v>
      </c>
      <c r="C503" s="1813"/>
      <c r="D503" s="1814"/>
      <c r="E503" s="1814"/>
      <c r="F503" s="1815"/>
      <c r="G503" s="1814"/>
      <c r="H503" s="1814"/>
      <c r="I503" s="1814"/>
      <c r="J503" s="1816"/>
      <c r="K503" s="1807"/>
      <c r="L503" s="25"/>
      <c r="M503" s="97"/>
      <c r="N503" s="1504">
        <v>49766</v>
      </c>
      <c r="O503" s="19"/>
      <c r="P503" s="93"/>
      <c r="Q503" s="93"/>
      <c r="R503" s="93"/>
      <c r="S503" s="93"/>
      <c r="T503" s="93"/>
      <c r="U503" s="93"/>
      <c r="V503" s="93"/>
      <c r="W503" s="93"/>
      <c r="X503" s="93"/>
      <c r="Y503" s="93"/>
      <c r="Z503" s="93"/>
      <c r="AA503" s="93"/>
      <c r="AB503" s="20"/>
      <c r="AC503" s="25"/>
      <c r="AD503" s="97"/>
      <c r="AE503" s="1504">
        <v>49766</v>
      </c>
      <c r="AF503" s="19"/>
      <c r="AG503" s="93"/>
      <c r="AH503" s="93"/>
      <c r="AI503" s="93"/>
      <c r="AJ503" s="93"/>
      <c r="AK503" s="93"/>
      <c r="AL503" s="93"/>
      <c r="AM503" s="93"/>
      <c r="AN503" s="93"/>
      <c r="AO503" s="93"/>
      <c r="AP503" s="93"/>
      <c r="AQ503" s="93"/>
      <c r="AR503" s="93"/>
      <c r="AS503" s="20"/>
      <c r="AT503" s="25"/>
      <c r="AU503" s="97"/>
      <c r="AV503" s="1504">
        <v>49766</v>
      </c>
      <c r="AW503" s="19"/>
      <c r="AX503" s="93"/>
      <c r="AY503" s="93"/>
      <c r="AZ503" s="93"/>
      <c r="BA503" s="93"/>
      <c r="BB503" s="93"/>
      <c r="BC503" s="93"/>
      <c r="BD503" s="93"/>
      <c r="BE503" s="93"/>
      <c r="BF503" s="93"/>
      <c r="BG503" s="93"/>
      <c r="BH503" s="93"/>
      <c r="BI503" s="93"/>
      <c r="BJ503" s="20"/>
      <c r="BK503" s="25"/>
      <c r="BL503" s="97"/>
      <c r="BM503" s="1504">
        <v>49766</v>
      </c>
      <c r="BN503" s="19"/>
      <c r="BO503" s="93"/>
      <c r="BP503" s="93"/>
      <c r="BQ503" s="93"/>
      <c r="BR503" s="93"/>
      <c r="BS503" s="93"/>
      <c r="BT503" s="93"/>
      <c r="BU503" s="20"/>
      <c r="BV503" s="25"/>
      <c r="BW503" s="97"/>
      <c r="BX503" s="1504">
        <v>49766</v>
      </c>
      <c r="BY503" s="19"/>
      <c r="BZ503" s="93"/>
      <c r="CA503" s="93"/>
      <c r="CB503" s="93"/>
      <c r="CC503" s="93"/>
      <c r="CD503" s="25"/>
      <c r="CE503" s="97"/>
      <c r="CF503" s="1504">
        <v>49766</v>
      </c>
      <c r="CG503" s="19"/>
      <c r="CH503" s="93"/>
      <c r="CI503" s="219"/>
      <c r="CJ503" s="20"/>
      <c r="CK503" s="19"/>
      <c r="CL503" s="93"/>
      <c r="CM503" s="93"/>
      <c r="CN503" s="93"/>
      <c r="CO503" s="93"/>
      <c r="CP503" s="20"/>
      <c r="CQ503" s="219"/>
      <c r="CR503" s="93"/>
      <c r="CS503" s="93"/>
      <c r="CT503" s="93"/>
      <c r="CU503" s="93"/>
      <c r="CV503" s="214"/>
      <c r="CW503" s="29"/>
      <c r="CX503" s="41">
        <f t="shared" si="359"/>
        <v>2036</v>
      </c>
      <c r="CY503" s="1504">
        <v>49766</v>
      </c>
      <c r="CZ503" s="19"/>
      <c r="DA503" s="93"/>
      <c r="DB503" s="93"/>
      <c r="DC503" s="93"/>
      <c r="DD503" s="93"/>
      <c r="DE503" s="20"/>
      <c r="DF503" s="29"/>
      <c r="DG503" s="1504">
        <v>49766</v>
      </c>
      <c r="DH503" s="19"/>
      <c r="DI503" s="93"/>
      <c r="DJ503" s="93"/>
      <c r="DK503" s="93"/>
      <c r="DL503" s="93"/>
      <c r="DM503" s="93"/>
      <c r="DN503" s="20"/>
      <c r="DO503" s="295"/>
      <c r="DP503" s="29"/>
      <c r="DQ503" s="1504">
        <v>49766</v>
      </c>
      <c r="DR503" s="19"/>
      <c r="DS503" s="93"/>
      <c r="DT503" s="93"/>
      <c r="DU503" s="93"/>
      <c r="DV503" s="93"/>
      <c r="DW503" s="93"/>
      <c r="DX503" s="20"/>
      <c r="DY503" s="29"/>
      <c r="DZ503" s="1504">
        <v>49766</v>
      </c>
      <c r="EA503" s="19"/>
      <c r="EB503" s="93"/>
      <c r="EC503" s="20"/>
      <c r="ED503" s="29"/>
      <c r="EE503" s="1504">
        <v>49766</v>
      </c>
      <c r="EF503" s="19"/>
      <c r="EG503" s="93"/>
      <c r="EH503" s="93"/>
      <c r="EI503" s="214"/>
      <c r="EJ503" s="93"/>
      <c r="EK503" s="93"/>
      <c r="EL503" s="93"/>
      <c r="EM503" s="93"/>
      <c r="EN503" s="20"/>
      <c r="EO503" s="29"/>
      <c r="EP503" s="1504">
        <v>49766</v>
      </c>
      <c r="EQ503" s="19"/>
      <c r="ER503" s="93"/>
      <c r="ES503" s="93"/>
      <c r="ET503" s="214"/>
      <c r="EU503" s="93"/>
      <c r="EV503" s="93"/>
      <c r="EW503" s="93"/>
      <c r="EX503" s="93"/>
      <c r="EY503" s="20"/>
      <c r="EZ503" s="29"/>
      <c r="FA503" s="1504">
        <v>49766</v>
      </c>
      <c r="FB503" s="29"/>
      <c r="FC503" s="29"/>
      <c r="FD503" s="29"/>
      <c r="FE503" s="29"/>
      <c r="FF503" s="29"/>
      <c r="FG503" s="29"/>
      <c r="FH503" s="29"/>
      <c r="FI503" s="29"/>
      <c r="FJ503" s="29"/>
      <c r="FK503" s="29"/>
      <c r="FL503" s="1504">
        <v>49766</v>
      </c>
      <c r="FM503" s="19"/>
      <c r="FN503" s="93"/>
      <c r="FO503" s="93"/>
      <c r="FP503" s="93"/>
      <c r="FQ503" s="93"/>
      <c r="FR503" s="93"/>
      <c r="FS503" s="93"/>
      <c r="FT503" s="93"/>
      <c r="FU503" s="93"/>
      <c r="FV503" s="93"/>
      <c r="FW503" s="93"/>
      <c r="FX503" s="93"/>
      <c r="FY503" s="93"/>
      <c r="FZ503" s="29"/>
      <c r="GA503" s="1504">
        <v>49766</v>
      </c>
      <c r="GB503" s="19"/>
      <c r="GC503" s="93"/>
      <c r="GD503" s="93"/>
      <c r="GE503" s="93"/>
      <c r="GF503" s="93"/>
      <c r="GG503" s="93"/>
      <c r="GH503" s="93"/>
      <c r="GI503" s="93"/>
      <c r="GJ503" s="93"/>
      <c r="GK503" s="93"/>
      <c r="GL503" s="93"/>
      <c r="GM503" s="93"/>
      <c r="GN503" s="20"/>
      <c r="GO503" s="29"/>
      <c r="GP503" s="1504">
        <v>49766</v>
      </c>
      <c r="GQ503" s="19"/>
      <c r="GR503" s="93"/>
      <c r="GS503" s="93"/>
      <c r="GT503" s="93"/>
      <c r="GU503" s="93"/>
      <c r="GV503" s="20"/>
      <c r="GW503" s="19"/>
      <c r="GX503" s="93"/>
      <c r="GY503" s="93"/>
      <c r="GZ503" s="93"/>
      <c r="HA503" s="93"/>
      <c r="HB503" s="20"/>
      <c r="HC503" s="19"/>
      <c r="HD503" s="93"/>
      <c r="HE503" s="93"/>
      <c r="HF503" s="93"/>
      <c r="HG503" s="93"/>
      <c r="HH503" s="20"/>
      <c r="HI503" s="19"/>
      <c r="HJ503" s="93"/>
      <c r="HK503" s="93"/>
      <c r="HL503" s="93"/>
      <c r="HM503" s="93"/>
      <c r="HN503" s="20"/>
      <c r="HO503" s="219"/>
      <c r="HP503" s="20"/>
      <c r="HQ503" s="25"/>
      <c r="HR503" s="29"/>
      <c r="HS503" s="1504">
        <v>49766</v>
      </c>
      <c r="HT503" s="19"/>
      <c r="HU503" s="93"/>
      <c r="HV503" s="93"/>
      <c r="HW503" s="93"/>
      <c r="HX503" s="93"/>
      <c r="HY503" s="93"/>
      <c r="HZ503" s="93"/>
      <c r="IA503" s="20"/>
      <c r="IB503" s="19"/>
      <c r="IC503" s="93"/>
      <c r="ID503" s="93"/>
      <c r="IE503" s="93"/>
      <c r="IF503" s="93"/>
      <c r="IG503" s="20"/>
      <c r="IH503" s="19"/>
      <c r="II503" s="93"/>
      <c r="IJ503" s="93"/>
      <c r="IK503" s="93"/>
      <c r="IL503" s="93"/>
      <c r="IM503" s="93"/>
      <c r="IN503" s="93"/>
      <c r="IO503" s="20"/>
      <c r="IP503" s="29"/>
      <c r="IQ503" s="19"/>
      <c r="IR503" s="93"/>
      <c r="IS503" s="93"/>
      <c r="IT503" s="93"/>
      <c r="IU503" s="93"/>
      <c r="IV503" s="20"/>
      <c r="IW503" s="29"/>
      <c r="IX503" s="19"/>
      <c r="IY503" s="93"/>
      <c r="IZ503" s="93"/>
      <c r="JA503" s="93"/>
      <c r="JB503" s="93"/>
      <c r="JC503" s="93"/>
      <c r="JD503" s="93"/>
      <c r="JE503" s="20"/>
      <c r="JF503" s="29"/>
      <c r="JG503" s="19"/>
      <c r="JH503" s="93"/>
      <c r="JI503" s="93"/>
      <c r="JJ503" s="93"/>
      <c r="JK503" s="93"/>
      <c r="JL503" s="93"/>
      <c r="JM503" s="93"/>
      <c r="JN503" s="20"/>
      <c r="JO503" s="29"/>
      <c r="JP503" s="19"/>
      <c r="JQ503" s="93"/>
      <c r="JR503" s="93"/>
      <c r="JS503" s="93"/>
      <c r="JT503" s="93"/>
      <c r="JU503" s="20"/>
      <c r="JV503" s="29"/>
      <c r="JW503" s="1504">
        <v>49766</v>
      </c>
      <c r="JX503" s="19"/>
      <c r="JY503" s="93"/>
      <c r="JZ503" s="93"/>
      <c r="KA503" s="93"/>
      <c r="KB503" s="93"/>
      <c r="KC503" s="93"/>
      <c r="KD503" s="20"/>
      <c r="KE503" s="29"/>
      <c r="KF503" s="19"/>
      <c r="KG503" s="93"/>
      <c r="KH503" s="93"/>
      <c r="KI503" s="93"/>
      <c r="KJ503" s="93"/>
      <c r="KK503" s="20"/>
      <c r="KL503" s="29"/>
      <c r="KM503" s="19"/>
      <c r="KN503" s="93"/>
      <c r="KO503" s="93"/>
      <c r="KP503" s="93"/>
      <c r="KQ503" s="93"/>
      <c r="KR503" s="20"/>
      <c r="KS503" s="29"/>
      <c r="KT503" s="19"/>
      <c r="KU503" s="93"/>
      <c r="KV503" s="93"/>
      <c r="KW503" s="93"/>
      <c r="KX503" s="93"/>
      <c r="KY503" s="20"/>
      <c r="KZ503" s="29"/>
      <c r="LA503" s="1504">
        <v>49766</v>
      </c>
      <c r="LB503" s="19"/>
      <c r="LC503" s="93"/>
      <c r="LD503" s="93"/>
      <c r="LE503" s="93"/>
      <c r="LF503" s="93"/>
      <c r="LG503" s="93"/>
      <c r="LH503" s="20"/>
      <c r="LI503" s="29"/>
      <c r="LJ503" s="19"/>
      <c r="LK503" s="93"/>
      <c r="LL503" s="93"/>
      <c r="LM503" s="93"/>
      <c r="LN503" s="93"/>
      <c r="LO503" s="20"/>
      <c r="LP503" s="29"/>
      <c r="LQ503" s="19"/>
      <c r="LR503" s="93"/>
      <c r="LS503" s="93"/>
      <c r="LT503" s="93"/>
      <c r="LU503" s="93"/>
      <c r="LV503" s="93"/>
      <c r="LW503" s="93"/>
      <c r="LX503" s="93"/>
      <c r="LY503" s="93"/>
      <c r="LZ503" s="93"/>
      <c r="MA503" s="20"/>
      <c r="MB503" s="29"/>
      <c r="MC503" s="1504">
        <v>49766</v>
      </c>
      <c r="MD503" s="19"/>
      <c r="ME503" s="93"/>
      <c r="MF503" s="93"/>
      <c r="MG503" s="93"/>
      <c r="MH503" s="93"/>
      <c r="MI503" s="93"/>
      <c r="MJ503" s="93"/>
      <c r="MK503" s="93"/>
      <c r="ML503" s="93"/>
      <c r="MM503" s="93"/>
      <c r="MN503" s="93"/>
      <c r="MO503" s="93"/>
      <c r="MP503" s="93"/>
      <c r="MQ503" s="93"/>
      <c r="MR503" s="93"/>
      <c r="MS503" s="93"/>
      <c r="MT503" s="93"/>
      <c r="MU503" s="93"/>
      <c r="MV503" s="93"/>
      <c r="MW503" s="93"/>
      <c r="MX503" s="93"/>
      <c r="MY503" s="93"/>
      <c r="MZ503" s="93"/>
      <c r="NA503" s="93"/>
      <c r="NB503" s="93"/>
      <c r="NC503" s="93"/>
      <c r="ND503" s="93"/>
      <c r="NE503" s="93"/>
      <c r="NF503" s="93"/>
      <c r="NG503" s="93"/>
      <c r="NH503" s="93"/>
      <c r="NI503" s="93"/>
      <c r="NJ503" s="93"/>
      <c r="NK503" s="93"/>
      <c r="NL503" s="93"/>
      <c r="NM503" s="93"/>
      <c r="NN503" s="93"/>
      <c r="NO503" s="93"/>
      <c r="NP503" s="93"/>
      <c r="NQ503" s="93"/>
      <c r="NR503" s="93"/>
      <c r="NS503" s="93"/>
      <c r="NT503" s="93"/>
      <c r="NU503" s="93"/>
      <c r="NV503" s="93"/>
      <c r="NW503" s="93"/>
      <c r="NX503" s="93"/>
      <c r="NY503" s="93"/>
      <c r="NZ503" s="93"/>
      <c r="OA503" s="93"/>
      <c r="OB503" s="93"/>
      <c r="OC503" s="93"/>
      <c r="OD503" s="20"/>
      <c r="OE503" s="29"/>
      <c r="OF503" s="1504">
        <v>49766</v>
      </c>
      <c r="OG503" s="19"/>
      <c r="OH503" s="93"/>
      <c r="OI503" s="93"/>
      <c r="OJ503" s="93"/>
      <c r="OK503" s="93"/>
      <c r="OL503" s="93"/>
      <c r="OM503" s="93"/>
      <c r="ON503" s="93"/>
      <c r="OO503" s="93"/>
      <c r="OP503" s="93"/>
      <c r="OQ503" s="93"/>
      <c r="OR503" s="93"/>
      <c r="OS503" s="93"/>
      <c r="OT503" s="93"/>
      <c r="OU503" s="93"/>
      <c r="OV503" s="93"/>
      <c r="OW503" s="93"/>
      <c r="OX503" s="93"/>
      <c r="OY503" s="93"/>
      <c r="OZ503" s="93"/>
      <c r="PA503" s="93"/>
      <c r="PB503" s="93"/>
      <c r="PC503" s="20"/>
      <c r="PD503" s="29"/>
      <c r="PE503" s="19"/>
      <c r="PF503" s="93"/>
      <c r="PG503" s="93"/>
      <c r="PH503" s="93"/>
      <c r="PI503" s="93"/>
      <c r="PJ503" s="93"/>
      <c r="PK503" s="93"/>
      <c r="PL503" s="93"/>
      <c r="PM503" s="93"/>
      <c r="PN503" s="93"/>
      <c r="PO503" s="93"/>
      <c r="PP503" s="93"/>
      <c r="PQ503" s="93"/>
      <c r="PR503" s="93"/>
      <c r="PS503" s="93"/>
      <c r="PT503" s="93"/>
      <c r="PU503" s="93"/>
      <c r="PV503" s="93"/>
      <c r="PW503" s="93"/>
      <c r="PX503" s="93"/>
      <c r="PY503" s="93"/>
      <c r="PZ503" s="93"/>
      <c r="QA503" s="93"/>
      <c r="QB503" s="93"/>
      <c r="QC503" s="93"/>
      <c r="QD503" s="93"/>
      <c r="QE503" s="20"/>
      <c r="QF503" s="1739"/>
      <c r="QG503" s="19"/>
      <c r="QH503" s="93"/>
      <c r="QI503" s="93"/>
      <c r="QJ503" s="93"/>
      <c r="QK503" s="93"/>
      <c r="QL503" s="93"/>
      <c r="QM503" s="93"/>
      <c r="QN503" s="93"/>
      <c r="QO503" s="93"/>
      <c r="QP503" s="93"/>
      <c r="QQ503" s="93"/>
      <c r="QR503" s="93"/>
      <c r="QS503" s="93"/>
      <c r="QT503" s="93"/>
      <c r="QU503" s="93"/>
      <c r="QV503" s="93"/>
      <c r="QW503" s="93"/>
      <c r="QX503" s="93"/>
      <c r="QY503" s="93"/>
      <c r="QZ503" s="93"/>
      <c r="RA503" s="93"/>
      <c r="RB503" s="93"/>
      <c r="RC503" s="93"/>
      <c r="RD503" s="93"/>
      <c r="RE503" s="93"/>
      <c r="RF503" s="93"/>
      <c r="RG503" s="93"/>
      <c r="RH503" s="93"/>
      <c r="RI503" s="93"/>
      <c r="RJ503" s="93"/>
      <c r="RK503" s="93"/>
      <c r="RL503" s="93"/>
      <c r="RM503" s="20"/>
      <c r="RN503" s="29"/>
      <c r="RO503" s="19"/>
      <c r="RP503" s="20"/>
      <c r="RQ503" s="29"/>
      <c r="RR503" s="20"/>
      <c r="RS503" s="29"/>
      <c r="RT503" s="1504">
        <v>49766</v>
      </c>
      <c r="RU503" s="19"/>
      <c r="RV503" s="20"/>
      <c r="RW503" s="29"/>
      <c r="RX503" s="1504">
        <v>49766</v>
      </c>
      <c r="RY503" s="29"/>
      <c r="RZ503" s="20"/>
      <c r="SA503" s="29"/>
      <c r="SB503" s="29"/>
    </row>
    <row r="504" spans="1:496">
      <c r="A504" s="41">
        <f t="shared" si="360"/>
        <v>2036</v>
      </c>
      <c r="B504" s="1504">
        <v>49796</v>
      </c>
      <c r="C504" s="1813"/>
      <c r="D504" s="1814"/>
      <c r="E504" s="1814"/>
      <c r="F504" s="1815"/>
      <c r="G504" s="1814"/>
      <c r="H504" s="1814"/>
      <c r="I504" s="1814"/>
      <c r="J504" s="1816"/>
      <c r="K504" s="1807"/>
      <c r="L504" s="25"/>
      <c r="M504" s="97"/>
      <c r="N504" s="1504">
        <v>49796</v>
      </c>
      <c r="O504" s="19"/>
      <c r="P504" s="93"/>
      <c r="Q504" s="93"/>
      <c r="R504" s="93"/>
      <c r="S504" s="93"/>
      <c r="T504" s="93"/>
      <c r="U504" s="93"/>
      <c r="V504" s="93"/>
      <c r="W504" s="93"/>
      <c r="X504" s="93"/>
      <c r="Y504" s="93"/>
      <c r="Z504" s="93"/>
      <c r="AA504" s="93"/>
      <c r="AB504" s="20"/>
      <c r="AC504" s="25"/>
      <c r="AD504" s="97"/>
      <c r="AE504" s="1504">
        <v>49796</v>
      </c>
      <c r="AF504" s="19"/>
      <c r="AG504" s="93"/>
      <c r="AH504" s="93"/>
      <c r="AI504" s="93"/>
      <c r="AJ504" s="93"/>
      <c r="AK504" s="93"/>
      <c r="AL504" s="93"/>
      <c r="AM504" s="93"/>
      <c r="AN504" s="93"/>
      <c r="AO504" s="93"/>
      <c r="AP504" s="93"/>
      <c r="AQ504" s="93"/>
      <c r="AR504" s="93"/>
      <c r="AS504" s="20"/>
      <c r="AT504" s="25"/>
      <c r="AU504" s="97"/>
      <c r="AV504" s="1504">
        <v>49796</v>
      </c>
      <c r="AW504" s="19"/>
      <c r="AX504" s="93"/>
      <c r="AY504" s="93"/>
      <c r="AZ504" s="93"/>
      <c r="BA504" s="93"/>
      <c r="BB504" s="93"/>
      <c r="BC504" s="93"/>
      <c r="BD504" s="93"/>
      <c r="BE504" s="93"/>
      <c r="BF504" s="93"/>
      <c r="BG504" s="93"/>
      <c r="BH504" s="93"/>
      <c r="BI504" s="93"/>
      <c r="BJ504" s="20"/>
      <c r="BK504" s="25"/>
      <c r="BL504" s="97"/>
      <c r="BM504" s="1504">
        <v>49796</v>
      </c>
      <c r="BN504" s="19"/>
      <c r="BO504" s="93"/>
      <c r="BP504" s="93"/>
      <c r="BQ504" s="93"/>
      <c r="BR504" s="93"/>
      <c r="BS504" s="93"/>
      <c r="BT504" s="93"/>
      <c r="BU504" s="20"/>
      <c r="BV504" s="25"/>
      <c r="BW504" s="97"/>
      <c r="BX504" s="1504">
        <v>49796</v>
      </c>
      <c r="BY504" s="19"/>
      <c r="BZ504" s="93"/>
      <c r="CA504" s="93"/>
      <c r="CB504" s="93"/>
      <c r="CC504" s="93"/>
      <c r="CD504" s="25"/>
      <c r="CE504" s="97"/>
      <c r="CF504" s="1504">
        <v>49796</v>
      </c>
      <c r="CG504" s="19"/>
      <c r="CH504" s="93"/>
      <c r="CI504" s="219"/>
      <c r="CJ504" s="20"/>
      <c r="CK504" s="19"/>
      <c r="CL504" s="93"/>
      <c r="CM504" s="93"/>
      <c r="CN504" s="93"/>
      <c r="CO504" s="93"/>
      <c r="CP504" s="20"/>
      <c r="CQ504" s="219"/>
      <c r="CR504" s="93"/>
      <c r="CS504" s="93"/>
      <c r="CT504" s="93"/>
      <c r="CU504" s="93"/>
      <c r="CV504" s="214"/>
      <c r="CW504" s="29"/>
      <c r="CX504" s="41">
        <f t="shared" si="359"/>
        <v>2036</v>
      </c>
      <c r="CY504" s="1504">
        <v>49796</v>
      </c>
      <c r="CZ504" s="19"/>
      <c r="DA504" s="93"/>
      <c r="DB504" s="93"/>
      <c r="DC504" s="93"/>
      <c r="DD504" s="93"/>
      <c r="DE504" s="20"/>
      <c r="DF504" s="29"/>
      <c r="DG504" s="1504">
        <v>49796</v>
      </c>
      <c r="DH504" s="19"/>
      <c r="DI504" s="93"/>
      <c r="DJ504" s="93"/>
      <c r="DK504" s="93"/>
      <c r="DL504" s="93"/>
      <c r="DM504" s="93"/>
      <c r="DN504" s="20"/>
      <c r="DO504" s="295"/>
      <c r="DP504" s="29"/>
      <c r="DQ504" s="1504">
        <v>49796</v>
      </c>
      <c r="DR504" s="19"/>
      <c r="DS504" s="93"/>
      <c r="DT504" s="93"/>
      <c r="DU504" s="93"/>
      <c r="DV504" s="93"/>
      <c r="DW504" s="93"/>
      <c r="DX504" s="20"/>
      <c r="DY504" s="29"/>
      <c r="DZ504" s="1504">
        <v>49796</v>
      </c>
      <c r="EA504" s="19"/>
      <c r="EB504" s="93"/>
      <c r="EC504" s="20"/>
      <c r="ED504" s="29"/>
      <c r="EE504" s="1504">
        <v>49796</v>
      </c>
      <c r="EF504" s="19"/>
      <c r="EG504" s="93"/>
      <c r="EH504" s="93"/>
      <c r="EI504" s="214"/>
      <c r="EJ504" s="93"/>
      <c r="EK504" s="93"/>
      <c r="EL504" s="93"/>
      <c r="EM504" s="93"/>
      <c r="EN504" s="20"/>
      <c r="EO504" s="29"/>
      <c r="EP504" s="1504">
        <v>49796</v>
      </c>
      <c r="EQ504" s="19"/>
      <c r="ER504" s="93"/>
      <c r="ES504" s="93"/>
      <c r="ET504" s="214"/>
      <c r="EU504" s="93"/>
      <c r="EV504" s="93"/>
      <c r="EW504" s="93"/>
      <c r="EX504" s="93"/>
      <c r="EY504" s="20"/>
      <c r="EZ504" s="29"/>
      <c r="FA504" s="1504">
        <v>49796</v>
      </c>
      <c r="FB504" s="29"/>
      <c r="FC504" s="29"/>
      <c r="FD504" s="29"/>
      <c r="FE504" s="29"/>
      <c r="FF504" s="29"/>
      <c r="FG504" s="29"/>
      <c r="FH504" s="29"/>
      <c r="FI504" s="29"/>
      <c r="FJ504" s="29"/>
      <c r="FK504" s="29"/>
      <c r="FL504" s="1504">
        <v>49796</v>
      </c>
      <c r="FM504" s="19"/>
      <c r="FN504" s="93"/>
      <c r="FO504" s="93"/>
      <c r="FP504" s="93"/>
      <c r="FQ504" s="93"/>
      <c r="FR504" s="93"/>
      <c r="FS504" s="93"/>
      <c r="FT504" s="93"/>
      <c r="FU504" s="93"/>
      <c r="FV504" s="93"/>
      <c r="FW504" s="93"/>
      <c r="FX504" s="93"/>
      <c r="FY504" s="93"/>
      <c r="FZ504" s="29"/>
      <c r="GA504" s="1504">
        <v>49796</v>
      </c>
      <c r="GB504" s="19"/>
      <c r="GC504" s="93"/>
      <c r="GD504" s="93"/>
      <c r="GE504" s="93"/>
      <c r="GF504" s="93"/>
      <c r="GG504" s="93"/>
      <c r="GH504" s="93"/>
      <c r="GI504" s="93"/>
      <c r="GJ504" s="93"/>
      <c r="GK504" s="93"/>
      <c r="GL504" s="93"/>
      <c r="GM504" s="93"/>
      <c r="GN504" s="20"/>
      <c r="GO504" s="29"/>
      <c r="GP504" s="1504">
        <v>49796</v>
      </c>
      <c r="GQ504" s="19"/>
      <c r="GR504" s="93"/>
      <c r="GS504" s="93"/>
      <c r="GT504" s="93"/>
      <c r="GU504" s="93"/>
      <c r="GV504" s="20"/>
      <c r="GW504" s="19"/>
      <c r="GX504" s="93"/>
      <c r="GY504" s="93"/>
      <c r="GZ504" s="93"/>
      <c r="HA504" s="93"/>
      <c r="HB504" s="20"/>
      <c r="HC504" s="19"/>
      <c r="HD504" s="93"/>
      <c r="HE504" s="93"/>
      <c r="HF504" s="93"/>
      <c r="HG504" s="93"/>
      <c r="HH504" s="20"/>
      <c r="HI504" s="19"/>
      <c r="HJ504" s="93"/>
      <c r="HK504" s="93"/>
      <c r="HL504" s="93"/>
      <c r="HM504" s="93"/>
      <c r="HN504" s="20"/>
      <c r="HO504" s="219"/>
      <c r="HP504" s="20"/>
      <c r="HQ504" s="25"/>
      <c r="HR504" s="29"/>
      <c r="HS504" s="1504">
        <v>49796</v>
      </c>
      <c r="HT504" s="19"/>
      <c r="HU504" s="93"/>
      <c r="HV504" s="93"/>
      <c r="HW504" s="93"/>
      <c r="HX504" s="93"/>
      <c r="HY504" s="93"/>
      <c r="HZ504" s="93"/>
      <c r="IA504" s="20"/>
      <c r="IB504" s="19"/>
      <c r="IC504" s="93"/>
      <c r="ID504" s="93"/>
      <c r="IE504" s="93"/>
      <c r="IF504" s="93"/>
      <c r="IG504" s="20"/>
      <c r="IH504" s="19"/>
      <c r="II504" s="93"/>
      <c r="IJ504" s="93"/>
      <c r="IK504" s="93"/>
      <c r="IL504" s="93"/>
      <c r="IM504" s="93"/>
      <c r="IN504" s="93"/>
      <c r="IO504" s="20"/>
      <c r="IP504" s="29"/>
      <c r="IQ504" s="19"/>
      <c r="IR504" s="93"/>
      <c r="IS504" s="93"/>
      <c r="IT504" s="93"/>
      <c r="IU504" s="93"/>
      <c r="IV504" s="20"/>
      <c r="IW504" s="29"/>
      <c r="IX504" s="19"/>
      <c r="IY504" s="93"/>
      <c r="IZ504" s="93"/>
      <c r="JA504" s="93"/>
      <c r="JB504" s="93"/>
      <c r="JC504" s="93"/>
      <c r="JD504" s="93"/>
      <c r="JE504" s="20"/>
      <c r="JF504" s="29"/>
      <c r="JG504" s="19"/>
      <c r="JH504" s="93"/>
      <c r="JI504" s="93"/>
      <c r="JJ504" s="93"/>
      <c r="JK504" s="93"/>
      <c r="JL504" s="93"/>
      <c r="JM504" s="93"/>
      <c r="JN504" s="20"/>
      <c r="JO504" s="29"/>
      <c r="JP504" s="19"/>
      <c r="JQ504" s="93"/>
      <c r="JR504" s="93"/>
      <c r="JS504" s="93"/>
      <c r="JT504" s="93"/>
      <c r="JU504" s="20"/>
      <c r="JV504" s="29"/>
      <c r="JW504" s="1504">
        <v>49796</v>
      </c>
      <c r="JX504" s="19"/>
      <c r="JY504" s="93"/>
      <c r="JZ504" s="93"/>
      <c r="KA504" s="93"/>
      <c r="KB504" s="93"/>
      <c r="KC504" s="93"/>
      <c r="KD504" s="20"/>
      <c r="KE504" s="29"/>
      <c r="KF504" s="19"/>
      <c r="KG504" s="93"/>
      <c r="KH504" s="93"/>
      <c r="KI504" s="93"/>
      <c r="KJ504" s="93"/>
      <c r="KK504" s="20"/>
      <c r="KL504" s="29"/>
      <c r="KM504" s="19"/>
      <c r="KN504" s="93"/>
      <c r="KO504" s="93"/>
      <c r="KP504" s="93"/>
      <c r="KQ504" s="93"/>
      <c r="KR504" s="20"/>
      <c r="KS504" s="29"/>
      <c r="KT504" s="19"/>
      <c r="KU504" s="93"/>
      <c r="KV504" s="93"/>
      <c r="KW504" s="93"/>
      <c r="KX504" s="93"/>
      <c r="KY504" s="20"/>
      <c r="KZ504" s="29"/>
      <c r="LA504" s="1504">
        <v>49796</v>
      </c>
      <c r="LB504" s="19"/>
      <c r="LC504" s="93"/>
      <c r="LD504" s="93"/>
      <c r="LE504" s="93"/>
      <c r="LF504" s="93"/>
      <c r="LG504" s="93"/>
      <c r="LH504" s="20"/>
      <c r="LI504" s="29"/>
      <c r="LJ504" s="19"/>
      <c r="LK504" s="93"/>
      <c r="LL504" s="93"/>
      <c r="LM504" s="93"/>
      <c r="LN504" s="93"/>
      <c r="LO504" s="20"/>
      <c r="LP504" s="29"/>
      <c r="LQ504" s="19"/>
      <c r="LR504" s="93"/>
      <c r="LS504" s="93"/>
      <c r="LT504" s="93"/>
      <c r="LU504" s="93"/>
      <c r="LV504" s="93"/>
      <c r="LW504" s="93"/>
      <c r="LX504" s="93"/>
      <c r="LY504" s="93"/>
      <c r="LZ504" s="93"/>
      <c r="MA504" s="20"/>
      <c r="MB504" s="29"/>
      <c r="MC504" s="1504">
        <v>49796</v>
      </c>
      <c r="MD504" s="19"/>
      <c r="ME504" s="93"/>
      <c r="MF504" s="93"/>
      <c r="MG504" s="93"/>
      <c r="MH504" s="93"/>
      <c r="MI504" s="93"/>
      <c r="MJ504" s="93"/>
      <c r="MK504" s="93"/>
      <c r="ML504" s="93"/>
      <c r="MM504" s="93"/>
      <c r="MN504" s="93"/>
      <c r="MO504" s="93"/>
      <c r="MP504" s="93"/>
      <c r="MQ504" s="93"/>
      <c r="MR504" s="93"/>
      <c r="MS504" s="93"/>
      <c r="MT504" s="93"/>
      <c r="MU504" s="93"/>
      <c r="MV504" s="93"/>
      <c r="MW504" s="93"/>
      <c r="MX504" s="93"/>
      <c r="MY504" s="93"/>
      <c r="MZ504" s="93"/>
      <c r="NA504" s="93"/>
      <c r="NB504" s="93"/>
      <c r="NC504" s="93"/>
      <c r="ND504" s="93"/>
      <c r="NE504" s="93"/>
      <c r="NF504" s="93"/>
      <c r="NG504" s="93"/>
      <c r="NH504" s="93"/>
      <c r="NI504" s="93"/>
      <c r="NJ504" s="93"/>
      <c r="NK504" s="93"/>
      <c r="NL504" s="93"/>
      <c r="NM504" s="93"/>
      <c r="NN504" s="93"/>
      <c r="NO504" s="93"/>
      <c r="NP504" s="93"/>
      <c r="NQ504" s="93"/>
      <c r="NR504" s="93"/>
      <c r="NS504" s="93"/>
      <c r="NT504" s="93"/>
      <c r="NU504" s="93"/>
      <c r="NV504" s="93"/>
      <c r="NW504" s="93"/>
      <c r="NX504" s="93"/>
      <c r="NY504" s="93"/>
      <c r="NZ504" s="93"/>
      <c r="OA504" s="93"/>
      <c r="OB504" s="93"/>
      <c r="OC504" s="93"/>
      <c r="OD504" s="20"/>
      <c r="OE504" s="29"/>
      <c r="OF504" s="1504">
        <v>49796</v>
      </c>
      <c r="OG504" s="19"/>
      <c r="OH504" s="93"/>
      <c r="OI504" s="93"/>
      <c r="OJ504" s="93"/>
      <c r="OK504" s="93"/>
      <c r="OL504" s="93"/>
      <c r="OM504" s="93"/>
      <c r="ON504" s="93"/>
      <c r="OO504" s="93"/>
      <c r="OP504" s="93"/>
      <c r="OQ504" s="93"/>
      <c r="OR504" s="93"/>
      <c r="OS504" s="93"/>
      <c r="OT504" s="93"/>
      <c r="OU504" s="93"/>
      <c r="OV504" s="93"/>
      <c r="OW504" s="93"/>
      <c r="OX504" s="93"/>
      <c r="OY504" s="93"/>
      <c r="OZ504" s="93"/>
      <c r="PA504" s="93"/>
      <c r="PB504" s="93"/>
      <c r="PC504" s="20"/>
      <c r="PD504" s="29"/>
      <c r="PE504" s="19"/>
      <c r="PF504" s="93"/>
      <c r="PG504" s="93"/>
      <c r="PH504" s="93"/>
      <c r="PI504" s="93"/>
      <c r="PJ504" s="93"/>
      <c r="PK504" s="93"/>
      <c r="PL504" s="93"/>
      <c r="PM504" s="93"/>
      <c r="PN504" s="93"/>
      <c r="PO504" s="93"/>
      <c r="PP504" s="93"/>
      <c r="PQ504" s="93"/>
      <c r="PR504" s="93"/>
      <c r="PS504" s="93"/>
      <c r="PT504" s="93"/>
      <c r="PU504" s="93"/>
      <c r="PV504" s="93"/>
      <c r="PW504" s="93"/>
      <c r="PX504" s="93"/>
      <c r="PY504" s="93"/>
      <c r="PZ504" s="93"/>
      <c r="QA504" s="93"/>
      <c r="QB504" s="93"/>
      <c r="QC504" s="93"/>
      <c r="QD504" s="93"/>
      <c r="QE504" s="20"/>
      <c r="QF504" s="1739"/>
      <c r="QG504" s="19"/>
      <c r="QH504" s="93"/>
      <c r="QI504" s="93"/>
      <c r="QJ504" s="93"/>
      <c r="QK504" s="93"/>
      <c r="QL504" s="93"/>
      <c r="QM504" s="93"/>
      <c r="QN504" s="93"/>
      <c r="QO504" s="93"/>
      <c r="QP504" s="93"/>
      <c r="QQ504" s="93"/>
      <c r="QR504" s="93"/>
      <c r="QS504" s="93"/>
      <c r="QT504" s="93"/>
      <c r="QU504" s="93"/>
      <c r="QV504" s="93"/>
      <c r="QW504" s="93"/>
      <c r="QX504" s="93"/>
      <c r="QY504" s="93"/>
      <c r="QZ504" s="93"/>
      <c r="RA504" s="93"/>
      <c r="RB504" s="93"/>
      <c r="RC504" s="93"/>
      <c r="RD504" s="93"/>
      <c r="RE504" s="93"/>
      <c r="RF504" s="93"/>
      <c r="RG504" s="93"/>
      <c r="RH504" s="93"/>
      <c r="RI504" s="93"/>
      <c r="RJ504" s="93"/>
      <c r="RK504" s="93"/>
      <c r="RL504" s="93"/>
      <c r="RM504" s="20"/>
      <c r="RN504" s="29"/>
      <c r="RO504" s="19"/>
      <c r="RP504" s="20"/>
      <c r="RQ504" s="29"/>
      <c r="RR504" s="20"/>
      <c r="RS504" s="29"/>
      <c r="RT504" s="1504">
        <v>49796</v>
      </c>
      <c r="RU504" s="19"/>
      <c r="RV504" s="20"/>
      <c r="RW504" s="29"/>
      <c r="RX504" s="1504">
        <v>49796</v>
      </c>
      <c r="RY504" s="29"/>
      <c r="RZ504" s="20"/>
      <c r="SA504" s="29"/>
      <c r="SB504" s="29"/>
    </row>
    <row r="505" spans="1:496">
      <c r="A505" s="41">
        <f t="shared" si="360"/>
        <v>2036</v>
      </c>
      <c r="B505" s="1504">
        <v>49827</v>
      </c>
      <c r="C505" s="1813"/>
      <c r="D505" s="1814"/>
      <c r="E505" s="1814"/>
      <c r="F505" s="1815"/>
      <c r="G505" s="1814"/>
      <c r="H505" s="1814"/>
      <c r="I505" s="1814"/>
      <c r="J505" s="1816"/>
      <c r="K505" s="1807"/>
      <c r="L505" s="25"/>
      <c r="M505" s="97"/>
      <c r="N505" s="1504">
        <v>49827</v>
      </c>
      <c r="O505" s="19"/>
      <c r="P505" s="93"/>
      <c r="Q505" s="93"/>
      <c r="R505" s="93"/>
      <c r="S505" s="93"/>
      <c r="T505" s="93"/>
      <c r="U505" s="93"/>
      <c r="V505" s="93"/>
      <c r="W505" s="93"/>
      <c r="X505" s="93"/>
      <c r="Y505" s="93"/>
      <c r="Z505" s="93"/>
      <c r="AA505" s="93"/>
      <c r="AB505" s="20"/>
      <c r="AC505" s="25"/>
      <c r="AD505" s="97"/>
      <c r="AE505" s="1504">
        <v>49827</v>
      </c>
      <c r="AF505" s="19"/>
      <c r="AG505" s="93"/>
      <c r="AH505" s="93"/>
      <c r="AI505" s="93"/>
      <c r="AJ505" s="93"/>
      <c r="AK505" s="93"/>
      <c r="AL505" s="93"/>
      <c r="AM505" s="93"/>
      <c r="AN505" s="93"/>
      <c r="AO505" s="93"/>
      <c r="AP505" s="93"/>
      <c r="AQ505" s="93"/>
      <c r="AR505" s="93"/>
      <c r="AS505" s="20"/>
      <c r="AT505" s="25"/>
      <c r="AU505" s="97"/>
      <c r="AV505" s="1504">
        <v>49827</v>
      </c>
      <c r="AW505" s="19"/>
      <c r="AX505" s="93"/>
      <c r="AY505" s="93"/>
      <c r="AZ505" s="93"/>
      <c r="BA505" s="93"/>
      <c r="BB505" s="93"/>
      <c r="BC505" s="93"/>
      <c r="BD505" s="93"/>
      <c r="BE505" s="93"/>
      <c r="BF505" s="93"/>
      <c r="BG505" s="93"/>
      <c r="BH505" s="93"/>
      <c r="BI505" s="93"/>
      <c r="BJ505" s="20"/>
      <c r="BK505" s="25"/>
      <c r="BL505" s="97"/>
      <c r="BM505" s="1504">
        <v>49827</v>
      </c>
      <c r="BN505" s="19"/>
      <c r="BO505" s="93"/>
      <c r="BP505" s="93"/>
      <c r="BQ505" s="93"/>
      <c r="BR505" s="93"/>
      <c r="BS505" s="93"/>
      <c r="BT505" s="93"/>
      <c r="BU505" s="20"/>
      <c r="BV505" s="25"/>
      <c r="BW505" s="97"/>
      <c r="BX505" s="1504">
        <v>49827</v>
      </c>
      <c r="BY505" s="19"/>
      <c r="BZ505" s="93"/>
      <c r="CA505" s="93"/>
      <c r="CB505" s="93"/>
      <c r="CC505" s="93"/>
      <c r="CD505" s="25"/>
      <c r="CE505" s="97"/>
      <c r="CF505" s="1504">
        <v>49827</v>
      </c>
      <c r="CG505" s="19"/>
      <c r="CH505" s="93"/>
      <c r="CI505" s="219"/>
      <c r="CJ505" s="20"/>
      <c r="CK505" s="19"/>
      <c r="CL505" s="93"/>
      <c r="CM505" s="93"/>
      <c r="CN505" s="93"/>
      <c r="CO505" s="93"/>
      <c r="CP505" s="20"/>
      <c r="CQ505" s="219"/>
      <c r="CR505" s="93"/>
      <c r="CS505" s="93"/>
      <c r="CT505" s="93"/>
      <c r="CU505" s="93"/>
      <c r="CV505" s="214"/>
      <c r="CW505" s="29"/>
      <c r="CX505" s="41">
        <f t="shared" si="359"/>
        <v>2036</v>
      </c>
      <c r="CY505" s="1504">
        <v>49827</v>
      </c>
      <c r="CZ505" s="19"/>
      <c r="DA505" s="93"/>
      <c r="DB505" s="93"/>
      <c r="DC505" s="93"/>
      <c r="DD505" s="93"/>
      <c r="DE505" s="20"/>
      <c r="DF505" s="29"/>
      <c r="DG505" s="1504">
        <v>49827</v>
      </c>
      <c r="DH505" s="19"/>
      <c r="DI505" s="93"/>
      <c r="DJ505" s="93"/>
      <c r="DK505" s="93"/>
      <c r="DL505" s="93"/>
      <c r="DM505" s="93"/>
      <c r="DN505" s="20"/>
      <c r="DO505" s="295"/>
      <c r="DP505" s="29"/>
      <c r="DQ505" s="1504">
        <v>49827</v>
      </c>
      <c r="DR505" s="19"/>
      <c r="DS505" s="93"/>
      <c r="DT505" s="93"/>
      <c r="DU505" s="93"/>
      <c r="DV505" s="93"/>
      <c r="DW505" s="93"/>
      <c r="DX505" s="20"/>
      <c r="DY505" s="29"/>
      <c r="DZ505" s="1504">
        <v>49827</v>
      </c>
      <c r="EA505" s="19"/>
      <c r="EB505" s="93"/>
      <c r="EC505" s="20"/>
      <c r="ED505" s="29"/>
      <c r="EE505" s="1504">
        <v>49827</v>
      </c>
      <c r="EF505" s="19"/>
      <c r="EG505" s="93"/>
      <c r="EH505" s="93"/>
      <c r="EI505" s="214"/>
      <c r="EJ505" s="93"/>
      <c r="EK505" s="93"/>
      <c r="EL505" s="93"/>
      <c r="EM505" s="93"/>
      <c r="EN505" s="20"/>
      <c r="EO505" s="29"/>
      <c r="EP505" s="1504">
        <v>49827</v>
      </c>
      <c r="EQ505" s="19"/>
      <c r="ER505" s="93"/>
      <c r="ES505" s="93"/>
      <c r="ET505" s="214"/>
      <c r="EU505" s="93"/>
      <c r="EV505" s="93"/>
      <c r="EW505" s="93"/>
      <c r="EX505" s="93"/>
      <c r="EY505" s="20"/>
      <c r="EZ505" s="29"/>
      <c r="FA505" s="1504">
        <v>49827</v>
      </c>
      <c r="FB505" s="29"/>
      <c r="FC505" s="29"/>
      <c r="FD505" s="29"/>
      <c r="FE505" s="29"/>
      <c r="FF505" s="29"/>
      <c r="FG505" s="29"/>
      <c r="FH505" s="29"/>
      <c r="FI505" s="29"/>
      <c r="FJ505" s="29"/>
      <c r="FK505" s="29"/>
      <c r="FL505" s="1504">
        <v>49827</v>
      </c>
      <c r="FM505" s="19"/>
      <c r="FN505" s="93"/>
      <c r="FO505" s="93"/>
      <c r="FP505" s="93"/>
      <c r="FQ505" s="93"/>
      <c r="FR505" s="93"/>
      <c r="FS505" s="93"/>
      <c r="FT505" s="93"/>
      <c r="FU505" s="93"/>
      <c r="FV505" s="93"/>
      <c r="FW505" s="93"/>
      <c r="FX505" s="93"/>
      <c r="FY505" s="93"/>
      <c r="FZ505" s="29"/>
      <c r="GA505" s="1504">
        <v>49827</v>
      </c>
      <c r="GB505" s="19"/>
      <c r="GC505" s="93"/>
      <c r="GD505" s="93"/>
      <c r="GE505" s="93"/>
      <c r="GF505" s="93"/>
      <c r="GG505" s="93"/>
      <c r="GH505" s="93"/>
      <c r="GI505" s="93"/>
      <c r="GJ505" s="93"/>
      <c r="GK505" s="93"/>
      <c r="GL505" s="93"/>
      <c r="GM505" s="93"/>
      <c r="GN505" s="20"/>
      <c r="GO505" s="29"/>
      <c r="GP505" s="1504">
        <v>49827</v>
      </c>
      <c r="GQ505" s="19"/>
      <c r="GR505" s="93"/>
      <c r="GS505" s="93"/>
      <c r="GT505" s="93"/>
      <c r="GU505" s="93"/>
      <c r="GV505" s="20"/>
      <c r="GW505" s="19"/>
      <c r="GX505" s="93"/>
      <c r="GY505" s="93"/>
      <c r="GZ505" s="93"/>
      <c r="HA505" s="93"/>
      <c r="HB505" s="20"/>
      <c r="HC505" s="19"/>
      <c r="HD505" s="93"/>
      <c r="HE505" s="93"/>
      <c r="HF505" s="93"/>
      <c r="HG505" s="93"/>
      <c r="HH505" s="20"/>
      <c r="HI505" s="19"/>
      <c r="HJ505" s="93"/>
      <c r="HK505" s="93"/>
      <c r="HL505" s="93"/>
      <c r="HM505" s="93"/>
      <c r="HN505" s="20"/>
      <c r="HO505" s="219"/>
      <c r="HP505" s="20"/>
      <c r="HQ505" s="25"/>
      <c r="HR505" s="29"/>
      <c r="HS505" s="1504">
        <v>49827</v>
      </c>
      <c r="HT505" s="19"/>
      <c r="HU505" s="93"/>
      <c r="HV505" s="93"/>
      <c r="HW505" s="93"/>
      <c r="HX505" s="93"/>
      <c r="HY505" s="93"/>
      <c r="HZ505" s="93"/>
      <c r="IA505" s="20"/>
      <c r="IB505" s="19"/>
      <c r="IC505" s="93"/>
      <c r="ID505" s="93"/>
      <c r="IE505" s="93"/>
      <c r="IF505" s="93"/>
      <c r="IG505" s="20"/>
      <c r="IH505" s="19"/>
      <c r="II505" s="93"/>
      <c r="IJ505" s="93"/>
      <c r="IK505" s="93"/>
      <c r="IL505" s="93"/>
      <c r="IM505" s="93"/>
      <c r="IN505" s="93"/>
      <c r="IO505" s="20"/>
      <c r="IP505" s="29"/>
      <c r="IQ505" s="19"/>
      <c r="IR505" s="93"/>
      <c r="IS505" s="93"/>
      <c r="IT505" s="93"/>
      <c r="IU505" s="93"/>
      <c r="IV505" s="20"/>
      <c r="IW505" s="29"/>
      <c r="IX505" s="19"/>
      <c r="IY505" s="93"/>
      <c r="IZ505" s="93"/>
      <c r="JA505" s="93"/>
      <c r="JB505" s="93"/>
      <c r="JC505" s="93"/>
      <c r="JD505" s="93"/>
      <c r="JE505" s="20"/>
      <c r="JF505" s="29"/>
      <c r="JG505" s="19"/>
      <c r="JH505" s="93"/>
      <c r="JI505" s="93"/>
      <c r="JJ505" s="93"/>
      <c r="JK505" s="93"/>
      <c r="JL505" s="93"/>
      <c r="JM505" s="93"/>
      <c r="JN505" s="20"/>
      <c r="JO505" s="29"/>
      <c r="JP505" s="19"/>
      <c r="JQ505" s="93"/>
      <c r="JR505" s="93"/>
      <c r="JS505" s="93"/>
      <c r="JT505" s="93"/>
      <c r="JU505" s="20"/>
      <c r="JV505" s="29"/>
      <c r="JW505" s="1504">
        <v>49827</v>
      </c>
      <c r="JX505" s="19"/>
      <c r="JY505" s="93"/>
      <c r="JZ505" s="93"/>
      <c r="KA505" s="93"/>
      <c r="KB505" s="93"/>
      <c r="KC505" s="93"/>
      <c r="KD505" s="20"/>
      <c r="KE505" s="29"/>
      <c r="KF505" s="19"/>
      <c r="KG505" s="93"/>
      <c r="KH505" s="93"/>
      <c r="KI505" s="93"/>
      <c r="KJ505" s="93"/>
      <c r="KK505" s="20"/>
      <c r="KL505" s="29"/>
      <c r="KM505" s="19"/>
      <c r="KN505" s="93"/>
      <c r="KO505" s="93"/>
      <c r="KP505" s="93"/>
      <c r="KQ505" s="93"/>
      <c r="KR505" s="20"/>
      <c r="KS505" s="29"/>
      <c r="KT505" s="19"/>
      <c r="KU505" s="93"/>
      <c r="KV505" s="93"/>
      <c r="KW505" s="93"/>
      <c r="KX505" s="93"/>
      <c r="KY505" s="20"/>
      <c r="KZ505" s="29"/>
      <c r="LA505" s="1504">
        <v>49827</v>
      </c>
      <c r="LB505" s="19"/>
      <c r="LC505" s="93"/>
      <c r="LD505" s="93"/>
      <c r="LE505" s="93"/>
      <c r="LF505" s="93"/>
      <c r="LG505" s="93"/>
      <c r="LH505" s="20"/>
      <c r="LI505" s="29"/>
      <c r="LJ505" s="19"/>
      <c r="LK505" s="93"/>
      <c r="LL505" s="93"/>
      <c r="LM505" s="93"/>
      <c r="LN505" s="93"/>
      <c r="LO505" s="20"/>
      <c r="LP505" s="29"/>
      <c r="LQ505" s="19"/>
      <c r="LR505" s="93"/>
      <c r="LS505" s="93"/>
      <c r="LT505" s="93"/>
      <c r="LU505" s="93"/>
      <c r="LV505" s="93"/>
      <c r="LW505" s="93"/>
      <c r="LX505" s="93"/>
      <c r="LY505" s="93"/>
      <c r="LZ505" s="93"/>
      <c r="MA505" s="20"/>
      <c r="MB505" s="29"/>
      <c r="MC505" s="1504">
        <v>49827</v>
      </c>
      <c r="MD505" s="19"/>
      <c r="ME505" s="93"/>
      <c r="MF505" s="93"/>
      <c r="MG505" s="93"/>
      <c r="MH505" s="93"/>
      <c r="MI505" s="93"/>
      <c r="MJ505" s="93"/>
      <c r="MK505" s="93"/>
      <c r="ML505" s="93"/>
      <c r="MM505" s="93"/>
      <c r="MN505" s="93"/>
      <c r="MO505" s="93"/>
      <c r="MP505" s="93"/>
      <c r="MQ505" s="93"/>
      <c r="MR505" s="93"/>
      <c r="MS505" s="93"/>
      <c r="MT505" s="93"/>
      <c r="MU505" s="93"/>
      <c r="MV505" s="93"/>
      <c r="MW505" s="93"/>
      <c r="MX505" s="93"/>
      <c r="MY505" s="93"/>
      <c r="MZ505" s="93"/>
      <c r="NA505" s="93"/>
      <c r="NB505" s="93"/>
      <c r="NC505" s="93"/>
      <c r="ND505" s="93"/>
      <c r="NE505" s="93"/>
      <c r="NF505" s="93"/>
      <c r="NG505" s="93"/>
      <c r="NH505" s="93"/>
      <c r="NI505" s="93"/>
      <c r="NJ505" s="93"/>
      <c r="NK505" s="93"/>
      <c r="NL505" s="93"/>
      <c r="NM505" s="93"/>
      <c r="NN505" s="93"/>
      <c r="NO505" s="93"/>
      <c r="NP505" s="93"/>
      <c r="NQ505" s="93"/>
      <c r="NR505" s="93"/>
      <c r="NS505" s="93"/>
      <c r="NT505" s="93"/>
      <c r="NU505" s="93"/>
      <c r="NV505" s="93"/>
      <c r="NW505" s="93"/>
      <c r="NX505" s="93"/>
      <c r="NY505" s="93"/>
      <c r="NZ505" s="93"/>
      <c r="OA505" s="93"/>
      <c r="OB505" s="93"/>
      <c r="OC505" s="93"/>
      <c r="OD505" s="20"/>
      <c r="OE505" s="29"/>
      <c r="OF505" s="1504">
        <v>49827</v>
      </c>
      <c r="OG505" s="19"/>
      <c r="OH505" s="93"/>
      <c r="OI505" s="93"/>
      <c r="OJ505" s="93"/>
      <c r="OK505" s="93"/>
      <c r="OL505" s="93"/>
      <c r="OM505" s="93"/>
      <c r="ON505" s="93"/>
      <c r="OO505" s="93"/>
      <c r="OP505" s="93"/>
      <c r="OQ505" s="93"/>
      <c r="OR505" s="93"/>
      <c r="OS505" s="93"/>
      <c r="OT505" s="93"/>
      <c r="OU505" s="93"/>
      <c r="OV505" s="93"/>
      <c r="OW505" s="93"/>
      <c r="OX505" s="93"/>
      <c r="OY505" s="93"/>
      <c r="OZ505" s="93"/>
      <c r="PA505" s="93"/>
      <c r="PB505" s="93"/>
      <c r="PC505" s="20"/>
      <c r="PD505" s="29"/>
      <c r="PE505" s="19"/>
      <c r="PF505" s="93"/>
      <c r="PG505" s="93"/>
      <c r="PH505" s="93"/>
      <c r="PI505" s="93"/>
      <c r="PJ505" s="93"/>
      <c r="PK505" s="93"/>
      <c r="PL505" s="93"/>
      <c r="PM505" s="93"/>
      <c r="PN505" s="93"/>
      <c r="PO505" s="93"/>
      <c r="PP505" s="93"/>
      <c r="PQ505" s="93"/>
      <c r="PR505" s="93"/>
      <c r="PS505" s="93"/>
      <c r="PT505" s="93"/>
      <c r="PU505" s="93"/>
      <c r="PV505" s="93"/>
      <c r="PW505" s="93"/>
      <c r="PX505" s="93"/>
      <c r="PY505" s="93"/>
      <c r="PZ505" s="93"/>
      <c r="QA505" s="93"/>
      <c r="QB505" s="93"/>
      <c r="QC505" s="93"/>
      <c r="QD505" s="93"/>
      <c r="QE505" s="20"/>
      <c r="QF505" s="1739"/>
      <c r="QG505" s="19"/>
      <c r="QH505" s="93"/>
      <c r="QI505" s="93"/>
      <c r="QJ505" s="93"/>
      <c r="QK505" s="93"/>
      <c r="QL505" s="93"/>
      <c r="QM505" s="93"/>
      <c r="QN505" s="93"/>
      <c r="QO505" s="93"/>
      <c r="QP505" s="93"/>
      <c r="QQ505" s="93"/>
      <c r="QR505" s="93"/>
      <c r="QS505" s="93"/>
      <c r="QT505" s="93"/>
      <c r="QU505" s="93"/>
      <c r="QV505" s="93"/>
      <c r="QW505" s="93"/>
      <c r="QX505" s="93"/>
      <c r="QY505" s="93"/>
      <c r="QZ505" s="93"/>
      <c r="RA505" s="93"/>
      <c r="RB505" s="93"/>
      <c r="RC505" s="93"/>
      <c r="RD505" s="93"/>
      <c r="RE505" s="93"/>
      <c r="RF505" s="93"/>
      <c r="RG505" s="93"/>
      <c r="RH505" s="93"/>
      <c r="RI505" s="93"/>
      <c r="RJ505" s="93"/>
      <c r="RK505" s="93"/>
      <c r="RL505" s="93"/>
      <c r="RM505" s="20"/>
      <c r="RN505" s="29"/>
      <c r="RO505" s="19"/>
      <c r="RP505" s="20"/>
      <c r="RQ505" s="29"/>
      <c r="RR505" s="20"/>
      <c r="RS505" s="29"/>
      <c r="RT505" s="1504">
        <v>49827</v>
      </c>
      <c r="RU505" s="19"/>
      <c r="RV505" s="20"/>
      <c r="RW505" s="29"/>
      <c r="RX505" s="1504">
        <v>49827</v>
      </c>
      <c r="RY505" s="29"/>
      <c r="RZ505" s="20"/>
      <c r="SA505" s="29"/>
      <c r="SB505" s="29"/>
    </row>
    <row r="506" spans="1:496">
      <c r="A506" s="41">
        <f t="shared" si="360"/>
        <v>2036</v>
      </c>
      <c r="B506" s="1504">
        <v>49857</v>
      </c>
      <c r="C506" s="1813"/>
      <c r="D506" s="1814"/>
      <c r="E506" s="1814"/>
      <c r="F506" s="1815"/>
      <c r="G506" s="1814"/>
      <c r="H506" s="1814"/>
      <c r="I506" s="1814"/>
      <c r="J506" s="1816"/>
      <c r="K506" s="1807"/>
      <c r="L506" s="25"/>
      <c r="M506" s="97"/>
      <c r="N506" s="1504">
        <v>49857</v>
      </c>
      <c r="O506" s="19"/>
      <c r="P506" s="93"/>
      <c r="Q506" s="93"/>
      <c r="R506" s="93"/>
      <c r="S506" s="93"/>
      <c r="T506" s="93"/>
      <c r="U506" s="93"/>
      <c r="V506" s="93"/>
      <c r="W506" s="93"/>
      <c r="X506" s="93"/>
      <c r="Y506" s="93"/>
      <c r="Z506" s="93"/>
      <c r="AA506" s="93"/>
      <c r="AB506" s="20"/>
      <c r="AC506" s="25"/>
      <c r="AD506" s="97"/>
      <c r="AE506" s="1504">
        <v>49857</v>
      </c>
      <c r="AF506" s="19"/>
      <c r="AG506" s="93"/>
      <c r="AH506" s="93"/>
      <c r="AI506" s="93"/>
      <c r="AJ506" s="93"/>
      <c r="AK506" s="93"/>
      <c r="AL506" s="93"/>
      <c r="AM506" s="93"/>
      <c r="AN506" s="93"/>
      <c r="AO506" s="93"/>
      <c r="AP506" s="93"/>
      <c r="AQ506" s="93"/>
      <c r="AR506" s="93"/>
      <c r="AS506" s="20"/>
      <c r="AT506" s="25"/>
      <c r="AU506" s="97"/>
      <c r="AV506" s="1504">
        <v>49857</v>
      </c>
      <c r="AW506" s="19"/>
      <c r="AX506" s="93"/>
      <c r="AY506" s="93"/>
      <c r="AZ506" s="93"/>
      <c r="BA506" s="93"/>
      <c r="BB506" s="93"/>
      <c r="BC506" s="93"/>
      <c r="BD506" s="93"/>
      <c r="BE506" s="93"/>
      <c r="BF506" s="93"/>
      <c r="BG506" s="93"/>
      <c r="BH506" s="93"/>
      <c r="BI506" s="93"/>
      <c r="BJ506" s="20"/>
      <c r="BK506" s="25"/>
      <c r="BL506" s="97"/>
      <c r="BM506" s="1504">
        <v>49857</v>
      </c>
      <c r="BN506" s="19"/>
      <c r="BO506" s="93"/>
      <c r="BP506" s="93"/>
      <c r="BQ506" s="93"/>
      <c r="BR506" s="93"/>
      <c r="BS506" s="93"/>
      <c r="BT506" s="93"/>
      <c r="BU506" s="20"/>
      <c r="BV506" s="25"/>
      <c r="BW506" s="97"/>
      <c r="BX506" s="1504">
        <v>49857</v>
      </c>
      <c r="BY506" s="19"/>
      <c r="BZ506" s="93"/>
      <c r="CA506" s="93"/>
      <c r="CB506" s="93"/>
      <c r="CC506" s="93"/>
      <c r="CD506" s="25"/>
      <c r="CE506" s="97"/>
      <c r="CF506" s="1504">
        <v>49857</v>
      </c>
      <c r="CG506" s="19"/>
      <c r="CH506" s="93"/>
      <c r="CI506" s="219"/>
      <c r="CJ506" s="20"/>
      <c r="CK506" s="19"/>
      <c r="CL506" s="93"/>
      <c r="CM506" s="93"/>
      <c r="CN506" s="93"/>
      <c r="CO506" s="93"/>
      <c r="CP506" s="20"/>
      <c r="CQ506" s="219"/>
      <c r="CR506" s="93"/>
      <c r="CS506" s="93"/>
      <c r="CT506" s="93"/>
      <c r="CU506" s="93"/>
      <c r="CV506" s="214"/>
      <c r="CW506" s="29"/>
      <c r="CX506" s="41">
        <f t="shared" si="359"/>
        <v>2036</v>
      </c>
      <c r="CY506" s="1504">
        <v>49857</v>
      </c>
      <c r="CZ506" s="19"/>
      <c r="DA506" s="93"/>
      <c r="DB506" s="93"/>
      <c r="DC506" s="93"/>
      <c r="DD506" s="93"/>
      <c r="DE506" s="20"/>
      <c r="DF506" s="29"/>
      <c r="DG506" s="1504">
        <v>49857</v>
      </c>
      <c r="DH506" s="19"/>
      <c r="DI506" s="93"/>
      <c r="DJ506" s="93"/>
      <c r="DK506" s="93"/>
      <c r="DL506" s="93"/>
      <c r="DM506" s="93"/>
      <c r="DN506" s="20"/>
      <c r="DO506" s="295"/>
      <c r="DP506" s="29"/>
      <c r="DQ506" s="1504">
        <v>49857</v>
      </c>
      <c r="DR506" s="19"/>
      <c r="DS506" s="93"/>
      <c r="DT506" s="93"/>
      <c r="DU506" s="93"/>
      <c r="DV506" s="93"/>
      <c r="DW506" s="93"/>
      <c r="DX506" s="20"/>
      <c r="DY506" s="29"/>
      <c r="DZ506" s="1504">
        <v>49857</v>
      </c>
      <c r="EA506" s="19"/>
      <c r="EB506" s="93"/>
      <c r="EC506" s="20"/>
      <c r="ED506" s="29"/>
      <c r="EE506" s="1504">
        <v>49857</v>
      </c>
      <c r="EF506" s="19"/>
      <c r="EG506" s="93"/>
      <c r="EH506" s="93"/>
      <c r="EI506" s="214"/>
      <c r="EJ506" s="93"/>
      <c r="EK506" s="93"/>
      <c r="EL506" s="93"/>
      <c r="EM506" s="93"/>
      <c r="EN506" s="20"/>
      <c r="EO506" s="29"/>
      <c r="EP506" s="1504">
        <v>49857</v>
      </c>
      <c r="EQ506" s="19"/>
      <c r="ER506" s="93"/>
      <c r="ES506" s="93"/>
      <c r="ET506" s="214"/>
      <c r="EU506" s="93"/>
      <c r="EV506" s="93"/>
      <c r="EW506" s="93"/>
      <c r="EX506" s="93"/>
      <c r="EY506" s="20"/>
      <c r="EZ506" s="29"/>
      <c r="FA506" s="1504">
        <v>49857</v>
      </c>
      <c r="FB506" s="29"/>
      <c r="FC506" s="29"/>
      <c r="FD506" s="29"/>
      <c r="FE506" s="29"/>
      <c r="FF506" s="29"/>
      <c r="FG506" s="29"/>
      <c r="FH506" s="29"/>
      <c r="FI506" s="29"/>
      <c r="FJ506" s="29"/>
      <c r="FK506" s="29"/>
      <c r="FL506" s="1504">
        <v>49857</v>
      </c>
      <c r="FM506" s="19"/>
      <c r="FN506" s="93"/>
      <c r="FO506" s="93"/>
      <c r="FP506" s="93"/>
      <c r="FQ506" s="93"/>
      <c r="FR506" s="93"/>
      <c r="FS506" s="93"/>
      <c r="FT506" s="93"/>
      <c r="FU506" s="93"/>
      <c r="FV506" s="93"/>
      <c r="FW506" s="93"/>
      <c r="FX506" s="93"/>
      <c r="FY506" s="93"/>
      <c r="FZ506" s="29"/>
      <c r="GA506" s="1504">
        <v>49857</v>
      </c>
      <c r="GB506" s="19"/>
      <c r="GC506" s="93"/>
      <c r="GD506" s="93"/>
      <c r="GE506" s="93"/>
      <c r="GF506" s="93"/>
      <c r="GG506" s="93"/>
      <c r="GH506" s="93"/>
      <c r="GI506" s="93"/>
      <c r="GJ506" s="93"/>
      <c r="GK506" s="93"/>
      <c r="GL506" s="93"/>
      <c r="GM506" s="93"/>
      <c r="GN506" s="20"/>
      <c r="GO506" s="29"/>
      <c r="GP506" s="1504">
        <v>49857</v>
      </c>
      <c r="GQ506" s="19"/>
      <c r="GR506" s="93"/>
      <c r="GS506" s="93"/>
      <c r="GT506" s="93"/>
      <c r="GU506" s="93"/>
      <c r="GV506" s="20"/>
      <c r="GW506" s="19"/>
      <c r="GX506" s="93"/>
      <c r="GY506" s="93"/>
      <c r="GZ506" s="93"/>
      <c r="HA506" s="93"/>
      <c r="HB506" s="20"/>
      <c r="HC506" s="19"/>
      <c r="HD506" s="93"/>
      <c r="HE506" s="93"/>
      <c r="HF506" s="93"/>
      <c r="HG506" s="93"/>
      <c r="HH506" s="20"/>
      <c r="HI506" s="19"/>
      <c r="HJ506" s="93"/>
      <c r="HK506" s="93"/>
      <c r="HL506" s="93"/>
      <c r="HM506" s="93"/>
      <c r="HN506" s="20"/>
      <c r="HO506" s="219"/>
      <c r="HP506" s="20"/>
      <c r="HQ506" s="25"/>
      <c r="HR506" s="29"/>
      <c r="HS506" s="1504">
        <v>49857</v>
      </c>
      <c r="HT506" s="19"/>
      <c r="HU506" s="93"/>
      <c r="HV506" s="93"/>
      <c r="HW506" s="93"/>
      <c r="HX506" s="93"/>
      <c r="HY506" s="93"/>
      <c r="HZ506" s="93"/>
      <c r="IA506" s="20"/>
      <c r="IB506" s="19"/>
      <c r="IC506" s="93"/>
      <c r="ID506" s="93"/>
      <c r="IE506" s="93"/>
      <c r="IF506" s="93"/>
      <c r="IG506" s="20"/>
      <c r="IH506" s="19"/>
      <c r="II506" s="93"/>
      <c r="IJ506" s="93"/>
      <c r="IK506" s="93"/>
      <c r="IL506" s="93"/>
      <c r="IM506" s="93"/>
      <c r="IN506" s="93"/>
      <c r="IO506" s="20"/>
      <c r="IP506" s="29"/>
      <c r="IQ506" s="19"/>
      <c r="IR506" s="93"/>
      <c r="IS506" s="93"/>
      <c r="IT506" s="93"/>
      <c r="IU506" s="93"/>
      <c r="IV506" s="20"/>
      <c r="IW506" s="29"/>
      <c r="IX506" s="19"/>
      <c r="IY506" s="93"/>
      <c r="IZ506" s="93"/>
      <c r="JA506" s="93"/>
      <c r="JB506" s="93"/>
      <c r="JC506" s="93"/>
      <c r="JD506" s="93"/>
      <c r="JE506" s="20"/>
      <c r="JF506" s="29"/>
      <c r="JG506" s="19"/>
      <c r="JH506" s="93"/>
      <c r="JI506" s="93"/>
      <c r="JJ506" s="93"/>
      <c r="JK506" s="93"/>
      <c r="JL506" s="93"/>
      <c r="JM506" s="93"/>
      <c r="JN506" s="20"/>
      <c r="JO506" s="29"/>
      <c r="JP506" s="19"/>
      <c r="JQ506" s="93"/>
      <c r="JR506" s="93"/>
      <c r="JS506" s="93"/>
      <c r="JT506" s="93"/>
      <c r="JU506" s="20"/>
      <c r="JV506" s="29"/>
      <c r="JW506" s="1504">
        <v>49857</v>
      </c>
      <c r="JX506" s="19"/>
      <c r="JY506" s="93"/>
      <c r="JZ506" s="93"/>
      <c r="KA506" s="93"/>
      <c r="KB506" s="93"/>
      <c r="KC506" s="93"/>
      <c r="KD506" s="20"/>
      <c r="KE506" s="29"/>
      <c r="KF506" s="19"/>
      <c r="KG506" s="93"/>
      <c r="KH506" s="93"/>
      <c r="KI506" s="93"/>
      <c r="KJ506" s="93"/>
      <c r="KK506" s="20"/>
      <c r="KL506" s="29"/>
      <c r="KM506" s="19"/>
      <c r="KN506" s="93"/>
      <c r="KO506" s="93"/>
      <c r="KP506" s="93"/>
      <c r="KQ506" s="93"/>
      <c r="KR506" s="20"/>
      <c r="KS506" s="29"/>
      <c r="KT506" s="19"/>
      <c r="KU506" s="93"/>
      <c r="KV506" s="93"/>
      <c r="KW506" s="93"/>
      <c r="KX506" s="93"/>
      <c r="KY506" s="20"/>
      <c r="KZ506" s="29"/>
      <c r="LA506" s="1504">
        <v>49857</v>
      </c>
      <c r="LB506" s="19"/>
      <c r="LC506" s="93"/>
      <c r="LD506" s="93"/>
      <c r="LE506" s="93"/>
      <c r="LF506" s="93"/>
      <c r="LG506" s="93"/>
      <c r="LH506" s="20"/>
      <c r="LI506" s="29"/>
      <c r="LJ506" s="19"/>
      <c r="LK506" s="93"/>
      <c r="LL506" s="93"/>
      <c r="LM506" s="93"/>
      <c r="LN506" s="93"/>
      <c r="LO506" s="20"/>
      <c r="LP506" s="29"/>
      <c r="LQ506" s="19"/>
      <c r="LR506" s="93"/>
      <c r="LS506" s="93"/>
      <c r="LT506" s="93"/>
      <c r="LU506" s="93"/>
      <c r="LV506" s="93"/>
      <c r="LW506" s="93"/>
      <c r="LX506" s="93"/>
      <c r="LY506" s="93"/>
      <c r="LZ506" s="93"/>
      <c r="MA506" s="20"/>
      <c r="MB506" s="29"/>
      <c r="MC506" s="1504">
        <v>49857</v>
      </c>
      <c r="MD506" s="19"/>
      <c r="ME506" s="93"/>
      <c r="MF506" s="93"/>
      <c r="MG506" s="93"/>
      <c r="MH506" s="93"/>
      <c r="MI506" s="93"/>
      <c r="MJ506" s="93"/>
      <c r="MK506" s="93"/>
      <c r="ML506" s="93"/>
      <c r="MM506" s="93"/>
      <c r="MN506" s="93"/>
      <c r="MO506" s="93"/>
      <c r="MP506" s="93"/>
      <c r="MQ506" s="93"/>
      <c r="MR506" s="93"/>
      <c r="MS506" s="93"/>
      <c r="MT506" s="93"/>
      <c r="MU506" s="93"/>
      <c r="MV506" s="93"/>
      <c r="MW506" s="93"/>
      <c r="MX506" s="93"/>
      <c r="MY506" s="93"/>
      <c r="MZ506" s="93"/>
      <c r="NA506" s="93"/>
      <c r="NB506" s="93"/>
      <c r="NC506" s="93"/>
      <c r="ND506" s="93"/>
      <c r="NE506" s="93"/>
      <c r="NF506" s="93"/>
      <c r="NG506" s="93"/>
      <c r="NH506" s="93"/>
      <c r="NI506" s="93"/>
      <c r="NJ506" s="93"/>
      <c r="NK506" s="93"/>
      <c r="NL506" s="93"/>
      <c r="NM506" s="93"/>
      <c r="NN506" s="93"/>
      <c r="NO506" s="93"/>
      <c r="NP506" s="93"/>
      <c r="NQ506" s="93"/>
      <c r="NR506" s="93"/>
      <c r="NS506" s="93"/>
      <c r="NT506" s="93"/>
      <c r="NU506" s="93"/>
      <c r="NV506" s="93"/>
      <c r="NW506" s="93"/>
      <c r="NX506" s="93"/>
      <c r="NY506" s="93"/>
      <c r="NZ506" s="93"/>
      <c r="OA506" s="93"/>
      <c r="OB506" s="93"/>
      <c r="OC506" s="93"/>
      <c r="OD506" s="20"/>
      <c r="OE506" s="29"/>
      <c r="OF506" s="1504">
        <v>49857</v>
      </c>
      <c r="OG506" s="19"/>
      <c r="OH506" s="93"/>
      <c r="OI506" s="93"/>
      <c r="OJ506" s="93"/>
      <c r="OK506" s="93"/>
      <c r="OL506" s="93"/>
      <c r="OM506" s="93"/>
      <c r="ON506" s="93"/>
      <c r="OO506" s="93"/>
      <c r="OP506" s="93"/>
      <c r="OQ506" s="93"/>
      <c r="OR506" s="93"/>
      <c r="OS506" s="93"/>
      <c r="OT506" s="93"/>
      <c r="OU506" s="93"/>
      <c r="OV506" s="93"/>
      <c r="OW506" s="93"/>
      <c r="OX506" s="93"/>
      <c r="OY506" s="93"/>
      <c r="OZ506" s="93"/>
      <c r="PA506" s="93"/>
      <c r="PB506" s="93"/>
      <c r="PC506" s="20"/>
      <c r="PD506" s="29"/>
      <c r="PE506" s="19"/>
      <c r="PF506" s="93"/>
      <c r="PG506" s="93"/>
      <c r="PH506" s="93"/>
      <c r="PI506" s="93"/>
      <c r="PJ506" s="93"/>
      <c r="PK506" s="93"/>
      <c r="PL506" s="93"/>
      <c r="PM506" s="93"/>
      <c r="PN506" s="93"/>
      <c r="PO506" s="93"/>
      <c r="PP506" s="93"/>
      <c r="PQ506" s="93"/>
      <c r="PR506" s="93"/>
      <c r="PS506" s="93"/>
      <c r="PT506" s="93"/>
      <c r="PU506" s="93"/>
      <c r="PV506" s="93"/>
      <c r="PW506" s="93"/>
      <c r="PX506" s="93"/>
      <c r="PY506" s="93"/>
      <c r="PZ506" s="93"/>
      <c r="QA506" s="93"/>
      <c r="QB506" s="93"/>
      <c r="QC506" s="93"/>
      <c r="QD506" s="93"/>
      <c r="QE506" s="20"/>
      <c r="QF506" s="1739"/>
      <c r="QG506" s="19"/>
      <c r="QH506" s="93"/>
      <c r="QI506" s="93"/>
      <c r="QJ506" s="93"/>
      <c r="QK506" s="93"/>
      <c r="QL506" s="93"/>
      <c r="QM506" s="93"/>
      <c r="QN506" s="93"/>
      <c r="QO506" s="93"/>
      <c r="QP506" s="93"/>
      <c r="QQ506" s="93"/>
      <c r="QR506" s="93"/>
      <c r="QS506" s="93"/>
      <c r="QT506" s="93"/>
      <c r="QU506" s="93"/>
      <c r="QV506" s="93"/>
      <c r="QW506" s="93"/>
      <c r="QX506" s="93"/>
      <c r="QY506" s="93"/>
      <c r="QZ506" s="93"/>
      <c r="RA506" s="93"/>
      <c r="RB506" s="93"/>
      <c r="RC506" s="93"/>
      <c r="RD506" s="93"/>
      <c r="RE506" s="93"/>
      <c r="RF506" s="93"/>
      <c r="RG506" s="93"/>
      <c r="RH506" s="93"/>
      <c r="RI506" s="93"/>
      <c r="RJ506" s="93"/>
      <c r="RK506" s="93"/>
      <c r="RL506" s="93"/>
      <c r="RM506" s="20"/>
      <c r="RN506" s="29"/>
      <c r="RO506" s="19"/>
      <c r="RP506" s="20"/>
      <c r="RQ506" s="29"/>
      <c r="RR506" s="20"/>
      <c r="RS506" s="29"/>
      <c r="RT506" s="1504">
        <v>49857</v>
      </c>
      <c r="RU506" s="19"/>
      <c r="RV506" s="20"/>
      <c r="RW506" s="29"/>
      <c r="RX506" s="1504">
        <v>49857</v>
      </c>
      <c r="RY506" s="29"/>
      <c r="RZ506" s="20"/>
      <c r="SA506" s="29"/>
      <c r="SB506" s="29"/>
    </row>
    <row r="507" spans="1:496">
      <c r="A507" s="41">
        <f t="shared" si="360"/>
        <v>2036</v>
      </c>
      <c r="B507" s="1504">
        <v>49888</v>
      </c>
      <c r="C507" s="1813"/>
      <c r="D507" s="1814"/>
      <c r="E507" s="1814"/>
      <c r="F507" s="1815"/>
      <c r="G507" s="1814"/>
      <c r="H507" s="1814"/>
      <c r="I507" s="1814"/>
      <c r="J507" s="1816"/>
      <c r="K507" s="1807"/>
      <c r="L507" s="25"/>
      <c r="M507" s="97"/>
      <c r="N507" s="1504">
        <v>49888</v>
      </c>
      <c r="O507" s="19"/>
      <c r="P507" s="93"/>
      <c r="Q507" s="93"/>
      <c r="R507" s="93"/>
      <c r="S507" s="93"/>
      <c r="T507" s="93"/>
      <c r="U507" s="93"/>
      <c r="V507" s="93"/>
      <c r="W507" s="93"/>
      <c r="X507" s="93"/>
      <c r="Y507" s="93"/>
      <c r="Z507" s="93"/>
      <c r="AA507" s="93"/>
      <c r="AB507" s="20"/>
      <c r="AC507" s="25"/>
      <c r="AD507" s="97"/>
      <c r="AE507" s="1504">
        <v>49888</v>
      </c>
      <c r="AF507" s="19"/>
      <c r="AG507" s="93"/>
      <c r="AH507" s="93"/>
      <c r="AI507" s="93"/>
      <c r="AJ507" s="93"/>
      <c r="AK507" s="93"/>
      <c r="AL507" s="93"/>
      <c r="AM507" s="93"/>
      <c r="AN507" s="93"/>
      <c r="AO507" s="93"/>
      <c r="AP507" s="93"/>
      <c r="AQ507" s="93"/>
      <c r="AR507" s="93"/>
      <c r="AS507" s="20"/>
      <c r="AT507" s="25"/>
      <c r="AU507" s="97"/>
      <c r="AV507" s="1504">
        <v>49888</v>
      </c>
      <c r="AW507" s="19"/>
      <c r="AX507" s="93"/>
      <c r="AY507" s="93"/>
      <c r="AZ507" s="93"/>
      <c r="BA507" s="93"/>
      <c r="BB507" s="93"/>
      <c r="BC507" s="93"/>
      <c r="BD507" s="93"/>
      <c r="BE507" s="93"/>
      <c r="BF507" s="93"/>
      <c r="BG507" s="93"/>
      <c r="BH507" s="93"/>
      <c r="BI507" s="93"/>
      <c r="BJ507" s="20"/>
      <c r="BK507" s="25"/>
      <c r="BL507" s="97"/>
      <c r="BM507" s="1504">
        <v>49888</v>
      </c>
      <c r="BN507" s="19"/>
      <c r="BO507" s="93"/>
      <c r="BP507" s="93"/>
      <c r="BQ507" s="93"/>
      <c r="BR507" s="93"/>
      <c r="BS507" s="93"/>
      <c r="BT507" s="93"/>
      <c r="BU507" s="20"/>
      <c r="BV507" s="25"/>
      <c r="BW507" s="97"/>
      <c r="BX507" s="1504">
        <v>49888</v>
      </c>
      <c r="BY507" s="19"/>
      <c r="BZ507" s="93"/>
      <c r="CA507" s="93"/>
      <c r="CB507" s="93"/>
      <c r="CC507" s="93"/>
      <c r="CD507" s="25"/>
      <c r="CE507" s="97"/>
      <c r="CF507" s="1504">
        <v>49888</v>
      </c>
      <c r="CG507" s="19"/>
      <c r="CH507" s="93"/>
      <c r="CI507" s="219"/>
      <c r="CJ507" s="20"/>
      <c r="CK507" s="19"/>
      <c r="CL507" s="93"/>
      <c r="CM507" s="93"/>
      <c r="CN507" s="93"/>
      <c r="CO507" s="93"/>
      <c r="CP507" s="20"/>
      <c r="CQ507" s="219"/>
      <c r="CR507" s="93"/>
      <c r="CS507" s="93"/>
      <c r="CT507" s="93"/>
      <c r="CU507" s="93"/>
      <c r="CV507" s="214"/>
      <c r="CW507" s="29"/>
      <c r="CX507" s="41">
        <f t="shared" si="359"/>
        <v>2036</v>
      </c>
      <c r="CY507" s="1504">
        <v>49888</v>
      </c>
      <c r="CZ507" s="19"/>
      <c r="DA507" s="93"/>
      <c r="DB507" s="93"/>
      <c r="DC507" s="93"/>
      <c r="DD507" s="93"/>
      <c r="DE507" s="20"/>
      <c r="DF507" s="29"/>
      <c r="DG507" s="1504">
        <v>49888</v>
      </c>
      <c r="DH507" s="19"/>
      <c r="DI507" s="93"/>
      <c r="DJ507" s="93"/>
      <c r="DK507" s="93"/>
      <c r="DL507" s="93"/>
      <c r="DM507" s="93"/>
      <c r="DN507" s="20"/>
      <c r="DO507" s="295"/>
      <c r="DP507" s="29"/>
      <c r="DQ507" s="1504">
        <v>49888</v>
      </c>
      <c r="DR507" s="19"/>
      <c r="DS507" s="93"/>
      <c r="DT507" s="93"/>
      <c r="DU507" s="93"/>
      <c r="DV507" s="93"/>
      <c r="DW507" s="93"/>
      <c r="DX507" s="20"/>
      <c r="DY507" s="29"/>
      <c r="DZ507" s="1504">
        <v>49888</v>
      </c>
      <c r="EA507" s="19"/>
      <c r="EB507" s="93"/>
      <c r="EC507" s="20"/>
      <c r="ED507" s="29"/>
      <c r="EE507" s="1504">
        <v>49888</v>
      </c>
      <c r="EF507" s="19"/>
      <c r="EG507" s="93"/>
      <c r="EH507" s="93"/>
      <c r="EI507" s="214"/>
      <c r="EJ507" s="93"/>
      <c r="EK507" s="93"/>
      <c r="EL507" s="93"/>
      <c r="EM507" s="93"/>
      <c r="EN507" s="20"/>
      <c r="EO507" s="29"/>
      <c r="EP507" s="1504">
        <v>49888</v>
      </c>
      <c r="EQ507" s="19"/>
      <c r="ER507" s="93"/>
      <c r="ES507" s="93"/>
      <c r="ET507" s="214"/>
      <c r="EU507" s="93"/>
      <c r="EV507" s="93"/>
      <c r="EW507" s="93"/>
      <c r="EX507" s="93"/>
      <c r="EY507" s="20"/>
      <c r="EZ507" s="29"/>
      <c r="FA507" s="1504">
        <v>49888</v>
      </c>
      <c r="FB507" s="29"/>
      <c r="FC507" s="29"/>
      <c r="FD507" s="29"/>
      <c r="FE507" s="29"/>
      <c r="FF507" s="29"/>
      <c r="FG507" s="29"/>
      <c r="FH507" s="29"/>
      <c r="FI507" s="29"/>
      <c r="FJ507" s="29"/>
      <c r="FK507" s="29"/>
      <c r="FL507" s="1504">
        <v>49888</v>
      </c>
      <c r="FM507" s="19"/>
      <c r="FN507" s="93"/>
      <c r="FO507" s="93"/>
      <c r="FP507" s="93"/>
      <c r="FQ507" s="93"/>
      <c r="FR507" s="93"/>
      <c r="FS507" s="93"/>
      <c r="FT507" s="93"/>
      <c r="FU507" s="93"/>
      <c r="FV507" s="93"/>
      <c r="FW507" s="93"/>
      <c r="FX507" s="93"/>
      <c r="FY507" s="93"/>
      <c r="FZ507" s="29"/>
      <c r="GA507" s="1504">
        <v>49888</v>
      </c>
      <c r="GB507" s="19"/>
      <c r="GC507" s="93"/>
      <c r="GD507" s="93"/>
      <c r="GE507" s="93"/>
      <c r="GF507" s="93"/>
      <c r="GG507" s="93"/>
      <c r="GH507" s="93"/>
      <c r="GI507" s="93"/>
      <c r="GJ507" s="93"/>
      <c r="GK507" s="93"/>
      <c r="GL507" s="93"/>
      <c r="GM507" s="93"/>
      <c r="GN507" s="20"/>
      <c r="GO507" s="29"/>
      <c r="GP507" s="1504">
        <v>49888</v>
      </c>
      <c r="GQ507" s="19"/>
      <c r="GR507" s="93"/>
      <c r="GS507" s="93"/>
      <c r="GT507" s="93"/>
      <c r="GU507" s="93"/>
      <c r="GV507" s="20"/>
      <c r="GW507" s="19"/>
      <c r="GX507" s="93"/>
      <c r="GY507" s="93"/>
      <c r="GZ507" s="93"/>
      <c r="HA507" s="93"/>
      <c r="HB507" s="20"/>
      <c r="HC507" s="19"/>
      <c r="HD507" s="93"/>
      <c r="HE507" s="93"/>
      <c r="HF507" s="93"/>
      <c r="HG507" s="93"/>
      <c r="HH507" s="20"/>
      <c r="HI507" s="19"/>
      <c r="HJ507" s="93"/>
      <c r="HK507" s="93"/>
      <c r="HL507" s="93"/>
      <c r="HM507" s="93"/>
      <c r="HN507" s="20"/>
      <c r="HO507" s="219"/>
      <c r="HP507" s="20"/>
      <c r="HQ507" s="25"/>
      <c r="HR507" s="29"/>
      <c r="HS507" s="1504">
        <v>49888</v>
      </c>
      <c r="HT507" s="19"/>
      <c r="HU507" s="93"/>
      <c r="HV507" s="93"/>
      <c r="HW507" s="93"/>
      <c r="HX507" s="93"/>
      <c r="HY507" s="93"/>
      <c r="HZ507" s="93"/>
      <c r="IA507" s="20"/>
      <c r="IB507" s="19"/>
      <c r="IC507" s="93"/>
      <c r="ID507" s="93"/>
      <c r="IE507" s="93"/>
      <c r="IF507" s="93"/>
      <c r="IG507" s="20"/>
      <c r="IH507" s="19"/>
      <c r="II507" s="93"/>
      <c r="IJ507" s="93"/>
      <c r="IK507" s="93"/>
      <c r="IL507" s="93"/>
      <c r="IM507" s="93"/>
      <c r="IN507" s="93"/>
      <c r="IO507" s="20"/>
      <c r="IP507" s="29"/>
      <c r="IQ507" s="19"/>
      <c r="IR507" s="93"/>
      <c r="IS507" s="93"/>
      <c r="IT507" s="93"/>
      <c r="IU507" s="93"/>
      <c r="IV507" s="20"/>
      <c r="IW507" s="29"/>
      <c r="IX507" s="19"/>
      <c r="IY507" s="93"/>
      <c r="IZ507" s="93"/>
      <c r="JA507" s="93"/>
      <c r="JB507" s="93"/>
      <c r="JC507" s="93"/>
      <c r="JD507" s="93"/>
      <c r="JE507" s="20"/>
      <c r="JF507" s="29"/>
      <c r="JG507" s="19"/>
      <c r="JH507" s="93"/>
      <c r="JI507" s="93"/>
      <c r="JJ507" s="93"/>
      <c r="JK507" s="93"/>
      <c r="JL507" s="93"/>
      <c r="JM507" s="93"/>
      <c r="JN507" s="20"/>
      <c r="JO507" s="29"/>
      <c r="JP507" s="19"/>
      <c r="JQ507" s="93"/>
      <c r="JR507" s="93"/>
      <c r="JS507" s="93"/>
      <c r="JT507" s="93"/>
      <c r="JU507" s="20"/>
      <c r="JV507" s="29"/>
      <c r="JW507" s="1504">
        <v>49888</v>
      </c>
      <c r="JX507" s="19"/>
      <c r="JY507" s="93"/>
      <c r="JZ507" s="93"/>
      <c r="KA507" s="93"/>
      <c r="KB507" s="93"/>
      <c r="KC507" s="93"/>
      <c r="KD507" s="20"/>
      <c r="KE507" s="29"/>
      <c r="KF507" s="19"/>
      <c r="KG507" s="93"/>
      <c r="KH507" s="93"/>
      <c r="KI507" s="93"/>
      <c r="KJ507" s="93"/>
      <c r="KK507" s="20"/>
      <c r="KL507" s="29"/>
      <c r="KM507" s="19"/>
      <c r="KN507" s="93"/>
      <c r="KO507" s="93"/>
      <c r="KP507" s="93"/>
      <c r="KQ507" s="93"/>
      <c r="KR507" s="20"/>
      <c r="KS507" s="29"/>
      <c r="KT507" s="19"/>
      <c r="KU507" s="93"/>
      <c r="KV507" s="93"/>
      <c r="KW507" s="93"/>
      <c r="KX507" s="93"/>
      <c r="KY507" s="20"/>
      <c r="KZ507" s="29"/>
      <c r="LA507" s="1504">
        <v>49888</v>
      </c>
      <c r="LB507" s="19"/>
      <c r="LC507" s="93"/>
      <c r="LD507" s="93"/>
      <c r="LE507" s="93"/>
      <c r="LF507" s="93"/>
      <c r="LG507" s="93"/>
      <c r="LH507" s="20"/>
      <c r="LI507" s="29"/>
      <c r="LJ507" s="19"/>
      <c r="LK507" s="93"/>
      <c r="LL507" s="93"/>
      <c r="LM507" s="93"/>
      <c r="LN507" s="93"/>
      <c r="LO507" s="20"/>
      <c r="LP507" s="29"/>
      <c r="LQ507" s="19"/>
      <c r="LR507" s="93"/>
      <c r="LS507" s="93"/>
      <c r="LT507" s="93"/>
      <c r="LU507" s="93"/>
      <c r="LV507" s="93"/>
      <c r="LW507" s="93"/>
      <c r="LX507" s="93"/>
      <c r="LY507" s="93"/>
      <c r="LZ507" s="93"/>
      <c r="MA507" s="20"/>
      <c r="MB507" s="29"/>
      <c r="MC507" s="1504">
        <v>49888</v>
      </c>
      <c r="MD507" s="19"/>
      <c r="ME507" s="93"/>
      <c r="MF507" s="93"/>
      <c r="MG507" s="93"/>
      <c r="MH507" s="93"/>
      <c r="MI507" s="93"/>
      <c r="MJ507" s="93"/>
      <c r="MK507" s="93"/>
      <c r="ML507" s="93"/>
      <c r="MM507" s="93"/>
      <c r="MN507" s="93"/>
      <c r="MO507" s="93"/>
      <c r="MP507" s="93"/>
      <c r="MQ507" s="93"/>
      <c r="MR507" s="93"/>
      <c r="MS507" s="93"/>
      <c r="MT507" s="93"/>
      <c r="MU507" s="93"/>
      <c r="MV507" s="93"/>
      <c r="MW507" s="93"/>
      <c r="MX507" s="93"/>
      <c r="MY507" s="93"/>
      <c r="MZ507" s="93"/>
      <c r="NA507" s="93"/>
      <c r="NB507" s="93"/>
      <c r="NC507" s="93"/>
      <c r="ND507" s="93"/>
      <c r="NE507" s="93"/>
      <c r="NF507" s="93"/>
      <c r="NG507" s="93"/>
      <c r="NH507" s="93"/>
      <c r="NI507" s="93"/>
      <c r="NJ507" s="93"/>
      <c r="NK507" s="93"/>
      <c r="NL507" s="93"/>
      <c r="NM507" s="93"/>
      <c r="NN507" s="93"/>
      <c r="NO507" s="93"/>
      <c r="NP507" s="93"/>
      <c r="NQ507" s="93"/>
      <c r="NR507" s="93"/>
      <c r="NS507" s="93"/>
      <c r="NT507" s="93"/>
      <c r="NU507" s="93"/>
      <c r="NV507" s="93"/>
      <c r="NW507" s="93"/>
      <c r="NX507" s="93"/>
      <c r="NY507" s="93"/>
      <c r="NZ507" s="93"/>
      <c r="OA507" s="93"/>
      <c r="OB507" s="93"/>
      <c r="OC507" s="93"/>
      <c r="OD507" s="20"/>
      <c r="OE507" s="29"/>
      <c r="OF507" s="1504">
        <v>49888</v>
      </c>
      <c r="OG507" s="19"/>
      <c r="OH507" s="93"/>
      <c r="OI507" s="93"/>
      <c r="OJ507" s="93"/>
      <c r="OK507" s="93"/>
      <c r="OL507" s="93"/>
      <c r="OM507" s="93"/>
      <c r="ON507" s="93"/>
      <c r="OO507" s="93"/>
      <c r="OP507" s="93"/>
      <c r="OQ507" s="93"/>
      <c r="OR507" s="93"/>
      <c r="OS507" s="93"/>
      <c r="OT507" s="93"/>
      <c r="OU507" s="93"/>
      <c r="OV507" s="93"/>
      <c r="OW507" s="93"/>
      <c r="OX507" s="93"/>
      <c r="OY507" s="93"/>
      <c r="OZ507" s="93"/>
      <c r="PA507" s="93"/>
      <c r="PB507" s="93"/>
      <c r="PC507" s="20"/>
      <c r="PD507" s="29"/>
      <c r="PE507" s="19"/>
      <c r="PF507" s="93"/>
      <c r="PG507" s="93"/>
      <c r="PH507" s="93"/>
      <c r="PI507" s="93"/>
      <c r="PJ507" s="93"/>
      <c r="PK507" s="93"/>
      <c r="PL507" s="93"/>
      <c r="PM507" s="93"/>
      <c r="PN507" s="93"/>
      <c r="PO507" s="93"/>
      <c r="PP507" s="93"/>
      <c r="PQ507" s="93"/>
      <c r="PR507" s="93"/>
      <c r="PS507" s="93"/>
      <c r="PT507" s="93"/>
      <c r="PU507" s="93"/>
      <c r="PV507" s="93"/>
      <c r="PW507" s="93"/>
      <c r="PX507" s="93"/>
      <c r="PY507" s="93"/>
      <c r="PZ507" s="93"/>
      <c r="QA507" s="93"/>
      <c r="QB507" s="93"/>
      <c r="QC507" s="93"/>
      <c r="QD507" s="93"/>
      <c r="QE507" s="20"/>
      <c r="QF507" s="1739"/>
      <c r="QG507" s="19"/>
      <c r="QH507" s="93"/>
      <c r="QI507" s="93"/>
      <c r="QJ507" s="93"/>
      <c r="QK507" s="93"/>
      <c r="QL507" s="93"/>
      <c r="QM507" s="93"/>
      <c r="QN507" s="93"/>
      <c r="QO507" s="93"/>
      <c r="QP507" s="93"/>
      <c r="QQ507" s="93"/>
      <c r="QR507" s="93"/>
      <c r="QS507" s="93"/>
      <c r="QT507" s="93"/>
      <c r="QU507" s="93"/>
      <c r="QV507" s="93"/>
      <c r="QW507" s="93"/>
      <c r="QX507" s="93"/>
      <c r="QY507" s="93"/>
      <c r="QZ507" s="93"/>
      <c r="RA507" s="93"/>
      <c r="RB507" s="93"/>
      <c r="RC507" s="93"/>
      <c r="RD507" s="93"/>
      <c r="RE507" s="93"/>
      <c r="RF507" s="93"/>
      <c r="RG507" s="93"/>
      <c r="RH507" s="93"/>
      <c r="RI507" s="93"/>
      <c r="RJ507" s="93"/>
      <c r="RK507" s="93"/>
      <c r="RL507" s="93"/>
      <c r="RM507" s="20"/>
      <c r="RN507" s="29"/>
      <c r="RO507" s="19"/>
      <c r="RP507" s="20"/>
      <c r="RQ507" s="29"/>
      <c r="RR507" s="20"/>
      <c r="RS507" s="29"/>
      <c r="RT507" s="1504">
        <v>49888</v>
      </c>
      <c r="RU507" s="19"/>
      <c r="RV507" s="20"/>
      <c r="RW507" s="29"/>
      <c r="RX507" s="1504">
        <v>49888</v>
      </c>
      <c r="RY507" s="29"/>
      <c r="RZ507" s="20"/>
      <c r="SA507" s="29"/>
      <c r="SB507" s="29"/>
    </row>
    <row r="508" spans="1:496">
      <c r="A508" s="41">
        <f t="shared" si="360"/>
        <v>2036</v>
      </c>
      <c r="B508" s="1504">
        <v>49919</v>
      </c>
      <c r="C508" s="1813"/>
      <c r="D508" s="1814"/>
      <c r="E508" s="1814"/>
      <c r="F508" s="1815"/>
      <c r="G508" s="1814"/>
      <c r="H508" s="1814"/>
      <c r="I508" s="1814"/>
      <c r="J508" s="1816"/>
      <c r="K508" s="1807"/>
      <c r="L508" s="25"/>
      <c r="M508" s="97"/>
      <c r="N508" s="1504">
        <v>49919</v>
      </c>
      <c r="O508" s="19"/>
      <c r="P508" s="93"/>
      <c r="Q508" s="93"/>
      <c r="R508" s="93"/>
      <c r="S508" s="93"/>
      <c r="T508" s="93"/>
      <c r="U508" s="93"/>
      <c r="V508" s="93"/>
      <c r="W508" s="93"/>
      <c r="X508" s="93"/>
      <c r="Y508" s="93"/>
      <c r="Z508" s="93"/>
      <c r="AA508" s="93"/>
      <c r="AB508" s="20"/>
      <c r="AC508" s="25"/>
      <c r="AD508" s="97"/>
      <c r="AE508" s="1504">
        <v>49919</v>
      </c>
      <c r="AF508" s="19"/>
      <c r="AG508" s="93"/>
      <c r="AH508" s="93"/>
      <c r="AI508" s="93"/>
      <c r="AJ508" s="93"/>
      <c r="AK508" s="93"/>
      <c r="AL508" s="93"/>
      <c r="AM508" s="93"/>
      <c r="AN508" s="93"/>
      <c r="AO508" s="93"/>
      <c r="AP508" s="93"/>
      <c r="AQ508" s="93"/>
      <c r="AR508" s="93"/>
      <c r="AS508" s="20"/>
      <c r="AT508" s="25"/>
      <c r="AU508" s="97"/>
      <c r="AV508" s="1504">
        <v>49919</v>
      </c>
      <c r="AW508" s="19"/>
      <c r="AX508" s="93"/>
      <c r="AY508" s="93"/>
      <c r="AZ508" s="93"/>
      <c r="BA508" s="93"/>
      <c r="BB508" s="93"/>
      <c r="BC508" s="93"/>
      <c r="BD508" s="93"/>
      <c r="BE508" s="93"/>
      <c r="BF508" s="93"/>
      <c r="BG508" s="93"/>
      <c r="BH508" s="93"/>
      <c r="BI508" s="93"/>
      <c r="BJ508" s="20"/>
      <c r="BK508" s="25"/>
      <c r="BL508" s="97"/>
      <c r="BM508" s="1504">
        <v>49919</v>
      </c>
      <c r="BN508" s="19"/>
      <c r="BO508" s="93"/>
      <c r="BP508" s="93"/>
      <c r="BQ508" s="93"/>
      <c r="BR508" s="93"/>
      <c r="BS508" s="93"/>
      <c r="BT508" s="93"/>
      <c r="BU508" s="20"/>
      <c r="BV508" s="25"/>
      <c r="BW508" s="97"/>
      <c r="BX508" s="1504">
        <v>49919</v>
      </c>
      <c r="BY508" s="19"/>
      <c r="BZ508" s="93"/>
      <c r="CA508" s="93"/>
      <c r="CB508" s="93"/>
      <c r="CC508" s="93"/>
      <c r="CD508" s="25"/>
      <c r="CE508" s="97"/>
      <c r="CF508" s="1504">
        <v>49919</v>
      </c>
      <c r="CG508" s="19"/>
      <c r="CH508" s="93"/>
      <c r="CI508" s="219"/>
      <c r="CJ508" s="20"/>
      <c r="CK508" s="19"/>
      <c r="CL508" s="93"/>
      <c r="CM508" s="93"/>
      <c r="CN508" s="93"/>
      <c r="CO508" s="93"/>
      <c r="CP508" s="20"/>
      <c r="CQ508" s="219"/>
      <c r="CR508" s="93"/>
      <c r="CS508" s="93"/>
      <c r="CT508" s="93"/>
      <c r="CU508" s="93"/>
      <c r="CV508" s="214"/>
      <c r="CW508" s="29"/>
      <c r="CX508" s="41">
        <f t="shared" si="359"/>
        <v>2036</v>
      </c>
      <c r="CY508" s="1504">
        <v>49919</v>
      </c>
      <c r="CZ508" s="19"/>
      <c r="DA508" s="93"/>
      <c r="DB508" s="93"/>
      <c r="DC508" s="93"/>
      <c r="DD508" s="93"/>
      <c r="DE508" s="20"/>
      <c r="DF508" s="29"/>
      <c r="DG508" s="1504">
        <v>49919</v>
      </c>
      <c r="DH508" s="19"/>
      <c r="DI508" s="93"/>
      <c r="DJ508" s="93"/>
      <c r="DK508" s="93"/>
      <c r="DL508" s="93"/>
      <c r="DM508" s="93"/>
      <c r="DN508" s="20"/>
      <c r="DO508" s="295"/>
      <c r="DP508" s="29"/>
      <c r="DQ508" s="1504">
        <v>49919</v>
      </c>
      <c r="DR508" s="19"/>
      <c r="DS508" s="93"/>
      <c r="DT508" s="93"/>
      <c r="DU508" s="93"/>
      <c r="DV508" s="93"/>
      <c r="DW508" s="93"/>
      <c r="DX508" s="20"/>
      <c r="DY508" s="29"/>
      <c r="DZ508" s="1504">
        <v>49919</v>
      </c>
      <c r="EA508" s="19"/>
      <c r="EB508" s="93"/>
      <c r="EC508" s="20"/>
      <c r="ED508" s="29"/>
      <c r="EE508" s="1504">
        <v>49919</v>
      </c>
      <c r="EF508" s="19"/>
      <c r="EG508" s="93"/>
      <c r="EH508" s="93"/>
      <c r="EI508" s="214"/>
      <c r="EJ508" s="93"/>
      <c r="EK508" s="93"/>
      <c r="EL508" s="93"/>
      <c r="EM508" s="93"/>
      <c r="EN508" s="20"/>
      <c r="EO508" s="29"/>
      <c r="EP508" s="1504">
        <v>49919</v>
      </c>
      <c r="EQ508" s="19"/>
      <c r="ER508" s="93"/>
      <c r="ES508" s="93"/>
      <c r="ET508" s="214"/>
      <c r="EU508" s="93"/>
      <c r="EV508" s="93"/>
      <c r="EW508" s="93"/>
      <c r="EX508" s="93"/>
      <c r="EY508" s="20"/>
      <c r="EZ508" s="29"/>
      <c r="FA508" s="1504">
        <v>49919</v>
      </c>
      <c r="FB508" s="29"/>
      <c r="FC508" s="29"/>
      <c r="FD508" s="29"/>
      <c r="FE508" s="29"/>
      <c r="FF508" s="29"/>
      <c r="FG508" s="29"/>
      <c r="FH508" s="29"/>
      <c r="FI508" s="29"/>
      <c r="FJ508" s="29"/>
      <c r="FK508" s="29"/>
      <c r="FL508" s="1504">
        <v>49919</v>
      </c>
      <c r="FM508" s="19"/>
      <c r="FN508" s="93"/>
      <c r="FO508" s="93"/>
      <c r="FP508" s="93"/>
      <c r="FQ508" s="93"/>
      <c r="FR508" s="93"/>
      <c r="FS508" s="93"/>
      <c r="FT508" s="93"/>
      <c r="FU508" s="93"/>
      <c r="FV508" s="93"/>
      <c r="FW508" s="93"/>
      <c r="FX508" s="93"/>
      <c r="FY508" s="93"/>
      <c r="FZ508" s="29"/>
      <c r="GA508" s="1504">
        <v>49919</v>
      </c>
      <c r="GB508" s="19"/>
      <c r="GC508" s="93"/>
      <c r="GD508" s="93"/>
      <c r="GE508" s="93"/>
      <c r="GF508" s="93"/>
      <c r="GG508" s="93"/>
      <c r="GH508" s="93"/>
      <c r="GI508" s="93"/>
      <c r="GJ508" s="93"/>
      <c r="GK508" s="93"/>
      <c r="GL508" s="93"/>
      <c r="GM508" s="93"/>
      <c r="GN508" s="20"/>
      <c r="GO508" s="29"/>
      <c r="GP508" s="1504">
        <v>49919</v>
      </c>
      <c r="GQ508" s="19"/>
      <c r="GR508" s="93"/>
      <c r="GS508" s="93"/>
      <c r="GT508" s="93"/>
      <c r="GU508" s="93"/>
      <c r="GV508" s="20"/>
      <c r="GW508" s="19"/>
      <c r="GX508" s="93"/>
      <c r="GY508" s="93"/>
      <c r="GZ508" s="93"/>
      <c r="HA508" s="93"/>
      <c r="HB508" s="20"/>
      <c r="HC508" s="19"/>
      <c r="HD508" s="93"/>
      <c r="HE508" s="93"/>
      <c r="HF508" s="93"/>
      <c r="HG508" s="93"/>
      <c r="HH508" s="20"/>
      <c r="HI508" s="19"/>
      <c r="HJ508" s="93"/>
      <c r="HK508" s="93"/>
      <c r="HL508" s="93"/>
      <c r="HM508" s="93"/>
      <c r="HN508" s="20"/>
      <c r="HO508" s="219"/>
      <c r="HP508" s="20"/>
      <c r="HQ508" s="25"/>
      <c r="HR508" s="29"/>
      <c r="HS508" s="1504">
        <v>49919</v>
      </c>
      <c r="HT508" s="19"/>
      <c r="HU508" s="93"/>
      <c r="HV508" s="93"/>
      <c r="HW508" s="93"/>
      <c r="HX508" s="93"/>
      <c r="HY508" s="93"/>
      <c r="HZ508" s="93"/>
      <c r="IA508" s="20"/>
      <c r="IB508" s="19"/>
      <c r="IC508" s="93"/>
      <c r="ID508" s="93"/>
      <c r="IE508" s="93"/>
      <c r="IF508" s="93"/>
      <c r="IG508" s="20"/>
      <c r="IH508" s="19"/>
      <c r="II508" s="93"/>
      <c r="IJ508" s="93"/>
      <c r="IK508" s="93"/>
      <c r="IL508" s="93"/>
      <c r="IM508" s="93"/>
      <c r="IN508" s="93"/>
      <c r="IO508" s="20"/>
      <c r="IP508" s="29"/>
      <c r="IQ508" s="19"/>
      <c r="IR508" s="93"/>
      <c r="IS508" s="93"/>
      <c r="IT508" s="93"/>
      <c r="IU508" s="93"/>
      <c r="IV508" s="20"/>
      <c r="IW508" s="29"/>
      <c r="IX508" s="19"/>
      <c r="IY508" s="93"/>
      <c r="IZ508" s="93"/>
      <c r="JA508" s="93"/>
      <c r="JB508" s="93"/>
      <c r="JC508" s="93"/>
      <c r="JD508" s="93"/>
      <c r="JE508" s="20"/>
      <c r="JF508" s="29"/>
      <c r="JG508" s="19"/>
      <c r="JH508" s="93"/>
      <c r="JI508" s="93"/>
      <c r="JJ508" s="93"/>
      <c r="JK508" s="93"/>
      <c r="JL508" s="93"/>
      <c r="JM508" s="93"/>
      <c r="JN508" s="20"/>
      <c r="JO508" s="29"/>
      <c r="JP508" s="19"/>
      <c r="JQ508" s="93"/>
      <c r="JR508" s="93"/>
      <c r="JS508" s="93"/>
      <c r="JT508" s="93"/>
      <c r="JU508" s="20"/>
      <c r="JV508" s="29"/>
      <c r="JW508" s="1504">
        <v>49919</v>
      </c>
      <c r="JX508" s="19"/>
      <c r="JY508" s="93"/>
      <c r="JZ508" s="93"/>
      <c r="KA508" s="93"/>
      <c r="KB508" s="93"/>
      <c r="KC508" s="93"/>
      <c r="KD508" s="20"/>
      <c r="KE508" s="29"/>
      <c r="KF508" s="19"/>
      <c r="KG508" s="93"/>
      <c r="KH508" s="93"/>
      <c r="KI508" s="93"/>
      <c r="KJ508" s="93"/>
      <c r="KK508" s="20"/>
      <c r="KL508" s="29"/>
      <c r="KM508" s="19"/>
      <c r="KN508" s="93"/>
      <c r="KO508" s="93"/>
      <c r="KP508" s="93"/>
      <c r="KQ508" s="93"/>
      <c r="KR508" s="20"/>
      <c r="KS508" s="29"/>
      <c r="KT508" s="19"/>
      <c r="KU508" s="93"/>
      <c r="KV508" s="93"/>
      <c r="KW508" s="93"/>
      <c r="KX508" s="93"/>
      <c r="KY508" s="20"/>
      <c r="KZ508" s="29"/>
      <c r="LA508" s="1504">
        <v>49919</v>
      </c>
      <c r="LB508" s="19"/>
      <c r="LC508" s="93"/>
      <c r="LD508" s="93"/>
      <c r="LE508" s="93"/>
      <c r="LF508" s="93"/>
      <c r="LG508" s="93"/>
      <c r="LH508" s="20"/>
      <c r="LI508" s="29"/>
      <c r="LJ508" s="19"/>
      <c r="LK508" s="93"/>
      <c r="LL508" s="93"/>
      <c r="LM508" s="93"/>
      <c r="LN508" s="93"/>
      <c r="LO508" s="20"/>
      <c r="LP508" s="29"/>
      <c r="LQ508" s="19"/>
      <c r="LR508" s="93"/>
      <c r="LS508" s="93"/>
      <c r="LT508" s="93"/>
      <c r="LU508" s="93"/>
      <c r="LV508" s="93"/>
      <c r="LW508" s="93"/>
      <c r="LX508" s="93"/>
      <c r="LY508" s="93"/>
      <c r="LZ508" s="93"/>
      <c r="MA508" s="20"/>
      <c r="MB508" s="29"/>
      <c r="MC508" s="1504">
        <v>49919</v>
      </c>
      <c r="MD508" s="19"/>
      <c r="ME508" s="93"/>
      <c r="MF508" s="93"/>
      <c r="MG508" s="93"/>
      <c r="MH508" s="93"/>
      <c r="MI508" s="93"/>
      <c r="MJ508" s="93"/>
      <c r="MK508" s="93"/>
      <c r="ML508" s="93"/>
      <c r="MM508" s="93"/>
      <c r="MN508" s="93"/>
      <c r="MO508" s="93"/>
      <c r="MP508" s="93"/>
      <c r="MQ508" s="93"/>
      <c r="MR508" s="93"/>
      <c r="MS508" s="93"/>
      <c r="MT508" s="93"/>
      <c r="MU508" s="93"/>
      <c r="MV508" s="93"/>
      <c r="MW508" s="93"/>
      <c r="MX508" s="93"/>
      <c r="MY508" s="93"/>
      <c r="MZ508" s="93"/>
      <c r="NA508" s="93"/>
      <c r="NB508" s="93"/>
      <c r="NC508" s="93"/>
      <c r="ND508" s="93"/>
      <c r="NE508" s="93"/>
      <c r="NF508" s="93"/>
      <c r="NG508" s="93"/>
      <c r="NH508" s="93"/>
      <c r="NI508" s="93"/>
      <c r="NJ508" s="93"/>
      <c r="NK508" s="93"/>
      <c r="NL508" s="93"/>
      <c r="NM508" s="93"/>
      <c r="NN508" s="93"/>
      <c r="NO508" s="93"/>
      <c r="NP508" s="93"/>
      <c r="NQ508" s="93"/>
      <c r="NR508" s="93"/>
      <c r="NS508" s="93"/>
      <c r="NT508" s="93"/>
      <c r="NU508" s="93"/>
      <c r="NV508" s="93"/>
      <c r="NW508" s="93"/>
      <c r="NX508" s="93"/>
      <c r="NY508" s="93"/>
      <c r="NZ508" s="93"/>
      <c r="OA508" s="93"/>
      <c r="OB508" s="93"/>
      <c r="OC508" s="93"/>
      <c r="OD508" s="20"/>
      <c r="OE508" s="29"/>
      <c r="OF508" s="1504">
        <v>49919</v>
      </c>
      <c r="OG508" s="19"/>
      <c r="OH508" s="93"/>
      <c r="OI508" s="93"/>
      <c r="OJ508" s="93"/>
      <c r="OK508" s="93"/>
      <c r="OL508" s="93"/>
      <c r="OM508" s="93"/>
      <c r="ON508" s="93"/>
      <c r="OO508" s="93"/>
      <c r="OP508" s="93"/>
      <c r="OQ508" s="93"/>
      <c r="OR508" s="93"/>
      <c r="OS508" s="93"/>
      <c r="OT508" s="93"/>
      <c r="OU508" s="93"/>
      <c r="OV508" s="93"/>
      <c r="OW508" s="93"/>
      <c r="OX508" s="93"/>
      <c r="OY508" s="93"/>
      <c r="OZ508" s="93"/>
      <c r="PA508" s="93"/>
      <c r="PB508" s="93"/>
      <c r="PC508" s="20"/>
      <c r="PD508" s="29"/>
      <c r="PE508" s="19"/>
      <c r="PF508" s="93"/>
      <c r="PG508" s="93"/>
      <c r="PH508" s="93"/>
      <c r="PI508" s="93"/>
      <c r="PJ508" s="93"/>
      <c r="PK508" s="93"/>
      <c r="PL508" s="93"/>
      <c r="PM508" s="93"/>
      <c r="PN508" s="93"/>
      <c r="PO508" s="93"/>
      <c r="PP508" s="93"/>
      <c r="PQ508" s="93"/>
      <c r="PR508" s="93"/>
      <c r="PS508" s="93"/>
      <c r="PT508" s="93"/>
      <c r="PU508" s="93"/>
      <c r="PV508" s="93"/>
      <c r="PW508" s="93"/>
      <c r="PX508" s="93"/>
      <c r="PY508" s="93"/>
      <c r="PZ508" s="93"/>
      <c r="QA508" s="93"/>
      <c r="QB508" s="93"/>
      <c r="QC508" s="93"/>
      <c r="QD508" s="93"/>
      <c r="QE508" s="20"/>
      <c r="QF508" s="1739"/>
      <c r="QG508" s="19"/>
      <c r="QH508" s="93"/>
      <c r="QI508" s="93"/>
      <c r="QJ508" s="93"/>
      <c r="QK508" s="93"/>
      <c r="QL508" s="93"/>
      <c r="QM508" s="93"/>
      <c r="QN508" s="93"/>
      <c r="QO508" s="93"/>
      <c r="QP508" s="93"/>
      <c r="QQ508" s="93"/>
      <c r="QR508" s="93"/>
      <c r="QS508" s="93"/>
      <c r="QT508" s="93"/>
      <c r="QU508" s="93"/>
      <c r="QV508" s="93"/>
      <c r="QW508" s="93"/>
      <c r="QX508" s="93"/>
      <c r="QY508" s="93"/>
      <c r="QZ508" s="93"/>
      <c r="RA508" s="93"/>
      <c r="RB508" s="93"/>
      <c r="RC508" s="93"/>
      <c r="RD508" s="93"/>
      <c r="RE508" s="93"/>
      <c r="RF508" s="93"/>
      <c r="RG508" s="93"/>
      <c r="RH508" s="93"/>
      <c r="RI508" s="93"/>
      <c r="RJ508" s="93"/>
      <c r="RK508" s="93"/>
      <c r="RL508" s="93"/>
      <c r="RM508" s="20"/>
      <c r="RN508" s="29"/>
      <c r="RO508" s="19"/>
      <c r="RP508" s="20"/>
      <c r="RQ508" s="29"/>
      <c r="RR508" s="20"/>
      <c r="RS508" s="29"/>
      <c r="RT508" s="1504">
        <v>49919</v>
      </c>
      <c r="RU508" s="19"/>
      <c r="RV508" s="20"/>
      <c r="RW508" s="29"/>
      <c r="RX508" s="1504">
        <v>49919</v>
      </c>
      <c r="RY508" s="29"/>
      <c r="RZ508" s="20"/>
      <c r="SA508" s="29"/>
      <c r="SB508" s="29"/>
    </row>
    <row r="509" spans="1:496">
      <c r="A509" s="41">
        <f t="shared" si="360"/>
        <v>2036</v>
      </c>
      <c r="B509" s="1504">
        <v>49949</v>
      </c>
      <c r="C509" s="1813"/>
      <c r="D509" s="1814"/>
      <c r="E509" s="1814"/>
      <c r="F509" s="1815"/>
      <c r="G509" s="1814"/>
      <c r="H509" s="1814"/>
      <c r="I509" s="1814"/>
      <c r="J509" s="1816"/>
      <c r="K509" s="1807"/>
      <c r="L509" s="25"/>
      <c r="M509" s="97"/>
      <c r="N509" s="1504">
        <v>49949</v>
      </c>
      <c r="O509" s="19"/>
      <c r="P509" s="93"/>
      <c r="Q509" s="93"/>
      <c r="R509" s="93"/>
      <c r="S509" s="93"/>
      <c r="T509" s="93"/>
      <c r="U509" s="93"/>
      <c r="V509" s="93"/>
      <c r="W509" s="93"/>
      <c r="X509" s="93"/>
      <c r="Y509" s="93"/>
      <c r="Z509" s="93"/>
      <c r="AA509" s="93"/>
      <c r="AB509" s="20"/>
      <c r="AC509" s="25"/>
      <c r="AD509" s="97"/>
      <c r="AE509" s="1504">
        <v>49949</v>
      </c>
      <c r="AF509" s="19"/>
      <c r="AG509" s="93"/>
      <c r="AH509" s="93"/>
      <c r="AI509" s="93"/>
      <c r="AJ509" s="93"/>
      <c r="AK509" s="93"/>
      <c r="AL509" s="93"/>
      <c r="AM509" s="93"/>
      <c r="AN509" s="93"/>
      <c r="AO509" s="93"/>
      <c r="AP509" s="93"/>
      <c r="AQ509" s="93"/>
      <c r="AR509" s="93"/>
      <c r="AS509" s="20"/>
      <c r="AT509" s="25"/>
      <c r="AU509" s="97"/>
      <c r="AV509" s="1504">
        <v>49949</v>
      </c>
      <c r="AW509" s="19"/>
      <c r="AX509" s="93"/>
      <c r="AY509" s="93"/>
      <c r="AZ509" s="93"/>
      <c r="BA509" s="93"/>
      <c r="BB509" s="93"/>
      <c r="BC509" s="93"/>
      <c r="BD509" s="93"/>
      <c r="BE509" s="93"/>
      <c r="BF509" s="93"/>
      <c r="BG509" s="93"/>
      <c r="BH509" s="93"/>
      <c r="BI509" s="93"/>
      <c r="BJ509" s="20"/>
      <c r="BK509" s="25"/>
      <c r="BL509" s="97"/>
      <c r="BM509" s="1504">
        <v>49949</v>
      </c>
      <c r="BN509" s="19"/>
      <c r="BO509" s="93"/>
      <c r="BP509" s="93"/>
      <c r="BQ509" s="93"/>
      <c r="BR509" s="93"/>
      <c r="BS509" s="93"/>
      <c r="BT509" s="93"/>
      <c r="BU509" s="20"/>
      <c r="BV509" s="25"/>
      <c r="BW509" s="97"/>
      <c r="BX509" s="1504">
        <v>49949</v>
      </c>
      <c r="BY509" s="19"/>
      <c r="BZ509" s="93"/>
      <c r="CA509" s="93"/>
      <c r="CB509" s="93"/>
      <c r="CC509" s="93"/>
      <c r="CD509" s="25"/>
      <c r="CE509" s="97"/>
      <c r="CF509" s="1504">
        <v>49949</v>
      </c>
      <c r="CG509" s="19"/>
      <c r="CH509" s="93"/>
      <c r="CI509" s="219"/>
      <c r="CJ509" s="20"/>
      <c r="CK509" s="19"/>
      <c r="CL509" s="93"/>
      <c r="CM509" s="93"/>
      <c r="CN509" s="93"/>
      <c r="CO509" s="93"/>
      <c r="CP509" s="20"/>
      <c r="CQ509" s="219"/>
      <c r="CR509" s="93"/>
      <c r="CS509" s="93"/>
      <c r="CT509" s="93"/>
      <c r="CU509" s="93"/>
      <c r="CV509" s="214"/>
      <c r="CW509" s="29"/>
      <c r="CX509" s="41">
        <f t="shared" si="359"/>
        <v>2036</v>
      </c>
      <c r="CY509" s="1504">
        <v>49949</v>
      </c>
      <c r="CZ509" s="19"/>
      <c r="DA509" s="93"/>
      <c r="DB509" s="93"/>
      <c r="DC509" s="93"/>
      <c r="DD509" s="93"/>
      <c r="DE509" s="20"/>
      <c r="DF509" s="29"/>
      <c r="DG509" s="1504">
        <v>49949</v>
      </c>
      <c r="DH509" s="19"/>
      <c r="DI509" s="93"/>
      <c r="DJ509" s="93"/>
      <c r="DK509" s="93"/>
      <c r="DL509" s="93"/>
      <c r="DM509" s="93"/>
      <c r="DN509" s="20"/>
      <c r="DO509" s="295"/>
      <c r="DP509" s="29"/>
      <c r="DQ509" s="1504">
        <v>49949</v>
      </c>
      <c r="DR509" s="19"/>
      <c r="DS509" s="93"/>
      <c r="DT509" s="93"/>
      <c r="DU509" s="93"/>
      <c r="DV509" s="93"/>
      <c r="DW509" s="93"/>
      <c r="DX509" s="20"/>
      <c r="DY509" s="29"/>
      <c r="DZ509" s="1504">
        <v>49949</v>
      </c>
      <c r="EA509" s="19"/>
      <c r="EB509" s="93"/>
      <c r="EC509" s="20"/>
      <c r="ED509" s="29"/>
      <c r="EE509" s="1504">
        <v>49949</v>
      </c>
      <c r="EF509" s="19"/>
      <c r="EG509" s="93"/>
      <c r="EH509" s="93"/>
      <c r="EI509" s="214"/>
      <c r="EJ509" s="93"/>
      <c r="EK509" s="93"/>
      <c r="EL509" s="93"/>
      <c r="EM509" s="93"/>
      <c r="EN509" s="20"/>
      <c r="EO509" s="29"/>
      <c r="EP509" s="1504">
        <v>49949</v>
      </c>
      <c r="EQ509" s="19"/>
      <c r="ER509" s="93"/>
      <c r="ES509" s="93"/>
      <c r="ET509" s="214"/>
      <c r="EU509" s="93"/>
      <c r="EV509" s="93"/>
      <c r="EW509" s="93"/>
      <c r="EX509" s="93"/>
      <c r="EY509" s="20"/>
      <c r="EZ509" s="29"/>
      <c r="FA509" s="1504">
        <v>49949</v>
      </c>
      <c r="FB509" s="29"/>
      <c r="FC509" s="29"/>
      <c r="FD509" s="29"/>
      <c r="FE509" s="29"/>
      <c r="FF509" s="29"/>
      <c r="FG509" s="29"/>
      <c r="FH509" s="29"/>
      <c r="FI509" s="29"/>
      <c r="FJ509" s="29"/>
      <c r="FK509" s="29"/>
      <c r="FL509" s="1504">
        <v>49949</v>
      </c>
      <c r="FM509" s="19"/>
      <c r="FN509" s="93"/>
      <c r="FO509" s="93"/>
      <c r="FP509" s="93"/>
      <c r="FQ509" s="93"/>
      <c r="FR509" s="93"/>
      <c r="FS509" s="93"/>
      <c r="FT509" s="93"/>
      <c r="FU509" s="93"/>
      <c r="FV509" s="93"/>
      <c r="FW509" s="93"/>
      <c r="FX509" s="93"/>
      <c r="FY509" s="93"/>
      <c r="FZ509" s="29"/>
      <c r="GA509" s="1504">
        <v>49949</v>
      </c>
      <c r="GB509" s="19"/>
      <c r="GC509" s="93"/>
      <c r="GD509" s="93"/>
      <c r="GE509" s="93"/>
      <c r="GF509" s="93"/>
      <c r="GG509" s="93"/>
      <c r="GH509" s="93"/>
      <c r="GI509" s="93"/>
      <c r="GJ509" s="93"/>
      <c r="GK509" s="93"/>
      <c r="GL509" s="93"/>
      <c r="GM509" s="93"/>
      <c r="GN509" s="20"/>
      <c r="GO509" s="29"/>
      <c r="GP509" s="1504">
        <v>49949</v>
      </c>
      <c r="GQ509" s="19"/>
      <c r="GR509" s="93"/>
      <c r="GS509" s="93"/>
      <c r="GT509" s="93"/>
      <c r="GU509" s="93"/>
      <c r="GV509" s="20"/>
      <c r="GW509" s="19"/>
      <c r="GX509" s="93"/>
      <c r="GY509" s="93"/>
      <c r="GZ509" s="93"/>
      <c r="HA509" s="93"/>
      <c r="HB509" s="20"/>
      <c r="HC509" s="19"/>
      <c r="HD509" s="93"/>
      <c r="HE509" s="93"/>
      <c r="HF509" s="93"/>
      <c r="HG509" s="93"/>
      <c r="HH509" s="20"/>
      <c r="HI509" s="19"/>
      <c r="HJ509" s="93"/>
      <c r="HK509" s="93"/>
      <c r="HL509" s="93"/>
      <c r="HM509" s="93"/>
      <c r="HN509" s="20"/>
      <c r="HO509" s="219"/>
      <c r="HP509" s="20"/>
      <c r="HQ509" s="25"/>
      <c r="HR509" s="29"/>
      <c r="HS509" s="1504">
        <v>49949</v>
      </c>
      <c r="HT509" s="19"/>
      <c r="HU509" s="93"/>
      <c r="HV509" s="93"/>
      <c r="HW509" s="93"/>
      <c r="HX509" s="93"/>
      <c r="HY509" s="93"/>
      <c r="HZ509" s="93"/>
      <c r="IA509" s="20"/>
      <c r="IB509" s="19"/>
      <c r="IC509" s="93"/>
      <c r="ID509" s="93"/>
      <c r="IE509" s="93"/>
      <c r="IF509" s="93"/>
      <c r="IG509" s="20"/>
      <c r="IH509" s="19"/>
      <c r="II509" s="93"/>
      <c r="IJ509" s="93"/>
      <c r="IK509" s="93"/>
      <c r="IL509" s="93"/>
      <c r="IM509" s="93"/>
      <c r="IN509" s="93"/>
      <c r="IO509" s="20"/>
      <c r="IP509" s="29"/>
      <c r="IQ509" s="19"/>
      <c r="IR509" s="93"/>
      <c r="IS509" s="93"/>
      <c r="IT509" s="93"/>
      <c r="IU509" s="93"/>
      <c r="IV509" s="20"/>
      <c r="IW509" s="29"/>
      <c r="IX509" s="19"/>
      <c r="IY509" s="93"/>
      <c r="IZ509" s="93"/>
      <c r="JA509" s="93"/>
      <c r="JB509" s="93"/>
      <c r="JC509" s="93"/>
      <c r="JD509" s="93"/>
      <c r="JE509" s="20"/>
      <c r="JF509" s="29"/>
      <c r="JG509" s="19"/>
      <c r="JH509" s="93"/>
      <c r="JI509" s="93"/>
      <c r="JJ509" s="93"/>
      <c r="JK509" s="93"/>
      <c r="JL509" s="93"/>
      <c r="JM509" s="93"/>
      <c r="JN509" s="20"/>
      <c r="JO509" s="29"/>
      <c r="JP509" s="19"/>
      <c r="JQ509" s="93"/>
      <c r="JR509" s="93"/>
      <c r="JS509" s="93"/>
      <c r="JT509" s="93"/>
      <c r="JU509" s="20"/>
      <c r="JV509" s="29"/>
      <c r="JW509" s="1504">
        <v>49949</v>
      </c>
      <c r="JX509" s="19"/>
      <c r="JY509" s="93"/>
      <c r="JZ509" s="93"/>
      <c r="KA509" s="93"/>
      <c r="KB509" s="93"/>
      <c r="KC509" s="93"/>
      <c r="KD509" s="20"/>
      <c r="KE509" s="29"/>
      <c r="KF509" s="19"/>
      <c r="KG509" s="93"/>
      <c r="KH509" s="93"/>
      <c r="KI509" s="93"/>
      <c r="KJ509" s="93"/>
      <c r="KK509" s="20"/>
      <c r="KL509" s="29"/>
      <c r="KM509" s="19"/>
      <c r="KN509" s="93"/>
      <c r="KO509" s="93"/>
      <c r="KP509" s="93"/>
      <c r="KQ509" s="93"/>
      <c r="KR509" s="20"/>
      <c r="KS509" s="29"/>
      <c r="KT509" s="19"/>
      <c r="KU509" s="93"/>
      <c r="KV509" s="93"/>
      <c r="KW509" s="93"/>
      <c r="KX509" s="93"/>
      <c r="KY509" s="20"/>
      <c r="KZ509" s="29"/>
      <c r="LA509" s="1504">
        <v>49949</v>
      </c>
      <c r="LB509" s="19"/>
      <c r="LC509" s="93"/>
      <c r="LD509" s="93"/>
      <c r="LE509" s="93"/>
      <c r="LF509" s="93"/>
      <c r="LG509" s="93"/>
      <c r="LH509" s="20"/>
      <c r="LI509" s="29"/>
      <c r="LJ509" s="19"/>
      <c r="LK509" s="93"/>
      <c r="LL509" s="93"/>
      <c r="LM509" s="93"/>
      <c r="LN509" s="93"/>
      <c r="LO509" s="20"/>
      <c r="LP509" s="29"/>
      <c r="LQ509" s="19"/>
      <c r="LR509" s="93"/>
      <c r="LS509" s="93"/>
      <c r="LT509" s="93"/>
      <c r="LU509" s="93"/>
      <c r="LV509" s="93"/>
      <c r="LW509" s="93"/>
      <c r="LX509" s="93"/>
      <c r="LY509" s="93"/>
      <c r="LZ509" s="93"/>
      <c r="MA509" s="20"/>
      <c r="MB509" s="29"/>
      <c r="MC509" s="1504">
        <v>49949</v>
      </c>
      <c r="MD509" s="19"/>
      <c r="ME509" s="93"/>
      <c r="MF509" s="93"/>
      <c r="MG509" s="93"/>
      <c r="MH509" s="93"/>
      <c r="MI509" s="93"/>
      <c r="MJ509" s="93"/>
      <c r="MK509" s="93"/>
      <c r="ML509" s="93"/>
      <c r="MM509" s="93"/>
      <c r="MN509" s="93"/>
      <c r="MO509" s="93"/>
      <c r="MP509" s="93"/>
      <c r="MQ509" s="93"/>
      <c r="MR509" s="93"/>
      <c r="MS509" s="93"/>
      <c r="MT509" s="93"/>
      <c r="MU509" s="93"/>
      <c r="MV509" s="93"/>
      <c r="MW509" s="93"/>
      <c r="MX509" s="93"/>
      <c r="MY509" s="93"/>
      <c r="MZ509" s="93"/>
      <c r="NA509" s="93"/>
      <c r="NB509" s="93"/>
      <c r="NC509" s="93"/>
      <c r="ND509" s="93"/>
      <c r="NE509" s="93"/>
      <c r="NF509" s="93"/>
      <c r="NG509" s="93"/>
      <c r="NH509" s="93"/>
      <c r="NI509" s="93"/>
      <c r="NJ509" s="93"/>
      <c r="NK509" s="93"/>
      <c r="NL509" s="93"/>
      <c r="NM509" s="93"/>
      <c r="NN509" s="93"/>
      <c r="NO509" s="93"/>
      <c r="NP509" s="93"/>
      <c r="NQ509" s="93"/>
      <c r="NR509" s="93"/>
      <c r="NS509" s="93"/>
      <c r="NT509" s="93"/>
      <c r="NU509" s="93"/>
      <c r="NV509" s="93"/>
      <c r="NW509" s="93"/>
      <c r="NX509" s="93"/>
      <c r="NY509" s="93"/>
      <c r="NZ509" s="93"/>
      <c r="OA509" s="93"/>
      <c r="OB509" s="93"/>
      <c r="OC509" s="93"/>
      <c r="OD509" s="20"/>
      <c r="OE509" s="29"/>
      <c r="OF509" s="1504">
        <v>49949</v>
      </c>
      <c r="OG509" s="19"/>
      <c r="OH509" s="93"/>
      <c r="OI509" s="93"/>
      <c r="OJ509" s="93"/>
      <c r="OK509" s="93"/>
      <c r="OL509" s="93"/>
      <c r="OM509" s="93"/>
      <c r="ON509" s="93"/>
      <c r="OO509" s="93"/>
      <c r="OP509" s="93"/>
      <c r="OQ509" s="93"/>
      <c r="OR509" s="93"/>
      <c r="OS509" s="93"/>
      <c r="OT509" s="93"/>
      <c r="OU509" s="93"/>
      <c r="OV509" s="93"/>
      <c r="OW509" s="93"/>
      <c r="OX509" s="93"/>
      <c r="OY509" s="93"/>
      <c r="OZ509" s="93"/>
      <c r="PA509" s="93"/>
      <c r="PB509" s="93"/>
      <c r="PC509" s="20"/>
      <c r="PD509" s="29"/>
      <c r="PE509" s="19"/>
      <c r="PF509" s="93"/>
      <c r="PG509" s="93"/>
      <c r="PH509" s="93"/>
      <c r="PI509" s="93"/>
      <c r="PJ509" s="93"/>
      <c r="PK509" s="93"/>
      <c r="PL509" s="93"/>
      <c r="PM509" s="93"/>
      <c r="PN509" s="93"/>
      <c r="PO509" s="93"/>
      <c r="PP509" s="93"/>
      <c r="PQ509" s="93"/>
      <c r="PR509" s="93"/>
      <c r="PS509" s="93"/>
      <c r="PT509" s="93"/>
      <c r="PU509" s="93"/>
      <c r="PV509" s="93"/>
      <c r="PW509" s="93"/>
      <c r="PX509" s="93"/>
      <c r="PY509" s="93"/>
      <c r="PZ509" s="93"/>
      <c r="QA509" s="93"/>
      <c r="QB509" s="93"/>
      <c r="QC509" s="93"/>
      <c r="QD509" s="93"/>
      <c r="QE509" s="20"/>
      <c r="QF509" s="1739"/>
      <c r="QG509" s="19"/>
      <c r="QH509" s="93"/>
      <c r="QI509" s="93"/>
      <c r="QJ509" s="93"/>
      <c r="QK509" s="93"/>
      <c r="QL509" s="93"/>
      <c r="QM509" s="93"/>
      <c r="QN509" s="93"/>
      <c r="QO509" s="93"/>
      <c r="QP509" s="93"/>
      <c r="QQ509" s="93"/>
      <c r="QR509" s="93"/>
      <c r="QS509" s="93"/>
      <c r="QT509" s="93"/>
      <c r="QU509" s="93"/>
      <c r="QV509" s="93"/>
      <c r="QW509" s="93"/>
      <c r="QX509" s="93"/>
      <c r="QY509" s="93"/>
      <c r="QZ509" s="93"/>
      <c r="RA509" s="93"/>
      <c r="RB509" s="93"/>
      <c r="RC509" s="93"/>
      <c r="RD509" s="93"/>
      <c r="RE509" s="93"/>
      <c r="RF509" s="93"/>
      <c r="RG509" s="93"/>
      <c r="RH509" s="93"/>
      <c r="RI509" s="93"/>
      <c r="RJ509" s="93"/>
      <c r="RK509" s="93"/>
      <c r="RL509" s="93"/>
      <c r="RM509" s="20"/>
      <c r="RN509" s="29"/>
      <c r="RO509" s="19"/>
      <c r="RP509" s="20"/>
      <c r="RQ509" s="29"/>
      <c r="RR509" s="20"/>
      <c r="RS509" s="29"/>
      <c r="RT509" s="1504">
        <v>49949</v>
      </c>
      <c r="RU509" s="19"/>
      <c r="RV509" s="20"/>
      <c r="RW509" s="29"/>
      <c r="RX509" s="1504">
        <v>49949</v>
      </c>
      <c r="RY509" s="29"/>
      <c r="RZ509" s="20"/>
      <c r="SA509" s="29"/>
      <c r="SB509" s="29"/>
    </row>
    <row r="510" spans="1:496">
      <c r="A510" s="41">
        <f t="shared" si="360"/>
        <v>2036</v>
      </c>
      <c r="B510" s="1504">
        <v>49980</v>
      </c>
      <c r="C510" s="1813"/>
      <c r="D510" s="1814"/>
      <c r="E510" s="1814"/>
      <c r="F510" s="1815"/>
      <c r="G510" s="1814"/>
      <c r="H510" s="1814"/>
      <c r="I510" s="1814"/>
      <c r="J510" s="1816"/>
      <c r="K510" s="1807"/>
      <c r="L510" s="25"/>
      <c r="M510" s="97"/>
      <c r="N510" s="1504">
        <v>49980</v>
      </c>
      <c r="O510" s="19"/>
      <c r="P510" s="93"/>
      <c r="Q510" s="93"/>
      <c r="R510" s="93"/>
      <c r="S510" s="93"/>
      <c r="T510" s="93"/>
      <c r="U510" s="93"/>
      <c r="V510" s="93"/>
      <c r="W510" s="93"/>
      <c r="X510" s="93"/>
      <c r="Y510" s="93"/>
      <c r="Z510" s="93"/>
      <c r="AA510" s="93"/>
      <c r="AB510" s="20"/>
      <c r="AC510" s="25"/>
      <c r="AD510" s="97"/>
      <c r="AE510" s="1504">
        <v>49980</v>
      </c>
      <c r="AF510" s="19"/>
      <c r="AG510" s="93"/>
      <c r="AH510" s="93"/>
      <c r="AI510" s="93"/>
      <c r="AJ510" s="93"/>
      <c r="AK510" s="93"/>
      <c r="AL510" s="93"/>
      <c r="AM510" s="93"/>
      <c r="AN510" s="93"/>
      <c r="AO510" s="93"/>
      <c r="AP510" s="93"/>
      <c r="AQ510" s="93"/>
      <c r="AR510" s="93"/>
      <c r="AS510" s="20"/>
      <c r="AT510" s="25"/>
      <c r="AU510" s="97"/>
      <c r="AV510" s="1504">
        <v>49980</v>
      </c>
      <c r="AW510" s="19"/>
      <c r="AX510" s="93"/>
      <c r="AY510" s="93"/>
      <c r="AZ510" s="93"/>
      <c r="BA510" s="93"/>
      <c r="BB510" s="93"/>
      <c r="BC510" s="93"/>
      <c r="BD510" s="93"/>
      <c r="BE510" s="93"/>
      <c r="BF510" s="93"/>
      <c r="BG510" s="93"/>
      <c r="BH510" s="93"/>
      <c r="BI510" s="93"/>
      <c r="BJ510" s="20"/>
      <c r="BK510" s="25"/>
      <c r="BL510" s="97"/>
      <c r="BM510" s="1504">
        <v>49980</v>
      </c>
      <c r="BN510" s="19"/>
      <c r="BO510" s="93"/>
      <c r="BP510" s="93"/>
      <c r="BQ510" s="93"/>
      <c r="BR510" s="93"/>
      <c r="BS510" s="93"/>
      <c r="BT510" s="93"/>
      <c r="BU510" s="20"/>
      <c r="BV510" s="25"/>
      <c r="BW510" s="97"/>
      <c r="BX510" s="1504">
        <v>49980</v>
      </c>
      <c r="BY510" s="19"/>
      <c r="BZ510" s="93"/>
      <c r="CA510" s="93"/>
      <c r="CB510" s="93"/>
      <c r="CC510" s="93"/>
      <c r="CD510" s="25"/>
      <c r="CE510" s="97"/>
      <c r="CF510" s="1504">
        <v>49980</v>
      </c>
      <c r="CG510" s="19"/>
      <c r="CH510" s="93"/>
      <c r="CI510" s="219"/>
      <c r="CJ510" s="20"/>
      <c r="CK510" s="19"/>
      <c r="CL510" s="93"/>
      <c r="CM510" s="93"/>
      <c r="CN510" s="93"/>
      <c r="CO510" s="93"/>
      <c r="CP510" s="20"/>
      <c r="CQ510" s="219"/>
      <c r="CR510" s="93"/>
      <c r="CS510" s="93"/>
      <c r="CT510" s="93"/>
      <c r="CU510" s="93"/>
      <c r="CV510" s="214"/>
      <c r="CW510" s="29"/>
      <c r="CX510" s="41">
        <f t="shared" si="359"/>
        <v>2036</v>
      </c>
      <c r="CY510" s="1504">
        <v>49980</v>
      </c>
      <c r="CZ510" s="19"/>
      <c r="DA510" s="93"/>
      <c r="DB510" s="93"/>
      <c r="DC510" s="93"/>
      <c r="DD510" s="93"/>
      <c r="DE510" s="20"/>
      <c r="DF510" s="29"/>
      <c r="DG510" s="1504">
        <v>49980</v>
      </c>
      <c r="DH510" s="19"/>
      <c r="DI510" s="93"/>
      <c r="DJ510" s="93"/>
      <c r="DK510" s="93"/>
      <c r="DL510" s="93"/>
      <c r="DM510" s="93"/>
      <c r="DN510" s="20"/>
      <c r="DO510" s="295"/>
      <c r="DP510" s="29"/>
      <c r="DQ510" s="1504">
        <v>49980</v>
      </c>
      <c r="DR510" s="19"/>
      <c r="DS510" s="93"/>
      <c r="DT510" s="93"/>
      <c r="DU510" s="93"/>
      <c r="DV510" s="93"/>
      <c r="DW510" s="93"/>
      <c r="DX510" s="20"/>
      <c r="DY510" s="29"/>
      <c r="DZ510" s="1504">
        <v>49980</v>
      </c>
      <c r="EA510" s="19"/>
      <c r="EB510" s="93"/>
      <c r="EC510" s="20"/>
      <c r="ED510" s="29"/>
      <c r="EE510" s="1504">
        <v>49980</v>
      </c>
      <c r="EF510" s="19"/>
      <c r="EG510" s="93"/>
      <c r="EH510" s="93"/>
      <c r="EI510" s="214"/>
      <c r="EJ510" s="93"/>
      <c r="EK510" s="93"/>
      <c r="EL510" s="93"/>
      <c r="EM510" s="93"/>
      <c r="EN510" s="20"/>
      <c r="EO510" s="29"/>
      <c r="EP510" s="1504">
        <v>49980</v>
      </c>
      <c r="EQ510" s="19"/>
      <c r="ER510" s="93"/>
      <c r="ES510" s="93"/>
      <c r="ET510" s="214"/>
      <c r="EU510" s="93"/>
      <c r="EV510" s="93"/>
      <c r="EW510" s="93"/>
      <c r="EX510" s="93"/>
      <c r="EY510" s="20"/>
      <c r="EZ510" s="29"/>
      <c r="FA510" s="1504">
        <v>49980</v>
      </c>
      <c r="FB510" s="29"/>
      <c r="FC510" s="29"/>
      <c r="FD510" s="29"/>
      <c r="FE510" s="29"/>
      <c r="FF510" s="29"/>
      <c r="FG510" s="29"/>
      <c r="FH510" s="29"/>
      <c r="FI510" s="29"/>
      <c r="FJ510" s="29"/>
      <c r="FK510" s="29"/>
      <c r="FL510" s="1504">
        <v>49980</v>
      </c>
      <c r="FM510" s="19"/>
      <c r="FN510" s="93"/>
      <c r="FO510" s="93"/>
      <c r="FP510" s="93"/>
      <c r="FQ510" s="93"/>
      <c r="FR510" s="93"/>
      <c r="FS510" s="93"/>
      <c r="FT510" s="93"/>
      <c r="FU510" s="93"/>
      <c r="FV510" s="93"/>
      <c r="FW510" s="93"/>
      <c r="FX510" s="93"/>
      <c r="FY510" s="93"/>
      <c r="FZ510" s="29"/>
      <c r="GA510" s="1504">
        <v>49980</v>
      </c>
      <c r="GB510" s="19"/>
      <c r="GC510" s="93"/>
      <c r="GD510" s="93"/>
      <c r="GE510" s="93"/>
      <c r="GF510" s="93"/>
      <c r="GG510" s="93"/>
      <c r="GH510" s="93"/>
      <c r="GI510" s="93"/>
      <c r="GJ510" s="93"/>
      <c r="GK510" s="93"/>
      <c r="GL510" s="93"/>
      <c r="GM510" s="93"/>
      <c r="GN510" s="20"/>
      <c r="GO510" s="29"/>
      <c r="GP510" s="1504">
        <v>49980</v>
      </c>
      <c r="GQ510" s="19"/>
      <c r="GR510" s="93"/>
      <c r="GS510" s="93"/>
      <c r="GT510" s="93"/>
      <c r="GU510" s="93"/>
      <c r="GV510" s="20"/>
      <c r="GW510" s="19"/>
      <c r="GX510" s="93"/>
      <c r="GY510" s="93"/>
      <c r="GZ510" s="93"/>
      <c r="HA510" s="93"/>
      <c r="HB510" s="20"/>
      <c r="HC510" s="19"/>
      <c r="HD510" s="93"/>
      <c r="HE510" s="93"/>
      <c r="HF510" s="93"/>
      <c r="HG510" s="93"/>
      <c r="HH510" s="20"/>
      <c r="HI510" s="19"/>
      <c r="HJ510" s="93"/>
      <c r="HK510" s="93"/>
      <c r="HL510" s="93"/>
      <c r="HM510" s="93"/>
      <c r="HN510" s="20"/>
      <c r="HO510" s="219"/>
      <c r="HP510" s="20"/>
      <c r="HQ510" s="25"/>
      <c r="HR510" s="29"/>
      <c r="HS510" s="1504">
        <v>49980</v>
      </c>
      <c r="HT510" s="19"/>
      <c r="HU510" s="93"/>
      <c r="HV510" s="93"/>
      <c r="HW510" s="93"/>
      <c r="HX510" s="93"/>
      <c r="HY510" s="93"/>
      <c r="HZ510" s="93"/>
      <c r="IA510" s="20"/>
      <c r="IB510" s="19"/>
      <c r="IC510" s="93"/>
      <c r="ID510" s="93"/>
      <c r="IE510" s="93"/>
      <c r="IF510" s="93"/>
      <c r="IG510" s="20"/>
      <c r="IH510" s="19"/>
      <c r="II510" s="93"/>
      <c r="IJ510" s="93"/>
      <c r="IK510" s="93"/>
      <c r="IL510" s="93"/>
      <c r="IM510" s="93"/>
      <c r="IN510" s="93"/>
      <c r="IO510" s="20"/>
      <c r="IP510" s="29"/>
      <c r="IQ510" s="19"/>
      <c r="IR510" s="93"/>
      <c r="IS510" s="93"/>
      <c r="IT510" s="93"/>
      <c r="IU510" s="93"/>
      <c r="IV510" s="20"/>
      <c r="IW510" s="29"/>
      <c r="IX510" s="19"/>
      <c r="IY510" s="93"/>
      <c r="IZ510" s="93"/>
      <c r="JA510" s="93"/>
      <c r="JB510" s="93"/>
      <c r="JC510" s="93"/>
      <c r="JD510" s="93"/>
      <c r="JE510" s="20"/>
      <c r="JF510" s="29"/>
      <c r="JG510" s="19"/>
      <c r="JH510" s="93"/>
      <c r="JI510" s="93"/>
      <c r="JJ510" s="93"/>
      <c r="JK510" s="93"/>
      <c r="JL510" s="93"/>
      <c r="JM510" s="93"/>
      <c r="JN510" s="20"/>
      <c r="JO510" s="29"/>
      <c r="JP510" s="19"/>
      <c r="JQ510" s="93"/>
      <c r="JR510" s="93"/>
      <c r="JS510" s="93"/>
      <c r="JT510" s="93"/>
      <c r="JU510" s="20"/>
      <c r="JV510" s="29"/>
      <c r="JW510" s="1504">
        <v>49980</v>
      </c>
      <c r="JX510" s="19"/>
      <c r="JY510" s="93"/>
      <c r="JZ510" s="93"/>
      <c r="KA510" s="93"/>
      <c r="KB510" s="93"/>
      <c r="KC510" s="93"/>
      <c r="KD510" s="20"/>
      <c r="KE510" s="29"/>
      <c r="KF510" s="19"/>
      <c r="KG510" s="93"/>
      <c r="KH510" s="93"/>
      <c r="KI510" s="93"/>
      <c r="KJ510" s="93"/>
      <c r="KK510" s="20"/>
      <c r="KL510" s="29"/>
      <c r="KM510" s="19"/>
      <c r="KN510" s="93"/>
      <c r="KO510" s="93"/>
      <c r="KP510" s="93"/>
      <c r="KQ510" s="93"/>
      <c r="KR510" s="20"/>
      <c r="KS510" s="29"/>
      <c r="KT510" s="19"/>
      <c r="KU510" s="93"/>
      <c r="KV510" s="93"/>
      <c r="KW510" s="93"/>
      <c r="KX510" s="93"/>
      <c r="KY510" s="20"/>
      <c r="KZ510" s="29"/>
      <c r="LA510" s="1504">
        <v>49980</v>
      </c>
      <c r="LB510" s="19"/>
      <c r="LC510" s="93"/>
      <c r="LD510" s="93"/>
      <c r="LE510" s="93"/>
      <c r="LF510" s="93"/>
      <c r="LG510" s="93"/>
      <c r="LH510" s="20"/>
      <c r="LI510" s="29"/>
      <c r="LJ510" s="19"/>
      <c r="LK510" s="93"/>
      <c r="LL510" s="93"/>
      <c r="LM510" s="93"/>
      <c r="LN510" s="93"/>
      <c r="LO510" s="20"/>
      <c r="LP510" s="29"/>
      <c r="LQ510" s="19"/>
      <c r="LR510" s="93"/>
      <c r="LS510" s="93"/>
      <c r="LT510" s="93"/>
      <c r="LU510" s="93"/>
      <c r="LV510" s="93"/>
      <c r="LW510" s="93"/>
      <c r="LX510" s="93"/>
      <c r="LY510" s="93"/>
      <c r="LZ510" s="93"/>
      <c r="MA510" s="20"/>
      <c r="MB510" s="29"/>
      <c r="MC510" s="1504">
        <v>49980</v>
      </c>
      <c r="MD510" s="19"/>
      <c r="ME510" s="93"/>
      <c r="MF510" s="93"/>
      <c r="MG510" s="93"/>
      <c r="MH510" s="93"/>
      <c r="MI510" s="93"/>
      <c r="MJ510" s="93"/>
      <c r="MK510" s="93"/>
      <c r="ML510" s="93"/>
      <c r="MM510" s="93"/>
      <c r="MN510" s="93"/>
      <c r="MO510" s="93"/>
      <c r="MP510" s="93"/>
      <c r="MQ510" s="93"/>
      <c r="MR510" s="93"/>
      <c r="MS510" s="93"/>
      <c r="MT510" s="93"/>
      <c r="MU510" s="93"/>
      <c r="MV510" s="93"/>
      <c r="MW510" s="93"/>
      <c r="MX510" s="93"/>
      <c r="MY510" s="93"/>
      <c r="MZ510" s="93"/>
      <c r="NA510" s="93"/>
      <c r="NB510" s="93"/>
      <c r="NC510" s="93"/>
      <c r="ND510" s="93"/>
      <c r="NE510" s="93"/>
      <c r="NF510" s="93"/>
      <c r="NG510" s="93"/>
      <c r="NH510" s="93"/>
      <c r="NI510" s="93"/>
      <c r="NJ510" s="93"/>
      <c r="NK510" s="93"/>
      <c r="NL510" s="93"/>
      <c r="NM510" s="93"/>
      <c r="NN510" s="93"/>
      <c r="NO510" s="93"/>
      <c r="NP510" s="93"/>
      <c r="NQ510" s="93"/>
      <c r="NR510" s="93"/>
      <c r="NS510" s="93"/>
      <c r="NT510" s="93"/>
      <c r="NU510" s="93"/>
      <c r="NV510" s="93"/>
      <c r="NW510" s="93"/>
      <c r="NX510" s="93"/>
      <c r="NY510" s="93"/>
      <c r="NZ510" s="93"/>
      <c r="OA510" s="93"/>
      <c r="OB510" s="93"/>
      <c r="OC510" s="93"/>
      <c r="OD510" s="20"/>
      <c r="OE510" s="29"/>
      <c r="OF510" s="1504">
        <v>49980</v>
      </c>
      <c r="OG510" s="19"/>
      <c r="OH510" s="93"/>
      <c r="OI510" s="93"/>
      <c r="OJ510" s="93"/>
      <c r="OK510" s="93"/>
      <c r="OL510" s="93"/>
      <c r="OM510" s="93"/>
      <c r="ON510" s="93"/>
      <c r="OO510" s="93"/>
      <c r="OP510" s="93"/>
      <c r="OQ510" s="93"/>
      <c r="OR510" s="93"/>
      <c r="OS510" s="93"/>
      <c r="OT510" s="93"/>
      <c r="OU510" s="93"/>
      <c r="OV510" s="93"/>
      <c r="OW510" s="93"/>
      <c r="OX510" s="93"/>
      <c r="OY510" s="93"/>
      <c r="OZ510" s="93"/>
      <c r="PA510" s="93"/>
      <c r="PB510" s="93"/>
      <c r="PC510" s="20"/>
      <c r="PD510" s="29"/>
      <c r="PE510" s="19"/>
      <c r="PF510" s="93"/>
      <c r="PG510" s="93"/>
      <c r="PH510" s="93"/>
      <c r="PI510" s="93"/>
      <c r="PJ510" s="93"/>
      <c r="PK510" s="93"/>
      <c r="PL510" s="93"/>
      <c r="PM510" s="93"/>
      <c r="PN510" s="93"/>
      <c r="PO510" s="93"/>
      <c r="PP510" s="93"/>
      <c r="PQ510" s="93"/>
      <c r="PR510" s="93"/>
      <c r="PS510" s="93"/>
      <c r="PT510" s="93"/>
      <c r="PU510" s="93"/>
      <c r="PV510" s="93"/>
      <c r="PW510" s="93"/>
      <c r="PX510" s="93"/>
      <c r="PY510" s="93"/>
      <c r="PZ510" s="93"/>
      <c r="QA510" s="93"/>
      <c r="QB510" s="93"/>
      <c r="QC510" s="93"/>
      <c r="QD510" s="93"/>
      <c r="QE510" s="20"/>
      <c r="QF510" s="1739"/>
      <c r="QG510" s="19"/>
      <c r="QH510" s="93"/>
      <c r="QI510" s="93"/>
      <c r="QJ510" s="93"/>
      <c r="QK510" s="93"/>
      <c r="QL510" s="93"/>
      <c r="QM510" s="93"/>
      <c r="QN510" s="93"/>
      <c r="QO510" s="93"/>
      <c r="QP510" s="93"/>
      <c r="QQ510" s="93"/>
      <c r="QR510" s="93"/>
      <c r="QS510" s="93"/>
      <c r="QT510" s="93"/>
      <c r="QU510" s="93"/>
      <c r="QV510" s="93"/>
      <c r="QW510" s="93"/>
      <c r="QX510" s="93"/>
      <c r="QY510" s="93"/>
      <c r="QZ510" s="93"/>
      <c r="RA510" s="93"/>
      <c r="RB510" s="93"/>
      <c r="RC510" s="93"/>
      <c r="RD510" s="93"/>
      <c r="RE510" s="93"/>
      <c r="RF510" s="93"/>
      <c r="RG510" s="93"/>
      <c r="RH510" s="93"/>
      <c r="RI510" s="93"/>
      <c r="RJ510" s="93"/>
      <c r="RK510" s="93"/>
      <c r="RL510" s="93"/>
      <c r="RM510" s="20"/>
      <c r="RN510" s="29"/>
      <c r="RO510" s="19"/>
      <c r="RP510" s="20"/>
      <c r="RQ510" s="29"/>
      <c r="RR510" s="20"/>
      <c r="RS510" s="29"/>
      <c r="RT510" s="1504">
        <v>49980</v>
      </c>
      <c r="RU510" s="19"/>
      <c r="RV510" s="20"/>
      <c r="RW510" s="29"/>
      <c r="RX510" s="1504">
        <v>49980</v>
      </c>
      <c r="RY510" s="29"/>
      <c r="RZ510" s="20"/>
      <c r="SA510" s="29"/>
      <c r="SB510" s="29"/>
    </row>
    <row r="511" spans="1:496">
      <c r="A511" s="41">
        <f t="shared" si="360"/>
        <v>2036</v>
      </c>
      <c r="B511" s="1504">
        <v>50010</v>
      </c>
      <c r="C511" s="1813"/>
      <c r="D511" s="1814"/>
      <c r="E511" s="1814"/>
      <c r="F511" s="1815"/>
      <c r="G511" s="1814"/>
      <c r="H511" s="1814"/>
      <c r="I511" s="1814"/>
      <c r="J511" s="1816"/>
      <c r="K511" s="1807"/>
      <c r="L511" s="25"/>
      <c r="M511" s="97"/>
      <c r="N511" s="1504">
        <v>50010</v>
      </c>
      <c r="O511" s="19"/>
      <c r="P511" s="93"/>
      <c r="Q511" s="93"/>
      <c r="R511" s="93"/>
      <c r="S511" s="93"/>
      <c r="T511" s="93"/>
      <c r="U511" s="93"/>
      <c r="V511" s="93"/>
      <c r="W511" s="93"/>
      <c r="X511" s="93"/>
      <c r="Y511" s="93"/>
      <c r="Z511" s="93"/>
      <c r="AA511" s="93"/>
      <c r="AB511" s="20"/>
      <c r="AC511" s="25"/>
      <c r="AD511" s="97"/>
      <c r="AE511" s="1504">
        <v>50010</v>
      </c>
      <c r="AF511" s="19"/>
      <c r="AG511" s="93"/>
      <c r="AH511" s="93"/>
      <c r="AI511" s="93"/>
      <c r="AJ511" s="93"/>
      <c r="AK511" s="93"/>
      <c r="AL511" s="93"/>
      <c r="AM511" s="93"/>
      <c r="AN511" s="93"/>
      <c r="AO511" s="93"/>
      <c r="AP511" s="93"/>
      <c r="AQ511" s="93"/>
      <c r="AR511" s="93"/>
      <c r="AS511" s="20"/>
      <c r="AT511" s="25"/>
      <c r="AU511" s="97"/>
      <c r="AV511" s="1504">
        <v>50010</v>
      </c>
      <c r="AW511" s="19"/>
      <c r="AX511" s="93"/>
      <c r="AY511" s="93"/>
      <c r="AZ511" s="93"/>
      <c r="BA511" s="93"/>
      <c r="BB511" s="93"/>
      <c r="BC511" s="93"/>
      <c r="BD511" s="93"/>
      <c r="BE511" s="93"/>
      <c r="BF511" s="93"/>
      <c r="BG511" s="93"/>
      <c r="BH511" s="93"/>
      <c r="BI511" s="93"/>
      <c r="BJ511" s="20"/>
      <c r="BK511" s="25"/>
      <c r="BL511" s="97"/>
      <c r="BM511" s="1504">
        <v>50010</v>
      </c>
      <c r="BN511" s="19"/>
      <c r="BO511" s="93"/>
      <c r="BP511" s="93"/>
      <c r="BQ511" s="93"/>
      <c r="BR511" s="93"/>
      <c r="BS511" s="93"/>
      <c r="BT511" s="93"/>
      <c r="BU511" s="20"/>
      <c r="BV511" s="25"/>
      <c r="BW511" s="97"/>
      <c r="BX511" s="1504">
        <v>50010</v>
      </c>
      <c r="BY511" s="19"/>
      <c r="BZ511" s="93"/>
      <c r="CA511" s="93"/>
      <c r="CB511" s="93"/>
      <c r="CC511" s="93"/>
      <c r="CD511" s="25"/>
      <c r="CE511" s="97"/>
      <c r="CF511" s="1504">
        <v>50010</v>
      </c>
      <c r="CG511" s="19"/>
      <c r="CH511" s="93"/>
      <c r="CI511" s="219"/>
      <c r="CJ511" s="20"/>
      <c r="CK511" s="19"/>
      <c r="CL511" s="93"/>
      <c r="CM511" s="93"/>
      <c r="CN511" s="93"/>
      <c r="CO511" s="93"/>
      <c r="CP511" s="20"/>
      <c r="CQ511" s="219"/>
      <c r="CR511" s="93"/>
      <c r="CS511" s="93"/>
      <c r="CT511" s="93"/>
      <c r="CU511" s="93"/>
      <c r="CV511" s="214"/>
      <c r="CW511" s="29"/>
      <c r="CX511" s="41">
        <f t="shared" si="359"/>
        <v>2036</v>
      </c>
      <c r="CY511" s="1504">
        <v>50010</v>
      </c>
      <c r="CZ511" s="19"/>
      <c r="DA511" s="93"/>
      <c r="DB511" s="93"/>
      <c r="DC511" s="93"/>
      <c r="DD511" s="93"/>
      <c r="DE511" s="20"/>
      <c r="DF511" s="29"/>
      <c r="DG511" s="1504">
        <v>50010</v>
      </c>
      <c r="DH511" s="19"/>
      <c r="DI511" s="93"/>
      <c r="DJ511" s="93"/>
      <c r="DK511" s="93"/>
      <c r="DL511" s="93"/>
      <c r="DM511" s="93"/>
      <c r="DN511" s="20"/>
      <c r="DO511" s="295"/>
      <c r="DP511" s="29"/>
      <c r="DQ511" s="1504">
        <v>50010</v>
      </c>
      <c r="DR511" s="19"/>
      <c r="DS511" s="93"/>
      <c r="DT511" s="93"/>
      <c r="DU511" s="93"/>
      <c r="DV511" s="93"/>
      <c r="DW511" s="93"/>
      <c r="DX511" s="20"/>
      <c r="DY511" s="29"/>
      <c r="DZ511" s="1504">
        <v>50010</v>
      </c>
      <c r="EA511" s="19"/>
      <c r="EB511" s="93"/>
      <c r="EC511" s="20"/>
      <c r="ED511" s="29"/>
      <c r="EE511" s="1504">
        <v>50010</v>
      </c>
      <c r="EF511" s="19"/>
      <c r="EG511" s="93"/>
      <c r="EH511" s="93"/>
      <c r="EI511" s="214"/>
      <c r="EJ511" s="93"/>
      <c r="EK511" s="93"/>
      <c r="EL511" s="93"/>
      <c r="EM511" s="93"/>
      <c r="EN511" s="20"/>
      <c r="EO511" s="29"/>
      <c r="EP511" s="1504">
        <v>50010</v>
      </c>
      <c r="EQ511" s="19"/>
      <c r="ER511" s="93"/>
      <c r="ES511" s="93"/>
      <c r="ET511" s="214"/>
      <c r="EU511" s="93"/>
      <c r="EV511" s="93"/>
      <c r="EW511" s="93"/>
      <c r="EX511" s="93"/>
      <c r="EY511" s="20"/>
      <c r="EZ511" s="29"/>
      <c r="FA511" s="1504">
        <v>50010</v>
      </c>
      <c r="FB511" s="29"/>
      <c r="FC511" s="29"/>
      <c r="FD511" s="29"/>
      <c r="FE511" s="29"/>
      <c r="FF511" s="29"/>
      <c r="FG511" s="29"/>
      <c r="FH511" s="29"/>
      <c r="FI511" s="29"/>
      <c r="FJ511" s="29"/>
      <c r="FK511" s="29"/>
      <c r="FL511" s="1504">
        <v>50010</v>
      </c>
      <c r="FM511" s="19"/>
      <c r="FN511" s="93"/>
      <c r="FO511" s="93"/>
      <c r="FP511" s="93"/>
      <c r="FQ511" s="93"/>
      <c r="FR511" s="93"/>
      <c r="FS511" s="93"/>
      <c r="FT511" s="93"/>
      <c r="FU511" s="93"/>
      <c r="FV511" s="93"/>
      <c r="FW511" s="93"/>
      <c r="FX511" s="93"/>
      <c r="FY511" s="93"/>
      <c r="FZ511" s="29"/>
      <c r="GA511" s="1504">
        <v>50010</v>
      </c>
      <c r="GB511" s="19"/>
      <c r="GC511" s="93"/>
      <c r="GD511" s="93"/>
      <c r="GE511" s="93"/>
      <c r="GF511" s="93"/>
      <c r="GG511" s="93"/>
      <c r="GH511" s="93"/>
      <c r="GI511" s="93"/>
      <c r="GJ511" s="93"/>
      <c r="GK511" s="93"/>
      <c r="GL511" s="93"/>
      <c r="GM511" s="93"/>
      <c r="GN511" s="20"/>
      <c r="GO511" s="29"/>
      <c r="GP511" s="1504">
        <v>50010</v>
      </c>
      <c r="GQ511" s="19"/>
      <c r="GR511" s="93"/>
      <c r="GS511" s="93"/>
      <c r="GT511" s="93"/>
      <c r="GU511" s="93"/>
      <c r="GV511" s="20"/>
      <c r="GW511" s="19"/>
      <c r="GX511" s="93"/>
      <c r="GY511" s="93"/>
      <c r="GZ511" s="93"/>
      <c r="HA511" s="93"/>
      <c r="HB511" s="20"/>
      <c r="HC511" s="19"/>
      <c r="HD511" s="93"/>
      <c r="HE511" s="93"/>
      <c r="HF511" s="93"/>
      <c r="HG511" s="93"/>
      <c r="HH511" s="20"/>
      <c r="HI511" s="19"/>
      <c r="HJ511" s="93"/>
      <c r="HK511" s="93"/>
      <c r="HL511" s="93"/>
      <c r="HM511" s="93"/>
      <c r="HN511" s="20"/>
      <c r="HO511" s="219"/>
      <c r="HP511" s="20"/>
      <c r="HQ511" s="25"/>
      <c r="HR511" s="29"/>
      <c r="HS511" s="1504">
        <v>50010</v>
      </c>
      <c r="HT511" s="19"/>
      <c r="HU511" s="93"/>
      <c r="HV511" s="93"/>
      <c r="HW511" s="93"/>
      <c r="HX511" s="93"/>
      <c r="HY511" s="93"/>
      <c r="HZ511" s="93"/>
      <c r="IA511" s="20"/>
      <c r="IB511" s="19"/>
      <c r="IC511" s="93"/>
      <c r="ID511" s="93"/>
      <c r="IE511" s="93"/>
      <c r="IF511" s="93"/>
      <c r="IG511" s="20"/>
      <c r="IH511" s="19"/>
      <c r="II511" s="93"/>
      <c r="IJ511" s="93"/>
      <c r="IK511" s="93"/>
      <c r="IL511" s="93"/>
      <c r="IM511" s="93"/>
      <c r="IN511" s="93"/>
      <c r="IO511" s="20"/>
      <c r="IP511" s="29"/>
      <c r="IQ511" s="19"/>
      <c r="IR511" s="93"/>
      <c r="IS511" s="93"/>
      <c r="IT511" s="93"/>
      <c r="IU511" s="93"/>
      <c r="IV511" s="20"/>
      <c r="IW511" s="29"/>
      <c r="IX511" s="19"/>
      <c r="IY511" s="93"/>
      <c r="IZ511" s="93"/>
      <c r="JA511" s="93"/>
      <c r="JB511" s="93"/>
      <c r="JC511" s="93"/>
      <c r="JD511" s="93"/>
      <c r="JE511" s="20"/>
      <c r="JF511" s="29"/>
      <c r="JG511" s="19"/>
      <c r="JH511" s="93"/>
      <c r="JI511" s="93"/>
      <c r="JJ511" s="93"/>
      <c r="JK511" s="93"/>
      <c r="JL511" s="93"/>
      <c r="JM511" s="93"/>
      <c r="JN511" s="20"/>
      <c r="JO511" s="29"/>
      <c r="JP511" s="19"/>
      <c r="JQ511" s="93"/>
      <c r="JR511" s="93"/>
      <c r="JS511" s="93"/>
      <c r="JT511" s="93"/>
      <c r="JU511" s="20"/>
      <c r="JV511" s="29"/>
      <c r="JW511" s="1504">
        <v>50010</v>
      </c>
      <c r="JX511" s="19"/>
      <c r="JY511" s="93"/>
      <c r="JZ511" s="93"/>
      <c r="KA511" s="93"/>
      <c r="KB511" s="93"/>
      <c r="KC511" s="93"/>
      <c r="KD511" s="20"/>
      <c r="KE511" s="29"/>
      <c r="KF511" s="19"/>
      <c r="KG511" s="93"/>
      <c r="KH511" s="93"/>
      <c r="KI511" s="93"/>
      <c r="KJ511" s="93"/>
      <c r="KK511" s="20"/>
      <c r="KL511" s="29"/>
      <c r="KM511" s="19"/>
      <c r="KN511" s="93"/>
      <c r="KO511" s="93"/>
      <c r="KP511" s="93"/>
      <c r="KQ511" s="93"/>
      <c r="KR511" s="20"/>
      <c r="KS511" s="29"/>
      <c r="KT511" s="19"/>
      <c r="KU511" s="93"/>
      <c r="KV511" s="93"/>
      <c r="KW511" s="93"/>
      <c r="KX511" s="93"/>
      <c r="KY511" s="20"/>
      <c r="KZ511" s="29"/>
      <c r="LA511" s="1504">
        <v>50010</v>
      </c>
      <c r="LB511" s="19"/>
      <c r="LC511" s="93"/>
      <c r="LD511" s="93"/>
      <c r="LE511" s="93"/>
      <c r="LF511" s="93"/>
      <c r="LG511" s="93"/>
      <c r="LH511" s="20"/>
      <c r="LI511" s="29"/>
      <c r="LJ511" s="19"/>
      <c r="LK511" s="93"/>
      <c r="LL511" s="93"/>
      <c r="LM511" s="93"/>
      <c r="LN511" s="93"/>
      <c r="LO511" s="20"/>
      <c r="LP511" s="29"/>
      <c r="LQ511" s="19"/>
      <c r="LR511" s="93"/>
      <c r="LS511" s="93"/>
      <c r="LT511" s="93"/>
      <c r="LU511" s="93"/>
      <c r="LV511" s="93"/>
      <c r="LW511" s="93"/>
      <c r="LX511" s="93"/>
      <c r="LY511" s="93"/>
      <c r="LZ511" s="93"/>
      <c r="MA511" s="20"/>
      <c r="MB511" s="29"/>
      <c r="MC511" s="1504">
        <v>50010</v>
      </c>
      <c r="MD511" s="19"/>
      <c r="ME511" s="93"/>
      <c r="MF511" s="93"/>
      <c r="MG511" s="93"/>
      <c r="MH511" s="93"/>
      <c r="MI511" s="93"/>
      <c r="MJ511" s="93"/>
      <c r="MK511" s="93"/>
      <c r="ML511" s="93"/>
      <c r="MM511" s="93"/>
      <c r="MN511" s="93"/>
      <c r="MO511" s="93"/>
      <c r="MP511" s="93"/>
      <c r="MQ511" s="93"/>
      <c r="MR511" s="93"/>
      <c r="MS511" s="93"/>
      <c r="MT511" s="93"/>
      <c r="MU511" s="93"/>
      <c r="MV511" s="93"/>
      <c r="MW511" s="93"/>
      <c r="MX511" s="93"/>
      <c r="MY511" s="93"/>
      <c r="MZ511" s="93"/>
      <c r="NA511" s="93"/>
      <c r="NB511" s="93"/>
      <c r="NC511" s="93"/>
      <c r="ND511" s="93"/>
      <c r="NE511" s="93"/>
      <c r="NF511" s="93"/>
      <c r="NG511" s="93"/>
      <c r="NH511" s="93"/>
      <c r="NI511" s="93"/>
      <c r="NJ511" s="93"/>
      <c r="NK511" s="93"/>
      <c r="NL511" s="93"/>
      <c r="NM511" s="93"/>
      <c r="NN511" s="93"/>
      <c r="NO511" s="93"/>
      <c r="NP511" s="93"/>
      <c r="NQ511" s="93"/>
      <c r="NR511" s="93"/>
      <c r="NS511" s="93"/>
      <c r="NT511" s="93"/>
      <c r="NU511" s="93"/>
      <c r="NV511" s="93"/>
      <c r="NW511" s="93"/>
      <c r="NX511" s="93"/>
      <c r="NY511" s="93"/>
      <c r="NZ511" s="93"/>
      <c r="OA511" s="93"/>
      <c r="OB511" s="93"/>
      <c r="OC511" s="93"/>
      <c r="OD511" s="20"/>
      <c r="OE511" s="29"/>
      <c r="OF511" s="1504">
        <v>50010</v>
      </c>
      <c r="OG511" s="19"/>
      <c r="OH511" s="93"/>
      <c r="OI511" s="93"/>
      <c r="OJ511" s="93"/>
      <c r="OK511" s="93"/>
      <c r="OL511" s="93"/>
      <c r="OM511" s="93"/>
      <c r="ON511" s="93"/>
      <c r="OO511" s="93"/>
      <c r="OP511" s="93"/>
      <c r="OQ511" s="93"/>
      <c r="OR511" s="93"/>
      <c r="OS511" s="93"/>
      <c r="OT511" s="93"/>
      <c r="OU511" s="93"/>
      <c r="OV511" s="93"/>
      <c r="OW511" s="93"/>
      <c r="OX511" s="93"/>
      <c r="OY511" s="93"/>
      <c r="OZ511" s="93"/>
      <c r="PA511" s="93"/>
      <c r="PB511" s="93"/>
      <c r="PC511" s="20"/>
      <c r="PD511" s="29"/>
      <c r="PE511" s="19"/>
      <c r="PF511" s="93"/>
      <c r="PG511" s="93"/>
      <c r="PH511" s="93"/>
      <c r="PI511" s="93"/>
      <c r="PJ511" s="93"/>
      <c r="PK511" s="93"/>
      <c r="PL511" s="93"/>
      <c r="PM511" s="93"/>
      <c r="PN511" s="93"/>
      <c r="PO511" s="93"/>
      <c r="PP511" s="93"/>
      <c r="PQ511" s="93"/>
      <c r="PR511" s="93"/>
      <c r="PS511" s="93"/>
      <c r="PT511" s="93"/>
      <c r="PU511" s="93"/>
      <c r="PV511" s="93"/>
      <c r="PW511" s="93"/>
      <c r="PX511" s="93"/>
      <c r="PY511" s="93"/>
      <c r="PZ511" s="93"/>
      <c r="QA511" s="93"/>
      <c r="QB511" s="93"/>
      <c r="QC511" s="93"/>
      <c r="QD511" s="93"/>
      <c r="QE511" s="20"/>
      <c r="QF511" s="1739"/>
      <c r="QG511" s="19"/>
      <c r="QH511" s="93"/>
      <c r="QI511" s="93"/>
      <c r="QJ511" s="93"/>
      <c r="QK511" s="93"/>
      <c r="QL511" s="93"/>
      <c r="QM511" s="93"/>
      <c r="QN511" s="93"/>
      <c r="QO511" s="93"/>
      <c r="QP511" s="93"/>
      <c r="QQ511" s="93"/>
      <c r="QR511" s="93"/>
      <c r="QS511" s="93"/>
      <c r="QT511" s="93"/>
      <c r="QU511" s="93"/>
      <c r="QV511" s="93"/>
      <c r="QW511" s="93"/>
      <c r="QX511" s="93"/>
      <c r="QY511" s="93"/>
      <c r="QZ511" s="93"/>
      <c r="RA511" s="93"/>
      <c r="RB511" s="93"/>
      <c r="RC511" s="93"/>
      <c r="RD511" s="93"/>
      <c r="RE511" s="93"/>
      <c r="RF511" s="93"/>
      <c r="RG511" s="93"/>
      <c r="RH511" s="93"/>
      <c r="RI511" s="93"/>
      <c r="RJ511" s="93"/>
      <c r="RK511" s="93"/>
      <c r="RL511" s="93"/>
      <c r="RM511" s="20"/>
      <c r="RN511" s="29"/>
      <c r="RO511" s="19"/>
      <c r="RP511" s="20"/>
      <c r="RQ511" s="29"/>
      <c r="RR511" s="20"/>
      <c r="RS511" s="29"/>
      <c r="RT511" s="1504">
        <v>50010</v>
      </c>
      <c r="RU511" s="19"/>
      <c r="RV511" s="20"/>
      <c r="RW511" s="29"/>
      <c r="RX511" s="1504">
        <v>50010</v>
      </c>
      <c r="RY511" s="29"/>
      <c r="RZ511" s="20"/>
      <c r="SA511" s="29"/>
      <c r="SB511" s="29"/>
    </row>
    <row r="512" spans="1:496">
      <c r="A512" s="41">
        <f t="shared" si="360"/>
        <v>2037</v>
      </c>
      <c r="B512" s="1504">
        <v>50041</v>
      </c>
      <c r="C512" s="1813"/>
      <c r="D512" s="1814"/>
      <c r="E512" s="1814"/>
      <c r="F512" s="1815"/>
      <c r="G512" s="1814"/>
      <c r="H512" s="1814"/>
      <c r="I512" s="1814"/>
      <c r="J512" s="1816"/>
      <c r="K512" s="1807"/>
      <c r="L512" s="25"/>
      <c r="M512" s="97"/>
      <c r="N512" s="1504">
        <v>50041</v>
      </c>
      <c r="O512" s="19"/>
      <c r="P512" s="93"/>
      <c r="Q512" s="93"/>
      <c r="R512" s="93"/>
      <c r="S512" s="93"/>
      <c r="T512" s="93"/>
      <c r="U512" s="93"/>
      <c r="V512" s="93"/>
      <c r="W512" s="93"/>
      <c r="X512" s="93"/>
      <c r="Y512" s="93"/>
      <c r="Z512" s="93"/>
      <c r="AA512" s="93"/>
      <c r="AB512" s="20"/>
      <c r="AC512" s="25"/>
      <c r="AD512" s="97"/>
      <c r="AE512" s="1504">
        <v>50041</v>
      </c>
      <c r="AF512" s="19"/>
      <c r="AG512" s="93"/>
      <c r="AH512" s="93"/>
      <c r="AI512" s="93"/>
      <c r="AJ512" s="93"/>
      <c r="AK512" s="93"/>
      <c r="AL512" s="93"/>
      <c r="AM512" s="93"/>
      <c r="AN512" s="93"/>
      <c r="AO512" s="93"/>
      <c r="AP512" s="93"/>
      <c r="AQ512" s="93"/>
      <c r="AR512" s="93"/>
      <c r="AS512" s="20"/>
      <c r="AT512" s="25"/>
      <c r="AU512" s="97"/>
      <c r="AV512" s="1504">
        <v>50041</v>
      </c>
      <c r="AW512" s="19"/>
      <c r="AX512" s="93"/>
      <c r="AY512" s="93"/>
      <c r="AZ512" s="93"/>
      <c r="BA512" s="93"/>
      <c r="BB512" s="93"/>
      <c r="BC512" s="93"/>
      <c r="BD512" s="93"/>
      <c r="BE512" s="93"/>
      <c r="BF512" s="93"/>
      <c r="BG512" s="93"/>
      <c r="BH512" s="93"/>
      <c r="BI512" s="93"/>
      <c r="BJ512" s="20"/>
      <c r="BK512" s="25"/>
      <c r="BL512" s="97"/>
      <c r="BM512" s="1504">
        <v>50041</v>
      </c>
      <c r="BN512" s="19"/>
      <c r="BO512" s="93"/>
      <c r="BP512" s="93"/>
      <c r="BQ512" s="93"/>
      <c r="BR512" s="93"/>
      <c r="BS512" s="93"/>
      <c r="BT512" s="93"/>
      <c r="BU512" s="20"/>
      <c r="BV512" s="25"/>
      <c r="BW512" s="97"/>
      <c r="BX512" s="1504">
        <v>50041</v>
      </c>
      <c r="BY512" s="19"/>
      <c r="BZ512" s="93"/>
      <c r="CA512" s="93"/>
      <c r="CB512" s="93"/>
      <c r="CC512" s="93"/>
      <c r="CD512" s="25"/>
      <c r="CE512" s="97"/>
      <c r="CF512" s="1504">
        <v>50041</v>
      </c>
      <c r="CG512" s="19"/>
      <c r="CH512" s="93"/>
      <c r="CI512" s="219"/>
      <c r="CJ512" s="20"/>
      <c r="CK512" s="19"/>
      <c r="CL512" s="93"/>
      <c r="CM512" s="93"/>
      <c r="CN512" s="93"/>
      <c r="CO512" s="93"/>
      <c r="CP512" s="20"/>
      <c r="CQ512" s="219"/>
      <c r="CR512" s="93"/>
      <c r="CS512" s="93"/>
      <c r="CT512" s="93"/>
      <c r="CU512" s="93"/>
      <c r="CV512" s="214"/>
      <c r="CW512" s="29"/>
      <c r="CX512" s="41">
        <f t="shared" si="359"/>
        <v>2037</v>
      </c>
      <c r="CY512" s="1504">
        <v>50041</v>
      </c>
      <c r="CZ512" s="19"/>
      <c r="DA512" s="93"/>
      <c r="DB512" s="93"/>
      <c r="DC512" s="93"/>
      <c r="DD512" s="93"/>
      <c r="DE512" s="20"/>
      <c r="DF512" s="29"/>
      <c r="DG512" s="1504">
        <v>50041</v>
      </c>
      <c r="DH512" s="19"/>
      <c r="DI512" s="93"/>
      <c r="DJ512" s="93"/>
      <c r="DK512" s="93"/>
      <c r="DL512" s="93"/>
      <c r="DM512" s="93"/>
      <c r="DN512" s="20"/>
      <c r="DO512" s="295"/>
      <c r="DP512" s="29"/>
      <c r="DQ512" s="1504">
        <v>50041</v>
      </c>
      <c r="DR512" s="19"/>
      <c r="DS512" s="93"/>
      <c r="DT512" s="93"/>
      <c r="DU512" s="93"/>
      <c r="DV512" s="93"/>
      <c r="DW512" s="93"/>
      <c r="DX512" s="20"/>
      <c r="DY512" s="29"/>
      <c r="DZ512" s="1504">
        <v>50041</v>
      </c>
      <c r="EA512" s="19"/>
      <c r="EB512" s="93"/>
      <c r="EC512" s="20"/>
      <c r="ED512" s="29"/>
      <c r="EE512" s="1504">
        <v>50041</v>
      </c>
      <c r="EF512" s="19"/>
      <c r="EG512" s="93"/>
      <c r="EH512" s="93"/>
      <c r="EI512" s="214"/>
      <c r="EJ512" s="93"/>
      <c r="EK512" s="93"/>
      <c r="EL512" s="93"/>
      <c r="EM512" s="93"/>
      <c r="EN512" s="20"/>
      <c r="EO512" s="29"/>
      <c r="EP512" s="1504">
        <v>50041</v>
      </c>
      <c r="EQ512" s="19"/>
      <c r="ER512" s="93"/>
      <c r="ES512" s="93"/>
      <c r="ET512" s="214"/>
      <c r="EU512" s="93"/>
      <c r="EV512" s="93"/>
      <c r="EW512" s="93"/>
      <c r="EX512" s="93"/>
      <c r="EY512" s="20"/>
      <c r="EZ512" s="29"/>
      <c r="FA512" s="1504">
        <v>50041</v>
      </c>
      <c r="FB512" s="29"/>
      <c r="FC512" s="29"/>
      <c r="FD512" s="29"/>
      <c r="FE512" s="29"/>
      <c r="FF512" s="29"/>
      <c r="FG512" s="29"/>
      <c r="FH512" s="29"/>
      <c r="FI512" s="29"/>
      <c r="FJ512" s="29"/>
      <c r="FK512" s="29"/>
      <c r="FL512" s="1504">
        <v>50041</v>
      </c>
      <c r="FM512" s="19"/>
      <c r="FN512" s="93"/>
      <c r="FO512" s="93"/>
      <c r="FP512" s="93"/>
      <c r="FQ512" s="93"/>
      <c r="FR512" s="93"/>
      <c r="FS512" s="93"/>
      <c r="FT512" s="93"/>
      <c r="FU512" s="93"/>
      <c r="FV512" s="93"/>
      <c r="FW512" s="93"/>
      <c r="FX512" s="93"/>
      <c r="FY512" s="93"/>
      <c r="FZ512" s="29"/>
      <c r="GA512" s="1504">
        <v>50041</v>
      </c>
      <c r="GB512" s="19"/>
      <c r="GC512" s="93"/>
      <c r="GD512" s="93"/>
      <c r="GE512" s="93"/>
      <c r="GF512" s="93"/>
      <c r="GG512" s="93"/>
      <c r="GH512" s="93"/>
      <c r="GI512" s="93"/>
      <c r="GJ512" s="93"/>
      <c r="GK512" s="93"/>
      <c r="GL512" s="93"/>
      <c r="GM512" s="93"/>
      <c r="GN512" s="20"/>
      <c r="GO512" s="29"/>
      <c r="GP512" s="1504">
        <v>50041</v>
      </c>
      <c r="GQ512" s="19"/>
      <c r="GR512" s="93"/>
      <c r="GS512" s="93"/>
      <c r="GT512" s="93"/>
      <c r="GU512" s="93"/>
      <c r="GV512" s="20"/>
      <c r="GW512" s="19"/>
      <c r="GX512" s="93"/>
      <c r="GY512" s="93"/>
      <c r="GZ512" s="93"/>
      <c r="HA512" s="93"/>
      <c r="HB512" s="20"/>
      <c r="HC512" s="19"/>
      <c r="HD512" s="93"/>
      <c r="HE512" s="93"/>
      <c r="HF512" s="93"/>
      <c r="HG512" s="93"/>
      <c r="HH512" s="20"/>
      <c r="HI512" s="19"/>
      <c r="HJ512" s="93"/>
      <c r="HK512" s="93"/>
      <c r="HL512" s="93"/>
      <c r="HM512" s="93"/>
      <c r="HN512" s="20"/>
      <c r="HO512" s="219"/>
      <c r="HP512" s="20"/>
      <c r="HQ512" s="25"/>
      <c r="HR512" s="29"/>
      <c r="HS512" s="1504">
        <v>50041</v>
      </c>
      <c r="HT512" s="19"/>
      <c r="HU512" s="93"/>
      <c r="HV512" s="93"/>
      <c r="HW512" s="93"/>
      <c r="HX512" s="93"/>
      <c r="HY512" s="93"/>
      <c r="HZ512" s="93"/>
      <c r="IA512" s="20"/>
      <c r="IB512" s="19"/>
      <c r="IC512" s="93"/>
      <c r="ID512" s="93"/>
      <c r="IE512" s="93"/>
      <c r="IF512" s="93"/>
      <c r="IG512" s="20"/>
      <c r="IH512" s="19"/>
      <c r="II512" s="93"/>
      <c r="IJ512" s="93"/>
      <c r="IK512" s="93"/>
      <c r="IL512" s="93"/>
      <c r="IM512" s="93"/>
      <c r="IN512" s="93"/>
      <c r="IO512" s="20"/>
      <c r="IP512" s="29"/>
      <c r="IQ512" s="19"/>
      <c r="IR512" s="93"/>
      <c r="IS512" s="93"/>
      <c r="IT512" s="93"/>
      <c r="IU512" s="93"/>
      <c r="IV512" s="20"/>
      <c r="IW512" s="29"/>
      <c r="IX512" s="19"/>
      <c r="IY512" s="93"/>
      <c r="IZ512" s="93"/>
      <c r="JA512" s="93"/>
      <c r="JB512" s="93"/>
      <c r="JC512" s="93"/>
      <c r="JD512" s="93"/>
      <c r="JE512" s="20"/>
      <c r="JF512" s="29"/>
      <c r="JG512" s="19"/>
      <c r="JH512" s="93"/>
      <c r="JI512" s="93"/>
      <c r="JJ512" s="93"/>
      <c r="JK512" s="93"/>
      <c r="JL512" s="93"/>
      <c r="JM512" s="93"/>
      <c r="JN512" s="20"/>
      <c r="JO512" s="29"/>
      <c r="JP512" s="19"/>
      <c r="JQ512" s="93"/>
      <c r="JR512" s="93"/>
      <c r="JS512" s="93"/>
      <c r="JT512" s="93"/>
      <c r="JU512" s="20"/>
      <c r="JV512" s="29"/>
      <c r="JW512" s="1504">
        <v>50041</v>
      </c>
      <c r="JX512" s="19"/>
      <c r="JY512" s="93"/>
      <c r="JZ512" s="93"/>
      <c r="KA512" s="93"/>
      <c r="KB512" s="93"/>
      <c r="KC512" s="93"/>
      <c r="KD512" s="20"/>
      <c r="KE512" s="29"/>
      <c r="KF512" s="19"/>
      <c r="KG512" s="93"/>
      <c r="KH512" s="93"/>
      <c r="KI512" s="93"/>
      <c r="KJ512" s="93"/>
      <c r="KK512" s="20"/>
      <c r="KL512" s="29"/>
      <c r="KM512" s="19"/>
      <c r="KN512" s="93"/>
      <c r="KO512" s="93"/>
      <c r="KP512" s="93"/>
      <c r="KQ512" s="93"/>
      <c r="KR512" s="20"/>
      <c r="KS512" s="29"/>
      <c r="KT512" s="19"/>
      <c r="KU512" s="93"/>
      <c r="KV512" s="93"/>
      <c r="KW512" s="93"/>
      <c r="KX512" s="93"/>
      <c r="KY512" s="20"/>
      <c r="KZ512" s="29"/>
      <c r="LA512" s="1504">
        <v>50041</v>
      </c>
      <c r="LB512" s="19"/>
      <c r="LC512" s="93"/>
      <c r="LD512" s="93"/>
      <c r="LE512" s="93"/>
      <c r="LF512" s="93"/>
      <c r="LG512" s="93"/>
      <c r="LH512" s="20"/>
      <c r="LI512" s="29"/>
      <c r="LJ512" s="19"/>
      <c r="LK512" s="93"/>
      <c r="LL512" s="93"/>
      <c r="LM512" s="93"/>
      <c r="LN512" s="93"/>
      <c r="LO512" s="20"/>
      <c r="LP512" s="29"/>
      <c r="LQ512" s="19"/>
      <c r="LR512" s="93"/>
      <c r="LS512" s="93"/>
      <c r="LT512" s="93"/>
      <c r="LU512" s="93"/>
      <c r="LV512" s="93"/>
      <c r="LW512" s="93"/>
      <c r="LX512" s="93"/>
      <c r="LY512" s="93"/>
      <c r="LZ512" s="93"/>
      <c r="MA512" s="20"/>
      <c r="MB512" s="29"/>
      <c r="MC512" s="1504">
        <v>50041</v>
      </c>
      <c r="MD512" s="19"/>
      <c r="ME512" s="93"/>
      <c r="MF512" s="93"/>
      <c r="MG512" s="93"/>
      <c r="MH512" s="93"/>
      <c r="MI512" s="93"/>
      <c r="MJ512" s="93"/>
      <c r="MK512" s="93"/>
      <c r="ML512" s="93"/>
      <c r="MM512" s="93"/>
      <c r="MN512" s="93"/>
      <c r="MO512" s="93"/>
      <c r="MP512" s="93"/>
      <c r="MQ512" s="93"/>
      <c r="MR512" s="93"/>
      <c r="MS512" s="93"/>
      <c r="MT512" s="93"/>
      <c r="MU512" s="93"/>
      <c r="MV512" s="93"/>
      <c r="MW512" s="93"/>
      <c r="MX512" s="93"/>
      <c r="MY512" s="93"/>
      <c r="MZ512" s="93"/>
      <c r="NA512" s="93"/>
      <c r="NB512" s="93"/>
      <c r="NC512" s="93"/>
      <c r="ND512" s="93"/>
      <c r="NE512" s="93"/>
      <c r="NF512" s="93"/>
      <c r="NG512" s="93"/>
      <c r="NH512" s="93"/>
      <c r="NI512" s="93"/>
      <c r="NJ512" s="93"/>
      <c r="NK512" s="93"/>
      <c r="NL512" s="93"/>
      <c r="NM512" s="93"/>
      <c r="NN512" s="93"/>
      <c r="NO512" s="93"/>
      <c r="NP512" s="93"/>
      <c r="NQ512" s="93"/>
      <c r="NR512" s="93"/>
      <c r="NS512" s="93"/>
      <c r="NT512" s="93"/>
      <c r="NU512" s="93"/>
      <c r="NV512" s="93"/>
      <c r="NW512" s="93"/>
      <c r="NX512" s="93"/>
      <c r="NY512" s="93"/>
      <c r="NZ512" s="93"/>
      <c r="OA512" s="93"/>
      <c r="OB512" s="93"/>
      <c r="OC512" s="93"/>
      <c r="OD512" s="20"/>
      <c r="OE512" s="29"/>
      <c r="OF512" s="1504">
        <v>50041</v>
      </c>
      <c r="OG512" s="19"/>
      <c r="OH512" s="93"/>
      <c r="OI512" s="93"/>
      <c r="OJ512" s="93"/>
      <c r="OK512" s="93"/>
      <c r="OL512" s="93"/>
      <c r="OM512" s="93"/>
      <c r="ON512" s="93"/>
      <c r="OO512" s="93"/>
      <c r="OP512" s="93"/>
      <c r="OQ512" s="93"/>
      <c r="OR512" s="93"/>
      <c r="OS512" s="93"/>
      <c r="OT512" s="93"/>
      <c r="OU512" s="93"/>
      <c r="OV512" s="93"/>
      <c r="OW512" s="93"/>
      <c r="OX512" s="93"/>
      <c r="OY512" s="93"/>
      <c r="OZ512" s="93"/>
      <c r="PA512" s="93"/>
      <c r="PB512" s="93"/>
      <c r="PC512" s="20"/>
      <c r="PD512" s="29"/>
      <c r="PE512" s="19"/>
      <c r="PF512" s="93"/>
      <c r="PG512" s="93"/>
      <c r="PH512" s="93"/>
      <c r="PI512" s="93"/>
      <c r="PJ512" s="93"/>
      <c r="PK512" s="93"/>
      <c r="PL512" s="93"/>
      <c r="PM512" s="93"/>
      <c r="PN512" s="93"/>
      <c r="PO512" s="93"/>
      <c r="PP512" s="93"/>
      <c r="PQ512" s="93"/>
      <c r="PR512" s="93"/>
      <c r="PS512" s="93"/>
      <c r="PT512" s="93"/>
      <c r="PU512" s="93"/>
      <c r="PV512" s="93"/>
      <c r="PW512" s="93"/>
      <c r="PX512" s="93"/>
      <c r="PY512" s="93"/>
      <c r="PZ512" s="93"/>
      <c r="QA512" s="93"/>
      <c r="QB512" s="93"/>
      <c r="QC512" s="93"/>
      <c r="QD512" s="93"/>
      <c r="QE512" s="20"/>
      <c r="QF512" s="1739"/>
      <c r="QG512" s="19"/>
      <c r="QH512" s="93"/>
      <c r="QI512" s="93"/>
      <c r="QJ512" s="93"/>
      <c r="QK512" s="93"/>
      <c r="QL512" s="93"/>
      <c r="QM512" s="93"/>
      <c r="QN512" s="93"/>
      <c r="QO512" s="93"/>
      <c r="QP512" s="93"/>
      <c r="QQ512" s="93"/>
      <c r="QR512" s="93"/>
      <c r="QS512" s="93"/>
      <c r="QT512" s="93"/>
      <c r="QU512" s="93"/>
      <c r="QV512" s="93"/>
      <c r="QW512" s="93"/>
      <c r="QX512" s="93"/>
      <c r="QY512" s="93"/>
      <c r="QZ512" s="93"/>
      <c r="RA512" s="93"/>
      <c r="RB512" s="93"/>
      <c r="RC512" s="93"/>
      <c r="RD512" s="93"/>
      <c r="RE512" s="93"/>
      <c r="RF512" s="93"/>
      <c r="RG512" s="93"/>
      <c r="RH512" s="93"/>
      <c r="RI512" s="93"/>
      <c r="RJ512" s="93"/>
      <c r="RK512" s="93"/>
      <c r="RL512" s="93"/>
      <c r="RM512" s="20"/>
      <c r="RN512" s="29"/>
      <c r="RO512" s="19"/>
      <c r="RP512" s="20"/>
      <c r="RQ512" s="29"/>
      <c r="RR512" s="20"/>
      <c r="RS512" s="29"/>
      <c r="RT512" s="1504">
        <v>50041</v>
      </c>
      <c r="RU512" s="19"/>
      <c r="RV512" s="20"/>
      <c r="RW512" s="29"/>
      <c r="RX512" s="1504">
        <v>50041</v>
      </c>
      <c r="RY512" s="29"/>
      <c r="RZ512" s="20"/>
      <c r="SA512" s="29"/>
      <c r="SB512" s="29"/>
    </row>
    <row r="513" spans="1:496">
      <c r="A513" s="41">
        <f t="shared" si="360"/>
        <v>2037</v>
      </c>
      <c r="B513" s="1504">
        <v>50072</v>
      </c>
      <c r="C513" s="1813"/>
      <c r="D513" s="1814"/>
      <c r="E513" s="1814"/>
      <c r="F513" s="1815"/>
      <c r="G513" s="1814"/>
      <c r="H513" s="1814"/>
      <c r="I513" s="1814"/>
      <c r="J513" s="1816"/>
      <c r="K513" s="1807"/>
      <c r="L513" s="25"/>
      <c r="M513" s="97"/>
      <c r="N513" s="1504">
        <v>50072</v>
      </c>
      <c r="O513" s="19"/>
      <c r="P513" s="93"/>
      <c r="Q513" s="93"/>
      <c r="R513" s="93"/>
      <c r="S513" s="93"/>
      <c r="T513" s="93"/>
      <c r="U513" s="93"/>
      <c r="V513" s="93"/>
      <c r="W513" s="93"/>
      <c r="X513" s="93"/>
      <c r="Y513" s="93"/>
      <c r="Z513" s="93"/>
      <c r="AA513" s="93"/>
      <c r="AB513" s="20"/>
      <c r="AC513" s="25"/>
      <c r="AD513" s="97"/>
      <c r="AE513" s="1504">
        <v>50072</v>
      </c>
      <c r="AF513" s="19"/>
      <c r="AG513" s="93"/>
      <c r="AH513" s="93"/>
      <c r="AI513" s="93"/>
      <c r="AJ513" s="93"/>
      <c r="AK513" s="93"/>
      <c r="AL513" s="93"/>
      <c r="AM513" s="93"/>
      <c r="AN513" s="93"/>
      <c r="AO513" s="93"/>
      <c r="AP513" s="93"/>
      <c r="AQ513" s="93"/>
      <c r="AR513" s="93"/>
      <c r="AS513" s="20"/>
      <c r="AT513" s="25"/>
      <c r="AU513" s="97"/>
      <c r="AV513" s="1504">
        <v>50072</v>
      </c>
      <c r="AW513" s="19"/>
      <c r="AX513" s="93"/>
      <c r="AY513" s="93"/>
      <c r="AZ513" s="93"/>
      <c r="BA513" s="93"/>
      <c r="BB513" s="93"/>
      <c r="BC513" s="93"/>
      <c r="BD513" s="93"/>
      <c r="BE513" s="93"/>
      <c r="BF513" s="93"/>
      <c r="BG513" s="93"/>
      <c r="BH513" s="93"/>
      <c r="BI513" s="93"/>
      <c r="BJ513" s="20"/>
      <c r="BK513" s="25"/>
      <c r="BL513" s="97"/>
      <c r="BM513" s="1504">
        <v>50072</v>
      </c>
      <c r="BN513" s="19"/>
      <c r="BO513" s="93"/>
      <c r="BP513" s="93"/>
      <c r="BQ513" s="93"/>
      <c r="BR513" s="93"/>
      <c r="BS513" s="93"/>
      <c r="BT513" s="93"/>
      <c r="BU513" s="20"/>
      <c r="BV513" s="25"/>
      <c r="BW513" s="97"/>
      <c r="BX513" s="1504">
        <v>50072</v>
      </c>
      <c r="BY513" s="19"/>
      <c r="BZ513" s="93"/>
      <c r="CA513" s="93"/>
      <c r="CB513" s="93"/>
      <c r="CC513" s="93"/>
      <c r="CD513" s="25"/>
      <c r="CE513" s="97"/>
      <c r="CF513" s="1504">
        <v>50072</v>
      </c>
      <c r="CG513" s="19"/>
      <c r="CH513" s="93"/>
      <c r="CI513" s="219"/>
      <c r="CJ513" s="20"/>
      <c r="CK513" s="19"/>
      <c r="CL513" s="93"/>
      <c r="CM513" s="93"/>
      <c r="CN513" s="93"/>
      <c r="CO513" s="93"/>
      <c r="CP513" s="20"/>
      <c r="CQ513" s="219"/>
      <c r="CR513" s="93"/>
      <c r="CS513" s="93"/>
      <c r="CT513" s="93"/>
      <c r="CU513" s="93"/>
      <c r="CV513" s="214"/>
      <c r="CW513" s="29"/>
      <c r="CX513" s="41">
        <f t="shared" si="359"/>
        <v>2037</v>
      </c>
      <c r="CY513" s="1504">
        <v>50072</v>
      </c>
      <c r="CZ513" s="19"/>
      <c r="DA513" s="93"/>
      <c r="DB513" s="93"/>
      <c r="DC513" s="93"/>
      <c r="DD513" s="93"/>
      <c r="DE513" s="20"/>
      <c r="DF513" s="29"/>
      <c r="DG513" s="1504">
        <v>50072</v>
      </c>
      <c r="DH513" s="19"/>
      <c r="DI513" s="93"/>
      <c r="DJ513" s="93"/>
      <c r="DK513" s="93"/>
      <c r="DL513" s="93"/>
      <c r="DM513" s="93"/>
      <c r="DN513" s="20"/>
      <c r="DO513" s="295"/>
      <c r="DP513" s="29"/>
      <c r="DQ513" s="1504">
        <v>50072</v>
      </c>
      <c r="DR513" s="19"/>
      <c r="DS513" s="93"/>
      <c r="DT513" s="93"/>
      <c r="DU513" s="93"/>
      <c r="DV513" s="93"/>
      <c r="DW513" s="93"/>
      <c r="DX513" s="20"/>
      <c r="DY513" s="29"/>
      <c r="DZ513" s="1504">
        <v>50072</v>
      </c>
      <c r="EA513" s="19"/>
      <c r="EB513" s="93"/>
      <c r="EC513" s="20"/>
      <c r="ED513" s="29"/>
      <c r="EE513" s="1504">
        <v>50072</v>
      </c>
      <c r="EF513" s="19"/>
      <c r="EG513" s="93"/>
      <c r="EH513" s="93"/>
      <c r="EI513" s="214"/>
      <c r="EJ513" s="93"/>
      <c r="EK513" s="93"/>
      <c r="EL513" s="93"/>
      <c r="EM513" s="93"/>
      <c r="EN513" s="20"/>
      <c r="EO513" s="29"/>
      <c r="EP513" s="1504">
        <v>50072</v>
      </c>
      <c r="EQ513" s="19"/>
      <c r="ER513" s="93"/>
      <c r="ES513" s="93"/>
      <c r="ET513" s="214"/>
      <c r="EU513" s="93"/>
      <c r="EV513" s="93"/>
      <c r="EW513" s="93"/>
      <c r="EX513" s="93"/>
      <c r="EY513" s="20"/>
      <c r="EZ513" s="29"/>
      <c r="FA513" s="1504">
        <v>50072</v>
      </c>
      <c r="FB513" s="29"/>
      <c r="FC513" s="29"/>
      <c r="FD513" s="29"/>
      <c r="FE513" s="29"/>
      <c r="FF513" s="29"/>
      <c r="FG513" s="29"/>
      <c r="FH513" s="29"/>
      <c r="FI513" s="29"/>
      <c r="FJ513" s="29"/>
      <c r="FK513" s="29"/>
      <c r="FL513" s="1504">
        <v>50072</v>
      </c>
      <c r="FM513" s="19"/>
      <c r="FN513" s="93"/>
      <c r="FO513" s="93"/>
      <c r="FP513" s="93"/>
      <c r="FQ513" s="93"/>
      <c r="FR513" s="93"/>
      <c r="FS513" s="93"/>
      <c r="FT513" s="93"/>
      <c r="FU513" s="93"/>
      <c r="FV513" s="93"/>
      <c r="FW513" s="93"/>
      <c r="FX513" s="93"/>
      <c r="FY513" s="93"/>
      <c r="FZ513" s="29"/>
      <c r="GA513" s="1504">
        <v>50072</v>
      </c>
      <c r="GB513" s="19"/>
      <c r="GC513" s="93"/>
      <c r="GD513" s="93"/>
      <c r="GE513" s="93"/>
      <c r="GF513" s="93"/>
      <c r="GG513" s="93"/>
      <c r="GH513" s="93"/>
      <c r="GI513" s="93"/>
      <c r="GJ513" s="93"/>
      <c r="GK513" s="93"/>
      <c r="GL513" s="93"/>
      <c r="GM513" s="93"/>
      <c r="GN513" s="20"/>
      <c r="GO513" s="29"/>
      <c r="GP513" s="1504">
        <v>50072</v>
      </c>
      <c r="GQ513" s="19"/>
      <c r="GR513" s="93"/>
      <c r="GS513" s="93"/>
      <c r="GT513" s="93"/>
      <c r="GU513" s="93"/>
      <c r="GV513" s="20"/>
      <c r="GW513" s="19"/>
      <c r="GX513" s="93"/>
      <c r="GY513" s="93"/>
      <c r="GZ513" s="93"/>
      <c r="HA513" s="93"/>
      <c r="HB513" s="20"/>
      <c r="HC513" s="19"/>
      <c r="HD513" s="93"/>
      <c r="HE513" s="93"/>
      <c r="HF513" s="93"/>
      <c r="HG513" s="93"/>
      <c r="HH513" s="20"/>
      <c r="HI513" s="19"/>
      <c r="HJ513" s="93"/>
      <c r="HK513" s="93"/>
      <c r="HL513" s="93"/>
      <c r="HM513" s="93"/>
      <c r="HN513" s="20"/>
      <c r="HO513" s="219"/>
      <c r="HP513" s="20"/>
      <c r="HQ513" s="25"/>
      <c r="HR513" s="29"/>
      <c r="HS513" s="1504">
        <v>50072</v>
      </c>
      <c r="HT513" s="19"/>
      <c r="HU513" s="93"/>
      <c r="HV513" s="93"/>
      <c r="HW513" s="93"/>
      <c r="HX513" s="93"/>
      <c r="HY513" s="93"/>
      <c r="HZ513" s="93"/>
      <c r="IA513" s="20"/>
      <c r="IB513" s="19"/>
      <c r="IC513" s="93"/>
      <c r="ID513" s="93"/>
      <c r="IE513" s="93"/>
      <c r="IF513" s="93"/>
      <c r="IG513" s="20"/>
      <c r="IH513" s="19"/>
      <c r="II513" s="93"/>
      <c r="IJ513" s="93"/>
      <c r="IK513" s="93"/>
      <c r="IL513" s="93"/>
      <c r="IM513" s="93"/>
      <c r="IN513" s="93"/>
      <c r="IO513" s="20"/>
      <c r="IP513" s="29"/>
      <c r="IQ513" s="19"/>
      <c r="IR513" s="93"/>
      <c r="IS513" s="93"/>
      <c r="IT513" s="93"/>
      <c r="IU513" s="93"/>
      <c r="IV513" s="20"/>
      <c r="IW513" s="29"/>
      <c r="IX513" s="19"/>
      <c r="IY513" s="93"/>
      <c r="IZ513" s="93"/>
      <c r="JA513" s="93"/>
      <c r="JB513" s="93"/>
      <c r="JC513" s="93"/>
      <c r="JD513" s="93"/>
      <c r="JE513" s="20"/>
      <c r="JF513" s="29"/>
      <c r="JG513" s="19"/>
      <c r="JH513" s="93"/>
      <c r="JI513" s="93"/>
      <c r="JJ513" s="93"/>
      <c r="JK513" s="93"/>
      <c r="JL513" s="93"/>
      <c r="JM513" s="93"/>
      <c r="JN513" s="20"/>
      <c r="JO513" s="29"/>
      <c r="JP513" s="19"/>
      <c r="JQ513" s="93"/>
      <c r="JR513" s="93"/>
      <c r="JS513" s="93"/>
      <c r="JT513" s="93"/>
      <c r="JU513" s="20"/>
      <c r="JV513" s="29"/>
      <c r="JW513" s="1504">
        <v>50072</v>
      </c>
      <c r="JX513" s="19"/>
      <c r="JY513" s="93"/>
      <c r="JZ513" s="93"/>
      <c r="KA513" s="93"/>
      <c r="KB513" s="93"/>
      <c r="KC513" s="93"/>
      <c r="KD513" s="20"/>
      <c r="KE513" s="29"/>
      <c r="KF513" s="19"/>
      <c r="KG513" s="93"/>
      <c r="KH513" s="93"/>
      <c r="KI513" s="93"/>
      <c r="KJ513" s="93"/>
      <c r="KK513" s="20"/>
      <c r="KL513" s="29"/>
      <c r="KM513" s="19"/>
      <c r="KN513" s="93"/>
      <c r="KO513" s="93"/>
      <c r="KP513" s="93"/>
      <c r="KQ513" s="93"/>
      <c r="KR513" s="20"/>
      <c r="KS513" s="29"/>
      <c r="KT513" s="19"/>
      <c r="KU513" s="93"/>
      <c r="KV513" s="93"/>
      <c r="KW513" s="93"/>
      <c r="KX513" s="93"/>
      <c r="KY513" s="20"/>
      <c r="KZ513" s="29"/>
      <c r="LA513" s="1504">
        <v>50072</v>
      </c>
      <c r="LB513" s="19"/>
      <c r="LC513" s="93"/>
      <c r="LD513" s="93"/>
      <c r="LE513" s="93"/>
      <c r="LF513" s="93"/>
      <c r="LG513" s="93"/>
      <c r="LH513" s="20"/>
      <c r="LI513" s="29"/>
      <c r="LJ513" s="19"/>
      <c r="LK513" s="93"/>
      <c r="LL513" s="93"/>
      <c r="LM513" s="93"/>
      <c r="LN513" s="93"/>
      <c r="LO513" s="20"/>
      <c r="LP513" s="29"/>
      <c r="LQ513" s="19"/>
      <c r="LR513" s="93"/>
      <c r="LS513" s="93"/>
      <c r="LT513" s="93"/>
      <c r="LU513" s="93"/>
      <c r="LV513" s="93"/>
      <c r="LW513" s="93"/>
      <c r="LX513" s="93"/>
      <c r="LY513" s="93"/>
      <c r="LZ513" s="93"/>
      <c r="MA513" s="20"/>
      <c r="MB513" s="29"/>
      <c r="MC513" s="1504">
        <v>50072</v>
      </c>
      <c r="MD513" s="19"/>
      <c r="ME513" s="93"/>
      <c r="MF513" s="93"/>
      <c r="MG513" s="93"/>
      <c r="MH513" s="93"/>
      <c r="MI513" s="93"/>
      <c r="MJ513" s="93"/>
      <c r="MK513" s="93"/>
      <c r="ML513" s="93"/>
      <c r="MM513" s="93"/>
      <c r="MN513" s="93"/>
      <c r="MO513" s="93"/>
      <c r="MP513" s="93"/>
      <c r="MQ513" s="93"/>
      <c r="MR513" s="93"/>
      <c r="MS513" s="93"/>
      <c r="MT513" s="93"/>
      <c r="MU513" s="93"/>
      <c r="MV513" s="93"/>
      <c r="MW513" s="93"/>
      <c r="MX513" s="93"/>
      <c r="MY513" s="93"/>
      <c r="MZ513" s="93"/>
      <c r="NA513" s="93"/>
      <c r="NB513" s="93"/>
      <c r="NC513" s="93"/>
      <c r="ND513" s="93"/>
      <c r="NE513" s="93"/>
      <c r="NF513" s="93"/>
      <c r="NG513" s="93"/>
      <c r="NH513" s="93"/>
      <c r="NI513" s="93"/>
      <c r="NJ513" s="93"/>
      <c r="NK513" s="93"/>
      <c r="NL513" s="93"/>
      <c r="NM513" s="93"/>
      <c r="NN513" s="93"/>
      <c r="NO513" s="93"/>
      <c r="NP513" s="93"/>
      <c r="NQ513" s="93"/>
      <c r="NR513" s="93"/>
      <c r="NS513" s="93"/>
      <c r="NT513" s="93"/>
      <c r="NU513" s="93"/>
      <c r="NV513" s="93"/>
      <c r="NW513" s="93"/>
      <c r="NX513" s="93"/>
      <c r="NY513" s="93"/>
      <c r="NZ513" s="93"/>
      <c r="OA513" s="93"/>
      <c r="OB513" s="93"/>
      <c r="OC513" s="93"/>
      <c r="OD513" s="20"/>
      <c r="OE513" s="29"/>
      <c r="OF513" s="1504">
        <v>50072</v>
      </c>
      <c r="OG513" s="19"/>
      <c r="OH513" s="93"/>
      <c r="OI513" s="93"/>
      <c r="OJ513" s="93"/>
      <c r="OK513" s="93"/>
      <c r="OL513" s="93"/>
      <c r="OM513" s="93"/>
      <c r="ON513" s="93"/>
      <c r="OO513" s="93"/>
      <c r="OP513" s="93"/>
      <c r="OQ513" s="93"/>
      <c r="OR513" s="93"/>
      <c r="OS513" s="93"/>
      <c r="OT513" s="93"/>
      <c r="OU513" s="93"/>
      <c r="OV513" s="93"/>
      <c r="OW513" s="93"/>
      <c r="OX513" s="93"/>
      <c r="OY513" s="93"/>
      <c r="OZ513" s="93"/>
      <c r="PA513" s="93"/>
      <c r="PB513" s="93"/>
      <c r="PC513" s="20"/>
      <c r="PD513" s="29"/>
      <c r="PE513" s="19"/>
      <c r="PF513" s="93"/>
      <c r="PG513" s="93"/>
      <c r="PH513" s="93"/>
      <c r="PI513" s="93"/>
      <c r="PJ513" s="93"/>
      <c r="PK513" s="93"/>
      <c r="PL513" s="93"/>
      <c r="PM513" s="93"/>
      <c r="PN513" s="93"/>
      <c r="PO513" s="93"/>
      <c r="PP513" s="93"/>
      <c r="PQ513" s="93"/>
      <c r="PR513" s="93"/>
      <c r="PS513" s="93"/>
      <c r="PT513" s="93"/>
      <c r="PU513" s="93"/>
      <c r="PV513" s="93"/>
      <c r="PW513" s="93"/>
      <c r="PX513" s="93"/>
      <c r="PY513" s="93"/>
      <c r="PZ513" s="93"/>
      <c r="QA513" s="93"/>
      <c r="QB513" s="93"/>
      <c r="QC513" s="93"/>
      <c r="QD513" s="93"/>
      <c r="QE513" s="20"/>
      <c r="QF513" s="1739"/>
      <c r="QG513" s="19"/>
      <c r="QH513" s="93"/>
      <c r="QI513" s="93"/>
      <c r="QJ513" s="93"/>
      <c r="QK513" s="93"/>
      <c r="QL513" s="93"/>
      <c r="QM513" s="93"/>
      <c r="QN513" s="93"/>
      <c r="QO513" s="93"/>
      <c r="QP513" s="93"/>
      <c r="QQ513" s="93"/>
      <c r="QR513" s="93"/>
      <c r="QS513" s="93"/>
      <c r="QT513" s="93"/>
      <c r="QU513" s="93"/>
      <c r="QV513" s="93"/>
      <c r="QW513" s="93"/>
      <c r="QX513" s="93"/>
      <c r="QY513" s="93"/>
      <c r="QZ513" s="93"/>
      <c r="RA513" s="93"/>
      <c r="RB513" s="93"/>
      <c r="RC513" s="93"/>
      <c r="RD513" s="93"/>
      <c r="RE513" s="93"/>
      <c r="RF513" s="93"/>
      <c r="RG513" s="93"/>
      <c r="RH513" s="93"/>
      <c r="RI513" s="93"/>
      <c r="RJ513" s="93"/>
      <c r="RK513" s="93"/>
      <c r="RL513" s="93"/>
      <c r="RM513" s="20"/>
      <c r="RN513" s="29"/>
      <c r="RO513" s="19"/>
      <c r="RP513" s="20"/>
      <c r="RQ513" s="29"/>
      <c r="RR513" s="20"/>
      <c r="RS513" s="29"/>
      <c r="RT513" s="1504">
        <v>50072</v>
      </c>
      <c r="RU513" s="19"/>
      <c r="RV513" s="20"/>
      <c r="RW513" s="29"/>
      <c r="RX513" s="1504">
        <v>50072</v>
      </c>
      <c r="RY513" s="29"/>
      <c r="RZ513" s="20"/>
      <c r="SA513" s="29"/>
      <c r="SB513" s="29"/>
    </row>
    <row r="514" spans="1:496">
      <c r="A514" s="41">
        <f t="shared" si="360"/>
        <v>2037</v>
      </c>
      <c r="B514" s="1504">
        <v>50100</v>
      </c>
      <c r="C514" s="1813"/>
      <c r="D514" s="1814"/>
      <c r="E514" s="1814"/>
      <c r="F514" s="1815"/>
      <c r="G514" s="1814"/>
      <c r="H514" s="1814"/>
      <c r="I514" s="1814"/>
      <c r="J514" s="1816"/>
      <c r="K514" s="1807"/>
      <c r="L514" s="25"/>
      <c r="M514" s="97"/>
      <c r="N514" s="1504">
        <v>50100</v>
      </c>
      <c r="O514" s="19"/>
      <c r="P514" s="93"/>
      <c r="Q514" s="93"/>
      <c r="R514" s="93"/>
      <c r="S514" s="93"/>
      <c r="T514" s="93"/>
      <c r="U514" s="93"/>
      <c r="V514" s="93"/>
      <c r="W514" s="93"/>
      <c r="X514" s="93"/>
      <c r="Y514" s="93"/>
      <c r="Z514" s="93"/>
      <c r="AA514" s="93"/>
      <c r="AB514" s="20"/>
      <c r="AC514" s="25"/>
      <c r="AD514" s="97"/>
      <c r="AE514" s="1504">
        <v>50100</v>
      </c>
      <c r="AF514" s="19"/>
      <c r="AG514" s="93"/>
      <c r="AH514" s="93"/>
      <c r="AI514" s="93"/>
      <c r="AJ514" s="93"/>
      <c r="AK514" s="93"/>
      <c r="AL514" s="93"/>
      <c r="AM514" s="93"/>
      <c r="AN514" s="93"/>
      <c r="AO514" s="93"/>
      <c r="AP514" s="93"/>
      <c r="AQ514" s="93"/>
      <c r="AR514" s="93"/>
      <c r="AS514" s="20"/>
      <c r="AT514" s="25"/>
      <c r="AU514" s="97"/>
      <c r="AV514" s="1504">
        <v>50100</v>
      </c>
      <c r="AW514" s="19"/>
      <c r="AX514" s="93"/>
      <c r="AY514" s="93"/>
      <c r="AZ514" s="93"/>
      <c r="BA514" s="93"/>
      <c r="BB514" s="93"/>
      <c r="BC514" s="93"/>
      <c r="BD514" s="93"/>
      <c r="BE514" s="93"/>
      <c r="BF514" s="93"/>
      <c r="BG514" s="93"/>
      <c r="BH514" s="93"/>
      <c r="BI514" s="93"/>
      <c r="BJ514" s="20"/>
      <c r="BK514" s="25"/>
      <c r="BL514" s="97"/>
      <c r="BM514" s="1504">
        <v>50100</v>
      </c>
      <c r="BN514" s="19"/>
      <c r="BO514" s="93"/>
      <c r="BP514" s="93"/>
      <c r="BQ514" s="93"/>
      <c r="BR514" s="93"/>
      <c r="BS514" s="93"/>
      <c r="BT514" s="93"/>
      <c r="BU514" s="20"/>
      <c r="BV514" s="25"/>
      <c r="BW514" s="97"/>
      <c r="BX514" s="1504">
        <v>50100</v>
      </c>
      <c r="BY514" s="19"/>
      <c r="BZ514" s="93"/>
      <c r="CA514" s="93"/>
      <c r="CB514" s="93"/>
      <c r="CC514" s="93"/>
      <c r="CD514" s="25"/>
      <c r="CE514" s="97"/>
      <c r="CF514" s="1504">
        <v>50100</v>
      </c>
      <c r="CG514" s="19"/>
      <c r="CH514" s="93"/>
      <c r="CI514" s="219"/>
      <c r="CJ514" s="20"/>
      <c r="CK514" s="19"/>
      <c r="CL514" s="93"/>
      <c r="CM514" s="93"/>
      <c r="CN514" s="93"/>
      <c r="CO514" s="93"/>
      <c r="CP514" s="20"/>
      <c r="CQ514" s="219"/>
      <c r="CR514" s="93"/>
      <c r="CS514" s="93"/>
      <c r="CT514" s="93"/>
      <c r="CU514" s="93"/>
      <c r="CV514" s="214"/>
      <c r="CW514" s="29"/>
      <c r="CX514" s="41">
        <f t="shared" si="359"/>
        <v>2037</v>
      </c>
      <c r="CY514" s="1504">
        <v>50100</v>
      </c>
      <c r="CZ514" s="19"/>
      <c r="DA514" s="93"/>
      <c r="DB514" s="93"/>
      <c r="DC514" s="93"/>
      <c r="DD514" s="93"/>
      <c r="DE514" s="20"/>
      <c r="DF514" s="29"/>
      <c r="DG514" s="1504">
        <v>50100</v>
      </c>
      <c r="DH514" s="19"/>
      <c r="DI514" s="93"/>
      <c r="DJ514" s="93"/>
      <c r="DK514" s="93"/>
      <c r="DL514" s="93"/>
      <c r="DM514" s="93"/>
      <c r="DN514" s="20"/>
      <c r="DO514" s="295"/>
      <c r="DP514" s="29"/>
      <c r="DQ514" s="1504">
        <v>50100</v>
      </c>
      <c r="DR514" s="19"/>
      <c r="DS514" s="93"/>
      <c r="DT514" s="93"/>
      <c r="DU514" s="93"/>
      <c r="DV514" s="93"/>
      <c r="DW514" s="93"/>
      <c r="DX514" s="20"/>
      <c r="DY514" s="29"/>
      <c r="DZ514" s="1504">
        <v>50100</v>
      </c>
      <c r="EA514" s="19"/>
      <c r="EB514" s="93"/>
      <c r="EC514" s="20"/>
      <c r="ED514" s="29"/>
      <c r="EE514" s="1504">
        <v>50100</v>
      </c>
      <c r="EF514" s="19"/>
      <c r="EG514" s="93"/>
      <c r="EH514" s="93"/>
      <c r="EI514" s="214"/>
      <c r="EJ514" s="93"/>
      <c r="EK514" s="93"/>
      <c r="EL514" s="93"/>
      <c r="EM514" s="93"/>
      <c r="EN514" s="20"/>
      <c r="EO514" s="29"/>
      <c r="EP514" s="1504">
        <v>50100</v>
      </c>
      <c r="EQ514" s="19"/>
      <c r="ER514" s="93"/>
      <c r="ES514" s="93"/>
      <c r="ET514" s="214"/>
      <c r="EU514" s="93"/>
      <c r="EV514" s="93"/>
      <c r="EW514" s="93"/>
      <c r="EX514" s="93"/>
      <c r="EY514" s="20"/>
      <c r="EZ514" s="29"/>
      <c r="FA514" s="1504">
        <v>50100</v>
      </c>
      <c r="FB514" s="29"/>
      <c r="FC514" s="29"/>
      <c r="FD514" s="29"/>
      <c r="FE514" s="29"/>
      <c r="FF514" s="29"/>
      <c r="FG514" s="29"/>
      <c r="FH514" s="29"/>
      <c r="FI514" s="29"/>
      <c r="FJ514" s="29"/>
      <c r="FK514" s="29"/>
      <c r="FL514" s="1504">
        <v>50100</v>
      </c>
      <c r="FM514" s="19"/>
      <c r="FN514" s="93"/>
      <c r="FO514" s="93"/>
      <c r="FP514" s="93"/>
      <c r="FQ514" s="93"/>
      <c r="FR514" s="93"/>
      <c r="FS514" s="93"/>
      <c r="FT514" s="93"/>
      <c r="FU514" s="93"/>
      <c r="FV514" s="93"/>
      <c r="FW514" s="93"/>
      <c r="FX514" s="93"/>
      <c r="FY514" s="93"/>
      <c r="FZ514" s="29"/>
      <c r="GA514" s="1504">
        <v>50100</v>
      </c>
      <c r="GB514" s="19"/>
      <c r="GC514" s="93"/>
      <c r="GD514" s="93"/>
      <c r="GE514" s="93"/>
      <c r="GF514" s="93"/>
      <c r="GG514" s="93"/>
      <c r="GH514" s="93"/>
      <c r="GI514" s="93"/>
      <c r="GJ514" s="93"/>
      <c r="GK514" s="93"/>
      <c r="GL514" s="93"/>
      <c r="GM514" s="93"/>
      <c r="GN514" s="20"/>
      <c r="GO514" s="29"/>
      <c r="GP514" s="1504">
        <v>50100</v>
      </c>
      <c r="GQ514" s="19"/>
      <c r="GR514" s="93"/>
      <c r="GS514" s="93"/>
      <c r="GT514" s="93"/>
      <c r="GU514" s="93"/>
      <c r="GV514" s="20"/>
      <c r="GW514" s="19"/>
      <c r="GX514" s="93"/>
      <c r="GY514" s="93"/>
      <c r="GZ514" s="93"/>
      <c r="HA514" s="93"/>
      <c r="HB514" s="20"/>
      <c r="HC514" s="19"/>
      <c r="HD514" s="93"/>
      <c r="HE514" s="93"/>
      <c r="HF514" s="93"/>
      <c r="HG514" s="93"/>
      <c r="HH514" s="20"/>
      <c r="HI514" s="19"/>
      <c r="HJ514" s="93"/>
      <c r="HK514" s="93"/>
      <c r="HL514" s="93"/>
      <c r="HM514" s="93"/>
      <c r="HN514" s="20"/>
      <c r="HO514" s="219"/>
      <c r="HP514" s="20"/>
      <c r="HQ514" s="25"/>
      <c r="HR514" s="29"/>
      <c r="HS514" s="1504">
        <v>50100</v>
      </c>
      <c r="HT514" s="19"/>
      <c r="HU514" s="93"/>
      <c r="HV514" s="93"/>
      <c r="HW514" s="93"/>
      <c r="HX514" s="93"/>
      <c r="HY514" s="93"/>
      <c r="HZ514" s="93"/>
      <c r="IA514" s="20"/>
      <c r="IB514" s="19"/>
      <c r="IC514" s="93"/>
      <c r="ID514" s="93"/>
      <c r="IE514" s="93"/>
      <c r="IF514" s="93"/>
      <c r="IG514" s="20"/>
      <c r="IH514" s="19"/>
      <c r="II514" s="93"/>
      <c r="IJ514" s="93"/>
      <c r="IK514" s="93"/>
      <c r="IL514" s="93"/>
      <c r="IM514" s="93"/>
      <c r="IN514" s="93"/>
      <c r="IO514" s="20"/>
      <c r="IP514" s="29"/>
      <c r="IQ514" s="19"/>
      <c r="IR514" s="93"/>
      <c r="IS514" s="93"/>
      <c r="IT514" s="93"/>
      <c r="IU514" s="93"/>
      <c r="IV514" s="20"/>
      <c r="IW514" s="29"/>
      <c r="IX514" s="19"/>
      <c r="IY514" s="93"/>
      <c r="IZ514" s="93"/>
      <c r="JA514" s="93"/>
      <c r="JB514" s="93"/>
      <c r="JC514" s="93"/>
      <c r="JD514" s="93"/>
      <c r="JE514" s="20"/>
      <c r="JF514" s="29"/>
      <c r="JG514" s="19"/>
      <c r="JH514" s="93"/>
      <c r="JI514" s="93"/>
      <c r="JJ514" s="93"/>
      <c r="JK514" s="93"/>
      <c r="JL514" s="93"/>
      <c r="JM514" s="93"/>
      <c r="JN514" s="20"/>
      <c r="JO514" s="29"/>
      <c r="JP514" s="19"/>
      <c r="JQ514" s="93"/>
      <c r="JR514" s="93"/>
      <c r="JS514" s="93"/>
      <c r="JT514" s="93"/>
      <c r="JU514" s="20"/>
      <c r="JV514" s="29"/>
      <c r="JW514" s="1504">
        <v>50100</v>
      </c>
      <c r="JX514" s="19"/>
      <c r="JY514" s="93"/>
      <c r="JZ514" s="93"/>
      <c r="KA514" s="93"/>
      <c r="KB514" s="93"/>
      <c r="KC514" s="93"/>
      <c r="KD514" s="20"/>
      <c r="KE514" s="29"/>
      <c r="KF514" s="19"/>
      <c r="KG514" s="93"/>
      <c r="KH514" s="93"/>
      <c r="KI514" s="93"/>
      <c r="KJ514" s="93"/>
      <c r="KK514" s="20"/>
      <c r="KL514" s="29"/>
      <c r="KM514" s="19"/>
      <c r="KN514" s="93"/>
      <c r="KO514" s="93"/>
      <c r="KP514" s="93"/>
      <c r="KQ514" s="93"/>
      <c r="KR514" s="20"/>
      <c r="KS514" s="29"/>
      <c r="KT514" s="19"/>
      <c r="KU514" s="93"/>
      <c r="KV514" s="93"/>
      <c r="KW514" s="93"/>
      <c r="KX514" s="93"/>
      <c r="KY514" s="20"/>
      <c r="KZ514" s="29"/>
      <c r="LA514" s="1504">
        <v>50100</v>
      </c>
      <c r="LB514" s="19"/>
      <c r="LC514" s="93"/>
      <c r="LD514" s="93"/>
      <c r="LE514" s="93"/>
      <c r="LF514" s="93"/>
      <c r="LG514" s="93"/>
      <c r="LH514" s="20"/>
      <c r="LI514" s="29"/>
      <c r="LJ514" s="19"/>
      <c r="LK514" s="93"/>
      <c r="LL514" s="93"/>
      <c r="LM514" s="93"/>
      <c r="LN514" s="93"/>
      <c r="LO514" s="20"/>
      <c r="LP514" s="29"/>
      <c r="LQ514" s="19"/>
      <c r="LR514" s="93"/>
      <c r="LS514" s="93"/>
      <c r="LT514" s="93"/>
      <c r="LU514" s="93"/>
      <c r="LV514" s="93"/>
      <c r="LW514" s="93"/>
      <c r="LX514" s="93"/>
      <c r="LY514" s="93"/>
      <c r="LZ514" s="93"/>
      <c r="MA514" s="20"/>
      <c r="MB514" s="29"/>
      <c r="MC514" s="1504">
        <v>50100</v>
      </c>
      <c r="MD514" s="19"/>
      <c r="ME514" s="93"/>
      <c r="MF514" s="93"/>
      <c r="MG514" s="93"/>
      <c r="MH514" s="93"/>
      <c r="MI514" s="93"/>
      <c r="MJ514" s="93"/>
      <c r="MK514" s="93"/>
      <c r="ML514" s="93"/>
      <c r="MM514" s="93"/>
      <c r="MN514" s="93"/>
      <c r="MO514" s="93"/>
      <c r="MP514" s="93"/>
      <c r="MQ514" s="93"/>
      <c r="MR514" s="93"/>
      <c r="MS514" s="93"/>
      <c r="MT514" s="93"/>
      <c r="MU514" s="93"/>
      <c r="MV514" s="93"/>
      <c r="MW514" s="93"/>
      <c r="MX514" s="93"/>
      <c r="MY514" s="93"/>
      <c r="MZ514" s="93"/>
      <c r="NA514" s="93"/>
      <c r="NB514" s="93"/>
      <c r="NC514" s="93"/>
      <c r="ND514" s="93"/>
      <c r="NE514" s="93"/>
      <c r="NF514" s="93"/>
      <c r="NG514" s="93"/>
      <c r="NH514" s="93"/>
      <c r="NI514" s="93"/>
      <c r="NJ514" s="93"/>
      <c r="NK514" s="93"/>
      <c r="NL514" s="93"/>
      <c r="NM514" s="93"/>
      <c r="NN514" s="93"/>
      <c r="NO514" s="93"/>
      <c r="NP514" s="93"/>
      <c r="NQ514" s="93"/>
      <c r="NR514" s="93"/>
      <c r="NS514" s="93"/>
      <c r="NT514" s="93"/>
      <c r="NU514" s="93"/>
      <c r="NV514" s="93"/>
      <c r="NW514" s="93"/>
      <c r="NX514" s="93"/>
      <c r="NY514" s="93"/>
      <c r="NZ514" s="93"/>
      <c r="OA514" s="93"/>
      <c r="OB514" s="93"/>
      <c r="OC514" s="93"/>
      <c r="OD514" s="20"/>
      <c r="OE514" s="29"/>
      <c r="OF514" s="1504">
        <v>50100</v>
      </c>
      <c r="OG514" s="19"/>
      <c r="OH514" s="93"/>
      <c r="OI514" s="93"/>
      <c r="OJ514" s="93"/>
      <c r="OK514" s="93"/>
      <c r="OL514" s="93"/>
      <c r="OM514" s="93"/>
      <c r="ON514" s="93"/>
      <c r="OO514" s="93"/>
      <c r="OP514" s="93"/>
      <c r="OQ514" s="93"/>
      <c r="OR514" s="93"/>
      <c r="OS514" s="93"/>
      <c r="OT514" s="93"/>
      <c r="OU514" s="93"/>
      <c r="OV514" s="93"/>
      <c r="OW514" s="93"/>
      <c r="OX514" s="93"/>
      <c r="OY514" s="93"/>
      <c r="OZ514" s="93"/>
      <c r="PA514" s="93"/>
      <c r="PB514" s="93"/>
      <c r="PC514" s="20"/>
      <c r="PD514" s="29"/>
      <c r="PE514" s="19"/>
      <c r="PF514" s="93"/>
      <c r="PG514" s="93"/>
      <c r="PH514" s="93"/>
      <c r="PI514" s="93"/>
      <c r="PJ514" s="93"/>
      <c r="PK514" s="93"/>
      <c r="PL514" s="93"/>
      <c r="PM514" s="93"/>
      <c r="PN514" s="93"/>
      <c r="PO514" s="93"/>
      <c r="PP514" s="93"/>
      <c r="PQ514" s="93"/>
      <c r="PR514" s="93"/>
      <c r="PS514" s="93"/>
      <c r="PT514" s="93"/>
      <c r="PU514" s="93"/>
      <c r="PV514" s="93"/>
      <c r="PW514" s="93"/>
      <c r="PX514" s="93"/>
      <c r="PY514" s="93"/>
      <c r="PZ514" s="93"/>
      <c r="QA514" s="93"/>
      <c r="QB514" s="93"/>
      <c r="QC514" s="93"/>
      <c r="QD514" s="93"/>
      <c r="QE514" s="20"/>
      <c r="QF514" s="1739"/>
      <c r="QG514" s="19"/>
      <c r="QH514" s="93"/>
      <c r="QI514" s="93"/>
      <c r="QJ514" s="93"/>
      <c r="QK514" s="93"/>
      <c r="QL514" s="93"/>
      <c r="QM514" s="93"/>
      <c r="QN514" s="93"/>
      <c r="QO514" s="93"/>
      <c r="QP514" s="93"/>
      <c r="QQ514" s="93"/>
      <c r="QR514" s="93"/>
      <c r="QS514" s="93"/>
      <c r="QT514" s="93"/>
      <c r="QU514" s="93"/>
      <c r="QV514" s="93"/>
      <c r="QW514" s="93"/>
      <c r="QX514" s="93"/>
      <c r="QY514" s="93"/>
      <c r="QZ514" s="93"/>
      <c r="RA514" s="93"/>
      <c r="RB514" s="93"/>
      <c r="RC514" s="93"/>
      <c r="RD514" s="93"/>
      <c r="RE514" s="93"/>
      <c r="RF514" s="93"/>
      <c r="RG514" s="93"/>
      <c r="RH514" s="93"/>
      <c r="RI514" s="93"/>
      <c r="RJ514" s="93"/>
      <c r="RK514" s="93"/>
      <c r="RL514" s="93"/>
      <c r="RM514" s="20"/>
      <c r="RN514" s="29"/>
      <c r="RO514" s="19"/>
      <c r="RP514" s="20"/>
      <c r="RQ514" s="29"/>
      <c r="RR514" s="20"/>
      <c r="RS514" s="29"/>
      <c r="RT514" s="1504">
        <v>50100</v>
      </c>
      <c r="RU514" s="19"/>
      <c r="RV514" s="20"/>
      <c r="RW514" s="29"/>
      <c r="RX514" s="1504">
        <v>50100</v>
      </c>
      <c r="RY514" s="29"/>
      <c r="RZ514" s="20"/>
      <c r="SA514" s="29"/>
      <c r="SB514" s="29"/>
    </row>
    <row r="515" spans="1:496">
      <c r="A515" s="41">
        <f t="shared" si="360"/>
        <v>2037</v>
      </c>
      <c r="B515" s="1504">
        <v>50131</v>
      </c>
      <c r="C515" s="1813"/>
      <c r="D515" s="1814"/>
      <c r="E515" s="1814"/>
      <c r="F515" s="1815"/>
      <c r="G515" s="1814"/>
      <c r="H515" s="1814"/>
      <c r="I515" s="1814"/>
      <c r="J515" s="1816"/>
      <c r="K515" s="1807"/>
      <c r="L515" s="25"/>
      <c r="M515" s="97"/>
      <c r="N515" s="1504">
        <v>50131</v>
      </c>
      <c r="O515" s="19"/>
      <c r="P515" s="93"/>
      <c r="Q515" s="93"/>
      <c r="R515" s="93"/>
      <c r="S515" s="93"/>
      <c r="T515" s="93"/>
      <c r="U515" s="93"/>
      <c r="V515" s="93"/>
      <c r="W515" s="93"/>
      <c r="X515" s="93"/>
      <c r="Y515" s="93"/>
      <c r="Z515" s="93"/>
      <c r="AA515" s="93"/>
      <c r="AB515" s="20"/>
      <c r="AC515" s="25"/>
      <c r="AD515" s="97"/>
      <c r="AE515" s="1504">
        <v>50131</v>
      </c>
      <c r="AF515" s="19"/>
      <c r="AG515" s="93"/>
      <c r="AH515" s="93"/>
      <c r="AI515" s="93"/>
      <c r="AJ515" s="93"/>
      <c r="AK515" s="93"/>
      <c r="AL515" s="93"/>
      <c r="AM515" s="93"/>
      <c r="AN515" s="93"/>
      <c r="AO515" s="93"/>
      <c r="AP515" s="93"/>
      <c r="AQ515" s="93"/>
      <c r="AR515" s="93"/>
      <c r="AS515" s="20"/>
      <c r="AT515" s="25"/>
      <c r="AU515" s="97"/>
      <c r="AV515" s="1504">
        <v>50131</v>
      </c>
      <c r="AW515" s="19"/>
      <c r="AX515" s="93"/>
      <c r="AY515" s="93"/>
      <c r="AZ515" s="93"/>
      <c r="BA515" s="93"/>
      <c r="BB515" s="93"/>
      <c r="BC515" s="93"/>
      <c r="BD515" s="93"/>
      <c r="BE515" s="93"/>
      <c r="BF515" s="93"/>
      <c r="BG515" s="93"/>
      <c r="BH515" s="93"/>
      <c r="BI515" s="93"/>
      <c r="BJ515" s="20"/>
      <c r="BK515" s="25"/>
      <c r="BL515" s="97"/>
      <c r="BM515" s="1504">
        <v>50131</v>
      </c>
      <c r="BN515" s="19"/>
      <c r="BO515" s="93"/>
      <c r="BP515" s="93"/>
      <c r="BQ515" s="93"/>
      <c r="BR515" s="93"/>
      <c r="BS515" s="93"/>
      <c r="BT515" s="93"/>
      <c r="BU515" s="20"/>
      <c r="BV515" s="25"/>
      <c r="BW515" s="97"/>
      <c r="BX515" s="1504">
        <v>50131</v>
      </c>
      <c r="BY515" s="19"/>
      <c r="BZ515" s="93"/>
      <c r="CA515" s="93"/>
      <c r="CB515" s="93"/>
      <c r="CC515" s="93"/>
      <c r="CD515" s="25"/>
      <c r="CE515" s="97"/>
      <c r="CF515" s="1504">
        <v>50131</v>
      </c>
      <c r="CG515" s="19"/>
      <c r="CH515" s="93"/>
      <c r="CI515" s="219"/>
      <c r="CJ515" s="20"/>
      <c r="CK515" s="19"/>
      <c r="CL515" s="93"/>
      <c r="CM515" s="93"/>
      <c r="CN515" s="93"/>
      <c r="CO515" s="93"/>
      <c r="CP515" s="20"/>
      <c r="CQ515" s="219"/>
      <c r="CR515" s="93"/>
      <c r="CS515" s="93"/>
      <c r="CT515" s="93"/>
      <c r="CU515" s="93"/>
      <c r="CV515" s="214"/>
      <c r="CW515" s="29"/>
      <c r="CX515" s="41">
        <f t="shared" si="359"/>
        <v>2037</v>
      </c>
      <c r="CY515" s="1504">
        <v>50131</v>
      </c>
      <c r="CZ515" s="19"/>
      <c r="DA515" s="93"/>
      <c r="DB515" s="93"/>
      <c r="DC515" s="93"/>
      <c r="DD515" s="93"/>
      <c r="DE515" s="20"/>
      <c r="DF515" s="29"/>
      <c r="DG515" s="1504">
        <v>50131</v>
      </c>
      <c r="DH515" s="19"/>
      <c r="DI515" s="93"/>
      <c r="DJ515" s="93"/>
      <c r="DK515" s="93"/>
      <c r="DL515" s="93"/>
      <c r="DM515" s="93"/>
      <c r="DN515" s="20"/>
      <c r="DO515" s="295"/>
      <c r="DP515" s="29"/>
      <c r="DQ515" s="1504">
        <v>50131</v>
      </c>
      <c r="DR515" s="19"/>
      <c r="DS515" s="93"/>
      <c r="DT515" s="93"/>
      <c r="DU515" s="93"/>
      <c r="DV515" s="93"/>
      <c r="DW515" s="93"/>
      <c r="DX515" s="20"/>
      <c r="DY515" s="29"/>
      <c r="DZ515" s="1504">
        <v>50131</v>
      </c>
      <c r="EA515" s="19"/>
      <c r="EB515" s="93"/>
      <c r="EC515" s="20"/>
      <c r="ED515" s="29"/>
      <c r="EE515" s="1504">
        <v>50131</v>
      </c>
      <c r="EF515" s="19"/>
      <c r="EG515" s="93"/>
      <c r="EH515" s="93"/>
      <c r="EI515" s="214"/>
      <c r="EJ515" s="93"/>
      <c r="EK515" s="93"/>
      <c r="EL515" s="93"/>
      <c r="EM515" s="93"/>
      <c r="EN515" s="20"/>
      <c r="EO515" s="29"/>
      <c r="EP515" s="1504">
        <v>50131</v>
      </c>
      <c r="EQ515" s="19"/>
      <c r="ER515" s="93"/>
      <c r="ES515" s="93"/>
      <c r="ET515" s="214"/>
      <c r="EU515" s="93"/>
      <c r="EV515" s="93"/>
      <c r="EW515" s="93"/>
      <c r="EX515" s="93"/>
      <c r="EY515" s="20"/>
      <c r="EZ515" s="29"/>
      <c r="FA515" s="1504">
        <v>50131</v>
      </c>
      <c r="FB515" s="29"/>
      <c r="FC515" s="29"/>
      <c r="FD515" s="29"/>
      <c r="FE515" s="29"/>
      <c r="FF515" s="29"/>
      <c r="FG515" s="29"/>
      <c r="FH515" s="29"/>
      <c r="FI515" s="29"/>
      <c r="FJ515" s="29"/>
      <c r="FK515" s="29"/>
      <c r="FL515" s="1504">
        <v>50131</v>
      </c>
      <c r="FM515" s="19"/>
      <c r="FN515" s="93"/>
      <c r="FO515" s="93"/>
      <c r="FP515" s="93"/>
      <c r="FQ515" s="93"/>
      <c r="FR515" s="93"/>
      <c r="FS515" s="93"/>
      <c r="FT515" s="93"/>
      <c r="FU515" s="93"/>
      <c r="FV515" s="93"/>
      <c r="FW515" s="93"/>
      <c r="FX515" s="93"/>
      <c r="FY515" s="93"/>
      <c r="FZ515" s="29"/>
      <c r="GA515" s="1504">
        <v>50131</v>
      </c>
      <c r="GB515" s="19"/>
      <c r="GC515" s="93"/>
      <c r="GD515" s="93"/>
      <c r="GE515" s="93"/>
      <c r="GF515" s="93"/>
      <c r="GG515" s="93"/>
      <c r="GH515" s="93"/>
      <c r="GI515" s="93"/>
      <c r="GJ515" s="93"/>
      <c r="GK515" s="93"/>
      <c r="GL515" s="93"/>
      <c r="GM515" s="93"/>
      <c r="GN515" s="20"/>
      <c r="GO515" s="29"/>
      <c r="GP515" s="1504">
        <v>50131</v>
      </c>
      <c r="GQ515" s="19"/>
      <c r="GR515" s="93"/>
      <c r="GS515" s="93"/>
      <c r="GT515" s="93"/>
      <c r="GU515" s="93"/>
      <c r="GV515" s="20"/>
      <c r="GW515" s="19"/>
      <c r="GX515" s="93"/>
      <c r="GY515" s="93"/>
      <c r="GZ515" s="93"/>
      <c r="HA515" s="93"/>
      <c r="HB515" s="20"/>
      <c r="HC515" s="19"/>
      <c r="HD515" s="93"/>
      <c r="HE515" s="93"/>
      <c r="HF515" s="93"/>
      <c r="HG515" s="93"/>
      <c r="HH515" s="20"/>
      <c r="HI515" s="19"/>
      <c r="HJ515" s="93"/>
      <c r="HK515" s="93"/>
      <c r="HL515" s="93"/>
      <c r="HM515" s="93"/>
      <c r="HN515" s="20"/>
      <c r="HO515" s="219"/>
      <c r="HP515" s="20"/>
      <c r="HQ515" s="25"/>
      <c r="HR515" s="29"/>
      <c r="HS515" s="1504">
        <v>50131</v>
      </c>
      <c r="HT515" s="19"/>
      <c r="HU515" s="93"/>
      <c r="HV515" s="93"/>
      <c r="HW515" s="93"/>
      <c r="HX515" s="93"/>
      <c r="HY515" s="93"/>
      <c r="HZ515" s="93"/>
      <c r="IA515" s="20"/>
      <c r="IB515" s="19"/>
      <c r="IC515" s="93"/>
      <c r="ID515" s="93"/>
      <c r="IE515" s="93"/>
      <c r="IF515" s="93"/>
      <c r="IG515" s="20"/>
      <c r="IH515" s="19"/>
      <c r="II515" s="93"/>
      <c r="IJ515" s="93"/>
      <c r="IK515" s="93"/>
      <c r="IL515" s="93"/>
      <c r="IM515" s="93"/>
      <c r="IN515" s="93"/>
      <c r="IO515" s="20"/>
      <c r="IP515" s="29"/>
      <c r="IQ515" s="19"/>
      <c r="IR515" s="93"/>
      <c r="IS515" s="93"/>
      <c r="IT515" s="93"/>
      <c r="IU515" s="93"/>
      <c r="IV515" s="20"/>
      <c r="IW515" s="29"/>
      <c r="IX515" s="19"/>
      <c r="IY515" s="93"/>
      <c r="IZ515" s="93"/>
      <c r="JA515" s="93"/>
      <c r="JB515" s="93"/>
      <c r="JC515" s="93"/>
      <c r="JD515" s="93"/>
      <c r="JE515" s="20"/>
      <c r="JF515" s="29"/>
      <c r="JG515" s="19"/>
      <c r="JH515" s="93"/>
      <c r="JI515" s="93"/>
      <c r="JJ515" s="93"/>
      <c r="JK515" s="93"/>
      <c r="JL515" s="93"/>
      <c r="JM515" s="93"/>
      <c r="JN515" s="20"/>
      <c r="JO515" s="29"/>
      <c r="JP515" s="19"/>
      <c r="JQ515" s="93"/>
      <c r="JR515" s="93"/>
      <c r="JS515" s="93"/>
      <c r="JT515" s="93"/>
      <c r="JU515" s="20"/>
      <c r="JV515" s="29"/>
      <c r="JW515" s="1504">
        <v>50131</v>
      </c>
      <c r="JX515" s="19"/>
      <c r="JY515" s="93"/>
      <c r="JZ515" s="93"/>
      <c r="KA515" s="93"/>
      <c r="KB515" s="93"/>
      <c r="KC515" s="93"/>
      <c r="KD515" s="20"/>
      <c r="KE515" s="29"/>
      <c r="KF515" s="19"/>
      <c r="KG515" s="93"/>
      <c r="KH515" s="93"/>
      <c r="KI515" s="93"/>
      <c r="KJ515" s="93"/>
      <c r="KK515" s="20"/>
      <c r="KL515" s="29"/>
      <c r="KM515" s="19"/>
      <c r="KN515" s="93"/>
      <c r="KO515" s="93"/>
      <c r="KP515" s="93"/>
      <c r="KQ515" s="93"/>
      <c r="KR515" s="20"/>
      <c r="KS515" s="29"/>
      <c r="KT515" s="19"/>
      <c r="KU515" s="93"/>
      <c r="KV515" s="93"/>
      <c r="KW515" s="93"/>
      <c r="KX515" s="93"/>
      <c r="KY515" s="20"/>
      <c r="KZ515" s="29"/>
      <c r="LA515" s="1504">
        <v>50131</v>
      </c>
      <c r="LB515" s="19"/>
      <c r="LC515" s="93"/>
      <c r="LD515" s="93"/>
      <c r="LE515" s="93"/>
      <c r="LF515" s="93"/>
      <c r="LG515" s="93"/>
      <c r="LH515" s="20"/>
      <c r="LI515" s="29"/>
      <c r="LJ515" s="19"/>
      <c r="LK515" s="93"/>
      <c r="LL515" s="93"/>
      <c r="LM515" s="93"/>
      <c r="LN515" s="93"/>
      <c r="LO515" s="20"/>
      <c r="LP515" s="29"/>
      <c r="LQ515" s="19"/>
      <c r="LR515" s="93"/>
      <c r="LS515" s="93"/>
      <c r="LT515" s="93"/>
      <c r="LU515" s="93"/>
      <c r="LV515" s="93"/>
      <c r="LW515" s="93"/>
      <c r="LX515" s="93"/>
      <c r="LY515" s="93"/>
      <c r="LZ515" s="93"/>
      <c r="MA515" s="20"/>
      <c r="MB515" s="29"/>
      <c r="MC515" s="1504">
        <v>50131</v>
      </c>
      <c r="MD515" s="19"/>
      <c r="ME515" s="93"/>
      <c r="MF515" s="93"/>
      <c r="MG515" s="93"/>
      <c r="MH515" s="93"/>
      <c r="MI515" s="93"/>
      <c r="MJ515" s="93"/>
      <c r="MK515" s="93"/>
      <c r="ML515" s="93"/>
      <c r="MM515" s="93"/>
      <c r="MN515" s="93"/>
      <c r="MO515" s="93"/>
      <c r="MP515" s="93"/>
      <c r="MQ515" s="93"/>
      <c r="MR515" s="93"/>
      <c r="MS515" s="93"/>
      <c r="MT515" s="93"/>
      <c r="MU515" s="93"/>
      <c r="MV515" s="93"/>
      <c r="MW515" s="93"/>
      <c r="MX515" s="93"/>
      <c r="MY515" s="93"/>
      <c r="MZ515" s="93"/>
      <c r="NA515" s="93"/>
      <c r="NB515" s="93"/>
      <c r="NC515" s="93"/>
      <c r="ND515" s="93"/>
      <c r="NE515" s="93"/>
      <c r="NF515" s="93"/>
      <c r="NG515" s="93"/>
      <c r="NH515" s="93"/>
      <c r="NI515" s="93"/>
      <c r="NJ515" s="93"/>
      <c r="NK515" s="93"/>
      <c r="NL515" s="93"/>
      <c r="NM515" s="93"/>
      <c r="NN515" s="93"/>
      <c r="NO515" s="93"/>
      <c r="NP515" s="93"/>
      <c r="NQ515" s="93"/>
      <c r="NR515" s="93"/>
      <c r="NS515" s="93"/>
      <c r="NT515" s="93"/>
      <c r="NU515" s="93"/>
      <c r="NV515" s="93"/>
      <c r="NW515" s="93"/>
      <c r="NX515" s="93"/>
      <c r="NY515" s="93"/>
      <c r="NZ515" s="93"/>
      <c r="OA515" s="93"/>
      <c r="OB515" s="93"/>
      <c r="OC515" s="93"/>
      <c r="OD515" s="20"/>
      <c r="OE515" s="29"/>
      <c r="OF515" s="1504">
        <v>50131</v>
      </c>
      <c r="OG515" s="19"/>
      <c r="OH515" s="93"/>
      <c r="OI515" s="93"/>
      <c r="OJ515" s="93"/>
      <c r="OK515" s="93"/>
      <c r="OL515" s="93"/>
      <c r="OM515" s="93"/>
      <c r="ON515" s="93"/>
      <c r="OO515" s="93"/>
      <c r="OP515" s="93"/>
      <c r="OQ515" s="93"/>
      <c r="OR515" s="93"/>
      <c r="OS515" s="93"/>
      <c r="OT515" s="93"/>
      <c r="OU515" s="93"/>
      <c r="OV515" s="93"/>
      <c r="OW515" s="93"/>
      <c r="OX515" s="93"/>
      <c r="OY515" s="93"/>
      <c r="OZ515" s="93"/>
      <c r="PA515" s="93"/>
      <c r="PB515" s="93"/>
      <c r="PC515" s="20"/>
      <c r="PD515" s="29"/>
      <c r="PE515" s="19"/>
      <c r="PF515" s="93"/>
      <c r="PG515" s="93"/>
      <c r="PH515" s="93"/>
      <c r="PI515" s="93"/>
      <c r="PJ515" s="93"/>
      <c r="PK515" s="93"/>
      <c r="PL515" s="93"/>
      <c r="PM515" s="93"/>
      <c r="PN515" s="93"/>
      <c r="PO515" s="93"/>
      <c r="PP515" s="93"/>
      <c r="PQ515" s="93"/>
      <c r="PR515" s="93"/>
      <c r="PS515" s="93"/>
      <c r="PT515" s="93"/>
      <c r="PU515" s="93"/>
      <c r="PV515" s="93"/>
      <c r="PW515" s="93"/>
      <c r="PX515" s="93"/>
      <c r="PY515" s="93"/>
      <c r="PZ515" s="93"/>
      <c r="QA515" s="93"/>
      <c r="QB515" s="93"/>
      <c r="QC515" s="93"/>
      <c r="QD515" s="93"/>
      <c r="QE515" s="20"/>
      <c r="QF515" s="1739"/>
      <c r="QG515" s="19"/>
      <c r="QH515" s="93"/>
      <c r="QI515" s="93"/>
      <c r="QJ515" s="93"/>
      <c r="QK515" s="93"/>
      <c r="QL515" s="93"/>
      <c r="QM515" s="93"/>
      <c r="QN515" s="93"/>
      <c r="QO515" s="93"/>
      <c r="QP515" s="93"/>
      <c r="QQ515" s="93"/>
      <c r="QR515" s="93"/>
      <c r="QS515" s="93"/>
      <c r="QT515" s="93"/>
      <c r="QU515" s="93"/>
      <c r="QV515" s="93"/>
      <c r="QW515" s="93"/>
      <c r="QX515" s="93"/>
      <c r="QY515" s="93"/>
      <c r="QZ515" s="93"/>
      <c r="RA515" s="93"/>
      <c r="RB515" s="93"/>
      <c r="RC515" s="93"/>
      <c r="RD515" s="93"/>
      <c r="RE515" s="93"/>
      <c r="RF515" s="93"/>
      <c r="RG515" s="93"/>
      <c r="RH515" s="93"/>
      <c r="RI515" s="93"/>
      <c r="RJ515" s="93"/>
      <c r="RK515" s="93"/>
      <c r="RL515" s="93"/>
      <c r="RM515" s="20"/>
      <c r="RN515" s="29"/>
      <c r="RO515" s="19"/>
      <c r="RP515" s="20"/>
      <c r="RQ515" s="29"/>
      <c r="RR515" s="20"/>
      <c r="RS515" s="29"/>
      <c r="RT515" s="1504">
        <v>50131</v>
      </c>
      <c r="RU515" s="19"/>
      <c r="RV515" s="20"/>
      <c r="RW515" s="29"/>
      <c r="RX515" s="1504">
        <v>50131</v>
      </c>
      <c r="RY515" s="29"/>
      <c r="RZ515" s="20"/>
      <c r="SA515" s="29"/>
      <c r="SB515" s="29"/>
    </row>
    <row r="516" spans="1:496">
      <c r="A516" s="41">
        <f t="shared" si="360"/>
        <v>2037</v>
      </c>
      <c r="B516" s="1504">
        <v>50161</v>
      </c>
      <c r="C516" s="1813"/>
      <c r="D516" s="1814"/>
      <c r="E516" s="1814"/>
      <c r="F516" s="1815"/>
      <c r="G516" s="1814"/>
      <c r="H516" s="1814"/>
      <c r="I516" s="1814"/>
      <c r="J516" s="1816"/>
      <c r="K516" s="1807"/>
      <c r="L516" s="25"/>
      <c r="M516" s="97"/>
      <c r="N516" s="1504">
        <v>50161</v>
      </c>
      <c r="O516" s="19"/>
      <c r="P516" s="93"/>
      <c r="Q516" s="93"/>
      <c r="R516" s="93"/>
      <c r="S516" s="93"/>
      <c r="T516" s="93"/>
      <c r="U516" s="93"/>
      <c r="V516" s="93"/>
      <c r="W516" s="93"/>
      <c r="X516" s="93"/>
      <c r="Y516" s="93"/>
      <c r="Z516" s="93"/>
      <c r="AA516" s="93"/>
      <c r="AB516" s="20"/>
      <c r="AC516" s="25"/>
      <c r="AD516" s="97"/>
      <c r="AE516" s="1504">
        <v>50161</v>
      </c>
      <c r="AF516" s="19"/>
      <c r="AG516" s="93"/>
      <c r="AH516" s="93"/>
      <c r="AI516" s="93"/>
      <c r="AJ516" s="93"/>
      <c r="AK516" s="93"/>
      <c r="AL516" s="93"/>
      <c r="AM516" s="93"/>
      <c r="AN516" s="93"/>
      <c r="AO516" s="93"/>
      <c r="AP516" s="93"/>
      <c r="AQ516" s="93"/>
      <c r="AR516" s="93"/>
      <c r="AS516" s="20"/>
      <c r="AT516" s="25"/>
      <c r="AU516" s="97"/>
      <c r="AV516" s="1504">
        <v>50161</v>
      </c>
      <c r="AW516" s="19"/>
      <c r="AX516" s="93"/>
      <c r="AY516" s="93"/>
      <c r="AZ516" s="93"/>
      <c r="BA516" s="93"/>
      <c r="BB516" s="93"/>
      <c r="BC516" s="93"/>
      <c r="BD516" s="93"/>
      <c r="BE516" s="93"/>
      <c r="BF516" s="93"/>
      <c r="BG516" s="93"/>
      <c r="BH516" s="93"/>
      <c r="BI516" s="93"/>
      <c r="BJ516" s="20"/>
      <c r="BK516" s="25"/>
      <c r="BL516" s="97"/>
      <c r="BM516" s="1504">
        <v>50161</v>
      </c>
      <c r="BN516" s="19"/>
      <c r="BO516" s="93"/>
      <c r="BP516" s="93"/>
      <c r="BQ516" s="93"/>
      <c r="BR516" s="93"/>
      <c r="BS516" s="93"/>
      <c r="BT516" s="93"/>
      <c r="BU516" s="20"/>
      <c r="BV516" s="25"/>
      <c r="BW516" s="97"/>
      <c r="BX516" s="1504">
        <v>50161</v>
      </c>
      <c r="BY516" s="19"/>
      <c r="BZ516" s="93"/>
      <c r="CA516" s="93"/>
      <c r="CB516" s="93"/>
      <c r="CC516" s="93"/>
      <c r="CD516" s="25"/>
      <c r="CE516" s="97"/>
      <c r="CF516" s="1504">
        <v>50161</v>
      </c>
      <c r="CG516" s="19"/>
      <c r="CH516" s="93"/>
      <c r="CI516" s="219"/>
      <c r="CJ516" s="20"/>
      <c r="CK516" s="19"/>
      <c r="CL516" s="93"/>
      <c r="CM516" s="93"/>
      <c r="CN516" s="93"/>
      <c r="CO516" s="93"/>
      <c r="CP516" s="20"/>
      <c r="CQ516" s="219"/>
      <c r="CR516" s="93"/>
      <c r="CS516" s="93"/>
      <c r="CT516" s="93"/>
      <c r="CU516" s="93"/>
      <c r="CV516" s="214"/>
      <c r="CW516" s="29"/>
      <c r="CX516" s="41">
        <f t="shared" si="359"/>
        <v>2037</v>
      </c>
      <c r="CY516" s="1504">
        <v>50161</v>
      </c>
      <c r="CZ516" s="19"/>
      <c r="DA516" s="93"/>
      <c r="DB516" s="93"/>
      <c r="DC516" s="93"/>
      <c r="DD516" s="93"/>
      <c r="DE516" s="20"/>
      <c r="DF516" s="29"/>
      <c r="DG516" s="1504">
        <v>50161</v>
      </c>
      <c r="DH516" s="19"/>
      <c r="DI516" s="93"/>
      <c r="DJ516" s="93"/>
      <c r="DK516" s="93"/>
      <c r="DL516" s="93"/>
      <c r="DM516" s="93"/>
      <c r="DN516" s="20"/>
      <c r="DO516" s="295"/>
      <c r="DP516" s="29"/>
      <c r="DQ516" s="1504">
        <v>50161</v>
      </c>
      <c r="DR516" s="19"/>
      <c r="DS516" s="93"/>
      <c r="DT516" s="93"/>
      <c r="DU516" s="93"/>
      <c r="DV516" s="93"/>
      <c r="DW516" s="93"/>
      <c r="DX516" s="20"/>
      <c r="DY516" s="29"/>
      <c r="DZ516" s="1504">
        <v>50161</v>
      </c>
      <c r="EA516" s="19"/>
      <c r="EB516" s="93"/>
      <c r="EC516" s="20"/>
      <c r="ED516" s="29"/>
      <c r="EE516" s="1504">
        <v>50161</v>
      </c>
      <c r="EF516" s="19"/>
      <c r="EG516" s="93"/>
      <c r="EH516" s="93"/>
      <c r="EI516" s="214"/>
      <c r="EJ516" s="93"/>
      <c r="EK516" s="93"/>
      <c r="EL516" s="93"/>
      <c r="EM516" s="93"/>
      <c r="EN516" s="20"/>
      <c r="EO516" s="29"/>
      <c r="EP516" s="1504">
        <v>50161</v>
      </c>
      <c r="EQ516" s="19"/>
      <c r="ER516" s="93"/>
      <c r="ES516" s="93"/>
      <c r="ET516" s="214"/>
      <c r="EU516" s="93"/>
      <c r="EV516" s="93"/>
      <c r="EW516" s="93"/>
      <c r="EX516" s="93"/>
      <c r="EY516" s="20"/>
      <c r="EZ516" s="29"/>
      <c r="FA516" s="1504">
        <v>50161</v>
      </c>
      <c r="FB516" s="29"/>
      <c r="FC516" s="29"/>
      <c r="FD516" s="29"/>
      <c r="FE516" s="29"/>
      <c r="FF516" s="29"/>
      <c r="FG516" s="29"/>
      <c r="FH516" s="29"/>
      <c r="FI516" s="29"/>
      <c r="FJ516" s="29"/>
      <c r="FK516" s="29"/>
      <c r="FL516" s="1504">
        <v>50161</v>
      </c>
      <c r="FM516" s="19"/>
      <c r="FN516" s="93"/>
      <c r="FO516" s="93"/>
      <c r="FP516" s="93"/>
      <c r="FQ516" s="93"/>
      <c r="FR516" s="93"/>
      <c r="FS516" s="93"/>
      <c r="FT516" s="93"/>
      <c r="FU516" s="93"/>
      <c r="FV516" s="93"/>
      <c r="FW516" s="93"/>
      <c r="FX516" s="93"/>
      <c r="FY516" s="93"/>
      <c r="FZ516" s="29"/>
      <c r="GA516" s="1504">
        <v>50161</v>
      </c>
      <c r="GB516" s="19"/>
      <c r="GC516" s="93"/>
      <c r="GD516" s="93"/>
      <c r="GE516" s="93"/>
      <c r="GF516" s="93"/>
      <c r="GG516" s="93"/>
      <c r="GH516" s="93"/>
      <c r="GI516" s="93"/>
      <c r="GJ516" s="93"/>
      <c r="GK516" s="93"/>
      <c r="GL516" s="93"/>
      <c r="GM516" s="93"/>
      <c r="GN516" s="20"/>
      <c r="GO516" s="29"/>
      <c r="GP516" s="1504">
        <v>50161</v>
      </c>
      <c r="GQ516" s="19"/>
      <c r="GR516" s="93"/>
      <c r="GS516" s="93"/>
      <c r="GT516" s="93"/>
      <c r="GU516" s="93"/>
      <c r="GV516" s="20"/>
      <c r="GW516" s="19"/>
      <c r="GX516" s="93"/>
      <c r="GY516" s="93"/>
      <c r="GZ516" s="93"/>
      <c r="HA516" s="93"/>
      <c r="HB516" s="20"/>
      <c r="HC516" s="19"/>
      <c r="HD516" s="93"/>
      <c r="HE516" s="93"/>
      <c r="HF516" s="93"/>
      <c r="HG516" s="93"/>
      <c r="HH516" s="20"/>
      <c r="HI516" s="19"/>
      <c r="HJ516" s="93"/>
      <c r="HK516" s="93"/>
      <c r="HL516" s="93"/>
      <c r="HM516" s="93"/>
      <c r="HN516" s="20"/>
      <c r="HO516" s="219"/>
      <c r="HP516" s="20"/>
      <c r="HQ516" s="25"/>
      <c r="HR516" s="29"/>
      <c r="HS516" s="1504">
        <v>50161</v>
      </c>
      <c r="HT516" s="19"/>
      <c r="HU516" s="93"/>
      <c r="HV516" s="93"/>
      <c r="HW516" s="93"/>
      <c r="HX516" s="93"/>
      <c r="HY516" s="93"/>
      <c r="HZ516" s="93"/>
      <c r="IA516" s="20"/>
      <c r="IB516" s="19"/>
      <c r="IC516" s="93"/>
      <c r="ID516" s="93"/>
      <c r="IE516" s="93"/>
      <c r="IF516" s="93"/>
      <c r="IG516" s="20"/>
      <c r="IH516" s="19"/>
      <c r="II516" s="93"/>
      <c r="IJ516" s="93"/>
      <c r="IK516" s="93"/>
      <c r="IL516" s="93"/>
      <c r="IM516" s="93"/>
      <c r="IN516" s="93"/>
      <c r="IO516" s="20"/>
      <c r="IP516" s="29"/>
      <c r="IQ516" s="19"/>
      <c r="IR516" s="93"/>
      <c r="IS516" s="93"/>
      <c r="IT516" s="93"/>
      <c r="IU516" s="93"/>
      <c r="IV516" s="20"/>
      <c r="IW516" s="29"/>
      <c r="IX516" s="19"/>
      <c r="IY516" s="93"/>
      <c r="IZ516" s="93"/>
      <c r="JA516" s="93"/>
      <c r="JB516" s="93"/>
      <c r="JC516" s="93"/>
      <c r="JD516" s="93"/>
      <c r="JE516" s="20"/>
      <c r="JF516" s="29"/>
      <c r="JG516" s="19"/>
      <c r="JH516" s="93"/>
      <c r="JI516" s="93"/>
      <c r="JJ516" s="93"/>
      <c r="JK516" s="93"/>
      <c r="JL516" s="93"/>
      <c r="JM516" s="93"/>
      <c r="JN516" s="20"/>
      <c r="JO516" s="29"/>
      <c r="JP516" s="19"/>
      <c r="JQ516" s="93"/>
      <c r="JR516" s="93"/>
      <c r="JS516" s="93"/>
      <c r="JT516" s="93"/>
      <c r="JU516" s="20"/>
      <c r="JV516" s="29"/>
      <c r="JW516" s="1504">
        <v>50161</v>
      </c>
      <c r="JX516" s="19"/>
      <c r="JY516" s="93"/>
      <c r="JZ516" s="93"/>
      <c r="KA516" s="93"/>
      <c r="KB516" s="93"/>
      <c r="KC516" s="93"/>
      <c r="KD516" s="20"/>
      <c r="KE516" s="29"/>
      <c r="KF516" s="19"/>
      <c r="KG516" s="93"/>
      <c r="KH516" s="93"/>
      <c r="KI516" s="93"/>
      <c r="KJ516" s="93"/>
      <c r="KK516" s="20"/>
      <c r="KL516" s="29"/>
      <c r="KM516" s="19"/>
      <c r="KN516" s="93"/>
      <c r="KO516" s="93"/>
      <c r="KP516" s="93"/>
      <c r="KQ516" s="93"/>
      <c r="KR516" s="20"/>
      <c r="KS516" s="29"/>
      <c r="KT516" s="19"/>
      <c r="KU516" s="93"/>
      <c r="KV516" s="93"/>
      <c r="KW516" s="93"/>
      <c r="KX516" s="93"/>
      <c r="KY516" s="20"/>
      <c r="KZ516" s="29"/>
      <c r="LA516" s="1504">
        <v>50161</v>
      </c>
      <c r="LB516" s="19"/>
      <c r="LC516" s="93"/>
      <c r="LD516" s="93"/>
      <c r="LE516" s="93"/>
      <c r="LF516" s="93"/>
      <c r="LG516" s="93"/>
      <c r="LH516" s="20"/>
      <c r="LI516" s="29"/>
      <c r="LJ516" s="19"/>
      <c r="LK516" s="93"/>
      <c r="LL516" s="93"/>
      <c r="LM516" s="93"/>
      <c r="LN516" s="93"/>
      <c r="LO516" s="20"/>
      <c r="LP516" s="29"/>
      <c r="LQ516" s="19"/>
      <c r="LR516" s="93"/>
      <c r="LS516" s="93"/>
      <c r="LT516" s="93"/>
      <c r="LU516" s="93"/>
      <c r="LV516" s="93"/>
      <c r="LW516" s="93"/>
      <c r="LX516" s="93"/>
      <c r="LY516" s="93"/>
      <c r="LZ516" s="93"/>
      <c r="MA516" s="20"/>
      <c r="MB516" s="29"/>
      <c r="MC516" s="1504">
        <v>50161</v>
      </c>
      <c r="MD516" s="19"/>
      <c r="ME516" s="93"/>
      <c r="MF516" s="93"/>
      <c r="MG516" s="93"/>
      <c r="MH516" s="93"/>
      <c r="MI516" s="93"/>
      <c r="MJ516" s="93"/>
      <c r="MK516" s="93"/>
      <c r="ML516" s="93"/>
      <c r="MM516" s="93"/>
      <c r="MN516" s="93"/>
      <c r="MO516" s="93"/>
      <c r="MP516" s="93"/>
      <c r="MQ516" s="93"/>
      <c r="MR516" s="93"/>
      <c r="MS516" s="93"/>
      <c r="MT516" s="93"/>
      <c r="MU516" s="93"/>
      <c r="MV516" s="93"/>
      <c r="MW516" s="93"/>
      <c r="MX516" s="93"/>
      <c r="MY516" s="93"/>
      <c r="MZ516" s="93"/>
      <c r="NA516" s="93"/>
      <c r="NB516" s="93"/>
      <c r="NC516" s="93"/>
      <c r="ND516" s="93"/>
      <c r="NE516" s="93"/>
      <c r="NF516" s="93"/>
      <c r="NG516" s="93"/>
      <c r="NH516" s="93"/>
      <c r="NI516" s="93"/>
      <c r="NJ516" s="93"/>
      <c r="NK516" s="93"/>
      <c r="NL516" s="93"/>
      <c r="NM516" s="93"/>
      <c r="NN516" s="93"/>
      <c r="NO516" s="93"/>
      <c r="NP516" s="93"/>
      <c r="NQ516" s="93"/>
      <c r="NR516" s="93"/>
      <c r="NS516" s="93"/>
      <c r="NT516" s="93"/>
      <c r="NU516" s="93"/>
      <c r="NV516" s="93"/>
      <c r="NW516" s="93"/>
      <c r="NX516" s="93"/>
      <c r="NY516" s="93"/>
      <c r="NZ516" s="93"/>
      <c r="OA516" s="93"/>
      <c r="OB516" s="93"/>
      <c r="OC516" s="93"/>
      <c r="OD516" s="20"/>
      <c r="OE516" s="29"/>
      <c r="OF516" s="1504">
        <v>50161</v>
      </c>
      <c r="OG516" s="19"/>
      <c r="OH516" s="93"/>
      <c r="OI516" s="93"/>
      <c r="OJ516" s="93"/>
      <c r="OK516" s="93"/>
      <c r="OL516" s="93"/>
      <c r="OM516" s="93"/>
      <c r="ON516" s="93"/>
      <c r="OO516" s="93"/>
      <c r="OP516" s="93"/>
      <c r="OQ516" s="93"/>
      <c r="OR516" s="93"/>
      <c r="OS516" s="93"/>
      <c r="OT516" s="93"/>
      <c r="OU516" s="93"/>
      <c r="OV516" s="93"/>
      <c r="OW516" s="93"/>
      <c r="OX516" s="93"/>
      <c r="OY516" s="93"/>
      <c r="OZ516" s="93"/>
      <c r="PA516" s="93"/>
      <c r="PB516" s="93"/>
      <c r="PC516" s="20"/>
      <c r="PD516" s="29"/>
      <c r="PE516" s="19"/>
      <c r="PF516" s="93"/>
      <c r="PG516" s="93"/>
      <c r="PH516" s="93"/>
      <c r="PI516" s="93"/>
      <c r="PJ516" s="93"/>
      <c r="PK516" s="93"/>
      <c r="PL516" s="93"/>
      <c r="PM516" s="93"/>
      <c r="PN516" s="93"/>
      <c r="PO516" s="93"/>
      <c r="PP516" s="93"/>
      <c r="PQ516" s="93"/>
      <c r="PR516" s="93"/>
      <c r="PS516" s="93"/>
      <c r="PT516" s="93"/>
      <c r="PU516" s="93"/>
      <c r="PV516" s="93"/>
      <c r="PW516" s="93"/>
      <c r="PX516" s="93"/>
      <c r="PY516" s="93"/>
      <c r="PZ516" s="93"/>
      <c r="QA516" s="93"/>
      <c r="QB516" s="93"/>
      <c r="QC516" s="93"/>
      <c r="QD516" s="93"/>
      <c r="QE516" s="20"/>
      <c r="QF516" s="1739"/>
      <c r="QG516" s="19"/>
      <c r="QH516" s="93"/>
      <c r="QI516" s="93"/>
      <c r="QJ516" s="93"/>
      <c r="QK516" s="93"/>
      <c r="QL516" s="93"/>
      <c r="QM516" s="93"/>
      <c r="QN516" s="93"/>
      <c r="QO516" s="93"/>
      <c r="QP516" s="93"/>
      <c r="QQ516" s="93"/>
      <c r="QR516" s="93"/>
      <c r="QS516" s="93"/>
      <c r="QT516" s="93"/>
      <c r="QU516" s="93"/>
      <c r="QV516" s="93"/>
      <c r="QW516" s="93"/>
      <c r="QX516" s="93"/>
      <c r="QY516" s="93"/>
      <c r="QZ516" s="93"/>
      <c r="RA516" s="93"/>
      <c r="RB516" s="93"/>
      <c r="RC516" s="93"/>
      <c r="RD516" s="93"/>
      <c r="RE516" s="93"/>
      <c r="RF516" s="93"/>
      <c r="RG516" s="93"/>
      <c r="RH516" s="93"/>
      <c r="RI516" s="93"/>
      <c r="RJ516" s="93"/>
      <c r="RK516" s="93"/>
      <c r="RL516" s="93"/>
      <c r="RM516" s="20"/>
      <c r="RN516" s="29"/>
      <c r="RO516" s="19"/>
      <c r="RP516" s="20"/>
      <c r="RQ516" s="29"/>
      <c r="RR516" s="20"/>
      <c r="RS516" s="29"/>
      <c r="RT516" s="1504">
        <v>50161</v>
      </c>
      <c r="RU516" s="19"/>
      <c r="RV516" s="20"/>
      <c r="RW516" s="29"/>
      <c r="RX516" s="1504">
        <v>50161</v>
      </c>
      <c r="RY516" s="29"/>
      <c r="RZ516" s="20"/>
      <c r="SA516" s="29"/>
      <c r="SB516" s="29"/>
    </row>
    <row r="517" spans="1:496">
      <c r="A517" s="41">
        <f t="shared" si="360"/>
        <v>2037</v>
      </c>
      <c r="B517" s="1504">
        <v>50192</v>
      </c>
      <c r="C517" s="1813"/>
      <c r="D517" s="1814"/>
      <c r="E517" s="1814"/>
      <c r="F517" s="1815"/>
      <c r="G517" s="1814"/>
      <c r="H517" s="1814"/>
      <c r="I517" s="1814"/>
      <c r="J517" s="1816"/>
      <c r="K517" s="1807"/>
      <c r="L517" s="25"/>
      <c r="M517" s="97"/>
      <c r="N517" s="1504">
        <v>50192</v>
      </c>
      <c r="O517" s="19"/>
      <c r="P517" s="93"/>
      <c r="Q517" s="93"/>
      <c r="R517" s="93"/>
      <c r="S517" s="93"/>
      <c r="T517" s="93"/>
      <c r="U517" s="93"/>
      <c r="V517" s="93"/>
      <c r="W517" s="93"/>
      <c r="X517" s="93"/>
      <c r="Y517" s="93"/>
      <c r="Z517" s="93"/>
      <c r="AA517" s="93"/>
      <c r="AB517" s="20"/>
      <c r="AC517" s="25"/>
      <c r="AD517" s="97"/>
      <c r="AE517" s="1504">
        <v>50192</v>
      </c>
      <c r="AF517" s="19"/>
      <c r="AG517" s="93"/>
      <c r="AH517" s="93"/>
      <c r="AI517" s="93"/>
      <c r="AJ517" s="93"/>
      <c r="AK517" s="93"/>
      <c r="AL517" s="93"/>
      <c r="AM517" s="93"/>
      <c r="AN517" s="93"/>
      <c r="AO517" s="93"/>
      <c r="AP517" s="93"/>
      <c r="AQ517" s="93"/>
      <c r="AR517" s="93"/>
      <c r="AS517" s="20"/>
      <c r="AT517" s="25"/>
      <c r="AU517" s="97"/>
      <c r="AV517" s="1504">
        <v>50192</v>
      </c>
      <c r="AW517" s="19"/>
      <c r="AX517" s="93"/>
      <c r="AY517" s="93"/>
      <c r="AZ517" s="93"/>
      <c r="BA517" s="93"/>
      <c r="BB517" s="93"/>
      <c r="BC517" s="93"/>
      <c r="BD517" s="93"/>
      <c r="BE517" s="93"/>
      <c r="BF517" s="93"/>
      <c r="BG517" s="93"/>
      <c r="BH517" s="93"/>
      <c r="BI517" s="93"/>
      <c r="BJ517" s="20"/>
      <c r="BK517" s="25"/>
      <c r="BL517" s="97"/>
      <c r="BM517" s="1504">
        <v>50192</v>
      </c>
      <c r="BN517" s="19"/>
      <c r="BO517" s="93"/>
      <c r="BP517" s="93"/>
      <c r="BQ517" s="93"/>
      <c r="BR517" s="93"/>
      <c r="BS517" s="93"/>
      <c r="BT517" s="93"/>
      <c r="BU517" s="20"/>
      <c r="BV517" s="25"/>
      <c r="BW517" s="97"/>
      <c r="BX517" s="1504">
        <v>50192</v>
      </c>
      <c r="BY517" s="19"/>
      <c r="BZ517" s="93"/>
      <c r="CA517" s="93"/>
      <c r="CB517" s="93"/>
      <c r="CC517" s="93"/>
      <c r="CD517" s="25"/>
      <c r="CE517" s="97"/>
      <c r="CF517" s="1504">
        <v>50192</v>
      </c>
      <c r="CG517" s="19"/>
      <c r="CH517" s="93"/>
      <c r="CI517" s="219"/>
      <c r="CJ517" s="20"/>
      <c r="CK517" s="19"/>
      <c r="CL517" s="93"/>
      <c r="CM517" s="93"/>
      <c r="CN517" s="93"/>
      <c r="CO517" s="93"/>
      <c r="CP517" s="20"/>
      <c r="CQ517" s="219"/>
      <c r="CR517" s="93"/>
      <c r="CS517" s="93"/>
      <c r="CT517" s="93"/>
      <c r="CU517" s="93"/>
      <c r="CV517" s="214"/>
      <c r="CW517" s="29"/>
      <c r="CX517" s="41">
        <f t="shared" ref="CX517:CX580" si="361">YEAR(CY517)</f>
        <v>2037</v>
      </c>
      <c r="CY517" s="1504">
        <v>50192</v>
      </c>
      <c r="CZ517" s="19"/>
      <c r="DA517" s="93"/>
      <c r="DB517" s="93"/>
      <c r="DC517" s="93"/>
      <c r="DD517" s="93"/>
      <c r="DE517" s="20"/>
      <c r="DF517" s="29"/>
      <c r="DG517" s="1504">
        <v>50192</v>
      </c>
      <c r="DH517" s="19"/>
      <c r="DI517" s="93"/>
      <c r="DJ517" s="93"/>
      <c r="DK517" s="93"/>
      <c r="DL517" s="93"/>
      <c r="DM517" s="93"/>
      <c r="DN517" s="20"/>
      <c r="DO517" s="295"/>
      <c r="DP517" s="29"/>
      <c r="DQ517" s="1504">
        <v>50192</v>
      </c>
      <c r="DR517" s="19"/>
      <c r="DS517" s="93"/>
      <c r="DT517" s="93"/>
      <c r="DU517" s="93"/>
      <c r="DV517" s="93"/>
      <c r="DW517" s="93"/>
      <c r="DX517" s="20"/>
      <c r="DY517" s="29"/>
      <c r="DZ517" s="1504">
        <v>50192</v>
      </c>
      <c r="EA517" s="19"/>
      <c r="EB517" s="93"/>
      <c r="EC517" s="20"/>
      <c r="ED517" s="29"/>
      <c r="EE517" s="1504">
        <v>50192</v>
      </c>
      <c r="EF517" s="19"/>
      <c r="EG517" s="93"/>
      <c r="EH517" s="93"/>
      <c r="EI517" s="214"/>
      <c r="EJ517" s="93"/>
      <c r="EK517" s="93"/>
      <c r="EL517" s="93"/>
      <c r="EM517" s="93"/>
      <c r="EN517" s="20"/>
      <c r="EO517" s="29"/>
      <c r="EP517" s="1504">
        <v>50192</v>
      </c>
      <c r="EQ517" s="19"/>
      <c r="ER517" s="93"/>
      <c r="ES517" s="93"/>
      <c r="ET517" s="214"/>
      <c r="EU517" s="93"/>
      <c r="EV517" s="93"/>
      <c r="EW517" s="93"/>
      <c r="EX517" s="93"/>
      <c r="EY517" s="20"/>
      <c r="EZ517" s="29"/>
      <c r="FA517" s="1504">
        <v>50192</v>
      </c>
      <c r="FB517" s="29"/>
      <c r="FC517" s="29"/>
      <c r="FD517" s="29"/>
      <c r="FE517" s="29"/>
      <c r="FF517" s="29"/>
      <c r="FG517" s="29"/>
      <c r="FH517" s="29"/>
      <c r="FI517" s="29"/>
      <c r="FJ517" s="29"/>
      <c r="FK517" s="29"/>
      <c r="FL517" s="1504">
        <v>50192</v>
      </c>
      <c r="FM517" s="19"/>
      <c r="FN517" s="93"/>
      <c r="FO517" s="93"/>
      <c r="FP517" s="93"/>
      <c r="FQ517" s="93"/>
      <c r="FR517" s="93"/>
      <c r="FS517" s="93"/>
      <c r="FT517" s="93"/>
      <c r="FU517" s="93"/>
      <c r="FV517" s="93"/>
      <c r="FW517" s="93"/>
      <c r="FX517" s="93"/>
      <c r="FY517" s="93"/>
      <c r="FZ517" s="29"/>
      <c r="GA517" s="1504">
        <v>50192</v>
      </c>
      <c r="GB517" s="19"/>
      <c r="GC517" s="93"/>
      <c r="GD517" s="93"/>
      <c r="GE517" s="93"/>
      <c r="GF517" s="93"/>
      <c r="GG517" s="93"/>
      <c r="GH517" s="93"/>
      <c r="GI517" s="93"/>
      <c r="GJ517" s="93"/>
      <c r="GK517" s="93"/>
      <c r="GL517" s="93"/>
      <c r="GM517" s="93"/>
      <c r="GN517" s="20"/>
      <c r="GO517" s="29"/>
      <c r="GP517" s="1504">
        <v>50192</v>
      </c>
      <c r="GQ517" s="19"/>
      <c r="GR517" s="93"/>
      <c r="GS517" s="93"/>
      <c r="GT517" s="93"/>
      <c r="GU517" s="93"/>
      <c r="GV517" s="20"/>
      <c r="GW517" s="19"/>
      <c r="GX517" s="93"/>
      <c r="GY517" s="93"/>
      <c r="GZ517" s="93"/>
      <c r="HA517" s="93"/>
      <c r="HB517" s="20"/>
      <c r="HC517" s="19"/>
      <c r="HD517" s="93"/>
      <c r="HE517" s="93"/>
      <c r="HF517" s="93"/>
      <c r="HG517" s="93"/>
      <c r="HH517" s="20"/>
      <c r="HI517" s="19"/>
      <c r="HJ517" s="93"/>
      <c r="HK517" s="93"/>
      <c r="HL517" s="93"/>
      <c r="HM517" s="93"/>
      <c r="HN517" s="20"/>
      <c r="HO517" s="219"/>
      <c r="HP517" s="20"/>
      <c r="HQ517" s="25"/>
      <c r="HR517" s="29"/>
      <c r="HS517" s="1504">
        <v>50192</v>
      </c>
      <c r="HT517" s="19"/>
      <c r="HU517" s="93"/>
      <c r="HV517" s="93"/>
      <c r="HW517" s="93"/>
      <c r="HX517" s="93"/>
      <c r="HY517" s="93"/>
      <c r="HZ517" s="93"/>
      <c r="IA517" s="20"/>
      <c r="IB517" s="19"/>
      <c r="IC517" s="93"/>
      <c r="ID517" s="93"/>
      <c r="IE517" s="93"/>
      <c r="IF517" s="93"/>
      <c r="IG517" s="20"/>
      <c r="IH517" s="19"/>
      <c r="II517" s="93"/>
      <c r="IJ517" s="93"/>
      <c r="IK517" s="93"/>
      <c r="IL517" s="93"/>
      <c r="IM517" s="93"/>
      <c r="IN517" s="93"/>
      <c r="IO517" s="20"/>
      <c r="IP517" s="29"/>
      <c r="IQ517" s="19"/>
      <c r="IR517" s="93"/>
      <c r="IS517" s="93"/>
      <c r="IT517" s="93"/>
      <c r="IU517" s="93"/>
      <c r="IV517" s="20"/>
      <c r="IW517" s="29"/>
      <c r="IX517" s="19"/>
      <c r="IY517" s="93"/>
      <c r="IZ517" s="93"/>
      <c r="JA517" s="93"/>
      <c r="JB517" s="93"/>
      <c r="JC517" s="93"/>
      <c r="JD517" s="93"/>
      <c r="JE517" s="20"/>
      <c r="JF517" s="29"/>
      <c r="JG517" s="19"/>
      <c r="JH517" s="93"/>
      <c r="JI517" s="93"/>
      <c r="JJ517" s="93"/>
      <c r="JK517" s="93"/>
      <c r="JL517" s="93"/>
      <c r="JM517" s="93"/>
      <c r="JN517" s="20"/>
      <c r="JO517" s="29"/>
      <c r="JP517" s="19"/>
      <c r="JQ517" s="93"/>
      <c r="JR517" s="93"/>
      <c r="JS517" s="93"/>
      <c r="JT517" s="93"/>
      <c r="JU517" s="20"/>
      <c r="JV517" s="29"/>
      <c r="JW517" s="1504">
        <v>50192</v>
      </c>
      <c r="JX517" s="19"/>
      <c r="JY517" s="93"/>
      <c r="JZ517" s="93"/>
      <c r="KA517" s="93"/>
      <c r="KB517" s="93"/>
      <c r="KC517" s="93"/>
      <c r="KD517" s="20"/>
      <c r="KE517" s="29"/>
      <c r="KF517" s="19"/>
      <c r="KG517" s="93"/>
      <c r="KH517" s="93"/>
      <c r="KI517" s="93"/>
      <c r="KJ517" s="93"/>
      <c r="KK517" s="20"/>
      <c r="KL517" s="29"/>
      <c r="KM517" s="19"/>
      <c r="KN517" s="93"/>
      <c r="KO517" s="93"/>
      <c r="KP517" s="93"/>
      <c r="KQ517" s="93"/>
      <c r="KR517" s="20"/>
      <c r="KS517" s="29"/>
      <c r="KT517" s="19"/>
      <c r="KU517" s="93"/>
      <c r="KV517" s="93"/>
      <c r="KW517" s="93"/>
      <c r="KX517" s="93"/>
      <c r="KY517" s="20"/>
      <c r="KZ517" s="29"/>
      <c r="LA517" s="1504">
        <v>50192</v>
      </c>
      <c r="LB517" s="19"/>
      <c r="LC517" s="93"/>
      <c r="LD517" s="93"/>
      <c r="LE517" s="93"/>
      <c r="LF517" s="93"/>
      <c r="LG517" s="93"/>
      <c r="LH517" s="20"/>
      <c r="LI517" s="29"/>
      <c r="LJ517" s="19"/>
      <c r="LK517" s="93"/>
      <c r="LL517" s="93"/>
      <c r="LM517" s="93"/>
      <c r="LN517" s="93"/>
      <c r="LO517" s="20"/>
      <c r="LP517" s="29"/>
      <c r="LQ517" s="19"/>
      <c r="LR517" s="93"/>
      <c r="LS517" s="93"/>
      <c r="LT517" s="93"/>
      <c r="LU517" s="93"/>
      <c r="LV517" s="93"/>
      <c r="LW517" s="93"/>
      <c r="LX517" s="93"/>
      <c r="LY517" s="93"/>
      <c r="LZ517" s="93"/>
      <c r="MA517" s="20"/>
      <c r="MB517" s="29"/>
      <c r="MC517" s="1504">
        <v>50192</v>
      </c>
      <c r="MD517" s="19"/>
      <c r="ME517" s="93"/>
      <c r="MF517" s="93"/>
      <c r="MG517" s="93"/>
      <c r="MH517" s="93"/>
      <c r="MI517" s="93"/>
      <c r="MJ517" s="93"/>
      <c r="MK517" s="93"/>
      <c r="ML517" s="93"/>
      <c r="MM517" s="93"/>
      <c r="MN517" s="93"/>
      <c r="MO517" s="93"/>
      <c r="MP517" s="93"/>
      <c r="MQ517" s="93"/>
      <c r="MR517" s="93"/>
      <c r="MS517" s="93"/>
      <c r="MT517" s="93"/>
      <c r="MU517" s="93"/>
      <c r="MV517" s="93"/>
      <c r="MW517" s="93"/>
      <c r="MX517" s="93"/>
      <c r="MY517" s="93"/>
      <c r="MZ517" s="93"/>
      <c r="NA517" s="93"/>
      <c r="NB517" s="93"/>
      <c r="NC517" s="93"/>
      <c r="ND517" s="93"/>
      <c r="NE517" s="93"/>
      <c r="NF517" s="93"/>
      <c r="NG517" s="93"/>
      <c r="NH517" s="93"/>
      <c r="NI517" s="93"/>
      <c r="NJ517" s="93"/>
      <c r="NK517" s="93"/>
      <c r="NL517" s="93"/>
      <c r="NM517" s="93"/>
      <c r="NN517" s="93"/>
      <c r="NO517" s="93"/>
      <c r="NP517" s="93"/>
      <c r="NQ517" s="93"/>
      <c r="NR517" s="93"/>
      <c r="NS517" s="93"/>
      <c r="NT517" s="93"/>
      <c r="NU517" s="93"/>
      <c r="NV517" s="93"/>
      <c r="NW517" s="93"/>
      <c r="NX517" s="93"/>
      <c r="NY517" s="93"/>
      <c r="NZ517" s="93"/>
      <c r="OA517" s="93"/>
      <c r="OB517" s="93"/>
      <c r="OC517" s="93"/>
      <c r="OD517" s="20"/>
      <c r="OE517" s="29"/>
      <c r="OF517" s="1504">
        <v>50192</v>
      </c>
      <c r="OG517" s="19"/>
      <c r="OH517" s="93"/>
      <c r="OI517" s="93"/>
      <c r="OJ517" s="93"/>
      <c r="OK517" s="93"/>
      <c r="OL517" s="93"/>
      <c r="OM517" s="93"/>
      <c r="ON517" s="93"/>
      <c r="OO517" s="93"/>
      <c r="OP517" s="93"/>
      <c r="OQ517" s="93"/>
      <c r="OR517" s="93"/>
      <c r="OS517" s="93"/>
      <c r="OT517" s="93"/>
      <c r="OU517" s="93"/>
      <c r="OV517" s="93"/>
      <c r="OW517" s="93"/>
      <c r="OX517" s="93"/>
      <c r="OY517" s="93"/>
      <c r="OZ517" s="93"/>
      <c r="PA517" s="93"/>
      <c r="PB517" s="93"/>
      <c r="PC517" s="20"/>
      <c r="PD517" s="29"/>
      <c r="PE517" s="19"/>
      <c r="PF517" s="93"/>
      <c r="PG517" s="93"/>
      <c r="PH517" s="93"/>
      <c r="PI517" s="93"/>
      <c r="PJ517" s="93"/>
      <c r="PK517" s="93"/>
      <c r="PL517" s="93"/>
      <c r="PM517" s="93"/>
      <c r="PN517" s="93"/>
      <c r="PO517" s="93"/>
      <c r="PP517" s="93"/>
      <c r="PQ517" s="93"/>
      <c r="PR517" s="93"/>
      <c r="PS517" s="93"/>
      <c r="PT517" s="93"/>
      <c r="PU517" s="93"/>
      <c r="PV517" s="93"/>
      <c r="PW517" s="93"/>
      <c r="PX517" s="93"/>
      <c r="PY517" s="93"/>
      <c r="PZ517" s="93"/>
      <c r="QA517" s="93"/>
      <c r="QB517" s="93"/>
      <c r="QC517" s="93"/>
      <c r="QD517" s="93"/>
      <c r="QE517" s="20"/>
      <c r="QF517" s="1739"/>
      <c r="QG517" s="19"/>
      <c r="QH517" s="93"/>
      <c r="QI517" s="93"/>
      <c r="QJ517" s="93"/>
      <c r="QK517" s="93"/>
      <c r="QL517" s="93"/>
      <c r="QM517" s="93"/>
      <c r="QN517" s="93"/>
      <c r="QO517" s="93"/>
      <c r="QP517" s="93"/>
      <c r="QQ517" s="93"/>
      <c r="QR517" s="93"/>
      <c r="QS517" s="93"/>
      <c r="QT517" s="93"/>
      <c r="QU517" s="93"/>
      <c r="QV517" s="93"/>
      <c r="QW517" s="93"/>
      <c r="QX517" s="93"/>
      <c r="QY517" s="93"/>
      <c r="QZ517" s="93"/>
      <c r="RA517" s="93"/>
      <c r="RB517" s="93"/>
      <c r="RC517" s="93"/>
      <c r="RD517" s="93"/>
      <c r="RE517" s="93"/>
      <c r="RF517" s="93"/>
      <c r="RG517" s="93"/>
      <c r="RH517" s="93"/>
      <c r="RI517" s="93"/>
      <c r="RJ517" s="93"/>
      <c r="RK517" s="93"/>
      <c r="RL517" s="93"/>
      <c r="RM517" s="20"/>
      <c r="RN517" s="29"/>
      <c r="RO517" s="19"/>
      <c r="RP517" s="20"/>
      <c r="RQ517" s="29"/>
      <c r="RR517" s="20"/>
      <c r="RS517" s="29"/>
      <c r="RT517" s="1504">
        <v>50192</v>
      </c>
      <c r="RU517" s="19"/>
      <c r="RV517" s="20"/>
      <c r="RW517" s="29"/>
      <c r="RX517" s="1504">
        <v>50192</v>
      </c>
      <c r="RY517" s="29"/>
      <c r="RZ517" s="20"/>
      <c r="SA517" s="29"/>
      <c r="SB517" s="29"/>
    </row>
    <row r="518" spans="1:496">
      <c r="A518" s="41">
        <f t="shared" si="360"/>
        <v>2037</v>
      </c>
      <c r="B518" s="1504">
        <v>50222</v>
      </c>
      <c r="C518" s="1813"/>
      <c r="D518" s="1814"/>
      <c r="E518" s="1814"/>
      <c r="F518" s="1815"/>
      <c r="G518" s="1814"/>
      <c r="H518" s="1814"/>
      <c r="I518" s="1814"/>
      <c r="J518" s="1816"/>
      <c r="K518" s="1807"/>
      <c r="L518" s="25"/>
      <c r="M518" s="97"/>
      <c r="N518" s="1504">
        <v>50222</v>
      </c>
      <c r="O518" s="19"/>
      <c r="P518" s="93"/>
      <c r="Q518" s="93"/>
      <c r="R518" s="93"/>
      <c r="S518" s="93"/>
      <c r="T518" s="93"/>
      <c r="U518" s="93"/>
      <c r="V518" s="93"/>
      <c r="W518" s="93"/>
      <c r="X518" s="93"/>
      <c r="Y518" s="93"/>
      <c r="Z518" s="93"/>
      <c r="AA518" s="93"/>
      <c r="AB518" s="20"/>
      <c r="AC518" s="25"/>
      <c r="AD518" s="97"/>
      <c r="AE518" s="1504">
        <v>50222</v>
      </c>
      <c r="AF518" s="19"/>
      <c r="AG518" s="93"/>
      <c r="AH518" s="93"/>
      <c r="AI518" s="93"/>
      <c r="AJ518" s="93"/>
      <c r="AK518" s="93"/>
      <c r="AL518" s="93"/>
      <c r="AM518" s="93"/>
      <c r="AN518" s="93"/>
      <c r="AO518" s="93"/>
      <c r="AP518" s="93"/>
      <c r="AQ518" s="93"/>
      <c r="AR518" s="93"/>
      <c r="AS518" s="20"/>
      <c r="AT518" s="25"/>
      <c r="AU518" s="97"/>
      <c r="AV518" s="1504">
        <v>50222</v>
      </c>
      <c r="AW518" s="19"/>
      <c r="AX518" s="93"/>
      <c r="AY518" s="93"/>
      <c r="AZ518" s="93"/>
      <c r="BA518" s="93"/>
      <c r="BB518" s="93"/>
      <c r="BC518" s="93"/>
      <c r="BD518" s="93"/>
      <c r="BE518" s="93"/>
      <c r="BF518" s="93"/>
      <c r="BG518" s="93"/>
      <c r="BH518" s="93"/>
      <c r="BI518" s="93"/>
      <c r="BJ518" s="20"/>
      <c r="BK518" s="25"/>
      <c r="BL518" s="97"/>
      <c r="BM518" s="1504">
        <v>50222</v>
      </c>
      <c r="BN518" s="19"/>
      <c r="BO518" s="93"/>
      <c r="BP518" s="93"/>
      <c r="BQ518" s="93"/>
      <c r="BR518" s="93"/>
      <c r="BS518" s="93"/>
      <c r="BT518" s="93"/>
      <c r="BU518" s="20"/>
      <c r="BV518" s="25"/>
      <c r="BW518" s="97"/>
      <c r="BX518" s="1504">
        <v>50222</v>
      </c>
      <c r="BY518" s="19"/>
      <c r="BZ518" s="93"/>
      <c r="CA518" s="93"/>
      <c r="CB518" s="93"/>
      <c r="CC518" s="93"/>
      <c r="CD518" s="25"/>
      <c r="CE518" s="97"/>
      <c r="CF518" s="1504">
        <v>50222</v>
      </c>
      <c r="CG518" s="19"/>
      <c r="CH518" s="93"/>
      <c r="CI518" s="219"/>
      <c r="CJ518" s="20"/>
      <c r="CK518" s="19"/>
      <c r="CL518" s="93"/>
      <c r="CM518" s="93"/>
      <c r="CN518" s="93"/>
      <c r="CO518" s="93"/>
      <c r="CP518" s="20"/>
      <c r="CQ518" s="219"/>
      <c r="CR518" s="93"/>
      <c r="CS518" s="93"/>
      <c r="CT518" s="93"/>
      <c r="CU518" s="93"/>
      <c r="CV518" s="214"/>
      <c r="CW518" s="29"/>
      <c r="CX518" s="41">
        <f t="shared" si="361"/>
        <v>2037</v>
      </c>
      <c r="CY518" s="1504">
        <v>50222</v>
      </c>
      <c r="CZ518" s="19"/>
      <c r="DA518" s="93"/>
      <c r="DB518" s="93"/>
      <c r="DC518" s="93"/>
      <c r="DD518" s="93"/>
      <c r="DE518" s="20"/>
      <c r="DF518" s="29"/>
      <c r="DG518" s="1504">
        <v>50222</v>
      </c>
      <c r="DH518" s="19"/>
      <c r="DI518" s="93"/>
      <c r="DJ518" s="93"/>
      <c r="DK518" s="93"/>
      <c r="DL518" s="93"/>
      <c r="DM518" s="93"/>
      <c r="DN518" s="20"/>
      <c r="DO518" s="295"/>
      <c r="DP518" s="29"/>
      <c r="DQ518" s="1504">
        <v>50222</v>
      </c>
      <c r="DR518" s="19"/>
      <c r="DS518" s="93"/>
      <c r="DT518" s="93"/>
      <c r="DU518" s="93"/>
      <c r="DV518" s="93"/>
      <c r="DW518" s="93"/>
      <c r="DX518" s="20"/>
      <c r="DY518" s="29"/>
      <c r="DZ518" s="1504">
        <v>50222</v>
      </c>
      <c r="EA518" s="19"/>
      <c r="EB518" s="93"/>
      <c r="EC518" s="20"/>
      <c r="ED518" s="29"/>
      <c r="EE518" s="1504">
        <v>50222</v>
      </c>
      <c r="EF518" s="19"/>
      <c r="EG518" s="93"/>
      <c r="EH518" s="93"/>
      <c r="EI518" s="214"/>
      <c r="EJ518" s="93"/>
      <c r="EK518" s="93"/>
      <c r="EL518" s="93"/>
      <c r="EM518" s="93"/>
      <c r="EN518" s="20"/>
      <c r="EO518" s="29"/>
      <c r="EP518" s="1504">
        <v>50222</v>
      </c>
      <c r="EQ518" s="19"/>
      <c r="ER518" s="93"/>
      <c r="ES518" s="93"/>
      <c r="ET518" s="214"/>
      <c r="EU518" s="93"/>
      <c r="EV518" s="93"/>
      <c r="EW518" s="93"/>
      <c r="EX518" s="93"/>
      <c r="EY518" s="20"/>
      <c r="EZ518" s="29"/>
      <c r="FA518" s="1504">
        <v>50222</v>
      </c>
      <c r="FB518" s="29"/>
      <c r="FC518" s="29"/>
      <c r="FD518" s="29"/>
      <c r="FE518" s="29"/>
      <c r="FF518" s="29"/>
      <c r="FG518" s="29"/>
      <c r="FH518" s="29"/>
      <c r="FI518" s="29"/>
      <c r="FJ518" s="29"/>
      <c r="FK518" s="29"/>
      <c r="FL518" s="1504">
        <v>50222</v>
      </c>
      <c r="FM518" s="19"/>
      <c r="FN518" s="93"/>
      <c r="FO518" s="93"/>
      <c r="FP518" s="93"/>
      <c r="FQ518" s="93"/>
      <c r="FR518" s="93"/>
      <c r="FS518" s="93"/>
      <c r="FT518" s="93"/>
      <c r="FU518" s="93"/>
      <c r="FV518" s="93"/>
      <c r="FW518" s="93"/>
      <c r="FX518" s="93"/>
      <c r="FY518" s="93"/>
      <c r="FZ518" s="29"/>
      <c r="GA518" s="1504">
        <v>50222</v>
      </c>
      <c r="GB518" s="19"/>
      <c r="GC518" s="93"/>
      <c r="GD518" s="93"/>
      <c r="GE518" s="93"/>
      <c r="GF518" s="93"/>
      <c r="GG518" s="93"/>
      <c r="GH518" s="93"/>
      <c r="GI518" s="93"/>
      <c r="GJ518" s="93"/>
      <c r="GK518" s="93"/>
      <c r="GL518" s="93"/>
      <c r="GM518" s="93"/>
      <c r="GN518" s="20"/>
      <c r="GO518" s="29"/>
      <c r="GP518" s="1504">
        <v>50222</v>
      </c>
      <c r="GQ518" s="19"/>
      <c r="GR518" s="93"/>
      <c r="GS518" s="93"/>
      <c r="GT518" s="93"/>
      <c r="GU518" s="93"/>
      <c r="GV518" s="20"/>
      <c r="GW518" s="19"/>
      <c r="GX518" s="93"/>
      <c r="GY518" s="93"/>
      <c r="GZ518" s="93"/>
      <c r="HA518" s="93"/>
      <c r="HB518" s="20"/>
      <c r="HC518" s="19"/>
      <c r="HD518" s="93"/>
      <c r="HE518" s="93"/>
      <c r="HF518" s="93"/>
      <c r="HG518" s="93"/>
      <c r="HH518" s="20"/>
      <c r="HI518" s="19"/>
      <c r="HJ518" s="93"/>
      <c r="HK518" s="93"/>
      <c r="HL518" s="93"/>
      <c r="HM518" s="93"/>
      <c r="HN518" s="20"/>
      <c r="HO518" s="219"/>
      <c r="HP518" s="20"/>
      <c r="HQ518" s="25"/>
      <c r="HR518" s="29"/>
      <c r="HS518" s="1504">
        <v>50222</v>
      </c>
      <c r="HT518" s="19"/>
      <c r="HU518" s="93"/>
      <c r="HV518" s="93"/>
      <c r="HW518" s="93"/>
      <c r="HX518" s="93"/>
      <c r="HY518" s="93"/>
      <c r="HZ518" s="93"/>
      <c r="IA518" s="20"/>
      <c r="IB518" s="19"/>
      <c r="IC518" s="93"/>
      <c r="ID518" s="93"/>
      <c r="IE518" s="93"/>
      <c r="IF518" s="93"/>
      <c r="IG518" s="20"/>
      <c r="IH518" s="19"/>
      <c r="II518" s="93"/>
      <c r="IJ518" s="93"/>
      <c r="IK518" s="93"/>
      <c r="IL518" s="93"/>
      <c r="IM518" s="93"/>
      <c r="IN518" s="93"/>
      <c r="IO518" s="20"/>
      <c r="IP518" s="29"/>
      <c r="IQ518" s="19"/>
      <c r="IR518" s="93"/>
      <c r="IS518" s="93"/>
      <c r="IT518" s="93"/>
      <c r="IU518" s="93"/>
      <c r="IV518" s="20"/>
      <c r="IW518" s="29"/>
      <c r="IX518" s="19"/>
      <c r="IY518" s="93"/>
      <c r="IZ518" s="93"/>
      <c r="JA518" s="93"/>
      <c r="JB518" s="93"/>
      <c r="JC518" s="93"/>
      <c r="JD518" s="93"/>
      <c r="JE518" s="20"/>
      <c r="JF518" s="29"/>
      <c r="JG518" s="19"/>
      <c r="JH518" s="93"/>
      <c r="JI518" s="93"/>
      <c r="JJ518" s="93"/>
      <c r="JK518" s="93"/>
      <c r="JL518" s="93"/>
      <c r="JM518" s="93"/>
      <c r="JN518" s="20"/>
      <c r="JO518" s="29"/>
      <c r="JP518" s="19"/>
      <c r="JQ518" s="93"/>
      <c r="JR518" s="93"/>
      <c r="JS518" s="93"/>
      <c r="JT518" s="93"/>
      <c r="JU518" s="20"/>
      <c r="JV518" s="29"/>
      <c r="JW518" s="1504">
        <v>50222</v>
      </c>
      <c r="JX518" s="19"/>
      <c r="JY518" s="93"/>
      <c r="JZ518" s="93"/>
      <c r="KA518" s="93"/>
      <c r="KB518" s="93"/>
      <c r="KC518" s="93"/>
      <c r="KD518" s="20"/>
      <c r="KE518" s="29"/>
      <c r="KF518" s="19"/>
      <c r="KG518" s="93"/>
      <c r="KH518" s="93"/>
      <c r="KI518" s="93"/>
      <c r="KJ518" s="93"/>
      <c r="KK518" s="20"/>
      <c r="KL518" s="29"/>
      <c r="KM518" s="19"/>
      <c r="KN518" s="93"/>
      <c r="KO518" s="93"/>
      <c r="KP518" s="93"/>
      <c r="KQ518" s="93"/>
      <c r="KR518" s="20"/>
      <c r="KS518" s="29"/>
      <c r="KT518" s="19"/>
      <c r="KU518" s="93"/>
      <c r="KV518" s="93"/>
      <c r="KW518" s="93"/>
      <c r="KX518" s="93"/>
      <c r="KY518" s="20"/>
      <c r="KZ518" s="29"/>
      <c r="LA518" s="1504">
        <v>50222</v>
      </c>
      <c r="LB518" s="19"/>
      <c r="LC518" s="93"/>
      <c r="LD518" s="93"/>
      <c r="LE518" s="93"/>
      <c r="LF518" s="93"/>
      <c r="LG518" s="93"/>
      <c r="LH518" s="20"/>
      <c r="LI518" s="29"/>
      <c r="LJ518" s="19"/>
      <c r="LK518" s="93"/>
      <c r="LL518" s="93"/>
      <c r="LM518" s="93"/>
      <c r="LN518" s="93"/>
      <c r="LO518" s="20"/>
      <c r="LP518" s="29"/>
      <c r="LQ518" s="19"/>
      <c r="LR518" s="93"/>
      <c r="LS518" s="93"/>
      <c r="LT518" s="93"/>
      <c r="LU518" s="93"/>
      <c r="LV518" s="93"/>
      <c r="LW518" s="93"/>
      <c r="LX518" s="93"/>
      <c r="LY518" s="93"/>
      <c r="LZ518" s="93"/>
      <c r="MA518" s="20"/>
      <c r="MB518" s="29"/>
      <c r="MC518" s="1504">
        <v>50222</v>
      </c>
      <c r="MD518" s="19"/>
      <c r="ME518" s="93"/>
      <c r="MF518" s="93"/>
      <c r="MG518" s="93"/>
      <c r="MH518" s="93"/>
      <c r="MI518" s="93"/>
      <c r="MJ518" s="93"/>
      <c r="MK518" s="93"/>
      <c r="ML518" s="93"/>
      <c r="MM518" s="93"/>
      <c r="MN518" s="93"/>
      <c r="MO518" s="93"/>
      <c r="MP518" s="93"/>
      <c r="MQ518" s="93"/>
      <c r="MR518" s="93"/>
      <c r="MS518" s="93"/>
      <c r="MT518" s="93"/>
      <c r="MU518" s="93"/>
      <c r="MV518" s="93"/>
      <c r="MW518" s="93"/>
      <c r="MX518" s="93"/>
      <c r="MY518" s="93"/>
      <c r="MZ518" s="93"/>
      <c r="NA518" s="93"/>
      <c r="NB518" s="93"/>
      <c r="NC518" s="93"/>
      <c r="ND518" s="93"/>
      <c r="NE518" s="93"/>
      <c r="NF518" s="93"/>
      <c r="NG518" s="93"/>
      <c r="NH518" s="93"/>
      <c r="NI518" s="93"/>
      <c r="NJ518" s="93"/>
      <c r="NK518" s="93"/>
      <c r="NL518" s="93"/>
      <c r="NM518" s="93"/>
      <c r="NN518" s="93"/>
      <c r="NO518" s="93"/>
      <c r="NP518" s="93"/>
      <c r="NQ518" s="93"/>
      <c r="NR518" s="93"/>
      <c r="NS518" s="93"/>
      <c r="NT518" s="93"/>
      <c r="NU518" s="93"/>
      <c r="NV518" s="93"/>
      <c r="NW518" s="93"/>
      <c r="NX518" s="93"/>
      <c r="NY518" s="93"/>
      <c r="NZ518" s="93"/>
      <c r="OA518" s="93"/>
      <c r="OB518" s="93"/>
      <c r="OC518" s="93"/>
      <c r="OD518" s="20"/>
      <c r="OE518" s="29"/>
      <c r="OF518" s="1504">
        <v>50222</v>
      </c>
      <c r="OG518" s="19"/>
      <c r="OH518" s="93"/>
      <c r="OI518" s="93"/>
      <c r="OJ518" s="93"/>
      <c r="OK518" s="93"/>
      <c r="OL518" s="93"/>
      <c r="OM518" s="93"/>
      <c r="ON518" s="93"/>
      <c r="OO518" s="93"/>
      <c r="OP518" s="93"/>
      <c r="OQ518" s="93"/>
      <c r="OR518" s="93"/>
      <c r="OS518" s="93"/>
      <c r="OT518" s="93"/>
      <c r="OU518" s="93"/>
      <c r="OV518" s="93"/>
      <c r="OW518" s="93"/>
      <c r="OX518" s="93"/>
      <c r="OY518" s="93"/>
      <c r="OZ518" s="93"/>
      <c r="PA518" s="93"/>
      <c r="PB518" s="93"/>
      <c r="PC518" s="20"/>
      <c r="PD518" s="29"/>
      <c r="PE518" s="19"/>
      <c r="PF518" s="93"/>
      <c r="PG518" s="93"/>
      <c r="PH518" s="93"/>
      <c r="PI518" s="93"/>
      <c r="PJ518" s="93"/>
      <c r="PK518" s="93"/>
      <c r="PL518" s="93"/>
      <c r="PM518" s="93"/>
      <c r="PN518" s="93"/>
      <c r="PO518" s="93"/>
      <c r="PP518" s="93"/>
      <c r="PQ518" s="93"/>
      <c r="PR518" s="93"/>
      <c r="PS518" s="93"/>
      <c r="PT518" s="93"/>
      <c r="PU518" s="93"/>
      <c r="PV518" s="93"/>
      <c r="PW518" s="93"/>
      <c r="PX518" s="93"/>
      <c r="PY518" s="93"/>
      <c r="PZ518" s="93"/>
      <c r="QA518" s="93"/>
      <c r="QB518" s="93"/>
      <c r="QC518" s="93"/>
      <c r="QD518" s="93"/>
      <c r="QE518" s="20"/>
      <c r="QF518" s="1739"/>
      <c r="QG518" s="19"/>
      <c r="QH518" s="93"/>
      <c r="QI518" s="93"/>
      <c r="QJ518" s="93"/>
      <c r="QK518" s="93"/>
      <c r="QL518" s="93"/>
      <c r="QM518" s="93"/>
      <c r="QN518" s="93"/>
      <c r="QO518" s="93"/>
      <c r="QP518" s="93"/>
      <c r="QQ518" s="93"/>
      <c r="QR518" s="93"/>
      <c r="QS518" s="93"/>
      <c r="QT518" s="93"/>
      <c r="QU518" s="93"/>
      <c r="QV518" s="93"/>
      <c r="QW518" s="93"/>
      <c r="QX518" s="93"/>
      <c r="QY518" s="93"/>
      <c r="QZ518" s="93"/>
      <c r="RA518" s="93"/>
      <c r="RB518" s="93"/>
      <c r="RC518" s="93"/>
      <c r="RD518" s="93"/>
      <c r="RE518" s="93"/>
      <c r="RF518" s="93"/>
      <c r="RG518" s="93"/>
      <c r="RH518" s="93"/>
      <c r="RI518" s="93"/>
      <c r="RJ518" s="93"/>
      <c r="RK518" s="93"/>
      <c r="RL518" s="93"/>
      <c r="RM518" s="20"/>
      <c r="RN518" s="29"/>
      <c r="RO518" s="19"/>
      <c r="RP518" s="20"/>
      <c r="RQ518" s="29"/>
      <c r="RR518" s="20"/>
      <c r="RS518" s="29"/>
      <c r="RT518" s="1504">
        <v>50222</v>
      </c>
      <c r="RU518" s="19"/>
      <c r="RV518" s="20"/>
      <c r="RW518" s="29"/>
      <c r="RX518" s="1504">
        <v>50222</v>
      </c>
      <c r="RY518" s="29"/>
      <c r="RZ518" s="20"/>
      <c r="SA518" s="29"/>
      <c r="SB518" s="29"/>
    </row>
    <row r="519" spans="1:496">
      <c r="A519" s="41">
        <f t="shared" si="360"/>
        <v>2037</v>
      </c>
      <c r="B519" s="1504">
        <v>50253</v>
      </c>
      <c r="C519" s="1813"/>
      <c r="D519" s="1814"/>
      <c r="E519" s="1814"/>
      <c r="F519" s="1815"/>
      <c r="G519" s="1814"/>
      <c r="H519" s="1814"/>
      <c r="I519" s="1814"/>
      <c r="J519" s="1816"/>
      <c r="K519" s="1807"/>
      <c r="L519" s="25"/>
      <c r="M519" s="97"/>
      <c r="N519" s="1504">
        <v>50253</v>
      </c>
      <c r="O519" s="19"/>
      <c r="P519" s="93"/>
      <c r="Q519" s="93"/>
      <c r="R519" s="93"/>
      <c r="S519" s="93"/>
      <c r="T519" s="93"/>
      <c r="U519" s="93"/>
      <c r="V519" s="93"/>
      <c r="W519" s="93"/>
      <c r="X519" s="93"/>
      <c r="Y519" s="93"/>
      <c r="Z519" s="93"/>
      <c r="AA519" s="93"/>
      <c r="AB519" s="20"/>
      <c r="AC519" s="25"/>
      <c r="AD519" s="97"/>
      <c r="AE519" s="1504">
        <v>50253</v>
      </c>
      <c r="AF519" s="19"/>
      <c r="AG519" s="93"/>
      <c r="AH519" s="93"/>
      <c r="AI519" s="93"/>
      <c r="AJ519" s="93"/>
      <c r="AK519" s="93"/>
      <c r="AL519" s="93"/>
      <c r="AM519" s="93"/>
      <c r="AN519" s="93"/>
      <c r="AO519" s="93"/>
      <c r="AP519" s="93"/>
      <c r="AQ519" s="93"/>
      <c r="AR519" s="93"/>
      <c r="AS519" s="20"/>
      <c r="AT519" s="25"/>
      <c r="AU519" s="97"/>
      <c r="AV519" s="1504">
        <v>50253</v>
      </c>
      <c r="AW519" s="19"/>
      <c r="AX519" s="93"/>
      <c r="AY519" s="93"/>
      <c r="AZ519" s="93"/>
      <c r="BA519" s="93"/>
      <c r="BB519" s="93"/>
      <c r="BC519" s="93"/>
      <c r="BD519" s="93"/>
      <c r="BE519" s="93"/>
      <c r="BF519" s="93"/>
      <c r="BG519" s="93"/>
      <c r="BH519" s="93"/>
      <c r="BI519" s="93"/>
      <c r="BJ519" s="20"/>
      <c r="BK519" s="25"/>
      <c r="BL519" s="97"/>
      <c r="BM519" s="1504">
        <v>50253</v>
      </c>
      <c r="BN519" s="19"/>
      <c r="BO519" s="93"/>
      <c r="BP519" s="93"/>
      <c r="BQ519" s="93"/>
      <c r="BR519" s="93"/>
      <c r="BS519" s="93"/>
      <c r="BT519" s="93"/>
      <c r="BU519" s="20"/>
      <c r="BV519" s="25"/>
      <c r="BW519" s="97"/>
      <c r="BX519" s="1504">
        <v>50253</v>
      </c>
      <c r="BY519" s="19"/>
      <c r="BZ519" s="93"/>
      <c r="CA519" s="93"/>
      <c r="CB519" s="93"/>
      <c r="CC519" s="93"/>
      <c r="CD519" s="25"/>
      <c r="CE519" s="97"/>
      <c r="CF519" s="1504">
        <v>50253</v>
      </c>
      <c r="CG519" s="19"/>
      <c r="CH519" s="93"/>
      <c r="CI519" s="219"/>
      <c r="CJ519" s="20"/>
      <c r="CK519" s="19"/>
      <c r="CL519" s="93"/>
      <c r="CM519" s="93"/>
      <c r="CN519" s="93"/>
      <c r="CO519" s="93"/>
      <c r="CP519" s="20"/>
      <c r="CQ519" s="219"/>
      <c r="CR519" s="93"/>
      <c r="CS519" s="93"/>
      <c r="CT519" s="93"/>
      <c r="CU519" s="93"/>
      <c r="CV519" s="214"/>
      <c r="CW519" s="29"/>
      <c r="CX519" s="41">
        <f t="shared" si="361"/>
        <v>2037</v>
      </c>
      <c r="CY519" s="1504">
        <v>50253</v>
      </c>
      <c r="CZ519" s="19"/>
      <c r="DA519" s="93"/>
      <c r="DB519" s="93"/>
      <c r="DC519" s="93"/>
      <c r="DD519" s="93"/>
      <c r="DE519" s="20"/>
      <c r="DF519" s="29"/>
      <c r="DG519" s="1504">
        <v>50253</v>
      </c>
      <c r="DH519" s="19"/>
      <c r="DI519" s="93"/>
      <c r="DJ519" s="93"/>
      <c r="DK519" s="93"/>
      <c r="DL519" s="93"/>
      <c r="DM519" s="93"/>
      <c r="DN519" s="20"/>
      <c r="DO519" s="295"/>
      <c r="DP519" s="29"/>
      <c r="DQ519" s="1504">
        <v>50253</v>
      </c>
      <c r="DR519" s="19"/>
      <c r="DS519" s="93"/>
      <c r="DT519" s="93"/>
      <c r="DU519" s="93"/>
      <c r="DV519" s="93"/>
      <c r="DW519" s="93"/>
      <c r="DX519" s="20"/>
      <c r="DY519" s="29"/>
      <c r="DZ519" s="1504">
        <v>50253</v>
      </c>
      <c r="EA519" s="19"/>
      <c r="EB519" s="93"/>
      <c r="EC519" s="20"/>
      <c r="ED519" s="29"/>
      <c r="EE519" s="1504">
        <v>50253</v>
      </c>
      <c r="EF519" s="19"/>
      <c r="EG519" s="93"/>
      <c r="EH519" s="93"/>
      <c r="EI519" s="214"/>
      <c r="EJ519" s="93"/>
      <c r="EK519" s="93"/>
      <c r="EL519" s="93"/>
      <c r="EM519" s="93"/>
      <c r="EN519" s="20"/>
      <c r="EO519" s="29"/>
      <c r="EP519" s="1504">
        <v>50253</v>
      </c>
      <c r="EQ519" s="19"/>
      <c r="ER519" s="93"/>
      <c r="ES519" s="93"/>
      <c r="ET519" s="214"/>
      <c r="EU519" s="93"/>
      <c r="EV519" s="93"/>
      <c r="EW519" s="93"/>
      <c r="EX519" s="93"/>
      <c r="EY519" s="20"/>
      <c r="EZ519" s="29"/>
      <c r="FA519" s="1504">
        <v>50253</v>
      </c>
      <c r="FB519" s="29"/>
      <c r="FC519" s="29"/>
      <c r="FD519" s="29"/>
      <c r="FE519" s="29"/>
      <c r="FF519" s="29"/>
      <c r="FG519" s="29"/>
      <c r="FH519" s="29"/>
      <c r="FI519" s="29"/>
      <c r="FJ519" s="29"/>
      <c r="FK519" s="29"/>
      <c r="FL519" s="1504">
        <v>50253</v>
      </c>
      <c r="FM519" s="19"/>
      <c r="FN519" s="93"/>
      <c r="FO519" s="93"/>
      <c r="FP519" s="93"/>
      <c r="FQ519" s="93"/>
      <c r="FR519" s="93"/>
      <c r="FS519" s="93"/>
      <c r="FT519" s="93"/>
      <c r="FU519" s="93"/>
      <c r="FV519" s="93"/>
      <c r="FW519" s="93"/>
      <c r="FX519" s="93"/>
      <c r="FY519" s="93"/>
      <c r="FZ519" s="29"/>
      <c r="GA519" s="1504">
        <v>50253</v>
      </c>
      <c r="GB519" s="19"/>
      <c r="GC519" s="93"/>
      <c r="GD519" s="93"/>
      <c r="GE519" s="93"/>
      <c r="GF519" s="93"/>
      <c r="GG519" s="93"/>
      <c r="GH519" s="93"/>
      <c r="GI519" s="93"/>
      <c r="GJ519" s="93"/>
      <c r="GK519" s="93"/>
      <c r="GL519" s="93"/>
      <c r="GM519" s="93"/>
      <c r="GN519" s="20"/>
      <c r="GO519" s="29"/>
      <c r="GP519" s="1504">
        <v>50253</v>
      </c>
      <c r="GQ519" s="19"/>
      <c r="GR519" s="93"/>
      <c r="GS519" s="93"/>
      <c r="GT519" s="93"/>
      <c r="GU519" s="93"/>
      <c r="GV519" s="20"/>
      <c r="GW519" s="19"/>
      <c r="GX519" s="93"/>
      <c r="GY519" s="93"/>
      <c r="GZ519" s="93"/>
      <c r="HA519" s="93"/>
      <c r="HB519" s="20"/>
      <c r="HC519" s="19"/>
      <c r="HD519" s="93"/>
      <c r="HE519" s="93"/>
      <c r="HF519" s="93"/>
      <c r="HG519" s="93"/>
      <c r="HH519" s="20"/>
      <c r="HI519" s="19"/>
      <c r="HJ519" s="93"/>
      <c r="HK519" s="93"/>
      <c r="HL519" s="93"/>
      <c r="HM519" s="93"/>
      <c r="HN519" s="20"/>
      <c r="HO519" s="219"/>
      <c r="HP519" s="20"/>
      <c r="HQ519" s="25"/>
      <c r="HR519" s="29"/>
      <c r="HS519" s="1504">
        <v>50253</v>
      </c>
      <c r="HT519" s="19"/>
      <c r="HU519" s="93"/>
      <c r="HV519" s="93"/>
      <c r="HW519" s="93"/>
      <c r="HX519" s="93"/>
      <c r="HY519" s="93"/>
      <c r="HZ519" s="93"/>
      <c r="IA519" s="20"/>
      <c r="IB519" s="19"/>
      <c r="IC519" s="93"/>
      <c r="ID519" s="93"/>
      <c r="IE519" s="93"/>
      <c r="IF519" s="93"/>
      <c r="IG519" s="20"/>
      <c r="IH519" s="19"/>
      <c r="II519" s="93"/>
      <c r="IJ519" s="93"/>
      <c r="IK519" s="93"/>
      <c r="IL519" s="93"/>
      <c r="IM519" s="93"/>
      <c r="IN519" s="93"/>
      <c r="IO519" s="20"/>
      <c r="IP519" s="29"/>
      <c r="IQ519" s="19"/>
      <c r="IR519" s="93"/>
      <c r="IS519" s="93"/>
      <c r="IT519" s="93"/>
      <c r="IU519" s="93"/>
      <c r="IV519" s="20"/>
      <c r="IW519" s="29"/>
      <c r="IX519" s="19"/>
      <c r="IY519" s="93"/>
      <c r="IZ519" s="93"/>
      <c r="JA519" s="93"/>
      <c r="JB519" s="93"/>
      <c r="JC519" s="93"/>
      <c r="JD519" s="93"/>
      <c r="JE519" s="20"/>
      <c r="JF519" s="29"/>
      <c r="JG519" s="19"/>
      <c r="JH519" s="93"/>
      <c r="JI519" s="93"/>
      <c r="JJ519" s="93"/>
      <c r="JK519" s="93"/>
      <c r="JL519" s="93"/>
      <c r="JM519" s="93"/>
      <c r="JN519" s="20"/>
      <c r="JO519" s="29"/>
      <c r="JP519" s="19"/>
      <c r="JQ519" s="93"/>
      <c r="JR519" s="93"/>
      <c r="JS519" s="93"/>
      <c r="JT519" s="93"/>
      <c r="JU519" s="20"/>
      <c r="JV519" s="29"/>
      <c r="JW519" s="1504">
        <v>50253</v>
      </c>
      <c r="JX519" s="19"/>
      <c r="JY519" s="93"/>
      <c r="JZ519" s="93"/>
      <c r="KA519" s="93"/>
      <c r="KB519" s="93"/>
      <c r="KC519" s="93"/>
      <c r="KD519" s="20"/>
      <c r="KE519" s="29"/>
      <c r="KF519" s="19"/>
      <c r="KG519" s="93"/>
      <c r="KH519" s="93"/>
      <c r="KI519" s="93"/>
      <c r="KJ519" s="93"/>
      <c r="KK519" s="20"/>
      <c r="KL519" s="29"/>
      <c r="KM519" s="19"/>
      <c r="KN519" s="93"/>
      <c r="KO519" s="93"/>
      <c r="KP519" s="93"/>
      <c r="KQ519" s="93"/>
      <c r="KR519" s="20"/>
      <c r="KS519" s="29"/>
      <c r="KT519" s="19"/>
      <c r="KU519" s="93"/>
      <c r="KV519" s="93"/>
      <c r="KW519" s="93"/>
      <c r="KX519" s="93"/>
      <c r="KY519" s="20"/>
      <c r="KZ519" s="29"/>
      <c r="LA519" s="1504">
        <v>50253</v>
      </c>
      <c r="LB519" s="19"/>
      <c r="LC519" s="93"/>
      <c r="LD519" s="93"/>
      <c r="LE519" s="93"/>
      <c r="LF519" s="93"/>
      <c r="LG519" s="93"/>
      <c r="LH519" s="20"/>
      <c r="LI519" s="29"/>
      <c r="LJ519" s="19"/>
      <c r="LK519" s="93"/>
      <c r="LL519" s="93"/>
      <c r="LM519" s="93"/>
      <c r="LN519" s="93"/>
      <c r="LO519" s="20"/>
      <c r="LP519" s="29"/>
      <c r="LQ519" s="19"/>
      <c r="LR519" s="93"/>
      <c r="LS519" s="93"/>
      <c r="LT519" s="93"/>
      <c r="LU519" s="93"/>
      <c r="LV519" s="93"/>
      <c r="LW519" s="93"/>
      <c r="LX519" s="93"/>
      <c r="LY519" s="93"/>
      <c r="LZ519" s="93"/>
      <c r="MA519" s="20"/>
      <c r="MB519" s="29"/>
      <c r="MC519" s="1504">
        <v>50253</v>
      </c>
      <c r="MD519" s="19"/>
      <c r="ME519" s="93"/>
      <c r="MF519" s="93"/>
      <c r="MG519" s="93"/>
      <c r="MH519" s="93"/>
      <c r="MI519" s="93"/>
      <c r="MJ519" s="93"/>
      <c r="MK519" s="93"/>
      <c r="ML519" s="93"/>
      <c r="MM519" s="93"/>
      <c r="MN519" s="93"/>
      <c r="MO519" s="93"/>
      <c r="MP519" s="93"/>
      <c r="MQ519" s="93"/>
      <c r="MR519" s="93"/>
      <c r="MS519" s="93"/>
      <c r="MT519" s="93"/>
      <c r="MU519" s="93"/>
      <c r="MV519" s="93"/>
      <c r="MW519" s="93"/>
      <c r="MX519" s="93"/>
      <c r="MY519" s="93"/>
      <c r="MZ519" s="93"/>
      <c r="NA519" s="93"/>
      <c r="NB519" s="93"/>
      <c r="NC519" s="93"/>
      <c r="ND519" s="93"/>
      <c r="NE519" s="93"/>
      <c r="NF519" s="93"/>
      <c r="NG519" s="93"/>
      <c r="NH519" s="93"/>
      <c r="NI519" s="93"/>
      <c r="NJ519" s="93"/>
      <c r="NK519" s="93"/>
      <c r="NL519" s="93"/>
      <c r="NM519" s="93"/>
      <c r="NN519" s="93"/>
      <c r="NO519" s="93"/>
      <c r="NP519" s="93"/>
      <c r="NQ519" s="93"/>
      <c r="NR519" s="93"/>
      <c r="NS519" s="93"/>
      <c r="NT519" s="93"/>
      <c r="NU519" s="93"/>
      <c r="NV519" s="93"/>
      <c r="NW519" s="93"/>
      <c r="NX519" s="93"/>
      <c r="NY519" s="93"/>
      <c r="NZ519" s="93"/>
      <c r="OA519" s="93"/>
      <c r="OB519" s="93"/>
      <c r="OC519" s="93"/>
      <c r="OD519" s="20"/>
      <c r="OE519" s="29"/>
      <c r="OF519" s="1504">
        <v>50253</v>
      </c>
      <c r="OG519" s="19"/>
      <c r="OH519" s="93"/>
      <c r="OI519" s="93"/>
      <c r="OJ519" s="93"/>
      <c r="OK519" s="93"/>
      <c r="OL519" s="93"/>
      <c r="OM519" s="93"/>
      <c r="ON519" s="93"/>
      <c r="OO519" s="93"/>
      <c r="OP519" s="93"/>
      <c r="OQ519" s="93"/>
      <c r="OR519" s="93"/>
      <c r="OS519" s="93"/>
      <c r="OT519" s="93"/>
      <c r="OU519" s="93"/>
      <c r="OV519" s="93"/>
      <c r="OW519" s="93"/>
      <c r="OX519" s="93"/>
      <c r="OY519" s="93"/>
      <c r="OZ519" s="93"/>
      <c r="PA519" s="93"/>
      <c r="PB519" s="93"/>
      <c r="PC519" s="20"/>
      <c r="PD519" s="29"/>
      <c r="PE519" s="19"/>
      <c r="PF519" s="93"/>
      <c r="PG519" s="93"/>
      <c r="PH519" s="93"/>
      <c r="PI519" s="93"/>
      <c r="PJ519" s="93"/>
      <c r="PK519" s="93"/>
      <c r="PL519" s="93"/>
      <c r="PM519" s="93"/>
      <c r="PN519" s="93"/>
      <c r="PO519" s="93"/>
      <c r="PP519" s="93"/>
      <c r="PQ519" s="93"/>
      <c r="PR519" s="93"/>
      <c r="PS519" s="93"/>
      <c r="PT519" s="93"/>
      <c r="PU519" s="93"/>
      <c r="PV519" s="93"/>
      <c r="PW519" s="93"/>
      <c r="PX519" s="93"/>
      <c r="PY519" s="93"/>
      <c r="PZ519" s="93"/>
      <c r="QA519" s="93"/>
      <c r="QB519" s="93"/>
      <c r="QC519" s="93"/>
      <c r="QD519" s="93"/>
      <c r="QE519" s="20"/>
      <c r="QF519" s="1739"/>
      <c r="QG519" s="19"/>
      <c r="QH519" s="93"/>
      <c r="QI519" s="93"/>
      <c r="QJ519" s="93"/>
      <c r="QK519" s="93"/>
      <c r="QL519" s="93"/>
      <c r="QM519" s="93"/>
      <c r="QN519" s="93"/>
      <c r="QO519" s="93"/>
      <c r="QP519" s="93"/>
      <c r="QQ519" s="93"/>
      <c r="QR519" s="93"/>
      <c r="QS519" s="93"/>
      <c r="QT519" s="93"/>
      <c r="QU519" s="93"/>
      <c r="QV519" s="93"/>
      <c r="QW519" s="93"/>
      <c r="QX519" s="93"/>
      <c r="QY519" s="93"/>
      <c r="QZ519" s="93"/>
      <c r="RA519" s="93"/>
      <c r="RB519" s="93"/>
      <c r="RC519" s="93"/>
      <c r="RD519" s="93"/>
      <c r="RE519" s="93"/>
      <c r="RF519" s="93"/>
      <c r="RG519" s="93"/>
      <c r="RH519" s="93"/>
      <c r="RI519" s="93"/>
      <c r="RJ519" s="93"/>
      <c r="RK519" s="93"/>
      <c r="RL519" s="93"/>
      <c r="RM519" s="20"/>
      <c r="RN519" s="29"/>
      <c r="RO519" s="19"/>
      <c r="RP519" s="20"/>
      <c r="RQ519" s="29"/>
      <c r="RR519" s="20"/>
      <c r="RS519" s="29"/>
      <c r="RT519" s="1504">
        <v>50253</v>
      </c>
      <c r="RU519" s="19"/>
      <c r="RV519" s="20"/>
      <c r="RW519" s="29"/>
      <c r="RX519" s="1504">
        <v>50253</v>
      </c>
      <c r="RY519" s="29"/>
      <c r="RZ519" s="20"/>
      <c r="SA519" s="29"/>
      <c r="SB519" s="29"/>
    </row>
    <row r="520" spans="1:496">
      <c r="A520" s="41">
        <f t="shared" si="360"/>
        <v>2037</v>
      </c>
      <c r="B520" s="1504">
        <v>50284</v>
      </c>
      <c r="C520" s="1813"/>
      <c r="D520" s="1814"/>
      <c r="E520" s="1814"/>
      <c r="F520" s="1815"/>
      <c r="G520" s="1814"/>
      <c r="H520" s="1814"/>
      <c r="I520" s="1814"/>
      <c r="J520" s="1816"/>
      <c r="K520" s="1807"/>
      <c r="L520" s="25"/>
      <c r="M520" s="97"/>
      <c r="N520" s="1504">
        <v>50284</v>
      </c>
      <c r="O520" s="19"/>
      <c r="P520" s="93"/>
      <c r="Q520" s="93"/>
      <c r="R520" s="93"/>
      <c r="S520" s="93"/>
      <c r="T520" s="93"/>
      <c r="U520" s="93"/>
      <c r="V520" s="93"/>
      <c r="W520" s="93"/>
      <c r="X520" s="93"/>
      <c r="Y520" s="93"/>
      <c r="Z520" s="93"/>
      <c r="AA520" s="93"/>
      <c r="AB520" s="20"/>
      <c r="AC520" s="25"/>
      <c r="AD520" s="97"/>
      <c r="AE520" s="1504">
        <v>50284</v>
      </c>
      <c r="AF520" s="19"/>
      <c r="AG520" s="93"/>
      <c r="AH520" s="93"/>
      <c r="AI520" s="93"/>
      <c r="AJ520" s="93"/>
      <c r="AK520" s="93"/>
      <c r="AL520" s="93"/>
      <c r="AM520" s="93"/>
      <c r="AN520" s="93"/>
      <c r="AO520" s="93"/>
      <c r="AP520" s="93"/>
      <c r="AQ520" s="93"/>
      <c r="AR520" s="93"/>
      <c r="AS520" s="20"/>
      <c r="AT520" s="25"/>
      <c r="AU520" s="97"/>
      <c r="AV520" s="1504">
        <v>50284</v>
      </c>
      <c r="AW520" s="19"/>
      <c r="AX520" s="93"/>
      <c r="AY520" s="93"/>
      <c r="AZ520" s="93"/>
      <c r="BA520" s="93"/>
      <c r="BB520" s="93"/>
      <c r="BC520" s="93"/>
      <c r="BD520" s="93"/>
      <c r="BE520" s="93"/>
      <c r="BF520" s="93"/>
      <c r="BG520" s="93"/>
      <c r="BH520" s="93"/>
      <c r="BI520" s="93"/>
      <c r="BJ520" s="20"/>
      <c r="BK520" s="25"/>
      <c r="BL520" s="97"/>
      <c r="BM520" s="1504">
        <v>50284</v>
      </c>
      <c r="BN520" s="19"/>
      <c r="BO520" s="93"/>
      <c r="BP520" s="93"/>
      <c r="BQ520" s="93"/>
      <c r="BR520" s="93"/>
      <c r="BS520" s="93"/>
      <c r="BT520" s="93"/>
      <c r="BU520" s="20"/>
      <c r="BV520" s="25"/>
      <c r="BW520" s="97"/>
      <c r="BX520" s="1504">
        <v>50284</v>
      </c>
      <c r="BY520" s="19"/>
      <c r="BZ520" s="93"/>
      <c r="CA520" s="93"/>
      <c r="CB520" s="93"/>
      <c r="CC520" s="93"/>
      <c r="CD520" s="25"/>
      <c r="CE520" s="97"/>
      <c r="CF520" s="1504">
        <v>50284</v>
      </c>
      <c r="CG520" s="19"/>
      <c r="CH520" s="93"/>
      <c r="CI520" s="219"/>
      <c r="CJ520" s="20"/>
      <c r="CK520" s="19"/>
      <c r="CL520" s="93"/>
      <c r="CM520" s="93"/>
      <c r="CN520" s="93"/>
      <c r="CO520" s="93"/>
      <c r="CP520" s="20"/>
      <c r="CQ520" s="219"/>
      <c r="CR520" s="93"/>
      <c r="CS520" s="93"/>
      <c r="CT520" s="93"/>
      <c r="CU520" s="93"/>
      <c r="CV520" s="214"/>
      <c r="CW520" s="29"/>
      <c r="CX520" s="41">
        <f t="shared" si="361"/>
        <v>2037</v>
      </c>
      <c r="CY520" s="1504">
        <v>50284</v>
      </c>
      <c r="CZ520" s="19"/>
      <c r="DA520" s="93"/>
      <c r="DB520" s="93"/>
      <c r="DC520" s="93"/>
      <c r="DD520" s="93"/>
      <c r="DE520" s="20"/>
      <c r="DF520" s="29"/>
      <c r="DG520" s="1504">
        <v>50284</v>
      </c>
      <c r="DH520" s="19"/>
      <c r="DI520" s="93"/>
      <c r="DJ520" s="93"/>
      <c r="DK520" s="93"/>
      <c r="DL520" s="93"/>
      <c r="DM520" s="93"/>
      <c r="DN520" s="20"/>
      <c r="DO520" s="295"/>
      <c r="DP520" s="29"/>
      <c r="DQ520" s="1504">
        <v>50284</v>
      </c>
      <c r="DR520" s="19"/>
      <c r="DS520" s="93"/>
      <c r="DT520" s="93"/>
      <c r="DU520" s="93"/>
      <c r="DV520" s="93"/>
      <c r="DW520" s="93"/>
      <c r="DX520" s="20"/>
      <c r="DY520" s="29"/>
      <c r="DZ520" s="1504">
        <v>50284</v>
      </c>
      <c r="EA520" s="19"/>
      <c r="EB520" s="93"/>
      <c r="EC520" s="20"/>
      <c r="ED520" s="29"/>
      <c r="EE520" s="1504">
        <v>50284</v>
      </c>
      <c r="EF520" s="19"/>
      <c r="EG520" s="93"/>
      <c r="EH520" s="93"/>
      <c r="EI520" s="214"/>
      <c r="EJ520" s="93"/>
      <c r="EK520" s="93"/>
      <c r="EL520" s="93"/>
      <c r="EM520" s="93"/>
      <c r="EN520" s="20"/>
      <c r="EO520" s="29"/>
      <c r="EP520" s="1504">
        <v>50284</v>
      </c>
      <c r="EQ520" s="19"/>
      <c r="ER520" s="93"/>
      <c r="ES520" s="93"/>
      <c r="ET520" s="214"/>
      <c r="EU520" s="93"/>
      <c r="EV520" s="93"/>
      <c r="EW520" s="93"/>
      <c r="EX520" s="93"/>
      <c r="EY520" s="20"/>
      <c r="EZ520" s="29"/>
      <c r="FA520" s="1504">
        <v>50284</v>
      </c>
      <c r="FB520" s="29"/>
      <c r="FC520" s="29"/>
      <c r="FD520" s="29"/>
      <c r="FE520" s="29"/>
      <c r="FF520" s="29"/>
      <c r="FG520" s="29"/>
      <c r="FH520" s="29"/>
      <c r="FI520" s="29"/>
      <c r="FJ520" s="29"/>
      <c r="FK520" s="29"/>
      <c r="FL520" s="1504">
        <v>50284</v>
      </c>
      <c r="FM520" s="19"/>
      <c r="FN520" s="93"/>
      <c r="FO520" s="93"/>
      <c r="FP520" s="93"/>
      <c r="FQ520" s="93"/>
      <c r="FR520" s="93"/>
      <c r="FS520" s="93"/>
      <c r="FT520" s="93"/>
      <c r="FU520" s="93"/>
      <c r="FV520" s="93"/>
      <c r="FW520" s="93"/>
      <c r="FX520" s="93"/>
      <c r="FY520" s="93"/>
      <c r="FZ520" s="29"/>
      <c r="GA520" s="1504">
        <v>50284</v>
      </c>
      <c r="GB520" s="19"/>
      <c r="GC520" s="93"/>
      <c r="GD520" s="93"/>
      <c r="GE520" s="93"/>
      <c r="GF520" s="93"/>
      <c r="GG520" s="93"/>
      <c r="GH520" s="93"/>
      <c r="GI520" s="93"/>
      <c r="GJ520" s="93"/>
      <c r="GK520" s="93"/>
      <c r="GL520" s="93"/>
      <c r="GM520" s="93"/>
      <c r="GN520" s="20"/>
      <c r="GO520" s="29"/>
      <c r="GP520" s="1504">
        <v>50284</v>
      </c>
      <c r="GQ520" s="19"/>
      <c r="GR520" s="93"/>
      <c r="GS520" s="93"/>
      <c r="GT520" s="93"/>
      <c r="GU520" s="93"/>
      <c r="GV520" s="20"/>
      <c r="GW520" s="19"/>
      <c r="GX520" s="93"/>
      <c r="GY520" s="93"/>
      <c r="GZ520" s="93"/>
      <c r="HA520" s="93"/>
      <c r="HB520" s="20"/>
      <c r="HC520" s="19"/>
      <c r="HD520" s="93"/>
      <c r="HE520" s="93"/>
      <c r="HF520" s="93"/>
      <c r="HG520" s="93"/>
      <c r="HH520" s="20"/>
      <c r="HI520" s="19"/>
      <c r="HJ520" s="93"/>
      <c r="HK520" s="93"/>
      <c r="HL520" s="93"/>
      <c r="HM520" s="93"/>
      <c r="HN520" s="20"/>
      <c r="HO520" s="219"/>
      <c r="HP520" s="20"/>
      <c r="HQ520" s="25"/>
      <c r="HR520" s="29"/>
      <c r="HS520" s="1504">
        <v>50284</v>
      </c>
      <c r="HT520" s="19"/>
      <c r="HU520" s="93"/>
      <c r="HV520" s="93"/>
      <c r="HW520" s="93"/>
      <c r="HX520" s="93"/>
      <c r="HY520" s="93"/>
      <c r="HZ520" s="93"/>
      <c r="IA520" s="20"/>
      <c r="IB520" s="19"/>
      <c r="IC520" s="93"/>
      <c r="ID520" s="93"/>
      <c r="IE520" s="93"/>
      <c r="IF520" s="93"/>
      <c r="IG520" s="20"/>
      <c r="IH520" s="19"/>
      <c r="II520" s="93"/>
      <c r="IJ520" s="93"/>
      <c r="IK520" s="93"/>
      <c r="IL520" s="93"/>
      <c r="IM520" s="93"/>
      <c r="IN520" s="93"/>
      <c r="IO520" s="20"/>
      <c r="IP520" s="29"/>
      <c r="IQ520" s="19"/>
      <c r="IR520" s="93"/>
      <c r="IS520" s="93"/>
      <c r="IT520" s="93"/>
      <c r="IU520" s="93"/>
      <c r="IV520" s="20"/>
      <c r="IW520" s="29"/>
      <c r="IX520" s="19"/>
      <c r="IY520" s="93"/>
      <c r="IZ520" s="93"/>
      <c r="JA520" s="93"/>
      <c r="JB520" s="93"/>
      <c r="JC520" s="93"/>
      <c r="JD520" s="93"/>
      <c r="JE520" s="20"/>
      <c r="JF520" s="29"/>
      <c r="JG520" s="19"/>
      <c r="JH520" s="93"/>
      <c r="JI520" s="93"/>
      <c r="JJ520" s="93"/>
      <c r="JK520" s="93"/>
      <c r="JL520" s="93"/>
      <c r="JM520" s="93"/>
      <c r="JN520" s="20"/>
      <c r="JO520" s="29"/>
      <c r="JP520" s="19"/>
      <c r="JQ520" s="93"/>
      <c r="JR520" s="93"/>
      <c r="JS520" s="93"/>
      <c r="JT520" s="93"/>
      <c r="JU520" s="20"/>
      <c r="JV520" s="29"/>
      <c r="JW520" s="1504">
        <v>50284</v>
      </c>
      <c r="JX520" s="19"/>
      <c r="JY520" s="93"/>
      <c r="JZ520" s="93"/>
      <c r="KA520" s="93"/>
      <c r="KB520" s="93"/>
      <c r="KC520" s="93"/>
      <c r="KD520" s="20"/>
      <c r="KE520" s="29"/>
      <c r="KF520" s="19"/>
      <c r="KG520" s="93"/>
      <c r="KH520" s="93"/>
      <c r="KI520" s="93"/>
      <c r="KJ520" s="93"/>
      <c r="KK520" s="20"/>
      <c r="KL520" s="29"/>
      <c r="KM520" s="19"/>
      <c r="KN520" s="93"/>
      <c r="KO520" s="93"/>
      <c r="KP520" s="93"/>
      <c r="KQ520" s="93"/>
      <c r="KR520" s="20"/>
      <c r="KS520" s="29"/>
      <c r="KT520" s="19"/>
      <c r="KU520" s="93"/>
      <c r="KV520" s="93"/>
      <c r="KW520" s="93"/>
      <c r="KX520" s="93"/>
      <c r="KY520" s="20"/>
      <c r="KZ520" s="29"/>
      <c r="LA520" s="1504">
        <v>50284</v>
      </c>
      <c r="LB520" s="19"/>
      <c r="LC520" s="93"/>
      <c r="LD520" s="93"/>
      <c r="LE520" s="93"/>
      <c r="LF520" s="93"/>
      <c r="LG520" s="93"/>
      <c r="LH520" s="20"/>
      <c r="LI520" s="29"/>
      <c r="LJ520" s="19"/>
      <c r="LK520" s="93"/>
      <c r="LL520" s="93"/>
      <c r="LM520" s="93"/>
      <c r="LN520" s="93"/>
      <c r="LO520" s="20"/>
      <c r="LP520" s="29"/>
      <c r="LQ520" s="19"/>
      <c r="LR520" s="93"/>
      <c r="LS520" s="93"/>
      <c r="LT520" s="93"/>
      <c r="LU520" s="93"/>
      <c r="LV520" s="93"/>
      <c r="LW520" s="93"/>
      <c r="LX520" s="93"/>
      <c r="LY520" s="93"/>
      <c r="LZ520" s="93"/>
      <c r="MA520" s="20"/>
      <c r="MB520" s="29"/>
      <c r="MC520" s="1504">
        <v>50284</v>
      </c>
      <c r="MD520" s="19"/>
      <c r="ME520" s="93"/>
      <c r="MF520" s="93"/>
      <c r="MG520" s="93"/>
      <c r="MH520" s="93"/>
      <c r="MI520" s="93"/>
      <c r="MJ520" s="93"/>
      <c r="MK520" s="93"/>
      <c r="ML520" s="93"/>
      <c r="MM520" s="93"/>
      <c r="MN520" s="93"/>
      <c r="MO520" s="93"/>
      <c r="MP520" s="93"/>
      <c r="MQ520" s="93"/>
      <c r="MR520" s="93"/>
      <c r="MS520" s="93"/>
      <c r="MT520" s="93"/>
      <c r="MU520" s="93"/>
      <c r="MV520" s="93"/>
      <c r="MW520" s="93"/>
      <c r="MX520" s="93"/>
      <c r="MY520" s="93"/>
      <c r="MZ520" s="93"/>
      <c r="NA520" s="93"/>
      <c r="NB520" s="93"/>
      <c r="NC520" s="93"/>
      <c r="ND520" s="93"/>
      <c r="NE520" s="93"/>
      <c r="NF520" s="93"/>
      <c r="NG520" s="93"/>
      <c r="NH520" s="93"/>
      <c r="NI520" s="93"/>
      <c r="NJ520" s="93"/>
      <c r="NK520" s="93"/>
      <c r="NL520" s="93"/>
      <c r="NM520" s="93"/>
      <c r="NN520" s="93"/>
      <c r="NO520" s="93"/>
      <c r="NP520" s="93"/>
      <c r="NQ520" s="93"/>
      <c r="NR520" s="93"/>
      <c r="NS520" s="93"/>
      <c r="NT520" s="93"/>
      <c r="NU520" s="93"/>
      <c r="NV520" s="93"/>
      <c r="NW520" s="93"/>
      <c r="NX520" s="93"/>
      <c r="NY520" s="93"/>
      <c r="NZ520" s="93"/>
      <c r="OA520" s="93"/>
      <c r="OB520" s="93"/>
      <c r="OC520" s="93"/>
      <c r="OD520" s="20"/>
      <c r="OE520" s="29"/>
      <c r="OF520" s="1504">
        <v>50284</v>
      </c>
      <c r="OG520" s="19"/>
      <c r="OH520" s="93"/>
      <c r="OI520" s="93"/>
      <c r="OJ520" s="93"/>
      <c r="OK520" s="93"/>
      <c r="OL520" s="93"/>
      <c r="OM520" s="93"/>
      <c r="ON520" s="93"/>
      <c r="OO520" s="93"/>
      <c r="OP520" s="93"/>
      <c r="OQ520" s="93"/>
      <c r="OR520" s="93"/>
      <c r="OS520" s="93"/>
      <c r="OT520" s="93"/>
      <c r="OU520" s="93"/>
      <c r="OV520" s="93"/>
      <c r="OW520" s="93"/>
      <c r="OX520" s="93"/>
      <c r="OY520" s="93"/>
      <c r="OZ520" s="93"/>
      <c r="PA520" s="93"/>
      <c r="PB520" s="93"/>
      <c r="PC520" s="20"/>
      <c r="PD520" s="29"/>
      <c r="PE520" s="19"/>
      <c r="PF520" s="93"/>
      <c r="PG520" s="93"/>
      <c r="PH520" s="93"/>
      <c r="PI520" s="93"/>
      <c r="PJ520" s="93"/>
      <c r="PK520" s="93"/>
      <c r="PL520" s="93"/>
      <c r="PM520" s="93"/>
      <c r="PN520" s="93"/>
      <c r="PO520" s="93"/>
      <c r="PP520" s="93"/>
      <c r="PQ520" s="93"/>
      <c r="PR520" s="93"/>
      <c r="PS520" s="93"/>
      <c r="PT520" s="93"/>
      <c r="PU520" s="93"/>
      <c r="PV520" s="93"/>
      <c r="PW520" s="93"/>
      <c r="PX520" s="93"/>
      <c r="PY520" s="93"/>
      <c r="PZ520" s="93"/>
      <c r="QA520" s="93"/>
      <c r="QB520" s="93"/>
      <c r="QC520" s="93"/>
      <c r="QD520" s="93"/>
      <c r="QE520" s="20"/>
      <c r="QF520" s="1739"/>
      <c r="QG520" s="19"/>
      <c r="QH520" s="93"/>
      <c r="QI520" s="93"/>
      <c r="QJ520" s="93"/>
      <c r="QK520" s="93"/>
      <c r="QL520" s="93"/>
      <c r="QM520" s="93"/>
      <c r="QN520" s="93"/>
      <c r="QO520" s="93"/>
      <c r="QP520" s="93"/>
      <c r="QQ520" s="93"/>
      <c r="QR520" s="93"/>
      <c r="QS520" s="93"/>
      <c r="QT520" s="93"/>
      <c r="QU520" s="93"/>
      <c r="QV520" s="93"/>
      <c r="QW520" s="93"/>
      <c r="QX520" s="93"/>
      <c r="QY520" s="93"/>
      <c r="QZ520" s="93"/>
      <c r="RA520" s="93"/>
      <c r="RB520" s="93"/>
      <c r="RC520" s="93"/>
      <c r="RD520" s="93"/>
      <c r="RE520" s="93"/>
      <c r="RF520" s="93"/>
      <c r="RG520" s="93"/>
      <c r="RH520" s="93"/>
      <c r="RI520" s="93"/>
      <c r="RJ520" s="93"/>
      <c r="RK520" s="93"/>
      <c r="RL520" s="93"/>
      <c r="RM520" s="20"/>
      <c r="RN520" s="29"/>
      <c r="RO520" s="19"/>
      <c r="RP520" s="20"/>
      <c r="RQ520" s="29"/>
      <c r="RR520" s="20"/>
      <c r="RS520" s="29"/>
      <c r="RT520" s="1504">
        <v>50284</v>
      </c>
      <c r="RU520" s="19"/>
      <c r="RV520" s="20"/>
      <c r="RW520" s="29"/>
      <c r="RX520" s="1504">
        <v>50284</v>
      </c>
      <c r="RY520" s="29"/>
      <c r="RZ520" s="20"/>
      <c r="SA520" s="29"/>
      <c r="SB520" s="29"/>
    </row>
    <row r="521" spans="1:496">
      <c r="A521" s="41">
        <f t="shared" si="360"/>
        <v>2037</v>
      </c>
      <c r="B521" s="1504">
        <v>50314</v>
      </c>
      <c r="C521" s="1813"/>
      <c r="D521" s="1814"/>
      <c r="E521" s="1814"/>
      <c r="F521" s="1815"/>
      <c r="G521" s="1814"/>
      <c r="H521" s="1814"/>
      <c r="I521" s="1814"/>
      <c r="J521" s="1816"/>
      <c r="K521" s="1807"/>
      <c r="L521" s="25"/>
      <c r="M521" s="97"/>
      <c r="N521" s="1504">
        <v>50314</v>
      </c>
      <c r="O521" s="19"/>
      <c r="P521" s="93"/>
      <c r="Q521" s="93"/>
      <c r="R521" s="93"/>
      <c r="S521" s="93"/>
      <c r="T521" s="93"/>
      <c r="U521" s="93"/>
      <c r="V521" s="93"/>
      <c r="W521" s="93"/>
      <c r="X521" s="93"/>
      <c r="Y521" s="93"/>
      <c r="Z521" s="93"/>
      <c r="AA521" s="93"/>
      <c r="AB521" s="20"/>
      <c r="AC521" s="25"/>
      <c r="AD521" s="97"/>
      <c r="AE521" s="1504">
        <v>50314</v>
      </c>
      <c r="AF521" s="19"/>
      <c r="AG521" s="93"/>
      <c r="AH521" s="93"/>
      <c r="AI521" s="93"/>
      <c r="AJ521" s="93"/>
      <c r="AK521" s="93"/>
      <c r="AL521" s="93"/>
      <c r="AM521" s="93"/>
      <c r="AN521" s="93"/>
      <c r="AO521" s="93"/>
      <c r="AP521" s="93"/>
      <c r="AQ521" s="93"/>
      <c r="AR521" s="93"/>
      <c r="AS521" s="20"/>
      <c r="AT521" s="25"/>
      <c r="AU521" s="97"/>
      <c r="AV521" s="1504">
        <v>50314</v>
      </c>
      <c r="AW521" s="19"/>
      <c r="AX521" s="93"/>
      <c r="AY521" s="93"/>
      <c r="AZ521" s="93"/>
      <c r="BA521" s="93"/>
      <c r="BB521" s="93"/>
      <c r="BC521" s="93"/>
      <c r="BD521" s="93"/>
      <c r="BE521" s="93"/>
      <c r="BF521" s="93"/>
      <c r="BG521" s="93"/>
      <c r="BH521" s="93"/>
      <c r="BI521" s="93"/>
      <c r="BJ521" s="20"/>
      <c r="BK521" s="25"/>
      <c r="BL521" s="97"/>
      <c r="BM521" s="1504">
        <v>50314</v>
      </c>
      <c r="BN521" s="19"/>
      <c r="BO521" s="93"/>
      <c r="BP521" s="93"/>
      <c r="BQ521" s="93"/>
      <c r="BR521" s="93"/>
      <c r="BS521" s="93"/>
      <c r="BT521" s="93"/>
      <c r="BU521" s="20"/>
      <c r="BV521" s="25"/>
      <c r="BW521" s="97"/>
      <c r="BX521" s="1504">
        <v>50314</v>
      </c>
      <c r="BY521" s="19"/>
      <c r="BZ521" s="93"/>
      <c r="CA521" s="93"/>
      <c r="CB521" s="93"/>
      <c r="CC521" s="93"/>
      <c r="CD521" s="25"/>
      <c r="CE521" s="97"/>
      <c r="CF521" s="1504">
        <v>50314</v>
      </c>
      <c r="CG521" s="19"/>
      <c r="CH521" s="93"/>
      <c r="CI521" s="219"/>
      <c r="CJ521" s="20"/>
      <c r="CK521" s="19"/>
      <c r="CL521" s="93"/>
      <c r="CM521" s="93"/>
      <c r="CN521" s="93"/>
      <c r="CO521" s="93"/>
      <c r="CP521" s="20"/>
      <c r="CQ521" s="219"/>
      <c r="CR521" s="93"/>
      <c r="CS521" s="93"/>
      <c r="CT521" s="93"/>
      <c r="CU521" s="93"/>
      <c r="CV521" s="214"/>
      <c r="CW521" s="29"/>
      <c r="CX521" s="41">
        <f t="shared" si="361"/>
        <v>2037</v>
      </c>
      <c r="CY521" s="1504">
        <v>50314</v>
      </c>
      <c r="CZ521" s="19"/>
      <c r="DA521" s="93"/>
      <c r="DB521" s="93"/>
      <c r="DC521" s="93"/>
      <c r="DD521" s="93"/>
      <c r="DE521" s="20"/>
      <c r="DF521" s="29"/>
      <c r="DG521" s="1504">
        <v>50314</v>
      </c>
      <c r="DH521" s="19"/>
      <c r="DI521" s="93"/>
      <c r="DJ521" s="93"/>
      <c r="DK521" s="93"/>
      <c r="DL521" s="93"/>
      <c r="DM521" s="93"/>
      <c r="DN521" s="20"/>
      <c r="DO521" s="295"/>
      <c r="DP521" s="29"/>
      <c r="DQ521" s="1504">
        <v>50314</v>
      </c>
      <c r="DR521" s="19"/>
      <c r="DS521" s="93"/>
      <c r="DT521" s="93"/>
      <c r="DU521" s="93"/>
      <c r="DV521" s="93"/>
      <c r="DW521" s="93"/>
      <c r="DX521" s="20"/>
      <c r="DY521" s="29"/>
      <c r="DZ521" s="1504">
        <v>50314</v>
      </c>
      <c r="EA521" s="19"/>
      <c r="EB521" s="93"/>
      <c r="EC521" s="20"/>
      <c r="ED521" s="29"/>
      <c r="EE521" s="1504">
        <v>50314</v>
      </c>
      <c r="EF521" s="19"/>
      <c r="EG521" s="93"/>
      <c r="EH521" s="93"/>
      <c r="EI521" s="214"/>
      <c r="EJ521" s="93"/>
      <c r="EK521" s="93"/>
      <c r="EL521" s="93"/>
      <c r="EM521" s="93"/>
      <c r="EN521" s="20"/>
      <c r="EO521" s="29"/>
      <c r="EP521" s="1504">
        <v>50314</v>
      </c>
      <c r="EQ521" s="19"/>
      <c r="ER521" s="93"/>
      <c r="ES521" s="93"/>
      <c r="ET521" s="214"/>
      <c r="EU521" s="93"/>
      <c r="EV521" s="93"/>
      <c r="EW521" s="93"/>
      <c r="EX521" s="93"/>
      <c r="EY521" s="20"/>
      <c r="EZ521" s="29"/>
      <c r="FA521" s="1504">
        <v>50314</v>
      </c>
      <c r="FB521" s="29"/>
      <c r="FC521" s="29"/>
      <c r="FD521" s="29"/>
      <c r="FE521" s="29"/>
      <c r="FF521" s="29"/>
      <c r="FG521" s="29"/>
      <c r="FH521" s="29"/>
      <c r="FI521" s="29"/>
      <c r="FJ521" s="29"/>
      <c r="FK521" s="29"/>
      <c r="FL521" s="1504">
        <v>50314</v>
      </c>
      <c r="FM521" s="19"/>
      <c r="FN521" s="93"/>
      <c r="FO521" s="93"/>
      <c r="FP521" s="93"/>
      <c r="FQ521" s="93"/>
      <c r="FR521" s="93"/>
      <c r="FS521" s="93"/>
      <c r="FT521" s="93"/>
      <c r="FU521" s="93"/>
      <c r="FV521" s="93"/>
      <c r="FW521" s="93"/>
      <c r="FX521" s="93"/>
      <c r="FY521" s="93"/>
      <c r="FZ521" s="29"/>
      <c r="GA521" s="1504">
        <v>50314</v>
      </c>
      <c r="GB521" s="19"/>
      <c r="GC521" s="93"/>
      <c r="GD521" s="93"/>
      <c r="GE521" s="93"/>
      <c r="GF521" s="93"/>
      <c r="GG521" s="93"/>
      <c r="GH521" s="93"/>
      <c r="GI521" s="93"/>
      <c r="GJ521" s="93"/>
      <c r="GK521" s="93"/>
      <c r="GL521" s="93"/>
      <c r="GM521" s="93"/>
      <c r="GN521" s="20"/>
      <c r="GO521" s="29"/>
      <c r="GP521" s="1504">
        <v>50314</v>
      </c>
      <c r="GQ521" s="19"/>
      <c r="GR521" s="93"/>
      <c r="GS521" s="93"/>
      <c r="GT521" s="93"/>
      <c r="GU521" s="93"/>
      <c r="GV521" s="20"/>
      <c r="GW521" s="19"/>
      <c r="GX521" s="93"/>
      <c r="GY521" s="93"/>
      <c r="GZ521" s="93"/>
      <c r="HA521" s="93"/>
      <c r="HB521" s="20"/>
      <c r="HC521" s="19"/>
      <c r="HD521" s="93"/>
      <c r="HE521" s="93"/>
      <c r="HF521" s="93"/>
      <c r="HG521" s="93"/>
      <c r="HH521" s="20"/>
      <c r="HI521" s="19"/>
      <c r="HJ521" s="93"/>
      <c r="HK521" s="93"/>
      <c r="HL521" s="93"/>
      <c r="HM521" s="93"/>
      <c r="HN521" s="20"/>
      <c r="HO521" s="219"/>
      <c r="HP521" s="20"/>
      <c r="HQ521" s="25"/>
      <c r="HR521" s="29"/>
      <c r="HS521" s="1504">
        <v>50314</v>
      </c>
      <c r="HT521" s="19"/>
      <c r="HU521" s="93"/>
      <c r="HV521" s="93"/>
      <c r="HW521" s="93"/>
      <c r="HX521" s="93"/>
      <c r="HY521" s="93"/>
      <c r="HZ521" s="93"/>
      <c r="IA521" s="20"/>
      <c r="IB521" s="19"/>
      <c r="IC521" s="93"/>
      <c r="ID521" s="93"/>
      <c r="IE521" s="93"/>
      <c r="IF521" s="93"/>
      <c r="IG521" s="20"/>
      <c r="IH521" s="19"/>
      <c r="II521" s="93"/>
      <c r="IJ521" s="93"/>
      <c r="IK521" s="93"/>
      <c r="IL521" s="93"/>
      <c r="IM521" s="93"/>
      <c r="IN521" s="93"/>
      <c r="IO521" s="20"/>
      <c r="IP521" s="29"/>
      <c r="IQ521" s="19"/>
      <c r="IR521" s="93"/>
      <c r="IS521" s="93"/>
      <c r="IT521" s="93"/>
      <c r="IU521" s="93"/>
      <c r="IV521" s="20"/>
      <c r="IW521" s="29"/>
      <c r="IX521" s="19"/>
      <c r="IY521" s="93"/>
      <c r="IZ521" s="93"/>
      <c r="JA521" s="93"/>
      <c r="JB521" s="93"/>
      <c r="JC521" s="93"/>
      <c r="JD521" s="93"/>
      <c r="JE521" s="20"/>
      <c r="JF521" s="29"/>
      <c r="JG521" s="19"/>
      <c r="JH521" s="93"/>
      <c r="JI521" s="93"/>
      <c r="JJ521" s="93"/>
      <c r="JK521" s="93"/>
      <c r="JL521" s="93"/>
      <c r="JM521" s="93"/>
      <c r="JN521" s="20"/>
      <c r="JO521" s="29"/>
      <c r="JP521" s="19"/>
      <c r="JQ521" s="93"/>
      <c r="JR521" s="93"/>
      <c r="JS521" s="93"/>
      <c r="JT521" s="93"/>
      <c r="JU521" s="20"/>
      <c r="JV521" s="29"/>
      <c r="JW521" s="1504">
        <v>50314</v>
      </c>
      <c r="JX521" s="19"/>
      <c r="JY521" s="93"/>
      <c r="JZ521" s="93"/>
      <c r="KA521" s="93"/>
      <c r="KB521" s="93"/>
      <c r="KC521" s="93"/>
      <c r="KD521" s="20"/>
      <c r="KE521" s="29"/>
      <c r="KF521" s="19"/>
      <c r="KG521" s="93"/>
      <c r="KH521" s="93"/>
      <c r="KI521" s="93"/>
      <c r="KJ521" s="93"/>
      <c r="KK521" s="20"/>
      <c r="KL521" s="29"/>
      <c r="KM521" s="19"/>
      <c r="KN521" s="93"/>
      <c r="KO521" s="93"/>
      <c r="KP521" s="93"/>
      <c r="KQ521" s="93"/>
      <c r="KR521" s="20"/>
      <c r="KS521" s="29"/>
      <c r="KT521" s="19"/>
      <c r="KU521" s="93"/>
      <c r="KV521" s="93"/>
      <c r="KW521" s="93"/>
      <c r="KX521" s="93"/>
      <c r="KY521" s="20"/>
      <c r="KZ521" s="29"/>
      <c r="LA521" s="1504">
        <v>50314</v>
      </c>
      <c r="LB521" s="19"/>
      <c r="LC521" s="93"/>
      <c r="LD521" s="93"/>
      <c r="LE521" s="93"/>
      <c r="LF521" s="93"/>
      <c r="LG521" s="93"/>
      <c r="LH521" s="20"/>
      <c r="LI521" s="29"/>
      <c r="LJ521" s="19"/>
      <c r="LK521" s="93"/>
      <c r="LL521" s="93"/>
      <c r="LM521" s="93"/>
      <c r="LN521" s="93"/>
      <c r="LO521" s="20"/>
      <c r="LP521" s="29"/>
      <c r="LQ521" s="19"/>
      <c r="LR521" s="93"/>
      <c r="LS521" s="93"/>
      <c r="LT521" s="93"/>
      <c r="LU521" s="93"/>
      <c r="LV521" s="93"/>
      <c r="LW521" s="93"/>
      <c r="LX521" s="93"/>
      <c r="LY521" s="93"/>
      <c r="LZ521" s="93"/>
      <c r="MA521" s="20"/>
      <c r="MB521" s="29"/>
      <c r="MC521" s="1504">
        <v>50314</v>
      </c>
      <c r="MD521" s="19"/>
      <c r="ME521" s="93"/>
      <c r="MF521" s="93"/>
      <c r="MG521" s="93"/>
      <c r="MH521" s="93"/>
      <c r="MI521" s="93"/>
      <c r="MJ521" s="93"/>
      <c r="MK521" s="93"/>
      <c r="ML521" s="93"/>
      <c r="MM521" s="93"/>
      <c r="MN521" s="93"/>
      <c r="MO521" s="93"/>
      <c r="MP521" s="93"/>
      <c r="MQ521" s="93"/>
      <c r="MR521" s="93"/>
      <c r="MS521" s="93"/>
      <c r="MT521" s="93"/>
      <c r="MU521" s="93"/>
      <c r="MV521" s="93"/>
      <c r="MW521" s="93"/>
      <c r="MX521" s="93"/>
      <c r="MY521" s="93"/>
      <c r="MZ521" s="93"/>
      <c r="NA521" s="93"/>
      <c r="NB521" s="93"/>
      <c r="NC521" s="93"/>
      <c r="ND521" s="93"/>
      <c r="NE521" s="93"/>
      <c r="NF521" s="93"/>
      <c r="NG521" s="93"/>
      <c r="NH521" s="93"/>
      <c r="NI521" s="93"/>
      <c r="NJ521" s="93"/>
      <c r="NK521" s="93"/>
      <c r="NL521" s="93"/>
      <c r="NM521" s="93"/>
      <c r="NN521" s="93"/>
      <c r="NO521" s="93"/>
      <c r="NP521" s="93"/>
      <c r="NQ521" s="93"/>
      <c r="NR521" s="93"/>
      <c r="NS521" s="93"/>
      <c r="NT521" s="93"/>
      <c r="NU521" s="93"/>
      <c r="NV521" s="93"/>
      <c r="NW521" s="93"/>
      <c r="NX521" s="93"/>
      <c r="NY521" s="93"/>
      <c r="NZ521" s="93"/>
      <c r="OA521" s="93"/>
      <c r="OB521" s="93"/>
      <c r="OC521" s="93"/>
      <c r="OD521" s="20"/>
      <c r="OE521" s="29"/>
      <c r="OF521" s="1504">
        <v>50314</v>
      </c>
      <c r="OG521" s="19"/>
      <c r="OH521" s="93"/>
      <c r="OI521" s="93"/>
      <c r="OJ521" s="93"/>
      <c r="OK521" s="93"/>
      <c r="OL521" s="93"/>
      <c r="OM521" s="93"/>
      <c r="ON521" s="93"/>
      <c r="OO521" s="93"/>
      <c r="OP521" s="93"/>
      <c r="OQ521" s="93"/>
      <c r="OR521" s="93"/>
      <c r="OS521" s="93"/>
      <c r="OT521" s="93"/>
      <c r="OU521" s="93"/>
      <c r="OV521" s="93"/>
      <c r="OW521" s="93"/>
      <c r="OX521" s="93"/>
      <c r="OY521" s="93"/>
      <c r="OZ521" s="93"/>
      <c r="PA521" s="93"/>
      <c r="PB521" s="93"/>
      <c r="PC521" s="20"/>
      <c r="PD521" s="29"/>
      <c r="PE521" s="19"/>
      <c r="PF521" s="93"/>
      <c r="PG521" s="93"/>
      <c r="PH521" s="93"/>
      <c r="PI521" s="93"/>
      <c r="PJ521" s="93"/>
      <c r="PK521" s="93"/>
      <c r="PL521" s="93"/>
      <c r="PM521" s="93"/>
      <c r="PN521" s="93"/>
      <c r="PO521" s="93"/>
      <c r="PP521" s="93"/>
      <c r="PQ521" s="93"/>
      <c r="PR521" s="93"/>
      <c r="PS521" s="93"/>
      <c r="PT521" s="93"/>
      <c r="PU521" s="93"/>
      <c r="PV521" s="93"/>
      <c r="PW521" s="93"/>
      <c r="PX521" s="93"/>
      <c r="PY521" s="93"/>
      <c r="PZ521" s="93"/>
      <c r="QA521" s="93"/>
      <c r="QB521" s="93"/>
      <c r="QC521" s="93"/>
      <c r="QD521" s="93"/>
      <c r="QE521" s="20"/>
      <c r="QF521" s="1739"/>
      <c r="QG521" s="19"/>
      <c r="QH521" s="93"/>
      <c r="QI521" s="93"/>
      <c r="QJ521" s="93"/>
      <c r="QK521" s="93"/>
      <c r="QL521" s="93"/>
      <c r="QM521" s="93"/>
      <c r="QN521" s="93"/>
      <c r="QO521" s="93"/>
      <c r="QP521" s="93"/>
      <c r="QQ521" s="93"/>
      <c r="QR521" s="93"/>
      <c r="QS521" s="93"/>
      <c r="QT521" s="93"/>
      <c r="QU521" s="93"/>
      <c r="QV521" s="93"/>
      <c r="QW521" s="93"/>
      <c r="QX521" s="93"/>
      <c r="QY521" s="93"/>
      <c r="QZ521" s="93"/>
      <c r="RA521" s="93"/>
      <c r="RB521" s="93"/>
      <c r="RC521" s="93"/>
      <c r="RD521" s="93"/>
      <c r="RE521" s="93"/>
      <c r="RF521" s="93"/>
      <c r="RG521" s="93"/>
      <c r="RH521" s="93"/>
      <c r="RI521" s="93"/>
      <c r="RJ521" s="93"/>
      <c r="RK521" s="93"/>
      <c r="RL521" s="93"/>
      <c r="RM521" s="20"/>
      <c r="RN521" s="29"/>
      <c r="RO521" s="19"/>
      <c r="RP521" s="20"/>
      <c r="RQ521" s="29"/>
      <c r="RR521" s="20"/>
      <c r="RS521" s="29"/>
      <c r="RT521" s="1504">
        <v>50314</v>
      </c>
      <c r="RU521" s="19"/>
      <c r="RV521" s="20"/>
      <c r="RW521" s="29"/>
      <c r="RX521" s="1504">
        <v>50314</v>
      </c>
      <c r="RY521" s="29"/>
      <c r="RZ521" s="20"/>
      <c r="SA521" s="29"/>
      <c r="SB521" s="29"/>
    </row>
    <row r="522" spans="1:496">
      <c r="A522" s="41">
        <f t="shared" si="360"/>
        <v>2037</v>
      </c>
      <c r="B522" s="1504">
        <v>50345</v>
      </c>
      <c r="C522" s="1813"/>
      <c r="D522" s="1814"/>
      <c r="E522" s="1814"/>
      <c r="F522" s="1815"/>
      <c r="G522" s="1814"/>
      <c r="H522" s="1814"/>
      <c r="I522" s="1814"/>
      <c r="J522" s="1816"/>
      <c r="K522" s="1807"/>
      <c r="L522" s="25"/>
      <c r="M522" s="97"/>
      <c r="N522" s="1504">
        <v>50345</v>
      </c>
      <c r="O522" s="19"/>
      <c r="P522" s="93"/>
      <c r="Q522" s="93"/>
      <c r="R522" s="93"/>
      <c r="S522" s="93"/>
      <c r="T522" s="93"/>
      <c r="U522" s="93"/>
      <c r="V522" s="93"/>
      <c r="W522" s="93"/>
      <c r="X522" s="93"/>
      <c r="Y522" s="93"/>
      <c r="Z522" s="93"/>
      <c r="AA522" s="93"/>
      <c r="AB522" s="20"/>
      <c r="AC522" s="25"/>
      <c r="AD522" s="97"/>
      <c r="AE522" s="1504">
        <v>50345</v>
      </c>
      <c r="AF522" s="19"/>
      <c r="AG522" s="93"/>
      <c r="AH522" s="93"/>
      <c r="AI522" s="93"/>
      <c r="AJ522" s="93"/>
      <c r="AK522" s="93"/>
      <c r="AL522" s="93"/>
      <c r="AM522" s="93"/>
      <c r="AN522" s="93"/>
      <c r="AO522" s="93"/>
      <c r="AP522" s="93"/>
      <c r="AQ522" s="93"/>
      <c r="AR522" s="93"/>
      <c r="AS522" s="20"/>
      <c r="AT522" s="25"/>
      <c r="AU522" s="97"/>
      <c r="AV522" s="1504">
        <v>50345</v>
      </c>
      <c r="AW522" s="19"/>
      <c r="AX522" s="93"/>
      <c r="AY522" s="93"/>
      <c r="AZ522" s="93"/>
      <c r="BA522" s="93"/>
      <c r="BB522" s="93"/>
      <c r="BC522" s="93"/>
      <c r="BD522" s="93"/>
      <c r="BE522" s="93"/>
      <c r="BF522" s="93"/>
      <c r="BG522" s="93"/>
      <c r="BH522" s="93"/>
      <c r="BI522" s="93"/>
      <c r="BJ522" s="20"/>
      <c r="BK522" s="25"/>
      <c r="BL522" s="97"/>
      <c r="BM522" s="1504">
        <v>50345</v>
      </c>
      <c r="BN522" s="19"/>
      <c r="BO522" s="93"/>
      <c r="BP522" s="93"/>
      <c r="BQ522" s="93"/>
      <c r="BR522" s="93"/>
      <c r="BS522" s="93"/>
      <c r="BT522" s="93"/>
      <c r="BU522" s="20"/>
      <c r="BV522" s="25"/>
      <c r="BW522" s="97"/>
      <c r="BX522" s="1504">
        <v>50345</v>
      </c>
      <c r="BY522" s="19"/>
      <c r="BZ522" s="93"/>
      <c r="CA522" s="93"/>
      <c r="CB522" s="93"/>
      <c r="CC522" s="93"/>
      <c r="CD522" s="25"/>
      <c r="CE522" s="97"/>
      <c r="CF522" s="1504">
        <v>50345</v>
      </c>
      <c r="CG522" s="19"/>
      <c r="CH522" s="93"/>
      <c r="CI522" s="219"/>
      <c r="CJ522" s="20"/>
      <c r="CK522" s="19"/>
      <c r="CL522" s="93"/>
      <c r="CM522" s="93"/>
      <c r="CN522" s="93"/>
      <c r="CO522" s="93"/>
      <c r="CP522" s="20"/>
      <c r="CQ522" s="219"/>
      <c r="CR522" s="93"/>
      <c r="CS522" s="93"/>
      <c r="CT522" s="93"/>
      <c r="CU522" s="93"/>
      <c r="CV522" s="214"/>
      <c r="CW522" s="29"/>
      <c r="CX522" s="41">
        <f t="shared" si="361"/>
        <v>2037</v>
      </c>
      <c r="CY522" s="1504">
        <v>50345</v>
      </c>
      <c r="CZ522" s="19"/>
      <c r="DA522" s="93"/>
      <c r="DB522" s="93"/>
      <c r="DC522" s="93"/>
      <c r="DD522" s="93"/>
      <c r="DE522" s="20"/>
      <c r="DF522" s="29"/>
      <c r="DG522" s="1504">
        <v>50345</v>
      </c>
      <c r="DH522" s="19"/>
      <c r="DI522" s="93"/>
      <c r="DJ522" s="93"/>
      <c r="DK522" s="93"/>
      <c r="DL522" s="93"/>
      <c r="DM522" s="93"/>
      <c r="DN522" s="20"/>
      <c r="DO522" s="295"/>
      <c r="DP522" s="29"/>
      <c r="DQ522" s="1504">
        <v>50345</v>
      </c>
      <c r="DR522" s="19"/>
      <c r="DS522" s="93"/>
      <c r="DT522" s="93"/>
      <c r="DU522" s="93"/>
      <c r="DV522" s="93"/>
      <c r="DW522" s="93"/>
      <c r="DX522" s="20"/>
      <c r="DY522" s="29"/>
      <c r="DZ522" s="1504">
        <v>50345</v>
      </c>
      <c r="EA522" s="19"/>
      <c r="EB522" s="93"/>
      <c r="EC522" s="20"/>
      <c r="ED522" s="29"/>
      <c r="EE522" s="1504">
        <v>50345</v>
      </c>
      <c r="EF522" s="19"/>
      <c r="EG522" s="93"/>
      <c r="EH522" s="93"/>
      <c r="EI522" s="214"/>
      <c r="EJ522" s="93"/>
      <c r="EK522" s="93"/>
      <c r="EL522" s="93"/>
      <c r="EM522" s="93"/>
      <c r="EN522" s="20"/>
      <c r="EO522" s="29"/>
      <c r="EP522" s="1504">
        <v>50345</v>
      </c>
      <c r="EQ522" s="19"/>
      <c r="ER522" s="93"/>
      <c r="ES522" s="93"/>
      <c r="ET522" s="214"/>
      <c r="EU522" s="93"/>
      <c r="EV522" s="93"/>
      <c r="EW522" s="93"/>
      <c r="EX522" s="93"/>
      <c r="EY522" s="20"/>
      <c r="EZ522" s="29"/>
      <c r="FA522" s="1504">
        <v>50345</v>
      </c>
      <c r="FB522" s="29"/>
      <c r="FC522" s="29"/>
      <c r="FD522" s="29"/>
      <c r="FE522" s="29"/>
      <c r="FF522" s="29"/>
      <c r="FG522" s="29"/>
      <c r="FH522" s="29"/>
      <c r="FI522" s="29"/>
      <c r="FJ522" s="29"/>
      <c r="FK522" s="29"/>
      <c r="FL522" s="1504">
        <v>50345</v>
      </c>
      <c r="FM522" s="19"/>
      <c r="FN522" s="93"/>
      <c r="FO522" s="93"/>
      <c r="FP522" s="93"/>
      <c r="FQ522" s="93"/>
      <c r="FR522" s="93"/>
      <c r="FS522" s="93"/>
      <c r="FT522" s="93"/>
      <c r="FU522" s="93"/>
      <c r="FV522" s="93"/>
      <c r="FW522" s="93"/>
      <c r="FX522" s="93"/>
      <c r="FY522" s="93"/>
      <c r="FZ522" s="29"/>
      <c r="GA522" s="1504">
        <v>50345</v>
      </c>
      <c r="GB522" s="19"/>
      <c r="GC522" s="93"/>
      <c r="GD522" s="93"/>
      <c r="GE522" s="93"/>
      <c r="GF522" s="93"/>
      <c r="GG522" s="93"/>
      <c r="GH522" s="93"/>
      <c r="GI522" s="93"/>
      <c r="GJ522" s="93"/>
      <c r="GK522" s="93"/>
      <c r="GL522" s="93"/>
      <c r="GM522" s="93"/>
      <c r="GN522" s="20"/>
      <c r="GO522" s="29"/>
      <c r="GP522" s="1504">
        <v>50345</v>
      </c>
      <c r="GQ522" s="19"/>
      <c r="GR522" s="93"/>
      <c r="GS522" s="93"/>
      <c r="GT522" s="93"/>
      <c r="GU522" s="93"/>
      <c r="GV522" s="20"/>
      <c r="GW522" s="19"/>
      <c r="GX522" s="93"/>
      <c r="GY522" s="93"/>
      <c r="GZ522" s="93"/>
      <c r="HA522" s="93"/>
      <c r="HB522" s="20"/>
      <c r="HC522" s="19"/>
      <c r="HD522" s="93"/>
      <c r="HE522" s="93"/>
      <c r="HF522" s="93"/>
      <c r="HG522" s="93"/>
      <c r="HH522" s="20"/>
      <c r="HI522" s="19"/>
      <c r="HJ522" s="93"/>
      <c r="HK522" s="93"/>
      <c r="HL522" s="93"/>
      <c r="HM522" s="93"/>
      <c r="HN522" s="20"/>
      <c r="HO522" s="219"/>
      <c r="HP522" s="20"/>
      <c r="HQ522" s="25"/>
      <c r="HR522" s="29"/>
      <c r="HS522" s="1504">
        <v>50345</v>
      </c>
      <c r="HT522" s="19"/>
      <c r="HU522" s="93"/>
      <c r="HV522" s="93"/>
      <c r="HW522" s="93"/>
      <c r="HX522" s="93"/>
      <c r="HY522" s="93"/>
      <c r="HZ522" s="93"/>
      <c r="IA522" s="20"/>
      <c r="IB522" s="19"/>
      <c r="IC522" s="93"/>
      <c r="ID522" s="93"/>
      <c r="IE522" s="93"/>
      <c r="IF522" s="93"/>
      <c r="IG522" s="20"/>
      <c r="IH522" s="19"/>
      <c r="II522" s="93"/>
      <c r="IJ522" s="93"/>
      <c r="IK522" s="93"/>
      <c r="IL522" s="93"/>
      <c r="IM522" s="93"/>
      <c r="IN522" s="93"/>
      <c r="IO522" s="20"/>
      <c r="IP522" s="29"/>
      <c r="IQ522" s="19"/>
      <c r="IR522" s="93"/>
      <c r="IS522" s="93"/>
      <c r="IT522" s="93"/>
      <c r="IU522" s="93"/>
      <c r="IV522" s="20"/>
      <c r="IW522" s="29"/>
      <c r="IX522" s="19"/>
      <c r="IY522" s="93"/>
      <c r="IZ522" s="93"/>
      <c r="JA522" s="93"/>
      <c r="JB522" s="93"/>
      <c r="JC522" s="93"/>
      <c r="JD522" s="93"/>
      <c r="JE522" s="20"/>
      <c r="JF522" s="29"/>
      <c r="JG522" s="19"/>
      <c r="JH522" s="93"/>
      <c r="JI522" s="93"/>
      <c r="JJ522" s="93"/>
      <c r="JK522" s="93"/>
      <c r="JL522" s="93"/>
      <c r="JM522" s="93"/>
      <c r="JN522" s="20"/>
      <c r="JO522" s="29"/>
      <c r="JP522" s="19"/>
      <c r="JQ522" s="93"/>
      <c r="JR522" s="93"/>
      <c r="JS522" s="93"/>
      <c r="JT522" s="93"/>
      <c r="JU522" s="20"/>
      <c r="JV522" s="29"/>
      <c r="JW522" s="1504">
        <v>50345</v>
      </c>
      <c r="JX522" s="19"/>
      <c r="JY522" s="93"/>
      <c r="JZ522" s="93"/>
      <c r="KA522" s="93"/>
      <c r="KB522" s="93"/>
      <c r="KC522" s="93"/>
      <c r="KD522" s="20"/>
      <c r="KE522" s="29"/>
      <c r="KF522" s="19"/>
      <c r="KG522" s="93"/>
      <c r="KH522" s="93"/>
      <c r="KI522" s="93"/>
      <c r="KJ522" s="93"/>
      <c r="KK522" s="20"/>
      <c r="KL522" s="29"/>
      <c r="KM522" s="19"/>
      <c r="KN522" s="93"/>
      <c r="KO522" s="93"/>
      <c r="KP522" s="93"/>
      <c r="KQ522" s="93"/>
      <c r="KR522" s="20"/>
      <c r="KS522" s="29"/>
      <c r="KT522" s="19"/>
      <c r="KU522" s="93"/>
      <c r="KV522" s="93"/>
      <c r="KW522" s="93"/>
      <c r="KX522" s="93"/>
      <c r="KY522" s="20"/>
      <c r="KZ522" s="29"/>
      <c r="LA522" s="1504">
        <v>50345</v>
      </c>
      <c r="LB522" s="19"/>
      <c r="LC522" s="93"/>
      <c r="LD522" s="93"/>
      <c r="LE522" s="93"/>
      <c r="LF522" s="93"/>
      <c r="LG522" s="93"/>
      <c r="LH522" s="20"/>
      <c r="LI522" s="29"/>
      <c r="LJ522" s="19"/>
      <c r="LK522" s="93"/>
      <c r="LL522" s="93"/>
      <c r="LM522" s="93"/>
      <c r="LN522" s="93"/>
      <c r="LO522" s="20"/>
      <c r="LP522" s="29"/>
      <c r="LQ522" s="19"/>
      <c r="LR522" s="93"/>
      <c r="LS522" s="93"/>
      <c r="LT522" s="93"/>
      <c r="LU522" s="93"/>
      <c r="LV522" s="93"/>
      <c r="LW522" s="93"/>
      <c r="LX522" s="93"/>
      <c r="LY522" s="93"/>
      <c r="LZ522" s="93"/>
      <c r="MA522" s="20"/>
      <c r="MB522" s="29"/>
      <c r="MC522" s="1504">
        <v>50345</v>
      </c>
      <c r="MD522" s="19"/>
      <c r="ME522" s="93"/>
      <c r="MF522" s="93"/>
      <c r="MG522" s="93"/>
      <c r="MH522" s="93"/>
      <c r="MI522" s="93"/>
      <c r="MJ522" s="93"/>
      <c r="MK522" s="93"/>
      <c r="ML522" s="93"/>
      <c r="MM522" s="93"/>
      <c r="MN522" s="93"/>
      <c r="MO522" s="93"/>
      <c r="MP522" s="93"/>
      <c r="MQ522" s="93"/>
      <c r="MR522" s="93"/>
      <c r="MS522" s="93"/>
      <c r="MT522" s="93"/>
      <c r="MU522" s="93"/>
      <c r="MV522" s="93"/>
      <c r="MW522" s="93"/>
      <c r="MX522" s="93"/>
      <c r="MY522" s="93"/>
      <c r="MZ522" s="93"/>
      <c r="NA522" s="93"/>
      <c r="NB522" s="93"/>
      <c r="NC522" s="93"/>
      <c r="ND522" s="93"/>
      <c r="NE522" s="93"/>
      <c r="NF522" s="93"/>
      <c r="NG522" s="93"/>
      <c r="NH522" s="93"/>
      <c r="NI522" s="93"/>
      <c r="NJ522" s="93"/>
      <c r="NK522" s="93"/>
      <c r="NL522" s="93"/>
      <c r="NM522" s="93"/>
      <c r="NN522" s="93"/>
      <c r="NO522" s="93"/>
      <c r="NP522" s="93"/>
      <c r="NQ522" s="93"/>
      <c r="NR522" s="93"/>
      <c r="NS522" s="93"/>
      <c r="NT522" s="93"/>
      <c r="NU522" s="93"/>
      <c r="NV522" s="93"/>
      <c r="NW522" s="93"/>
      <c r="NX522" s="93"/>
      <c r="NY522" s="93"/>
      <c r="NZ522" s="93"/>
      <c r="OA522" s="93"/>
      <c r="OB522" s="93"/>
      <c r="OC522" s="93"/>
      <c r="OD522" s="20"/>
      <c r="OE522" s="29"/>
      <c r="OF522" s="1504">
        <v>50345</v>
      </c>
      <c r="OG522" s="19"/>
      <c r="OH522" s="93"/>
      <c r="OI522" s="93"/>
      <c r="OJ522" s="93"/>
      <c r="OK522" s="93"/>
      <c r="OL522" s="93"/>
      <c r="OM522" s="93"/>
      <c r="ON522" s="93"/>
      <c r="OO522" s="93"/>
      <c r="OP522" s="93"/>
      <c r="OQ522" s="93"/>
      <c r="OR522" s="93"/>
      <c r="OS522" s="93"/>
      <c r="OT522" s="93"/>
      <c r="OU522" s="93"/>
      <c r="OV522" s="93"/>
      <c r="OW522" s="93"/>
      <c r="OX522" s="93"/>
      <c r="OY522" s="93"/>
      <c r="OZ522" s="93"/>
      <c r="PA522" s="93"/>
      <c r="PB522" s="93"/>
      <c r="PC522" s="20"/>
      <c r="PD522" s="29"/>
      <c r="PE522" s="19"/>
      <c r="PF522" s="93"/>
      <c r="PG522" s="93"/>
      <c r="PH522" s="93"/>
      <c r="PI522" s="93"/>
      <c r="PJ522" s="93"/>
      <c r="PK522" s="93"/>
      <c r="PL522" s="93"/>
      <c r="PM522" s="93"/>
      <c r="PN522" s="93"/>
      <c r="PO522" s="93"/>
      <c r="PP522" s="93"/>
      <c r="PQ522" s="93"/>
      <c r="PR522" s="93"/>
      <c r="PS522" s="93"/>
      <c r="PT522" s="93"/>
      <c r="PU522" s="93"/>
      <c r="PV522" s="93"/>
      <c r="PW522" s="93"/>
      <c r="PX522" s="93"/>
      <c r="PY522" s="93"/>
      <c r="PZ522" s="93"/>
      <c r="QA522" s="93"/>
      <c r="QB522" s="93"/>
      <c r="QC522" s="93"/>
      <c r="QD522" s="93"/>
      <c r="QE522" s="20"/>
      <c r="QF522" s="1739"/>
      <c r="QG522" s="19"/>
      <c r="QH522" s="93"/>
      <c r="QI522" s="93"/>
      <c r="QJ522" s="93"/>
      <c r="QK522" s="93"/>
      <c r="QL522" s="93"/>
      <c r="QM522" s="93"/>
      <c r="QN522" s="93"/>
      <c r="QO522" s="93"/>
      <c r="QP522" s="93"/>
      <c r="QQ522" s="93"/>
      <c r="QR522" s="93"/>
      <c r="QS522" s="93"/>
      <c r="QT522" s="93"/>
      <c r="QU522" s="93"/>
      <c r="QV522" s="93"/>
      <c r="QW522" s="93"/>
      <c r="QX522" s="93"/>
      <c r="QY522" s="93"/>
      <c r="QZ522" s="93"/>
      <c r="RA522" s="93"/>
      <c r="RB522" s="93"/>
      <c r="RC522" s="93"/>
      <c r="RD522" s="93"/>
      <c r="RE522" s="93"/>
      <c r="RF522" s="93"/>
      <c r="RG522" s="93"/>
      <c r="RH522" s="93"/>
      <c r="RI522" s="93"/>
      <c r="RJ522" s="93"/>
      <c r="RK522" s="93"/>
      <c r="RL522" s="93"/>
      <c r="RM522" s="20"/>
      <c r="RN522" s="29"/>
      <c r="RO522" s="19"/>
      <c r="RP522" s="20"/>
      <c r="RQ522" s="29"/>
      <c r="RR522" s="20"/>
      <c r="RS522" s="29"/>
      <c r="RT522" s="1504">
        <v>50345</v>
      </c>
      <c r="RU522" s="19"/>
      <c r="RV522" s="20"/>
      <c r="RW522" s="29"/>
      <c r="RX522" s="1504">
        <v>50345</v>
      </c>
      <c r="RY522" s="29"/>
      <c r="RZ522" s="20"/>
      <c r="SA522" s="29"/>
      <c r="SB522" s="29"/>
    </row>
    <row r="523" spans="1:496">
      <c r="A523" s="41">
        <f t="shared" si="360"/>
        <v>2037</v>
      </c>
      <c r="B523" s="1504">
        <v>50375</v>
      </c>
      <c r="C523" s="1813"/>
      <c r="D523" s="1814"/>
      <c r="E523" s="1814"/>
      <c r="F523" s="1815"/>
      <c r="G523" s="1814"/>
      <c r="H523" s="1814"/>
      <c r="I523" s="1814"/>
      <c r="J523" s="1816"/>
      <c r="K523" s="1807"/>
      <c r="L523" s="25"/>
      <c r="M523" s="97"/>
      <c r="N523" s="1504">
        <v>50375</v>
      </c>
      <c r="O523" s="19"/>
      <c r="P523" s="93"/>
      <c r="Q523" s="93"/>
      <c r="R523" s="93"/>
      <c r="S523" s="93"/>
      <c r="T523" s="93"/>
      <c r="U523" s="93"/>
      <c r="V523" s="93"/>
      <c r="W523" s="93"/>
      <c r="X523" s="93"/>
      <c r="Y523" s="93"/>
      <c r="Z523" s="93"/>
      <c r="AA523" s="93"/>
      <c r="AB523" s="20"/>
      <c r="AC523" s="25"/>
      <c r="AD523" s="97"/>
      <c r="AE523" s="1504">
        <v>50375</v>
      </c>
      <c r="AF523" s="19"/>
      <c r="AG523" s="93"/>
      <c r="AH523" s="93"/>
      <c r="AI523" s="93"/>
      <c r="AJ523" s="93"/>
      <c r="AK523" s="93"/>
      <c r="AL523" s="93"/>
      <c r="AM523" s="93"/>
      <c r="AN523" s="93"/>
      <c r="AO523" s="93"/>
      <c r="AP523" s="93"/>
      <c r="AQ523" s="93"/>
      <c r="AR523" s="93"/>
      <c r="AS523" s="20"/>
      <c r="AT523" s="25"/>
      <c r="AU523" s="97"/>
      <c r="AV523" s="1504">
        <v>50375</v>
      </c>
      <c r="AW523" s="19"/>
      <c r="AX523" s="93"/>
      <c r="AY523" s="93"/>
      <c r="AZ523" s="93"/>
      <c r="BA523" s="93"/>
      <c r="BB523" s="93"/>
      <c r="BC523" s="93"/>
      <c r="BD523" s="93"/>
      <c r="BE523" s="93"/>
      <c r="BF523" s="93"/>
      <c r="BG523" s="93"/>
      <c r="BH523" s="93"/>
      <c r="BI523" s="93"/>
      <c r="BJ523" s="20"/>
      <c r="BK523" s="25"/>
      <c r="BL523" s="97"/>
      <c r="BM523" s="1504">
        <v>50375</v>
      </c>
      <c r="BN523" s="19"/>
      <c r="BO523" s="93"/>
      <c r="BP523" s="93"/>
      <c r="BQ523" s="93"/>
      <c r="BR523" s="93"/>
      <c r="BS523" s="93"/>
      <c r="BT523" s="93"/>
      <c r="BU523" s="20"/>
      <c r="BV523" s="25"/>
      <c r="BW523" s="97"/>
      <c r="BX523" s="1504">
        <v>50375</v>
      </c>
      <c r="BY523" s="19"/>
      <c r="BZ523" s="93"/>
      <c r="CA523" s="93"/>
      <c r="CB523" s="93"/>
      <c r="CC523" s="93"/>
      <c r="CD523" s="25"/>
      <c r="CE523" s="97"/>
      <c r="CF523" s="1504">
        <v>50375</v>
      </c>
      <c r="CG523" s="19"/>
      <c r="CH523" s="93"/>
      <c r="CI523" s="219"/>
      <c r="CJ523" s="20"/>
      <c r="CK523" s="19"/>
      <c r="CL523" s="93"/>
      <c r="CM523" s="93"/>
      <c r="CN523" s="93"/>
      <c r="CO523" s="93"/>
      <c r="CP523" s="20"/>
      <c r="CQ523" s="219"/>
      <c r="CR523" s="93"/>
      <c r="CS523" s="93"/>
      <c r="CT523" s="93"/>
      <c r="CU523" s="93"/>
      <c r="CV523" s="214"/>
      <c r="CW523" s="29"/>
      <c r="CX523" s="41">
        <f t="shared" si="361"/>
        <v>2037</v>
      </c>
      <c r="CY523" s="1504">
        <v>50375</v>
      </c>
      <c r="CZ523" s="19"/>
      <c r="DA523" s="93"/>
      <c r="DB523" s="93"/>
      <c r="DC523" s="93"/>
      <c r="DD523" s="93"/>
      <c r="DE523" s="20"/>
      <c r="DF523" s="29"/>
      <c r="DG523" s="1504">
        <v>50375</v>
      </c>
      <c r="DH523" s="19"/>
      <c r="DI523" s="93"/>
      <c r="DJ523" s="93"/>
      <c r="DK523" s="93"/>
      <c r="DL523" s="93"/>
      <c r="DM523" s="93"/>
      <c r="DN523" s="20"/>
      <c r="DO523" s="295"/>
      <c r="DP523" s="29"/>
      <c r="DQ523" s="1504">
        <v>50375</v>
      </c>
      <c r="DR523" s="19"/>
      <c r="DS523" s="93"/>
      <c r="DT523" s="93"/>
      <c r="DU523" s="93"/>
      <c r="DV523" s="93"/>
      <c r="DW523" s="93"/>
      <c r="DX523" s="20"/>
      <c r="DY523" s="29"/>
      <c r="DZ523" s="1504">
        <v>50375</v>
      </c>
      <c r="EA523" s="19"/>
      <c r="EB523" s="93"/>
      <c r="EC523" s="20"/>
      <c r="ED523" s="29"/>
      <c r="EE523" s="1504">
        <v>50375</v>
      </c>
      <c r="EF523" s="19"/>
      <c r="EG523" s="93"/>
      <c r="EH523" s="93"/>
      <c r="EI523" s="214"/>
      <c r="EJ523" s="93"/>
      <c r="EK523" s="93"/>
      <c r="EL523" s="93"/>
      <c r="EM523" s="93"/>
      <c r="EN523" s="20"/>
      <c r="EO523" s="29"/>
      <c r="EP523" s="1504">
        <v>50375</v>
      </c>
      <c r="EQ523" s="19"/>
      <c r="ER523" s="93"/>
      <c r="ES523" s="93"/>
      <c r="ET523" s="214"/>
      <c r="EU523" s="93"/>
      <c r="EV523" s="93"/>
      <c r="EW523" s="93"/>
      <c r="EX523" s="93"/>
      <c r="EY523" s="20"/>
      <c r="EZ523" s="29"/>
      <c r="FA523" s="1504">
        <v>50375</v>
      </c>
      <c r="FB523" s="29"/>
      <c r="FC523" s="29"/>
      <c r="FD523" s="29"/>
      <c r="FE523" s="29"/>
      <c r="FF523" s="29"/>
      <c r="FG523" s="29"/>
      <c r="FH523" s="29"/>
      <c r="FI523" s="29"/>
      <c r="FJ523" s="29"/>
      <c r="FK523" s="29"/>
      <c r="FL523" s="1504">
        <v>50375</v>
      </c>
      <c r="FM523" s="19"/>
      <c r="FN523" s="93"/>
      <c r="FO523" s="93"/>
      <c r="FP523" s="93"/>
      <c r="FQ523" s="93"/>
      <c r="FR523" s="93"/>
      <c r="FS523" s="93"/>
      <c r="FT523" s="93"/>
      <c r="FU523" s="93"/>
      <c r="FV523" s="93"/>
      <c r="FW523" s="93"/>
      <c r="FX523" s="93"/>
      <c r="FY523" s="93"/>
      <c r="FZ523" s="29"/>
      <c r="GA523" s="1504">
        <v>50375</v>
      </c>
      <c r="GB523" s="19"/>
      <c r="GC523" s="93"/>
      <c r="GD523" s="93"/>
      <c r="GE523" s="93"/>
      <c r="GF523" s="93"/>
      <c r="GG523" s="93"/>
      <c r="GH523" s="93"/>
      <c r="GI523" s="93"/>
      <c r="GJ523" s="93"/>
      <c r="GK523" s="93"/>
      <c r="GL523" s="93"/>
      <c r="GM523" s="93"/>
      <c r="GN523" s="20"/>
      <c r="GO523" s="29"/>
      <c r="GP523" s="1504">
        <v>50375</v>
      </c>
      <c r="GQ523" s="19"/>
      <c r="GR523" s="93"/>
      <c r="GS523" s="93"/>
      <c r="GT523" s="93"/>
      <c r="GU523" s="93"/>
      <c r="GV523" s="20"/>
      <c r="GW523" s="19"/>
      <c r="GX523" s="93"/>
      <c r="GY523" s="93"/>
      <c r="GZ523" s="93"/>
      <c r="HA523" s="93"/>
      <c r="HB523" s="20"/>
      <c r="HC523" s="19"/>
      <c r="HD523" s="93"/>
      <c r="HE523" s="93"/>
      <c r="HF523" s="93"/>
      <c r="HG523" s="93"/>
      <c r="HH523" s="20"/>
      <c r="HI523" s="19"/>
      <c r="HJ523" s="93"/>
      <c r="HK523" s="93"/>
      <c r="HL523" s="93"/>
      <c r="HM523" s="93"/>
      <c r="HN523" s="20"/>
      <c r="HO523" s="219"/>
      <c r="HP523" s="20"/>
      <c r="HQ523" s="25"/>
      <c r="HR523" s="29"/>
      <c r="HS523" s="1504">
        <v>50375</v>
      </c>
      <c r="HT523" s="19"/>
      <c r="HU523" s="93"/>
      <c r="HV523" s="93"/>
      <c r="HW523" s="93"/>
      <c r="HX523" s="93"/>
      <c r="HY523" s="93"/>
      <c r="HZ523" s="93"/>
      <c r="IA523" s="20"/>
      <c r="IB523" s="19"/>
      <c r="IC523" s="93"/>
      <c r="ID523" s="93"/>
      <c r="IE523" s="93"/>
      <c r="IF523" s="93"/>
      <c r="IG523" s="20"/>
      <c r="IH523" s="19"/>
      <c r="II523" s="93"/>
      <c r="IJ523" s="93"/>
      <c r="IK523" s="93"/>
      <c r="IL523" s="93"/>
      <c r="IM523" s="93"/>
      <c r="IN523" s="93"/>
      <c r="IO523" s="20"/>
      <c r="IP523" s="29"/>
      <c r="IQ523" s="19"/>
      <c r="IR523" s="93"/>
      <c r="IS523" s="93"/>
      <c r="IT523" s="93"/>
      <c r="IU523" s="93"/>
      <c r="IV523" s="20"/>
      <c r="IW523" s="29"/>
      <c r="IX523" s="19"/>
      <c r="IY523" s="93"/>
      <c r="IZ523" s="93"/>
      <c r="JA523" s="93"/>
      <c r="JB523" s="93"/>
      <c r="JC523" s="93"/>
      <c r="JD523" s="93"/>
      <c r="JE523" s="20"/>
      <c r="JF523" s="29"/>
      <c r="JG523" s="19"/>
      <c r="JH523" s="93"/>
      <c r="JI523" s="93"/>
      <c r="JJ523" s="93"/>
      <c r="JK523" s="93"/>
      <c r="JL523" s="93"/>
      <c r="JM523" s="93"/>
      <c r="JN523" s="20"/>
      <c r="JO523" s="29"/>
      <c r="JP523" s="19"/>
      <c r="JQ523" s="93"/>
      <c r="JR523" s="93"/>
      <c r="JS523" s="93"/>
      <c r="JT523" s="93"/>
      <c r="JU523" s="20"/>
      <c r="JV523" s="29"/>
      <c r="JW523" s="1504">
        <v>50375</v>
      </c>
      <c r="JX523" s="19"/>
      <c r="JY523" s="93"/>
      <c r="JZ523" s="93"/>
      <c r="KA523" s="93"/>
      <c r="KB523" s="93"/>
      <c r="KC523" s="93"/>
      <c r="KD523" s="20"/>
      <c r="KE523" s="29"/>
      <c r="KF523" s="19"/>
      <c r="KG523" s="93"/>
      <c r="KH523" s="93"/>
      <c r="KI523" s="93"/>
      <c r="KJ523" s="93"/>
      <c r="KK523" s="20"/>
      <c r="KL523" s="29"/>
      <c r="KM523" s="19"/>
      <c r="KN523" s="93"/>
      <c r="KO523" s="93"/>
      <c r="KP523" s="93"/>
      <c r="KQ523" s="93"/>
      <c r="KR523" s="20"/>
      <c r="KS523" s="29"/>
      <c r="KT523" s="19"/>
      <c r="KU523" s="93"/>
      <c r="KV523" s="93"/>
      <c r="KW523" s="93"/>
      <c r="KX523" s="93"/>
      <c r="KY523" s="20"/>
      <c r="KZ523" s="29"/>
      <c r="LA523" s="1504">
        <v>50375</v>
      </c>
      <c r="LB523" s="19"/>
      <c r="LC523" s="93"/>
      <c r="LD523" s="93"/>
      <c r="LE523" s="93"/>
      <c r="LF523" s="93"/>
      <c r="LG523" s="93"/>
      <c r="LH523" s="20"/>
      <c r="LI523" s="29"/>
      <c r="LJ523" s="19"/>
      <c r="LK523" s="93"/>
      <c r="LL523" s="93"/>
      <c r="LM523" s="93"/>
      <c r="LN523" s="93"/>
      <c r="LO523" s="20"/>
      <c r="LP523" s="29"/>
      <c r="LQ523" s="19"/>
      <c r="LR523" s="93"/>
      <c r="LS523" s="93"/>
      <c r="LT523" s="93"/>
      <c r="LU523" s="93"/>
      <c r="LV523" s="93"/>
      <c r="LW523" s="93"/>
      <c r="LX523" s="93"/>
      <c r="LY523" s="93"/>
      <c r="LZ523" s="93"/>
      <c r="MA523" s="20"/>
      <c r="MB523" s="29"/>
      <c r="MC523" s="1504">
        <v>50375</v>
      </c>
      <c r="MD523" s="19"/>
      <c r="ME523" s="93"/>
      <c r="MF523" s="93"/>
      <c r="MG523" s="93"/>
      <c r="MH523" s="93"/>
      <c r="MI523" s="93"/>
      <c r="MJ523" s="93"/>
      <c r="MK523" s="93"/>
      <c r="ML523" s="93"/>
      <c r="MM523" s="93"/>
      <c r="MN523" s="93"/>
      <c r="MO523" s="93"/>
      <c r="MP523" s="93"/>
      <c r="MQ523" s="93"/>
      <c r="MR523" s="93"/>
      <c r="MS523" s="93"/>
      <c r="MT523" s="93"/>
      <c r="MU523" s="93"/>
      <c r="MV523" s="93"/>
      <c r="MW523" s="93"/>
      <c r="MX523" s="93"/>
      <c r="MY523" s="93"/>
      <c r="MZ523" s="93"/>
      <c r="NA523" s="93"/>
      <c r="NB523" s="93"/>
      <c r="NC523" s="93"/>
      <c r="ND523" s="93"/>
      <c r="NE523" s="93"/>
      <c r="NF523" s="93"/>
      <c r="NG523" s="93"/>
      <c r="NH523" s="93"/>
      <c r="NI523" s="93"/>
      <c r="NJ523" s="93"/>
      <c r="NK523" s="93"/>
      <c r="NL523" s="93"/>
      <c r="NM523" s="93"/>
      <c r="NN523" s="93"/>
      <c r="NO523" s="93"/>
      <c r="NP523" s="93"/>
      <c r="NQ523" s="93"/>
      <c r="NR523" s="93"/>
      <c r="NS523" s="93"/>
      <c r="NT523" s="93"/>
      <c r="NU523" s="93"/>
      <c r="NV523" s="93"/>
      <c r="NW523" s="93"/>
      <c r="NX523" s="93"/>
      <c r="NY523" s="93"/>
      <c r="NZ523" s="93"/>
      <c r="OA523" s="93"/>
      <c r="OB523" s="93"/>
      <c r="OC523" s="93"/>
      <c r="OD523" s="20"/>
      <c r="OE523" s="29"/>
      <c r="OF523" s="1504">
        <v>50375</v>
      </c>
      <c r="OG523" s="19"/>
      <c r="OH523" s="93"/>
      <c r="OI523" s="93"/>
      <c r="OJ523" s="93"/>
      <c r="OK523" s="93"/>
      <c r="OL523" s="93"/>
      <c r="OM523" s="93"/>
      <c r="ON523" s="93"/>
      <c r="OO523" s="93"/>
      <c r="OP523" s="93"/>
      <c r="OQ523" s="93"/>
      <c r="OR523" s="93"/>
      <c r="OS523" s="93"/>
      <c r="OT523" s="93"/>
      <c r="OU523" s="93"/>
      <c r="OV523" s="93"/>
      <c r="OW523" s="93"/>
      <c r="OX523" s="93"/>
      <c r="OY523" s="93"/>
      <c r="OZ523" s="93"/>
      <c r="PA523" s="93"/>
      <c r="PB523" s="93"/>
      <c r="PC523" s="20"/>
      <c r="PD523" s="29"/>
      <c r="PE523" s="19"/>
      <c r="PF523" s="93"/>
      <c r="PG523" s="93"/>
      <c r="PH523" s="93"/>
      <c r="PI523" s="93"/>
      <c r="PJ523" s="93"/>
      <c r="PK523" s="93"/>
      <c r="PL523" s="93"/>
      <c r="PM523" s="93"/>
      <c r="PN523" s="93"/>
      <c r="PO523" s="93"/>
      <c r="PP523" s="93"/>
      <c r="PQ523" s="93"/>
      <c r="PR523" s="93"/>
      <c r="PS523" s="93"/>
      <c r="PT523" s="93"/>
      <c r="PU523" s="93"/>
      <c r="PV523" s="93"/>
      <c r="PW523" s="93"/>
      <c r="PX523" s="93"/>
      <c r="PY523" s="93"/>
      <c r="PZ523" s="93"/>
      <c r="QA523" s="93"/>
      <c r="QB523" s="93"/>
      <c r="QC523" s="93"/>
      <c r="QD523" s="93"/>
      <c r="QE523" s="20"/>
      <c r="QF523" s="1739"/>
      <c r="QG523" s="19"/>
      <c r="QH523" s="93"/>
      <c r="QI523" s="93"/>
      <c r="QJ523" s="93"/>
      <c r="QK523" s="93"/>
      <c r="QL523" s="93"/>
      <c r="QM523" s="93"/>
      <c r="QN523" s="93"/>
      <c r="QO523" s="93"/>
      <c r="QP523" s="93"/>
      <c r="QQ523" s="93"/>
      <c r="QR523" s="93"/>
      <c r="QS523" s="93"/>
      <c r="QT523" s="93"/>
      <c r="QU523" s="93"/>
      <c r="QV523" s="93"/>
      <c r="QW523" s="93"/>
      <c r="QX523" s="93"/>
      <c r="QY523" s="93"/>
      <c r="QZ523" s="93"/>
      <c r="RA523" s="93"/>
      <c r="RB523" s="93"/>
      <c r="RC523" s="93"/>
      <c r="RD523" s="93"/>
      <c r="RE523" s="93"/>
      <c r="RF523" s="93"/>
      <c r="RG523" s="93"/>
      <c r="RH523" s="93"/>
      <c r="RI523" s="93"/>
      <c r="RJ523" s="93"/>
      <c r="RK523" s="93"/>
      <c r="RL523" s="93"/>
      <c r="RM523" s="20"/>
      <c r="RN523" s="29"/>
      <c r="RO523" s="19"/>
      <c r="RP523" s="20"/>
      <c r="RQ523" s="29"/>
      <c r="RR523" s="20"/>
      <c r="RS523" s="29"/>
      <c r="RT523" s="1504">
        <v>50375</v>
      </c>
      <c r="RU523" s="19"/>
      <c r="RV523" s="20"/>
      <c r="RW523" s="29"/>
      <c r="RX523" s="1504">
        <v>50375</v>
      </c>
      <c r="RY523" s="29"/>
      <c r="RZ523" s="20"/>
      <c r="SA523" s="29"/>
      <c r="SB523" s="29"/>
    </row>
    <row r="524" spans="1:496">
      <c r="A524" s="41">
        <f t="shared" si="360"/>
        <v>2038</v>
      </c>
      <c r="B524" s="1504">
        <v>50406</v>
      </c>
      <c r="C524" s="1813"/>
      <c r="D524" s="1814"/>
      <c r="E524" s="1814"/>
      <c r="F524" s="1815"/>
      <c r="G524" s="1814"/>
      <c r="H524" s="1814"/>
      <c r="I524" s="1814"/>
      <c r="J524" s="1816"/>
      <c r="K524" s="1807"/>
      <c r="L524" s="25"/>
      <c r="M524" s="97"/>
      <c r="N524" s="1504">
        <v>50406</v>
      </c>
      <c r="O524" s="19"/>
      <c r="P524" s="93"/>
      <c r="Q524" s="93"/>
      <c r="R524" s="93"/>
      <c r="S524" s="93"/>
      <c r="T524" s="93"/>
      <c r="U524" s="93"/>
      <c r="V524" s="93"/>
      <c r="W524" s="93"/>
      <c r="X524" s="93"/>
      <c r="Y524" s="93"/>
      <c r="Z524" s="93"/>
      <c r="AA524" s="93"/>
      <c r="AB524" s="20"/>
      <c r="AC524" s="25"/>
      <c r="AD524" s="97"/>
      <c r="AE524" s="1504">
        <v>50406</v>
      </c>
      <c r="AF524" s="19"/>
      <c r="AG524" s="93"/>
      <c r="AH524" s="93"/>
      <c r="AI524" s="93"/>
      <c r="AJ524" s="93"/>
      <c r="AK524" s="93"/>
      <c r="AL524" s="93"/>
      <c r="AM524" s="93"/>
      <c r="AN524" s="93"/>
      <c r="AO524" s="93"/>
      <c r="AP524" s="93"/>
      <c r="AQ524" s="93"/>
      <c r="AR524" s="93"/>
      <c r="AS524" s="20"/>
      <c r="AT524" s="25"/>
      <c r="AU524" s="97"/>
      <c r="AV524" s="1504">
        <v>50406</v>
      </c>
      <c r="AW524" s="19"/>
      <c r="AX524" s="93"/>
      <c r="AY524" s="93"/>
      <c r="AZ524" s="93"/>
      <c r="BA524" s="93"/>
      <c r="BB524" s="93"/>
      <c r="BC524" s="93"/>
      <c r="BD524" s="93"/>
      <c r="BE524" s="93"/>
      <c r="BF524" s="93"/>
      <c r="BG524" s="93"/>
      <c r="BH524" s="93"/>
      <c r="BI524" s="93"/>
      <c r="BJ524" s="20"/>
      <c r="BK524" s="25"/>
      <c r="BL524" s="97"/>
      <c r="BM524" s="1504">
        <v>50406</v>
      </c>
      <c r="BN524" s="19"/>
      <c r="BO524" s="93"/>
      <c r="BP524" s="93"/>
      <c r="BQ524" s="93"/>
      <c r="BR524" s="93"/>
      <c r="BS524" s="93"/>
      <c r="BT524" s="93"/>
      <c r="BU524" s="20"/>
      <c r="BV524" s="25"/>
      <c r="BW524" s="97"/>
      <c r="BX524" s="1504">
        <v>50406</v>
      </c>
      <c r="BY524" s="19"/>
      <c r="BZ524" s="93"/>
      <c r="CA524" s="93"/>
      <c r="CB524" s="93"/>
      <c r="CC524" s="93"/>
      <c r="CD524" s="25"/>
      <c r="CE524" s="97"/>
      <c r="CF524" s="1504">
        <v>50406</v>
      </c>
      <c r="CG524" s="19"/>
      <c r="CH524" s="93"/>
      <c r="CI524" s="219"/>
      <c r="CJ524" s="20"/>
      <c r="CK524" s="19"/>
      <c r="CL524" s="93"/>
      <c r="CM524" s="93"/>
      <c r="CN524" s="93"/>
      <c r="CO524" s="93"/>
      <c r="CP524" s="20"/>
      <c r="CQ524" s="219"/>
      <c r="CR524" s="93"/>
      <c r="CS524" s="93"/>
      <c r="CT524" s="93"/>
      <c r="CU524" s="93"/>
      <c r="CV524" s="214"/>
      <c r="CW524" s="29"/>
      <c r="CX524" s="41">
        <f t="shared" si="361"/>
        <v>2038</v>
      </c>
      <c r="CY524" s="1504">
        <v>50406</v>
      </c>
      <c r="CZ524" s="19"/>
      <c r="DA524" s="93"/>
      <c r="DB524" s="93"/>
      <c r="DC524" s="93"/>
      <c r="DD524" s="93"/>
      <c r="DE524" s="20"/>
      <c r="DF524" s="29"/>
      <c r="DG524" s="1504">
        <v>50406</v>
      </c>
      <c r="DH524" s="19"/>
      <c r="DI524" s="93"/>
      <c r="DJ524" s="93"/>
      <c r="DK524" s="93"/>
      <c r="DL524" s="93"/>
      <c r="DM524" s="93"/>
      <c r="DN524" s="20"/>
      <c r="DO524" s="295"/>
      <c r="DP524" s="29"/>
      <c r="DQ524" s="1504">
        <v>50406</v>
      </c>
      <c r="DR524" s="19"/>
      <c r="DS524" s="93"/>
      <c r="DT524" s="93"/>
      <c r="DU524" s="93"/>
      <c r="DV524" s="93"/>
      <c r="DW524" s="93"/>
      <c r="DX524" s="20"/>
      <c r="DY524" s="29"/>
      <c r="DZ524" s="1504">
        <v>50406</v>
      </c>
      <c r="EA524" s="19"/>
      <c r="EB524" s="93"/>
      <c r="EC524" s="20"/>
      <c r="ED524" s="29"/>
      <c r="EE524" s="1504">
        <v>50406</v>
      </c>
      <c r="EF524" s="19"/>
      <c r="EG524" s="93"/>
      <c r="EH524" s="93"/>
      <c r="EI524" s="214"/>
      <c r="EJ524" s="93"/>
      <c r="EK524" s="93"/>
      <c r="EL524" s="93"/>
      <c r="EM524" s="93"/>
      <c r="EN524" s="20"/>
      <c r="EO524" s="29"/>
      <c r="EP524" s="1504">
        <v>50406</v>
      </c>
      <c r="EQ524" s="19"/>
      <c r="ER524" s="93"/>
      <c r="ES524" s="93"/>
      <c r="ET524" s="214"/>
      <c r="EU524" s="93"/>
      <c r="EV524" s="93"/>
      <c r="EW524" s="93"/>
      <c r="EX524" s="93"/>
      <c r="EY524" s="20"/>
      <c r="EZ524" s="29"/>
      <c r="FA524" s="1504">
        <v>50406</v>
      </c>
      <c r="FB524" s="29"/>
      <c r="FC524" s="29"/>
      <c r="FD524" s="29"/>
      <c r="FE524" s="29"/>
      <c r="FF524" s="29"/>
      <c r="FG524" s="29"/>
      <c r="FH524" s="29"/>
      <c r="FI524" s="29"/>
      <c r="FJ524" s="29"/>
      <c r="FK524" s="29"/>
      <c r="FL524" s="1504">
        <v>50406</v>
      </c>
      <c r="FM524" s="19"/>
      <c r="FN524" s="93"/>
      <c r="FO524" s="93"/>
      <c r="FP524" s="93"/>
      <c r="FQ524" s="93"/>
      <c r="FR524" s="93"/>
      <c r="FS524" s="93"/>
      <c r="FT524" s="93"/>
      <c r="FU524" s="93"/>
      <c r="FV524" s="93"/>
      <c r="FW524" s="93"/>
      <c r="FX524" s="93"/>
      <c r="FY524" s="93"/>
      <c r="FZ524" s="29"/>
      <c r="GA524" s="1504">
        <v>50406</v>
      </c>
      <c r="GB524" s="19"/>
      <c r="GC524" s="93"/>
      <c r="GD524" s="93"/>
      <c r="GE524" s="93"/>
      <c r="GF524" s="93"/>
      <c r="GG524" s="93"/>
      <c r="GH524" s="93"/>
      <c r="GI524" s="93"/>
      <c r="GJ524" s="93"/>
      <c r="GK524" s="93"/>
      <c r="GL524" s="93"/>
      <c r="GM524" s="93"/>
      <c r="GN524" s="20"/>
      <c r="GO524" s="29"/>
      <c r="GP524" s="1504">
        <v>50406</v>
      </c>
      <c r="GQ524" s="19"/>
      <c r="GR524" s="93"/>
      <c r="GS524" s="93"/>
      <c r="GT524" s="93"/>
      <c r="GU524" s="93"/>
      <c r="GV524" s="20"/>
      <c r="GW524" s="19"/>
      <c r="GX524" s="93"/>
      <c r="GY524" s="93"/>
      <c r="GZ524" s="93"/>
      <c r="HA524" s="93"/>
      <c r="HB524" s="20"/>
      <c r="HC524" s="19"/>
      <c r="HD524" s="93"/>
      <c r="HE524" s="93"/>
      <c r="HF524" s="93"/>
      <c r="HG524" s="93"/>
      <c r="HH524" s="20"/>
      <c r="HI524" s="19"/>
      <c r="HJ524" s="93"/>
      <c r="HK524" s="93"/>
      <c r="HL524" s="93"/>
      <c r="HM524" s="93"/>
      <c r="HN524" s="20"/>
      <c r="HO524" s="219"/>
      <c r="HP524" s="20"/>
      <c r="HQ524" s="25"/>
      <c r="HR524" s="29"/>
      <c r="HS524" s="1504">
        <v>50406</v>
      </c>
      <c r="HT524" s="19"/>
      <c r="HU524" s="93"/>
      <c r="HV524" s="93"/>
      <c r="HW524" s="93"/>
      <c r="HX524" s="93"/>
      <c r="HY524" s="93"/>
      <c r="HZ524" s="93"/>
      <c r="IA524" s="20"/>
      <c r="IB524" s="19"/>
      <c r="IC524" s="93"/>
      <c r="ID524" s="93"/>
      <c r="IE524" s="93"/>
      <c r="IF524" s="93"/>
      <c r="IG524" s="20"/>
      <c r="IH524" s="19"/>
      <c r="II524" s="93"/>
      <c r="IJ524" s="93"/>
      <c r="IK524" s="93"/>
      <c r="IL524" s="93"/>
      <c r="IM524" s="93"/>
      <c r="IN524" s="93"/>
      <c r="IO524" s="20"/>
      <c r="IP524" s="29"/>
      <c r="IQ524" s="19"/>
      <c r="IR524" s="93"/>
      <c r="IS524" s="93"/>
      <c r="IT524" s="93"/>
      <c r="IU524" s="93"/>
      <c r="IV524" s="20"/>
      <c r="IW524" s="29"/>
      <c r="IX524" s="19"/>
      <c r="IY524" s="93"/>
      <c r="IZ524" s="93"/>
      <c r="JA524" s="93"/>
      <c r="JB524" s="93"/>
      <c r="JC524" s="93"/>
      <c r="JD524" s="93"/>
      <c r="JE524" s="20"/>
      <c r="JF524" s="29"/>
      <c r="JG524" s="19"/>
      <c r="JH524" s="93"/>
      <c r="JI524" s="93"/>
      <c r="JJ524" s="93"/>
      <c r="JK524" s="93"/>
      <c r="JL524" s="93"/>
      <c r="JM524" s="93"/>
      <c r="JN524" s="20"/>
      <c r="JO524" s="29"/>
      <c r="JP524" s="19"/>
      <c r="JQ524" s="93"/>
      <c r="JR524" s="93"/>
      <c r="JS524" s="93"/>
      <c r="JT524" s="93"/>
      <c r="JU524" s="20"/>
      <c r="JV524" s="29"/>
      <c r="JW524" s="1504">
        <v>50406</v>
      </c>
      <c r="JX524" s="19"/>
      <c r="JY524" s="93"/>
      <c r="JZ524" s="93"/>
      <c r="KA524" s="93"/>
      <c r="KB524" s="93"/>
      <c r="KC524" s="93"/>
      <c r="KD524" s="20"/>
      <c r="KE524" s="29"/>
      <c r="KF524" s="19"/>
      <c r="KG524" s="93"/>
      <c r="KH524" s="93"/>
      <c r="KI524" s="93"/>
      <c r="KJ524" s="93"/>
      <c r="KK524" s="20"/>
      <c r="KL524" s="29"/>
      <c r="KM524" s="19"/>
      <c r="KN524" s="93"/>
      <c r="KO524" s="93"/>
      <c r="KP524" s="93"/>
      <c r="KQ524" s="93"/>
      <c r="KR524" s="20"/>
      <c r="KS524" s="29"/>
      <c r="KT524" s="19"/>
      <c r="KU524" s="93"/>
      <c r="KV524" s="93"/>
      <c r="KW524" s="93"/>
      <c r="KX524" s="93"/>
      <c r="KY524" s="20"/>
      <c r="KZ524" s="29"/>
      <c r="LA524" s="1504">
        <v>50406</v>
      </c>
      <c r="LB524" s="19"/>
      <c r="LC524" s="93"/>
      <c r="LD524" s="93"/>
      <c r="LE524" s="93"/>
      <c r="LF524" s="93"/>
      <c r="LG524" s="93"/>
      <c r="LH524" s="20"/>
      <c r="LI524" s="29"/>
      <c r="LJ524" s="19"/>
      <c r="LK524" s="93"/>
      <c r="LL524" s="93"/>
      <c r="LM524" s="93"/>
      <c r="LN524" s="93"/>
      <c r="LO524" s="20"/>
      <c r="LP524" s="29"/>
      <c r="LQ524" s="19"/>
      <c r="LR524" s="93"/>
      <c r="LS524" s="93"/>
      <c r="LT524" s="93"/>
      <c r="LU524" s="93"/>
      <c r="LV524" s="93"/>
      <c r="LW524" s="93"/>
      <c r="LX524" s="93"/>
      <c r="LY524" s="93"/>
      <c r="LZ524" s="93"/>
      <c r="MA524" s="20"/>
      <c r="MB524" s="29"/>
      <c r="MC524" s="1504">
        <v>50406</v>
      </c>
      <c r="MD524" s="19"/>
      <c r="ME524" s="93"/>
      <c r="MF524" s="93"/>
      <c r="MG524" s="93"/>
      <c r="MH524" s="93"/>
      <c r="MI524" s="93"/>
      <c r="MJ524" s="93"/>
      <c r="MK524" s="93"/>
      <c r="ML524" s="93"/>
      <c r="MM524" s="93"/>
      <c r="MN524" s="93"/>
      <c r="MO524" s="93"/>
      <c r="MP524" s="93"/>
      <c r="MQ524" s="93"/>
      <c r="MR524" s="93"/>
      <c r="MS524" s="93"/>
      <c r="MT524" s="93"/>
      <c r="MU524" s="93"/>
      <c r="MV524" s="93"/>
      <c r="MW524" s="93"/>
      <c r="MX524" s="93"/>
      <c r="MY524" s="93"/>
      <c r="MZ524" s="93"/>
      <c r="NA524" s="93"/>
      <c r="NB524" s="93"/>
      <c r="NC524" s="93"/>
      <c r="ND524" s="93"/>
      <c r="NE524" s="93"/>
      <c r="NF524" s="93"/>
      <c r="NG524" s="93"/>
      <c r="NH524" s="93"/>
      <c r="NI524" s="93"/>
      <c r="NJ524" s="93"/>
      <c r="NK524" s="93"/>
      <c r="NL524" s="93"/>
      <c r="NM524" s="93"/>
      <c r="NN524" s="93"/>
      <c r="NO524" s="93"/>
      <c r="NP524" s="93"/>
      <c r="NQ524" s="93"/>
      <c r="NR524" s="93"/>
      <c r="NS524" s="93"/>
      <c r="NT524" s="93"/>
      <c r="NU524" s="93"/>
      <c r="NV524" s="93"/>
      <c r="NW524" s="93"/>
      <c r="NX524" s="93"/>
      <c r="NY524" s="93"/>
      <c r="NZ524" s="93"/>
      <c r="OA524" s="93"/>
      <c r="OB524" s="93"/>
      <c r="OC524" s="93"/>
      <c r="OD524" s="20"/>
      <c r="OE524" s="29"/>
      <c r="OF524" s="1504">
        <v>50406</v>
      </c>
      <c r="OG524" s="19"/>
      <c r="OH524" s="93"/>
      <c r="OI524" s="93"/>
      <c r="OJ524" s="93"/>
      <c r="OK524" s="93"/>
      <c r="OL524" s="93"/>
      <c r="OM524" s="93"/>
      <c r="ON524" s="93"/>
      <c r="OO524" s="93"/>
      <c r="OP524" s="93"/>
      <c r="OQ524" s="93"/>
      <c r="OR524" s="93"/>
      <c r="OS524" s="93"/>
      <c r="OT524" s="93"/>
      <c r="OU524" s="93"/>
      <c r="OV524" s="93"/>
      <c r="OW524" s="93"/>
      <c r="OX524" s="93"/>
      <c r="OY524" s="93"/>
      <c r="OZ524" s="93"/>
      <c r="PA524" s="93"/>
      <c r="PB524" s="93"/>
      <c r="PC524" s="20"/>
      <c r="PD524" s="29"/>
      <c r="PE524" s="19"/>
      <c r="PF524" s="93"/>
      <c r="PG524" s="93"/>
      <c r="PH524" s="93"/>
      <c r="PI524" s="93"/>
      <c r="PJ524" s="93"/>
      <c r="PK524" s="93"/>
      <c r="PL524" s="93"/>
      <c r="PM524" s="93"/>
      <c r="PN524" s="93"/>
      <c r="PO524" s="93"/>
      <c r="PP524" s="93"/>
      <c r="PQ524" s="93"/>
      <c r="PR524" s="93"/>
      <c r="PS524" s="93"/>
      <c r="PT524" s="93"/>
      <c r="PU524" s="93"/>
      <c r="PV524" s="93"/>
      <c r="PW524" s="93"/>
      <c r="PX524" s="93"/>
      <c r="PY524" s="93"/>
      <c r="PZ524" s="93"/>
      <c r="QA524" s="93"/>
      <c r="QB524" s="93"/>
      <c r="QC524" s="93"/>
      <c r="QD524" s="93"/>
      <c r="QE524" s="20"/>
      <c r="QF524" s="1739"/>
      <c r="QG524" s="19"/>
      <c r="QH524" s="93"/>
      <c r="QI524" s="93"/>
      <c r="QJ524" s="93"/>
      <c r="QK524" s="93"/>
      <c r="QL524" s="93"/>
      <c r="QM524" s="93"/>
      <c r="QN524" s="93"/>
      <c r="QO524" s="93"/>
      <c r="QP524" s="93"/>
      <c r="QQ524" s="93"/>
      <c r="QR524" s="93"/>
      <c r="QS524" s="93"/>
      <c r="QT524" s="93"/>
      <c r="QU524" s="93"/>
      <c r="QV524" s="93"/>
      <c r="QW524" s="93"/>
      <c r="QX524" s="93"/>
      <c r="QY524" s="93"/>
      <c r="QZ524" s="93"/>
      <c r="RA524" s="93"/>
      <c r="RB524" s="93"/>
      <c r="RC524" s="93"/>
      <c r="RD524" s="93"/>
      <c r="RE524" s="93"/>
      <c r="RF524" s="93"/>
      <c r="RG524" s="93"/>
      <c r="RH524" s="93"/>
      <c r="RI524" s="93"/>
      <c r="RJ524" s="93"/>
      <c r="RK524" s="93"/>
      <c r="RL524" s="93"/>
      <c r="RM524" s="20"/>
      <c r="RN524" s="29"/>
      <c r="RO524" s="19"/>
      <c r="RP524" s="20"/>
      <c r="RQ524" s="29"/>
      <c r="RR524" s="20"/>
      <c r="RS524" s="29"/>
      <c r="RT524" s="1504">
        <v>50406</v>
      </c>
      <c r="RU524" s="19"/>
      <c r="RV524" s="20"/>
      <c r="RW524" s="29"/>
      <c r="RX524" s="1504">
        <v>50406</v>
      </c>
      <c r="RY524" s="29"/>
      <c r="RZ524" s="20"/>
      <c r="SA524" s="29"/>
      <c r="SB524" s="29"/>
    </row>
    <row r="525" spans="1:496">
      <c r="A525" s="41">
        <f t="shared" si="360"/>
        <v>2038</v>
      </c>
      <c r="B525" s="1504">
        <v>50437</v>
      </c>
      <c r="C525" s="1813"/>
      <c r="D525" s="1814"/>
      <c r="E525" s="1814"/>
      <c r="F525" s="1815"/>
      <c r="G525" s="1814"/>
      <c r="H525" s="1814"/>
      <c r="I525" s="1814"/>
      <c r="J525" s="1816"/>
      <c r="K525" s="1807"/>
      <c r="L525" s="25"/>
      <c r="M525" s="97"/>
      <c r="N525" s="1504">
        <v>50437</v>
      </c>
      <c r="O525" s="19"/>
      <c r="P525" s="93"/>
      <c r="Q525" s="93"/>
      <c r="R525" s="93"/>
      <c r="S525" s="93"/>
      <c r="T525" s="93"/>
      <c r="U525" s="93"/>
      <c r="V525" s="93"/>
      <c r="W525" s="93"/>
      <c r="X525" s="93"/>
      <c r="Y525" s="93"/>
      <c r="Z525" s="93"/>
      <c r="AA525" s="93"/>
      <c r="AB525" s="20"/>
      <c r="AC525" s="25"/>
      <c r="AD525" s="97"/>
      <c r="AE525" s="1504">
        <v>50437</v>
      </c>
      <c r="AF525" s="19"/>
      <c r="AG525" s="93"/>
      <c r="AH525" s="93"/>
      <c r="AI525" s="93"/>
      <c r="AJ525" s="93"/>
      <c r="AK525" s="93"/>
      <c r="AL525" s="93"/>
      <c r="AM525" s="93"/>
      <c r="AN525" s="93"/>
      <c r="AO525" s="93"/>
      <c r="AP525" s="93"/>
      <c r="AQ525" s="93"/>
      <c r="AR525" s="93"/>
      <c r="AS525" s="20"/>
      <c r="AT525" s="25"/>
      <c r="AU525" s="97"/>
      <c r="AV525" s="1504">
        <v>50437</v>
      </c>
      <c r="AW525" s="19"/>
      <c r="AX525" s="93"/>
      <c r="AY525" s="93"/>
      <c r="AZ525" s="93"/>
      <c r="BA525" s="93"/>
      <c r="BB525" s="93"/>
      <c r="BC525" s="93"/>
      <c r="BD525" s="93"/>
      <c r="BE525" s="93"/>
      <c r="BF525" s="93"/>
      <c r="BG525" s="93"/>
      <c r="BH525" s="93"/>
      <c r="BI525" s="93"/>
      <c r="BJ525" s="20"/>
      <c r="BK525" s="25"/>
      <c r="BL525" s="97"/>
      <c r="BM525" s="1504">
        <v>50437</v>
      </c>
      <c r="BN525" s="19"/>
      <c r="BO525" s="93"/>
      <c r="BP525" s="93"/>
      <c r="BQ525" s="93"/>
      <c r="BR525" s="93"/>
      <c r="BS525" s="93"/>
      <c r="BT525" s="93"/>
      <c r="BU525" s="20"/>
      <c r="BV525" s="25"/>
      <c r="BW525" s="97"/>
      <c r="BX525" s="1504">
        <v>50437</v>
      </c>
      <c r="BY525" s="19"/>
      <c r="BZ525" s="93"/>
      <c r="CA525" s="93"/>
      <c r="CB525" s="93"/>
      <c r="CC525" s="93"/>
      <c r="CD525" s="25"/>
      <c r="CE525" s="97"/>
      <c r="CF525" s="1504">
        <v>50437</v>
      </c>
      <c r="CG525" s="19"/>
      <c r="CH525" s="93"/>
      <c r="CI525" s="219"/>
      <c r="CJ525" s="20"/>
      <c r="CK525" s="19"/>
      <c r="CL525" s="93"/>
      <c r="CM525" s="93"/>
      <c r="CN525" s="93"/>
      <c r="CO525" s="93"/>
      <c r="CP525" s="20"/>
      <c r="CQ525" s="219"/>
      <c r="CR525" s="93"/>
      <c r="CS525" s="93"/>
      <c r="CT525" s="93"/>
      <c r="CU525" s="93"/>
      <c r="CV525" s="214"/>
      <c r="CW525" s="29"/>
      <c r="CX525" s="41">
        <f t="shared" si="361"/>
        <v>2038</v>
      </c>
      <c r="CY525" s="1504">
        <v>50437</v>
      </c>
      <c r="CZ525" s="19"/>
      <c r="DA525" s="93"/>
      <c r="DB525" s="93"/>
      <c r="DC525" s="93"/>
      <c r="DD525" s="93"/>
      <c r="DE525" s="20"/>
      <c r="DF525" s="29"/>
      <c r="DG525" s="1504">
        <v>50437</v>
      </c>
      <c r="DH525" s="19"/>
      <c r="DI525" s="93"/>
      <c r="DJ525" s="93"/>
      <c r="DK525" s="93"/>
      <c r="DL525" s="93"/>
      <c r="DM525" s="93"/>
      <c r="DN525" s="20"/>
      <c r="DO525" s="295"/>
      <c r="DP525" s="29"/>
      <c r="DQ525" s="1504">
        <v>50437</v>
      </c>
      <c r="DR525" s="19"/>
      <c r="DS525" s="93"/>
      <c r="DT525" s="93"/>
      <c r="DU525" s="93"/>
      <c r="DV525" s="93"/>
      <c r="DW525" s="93"/>
      <c r="DX525" s="20"/>
      <c r="DY525" s="29"/>
      <c r="DZ525" s="1504">
        <v>50437</v>
      </c>
      <c r="EA525" s="19"/>
      <c r="EB525" s="93"/>
      <c r="EC525" s="20"/>
      <c r="ED525" s="29"/>
      <c r="EE525" s="1504">
        <v>50437</v>
      </c>
      <c r="EF525" s="19"/>
      <c r="EG525" s="93"/>
      <c r="EH525" s="93"/>
      <c r="EI525" s="214"/>
      <c r="EJ525" s="93"/>
      <c r="EK525" s="93"/>
      <c r="EL525" s="93"/>
      <c r="EM525" s="93"/>
      <c r="EN525" s="20"/>
      <c r="EO525" s="29"/>
      <c r="EP525" s="1504">
        <v>50437</v>
      </c>
      <c r="EQ525" s="19"/>
      <c r="ER525" s="93"/>
      <c r="ES525" s="93"/>
      <c r="ET525" s="214"/>
      <c r="EU525" s="93"/>
      <c r="EV525" s="93"/>
      <c r="EW525" s="93"/>
      <c r="EX525" s="93"/>
      <c r="EY525" s="20"/>
      <c r="EZ525" s="29"/>
      <c r="FA525" s="1504">
        <v>50437</v>
      </c>
      <c r="FB525" s="29"/>
      <c r="FC525" s="29"/>
      <c r="FD525" s="29"/>
      <c r="FE525" s="29"/>
      <c r="FF525" s="29"/>
      <c r="FG525" s="29"/>
      <c r="FH525" s="29"/>
      <c r="FI525" s="29"/>
      <c r="FJ525" s="29"/>
      <c r="FK525" s="29"/>
      <c r="FL525" s="1504">
        <v>50437</v>
      </c>
      <c r="FM525" s="19"/>
      <c r="FN525" s="93"/>
      <c r="FO525" s="93"/>
      <c r="FP525" s="93"/>
      <c r="FQ525" s="93"/>
      <c r="FR525" s="93"/>
      <c r="FS525" s="93"/>
      <c r="FT525" s="93"/>
      <c r="FU525" s="93"/>
      <c r="FV525" s="93"/>
      <c r="FW525" s="93"/>
      <c r="FX525" s="93"/>
      <c r="FY525" s="93"/>
      <c r="FZ525" s="29"/>
      <c r="GA525" s="1504">
        <v>50437</v>
      </c>
      <c r="GB525" s="19"/>
      <c r="GC525" s="93"/>
      <c r="GD525" s="93"/>
      <c r="GE525" s="93"/>
      <c r="GF525" s="93"/>
      <c r="GG525" s="93"/>
      <c r="GH525" s="93"/>
      <c r="GI525" s="93"/>
      <c r="GJ525" s="93"/>
      <c r="GK525" s="93"/>
      <c r="GL525" s="93"/>
      <c r="GM525" s="93"/>
      <c r="GN525" s="20"/>
      <c r="GO525" s="29"/>
      <c r="GP525" s="1504">
        <v>50437</v>
      </c>
      <c r="GQ525" s="19"/>
      <c r="GR525" s="93"/>
      <c r="GS525" s="93"/>
      <c r="GT525" s="93"/>
      <c r="GU525" s="93"/>
      <c r="GV525" s="20"/>
      <c r="GW525" s="19"/>
      <c r="GX525" s="93"/>
      <c r="GY525" s="93"/>
      <c r="GZ525" s="93"/>
      <c r="HA525" s="93"/>
      <c r="HB525" s="20"/>
      <c r="HC525" s="19"/>
      <c r="HD525" s="93"/>
      <c r="HE525" s="93"/>
      <c r="HF525" s="93"/>
      <c r="HG525" s="93"/>
      <c r="HH525" s="20"/>
      <c r="HI525" s="19"/>
      <c r="HJ525" s="93"/>
      <c r="HK525" s="93"/>
      <c r="HL525" s="93"/>
      <c r="HM525" s="93"/>
      <c r="HN525" s="20"/>
      <c r="HO525" s="219"/>
      <c r="HP525" s="20"/>
      <c r="HQ525" s="25"/>
      <c r="HR525" s="29"/>
      <c r="HS525" s="1504">
        <v>50437</v>
      </c>
      <c r="HT525" s="19"/>
      <c r="HU525" s="93"/>
      <c r="HV525" s="93"/>
      <c r="HW525" s="93"/>
      <c r="HX525" s="93"/>
      <c r="HY525" s="93"/>
      <c r="HZ525" s="93"/>
      <c r="IA525" s="20"/>
      <c r="IB525" s="19"/>
      <c r="IC525" s="93"/>
      <c r="ID525" s="93"/>
      <c r="IE525" s="93"/>
      <c r="IF525" s="93"/>
      <c r="IG525" s="20"/>
      <c r="IH525" s="19"/>
      <c r="II525" s="93"/>
      <c r="IJ525" s="93"/>
      <c r="IK525" s="93"/>
      <c r="IL525" s="93"/>
      <c r="IM525" s="93"/>
      <c r="IN525" s="93"/>
      <c r="IO525" s="20"/>
      <c r="IP525" s="29"/>
      <c r="IQ525" s="19"/>
      <c r="IR525" s="93"/>
      <c r="IS525" s="93"/>
      <c r="IT525" s="93"/>
      <c r="IU525" s="93"/>
      <c r="IV525" s="20"/>
      <c r="IW525" s="29"/>
      <c r="IX525" s="19"/>
      <c r="IY525" s="93"/>
      <c r="IZ525" s="93"/>
      <c r="JA525" s="93"/>
      <c r="JB525" s="93"/>
      <c r="JC525" s="93"/>
      <c r="JD525" s="93"/>
      <c r="JE525" s="20"/>
      <c r="JF525" s="29"/>
      <c r="JG525" s="19"/>
      <c r="JH525" s="93"/>
      <c r="JI525" s="93"/>
      <c r="JJ525" s="93"/>
      <c r="JK525" s="93"/>
      <c r="JL525" s="93"/>
      <c r="JM525" s="93"/>
      <c r="JN525" s="20"/>
      <c r="JO525" s="29"/>
      <c r="JP525" s="19"/>
      <c r="JQ525" s="93"/>
      <c r="JR525" s="93"/>
      <c r="JS525" s="93"/>
      <c r="JT525" s="93"/>
      <c r="JU525" s="20"/>
      <c r="JV525" s="29"/>
      <c r="JW525" s="1504">
        <v>50437</v>
      </c>
      <c r="JX525" s="19"/>
      <c r="JY525" s="93"/>
      <c r="JZ525" s="93"/>
      <c r="KA525" s="93"/>
      <c r="KB525" s="93"/>
      <c r="KC525" s="93"/>
      <c r="KD525" s="20"/>
      <c r="KE525" s="29"/>
      <c r="KF525" s="19"/>
      <c r="KG525" s="93"/>
      <c r="KH525" s="93"/>
      <c r="KI525" s="93"/>
      <c r="KJ525" s="93"/>
      <c r="KK525" s="20"/>
      <c r="KL525" s="29"/>
      <c r="KM525" s="19"/>
      <c r="KN525" s="93"/>
      <c r="KO525" s="93"/>
      <c r="KP525" s="93"/>
      <c r="KQ525" s="93"/>
      <c r="KR525" s="20"/>
      <c r="KS525" s="29"/>
      <c r="KT525" s="19"/>
      <c r="KU525" s="93"/>
      <c r="KV525" s="93"/>
      <c r="KW525" s="93"/>
      <c r="KX525" s="93"/>
      <c r="KY525" s="20"/>
      <c r="KZ525" s="29"/>
      <c r="LA525" s="1504">
        <v>50437</v>
      </c>
      <c r="LB525" s="19"/>
      <c r="LC525" s="93"/>
      <c r="LD525" s="93"/>
      <c r="LE525" s="93"/>
      <c r="LF525" s="93"/>
      <c r="LG525" s="93"/>
      <c r="LH525" s="20"/>
      <c r="LI525" s="29"/>
      <c r="LJ525" s="19"/>
      <c r="LK525" s="93"/>
      <c r="LL525" s="93"/>
      <c r="LM525" s="93"/>
      <c r="LN525" s="93"/>
      <c r="LO525" s="20"/>
      <c r="LP525" s="29"/>
      <c r="LQ525" s="19"/>
      <c r="LR525" s="93"/>
      <c r="LS525" s="93"/>
      <c r="LT525" s="93"/>
      <c r="LU525" s="93"/>
      <c r="LV525" s="93"/>
      <c r="LW525" s="93"/>
      <c r="LX525" s="93"/>
      <c r="LY525" s="93"/>
      <c r="LZ525" s="93"/>
      <c r="MA525" s="20"/>
      <c r="MB525" s="29"/>
      <c r="MC525" s="1504">
        <v>50437</v>
      </c>
      <c r="MD525" s="19"/>
      <c r="ME525" s="93"/>
      <c r="MF525" s="93"/>
      <c r="MG525" s="93"/>
      <c r="MH525" s="93"/>
      <c r="MI525" s="93"/>
      <c r="MJ525" s="93"/>
      <c r="MK525" s="93"/>
      <c r="ML525" s="93"/>
      <c r="MM525" s="93"/>
      <c r="MN525" s="93"/>
      <c r="MO525" s="93"/>
      <c r="MP525" s="93"/>
      <c r="MQ525" s="93"/>
      <c r="MR525" s="93"/>
      <c r="MS525" s="93"/>
      <c r="MT525" s="93"/>
      <c r="MU525" s="93"/>
      <c r="MV525" s="93"/>
      <c r="MW525" s="93"/>
      <c r="MX525" s="93"/>
      <c r="MY525" s="93"/>
      <c r="MZ525" s="93"/>
      <c r="NA525" s="93"/>
      <c r="NB525" s="93"/>
      <c r="NC525" s="93"/>
      <c r="ND525" s="93"/>
      <c r="NE525" s="93"/>
      <c r="NF525" s="93"/>
      <c r="NG525" s="93"/>
      <c r="NH525" s="93"/>
      <c r="NI525" s="93"/>
      <c r="NJ525" s="93"/>
      <c r="NK525" s="93"/>
      <c r="NL525" s="93"/>
      <c r="NM525" s="93"/>
      <c r="NN525" s="93"/>
      <c r="NO525" s="93"/>
      <c r="NP525" s="93"/>
      <c r="NQ525" s="93"/>
      <c r="NR525" s="93"/>
      <c r="NS525" s="93"/>
      <c r="NT525" s="93"/>
      <c r="NU525" s="93"/>
      <c r="NV525" s="93"/>
      <c r="NW525" s="93"/>
      <c r="NX525" s="93"/>
      <c r="NY525" s="93"/>
      <c r="NZ525" s="93"/>
      <c r="OA525" s="93"/>
      <c r="OB525" s="93"/>
      <c r="OC525" s="93"/>
      <c r="OD525" s="20"/>
      <c r="OE525" s="29"/>
      <c r="OF525" s="1504">
        <v>50437</v>
      </c>
      <c r="OG525" s="19"/>
      <c r="OH525" s="93"/>
      <c r="OI525" s="93"/>
      <c r="OJ525" s="93"/>
      <c r="OK525" s="93"/>
      <c r="OL525" s="93"/>
      <c r="OM525" s="93"/>
      <c r="ON525" s="93"/>
      <c r="OO525" s="93"/>
      <c r="OP525" s="93"/>
      <c r="OQ525" s="93"/>
      <c r="OR525" s="93"/>
      <c r="OS525" s="93"/>
      <c r="OT525" s="93"/>
      <c r="OU525" s="93"/>
      <c r="OV525" s="93"/>
      <c r="OW525" s="93"/>
      <c r="OX525" s="93"/>
      <c r="OY525" s="93"/>
      <c r="OZ525" s="93"/>
      <c r="PA525" s="93"/>
      <c r="PB525" s="93"/>
      <c r="PC525" s="20"/>
      <c r="PD525" s="29"/>
      <c r="PE525" s="19"/>
      <c r="PF525" s="93"/>
      <c r="PG525" s="93"/>
      <c r="PH525" s="93"/>
      <c r="PI525" s="93"/>
      <c r="PJ525" s="93"/>
      <c r="PK525" s="93"/>
      <c r="PL525" s="93"/>
      <c r="PM525" s="93"/>
      <c r="PN525" s="93"/>
      <c r="PO525" s="93"/>
      <c r="PP525" s="93"/>
      <c r="PQ525" s="93"/>
      <c r="PR525" s="93"/>
      <c r="PS525" s="93"/>
      <c r="PT525" s="93"/>
      <c r="PU525" s="93"/>
      <c r="PV525" s="93"/>
      <c r="PW525" s="93"/>
      <c r="PX525" s="93"/>
      <c r="PY525" s="93"/>
      <c r="PZ525" s="93"/>
      <c r="QA525" s="93"/>
      <c r="QB525" s="93"/>
      <c r="QC525" s="93"/>
      <c r="QD525" s="93"/>
      <c r="QE525" s="20"/>
      <c r="QF525" s="1739"/>
      <c r="QG525" s="19"/>
      <c r="QH525" s="93"/>
      <c r="QI525" s="93"/>
      <c r="QJ525" s="93"/>
      <c r="QK525" s="93"/>
      <c r="QL525" s="93"/>
      <c r="QM525" s="93"/>
      <c r="QN525" s="93"/>
      <c r="QO525" s="93"/>
      <c r="QP525" s="93"/>
      <c r="QQ525" s="93"/>
      <c r="QR525" s="93"/>
      <c r="QS525" s="93"/>
      <c r="QT525" s="93"/>
      <c r="QU525" s="93"/>
      <c r="QV525" s="93"/>
      <c r="QW525" s="93"/>
      <c r="QX525" s="93"/>
      <c r="QY525" s="93"/>
      <c r="QZ525" s="93"/>
      <c r="RA525" s="93"/>
      <c r="RB525" s="93"/>
      <c r="RC525" s="93"/>
      <c r="RD525" s="93"/>
      <c r="RE525" s="93"/>
      <c r="RF525" s="93"/>
      <c r="RG525" s="93"/>
      <c r="RH525" s="93"/>
      <c r="RI525" s="93"/>
      <c r="RJ525" s="93"/>
      <c r="RK525" s="93"/>
      <c r="RL525" s="93"/>
      <c r="RM525" s="20"/>
      <c r="RN525" s="29"/>
      <c r="RO525" s="19"/>
      <c r="RP525" s="20"/>
      <c r="RQ525" s="29"/>
      <c r="RR525" s="20"/>
      <c r="RS525" s="29"/>
      <c r="RT525" s="1504">
        <v>50437</v>
      </c>
      <c r="RU525" s="19"/>
      <c r="RV525" s="20"/>
      <c r="RW525" s="29"/>
      <c r="RX525" s="1504">
        <v>50437</v>
      </c>
      <c r="RY525" s="29"/>
      <c r="RZ525" s="20"/>
      <c r="SA525" s="29"/>
      <c r="SB525" s="29"/>
    </row>
    <row r="526" spans="1:496">
      <c r="A526" s="41">
        <f t="shared" si="360"/>
        <v>2038</v>
      </c>
      <c r="B526" s="1504">
        <v>50465</v>
      </c>
      <c r="C526" s="1813"/>
      <c r="D526" s="1814"/>
      <c r="E526" s="1814"/>
      <c r="F526" s="1815"/>
      <c r="G526" s="1814"/>
      <c r="H526" s="1814"/>
      <c r="I526" s="1814"/>
      <c r="J526" s="1816"/>
      <c r="K526" s="1807"/>
      <c r="L526" s="25"/>
      <c r="M526" s="97"/>
      <c r="N526" s="1504">
        <v>50465</v>
      </c>
      <c r="O526" s="19"/>
      <c r="P526" s="93"/>
      <c r="Q526" s="93"/>
      <c r="R526" s="93"/>
      <c r="S526" s="93"/>
      <c r="T526" s="93"/>
      <c r="U526" s="93"/>
      <c r="V526" s="93"/>
      <c r="W526" s="93"/>
      <c r="X526" s="93"/>
      <c r="Y526" s="93"/>
      <c r="Z526" s="93"/>
      <c r="AA526" s="93"/>
      <c r="AB526" s="20"/>
      <c r="AC526" s="25"/>
      <c r="AD526" s="97"/>
      <c r="AE526" s="1504">
        <v>50465</v>
      </c>
      <c r="AF526" s="19"/>
      <c r="AG526" s="93"/>
      <c r="AH526" s="93"/>
      <c r="AI526" s="93"/>
      <c r="AJ526" s="93"/>
      <c r="AK526" s="93"/>
      <c r="AL526" s="93"/>
      <c r="AM526" s="93"/>
      <c r="AN526" s="93"/>
      <c r="AO526" s="93"/>
      <c r="AP526" s="93"/>
      <c r="AQ526" s="93"/>
      <c r="AR526" s="93"/>
      <c r="AS526" s="20"/>
      <c r="AT526" s="25"/>
      <c r="AU526" s="97"/>
      <c r="AV526" s="1504">
        <v>50465</v>
      </c>
      <c r="AW526" s="19"/>
      <c r="AX526" s="93"/>
      <c r="AY526" s="93"/>
      <c r="AZ526" s="93"/>
      <c r="BA526" s="93"/>
      <c r="BB526" s="93"/>
      <c r="BC526" s="93"/>
      <c r="BD526" s="93"/>
      <c r="BE526" s="93"/>
      <c r="BF526" s="93"/>
      <c r="BG526" s="93"/>
      <c r="BH526" s="93"/>
      <c r="BI526" s="93"/>
      <c r="BJ526" s="20"/>
      <c r="BK526" s="25"/>
      <c r="BL526" s="97"/>
      <c r="BM526" s="1504">
        <v>50465</v>
      </c>
      <c r="BN526" s="19"/>
      <c r="BO526" s="93"/>
      <c r="BP526" s="93"/>
      <c r="BQ526" s="93"/>
      <c r="BR526" s="93"/>
      <c r="BS526" s="93"/>
      <c r="BT526" s="93"/>
      <c r="BU526" s="20"/>
      <c r="BV526" s="25"/>
      <c r="BW526" s="97"/>
      <c r="BX526" s="1504">
        <v>50465</v>
      </c>
      <c r="BY526" s="19"/>
      <c r="BZ526" s="93"/>
      <c r="CA526" s="93"/>
      <c r="CB526" s="93"/>
      <c r="CC526" s="93"/>
      <c r="CD526" s="25"/>
      <c r="CE526" s="97"/>
      <c r="CF526" s="1504">
        <v>50465</v>
      </c>
      <c r="CG526" s="19"/>
      <c r="CH526" s="93"/>
      <c r="CI526" s="219"/>
      <c r="CJ526" s="20"/>
      <c r="CK526" s="19"/>
      <c r="CL526" s="93"/>
      <c r="CM526" s="93"/>
      <c r="CN526" s="93"/>
      <c r="CO526" s="93"/>
      <c r="CP526" s="20"/>
      <c r="CQ526" s="219"/>
      <c r="CR526" s="93"/>
      <c r="CS526" s="93"/>
      <c r="CT526" s="93"/>
      <c r="CU526" s="93"/>
      <c r="CV526" s="214"/>
      <c r="CW526" s="29"/>
      <c r="CX526" s="41">
        <f t="shared" si="361"/>
        <v>2038</v>
      </c>
      <c r="CY526" s="1504">
        <v>50465</v>
      </c>
      <c r="CZ526" s="19"/>
      <c r="DA526" s="93"/>
      <c r="DB526" s="93"/>
      <c r="DC526" s="93"/>
      <c r="DD526" s="93"/>
      <c r="DE526" s="20"/>
      <c r="DF526" s="29"/>
      <c r="DG526" s="1504">
        <v>50465</v>
      </c>
      <c r="DH526" s="19"/>
      <c r="DI526" s="93"/>
      <c r="DJ526" s="93"/>
      <c r="DK526" s="93"/>
      <c r="DL526" s="93"/>
      <c r="DM526" s="93"/>
      <c r="DN526" s="20"/>
      <c r="DO526" s="295"/>
      <c r="DP526" s="29"/>
      <c r="DQ526" s="1504">
        <v>50465</v>
      </c>
      <c r="DR526" s="19"/>
      <c r="DS526" s="93"/>
      <c r="DT526" s="93"/>
      <c r="DU526" s="93"/>
      <c r="DV526" s="93"/>
      <c r="DW526" s="93"/>
      <c r="DX526" s="20"/>
      <c r="DY526" s="29"/>
      <c r="DZ526" s="1504">
        <v>50465</v>
      </c>
      <c r="EA526" s="19"/>
      <c r="EB526" s="93"/>
      <c r="EC526" s="20"/>
      <c r="ED526" s="29"/>
      <c r="EE526" s="1504">
        <v>50465</v>
      </c>
      <c r="EF526" s="19"/>
      <c r="EG526" s="93"/>
      <c r="EH526" s="93"/>
      <c r="EI526" s="214"/>
      <c r="EJ526" s="93"/>
      <c r="EK526" s="93"/>
      <c r="EL526" s="93"/>
      <c r="EM526" s="93"/>
      <c r="EN526" s="20"/>
      <c r="EO526" s="29"/>
      <c r="EP526" s="1504">
        <v>50465</v>
      </c>
      <c r="EQ526" s="19"/>
      <c r="ER526" s="93"/>
      <c r="ES526" s="93"/>
      <c r="ET526" s="214"/>
      <c r="EU526" s="93"/>
      <c r="EV526" s="93"/>
      <c r="EW526" s="93"/>
      <c r="EX526" s="93"/>
      <c r="EY526" s="20"/>
      <c r="EZ526" s="29"/>
      <c r="FA526" s="1504">
        <v>50465</v>
      </c>
      <c r="FB526" s="29"/>
      <c r="FC526" s="29"/>
      <c r="FD526" s="29"/>
      <c r="FE526" s="29"/>
      <c r="FF526" s="29"/>
      <c r="FG526" s="29"/>
      <c r="FH526" s="29"/>
      <c r="FI526" s="29"/>
      <c r="FJ526" s="29"/>
      <c r="FK526" s="29"/>
      <c r="FL526" s="1504">
        <v>50465</v>
      </c>
      <c r="FM526" s="19"/>
      <c r="FN526" s="93"/>
      <c r="FO526" s="93"/>
      <c r="FP526" s="93"/>
      <c r="FQ526" s="93"/>
      <c r="FR526" s="93"/>
      <c r="FS526" s="93"/>
      <c r="FT526" s="93"/>
      <c r="FU526" s="93"/>
      <c r="FV526" s="93"/>
      <c r="FW526" s="93"/>
      <c r="FX526" s="93"/>
      <c r="FY526" s="93"/>
      <c r="FZ526" s="29"/>
      <c r="GA526" s="1504">
        <v>50465</v>
      </c>
      <c r="GB526" s="19"/>
      <c r="GC526" s="93"/>
      <c r="GD526" s="93"/>
      <c r="GE526" s="93"/>
      <c r="GF526" s="93"/>
      <c r="GG526" s="93"/>
      <c r="GH526" s="93"/>
      <c r="GI526" s="93"/>
      <c r="GJ526" s="93"/>
      <c r="GK526" s="93"/>
      <c r="GL526" s="93"/>
      <c r="GM526" s="93"/>
      <c r="GN526" s="20"/>
      <c r="GO526" s="29"/>
      <c r="GP526" s="1504">
        <v>50465</v>
      </c>
      <c r="GQ526" s="19"/>
      <c r="GR526" s="93"/>
      <c r="GS526" s="93"/>
      <c r="GT526" s="93"/>
      <c r="GU526" s="93"/>
      <c r="GV526" s="20"/>
      <c r="GW526" s="19"/>
      <c r="GX526" s="93"/>
      <c r="GY526" s="93"/>
      <c r="GZ526" s="93"/>
      <c r="HA526" s="93"/>
      <c r="HB526" s="20"/>
      <c r="HC526" s="19"/>
      <c r="HD526" s="93"/>
      <c r="HE526" s="93"/>
      <c r="HF526" s="93"/>
      <c r="HG526" s="93"/>
      <c r="HH526" s="20"/>
      <c r="HI526" s="19"/>
      <c r="HJ526" s="93"/>
      <c r="HK526" s="93"/>
      <c r="HL526" s="93"/>
      <c r="HM526" s="93"/>
      <c r="HN526" s="20"/>
      <c r="HO526" s="219"/>
      <c r="HP526" s="20"/>
      <c r="HQ526" s="25"/>
      <c r="HR526" s="29"/>
      <c r="HS526" s="1504">
        <v>50465</v>
      </c>
      <c r="HT526" s="19"/>
      <c r="HU526" s="93"/>
      <c r="HV526" s="93"/>
      <c r="HW526" s="93"/>
      <c r="HX526" s="93"/>
      <c r="HY526" s="93"/>
      <c r="HZ526" s="93"/>
      <c r="IA526" s="20"/>
      <c r="IB526" s="19"/>
      <c r="IC526" s="93"/>
      <c r="ID526" s="93"/>
      <c r="IE526" s="93"/>
      <c r="IF526" s="93"/>
      <c r="IG526" s="20"/>
      <c r="IH526" s="19"/>
      <c r="II526" s="93"/>
      <c r="IJ526" s="93"/>
      <c r="IK526" s="93"/>
      <c r="IL526" s="93"/>
      <c r="IM526" s="93"/>
      <c r="IN526" s="93"/>
      <c r="IO526" s="20"/>
      <c r="IP526" s="29"/>
      <c r="IQ526" s="19"/>
      <c r="IR526" s="93"/>
      <c r="IS526" s="93"/>
      <c r="IT526" s="93"/>
      <c r="IU526" s="93"/>
      <c r="IV526" s="20"/>
      <c r="IW526" s="29"/>
      <c r="IX526" s="19"/>
      <c r="IY526" s="93"/>
      <c r="IZ526" s="93"/>
      <c r="JA526" s="93"/>
      <c r="JB526" s="93"/>
      <c r="JC526" s="93"/>
      <c r="JD526" s="93"/>
      <c r="JE526" s="20"/>
      <c r="JF526" s="29"/>
      <c r="JG526" s="19"/>
      <c r="JH526" s="93"/>
      <c r="JI526" s="93"/>
      <c r="JJ526" s="93"/>
      <c r="JK526" s="93"/>
      <c r="JL526" s="93"/>
      <c r="JM526" s="93"/>
      <c r="JN526" s="20"/>
      <c r="JO526" s="29"/>
      <c r="JP526" s="19"/>
      <c r="JQ526" s="93"/>
      <c r="JR526" s="93"/>
      <c r="JS526" s="93"/>
      <c r="JT526" s="93"/>
      <c r="JU526" s="20"/>
      <c r="JV526" s="29"/>
      <c r="JW526" s="1504">
        <v>50465</v>
      </c>
      <c r="JX526" s="19"/>
      <c r="JY526" s="93"/>
      <c r="JZ526" s="93"/>
      <c r="KA526" s="93"/>
      <c r="KB526" s="93"/>
      <c r="KC526" s="93"/>
      <c r="KD526" s="20"/>
      <c r="KE526" s="29"/>
      <c r="KF526" s="19"/>
      <c r="KG526" s="93"/>
      <c r="KH526" s="93"/>
      <c r="KI526" s="93"/>
      <c r="KJ526" s="93"/>
      <c r="KK526" s="20"/>
      <c r="KL526" s="29"/>
      <c r="KM526" s="19"/>
      <c r="KN526" s="93"/>
      <c r="KO526" s="93"/>
      <c r="KP526" s="93"/>
      <c r="KQ526" s="93"/>
      <c r="KR526" s="20"/>
      <c r="KS526" s="29"/>
      <c r="KT526" s="19"/>
      <c r="KU526" s="93"/>
      <c r="KV526" s="93"/>
      <c r="KW526" s="93"/>
      <c r="KX526" s="93"/>
      <c r="KY526" s="20"/>
      <c r="KZ526" s="29"/>
      <c r="LA526" s="1504">
        <v>50465</v>
      </c>
      <c r="LB526" s="19"/>
      <c r="LC526" s="93"/>
      <c r="LD526" s="93"/>
      <c r="LE526" s="93"/>
      <c r="LF526" s="93"/>
      <c r="LG526" s="93"/>
      <c r="LH526" s="20"/>
      <c r="LI526" s="29"/>
      <c r="LJ526" s="19"/>
      <c r="LK526" s="93"/>
      <c r="LL526" s="93"/>
      <c r="LM526" s="93"/>
      <c r="LN526" s="93"/>
      <c r="LO526" s="20"/>
      <c r="LP526" s="29"/>
      <c r="LQ526" s="19"/>
      <c r="LR526" s="93"/>
      <c r="LS526" s="93"/>
      <c r="LT526" s="93"/>
      <c r="LU526" s="93"/>
      <c r="LV526" s="93"/>
      <c r="LW526" s="93"/>
      <c r="LX526" s="93"/>
      <c r="LY526" s="93"/>
      <c r="LZ526" s="93"/>
      <c r="MA526" s="20"/>
      <c r="MB526" s="29"/>
      <c r="MC526" s="1504">
        <v>50465</v>
      </c>
      <c r="MD526" s="19"/>
      <c r="ME526" s="93"/>
      <c r="MF526" s="93"/>
      <c r="MG526" s="93"/>
      <c r="MH526" s="93"/>
      <c r="MI526" s="93"/>
      <c r="MJ526" s="93"/>
      <c r="MK526" s="93"/>
      <c r="ML526" s="93"/>
      <c r="MM526" s="93"/>
      <c r="MN526" s="93"/>
      <c r="MO526" s="93"/>
      <c r="MP526" s="93"/>
      <c r="MQ526" s="93"/>
      <c r="MR526" s="93"/>
      <c r="MS526" s="93"/>
      <c r="MT526" s="93"/>
      <c r="MU526" s="93"/>
      <c r="MV526" s="93"/>
      <c r="MW526" s="93"/>
      <c r="MX526" s="93"/>
      <c r="MY526" s="93"/>
      <c r="MZ526" s="93"/>
      <c r="NA526" s="93"/>
      <c r="NB526" s="93"/>
      <c r="NC526" s="93"/>
      <c r="ND526" s="93"/>
      <c r="NE526" s="93"/>
      <c r="NF526" s="93"/>
      <c r="NG526" s="93"/>
      <c r="NH526" s="93"/>
      <c r="NI526" s="93"/>
      <c r="NJ526" s="93"/>
      <c r="NK526" s="93"/>
      <c r="NL526" s="93"/>
      <c r="NM526" s="93"/>
      <c r="NN526" s="93"/>
      <c r="NO526" s="93"/>
      <c r="NP526" s="93"/>
      <c r="NQ526" s="93"/>
      <c r="NR526" s="93"/>
      <c r="NS526" s="93"/>
      <c r="NT526" s="93"/>
      <c r="NU526" s="93"/>
      <c r="NV526" s="93"/>
      <c r="NW526" s="93"/>
      <c r="NX526" s="93"/>
      <c r="NY526" s="93"/>
      <c r="NZ526" s="93"/>
      <c r="OA526" s="93"/>
      <c r="OB526" s="93"/>
      <c r="OC526" s="93"/>
      <c r="OD526" s="20"/>
      <c r="OE526" s="29"/>
      <c r="OF526" s="1504">
        <v>50465</v>
      </c>
      <c r="OG526" s="19"/>
      <c r="OH526" s="93"/>
      <c r="OI526" s="93"/>
      <c r="OJ526" s="93"/>
      <c r="OK526" s="93"/>
      <c r="OL526" s="93"/>
      <c r="OM526" s="93"/>
      <c r="ON526" s="93"/>
      <c r="OO526" s="93"/>
      <c r="OP526" s="93"/>
      <c r="OQ526" s="93"/>
      <c r="OR526" s="93"/>
      <c r="OS526" s="93"/>
      <c r="OT526" s="93"/>
      <c r="OU526" s="93"/>
      <c r="OV526" s="93"/>
      <c r="OW526" s="93"/>
      <c r="OX526" s="93"/>
      <c r="OY526" s="93"/>
      <c r="OZ526" s="93"/>
      <c r="PA526" s="93"/>
      <c r="PB526" s="93"/>
      <c r="PC526" s="20"/>
      <c r="PD526" s="29"/>
      <c r="PE526" s="19"/>
      <c r="PF526" s="93"/>
      <c r="PG526" s="93"/>
      <c r="PH526" s="93"/>
      <c r="PI526" s="93"/>
      <c r="PJ526" s="93"/>
      <c r="PK526" s="93"/>
      <c r="PL526" s="93"/>
      <c r="PM526" s="93"/>
      <c r="PN526" s="93"/>
      <c r="PO526" s="93"/>
      <c r="PP526" s="93"/>
      <c r="PQ526" s="93"/>
      <c r="PR526" s="93"/>
      <c r="PS526" s="93"/>
      <c r="PT526" s="93"/>
      <c r="PU526" s="93"/>
      <c r="PV526" s="93"/>
      <c r="PW526" s="93"/>
      <c r="PX526" s="93"/>
      <c r="PY526" s="93"/>
      <c r="PZ526" s="93"/>
      <c r="QA526" s="93"/>
      <c r="QB526" s="93"/>
      <c r="QC526" s="93"/>
      <c r="QD526" s="93"/>
      <c r="QE526" s="20"/>
      <c r="QF526" s="1739"/>
      <c r="QG526" s="19"/>
      <c r="QH526" s="93"/>
      <c r="QI526" s="93"/>
      <c r="QJ526" s="93"/>
      <c r="QK526" s="93"/>
      <c r="QL526" s="93"/>
      <c r="QM526" s="93"/>
      <c r="QN526" s="93"/>
      <c r="QO526" s="93"/>
      <c r="QP526" s="93"/>
      <c r="QQ526" s="93"/>
      <c r="QR526" s="93"/>
      <c r="QS526" s="93"/>
      <c r="QT526" s="93"/>
      <c r="QU526" s="93"/>
      <c r="QV526" s="93"/>
      <c r="QW526" s="93"/>
      <c r="QX526" s="93"/>
      <c r="QY526" s="93"/>
      <c r="QZ526" s="93"/>
      <c r="RA526" s="93"/>
      <c r="RB526" s="93"/>
      <c r="RC526" s="93"/>
      <c r="RD526" s="93"/>
      <c r="RE526" s="93"/>
      <c r="RF526" s="93"/>
      <c r="RG526" s="93"/>
      <c r="RH526" s="93"/>
      <c r="RI526" s="93"/>
      <c r="RJ526" s="93"/>
      <c r="RK526" s="93"/>
      <c r="RL526" s="93"/>
      <c r="RM526" s="20"/>
      <c r="RN526" s="29"/>
      <c r="RO526" s="19"/>
      <c r="RP526" s="20"/>
      <c r="RQ526" s="29"/>
      <c r="RR526" s="20"/>
      <c r="RS526" s="29"/>
      <c r="RT526" s="1504">
        <v>50465</v>
      </c>
      <c r="RU526" s="19"/>
      <c r="RV526" s="20"/>
      <c r="RW526" s="29"/>
      <c r="RX526" s="1504">
        <v>50465</v>
      </c>
      <c r="RY526" s="29"/>
      <c r="RZ526" s="20"/>
      <c r="SA526" s="29"/>
      <c r="SB526" s="29"/>
    </row>
    <row r="527" spans="1:496">
      <c r="A527" s="41">
        <f t="shared" si="360"/>
        <v>2038</v>
      </c>
      <c r="B527" s="1504">
        <v>50496</v>
      </c>
      <c r="C527" s="1813"/>
      <c r="D527" s="1814"/>
      <c r="E527" s="1814"/>
      <c r="F527" s="1815"/>
      <c r="G527" s="1814"/>
      <c r="H527" s="1814"/>
      <c r="I527" s="1814"/>
      <c r="J527" s="1816"/>
      <c r="K527" s="1807"/>
      <c r="L527" s="25"/>
      <c r="M527" s="97"/>
      <c r="N527" s="1504">
        <v>50496</v>
      </c>
      <c r="O527" s="19"/>
      <c r="P527" s="93"/>
      <c r="Q527" s="93"/>
      <c r="R527" s="93"/>
      <c r="S527" s="93"/>
      <c r="T527" s="93"/>
      <c r="U527" s="93"/>
      <c r="V527" s="93"/>
      <c r="W527" s="93"/>
      <c r="X527" s="93"/>
      <c r="Y527" s="93"/>
      <c r="Z527" s="93"/>
      <c r="AA527" s="93"/>
      <c r="AB527" s="20"/>
      <c r="AC527" s="25"/>
      <c r="AD527" s="97"/>
      <c r="AE527" s="1504">
        <v>50496</v>
      </c>
      <c r="AF527" s="19"/>
      <c r="AG527" s="93"/>
      <c r="AH527" s="93"/>
      <c r="AI527" s="93"/>
      <c r="AJ527" s="93"/>
      <c r="AK527" s="93"/>
      <c r="AL527" s="93"/>
      <c r="AM527" s="93"/>
      <c r="AN527" s="93"/>
      <c r="AO527" s="93"/>
      <c r="AP527" s="93"/>
      <c r="AQ527" s="93"/>
      <c r="AR527" s="93"/>
      <c r="AS527" s="20"/>
      <c r="AT527" s="25"/>
      <c r="AU527" s="97"/>
      <c r="AV527" s="1504">
        <v>50496</v>
      </c>
      <c r="AW527" s="19"/>
      <c r="AX527" s="93"/>
      <c r="AY527" s="93"/>
      <c r="AZ527" s="93"/>
      <c r="BA527" s="93"/>
      <c r="BB527" s="93"/>
      <c r="BC527" s="93"/>
      <c r="BD527" s="93"/>
      <c r="BE527" s="93"/>
      <c r="BF527" s="93"/>
      <c r="BG527" s="93"/>
      <c r="BH527" s="93"/>
      <c r="BI527" s="93"/>
      <c r="BJ527" s="20"/>
      <c r="BK527" s="25"/>
      <c r="BL527" s="97"/>
      <c r="BM527" s="1504">
        <v>50496</v>
      </c>
      <c r="BN527" s="19"/>
      <c r="BO527" s="93"/>
      <c r="BP527" s="93"/>
      <c r="BQ527" s="93"/>
      <c r="BR527" s="93"/>
      <c r="BS527" s="93"/>
      <c r="BT527" s="93"/>
      <c r="BU527" s="20"/>
      <c r="BV527" s="25"/>
      <c r="BW527" s="97"/>
      <c r="BX527" s="1504">
        <v>50496</v>
      </c>
      <c r="BY527" s="19"/>
      <c r="BZ527" s="93"/>
      <c r="CA527" s="93"/>
      <c r="CB527" s="93"/>
      <c r="CC527" s="93"/>
      <c r="CD527" s="25"/>
      <c r="CE527" s="97"/>
      <c r="CF527" s="1504">
        <v>50496</v>
      </c>
      <c r="CG527" s="19"/>
      <c r="CH527" s="93"/>
      <c r="CI527" s="219"/>
      <c r="CJ527" s="20"/>
      <c r="CK527" s="19"/>
      <c r="CL527" s="93"/>
      <c r="CM527" s="93"/>
      <c r="CN527" s="93"/>
      <c r="CO527" s="93"/>
      <c r="CP527" s="20"/>
      <c r="CQ527" s="219"/>
      <c r="CR527" s="93"/>
      <c r="CS527" s="93"/>
      <c r="CT527" s="93"/>
      <c r="CU527" s="93"/>
      <c r="CV527" s="214"/>
      <c r="CW527" s="29"/>
      <c r="CX527" s="41">
        <f t="shared" si="361"/>
        <v>2038</v>
      </c>
      <c r="CY527" s="1504">
        <v>50496</v>
      </c>
      <c r="CZ527" s="19"/>
      <c r="DA527" s="93"/>
      <c r="DB527" s="93"/>
      <c r="DC527" s="93"/>
      <c r="DD527" s="93"/>
      <c r="DE527" s="20"/>
      <c r="DF527" s="29"/>
      <c r="DG527" s="1504">
        <v>50496</v>
      </c>
      <c r="DH527" s="19"/>
      <c r="DI527" s="93"/>
      <c r="DJ527" s="93"/>
      <c r="DK527" s="93"/>
      <c r="DL527" s="93"/>
      <c r="DM527" s="93"/>
      <c r="DN527" s="20"/>
      <c r="DO527" s="295"/>
      <c r="DP527" s="29"/>
      <c r="DQ527" s="1504">
        <v>50496</v>
      </c>
      <c r="DR527" s="19"/>
      <c r="DS527" s="93"/>
      <c r="DT527" s="93"/>
      <c r="DU527" s="93"/>
      <c r="DV527" s="93"/>
      <c r="DW527" s="93"/>
      <c r="DX527" s="20"/>
      <c r="DY527" s="29"/>
      <c r="DZ527" s="1504">
        <v>50496</v>
      </c>
      <c r="EA527" s="19"/>
      <c r="EB527" s="93"/>
      <c r="EC527" s="20"/>
      <c r="ED527" s="29"/>
      <c r="EE527" s="1504">
        <v>50496</v>
      </c>
      <c r="EF527" s="19"/>
      <c r="EG527" s="93"/>
      <c r="EH527" s="93"/>
      <c r="EI527" s="214"/>
      <c r="EJ527" s="93"/>
      <c r="EK527" s="93"/>
      <c r="EL527" s="93"/>
      <c r="EM527" s="93"/>
      <c r="EN527" s="20"/>
      <c r="EO527" s="29"/>
      <c r="EP527" s="1504">
        <v>50496</v>
      </c>
      <c r="EQ527" s="19"/>
      <c r="ER527" s="93"/>
      <c r="ES527" s="93"/>
      <c r="ET527" s="214"/>
      <c r="EU527" s="93"/>
      <c r="EV527" s="93"/>
      <c r="EW527" s="93"/>
      <c r="EX527" s="93"/>
      <c r="EY527" s="20"/>
      <c r="EZ527" s="29"/>
      <c r="FA527" s="1504">
        <v>50496</v>
      </c>
      <c r="FB527" s="29"/>
      <c r="FC527" s="29"/>
      <c r="FD527" s="29"/>
      <c r="FE527" s="29"/>
      <c r="FF527" s="29"/>
      <c r="FG527" s="29"/>
      <c r="FH527" s="29"/>
      <c r="FI527" s="29"/>
      <c r="FJ527" s="29"/>
      <c r="FK527" s="29"/>
      <c r="FL527" s="1504">
        <v>50496</v>
      </c>
      <c r="FM527" s="19"/>
      <c r="FN527" s="93"/>
      <c r="FO527" s="93"/>
      <c r="FP527" s="93"/>
      <c r="FQ527" s="93"/>
      <c r="FR527" s="93"/>
      <c r="FS527" s="93"/>
      <c r="FT527" s="93"/>
      <c r="FU527" s="93"/>
      <c r="FV527" s="93"/>
      <c r="FW527" s="93"/>
      <c r="FX527" s="93"/>
      <c r="FY527" s="93"/>
      <c r="FZ527" s="29"/>
      <c r="GA527" s="1504">
        <v>50496</v>
      </c>
      <c r="GB527" s="19"/>
      <c r="GC527" s="93"/>
      <c r="GD527" s="93"/>
      <c r="GE527" s="93"/>
      <c r="GF527" s="93"/>
      <c r="GG527" s="93"/>
      <c r="GH527" s="93"/>
      <c r="GI527" s="93"/>
      <c r="GJ527" s="93"/>
      <c r="GK527" s="93"/>
      <c r="GL527" s="93"/>
      <c r="GM527" s="93"/>
      <c r="GN527" s="20"/>
      <c r="GO527" s="29"/>
      <c r="GP527" s="1504">
        <v>50496</v>
      </c>
      <c r="GQ527" s="19"/>
      <c r="GR527" s="93"/>
      <c r="GS527" s="93"/>
      <c r="GT527" s="93"/>
      <c r="GU527" s="93"/>
      <c r="GV527" s="20"/>
      <c r="GW527" s="19"/>
      <c r="GX527" s="93"/>
      <c r="GY527" s="93"/>
      <c r="GZ527" s="93"/>
      <c r="HA527" s="93"/>
      <c r="HB527" s="20"/>
      <c r="HC527" s="19"/>
      <c r="HD527" s="93"/>
      <c r="HE527" s="93"/>
      <c r="HF527" s="93"/>
      <c r="HG527" s="93"/>
      <c r="HH527" s="20"/>
      <c r="HI527" s="19"/>
      <c r="HJ527" s="93"/>
      <c r="HK527" s="93"/>
      <c r="HL527" s="93"/>
      <c r="HM527" s="93"/>
      <c r="HN527" s="20"/>
      <c r="HO527" s="219"/>
      <c r="HP527" s="20"/>
      <c r="HQ527" s="25"/>
      <c r="HR527" s="29"/>
      <c r="HS527" s="1504">
        <v>50496</v>
      </c>
      <c r="HT527" s="19"/>
      <c r="HU527" s="93"/>
      <c r="HV527" s="93"/>
      <c r="HW527" s="93"/>
      <c r="HX527" s="93"/>
      <c r="HY527" s="93"/>
      <c r="HZ527" s="93"/>
      <c r="IA527" s="20"/>
      <c r="IB527" s="19"/>
      <c r="IC527" s="93"/>
      <c r="ID527" s="93"/>
      <c r="IE527" s="93"/>
      <c r="IF527" s="93"/>
      <c r="IG527" s="20"/>
      <c r="IH527" s="19"/>
      <c r="II527" s="93"/>
      <c r="IJ527" s="93"/>
      <c r="IK527" s="93"/>
      <c r="IL527" s="93"/>
      <c r="IM527" s="93"/>
      <c r="IN527" s="93"/>
      <c r="IO527" s="20"/>
      <c r="IP527" s="29"/>
      <c r="IQ527" s="19"/>
      <c r="IR527" s="93"/>
      <c r="IS527" s="93"/>
      <c r="IT527" s="93"/>
      <c r="IU527" s="93"/>
      <c r="IV527" s="20"/>
      <c r="IW527" s="29"/>
      <c r="IX527" s="19"/>
      <c r="IY527" s="93"/>
      <c r="IZ527" s="93"/>
      <c r="JA527" s="93"/>
      <c r="JB527" s="93"/>
      <c r="JC527" s="93"/>
      <c r="JD527" s="93"/>
      <c r="JE527" s="20"/>
      <c r="JF527" s="29"/>
      <c r="JG527" s="19"/>
      <c r="JH527" s="93"/>
      <c r="JI527" s="93"/>
      <c r="JJ527" s="93"/>
      <c r="JK527" s="93"/>
      <c r="JL527" s="93"/>
      <c r="JM527" s="93"/>
      <c r="JN527" s="20"/>
      <c r="JO527" s="29"/>
      <c r="JP527" s="19"/>
      <c r="JQ527" s="93"/>
      <c r="JR527" s="93"/>
      <c r="JS527" s="93"/>
      <c r="JT527" s="93"/>
      <c r="JU527" s="20"/>
      <c r="JV527" s="29"/>
      <c r="JW527" s="1504">
        <v>50496</v>
      </c>
      <c r="JX527" s="19"/>
      <c r="JY527" s="93"/>
      <c r="JZ527" s="93"/>
      <c r="KA527" s="93"/>
      <c r="KB527" s="93"/>
      <c r="KC527" s="93"/>
      <c r="KD527" s="20"/>
      <c r="KE527" s="29"/>
      <c r="KF527" s="19"/>
      <c r="KG527" s="93"/>
      <c r="KH527" s="93"/>
      <c r="KI527" s="93"/>
      <c r="KJ527" s="93"/>
      <c r="KK527" s="20"/>
      <c r="KL527" s="29"/>
      <c r="KM527" s="19"/>
      <c r="KN527" s="93"/>
      <c r="KO527" s="93"/>
      <c r="KP527" s="93"/>
      <c r="KQ527" s="93"/>
      <c r="KR527" s="20"/>
      <c r="KS527" s="29"/>
      <c r="KT527" s="19"/>
      <c r="KU527" s="93"/>
      <c r="KV527" s="93"/>
      <c r="KW527" s="93"/>
      <c r="KX527" s="93"/>
      <c r="KY527" s="20"/>
      <c r="KZ527" s="29"/>
      <c r="LA527" s="1504">
        <v>50496</v>
      </c>
      <c r="LB527" s="19"/>
      <c r="LC527" s="93"/>
      <c r="LD527" s="93"/>
      <c r="LE527" s="93"/>
      <c r="LF527" s="93"/>
      <c r="LG527" s="93"/>
      <c r="LH527" s="20"/>
      <c r="LI527" s="29"/>
      <c r="LJ527" s="19"/>
      <c r="LK527" s="93"/>
      <c r="LL527" s="93"/>
      <c r="LM527" s="93"/>
      <c r="LN527" s="93"/>
      <c r="LO527" s="20"/>
      <c r="LP527" s="29"/>
      <c r="LQ527" s="19"/>
      <c r="LR527" s="93"/>
      <c r="LS527" s="93"/>
      <c r="LT527" s="93"/>
      <c r="LU527" s="93"/>
      <c r="LV527" s="93"/>
      <c r="LW527" s="93"/>
      <c r="LX527" s="93"/>
      <c r="LY527" s="93"/>
      <c r="LZ527" s="93"/>
      <c r="MA527" s="20"/>
      <c r="MB527" s="29"/>
      <c r="MC527" s="1504">
        <v>50496</v>
      </c>
      <c r="MD527" s="19"/>
      <c r="ME527" s="93"/>
      <c r="MF527" s="93"/>
      <c r="MG527" s="93"/>
      <c r="MH527" s="93"/>
      <c r="MI527" s="93"/>
      <c r="MJ527" s="93"/>
      <c r="MK527" s="93"/>
      <c r="ML527" s="93"/>
      <c r="MM527" s="93"/>
      <c r="MN527" s="93"/>
      <c r="MO527" s="93"/>
      <c r="MP527" s="93"/>
      <c r="MQ527" s="93"/>
      <c r="MR527" s="93"/>
      <c r="MS527" s="93"/>
      <c r="MT527" s="93"/>
      <c r="MU527" s="93"/>
      <c r="MV527" s="93"/>
      <c r="MW527" s="93"/>
      <c r="MX527" s="93"/>
      <c r="MY527" s="93"/>
      <c r="MZ527" s="93"/>
      <c r="NA527" s="93"/>
      <c r="NB527" s="93"/>
      <c r="NC527" s="93"/>
      <c r="ND527" s="93"/>
      <c r="NE527" s="93"/>
      <c r="NF527" s="93"/>
      <c r="NG527" s="93"/>
      <c r="NH527" s="93"/>
      <c r="NI527" s="93"/>
      <c r="NJ527" s="93"/>
      <c r="NK527" s="93"/>
      <c r="NL527" s="93"/>
      <c r="NM527" s="93"/>
      <c r="NN527" s="93"/>
      <c r="NO527" s="93"/>
      <c r="NP527" s="93"/>
      <c r="NQ527" s="93"/>
      <c r="NR527" s="93"/>
      <c r="NS527" s="93"/>
      <c r="NT527" s="93"/>
      <c r="NU527" s="93"/>
      <c r="NV527" s="93"/>
      <c r="NW527" s="93"/>
      <c r="NX527" s="93"/>
      <c r="NY527" s="93"/>
      <c r="NZ527" s="93"/>
      <c r="OA527" s="93"/>
      <c r="OB527" s="93"/>
      <c r="OC527" s="93"/>
      <c r="OD527" s="20"/>
      <c r="OE527" s="29"/>
      <c r="OF527" s="1504">
        <v>50496</v>
      </c>
      <c r="OG527" s="19"/>
      <c r="OH527" s="93"/>
      <c r="OI527" s="93"/>
      <c r="OJ527" s="93"/>
      <c r="OK527" s="93"/>
      <c r="OL527" s="93"/>
      <c r="OM527" s="93"/>
      <c r="ON527" s="93"/>
      <c r="OO527" s="93"/>
      <c r="OP527" s="93"/>
      <c r="OQ527" s="93"/>
      <c r="OR527" s="93"/>
      <c r="OS527" s="93"/>
      <c r="OT527" s="93"/>
      <c r="OU527" s="93"/>
      <c r="OV527" s="93"/>
      <c r="OW527" s="93"/>
      <c r="OX527" s="93"/>
      <c r="OY527" s="93"/>
      <c r="OZ527" s="93"/>
      <c r="PA527" s="93"/>
      <c r="PB527" s="93"/>
      <c r="PC527" s="20"/>
      <c r="PD527" s="29"/>
      <c r="PE527" s="19"/>
      <c r="PF527" s="93"/>
      <c r="PG527" s="93"/>
      <c r="PH527" s="93"/>
      <c r="PI527" s="93"/>
      <c r="PJ527" s="93"/>
      <c r="PK527" s="93"/>
      <c r="PL527" s="93"/>
      <c r="PM527" s="93"/>
      <c r="PN527" s="93"/>
      <c r="PO527" s="93"/>
      <c r="PP527" s="93"/>
      <c r="PQ527" s="93"/>
      <c r="PR527" s="93"/>
      <c r="PS527" s="93"/>
      <c r="PT527" s="93"/>
      <c r="PU527" s="93"/>
      <c r="PV527" s="93"/>
      <c r="PW527" s="93"/>
      <c r="PX527" s="93"/>
      <c r="PY527" s="93"/>
      <c r="PZ527" s="93"/>
      <c r="QA527" s="93"/>
      <c r="QB527" s="93"/>
      <c r="QC527" s="93"/>
      <c r="QD527" s="93"/>
      <c r="QE527" s="20"/>
      <c r="QF527" s="1739"/>
      <c r="QG527" s="19"/>
      <c r="QH527" s="93"/>
      <c r="QI527" s="93"/>
      <c r="QJ527" s="93"/>
      <c r="QK527" s="93"/>
      <c r="QL527" s="93"/>
      <c r="QM527" s="93"/>
      <c r="QN527" s="93"/>
      <c r="QO527" s="93"/>
      <c r="QP527" s="93"/>
      <c r="QQ527" s="93"/>
      <c r="QR527" s="93"/>
      <c r="QS527" s="93"/>
      <c r="QT527" s="93"/>
      <c r="QU527" s="93"/>
      <c r="QV527" s="93"/>
      <c r="QW527" s="93"/>
      <c r="QX527" s="93"/>
      <c r="QY527" s="93"/>
      <c r="QZ527" s="93"/>
      <c r="RA527" s="93"/>
      <c r="RB527" s="93"/>
      <c r="RC527" s="93"/>
      <c r="RD527" s="93"/>
      <c r="RE527" s="93"/>
      <c r="RF527" s="93"/>
      <c r="RG527" s="93"/>
      <c r="RH527" s="93"/>
      <c r="RI527" s="93"/>
      <c r="RJ527" s="93"/>
      <c r="RK527" s="93"/>
      <c r="RL527" s="93"/>
      <c r="RM527" s="20"/>
      <c r="RN527" s="29"/>
      <c r="RO527" s="19"/>
      <c r="RP527" s="20"/>
      <c r="RQ527" s="29"/>
      <c r="RR527" s="20"/>
      <c r="RS527" s="29"/>
      <c r="RT527" s="1504">
        <v>50496</v>
      </c>
      <c r="RU527" s="19"/>
      <c r="RV527" s="20"/>
      <c r="RW527" s="29"/>
      <c r="RX527" s="1504">
        <v>50496</v>
      </c>
      <c r="RY527" s="29"/>
      <c r="RZ527" s="20"/>
      <c r="SA527" s="29"/>
      <c r="SB527" s="29"/>
    </row>
    <row r="528" spans="1:496">
      <c r="A528" s="41">
        <f t="shared" si="360"/>
        <v>2038</v>
      </c>
      <c r="B528" s="1504">
        <v>50526</v>
      </c>
      <c r="C528" s="1813"/>
      <c r="D528" s="1814"/>
      <c r="E528" s="1814"/>
      <c r="F528" s="1815"/>
      <c r="G528" s="1814"/>
      <c r="H528" s="1814"/>
      <c r="I528" s="1814"/>
      <c r="J528" s="1816"/>
      <c r="K528" s="1807"/>
      <c r="L528" s="25"/>
      <c r="M528" s="97"/>
      <c r="N528" s="1504">
        <v>50526</v>
      </c>
      <c r="O528" s="19"/>
      <c r="P528" s="93"/>
      <c r="Q528" s="93"/>
      <c r="R528" s="93"/>
      <c r="S528" s="93"/>
      <c r="T528" s="93"/>
      <c r="U528" s="93"/>
      <c r="V528" s="93"/>
      <c r="W528" s="93"/>
      <c r="X528" s="93"/>
      <c r="Y528" s="93"/>
      <c r="Z528" s="93"/>
      <c r="AA528" s="93"/>
      <c r="AB528" s="20"/>
      <c r="AC528" s="25"/>
      <c r="AD528" s="97"/>
      <c r="AE528" s="1504">
        <v>50526</v>
      </c>
      <c r="AF528" s="19"/>
      <c r="AG528" s="93"/>
      <c r="AH528" s="93"/>
      <c r="AI528" s="93"/>
      <c r="AJ528" s="93"/>
      <c r="AK528" s="93"/>
      <c r="AL528" s="93"/>
      <c r="AM528" s="93"/>
      <c r="AN528" s="93"/>
      <c r="AO528" s="93"/>
      <c r="AP528" s="93"/>
      <c r="AQ528" s="93"/>
      <c r="AR528" s="93"/>
      <c r="AS528" s="20"/>
      <c r="AT528" s="25"/>
      <c r="AU528" s="97"/>
      <c r="AV528" s="1504">
        <v>50526</v>
      </c>
      <c r="AW528" s="19"/>
      <c r="AX528" s="93"/>
      <c r="AY528" s="93"/>
      <c r="AZ528" s="93"/>
      <c r="BA528" s="93"/>
      <c r="BB528" s="93"/>
      <c r="BC528" s="93"/>
      <c r="BD528" s="93"/>
      <c r="BE528" s="93"/>
      <c r="BF528" s="93"/>
      <c r="BG528" s="93"/>
      <c r="BH528" s="93"/>
      <c r="BI528" s="93"/>
      <c r="BJ528" s="20"/>
      <c r="BK528" s="25"/>
      <c r="BL528" s="97"/>
      <c r="BM528" s="1504">
        <v>50526</v>
      </c>
      <c r="BN528" s="19"/>
      <c r="BO528" s="93"/>
      <c r="BP528" s="93"/>
      <c r="BQ528" s="93"/>
      <c r="BR528" s="93"/>
      <c r="BS528" s="93"/>
      <c r="BT528" s="93"/>
      <c r="BU528" s="20"/>
      <c r="BV528" s="25"/>
      <c r="BW528" s="97"/>
      <c r="BX528" s="1504">
        <v>50526</v>
      </c>
      <c r="BY528" s="19"/>
      <c r="BZ528" s="93"/>
      <c r="CA528" s="93"/>
      <c r="CB528" s="93"/>
      <c r="CC528" s="93"/>
      <c r="CD528" s="25"/>
      <c r="CE528" s="97"/>
      <c r="CF528" s="1504">
        <v>50526</v>
      </c>
      <c r="CG528" s="19"/>
      <c r="CH528" s="93"/>
      <c r="CI528" s="219"/>
      <c r="CJ528" s="20"/>
      <c r="CK528" s="19"/>
      <c r="CL528" s="93"/>
      <c r="CM528" s="93"/>
      <c r="CN528" s="93"/>
      <c r="CO528" s="93"/>
      <c r="CP528" s="20"/>
      <c r="CQ528" s="219"/>
      <c r="CR528" s="93"/>
      <c r="CS528" s="93"/>
      <c r="CT528" s="93"/>
      <c r="CU528" s="93"/>
      <c r="CV528" s="214"/>
      <c r="CW528" s="29"/>
      <c r="CX528" s="41">
        <f t="shared" si="361"/>
        <v>2038</v>
      </c>
      <c r="CY528" s="1504">
        <v>50526</v>
      </c>
      <c r="CZ528" s="19"/>
      <c r="DA528" s="93"/>
      <c r="DB528" s="93"/>
      <c r="DC528" s="93"/>
      <c r="DD528" s="93"/>
      <c r="DE528" s="20"/>
      <c r="DF528" s="29"/>
      <c r="DG528" s="1504">
        <v>50526</v>
      </c>
      <c r="DH528" s="19"/>
      <c r="DI528" s="93"/>
      <c r="DJ528" s="93"/>
      <c r="DK528" s="93"/>
      <c r="DL528" s="93"/>
      <c r="DM528" s="93"/>
      <c r="DN528" s="20"/>
      <c r="DO528" s="295"/>
      <c r="DP528" s="29"/>
      <c r="DQ528" s="1504">
        <v>50526</v>
      </c>
      <c r="DR528" s="19"/>
      <c r="DS528" s="93"/>
      <c r="DT528" s="93"/>
      <c r="DU528" s="93"/>
      <c r="DV528" s="93"/>
      <c r="DW528" s="93"/>
      <c r="DX528" s="20"/>
      <c r="DY528" s="29"/>
      <c r="DZ528" s="1504">
        <v>50526</v>
      </c>
      <c r="EA528" s="19"/>
      <c r="EB528" s="93"/>
      <c r="EC528" s="20"/>
      <c r="ED528" s="29"/>
      <c r="EE528" s="1504">
        <v>50526</v>
      </c>
      <c r="EF528" s="19"/>
      <c r="EG528" s="93"/>
      <c r="EH528" s="93"/>
      <c r="EI528" s="214"/>
      <c r="EJ528" s="93"/>
      <c r="EK528" s="93"/>
      <c r="EL528" s="93"/>
      <c r="EM528" s="93"/>
      <c r="EN528" s="20"/>
      <c r="EO528" s="29"/>
      <c r="EP528" s="1504">
        <v>50526</v>
      </c>
      <c r="EQ528" s="19"/>
      <c r="ER528" s="93"/>
      <c r="ES528" s="93"/>
      <c r="ET528" s="214"/>
      <c r="EU528" s="93"/>
      <c r="EV528" s="93"/>
      <c r="EW528" s="93"/>
      <c r="EX528" s="93"/>
      <c r="EY528" s="20"/>
      <c r="EZ528" s="29"/>
      <c r="FA528" s="1504">
        <v>50526</v>
      </c>
      <c r="FB528" s="29"/>
      <c r="FC528" s="29"/>
      <c r="FD528" s="29"/>
      <c r="FE528" s="29"/>
      <c r="FF528" s="29"/>
      <c r="FG528" s="29"/>
      <c r="FH528" s="29"/>
      <c r="FI528" s="29"/>
      <c r="FJ528" s="29"/>
      <c r="FK528" s="29"/>
      <c r="FL528" s="1504">
        <v>50526</v>
      </c>
      <c r="FM528" s="19"/>
      <c r="FN528" s="93"/>
      <c r="FO528" s="93"/>
      <c r="FP528" s="93"/>
      <c r="FQ528" s="93"/>
      <c r="FR528" s="93"/>
      <c r="FS528" s="93"/>
      <c r="FT528" s="93"/>
      <c r="FU528" s="93"/>
      <c r="FV528" s="93"/>
      <c r="FW528" s="93"/>
      <c r="FX528" s="93"/>
      <c r="FY528" s="93"/>
      <c r="FZ528" s="29"/>
      <c r="GA528" s="1504">
        <v>50526</v>
      </c>
      <c r="GB528" s="19"/>
      <c r="GC528" s="93"/>
      <c r="GD528" s="93"/>
      <c r="GE528" s="93"/>
      <c r="GF528" s="93"/>
      <c r="GG528" s="93"/>
      <c r="GH528" s="93"/>
      <c r="GI528" s="93"/>
      <c r="GJ528" s="93"/>
      <c r="GK528" s="93"/>
      <c r="GL528" s="93"/>
      <c r="GM528" s="93"/>
      <c r="GN528" s="20"/>
      <c r="GO528" s="29"/>
      <c r="GP528" s="1504">
        <v>50526</v>
      </c>
      <c r="GQ528" s="19"/>
      <c r="GR528" s="93"/>
      <c r="GS528" s="93"/>
      <c r="GT528" s="93"/>
      <c r="GU528" s="93"/>
      <c r="GV528" s="20"/>
      <c r="GW528" s="19"/>
      <c r="GX528" s="93"/>
      <c r="GY528" s="93"/>
      <c r="GZ528" s="93"/>
      <c r="HA528" s="93"/>
      <c r="HB528" s="20"/>
      <c r="HC528" s="19"/>
      <c r="HD528" s="93"/>
      <c r="HE528" s="93"/>
      <c r="HF528" s="93"/>
      <c r="HG528" s="93"/>
      <c r="HH528" s="20"/>
      <c r="HI528" s="19"/>
      <c r="HJ528" s="93"/>
      <c r="HK528" s="93"/>
      <c r="HL528" s="93"/>
      <c r="HM528" s="93"/>
      <c r="HN528" s="20"/>
      <c r="HO528" s="219"/>
      <c r="HP528" s="20"/>
      <c r="HQ528" s="25"/>
      <c r="HR528" s="29"/>
      <c r="HS528" s="1504">
        <v>50526</v>
      </c>
      <c r="HT528" s="19"/>
      <c r="HU528" s="93"/>
      <c r="HV528" s="93"/>
      <c r="HW528" s="93"/>
      <c r="HX528" s="93"/>
      <c r="HY528" s="93"/>
      <c r="HZ528" s="93"/>
      <c r="IA528" s="20"/>
      <c r="IB528" s="19"/>
      <c r="IC528" s="93"/>
      <c r="ID528" s="93"/>
      <c r="IE528" s="93"/>
      <c r="IF528" s="93"/>
      <c r="IG528" s="20"/>
      <c r="IH528" s="19"/>
      <c r="II528" s="93"/>
      <c r="IJ528" s="93"/>
      <c r="IK528" s="93"/>
      <c r="IL528" s="93"/>
      <c r="IM528" s="93"/>
      <c r="IN528" s="93"/>
      <c r="IO528" s="20"/>
      <c r="IP528" s="29"/>
      <c r="IQ528" s="19"/>
      <c r="IR528" s="93"/>
      <c r="IS528" s="93"/>
      <c r="IT528" s="93"/>
      <c r="IU528" s="93"/>
      <c r="IV528" s="20"/>
      <c r="IW528" s="29"/>
      <c r="IX528" s="19"/>
      <c r="IY528" s="93"/>
      <c r="IZ528" s="93"/>
      <c r="JA528" s="93"/>
      <c r="JB528" s="93"/>
      <c r="JC528" s="93"/>
      <c r="JD528" s="93"/>
      <c r="JE528" s="20"/>
      <c r="JF528" s="29"/>
      <c r="JG528" s="19"/>
      <c r="JH528" s="93"/>
      <c r="JI528" s="93"/>
      <c r="JJ528" s="93"/>
      <c r="JK528" s="93"/>
      <c r="JL528" s="93"/>
      <c r="JM528" s="93"/>
      <c r="JN528" s="20"/>
      <c r="JO528" s="29"/>
      <c r="JP528" s="19"/>
      <c r="JQ528" s="93"/>
      <c r="JR528" s="93"/>
      <c r="JS528" s="93"/>
      <c r="JT528" s="93"/>
      <c r="JU528" s="20"/>
      <c r="JV528" s="29"/>
      <c r="JW528" s="1504">
        <v>50526</v>
      </c>
      <c r="JX528" s="19"/>
      <c r="JY528" s="93"/>
      <c r="JZ528" s="93"/>
      <c r="KA528" s="93"/>
      <c r="KB528" s="93"/>
      <c r="KC528" s="93"/>
      <c r="KD528" s="20"/>
      <c r="KE528" s="29"/>
      <c r="KF528" s="19"/>
      <c r="KG528" s="93"/>
      <c r="KH528" s="93"/>
      <c r="KI528" s="93"/>
      <c r="KJ528" s="93"/>
      <c r="KK528" s="20"/>
      <c r="KL528" s="29"/>
      <c r="KM528" s="19"/>
      <c r="KN528" s="93"/>
      <c r="KO528" s="93"/>
      <c r="KP528" s="93"/>
      <c r="KQ528" s="93"/>
      <c r="KR528" s="20"/>
      <c r="KS528" s="29"/>
      <c r="KT528" s="19"/>
      <c r="KU528" s="93"/>
      <c r="KV528" s="93"/>
      <c r="KW528" s="93"/>
      <c r="KX528" s="93"/>
      <c r="KY528" s="20"/>
      <c r="KZ528" s="29"/>
      <c r="LA528" s="1504">
        <v>50526</v>
      </c>
      <c r="LB528" s="19"/>
      <c r="LC528" s="93"/>
      <c r="LD528" s="93"/>
      <c r="LE528" s="93"/>
      <c r="LF528" s="93"/>
      <c r="LG528" s="93"/>
      <c r="LH528" s="20"/>
      <c r="LI528" s="29"/>
      <c r="LJ528" s="19"/>
      <c r="LK528" s="93"/>
      <c r="LL528" s="93"/>
      <c r="LM528" s="93"/>
      <c r="LN528" s="93"/>
      <c r="LO528" s="20"/>
      <c r="LP528" s="29"/>
      <c r="LQ528" s="19"/>
      <c r="LR528" s="93"/>
      <c r="LS528" s="93"/>
      <c r="LT528" s="93"/>
      <c r="LU528" s="93"/>
      <c r="LV528" s="93"/>
      <c r="LW528" s="93"/>
      <c r="LX528" s="93"/>
      <c r="LY528" s="93"/>
      <c r="LZ528" s="93"/>
      <c r="MA528" s="20"/>
      <c r="MB528" s="29"/>
      <c r="MC528" s="1504">
        <v>50526</v>
      </c>
      <c r="MD528" s="19"/>
      <c r="ME528" s="93"/>
      <c r="MF528" s="93"/>
      <c r="MG528" s="93"/>
      <c r="MH528" s="93"/>
      <c r="MI528" s="93"/>
      <c r="MJ528" s="93"/>
      <c r="MK528" s="93"/>
      <c r="ML528" s="93"/>
      <c r="MM528" s="93"/>
      <c r="MN528" s="93"/>
      <c r="MO528" s="93"/>
      <c r="MP528" s="93"/>
      <c r="MQ528" s="93"/>
      <c r="MR528" s="93"/>
      <c r="MS528" s="93"/>
      <c r="MT528" s="93"/>
      <c r="MU528" s="93"/>
      <c r="MV528" s="93"/>
      <c r="MW528" s="93"/>
      <c r="MX528" s="93"/>
      <c r="MY528" s="93"/>
      <c r="MZ528" s="93"/>
      <c r="NA528" s="93"/>
      <c r="NB528" s="93"/>
      <c r="NC528" s="93"/>
      <c r="ND528" s="93"/>
      <c r="NE528" s="93"/>
      <c r="NF528" s="93"/>
      <c r="NG528" s="93"/>
      <c r="NH528" s="93"/>
      <c r="NI528" s="93"/>
      <c r="NJ528" s="93"/>
      <c r="NK528" s="93"/>
      <c r="NL528" s="93"/>
      <c r="NM528" s="93"/>
      <c r="NN528" s="93"/>
      <c r="NO528" s="93"/>
      <c r="NP528" s="93"/>
      <c r="NQ528" s="93"/>
      <c r="NR528" s="93"/>
      <c r="NS528" s="93"/>
      <c r="NT528" s="93"/>
      <c r="NU528" s="93"/>
      <c r="NV528" s="93"/>
      <c r="NW528" s="93"/>
      <c r="NX528" s="93"/>
      <c r="NY528" s="93"/>
      <c r="NZ528" s="93"/>
      <c r="OA528" s="93"/>
      <c r="OB528" s="93"/>
      <c r="OC528" s="93"/>
      <c r="OD528" s="20"/>
      <c r="OE528" s="29"/>
      <c r="OF528" s="1504">
        <v>50526</v>
      </c>
      <c r="OG528" s="19"/>
      <c r="OH528" s="93"/>
      <c r="OI528" s="93"/>
      <c r="OJ528" s="93"/>
      <c r="OK528" s="93"/>
      <c r="OL528" s="93"/>
      <c r="OM528" s="93"/>
      <c r="ON528" s="93"/>
      <c r="OO528" s="93"/>
      <c r="OP528" s="93"/>
      <c r="OQ528" s="93"/>
      <c r="OR528" s="93"/>
      <c r="OS528" s="93"/>
      <c r="OT528" s="93"/>
      <c r="OU528" s="93"/>
      <c r="OV528" s="93"/>
      <c r="OW528" s="93"/>
      <c r="OX528" s="93"/>
      <c r="OY528" s="93"/>
      <c r="OZ528" s="93"/>
      <c r="PA528" s="93"/>
      <c r="PB528" s="93"/>
      <c r="PC528" s="20"/>
      <c r="PD528" s="29"/>
      <c r="PE528" s="19"/>
      <c r="PF528" s="93"/>
      <c r="PG528" s="93"/>
      <c r="PH528" s="93"/>
      <c r="PI528" s="93"/>
      <c r="PJ528" s="93"/>
      <c r="PK528" s="93"/>
      <c r="PL528" s="93"/>
      <c r="PM528" s="93"/>
      <c r="PN528" s="93"/>
      <c r="PO528" s="93"/>
      <c r="PP528" s="93"/>
      <c r="PQ528" s="93"/>
      <c r="PR528" s="93"/>
      <c r="PS528" s="93"/>
      <c r="PT528" s="93"/>
      <c r="PU528" s="93"/>
      <c r="PV528" s="93"/>
      <c r="PW528" s="93"/>
      <c r="PX528" s="93"/>
      <c r="PY528" s="93"/>
      <c r="PZ528" s="93"/>
      <c r="QA528" s="93"/>
      <c r="QB528" s="93"/>
      <c r="QC528" s="93"/>
      <c r="QD528" s="93"/>
      <c r="QE528" s="20"/>
      <c r="QF528" s="1739"/>
      <c r="QG528" s="19"/>
      <c r="QH528" s="93"/>
      <c r="QI528" s="93"/>
      <c r="QJ528" s="93"/>
      <c r="QK528" s="93"/>
      <c r="QL528" s="93"/>
      <c r="QM528" s="93"/>
      <c r="QN528" s="93"/>
      <c r="QO528" s="93"/>
      <c r="QP528" s="93"/>
      <c r="QQ528" s="93"/>
      <c r="QR528" s="93"/>
      <c r="QS528" s="93"/>
      <c r="QT528" s="93"/>
      <c r="QU528" s="93"/>
      <c r="QV528" s="93"/>
      <c r="QW528" s="93"/>
      <c r="QX528" s="93"/>
      <c r="QY528" s="93"/>
      <c r="QZ528" s="93"/>
      <c r="RA528" s="93"/>
      <c r="RB528" s="93"/>
      <c r="RC528" s="93"/>
      <c r="RD528" s="93"/>
      <c r="RE528" s="93"/>
      <c r="RF528" s="93"/>
      <c r="RG528" s="93"/>
      <c r="RH528" s="93"/>
      <c r="RI528" s="93"/>
      <c r="RJ528" s="93"/>
      <c r="RK528" s="93"/>
      <c r="RL528" s="93"/>
      <c r="RM528" s="20"/>
      <c r="RN528" s="29"/>
      <c r="RO528" s="19"/>
      <c r="RP528" s="20"/>
      <c r="RQ528" s="29"/>
      <c r="RR528" s="20"/>
      <c r="RS528" s="29"/>
      <c r="RT528" s="1504">
        <v>50526</v>
      </c>
      <c r="RU528" s="19"/>
      <c r="RV528" s="20"/>
      <c r="RW528" s="29"/>
      <c r="RX528" s="1504">
        <v>50526</v>
      </c>
      <c r="RY528" s="29"/>
      <c r="RZ528" s="20"/>
      <c r="SA528" s="29"/>
      <c r="SB528" s="29"/>
    </row>
    <row r="529" spans="1:496">
      <c r="A529" s="41">
        <f t="shared" si="360"/>
        <v>2038</v>
      </c>
      <c r="B529" s="1504">
        <v>50557</v>
      </c>
      <c r="C529" s="1813"/>
      <c r="D529" s="1814"/>
      <c r="E529" s="1814"/>
      <c r="F529" s="1815"/>
      <c r="G529" s="1814"/>
      <c r="H529" s="1814"/>
      <c r="I529" s="1814"/>
      <c r="J529" s="1816"/>
      <c r="K529" s="1807"/>
      <c r="L529" s="25"/>
      <c r="M529" s="97"/>
      <c r="N529" s="1504">
        <v>50557</v>
      </c>
      <c r="O529" s="19"/>
      <c r="P529" s="93"/>
      <c r="Q529" s="93"/>
      <c r="R529" s="93"/>
      <c r="S529" s="93"/>
      <c r="T529" s="93"/>
      <c r="U529" s="93"/>
      <c r="V529" s="93"/>
      <c r="W529" s="93"/>
      <c r="X529" s="93"/>
      <c r="Y529" s="93"/>
      <c r="Z529" s="93"/>
      <c r="AA529" s="93"/>
      <c r="AB529" s="20"/>
      <c r="AC529" s="25"/>
      <c r="AD529" s="97"/>
      <c r="AE529" s="1504">
        <v>50557</v>
      </c>
      <c r="AF529" s="19"/>
      <c r="AG529" s="93"/>
      <c r="AH529" s="93"/>
      <c r="AI529" s="93"/>
      <c r="AJ529" s="93"/>
      <c r="AK529" s="93"/>
      <c r="AL529" s="93"/>
      <c r="AM529" s="93"/>
      <c r="AN529" s="93"/>
      <c r="AO529" s="93"/>
      <c r="AP529" s="93"/>
      <c r="AQ529" s="93"/>
      <c r="AR529" s="93"/>
      <c r="AS529" s="20"/>
      <c r="AT529" s="25"/>
      <c r="AU529" s="97"/>
      <c r="AV529" s="1504">
        <v>50557</v>
      </c>
      <c r="AW529" s="19"/>
      <c r="AX529" s="93"/>
      <c r="AY529" s="93"/>
      <c r="AZ529" s="93"/>
      <c r="BA529" s="93"/>
      <c r="BB529" s="93"/>
      <c r="BC529" s="93"/>
      <c r="BD529" s="93"/>
      <c r="BE529" s="93"/>
      <c r="BF529" s="93"/>
      <c r="BG529" s="93"/>
      <c r="BH529" s="93"/>
      <c r="BI529" s="93"/>
      <c r="BJ529" s="20"/>
      <c r="BK529" s="25"/>
      <c r="BL529" s="97"/>
      <c r="BM529" s="1504">
        <v>50557</v>
      </c>
      <c r="BN529" s="19"/>
      <c r="BO529" s="93"/>
      <c r="BP529" s="93"/>
      <c r="BQ529" s="93"/>
      <c r="BR529" s="93"/>
      <c r="BS529" s="93"/>
      <c r="BT529" s="93"/>
      <c r="BU529" s="20"/>
      <c r="BV529" s="25"/>
      <c r="BW529" s="97"/>
      <c r="BX529" s="1504">
        <v>50557</v>
      </c>
      <c r="BY529" s="19"/>
      <c r="BZ529" s="93"/>
      <c r="CA529" s="93"/>
      <c r="CB529" s="93"/>
      <c r="CC529" s="93"/>
      <c r="CD529" s="25"/>
      <c r="CE529" s="97"/>
      <c r="CF529" s="1504">
        <v>50557</v>
      </c>
      <c r="CG529" s="19"/>
      <c r="CH529" s="93"/>
      <c r="CI529" s="219"/>
      <c r="CJ529" s="20"/>
      <c r="CK529" s="19"/>
      <c r="CL529" s="93"/>
      <c r="CM529" s="93"/>
      <c r="CN529" s="93"/>
      <c r="CO529" s="93"/>
      <c r="CP529" s="20"/>
      <c r="CQ529" s="219"/>
      <c r="CR529" s="93"/>
      <c r="CS529" s="93"/>
      <c r="CT529" s="93"/>
      <c r="CU529" s="93"/>
      <c r="CV529" s="214"/>
      <c r="CW529" s="29"/>
      <c r="CX529" s="41">
        <f t="shared" si="361"/>
        <v>2038</v>
      </c>
      <c r="CY529" s="1504">
        <v>50557</v>
      </c>
      <c r="CZ529" s="19"/>
      <c r="DA529" s="93"/>
      <c r="DB529" s="93"/>
      <c r="DC529" s="93"/>
      <c r="DD529" s="93"/>
      <c r="DE529" s="20"/>
      <c r="DF529" s="29"/>
      <c r="DG529" s="1504">
        <v>50557</v>
      </c>
      <c r="DH529" s="19"/>
      <c r="DI529" s="93"/>
      <c r="DJ529" s="93"/>
      <c r="DK529" s="93"/>
      <c r="DL529" s="93"/>
      <c r="DM529" s="93"/>
      <c r="DN529" s="20"/>
      <c r="DO529" s="295"/>
      <c r="DP529" s="29"/>
      <c r="DQ529" s="1504">
        <v>50557</v>
      </c>
      <c r="DR529" s="19"/>
      <c r="DS529" s="93"/>
      <c r="DT529" s="93"/>
      <c r="DU529" s="93"/>
      <c r="DV529" s="93"/>
      <c r="DW529" s="93"/>
      <c r="DX529" s="20"/>
      <c r="DY529" s="29"/>
      <c r="DZ529" s="1504">
        <v>50557</v>
      </c>
      <c r="EA529" s="19"/>
      <c r="EB529" s="93"/>
      <c r="EC529" s="20"/>
      <c r="ED529" s="29"/>
      <c r="EE529" s="1504">
        <v>50557</v>
      </c>
      <c r="EF529" s="19"/>
      <c r="EG529" s="93"/>
      <c r="EH529" s="93"/>
      <c r="EI529" s="214"/>
      <c r="EJ529" s="93"/>
      <c r="EK529" s="93"/>
      <c r="EL529" s="93"/>
      <c r="EM529" s="93"/>
      <c r="EN529" s="20"/>
      <c r="EO529" s="29"/>
      <c r="EP529" s="1504">
        <v>50557</v>
      </c>
      <c r="EQ529" s="19"/>
      <c r="ER529" s="93"/>
      <c r="ES529" s="93"/>
      <c r="ET529" s="214"/>
      <c r="EU529" s="93"/>
      <c r="EV529" s="93"/>
      <c r="EW529" s="93"/>
      <c r="EX529" s="93"/>
      <c r="EY529" s="20"/>
      <c r="EZ529" s="29"/>
      <c r="FA529" s="1504">
        <v>50557</v>
      </c>
      <c r="FB529" s="29"/>
      <c r="FC529" s="29"/>
      <c r="FD529" s="29"/>
      <c r="FE529" s="29"/>
      <c r="FF529" s="29"/>
      <c r="FG529" s="29"/>
      <c r="FH529" s="29"/>
      <c r="FI529" s="29"/>
      <c r="FJ529" s="29"/>
      <c r="FK529" s="29"/>
      <c r="FL529" s="1504">
        <v>50557</v>
      </c>
      <c r="FM529" s="19"/>
      <c r="FN529" s="93"/>
      <c r="FO529" s="93"/>
      <c r="FP529" s="93"/>
      <c r="FQ529" s="93"/>
      <c r="FR529" s="93"/>
      <c r="FS529" s="93"/>
      <c r="FT529" s="93"/>
      <c r="FU529" s="93"/>
      <c r="FV529" s="93"/>
      <c r="FW529" s="93"/>
      <c r="FX529" s="93"/>
      <c r="FY529" s="93"/>
      <c r="FZ529" s="29"/>
      <c r="GA529" s="1504">
        <v>50557</v>
      </c>
      <c r="GB529" s="19"/>
      <c r="GC529" s="93"/>
      <c r="GD529" s="93"/>
      <c r="GE529" s="93"/>
      <c r="GF529" s="93"/>
      <c r="GG529" s="93"/>
      <c r="GH529" s="93"/>
      <c r="GI529" s="93"/>
      <c r="GJ529" s="93"/>
      <c r="GK529" s="93"/>
      <c r="GL529" s="93"/>
      <c r="GM529" s="93"/>
      <c r="GN529" s="20"/>
      <c r="GO529" s="29"/>
      <c r="GP529" s="1504">
        <v>50557</v>
      </c>
      <c r="GQ529" s="19"/>
      <c r="GR529" s="93"/>
      <c r="GS529" s="93"/>
      <c r="GT529" s="93"/>
      <c r="GU529" s="93"/>
      <c r="GV529" s="20"/>
      <c r="GW529" s="19"/>
      <c r="GX529" s="93"/>
      <c r="GY529" s="93"/>
      <c r="GZ529" s="93"/>
      <c r="HA529" s="93"/>
      <c r="HB529" s="20"/>
      <c r="HC529" s="19"/>
      <c r="HD529" s="93"/>
      <c r="HE529" s="93"/>
      <c r="HF529" s="93"/>
      <c r="HG529" s="93"/>
      <c r="HH529" s="20"/>
      <c r="HI529" s="19"/>
      <c r="HJ529" s="93"/>
      <c r="HK529" s="93"/>
      <c r="HL529" s="93"/>
      <c r="HM529" s="93"/>
      <c r="HN529" s="20"/>
      <c r="HO529" s="219"/>
      <c r="HP529" s="20"/>
      <c r="HQ529" s="25"/>
      <c r="HR529" s="29"/>
      <c r="HS529" s="1504">
        <v>50557</v>
      </c>
      <c r="HT529" s="19"/>
      <c r="HU529" s="93"/>
      <c r="HV529" s="93"/>
      <c r="HW529" s="93"/>
      <c r="HX529" s="93"/>
      <c r="HY529" s="93"/>
      <c r="HZ529" s="93"/>
      <c r="IA529" s="20"/>
      <c r="IB529" s="19"/>
      <c r="IC529" s="93"/>
      <c r="ID529" s="93"/>
      <c r="IE529" s="93"/>
      <c r="IF529" s="93"/>
      <c r="IG529" s="20"/>
      <c r="IH529" s="19"/>
      <c r="II529" s="93"/>
      <c r="IJ529" s="93"/>
      <c r="IK529" s="93"/>
      <c r="IL529" s="93"/>
      <c r="IM529" s="93"/>
      <c r="IN529" s="93"/>
      <c r="IO529" s="20"/>
      <c r="IP529" s="29"/>
      <c r="IQ529" s="19"/>
      <c r="IR529" s="93"/>
      <c r="IS529" s="93"/>
      <c r="IT529" s="93"/>
      <c r="IU529" s="93"/>
      <c r="IV529" s="20"/>
      <c r="IW529" s="29"/>
      <c r="IX529" s="19"/>
      <c r="IY529" s="93"/>
      <c r="IZ529" s="93"/>
      <c r="JA529" s="93"/>
      <c r="JB529" s="93"/>
      <c r="JC529" s="93"/>
      <c r="JD529" s="93"/>
      <c r="JE529" s="20"/>
      <c r="JF529" s="29"/>
      <c r="JG529" s="19"/>
      <c r="JH529" s="93"/>
      <c r="JI529" s="93"/>
      <c r="JJ529" s="93"/>
      <c r="JK529" s="93"/>
      <c r="JL529" s="93"/>
      <c r="JM529" s="93"/>
      <c r="JN529" s="20"/>
      <c r="JO529" s="29"/>
      <c r="JP529" s="19"/>
      <c r="JQ529" s="93"/>
      <c r="JR529" s="93"/>
      <c r="JS529" s="93"/>
      <c r="JT529" s="93"/>
      <c r="JU529" s="20"/>
      <c r="JV529" s="29"/>
      <c r="JW529" s="1504">
        <v>50557</v>
      </c>
      <c r="JX529" s="19"/>
      <c r="JY529" s="93"/>
      <c r="JZ529" s="93"/>
      <c r="KA529" s="93"/>
      <c r="KB529" s="93"/>
      <c r="KC529" s="93"/>
      <c r="KD529" s="20"/>
      <c r="KE529" s="29"/>
      <c r="KF529" s="19"/>
      <c r="KG529" s="93"/>
      <c r="KH529" s="93"/>
      <c r="KI529" s="93"/>
      <c r="KJ529" s="93"/>
      <c r="KK529" s="20"/>
      <c r="KL529" s="29"/>
      <c r="KM529" s="19"/>
      <c r="KN529" s="93"/>
      <c r="KO529" s="93"/>
      <c r="KP529" s="93"/>
      <c r="KQ529" s="93"/>
      <c r="KR529" s="20"/>
      <c r="KS529" s="29"/>
      <c r="KT529" s="19"/>
      <c r="KU529" s="93"/>
      <c r="KV529" s="93"/>
      <c r="KW529" s="93"/>
      <c r="KX529" s="93"/>
      <c r="KY529" s="20"/>
      <c r="KZ529" s="29"/>
      <c r="LA529" s="1504">
        <v>50557</v>
      </c>
      <c r="LB529" s="19"/>
      <c r="LC529" s="93"/>
      <c r="LD529" s="93"/>
      <c r="LE529" s="93"/>
      <c r="LF529" s="93"/>
      <c r="LG529" s="93"/>
      <c r="LH529" s="20"/>
      <c r="LI529" s="29"/>
      <c r="LJ529" s="19"/>
      <c r="LK529" s="93"/>
      <c r="LL529" s="93"/>
      <c r="LM529" s="93"/>
      <c r="LN529" s="93"/>
      <c r="LO529" s="20"/>
      <c r="LP529" s="29"/>
      <c r="LQ529" s="19"/>
      <c r="LR529" s="93"/>
      <c r="LS529" s="93"/>
      <c r="LT529" s="93"/>
      <c r="LU529" s="93"/>
      <c r="LV529" s="93"/>
      <c r="LW529" s="93"/>
      <c r="LX529" s="93"/>
      <c r="LY529" s="93"/>
      <c r="LZ529" s="93"/>
      <c r="MA529" s="20"/>
      <c r="MB529" s="29"/>
      <c r="MC529" s="1504">
        <v>50557</v>
      </c>
      <c r="MD529" s="19"/>
      <c r="ME529" s="93"/>
      <c r="MF529" s="93"/>
      <c r="MG529" s="93"/>
      <c r="MH529" s="93"/>
      <c r="MI529" s="93"/>
      <c r="MJ529" s="93"/>
      <c r="MK529" s="93"/>
      <c r="ML529" s="93"/>
      <c r="MM529" s="93"/>
      <c r="MN529" s="93"/>
      <c r="MO529" s="93"/>
      <c r="MP529" s="93"/>
      <c r="MQ529" s="93"/>
      <c r="MR529" s="93"/>
      <c r="MS529" s="93"/>
      <c r="MT529" s="93"/>
      <c r="MU529" s="93"/>
      <c r="MV529" s="93"/>
      <c r="MW529" s="93"/>
      <c r="MX529" s="93"/>
      <c r="MY529" s="93"/>
      <c r="MZ529" s="93"/>
      <c r="NA529" s="93"/>
      <c r="NB529" s="93"/>
      <c r="NC529" s="93"/>
      <c r="ND529" s="93"/>
      <c r="NE529" s="93"/>
      <c r="NF529" s="93"/>
      <c r="NG529" s="93"/>
      <c r="NH529" s="93"/>
      <c r="NI529" s="93"/>
      <c r="NJ529" s="93"/>
      <c r="NK529" s="93"/>
      <c r="NL529" s="93"/>
      <c r="NM529" s="93"/>
      <c r="NN529" s="93"/>
      <c r="NO529" s="93"/>
      <c r="NP529" s="93"/>
      <c r="NQ529" s="93"/>
      <c r="NR529" s="93"/>
      <c r="NS529" s="93"/>
      <c r="NT529" s="93"/>
      <c r="NU529" s="93"/>
      <c r="NV529" s="93"/>
      <c r="NW529" s="93"/>
      <c r="NX529" s="93"/>
      <c r="NY529" s="93"/>
      <c r="NZ529" s="93"/>
      <c r="OA529" s="93"/>
      <c r="OB529" s="93"/>
      <c r="OC529" s="93"/>
      <c r="OD529" s="20"/>
      <c r="OE529" s="29"/>
      <c r="OF529" s="1504">
        <v>50557</v>
      </c>
      <c r="OG529" s="19"/>
      <c r="OH529" s="93"/>
      <c r="OI529" s="93"/>
      <c r="OJ529" s="93"/>
      <c r="OK529" s="93"/>
      <c r="OL529" s="93"/>
      <c r="OM529" s="93"/>
      <c r="ON529" s="93"/>
      <c r="OO529" s="93"/>
      <c r="OP529" s="93"/>
      <c r="OQ529" s="93"/>
      <c r="OR529" s="93"/>
      <c r="OS529" s="93"/>
      <c r="OT529" s="93"/>
      <c r="OU529" s="93"/>
      <c r="OV529" s="93"/>
      <c r="OW529" s="93"/>
      <c r="OX529" s="93"/>
      <c r="OY529" s="93"/>
      <c r="OZ529" s="93"/>
      <c r="PA529" s="93"/>
      <c r="PB529" s="93"/>
      <c r="PC529" s="20"/>
      <c r="PD529" s="29"/>
      <c r="PE529" s="19"/>
      <c r="PF529" s="93"/>
      <c r="PG529" s="93"/>
      <c r="PH529" s="93"/>
      <c r="PI529" s="93"/>
      <c r="PJ529" s="93"/>
      <c r="PK529" s="93"/>
      <c r="PL529" s="93"/>
      <c r="PM529" s="93"/>
      <c r="PN529" s="93"/>
      <c r="PO529" s="93"/>
      <c r="PP529" s="93"/>
      <c r="PQ529" s="93"/>
      <c r="PR529" s="93"/>
      <c r="PS529" s="93"/>
      <c r="PT529" s="93"/>
      <c r="PU529" s="93"/>
      <c r="PV529" s="93"/>
      <c r="PW529" s="93"/>
      <c r="PX529" s="93"/>
      <c r="PY529" s="93"/>
      <c r="PZ529" s="93"/>
      <c r="QA529" s="93"/>
      <c r="QB529" s="93"/>
      <c r="QC529" s="93"/>
      <c r="QD529" s="93"/>
      <c r="QE529" s="20"/>
      <c r="QF529" s="1739"/>
      <c r="QG529" s="19"/>
      <c r="QH529" s="93"/>
      <c r="QI529" s="93"/>
      <c r="QJ529" s="93"/>
      <c r="QK529" s="93"/>
      <c r="QL529" s="93"/>
      <c r="QM529" s="93"/>
      <c r="QN529" s="93"/>
      <c r="QO529" s="93"/>
      <c r="QP529" s="93"/>
      <c r="QQ529" s="93"/>
      <c r="QR529" s="93"/>
      <c r="QS529" s="93"/>
      <c r="QT529" s="93"/>
      <c r="QU529" s="93"/>
      <c r="QV529" s="93"/>
      <c r="QW529" s="93"/>
      <c r="QX529" s="93"/>
      <c r="QY529" s="93"/>
      <c r="QZ529" s="93"/>
      <c r="RA529" s="93"/>
      <c r="RB529" s="93"/>
      <c r="RC529" s="93"/>
      <c r="RD529" s="93"/>
      <c r="RE529" s="93"/>
      <c r="RF529" s="93"/>
      <c r="RG529" s="93"/>
      <c r="RH529" s="93"/>
      <c r="RI529" s="93"/>
      <c r="RJ529" s="93"/>
      <c r="RK529" s="93"/>
      <c r="RL529" s="93"/>
      <c r="RM529" s="20"/>
      <c r="RN529" s="29"/>
      <c r="RO529" s="19"/>
      <c r="RP529" s="20"/>
      <c r="RQ529" s="29"/>
      <c r="RR529" s="20"/>
      <c r="RS529" s="29"/>
      <c r="RT529" s="1504">
        <v>50557</v>
      </c>
      <c r="RU529" s="19"/>
      <c r="RV529" s="20"/>
      <c r="RW529" s="29"/>
      <c r="RX529" s="1504">
        <v>50557</v>
      </c>
      <c r="RY529" s="29"/>
      <c r="RZ529" s="20"/>
      <c r="SA529" s="29"/>
      <c r="SB529" s="29"/>
    </row>
    <row r="530" spans="1:496">
      <c r="A530" s="41">
        <f t="shared" si="360"/>
        <v>2038</v>
      </c>
      <c r="B530" s="1504">
        <v>50587</v>
      </c>
      <c r="C530" s="1813"/>
      <c r="D530" s="1814"/>
      <c r="E530" s="1814"/>
      <c r="F530" s="1815"/>
      <c r="G530" s="1814"/>
      <c r="H530" s="1814"/>
      <c r="I530" s="1814"/>
      <c r="J530" s="1816"/>
      <c r="K530" s="1807"/>
      <c r="L530" s="25"/>
      <c r="M530" s="97"/>
      <c r="N530" s="1504">
        <v>50587</v>
      </c>
      <c r="O530" s="19"/>
      <c r="P530" s="93"/>
      <c r="Q530" s="93"/>
      <c r="R530" s="93"/>
      <c r="S530" s="93"/>
      <c r="T530" s="93"/>
      <c r="U530" s="93"/>
      <c r="V530" s="93"/>
      <c r="W530" s="93"/>
      <c r="X530" s="93"/>
      <c r="Y530" s="93"/>
      <c r="Z530" s="93"/>
      <c r="AA530" s="93"/>
      <c r="AB530" s="20"/>
      <c r="AC530" s="25"/>
      <c r="AD530" s="97"/>
      <c r="AE530" s="1504">
        <v>50587</v>
      </c>
      <c r="AF530" s="19"/>
      <c r="AG530" s="93"/>
      <c r="AH530" s="93"/>
      <c r="AI530" s="93"/>
      <c r="AJ530" s="93"/>
      <c r="AK530" s="93"/>
      <c r="AL530" s="93"/>
      <c r="AM530" s="93"/>
      <c r="AN530" s="93"/>
      <c r="AO530" s="93"/>
      <c r="AP530" s="93"/>
      <c r="AQ530" s="93"/>
      <c r="AR530" s="93"/>
      <c r="AS530" s="20"/>
      <c r="AT530" s="25"/>
      <c r="AU530" s="97"/>
      <c r="AV530" s="1504">
        <v>50587</v>
      </c>
      <c r="AW530" s="19"/>
      <c r="AX530" s="93"/>
      <c r="AY530" s="93"/>
      <c r="AZ530" s="93"/>
      <c r="BA530" s="93"/>
      <c r="BB530" s="93"/>
      <c r="BC530" s="93"/>
      <c r="BD530" s="93"/>
      <c r="BE530" s="93"/>
      <c r="BF530" s="93"/>
      <c r="BG530" s="93"/>
      <c r="BH530" s="93"/>
      <c r="BI530" s="93"/>
      <c r="BJ530" s="20"/>
      <c r="BK530" s="25"/>
      <c r="BL530" s="97"/>
      <c r="BM530" s="1504">
        <v>50587</v>
      </c>
      <c r="BN530" s="19"/>
      <c r="BO530" s="93"/>
      <c r="BP530" s="93"/>
      <c r="BQ530" s="93"/>
      <c r="BR530" s="93"/>
      <c r="BS530" s="93"/>
      <c r="BT530" s="93"/>
      <c r="BU530" s="20"/>
      <c r="BV530" s="25"/>
      <c r="BW530" s="97"/>
      <c r="BX530" s="1504">
        <v>50587</v>
      </c>
      <c r="BY530" s="19"/>
      <c r="BZ530" s="93"/>
      <c r="CA530" s="93"/>
      <c r="CB530" s="93"/>
      <c r="CC530" s="93"/>
      <c r="CD530" s="25"/>
      <c r="CE530" s="97"/>
      <c r="CF530" s="1504">
        <v>50587</v>
      </c>
      <c r="CG530" s="19"/>
      <c r="CH530" s="93"/>
      <c r="CI530" s="219"/>
      <c r="CJ530" s="20"/>
      <c r="CK530" s="19"/>
      <c r="CL530" s="93"/>
      <c r="CM530" s="93"/>
      <c r="CN530" s="93"/>
      <c r="CO530" s="93"/>
      <c r="CP530" s="20"/>
      <c r="CQ530" s="219"/>
      <c r="CR530" s="93"/>
      <c r="CS530" s="93"/>
      <c r="CT530" s="93"/>
      <c r="CU530" s="93"/>
      <c r="CV530" s="214"/>
      <c r="CW530" s="29"/>
      <c r="CX530" s="41">
        <f t="shared" si="361"/>
        <v>2038</v>
      </c>
      <c r="CY530" s="1504">
        <v>50587</v>
      </c>
      <c r="CZ530" s="19"/>
      <c r="DA530" s="93"/>
      <c r="DB530" s="93"/>
      <c r="DC530" s="93"/>
      <c r="DD530" s="93"/>
      <c r="DE530" s="20"/>
      <c r="DF530" s="29"/>
      <c r="DG530" s="1504">
        <v>50587</v>
      </c>
      <c r="DH530" s="19"/>
      <c r="DI530" s="93"/>
      <c r="DJ530" s="93"/>
      <c r="DK530" s="93"/>
      <c r="DL530" s="93"/>
      <c r="DM530" s="93"/>
      <c r="DN530" s="20"/>
      <c r="DO530" s="295"/>
      <c r="DP530" s="29"/>
      <c r="DQ530" s="1504">
        <v>50587</v>
      </c>
      <c r="DR530" s="19"/>
      <c r="DS530" s="93"/>
      <c r="DT530" s="93"/>
      <c r="DU530" s="93"/>
      <c r="DV530" s="93"/>
      <c r="DW530" s="93"/>
      <c r="DX530" s="20"/>
      <c r="DY530" s="29"/>
      <c r="DZ530" s="1504">
        <v>50587</v>
      </c>
      <c r="EA530" s="19"/>
      <c r="EB530" s="93"/>
      <c r="EC530" s="20"/>
      <c r="ED530" s="29"/>
      <c r="EE530" s="1504">
        <v>50587</v>
      </c>
      <c r="EF530" s="19"/>
      <c r="EG530" s="93"/>
      <c r="EH530" s="93"/>
      <c r="EI530" s="214"/>
      <c r="EJ530" s="93"/>
      <c r="EK530" s="93"/>
      <c r="EL530" s="93"/>
      <c r="EM530" s="93"/>
      <c r="EN530" s="20"/>
      <c r="EO530" s="29"/>
      <c r="EP530" s="1504">
        <v>50587</v>
      </c>
      <c r="EQ530" s="19"/>
      <c r="ER530" s="93"/>
      <c r="ES530" s="93"/>
      <c r="ET530" s="214"/>
      <c r="EU530" s="93"/>
      <c r="EV530" s="93"/>
      <c r="EW530" s="93"/>
      <c r="EX530" s="93"/>
      <c r="EY530" s="20"/>
      <c r="EZ530" s="29"/>
      <c r="FA530" s="1504">
        <v>50587</v>
      </c>
      <c r="FB530" s="29"/>
      <c r="FC530" s="29"/>
      <c r="FD530" s="29"/>
      <c r="FE530" s="29"/>
      <c r="FF530" s="29"/>
      <c r="FG530" s="29"/>
      <c r="FH530" s="29"/>
      <c r="FI530" s="29"/>
      <c r="FJ530" s="29"/>
      <c r="FK530" s="29"/>
      <c r="FL530" s="1504">
        <v>50587</v>
      </c>
      <c r="FM530" s="19"/>
      <c r="FN530" s="93"/>
      <c r="FO530" s="93"/>
      <c r="FP530" s="93"/>
      <c r="FQ530" s="93"/>
      <c r="FR530" s="93"/>
      <c r="FS530" s="93"/>
      <c r="FT530" s="93"/>
      <c r="FU530" s="93"/>
      <c r="FV530" s="93"/>
      <c r="FW530" s="93"/>
      <c r="FX530" s="93"/>
      <c r="FY530" s="93"/>
      <c r="FZ530" s="29"/>
      <c r="GA530" s="1504">
        <v>50587</v>
      </c>
      <c r="GB530" s="19"/>
      <c r="GC530" s="93"/>
      <c r="GD530" s="93"/>
      <c r="GE530" s="93"/>
      <c r="GF530" s="93"/>
      <c r="GG530" s="93"/>
      <c r="GH530" s="93"/>
      <c r="GI530" s="93"/>
      <c r="GJ530" s="93"/>
      <c r="GK530" s="93"/>
      <c r="GL530" s="93"/>
      <c r="GM530" s="93"/>
      <c r="GN530" s="20"/>
      <c r="GO530" s="29"/>
      <c r="GP530" s="1504">
        <v>50587</v>
      </c>
      <c r="GQ530" s="19"/>
      <c r="GR530" s="93"/>
      <c r="GS530" s="93"/>
      <c r="GT530" s="93"/>
      <c r="GU530" s="93"/>
      <c r="GV530" s="20"/>
      <c r="GW530" s="19"/>
      <c r="GX530" s="93"/>
      <c r="GY530" s="93"/>
      <c r="GZ530" s="93"/>
      <c r="HA530" s="93"/>
      <c r="HB530" s="20"/>
      <c r="HC530" s="19"/>
      <c r="HD530" s="93"/>
      <c r="HE530" s="93"/>
      <c r="HF530" s="93"/>
      <c r="HG530" s="93"/>
      <c r="HH530" s="20"/>
      <c r="HI530" s="19"/>
      <c r="HJ530" s="93"/>
      <c r="HK530" s="93"/>
      <c r="HL530" s="93"/>
      <c r="HM530" s="93"/>
      <c r="HN530" s="20"/>
      <c r="HO530" s="219"/>
      <c r="HP530" s="20"/>
      <c r="HQ530" s="25"/>
      <c r="HR530" s="29"/>
      <c r="HS530" s="1504">
        <v>50587</v>
      </c>
      <c r="HT530" s="19"/>
      <c r="HU530" s="93"/>
      <c r="HV530" s="93"/>
      <c r="HW530" s="93"/>
      <c r="HX530" s="93"/>
      <c r="HY530" s="93"/>
      <c r="HZ530" s="93"/>
      <c r="IA530" s="20"/>
      <c r="IB530" s="19"/>
      <c r="IC530" s="93"/>
      <c r="ID530" s="93"/>
      <c r="IE530" s="93"/>
      <c r="IF530" s="93"/>
      <c r="IG530" s="20"/>
      <c r="IH530" s="19"/>
      <c r="II530" s="93"/>
      <c r="IJ530" s="93"/>
      <c r="IK530" s="93"/>
      <c r="IL530" s="93"/>
      <c r="IM530" s="93"/>
      <c r="IN530" s="93"/>
      <c r="IO530" s="20"/>
      <c r="IP530" s="29"/>
      <c r="IQ530" s="19"/>
      <c r="IR530" s="93"/>
      <c r="IS530" s="93"/>
      <c r="IT530" s="93"/>
      <c r="IU530" s="93"/>
      <c r="IV530" s="20"/>
      <c r="IW530" s="29"/>
      <c r="IX530" s="19"/>
      <c r="IY530" s="93"/>
      <c r="IZ530" s="93"/>
      <c r="JA530" s="93"/>
      <c r="JB530" s="93"/>
      <c r="JC530" s="93"/>
      <c r="JD530" s="93"/>
      <c r="JE530" s="20"/>
      <c r="JF530" s="29"/>
      <c r="JG530" s="19"/>
      <c r="JH530" s="93"/>
      <c r="JI530" s="93"/>
      <c r="JJ530" s="93"/>
      <c r="JK530" s="93"/>
      <c r="JL530" s="93"/>
      <c r="JM530" s="93"/>
      <c r="JN530" s="20"/>
      <c r="JO530" s="29"/>
      <c r="JP530" s="19"/>
      <c r="JQ530" s="93"/>
      <c r="JR530" s="93"/>
      <c r="JS530" s="93"/>
      <c r="JT530" s="93"/>
      <c r="JU530" s="20"/>
      <c r="JV530" s="29"/>
      <c r="JW530" s="1504">
        <v>50587</v>
      </c>
      <c r="JX530" s="19"/>
      <c r="JY530" s="93"/>
      <c r="JZ530" s="93"/>
      <c r="KA530" s="93"/>
      <c r="KB530" s="93"/>
      <c r="KC530" s="93"/>
      <c r="KD530" s="20"/>
      <c r="KE530" s="29"/>
      <c r="KF530" s="19"/>
      <c r="KG530" s="93"/>
      <c r="KH530" s="93"/>
      <c r="KI530" s="93"/>
      <c r="KJ530" s="93"/>
      <c r="KK530" s="20"/>
      <c r="KL530" s="29"/>
      <c r="KM530" s="19"/>
      <c r="KN530" s="93"/>
      <c r="KO530" s="93"/>
      <c r="KP530" s="93"/>
      <c r="KQ530" s="93"/>
      <c r="KR530" s="20"/>
      <c r="KS530" s="29"/>
      <c r="KT530" s="19"/>
      <c r="KU530" s="93"/>
      <c r="KV530" s="93"/>
      <c r="KW530" s="93"/>
      <c r="KX530" s="93"/>
      <c r="KY530" s="20"/>
      <c r="KZ530" s="29"/>
      <c r="LA530" s="1504">
        <v>50587</v>
      </c>
      <c r="LB530" s="19"/>
      <c r="LC530" s="93"/>
      <c r="LD530" s="93"/>
      <c r="LE530" s="93"/>
      <c r="LF530" s="93"/>
      <c r="LG530" s="93"/>
      <c r="LH530" s="20"/>
      <c r="LI530" s="29"/>
      <c r="LJ530" s="19"/>
      <c r="LK530" s="93"/>
      <c r="LL530" s="93"/>
      <c r="LM530" s="93"/>
      <c r="LN530" s="93"/>
      <c r="LO530" s="20"/>
      <c r="LP530" s="29"/>
      <c r="LQ530" s="19"/>
      <c r="LR530" s="93"/>
      <c r="LS530" s="93"/>
      <c r="LT530" s="93"/>
      <c r="LU530" s="93"/>
      <c r="LV530" s="93"/>
      <c r="LW530" s="93"/>
      <c r="LX530" s="93"/>
      <c r="LY530" s="93"/>
      <c r="LZ530" s="93"/>
      <c r="MA530" s="20"/>
      <c r="MB530" s="29"/>
      <c r="MC530" s="1504">
        <v>50587</v>
      </c>
      <c r="MD530" s="19"/>
      <c r="ME530" s="93"/>
      <c r="MF530" s="93"/>
      <c r="MG530" s="93"/>
      <c r="MH530" s="93"/>
      <c r="MI530" s="93"/>
      <c r="MJ530" s="93"/>
      <c r="MK530" s="93"/>
      <c r="ML530" s="93"/>
      <c r="MM530" s="93"/>
      <c r="MN530" s="93"/>
      <c r="MO530" s="93"/>
      <c r="MP530" s="93"/>
      <c r="MQ530" s="93"/>
      <c r="MR530" s="93"/>
      <c r="MS530" s="93"/>
      <c r="MT530" s="93"/>
      <c r="MU530" s="93"/>
      <c r="MV530" s="93"/>
      <c r="MW530" s="93"/>
      <c r="MX530" s="93"/>
      <c r="MY530" s="93"/>
      <c r="MZ530" s="93"/>
      <c r="NA530" s="93"/>
      <c r="NB530" s="93"/>
      <c r="NC530" s="93"/>
      <c r="ND530" s="93"/>
      <c r="NE530" s="93"/>
      <c r="NF530" s="93"/>
      <c r="NG530" s="93"/>
      <c r="NH530" s="93"/>
      <c r="NI530" s="93"/>
      <c r="NJ530" s="93"/>
      <c r="NK530" s="93"/>
      <c r="NL530" s="93"/>
      <c r="NM530" s="93"/>
      <c r="NN530" s="93"/>
      <c r="NO530" s="93"/>
      <c r="NP530" s="93"/>
      <c r="NQ530" s="93"/>
      <c r="NR530" s="93"/>
      <c r="NS530" s="93"/>
      <c r="NT530" s="93"/>
      <c r="NU530" s="93"/>
      <c r="NV530" s="93"/>
      <c r="NW530" s="93"/>
      <c r="NX530" s="93"/>
      <c r="NY530" s="93"/>
      <c r="NZ530" s="93"/>
      <c r="OA530" s="93"/>
      <c r="OB530" s="93"/>
      <c r="OC530" s="93"/>
      <c r="OD530" s="20"/>
      <c r="OE530" s="29"/>
      <c r="OF530" s="1504">
        <v>50587</v>
      </c>
      <c r="OG530" s="19"/>
      <c r="OH530" s="93"/>
      <c r="OI530" s="93"/>
      <c r="OJ530" s="93"/>
      <c r="OK530" s="93"/>
      <c r="OL530" s="93"/>
      <c r="OM530" s="93"/>
      <c r="ON530" s="93"/>
      <c r="OO530" s="93"/>
      <c r="OP530" s="93"/>
      <c r="OQ530" s="93"/>
      <c r="OR530" s="93"/>
      <c r="OS530" s="93"/>
      <c r="OT530" s="93"/>
      <c r="OU530" s="93"/>
      <c r="OV530" s="93"/>
      <c r="OW530" s="93"/>
      <c r="OX530" s="93"/>
      <c r="OY530" s="93"/>
      <c r="OZ530" s="93"/>
      <c r="PA530" s="93"/>
      <c r="PB530" s="93"/>
      <c r="PC530" s="20"/>
      <c r="PD530" s="29"/>
      <c r="PE530" s="19"/>
      <c r="PF530" s="93"/>
      <c r="PG530" s="93"/>
      <c r="PH530" s="93"/>
      <c r="PI530" s="93"/>
      <c r="PJ530" s="93"/>
      <c r="PK530" s="93"/>
      <c r="PL530" s="93"/>
      <c r="PM530" s="93"/>
      <c r="PN530" s="93"/>
      <c r="PO530" s="93"/>
      <c r="PP530" s="93"/>
      <c r="PQ530" s="93"/>
      <c r="PR530" s="93"/>
      <c r="PS530" s="93"/>
      <c r="PT530" s="93"/>
      <c r="PU530" s="93"/>
      <c r="PV530" s="93"/>
      <c r="PW530" s="93"/>
      <c r="PX530" s="93"/>
      <c r="PY530" s="93"/>
      <c r="PZ530" s="93"/>
      <c r="QA530" s="93"/>
      <c r="QB530" s="93"/>
      <c r="QC530" s="93"/>
      <c r="QD530" s="93"/>
      <c r="QE530" s="20"/>
      <c r="QF530" s="1739"/>
      <c r="QG530" s="19"/>
      <c r="QH530" s="93"/>
      <c r="QI530" s="93"/>
      <c r="QJ530" s="93"/>
      <c r="QK530" s="93"/>
      <c r="QL530" s="93"/>
      <c r="QM530" s="93"/>
      <c r="QN530" s="93"/>
      <c r="QO530" s="93"/>
      <c r="QP530" s="93"/>
      <c r="QQ530" s="93"/>
      <c r="QR530" s="93"/>
      <c r="QS530" s="93"/>
      <c r="QT530" s="93"/>
      <c r="QU530" s="93"/>
      <c r="QV530" s="93"/>
      <c r="QW530" s="93"/>
      <c r="QX530" s="93"/>
      <c r="QY530" s="93"/>
      <c r="QZ530" s="93"/>
      <c r="RA530" s="93"/>
      <c r="RB530" s="93"/>
      <c r="RC530" s="93"/>
      <c r="RD530" s="93"/>
      <c r="RE530" s="93"/>
      <c r="RF530" s="93"/>
      <c r="RG530" s="93"/>
      <c r="RH530" s="93"/>
      <c r="RI530" s="93"/>
      <c r="RJ530" s="93"/>
      <c r="RK530" s="93"/>
      <c r="RL530" s="93"/>
      <c r="RM530" s="20"/>
      <c r="RN530" s="29"/>
      <c r="RO530" s="19"/>
      <c r="RP530" s="20"/>
      <c r="RQ530" s="29"/>
      <c r="RR530" s="20"/>
      <c r="RS530" s="29"/>
      <c r="RT530" s="1504">
        <v>50587</v>
      </c>
      <c r="RU530" s="19"/>
      <c r="RV530" s="20"/>
      <c r="RW530" s="29"/>
      <c r="RX530" s="1504">
        <v>50587</v>
      </c>
      <c r="RY530" s="29"/>
      <c r="RZ530" s="20"/>
      <c r="SA530" s="29"/>
      <c r="SB530" s="29"/>
    </row>
    <row r="531" spans="1:496">
      <c r="A531" s="41">
        <f t="shared" si="360"/>
        <v>2038</v>
      </c>
      <c r="B531" s="1504">
        <v>50618</v>
      </c>
      <c r="C531" s="1813"/>
      <c r="D531" s="1814"/>
      <c r="E531" s="1814"/>
      <c r="F531" s="1815"/>
      <c r="G531" s="1814"/>
      <c r="H531" s="1814"/>
      <c r="I531" s="1814"/>
      <c r="J531" s="1816"/>
      <c r="K531" s="1807"/>
      <c r="L531" s="25"/>
      <c r="M531" s="97"/>
      <c r="N531" s="1504">
        <v>50618</v>
      </c>
      <c r="O531" s="19"/>
      <c r="P531" s="93"/>
      <c r="Q531" s="93"/>
      <c r="R531" s="93"/>
      <c r="S531" s="93"/>
      <c r="T531" s="93"/>
      <c r="U531" s="93"/>
      <c r="V531" s="93"/>
      <c r="W531" s="93"/>
      <c r="X531" s="93"/>
      <c r="Y531" s="93"/>
      <c r="Z531" s="93"/>
      <c r="AA531" s="93"/>
      <c r="AB531" s="20"/>
      <c r="AC531" s="25"/>
      <c r="AD531" s="97"/>
      <c r="AE531" s="1504">
        <v>50618</v>
      </c>
      <c r="AF531" s="19"/>
      <c r="AG531" s="93"/>
      <c r="AH531" s="93"/>
      <c r="AI531" s="93"/>
      <c r="AJ531" s="93"/>
      <c r="AK531" s="93"/>
      <c r="AL531" s="93"/>
      <c r="AM531" s="93"/>
      <c r="AN531" s="93"/>
      <c r="AO531" s="93"/>
      <c r="AP531" s="93"/>
      <c r="AQ531" s="93"/>
      <c r="AR531" s="93"/>
      <c r="AS531" s="20"/>
      <c r="AT531" s="25"/>
      <c r="AU531" s="97"/>
      <c r="AV531" s="1504">
        <v>50618</v>
      </c>
      <c r="AW531" s="19"/>
      <c r="AX531" s="93"/>
      <c r="AY531" s="93"/>
      <c r="AZ531" s="93"/>
      <c r="BA531" s="93"/>
      <c r="BB531" s="93"/>
      <c r="BC531" s="93"/>
      <c r="BD531" s="93"/>
      <c r="BE531" s="93"/>
      <c r="BF531" s="93"/>
      <c r="BG531" s="93"/>
      <c r="BH531" s="93"/>
      <c r="BI531" s="93"/>
      <c r="BJ531" s="20"/>
      <c r="BK531" s="25"/>
      <c r="BL531" s="97"/>
      <c r="BM531" s="1504">
        <v>50618</v>
      </c>
      <c r="BN531" s="19"/>
      <c r="BO531" s="93"/>
      <c r="BP531" s="93"/>
      <c r="BQ531" s="93"/>
      <c r="BR531" s="93"/>
      <c r="BS531" s="93"/>
      <c r="BT531" s="93"/>
      <c r="BU531" s="20"/>
      <c r="BV531" s="25"/>
      <c r="BW531" s="97"/>
      <c r="BX531" s="1504">
        <v>50618</v>
      </c>
      <c r="BY531" s="19"/>
      <c r="BZ531" s="93"/>
      <c r="CA531" s="93"/>
      <c r="CB531" s="93"/>
      <c r="CC531" s="93"/>
      <c r="CD531" s="25"/>
      <c r="CE531" s="97"/>
      <c r="CF531" s="1504">
        <v>50618</v>
      </c>
      <c r="CG531" s="19"/>
      <c r="CH531" s="93"/>
      <c r="CI531" s="219"/>
      <c r="CJ531" s="20"/>
      <c r="CK531" s="19"/>
      <c r="CL531" s="93"/>
      <c r="CM531" s="93"/>
      <c r="CN531" s="93"/>
      <c r="CO531" s="93"/>
      <c r="CP531" s="20"/>
      <c r="CQ531" s="219"/>
      <c r="CR531" s="93"/>
      <c r="CS531" s="93"/>
      <c r="CT531" s="93"/>
      <c r="CU531" s="93"/>
      <c r="CV531" s="214"/>
      <c r="CW531" s="29"/>
      <c r="CX531" s="41">
        <f t="shared" si="361"/>
        <v>2038</v>
      </c>
      <c r="CY531" s="1504">
        <v>50618</v>
      </c>
      <c r="CZ531" s="19"/>
      <c r="DA531" s="93"/>
      <c r="DB531" s="93"/>
      <c r="DC531" s="93"/>
      <c r="DD531" s="93"/>
      <c r="DE531" s="20"/>
      <c r="DF531" s="29"/>
      <c r="DG531" s="1504">
        <v>50618</v>
      </c>
      <c r="DH531" s="19"/>
      <c r="DI531" s="93"/>
      <c r="DJ531" s="93"/>
      <c r="DK531" s="93"/>
      <c r="DL531" s="93"/>
      <c r="DM531" s="93"/>
      <c r="DN531" s="20"/>
      <c r="DO531" s="295"/>
      <c r="DP531" s="29"/>
      <c r="DQ531" s="1504">
        <v>50618</v>
      </c>
      <c r="DR531" s="19"/>
      <c r="DS531" s="93"/>
      <c r="DT531" s="93"/>
      <c r="DU531" s="93"/>
      <c r="DV531" s="93"/>
      <c r="DW531" s="93"/>
      <c r="DX531" s="20"/>
      <c r="DY531" s="29"/>
      <c r="DZ531" s="1504">
        <v>50618</v>
      </c>
      <c r="EA531" s="19"/>
      <c r="EB531" s="93"/>
      <c r="EC531" s="20"/>
      <c r="ED531" s="29"/>
      <c r="EE531" s="1504">
        <v>50618</v>
      </c>
      <c r="EF531" s="19"/>
      <c r="EG531" s="93"/>
      <c r="EH531" s="93"/>
      <c r="EI531" s="214"/>
      <c r="EJ531" s="93"/>
      <c r="EK531" s="93"/>
      <c r="EL531" s="93"/>
      <c r="EM531" s="93"/>
      <c r="EN531" s="20"/>
      <c r="EO531" s="29"/>
      <c r="EP531" s="1504">
        <v>50618</v>
      </c>
      <c r="EQ531" s="19"/>
      <c r="ER531" s="93"/>
      <c r="ES531" s="93"/>
      <c r="ET531" s="214"/>
      <c r="EU531" s="93"/>
      <c r="EV531" s="93"/>
      <c r="EW531" s="93"/>
      <c r="EX531" s="93"/>
      <c r="EY531" s="20"/>
      <c r="EZ531" s="29"/>
      <c r="FA531" s="1504">
        <v>50618</v>
      </c>
      <c r="FB531" s="29"/>
      <c r="FC531" s="29"/>
      <c r="FD531" s="29"/>
      <c r="FE531" s="29"/>
      <c r="FF531" s="29"/>
      <c r="FG531" s="29"/>
      <c r="FH531" s="29"/>
      <c r="FI531" s="29"/>
      <c r="FJ531" s="29"/>
      <c r="FK531" s="29"/>
      <c r="FL531" s="1504">
        <v>50618</v>
      </c>
      <c r="FM531" s="19"/>
      <c r="FN531" s="93"/>
      <c r="FO531" s="93"/>
      <c r="FP531" s="93"/>
      <c r="FQ531" s="93"/>
      <c r="FR531" s="93"/>
      <c r="FS531" s="93"/>
      <c r="FT531" s="93"/>
      <c r="FU531" s="93"/>
      <c r="FV531" s="93"/>
      <c r="FW531" s="93"/>
      <c r="FX531" s="93"/>
      <c r="FY531" s="93"/>
      <c r="FZ531" s="29"/>
      <c r="GA531" s="1504">
        <v>50618</v>
      </c>
      <c r="GB531" s="19"/>
      <c r="GC531" s="93"/>
      <c r="GD531" s="93"/>
      <c r="GE531" s="93"/>
      <c r="GF531" s="93"/>
      <c r="GG531" s="93"/>
      <c r="GH531" s="93"/>
      <c r="GI531" s="93"/>
      <c r="GJ531" s="93"/>
      <c r="GK531" s="93"/>
      <c r="GL531" s="93"/>
      <c r="GM531" s="93"/>
      <c r="GN531" s="20"/>
      <c r="GO531" s="29"/>
      <c r="GP531" s="1504">
        <v>50618</v>
      </c>
      <c r="GQ531" s="19"/>
      <c r="GR531" s="93"/>
      <c r="GS531" s="93"/>
      <c r="GT531" s="93"/>
      <c r="GU531" s="93"/>
      <c r="GV531" s="20"/>
      <c r="GW531" s="19"/>
      <c r="GX531" s="93"/>
      <c r="GY531" s="93"/>
      <c r="GZ531" s="93"/>
      <c r="HA531" s="93"/>
      <c r="HB531" s="20"/>
      <c r="HC531" s="19"/>
      <c r="HD531" s="93"/>
      <c r="HE531" s="93"/>
      <c r="HF531" s="93"/>
      <c r="HG531" s="93"/>
      <c r="HH531" s="20"/>
      <c r="HI531" s="19"/>
      <c r="HJ531" s="93"/>
      <c r="HK531" s="93"/>
      <c r="HL531" s="93"/>
      <c r="HM531" s="93"/>
      <c r="HN531" s="20"/>
      <c r="HO531" s="219"/>
      <c r="HP531" s="20"/>
      <c r="HQ531" s="25"/>
      <c r="HR531" s="29"/>
      <c r="HS531" s="1504">
        <v>50618</v>
      </c>
      <c r="HT531" s="19"/>
      <c r="HU531" s="93"/>
      <c r="HV531" s="93"/>
      <c r="HW531" s="93"/>
      <c r="HX531" s="93"/>
      <c r="HY531" s="93"/>
      <c r="HZ531" s="93"/>
      <c r="IA531" s="20"/>
      <c r="IB531" s="19"/>
      <c r="IC531" s="93"/>
      <c r="ID531" s="93"/>
      <c r="IE531" s="93"/>
      <c r="IF531" s="93"/>
      <c r="IG531" s="20"/>
      <c r="IH531" s="19"/>
      <c r="II531" s="93"/>
      <c r="IJ531" s="93"/>
      <c r="IK531" s="93"/>
      <c r="IL531" s="93"/>
      <c r="IM531" s="93"/>
      <c r="IN531" s="93"/>
      <c r="IO531" s="20"/>
      <c r="IP531" s="29"/>
      <c r="IQ531" s="19"/>
      <c r="IR531" s="93"/>
      <c r="IS531" s="93"/>
      <c r="IT531" s="93"/>
      <c r="IU531" s="93"/>
      <c r="IV531" s="20"/>
      <c r="IW531" s="29"/>
      <c r="IX531" s="19"/>
      <c r="IY531" s="93"/>
      <c r="IZ531" s="93"/>
      <c r="JA531" s="93"/>
      <c r="JB531" s="93"/>
      <c r="JC531" s="93"/>
      <c r="JD531" s="93"/>
      <c r="JE531" s="20"/>
      <c r="JF531" s="29"/>
      <c r="JG531" s="19"/>
      <c r="JH531" s="93"/>
      <c r="JI531" s="93"/>
      <c r="JJ531" s="93"/>
      <c r="JK531" s="93"/>
      <c r="JL531" s="93"/>
      <c r="JM531" s="93"/>
      <c r="JN531" s="20"/>
      <c r="JO531" s="29"/>
      <c r="JP531" s="19"/>
      <c r="JQ531" s="93"/>
      <c r="JR531" s="93"/>
      <c r="JS531" s="93"/>
      <c r="JT531" s="93"/>
      <c r="JU531" s="20"/>
      <c r="JV531" s="29"/>
      <c r="JW531" s="1504">
        <v>50618</v>
      </c>
      <c r="JX531" s="19"/>
      <c r="JY531" s="93"/>
      <c r="JZ531" s="93"/>
      <c r="KA531" s="93"/>
      <c r="KB531" s="93"/>
      <c r="KC531" s="93"/>
      <c r="KD531" s="20"/>
      <c r="KE531" s="29"/>
      <c r="KF531" s="19"/>
      <c r="KG531" s="93"/>
      <c r="KH531" s="93"/>
      <c r="KI531" s="93"/>
      <c r="KJ531" s="93"/>
      <c r="KK531" s="20"/>
      <c r="KL531" s="29"/>
      <c r="KM531" s="19"/>
      <c r="KN531" s="93"/>
      <c r="KO531" s="93"/>
      <c r="KP531" s="93"/>
      <c r="KQ531" s="93"/>
      <c r="KR531" s="20"/>
      <c r="KS531" s="29"/>
      <c r="KT531" s="19"/>
      <c r="KU531" s="93"/>
      <c r="KV531" s="93"/>
      <c r="KW531" s="93"/>
      <c r="KX531" s="93"/>
      <c r="KY531" s="20"/>
      <c r="KZ531" s="29"/>
      <c r="LA531" s="1504">
        <v>50618</v>
      </c>
      <c r="LB531" s="19"/>
      <c r="LC531" s="93"/>
      <c r="LD531" s="93"/>
      <c r="LE531" s="93"/>
      <c r="LF531" s="93"/>
      <c r="LG531" s="93"/>
      <c r="LH531" s="20"/>
      <c r="LI531" s="29"/>
      <c r="LJ531" s="19"/>
      <c r="LK531" s="93"/>
      <c r="LL531" s="93"/>
      <c r="LM531" s="93"/>
      <c r="LN531" s="93"/>
      <c r="LO531" s="20"/>
      <c r="LP531" s="29"/>
      <c r="LQ531" s="19"/>
      <c r="LR531" s="93"/>
      <c r="LS531" s="93"/>
      <c r="LT531" s="93"/>
      <c r="LU531" s="93"/>
      <c r="LV531" s="93"/>
      <c r="LW531" s="93"/>
      <c r="LX531" s="93"/>
      <c r="LY531" s="93"/>
      <c r="LZ531" s="93"/>
      <c r="MA531" s="20"/>
      <c r="MB531" s="29"/>
      <c r="MC531" s="1504">
        <v>50618</v>
      </c>
      <c r="MD531" s="19"/>
      <c r="ME531" s="93"/>
      <c r="MF531" s="93"/>
      <c r="MG531" s="93"/>
      <c r="MH531" s="93"/>
      <c r="MI531" s="93"/>
      <c r="MJ531" s="93"/>
      <c r="MK531" s="93"/>
      <c r="ML531" s="93"/>
      <c r="MM531" s="93"/>
      <c r="MN531" s="93"/>
      <c r="MO531" s="93"/>
      <c r="MP531" s="93"/>
      <c r="MQ531" s="93"/>
      <c r="MR531" s="93"/>
      <c r="MS531" s="93"/>
      <c r="MT531" s="93"/>
      <c r="MU531" s="93"/>
      <c r="MV531" s="93"/>
      <c r="MW531" s="93"/>
      <c r="MX531" s="93"/>
      <c r="MY531" s="93"/>
      <c r="MZ531" s="93"/>
      <c r="NA531" s="93"/>
      <c r="NB531" s="93"/>
      <c r="NC531" s="93"/>
      <c r="ND531" s="93"/>
      <c r="NE531" s="93"/>
      <c r="NF531" s="93"/>
      <c r="NG531" s="93"/>
      <c r="NH531" s="93"/>
      <c r="NI531" s="93"/>
      <c r="NJ531" s="93"/>
      <c r="NK531" s="93"/>
      <c r="NL531" s="93"/>
      <c r="NM531" s="93"/>
      <c r="NN531" s="93"/>
      <c r="NO531" s="93"/>
      <c r="NP531" s="93"/>
      <c r="NQ531" s="93"/>
      <c r="NR531" s="93"/>
      <c r="NS531" s="93"/>
      <c r="NT531" s="93"/>
      <c r="NU531" s="93"/>
      <c r="NV531" s="93"/>
      <c r="NW531" s="93"/>
      <c r="NX531" s="93"/>
      <c r="NY531" s="93"/>
      <c r="NZ531" s="93"/>
      <c r="OA531" s="93"/>
      <c r="OB531" s="93"/>
      <c r="OC531" s="93"/>
      <c r="OD531" s="20"/>
      <c r="OE531" s="29"/>
      <c r="OF531" s="1504">
        <v>50618</v>
      </c>
      <c r="OG531" s="19"/>
      <c r="OH531" s="93"/>
      <c r="OI531" s="93"/>
      <c r="OJ531" s="93"/>
      <c r="OK531" s="93"/>
      <c r="OL531" s="93"/>
      <c r="OM531" s="93"/>
      <c r="ON531" s="93"/>
      <c r="OO531" s="93"/>
      <c r="OP531" s="93"/>
      <c r="OQ531" s="93"/>
      <c r="OR531" s="93"/>
      <c r="OS531" s="93"/>
      <c r="OT531" s="93"/>
      <c r="OU531" s="93"/>
      <c r="OV531" s="93"/>
      <c r="OW531" s="93"/>
      <c r="OX531" s="93"/>
      <c r="OY531" s="93"/>
      <c r="OZ531" s="93"/>
      <c r="PA531" s="93"/>
      <c r="PB531" s="93"/>
      <c r="PC531" s="20"/>
      <c r="PD531" s="29"/>
      <c r="PE531" s="19"/>
      <c r="PF531" s="93"/>
      <c r="PG531" s="93"/>
      <c r="PH531" s="93"/>
      <c r="PI531" s="93"/>
      <c r="PJ531" s="93"/>
      <c r="PK531" s="93"/>
      <c r="PL531" s="93"/>
      <c r="PM531" s="93"/>
      <c r="PN531" s="93"/>
      <c r="PO531" s="93"/>
      <c r="PP531" s="93"/>
      <c r="PQ531" s="93"/>
      <c r="PR531" s="93"/>
      <c r="PS531" s="93"/>
      <c r="PT531" s="93"/>
      <c r="PU531" s="93"/>
      <c r="PV531" s="93"/>
      <c r="PW531" s="93"/>
      <c r="PX531" s="93"/>
      <c r="PY531" s="93"/>
      <c r="PZ531" s="93"/>
      <c r="QA531" s="93"/>
      <c r="QB531" s="93"/>
      <c r="QC531" s="93"/>
      <c r="QD531" s="93"/>
      <c r="QE531" s="20"/>
      <c r="QF531" s="1739"/>
      <c r="QG531" s="19"/>
      <c r="QH531" s="93"/>
      <c r="QI531" s="93"/>
      <c r="QJ531" s="93"/>
      <c r="QK531" s="93"/>
      <c r="QL531" s="93"/>
      <c r="QM531" s="93"/>
      <c r="QN531" s="93"/>
      <c r="QO531" s="93"/>
      <c r="QP531" s="93"/>
      <c r="QQ531" s="93"/>
      <c r="QR531" s="93"/>
      <c r="QS531" s="93"/>
      <c r="QT531" s="93"/>
      <c r="QU531" s="93"/>
      <c r="QV531" s="93"/>
      <c r="QW531" s="93"/>
      <c r="QX531" s="93"/>
      <c r="QY531" s="93"/>
      <c r="QZ531" s="93"/>
      <c r="RA531" s="93"/>
      <c r="RB531" s="93"/>
      <c r="RC531" s="93"/>
      <c r="RD531" s="93"/>
      <c r="RE531" s="93"/>
      <c r="RF531" s="93"/>
      <c r="RG531" s="93"/>
      <c r="RH531" s="93"/>
      <c r="RI531" s="93"/>
      <c r="RJ531" s="93"/>
      <c r="RK531" s="93"/>
      <c r="RL531" s="93"/>
      <c r="RM531" s="20"/>
      <c r="RN531" s="29"/>
      <c r="RO531" s="19"/>
      <c r="RP531" s="20"/>
      <c r="RQ531" s="29"/>
      <c r="RR531" s="20"/>
      <c r="RS531" s="29"/>
      <c r="RT531" s="1504">
        <v>50618</v>
      </c>
      <c r="RU531" s="19"/>
      <c r="RV531" s="20"/>
      <c r="RW531" s="29"/>
      <c r="RX531" s="1504">
        <v>50618</v>
      </c>
      <c r="RY531" s="29"/>
      <c r="RZ531" s="20"/>
      <c r="SA531" s="29"/>
      <c r="SB531" s="29"/>
    </row>
    <row r="532" spans="1:496">
      <c r="A532" s="41">
        <f t="shared" si="360"/>
        <v>2038</v>
      </c>
      <c r="B532" s="1504">
        <v>50649</v>
      </c>
      <c r="C532" s="1813"/>
      <c r="D532" s="1814"/>
      <c r="E532" s="1814"/>
      <c r="F532" s="1815"/>
      <c r="G532" s="1814"/>
      <c r="H532" s="1814"/>
      <c r="I532" s="1814"/>
      <c r="J532" s="1816"/>
      <c r="K532" s="1807"/>
      <c r="L532" s="25"/>
      <c r="M532" s="97"/>
      <c r="N532" s="1504">
        <v>50649</v>
      </c>
      <c r="O532" s="19"/>
      <c r="P532" s="93"/>
      <c r="Q532" s="93"/>
      <c r="R532" s="93"/>
      <c r="S532" s="93"/>
      <c r="T532" s="93"/>
      <c r="U532" s="93"/>
      <c r="V532" s="93"/>
      <c r="W532" s="93"/>
      <c r="X532" s="93"/>
      <c r="Y532" s="93"/>
      <c r="Z532" s="93"/>
      <c r="AA532" s="93"/>
      <c r="AB532" s="20"/>
      <c r="AC532" s="25"/>
      <c r="AD532" s="97"/>
      <c r="AE532" s="1504">
        <v>50649</v>
      </c>
      <c r="AF532" s="19"/>
      <c r="AG532" s="93"/>
      <c r="AH532" s="93"/>
      <c r="AI532" s="93"/>
      <c r="AJ532" s="93"/>
      <c r="AK532" s="93"/>
      <c r="AL532" s="93"/>
      <c r="AM532" s="93"/>
      <c r="AN532" s="93"/>
      <c r="AO532" s="93"/>
      <c r="AP532" s="93"/>
      <c r="AQ532" s="93"/>
      <c r="AR532" s="93"/>
      <c r="AS532" s="20"/>
      <c r="AT532" s="25"/>
      <c r="AU532" s="97"/>
      <c r="AV532" s="1504">
        <v>50649</v>
      </c>
      <c r="AW532" s="19"/>
      <c r="AX532" s="93"/>
      <c r="AY532" s="93"/>
      <c r="AZ532" s="93"/>
      <c r="BA532" s="93"/>
      <c r="BB532" s="93"/>
      <c r="BC532" s="93"/>
      <c r="BD532" s="93"/>
      <c r="BE532" s="93"/>
      <c r="BF532" s="93"/>
      <c r="BG532" s="93"/>
      <c r="BH532" s="93"/>
      <c r="BI532" s="93"/>
      <c r="BJ532" s="20"/>
      <c r="BK532" s="25"/>
      <c r="BL532" s="97"/>
      <c r="BM532" s="1504">
        <v>50649</v>
      </c>
      <c r="BN532" s="19"/>
      <c r="BO532" s="93"/>
      <c r="BP532" s="93"/>
      <c r="BQ532" s="93"/>
      <c r="BR532" s="93"/>
      <c r="BS532" s="93"/>
      <c r="BT532" s="93"/>
      <c r="BU532" s="20"/>
      <c r="BV532" s="25"/>
      <c r="BW532" s="97"/>
      <c r="BX532" s="1504">
        <v>50649</v>
      </c>
      <c r="BY532" s="19"/>
      <c r="BZ532" s="93"/>
      <c r="CA532" s="93"/>
      <c r="CB532" s="93"/>
      <c r="CC532" s="93"/>
      <c r="CD532" s="25"/>
      <c r="CE532" s="97"/>
      <c r="CF532" s="1504">
        <v>50649</v>
      </c>
      <c r="CG532" s="19"/>
      <c r="CH532" s="93"/>
      <c r="CI532" s="219"/>
      <c r="CJ532" s="20"/>
      <c r="CK532" s="19"/>
      <c r="CL532" s="93"/>
      <c r="CM532" s="93"/>
      <c r="CN532" s="93"/>
      <c r="CO532" s="93"/>
      <c r="CP532" s="20"/>
      <c r="CQ532" s="219"/>
      <c r="CR532" s="93"/>
      <c r="CS532" s="93"/>
      <c r="CT532" s="93"/>
      <c r="CU532" s="93"/>
      <c r="CV532" s="214"/>
      <c r="CW532" s="29"/>
      <c r="CX532" s="41">
        <f t="shared" si="361"/>
        <v>2038</v>
      </c>
      <c r="CY532" s="1504">
        <v>50649</v>
      </c>
      <c r="CZ532" s="19"/>
      <c r="DA532" s="93"/>
      <c r="DB532" s="93"/>
      <c r="DC532" s="93"/>
      <c r="DD532" s="93"/>
      <c r="DE532" s="20"/>
      <c r="DF532" s="29"/>
      <c r="DG532" s="1504">
        <v>50649</v>
      </c>
      <c r="DH532" s="19"/>
      <c r="DI532" s="93"/>
      <c r="DJ532" s="93"/>
      <c r="DK532" s="93"/>
      <c r="DL532" s="93"/>
      <c r="DM532" s="93"/>
      <c r="DN532" s="20"/>
      <c r="DO532" s="295"/>
      <c r="DP532" s="29"/>
      <c r="DQ532" s="1504">
        <v>50649</v>
      </c>
      <c r="DR532" s="19"/>
      <c r="DS532" s="93"/>
      <c r="DT532" s="93"/>
      <c r="DU532" s="93"/>
      <c r="DV532" s="93"/>
      <c r="DW532" s="93"/>
      <c r="DX532" s="20"/>
      <c r="DY532" s="29"/>
      <c r="DZ532" s="1504">
        <v>50649</v>
      </c>
      <c r="EA532" s="19"/>
      <c r="EB532" s="93"/>
      <c r="EC532" s="20"/>
      <c r="ED532" s="29"/>
      <c r="EE532" s="1504">
        <v>50649</v>
      </c>
      <c r="EF532" s="19"/>
      <c r="EG532" s="93"/>
      <c r="EH532" s="93"/>
      <c r="EI532" s="214"/>
      <c r="EJ532" s="93"/>
      <c r="EK532" s="93"/>
      <c r="EL532" s="93"/>
      <c r="EM532" s="93"/>
      <c r="EN532" s="20"/>
      <c r="EO532" s="29"/>
      <c r="EP532" s="1504">
        <v>50649</v>
      </c>
      <c r="EQ532" s="19"/>
      <c r="ER532" s="93"/>
      <c r="ES532" s="93"/>
      <c r="ET532" s="214"/>
      <c r="EU532" s="93"/>
      <c r="EV532" s="93"/>
      <c r="EW532" s="93"/>
      <c r="EX532" s="93"/>
      <c r="EY532" s="20"/>
      <c r="EZ532" s="29"/>
      <c r="FA532" s="1504">
        <v>50649</v>
      </c>
      <c r="FB532" s="29"/>
      <c r="FC532" s="29"/>
      <c r="FD532" s="29"/>
      <c r="FE532" s="29"/>
      <c r="FF532" s="29"/>
      <c r="FG532" s="29"/>
      <c r="FH532" s="29"/>
      <c r="FI532" s="29"/>
      <c r="FJ532" s="29"/>
      <c r="FK532" s="29"/>
      <c r="FL532" s="1504">
        <v>50649</v>
      </c>
      <c r="FM532" s="19"/>
      <c r="FN532" s="93"/>
      <c r="FO532" s="93"/>
      <c r="FP532" s="93"/>
      <c r="FQ532" s="93"/>
      <c r="FR532" s="93"/>
      <c r="FS532" s="93"/>
      <c r="FT532" s="93"/>
      <c r="FU532" s="93"/>
      <c r="FV532" s="93"/>
      <c r="FW532" s="93"/>
      <c r="FX532" s="93"/>
      <c r="FY532" s="93"/>
      <c r="FZ532" s="29"/>
      <c r="GA532" s="1504">
        <v>50649</v>
      </c>
      <c r="GB532" s="19"/>
      <c r="GC532" s="93"/>
      <c r="GD532" s="93"/>
      <c r="GE532" s="93"/>
      <c r="GF532" s="93"/>
      <c r="GG532" s="93"/>
      <c r="GH532" s="93"/>
      <c r="GI532" s="93"/>
      <c r="GJ532" s="93"/>
      <c r="GK532" s="93"/>
      <c r="GL532" s="93"/>
      <c r="GM532" s="93"/>
      <c r="GN532" s="20"/>
      <c r="GO532" s="29"/>
      <c r="GP532" s="1504">
        <v>50649</v>
      </c>
      <c r="GQ532" s="19"/>
      <c r="GR532" s="93"/>
      <c r="GS532" s="93"/>
      <c r="GT532" s="93"/>
      <c r="GU532" s="93"/>
      <c r="GV532" s="20"/>
      <c r="GW532" s="19"/>
      <c r="GX532" s="93"/>
      <c r="GY532" s="93"/>
      <c r="GZ532" s="93"/>
      <c r="HA532" s="93"/>
      <c r="HB532" s="20"/>
      <c r="HC532" s="19"/>
      <c r="HD532" s="93"/>
      <c r="HE532" s="93"/>
      <c r="HF532" s="93"/>
      <c r="HG532" s="93"/>
      <c r="HH532" s="20"/>
      <c r="HI532" s="19"/>
      <c r="HJ532" s="93"/>
      <c r="HK532" s="93"/>
      <c r="HL532" s="93"/>
      <c r="HM532" s="93"/>
      <c r="HN532" s="20"/>
      <c r="HO532" s="219"/>
      <c r="HP532" s="20"/>
      <c r="HQ532" s="25"/>
      <c r="HR532" s="29"/>
      <c r="HS532" s="1504">
        <v>50649</v>
      </c>
      <c r="HT532" s="19"/>
      <c r="HU532" s="93"/>
      <c r="HV532" s="93"/>
      <c r="HW532" s="93"/>
      <c r="HX532" s="93"/>
      <c r="HY532" s="93"/>
      <c r="HZ532" s="93"/>
      <c r="IA532" s="20"/>
      <c r="IB532" s="19"/>
      <c r="IC532" s="93"/>
      <c r="ID532" s="93"/>
      <c r="IE532" s="93"/>
      <c r="IF532" s="93"/>
      <c r="IG532" s="20"/>
      <c r="IH532" s="19"/>
      <c r="II532" s="93"/>
      <c r="IJ532" s="93"/>
      <c r="IK532" s="93"/>
      <c r="IL532" s="93"/>
      <c r="IM532" s="93"/>
      <c r="IN532" s="93"/>
      <c r="IO532" s="20"/>
      <c r="IP532" s="29"/>
      <c r="IQ532" s="19"/>
      <c r="IR532" s="93"/>
      <c r="IS532" s="93"/>
      <c r="IT532" s="93"/>
      <c r="IU532" s="93"/>
      <c r="IV532" s="20"/>
      <c r="IW532" s="29"/>
      <c r="IX532" s="19"/>
      <c r="IY532" s="93"/>
      <c r="IZ532" s="93"/>
      <c r="JA532" s="93"/>
      <c r="JB532" s="93"/>
      <c r="JC532" s="93"/>
      <c r="JD532" s="93"/>
      <c r="JE532" s="20"/>
      <c r="JF532" s="29"/>
      <c r="JG532" s="19"/>
      <c r="JH532" s="93"/>
      <c r="JI532" s="93"/>
      <c r="JJ532" s="93"/>
      <c r="JK532" s="93"/>
      <c r="JL532" s="93"/>
      <c r="JM532" s="93"/>
      <c r="JN532" s="20"/>
      <c r="JO532" s="29"/>
      <c r="JP532" s="19"/>
      <c r="JQ532" s="93"/>
      <c r="JR532" s="93"/>
      <c r="JS532" s="93"/>
      <c r="JT532" s="93"/>
      <c r="JU532" s="20"/>
      <c r="JV532" s="29"/>
      <c r="JW532" s="1504">
        <v>50649</v>
      </c>
      <c r="JX532" s="19"/>
      <c r="JY532" s="93"/>
      <c r="JZ532" s="93"/>
      <c r="KA532" s="93"/>
      <c r="KB532" s="93"/>
      <c r="KC532" s="93"/>
      <c r="KD532" s="20"/>
      <c r="KE532" s="29"/>
      <c r="KF532" s="19"/>
      <c r="KG532" s="93"/>
      <c r="KH532" s="93"/>
      <c r="KI532" s="93"/>
      <c r="KJ532" s="93"/>
      <c r="KK532" s="20"/>
      <c r="KL532" s="29"/>
      <c r="KM532" s="19"/>
      <c r="KN532" s="93"/>
      <c r="KO532" s="93"/>
      <c r="KP532" s="93"/>
      <c r="KQ532" s="93"/>
      <c r="KR532" s="20"/>
      <c r="KS532" s="29"/>
      <c r="KT532" s="19"/>
      <c r="KU532" s="93"/>
      <c r="KV532" s="93"/>
      <c r="KW532" s="93"/>
      <c r="KX532" s="93"/>
      <c r="KY532" s="20"/>
      <c r="KZ532" s="29"/>
      <c r="LA532" s="1504">
        <v>50649</v>
      </c>
      <c r="LB532" s="19"/>
      <c r="LC532" s="93"/>
      <c r="LD532" s="93"/>
      <c r="LE532" s="93"/>
      <c r="LF532" s="93"/>
      <c r="LG532" s="93"/>
      <c r="LH532" s="20"/>
      <c r="LI532" s="29"/>
      <c r="LJ532" s="19"/>
      <c r="LK532" s="93"/>
      <c r="LL532" s="93"/>
      <c r="LM532" s="93"/>
      <c r="LN532" s="93"/>
      <c r="LO532" s="20"/>
      <c r="LP532" s="29"/>
      <c r="LQ532" s="19"/>
      <c r="LR532" s="93"/>
      <c r="LS532" s="93"/>
      <c r="LT532" s="93"/>
      <c r="LU532" s="93"/>
      <c r="LV532" s="93"/>
      <c r="LW532" s="93"/>
      <c r="LX532" s="93"/>
      <c r="LY532" s="93"/>
      <c r="LZ532" s="93"/>
      <c r="MA532" s="20"/>
      <c r="MB532" s="29"/>
      <c r="MC532" s="1504">
        <v>50649</v>
      </c>
      <c r="MD532" s="19"/>
      <c r="ME532" s="93"/>
      <c r="MF532" s="93"/>
      <c r="MG532" s="93"/>
      <c r="MH532" s="93"/>
      <c r="MI532" s="93"/>
      <c r="MJ532" s="93"/>
      <c r="MK532" s="93"/>
      <c r="ML532" s="93"/>
      <c r="MM532" s="93"/>
      <c r="MN532" s="93"/>
      <c r="MO532" s="93"/>
      <c r="MP532" s="93"/>
      <c r="MQ532" s="93"/>
      <c r="MR532" s="93"/>
      <c r="MS532" s="93"/>
      <c r="MT532" s="93"/>
      <c r="MU532" s="93"/>
      <c r="MV532" s="93"/>
      <c r="MW532" s="93"/>
      <c r="MX532" s="93"/>
      <c r="MY532" s="93"/>
      <c r="MZ532" s="93"/>
      <c r="NA532" s="93"/>
      <c r="NB532" s="93"/>
      <c r="NC532" s="93"/>
      <c r="ND532" s="93"/>
      <c r="NE532" s="93"/>
      <c r="NF532" s="93"/>
      <c r="NG532" s="93"/>
      <c r="NH532" s="93"/>
      <c r="NI532" s="93"/>
      <c r="NJ532" s="93"/>
      <c r="NK532" s="93"/>
      <c r="NL532" s="93"/>
      <c r="NM532" s="93"/>
      <c r="NN532" s="93"/>
      <c r="NO532" s="93"/>
      <c r="NP532" s="93"/>
      <c r="NQ532" s="93"/>
      <c r="NR532" s="93"/>
      <c r="NS532" s="93"/>
      <c r="NT532" s="93"/>
      <c r="NU532" s="93"/>
      <c r="NV532" s="93"/>
      <c r="NW532" s="93"/>
      <c r="NX532" s="93"/>
      <c r="NY532" s="93"/>
      <c r="NZ532" s="93"/>
      <c r="OA532" s="93"/>
      <c r="OB532" s="93"/>
      <c r="OC532" s="93"/>
      <c r="OD532" s="20"/>
      <c r="OE532" s="29"/>
      <c r="OF532" s="1504">
        <v>50649</v>
      </c>
      <c r="OG532" s="19"/>
      <c r="OH532" s="93"/>
      <c r="OI532" s="93"/>
      <c r="OJ532" s="93"/>
      <c r="OK532" s="93"/>
      <c r="OL532" s="93"/>
      <c r="OM532" s="93"/>
      <c r="ON532" s="93"/>
      <c r="OO532" s="93"/>
      <c r="OP532" s="93"/>
      <c r="OQ532" s="93"/>
      <c r="OR532" s="93"/>
      <c r="OS532" s="93"/>
      <c r="OT532" s="93"/>
      <c r="OU532" s="93"/>
      <c r="OV532" s="93"/>
      <c r="OW532" s="93"/>
      <c r="OX532" s="93"/>
      <c r="OY532" s="93"/>
      <c r="OZ532" s="93"/>
      <c r="PA532" s="93"/>
      <c r="PB532" s="93"/>
      <c r="PC532" s="20"/>
      <c r="PD532" s="29"/>
      <c r="PE532" s="19"/>
      <c r="PF532" s="93"/>
      <c r="PG532" s="93"/>
      <c r="PH532" s="93"/>
      <c r="PI532" s="93"/>
      <c r="PJ532" s="93"/>
      <c r="PK532" s="93"/>
      <c r="PL532" s="93"/>
      <c r="PM532" s="93"/>
      <c r="PN532" s="93"/>
      <c r="PO532" s="93"/>
      <c r="PP532" s="93"/>
      <c r="PQ532" s="93"/>
      <c r="PR532" s="93"/>
      <c r="PS532" s="93"/>
      <c r="PT532" s="93"/>
      <c r="PU532" s="93"/>
      <c r="PV532" s="93"/>
      <c r="PW532" s="93"/>
      <c r="PX532" s="93"/>
      <c r="PY532" s="93"/>
      <c r="PZ532" s="93"/>
      <c r="QA532" s="93"/>
      <c r="QB532" s="93"/>
      <c r="QC532" s="93"/>
      <c r="QD532" s="93"/>
      <c r="QE532" s="20"/>
      <c r="QF532" s="1739"/>
      <c r="QG532" s="19"/>
      <c r="QH532" s="93"/>
      <c r="QI532" s="93"/>
      <c r="QJ532" s="93"/>
      <c r="QK532" s="93"/>
      <c r="QL532" s="93"/>
      <c r="QM532" s="93"/>
      <c r="QN532" s="93"/>
      <c r="QO532" s="93"/>
      <c r="QP532" s="93"/>
      <c r="QQ532" s="93"/>
      <c r="QR532" s="93"/>
      <c r="QS532" s="93"/>
      <c r="QT532" s="93"/>
      <c r="QU532" s="93"/>
      <c r="QV532" s="93"/>
      <c r="QW532" s="93"/>
      <c r="QX532" s="93"/>
      <c r="QY532" s="93"/>
      <c r="QZ532" s="93"/>
      <c r="RA532" s="93"/>
      <c r="RB532" s="93"/>
      <c r="RC532" s="93"/>
      <c r="RD532" s="93"/>
      <c r="RE532" s="93"/>
      <c r="RF532" s="93"/>
      <c r="RG532" s="93"/>
      <c r="RH532" s="93"/>
      <c r="RI532" s="93"/>
      <c r="RJ532" s="93"/>
      <c r="RK532" s="93"/>
      <c r="RL532" s="93"/>
      <c r="RM532" s="20"/>
      <c r="RN532" s="29"/>
      <c r="RO532" s="19"/>
      <c r="RP532" s="20"/>
      <c r="RQ532" s="29"/>
      <c r="RR532" s="20"/>
      <c r="RS532" s="29"/>
      <c r="RT532" s="1504">
        <v>50649</v>
      </c>
      <c r="RU532" s="19"/>
      <c r="RV532" s="20"/>
      <c r="RW532" s="29"/>
      <c r="RX532" s="1504">
        <v>50649</v>
      </c>
      <c r="RY532" s="29"/>
      <c r="RZ532" s="20"/>
      <c r="SA532" s="29"/>
      <c r="SB532" s="29"/>
    </row>
    <row r="533" spans="1:496">
      <c r="A533" s="41">
        <f t="shared" si="360"/>
        <v>2038</v>
      </c>
      <c r="B533" s="1504">
        <v>50679</v>
      </c>
      <c r="C533" s="1813"/>
      <c r="D533" s="1814"/>
      <c r="E533" s="1814"/>
      <c r="F533" s="1815"/>
      <c r="G533" s="1814"/>
      <c r="H533" s="1814"/>
      <c r="I533" s="1814"/>
      <c r="J533" s="1816"/>
      <c r="K533" s="1807"/>
      <c r="L533" s="25"/>
      <c r="M533" s="97"/>
      <c r="N533" s="1504">
        <v>50679</v>
      </c>
      <c r="O533" s="19"/>
      <c r="P533" s="93"/>
      <c r="Q533" s="93"/>
      <c r="R533" s="93"/>
      <c r="S533" s="93"/>
      <c r="T533" s="93"/>
      <c r="U533" s="93"/>
      <c r="V533" s="93"/>
      <c r="W533" s="93"/>
      <c r="X533" s="93"/>
      <c r="Y533" s="93"/>
      <c r="Z533" s="93"/>
      <c r="AA533" s="93"/>
      <c r="AB533" s="20"/>
      <c r="AC533" s="25"/>
      <c r="AD533" s="97"/>
      <c r="AE533" s="1504">
        <v>50679</v>
      </c>
      <c r="AF533" s="19"/>
      <c r="AG533" s="93"/>
      <c r="AH533" s="93"/>
      <c r="AI533" s="93"/>
      <c r="AJ533" s="93"/>
      <c r="AK533" s="93"/>
      <c r="AL533" s="93"/>
      <c r="AM533" s="93"/>
      <c r="AN533" s="93"/>
      <c r="AO533" s="93"/>
      <c r="AP533" s="93"/>
      <c r="AQ533" s="93"/>
      <c r="AR533" s="93"/>
      <c r="AS533" s="20"/>
      <c r="AT533" s="25"/>
      <c r="AU533" s="97"/>
      <c r="AV533" s="1504">
        <v>50679</v>
      </c>
      <c r="AW533" s="19"/>
      <c r="AX533" s="93"/>
      <c r="AY533" s="93"/>
      <c r="AZ533" s="93"/>
      <c r="BA533" s="93"/>
      <c r="BB533" s="93"/>
      <c r="BC533" s="93"/>
      <c r="BD533" s="93"/>
      <c r="BE533" s="93"/>
      <c r="BF533" s="93"/>
      <c r="BG533" s="93"/>
      <c r="BH533" s="93"/>
      <c r="BI533" s="93"/>
      <c r="BJ533" s="20"/>
      <c r="BK533" s="25"/>
      <c r="BL533" s="97"/>
      <c r="BM533" s="1504">
        <v>50679</v>
      </c>
      <c r="BN533" s="19"/>
      <c r="BO533" s="93"/>
      <c r="BP533" s="93"/>
      <c r="BQ533" s="93"/>
      <c r="BR533" s="93"/>
      <c r="BS533" s="93"/>
      <c r="BT533" s="93"/>
      <c r="BU533" s="20"/>
      <c r="BV533" s="25"/>
      <c r="BW533" s="97"/>
      <c r="BX533" s="1504">
        <v>50679</v>
      </c>
      <c r="BY533" s="19"/>
      <c r="BZ533" s="93"/>
      <c r="CA533" s="93"/>
      <c r="CB533" s="93"/>
      <c r="CC533" s="93"/>
      <c r="CD533" s="25"/>
      <c r="CE533" s="97"/>
      <c r="CF533" s="1504">
        <v>50679</v>
      </c>
      <c r="CG533" s="19"/>
      <c r="CH533" s="93"/>
      <c r="CI533" s="219"/>
      <c r="CJ533" s="20"/>
      <c r="CK533" s="19"/>
      <c r="CL533" s="93"/>
      <c r="CM533" s="93"/>
      <c r="CN533" s="93"/>
      <c r="CO533" s="93"/>
      <c r="CP533" s="20"/>
      <c r="CQ533" s="219"/>
      <c r="CR533" s="93"/>
      <c r="CS533" s="93"/>
      <c r="CT533" s="93"/>
      <c r="CU533" s="93"/>
      <c r="CV533" s="214"/>
      <c r="CW533" s="29"/>
      <c r="CX533" s="41">
        <f t="shared" si="361"/>
        <v>2038</v>
      </c>
      <c r="CY533" s="1504">
        <v>50679</v>
      </c>
      <c r="CZ533" s="19"/>
      <c r="DA533" s="93"/>
      <c r="DB533" s="93"/>
      <c r="DC533" s="93"/>
      <c r="DD533" s="93"/>
      <c r="DE533" s="20"/>
      <c r="DF533" s="29"/>
      <c r="DG533" s="1504">
        <v>50679</v>
      </c>
      <c r="DH533" s="19"/>
      <c r="DI533" s="93"/>
      <c r="DJ533" s="93"/>
      <c r="DK533" s="93"/>
      <c r="DL533" s="93"/>
      <c r="DM533" s="93"/>
      <c r="DN533" s="20"/>
      <c r="DO533" s="295"/>
      <c r="DP533" s="29"/>
      <c r="DQ533" s="1504">
        <v>50679</v>
      </c>
      <c r="DR533" s="19"/>
      <c r="DS533" s="93"/>
      <c r="DT533" s="93"/>
      <c r="DU533" s="93"/>
      <c r="DV533" s="93"/>
      <c r="DW533" s="93"/>
      <c r="DX533" s="20"/>
      <c r="DY533" s="29"/>
      <c r="DZ533" s="1504">
        <v>50679</v>
      </c>
      <c r="EA533" s="19"/>
      <c r="EB533" s="93"/>
      <c r="EC533" s="20"/>
      <c r="ED533" s="29"/>
      <c r="EE533" s="1504">
        <v>50679</v>
      </c>
      <c r="EF533" s="19"/>
      <c r="EG533" s="93"/>
      <c r="EH533" s="93"/>
      <c r="EI533" s="214"/>
      <c r="EJ533" s="93"/>
      <c r="EK533" s="93"/>
      <c r="EL533" s="93"/>
      <c r="EM533" s="93"/>
      <c r="EN533" s="20"/>
      <c r="EO533" s="29"/>
      <c r="EP533" s="1504">
        <v>50679</v>
      </c>
      <c r="EQ533" s="19"/>
      <c r="ER533" s="93"/>
      <c r="ES533" s="93"/>
      <c r="ET533" s="214"/>
      <c r="EU533" s="93"/>
      <c r="EV533" s="93"/>
      <c r="EW533" s="93"/>
      <c r="EX533" s="93"/>
      <c r="EY533" s="20"/>
      <c r="EZ533" s="29"/>
      <c r="FA533" s="1504">
        <v>50679</v>
      </c>
      <c r="FB533" s="29"/>
      <c r="FC533" s="29"/>
      <c r="FD533" s="29"/>
      <c r="FE533" s="29"/>
      <c r="FF533" s="29"/>
      <c r="FG533" s="29"/>
      <c r="FH533" s="29"/>
      <c r="FI533" s="29"/>
      <c r="FJ533" s="29"/>
      <c r="FK533" s="29"/>
      <c r="FL533" s="1504">
        <v>50679</v>
      </c>
      <c r="FM533" s="19"/>
      <c r="FN533" s="93"/>
      <c r="FO533" s="93"/>
      <c r="FP533" s="93"/>
      <c r="FQ533" s="93"/>
      <c r="FR533" s="93"/>
      <c r="FS533" s="93"/>
      <c r="FT533" s="93"/>
      <c r="FU533" s="93"/>
      <c r="FV533" s="93"/>
      <c r="FW533" s="93"/>
      <c r="FX533" s="93"/>
      <c r="FY533" s="93"/>
      <c r="FZ533" s="29"/>
      <c r="GA533" s="1504">
        <v>50679</v>
      </c>
      <c r="GB533" s="19"/>
      <c r="GC533" s="93"/>
      <c r="GD533" s="93"/>
      <c r="GE533" s="93"/>
      <c r="GF533" s="93"/>
      <c r="GG533" s="93"/>
      <c r="GH533" s="93"/>
      <c r="GI533" s="93"/>
      <c r="GJ533" s="93"/>
      <c r="GK533" s="93"/>
      <c r="GL533" s="93"/>
      <c r="GM533" s="93"/>
      <c r="GN533" s="20"/>
      <c r="GO533" s="29"/>
      <c r="GP533" s="1504">
        <v>50679</v>
      </c>
      <c r="GQ533" s="19"/>
      <c r="GR533" s="93"/>
      <c r="GS533" s="93"/>
      <c r="GT533" s="93"/>
      <c r="GU533" s="93"/>
      <c r="GV533" s="20"/>
      <c r="GW533" s="19"/>
      <c r="GX533" s="93"/>
      <c r="GY533" s="93"/>
      <c r="GZ533" s="93"/>
      <c r="HA533" s="93"/>
      <c r="HB533" s="20"/>
      <c r="HC533" s="19"/>
      <c r="HD533" s="93"/>
      <c r="HE533" s="93"/>
      <c r="HF533" s="93"/>
      <c r="HG533" s="93"/>
      <c r="HH533" s="20"/>
      <c r="HI533" s="19"/>
      <c r="HJ533" s="93"/>
      <c r="HK533" s="93"/>
      <c r="HL533" s="93"/>
      <c r="HM533" s="93"/>
      <c r="HN533" s="20"/>
      <c r="HO533" s="219"/>
      <c r="HP533" s="20"/>
      <c r="HQ533" s="25"/>
      <c r="HR533" s="29"/>
      <c r="HS533" s="1504">
        <v>50679</v>
      </c>
      <c r="HT533" s="19"/>
      <c r="HU533" s="93"/>
      <c r="HV533" s="93"/>
      <c r="HW533" s="93"/>
      <c r="HX533" s="93"/>
      <c r="HY533" s="93"/>
      <c r="HZ533" s="93"/>
      <c r="IA533" s="20"/>
      <c r="IB533" s="19"/>
      <c r="IC533" s="93"/>
      <c r="ID533" s="93"/>
      <c r="IE533" s="93"/>
      <c r="IF533" s="93"/>
      <c r="IG533" s="20"/>
      <c r="IH533" s="19"/>
      <c r="II533" s="93"/>
      <c r="IJ533" s="93"/>
      <c r="IK533" s="93"/>
      <c r="IL533" s="93"/>
      <c r="IM533" s="93"/>
      <c r="IN533" s="93"/>
      <c r="IO533" s="20"/>
      <c r="IP533" s="29"/>
      <c r="IQ533" s="19"/>
      <c r="IR533" s="93"/>
      <c r="IS533" s="93"/>
      <c r="IT533" s="93"/>
      <c r="IU533" s="93"/>
      <c r="IV533" s="20"/>
      <c r="IW533" s="29"/>
      <c r="IX533" s="19"/>
      <c r="IY533" s="93"/>
      <c r="IZ533" s="93"/>
      <c r="JA533" s="93"/>
      <c r="JB533" s="93"/>
      <c r="JC533" s="93"/>
      <c r="JD533" s="93"/>
      <c r="JE533" s="20"/>
      <c r="JF533" s="29"/>
      <c r="JG533" s="19"/>
      <c r="JH533" s="93"/>
      <c r="JI533" s="93"/>
      <c r="JJ533" s="93"/>
      <c r="JK533" s="93"/>
      <c r="JL533" s="93"/>
      <c r="JM533" s="93"/>
      <c r="JN533" s="20"/>
      <c r="JO533" s="29"/>
      <c r="JP533" s="19"/>
      <c r="JQ533" s="93"/>
      <c r="JR533" s="93"/>
      <c r="JS533" s="93"/>
      <c r="JT533" s="93"/>
      <c r="JU533" s="20"/>
      <c r="JV533" s="29"/>
      <c r="JW533" s="1504">
        <v>50679</v>
      </c>
      <c r="JX533" s="19"/>
      <c r="JY533" s="93"/>
      <c r="JZ533" s="93"/>
      <c r="KA533" s="93"/>
      <c r="KB533" s="93"/>
      <c r="KC533" s="93"/>
      <c r="KD533" s="20"/>
      <c r="KE533" s="29"/>
      <c r="KF533" s="19"/>
      <c r="KG533" s="93"/>
      <c r="KH533" s="93"/>
      <c r="KI533" s="93"/>
      <c r="KJ533" s="93"/>
      <c r="KK533" s="20"/>
      <c r="KL533" s="29"/>
      <c r="KM533" s="19"/>
      <c r="KN533" s="93"/>
      <c r="KO533" s="93"/>
      <c r="KP533" s="93"/>
      <c r="KQ533" s="93"/>
      <c r="KR533" s="20"/>
      <c r="KS533" s="29"/>
      <c r="KT533" s="19"/>
      <c r="KU533" s="93"/>
      <c r="KV533" s="93"/>
      <c r="KW533" s="93"/>
      <c r="KX533" s="93"/>
      <c r="KY533" s="20"/>
      <c r="KZ533" s="29"/>
      <c r="LA533" s="1504">
        <v>50679</v>
      </c>
      <c r="LB533" s="19"/>
      <c r="LC533" s="93"/>
      <c r="LD533" s="93"/>
      <c r="LE533" s="93"/>
      <c r="LF533" s="93"/>
      <c r="LG533" s="93"/>
      <c r="LH533" s="20"/>
      <c r="LI533" s="29"/>
      <c r="LJ533" s="19"/>
      <c r="LK533" s="93"/>
      <c r="LL533" s="93"/>
      <c r="LM533" s="93"/>
      <c r="LN533" s="93"/>
      <c r="LO533" s="20"/>
      <c r="LP533" s="29"/>
      <c r="LQ533" s="19"/>
      <c r="LR533" s="93"/>
      <c r="LS533" s="93"/>
      <c r="LT533" s="93"/>
      <c r="LU533" s="93"/>
      <c r="LV533" s="93"/>
      <c r="LW533" s="93"/>
      <c r="LX533" s="93"/>
      <c r="LY533" s="93"/>
      <c r="LZ533" s="93"/>
      <c r="MA533" s="20"/>
      <c r="MB533" s="29"/>
      <c r="MC533" s="1504">
        <v>50679</v>
      </c>
      <c r="MD533" s="19"/>
      <c r="ME533" s="93"/>
      <c r="MF533" s="93"/>
      <c r="MG533" s="93"/>
      <c r="MH533" s="93"/>
      <c r="MI533" s="93"/>
      <c r="MJ533" s="93"/>
      <c r="MK533" s="93"/>
      <c r="ML533" s="93"/>
      <c r="MM533" s="93"/>
      <c r="MN533" s="93"/>
      <c r="MO533" s="93"/>
      <c r="MP533" s="93"/>
      <c r="MQ533" s="93"/>
      <c r="MR533" s="93"/>
      <c r="MS533" s="93"/>
      <c r="MT533" s="93"/>
      <c r="MU533" s="93"/>
      <c r="MV533" s="93"/>
      <c r="MW533" s="93"/>
      <c r="MX533" s="93"/>
      <c r="MY533" s="93"/>
      <c r="MZ533" s="93"/>
      <c r="NA533" s="93"/>
      <c r="NB533" s="93"/>
      <c r="NC533" s="93"/>
      <c r="ND533" s="93"/>
      <c r="NE533" s="93"/>
      <c r="NF533" s="93"/>
      <c r="NG533" s="93"/>
      <c r="NH533" s="93"/>
      <c r="NI533" s="93"/>
      <c r="NJ533" s="93"/>
      <c r="NK533" s="93"/>
      <c r="NL533" s="93"/>
      <c r="NM533" s="93"/>
      <c r="NN533" s="93"/>
      <c r="NO533" s="93"/>
      <c r="NP533" s="93"/>
      <c r="NQ533" s="93"/>
      <c r="NR533" s="93"/>
      <c r="NS533" s="93"/>
      <c r="NT533" s="93"/>
      <c r="NU533" s="93"/>
      <c r="NV533" s="93"/>
      <c r="NW533" s="93"/>
      <c r="NX533" s="93"/>
      <c r="NY533" s="93"/>
      <c r="NZ533" s="93"/>
      <c r="OA533" s="93"/>
      <c r="OB533" s="93"/>
      <c r="OC533" s="93"/>
      <c r="OD533" s="20"/>
      <c r="OE533" s="29"/>
      <c r="OF533" s="1504">
        <v>50679</v>
      </c>
      <c r="OG533" s="19"/>
      <c r="OH533" s="93"/>
      <c r="OI533" s="93"/>
      <c r="OJ533" s="93"/>
      <c r="OK533" s="93"/>
      <c r="OL533" s="93"/>
      <c r="OM533" s="93"/>
      <c r="ON533" s="93"/>
      <c r="OO533" s="93"/>
      <c r="OP533" s="93"/>
      <c r="OQ533" s="93"/>
      <c r="OR533" s="93"/>
      <c r="OS533" s="93"/>
      <c r="OT533" s="93"/>
      <c r="OU533" s="93"/>
      <c r="OV533" s="93"/>
      <c r="OW533" s="93"/>
      <c r="OX533" s="93"/>
      <c r="OY533" s="93"/>
      <c r="OZ533" s="93"/>
      <c r="PA533" s="93"/>
      <c r="PB533" s="93"/>
      <c r="PC533" s="20"/>
      <c r="PD533" s="29"/>
      <c r="PE533" s="19"/>
      <c r="PF533" s="93"/>
      <c r="PG533" s="93"/>
      <c r="PH533" s="93"/>
      <c r="PI533" s="93"/>
      <c r="PJ533" s="93"/>
      <c r="PK533" s="93"/>
      <c r="PL533" s="93"/>
      <c r="PM533" s="93"/>
      <c r="PN533" s="93"/>
      <c r="PO533" s="93"/>
      <c r="PP533" s="93"/>
      <c r="PQ533" s="93"/>
      <c r="PR533" s="93"/>
      <c r="PS533" s="93"/>
      <c r="PT533" s="93"/>
      <c r="PU533" s="93"/>
      <c r="PV533" s="93"/>
      <c r="PW533" s="93"/>
      <c r="PX533" s="93"/>
      <c r="PY533" s="93"/>
      <c r="PZ533" s="93"/>
      <c r="QA533" s="93"/>
      <c r="QB533" s="93"/>
      <c r="QC533" s="93"/>
      <c r="QD533" s="93"/>
      <c r="QE533" s="20"/>
      <c r="QF533" s="1739"/>
      <c r="QG533" s="19"/>
      <c r="QH533" s="93"/>
      <c r="QI533" s="93"/>
      <c r="QJ533" s="93"/>
      <c r="QK533" s="93"/>
      <c r="QL533" s="93"/>
      <c r="QM533" s="93"/>
      <c r="QN533" s="93"/>
      <c r="QO533" s="93"/>
      <c r="QP533" s="93"/>
      <c r="QQ533" s="93"/>
      <c r="QR533" s="93"/>
      <c r="QS533" s="93"/>
      <c r="QT533" s="93"/>
      <c r="QU533" s="93"/>
      <c r="QV533" s="93"/>
      <c r="QW533" s="93"/>
      <c r="QX533" s="93"/>
      <c r="QY533" s="93"/>
      <c r="QZ533" s="93"/>
      <c r="RA533" s="93"/>
      <c r="RB533" s="93"/>
      <c r="RC533" s="93"/>
      <c r="RD533" s="93"/>
      <c r="RE533" s="93"/>
      <c r="RF533" s="93"/>
      <c r="RG533" s="93"/>
      <c r="RH533" s="93"/>
      <c r="RI533" s="93"/>
      <c r="RJ533" s="93"/>
      <c r="RK533" s="93"/>
      <c r="RL533" s="93"/>
      <c r="RM533" s="20"/>
      <c r="RN533" s="29"/>
      <c r="RO533" s="19"/>
      <c r="RP533" s="20"/>
      <c r="RQ533" s="29"/>
      <c r="RR533" s="20"/>
      <c r="RS533" s="29"/>
      <c r="RT533" s="1504">
        <v>50679</v>
      </c>
      <c r="RU533" s="19"/>
      <c r="RV533" s="20"/>
      <c r="RW533" s="29"/>
      <c r="RX533" s="1504">
        <v>50679</v>
      </c>
      <c r="RY533" s="29"/>
      <c r="RZ533" s="20"/>
      <c r="SA533" s="29"/>
      <c r="SB533" s="29"/>
    </row>
    <row r="534" spans="1:496">
      <c r="A534" s="41">
        <f t="shared" si="360"/>
        <v>2038</v>
      </c>
      <c r="B534" s="1504">
        <v>50710</v>
      </c>
      <c r="C534" s="1813"/>
      <c r="D534" s="1814"/>
      <c r="E534" s="1814"/>
      <c r="F534" s="1815"/>
      <c r="G534" s="1814"/>
      <c r="H534" s="1814"/>
      <c r="I534" s="1814"/>
      <c r="J534" s="1816"/>
      <c r="K534" s="1807"/>
      <c r="L534" s="25"/>
      <c r="M534" s="97"/>
      <c r="N534" s="1504">
        <v>50710</v>
      </c>
      <c r="O534" s="19"/>
      <c r="P534" s="93"/>
      <c r="Q534" s="93"/>
      <c r="R534" s="93"/>
      <c r="S534" s="93"/>
      <c r="T534" s="93"/>
      <c r="U534" s="93"/>
      <c r="V534" s="93"/>
      <c r="W534" s="93"/>
      <c r="X534" s="93"/>
      <c r="Y534" s="93"/>
      <c r="Z534" s="93"/>
      <c r="AA534" s="93"/>
      <c r="AB534" s="20"/>
      <c r="AC534" s="25"/>
      <c r="AD534" s="97"/>
      <c r="AE534" s="1504">
        <v>50710</v>
      </c>
      <c r="AF534" s="19"/>
      <c r="AG534" s="93"/>
      <c r="AH534" s="93"/>
      <c r="AI534" s="93"/>
      <c r="AJ534" s="93"/>
      <c r="AK534" s="93"/>
      <c r="AL534" s="93"/>
      <c r="AM534" s="93"/>
      <c r="AN534" s="93"/>
      <c r="AO534" s="93"/>
      <c r="AP534" s="93"/>
      <c r="AQ534" s="93"/>
      <c r="AR534" s="93"/>
      <c r="AS534" s="20"/>
      <c r="AT534" s="25"/>
      <c r="AU534" s="97"/>
      <c r="AV534" s="1504">
        <v>50710</v>
      </c>
      <c r="AW534" s="19"/>
      <c r="AX534" s="93"/>
      <c r="AY534" s="93"/>
      <c r="AZ534" s="93"/>
      <c r="BA534" s="93"/>
      <c r="BB534" s="93"/>
      <c r="BC534" s="93"/>
      <c r="BD534" s="93"/>
      <c r="BE534" s="93"/>
      <c r="BF534" s="93"/>
      <c r="BG534" s="93"/>
      <c r="BH534" s="93"/>
      <c r="BI534" s="93"/>
      <c r="BJ534" s="20"/>
      <c r="BK534" s="25"/>
      <c r="BL534" s="97"/>
      <c r="BM534" s="1504">
        <v>50710</v>
      </c>
      <c r="BN534" s="19"/>
      <c r="BO534" s="93"/>
      <c r="BP534" s="93"/>
      <c r="BQ534" s="93"/>
      <c r="BR534" s="93"/>
      <c r="BS534" s="93"/>
      <c r="BT534" s="93"/>
      <c r="BU534" s="20"/>
      <c r="BV534" s="25"/>
      <c r="BW534" s="97"/>
      <c r="BX534" s="1504">
        <v>50710</v>
      </c>
      <c r="BY534" s="19"/>
      <c r="BZ534" s="93"/>
      <c r="CA534" s="93"/>
      <c r="CB534" s="93"/>
      <c r="CC534" s="93"/>
      <c r="CD534" s="25"/>
      <c r="CE534" s="97"/>
      <c r="CF534" s="1504">
        <v>50710</v>
      </c>
      <c r="CG534" s="19"/>
      <c r="CH534" s="93"/>
      <c r="CI534" s="219"/>
      <c r="CJ534" s="20"/>
      <c r="CK534" s="19"/>
      <c r="CL534" s="93"/>
      <c r="CM534" s="93"/>
      <c r="CN534" s="93"/>
      <c r="CO534" s="93"/>
      <c r="CP534" s="20"/>
      <c r="CQ534" s="219"/>
      <c r="CR534" s="93"/>
      <c r="CS534" s="93"/>
      <c r="CT534" s="93"/>
      <c r="CU534" s="93"/>
      <c r="CV534" s="214"/>
      <c r="CW534" s="29"/>
      <c r="CX534" s="41">
        <f t="shared" si="361"/>
        <v>2038</v>
      </c>
      <c r="CY534" s="1504">
        <v>50710</v>
      </c>
      <c r="CZ534" s="19"/>
      <c r="DA534" s="93"/>
      <c r="DB534" s="93"/>
      <c r="DC534" s="93"/>
      <c r="DD534" s="93"/>
      <c r="DE534" s="20"/>
      <c r="DF534" s="29"/>
      <c r="DG534" s="1504">
        <v>50710</v>
      </c>
      <c r="DH534" s="19"/>
      <c r="DI534" s="93"/>
      <c r="DJ534" s="93"/>
      <c r="DK534" s="93"/>
      <c r="DL534" s="93"/>
      <c r="DM534" s="93"/>
      <c r="DN534" s="20"/>
      <c r="DO534" s="295"/>
      <c r="DP534" s="29"/>
      <c r="DQ534" s="1504">
        <v>50710</v>
      </c>
      <c r="DR534" s="19"/>
      <c r="DS534" s="93"/>
      <c r="DT534" s="93"/>
      <c r="DU534" s="93"/>
      <c r="DV534" s="93"/>
      <c r="DW534" s="93"/>
      <c r="DX534" s="20"/>
      <c r="DY534" s="29"/>
      <c r="DZ534" s="1504">
        <v>50710</v>
      </c>
      <c r="EA534" s="19"/>
      <c r="EB534" s="93"/>
      <c r="EC534" s="20"/>
      <c r="ED534" s="29"/>
      <c r="EE534" s="1504">
        <v>50710</v>
      </c>
      <c r="EF534" s="19"/>
      <c r="EG534" s="93"/>
      <c r="EH534" s="93"/>
      <c r="EI534" s="214"/>
      <c r="EJ534" s="93"/>
      <c r="EK534" s="93"/>
      <c r="EL534" s="93"/>
      <c r="EM534" s="93"/>
      <c r="EN534" s="20"/>
      <c r="EO534" s="29"/>
      <c r="EP534" s="1504">
        <v>50710</v>
      </c>
      <c r="EQ534" s="19"/>
      <c r="ER534" s="93"/>
      <c r="ES534" s="93"/>
      <c r="ET534" s="214"/>
      <c r="EU534" s="93"/>
      <c r="EV534" s="93"/>
      <c r="EW534" s="93"/>
      <c r="EX534" s="93"/>
      <c r="EY534" s="20"/>
      <c r="EZ534" s="29"/>
      <c r="FA534" s="1504">
        <v>50710</v>
      </c>
      <c r="FB534" s="29"/>
      <c r="FC534" s="29"/>
      <c r="FD534" s="29"/>
      <c r="FE534" s="29"/>
      <c r="FF534" s="29"/>
      <c r="FG534" s="29"/>
      <c r="FH534" s="29"/>
      <c r="FI534" s="29"/>
      <c r="FJ534" s="29"/>
      <c r="FK534" s="29"/>
      <c r="FL534" s="1504">
        <v>50710</v>
      </c>
      <c r="FM534" s="19"/>
      <c r="FN534" s="93"/>
      <c r="FO534" s="93"/>
      <c r="FP534" s="93"/>
      <c r="FQ534" s="93"/>
      <c r="FR534" s="93"/>
      <c r="FS534" s="93"/>
      <c r="FT534" s="93"/>
      <c r="FU534" s="93"/>
      <c r="FV534" s="93"/>
      <c r="FW534" s="93"/>
      <c r="FX534" s="93"/>
      <c r="FY534" s="93"/>
      <c r="FZ534" s="29"/>
      <c r="GA534" s="1504">
        <v>50710</v>
      </c>
      <c r="GB534" s="19"/>
      <c r="GC534" s="93"/>
      <c r="GD534" s="93"/>
      <c r="GE534" s="93"/>
      <c r="GF534" s="93"/>
      <c r="GG534" s="93"/>
      <c r="GH534" s="93"/>
      <c r="GI534" s="93"/>
      <c r="GJ534" s="93"/>
      <c r="GK534" s="93"/>
      <c r="GL534" s="93"/>
      <c r="GM534" s="93"/>
      <c r="GN534" s="20"/>
      <c r="GO534" s="29"/>
      <c r="GP534" s="1504">
        <v>50710</v>
      </c>
      <c r="GQ534" s="19"/>
      <c r="GR534" s="93"/>
      <c r="GS534" s="93"/>
      <c r="GT534" s="93"/>
      <c r="GU534" s="93"/>
      <c r="GV534" s="20"/>
      <c r="GW534" s="19"/>
      <c r="GX534" s="93"/>
      <c r="GY534" s="93"/>
      <c r="GZ534" s="93"/>
      <c r="HA534" s="93"/>
      <c r="HB534" s="20"/>
      <c r="HC534" s="19"/>
      <c r="HD534" s="93"/>
      <c r="HE534" s="93"/>
      <c r="HF534" s="93"/>
      <c r="HG534" s="93"/>
      <c r="HH534" s="20"/>
      <c r="HI534" s="19"/>
      <c r="HJ534" s="93"/>
      <c r="HK534" s="93"/>
      <c r="HL534" s="93"/>
      <c r="HM534" s="93"/>
      <c r="HN534" s="20"/>
      <c r="HO534" s="219"/>
      <c r="HP534" s="20"/>
      <c r="HQ534" s="25"/>
      <c r="HR534" s="29"/>
      <c r="HS534" s="1504">
        <v>50710</v>
      </c>
      <c r="HT534" s="19"/>
      <c r="HU534" s="93"/>
      <c r="HV534" s="93"/>
      <c r="HW534" s="93"/>
      <c r="HX534" s="93"/>
      <c r="HY534" s="93"/>
      <c r="HZ534" s="93"/>
      <c r="IA534" s="20"/>
      <c r="IB534" s="19"/>
      <c r="IC534" s="93"/>
      <c r="ID534" s="93"/>
      <c r="IE534" s="93"/>
      <c r="IF534" s="93"/>
      <c r="IG534" s="20"/>
      <c r="IH534" s="19"/>
      <c r="II534" s="93"/>
      <c r="IJ534" s="93"/>
      <c r="IK534" s="93"/>
      <c r="IL534" s="93"/>
      <c r="IM534" s="93"/>
      <c r="IN534" s="93"/>
      <c r="IO534" s="20"/>
      <c r="IP534" s="29"/>
      <c r="IQ534" s="19"/>
      <c r="IR534" s="93"/>
      <c r="IS534" s="93"/>
      <c r="IT534" s="93"/>
      <c r="IU534" s="93"/>
      <c r="IV534" s="20"/>
      <c r="IW534" s="29"/>
      <c r="IX534" s="19"/>
      <c r="IY534" s="93"/>
      <c r="IZ534" s="93"/>
      <c r="JA534" s="93"/>
      <c r="JB534" s="93"/>
      <c r="JC534" s="93"/>
      <c r="JD534" s="93"/>
      <c r="JE534" s="20"/>
      <c r="JF534" s="29"/>
      <c r="JG534" s="19"/>
      <c r="JH534" s="93"/>
      <c r="JI534" s="93"/>
      <c r="JJ534" s="93"/>
      <c r="JK534" s="93"/>
      <c r="JL534" s="93"/>
      <c r="JM534" s="93"/>
      <c r="JN534" s="20"/>
      <c r="JO534" s="29"/>
      <c r="JP534" s="19"/>
      <c r="JQ534" s="93"/>
      <c r="JR534" s="93"/>
      <c r="JS534" s="93"/>
      <c r="JT534" s="93"/>
      <c r="JU534" s="20"/>
      <c r="JV534" s="29"/>
      <c r="JW534" s="1504">
        <v>50710</v>
      </c>
      <c r="JX534" s="19"/>
      <c r="JY534" s="93"/>
      <c r="JZ534" s="93"/>
      <c r="KA534" s="93"/>
      <c r="KB534" s="93"/>
      <c r="KC534" s="93"/>
      <c r="KD534" s="20"/>
      <c r="KE534" s="29"/>
      <c r="KF534" s="19"/>
      <c r="KG534" s="93"/>
      <c r="KH534" s="93"/>
      <c r="KI534" s="93"/>
      <c r="KJ534" s="93"/>
      <c r="KK534" s="20"/>
      <c r="KL534" s="29"/>
      <c r="KM534" s="19"/>
      <c r="KN534" s="93"/>
      <c r="KO534" s="93"/>
      <c r="KP534" s="93"/>
      <c r="KQ534" s="93"/>
      <c r="KR534" s="20"/>
      <c r="KS534" s="29"/>
      <c r="KT534" s="19"/>
      <c r="KU534" s="93"/>
      <c r="KV534" s="93"/>
      <c r="KW534" s="93"/>
      <c r="KX534" s="93"/>
      <c r="KY534" s="20"/>
      <c r="KZ534" s="29"/>
      <c r="LA534" s="1504">
        <v>50710</v>
      </c>
      <c r="LB534" s="19"/>
      <c r="LC534" s="93"/>
      <c r="LD534" s="93"/>
      <c r="LE534" s="93"/>
      <c r="LF534" s="93"/>
      <c r="LG534" s="93"/>
      <c r="LH534" s="20"/>
      <c r="LI534" s="29"/>
      <c r="LJ534" s="19"/>
      <c r="LK534" s="93"/>
      <c r="LL534" s="93"/>
      <c r="LM534" s="93"/>
      <c r="LN534" s="93"/>
      <c r="LO534" s="20"/>
      <c r="LP534" s="29"/>
      <c r="LQ534" s="19"/>
      <c r="LR534" s="93"/>
      <c r="LS534" s="93"/>
      <c r="LT534" s="93"/>
      <c r="LU534" s="93"/>
      <c r="LV534" s="93"/>
      <c r="LW534" s="93"/>
      <c r="LX534" s="93"/>
      <c r="LY534" s="93"/>
      <c r="LZ534" s="93"/>
      <c r="MA534" s="20"/>
      <c r="MB534" s="29"/>
      <c r="MC534" s="1504">
        <v>50710</v>
      </c>
      <c r="MD534" s="19"/>
      <c r="ME534" s="93"/>
      <c r="MF534" s="93"/>
      <c r="MG534" s="93"/>
      <c r="MH534" s="93"/>
      <c r="MI534" s="93"/>
      <c r="MJ534" s="93"/>
      <c r="MK534" s="93"/>
      <c r="ML534" s="93"/>
      <c r="MM534" s="93"/>
      <c r="MN534" s="93"/>
      <c r="MO534" s="93"/>
      <c r="MP534" s="93"/>
      <c r="MQ534" s="93"/>
      <c r="MR534" s="93"/>
      <c r="MS534" s="93"/>
      <c r="MT534" s="93"/>
      <c r="MU534" s="93"/>
      <c r="MV534" s="93"/>
      <c r="MW534" s="93"/>
      <c r="MX534" s="93"/>
      <c r="MY534" s="93"/>
      <c r="MZ534" s="93"/>
      <c r="NA534" s="93"/>
      <c r="NB534" s="93"/>
      <c r="NC534" s="93"/>
      <c r="ND534" s="93"/>
      <c r="NE534" s="93"/>
      <c r="NF534" s="93"/>
      <c r="NG534" s="93"/>
      <c r="NH534" s="93"/>
      <c r="NI534" s="93"/>
      <c r="NJ534" s="93"/>
      <c r="NK534" s="93"/>
      <c r="NL534" s="93"/>
      <c r="NM534" s="93"/>
      <c r="NN534" s="93"/>
      <c r="NO534" s="93"/>
      <c r="NP534" s="93"/>
      <c r="NQ534" s="93"/>
      <c r="NR534" s="93"/>
      <c r="NS534" s="93"/>
      <c r="NT534" s="93"/>
      <c r="NU534" s="93"/>
      <c r="NV534" s="93"/>
      <c r="NW534" s="93"/>
      <c r="NX534" s="93"/>
      <c r="NY534" s="93"/>
      <c r="NZ534" s="93"/>
      <c r="OA534" s="93"/>
      <c r="OB534" s="93"/>
      <c r="OC534" s="93"/>
      <c r="OD534" s="20"/>
      <c r="OE534" s="29"/>
      <c r="OF534" s="1504">
        <v>50710</v>
      </c>
      <c r="OG534" s="19"/>
      <c r="OH534" s="93"/>
      <c r="OI534" s="93"/>
      <c r="OJ534" s="93"/>
      <c r="OK534" s="93"/>
      <c r="OL534" s="93"/>
      <c r="OM534" s="93"/>
      <c r="ON534" s="93"/>
      <c r="OO534" s="93"/>
      <c r="OP534" s="93"/>
      <c r="OQ534" s="93"/>
      <c r="OR534" s="93"/>
      <c r="OS534" s="93"/>
      <c r="OT534" s="93"/>
      <c r="OU534" s="93"/>
      <c r="OV534" s="93"/>
      <c r="OW534" s="93"/>
      <c r="OX534" s="93"/>
      <c r="OY534" s="93"/>
      <c r="OZ534" s="93"/>
      <c r="PA534" s="93"/>
      <c r="PB534" s="93"/>
      <c r="PC534" s="20"/>
      <c r="PD534" s="29"/>
      <c r="PE534" s="19"/>
      <c r="PF534" s="93"/>
      <c r="PG534" s="93"/>
      <c r="PH534" s="93"/>
      <c r="PI534" s="93"/>
      <c r="PJ534" s="93"/>
      <c r="PK534" s="93"/>
      <c r="PL534" s="93"/>
      <c r="PM534" s="93"/>
      <c r="PN534" s="93"/>
      <c r="PO534" s="93"/>
      <c r="PP534" s="93"/>
      <c r="PQ534" s="93"/>
      <c r="PR534" s="93"/>
      <c r="PS534" s="93"/>
      <c r="PT534" s="93"/>
      <c r="PU534" s="93"/>
      <c r="PV534" s="93"/>
      <c r="PW534" s="93"/>
      <c r="PX534" s="93"/>
      <c r="PY534" s="93"/>
      <c r="PZ534" s="93"/>
      <c r="QA534" s="93"/>
      <c r="QB534" s="93"/>
      <c r="QC534" s="93"/>
      <c r="QD534" s="93"/>
      <c r="QE534" s="20"/>
      <c r="QF534" s="1739"/>
      <c r="QG534" s="19"/>
      <c r="QH534" s="93"/>
      <c r="QI534" s="93"/>
      <c r="QJ534" s="93"/>
      <c r="QK534" s="93"/>
      <c r="QL534" s="93"/>
      <c r="QM534" s="93"/>
      <c r="QN534" s="93"/>
      <c r="QO534" s="93"/>
      <c r="QP534" s="93"/>
      <c r="QQ534" s="93"/>
      <c r="QR534" s="93"/>
      <c r="QS534" s="93"/>
      <c r="QT534" s="93"/>
      <c r="QU534" s="93"/>
      <c r="QV534" s="93"/>
      <c r="QW534" s="93"/>
      <c r="QX534" s="93"/>
      <c r="QY534" s="93"/>
      <c r="QZ534" s="93"/>
      <c r="RA534" s="93"/>
      <c r="RB534" s="93"/>
      <c r="RC534" s="93"/>
      <c r="RD534" s="93"/>
      <c r="RE534" s="93"/>
      <c r="RF534" s="93"/>
      <c r="RG534" s="93"/>
      <c r="RH534" s="93"/>
      <c r="RI534" s="93"/>
      <c r="RJ534" s="93"/>
      <c r="RK534" s="93"/>
      <c r="RL534" s="93"/>
      <c r="RM534" s="20"/>
      <c r="RN534" s="29"/>
      <c r="RO534" s="19"/>
      <c r="RP534" s="20"/>
      <c r="RQ534" s="29"/>
      <c r="RR534" s="20"/>
      <c r="RS534" s="29"/>
      <c r="RT534" s="1504">
        <v>50710</v>
      </c>
      <c r="RU534" s="19"/>
      <c r="RV534" s="20"/>
      <c r="RW534" s="29"/>
      <c r="RX534" s="1504">
        <v>50710</v>
      </c>
      <c r="RY534" s="29"/>
      <c r="RZ534" s="20"/>
      <c r="SA534" s="29"/>
      <c r="SB534" s="29"/>
    </row>
    <row r="535" spans="1:496">
      <c r="A535" s="41">
        <f t="shared" si="360"/>
        <v>2038</v>
      </c>
      <c r="B535" s="1504">
        <v>50740</v>
      </c>
      <c r="C535" s="1813"/>
      <c r="D535" s="1814"/>
      <c r="E535" s="1814"/>
      <c r="F535" s="1815"/>
      <c r="G535" s="1814"/>
      <c r="H535" s="1814"/>
      <c r="I535" s="1814"/>
      <c r="J535" s="1816"/>
      <c r="K535" s="1807"/>
      <c r="L535" s="25"/>
      <c r="M535" s="97"/>
      <c r="N535" s="1504">
        <v>50740</v>
      </c>
      <c r="O535" s="19"/>
      <c r="P535" s="93"/>
      <c r="Q535" s="93"/>
      <c r="R535" s="93"/>
      <c r="S535" s="93"/>
      <c r="T535" s="93"/>
      <c r="U535" s="93"/>
      <c r="V535" s="93"/>
      <c r="W535" s="93"/>
      <c r="X535" s="93"/>
      <c r="Y535" s="93"/>
      <c r="Z535" s="93"/>
      <c r="AA535" s="93"/>
      <c r="AB535" s="20"/>
      <c r="AC535" s="25"/>
      <c r="AD535" s="97"/>
      <c r="AE535" s="1504">
        <v>50740</v>
      </c>
      <c r="AF535" s="19"/>
      <c r="AG535" s="93"/>
      <c r="AH535" s="93"/>
      <c r="AI535" s="93"/>
      <c r="AJ535" s="93"/>
      <c r="AK535" s="93"/>
      <c r="AL535" s="93"/>
      <c r="AM535" s="93"/>
      <c r="AN535" s="93"/>
      <c r="AO535" s="93"/>
      <c r="AP535" s="93"/>
      <c r="AQ535" s="93"/>
      <c r="AR535" s="93"/>
      <c r="AS535" s="20"/>
      <c r="AT535" s="25"/>
      <c r="AU535" s="97"/>
      <c r="AV535" s="1504">
        <v>50740</v>
      </c>
      <c r="AW535" s="19"/>
      <c r="AX535" s="93"/>
      <c r="AY535" s="93"/>
      <c r="AZ535" s="93"/>
      <c r="BA535" s="93"/>
      <c r="BB535" s="93"/>
      <c r="BC535" s="93"/>
      <c r="BD535" s="93"/>
      <c r="BE535" s="93"/>
      <c r="BF535" s="93"/>
      <c r="BG535" s="93"/>
      <c r="BH535" s="93"/>
      <c r="BI535" s="93"/>
      <c r="BJ535" s="20"/>
      <c r="BK535" s="25"/>
      <c r="BL535" s="97"/>
      <c r="BM535" s="1504">
        <v>50740</v>
      </c>
      <c r="BN535" s="19"/>
      <c r="BO535" s="93"/>
      <c r="BP535" s="93"/>
      <c r="BQ535" s="93"/>
      <c r="BR535" s="93"/>
      <c r="BS535" s="93"/>
      <c r="BT535" s="93"/>
      <c r="BU535" s="20"/>
      <c r="BV535" s="25"/>
      <c r="BW535" s="97"/>
      <c r="BX535" s="1504">
        <v>50740</v>
      </c>
      <c r="BY535" s="19"/>
      <c r="BZ535" s="93"/>
      <c r="CA535" s="93"/>
      <c r="CB535" s="93"/>
      <c r="CC535" s="93"/>
      <c r="CD535" s="25"/>
      <c r="CE535" s="97"/>
      <c r="CF535" s="1504">
        <v>50740</v>
      </c>
      <c r="CG535" s="19"/>
      <c r="CH535" s="93"/>
      <c r="CI535" s="219"/>
      <c r="CJ535" s="20"/>
      <c r="CK535" s="19"/>
      <c r="CL535" s="93"/>
      <c r="CM535" s="93"/>
      <c r="CN535" s="93"/>
      <c r="CO535" s="93"/>
      <c r="CP535" s="20"/>
      <c r="CQ535" s="219"/>
      <c r="CR535" s="93"/>
      <c r="CS535" s="93"/>
      <c r="CT535" s="93"/>
      <c r="CU535" s="93"/>
      <c r="CV535" s="214"/>
      <c r="CW535" s="29"/>
      <c r="CX535" s="41">
        <f t="shared" si="361"/>
        <v>2038</v>
      </c>
      <c r="CY535" s="1504">
        <v>50740</v>
      </c>
      <c r="CZ535" s="19"/>
      <c r="DA535" s="93"/>
      <c r="DB535" s="93"/>
      <c r="DC535" s="93"/>
      <c r="DD535" s="93"/>
      <c r="DE535" s="20"/>
      <c r="DF535" s="29"/>
      <c r="DG535" s="1504">
        <v>50740</v>
      </c>
      <c r="DH535" s="19"/>
      <c r="DI535" s="93"/>
      <c r="DJ535" s="93"/>
      <c r="DK535" s="93"/>
      <c r="DL535" s="93"/>
      <c r="DM535" s="93"/>
      <c r="DN535" s="20"/>
      <c r="DO535" s="295"/>
      <c r="DP535" s="29"/>
      <c r="DQ535" s="1504">
        <v>50740</v>
      </c>
      <c r="DR535" s="19"/>
      <c r="DS535" s="93"/>
      <c r="DT535" s="93"/>
      <c r="DU535" s="93"/>
      <c r="DV535" s="93"/>
      <c r="DW535" s="93"/>
      <c r="DX535" s="20"/>
      <c r="DY535" s="29"/>
      <c r="DZ535" s="1504">
        <v>50740</v>
      </c>
      <c r="EA535" s="19"/>
      <c r="EB535" s="93"/>
      <c r="EC535" s="20"/>
      <c r="ED535" s="29"/>
      <c r="EE535" s="1504">
        <v>50740</v>
      </c>
      <c r="EF535" s="19"/>
      <c r="EG535" s="93"/>
      <c r="EH535" s="93"/>
      <c r="EI535" s="214"/>
      <c r="EJ535" s="93"/>
      <c r="EK535" s="93"/>
      <c r="EL535" s="93"/>
      <c r="EM535" s="93"/>
      <c r="EN535" s="20"/>
      <c r="EO535" s="29"/>
      <c r="EP535" s="1504">
        <v>50740</v>
      </c>
      <c r="EQ535" s="19"/>
      <c r="ER535" s="93"/>
      <c r="ES535" s="93"/>
      <c r="ET535" s="214"/>
      <c r="EU535" s="93"/>
      <c r="EV535" s="93"/>
      <c r="EW535" s="93"/>
      <c r="EX535" s="93"/>
      <c r="EY535" s="20"/>
      <c r="EZ535" s="29"/>
      <c r="FA535" s="1504">
        <v>50740</v>
      </c>
      <c r="FB535" s="29"/>
      <c r="FC535" s="29"/>
      <c r="FD535" s="29"/>
      <c r="FE535" s="29"/>
      <c r="FF535" s="29"/>
      <c r="FG535" s="29"/>
      <c r="FH535" s="29"/>
      <c r="FI535" s="29"/>
      <c r="FJ535" s="29"/>
      <c r="FK535" s="29"/>
      <c r="FL535" s="1504">
        <v>50740</v>
      </c>
      <c r="FM535" s="19"/>
      <c r="FN535" s="93"/>
      <c r="FO535" s="93"/>
      <c r="FP535" s="93"/>
      <c r="FQ535" s="93"/>
      <c r="FR535" s="93"/>
      <c r="FS535" s="93"/>
      <c r="FT535" s="93"/>
      <c r="FU535" s="93"/>
      <c r="FV535" s="93"/>
      <c r="FW535" s="93"/>
      <c r="FX535" s="93"/>
      <c r="FY535" s="93"/>
      <c r="FZ535" s="29"/>
      <c r="GA535" s="1504">
        <v>50740</v>
      </c>
      <c r="GB535" s="19"/>
      <c r="GC535" s="93"/>
      <c r="GD535" s="93"/>
      <c r="GE535" s="93"/>
      <c r="GF535" s="93"/>
      <c r="GG535" s="93"/>
      <c r="GH535" s="93"/>
      <c r="GI535" s="93"/>
      <c r="GJ535" s="93"/>
      <c r="GK535" s="93"/>
      <c r="GL535" s="93"/>
      <c r="GM535" s="93"/>
      <c r="GN535" s="20"/>
      <c r="GO535" s="29"/>
      <c r="GP535" s="1504">
        <v>50740</v>
      </c>
      <c r="GQ535" s="19"/>
      <c r="GR535" s="93"/>
      <c r="GS535" s="93"/>
      <c r="GT535" s="93"/>
      <c r="GU535" s="93"/>
      <c r="GV535" s="20"/>
      <c r="GW535" s="19"/>
      <c r="GX535" s="93"/>
      <c r="GY535" s="93"/>
      <c r="GZ535" s="93"/>
      <c r="HA535" s="93"/>
      <c r="HB535" s="20"/>
      <c r="HC535" s="19"/>
      <c r="HD535" s="93"/>
      <c r="HE535" s="93"/>
      <c r="HF535" s="93"/>
      <c r="HG535" s="93"/>
      <c r="HH535" s="20"/>
      <c r="HI535" s="19"/>
      <c r="HJ535" s="93"/>
      <c r="HK535" s="93"/>
      <c r="HL535" s="93"/>
      <c r="HM535" s="93"/>
      <c r="HN535" s="20"/>
      <c r="HO535" s="219"/>
      <c r="HP535" s="20"/>
      <c r="HQ535" s="25"/>
      <c r="HR535" s="29"/>
      <c r="HS535" s="1504">
        <v>50740</v>
      </c>
      <c r="HT535" s="19"/>
      <c r="HU535" s="93"/>
      <c r="HV535" s="93"/>
      <c r="HW535" s="93"/>
      <c r="HX535" s="93"/>
      <c r="HY535" s="93"/>
      <c r="HZ535" s="93"/>
      <c r="IA535" s="20"/>
      <c r="IB535" s="19"/>
      <c r="IC535" s="93"/>
      <c r="ID535" s="93"/>
      <c r="IE535" s="93"/>
      <c r="IF535" s="93"/>
      <c r="IG535" s="20"/>
      <c r="IH535" s="19"/>
      <c r="II535" s="93"/>
      <c r="IJ535" s="93"/>
      <c r="IK535" s="93"/>
      <c r="IL535" s="93"/>
      <c r="IM535" s="93"/>
      <c r="IN535" s="93"/>
      <c r="IO535" s="20"/>
      <c r="IP535" s="29"/>
      <c r="IQ535" s="19"/>
      <c r="IR535" s="93"/>
      <c r="IS535" s="93"/>
      <c r="IT535" s="93"/>
      <c r="IU535" s="93"/>
      <c r="IV535" s="20"/>
      <c r="IW535" s="29"/>
      <c r="IX535" s="19"/>
      <c r="IY535" s="93"/>
      <c r="IZ535" s="93"/>
      <c r="JA535" s="93"/>
      <c r="JB535" s="93"/>
      <c r="JC535" s="93"/>
      <c r="JD535" s="93"/>
      <c r="JE535" s="20"/>
      <c r="JF535" s="29"/>
      <c r="JG535" s="19"/>
      <c r="JH535" s="93"/>
      <c r="JI535" s="93"/>
      <c r="JJ535" s="93"/>
      <c r="JK535" s="93"/>
      <c r="JL535" s="93"/>
      <c r="JM535" s="93"/>
      <c r="JN535" s="20"/>
      <c r="JO535" s="29"/>
      <c r="JP535" s="19"/>
      <c r="JQ535" s="93"/>
      <c r="JR535" s="93"/>
      <c r="JS535" s="93"/>
      <c r="JT535" s="93"/>
      <c r="JU535" s="20"/>
      <c r="JV535" s="29"/>
      <c r="JW535" s="1504">
        <v>50740</v>
      </c>
      <c r="JX535" s="19"/>
      <c r="JY535" s="93"/>
      <c r="JZ535" s="93"/>
      <c r="KA535" s="93"/>
      <c r="KB535" s="93"/>
      <c r="KC535" s="93"/>
      <c r="KD535" s="20"/>
      <c r="KE535" s="29"/>
      <c r="KF535" s="19"/>
      <c r="KG535" s="93"/>
      <c r="KH535" s="93"/>
      <c r="KI535" s="93"/>
      <c r="KJ535" s="93"/>
      <c r="KK535" s="20"/>
      <c r="KL535" s="29"/>
      <c r="KM535" s="19"/>
      <c r="KN535" s="93"/>
      <c r="KO535" s="93"/>
      <c r="KP535" s="93"/>
      <c r="KQ535" s="93"/>
      <c r="KR535" s="20"/>
      <c r="KS535" s="29"/>
      <c r="KT535" s="19"/>
      <c r="KU535" s="93"/>
      <c r="KV535" s="93"/>
      <c r="KW535" s="93"/>
      <c r="KX535" s="93"/>
      <c r="KY535" s="20"/>
      <c r="KZ535" s="29"/>
      <c r="LA535" s="1504">
        <v>50740</v>
      </c>
      <c r="LB535" s="19"/>
      <c r="LC535" s="93"/>
      <c r="LD535" s="93"/>
      <c r="LE535" s="93"/>
      <c r="LF535" s="93"/>
      <c r="LG535" s="93"/>
      <c r="LH535" s="20"/>
      <c r="LI535" s="29"/>
      <c r="LJ535" s="19"/>
      <c r="LK535" s="93"/>
      <c r="LL535" s="93"/>
      <c r="LM535" s="93"/>
      <c r="LN535" s="93"/>
      <c r="LO535" s="20"/>
      <c r="LP535" s="29"/>
      <c r="LQ535" s="19"/>
      <c r="LR535" s="93"/>
      <c r="LS535" s="93"/>
      <c r="LT535" s="93"/>
      <c r="LU535" s="93"/>
      <c r="LV535" s="93"/>
      <c r="LW535" s="93"/>
      <c r="LX535" s="93"/>
      <c r="LY535" s="93"/>
      <c r="LZ535" s="93"/>
      <c r="MA535" s="20"/>
      <c r="MB535" s="29"/>
      <c r="MC535" s="1504">
        <v>50740</v>
      </c>
      <c r="MD535" s="19"/>
      <c r="ME535" s="93"/>
      <c r="MF535" s="93"/>
      <c r="MG535" s="93"/>
      <c r="MH535" s="93"/>
      <c r="MI535" s="93"/>
      <c r="MJ535" s="93"/>
      <c r="MK535" s="93"/>
      <c r="ML535" s="93"/>
      <c r="MM535" s="93"/>
      <c r="MN535" s="93"/>
      <c r="MO535" s="93"/>
      <c r="MP535" s="93"/>
      <c r="MQ535" s="93"/>
      <c r="MR535" s="93"/>
      <c r="MS535" s="93"/>
      <c r="MT535" s="93"/>
      <c r="MU535" s="93"/>
      <c r="MV535" s="93"/>
      <c r="MW535" s="93"/>
      <c r="MX535" s="93"/>
      <c r="MY535" s="93"/>
      <c r="MZ535" s="93"/>
      <c r="NA535" s="93"/>
      <c r="NB535" s="93"/>
      <c r="NC535" s="93"/>
      <c r="ND535" s="93"/>
      <c r="NE535" s="93"/>
      <c r="NF535" s="93"/>
      <c r="NG535" s="93"/>
      <c r="NH535" s="93"/>
      <c r="NI535" s="93"/>
      <c r="NJ535" s="93"/>
      <c r="NK535" s="93"/>
      <c r="NL535" s="93"/>
      <c r="NM535" s="93"/>
      <c r="NN535" s="93"/>
      <c r="NO535" s="93"/>
      <c r="NP535" s="93"/>
      <c r="NQ535" s="93"/>
      <c r="NR535" s="93"/>
      <c r="NS535" s="93"/>
      <c r="NT535" s="93"/>
      <c r="NU535" s="93"/>
      <c r="NV535" s="93"/>
      <c r="NW535" s="93"/>
      <c r="NX535" s="93"/>
      <c r="NY535" s="93"/>
      <c r="NZ535" s="93"/>
      <c r="OA535" s="93"/>
      <c r="OB535" s="93"/>
      <c r="OC535" s="93"/>
      <c r="OD535" s="20"/>
      <c r="OE535" s="29"/>
      <c r="OF535" s="1504">
        <v>50740</v>
      </c>
      <c r="OG535" s="19"/>
      <c r="OH535" s="93"/>
      <c r="OI535" s="93"/>
      <c r="OJ535" s="93"/>
      <c r="OK535" s="93"/>
      <c r="OL535" s="93"/>
      <c r="OM535" s="93"/>
      <c r="ON535" s="93"/>
      <c r="OO535" s="93"/>
      <c r="OP535" s="93"/>
      <c r="OQ535" s="93"/>
      <c r="OR535" s="93"/>
      <c r="OS535" s="93"/>
      <c r="OT535" s="93"/>
      <c r="OU535" s="93"/>
      <c r="OV535" s="93"/>
      <c r="OW535" s="93"/>
      <c r="OX535" s="93"/>
      <c r="OY535" s="93"/>
      <c r="OZ535" s="93"/>
      <c r="PA535" s="93"/>
      <c r="PB535" s="93"/>
      <c r="PC535" s="20"/>
      <c r="PD535" s="29"/>
      <c r="PE535" s="19"/>
      <c r="PF535" s="93"/>
      <c r="PG535" s="93"/>
      <c r="PH535" s="93"/>
      <c r="PI535" s="93"/>
      <c r="PJ535" s="93"/>
      <c r="PK535" s="93"/>
      <c r="PL535" s="93"/>
      <c r="PM535" s="93"/>
      <c r="PN535" s="93"/>
      <c r="PO535" s="93"/>
      <c r="PP535" s="93"/>
      <c r="PQ535" s="93"/>
      <c r="PR535" s="93"/>
      <c r="PS535" s="93"/>
      <c r="PT535" s="93"/>
      <c r="PU535" s="93"/>
      <c r="PV535" s="93"/>
      <c r="PW535" s="93"/>
      <c r="PX535" s="93"/>
      <c r="PY535" s="93"/>
      <c r="PZ535" s="93"/>
      <c r="QA535" s="93"/>
      <c r="QB535" s="93"/>
      <c r="QC535" s="93"/>
      <c r="QD535" s="93"/>
      <c r="QE535" s="20"/>
      <c r="QF535" s="1739"/>
      <c r="QG535" s="19"/>
      <c r="QH535" s="93"/>
      <c r="QI535" s="93"/>
      <c r="QJ535" s="93"/>
      <c r="QK535" s="93"/>
      <c r="QL535" s="93"/>
      <c r="QM535" s="93"/>
      <c r="QN535" s="93"/>
      <c r="QO535" s="93"/>
      <c r="QP535" s="93"/>
      <c r="QQ535" s="93"/>
      <c r="QR535" s="93"/>
      <c r="QS535" s="93"/>
      <c r="QT535" s="93"/>
      <c r="QU535" s="93"/>
      <c r="QV535" s="93"/>
      <c r="QW535" s="93"/>
      <c r="QX535" s="93"/>
      <c r="QY535" s="93"/>
      <c r="QZ535" s="93"/>
      <c r="RA535" s="93"/>
      <c r="RB535" s="93"/>
      <c r="RC535" s="93"/>
      <c r="RD535" s="93"/>
      <c r="RE535" s="93"/>
      <c r="RF535" s="93"/>
      <c r="RG535" s="93"/>
      <c r="RH535" s="93"/>
      <c r="RI535" s="93"/>
      <c r="RJ535" s="93"/>
      <c r="RK535" s="93"/>
      <c r="RL535" s="93"/>
      <c r="RM535" s="20"/>
      <c r="RN535" s="29"/>
      <c r="RO535" s="19"/>
      <c r="RP535" s="20"/>
      <c r="RQ535" s="29"/>
      <c r="RR535" s="20"/>
      <c r="RS535" s="29"/>
      <c r="RT535" s="1504">
        <v>50740</v>
      </c>
      <c r="RU535" s="19"/>
      <c r="RV535" s="20"/>
      <c r="RW535" s="29"/>
      <c r="RX535" s="1504">
        <v>50740</v>
      </c>
      <c r="RY535" s="29"/>
      <c r="RZ535" s="20"/>
      <c r="SA535" s="29"/>
      <c r="SB535" s="29"/>
    </row>
    <row r="536" spans="1:496">
      <c r="A536" s="41">
        <f t="shared" si="360"/>
        <v>2039</v>
      </c>
      <c r="B536" s="1504">
        <v>50771</v>
      </c>
      <c r="C536" s="1813"/>
      <c r="D536" s="1814"/>
      <c r="E536" s="1814"/>
      <c r="F536" s="1815"/>
      <c r="G536" s="1814"/>
      <c r="H536" s="1814"/>
      <c r="I536" s="1814"/>
      <c r="J536" s="1816"/>
      <c r="K536" s="1807"/>
      <c r="L536" s="25"/>
      <c r="M536" s="97"/>
      <c r="N536" s="1504">
        <v>50771</v>
      </c>
      <c r="O536" s="19"/>
      <c r="P536" s="93"/>
      <c r="Q536" s="93"/>
      <c r="R536" s="93"/>
      <c r="S536" s="93"/>
      <c r="T536" s="93"/>
      <c r="U536" s="93"/>
      <c r="V536" s="93"/>
      <c r="W536" s="93"/>
      <c r="X536" s="93"/>
      <c r="Y536" s="93"/>
      <c r="Z536" s="93"/>
      <c r="AA536" s="93"/>
      <c r="AB536" s="20"/>
      <c r="AC536" s="25"/>
      <c r="AD536" s="97"/>
      <c r="AE536" s="1504">
        <v>50771</v>
      </c>
      <c r="AF536" s="19"/>
      <c r="AG536" s="93"/>
      <c r="AH536" s="93"/>
      <c r="AI536" s="93"/>
      <c r="AJ536" s="93"/>
      <c r="AK536" s="93"/>
      <c r="AL536" s="93"/>
      <c r="AM536" s="93"/>
      <c r="AN536" s="93"/>
      <c r="AO536" s="93"/>
      <c r="AP536" s="93"/>
      <c r="AQ536" s="93"/>
      <c r="AR536" s="93"/>
      <c r="AS536" s="20"/>
      <c r="AT536" s="25"/>
      <c r="AU536" s="97"/>
      <c r="AV536" s="1504">
        <v>50771</v>
      </c>
      <c r="AW536" s="19"/>
      <c r="AX536" s="93"/>
      <c r="AY536" s="93"/>
      <c r="AZ536" s="93"/>
      <c r="BA536" s="93"/>
      <c r="BB536" s="93"/>
      <c r="BC536" s="93"/>
      <c r="BD536" s="93"/>
      <c r="BE536" s="93"/>
      <c r="BF536" s="93"/>
      <c r="BG536" s="93"/>
      <c r="BH536" s="93"/>
      <c r="BI536" s="93"/>
      <c r="BJ536" s="20"/>
      <c r="BK536" s="25"/>
      <c r="BL536" s="97"/>
      <c r="BM536" s="1504">
        <v>50771</v>
      </c>
      <c r="BN536" s="19"/>
      <c r="BO536" s="93"/>
      <c r="BP536" s="93"/>
      <c r="BQ536" s="93"/>
      <c r="BR536" s="93"/>
      <c r="BS536" s="93"/>
      <c r="BT536" s="93"/>
      <c r="BU536" s="20"/>
      <c r="BV536" s="25"/>
      <c r="BW536" s="97"/>
      <c r="BX536" s="1504">
        <v>50771</v>
      </c>
      <c r="BY536" s="19"/>
      <c r="BZ536" s="93"/>
      <c r="CA536" s="93"/>
      <c r="CB536" s="93"/>
      <c r="CC536" s="93"/>
      <c r="CD536" s="25"/>
      <c r="CE536" s="97"/>
      <c r="CF536" s="1504">
        <v>50771</v>
      </c>
      <c r="CG536" s="19"/>
      <c r="CH536" s="93"/>
      <c r="CI536" s="219"/>
      <c r="CJ536" s="20"/>
      <c r="CK536" s="19"/>
      <c r="CL536" s="93"/>
      <c r="CM536" s="93"/>
      <c r="CN536" s="93"/>
      <c r="CO536" s="93"/>
      <c r="CP536" s="20"/>
      <c r="CQ536" s="219"/>
      <c r="CR536" s="93"/>
      <c r="CS536" s="93"/>
      <c r="CT536" s="93"/>
      <c r="CU536" s="93"/>
      <c r="CV536" s="214"/>
      <c r="CW536" s="29"/>
      <c r="CX536" s="41">
        <f t="shared" si="361"/>
        <v>2039</v>
      </c>
      <c r="CY536" s="1504">
        <v>50771</v>
      </c>
      <c r="CZ536" s="19"/>
      <c r="DA536" s="93"/>
      <c r="DB536" s="93"/>
      <c r="DC536" s="93"/>
      <c r="DD536" s="93"/>
      <c r="DE536" s="20"/>
      <c r="DF536" s="29"/>
      <c r="DG536" s="1504">
        <v>50771</v>
      </c>
      <c r="DH536" s="19"/>
      <c r="DI536" s="93"/>
      <c r="DJ536" s="93"/>
      <c r="DK536" s="93"/>
      <c r="DL536" s="93"/>
      <c r="DM536" s="93"/>
      <c r="DN536" s="20"/>
      <c r="DO536" s="295"/>
      <c r="DP536" s="29"/>
      <c r="DQ536" s="1504">
        <v>50771</v>
      </c>
      <c r="DR536" s="19"/>
      <c r="DS536" s="93"/>
      <c r="DT536" s="93"/>
      <c r="DU536" s="93"/>
      <c r="DV536" s="93"/>
      <c r="DW536" s="93"/>
      <c r="DX536" s="20"/>
      <c r="DY536" s="29"/>
      <c r="DZ536" s="1504">
        <v>50771</v>
      </c>
      <c r="EA536" s="19"/>
      <c r="EB536" s="93"/>
      <c r="EC536" s="20"/>
      <c r="ED536" s="29"/>
      <c r="EE536" s="1504">
        <v>50771</v>
      </c>
      <c r="EF536" s="19"/>
      <c r="EG536" s="93"/>
      <c r="EH536" s="93"/>
      <c r="EI536" s="214"/>
      <c r="EJ536" s="93"/>
      <c r="EK536" s="93"/>
      <c r="EL536" s="93"/>
      <c r="EM536" s="93"/>
      <c r="EN536" s="20"/>
      <c r="EO536" s="29"/>
      <c r="EP536" s="1504">
        <v>50771</v>
      </c>
      <c r="EQ536" s="19"/>
      <c r="ER536" s="93"/>
      <c r="ES536" s="93"/>
      <c r="ET536" s="214"/>
      <c r="EU536" s="93"/>
      <c r="EV536" s="93"/>
      <c r="EW536" s="93"/>
      <c r="EX536" s="93"/>
      <c r="EY536" s="20"/>
      <c r="EZ536" s="29"/>
      <c r="FA536" s="1504">
        <v>50771</v>
      </c>
      <c r="FB536" s="29"/>
      <c r="FC536" s="29"/>
      <c r="FD536" s="29"/>
      <c r="FE536" s="29"/>
      <c r="FF536" s="29"/>
      <c r="FG536" s="29"/>
      <c r="FH536" s="29"/>
      <c r="FI536" s="29"/>
      <c r="FJ536" s="29"/>
      <c r="FK536" s="29"/>
      <c r="FL536" s="1504">
        <v>50771</v>
      </c>
      <c r="FM536" s="19"/>
      <c r="FN536" s="93"/>
      <c r="FO536" s="93"/>
      <c r="FP536" s="93"/>
      <c r="FQ536" s="93"/>
      <c r="FR536" s="93"/>
      <c r="FS536" s="93"/>
      <c r="FT536" s="93"/>
      <c r="FU536" s="93"/>
      <c r="FV536" s="93"/>
      <c r="FW536" s="93"/>
      <c r="FX536" s="93"/>
      <c r="FY536" s="93"/>
      <c r="FZ536" s="29"/>
      <c r="GA536" s="1504">
        <v>50771</v>
      </c>
      <c r="GB536" s="19"/>
      <c r="GC536" s="93"/>
      <c r="GD536" s="93"/>
      <c r="GE536" s="93"/>
      <c r="GF536" s="93"/>
      <c r="GG536" s="93"/>
      <c r="GH536" s="93"/>
      <c r="GI536" s="93"/>
      <c r="GJ536" s="93"/>
      <c r="GK536" s="93"/>
      <c r="GL536" s="93"/>
      <c r="GM536" s="93"/>
      <c r="GN536" s="20"/>
      <c r="GO536" s="29"/>
      <c r="GP536" s="1504">
        <v>50771</v>
      </c>
      <c r="GQ536" s="19"/>
      <c r="GR536" s="93"/>
      <c r="GS536" s="93"/>
      <c r="GT536" s="93"/>
      <c r="GU536" s="93"/>
      <c r="GV536" s="20"/>
      <c r="GW536" s="19"/>
      <c r="GX536" s="93"/>
      <c r="GY536" s="93"/>
      <c r="GZ536" s="93"/>
      <c r="HA536" s="93"/>
      <c r="HB536" s="20"/>
      <c r="HC536" s="19"/>
      <c r="HD536" s="93"/>
      <c r="HE536" s="93"/>
      <c r="HF536" s="93"/>
      <c r="HG536" s="93"/>
      <c r="HH536" s="20"/>
      <c r="HI536" s="19"/>
      <c r="HJ536" s="93"/>
      <c r="HK536" s="93"/>
      <c r="HL536" s="93"/>
      <c r="HM536" s="93"/>
      <c r="HN536" s="20"/>
      <c r="HO536" s="219"/>
      <c r="HP536" s="20"/>
      <c r="HQ536" s="25"/>
      <c r="HR536" s="29"/>
      <c r="HS536" s="1504">
        <v>50771</v>
      </c>
      <c r="HT536" s="19"/>
      <c r="HU536" s="93"/>
      <c r="HV536" s="93"/>
      <c r="HW536" s="93"/>
      <c r="HX536" s="93"/>
      <c r="HY536" s="93"/>
      <c r="HZ536" s="93"/>
      <c r="IA536" s="20"/>
      <c r="IB536" s="19"/>
      <c r="IC536" s="93"/>
      <c r="ID536" s="93"/>
      <c r="IE536" s="93"/>
      <c r="IF536" s="93"/>
      <c r="IG536" s="20"/>
      <c r="IH536" s="19"/>
      <c r="II536" s="93"/>
      <c r="IJ536" s="93"/>
      <c r="IK536" s="93"/>
      <c r="IL536" s="93"/>
      <c r="IM536" s="93"/>
      <c r="IN536" s="93"/>
      <c r="IO536" s="20"/>
      <c r="IP536" s="29"/>
      <c r="IQ536" s="19"/>
      <c r="IR536" s="93"/>
      <c r="IS536" s="93"/>
      <c r="IT536" s="93"/>
      <c r="IU536" s="93"/>
      <c r="IV536" s="20"/>
      <c r="IW536" s="29"/>
      <c r="IX536" s="19"/>
      <c r="IY536" s="93"/>
      <c r="IZ536" s="93"/>
      <c r="JA536" s="93"/>
      <c r="JB536" s="93"/>
      <c r="JC536" s="93"/>
      <c r="JD536" s="93"/>
      <c r="JE536" s="20"/>
      <c r="JF536" s="29"/>
      <c r="JG536" s="19"/>
      <c r="JH536" s="93"/>
      <c r="JI536" s="93"/>
      <c r="JJ536" s="93"/>
      <c r="JK536" s="93"/>
      <c r="JL536" s="93"/>
      <c r="JM536" s="93"/>
      <c r="JN536" s="20"/>
      <c r="JO536" s="29"/>
      <c r="JP536" s="19"/>
      <c r="JQ536" s="93"/>
      <c r="JR536" s="93"/>
      <c r="JS536" s="93"/>
      <c r="JT536" s="93"/>
      <c r="JU536" s="20"/>
      <c r="JV536" s="29"/>
      <c r="JW536" s="1504">
        <v>50771</v>
      </c>
      <c r="JX536" s="19"/>
      <c r="JY536" s="93"/>
      <c r="JZ536" s="93"/>
      <c r="KA536" s="93"/>
      <c r="KB536" s="93"/>
      <c r="KC536" s="93"/>
      <c r="KD536" s="20"/>
      <c r="KE536" s="29"/>
      <c r="KF536" s="19"/>
      <c r="KG536" s="93"/>
      <c r="KH536" s="93"/>
      <c r="KI536" s="93"/>
      <c r="KJ536" s="93"/>
      <c r="KK536" s="20"/>
      <c r="KL536" s="29"/>
      <c r="KM536" s="19"/>
      <c r="KN536" s="93"/>
      <c r="KO536" s="93"/>
      <c r="KP536" s="93"/>
      <c r="KQ536" s="93"/>
      <c r="KR536" s="20"/>
      <c r="KS536" s="29"/>
      <c r="KT536" s="19"/>
      <c r="KU536" s="93"/>
      <c r="KV536" s="93"/>
      <c r="KW536" s="93"/>
      <c r="KX536" s="93"/>
      <c r="KY536" s="20"/>
      <c r="KZ536" s="29"/>
      <c r="LA536" s="1504">
        <v>50771</v>
      </c>
      <c r="LB536" s="19"/>
      <c r="LC536" s="93"/>
      <c r="LD536" s="93"/>
      <c r="LE536" s="93"/>
      <c r="LF536" s="93"/>
      <c r="LG536" s="93"/>
      <c r="LH536" s="20"/>
      <c r="LI536" s="29"/>
      <c r="LJ536" s="19"/>
      <c r="LK536" s="93"/>
      <c r="LL536" s="93"/>
      <c r="LM536" s="93"/>
      <c r="LN536" s="93"/>
      <c r="LO536" s="20"/>
      <c r="LP536" s="29"/>
      <c r="LQ536" s="19"/>
      <c r="LR536" s="93"/>
      <c r="LS536" s="93"/>
      <c r="LT536" s="93"/>
      <c r="LU536" s="93"/>
      <c r="LV536" s="93"/>
      <c r="LW536" s="93"/>
      <c r="LX536" s="93"/>
      <c r="LY536" s="93"/>
      <c r="LZ536" s="93"/>
      <c r="MA536" s="20"/>
      <c r="MB536" s="29"/>
      <c r="MC536" s="1504">
        <v>50771</v>
      </c>
      <c r="MD536" s="19"/>
      <c r="ME536" s="93"/>
      <c r="MF536" s="93"/>
      <c r="MG536" s="93"/>
      <c r="MH536" s="93"/>
      <c r="MI536" s="93"/>
      <c r="MJ536" s="93"/>
      <c r="MK536" s="93"/>
      <c r="ML536" s="93"/>
      <c r="MM536" s="93"/>
      <c r="MN536" s="93"/>
      <c r="MO536" s="93"/>
      <c r="MP536" s="93"/>
      <c r="MQ536" s="93"/>
      <c r="MR536" s="93"/>
      <c r="MS536" s="93"/>
      <c r="MT536" s="93"/>
      <c r="MU536" s="93"/>
      <c r="MV536" s="93"/>
      <c r="MW536" s="93"/>
      <c r="MX536" s="93"/>
      <c r="MY536" s="93"/>
      <c r="MZ536" s="93"/>
      <c r="NA536" s="93"/>
      <c r="NB536" s="93"/>
      <c r="NC536" s="93"/>
      <c r="ND536" s="93"/>
      <c r="NE536" s="93"/>
      <c r="NF536" s="93"/>
      <c r="NG536" s="93"/>
      <c r="NH536" s="93"/>
      <c r="NI536" s="93"/>
      <c r="NJ536" s="93"/>
      <c r="NK536" s="93"/>
      <c r="NL536" s="93"/>
      <c r="NM536" s="93"/>
      <c r="NN536" s="93"/>
      <c r="NO536" s="93"/>
      <c r="NP536" s="93"/>
      <c r="NQ536" s="93"/>
      <c r="NR536" s="93"/>
      <c r="NS536" s="93"/>
      <c r="NT536" s="93"/>
      <c r="NU536" s="93"/>
      <c r="NV536" s="93"/>
      <c r="NW536" s="93"/>
      <c r="NX536" s="93"/>
      <c r="NY536" s="93"/>
      <c r="NZ536" s="93"/>
      <c r="OA536" s="93"/>
      <c r="OB536" s="93"/>
      <c r="OC536" s="93"/>
      <c r="OD536" s="20"/>
      <c r="OE536" s="29"/>
      <c r="OF536" s="1504">
        <v>50771</v>
      </c>
      <c r="OG536" s="19"/>
      <c r="OH536" s="93"/>
      <c r="OI536" s="93"/>
      <c r="OJ536" s="93"/>
      <c r="OK536" s="93"/>
      <c r="OL536" s="93"/>
      <c r="OM536" s="93"/>
      <c r="ON536" s="93"/>
      <c r="OO536" s="93"/>
      <c r="OP536" s="93"/>
      <c r="OQ536" s="93"/>
      <c r="OR536" s="93"/>
      <c r="OS536" s="93"/>
      <c r="OT536" s="93"/>
      <c r="OU536" s="93"/>
      <c r="OV536" s="93"/>
      <c r="OW536" s="93"/>
      <c r="OX536" s="93"/>
      <c r="OY536" s="93"/>
      <c r="OZ536" s="93"/>
      <c r="PA536" s="93"/>
      <c r="PB536" s="93"/>
      <c r="PC536" s="20"/>
      <c r="PD536" s="29"/>
      <c r="PE536" s="19"/>
      <c r="PF536" s="93"/>
      <c r="PG536" s="93"/>
      <c r="PH536" s="93"/>
      <c r="PI536" s="93"/>
      <c r="PJ536" s="93"/>
      <c r="PK536" s="93"/>
      <c r="PL536" s="93"/>
      <c r="PM536" s="93"/>
      <c r="PN536" s="93"/>
      <c r="PO536" s="93"/>
      <c r="PP536" s="93"/>
      <c r="PQ536" s="93"/>
      <c r="PR536" s="93"/>
      <c r="PS536" s="93"/>
      <c r="PT536" s="93"/>
      <c r="PU536" s="93"/>
      <c r="PV536" s="93"/>
      <c r="PW536" s="93"/>
      <c r="PX536" s="93"/>
      <c r="PY536" s="93"/>
      <c r="PZ536" s="93"/>
      <c r="QA536" s="93"/>
      <c r="QB536" s="93"/>
      <c r="QC536" s="93"/>
      <c r="QD536" s="93"/>
      <c r="QE536" s="20"/>
      <c r="QF536" s="1739"/>
      <c r="QG536" s="19"/>
      <c r="QH536" s="93"/>
      <c r="QI536" s="93"/>
      <c r="QJ536" s="93"/>
      <c r="QK536" s="93"/>
      <c r="QL536" s="93"/>
      <c r="QM536" s="93"/>
      <c r="QN536" s="93"/>
      <c r="QO536" s="93"/>
      <c r="QP536" s="93"/>
      <c r="QQ536" s="93"/>
      <c r="QR536" s="93"/>
      <c r="QS536" s="93"/>
      <c r="QT536" s="93"/>
      <c r="QU536" s="93"/>
      <c r="QV536" s="93"/>
      <c r="QW536" s="93"/>
      <c r="QX536" s="93"/>
      <c r="QY536" s="93"/>
      <c r="QZ536" s="93"/>
      <c r="RA536" s="93"/>
      <c r="RB536" s="93"/>
      <c r="RC536" s="93"/>
      <c r="RD536" s="93"/>
      <c r="RE536" s="93"/>
      <c r="RF536" s="93"/>
      <c r="RG536" s="93"/>
      <c r="RH536" s="93"/>
      <c r="RI536" s="93"/>
      <c r="RJ536" s="93"/>
      <c r="RK536" s="93"/>
      <c r="RL536" s="93"/>
      <c r="RM536" s="20"/>
      <c r="RN536" s="29"/>
      <c r="RO536" s="19"/>
      <c r="RP536" s="20"/>
      <c r="RQ536" s="29"/>
      <c r="RR536" s="20"/>
      <c r="RS536" s="29"/>
      <c r="RT536" s="1504">
        <v>50771</v>
      </c>
      <c r="RU536" s="19"/>
      <c r="RV536" s="20"/>
      <c r="RW536" s="29"/>
      <c r="RX536" s="1504">
        <v>50771</v>
      </c>
      <c r="RY536" s="29"/>
      <c r="RZ536" s="20"/>
      <c r="SA536" s="29"/>
      <c r="SB536" s="29"/>
    </row>
    <row r="537" spans="1:496">
      <c r="A537" s="41">
        <f t="shared" si="360"/>
        <v>2039</v>
      </c>
      <c r="B537" s="1504">
        <v>50802</v>
      </c>
      <c r="C537" s="1813"/>
      <c r="D537" s="1814"/>
      <c r="E537" s="1814"/>
      <c r="F537" s="1815"/>
      <c r="G537" s="1814"/>
      <c r="H537" s="1814"/>
      <c r="I537" s="1814"/>
      <c r="J537" s="1816"/>
      <c r="K537" s="1807"/>
      <c r="L537" s="25"/>
      <c r="M537" s="97"/>
      <c r="N537" s="1504">
        <v>50802</v>
      </c>
      <c r="O537" s="19"/>
      <c r="P537" s="93"/>
      <c r="Q537" s="93"/>
      <c r="R537" s="93"/>
      <c r="S537" s="93"/>
      <c r="T537" s="93"/>
      <c r="U537" s="93"/>
      <c r="V537" s="93"/>
      <c r="W537" s="93"/>
      <c r="X537" s="93"/>
      <c r="Y537" s="93"/>
      <c r="Z537" s="93"/>
      <c r="AA537" s="93"/>
      <c r="AB537" s="20"/>
      <c r="AC537" s="25"/>
      <c r="AD537" s="97"/>
      <c r="AE537" s="1504">
        <v>50802</v>
      </c>
      <c r="AF537" s="19"/>
      <c r="AG537" s="93"/>
      <c r="AH537" s="93"/>
      <c r="AI537" s="93"/>
      <c r="AJ537" s="93"/>
      <c r="AK537" s="93"/>
      <c r="AL537" s="93"/>
      <c r="AM537" s="93"/>
      <c r="AN537" s="93"/>
      <c r="AO537" s="93"/>
      <c r="AP537" s="93"/>
      <c r="AQ537" s="93"/>
      <c r="AR537" s="93"/>
      <c r="AS537" s="20"/>
      <c r="AT537" s="25"/>
      <c r="AU537" s="97"/>
      <c r="AV537" s="1504">
        <v>50802</v>
      </c>
      <c r="AW537" s="19"/>
      <c r="AX537" s="93"/>
      <c r="AY537" s="93"/>
      <c r="AZ537" s="93"/>
      <c r="BA537" s="93"/>
      <c r="BB537" s="93"/>
      <c r="BC537" s="93"/>
      <c r="BD537" s="93"/>
      <c r="BE537" s="93"/>
      <c r="BF537" s="93"/>
      <c r="BG537" s="93"/>
      <c r="BH537" s="93"/>
      <c r="BI537" s="93"/>
      <c r="BJ537" s="20"/>
      <c r="BK537" s="25"/>
      <c r="BL537" s="97"/>
      <c r="BM537" s="1504">
        <v>50802</v>
      </c>
      <c r="BN537" s="19"/>
      <c r="BO537" s="93"/>
      <c r="BP537" s="93"/>
      <c r="BQ537" s="93"/>
      <c r="BR537" s="93"/>
      <c r="BS537" s="93"/>
      <c r="BT537" s="93"/>
      <c r="BU537" s="20"/>
      <c r="BV537" s="25"/>
      <c r="BW537" s="97"/>
      <c r="BX537" s="1504">
        <v>50802</v>
      </c>
      <c r="BY537" s="19"/>
      <c r="BZ537" s="93"/>
      <c r="CA537" s="93"/>
      <c r="CB537" s="93"/>
      <c r="CC537" s="93"/>
      <c r="CD537" s="25"/>
      <c r="CE537" s="97"/>
      <c r="CF537" s="1504">
        <v>50802</v>
      </c>
      <c r="CG537" s="19"/>
      <c r="CH537" s="93"/>
      <c r="CI537" s="219"/>
      <c r="CJ537" s="20"/>
      <c r="CK537" s="19"/>
      <c r="CL537" s="93"/>
      <c r="CM537" s="93"/>
      <c r="CN537" s="93"/>
      <c r="CO537" s="93"/>
      <c r="CP537" s="20"/>
      <c r="CQ537" s="219"/>
      <c r="CR537" s="93"/>
      <c r="CS537" s="93"/>
      <c r="CT537" s="93"/>
      <c r="CU537" s="93"/>
      <c r="CV537" s="214"/>
      <c r="CW537" s="29"/>
      <c r="CX537" s="41">
        <f t="shared" si="361"/>
        <v>2039</v>
      </c>
      <c r="CY537" s="1504">
        <v>50802</v>
      </c>
      <c r="CZ537" s="19"/>
      <c r="DA537" s="93"/>
      <c r="DB537" s="93"/>
      <c r="DC537" s="93"/>
      <c r="DD537" s="93"/>
      <c r="DE537" s="20"/>
      <c r="DF537" s="29"/>
      <c r="DG537" s="1504">
        <v>50802</v>
      </c>
      <c r="DH537" s="19"/>
      <c r="DI537" s="93"/>
      <c r="DJ537" s="93"/>
      <c r="DK537" s="93"/>
      <c r="DL537" s="93"/>
      <c r="DM537" s="93"/>
      <c r="DN537" s="20"/>
      <c r="DO537" s="295"/>
      <c r="DP537" s="29"/>
      <c r="DQ537" s="1504">
        <v>50802</v>
      </c>
      <c r="DR537" s="19"/>
      <c r="DS537" s="93"/>
      <c r="DT537" s="93"/>
      <c r="DU537" s="93"/>
      <c r="DV537" s="93"/>
      <c r="DW537" s="93"/>
      <c r="DX537" s="20"/>
      <c r="DY537" s="29"/>
      <c r="DZ537" s="1504">
        <v>50802</v>
      </c>
      <c r="EA537" s="19"/>
      <c r="EB537" s="93"/>
      <c r="EC537" s="20"/>
      <c r="ED537" s="29"/>
      <c r="EE537" s="1504">
        <v>50802</v>
      </c>
      <c r="EF537" s="19"/>
      <c r="EG537" s="93"/>
      <c r="EH537" s="93"/>
      <c r="EI537" s="214"/>
      <c r="EJ537" s="93"/>
      <c r="EK537" s="93"/>
      <c r="EL537" s="93"/>
      <c r="EM537" s="93"/>
      <c r="EN537" s="20"/>
      <c r="EO537" s="29"/>
      <c r="EP537" s="1504">
        <v>50802</v>
      </c>
      <c r="EQ537" s="19"/>
      <c r="ER537" s="93"/>
      <c r="ES537" s="93"/>
      <c r="ET537" s="214"/>
      <c r="EU537" s="93"/>
      <c r="EV537" s="93"/>
      <c r="EW537" s="93"/>
      <c r="EX537" s="93"/>
      <c r="EY537" s="20"/>
      <c r="EZ537" s="29"/>
      <c r="FA537" s="1504">
        <v>50802</v>
      </c>
      <c r="FB537" s="29"/>
      <c r="FC537" s="29"/>
      <c r="FD537" s="29"/>
      <c r="FE537" s="29"/>
      <c r="FF537" s="29"/>
      <c r="FG537" s="29"/>
      <c r="FH537" s="29"/>
      <c r="FI537" s="29"/>
      <c r="FJ537" s="29"/>
      <c r="FK537" s="29"/>
      <c r="FL537" s="1504">
        <v>50802</v>
      </c>
      <c r="FM537" s="19"/>
      <c r="FN537" s="93"/>
      <c r="FO537" s="93"/>
      <c r="FP537" s="93"/>
      <c r="FQ537" s="93"/>
      <c r="FR537" s="93"/>
      <c r="FS537" s="93"/>
      <c r="FT537" s="93"/>
      <c r="FU537" s="93"/>
      <c r="FV537" s="93"/>
      <c r="FW537" s="93"/>
      <c r="FX537" s="93"/>
      <c r="FY537" s="93"/>
      <c r="FZ537" s="29"/>
      <c r="GA537" s="1504">
        <v>50802</v>
      </c>
      <c r="GB537" s="19"/>
      <c r="GC537" s="93"/>
      <c r="GD537" s="93"/>
      <c r="GE537" s="93"/>
      <c r="GF537" s="93"/>
      <c r="GG537" s="93"/>
      <c r="GH537" s="93"/>
      <c r="GI537" s="93"/>
      <c r="GJ537" s="93"/>
      <c r="GK537" s="93"/>
      <c r="GL537" s="93"/>
      <c r="GM537" s="93"/>
      <c r="GN537" s="20"/>
      <c r="GO537" s="29"/>
      <c r="GP537" s="1504">
        <v>50802</v>
      </c>
      <c r="GQ537" s="19"/>
      <c r="GR537" s="93"/>
      <c r="GS537" s="93"/>
      <c r="GT537" s="93"/>
      <c r="GU537" s="93"/>
      <c r="GV537" s="20"/>
      <c r="GW537" s="19"/>
      <c r="GX537" s="93"/>
      <c r="GY537" s="93"/>
      <c r="GZ537" s="93"/>
      <c r="HA537" s="93"/>
      <c r="HB537" s="20"/>
      <c r="HC537" s="19"/>
      <c r="HD537" s="93"/>
      <c r="HE537" s="93"/>
      <c r="HF537" s="93"/>
      <c r="HG537" s="93"/>
      <c r="HH537" s="20"/>
      <c r="HI537" s="19"/>
      <c r="HJ537" s="93"/>
      <c r="HK537" s="93"/>
      <c r="HL537" s="93"/>
      <c r="HM537" s="93"/>
      <c r="HN537" s="20"/>
      <c r="HO537" s="219"/>
      <c r="HP537" s="20"/>
      <c r="HQ537" s="25"/>
      <c r="HR537" s="29"/>
      <c r="HS537" s="1504">
        <v>50802</v>
      </c>
      <c r="HT537" s="19"/>
      <c r="HU537" s="93"/>
      <c r="HV537" s="93"/>
      <c r="HW537" s="93"/>
      <c r="HX537" s="93"/>
      <c r="HY537" s="93"/>
      <c r="HZ537" s="93"/>
      <c r="IA537" s="20"/>
      <c r="IB537" s="19"/>
      <c r="IC537" s="93"/>
      <c r="ID537" s="93"/>
      <c r="IE537" s="93"/>
      <c r="IF537" s="93"/>
      <c r="IG537" s="20"/>
      <c r="IH537" s="19"/>
      <c r="II537" s="93"/>
      <c r="IJ537" s="93"/>
      <c r="IK537" s="93"/>
      <c r="IL537" s="93"/>
      <c r="IM537" s="93"/>
      <c r="IN537" s="93"/>
      <c r="IO537" s="20"/>
      <c r="IP537" s="29"/>
      <c r="IQ537" s="19"/>
      <c r="IR537" s="93"/>
      <c r="IS537" s="93"/>
      <c r="IT537" s="93"/>
      <c r="IU537" s="93"/>
      <c r="IV537" s="20"/>
      <c r="IW537" s="29"/>
      <c r="IX537" s="19"/>
      <c r="IY537" s="93"/>
      <c r="IZ537" s="93"/>
      <c r="JA537" s="93"/>
      <c r="JB537" s="93"/>
      <c r="JC537" s="93"/>
      <c r="JD537" s="93"/>
      <c r="JE537" s="20"/>
      <c r="JF537" s="29"/>
      <c r="JG537" s="19"/>
      <c r="JH537" s="93"/>
      <c r="JI537" s="93"/>
      <c r="JJ537" s="93"/>
      <c r="JK537" s="93"/>
      <c r="JL537" s="93"/>
      <c r="JM537" s="93"/>
      <c r="JN537" s="20"/>
      <c r="JO537" s="29"/>
      <c r="JP537" s="19"/>
      <c r="JQ537" s="93"/>
      <c r="JR537" s="93"/>
      <c r="JS537" s="93"/>
      <c r="JT537" s="93"/>
      <c r="JU537" s="20"/>
      <c r="JV537" s="29"/>
      <c r="JW537" s="1504">
        <v>50802</v>
      </c>
      <c r="JX537" s="19"/>
      <c r="JY537" s="93"/>
      <c r="JZ537" s="93"/>
      <c r="KA537" s="93"/>
      <c r="KB537" s="93"/>
      <c r="KC537" s="93"/>
      <c r="KD537" s="20"/>
      <c r="KE537" s="29"/>
      <c r="KF537" s="19"/>
      <c r="KG537" s="93"/>
      <c r="KH537" s="93"/>
      <c r="KI537" s="93"/>
      <c r="KJ537" s="93"/>
      <c r="KK537" s="20"/>
      <c r="KL537" s="29"/>
      <c r="KM537" s="19"/>
      <c r="KN537" s="93"/>
      <c r="KO537" s="93"/>
      <c r="KP537" s="93"/>
      <c r="KQ537" s="93"/>
      <c r="KR537" s="20"/>
      <c r="KS537" s="29"/>
      <c r="KT537" s="19"/>
      <c r="KU537" s="93"/>
      <c r="KV537" s="93"/>
      <c r="KW537" s="93"/>
      <c r="KX537" s="93"/>
      <c r="KY537" s="20"/>
      <c r="KZ537" s="29"/>
      <c r="LA537" s="1504">
        <v>50802</v>
      </c>
      <c r="LB537" s="19"/>
      <c r="LC537" s="93"/>
      <c r="LD537" s="93"/>
      <c r="LE537" s="93"/>
      <c r="LF537" s="93"/>
      <c r="LG537" s="93"/>
      <c r="LH537" s="20"/>
      <c r="LI537" s="29"/>
      <c r="LJ537" s="19"/>
      <c r="LK537" s="93"/>
      <c r="LL537" s="93"/>
      <c r="LM537" s="93"/>
      <c r="LN537" s="93"/>
      <c r="LO537" s="20"/>
      <c r="LP537" s="29"/>
      <c r="LQ537" s="19"/>
      <c r="LR537" s="93"/>
      <c r="LS537" s="93"/>
      <c r="LT537" s="93"/>
      <c r="LU537" s="93"/>
      <c r="LV537" s="93"/>
      <c r="LW537" s="93"/>
      <c r="LX537" s="93"/>
      <c r="LY537" s="93"/>
      <c r="LZ537" s="93"/>
      <c r="MA537" s="20"/>
      <c r="MB537" s="29"/>
      <c r="MC537" s="1504">
        <v>50802</v>
      </c>
      <c r="MD537" s="19"/>
      <c r="ME537" s="93"/>
      <c r="MF537" s="93"/>
      <c r="MG537" s="93"/>
      <c r="MH537" s="93"/>
      <c r="MI537" s="93"/>
      <c r="MJ537" s="93"/>
      <c r="MK537" s="93"/>
      <c r="ML537" s="93"/>
      <c r="MM537" s="93"/>
      <c r="MN537" s="93"/>
      <c r="MO537" s="93"/>
      <c r="MP537" s="93"/>
      <c r="MQ537" s="93"/>
      <c r="MR537" s="93"/>
      <c r="MS537" s="93"/>
      <c r="MT537" s="93"/>
      <c r="MU537" s="93"/>
      <c r="MV537" s="93"/>
      <c r="MW537" s="93"/>
      <c r="MX537" s="93"/>
      <c r="MY537" s="93"/>
      <c r="MZ537" s="93"/>
      <c r="NA537" s="93"/>
      <c r="NB537" s="93"/>
      <c r="NC537" s="93"/>
      <c r="ND537" s="93"/>
      <c r="NE537" s="93"/>
      <c r="NF537" s="93"/>
      <c r="NG537" s="93"/>
      <c r="NH537" s="93"/>
      <c r="NI537" s="93"/>
      <c r="NJ537" s="93"/>
      <c r="NK537" s="93"/>
      <c r="NL537" s="93"/>
      <c r="NM537" s="93"/>
      <c r="NN537" s="93"/>
      <c r="NO537" s="93"/>
      <c r="NP537" s="93"/>
      <c r="NQ537" s="93"/>
      <c r="NR537" s="93"/>
      <c r="NS537" s="93"/>
      <c r="NT537" s="93"/>
      <c r="NU537" s="93"/>
      <c r="NV537" s="93"/>
      <c r="NW537" s="93"/>
      <c r="NX537" s="93"/>
      <c r="NY537" s="93"/>
      <c r="NZ537" s="93"/>
      <c r="OA537" s="93"/>
      <c r="OB537" s="93"/>
      <c r="OC537" s="93"/>
      <c r="OD537" s="20"/>
      <c r="OE537" s="29"/>
      <c r="OF537" s="1504">
        <v>50802</v>
      </c>
      <c r="OG537" s="19"/>
      <c r="OH537" s="93"/>
      <c r="OI537" s="93"/>
      <c r="OJ537" s="93"/>
      <c r="OK537" s="93"/>
      <c r="OL537" s="93"/>
      <c r="OM537" s="93"/>
      <c r="ON537" s="93"/>
      <c r="OO537" s="93"/>
      <c r="OP537" s="93"/>
      <c r="OQ537" s="93"/>
      <c r="OR537" s="93"/>
      <c r="OS537" s="93"/>
      <c r="OT537" s="93"/>
      <c r="OU537" s="93"/>
      <c r="OV537" s="93"/>
      <c r="OW537" s="93"/>
      <c r="OX537" s="93"/>
      <c r="OY537" s="93"/>
      <c r="OZ537" s="93"/>
      <c r="PA537" s="93"/>
      <c r="PB537" s="93"/>
      <c r="PC537" s="20"/>
      <c r="PD537" s="29"/>
      <c r="PE537" s="19"/>
      <c r="PF537" s="93"/>
      <c r="PG537" s="93"/>
      <c r="PH537" s="93"/>
      <c r="PI537" s="93"/>
      <c r="PJ537" s="93"/>
      <c r="PK537" s="93"/>
      <c r="PL537" s="93"/>
      <c r="PM537" s="93"/>
      <c r="PN537" s="93"/>
      <c r="PO537" s="93"/>
      <c r="PP537" s="93"/>
      <c r="PQ537" s="93"/>
      <c r="PR537" s="93"/>
      <c r="PS537" s="93"/>
      <c r="PT537" s="93"/>
      <c r="PU537" s="93"/>
      <c r="PV537" s="93"/>
      <c r="PW537" s="93"/>
      <c r="PX537" s="93"/>
      <c r="PY537" s="93"/>
      <c r="PZ537" s="93"/>
      <c r="QA537" s="93"/>
      <c r="QB537" s="93"/>
      <c r="QC537" s="93"/>
      <c r="QD537" s="93"/>
      <c r="QE537" s="20"/>
      <c r="QF537" s="1739"/>
      <c r="QG537" s="19"/>
      <c r="QH537" s="93"/>
      <c r="QI537" s="93"/>
      <c r="QJ537" s="93"/>
      <c r="QK537" s="93"/>
      <c r="QL537" s="93"/>
      <c r="QM537" s="93"/>
      <c r="QN537" s="93"/>
      <c r="QO537" s="93"/>
      <c r="QP537" s="93"/>
      <c r="QQ537" s="93"/>
      <c r="QR537" s="93"/>
      <c r="QS537" s="93"/>
      <c r="QT537" s="93"/>
      <c r="QU537" s="93"/>
      <c r="QV537" s="93"/>
      <c r="QW537" s="93"/>
      <c r="QX537" s="93"/>
      <c r="QY537" s="93"/>
      <c r="QZ537" s="93"/>
      <c r="RA537" s="93"/>
      <c r="RB537" s="93"/>
      <c r="RC537" s="93"/>
      <c r="RD537" s="93"/>
      <c r="RE537" s="93"/>
      <c r="RF537" s="93"/>
      <c r="RG537" s="93"/>
      <c r="RH537" s="93"/>
      <c r="RI537" s="93"/>
      <c r="RJ537" s="93"/>
      <c r="RK537" s="93"/>
      <c r="RL537" s="93"/>
      <c r="RM537" s="20"/>
      <c r="RN537" s="29"/>
      <c r="RO537" s="19"/>
      <c r="RP537" s="20"/>
      <c r="RQ537" s="29"/>
      <c r="RR537" s="20"/>
      <c r="RS537" s="29"/>
      <c r="RT537" s="1504">
        <v>50802</v>
      </c>
      <c r="RU537" s="19"/>
      <c r="RV537" s="20"/>
      <c r="RW537" s="29"/>
      <c r="RX537" s="1504">
        <v>50802</v>
      </c>
      <c r="RY537" s="29"/>
      <c r="RZ537" s="20"/>
      <c r="SA537" s="29"/>
      <c r="SB537" s="29"/>
    </row>
    <row r="538" spans="1:496">
      <c r="A538" s="41">
        <f t="shared" si="360"/>
        <v>2039</v>
      </c>
      <c r="B538" s="1504">
        <v>50830</v>
      </c>
      <c r="C538" s="1813"/>
      <c r="D538" s="1814"/>
      <c r="E538" s="1814"/>
      <c r="F538" s="1815"/>
      <c r="G538" s="1814"/>
      <c r="H538" s="1814"/>
      <c r="I538" s="1814"/>
      <c r="J538" s="1816"/>
      <c r="K538" s="1807"/>
      <c r="L538" s="25"/>
      <c r="M538" s="97"/>
      <c r="N538" s="1504">
        <v>50830</v>
      </c>
      <c r="O538" s="19"/>
      <c r="P538" s="93"/>
      <c r="Q538" s="93"/>
      <c r="R538" s="93"/>
      <c r="S538" s="93"/>
      <c r="T538" s="93"/>
      <c r="U538" s="93"/>
      <c r="V538" s="93"/>
      <c r="W538" s="93"/>
      <c r="X538" s="93"/>
      <c r="Y538" s="93"/>
      <c r="Z538" s="93"/>
      <c r="AA538" s="93"/>
      <c r="AB538" s="20"/>
      <c r="AC538" s="25"/>
      <c r="AD538" s="97"/>
      <c r="AE538" s="1504">
        <v>50830</v>
      </c>
      <c r="AF538" s="19"/>
      <c r="AG538" s="93"/>
      <c r="AH538" s="93"/>
      <c r="AI538" s="93"/>
      <c r="AJ538" s="93"/>
      <c r="AK538" s="93"/>
      <c r="AL538" s="93"/>
      <c r="AM538" s="93"/>
      <c r="AN538" s="93"/>
      <c r="AO538" s="93"/>
      <c r="AP538" s="93"/>
      <c r="AQ538" s="93"/>
      <c r="AR538" s="93"/>
      <c r="AS538" s="20"/>
      <c r="AT538" s="25"/>
      <c r="AU538" s="97"/>
      <c r="AV538" s="1504">
        <v>50830</v>
      </c>
      <c r="AW538" s="19"/>
      <c r="AX538" s="93"/>
      <c r="AY538" s="93"/>
      <c r="AZ538" s="93"/>
      <c r="BA538" s="93"/>
      <c r="BB538" s="93"/>
      <c r="BC538" s="93"/>
      <c r="BD538" s="93"/>
      <c r="BE538" s="93"/>
      <c r="BF538" s="93"/>
      <c r="BG538" s="93"/>
      <c r="BH538" s="93"/>
      <c r="BI538" s="93"/>
      <c r="BJ538" s="20"/>
      <c r="BK538" s="25"/>
      <c r="BL538" s="97"/>
      <c r="BM538" s="1504">
        <v>50830</v>
      </c>
      <c r="BN538" s="19"/>
      <c r="BO538" s="93"/>
      <c r="BP538" s="93"/>
      <c r="BQ538" s="93"/>
      <c r="BR538" s="93"/>
      <c r="BS538" s="93"/>
      <c r="BT538" s="93"/>
      <c r="BU538" s="20"/>
      <c r="BV538" s="25"/>
      <c r="BW538" s="97"/>
      <c r="BX538" s="1504">
        <v>50830</v>
      </c>
      <c r="BY538" s="19"/>
      <c r="BZ538" s="93"/>
      <c r="CA538" s="93"/>
      <c r="CB538" s="93"/>
      <c r="CC538" s="93"/>
      <c r="CD538" s="25"/>
      <c r="CE538" s="97"/>
      <c r="CF538" s="1504">
        <v>50830</v>
      </c>
      <c r="CG538" s="19"/>
      <c r="CH538" s="93"/>
      <c r="CI538" s="219"/>
      <c r="CJ538" s="20"/>
      <c r="CK538" s="19"/>
      <c r="CL538" s="93"/>
      <c r="CM538" s="93"/>
      <c r="CN538" s="93"/>
      <c r="CO538" s="93"/>
      <c r="CP538" s="20"/>
      <c r="CQ538" s="219"/>
      <c r="CR538" s="93"/>
      <c r="CS538" s="93"/>
      <c r="CT538" s="93"/>
      <c r="CU538" s="93"/>
      <c r="CV538" s="214"/>
      <c r="CW538" s="29"/>
      <c r="CX538" s="41">
        <f t="shared" si="361"/>
        <v>2039</v>
      </c>
      <c r="CY538" s="1504">
        <v>50830</v>
      </c>
      <c r="CZ538" s="19"/>
      <c r="DA538" s="93"/>
      <c r="DB538" s="93"/>
      <c r="DC538" s="93"/>
      <c r="DD538" s="93"/>
      <c r="DE538" s="20"/>
      <c r="DF538" s="29"/>
      <c r="DG538" s="1504">
        <v>50830</v>
      </c>
      <c r="DH538" s="19"/>
      <c r="DI538" s="93"/>
      <c r="DJ538" s="93"/>
      <c r="DK538" s="93"/>
      <c r="DL538" s="93"/>
      <c r="DM538" s="93"/>
      <c r="DN538" s="20"/>
      <c r="DO538" s="295"/>
      <c r="DP538" s="29"/>
      <c r="DQ538" s="1504">
        <v>50830</v>
      </c>
      <c r="DR538" s="19"/>
      <c r="DS538" s="93"/>
      <c r="DT538" s="93"/>
      <c r="DU538" s="93"/>
      <c r="DV538" s="93"/>
      <c r="DW538" s="93"/>
      <c r="DX538" s="20"/>
      <c r="DY538" s="29"/>
      <c r="DZ538" s="1504">
        <v>50830</v>
      </c>
      <c r="EA538" s="19"/>
      <c r="EB538" s="93"/>
      <c r="EC538" s="20"/>
      <c r="ED538" s="29"/>
      <c r="EE538" s="1504">
        <v>50830</v>
      </c>
      <c r="EF538" s="19"/>
      <c r="EG538" s="93"/>
      <c r="EH538" s="93"/>
      <c r="EI538" s="214"/>
      <c r="EJ538" s="93"/>
      <c r="EK538" s="93"/>
      <c r="EL538" s="93"/>
      <c r="EM538" s="93"/>
      <c r="EN538" s="20"/>
      <c r="EO538" s="29"/>
      <c r="EP538" s="1504">
        <v>50830</v>
      </c>
      <c r="EQ538" s="19"/>
      <c r="ER538" s="93"/>
      <c r="ES538" s="93"/>
      <c r="ET538" s="214"/>
      <c r="EU538" s="93"/>
      <c r="EV538" s="93"/>
      <c r="EW538" s="93"/>
      <c r="EX538" s="93"/>
      <c r="EY538" s="20"/>
      <c r="EZ538" s="29"/>
      <c r="FA538" s="1504">
        <v>50830</v>
      </c>
      <c r="FB538" s="29"/>
      <c r="FC538" s="29"/>
      <c r="FD538" s="29"/>
      <c r="FE538" s="29"/>
      <c r="FF538" s="29"/>
      <c r="FG538" s="29"/>
      <c r="FH538" s="29"/>
      <c r="FI538" s="29"/>
      <c r="FJ538" s="29"/>
      <c r="FK538" s="29"/>
      <c r="FL538" s="1504">
        <v>50830</v>
      </c>
      <c r="FM538" s="19"/>
      <c r="FN538" s="93"/>
      <c r="FO538" s="93"/>
      <c r="FP538" s="93"/>
      <c r="FQ538" s="93"/>
      <c r="FR538" s="93"/>
      <c r="FS538" s="93"/>
      <c r="FT538" s="93"/>
      <c r="FU538" s="93"/>
      <c r="FV538" s="93"/>
      <c r="FW538" s="93"/>
      <c r="FX538" s="93"/>
      <c r="FY538" s="93"/>
      <c r="FZ538" s="29"/>
      <c r="GA538" s="1504">
        <v>50830</v>
      </c>
      <c r="GB538" s="19"/>
      <c r="GC538" s="93"/>
      <c r="GD538" s="93"/>
      <c r="GE538" s="93"/>
      <c r="GF538" s="93"/>
      <c r="GG538" s="93"/>
      <c r="GH538" s="93"/>
      <c r="GI538" s="93"/>
      <c r="GJ538" s="93"/>
      <c r="GK538" s="93"/>
      <c r="GL538" s="93"/>
      <c r="GM538" s="93"/>
      <c r="GN538" s="20"/>
      <c r="GO538" s="29"/>
      <c r="GP538" s="1504">
        <v>50830</v>
      </c>
      <c r="GQ538" s="19"/>
      <c r="GR538" s="93"/>
      <c r="GS538" s="93"/>
      <c r="GT538" s="93"/>
      <c r="GU538" s="93"/>
      <c r="GV538" s="20"/>
      <c r="GW538" s="19"/>
      <c r="GX538" s="93"/>
      <c r="GY538" s="93"/>
      <c r="GZ538" s="93"/>
      <c r="HA538" s="93"/>
      <c r="HB538" s="20"/>
      <c r="HC538" s="19"/>
      <c r="HD538" s="93"/>
      <c r="HE538" s="93"/>
      <c r="HF538" s="93"/>
      <c r="HG538" s="93"/>
      <c r="HH538" s="20"/>
      <c r="HI538" s="19"/>
      <c r="HJ538" s="93"/>
      <c r="HK538" s="93"/>
      <c r="HL538" s="93"/>
      <c r="HM538" s="93"/>
      <c r="HN538" s="20"/>
      <c r="HO538" s="219"/>
      <c r="HP538" s="20"/>
      <c r="HQ538" s="25"/>
      <c r="HR538" s="29"/>
      <c r="HS538" s="1504">
        <v>50830</v>
      </c>
      <c r="HT538" s="19"/>
      <c r="HU538" s="93"/>
      <c r="HV538" s="93"/>
      <c r="HW538" s="93"/>
      <c r="HX538" s="93"/>
      <c r="HY538" s="93"/>
      <c r="HZ538" s="93"/>
      <c r="IA538" s="20"/>
      <c r="IB538" s="19"/>
      <c r="IC538" s="93"/>
      <c r="ID538" s="93"/>
      <c r="IE538" s="93"/>
      <c r="IF538" s="93"/>
      <c r="IG538" s="20"/>
      <c r="IH538" s="19"/>
      <c r="II538" s="93"/>
      <c r="IJ538" s="93"/>
      <c r="IK538" s="93"/>
      <c r="IL538" s="93"/>
      <c r="IM538" s="93"/>
      <c r="IN538" s="93"/>
      <c r="IO538" s="20"/>
      <c r="IP538" s="29"/>
      <c r="IQ538" s="19"/>
      <c r="IR538" s="93"/>
      <c r="IS538" s="93"/>
      <c r="IT538" s="93"/>
      <c r="IU538" s="93"/>
      <c r="IV538" s="20"/>
      <c r="IW538" s="29"/>
      <c r="IX538" s="19"/>
      <c r="IY538" s="93"/>
      <c r="IZ538" s="93"/>
      <c r="JA538" s="93"/>
      <c r="JB538" s="93"/>
      <c r="JC538" s="93"/>
      <c r="JD538" s="93"/>
      <c r="JE538" s="20"/>
      <c r="JF538" s="29"/>
      <c r="JG538" s="19"/>
      <c r="JH538" s="93"/>
      <c r="JI538" s="93"/>
      <c r="JJ538" s="93"/>
      <c r="JK538" s="93"/>
      <c r="JL538" s="93"/>
      <c r="JM538" s="93"/>
      <c r="JN538" s="20"/>
      <c r="JO538" s="29"/>
      <c r="JP538" s="19"/>
      <c r="JQ538" s="93"/>
      <c r="JR538" s="93"/>
      <c r="JS538" s="93"/>
      <c r="JT538" s="93"/>
      <c r="JU538" s="20"/>
      <c r="JV538" s="29"/>
      <c r="JW538" s="1504">
        <v>50830</v>
      </c>
      <c r="JX538" s="19"/>
      <c r="JY538" s="93"/>
      <c r="JZ538" s="93"/>
      <c r="KA538" s="93"/>
      <c r="KB538" s="93"/>
      <c r="KC538" s="93"/>
      <c r="KD538" s="20"/>
      <c r="KE538" s="29"/>
      <c r="KF538" s="19"/>
      <c r="KG538" s="93"/>
      <c r="KH538" s="93"/>
      <c r="KI538" s="93"/>
      <c r="KJ538" s="93"/>
      <c r="KK538" s="20"/>
      <c r="KL538" s="29"/>
      <c r="KM538" s="19"/>
      <c r="KN538" s="93"/>
      <c r="KO538" s="93"/>
      <c r="KP538" s="93"/>
      <c r="KQ538" s="93"/>
      <c r="KR538" s="20"/>
      <c r="KS538" s="29"/>
      <c r="KT538" s="19"/>
      <c r="KU538" s="93"/>
      <c r="KV538" s="93"/>
      <c r="KW538" s="93"/>
      <c r="KX538" s="93"/>
      <c r="KY538" s="20"/>
      <c r="KZ538" s="29"/>
      <c r="LA538" s="1504">
        <v>50830</v>
      </c>
      <c r="LB538" s="19"/>
      <c r="LC538" s="93"/>
      <c r="LD538" s="93"/>
      <c r="LE538" s="93"/>
      <c r="LF538" s="93"/>
      <c r="LG538" s="93"/>
      <c r="LH538" s="20"/>
      <c r="LI538" s="29"/>
      <c r="LJ538" s="19"/>
      <c r="LK538" s="93"/>
      <c r="LL538" s="93"/>
      <c r="LM538" s="93"/>
      <c r="LN538" s="93"/>
      <c r="LO538" s="20"/>
      <c r="LP538" s="29"/>
      <c r="LQ538" s="19"/>
      <c r="LR538" s="93"/>
      <c r="LS538" s="93"/>
      <c r="LT538" s="93"/>
      <c r="LU538" s="93"/>
      <c r="LV538" s="93"/>
      <c r="LW538" s="93"/>
      <c r="LX538" s="93"/>
      <c r="LY538" s="93"/>
      <c r="LZ538" s="93"/>
      <c r="MA538" s="20"/>
      <c r="MB538" s="29"/>
      <c r="MC538" s="1504">
        <v>50830</v>
      </c>
      <c r="MD538" s="19"/>
      <c r="ME538" s="93"/>
      <c r="MF538" s="93"/>
      <c r="MG538" s="93"/>
      <c r="MH538" s="93"/>
      <c r="MI538" s="93"/>
      <c r="MJ538" s="93"/>
      <c r="MK538" s="93"/>
      <c r="ML538" s="93"/>
      <c r="MM538" s="93"/>
      <c r="MN538" s="93"/>
      <c r="MO538" s="93"/>
      <c r="MP538" s="93"/>
      <c r="MQ538" s="93"/>
      <c r="MR538" s="93"/>
      <c r="MS538" s="93"/>
      <c r="MT538" s="93"/>
      <c r="MU538" s="93"/>
      <c r="MV538" s="93"/>
      <c r="MW538" s="93"/>
      <c r="MX538" s="93"/>
      <c r="MY538" s="93"/>
      <c r="MZ538" s="93"/>
      <c r="NA538" s="93"/>
      <c r="NB538" s="93"/>
      <c r="NC538" s="93"/>
      <c r="ND538" s="93"/>
      <c r="NE538" s="93"/>
      <c r="NF538" s="93"/>
      <c r="NG538" s="93"/>
      <c r="NH538" s="93"/>
      <c r="NI538" s="93"/>
      <c r="NJ538" s="93"/>
      <c r="NK538" s="93"/>
      <c r="NL538" s="93"/>
      <c r="NM538" s="93"/>
      <c r="NN538" s="93"/>
      <c r="NO538" s="93"/>
      <c r="NP538" s="93"/>
      <c r="NQ538" s="93"/>
      <c r="NR538" s="93"/>
      <c r="NS538" s="93"/>
      <c r="NT538" s="93"/>
      <c r="NU538" s="93"/>
      <c r="NV538" s="93"/>
      <c r="NW538" s="93"/>
      <c r="NX538" s="93"/>
      <c r="NY538" s="93"/>
      <c r="NZ538" s="93"/>
      <c r="OA538" s="93"/>
      <c r="OB538" s="93"/>
      <c r="OC538" s="93"/>
      <c r="OD538" s="20"/>
      <c r="OE538" s="29"/>
      <c r="OF538" s="1504">
        <v>50830</v>
      </c>
      <c r="OG538" s="19"/>
      <c r="OH538" s="93"/>
      <c r="OI538" s="93"/>
      <c r="OJ538" s="93"/>
      <c r="OK538" s="93"/>
      <c r="OL538" s="93"/>
      <c r="OM538" s="93"/>
      <c r="ON538" s="93"/>
      <c r="OO538" s="93"/>
      <c r="OP538" s="93"/>
      <c r="OQ538" s="93"/>
      <c r="OR538" s="93"/>
      <c r="OS538" s="93"/>
      <c r="OT538" s="93"/>
      <c r="OU538" s="93"/>
      <c r="OV538" s="93"/>
      <c r="OW538" s="93"/>
      <c r="OX538" s="93"/>
      <c r="OY538" s="93"/>
      <c r="OZ538" s="93"/>
      <c r="PA538" s="93"/>
      <c r="PB538" s="93"/>
      <c r="PC538" s="20"/>
      <c r="PD538" s="29"/>
      <c r="PE538" s="19"/>
      <c r="PF538" s="93"/>
      <c r="PG538" s="93"/>
      <c r="PH538" s="93"/>
      <c r="PI538" s="93"/>
      <c r="PJ538" s="93"/>
      <c r="PK538" s="93"/>
      <c r="PL538" s="93"/>
      <c r="PM538" s="93"/>
      <c r="PN538" s="93"/>
      <c r="PO538" s="93"/>
      <c r="PP538" s="93"/>
      <c r="PQ538" s="93"/>
      <c r="PR538" s="93"/>
      <c r="PS538" s="93"/>
      <c r="PT538" s="93"/>
      <c r="PU538" s="93"/>
      <c r="PV538" s="93"/>
      <c r="PW538" s="93"/>
      <c r="PX538" s="93"/>
      <c r="PY538" s="93"/>
      <c r="PZ538" s="93"/>
      <c r="QA538" s="93"/>
      <c r="QB538" s="93"/>
      <c r="QC538" s="93"/>
      <c r="QD538" s="93"/>
      <c r="QE538" s="20"/>
      <c r="QF538" s="1739"/>
      <c r="QG538" s="19"/>
      <c r="QH538" s="93"/>
      <c r="QI538" s="93"/>
      <c r="QJ538" s="93"/>
      <c r="QK538" s="93"/>
      <c r="QL538" s="93"/>
      <c r="QM538" s="93"/>
      <c r="QN538" s="93"/>
      <c r="QO538" s="93"/>
      <c r="QP538" s="93"/>
      <c r="QQ538" s="93"/>
      <c r="QR538" s="93"/>
      <c r="QS538" s="93"/>
      <c r="QT538" s="93"/>
      <c r="QU538" s="93"/>
      <c r="QV538" s="93"/>
      <c r="QW538" s="93"/>
      <c r="QX538" s="93"/>
      <c r="QY538" s="93"/>
      <c r="QZ538" s="93"/>
      <c r="RA538" s="93"/>
      <c r="RB538" s="93"/>
      <c r="RC538" s="93"/>
      <c r="RD538" s="93"/>
      <c r="RE538" s="93"/>
      <c r="RF538" s="93"/>
      <c r="RG538" s="93"/>
      <c r="RH538" s="93"/>
      <c r="RI538" s="93"/>
      <c r="RJ538" s="93"/>
      <c r="RK538" s="93"/>
      <c r="RL538" s="93"/>
      <c r="RM538" s="20"/>
      <c r="RN538" s="29"/>
      <c r="RO538" s="19"/>
      <c r="RP538" s="20"/>
      <c r="RQ538" s="29"/>
      <c r="RR538" s="20"/>
      <c r="RS538" s="29"/>
      <c r="RT538" s="1504">
        <v>50830</v>
      </c>
      <c r="RU538" s="19"/>
      <c r="RV538" s="20"/>
      <c r="RW538" s="29"/>
      <c r="RX538" s="1504">
        <v>50830</v>
      </c>
      <c r="RY538" s="29"/>
      <c r="RZ538" s="20"/>
      <c r="SA538" s="29"/>
      <c r="SB538" s="29"/>
    </row>
    <row r="539" spans="1:496">
      <c r="A539" s="41">
        <f t="shared" si="360"/>
        <v>2039</v>
      </c>
      <c r="B539" s="1504">
        <v>50861</v>
      </c>
      <c r="C539" s="1813"/>
      <c r="D539" s="1814"/>
      <c r="E539" s="1814"/>
      <c r="F539" s="1815"/>
      <c r="G539" s="1814"/>
      <c r="H539" s="1814"/>
      <c r="I539" s="1814"/>
      <c r="J539" s="1816"/>
      <c r="K539" s="1807"/>
      <c r="L539" s="25"/>
      <c r="M539" s="97"/>
      <c r="N539" s="1504">
        <v>50861</v>
      </c>
      <c r="O539" s="19"/>
      <c r="P539" s="93"/>
      <c r="Q539" s="93"/>
      <c r="R539" s="93"/>
      <c r="S539" s="93"/>
      <c r="T539" s="93"/>
      <c r="U539" s="93"/>
      <c r="V539" s="93"/>
      <c r="W539" s="93"/>
      <c r="X539" s="93"/>
      <c r="Y539" s="93"/>
      <c r="Z539" s="93"/>
      <c r="AA539" s="93"/>
      <c r="AB539" s="20"/>
      <c r="AC539" s="25"/>
      <c r="AD539" s="97"/>
      <c r="AE539" s="1504">
        <v>50861</v>
      </c>
      <c r="AF539" s="19"/>
      <c r="AG539" s="93"/>
      <c r="AH539" s="93"/>
      <c r="AI539" s="93"/>
      <c r="AJ539" s="93"/>
      <c r="AK539" s="93"/>
      <c r="AL539" s="93"/>
      <c r="AM539" s="93"/>
      <c r="AN539" s="93"/>
      <c r="AO539" s="93"/>
      <c r="AP539" s="93"/>
      <c r="AQ539" s="93"/>
      <c r="AR539" s="93"/>
      <c r="AS539" s="20"/>
      <c r="AT539" s="25"/>
      <c r="AU539" s="97"/>
      <c r="AV539" s="1504">
        <v>50861</v>
      </c>
      <c r="AW539" s="19"/>
      <c r="AX539" s="93"/>
      <c r="AY539" s="93"/>
      <c r="AZ539" s="93"/>
      <c r="BA539" s="93"/>
      <c r="BB539" s="93"/>
      <c r="BC539" s="93"/>
      <c r="BD539" s="93"/>
      <c r="BE539" s="93"/>
      <c r="BF539" s="93"/>
      <c r="BG539" s="93"/>
      <c r="BH539" s="93"/>
      <c r="BI539" s="93"/>
      <c r="BJ539" s="20"/>
      <c r="BK539" s="25"/>
      <c r="BL539" s="97"/>
      <c r="BM539" s="1504">
        <v>50861</v>
      </c>
      <c r="BN539" s="19"/>
      <c r="BO539" s="93"/>
      <c r="BP539" s="93"/>
      <c r="BQ539" s="93"/>
      <c r="BR539" s="93"/>
      <c r="BS539" s="93"/>
      <c r="BT539" s="93"/>
      <c r="BU539" s="20"/>
      <c r="BV539" s="25"/>
      <c r="BW539" s="97"/>
      <c r="BX539" s="1504">
        <v>50861</v>
      </c>
      <c r="BY539" s="19"/>
      <c r="BZ539" s="93"/>
      <c r="CA539" s="93"/>
      <c r="CB539" s="93"/>
      <c r="CC539" s="93"/>
      <c r="CD539" s="25"/>
      <c r="CE539" s="97"/>
      <c r="CF539" s="1504">
        <v>50861</v>
      </c>
      <c r="CG539" s="19"/>
      <c r="CH539" s="93"/>
      <c r="CI539" s="219"/>
      <c r="CJ539" s="20"/>
      <c r="CK539" s="19"/>
      <c r="CL539" s="93"/>
      <c r="CM539" s="93"/>
      <c r="CN539" s="93"/>
      <c r="CO539" s="93"/>
      <c r="CP539" s="20"/>
      <c r="CQ539" s="219"/>
      <c r="CR539" s="93"/>
      <c r="CS539" s="93"/>
      <c r="CT539" s="93"/>
      <c r="CU539" s="93"/>
      <c r="CV539" s="214"/>
      <c r="CW539" s="29"/>
      <c r="CX539" s="41">
        <f t="shared" si="361"/>
        <v>2039</v>
      </c>
      <c r="CY539" s="1504">
        <v>50861</v>
      </c>
      <c r="CZ539" s="19"/>
      <c r="DA539" s="93"/>
      <c r="DB539" s="93"/>
      <c r="DC539" s="93"/>
      <c r="DD539" s="93"/>
      <c r="DE539" s="20"/>
      <c r="DF539" s="29"/>
      <c r="DG539" s="1504">
        <v>50861</v>
      </c>
      <c r="DH539" s="19"/>
      <c r="DI539" s="93"/>
      <c r="DJ539" s="93"/>
      <c r="DK539" s="93"/>
      <c r="DL539" s="93"/>
      <c r="DM539" s="93"/>
      <c r="DN539" s="20"/>
      <c r="DO539" s="295"/>
      <c r="DP539" s="29"/>
      <c r="DQ539" s="1504">
        <v>50861</v>
      </c>
      <c r="DR539" s="19"/>
      <c r="DS539" s="93"/>
      <c r="DT539" s="93"/>
      <c r="DU539" s="93"/>
      <c r="DV539" s="93"/>
      <c r="DW539" s="93"/>
      <c r="DX539" s="20"/>
      <c r="DY539" s="29"/>
      <c r="DZ539" s="1504">
        <v>50861</v>
      </c>
      <c r="EA539" s="19"/>
      <c r="EB539" s="93"/>
      <c r="EC539" s="20"/>
      <c r="ED539" s="29"/>
      <c r="EE539" s="1504">
        <v>50861</v>
      </c>
      <c r="EF539" s="19"/>
      <c r="EG539" s="93"/>
      <c r="EH539" s="93"/>
      <c r="EI539" s="214"/>
      <c r="EJ539" s="93"/>
      <c r="EK539" s="93"/>
      <c r="EL539" s="93"/>
      <c r="EM539" s="93"/>
      <c r="EN539" s="20"/>
      <c r="EO539" s="29"/>
      <c r="EP539" s="1504">
        <v>50861</v>
      </c>
      <c r="EQ539" s="19"/>
      <c r="ER539" s="93"/>
      <c r="ES539" s="93"/>
      <c r="ET539" s="214"/>
      <c r="EU539" s="93"/>
      <c r="EV539" s="93"/>
      <c r="EW539" s="93"/>
      <c r="EX539" s="93"/>
      <c r="EY539" s="20"/>
      <c r="EZ539" s="29"/>
      <c r="FA539" s="1504">
        <v>50861</v>
      </c>
      <c r="FB539" s="29"/>
      <c r="FC539" s="29"/>
      <c r="FD539" s="29"/>
      <c r="FE539" s="29"/>
      <c r="FF539" s="29"/>
      <c r="FG539" s="29"/>
      <c r="FH539" s="29"/>
      <c r="FI539" s="29"/>
      <c r="FJ539" s="29"/>
      <c r="FK539" s="29"/>
      <c r="FL539" s="1504">
        <v>50861</v>
      </c>
      <c r="FM539" s="19"/>
      <c r="FN539" s="93"/>
      <c r="FO539" s="93"/>
      <c r="FP539" s="93"/>
      <c r="FQ539" s="93"/>
      <c r="FR539" s="93"/>
      <c r="FS539" s="93"/>
      <c r="FT539" s="93"/>
      <c r="FU539" s="93"/>
      <c r="FV539" s="93"/>
      <c r="FW539" s="93"/>
      <c r="FX539" s="93"/>
      <c r="FY539" s="93"/>
      <c r="FZ539" s="29"/>
      <c r="GA539" s="1504">
        <v>50861</v>
      </c>
      <c r="GB539" s="19"/>
      <c r="GC539" s="93"/>
      <c r="GD539" s="93"/>
      <c r="GE539" s="93"/>
      <c r="GF539" s="93"/>
      <c r="GG539" s="93"/>
      <c r="GH539" s="93"/>
      <c r="GI539" s="93"/>
      <c r="GJ539" s="93"/>
      <c r="GK539" s="93"/>
      <c r="GL539" s="93"/>
      <c r="GM539" s="93"/>
      <c r="GN539" s="20"/>
      <c r="GO539" s="29"/>
      <c r="GP539" s="1504">
        <v>50861</v>
      </c>
      <c r="GQ539" s="19"/>
      <c r="GR539" s="93"/>
      <c r="GS539" s="93"/>
      <c r="GT539" s="93"/>
      <c r="GU539" s="93"/>
      <c r="GV539" s="20"/>
      <c r="GW539" s="19"/>
      <c r="GX539" s="93"/>
      <c r="GY539" s="93"/>
      <c r="GZ539" s="93"/>
      <c r="HA539" s="93"/>
      <c r="HB539" s="20"/>
      <c r="HC539" s="19"/>
      <c r="HD539" s="93"/>
      <c r="HE539" s="93"/>
      <c r="HF539" s="93"/>
      <c r="HG539" s="93"/>
      <c r="HH539" s="20"/>
      <c r="HI539" s="19"/>
      <c r="HJ539" s="93"/>
      <c r="HK539" s="93"/>
      <c r="HL539" s="93"/>
      <c r="HM539" s="93"/>
      <c r="HN539" s="20"/>
      <c r="HO539" s="219"/>
      <c r="HP539" s="20"/>
      <c r="HQ539" s="25"/>
      <c r="HR539" s="29"/>
      <c r="HS539" s="1504">
        <v>50861</v>
      </c>
      <c r="HT539" s="19"/>
      <c r="HU539" s="93"/>
      <c r="HV539" s="93"/>
      <c r="HW539" s="93"/>
      <c r="HX539" s="93"/>
      <c r="HY539" s="93"/>
      <c r="HZ539" s="93"/>
      <c r="IA539" s="20"/>
      <c r="IB539" s="19"/>
      <c r="IC539" s="93"/>
      <c r="ID539" s="93"/>
      <c r="IE539" s="93"/>
      <c r="IF539" s="93"/>
      <c r="IG539" s="20"/>
      <c r="IH539" s="19"/>
      <c r="II539" s="93"/>
      <c r="IJ539" s="93"/>
      <c r="IK539" s="93"/>
      <c r="IL539" s="93"/>
      <c r="IM539" s="93"/>
      <c r="IN539" s="93"/>
      <c r="IO539" s="20"/>
      <c r="IP539" s="29"/>
      <c r="IQ539" s="19"/>
      <c r="IR539" s="93"/>
      <c r="IS539" s="93"/>
      <c r="IT539" s="93"/>
      <c r="IU539" s="93"/>
      <c r="IV539" s="20"/>
      <c r="IW539" s="29"/>
      <c r="IX539" s="19"/>
      <c r="IY539" s="93"/>
      <c r="IZ539" s="93"/>
      <c r="JA539" s="93"/>
      <c r="JB539" s="93"/>
      <c r="JC539" s="93"/>
      <c r="JD539" s="93"/>
      <c r="JE539" s="20"/>
      <c r="JF539" s="29"/>
      <c r="JG539" s="19"/>
      <c r="JH539" s="93"/>
      <c r="JI539" s="93"/>
      <c r="JJ539" s="93"/>
      <c r="JK539" s="93"/>
      <c r="JL539" s="93"/>
      <c r="JM539" s="93"/>
      <c r="JN539" s="20"/>
      <c r="JO539" s="29"/>
      <c r="JP539" s="19"/>
      <c r="JQ539" s="93"/>
      <c r="JR539" s="93"/>
      <c r="JS539" s="93"/>
      <c r="JT539" s="93"/>
      <c r="JU539" s="20"/>
      <c r="JV539" s="29"/>
      <c r="JW539" s="1504">
        <v>50861</v>
      </c>
      <c r="JX539" s="19"/>
      <c r="JY539" s="93"/>
      <c r="JZ539" s="93"/>
      <c r="KA539" s="93"/>
      <c r="KB539" s="93"/>
      <c r="KC539" s="93"/>
      <c r="KD539" s="20"/>
      <c r="KE539" s="29"/>
      <c r="KF539" s="19"/>
      <c r="KG539" s="93"/>
      <c r="KH539" s="93"/>
      <c r="KI539" s="93"/>
      <c r="KJ539" s="93"/>
      <c r="KK539" s="20"/>
      <c r="KL539" s="29"/>
      <c r="KM539" s="19"/>
      <c r="KN539" s="93"/>
      <c r="KO539" s="93"/>
      <c r="KP539" s="93"/>
      <c r="KQ539" s="93"/>
      <c r="KR539" s="20"/>
      <c r="KS539" s="29"/>
      <c r="KT539" s="19"/>
      <c r="KU539" s="93"/>
      <c r="KV539" s="93"/>
      <c r="KW539" s="93"/>
      <c r="KX539" s="93"/>
      <c r="KY539" s="20"/>
      <c r="KZ539" s="29"/>
      <c r="LA539" s="1504">
        <v>50861</v>
      </c>
      <c r="LB539" s="19"/>
      <c r="LC539" s="93"/>
      <c r="LD539" s="93"/>
      <c r="LE539" s="93"/>
      <c r="LF539" s="93"/>
      <c r="LG539" s="93"/>
      <c r="LH539" s="20"/>
      <c r="LI539" s="29"/>
      <c r="LJ539" s="19"/>
      <c r="LK539" s="93"/>
      <c r="LL539" s="93"/>
      <c r="LM539" s="93"/>
      <c r="LN539" s="93"/>
      <c r="LO539" s="20"/>
      <c r="LP539" s="29"/>
      <c r="LQ539" s="19"/>
      <c r="LR539" s="93"/>
      <c r="LS539" s="93"/>
      <c r="LT539" s="93"/>
      <c r="LU539" s="93"/>
      <c r="LV539" s="93"/>
      <c r="LW539" s="93"/>
      <c r="LX539" s="93"/>
      <c r="LY539" s="93"/>
      <c r="LZ539" s="93"/>
      <c r="MA539" s="20"/>
      <c r="MB539" s="29"/>
      <c r="MC539" s="1504">
        <v>50861</v>
      </c>
      <c r="MD539" s="19"/>
      <c r="ME539" s="93"/>
      <c r="MF539" s="93"/>
      <c r="MG539" s="93"/>
      <c r="MH539" s="93"/>
      <c r="MI539" s="93"/>
      <c r="MJ539" s="93"/>
      <c r="MK539" s="93"/>
      <c r="ML539" s="93"/>
      <c r="MM539" s="93"/>
      <c r="MN539" s="93"/>
      <c r="MO539" s="93"/>
      <c r="MP539" s="93"/>
      <c r="MQ539" s="93"/>
      <c r="MR539" s="93"/>
      <c r="MS539" s="93"/>
      <c r="MT539" s="93"/>
      <c r="MU539" s="93"/>
      <c r="MV539" s="93"/>
      <c r="MW539" s="93"/>
      <c r="MX539" s="93"/>
      <c r="MY539" s="93"/>
      <c r="MZ539" s="93"/>
      <c r="NA539" s="93"/>
      <c r="NB539" s="93"/>
      <c r="NC539" s="93"/>
      <c r="ND539" s="93"/>
      <c r="NE539" s="93"/>
      <c r="NF539" s="93"/>
      <c r="NG539" s="93"/>
      <c r="NH539" s="93"/>
      <c r="NI539" s="93"/>
      <c r="NJ539" s="93"/>
      <c r="NK539" s="93"/>
      <c r="NL539" s="93"/>
      <c r="NM539" s="93"/>
      <c r="NN539" s="93"/>
      <c r="NO539" s="93"/>
      <c r="NP539" s="93"/>
      <c r="NQ539" s="93"/>
      <c r="NR539" s="93"/>
      <c r="NS539" s="93"/>
      <c r="NT539" s="93"/>
      <c r="NU539" s="93"/>
      <c r="NV539" s="93"/>
      <c r="NW539" s="93"/>
      <c r="NX539" s="93"/>
      <c r="NY539" s="93"/>
      <c r="NZ539" s="93"/>
      <c r="OA539" s="93"/>
      <c r="OB539" s="93"/>
      <c r="OC539" s="93"/>
      <c r="OD539" s="20"/>
      <c r="OE539" s="29"/>
      <c r="OF539" s="1504">
        <v>50861</v>
      </c>
      <c r="OG539" s="19"/>
      <c r="OH539" s="93"/>
      <c r="OI539" s="93"/>
      <c r="OJ539" s="93"/>
      <c r="OK539" s="93"/>
      <c r="OL539" s="93"/>
      <c r="OM539" s="93"/>
      <c r="ON539" s="93"/>
      <c r="OO539" s="93"/>
      <c r="OP539" s="93"/>
      <c r="OQ539" s="93"/>
      <c r="OR539" s="93"/>
      <c r="OS539" s="93"/>
      <c r="OT539" s="93"/>
      <c r="OU539" s="93"/>
      <c r="OV539" s="93"/>
      <c r="OW539" s="93"/>
      <c r="OX539" s="93"/>
      <c r="OY539" s="93"/>
      <c r="OZ539" s="93"/>
      <c r="PA539" s="93"/>
      <c r="PB539" s="93"/>
      <c r="PC539" s="20"/>
      <c r="PD539" s="29"/>
      <c r="PE539" s="19"/>
      <c r="PF539" s="93"/>
      <c r="PG539" s="93"/>
      <c r="PH539" s="93"/>
      <c r="PI539" s="93"/>
      <c r="PJ539" s="93"/>
      <c r="PK539" s="93"/>
      <c r="PL539" s="93"/>
      <c r="PM539" s="93"/>
      <c r="PN539" s="93"/>
      <c r="PO539" s="93"/>
      <c r="PP539" s="93"/>
      <c r="PQ539" s="93"/>
      <c r="PR539" s="93"/>
      <c r="PS539" s="93"/>
      <c r="PT539" s="93"/>
      <c r="PU539" s="93"/>
      <c r="PV539" s="93"/>
      <c r="PW539" s="93"/>
      <c r="PX539" s="93"/>
      <c r="PY539" s="93"/>
      <c r="PZ539" s="93"/>
      <c r="QA539" s="93"/>
      <c r="QB539" s="93"/>
      <c r="QC539" s="93"/>
      <c r="QD539" s="93"/>
      <c r="QE539" s="20"/>
      <c r="QF539" s="1739"/>
      <c r="QG539" s="19"/>
      <c r="QH539" s="93"/>
      <c r="QI539" s="93"/>
      <c r="QJ539" s="93"/>
      <c r="QK539" s="93"/>
      <c r="QL539" s="93"/>
      <c r="QM539" s="93"/>
      <c r="QN539" s="93"/>
      <c r="QO539" s="93"/>
      <c r="QP539" s="93"/>
      <c r="QQ539" s="93"/>
      <c r="QR539" s="93"/>
      <c r="QS539" s="93"/>
      <c r="QT539" s="93"/>
      <c r="QU539" s="93"/>
      <c r="QV539" s="93"/>
      <c r="QW539" s="93"/>
      <c r="QX539" s="93"/>
      <c r="QY539" s="93"/>
      <c r="QZ539" s="93"/>
      <c r="RA539" s="93"/>
      <c r="RB539" s="93"/>
      <c r="RC539" s="93"/>
      <c r="RD539" s="93"/>
      <c r="RE539" s="93"/>
      <c r="RF539" s="93"/>
      <c r="RG539" s="93"/>
      <c r="RH539" s="93"/>
      <c r="RI539" s="93"/>
      <c r="RJ539" s="93"/>
      <c r="RK539" s="93"/>
      <c r="RL539" s="93"/>
      <c r="RM539" s="20"/>
      <c r="RN539" s="29"/>
      <c r="RO539" s="19"/>
      <c r="RP539" s="20"/>
      <c r="RQ539" s="29"/>
      <c r="RR539" s="20"/>
      <c r="RS539" s="29"/>
      <c r="RT539" s="1504">
        <v>50861</v>
      </c>
      <c r="RU539" s="19"/>
      <c r="RV539" s="20"/>
      <c r="RW539" s="29"/>
      <c r="RX539" s="1504">
        <v>50861</v>
      </c>
      <c r="RY539" s="29"/>
      <c r="RZ539" s="20"/>
      <c r="SA539" s="29"/>
      <c r="SB539" s="29"/>
    </row>
    <row r="540" spans="1:496">
      <c r="A540" s="41">
        <f t="shared" si="360"/>
        <v>2039</v>
      </c>
      <c r="B540" s="1504">
        <v>50891</v>
      </c>
      <c r="C540" s="1813"/>
      <c r="D540" s="1814"/>
      <c r="E540" s="1814"/>
      <c r="F540" s="1815"/>
      <c r="G540" s="1814"/>
      <c r="H540" s="1814"/>
      <c r="I540" s="1814"/>
      <c r="J540" s="1816"/>
      <c r="K540" s="1807"/>
      <c r="L540" s="25"/>
      <c r="M540" s="97"/>
      <c r="N540" s="1504">
        <v>50891</v>
      </c>
      <c r="O540" s="19"/>
      <c r="P540" s="93"/>
      <c r="Q540" s="93"/>
      <c r="R540" s="93"/>
      <c r="S540" s="93"/>
      <c r="T540" s="93"/>
      <c r="U540" s="93"/>
      <c r="V540" s="93"/>
      <c r="W540" s="93"/>
      <c r="X540" s="93"/>
      <c r="Y540" s="93"/>
      <c r="Z540" s="93"/>
      <c r="AA540" s="93"/>
      <c r="AB540" s="20"/>
      <c r="AC540" s="25"/>
      <c r="AD540" s="97"/>
      <c r="AE540" s="1504">
        <v>50891</v>
      </c>
      <c r="AF540" s="19"/>
      <c r="AG540" s="93"/>
      <c r="AH540" s="93"/>
      <c r="AI540" s="93"/>
      <c r="AJ540" s="93"/>
      <c r="AK540" s="93"/>
      <c r="AL540" s="93"/>
      <c r="AM540" s="93"/>
      <c r="AN540" s="93"/>
      <c r="AO540" s="93"/>
      <c r="AP540" s="93"/>
      <c r="AQ540" s="93"/>
      <c r="AR540" s="93"/>
      <c r="AS540" s="20"/>
      <c r="AT540" s="25"/>
      <c r="AU540" s="97"/>
      <c r="AV540" s="1504">
        <v>50891</v>
      </c>
      <c r="AW540" s="19"/>
      <c r="AX540" s="93"/>
      <c r="AY540" s="93"/>
      <c r="AZ540" s="93"/>
      <c r="BA540" s="93"/>
      <c r="BB540" s="93"/>
      <c r="BC540" s="93"/>
      <c r="BD540" s="93"/>
      <c r="BE540" s="93"/>
      <c r="BF540" s="93"/>
      <c r="BG540" s="93"/>
      <c r="BH540" s="93"/>
      <c r="BI540" s="93"/>
      <c r="BJ540" s="20"/>
      <c r="BK540" s="25"/>
      <c r="BL540" s="97"/>
      <c r="BM540" s="1504">
        <v>50891</v>
      </c>
      <c r="BN540" s="19"/>
      <c r="BO540" s="93"/>
      <c r="BP540" s="93"/>
      <c r="BQ540" s="93"/>
      <c r="BR540" s="93"/>
      <c r="BS540" s="93"/>
      <c r="BT540" s="93"/>
      <c r="BU540" s="20"/>
      <c r="BV540" s="25"/>
      <c r="BW540" s="97"/>
      <c r="BX540" s="1504">
        <v>50891</v>
      </c>
      <c r="BY540" s="19"/>
      <c r="BZ540" s="93"/>
      <c r="CA540" s="93"/>
      <c r="CB540" s="93"/>
      <c r="CC540" s="93"/>
      <c r="CD540" s="25"/>
      <c r="CE540" s="97"/>
      <c r="CF540" s="1504">
        <v>50891</v>
      </c>
      <c r="CG540" s="19"/>
      <c r="CH540" s="93"/>
      <c r="CI540" s="219"/>
      <c r="CJ540" s="20"/>
      <c r="CK540" s="19"/>
      <c r="CL540" s="93"/>
      <c r="CM540" s="93"/>
      <c r="CN540" s="93"/>
      <c r="CO540" s="93"/>
      <c r="CP540" s="20"/>
      <c r="CQ540" s="219"/>
      <c r="CR540" s="93"/>
      <c r="CS540" s="93"/>
      <c r="CT540" s="93"/>
      <c r="CU540" s="93"/>
      <c r="CV540" s="214"/>
      <c r="CW540" s="29"/>
      <c r="CX540" s="41">
        <f t="shared" si="361"/>
        <v>2039</v>
      </c>
      <c r="CY540" s="1504">
        <v>50891</v>
      </c>
      <c r="CZ540" s="19"/>
      <c r="DA540" s="93"/>
      <c r="DB540" s="93"/>
      <c r="DC540" s="93"/>
      <c r="DD540" s="93"/>
      <c r="DE540" s="20"/>
      <c r="DF540" s="29"/>
      <c r="DG540" s="1504">
        <v>50891</v>
      </c>
      <c r="DH540" s="19"/>
      <c r="DI540" s="93"/>
      <c r="DJ540" s="93"/>
      <c r="DK540" s="93"/>
      <c r="DL540" s="93"/>
      <c r="DM540" s="93"/>
      <c r="DN540" s="20"/>
      <c r="DO540" s="295"/>
      <c r="DP540" s="29"/>
      <c r="DQ540" s="1504">
        <v>50891</v>
      </c>
      <c r="DR540" s="19"/>
      <c r="DS540" s="93"/>
      <c r="DT540" s="93"/>
      <c r="DU540" s="93"/>
      <c r="DV540" s="93"/>
      <c r="DW540" s="93"/>
      <c r="DX540" s="20"/>
      <c r="DY540" s="29"/>
      <c r="DZ540" s="1504">
        <v>50891</v>
      </c>
      <c r="EA540" s="19"/>
      <c r="EB540" s="93"/>
      <c r="EC540" s="20"/>
      <c r="ED540" s="29"/>
      <c r="EE540" s="1504">
        <v>50891</v>
      </c>
      <c r="EF540" s="19"/>
      <c r="EG540" s="93"/>
      <c r="EH540" s="93"/>
      <c r="EI540" s="214"/>
      <c r="EJ540" s="93"/>
      <c r="EK540" s="93"/>
      <c r="EL540" s="93"/>
      <c r="EM540" s="93"/>
      <c r="EN540" s="20"/>
      <c r="EO540" s="29"/>
      <c r="EP540" s="1504">
        <v>50891</v>
      </c>
      <c r="EQ540" s="19"/>
      <c r="ER540" s="93"/>
      <c r="ES540" s="93"/>
      <c r="ET540" s="214"/>
      <c r="EU540" s="93"/>
      <c r="EV540" s="93"/>
      <c r="EW540" s="93"/>
      <c r="EX540" s="93"/>
      <c r="EY540" s="20"/>
      <c r="EZ540" s="29"/>
      <c r="FA540" s="1504">
        <v>50891</v>
      </c>
      <c r="FB540" s="29"/>
      <c r="FC540" s="29"/>
      <c r="FD540" s="29"/>
      <c r="FE540" s="29"/>
      <c r="FF540" s="29"/>
      <c r="FG540" s="29"/>
      <c r="FH540" s="29"/>
      <c r="FI540" s="29"/>
      <c r="FJ540" s="29"/>
      <c r="FK540" s="29"/>
      <c r="FL540" s="1504">
        <v>50891</v>
      </c>
      <c r="FM540" s="19"/>
      <c r="FN540" s="93"/>
      <c r="FO540" s="93"/>
      <c r="FP540" s="93"/>
      <c r="FQ540" s="93"/>
      <c r="FR540" s="93"/>
      <c r="FS540" s="93"/>
      <c r="FT540" s="93"/>
      <c r="FU540" s="93"/>
      <c r="FV540" s="93"/>
      <c r="FW540" s="93"/>
      <c r="FX540" s="93"/>
      <c r="FY540" s="93"/>
      <c r="FZ540" s="29"/>
      <c r="GA540" s="1504">
        <v>50891</v>
      </c>
      <c r="GB540" s="19"/>
      <c r="GC540" s="93"/>
      <c r="GD540" s="93"/>
      <c r="GE540" s="93"/>
      <c r="GF540" s="93"/>
      <c r="GG540" s="93"/>
      <c r="GH540" s="93"/>
      <c r="GI540" s="93"/>
      <c r="GJ540" s="93"/>
      <c r="GK540" s="93"/>
      <c r="GL540" s="93"/>
      <c r="GM540" s="93"/>
      <c r="GN540" s="20"/>
      <c r="GO540" s="29"/>
      <c r="GP540" s="1504">
        <v>50891</v>
      </c>
      <c r="GQ540" s="19"/>
      <c r="GR540" s="93"/>
      <c r="GS540" s="93"/>
      <c r="GT540" s="93"/>
      <c r="GU540" s="93"/>
      <c r="GV540" s="20"/>
      <c r="GW540" s="19"/>
      <c r="GX540" s="93"/>
      <c r="GY540" s="93"/>
      <c r="GZ540" s="93"/>
      <c r="HA540" s="93"/>
      <c r="HB540" s="20"/>
      <c r="HC540" s="19"/>
      <c r="HD540" s="93"/>
      <c r="HE540" s="93"/>
      <c r="HF540" s="93"/>
      <c r="HG540" s="93"/>
      <c r="HH540" s="20"/>
      <c r="HI540" s="19"/>
      <c r="HJ540" s="93"/>
      <c r="HK540" s="93"/>
      <c r="HL540" s="93"/>
      <c r="HM540" s="93"/>
      <c r="HN540" s="20"/>
      <c r="HO540" s="219"/>
      <c r="HP540" s="20"/>
      <c r="HQ540" s="25"/>
      <c r="HR540" s="29"/>
      <c r="HS540" s="1504">
        <v>50891</v>
      </c>
      <c r="HT540" s="19"/>
      <c r="HU540" s="93"/>
      <c r="HV540" s="93"/>
      <c r="HW540" s="93"/>
      <c r="HX540" s="93"/>
      <c r="HY540" s="93"/>
      <c r="HZ540" s="93"/>
      <c r="IA540" s="20"/>
      <c r="IB540" s="19"/>
      <c r="IC540" s="93"/>
      <c r="ID540" s="93"/>
      <c r="IE540" s="93"/>
      <c r="IF540" s="93"/>
      <c r="IG540" s="20"/>
      <c r="IH540" s="19"/>
      <c r="II540" s="93"/>
      <c r="IJ540" s="93"/>
      <c r="IK540" s="93"/>
      <c r="IL540" s="93"/>
      <c r="IM540" s="93"/>
      <c r="IN540" s="93"/>
      <c r="IO540" s="20"/>
      <c r="IP540" s="29"/>
      <c r="IQ540" s="19"/>
      <c r="IR540" s="93"/>
      <c r="IS540" s="93"/>
      <c r="IT540" s="93"/>
      <c r="IU540" s="93"/>
      <c r="IV540" s="20"/>
      <c r="IW540" s="29"/>
      <c r="IX540" s="19"/>
      <c r="IY540" s="93"/>
      <c r="IZ540" s="93"/>
      <c r="JA540" s="93"/>
      <c r="JB540" s="93"/>
      <c r="JC540" s="93"/>
      <c r="JD540" s="93"/>
      <c r="JE540" s="20"/>
      <c r="JF540" s="29"/>
      <c r="JG540" s="19"/>
      <c r="JH540" s="93"/>
      <c r="JI540" s="93"/>
      <c r="JJ540" s="93"/>
      <c r="JK540" s="93"/>
      <c r="JL540" s="93"/>
      <c r="JM540" s="93"/>
      <c r="JN540" s="20"/>
      <c r="JO540" s="29"/>
      <c r="JP540" s="19"/>
      <c r="JQ540" s="93"/>
      <c r="JR540" s="93"/>
      <c r="JS540" s="93"/>
      <c r="JT540" s="93"/>
      <c r="JU540" s="20"/>
      <c r="JV540" s="29"/>
      <c r="JW540" s="1504">
        <v>50891</v>
      </c>
      <c r="JX540" s="19"/>
      <c r="JY540" s="93"/>
      <c r="JZ540" s="93"/>
      <c r="KA540" s="93"/>
      <c r="KB540" s="93"/>
      <c r="KC540" s="93"/>
      <c r="KD540" s="20"/>
      <c r="KE540" s="29"/>
      <c r="KF540" s="19"/>
      <c r="KG540" s="93"/>
      <c r="KH540" s="93"/>
      <c r="KI540" s="93"/>
      <c r="KJ540" s="93"/>
      <c r="KK540" s="20"/>
      <c r="KL540" s="29"/>
      <c r="KM540" s="19"/>
      <c r="KN540" s="93"/>
      <c r="KO540" s="93"/>
      <c r="KP540" s="93"/>
      <c r="KQ540" s="93"/>
      <c r="KR540" s="20"/>
      <c r="KS540" s="29"/>
      <c r="KT540" s="19"/>
      <c r="KU540" s="93"/>
      <c r="KV540" s="93"/>
      <c r="KW540" s="93"/>
      <c r="KX540" s="93"/>
      <c r="KY540" s="20"/>
      <c r="KZ540" s="29"/>
      <c r="LA540" s="1504">
        <v>50891</v>
      </c>
      <c r="LB540" s="19"/>
      <c r="LC540" s="93"/>
      <c r="LD540" s="93"/>
      <c r="LE540" s="93"/>
      <c r="LF540" s="93"/>
      <c r="LG540" s="93"/>
      <c r="LH540" s="20"/>
      <c r="LI540" s="29"/>
      <c r="LJ540" s="19"/>
      <c r="LK540" s="93"/>
      <c r="LL540" s="93"/>
      <c r="LM540" s="93"/>
      <c r="LN540" s="93"/>
      <c r="LO540" s="20"/>
      <c r="LP540" s="29"/>
      <c r="LQ540" s="19"/>
      <c r="LR540" s="93"/>
      <c r="LS540" s="93"/>
      <c r="LT540" s="93"/>
      <c r="LU540" s="93"/>
      <c r="LV540" s="93"/>
      <c r="LW540" s="93"/>
      <c r="LX540" s="93"/>
      <c r="LY540" s="93"/>
      <c r="LZ540" s="93"/>
      <c r="MA540" s="20"/>
      <c r="MB540" s="29"/>
      <c r="MC540" s="1504">
        <v>50891</v>
      </c>
      <c r="MD540" s="19"/>
      <c r="ME540" s="93"/>
      <c r="MF540" s="93"/>
      <c r="MG540" s="93"/>
      <c r="MH540" s="93"/>
      <c r="MI540" s="93"/>
      <c r="MJ540" s="93"/>
      <c r="MK540" s="93"/>
      <c r="ML540" s="93"/>
      <c r="MM540" s="93"/>
      <c r="MN540" s="93"/>
      <c r="MO540" s="93"/>
      <c r="MP540" s="93"/>
      <c r="MQ540" s="93"/>
      <c r="MR540" s="93"/>
      <c r="MS540" s="93"/>
      <c r="MT540" s="93"/>
      <c r="MU540" s="93"/>
      <c r="MV540" s="93"/>
      <c r="MW540" s="93"/>
      <c r="MX540" s="93"/>
      <c r="MY540" s="93"/>
      <c r="MZ540" s="93"/>
      <c r="NA540" s="93"/>
      <c r="NB540" s="93"/>
      <c r="NC540" s="93"/>
      <c r="ND540" s="93"/>
      <c r="NE540" s="93"/>
      <c r="NF540" s="93"/>
      <c r="NG540" s="93"/>
      <c r="NH540" s="93"/>
      <c r="NI540" s="93"/>
      <c r="NJ540" s="93"/>
      <c r="NK540" s="93"/>
      <c r="NL540" s="93"/>
      <c r="NM540" s="93"/>
      <c r="NN540" s="93"/>
      <c r="NO540" s="93"/>
      <c r="NP540" s="93"/>
      <c r="NQ540" s="93"/>
      <c r="NR540" s="93"/>
      <c r="NS540" s="93"/>
      <c r="NT540" s="93"/>
      <c r="NU540" s="93"/>
      <c r="NV540" s="93"/>
      <c r="NW540" s="93"/>
      <c r="NX540" s="93"/>
      <c r="NY540" s="93"/>
      <c r="NZ540" s="93"/>
      <c r="OA540" s="93"/>
      <c r="OB540" s="93"/>
      <c r="OC540" s="93"/>
      <c r="OD540" s="20"/>
      <c r="OE540" s="29"/>
      <c r="OF540" s="1504">
        <v>50891</v>
      </c>
      <c r="OG540" s="19"/>
      <c r="OH540" s="93"/>
      <c r="OI540" s="93"/>
      <c r="OJ540" s="93"/>
      <c r="OK540" s="93"/>
      <c r="OL540" s="93"/>
      <c r="OM540" s="93"/>
      <c r="ON540" s="93"/>
      <c r="OO540" s="93"/>
      <c r="OP540" s="93"/>
      <c r="OQ540" s="93"/>
      <c r="OR540" s="93"/>
      <c r="OS540" s="93"/>
      <c r="OT540" s="93"/>
      <c r="OU540" s="93"/>
      <c r="OV540" s="93"/>
      <c r="OW540" s="93"/>
      <c r="OX540" s="93"/>
      <c r="OY540" s="93"/>
      <c r="OZ540" s="93"/>
      <c r="PA540" s="93"/>
      <c r="PB540" s="93"/>
      <c r="PC540" s="20"/>
      <c r="PD540" s="29"/>
      <c r="PE540" s="19"/>
      <c r="PF540" s="93"/>
      <c r="PG540" s="93"/>
      <c r="PH540" s="93"/>
      <c r="PI540" s="93"/>
      <c r="PJ540" s="93"/>
      <c r="PK540" s="93"/>
      <c r="PL540" s="93"/>
      <c r="PM540" s="93"/>
      <c r="PN540" s="93"/>
      <c r="PO540" s="93"/>
      <c r="PP540" s="93"/>
      <c r="PQ540" s="93"/>
      <c r="PR540" s="93"/>
      <c r="PS540" s="93"/>
      <c r="PT540" s="93"/>
      <c r="PU540" s="93"/>
      <c r="PV540" s="93"/>
      <c r="PW540" s="93"/>
      <c r="PX540" s="93"/>
      <c r="PY540" s="93"/>
      <c r="PZ540" s="93"/>
      <c r="QA540" s="93"/>
      <c r="QB540" s="93"/>
      <c r="QC540" s="93"/>
      <c r="QD540" s="93"/>
      <c r="QE540" s="20"/>
      <c r="QF540" s="1739"/>
      <c r="QG540" s="19"/>
      <c r="QH540" s="93"/>
      <c r="QI540" s="93"/>
      <c r="QJ540" s="93"/>
      <c r="QK540" s="93"/>
      <c r="QL540" s="93"/>
      <c r="QM540" s="93"/>
      <c r="QN540" s="93"/>
      <c r="QO540" s="93"/>
      <c r="QP540" s="93"/>
      <c r="QQ540" s="93"/>
      <c r="QR540" s="93"/>
      <c r="QS540" s="93"/>
      <c r="QT540" s="93"/>
      <c r="QU540" s="93"/>
      <c r="QV540" s="93"/>
      <c r="QW540" s="93"/>
      <c r="QX540" s="93"/>
      <c r="QY540" s="93"/>
      <c r="QZ540" s="93"/>
      <c r="RA540" s="93"/>
      <c r="RB540" s="93"/>
      <c r="RC540" s="93"/>
      <c r="RD540" s="93"/>
      <c r="RE540" s="93"/>
      <c r="RF540" s="93"/>
      <c r="RG540" s="93"/>
      <c r="RH540" s="93"/>
      <c r="RI540" s="93"/>
      <c r="RJ540" s="93"/>
      <c r="RK540" s="93"/>
      <c r="RL540" s="93"/>
      <c r="RM540" s="20"/>
      <c r="RN540" s="29"/>
      <c r="RO540" s="19"/>
      <c r="RP540" s="20"/>
      <c r="RQ540" s="29"/>
      <c r="RR540" s="20"/>
      <c r="RS540" s="29"/>
      <c r="RT540" s="1504">
        <v>50891</v>
      </c>
      <c r="RU540" s="19"/>
      <c r="RV540" s="20"/>
      <c r="RW540" s="29"/>
      <c r="RX540" s="1504">
        <v>50891</v>
      </c>
      <c r="RY540" s="29"/>
      <c r="RZ540" s="20"/>
      <c r="SA540" s="29"/>
      <c r="SB540" s="29"/>
    </row>
    <row r="541" spans="1:496">
      <c r="A541" s="41">
        <f t="shared" si="360"/>
        <v>2039</v>
      </c>
      <c r="B541" s="1504">
        <v>50922</v>
      </c>
      <c r="C541" s="1813"/>
      <c r="D541" s="1814"/>
      <c r="E541" s="1814"/>
      <c r="F541" s="1815"/>
      <c r="G541" s="1814"/>
      <c r="H541" s="1814"/>
      <c r="I541" s="1814"/>
      <c r="J541" s="1816"/>
      <c r="K541" s="1807"/>
      <c r="L541" s="25"/>
      <c r="M541" s="97"/>
      <c r="N541" s="1504">
        <v>50922</v>
      </c>
      <c r="O541" s="19"/>
      <c r="P541" s="93"/>
      <c r="Q541" s="93"/>
      <c r="R541" s="93"/>
      <c r="S541" s="93"/>
      <c r="T541" s="93"/>
      <c r="U541" s="93"/>
      <c r="V541" s="93"/>
      <c r="W541" s="93"/>
      <c r="X541" s="93"/>
      <c r="Y541" s="93"/>
      <c r="Z541" s="93"/>
      <c r="AA541" s="93"/>
      <c r="AB541" s="20"/>
      <c r="AC541" s="25"/>
      <c r="AD541" s="97"/>
      <c r="AE541" s="1504">
        <v>50922</v>
      </c>
      <c r="AF541" s="19"/>
      <c r="AG541" s="93"/>
      <c r="AH541" s="93"/>
      <c r="AI541" s="93"/>
      <c r="AJ541" s="93"/>
      <c r="AK541" s="93"/>
      <c r="AL541" s="93"/>
      <c r="AM541" s="93"/>
      <c r="AN541" s="93"/>
      <c r="AO541" s="93"/>
      <c r="AP541" s="93"/>
      <c r="AQ541" s="93"/>
      <c r="AR541" s="93"/>
      <c r="AS541" s="20"/>
      <c r="AT541" s="25"/>
      <c r="AU541" s="97"/>
      <c r="AV541" s="1504">
        <v>50922</v>
      </c>
      <c r="AW541" s="19"/>
      <c r="AX541" s="93"/>
      <c r="AY541" s="93"/>
      <c r="AZ541" s="93"/>
      <c r="BA541" s="93"/>
      <c r="BB541" s="93"/>
      <c r="BC541" s="93"/>
      <c r="BD541" s="93"/>
      <c r="BE541" s="93"/>
      <c r="BF541" s="93"/>
      <c r="BG541" s="93"/>
      <c r="BH541" s="93"/>
      <c r="BI541" s="93"/>
      <c r="BJ541" s="20"/>
      <c r="BK541" s="25"/>
      <c r="BL541" s="97"/>
      <c r="BM541" s="1504">
        <v>50922</v>
      </c>
      <c r="BN541" s="19"/>
      <c r="BO541" s="93"/>
      <c r="BP541" s="93"/>
      <c r="BQ541" s="93"/>
      <c r="BR541" s="93"/>
      <c r="BS541" s="93"/>
      <c r="BT541" s="93"/>
      <c r="BU541" s="20"/>
      <c r="BV541" s="25"/>
      <c r="BW541" s="97"/>
      <c r="BX541" s="1504">
        <v>50922</v>
      </c>
      <c r="BY541" s="19"/>
      <c r="BZ541" s="93"/>
      <c r="CA541" s="93"/>
      <c r="CB541" s="93"/>
      <c r="CC541" s="93"/>
      <c r="CD541" s="25"/>
      <c r="CE541" s="97"/>
      <c r="CF541" s="1504">
        <v>50922</v>
      </c>
      <c r="CG541" s="19"/>
      <c r="CH541" s="93"/>
      <c r="CI541" s="219"/>
      <c r="CJ541" s="20"/>
      <c r="CK541" s="19"/>
      <c r="CL541" s="93"/>
      <c r="CM541" s="93"/>
      <c r="CN541" s="93"/>
      <c r="CO541" s="93"/>
      <c r="CP541" s="20"/>
      <c r="CQ541" s="219"/>
      <c r="CR541" s="93"/>
      <c r="CS541" s="93"/>
      <c r="CT541" s="93"/>
      <c r="CU541" s="93"/>
      <c r="CV541" s="214"/>
      <c r="CW541" s="29"/>
      <c r="CX541" s="41">
        <f t="shared" si="361"/>
        <v>2039</v>
      </c>
      <c r="CY541" s="1504">
        <v>50922</v>
      </c>
      <c r="CZ541" s="19"/>
      <c r="DA541" s="93"/>
      <c r="DB541" s="93"/>
      <c r="DC541" s="93"/>
      <c r="DD541" s="93"/>
      <c r="DE541" s="20"/>
      <c r="DF541" s="29"/>
      <c r="DG541" s="1504">
        <v>50922</v>
      </c>
      <c r="DH541" s="19"/>
      <c r="DI541" s="93"/>
      <c r="DJ541" s="93"/>
      <c r="DK541" s="93"/>
      <c r="DL541" s="93"/>
      <c r="DM541" s="93"/>
      <c r="DN541" s="20"/>
      <c r="DO541" s="295"/>
      <c r="DP541" s="29"/>
      <c r="DQ541" s="1504">
        <v>50922</v>
      </c>
      <c r="DR541" s="19"/>
      <c r="DS541" s="93"/>
      <c r="DT541" s="93"/>
      <c r="DU541" s="93"/>
      <c r="DV541" s="93"/>
      <c r="DW541" s="93"/>
      <c r="DX541" s="20"/>
      <c r="DY541" s="29"/>
      <c r="DZ541" s="1504">
        <v>50922</v>
      </c>
      <c r="EA541" s="19"/>
      <c r="EB541" s="93"/>
      <c r="EC541" s="20"/>
      <c r="ED541" s="29"/>
      <c r="EE541" s="1504">
        <v>50922</v>
      </c>
      <c r="EF541" s="19"/>
      <c r="EG541" s="93"/>
      <c r="EH541" s="93"/>
      <c r="EI541" s="214"/>
      <c r="EJ541" s="93"/>
      <c r="EK541" s="93"/>
      <c r="EL541" s="93"/>
      <c r="EM541" s="93"/>
      <c r="EN541" s="20"/>
      <c r="EO541" s="29"/>
      <c r="EP541" s="1504">
        <v>50922</v>
      </c>
      <c r="EQ541" s="19"/>
      <c r="ER541" s="93"/>
      <c r="ES541" s="93"/>
      <c r="ET541" s="214"/>
      <c r="EU541" s="93"/>
      <c r="EV541" s="93"/>
      <c r="EW541" s="93"/>
      <c r="EX541" s="93"/>
      <c r="EY541" s="20"/>
      <c r="EZ541" s="29"/>
      <c r="FA541" s="1504">
        <v>50922</v>
      </c>
      <c r="FB541" s="29"/>
      <c r="FC541" s="29"/>
      <c r="FD541" s="29"/>
      <c r="FE541" s="29"/>
      <c r="FF541" s="29"/>
      <c r="FG541" s="29"/>
      <c r="FH541" s="29"/>
      <c r="FI541" s="29"/>
      <c r="FJ541" s="29"/>
      <c r="FK541" s="29"/>
      <c r="FL541" s="1504">
        <v>50922</v>
      </c>
      <c r="FM541" s="19"/>
      <c r="FN541" s="93"/>
      <c r="FO541" s="93"/>
      <c r="FP541" s="93"/>
      <c r="FQ541" s="93"/>
      <c r="FR541" s="93"/>
      <c r="FS541" s="93"/>
      <c r="FT541" s="93"/>
      <c r="FU541" s="93"/>
      <c r="FV541" s="93"/>
      <c r="FW541" s="93"/>
      <c r="FX541" s="93"/>
      <c r="FY541" s="93"/>
      <c r="FZ541" s="29"/>
      <c r="GA541" s="1504">
        <v>50922</v>
      </c>
      <c r="GB541" s="19"/>
      <c r="GC541" s="93"/>
      <c r="GD541" s="93"/>
      <c r="GE541" s="93"/>
      <c r="GF541" s="93"/>
      <c r="GG541" s="93"/>
      <c r="GH541" s="93"/>
      <c r="GI541" s="93"/>
      <c r="GJ541" s="93"/>
      <c r="GK541" s="93"/>
      <c r="GL541" s="93"/>
      <c r="GM541" s="93"/>
      <c r="GN541" s="20"/>
      <c r="GO541" s="29"/>
      <c r="GP541" s="1504">
        <v>50922</v>
      </c>
      <c r="GQ541" s="19"/>
      <c r="GR541" s="93"/>
      <c r="GS541" s="93"/>
      <c r="GT541" s="93"/>
      <c r="GU541" s="93"/>
      <c r="GV541" s="20"/>
      <c r="GW541" s="19"/>
      <c r="GX541" s="93"/>
      <c r="GY541" s="93"/>
      <c r="GZ541" s="93"/>
      <c r="HA541" s="93"/>
      <c r="HB541" s="20"/>
      <c r="HC541" s="19"/>
      <c r="HD541" s="93"/>
      <c r="HE541" s="93"/>
      <c r="HF541" s="93"/>
      <c r="HG541" s="93"/>
      <c r="HH541" s="20"/>
      <c r="HI541" s="19"/>
      <c r="HJ541" s="93"/>
      <c r="HK541" s="93"/>
      <c r="HL541" s="93"/>
      <c r="HM541" s="93"/>
      <c r="HN541" s="20"/>
      <c r="HO541" s="219"/>
      <c r="HP541" s="20"/>
      <c r="HQ541" s="25"/>
      <c r="HR541" s="29"/>
      <c r="HS541" s="1504">
        <v>50922</v>
      </c>
      <c r="HT541" s="19"/>
      <c r="HU541" s="93"/>
      <c r="HV541" s="93"/>
      <c r="HW541" s="93"/>
      <c r="HX541" s="93"/>
      <c r="HY541" s="93"/>
      <c r="HZ541" s="93"/>
      <c r="IA541" s="20"/>
      <c r="IB541" s="19"/>
      <c r="IC541" s="93"/>
      <c r="ID541" s="93"/>
      <c r="IE541" s="93"/>
      <c r="IF541" s="93"/>
      <c r="IG541" s="20"/>
      <c r="IH541" s="19"/>
      <c r="II541" s="93"/>
      <c r="IJ541" s="93"/>
      <c r="IK541" s="93"/>
      <c r="IL541" s="93"/>
      <c r="IM541" s="93"/>
      <c r="IN541" s="93"/>
      <c r="IO541" s="20"/>
      <c r="IP541" s="29"/>
      <c r="IQ541" s="19"/>
      <c r="IR541" s="93"/>
      <c r="IS541" s="93"/>
      <c r="IT541" s="93"/>
      <c r="IU541" s="93"/>
      <c r="IV541" s="20"/>
      <c r="IW541" s="29"/>
      <c r="IX541" s="19"/>
      <c r="IY541" s="93"/>
      <c r="IZ541" s="93"/>
      <c r="JA541" s="93"/>
      <c r="JB541" s="93"/>
      <c r="JC541" s="93"/>
      <c r="JD541" s="93"/>
      <c r="JE541" s="20"/>
      <c r="JF541" s="29"/>
      <c r="JG541" s="19"/>
      <c r="JH541" s="93"/>
      <c r="JI541" s="93"/>
      <c r="JJ541" s="93"/>
      <c r="JK541" s="93"/>
      <c r="JL541" s="93"/>
      <c r="JM541" s="93"/>
      <c r="JN541" s="20"/>
      <c r="JO541" s="29"/>
      <c r="JP541" s="19"/>
      <c r="JQ541" s="93"/>
      <c r="JR541" s="93"/>
      <c r="JS541" s="93"/>
      <c r="JT541" s="93"/>
      <c r="JU541" s="20"/>
      <c r="JV541" s="29"/>
      <c r="JW541" s="1504">
        <v>50922</v>
      </c>
      <c r="JX541" s="19"/>
      <c r="JY541" s="93"/>
      <c r="JZ541" s="93"/>
      <c r="KA541" s="93"/>
      <c r="KB541" s="93"/>
      <c r="KC541" s="93"/>
      <c r="KD541" s="20"/>
      <c r="KE541" s="29"/>
      <c r="KF541" s="19"/>
      <c r="KG541" s="93"/>
      <c r="KH541" s="93"/>
      <c r="KI541" s="93"/>
      <c r="KJ541" s="93"/>
      <c r="KK541" s="20"/>
      <c r="KL541" s="29"/>
      <c r="KM541" s="19"/>
      <c r="KN541" s="93"/>
      <c r="KO541" s="93"/>
      <c r="KP541" s="93"/>
      <c r="KQ541" s="93"/>
      <c r="KR541" s="20"/>
      <c r="KS541" s="29"/>
      <c r="KT541" s="19"/>
      <c r="KU541" s="93"/>
      <c r="KV541" s="93"/>
      <c r="KW541" s="93"/>
      <c r="KX541" s="93"/>
      <c r="KY541" s="20"/>
      <c r="KZ541" s="29"/>
      <c r="LA541" s="1504">
        <v>50922</v>
      </c>
      <c r="LB541" s="19"/>
      <c r="LC541" s="93"/>
      <c r="LD541" s="93"/>
      <c r="LE541" s="93"/>
      <c r="LF541" s="93"/>
      <c r="LG541" s="93"/>
      <c r="LH541" s="20"/>
      <c r="LI541" s="29"/>
      <c r="LJ541" s="19"/>
      <c r="LK541" s="93"/>
      <c r="LL541" s="93"/>
      <c r="LM541" s="93"/>
      <c r="LN541" s="93"/>
      <c r="LO541" s="20"/>
      <c r="LP541" s="29"/>
      <c r="LQ541" s="19"/>
      <c r="LR541" s="93"/>
      <c r="LS541" s="93"/>
      <c r="LT541" s="93"/>
      <c r="LU541" s="93"/>
      <c r="LV541" s="93"/>
      <c r="LW541" s="93"/>
      <c r="LX541" s="93"/>
      <c r="LY541" s="93"/>
      <c r="LZ541" s="93"/>
      <c r="MA541" s="20"/>
      <c r="MB541" s="29"/>
      <c r="MC541" s="1504">
        <v>50922</v>
      </c>
      <c r="MD541" s="19"/>
      <c r="ME541" s="93"/>
      <c r="MF541" s="93"/>
      <c r="MG541" s="93"/>
      <c r="MH541" s="93"/>
      <c r="MI541" s="93"/>
      <c r="MJ541" s="93"/>
      <c r="MK541" s="93"/>
      <c r="ML541" s="93"/>
      <c r="MM541" s="93"/>
      <c r="MN541" s="93"/>
      <c r="MO541" s="93"/>
      <c r="MP541" s="93"/>
      <c r="MQ541" s="93"/>
      <c r="MR541" s="93"/>
      <c r="MS541" s="93"/>
      <c r="MT541" s="93"/>
      <c r="MU541" s="93"/>
      <c r="MV541" s="93"/>
      <c r="MW541" s="93"/>
      <c r="MX541" s="93"/>
      <c r="MY541" s="93"/>
      <c r="MZ541" s="93"/>
      <c r="NA541" s="93"/>
      <c r="NB541" s="93"/>
      <c r="NC541" s="93"/>
      <c r="ND541" s="93"/>
      <c r="NE541" s="93"/>
      <c r="NF541" s="93"/>
      <c r="NG541" s="93"/>
      <c r="NH541" s="93"/>
      <c r="NI541" s="93"/>
      <c r="NJ541" s="93"/>
      <c r="NK541" s="93"/>
      <c r="NL541" s="93"/>
      <c r="NM541" s="93"/>
      <c r="NN541" s="93"/>
      <c r="NO541" s="93"/>
      <c r="NP541" s="93"/>
      <c r="NQ541" s="93"/>
      <c r="NR541" s="93"/>
      <c r="NS541" s="93"/>
      <c r="NT541" s="93"/>
      <c r="NU541" s="93"/>
      <c r="NV541" s="93"/>
      <c r="NW541" s="93"/>
      <c r="NX541" s="93"/>
      <c r="NY541" s="93"/>
      <c r="NZ541" s="93"/>
      <c r="OA541" s="93"/>
      <c r="OB541" s="93"/>
      <c r="OC541" s="93"/>
      <c r="OD541" s="20"/>
      <c r="OE541" s="29"/>
      <c r="OF541" s="1504">
        <v>50922</v>
      </c>
      <c r="OG541" s="19"/>
      <c r="OH541" s="93"/>
      <c r="OI541" s="93"/>
      <c r="OJ541" s="93"/>
      <c r="OK541" s="93"/>
      <c r="OL541" s="93"/>
      <c r="OM541" s="93"/>
      <c r="ON541" s="93"/>
      <c r="OO541" s="93"/>
      <c r="OP541" s="93"/>
      <c r="OQ541" s="93"/>
      <c r="OR541" s="93"/>
      <c r="OS541" s="93"/>
      <c r="OT541" s="93"/>
      <c r="OU541" s="93"/>
      <c r="OV541" s="93"/>
      <c r="OW541" s="93"/>
      <c r="OX541" s="93"/>
      <c r="OY541" s="93"/>
      <c r="OZ541" s="93"/>
      <c r="PA541" s="93"/>
      <c r="PB541" s="93"/>
      <c r="PC541" s="20"/>
      <c r="PD541" s="29"/>
      <c r="PE541" s="19"/>
      <c r="PF541" s="93"/>
      <c r="PG541" s="93"/>
      <c r="PH541" s="93"/>
      <c r="PI541" s="93"/>
      <c r="PJ541" s="93"/>
      <c r="PK541" s="93"/>
      <c r="PL541" s="93"/>
      <c r="PM541" s="93"/>
      <c r="PN541" s="93"/>
      <c r="PO541" s="93"/>
      <c r="PP541" s="93"/>
      <c r="PQ541" s="93"/>
      <c r="PR541" s="93"/>
      <c r="PS541" s="93"/>
      <c r="PT541" s="93"/>
      <c r="PU541" s="93"/>
      <c r="PV541" s="93"/>
      <c r="PW541" s="93"/>
      <c r="PX541" s="93"/>
      <c r="PY541" s="93"/>
      <c r="PZ541" s="93"/>
      <c r="QA541" s="93"/>
      <c r="QB541" s="93"/>
      <c r="QC541" s="93"/>
      <c r="QD541" s="93"/>
      <c r="QE541" s="20"/>
      <c r="QF541" s="1739"/>
      <c r="QG541" s="19"/>
      <c r="QH541" s="93"/>
      <c r="QI541" s="93"/>
      <c r="QJ541" s="93"/>
      <c r="QK541" s="93"/>
      <c r="QL541" s="93"/>
      <c r="QM541" s="93"/>
      <c r="QN541" s="93"/>
      <c r="QO541" s="93"/>
      <c r="QP541" s="93"/>
      <c r="QQ541" s="93"/>
      <c r="QR541" s="93"/>
      <c r="QS541" s="93"/>
      <c r="QT541" s="93"/>
      <c r="QU541" s="93"/>
      <c r="QV541" s="93"/>
      <c r="QW541" s="93"/>
      <c r="QX541" s="93"/>
      <c r="QY541" s="93"/>
      <c r="QZ541" s="93"/>
      <c r="RA541" s="93"/>
      <c r="RB541" s="93"/>
      <c r="RC541" s="93"/>
      <c r="RD541" s="93"/>
      <c r="RE541" s="93"/>
      <c r="RF541" s="93"/>
      <c r="RG541" s="93"/>
      <c r="RH541" s="93"/>
      <c r="RI541" s="93"/>
      <c r="RJ541" s="93"/>
      <c r="RK541" s="93"/>
      <c r="RL541" s="93"/>
      <c r="RM541" s="20"/>
      <c r="RN541" s="29"/>
      <c r="RO541" s="19"/>
      <c r="RP541" s="20"/>
      <c r="RQ541" s="29"/>
      <c r="RR541" s="20"/>
      <c r="RS541" s="29"/>
      <c r="RT541" s="1504">
        <v>50922</v>
      </c>
      <c r="RU541" s="19"/>
      <c r="RV541" s="20"/>
      <c r="RW541" s="29"/>
      <c r="RX541" s="1504">
        <v>50922</v>
      </c>
      <c r="RY541" s="29"/>
      <c r="RZ541" s="20"/>
      <c r="SA541" s="29"/>
      <c r="SB541" s="29"/>
    </row>
    <row r="542" spans="1:496">
      <c r="A542" s="41">
        <f t="shared" si="360"/>
        <v>2039</v>
      </c>
      <c r="B542" s="1504">
        <v>50952</v>
      </c>
      <c r="C542" s="1813"/>
      <c r="D542" s="1814"/>
      <c r="E542" s="1814"/>
      <c r="F542" s="1815"/>
      <c r="G542" s="1814"/>
      <c r="H542" s="1814"/>
      <c r="I542" s="1814"/>
      <c r="J542" s="1816"/>
      <c r="K542" s="1807"/>
      <c r="L542" s="25"/>
      <c r="M542" s="97"/>
      <c r="N542" s="1504">
        <v>50952</v>
      </c>
      <c r="O542" s="19"/>
      <c r="P542" s="93"/>
      <c r="Q542" s="93"/>
      <c r="R542" s="93"/>
      <c r="S542" s="93"/>
      <c r="T542" s="93"/>
      <c r="U542" s="93"/>
      <c r="V542" s="93"/>
      <c r="W542" s="93"/>
      <c r="X542" s="93"/>
      <c r="Y542" s="93"/>
      <c r="Z542" s="93"/>
      <c r="AA542" s="93"/>
      <c r="AB542" s="20"/>
      <c r="AC542" s="25"/>
      <c r="AD542" s="97"/>
      <c r="AE542" s="1504">
        <v>50952</v>
      </c>
      <c r="AF542" s="19"/>
      <c r="AG542" s="93"/>
      <c r="AH542" s="93"/>
      <c r="AI542" s="93"/>
      <c r="AJ542" s="93"/>
      <c r="AK542" s="93"/>
      <c r="AL542" s="93"/>
      <c r="AM542" s="93"/>
      <c r="AN542" s="93"/>
      <c r="AO542" s="93"/>
      <c r="AP542" s="93"/>
      <c r="AQ542" s="93"/>
      <c r="AR542" s="93"/>
      <c r="AS542" s="20"/>
      <c r="AT542" s="25"/>
      <c r="AU542" s="97"/>
      <c r="AV542" s="1504">
        <v>50952</v>
      </c>
      <c r="AW542" s="19"/>
      <c r="AX542" s="93"/>
      <c r="AY542" s="93"/>
      <c r="AZ542" s="93"/>
      <c r="BA542" s="93"/>
      <c r="BB542" s="93"/>
      <c r="BC542" s="93"/>
      <c r="BD542" s="93"/>
      <c r="BE542" s="93"/>
      <c r="BF542" s="93"/>
      <c r="BG542" s="93"/>
      <c r="BH542" s="93"/>
      <c r="BI542" s="93"/>
      <c r="BJ542" s="20"/>
      <c r="BK542" s="25"/>
      <c r="BL542" s="97"/>
      <c r="BM542" s="1504">
        <v>50952</v>
      </c>
      <c r="BN542" s="19"/>
      <c r="BO542" s="93"/>
      <c r="BP542" s="93"/>
      <c r="BQ542" s="93"/>
      <c r="BR542" s="93"/>
      <c r="BS542" s="93"/>
      <c r="BT542" s="93"/>
      <c r="BU542" s="20"/>
      <c r="BV542" s="25"/>
      <c r="BW542" s="97"/>
      <c r="BX542" s="1504">
        <v>50952</v>
      </c>
      <c r="BY542" s="19"/>
      <c r="BZ542" s="93"/>
      <c r="CA542" s="93"/>
      <c r="CB542" s="93"/>
      <c r="CC542" s="93"/>
      <c r="CD542" s="25"/>
      <c r="CE542" s="97"/>
      <c r="CF542" s="1504">
        <v>50952</v>
      </c>
      <c r="CG542" s="19"/>
      <c r="CH542" s="93"/>
      <c r="CI542" s="219"/>
      <c r="CJ542" s="20"/>
      <c r="CK542" s="19"/>
      <c r="CL542" s="93"/>
      <c r="CM542" s="93"/>
      <c r="CN542" s="93"/>
      <c r="CO542" s="93"/>
      <c r="CP542" s="20"/>
      <c r="CQ542" s="219"/>
      <c r="CR542" s="93"/>
      <c r="CS542" s="93"/>
      <c r="CT542" s="93"/>
      <c r="CU542" s="93"/>
      <c r="CV542" s="214"/>
      <c r="CW542" s="29"/>
      <c r="CX542" s="41">
        <f t="shared" si="361"/>
        <v>2039</v>
      </c>
      <c r="CY542" s="1504">
        <v>50952</v>
      </c>
      <c r="CZ542" s="19"/>
      <c r="DA542" s="93"/>
      <c r="DB542" s="93"/>
      <c r="DC542" s="93"/>
      <c r="DD542" s="93"/>
      <c r="DE542" s="20"/>
      <c r="DF542" s="29"/>
      <c r="DG542" s="1504">
        <v>50952</v>
      </c>
      <c r="DH542" s="19"/>
      <c r="DI542" s="93"/>
      <c r="DJ542" s="93"/>
      <c r="DK542" s="93"/>
      <c r="DL542" s="93"/>
      <c r="DM542" s="93"/>
      <c r="DN542" s="20"/>
      <c r="DO542" s="295"/>
      <c r="DP542" s="29"/>
      <c r="DQ542" s="1504">
        <v>50952</v>
      </c>
      <c r="DR542" s="19"/>
      <c r="DS542" s="93"/>
      <c r="DT542" s="93"/>
      <c r="DU542" s="93"/>
      <c r="DV542" s="93"/>
      <c r="DW542" s="93"/>
      <c r="DX542" s="20"/>
      <c r="DY542" s="29"/>
      <c r="DZ542" s="1504">
        <v>50952</v>
      </c>
      <c r="EA542" s="19"/>
      <c r="EB542" s="93"/>
      <c r="EC542" s="20"/>
      <c r="ED542" s="29"/>
      <c r="EE542" s="1504">
        <v>50952</v>
      </c>
      <c r="EF542" s="19"/>
      <c r="EG542" s="93"/>
      <c r="EH542" s="93"/>
      <c r="EI542" s="214"/>
      <c r="EJ542" s="93"/>
      <c r="EK542" s="93"/>
      <c r="EL542" s="93"/>
      <c r="EM542" s="93"/>
      <c r="EN542" s="20"/>
      <c r="EO542" s="29"/>
      <c r="EP542" s="1504">
        <v>50952</v>
      </c>
      <c r="EQ542" s="19"/>
      <c r="ER542" s="93"/>
      <c r="ES542" s="93"/>
      <c r="ET542" s="214"/>
      <c r="EU542" s="93"/>
      <c r="EV542" s="93"/>
      <c r="EW542" s="93"/>
      <c r="EX542" s="93"/>
      <c r="EY542" s="20"/>
      <c r="EZ542" s="29"/>
      <c r="FA542" s="1504">
        <v>50952</v>
      </c>
      <c r="FB542" s="29"/>
      <c r="FC542" s="29"/>
      <c r="FD542" s="29"/>
      <c r="FE542" s="29"/>
      <c r="FF542" s="29"/>
      <c r="FG542" s="29"/>
      <c r="FH542" s="29"/>
      <c r="FI542" s="29"/>
      <c r="FJ542" s="29"/>
      <c r="FK542" s="29"/>
      <c r="FL542" s="1504">
        <v>50952</v>
      </c>
      <c r="FM542" s="19"/>
      <c r="FN542" s="93"/>
      <c r="FO542" s="93"/>
      <c r="FP542" s="93"/>
      <c r="FQ542" s="93"/>
      <c r="FR542" s="93"/>
      <c r="FS542" s="93"/>
      <c r="FT542" s="93"/>
      <c r="FU542" s="93"/>
      <c r="FV542" s="93"/>
      <c r="FW542" s="93"/>
      <c r="FX542" s="93"/>
      <c r="FY542" s="93"/>
      <c r="FZ542" s="29"/>
      <c r="GA542" s="1504">
        <v>50952</v>
      </c>
      <c r="GB542" s="19"/>
      <c r="GC542" s="93"/>
      <c r="GD542" s="93"/>
      <c r="GE542" s="93"/>
      <c r="GF542" s="93"/>
      <c r="GG542" s="93"/>
      <c r="GH542" s="93"/>
      <c r="GI542" s="93"/>
      <c r="GJ542" s="93"/>
      <c r="GK542" s="93"/>
      <c r="GL542" s="93"/>
      <c r="GM542" s="93"/>
      <c r="GN542" s="20"/>
      <c r="GO542" s="29"/>
      <c r="GP542" s="1504">
        <v>50952</v>
      </c>
      <c r="GQ542" s="19"/>
      <c r="GR542" s="93"/>
      <c r="GS542" s="93"/>
      <c r="GT542" s="93"/>
      <c r="GU542" s="93"/>
      <c r="GV542" s="20"/>
      <c r="GW542" s="19"/>
      <c r="GX542" s="93"/>
      <c r="GY542" s="93"/>
      <c r="GZ542" s="93"/>
      <c r="HA542" s="93"/>
      <c r="HB542" s="20"/>
      <c r="HC542" s="19"/>
      <c r="HD542" s="93"/>
      <c r="HE542" s="93"/>
      <c r="HF542" s="93"/>
      <c r="HG542" s="93"/>
      <c r="HH542" s="20"/>
      <c r="HI542" s="19"/>
      <c r="HJ542" s="93"/>
      <c r="HK542" s="93"/>
      <c r="HL542" s="93"/>
      <c r="HM542" s="93"/>
      <c r="HN542" s="20"/>
      <c r="HO542" s="219"/>
      <c r="HP542" s="20"/>
      <c r="HQ542" s="25"/>
      <c r="HR542" s="29"/>
      <c r="HS542" s="1504">
        <v>50952</v>
      </c>
      <c r="HT542" s="19"/>
      <c r="HU542" s="93"/>
      <c r="HV542" s="93"/>
      <c r="HW542" s="93"/>
      <c r="HX542" s="93"/>
      <c r="HY542" s="93"/>
      <c r="HZ542" s="93"/>
      <c r="IA542" s="20"/>
      <c r="IB542" s="19"/>
      <c r="IC542" s="93"/>
      <c r="ID542" s="93"/>
      <c r="IE542" s="93"/>
      <c r="IF542" s="93"/>
      <c r="IG542" s="20"/>
      <c r="IH542" s="19"/>
      <c r="II542" s="93"/>
      <c r="IJ542" s="93"/>
      <c r="IK542" s="93"/>
      <c r="IL542" s="93"/>
      <c r="IM542" s="93"/>
      <c r="IN542" s="93"/>
      <c r="IO542" s="20"/>
      <c r="IP542" s="29"/>
      <c r="IQ542" s="19"/>
      <c r="IR542" s="93"/>
      <c r="IS542" s="93"/>
      <c r="IT542" s="93"/>
      <c r="IU542" s="93"/>
      <c r="IV542" s="20"/>
      <c r="IW542" s="29"/>
      <c r="IX542" s="19"/>
      <c r="IY542" s="93"/>
      <c r="IZ542" s="93"/>
      <c r="JA542" s="93"/>
      <c r="JB542" s="93"/>
      <c r="JC542" s="93"/>
      <c r="JD542" s="93"/>
      <c r="JE542" s="20"/>
      <c r="JF542" s="29"/>
      <c r="JG542" s="19"/>
      <c r="JH542" s="93"/>
      <c r="JI542" s="93"/>
      <c r="JJ542" s="93"/>
      <c r="JK542" s="93"/>
      <c r="JL542" s="93"/>
      <c r="JM542" s="93"/>
      <c r="JN542" s="20"/>
      <c r="JO542" s="29"/>
      <c r="JP542" s="19"/>
      <c r="JQ542" s="93"/>
      <c r="JR542" s="93"/>
      <c r="JS542" s="93"/>
      <c r="JT542" s="93"/>
      <c r="JU542" s="20"/>
      <c r="JV542" s="29"/>
      <c r="JW542" s="1504">
        <v>50952</v>
      </c>
      <c r="JX542" s="19"/>
      <c r="JY542" s="93"/>
      <c r="JZ542" s="93"/>
      <c r="KA542" s="93"/>
      <c r="KB542" s="93"/>
      <c r="KC542" s="93"/>
      <c r="KD542" s="20"/>
      <c r="KE542" s="29"/>
      <c r="KF542" s="19"/>
      <c r="KG542" s="93"/>
      <c r="KH542" s="93"/>
      <c r="KI542" s="93"/>
      <c r="KJ542" s="93"/>
      <c r="KK542" s="20"/>
      <c r="KL542" s="29"/>
      <c r="KM542" s="19"/>
      <c r="KN542" s="93"/>
      <c r="KO542" s="93"/>
      <c r="KP542" s="93"/>
      <c r="KQ542" s="93"/>
      <c r="KR542" s="20"/>
      <c r="KS542" s="29"/>
      <c r="KT542" s="19"/>
      <c r="KU542" s="93"/>
      <c r="KV542" s="93"/>
      <c r="KW542" s="93"/>
      <c r="KX542" s="93"/>
      <c r="KY542" s="20"/>
      <c r="KZ542" s="29"/>
      <c r="LA542" s="1504">
        <v>50952</v>
      </c>
      <c r="LB542" s="19"/>
      <c r="LC542" s="93"/>
      <c r="LD542" s="93"/>
      <c r="LE542" s="93"/>
      <c r="LF542" s="93"/>
      <c r="LG542" s="93"/>
      <c r="LH542" s="20"/>
      <c r="LI542" s="29"/>
      <c r="LJ542" s="19"/>
      <c r="LK542" s="93"/>
      <c r="LL542" s="93"/>
      <c r="LM542" s="93"/>
      <c r="LN542" s="93"/>
      <c r="LO542" s="20"/>
      <c r="LP542" s="29"/>
      <c r="LQ542" s="19"/>
      <c r="LR542" s="93"/>
      <c r="LS542" s="93"/>
      <c r="LT542" s="93"/>
      <c r="LU542" s="93"/>
      <c r="LV542" s="93"/>
      <c r="LW542" s="93"/>
      <c r="LX542" s="93"/>
      <c r="LY542" s="93"/>
      <c r="LZ542" s="93"/>
      <c r="MA542" s="20"/>
      <c r="MB542" s="29"/>
      <c r="MC542" s="1504">
        <v>50952</v>
      </c>
      <c r="MD542" s="19"/>
      <c r="ME542" s="93"/>
      <c r="MF542" s="93"/>
      <c r="MG542" s="93"/>
      <c r="MH542" s="93"/>
      <c r="MI542" s="93"/>
      <c r="MJ542" s="93"/>
      <c r="MK542" s="93"/>
      <c r="ML542" s="93"/>
      <c r="MM542" s="93"/>
      <c r="MN542" s="93"/>
      <c r="MO542" s="93"/>
      <c r="MP542" s="93"/>
      <c r="MQ542" s="93"/>
      <c r="MR542" s="93"/>
      <c r="MS542" s="93"/>
      <c r="MT542" s="93"/>
      <c r="MU542" s="93"/>
      <c r="MV542" s="93"/>
      <c r="MW542" s="93"/>
      <c r="MX542" s="93"/>
      <c r="MY542" s="93"/>
      <c r="MZ542" s="93"/>
      <c r="NA542" s="93"/>
      <c r="NB542" s="93"/>
      <c r="NC542" s="93"/>
      <c r="ND542" s="93"/>
      <c r="NE542" s="93"/>
      <c r="NF542" s="93"/>
      <c r="NG542" s="93"/>
      <c r="NH542" s="93"/>
      <c r="NI542" s="93"/>
      <c r="NJ542" s="93"/>
      <c r="NK542" s="93"/>
      <c r="NL542" s="93"/>
      <c r="NM542" s="93"/>
      <c r="NN542" s="93"/>
      <c r="NO542" s="93"/>
      <c r="NP542" s="93"/>
      <c r="NQ542" s="93"/>
      <c r="NR542" s="93"/>
      <c r="NS542" s="93"/>
      <c r="NT542" s="93"/>
      <c r="NU542" s="93"/>
      <c r="NV542" s="93"/>
      <c r="NW542" s="93"/>
      <c r="NX542" s="93"/>
      <c r="NY542" s="93"/>
      <c r="NZ542" s="93"/>
      <c r="OA542" s="93"/>
      <c r="OB542" s="93"/>
      <c r="OC542" s="93"/>
      <c r="OD542" s="20"/>
      <c r="OE542" s="29"/>
      <c r="OF542" s="1504">
        <v>50952</v>
      </c>
      <c r="OG542" s="19"/>
      <c r="OH542" s="93"/>
      <c r="OI542" s="93"/>
      <c r="OJ542" s="93"/>
      <c r="OK542" s="93"/>
      <c r="OL542" s="93"/>
      <c r="OM542" s="93"/>
      <c r="ON542" s="93"/>
      <c r="OO542" s="93"/>
      <c r="OP542" s="93"/>
      <c r="OQ542" s="93"/>
      <c r="OR542" s="93"/>
      <c r="OS542" s="93"/>
      <c r="OT542" s="93"/>
      <c r="OU542" s="93"/>
      <c r="OV542" s="93"/>
      <c r="OW542" s="93"/>
      <c r="OX542" s="93"/>
      <c r="OY542" s="93"/>
      <c r="OZ542" s="93"/>
      <c r="PA542" s="93"/>
      <c r="PB542" s="93"/>
      <c r="PC542" s="20"/>
      <c r="PD542" s="29"/>
      <c r="PE542" s="19"/>
      <c r="PF542" s="93"/>
      <c r="PG542" s="93"/>
      <c r="PH542" s="93"/>
      <c r="PI542" s="93"/>
      <c r="PJ542" s="93"/>
      <c r="PK542" s="93"/>
      <c r="PL542" s="93"/>
      <c r="PM542" s="93"/>
      <c r="PN542" s="93"/>
      <c r="PO542" s="93"/>
      <c r="PP542" s="93"/>
      <c r="PQ542" s="93"/>
      <c r="PR542" s="93"/>
      <c r="PS542" s="93"/>
      <c r="PT542" s="93"/>
      <c r="PU542" s="93"/>
      <c r="PV542" s="93"/>
      <c r="PW542" s="93"/>
      <c r="PX542" s="93"/>
      <c r="PY542" s="93"/>
      <c r="PZ542" s="93"/>
      <c r="QA542" s="93"/>
      <c r="QB542" s="93"/>
      <c r="QC542" s="93"/>
      <c r="QD542" s="93"/>
      <c r="QE542" s="20"/>
      <c r="QF542" s="1739"/>
      <c r="QG542" s="19"/>
      <c r="QH542" s="93"/>
      <c r="QI542" s="93"/>
      <c r="QJ542" s="93"/>
      <c r="QK542" s="93"/>
      <c r="QL542" s="93"/>
      <c r="QM542" s="93"/>
      <c r="QN542" s="93"/>
      <c r="QO542" s="93"/>
      <c r="QP542" s="93"/>
      <c r="QQ542" s="93"/>
      <c r="QR542" s="93"/>
      <c r="QS542" s="93"/>
      <c r="QT542" s="93"/>
      <c r="QU542" s="93"/>
      <c r="QV542" s="93"/>
      <c r="QW542" s="93"/>
      <c r="QX542" s="93"/>
      <c r="QY542" s="93"/>
      <c r="QZ542" s="93"/>
      <c r="RA542" s="93"/>
      <c r="RB542" s="93"/>
      <c r="RC542" s="93"/>
      <c r="RD542" s="93"/>
      <c r="RE542" s="93"/>
      <c r="RF542" s="93"/>
      <c r="RG542" s="93"/>
      <c r="RH542" s="93"/>
      <c r="RI542" s="93"/>
      <c r="RJ542" s="93"/>
      <c r="RK542" s="93"/>
      <c r="RL542" s="93"/>
      <c r="RM542" s="20"/>
      <c r="RN542" s="29"/>
      <c r="RO542" s="19"/>
      <c r="RP542" s="20"/>
      <c r="RQ542" s="29"/>
      <c r="RR542" s="20"/>
      <c r="RS542" s="29"/>
      <c r="RT542" s="1504">
        <v>50952</v>
      </c>
      <c r="RU542" s="19"/>
      <c r="RV542" s="20"/>
      <c r="RW542" s="29"/>
      <c r="RX542" s="1504">
        <v>50952</v>
      </c>
      <c r="RY542" s="29"/>
      <c r="RZ542" s="20"/>
      <c r="SA542" s="29"/>
      <c r="SB542" s="29"/>
    </row>
    <row r="543" spans="1:496">
      <c r="A543" s="41">
        <f t="shared" si="360"/>
        <v>2039</v>
      </c>
      <c r="B543" s="1504">
        <v>50983</v>
      </c>
      <c r="C543" s="1813"/>
      <c r="D543" s="1814"/>
      <c r="E543" s="1814"/>
      <c r="F543" s="1815"/>
      <c r="G543" s="1814"/>
      <c r="H543" s="1814"/>
      <c r="I543" s="1814"/>
      <c r="J543" s="1816"/>
      <c r="K543" s="1807"/>
      <c r="L543" s="25"/>
      <c r="M543" s="97"/>
      <c r="N543" s="1504">
        <v>50983</v>
      </c>
      <c r="O543" s="19"/>
      <c r="P543" s="93"/>
      <c r="Q543" s="93"/>
      <c r="R543" s="93"/>
      <c r="S543" s="93"/>
      <c r="T543" s="93"/>
      <c r="U543" s="93"/>
      <c r="V543" s="93"/>
      <c r="W543" s="93"/>
      <c r="X543" s="93"/>
      <c r="Y543" s="93"/>
      <c r="Z543" s="93"/>
      <c r="AA543" s="93"/>
      <c r="AB543" s="20"/>
      <c r="AC543" s="25"/>
      <c r="AD543" s="97"/>
      <c r="AE543" s="1504">
        <v>50983</v>
      </c>
      <c r="AF543" s="19"/>
      <c r="AG543" s="93"/>
      <c r="AH543" s="93"/>
      <c r="AI543" s="93"/>
      <c r="AJ543" s="93"/>
      <c r="AK543" s="93"/>
      <c r="AL543" s="93"/>
      <c r="AM543" s="93"/>
      <c r="AN543" s="93"/>
      <c r="AO543" s="93"/>
      <c r="AP543" s="93"/>
      <c r="AQ543" s="93"/>
      <c r="AR543" s="93"/>
      <c r="AS543" s="20"/>
      <c r="AT543" s="25"/>
      <c r="AU543" s="97"/>
      <c r="AV543" s="1504">
        <v>50983</v>
      </c>
      <c r="AW543" s="19"/>
      <c r="AX543" s="93"/>
      <c r="AY543" s="93"/>
      <c r="AZ543" s="93"/>
      <c r="BA543" s="93"/>
      <c r="BB543" s="93"/>
      <c r="BC543" s="93"/>
      <c r="BD543" s="93"/>
      <c r="BE543" s="93"/>
      <c r="BF543" s="93"/>
      <c r="BG543" s="93"/>
      <c r="BH543" s="93"/>
      <c r="BI543" s="93"/>
      <c r="BJ543" s="20"/>
      <c r="BK543" s="25"/>
      <c r="BL543" s="97"/>
      <c r="BM543" s="1504">
        <v>50983</v>
      </c>
      <c r="BN543" s="19"/>
      <c r="BO543" s="93"/>
      <c r="BP543" s="93"/>
      <c r="BQ543" s="93"/>
      <c r="BR543" s="93"/>
      <c r="BS543" s="93"/>
      <c r="BT543" s="93"/>
      <c r="BU543" s="20"/>
      <c r="BV543" s="25"/>
      <c r="BW543" s="97"/>
      <c r="BX543" s="1504">
        <v>50983</v>
      </c>
      <c r="BY543" s="19"/>
      <c r="BZ543" s="93"/>
      <c r="CA543" s="93"/>
      <c r="CB543" s="93"/>
      <c r="CC543" s="93"/>
      <c r="CD543" s="25"/>
      <c r="CE543" s="97"/>
      <c r="CF543" s="1504">
        <v>50983</v>
      </c>
      <c r="CG543" s="19"/>
      <c r="CH543" s="93"/>
      <c r="CI543" s="219"/>
      <c r="CJ543" s="20"/>
      <c r="CK543" s="19"/>
      <c r="CL543" s="93"/>
      <c r="CM543" s="93"/>
      <c r="CN543" s="93"/>
      <c r="CO543" s="93"/>
      <c r="CP543" s="20"/>
      <c r="CQ543" s="219"/>
      <c r="CR543" s="93"/>
      <c r="CS543" s="93"/>
      <c r="CT543" s="93"/>
      <c r="CU543" s="93"/>
      <c r="CV543" s="214"/>
      <c r="CW543" s="29"/>
      <c r="CX543" s="41">
        <f t="shared" si="361"/>
        <v>2039</v>
      </c>
      <c r="CY543" s="1504">
        <v>50983</v>
      </c>
      <c r="CZ543" s="19"/>
      <c r="DA543" s="93"/>
      <c r="DB543" s="93"/>
      <c r="DC543" s="93"/>
      <c r="DD543" s="93"/>
      <c r="DE543" s="20"/>
      <c r="DF543" s="29"/>
      <c r="DG543" s="1504">
        <v>50983</v>
      </c>
      <c r="DH543" s="19"/>
      <c r="DI543" s="93"/>
      <c r="DJ543" s="93"/>
      <c r="DK543" s="93"/>
      <c r="DL543" s="93"/>
      <c r="DM543" s="93"/>
      <c r="DN543" s="20"/>
      <c r="DO543" s="295"/>
      <c r="DP543" s="29"/>
      <c r="DQ543" s="1504">
        <v>50983</v>
      </c>
      <c r="DR543" s="19"/>
      <c r="DS543" s="93"/>
      <c r="DT543" s="93"/>
      <c r="DU543" s="93"/>
      <c r="DV543" s="93"/>
      <c r="DW543" s="93"/>
      <c r="DX543" s="20"/>
      <c r="DY543" s="29"/>
      <c r="DZ543" s="1504">
        <v>50983</v>
      </c>
      <c r="EA543" s="19"/>
      <c r="EB543" s="93"/>
      <c r="EC543" s="20"/>
      <c r="ED543" s="29"/>
      <c r="EE543" s="1504">
        <v>50983</v>
      </c>
      <c r="EF543" s="19"/>
      <c r="EG543" s="93"/>
      <c r="EH543" s="93"/>
      <c r="EI543" s="214"/>
      <c r="EJ543" s="93"/>
      <c r="EK543" s="93"/>
      <c r="EL543" s="93"/>
      <c r="EM543" s="93"/>
      <c r="EN543" s="20"/>
      <c r="EO543" s="29"/>
      <c r="EP543" s="1504">
        <v>50983</v>
      </c>
      <c r="EQ543" s="19"/>
      <c r="ER543" s="93"/>
      <c r="ES543" s="93"/>
      <c r="ET543" s="214"/>
      <c r="EU543" s="93"/>
      <c r="EV543" s="93"/>
      <c r="EW543" s="93"/>
      <c r="EX543" s="93"/>
      <c r="EY543" s="20"/>
      <c r="EZ543" s="29"/>
      <c r="FA543" s="1504">
        <v>50983</v>
      </c>
      <c r="FB543" s="29"/>
      <c r="FC543" s="29"/>
      <c r="FD543" s="29"/>
      <c r="FE543" s="29"/>
      <c r="FF543" s="29"/>
      <c r="FG543" s="29"/>
      <c r="FH543" s="29"/>
      <c r="FI543" s="29"/>
      <c r="FJ543" s="29"/>
      <c r="FK543" s="29"/>
      <c r="FL543" s="1504">
        <v>50983</v>
      </c>
      <c r="FM543" s="19"/>
      <c r="FN543" s="93"/>
      <c r="FO543" s="93"/>
      <c r="FP543" s="93"/>
      <c r="FQ543" s="93"/>
      <c r="FR543" s="93"/>
      <c r="FS543" s="93"/>
      <c r="FT543" s="93"/>
      <c r="FU543" s="93"/>
      <c r="FV543" s="93"/>
      <c r="FW543" s="93"/>
      <c r="FX543" s="93"/>
      <c r="FY543" s="93"/>
      <c r="FZ543" s="29"/>
      <c r="GA543" s="1504">
        <v>50983</v>
      </c>
      <c r="GB543" s="19"/>
      <c r="GC543" s="93"/>
      <c r="GD543" s="93"/>
      <c r="GE543" s="93"/>
      <c r="GF543" s="93"/>
      <c r="GG543" s="93"/>
      <c r="GH543" s="93"/>
      <c r="GI543" s="93"/>
      <c r="GJ543" s="93"/>
      <c r="GK543" s="93"/>
      <c r="GL543" s="93"/>
      <c r="GM543" s="93"/>
      <c r="GN543" s="20"/>
      <c r="GO543" s="29"/>
      <c r="GP543" s="1504">
        <v>50983</v>
      </c>
      <c r="GQ543" s="19"/>
      <c r="GR543" s="93"/>
      <c r="GS543" s="93"/>
      <c r="GT543" s="93"/>
      <c r="GU543" s="93"/>
      <c r="GV543" s="20"/>
      <c r="GW543" s="19"/>
      <c r="GX543" s="93"/>
      <c r="GY543" s="93"/>
      <c r="GZ543" s="93"/>
      <c r="HA543" s="93"/>
      <c r="HB543" s="20"/>
      <c r="HC543" s="19"/>
      <c r="HD543" s="93"/>
      <c r="HE543" s="93"/>
      <c r="HF543" s="93"/>
      <c r="HG543" s="93"/>
      <c r="HH543" s="20"/>
      <c r="HI543" s="19"/>
      <c r="HJ543" s="93"/>
      <c r="HK543" s="93"/>
      <c r="HL543" s="93"/>
      <c r="HM543" s="93"/>
      <c r="HN543" s="20"/>
      <c r="HO543" s="219"/>
      <c r="HP543" s="20"/>
      <c r="HQ543" s="25"/>
      <c r="HR543" s="29"/>
      <c r="HS543" s="1504">
        <v>50983</v>
      </c>
      <c r="HT543" s="19"/>
      <c r="HU543" s="93"/>
      <c r="HV543" s="93"/>
      <c r="HW543" s="93"/>
      <c r="HX543" s="93"/>
      <c r="HY543" s="93"/>
      <c r="HZ543" s="93"/>
      <c r="IA543" s="20"/>
      <c r="IB543" s="19"/>
      <c r="IC543" s="93"/>
      <c r="ID543" s="93"/>
      <c r="IE543" s="93"/>
      <c r="IF543" s="93"/>
      <c r="IG543" s="20"/>
      <c r="IH543" s="19"/>
      <c r="II543" s="93"/>
      <c r="IJ543" s="93"/>
      <c r="IK543" s="93"/>
      <c r="IL543" s="93"/>
      <c r="IM543" s="93"/>
      <c r="IN543" s="93"/>
      <c r="IO543" s="20"/>
      <c r="IP543" s="29"/>
      <c r="IQ543" s="19"/>
      <c r="IR543" s="93"/>
      <c r="IS543" s="93"/>
      <c r="IT543" s="93"/>
      <c r="IU543" s="93"/>
      <c r="IV543" s="20"/>
      <c r="IW543" s="29"/>
      <c r="IX543" s="19"/>
      <c r="IY543" s="93"/>
      <c r="IZ543" s="93"/>
      <c r="JA543" s="93"/>
      <c r="JB543" s="93"/>
      <c r="JC543" s="93"/>
      <c r="JD543" s="93"/>
      <c r="JE543" s="20"/>
      <c r="JF543" s="29"/>
      <c r="JG543" s="19"/>
      <c r="JH543" s="93"/>
      <c r="JI543" s="93"/>
      <c r="JJ543" s="93"/>
      <c r="JK543" s="93"/>
      <c r="JL543" s="93"/>
      <c r="JM543" s="93"/>
      <c r="JN543" s="20"/>
      <c r="JO543" s="29"/>
      <c r="JP543" s="19"/>
      <c r="JQ543" s="93"/>
      <c r="JR543" s="93"/>
      <c r="JS543" s="93"/>
      <c r="JT543" s="93"/>
      <c r="JU543" s="20"/>
      <c r="JV543" s="29"/>
      <c r="JW543" s="1504">
        <v>50983</v>
      </c>
      <c r="JX543" s="19"/>
      <c r="JY543" s="93"/>
      <c r="JZ543" s="93"/>
      <c r="KA543" s="93"/>
      <c r="KB543" s="93"/>
      <c r="KC543" s="93"/>
      <c r="KD543" s="20"/>
      <c r="KE543" s="29"/>
      <c r="KF543" s="19"/>
      <c r="KG543" s="93"/>
      <c r="KH543" s="93"/>
      <c r="KI543" s="93"/>
      <c r="KJ543" s="93"/>
      <c r="KK543" s="20"/>
      <c r="KL543" s="29"/>
      <c r="KM543" s="19"/>
      <c r="KN543" s="93"/>
      <c r="KO543" s="93"/>
      <c r="KP543" s="93"/>
      <c r="KQ543" s="93"/>
      <c r="KR543" s="20"/>
      <c r="KS543" s="29"/>
      <c r="KT543" s="19"/>
      <c r="KU543" s="93"/>
      <c r="KV543" s="93"/>
      <c r="KW543" s="93"/>
      <c r="KX543" s="93"/>
      <c r="KY543" s="20"/>
      <c r="KZ543" s="29"/>
      <c r="LA543" s="1504">
        <v>50983</v>
      </c>
      <c r="LB543" s="19"/>
      <c r="LC543" s="93"/>
      <c r="LD543" s="93"/>
      <c r="LE543" s="93"/>
      <c r="LF543" s="93"/>
      <c r="LG543" s="93"/>
      <c r="LH543" s="20"/>
      <c r="LI543" s="29"/>
      <c r="LJ543" s="19"/>
      <c r="LK543" s="93"/>
      <c r="LL543" s="93"/>
      <c r="LM543" s="93"/>
      <c r="LN543" s="93"/>
      <c r="LO543" s="20"/>
      <c r="LP543" s="29"/>
      <c r="LQ543" s="19"/>
      <c r="LR543" s="93"/>
      <c r="LS543" s="93"/>
      <c r="LT543" s="93"/>
      <c r="LU543" s="93"/>
      <c r="LV543" s="93"/>
      <c r="LW543" s="93"/>
      <c r="LX543" s="93"/>
      <c r="LY543" s="93"/>
      <c r="LZ543" s="93"/>
      <c r="MA543" s="20"/>
      <c r="MB543" s="29"/>
      <c r="MC543" s="1504">
        <v>50983</v>
      </c>
      <c r="MD543" s="19"/>
      <c r="ME543" s="93"/>
      <c r="MF543" s="93"/>
      <c r="MG543" s="93"/>
      <c r="MH543" s="93"/>
      <c r="MI543" s="93"/>
      <c r="MJ543" s="93"/>
      <c r="MK543" s="93"/>
      <c r="ML543" s="93"/>
      <c r="MM543" s="93"/>
      <c r="MN543" s="93"/>
      <c r="MO543" s="93"/>
      <c r="MP543" s="93"/>
      <c r="MQ543" s="93"/>
      <c r="MR543" s="93"/>
      <c r="MS543" s="93"/>
      <c r="MT543" s="93"/>
      <c r="MU543" s="93"/>
      <c r="MV543" s="93"/>
      <c r="MW543" s="93"/>
      <c r="MX543" s="93"/>
      <c r="MY543" s="93"/>
      <c r="MZ543" s="93"/>
      <c r="NA543" s="93"/>
      <c r="NB543" s="93"/>
      <c r="NC543" s="93"/>
      <c r="ND543" s="93"/>
      <c r="NE543" s="93"/>
      <c r="NF543" s="93"/>
      <c r="NG543" s="93"/>
      <c r="NH543" s="93"/>
      <c r="NI543" s="93"/>
      <c r="NJ543" s="93"/>
      <c r="NK543" s="93"/>
      <c r="NL543" s="93"/>
      <c r="NM543" s="93"/>
      <c r="NN543" s="93"/>
      <c r="NO543" s="93"/>
      <c r="NP543" s="93"/>
      <c r="NQ543" s="93"/>
      <c r="NR543" s="93"/>
      <c r="NS543" s="93"/>
      <c r="NT543" s="93"/>
      <c r="NU543" s="93"/>
      <c r="NV543" s="93"/>
      <c r="NW543" s="93"/>
      <c r="NX543" s="93"/>
      <c r="NY543" s="93"/>
      <c r="NZ543" s="93"/>
      <c r="OA543" s="93"/>
      <c r="OB543" s="93"/>
      <c r="OC543" s="93"/>
      <c r="OD543" s="20"/>
      <c r="OE543" s="29"/>
      <c r="OF543" s="1504">
        <v>50983</v>
      </c>
      <c r="OG543" s="19"/>
      <c r="OH543" s="93"/>
      <c r="OI543" s="93"/>
      <c r="OJ543" s="93"/>
      <c r="OK543" s="93"/>
      <c r="OL543" s="93"/>
      <c r="OM543" s="93"/>
      <c r="ON543" s="93"/>
      <c r="OO543" s="93"/>
      <c r="OP543" s="93"/>
      <c r="OQ543" s="93"/>
      <c r="OR543" s="93"/>
      <c r="OS543" s="93"/>
      <c r="OT543" s="93"/>
      <c r="OU543" s="93"/>
      <c r="OV543" s="93"/>
      <c r="OW543" s="93"/>
      <c r="OX543" s="93"/>
      <c r="OY543" s="93"/>
      <c r="OZ543" s="93"/>
      <c r="PA543" s="93"/>
      <c r="PB543" s="93"/>
      <c r="PC543" s="20"/>
      <c r="PD543" s="29"/>
      <c r="PE543" s="19"/>
      <c r="PF543" s="93"/>
      <c r="PG543" s="93"/>
      <c r="PH543" s="93"/>
      <c r="PI543" s="93"/>
      <c r="PJ543" s="93"/>
      <c r="PK543" s="93"/>
      <c r="PL543" s="93"/>
      <c r="PM543" s="93"/>
      <c r="PN543" s="93"/>
      <c r="PO543" s="93"/>
      <c r="PP543" s="93"/>
      <c r="PQ543" s="93"/>
      <c r="PR543" s="93"/>
      <c r="PS543" s="93"/>
      <c r="PT543" s="93"/>
      <c r="PU543" s="93"/>
      <c r="PV543" s="93"/>
      <c r="PW543" s="93"/>
      <c r="PX543" s="93"/>
      <c r="PY543" s="93"/>
      <c r="PZ543" s="93"/>
      <c r="QA543" s="93"/>
      <c r="QB543" s="93"/>
      <c r="QC543" s="93"/>
      <c r="QD543" s="93"/>
      <c r="QE543" s="20"/>
      <c r="QF543" s="1739"/>
      <c r="QG543" s="19"/>
      <c r="QH543" s="93"/>
      <c r="QI543" s="93"/>
      <c r="QJ543" s="93"/>
      <c r="QK543" s="93"/>
      <c r="QL543" s="93"/>
      <c r="QM543" s="93"/>
      <c r="QN543" s="93"/>
      <c r="QO543" s="93"/>
      <c r="QP543" s="93"/>
      <c r="QQ543" s="93"/>
      <c r="QR543" s="93"/>
      <c r="QS543" s="93"/>
      <c r="QT543" s="93"/>
      <c r="QU543" s="93"/>
      <c r="QV543" s="93"/>
      <c r="QW543" s="93"/>
      <c r="QX543" s="93"/>
      <c r="QY543" s="93"/>
      <c r="QZ543" s="93"/>
      <c r="RA543" s="93"/>
      <c r="RB543" s="93"/>
      <c r="RC543" s="93"/>
      <c r="RD543" s="93"/>
      <c r="RE543" s="93"/>
      <c r="RF543" s="93"/>
      <c r="RG543" s="93"/>
      <c r="RH543" s="93"/>
      <c r="RI543" s="93"/>
      <c r="RJ543" s="93"/>
      <c r="RK543" s="93"/>
      <c r="RL543" s="93"/>
      <c r="RM543" s="20"/>
      <c r="RN543" s="29"/>
      <c r="RO543" s="19"/>
      <c r="RP543" s="20"/>
      <c r="RQ543" s="29"/>
      <c r="RR543" s="20"/>
      <c r="RS543" s="29"/>
      <c r="RT543" s="1504">
        <v>50983</v>
      </c>
      <c r="RU543" s="19"/>
      <c r="RV543" s="20"/>
      <c r="RW543" s="29"/>
      <c r="RX543" s="1504">
        <v>50983</v>
      </c>
      <c r="RY543" s="29"/>
      <c r="RZ543" s="20"/>
      <c r="SA543" s="29"/>
      <c r="SB543" s="29"/>
    </row>
    <row r="544" spans="1:496">
      <c r="A544" s="41">
        <f t="shared" ref="A544:A607" si="362">YEAR(B544)</f>
        <v>2039</v>
      </c>
      <c r="B544" s="1504">
        <v>51014</v>
      </c>
      <c r="C544" s="1813"/>
      <c r="D544" s="1814"/>
      <c r="E544" s="1814"/>
      <c r="F544" s="1815"/>
      <c r="G544" s="1814"/>
      <c r="H544" s="1814"/>
      <c r="I544" s="1814"/>
      <c r="J544" s="1816"/>
      <c r="K544" s="1807"/>
      <c r="L544" s="25"/>
      <c r="M544" s="97"/>
      <c r="N544" s="1504">
        <v>51014</v>
      </c>
      <c r="O544" s="19"/>
      <c r="P544" s="93"/>
      <c r="Q544" s="93"/>
      <c r="R544" s="93"/>
      <c r="S544" s="93"/>
      <c r="T544" s="93"/>
      <c r="U544" s="93"/>
      <c r="V544" s="93"/>
      <c r="W544" s="93"/>
      <c r="X544" s="93"/>
      <c r="Y544" s="93"/>
      <c r="Z544" s="93"/>
      <c r="AA544" s="93"/>
      <c r="AB544" s="20"/>
      <c r="AC544" s="25"/>
      <c r="AD544" s="97"/>
      <c r="AE544" s="1504">
        <v>51014</v>
      </c>
      <c r="AF544" s="19"/>
      <c r="AG544" s="93"/>
      <c r="AH544" s="93"/>
      <c r="AI544" s="93"/>
      <c r="AJ544" s="93"/>
      <c r="AK544" s="93"/>
      <c r="AL544" s="93"/>
      <c r="AM544" s="93"/>
      <c r="AN544" s="93"/>
      <c r="AO544" s="93"/>
      <c r="AP544" s="93"/>
      <c r="AQ544" s="93"/>
      <c r="AR544" s="93"/>
      <c r="AS544" s="20"/>
      <c r="AT544" s="25"/>
      <c r="AU544" s="97"/>
      <c r="AV544" s="1504">
        <v>51014</v>
      </c>
      <c r="AW544" s="19"/>
      <c r="AX544" s="93"/>
      <c r="AY544" s="93"/>
      <c r="AZ544" s="93"/>
      <c r="BA544" s="93"/>
      <c r="BB544" s="93"/>
      <c r="BC544" s="93"/>
      <c r="BD544" s="93"/>
      <c r="BE544" s="93"/>
      <c r="BF544" s="93"/>
      <c r="BG544" s="93"/>
      <c r="BH544" s="93"/>
      <c r="BI544" s="93"/>
      <c r="BJ544" s="20"/>
      <c r="BK544" s="25"/>
      <c r="BL544" s="97"/>
      <c r="BM544" s="1504">
        <v>51014</v>
      </c>
      <c r="BN544" s="19"/>
      <c r="BO544" s="93"/>
      <c r="BP544" s="93"/>
      <c r="BQ544" s="93"/>
      <c r="BR544" s="93"/>
      <c r="BS544" s="93"/>
      <c r="BT544" s="93"/>
      <c r="BU544" s="20"/>
      <c r="BV544" s="25"/>
      <c r="BW544" s="97"/>
      <c r="BX544" s="1504">
        <v>51014</v>
      </c>
      <c r="BY544" s="19"/>
      <c r="BZ544" s="93"/>
      <c r="CA544" s="93"/>
      <c r="CB544" s="93"/>
      <c r="CC544" s="93"/>
      <c r="CD544" s="25"/>
      <c r="CE544" s="97"/>
      <c r="CF544" s="1504">
        <v>51014</v>
      </c>
      <c r="CG544" s="19"/>
      <c r="CH544" s="93"/>
      <c r="CI544" s="219"/>
      <c r="CJ544" s="20"/>
      <c r="CK544" s="19"/>
      <c r="CL544" s="93"/>
      <c r="CM544" s="93"/>
      <c r="CN544" s="93"/>
      <c r="CO544" s="93"/>
      <c r="CP544" s="20"/>
      <c r="CQ544" s="219"/>
      <c r="CR544" s="93"/>
      <c r="CS544" s="93"/>
      <c r="CT544" s="93"/>
      <c r="CU544" s="93"/>
      <c r="CV544" s="214"/>
      <c r="CW544" s="29"/>
      <c r="CX544" s="41">
        <f t="shared" si="361"/>
        <v>2039</v>
      </c>
      <c r="CY544" s="1504">
        <v>51014</v>
      </c>
      <c r="CZ544" s="19"/>
      <c r="DA544" s="93"/>
      <c r="DB544" s="93"/>
      <c r="DC544" s="93"/>
      <c r="DD544" s="93"/>
      <c r="DE544" s="20"/>
      <c r="DF544" s="29"/>
      <c r="DG544" s="1504">
        <v>51014</v>
      </c>
      <c r="DH544" s="19"/>
      <c r="DI544" s="93"/>
      <c r="DJ544" s="93"/>
      <c r="DK544" s="93"/>
      <c r="DL544" s="93"/>
      <c r="DM544" s="93"/>
      <c r="DN544" s="20"/>
      <c r="DO544" s="295"/>
      <c r="DP544" s="29"/>
      <c r="DQ544" s="1504">
        <v>51014</v>
      </c>
      <c r="DR544" s="19"/>
      <c r="DS544" s="93"/>
      <c r="DT544" s="93"/>
      <c r="DU544" s="93"/>
      <c r="DV544" s="93"/>
      <c r="DW544" s="93"/>
      <c r="DX544" s="20"/>
      <c r="DY544" s="29"/>
      <c r="DZ544" s="1504">
        <v>51014</v>
      </c>
      <c r="EA544" s="19"/>
      <c r="EB544" s="93"/>
      <c r="EC544" s="20"/>
      <c r="ED544" s="29"/>
      <c r="EE544" s="1504">
        <v>51014</v>
      </c>
      <c r="EF544" s="19"/>
      <c r="EG544" s="93"/>
      <c r="EH544" s="93"/>
      <c r="EI544" s="214"/>
      <c r="EJ544" s="93"/>
      <c r="EK544" s="93"/>
      <c r="EL544" s="93"/>
      <c r="EM544" s="93"/>
      <c r="EN544" s="20"/>
      <c r="EO544" s="29"/>
      <c r="EP544" s="1504">
        <v>51014</v>
      </c>
      <c r="EQ544" s="19"/>
      <c r="ER544" s="93"/>
      <c r="ES544" s="93"/>
      <c r="ET544" s="214"/>
      <c r="EU544" s="93"/>
      <c r="EV544" s="93"/>
      <c r="EW544" s="93"/>
      <c r="EX544" s="93"/>
      <c r="EY544" s="20"/>
      <c r="EZ544" s="29"/>
      <c r="FA544" s="1504">
        <v>51014</v>
      </c>
      <c r="FB544" s="29"/>
      <c r="FC544" s="29"/>
      <c r="FD544" s="29"/>
      <c r="FE544" s="29"/>
      <c r="FF544" s="29"/>
      <c r="FG544" s="29"/>
      <c r="FH544" s="29"/>
      <c r="FI544" s="29"/>
      <c r="FJ544" s="29"/>
      <c r="FK544" s="29"/>
      <c r="FL544" s="1504">
        <v>51014</v>
      </c>
      <c r="FM544" s="19"/>
      <c r="FN544" s="93"/>
      <c r="FO544" s="93"/>
      <c r="FP544" s="93"/>
      <c r="FQ544" s="93"/>
      <c r="FR544" s="93"/>
      <c r="FS544" s="93"/>
      <c r="FT544" s="93"/>
      <c r="FU544" s="93"/>
      <c r="FV544" s="93"/>
      <c r="FW544" s="93"/>
      <c r="FX544" s="93"/>
      <c r="FY544" s="93"/>
      <c r="FZ544" s="29"/>
      <c r="GA544" s="1504">
        <v>51014</v>
      </c>
      <c r="GB544" s="19"/>
      <c r="GC544" s="93"/>
      <c r="GD544" s="93"/>
      <c r="GE544" s="93"/>
      <c r="GF544" s="93"/>
      <c r="GG544" s="93"/>
      <c r="GH544" s="93"/>
      <c r="GI544" s="93"/>
      <c r="GJ544" s="93"/>
      <c r="GK544" s="93"/>
      <c r="GL544" s="93"/>
      <c r="GM544" s="93"/>
      <c r="GN544" s="20"/>
      <c r="GO544" s="29"/>
      <c r="GP544" s="1504">
        <v>51014</v>
      </c>
      <c r="GQ544" s="19"/>
      <c r="GR544" s="93"/>
      <c r="GS544" s="93"/>
      <c r="GT544" s="93"/>
      <c r="GU544" s="93"/>
      <c r="GV544" s="20"/>
      <c r="GW544" s="19"/>
      <c r="GX544" s="93"/>
      <c r="GY544" s="93"/>
      <c r="GZ544" s="93"/>
      <c r="HA544" s="93"/>
      <c r="HB544" s="20"/>
      <c r="HC544" s="19"/>
      <c r="HD544" s="93"/>
      <c r="HE544" s="93"/>
      <c r="HF544" s="93"/>
      <c r="HG544" s="93"/>
      <c r="HH544" s="20"/>
      <c r="HI544" s="19"/>
      <c r="HJ544" s="93"/>
      <c r="HK544" s="93"/>
      <c r="HL544" s="93"/>
      <c r="HM544" s="93"/>
      <c r="HN544" s="20"/>
      <c r="HO544" s="219"/>
      <c r="HP544" s="20"/>
      <c r="HQ544" s="25"/>
      <c r="HR544" s="29"/>
      <c r="HS544" s="1504">
        <v>51014</v>
      </c>
      <c r="HT544" s="19"/>
      <c r="HU544" s="93"/>
      <c r="HV544" s="93"/>
      <c r="HW544" s="93"/>
      <c r="HX544" s="93"/>
      <c r="HY544" s="93"/>
      <c r="HZ544" s="93"/>
      <c r="IA544" s="20"/>
      <c r="IB544" s="19"/>
      <c r="IC544" s="93"/>
      <c r="ID544" s="93"/>
      <c r="IE544" s="93"/>
      <c r="IF544" s="93"/>
      <c r="IG544" s="20"/>
      <c r="IH544" s="19"/>
      <c r="II544" s="93"/>
      <c r="IJ544" s="93"/>
      <c r="IK544" s="93"/>
      <c r="IL544" s="93"/>
      <c r="IM544" s="93"/>
      <c r="IN544" s="93"/>
      <c r="IO544" s="20"/>
      <c r="IP544" s="29"/>
      <c r="IQ544" s="19"/>
      <c r="IR544" s="93"/>
      <c r="IS544" s="93"/>
      <c r="IT544" s="93"/>
      <c r="IU544" s="93"/>
      <c r="IV544" s="20"/>
      <c r="IW544" s="29"/>
      <c r="IX544" s="19"/>
      <c r="IY544" s="93"/>
      <c r="IZ544" s="93"/>
      <c r="JA544" s="93"/>
      <c r="JB544" s="93"/>
      <c r="JC544" s="93"/>
      <c r="JD544" s="93"/>
      <c r="JE544" s="20"/>
      <c r="JF544" s="29"/>
      <c r="JG544" s="19"/>
      <c r="JH544" s="93"/>
      <c r="JI544" s="93"/>
      <c r="JJ544" s="93"/>
      <c r="JK544" s="93"/>
      <c r="JL544" s="93"/>
      <c r="JM544" s="93"/>
      <c r="JN544" s="20"/>
      <c r="JO544" s="29"/>
      <c r="JP544" s="19"/>
      <c r="JQ544" s="93"/>
      <c r="JR544" s="93"/>
      <c r="JS544" s="93"/>
      <c r="JT544" s="93"/>
      <c r="JU544" s="20"/>
      <c r="JV544" s="29"/>
      <c r="JW544" s="1504">
        <v>51014</v>
      </c>
      <c r="JX544" s="19"/>
      <c r="JY544" s="93"/>
      <c r="JZ544" s="93"/>
      <c r="KA544" s="93"/>
      <c r="KB544" s="93"/>
      <c r="KC544" s="93"/>
      <c r="KD544" s="20"/>
      <c r="KE544" s="29"/>
      <c r="KF544" s="19"/>
      <c r="KG544" s="93"/>
      <c r="KH544" s="93"/>
      <c r="KI544" s="93"/>
      <c r="KJ544" s="93"/>
      <c r="KK544" s="20"/>
      <c r="KL544" s="29"/>
      <c r="KM544" s="19"/>
      <c r="KN544" s="93"/>
      <c r="KO544" s="93"/>
      <c r="KP544" s="93"/>
      <c r="KQ544" s="93"/>
      <c r="KR544" s="20"/>
      <c r="KS544" s="29"/>
      <c r="KT544" s="19"/>
      <c r="KU544" s="93"/>
      <c r="KV544" s="93"/>
      <c r="KW544" s="93"/>
      <c r="KX544" s="93"/>
      <c r="KY544" s="20"/>
      <c r="KZ544" s="29"/>
      <c r="LA544" s="1504">
        <v>51014</v>
      </c>
      <c r="LB544" s="19"/>
      <c r="LC544" s="93"/>
      <c r="LD544" s="93"/>
      <c r="LE544" s="93"/>
      <c r="LF544" s="93"/>
      <c r="LG544" s="93"/>
      <c r="LH544" s="20"/>
      <c r="LI544" s="29"/>
      <c r="LJ544" s="19"/>
      <c r="LK544" s="93"/>
      <c r="LL544" s="93"/>
      <c r="LM544" s="93"/>
      <c r="LN544" s="93"/>
      <c r="LO544" s="20"/>
      <c r="LP544" s="29"/>
      <c r="LQ544" s="19"/>
      <c r="LR544" s="93"/>
      <c r="LS544" s="93"/>
      <c r="LT544" s="93"/>
      <c r="LU544" s="93"/>
      <c r="LV544" s="93"/>
      <c r="LW544" s="93"/>
      <c r="LX544" s="93"/>
      <c r="LY544" s="93"/>
      <c r="LZ544" s="93"/>
      <c r="MA544" s="20"/>
      <c r="MB544" s="29"/>
      <c r="MC544" s="1504">
        <v>51014</v>
      </c>
      <c r="MD544" s="19"/>
      <c r="ME544" s="93"/>
      <c r="MF544" s="93"/>
      <c r="MG544" s="93"/>
      <c r="MH544" s="93"/>
      <c r="MI544" s="93"/>
      <c r="MJ544" s="93"/>
      <c r="MK544" s="93"/>
      <c r="ML544" s="93"/>
      <c r="MM544" s="93"/>
      <c r="MN544" s="93"/>
      <c r="MO544" s="93"/>
      <c r="MP544" s="93"/>
      <c r="MQ544" s="93"/>
      <c r="MR544" s="93"/>
      <c r="MS544" s="93"/>
      <c r="MT544" s="93"/>
      <c r="MU544" s="93"/>
      <c r="MV544" s="93"/>
      <c r="MW544" s="93"/>
      <c r="MX544" s="93"/>
      <c r="MY544" s="93"/>
      <c r="MZ544" s="93"/>
      <c r="NA544" s="93"/>
      <c r="NB544" s="93"/>
      <c r="NC544" s="93"/>
      <c r="ND544" s="93"/>
      <c r="NE544" s="93"/>
      <c r="NF544" s="93"/>
      <c r="NG544" s="93"/>
      <c r="NH544" s="93"/>
      <c r="NI544" s="93"/>
      <c r="NJ544" s="93"/>
      <c r="NK544" s="93"/>
      <c r="NL544" s="93"/>
      <c r="NM544" s="93"/>
      <c r="NN544" s="93"/>
      <c r="NO544" s="93"/>
      <c r="NP544" s="93"/>
      <c r="NQ544" s="93"/>
      <c r="NR544" s="93"/>
      <c r="NS544" s="93"/>
      <c r="NT544" s="93"/>
      <c r="NU544" s="93"/>
      <c r="NV544" s="93"/>
      <c r="NW544" s="93"/>
      <c r="NX544" s="93"/>
      <c r="NY544" s="93"/>
      <c r="NZ544" s="93"/>
      <c r="OA544" s="93"/>
      <c r="OB544" s="93"/>
      <c r="OC544" s="93"/>
      <c r="OD544" s="20"/>
      <c r="OE544" s="29"/>
      <c r="OF544" s="1504">
        <v>51014</v>
      </c>
      <c r="OG544" s="19"/>
      <c r="OH544" s="93"/>
      <c r="OI544" s="93"/>
      <c r="OJ544" s="93"/>
      <c r="OK544" s="93"/>
      <c r="OL544" s="93"/>
      <c r="OM544" s="93"/>
      <c r="ON544" s="93"/>
      <c r="OO544" s="93"/>
      <c r="OP544" s="93"/>
      <c r="OQ544" s="93"/>
      <c r="OR544" s="93"/>
      <c r="OS544" s="93"/>
      <c r="OT544" s="93"/>
      <c r="OU544" s="93"/>
      <c r="OV544" s="93"/>
      <c r="OW544" s="93"/>
      <c r="OX544" s="93"/>
      <c r="OY544" s="93"/>
      <c r="OZ544" s="93"/>
      <c r="PA544" s="93"/>
      <c r="PB544" s="93"/>
      <c r="PC544" s="20"/>
      <c r="PD544" s="29"/>
      <c r="PE544" s="19"/>
      <c r="PF544" s="93"/>
      <c r="PG544" s="93"/>
      <c r="PH544" s="93"/>
      <c r="PI544" s="93"/>
      <c r="PJ544" s="93"/>
      <c r="PK544" s="93"/>
      <c r="PL544" s="93"/>
      <c r="PM544" s="93"/>
      <c r="PN544" s="93"/>
      <c r="PO544" s="93"/>
      <c r="PP544" s="93"/>
      <c r="PQ544" s="93"/>
      <c r="PR544" s="93"/>
      <c r="PS544" s="93"/>
      <c r="PT544" s="93"/>
      <c r="PU544" s="93"/>
      <c r="PV544" s="93"/>
      <c r="PW544" s="93"/>
      <c r="PX544" s="93"/>
      <c r="PY544" s="93"/>
      <c r="PZ544" s="93"/>
      <c r="QA544" s="93"/>
      <c r="QB544" s="93"/>
      <c r="QC544" s="93"/>
      <c r="QD544" s="93"/>
      <c r="QE544" s="20"/>
      <c r="QF544" s="1739"/>
      <c r="QG544" s="19"/>
      <c r="QH544" s="93"/>
      <c r="QI544" s="93"/>
      <c r="QJ544" s="93"/>
      <c r="QK544" s="93"/>
      <c r="QL544" s="93"/>
      <c r="QM544" s="93"/>
      <c r="QN544" s="93"/>
      <c r="QO544" s="93"/>
      <c r="QP544" s="93"/>
      <c r="QQ544" s="93"/>
      <c r="QR544" s="93"/>
      <c r="QS544" s="93"/>
      <c r="QT544" s="93"/>
      <c r="QU544" s="93"/>
      <c r="QV544" s="93"/>
      <c r="QW544" s="93"/>
      <c r="QX544" s="93"/>
      <c r="QY544" s="93"/>
      <c r="QZ544" s="93"/>
      <c r="RA544" s="93"/>
      <c r="RB544" s="93"/>
      <c r="RC544" s="93"/>
      <c r="RD544" s="93"/>
      <c r="RE544" s="93"/>
      <c r="RF544" s="93"/>
      <c r="RG544" s="93"/>
      <c r="RH544" s="93"/>
      <c r="RI544" s="93"/>
      <c r="RJ544" s="93"/>
      <c r="RK544" s="93"/>
      <c r="RL544" s="93"/>
      <c r="RM544" s="20"/>
      <c r="RN544" s="29"/>
      <c r="RO544" s="19"/>
      <c r="RP544" s="20"/>
      <c r="RQ544" s="29"/>
      <c r="RR544" s="20"/>
      <c r="RS544" s="29"/>
      <c r="RT544" s="1504">
        <v>51014</v>
      </c>
      <c r="RU544" s="19"/>
      <c r="RV544" s="20"/>
      <c r="RW544" s="29"/>
      <c r="RX544" s="1504">
        <v>51014</v>
      </c>
      <c r="RY544" s="29"/>
      <c r="RZ544" s="20"/>
      <c r="SA544" s="29"/>
      <c r="SB544" s="29"/>
    </row>
    <row r="545" spans="1:496">
      <c r="A545" s="41">
        <f t="shared" si="362"/>
        <v>2039</v>
      </c>
      <c r="B545" s="1504">
        <v>51044</v>
      </c>
      <c r="C545" s="1813"/>
      <c r="D545" s="1814"/>
      <c r="E545" s="1814"/>
      <c r="F545" s="1815"/>
      <c r="G545" s="1814"/>
      <c r="H545" s="1814"/>
      <c r="I545" s="1814"/>
      <c r="J545" s="1816"/>
      <c r="K545" s="1807"/>
      <c r="L545" s="25"/>
      <c r="M545" s="97"/>
      <c r="N545" s="1504">
        <v>51044</v>
      </c>
      <c r="O545" s="19"/>
      <c r="P545" s="93"/>
      <c r="Q545" s="93"/>
      <c r="R545" s="93"/>
      <c r="S545" s="93"/>
      <c r="T545" s="93"/>
      <c r="U545" s="93"/>
      <c r="V545" s="93"/>
      <c r="W545" s="93"/>
      <c r="X545" s="93"/>
      <c r="Y545" s="93"/>
      <c r="Z545" s="93"/>
      <c r="AA545" s="93"/>
      <c r="AB545" s="20"/>
      <c r="AC545" s="25"/>
      <c r="AD545" s="97"/>
      <c r="AE545" s="1504">
        <v>51044</v>
      </c>
      <c r="AF545" s="19"/>
      <c r="AG545" s="93"/>
      <c r="AH545" s="93"/>
      <c r="AI545" s="93"/>
      <c r="AJ545" s="93"/>
      <c r="AK545" s="93"/>
      <c r="AL545" s="93"/>
      <c r="AM545" s="93"/>
      <c r="AN545" s="93"/>
      <c r="AO545" s="93"/>
      <c r="AP545" s="93"/>
      <c r="AQ545" s="93"/>
      <c r="AR545" s="93"/>
      <c r="AS545" s="20"/>
      <c r="AT545" s="25"/>
      <c r="AU545" s="97"/>
      <c r="AV545" s="1504">
        <v>51044</v>
      </c>
      <c r="AW545" s="19"/>
      <c r="AX545" s="93"/>
      <c r="AY545" s="93"/>
      <c r="AZ545" s="93"/>
      <c r="BA545" s="93"/>
      <c r="BB545" s="93"/>
      <c r="BC545" s="93"/>
      <c r="BD545" s="93"/>
      <c r="BE545" s="93"/>
      <c r="BF545" s="93"/>
      <c r="BG545" s="93"/>
      <c r="BH545" s="93"/>
      <c r="BI545" s="93"/>
      <c r="BJ545" s="20"/>
      <c r="BK545" s="25"/>
      <c r="BL545" s="97"/>
      <c r="BM545" s="1504">
        <v>51044</v>
      </c>
      <c r="BN545" s="19"/>
      <c r="BO545" s="93"/>
      <c r="BP545" s="93"/>
      <c r="BQ545" s="93"/>
      <c r="BR545" s="93"/>
      <c r="BS545" s="93"/>
      <c r="BT545" s="93"/>
      <c r="BU545" s="20"/>
      <c r="BV545" s="25"/>
      <c r="BW545" s="97"/>
      <c r="BX545" s="1504">
        <v>51044</v>
      </c>
      <c r="BY545" s="19"/>
      <c r="BZ545" s="93"/>
      <c r="CA545" s="93"/>
      <c r="CB545" s="93"/>
      <c r="CC545" s="93"/>
      <c r="CD545" s="25"/>
      <c r="CE545" s="97"/>
      <c r="CF545" s="1504">
        <v>51044</v>
      </c>
      <c r="CG545" s="19"/>
      <c r="CH545" s="93"/>
      <c r="CI545" s="219"/>
      <c r="CJ545" s="20"/>
      <c r="CK545" s="19"/>
      <c r="CL545" s="93"/>
      <c r="CM545" s="93"/>
      <c r="CN545" s="93"/>
      <c r="CO545" s="93"/>
      <c r="CP545" s="20"/>
      <c r="CQ545" s="219"/>
      <c r="CR545" s="93"/>
      <c r="CS545" s="93"/>
      <c r="CT545" s="93"/>
      <c r="CU545" s="93"/>
      <c r="CV545" s="214"/>
      <c r="CW545" s="29"/>
      <c r="CX545" s="41">
        <f t="shared" si="361"/>
        <v>2039</v>
      </c>
      <c r="CY545" s="1504">
        <v>51044</v>
      </c>
      <c r="CZ545" s="19"/>
      <c r="DA545" s="93"/>
      <c r="DB545" s="93"/>
      <c r="DC545" s="93"/>
      <c r="DD545" s="93"/>
      <c r="DE545" s="20"/>
      <c r="DF545" s="29"/>
      <c r="DG545" s="1504">
        <v>51044</v>
      </c>
      <c r="DH545" s="19"/>
      <c r="DI545" s="93"/>
      <c r="DJ545" s="93"/>
      <c r="DK545" s="93"/>
      <c r="DL545" s="93"/>
      <c r="DM545" s="93"/>
      <c r="DN545" s="20"/>
      <c r="DO545" s="295"/>
      <c r="DP545" s="29"/>
      <c r="DQ545" s="1504">
        <v>51044</v>
      </c>
      <c r="DR545" s="19"/>
      <c r="DS545" s="93"/>
      <c r="DT545" s="93"/>
      <c r="DU545" s="93"/>
      <c r="DV545" s="93"/>
      <c r="DW545" s="93"/>
      <c r="DX545" s="20"/>
      <c r="DY545" s="29"/>
      <c r="DZ545" s="1504">
        <v>51044</v>
      </c>
      <c r="EA545" s="19"/>
      <c r="EB545" s="93"/>
      <c r="EC545" s="20"/>
      <c r="ED545" s="29"/>
      <c r="EE545" s="1504">
        <v>51044</v>
      </c>
      <c r="EF545" s="19"/>
      <c r="EG545" s="93"/>
      <c r="EH545" s="93"/>
      <c r="EI545" s="214"/>
      <c r="EJ545" s="93"/>
      <c r="EK545" s="93"/>
      <c r="EL545" s="93"/>
      <c r="EM545" s="93"/>
      <c r="EN545" s="20"/>
      <c r="EO545" s="29"/>
      <c r="EP545" s="1504">
        <v>51044</v>
      </c>
      <c r="EQ545" s="19"/>
      <c r="ER545" s="93"/>
      <c r="ES545" s="93"/>
      <c r="ET545" s="214"/>
      <c r="EU545" s="93"/>
      <c r="EV545" s="93"/>
      <c r="EW545" s="93"/>
      <c r="EX545" s="93"/>
      <c r="EY545" s="20"/>
      <c r="EZ545" s="29"/>
      <c r="FA545" s="1504">
        <v>51044</v>
      </c>
      <c r="FB545" s="29"/>
      <c r="FC545" s="29"/>
      <c r="FD545" s="29"/>
      <c r="FE545" s="29"/>
      <c r="FF545" s="29"/>
      <c r="FG545" s="29"/>
      <c r="FH545" s="29"/>
      <c r="FI545" s="29"/>
      <c r="FJ545" s="29"/>
      <c r="FK545" s="29"/>
      <c r="FL545" s="1504">
        <v>51044</v>
      </c>
      <c r="FM545" s="19"/>
      <c r="FN545" s="93"/>
      <c r="FO545" s="93"/>
      <c r="FP545" s="93"/>
      <c r="FQ545" s="93"/>
      <c r="FR545" s="93"/>
      <c r="FS545" s="93"/>
      <c r="FT545" s="93"/>
      <c r="FU545" s="93"/>
      <c r="FV545" s="93"/>
      <c r="FW545" s="93"/>
      <c r="FX545" s="93"/>
      <c r="FY545" s="93"/>
      <c r="FZ545" s="29"/>
      <c r="GA545" s="1504">
        <v>51044</v>
      </c>
      <c r="GB545" s="19"/>
      <c r="GC545" s="93"/>
      <c r="GD545" s="93"/>
      <c r="GE545" s="93"/>
      <c r="GF545" s="93"/>
      <c r="GG545" s="93"/>
      <c r="GH545" s="93"/>
      <c r="GI545" s="93"/>
      <c r="GJ545" s="93"/>
      <c r="GK545" s="93"/>
      <c r="GL545" s="93"/>
      <c r="GM545" s="93"/>
      <c r="GN545" s="20"/>
      <c r="GO545" s="29"/>
      <c r="GP545" s="1504">
        <v>51044</v>
      </c>
      <c r="GQ545" s="19"/>
      <c r="GR545" s="93"/>
      <c r="GS545" s="93"/>
      <c r="GT545" s="93"/>
      <c r="GU545" s="93"/>
      <c r="GV545" s="20"/>
      <c r="GW545" s="19"/>
      <c r="GX545" s="93"/>
      <c r="GY545" s="93"/>
      <c r="GZ545" s="93"/>
      <c r="HA545" s="93"/>
      <c r="HB545" s="20"/>
      <c r="HC545" s="19"/>
      <c r="HD545" s="93"/>
      <c r="HE545" s="93"/>
      <c r="HF545" s="93"/>
      <c r="HG545" s="93"/>
      <c r="HH545" s="20"/>
      <c r="HI545" s="19"/>
      <c r="HJ545" s="93"/>
      <c r="HK545" s="93"/>
      <c r="HL545" s="93"/>
      <c r="HM545" s="93"/>
      <c r="HN545" s="20"/>
      <c r="HO545" s="219"/>
      <c r="HP545" s="20"/>
      <c r="HQ545" s="25"/>
      <c r="HR545" s="29"/>
      <c r="HS545" s="1504">
        <v>51044</v>
      </c>
      <c r="HT545" s="19"/>
      <c r="HU545" s="93"/>
      <c r="HV545" s="93"/>
      <c r="HW545" s="93"/>
      <c r="HX545" s="93"/>
      <c r="HY545" s="93"/>
      <c r="HZ545" s="93"/>
      <c r="IA545" s="20"/>
      <c r="IB545" s="19"/>
      <c r="IC545" s="93"/>
      <c r="ID545" s="93"/>
      <c r="IE545" s="93"/>
      <c r="IF545" s="93"/>
      <c r="IG545" s="20"/>
      <c r="IH545" s="19"/>
      <c r="II545" s="93"/>
      <c r="IJ545" s="93"/>
      <c r="IK545" s="93"/>
      <c r="IL545" s="93"/>
      <c r="IM545" s="93"/>
      <c r="IN545" s="93"/>
      <c r="IO545" s="20"/>
      <c r="IP545" s="29"/>
      <c r="IQ545" s="19"/>
      <c r="IR545" s="93"/>
      <c r="IS545" s="93"/>
      <c r="IT545" s="93"/>
      <c r="IU545" s="93"/>
      <c r="IV545" s="20"/>
      <c r="IW545" s="29"/>
      <c r="IX545" s="19"/>
      <c r="IY545" s="93"/>
      <c r="IZ545" s="93"/>
      <c r="JA545" s="93"/>
      <c r="JB545" s="93"/>
      <c r="JC545" s="93"/>
      <c r="JD545" s="93"/>
      <c r="JE545" s="20"/>
      <c r="JF545" s="29"/>
      <c r="JG545" s="19"/>
      <c r="JH545" s="93"/>
      <c r="JI545" s="93"/>
      <c r="JJ545" s="93"/>
      <c r="JK545" s="93"/>
      <c r="JL545" s="93"/>
      <c r="JM545" s="93"/>
      <c r="JN545" s="20"/>
      <c r="JO545" s="29"/>
      <c r="JP545" s="19"/>
      <c r="JQ545" s="93"/>
      <c r="JR545" s="93"/>
      <c r="JS545" s="93"/>
      <c r="JT545" s="93"/>
      <c r="JU545" s="20"/>
      <c r="JV545" s="29"/>
      <c r="JW545" s="1504">
        <v>51044</v>
      </c>
      <c r="JX545" s="19"/>
      <c r="JY545" s="93"/>
      <c r="JZ545" s="93"/>
      <c r="KA545" s="93"/>
      <c r="KB545" s="93"/>
      <c r="KC545" s="93"/>
      <c r="KD545" s="20"/>
      <c r="KE545" s="29"/>
      <c r="KF545" s="19"/>
      <c r="KG545" s="93"/>
      <c r="KH545" s="93"/>
      <c r="KI545" s="93"/>
      <c r="KJ545" s="93"/>
      <c r="KK545" s="20"/>
      <c r="KL545" s="29"/>
      <c r="KM545" s="19"/>
      <c r="KN545" s="93"/>
      <c r="KO545" s="93"/>
      <c r="KP545" s="93"/>
      <c r="KQ545" s="93"/>
      <c r="KR545" s="20"/>
      <c r="KS545" s="29"/>
      <c r="KT545" s="19"/>
      <c r="KU545" s="93"/>
      <c r="KV545" s="93"/>
      <c r="KW545" s="93"/>
      <c r="KX545" s="93"/>
      <c r="KY545" s="20"/>
      <c r="KZ545" s="29"/>
      <c r="LA545" s="1504">
        <v>51044</v>
      </c>
      <c r="LB545" s="19"/>
      <c r="LC545" s="93"/>
      <c r="LD545" s="93"/>
      <c r="LE545" s="93"/>
      <c r="LF545" s="93"/>
      <c r="LG545" s="93"/>
      <c r="LH545" s="20"/>
      <c r="LI545" s="29"/>
      <c r="LJ545" s="19"/>
      <c r="LK545" s="93"/>
      <c r="LL545" s="93"/>
      <c r="LM545" s="93"/>
      <c r="LN545" s="93"/>
      <c r="LO545" s="20"/>
      <c r="LP545" s="29"/>
      <c r="LQ545" s="19"/>
      <c r="LR545" s="93"/>
      <c r="LS545" s="93"/>
      <c r="LT545" s="93"/>
      <c r="LU545" s="93"/>
      <c r="LV545" s="93"/>
      <c r="LW545" s="93"/>
      <c r="LX545" s="93"/>
      <c r="LY545" s="93"/>
      <c r="LZ545" s="93"/>
      <c r="MA545" s="20"/>
      <c r="MB545" s="29"/>
      <c r="MC545" s="1504">
        <v>51044</v>
      </c>
      <c r="MD545" s="19"/>
      <c r="ME545" s="93"/>
      <c r="MF545" s="93"/>
      <c r="MG545" s="93"/>
      <c r="MH545" s="93"/>
      <c r="MI545" s="93"/>
      <c r="MJ545" s="93"/>
      <c r="MK545" s="93"/>
      <c r="ML545" s="93"/>
      <c r="MM545" s="93"/>
      <c r="MN545" s="93"/>
      <c r="MO545" s="93"/>
      <c r="MP545" s="93"/>
      <c r="MQ545" s="93"/>
      <c r="MR545" s="93"/>
      <c r="MS545" s="93"/>
      <c r="MT545" s="93"/>
      <c r="MU545" s="93"/>
      <c r="MV545" s="93"/>
      <c r="MW545" s="93"/>
      <c r="MX545" s="93"/>
      <c r="MY545" s="93"/>
      <c r="MZ545" s="93"/>
      <c r="NA545" s="93"/>
      <c r="NB545" s="93"/>
      <c r="NC545" s="93"/>
      <c r="ND545" s="93"/>
      <c r="NE545" s="93"/>
      <c r="NF545" s="93"/>
      <c r="NG545" s="93"/>
      <c r="NH545" s="93"/>
      <c r="NI545" s="93"/>
      <c r="NJ545" s="93"/>
      <c r="NK545" s="93"/>
      <c r="NL545" s="93"/>
      <c r="NM545" s="93"/>
      <c r="NN545" s="93"/>
      <c r="NO545" s="93"/>
      <c r="NP545" s="93"/>
      <c r="NQ545" s="93"/>
      <c r="NR545" s="93"/>
      <c r="NS545" s="93"/>
      <c r="NT545" s="93"/>
      <c r="NU545" s="93"/>
      <c r="NV545" s="93"/>
      <c r="NW545" s="93"/>
      <c r="NX545" s="93"/>
      <c r="NY545" s="93"/>
      <c r="NZ545" s="93"/>
      <c r="OA545" s="93"/>
      <c r="OB545" s="93"/>
      <c r="OC545" s="93"/>
      <c r="OD545" s="20"/>
      <c r="OE545" s="29"/>
      <c r="OF545" s="1504">
        <v>51044</v>
      </c>
      <c r="OG545" s="19"/>
      <c r="OH545" s="93"/>
      <c r="OI545" s="93"/>
      <c r="OJ545" s="93"/>
      <c r="OK545" s="93"/>
      <c r="OL545" s="93"/>
      <c r="OM545" s="93"/>
      <c r="ON545" s="93"/>
      <c r="OO545" s="93"/>
      <c r="OP545" s="93"/>
      <c r="OQ545" s="93"/>
      <c r="OR545" s="93"/>
      <c r="OS545" s="93"/>
      <c r="OT545" s="93"/>
      <c r="OU545" s="93"/>
      <c r="OV545" s="93"/>
      <c r="OW545" s="93"/>
      <c r="OX545" s="93"/>
      <c r="OY545" s="93"/>
      <c r="OZ545" s="93"/>
      <c r="PA545" s="93"/>
      <c r="PB545" s="93"/>
      <c r="PC545" s="20"/>
      <c r="PD545" s="29"/>
      <c r="PE545" s="19"/>
      <c r="PF545" s="93"/>
      <c r="PG545" s="93"/>
      <c r="PH545" s="93"/>
      <c r="PI545" s="93"/>
      <c r="PJ545" s="93"/>
      <c r="PK545" s="93"/>
      <c r="PL545" s="93"/>
      <c r="PM545" s="93"/>
      <c r="PN545" s="93"/>
      <c r="PO545" s="93"/>
      <c r="PP545" s="93"/>
      <c r="PQ545" s="93"/>
      <c r="PR545" s="93"/>
      <c r="PS545" s="93"/>
      <c r="PT545" s="93"/>
      <c r="PU545" s="93"/>
      <c r="PV545" s="93"/>
      <c r="PW545" s="93"/>
      <c r="PX545" s="93"/>
      <c r="PY545" s="93"/>
      <c r="PZ545" s="93"/>
      <c r="QA545" s="93"/>
      <c r="QB545" s="93"/>
      <c r="QC545" s="93"/>
      <c r="QD545" s="93"/>
      <c r="QE545" s="20"/>
      <c r="QF545" s="1739"/>
      <c r="QG545" s="19"/>
      <c r="QH545" s="93"/>
      <c r="QI545" s="93"/>
      <c r="QJ545" s="93"/>
      <c r="QK545" s="93"/>
      <c r="QL545" s="93"/>
      <c r="QM545" s="93"/>
      <c r="QN545" s="93"/>
      <c r="QO545" s="93"/>
      <c r="QP545" s="93"/>
      <c r="QQ545" s="93"/>
      <c r="QR545" s="93"/>
      <c r="QS545" s="93"/>
      <c r="QT545" s="93"/>
      <c r="QU545" s="93"/>
      <c r="QV545" s="93"/>
      <c r="QW545" s="93"/>
      <c r="QX545" s="93"/>
      <c r="QY545" s="93"/>
      <c r="QZ545" s="93"/>
      <c r="RA545" s="93"/>
      <c r="RB545" s="93"/>
      <c r="RC545" s="93"/>
      <c r="RD545" s="93"/>
      <c r="RE545" s="93"/>
      <c r="RF545" s="93"/>
      <c r="RG545" s="93"/>
      <c r="RH545" s="93"/>
      <c r="RI545" s="93"/>
      <c r="RJ545" s="93"/>
      <c r="RK545" s="93"/>
      <c r="RL545" s="93"/>
      <c r="RM545" s="20"/>
      <c r="RN545" s="29"/>
      <c r="RO545" s="19"/>
      <c r="RP545" s="20"/>
      <c r="RQ545" s="29"/>
      <c r="RR545" s="20"/>
      <c r="RS545" s="29"/>
      <c r="RT545" s="1504">
        <v>51044</v>
      </c>
      <c r="RU545" s="19"/>
      <c r="RV545" s="20"/>
      <c r="RW545" s="29"/>
      <c r="RX545" s="1504">
        <v>51044</v>
      </c>
      <c r="RY545" s="29"/>
      <c r="RZ545" s="20"/>
      <c r="SA545" s="29"/>
      <c r="SB545" s="29"/>
    </row>
    <row r="546" spans="1:496">
      <c r="A546" s="41">
        <f t="shared" si="362"/>
        <v>2039</v>
      </c>
      <c r="B546" s="1504">
        <v>51075</v>
      </c>
      <c r="C546" s="1813"/>
      <c r="D546" s="1814"/>
      <c r="E546" s="1814"/>
      <c r="F546" s="1815"/>
      <c r="G546" s="1814"/>
      <c r="H546" s="1814"/>
      <c r="I546" s="1814"/>
      <c r="J546" s="1816"/>
      <c r="K546" s="1807"/>
      <c r="L546" s="25"/>
      <c r="M546" s="97"/>
      <c r="N546" s="1504">
        <v>51075</v>
      </c>
      <c r="O546" s="19"/>
      <c r="P546" s="93"/>
      <c r="Q546" s="93"/>
      <c r="R546" s="93"/>
      <c r="S546" s="93"/>
      <c r="T546" s="93"/>
      <c r="U546" s="93"/>
      <c r="V546" s="93"/>
      <c r="W546" s="93"/>
      <c r="X546" s="93"/>
      <c r="Y546" s="93"/>
      <c r="Z546" s="93"/>
      <c r="AA546" s="93"/>
      <c r="AB546" s="20"/>
      <c r="AC546" s="25"/>
      <c r="AD546" s="97"/>
      <c r="AE546" s="1504">
        <v>51075</v>
      </c>
      <c r="AF546" s="19"/>
      <c r="AG546" s="93"/>
      <c r="AH546" s="93"/>
      <c r="AI546" s="93"/>
      <c r="AJ546" s="93"/>
      <c r="AK546" s="93"/>
      <c r="AL546" s="93"/>
      <c r="AM546" s="93"/>
      <c r="AN546" s="93"/>
      <c r="AO546" s="93"/>
      <c r="AP546" s="93"/>
      <c r="AQ546" s="93"/>
      <c r="AR546" s="93"/>
      <c r="AS546" s="20"/>
      <c r="AT546" s="25"/>
      <c r="AU546" s="97"/>
      <c r="AV546" s="1504">
        <v>51075</v>
      </c>
      <c r="AW546" s="19"/>
      <c r="AX546" s="93"/>
      <c r="AY546" s="93"/>
      <c r="AZ546" s="93"/>
      <c r="BA546" s="93"/>
      <c r="BB546" s="93"/>
      <c r="BC546" s="93"/>
      <c r="BD546" s="93"/>
      <c r="BE546" s="93"/>
      <c r="BF546" s="93"/>
      <c r="BG546" s="93"/>
      <c r="BH546" s="93"/>
      <c r="BI546" s="93"/>
      <c r="BJ546" s="20"/>
      <c r="BK546" s="25"/>
      <c r="BL546" s="97"/>
      <c r="BM546" s="1504">
        <v>51075</v>
      </c>
      <c r="BN546" s="19"/>
      <c r="BO546" s="93"/>
      <c r="BP546" s="93"/>
      <c r="BQ546" s="93"/>
      <c r="BR546" s="93"/>
      <c r="BS546" s="93"/>
      <c r="BT546" s="93"/>
      <c r="BU546" s="20"/>
      <c r="BV546" s="25"/>
      <c r="BW546" s="97"/>
      <c r="BX546" s="1504">
        <v>51075</v>
      </c>
      <c r="BY546" s="19"/>
      <c r="BZ546" s="93"/>
      <c r="CA546" s="93"/>
      <c r="CB546" s="93"/>
      <c r="CC546" s="93"/>
      <c r="CD546" s="25"/>
      <c r="CE546" s="97"/>
      <c r="CF546" s="1504">
        <v>51075</v>
      </c>
      <c r="CG546" s="19"/>
      <c r="CH546" s="93"/>
      <c r="CI546" s="219"/>
      <c r="CJ546" s="20"/>
      <c r="CK546" s="19"/>
      <c r="CL546" s="93"/>
      <c r="CM546" s="93"/>
      <c r="CN546" s="93"/>
      <c r="CO546" s="93"/>
      <c r="CP546" s="20"/>
      <c r="CQ546" s="219"/>
      <c r="CR546" s="93"/>
      <c r="CS546" s="93"/>
      <c r="CT546" s="93"/>
      <c r="CU546" s="93"/>
      <c r="CV546" s="214"/>
      <c r="CW546" s="29"/>
      <c r="CX546" s="41">
        <f t="shared" si="361"/>
        <v>2039</v>
      </c>
      <c r="CY546" s="1504">
        <v>51075</v>
      </c>
      <c r="CZ546" s="19"/>
      <c r="DA546" s="93"/>
      <c r="DB546" s="93"/>
      <c r="DC546" s="93"/>
      <c r="DD546" s="93"/>
      <c r="DE546" s="20"/>
      <c r="DF546" s="29"/>
      <c r="DG546" s="1504">
        <v>51075</v>
      </c>
      <c r="DH546" s="19"/>
      <c r="DI546" s="93"/>
      <c r="DJ546" s="93"/>
      <c r="DK546" s="93"/>
      <c r="DL546" s="93"/>
      <c r="DM546" s="93"/>
      <c r="DN546" s="20"/>
      <c r="DO546" s="295"/>
      <c r="DP546" s="29"/>
      <c r="DQ546" s="1504">
        <v>51075</v>
      </c>
      <c r="DR546" s="19"/>
      <c r="DS546" s="93"/>
      <c r="DT546" s="93"/>
      <c r="DU546" s="93"/>
      <c r="DV546" s="93"/>
      <c r="DW546" s="93"/>
      <c r="DX546" s="20"/>
      <c r="DY546" s="29"/>
      <c r="DZ546" s="1504">
        <v>51075</v>
      </c>
      <c r="EA546" s="19"/>
      <c r="EB546" s="93"/>
      <c r="EC546" s="20"/>
      <c r="ED546" s="29"/>
      <c r="EE546" s="1504">
        <v>51075</v>
      </c>
      <c r="EF546" s="19"/>
      <c r="EG546" s="93"/>
      <c r="EH546" s="93"/>
      <c r="EI546" s="214"/>
      <c r="EJ546" s="93"/>
      <c r="EK546" s="93"/>
      <c r="EL546" s="93"/>
      <c r="EM546" s="93"/>
      <c r="EN546" s="20"/>
      <c r="EO546" s="29"/>
      <c r="EP546" s="1504">
        <v>51075</v>
      </c>
      <c r="EQ546" s="19"/>
      <c r="ER546" s="93"/>
      <c r="ES546" s="93"/>
      <c r="ET546" s="214"/>
      <c r="EU546" s="93"/>
      <c r="EV546" s="93"/>
      <c r="EW546" s="93"/>
      <c r="EX546" s="93"/>
      <c r="EY546" s="20"/>
      <c r="EZ546" s="29"/>
      <c r="FA546" s="1504">
        <v>51075</v>
      </c>
      <c r="FB546" s="29"/>
      <c r="FC546" s="29"/>
      <c r="FD546" s="29"/>
      <c r="FE546" s="29"/>
      <c r="FF546" s="29"/>
      <c r="FG546" s="29"/>
      <c r="FH546" s="29"/>
      <c r="FI546" s="29"/>
      <c r="FJ546" s="29"/>
      <c r="FK546" s="29"/>
      <c r="FL546" s="1504">
        <v>51075</v>
      </c>
      <c r="FM546" s="19"/>
      <c r="FN546" s="93"/>
      <c r="FO546" s="93"/>
      <c r="FP546" s="93"/>
      <c r="FQ546" s="93"/>
      <c r="FR546" s="93"/>
      <c r="FS546" s="93"/>
      <c r="FT546" s="93"/>
      <c r="FU546" s="93"/>
      <c r="FV546" s="93"/>
      <c r="FW546" s="93"/>
      <c r="FX546" s="93"/>
      <c r="FY546" s="93"/>
      <c r="FZ546" s="29"/>
      <c r="GA546" s="1504">
        <v>51075</v>
      </c>
      <c r="GB546" s="19"/>
      <c r="GC546" s="93"/>
      <c r="GD546" s="93"/>
      <c r="GE546" s="93"/>
      <c r="GF546" s="93"/>
      <c r="GG546" s="93"/>
      <c r="GH546" s="93"/>
      <c r="GI546" s="93"/>
      <c r="GJ546" s="93"/>
      <c r="GK546" s="93"/>
      <c r="GL546" s="93"/>
      <c r="GM546" s="93"/>
      <c r="GN546" s="20"/>
      <c r="GO546" s="29"/>
      <c r="GP546" s="1504">
        <v>51075</v>
      </c>
      <c r="GQ546" s="19"/>
      <c r="GR546" s="93"/>
      <c r="GS546" s="93"/>
      <c r="GT546" s="93"/>
      <c r="GU546" s="93"/>
      <c r="GV546" s="20"/>
      <c r="GW546" s="19"/>
      <c r="GX546" s="93"/>
      <c r="GY546" s="93"/>
      <c r="GZ546" s="93"/>
      <c r="HA546" s="93"/>
      <c r="HB546" s="20"/>
      <c r="HC546" s="19"/>
      <c r="HD546" s="93"/>
      <c r="HE546" s="93"/>
      <c r="HF546" s="93"/>
      <c r="HG546" s="93"/>
      <c r="HH546" s="20"/>
      <c r="HI546" s="19"/>
      <c r="HJ546" s="93"/>
      <c r="HK546" s="93"/>
      <c r="HL546" s="93"/>
      <c r="HM546" s="93"/>
      <c r="HN546" s="20"/>
      <c r="HO546" s="219"/>
      <c r="HP546" s="20"/>
      <c r="HQ546" s="25"/>
      <c r="HR546" s="29"/>
      <c r="HS546" s="1504">
        <v>51075</v>
      </c>
      <c r="HT546" s="19"/>
      <c r="HU546" s="93"/>
      <c r="HV546" s="93"/>
      <c r="HW546" s="93"/>
      <c r="HX546" s="93"/>
      <c r="HY546" s="93"/>
      <c r="HZ546" s="93"/>
      <c r="IA546" s="20"/>
      <c r="IB546" s="19"/>
      <c r="IC546" s="93"/>
      <c r="ID546" s="93"/>
      <c r="IE546" s="93"/>
      <c r="IF546" s="93"/>
      <c r="IG546" s="20"/>
      <c r="IH546" s="19"/>
      <c r="II546" s="93"/>
      <c r="IJ546" s="93"/>
      <c r="IK546" s="93"/>
      <c r="IL546" s="93"/>
      <c r="IM546" s="93"/>
      <c r="IN546" s="93"/>
      <c r="IO546" s="20"/>
      <c r="IP546" s="29"/>
      <c r="IQ546" s="19"/>
      <c r="IR546" s="93"/>
      <c r="IS546" s="93"/>
      <c r="IT546" s="93"/>
      <c r="IU546" s="93"/>
      <c r="IV546" s="20"/>
      <c r="IW546" s="29"/>
      <c r="IX546" s="19"/>
      <c r="IY546" s="93"/>
      <c r="IZ546" s="93"/>
      <c r="JA546" s="93"/>
      <c r="JB546" s="93"/>
      <c r="JC546" s="93"/>
      <c r="JD546" s="93"/>
      <c r="JE546" s="20"/>
      <c r="JF546" s="29"/>
      <c r="JG546" s="19"/>
      <c r="JH546" s="93"/>
      <c r="JI546" s="93"/>
      <c r="JJ546" s="93"/>
      <c r="JK546" s="93"/>
      <c r="JL546" s="93"/>
      <c r="JM546" s="93"/>
      <c r="JN546" s="20"/>
      <c r="JO546" s="29"/>
      <c r="JP546" s="19"/>
      <c r="JQ546" s="93"/>
      <c r="JR546" s="93"/>
      <c r="JS546" s="93"/>
      <c r="JT546" s="93"/>
      <c r="JU546" s="20"/>
      <c r="JV546" s="29"/>
      <c r="JW546" s="1504">
        <v>51075</v>
      </c>
      <c r="JX546" s="19"/>
      <c r="JY546" s="93"/>
      <c r="JZ546" s="93"/>
      <c r="KA546" s="93"/>
      <c r="KB546" s="93"/>
      <c r="KC546" s="93"/>
      <c r="KD546" s="20"/>
      <c r="KE546" s="29"/>
      <c r="KF546" s="19"/>
      <c r="KG546" s="93"/>
      <c r="KH546" s="93"/>
      <c r="KI546" s="93"/>
      <c r="KJ546" s="93"/>
      <c r="KK546" s="20"/>
      <c r="KL546" s="29"/>
      <c r="KM546" s="19"/>
      <c r="KN546" s="93"/>
      <c r="KO546" s="93"/>
      <c r="KP546" s="93"/>
      <c r="KQ546" s="93"/>
      <c r="KR546" s="20"/>
      <c r="KS546" s="29"/>
      <c r="KT546" s="19"/>
      <c r="KU546" s="93"/>
      <c r="KV546" s="93"/>
      <c r="KW546" s="93"/>
      <c r="KX546" s="93"/>
      <c r="KY546" s="20"/>
      <c r="KZ546" s="29"/>
      <c r="LA546" s="1504">
        <v>51075</v>
      </c>
      <c r="LB546" s="19"/>
      <c r="LC546" s="93"/>
      <c r="LD546" s="93"/>
      <c r="LE546" s="93"/>
      <c r="LF546" s="93"/>
      <c r="LG546" s="93"/>
      <c r="LH546" s="20"/>
      <c r="LI546" s="29"/>
      <c r="LJ546" s="19"/>
      <c r="LK546" s="93"/>
      <c r="LL546" s="93"/>
      <c r="LM546" s="93"/>
      <c r="LN546" s="93"/>
      <c r="LO546" s="20"/>
      <c r="LP546" s="29"/>
      <c r="LQ546" s="19"/>
      <c r="LR546" s="93"/>
      <c r="LS546" s="93"/>
      <c r="LT546" s="93"/>
      <c r="LU546" s="93"/>
      <c r="LV546" s="93"/>
      <c r="LW546" s="93"/>
      <c r="LX546" s="93"/>
      <c r="LY546" s="93"/>
      <c r="LZ546" s="93"/>
      <c r="MA546" s="20"/>
      <c r="MB546" s="29"/>
      <c r="MC546" s="1504">
        <v>51075</v>
      </c>
      <c r="MD546" s="19"/>
      <c r="ME546" s="93"/>
      <c r="MF546" s="93"/>
      <c r="MG546" s="93"/>
      <c r="MH546" s="93"/>
      <c r="MI546" s="93"/>
      <c r="MJ546" s="93"/>
      <c r="MK546" s="93"/>
      <c r="ML546" s="93"/>
      <c r="MM546" s="93"/>
      <c r="MN546" s="93"/>
      <c r="MO546" s="93"/>
      <c r="MP546" s="93"/>
      <c r="MQ546" s="93"/>
      <c r="MR546" s="93"/>
      <c r="MS546" s="93"/>
      <c r="MT546" s="93"/>
      <c r="MU546" s="93"/>
      <c r="MV546" s="93"/>
      <c r="MW546" s="93"/>
      <c r="MX546" s="93"/>
      <c r="MY546" s="93"/>
      <c r="MZ546" s="93"/>
      <c r="NA546" s="93"/>
      <c r="NB546" s="93"/>
      <c r="NC546" s="93"/>
      <c r="ND546" s="93"/>
      <c r="NE546" s="93"/>
      <c r="NF546" s="93"/>
      <c r="NG546" s="93"/>
      <c r="NH546" s="93"/>
      <c r="NI546" s="93"/>
      <c r="NJ546" s="93"/>
      <c r="NK546" s="93"/>
      <c r="NL546" s="93"/>
      <c r="NM546" s="93"/>
      <c r="NN546" s="93"/>
      <c r="NO546" s="93"/>
      <c r="NP546" s="93"/>
      <c r="NQ546" s="93"/>
      <c r="NR546" s="93"/>
      <c r="NS546" s="93"/>
      <c r="NT546" s="93"/>
      <c r="NU546" s="93"/>
      <c r="NV546" s="93"/>
      <c r="NW546" s="93"/>
      <c r="NX546" s="93"/>
      <c r="NY546" s="93"/>
      <c r="NZ546" s="93"/>
      <c r="OA546" s="93"/>
      <c r="OB546" s="93"/>
      <c r="OC546" s="93"/>
      <c r="OD546" s="20"/>
      <c r="OE546" s="29"/>
      <c r="OF546" s="1504">
        <v>51075</v>
      </c>
      <c r="OG546" s="19"/>
      <c r="OH546" s="93"/>
      <c r="OI546" s="93"/>
      <c r="OJ546" s="93"/>
      <c r="OK546" s="93"/>
      <c r="OL546" s="93"/>
      <c r="OM546" s="93"/>
      <c r="ON546" s="93"/>
      <c r="OO546" s="93"/>
      <c r="OP546" s="93"/>
      <c r="OQ546" s="93"/>
      <c r="OR546" s="93"/>
      <c r="OS546" s="93"/>
      <c r="OT546" s="93"/>
      <c r="OU546" s="93"/>
      <c r="OV546" s="93"/>
      <c r="OW546" s="93"/>
      <c r="OX546" s="93"/>
      <c r="OY546" s="93"/>
      <c r="OZ546" s="93"/>
      <c r="PA546" s="93"/>
      <c r="PB546" s="93"/>
      <c r="PC546" s="20"/>
      <c r="PD546" s="29"/>
      <c r="PE546" s="19"/>
      <c r="PF546" s="93"/>
      <c r="PG546" s="93"/>
      <c r="PH546" s="93"/>
      <c r="PI546" s="93"/>
      <c r="PJ546" s="93"/>
      <c r="PK546" s="93"/>
      <c r="PL546" s="93"/>
      <c r="PM546" s="93"/>
      <c r="PN546" s="93"/>
      <c r="PO546" s="93"/>
      <c r="PP546" s="93"/>
      <c r="PQ546" s="93"/>
      <c r="PR546" s="93"/>
      <c r="PS546" s="93"/>
      <c r="PT546" s="93"/>
      <c r="PU546" s="93"/>
      <c r="PV546" s="93"/>
      <c r="PW546" s="93"/>
      <c r="PX546" s="93"/>
      <c r="PY546" s="93"/>
      <c r="PZ546" s="93"/>
      <c r="QA546" s="93"/>
      <c r="QB546" s="93"/>
      <c r="QC546" s="93"/>
      <c r="QD546" s="93"/>
      <c r="QE546" s="20"/>
      <c r="QF546" s="1739"/>
      <c r="QG546" s="19"/>
      <c r="QH546" s="93"/>
      <c r="QI546" s="93"/>
      <c r="QJ546" s="93"/>
      <c r="QK546" s="93"/>
      <c r="QL546" s="93"/>
      <c r="QM546" s="93"/>
      <c r="QN546" s="93"/>
      <c r="QO546" s="93"/>
      <c r="QP546" s="93"/>
      <c r="QQ546" s="93"/>
      <c r="QR546" s="93"/>
      <c r="QS546" s="93"/>
      <c r="QT546" s="93"/>
      <c r="QU546" s="93"/>
      <c r="QV546" s="93"/>
      <c r="QW546" s="93"/>
      <c r="QX546" s="93"/>
      <c r="QY546" s="93"/>
      <c r="QZ546" s="93"/>
      <c r="RA546" s="93"/>
      <c r="RB546" s="93"/>
      <c r="RC546" s="93"/>
      <c r="RD546" s="93"/>
      <c r="RE546" s="93"/>
      <c r="RF546" s="93"/>
      <c r="RG546" s="93"/>
      <c r="RH546" s="93"/>
      <c r="RI546" s="93"/>
      <c r="RJ546" s="93"/>
      <c r="RK546" s="93"/>
      <c r="RL546" s="93"/>
      <c r="RM546" s="20"/>
      <c r="RN546" s="29"/>
      <c r="RO546" s="19"/>
      <c r="RP546" s="20"/>
      <c r="RQ546" s="29"/>
      <c r="RR546" s="20"/>
      <c r="RS546" s="29"/>
      <c r="RT546" s="1504">
        <v>51075</v>
      </c>
      <c r="RU546" s="19"/>
      <c r="RV546" s="20"/>
      <c r="RW546" s="29"/>
      <c r="RX546" s="1504">
        <v>51075</v>
      </c>
      <c r="RY546" s="29"/>
      <c r="RZ546" s="20"/>
      <c r="SA546" s="29"/>
      <c r="SB546" s="29"/>
    </row>
    <row r="547" spans="1:496">
      <c r="A547" s="41">
        <f t="shared" si="362"/>
        <v>2039</v>
      </c>
      <c r="B547" s="1504">
        <v>51105</v>
      </c>
      <c r="C547" s="1813"/>
      <c r="D547" s="1814"/>
      <c r="E547" s="1814"/>
      <c r="F547" s="1815"/>
      <c r="G547" s="1814"/>
      <c r="H547" s="1814"/>
      <c r="I547" s="1814"/>
      <c r="J547" s="1816"/>
      <c r="K547" s="1807"/>
      <c r="L547" s="25"/>
      <c r="M547" s="97"/>
      <c r="N547" s="1504">
        <v>51105</v>
      </c>
      <c r="O547" s="19"/>
      <c r="P547" s="93"/>
      <c r="Q547" s="93"/>
      <c r="R547" s="93"/>
      <c r="S547" s="93"/>
      <c r="T547" s="93"/>
      <c r="U547" s="93"/>
      <c r="V547" s="93"/>
      <c r="W547" s="93"/>
      <c r="X547" s="93"/>
      <c r="Y547" s="93"/>
      <c r="Z547" s="93"/>
      <c r="AA547" s="93"/>
      <c r="AB547" s="20"/>
      <c r="AC547" s="25"/>
      <c r="AD547" s="97"/>
      <c r="AE547" s="1504">
        <v>51105</v>
      </c>
      <c r="AF547" s="19"/>
      <c r="AG547" s="93"/>
      <c r="AH547" s="93"/>
      <c r="AI547" s="93"/>
      <c r="AJ547" s="93"/>
      <c r="AK547" s="93"/>
      <c r="AL547" s="93"/>
      <c r="AM547" s="93"/>
      <c r="AN547" s="93"/>
      <c r="AO547" s="93"/>
      <c r="AP547" s="93"/>
      <c r="AQ547" s="93"/>
      <c r="AR547" s="93"/>
      <c r="AS547" s="20"/>
      <c r="AT547" s="25"/>
      <c r="AU547" s="97"/>
      <c r="AV547" s="1504">
        <v>51105</v>
      </c>
      <c r="AW547" s="19"/>
      <c r="AX547" s="93"/>
      <c r="AY547" s="93"/>
      <c r="AZ547" s="93"/>
      <c r="BA547" s="93"/>
      <c r="BB547" s="93"/>
      <c r="BC547" s="93"/>
      <c r="BD547" s="93"/>
      <c r="BE547" s="93"/>
      <c r="BF547" s="93"/>
      <c r="BG547" s="93"/>
      <c r="BH547" s="93"/>
      <c r="BI547" s="93"/>
      <c r="BJ547" s="20"/>
      <c r="BK547" s="25"/>
      <c r="BL547" s="97"/>
      <c r="BM547" s="1504">
        <v>51105</v>
      </c>
      <c r="BN547" s="19"/>
      <c r="BO547" s="93"/>
      <c r="BP547" s="93"/>
      <c r="BQ547" s="93"/>
      <c r="BR547" s="93"/>
      <c r="BS547" s="93"/>
      <c r="BT547" s="93"/>
      <c r="BU547" s="20"/>
      <c r="BV547" s="25"/>
      <c r="BW547" s="97"/>
      <c r="BX547" s="1504">
        <v>51105</v>
      </c>
      <c r="BY547" s="19"/>
      <c r="BZ547" s="93"/>
      <c r="CA547" s="93"/>
      <c r="CB547" s="93"/>
      <c r="CC547" s="93"/>
      <c r="CD547" s="25"/>
      <c r="CE547" s="97"/>
      <c r="CF547" s="1504">
        <v>51105</v>
      </c>
      <c r="CG547" s="19"/>
      <c r="CH547" s="93"/>
      <c r="CI547" s="219"/>
      <c r="CJ547" s="20"/>
      <c r="CK547" s="19"/>
      <c r="CL547" s="93"/>
      <c r="CM547" s="93"/>
      <c r="CN547" s="93"/>
      <c r="CO547" s="93"/>
      <c r="CP547" s="20"/>
      <c r="CQ547" s="219"/>
      <c r="CR547" s="93"/>
      <c r="CS547" s="93"/>
      <c r="CT547" s="93"/>
      <c r="CU547" s="93"/>
      <c r="CV547" s="214"/>
      <c r="CW547" s="29"/>
      <c r="CX547" s="41">
        <f t="shared" si="361"/>
        <v>2039</v>
      </c>
      <c r="CY547" s="1504">
        <v>51105</v>
      </c>
      <c r="CZ547" s="19"/>
      <c r="DA547" s="93"/>
      <c r="DB547" s="93"/>
      <c r="DC547" s="93"/>
      <c r="DD547" s="93"/>
      <c r="DE547" s="20"/>
      <c r="DF547" s="29"/>
      <c r="DG547" s="1504">
        <v>51105</v>
      </c>
      <c r="DH547" s="19"/>
      <c r="DI547" s="93"/>
      <c r="DJ547" s="93"/>
      <c r="DK547" s="93"/>
      <c r="DL547" s="93"/>
      <c r="DM547" s="93"/>
      <c r="DN547" s="20"/>
      <c r="DO547" s="295"/>
      <c r="DP547" s="29"/>
      <c r="DQ547" s="1504">
        <v>51105</v>
      </c>
      <c r="DR547" s="19"/>
      <c r="DS547" s="93"/>
      <c r="DT547" s="93"/>
      <c r="DU547" s="93"/>
      <c r="DV547" s="93"/>
      <c r="DW547" s="93"/>
      <c r="DX547" s="20"/>
      <c r="DY547" s="29"/>
      <c r="DZ547" s="1504">
        <v>51105</v>
      </c>
      <c r="EA547" s="19"/>
      <c r="EB547" s="93"/>
      <c r="EC547" s="20"/>
      <c r="ED547" s="29"/>
      <c r="EE547" s="1504">
        <v>51105</v>
      </c>
      <c r="EF547" s="19"/>
      <c r="EG547" s="93"/>
      <c r="EH547" s="93"/>
      <c r="EI547" s="214"/>
      <c r="EJ547" s="93"/>
      <c r="EK547" s="93"/>
      <c r="EL547" s="93"/>
      <c r="EM547" s="93"/>
      <c r="EN547" s="20"/>
      <c r="EO547" s="29"/>
      <c r="EP547" s="1504">
        <v>51105</v>
      </c>
      <c r="EQ547" s="19"/>
      <c r="ER547" s="93"/>
      <c r="ES547" s="93"/>
      <c r="ET547" s="214"/>
      <c r="EU547" s="93"/>
      <c r="EV547" s="93"/>
      <c r="EW547" s="93"/>
      <c r="EX547" s="93"/>
      <c r="EY547" s="20"/>
      <c r="EZ547" s="29"/>
      <c r="FA547" s="1504">
        <v>51105</v>
      </c>
      <c r="FB547" s="29"/>
      <c r="FC547" s="29"/>
      <c r="FD547" s="29"/>
      <c r="FE547" s="29"/>
      <c r="FF547" s="29"/>
      <c r="FG547" s="29"/>
      <c r="FH547" s="29"/>
      <c r="FI547" s="29"/>
      <c r="FJ547" s="29"/>
      <c r="FK547" s="29"/>
      <c r="FL547" s="1504">
        <v>51105</v>
      </c>
      <c r="FM547" s="19"/>
      <c r="FN547" s="93"/>
      <c r="FO547" s="93"/>
      <c r="FP547" s="93"/>
      <c r="FQ547" s="93"/>
      <c r="FR547" s="93"/>
      <c r="FS547" s="93"/>
      <c r="FT547" s="93"/>
      <c r="FU547" s="93"/>
      <c r="FV547" s="93"/>
      <c r="FW547" s="93"/>
      <c r="FX547" s="93"/>
      <c r="FY547" s="93"/>
      <c r="FZ547" s="29"/>
      <c r="GA547" s="1504">
        <v>51105</v>
      </c>
      <c r="GB547" s="19"/>
      <c r="GC547" s="93"/>
      <c r="GD547" s="93"/>
      <c r="GE547" s="93"/>
      <c r="GF547" s="93"/>
      <c r="GG547" s="93"/>
      <c r="GH547" s="93"/>
      <c r="GI547" s="93"/>
      <c r="GJ547" s="93"/>
      <c r="GK547" s="93"/>
      <c r="GL547" s="93"/>
      <c r="GM547" s="93"/>
      <c r="GN547" s="20"/>
      <c r="GO547" s="29"/>
      <c r="GP547" s="1504">
        <v>51105</v>
      </c>
      <c r="GQ547" s="19"/>
      <c r="GR547" s="93"/>
      <c r="GS547" s="93"/>
      <c r="GT547" s="93"/>
      <c r="GU547" s="93"/>
      <c r="GV547" s="20"/>
      <c r="GW547" s="19"/>
      <c r="GX547" s="93"/>
      <c r="GY547" s="93"/>
      <c r="GZ547" s="93"/>
      <c r="HA547" s="93"/>
      <c r="HB547" s="20"/>
      <c r="HC547" s="19"/>
      <c r="HD547" s="93"/>
      <c r="HE547" s="93"/>
      <c r="HF547" s="93"/>
      <c r="HG547" s="93"/>
      <c r="HH547" s="20"/>
      <c r="HI547" s="19"/>
      <c r="HJ547" s="93"/>
      <c r="HK547" s="93"/>
      <c r="HL547" s="93"/>
      <c r="HM547" s="93"/>
      <c r="HN547" s="20"/>
      <c r="HO547" s="219"/>
      <c r="HP547" s="20"/>
      <c r="HQ547" s="25"/>
      <c r="HR547" s="29"/>
      <c r="HS547" s="1504">
        <v>51105</v>
      </c>
      <c r="HT547" s="19"/>
      <c r="HU547" s="93"/>
      <c r="HV547" s="93"/>
      <c r="HW547" s="93"/>
      <c r="HX547" s="93"/>
      <c r="HY547" s="93"/>
      <c r="HZ547" s="93"/>
      <c r="IA547" s="20"/>
      <c r="IB547" s="19"/>
      <c r="IC547" s="93"/>
      <c r="ID547" s="93"/>
      <c r="IE547" s="93"/>
      <c r="IF547" s="93"/>
      <c r="IG547" s="20"/>
      <c r="IH547" s="19"/>
      <c r="II547" s="93"/>
      <c r="IJ547" s="93"/>
      <c r="IK547" s="93"/>
      <c r="IL547" s="93"/>
      <c r="IM547" s="93"/>
      <c r="IN547" s="93"/>
      <c r="IO547" s="20"/>
      <c r="IP547" s="29"/>
      <c r="IQ547" s="19"/>
      <c r="IR547" s="93"/>
      <c r="IS547" s="93"/>
      <c r="IT547" s="93"/>
      <c r="IU547" s="93"/>
      <c r="IV547" s="20"/>
      <c r="IW547" s="29"/>
      <c r="IX547" s="19"/>
      <c r="IY547" s="93"/>
      <c r="IZ547" s="93"/>
      <c r="JA547" s="93"/>
      <c r="JB547" s="93"/>
      <c r="JC547" s="93"/>
      <c r="JD547" s="93"/>
      <c r="JE547" s="20"/>
      <c r="JF547" s="29"/>
      <c r="JG547" s="19"/>
      <c r="JH547" s="93"/>
      <c r="JI547" s="93"/>
      <c r="JJ547" s="93"/>
      <c r="JK547" s="93"/>
      <c r="JL547" s="93"/>
      <c r="JM547" s="93"/>
      <c r="JN547" s="20"/>
      <c r="JO547" s="29"/>
      <c r="JP547" s="19"/>
      <c r="JQ547" s="93"/>
      <c r="JR547" s="93"/>
      <c r="JS547" s="93"/>
      <c r="JT547" s="93"/>
      <c r="JU547" s="20"/>
      <c r="JV547" s="29"/>
      <c r="JW547" s="1504">
        <v>51105</v>
      </c>
      <c r="JX547" s="19"/>
      <c r="JY547" s="93"/>
      <c r="JZ547" s="93"/>
      <c r="KA547" s="93"/>
      <c r="KB547" s="93"/>
      <c r="KC547" s="93"/>
      <c r="KD547" s="20"/>
      <c r="KE547" s="29"/>
      <c r="KF547" s="19"/>
      <c r="KG547" s="93"/>
      <c r="KH547" s="93"/>
      <c r="KI547" s="93"/>
      <c r="KJ547" s="93"/>
      <c r="KK547" s="20"/>
      <c r="KL547" s="29"/>
      <c r="KM547" s="19"/>
      <c r="KN547" s="93"/>
      <c r="KO547" s="93"/>
      <c r="KP547" s="93"/>
      <c r="KQ547" s="93"/>
      <c r="KR547" s="20"/>
      <c r="KS547" s="29"/>
      <c r="KT547" s="19"/>
      <c r="KU547" s="93"/>
      <c r="KV547" s="93"/>
      <c r="KW547" s="93"/>
      <c r="KX547" s="93"/>
      <c r="KY547" s="20"/>
      <c r="KZ547" s="29"/>
      <c r="LA547" s="1504">
        <v>51105</v>
      </c>
      <c r="LB547" s="19"/>
      <c r="LC547" s="93"/>
      <c r="LD547" s="93"/>
      <c r="LE547" s="93"/>
      <c r="LF547" s="93"/>
      <c r="LG547" s="93"/>
      <c r="LH547" s="20"/>
      <c r="LI547" s="29"/>
      <c r="LJ547" s="19"/>
      <c r="LK547" s="93"/>
      <c r="LL547" s="93"/>
      <c r="LM547" s="93"/>
      <c r="LN547" s="93"/>
      <c r="LO547" s="20"/>
      <c r="LP547" s="29"/>
      <c r="LQ547" s="19"/>
      <c r="LR547" s="93"/>
      <c r="LS547" s="93"/>
      <c r="LT547" s="93"/>
      <c r="LU547" s="93"/>
      <c r="LV547" s="93"/>
      <c r="LW547" s="93"/>
      <c r="LX547" s="93"/>
      <c r="LY547" s="93"/>
      <c r="LZ547" s="93"/>
      <c r="MA547" s="20"/>
      <c r="MB547" s="29"/>
      <c r="MC547" s="1504">
        <v>51105</v>
      </c>
      <c r="MD547" s="19"/>
      <c r="ME547" s="93"/>
      <c r="MF547" s="93"/>
      <c r="MG547" s="93"/>
      <c r="MH547" s="93"/>
      <c r="MI547" s="93"/>
      <c r="MJ547" s="93"/>
      <c r="MK547" s="93"/>
      <c r="ML547" s="93"/>
      <c r="MM547" s="93"/>
      <c r="MN547" s="93"/>
      <c r="MO547" s="93"/>
      <c r="MP547" s="93"/>
      <c r="MQ547" s="93"/>
      <c r="MR547" s="93"/>
      <c r="MS547" s="93"/>
      <c r="MT547" s="93"/>
      <c r="MU547" s="93"/>
      <c r="MV547" s="93"/>
      <c r="MW547" s="93"/>
      <c r="MX547" s="93"/>
      <c r="MY547" s="93"/>
      <c r="MZ547" s="93"/>
      <c r="NA547" s="93"/>
      <c r="NB547" s="93"/>
      <c r="NC547" s="93"/>
      <c r="ND547" s="93"/>
      <c r="NE547" s="93"/>
      <c r="NF547" s="93"/>
      <c r="NG547" s="93"/>
      <c r="NH547" s="93"/>
      <c r="NI547" s="93"/>
      <c r="NJ547" s="93"/>
      <c r="NK547" s="93"/>
      <c r="NL547" s="93"/>
      <c r="NM547" s="93"/>
      <c r="NN547" s="93"/>
      <c r="NO547" s="93"/>
      <c r="NP547" s="93"/>
      <c r="NQ547" s="93"/>
      <c r="NR547" s="93"/>
      <c r="NS547" s="93"/>
      <c r="NT547" s="93"/>
      <c r="NU547" s="93"/>
      <c r="NV547" s="93"/>
      <c r="NW547" s="93"/>
      <c r="NX547" s="93"/>
      <c r="NY547" s="93"/>
      <c r="NZ547" s="93"/>
      <c r="OA547" s="93"/>
      <c r="OB547" s="93"/>
      <c r="OC547" s="93"/>
      <c r="OD547" s="20"/>
      <c r="OE547" s="29"/>
      <c r="OF547" s="1504">
        <v>51105</v>
      </c>
      <c r="OG547" s="19"/>
      <c r="OH547" s="93"/>
      <c r="OI547" s="93"/>
      <c r="OJ547" s="93"/>
      <c r="OK547" s="93"/>
      <c r="OL547" s="93"/>
      <c r="OM547" s="93"/>
      <c r="ON547" s="93"/>
      <c r="OO547" s="93"/>
      <c r="OP547" s="93"/>
      <c r="OQ547" s="93"/>
      <c r="OR547" s="93"/>
      <c r="OS547" s="93"/>
      <c r="OT547" s="93"/>
      <c r="OU547" s="93"/>
      <c r="OV547" s="93"/>
      <c r="OW547" s="93"/>
      <c r="OX547" s="93"/>
      <c r="OY547" s="93"/>
      <c r="OZ547" s="93"/>
      <c r="PA547" s="93"/>
      <c r="PB547" s="93"/>
      <c r="PC547" s="20"/>
      <c r="PD547" s="29"/>
      <c r="PE547" s="19"/>
      <c r="PF547" s="93"/>
      <c r="PG547" s="93"/>
      <c r="PH547" s="93"/>
      <c r="PI547" s="93"/>
      <c r="PJ547" s="93"/>
      <c r="PK547" s="93"/>
      <c r="PL547" s="93"/>
      <c r="PM547" s="93"/>
      <c r="PN547" s="93"/>
      <c r="PO547" s="93"/>
      <c r="PP547" s="93"/>
      <c r="PQ547" s="93"/>
      <c r="PR547" s="93"/>
      <c r="PS547" s="93"/>
      <c r="PT547" s="93"/>
      <c r="PU547" s="93"/>
      <c r="PV547" s="93"/>
      <c r="PW547" s="93"/>
      <c r="PX547" s="93"/>
      <c r="PY547" s="93"/>
      <c r="PZ547" s="93"/>
      <c r="QA547" s="93"/>
      <c r="QB547" s="93"/>
      <c r="QC547" s="93"/>
      <c r="QD547" s="93"/>
      <c r="QE547" s="20"/>
      <c r="QF547" s="1739"/>
      <c r="QG547" s="19"/>
      <c r="QH547" s="93"/>
      <c r="QI547" s="93"/>
      <c r="QJ547" s="93"/>
      <c r="QK547" s="93"/>
      <c r="QL547" s="93"/>
      <c r="QM547" s="93"/>
      <c r="QN547" s="93"/>
      <c r="QO547" s="93"/>
      <c r="QP547" s="93"/>
      <c r="QQ547" s="93"/>
      <c r="QR547" s="93"/>
      <c r="QS547" s="93"/>
      <c r="QT547" s="93"/>
      <c r="QU547" s="93"/>
      <c r="QV547" s="93"/>
      <c r="QW547" s="93"/>
      <c r="QX547" s="93"/>
      <c r="QY547" s="93"/>
      <c r="QZ547" s="93"/>
      <c r="RA547" s="93"/>
      <c r="RB547" s="93"/>
      <c r="RC547" s="93"/>
      <c r="RD547" s="93"/>
      <c r="RE547" s="93"/>
      <c r="RF547" s="93"/>
      <c r="RG547" s="93"/>
      <c r="RH547" s="93"/>
      <c r="RI547" s="93"/>
      <c r="RJ547" s="93"/>
      <c r="RK547" s="93"/>
      <c r="RL547" s="93"/>
      <c r="RM547" s="20"/>
      <c r="RN547" s="29"/>
      <c r="RO547" s="19"/>
      <c r="RP547" s="20"/>
      <c r="RQ547" s="29"/>
      <c r="RR547" s="20"/>
      <c r="RS547" s="29"/>
      <c r="RT547" s="1504">
        <v>51105</v>
      </c>
      <c r="RU547" s="19"/>
      <c r="RV547" s="20"/>
      <c r="RW547" s="29"/>
      <c r="RX547" s="1504">
        <v>51105</v>
      </c>
      <c r="RY547" s="29"/>
      <c r="RZ547" s="20"/>
      <c r="SA547" s="29"/>
      <c r="SB547" s="29"/>
    </row>
    <row r="548" spans="1:496">
      <c r="A548" s="41">
        <f t="shared" si="362"/>
        <v>2040</v>
      </c>
      <c r="B548" s="1504">
        <v>51136</v>
      </c>
      <c r="C548" s="1813"/>
      <c r="D548" s="1814"/>
      <c r="E548" s="1814"/>
      <c r="F548" s="1815"/>
      <c r="G548" s="1814"/>
      <c r="H548" s="1814"/>
      <c r="I548" s="1814"/>
      <c r="J548" s="1816"/>
      <c r="K548" s="1807"/>
      <c r="L548" s="25"/>
      <c r="M548" s="97"/>
      <c r="N548" s="1504">
        <v>51136</v>
      </c>
      <c r="O548" s="19"/>
      <c r="P548" s="93"/>
      <c r="Q548" s="93"/>
      <c r="R548" s="93"/>
      <c r="S548" s="93"/>
      <c r="T548" s="93"/>
      <c r="U548" s="93"/>
      <c r="V548" s="93"/>
      <c r="W548" s="93"/>
      <c r="X548" s="93"/>
      <c r="Y548" s="93"/>
      <c r="Z548" s="93"/>
      <c r="AA548" s="93"/>
      <c r="AB548" s="20"/>
      <c r="AC548" s="25"/>
      <c r="AD548" s="97"/>
      <c r="AE548" s="1504">
        <v>51136</v>
      </c>
      <c r="AF548" s="19"/>
      <c r="AG548" s="93"/>
      <c r="AH548" s="93"/>
      <c r="AI548" s="93"/>
      <c r="AJ548" s="93"/>
      <c r="AK548" s="93"/>
      <c r="AL548" s="93"/>
      <c r="AM548" s="93"/>
      <c r="AN548" s="93"/>
      <c r="AO548" s="93"/>
      <c r="AP548" s="93"/>
      <c r="AQ548" s="93"/>
      <c r="AR548" s="93"/>
      <c r="AS548" s="20"/>
      <c r="AT548" s="25"/>
      <c r="AU548" s="97"/>
      <c r="AV548" s="1504">
        <v>51136</v>
      </c>
      <c r="AW548" s="19"/>
      <c r="AX548" s="93"/>
      <c r="AY548" s="93"/>
      <c r="AZ548" s="93"/>
      <c r="BA548" s="93"/>
      <c r="BB548" s="93"/>
      <c r="BC548" s="93"/>
      <c r="BD548" s="93"/>
      <c r="BE548" s="93"/>
      <c r="BF548" s="93"/>
      <c r="BG548" s="93"/>
      <c r="BH548" s="93"/>
      <c r="BI548" s="93"/>
      <c r="BJ548" s="20"/>
      <c r="BK548" s="25"/>
      <c r="BL548" s="97"/>
      <c r="BM548" s="1504">
        <v>51136</v>
      </c>
      <c r="BN548" s="19"/>
      <c r="BO548" s="93"/>
      <c r="BP548" s="93"/>
      <c r="BQ548" s="93"/>
      <c r="BR548" s="93"/>
      <c r="BS548" s="93"/>
      <c r="BT548" s="93"/>
      <c r="BU548" s="20"/>
      <c r="BV548" s="25"/>
      <c r="BW548" s="97"/>
      <c r="BX548" s="1504">
        <v>51136</v>
      </c>
      <c r="BY548" s="19"/>
      <c r="BZ548" s="93"/>
      <c r="CA548" s="93"/>
      <c r="CB548" s="93"/>
      <c r="CC548" s="93"/>
      <c r="CD548" s="25"/>
      <c r="CE548" s="97"/>
      <c r="CF548" s="1504">
        <v>51136</v>
      </c>
      <c r="CG548" s="19"/>
      <c r="CH548" s="93"/>
      <c r="CI548" s="219"/>
      <c r="CJ548" s="20"/>
      <c r="CK548" s="19"/>
      <c r="CL548" s="93"/>
      <c r="CM548" s="93"/>
      <c r="CN548" s="93"/>
      <c r="CO548" s="93"/>
      <c r="CP548" s="20"/>
      <c r="CQ548" s="219"/>
      <c r="CR548" s="93"/>
      <c r="CS548" s="93"/>
      <c r="CT548" s="93"/>
      <c r="CU548" s="93"/>
      <c r="CV548" s="214"/>
      <c r="CW548" s="29"/>
      <c r="CX548" s="41">
        <f t="shared" si="361"/>
        <v>2040</v>
      </c>
      <c r="CY548" s="1504">
        <v>51136</v>
      </c>
      <c r="CZ548" s="19"/>
      <c r="DA548" s="93"/>
      <c r="DB548" s="93"/>
      <c r="DC548" s="93"/>
      <c r="DD548" s="93"/>
      <c r="DE548" s="20"/>
      <c r="DF548" s="29"/>
      <c r="DG548" s="1504">
        <v>51136</v>
      </c>
      <c r="DH548" s="19"/>
      <c r="DI548" s="93"/>
      <c r="DJ548" s="93"/>
      <c r="DK548" s="93"/>
      <c r="DL548" s="93"/>
      <c r="DM548" s="93"/>
      <c r="DN548" s="20"/>
      <c r="DO548" s="295"/>
      <c r="DP548" s="29"/>
      <c r="DQ548" s="1504">
        <v>51136</v>
      </c>
      <c r="DR548" s="19"/>
      <c r="DS548" s="93"/>
      <c r="DT548" s="93"/>
      <c r="DU548" s="93"/>
      <c r="DV548" s="93"/>
      <c r="DW548" s="93"/>
      <c r="DX548" s="20"/>
      <c r="DY548" s="29"/>
      <c r="DZ548" s="1504">
        <v>51136</v>
      </c>
      <c r="EA548" s="19"/>
      <c r="EB548" s="93"/>
      <c r="EC548" s="20"/>
      <c r="ED548" s="29"/>
      <c r="EE548" s="1504">
        <v>51136</v>
      </c>
      <c r="EF548" s="19"/>
      <c r="EG548" s="93"/>
      <c r="EH548" s="93"/>
      <c r="EI548" s="214"/>
      <c r="EJ548" s="93"/>
      <c r="EK548" s="93"/>
      <c r="EL548" s="93"/>
      <c r="EM548" s="93"/>
      <c r="EN548" s="20"/>
      <c r="EO548" s="29"/>
      <c r="EP548" s="1504">
        <v>51136</v>
      </c>
      <c r="EQ548" s="19"/>
      <c r="ER548" s="93"/>
      <c r="ES548" s="93"/>
      <c r="ET548" s="214"/>
      <c r="EU548" s="93"/>
      <c r="EV548" s="93"/>
      <c r="EW548" s="93"/>
      <c r="EX548" s="93"/>
      <c r="EY548" s="20"/>
      <c r="EZ548" s="29"/>
      <c r="FA548" s="1504">
        <v>51136</v>
      </c>
      <c r="FB548" s="29"/>
      <c r="FC548" s="29"/>
      <c r="FD548" s="29"/>
      <c r="FE548" s="29"/>
      <c r="FF548" s="29"/>
      <c r="FG548" s="29"/>
      <c r="FH548" s="29"/>
      <c r="FI548" s="29"/>
      <c r="FJ548" s="29"/>
      <c r="FK548" s="29"/>
      <c r="FL548" s="1504">
        <v>51136</v>
      </c>
      <c r="FM548" s="19"/>
      <c r="FN548" s="93"/>
      <c r="FO548" s="93"/>
      <c r="FP548" s="93"/>
      <c r="FQ548" s="93"/>
      <c r="FR548" s="93"/>
      <c r="FS548" s="93"/>
      <c r="FT548" s="93"/>
      <c r="FU548" s="93"/>
      <c r="FV548" s="93"/>
      <c r="FW548" s="93"/>
      <c r="FX548" s="93"/>
      <c r="FY548" s="93"/>
      <c r="FZ548" s="29"/>
      <c r="GA548" s="1504">
        <v>51136</v>
      </c>
      <c r="GB548" s="19"/>
      <c r="GC548" s="93"/>
      <c r="GD548" s="93"/>
      <c r="GE548" s="93"/>
      <c r="GF548" s="93"/>
      <c r="GG548" s="93"/>
      <c r="GH548" s="93"/>
      <c r="GI548" s="93"/>
      <c r="GJ548" s="93"/>
      <c r="GK548" s="93"/>
      <c r="GL548" s="93"/>
      <c r="GM548" s="93"/>
      <c r="GN548" s="20"/>
      <c r="GO548" s="29"/>
      <c r="GP548" s="1504">
        <v>51136</v>
      </c>
      <c r="GQ548" s="19"/>
      <c r="GR548" s="93"/>
      <c r="GS548" s="93"/>
      <c r="GT548" s="93"/>
      <c r="GU548" s="93"/>
      <c r="GV548" s="20"/>
      <c r="GW548" s="19"/>
      <c r="GX548" s="93"/>
      <c r="GY548" s="93"/>
      <c r="GZ548" s="93"/>
      <c r="HA548" s="93"/>
      <c r="HB548" s="20"/>
      <c r="HC548" s="19"/>
      <c r="HD548" s="93"/>
      <c r="HE548" s="93"/>
      <c r="HF548" s="93"/>
      <c r="HG548" s="93"/>
      <c r="HH548" s="20"/>
      <c r="HI548" s="19"/>
      <c r="HJ548" s="93"/>
      <c r="HK548" s="93"/>
      <c r="HL548" s="93"/>
      <c r="HM548" s="93"/>
      <c r="HN548" s="20"/>
      <c r="HO548" s="219"/>
      <c r="HP548" s="20"/>
      <c r="HQ548" s="25"/>
      <c r="HR548" s="29"/>
      <c r="HS548" s="1504">
        <v>51136</v>
      </c>
      <c r="HT548" s="19"/>
      <c r="HU548" s="93"/>
      <c r="HV548" s="93"/>
      <c r="HW548" s="93"/>
      <c r="HX548" s="93"/>
      <c r="HY548" s="93"/>
      <c r="HZ548" s="93"/>
      <c r="IA548" s="20"/>
      <c r="IB548" s="19"/>
      <c r="IC548" s="93"/>
      <c r="ID548" s="93"/>
      <c r="IE548" s="93"/>
      <c r="IF548" s="93"/>
      <c r="IG548" s="20"/>
      <c r="IH548" s="19"/>
      <c r="II548" s="93"/>
      <c r="IJ548" s="93"/>
      <c r="IK548" s="93"/>
      <c r="IL548" s="93"/>
      <c r="IM548" s="93"/>
      <c r="IN548" s="93"/>
      <c r="IO548" s="20"/>
      <c r="IP548" s="29"/>
      <c r="IQ548" s="19"/>
      <c r="IR548" s="93"/>
      <c r="IS548" s="93"/>
      <c r="IT548" s="93"/>
      <c r="IU548" s="93"/>
      <c r="IV548" s="20"/>
      <c r="IW548" s="29"/>
      <c r="IX548" s="19"/>
      <c r="IY548" s="93"/>
      <c r="IZ548" s="93"/>
      <c r="JA548" s="93"/>
      <c r="JB548" s="93"/>
      <c r="JC548" s="93"/>
      <c r="JD548" s="93"/>
      <c r="JE548" s="20"/>
      <c r="JF548" s="29"/>
      <c r="JG548" s="19"/>
      <c r="JH548" s="93"/>
      <c r="JI548" s="93"/>
      <c r="JJ548" s="93"/>
      <c r="JK548" s="93"/>
      <c r="JL548" s="93"/>
      <c r="JM548" s="93"/>
      <c r="JN548" s="20"/>
      <c r="JO548" s="29"/>
      <c r="JP548" s="19"/>
      <c r="JQ548" s="93"/>
      <c r="JR548" s="93"/>
      <c r="JS548" s="93"/>
      <c r="JT548" s="93"/>
      <c r="JU548" s="20"/>
      <c r="JV548" s="29"/>
      <c r="JW548" s="1504">
        <v>51136</v>
      </c>
      <c r="JX548" s="19"/>
      <c r="JY548" s="93"/>
      <c r="JZ548" s="93"/>
      <c r="KA548" s="93"/>
      <c r="KB548" s="93"/>
      <c r="KC548" s="93"/>
      <c r="KD548" s="20"/>
      <c r="KE548" s="29"/>
      <c r="KF548" s="19"/>
      <c r="KG548" s="93"/>
      <c r="KH548" s="93"/>
      <c r="KI548" s="93"/>
      <c r="KJ548" s="93"/>
      <c r="KK548" s="20"/>
      <c r="KL548" s="29"/>
      <c r="KM548" s="19"/>
      <c r="KN548" s="93"/>
      <c r="KO548" s="93"/>
      <c r="KP548" s="93"/>
      <c r="KQ548" s="93"/>
      <c r="KR548" s="20"/>
      <c r="KS548" s="29"/>
      <c r="KT548" s="19"/>
      <c r="KU548" s="93"/>
      <c r="KV548" s="93"/>
      <c r="KW548" s="93"/>
      <c r="KX548" s="93"/>
      <c r="KY548" s="20"/>
      <c r="KZ548" s="29"/>
      <c r="LA548" s="1504">
        <v>51136</v>
      </c>
      <c r="LB548" s="19"/>
      <c r="LC548" s="93"/>
      <c r="LD548" s="93"/>
      <c r="LE548" s="93"/>
      <c r="LF548" s="93"/>
      <c r="LG548" s="93"/>
      <c r="LH548" s="20"/>
      <c r="LI548" s="29"/>
      <c r="LJ548" s="19"/>
      <c r="LK548" s="93"/>
      <c r="LL548" s="93"/>
      <c r="LM548" s="93"/>
      <c r="LN548" s="93"/>
      <c r="LO548" s="20"/>
      <c r="LP548" s="29"/>
      <c r="LQ548" s="19"/>
      <c r="LR548" s="93"/>
      <c r="LS548" s="93"/>
      <c r="LT548" s="93"/>
      <c r="LU548" s="93"/>
      <c r="LV548" s="93"/>
      <c r="LW548" s="93"/>
      <c r="LX548" s="93"/>
      <c r="LY548" s="93"/>
      <c r="LZ548" s="93"/>
      <c r="MA548" s="20"/>
      <c r="MB548" s="29"/>
      <c r="MC548" s="1504">
        <v>51136</v>
      </c>
      <c r="MD548" s="19"/>
      <c r="ME548" s="93"/>
      <c r="MF548" s="93"/>
      <c r="MG548" s="93"/>
      <c r="MH548" s="93"/>
      <c r="MI548" s="93"/>
      <c r="MJ548" s="93"/>
      <c r="MK548" s="93"/>
      <c r="ML548" s="93"/>
      <c r="MM548" s="93"/>
      <c r="MN548" s="93"/>
      <c r="MO548" s="93"/>
      <c r="MP548" s="93"/>
      <c r="MQ548" s="93"/>
      <c r="MR548" s="93"/>
      <c r="MS548" s="93"/>
      <c r="MT548" s="93"/>
      <c r="MU548" s="93"/>
      <c r="MV548" s="93"/>
      <c r="MW548" s="93"/>
      <c r="MX548" s="93"/>
      <c r="MY548" s="93"/>
      <c r="MZ548" s="93"/>
      <c r="NA548" s="93"/>
      <c r="NB548" s="93"/>
      <c r="NC548" s="93"/>
      <c r="ND548" s="93"/>
      <c r="NE548" s="93"/>
      <c r="NF548" s="93"/>
      <c r="NG548" s="93"/>
      <c r="NH548" s="93"/>
      <c r="NI548" s="93"/>
      <c r="NJ548" s="93"/>
      <c r="NK548" s="93"/>
      <c r="NL548" s="93"/>
      <c r="NM548" s="93"/>
      <c r="NN548" s="93"/>
      <c r="NO548" s="93"/>
      <c r="NP548" s="93"/>
      <c r="NQ548" s="93"/>
      <c r="NR548" s="93"/>
      <c r="NS548" s="93"/>
      <c r="NT548" s="93"/>
      <c r="NU548" s="93"/>
      <c r="NV548" s="93"/>
      <c r="NW548" s="93"/>
      <c r="NX548" s="93"/>
      <c r="NY548" s="93"/>
      <c r="NZ548" s="93"/>
      <c r="OA548" s="93"/>
      <c r="OB548" s="93"/>
      <c r="OC548" s="93"/>
      <c r="OD548" s="20"/>
      <c r="OE548" s="29"/>
      <c r="OF548" s="1504">
        <v>51136</v>
      </c>
      <c r="OG548" s="19"/>
      <c r="OH548" s="93"/>
      <c r="OI548" s="93"/>
      <c r="OJ548" s="93"/>
      <c r="OK548" s="93"/>
      <c r="OL548" s="93"/>
      <c r="OM548" s="93"/>
      <c r="ON548" s="93"/>
      <c r="OO548" s="93"/>
      <c r="OP548" s="93"/>
      <c r="OQ548" s="93"/>
      <c r="OR548" s="93"/>
      <c r="OS548" s="93"/>
      <c r="OT548" s="93"/>
      <c r="OU548" s="93"/>
      <c r="OV548" s="93"/>
      <c r="OW548" s="93"/>
      <c r="OX548" s="93"/>
      <c r="OY548" s="93"/>
      <c r="OZ548" s="93"/>
      <c r="PA548" s="93"/>
      <c r="PB548" s="93"/>
      <c r="PC548" s="20"/>
      <c r="PD548" s="29"/>
      <c r="PE548" s="19"/>
      <c r="PF548" s="93"/>
      <c r="PG548" s="93"/>
      <c r="PH548" s="93"/>
      <c r="PI548" s="93"/>
      <c r="PJ548" s="93"/>
      <c r="PK548" s="93"/>
      <c r="PL548" s="93"/>
      <c r="PM548" s="93"/>
      <c r="PN548" s="93"/>
      <c r="PO548" s="93"/>
      <c r="PP548" s="93"/>
      <c r="PQ548" s="93"/>
      <c r="PR548" s="93"/>
      <c r="PS548" s="93"/>
      <c r="PT548" s="93"/>
      <c r="PU548" s="93"/>
      <c r="PV548" s="93"/>
      <c r="PW548" s="93"/>
      <c r="PX548" s="93"/>
      <c r="PY548" s="93"/>
      <c r="PZ548" s="93"/>
      <c r="QA548" s="93"/>
      <c r="QB548" s="93"/>
      <c r="QC548" s="93"/>
      <c r="QD548" s="93"/>
      <c r="QE548" s="20"/>
      <c r="QF548" s="1739"/>
      <c r="QG548" s="19"/>
      <c r="QH548" s="93"/>
      <c r="QI548" s="93"/>
      <c r="QJ548" s="93"/>
      <c r="QK548" s="93"/>
      <c r="QL548" s="93"/>
      <c r="QM548" s="93"/>
      <c r="QN548" s="93"/>
      <c r="QO548" s="93"/>
      <c r="QP548" s="93"/>
      <c r="QQ548" s="93"/>
      <c r="QR548" s="93"/>
      <c r="QS548" s="93"/>
      <c r="QT548" s="93"/>
      <c r="QU548" s="93"/>
      <c r="QV548" s="93"/>
      <c r="QW548" s="93"/>
      <c r="QX548" s="93"/>
      <c r="QY548" s="93"/>
      <c r="QZ548" s="93"/>
      <c r="RA548" s="93"/>
      <c r="RB548" s="93"/>
      <c r="RC548" s="93"/>
      <c r="RD548" s="93"/>
      <c r="RE548" s="93"/>
      <c r="RF548" s="93"/>
      <c r="RG548" s="93"/>
      <c r="RH548" s="93"/>
      <c r="RI548" s="93"/>
      <c r="RJ548" s="93"/>
      <c r="RK548" s="93"/>
      <c r="RL548" s="93"/>
      <c r="RM548" s="20"/>
      <c r="RN548" s="29"/>
      <c r="RO548" s="19"/>
      <c r="RP548" s="20"/>
      <c r="RQ548" s="29"/>
      <c r="RR548" s="20"/>
      <c r="RS548" s="29"/>
      <c r="RT548" s="1504">
        <v>51136</v>
      </c>
      <c r="RU548" s="19"/>
      <c r="RV548" s="20"/>
      <c r="RW548" s="29"/>
      <c r="RX548" s="1504">
        <v>51136</v>
      </c>
      <c r="RY548" s="29"/>
      <c r="RZ548" s="20"/>
      <c r="SA548" s="29"/>
      <c r="SB548" s="29"/>
    </row>
    <row r="549" spans="1:496">
      <c r="A549" s="41">
        <f t="shared" si="362"/>
        <v>2040</v>
      </c>
      <c r="B549" s="1504">
        <v>51167</v>
      </c>
      <c r="C549" s="1813"/>
      <c r="D549" s="1814"/>
      <c r="E549" s="1814"/>
      <c r="F549" s="1815"/>
      <c r="G549" s="1814"/>
      <c r="H549" s="1814"/>
      <c r="I549" s="1814"/>
      <c r="J549" s="1816"/>
      <c r="K549" s="1807"/>
      <c r="L549" s="25"/>
      <c r="M549" s="97"/>
      <c r="N549" s="1504">
        <v>51167</v>
      </c>
      <c r="O549" s="19"/>
      <c r="P549" s="93"/>
      <c r="Q549" s="93"/>
      <c r="R549" s="93"/>
      <c r="S549" s="93"/>
      <c r="T549" s="93"/>
      <c r="U549" s="93"/>
      <c r="V549" s="93"/>
      <c r="W549" s="93"/>
      <c r="X549" s="93"/>
      <c r="Y549" s="93"/>
      <c r="Z549" s="93"/>
      <c r="AA549" s="93"/>
      <c r="AB549" s="20"/>
      <c r="AC549" s="25"/>
      <c r="AD549" s="97"/>
      <c r="AE549" s="1504">
        <v>51167</v>
      </c>
      <c r="AF549" s="19"/>
      <c r="AG549" s="93"/>
      <c r="AH549" s="93"/>
      <c r="AI549" s="93"/>
      <c r="AJ549" s="93"/>
      <c r="AK549" s="93"/>
      <c r="AL549" s="93"/>
      <c r="AM549" s="93"/>
      <c r="AN549" s="93"/>
      <c r="AO549" s="93"/>
      <c r="AP549" s="93"/>
      <c r="AQ549" s="93"/>
      <c r="AR549" s="93"/>
      <c r="AS549" s="20"/>
      <c r="AT549" s="25"/>
      <c r="AU549" s="97"/>
      <c r="AV549" s="1504">
        <v>51167</v>
      </c>
      <c r="AW549" s="19"/>
      <c r="AX549" s="93"/>
      <c r="AY549" s="93"/>
      <c r="AZ549" s="93"/>
      <c r="BA549" s="93"/>
      <c r="BB549" s="93"/>
      <c r="BC549" s="93"/>
      <c r="BD549" s="93"/>
      <c r="BE549" s="93"/>
      <c r="BF549" s="93"/>
      <c r="BG549" s="93"/>
      <c r="BH549" s="93"/>
      <c r="BI549" s="93"/>
      <c r="BJ549" s="20"/>
      <c r="BK549" s="25"/>
      <c r="BL549" s="97"/>
      <c r="BM549" s="1504">
        <v>51167</v>
      </c>
      <c r="BN549" s="19"/>
      <c r="BO549" s="93"/>
      <c r="BP549" s="93"/>
      <c r="BQ549" s="93"/>
      <c r="BR549" s="93"/>
      <c r="BS549" s="93"/>
      <c r="BT549" s="93"/>
      <c r="BU549" s="20"/>
      <c r="BV549" s="25"/>
      <c r="BW549" s="97"/>
      <c r="BX549" s="1504">
        <v>51167</v>
      </c>
      <c r="BY549" s="19"/>
      <c r="BZ549" s="93"/>
      <c r="CA549" s="93"/>
      <c r="CB549" s="93"/>
      <c r="CC549" s="93"/>
      <c r="CD549" s="25"/>
      <c r="CE549" s="97"/>
      <c r="CF549" s="1504">
        <v>51167</v>
      </c>
      <c r="CG549" s="19"/>
      <c r="CH549" s="93"/>
      <c r="CI549" s="219"/>
      <c r="CJ549" s="20"/>
      <c r="CK549" s="19"/>
      <c r="CL549" s="93"/>
      <c r="CM549" s="93"/>
      <c r="CN549" s="93"/>
      <c r="CO549" s="93"/>
      <c r="CP549" s="20"/>
      <c r="CQ549" s="219"/>
      <c r="CR549" s="93"/>
      <c r="CS549" s="93"/>
      <c r="CT549" s="93"/>
      <c r="CU549" s="93"/>
      <c r="CV549" s="214"/>
      <c r="CW549" s="29"/>
      <c r="CX549" s="41">
        <f t="shared" si="361"/>
        <v>2040</v>
      </c>
      <c r="CY549" s="1504">
        <v>51167</v>
      </c>
      <c r="CZ549" s="19"/>
      <c r="DA549" s="93"/>
      <c r="DB549" s="93"/>
      <c r="DC549" s="93"/>
      <c r="DD549" s="93"/>
      <c r="DE549" s="20"/>
      <c r="DF549" s="29"/>
      <c r="DG549" s="1504">
        <v>51167</v>
      </c>
      <c r="DH549" s="19"/>
      <c r="DI549" s="93"/>
      <c r="DJ549" s="93"/>
      <c r="DK549" s="93"/>
      <c r="DL549" s="93"/>
      <c r="DM549" s="93"/>
      <c r="DN549" s="20"/>
      <c r="DO549" s="295"/>
      <c r="DP549" s="29"/>
      <c r="DQ549" s="1504">
        <v>51167</v>
      </c>
      <c r="DR549" s="19"/>
      <c r="DS549" s="93"/>
      <c r="DT549" s="93"/>
      <c r="DU549" s="93"/>
      <c r="DV549" s="93"/>
      <c r="DW549" s="93"/>
      <c r="DX549" s="20"/>
      <c r="DY549" s="29"/>
      <c r="DZ549" s="1504">
        <v>51167</v>
      </c>
      <c r="EA549" s="19"/>
      <c r="EB549" s="93"/>
      <c r="EC549" s="20"/>
      <c r="ED549" s="29"/>
      <c r="EE549" s="1504">
        <v>51167</v>
      </c>
      <c r="EF549" s="19"/>
      <c r="EG549" s="93"/>
      <c r="EH549" s="93"/>
      <c r="EI549" s="214"/>
      <c r="EJ549" s="93"/>
      <c r="EK549" s="93"/>
      <c r="EL549" s="93"/>
      <c r="EM549" s="93"/>
      <c r="EN549" s="20"/>
      <c r="EO549" s="29"/>
      <c r="EP549" s="1504">
        <v>51167</v>
      </c>
      <c r="EQ549" s="19"/>
      <c r="ER549" s="93"/>
      <c r="ES549" s="93"/>
      <c r="ET549" s="214"/>
      <c r="EU549" s="93"/>
      <c r="EV549" s="93"/>
      <c r="EW549" s="93"/>
      <c r="EX549" s="93"/>
      <c r="EY549" s="20"/>
      <c r="EZ549" s="29"/>
      <c r="FA549" s="1504">
        <v>51167</v>
      </c>
      <c r="FB549" s="29"/>
      <c r="FC549" s="29"/>
      <c r="FD549" s="29"/>
      <c r="FE549" s="29"/>
      <c r="FF549" s="29"/>
      <c r="FG549" s="29"/>
      <c r="FH549" s="29"/>
      <c r="FI549" s="29"/>
      <c r="FJ549" s="29"/>
      <c r="FK549" s="29"/>
      <c r="FL549" s="1504">
        <v>51167</v>
      </c>
      <c r="FM549" s="19"/>
      <c r="FN549" s="93"/>
      <c r="FO549" s="93"/>
      <c r="FP549" s="93"/>
      <c r="FQ549" s="93"/>
      <c r="FR549" s="93"/>
      <c r="FS549" s="93"/>
      <c r="FT549" s="93"/>
      <c r="FU549" s="93"/>
      <c r="FV549" s="93"/>
      <c r="FW549" s="93"/>
      <c r="FX549" s="93"/>
      <c r="FY549" s="93"/>
      <c r="FZ549" s="29"/>
      <c r="GA549" s="1504">
        <v>51167</v>
      </c>
      <c r="GB549" s="19"/>
      <c r="GC549" s="93"/>
      <c r="GD549" s="93"/>
      <c r="GE549" s="93"/>
      <c r="GF549" s="93"/>
      <c r="GG549" s="93"/>
      <c r="GH549" s="93"/>
      <c r="GI549" s="93"/>
      <c r="GJ549" s="93"/>
      <c r="GK549" s="93"/>
      <c r="GL549" s="93"/>
      <c r="GM549" s="93"/>
      <c r="GN549" s="20"/>
      <c r="GO549" s="29"/>
      <c r="GP549" s="1504">
        <v>51167</v>
      </c>
      <c r="GQ549" s="19"/>
      <c r="GR549" s="93"/>
      <c r="GS549" s="93"/>
      <c r="GT549" s="93"/>
      <c r="GU549" s="93"/>
      <c r="GV549" s="20"/>
      <c r="GW549" s="19"/>
      <c r="GX549" s="93"/>
      <c r="GY549" s="93"/>
      <c r="GZ549" s="93"/>
      <c r="HA549" s="93"/>
      <c r="HB549" s="20"/>
      <c r="HC549" s="19"/>
      <c r="HD549" s="93"/>
      <c r="HE549" s="93"/>
      <c r="HF549" s="93"/>
      <c r="HG549" s="93"/>
      <c r="HH549" s="20"/>
      <c r="HI549" s="19"/>
      <c r="HJ549" s="93"/>
      <c r="HK549" s="93"/>
      <c r="HL549" s="93"/>
      <c r="HM549" s="93"/>
      <c r="HN549" s="20"/>
      <c r="HO549" s="219"/>
      <c r="HP549" s="20"/>
      <c r="HQ549" s="25"/>
      <c r="HR549" s="29"/>
      <c r="HS549" s="1504">
        <v>51167</v>
      </c>
      <c r="HT549" s="19"/>
      <c r="HU549" s="93"/>
      <c r="HV549" s="93"/>
      <c r="HW549" s="93"/>
      <c r="HX549" s="93"/>
      <c r="HY549" s="93"/>
      <c r="HZ549" s="93"/>
      <c r="IA549" s="20"/>
      <c r="IB549" s="19"/>
      <c r="IC549" s="93"/>
      <c r="ID549" s="93"/>
      <c r="IE549" s="93"/>
      <c r="IF549" s="93"/>
      <c r="IG549" s="20"/>
      <c r="IH549" s="19"/>
      <c r="II549" s="93"/>
      <c r="IJ549" s="93"/>
      <c r="IK549" s="93"/>
      <c r="IL549" s="93"/>
      <c r="IM549" s="93"/>
      <c r="IN549" s="93"/>
      <c r="IO549" s="20"/>
      <c r="IP549" s="29"/>
      <c r="IQ549" s="19"/>
      <c r="IR549" s="93"/>
      <c r="IS549" s="93"/>
      <c r="IT549" s="93"/>
      <c r="IU549" s="93"/>
      <c r="IV549" s="20"/>
      <c r="IW549" s="29"/>
      <c r="IX549" s="19"/>
      <c r="IY549" s="93"/>
      <c r="IZ549" s="93"/>
      <c r="JA549" s="93"/>
      <c r="JB549" s="93"/>
      <c r="JC549" s="93"/>
      <c r="JD549" s="93"/>
      <c r="JE549" s="20"/>
      <c r="JF549" s="29"/>
      <c r="JG549" s="19"/>
      <c r="JH549" s="93"/>
      <c r="JI549" s="93"/>
      <c r="JJ549" s="93"/>
      <c r="JK549" s="93"/>
      <c r="JL549" s="93"/>
      <c r="JM549" s="93"/>
      <c r="JN549" s="20"/>
      <c r="JO549" s="29"/>
      <c r="JP549" s="19"/>
      <c r="JQ549" s="93"/>
      <c r="JR549" s="93"/>
      <c r="JS549" s="93"/>
      <c r="JT549" s="93"/>
      <c r="JU549" s="20"/>
      <c r="JV549" s="29"/>
      <c r="JW549" s="1504">
        <v>51167</v>
      </c>
      <c r="JX549" s="19"/>
      <c r="JY549" s="93"/>
      <c r="JZ549" s="93"/>
      <c r="KA549" s="93"/>
      <c r="KB549" s="93"/>
      <c r="KC549" s="93"/>
      <c r="KD549" s="20"/>
      <c r="KE549" s="29"/>
      <c r="KF549" s="19"/>
      <c r="KG549" s="93"/>
      <c r="KH549" s="93"/>
      <c r="KI549" s="93"/>
      <c r="KJ549" s="93"/>
      <c r="KK549" s="20"/>
      <c r="KL549" s="29"/>
      <c r="KM549" s="19"/>
      <c r="KN549" s="93"/>
      <c r="KO549" s="93"/>
      <c r="KP549" s="93"/>
      <c r="KQ549" s="93"/>
      <c r="KR549" s="20"/>
      <c r="KS549" s="29"/>
      <c r="KT549" s="19"/>
      <c r="KU549" s="93"/>
      <c r="KV549" s="93"/>
      <c r="KW549" s="93"/>
      <c r="KX549" s="93"/>
      <c r="KY549" s="20"/>
      <c r="KZ549" s="29"/>
      <c r="LA549" s="1504">
        <v>51167</v>
      </c>
      <c r="LB549" s="19"/>
      <c r="LC549" s="93"/>
      <c r="LD549" s="93"/>
      <c r="LE549" s="93"/>
      <c r="LF549" s="93"/>
      <c r="LG549" s="93"/>
      <c r="LH549" s="20"/>
      <c r="LI549" s="29"/>
      <c r="LJ549" s="19"/>
      <c r="LK549" s="93"/>
      <c r="LL549" s="93"/>
      <c r="LM549" s="93"/>
      <c r="LN549" s="93"/>
      <c r="LO549" s="20"/>
      <c r="LP549" s="29"/>
      <c r="LQ549" s="19"/>
      <c r="LR549" s="93"/>
      <c r="LS549" s="93"/>
      <c r="LT549" s="93"/>
      <c r="LU549" s="93"/>
      <c r="LV549" s="93"/>
      <c r="LW549" s="93"/>
      <c r="LX549" s="93"/>
      <c r="LY549" s="93"/>
      <c r="LZ549" s="93"/>
      <c r="MA549" s="20"/>
      <c r="MB549" s="29"/>
      <c r="MC549" s="1504">
        <v>51167</v>
      </c>
      <c r="MD549" s="19"/>
      <c r="ME549" s="93"/>
      <c r="MF549" s="93"/>
      <c r="MG549" s="93"/>
      <c r="MH549" s="93"/>
      <c r="MI549" s="93"/>
      <c r="MJ549" s="93"/>
      <c r="MK549" s="93"/>
      <c r="ML549" s="93"/>
      <c r="MM549" s="93"/>
      <c r="MN549" s="93"/>
      <c r="MO549" s="93"/>
      <c r="MP549" s="93"/>
      <c r="MQ549" s="93"/>
      <c r="MR549" s="93"/>
      <c r="MS549" s="93"/>
      <c r="MT549" s="93"/>
      <c r="MU549" s="93"/>
      <c r="MV549" s="93"/>
      <c r="MW549" s="93"/>
      <c r="MX549" s="93"/>
      <c r="MY549" s="93"/>
      <c r="MZ549" s="93"/>
      <c r="NA549" s="93"/>
      <c r="NB549" s="93"/>
      <c r="NC549" s="93"/>
      <c r="ND549" s="93"/>
      <c r="NE549" s="93"/>
      <c r="NF549" s="93"/>
      <c r="NG549" s="93"/>
      <c r="NH549" s="93"/>
      <c r="NI549" s="93"/>
      <c r="NJ549" s="93"/>
      <c r="NK549" s="93"/>
      <c r="NL549" s="93"/>
      <c r="NM549" s="93"/>
      <c r="NN549" s="93"/>
      <c r="NO549" s="93"/>
      <c r="NP549" s="93"/>
      <c r="NQ549" s="93"/>
      <c r="NR549" s="93"/>
      <c r="NS549" s="93"/>
      <c r="NT549" s="93"/>
      <c r="NU549" s="93"/>
      <c r="NV549" s="93"/>
      <c r="NW549" s="93"/>
      <c r="NX549" s="93"/>
      <c r="NY549" s="93"/>
      <c r="NZ549" s="93"/>
      <c r="OA549" s="93"/>
      <c r="OB549" s="93"/>
      <c r="OC549" s="93"/>
      <c r="OD549" s="20"/>
      <c r="OE549" s="29"/>
      <c r="OF549" s="1504">
        <v>51167</v>
      </c>
      <c r="OG549" s="19"/>
      <c r="OH549" s="93"/>
      <c r="OI549" s="93"/>
      <c r="OJ549" s="93"/>
      <c r="OK549" s="93"/>
      <c r="OL549" s="93"/>
      <c r="OM549" s="93"/>
      <c r="ON549" s="93"/>
      <c r="OO549" s="93"/>
      <c r="OP549" s="93"/>
      <c r="OQ549" s="93"/>
      <c r="OR549" s="93"/>
      <c r="OS549" s="93"/>
      <c r="OT549" s="93"/>
      <c r="OU549" s="93"/>
      <c r="OV549" s="93"/>
      <c r="OW549" s="93"/>
      <c r="OX549" s="93"/>
      <c r="OY549" s="93"/>
      <c r="OZ549" s="93"/>
      <c r="PA549" s="93"/>
      <c r="PB549" s="93"/>
      <c r="PC549" s="20"/>
      <c r="PD549" s="29"/>
      <c r="PE549" s="19"/>
      <c r="PF549" s="93"/>
      <c r="PG549" s="93"/>
      <c r="PH549" s="93"/>
      <c r="PI549" s="93"/>
      <c r="PJ549" s="93"/>
      <c r="PK549" s="93"/>
      <c r="PL549" s="93"/>
      <c r="PM549" s="93"/>
      <c r="PN549" s="93"/>
      <c r="PO549" s="93"/>
      <c r="PP549" s="93"/>
      <c r="PQ549" s="93"/>
      <c r="PR549" s="93"/>
      <c r="PS549" s="93"/>
      <c r="PT549" s="93"/>
      <c r="PU549" s="93"/>
      <c r="PV549" s="93"/>
      <c r="PW549" s="93"/>
      <c r="PX549" s="93"/>
      <c r="PY549" s="93"/>
      <c r="PZ549" s="93"/>
      <c r="QA549" s="93"/>
      <c r="QB549" s="93"/>
      <c r="QC549" s="93"/>
      <c r="QD549" s="93"/>
      <c r="QE549" s="20"/>
      <c r="QF549" s="1739"/>
      <c r="QG549" s="19"/>
      <c r="QH549" s="93"/>
      <c r="QI549" s="93"/>
      <c r="QJ549" s="93"/>
      <c r="QK549" s="93"/>
      <c r="QL549" s="93"/>
      <c r="QM549" s="93"/>
      <c r="QN549" s="93"/>
      <c r="QO549" s="93"/>
      <c r="QP549" s="93"/>
      <c r="QQ549" s="93"/>
      <c r="QR549" s="93"/>
      <c r="QS549" s="93"/>
      <c r="QT549" s="93"/>
      <c r="QU549" s="93"/>
      <c r="QV549" s="93"/>
      <c r="QW549" s="93"/>
      <c r="QX549" s="93"/>
      <c r="QY549" s="93"/>
      <c r="QZ549" s="93"/>
      <c r="RA549" s="93"/>
      <c r="RB549" s="93"/>
      <c r="RC549" s="93"/>
      <c r="RD549" s="93"/>
      <c r="RE549" s="93"/>
      <c r="RF549" s="93"/>
      <c r="RG549" s="93"/>
      <c r="RH549" s="93"/>
      <c r="RI549" s="93"/>
      <c r="RJ549" s="93"/>
      <c r="RK549" s="93"/>
      <c r="RL549" s="93"/>
      <c r="RM549" s="20"/>
      <c r="RN549" s="29"/>
      <c r="RO549" s="19"/>
      <c r="RP549" s="20"/>
      <c r="RQ549" s="29"/>
      <c r="RR549" s="20"/>
      <c r="RS549" s="29"/>
      <c r="RT549" s="1504">
        <v>51167</v>
      </c>
      <c r="RU549" s="19"/>
      <c r="RV549" s="20"/>
      <c r="RW549" s="29"/>
      <c r="RX549" s="1504">
        <v>51167</v>
      </c>
      <c r="RY549" s="29"/>
      <c r="RZ549" s="20"/>
      <c r="SA549" s="29"/>
      <c r="SB549" s="29"/>
    </row>
    <row r="550" spans="1:496">
      <c r="A550" s="41">
        <f t="shared" si="362"/>
        <v>2040</v>
      </c>
      <c r="B550" s="1504">
        <v>51196</v>
      </c>
      <c r="C550" s="1813"/>
      <c r="D550" s="1814"/>
      <c r="E550" s="1814"/>
      <c r="F550" s="1815"/>
      <c r="G550" s="1814"/>
      <c r="H550" s="1814"/>
      <c r="I550" s="1814"/>
      <c r="J550" s="1816"/>
      <c r="K550" s="1807"/>
      <c r="L550" s="25"/>
      <c r="M550" s="97"/>
      <c r="N550" s="1504">
        <v>51196</v>
      </c>
      <c r="O550" s="19"/>
      <c r="P550" s="93"/>
      <c r="Q550" s="93"/>
      <c r="R550" s="93"/>
      <c r="S550" s="93"/>
      <c r="T550" s="93"/>
      <c r="U550" s="93"/>
      <c r="V550" s="93"/>
      <c r="W550" s="93"/>
      <c r="X550" s="93"/>
      <c r="Y550" s="93"/>
      <c r="Z550" s="93"/>
      <c r="AA550" s="93"/>
      <c r="AB550" s="20"/>
      <c r="AC550" s="25"/>
      <c r="AD550" s="97"/>
      <c r="AE550" s="1504">
        <v>51196</v>
      </c>
      <c r="AF550" s="19"/>
      <c r="AG550" s="93"/>
      <c r="AH550" s="93"/>
      <c r="AI550" s="93"/>
      <c r="AJ550" s="93"/>
      <c r="AK550" s="93"/>
      <c r="AL550" s="93"/>
      <c r="AM550" s="93"/>
      <c r="AN550" s="93"/>
      <c r="AO550" s="93"/>
      <c r="AP550" s="93"/>
      <c r="AQ550" s="93"/>
      <c r="AR550" s="93"/>
      <c r="AS550" s="20"/>
      <c r="AT550" s="25"/>
      <c r="AU550" s="97"/>
      <c r="AV550" s="1504">
        <v>51196</v>
      </c>
      <c r="AW550" s="19"/>
      <c r="AX550" s="93"/>
      <c r="AY550" s="93"/>
      <c r="AZ550" s="93"/>
      <c r="BA550" s="93"/>
      <c r="BB550" s="93"/>
      <c r="BC550" s="93"/>
      <c r="BD550" s="93"/>
      <c r="BE550" s="93"/>
      <c r="BF550" s="93"/>
      <c r="BG550" s="93"/>
      <c r="BH550" s="93"/>
      <c r="BI550" s="93"/>
      <c r="BJ550" s="20"/>
      <c r="BK550" s="25"/>
      <c r="BL550" s="97"/>
      <c r="BM550" s="1504">
        <v>51196</v>
      </c>
      <c r="BN550" s="19"/>
      <c r="BO550" s="93"/>
      <c r="BP550" s="93"/>
      <c r="BQ550" s="93"/>
      <c r="BR550" s="93"/>
      <c r="BS550" s="93"/>
      <c r="BT550" s="93"/>
      <c r="BU550" s="20"/>
      <c r="BV550" s="25"/>
      <c r="BW550" s="97"/>
      <c r="BX550" s="1504">
        <v>51196</v>
      </c>
      <c r="BY550" s="19"/>
      <c r="BZ550" s="93"/>
      <c r="CA550" s="93"/>
      <c r="CB550" s="93"/>
      <c r="CC550" s="93"/>
      <c r="CD550" s="25"/>
      <c r="CE550" s="97"/>
      <c r="CF550" s="1504">
        <v>51196</v>
      </c>
      <c r="CG550" s="19"/>
      <c r="CH550" s="93"/>
      <c r="CI550" s="219"/>
      <c r="CJ550" s="20"/>
      <c r="CK550" s="19"/>
      <c r="CL550" s="93"/>
      <c r="CM550" s="93"/>
      <c r="CN550" s="93"/>
      <c r="CO550" s="93"/>
      <c r="CP550" s="20"/>
      <c r="CQ550" s="219"/>
      <c r="CR550" s="93"/>
      <c r="CS550" s="93"/>
      <c r="CT550" s="93"/>
      <c r="CU550" s="93"/>
      <c r="CV550" s="214"/>
      <c r="CW550" s="29"/>
      <c r="CX550" s="41">
        <f t="shared" si="361"/>
        <v>2040</v>
      </c>
      <c r="CY550" s="1504">
        <v>51196</v>
      </c>
      <c r="CZ550" s="19"/>
      <c r="DA550" s="93"/>
      <c r="DB550" s="93"/>
      <c r="DC550" s="93"/>
      <c r="DD550" s="93"/>
      <c r="DE550" s="20"/>
      <c r="DF550" s="29"/>
      <c r="DG550" s="1504">
        <v>51196</v>
      </c>
      <c r="DH550" s="19"/>
      <c r="DI550" s="93"/>
      <c r="DJ550" s="93"/>
      <c r="DK550" s="93"/>
      <c r="DL550" s="93"/>
      <c r="DM550" s="93"/>
      <c r="DN550" s="20"/>
      <c r="DO550" s="295"/>
      <c r="DP550" s="29"/>
      <c r="DQ550" s="1504">
        <v>51196</v>
      </c>
      <c r="DR550" s="19"/>
      <c r="DS550" s="93"/>
      <c r="DT550" s="93"/>
      <c r="DU550" s="93"/>
      <c r="DV550" s="93"/>
      <c r="DW550" s="93"/>
      <c r="DX550" s="20"/>
      <c r="DY550" s="29"/>
      <c r="DZ550" s="1504">
        <v>51196</v>
      </c>
      <c r="EA550" s="19"/>
      <c r="EB550" s="93"/>
      <c r="EC550" s="20"/>
      <c r="ED550" s="29"/>
      <c r="EE550" s="1504">
        <v>51196</v>
      </c>
      <c r="EF550" s="19"/>
      <c r="EG550" s="93"/>
      <c r="EH550" s="93"/>
      <c r="EI550" s="214"/>
      <c r="EJ550" s="93"/>
      <c r="EK550" s="93"/>
      <c r="EL550" s="93"/>
      <c r="EM550" s="93"/>
      <c r="EN550" s="20"/>
      <c r="EO550" s="29"/>
      <c r="EP550" s="1504">
        <v>51196</v>
      </c>
      <c r="EQ550" s="19"/>
      <c r="ER550" s="93"/>
      <c r="ES550" s="93"/>
      <c r="ET550" s="214"/>
      <c r="EU550" s="93"/>
      <c r="EV550" s="93"/>
      <c r="EW550" s="93"/>
      <c r="EX550" s="93"/>
      <c r="EY550" s="20"/>
      <c r="EZ550" s="29"/>
      <c r="FA550" s="1504">
        <v>51196</v>
      </c>
      <c r="FB550" s="29"/>
      <c r="FC550" s="29"/>
      <c r="FD550" s="29"/>
      <c r="FE550" s="29"/>
      <c r="FF550" s="29"/>
      <c r="FG550" s="29"/>
      <c r="FH550" s="29"/>
      <c r="FI550" s="29"/>
      <c r="FJ550" s="29"/>
      <c r="FK550" s="29"/>
      <c r="FL550" s="1504">
        <v>51196</v>
      </c>
      <c r="FM550" s="19"/>
      <c r="FN550" s="93"/>
      <c r="FO550" s="93"/>
      <c r="FP550" s="93"/>
      <c r="FQ550" s="93"/>
      <c r="FR550" s="93"/>
      <c r="FS550" s="93"/>
      <c r="FT550" s="93"/>
      <c r="FU550" s="93"/>
      <c r="FV550" s="93"/>
      <c r="FW550" s="93"/>
      <c r="FX550" s="93"/>
      <c r="FY550" s="93"/>
      <c r="FZ550" s="29"/>
      <c r="GA550" s="1504">
        <v>51196</v>
      </c>
      <c r="GB550" s="19"/>
      <c r="GC550" s="93"/>
      <c r="GD550" s="93"/>
      <c r="GE550" s="93"/>
      <c r="GF550" s="93"/>
      <c r="GG550" s="93"/>
      <c r="GH550" s="93"/>
      <c r="GI550" s="93"/>
      <c r="GJ550" s="93"/>
      <c r="GK550" s="93"/>
      <c r="GL550" s="93"/>
      <c r="GM550" s="93"/>
      <c r="GN550" s="20"/>
      <c r="GO550" s="29"/>
      <c r="GP550" s="1504">
        <v>51196</v>
      </c>
      <c r="GQ550" s="19"/>
      <c r="GR550" s="93"/>
      <c r="GS550" s="93"/>
      <c r="GT550" s="93"/>
      <c r="GU550" s="93"/>
      <c r="GV550" s="20"/>
      <c r="GW550" s="19"/>
      <c r="GX550" s="93"/>
      <c r="GY550" s="93"/>
      <c r="GZ550" s="93"/>
      <c r="HA550" s="93"/>
      <c r="HB550" s="20"/>
      <c r="HC550" s="19"/>
      <c r="HD550" s="93"/>
      <c r="HE550" s="93"/>
      <c r="HF550" s="93"/>
      <c r="HG550" s="93"/>
      <c r="HH550" s="20"/>
      <c r="HI550" s="19"/>
      <c r="HJ550" s="93"/>
      <c r="HK550" s="93"/>
      <c r="HL550" s="93"/>
      <c r="HM550" s="93"/>
      <c r="HN550" s="20"/>
      <c r="HO550" s="219"/>
      <c r="HP550" s="20"/>
      <c r="HQ550" s="25"/>
      <c r="HR550" s="29"/>
      <c r="HS550" s="1504">
        <v>51196</v>
      </c>
      <c r="HT550" s="19"/>
      <c r="HU550" s="93"/>
      <c r="HV550" s="93"/>
      <c r="HW550" s="93"/>
      <c r="HX550" s="93"/>
      <c r="HY550" s="93"/>
      <c r="HZ550" s="93"/>
      <c r="IA550" s="20"/>
      <c r="IB550" s="19"/>
      <c r="IC550" s="93"/>
      <c r="ID550" s="93"/>
      <c r="IE550" s="93"/>
      <c r="IF550" s="93"/>
      <c r="IG550" s="20"/>
      <c r="IH550" s="19"/>
      <c r="II550" s="93"/>
      <c r="IJ550" s="93"/>
      <c r="IK550" s="93"/>
      <c r="IL550" s="93"/>
      <c r="IM550" s="93"/>
      <c r="IN550" s="93"/>
      <c r="IO550" s="20"/>
      <c r="IP550" s="29"/>
      <c r="IQ550" s="19"/>
      <c r="IR550" s="93"/>
      <c r="IS550" s="93"/>
      <c r="IT550" s="93"/>
      <c r="IU550" s="93"/>
      <c r="IV550" s="20"/>
      <c r="IW550" s="29"/>
      <c r="IX550" s="19"/>
      <c r="IY550" s="93"/>
      <c r="IZ550" s="93"/>
      <c r="JA550" s="93"/>
      <c r="JB550" s="93"/>
      <c r="JC550" s="93"/>
      <c r="JD550" s="93"/>
      <c r="JE550" s="20"/>
      <c r="JF550" s="29"/>
      <c r="JG550" s="19"/>
      <c r="JH550" s="93"/>
      <c r="JI550" s="93"/>
      <c r="JJ550" s="93"/>
      <c r="JK550" s="93"/>
      <c r="JL550" s="93"/>
      <c r="JM550" s="93"/>
      <c r="JN550" s="20"/>
      <c r="JO550" s="29"/>
      <c r="JP550" s="19"/>
      <c r="JQ550" s="93"/>
      <c r="JR550" s="93"/>
      <c r="JS550" s="93"/>
      <c r="JT550" s="93"/>
      <c r="JU550" s="20"/>
      <c r="JV550" s="29"/>
      <c r="JW550" s="1504">
        <v>51196</v>
      </c>
      <c r="JX550" s="19"/>
      <c r="JY550" s="93"/>
      <c r="JZ550" s="93"/>
      <c r="KA550" s="93"/>
      <c r="KB550" s="93"/>
      <c r="KC550" s="93"/>
      <c r="KD550" s="20"/>
      <c r="KE550" s="29"/>
      <c r="KF550" s="19"/>
      <c r="KG550" s="93"/>
      <c r="KH550" s="93"/>
      <c r="KI550" s="93"/>
      <c r="KJ550" s="93"/>
      <c r="KK550" s="20"/>
      <c r="KL550" s="29"/>
      <c r="KM550" s="19"/>
      <c r="KN550" s="93"/>
      <c r="KO550" s="93"/>
      <c r="KP550" s="93"/>
      <c r="KQ550" s="93"/>
      <c r="KR550" s="20"/>
      <c r="KS550" s="29"/>
      <c r="KT550" s="19"/>
      <c r="KU550" s="93"/>
      <c r="KV550" s="93"/>
      <c r="KW550" s="93"/>
      <c r="KX550" s="93"/>
      <c r="KY550" s="20"/>
      <c r="KZ550" s="29"/>
      <c r="LA550" s="1504">
        <v>51196</v>
      </c>
      <c r="LB550" s="19"/>
      <c r="LC550" s="93"/>
      <c r="LD550" s="93"/>
      <c r="LE550" s="93"/>
      <c r="LF550" s="93"/>
      <c r="LG550" s="93"/>
      <c r="LH550" s="20"/>
      <c r="LI550" s="29"/>
      <c r="LJ550" s="19"/>
      <c r="LK550" s="93"/>
      <c r="LL550" s="93"/>
      <c r="LM550" s="93"/>
      <c r="LN550" s="93"/>
      <c r="LO550" s="20"/>
      <c r="LP550" s="29"/>
      <c r="LQ550" s="19"/>
      <c r="LR550" s="93"/>
      <c r="LS550" s="93"/>
      <c r="LT550" s="93"/>
      <c r="LU550" s="93"/>
      <c r="LV550" s="93"/>
      <c r="LW550" s="93"/>
      <c r="LX550" s="93"/>
      <c r="LY550" s="93"/>
      <c r="LZ550" s="93"/>
      <c r="MA550" s="20"/>
      <c r="MB550" s="29"/>
      <c r="MC550" s="1504">
        <v>51196</v>
      </c>
      <c r="MD550" s="19"/>
      <c r="ME550" s="93"/>
      <c r="MF550" s="93"/>
      <c r="MG550" s="93"/>
      <c r="MH550" s="93"/>
      <c r="MI550" s="93"/>
      <c r="MJ550" s="93"/>
      <c r="MK550" s="93"/>
      <c r="ML550" s="93"/>
      <c r="MM550" s="93"/>
      <c r="MN550" s="93"/>
      <c r="MO550" s="93"/>
      <c r="MP550" s="93"/>
      <c r="MQ550" s="93"/>
      <c r="MR550" s="93"/>
      <c r="MS550" s="93"/>
      <c r="MT550" s="93"/>
      <c r="MU550" s="93"/>
      <c r="MV550" s="93"/>
      <c r="MW550" s="93"/>
      <c r="MX550" s="93"/>
      <c r="MY550" s="93"/>
      <c r="MZ550" s="93"/>
      <c r="NA550" s="93"/>
      <c r="NB550" s="93"/>
      <c r="NC550" s="93"/>
      <c r="ND550" s="93"/>
      <c r="NE550" s="93"/>
      <c r="NF550" s="93"/>
      <c r="NG550" s="93"/>
      <c r="NH550" s="93"/>
      <c r="NI550" s="93"/>
      <c r="NJ550" s="93"/>
      <c r="NK550" s="93"/>
      <c r="NL550" s="93"/>
      <c r="NM550" s="93"/>
      <c r="NN550" s="93"/>
      <c r="NO550" s="93"/>
      <c r="NP550" s="93"/>
      <c r="NQ550" s="93"/>
      <c r="NR550" s="93"/>
      <c r="NS550" s="93"/>
      <c r="NT550" s="93"/>
      <c r="NU550" s="93"/>
      <c r="NV550" s="93"/>
      <c r="NW550" s="93"/>
      <c r="NX550" s="93"/>
      <c r="NY550" s="93"/>
      <c r="NZ550" s="93"/>
      <c r="OA550" s="93"/>
      <c r="OB550" s="93"/>
      <c r="OC550" s="93"/>
      <c r="OD550" s="20"/>
      <c r="OE550" s="29"/>
      <c r="OF550" s="1504">
        <v>51196</v>
      </c>
      <c r="OG550" s="19"/>
      <c r="OH550" s="93"/>
      <c r="OI550" s="93"/>
      <c r="OJ550" s="93"/>
      <c r="OK550" s="93"/>
      <c r="OL550" s="93"/>
      <c r="OM550" s="93"/>
      <c r="ON550" s="93"/>
      <c r="OO550" s="93"/>
      <c r="OP550" s="93"/>
      <c r="OQ550" s="93"/>
      <c r="OR550" s="93"/>
      <c r="OS550" s="93"/>
      <c r="OT550" s="93"/>
      <c r="OU550" s="93"/>
      <c r="OV550" s="93"/>
      <c r="OW550" s="93"/>
      <c r="OX550" s="93"/>
      <c r="OY550" s="93"/>
      <c r="OZ550" s="93"/>
      <c r="PA550" s="93"/>
      <c r="PB550" s="93"/>
      <c r="PC550" s="20"/>
      <c r="PD550" s="29"/>
      <c r="PE550" s="19"/>
      <c r="PF550" s="93"/>
      <c r="PG550" s="93"/>
      <c r="PH550" s="93"/>
      <c r="PI550" s="93"/>
      <c r="PJ550" s="93"/>
      <c r="PK550" s="93"/>
      <c r="PL550" s="93"/>
      <c r="PM550" s="93"/>
      <c r="PN550" s="93"/>
      <c r="PO550" s="93"/>
      <c r="PP550" s="93"/>
      <c r="PQ550" s="93"/>
      <c r="PR550" s="93"/>
      <c r="PS550" s="93"/>
      <c r="PT550" s="93"/>
      <c r="PU550" s="93"/>
      <c r="PV550" s="93"/>
      <c r="PW550" s="93"/>
      <c r="PX550" s="93"/>
      <c r="PY550" s="93"/>
      <c r="PZ550" s="93"/>
      <c r="QA550" s="93"/>
      <c r="QB550" s="93"/>
      <c r="QC550" s="93"/>
      <c r="QD550" s="93"/>
      <c r="QE550" s="20"/>
      <c r="QF550" s="1739"/>
      <c r="QG550" s="19"/>
      <c r="QH550" s="93"/>
      <c r="QI550" s="93"/>
      <c r="QJ550" s="93"/>
      <c r="QK550" s="93"/>
      <c r="QL550" s="93"/>
      <c r="QM550" s="93"/>
      <c r="QN550" s="93"/>
      <c r="QO550" s="93"/>
      <c r="QP550" s="93"/>
      <c r="QQ550" s="93"/>
      <c r="QR550" s="93"/>
      <c r="QS550" s="93"/>
      <c r="QT550" s="93"/>
      <c r="QU550" s="93"/>
      <c r="QV550" s="93"/>
      <c r="QW550" s="93"/>
      <c r="QX550" s="93"/>
      <c r="QY550" s="93"/>
      <c r="QZ550" s="93"/>
      <c r="RA550" s="93"/>
      <c r="RB550" s="93"/>
      <c r="RC550" s="93"/>
      <c r="RD550" s="93"/>
      <c r="RE550" s="93"/>
      <c r="RF550" s="93"/>
      <c r="RG550" s="93"/>
      <c r="RH550" s="93"/>
      <c r="RI550" s="93"/>
      <c r="RJ550" s="93"/>
      <c r="RK550" s="93"/>
      <c r="RL550" s="93"/>
      <c r="RM550" s="20"/>
      <c r="RN550" s="29"/>
      <c r="RO550" s="19"/>
      <c r="RP550" s="20"/>
      <c r="RQ550" s="29"/>
      <c r="RR550" s="20"/>
      <c r="RS550" s="29"/>
      <c r="RT550" s="1504">
        <v>51196</v>
      </c>
      <c r="RU550" s="19"/>
      <c r="RV550" s="20"/>
      <c r="RW550" s="29"/>
      <c r="RX550" s="1504">
        <v>51196</v>
      </c>
      <c r="RY550" s="29"/>
      <c r="RZ550" s="20"/>
      <c r="SA550" s="29"/>
      <c r="SB550" s="29"/>
    </row>
    <row r="551" spans="1:496">
      <c r="A551" s="41">
        <f t="shared" si="362"/>
        <v>2040</v>
      </c>
      <c r="B551" s="1504">
        <v>51227</v>
      </c>
      <c r="C551" s="1813"/>
      <c r="D551" s="1814"/>
      <c r="E551" s="1814"/>
      <c r="F551" s="1815"/>
      <c r="G551" s="1814"/>
      <c r="H551" s="1814"/>
      <c r="I551" s="1814"/>
      <c r="J551" s="1816"/>
      <c r="K551" s="1807"/>
      <c r="L551" s="25"/>
      <c r="M551" s="97"/>
      <c r="N551" s="1504">
        <v>51227</v>
      </c>
      <c r="O551" s="19"/>
      <c r="P551" s="93"/>
      <c r="Q551" s="93"/>
      <c r="R551" s="93"/>
      <c r="S551" s="93"/>
      <c r="T551" s="93"/>
      <c r="U551" s="93"/>
      <c r="V551" s="93"/>
      <c r="W551" s="93"/>
      <c r="X551" s="93"/>
      <c r="Y551" s="93"/>
      <c r="Z551" s="93"/>
      <c r="AA551" s="93"/>
      <c r="AB551" s="20"/>
      <c r="AC551" s="25"/>
      <c r="AD551" s="97"/>
      <c r="AE551" s="1504">
        <v>51227</v>
      </c>
      <c r="AF551" s="19"/>
      <c r="AG551" s="93"/>
      <c r="AH551" s="93"/>
      <c r="AI551" s="93"/>
      <c r="AJ551" s="93"/>
      <c r="AK551" s="93"/>
      <c r="AL551" s="93"/>
      <c r="AM551" s="93"/>
      <c r="AN551" s="93"/>
      <c r="AO551" s="93"/>
      <c r="AP551" s="93"/>
      <c r="AQ551" s="93"/>
      <c r="AR551" s="93"/>
      <c r="AS551" s="20"/>
      <c r="AT551" s="25"/>
      <c r="AU551" s="97"/>
      <c r="AV551" s="1504">
        <v>51227</v>
      </c>
      <c r="AW551" s="19"/>
      <c r="AX551" s="93"/>
      <c r="AY551" s="93"/>
      <c r="AZ551" s="93"/>
      <c r="BA551" s="93"/>
      <c r="BB551" s="93"/>
      <c r="BC551" s="93"/>
      <c r="BD551" s="93"/>
      <c r="BE551" s="93"/>
      <c r="BF551" s="93"/>
      <c r="BG551" s="93"/>
      <c r="BH551" s="93"/>
      <c r="BI551" s="93"/>
      <c r="BJ551" s="20"/>
      <c r="BK551" s="25"/>
      <c r="BL551" s="97"/>
      <c r="BM551" s="1504">
        <v>51227</v>
      </c>
      <c r="BN551" s="19"/>
      <c r="BO551" s="93"/>
      <c r="BP551" s="93"/>
      <c r="BQ551" s="93"/>
      <c r="BR551" s="93"/>
      <c r="BS551" s="93"/>
      <c r="BT551" s="93"/>
      <c r="BU551" s="20"/>
      <c r="BV551" s="25"/>
      <c r="BW551" s="97"/>
      <c r="BX551" s="1504">
        <v>51227</v>
      </c>
      <c r="BY551" s="19"/>
      <c r="BZ551" s="93"/>
      <c r="CA551" s="93"/>
      <c r="CB551" s="93"/>
      <c r="CC551" s="93"/>
      <c r="CD551" s="25"/>
      <c r="CE551" s="97"/>
      <c r="CF551" s="1504">
        <v>51227</v>
      </c>
      <c r="CG551" s="19"/>
      <c r="CH551" s="93"/>
      <c r="CI551" s="219"/>
      <c r="CJ551" s="20"/>
      <c r="CK551" s="19"/>
      <c r="CL551" s="93"/>
      <c r="CM551" s="93"/>
      <c r="CN551" s="93"/>
      <c r="CO551" s="93"/>
      <c r="CP551" s="20"/>
      <c r="CQ551" s="219"/>
      <c r="CR551" s="93"/>
      <c r="CS551" s="93"/>
      <c r="CT551" s="93"/>
      <c r="CU551" s="93"/>
      <c r="CV551" s="214"/>
      <c r="CW551" s="29"/>
      <c r="CX551" s="41">
        <f t="shared" si="361"/>
        <v>2040</v>
      </c>
      <c r="CY551" s="1504">
        <v>51227</v>
      </c>
      <c r="CZ551" s="19"/>
      <c r="DA551" s="93"/>
      <c r="DB551" s="93"/>
      <c r="DC551" s="93"/>
      <c r="DD551" s="93"/>
      <c r="DE551" s="20"/>
      <c r="DF551" s="29"/>
      <c r="DG551" s="1504">
        <v>51227</v>
      </c>
      <c r="DH551" s="19"/>
      <c r="DI551" s="93"/>
      <c r="DJ551" s="93"/>
      <c r="DK551" s="93"/>
      <c r="DL551" s="93"/>
      <c r="DM551" s="93"/>
      <c r="DN551" s="20"/>
      <c r="DO551" s="295"/>
      <c r="DP551" s="29"/>
      <c r="DQ551" s="1504">
        <v>51227</v>
      </c>
      <c r="DR551" s="19"/>
      <c r="DS551" s="93"/>
      <c r="DT551" s="93"/>
      <c r="DU551" s="93"/>
      <c r="DV551" s="93"/>
      <c r="DW551" s="93"/>
      <c r="DX551" s="20"/>
      <c r="DY551" s="29"/>
      <c r="DZ551" s="1504">
        <v>51227</v>
      </c>
      <c r="EA551" s="19"/>
      <c r="EB551" s="93"/>
      <c r="EC551" s="20"/>
      <c r="ED551" s="29"/>
      <c r="EE551" s="1504">
        <v>51227</v>
      </c>
      <c r="EF551" s="19"/>
      <c r="EG551" s="93"/>
      <c r="EH551" s="93"/>
      <c r="EI551" s="214"/>
      <c r="EJ551" s="93"/>
      <c r="EK551" s="93"/>
      <c r="EL551" s="93"/>
      <c r="EM551" s="93"/>
      <c r="EN551" s="20"/>
      <c r="EO551" s="29"/>
      <c r="EP551" s="1504">
        <v>51227</v>
      </c>
      <c r="EQ551" s="19"/>
      <c r="ER551" s="93"/>
      <c r="ES551" s="93"/>
      <c r="ET551" s="214"/>
      <c r="EU551" s="93"/>
      <c r="EV551" s="93"/>
      <c r="EW551" s="93"/>
      <c r="EX551" s="93"/>
      <c r="EY551" s="20"/>
      <c r="EZ551" s="29"/>
      <c r="FA551" s="1504">
        <v>51227</v>
      </c>
      <c r="FB551" s="29"/>
      <c r="FC551" s="29"/>
      <c r="FD551" s="29"/>
      <c r="FE551" s="29"/>
      <c r="FF551" s="29"/>
      <c r="FG551" s="29"/>
      <c r="FH551" s="29"/>
      <c r="FI551" s="29"/>
      <c r="FJ551" s="29"/>
      <c r="FK551" s="29"/>
      <c r="FL551" s="1504">
        <v>51227</v>
      </c>
      <c r="FM551" s="19"/>
      <c r="FN551" s="93"/>
      <c r="FO551" s="93"/>
      <c r="FP551" s="93"/>
      <c r="FQ551" s="93"/>
      <c r="FR551" s="93"/>
      <c r="FS551" s="93"/>
      <c r="FT551" s="93"/>
      <c r="FU551" s="93"/>
      <c r="FV551" s="93"/>
      <c r="FW551" s="93"/>
      <c r="FX551" s="93"/>
      <c r="FY551" s="93"/>
      <c r="FZ551" s="29"/>
      <c r="GA551" s="1504">
        <v>51227</v>
      </c>
      <c r="GB551" s="19"/>
      <c r="GC551" s="93"/>
      <c r="GD551" s="93"/>
      <c r="GE551" s="93"/>
      <c r="GF551" s="93"/>
      <c r="GG551" s="93"/>
      <c r="GH551" s="93"/>
      <c r="GI551" s="93"/>
      <c r="GJ551" s="93"/>
      <c r="GK551" s="93"/>
      <c r="GL551" s="93"/>
      <c r="GM551" s="93"/>
      <c r="GN551" s="20"/>
      <c r="GO551" s="29"/>
      <c r="GP551" s="1504">
        <v>51227</v>
      </c>
      <c r="GQ551" s="19"/>
      <c r="GR551" s="93"/>
      <c r="GS551" s="93"/>
      <c r="GT551" s="93"/>
      <c r="GU551" s="93"/>
      <c r="GV551" s="20"/>
      <c r="GW551" s="19"/>
      <c r="GX551" s="93"/>
      <c r="GY551" s="93"/>
      <c r="GZ551" s="93"/>
      <c r="HA551" s="93"/>
      <c r="HB551" s="20"/>
      <c r="HC551" s="19"/>
      <c r="HD551" s="93"/>
      <c r="HE551" s="93"/>
      <c r="HF551" s="93"/>
      <c r="HG551" s="93"/>
      <c r="HH551" s="20"/>
      <c r="HI551" s="19"/>
      <c r="HJ551" s="93"/>
      <c r="HK551" s="93"/>
      <c r="HL551" s="93"/>
      <c r="HM551" s="93"/>
      <c r="HN551" s="20"/>
      <c r="HO551" s="219"/>
      <c r="HP551" s="20"/>
      <c r="HQ551" s="25"/>
      <c r="HR551" s="29"/>
      <c r="HS551" s="1504">
        <v>51227</v>
      </c>
      <c r="HT551" s="19"/>
      <c r="HU551" s="93"/>
      <c r="HV551" s="93"/>
      <c r="HW551" s="93"/>
      <c r="HX551" s="93"/>
      <c r="HY551" s="93"/>
      <c r="HZ551" s="93"/>
      <c r="IA551" s="20"/>
      <c r="IB551" s="19"/>
      <c r="IC551" s="93"/>
      <c r="ID551" s="93"/>
      <c r="IE551" s="93"/>
      <c r="IF551" s="93"/>
      <c r="IG551" s="20"/>
      <c r="IH551" s="19"/>
      <c r="II551" s="93"/>
      <c r="IJ551" s="93"/>
      <c r="IK551" s="93"/>
      <c r="IL551" s="93"/>
      <c r="IM551" s="93"/>
      <c r="IN551" s="93"/>
      <c r="IO551" s="20"/>
      <c r="IP551" s="29"/>
      <c r="IQ551" s="19"/>
      <c r="IR551" s="93"/>
      <c r="IS551" s="93"/>
      <c r="IT551" s="93"/>
      <c r="IU551" s="93"/>
      <c r="IV551" s="20"/>
      <c r="IW551" s="29"/>
      <c r="IX551" s="19"/>
      <c r="IY551" s="93"/>
      <c r="IZ551" s="93"/>
      <c r="JA551" s="93"/>
      <c r="JB551" s="93"/>
      <c r="JC551" s="93"/>
      <c r="JD551" s="93"/>
      <c r="JE551" s="20"/>
      <c r="JF551" s="29"/>
      <c r="JG551" s="19"/>
      <c r="JH551" s="93"/>
      <c r="JI551" s="93"/>
      <c r="JJ551" s="93"/>
      <c r="JK551" s="93"/>
      <c r="JL551" s="93"/>
      <c r="JM551" s="93"/>
      <c r="JN551" s="20"/>
      <c r="JO551" s="29"/>
      <c r="JP551" s="19"/>
      <c r="JQ551" s="93"/>
      <c r="JR551" s="93"/>
      <c r="JS551" s="93"/>
      <c r="JT551" s="93"/>
      <c r="JU551" s="20"/>
      <c r="JV551" s="29"/>
      <c r="JW551" s="1504">
        <v>51227</v>
      </c>
      <c r="JX551" s="19"/>
      <c r="JY551" s="93"/>
      <c r="JZ551" s="93"/>
      <c r="KA551" s="93"/>
      <c r="KB551" s="93"/>
      <c r="KC551" s="93"/>
      <c r="KD551" s="20"/>
      <c r="KE551" s="29"/>
      <c r="KF551" s="19"/>
      <c r="KG551" s="93"/>
      <c r="KH551" s="93"/>
      <c r="KI551" s="93"/>
      <c r="KJ551" s="93"/>
      <c r="KK551" s="20"/>
      <c r="KL551" s="29"/>
      <c r="KM551" s="19"/>
      <c r="KN551" s="93"/>
      <c r="KO551" s="93"/>
      <c r="KP551" s="93"/>
      <c r="KQ551" s="93"/>
      <c r="KR551" s="20"/>
      <c r="KS551" s="29"/>
      <c r="KT551" s="19"/>
      <c r="KU551" s="93"/>
      <c r="KV551" s="93"/>
      <c r="KW551" s="93"/>
      <c r="KX551" s="93"/>
      <c r="KY551" s="20"/>
      <c r="KZ551" s="29"/>
      <c r="LA551" s="1504">
        <v>51227</v>
      </c>
      <c r="LB551" s="19"/>
      <c r="LC551" s="93"/>
      <c r="LD551" s="93"/>
      <c r="LE551" s="93"/>
      <c r="LF551" s="93"/>
      <c r="LG551" s="93"/>
      <c r="LH551" s="20"/>
      <c r="LI551" s="29"/>
      <c r="LJ551" s="19"/>
      <c r="LK551" s="93"/>
      <c r="LL551" s="93"/>
      <c r="LM551" s="93"/>
      <c r="LN551" s="93"/>
      <c r="LO551" s="20"/>
      <c r="LP551" s="29"/>
      <c r="LQ551" s="19"/>
      <c r="LR551" s="93"/>
      <c r="LS551" s="93"/>
      <c r="LT551" s="93"/>
      <c r="LU551" s="93"/>
      <c r="LV551" s="93"/>
      <c r="LW551" s="93"/>
      <c r="LX551" s="93"/>
      <c r="LY551" s="93"/>
      <c r="LZ551" s="93"/>
      <c r="MA551" s="20"/>
      <c r="MB551" s="29"/>
      <c r="MC551" s="1504">
        <v>51227</v>
      </c>
      <c r="MD551" s="19"/>
      <c r="ME551" s="93"/>
      <c r="MF551" s="93"/>
      <c r="MG551" s="93"/>
      <c r="MH551" s="93"/>
      <c r="MI551" s="93"/>
      <c r="MJ551" s="93"/>
      <c r="MK551" s="93"/>
      <c r="ML551" s="93"/>
      <c r="MM551" s="93"/>
      <c r="MN551" s="93"/>
      <c r="MO551" s="93"/>
      <c r="MP551" s="93"/>
      <c r="MQ551" s="93"/>
      <c r="MR551" s="93"/>
      <c r="MS551" s="93"/>
      <c r="MT551" s="93"/>
      <c r="MU551" s="93"/>
      <c r="MV551" s="93"/>
      <c r="MW551" s="93"/>
      <c r="MX551" s="93"/>
      <c r="MY551" s="93"/>
      <c r="MZ551" s="93"/>
      <c r="NA551" s="93"/>
      <c r="NB551" s="93"/>
      <c r="NC551" s="93"/>
      <c r="ND551" s="93"/>
      <c r="NE551" s="93"/>
      <c r="NF551" s="93"/>
      <c r="NG551" s="93"/>
      <c r="NH551" s="93"/>
      <c r="NI551" s="93"/>
      <c r="NJ551" s="93"/>
      <c r="NK551" s="93"/>
      <c r="NL551" s="93"/>
      <c r="NM551" s="93"/>
      <c r="NN551" s="93"/>
      <c r="NO551" s="93"/>
      <c r="NP551" s="93"/>
      <c r="NQ551" s="93"/>
      <c r="NR551" s="93"/>
      <c r="NS551" s="93"/>
      <c r="NT551" s="93"/>
      <c r="NU551" s="93"/>
      <c r="NV551" s="93"/>
      <c r="NW551" s="93"/>
      <c r="NX551" s="93"/>
      <c r="NY551" s="93"/>
      <c r="NZ551" s="93"/>
      <c r="OA551" s="93"/>
      <c r="OB551" s="93"/>
      <c r="OC551" s="93"/>
      <c r="OD551" s="20"/>
      <c r="OE551" s="29"/>
      <c r="OF551" s="1504">
        <v>51227</v>
      </c>
      <c r="OG551" s="19"/>
      <c r="OH551" s="93"/>
      <c r="OI551" s="93"/>
      <c r="OJ551" s="93"/>
      <c r="OK551" s="93"/>
      <c r="OL551" s="93"/>
      <c r="OM551" s="93"/>
      <c r="ON551" s="93"/>
      <c r="OO551" s="93"/>
      <c r="OP551" s="93"/>
      <c r="OQ551" s="93"/>
      <c r="OR551" s="93"/>
      <c r="OS551" s="93"/>
      <c r="OT551" s="93"/>
      <c r="OU551" s="93"/>
      <c r="OV551" s="93"/>
      <c r="OW551" s="93"/>
      <c r="OX551" s="93"/>
      <c r="OY551" s="93"/>
      <c r="OZ551" s="93"/>
      <c r="PA551" s="93"/>
      <c r="PB551" s="93"/>
      <c r="PC551" s="20"/>
      <c r="PD551" s="29"/>
      <c r="PE551" s="19"/>
      <c r="PF551" s="93"/>
      <c r="PG551" s="93"/>
      <c r="PH551" s="93"/>
      <c r="PI551" s="93"/>
      <c r="PJ551" s="93"/>
      <c r="PK551" s="93"/>
      <c r="PL551" s="93"/>
      <c r="PM551" s="93"/>
      <c r="PN551" s="93"/>
      <c r="PO551" s="93"/>
      <c r="PP551" s="93"/>
      <c r="PQ551" s="93"/>
      <c r="PR551" s="93"/>
      <c r="PS551" s="93"/>
      <c r="PT551" s="93"/>
      <c r="PU551" s="93"/>
      <c r="PV551" s="93"/>
      <c r="PW551" s="93"/>
      <c r="PX551" s="93"/>
      <c r="PY551" s="93"/>
      <c r="PZ551" s="93"/>
      <c r="QA551" s="93"/>
      <c r="QB551" s="93"/>
      <c r="QC551" s="93"/>
      <c r="QD551" s="93"/>
      <c r="QE551" s="20"/>
      <c r="QF551" s="1739"/>
      <c r="QG551" s="19"/>
      <c r="QH551" s="93"/>
      <c r="QI551" s="93"/>
      <c r="QJ551" s="93"/>
      <c r="QK551" s="93"/>
      <c r="QL551" s="93"/>
      <c r="QM551" s="93"/>
      <c r="QN551" s="93"/>
      <c r="QO551" s="93"/>
      <c r="QP551" s="93"/>
      <c r="QQ551" s="93"/>
      <c r="QR551" s="93"/>
      <c r="QS551" s="93"/>
      <c r="QT551" s="93"/>
      <c r="QU551" s="93"/>
      <c r="QV551" s="93"/>
      <c r="QW551" s="93"/>
      <c r="QX551" s="93"/>
      <c r="QY551" s="93"/>
      <c r="QZ551" s="93"/>
      <c r="RA551" s="93"/>
      <c r="RB551" s="93"/>
      <c r="RC551" s="93"/>
      <c r="RD551" s="93"/>
      <c r="RE551" s="93"/>
      <c r="RF551" s="93"/>
      <c r="RG551" s="93"/>
      <c r="RH551" s="93"/>
      <c r="RI551" s="93"/>
      <c r="RJ551" s="93"/>
      <c r="RK551" s="93"/>
      <c r="RL551" s="93"/>
      <c r="RM551" s="20"/>
      <c r="RN551" s="29"/>
      <c r="RO551" s="19"/>
      <c r="RP551" s="20"/>
      <c r="RQ551" s="29"/>
      <c r="RR551" s="20"/>
      <c r="RS551" s="29"/>
      <c r="RT551" s="1504">
        <v>51227</v>
      </c>
      <c r="RU551" s="19"/>
      <c r="RV551" s="20"/>
      <c r="RW551" s="29"/>
      <c r="RX551" s="1504">
        <v>51227</v>
      </c>
      <c r="RY551" s="29"/>
      <c r="RZ551" s="20"/>
      <c r="SA551" s="29"/>
      <c r="SB551" s="29"/>
    </row>
    <row r="552" spans="1:496">
      <c r="A552" s="41">
        <f t="shared" si="362"/>
        <v>2040</v>
      </c>
      <c r="B552" s="1504">
        <v>51257</v>
      </c>
      <c r="C552" s="1813"/>
      <c r="D552" s="1814"/>
      <c r="E552" s="1814"/>
      <c r="F552" s="1815"/>
      <c r="G552" s="1814"/>
      <c r="H552" s="1814"/>
      <c r="I552" s="1814"/>
      <c r="J552" s="1816"/>
      <c r="K552" s="1807"/>
      <c r="L552" s="25"/>
      <c r="M552" s="97"/>
      <c r="N552" s="1504">
        <v>51257</v>
      </c>
      <c r="O552" s="19"/>
      <c r="P552" s="93"/>
      <c r="Q552" s="93"/>
      <c r="R552" s="93"/>
      <c r="S552" s="93"/>
      <c r="T552" s="93"/>
      <c r="U552" s="93"/>
      <c r="V552" s="93"/>
      <c r="W552" s="93"/>
      <c r="X552" s="93"/>
      <c r="Y552" s="93"/>
      <c r="Z552" s="93"/>
      <c r="AA552" s="93"/>
      <c r="AB552" s="20"/>
      <c r="AC552" s="25"/>
      <c r="AD552" s="97"/>
      <c r="AE552" s="1504">
        <v>51257</v>
      </c>
      <c r="AF552" s="19"/>
      <c r="AG552" s="93"/>
      <c r="AH552" s="93"/>
      <c r="AI552" s="93"/>
      <c r="AJ552" s="93"/>
      <c r="AK552" s="93"/>
      <c r="AL552" s="93"/>
      <c r="AM552" s="93"/>
      <c r="AN552" s="93"/>
      <c r="AO552" s="93"/>
      <c r="AP552" s="93"/>
      <c r="AQ552" s="93"/>
      <c r="AR552" s="93"/>
      <c r="AS552" s="20"/>
      <c r="AT552" s="25"/>
      <c r="AU552" s="97"/>
      <c r="AV552" s="1504">
        <v>51257</v>
      </c>
      <c r="AW552" s="19"/>
      <c r="AX552" s="93"/>
      <c r="AY552" s="93"/>
      <c r="AZ552" s="93"/>
      <c r="BA552" s="93"/>
      <c r="BB552" s="93"/>
      <c r="BC552" s="93"/>
      <c r="BD552" s="93"/>
      <c r="BE552" s="93"/>
      <c r="BF552" s="93"/>
      <c r="BG552" s="93"/>
      <c r="BH552" s="93"/>
      <c r="BI552" s="93"/>
      <c r="BJ552" s="20"/>
      <c r="BK552" s="25"/>
      <c r="BL552" s="97"/>
      <c r="BM552" s="1504">
        <v>51257</v>
      </c>
      <c r="BN552" s="19"/>
      <c r="BO552" s="93"/>
      <c r="BP552" s="93"/>
      <c r="BQ552" s="93"/>
      <c r="BR552" s="93"/>
      <c r="BS552" s="93"/>
      <c r="BT552" s="93"/>
      <c r="BU552" s="20"/>
      <c r="BV552" s="25"/>
      <c r="BW552" s="97"/>
      <c r="BX552" s="1504">
        <v>51257</v>
      </c>
      <c r="BY552" s="19"/>
      <c r="BZ552" s="93"/>
      <c r="CA552" s="93"/>
      <c r="CB552" s="93"/>
      <c r="CC552" s="93"/>
      <c r="CD552" s="25"/>
      <c r="CE552" s="97"/>
      <c r="CF552" s="1504">
        <v>51257</v>
      </c>
      <c r="CG552" s="19"/>
      <c r="CH552" s="93"/>
      <c r="CI552" s="219"/>
      <c r="CJ552" s="20"/>
      <c r="CK552" s="19"/>
      <c r="CL552" s="93"/>
      <c r="CM552" s="93"/>
      <c r="CN552" s="93"/>
      <c r="CO552" s="93"/>
      <c r="CP552" s="20"/>
      <c r="CQ552" s="219"/>
      <c r="CR552" s="93"/>
      <c r="CS552" s="93"/>
      <c r="CT552" s="93"/>
      <c r="CU552" s="93"/>
      <c r="CV552" s="214"/>
      <c r="CW552" s="29"/>
      <c r="CX552" s="41">
        <f t="shared" si="361"/>
        <v>2040</v>
      </c>
      <c r="CY552" s="1504">
        <v>51257</v>
      </c>
      <c r="CZ552" s="19"/>
      <c r="DA552" s="93"/>
      <c r="DB552" s="93"/>
      <c r="DC552" s="93"/>
      <c r="DD552" s="93"/>
      <c r="DE552" s="20"/>
      <c r="DF552" s="29"/>
      <c r="DG552" s="1504">
        <v>51257</v>
      </c>
      <c r="DH552" s="19"/>
      <c r="DI552" s="93"/>
      <c r="DJ552" s="93"/>
      <c r="DK552" s="93"/>
      <c r="DL552" s="93"/>
      <c r="DM552" s="93"/>
      <c r="DN552" s="20"/>
      <c r="DO552" s="295"/>
      <c r="DP552" s="29"/>
      <c r="DQ552" s="1504">
        <v>51257</v>
      </c>
      <c r="DR552" s="19"/>
      <c r="DS552" s="93"/>
      <c r="DT552" s="93"/>
      <c r="DU552" s="93"/>
      <c r="DV552" s="93"/>
      <c r="DW552" s="93"/>
      <c r="DX552" s="20"/>
      <c r="DY552" s="29"/>
      <c r="DZ552" s="1504">
        <v>51257</v>
      </c>
      <c r="EA552" s="19"/>
      <c r="EB552" s="93"/>
      <c r="EC552" s="20"/>
      <c r="ED552" s="29"/>
      <c r="EE552" s="1504">
        <v>51257</v>
      </c>
      <c r="EF552" s="19"/>
      <c r="EG552" s="93"/>
      <c r="EH552" s="93"/>
      <c r="EI552" s="214"/>
      <c r="EJ552" s="93"/>
      <c r="EK552" s="93"/>
      <c r="EL552" s="93"/>
      <c r="EM552" s="93"/>
      <c r="EN552" s="20"/>
      <c r="EO552" s="29"/>
      <c r="EP552" s="1504">
        <v>51257</v>
      </c>
      <c r="EQ552" s="19"/>
      <c r="ER552" s="93"/>
      <c r="ES552" s="93"/>
      <c r="ET552" s="214"/>
      <c r="EU552" s="93"/>
      <c r="EV552" s="93"/>
      <c r="EW552" s="93"/>
      <c r="EX552" s="93"/>
      <c r="EY552" s="20"/>
      <c r="EZ552" s="29"/>
      <c r="FA552" s="1504">
        <v>51257</v>
      </c>
      <c r="FB552" s="29"/>
      <c r="FC552" s="29"/>
      <c r="FD552" s="29"/>
      <c r="FE552" s="29"/>
      <c r="FF552" s="29"/>
      <c r="FG552" s="29"/>
      <c r="FH552" s="29"/>
      <c r="FI552" s="29"/>
      <c r="FJ552" s="29"/>
      <c r="FK552" s="29"/>
      <c r="FL552" s="1504">
        <v>51257</v>
      </c>
      <c r="FM552" s="19"/>
      <c r="FN552" s="93"/>
      <c r="FO552" s="93"/>
      <c r="FP552" s="93"/>
      <c r="FQ552" s="93"/>
      <c r="FR552" s="93"/>
      <c r="FS552" s="93"/>
      <c r="FT552" s="93"/>
      <c r="FU552" s="93"/>
      <c r="FV552" s="93"/>
      <c r="FW552" s="93"/>
      <c r="FX552" s="93"/>
      <c r="FY552" s="93"/>
      <c r="FZ552" s="29"/>
      <c r="GA552" s="1504">
        <v>51257</v>
      </c>
      <c r="GB552" s="19"/>
      <c r="GC552" s="93"/>
      <c r="GD552" s="93"/>
      <c r="GE552" s="93"/>
      <c r="GF552" s="93"/>
      <c r="GG552" s="93"/>
      <c r="GH552" s="93"/>
      <c r="GI552" s="93"/>
      <c r="GJ552" s="93"/>
      <c r="GK552" s="93"/>
      <c r="GL552" s="93"/>
      <c r="GM552" s="93"/>
      <c r="GN552" s="20"/>
      <c r="GO552" s="29"/>
      <c r="GP552" s="1504">
        <v>51257</v>
      </c>
      <c r="GQ552" s="19"/>
      <c r="GR552" s="93"/>
      <c r="GS552" s="93"/>
      <c r="GT552" s="93"/>
      <c r="GU552" s="93"/>
      <c r="GV552" s="20"/>
      <c r="GW552" s="19"/>
      <c r="GX552" s="93"/>
      <c r="GY552" s="93"/>
      <c r="GZ552" s="93"/>
      <c r="HA552" s="93"/>
      <c r="HB552" s="20"/>
      <c r="HC552" s="19"/>
      <c r="HD552" s="93"/>
      <c r="HE552" s="93"/>
      <c r="HF552" s="93"/>
      <c r="HG552" s="93"/>
      <c r="HH552" s="20"/>
      <c r="HI552" s="19"/>
      <c r="HJ552" s="93"/>
      <c r="HK552" s="93"/>
      <c r="HL552" s="93"/>
      <c r="HM552" s="93"/>
      <c r="HN552" s="20"/>
      <c r="HO552" s="219"/>
      <c r="HP552" s="20"/>
      <c r="HQ552" s="25"/>
      <c r="HR552" s="29"/>
      <c r="HS552" s="1504">
        <v>51257</v>
      </c>
      <c r="HT552" s="19"/>
      <c r="HU552" s="93"/>
      <c r="HV552" s="93"/>
      <c r="HW552" s="93"/>
      <c r="HX552" s="93"/>
      <c r="HY552" s="93"/>
      <c r="HZ552" s="93"/>
      <c r="IA552" s="20"/>
      <c r="IB552" s="19"/>
      <c r="IC552" s="93"/>
      <c r="ID552" s="93"/>
      <c r="IE552" s="93"/>
      <c r="IF552" s="93"/>
      <c r="IG552" s="20"/>
      <c r="IH552" s="19"/>
      <c r="II552" s="93"/>
      <c r="IJ552" s="93"/>
      <c r="IK552" s="93"/>
      <c r="IL552" s="93"/>
      <c r="IM552" s="93"/>
      <c r="IN552" s="93"/>
      <c r="IO552" s="20"/>
      <c r="IP552" s="29"/>
      <c r="IQ552" s="19"/>
      <c r="IR552" s="93"/>
      <c r="IS552" s="93"/>
      <c r="IT552" s="93"/>
      <c r="IU552" s="93"/>
      <c r="IV552" s="20"/>
      <c r="IW552" s="29"/>
      <c r="IX552" s="19"/>
      <c r="IY552" s="93"/>
      <c r="IZ552" s="93"/>
      <c r="JA552" s="93"/>
      <c r="JB552" s="93"/>
      <c r="JC552" s="93"/>
      <c r="JD552" s="93"/>
      <c r="JE552" s="20"/>
      <c r="JF552" s="29"/>
      <c r="JG552" s="19"/>
      <c r="JH552" s="93"/>
      <c r="JI552" s="93"/>
      <c r="JJ552" s="93"/>
      <c r="JK552" s="93"/>
      <c r="JL552" s="93"/>
      <c r="JM552" s="93"/>
      <c r="JN552" s="20"/>
      <c r="JO552" s="29"/>
      <c r="JP552" s="19"/>
      <c r="JQ552" s="93"/>
      <c r="JR552" s="93"/>
      <c r="JS552" s="93"/>
      <c r="JT552" s="93"/>
      <c r="JU552" s="20"/>
      <c r="JV552" s="29"/>
      <c r="JW552" s="1504">
        <v>51257</v>
      </c>
      <c r="JX552" s="19"/>
      <c r="JY552" s="93"/>
      <c r="JZ552" s="93"/>
      <c r="KA552" s="93"/>
      <c r="KB552" s="93"/>
      <c r="KC552" s="93"/>
      <c r="KD552" s="20"/>
      <c r="KE552" s="29"/>
      <c r="KF552" s="19"/>
      <c r="KG552" s="93"/>
      <c r="KH552" s="93"/>
      <c r="KI552" s="93"/>
      <c r="KJ552" s="93"/>
      <c r="KK552" s="20"/>
      <c r="KL552" s="29"/>
      <c r="KM552" s="19"/>
      <c r="KN552" s="93"/>
      <c r="KO552" s="93"/>
      <c r="KP552" s="93"/>
      <c r="KQ552" s="93"/>
      <c r="KR552" s="20"/>
      <c r="KS552" s="29"/>
      <c r="KT552" s="19"/>
      <c r="KU552" s="93"/>
      <c r="KV552" s="93"/>
      <c r="KW552" s="93"/>
      <c r="KX552" s="93"/>
      <c r="KY552" s="20"/>
      <c r="KZ552" s="29"/>
      <c r="LA552" s="1504">
        <v>51257</v>
      </c>
      <c r="LB552" s="19"/>
      <c r="LC552" s="93"/>
      <c r="LD552" s="93"/>
      <c r="LE552" s="93"/>
      <c r="LF552" s="93"/>
      <c r="LG552" s="93"/>
      <c r="LH552" s="20"/>
      <c r="LI552" s="29"/>
      <c r="LJ552" s="19"/>
      <c r="LK552" s="93"/>
      <c r="LL552" s="93"/>
      <c r="LM552" s="93"/>
      <c r="LN552" s="93"/>
      <c r="LO552" s="20"/>
      <c r="LP552" s="29"/>
      <c r="LQ552" s="19"/>
      <c r="LR552" s="93"/>
      <c r="LS552" s="93"/>
      <c r="LT552" s="93"/>
      <c r="LU552" s="93"/>
      <c r="LV552" s="93"/>
      <c r="LW552" s="93"/>
      <c r="LX552" s="93"/>
      <c r="LY552" s="93"/>
      <c r="LZ552" s="93"/>
      <c r="MA552" s="20"/>
      <c r="MB552" s="29"/>
      <c r="MC552" s="1504">
        <v>51257</v>
      </c>
      <c r="MD552" s="19"/>
      <c r="ME552" s="93"/>
      <c r="MF552" s="93"/>
      <c r="MG552" s="93"/>
      <c r="MH552" s="93"/>
      <c r="MI552" s="93"/>
      <c r="MJ552" s="93"/>
      <c r="MK552" s="93"/>
      <c r="ML552" s="93"/>
      <c r="MM552" s="93"/>
      <c r="MN552" s="93"/>
      <c r="MO552" s="93"/>
      <c r="MP552" s="93"/>
      <c r="MQ552" s="93"/>
      <c r="MR552" s="93"/>
      <c r="MS552" s="93"/>
      <c r="MT552" s="93"/>
      <c r="MU552" s="93"/>
      <c r="MV552" s="93"/>
      <c r="MW552" s="93"/>
      <c r="MX552" s="93"/>
      <c r="MY552" s="93"/>
      <c r="MZ552" s="93"/>
      <c r="NA552" s="93"/>
      <c r="NB552" s="93"/>
      <c r="NC552" s="93"/>
      <c r="ND552" s="93"/>
      <c r="NE552" s="93"/>
      <c r="NF552" s="93"/>
      <c r="NG552" s="93"/>
      <c r="NH552" s="93"/>
      <c r="NI552" s="93"/>
      <c r="NJ552" s="93"/>
      <c r="NK552" s="93"/>
      <c r="NL552" s="93"/>
      <c r="NM552" s="93"/>
      <c r="NN552" s="93"/>
      <c r="NO552" s="93"/>
      <c r="NP552" s="93"/>
      <c r="NQ552" s="93"/>
      <c r="NR552" s="93"/>
      <c r="NS552" s="93"/>
      <c r="NT552" s="93"/>
      <c r="NU552" s="93"/>
      <c r="NV552" s="93"/>
      <c r="NW552" s="93"/>
      <c r="NX552" s="93"/>
      <c r="NY552" s="93"/>
      <c r="NZ552" s="93"/>
      <c r="OA552" s="93"/>
      <c r="OB552" s="93"/>
      <c r="OC552" s="93"/>
      <c r="OD552" s="20"/>
      <c r="OE552" s="29"/>
      <c r="OF552" s="1504">
        <v>51257</v>
      </c>
      <c r="OG552" s="19"/>
      <c r="OH552" s="93"/>
      <c r="OI552" s="93"/>
      <c r="OJ552" s="93"/>
      <c r="OK552" s="93"/>
      <c r="OL552" s="93"/>
      <c r="OM552" s="93"/>
      <c r="ON552" s="93"/>
      <c r="OO552" s="93"/>
      <c r="OP552" s="93"/>
      <c r="OQ552" s="93"/>
      <c r="OR552" s="93"/>
      <c r="OS552" s="93"/>
      <c r="OT552" s="93"/>
      <c r="OU552" s="93"/>
      <c r="OV552" s="93"/>
      <c r="OW552" s="93"/>
      <c r="OX552" s="93"/>
      <c r="OY552" s="93"/>
      <c r="OZ552" s="93"/>
      <c r="PA552" s="93"/>
      <c r="PB552" s="93"/>
      <c r="PC552" s="20"/>
      <c r="PD552" s="29"/>
      <c r="PE552" s="19"/>
      <c r="PF552" s="93"/>
      <c r="PG552" s="93"/>
      <c r="PH552" s="93"/>
      <c r="PI552" s="93"/>
      <c r="PJ552" s="93"/>
      <c r="PK552" s="93"/>
      <c r="PL552" s="93"/>
      <c r="PM552" s="93"/>
      <c r="PN552" s="93"/>
      <c r="PO552" s="93"/>
      <c r="PP552" s="93"/>
      <c r="PQ552" s="93"/>
      <c r="PR552" s="93"/>
      <c r="PS552" s="93"/>
      <c r="PT552" s="93"/>
      <c r="PU552" s="93"/>
      <c r="PV552" s="93"/>
      <c r="PW552" s="93"/>
      <c r="PX552" s="93"/>
      <c r="PY552" s="93"/>
      <c r="PZ552" s="93"/>
      <c r="QA552" s="93"/>
      <c r="QB552" s="93"/>
      <c r="QC552" s="93"/>
      <c r="QD552" s="93"/>
      <c r="QE552" s="20"/>
      <c r="QF552" s="1739"/>
      <c r="QG552" s="19"/>
      <c r="QH552" s="93"/>
      <c r="QI552" s="93"/>
      <c r="QJ552" s="93"/>
      <c r="QK552" s="93"/>
      <c r="QL552" s="93"/>
      <c r="QM552" s="93"/>
      <c r="QN552" s="93"/>
      <c r="QO552" s="93"/>
      <c r="QP552" s="93"/>
      <c r="QQ552" s="93"/>
      <c r="QR552" s="93"/>
      <c r="QS552" s="93"/>
      <c r="QT552" s="93"/>
      <c r="QU552" s="93"/>
      <c r="QV552" s="93"/>
      <c r="QW552" s="93"/>
      <c r="QX552" s="93"/>
      <c r="QY552" s="93"/>
      <c r="QZ552" s="93"/>
      <c r="RA552" s="93"/>
      <c r="RB552" s="93"/>
      <c r="RC552" s="93"/>
      <c r="RD552" s="93"/>
      <c r="RE552" s="93"/>
      <c r="RF552" s="93"/>
      <c r="RG552" s="93"/>
      <c r="RH552" s="93"/>
      <c r="RI552" s="93"/>
      <c r="RJ552" s="93"/>
      <c r="RK552" s="93"/>
      <c r="RL552" s="93"/>
      <c r="RM552" s="20"/>
      <c r="RN552" s="29"/>
      <c r="RO552" s="19"/>
      <c r="RP552" s="20"/>
      <c r="RQ552" s="29"/>
      <c r="RR552" s="20"/>
      <c r="RS552" s="29"/>
      <c r="RT552" s="1504">
        <v>51257</v>
      </c>
      <c r="RU552" s="19"/>
      <c r="RV552" s="20"/>
      <c r="RW552" s="29"/>
      <c r="RX552" s="1504">
        <v>51257</v>
      </c>
      <c r="RY552" s="29"/>
      <c r="RZ552" s="20"/>
      <c r="SA552" s="29"/>
      <c r="SB552" s="29"/>
    </row>
    <row r="553" spans="1:496">
      <c r="A553" s="41">
        <f t="shared" si="362"/>
        <v>2040</v>
      </c>
      <c r="B553" s="1504">
        <v>51288</v>
      </c>
      <c r="C553" s="1813"/>
      <c r="D553" s="1814"/>
      <c r="E553" s="1814"/>
      <c r="F553" s="1815"/>
      <c r="G553" s="1814"/>
      <c r="H553" s="1814"/>
      <c r="I553" s="1814"/>
      <c r="J553" s="1816"/>
      <c r="K553" s="1807"/>
      <c r="L553" s="25"/>
      <c r="M553" s="97"/>
      <c r="N553" s="1504">
        <v>51288</v>
      </c>
      <c r="O553" s="19"/>
      <c r="P553" s="93"/>
      <c r="Q553" s="93"/>
      <c r="R553" s="93"/>
      <c r="S553" s="93"/>
      <c r="T553" s="93"/>
      <c r="U553" s="93"/>
      <c r="V553" s="93"/>
      <c r="W553" s="93"/>
      <c r="X553" s="93"/>
      <c r="Y553" s="93"/>
      <c r="Z553" s="93"/>
      <c r="AA553" s="93"/>
      <c r="AB553" s="20"/>
      <c r="AC553" s="25"/>
      <c r="AD553" s="97"/>
      <c r="AE553" s="1504">
        <v>51288</v>
      </c>
      <c r="AF553" s="19"/>
      <c r="AG553" s="93"/>
      <c r="AH553" s="93"/>
      <c r="AI553" s="93"/>
      <c r="AJ553" s="93"/>
      <c r="AK553" s="93"/>
      <c r="AL553" s="93"/>
      <c r="AM553" s="93"/>
      <c r="AN553" s="93"/>
      <c r="AO553" s="93"/>
      <c r="AP553" s="93"/>
      <c r="AQ553" s="93"/>
      <c r="AR553" s="93"/>
      <c r="AS553" s="20"/>
      <c r="AT553" s="25"/>
      <c r="AU553" s="97"/>
      <c r="AV553" s="1504">
        <v>51288</v>
      </c>
      <c r="AW553" s="19"/>
      <c r="AX553" s="93"/>
      <c r="AY553" s="93"/>
      <c r="AZ553" s="93"/>
      <c r="BA553" s="93"/>
      <c r="BB553" s="93"/>
      <c r="BC553" s="93"/>
      <c r="BD553" s="93"/>
      <c r="BE553" s="93"/>
      <c r="BF553" s="93"/>
      <c r="BG553" s="93"/>
      <c r="BH553" s="93"/>
      <c r="BI553" s="93"/>
      <c r="BJ553" s="20"/>
      <c r="BK553" s="25"/>
      <c r="BL553" s="97"/>
      <c r="BM553" s="1504">
        <v>51288</v>
      </c>
      <c r="BN553" s="19"/>
      <c r="BO553" s="93"/>
      <c r="BP553" s="93"/>
      <c r="BQ553" s="93"/>
      <c r="BR553" s="93"/>
      <c r="BS553" s="93"/>
      <c r="BT553" s="93"/>
      <c r="BU553" s="20"/>
      <c r="BV553" s="25"/>
      <c r="BW553" s="97"/>
      <c r="BX553" s="1504">
        <v>51288</v>
      </c>
      <c r="BY553" s="19"/>
      <c r="BZ553" s="93"/>
      <c r="CA553" s="93"/>
      <c r="CB553" s="93"/>
      <c r="CC553" s="93"/>
      <c r="CD553" s="25"/>
      <c r="CE553" s="97"/>
      <c r="CF553" s="1504">
        <v>51288</v>
      </c>
      <c r="CG553" s="19"/>
      <c r="CH553" s="93"/>
      <c r="CI553" s="219"/>
      <c r="CJ553" s="20"/>
      <c r="CK553" s="19"/>
      <c r="CL553" s="93"/>
      <c r="CM553" s="93"/>
      <c r="CN553" s="93"/>
      <c r="CO553" s="93"/>
      <c r="CP553" s="20"/>
      <c r="CQ553" s="219"/>
      <c r="CR553" s="93"/>
      <c r="CS553" s="93"/>
      <c r="CT553" s="93"/>
      <c r="CU553" s="93"/>
      <c r="CV553" s="214"/>
      <c r="CW553" s="29"/>
      <c r="CX553" s="41">
        <f t="shared" si="361"/>
        <v>2040</v>
      </c>
      <c r="CY553" s="1504">
        <v>51288</v>
      </c>
      <c r="CZ553" s="19"/>
      <c r="DA553" s="93"/>
      <c r="DB553" s="93"/>
      <c r="DC553" s="93"/>
      <c r="DD553" s="93"/>
      <c r="DE553" s="20"/>
      <c r="DF553" s="29"/>
      <c r="DG553" s="1504">
        <v>51288</v>
      </c>
      <c r="DH553" s="19"/>
      <c r="DI553" s="93"/>
      <c r="DJ553" s="93"/>
      <c r="DK553" s="93"/>
      <c r="DL553" s="93"/>
      <c r="DM553" s="93"/>
      <c r="DN553" s="20"/>
      <c r="DO553" s="295"/>
      <c r="DP553" s="29"/>
      <c r="DQ553" s="1504">
        <v>51288</v>
      </c>
      <c r="DR553" s="19"/>
      <c r="DS553" s="93"/>
      <c r="DT553" s="93"/>
      <c r="DU553" s="93"/>
      <c r="DV553" s="93"/>
      <c r="DW553" s="93"/>
      <c r="DX553" s="20"/>
      <c r="DY553" s="29"/>
      <c r="DZ553" s="1504">
        <v>51288</v>
      </c>
      <c r="EA553" s="19"/>
      <c r="EB553" s="93"/>
      <c r="EC553" s="20"/>
      <c r="ED553" s="29"/>
      <c r="EE553" s="1504">
        <v>51288</v>
      </c>
      <c r="EF553" s="19"/>
      <c r="EG553" s="93"/>
      <c r="EH553" s="93"/>
      <c r="EI553" s="214"/>
      <c r="EJ553" s="93"/>
      <c r="EK553" s="93"/>
      <c r="EL553" s="93"/>
      <c r="EM553" s="93"/>
      <c r="EN553" s="20"/>
      <c r="EO553" s="29"/>
      <c r="EP553" s="1504">
        <v>51288</v>
      </c>
      <c r="EQ553" s="19"/>
      <c r="ER553" s="93"/>
      <c r="ES553" s="93"/>
      <c r="ET553" s="214"/>
      <c r="EU553" s="93"/>
      <c r="EV553" s="93"/>
      <c r="EW553" s="93"/>
      <c r="EX553" s="93"/>
      <c r="EY553" s="20"/>
      <c r="EZ553" s="29"/>
      <c r="FA553" s="1504">
        <v>51288</v>
      </c>
      <c r="FB553" s="29"/>
      <c r="FC553" s="29"/>
      <c r="FD553" s="29"/>
      <c r="FE553" s="29"/>
      <c r="FF553" s="29"/>
      <c r="FG553" s="29"/>
      <c r="FH553" s="29"/>
      <c r="FI553" s="29"/>
      <c r="FJ553" s="29"/>
      <c r="FK553" s="29"/>
      <c r="FL553" s="1504">
        <v>51288</v>
      </c>
      <c r="FM553" s="19"/>
      <c r="FN553" s="93"/>
      <c r="FO553" s="93"/>
      <c r="FP553" s="93"/>
      <c r="FQ553" s="93"/>
      <c r="FR553" s="93"/>
      <c r="FS553" s="93"/>
      <c r="FT553" s="93"/>
      <c r="FU553" s="93"/>
      <c r="FV553" s="93"/>
      <c r="FW553" s="93"/>
      <c r="FX553" s="93"/>
      <c r="FY553" s="93"/>
      <c r="FZ553" s="29"/>
      <c r="GA553" s="1504">
        <v>51288</v>
      </c>
      <c r="GB553" s="19"/>
      <c r="GC553" s="93"/>
      <c r="GD553" s="93"/>
      <c r="GE553" s="93"/>
      <c r="GF553" s="93"/>
      <c r="GG553" s="93"/>
      <c r="GH553" s="93"/>
      <c r="GI553" s="93"/>
      <c r="GJ553" s="93"/>
      <c r="GK553" s="93"/>
      <c r="GL553" s="93"/>
      <c r="GM553" s="93"/>
      <c r="GN553" s="20"/>
      <c r="GO553" s="29"/>
      <c r="GP553" s="1504">
        <v>51288</v>
      </c>
      <c r="GQ553" s="19"/>
      <c r="GR553" s="93"/>
      <c r="GS553" s="93"/>
      <c r="GT553" s="93"/>
      <c r="GU553" s="93"/>
      <c r="GV553" s="20"/>
      <c r="GW553" s="19"/>
      <c r="GX553" s="93"/>
      <c r="GY553" s="93"/>
      <c r="GZ553" s="93"/>
      <c r="HA553" s="93"/>
      <c r="HB553" s="20"/>
      <c r="HC553" s="19"/>
      <c r="HD553" s="93"/>
      <c r="HE553" s="93"/>
      <c r="HF553" s="93"/>
      <c r="HG553" s="93"/>
      <c r="HH553" s="20"/>
      <c r="HI553" s="19"/>
      <c r="HJ553" s="93"/>
      <c r="HK553" s="93"/>
      <c r="HL553" s="93"/>
      <c r="HM553" s="93"/>
      <c r="HN553" s="20"/>
      <c r="HO553" s="219"/>
      <c r="HP553" s="20"/>
      <c r="HQ553" s="25"/>
      <c r="HR553" s="29"/>
      <c r="HS553" s="1504">
        <v>51288</v>
      </c>
      <c r="HT553" s="19"/>
      <c r="HU553" s="93"/>
      <c r="HV553" s="93"/>
      <c r="HW553" s="93"/>
      <c r="HX553" s="93"/>
      <c r="HY553" s="93"/>
      <c r="HZ553" s="93"/>
      <c r="IA553" s="20"/>
      <c r="IB553" s="19"/>
      <c r="IC553" s="93"/>
      <c r="ID553" s="93"/>
      <c r="IE553" s="93"/>
      <c r="IF553" s="93"/>
      <c r="IG553" s="20"/>
      <c r="IH553" s="19"/>
      <c r="II553" s="93"/>
      <c r="IJ553" s="93"/>
      <c r="IK553" s="93"/>
      <c r="IL553" s="93"/>
      <c r="IM553" s="93"/>
      <c r="IN553" s="93"/>
      <c r="IO553" s="20"/>
      <c r="IP553" s="29"/>
      <c r="IQ553" s="19"/>
      <c r="IR553" s="93"/>
      <c r="IS553" s="93"/>
      <c r="IT553" s="93"/>
      <c r="IU553" s="93"/>
      <c r="IV553" s="20"/>
      <c r="IW553" s="29"/>
      <c r="IX553" s="19"/>
      <c r="IY553" s="93"/>
      <c r="IZ553" s="93"/>
      <c r="JA553" s="93"/>
      <c r="JB553" s="93"/>
      <c r="JC553" s="93"/>
      <c r="JD553" s="93"/>
      <c r="JE553" s="20"/>
      <c r="JF553" s="29"/>
      <c r="JG553" s="19"/>
      <c r="JH553" s="93"/>
      <c r="JI553" s="93"/>
      <c r="JJ553" s="93"/>
      <c r="JK553" s="93"/>
      <c r="JL553" s="93"/>
      <c r="JM553" s="93"/>
      <c r="JN553" s="20"/>
      <c r="JO553" s="29"/>
      <c r="JP553" s="19"/>
      <c r="JQ553" s="93"/>
      <c r="JR553" s="93"/>
      <c r="JS553" s="93"/>
      <c r="JT553" s="93"/>
      <c r="JU553" s="20"/>
      <c r="JV553" s="29"/>
      <c r="JW553" s="1504">
        <v>51288</v>
      </c>
      <c r="JX553" s="19"/>
      <c r="JY553" s="93"/>
      <c r="JZ553" s="93"/>
      <c r="KA553" s="93"/>
      <c r="KB553" s="93"/>
      <c r="KC553" s="93"/>
      <c r="KD553" s="20"/>
      <c r="KE553" s="29"/>
      <c r="KF553" s="19"/>
      <c r="KG553" s="93"/>
      <c r="KH553" s="93"/>
      <c r="KI553" s="93"/>
      <c r="KJ553" s="93"/>
      <c r="KK553" s="20"/>
      <c r="KL553" s="29"/>
      <c r="KM553" s="19"/>
      <c r="KN553" s="93"/>
      <c r="KO553" s="93"/>
      <c r="KP553" s="93"/>
      <c r="KQ553" s="93"/>
      <c r="KR553" s="20"/>
      <c r="KS553" s="29"/>
      <c r="KT553" s="19"/>
      <c r="KU553" s="93"/>
      <c r="KV553" s="93"/>
      <c r="KW553" s="93"/>
      <c r="KX553" s="93"/>
      <c r="KY553" s="20"/>
      <c r="KZ553" s="29"/>
      <c r="LA553" s="1504">
        <v>51288</v>
      </c>
      <c r="LB553" s="19"/>
      <c r="LC553" s="93"/>
      <c r="LD553" s="93"/>
      <c r="LE553" s="93"/>
      <c r="LF553" s="93"/>
      <c r="LG553" s="93"/>
      <c r="LH553" s="20"/>
      <c r="LI553" s="29"/>
      <c r="LJ553" s="19"/>
      <c r="LK553" s="93"/>
      <c r="LL553" s="93"/>
      <c r="LM553" s="93"/>
      <c r="LN553" s="93"/>
      <c r="LO553" s="20"/>
      <c r="LP553" s="29"/>
      <c r="LQ553" s="19"/>
      <c r="LR553" s="93"/>
      <c r="LS553" s="93"/>
      <c r="LT553" s="93"/>
      <c r="LU553" s="93"/>
      <c r="LV553" s="93"/>
      <c r="LW553" s="93"/>
      <c r="LX553" s="93"/>
      <c r="LY553" s="93"/>
      <c r="LZ553" s="93"/>
      <c r="MA553" s="20"/>
      <c r="MB553" s="29"/>
      <c r="MC553" s="1504">
        <v>51288</v>
      </c>
      <c r="MD553" s="19"/>
      <c r="ME553" s="93"/>
      <c r="MF553" s="93"/>
      <c r="MG553" s="93"/>
      <c r="MH553" s="93"/>
      <c r="MI553" s="93"/>
      <c r="MJ553" s="93"/>
      <c r="MK553" s="93"/>
      <c r="ML553" s="93"/>
      <c r="MM553" s="93"/>
      <c r="MN553" s="93"/>
      <c r="MO553" s="93"/>
      <c r="MP553" s="93"/>
      <c r="MQ553" s="93"/>
      <c r="MR553" s="93"/>
      <c r="MS553" s="93"/>
      <c r="MT553" s="93"/>
      <c r="MU553" s="93"/>
      <c r="MV553" s="93"/>
      <c r="MW553" s="93"/>
      <c r="MX553" s="93"/>
      <c r="MY553" s="93"/>
      <c r="MZ553" s="93"/>
      <c r="NA553" s="93"/>
      <c r="NB553" s="93"/>
      <c r="NC553" s="93"/>
      <c r="ND553" s="93"/>
      <c r="NE553" s="93"/>
      <c r="NF553" s="93"/>
      <c r="NG553" s="93"/>
      <c r="NH553" s="93"/>
      <c r="NI553" s="93"/>
      <c r="NJ553" s="93"/>
      <c r="NK553" s="93"/>
      <c r="NL553" s="93"/>
      <c r="NM553" s="93"/>
      <c r="NN553" s="93"/>
      <c r="NO553" s="93"/>
      <c r="NP553" s="93"/>
      <c r="NQ553" s="93"/>
      <c r="NR553" s="93"/>
      <c r="NS553" s="93"/>
      <c r="NT553" s="93"/>
      <c r="NU553" s="93"/>
      <c r="NV553" s="93"/>
      <c r="NW553" s="93"/>
      <c r="NX553" s="93"/>
      <c r="NY553" s="93"/>
      <c r="NZ553" s="93"/>
      <c r="OA553" s="93"/>
      <c r="OB553" s="93"/>
      <c r="OC553" s="93"/>
      <c r="OD553" s="20"/>
      <c r="OE553" s="29"/>
      <c r="OF553" s="1504">
        <v>51288</v>
      </c>
      <c r="OG553" s="19"/>
      <c r="OH553" s="93"/>
      <c r="OI553" s="93"/>
      <c r="OJ553" s="93"/>
      <c r="OK553" s="93"/>
      <c r="OL553" s="93"/>
      <c r="OM553" s="93"/>
      <c r="ON553" s="93"/>
      <c r="OO553" s="93"/>
      <c r="OP553" s="93"/>
      <c r="OQ553" s="93"/>
      <c r="OR553" s="93"/>
      <c r="OS553" s="93"/>
      <c r="OT553" s="93"/>
      <c r="OU553" s="93"/>
      <c r="OV553" s="93"/>
      <c r="OW553" s="93"/>
      <c r="OX553" s="93"/>
      <c r="OY553" s="93"/>
      <c r="OZ553" s="93"/>
      <c r="PA553" s="93"/>
      <c r="PB553" s="93"/>
      <c r="PC553" s="20"/>
      <c r="PD553" s="29"/>
      <c r="PE553" s="19"/>
      <c r="PF553" s="93"/>
      <c r="PG553" s="93"/>
      <c r="PH553" s="93"/>
      <c r="PI553" s="93"/>
      <c r="PJ553" s="93"/>
      <c r="PK553" s="93"/>
      <c r="PL553" s="93"/>
      <c r="PM553" s="93"/>
      <c r="PN553" s="93"/>
      <c r="PO553" s="93"/>
      <c r="PP553" s="93"/>
      <c r="PQ553" s="93"/>
      <c r="PR553" s="93"/>
      <c r="PS553" s="93"/>
      <c r="PT553" s="93"/>
      <c r="PU553" s="93"/>
      <c r="PV553" s="93"/>
      <c r="PW553" s="93"/>
      <c r="PX553" s="93"/>
      <c r="PY553" s="93"/>
      <c r="PZ553" s="93"/>
      <c r="QA553" s="93"/>
      <c r="QB553" s="93"/>
      <c r="QC553" s="93"/>
      <c r="QD553" s="93"/>
      <c r="QE553" s="20"/>
      <c r="QF553" s="1739"/>
      <c r="QG553" s="19"/>
      <c r="QH553" s="93"/>
      <c r="QI553" s="93"/>
      <c r="QJ553" s="93"/>
      <c r="QK553" s="93"/>
      <c r="QL553" s="93"/>
      <c r="QM553" s="93"/>
      <c r="QN553" s="93"/>
      <c r="QO553" s="93"/>
      <c r="QP553" s="93"/>
      <c r="QQ553" s="93"/>
      <c r="QR553" s="93"/>
      <c r="QS553" s="93"/>
      <c r="QT553" s="93"/>
      <c r="QU553" s="93"/>
      <c r="QV553" s="93"/>
      <c r="QW553" s="93"/>
      <c r="QX553" s="93"/>
      <c r="QY553" s="93"/>
      <c r="QZ553" s="93"/>
      <c r="RA553" s="93"/>
      <c r="RB553" s="93"/>
      <c r="RC553" s="93"/>
      <c r="RD553" s="93"/>
      <c r="RE553" s="93"/>
      <c r="RF553" s="93"/>
      <c r="RG553" s="93"/>
      <c r="RH553" s="93"/>
      <c r="RI553" s="93"/>
      <c r="RJ553" s="93"/>
      <c r="RK553" s="93"/>
      <c r="RL553" s="93"/>
      <c r="RM553" s="20"/>
      <c r="RN553" s="29"/>
      <c r="RO553" s="19"/>
      <c r="RP553" s="20"/>
      <c r="RQ553" s="29"/>
      <c r="RR553" s="20"/>
      <c r="RS553" s="29"/>
      <c r="RT553" s="1504">
        <v>51288</v>
      </c>
      <c r="RU553" s="19"/>
      <c r="RV553" s="20"/>
      <c r="RW553" s="29"/>
      <c r="RX553" s="1504">
        <v>51288</v>
      </c>
      <c r="RY553" s="29"/>
      <c r="RZ553" s="20"/>
      <c r="SA553" s="29"/>
      <c r="SB553" s="29"/>
    </row>
    <row r="554" spans="1:496">
      <c r="A554" s="41">
        <f t="shared" si="362"/>
        <v>2040</v>
      </c>
      <c r="B554" s="1504">
        <v>51318</v>
      </c>
      <c r="C554" s="1813"/>
      <c r="D554" s="1814"/>
      <c r="E554" s="1814"/>
      <c r="F554" s="1815"/>
      <c r="G554" s="1814"/>
      <c r="H554" s="1814"/>
      <c r="I554" s="1814"/>
      <c r="J554" s="1816"/>
      <c r="K554" s="1807"/>
      <c r="L554" s="25"/>
      <c r="M554" s="97"/>
      <c r="N554" s="1504">
        <v>51318</v>
      </c>
      <c r="O554" s="19"/>
      <c r="P554" s="93"/>
      <c r="Q554" s="93"/>
      <c r="R554" s="93"/>
      <c r="S554" s="93"/>
      <c r="T554" s="93"/>
      <c r="U554" s="93"/>
      <c r="V554" s="93"/>
      <c r="W554" s="93"/>
      <c r="X554" s="93"/>
      <c r="Y554" s="93"/>
      <c r="Z554" s="93"/>
      <c r="AA554" s="93"/>
      <c r="AB554" s="20"/>
      <c r="AC554" s="25"/>
      <c r="AD554" s="97"/>
      <c r="AE554" s="1504">
        <v>51318</v>
      </c>
      <c r="AF554" s="19"/>
      <c r="AG554" s="93"/>
      <c r="AH554" s="93"/>
      <c r="AI554" s="93"/>
      <c r="AJ554" s="93"/>
      <c r="AK554" s="93"/>
      <c r="AL554" s="93"/>
      <c r="AM554" s="93"/>
      <c r="AN554" s="93"/>
      <c r="AO554" s="93"/>
      <c r="AP554" s="93"/>
      <c r="AQ554" s="93"/>
      <c r="AR554" s="93"/>
      <c r="AS554" s="20"/>
      <c r="AT554" s="25"/>
      <c r="AU554" s="97"/>
      <c r="AV554" s="1504">
        <v>51318</v>
      </c>
      <c r="AW554" s="19"/>
      <c r="AX554" s="93"/>
      <c r="AY554" s="93"/>
      <c r="AZ554" s="93"/>
      <c r="BA554" s="93"/>
      <c r="BB554" s="93"/>
      <c r="BC554" s="93"/>
      <c r="BD554" s="93"/>
      <c r="BE554" s="93"/>
      <c r="BF554" s="93"/>
      <c r="BG554" s="93"/>
      <c r="BH554" s="93"/>
      <c r="BI554" s="93"/>
      <c r="BJ554" s="20"/>
      <c r="BK554" s="25"/>
      <c r="BL554" s="97"/>
      <c r="BM554" s="1504">
        <v>51318</v>
      </c>
      <c r="BN554" s="19"/>
      <c r="BO554" s="93"/>
      <c r="BP554" s="93"/>
      <c r="BQ554" s="93"/>
      <c r="BR554" s="93"/>
      <c r="BS554" s="93"/>
      <c r="BT554" s="93"/>
      <c r="BU554" s="20"/>
      <c r="BV554" s="25"/>
      <c r="BW554" s="97"/>
      <c r="BX554" s="1504">
        <v>51318</v>
      </c>
      <c r="BY554" s="19"/>
      <c r="BZ554" s="93"/>
      <c r="CA554" s="93"/>
      <c r="CB554" s="93"/>
      <c r="CC554" s="93"/>
      <c r="CD554" s="25"/>
      <c r="CE554" s="97"/>
      <c r="CF554" s="1504">
        <v>51318</v>
      </c>
      <c r="CG554" s="19"/>
      <c r="CH554" s="93"/>
      <c r="CI554" s="219"/>
      <c r="CJ554" s="20"/>
      <c r="CK554" s="19"/>
      <c r="CL554" s="93"/>
      <c r="CM554" s="93"/>
      <c r="CN554" s="93"/>
      <c r="CO554" s="93"/>
      <c r="CP554" s="20"/>
      <c r="CQ554" s="219"/>
      <c r="CR554" s="93"/>
      <c r="CS554" s="93"/>
      <c r="CT554" s="93"/>
      <c r="CU554" s="93"/>
      <c r="CV554" s="214"/>
      <c r="CW554" s="29"/>
      <c r="CX554" s="41">
        <f t="shared" si="361"/>
        <v>2040</v>
      </c>
      <c r="CY554" s="1504">
        <v>51318</v>
      </c>
      <c r="CZ554" s="19"/>
      <c r="DA554" s="93"/>
      <c r="DB554" s="93"/>
      <c r="DC554" s="93"/>
      <c r="DD554" s="93"/>
      <c r="DE554" s="20"/>
      <c r="DF554" s="29"/>
      <c r="DG554" s="1504">
        <v>51318</v>
      </c>
      <c r="DH554" s="19"/>
      <c r="DI554" s="93"/>
      <c r="DJ554" s="93"/>
      <c r="DK554" s="93"/>
      <c r="DL554" s="93"/>
      <c r="DM554" s="93"/>
      <c r="DN554" s="20"/>
      <c r="DO554" s="295"/>
      <c r="DP554" s="29"/>
      <c r="DQ554" s="1504">
        <v>51318</v>
      </c>
      <c r="DR554" s="19"/>
      <c r="DS554" s="93"/>
      <c r="DT554" s="93"/>
      <c r="DU554" s="93"/>
      <c r="DV554" s="93"/>
      <c r="DW554" s="93"/>
      <c r="DX554" s="20"/>
      <c r="DY554" s="29"/>
      <c r="DZ554" s="1504">
        <v>51318</v>
      </c>
      <c r="EA554" s="19"/>
      <c r="EB554" s="93"/>
      <c r="EC554" s="20"/>
      <c r="ED554" s="29"/>
      <c r="EE554" s="1504">
        <v>51318</v>
      </c>
      <c r="EF554" s="19"/>
      <c r="EG554" s="93"/>
      <c r="EH554" s="93"/>
      <c r="EI554" s="214"/>
      <c r="EJ554" s="93"/>
      <c r="EK554" s="93"/>
      <c r="EL554" s="93"/>
      <c r="EM554" s="93"/>
      <c r="EN554" s="20"/>
      <c r="EO554" s="29"/>
      <c r="EP554" s="1504">
        <v>51318</v>
      </c>
      <c r="EQ554" s="19"/>
      <c r="ER554" s="93"/>
      <c r="ES554" s="93"/>
      <c r="ET554" s="214"/>
      <c r="EU554" s="93"/>
      <c r="EV554" s="93"/>
      <c r="EW554" s="93"/>
      <c r="EX554" s="93"/>
      <c r="EY554" s="20"/>
      <c r="EZ554" s="29"/>
      <c r="FA554" s="1504">
        <v>51318</v>
      </c>
      <c r="FB554" s="29"/>
      <c r="FC554" s="29"/>
      <c r="FD554" s="29"/>
      <c r="FE554" s="29"/>
      <c r="FF554" s="29"/>
      <c r="FG554" s="29"/>
      <c r="FH554" s="29"/>
      <c r="FI554" s="29"/>
      <c r="FJ554" s="29"/>
      <c r="FK554" s="29"/>
      <c r="FL554" s="1504">
        <v>51318</v>
      </c>
      <c r="FM554" s="19"/>
      <c r="FN554" s="93"/>
      <c r="FO554" s="93"/>
      <c r="FP554" s="93"/>
      <c r="FQ554" s="93"/>
      <c r="FR554" s="93"/>
      <c r="FS554" s="93"/>
      <c r="FT554" s="93"/>
      <c r="FU554" s="93"/>
      <c r="FV554" s="93"/>
      <c r="FW554" s="93"/>
      <c r="FX554" s="93"/>
      <c r="FY554" s="93"/>
      <c r="FZ554" s="29"/>
      <c r="GA554" s="1504">
        <v>51318</v>
      </c>
      <c r="GB554" s="19"/>
      <c r="GC554" s="93"/>
      <c r="GD554" s="93"/>
      <c r="GE554" s="93"/>
      <c r="GF554" s="93"/>
      <c r="GG554" s="93"/>
      <c r="GH554" s="93"/>
      <c r="GI554" s="93"/>
      <c r="GJ554" s="93"/>
      <c r="GK554" s="93"/>
      <c r="GL554" s="93"/>
      <c r="GM554" s="93"/>
      <c r="GN554" s="20"/>
      <c r="GO554" s="29"/>
      <c r="GP554" s="1504">
        <v>51318</v>
      </c>
      <c r="GQ554" s="19"/>
      <c r="GR554" s="93"/>
      <c r="GS554" s="93"/>
      <c r="GT554" s="93"/>
      <c r="GU554" s="93"/>
      <c r="GV554" s="20"/>
      <c r="GW554" s="19"/>
      <c r="GX554" s="93"/>
      <c r="GY554" s="93"/>
      <c r="GZ554" s="93"/>
      <c r="HA554" s="93"/>
      <c r="HB554" s="20"/>
      <c r="HC554" s="19"/>
      <c r="HD554" s="93"/>
      <c r="HE554" s="93"/>
      <c r="HF554" s="93"/>
      <c r="HG554" s="93"/>
      <c r="HH554" s="20"/>
      <c r="HI554" s="19"/>
      <c r="HJ554" s="93"/>
      <c r="HK554" s="93"/>
      <c r="HL554" s="93"/>
      <c r="HM554" s="93"/>
      <c r="HN554" s="20"/>
      <c r="HO554" s="219"/>
      <c r="HP554" s="20"/>
      <c r="HQ554" s="25"/>
      <c r="HR554" s="29"/>
      <c r="HS554" s="1504">
        <v>51318</v>
      </c>
      <c r="HT554" s="19"/>
      <c r="HU554" s="93"/>
      <c r="HV554" s="93"/>
      <c r="HW554" s="93"/>
      <c r="HX554" s="93"/>
      <c r="HY554" s="93"/>
      <c r="HZ554" s="93"/>
      <c r="IA554" s="20"/>
      <c r="IB554" s="19"/>
      <c r="IC554" s="93"/>
      <c r="ID554" s="93"/>
      <c r="IE554" s="93"/>
      <c r="IF554" s="93"/>
      <c r="IG554" s="20"/>
      <c r="IH554" s="19"/>
      <c r="II554" s="93"/>
      <c r="IJ554" s="93"/>
      <c r="IK554" s="93"/>
      <c r="IL554" s="93"/>
      <c r="IM554" s="93"/>
      <c r="IN554" s="93"/>
      <c r="IO554" s="20"/>
      <c r="IP554" s="29"/>
      <c r="IQ554" s="19"/>
      <c r="IR554" s="93"/>
      <c r="IS554" s="93"/>
      <c r="IT554" s="93"/>
      <c r="IU554" s="93"/>
      <c r="IV554" s="20"/>
      <c r="IW554" s="29"/>
      <c r="IX554" s="19"/>
      <c r="IY554" s="93"/>
      <c r="IZ554" s="93"/>
      <c r="JA554" s="93"/>
      <c r="JB554" s="93"/>
      <c r="JC554" s="93"/>
      <c r="JD554" s="93"/>
      <c r="JE554" s="20"/>
      <c r="JF554" s="29"/>
      <c r="JG554" s="19"/>
      <c r="JH554" s="93"/>
      <c r="JI554" s="93"/>
      <c r="JJ554" s="93"/>
      <c r="JK554" s="93"/>
      <c r="JL554" s="93"/>
      <c r="JM554" s="93"/>
      <c r="JN554" s="20"/>
      <c r="JO554" s="29"/>
      <c r="JP554" s="19"/>
      <c r="JQ554" s="93"/>
      <c r="JR554" s="93"/>
      <c r="JS554" s="93"/>
      <c r="JT554" s="93"/>
      <c r="JU554" s="20"/>
      <c r="JV554" s="29"/>
      <c r="JW554" s="1504">
        <v>51318</v>
      </c>
      <c r="JX554" s="19"/>
      <c r="JY554" s="93"/>
      <c r="JZ554" s="93"/>
      <c r="KA554" s="93"/>
      <c r="KB554" s="93"/>
      <c r="KC554" s="93"/>
      <c r="KD554" s="20"/>
      <c r="KE554" s="29"/>
      <c r="KF554" s="19"/>
      <c r="KG554" s="93"/>
      <c r="KH554" s="93"/>
      <c r="KI554" s="93"/>
      <c r="KJ554" s="93"/>
      <c r="KK554" s="20"/>
      <c r="KL554" s="29"/>
      <c r="KM554" s="19"/>
      <c r="KN554" s="93"/>
      <c r="KO554" s="93"/>
      <c r="KP554" s="93"/>
      <c r="KQ554" s="93"/>
      <c r="KR554" s="20"/>
      <c r="KS554" s="29"/>
      <c r="KT554" s="19"/>
      <c r="KU554" s="93"/>
      <c r="KV554" s="93"/>
      <c r="KW554" s="93"/>
      <c r="KX554" s="93"/>
      <c r="KY554" s="20"/>
      <c r="KZ554" s="29"/>
      <c r="LA554" s="1504">
        <v>51318</v>
      </c>
      <c r="LB554" s="19"/>
      <c r="LC554" s="93"/>
      <c r="LD554" s="93"/>
      <c r="LE554" s="93"/>
      <c r="LF554" s="93"/>
      <c r="LG554" s="93"/>
      <c r="LH554" s="20"/>
      <c r="LI554" s="29"/>
      <c r="LJ554" s="19"/>
      <c r="LK554" s="93"/>
      <c r="LL554" s="93"/>
      <c r="LM554" s="93"/>
      <c r="LN554" s="93"/>
      <c r="LO554" s="20"/>
      <c r="LP554" s="29"/>
      <c r="LQ554" s="19"/>
      <c r="LR554" s="93"/>
      <c r="LS554" s="93"/>
      <c r="LT554" s="93"/>
      <c r="LU554" s="93"/>
      <c r="LV554" s="93"/>
      <c r="LW554" s="93"/>
      <c r="LX554" s="93"/>
      <c r="LY554" s="93"/>
      <c r="LZ554" s="93"/>
      <c r="MA554" s="20"/>
      <c r="MB554" s="29"/>
      <c r="MC554" s="1504">
        <v>51318</v>
      </c>
      <c r="MD554" s="19"/>
      <c r="ME554" s="93"/>
      <c r="MF554" s="93"/>
      <c r="MG554" s="93"/>
      <c r="MH554" s="93"/>
      <c r="MI554" s="93"/>
      <c r="MJ554" s="93"/>
      <c r="MK554" s="93"/>
      <c r="ML554" s="93"/>
      <c r="MM554" s="93"/>
      <c r="MN554" s="93"/>
      <c r="MO554" s="93"/>
      <c r="MP554" s="93"/>
      <c r="MQ554" s="93"/>
      <c r="MR554" s="93"/>
      <c r="MS554" s="93"/>
      <c r="MT554" s="93"/>
      <c r="MU554" s="93"/>
      <c r="MV554" s="93"/>
      <c r="MW554" s="93"/>
      <c r="MX554" s="93"/>
      <c r="MY554" s="93"/>
      <c r="MZ554" s="93"/>
      <c r="NA554" s="93"/>
      <c r="NB554" s="93"/>
      <c r="NC554" s="93"/>
      <c r="ND554" s="93"/>
      <c r="NE554" s="93"/>
      <c r="NF554" s="93"/>
      <c r="NG554" s="93"/>
      <c r="NH554" s="93"/>
      <c r="NI554" s="93"/>
      <c r="NJ554" s="93"/>
      <c r="NK554" s="93"/>
      <c r="NL554" s="93"/>
      <c r="NM554" s="93"/>
      <c r="NN554" s="93"/>
      <c r="NO554" s="93"/>
      <c r="NP554" s="93"/>
      <c r="NQ554" s="93"/>
      <c r="NR554" s="93"/>
      <c r="NS554" s="93"/>
      <c r="NT554" s="93"/>
      <c r="NU554" s="93"/>
      <c r="NV554" s="93"/>
      <c r="NW554" s="93"/>
      <c r="NX554" s="93"/>
      <c r="NY554" s="93"/>
      <c r="NZ554" s="93"/>
      <c r="OA554" s="93"/>
      <c r="OB554" s="93"/>
      <c r="OC554" s="93"/>
      <c r="OD554" s="20"/>
      <c r="OE554" s="29"/>
      <c r="OF554" s="1504">
        <v>51318</v>
      </c>
      <c r="OG554" s="19"/>
      <c r="OH554" s="93"/>
      <c r="OI554" s="93"/>
      <c r="OJ554" s="93"/>
      <c r="OK554" s="93"/>
      <c r="OL554" s="93"/>
      <c r="OM554" s="93"/>
      <c r="ON554" s="93"/>
      <c r="OO554" s="93"/>
      <c r="OP554" s="93"/>
      <c r="OQ554" s="93"/>
      <c r="OR554" s="93"/>
      <c r="OS554" s="93"/>
      <c r="OT554" s="93"/>
      <c r="OU554" s="93"/>
      <c r="OV554" s="93"/>
      <c r="OW554" s="93"/>
      <c r="OX554" s="93"/>
      <c r="OY554" s="93"/>
      <c r="OZ554" s="93"/>
      <c r="PA554" s="93"/>
      <c r="PB554" s="93"/>
      <c r="PC554" s="20"/>
      <c r="PD554" s="29"/>
      <c r="PE554" s="19"/>
      <c r="PF554" s="93"/>
      <c r="PG554" s="93"/>
      <c r="PH554" s="93"/>
      <c r="PI554" s="93"/>
      <c r="PJ554" s="93"/>
      <c r="PK554" s="93"/>
      <c r="PL554" s="93"/>
      <c r="PM554" s="93"/>
      <c r="PN554" s="93"/>
      <c r="PO554" s="93"/>
      <c r="PP554" s="93"/>
      <c r="PQ554" s="93"/>
      <c r="PR554" s="93"/>
      <c r="PS554" s="93"/>
      <c r="PT554" s="93"/>
      <c r="PU554" s="93"/>
      <c r="PV554" s="93"/>
      <c r="PW554" s="93"/>
      <c r="PX554" s="93"/>
      <c r="PY554" s="93"/>
      <c r="PZ554" s="93"/>
      <c r="QA554" s="93"/>
      <c r="QB554" s="93"/>
      <c r="QC554" s="93"/>
      <c r="QD554" s="93"/>
      <c r="QE554" s="20"/>
      <c r="QF554" s="1739"/>
      <c r="QG554" s="19"/>
      <c r="QH554" s="93"/>
      <c r="QI554" s="93"/>
      <c r="QJ554" s="93"/>
      <c r="QK554" s="93"/>
      <c r="QL554" s="93"/>
      <c r="QM554" s="93"/>
      <c r="QN554" s="93"/>
      <c r="QO554" s="93"/>
      <c r="QP554" s="93"/>
      <c r="QQ554" s="93"/>
      <c r="QR554" s="93"/>
      <c r="QS554" s="93"/>
      <c r="QT554" s="93"/>
      <c r="QU554" s="93"/>
      <c r="QV554" s="93"/>
      <c r="QW554" s="93"/>
      <c r="QX554" s="93"/>
      <c r="QY554" s="93"/>
      <c r="QZ554" s="93"/>
      <c r="RA554" s="93"/>
      <c r="RB554" s="93"/>
      <c r="RC554" s="93"/>
      <c r="RD554" s="93"/>
      <c r="RE554" s="93"/>
      <c r="RF554" s="93"/>
      <c r="RG554" s="93"/>
      <c r="RH554" s="93"/>
      <c r="RI554" s="93"/>
      <c r="RJ554" s="93"/>
      <c r="RK554" s="93"/>
      <c r="RL554" s="93"/>
      <c r="RM554" s="20"/>
      <c r="RN554" s="29"/>
      <c r="RO554" s="19"/>
      <c r="RP554" s="20"/>
      <c r="RQ554" s="29"/>
      <c r="RR554" s="20"/>
      <c r="RS554" s="29"/>
      <c r="RT554" s="1504">
        <v>51318</v>
      </c>
      <c r="RU554" s="19"/>
      <c r="RV554" s="20"/>
      <c r="RW554" s="29"/>
      <c r="RX554" s="1504">
        <v>51318</v>
      </c>
      <c r="RY554" s="29"/>
      <c r="RZ554" s="20"/>
      <c r="SA554" s="29"/>
      <c r="SB554" s="29"/>
    </row>
    <row r="555" spans="1:496">
      <c r="A555" s="41">
        <f t="shared" si="362"/>
        <v>2040</v>
      </c>
      <c r="B555" s="1504">
        <v>51349</v>
      </c>
      <c r="C555" s="1813"/>
      <c r="D555" s="1814"/>
      <c r="E555" s="1814"/>
      <c r="F555" s="1815"/>
      <c r="G555" s="1814"/>
      <c r="H555" s="1814"/>
      <c r="I555" s="1814"/>
      <c r="J555" s="1816"/>
      <c r="K555" s="1807"/>
      <c r="L555" s="25"/>
      <c r="M555" s="97"/>
      <c r="N555" s="1504">
        <v>51349</v>
      </c>
      <c r="O555" s="19"/>
      <c r="P555" s="93"/>
      <c r="Q555" s="93"/>
      <c r="R555" s="93"/>
      <c r="S555" s="93"/>
      <c r="T555" s="93"/>
      <c r="U555" s="93"/>
      <c r="V555" s="93"/>
      <c r="W555" s="93"/>
      <c r="X555" s="93"/>
      <c r="Y555" s="93"/>
      <c r="Z555" s="93"/>
      <c r="AA555" s="93"/>
      <c r="AB555" s="20"/>
      <c r="AC555" s="25"/>
      <c r="AD555" s="97"/>
      <c r="AE555" s="1504">
        <v>51349</v>
      </c>
      <c r="AF555" s="19"/>
      <c r="AG555" s="93"/>
      <c r="AH555" s="93"/>
      <c r="AI555" s="93"/>
      <c r="AJ555" s="93"/>
      <c r="AK555" s="93"/>
      <c r="AL555" s="93"/>
      <c r="AM555" s="93"/>
      <c r="AN555" s="93"/>
      <c r="AO555" s="93"/>
      <c r="AP555" s="93"/>
      <c r="AQ555" s="93"/>
      <c r="AR555" s="93"/>
      <c r="AS555" s="20"/>
      <c r="AT555" s="25"/>
      <c r="AU555" s="97"/>
      <c r="AV555" s="1504">
        <v>51349</v>
      </c>
      <c r="AW555" s="19"/>
      <c r="AX555" s="93"/>
      <c r="AY555" s="93"/>
      <c r="AZ555" s="93"/>
      <c r="BA555" s="93"/>
      <c r="BB555" s="93"/>
      <c r="BC555" s="93"/>
      <c r="BD555" s="93"/>
      <c r="BE555" s="93"/>
      <c r="BF555" s="93"/>
      <c r="BG555" s="93"/>
      <c r="BH555" s="93"/>
      <c r="BI555" s="93"/>
      <c r="BJ555" s="20"/>
      <c r="BK555" s="25"/>
      <c r="BL555" s="97"/>
      <c r="BM555" s="1504">
        <v>51349</v>
      </c>
      <c r="BN555" s="19"/>
      <c r="BO555" s="93"/>
      <c r="BP555" s="93"/>
      <c r="BQ555" s="93"/>
      <c r="BR555" s="93"/>
      <c r="BS555" s="93"/>
      <c r="BT555" s="93"/>
      <c r="BU555" s="20"/>
      <c r="BV555" s="25"/>
      <c r="BW555" s="97"/>
      <c r="BX555" s="1504">
        <v>51349</v>
      </c>
      <c r="BY555" s="19"/>
      <c r="BZ555" s="93"/>
      <c r="CA555" s="93"/>
      <c r="CB555" s="93"/>
      <c r="CC555" s="93"/>
      <c r="CD555" s="25"/>
      <c r="CE555" s="97"/>
      <c r="CF555" s="1504">
        <v>51349</v>
      </c>
      <c r="CG555" s="19"/>
      <c r="CH555" s="93"/>
      <c r="CI555" s="219"/>
      <c r="CJ555" s="20"/>
      <c r="CK555" s="19"/>
      <c r="CL555" s="93"/>
      <c r="CM555" s="93"/>
      <c r="CN555" s="93"/>
      <c r="CO555" s="93"/>
      <c r="CP555" s="20"/>
      <c r="CQ555" s="219"/>
      <c r="CR555" s="93"/>
      <c r="CS555" s="93"/>
      <c r="CT555" s="93"/>
      <c r="CU555" s="93"/>
      <c r="CV555" s="214"/>
      <c r="CW555" s="29"/>
      <c r="CX555" s="41">
        <f t="shared" si="361"/>
        <v>2040</v>
      </c>
      <c r="CY555" s="1504">
        <v>51349</v>
      </c>
      <c r="CZ555" s="19"/>
      <c r="DA555" s="93"/>
      <c r="DB555" s="93"/>
      <c r="DC555" s="93"/>
      <c r="DD555" s="93"/>
      <c r="DE555" s="20"/>
      <c r="DF555" s="29"/>
      <c r="DG555" s="1504">
        <v>51349</v>
      </c>
      <c r="DH555" s="19"/>
      <c r="DI555" s="93"/>
      <c r="DJ555" s="93"/>
      <c r="DK555" s="93"/>
      <c r="DL555" s="93"/>
      <c r="DM555" s="93"/>
      <c r="DN555" s="20"/>
      <c r="DO555" s="295"/>
      <c r="DP555" s="29"/>
      <c r="DQ555" s="1504">
        <v>51349</v>
      </c>
      <c r="DR555" s="19"/>
      <c r="DS555" s="93"/>
      <c r="DT555" s="93"/>
      <c r="DU555" s="93"/>
      <c r="DV555" s="93"/>
      <c r="DW555" s="93"/>
      <c r="DX555" s="20"/>
      <c r="DY555" s="29"/>
      <c r="DZ555" s="1504">
        <v>51349</v>
      </c>
      <c r="EA555" s="19"/>
      <c r="EB555" s="93"/>
      <c r="EC555" s="20"/>
      <c r="ED555" s="29"/>
      <c r="EE555" s="1504">
        <v>51349</v>
      </c>
      <c r="EF555" s="19"/>
      <c r="EG555" s="93"/>
      <c r="EH555" s="93"/>
      <c r="EI555" s="214"/>
      <c r="EJ555" s="93"/>
      <c r="EK555" s="93"/>
      <c r="EL555" s="93"/>
      <c r="EM555" s="93"/>
      <c r="EN555" s="20"/>
      <c r="EO555" s="29"/>
      <c r="EP555" s="1504">
        <v>51349</v>
      </c>
      <c r="EQ555" s="19"/>
      <c r="ER555" s="93"/>
      <c r="ES555" s="93"/>
      <c r="ET555" s="214"/>
      <c r="EU555" s="93"/>
      <c r="EV555" s="93"/>
      <c r="EW555" s="93"/>
      <c r="EX555" s="93"/>
      <c r="EY555" s="20"/>
      <c r="EZ555" s="29"/>
      <c r="FA555" s="1504">
        <v>51349</v>
      </c>
      <c r="FB555" s="29"/>
      <c r="FC555" s="29"/>
      <c r="FD555" s="29"/>
      <c r="FE555" s="29"/>
      <c r="FF555" s="29"/>
      <c r="FG555" s="29"/>
      <c r="FH555" s="29"/>
      <c r="FI555" s="29"/>
      <c r="FJ555" s="29"/>
      <c r="FK555" s="29"/>
      <c r="FL555" s="1504">
        <v>51349</v>
      </c>
      <c r="FM555" s="19"/>
      <c r="FN555" s="93"/>
      <c r="FO555" s="93"/>
      <c r="FP555" s="93"/>
      <c r="FQ555" s="93"/>
      <c r="FR555" s="93"/>
      <c r="FS555" s="93"/>
      <c r="FT555" s="93"/>
      <c r="FU555" s="93"/>
      <c r="FV555" s="93"/>
      <c r="FW555" s="93"/>
      <c r="FX555" s="93"/>
      <c r="FY555" s="93"/>
      <c r="FZ555" s="29"/>
      <c r="GA555" s="1504">
        <v>51349</v>
      </c>
      <c r="GB555" s="19"/>
      <c r="GC555" s="93"/>
      <c r="GD555" s="93"/>
      <c r="GE555" s="93"/>
      <c r="GF555" s="93"/>
      <c r="GG555" s="93"/>
      <c r="GH555" s="93"/>
      <c r="GI555" s="93"/>
      <c r="GJ555" s="93"/>
      <c r="GK555" s="93"/>
      <c r="GL555" s="93"/>
      <c r="GM555" s="93"/>
      <c r="GN555" s="20"/>
      <c r="GO555" s="29"/>
      <c r="GP555" s="1504">
        <v>51349</v>
      </c>
      <c r="GQ555" s="19"/>
      <c r="GR555" s="93"/>
      <c r="GS555" s="93"/>
      <c r="GT555" s="93"/>
      <c r="GU555" s="93"/>
      <c r="GV555" s="20"/>
      <c r="GW555" s="19"/>
      <c r="GX555" s="93"/>
      <c r="GY555" s="93"/>
      <c r="GZ555" s="93"/>
      <c r="HA555" s="93"/>
      <c r="HB555" s="20"/>
      <c r="HC555" s="19"/>
      <c r="HD555" s="93"/>
      <c r="HE555" s="93"/>
      <c r="HF555" s="93"/>
      <c r="HG555" s="93"/>
      <c r="HH555" s="20"/>
      <c r="HI555" s="19"/>
      <c r="HJ555" s="93"/>
      <c r="HK555" s="93"/>
      <c r="HL555" s="93"/>
      <c r="HM555" s="93"/>
      <c r="HN555" s="20"/>
      <c r="HO555" s="219"/>
      <c r="HP555" s="20"/>
      <c r="HQ555" s="25"/>
      <c r="HR555" s="29"/>
      <c r="HS555" s="1504">
        <v>51349</v>
      </c>
      <c r="HT555" s="19"/>
      <c r="HU555" s="93"/>
      <c r="HV555" s="93"/>
      <c r="HW555" s="93"/>
      <c r="HX555" s="93"/>
      <c r="HY555" s="93"/>
      <c r="HZ555" s="93"/>
      <c r="IA555" s="20"/>
      <c r="IB555" s="19"/>
      <c r="IC555" s="93"/>
      <c r="ID555" s="93"/>
      <c r="IE555" s="93"/>
      <c r="IF555" s="93"/>
      <c r="IG555" s="20"/>
      <c r="IH555" s="19"/>
      <c r="II555" s="93"/>
      <c r="IJ555" s="93"/>
      <c r="IK555" s="93"/>
      <c r="IL555" s="93"/>
      <c r="IM555" s="93"/>
      <c r="IN555" s="93"/>
      <c r="IO555" s="20"/>
      <c r="IP555" s="29"/>
      <c r="IQ555" s="19"/>
      <c r="IR555" s="93"/>
      <c r="IS555" s="93"/>
      <c r="IT555" s="93"/>
      <c r="IU555" s="93"/>
      <c r="IV555" s="20"/>
      <c r="IW555" s="29"/>
      <c r="IX555" s="19"/>
      <c r="IY555" s="93"/>
      <c r="IZ555" s="93"/>
      <c r="JA555" s="93"/>
      <c r="JB555" s="93"/>
      <c r="JC555" s="93"/>
      <c r="JD555" s="93"/>
      <c r="JE555" s="20"/>
      <c r="JF555" s="29"/>
      <c r="JG555" s="19"/>
      <c r="JH555" s="93"/>
      <c r="JI555" s="93"/>
      <c r="JJ555" s="93"/>
      <c r="JK555" s="93"/>
      <c r="JL555" s="93"/>
      <c r="JM555" s="93"/>
      <c r="JN555" s="20"/>
      <c r="JO555" s="29"/>
      <c r="JP555" s="19"/>
      <c r="JQ555" s="93"/>
      <c r="JR555" s="93"/>
      <c r="JS555" s="93"/>
      <c r="JT555" s="93"/>
      <c r="JU555" s="20"/>
      <c r="JV555" s="29"/>
      <c r="JW555" s="1504">
        <v>51349</v>
      </c>
      <c r="JX555" s="19"/>
      <c r="JY555" s="93"/>
      <c r="JZ555" s="93"/>
      <c r="KA555" s="93"/>
      <c r="KB555" s="93"/>
      <c r="KC555" s="93"/>
      <c r="KD555" s="20"/>
      <c r="KE555" s="29"/>
      <c r="KF555" s="19"/>
      <c r="KG555" s="93"/>
      <c r="KH555" s="93"/>
      <c r="KI555" s="93"/>
      <c r="KJ555" s="93"/>
      <c r="KK555" s="20"/>
      <c r="KL555" s="29"/>
      <c r="KM555" s="19"/>
      <c r="KN555" s="93"/>
      <c r="KO555" s="93"/>
      <c r="KP555" s="93"/>
      <c r="KQ555" s="93"/>
      <c r="KR555" s="20"/>
      <c r="KS555" s="29"/>
      <c r="KT555" s="19"/>
      <c r="KU555" s="93"/>
      <c r="KV555" s="93"/>
      <c r="KW555" s="93"/>
      <c r="KX555" s="93"/>
      <c r="KY555" s="20"/>
      <c r="KZ555" s="29"/>
      <c r="LA555" s="1504">
        <v>51349</v>
      </c>
      <c r="LB555" s="19"/>
      <c r="LC555" s="93"/>
      <c r="LD555" s="93"/>
      <c r="LE555" s="93"/>
      <c r="LF555" s="93"/>
      <c r="LG555" s="93"/>
      <c r="LH555" s="20"/>
      <c r="LI555" s="29"/>
      <c r="LJ555" s="19"/>
      <c r="LK555" s="93"/>
      <c r="LL555" s="93"/>
      <c r="LM555" s="93"/>
      <c r="LN555" s="93"/>
      <c r="LO555" s="20"/>
      <c r="LP555" s="29"/>
      <c r="LQ555" s="19"/>
      <c r="LR555" s="93"/>
      <c r="LS555" s="93"/>
      <c r="LT555" s="93"/>
      <c r="LU555" s="93"/>
      <c r="LV555" s="93"/>
      <c r="LW555" s="93"/>
      <c r="LX555" s="93"/>
      <c r="LY555" s="93"/>
      <c r="LZ555" s="93"/>
      <c r="MA555" s="20"/>
      <c r="MB555" s="29"/>
      <c r="MC555" s="1504">
        <v>51349</v>
      </c>
      <c r="MD555" s="19"/>
      <c r="ME555" s="93"/>
      <c r="MF555" s="93"/>
      <c r="MG555" s="93"/>
      <c r="MH555" s="93"/>
      <c r="MI555" s="93"/>
      <c r="MJ555" s="93"/>
      <c r="MK555" s="93"/>
      <c r="ML555" s="93"/>
      <c r="MM555" s="93"/>
      <c r="MN555" s="93"/>
      <c r="MO555" s="93"/>
      <c r="MP555" s="93"/>
      <c r="MQ555" s="93"/>
      <c r="MR555" s="93"/>
      <c r="MS555" s="93"/>
      <c r="MT555" s="93"/>
      <c r="MU555" s="93"/>
      <c r="MV555" s="93"/>
      <c r="MW555" s="93"/>
      <c r="MX555" s="93"/>
      <c r="MY555" s="93"/>
      <c r="MZ555" s="93"/>
      <c r="NA555" s="93"/>
      <c r="NB555" s="93"/>
      <c r="NC555" s="93"/>
      <c r="ND555" s="93"/>
      <c r="NE555" s="93"/>
      <c r="NF555" s="93"/>
      <c r="NG555" s="93"/>
      <c r="NH555" s="93"/>
      <c r="NI555" s="93"/>
      <c r="NJ555" s="93"/>
      <c r="NK555" s="93"/>
      <c r="NL555" s="93"/>
      <c r="NM555" s="93"/>
      <c r="NN555" s="93"/>
      <c r="NO555" s="93"/>
      <c r="NP555" s="93"/>
      <c r="NQ555" s="93"/>
      <c r="NR555" s="93"/>
      <c r="NS555" s="93"/>
      <c r="NT555" s="93"/>
      <c r="NU555" s="93"/>
      <c r="NV555" s="93"/>
      <c r="NW555" s="93"/>
      <c r="NX555" s="93"/>
      <c r="NY555" s="93"/>
      <c r="NZ555" s="93"/>
      <c r="OA555" s="93"/>
      <c r="OB555" s="93"/>
      <c r="OC555" s="93"/>
      <c r="OD555" s="20"/>
      <c r="OE555" s="29"/>
      <c r="OF555" s="1504">
        <v>51349</v>
      </c>
      <c r="OG555" s="19"/>
      <c r="OH555" s="93"/>
      <c r="OI555" s="93"/>
      <c r="OJ555" s="93"/>
      <c r="OK555" s="93"/>
      <c r="OL555" s="93"/>
      <c r="OM555" s="93"/>
      <c r="ON555" s="93"/>
      <c r="OO555" s="93"/>
      <c r="OP555" s="93"/>
      <c r="OQ555" s="93"/>
      <c r="OR555" s="93"/>
      <c r="OS555" s="93"/>
      <c r="OT555" s="93"/>
      <c r="OU555" s="93"/>
      <c r="OV555" s="93"/>
      <c r="OW555" s="93"/>
      <c r="OX555" s="93"/>
      <c r="OY555" s="93"/>
      <c r="OZ555" s="93"/>
      <c r="PA555" s="93"/>
      <c r="PB555" s="93"/>
      <c r="PC555" s="20"/>
      <c r="PD555" s="29"/>
      <c r="PE555" s="19"/>
      <c r="PF555" s="93"/>
      <c r="PG555" s="93"/>
      <c r="PH555" s="93"/>
      <c r="PI555" s="93"/>
      <c r="PJ555" s="93"/>
      <c r="PK555" s="93"/>
      <c r="PL555" s="93"/>
      <c r="PM555" s="93"/>
      <c r="PN555" s="93"/>
      <c r="PO555" s="93"/>
      <c r="PP555" s="93"/>
      <c r="PQ555" s="93"/>
      <c r="PR555" s="93"/>
      <c r="PS555" s="93"/>
      <c r="PT555" s="93"/>
      <c r="PU555" s="93"/>
      <c r="PV555" s="93"/>
      <c r="PW555" s="93"/>
      <c r="PX555" s="93"/>
      <c r="PY555" s="93"/>
      <c r="PZ555" s="93"/>
      <c r="QA555" s="93"/>
      <c r="QB555" s="93"/>
      <c r="QC555" s="93"/>
      <c r="QD555" s="93"/>
      <c r="QE555" s="20"/>
      <c r="QF555" s="1739"/>
      <c r="QG555" s="19"/>
      <c r="QH555" s="93"/>
      <c r="QI555" s="93"/>
      <c r="QJ555" s="93"/>
      <c r="QK555" s="93"/>
      <c r="QL555" s="93"/>
      <c r="QM555" s="93"/>
      <c r="QN555" s="93"/>
      <c r="QO555" s="93"/>
      <c r="QP555" s="93"/>
      <c r="QQ555" s="93"/>
      <c r="QR555" s="93"/>
      <c r="QS555" s="93"/>
      <c r="QT555" s="93"/>
      <c r="QU555" s="93"/>
      <c r="QV555" s="93"/>
      <c r="QW555" s="93"/>
      <c r="QX555" s="93"/>
      <c r="QY555" s="93"/>
      <c r="QZ555" s="93"/>
      <c r="RA555" s="93"/>
      <c r="RB555" s="93"/>
      <c r="RC555" s="93"/>
      <c r="RD555" s="93"/>
      <c r="RE555" s="93"/>
      <c r="RF555" s="93"/>
      <c r="RG555" s="93"/>
      <c r="RH555" s="93"/>
      <c r="RI555" s="93"/>
      <c r="RJ555" s="93"/>
      <c r="RK555" s="93"/>
      <c r="RL555" s="93"/>
      <c r="RM555" s="20"/>
      <c r="RN555" s="29"/>
      <c r="RO555" s="19"/>
      <c r="RP555" s="20"/>
      <c r="RQ555" s="29"/>
      <c r="RR555" s="20"/>
      <c r="RS555" s="29"/>
      <c r="RT555" s="1504">
        <v>51349</v>
      </c>
      <c r="RU555" s="19"/>
      <c r="RV555" s="20"/>
      <c r="RW555" s="29"/>
      <c r="RX555" s="1504">
        <v>51349</v>
      </c>
      <c r="RY555" s="29"/>
      <c r="RZ555" s="20"/>
      <c r="SA555" s="29"/>
      <c r="SB555" s="29"/>
    </row>
    <row r="556" spans="1:496">
      <c r="A556" s="41">
        <f t="shared" si="362"/>
        <v>2040</v>
      </c>
      <c r="B556" s="1504">
        <v>51380</v>
      </c>
      <c r="C556" s="1813"/>
      <c r="D556" s="1814"/>
      <c r="E556" s="1814"/>
      <c r="F556" s="1815"/>
      <c r="G556" s="1814"/>
      <c r="H556" s="1814"/>
      <c r="I556" s="1814"/>
      <c r="J556" s="1816"/>
      <c r="K556" s="1807"/>
      <c r="L556" s="25"/>
      <c r="M556" s="97"/>
      <c r="N556" s="1504">
        <v>51380</v>
      </c>
      <c r="O556" s="19"/>
      <c r="P556" s="93"/>
      <c r="Q556" s="93"/>
      <c r="R556" s="93"/>
      <c r="S556" s="93"/>
      <c r="T556" s="93"/>
      <c r="U556" s="93"/>
      <c r="V556" s="93"/>
      <c r="W556" s="93"/>
      <c r="X556" s="93"/>
      <c r="Y556" s="93"/>
      <c r="Z556" s="93"/>
      <c r="AA556" s="93"/>
      <c r="AB556" s="20"/>
      <c r="AC556" s="25"/>
      <c r="AD556" s="97"/>
      <c r="AE556" s="1504">
        <v>51380</v>
      </c>
      <c r="AF556" s="19"/>
      <c r="AG556" s="93"/>
      <c r="AH556" s="93"/>
      <c r="AI556" s="93"/>
      <c r="AJ556" s="93"/>
      <c r="AK556" s="93"/>
      <c r="AL556" s="93"/>
      <c r="AM556" s="93"/>
      <c r="AN556" s="93"/>
      <c r="AO556" s="93"/>
      <c r="AP556" s="93"/>
      <c r="AQ556" s="93"/>
      <c r="AR556" s="93"/>
      <c r="AS556" s="20"/>
      <c r="AT556" s="25"/>
      <c r="AU556" s="97"/>
      <c r="AV556" s="1504">
        <v>51380</v>
      </c>
      <c r="AW556" s="19"/>
      <c r="AX556" s="93"/>
      <c r="AY556" s="93"/>
      <c r="AZ556" s="93"/>
      <c r="BA556" s="93"/>
      <c r="BB556" s="93"/>
      <c r="BC556" s="93"/>
      <c r="BD556" s="93"/>
      <c r="BE556" s="93"/>
      <c r="BF556" s="93"/>
      <c r="BG556" s="93"/>
      <c r="BH556" s="93"/>
      <c r="BI556" s="93"/>
      <c r="BJ556" s="20"/>
      <c r="BK556" s="25"/>
      <c r="BL556" s="97"/>
      <c r="BM556" s="1504">
        <v>51380</v>
      </c>
      <c r="BN556" s="19"/>
      <c r="BO556" s="93"/>
      <c r="BP556" s="93"/>
      <c r="BQ556" s="93"/>
      <c r="BR556" s="93"/>
      <c r="BS556" s="93"/>
      <c r="BT556" s="93"/>
      <c r="BU556" s="20"/>
      <c r="BV556" s="25"/>
      <c r="BW556" s="97"/>
      <c r="BX556" s="1504">
        <v>51380</v>
      </c>
      <c r="BY556" s="19"/>
      <c r="BZ556" s="93"/>
      <c r="CA556" s="93"/>
      <c r="CB556" s="93"/>
      <c r="CC556" s="93"/>
      <c r="CD556" s="25"/>
      <c r="CE556" s="97"/>
      <c r="CF556" s="1504">
        <v>51380</v>
      </c>
      <c r="CG556" s="19"/>
      <c r="CH556" s="93"/>
      <c r="CI556" s="219"/>
      <c r="CJ556" s="20"/>
      <c r="CK556" s="19"/>
      <c r="CL556" s="93"/>
      <c r="CM556" s="93"/>
      <c r="CN556" s="93"/>
      <c r="CO556" s="93"/>
      <c r="CP556" s="20"/>
      <c r="CQ556" s="219"/>
      <c r="CR556" s="93"/>
      <c r="CS556" s="93"/>
      <c r="CT556" s="93"/>
      <c r="CU556" s="93"/>
      <c r="CV556" s="214"/>
      <c r="CW556" s="29"/>
      <c r="CX556" s="41">
        <f t="shared" si="361"/>
        <v>2040</v>
      </c>
      <c r="CY556" s="1504">
        <v>51380</v>
      </c>
      <c r="CZ556" s="19"/>
      <c r="DA556" s="93"/>
      <c r="DB556" s="93"/>
      <c r="DC556" s="93"/>
      <c r="DD556" s="93"/>
      <c r="DE556" s="20"/>
      <c r="DF556" s="29"/>
      <c r="DG556" s="1504">
        <v>51380</v>
      </c>
      <c r="DH556" s="19"/>
      <c r="DI556" s="93"/>
      <c r="DJ556" s="93"/>
      <c r="DK556" s="93"/>
      <c r="DL556" s="93"/>
      <c r="DM556" s="93"/>
      <c r="DN556" s="20"/>
      <c r="DO556" s="295"/>
      <c r="DP556" s="29"/>
      <c r="DQ556" s="1504">
        <v>51380</v>
      </c>
      <c r="DR556" s="19"/>
      <c r="DS556" s="93"/>
      <c r="DT556" s="93"/>
      <c r="DU556" s="93"/>
      <c r="DV556" s="93"/>
      <c r="DW556" s="93"/>
      <c r="DX556" s="20"/>
      <c r="DY556" s="29"/>
      <c r="DZ556" s="1504">
        <v>51380</v>
      </c>
      <c r="EA556" s="19"/>
      <c r="EB556" s="93"/>
      <c r="EC556" s="20"/>
      <c r="ED556" s="29"/>
      <c r="EE556" s="1504">
        <v>51380</v>
      </c>
      <c r="EF556" s="19"/>
      <c r="EG556" s="93"/>
      <c r="EH556" s="93"/>
      <c r="EI556" s="214"/>
      <c r="EJ556" s="93"/>
      <c r="EK556" s="93"/>
      <c r="EL556" s="93"/>
      <c r="EM556" s="93"/>
      <c r="EN556" s="20"/>
      <c r="EO556" s="29"/>
      <c r="EP556" s="1504">
        <v>51380</v>
      </c>
      <c r="EQ556" s="19"/>
      <c r="ER556" s="93"/>
      <c r="ES556" s="93"/>
      <c r="ET556" s="214"/>
      <c r="EU556" s="93"/>
      <c r="EV556" s="93"/>
      <c r="EW556" s="93"/>
      <c r="EX556" s="93"/>
      <c r="EY556" s="20"/>
      <c r="EZ556" s="29"/>
      <c r="FA556" s="1504">
        <v>51380</v>
      </c>
      <c r="FB556" s="29"/>
      <c r="FC556" s="29"/>
      <c r="FD556" s="29"/>
      <c r="FE556" s="29"/>
      <c r="FF556" s="29"/>
      <c r="FG556" s="29"/>
      <c r="FH556" s="29"/>
      <c r="FI556" s="29"/>
      <c r="FJ556" s="29"/>
      <c r="FK556" s="29"/>
      <c r="FL556" s="1504">
        <v>51380</v>
      </c>
      <c r="FM556" s="19"/>
      <c r="FN556" s="93"/>
      <c r="FO556" s="93"/>
      <c r="FP556" s="93"/>
      <c r="FQ556" s="93"/>
      <c r="FR556" s="93"/>
      <c r="FS556" s="93"/>
      <c r="FT556" s="93"/>
      <c r="FU556" s="93"/>
      <c r="FV556" s="93"/>
      <c r="FW556" s="93"/>
      <c r="FX556" s="93"/>
      <c r="FY556" s="93"/>
      <c r="FZ556" s="29"/>
      <c r="GA556" s="1504">
        <v>51380</v>
      </c>
      <c r="GB556" s="19"/>
      <c r="GC556" s="93"/>
      <c r="GD556" s="93"/>
      <c r="GE556" s="93"/>
      <c r="GF556" s="93"/>
      <c r="GG556" s="93"/>
      <c r="GH556" s="93"/>
      <c r="GI556" s="93"/>
      <c r="GJ556" s="93"/>
      <c r="GK556" s="93"/>
      <c r="GL556" s="93"/>
      <c r="GM556" s="93"/>
      <c r="GN556" s="20"/>
      <c r="GO556" s="29"/>
      <c r="GP556" s="1504">
        <v>51380</v>
      </c>
      <c r="GQ556" s="19"/>
      <c r="GR556" s="93"/>
      <c r="GS556" s="93"/>
      <c r="GT556" s="93"/>
      <c r="GU556" s="93"/>
      <c r="GV556" s="20"/>
      <c r="GW556" s="19"/>
      <c r="GX556" s="93"/>
      <c r="GY556" s="93"/>
      <c r="GZ556" s="93"/>
      <c r="HA556" s="93"/>
      <c r="HB556" s="20"/>
      <c r="HC556" s="19"/>
      <c r="HD556" s="93"/>
      <c r="HE556" s="93"/>
      <c r="HF556" s="93"/>
      <c r="HG556" s="93"/>
      <c r="HH556" s="20"/>
      <c r="HI556" s="19"/>
      <c r="HJ556" s="93"/>
      <c r="HK556" s="93"/>
      <c r="HL556" s="93"/>
      <c r="HM556" s="93"/>
      <c r="HN556" s="20"/>
      <c r="HO556" s="219"/>
      <c r="HP556" s="20"/>
      <c r="HQ556" s="25"/>
      <c r="HR556" s="29"/>
      <c r="HS556" s="1504">
        <v>51380</v>
      </c>
      <c r="HT556" s="19"/>
      <c r="HU556" s="93"/>
      <c r="HV556" s="93"/>
      <c r="HW556" s="93"/>
      <c r="HX556" s="93"/>
      <c r="HY556" s="93"/>
      <c r="HZ556" s="93"/>
      <c r="IA556" s="20"/>
      <c r="IB556" s="19"/>
      <c r="IC556" s="93"/>
      <c r="ID556" s="93"/>
      <c r="IE556" s="93"/>
      <c r="IF556" s="93"/>
      <c r="IG556" s="20"/>
      <c r="IH556" s="19"/>
      <c r="II556" s="93"/>
      <c r="IJ556" s="93"/>
      <c r="IK556" s="93"/>
      <c r="IL556" s="93"/>
      <c r="IM556" s="93"/>
      <c r="IN556" s="93"/>
      <c r="IO556" s="20"/>
      <c r="IP556" s="29"/>
      <c r="IQ556" s="19"/>
      <c r="IR556" s="93"/>
      <c r="IS556" s="93"/>
      <c r="IT556" s="93"/>
      <c r="IU556" s="93"/>
      <c r="IV556" s="20"/>
      <c r="IW556" s="29"/>
      <c r="IX556" s="19"/>
      <c r="IY556" s="93"/>
      <c r="IZ556" s="93"/>
      <c r="JA556" s="93"/>
      <c r="JB556" s="93"/>
      <c r="JC556" s="93"/>
      <c r="JD556" s="93"/>
      <c r="JE556" s="20"/>
      <c r="JF556" s="29"/>
      <c r="JG556" s="19"/>
      <c r="JH556" s="93"/>
      <c r="JI556" s="93"/>
      <c r="JJ556" s="93"/>
      <c r="JK556" s="93"/>
      <c r="JL556" s="93"/>
      <c r="JM556" s="93"/>
      <c r="JN556" s="20"/>
      <c r="JO556" s="29"/>
      <c r="JP556" s="19"/>
      <c r="JQ556" s="93"/>
      <c r="JR556" s="93"/>
      <c r="JS556" s="93"/>
      <c r="JT556" s="93"/>
      <c r="JU556" s="20"/>
      <c r="JV556" s="29"/>
      <c r="JW556" s="1504">
        <v>51380</v>
      </c>
      <c r="JX556" s="19"/>
      <c r="JY556" s="93"/>
      <c r="JZ556" s="93"/>
      <c r="KA556" s="93"/>
      <c r="KB556" s="93"/>
      <c r="KC556" s="93"/>
      <c r="KD556" s="20"/>
      <c r="KE556" s="29"/>
      <c r="KF556" s="19"/>
      <c r="KG556" s="93"/>
      <c r="KH556" s="93"/>
      <c r="KI556" s="93"/>
      <c r="KJ556" s="93"/>
      <c r="KK556" s="20"/>
      <c r="KL556" s="29"/>
      <c r="KM556" s="19"/>
      <c r="KN556" s="93"/>
      <c r="KO556" s="93"/>
      <c r="KP556" s="93"/>
      <c r="KQ556" s="93"/>
      <c r="KR556" s="20"/>
      <c r="KS556" s="29"/>
      <c r="KT556" s="19"/>
      <c r="KU556" s="93"/>
      <c r="KV556" s="93"/>
      <c r="KW556" s="93"/>
      <c r="KX556" s="93"/>
      <c r="KY556" s="20"/>
      <c r="KZ556" s="29"/>
      <c r="LA556" s="1504">
        <v>51380</v>
      </c>
      <c r="LB556" s="19"/>
      <c r="LC556" s="93"/>
      <c r="LD556" s="93"/>
      <c r="LE556" s="93"/>
      <c r="LF556" s="93"/>
      <c r="LG556" s="93"/>
      <c r="LH556" s="20"/>
      <c r="LI556" s="29"/>
      <c r="LJ556" s="19"/>
      <c r="LK556" s="93"/>
      <c r="LL556" s="93"/>
      <c r="LM556" s="93"/>
      <c r="LN556" s="93"/>
      <c r="LO556" s="20"/>
      <c r="LP556" s="29"/>
      <c r="LQ556" s="19"/>
      <c r="LR556" s="93"/>
      <c r="LS556" s="93"/>
      <c r="LT556" s="93"/>
      <c r="LU556" s="93"/>
      <c r="LV556" s="93"/>
      <c r="LW556" s="93"/>
      <c r="LX556" s="93"/>
      <c r="LY556" s="93"/>
      <c r="LZ556" s="93"/>
      <c r="MA556" s="20"/>
      <c r="MB556" s="29"/>
      <c r="MC556" s="1504">
        <v>51380</v>
      </c>
      <c r="MD556" s="19"/>
      <c r="ME556" s="93"/>
      <c r="MF556" s="93"/>
      <c r="MG556" s="93"/>
      <c r="MH556" s="93"/>
      <c r="MI556" s="93"/>
      <c r="MJ556" s="93"/>
      <c r="MK556" s="93"/>
      <c r="ML556" s="93"/>
      <c r="MM556" s="93"/>
      <c r="MN556" s="93"/>
      <c r="MO556" s="93"/>
      <c r="MP556" s="93"/>
      <c r="MQ556" s="93"/>
      <c r="MR556" s="93"/>
      <c r="MS556" s="93"/>
      <c r="MT556" s="93"/>
      <c r="MU556" s="93"/>
      <c r="MV556" s="93"/>
      <c r="MW556" s="93"/>
      <c r="MX556" s="93"/>
      <c r="MY556" s="93"/>
      <c r="MZ556" s="93"/>
      <c r="NA556" s="93"/>
      <c r="NB556" s="93"/>
      <c r="NC556" s="93"/>
      <c r="ND556" s="93"/>
      <c r="NE556" s="93"/>
      <c r="NF556" s="93"/>
      <c r="NG556" s="93"/>
      <c r="NH556" s="93"/>
      <c r="NI556" s="93"/>
      <c r="NJ556" s="93"/>
      <c r="NK556" s="93"/>
      <c r="NL556" s="93"/>
      <c r="NM556" s="93"/>
      <c r="NN556" s="93"/>
      <c r="NO556" s="93"/>
      <c r="NP556" s="93"/>
      <c r="NQ556" s="93"/>
      <c r="NR556" s="93"/>
      <c r="NS556" s="93"/>
      <c r="NT556" s="93"/>
      <c r="NU556" s="93"/>
      <c r="NV556" s="93"/>
      <c r="NW556" s="93"/>
      <c r="NX556" s="93"/>
      <c r="NY556" s="93"/>
      <c r="NZ556" s="93"/>
      <c r="OA556" s="93"/>
      <c r="OB556" s="93"/>
      <c r="OC556" s="93"/>
      <c r="OD556" s="20"/>
      <c r="OE556" s="29"/>
      <c r="OF556" s="1504">
        <v>51380</v>
      </c>
      <c r="OG556" s="19"/>
      <c r="OH556" s="93"/>
      <c r="OI556" s="93"/>
      <c r="OJ556" s="93"/>
      <c r="OK556" s="93"/>
      <c r="OL556" s="93"/>
      <c r="OM556" s="93"/>
      <c r="ON556" s="93"/>
      <c r="OO556" s="93"/>
      <c r="OP556" s="93"/>
      <c r="OQ556" s="93"/>
      <c r="OR556" s="93"/>
      <c r="OS556" s="93"/>
      <c r="OT556" s="93"/>
      <c r="OU556" s="93"/>
      <c r="OV556" s="93"/>
      <c r="OW556" s="93"/>
      <c r="OX556" s="93"/>
      <c r="OY556" s="93"/>
      <c r="OZ556" s="93"/>
      <c r="PA556" s="93"/>
      <c r="PB556" s="93"/>
      <c r="PC556" s="20"/>
      <c r="PD556" s="29"/>
      <c r="PE556" s="19"/>
      <c r="PF556" s="93"/>
      <c r="PG556" s="93"/>
      <c r="PH556" s="93"/>
      <c r="PI556" s="93"/>
      <c r="PJ556" s="93"/>
      <c r="PK556" s="93"/>
      <c r="PL556" s="93"/>
      <c r="PM556" s="93"/>
      <c r="PN556" s="93"/>
      <c r="PO556" s="93"/>
      <c r="PP556" s="93"/>
      <c r="PQ556" s="93"/>
      <c r="PR556" s="93"/>
      <c r="PS556" s="93"/>
      <c r="PT556" s="93"/>
      <c r="PU556" s="93"/>
      <c r="PV556" s="93"/>
      <c r="PW556" s="93"/>
      <c r="PX556" s="93"/>
      <c r="PY556" s="93"/>
      <c r="PZ556" s="93"/>
      <c r="QA556" s="93"/>
      <c r="QB556" s="93"/>
      <c r="QC556" s="93"/>
      <c r="QD556" s="93"/>
      <c r="QE556" s="20"/>
      <c r="QF556" s="1739"/>
      <c r="QG556" s="19"/>
      <c r="QH556" s="93"/>
      <c r="QI556" s="93"/>
      <c r="QJ556" s="93"/>
      <c r="QK556" s="93"/>
      <c r="QL556" s="93"/>
      <c r="QM556" s="93"/>
      <c r="QN556" s="93"/>
      <c r="QO556" s="93"/>
      <c r="QP556" s="93"/>
      <c r="QQ556" s="93"/>
      <c r="QR556" s="93"/>
      <c r="QS556" s="93"/>
      <c r="QT556" s="93"/>
      <c r="QU556" s="93"/>
      <c r="QV556" s="93"/>
      <c r="QW556" s="93"/>
      <c r="QX556" s="93"/>
      <c r="QY556" s="93"/>
      <c r="QZ556" s="93"/>
      <c r="RA556" s="93"/>
      <c r="RB556" s="93"/>
      <c r="RC556" s="93"/>
      <c r="RD556" s="93"/>
      <c r="RE556" s="93"/>
      <c r="RF556" s="93"/>
      <c r="RG556" s="93"/>
      <c r="RH556" s="93"/>
      <c r="RI556" s="93"/>
      <c r="RJ556" s="93"/>
      <c r="RK556" s="93"/>
      <c r="RL556" s="93"/>
      <c r="RM556" s="20"/>
      <c r="RN556" s="29"/>
      <c r="RO556" s="19"/>
      <c r="RP556" s="20"/>
      <c r="RQ556" s="29"/>
      <c r="RR556" s="20"/>
      <c r="RS556" s="29"/>
      <c r="RT556" s="1504">
        <v>51380</v>
      </c>
      <c r="RU556" s="19"/>
      <c r="RV556" s="20"/>
      <c r="RW556" s="29"/>
      <c r="RX556" s="1504">
        <v>51380</v>
      </c>
      <c r="RY556" s="29"/>
      <c r="RZ556" s="20"/>
      <c r="SA556" s="29"/>
      <c r="SB556" s="29"/>
    </row>
    <row r="557" spans="1:496">
      <c r="A557" s="41">
        <f t="shared" si="362"/>
        <v>2040</v>
      </c>
      <c r="B557" s="1504">
        <v>51410</v>
      </c>
      <c r="C557" s="1813"/>
      <c r="D557" s="1814"/>
      <c r="E557" s="1814"/>
      <c r="F557" s="1815"/>
      <c r="G557" s="1814"/>
      <c r="H557" s="1814"/>
      <c r="I557" s="1814"/>
      <c r="J557" s="1816"/>
      <c r="K557" s="1807"/>
      <c r="L557" s="25"/>
      <c r="M557" s="97"/>
      <c r="N557" s="1504">
        <v>51410</v>
      </c>
      <c r="O557" s="19"/>
      <c r="P557" s="93"/>
      <c r="Q557" s="93"/>
      <c r="R557" s="93"/>
      <c r="S557" s="93"/>
      <c r="T557" s="93"/>
      <c r="U557" s="93"/>
      <c r="V557" s="93"/>
      <c r="W557" s="93"/>
      <c r="X557" s="93"/>
      <c r="Y557" s="93"/>
      <c r="Z557" s="93"/>
      <c r="AA557" s="93"/>
      <c r="AB557" s="20"/>
      <c r="AC557" s="25"/>
      <c r="AD557" s="97"/>
      <c r="AE557" s="1504">
        <v>51410</v>
      </c>
      <c r="AF557" s="19"/>
      <c r="AG557" s="93"/>
      <c r="AH557" s="93"/>
      <c r="AI557" s="93"/>
      <c r="AJ557" s="93"/>
      <c r="AK557" s="93"/>
      <c r="AL557" s="93"/>
      <c r="AM557" s="93"/>
      <c r="AN557" s="93"/>
      <c r="AO557" s="93"/>
      <c r="AP557" s="93"/>
      <c r="AQ557" s="93"/>
      <c r="AR557" s="93"/>
      <c r="AS557" s="20"/>
      <c r="AT557" s="25"/>
      <c r="AU557" s="97"/>
      <c r="AV557" s="1504">
        <v>51410</v>
      </c>
      <c r="AW557" s="19"/>
      <c r="AX557" s="93"/>
      <c r="AY557" s="93"/>
      <c r="AZ557" s="93"/>
      <c r="BA557" s="93"/>
      <c r="BB557" s="93"/>
      <c r="BC557" s="93"/>
      <c r="BD557" s="93"/>
      <c r="BE557" s="93"/>
      <c r="BF557" s="93"/>
      <c r="BG557" s="93"/>
      <c r="BH557" s="93"/>
      <c r="BI557" s="93"/>
      <c r="BJ557" s="20"/>
      <c r="BK557" s="25"/>
      <c r="BL557" s="97"/>
      <c r="BM557" s="1504">
        <v>51410</v>
      </c>
      <c r="BN557" s="19"/>
      <c r="BO557" s="93"/>
      <c r="BP557" s="93"/>
      <c r="BQ557" s="93"/>
      <c r="BR557" s="93"/>
      <c r="BS557" s="93"/>
      <c r="BT557" s="93"/>
      <c r="BU557" s="20"/>
      <c r="BV557" s="25"/>
      <c r="BW557" s="97"/>
      <c r="BX557" s="1504">
        <v>51410</v>
      </c>
      <c r="BY557" s="19"/>
      <c r="BZ557" s="93"/>
      <c r="CA557" s="93"/>
      <c r="CB557" s="93"/>
      <c r="CC557" s="93"/>
      <c r="CD557" s="25"/>
      <c r="CE557" s="97"/>
      <c r="CF557" s="1504">
        <v>51410</v>
      </c>
      <c r="CG557" s="19"/>
      <c r="CH557" s="93"/>
      <c r="CI557" s="219"/>
      <c r="CJ557" s="20"/>
      <c r="CK557" s="19"/>
      <c r="CL557" s="93"/>
      <c r="CM557" s="93"/>
      <c r="CN557" s="93"/>
      <c r="CO557" s="93"/>
      <c r="CP557" s="20"/>
      <c r="CQ557" s="219"/>
      <c r="CR557" s="93"/>
      <c r="CS557" s="93"/>
      <c r="CT557" s="93"/>
      <c r="CU557" s="93"/>
      <c r="CV557" s="214"/>
      <c r="CW557" s="29"/>
      <c r="CX557" s="41">
        <f t="shared" si="361"/>
        <v>2040</v>
      </c>
      <c r="CY557" s="1504">
        <v>51410</v>
      </c>
      <c r="CZ557" s="19"/>
      <c r="DA557" s="93"/>
      <c r="DB557" s="93"/>
      <c r="DC557" s="93"/>
      <c r="DD557" s="93"/>
      <c r="DE557" s="20"/>
      <c r="DF557" s="29"/>
      <c r="DG557" s="1504">
        <v>51410</v>
      </c>
      <c r="DH557" s="19"/>
      <c r="DI557" s="93"/>
      <c r="DJ557" s="93"/>
      <c r="DK557" s="93"/>
      <c r="DL557" s="93"/>
      <c r="DM557" s="93"/>
      <c r="DN557" s="20"/>
      <c r="DO557" s="295"/>
      <c r="DP557" s="29"/>
      <c r="DQ557" s="1504">
        <v>51410</v>
      </c>
      <c r="DR557" s="19"/>
      <c r="DS557" s="93"/>
      <c r="DT557" s="93"/>
      <c r="DU557" s="93"/>
      <c r="DV557" s="93"/>
      <c r="DW557" s="93"/>
      <c r="DX557" s="20"/>
      <c r="DY557" s="29"/>
      <c r="DZ557" s="1504">
        <v>51410</v>
      </c>
      <c r="EA557" s="19"/>
      <c r="EB557" s="93"/>
      <c r="EC557" s="20"/>
      <c r="ED557" s="29"/>
      <c r="EE557" s="1504">
        <v>51410</v>
      </c>
      <c r="EF557" s="19"/>
      <c r="EG557" s="93"/>
      <c r="EH557" s="93"/>
      <c r="EI557" s="214"/>
      <c r="EJ557" s="93"/>
      <c r="EK557" s="93"/>
      <c r="EL557" s="93"/>
      <c r="EM557" s="93"/>
      <c r="EN557" s="20"/>
      <c r="EO557" s="29"/>
      <c r="EP557" s="1504">
        <v>51410</v>
      </c>
      <c r="EQ557" s="19"/>
      <c r="ER557" s="93"/>
      <c r="ES557" s="93"/>
      <c r="ET557" s="214"/>
      <c r="EU557" s="93"/>
      <c r="EV557" s="93"/>
      <c r="EW557" s="93"/>
      <c r="EX557" s="93"/>
      <c r="EY557" s="20"/>
      <c r="EZ557" s="29"/>
      <c r="FA557" s="1504">
        <v>51410</v>
      </c>
      <c r="FB557" s="29"/>
      <c r="FC557" s="29"/>
      <c r="FD557" s="29"/>
      <c r="FE557" s="29"/>
      <c r="FF557" s="29"/>
      <c r="FG557" s="29"/>
      <c r="FH557" s="29"/>
      <c r="FI557" s="29"/>
      <c r="FJ557" s="29"/>
      <c r="FK557" s="29"/>
      <c r="FL557" s="1504">
        <v>51410</v>
      </c>
      <c r="FM557" s="19"/>
      <c r="FN557" s="93"/>
      <c r="FO557" s="93"/>
      <c r="FP557" s="93"/>
      <c r="FQ557" s="93"/>
      <c r="FR557" s="93"/>
      <c r="FS557" s="93"/>
      <c r="FT557" s="93"/>
      <c r="FU557" s="93"/>
      <c r="FV557" s="93"/>
      <c r="FW557" s="93"/>
      <c r="FX557" s="93"/>
      <c r="FY557" s="93"/>
      <c r="FZ557" s="29"/>
      <c r="GA557" s="1504">
        <v>51410</v>
      </c>
      <c r="GB557" s="19"/>
      <c r="GC557" s="93"/>
      <c r="GD557" s="93"/>
      <c r="GE557" s="93"/>
      <c r="GF557" s="93"/>
      <c r="GG557" s="93"/>
      <c r="GH557" s="93"/>
      <c r="GI557" s="93"/>
      <c r="GJ557" s="93"/>
      <c r="GK557" s="93"/>
      <c r="GL557" s="93"/>
      <c r="GM557" s="93"/>
      <c r="GN557" s="20"/>
      <c r="GO557" s="29"/>
      <c r="GP557" s="1504">
        <v>51410</v>
      </c>
      <c r="GQ557" s="19"/>
      <c r="GR557" s="93"/>
      <c r="GS557" s="93"/>
      <c r="GT557" s="93"/>
      <c r="GU557" s="93"/>
      <c r="GV557" s="20"/>
      <c r="GW557" s="19"/>
      <c r="GX557" s="93"/>
      <c r="GY557" s="93"/>
      <c r="GZ557" s="93"/>
      <c r="HA557" s="93"/>
      <c r="HB557" s="20"/>
      <c r="HC557" s="19"/>
      <c r="HD557" s="93"/>
      <c r="HE557" s="93"/>
      <c r="HF557" s="93"/>
      <c r="HG557" s="93"/>
      <c r="HH557" s="20"/>
      <c r="HI557" s="19"/>
      <c r="HJ557" s="93"/>
      <c r="HK557" s="93"/>
      <c r="HL557" s="93"/>
      <c r="HM557" s="93"/>
      <c r="HN557" s="20"/>
      <c r="HO557" s="219"/>
      <c r="HP557" s="20"/>
      <c r="HQ557" s="25"/>
      <c r="HR557" s="29"/>
      <c r="HS557" s="1504">
        <v>51410</v>
      </c>
      <c r="HT557" s="19"/>
      <c r="HU557" s="93"/>
      <c r="HV557" s="93"/>
      <c r="HW557" s="93"/>
      <c r="HX557" s="93"/>
      <c r="HY557" s="93"/>
      <c r="HZ557" s="93"/>
      <c r="IA557" s="20"/>
      <c r="IB557" s="19"/>
      <c r="IC557" s="93"/>
      <c r="ID557" s="93"/>
      <c r="IE557" s="93"/>
      <c r="IF557" s="93"/>
      <c r="IG557" s="20"/>
      <c r="IH557" s="19"/>
      <c r="II557" s="93"/>
      <c r="IJ557" s="93"/>
      <c r="IK557" s="93"/>
      <c r="IL557" s="93"/>
      <c r="IM557" s="93"/>
      <c r="IN557" s="93"/>
      <c r="IO557" s="20"/>
      <c r="IP557" s="29"/>
      <c r="IQ557" s="19"/>
      <c r="IR557" s="93"/>
      <c r="IS557" s="93"/>
      <c r="IT557" s="93"/>
      <c r="IU557" s="93"/>
      <c r="IV557" s="20"/>
      <c r="IW557" s="29"/>
      <c r="IX557" s="19"/>
      <c r="IY557" s="93"/>
      <c r="IZ557" s="93"/>
      <c r="JA557" s="93"/>
      <c r="JB557" s="93"/>
      <c r="JC557" s="93"/>
      <c r="JD557" s="93"/>
      <c r="JE557" s="20"/>
      <c r="JF557" s="29"/>
      <c r="JG557" s="19"/>
      <c r="JH557" s="93"/>
      <c r="JI557" s="93"/>
      <c r="JJ557" s="93"/>
      <c r="JK557" s="93"/>
      <c r="JL557" s="93"/>
      <c r="JM557" s="93"/>
      <c r="JN557" s="20"/>
      <c r="JO557" s="29"/>
      <c r="JP557" s="19"/>
      <c r="JQ557" s="93"/>
      <c r="JR557" s="93"/>
      <c r="JS557" s="93"/>
      <c r="JT557" s="93"/>
      <c r="JU557" s="20"/>
      <c r="JV557" s="29"/>
      <c r="JW557" s="1504">
        <v>51410</v>
      </c>
      <c r="JX557" s="19"/>
      <c r="JY557" s="93"/>
      <c r="JZ557" s="93"/>
      <c r="KA557" s="93"/>
      <c r="KB557" s="93"/>
      <c r="KC557" s="93"/>
      <c r="KD557" s="20"/>
      <c r="KE557" s="29"/>
      <c r="KF557" s="19"/>
      <c r="KG557" s="93"/>
      <c r="KH557" s="93"/>
      <c r="KI557" s="93"/>
      <c r="KJ557" s="93"/>
      <c r="KK557" s="20"/>
      <c r="KL557" s="29"/>
      <c r="KM557" s="19"/>
      <c r="KN557" s="93"/>
      <c r="KO557" s="93"/>
      <c r="KP557" s="93"/>
      <c r="KQ557" s="93"/>
      <c r="KR557" s="20"/>
      <c r="KS557" s="29"/>
      <c r="KT557" s="19"/>
      <c r="KU557" s="93"/>
      <c r="KV557" s="93"/>
      <c r="KW557" s="93"/>
      <c r="KX557" s="93"/>
      <c r="KY557" s="20"/>
      <c r="KZ557" s="29"/>
      <c r="LA557" s="1504">
        <v>51410</v>
      </c>
      <c r="LB557" s="19"/>
      <c r="LC557" s="93"/>
      <c r="LD557" s="93"/>
      <c r="LE557" s="93"/>
      <c r="LF557" s="93"/>
      <c r="LG557" s="93"/>
      <c r="LH557" s="20"/>
      <c r="LI557" s="29"/>
      <c r="LJ557" s="19"/>
      <c r="LK557" s="93"/>
      <c r="LL557" s="93"/>
      <c r="LM557" s="93"/>
      <c r="LN557" s="93"/>
      <c r="LO557" s="20"/>
      <c r="LP557" s="29"/>
      <c r="LQ557" s="19"/>
      <c r="LR557" s="93"/>
      <c r="LS557" s="93"/>
      <c r="LT557" s="93"/>
      <c r="LU557" s="93"/>
      <c r="LV557" s="93"/>
      <c r="LW557" s="93"/>
      <c r="LX557" s="93"/>
      <c r="LY557" s="93"/>
      <c r="LZ557" s="93"/>
      <c r="MA557" s="20"/>
      <c r="MB557" s="29"/>
      <c r="MC557" s="1504">
        <v>51410</v>
      </c>
      <c r="MD557" s="19"/>
      <c r="ME557" s="93"/>
      <c r="MF557" s="93"/>
      <c r="MG557" s="93"/>
      <c r="MH557" s="93"/>
      <c r="MI557" s="93"/>
      <c r="MJ557" s="93"/>
      <c r="MK557" s="93"/>
      <c r="ML557" s="93"/>
      <c r="MM557" s="93"/>
      <c r="MN557" s="93"/>
      <c r="MO557" s="93"/>
      <c r="MP557" s="93"/>
      <c r="MQ557" s="93"/>
      <c r="MR557" s="93"/>
      <c r="MS557" s="93"/>
      <c r="MT557" s="93"/>
      <c r="MU557" s="93"/>
      <c r="MV557" s="93"/>
      <c r="MW557" s="93"/>
      <c r="MX557" s="93"/>
      <c r="MY557" s="93"/>
      <c r="MZ557" s="93"/>
      <c r="NA557" s="93"/>
      <c r="NB557" s="93"/>
      <c r="NC557" s="93"/>
      <c r="ND557" s="93"/>
      <c r="NE557" s="93"/>
      <c r="NF557" s="93"/>
      <c r="NG557" s="93"/>
      <c r="NH557" s="93"/>
      <c r="NI557" s="93"/>
      <c r="NJ557" s="93"/>
      <c r="NK557" s="93"/>
      <c r="NL557" s="93"/>
      <c r="NM557" s="93"/>
      <c r="NN557" s="93"/>
      <c r="NO557" s="93"/>
      <c r="NP557" s="93"/>
      <c r="NQ557" s="93"/>
      <c r="NR557" s="93"/>
      <c r="NS557" s="93"/>
      <c r="NT557" s="93"/>
      <c r="NU557" s="93"/>
      <c r="NV557" s="93"/>
      <c r="NW557" s="93"/>
      <c r="NX557" s="93"/>
      <c r="NY557" s="93"/>
      <c r="NZ557" s="93"/>
      <c r="OA557" s="93"/>
      <c r="OB557" s="93"/>
      <c r="OC557" s="93"/>
      <c r="OD557" s="20"/>
      <c r="OE557" s="29"/>
      <c r="OF557" s="1504">
        <v>51410</v>
      </c>
      <c r="OG557" s="19"/>
      <c r="OH557" s="93"/>
      <c r="OI557" s="93"/>
      <c r="OJ557" s="93"/>
      <c r="OK557" s="93"/>
      <c r="OL557" s="93"/>
      <c r="OM557" s="93"/>
      <c r="ON557" s="93"/>
      <c r="OO557" s="93"/>
      <c r="OP557" s="93"/>
      <c r="OQ557" s="93"/>
      <c r="OR557" s="93"/>
      <c r="OS557" s="93"/>
      <c r="OT557" s="93"/>
      <c r="OU557" s="93"/>
      <c r="OV557" s="93"/>
      <c r="OW557" s="93"/>
      <c r="OX557" s="93"/>
      <c r="OY557" s="93"/>
      <c r="OZ557" s="93"/>
      <c r="PA557" s="93"/>
      <c r="PB557" s="93"/>
      <c r="PC557" s="20"/>
      <c r="PD557" s="29"/>
      <c r="PE557" s="19"/>
      <c r="PF557" s="93"/>
      <c r="PG557" s="93"/>
      <c r="PH557" s="93"/>
      <c r="PI557" s="93"/>
      <c r="PJ557" s="93"/>
      <c r="PK557" s="93"/>
      <c r="PL557" s="93"/>
      <c r="PM557" s="93"/>
      <c r="PN557" s="93"/>
      <c r="PO557" s="93"/>
      <c r="PP557" s="93"/>
      <c r="PQ557" s="93"/>
      <c r="PR557" s="93"/>
      <c r="PS557" s="93"/>
      <c r="PT557" s="93"/>
      <c r="PU557" s="93"/>
      <c r="PV557" s="93"/>
      <c r="PW557" s="93"/>
      <c r="PX557" s="93"/>
      <c r="PY557" s="93"/>
      <c r="PZ557" s="93"/>
      <c r="QA557" s="93"/>
      <c r="QB557" s="93"/>
      <c r="QC557" s="93"/>
      <c r="QD557" s="93"/>
      <c r="QE557" s="20"/>
      <c r="QF557" s="1739"/>
      <c r="QG557" s="19"/>
      <c r="QH557" s="93"/>
      <c r="QI557" s="93"/>
      <c r="QJ557" s="93"/>
      <c r="QK557" s="93"/>
      <c r="QL557" s="93"/>
      <c r="QM557" s="93"/>
      <c r="QN557" s="93"/>
      <c r="QO557" s="93"/>
      <c r="QP557" s="93"/>
      <c r="QQ557" s="93"/>
      <c r="QR557" s="93"/>
      <c r="QS557" s="93"/>
      <c r="QT557" s="93"/>
      <c r="QU557" s="93"/>
      <c r="QV557" s="93"/>
      <c r="QW557" s="93"/>
      <c r="QX557" s="93"/>
      <c r="QY557" s="93"/>
      <c r="QZ557" s="93"/>
      <c r="RA557" s="93"/>
      <c r="RB557" s="93"/>
      <c r="RC557" s="93"/>
      <c r="RD557" s="93"/>
      <c r="RE557" s="93"/>
      <c r="RF557" s="93"/>
      <c r="RG557" s="93"/>
      <c r="RH557" s="93"/>
      <c r="RI557" s="93"/>
      <c r="RJ557" s="93"/>
      <c r="RK557" s="93"/>
      <c r="RL557" s="93"/>
      <c r="RM557" s="20"/>
      <c r="RN557" s="29"/>
      <c r="RO557" s="19"/>
      <c r="RP557" s="20"/>
      <c r="RQ557" s="29"/>
      <c r="RR557" s="20"/>
      <c r="RS557" s="29"/>
      <c r="RT557" s="1504">
        <v>51410</v>
      </c>
      <c r="RU557" s="19"/>
      <c r="RV557" s="20"/>
      <c r="RW557" s="29"/>
      <c r="RX557" s="1504">
        <v>51410</v>
      </c>
      <c r="RY557" s="29"/>
      <c r="RZ557" s="20"/>
      <c r="SA557" s="29"/>
      <c r="SB557" s="29"/>
    </row>
    <row r="558" spans="1:496">
      <c r="A558" s="41">
        <f t="shared" si="362"/>
        <v>2040</v>
      </c>
      <c r="B558" s="1504">
        <v>51441</v>
      </c>
      <c r="C558" s="1813"/>
      <c r="D558" s="1814"/>
      <c r="E558" s="1814"/>
      <c r="F558" s="1815"/>
      <c r="G558" s="1814"/>
      <c r="H558" s="1814"/>
      <c r="I558" s="1814"/>
      <c r="J558" s="1816"/>
      <c r="K558" s="1807"/>
      <c r="L558" s="25"/>
      <c r="M558" s="97"/>
      <c r="N558" s="1504">
        <v>51441</v>
      </c>
      <c r="O558" s="19"/>
      <c r="P558" s="93"/>
      <c r="Q558" s="93"/>
      <c r="R558" s="93"/>
      <c r="S558" s="93"/>
      <c r="T558" s="93"/>
      <c r="U558" s="93"/>
      <c r="V558" s="93"/>
      <c r="W558" s="93"/>
      <c r="X558" s="93"/>
      <c r="Y558" s="93"/>
      <c r="Z558" s="93"/>
      <c r="AA558" s="93"/>
      <c r="AB558" s="20"/>
      <c r="AC558" s="25"/>
      <c r="AD558" s="97"/>
      <c r="AE558" s="1504">
        <v>51441</v>
      </c>
      <c r="AF558" s="19"/>
      <c r="AG558" s="93"/>
      <c r="AH558" s="93"/>
      <c r="AI558" s="93"/>
      <c r="AJ558" s="93"/>
      <c r="AK558" s="93"/>
      <c r="AL558" s="93"/>
      <c r="AM558" s="93"/>
      <c r="AN558" s="93"/>
      <c r="AO558" s="93"/>
      <c r="AP558" s="93"/>
      <c r="AQ558" s="93"/>
      <c r="AR558" s="93"/>
      <c r="AS558" s="20"/>
      <c r="AT558" s="25"/>
      <c r="AU558" s="97"/>
      <c r="AV558" s="1504">
        <v>51441</v>
      </c>
      <c r="AW558" s="19"/>
      <c r="AX558" s="93"/>
      <c r="AY558" s="93"/>
      <c r="AZ558" s="93"/>
      <c r="BA558" s="93"/>
      <c r="BB558" s="93"/>
      <c r="BC558" s="93"/>
      <c r="BD558" s="93"/>
      <c r="BE558" s="93"/>
      <c r="BF558" s="93"/>
      <c r="BG558" s="93"/>
      <c r="BH558" s="93"/>
      <c r="BI558" s="93"/>
      <c r="BJ558" s="20"/>
      <c r="BK558" s="25"/>
      <c r="BL558" s="97"/>
      <c r="BM558" s="1504">
        <v>51441</v>
      </c>
      <c r="BN558" s="19"/>
      <c r="BO558" s="93"/>
      <c r="BP558" s="93"/>
      <c r="BQ558" s="93"/>
      <c r="BR558" s="93"/>
      <c r="BS558" s="93"/>
      <c r="BT558" s="93"/>
      <c r="BU558" s="20"/>
      <c r="BV558" s="25"/>
      <c r="BW558" s="97"/>
      <c r="BX558" s="1504">
        <v>51441</v>
      </c>
      <c r="BY558" s="19"/>
      <c r="BZ558" s="93"/>
      <c r="CA558" s="93"/>
      <c r="CB558" s="93"/>
      <c r="CC558" s="93"/>
      <c r="CD558" s="25"/>
      <c r="CE558" s="97"/>
      <c r="CF558" s="1504">
        <v>51441</v>
      </c>
      <c r="CG558" s="19"/>
      <c r="CH558" s="93"/>
      <c r="CI558" s="219"/>
      <c r="CJ558" s="20"/>
      <c r="CK558" s="19"/>
      <c r="CL558" s="93"/>
      <c r="CM558" s="93"/>
      <c r="CN558" s="93"/>
      <c r="CO558" s="93"/>
      <c r="CP558" s="20"/>
      <c r="CQ558" s="219"/>
      <c r="CR558" s="93"/>
      <c r="CS558" s="93"/>
      <c r="CT558" s="93"/>
      <c r="CU558" s="93"/>
      <c r="CV558" s="214"/>
      <c r="CW558" s="29"/>
      <c r="CX558" s="41">
        <f t="shared" si="361"/>
        <v>2040</v>
      </c>
      <c r="CY558" s="1504">
        <v>51441</v>
      </c>
      <c r="CZ558" s="19"/>
      <c r="DA558" s="93"/>
      <c r="DB558" s="93"/>
      <c r="DC558" s="93"/>
      <c r="DD558" s="93"/>
      <c r="DE558" s="20"/>
      <c r="DF558" s="29"/>
      <c r="DG558" s="1504">
        <v>51441</v>
      </c>
      <c r="DH558" s="19"/>
      <c r="DI558" s="93"/>
      <c r="DJ558" s="93"/>
      <c r="DK558" s="93"/>
      <c r="DL558" s="93"/>
      <c r="DM558" s="93"/>
      <c r="DN558" s="20"/>
      <c r="DO558" s="295"/>
      <c r="DP558" s="29"/>
      <c r="DQ558" s="1504">
        <v>51441</v>
      </c>
      <c r="DR558" s="19"/>
      <c r="DS558" s="93"/>
      <c r="DT558" s="93"/>
      <c r="DU558" s="93"/>
      <c r="DV558" s="93"/>
      <c r="DW558" s="93"/>
      <c r="DX558" s="20"/>
      <c r="DY558" s="29"/>
      <c r="DZ558" s="1504">
        <v>51441</v>
      </c>
      <c r="EA558" s="19"/>
      <c r="EB558" s="93"/>
      <c r="EC558" s="20"/>
      <c r="ED558" s="29"/>
      <c r="EE558" s="1504">
        <v>51441</v>
      </c>
      <c r="EF558" s="19"/>
      <c r="EG558" s="93"/>
      <c r="EH558" s="93"/>
      <c r="EI558" s="214"/>
      <c r="EJ558" s="93"/>
      <c r="EK558" s="93"/>
      <c r="EL558" s="93"/>
      <c r="EM558" s="93"/>
      <c r="EN558" s="20"/>
      <c r="EO558" s="29"/>
      <c r="EP558" s="1504">
        <v>51441</v>
      </c>
      <c r="EQ558" s="19"/>
      <c r="ER558" s="93"/>
      <c r="ES558" s="93"/>
      <c r="ET558" s="214"/>
      <c r="EU558" s="93"/>
      <c r="EV558" s="93"/>
      <c r="EW558" s="93"/>
      <c r="EX558" s="93"/>
      <c r="EY558" s="20"/>
      <c r="EZ558" s="29"/>
      <c r="FA558" s="1504">
        <v>51441</v>
      </c>
      <c r="FB558" s="29"/>
      <c r="FC558" s="29"/>
      <c r="FD558" s="29"/>
      <c r="FE558" s="29"/>
      <c r="FF558" s="29"/>
      <c r="FG558" s="29"/>
      <c r="FH558" s="29"/>
      <c r="FI558" s="29"/>
      <c r="FJ558" s="29"/>
      <c r="FK558" s="29"/>
      <c r="FL558" s="1504">
        <v>51441</v>
      </c>
      <c r="FM558" s="19"/>
      <c r="FN558" s="93"/>
      <c r="FO558" s="93"/>
      <c r="FP558" s="93"/>
      <c r="FQ558" s="93"/>
      <c r="FR558" s="93"/>
      <c r="FS558" s="93"/>
      <c r="FT558" s="93"/>
      <c r="FU558" s="93"/>
      <c r="FV558" s="93"/>
      <c r="FW558" s="93"/>
      <c r="FX558" s="93"/>
      <c r="FY558" s="93"/>
      <c r="FZ558" s="29"/>
      <c r="GA558" s="1504">
        <v>51441</v>
      </c>
      <c r="GB558" s="19"/>
      <c r="GC558" s="93"/>
      <c r="GD558" s="93"/>
      <c r="GE558" s="93"/>
      <c r="GF558" s="93"/>
      <c r="GG558" s="93"/>
      <c r="GH558" s="93"/>
      <c r="GI558" s="93"/>
      <c r="GJ558" s="93"/>
      <c r="GK558" s="93"/>
      <c r="GL558" s="93"/>
      <c r="GM558" s="93"/>
      <c r="GN558" s="20"/>
      <c r="GO558" s="29"/>
      <c r="GP558" s="1504">
        <v>51441</v>
      </c>
      <c r="GQ558" s="19"/>
      <c r="GR558" s="93"/>
      <c r="GS558" s="93"/>
      <c r="GT558" s="93"/>
      <c r="GU558" s="93"/>
      <c r="GV558" s="20"/>
      <c r="GW558" s="19"/>
      <c r="GX558" s="93"/>
      <c r="GY558" s="93"/>
      <c r="GZ558" s="93"/>
      <c r="HA558" s="93"/>
      <c r="HB558" s="20"/>
      <c r="HC558" s="19"/>
      <c r="HD558" s="93"/>
      <c r="HE558" s="93"/>
      <c r="HF558" s="93"/>
      <c r="HG558" s="93"/>
      <c r="HH558" s="20"/>
      <c r="HI558" s="19"/>
      <c r="HJ558" s="93"/>
      <c r="HK558" s="93"/>
      <c r="HL558" s="93"/>
      <c r="HM558" s="93"/>
      <c r="HN558" s="20"/>
      <c r="HO558" s="219"/>
      <c r="HP558" s="20"/>
      <c r="HQ558" s="25"/>
      <c r="HR558" s="29"/>
      <c r="HS558" s="1504">
        <v>51441</v>
      </c>
      <c r="HT558" s="19"/>
      <c r="HU558" s="93"/>
      <c r="HV558" s="93"/>
      <c r="HW558" s="93"/>
      <c r="HX558" s="93"/>
      <c r="HY558" s="93"/>
      <c r="HZ558" s="93"/>
      <c r="IA558" s="20"/>
      <c r="IB558" s="19"/>
      <c r="IC558" s="93"/>
      <c r="ID558" s="93"/>
      <c r="IE558" s="93"/>
      <c r="IF558" s="93"/>
      <c r="IG558" s="20"/>
      <c r="IH558" s="19"/>
      <c r="II558" s="93"/>
      <c r="IJ558" s="93"/>
      <c r="IK558" s="93"/>
      <c r="IL558" s="93"/>
      <c r="IM558" s="93"/>
      <c r="IN558" s="93"/>
      <c r="IO558" s="20"/>
      <c r="IP558" s="29"/>
      <c r="IQ558" s="19"/>
      <c r="IR558" s="93"/>
      <c r="IS558" s="93"/>
      <c r="IT558" s="93"/>
      <c r="IU558" s="93"/>
      <c r="IV558" s="20"/>
      <c r="IW558" s="29"/>
      <c r="IX558" s="19"/>
      <c r="IY558" s="93"/>
      <c r="IZ558" s="93"/>
      <c r="JA558" s="93"/>
      <c r="JB558" s="93"/>
      <c r="JC558" s="93"/>
      <c r="JD558" s="93"/>
      <c r="JE558" s="20"/>
      <c r="JF558" s="29"/>
      <c r="JG558" s="19"/>
      <c r="JH558" s="93"/>
      <c r="JI558" s="93"/>
      <c r="JJ558" s="93"/>
      <c r="JK558" s="93"/>
      <c r="JL558" s="93"/>
      <c r="JM558" s="93"/>
      <c r="JN558" s="20"/>
      <c r="JO558" s="29"/>
      <c r="JP558" s="19"/>
      <c r="JQ558" s="93"/>
      <c r="JR558" s="93"/>
      <c r="JS558" s="93"/>
      <c r="JT558" s="93"/>
      <c r="JU558" s="20"/>
      <c r="JV558" s="29"/>
      <c r="JW558" s="1504">
        <v>51441</v>
      </c>
      <c r="JX558" s="19"/>
      <c r="JY558" s="93"/>
      <c r="JZ558" s="93"/>
      <c r="KA558" s="93"/>
      <c r="KB558" s="93"/>
      <c r="KC558" s="93"/>
      <c r="KD558" s="20"/>
      <c r="KE558" s="29"/>
      <c r="KF558" s="19"/>
      <c r="KG558" s="93"/>
      <c r="KH558" s="93"/>
      <c r="KI558" s="93"/>
      <c r="KJ558" s="93"/>
      <c r="KK558" s="20"/>
      <c r="KL558" s="29"/>
      <c r="KM558" s="19"/>
      <c r="KN558" s="93"/>
      <c r="KO558" s="93"/>
      <c r="KP558" s="93"/>
      <c r="KQ558" s="93"/>
      <c r="KR558" s="20"/>
      <c r="KS558" s="29"/>
      <c r="KT558" s="19"/>
      <c r="KU558" s="93"/>
      <c r="KV558" s="93"/>
      <c r="KW558" s="93"/>
      <c r="KX558" s="93"/>
      <c r="KY558" s="20"/>
      <c r="KZ558" s="29"/>
      <c r="LA558" s="1504">
        <v>51441</v>
      </c>
      <c r="LB558" s="19"/>
      <c r="LC558" s="93"/>
      <c r="LD558" s="93"/>
      <c r="LE558" s="93"/>
      <c r="LF558" s="93"/>
      <c r="LG558" s="93"/>
      <c r="LH558" s="20"/>
      <c r="LI558" s="29"/>
      <c r="LJ558" s="19"/>
      <c r="LK558" s="93"/>
      <c r="LL558" s="93"/>
      <c r="LM558" s="93"/>
      <c r="LN558" s="93"/>
      <c r="LO558" s="20"/>
      <c r="LP558" s="29"/>
      <c r="LQ558" s="19"/>
      <c r="LR558" s="93"/>
      <c r="LS558" s="93"/>
      <c r="LT558" s="93"/>
      <c r="LU558" s="93"/>
      <c r="LV558" s="93"/>
      <c r="LW558" s="93"/>
      <c r="LX558" s="93"/>
      <c r="LY558" s="93"/>
      <c r="LZ558" s="93"/>
      <c r="MA558" s="20"/>
      <c r="MB558" s="29"/>
      <c r="MC558" s="1504">
        <v>51441</v>
      </c>
      <c r="MD558" s="19"/>
      <c r="ME558" s="93"/>
      <c r="MF558" s="93"/>
      <c r="MG558" s="93"/>
      <c r="MH558" s="93"/>
      <c r="MI558" s="93"/>
      <c r="MJ558" s="93"/>
      <c r="MK558" s="93"/>
      <c r="ML558" s="93"/>
      <c r="MM558" s="93"/>
      <c r="MN558" s="93"/>
      <c r="MO558" s="93"/>
      <c r="MP558" s="93"/>
      <c r="MQ558" s="93"/>
      <c r="MR558" s="93"/>
      <c r="MS558" s="93"/>
      <c r="MT558" s="93"/>
      <c r="MU558" s="93"/>
      <c r="MV558" s="93"/>
      <c r="MW558" s="93"/>
      <c r="MX558" s="93"/>
      <c r="MY558" s="93"/>
      <c r="MZ558" s="93"/>
      <c r="NA558" s="93"/>
      <c r="NB558" s="93"/>
      <c r="NC558" s="93"/>
      <c r="ND558" s="93"/>
      <c r="NE558" s="93"/>
      <c r="NF558" s="93"/>
      <c r="NG558" s="93"/>
      <c r="NH558" s="93"/>
      <c r="NI558" s="93"/>
      <c r="NJ558" s="93"/>
      <c r="NK558" s="93"/>
      <c r="NL558" s="93"/>
      <c r="NM558" s="93"/>
      <c r="NN558" s="93"/>
      <c r="NO558" s="93"/>
      <c r="NP558" s="93"/>
      <c r="NQ558" s="93"/>
      <c r="NR558" s="93"/>
      <c r="NS558" s="93"/>
      <c r="NT558" s="93"/>
      <c r="NU558" s="93"/>
      <c r="NV558" s="93"/>
      <c r="NW558" s="93"/>
      <c r="NX558" s="93"/>
      <c r="NY558" s="93"/>
      <c r="NZ558" s="93"/>
      <c r="OA558" s="93"/>
      <c r="OB558" s="93"/>
      <c r="OC558" s="93"/>
      <c r="OD558" s="20"/>
      <c r="OE558" s="29"/>
      <c r="OF558" s="1504">
        <v>51441</v>
      </c>
      <c r="OG558" s="19"/>
      <c r="OH558" s="93"/>
      <c r="OI558" s="93"/>
      <c r="OJ558" s="93"/>
      <c r="OK558" s="93"/>
      <c r="OL558" s="93"/>
      <c r="OM558" s="93"/>
      <c r="ON558" s="93"/>
      <c r="OO558" s="93"/>
      <c r="OP558" s="93"/>
      <c r="OQ558" s="93"/>
      <c r="OR558" s="93"/>
      <c r="OS558" s="93"/>
      <c r="OT558" s="93"/>
      <c r="OU558" s="93"/>
      <c r="OV558" s="93"/>
      <c r="OW558" s="93"/>
      <c r="OX558" s="93"/>
      <c r="OY558" s="93"/>
      <c r="OZ558" s="93"/>
      <c r="PA558" s="93"/>
      <c r="PB558" s="93"/>
      <c r="PC558" s="20"/>
      <c r="PD558" s="29"/>
      <c r="PE558" s="19"/>
      <c r="PF558" s="93"/>
      <c r="PG558" s="93"/>
      <c r="PH558" s="93"/>
      <c r="PI558" s="93"/>
      <c r="PJ558" s="93"/>
      <c r="PK558" s="93"/>
      <c r="PL558" s="93"/>
      <c r="PM558" s="93"/>
      <c r="PN558" s="93"/>
      <c r="PO558" s="93"/>
      <c r="PP558" s="93"/>
      <c r="PQ558" s="93"/>
      <c r="PR558" s="93"/>
      <c r="PS558" s="93"/>
      <c r="PT558" s="93"/>
      <c r="PU558" s="93"/>
      <c r="PV558" s="93"/>
      <c r="PW558" s="93"/>
      <c r="PX558" s="93"/>
      <c r="PY558" s="93"/>
      <c r="PZ558" s="93"/>
      <c r="QA558" s="93"/>
      <c r="QB558" s="93"/>
      <c r="QC558" s="93"/>
      <c r="QD558" s="93"/>
      <c r="QE558" s="20"/>
      <c r="QF558" s="1739"/>
      <c r="QG558" s="19"/>
      <c r="QH558" s="93"/>
      <c r="QI558" s="93"/>
      <c r="QJ558" s="93"/>
      <c r="QK558" s="93"/>
      <c r="QL558" s="93"/>
      <c r="QM558" s="93"/>
      <c r="QN558" s="93"/>
      <c r="QO558" s="93"/>
      <c r="QP558" s="93"/>
      <c r="QQ558" s="93"/>
      <c r="QR558" s="93"/>
      <c r="QS558" s="93"/>
      <c r="QT558" s="93"/>
      <c r="QU558" s="93"/>
      <c r="QV558" s="93"/>
      <c r="QW558" s="93"/>
      <c r="QX558" s="93"/>
      <c r="QY558" s="93"/>
      <c r="QZ558" s="93"/>
      <c r="RA558" s="93"/>
      <c r="RB558" s="93"/>
      <c r="RC558" s="93"/>
      <c r="RD558" s="93"/>
      <c r="RE558" s="93"/>
      <c r="RF558" s="93"/>
      <c r="RG558" s="93"/>
      <c r="RH558" s="93"/>
      <c r="RI558" s="93"/>
      <c r="RJ558" s="93"/>
      <c r="RK558" s="93"/>
      <c r="RL558" s="93"/>
      <c r="RM558" s="20"/>
      <c r="RN558" s="29"/>
      <c r="RO558" s="19"/>
      <c r="RP558" s="20"/>
      <c r="RQ558" s="29"/>
      <c r="RR558" s="20"/>
      <c r="RS558" s="29"/>
      <c r="RT558" s="1504">
        <v>51441</v>
      </c>
      <c r="RU558" s="19"/>
      <c r="RV558" s="20"/>
      <c r="RW558" s="29"/>
      <c r="RX558" s="1504">
        <v>51441</v>
      </c>
      <c r="RY558" s="29"/>
      <c r="RZ558" s="20"/>
      <c r="SA558" s="29"/>
      <c r="SB558" s="29"/>
    </row>
    <row r="559" spans="1:496">
      <c r="A559" s="41">
        <f t="shared" si="362"/>
        <v>2040</v>
      </c>
      <c r="B559" s="1504">
        <v>51471</v>
      </c>
      <c r="C559" s="1813"/>
      <c r="D559" s="1814"/>
      <c r="E559" s="1814"/>
      <c r="F559" s="1815"/>
      <c r="G559" s="1814"/>
      <c r="H559" s="1814"/>
      <c r="I559" s="1814"/>
      <c r="J559" s="1816"/>
      <c r="K559" s="1807"/>
      <c r="L559" s="25"/>
      <c r="M559" s="97"/>
      <c r="N559" s="1504">
        <v>51471</v>
      </c>
      <c r="O559" s="19"/>
      <c r="P559" s="93"/>
      <c r="Q559" s="93"/>
      <c r="R559" s="93"/>
      <c r="S559" s="93"/>
      <c r="T559" s="93"/>
      <c r="U559" s="93"/>
      <c r="V559" s="93"/>
      <c r="W559" s="93"/>
      <c r="X559" s="93"/>
      <c r="Y559" s="93"/>
      <c r="Z559" s="93"/>
      <c r="AA559" s="93"/>
      <c r="AB559" s="20"/>
      <c r="AC559" s="25"/>
      <c r="AD559" s="97"/>
      <c r="AE559" s="1504">
        <v>51471</v>
      </c>
      <c r="AF559" s="19"/>
      <c r="AG559" s="93"/>
      <c r="AH559" s="93"/>
      <c r="AI559" s="93"/>
      <c r="AJ559" s="93"/>
      <c r="AK559" s="93"/>
      <c r="AL559" s="93"/>
      <c r="AM559" s="93"/>
      <c r="AN559" s="93"/>
      <c r="AO559" s="93"/>
      <c r="AP559" s="93"/>
      <c r="AQ559" s="93"/>
      <c r="AR559" s="93"/>
      <c r="AS559" s="20"/>
      <c r="AT559" s="25"/>
      <c r="AU559" s="97"/>
      <c r="AV559" s="1504">
        <v>51471</v>
      </c>
      <c r="AW559" s="19"/>
      <c r="AX559" s="93"/>
      <c r="AY559" s="93"/>
      <c r="AZ559" s="93"/>
      <c r="BA559" s="93"/>
      <c r="BB559" s="93"/>
      <c r="BC559" s="93"/>
      <c r="BD559" s="93"/>
      <c r="BE559" s="93"/>
      <c r="BF559" s="93"/>
      <c r="BG559" s="93"/>
      <c r="BH559" s="93"/>
      <c r="BI559" s="93"/>
      <c r="BJ559" s="20"/>
      <c r="BK559" s="25"/>
      <c r="BL559" s="97"/>
      <c r="BM559" s="1504">
        <v>51471</v>
      </c>
      <c r="BN559" s="19"/>
      <c r="BO559" s="93"/>
      <c r="BP559" s="93"/>
      <c r="BQ559" s="93"/>
      <c r="BR559" s="93"/>
      <c r="BS559" s="93"/>
      <c r="BT559" s="93"/>
      <c r="BU559" s="20"/>
      <c r="BV559" s="25"/>
      <c r="BW559" s="97"/>
      <c r="BX559" s="1504">
        <v>51471</v>
      </c>
      <c r="BY559" s="19"/>
      <c r="BZ559" s="93"/>
      <c r="CA559" s="93"/>
      <c r="CB559" s="93"/>
      <c r="CC559" s="93"/>
      <c r="CD559" s="25"/>
      <c r="CE559" s="97"/>
      <c r="CF559" s="1504">
        <v>51471</v>
      </c>
      <c r="CG559" s="19"/>
      <c r="CH559" s="93"/>
      <c r="CI559" s="219"/>
      <c r="CJ559" s="20"/>
      <c r="CK559" s="19"/>
      <c r="CL559" s="93"/>
      <c r="CM559" s="93"/>
      <c r="CN559" s="93"/>
      <c r="CO559" s="93"/>
      <c r="CP559" s="20"/>
      <c r="CQ559" s="219"/>
      <c r="CR559" s="93"/>
      <c r="CS559" s="93"/>
      <c r="CT559" s="93"/>
      <c r="CU559" s="93"/>
      <c r="CV559" s="214"/>
      <c r="CW559" s="29"/>
      <c r="CX559" s="41">
        <f t="shared" si="361"/>
        <v>2040</v>
      </c>
      <c r="CY559" s="1504">
        <v>51471</v>
      </c>
      <c r="CZ559" s="19"/>
      <c r="DA559" s="93"/>
      <c r="DB559" s="93"/>
      <c r="DC559" s="93"/>
      <c r="DD559" s="93"/>
      <c r="DE559" s="20"/>
      <c r="DF559" s="29"/>
      <c r="DG559" s="1504">
        <v>51471</v>
      </c>
      <c r="DH559" s="19"/>
      <c r="DI559" s="93"/>
      <c r="DJ559" s="93"/>
      <c r="DK559" s="93"/>
      <c r="DL559" s="93"/>
      <c r="DM559" s="93"/>
      <c r="DN559" s="20"/>
      <c r="DO559" s="295"/>
      <c r="DP559" s="29"/>
      <c r="DQ559" s="1504">
        <v>51471</v>
      </c>
      <c r="DR559" s="19"/>
      <c r="DS559" s="93"/>
      <c r="DT559" s="93"/>
      <c r="DU559" s="93"/>
      <c r="DV559" s="93"/>
      <c r="DW559" s="93"/>
      <c r="DX559" s="20"/>
      <c r="DY559" s="29"/>
      <c r="DZ559" s="1504">
        <v>51471</v>
      </c>
      <c r="EA559" s="19"/>
      <c r="EB559" s="93"/>
      <c r="EC559" s="20"/>
      <c r="ED559" s="29"/>
      <c r="EE559" s="1504">
        <v>51471</v>
      </c>
      <c r="EF559" s="19"/>
      <c r="EG559" s="93"/>
      <c r="EH559" s="93"/>
      <c r="EI559" s="214"/>
      <c r="EJ559" s="93"/>
      <c r="EK559" s="93"/>
      <c r="EL559" s="93"/>
      <c r="EM559" s="93"/>
      <c r="EN559" s="20"/>
      <c r="EO559" s="29"/>
      <c r="EP559" s="1504">
        <v>51471</v>
      </c>
      <c r="EQ559" s="19"/>
      <c r="ER559" s="93"/>
      <c r="ES559" s="93"/>
      <c r="ET559" s="214"/>
      <c r="EU559" s="93"/>
      <c r="EV559" s="93"/>
      <c r="EW559" s="93"/>
      <c r="EX559" s="93"/>
      <c r="EY559" s="20"/>
      <c r="EZ559" s="29"/>
      <c r="FA559" s="1504">
        <v>51471</v>
      </c>
      <c r="FB559" s="29"/>
      <c r="FC559" s="29"/>
      <c r="FD559" s="29"/>
      <c r="FE559" s="29"/>
      <c r="FF559" s="29"/>
      <c r="FG559" s="29"/>
      <c r="FH559" s="29"/>
      <c r="FI559" s="29"/>
      <c r="FJ559" s="29"/>
      <c r="FK559" s="29"/>
      <c r="FL559" s="1504">
        <v>51471</v>
      </c>
      <c r="FM559" s="19"/>
      <c r="FN559" s="93"/>
      <c r="FO559" s="93"/>
      <c r="FP559" s="93"/>
      <c r="FQ559" s="93"/>
      <c r="FR559" s="93"/>
      <c r="FS559" s="93"/>
      <c r="FT559" s="93"/>
      <c r="FU559" s="93"/>
      <c r="FV559" s="93"/>
      <c r="FW559" s="93"/>
      <c r="FX559" s="93"/>
      <c r="FY559" s="93"/>
      <c r="FZ559" s="29"/>
      <c r="GA559" s="1504">
        <v>51471</v>
      </c>
      <c r="GB559" s="19"/>
      <c r="GC559" s="93"/>
      <c r="GD559" s="93"/>
      <c r="GE559" s="93"/>
      <c r="GF559" s="93"/>
      <c r="GG559" s="93"/>
      <c r="GH559" s="93"/>
      <c r="GI559" s="93"/>
      <c r="GJ559" s="93"/>
      <c r="GK559" s="93"/>
      <c r="GL559" s="93"/>
      <c r="GM559" s="93"/>
      <c r="GN559" s="20"/>
      <c r="GO559" s="29"/>
      <c r="GP559" s="1504">
        <v>51471</v>
      </c>
      <c r="GQ559" s="19"/>
      <c r="GR559" s="93"/>
      <c r="GS559" s="93"/>
      <c r="GT559" s="93"/>
      <c r="GU559" s="93"/>
      <c r="GV559" s="20"/>
      <c r="GW559" s="19"/>
      <c r="GX559" s="93"/>
      <c r="GY559" s="93"/>
      <c r="GZ559" s="93"/>
      <c r="HA559" s="93"/>
      <c r="HB559" s="20"/>
      <c r="HC559" s="19"/>
      <c r="HD559" s="93"/>
      <c r="HE559" s="93"/>
      <c r="HF559" s="93"/>
      <c r="HG559" s="93"/>
      <c r="HH559" s="20"/>
      <c r="HI559" s="19"/>
      <c r="HJ559" s="93"/>
      <c r="HK559" s="93"/>
      <c r="HL559" s="93"/>
      <c r="HM559" s="93"/>
      <c r="HN559" s="20"/>
      <c r="HO559" s="219"/>
      <c r="HP559" s="20"/>
      <c r="HQ559" s="25"/>
      <c r="HR559" s="29"/>
      <c r="HS559" s="1504">
        <v>51471</v>
      </c>
      <c r="HT559" s="19"/>
      <c r="HU559" s="93"/>
      <c r="HV559" s="93"/>
      <c r="HW559" s="93"/>
      <c r="HX559" s="93"/>
      <c r="HY559" s="93"/>
      <c r="HZ559" s="93"/>
      <c r="IA559" s="20"/>
      <c r="IB559" s="19"/>
      <c r="IC559" s="93"/>
      <c r="ID559" s="93"/>
      <c r="IE559" s="93"/>
      <c r="IF559" s="93"/>
      <c r="IG559" s="20"/>
      <c r="IH559" s="19"/>
      <c r="II559" s="93"/>
      <c r="IJ559" s="93"/>
      <c r="IK559" s="93"/>
      <c r="IL559" s="93"/>
      <c r="IM559" s="93"/>
      <c r="IN559" s="93"/>
      <c r="IO559" s="20"/>
      <c r="IP559" s="29"/>
      <c r="IQ559" s="19"/>
      <c r="IR559" s="93"/>
      <c r="IS559" s="93"/>
      <c r="IT559" s="93"/>
      <c r="IU559" s="93"/>
      <c r="IV559" s="20"/>
      <c r="IW559" s="29"/>
      <c r="IX559" s="19"/>
      <c r="IY559" s="93"/>
      <c r="IZ559" s="93"/>
      <c r="JA559" s="93"/>
      <c r="JB559" s="93"/>
      <c r="JC559" s="93"/>
      <c r="JD559" s="93"/>
      <c r="JE559" s="20"/>
      <c r="JF559" s="29"/>
      <c r="JG559" s="19"/>
      <c r="JH559" s="93"/>
      <c r="JI559" s="93"/>
      <c r="JJ559" s="93"/>
      <c r="JK559" s="93"/>
      <c r="JL559" s="93"/>
      <c r="JM559" s="93"/>
      <c r="JN559" s="20"/>
      <c r="JO559" s="29"/>
      <c r="JP559" s="19"/>
      <c r="JQ559" s="93"/>
      <c r="JR559" s="93"/>
      <c r="JS559" s="93"/>
      <c r="JT559" s="93"/>
      <c r="JU559" s="20"/>
      <c r="JV559" s="29"/>
      <c r="JW559" s="1504">
        <v>51471</v>
      </c>
      <c r="JX559" s="19"/>
      <c r="JY559" s="93"/>
      <c r="JZ559" s="93"/>
      <c r="KA559" s="93"/>
      <c r="KB559" s="93"/>
      <c r="KC559" s="93"/>
      <c r="KD559" s="20"/>
      <c r="KE559" s="29"/>
      <c r="KF559" s="19"/>
      <c r="KG559" s="93"/>
      <c r="KH559" s="93"/>
      <c r="KI559" s="93"/>
      <c r="KJ559" s="93"/>
      <c r="KK559" s="20"/>
      <c r="KL559" s="29"/>
      <c r="KM559" s="19"/>
      <c r="KN559" s="93"/>
      <c r="KO559" s="93"/>
      <c r="KP559" s="93"/>
      <c r="KQ559" s="93"/>
      <c r="KR559" s="20"/>
      <c r="KS559" s="29"/>
      <c r="KT559" s="19"/>
      <c r="KU559" s="93"/>
      <c r="KV559" s="93"/>
      <c r="KW559" s="93"/>
      <c r="KX559" s="93"/>
      <c r="KY559" s="20"/>
      <c r="KZ559" s="29"/>
      <c r="LA559" s="1504">
        <v>51471</v>
      </c>
      <c r="LB559" s="19"/>
      <c r="LC559" s="93"/>
      <c r="LD559" s="93"/>
      <c r="LE559" s="93"/>
      <c r="LF559" s="93"/>
      <c r="LG559" s="93"/>
      <c r="LH559" s="20"/>
      <c r="LI559" s="29"/>
      <c r="LJ559" s="19"/>
      <c r="LK559" s="93"/>
      <c r="LL559" s="93"/>
      <c r="LM559" s="93"/>
      <c r="LN559" s="93"/>
      <c r="LO559" s="20"/>
      <c r="LP559" s="29"/>
      <c r="LQ559" s="19"/>
      <c r="LR559" s="93"/>
      <c r="LS559" s="93"/>
      <c r="LT559" s="93"/>
      <c r="LU559" s="93"/>
      <c r="LV559" s="93"/>
      <c r="LW559" s="93"/>
      <c r="LX559" s="93"/>
      <c r="LY559" s="93"/>
      <c r="LZ559" s="93"/>
      <c r="MA559" s="20"/>
      <c r="MB559" s="29"/>
      <c r="MC559" s="1504">
        <v>51471</v>
      </c>
      <c r="MD559" s="19"/>
      <c r="ME559" s="93"/>
      <c r="MF559" s="93"/>
      <c r="MG559" s="93"/>
      <c r="MH559" s="93"/>
      <c r="MI559" s="93"/>
      <c r="MJ559" s="93"/>
      <c r="MK559" s="93"/>
      <c r="ML559" s="93"/>
      <c r="MM559" s="93"/>
      <c r="MN559" s="93"/>
      <c r="MO559" s="93"/>
      <c r="MP559" s="93"/>
      <c r="MQ559" s="93"/>
      <c r="MR559" s="93"/>
      <c r="MS559" s="93"/>
      <c r="MT559" s="93"/>
      <c r="MU559" s="93"/>
      <c r="MV559" s="93"/>
      <c r="MW559" s="93"/>
      <c r="MX559" s="93"/>
      <c r="MY559" s="93"/>
      <c r="MZ559" s="93"/>
      <c r="NA559" s="93"/>
      <c r="NB559" s="93"/>
      <c r="NC559" s="93"/>
      <c r="ND559" s="93"/>
      <c r="NE559" s="93"/>
      <c r="NF559" s="93"/>
      <c r="NG559" s="93"/>
      <c r="NH559" s="93"/>
      <c r="NI559" s="93"/>
      <c r="NJ559" s="93"/>
      <c r="NK559" s="93"/>
      <c r="NL559" s="93"/>
      <c r="NM559" s="93"/>
      <c r="NN559" s="93"/>
      <c r="NO559" s="93"/>
      <c r="NP559" s="93"/>
      <c r="NQ559" s="93"/>
      <c r="NR559" s="93"/>
      <c r="NS559" s="93"/>
      <c r="NT559" s="93"/>
      <c r="NU559" s="93"/>
      <c r="NV559" s="93"/>
      <c r="NW559" s="93"/>
      <c r="NX559" s="93"/>
      <c r="NY559" s="93"/>
      <c r="NZ559" s="93"/>
      <c r="OA559" s="93"/>
      <c r="OB559" s="93"/>
      <c r="OC559" s="93"/>
      <c r="OD559" s="20"/>
      <c r="OE559" s="29"/>
      <c r="OF559" s="1504">
        <v>51471</v>
      </c>
      <c r="OG559" s="19"/>
      <c r="OH559" s="93"/>
      <c r="OI559" s="93"/>
      <c r="OJ559" s="93"/>
      <c r="OK559" s="93"/>
      <c r="OL559" s="93"/>
      <c r="OM559" s="93"/>
      <c r="ON559" s="93"/>
      <c r="OO559" s="93"/>
      <c r="OP559" s="93"/>
      <c r="OQ559" s="93"/>
      <c r="OR559" s="93"/>
      <c r="OS559" s="93"/>
      <c r="OT559" s="93"/>
      <c r="OU559" s="93"/>
      <c r="OV559" s="93"/>
      <c r="OW559" s="93"/>
      <c r="OX559" s="93"/>
      <c r="OY559" s="93"/>
      <c r="OZ559" s="93"/>
      <c r="PA559" s="93"/>
      <c r="PB559" s="93"/>
      <c r="PC559" s="20"/>
      <c r="PD559" s="29"/>
      <c r="PE559" s="19"/>
      <c r="PF559" s="93"/>
      <c r="PG559" s="93"/>
      <c r="PH559" s="93"/>
      <c r="PI559" s="93"/>
      <c r="PJ559" s="93"/>
      <c r="PK559" s="93"/>
      <c r="PL559" s="93"/>
      <c r="PM559" s="93"/>
      <c r="PN559" s="93"/>
      <c r="PO559" s="93"/>
      <c r="PP559" s="93"/>
      <c r="PQ559" s="93"/>
      <c r="PR559" s="93"/>
      <c r="PS559" s="93"/>
      <c r="PT559" s="93"/>
      <c r="PU559" s="93"/>
      <c r="PV559" s="93"/>
      <c r="PW559" s="93"/>
      <c r="PX559" s="93"/>
      <c r="PY559" s="93"/>
      <c r="PZ559" s="93"/>
      <c r="QA559" s="93"/>
      <c r="QB559" s="93"/>
      <c r="QC559" s="93"/>
      <c r="QD559" s="93"/>
      <c r="QE559" s="20"/>
      <c r="QF559" s="1739"/>
      <c r="QG559" s="19"/>
      <c r="QH559" s="93"/>
      <c r="QI559" s="93"/>
      <c r="QJ559" s="93"/>
      <c r="QK559" s="93"/>
      <c r="QL559" s="93"/>
      <c r="QM559" s="93"/>
      <c r="QN559" s="93"/>
      <c r="QO559" s="93"/>
      <c r="QP559" s="93"/>
      <c r="QQ559" s="93"/>
      <c r="QR559" s="93"/>
      <c r="QS559" s="93"/>
      <c r="QT559" s="93"/>
      <c r="QU559" s="93"/>
      <c r="QV559" s="93"/>
      <c r="QW559" s="93"/>
      <c r="QX559" s="93"/>
      <c r="QY559" s="93"/>
      <c r="QZ559" s="93"/>
      <c r="RA559" s="93"/>
      <c r="RB559" s="93"/>
      <c r="RC559" s="93"/>
      <c r="RD559" s="93"/>
      <c r="RE559" s="93"/>
      <c r="RF559" s="93"/>
      <c r="RG559" s="93"/>
      <c r="RH559" s="93"/>
      <c r="RI559" s="93"/>
      <c r="RJ559" s="93"/>
      <c r="RK559" s="93"/>
      <c r="RL559" s="93"/>
      <c r="RM559" s="20"/>
      <c r="RN559" s="29"/>
      <c r="RO559" s="19"/>
      <c r="RP559" s="20"/>
      <c r="RQ559" s="29"/>
      <c r="RR559" s="20"/>
      <c r="RS559" s="29"/>
      <c r="RT559" s="1504">
        <v>51471</v>
      </c>
      <c r="RU559" s="19"/>
      <c r="RV559" s="20"/>
      <c r="RW559" s="29"/>
      <c r="RX559" s="1504">
        <v>51471</v>
      </c>
      <c r="RY559" s="29"/>
      <c r="RZ559" s="20"/>
      <c r="SA559" s="29"/>
      <c r="SB559" s="29"/>
    </row>
    <row r="560" spans="1:496">
      <c r="A560" s="41">
        <f t="shared" si="362"/>
        <v>2041</v>
      </c>
      <c r="B560" s="1504">
        <v>51502</v>
      </c>
      <c r="C560" s="1813"/>
      <c r="D560" s="1814"/>
      <c r="E560" s="1814"/>
      <c r="F560" s="1815"/>
      <c r="G560" s="1814"/>
      <c r="H560" s="1814"/>
      <c r="I560" s="1814"/>
      <c r="J560" s="1816"/>
      <c r="K560" s="1807"/>
      <c r="L560" s="25"/>
      <c r="M560" s="97"/>
      <c r="N560" s="1504">
        <v>51502</v>
      </c>
      <c r="O560" s="19"/>
      <c r="P560" s="93"/>
      <c r="Q560" s="93"/>
      <c r="R560" s="93"/>
      <c r="S560" s="93"/>
      <c r="T560" s="93"/>
      <c r="U560" s="93"/>
      <c r="V560" s="93"/>
      <c r="W560" s="93"/>
      <c r="X560" s="93"/>
      <c r="Y560" s="93"/>
      <c r="Z560" s="93"/>
      <c r="AA560" s="93"/>
      <c r="AB560" s="20"/>
      <c r="AC560" s="25"/>
      <c r="AD560" s="97"/>
      <c r="AE560" s="1504">
        <v>51502</v>
      </c>
      <c r="AF560" s="19"/>
      <c r="AG560" s="93"/>
      <c r="AH560" s="93"/>
      <c r="AI560" s="93"/>
      <c r="AJ560" s="93"/>
      <c r="AK560" s="93"/>
      <c r="AL560" s="93"/>
      <c r="AM560" s="93"/>
      <c r="AN560" s="93"/>
      <c r="AO560" s="93"/>
      <c r="AP560" s="93"/>
      <c r="AQ560" s="93"/>
      <c r="AR560" s="93"/>
      <c r="AS560" s="20"/>
      <c r="AT560" s="25"/>
      <c r="AU560" s="97"/>
      <c r="AV560" s="1504">
        <v>51502</v>
      </c>
      <c r="AW560" s="19"/>
      <c r="AX560" s="93"/>
      <c r="AY560" s="93"/>
      <c r="AZ560" s="93"/>
      <c r="BA560" s="93"/>
      <c r="BB560" s="93"/>
      <c r="BC560" s="93"/>
      <c r="BD560" s="93"/>
      <c r="BE560" s="93"/>
      <c r="BF560" s="93"/>
      <c r="BG560" s="93"/>
      <c r="BH560" s="93"/>
      <c r="BI560" s="93"/>
      <c r="BJ560" s="20"/>
      <c r="BK560" s="25"/>
      <c r="BL560" s="97"/>
      <c r="BM560" s="1504">
        <v>51502</v>
      </c>
      <c r="BN560" s="19"/>
      <c r="BO560" s="93"/>
      <c r="BP560" s="93"/>
      <c r="BQ560" s="93"/>
      <c r="BR560" s="93"/>
      <c r="BS560" s="93"/>
      <c r="BT560" s="93"/>
      <c r="BU560" s="20"/>
      <c r="BV560" s="25"/>
      <c r="BW560" s="97"/>
      <c r="BX560" s="1504">
        <v>51502</v>
      </c>
      <c r="BY560" s="19"/>
      <c r="BZ560" s="93"/>
      <c r="CA560" s="93"/>
      <c r="CB560" s="93"/>
      <c r="CC560" s="93"/>
      <c r="CD560" s="25"/>
      <c r="CE560" s="97"/>
      <c r="CF560" s="1504">
        <v>51502</v>
      </c>
      <c r="CG560" s="19"/>
      <c r="CH560" s="93"/>
      <c r="CI560" s="219"/>
      <c r="CJ560" s="20"/>
      <c r="CK560" s="19"/>
      <c r="CL560" s="93"/>
      <c r="CM560" s="93"/>
      <c r="CN560" s="93"/>
      <c r="CO560" s="93"/>
      <c r="CP560" s="20"/>
      <c r="CQ560" s="219"/>
      <c r="CR560" s="93"/>
      <c r="CS560" s="93"/>
      <c r="CT560" s="93"/>
      <c r="CU560" s="93"/>
      <c r="CV560" s="214"/>
      <c r="CW560" s="29"/>
      <c r="CX560" s="41">
        <f t="shared" si="361"/>
        <v>2041</v>
      </c>
      <c r="CY560" s="1504">
        <v>51502</v>
      </c>
      <c r="CZ560" s="19"/>
      <c r="DA560" s="93"/>
      <c r="DB560" s="93"/>
      <c r="DC560" s="93"/>
      <c r="DD560" s="93"/>
      <c r="DE560" s="20"/>
      <c r="DF560" s="29"/>
      <c r="DG560" s="1504">
        <v>51502</v>
      </c>
      <c r="DH560" s="19"/>
      <c r="DI560" s="93"/>
      <c r="DJ560" s="93"/>
      <c r="DK560" s="93"/>
      <c r="DL560" s="93"/>
      <c r="DM560" s="93"/>
      <c r="DN560" s="20"/>
      <c r="DO560" s="295"/>
      <c r="DP560" s="29"/>
      <c r="DQ560" s="1504">
        <v>51502</v>
      </c>
      <c r="DR560" s="19"/>
      <c r="DS560" s="93"/>
      <c r="DT560" s="93"/>
      <c r="DU560" s="93"/>
      <c r="DV560" s="93"/>
      <c r="DW560" s="93"/>
      <c r="DX560" s="20"/>
      <c r="DY560" s="29"/>
      <c r="DZ560" s="1504">
        <v>51502</v>
      </c>
      <c r="EA560" s="19"/>
      <c r="EB560" s="93"/>
      <c r="EC560" s="20"/>
      <c r="ED560" s="29"/>
      <c r="EE560" s="1504">
        <v>51502</v>
      </c>
      <c r="EF560" s="19"/>
      <c r="EG560" s="93"/>
      <c r="EH560" s="93"/>
      <c r="EI560" s="214"/>
      <c r="EJ560" s="93"/>
      <c r="EK560" s="93"/>
      <c r="EL560" s="93"/>
      <c r="EM560" s="93"/>
      <c r="EN560" s="20"/>
      <c r="EO560" s="29"/>
      <c r="EP560" s="1504">
        <v>51502</v>
      </c>
      <c r="EQ560" s="19"/>
      <c r="ER560" s="93"/>
      <c r="ES560" s="93"/>
      <c r="ET560" s="214"/>
      <c r="EU560" s="93"/>
      <c r="EV560" s="93"/>
      <c r="EW560" s="93"/>
      <c r="EX560" s="93"/>
      <c r="EY560" s="20"/>
      <c r="EZ560" s="29"/>
      <c r="FA560" s="1504">
        <v>51502</v>
      </c>
      <c r="FB560" s="29"/>
      <c r="FC560" s="29"/>
      <c r="FD560" s="29"/>
      <c r="FE560" s="29"/>
      <c r="FF560" s="29"/>
      <c r="FG560" s="29"/>
      <c r="FH560" s="29"/>
      <c r="FI560" s="29"/>
      <c r="FJ560" s="29"/>
      <c r="FK560" s="29"/>
      <c r="FL560" s="1504">
        <v>51502</v>
      </c>
      <c r="FM560" s="19"/>
      <c r="FN560" s="93"/>
      <c r="FO560" s="93"/>
      <c r="FP560" s="93"/>
      <c r="FQ560" s="93"/>
      <c r="FR560" s="93"/>
      <c r="FS560" s="93"/>
      <c r="FT560" s="93"/>
      <c r="FU560" s="93"/>
      <c r="FV560" s="93"/>
      <c r="FW560" s="93"/>
      <c r="FX560" s="93"/>
      <c r="FY560" s="93"/>
      <c r="FZ560" s="29"/>
      <c r="GA560" s="1504">
        <v>51502</v>
      </c>
      <c r="GB560" s="19"/>
      <c r="GC560" s="93"/>
      <c r="GD560" s="93"/>
      <c r="GE560" s="93"/>
      <c r="GF560" s="93"/>
      <c r="GG560" s="93"/>
      <c r="GH560" s="93"/>
      <c r="GI560" s="93"/>
      <c r="GJ560" s="93"/>
      <c r="GK560" s="93"/>
      <c r="GL560" s="93"/>
      <c r="GM560" s="93"/>
      <c r="GN560" s="20"/>
      <c r="GO560" s="29"/>
      <c r="GP560" s="1504">
        <v>51502</v>
      </c>
      <c r="GQ560" s="19"/>
      <c r="GR560" s="93"/>
      <c r="GS560" s="93"/>
      <c r="GT560" s="93"/>
      <c r="GU560" s="93"/>
      <c r="GV560" s="20"/>
      <c r="GW560" s="19"/>
      <c r="GX560" s="93"/>
      <c r="GY560" s="93"/>
      <c r="GZ560" s="93"/>
      <c r="HA560" s="93"/>
      <c r="HB560" s="20"/>
      <c r="HC560" s="19"/>
      <c r="HD560" s="93"/>
      <c r="HE560" s="93"/>
      <c r="HF560" s="93"/>
      <c r="HG560" s="93"/>
      <c r="HH560" s="20"/>
      <c r="HI560" s="19"/>
      <c r="HJ560" s="93"/>
      <c r="HK560" s="93"/>
      <c r="HL560" s="93"/>
      <c r="HM560" s="93"/>
      <c r="HN560" s="20"/>
      <c r="HO560" s="219"/>
      <c r="HP560" s="20"/>
      <c r="HQ560" s="25"/>
      <c r="HR560" s="29"/>
      <c r="HS560" s="1504">
        <v>51502</v>
      </c>
      <c r="HT560" s="19"/>
      <c r="HU560" s="93"/>
      <c r="HV560" s="93"/>
      <c r="HW560" s="93"/>
      <c r="HX560" s="93"/>
      <c r="HY560" s="93"/>
      <c r="HZ560" s="93"/>
      <c r="IA560" s="20"/>
      <c r="IB560" s="19"/>
      <c r="IC560" s="93"/>
      <c r="ID560" s="93"/>
      <c r="IE560" s="93"/>
      <c r="IF560" s="93"/>
      <c r="IG560" s="20"/>
      <c r="IH560" s="19"/>
      <c r="II560" s="93"/>
      <c r="IJ560" s="93"/>
      <c r="IK560" s="93"/>
      <c r="IL560" s="93"/>
      <c r="IM560" s="93"/>
      <c r="IN560" s="93"/>
      <c r="IO560" s="20"/>
      <c r="IP560" s="29"/>
      <c r="IQ560" s="19"/>
      <c r="IR560" s="93"/>
      <c r="IS560" s="93"/>
      <c r="IT560" s="93"/>
      <c r="IU560" s="93"/>
      <c r="IV560" s="20"/>
      <c r="IW560" s="29"/>
      <c r="IX560" s="19"/>
      <c r="IY560" s="93"/>
      <c r="IZ560" s="93"/>
      <c r="JA560" s="93"/>
      <c r="JB560" s="93"/>
      <c r="JC560" s="93"/>
      <c r="JD560" s="93"/>
      <c r="JE560" s="20"/>
      <c r="JF560" s="29"/>
      <c r="JG560" s="19"/>
      <c r="JH560" s="93"/>
      <c r="JI560" s="93"/>
      <c r="JJ560" s="93"/>
      <c r="JK560" s="93"/>
      <c r="JL560" s="93"/>
      <c r="JM560" s="93"/>
      <c r="JN560" s="20"/>
      <c r="JO560" s="29"/>
      <c r="JP560" s="19"/>
      <c r="JQ560" s="93"/>
      <c r="JR560" s="93"/>
      <c r="JS560" s="93"/>
      <c r="JT560" s="93"/>
      <c r="JU560" s="20"/>
      <c r="JV560" s="29"/>
      <c r="JW560" s="1504">
        <v>51502</v>
      </c>
      <c r="JX560" s="19"/>
      <c r="JY560" s="93"/>
      <c r="JZ560" s="93"/>
      <c r="KA560" s="93"/>
      <c r="KB560" s="93"/>
      <c r="KC560" s="93"/>
      <c r="KD560" s="20"/>
      <c r="KE560" s="29"/>
      <c r="KF560" s="19"/>
      <c r="KG560" s="93"/>
      <c r="KH560" s="93"/>
      <c r="KI560" s="93"/>
      <c r="KJ560" s="93"/>
      <c r="KK560" s="20"/>
      <c r="KL560" s="29"/>
      <c r="KM560" s="19"/>
      <c r="KN560" s="93"/>
      <c r="KO560" s="93"/>
      <c r="KP560" s="93"/>
      <c r="KQ560" s="93"/>
      <c r="KR560" s="20"/>
      <c r="KS560" s="29"/>
      <c r="KT560" s="19"/>
      <c r="KU560" s="93"/>
      <c r="KV560" s="93"/>
      <c r="KW560" s="93"/>
      <c r="KX560" s="93"/>
      <c r="KY560" s="20"/>
      <c r="KZ560" s="29"/>
      <c r="LA560" s="1504">
        <v>51502</v>
      </c>
      <c r="LB560" s="19"/>
      <c r="LC560" s="93"/>
      <c r="LD560" s="93"/>
      <c r="LE560" s="93"/>
      <c r="LF560" s="93"/>
      <c r="LG560" s="93"/>
      <c r="LH560" s="20"/>
      <c r="LI560" s="29"/>
      <c r="LJ560" s="19"/>
      <c r="LK560" s="93"/>
      <c r="LL560" s="93"/>
      <c r="LM560" s="93"/>
      <c r="LN560" s="93"/>
      <c r="LO560" s="20"/>
      <c r="LP560" s="29"/>
      <c r="LQ560" s="19"/>
      <c r="LR560" s="93"/>
      <c r="LS560" s="93"/>
      <c r="LT560" s="93"/>
      <c r="LU560" s="93"/>
      <c r="LV560" s="93"/>
      <c r="LW560" s="93"/>
      <c r="LX560" s="93"/>
      <c r="LY560" s="93"/>
      <c r="LZ560" s="93"/>
      <c r="MA560" s="20"/>
      <c r="MB560" s="29"/>
      <c r="MC560" s="1504">
        <v>51502</v>
      </c>
      <c r="MD560" s="19"/>
      <c r="ME560" s="93"/>
      <c r="MF560" s="93"/>
      <c r="MG560" s="93"/>
      <c r="MH560" s="93"/>
      <c r="MI560" s="93"/>
      <c r="MJ560" s="93"/>
      <c r="MK560" s="93"/>
      <c r="ML560" s="93"/>
      <c r="MM560" s="93"/>
      <c r="MN560" s="93"/>
      <c r="MO560" s="93"/>
      <c r="MP560" s="93"/>
      <c r="MQ560" s="93"/>
      <c r="MR560" s="93"/>
      <c r="MS560" s="93"/>
      <c r="MT560" s="93"/>
      <c r="MU560" s="93"/>
      <c r="MV560" s="93"/>
      <c r="MW560" s="93"/>
      <c r="MX560" s="93"/>
      <c r="MY560" s="93"/>
      <c r="MZ560" s="93"/>
      <c r="NA560" s="93"/>
      <c r="NB560" s="93"/>
      <c r="NC560" s="93"/>
      <c r="ND560" s="93"/>
      <c r="NE560" s="93"/>
      <c r="NF560" s="93"/>
      <c r="NG560" s="93"/>
      <c r="NH560" s="93"/>
      <c r="NI560" s="93"/>
      <c r="NJ560" s="93"/>
      <c r="NK560" s="93"/>
      <c r="NL560" s="93"/>
      <c r="NM560" s="93"/>
      <c r="NN560" s="93"/>
      <c r="NO560" s="93"/>
      <c r="NP560" s="93"/>
      <c r="NQ560" s="93"/>
      <c r="NR560" s="93"/>
      <c r="NS560" s="93"/>
      <c r="NT560" s="93"/>
      <c r="NU560" s="93"/>
      <c r="NV560" s="93"/>
      <c r="NW560" s="93"/>
      <c r="NX560" s="93"/>
      <c r="NY560" s="93"/>
      <c r="NZ560" s="93"/>
      <c r="OA560" s="93"/>
      <c r="OB560" s="93"/>
      <c r="OC560" s="93"/>
      <c r="OD560" s="20"/>
      <c r="OE560" s="29"/>
      <c r="OF560" s="1504">
        <v>51502</v>
      </c>
      <c r="OG560" s="19"/>
      <c r="OH560" s="93"/>
      <c r="OI560" s="93"/>
      <c r="OJ560" s="93"/>
      <c r="OK560" s="93"/>
      <c r="OL560" s="93"/>
      <c r="OM560" s="93"/>
      <c r="ON560" s="93"/>
      <c r="OO560" s="93"/>
      <c r="OP560" s="93"/>
      <c r="OQ560" s="93"/>
      <c r="OR560" s="93"/>
      <c r="OS560" s="93"/>
      <c r="OT560" s="93"/>
      <c r="OU560" s="93"/>
      <c r="OV560" s="93"/>
      <c r="OW560" s="93"/>
      <c r="OX560" s="93"/>
      <c r="OY560" s="93"/>
      <c r="OZ560" s="93"/>
      <c r="PA560" s="93"/>
      <c r="PB560" s="93"/>
      <c r="PC560" s="20"/>
      <c r="PD560" s="29"/>
      <c r="PE560" s="19"/>
      <c r="PF560" s="93"/>
      <c r="PG560" s="93"/>
      <c r="PH560" s="93"/>
      <c r="PI560" s="93"/>
      <c r="PJ560" s="93"/>
      <c r="PK560" s="93"/>
      <c r="PL560" s="93"/>
      <c r="PM560" s="93"/>
      <c r="PN560" s="93"/>
      <c r="PO560" s="93"/>
      <c r="PP560" s="93"/>
      <c r="PQ560" s="93"/>
      <c r="PR560" s="93"/>
      <c r="PS560" s="93"/>
      <c r="PT560" s="93"/>
      <c r="PU560" s="93"/>
      <c r="PV560" s="93"/>
      <c r="PW560" s="93"/>
      <c r="PX560" s="93"/>
      <c r="PY560" s="93"/>
      <c r="PZ560" s="93"/>
      <c r="QA560" s="93"/>
      <c r="QB560" s="93"/>
      <c r="QC560" s="93"/>
      <c r="QD560" s="93"/>
      <c r="QE560" s="20"/>
      <c r="QF560" s="1739"/>
      <c r="QG560" s="19"/>
      <c r="QH560" s="93"/>
      <c r="QI560" s="93"/>
      <c r="QJ560" s="93"/>
      <c r="QK560" s="93"/>
      <c r="QL560" s="93"/>
      <c r="QM560" s="93"/>
      <c r="QN560" s="93"/>
      <c r="QO560" s="93"/>
      <c r="QP560" s="93"/>
      <c r="QQ560" s="93"/>
      <c r="QR560" s="93"/>
      <c r="QS560" s="93"/>
      <c r="QT560" s="93"/>
      <c r="QU560" s="93"/>
      <c r="QV560" s="93"/>
      <c r="QW560" s="93"/>
      <c r="QX560" s="93"/>
      <c r="QY560" s="93"/>
      <c r="QZ560" s="93"/>
      <c r="RA560" s="93"/>
      <c r="RB560" s="93"/>
      <c r="RC560" s="93"/>
      <c r="RD560" s="93"/>
      <c r="RE560" s="93"/>
      <c r="RF560" s="93"/>
      <c r="RG560" s="93"/>
      <c r="RH560" s="93"/>
      <c r="RI560" s="93"/>
      <c r="RJ560" s="93"/>
      <c r="RK560" s="93"/>
      <c r="RL560" s="93"/>
      <c r="RM560" s="20"/>
      <c r="RN560" s="29"/>
      <c r="RO560" s="19"/>
      <c r="RP560" s="20"/>
      <c r="RQ560" s="29"/>
      <c r="RR560" s="20"/>
      <c r="RS560" s="29"/>
      <c r="RT560" s="1504">
        <v>51502</v>
      </c>
      <c r="RU560" s="19"/>
      <c r="RV560" s="20"/>
      <c r="RW560" s="29"/>
      <c r="RX560" s="1504">
        <v>51502</v>
      </c>
      <c r="RY560" s="29"/>
      <c r="RZ560" s="20"/>
      <c r="SA560" s="29"/>
      <c r="SB560" s="29"/>
    </row>
    <row r="561" spans="1:496">
      <c r="A561" s="41">
        <f t="shared" si="362"/>
        <v>2041</v>
      </c>
      <c r="B561" s="1504">
        <v>51533</v>
      </c>
      <c r="C561" s="1813"/>
      <c r="D561" s="1814"/>
      <c r="E561" s="1814"/>
      <c r="F561" s="1815"/>
      <c r="G561" s="1814"/>
      <c r="H561" s="1814"/>
      <c r="I561" s="1814"/>
      <c r="J561" s="1816"/>
      <c r="K561" s="1807"/>
      <c r="L561" s="25"/>
      <c r="M561" s="97"/>
      <c r="N561" s="1504">
        <v>51533</v>
      </c>
      <c r="O561" s="19"/>
      <c r="P561" s="93"/>
      <c r="Q561" s="93"/>
      <c r="R561" s="93"/>
      <c r="S561" s="93"/>
      <c r="T561" s="93"/>
      <c r="U561" s="93"/>
      <c r="V561" s="93"/>
      <c r="W561" s="93"/>
      <c r="X561" s="93"/>
      <c r="Y561" s="93"/>
      <c r="Z561" s="93"/>
      <c r="AA561" s="93"/>
      <c r="AB561" s="20"/>
      <c r="AC561" s="25"/>
      <c r="AD561" s="97"/>
      <c r="AE561" s="1504">
        <v>51533</v>
      </c>
      <c r="AF561" s="19"/>
      <c r="AG561" s="93"/>
      <c r="AH561" s="93"/>
      <c r="AI561" s="93"/>
      <c r="AJ561" s="93"/>
      <c r="AK561" s="93"/>
      <c r="AL561" s="93"/>
      <c r="AM561" s="93"/>
      <c r="AN561" s="93"/>
      <c r="AO561" s="93"/>
      <c r="AP561" s="93"/>
      <c r="AQ561" s="93"/>
      <c r="AR561" s="93"/>
      <c r="AS561" s="20"/>
      <c r="AT561" s="25"/>
      <c r="AU561" s="97"/>
      <c r="AV561" s="1504">
        <v>51533</v>
      </c>
      <c r="AW561" s="19"/>
      <c r="AX561" s="93"/>
      <c r="AY561" s="93"/>
      <c r="AZ561" s="93"/>
      <c r="BA561" s="93"/>
      <c r="BB561" s="93"/>
      <c r="BC561" s="93"/>
      <c r="BD561" s="93"/>
      <c r="BE561" s="93"/>
      <c r="BF561" s="93"/>
      <c r="BG561" s="93"/>
      <c r="BH561" s="93"/>
      <c r="BI561" s="93"/>
      <c r="BJ561" s="20"/>
      <c r="BK561" s="25"/>
      <c r="BL561" s="97"/>
      <c r="BM561" s="1504">
        <v>51533</v>
      </c>
      <c r="BN561" s="19"/>
      <c r="BO561" s="93"/>
      <c r="BP561" s="93"/>
      <c r="BQ561" s="93"/>
      <c r="BR561" s="93"/>
      <c r="BS561" s="93"/>
      <c r="BT561" s="93"/>
      <c r="BU561" s="20"/>
      <c r="BV561" s="25"/>
      <c r="BW561" s="97"/>
      <c r="BX561" s="1504">
        <v>51533</v>
      </c>
      <c r="BY561" s="19"/>
      <c r="BZ561" s="93"/>
      <c r="CA561" s="93"/>
      <c r="CB561" s="93"/>
      <c r="CC561" s="93"/>
      <c r="CD561" s="25"/>
      <c r="CE561" s="97"/>
      <c r="CF561" s="1504">
        <v>51533</v>
      </c>
      <c r="CG561" s="19"/>
      <c r="CH561" s="93"/>
      <c r="CI561" s="219"/>
      <c r="CJ561" s="20"/>
      <c r="CK561" s="19"/>
      <c r="CL561" s="93"/>
      <c r="CM561" s="93"/>
      <c r="CN561" s="93"/>
      <c r="CO561" s="93"/>
      <c r="CP561" s="20"/>
      <c r="CQ561" s="219"/>
      <c r="CR561" s="93"/>
      <c r="CS561" s="93"/>
      <c r="CT561" s="93"/>
      <c r="CU561" s="93"/>
      <c r="CV561" s="214"/>
      <c r="CW561" s="29"/>
      <c r="CX561" s="41">
        <f t="shared" si="361"/>
        <v>2041</v>
      </c>
      <c r="CY561" s="1504">
        <v>51533</v>
      </c>
      <c r="CZ561" s="19"/>
      <c r="DA561" s="93"/>
      <c r="DB561" s="93"/>
      <c r="DC561" s="93"/>
      <c r="DD561" s="93"/>
      <c r="DE561" s="20"/>
      <c r="DF561" s="29"/>
      <c r="DG561" s="1504">
        <v>51533</v>
      </c>
      <c r="DH561" s="19"/>
      <c r="DI561" s="93"/>
      <c r="DJ561" s="93"/>
      <c r="DK561" s="93"/>
      <c r="DL561" s="93"/>
      <c r="DM561" s="93"/>
      <c r="DN561" s="20"/>
      <c r="DO561" s="295"/>
      <c r="DP561" s="29"/>
      <c r="DQ561" s="1504">
        <v>51533</v>
      </c>
      <c r="DR561" s="19"/>
      <c r="DS561" s="93"/>
      <c r="DT561" s="93"/>
      <c r="DU561" s="93"/>
      <c r="DV561" s="93"/>
      <c r="DW561" s="93"/>
      <c r="DX561" s="20"/>
      <c r="DY561" s="29"/>
      <c r="DZ561" s="1504">
        <v>51533</v>
      </c>
      <c r="EA561" s="19"/>
      <c r="EB561" s="93"/>
      <c r="EC561" s="20"/>
      <c r="ED561" s="29"/>
      <c r="EE561" s="1504">
        <v>51533</v>
      </c>
      <c r="EF561" s="19"/>
      <c r="EG561" s="93"/>
      <c r="EH561" s="93"/>
      <c r="EI561" s="214"/>
      <c r="EJ561" s="93"/>
      <c r="EK561" s="93"/>
      <c r="EL561" s="93"/>
      <c r="EM561" s="93"/>
      <c r="EN561" s="20"/>
      <c r="EO561" s="29"/>
      <c r="EP561" s="1504">
        <v>51533</v>
      </c>
      <c r="EQ561" s="19"/>
      <c r="ER561" s="93"/>
      <c r="ES561" s="93"/>
      <c r="ET561" s="214"/>
      <c r="EU561" s="93"/>
      <c r="EV561" s="93"/>
      <c r="EW561" s="93"/>
      <c r="EX561" s="93"/>
      <c r="EY561" s="20"/>
      <c r="EZ561" s="29"/>
      <c r="FA561" s="1504">
        <v>51533</v>
      </c>
      <c r="FB561" s="29"/>
      <c r="FC561" s="29"/>
      <c r="FD561" s="29"/>
      <c r="FE561" s="29"/>
      <c r="FF561" s="29"/>
      <c r="FG561" s="29"/>
      <c r="FH561" s="29"/>
      <c r="FI561" s="29"/>
      <c r="FJ561" s="29"/>
      <c r="FK561" s="29"/>
      <c r="FL561" s="1504">
        <v>51533</v>
      </c>
      <c r="FM561" s="19"/>
      <c r="FN561" s="93"/>
      <c r="FO561" s="93"/>
      <c r="FP561" s="93"/>
      <c r="FQ561" s="93"/>
      <c r="FR561" s="93"/>
      <c r="FS561" s="93"/>
      <c r="FT561" s="93"/>
      <c r="FU561" s="93"/>
      <c r="FV561" s="93"/>
      <c r="FW561" s="93"/>
      <c r="FX561" s="93"/>
      <c r="FY561" s="93"/>
      <c r="FZ561" s="29"/>
      <c r="GA561" s="1504">
        <v>51533</v>
      </c>
      <c r="GB561" s="19"/>
      <c r="GC561" s="93"/>
      <c r="GD561" s="93"/>
      <c r="GE561" s="93"/>
      <c r="GF561" s="93"/>
      <c r="GG561" s="93"/>
      <c r="GH561" s="93"/>
      <c r="GI561" s="93"/>
      <c r="GJ561" s="93"/>
      <c r="GK561" s="93"/>
      <c r="GL561" s="93"/>
      <c r="GM561" s="93"/>
      <c r="GN561" s="20"/>
      <c r="GO561" s="29"/>
      <c r="GP561" s="1504">
        <v>51533</v>
      </c>
      <c r="GQ561" s="19"/>
      <c r="GR561" s="93"/>
      <c r="GS561" s="93"/>
      <c r="GT561" s="93"/>
      <c r="GU561" s="93"/>
      <c r="GV561" s="20"/>
      <c r="GW561" s="19"/>
      <c r="GX561" s="93"/>
      <c r="GY561" s="93"/>
      <c r="GZ561" s="93"/>
      <c r="HA561" s="93"/>
      <c r="HB561" s="20"/>
      <c r="HC561" s="19"/>
      <c r="HD561" s="93"/>
      <c r="HE561" s="93"/>
      <c r="HF561" s="93"/>
      <c r="HG561" s="93"/>
      <c r="HH561" s="20"/>
      <c r="HI561" s="19"/>
      <c r="HJ561" s="93"/>
      <c r="HK561" s="93"/>
      <c r="HL561" s="93"/>
      <c r="HM561" s="93"/>
      <c r="HN561" s="20"/>
      <c r="HO561" s="219"/>
      <c r="HP561" s="20"/>
      <c r="HQ561" s="25"/>
      <c r="HR561" s="29"/>
      <c r="HS561" s="1504">
        <v>51533</v>
      </c>
      <c r="HT561" s="19"/>
      <c r="HU561" s="93"/>
      <c r="HV561" s="93"/>
      <c r="HW561" s="93"/>
      <c r="HX561" s="93"/>
      <c r="HY561" s="93"/>
      <c r="HZ561" s="93"/>
      <c r="IA561" s="20"/>
      <c r="IB561" s="19"/>
      <c r="IC561" s="93"/>
      <c r="ID561" s="93"/>
      <c r="IE561" s="93"/>
      <c r="IF561" s="93"/>
      <c r="IG561" s="20"/>
      <c r="IH561" s="19"/>
      <c r="II561" s="93"/>
      <c r="IJ561" s="93"/>
      <c r="IK561" s="93"/>
      <c r="IL561" s="93"/>
      <c r="IM561" s="93"/>
      <c r="IN561" s="93"/>
      <c r="IO561" s="20"/>
      <c r="IP561" s="29"/>
      <c r="IQ561" s="19"/>
      <c r="IR561" s="93"/>
      <c r="IS561" s="93"/>
      <c r="IT561" s="93"/>
      <c r="IU561" s="93"/>
      <c r="IV561" s="20"/>
      <c r="IW561" s="29"/>
      <c r="IX561" s="19"/>
      <c r="IY561" s="93"/>
      <c r="IZ561" s="93"/>
      <c r="JA561" s="93"/>
      <c r="JB561" s="93"/>
      <c r="JC561" s="93"/>
      <c r="JD561" s="93"/>
      <c r="JE561" s="20"/>
      <c r="JF561" s="29"/>
      <c r="JG561" s="19"/>
      <c r="JH561" s="93"/>
      <c r="JI561" s="93"/>
      <c r="JJ561" s="93"/>
      <c r="JK561" s="93"/>
      <c r="JL561" s="93"/>
      <c r="JM561" s="93"/>
      <c r="JN561" s="20"/>
      <c r="JO561" s="29"/>
      <c r="JP561" s="19"/>
      <c r="JQ561" s="93"/>
      <c r="JR561" s="93"/>
      <c r="JS561" s="93"/>
      <c r="JT561" s="93"/>
      <c r="JU561" s="20"/>
      <c r="JV561" s="29"/>
      <c r="JW561" s="1504">
        <v>51533</v>
      </c>
      <c r="JX561" s="19"/>
      <c r="JY561" s="93"/>
      <c r="JZ561" s="93"/>
      <c r="KA561" s="93"/>
      <c r="KB561" s="93"/>
      <c r="KC561" s="93"/>
      <c r="KD561" s="20"/>
      <c r="KE561" s="29"/>
      <c r="KF561" s="19"/>
      <c r="KG561" s="93"/>
      <c r="KH561" s="93"/>
      <c r="KI561" s="93"/>
      <c r="KJ561" s="93"/>
      <c r="KK561" s="20"/>
      <c r="KL561" s="29"/>
      <c r="KM561" s="19"/>
      <c r="KN561" s="93"/>
      <c r="KO561" s="93"/>
      <c r="KP561" s="93"/>
      <c r="KQ561" s="93"/>
      <c r="KR561" s="20"/>
      <c r="KS561" s="29"/>
      <c r="KT561" s="19"/>
      <c r="KU561" s="93"/>
      <c r="KV561" s="93"/>
      <c r="KW561" s="93"/>
      <c r="KX561" s="93"/>
      <c r="KY561" s="20"/>
      <c r="KZ561" s="29"/>
      <c r="LA561" s="1504">
        <v>51533</v>
      </c>
      <c r="LB561" s="19"/>
      <c r="LC561" s="93"/>
      <c r="LD561" s="93"/>
      <c r="LE561" s="93"/>
      <c r="LF561" s="93"/>
      <c r="LG561" s="93"/>
      <c r="LH561" s="20"/>
      <c r="LI561" s="29"/>
      <c r="LJ561" s="19"/>
      <c r="LK561" s="93"/>
      <c r="LL561" s="93"/>
      <c r="LM561" s="93"/>
      <c r="LN561" s="93"/>
      <c r="LO561" s="20"/>
      <c r="LP561" s="29"/>
      <c r="LQ561" s="19"/>
      <c r="LR561" s="93"/>
      <c r="LS561" s="93"/>
      <c r="LT561" s="93"/>
      <c r="LU561" s="93"/>
      <c r="LV561" s="93"/>
      <c r="LW561" s="93"/>
      <c r="LX561" s="93"/>
      <c r="LY561" s="93"/>
      <c r="LZ561" s="93"/>
      <c r="MA561" s="20"/>
      <c r="MB561" s="29"/>
      <c r="MC561" s="1504">
        <v>51533</v>
      </c>
      <c r="MD561" s="19"/>
      <c r="ME561" s="93"/>
      <c r="MF561" s="93"/>
      <c r="MG561" s="93"/>
      <c r="MH561" s="93"/>
      <c r="MI561" s="93"/>
      <c r="MJ561" s="93"/>
      <c r="MK561" s="93"/>
      <c r="ML561" s="93"/>
      <c r="MM561" s="93"/>
      <c r="MN561" s="93"/>
      <c r="MO561" s="93"/>
      <c r="MP561" s="93"/>
      <c r="MQ561" s="93"/>
      <c r="MR561" s="93"/>
      <c r="MS561" s="93"/>
      <c r="MT561" s="93"/>
      <c r="MU561" s="93"/>
      <c r="MV561" s="93"/>
      <c r="MW561" s="93"/>
      <c r="MX561" s="93"/>
      <c r="MY561" s="93"/>
      <c r="MZ561" s="93"/>
      <c r="NA561" s="93"/>
      <c r="NB561" s="93"/>
      <c r="NC561" s="93"/>
      <c r="ND561" s="93"/>
      <c r="NE561" s="93"/>
      <c r="NF561" s="93"/>
      <c r="NG561" s="93"/>
      <c r="NH561" s="93"/>
      <c r="NI561" s="93"/>
      <c r="NJ561" s="93"/>
      <c r="NK561" s="93"/>
      <c r="NL561" s="93"/>
      <c r="NM561" s="93"/>
      <c r="NN561" s="93"/>
      <c r="NO561" s="93"/>
      <c r="NP561" s="93"/>
      <c r="NQ561" s="93"/>
      <c r="NR561" s="93"/>
      <c r="NS561" s="93"/>
      <c r="NT561" s="93"/>
      <c r="NU561" s="93"/>
      <c r="NV561" s="93"/>
      <c r="NW561" s="93"/>
      <c r="NX561" s="93"/>
      <c r="NY561" s="93"/>
      <c r="NZ561" s="93"/>
      <c r="OA561" s="93"/>
      <c r="OB561" s="93"/>
      <c r="OC561" s="93"/>
      <c r="OD561" s="20"/>
      <c r="OE561" s="29"/>
      <c r="OF561" s="1504">
        <v>51533</v>
      </c>
      <c r="OG561" s="19"/>
      <c r="OH561" s="93"/>
      <c r="OI561" s="93"/>
      <c r="OJ561" s="93"/>
      <c r="OK561" s="93"/>
      <c r="OL561" s="93"/>
      <c r="OM561" s="93"/>
      <c r="ON561" s="93"/>
      <c r="OO561" s="93"/>
      <c r="OP561" s="93"/>
      <c r="OQ561" s="93"/>
      <c r="OR561" s="93"/>
      <c r="OS561" s="93"/>
      <c r="OT561" s="93"/>
      <c r="OU561" s="93"/>
      <c r="OV561" s="93"/>
      <c r="OW561" s="93"/>
      <c r="OX561" s="93"/>
      <c r="OY561" s="93"/>
      <c r="OZ561" s="93"/>
      <c r="PA561" s="93"/>
      <c r="PB561" s="93"/>
      <c r="PC561" s="20"/>
      <c r="PD561" s="29"/>
      <c r="PE561" s="19"/>
      <c r="PF561" s="93"/>
      <c r="PG561" s="93"/>
      <c r="PH561" s="93"/>
      <c r="PI561" s="93"/>
      <c r="PJ561" s="93"/>
      <c r="PK561" s="93"/>
      <c r="PL561" s="93"/>
      <c r="PM561" s="93"/>
      <c r="PN561" s="93"/>
      <c r="PO561" s="93"/>
      <c r="PP561" s="93"/>
      <c r="PQ561" s="93"/>
      <c r="PR561" s="93"/>
      <c r="PS561" s="93"/>
      <c r="PT561" s="93"/>
      <c r="PU561" s="93"/>
      <c r="PV561" s="93"/>
      <c r="PW561" s="93"/>
      <c r="PX561" s="93"/>
      <c r="PY561" s="93"/>
      <c r="PZ561" s="93"/>
      <c r="QA561" s="93"/>
      <c r="QB561" s="93"/>
      <c r="QC561" s="93"/>
      <c r="QD561" s="93"/>
      <c r="QE561" s="20"/>
      <c r="QF561" s="1739"/>
      <c r="QG561" s="19"/>
      <c r="QH561" s="93"/>
      <c r="QI561" s="93"/>
      <c r="QJ561" s="93"/>
      <c r="QK561" s="93"/>
      <c r="QL561" s="93"/>
      <c r="QM561" s="93"/>
      <c r="QN561" s="93"/>
      <c r="QO561" s="93"/>
      <c r="QP561" s="93"/>
      <c r="QQ561" s="93"/>
      <c r="QR561" s="93"/>
      <c r="QS561" s="93"/>
      <c r="QT561" s="93"/>
      <c r="QU561" s="93"/>
      <c r="QV561" s="93"/>
      <c r="QW561" s="93"/>
      <c r="QX561" s="93"/>
      <c r="QY561" s="93"/>
      <c r="QZ561" s="93"/>
      <c r="RA561" s="93"/>
      <c r="RB561" s="93"/>
      <c r="RC561" s="93"/>
      <c r="RD561" s="93"/>
      <c r="RE561" s="93"/>
      <c r="RF561" s="93"/>
      <c r="RG561" s="93"/>
      <c r="RH561" s="93"/>
      <c r="RI561" s="93"/>
      <c r="RJ561" s="93"/>
      <c r="RK561" s="93"/>
      <c r="RL561" s="93"/>
      <c r="RM561" s="20"/>
      <c r="RN561" s="29"/>
      <c r="RO561" s="19"/>
      <c r="RP561" s="20"/>
      <c r="RQ561" s="29"/>
      <c r="RR561" s="20"/>
      <c r="RS561" s="29"/>
      <c r="RT561" s="1504">
        <v>51533</v>
      </c>
      <c r="RU561" s="19"/>
      <c r="RV561" s="20"/>
      <c r="RW561" s="29"/>
      <c r="RX561" s="1504">
        <v>51533</v>
      </c>
      <c r="RY561" s="29"/>
      <c r="RZ561" s="20"/>
      <c r="SA561" s="29"/>
      <c r="SB561" s="29"/>
    </row>
    <row r="562" spans="1:496">
      <c r="A562" s="41">
        <f t="shared" si="362"/>
        <v>2041</v>
      </c>
      <c r="B562" s="1504">
        <v>51561</v>
      </c>
      <c r="C562" s="1813"/>
      <c r="D562" s="1814"/>
      <c r="E562" s="1814"/>
      <c r="F562" s="1815"/>
      <c r="G562" s="1814"/>
      <c r="H562" s="1814"/>
      <c r="I562" s="1814"/>
      <c r="J562" s="1816"/>
      <c r="K562" s="1807"/>
      <c r="L562" s="25"/>
      <c r="M562" s="97"/>
      <c r="N562" s="1504">
        <v>51561</v>
      </c>
      <c r="O562" s="19"/>
      <c r="P562" s="93"/>
      <c r="Q562" s="93"/>
      <c r="R562" s="93"/>
      <c r="S562" s="93"/>
      <c r="T562" s="93"/>
      <c r="U562" s="93"/>
      <c r="V562" s="93"/>
      <c r="W562" s="93"/>
      <c r="X562" s="93"/>
      <c r="Y562" s="93"/>
      <c r="Z562" s="93"/>
      <c r="AA562" s="93"/>
      <c r="AB562" s="20"/>
      <c r="AC562" s="25"/>
      <c r="AD562" s="97"/>
      <c r="AE562" s="1504">
        <v>51561</v>
      </c>
      <c r="AF562" s="19"/>
      <c r="AG562" s="93"/>
      <c r="AH562" s="93"/>
      <c r="AI562" s="93"/>
      <c r="AJ562" s="93"/>
      <c r="AK562" s="93"/>
      <c r="AL562" s="93"/>
      <c r="AM562" s="93"/>
      <c r="AN562" s="93"/>
      <c r="AO562" s="93"/>
      <c r="AP562" s="93"/>
      <c r="AQ562" s="93"/>
      <c r="AR562" s="93"/>
      <c r="AS562" s="20"/>
      <c r="AT562" s="25"/>
      <c r="AU562" s="97"/>
      <c r="AV562" s="1504">
        <v>51561</v>
      </c>
      <c r="AW562" s="19"/>
      <c r="AX562" s="93"/>
      <c r="AY562" s="93"/>
      <c r="AZ562" s="93"/>
      <c r="BA562" s="93"/>
      <c r="BB562" s="93"/>
      <c r="BC562" s="93"/>
      <c r="BD562" s="93"/>
      <c r="BE562" s="93"/>
      <c r="BF562" s="93"/>
      <c r="BG562" s="93"/>
      <c r="BH562" s="93"/>
      <c r="BI562" s="93"/>
      <c r="BJ562" s="20"/>
      <c r="BK562" s="25"/>
      <c r="BL562" s="97"/>
      <c r="BM562" s="1504">
        <v>51561</v>
      </c>
      <c r="BN562" s="19"/>
      <c r="BO562" s="93"/>
      <c r="BP562" s="93"/>
      <c r="BQ562" s="93"/>
      <c r="BR562" s="93"/>
      <c r="BS562" s="93"/>
      <c r="BT562" s="93"/>
      <c r="BU562" s="20"/>
      <c r="BV562" s="25"/>
      <c r="BW562" s="97"/>
      <c r="BX562" s="1504">
        <v>51561</v>
      </c>
      <c r="BY562" s="19"/>
      <c r="BZ562" s="93"/>
      <c r="CA562" s="93"/>
      <c r="CB562" s="93"/>
      <c r="CC562" s="93"/>
      <c r="CD562" s="25"/>
      <c r="CE562" s="97"/>
      <c r="CF562" s="1504">
        <v>51561</v>
      </c>
      <c r="CG562" s="19"/>
      <c r="CH562" s="93"/>
      <c r="CI562" s="219"/>
      <c r="CJ562" s="20"/>
      <c r="CK562" s="19"/>
      <c r="CL562" s="93"/>
      <c r="CM562" s="93"/>
      <c r="CN562" s="93"/>
      <c r="CO562" s="93"/>
      <c r="CP562" s="20"/>
      <c r="CQ562" s="219"/>
      <c r="CR562" s="93"/>
      <c r="CS562" s="93"/>
      <c r="CT562" s="93"/>
      <c r="CU562" s="93"/>
      <c r="CV562" s="214"/>
      <c r="CW562" s="29"/>
      <c r="CX562" s="41">
        <f t="shared" si="361"/>
        <v>2041</v>
      </c>
      <c r="CY562" s="1504">
        <v>51561</v>
      </c>
      <c r="CZ562" s="19"/>
      <c r="DA562" s="93"/>
      <c r="DB562" s="93"/>
      <c r="DC562" s="93"/>
      <c r="DD562" s="93"/>
      <c r="DE562" s="20"/>
      <c r="DF562" s="29"/>
      <c r="DG562" s="1504">
        <v>51561</v>
      </c>
      <c r="DH562" s="19"/>
      <c r="DI562" s="93"/>
      <c r="DJ562" s="93"/>
      <c r="DK562" s="93"/>
      <c r="DL562" s="93"/>
      <c r="DM562" s="93"/>
      <c r="DN562" s="20"/>
      <c r="DO562" s="295"/>
      <c r="DP562" s="29"/>
      <c r="DQ562" s="1504">
        <v>51561</v>
      </c>
      <c r="DR562" s="19"/>
      <c r="DS562" s="93"/>
      <c r="DT562" s="93"/>
      <c r="DU562" s="93"/>
      <c r="DV562" s="93"/>
      <c r="DW562" s="93"/>
      <c r="DX562" s="20"/>
      <c r="DY562" s="29"/>
      <c r="DZ562" s="1504">
        <v>51561</v>
      </c>
      <c r="EA562" s="19"/>
      <c r="EB562" s="93"/>
      <c r="EC562" s="20"/>
      <c r="ED562" s="29"/>
      <c r="EE562" s="1504">
        <v>51561</v>
      </c>
      <c r="EF562" s="19"/>
      <c r="EG562" s="93"/>
      <c r="EH562" s="93"/>
      <c r="EI562" s="214"/>
      <c r="EJ562" s="93"/>
      <c r="EK562" s="93"/>
      <c r="EL562" s="93"/>
      <c r="EM562" s="93"/>
      <c r="EN562" s="20"/>
      <c r="EO562" s="29"/>
      <c r="EP562" s="1504">
        <v>51561</v>
      </c>
      <c r="EQ562" s="19"/>
      <c r="ER562" s="93"/>
      <c r="ES562" s="93"/>
      <c r="ET562" s="214"/>
      <c r="EU562" s="93"/>
      <c r="EV562" s="93"/>
      <c r="EW562" s="93"/>
      <c r="EX562" s="93"/>
      <c r="EY562" s="20"/>
      <c r="EZ562" s="29"/>
      <c r="FA562" s="1504">
        <v>51561</v>
      </c>
      <c r="FB562" s="29"/>
      <c r="FC562" s="29"/>
      <c r="FD562" s="29"/>
      <c r="FE562" s="29"/>
      <c r="FF562" s="29"/>
      <c r="FG562" s="29"/>
      <c r="FH562" s="29"/>
      <c r="FI562" s="29"/>
      <c r="FJ562" s="29"/>
      <c r="FK562" s="29"/>
      <c r="FL562" s="1504">
        <v>51561</v>
      </c>
      <c r="FM562" s="19"/>
      <c r="FN562" s="93"/>
      <c r="FO562" s="93"/>
      <c r="FP562" s="93"/>
      <c r="FQ562" s="93"/>
      <c r="FR562" s="93"/>
      <c r="FS562" s="93"/>
      <c r="FT562" s="93"/>
      <c r="FU562" s="93"/>
      <c r="FV562" s="93"/>
      <c r="FW562" s="93"/>
      <c r="FX562" s="93"/>
      <c r="FY562" s="93"/>
      <c r="FZ562" s="29"/>
      <c r="GA562" s="1504">
        <v>51561</v>
      </c>
      <c r="GB562" s="19"/>
      <c r="GC562" s="93"/>
      <c r="GD562" s="93"/>
      <c r="GE562" s="93"/>
      <c r="GF562" s="93"/>
      <c r="GG562" s="93"/>
      <c r="GH562" s="93"/>
      <c r="GI562" s="93"/>
      <c r="GJ562" s="93"/>
      <c r="GK562" s="93"/>
      <c r="GL562" s="93"/>
      <c r="GM562" s="93"/>
      <c r="GN562" s="20"/>
      <c r="GO562" s="29"/>
      <c r="GP562" s="1504">
        <v>51561</v>
      </c>
      <c r="GQ562" s="19"/>
      <c r="GR562" s="93"/>
      <c r="GS562" s="93"/>
      <c r="GT562" s="93"/>
      <c r="GU562" s="93"/>
      <c r="GV562" s="20"/>
      <c r="GW562" s="19"/>
      <c r="GX562" s="93"/>
      <c r="GY562" s="93"/>
      <c r="GZ562" s="93"/>
      <c r="HA562" s="93"/>
      <c r="HB562" s="20"/>
      <c r="HC562" s="19"/>
      <c r="HD562" s="93"/>
      <c r="HE562" s="93"/>
      <c r="HF562" s="93"/>
      <c r="HG562" s="93"/>
      <c r="HH562" s="20"/>
      <c r="HI562" s="19"/>
      <c r="HJ562" s="93"/>
      <c r="HK562" s="93"/>
      <c r="HL562" s="93"/>
      <c r="HM562" s="93"/>
      <c r="HN562" s="20"/>
      <c r="HO562" s="219"/>
      <c r="HP562" s="20"/>
      <c r="HQ562" s="25"/>
      <c r="HR562" s="29"/>
      <c r="HS562" s="1504">
        <v>51561</v>
      </c>
      <c r="HT562" s="19"/>
      <c r="HU562" s="93"/>
      <c r="HV562" s="93"/>
      <c r="HW562" s="93"/>
      <c r="HX562" s="93"/>
      <c r="HY562" s="93"/>
      <c r="HZ562" s="93"/>
      <c r="IA562" s="20"/>
      <c r="IB562" s="19"/>
      <c r="IC562" s="93"/>
      <c r="ID562" s="93"/>
      <c r="IE562" s="93"/>
      <c r="IF562" s="93"/>
      <c r="IG562" s="20"/>
      <c r="IH562" s="19"/>
      <c r="II562" s="93"/>
      <c r="IJ562" s="93"/>
      <c r="IK562" s="93"/>
      <c r="IL562" s="93"/>
      <c r="IM562" s="93"/>
      <c r="IN562" s="93"/>
      <c r="IO562" s="20"/>
      <c r="IP562" s="29"/>
      <c r="IQ562" s="19"/>
      <c r="IR562" s="93"/>
      <c r="IS562" s="93"/>
      <c r="IT562" s="93"/>
      <c r="IU562" s="93"/>
      <c r="IV562" s="20"/>
      <c r="IW562" s="29"/>
      <c r="IX562" s="19"/>
      <c r="IY562" s="93"/>
      <c r="IZ562" s="93"/>
      <c r="JA562" s="93"/>
      <c r="JB562" s="93"/>
      <c r="JC562" s="93"/>
      <c r="JD562" s="93"/>
      <c r="JE562" s="20"/>
      <c r="JF562" s="29"/>
      <c r="JG562" s="19"/>
      <c r="JH562" s="93"/>
      <c r="JI562" s="93"/>
      <c r="JJ562" s="93"/>
      <c r="JK562" s="93"/>
      <c r="JL562" s="93"/>
      <c r="JM562" s="93"/>
      <c r="JN562" s="20"/>
      <c r="JO562" s="29"/>
      <c r="JP562" s="19"/>
      <c r="JQ562" s="93"/>
      <c r="JR562" s="93"/>
      <c r="JS562" s="93"/>
      <c r="JT562" s="93"/>
      <c r="JU562" s="20"/>
      <c r="JV562" s="29"/>
      <c r="JW562" s="1504">
        <v>51561</v>
      </c>
      <c r="JX562" s="19"/>
      <c r="JY562" s="93"/>
      <c r="JZ562" s="93"/>
      <c r="KA562" s="93"/>
      <c r="KB562" s="93"/>
      <c r="KC562" s="93"/>
      <c r="KD562" s="20"/>
      <c r="KE562" s="29"/>
      <c r="KF562" s="19"/>
      <c r="KG562" s="93"/>
      <c r="KH562" s="93"/>
      <c r="KI562" s="93"/>
      <c r="KJ562" s="93"/>
      <c r="KK562" s="20"/>
      <c r="KL562" s="29"/>
      <c r="KM562" s="19"/>
      <c r="KN562" s="93"/>
      <c r="KO562" s="93"/>
      <c r="KP562" s="93"/>
      <c r="KQ562" s="93"/>
      <c r="KR562" s="20"/>
      <c r="KS562" s="29"/>
      <c r="KT562" s="19"/>
      <c r="KU562" s="93"/>
      <c r="KV562" s="93"/>
      <c r="KW562" s="93"/>
      <c r="KX562" s="93"/>
      <c r="KY562" s="20"/>
      <c r="KZ562" s="29"/>
      <c r="LA562" s="1504">
        <v>51561</v>
      </c>
      <c r="LB562" s="19"/>
      <c r="LC562" s="93"/>
      <c r="LD562" s="93"/>
      <c r="LE562" s="93"/>
      <c r="LF562" s="93"/>
      <c r="LG562" s="93"/>
      <c r="LH562" s="20"/>
      <c r="LI562" s="29"/>
      <c r="LJ562" s="19"/>
      <c r="LK562" s="93"/>
      <c r="LL562" s="93"/>
      <c r="LM562" s="93"/>
      <c r="LN562" s="93"/>
      <c r="LO562" s="20"/>
      <c r="LP562" s="29"/>
      <c r="LQ562" s="19"/>
      <c r="LR562" s="93"/>
      <c r="LS562" s="93"/>
      <c r="LT562" s="93"/>
      <c r="LU562" s="93"/>
      <c r="LV562" s="93"/>
      <c r="LW562" s="93"/>
      <c r="LX562" s="93"/>
      <c r="LY562" s="93"/>
      <c r="LZ562" s="93"/>
      <c r="MA562" s="20"/>
      <c r="MB562" s="29"/>
      <c r="MC562" s="1504">
        <v>51561</v>
      </c>
      <c r="MD562" s="19"/>
      <c r="ME562" s="93"/>
      <c r="MF562" s="93"/>
      <c r="MG562" s="93"/>
      <c r="MH562" s="93"/>
      <c r="MI562" s="93"/>
      <c r="MJ562" s="93"/>
      <c r="MK562" s="93"/>
      <c r="ML562" s="93"/>
      <c r="MM562" s="93"/>
      <c r="MN562" s="93"/>
      <c r="MO562" s="93"/>
      <c r="MP562" s="93"/>
      <c r="MQ562" s="93"/>
      <c r="MR562" s="93"/>
      <c r="MS562" s="93"/>
      <c r="MT562" s="93"/>
      <c r="MU562" s="93"/>
      <c r="MV562" s="93"/>
      <c r="MW562" s="93"/>
      <c r="MX562" s="93"/>
      <c r="MY562" s="93"/>
      <c r="MZ562" s="93"/>
      <c r="NA562" s="93"/>
      <c r="NB562" s="93"/>
      <c r="NC562" s="93"/>
      <c r="ND562" s="93"/>
      <c r="NE562" s="93"/>
      <c r="NF562" s="93"/>
      <c r="NG562" s="93"/>
      <c r="NH562" s="93"/>
      <c r="NI562" s="93"/>
      <c r="NJ562" s="93"/>
      <c r="NK562" s="93"/>
      <c r="NL562" s="93"/>
      <c r="NM562" s="93"/>
      <c r="NN562" s="93"/>
      <c r="NO562" s="93"/>
      <c r="NP562" s="93"/>
      <c r="NQ562" s="93"/>
      <c r="NR562" s="93"/>
      <c r="NS562" s="93"/>
      <c r="NT562" s="93"/>
      <c r="NU562" s="93"/>
      <c r="NV562" s="93"/>
      <c r="NW562" s="93"/>
      <c r="NX562" s="93"/>
      <c r="NY562" s="93"/>
      <c r="NZ562" s="93"/>
      <c r="OA562" s="93"/>
      <c r="OB562" s="93"/>
      <c r="OC562" s="93"/>
      <c r="OD562" s="20"/>
      <c r="OE562" s="29"/>
      <c r="OF562" s="1504">
        <v>51561</v>
      </c>
      <c r="OG562" s="19"/>
      <c r="OH562" s="93"/>
      <c r="OI562" s="93"/>
      <c r="OJ562" s="93"/>
      <c r="OK562" s="93"/>
      <c r="OL562" s="93"/>
      <c r="OM562" s="93"/>
      <c r="ON562" s="93"/>
      <c r="OO562" s="93"/>
      <c r="OP562" s="93"/>
      <c r="OQ562" s="93"/>
      <c r="OR562" s="93"/>
      <c r="OS562" s="93"/>
      <c r="OT562" s="93"/>
      <c r="OU562" s="93"/>
      <c r="OV562" s="93"/>
      <c r="OW562" s="93"/>
      <c r="OX562" s="93"/>
      <c r="OY562" s="93"/>
      <c r="OZ562" s="93"/>
      <c r="PA562" s="93"/>
      <c r="PB562" s="93"/>
      <c r="PC562" s="20"/>
      <c r="PD562" s="29"/>
      <c r="PE562" s="19"/>
      <c r="PF562" s="93"/>
      <c r="PG562" s="93"/>
      <c r="PH562" s="93"/>
      <c r="PI562" s="93"/>
      <c r="PJ562" s="93"/>
      <c r="PK562" s="93"/>
      <c r="PL562" s="93"/>
      <c r="PM562" s="93"/>
      <c r="PN562" s="93"/>
      <c r="PO562" s="93"/>
      <c r="PP562" s="93"/>
      <c r="PQ562" s="93"/>
      <c r="PR562" s="93"/>
      <c r="PS562" s="93"/>
      <c r="PT562" s="93"/>
      <c r="PU562" s="93"/>
      <c r="PV562" s="93"/>
      <c r="PW562" s="93"/>
      <c r="PX562" s="93"/>
      <c r="PY562" s="93"/>
      <c r="PZ562" s="93"/>
      <c r="QA562" s="93"/>
      <c r="QB562" s="93"/>
      <c r="QC562" s="93"/>
      <c r="QD562" s="93"/>
      <c r="QE562" s="20"/>
      <c r="QF562" s="1739"/>
      <c r="QG562" s="19"/>
      <c r="QH562" s="93"/>
      <c r="QI562" s="93"/>
      <c r="QJ562" s="93"/>
      <c r="QK562" s="93"/>
      <c r="QL562" s="93"/>
      <c r="QM562" s="93"/>
      <c r="QN562" s="93"/>
      <c r="QO562" s="93"/>
      <c r="QP562" s="93"/>
      <c r="QQ562" s="93"/>
      <c r="QR562" s="93"/>
      <c r="QS562" s="93"/>
      <c r="QT562" s="93"/>
      <c r="QU562" s="93"/>
      <c r="QV562" s="93"/>
      <c r="QW562" s="93"/>
      <c r="QX562" s="93"/>
      <c r="QY562" s="93"/>
      <c r="QZ562" s="93"/>
      <c r="RA562" s="93"/>
      <c r="RB562" s="93"/>
      <c r="RC562" s="93"/>
      <c r="RD562" s="93"/>
      <c r="RE562" s="93"/>
      <c r="RF562" s="93"/>
      <c r="RG562" s="93"/>
      <c r="RH562" s="93"/>
      <c r="RI562" s="93"/>
      <c r="RJ562" s="93"/>
      <c r="RK562" s="93"/>
      <c r="RL562" s="93"/>
      <c r="RM562" s="20"/>
      <c r="RN562" s="29"/>
      <c r="RO562" s="19"/>
      <c r="RP562" s="20"/>
      <c r="RQ562" s="29"/>
      <c r="RR562" s="20"/>
      <c r="RS562" s="29"/>
      <c r="RT562" s="1504">
        <v>51561</v>
      </c>
      <c r="RU562" s="19"/>
      <c r="RV562" s="20"/>
      <c r="RW562" s="29"/>
      <c r="RX562" s="1504">
        <v>51561</v>
      </c>
      <c r="RY562" s="29"/>
      <c r="RZ562" s="20"/>
      <c r="SA562" s="29"/>
      <c r="SB562" s="29"/>
    </row>
    <row r="563" spans="1:496">
      <c r="A563" s="41">
        <f t="shared" si="362"/>
        <v>2041</v>
      </c>
      <c r="B563" s="1504">
        <v>51592</v>
      </c>
      <c r="C563" s="1813"/>
      <c r="D563" s="1814"/>
      <c r="E563" s="1814"/>
      <c r="F563" s="1815"/>
      <c r="G563" s="1814"/>
      <c r="H563" s="1814"/>
      <c r="I563" s="1814"/>
      <c r="J563" s="1816"/>
      <c r="K563" s="1807"/>
      <c r="L563" s="25"/>
      <c r="M563" s="97"/>
      <c r="N563" s="1504">
        <v>51592</v>
      </c>
      <c r="O563" s="19"/>
      <c r="P563" s="93"/>
      <c r="Q563" s="93"/>
      <c r="R563" s="93"/>
      <c r="S563" s="93"/>
      <c r="T563" s="93"/>
      <c r="U563" s="93"/>
      <c r="V563" s="93"/>
      <c r="W563" s="93"/>
      <c r="X563" s="93"/>
      <c r="Y563" s="93"/>
      <c r="Z563" s="93"/>
      <c r="AA563" s="93"/>
      <c r="AB563" s="20"/>
      <c r="AC563" s="25"/>
      <c r="AD563" s="97"/>
      <c r="AE563" s="1504">
        <v>51592</v>
      </c>
      <c r="AF563" s="19"/>
      <c r="AG563" s="93"/>
      <c r="AH563" s="93"/>
      <c r="AI563" s="93"/>
      <c r="AJ563" s="93"/>
      <c r="AK563" s="93"/>
      <c r="AL563" s="93"/>
      <c r="AM563" s="93"/>
      <c r="AN563" s="93"/>
      <c r="AO563" s="93"/>
      <c r="AP563" s="93"/>
      <c r="AQ563" s="93"/>
      <c r="AR563" s="93"/>
      <c r="AS563" s="20"/>
      <c r="AT563" s="25"/>
      <c r="AU563" s="97"/>
      <c r="AV563" s="1504">
        <v>51592</v>
      </c>
      <c r="AW563" s="19"/>
      <c r="AX563" s="93"/>
      <c r="AY563" s="93"/>
      <c r="AZ563" s="93"/>
      <c r="BA563" s="93"/>
      <c r="BB563" s="93"/>
      <c r="BC563" s="93"/>
      <c r="BD563" s="93"/>
      <c r="BE563" s="93"/>
      <c r="BF563" s="93"/>
      <c r="BG563" s="93"/>
      <c r="BH563" s="93"/>
      <c r="BI563" s="93"/>
      <c r="BJ563" s="20"/>
      <c r="BK563" s="25"/>
      <c r="BL563" s="97"/>
      <c r="BM563" s="1504">
        <v>51592</v>
      </c>
      <c r="BN563" s="19"/>
      <c r="BO563" s="93"/>
      <c r="BP563" s="93"/>
      <c r="BQ563" s="93"/>
      <c r="BR563" s="93"/>
      <c r="BS563" s="93"/>
      <c r="BT563" s="93"/>
      <c r="BU563" s="20"/>
      <c r="BV563" s="25"/>
      <c r="BW563" s="97"/>
      <c r="BX563" s="1504">
        <v>51592</v>
      </c>
      <c r="BY563" s="19"/>
      <c r="BZ563" s="93"/>
      <c r="CA563" s="93"/>
      <c r="CB563" s="93"/>
      <c r="CC563" s="93"/>
      <c r="CD563" s="25"/>
      <c r="CE563" s="97"/>
      <c r="CF563" s="1504">
        <v>51592</v>
      </c>
      <c r="CG563" s="19"/>
      <c r="CH563" s="93"/>
      <c r="CI563" s="219"/>
      <c r="CJ563" s="20"/>
      <c r="CK563" s="19"/>
      <c r="CL563" s="93"/>
      <c r="CM563" s="93"/>
      <c r="CN563" s="93"/>
      <c r="CO563" s="93"/>
      <c r="CP563" s="20"/>
      <c r="CQ563" s="219"/>
      <c r="CR563" s="93"/>
      <c r="CS563" s="93"/>
      <c r="CT563" s="93"/>
      <c r="CU563" s="93"/>
      <c r="CV563" s="214"/>
      <c r="CW563" s="29"/>
      <c r="CX563" s="41">
        <f t="shared" si="361"/>
        <v>2041</v>
      </c>
      <c r="CY563" s="1504">
        <v>51592</v>
      </c>
      <c r="CZ563" s="19"/>
      <c r="DA563" s="93"/>
      <c r="DB563" s="93"/>
      <c r="DC563" s="93"/>
      <c r="DD563" s="93"/>
      <c r="DE563" s="20"/>
      <c r="DF563" s="29"/>
      <c r="DG563" s="1504">
        <v>51592</v>
      </c>
      <c r="DH563" s="19"/>
      <c r="DI563" s="93"/>
      <c r="DJ563" s="93"/>
      <c r="DK563" s="93"/>
      <c r="DL563" s="93"/>
      <c r="DM563" s="93"/>
      <c r="DN563" s="20"/>
      <c r="DO563" s="295"/>
      <c r="DP563" s="29"/>
      <c r="DQ563" s="1504">
        <v>51592</v>
      </c>
      <c r="DR563" s="19"/>
      <c r="DS563" s="93"/>
      <c r="DT563" s="93"/>
      <c r="DU563" s="93"/>
      <c r="DV563" s="93"/>
      <c r="DW563" s="93"/>
      <c r="DX563" s="20"/>
      <c r="DY563" s="29"/>
      <c r="DZ563" s="1504">
        <v>51592</v>
      </c>
      <c r="EA563" s="19"/>
      <c r="EB563" s="93"/>
      <c r="EC563" s="20"/>
      <c r="ED563" s="29"/>
      <c r="EE563" s="1504">
        <v>51592</v>
      </c>
      <c r="EF563" s="19"/>
      <c r="EG563" s="93"/>
      <c r="EH563" s="93"/>
      <c r="EI563" s="214"/>
      <c r="EJ563" s="93"/>
      <c r="EK563" s="93"/>
      <c r="EL563" s="93"/>
      <c r="EM563" s="93"/>
      <c r="EN563" s="20"/>
      <c r="EO563" s="29"/>
      <c r="EP563" s="1504">
        <v>51592</v>
      </c>
      <c r="EQ563" s="19"/>
      <c r="ER563" s="93"/>
      <c r="ES563" s="93"/>
      <c r="ET563" s="214"/>
      <c r="EU563" s="93"/>
      <c r="EV563" s="93"/>
      <c r="EW563" s="93"/>
      <c r="EX563" s="93"/>
      <c r="EY563" s="20"/>
      <c r="EZ563" s="29"/>
      <c r="FA563" s="1504">
        <v>51592</v>
      </c>
      <c r="FB563" s="29"/>
      <c r="FC563" s="29"/>
      <c r="FD563" s="29"/>
      <c r="FE563" s="29"/>
      <c r="FF563" s="29"/>
      <c r="FG563" s="29"/>
      <c r="FH563" s="29"/>
      <c r="FI563" s="29"/>
      <c r="FJ563" s="29"/>
      <c r="FK563" s="29"/>
      <c r="FL563" s="1504">
        <v>51592</v>
      </c>
      <c r="FM563" s="19"/>
      <c r="FN563" s="93"/>
      <c r="FO563" s="93"/>
      <c r="FP563" s="93"/>
      <c r="FQ563" s="93"/>
      <c r="FR563" s="93"/>
      <c r="FS563" s="93"/>
      <c r="FT563" s="93"/>
      <c r="FU563" s="93"/>
      <c r="FV563" s="93"/>
      <c r="FW563" s="93"/>
      <c r="FX563" s="93"/>
      <c r="FY563" s="93"/>
      <c r="FZ563" s="29"/>
      <c r="GA563" s="1504">
        <v>51592</v>
      </c>
      <c r="GB563" s="19"/>
      <c r="GC563" s="93"/>
      <c r="GD563" s="93"/>
      <c r="GE563" s="93"/>
      <c r="GF563" s="93"/>
      <c r="GG563" s="93"/>
      <c r="GH563" s="93"/>
      <c r="GI563" s="93"/>
      <c r="GJ563" s="93"/>
      <c r="GK563" s="93"/>
      <c r="GL563" s="93"/>
      <c r="GM563" s="93"/>
      <c r="GN563" s="20"/>
      <c r="GO563" s="29"/>
      <c r="GP563" s="1504">
        <v>51592</v>
      </c>
      <c r="GQ563" s="19"/>
      <c r="GR563" s="93"/>
      <c r="GS563" s="93"/>
      <c r="GT563" s="93"/>
      <c r="GU563" s="93"/>
      <c r="GV563" s="20"/>
      <c r="GW563" s="19"/>
      <c r="GX563" s="93"/>
      <c r="GY563" s="93"/>
      <c r="GZ563" s="93"/>
      <c r="HA563" s="93"/>
      <c r="HB563" s="20"/>
      <c r="HC563" s="19"/>
      <c r="HD563" s="93"/>
      <c r="HE563" s="93"/>
      <c r="HF563" s="93"/>
      <c r="HG563" s="93"/>
      <c r="HH563" s="20"/>
      <c r="HI563" s="19"/>
      <c r="HJ563" s="93"/>
      <c r="HK563" s="93"/>
      <c r="HL563" s="93"/>
      <c r="HM563" s="93"/>
      <c r="HN563" s="20"/>
      <c r="HO563" s="219"/>
      <c r="HP563" s="20"/>
      <c r="HQ563" s="25"/>
      <c r="HR563" s="29"/>
      <c r="HS563" s="1504">
        <v>51592</v>
      </c>
      <c r="HT563" s="19"/>
      <c r="HU563" s="93"/>
      <c r="HV563" s="93"/>
      <c r="HW563" s="93"/>
      <c r="HX563" s="93"/>
      <c r="HY563" s="93"/>
      <c r="HZ563" s="93"/>
      <c r="IA563" s="20"/>
      <c r="IB563" s="19"/>
      <c r="IC563" s="93"/>
      <c r="ID563" s="93"/>
      <c r="IE563" s="93"/>
      <c r="IF563" s="93"/>
      <c r="IG563" s="20"/>
      <c r="IH563" s="19"/>
      <c r="II563" s="93"/>
      <c r="IJ563" s="93"/>
      <c r="IK563" s="93"/>
      <c r="IL563" s="93"/>
      <c r="IM563" s="93"/>
      <c r="IN563" s="93"/>
      <c r="IO563" s="20"/>
      <c r="IP563" s="29"/>
      <c r="IQ563" s="19"/>
      <c r="IR563" s="93"/>
      <c r="IS563" s="93"/>
      <c r="IT563" s="93"/>
      <c r="IU563" s="93"/>
      <c r="IV563" s="20"/>
      <c r="IW563" s="29"/>
      <c r="IX563" s="19"/>
      <c r="IY563" s="93"/>
      <c r="IZ563" s="93"/>
      <c r="JA563" s="93"/>
      <c r="JB563" s="93"/>
      <c r="JC563" s="93"/>
      <c r="JD563" s="93"/>
      <c r="JE563" s="20"/>
      <c r="JF563" s="29"/>
      <c r="JG563" s="19"/>
      <c r="JH563" s="93"/>
      <c r="JI563" s="93"/>
      <c r="JJ563" s="93"/>
      <c r="JK563" s="93"/>
      <c r="JL563" s="93"/>
      <c r="JM563" s="93"/>
      <c r="JN563" s="20"/>
      <c r="JO563" s="29"/>
      <c r="JP563" s="19"/>
      <c r="JQ563" s="93"/>
      <c r="JR563" s="93"/>
      <c r="JS563" s="93"/>
      <c r="JT563" s="93"/>
      <c r="JU563" s="20"/>
      <c r="JV563" s="29"/>
      <c r="JW563" s="1504">
        <v>51592</v>
      </c>
      <c r="JX563" s="19"/>
      <c r="JY563" s="93"/>
      <c r="JZ563" s="93"/>
      <c r="KA563" s="93"/>
      <c r="KB563" s="93"/>
      <c r="KC563" s="93"/>
      <c r="KD563" s="20"/>
      <c r="KE563" s="29"/>
      <c r="KF563" s="19"/>
      <c r="KG563" s="93"/>
      <c r="KH563" s="93"/>
      <c r="KI563" s="93"/>
      <c r="KJ563" s="93"/>
      <c r="KK563" s="20"/>
      <c r="KL563" s="29"/>
      <c r="KM563" s="19"/>
      <c r="KN563" s="93"/>
      <c r="KO563" s="93"/>
      <c r="KP563" s="93"/>
      <c r="KQ563" s="93"/>
      <c r="KR563" s="20"/>
      <c r="KS563" s="29"/>
      <c r="KT563" s="19"/>
      <c r="KU563" s="93"/>
      <c r="KV563" s="93"/>
      <c r="KW563" s="93"/>
      <c r="KX563" s="93"/>
      <c r="KY563" s="20"/>
      <c r="KZ563" s="29"/>
      <c r="LA563" s="1504">
        <v>51592</v>
      </c>
      <c r="LB563" s="19"/>
      <c r="LC563" s="93"/>
      <c r="LD563" s="93"/>
      <c r="LE563" s="93"/>
      <c r="LF563" s="93"/>
      <c r="LG563" s="93"/>
      <c r="LH563" s="20"/>
      <c r="LI563" s="29"/>
      <c r="LJ563" s="19"/>
      <c r="LK563" s="93"/>
      <c r="LL563" s="93"/>
      <c r="LM563" s="93"/>
      <c r="LN563" s="93"/>
      <c r="LO563" s="20"/>
      <c r="LP563" s="29"/>
      <c r="LQ563" s="19"/>
      <c r="LR563" s="93"/>
      <c r="LS563" s="93"/>
      <c r="LT563" s="93"/>
      <c r="LU563" s="93"/>
      <c r="LV563" s="93"/>
      <c r="LW563" s="93"/>
      <c r="LX563" s="93"/>
      <c r="LY563" s="93"/>
      <c r="LZ563" s="93"/>
      <c r="MA563" s="20"/>
      <c r="MB563" s="29"/>
      <c r="MC563" s="1504">
        <v>51592</v>
      </c>
      <c r="MD563" s="19"/>
      <c r="ME563" s="93"/>
      <c r="MF563" s="93"/>
      <c r="MG563" s="93"/>
      <c r="MH563" s="93"/>
      <c r="MI563" s="93"/>
      <c r="MJ563" s="93"/>
      <c r="MK563" s="93"/>
      <c r="ML563" s="93"/>
      <c r="MM563" s="93"/>
      <c r="MN563" s="93"/>
      <c r="MO563" s="93"/>
      <c r="MP563" s="93"/>
      <c r="MQ563" s="93"/>
      <c r="MR563" s="93"/>
      <c r="MS563" s="93"/>
      <c r="MT563" s="93"/>
      <c r="MU563" s="93"/>
      <c r="MV563" s="93"/>
      <c r="MW563" s="93"/>
      <c r="MX563" s="93"/>
      <c r="MY563" s="93"/>
      <c r="MZ563" s="93"/>
      <c r="NA563" s="93"/>
      <c r="NB563" s="93"/>
      <c r="NC563" s="93"/>
      <c r="ND563" s="93"/>
      <c r="NE563" s="93"/>
      <c r="NF563" s="93"/>
      <c r="NG563" s="93"/>
      <c r="NH563" s="93"/>
      <c r="NI563" s="93"/>
      <c r="NJ563" s="93"/>
      <c r="NK563" s="93"/>
      <c r="NL563" s="93"/>
      <c r="NM563" s="93"/>
      <c r="NN563" s="93"/>
      <c r="NO563" s="93"/>
      <c r="NP563" s="93"/>
      <c r="NQ563" s="93"/>
      <c r="NR563" s="93"/>
      <c r="NS563" s="93"/>
      <c r="NT563" s="93"/>
      <c r="NU563" s="93"/>
      <c r="NV563" s="93"/>
      <c r="NW563" s="93"/>
      <c r="NX563" s="93"/>
      <c r="NY563" s="93"/>
      <c r="NZ563" s="93"/>
      <c r="OA563" s="93"/>
      <c r="OB563" s="93"/>
      <c r="OC563" s="93"/>
      <c r="OD563" s="20"/>
      <c r="OE563" s="29"/>
      <c r="OF563" s="1504">
        <v>51592</v>
      </c>
      <c r="OG563" s="19"/>
      <c r="OH563" s="93"/>
      <c r="OI563" s="93"/>
      <c r="OJ563" s="93"/>
      <c r="OK563" s="93"/>
      <c r="OL563" s="93"/>
      <c r="OM563" s="93"/>
      <c r="ON563" s="93"/>
      <c r="OO563" s="93"/>
      <c r="OP563" s="93"/>
      <c r="OQ563" s="93"/>
      <c r="OR563" s="93"/>
      <c r="OS563" s="93"/>
      <c r="OT563" s="93"/>
      <c r="OU563" s="93"/>
      <c r="OV563" s="93"/>
      <c r="OW563" s="93"/>
      <c r="OX563" s="93"/>
      <c r="OY563" s="93"/>
      <c r="OZ563" s="93"/>
      <c r="PA563" s="93"/>
      <c r="PB563" s="93"/>
      <c r="PC563" s="20"/>
      <c r="PD563" s="29"/>
      <c r="PE563" s="19"/>
      <c r="PF563" s="93"/>
      <c r="PG563" s="93"/>
      <c r="PH563" s="93"/>
      <c r="PI563" s="93"/>
      <c r="PJ563" s="93"/>
      <c r="PK563" s="93"/>
      <c r="PL563" s="93"/>
      <c r="PM563" s="93"/>
      <c r="PN563" s="93"/>
      <c r="PO563" s="93"/>
      <c r="PP563" s="93"/>
      <c r="PQ563" s="93"/>
      <c r="PR563" s="93"/>
      <c r="PS563" s="93"/>
      <c r="PT563" s="93"/>
      <c r="PU563" s="93"/>
      <c r="PV563" s="93"/>
      <c r="PW563" s="93"/>
      <c r="PX563" s="93"/>
      <c r="PY563" s="93"/>
      <c r="PZ563" s="93"/>
      <c r="QA563" s="93"/>
      <c r="QB563" s="93"/>
      <c r="QC563" s="93"/>
      <c r="QD563" s="93"/>
      <c r="QE563" s="20"/>
      <c r="QF563" s="1739"/>
      <c r="QG563" s="19"/>
      <c r="QH563" s="93"/>
      <c r="QI563" s="93"/>
      <c r="QJ563" s="93"/>
      <c r="QK563" s="93"/>
      <c r="QL563" s="93"/>
      <c r="QM563" s="93"/>
      <c r="QN563" s="93"/>
      <c r="QO563" s="93"/>
      <c r="QP563" s="93"/>
      <c r="QQ563" s="93"/>
      <c r="QR563" s="93"/>
      <c r="QS563" s="93"/>
      <c r="QT563" s="93"/>
      <c r="QU563" s="93"/>
      <c r="QV563" s="93"/>
      <c r="QW563" s="93"/>
      <c r="QX563" s="93"/>
      <c r="QY563" s="93"/>
      <c r="QZ563" s="93"/>
      <c r="RA563" s="93"/>
      <c r="RB563" s="93"/>
      <c r="RC563" s="93"/>
      <c r="RD563" s="93"/>
      <c r="RE563" s="93"/>
      <c r="RF563" s="93"/>
      <c r="RG563" s="93"/>
      <c r="RH563" s="93"/>
      <c r="RI563" s="93"/>
      <c r="RJ563" s="93"/>
      <c r="RK563" s="93"/>
      <c r="RL563" s="93"/>
      <c r="RM563" s="20"/>
      <c r="RN563" s="29"/>
      <c r="RO563" s="19"/>
      <c r="RP563" s="20"/>
      <c r="RQ563" s="29"/>
      <c r="RR563" s="20"/>
      <c r="RS563" s="29"/>
      <c r="RT563" s="1504">
        <v>51592</v>
      </c>
      <c r="RU563" s="19"/>
      <c r="RV563" s="20"/>
      <c r="RW563" s="29"/>
      <c r="RX563" s="1504">
        <v>51592</v>
      </c>
      <c r="RY563" s="29"/>
      <c r="RZ563" s="20"/>
      <c r="SA563" s="29"/>
      <c r="SB563" s="29"/>
    </row>
    <row r="564" spans="1:496">
      <c r="A564" s="41">
        <f t="shared" si="362"/>
        <v>2041</v>
      </c>
      <c r="B564" s="1504">
        <v>51622</v>
      </c>
      <c r="C564" s="1813"/>
      <c r="D564" s="1814"/>
      <c r="E564" s="1814"/>
      <c r="F564" s="1815"/>
      <c r="G564" s="1814"/>
      <c r="H564" s="1814"/>
      <c r="I564" s="1814"/>
      <c r="J564" s="1816"/>
      <c r="K564" s="1807"/>
      <c r="L564" s="25"/>
      <c r="M564" s="97"/>
      <c r="N564" s="1504">
        <v>51622</v>
      </c>
      <c r="O564" s="19"/>
      <c r="P564" s="93"/>
      <c r="Q564" s="93"/>
      <c r="R564" s="93"/>
      <c r="S564" s="93"/>
      <c r="T564" s="93"/>
      <c r="U564" s="93"/>
      <c r="V564" s="93"/>
      <c r="W564" s="93"/>
      <c r="X564" s="93"/>
      <c r="Y564" s="93"/>
      <c r="Z564" s="93"/>
      <c r="AA564" s="93"/>
      <c r="AB564" s="20"/>
      <c r="AC564" s="25"/>
      <c r="AD564" s="97"/>
      <c r="AE564" s="1504">
        <v>51622</v>
      </c>
      <c r="AF564" s="19"/>
      <c r="AG564" s="93"/>
      <c r="AH564" s="93"/>
      <c r="AI564" s="93"/>
      <c r="AJ564" s="93"/>
      <c r="AK564" s="93"/>
      <c r="AL564" s="93"/>
      <c r="AM564" s="93"/>
      <c r="AN564" s="93"/>
      <c r="AO564" s="93"/>
      <c r="AP564" s="93"/>
      <c r="AQ564" s="93"/>
      <c r="AR564" s="93"/>
      <c r="AS564" s="20"/>
      <c r="AT564" s="25"/>
      <c r="AU564" s="97"/>
      <c r="AV564" s="1504">
        <v>51622</v>
      </c>
      <c r="AW564" s="19"/>
      <c r="AX564" s="93"/>
      <c r="AY564" s="93"/>
      <c r="AZ564" s="93"/>
      <c r="BA564" s="93"/>
      <c r="BB564" s="93"/>
      <c r="BC564" s="93"/>
      <c r="BD564" s="93"/>
      <c r="BE564" s="93"/>
      <c r="BF564" s="93"/>
      <c r="BG564" s="93"/>
      <c r="BH564" s="93"/>
      <c r="BI564" s="93"/>
      <c r="BJ564" s="20"/>
      <c r="BK564" s="25"/>
      <c r="BL564" s="97"/>
      <c r="BM564" s="1504">
        <v>51622</v>
      </c>
      <c r="BN564" s="19"/>
      <c r="BO564" s="93"/>
      <c r="BP564" s="93"/>
      <c r="BQ564" s="93"/>
      <c r="BR564" s="93"/>
      <c r="BS564" s="93"/>
      <c r="BT564" s="93"/>
      <c r="BU564" s="20"/>
      <c r="BV564" s="25"/>
      <c r="BW564" s="97"/>
      <c r="BX564" s="1504">
        <v>51622</v>
      </c>
      <c r="BY564" s="19"/>
      <c r="BZ564" s="93"/>
      <c r="CA564" s="93"/>
      <c r="CB564" s="93"/>
      <c r="CC564" s="93"/>
      <c r="CD564" s="25"/>
      <c r="CE564" s="97"/>
      <c r="CF564" s="1504">
        <v>51622</v>
      </c>
      <c r="CG564" s="19"/>
      <c r="CH564" s="93"/>
      <c r="CI564" s="219"/>
      <c r="CJ564" s="20"/>
      <c r="CK564" s="19"/>
      <c r="CL564" s="93"/>
      <c r="CM564" s="93"/>
      <c r="CN564" s="93"/>
      <c r="CO564" s="93"/>
      <c r="CP564" s="20"/>
      <c r="CQ564" s="219"/>
      <c r="CR564" s="93"/>
      <c r="CS564" s="93"/>
      <c r="CT564" s="93"/>
      <c r="CU564" s="93"/>
      <c r="CV564" s="214"/>
      <c r="CW564" s="29"/>
      <c r="CX564" s="41">
        <f t="shared" si="361"/>
        <v>2041</v>
      </c>
      <c r="CY564" s="1504">
        <v>51622</v>
      </c>
      <c r="CZ564" s="19"/>
      <c r="DA564" s="93"/>
      <c r="DB564" s="93"/>
      <c r="DC564" s="93"/>
      <c r="DD564" s="93"/>
      <c r="DE564" s="20"/>
      <c r="DF564" s="29"/>
      <c r="DG564" s="1504">
        <v>51622</v>
      </c>
      <c r="DH564" s="19"/>
      <c r="DI564" s="93"/>
      <c r="DJ564" s="93"/>
      <c r="DK564" s="93"/>
      <c r="DL564" s="93"/>
      <c r="DM564" s="93"/>
      <c r="DN564" s="20"/>
      <c r="DO564" s="295"/>
      <c r="DP564" s="29"/>
      <c r="DQ564" s="1504">
        <v>51622</v>
      </c>
      <c r="DR564" s="19"/>
      <c r="DS564" s="93"/>
      <c r="DT564" s="93"/>
      <c r="DU564" s="93"/>
      <c r="DV564" s="93"/>
      <c r="DW564" s="93"/>
      <c r="DX564" s="20"/>
      <c r="DY564" s="29"/>
      <c r="DZ564" s="1504">
        <v>51622</v>
      </c>
      <c r="EA564" s="19"/>
      <c r="EB564" s="93"/>
      <c r="EC564" s="20"/>
      <c r="ED564" s="29"/>
      <c r="EE564" s="1504">
        <v>51622</v>
      </c>
      <c r="EF564" s="19"/>
      <c r="EG564" s="93"/>
      <c r="EH564" s="93"/>
      <c r="EI564" s="214"/>
      <c r="EJ564" s="93"/>
      <c r="EK564" s="93"/>
      <c r="EL564" s="93"/>
      <c r="EM564" s="93"/>
      <c r="EN564" s="20"/>
      <c r="EO564" s="29"/>
      <c r="EP564" s="1504">
        <v>51622</v>
      </c>
      <c r="EQ564" s="19"/>
      <c r="ER564" s="93"/>
      <c r="ES564" s="93"/>
      <c r="ET564" s="214"/>
      <c r="EU564" s="93"/>
      <c r="EV564" s="93"/>
      <c r="EW564" s="93"/>
      <c r="EX564" s="93"/>
      <c r="EY564" s="20"/>
      <c r="EZ564" s="29"/>
      <c r="FA564" s="1504">
        <v>51622</v>
      </c>
      <c r="FB564" s="29"/>
      <c r="FC564" s="29"/>
      <c r="FD564" s="29"/>
      <c r="FE564" s="29"/>
      <c r="FF564" s="29"/>
      <c r="FG564" s="29"/>
      <c r="FH564" s="29"/>
      <c r="FI564" s="29"/>
      <c r="FJ564" s="29"/>
      <c r="FK564" s="29"/>
      <c r="FL564" s="1504">
        <v>51622</v>
      </c>
      <c r="FM564" s="19"/>
      <c r="FN564" s="93"/>
      <c r="FO564" s="93"/>
      <c r="FP564" s="93"/>
      <c r="FQ564" s="93"/>
      <c r="FR564" s="93"/>
      <c r="FS564" s="93"/>
      <c r="FT564" s="93"/>
      <c r="FU564" s="93"/>
      <c r="FV564" s="93"/>
      <c r="FW564" s="93"/>
      <c r="FX564" s="93"/>
      <c r="FY564" s="93"/>
      <c r="FZ564" s="29"/>
      <c r="GA564" s="1504">
        <v>51622</v>
      </c>
      <c r="GB564" s="19"/>
      <c r="GC564" s="93"/>
      <c r="GD564" s="93"/>
      <c r="GE564" s="93"/>
      <c r="GF564" s="93"/>
      <c r="GG564" s="93"/>
      <c r="GH564" s="93"/>
      <c r="GI564" s="93"/>
      <c r="GJ564" s="93"/>
      <c r="GK564" s="93"/>
      <c r="GL564" s="93"/>
      <c r="GM564" s="93"/>
      <c r="GN564" s="20"/>
      <c r="GO564" s="29"/>
      <c r="GP564" s="1504">
        <v>51622</v>
      </c>
      <c r="GQ564" s="19"/>
      <c r="GR564" s="93"/>
      <c r="GS564" s="93"/>
      <c r="GT564" s="93"/>
      <c r="GU564" s="93"/>
      <c r="GV564" s="20"/>
      <c r="GW564" s="19"/>
      <c r="GX564" s="93"/>
      <c r="GY564" s="93"/>
      <c r="GZ564" s="93"/>
      <c r="HA564" s="93"/>
      <c r="HB564" s="20"/>
      <c r="HC564" s="19"/>
      <c r="HD564" s="93"/>
      <c r="HE564" s="93"/>
      <c r="HF564" s="93"/>
      <c r="HG564" s="93"/>
      <c r="HH564" s="20"/>
      <c r="HI564" s="19"/>
      <c r="HJ564" s="93"/>
      <c r="HK564" s="93"/>
      <c r="HL564" s="93"/>
      <c r="HM564" s="93"/>
      <c r="HN564" s="20"/>
      <c r="HO564" s="219"/>
      <c r="HP564" s="20"/>
      <c r="HQ564" s="25"/>
      <c r="HR564" s="29"/>
      <c r="HS564" s="1504">
        <v>51622</v>
      </c>
      <c r="HT564" s="19"/>
      <c r="HU564" s="93"/>
      <c r="HV564" s="93"/>
      <c r="HW564" s="93"/>
      <c r="HX564" s="93"/>
      <c r="HY564" s="93"/>
      <c r="HZ564" s="93"/>
      <c r="IA564" s="20"/>
      <c r="IB564" s="19"/>
      <c r="IC564" s="93"/>
      <c r="ID564" s="93"/>
      <c r="IE564" s="93"/>
      <c r="IF564" s="93"/>
      <c r="IG564" s="20"/>
      <c r="IH564" s="19"/>
      <c r="II564" s="93"/>
      <c r="IJ564" s="93"/>
      <c r="IK564" s="93"/>
      <c r="IL564" s="93"/>
      <c r="IM564" s="93"/>
      <c r="IN564" s="93"/>
      <c r="IO564" s="20"/>
      <c r="IP564" s="29"/>
      <c r="IQ564" s="19"/>
      <c r="IR564" s="93"/>
      <c r="IS564" s="93"/>
      <c r="IT564" s="93"/>
      <c r="IU564" s="93"/>
      <c r="IV564" s="20"/>
      <c r="IW564" s="29"/>
      <c r="IX564" s="19"/>
      <c r="IY564" s="93"/>
      <c r="IZ564" s="93"/>
      <c r="JA564" s="93"/>
      <c r="JB564" s="93"/>
      <c r="JC564" s="93"/>
      <c r="JD564" s="93"/>
      <c r="JE564" s="20"/>
      <c r="JF564" s="29"/>
      <c r="JG564" s="19"/>
      <c r="JH564" s="93"/>
      <c r="JI564" s="93"/>
      <c r="JJ564" s="93"/>
      <c r="JK564" s="93"/>
      <c r="JL564" s="93"/>
      <c r="JM564" s="93"/>
      <c r="JN564" s="20"/>
      <c r="JO564" s="29"/>
      <c r="JP564" s="19"/>
      <c r="JQ564" s="93"/>
      <c r="JR564" s="93"/>
      <c r="JS564" s="93"/>
      <c r="JT564" s="93"/>
      <c r="JU564" s="20"/>
      <c r="JV564" s="29"/>
      <c r="JW564" s="1504">
        <v>51622</v>
      </c>
      <c r="JX564" s="19"/>
      <c r="JY564" s="93"/>
      <c r="JZ564" s="93"/>
      <c r="KA564" s="93"/>
      <c r="KB564" s="93"/>
      <c r="KC564" s="93"/>
      <c r="KD564" s="20"/>
      <c r="KE564" s="29"/>
      <c r="KF564" s="19"/>
      <c r="KG564" s="93"/>
      <c r="KH564" s="93"/>
      <c r="KI564" s="93"/>
      <c r="KJ564" s="93"/>
      <c r="KK564" s="20"/>
      <c r="KL564" s="29"/>
      <c r="KM564" s="19"/>
      <c r="KN564" s="93"/>
      <c r="KO564" s="93"/>
      <c r="KP564" s="93"/>
      <c r="KQ564" s="93"/>
      <c r="KR564" s="20"/>
      <c r="KS564" s="29"/>
      <c r="KT564" s="19"/>
      <c r="KU564" s="93"/>
      <c r="KV564" s="93"/>
      <c r="KW564" s="93"/>
      <c r="KX564" s="93"/>
      <c r="KY564" s="20"/>
      <c r="KZ564" s="29"/>
      <c r="LA564" s="1504">
        <v>51622</v>
      </c>
      <c r="LB564" s="19"/>
      <c r="LC564" s="93"/>
      <c r="LD564" s="93"/>
      <c r="LE564" s="93"/>
      <c r="LF564" s="93"/>
      <c r="LG564" s="93"/>
      <c r="LH564" s="20"/>
      <c r="LI564" s="29"/>
      <c r="LJ564" s="19"/>
      <c r="LK564" s="93"/>
      <c r="LL564" s="93"/>
      <c r="LM564" s="93"/>
      <c r="LN564" s="93"/>
      <c r="LO564" s="20"/>
      <c r="LP564" s="29"/>
      <c r="LQ564" s="19"/>
      <c r="LR564" s="93"/>
      <c r="LS564" s="93"/>
      <c r="LT564" s="93"/>
      <c r="LU564" s="93"/>
      <c r="LV564" s="93"/>
      <c r="LW564" s="93"/>
      <c r="LX564" s="93"/>
      <c r="LY564" s="93"/>
      <c r="LZ564" s="93"/>
      <c r="MA564" s="20"/>
      <c r="MB564" s="29"/>
      <c r="MC564" s="1504">
        <v>51622</v>
      </c>
      <c r="MD564" s="19"/>
      <c r="ME564" s="93"/>
      <c r="MF564" s="93"/>
      <c r="MG564" s="93"/>
      <c r="MH564" s="93"/>
      <c r="MI564" s="93"/>
      <c r="MJ564" s="93"/>
      <c r="MK564" s="93"/>
      <c r="ML564" s="93"/>
      <c r="MM564" s="93"/>
      <c r="MN564" s="93"/>
      <c r="MO564" s="93"/>
      <c r="MP564" s="93"/>
      <c r="MQ564" s="93"/>
      <c r="MR564" s="93"/>
      <c r="MS564" s="93"/>
      <c r="MT564" s="93"/>
      <c r="MU564" s="93"/>
      <c r="MV564" s="93"/>
      <c r="MW564" s="93"/>
      <c r="MX564" s="93"/>
      <c r="MY564" s="93"/>
      <c r="MZ564" s="93"/>
      <c r="NA564" s="93"/>
      <c r="NB564" s="93"/>
      <c r="NC564" s="93"/>
      <c r="ND564" s="93"/>
      <c r="NE564" s="93"/>
      <c r="NF564" s="93"/>
      <c r="NG564" s="93"/>
      <c r="NH564" s="93"/>
      <c r="NI564" s="93"/>
      <c r="NJ564" s="93"/>
      <c r="NK564" s="93"/>
      <c r="NL564" s="93"/>
      <c r="NM564" s="93"/>
      <c r="NN564" s="93"/>
      <c r="NO564" s="93"/>
      <c r="NP564" s="93"/>
      <c r="NQ564" s="93"/>
      <c r="NR564" s="93"/>
      <c r="NS564" s="93"/>
      <c r="NT564" s="93"/>
      <c r="NU564" s="93"/>
      <c r="NV564" s="93"/>
      <c r="NW564" s="93"/>
      <c r="NX564" s="93"/>
      <c r="NY564" s="93"/>
      <c r="NZ564" s="93"/>
      <c r="OA564" s="93"/>
      <c r="OB564" s="93"/>
      <c r="OC564" s="93"/>
      <c r="OD564" s="20"/>
      <c r="OE564" s="29"/>
      <c r="OF564" s="1504">
        <v>51622</v>
      </c>
      <c r="OG564" s="19"/>
      <c r="OH564" s="93"/>
      <c r="OI564" s="93"/>
      <c r="OJ564" s="93"/>
      <c r="OK564" s="93"/>
      <c r="OL564" s="93"/>
      <c r="OM564" s="93"/>
      <c r="ON564" s="93"/>
      <c r="OO564" s="93"/>
      <c r="OP564" s="93"/>
      <c r="OQ564" s="93"/>
      <c r="OR564" s="93"/>
      <c r="OS564" s="93"/>
      <c r="OT564" s="93"/>
      <c r="OU564" s="93"/>
      <c r="OV564" s="93"/>
      <c r="OW564" s="93"/>
      <c r="OX564" s="93"/>
      <c r="OY564" s="93"/>
      <c r="OZ564" s="93"/>
      <c r="PA564" s="93"/>
      <c r="PB564" s="93"/>
      <c r="PC564" s="20"/>
      <c r="PD564" s="29"/>
      <c r="PE564" s="19"/>
      <c r="PF564" s="93"/>
      <c r="PG564" s="93"/>
      <c r="PH564" s="93"/>
      <c r="PI564" s="93"/>
      <c r="PJ564" s="93"/>
      <c r="PK564" s="93"/>
      <c r="PL564" s="93"/>
      <c r="PM564" s="93"/>
      <c r="PN564" s="93"/>
      <c r="PO564" s="93"/>
      <c r="PP564" s="93"/>
      <c r="PQ564" s="93"/>
      <c r="PR564" s="93"/>
      <c r="PS564" s="93"/>
      <c r="PT564" s="93"/>
      <c r="PU564" s="93"/>
      <c r="PV564" s="93"/>
      <c r="PW564" s="93"/>
      <c r="PX564" s="93"/>
      <c r="PY564" s="93"/>
      <c r="PZ564" s="93"/>
      <c r="QA564" s="93"/>
      <c r="QB564" s="93"/>
      <c r="QC564" s="93"/>
      <c r="QD564" s="93"/>
      <c r="QE564" s="20"/>
      <c r="QF564" s="1739"/>
      <c r="QG564" s="19"/>
      <c r="QH564" s="93"/>
      <c r="QI564" s="93"/>
      <c r="QJ564" s="93"/>
      <c r="QK564" s="93"/>
      <c r="QL564" s="93"/>
      <c r="QM564" s="93"/>
      <c r="QN564" s="93"/>
      <c r="QO564" s="93"/>
      <c r="QP564" s="93"/>
      <c r="QQ564" s="93"/>
      <c r="QR564" s="93"/>
      <c r="QS564" s="93"/>
      <c r="QT564" s="93"/>
      <c r="QU564" s="93"/>
      <c r="QV564" s="93"/>
      <c r="QW564" s="93"/>
      <c r="QX564" s="93"/>
      <c r="QY564" s="93"/>
      <c r="QZ564" s="93"/>
      <c r="RA564" s="93"/>
      <c r="RB564" s="93"/>
      <c r="RC564" s="93"/>
      <c r="RD564" s="93"/>
      <c r="RE564" s="93"/>
      <c r="RF564" s="93"/>
      <c r="RG564" s="93"/>
      <c r="RH564" s="93"/>
      <c r="RI564" s="93"/>
      <c r="RJ564" s="93"/>
      <c r="RK564" s="93"/>
      <c r="RL564" s="93"/>
      <c r="RM564" s="20"/>
      <c r="RN564" s="29"/>
      <c r="RO564" s="19"/>
      <c r="RP564" s="20"/>
      <c r="RQ564" s="29"/>
      <c r="RR564" s="20"/>
      <c r="RS564" s="29"/>
      <c r="RT564" s="1504">
        <v>51622</v>
      </c>
      <c r="RU564" s="19"/>
      <c r="RV564" s="20"/>
      <c r="RW564" s="29"/>
      <c r="RX564" s="1504">
        <v>51622</v>
      </c>
      <c r="RY564" s="29"/>
      <c r="RZ564" s="20"/>
      <c r="SA564" s="29"/>
      <c r="SB564" s="29"/>
    </row>
    <row r="565" spans="1:496">
      <c r="A565" s="41">
        <f t="shared" si="362"/>
        <v>2041</v>
      </c>
      <c r="B565" s="1504">
        <v>51653</v>
      </c>
      <c r="C565" s="1813"/>
      <c r="D565" s="1814"/>
      <c r="E565" s="1814"/>
      <c r="F565" s="1815"/>
      <c r="G565" s="1814"/>
      <c r="H565" s="1814"/>
      <c r="I565" s="1814"/>
      <c r="J565" s="1816"/>
      <c r="K565" s="1807"/>
      <c r="L565" s="25"/>
      <c r="M565" s="97"/>
      <c r="N565" s="1504">
        <v>51653</v>
      </c>
      <c r="O565" s="19"/>
      <c r="P565" s="93"/>
      <c r="Q565" s="93"/>
      <c r="R565" s="93"/>
      <c r="S565" s="93"/>
      <c r="T565" s="93"/>
      <c r="U565" s="93"/>
      <c r="V565" s="93"/>
      <c r="W565" s="93"/>
      <c r="X565" s="93"/>
      <c r="Y565" s="93"/>
      <c r="Z565" s="93"/>
      <c r="AA565" s="93"/>
      <c r="AB565" s="20"/>
      <c r="AC565" s="25"/>
      <c r="AD565" s="97"/>
      <c r="AE565" s="1504">
        <v>51653</v>
      </c>
      <c r="AF565" s="19"/>
      <c r="AG565" s="93"/>
      <c r="AH565" s="93"/>
      <c r="AI565" s="93"/>
      <c r="AJ565" s="93"/>
      <c r="AK565" s="93"/>
      <c r="AL565" s="93"/>
      <c r="AM565" s="93"/>
      <c r="AN565" s="93"/>
      <c r="AO565" s="93"/>
      <c r="AP565" s="93"/>
      <c r="AQ565" s="93"/>
      <c r="AR565" s="93"/>
      <c r="AS565" s="20"/>
      <c r="AT565" s="25"/>
      <c r="AU565" s="97"/>
      <c r="AV565" s="1504">
        <v>51653</v>
      </c>
      <c r="AW565" s="19"/>
      <c r="AX565" s="93"/>
      <c r="AY565" s="93"/>
      <c r="AZ565" s="93"/>
      <c r="BA565" s="93"/>
      <c r="BB565" s="93"/>
      <c r="BC565" s="93"/>
      <c r="BD565" s="93"/>
      <c r="BE565" s="93"/>
      <c r="BF565" s="93"/>
      <c r="BG565" s="93"/>
      <c r="BH565" s="93"/>
      <c r="BI565" s="93"/>
      <c r="BJ565" s="20"/>
      <c r="BK565" s="25"/>
      <c r="BL565" s="97"/>
      <c r="BM565" s="1504">
        <v>51653</v>
      </c>
      <c r="BN565" s="19"/>
      <c r="BO565" s="93"/>
      <c r="BP565" s="93"/>
      <c r="BQ565" s="93"/>
      <c r="BR565" s="93"/>
      <c r="BS565" s="93"/>
      <c r="BT565" s="93"/>
      <c r="BU565" s="20"/>
      <c r="BV565" s="25"/>
      <c r="BW565" s="97"/>
      <c r="BX565" s="1504">
        <v>51653</v>
      </c>
      <c r="BY565" s="19"/>
      <c r="BZ565" s="93"/>
      <c r="CA565" s="93"/>
      <c r="CB565" s="93"/>
      <c r="CC565" s="93"/>
      <c r="CD565" s="25"/>
      <c r="CE565" s="97"/>
      <c r="CF565" s="1504">
        <v>51653</v>
      </c>
      <c r="CG565" s="19"/>
      <c r="CH565" s="93"/>
      <c r="CI565" s="219"/>
      <c r="CJ565" s="20"/>
      <c r="CK565" s="19"/>
      <c r="CL565" s="93"/>
      <c r="CM565" s="93"/>
      <c r="CN565" s="93"/>
      <c r="CO565" s="93"/>
      <c r="CP565" s="20"/>
      <c r="CQ565" s="219"/>
      <c r="CR565" s="93"/>
      <c r="CS565" s="93"/>
      <c r="CT565" s="93"/>
      <c r="CU565" s="93"/>
      <c r="CV565" s="214"/>
      <c r="CW565" s="29"/>
      <c r="CX565" s="41">
        <f t="shared" si="361"/>
        <v>2041</v>
      </c>
      <c r="CY565" s="1504">
        <v>51653</v>
      </c>
      <c r="CZ565" s="19"/>
      <c r="DA565" s="93"/>
      <c r="DB565" s="93"/>
      <c r="DC565" s="93"/>
      <c r="DD565" s="93"/>
      <c r="DE565" s="20"/>
      <c r="DF565" s="29"/>
      <c r="DG565" s="1504">
        <v>51653</v>
      </c>
      <c r="DH565" s="19"/>
      <c r="DI565" s="93"/>
      <c r="DJ565" s="93"/>
      <c r="DK565" s="93"/>
      <c r="DL565" s="93"/>
      <c r="DM565" s="93"/>
      <c r="DN565" s="20"/>
      <c r="DO565" s="295"/>
      <c r="DP565" s="29"/>
      <c r="DQ565" s="1504">
        <v>51653</v>
      </c>
      <c r="DR565" s="19"/>
      <c r="DS565" s="93"/>
      <c r="DT565" s="93"/>
      <c r="DU565" s="93"/>
      <c r="DV565" s="93"/>
      <c r="DW565" s="93"/>
      <c r="DX565" s="20"/>
      <c r="DY565" s="29"/>
      <c r="DZ565" s="1504">
        <v>51653</v>
      </c>
      <c r="EA565" s="19"/>
      <c r="EB565" s="93"/>
      <c r="EC565" s="20"/>
      <c r="ED565" s="29"/>
      <c r="EE565" s="1504">
        <v>51653</v>
      </c>
      <c r="EF565" s="19"/>
      <c r="EG565" s="93"/>
      <c r="EH565" s="93"/>
      <c r="EI565" s="214"/>
      <c r="EJ565" s="93"/>
      <c r="EK565" s="93"/>
      <c r="EL565" s="93"/>
      <c r="EM565" s="93"/>
      <c r="EN565" s="20"/>
      <c r="EO565" s="29"/>
      <c r="EP565" s="1504">
        <v>51653</v>
      </c>
      <c r="EQ565" s="19"/>
      <c r="ER565" s="93"/>
      <c r="ES565" s="93"/>
      <c r="ET565" s="214"/>
      <c r="EU565" s="93"/>
      <c r="EV565" s="93"/>
      <c r="EW565" s="93"/>
      <c r="EX565" s="93"/>
      <c r="EY565" s="20"/>
      <c r="EZ565" s="29"/>
      <c r="FA565" s="1504">
        <v>51653</v>
      </c>
      <c r="FB565" s="29"/>
      <c r="FC565" s="29"/>
      <c r="FD565" s="29"/>
      <c r="FE565" s="29"/>
      <c r="FF565" s="29"/>
      <c r="FG565" s="29"/>
      <c r="FH565" s="29"/>
      <c r="FI565" s="29"/>
      <c r="FJ565" s="29"/>
      <c r="FK565" s="29"/>
      <c r="FL565" s="1504">
        <v>51653</v>
      </c>
      <c r="FM565" s="19"/>
      <c r="FN565" s="93"/>
      <c r="FO565" s="93"/>
      <c r="FP565" s="93"/>
      <c r="FQ565" s="93"/>
      <c r="FR565" s="93"/>
      <c r="FS565" s="93"/>
      <c r="FT565" s="93"/>
      <c r="FU565" s="93"/>
      <c r="FV565" s="93"/>
      <c r="FW565" s="93"/>
      <c r="FX565" s="93"/>
      <c r="FY565" s="93"/>
      <c r="FZ565" s="29"/>
      <c r="GA565" s="1504">
        <v>51653</v>
      </c>
      <c r="GB565" s="19"/>
      <c r="GC565" s="93"/>
      <c r="GD565" s="93"/>
      <c r="GE565" s="93"/>
      <c r="GF565" s="93"/>
      <c r="GG565" s="93"/>
      <c r="GH565" s="93"/>
      <c r="GI565" s="93"/>
      <c r="GJ565" s="93"/>
      <c r="GK565" s="93"/>
      <c r="GL565" s="93"/>
      <c r="GM565" s="93"/>
      <c r="GN565" s="20"/>
      <c r="GO565" s="29"/>
      <c r="GP565" s="1504">
        <v>51653</v>
      </c>
      <c r="GQ565" s="19"/>
      <c r="GR565" s="93"/>
      <c r="GS565" s="93"/>
      <c r="GT565" s="93"/>
      <c r="GU565" s="93"/>
      <c r="GV565" s="20"/>
      <c r="GW565" s="19"/>
      <c r="GX565" s="93"/>
      <c r="GY565" s="93"/>
      <c r="GZ565" s="93"/>
      <c r="HA565" s="93"/>
      <c r="HB565" s="20"/>
      <c r="HC565" s="19"/>
      <c r="HD565" s="93"/>
      <c r="HE565" s="93"/>
      <c r="HF565" s="93"/>
      <c r="HG565" s="93"/>
      <c r="HH565" s="20"/>
      <c r="HI565" s="19"/>
      <c r="HJ565" s="93"/>
      <c r="HK565" s="93"/>
      <c r="HL565" s="93"/>
      <c r="HM565" s="93"/>
      <c r="HN565" s="20"/>
      <c r="HO565" s="219"/>
      <c r="HP565" s="20"/>
      <c r="HQ565" s="25"/>
      <c r="HR565" s="29"/>
      <c r="HS565" s="1504">
        <v>51653</v>
      </c>
      <c r="HT565" s="19"/>
      <c r="HU565" s="93"/>
      <c r="HV565" s="93"/>
      <c r="HW565" s="93"/>
      <c r="HX565" s="93"/>
      <c r="HY565" s="93"/>
      <c r="HZ565" s="93"/>
      <c r="IA565" s="20"/>
      <c r="IB565" s="19"/>
      <c r="IC565" s="93"/>
      <c r="ID565" s="93"/>
      <c r="IE565" s="93"/>
      <c r="IF565" s="93"/>
      <c r="IG565" s="20"/>
      <c r="IH565" s="19"/>
      <c r="II565" s="93"/>
      <c r="IJ565" s="93"/>
      <c r="IK565" s="93"/>
      <c r="IL565" s="93"/>
      <c r="IM565" s="93"/>
      <c r="IN565" s="93"/>
      <c r="IO565" s="20"/>
      <c r="IP565" s="29"/>
      <c r="IQ565" s="19"/>
      <c r="IR565" s="93"/>
      <c r="IS565" s="93"/>
      <c r="IT565" s="93"/>
      <c r="IU565" s="93"/>
      <c r="IV565" s="20"/>
      <c r="IW565" s="29"/>
      <c r="IX565" s="19"/>
      <c r="IY565" s="93"/>
      <c r="IZ565" s="93"/>
      <c r="JA565" s="93"/>
      <c r="JB565" s="93"/>
      <c r="JC565" s="93"/>
      <c r="JD565" s="93"/>
      <c r="JE565" s="20"/>
      <c r="JF565" s="29"/>
      <c r="JG565" s="19"/>
      <c r="JH565" s="93"/>
      <c r="JI565" s="93"/>
      <c r="JJ565" s="93"/>
      <c r="JK565" s="93"/>
      <c r="JL565" s="93"/>
      <c r="JM565" s="93"/>
      <c r="JN565" s="20"/>
      <c r="JO565" s="29"/>
      <c r="JP565" s="19"/>
      <c r="JQ565" s="93"/>
      <c r="JR565" s="93"/>
      <c r="JS565" s="93"/>
      <c r="JT565" s="93"/>
      <c r="JU565" s="20"/>
      <c r="JV565" s="29"/>
      <c r="JW565" s="1504">
        <v>51653</v>
      </c>
      <c r="JX565" s="19"/>
      <c r="JY565" s="93"/>
      <c r="JZ565" s="93"/>
      <c r="KA565" s="93"/>
      <c r="KB565" s="93"/>
      <c r="KC565" s="93"/>
      <c r="KD565" s="20"/>
      <c r="KE565" s="29"/>
      <c r="KF565" s="19"/>
      <c r="KG565" s="93"/>
      <c r="KH565" s="93"/>
      <c r="KI565" s="93"/>
      <c r="KJ565" s="93"/>
      <c r="KK565" s="20"/>
      <c r="KL565" s="29"/>
      <c r="KM565" s="19"/>
      <c r="KN565" s="93"/>
      <c r="KO565" s="93"/>
      <c r="KP565" s="93"/>
      <c r="KQ565" s="93"/>
      <c r="KR565" s="20"/>
      <c r="KS565" s="29"/>
      <c r="KT565" s="19"/>
      <c r="KU565" s="93"/>
      <c r="KV565" s="93"/>
      <c r="KW565" s="93"/>
      <c r="KX565" s="93"/>
      <c r="KY565" s="20"/>
      <c r="KZ565" s="29"/>
      <c r="LA565" s="1504">
        <v>51653</v>
      </c>
      <c r="LB565" s="19"/>
      <c r="LC565" s="93"/>
      <c r="LD565" s="93"/>
      <c r="LE565" s="93"/>
      <c r="LF565" s="93"/>
      <c r="LG565" s="93"/>
      <c r="LH565" s="20"/>
      <c r="LI565" s="29"/>
      <c r="LJ565" s="19"/>
      <c r="LK565" s="93"/>
      <c r="LL565" s="93"/>
      <c r="LM565" s="93"/>
      <c r="LN565" s="93"/>
      <c r="LO565" s="20"/>
      <c r="LP565" s="29"/>
      <c r="LQ565" s="19"/>
      <c r="LR565" s="93"/>
      <c r="LS565" s="93"/>
      <c r="LT565" s="93"/>
      <c r="LU565" s="93"/>
      <c r="LV565" s="93"/>
      <c r="LW565" s="93"/>
      <c r="LX565" s="93"/>
      <c r="LY565" s="93"/>
      <c r="LZ565" s="93"/>
      <c r="MA565" s="20"/>
      <c r="MB565" s="29"/>
      <c r="MC565" s="1504">
        <v>51653</v>
      </c>
      <c r="MD565" s="19"/>
      <c r="ME565" s="93"/>
      <c r="MF565" s="93"/>
      <c r="MG565" s="93"/>
      <c r="MH565" s="93"/>
      <c r="MI565" s="93"/>
      <c r="MJ565" s="93"/>
      <c r="MK565" s="93"/>
      <c r="ML565" s="93"/>
      <c r="MM565" s="93"/>
      <c r="MN565" s="93"/>
      <c r="MO565" s="93"/>
      <c r="MP565" s="93"/>
      <c r="MQ565" s="93"/>
      <c r="MR565" s="93"/>
      <c r="MS565" s="93"/>
      <c r="MT565" s="93"/>
      <c r="MU565" s="93"/>
      <c r="MV565" s="93"/>
      <c r="MW565" s="93"/>
      <c r="MX565" s="93"/>
      <c r="MY565" s="93"/>
      <c r="MZ565" s="93"/>
      <c r="NA565" s="93"/>
      <c r="NB565" s="93"/>
      <c r="NC565" s="93"/>
      <c r="ND565" s="93"/>
      <c r="NE565" s="93"/>
      <c r="NF565" s="93"/>
      <c r="NG565" s="93"/>
      <c r="NH565" s="93"/>
      <c r="NI565" s="93"/>
      <c r="NJ565" s="93"/>
      <c r="NK565" s="93"/>
      <c r="NL565" s="93"/>
      <c r="NM565" s="93"/>
      <c r="NN565" s="93"/>
      <c r="NO565" s="93"/>
      <c r="NP565" s="93"/>
      <c r="NQ565" s="93"/>
      <c r="NR565" s="93"/>
      <c r="NS565" s="93"/>
      <c r="NT565" s="93"/>
      <c r="NU565" s="93"/>
      <c r="NV565" s="93"/>
      <c r="NW565" s="93"/>
      <c r="NX565" s="93"/>
      <c r="NY565" s="93"/>
      <c r="NZ565" s="93"/>
      <c r="OA565" s="93"/>
      <c r="OB565" s="93"/>
      <c r="OC565" s="93"/>
      <c r="OD565" s="20"/>
      <c r="OE565" s="29"/>
      <c r="OF565" s="1504">
        <v>51653</v>
      </c>
      <c r="OG565" s="19"/>
      <c r="OH565" s="93"/>
      <c r="OI565" s="93"/>
      <c r="OJ565" s="93"/>
      <c r="OK565" s="93"/>
      <c r="OL565" s="93"/>
      <c r="OM565" s="93"/>
      <c r="ON565" s="93"/>
      <c r="OO565" s="93"/>
      <c r="OP565" s="93"/>
      <c r="OQ565" s="93"/>
      <c r="OR565" s="93"/>
      <c r="OS565" s="93"/>
      <c r="OT565" s="93"/>
      <c r="OU565" s="93"/>
      <c r="OV565" s="93"/>
      <c r="OW565" s="93"/>
      <c r="OX565" s="93"/>
      <c r="OY565" s="93"/>
      <c r="OZ565" s="93"/>
      <c r="PA565" s="93"/>
      <c r="PB565" s="93"/>
      <c r="PC565" s="20"/>
      <c r="PD565" s="29"/>
      <c r="PE565" s="19"/>
      <c r="PF565" s="93"/>
      <c r="PG565" s="93"/>
      <c r="PH565" s="93"/>
      <c r="PI565" s="93"/>
      <c r="PJ565" s="93"/>
      <c r="PK565" s="93"/>
      <c r="PL565" s="93"/>
      <c r="PM565" s="93"/>
      <c r="PN565" s="93"/>
      <c r="PO565" s="93"/>
      <c r="PP565" s="93"/>
      <c r="PQ565" s="93"/>
      <c r="PR565" s="93"/>
      <c r="PS565" s="93"/>
      <c r="PT565" s="93"/>
      <c r="PU565" s="93"/>
      <c r="PV565" s="93"/>
      <c r="PW565" s="93"/>
      <c r="PX565" s="93"/>
      <c r="PY565" s="93"/>
      <c r="PZ565" s="93"/>
      <c r="QA565" s="93"/>
      <c r="QB565" s="93"/>
      <c r="QC565" s="93"/>
      <c r="QD565" s="93"/>
      <c r="QE565" s="20"/>
      <c r="QF565" s="1739"/>
      <c r="QG565" s="19"/>
      <c r="QH565" s="93"/>
      <c r="QI565" s="93"/>
      <c r="QJ565" s="93"/>
      <c r="QK565" s="93"/>
      <c r="QL565" s="93"/>
      <c r="QM565" s="93"/>
      <c r="QN565" s="93"/>
      <c r="QO565" s="93"/>
      <c r="QP565" s="93"/>
      <c r="QQ565" s="93"/>
      <c r="QR565" s="93"/>
      <c r="QS565" s="93"/>
      <c r="QT565" s="93"/>
      <c r="QU565" s="93"/>
      <c r="QV565" s="93"/>
      <c r="QW565" s="93"/>
      <c r="QX565" s="93"/>
      <c r="QY565" s="93"/>
      <c r="QZ565" s="93"/>
      <c r="RA565" s="93"/>
      <c r="RB565" s="93"/>
      <c r="RC565" s="93"/>
      <c r="RD565" s="93"/>
      <c r="RE565" s="93"/>
      <c r="RF565" s="93"/>
      <c r="RG565" s="93"/>
      <c r="RH565" s="93"/>
      <c r="RI565" s="93"/>
      <c r="RJ565" s="93"/>
      <c r="RK565" s="93"/>
      <c r="RL565" s="93"/>
      <c r="RM565" s="20"/>
      <c r="RN565" s="29"/>
      <c r="RO565" s="19"/>
      <c r="RP565" s="20"/>
      <c r="RQ565" s="29"/>
      <c r="RR565" s="20"/>
      <c r="RS565" s="29"/>
      <c r="RT565" s="1504">
        <v>51653</v>
      </c>
      <c r="RU565" s="19"/>
      <c r="RV565" s="20"/>
      <c r="RW565" s="29"/>
      <c r="RX565" s="1504">
        <v>51653</v>
      </c>
      <c r="RY565" s="29"/>
      <c r="RZ565" s="20"/>
      <c r="SA565" s="29"/>
      <c r="SB565" s="29"/>
    </row>
    <row r="566" spans="1:496">
      <c r="A566" s="41">
        <f t="shared" si="362"/>
        <v>2041</v>
      </c>
      <c r="B566" s="1504">
        <v>51683</v>
      </c>
      <c r="C566" s="1813"/>
      <c r="D566" s="1814"/>
      <c r="E566" s="1814"/>
      <c r="F566" s="1815"/>
      <c r="G566" s="1814"/>
      <c r="H566" s="1814"/>
      <c r="I566" s="1814"/>
      <c r="J566" s="1816"/>
      <c r="K566" s="1807"/>
      <c r="L566" s="25"/>
      <c r="M566" s="97"/>
      <c r="N566" s="1504">
        <v>51683</v>
      </c>
      <c r="O566" s="19"/>
      <c r="P566" s="93"/>
      <c r="Q566" s="93"/>
      <c r="R566" s="93"/>
      <c r="S566" s="93"/>
      <c r="T566" s="93"/>
      <c r="U566" s="93"/>
      <c r="V566" s="93"/>
      <c r="W566" s="93"/>
      <c r="X566" s="93"/>
      <c r="Y566" s="93"/>
      <c r="Z566" s="93"/>
      <c r="AA566" s="93"/>
      <c r="AB566" s="20"/>
      <c r="AC566" s="25"/>
      <c r="AD566" s="97"/>
      <c r="AE566" s="1504">
        <v>51683</v>
      </c>
      <c r="AF566" s="19"/>
      <c r="AG566" s="93"/>
      <c r="AH566" s="93"/>
      <c r="AI566" s="93"/>
      <c r="AJ566" s="93"/>
      <c r="AK566" s="93"/>
      <c r="AL566" s="93"/>
      <c r="AM566" s="93"/>
      <c r="AN566" s="93"/>
      <c r="AO566" s="93"/>
      <c r="AP566" s="93"/>
      <c r="AQ566" s="93"/>
      <c r="AR566" s="93"/>
      <c r="AS566" s="20"/>
      <c r="AT566" s="25"/>
      <c r="AU566" s="97"/>
      <c r="AV566" s="1504">
        <v>51683</v>
      </c>
      <c r="AW566" s="19"/>
      <c r="AX566" s="93"/>
      <c r="AY566" s="93"/>
      <c r="AZ566" s="93"/>
      <c r="BA566" s="93"/>
      <c r="BB566" s="93"/>
      <c r="BC566" s="93"/>
      <c r="BD566" s="93"/>
      <c r="BE566" s="93"/>
      <c r="BF566" s="93"/>
      <c r="BG566" s="93"/>
      <c r="BH566" s="93"/>
      <c r="BI566" s="93"/>
      <c r="BJ566" s="20"/>
      <c r="BK566" s="25"/>
      <c r="BL566" s="97"/>
      <c r="BM566" s="1504">
        <v>51683</v>
      </c>
      <c r="BN566" s="19"/>
      <c r="BO566" s="93"/>
      <c r="BP566" s="93"/>
      <c r="BQ566" s="93"/>
      <c r="BR566" s="93"/>
      <c r="BS566" s="93"/>
      <c r="BT566" s="93"/>
      <c r="BU566" s="20"/>
      <c r="BV566" s="25"/>
      <c r="BW566" s="97"/>
      <c r="BX566" s="1504">
        <v>51683</v>
      </c>
      <c r="BY566" s="19"/>
      <c r="BZ566" s="93"/>
      <c r="CA566" s="93"/>
      <c r="CB566" s="93"/>
      <c r="CC566" s="93"/>
      <c r="CD566" s="25"/>
      <c r="CE566" s="97"/>
      <c r="CF566" s="1504">
        <v>51683</v>
      </c>
      <c r="CG566" s="19"/>
      <c r="CH566" s="93"/>
      <c r="CI566" s="219"/>
      <c r="CJ566" s="20"/>
      <c r="CK566" s="19"/>
      <c r="CL566" s="93"/>
      <c r="CM566" s="93"/>
      <c r="CN566" s="93"/>
      <c r="CO566" s="93"/>
      <c r="CP566" s="20"/>
      <c r="CQ566" s="219"/>
      <c r="CR566" s="93"/>
      <c r="CS566" s="93"/>
      <c r="CT566" s="93"/>
      <c r="CU566" s="93"/>
      <c r="CV566" s="214"/>
      <c r="CW566" s="29"/>
      <c r="CX566" s="41">
        <f t="shared" si="361"/>
        <v>2041</v>
      </c>
      <c r="CY566" s="1504">
        <v>51683</v>
      </c>
      <c r="CZ566" s="19"/>
      <c r="DA566" s="93"/>
      <c r="DB566" s="93"/>
      <c r="DC566" s="93"/>
      <c r="DD566" s="93"/>
      <c r="DE566" s="20"/>
      <c r="DF566" s="29"/>
      <c r="DG566" s="1504">
        <v>51683</v>
      </c>
      <c r="DH566" s="19"/>
      <c r="DI566" s="93"/>
      <c r="DJ566" s="93"/>
      <c r="DK566" s="93"/>
      <c r="DL566" s="93"/>
      <c r="DM566" s="93"/>
      <c r="DN566" s="20"/>
      <c r="DO566" s="295"/>
      <c r="DP566" s="29"/>
      <c r="DQ566" s="1504">
        <v>51683</v>
      </c>
      <c r="DR566" s="19"/>
      <c r="DS566" s="93"/>
      <c r="DT566" s="93"/>
      <c r="DU566" s="93"/>
      <c r="DV566" s="93"/>
      <c r="DW566" s="93"/>
      <c r="DX566" s="20"/>
      <c r="DY566" s="29"/>
      <c r="DZ566" s="1504">
        <v>51683</v>
      </c>
      <c r="EA566" s="19"/>
      <c r="EB566" s="93"/>
      <c r="EC566" s="20"/>
      <c r="ED566" s="29"/>
      <c r="EE566" s="1504">
        <v>51683</v>
      </c>
      <c r="EF566" s="19"/>
      <c r="EG566" s="93"/>
      <c r="EH566" s="93"/>
      <c r="EI566" s="214"/>
      <c r="EJ566" s="93"/>
      <c r="EK566" s="93"/>
      <c r="EL566" s="93"/>
      <c r="EM566" s="93"/>
      <c r="EN566" s="20"/>
      <c r="EO566" s="29"/>
      <c r="EP566" s="1504">
        <v>51683</v>
      </c>
      <c r="EQ566" s="19"/>
      <c r="ER566" s="93"/>
      <c r="ES566" s="93"/>
      <c r="ET566" s="214"/>
      <c r="EU566" s="93"/>
      <c r="EV566" s="93"/>
      <c r="EW566" s="93"/>
      <c r="EX566" s="93"/>
      <c r="EY566" s="20"/>
      <c r="EZ566" s="29"/>
      <c r="FA566" s="1504">
        <v>51683</v>
      </c>
      <c r="FB566" s="29"/>
      <c r="FC566" s="29"/>
      <c r="FD566" s="29"/>
      <c r="FE566" s="29"/>
      <c r="FF566" s="29"/>
      <c r="FG566" s="29"/>
      <c r="FH566" s="29"/>
      <c r="FI566" s="29"/>
      <c r="FJ566" s="29"/>
      <c r="FK566" s="29"/>
      <c r="FL566" s="1504">
        <v>51683</v>
      </c>
      <c r="FM566" s="19"/>
      <c r="FN566" s="93"/>
      <c r="FO566" s="93"/>
      <c r="FP566" s="93"/>
      <c r="FQ566" s="93"/>
      <c r="FR566" s="93"/>
      <c r="FS566" s="93"/>
      <c r="FT566" s="93"/>
      <c r="FU566" s="93"/>
      <c r="FV566" s="93"/>
      <c r="FW566" s="93"/>
      <c r="FX566" s="93"/>
      <c r="FY566" s="93"/>
      <c r="FZ566" s="29"/>
      <c r="GA566" s="1504">
        <v>51683</v>
      </c>
      <c r="GB566" s="19"/>
      <c r="GC566" s="93"/>
      <c r="GD566" s="93"/>
      <c r="GE566" s="93"/>
      <c r="GF566" s="93"/>
      <c r="GG566" s="93"/>
      <c r="GH566" s="93"/>
      <c r="GI566" s="93"/>
      <c r="GJ566" s="93"/>
      <c r="GK566" s="93"/>
      <c r="GL566" s="93"/>
      <c r="GM566" s="93"/>
      <c r="GN566" s="20"/>
      <c r="GO566" s="29"/>
      <c r="GP566" s="1504">
        <v>51683</v>
      </c>
      <c r="GQ566" s="19"/>
      <c r="GR566" s="93"/>
      <c r="GS566" s="93"/>
      <c r="GT566" s="93"/>
      <c r="GU566" s="93"/>
      <c r="GV566" s="20"/>
      <c r="GW566" s="19"/>
      <c r="GX566" s="93"/>
      <c r="GY566" s="93"/>
      <c r="GZ566" s="93"/>
      <c r="HA566" s="93"/>
      <c r="HB566" s="20"/>
      <c r="HC566" s="19"/>
      <c r="HD566" s="93"/>
      <c r="HE566" s="93"/>
      <c r="HF566" s="93"/>
      <c r="HG566" s="93"/>
      <c r="HH566" s="20"/>
      <c r="HI566" s="19"/>
      <c r="HJ566" s="93"/>
      <c r="HK566" s="93"/>
      <c r="HL566" s="93"/>
      <c r="HM566" s="93"/>
      <c r="HN566" s="20"/>
      <c r="HO566" s="219"/>
      <c r="HP566" s="20"/>
      <c r="HQ566" s="25"/>
      <c r="HR566" s="29"/>
      <c r="HS566" s="1504">
        <v>51683</v>
      </c>
      <c r="HT566" s="19"/>
      <c r="HU566" s="93"/>
      <c r="HV566" s="93"/>
      <c r="HW566" s="93"/>
      <c r="HX566" s="93"/>
      <c r="HY566" s="93"/>
      <c r="HZ566" s="93"/>
      <c r="IA566" s="20"/>
      <c r="IB566" s="19"/>
      <c r="IC566" s="93"/>
      <c r="ID566" s="93"/>
      <c r="IE566" s="93"/>
      <c r="IF566" s="93"/>
      <c r="IG566" s="20"/>
      <c r="IH566" s="19"/>
      <c r="II566" s="93"/>
      <c r="IJ566" s="93"/>
      <c r="IK566" s="93"/>
      <c r="IL566" s="93"/>
      <c r="IM566" s="93"/>
      <c r="IN566" s="93"/>
      <c r="IO566" s="20"/>
      <c r="IP566" s="29"/>
      <c r="IQ566" s="19"/>
      <c r="IR566" s="93"/>
      <c r="IS566" s="93"/>
      <c r="IT566" s="93"/>
      <c r="IU566" s="93"/>
      <c r="IV566" s="20"/>
      <c r="IW566" s="29"/>
      <c r="IX566" s="19"/>
      <c r="IY566" s="93"/>
      <c r="IZ566" s="93"/>
      <c r="JA566" s="93"/>
      <c r="JB566" s="93"/>
      <c r="JC566" s="93"/>
      <c r="JD566" s="93"/>
      <c r="JE566" s="20"/>
      <c r="JF566" s="29"/>
      <c r="JG566" s="19"/>
      <c r="JH566" s="93"/>
      <c r="JI566" s="93"/>
      <c r="JJ566" s="93"/>
      <c r="JK566" s="93"/>
      <c r="JL566" s="93"/>
      <c r="JM566" s="93"/>
      <c r="JN566" s="20"/>
      <c r="JO566" s="29"/>
      <c r="JP566" s="19"/>
      <c r="JQ566" s="93"/>
      <c r="JR566" s="93"/>
      <c r="JS566" s="93"/>
      <c r="JT566" s="93"/>
      <c r="JU566" s="20"/>
      <c r="JV566" s="29"/>
      <c r="JW566" s="1504">
        <v>51683</v>
      </c>
      <c r="JX566" s="19"/>
      <c r="JY566" s="93"/>
      <c r="JZ566" s="93"/>
      <c r="KA566" s="93"/>
      <c r="KB566" s="93"/>
      <c r="KC566" s="93"/>
      <c r="KD566" s="20"/>
      <c r="KE566" s="29"/>
      <c r="KF566" s="19"/>
      <c r="KG566" s="93"/>
      <c r="KH566" s="93"/>
      <c r="KI566" s="93"/>
      <c r="KJ566" s="93"/>
      <c r="KK566" s="20"/>
      <c r="KL566" s="29"/>
      <c r="KM566" s="19"/>
      <c r="KN566" s="93"/>
      <c r="KO566" s="93"/>
      <c r="KP566" s="93"/>
      <c r="KQ566" s="93"/>
      <c r="KR566" s="20"/>
      <c r="KS566" s="29"/>
      <c r="KT566" s="19"/>
      <c r="KU566" s="93"/>
      <c r="KV566" s="93"/>
      <c r="KW566" s="93"/>
      <c r="KX566" s="93"/>
      <c r="KY566" s="20"/>
      <c r="KZ566" s="29"/>
      <c r="LA566" s="1504">
        <v>51683</v>
      </c>
      <c r="LB566" s="19"/>
      <c r="LC566" s="93"/>
      <c r="LD566" s="93"/>
      <c r="LE566" s="93"/>
      <c r="LF566" s="93"/>
      <c r="LG566" s="93"/>
      <c r="LH566" s="20"/>
      <c r="LI566" s="29"/>
      <c r="LJ566" s="19"/>
      <c r="LK566" s="93"/>
      <c r="LL566" s="93"/>
      <c r="LM566" s="93"/>
      <c r="LN566" s="93"/>
      <c r="LO566" s="20"/>
      <c r="LP566" s="29"/>
      <c r="LQ566" s="19"/>
      <c r="LR566" s="93"/>
      <c r="LS566" s="93"/>
      <c r="LT566" s="93"/>
      <c r="LU566" s="93"/>
      <c r="LV566" s="93"/>
      <c r="LW566" s="93"/>
      <c r="LX566" s="93"/>
      <c r="LY566" s="93"/>
      <c r="LZ566" s="93"/>
      <c r="MA566" s="20"/>
      <c r="MB566" s="29"/>
      <c r="MC566" s="1504">
        <v>51683</v>
      </c>
      <c r="MD566" s="19"/>
      <c r="ME566" s="93"/>
      <c r="MF566" s="93"/>
      <c r="MG566" s="93"/>
      <c r="MH566" s="93"/>
      <c r="MI566" s="93"/>
      <c r="MJ566" s="93"/>
      <c r="MK566" s="93"/>
      <c r="ML566" s="93"/>
      <c r="MM566" s="93"/>
      <c r="MN566" s="93"/>
      <c r="MO566" s="93"/>
      <c r="MP566" s="93"/>
      <c r="MQ566" s="93"/>
      <c r="MR566" s="93"/>
      <c r="MS566" s="93"/>
      <c r="MT566" s="93"/>
      <c r="MU566" s="93"/>
      <c r="MV566" s="93"/>
      <c r="MW566" s="93"/>
      <c r="MX566" s="93"/>
      <c r="MY566" s="93"/>
      <c r="MZ566" s="93"/>
      <c r="NA566" s="93"/>
      <c r="NB566" s="93"/>
      <c r="NC566" s="93"/>
      <c r="ND566" s="93"/>
      <c r="NE566" s="93"/>
      <c r="NF566" s="93"/>
      <c r="NG566" s="93"/>
      <c r="NH566" s="93"/>
      <c r="NI566" s="93"/>
      <c r="NJ566" s="93"/>
      <c r="NK566" s="93"/>
      <c r="NL566" s="93"/>
      <c r="NM566" s="93"/>
      <c r="NN566" s="93"/>
      <c r="NO566" s="93"/>
      <c r="NP566" s="93"/>
      <c r="NQ566" s="93"/>
      <c r="NR566" s="93"/>
      <c r="NS566" s="93"/>
      <c r="NT566" s="93"/>
      <c r="NU566" s="93"/>
      <c r="NV566" s="93"/>
      <c r="NW566" s="93"/>
      <c r="NX566" s="93"/>
      <c r="NY566" s="93"/>
      <c r="NZ566" s="93"/>
      <c r="OA566" s="93"/>
      <c r="OB566" s="93"/>
      <c r="OC566" s="93"/>
      <c r="OD566" s="20"/>
      <c r="OE566" s="29"/>
      <c r="OF566" s="1504">
        <v>51683</v>
      </c>
      <c r="OG566" s="19"/>
      <c r="OH566" s="93"/>
      <c r="OI566" s="93"/>
      <c r="OJ566" s="93"/>
      <c r="OK566" s="93"/>
      <c r="OL566" s="93"/>
      <c r="OM566" s="93"/>
      <c r="ON566" s="93"/>
      <c r="OO566" s="93"/>
      <c r="OP566" s="93"/>
      <c r="OQ566" s="93"/>
      <c r="OR566" s="93"/>
      <c r="OS566" s="93"/>
      <c r="OT566" s="93"/>
      <c r="OU566" s="93"/>
      <c r="OV566" s="93"/>
      <c r="OW566" s="93"/>
      <c r="OX566" s="93"/>
      <c r="OY566" s="93"/>
      <c r="OZ566" s="93"/>
      <c r="PA566" s="93"/>
      <c r="PB566" s="93"/>
      <c r="PC566" s="20"/>
      <c r="PD566" s="29"/>
      <c r="PE566" s="19"/>
      <c r="PF566" s="93"/>
      <c r="PG566" s="93"/>
      <c r="PH566" s="93"/>
      <c r="PI566" s="93"/>
      <c r="PJ566" s="93"/>
      <c r="PK566" s="93"/>
      <c r="PL566" s="93"/>
      <c r="PM566" s="93"/>
      <c r="PN566" s="93"/>
      <c r="PO566" s="93"/>
      <c r="PP566" s="93"/>
      <c r="PQ566" s="93"/>
      <c r="PR566" s="93"/>
      <c r="PS566" s="93"/>
      <c r="PT566" s="93"/>
      <c r="PU566" s="93"/>
      <c r="PV566" s="93"/>
      <c r="PW566" s="93"/>
      <c r="PX566" s="93"/>
      <c r="PY566" s="93"/>
      <c r="PZ566" s="93"/>
      <c r="QA566" s="93"/>
      <c r="QB566" s="93"/>
      <c r="QC566" s="93"/>
      <c r="QD566" s="93"/>
      <c r="QE566" s="20"/>
      <c r="QF566" s="1739"/>
      <c r="QG566" s="19"/>
      <c r="QH566" s="93"/>
      <c r="QI566" s="93"/>
      <c r="QJ566" s="93"/>
      <c r="QK566" s="93"/>
      <c r="QL566" s="93"/>
      <c r="QM566" s="93"/>
      <c r="QN566" s="93"/>
      <c r="QO566" s="93"/>
      <c r="QP566" s="93"/>
      <c r="QQ566" s="93"/>
      <c r="QR566" s="93"/>
      <c r="QS566" s="93"/>
      <c r="QT566" s="93"/>
      <c r="QU566" s="93"/>
      <c r="QV566" s="93"/>
      <c r="QW566" s="93"/>
      <c r="QX566" s="93"/>
      <c r="QY566" s="93"/>
      <c r="QZ566" s="93"/>
      <c r="RA566" s="93"/>
      <c r="RB566" s="93"/>
      <c r="RC566" s="93"/>
      <c r="RD566" s="93"/>
      <c r="RE566" s="93"/>
      <c r="RF566" s="93"/>
      <c r="RG566" s="93"/>
      <c r="RH566" s="93"/>
      <c r="RI566" s="93"/>
      <c r="RJ566" s="93"/>
      <c r="RK566" s="93"/>
      <c r="RL566" s="93"/>
      <c r="RM566" s="20"/>
      <c r="RN566" s="29"/>
      <c r="RO566" s="19"/>
      <c r="RP566" s="20"/>
      <c r="RQ566" s="29"/>
      <c r="RR566" s="20"/>
      <c r="RS566" s="29"/>
      <c r="RT566" s="1504">
        <v>51683</v>
      </c>
      <c r="RU566" s="19"/>
      <c r="RV566" s="20"/>
      <c r="RW566" s="29"/>
      <c r="RX566" s="1504">
        <v>51683</v>
      </c>
      <c r="RY566" s="29"/>
      <c r="RZ566" s="20"/>
      <c r="SA566" s="29"/>
      <c r="SB566" s="29"/>
    </row>
    <row r="567" spans="1:496">
      <c r="A567" s="41">
        <f t="shared" si="362"/>
        <v>2041</v>
      </c>
      <c r="B567" s="1504">
        <v>51714</v>
      </c>
      <c r="C567" s="1813"/>
      <c r="D567" s="1814"/>
      <c r="E567" s="1814"/>
      <c r="F567" s="1815"/>
      <c r="G567" s="1814"/>
      <c r="H567" s="1814"/>
      <c r="I567" s="1814"/>
      <c r="J567" s="1816"/>
      <c r="K567" s="1807"/>
      <c r="L567" s="25"/>
      <c r="M567" s="97"/>
      <c r="N567" s="1504">
        <v>51714</v>
      </c>
      <c r="O567" s="19"/>
      <c r="P567" s="93"/>
      <c r="Q567" s="93"/>
      <c r="R567" s="93"/>
      <c r="S567" s="93"/>
      <c r="T567" s="93"/>
      <c r="U567" s="93"/>
      <c r="V567" s="93"/>
      <c r="W567" s="93"/>
      <c r="X567" s="93"/>
      <c r="Y567" s="93"/>
      <c r="Z567" s="93"/>
      <c r="AA567" s="93"/>
      <c r="AB567" s="20"/>
      <c r="AC567" s="25"/>
      <c r="AD567" s="97"/>
      <c r="AE567" s="1504">
        <v>51714</v>
      </c>
      <c r="AF567" s="19"/>
      <c r="AG567" s="93"/>
      <c r="AH567" s="93"/>
      <c r="AI567" s="93"/>
      <c r="AJ567" s="93"/>
      <c r="AK567" s="93"/>
      <c r="AL567" s="93"/>
      <c r="AM567" s="93"/>
      <c r="AN567" s="93"/>
      <c r="AO567" s="93"/>
      <c r="AP567" s="93"/>
      <c r="AQ567" s="93"/>
      <c r="AR567" s="93"/>
      <c r="AS567" s="20"/>
      <c r="AT567" s="25"/>
      <c r="AU567" s="97"/>
      <c r="AV567" s="1504">
        <v>51714</v>
      </c>
      <c r="AW567" s="19"/>
      <c r="AX567" s="93"/>
      <c r="AY567" s="93"/>
      <c r="AZ567" s="93"/>
      <c r="BA567" s="93"/>
      <c r="BB567" s="93"/>
      <c r="BC567" s="93"/>
      <c r="BD567" s="93"/>
      <c r="BE567" s="93"/>
      <c r="BF567" s="93"/>
      <c r="BG567" s="93"/>
      <c r="BH567" s="93"/>
      <c r="BI567" s="93"/>
      <c r="BJ567" s="20"/>
      <c r="BK567" s="25"/>
      <c r="BL567" s="97"/>
      <c r="BM567" s="1504">
        <v>51714</v>
      </c>
      <c r="BN567" s="19"/>
      <c r="BO567" s="93"/>
      <c r="BP567" s="93"/>
      <c r="BQ567" s="93"/>
      <c r="BR567" s="93"/>
      <c r="BS567" s="93"/>
      <c r="BT567" s="93"/>
      <c r="BU567" s="20"/>
      <c r="BV567" s="25"/>
      <c r="BW567" s="97"/>
      <c r="BX567" s="1504">
        <v>51714</v>
      </c>
      <c r="BY567" s="19"/>
      <c r="BZ567" s="93"/>
      <c r="CA567" s="93"/>
      <c r="CB567" s="93"/>
      <c r="CC567" s="93"/>
      <c r="CD567" s="25"/>
      <c r="CE567" s="97"/>
      <c r="CF567" s="1504">
        <v>51714</v>
      </c>
      <c r="CG567" s="19"/>
      <c r="CH567" s="93"/>
      <c r="CI567" s="219"/>
      <c r="CJ567" s="20"/>
      <c r="CK567" s="19"/>
      <c r="CL567" s="93"/>
      <c r="CM567" s="93"/>
      <c r="CN567" s="93"/>
      <c r="CO567" s="93"/>
      <c r="CP567" s="20"/>
      <c r="CQ567" s="219"/>
      <c r="CR567" s="93"/>
      <c r="CS567" s="93"/>
      <c r="CT567" s="93"/>
      <c r="CU567" s="93"/>
      <c r="CV567" s="214"/>
      <c r="CW567" s="29"/>
      <c r="CX567" s="41">
        <f t="shared" si="361"/>
        <v>2041</v>
      </c>
      <c r="CY567" s="1504">
        <v>51714</v>
      </c>
      <c r="CZ567" s="19"/>
      <c r="DA567" s="93"/>
      <c r="DB567" s="93"/>
      <c r="DC567" s="93"/>
      <c r="DD567" s="93"/>
      <c r="DE567" s="20"/>
      <c r="DF567" s="29"/>
      <c r="DG567" s="1504">
        <v>51714</v>
      </c>
      <c r="DH567" s="19"/>
      <c r="DI567" s="93"/>
      <c r="DJ567" s="93"/>
      <c r="DK567" s="93"/>
      <c r="DL567" s="93"/>
      <c r="DM567" s="93"/>
      <c r="DN567" s="20"/>
      <c r="DO567" s="295"/>
      <c r="DP567" s="29"/>
      <c r="DQ567" s="1504">
        <v>51714</v>
      </c>
      <c r="DR567" s="19"/>
      <c r="DS567" s="93"/>
      <c r="DT567" s="93"/>
      <c r="DU567" s="93"/>
      <c r="DV567" s="93"/>
      <c r="DW567" s="93"/>
      <c r="DX567" s="20"/>
      <c r="DY567" s="29"/>
      <c r="DZ567" s="1504">
        <v>51714</v>
      </c>
      <c r="EA567" s="19"/>
      <c r="EB567" s="93"/>
      <c r="EC567" s="20"/>
      <c r="ED567" s="29"/>
      <c r="EE567" s="1504">
        <v>51714</v>
      </c>
      <c r="EF567" s="19"/>
      <c r="EG567" s="93"/>
      <c r="EH567" s="93"/>
      <c r="EI567" s="214"/>
      <c r="EJ567" s="93"/>
      <c r="EK567" s="93"/>
      <c r="EL567" s="93"/>
      <c r="EM567" s="93"/>
      <c r="EN567" s="20"/>
      <c r="EO567" s="29"/>
      <c r="EP567" s="1504">
        <v>51714</v>
      </c>
      <c r="EQ567" s="19"/>
      <c r="ER567" s="93"/>
      <c r="ES567" s="93"/>
      <c r="ET567" s="214"/>
      <c r="EU567" s="93"/>
      <c r="EV567" s="93"/>
      <c r="EW567" s="93"/>
      <c r="EX567" s="93"/>
      <c r="EY567" s="20"/>
      <c r="EZ567" s="29"/>
      <c r="FA567" s="1504">
        <v>51714</v>
      </c>
      <c r="FB567" s="29"/>
      <c r="FC567" s="29"/>
      <c r="FD567" s="29"/>
      <c r="FE567" s="29"/>
      <c r="FF567" s="29"/>
      <c r="FG567" s="29"/>
      <c r="FH567" s="29"/>
      <c r="FI567" s="29"/>
      <c r="FJ567" s="29"/>
      <c r="FK567" s="29"/>
      <c r="FL567" s="1504">
        <v>51714</v>
      </c>
      <c r="FM567" s="19"/>
      <c r="FN567" s="93"/>
      <c r="FO567" s="93"/>
      <c r="FP567" s="93"/>
      <c r="FQ567" s="93"/>
      <c r="FR567" s="93"/>
      <c r="FS567" s="93"/>
      <c r="FT567" s="93"/>
      <c r="FU567" s="93"/>
      <c r="FV567" s="93"/>
      <c r="FW567" s="93"/>
      <c r="FX567" s="93"/>
      <c r="FY567" s="93"/>
      <c r="FZ567" s="29"/>
      <c r="GA567" s="1504">
        <v>51714</v>
      </c>
      <c r="GB567" s="19"/>
      <c r="GC567" s="93"/>
      <c r="GD567" s="93"/>
      <c r="GE567" s="93"/>
      <c r="GF567" s="93"/>
      <c r="GG567" s="93"/>
      <c r="GH567" s="93"/>
      <c r="GI567" s="93"/>
      <c r="GJ567" s="93"/>
      <c r="GK567" s="93"/>
      <c r="GL567" s="93"/>
      <c r="GM567" s="93"/>
      <c r="GN567" s="20"/>
      <c r="GO567" s="29"/>
      <c r="GP567" s="1504">
        <v>51714</v>
      </c>
      <c r="GQ567" s="19"/>
      <c r="GR567" s="93"/>
      <c r="GS567" s="93"/>
      <c r="GT567" s="93"/>
      <c r="GU567" s="93"/>
      <c r="GV567" s="20"/>
      <c r="GW567" s="19"/>
      <c r="GX567" s="93"/>
      <c r="GY567" s="93"/>
      <c r="GZ567" s="93"/>
      <c r="HA567" s="93"/>
      <c r="HB567" s="20"/>
      <c r="HC567" s="19"/>
      <c r="HD567" s="93"/>
      <c r="HE567" s="93"/>
      <c r="HF567" s="93"/>
      <c r="HG567" s="93"/>
      <c r="HH567" s="20"/>
      <c r="HI567" s="19"/>
      <c r="HJ567" s="93"/>
      <c r="HK567" s="93"/>
      <c r="HL567" s="93"/>
      <c r="HM567" s="93"/>
      <c r="HN567" s="20"/>
      <c r="HO567" s="219"/>
      <c r="HP567" s="20"/>
      <c r="HQ567" s="25"/>
      <c r="HR567" s="29"/>
      <c r="HS567" s="1504">
        <v>51714</v>
      </c>
      <c r="HT567" s="19"/>
      <c r="HU567" s="93"/>
      <c r="HV567" s="93"/>
      <c r="HW567" s="93"/>
      <c r="HX567" s="93"/>
      <c r="HY567" s="93"/>
      <c r="HZ567" s="93"/>
      <c r="IA567" s="20"/>
      <c r="IB567" s="19"/>
      <c r="IC567" s="93"/>
      <c r="ID567" s="93"/>
      <c r="IE567" s="93"/>
      <c r="IF567" s="93"/>
      <c r="IG567" s="20"/>
      <c r="IH567" s="19"/>
      <c r="II567" s="93"/>
      <c r="IJ567" s="93"/>
      <c r="IK567" s="93"/>
      <c r="IL567" s="93"/>
      <c r="IM567" s="93"/>
      <c r="IN567" s="93"/>
      <c r="IO567" s="20"/>
      <c r="IP567" s="29"/>
      <c r="IQ567" s="19"/>
      <c r="IR567" s="93"/>
      <c r="IS567" s="93"/>
      <c r="IT567" s="93"/>
      <c r="IU567" s="93"/>
      <c r="IV567" s="20"/>
      <c r="IW567" s="29"/>
      <c r="IX567" s="19"/>
      <c r="IY567" s="93"/>
      <c r="IZ567" s="93"/>
      <c r="JA567" s="93"/>
      <c r="JB567" s="93"/>
      <c r="JC567" s="93"/>
      <c r="JD567" s="93"/>
      <c r="JE567" s="20"/>
      <c r="JF567" s="29"/>
      <c r="JG567" s="19"/>
      <c r="JH567" s="93"/>
      <c r="JI567" s="93"/>
      <c r="JJ567" s="93"/>
      <c r="JK567" s="93"/>
      <c r="JL567" s="93"/>
      <c r="JM567" s="93"/>
      <c r="JN567" s="20"/>
      <c r="JO567" s="29"/>
      <c r="JP567" s="19"/>
      <c r="JQ567" s="93"/>
      <c r="JR567" s="93"/>
      <c r="JS567" s="93"/>
      <c r="JT567" s="93"/>
      <c r="JU567" s="20"/>
      <c r="JV567" s="29"/>
      <c r="JW567" s="1504">
        <v>51714</v>
      </c>
      <c r="JX567" s="19"/>
      <c r="JY567" s="93"/>
      <c r="JZ567" s="93"/>
      <c r="KA567" s="93"/>
      <c r="KB567" s="93"/>
      <c r="KC567" s="93"/>
      <c r="KD567" s="20"/>
      <c r="KE567" s="29"/>
      <c r="KF567" s="19"/>
      <c r="KG567" s="93"/>
      <c r="KH567" s="93"/>
      <c r="KI567" s="93"/>
      <c r="KJ567" s="93"/>
      <c r="KK567" s="20"/>
      <c r="KL567" s="29"/>
      <c r="KM567" s="19"/>
      <c r="KN567" s="93"/>
      <c r="KO567" s="93"/>
      <c r="KP567" s="93"/>
      <c r="KQ567" s="93"/>
      <c r="KR567" s="20"/>
      <c r="KS567" s="29"/>
      <c r="KT567" s="19"/>
      <c r="KU567" s="93"/>
      <c r="KV567" s="93"/>
      <c r="KW567" s="93"/>
      <c r="KX567" s="93"/>
      <c r="KY567" s="20"/>
      <c r="KZ567" s="29"/>
      <c r="LA567" s="1504">
        <v>51714</v>
      </c>
      <c r="LB567" s="19"/>
      <c r="LC567" s="93"/>
      <c r="LD567" s="93"/>
      <c r="LE567" s="93"/>
      <c r="LF567" s="93"/>
      <c r="LG567" s="93"/>
      <c r="LH567" s="20"/>
      <c r="LI567" s="29"/>
      <c r="LJ567" s="19"/>
      <c r="LK567" s="93"/>
      <c r="LL567" s="93"/>
      <c r="LM567" s="93"/>
      <c r="LN567" s="93"/>
      <c r="LO567" s="20"/>
      <c r="LP567" s="29"/>
      <c r="LQ567" s="19"/>
      <c r="LR567" s="93"/>
      <c r="LS567" s="93"/>
      <c r="LT567" s="93"/>
      <c r="LU567" s="93"/>
      <c r="LV567" s="93"/>
      <c r="LW567" s="93"/>
      <c r="LX567" s="93"/>
      <c r="LY567" s="93"/>
      <c r="LZ567" s="93"/>
      <c r="MA567" s="20"/>
      <c r="MB567" s="29"/>
      <c r="MC567" s="1504">
        <v>51714</v>
      </c>
      <c r="MD567" s="19"/>
      <c r="ME567" s="93"/>
      <c r="MF567" s="93"/>
      <c r="MG567" s="93"/>
      <c r="MH567" s="93"/>
      <c r="MI567" s="93"/>
      <c r="MJ567" s="93"/>
      <c r="MK567" s="93"/>
      <c r="ML567" s="93"/>
      <c r="MM567" s="93"/>
      <c r="MN567" s="93"/>
      <c r="MO567" s="93"/>
      <c r="MP567" s="93"/>
      <c r="MQ567" s="93"/>
      <c r="MR567" s="93"/>
      <c r="MS567" s="93"/>
      <c r="MT567" s="93"/>
      <c r="MU567" s="93"/>
      <c r="MV567" s="93"/>
      <c r="MW567" s="93"/>
      <c r="MX567" s="93"/>
      <c r="MY567" s="93"/>
      <c r="MZ567" s="93"/>
      <c r="NA567" s="93"/>
      <c r="NB567" s="93"/>
      <c r="NC567" s="93"/>
      <c r="ND567" s="93"/>
      <c r="NE567" s="93"/>
      <c r="NF567" s="93"/>
      <c r="NG567" s="93"/>
      <c r="NH567" s="93"/>
      <c r="NI567" s="93"/>
      <c r="NJ567" s="93"/>
      <c r="NK567" s="93"/>
      <c r="NL567" s="93"/>
      <c r="NM567" s="93"/>
      <c r="NN567" s="93"/>
      <c r="NO567" s="93"/>
      <c r="NP567" s="93"/>
      <c r="NQ567" s="93"/>
      <c r="NR567" s="93"/>
      <c r="NS567" s="93"/>
      <c r="NT567" s="93"/>
      <c r="NU567" s="93"/>
      <c r="NV567" s="93"/>
      <c r="NW567" s="93"/>
      <c r="NX567" s="93"/>
      <c r="NY567" s="93"/>
      <c r="NZ567" s="93"/>
      <c r="OA567" s="93"/>
      <c r="OB567" s="93"/>
      <c r="OC567" s="93"/>
      <c r="OD567" s="20"/>
      <c r="OE567" s="29"/>
      <c r="OF567" s="1504">
        <v>51714</v>
      </c>
      <c r="OG567" s="19"/>
      <c r="OH567" s="93"/>
      <c r="OI567" s="93"/>
      <c r="OJ567" s="93"/>
      <c r="OK567" s="93"/>
      <c r="OL567" s="93"/>
      <c r="OM567" s="93"/>
      <c r="ON567" s="93"/>
      <c r="OO567" s="93"/>
      <c r="OP567" s="93"/>
      <c r="OQ567" s="93"/>
      <c r="OR567" s="93"/>
      <c r="OS567" s="93"/>
      <c r="OT567" s="93"/>
      <c r="OU567" s="93"/>
      <c r="OV567" s="93"/>
      <c r="OW567" s="93"/>
      <c r="OX567" s="93"/>
      <c r="OY567" s="93"/>
      <c r="OZ567" s="93"/>
      <c r="PA567" s="93"/>
      <c r="PB567" s="93"/>
      <c r="PC567" s="20"/>
      <c r="PD567" s="29"/>
      <c r="PE567" s="19"/>
      <c r="PF567" s="93"/>
      <c r="PG567" s="93"/>
      <c r="PH567" s="93"/>
      <c r="PI567" s="93"/>
      <c r="PJ567" s="93"/>
      <c r="PK567" s="93"/>
      <c r="PL567" s="93"/>
      <c r="PM567" s="93"/>
      <c r="PN567" s="93"/>
      <c r="PO567" s="93"/>
      <c r="PP567" s="93"/>
      <c r="PQ567" s="93"/>
      <c r="PR567" s="93"/>
      <c r="PS567" s="93"/>
      <c r="PT567" s="93"/>
      <c r="PU567" s="93"/>
      <c r="PV567" s="93"/>
      <c r="PW567" s="93"/>
      <c r="PX567" s="93"/>
      <c r="PY567" s="93"/>
      <c r="PZ567" s="93"/>
      <c r="QA567" s="93"/>
      <c r="QB567" s="93"/>
      <c r="QC567" s="93"/>
      <c r="QD567" s="93"/>
      <c r="QE567" s="20"/>
      <c r="QF567" s="1739"/>
      <c r="QG567" s="19"/>
      <c r="QH567" s="93"/>
      <c r="QI567" s="93"/>
      <c r="QJ567" s="93"/>
      <c r="QK567" s="93"/>
      <c r="QL567" s="93"/>
      <c r="QM567" s="93"/>
      <c r="QN567" s="93"/>
      <c r="QO567" s="93"/>
      <c r="QP567" s="93"/>
      <c r="QQ567" s="93"/>
      <c r="QR567" s="93"/>
      <c r="QS567" s="93"/>
      <c r="QT567" s="93"/>
      <c r="QU567" s="93"/>
      <c r="QV567" s="93"/>
      <c r="QW567" s="93"/>
      <c r="QX567" s="93"/>
      <c r="QY567" s="93"/>
      <c r="QZ567" s="93"/>
      <c r="RA567" s="93"/>
      <c r="RB567" s="93"/>
      <c r="RC567" s="93"/>
      <c r="RD567" s="93"/>
      <c r="RE567" s="93"/>
      <c r="RF567" s="93"/>
      <c r="RG567" s="93"/>
      <c r="RH567" s="93"/>
      <c r="RI567" s="93"/>
      <c r="RJ567" s="93"/>
      <c r="RK567" s="93"/>
      <c r="RL567" s="93"/>
      <c r="RM567" s="20"/>
      <c r="RN567" s="29"/>
      <c r="RO567" s="19"/>
      <c r="RP567" s="20"/>
      <c r="RQ567" s="29"/>
      <c r="RR567" s="20"/>
      <c r="RS567" s="29"/>
      <c r="RT567" s="1504">
        <v>51714</v>
      </c>
      <c r="RU567" s="19"/>
      <c r="RV567" s="20"/>
      <c r="RW567" s="29"/>
      <c r="RX567" s="1504">
        <v>51714</v>
      </c>
      <c r="RY567" s="29"/>
      <c r="RZ567" s="20"/>
      <c r="SA567" s="29"/>
      <c r="SB567" s="29"/>
    </row>
    <row r="568" spans="1:496">
      <c r="A568" s="41">
        <f t="shared" si="362"/>
        <v>2041</v>
      </c>
      <c r="B568" s="1504">
        <v>51745</v>
      </c>
      <c r="C568" s="1813"/>
      <c r="D568" s="1814"/>
      <c r="E568" s="1814"/>
      <c r="F568" s="1815"/>
      <c r="G568" s="1814"/>
      <c r="H568" s="1814"/>
      <c r="I568" s="1814"/>
      <c r="J568" s="1816"/>
      <c r="K568" s="1807"/>
      <c r="L568" s="25"/>
      <c r="M568" s="97"/>
      <c r="N568" s="1504">
        <v>51745</v>
      </c>
      <c r="O568" s="19"/>
      <c r="P568" s="93"/>
      <c r="Q568" s="93"/>
      <c r="R568" s="93"/>
      <c r="S568" s="93"/>
      <c r="T568" s="93"/>
      <c r="U568" s="93"/>
      <c r="V568" s="93"/>
      <c r="W568" s="93"/>
      <c r="X568" s="93"/>
      <c r="Y568" s="93"/>
      <c r="Z568" s="93"/>
      <c r="AA568" s="93"/>
      <c r="AB568" s="20"/>
      <c r="AC568" s="25"/>
      <c r="AD568" s="97"/>
      <c r="AE568" s="1504">
        <v>51745</v>
      </c>
      <c r="AF568" s="19"/>
      <c r="AG568" s="93"/>
      <c r="AH568" s="93"/>
      <c r="AI568" s="93"/>
      <c r="AJ568" s="93"/>
      <c r="AK568" s="93"/>
      <c r="AL568" s="93"/>
      <c r="AM568" s="93"/>
      <c r="AN568" s="93"/>
      <c r="AO568" s="93"/>
      <c r="AP568" s="93"/>
      <c r="AQ568" s="93"/>
      <c r="AR568" s="93"/>
      <c r="AS568" s="20"/>
      <c r="AT568" s="25"/>
      <c r="AU568" s="97"/>
      <c r="AV568" s="1504">
        <v>51745</v>
      </c>
      <c r="AW568" s="19"/>
      <c r="AX568" s="93"/>
      <c r="AY568" s="93"/>
      <c r="AZ568" s="93"/>
      <c r="BA568" s="93"/>
      <c r="BB568" s="93"/>
      <c r="BC568" s="93"/>
      <c r="BD568" s="93"/>
      <c r="BE568" s="93"/>
      <c r="BF568" s="93"/>
      <c r="BG568" s="93"/>
      <c r="BH568" s="93"/>
      <c r="BI568" s="93"/>
      <c r="BJ568" s="20"/>
      <c r="BK568" s="25"/>
      <c r="BL568" s="97"/>
      <c r="BM568" s="1504">
        <v>51745</v>
      </c>
      <c r="BN568" s="19"/>
      <c r="BO568" s="93"/>
      <c r="BP568" s="93"/>
      <c r="BQ568" s="93"/>
      <c r="BR568" s="93"/>
      <c r="BS568" s="93"/>
      <c r="BT568" s="93"/>
      <c r="BU568" s="20"/>
      <c r="BV568" s="25"/>
      <c r="BW568" s="97"/>
      <c r="BX568" s="1504">
        <v>51745</v>
      </c>
      <c r="BY568" s="19"/>
      <c r="BZ568" s="93"/>
      <c r="CA568" s="93"/>
      <c r="CB568" s="93"/>
      <c r="CC568" s="93"/>
      <c r="CD568" s="25"/>
      <c r="CE568" s="97"/>
      <c r="CF568" s="1504">
        <v>51745</v>
      </c>
      <c r="CG568" s="19"/>
      <c r="CH568" s="93"/>
      <c r="CI568" s="219"/>
      <c r="CJ568" s="20"/>
      <c r="CK568" s="19"/>
      <c r="CL568" s="93"/>
      <c r="CM568" s="93"/>
      <c r="CN568" s="93"/>
      <c r="CO568" s="93"/>
      <c r="CP568" s="20"/>
      <c r="CQ568" s="219"/>
      <c r="CR568" s="93"/>
      <c r="CS568" s="93"/>
      <c r="CT568" s="93"/>
      <c r="CU568" s="93"/>
      <c r="CV568" s="214"/>
      <c r="CW568" s="29"/>
      <c r="CX568" s="41">
        <f t="shared" si="361"/>
        <v>2041</v>
      </c>
      <c r="CY568" s="1504">
        <v>51745</v>
      </c>
      <c r="CZ568" s="19"/>
      <c r="DA568" s="93"/>
      <c r="DB568" s="93"/>
      <c r="DC568" s="93"/>
      <c r="DD568" s="93"/>
      <c r="DE568" s="20"/>
      <c r="DF568" s="29"/>
      <c r="DG568" s="1504">
        <v>51745</v>
      </c>
      <c r="DH568" s="19"/>
      <c r="DI568" s="93"/>
      <c r="DJ568" s="93"/>
      <c r="DK568" s="93"/>
      <c r="DL568" s="93"/>
      <c r="DM568" s="93"/>
      <c r="DN568" s="20"/>
      <c r="DO568" s="295"/>
      <c r="DP568" s="29"/>
      <c r="DQ568" s="1504">
        <v>51745</v>
      </c>
      <c r="DR568" s="19"/>
      <c r="DS568" s="93"/>
      <c r="DT568" s="93"/>
      <c r="DU568" s="93"/>
      <c r="DV568" s="93"/>
      <c r="DW568" s="93"/>
      <c r="DX568" s="20"/>
      <c r="DY568" s="29"/>
      <c r="DZ568" s="1504">
        <v>51745</v>
      </c>
      <c r="EA568" s="19"/>
      <c r="EB568" s="93"/>
      <c r="EC568" s="20"/>
      <c r="ED568" s="29"/>
      <c r="EE568" s="1504">
        <v>51745</v>
      </c>
      <c r="EF568" s="19"/>
      <c r="EG568" s="93"/>
      <c r="EH568" s="93"/>
      <c r="EI568" s="214"/>
      <c r="EJ568" s="93"/>
      <c r="EK568" s="93"/>
      <c r="EL568" s="93"/>
      <c r="EM568" s="93"/>
      <c r="EN568" s="20"/>
      <c r="EO568" s="29"/>
      <c r="EP568" s="1504">
        <v>51745</v>
      </c>
      <c r="EQ568" s="19"/>
      <c r="ER568" s="93"/>
      <c r="ES568" s="93"/>
      <c r="ET568" s="214"/>
      <c r="EU568" s="93"/>
      <c r="EV568" s="93"/>
      <c r="EW568" s="93"/>
      <c r="EX568" s="93"/>
      <c r="EY568" s="20"/>
      <c r="EZ568" s="29"/>
      <c r="FA568" s="1504">
        <v>51745</v>
      </c>
      <c r="FB568" s="29"/>
      <c r="FC568" s="29"/>
      <c r="FD568" s="29"/>
      <c r="FE568" s="29"/>
      <c r="FF568" s="29"/>
      <c r="FG568" s="29"/>
      <c r="FH568" s="29"/>
      <c r="FI568" s="29"/>
      <c r="FJ568" s="29"/>
      <c r="FK568" s="29"/>
      <c r="FL568" s="1504">
        <v>51745</v>
      </c>
      <c r="FM568" s="19"/>
      <c r="FN568" s="93"/>
      <c r="FO568" s="93"/>
      <c r="FP568" s="93"/>
      <c r="FQ568" s="93"/>
      <c r="FR568" s="93"/>
      <c r="FS568" s="93"/>
      <c r="FT568" s="93"/>
      <c r="FU568" s="93"/>
      <c r="FV568" s="93"/>
      <c r="FW568" s="93"/>
      <c r="FX568" s="93"/>
      <c r="FY568" s="93"/>
      <c r="FZ568" s="29"/>
      <c r="GA568" s="1504">
        <v>51745</v>
      </c>
      <c r="GB568" s="19"/>
      <c r="GC568" s="93"/>
      <c r="GD568" s="93"/>
      <c r="GE568" s="93"/>
      <c r="GF568" s="93"/>
      <c r="GG568" s="93"/>
      <c r="GH568" s="93"/>
      <c r="GI568" s="93"/>
      <c r="GJ568" s="93"/>
      <c r="GK568" s="93"/>
      <c r="GL568" s="93"/>
      <c r="GM568" s="93"/>
      <c r="GN568" s="20"/>
      <c r="GO568" s="29"/>
      <c r="GP568" s="1504">
        <v>51745</v>
      </c>
      <c r="GQ568" s="19"/>
      <c r="GR568" s="93"/>
      <c r="GS568" s="93"/>
      <c r="GT568" s="93"/>
      <c r="GU568" s="93"/>
      <c r="GV568" s="20"/>
      <c r="GW568" s="19"/>
      <c r="GX568" s="93"/>
      <c r="GY568" s="93"/>
      <c r="GZ568" s="93"/>
      <c r="HA568" s="93"/>
      <c r="HB568" s="20"/>
      <c r="HC568" s="19"/>
      <c r="HD568" s="93"/>
      <c r="HE568" s="93"/>
      <c r="HF568" s="93"/>
      <c r="HG568" s="93"/>
      <c r="HH568" s="20"/>
      <c r="HI568" s="19"/>
      <c r="HJ568" s="93"/>
      <c r="HK568" s="93"/>
      <c r="HL568" s="93"/>
      <c r="HM568" s="93"/>
      <c r="HN568" s="20"/>
      <c r="HO568" s="219"/>
      <c r="HP568" s="20"/>
      <c r="HQ568" s="25"/>
      <c r="HR568" s="29"/>
      <c r="HS568" s="1504">
        <v>51745</v>
      </c>
      <c r="HT568" s="19"/>
      <c r="HU568" s="93"/>
      <c r="HV568" s="93"/>
      <c r="HW568" s="93"/>
      <c r="HX568" s="93"/>
      <c r="HY568" s="93"/>
      <c r="HZ568" s="93"/>
      <c r="IA568" s="20"/>
      <c r="IB568" s="19"/>
      <c r="IC568" s="93"/>
      <c r="ID568" s="93"/>
      <c r="IE568" s="93"/>
      <c r="IF568" s="93"/>
      <c r="IG568" s="20"/>
      <c r="IH568" s="19"/>
      <c r="II568" s="93"/>
      <c r="IJ568" s="93"/>
      <c r="IK568" s="93"/>
      <c r="IL568" s="93"/>
      <c r="IM568" s="93"/>
      <c r="IN568" s="93"/>
      <c r="IO568" s="20"/>
      <c r="IP568" s="29"/>
      <c r="IQ568" s="19"/>
      <c r="IR568" s="93"/>
      <c r="IS568" s="93"/>
      <c r="IT568" s="93"/>
      <c r="IU568" s="93"/>
      <c r="IV568" s="20"/>
      <c r="IW568" s="29"/>
      <c r="IX568" s="19"/>
      <c r="IY568" s="93"/>
      <c r="IZ568" s="93"/>
      <c r="JA568" s="93"/>
      <c r="JB568" s="93"/>
      <c r="JC568" s="93"/>
      <c r="JD568" s="93"/>
      <c r="JE568" s="20"/>
      <c r="JF568" s="29"/>
      <c r="JG568" s="19"/>
      <c r="JH568" s="93"/>
      <c r="JI568" s="93"/>
      <c r="JJ568" s="93"/>
      <c r="JK568" s="93"/>
      <c r="JL568" s="93"/>
      <c r="JM568" s="93"/>
      <c r="JN568" s="20"/>
      <c r="JO568" s="29"/>
      <c r="JP568" s="19"/>
      <c r="JQ568" s="93"/>
      <c r="JR568" s="93"/>
      <c r="JS568" s="93"/>
      <c r="JT568" s="93"/>
      <c r="JU568" s="20"/>
      <c r="JV568" s="29"/>
      <c r="JW568" s="1504">
        <v>51745</v>
      </c>
      <c r="JX568" s="19"/>
      <c r="JY568" s="93"/>
      <c r="JZ568" s="93"/>
      <c r="KA568" s="93"/>
      <c r="KB568" s="93"/>
      <c r="KC568" s="93"/>
      <c r="KD568" s="20"/>
      <c r="KE568" s="29"/>
      <c r="KF568" s="19"/>
      <c r="KG568" s="93"/>
      <c r="KH568" s="93"/>
      <c r="KI568" s="93"/>
      <c r="KJ568" s="93"/>
      <c r="KK568" s="20"/>
      <c r="KL568" s="29"/>
      <c r="KM568" s="19"/>
      <c r="KN568" s="93"/>
      <c r="KO568" s="93"/>
      <c r="KP568" s="93"/>
      <c r="KQ568" s="93"/>
      <c r="KR568" s="20"/>
      <c r="KS568" s="29"/>
      <c r="KT568" s="19"/>
      <c r="KU568" s="93"/>
      <c r="KV568" s="93"/>
      <c r="KW568" s="93"/>
      <c r="KX568" s="93"/>
      <c r="KY568" s="20"/>
      <c r="KZ568" s="29"/>
      <c r="LA568" s="1504">
        <v>51745</v>
      </c>
      <c r="LB568" s="19"/>
      <c r="LC568" s="93"/>
      <c r="LD568" s="93"/>
      <c r="LE568" s="93"/>
      <c r="LF568" s="93"/>
      <c r="LG568" s="93"/>
      <c r="LH568" s="20"/>
      <c r="LI568" s="29"/>
      <c r="LJ568" s="19"/>
      <c r="LK568" s="93"/>
      <c r="LL568" s="93"/>
      <c r="LM568" s="93"/>
      <c r="LN568" s="93"/>
      <c r="LO568" s="20"/>
      <c r="LP568" s="29"/>
      <c r="LQ568" s="19"/>
      <c r="LR568" s="93"/>
      <c r="LS568" s="93"/>
      <c r="LT568" s="93"/>
      <c r="LU568" s="93"/>
      <c r="LV568" s="93"/>
      <c r="LW568" s="93"/>
      <c r="LX568" s="93"/>
      <c r="LY568" s="93"/>
      <c r="LZ568" s="93"/>
      <c r="MA568" s="20"/>
      <c r="MB568" s="29"/>
      <c r="MC568" s="1504">
        <v>51745</v>
      </c>
      <c r="MD568" s="19"/>
      <c r="ME568" s="93"/>
      <c r="MF568" s="93"/>
      <c r="MG568" s="93"/>
      <c r="MH568" s="93"/>
      <c r="MI568" s="93"/>
      <c r="MJ568" s="93"/>
      <c r="MK568" s="93"/>
      <c r="ML568" s="93"/>
      <c r="MM568" s="93"/>
      <c r="MN568" s="93"/>
      <c r="MO568" s="93"/>
      <c r="MP568" s="93"/>
      <c r="MQ568" s="93"/>
      <c r="MR568" s="93"/>
      <c r="MS568" s="93"/>
      <c r="MT568" s="93"/>
      <c r="MU568" s="93"/>
      <c r="MV568" s="93"/>
      <c r="MW568" s="93"/>
      <c r="MX568" s="93"/>
      <c r="MY568" s="93"/>
      <c r="MZ568" s="93"/>
      <c r="NA568" s="93"/>
      <c r="NB568" s="93"/>
      <c r="NC568" s="93"/>
      <c r="ND568" s="93"/>
      <c r="NE568" s="93"/>
      <c r="NF568" s="93"/>
      <c r="NG568" s="93"/>
      <c r="NH568" s="93"/>
      <c r="NI568" s="93"/>
      <c r="NJ568" s="93"/>
      <c r="NK568" s="93"/>
      <c r="NL568" s="93"/>
      <c r="NM568" s="93"/>
      <c r="NN568" s="93"/>
      <c r="NO568" s="93"/>
      <c r="NP568" s="93"/>
      <c r="NQ568" s="93"/>
      <c r="NR568" s="93"/>
      <c r="NS568" s="93"/>
      <c r="NT568" s="93"/>
      <c r="NU568" s="93"/>
      <c r="NV568" s="93"/>
      <c r="NW568" s="93"/>
      <c r="NX568" s="93"/>
      <c r="NY568" s="93"/>
      <c r="NZ568" s="93"/>
      <c r="OA568" s="93"/>
      <c r="OB568" s="93"/>
      <c r="OC568" s="93"/>
      <c r="OD568" s="20"/>
      <c r="OE568" s="29"/>
      <c r="OF568" s="1504">
        <v>51745</v>
      </c>
      <c r="OG568" s="19"/>
      <c r="OH568" s="93"/>
      <c r="OI568" s="93"/>
      <c r="OJ568" s="93"/>
      <c r="OK568" s="93"/>
      <c r="OL568" s="93"/>
      <c r="OM568" s="93"/>
      <c r="ON568" s="93"/>
      <c r="OO568" s="93"/>
      <c r="OP568" s="93"/>
      <c r="OQ568" s="93"/>
      <c r="OR568" s="93"/>
      <c r="OS568" s="93"/>
      <c r="OT568" s="93"/>
      <c r="OU568" s="93"/>
      <c r="OV568" s="93"/>
      <c r="OW568" s="93"/>
      <c r="OX568" s="93"/>
      <c r="OY568" s="93"/>
      <c r="OZ568" s="93"/>
      <c r="PA568" s="93"/>
      <c r="PB568" s="93"/>
      <c r="PC568" s="20"/>
      <c r="PD568" s="29"/>
      <c r="PE568" s="19"/>
      <c r="PF568" s="93"/>
      <c r="PG568" s="93"/>
      <c r="PH568" s="93"/>
      <c r="PI568" s="93"/>
      <c r="PJ568" s="93"/>
      <c r="PK568" s="93"/>
      <c r="PL568" s="93"/>
      <c r="PM568" s="93"/>
      <c r="PN568" s="93"/>
      <c r="PO568" s="93"/>
      <c r="PP568" s="93"/>
      <c r="PQ568" s="93"/>
      <c r="PR568" s="93"/>
      <c r="PS568" s="93"/>
      <c r="PT568" s="93"/>
      <c r="PU568" s="93"/>
      <c r="PV568" s="93"/>
      <c r="PW568" s="93"/>
      <c r="PX568" s="93"/>
      <c r="PY568" s="93"/>
      <c r="PZ568" s="93"/>
      <c r="QA568" s="93"/>
      <c r="QB568" s="93"/>
      <c r="QC568" s="93"/>
      <c r="QD568" s="93"/>
      <c r="QE568" s="20"/>
      <c r="QF568" s="1739"/>
      <c r="QG568" s="19"/>
      <c r="QH568" s="93"/>
      <c r="QI568" s="93"/>
      <c r="QJ568" s="93"/>
      <c r="QK568" s="93"/>
      <c r="QL568" s="93"/>
      <c r="QM568" s="93"/>
      <c r="QN568" s="93"/>
      <c r="QO568" s="93"/>
      <c r="QP568" s="93"/>
      <c r="QQ568" s="93"/>
      <c r="QR568" s="93"/>
      <c r="QS568" s="93"/>
      <c r="QT568" s="93"/>
      <c r="QU568" s="93"/>
      <c r="QV568" s="93"/>
      <c r="QW568" s="93"/>
      <c r="QX568" s="93"/>
      <c r="QY568" s="93"/>
      <c r="QZ568" s="93"/>
      <c r="RA568" s="93"/>
      <c r="RB568" s="93"/>
      <c r="RC568" s="93"/>
      <c r="RD568" s="93"/>
      <c r="RE568" s="93"/>
      <c r="RF568" s="93"/>
      <c r="RG568" s="93"/>
      <c r="RH568" s="93"/>
      <c r="RI568" s="93"/>
      <c r="RJ568" s="93"/>
      <c r="RK568" s="93"/>
      <c r="RL568" s="93"/>
      <c r="RM568" s="20"/>
      <c r="RN568" s="29"/>
      <c r="RO568" s="19"/>
      <c r="RP568" s="20"/>
      <c r="RQ568" s="29"/>
      <c r="RR568" s="20"/>
      <c r="RS568" s="29"/>
      <c r="RT568" s="1504">
        <v>51745</v>
      </c>
      <c r="RU568" s="19"/>
      <c r="RV568" s="20"/>
      <c r="RW568" s="29"/>
      <c r="RX568" s="1504">
        <v>51745</v>
      </c>
      <c r="RY568" s="29"/>
      <c r="RZ568" s="20"/>
      <c r="SA568" s="29"/>
      <c r="SB568" s="29"/>
    </row>
    <row r="569" spans="1:496">
      <c r="A569" s="41">
        <f t="shared" si="362"/>
        <v>2041</v>
      </c>
      <c r="B569" s="1504">
        <v>51775</v>
      </c>
      <c r="C569" s="1813"/>
      <c r="D569" s="1814"/>
      <c r="E569" s="1814"/>
      <c r="F569" s="1815"/>
      <c r="G569" s="1814"/>
      <c r="H569" s="1814"/>
      <c r="I569" s="1814"/>
      <c r="J569" s="1816"/>
      <c r="K569" s="1807"/>
      <c r="L569" s="25"/>
      <c r="M569" s="97"/>
      <c r="N569" s="1504">
        <v>51775</v>
      </c>
      <c r="O569" s="19"/>
      <c r="P569" s="93"/>
      <c r="Q569" s="93"/>
      <c r="R569" s="93"/>
      <c r="S569" s="93"/>
      <c r="T569" s="93"/>
      <c r="U569" s="93"/>
      <c r="V569" s="93"/>
      <c r="W569" s="93"/>
      <c r="X569" s="93"/>
      <c r="Y569" s="93"/>
      <c r="Z569" s="93"/>
      <c r="AA569" s="93"/>
      <c r="AB569" s="20"/>
      <c r="AC569" s="25"/>
      <c r="AD569" s="97"/>
      <c r="AE569" s="1504">
        <v>51775</v>
      </c>
      <c r="AF569" s="19"/>
      <c r="AG569" s="93"/>
      <c r="AH569" s="93"/>
      <c r="AI569" s="93"/>
      <c r="AJ569" s="93"/>
      <c r="AK569" s="93"/>
      <c r="AL569" s="93"/>
      <c r="AM569" s="93"/>
      <c r="AN569" s="93"/>
      <c r="AO569" s="93"/>
      <c r="AP569" s="93"/>
      <c r="AQ569" s="93"/>
      <c r="AR569" s="93"/>
      <c r="AS569" s="20"/>
      <c r="AT569" s="25"/>
      <c r="AU569" s="97"/>
      <c r="AV569" s="1504">
        <v>51775</v>
      </c>
      <c r="AW569" s="19"/>
      <c r="AX569" s="93"/>
      <c r="AY569" s="93"/>
      <c r="AZ569" s="93"/>
      <c r="BA569" s="93"/>
      <c r="BB569" s="93"/>
      <c r="BC569" s="93"/>
      <c r="BD569" s="93"/>
      <c r="BE569" s="93"/>
      <c r="BF569" s="93"/>
      <c r="BG569" s="93"/>
      <c r="BH569" s="93"/>
      <c r="BI569" s="93"/>
      <c r="BJ569" s="20"/>
      <c r="BK569" s="25"/>
      <c r="BL569" s="97"/>
      <c r="BM569" s="1504">
        <v>51775</v>
      </c>
      <c r="BN569" s="19"/>
      <c r="BO569" s="93"/>
      <c r="BP569" s="93"/>
      <c r="BQ569" s="93"/>
      <c r="BR569" s="93"/>
      <c r="BS569" s="93"/>
      <c r="BT569" s="93"/>
      <c r="BU569" s="20"/>
      <c r="BV569" s="25"/>
      <c r="BW569" s="97"/>
      <c r="BX569" s="1504">
        <v>51775</v>
      </c>
      <c r="BY569" s="19"/>
      <c r="BZ569" s="93"/>
      <c r="CA569" s="93"/>
      <c r="CB569" s="93"/>
      <c r="CC569" s="93"/>
      <c r="CD569" s="25"/>
      <c r="CE569" s="97"/>
      <c r="CF569" s="1504">
        <v>51775</v>
      </c>
      <c r="CG569" s="19"/>
      <c r="CH569" s="93"/>
      <c r="CI569" s="219"/>
      <c r="CJ569" s="20"/>
      <c r="CK569" s="19"/>
      <c r="CL569" s="93"/>
      <c r="CM569" s="93"/>
      <c r="CN569" s="93"/>
      <c r="CO569" s="93"/>
      <c r="CP569" s="20"/>
      <c r="CQ569" s="219"/>
      <c r="CR569" s="93"/>
      <c r="CS569" s="93"/>
      <c r="CT569" s="93"/>
      <c r="CU569" s="93"/>
      <c r="CV569" s="214"/>
      <c r="CW569" s="29"/>
      <c r="CX569" s="41">
        <f t="shared" si="361"/>
        <v>2041</v>
      </c>
      <c r="CY569" s="1504">
        <v>51775</v>
      </c>
      <c r="CZ569" s="19"/>
      <c r="DA569" s="93"/>
      <c r="DB569" s="93"/>
      <c r="DC569" s="93"/>
      <c r="DD569" s="93"/>
      <c r="DE569" s="20"/>
      <c r="DF569" s="29"/>
      <c r="DG569" s="1504">
        <v>51775</v>
      </c>
      <c r="DH569" s="19"/>
      <c r="DI569" s="93"/>
      <c r="DJ569" s="93"/>
      <c r="DK569" s="93"/>
      <c r="DL569" s="93"/>
      <c r="DM569" s="93"/>
      <c r="DN569" s="20"/>
      <c r="DO569" s="295"/>
      <c r="DP569" s="29"/>
      <c r="DQ569" s="1504">
        <v>51775</v>
      </c>
      <c r="DR569" s="19"/>
      <c r="DS569" s="93"/>
      <c r="DT569" s="93"/>
      <c r="DU569" s="93"/>
      <c r="DV569" s="93"/>
      <c r="DW569" s="93"/>
      <c r="DX569" s="20"/>
      <c r="DY569" s="29"/>
      <c r="DZ569" s="1504">
        <v>51775</v>
      </c>
      <c r="EA569" s="19"/>
      <c r="EB569" s="93"/>
      <c r="EC569" s="20"/>
      <c r="ED569" s="29"/>
      <c r="EE569" s="1504">
        <v>51775</v>
      </c>
      <c r="EF569" s="19"/>
      <c r="EG569" s="93"/>
      <c r="EH569" s="93"/>
      <c r="EI569" s="214"/>
      <c r="EJ569" s="93"/>
      <c r="EK569" s="93"/>
      <c r="EL569" s="93"/>
      <c r="EM569" s="93"/>
      <c r="EN569" s="20"/>
      <c r="EO569" s="29"/>
      <c r="EP569" s="1504">
        <v>51775</v>
      </c>
      <c r="EQ569" s="19"/>
      <c r="ER569" s="93"/>
      <c r="ES569" s="93"/>
      <c r="ET569" s="214"/>
      <c r="EU569" s="93"/>
      <c r="EV569" s="93"/>
      <c r="EW569" s="93"/>
      <c r="EX569" s="93"/>
      <c r="EY569" s="20"/>
      <c r="EZ569" s="29"/>
      <c r="FA569" s="1504">
        <v>51775</v>
      </c>
      <c r="FB569" s="29"/>
      <c r="FC569" s="29"/>
      <c r="FD569" s="29"/>
      <c r="FE569" s="29"/>
      <c r="FF569" s="29"/>
      <c r="FG569" s="29"/>
      <c r="FH569" s="29"/>
      <c r="FI569" s="29"/>
      <c r="FJ569" s="29"/>
      <c r="FK569" s="29"/>
      <c r="FL569" s="1504">
        <v>51775</v>
      </c>
      <c r="FM569" s="19"/>
      <c r="FN569" s="93"/>
      <c r="FO569" s="93"/>
      <c r="FP569" s="93"/>
      <c r="FQ569" s="93"/>
      <c r="FR569" s="93"/>
      <c r="FS569" s="93"/>
      <c r="FT569" s="93"/>
      <c r="FU569" s="93"/>
      <c r="FV569" s="93"/>
      <c r="FW569" s="93"/>
      <c r="FX569" s="93"/>
      <c r="FY569" s="93"/>
      <c r="FZ569" s="29"/>
      <c r="GA569" s="1504">
        <v>51775</v>
      </c>
      <c r="GB569" s="19"/>
      <c r="GC569" s="93"/>
      <c r="GD569" s="93"/>
      <c r="GE569" s="93"/>
      <c r="GF569" s="93"/>
      <c r="GG569" s="93"/>
      <c r="GH569" s="93"/>
      <c r="GI569" s="93"/>
      <c r="GJ569" s="93"/>
      <c r="GK569" s="93"/>
      <c r="GL569" s="93"/>
      <c r="GM569" s="93"/>
      <c r="GN569" s="20"/>
      <c r="GO569" s="29"/>
      <c r="GP569" s="1504">
        <v>51775</v>
      </c>
      <c r="GQ569" s="19"/>
      <c r="GR569" s="93"/>
      <c r="GS569" s="93"/>
      <c r="GT569" s="93"/>
      <c r="GU569" s="93"/>
      <c r="GV569" s="20"/>
      <c r="GW569" s="19"/>
      <c r="GX569" s="93"/>
      <c r="GY569" s="93"/>
      <c r="GZ569" s="93"/>
      <c r="HA569" s="93"/>
      <c r="HB569" s="20"/>
      <c r="HC569" s="19"/>
      <c r="HD569" s="93"/>
      <c r="HE569" s="93"/>
      <c r="HF569" s="93"/>
      <c r="HG569" s="93"/>
      <c r="HH569" s="20"/>
      <c r="HI569" s="19"/>
      <c r="HJ569" s="93"/>
      <c r="HK569" s="93"/>
      <c r="HL569" s="93"/>
      <c r="HM569" s="93"/>
      <c r="HN569" s="20"/>
      <c r="HO569" s="219"/>
      <c r="HP569" s="20"/>
      <c r="HQ569" s="25"/>
      <c r="HR569" s="29"/>
      <c r="HS569" s="1504">
        <v>51775</v>
      </c>
      <c r="HT569" s="19"/>
      <c r="HU569" s="93"/>
      <c r="HV569" s="93"/>
      <c r="HW569" s="93"/>
      <c r="HX569" s="93"/>
      <c r="HY569" s="93"/>
      <c r="HZ569" s="93"/>
      <c r="IA569" s="20"/>
      <c r="IB569" s="19"/>
      <c r="IC569" s="93"/>
      <c r="ID569" s="93"/>
      <c r="IE569" s="93"/>
      <c r="IF569" s="93"/>
      <c r="IG569" s="20"/>
      <c r="IH569" s="19"/>
      <c r="II569" s="93"/>
      <c r="IJ569" s="93"/>
      <c r="IK569" s="93"/>
      <c r="IL569" s="93"/>
      <c r="IM569" s="93"/>
      <c r="IN569" s="93"/>
      <c r="IO569" s="20"/>
      <c r="IP569" s="29"/>
      <c r="IQ569" s="19"/>
      <c r="IR569" s="93"/>
      <c r="IS569" s="93"/>
      <c r="IT569" s="93"/>
      <c r="IU569" s="93"/>
      <c r="IV569" s="20"/>
      <c r="IW569" s="29"/>
      <c r="IX569" s="19"/>
      <c r="IY569" s="93"/>
      <c r="IZ569" s="93"/>
      <c r="JA569" s="93"/>
      <c r="JB569" s="93"/>
      <c r="JC569" s="93"/>
      <c r="JD569" s="93"/>
      <c r="JE569" s="20"/>
      <c r="JF569" s="29"/>
      <c r="JG569" s="19"/>
      <c r="JH569" s="93"/>
      <c r="JI569" s="93"/>
      <c r="JJ569" s="93"/>
      <c r="JK569" s="93"/>
      <c r="JL569" s="93"/>
      <c r="JM569" s="93"/>
      <c r="JN569" s="20"/>
      <c r="JO569" s="29"/>
      <c r="JP569" s="19"/>
      <c r="JQ569" s="93"/>
      <c r="JR569" s="93"/>
      <c r="JS569" s="93"/>
      <c r="JT569" s="93"/>
      <c r="JU569" s="20"/>
      <c r="JV569" s="29"/>
      <c r="JW569" s="1504">
        <v>51775</v>
      </c>
      <c r="JX569" s="19"/>
      <c r="JY569" s="93"/>
      <c r="JZ569" s="93"/>
      <c r="KA569" s="93"/>
      <c r="KB569" s="93"/>
      <c r="KC569" s="93"/>
      <c r="KD569" s="20"/>
      <c r="KE569" s="29"/>
      <c r="KF569" s="19"/>
      <c r="KG569" s="93"/>
      <c r="KH569" s="93"/>
      <c r="KI569" s="93"/>
      <c r="KJ569" s="93"/>
      <c r="KK569" s="20"/>
      <c r="KL569" s="29"/>
      <c r="KM569" s="19"/>
      <c r="KN569" s="93"/>
      <c r="KO569" s="93"/>
      <c r="KP569" s="93"/>
      <c r="KQ569" s="93"/>
      <c r="KR569" s="20"/>
      <c r="KS569" s="29"/>
      <c r="KT569" s="19"/>
      <c r="KU569" s="93"/>
      <c r="KV569" s="93"/>
      <c r="KW569" s="93"/>
      <c r="KX569" s="93"/>
      <c r="KY569" s="20"/>
      <c r="KZ569" s="29"/>
      <c r="LA569" s="1504">
        <v>51775</v>
      </c>
      <c r="LB569" s="19"/>
      <c r="LC569" s="93"/>
      <c r="LD569" s="93"/>
      <c r="LE569" s="93"/>
      <c r="LF569" s="93"/>
      <c r="LG569" s="93"/>
      <c r="LH569" s="20"/>
      <c r="LI569" s="29"/>
      <c r="LJ569" s="19"/>
      <c r="LK569" s="93"/>
      <c r="LL569" s="93"/>
      <c r="LM569" s="93"/>
      <c r="LN569" s="93"/>
      <c r="LO569" s="20"/>
      <c r="LP569" s="29"/>
      <c r="LQ569" s="19"/>
      <c r="LR569" s="93"/>
      <c r="LS569" s="93"/>
      <c r="LT569" s="93"/>
      <c r="LU569" s="93"/>
      <c r="LV569" s="93"/>
      <c r="LW569" s="93"/>
      <c r="LX569" s="93"/>
      <c r="LY569" s="93"/>
      <c r="LZ569" s="93"/>
      <c r="MA569" s="20"/>
      <c r="MB569" s="29"/>
      <c r="MC569" s="1504">
        <v>51775</v>
      </c>
      <c r="MD569" s="19"/>
      <c r="ME569" s="93"/>
      <c r="MF569" s="93"/>
      <c r="MG569" s="93"/>
      <c r="MH569" s="93"/>
      <c r="MI569" s="93"/>
      <c r="MJ569" s="93"/>
      <c r="MK569" s="93"/>
      <c r="ML569" s="93"/>
      <c r="MM569" s="93"/>
      <c r="MN569" s="93"/>
      <c r="MO569" s="93"/>
      <c r="MP569" s="93"/>
      <c r="MQ569" s="93"/>
      <c r="MR569" s="93"/>
      <c r="MS569" s="93"/>
      <c r="MT569" s="93"/>
      <c r="MU569" s="93"/>
      <c r="MV569" s="93"/>
      <c r="MW569" s="93"/>
      <c r="MX569" s="93"/>
      <c r="MY569" s="93"/>
      <c r="MZ569" s="93"/>
      <c r="NA569" s="93"/>
      <c r="NB569" s="93"/>
      <c r="NC569" s="93"/>
      <c r="ND569" s="93"/>
      <c r="NE569" s="93"/>
      <c r="NF569" s="93"/>
      <c r="NG569" s="93"/>
      <c r="NH569" s="93"/>
      <c r="NI569" s="93"/>
      <c r="NJ569" s="93"/>
      <c r="NK569" s="93"/>
      <c r="NL569" s="93"/>
      <c r="NM569" s="93"/>
      <c r="NN569" s="93"/>
      <c r="NO569" s="93"/>
      <c r="NP569" s="93"/>
      <c r="NQ569" s="93"/>
      <c r="NR569" s="93"/>
      <c r="NS569" s="93"/>
      <c r="NT569" s="93"/>
      <c r="NU569" s="93"/>
      <c r="NV569" s="93"/>
      <c r="NW569" s="93"/>
      <c r="NX569" s="93"/>
      <c r="NY569" s="93"/>
      <c r="NZ569" s="93"/>
      <c r="OA569" s="93"/>
      <c r="OB569" s="93"/>
      <c r="OC569" s="93"/>
      <c r="OD569" s="20"/>
      <c r="OE569" s="29"/>
      <c r="OF569" s="1504">
        <v>51775</v>
      </c>
      <c r="OG569" s="19"/>
      <c r="OH569" s="93"/>
      <c r="OI569" s="93"/>
      <c r="OJ569" s="93"/>
      <c r="OK569" s="93"/>
      <c r="OL569" s="93"/>
      <c r="OM569" s="93"/>
      <c r="ON569" s="93"/>
      <c r="OO569" s="93"/>
      <c r="OP569" s="93"/>
      <c r="OQ569" s="93"/>
      <c r="OR569" s="93"/>
      <c r="OS569" s="93"/>
      <c r="OT569" s="93"/>
      <c r="OU569" s="93"/>
      <c r="OV569" s="93"/>
      <c r="OW569" s="93"/>
      <c r="OX569" s="93"/>
      <c r="OY569" s="93"/>
      <c r="OZ569" s="93"/>
      <c r="PA569" s="93"/>
      <c r="PB569" s="93"/>
      <c r="PC569" s="20"/>
      <c r="PD569" s="29"/>
      <c r="PE569" s="19"/>
      <c r="PF569" s="93"/>
      <c r="PG569" s="93"/>
      <c r="PH569" s="93"/>
      <c r="PI569" s="93"/>
      <c r="PJ569" s="93"/>
      <c r="PK569" s="93"/>
      <c r="PL569" s="93"/>
      <c r="PM569" s="93"/>
      <c r="PN569" s="93"/>
      <c r="PO569" s="93"/>
      <c r="PP569" s="93"/>
      <c r="PQ569" s="93"/>
      <c r="PR569" s="93"/>
      <c r="PS569" s="93"/>
      <c r="PT569" s="93"/>
      <c r="PU569" s="93"/>
      <c r="PV569" s="93"/>
      <c r="PW569" s="93"/>
      <c r="PX569" s="93"/>
      <c r="PY569" s="93"/>
      <c r="PZ569" s="93"/>
      <c r="QA569" s="93"/>
      <c r="QB569" s="93"/>
      <c r="QC569" s="93"/>
      <c r="QD569" s="93"/>
      <c r="QE569" s="20"/>
      <c r="QF569" s="1739"/>
      <c r="QG569" s="19"/>
      <c r="QH569" s="93"/>
      <c r="QI569" s="93"/>
      <c r="QJ569" s="93"/>
      <c r="QK569" s="93"/>
      <c r="QL569" s="93"/>
      <c r="QM569" s="93"/>
      <c r="QN569" s="93"/>
      <c r="QO569" s="93"/>
      <c r="QP569" s="93"/>
      <c r="QQ569" s="93"/>
      <c r="QR569" s="93"/>
      <c r="QS569" s="93"/>
      <c r="QT569" s="93"/>
      <c r="QU569" s="93"/>
      <c r="QV569" s="93"/>
      <c r="QW569" s="93"/>
      <c r="QX569" s="93"/>
      <c r="QY569" s="93"/>
      <c r="QZ569" s="93"/>
      <c r="RA569" s="93"/>
      <c r="RB569" s="93"/>
      <c r="RC569" s="93"/>
      <c r="RD569" s="93"/>
      <c r="RE569" s="93"/>
      <c r="RF569" s="93"/>
      <c r="RG569" s="93"/>
      <c r="RH569" s="93"/>
      <c r="RI569" s="93"/>
      <c r="RJ569" s="93"/>
      <c r="RK569" s="93"/>
      <c r="RL569" s="93"/>
      <c r="RM569" s="20"/>
      <c r="RN569" s="29"/>
      <c r="RO569" s="19"/>
      <c r="RP569" s="20"/>
      <c r="RQ569" s="29"/>
      <c r="RR569" s="20"/>
      <c r="RS569" s="29"/>
      <c r="RT569" s="1504">
        <v>51775</v>
      </c>
      <c r="RU569" s="19"/>
      <c r="RV569" s="20"/>
      <c r="RW569" s="29"/>
      <c r="RX569" s="1504">
        <v>51775</v>
      </c>
      <c r="RY569" s="29"/>
      <c r="RZ569" s="20"/>
      <c r="SA569" s="29"/>
      <c r="SB569" s="29"/>
    </row>
    <row r="570" spans="1:496">
      <c r="A570" s="41">
        <f t="shared" si="362"/>
        <v>2041</v>
      </c>
      <c r="B570" s="1504">
        <v>51806</v>
      </c>
      <c r="C570" s="1813"/>
      <c r="D570" s="1814"/>
      <c r="E570" s="1814"/>
      <c r="F570" s="1815"/>
      <c r="G570" s="1814"/>
      <c r="H570" s="1814"/>
      <c r="I570" s="1814"/>
      <c r="J570" s="1816"/>
      <c r="K570" s="1807"/>
      <c r="L570" s="25"/>
      <c r="M570" s="97"/>
      <c r="N570" s="1504">
        <v>51806</v>
      </c>
      <c r="O570" s="19"/>
      <c r="P570" s="93"/>
      <c r="Q570" s="93"/>
      <c r="R570" s="93"/>
      <c r="S570" s="93"/>
      <c r="T570" s="93"/>
      <c r="U570" s="93"/>
      <c r="V570" s="93"/>
      <c r="W570" s="93"/>
      <c r="X570" s="93"/>
      <c r="Y570" s="93"/>
      <c r="Z570" s="93"/>
      <c r="AA570" s="93"/>
      <c r="AB570" s="20"/>
      <c r="AC570" s="25"/>
      <c r="AD570" s="97"/>
      <c r="AE570" s="1504">
        <v>51806</v>
      </c>
      <c r="AF570" s="19"/>
      <c r="AG570" s="93"/>
      <c r="AH570" s="93"/>
      <c r="AI570" s="93"/>
      <c r="AJ570" s="93"/>
      <c r="AK570" s="93"/>
      <c r="AL570" s="93"/>
      <c r="AM570" s="93"/>
      <c r="AN570" s="93"/>
      <c r="AO570" s="93"/>
      <c r="AP570" s="93"/>
      <c r="AQ570" s="93"/>
      <c r="AR570" s="93"/>
      <c r="AS570" s="20"/>
      <c r="AT570" s="25"/>
      <c r="AU570" s="97"/>
      <c r="AV570" s="1504">
        <v>51806</v>
      </c>
      <c r="AW570" s="19"/>
      <c r="AX570" s="93"/>
      <c r="AY570" s="93"/>
      <c r="AZ570" s="93"/>
      <c r="BA570" s="93"/>
      <c r="BB570" s="93"/>
      <c r="BC570" s="93"/>
      <c r="BD570" s="93"/>
      <c r="BE570" s="93"/>
      <c r="BF570" s="93"/>
      <c r="BG570" s="93"/>
      <c r="BH570" s="93"/>
      <c r="BI570" s="93"/>
      <c r="BJ570" s="20"/>
      <c r="BK570" s="25"/>
      <c r="BL570" s="97"/>
      <c r="BM570" s="1504">
        <v>51806</v>
      </c>
      <c r="BN570" s="19"/>
      <c r="BO570" s="93"/>
      <c r="BP570" s="93"/>
      <c r="BQ570" s="93"/>
      <c r="BR570" s="93"/>
      <c r="BS570" s="93"/>
      <c r="BT570" s="93"/>
      <c r="BU570" s="20"/>
      <c r="BV570" s="25"/>
      <c r="BW570" s="97"/>
      <c r="BX570" s="1504">
        <v>51806</v>
      </c>
      <c r="BY570" s="19"/>
      <c r="BZ570" s="93"/>
      <c r="CA570" s="93"/>
      <c r="CB570" s="93"/>
      <c r="CC570" s="93"/>
      <c r="CD570" s="25"/>
      <c r="CE570" s="97"/>
      <c r="CF570" s="1504">
        <v>51806</v>
      </c>
      <c r="CG570" s="19"/>
      <c r="CH570" s="93"/>
      <c r="CI570" s="219"/>
      <c r="CJ570" s="20"/>
      <c r="CK570" s="19"/>
      <c r="CL570" s="93"/>
      <c r="CM570" s="93"/>
      <c r="CN570" s="93"/>
      <c r="CO570" s="93"/>
      <c r="CP570" s="20"/>
      <c r="CQ570" s="219"/>
      <c r="CR570" s="93"/>
      <c r="CS570" s="93"/>
      <c r="CT570" s="93"/>
      <c r="CU570" s="93"/>
      <c r="CV570" s="214"/>
      <c r="CW570" s="29"/>
      <c r="CX570" s="41">
        <f t="shared" si="361"/>
        <v>2041</v>
      </c>
      <c r="CY570" s="1504">
        <v>51806</v>
      </c>
      <c r="CZ570" s="19"/>
      <c r="DA570" s="93"/>
      <c r="DB570" s="93"/>
      <c r="DC570" s="93"/>
      <c r="DD570" s="93"/>
      <c r="DE570" s="20"/>
      <c r="DF570" s="29"/>
      <c r="DG570" s="1504">
        <v>51806</v>
      </c>
      <c r="DH570" s="19"/>
      <c r="DI570" s="93"/>
      <c r="DJ570" s="93"/>
      <c r="DK570" s="93"/>
      <c r="DL570" s="93"/>
      <c r="DM570" s="93"/>
      <c r="DN570" s="20"/>
      <c r="DO570" s="295"/>
      <c r="DP570" s="29"/>
      <c r="DQ570" s="1504">
        <v>51806</v>
      </c>
      <c r="DR570" s="19"/>
      <c r="DS570" s="93"/>
      <c r="DT570" s="93"/>
      <c r="DU570" s="93"/>
      <c r="DV570" s="93"/>
      <c r="DW570" s="93"/>
      <c r="DX570" s="20"/>
      <c r="DY570" s="29"/>
      <c r="DZ570" s="1504">
        <v>51806</v>
      </c>
      <c r="EA570" s="19"/>
      <c r="EB570" s="93"/>
      <c r="EC570" s="20"/>
      <c r="ED570" s="29"/>
      <c r="EE570" s="1504">
        <v>51806</v>
      </c>
      <c r="EF570" s="19"/>
      <c r="EG570" s="93"/>
      <c r="EH570" s="93"/>
      <c r="EI570" s="214"/>
      <c r="EJ570" s="93"/>
      <c r="EK570" s="93"/>
      <c r="EL570" s="93"/>
      <c r="EM570" s="93"/>
      <c r="EN570" s="20"/>
      <c r="EO570" s="29"/>
      <c r="EP570" s="1504">
        <v>51806</v>
      </c>
      <c r="EQ570" s="19"/>
      <c r="ER570" s="93"/>
      <c r="ES570" s="93"/>
      <c r="ET570" s="214"/>
      <c r="EU570" s="93"/>
      <c r="EV570" s="93"/>
      <c r="EW570" s="93"/>
      <c r="EX570" s="93"/>
      <c r="EY570" s="20"/>
      <c r="EZ570" s="29"/>
      <c r="FA570" s="1504">
        <v>51806</v>
      </c>
      <c r="FB570" s="29"/>
      <c r="FC570" s="29"/>
      <c r="FD570" s="29"/>
      <c r="FE570" s="29"/>
      <c r="FF570" s="29"/>
      <c r="FG570" s="29"/>
      <c r="FH570" s="29"/>
      <c r="FI570" s="29"/>
      <c r="FJ570" s="29"/>
      <c r="FK570" s="29"/>
      <c r="FL570" s="1504">
        <v>51806</v>
      </c>
      <c r="FM570" s="19"/>
      <c r="FN570" s="93"/>
      <c r="FO570" s="93"/>
      <c r="FP570" s="93"/>
      <c r="FQ570" s="93"/>
      <c r="FR570" s="93"/>
      <c r="FS570" s="93"/>
      <c r="FT570" s="93"/>
      <c r="FU570" s="93"/>
      <c r="FV570" s="93"/>
      <c r="FW570" s="93"/>
      <c r="FX570" s="93"/>
      <c r="FY570" s="93"/>
      <c r="FZ570" s="29"/>
      <c r="GA570" s="1504">
        <v>51806</v>
      </c>
      <c r="GB570" s="19"/>
      <c r="GC570" s="93"/>
      <c r="GD570" s="93"/>
      <c r="GE570" s="93"/>
      <c r="GF570" s="93"/>
      <c r="GG570" s="93"/>
      <c r="GH570" s="93"/>
      <c r="GI570" s="93"/>
      <c r="GJ570" s="93"/>
      <c r="GK570" s="93"/>
      <c r="GL570" s="93"/>
      <c r="GM570" s="93"/>
      <c r="GN570" s="20"/>
      <c r="GO570" s="29"/>
      <c r="GP570" s="1504">
        <v>51806</v>
      </c>
      <c r="GQ570" s="19"/>
      <c r="GR570" s="93"/>
      <c r="GS570" s="93"/>
      <c r="GT570" s="93"/>
      <c r="GU570" s="93"/>
      <c r="GV570" s="20"/>
      <c r="GW570" s="19"/>
      <c r="GX570" s="93"/>
      <c r="GY570" s="93"/>
      <c r="GZ570" s="93"/>
      <c r="HA570" s="93"/>
      <c r="HB570" s="20"/>
      <c r="HC570" s="19"/>
      <c r="HD570" s="93"/>
      <c r="HE570" s="93"/>
      <c r="HF570" s="93"/>
      <c r="HG570" s="93"/>
      <c r="HH570" s="20"/>
      <c r="HI570" s="19"/>
      <c r="HJ570" s="93"/>
      <c r="HK570" s="93"/>
      <c r="HL570" s="93"/>
      <c r="HM570" s="93"/>
      <c r="HN570" s="20"/>
      <c r="HO570" s="219"/>
      <c r="HP570" s="20"/>
      <c r="HQ570" s="25"/>
      <c r="HR570" s="29"/>
      <c r="HS570" s="1504">
        <v>51806</v>
      </c>
      <c r="HT570" s="19"/>
      <c r="HU570" s="93"/>
      <c r="HV570" s="93"/>
      <c r="HW570" s="93"/>
      <c r="HX570" s="93"/>
      <c r="HY570" s="93"/>
      <c r="HZ570" s="93"/>
      <c r="IA570" s="20"/>
      <c r="IB570" s="19"/>
      <c r="IC570" s="93"/>
      <c r="ID570" s="93"/>
      <c r="IE570" s="93"/>
      <c r="IF570" s="93"/>
      <c r="IG570" s="20"/>
      <c r="IH570" s="19"/>
      <c r="II570" s="93"/>
      <c r="IJ570" s="93"/>
      <c r="IK570" s="93"/>
      <c r="IL570" s="93"/>
      <c r="IM570" s="93"/>
      <c r="IN570" s="93"/>
      <c r="IO570" s="20"/>
      <c r="IP570" s="29"/>
      <c r="IQ570" s="19"/>
      <c r="IR570" s="93"/>
      <c r="IS570" s="93"/>
      <c r="IT570" s="93"/>
      <c r="IU570" s="93"/>
      <c r="IV570" s="20"/>
      <c r="IW570" s="29"/>
      <c r="IX570" s="19"/>
      <c r="IY570" s="93"/>
      <c r="IZ570" s="93"/>
      <c r="JA570" s="93"/>
      <c r="JB570" s="93"/>
      <c r="JC570" s="93"/>
      <c r="JD570" s="93"/>
      <c r="JE570" s="20"/>
      <c r="JF570" s="29"/>
      <c r="JG570" s="19"/>
      <c r="JH570" s="93"/>
      <c r="JI570" s="93"/>
      <c r="JJ570" s="93"/>
      <c r="JK570" s="93"/>
      <c r="JL570" s="93"/>
      <c r="JM570" s="93"/>
      <c r="JN570" s="20"/>
      <c r="JO570" s="29"/>
      <c r="JP570" s="19"/>
      <c r="JQ570" s="93"/>
      <c r="JR570" s="93"/>
      <c r="JS570" s="93"/>
      <c r="JT570" s="93"/>
      <c r="JU570" s="20"/>
      <c r="JV570" s="29"/>
      <c r="JW570" s="1504">
        <v>51806</v>
      </c>
      <c r="JX570" s="19"/>
      <c r="JY570" s="93"/>
      <c r="JZ570" s="93"/>
      <c r="KA570" s="93"/>
      <c r="KB570" s="93"/>
      <c r="KC570" s="93"/>
      <c r="KD570" s="20"/>
      <c r="KE570" s="29"/>
      <c r="KF570" s="19"/>
      <c r="KG570" s="93"/>
      <c r="KH570" s="93"/>
      <c r="KI570" s="93"/>
      <c r="KJ570" s="93"/>
      <c r="KK570" s="20"/>
      <c r="KL570" s="29"/>
      <c r="KM570" s="19"/>
      <c r="KN570" s="93"/>
      <c r="KO570" s="93"/>
      <c r="KP570" s="93"/>
      <c r="KQ570" s="93"/>
      <c r="KR570" s="20"/>
      <c r="KS570" s="29"/>
      <c r="KT570" s="19"/>
      <c r="KU570" s="93"/>
      <c r="KV570" s="93"/>
      <c r="KW570" s="93"/>
      <c r="KX570" s="93"/>
      <c r="KY570" s="20"/>
      <c r="KZ570" s="29"/>
      <c r="LA570" s="1504">
        <v>51806</v>
      </c>
      <c r="LB570" s="19"/>
      <c r="LC570" s="93"/>
      <c r="LD570" s="93"/>
      <c r="LE570" s="93"/>
      <c r="LF570" s="93"/>
      <c r="LG570" s="93"/>
      <c r="LH570" s="20"/>
      <c r="LI570" s="29"/>
      <c r="LJ570" s="19"/>
      <c r="LK570" s="93"/>
      <c r="LL570" s="93"/>
      <c r="LM570" s="93"/>
      <c r="LN570" s="93"/>
      <c r="LO570" s="20"/>
      <c r="LP570" s="29"/>
      <c r="LQ570" s="19"/>
      <c r="LR570" s="93"/>
      <c r="LS570" s="93"/>
      <c r="LT570" s="93"/>
      <c r="LU570" s="93"/>
      <c r="LV570" s="93"/>
      <c r="LW570" s="93"/>
      <c r="LX570" s="93"/>
      <c r="LY570" s="93"/>
      <c r="LZ570" s="93"/>
      <c r="MA570" s="20"/>
      <c r="MB570" s="29"/>
      <c r="MC570" s="1504">
        <v>51806</v>
      </c>
      <c r="MD570" s="19"/>
      <c r="ME570" s="93"/>
      <c r="MF570" s="93"/>
      <c r="MG570" s="93"/>
      <c r="MH570" s="93"/>
      <c r="MI570" s="93"/>
      <c r="MJ570" s="93"/>
      <c r="MK570" s="93"/>
      <c r="ML570" s="93"/>
      <c r="MM570" s="93"/>
      <c r="MN570" s="93"/>
      <c r="MO570" s="93"/>
      <c r="MP570" s="93"/>
      <c r="MQ570" s="93"/>
      <c r="MR570" s="93"/>
      <c r="MS570" s="93"/>
      <c r="MT570" s="93"/>
      <c r="MU570" s="93"/>
      <c r="MV570" s="93"/>
      <c r="MW570" s="93"/>
      <c r="MX570" s="93"/>
      <c r="MY570" s="93"/>
      <c r="MZ570" s="93"/>
      <c r="NA570" s="93"/>
      <c r="NB570" s="93"/>
      <c r="NC570" s="93"/>
      <c r="ND570" s="93"/>
      <c r="NE570" s="93"/>
      <c r="NF570" s="93"/>
      <c r="NG570" s="93"/>
      <c r="NH570" s="93"/>
      <c r="NI570" s="93"/>
      <c r="NJ570" s="93"/>
      <c r="NK570" s="93"/>
      <c r="NL570" s="93"/>
      <c r="NM570" s="93"/>
      <c r="NN570" s="93"/>
      <c r="NO570" s="93"/>
      <c r="NP570" s="93"/>
      <c r="NQ570" s="93"/>
      <c r="NR570" s="93"/>
      <c r="NS570" s="93"/>
      <c r="NT570" s="93"/>
      <c r="NU570" s="93"/>
      <c r="NV570" s="93"/>
      <c r="NW570" s="93"/>
      <c r="NX570" s="93"/>
      <c r="NY570" s="93"/>
      <c r="NZ570" s="93"/>
      <c r="OA570" s="93"/>
      <c r="OB570" s="93"/>
      <c r="OC570" s="93"/>
      <c r="OD570" s="20"/>
      <c r="OE570" s="29"/>
      <c r="OF570" s="1504">
        <v>51806</v>
      </c>
      <c r="OG570" s="19"/>
      <c r="OH570" s="93"/>
      <c r="OI570" s="93"/>
      <c r="OJ570" s="93"/>
      <c r="OK570" s="93"/>
      <c r="OL570" s="93"/>
      <c r="OM570" s="93"/>
      <c r="ON570" s="93"/>
      <c r="OO570" s="93"/>
      <c r="OP570" s="93"/>
      <c r="OQ570" s="93"/>
      <c r="OR570" s="93"/>
      <c r="OS570" s="93"/>
      <c r="OT570" s="93"/>
      <c r="OU570" s="93"/>
      <c r="OV570" s="93"/>
      <c r="OW570" s="93"/>
      <c r="OX570" s="93"/>
      <c r="OY570" s="93"/>
      <c r="OZ570" s="93"/>
      <c r="PA570" s="93"/>
      <c r="PB570" s="93"/>
      <c r="PC570" s="20"/>
      <c r="PD570" s="29"/>
      <c r="PE570" s="19"/>
      <c r="PF570" s="93"/>
      <c r="PG570" s="93"/>
      <c r="PH570" s="93"/>
      <c r="PI570" s="93"/>
      <c r="PJ570" s="93"/>
      <c r="PK570" s="93"/>
      <c r="PL570" s="93"/>
      <c r="PM570" s="93"/>
      <c r="PN570" s="93"/>
      <c r="PO570" s="93"/>
      <c r="PP570" s="93"/>
      <c r="PQ570" s="93"/>
      <c r="PR570" s="93"/>
      <c r="PS570" s="93"/>
      <c r="PT570" s="93"/>
      <c r="PU570" s="93"/>
      <c r="PV570" s="93"/>
      <c r="PW570" s="93"/>
      <c r="PX570" s="93"/>
      <c r="PY570" s="93"/>
      <c r="PZ570" s="93"/>
      <c r="QA570" s="93"/>
      <c r="QB570" s="93"/>
      <c r="QC570" s="93"/>
      <c r="QD570" s="93"/>
      <c r="QE570" s="20"/>
      <c r="QF570" s="1739"/>
      <c r="QG570" s="19"/>
      <c r="QH570" s="93"/>
      <c r="QI570" s="93"/>
      <c r="QJ570" s="93"/>
      <c r="QK570" s="93"/>
      <c r="QL570" s="93"/>
      <c r="QM570" s="93"/>
      <c r="QN570" s="93"/>
      <c r="QO570" s="93"/>
      <c r="QP570" s="93"/>
      <c r="QQ570" s="93"/>
      <c r="QR570" s="93"/>
      <c r="QS570" s="93"/>
      <c r="QT570" s="93"/>
      <c r="QU570" s="93"/>
      <c r="QV570" s="93"/>
      <c r="QW570" s="93"/>
      <c r="QX570" s="93"/>
      <c r="QY570" s="93"/>
      <c r="QZ570" s="93"/>
      <c r="RA570" s="93"/>
      <c r="RB570" s="93"/>
      <c r="RC570" s="93"/>
      <c r="RD570" s="93"/>
      <c r="RE570" s="93"/>
      <c r="RF570" s="93"/>
      <c r="RG570" s="93"/>
      <c r="RH570" s="93"/>
      <c r="RI570" s="93"/>
      <c r="RJ570" s="93"/>
      <c r="RK570" s="93"/>
      <c r="RL570" s="93"/>
      <c r="RM570" s="20"/>
      <c r="RN570" s="29"/>
      <c r="RO570" s="19"/>
      <c r="RP570" s="20"/>
      <c r="RQ570" s="29"/>
      <c r="RR570" s="20"/>
      <c r="RS570" s="29"/>
      <c r="RT570" s="1504">
        <v>51806</v>
      </c>
      <c r="RU570" s="19"/>
      <c r="RV570" s="20"/>
      <c r="RW570" s="29"/>
      <c r="RX570" s="1504">
        <v>51806</v>
      </c>
      <c r="RY570" s="29"/>
      <c r="RZ570" s="20"/>
      <c r="SA570" s="29"/>
      <c r="SB570" s="29"/>
    </row>
    <row r="571" spans="1:496">
      <c r="A571" s="41">
        <f t="shared" si="362"/>
        <v>2041</v>
      </c>
      <c r="B571" s="1504">
        <v>51836</v>
      </c>
      <c r="C571" s="1813"/>
      <c r="D571" s="1814"/>
      <c r="E571" s="1814"/>
      <c r="F571" s="1815"/>
      <c r="G571" s="1814"/>
      <c r="H571" s="1814"/>
      <c r="I571" s="1814"/>
      <c r="J571" s="1816"/>
      <c r="K571" s="1807"/>
      <c r="L571" s="25"/>
      <c r="M571" s="97"/>
      <c r="N571" s="1504">
        <v>51836</v>
      </c>
      <c r="O571" s="19"/>
      <c r="P571" s="93"/>
      <c r="Q571" s="93"/>
      <c r="R571" s="93"/>
      <c r="S571" s="93"/>
      <c r="T571" s="93"/>
      <c r="U571" s="93"/>
      <c r="V571" s="93"/>
      <c r="W571" s="93"/>
      <c r="X571" s="93"/>
      <c r="Y571" s="93"/>
      <c r="Z571" s="93"/>
      <c r="AA571" s="93"/>
      <c r="AB571" s="20"/>
      <c r="AC571" s="25"/>
      <c r="AD571" s="97"/>
      <c r="AE571" s="1504">
        <v>51836</v>
      </c>
      <c r="AF571" s="19"/>
      <c r="AG571" s="93"/>
      <c r="AH571" s="93"/>
      <c r="AI571" s="93"/>
      <c r="AJ571" s="93"/>
      <c r="AK571" s="93"/>
      <c r="AL571" s="93"/>
      <c r="AM571" s="93"/>
      <c r="AN571" s="93"/>
      <c r="AO571" s="93"/>
      <c r="AP571" s="93"/>
      <c r="AQ571" s="93"/>
      <c r="AR571" s="93"/>
      <c r="AS571" s="20"/>
      <c r="AT571" s="25"/>
      <c r="AU571" s="97"/>
      <c r="AV571" s="1504">
        <v>51836</v>
      </c>
      <c r="AW571" s="19"/>
      <c r="AX571" s="93"/>
      <c r="AY571" s="93"/>
      <c r="AZ571" s="93"/>
      <c r="BA571" s="93"/>
      <c r="BB571" s="93"/>
      <c r="BC571" s="93"/>
      <c r="BD571" s="93"/>
      <c r="BE571" s="93"/>
      <c r="BF571" s="93"/>
      <c r="BG571" s="93"/>
      <c r="BH571" s="93"/>
      <c r="BI571" s="93"/>
      <c r="BJ571" s="20"/>
      <c r="BK571" s="25"/>
      <c r="BL571" s="97"/>
      <c r="BM571" s="1504">
        <v>51836</v>
      </c>
      <c r="BN571" s="19"/>
      <c r="BO571" s="93"/>
      <c r="BP571" s="93"/>
      <c r="BQ571" s="93"/>
      <c r="BR571" s="93"/>
      <c r="BS571" s="93"/>
      <c r="BT571" s="93"/>
      <c r="BU571" s="20"/>
      <c r="BV571" s="25"/>
      <c r="BW571" s="97"/>
      <c r="BX571" s="1504">
        <v>51836</v>
      </c>
      <c r="BY571" s="19"/>
      <c r="BZ571" s="93"/>
      <c r="CA571" s="93"/>
      <c r="CB571" s="93"/>
      <c r="CC571" s="93"/>
      <c r="CD571" s="25"/>
      <c r="CE571" s="97"/>
      <c r="CF571" s="1504">
        <v>51836</v>
      </c>
      <c r="CG571" s="19"/>
      <c r="CH571" s="93"/>
      <c r="CI571" s="219"/>
      <c r="CJ571" s="20"/>
      <c r="CK571" s="19"/>
      <c r="CL571" s="93"/>
      <c r="CM571" s="93"/>
      <c r="CN571" s="93"/>
      <c r="CO571" s="93"/>
      <c r="CP571" s="20"/>
      <c r="CQ571" s="219"/>
      <c r="CR571" s="93"/>
      <c r="CS571" s="93"/>
      <c r="CT571" s="93"/>
      <c r="CU571" s="93"/>
      <c r="CV571" s="214"/>
      <c r="CW571" s="29"/>
      <c r="CX571" s="41">
        <f t="shared" si="361"/>
        <v>2041</v>
      </c>
      <c r="CY571" s="1504">
        <v>51836</v>
      </c>
      <c r="CZ571" s="19"/>
      <c r="DA571" s="93"/>
      <c r="DB571" s="93"/>
      <c r="DC571" s="93"/>
      <c r="DD571" s="93"/>
      <c r="DE571" s="20"/>
      <c r="DF571" s="29"/>
      <c r="DG571" s="1504">
        <v>51836</v>
      </c>
      <c r="DH571" s="19"/>
      <c r="DI571" s="93"/>
      <c r="DJ571" s="93"/>
      <c r="DK571" s="93"/>
      <c r="DL571" s="93"/>
      <c r="DM571" s="93"/>
      <c r="DN571" s="20"/>
      <c r="DO571" s="295"/>
      <c r="DP571" s="29"/>
      <c r="DQ571" s="1504">
        <v>51836</v>
      </c>
      <c r="DR571" s="19"/>
      <c r="DS571" s="93"/>
      <c r="DT571" s="93"/>
      <c r="DU571" s="93"/>
      <c r="DV571" s="93"/>
      <c r="DW571" s="93"/>
      <c r="DX571" s="20"/>
      <c r="DY571" s="29"/>
      <c r="DZ571" s="1504">
        <v>51836</v>
      </c>
      <c r="EA571" s="19"/>
      <c r="EB571" s="93"/>
      <c r="EC571" s="20"/>
      <c r="ED571" s="29"/>
      <c r="EE571" s="1504">
        <v>51836</v>
      </c>
      <c r="EF571" s="19"/>
      <c r="EG571" s="93"/>
      <c r="EH571" s="93"/>
      <c r="EI571" s="214"/>
      <c r="EJ571" s="93"/>
      <c r="EK571" s="93"/>
      <c r="EL571" s="93"/>
      <c r="EM571" s="93"/>
      <c r="EN571" s="20"/>
      <c r="EO571" s="29"/>
      <c r="EP571" s="1504">
        <v>51836</v>
      </c>
      <c r="EQ571" s="19"/>
      <c r="ER571" s="93"/>
      <c r="ES571" s="93"/>
      <c r="ET571" s="214"/>
      <c r="EU571" s="93"/>
      <c r="EV571" s="93"/>
      <c r="EW571" s="93"/>
      <c r="EX571" s="93"/>
      <c r="EY571" s="20"/>
      <c r="EZ571" s="29"/>
      <c r="FA571" s="1504">
        <v>51836</v>
      </c>
      <c r="FB571" s="29"/>
      <c r="FC571" s="29"/>
      <c r="FD571" s="29"/>
      <c r="FE571" s="29"/>
      <c r="FF571" s="29"/>
      <c r="FG571" s="29"/>
      <c r="FH571" s="29"/>
      <c r="FI571" s="29"/>
      <c r="FJ571" s="29"/>
      <c r="FK571" s="29"/>
      <c r="FL571" s="1504">
        <v>51836</v>
      </c>
      <c r="FM571" s="19"/>
      <c r="FN571" s="93"/>
      <c r="FO571" s="93"/>
      <c r="FP571" s="93"/>
      <c r="FQ571" s="93"/>
      <c r="FR571" s="93"/>
      <c r="FS571" s="93"/>
      <c r="FT571" s="93"/>
      <c r="FU571" s="93"/>
      <c r="FV571" s="93"/>
      <c r="FW571" s="93"/>
      <c r="FX571" s="93"/>
      <c r="FY571" s="93"/>
      <c r="FZ571" s="29"/>
      <c r="GA571" s="1504">
        <v>51836</v>
      </c>
      <c r="GB571" s="19"/>
      <c r="GC571" s="93"/>
      <c r="GD571" s="93"/>
      <c r="GE571" s="93"/>
      <c r="GF571" s="93"/>
      <c r="GG571" s="93"/>
      <c r="GH571" s="93"/>
      <c r="GI571" s="93"/>
      <c r="GJ571" s="93"/>
      <c r="GK571" s="93"/>
      <c r="GL571" s="93"/>
      <c r="GM571" s="93"/>
      <c r="GN571" s="20"/>
      <c r="GO571" s="29"/>
      <c r="GP571" s="1504">
        <v>51836</v>
      </c>
      <c r="GQ571" s="19"/>
      <c r="GR571" s="93"/>
      <c r="GS571" s="93"/>
      <c r="GT571" s="93"/>
      <c r="GU571" s="93"/>
      <c r="GV571" s="20"/>
      <c r="GW571" s="19"/>
      <c r="GX571" s="93"/>
      <c r="GY571" s="93"/>
      <c r="GZ571" s="93"/>
      <c r="HA571" s="93"/>
      <c r="HB571" s="20"/>
      <c r="HC571" s="19"/>
      <c r="HD571" s="93"/>
      <c r="HE571" s="93"/>
      <c r="HF571" s="93"/>
      <c r="HG571" s="93"/>
      <c r="HH571" s="20"/>
      <c r="HI571" s="19"/>
      <c r="HJ571" s="93"/>
      <c r="HK571" s="93"/>
      <c r="HL571" s="93"/>
      <c r="HM571" s="93"/>
      <c r="HN571" s="20"/>
      <c r="HO571" s="219"/>
      <c r="HP571" s="20"/>
      <c r="HQ571" s="25"/>
      <c r="HR571" s="29"/>
      <c r="HS571" s="1504">
        <v>51836</v>
      </c>
      <c r="HT571" s="19"/>
      <c r="HU571" s="93"/>
      <c r="HV571" s="93"/>
      <c r="HW571" s="93"/>
      <c r="HX571" s="93"/>
      <c r="HY571" s="93"/>
      <c r="HZ571" s="93"/>
      <c r="IA571" s="20"/>
      <c r="IB571" s="19"/>
      <c r="IC571" s="93"/>
      <c r="ID571" s="93"/>
      <c r="IE571" s="93"/>
      <c r="IF571" s="93"/>
      <c r="IG571" s="20"/>
      <c r="IH571" s="19"/>
      <c r="II571" s="93"/>
      <c r="IJ571" s="93"/>
      <c r="IK571" s="93"/>
      <c r="IL571" s="93"/>
      <c r="IM571" s="93"/>
      <c r="IN571" s="93"/>
      <c r="IO571" s="20"/>
      <c r="IP571" s="29"/>
      <c r="IQ571" s="19"/>
      <c r="IR571" s="93"/>
      <c r="IS571" s="93"/>
      <c r="IT571" s="93"/>
      <c r="IU571" s="93"/>
      <c r="IV571" s="20"/>
      <c r="IW571" s="29"/>
      <c r="IX571" s="19"/>
      <c r="IY571" s="93"/>
      <c r="IZ571" s="93"/>
      <c r="JA571" s="93"/>
      <c r="JB571" s="93"/>
      <c r="JC571" s="93"/>
      <c r="JD571" s="93"/>
      <c r="JE571" s="20"/>
      <c r="JF571" s="29"/>
      <c r="JG571" s="19"/>
      <c r="JH571" s="93"/>
      <c r="JI571" s="93"/>
      <c r="JJ571" s="93"/>
      <c r="JK571" s="93"/>
      <c r="JL571" s="93"/>
      <c r="JM571" s="93"/>
      <c r="JN571" s="20"/>
      <c r="JO571" s="29"/>
      <c r="JP571" s="19"/>
      <c r="JQ571" s="93"/>
      <c r="JR571" s="93"/>
      <c r="JS571" s="93"/>
      <c r="JT571" s="93"/>
      <c r="JU571" s="20"/>
      <c r="JV571" s="29"/>
      <c r="JW571" s="1504">
        <v>51836</v>
      </c>
      <c r="JX571" s="19"/>
      <c r="JY571" s="93"/>
      <c r="JZ571" s="93"/>
      <c r="KA571" s="93"/>
      <c r="KB571" s="93"/>
      <c r="KC571" s="93"/>
      <c r="KD571" s="20"/>
      <c r="KE571" s="29"/>
      <c r="KF571" s="19"/>
      <c r="KG571" s="93"/>
      <c r="KH571" s="93"/>
      <c r="KI571" s="93"/>
      <c r="KJ571" s="93"/>
      <c r="KK571" s="20"/>
      <c r="KL571" s="29"/>
      <c r="KM571" s="19"/>
      <c r="KN571" s="93"/>
      <c r="KO571" s="93"/>
      <c r="KP571" s="93"/>
      <c r="KQ571" s="93"/>
      <c r="KR571" s="20"/>
      <c r="KS571" s="29"/>
      <c r="KT571" s="19"/>
      <c r="KU571" s="93"/>
      <c r="KV571" s="93"/>
      <c r="KW571" s="93"/>
      <c r="KX571" s="93"/>
      <c r="KY571" s="20"/>
      <c r="KZ571" s="29"/>
      <c r="LA571" s="1504">
        <v>51836</v>
      </c>
      <c r="LB571" s="19"/>
      <c r="LC571" s="93"/>
      <c r="LD571" s="93"/>
      <c r="LE571" s="93"/>
      <c r="LF571" s="93"/>
      <c r="LG571" s="93"/>
      <c r="LH571" s="20"/>
      <c r="LI571" s="29"/>
      <c r="LJ571" s="19"/>
      <c r="LK571" s="93"/>
      <c r="LL571" s="93"/>
      <c r="LM571" s="93"/>
      <c r="LN571" s="93"/>
      <c r="LO571" s="20"/>
      <c r="LP571" s="29"/>
      <c r="LQ571" s="19"/>
      <c r="LR571" s="93"/>
      <c r="LS571" s="93"/>
      <c r="LT571" s="93"/>
      <c r="LU571" s="93"/>
      <c r="LV571" s="93"/>
      <c r="LW571" s="93"/>
      <c r="LX571" s="93"/>
      <c r="LY571" s="93"/>
      <c r="LZ571" s="93"/>
      <c r="MA571" s="20"/>
      <c r="MB571" s="29"/>
      <c r="MC571" s="1504">
        <v>51836</v>
      </c>
      <c r="MD571" s="19"/>
      <c r="ME571" s="93"/>
      <c r="MF571" s="93"/>
      <c r="MG571" s="93"/>
      <c r="MH571" s="93"/>
      <c r="MI571" s="93"/>
      <c r="MJ571" s="93"/>
      <c r="MK571" s="93"/>
      <c r="ML571" s="93"/>
      <c r="MM571" s="93"/>
      <c r="MN571" s="93"/>
      <c r="MO571" s="93"/>
      <c r="MP571" s="93"/>
      <c r="MQ571" s="93"/>
      <c r="MR571" s="93"/>
      <c r="MS571" s="93"/>
      <c r="MT571" s="93"/>
      <c r="MU571" s="93"/>
      <c r="MV571" s="93"/>
      <c r="MW571" s="93"/>
      <c r="MX571" s="93"/>
      <c r="MY571" s="93"/>
      <c r="MZ571" s="93"/>
      <c r="NA571" s="93"/>
      <c r="NB571" s="93"/>
      <c r="NC571" s="93"/>
      <c r="ND571" s="93"/>
      <c r="NE571" s="93"/>
      <c r="NF571" s="93"/>
      <c r="NG571" s="93"/>
      <c r="NH571" s="93"/>
      <c r="NI571" s="93"/>
      <c r="NJ571" s="93"/>
      <c r="NK571" s="93"/>
      <c r="NL571" s="93"/>
      <c r="NM571" s="93"/>
      <c r="NN571" s="93"/>
      <c r="NO571" s="93"/>
      <c r="NP571" s="93"/>
      <c r="NQ571" s="93"/>
      <c r="NR571" s="93"/>
      <c r="NS571" s="93"/>
      <c r="NT571" s="93"/>
      <c r="NU571" s="93"/>
      <c r="NV571" s="93"/>
      <c r="NW571" s="93"/>
      <c r="NX571" s="93"/>
      <c r="NY571" s="93"/>
      <c r="NZ571" s="93"/>
      <c r="OA571" s="93"/>
      <c r="OB571" s="93"/>
      <c r="OC571" s="93"/>
      <c r="OD571" s="20"/>
      <c r="OE571" s="29"/>
      <c r="OF571" s="1504">
        <v>51836</v>
      </c>
      <c r="OG571" s="19"/>
      <c r="OH571" s="93"/>
      <c r="OI571" s="93"/>
      <c r="OJ571" s="93"/>
      <c r="OK571" s="93"/>
      <c r="OL571" s="93"/>
      <c r="OM571" s="93"/>
      <c r="ON571" s="93"/>
      <c r="OO571" s="93"/>
      <c r="OP571" s="93"/>
      <c r="OQ571" s="93"/>
      <c r="OR571" s="93"/>
      <c r="OS571" s="93"/>
      <c r="OT571" s="93"/>
      <c r="OU571" s="93"/>
      <c r="OV571" s="93"/>
      <c r="OW571" s="93"/>
      <c r="OX571" s="93"/>
      <c r="OY571" s="93"/>
      <c r="OZ571" s="93"/>
      <c r="PA571" s="93"/>
      <c r="PB571" s="93"/>
      <c r="PC571" s="20"/>
      <c r="PD571" s="29"/>
      <c r="PE571" s="19"/>
      <c r="PF571" s="93"/>
      <c r="PG571" s="93"/>
      <c r="PH571" s="93"/>
      <c r="PI571" s="93"/>
      <c r="PJ571" s="93"/>
      <c r="PK571" s="93"/>
      <c r="PL571" s="93"/>
      <c r="PM571" s="93"/>
      <c r="PN571" s="93"/>
      <c r="PO571" s="93"/>
      <c r="PP571" s="93"/>
      <c r="PQ571" s="93"/>
      <c r="PR571" s="93"/>
      <c r="PS571" s="93"/>
      <c r="PT571" s="93"/>
      <c r="PU571" s="93"/>
      <c r="PV571" s="93"/>
      <c r="PW571" s="93"/>
      <c r="PX571" s="93"/>
      <c r="PY571" s="93"/>
      <c r="PZ571" s="93"/>
      <c r="QA571" s="93"/>
      <c r="QB571" s="93"/>
      <c r="QC571" s="93"/>
      <c r="QD571" s="93"/>
      <c r="QE571" s="20"/>
      <c r="QF571" s="1739"/>
      <c r="QG571" s="19"/>
      <c r="QH571" s="93"/>
      <c r="QI571" s="93"/>
      <c r="QJ571" s="93"/>
      <c r="QK571" s="93"/>
      <c r="QL571" s="93"/>
      <c r="QM571" s="93"/>
      <c r="QN571" s="93"/>
      <c r="QO571" s="93"/>
      <c r="QP571" s="93"/>
      <c r="QQ571" s="93"/>
      <c r="QR571" s="93"/>
      <c r="QS571" s="93"/>
      <c r="QT571" s="93"/>
      <c r="QU571" s="93"/>
      <c r="QV571" s="93"/>
      <c r="QW571" s="93"/>
      <c r="QX571" s="93"/>
      <c r="QY571" s="93"/>
      <c r="QZ571" s="93"/>
      <c r="RA571" s="93"/>
      <c r="RB571" s="93"/>
      <c r="RC571" s="93"/>
      <c r="RD571" s="93"/>
      <c r="RE571" s="93"/>
      <c r="RF571" s="93"/>
      <c r="RG571" s="93"/>
      <c r="RH571" s="93"/>
      <c r="RI571" s="93"/>
      <c r="RJ571" s="93"/>
      <c r="RK571" s="93"/>
      <c r="RL571" s="93"/>
      <c r="RM571" s="20"/>
      <c r="RN571" s="29"/>
      <c r="RO571" s="19"/>
      <c r="RP571" s="20"/>
      <c r="RQ571" s="29"/>
      <c r="RR571" s="20"/>
      <c r="RS571" s="29"/>
      <c r="RT571" s="1504">
        <v>51836</v>
      </c>
      <c r="RU571" s="19"/>
      <c r="RV571" s="20"/>
      <c r="RW571" s="29"/>
      <c r="RX571" s="1504">
        <v>51836</v>
      </c>
      <c r="RY571" s="29"/>
      <c r="RZ571" s="20"/>
      <c r="SA571" s="29"/>
      <c r="SB571" s="29"/>
    </row>
    <row r="572" spans="1:496">
      <c r="A572" s="41">
        <f t="shared" si="362"/>
        <v>2042</v>
      </c>
      <c r="B572" s="1504">
        <v>51867</v>
      </c>
      <c r="C572" s="1813"/>
      <c r="D572" s="1814"/>
      <c r="E572" s="1814"/>
      <c r="F572" s="1815"/>
      <c r="G572" s="1814"/>
      <c r="H572" s="1814"/>
      <c r="I572" s="1814"/>
      <c r="J572" s="1816"/>
      <c r="K572" s="1807"/>
      <c r="L572" s="25"/>
      <c r="M572" s="97"/>
      <c r="N572" s="1504">
        <v>51867</v>
      </c>
      <c r="O572" s="19"/>
      <c r="P572" s="93"/>
      <c r="Q572" s="93"/>
      <c r="R572" s="93"/>
      <c r="S572" s="93"/>
      <c r="T572" s="93"/>
      <c r="U572" s="93"/>
      <c r="V572" s="93"/>
      <c r="W572" s="93"/>
      <c r="X572" s="93"/>
      <c r="Y572" s="93"/>
      <c r="Z572" s="93"/>
      <c r="AA572" s="93"/>
      <c r="AB572" s="20"/>
      <c r="AC572" s="25"/>
      <c r="AD572" s="97"/>
      <c r="AE572" s="1504">
        <v>51867</v>
      </c>
      <c r="AF572" s="19"/>
      <c r="AG572" s="93"/>
      <c r="AH572" s="93"/>
      <c r="AI572" s="93"/>
      <c r="AJ572" s="93"/>
      <c r="AK572" s="93"/>
      <c r="AL572" s="93"/>
      <c r="AM572" s="93"/>
      <c r="AN572" s="93"/>
      <c r="AO572" s="93"/>
      <c r="AP572" s="93"/>
      <c r="AQ572" s="93"/>
      <c r="AR572" s="93"/>
      <c r="AS572" s="20"/>
      <c r="AT572" s="25"/>
      <c r="AU572" s="97"/>
      <c r="AV572" s="1504">
        <v>51867</v>
      </c>
      <c r="AW572" s="19"/>
      <c r="AX572" s="93"/>
      <c r="AY572" s="93"/>
      <c r="AZ572" s="93"/>
      <c r="BA572" s="93"/>
      <c r="BB572" s="93"/>
      <c r="BC572" s="93"/>
      <c r="BD572" s="93"/>
      <c r="BE572" s="93"/>
      <c r="BF572" s="93"/>
      <c r="BG572" s="93"/>
      <c r="BH572" s="93"/>
      <c r="BI572" s="93"/>
      <c r="BJ572" s="20"/>
      <c r="BK572" s="25"/>
      <c r="BL572" s="97"/>
      <c r="BM572" s="1504">
        <v>51867</v>
      </c>
      <c r="BN572" s="19"/>
      <c r="BO572" s="93"/>
      <c r="BP572" s="93"/>
      <c r="BQ572" s="93"/>
      <c r="BR572" s="93"/>
      <c r="BS572" s="93"/>
      <c r="BT572" s="93"/>
      <c r="BU572" s="20"/>
      <c r="BV572" s="25"/>
      <c r="BW572" s="97"/>
      <c r="BX572" s="1504">
        <v>51867</v>
      </c>
      <c r="BY572" s="19"/>
      <c r="BZ572" s="93"/>
      <c r="CA572" s="93"/>
      <c r="CB572" s="93"/>
      <c r="CC572" s="93"/>
      <c r="CD572" s="25"/>
      <c r="CE572" s="97"/>
      <c r="CF572" s="1504">
        <v>51867</v>
      </c>
      <c r="CG572" s="19"/>
      <c r="CH572" s="93"/>
      <c r="CI572" s="219"/>
      <c r="CJ572" s="20"/>
      <c r="CK572" s="19"/>
      <c r="CL572" s="93"/>
      <c r="CM572" s="93"/>
      <c r="CN572" s="93"/>
      <c r="CO572" s="93"/>
      <c r="CP572" s="20"/>
      <c r="CQ572" s="219"/>
      <c r="CR572" s="93"/>
      <c r="CS572" s="93"/>
      <c r="CT572" s="93"/>
      <c r="CU572" s="93"/>
      <c r="CV572" s="214"/>
      <c r="CW572" s="29"/>
      <c r="CX572" s="41">
        <f t="shared" si="361"/>
        <v>2042</v>
      </c>
      <c r="CY572" s="1504">
        <v>51867</v>
      </c>
      <c r="CZ572" s="19"/>
      <c r="DA572" s="93"/>
      <c r="DB572" s="93"/>
      <c r="DC572" s="93"/>
      <c r="DD572" s="93"/>
      <c r="DE572" s="20"/>
      <c r="DF572" s="29"/>
      <c r="DG572" s="1504">
        <v>51867</v>
      </c>
      <c r="DH572" s="19"/>
      <c r="DI572" s="93"/>
      <c r="DJ572" s="93"/>
      <c r="DK572" s="93"/>
      <c r="DL572" s="93"/>
      <c r="DM572" s="93"/>
      <c r="DN572" s="20"/>
      <c r="DO572" s="295"/>
      <c r="DP572" s="29"/>
      <c r="DQ572" s="1504">
        <v>51867</v>
      </c>
      <c r="DR572" s="19"/>
      <c r="DS572" s="93"/>
      <c r="DT572" s="93"/>
      <c r="DU572" s="93"/>
      <c r="DV572" s="93"/>
      <c r="DW572" s="93"/>
      <c r="DX572" s="20"/>
      <c r="DY572" s="29"/>
      <c r="DZ572" s="1504">
        <v>51867</v>
      </c>
      <c r="EA572" s="19"/>
      <c r="EB572" s="93"/>
      <c r="EC572" s="20"/>
      <c r="ED572" s="29"/>
      <c r="EE572" s="1504">
        <v>51867</v>
      </c>
      <c r="EF572" s="19"/>
      <c r="EG572" s="93"/>
      <c r="EH572" s="93"/>
      <c r="EI572" s="214"/>
      <c r="EJ572" s="93"/>
      <c r="EK572" s="93"/>
      <c r="EL572" s="93"/>
      <c r="EM572" s="93"/>
      <c r="EN572" s="20"/>
      <c r="EO572" s="29"/>
      <c r="EP572" s="1504">
        <v>51867</v>
      </c>
      <c r="EQ572" s="19"/>
      <c r="ER572" s="93"/>
      <c r="ES572" s="93"/>
      <c r="ET572" s="214"/>
      <c r="EU572" s="93"/>
      <c r="EV572" s="93"/>
      <c r="EW572" s="93"/>
      <c r="EX572" s="93"/>
      <c r="EY572" s="20"/>
      <c r="EZ572" s="29"/>
      <c r="FA572" s="1504">
        <v>51867</v>
      </c>
      <c r="FB572" s="29"/>
      <c r="FC572" s="29"/>
      <c r="FD572" s="29"/>
      <c r="FE572" s="29"/>
      <c r="FF572" s="29"/>
      <c r="FG572" s="29"/>
      <c r="FH572" s="29"/>
      <c r="FI572" s="29"/>
      <c r="FJ572" s="29"/>
      <c r="FK572" s="29"/>
      <c r="FL572" s="1504">
        <v>51867</v>
      </c>
      <c r="FM572" s="19"/>
      <c r="FN572" s="93"/>
      <c r="FO572" s="93"/>
      <c r="FP572" s="93"/>
      <c r="FQ572" s="93"/>
      <c r="FR572" s="93"/>
      <c r="FS572" s="93"/>
      <c r="FT572" s="93"/>
      <c r="FU572" s="93"/>
      <c r="FV572" s="93"/>
      <c r="FW572" s="93"/>
      <c r="FX572" s="93"/>
      <c r="FY572" s="93"/>
      <c r="FZ572" s="29"/>
      <c r="GA572" s="1504">
        <v>51867</v>
      </c>
      <c r="GB572" s="19"/>
      <c r="GC572" s="93"/>
      <c r="GD572" s="93"/>
      <c r="GE572" s="93"/>
      <c r="GF572" s="93"/>
      <c r="GG572" s="93"/>
      <c r="GH572" s="93"/>
      <c r="GI572" s="93"/>
      <c r="GJ572" s="93"/>
      <c r="GK572" s="93"/>
      <c r="GL572" s="93"/>
      <c r="GM572" s="93"/>
      <c r="GN572" s="20"/>
      <c r="GO572" s="29"/>
      <c r="GP572" s="1504">
        <v>51867</v>
      </c>
      <c r="GQ572" s="19"/>
      <c r="GR572" s="93"/>
      <c r="GS572" s="93"/>
      <c r="GT572" s="93"/>
      <c r="GU572" s="93"/>
      <c r="GV572" s="20"/>
      <c r="GW572" s="19"/>
      <c r="GX572" s="93"/>
      <c r="GY572" s="93"/>
      <c r="GZ572" s="93"/>
      <c r="HA572" s="93"/>
      <c r="HB572" s="20"/>
      <c r="HC572" s="19"/>
      <c r="HD572" s="93"/>
      <c r="HE572" s="93"/>
      <c r="HF572" s="93"/>
      <c r="HG572" s="93"/>
      <c r="HH572" s="20"/>
      <c r="HI572" s="19"/>
      <c r="HJ572" s="93"/>
      <c r="HK572" s="93"/>
      <c r="HL572" s="93"/>
      <c r="HM572" s="93"/>
      <c r="HN572" s="20"/>
      <c r="HO572" s="219"/>
      <c r="HP572" s="20"/>
      <c r="HQ572" s="25"/>
      <c r="HR572" s="29"/>
      <c r="HS572" s="1504">
        <v>51867</v>
      </c>
      <c r="HT572" s="19"/>
      <c r="HU572" s="93"/>
      <c r="HV572" s="93"/>
      <c r="HW572" s="93"/>
      <c r="HX572" s="93"/>
      <c r="HY572" s="93"/>
      <c r="HZ572" s="93"/>
      <c r="IA572" s="20"/>
      <c r="IB572" s="19"/>
      <c r="IC572" s="93"/>
      <c r="ID572" s="93"/>
      <c r="IE572" s="93"/>
      <c r="IF572" s="93"/>
      <c r="IG572" s="20"/>
      <c r="IH572" s="19"/>
      <c r="II572" s="93"/>
      <c r="IJ572" s="93"/>
      <c r="IK572" s="93"/>
      <c r="IL572" s="93"/>
      <c r="IM572" s="93"/>
      <c r="IN572" s="93"/>
      <c r="IO572" s="20"/>
      <c r="IP572" s="29"/>
      <c r="IQ572" s="19"/>
      <c r="IR572" s="93"/>
      <c r="IS572" s="93"/>
      <c r="IT572" s="93"/>
      <c r="IU572" s="93"/>
      <c r="IV572" s="20"/>
      <c r="IW572" s="29"/>
      <c r="IX572" s="19"/>
      <c r="IY572" s="93"/>
      <c r="IZ572" s="93"/>
      <c r="JA572" s="93"/>
      <c r="JB572" s="93"/>
      <c r="JC572" s="93"/>
      <c r="JD572" s="93"/>
      <c r="JE572" s="20"/>
      <c r="JF572" s="29"/>
      <c r="JG572" s="19"/>
      <c r="JH572" s="93"/>
      <c r="JI572" s="93"/>
      <c r="JJ572" s="93"/>
      <c r="JK572" s="93"/>
      <c r="JL572" s="93"/>
      <c r="JM572" s="93"/>
      <c r="JN572" s="20"/>
      <c r="JO572" s="29"/>
      <c r="JP572" s="19"/>
      <c r="JQ572" s="93"/>
      <c r="JR572" s="93"/>
      <c r="JS572" s="93"/>
      <c r="JT572" s="93"/>
      <c r="JU572" s="20"/>
      <c r="JV572" s="29"/>
      <c r="JW572" s="1504">
        <v>51867</v>
      </c>
      <c r="JX572" s="19"/>
      <c r="JY572" s="93"/>
      <c r="JZ572" s="93"/>
      <c r="KA572" s="93"/>
      <c r="KB572" s="93"/>
      <c r="KC572" s="93"/>
      <c r="KD572" s="20"/>
      <c r="KE572" s="29"/>
      <c r="KF572" s="19"/>
      <c r="KG572" s="93"/>
      <c r="KH572" s="93"/>
      <c r="KI572" s="93"/>
      <c r="KJ572" s="93"/>
      <c r="KK572" s="20"/>
      <c r="KL572" s="29"/>
      <c r="KM572" s="19"/>
      <c r="KN572" s="93"/>
      <c r="KO572" s="93"/>
      <c r="KP572" s="93"/>
      <c r="KQ572" s="93"/>
      <c r="KR572" s="20"/>
      <c r="KS572" s="29"/>
      <c r="KT572" s="19"/>
      <c r="KU572" s="93"/>
      <c r="KV572" s="93"/>
      <c r="KW572" s="93"/>
      <c r="KX572" s="93"/>
      <c r="KY572" s="20"/>
      <c r="KZ572" s="29"/>
      <c r="LA572" s="1504">
        <v>51867</v>
      </c>
      <c r="LB572" s="19"/>
      <c r="LC572" s="93"/>
      <c r="LD572" s="93"/>
      <c r="LE572" s="93"/>
      <c r="LF572" s="93"/>
      <c r="LG572" s="93"/>
      <c r="LH572" s="20"/>
      <c r="LI572" s="29"/>
      <c r="LJ572" s="19"/>
      <c r="LK572" s="93"/>
      <c r="LL572" s="93"/>
      <c r="LM572" s="93"/>
      <c r="LN572" s="93"/>
      <c r="LO572" s="20"/>
      <c r="LP572" s="29"/>
      <c r="LQ572" s="19"/>
      <c r="LR572" s="93"/>
      <c r="LS572" s="93"/>
      <c r="LT572" s="93"/>
      <c r="LU572" s="93"/>
      <c r="LV572" s="93"/>
      <c r="LW572" s="93"/>
      <c r="LX572" s="93"/>
      <c r="LY572" s="93"/>
      <c r="LZ572" s="93"/>
      <c r="MA572" s="20"/>
      <c r="MB572" s="29"/>
      <c r="MC572" s="1504">
        <v>51867</v>
      </c>
      <c r="MD572" s="19"/>
      <c r="ME572" s="93"/>
      <c r="MF572" s="93"/>
      <c r="MG572" s="93"/>
      <c r="MH572" s="93"/>
      <c r="MI572" s="93"/>
      <c r="MJ572" s="93"/>
      <c r="MK572" s="93"/>
      <c r="ML572" s="93"/>
      <c r="MM572" s="93"/>
      <c r="MN572" s="93"/>
      <c r="MO572" s="93"/>
      <c r="MP572" s="93"/>
      <c r="MQ572" s="93"/>
      <c r="MR572" s="93"/>
      <c r="MS572" s="93"/>
      <c r="MT572" s="93"/>
      <c r="MU572" s="93"/>
      <c r="MV572" s="93"/>
      <c r="MW572" s="93"/>
      <c r="MX572" s="93"/>
      <c r="MY572" s="93"/>
      <c r="MZ572" s="93"/>
      <c r="NA572" s="93"/>
      <c r="NB572" s="93"/>
      <c r="NC572" s="93"/>
      <c r="ND572" s="93"/>
      <c r="NE572" s="93"/>
      <c r="NF572" s="93"/>
      <c r="NG572" s="93"/>
      <c r="NH572" s="93"/>
      <c r="NI572" s="93"/>
      <c r="NJ572" s="93"/>
      <c r="NK572" s="93"/>
      <c r="NL572" s="93"/>
      <c r="NM572" s="93"/>
      <c r="NN572" s="93"/>
      <c r="NO572" s="93"/>
      <c r="NP572" s="93"/>
      <c r="NQ572" s="93"/>
      <c r="NR572" s="93"/>
      <c r="NS572" s="93"/>
      <c r="NT572" s="93"/>
      <c r="NU572" s="93"/>
      <c r="NV572" s="93"/>
      <c r="NW572" s="93"/>
      <c r="NX572" s="93"/>
      <c r="NY572" s="93"/>
      <c r="NZ572" s="93"/>
      <c r="OA572" s="93"/>
      <c r="OB572" s="93"/>
      <c r="OC572" s="93"/>
      <c r="OD572" s="20"/>
      <c r="OE572" s="29"/>
      <c r="OF572" s="1504">
        <v>51867</v>
      </c>
      <c r="OG572" s="19"/>
      <c r="OH572" s="93"/>
      <c r="OI572" s="93"/>
      <c r="OJ572" s="93"/>
      <c r="OK572" s="93"/>
      <c r="OL572" s="93"/>
      <c r="OM572" s="93"/>
      <c r="ON572" s="93"/>
      <c r="OO572" s="93"/>
      <c r="OP572" s="93"/>
      <c r="OQ572" s="93"/>
      <c r="OR572" s="93"/>
      <c r="OS572" s="93"/>
      <c r="OT572" s="93"/>
      <c r="OU572" s="93"/>
      <c r="OV572" s="93"/>
      <c r="OW572" s="93"/>
      <c r="OX572" s="93"/>
      <c r="OY572" s="93"/>
      <c r="OZ572" s="93"/>
      <c r="PA572" s="93"/>
      <c r="PB572" s="93"/>
      <c r="PC572" s="20"/>
      <c r="PD572" s="29"/>
      <c r="PE572" s="19"/>
      <c r="PF572" s="93"/>
      <c r="PG572" s="93"/>
      <c r="PH572" s="93"/>
      <c r="PI572" s="93"/>
      <c r="PJ572" s="93"/>
      <c r="PK572" s="93"/>
      <c r="PL572" s="93"/>
      <c r="PM572" s="93"/>
      <c r="PN572" s="93"/>
      <c r="PO572" s="93"/>
      <c r="PP572" s="93"/>
      <c r="PQ572" s="93"/>
      <c r="PR572" s="93"/>
      <c r="PS572" s="93"/>
      <c r="PT572" s="93"/>
      <c r="PU572" s="93"/>
      <c r="PV572" s="93"/>
      <c r="PW572" s="93"/>
      <c r="PX572" s="93"/>
      <c r="PY572" s="93"/>
      <c r="PZ572" s="93"/>
      <c r="QA572" s="93"/>
      <c r="QB572" s="93"/>
      <c r="QC572" s="93"/>
      <c r="QD572" s="93"/>
      <c r="QE572" s="20"/>
      <c r="QF572" s="1739"/>
      <c r="QG572" s="19"/>
      <c r="QH572" s="93"/>
      <c r="QI572" s="93"/>
      <c r="QJ572" s="93"/>
      <c r="QK572" s="93"/>
      <c r="QL572" s="93"/>
      <c r="QM572" s="93"/>
      <c r="QN572" s="93"/>
      <c r="QO572" s="93"/>
      <c r="QP572" s="93"/>
      <c r="QQ572" s="93"/>
      <c r="QR572" s="93"/>
      <c r="QS572" s="93"/>
      <c r="QT572" s="93"/>
      <c r="QU572" s="93"/>
      <c r="QV572" s="93"/>
      <c r="QW572" s="93"/>
      <c r="QX572" s="93"/>
      <c r="QY572" s="93"/>
      <c r="QZ572" s="93"/>
      <c r="RA572" s="93"/>
      <c r="RB572" s="93"/>
      <c r="RC572" s="93"/>
      <c r="RD572" s="93"/>
      <c r="RE572" s="93"/>
      <c r="RF572" s="93"/>
      <c r="RG572" s="93"/>
      <c r="RH572" s="93"/>
      <c r="RI572" s="93"/>
      <c r="RJ572" s="93"/>
      <c r="RK572" s="93"/>
      <c r="RL572" s="93"/>
      <c r="RM572" s="20"/>
      <c r="RN572" s="29"/>
      <c r="RO572" s="19"/>
      <c r="RP572" s="20"/>
      <c r="RQ572" s="29"/>
      <c r="RR572" s="20"/>
      <c r="RS572" s="29"/>
      <c r="RT572" s="1504">
        <v>51867</v>
      </c>
      <c r="RU572" s="19"/>
      <c r="RV572" s="20"/>
      <c r="RW572" s="29"/>
      <c r="RX572" s="1504">
        <v>51867</v>
      </c>
      <c r="RY572" s="29"/>
      <c r="RZ572" s="20"/>
      <c r="SA572" s="29"/>
      <c r="SB572" s="29"/>
    </row>
    <row r="573" spans="1:496">
      <c r="A573" s="41">
        <f t="shared" si="362"/>
        <v>2042</v>
      </c>
      <c r="B573" s="1504">
        <v>51898</v>
      </c>
      <c r="C573" s="1813"/>
      <c r="D573" s="1814"/>
      <c r="E573" s="1814"/>
      <c r="F573" s="1815"/>
      <c r="G573" s="1814"/>
      <c r="H573" s="1814"/>
      <c r="I573" s="1814"/>
      <c r="J573" s="1816"/>
      <c r="K573" s="1807"/>
      <c r="L573" s="25"/>
      <c r="M573" s="97"/>
      <c r="N573" s="1504">
        <v>51898</v>
      </c>
      <c r="O573" s="19"/>
      <c r="P573" s="93"/>
      <c r="Q573" s="93"/>
      <c r="R573" s="93"/>
      <c r="S573" s="93"/>
      <c r="T573" s="93"/>
      <c r="U573" s="93"/>
      <c r="V573" s="93"/>
      <c r="W573" s="93"/>
      <c r="X573" s="93"/>
      <c r="Y573" s="93"/>
      <c r="Z573" s="93"/>
      <c r="AA573" s="93"/>
      <c r="AB573" s="20"/>
      <c r="AC573" s="25"/>
      <c r="AD573" s="97"/>
      <c r="AE573" s="1504">
        <v>51898</v>
      </c>
      <c r="AF573" s="19"/>
      <c r="AG573" s="93"/>
      <c r="AH573" s="93"/>
      <c r="AI573" s="93"/>
      <c r="AJ573" s="93"/>
      <c r="AK573" s="93"/>
      <c r="AL573" s="93"/>
      <c r="AM573" s="93"/>
      <c r="AN573" s="93"/>
      <c r="AO573" s="93"/>
      <c r="AP573" s="93"/>
      <c r="AQ573" s="93"/>
      <c r="AR573" s="93"/>
      <c r="AS573" s="20"/>
      <c r="AT573" s="25"/>
      <c r="AU573" s="97"/>
      <c r="AV573" s="1504">
        <v>51898</v>
      </c>
      <c r="AW573" s="19"/>
      <c r="AX573" s="93"/>
      <c r="AY573" s="93"/>
      <c r="AZ573" s="93"/>
      <c r="BA573" s="93"/>
      <c r="BB573" s="93"/>
      <c r="BC573" s="93"/>
      <c r="BD573" s="93"/>
      <c r="BE573" s="93"/>
      <c r="BF573" s="93"/>
      <c r="BG573" s="93"/>
      <c r="BH573" s="93"/>
      <c r="BI573" s="93"/>
      <c r="BJ573" s="20"/>
      <c r="BK573" s="25"/>
      <c r="BL573" s="97"/>
      <c r="BM573" s="1504">
        <v>51898</v>
      </c>
      <c r="BN573" s="19"/>
      <c r="BO573" s="93"/>
      <c r="BP573" s="93"/>
      <c r="BQ573" s="93"/>
      <c r="BR573" s="93"/>
      <c r="BS573" s="93"/>
      <c r="BT573" s="93"/>
      <c r="BU573" s="20"/>
      <c r="BV573" s="25"/>
      <c r="BW573" s="97"/>
      <c r="BX573" s="1504">
        <v>51898</v>
      </c>
      <c r="BY573" s="19"/>
      <c r="BZ573" s="93"/>
      <c r="CA573" s="93"/>
      <c r="CB573" s="93"/>
      <c r="CC573" s="93"/>
      <c r="CD573" s="25"/>
      <c r="CE573" s="97"/>
      <c r="CF573" s="1504">
        <v>51898</v>
      </c>
      <c r="CG573" s="19"/>
      <c r="CH573" s="93"/>
      <c r="CI573" s="219"/>
      <c r="CJ573" s="20"/>
      <c r="CK573" s="19"/>
      <c r="CL573" s="93"/>
      <c r="CM573" s="93"/>
      <c r="CN573" s="93"/>
      <c r="CO573" s="93"/>
      <c r="CP573" s="20"/>
      <c r="CQ573" s="219"/>
      <c r="CR573" s="93"/>
      <c r="CS573" s="93"/>
      <c r="CT573" s="93"/>
      <c r="CU573" s="93"/>
      <c r="CV573" s="214"/>
      <c r="CW573" s="29"/>
      <c r="CX573" s="41">
        <f t="shared" si="361"/>
        <v>2042</v>
      </c>
      <c r="CY573" s="1504">
        <v>51898</v>
      </c>
      <c r="CZ573" s="19"/>
      <c r="DA573" s="93"/>
      <c r="DB573" s="93"/>
      <c r="DC573" s="93"/>
      <c r="DD573" s="93"/>
      <c r="DE573" s="20"/>
      <c r="DF573" s="29"/>
      <c r="DG573" s="1504">
        <v>51898</v>
      </c>
      <c r="DH573" s="19"/>
      <c r="DI573" s="93"/>
      <c r="DJ573" s="93"/>
      <c r="DK573" s="93"/>
      <c r="DL573" s="93"/>
      <c r="DM573" s="93"/>
      <c r="DN573" s="20"/>
      <c r="DO573" s="295"/>
      <c r="DP573" s="29"/>
      <c r="DQ573" s="1504">
        <v>51898</v>
      </c>
      <c r="DR573" s="19"/>
      <c r="DS573" s="93"/>
      <c r="DT573" s="93"/>
      <c r="DU573" s="93"/>
      <c r="DV573" s="93"/>
      <c r="DW573" s="93"/>
      <c r="DX573" s="20"/>
      <c r="DY573" s="29"/>
      <c r="DZ573" s="1504">
        <v>51898</v>
      </c>
      <c r="EA573" s="19"/>
      <c r="EB573" s="93"/>
      <c r="EC573" s="20"/>
      <c r="ED573" s="29"/>
      <c r="EE573" s="1504">
        <v>51898</v>
      </c>
      <c r="EF573" s="19"/>
      <c r="EG573" s="93"/>
      <c r="EH573" s="93"/>
      <c r="EI573" s="214"/>
      <c r="EJ573" s="93"/>
      <c r="EK573" s="93"/>
      <c r="EL573" s="93"/>
      <c r="EM573" s="93"/>
      <c r="EN573" s="20"/>
      <c r="EO573" s="29"/>
      <c r="EP573" s="1504">
        <v>51898</v>
      </c>
      <c r="EQ573" s="19"/>
      <c r="ER573" s="93"/>
      <c r="ES573" s="93"/>
      <c r="ET573" s="214"/>
      <c r="EU573" s="93"/>
      <c r="EV573" s="93"/>
      <c r="EW573" s="93"/>
      <c r="EX573" s="93"/>
      <c r="EY573" s="20"/>
      <c r="EZ573" s="29"/>
      <c r="FA573" s="1504">
        <v>51898</v>
      </c>
      <c r="FB573" s="29"/>
      <c r="FC573" s="29"/>
      <c r="FD573" s="29"/>
      <c r="FE573" s="29"/>
      <c r="FF573" s="29"/>
      <c r="FG573" s="29"/>
      <c r="FH573" s="29"/>
      <c r="FI573" s="29"/>
      <c r="FJ573" s="29"/>
      <c r="FK573" s="29"/>
      <c r="FL573" s="1504">
        <v>51898</v>
      </c>
      <c r="FM573" s="19"/>
      <c r="FN573" s="93"/>
      <c r="FO573" s="93"/>
      <c r="FP573" s="93"/>
      <c r="FQ573" s="93"/>
      <c r="FR573" s="93"/>
      <c r="FS573" s="93"/>
      <c r="FT573" s="93"/>
      <c r="FU573" s="93"/>
      <c r="FV573" s="93"/>
      <c r="FW573" s="93"/>
      <c r="FX573" s="93"/>
      <c r="FY573" s="93"/>
      <c r="FZ573" s="29"/>
      <c r="GA573" s="1504">
        <v>51898</v>
      </c>
      <c r="GB573" s="19"/>
      <c r="GC573" s="93"/>
      <c r="GD573" s="93"/>
      <c r="GE573" s="93"/>
      <c r="GF573" s="93"/>
      <c r="GG573" s="93"/>
      <c r="GH573" s="93"/>
      <c r="GI573" s="93"/>
      <c r="GJ573" s="93"/>
      <c r="GK573" s="93"/>
      <c r="GL573" s="93"/>
      <c r="GM573" s="93"/>
      <c r="GN573" s="20"/>
      <c r="GO573" s="29"/>
      <c r="GP573" s="1504">
        <v>51898</v>
      </c>
      <c r="GQ573" s="19"/>
      <c r="GR573" s="93"/>
      <c r="GS573" s="93"/>
      <c r="GT573" s="93"/>
      <c r="GU573" s="93"/>
      <c r="GV573" s="20"/>
      <c r="GW573" s="19"/>
      <c r="GX573" s="93"/>
      <c r="GY573" s="93"/>
      <c r="GZ573" s="93"/>
      <c r="HA573" s="93"/>
      <c r="HB573" s="20"/>
      <c r="HC573" s="19"/>
      <c r="HD573" s="93"/>
      <c r="HE573" s="93"/>
      <c r="HF573" s="93"/>
      <c r="HG573" s="93"/>
      <c r="HH573" s="20"/>
      <c r="HI573" s="19"/>
      <c r="HJ573" s="93"/>
      <c r="HK573" s="93"/>
      <c r="HL573" s="93"/>
      <c r="HM573" s="93"/>
      <c r="HN573" s="20"/>
      <c r="HO573" s="219"/>
      <c r="HP573" s="20"/>
      <c r="HQ573" s="25"/>
      <c r="HR573" s="29"/>
      <c r="HS573" s="1504">
        <v>51898</v>
      </c>
      <c r="HT573" s="19"/>
      <c r="HU573" s="93"/>
      <c r="HV573" s="93"/>
      <c r="HW573" s="93"/>
      <c r="HX573" s="93"/>
      <c r="HY573" s="93"/>
      <c r="HZ573" s="93"/>
      <c r="IA573" s="20"/>
      <c r="IB573" s="19"/>
      <c r="IC573" s="93"/>
      <c r="ID573" s="93"/>
      <c r="IE573" s="93"/>
      <c r="IF573" s="93"/>
      <c r="IG573" s="20"/>
      <c r="IH573" s="19"/>
      <c r="II573" s="93"/>
      <c r="IJ573" s="93"/>
      <c r="IK573" s="93"/>
      <c r="IL573" s="93"/>
      <c r="IM573" s="93"/>
      <c r="IN573" s="93"/>
      <c r="IO573" s="20"/>
      <c r="IP573" s="29"/>
      <c r="IQ573" s="19"/>
      <c r="IR573" s="93"/>
      <c r="IS573" s="93"/>
      <c r="IT573" s="93"/>
      <c r="IU573" s="93"/>
      <c r="IV573" s="20"/>
      <c r="IW573" s="29"/>
      <c r="IX573" s="19"/>
      <c r="IY573" s="93"/>
      <c r="IZ573" s="93"/>
      <c r="JA573" s="93"/>
      <c r="JB573" s="93"/>
      <c r="JC573" s="93"/>
      <c r="JD573" s="93"/>
      <c r="JE573" s="20"/>
      <c r="JF573" s="29"/>
      <c r="JG573" s="19"/>
      <c r="JH573" s="93"/>
      <c r="JI573" s="93"/>
      <c r="JJ573" s="93"/>
      <c r="JK573" s="93"/>
      <c r="JL573" s="93"/>
      <c r="JM573" s="93"/>
      <c r="JN573" s="20"/>
      <c r="JO573" s="29"/>
      <c r="JP573" s="19"/>
      <c r="JQ573" s="93"/>
      <c r="JR573" s="93"/>
      <c r="JS573" s="93"/>
      <c r="JT573" s="93"/>
      <c r="JU573" s="20"/>
      <c r="JV573" s="29"/>
      <c r="JW573" s="1504">
        <v>51898</v>
      </c>
      <c r="JX573" s="19"/>
      <c r="JY573" s="93"/>
      <c r="JZ573" s="93"/>
      <c r="KA573" s="93"/>
      <c r="KB573" s="93"/>
      <c r="KC573" s="93"/>
      <c r="KD573" s="20"/>
      <c r="KE573" s="29"/>
      <c r="KF573" s="19"/>
      <c r="KG573" s="93"/>
      <c r="KH573" s="93"/>
      <c r="KI573" s="93"/>
      <c r="KJ573" s="93"/>
      <c r="KK573" s="20"/>
      <c r="KL573" s="29"/>
      <c r="KM573" s="19"/>
      <c r="KN573" s="93"/>
      <c r="KO573" s="93"/>
      <c r="KP573" s="93"/>
      <c r="KQ573" s="93"/>
      <c r="KR573" s="20"/>
      <c r="KS573" s="29"/>
      <c r="KT573" s="19"/>
      <c r="KU573" s="93"/>
      <c r="KV573" s="93"/>
      <c r="KW573" s="93"/>
      <c r="KX573" s="93"/>
      <c r="KY573" s="20"/>
      <c r="KZ573" s="29"/>
      <c r="LA573" s="1504">
        <v>51898</v>
      </c>
      <c r="LB573" s="19"/>
      <c r="LC573" s="93"/>
      <c r="LD573" s="93"/>
      <c r="LE573" s="93"/>
      <c r="LF573" s="93"/>
      <c r="LG573" s="93"/>
      <c r="LH573" s="20"/>
      <c r="LI573" s="29"/>
      <c r="LJ573" s="19"/>
      <c r="LK573" s="93"/>
      <c r="LL573" s="93"/>
      <c r="LM573" s="93"/>
      <c r="LN573" s="93"/>
      <c r="LO573" s="20"/>
      <c r="LP573" s="29"/>
      <c r="LQ573" s="19"/>
      <c r="LR573" s="93"/>
      <c r="LS573" s="93"/>
      <c r="LT573" s="93"/>
      <c r="LU573" s="93"/>
      <c r="LV573" s="93"/>
      <c r="LW573" s="93"/>
      <c r="LX573" s="93"/>
      <c r="LY573" s="93"/>
      <c r="LZ573" s="93"/>
      <c r="MA573" s="20"/>
      <c r="MB573" s="29"/>
      <c r="MC573" s="1504">
        <v>51898</v>
      </c>
      <c r="MD573" s="19"/>
      <c r="ME573" s="93"/>
      <c r="MF573" s="93"/>
      <c r="MG573" s="93"/>
      <c r="MH573" s="93"/>
      <c r="MI573" s="93"/>
      <c r="MJ573" s="93"/>
      <c r="MK573" s="93"/>
      <c r="ML573" s="93"/>
      <c r="MM573" s="93"/>
      <c r="MN573" s="93"/>
      <c r="MO573" s="93"/>
      <c r="MP573" s="93"/>
      <c r="MQ573" s="93"/>
      <c r="MR573" s="93"/>
      <c r="MS573" s="93"/>
      <c r="MT573" s="93"/>
      <c r="MU573" s="93"/>
      <c r="MV573" s="93"/>
      <c r="MW573" s="93"/>
      <c r="MX573" s="93"/>
      <c r="MY573" s="93"/>
      <c r="MZ573" s="93"/>
      <c r="NA573" s="93"/>
      <c r="NB573" s="93"/>
      <c r="NC573" s="93"/>
      <c r="ND573" s="93"/>
      <c r="NE573" s="93"/>
      <c r="NF573" s="93"/>
      <c r="NG573" s="93"/>
      <c r="NH573" s="93"/>
      <c r="NI573" s="93"/>
      <c r="NJ573" s="93"/>
      <c r="NK573" s="93"/>
      <c r="NL573" s="93"/>
      <c r="NM573" s="93"/>
      <c r="NN573" s="93"/>
      <c r="NO573" s="93"/>
      <c r="NP573" s="93"/>
      <c r="NQ573" s="93"/>
      <c r="NR573" s="93"/>
      <c r="NS573" s="93"/>
      <c r="NT573" s="93"/>
      <c r="NU573" s="93"/>
      <c r="NV573" s="93"/>
      <c r="NW573" s="93"/>
      <c r="NX573" s="93"/>
      <c r="NY573" s="93"/>
      <c r="NZ573" s="93"/>
      <c r="OA573" s="93"/>
      <c r="OB573" s="93"/>
      <c r="OC573" s="93"/>
      <c r="OD573" s="20"/>
      <c r="OE573" s="29"/>
      <c r="OF573" s="1504">
        <v>51898</v>
      </c>
      <c r="OG573" s="19"/>
      <c r="OH573" s="93"/>
      <c r="OI573" s="93"/>
      <c r="OJ573" s="93"/>
      <c r="OK573" s="93"/>
      <c r="OL573" s="93"/>
      <c r="OM573" s="93"/>
      <c r="ON573" s="93"/>
      <c r="OO573" s="93"/>
      <c r="OP573" s="93"/>
      <c r="OQ573" s="93"/>
      <c r="OR573" s="93"/>
      <c r="OS573" s="93"/>
      <c r="OT573" s="93"/>
      <c r="OU573" s="93"/>
      <c r="OV573" s="93"/>
      <c r="OW573" s="93"/>
      <c r="OX573" s="93"/>
      <c r="OY573" s="93"/>
      <c r="OZ573" s="93"/>
      <c r="PA573" s="93"/>
      <c r="PB573" s="93"/>
      <c r="PC573" s="20"/>
      <c r="PD573" s="29"/>
      <c r="PE573" s="19"/>
      <c r="PF573" s="93"/>
      <c r="PG573" s="93"/>
      <c r="PH573" s="93"/>
      <c r="PI573" s="93"/>
      <c r="PJ573" s="93"/>
      <c r="PK573" s="93"/>
      <c r="PL573" s="93"/>
      <c r="PM573" s="93"/>
      <c r="PN573" s="93"/>
      <c r="PO573" s="93"/>
      <c r="PP573" s="93"/>
      <c r="PQ573" s="93"/>
      <c r="PR573" s="93"/>
      <c r="PS573" s="93"/>
      <c r="PT573" s="93"/>
      <c r="PU573" s="93"/>
      <c r="PV573" s="93"/>
      <c r="PW573" s="93"/>
      <c r="PX573" s="93"/>
      <c r="PY573" s="93"/>
      <c r="PZ573" s="93"/>
      <c r="QA573" s="93"/>
      <c r="QB573" s="93"/>
      <c r="QC573" s="93"/>
      <c r="QD573" s="93"/>
      <c r="QE573" s="20"/>
      <c r="QF573" s="1739"/>
      <c r="QG573" s="19"/>
      <c r="QH573" s="93"/>
      <c r="QI573" s="93"/>
      <c r="QJ573" s="93"/>
      <c r="QK573" s="93"/>
      <c r="QL573" s="93"/>
      <c r="QM573" s="93"/>
      <c r="QN573" s="93"/>
      <c r="QO573" s="93"/>
      <c r="QP573" s="93"/>
      <c r="QQ573" s="93"/>
      <c r="QR573" s="93"/>
      <c r="QS573" s="93"/>
      <c r="QT573" s="93"/>
      <c r="QU573" s="93"/>
      <c r="QV573" s="93"/>
      <c r="QW573" s="93"/>
      <c r="QX573" s="93"/>
      <c r="QY573" s="93"/>
      <c r="QZ573" s="93"/>
      <c r="RA573" s="93"/>
      <c r="RB573" s="93"/>
      <c r="RC573" s="93"/>
      <c r="RD573" s="93"/>
      <c r="RE573" s="93"/>
      <c r="RF573" s="93"/>
      <c r="RG573" s="93"/>
      <c r="RH573" s="93"/>
      <c r="RI573" s="93"/>
      <c r="RJ573" s="93"/>
      <c r="RK573" s="93"/>
      <c r="RL573" s="93"/>
      <c r="RM573" s="20"/>
      <c r="RN573" s="29"/>
      <c r="RO573" s="19"/>
      <c r="RP573" s="20"/>
      <c r="RQ573" s="29"/>
      <c r="RR573" s="20"/>
      <c r="RS573" s="29"/>
      <c r="RT573" s="1504">
        <v>51898</v>
      </c>
      <c r="RU573" s="19"/>
      <c r="RV573" s="20"/>
      <c r="RW573" s="29"/>
      <c r="RX573" s="1504">
        <v>51898</v>
      </c>
      <c r="RY573" s="29"/>
      <c r="RZ573" s="20"/>
      <c r="SA573" s="29"/>
      <c r="SB573" s="29"/>
    </row>
    <row r="574" spans="1:496">
      <c r="A574" s="41">
        <f t="shared" si="362"/>
        <v>2042</v>
      </c>
      <c r="B574" s="1504">
        <v>51926</v>
      </c>
      <c r="C574" s="1813"/>
      <c r="D574" s="1814"/>
      <c r="E574" s="1814"/>
      <c r="F574" s="1815"/>
      <c r="G574" s="1814"/>
      <c r="H574" s="1814"/>
      <c r="I574" s="1814"/>
      <c r="J574" s="1816"/>
      <c r="K574" s="1807"/>
      <c r="L574" s="25"/>
      <c r="M574" s="97"/>
      <c r="N574" s="1504">
        <v>51926</v>
      </c>
      <c r="O574" s="19"/>
      <c r="P574" s="93"/>
      <c r="Q574" s="93"/>
      <c r="R574" s="93"/>
      <c r="S574" s="93"/>
      <c r="T574" s="93"/>
      <c r="U574" s="93"/>
      <c r="V574" s="93"/>
      <c r="W574" s="93"/>
      <c r="X574" s="93"/>
      <c r="Y574" s="93"/>
      <c r="Z574" s="93"/>
      <c r="AA574" s="93"/>
      <c r="AB574" s="20"/>
      <c r="AC574" s="25"/>
      <c r="AD574" s="97"/>
      <c r="AE574" s="1504">
        <v>51926</v>
      </c>
      <c r="AF574" s="19"/>
      <c r="AG574" s="93"/>
      <c r="AH574" s="93"/>
      <c r="AI574" s="93"/>
      <c r="AJ574" s="93"/>
      <c r="AK574" s="93"/>
      <c r="AL574" s="93"/>
      <c r="AM574" s="93"/>
      <c r="AN574" s="93"/>
      <c r="AO574" s="93"/>
      <c r="AP574" s="93"/>
      <c r="AQ574" s="93"/>
      <c r="AR574" s="93"/>
      <c r="AS574" s="20"/>
      <c r="AT574" s="25"/>
      <c r="AU574" s="97"/>
      <c r="AV574" s="1504">
        <v>51926</v>
      </c>
      <c r="AW574" s="19"/>
      <c r="AX574" s="93"/>
      <c r="AY574" s="93"/>
      <c r="AZ574" s="93"/>
      <c r="BA574" s="93"/>
      <c r="BB574" s="93"/>
      <c r="BC574" s="93"/>
      <c r="BD574" s="93"/>
      <c r="BE574" s="93"/>
      <c r="BF574" s="93"/>
      <c r="BG574" s="93"/>
      <c r="BH574" s="93"/>
      <c r="BI574" s="93"/>
      <c r="BJ574" s="20"/>
      <c r="BK574" s="25"/>
      <c r="BL574" s="97"/>
      <c r="BM574" s="1504">
        <v>51926</v>
      </c>
      <c r="BN574" s="19"/>
      <c r="BO574" s="93"/>
      <c r="BP574" s="93"/>
      <c r="BQ574" s="93"/>
      <c r="BR574" s="93"/>
      <c r="BS574" s="93"/>
      <c r="BT574" s="93"/>
      <c r="BU574" s="20"/>
      <c r="BV574" s="25"/>
      <c r="BW574" s="97"/>
      <c r="BX574" s="1504">
        <v>51926</v>
      </c>
      <c r="BY574" s="19"/>
      <c r="BZ574" s="93"/>
      <c r="CA574" s="93"/>
      <c r="CB574" s="93"/>
      <c r="CC574" s="93"/>
      <c r="CD574" s="25"/>
      <c r="CE574" s="97"/>
      <c r="CF574" s="1504">
        <v>51926</v>
      </c>
      <c r="CG574" s="19"/>
      <c r="CH574" s="93"/>
      <c r="CI574" s="219"/>
      <c r="CJ574" s="20"/>
      <c r="CK574" s="19"/>
      <c r="CL574" s="93"/>
      <c r="CM574" s="93"/>
      <c r="CN574" s="93"/>
      <c r="CO574" s="93"/>
      <c r="CP574" s="20"/>
      <c r="CQ574" s="219"/>
      <c r="CR574" s="93"/>
      <c r="CS574" s="93"/>
      <c r="CT574" s="93"/>
      <c r="CU574" s="93"/>
      <c r="CV574" s="214"/>
      <c r="CW574" s="29"/>
      <c r="CX574" s="41">
        <f t="shared" si="361"/>
        <v>2042</v>
      </c>
      <c r="CY574" s="1504">
        <v>51926</v>
      </c>
      <c r="CZ574" s="19"/>
      <c r="DA574" s="93"/>
      <c r="DB574" s="93"/>
      <c r="DC574" s="93"/>
      <c r="DD574" s="93"/>
      <c r="DE574" s="20"/>
      <c r="DF574" s="29"/>
      <c r="DG574" s="1504">
        <v>51926</v>
      </c>
      <c r="DH574" s="19"/>
      <c r="DI574" s="93"/>
      <c r="DJ574" s="93"/>
      <c r="DK574" s="93"/>
      <c r="DL574" s="93"/>
      <c r="DM574" s="93"/>
      <c r="DN574" s="20"/>
      <c r="DO574" s="295"/>
      <c r="DP574" s="29"/>
      <c r="DQ574" s="1504">
        <v>51926</v>
      </c>
      <c r="DR574" s="19"/>
      <c r="DS574" s="93"/>
      <c r="DT574" s="93"/>
      <c r="DU574" s="93"/>
      <c r="DV574" s="93"/>
      <c r="DW574" s="93"/>
      <c r="DX574" s="20"/>
      <c r="DY574" s="29"/>
      <c r="DZ574" s="1504">
        <v>51926</v>
      </c>
      <c r="EA574" s="19"/>
      <c r="EB574" s="93"/>
      <c r="EC574" s="20"/>
      <c r="ED574" s="29"/>
      <c r="EE574" s="1504">
        <v>51926</v>
      </c>
      <c r="EF574" s="19"/>
      <c r="EG574" s="93"/>
      <c r="EH574" s="93"/>
      <c r="EI574" s="214"/>
      <c r="EJ574" s="93"/>
      <c r="EK574" s="93"/>
      <c r="EL574" s="93"/>
      <c r="EM574" s="93"/>
      <c r="EN574" s="20"/>
      <c r="EO574" s="29"/>
      <c r="EP574" s="1504">
        <v>51926</v>
      </c>
      <c r="EQ574" s="19"/>
      <c r="ER574" s="93"/>
      <c r="ES574" s="93"/>
      <c r="ET574" s="214"/>
      <c r="EU574" s="93"/>
      <c r="EV574" s="93"/>
      <c r="EW574" s="93"/>
      <c r="EX574" s="93"/>
      <c r="EY574" s="20"/>
      <c r="EZ574" s="29"/>
      <c r="FA574" s="1504">
        <v>51926</v>
      </c>
      <c r="FB574" s="29"/>
      <c r="FC574" s="29"/>
      <c r="FD574" s="29"/>
      <c r="FE574" s="29"/>
      <c r="FF574" s="29"/>
      <c r="FG574" s="29"/>
      <c r="FH574" s="29"/>
      <c r="FI574" s="29"/>
      <c r="FJ574" s="29"/>
      <c r="FK574" s="29"/>
      <c r="FL574" s="1504">
        <v>51926</v>
      </c>
      <c r="FM574" s="19"/>
      <c r="FN574" s="93"/>
      <c r="FO574" s="93"/>
      <c r="FP574" s="93"/>
      <c r="FQ574" s="93"/>
      <c r="FR574" s="93"/>
      <c r="FS574" s="93"/>
      <c r="FT574" s="93"/>
      <c r="FU574" s="93"/>
      <c r="FV574" s="93"/>
      <c r="FW574" s="93"/>
      <c r="FX574" s="93"/>
      <c r="FY574" s="93"/>
      <c r="FZ574" s="29"/>
      <c r="GA574" s="1504">
        <v>51926</v>
      </c>
      <c r="GB574" s="19"/>
      <c r="GC574" s="93"/>
      <c r="GD574" s="93"/>
      <c r="GE574" s="93"/>
      <c r="GF574" s="93"/>
      <c r="GG574" s="93"/>
      <c r="GH574" s="93"/>
      <c r="GI574" s="93"/>
      <c r="GJ574" s="93"/>
      <c r="GK574" s="93"/>
      <c r="GL574" s="93"/>
      <c r="GM574" s="93"/>
      <c r="GN574" s="20"/>
      <c r="GO574" s="29"/>
      <c r="GP574" s="1504">
        <v>51926</v>
      </c>
      <c r="GQ574" s="19"/>
      <c r="GR574" s="93"/>
      <c r="GS574" s="93"/>
      <c r="GT574" s="93"/>
      <c r="GU574" s="93"/>
      <c r="GV574" s="20"/>
      <c r="GW574" s="19"/>
      <c r="GX574" s="93"/>
      <c r="GY574" s="93"/>
      <c r="GZ574" s="93"/>
      <c r="HA574" s="93"/>
      <c r="HB574" s="20"/>
      <c r="HC574" s="19"/>
      <c r="HD574" s="93"/>
      <c r="HE574" s="93"/>
      <c r="HF574" s="93"/>
      <c r="HG574" s="93"/>
      <c r="HH574" s="20"/>
      <c r="HI574" s="19"/>
      <c r="HJ574" s="93"/>
      <c r="HK574" s="93"/>
      <c r="HL574" s="93"/>
      <c r="HM574" s="93"/>
      <c r="HN574" s="20"/>
      <c r="HO574" s="219"/>
      <c r="HP574" s="20"/>
      <c r="HQ574" s="25"/>
      <c r="HR574" s="29"/>
      <c r="HS574" s="1504">
        <v>51926</v>
      </c>
      <c r="HT574" s="19"/>
      <c r="HU574" s="93"/>
      <c r="HV574" s="93"/>
      <c r="HW574" s="93"/>
      <c r="HX574" s="93"/>
      <c r="HY574" s="93"/>
      <c r="HZ574" s="93"/>
      <c r="IA574" s="20"/>
      <c r="IB574" s="19"/>
      <c r="IC574" s="93"/>
      <c r="ID574" s="93"/>
      <c r="IE574" s="93"/>
      <c r="IF574" s="93"/>
      <c r="IG574" s="20"/>
      <c r="IH574" s="19"/>
      <c r="II574" s="93"/>
      <c r="IJ574" s="93"/>
      <c r="IK574" s="93"/>
      <c r="IL574" s="93"/>
      <c r="IM574" s="93"/>
      <c r="IN574" s="93"/>
      <c r="IO574" s="20"/>
      <c r="IP574" s="29"/>
      <c r="IQ574" s="19"/>
      <c r="IR574" s="93"/>
      <c r="IS574" s="93"/>
      <c r="IT574" s="93"/>
      <c r="IU574" s="93"/>
      <c r="IV574" s="20"/>
      <c r="IW574" s="29"/>
      <c r="IX574" s="19"/>
      <c r="IY574" s="93"/>
      <c r="IZ574" s="93"/>
      <c r="JA574" s="93"/>
      <c r="JB574" s="93"/>
      <c r="JC574" s="93"/>
      <c r="JD574" s="93"/>
      <c r="JE574" s="20"/>
      <c r="JF574" s="29"/>
      <c r="JG574" s="19"/>
      <c r="JH574" s="93"/>
      <c r="JI574" s="93"/>
      <c r="JJ574" s="93"/>
      <c r="JK574" s="93"/>
      <c r="JL574" s="93"/>
      <c r="JM574" s="93"/>
      <c r="JN574" s="20"/>
      <c r="JO574" s="29"/>
      <c r="JP574" s="19"/>
      <c r="JQ574" s="93"/>
      <c r="JR574" s="93"/>
      <c r="JS574" s="93"/>
      <c r="JT574" s="93"/>
      <c r="JU574" s="20"/>
      <c r="JV574" s="29"/>
      <c r="JW574" s="1504">
        <v>51926</v>
      </c>
      <c r="JX574" s="19"/>
      <c r="JY574" s="93"/>
      <c r="JZ574" s="93"/>
      <c r="KA574" s="93"/>
      <c r="KB574" s="93"/>
      <c r="KC574" s="93"/>
      <c r="KD574" s="20"/>
      <c r="KE574" s="29"/>
      <c r="KF574" s="19"/>
      <c r="KG574" s="93"/>
      <c r="KH574" s="93"/>
      <c r="KI574" s="93"/>
      <c r="KJ574" s="93"/>
      <c r="KK574" s="20"/>
      <c r="KL574" s="29"/>
      <c r="KM574" s="19"/>
      <c r="KN574" s="93"/>
      <c r="KO574" s="93"/>
      <c r="KP574" s="93"/>
      <c r="KQ574" s="93"/>
      <c r="KR574" s="20"/>
      <c r="KS574" s="29"/>
      <c r="KT574" s="19"/>
      <c r="KU574" s="93"/>
      <c r="KV574" s="93"/>
      <c r="KW574" s="93"/>
      <c r="KX574" s="93"/>
      <c r="KY574" s="20"/>
      <c r="KZ574" s="29"/>
      <c r="LA574" s="1504">
        <v>51926</v>
      </c>
      <c r="LB574" s="19"/>
      <c r="LC574" s="93"/>
      <c r="LD574" s="93"/>
      <c r="LE574" s="93"/>
      <c r="LF574" s="93"/>
      <c r="LG574" s="93"/>
      <c r="LH574" s="20"/>
      <c r="LI574" s="29"/>
      <c r="LJ574" s="19"/>
      <c r="LK574" s="93"/>
      <c r="LL574" s="93"/>
      <c r="LM574" s="93"/>
      <c r="LN574" s="93"/>
      <c r="LO574" s="20"/>
      <c r="LP574" s="29"/>
      <c r="LQ574" s="19"/>
      <c r="LR574" s="93"/>
      <c r="LS574" s="93"/>
      <c r="LT574" s="93"/>
      <c r="LU574" s="93"/>
      <c r="LV574" s="93"/>
      <c r="LW574" s="93"/>
      <c r="LX574" s="93"/>
      <c r="LY574" s="93"/>
      <c r="LZ574" s="93"/>
      <c r="MA574" s="20"/>
      <c r="MB574" s="29"/>
      <c r="MC574" s="1504">
        <v>51926</v>
      </c>
      <c r="MD574" s="19"/>
      <c r="ME574" s="93"/>
      <c r="MF574" s="93"/>
      <c r="MG574" s="93"/>
      <c r="MH574" s="93"/>
      <c r="MI574" s="93"/>
      <c r="MJ574" s="93"/>
      <c r="MK574" s="93"/>
      <c r="ML574" s="93"/>
      <c r="MM574" s="93"/>
      <c r="MN574" s="93"/>
      <c r="MO574" s="93"/>
      <c r="MP574" s="93"/>
      <c r="MQ574" s="93"/>
      <c r="MR574" s="93"/>
      <c r="MS574" s="93"/>
      <c r="MT574" s="93"/>
      <c r="MU574" s="93"/>
      <c r="MV574" s="93"/>
      <c r="MW574" s="93"/>
      <c r="MX574" s="93"/>
      <c r="MY574" s="93"/>
      <c r="MZ574" s="93"/>
      <c r="NA574" s="93"/>
      <c r="NB574" s="93"/>
      <c r="NC574" s="93"/>
      <c r="ND574" s="93"/>
      <c r="NE574" s="93"/>
      <c r="NF574" s="93"/>
      <c r="NG574" s="93"/>
      <c r="NH574" s="93"/>
      <c r="NI574" s="93"/>
      <c r="NJ574" s="93"/>
      <c r="NK574" s="93"/>
      <c r="NL574" s="93"/>
      <c r="NM574" s="93"/>
      <c r="NN574" s="93"/>
      <c r="NO574" s="93"/>
      <c r="NP574" s="93"/>
      <c r="NQ574" s="93"/>
      <c r="NR574" s="93"/>
      <c r="NS574" s="93"/>
      <c r="NT574" s="93"/>
      <c r="NU574" s="93"/>
      <c r="NV574" s="93"/>
      <c r="NW574" s="93"/>
      <c r="NX574" s="93"/>
      <c r="NY574" s="93"/>
      <c r="NZ574" s="93"/>
      <c r="OA574" s="93"/>
      <c r="OB574" s="93"/>
      <c r="OC574" s="93"/>
      <c r="OD574" s="20"/>
      <c r="OE574" s="29"/>
      <c r="OF574" s="1504">
        <v>51926</v>
      </c>
      <c r="OG574" s="19"/>
      <c r="OH574" s="93"/>
      <c r="OI574" s="93"/>
      <c r="OJ574" s="93"/>
      <c r="OK574" s="93"/>
      <c r="OL574" s="93"/>
      <c r="OM574" s="93"/>
      <c r="ON574" s="93"/>
      <c r="OO574" s="93"/>
      <c r="OP574" s="93"/>
      <c r="OQ574" s="93"/>
      <c r="OR574" s="93"/>
      <c r="OS574" s="93"/>
      <c r="OT574" s="93"/>
      <c r="OU574" s="93"/>
      <c r="OV574" s="93"/>
      <c r="OW574" s="93"/>
      <c r="OX574" s="93"/>
      <c r="OY574" s="93"/>
      <c r="OZ574" s="93"/>
      <c r="PA574" s="93"/>
      <c r="PB574" s="93"/>
      <c r="PC574" s="20"/>
      <c r="PD574" s="29"/>
      <c r="PE574" s="19"/>
      <c r="PF574" s="93"/>
      <c r="PG574" s="93"/>
      <c r="PH574" s="93"/>
      <c r="PI574" s="93"/>
      <c r="PJ574" s="93"/>
      <c r="PK574" s="93"/>
      <c r="PL574" s="93"/>
      <c r="PM574" s="93"/>
      <c r="PN574" s="93"/>
      <c r="PO574" s="93"/>
      <c r="PP574" s="93"/>
      <c r="PQ574" s="93"/>
      <c r="PR574" s="93"/>
      <c r="PS574" s="93"/>
      <c r="PT574" s="93"/>
      <c r="PU574" s="93"/>
      <c r="PV574" s="93"/>
      <c r="PW574" s="93"/>
      <c r="PX574" s="93"/>
      <c r="PY574" s="93"/>
      <c r="PZ574" s="93"/>
      <c r="QA574" s="93"/>
      <c r="QB574" s="93"/>
      <c r="QC574" s="93"/>
      <c r="QD574" s="93"/>
      <c r="QE574" s="20"/>
      <c r="QF574" s="1739"/>
      <c r="QG574" s="19"/>
      <c r="QH574" s="93"/>
      <c r="QI574" s="93"/>
      <c r="QJ574" s="93"/>
      <c r="QK574" s="93"/>
      <c r="QL574" s="93"/>
      <c r="QM574" s="93"/>
      <c r="QN574" s="93"/>
      <c r="QO574" s="93"/>
      <c r="QP574" s="93"/>
      <c r="QQ574" s="93"/>
      <c r="QR574" s="93"/>
      <c r="QS574" s="93"/>
      <c r="QT574" s="93"/>
      <c r="QU574" s="93"/>
      <c r="QV574" s="93"/>
      <c r="QW574" s="93"/>
      <c r="QX574" s="93"/>
      <c r="QY574" s="93"/>
      <c r="QZ574" s="93"/>
      <c r="RA574" s="93"/>
      <c r="RB574" s="93"/>
      <c r="RC574" s="93"/>
      <c r="RD574" s="93"/>
      <c r="RE574" s="93"/>
      <c r="RF574" s="93"/>
      <c r="RG574" s="93"/>
      <c r="RH574" s="93"/>
      <c r="RI574" s="93"/>
      <c r="RJ574" s="93"/>
      <c r="RK574" s="93"/>
      <c r="RL574" s="93"/>
      <c r="RM574" s="20"/>
      <c r="RN574" s="29"/>
      <c r="RO574" s="19"/>
      <c r="RP574" s="20"/>
      <c r="RQ574" s="29"/>
      <c r="RR574" s="20"/>
      <c r="RS574" s="29"/>
      <c r="RT574" s="1504">
        <v>51926</v>
      </c>
      <c r="RU574" s="19"/>
      <c r="RV574" s="20"/>
      <c r="RW574" s="29"/>
      <c r="RX574" s="1504">
        <v>51926</v>
      </c>
      <c r="RY574" s="29"/>
      <c r="RZ574" s="20"/>
      <c r="SA574" s="29"/>
      <c r="SB574" s="29"/>
    </row>
    <row r="575" spans="1:496">
      <c r="A575" s="41">
        <f t="shared" si="362"/>
        <v>2042</v>
      </c>
      <c r="B575" s="1504">
        <v>51957</v>
      </c>
      <c r="C575" s="1813"/>
      <c r="D575" s="1814"/>
      <c r="E575" s="1814"/>
      <c r="F575" s="1815"/>
      <c r="G575" s="1814"/>
      <c r="H575" s="1814"/>
      <c r="I575" s="1814"/>
      <c r="J575" s="1816"/>
      <c r="K575" s="1807"/>
      <c r="L575" s="25"/>
      <c r="M575" s="97"/>
      <c r="N575" s="1504">
        <v>51957</v>
      </c>
      <c r="O575" s="19"/>
      <c r="P575" s="93"/>
      <c r="Q575" s="93"/>
      <c r="R575" s="93"/>
      <c r="S575" s="93"/>
      <c r="T575" s="93"/>
      <c r="U575" s="93"/>
      <c r="V575" s="93"/>
      <c r="W575" s="93"/>
      <c r="X575" s="93"/>
      <c r="Y575" s="93"/>
      <c r="Z575" s="93"/>
      <c r="AA575" s="93"/>
      <c r="AB575" s="20"/>
      <c r="AC575" s="25"/>
      <c r="AD575" s="97"/>
      <c r="AE575" s="1504">
        <v>51957</v>
      </c>
      <c r="AF575" s="19"/>
      <c r="AG575" s="93"/>
      <c r="AH575" s="93"/>
      <c r="AI575" s="93"/>
      <c r="AJ575" s="93"/>
      <c r="AK575" s="93"/>
      <c r="AL575" s="93"/>
      <c r="AM575" s="93"/>
      <c r="AN575" s="93"/>
      <c r="AO575" s="93"/>
      <c r="AP575" s="93"/>
      <c r="AQ575" s="93"/>
      <c r="AR575" s="93"/>
      <c r="AS575" s="20"/>
      <c r="AT575" s="25"/>
      <c r="AU575" s="97"/>
      <c r="AV575" s="1504">
        <v>51957</v>
      </c>
      <c r="AW575" s="19"/>
      <c r="AX575" s="93"/>
      <c r="AY575" s="93"/>
      <c r="AZ575" s="93"/>
      <c r="BA575" s="93"/>
      <c r="BB575" s="93"/>
      <c r="BC575" s="93"/>
      <c r="BD575" s="93"/>
      <c r="BE575" s="93"/>
      <c r="BF575" s="93"/>
      <c r="BG575" s="93"/>
      <c r="BH575" s="93"/>
      <c r="BI575" s="93"/>
      <c r="BJ575" s="20"/>
      <c r="BK575" s="25"/>
      <c r="BL575" s="97"/>
      <c r="BM575" s="1504">
        <v>51957</v>
      </c>
      <c r="BN575" s="19"/>
      <c r="BO575" s="93"/>
      <c r="BP575" s="93"/>
      <c r="BQ575" s="93"/>
      <c r="BR575" s="93"/>
      <c r="BS575" s="93"/>
      <c r="BT575" s="93"/>
      <c r="BU575" s="20"/>
      <c r="BV575" s="25"/>
      <c r="BW575" s="97"/>
      <c r="BX575" s="1504">
        <v>51957</v>
      </c>
      <c r="BY575" s="19"/>
      <c r="BZ575" s="93"/>
      <c r="CA575" s="93"/>
      <c r="CB575" s="93"/>
      <c r="CC575" s="93"/>
      <c r="CD575" s="25"/>
      <c r="CE575" s="97"/>
      <c r="CF575" s="1504">
        <v>51957</v>
      </c>
      <c r="CG575" s="19"/>
      <c r="CH575" s="93"/>
      <c r="CI575" s="219"/>
      <c r="CJ575" s="20"/>
      <c r="CK575" s="19"/>
      <c r="CL575" s="93"/>
      <c r="CM575" s="93"/>
      <c r="CN575" s="93"/>
      <c r="CO575" s="93"/>
      <c r="CP575" s="20"/>
      <c r="CQ575" s="219"/>
      <c r="CR575" s="93"/>
      <c r="CS575" s="93"/>
      <c r="CT575" s="93"/>
      <c r="CU575" s="93"/>
      <c r="CV575" s="214"/>
      <c r="CW575" s="29"/>
      <c r="CX575" s="41">
        <f t="shared" si="361"/>
        <v>2042</v>
      </c>
      <c r="CY575" s="1504">
        <v>51957</v>
      </c>
      <c r="CZ575" s="19"/>
      <c r="DA575" s="93"/>
      <c r="DB575" s="93"/>
      <c r="DC575" s="93"/>
      <c r="DD575" s="93"/>
      <c r="DE575" s="20"/>
      <c r="DF575" s="29"/>
      <c r="DG575" s="1504">
        <v>51957</v>
      </c>
      <c r="DH575" s="19"/>
      <c r="DI575" s="93"/>
      <c r="DJ575" s="93"/>
      <c r="DK575" s="93"/>
      <c r="DL575" s="93"/>
      <c r="DM575" s="93"/>
      <c r="DN575" s="20"/>
      <c r="DO575" s="295"/>
      <c r="DP575" s="29"/>
      <c r="DQ575" s="1504">
        <v>51957</v>
      </c>
      <c r="DR575" s="19"/>
      <c r="DS575" s="93"/>
      <c r="DT575" s="93"/>
      <c r="DU575" s="93"/>
      <c r="DV575" s="93"/>
      <c r="DW575" s="93"/>
      <c r="DX575" s="20"/>
      <c r="DY575" s="29"/>
      <c r="DZ575" s="1504">
        <v>51957</v>
      </c>
      <c r="EA575" s="19"/>
      <c r="EB575" s="93"/>
      <c r="EC575" s="20"/>
      <c r="ED575" s="29"/>
      <c r="EE575" s="1504">
        <v>51957</v>
      </c>
      <c r="EF575" s="19"/>
      <c r="EG575" s="93"/>
      <c r="EH575" s="93"/>
      <c r="EI575" s="214"/>
      <c r="EJ575" s="93"/>
      <c r="EK575" s="93"/>
      <c r="EL575" s="93"/>
      <c r="EM575" s="93"/>
      <c r="EN575" s="20"/>
      <c r="EO575" s="29"/>
      <c r="EP575" s="1504">
        <v>51957</v>
      </c>
      <c r="EQ575" s="19"/>
      <c r="ER575" s="93"/>
      <c r="ES575" s="93"/>
      <c r="ET575" s="214"/>
      <c r="EU575" s="93"/>
      <c r="EV575" s="93"/>
      <c r="EW575" s="93"/>
      <c r="EX575" s="93"/>
      <c r="EY575" s="20"/>
      <c r="EZ575" s="29"/>
      <c r="FA575" s="1504">
        <v>51957</v>
      </c>
      <c r="FB575" s="29"/>
      <c r="FC575" s="29"/>
      <c r="FD575" s="29"/>
      <c r="FE575" s="29"/>
      <c r="FF575" s="29"/>
      <c r="FG575" s="29"/>
      <c r="FH575" s="29"/>
      <c r="FI575" s="29"/>
      <c r="FJ575" s="29"/>
      <c r="FK575" s="29"/>
      <c r="FL575" s="1504">
        <v>51957</v>
      </c>
      <c r="FM575" s="19"/>
      <c r="FN575" s="93"/>
      <c r="FO575" s="93"/>
      <c r="FP575" s="93"/>
      <c r="FQ575" s="93"/>
      <c r="FR575" s="93"/>
      <c r="FS575" s="93"/>
      <c r="FT575" s="93"/>
      <c r="FU575" s="93"/>
      <c r="FV575" s="93"/>
      <c r="FW575" s="93"/>
      <c r="FX575" s="93"/>
      <c r="FY575" s="93"/>
      <c r="FZ575" s="29"/>
      <c r="GA575" s="1504">
        <v>51957</v>
      </c>
      <c r="GB575" s="19"/>
      <c r="GC575" s="93"/>
      <c r="GD575" s="93"/>
      <c r="GE575" s="93"/>
      <c r="GF575" s="93"/>
      <c r="GG575" s="93"/>
      <c r="GH575" s="93"/>
      <c r="GI575" s="93"/>
      <c r="GJ575" s="93"/>
      <c r="GK575" s="93"/>
      <c r="GL575" s="93"/>
      <c r="GM575" s="93"/>
      <c r="GN575" s="20"/>
      <c r="GO575" s="29"/>
      <c r="GP575" s="1504">
        <v>51957</v>
      </c>
      <c r="GQ575" s="19"/>
      <c r="GR575" s="93"/>
      <c r="GS575" s="93"/>
      <c r="GT575" s="93"/>
      <c r="GU575" s="93"/>
      <c r="GV575" s="20"/>
      <c r="GW575" s="19"/>
      <c r="GX575" s="93"/>
      <c r="GY575" s="93"/>
      <c r="GZ575" s="93"/>
      <c r="HA575" s="93"/>
      <c r="HB575" s="20"/>
      <c r="HC575" s="19"/>
      <c r="HD575" s="93"/>
      <c r="HE575" s="93"/>
      <c r="HF575" s="93"/>
      <c r="HG575" s="93"/>
      <c r="HH575" s="20"/>
      <c r="HI575" s="19"/>
      <c r="HJ575" s="93"/>
      <c r="HK575" s="93"/>
      <c r="HL575" s="93"/>
      <c r="HM575" s="93"/>
      <c r="HN575" s="20"/>
      <c r="HO575" s="219"/>
      <c r="HP575" s="20"/>
      <c r="HQ575" s="25"/>
      <c r="HR575" s="29"/>
      <c r="HS575" s="1504">
        <v>51957</v>
      </c>
      <c r="HT575" s="19"/>
      <c r="HU575" s="93"/>
      <c r="HV575" s="93"/>
      <c r="HW575" s="93"/>
      <c r="HX575" s="93"/>
      <c r="HY575" s="93"/>
      <c r="HZ575" s="93"/>
      <c r="IA575" s="20"/>
      <c r="IB575" s="19"/>
      <c r="IC575" s="93"/>
      <c r="ID575" s="93"/>
      <c r="IE575" s="93"/>
      <c r="IF575" s="93"/>
      <c r="IG575" s="20"/>
      <c r="IH575" s="19"/>
      <c r="II575" s="93"/>
      <c r="IJ575" s="93"/>
      <c r="IK575" s="93"/>
      <c r="IL575" s="93"/>
      <c r="IM575" s="93"/>
      <c r="IN575" s="93"/>
      <c r="IO575" s="20"/>
      <c r="IP575" s="29"/>
      <c r="IQ575" s="19"/>
      <c r="IR575" s="93"/>
      <c r="IS575" s="93"/>
      <c r="IT575" s="93"/>
      <c r="IU575" s="93"/>
      <c r="IV575" s="20"/>
      <c r="IW575" s="29"/>
      <c r="IX575" s="19"/>
      <c r="IY575" s="93"/>
      <c r="IZ575" s="93"/>
      <c r="JA575" s="93"/>
      <c r="JB575" s="93"/>
      <c r="JC575" s="93"/>
      <c r="JD575" s="93"/>
      <c r="JE575" s="20"/>
      <c r="JF575" s="29"/>
      <c r="JG575" s="19"/>
      <c r="JH575" s="93"/>
      <c r="JI575" s="93"/>
      <c r="JJ575" s="93"/>
      <c r="JK575" s="93"/>
      <c r="JL575" s="93"/>
      <c r="JM575" s="93"/>
      <c r="JN575" s="20"/>
      <c r="JO575" s="29"/>
      <c r="JP575" s="19"/>
      <c r="JQ575" s="93"/>
      <c r="JR575" s="93"/>
      <c r="JS575" s="93"/>
      <c r="JT575" s="93"/>
      <c r="JU575" s="20"/>
      <c r="JV575" s="29"/>
      <c r="JW575" s="1504">
        <v>51957</v>
      </c>
      <c r="JX575" s="19"/>
      <c r="JY575" s="93"/>
      <c r="JZ575" s="93"/>
      <c r="KA575" s="93"/>
      <c r="KB575" s="93"/>
      <c r="KC575" s="93"/>
      <c r="KD575" s="20"/>
      <c r="KE575" s="29"/>
      <c r="KF575" s="19"/>
      <c r="KG575" s="93"/>
      <c r="KH575" s="93"/>
      <c r="KI575" s="93"/>
      <c r="KJ575" s="93"/>
      <c r="KK575" s="20"/>
      <c r="KL575" s="29"/>
      <c r="KM575" s="19"/>
      <c r="KN575" s="93"/>
      <c r="KO575" s="93"/>
      <c r="KP575" s="93"/>
      <c r="KQ575" s="93"/>
      <c r="KR575" s="20"/>
      <c r="KS575" s="29"/>
      <c r="KT575" s="19"/>
      <c r="KU575" s="93"/>
      <c r="KV575" s="93"/>
      <c r="KW575" s="93"/>
      <c r="KX575" s="93"/>
      <c r="KY575" s="20"/>
      <c r="KZ575" s="29"/>
      <c r="LA575" s="1504">
        <v>51957</v>
      </c>
      <c r="LB575" s="19"/>
      <c r="LC575" s="93"/>
      <c r="LD575" s="93"/>
      <c r="LE575" s="93"/>
      <c r="LF575" s="93"/>
      <c r="LG575" s="93"/>
      <c r="LH575" s="20"/>
      <c r="LI575" s="29"/>
      <c r="LJ575" s="19"/>
      <c r="LK575" s="93"/>
      <c r="LL575" s="93"/>
      <c r="LM575" s="93"/>
      <c r="LN575" s="93"/>
      <c r="LO575" s="20"/>
      <c r="LP575" s="29"/>
      <c r="LQ575" s="19"/>
      <c r="LR575" s="93"/>
      <c r="LS575" s="93"/>
      <c r="LT575" s="93"/>
      <c r="LU575" s="93"/>
      <c r="LV575" s="93"/>
      <c r="LW575" s="93"/>
      <c r="LX575" s="93"/>
      <c r="LY575" s="93"/>
      <c r="LZ575" s="93"/>
      <c r="MA575" s="20"/>
      <c r="MB575" s="29"/>
      <c r="MC575" s="1504">
        <v>51957</v>
      </c>
      <c r="MD575" s="19"/>
      <c r="ME575" s="93"/>
      <c r="MF575" s="93"/>
      <c r="MG575" s="93"/>
      <c r="MH575" s="93"/>
      <c r="MI575" s="93"/>
      <c r="MJ575" s="93"/>
      <c r="MK575" s="93"/>
      <c r="ML575" s="93"/>
      <c r="MM575" s="93"/>
      <c r="MN575" s="93"/>
      <c r="MO575" s="93"/>
      <c r="MP575" s="93"/>
      <c r="MQ575" s="93"/>
      <c r="MR575" s="93"/>
      <c r="MS575" s="93"/>
      <c r="MT575" s="93"/>
      <c r="MU575" s="93"/>
      <c r="MV575" s="93"/>
      <c r="MW575" s="93"/>
      <c r="MX575" s="93"/>
      <c r="MY575" s="93"/>
      <c r="MZ575" s="93"/>
      <c r="NA575" s="93"/>
      <c r="NB575" s="93"/>
      <c r="NC575" s="93"/>
      <c r="ND575" s="93"/>
      <c r="NE575" s="93"/>
      <c r="NF575" s="93"/>
      <c r="NG575" s="93"/>
      <c r="NH575" s="93"/>
      <c r="NI575" s="93"/>
      <c r="NJ575" s="93"/>
      <c r="NK575" s="93"/>
      <c r="NL575" s="93"/>
      <c r="NM575" s="93"/>
      <c r="NN575" s="93"/>
      <c r="NO575" s="93"/>
      <c r="NP575" s="93"/>
      <c r="NQ575" s="93"/>
      <c r="NR575" s="93"/>
      <c r="NS575" s="93"/>
      <c r="NT575" s="93"/>
      <c r="NU575" s="93"/>
      <c r="NV575" s="93"/>
      <c r="NW575" s="93"/>
      <c r="NX575" s="93"/>
      <c r="NY575" s="93"/>
      <c r="NZ575" s="93"/>
      <c r="OA575" s="93"/>
      <c r="OB575" s="93"/>
      <c r="OC575" s="93"/>
      <c r="OD575" s="20"/>
      <c r="OE575" s="29"/>
      <c r="OF575" s="1504">
        <v>51957</v>
      </c>
      <c r="OG575" s="19"/>
      <c r="OH575" s="93"/>
      <c r="OI575" s="93"/>
      <c r="OJ575" s="93"/>
      <c r="OK575" s="93"/>
      <c r="OL575" s="93"/>
      <c r="OM575" s="93"/>
      <c r="ON575" s="93"/>
      <c r="OO575" s="93"/>
      <c r="OP575" s="93"/>
      <c r="OQ575" s="93"/>
      <c r="OR575" s="93"/>
      <c r="OS575" s="93"/>
      <c r="OT575" s="93"/>
      <c r="OU575" s="93"/>
      <c r="OV575" s="93"/>
      <c r="OW575" s="93"/>
      <c r="OX575" s="93"/>
      <c r="OY575" s="93"/>
      <c r="OZ575" s="93"/>
      <c r="PA575" s="93"/>
      <c r="PB575" s="93"/>
      <c r="PC575" s="20"/>
      <c r="PD575" s="29"/>
      <c r="PE575" s="19"/>
      <c r="PF575" s="93"/>
      <c r="PG575" s="93"/>
      <c r="PH575" s="93"/>
      <c r="PI575" s="93"/>
      <c r="PJ575" s="93"/>
      <c r="PK575" s="93"/>
      <c r="PL575" s="93"/>
      <c r="PM575" s="93"/>
      <c r="PN575" s="93"/>
      <c r="PO575" s="93"/>
      <c r="PP575" s="93"/>
      <c r="PQ575" s="93"/>
      <c r="PR575" s="93"/>
      <c r="PS575" s="93"/>
      <c r="PT575" s="93"/>
      <c r="PU575" s="93"/>
      <c r="PV575" s="93"/>
      <c r="PW575" s="93"/>
      <c r="PX575" s="93"/>
      <c r="PY575" s="93"/>
      <c r="PZ575" s="93"/>
      <c r="QA575" s="93"/>
      <c r="QB575" s="93"/>
      <c r="QC575" s="93"/>
      <c r="QD575" s="93"/>
      <c r="QE575" s="20"/>
      <c r="QF575" s="1739"/>
      <c r="QG575" s="19"/>
      <c r="QH575" s="93"/>
      <c r="QI575" s="93"/>
      <c r="QJ575" s="93"/>
      <c r="QK575" s="93"/>
      <c r="QL575" s="93"/>
      <c r="QM575" s="93"/>
      <c r="QN575" s="93"/>
      <c r="QO575" s="93"/>
      <c r="QP575" s="93"/>
      <c r="QQ575" s="93"/>
      <c r="QR575" s="93"/>
      <c r="QS575" s="93"/>
      <c r="QT575" s="93"/>
      <c r="QU575" s="93"/>
      <c r="QV575" s="93"/>
      <c r="QW575" s="93"/>
      <c r="QX575" s="93"/>
      <c r="QY575" s="93"/>
      <c r="QZ575" s="93"/>
      <c r="RA575" s="93"/>
      <c r="RB575" s="93"/>
      <c r="RC575" s="93"/>
      <c r="RD575" s="93"/>
      <c r="RE575" s="93"/>
      <c r="RF575" s="93"/>
      <c r="RG575" s="93"/>
      <c r="RH575" s="93"/>
      <c r="RI575" s="93"/>
      <c r="RJ575" s="93"/>
      <c r="RK575" s="93"/>
      <c r="RL575" s="93"/>
      <c r="RM575" s="20"/>
      <c r="RN575" s="29"/>
      <c r="RO575" s="19"/>
      <c r="RP575" s="20"/>
      <c r="RQ575" s="29"/>
      <c r="RR575" s="20"/>
      <c r="RS575" s="29"/>
      <c r="RT575" s="1504">
        <v>51957</v>
      </c>
      <c r="RU575" s="19"/>
      <c r="RV575" s="20"/>
      <c r="RW575" s="29"/>
      <c r="RX575" s="1504">
        <v>51957</v>
      </c>
      <c r="RY575" s="29"/>
      <c r="RZ575" s="20"/>
      <c r="SA575" s="29"/>
      <c r="SB575" s="29"/>
    </row>
    <row r="576" spans="1:496">
      <c r="A576" s="41">
        <f t="shared" si="362"/>
        <v>2042</v>
      </c>
      <c r="B576" s="1504">
        <v>51987</v>
      </c>
      <c r="C576" s="1813"/>
      <c r="D576" s="1814"/>
      <c r="E576" s="1814"/>
      <c r="F576" s="1815"/>
      <c r="G576" s="1814"/>
      <c r="H576" s="1814"/>
      <c r="I576" s="1814"/>
      <c r="J576" s="1816"/>
      <c r="K576" s="1807"/>
      <c r="L576" s="25"/>
      <c r="M576" s="97"/>
      <c r="N576" s="1504">
        <v>51987</v>
      </c>
      <c r="O576" s="19"/>
      <c r="P576" s="93"/>
      <c r="Q576" s="93"/>
      <c r="R576" s="93"/>
      <c r="S576" s="93"/>
      <c r="T576" s="93"/>
      <c r="U576" s="93"/>
      <c r="V576" s="93"/>
      <c r="W576" s="93"/>
      <c r="X576" s="93"/>
      <c r="Y576" s="93"/>
      <c r="Z576" s="93"/>
      <c r="AA576" s="93"/>
      <c r="AB576" s="20"/>
      <c r="AC576" s="25"/>
      <c r="AD576" s="97"/>
      <c r="AE576" s="1504">
        <v>51987</v>
      </c>
      <c r="AF576" s="19"/>
      <c r="AG576" s="93"/>
      <c r="AH576" s="93"/>
      <c r="AI576" s="93"/>
      <c r="AJ576" s="93"/>
      <c r="AK576" s="93"/>
      <c r="AL576" s="93"/>
      <c r="AM576" s="93"/>
      <c r="AN576" s="93"/>
      <c r="AO576" s="93"/>
      <c r="AP576" s="93"/>
      <c r="AQ576" s="93"/>
      <c r="AR576" s="93"/>
      <c r="AS576" s="20"/>
      <c r="AT576" s="25"/>
      <c r="AU576" s="97"/>
      <c r="AV576" s="1504">
        <v>51987</v>
      </c>
      <c r="AW576" s="19"/>
      <c r="AX576" s="93"/>
      <c r="AY576" s="93"/>
      <c r="AZ576" s="93"/>
      <c r="BA576" s="93"/>
      <c r="BB576" s="93"/>
      <c r="BC576" s="93"/>
      <c r="BD576" s="93"/>
      <c r="BE576" s="93"/>
      <c r="BF576" s="93"/>
      <c r="BG576" s="93"/>
      <c r="BH576" s="93"/>
      <c r="BI576" s="93"/>
      <c r="BJ576" s="20"/>
      <c r="BK576" s="25"/>
      <c r="BL576" s="97"/>
      <c r="BM576" s="1504">
        <v>51987</v>
      </c>
      <c r="BN576" s="19"/>
      <c r="BO576" s="93"/>
      <c r="BP576" s="93"/>
      <c r="BQ576" s="93"/>
      <c r="BR576" s="93"/>
      <c r="BS576" s="93"/>
      <c r="BT576" s="93"/>
      <c r="BU576" s="20"/>
      <c r="BV576" s="25"/>
      <c r="BW576" s="97"/>
      <c r="BX576" s="1504">
        <v>51987</v>
      </c>
      <c r="BY576" s="19"/>
      <c r="BZ576" s="93"/>
      <c r="CA576" s="93"/>
      <c r="CB576" s="93"/>
      <c r="CC576" s="93"/>
      <c r="CD576" s="25"/>
      <c r="CE576" s="97"/>
      <c r="CF576" s="1504">
        <v>51987</v>
      </c>
      <c r="CG576" s="19"/>
      <c r="CH576" s="93"/>
      <c r="CI576" s="219"/>
      <c r="CJ576" s="20"/>
      <c r="CK576" s="19"/>
      <c r="CL576" s="93"/>
      <c r="CM576" s="93"/>
      <c r="CN576" s="93"/>
      <c r="CO576" s="93"/>
      <c r="CP576" s="20"/>
      <c r="CQ576" s="219"/>
      <c r="CR576" s="93"/>
      <c r="CS576" s="93"/>
      <c r="CT576" s="93"/>
      <c r="CU576" s="93"/>
      <c r="CV576" s="214"/>
      <c r="CW576" s="29"/>
      <c r="CX576" s="41">
        <f t="shared" si="361"/>
        <v>2042</v>
      </c>
      <c r="CY576" s="1504">
        <v>51987</v>
      </c>
      <c r="CZ576" s="19"/>
      <c r="DA576" s="93"/>
      <c r="DB576" s="93"/>
      <c r="DC576" s="93"/>
      <c r="DD576" s="93"/>
      <c r="DE576" s="20"/>
      <c r="DF576" s="29"/>
      <c r="DG576" s="1504">
        <v>51987</v>
      </c>
      <c r="DH576" s="19"/>
      <c r="DI576" s="93"/>
      <c r="DJ576" s="93"/>
      <c r="DK576" s="93"/>
      <c r="DL576" s="93"/>
      <c r="DM576" s="93"/>
      <c r="DN576" s="20"/>
      <c r="DO576" s="295"/>
      <c r="DP576" s="29"/>
      <c r="DQ576" s="1504">
        <v>51987</v>
      </c>
      <c r="DR576" s="19"/>
      <c r="DS576" s="93"/>
      <c r="DT576" s="93"/>
      <c r="DU576" s="93"/>
      <c r="DV576" s="93"/>
      <c r="DW576" s="93"/>
      <c r="DX576" s="20"/>
      <c r="DY576" s="29"/>
      <c r="DZ576" s="1504">
        <v>51987</v>
      </c>
      <c r="EA576" s="19"/>
      <c r="EB576" s="93"/>
      <c r="EC576" s="20"/>
      <c r="ED576" s="29"/>
      <c r="EE576" s="1504">
        <v>51987</v>
      </c>
      <c r="EF576" s="19"/>
      <c r="EG576" s="93"/>
      <c r="EH576" s="93"/>
      <c r="EI576" s="214"/>
      <c r="EJ576" s="93"/>
      <c r="EK576" s="93"/>
      <c r="EL576" s="93"/>
      <c r="EM576" s="93"/>
      <c r="EN576" s="20"/>
      <c r="EO576" s="29"/>
      <c r="EP576" s="1504">
        <v>51987</v>
      </c>
      <c r="EQ576" s="19"/>
      <c r="ER576" s="93"/>
      <c r="ES576" s="93"/>
      <c r="ET576" s="214"/>
      <c r="EU576" s="93"/>
      <c r="EV576" s="93"/>
      <c r="EW576" s="93"/>
      <c r="EX576" s="93"/>
      <c r="EY576" s="20"/>
      <c r="EZ576" s="29"/>
      <c r="FA576" s="1504">
        <v>51987</v>
      </c>
      <c r="FB576" s="29"/>
      <c r="FC576" s="29"/>
      <c r="FD576" s="29"/>
      <c r="FE576" s="29"/>
      <c r="FF576" s="29"/>
      <c r="FG576" s="29"/>
      <c r="FH576" s="29"/>
      <c r="FI576" s="29"/>
      <c r="FJ576" s="29"/>
      <c r="FK576" s="29"/>
      <c r="FL576" s="1504">
        <v>51987</v>
      </c>
      <c r="FM576" s="19"/>
      <c r="FN576" s="93"/>
      <c r="FO576" s="93"/>
      <c r="FP576" s="93"/>
      <c r="FQ576" s="93"/>
      <c r="FR576" s="93"/>
      <c r="FS576" s="93"/>
      <c r="FT576" s="93"/>
      <c r="FU576" s="93"/>
      <c r="FV576" s="93"/>
      <c r="FW576" s="93"/>
      <c r="FX576" s="93"/>
      <c r="FY576" s="93"/>
      <c r="FZ576" s="29"/>
      <c r="GA576" s="1504">
        <v>51987</v>
      </c>
      <c r="GB576" s="19"/>
      <c r="GC576" s="93"/>
      <c r="GD576" s="93"/>
      <c r="GE576" s="93"/>
      <c r="GF576" s="93"/>
      <c r="GG576" s="93"/>
      <c r="GH576" s="93"/>
      <c r="GI576" s="93"/>
      <c r="GJ576" s="93"/>
      <c r="GK576" s="93"/>
      <c r="GL576" s="93"/>
      <c r="GM576" s="93"/>
      <c r="GN576" s="20"/>
      <c r="GO576" s="29"/>
      <c r="GP576" s="1504">
        <v>51987</v>
      </c>
      <c r="GQ576" s="19"/>
      <c r="GR576" s="93"/>
      <c r="GS576" s="93"/>
      <c r="GT576" s="93"/>
      <c r="GU576" s="93"/>
      <c r="GV576" s="20"/>
      <c r="GW576" s="19"/>
      <c r="GX576" s="93"/>
      <c r="GY576" s="93"/>
      <c r="GZ576" s="93"/>
      <c r="HA576" s="93"/>
      <c r="HB576" s="20"/>
      <c r="HC576" s="19"/>
      <c r="HD576" s="93"/>
      <c r="HE576" s="93"/>
      <c r="HF576" s="93"/>
      <c r="HG576" s="93"/>
      <c r="HH576" s="20"/>
      <c r="HI576" s="19"/>
      <c r="HJ576" s="93"/>
      <c r="HK576" s="93"/>
      <c r="HL576" s="93"/>
      <c r="HM576" s="93"/>
      <c r="HN576" s="20"/>
      <c r="HO576" s="219"/>
      <c r="HP576" s="20"/>
      <c r="HQ576" s="25"/>
      <c r="HR576" s="29"/>
      <c r="HS576" s="1504">
        <v>51987</v>
      </c>
      <c r="HT576" s="19"/>
      <c r="HU576" s="93"/>
      <c r="HV576" s="93"/>
      <c r="HW576" s="93"/>
      <c r="HX576" s="93"/>
      <c r="HY576" s="93"/>
      <c r="HZ576" s="93"/>
      <c r="IA576" s="20"/>
      <c r="IB576" s="19"/>
      <c r="IC576" s="93"/>
      <c r="ID576" s="93"/>
      <c r="IE576" s="93"/>
      <c r="IF576" s="93"/>
      <c r="IG576" s="20"/>
      <c r="IH576" s="19"/>
      <c r="II576" s="93"/>
      <c r="IJ576" s="93"/>
      <c r="IK576" s="93"/>
      <c r="IL576" s="93"/>
      <c r="IM576" s="93"/>
      <c r="IN576" s="93"/>
      <c r="IO576" s="20"/>
      <c r="IP576" s="29"/>
      <c r="IQ576" s="19"/>
      <c r="IR576" s="93"/>
      <c r="IS576" s="93"/>
      <c r="IT576" s="93"/>
      <c r="IU576" s="93"/>
      <c r="IV576" s="20"/>
      <c r="IW576" s="29"/>
      <c r="IX576" s="19"/>
      <c r="IY576" s="93"/>
      <c r="IZ576" s="93"/>
      <c r="JA576" s="93"/>
      <c r="JB576" s="93"/>
      <c r="JC576" s="93"/>
      <c r="JD576" s="93"/>
      <c r="JE576" s="20"/>
      <c r="JF576" s="29"/>
      <c r="JG576" s="19"/>
      <c r="JH576" s="93"/>
      <c r="JI576" s="93"/>
      <c r="JJ576" s="93"/>
      <c r="JK576" s="93"/>
      <c r="JL576" s="93"/>
      <c r="JM576" s="93"/>
      <c r="JN576" s="20"/>
      <c r="JO576" s="29"/>
      <c r="JP576" s="19"/>
      <c r="JQ576" s="93"/>
      <c r="JR576" s="93"/>
      <c r="JS576" s="93"/>
      <c r="JT576" s="93"/>
      <c r="JU576" s="20"/>
      <c r="JV576" s="29"/>
      <c r="JW576" s="1504">
        <v>51987</v>
      </c>
      <c r="JX576" s="19"/>
      <c r="JY576" s="93"/>
      <c r="JZ576" s="93"/>
      <c r="KA576" s="93"/>
      <c r="KB576" s="93"/>
      <c r="KC576" s="93"/>
      <c r="KD576" s="20"/>
      <c r="KE576" s="29"/>
      <c r="KF576" s="19"/>
      <c r="KG576" s="93"/>
      <c r="KH576" s="93"/>
      <c r="KI576" s="93"/>
      <c r="KJ576" s="93"/>
      <c r="KK576" s="20"/>
      <c r="KL576" s="29"/>
      <c r="KM576" s="19"/>
      <c r="KN576" s="93"/>
      <c r="KO576" s="93"/>
      <c r="KP576" s="93"/>
      <c r="KQ576" s="93"/>
      <c r="KR576" s="20"/>
      <c r="KS576" s="29"/>
      <c r="KT576" s="19"/>
      <c r="KU576" s="93"/>
      <c r="KV576" s="93"/>
      <c r="KW576" s="93"/>
      <c r="KX576" s="93"/>
      <c r="KY576" s="20"/>
      <c r="KZ576" s="29"/>
      <c r="LA576" s="1504">
        <v>51987</v>
      </c>
      <c r="LB576" s="19"/>
      <c r="LC576" s="93"/>
      <c r="LD576" s="93"/>
      <c r="LE576" s="93"/>
      <c r="LF576" s="93"/>
      <c r="LG576" s="93"/>
      <c r="LH576" s="20"/>
      <c r="LI576" s="29"/>
      <c r="LJ576" s="19"/>
      <c r="LK576" s="93"/>
      <c r="LL576" s="93"/>
      <c r="LM576" s="93"/>
      <c r="LN576" s="93"/>
      <c r="LO576" s="20"/>
      <c r="LP576" s="29"/>
      <c r="LQ576" s="19"/>
      <c r="LR576" s="93"/>
      <c r="LS576" s="93"/>
      <c r="LT576" s="93"/>
      <c r="LU576" s="93"/>
      <c r="LV576" s="93"/>
      <c r="LW576" s="93"/>
      <c r="LX576" s="93"/>
      <c r="LY576" s="93"/>
      <c r="LZ576" s="93"/>
      <c r="MA576" s="20"/>
      <c r="MB576" s="29"/>
      <c r="MC576" s="1504">
        <v>51987</v>
      </c>
      <c r="MD576" s="19"/>
      <c r="ME576" s="93"/>
      <c r="MF576" s="93"/>
      <c r="MG576" s="93"/>
      <c r="MH576" s="93"/>
      <c r="MI576" s="93"/>
      <c r="MJ576" s="93"/>
      <c r="MK576" s="93"/>
      <c r="ML576" s="93"/>
      <c r="MM576" s="93"/>
      <c r="MN576" s="93"/>
      <c r="MO576" s="93"/>
      <c r="MP576" s="93"/>
      <c r="MQ576" s="93"/>
      <c r="MR576" s="93"/>
      <c r="MS576" s="93"/>
      <c r="MT576" s="93"/>
      <c r="MU576" s="93"/>
      <c r="MV576" s="93"/>
      <c r="MW576" s="93"/>
      <c r="MX576" s="93"/>
      <c r="MY576" s="93"/>
      <c r="MZ576" s="93"/>
      <c r="NA576" s="93"/>
      <c r="NB576" s="93"/>
      <c r="NC576" s="93"/>
      <c r="ND576" s="93"/>
      <c r="NE576" s="93"/>
      <c r="NF576" s="93"/>
      <c r="NG576" s="93"/>
      <c r="NH576" s="93"/>
      <c r="NI576" s="93"/>
      <c r="NJ576" s="93"/>
      <c r="NK576" s="93"/>
      <c r="NL576" s="93"/>
      <c r="NM576" s="93"/>
      <c r="NN576" s="93"/>
      <c r="NO576" s="93"/>
      <c r="NP576" s="93"/>
      <c r="NQ576" s="93"/>
      <c r="NR576" s="93"/>
      <c r="NS576" s="93"/>
      <c r="NT576" s="93"/>
      <c r="NU576" s="93"/>
      <c r="NV576" s="93"/>
      <c r="NW576" s="93"/>
      <c r="NX576" s="93"/>
      <c r="NY576" s="93"/>
      <c r="NZ576" s="93"/>
      <c r="OA576" s="93"/>
      <c r="OB576" s="93"/>
      <c r="OC576" s="93"/>
      <c r="OD576" s="20"/>
      <c r="OE576" s="29"/>
      <c r="OF576" s="1504">
        <v>51987</v>
      </c>
      <c r="OG576" s="19"/>
      <c r="OH576" s="93"/>
      <c r="OI576" s="93"/>
      <c r="OJ576" s="93"/>
      <c r="OK576" s="93"/>
      <c r="OL576" s="93"/>
      <c r="OM576" s="93"/>
      <c r="ON576" s="93"/>
      <c r="OO576" s="93"/>
      <c r="OP576" s="93"/>
      <c r="OQ576" s="93"/>
      <c r="OR576" s="93"/>
      <c r="OS576" s="93"/>
      <c r="OT576" s="93"/>
      <c r="OU576" s="93"/>
      <c r="OV576" s="93"/>
      <c r="OW576" s="93"/>
      <c r="OX576" s="93"/>
      <c r="OY576" s="93"/>
      <c r="OZ576" s="93"/>
      <c r="PA576" s="93"/>
      <c r="PB576" s="93"/>
      <c r="PC576" s="20"/>
      <c r="PD576" s="29"/>
      <c r="PE576" s="19"/>
      <c r="PF576" s="93"/>
      <c r="PG576" s="93"/>
      <c r="PH576" s="93"/>
      <c r="PI576" s="93"/>
      <c r="PJ576" s="93"/>
      <c r="PK576" s="93"/>
      <c r="PL576" s="93"/>
      <c r="PM576" s="93"/>
      <c r="PN576" s="93"/>
      <c r="PO576" s="93"/>
      <c r="PP576" s="93"/>
      <c r="PQ576" s="93"/>
      <c r="PR576" s="93"/>
      <c r="PS576" s="93"/>
      <c r="PT576" s="93"/>
      <c r="PU576" s="93"/>
      <c r="PV576" s="93"/>
      <c r="PW576" s="93"/>
      <c r="PX576" s="93"/>
      <c r="PY576" s="93"/>
      <c r="PZ576" s="93"/>
      <c r="QA576" s="93"/>
      <c r="QB576" s="93"/>
      <c r="QC576" s="93"/>
      <c r="QD576" s="93"/>
      <c r="QE576" s="20"/>
      <c r="QF576" s="1739"/>
      <c r="QG576" s="19"/>
      <c r="QH576" s="93"/>
      <c r="QI576" s="93"/>
      <c r="QJ576" s="93"/>
      <c r="QK576" s="93"/>
      <c r="QL576" s="93"/>
      <c r="QM576" s="93"/>
      <c r="QN576" s="93"/>
      <c r="QO576" s="93"/>
      <c r="QP576" s="93"/>
      <c r="QQ576" s="93"/>
      <c r="QR576" s="93"/>
      <c r="QS576" s="93"/>
      <c r="QT576" s="93"/>
      <c r="QU576" s="93"/>
      <c r="QV576" s="93"/>
      <c r="QW576" s="93"/>
      <c r="QX576" s="93"/>
      <c r="QY576" s="93"/>
      <c r="QZ576" s="93"/>
      <c r="RA576" s="93"/>
      <c r="RB576" s="93"/>
      <c r="RC576" s="93"/>
      <c r="RD576" s="93"/>
      <c r="RE576" s="93"/>
      <c r="RF576" s="93"/>
      <c r="RG576" s="93"/>
      <c r="RH576" s="93"/>
      <c r="RI576" s="93"/>
      <c r="RJ576" s="93"/>
      <c r="RK576" s="93"/>
      <c r="RL576" s="93"/>
      <c r="RM576" s="20"/>
      <c r="RN576" s="29"/>
      <c r="RO576" s="19"/>
      <c r="RP576" s="20"/>
      <c r="RQ576" s="29"/>
      <c r="RR576" s="20"/>
      <c r="RS576" s="29"/>
      <c r="RT576" s="1504">
        <v>51987</v>
      </c>
      <c r="RU576" s="19"/>
      <c r="RV576" s="20"/>
      <c r="RW576" s="29"/>
      <c r="RX576" s="1504">
        <v>51987</v>
      </c>
      <c r="RY576" s="29"/>
      <c r="RZ576" s="20"/>
      <c r="SA576" s="29"/>
      <c r="SB576" s="29"/>
    </row>
    <row r="577" spans="1:496">
      <c r="A577" s="41">
        <f t="shared" si="362"/>
        <v>2042</v>
      </c>
      <c r="B577" s="1504">
        <v>52018</v>
      </c>
      <c r="C577" s="1813"/>
      <c r="D577" s="1814"/>
      <c r="E577" s="1814"/>
      <c r="F577" s="1815"/>
      <c r="G577" s="1814"/>
      <c r="H577" s="1814"/>
      <c r="I577" s="1814"/>
      <c r="J577" s="1816"/>
      <c r="K577" s="1807"/>
      <c r="L577" s="25"/>
      <c r="M577" s="97"/>
      <c r="N577" s="1504">
        <v>52018</v>
      </c>
      <c r="O577" s="19"/>
      <c r="P577" s="93"/>
      <c r="Q577" s="93"/>
      <c r="R577" s="93"/>
      <c r="S577" s="93"/>
      <c r="T577" s="93"/>
      <c r="U577" s="93"/>
      <c r="V577" s="93"/>
      <c r="W577" s="93"/>
      <c r="X577" s="93"/>
      <c r="Y577" s="93"/>
      <c r="Z577" s="93"/>
      <c r="AA577" s="93"/>
      <c r="AB577" s="20"/>
      <c r="AC577" s="25"/>
      <c r="AD577" s="97"/>
      <c r="AE577" s="1504">
        <v>52018</v>
      </c>
      <c r="AF577" s="19"/>
      <c r="AG577" s="93"/>
      <c r="AH577" s="93"/>
      <c r="AI577" s="93"/>
      <c r="AJ577" s="93"/>
      <c r="AK577" s="93"/>
      <c r="AL577" s="93"/>
      <c r="AM577" s="93"/>
      <c r="AN577" s="93"/>
      <c r="AO577" s="93"/>
      <c r="AP577" s="93"/>
      <c r="AQ577" s="93"/>
      <c r="AR577" s="93"/>
      <c r="AS577" s="20"/>
      <c r="AT577" s="25"/>
      <c r="AU577" s="97"/>
      <c r="AV577" s="1504">
        <v>52018</v>
      </c>
      <c r="AW577" s="19"/>
      <c r="AX577" s="93"/>
      <c r="AY577" s="93"/>
      <c r="AZ577" s="93"/>
      <c r="BA577" s="93"/>
      <c r="BB577" s="93"/>
      <c r="BC577" s="93"/>
      <c r="BD577" s="93"/>
      <c r="BE577" s="93"/>
      <c r="BF577" s="93"/>
      <c r="BG577" s="93"/>
      <c r="BH577" s="93"/>
      <c r="BI577" s="93"/>
      <c r="BJ577" s="20"/>
      <c r="BK577" s="25"/>
      <c r="BL577" s="97"/>
      <c r="BM577" s="1504">
        <v>52018</v>
      </c>
      <c r="BN577" s="19"/>
      <c r="BO577" s="93"/>
      <c r="BP577" s="93"/>
      <c r="BQ577" s="93"/>
      <c r="BR577" s="93"/>
      <c r="BS577" s="93"/>
      <c r="BT577" s="93"/>
      <c r="BU577" s="20"/>
      <c r="BV577" s="25"/>
      <c r="BW577" s="97"/>
      <c r="BX577" s="1504">
        <v>52018</v>
      </c>
      <c r="BY577" s="19"/>
      <c r="BZ577" s="93"/>
      <c r="CA577" s="93"/>
      <c r="CB577" s="93"/>
      <c r="CC577" s="93"/>
      <c r="CD577" s="25"/>
      <c r="CE577" s="97"/>
      <c r="CF577" s="1504">
        <v>52018</v>
      </c>
      <c r="CG577" s="19"/>
      <c r="CH577" s="93"/>
      <c r="CI577" s="219"/>
      <c r="CJ577" s="20"/>
      <c r="CK577" s="19"/>
      <c r="CL577" s="93"/>
      <c r="CM577" s="93"/>
      <c r="CN577" s="93"/>
      <c r="CO577" s="93"/>
      <c r="CP577" s="20"/>
      <c r="CQ577" s="219"/>
      <c r="CR577" s="93"/>
      <c r="CS577" s="93"/>
      <c r="CT577" s="93"/>
      <c r="CU577" s="93"/>
      <c r="CV577" s="214"/>
      <c r="CW577" s="29"/>
      <c r="CX577" s="41">
        <f t="shared" si="361"/>
        <v>2042</v>
      </c>
      <c r="CY577" s="1504">
        <v>52018</v>
      </c>
      <c r="CZ577" s="19"/>
      <c r="DA577" s="93"/>
      <c r="DB577" s="93"/>
      <c r="DC577" s="93"/>
      <c r="DD577" s="93"/>
      <c r="DE577" s="20"/>
      <c r="DF577" s="29"/>
      <c r="DG577" s="1504">
        <v>52018</v>
      </c>
      <c r="DH577" s="19"/>
      <c r="DI577" s="93"/>
      <c r="DJ577" s="93"/>
      <c r="DK577" s="93"/>
      <c r="DL577" s="93"/>
      <c r="DM577" s="93"/>
      <c r="DN577" s="20"/>
      <c r="DO577" s="295"/>
      <c r="DP577" s="29"/>
      <c r="DQ577" s="1504">
        <v>52018</v>
      </c>
      <c r="DR577" s="19"/>
      <c r="DS577" s="93"/>
      <c r="DT577" s="93"/>
      <c r="DU577" s="93"/>
      <c r="DV577" s="93"/>
      <c r="DW577" s="93"/>
      <c r="DX577" s="20"/>
      <c r="DY577" s="29"/>
      <c r="DZ577" s="1504">
        <v>52018</v>
      </c>
      <c r="EA577" s="19"/>
      <c r="EB577" s="93"/>
      <c r="EC577" s="20"/>
      <c r="ED577" s="29"/>
      <c r="EE577" s="1504">
        <v>52018</v>
      </c>
      <c r="EF577" s="19"/>
      <c r="EG577" s="93"/>
      <c r="EH577" s="93"/>
      <c r="EI577" s="214"/>
      <c r="EJ577" s="93"/>
      <c r="EK577" s="93"/>
      <c r="EL577" s="93"/>
      <c r="EM577" s="93"/>
      <c r="EN577" s="20"/>
      <c r="EO577" s="29"/>
      <c r="EP577" s="1504">
        <v>52018</v>
      </c>
      <c r="EQ577" s="19"/>
      <c r="ER577" s="93"/>
      <c r="ES577" s="93"/>
      <c r="ET577" s="214"/>
      <c r="EU577" s="93"/>
      <c r="EV577" s="93"/>
      <c r="EW577" s="93"/>
      <c r="EX577" s="93"/>
      <c r="EY577" s="20"/>
      <c r="EZ577" s="29"/>
      <c r="FA577" s="1504">
        <v>52018</v>
      </c>
      <c r="FB577" s="29"/>
      <c r="FC577" s="29"/>
      <c r="FD577" s="29"/>
      <c r="FE577" s="29"/>
      <c r="FF577" s="29"/>
      <c r="FG577" s="29"/>
      <c r="FH577" s="29"/>
      <c r="FI577" s="29"/>
      <c r="FJ577" s="29"/>
      <c r="FK577" s="29"/>
      <c r="FL577" s="1504">
        <v>52018</v>
      </c>
      <c r="FM577" s="19"/>
      <c r="FN577" s="93"/>
      <c r="FO577" s="93"/>
      <c r="FP577" s="93"/>
      <c r="FQ577" s="93"/>
      <c r="FR577" s="93"/>
      <c r="FS577" s="93"/>
      <c r="FT577" s="93"/>
      <c r="FU577" s="93"/>
      <c r="FV577" s="93"/>
      <c r="FW577" s="93"/>
      <c r="FX577" s="93"/>
      <c r="FY577" s="93"/>
      <c r="FZ577" s="29"/>
      <c r="GA577" s="1504">
        <v>52018</v>
      </c>
      <c r="GB577" s="19"/>
      <c r="GC577" s="93"/>
      <c r="GD577" s="93"/>
      <c r="GE577" s="93"/>
      <c r="GF577" s="93"/>
      <c r="GG577" s="93"/>
      <c r="GH577" s="93"/>
      <c r="GI577" s="93"/>
      <c r="GJ577" s="93"/>
      <c r="GK577" s="93"/>
      <c r="GL577" s="93"/>
      <c r="GM577" s="93"/>
      <c r="GN577" s="20"/>
      <c r="GO577" s="29"/>
      <c r="GP577" s="1504">
        <v>52018</v>
      </c>
      <c r="GQ577" s="19"/>
      <c r="GR577" s="93"/>
      <c r="GS577" s="93"/>
      <c r="GT577" s="93"/>
      <c r="GU577" s="93"/>
      <c r="GV577" s="20"/>
      <c r="GW577" s="19"/>
      <c r="GX577" s="93"/>
      <c r="GY577" s="93"/>
      <c r="GZ577" s="93"/>
      <c r="HA577" s="93"/>
      <c r="HB577" s="20"/>
      <c r="HC577" s="19"/>
      <c r="HD577" s="93"/>
      <c r="HE577" s="93"/>
      <c r="HF577" s="93"/>
      <c r="HG577" s="93"/>
      <c r="HH577" s="20"/>
      <c r="HI577" s="19"/>
      <c r="HJ577" s="93"/>
      <c r="HK577" s="93"/>
      <c r="HL577" s="93"/>
      <c r="HM577" s="93"/>
      <c r="HN577" s="20"/>
      <c r="HO577" s="219"/>
      <c r="HP577" s="20"/>
      <c r="HQ577" s="25"/>
      <c r="HR577" s="29"/>
      <c r="HS577" s="1504">
        <v>52018</v>
      </c>
      <c r="HT577" s="19"/>
      <c r="HU577" s="93"/>
      <c r="HV577" s="93"/>
      <c r="HW577" s="93"/>
      <c r="HX577" s="93"/>
      <c r="HY577" s="93"/>
      <c r="HZ577" s="93"/>
      <c r="IA577" s="20"/>
      <c r="IB577" s="19"/>
      <c r="IC577" s="93"/>
      <c r="ID577" s="93"/>
      <c r="IE577" s="93"/>
      <c r="IF577" s="93"/>
      <c r="IG577" s="20"/>
      <c r="IH577" s="19"/>
      <c r="II577" s="93"/>
      <c r="IJ577" s="93"/>
      <c r="IK577" s="93"/>
      <c r="IL577" s="93"/>
      <c r="IM577" s="93"/>
      <c r="IN577" s="93"/>
      <c r="IO577" s="20"/>
      <c r="IP577" s="29"/>
      <c r="IQ577" s="19"/>
      <c r="IR577" s="93"/>
      <c r="IS577" s="93"/>
      <c r="IT577" s="93"/>
      <c r="IU577" s="93"/>
      <c r="IV577" s="20"/>
      <c r="IW577" s="29"/>
      <c r="IX577" s="19"/>
      <c r="IY577" s="93"/>
      <c r="IZ577" s="93"/>
      <c r="JA577" s="93"/>
      <c r="JB577" s="93"/>
      <c r="JC577" s="93"/>
      <c r="JD577" s="93"/>
      <c r="JE577" s="20"/>
      <c r="JF577" s="29"/>
      <c r="JG577" s="19"/>
      <c r="JH577" s="93"/>
      <c r="JI577" s="93"/>
      <c r="JJ577" s="93"/>
      <c r="JK577" s="93"/>
      <c r="JL577" s="93"/>
      <c r="JM577" s="93"/>
      <c r="JN577" s="20"/>
      <c r="JO577" s="29"/>
      <c r="JP577" s="19"/>
      <c r="JQ577" s="93"/>
      <c r="JR577" s="93"/>
      <c r="JS577" s="93"/>
      <c r="JT577" s="93"/>
      <c r="JU577" s="20"/>
      <c r="JV577" s="29"/>
      <c r="JW577" s="1504">
        <v>52018</v>
      </c>
      <c r="JX577" s="19"/>
      <c r="JY577" s="93"/>
      <c r="JZ577" s="93"/>
      <c r="KA577" s="93"/>
      <c r="KB577" s="93"/>
      <c r="KC577" s="93"/>
      <c r="KD577" s="20"/>
      <c r="KE577" s="29"/>
      <c r="KF577" s="19"/>
      <c r="KG577" s="93"/>
      <c r="KH577" s="93"/>
      <c r="KI577" s="93"/>
      <c r="KJ577" s="93"/>
      <c r="KK577" s="20"/>
      <c r="KL577" s="29"/>
      <c r="KM577" s="19"/>
      <c r="KN577" s="93"/>
      <c r="KO577" s="93"/>
      <c r="KP577" s="93"/>
      <c r="KQ577" s="93"/>
      <c r="KR577" s="20"/>
      <c r="KS577" s="29"/>
      <c r="KT577" s="19"/>
      <c r="KU577" s="93"/>
      <c r="KV577" s="93"/>
      <c r="KW577" s="93"/>
      <c r="KX577" s="93"/>
      <c r="KY577" s="20"/>
      <c r="KZ577" s="29"/>
      <c r="LA577" s="1504">
        <v>52018</v>
      </c>
      <c r="LB577" s="19"/>
      <c r="LC577" s="93"/>
      <c r="LD577" s="93"/>
      <c r="LE577" s="93"/>
      <c r="LF577" s="93"/>
      <c r="LG577" s="93"/>
      <c r="LH577" s="20"/>
      <c r="LI577" s="29"/>
      <c r="LJ577" s="19"/>
      <c r="LK577" s="93"/>
      <c r="LL577" s="93"/>
      <c r="LM577" s="93"/>
      <c r="LN577" s="93"/>
      <c r="LO577" s="20"/>
      <c r="LP577" s="29"/>
      <c r="LQ577" s="19"/>
      <c r="LR577" s="93"/>
      <c r="LS577" s="93"/>
      <c r="LT577" s="93"/>
      <c r="LU577" s="93"/>
      <c r="LV577" s="93"/>
      <c r="LW577" s="93"/>
      <c r="LX577" s="93"/>
      <c r="LY577" s="93"/>
      <c r="LZ577" s="93"/>
      <c r="MA577" s="20"/>
      <c r="MB577" s="29"/>
      <c r="MC577" s="1504">
        <v>52018</v>
      </c>
      <c r="MD577" s="19"/>
      <c r="ME577" s="93"/>
      <c r="MF577" s="93"/>
      <c r="MG577" s="93"/>
      <c r="MH577" s="93"/>
      <c r="MI577" s="93"/>
      <c r="MJ577" s="93"/>
      <c r="MK577" s="93"/>
      <c r="ML577" s="93"/>
      <c r="MM577" s="93"/>
      <c r="MN577" s="93"/>
      <c r="MO577" s="93"/>
      <c r="MP577" s="93"/>
      <c r="MQ577" s="93"/>
      <c r="MR577" s="93"/>
      <c r="MS577" s="93"/>
      <c r="MT577" s="93"/>
      <c r="MU577" s="93"/>
      <c r="MV577" s="93"/>
      <c r="MW577" s="93"/>
      <c r="MX577" s="93"/>
      <c r="MY577" s="93"/>
      <c r="MZ577" s="93"/>
      <c r="NA577" s="93"/>
      <c r="NB577" s="93"/>
      <c r="NC577" s="93"/>
      <c r="ND577" s="93"/>
      <c r="NE577" s="93"/>
      <c r="NF577" s="93"/>
      <c r="NG577" s="93"/>
      <c r="NH577" s="93"/>
      <c r="NI577" s="93"/>
      <c r="NJ577" s="93"/>
      <c r="NK577" s="93"/>
      <c r="NL577" s="93"/>
      <c r="NM577" s="93"/>
      <c r="NN577" s="93"/>
      <c r="NO577" s="93"/>
      <c r="NP577" s="93"/>
      <c r="NQ577" s="93"/>
      <c r="NR577" s="93"/>
      <c r="NS577" s="93"/>
      <c r="NT577" s="93"/>
      <c r="NU577" s="93"/>
      <c r="NV577" s="93"/>
      <c r="NW577" s="93"/>
      <c r="NX577" s="93"/>
      <c r="NY577" s="93"/>
      <c r="NZ577" s="93"/>
      <c r="OA577" s="93"/>
      <c r="OB577" s="93"/>
      <c r="OC577" s="93"/>
      <c r="OD577" s="20"/>
      <c r="OE577" s="29"/>
      <c r="OF577" s="1504">
        <v>52018</v>
      </c>
      <c r="OG577" s="19"/>
      <c r="OH577" s="93"/>
      <c r="OI577" s="93"/>
      <c r="OJ577" s="93"/>
      <c r="OK577" s="93"/>
      <c r="OL577" s="93"/>
      <c r="OM577" s="93"/>
      <c r="ON577" s="93"/>
      <c r="OO577" s="93"/>
      <c r="OP577" s="93"/>
      <c r="OQ577" s="93"/>
      <c r="OR577" s="93"/>
      <c r="OS577" s="93"/>
      <c r="OT577" s="93"/>
      <c r="OU577" s="93"/>
      <c r="OV577" s="93"/>
      <c r="OW577" s="93"/>
      <c r="OX577" s="93"/>
      <c r="OY577" s="93"/>
      <c r="OZ577" s="93"/>
      <c r="PA577" s="93"/>
      <c r="PB577" s="93"/>
      <c r="PC577" s="20"/>
      <c r="PD577" s="29"/>
      <c r="PE577" s="19"/>
      <c r="PF577" s="93"/>
      <c r="PG577" s="93"/>
      <c r="PH577" s="93"/>
      <c r="PI577" s="93"/>
      <c r="PJ577" s="93"/>
      <c r="PK577" s="93"/>
      <c r="PL577" s="93"/>
      <c r="PM577" s="93"/>
      <c r="PN577" s="93"/>
      <c r="PO577" s="93"/>
      <c r="PP577" s="93"/>
      <c r="PQ577" s="93"/>
      <c r="PR577" s="93"/>
      <c r="PS577" s="93"/>
      <c r="PT577" s="93"/>
      <c r="PU577" s="93"/>
      <c r="PV577" s="93"/>
      <c r="PW577" s="93"/>
      <c r="PX577" s="93"/>
      <c r="PY577" s="93"/>
      <c r="PZ577" s="93"/>
      <c r="QA577" s="93"/>
      <c r="QB577" s="93"/>
      <c r="QC577" s="93"/>
      <c r="QD577" s="93"/>
      <c r="QE577" s="20"/>
      <c r="QF577" s="1739"/>
      <c r="QG577" s="19"/>
      <c r="QH577" s="93"/>
      <c r="QI577" s="93"/>
      <c r="QJ577" s="93"/>
      <c r="QK577" s="93"/>
      <c r="QL577" s="93"/>
      <c r="QM577" s="93"/>
      <c r="QN577" s="93"/>
      <c r="QO577" s="93"/>
      <c r="QP577" s="93"/>
      <c r="QQ577" s="93"/>
      <c r="QR577" s="93"/>
      <c r="QS577" s="93"/>
      <c r="QT577" s="93"/>
      <c r="QU577" s="93"/>
      <c r="QV577" s="93"/>
      <c r="QW577" s="93"/>
      <c r="QX577" s="93"/>
      <c r="QY577" s="93"/>
      <c r="QZ577" s="93"/>
      <c r="RA577" s="93"/>
      <c r="RB577" s="93"/>
      <c r="RC577" s="93"/>
      <c r="RD577" s="93"/>
      <c r="RE577" s="93"/>
      <c r="RF577" s="93"/>
      <c r="RG577" s="93"/>
      <c r="RH577" s="93"/>
      <c r="RI577" s="93"/>
      <c r="RJ577" s="93"/>
      <c r="RK577" s="93"/>
      <c r="RL577" s="93"/>
      <c r="RM577" s="20"/>
      <c r="RN577" s="29"/>
      <c r="RO577" s="19"/>
      <c r="RP577" s="20"/>
      <c r="RQ577" s="29"/>
      <c r="RR577" s="20"/>
      <c r="RS577" s="29"/>
      <c r="RT577" s="1504">
        <v>52018</v>
      </c>
      <c r="RU577" s="19"/>
      <c r="RV577" s="20"/>
      <c r="RW577" s="29"/>
      <c r="RX577" s="1504">
        <v>52018</v>
      </c>
      <c r="RY577" s="29"/>
      <c r="RZ577" s="20"/>
      <c r="SA577" s="29"/>
      <c r="SB577" s="29"/>
    </row>
    <row r="578" spans="1:496">
      <c r="A578" s="41">
        <f t="shared" si="362"/>
        <v>2042</v>
      </c>
      <c r="B578" s="1504">
        <v>52048</v>
      </c>
      <c r="C578" s="1813"/>
      <c r="D578" s="1814"/>
      <c r="E578" s="1814"/>
      <c r="F578" s="1815"/>
      <c r="G578" s="1814"/>
      <c r="H578" s="1814"/>
      <c r="I578" s="1814"/>
      <c r="J578" s="1816"/>
      <c r="K578" s="1807"/>
      <c r="L578" s="25"/>
      <c r="M578" s="97"/>
      <c r="N578" s="1504">
        <v>52048</v>
      </c>
      <c r="O578" s="19"/>
      <c r="P578" s="93"/>
      <c r="Q578" s="93"/>
      <c r="R578" s="93"/>
      <c r="S578" s="93"/>
      <c r="T578" s="93"/>
      <c r="U578" s="93"/>
      <c r="V578" s="93"/>
      <c r="W578" s="93"/>
      <c r="X578" s="93"/>
      <c r="Y578" s="93"/>
      <c r="Z578" s="93"/>
      <c r="AA578" s="93"/>
      <c r="AB578" s="20"/>
      <c r="AC578" s="25"/>
      <c r="AD578" s="97"/>
      <c r="AE578" s="1504">
        <v>52048</v>
      </c>
      <c r="AF578" s="19"/>
      <c r="AG578" s="93"/>
      <c r="AH578" s="93"/>
      <c r="AI578" s="93"/>
      <c r="AJ578" s="93"/>
      <c r="AK578" s="93"/>
      <c r="AL578" s="93"/>
      <c r="AM578" s="93"/>
      <c r="AN578" s="93"/>
      <c r="AO578" s="93"/>
      <c r="AP578" s="93"/>
      <c r="AQ578" s="93"/>
      <c r="AR578" s="93"/>
      <c r="AS578" s="20"/>
      <c r="AT578" s="25"/>
      <c r="AU578" s="97"/>
      <c r="AV578" s="1504">
        <v>52048</v>
      </c>
      <c r="AW578" s="19"/>
      <c r="AX578" s="93"/>
      <c r="AY578" s="93"/>
      <c r="AZ578" s="93"/>
      <c r="BA578" s="93"/>
      <c r="BB578" s="93"/>
      <c r="BC578" s="93"/>
      <c r="BD578" s="93"/>
      <c r="BE578" s="93"/>
      <c r="BF578" s="93"/>
      <c r="BG578" s="93"/>
      <c r="BH578" s="93"/>
      <c r="BI578" s="93"/>
      <c r="BJ578" s="20"/>
      <c r="BK578" s="25"/>
      <c r="BL578" s="97"/>
      <c r="BM578" s="1504">
        <v>52048</v>
      </c>
      <c r="BN578" s="19"/>
      <c r="BO578" s="93"/>
      <c r="BP578" s="93"/>
      <c r="BQ578" s="93"/>
      <c r="BR578" s="93"/>
      <c r="BS578" s="93"/>
      <c r="BT578" s="93"/>
      <c r="BU578" s="20"/>
      <c r="BV578" s="25"/>
      <c r="BW578" s="97"/>
      <c r="BX578" s="1504">
        <v>52048</v>
      </c>
      <c r="BY578" s="19"/>
      <c r="BZ578" s="93"/>
      <c r="CA578" s="93"/>
      <c r="CB578" s="93"/>
      <c r="CC578" s="93"/>
      <c r="CD578" s="25"/>
      <c r="CE578" s="97"/>
      <c r="CF578" s="1504">
        <v>52048</v>
      </c>
      <c r="CG578" s="19"/>
      <c r="CH578" s="93"/>
      <c r="CI578" s="219"/>
      <c r="CJ578" s="20"/>
      <c r="CK578" s="19"/>
      <c r="CL578" s="93"/>
      <c r="CM578" s="93"/>
      <c r="CN578" s="93"/>
      <c r="CO578" s="93"/>
      <c r="CP578" s="20"/>
      <c r="CQ578" s="219"/>
      <c r="CR578" s="93"/>
      <c r="CS578" s="93"/>
      <c r="CT578" s="93"/>
      <c r="CU578" s="93"/>
      <c r="CV578" s="214"/>
      <c r="CW578" s="29"/>
      <c r="CX578" s="41">
        <f t="shared" si="361"/>
        <v>2042</v>
      </c>
      <c r="CY578" s="1504">
        <v>52048</v>
      </c>
      <c r="CZ578" s="19"/>
      <c r="DA578" s="93"/>
      <c r="DB578" s="93"/>
      <c r="DC578" s="93"/>
      <c r="DD578" s="93"/>
      <c r="DE578" s="20"/>
      <c r="DF578" s="29"/>
      <c r="DG578" s="1504">
        <v>52048</v>
      </c>
      <c r="DH578" s="19"/>
      <c r="DI578" s="93"/>
      <c r="DJ578" s="93"/>
      <c r="DK578" s="93"/>
      <c r="DL578" s="93"/>
      <c r="DM578" s="93"/>
      <c r="DN578" s="20"/>
      <c r="DO578" s="295"/>
      <c r="DP578" s="29"/>
      <c r="DQ578" s="1504">
        <v>52048</v>
      </c>
      <c r="DR578" s="19"/>
      <c r="DS578" s="93"/>
      <c r="DT578" s="93"/>
      <c r="DU578" s="93"/>
      <c r="DV578" s="93"/>
      <c r="DW578" s="93"/>
      <c r="DX578" s="20"/>
      <c r="DY578" s="29"/>
      <c r="DZ578" s="1504">
        <v>52048</v>
      </c>
      <c r="EA578" s="19"/>
      <c r="EB578" s="93"/>
      <c r="EC578" s="20"/>
      <c r="ED578" s="29"/>
      <c r="EE578" s="1504">
        <v>52048</v>
      </c>
      <c r="EF578" s="19"/>
      <c r="EG578" s="93"/>
      <c r="EH578" s="93"/>
      <c r="EI578" s="214"/>
      <c r="EJ578" s="93"/>
      <c r="EK578" s="93"/>
      <c r="EL578" s="93"/>
      <c r="EM578" s="93"/>
      <c r="EN578" s="20"/>
      <c r="EO578" s="29"/>
      <c r="EP578" s="1504">
        <v>52048</v>
      </c>
      <c r="EQ578" s="19"/>
      <c r="ER578" s="93"/>
      <c r="ES578" s="93"/>
      <c r="ET578" s="214"/>
      <c r="EU578" s="93"/>
      <c r="EV578" s="93"/>
      <c r="EW578" s="93"/>
      <c r="EX578" s="93"/>
      <c r="EY578" s="20"/>
      <c r="EZ578" s="29"/>
      <c r="FA578" s="1504">
        <v>52048</v>
      </c>
      <c r="FB578" s="29"/>
      <c r="FC578" s="29"/>
      <c r="FD578" s="29"/>
      <c r="FE578" s="29"/>
      <c r="FF578" s="29"/>
      <c r="FG578" s="29"/>
      <c r="FH578" s="29"/>
      <c r="FI578" s="29"/>
      <c r="FJ578" s="29"/>
      <c r="FK578" s="29"/>
      <c r="FL578" s="1504">
        <v>52048</v>
      </c>
      <c r="FM578" s="19"/>
      <c r="FN578" s="93"/>
      <c r="FO578" s="93"/>
      <c r="FP578" s="93"/>
      <c r="FQ578" s="93"/>
      <c r="FR578" s="93"/>
      <c r="FS578" s="93"/>
      <c r="FT578" s="93"/>
      <c r="FU578" s="93"/>
      <c r="FV578" s="93"/>
      <c r="FW578" s="93"/>
      <c r="FX578" s="93"/>
      <c r="FY578" s="93"/>
      <c r="FZ578" s="29"/>
      <c r="GA578" s="1504">
        <v>52048</v>
      </c>
      <c r="GB578" s="19"/>
      <c r="GC578" s="93"/>
      <c r="GD578" s="93"/>
      <c r="GE578" s="93"/>
      <c r="GF578" s="93"/>
      <c r="GG578" s="93"/>
      <c r="GH578" s="93"/>
      <c r="GI578" s="93"/>
      <c r="GJ578" s="93"/>
      <c r="GK578" s="93"/>
      <c r="GL578" s="93"/>
      <c r="GM578" s="93"/>
      <c r="GN578" s="20"/>
      <c r="GO578" s="29"/>
      <c r="GP578" s="1504">
        <v>52048</v>
      </c>
      <c r="GQ578" s="19"/>
      <c r="GR578" s="93"/>
      <c r="GS578" s="93"/>
      <c r="GT578" s="93"/>
      <c r="GU578" s="93"/>
      <c r="GV578" s="20"/>
      <c r="GW578" s="19"/>
      <c r="GX578" s="93"/>
      <c r="GY578" s="93"/>
      <c r="GZ578" s="93"/>
      <c r="HA578" s="93"/>
      <c r="HB578" s="20"/>
      <c r="HC578" s="19"/>
      <c r="HD578" s="93"/>
      <c r="HE578" s="93"/>
      <c r="HF578" s="93"/>
      <c r="HG578" s="93"/>
      <c r="HH578" s="20"/>
      <c r="HI578" s="19"/>
      <c r="HJ578" s="93"/>
      <c r="HK578" s="93"/>
      <c r="HL578" s="93"/>
      <c r="HM578" s="93"/>
      <c r="HN578" s="20"/>
      <c r="HO578" s="219"/>
      <c r="HP578" s="20"/>
      <c r="HQ578" s="25"/>
      <c r="HR578" s="29"/>
      <c r="HS578" s="1504">
        <v>52048</v>
      </c>
      <c r="HT578" s="19"/>
      <c r="HU578" s="93"/>
      <c r="HV578" s="93"/>
      <c r="HW578" s="93"/>
      <c r="HX578" s="93"/>
      <c r="HY578" s="93"/>
      <c r="HZ578" s="93"/>
      <c r="IA578" s="20"/>
      <c r="IB578" s="19"/>
      <c r="IC578" s="93"/>
      <c r="ID578" s="93"/>
      <c r="IE578" s="93"/>
      <c r="IF578" s="93"/>
      <c r="IG578" s="20"/>
      <c r="IH578" s="19"/>
      <c r="II578" s="93"/>
      <c r="IJ578" s="93"/>
      <c r="IK578" s="93"/>
      <c r="IL578" s="93"/>
      <c r="IM578" s="93"/>
      <c r="IN578" s="93"/>
      <c r="IO578" s="20"/>
      <c r="IP578" s="29"/>
      <c r="IQ578" s="19"/>
      <c r="IR578" s="93"/>
      <c r="IS578" s="93"/>
      <c r="IT578" s="93"/>
      <c r="IU578" s="93"/>
      <c r="IV578" s="20"/>
      <c r="IW578" s="29"/>
      <c r="IX578" s="19"/>
      <c r="IY578" s="93"/>
      <c r="IZ578" s="93"/>
      <c r="JA578" s="93"/>
      <c r="JB578" s="93"/>
      <c r="JC578" s="93"/>
      <c r="JD578" s="93"/>
      <c r="JE578" s="20"/>
      <c r="JF578" s="29"/>
      <c r="JG578" s="19"/>
      <c r="JH578" s="93"/>
      <c r="JI578" s="93"/>
      <c r="JJ578" s="93"/>
      <c r="JK578" s="93"/>
      <c r="JL578" s="93"/>
      <c r="JM578" s="93"/>
      <c r="JN578" s="20"/>
      <c r="JO578" s="29"/>
      <c r="JP578" s="19"/>
      <c r="JQ578" s="93"/>
      <c r="JR578" s="93"/>
      <c r="JS578" s="93"/>
      <c r="JT578" s="93"/>
      <c r="JU578" s="20"/>
      <c r="JV578" s="29"/>
      <c r="JW578" s="1504">
        <v>52048</v>
      </c>
      <c r="JX578" s="19"/>
      <c r="JY578" s="93"/>
      <c r="JZ578" s="93"/>
      <c r="KA578" s="93"/>
      <c r="KB578" s="93"/>
      <c r="KC578" s="93"/>
      <c r="KD578" s="20"/>
      <c r="KE578" s="29"/>
      <c r="KF578" s="19"/>
      <c r="KG578" s="93"/>
      <c r="KH578" s="93"/>
      <c r="KI578" s="93"/>
      <c r="KJ578" s="93"/>
      <c r="KK578" s="20"/>
      <c r="KL578" s="29"/>
      <c r="KM578" s="19"/>
      <c r="KN578" s="93"/>
      <c r="KO578" s="93"/>
      <c r="KP578" s="93"/>
      <c r="KQ578" s="93"/>
      <c r="KR578" s="20"/>
      <c r="KS578" s="29"/>
      <c r="KT578" s="19"/>
      <c r="KU578" s="93"/>
      <c r="KV578" s="93"/>
      <c r="KW578" s="93"/>
      <c r="KX578" s="93"/>
      <c r="KY578" s="20"/>
      <c r="KZ578" s="29"/>
      <c r="LA578" s="1504">
        <v>52048</v>
      </c>
      <c r="LB578" s="19"/>
      <c r="LC578" s="93"/>
      <c r="LD578" s="93"/>
      <c r="LE578" s="93"/>
      <c r="LF578" s="93"/>
      <c r="LG578" s="93"/>
      <c r="LH578" s="20"/>
      <c r="LI578" s="29"/>
      <c r="LJ578" s="19"/>
      <c r="LK578" s="93"/>
      <c r="LL578" s="93"/>
      <c r="LM578" s="93"/>
      <c r="LN578" s="93"/>
      <c r="LO578" s="20"/>
      <c r="LP578" s="29"/>
      <c r="LQ578" s="19"/>
      <c r="LR578" s="93"/>
      <c r="LS578" s="93"/>
      <c r="LT578" s="93"/>
      <c r="LU578" s="93"/>
      <c r="LV578" s="93"/>
      <c r="LW578" s="93"/>
      <c r="LX578" s="93"/>
      <c r="LY578" s="93"/>
      <c r="LZ578" s="93"/>
      <c r="MA578" s="20"/>
      <c r="MB578" s="29"/>
      <c r="MC578" s="1504">
        <v>52048</v>
      </c>
      <c r="MD578" s="19"/>
      <c r="ME578" s="93"/>
      <c r="MF578" s="93"/>
      <c r="MG578" s="93"/>
      <c r="MH578" s="93"/>
      <c r="MI578" s="93"/>
      <c r="MJ578" s="93"/>
      <c r="MK578" s="93"/>
      <c r="ML578" s="93"/>
      <c r="MM578" s="93"/>
      <c r="MN578" s="93"/>
      <c r="MO578" s="93"/>
      <c r="MP578" s="93"/>
      <c r="MQ578" s="93"/>
      <c r="MR578" s="93"/>
      <c r="MS578" s="93"/>
      <c r="MT578" s="93"/>
      <c r="MU578" s="93"/>
      <c r="MV578" s="93"/>
      <c r="MW578" s="93"/>
      <c r="MX578" s="93"/>
      <c r="MY578" s="93"/>
      <c r="MZ578" s="93"/>
      <c r="NA578" s="93"/>
      <c r="NB578" s="93"/>
      <c r="NC578" s="93"/>
      <c r="ND578" s="93"/>
      <c r="NE578" s="93"/>
      <c r="NF578" s="93"/>
      <c r="NG578" s="93"/>
      <c r="NH578" s="93"/>
      <c r="NI578" s="93"/>
      <c r="NJ578" s="93"/>
      <c r="NK578" s="93"/>
      <c r="NL578" s="93"/>
      <c r="NM578" s="93"/>
      <c r="NN578" s="93"/>
      <c r="NO578" s="93"/>
      <c r="NP578" s="93"/>
      <c r="NQ578" s="93"/>
      <c r="NR578" s="93"/>
      <c r="NS578" s="93"/>
      <c r="NT578" s="93"/>
      <c r="NU578" s="93"/>
      <c r="NV578" s="93"/>
      <c r="NW578" s="93"/>
      <c r="NX578" s="93"/>
      <c r="NY578" s="93"/>
      <c r="NZ578" s="93"/>
      <c r="OA578" s="93"/>
      <c r="OB578" s="93"/>
      <c r="OC578" s="93"/>
      <c r="OD578" s="20"/>
      <c r="OE578" s="29"/>
      <c r="OF578" s="1504">
        <v>52048</v>
      </c>
      <c r="OG578" s="19"/>
      <c r="OH578" s="93"/>
      <c r="OI578" s="93"/>
      <c r="OJ578" s="93"/>
      <c r="OK578" s="93"/>
      <c r="OL578" s="93"/>
      <c r="OM578" s="93"/>
      <c r="ON578" s="93"/>
      <c r="OO578" s="93"/>
      <c r="OP578" s="93"/>
      <c r="OQ578" s="93"/>
      <c r="OR578" s="93"/>
      <c r="OS578" s="93"/>
      <c r="OT578" s="93"/>
      <c r="OU578" s="93"/>
      <c r="OV578" s="93"/>
      <c r="OW578" s="93"/>
      <c r="OX578" s="93"/>
      <c r="OY578" s="93"/>
      <c r="OZ578" s="93"/>
      <c r="PA578" s="93"/>
      <c r="PB578" s="93"/>
      <c r="PC578" s="20"/>
      <c r="PD578" s="29"/>
      <c r="PE578" s="19"/>
      <c r="PF578" s="93"/>
      <c r="PG578" s="93"/>
      <c r="PH578" s="93"/>
      <c r="PI578" s="93"/>
      <c r="PJ578" s="93"/>
      <c r="PK578" s="93"/>
      <c r="PL578" s="93"/>
      <c r="PM578" s="93"/>
      <c r="PN578" s="93"/>
      <c r="PO578" s="93"/>
      <c r="PP578" s="93"/>
      <c r="PQ578" s="93"/>
      <c r="PR578" s="93"/>
      <c r="PS578" s="93"/>
      <c r="PT578" s="93"/>
      <c r="PU578" s="93"/>
      <c r="PV578" s="93"/>
      <c r="PW578" s="93"/>
      <c r="PX578" s="93"/>
      <c r="PY578" s="93"/>
      <c r="PZ578" s="93"/>
      <c r="QA578" s="93"/>
      <c r="QB578" s="93"/>
      <c r="QC578" s="93"/>
      <c r="QD578" s="93"/>
      <c r="QE578" s="20"/>
      <c r="QF578" s="1739"/>
      <c r="QG578" s="19"/>
      <c r="QH578" s="93"/>
      <c r="QI578" s="93"/>
      <c r="QJ578" s="93"/>
      <c r="QK578" s="93"/>
      <c r="QL578" s="93"/>
      <c r="QM578" s="93"/>
      <c r="QN578" s="93"/>
      <c r="QO578" s="93"/>
      <c r="QP578" s="93"/>
      <c r="QQ578" s="93"/>
      <c r="QR578" s="93"/>
      <c r="QS578" s="93"/>
      <c r="QT578" s="93"/>
      <c r="QU578" s="93"/>
      <c r="QV578" s="93"/>
      <c r="QW578" s="93"/>
      <c r="QX578" s="93"/>
      <c r="QY578" s="93"/>
      <c r="QZ578" s="93"/>
      <c r="RA578" s="93"/>
      <c r="RB578" s="93"/>
      <c r="RC578" s="93"/>
      <c r="RD578" s="93"/>
      <c r="RE578" s="93"/>
      <c r="RF578" s="93"/>
      <c r="RG578" s="93"/>
      <c r="RH578" s="93"/>
      <c r="RI578" s="93"/>
      <c r="RJ578" s="93"/>
      <c r="RK578" s="93"/>
      <c r="RL578" s="93"/>
      <c r="RM578" s="20"/>
      <c r="RN578" s="29"/>
      <c r="RO578" s="19"/>
      <c r="RP578" s="20"/>
      <c r="RQ578" s="29"/>
      <c r="RR578" s="20"/>
      <c r="RS578" s="29"/>
      <c r="RT578" s="1504">
        <v>52048</v>
      </c>
      <c r="RU578" s="19"/>
      <c r="RV578" s="20"/>
      <c r="RW578" s="29"/>
      <c r="RX578" s="1504">
        <v>52048</v>
      </c>
      <c r="RY578" s="29"/>
      <c r="RZ578" s="20"/>
      <c r="SA578" s="29"/>
      <c r="SB578" s="29"/>
    </row>
    <row r="579" spans="1:496">
      <c r="A579" s="41">
        <f t="shared" si="362"/>
        <v>2042</v>
      </c>
      <c r="B579" s="1504">
        <v>52079</v>
      </c>
      <c r="C579" s="1813"/>
      <c r="D579" s="1814"/>
      <c r="E579" s="1814"/>
      <c r="F579" s="1815"/>
      <c r="G579" s="1814"/>
      <c r="H579" s="1814"/>
      <c r="I579" s="1814"/>
      <c r="J579" s="1816"/>
      <c r="K579" s="1807"/>
      <c r="L579" s="25"/>
      <c r="M579" s="97"/>
      <c r="N579" s="1504">
        <v>52079</v>
      </c>
      <c r="O579" s="19"/>
      <c r="P579" s="93"/>
      <c r="Q579" s="93"/>
      <c r="R579" s="93"/>
      <c r="S579" s="93"/>
      <c r="T579" s="93"/>
      <c r="U579" s="93"/>
      <c r="V579" s="93"/>
      <c r="W579" s="93"/>
      <c r="X579" s="93"/>
      <c r="Y579" s="93"/>
      <c r="Z579" s="93"/>
      <c r="AA579" s="93"/>
      <c r="AB579" s="20"/>
      <c r="AC579" s="25"/>
      <c r="AD579" s="97"/>
      <c r="AE579" s="1504">
        <v>52079</v>
      </c>
      <c r="AF579" s="19"/>
      <c r="AG579" s="93"/>
      <c r="AH579" s="93"/>
      <c r="AI579" s="93"/>
      <c r="AJ579" s="93"/>
      <c r="AK579" s="93"/>
      <c r="AL579" s="93"/>
      <c r="AM579" s="93"/>
      <c r="AN579" s="93"/>
      <c r="AO579" s="93"/>
      <c r="AP579" s="93"/>
      <c r="AQ579" s="93"/>
      <c r="AR579" s="93"/>
      <c r="AS579" s="20"/>
      <c r="AT579" s="25"/>
      <c r="AU579" s="97"/>
      <c r="AV579" s="1504">
        <v>52079</v>
      </c>
      <c r="AW579" s="19"/>
      <c r="AX579" s="93"/>
      <c r="AY579" s="93"/>
      <c r="AZ579" s="93"/>
      <c r="BA579" s="93"/>
      <c r="BB579" s="93"/>
      <c r="BC579" s="93"/>
      <c r="BD579" s="93"/>
      <c r="BE579" s="93"/>
      <c r="BF579" s="93"/>
      <c r="BG579" s="93"/>
      <c r="BH579" s="93"/>
      <c r="BI579" s="93"/>
      <c r="BJ579" s="20"/>
      <c r="BK579" s="25"/>
      <c r="BL579" s="97"/>
      <c r="BM579" s="1504">
        <v>52079</v>
      </c>
      <c r="BN579" s="19"/>
      <c r="BO579" s="93"/>
      <c r="BP579" s="93"/>
      <c r="BQ579" s="93"/>
      <c r="BR579" s="93"/>
      <c r="BS579" s="93"/>
      <c r="BT579" s="93"/>
      <c r="BU579" s="20"/>
      <c r="BV579" s="25"/>
      <c r="BW579" s="97"/>
      <c r="BX579" s="1504">
        <v>52079</v>
      </c>
      <c r="BY579" s="19"/>
      <c r="BZ579" s="93"/>
      <c r="CA579" s="93"/>
      <c r="CB579" s="93"/>
      <c r="CC579" s="93"/>
      <c r="CD579" s="25"/>
      <c r="CE579" s="97"/>
      <c r="CF579" s="1504">
        <v>52079</v>
      </c>
      <c r="CG579" s="19"/>
      <c r="CH579" s="93"/>
      <c r="CI579" s="219"/>
      <c r="CJ579" s="20"/>
      <c r="CK579" s="19"/>
      <c r="CL579" s="93"/>
      <c r="CM579" s="93"/>
      <c r="CN579" s="93"/>
      <c r="CO579" s="93"/>
      <c r="CP579" s="20"/>
      <c r="CQ579" s="219"/>
      <c r="CR579" s="93"/>
      <c r="CS579" s="93"/>
      <c r="CT579" s="93"/>
      <c r="CU579" s="93"/>
      <c r="CV579" s="214"/>
      <c r="CW579" s="29"/>
      <c r="CX579" s="41">
        <f t="shared" si="361"/>
        <v>2042</v>
      </c>
      <c r="CY579" s="1504">
        <v>52079</v>
      </c>
      <c r="CZ579" s="19"/>
      <c r="DA579" s="93"/>
      <c r="DB579" s="93"/>
      <c r="DC579" s="93"/>
      <c r="DD579" s="93"/>
      <c r="DE579" s="20"/>
      <c r="DF579" s="29"/>
      <c r="DG579" s="1504">
        <v>52079</v>
      </c>
      <c r="DH579" s="19"/>
      <c r="DI579" s="93"/>
      <c r="DJ579" s="93"/>
      <c r="DK579" s="93"/>
      <c r="DL579" s="93"/>
      <c r="DM579" s="93"/>
      <c r="DN579" s="20"/>
      <c r="DO579" s="295"/>
      <c r="DP579" s="29"/>
      <c r="DQ579" s="1504">
        <v>52079</v>
      </c>
      <c r="DR579" s="19"/>
      <c r="DS579" s="93"/>
      <c r="DT579" s="93"/>
      <c r="DU579" s="93"/>
      <c r="DV579" s="93"/>
      <c r="DW579" s="93"/>
      <c r="DX579" s="20"/>
      <c r="DY579" s="29"/>
      <c r="DZ579" s="1504">
        <v>52079</v>
      </c>
      <c r="EA579" s="19"/>
      <c r="EB579" s="93"/>
      <c r="EC579" s="20"/>
      <c r="ED579" s="29"/>
      <c r="EE579" s="1504">
        <v>52079</v>
      </c>
      <c r="EF579" s="19"/>
      <c r="EG579" s="93"/>
      <c r="EH579" s="93"/>
      <c r="EI579" s="214"/>
      <c r="EJ579" s="93"/>
      <c r="EK579" s="93"/>
      <c r="EL579" s="93"/>
      <c r="EM579" s="93"/>
      <c r="EN579" s="20"/>
      <c r="EO579" s="29"/>
      <c r="EP579" s="1504">
        <v>52079</v>
      </c>
      <c r="EQ579" s="19"/>
      <c r="ER579" s="93"/>
      <c r="ES579" s="93"/>
      <c r="ET579" s="214"/>
      <c r="EU579" s="93"/>
      <c r="EV579" s="93"/>
      <c r="EW579" s="93"/>
      <c r="EX579" s="93"/>
      <c r="EY579" s="20"/>
      <c r="EZ579" s="29"/>
      <c r="FA579" s="1504">
        <v>52079</v>
      </c>
      <c r="FB579" s="29"/>
      <c r="FC579" s="29"/>
      <c r="FD579" s="29"/>
      <c r="FE579" s="29"/>
      <c r="FF579" s="29"/>
      <c r="FG579" s="29"/>
      <c r="FH579" s="29"/>
      <c r="FI579" s="29"/>
      <c r="FJ579" s="29"/>
      <c r="FK579" s="29"/>
      <c r="FL579" s="1504">
        <v>52079</v>
      </c>
      <c r="FM579" s="19"/>
      <c r="FN579" s="93"/>
      <c r="FO579" s="93"/>
      <c r="FP579" s="93"/>
      <c r="FQ579" s="93"/>
      <c r="FR579" s="93"/>
      <c r="FS579" s="93"/>
      <c r="FT579" s="93"/>
      <c r="FU579" s="93"/>
      <c r="FV579" s="93"/>
      <c r="FW579" s="93"/>
      <c r="FX579" s="93"/>
      <c r="FY579" s="93"/>
      <c r="FZ579" s="29"/>
      <c r="GA579" s="1504">
        <v>52079</v>
      </c>
      <c r="GB579" s="19"/>
      <c r="GC579" s="93"/>
      <c r="GD579" s="93"/>
      <c r="GE579" s="93"/>
      <c r="GF579" s="93"/>
      <c r="GG579" s="93"/>
      <c r="GH579" s="93"/>
      <c r="GI579" s="93"/>
      <c r="GJ579" s="93"/>
      <c r="GK579" s="93"/>
      <c r="GL579" s="93"/>
      <c r="GM579" s="93"/>
      <c r="GN579" s="20"/>
      <c r="GO579" s="29"/>
      <c r="GP579" s="1504">
        <v>52079</v>
      </c>
      <c r="GQ579" s="19"/>
      <c r="GR579" s="93"/>
      <c r="GS579" s="93"/>
      <c r="GT579" s="93"/>
      <c r="GU579" s="93"/>
      <c r="GV579" s="20"/>
      <c r="GW579" s="19"/>
      <c r="GX579" s="93"/>
      <c r="GY579" s="93"/>
      <c r="GZ579" s="93"/>
      <c r="HA579" s="93"/>
      <c r="HB579" s="20"/>
      <c r="HC579" s="19"/>
      <c r="HD579" s="93"/>
      <c r="HE579" s="93"/>
      <c r="HF579" s="93"/>
      <c r="HG579" s="93"/>
      <c r="HH579" s="20"/>
      <c r="HI579" s="19"/>
      <c r="HJ579" s="93"/>
      <c r="HK579" s="93"/>
      <c r="HL579" s="93"/>
      <c r="HM579" s="93"/>
      <c r="HN579" s="20"/>
      <c r="HO579" s="219"/>
      <c r="HP579" s="20"/>
      <c r="HQ579" s="25"/>
      <c r="HR579" s="29"/>
      <c r="HS579" s="1504">
        <v>52079</v>
      </c>
      <c r="HT579" s="19"/>
      <c r="HU579" s="93"/>
      <c r="HV579" s="93"/>
      <c r="HW579" s="93"/>
      <c r="HX579" s="93"/>
      <c r="HY579" s="93"/>
      <c r="HZ579" s="93"/>
      <c r="IA579" s="20"/>
      <c r="IB579" s="19"/>
      <c r="IC579" s="93"/>
      <c r="ID579" s="93"/>
      <c r="IE579" s="93"/>
      <c r="IF579" s="93"/>
      <c r="IG579" s="20"/>
      <c r="IH579" s="19"/>
      <c r="II579" s="93"/>
      <c r="IJ579" s="93"/>
      <c r="IK579" s="93"/>
      <c r="IL579" s="93"/>
      <c r="IM579" s="93"/>
      <c r="IN579" s="93"/>
      <c r="IO579" s="20"/>
      <c r="IP579" s="29"/>
      <c r="IQ579" s="19"/>
      <c r="IR579" s="93"/>
      <c r="IS579" s="93"/>
      <c r="IT579" s="93"/>
      <c r="IU579" s="93"/>
      <c r="IV579" s="20"/>
      <c r="IW579" s="29"/>
      <c r="IX579" s="19"/>
      <c r="IY579" s="93"/>
      <c r="IZ579" s="93"/>
      <c r="JA579" s="93"/>
      <c r="JB579" s="93"/>
      <c r="JC579" s="93"/>
      <c r="JD579" s="93"/>
      <c r="JE579" s="20"/>
      <c r="JF579" s="29"/>
      <c r="JG579" s="19"/>
      <c r="JH579" s="93"/>
      <c r="JI579" s="93"/>
      <c r="JJ579" s="93"/>
      <c r="JK579" s="93"/>
      <c r="JL579" s="93"/>
      <c r="JM579" s="93"/>
      <c r="JN579" s="20"/>
      <c r="JO579" s="29"/>
      <c r="JP579" s="19"/>
      <c r="JQ579" s="93"/>
      <c r="JR579" s="93"/>
      <c r="JS579" s="93"/>
      <c r="JT579" s="93"/>
      <c r="JU579" s="20"/>
      <c r="JV579" s="29"/>
      <c r="JW579" s="1504">
        <v>52079</v>
      </c>
      <c r="JX579" s="19"/>
      <c r="JY579" s="93"/>
      <c r="JZ579" s="93"/>
      <c r="KA579" s="93"/>
      <c r="KB579" s="93"/>
      <c r="KC579" s="93"/>
      <c r="KD579" s="20"/>
      <c r="KE579" s="29"/>
      <c r="KF579" s="19"/>
      <c r="KG579" s="93"/>
      <c r="KH579" s="93"/>
      <c r="KI579" s="93"/>
      <c r="KJ579" s="93"/>
      <c r="KK579" s="20"/>
      <c r="KL579" s="29"/>
      <c r="KM579" s="19"/>
      <c r="KN579" s="93"/>
      <c r="KO579" s="93"/>
      <c r="KP579" s="93"/>
      <c r="KQ579" s="93"/>
      <c r="KR579" s="20"/>
      <c r="KS579" s="29"/>
      <c r="KT579" s="19"/>
      <c r="KU579" s="93"/>
      <c r="KV579" s="93"/>
      <c r="KW579" s="93"/>
      <c r="KX579" s="93"/>
      <c r="KY579" s="20"/>
      <c r="KZ579" s="29"/>
      <c r="LA579" s="1504">
        <v>52079</v>
      </c>
      <c r="LB579" s="19"/>
      <c r="LC579" s="93"/>
      <c r="LD579" s="93"/>
      <c r="LE579" s="93"/>
      <c r="LF579" s="93"/>
      <c r="LG579" s="93"/>
      <c r="LH579" s="20"/>
      <c r="LI579" s="29"/>
      <c r="LJ579" s="19"/>
      <c r="LK579" s="93"/>
      <c r="LL579" s="93"/>
      <c r="LM579" s="93"/>
      <c r="LN579" s="93"/>
      <c r="LO579" s="20"/>
      <c r="LP579" s="29"/>
      <c r="LQ579" s="19"/>
      <c r="LR579" s="93"/>
      <c r="LS579" s="93"/>
      <c r="LT579" s="93"/>
      <c r="LU579" s="93"/>
      <c r="LV579" s="93"/>
      <c r="LW579" s="93"/>
      <c r="LX579" s="93"/>
      <c r="LY579" s="93"/>
      <c r="LZ579" s="93"/>
      <c r="MA579" s="20"/>
      <c r="MB579" s="29"/>
      <c r="MC579" s="1504">
        <v>52079</v>
      </c>
      <c r="MD579" s="19"/>
      <c r="ME579" s="93"/>
      <c r="MF579" s="93"/>
      <c r="MG579" s="93"/>
      <c r="MH579" s="93"/>
      <c r="MI579" s="93"/>
      <c r="MJ579" s="93"/>
      <c r="MK579" s="93"/>
      <c r="ML579" s="93"/>
      <c r="MM579" s="93"/>
      <c r="MN579" s="93"/>
      <c r="MO579" s="93"/>
      <c r="MP579" s="93"/>
      <c r="MQ579" s="93"/>
      <c r="MR579" s="93"/>
      <c r="MS579" s="93"/>
      <c r="MT579" s="93"/>
      <c r="MU579" s="93"/>
      <c r="MV579" s="93"/>
      <c r="MW579" s="93"/>
      <c r="MX579" s="93"/>
      <c r="MY579" s="93"/>
      <c r="MZ579" s="93"/>
      <c r="NA579" s="93"/>
      <c r="NB579" s="93"/>
      <c r="NC579" s="93"/>
      <c r="ND579" s="93"/>
      <c r="NE579" s="93"/>
      <c r="NF579" s="93"/>
      <c r="NG579" s="93"/>
      <c r="NH579" s="93"/>
      <c r="NI579" s="93"/>
      <c r="NJ579" s="93"/>
      <c r="NK579" s="93"/>
      <c r="NL579" s="93"/>
      <c r="NM579" s="93"/>
      <c r="NN579" s="93"/>
      <c r="NO579" s="93"/>
      <c r="NP579" s="93"/>
      <c r="NQ579" s="93"/>
      <c r="NR579" s="93"/>
      <c r="NS579" s="93"/>
      <c r="NT579" s="93"/>
      <c r="NU579" s="93"/>
      <c r="NV579" s="93"/>
      <c r="NW579" s="93"/>
      <c r="NX579" s="93"/>
      <c r="NY579" s="93"/>
      <c r="NZ579" s="93"/>
      <c r="OA579" s="93"/>
      <c r="OB579" s="93"/>
      <c r="OC579" s="93"/>
      <c r="OD579" s="20"/>
      <c r="OE579" s="29"/>
      <c r="OF579" s="1504">
        <v>52079</v>
      </c>
      <c r="OG579" s="19"/>
      <c r="OH579" s="93"/>
      <c r="OI579" s="93"/>
      <c r="OJ579" s="93"/>
      <c r="OK579" s="93"/>
      <c r="OL579" s="93"/>
      <c r="OM579" s="93"/>
      <c r="ON579" s="93"/>
      <c r="OO579" s="93"/>
      <c r="OP579" s="93"/>
      <c r="OQ579" s="93"/>
      <c r="OR579" s="93"/>
      <c r="OS579" s="93"/>
      <c r="OT579" s="93"/>
      <c r="OU579" s="93"/>
      <c r="OV579" s="93"/>
      <c r="OW579" s="93"/>
      <c r="OX579" s="93"/>
      <c r="OY579" s="93"/>
      <c r="OZ579" s="93"/>
      <c r="PA579" s="93"/>
      <c r="PB579" s="93"/>
      <c r="PC579" s="20"/>
      <c r="PD579" s="29"/>
      <c r="PE579" s="19"/>
      <c r="PF579" s="93"/>
      <c r="PG579" s="93"/>
      <c r="PH579" s="93"/>
      <c r="PI579" s="93"/>
      <c r="PJ579" s="93"/>
      <c r="PK579" s="93"/>
      <c r="PL579" s="93"/>
      <c r="PM579" s="93"/>
      <c r="PN579" s="93"/>
      <c r="PO579" s="93"/>
      <c r="PP579" s="93"/>
      <c r="PQ579" s="93"/>
      <c r="PR579" s="93"/>
      <c r="PS579" s="93"/>
      <c r="PT579" s="93"/>
      <c r="PU579" s="93"/>
      <c r="PV579" s="93"/>
      <c r="PW579" s="93"/>
      <c r="PX579" s="93"/>
      <c r="PY579" s="93"/>
      <c r="PZ579" s="93"/>
      <c r="QA579" s="93"/>
      <c r="QB579" s="93"/>
      <c r="QC579" s="93"/>
      <c r="QD579" s="93"/>
      <c r="QE579" s="20"/>
      <c r="QF579" s="1739"/>
      <c r="QG579" s="19"/>
      <c r="QH579" s="93"/>
      <c r="QI579" s="93"/>
      <c r="QJ579" s="93"/>
      <c r="QK579" s="93"/>
      <c r="QL579" s="93"/>
      <c r="QM579" s="93"/>
      <c r="QN579" s="93"/>
      <c r="QO579" s="93"/>
      <c r="QP579" s="93"/>
      <c r="QQ579" s="93"/>
      <c r="QR579" s="93"/>
      <c r="QS579" s="93"/>
      <c r="QT579" s="93"/>
      <c r="QU579" s="93"/>
      <c r="QV579" s="93"/>
      <c r="QW579" s="93"/>
      <c r="QX579" s="93"/>
      <c r="QY579" s="93"/>
      <c r="QZ579" s="93"/>
      <c r="RA579" s="93"/>
      <c r="RB579" s="93"/>
      <c r="RC579" s="93"/>
      <c r="RD579" s="93"/>
      <c r="RE579" s="93"/>
      <c r="RF579" s="93"/>
      <c r="RG579" s="93"/>
      <c r="RH579" s="93"/>
      <c r="RI579" s="93"/>
      <c r="RJ579" s="93"/>
      <c r="RK579" s="93"/>
      <c r="RL579" s="93"/>
      <c r="RM579" s="20"/>
      <c r="RN579" s="29"/>
      <c r="RO579" s="19"/>
      <c r="RP579" s="20"/>
      <c r="RQ579" s="29"/>
      <c r="RR579" s="20"/>
      <c r="RS579" s="29"/>
      <c r="RT579" s="1504">
        <v>52079</v>
      </c>
      <c r="RU579" s="19"/>
      <c r="RV579" s="20"/>
      <c r="RW579" s="29"/>
      <c r="RX579" s="1504">
        <v>52079</v>
      </c>
      <c r="RY579" s="29"/>
      <c r="RZ579" s="20"/>
      <c r="SA579" s="29"/>
      <c r="SB579" s="29"/>
    </row>
    <row r="580" spans="1:496">
      <c r="A580" s="41">
        <f t="shared" si="362"/>
        <v>2042</v>
      </c>
      <c r="B580" s="1504">
        <v>52110</v>
      </c>
      <c r="C580" s="1813"/>
      <c r="D580" s="1814"/>
      <c r="E580" s="1814"/>
      <c r="F580" s="1815"/>
      <c r="G580" s="1814"/>
      <c r="H580" s="1814"/>
      <c r="I580" s="1814"/>
      <c r="J580" s="1816"/>
      <c r="K580" s="1807"/>
      <c r="L580" s="25"/>
      <c r="M580" s="97"/>
      <c r="N580" s="1504">
        <v>52110</v>
      </c>
      <c r="O580" s="19"/>
      <c r="P580" s="93"/>
      <c r="Q580" s="93"/>
      <c r="R580" s="93"/>
      <c r="S580" s="93"/>
      <c r="T580" s="93"/>
      <c r="U580" s="93"/>
      <c r="V580" s="93"/>
      <c r="W580" s="93"/>
      <c r="X580" s="93"/>
      <c r="Y580" s="93"/>
      <c r="Z580" s="93"/>
      <c r="AA580" s="93"/>
      <c r="AB580" s="20"/>
      <c r="AC580" s="25"/>
      <c r="AD580" s="97"/>
      <c r="AE580" s="1504">
        <v>52110</v>
      </c>
      <c r="AF580" s="19"/>
      <c r="AG580" s="93"/>
      <c r="AH580" s="93"/>
      <c r="AI580" s="93"/>
      <c r="AJ580" s="93"/>
      <c r="AK580" s="93"/>
      <c r="AL580" s="93"/>
      <c r="AM580" s="93"/>
      <c r="AN580" s="93"/>
      <c r="AO580" s="93"/>
      <c r="AP580" s="93"/>
      <c r="AQ580" s="93"/>
      <c r="AR580" s="93"/>
      <c r="AS580" s="20"/>
      <c r="AT580" s="25"/>
      <c r="AU580" s="97"/>
      <c r="AV580" s="1504">
        <v>52110</v>
      </c>
      <c r="AW580" s="19"/>
      <c r="AX580" s="93"/>
      <c r="AY580" s="93"/>
      <c r="AZ580" s="93"/>
      <c r="BA580" s="93"/>
      <c r="BB580" s="93"/>
      <c r="BC580" s="93"/>
      <c r="BD580" s="93"/>
      <c r="BE580" s="93"/>
      <c r="BF580" s="93"/>
      <c r="BG580" s="93"/>
      <c r="BH580" s="93"/>
      <c r="BI580" s="93"/>
      <c r="BJ580" s="20"/>
      <c r="BK580" s="25"/>
      <c r="BL580" s="97"/>
      <c r="BM580" s="1504">
        <v>52110</v>
      </c>
      <c r="BN580" s="19"/>
      <c r="BO580" s="93"/>
      <c r="BP580" s="93"/>
      <c r="BQ580" s="93"/>
      <c r="BR580" s="93"/>
      <c r="BS580" s="93"/>
      <c r="BT580" s="93"/>
      <c r="BU580" s="20"/>
      <c r="BV580" s="25"/>
      <c r="BW580" s="97"/>
      <c r="BX580" s="1504">
        <v>52110</v>
      </c>
      <c r="BY580" s="19"/>
      <c r="BZ580" s="93"/>
      <c r="CA580" s="93"/>
      <c r="CB580" s="93"/>
      <c r="CC580" s="93"/>
      <c r="CD580" s="25"/>
      <c r="CE580" s="97"/>
      <c r="CF580" s="1504">
        <v>52110</v>
      </c>
      <c r="CG580" s="19"/>
      <c r="CH580" s="93"/>
      <c r="CI580" s="219"/>
      <c r="CJ580" s="20"/>
      <c r="CK580" s="19"/>
      <c r="CL580" s="93"/>
      <c r="CM580" s="93"/>
      <c r="CN580" s="93"/>
      <c r="CO580" s="93"/>
      <c r="CP580" s="20"/>
      <c r="CQ580" s="219"/>
      <c r="CR580" s="93"/>
      <c r="CS580" s="93"/>
      <c r="CT580" s="93"/>
      <c r="CU580" s="93"/>
      <c r="CV580" s="214"/>
      <c r="CW580" s="29"/>
      <c r="CX580" s="41">
        <f t="shared" si="361"/>
        <v>2042</v>
      </c>
      <c r="CY580" s="1504">
        <v>52110</v>
      </c>
      <c r="CZ580" s="19"/>
      <c r="DA580" s="93"/>
      <c r="DB580" s="93"/>
      <c r="DC580" s="93"/>
      <c r="DD580" s="93"/>
      <c r="DE580" s="20"/>
      <c r="DF580" s="29"/>
      <c r="DG580" s="1504">
        <v>52110</v>
      </c>
      <c r="DH580" s="19"/>
      <c r="DI580" s="93"/>
      <c r="DJ580" s="93"/>
      <c r="DK580" s="93"/>
      <c r="DL580" s="93"/>
      <c r="DM580" s="93"/>
      <c r="DN580" s="20"/>
      <c r="DO580" s="295"/>
      <c r="DP580" s="29"/>
      <c r="DQ580" s="1504">
        <v>52110</v>
      </c>
      <c r="DR580" s="19"/>
      <c r="DS580" s="93"/>
      <c r="DT580" s="93"/>
      <c r="DU580" s="93"/>
      <c r="DV580" s="93"/>
      <c r="DW580" s="93"/>
      <c r="DX580" s="20"/>
      <c r="DY580" s="29"/>
      <c r="DZ580" s="1504">
        <v>52110</v>
      </c>
      <c r="EA580" s="19"/>
      <c r="EB580" s="93"/>
      <c r="EC580" s="20"/>
      <c r="ED580" s="29"/>
      <c r="EE580" s="1504">
        <v>52110</v>
      </c>
      <c r="EF580" s="19"/>
      <c r="EG580" s="93"/>
      <c r="EH580" s="93"/>
      <c r="EI580" s="214"/>
      <c r="EJ580" s="93"/>
      <c r="EK580" s="93"/>
      <c r="EL580" s="93"/>
      <c r="EM580" s="93"/>
      <c r="EN580" s="20"/>
      <c r="EO580" s="29"/>
      <c r="EP580" s="1504">
        <v>52110</v>
      </c>
      <c r="EQ580" s="19"/>
      <c r="ER580" s="93"/>
      <c r="ES580" s="93"/>
      <c r="ET580" s="214"/>
      <c r="EU580" s="93"/>
      <c r="EV580" s="93"/>
      <c r="EW580" s="93"/>
      <c r="EX580" s="93"/>
      <c r="EY580" s="20"/>
      <c r="EZ580" s="29"/>
      <c r="FA580" s="1504">
        <v>52110</v>
      </c>
      <c r="FB580" s="29"/>
      <c r="FC580" s="29"/>
      <c r="FD580" s="29"/>
      <c r="FE580" s="29"/>
      <c r="FF580" s="29"/>
      <c r="FG580" s="29"/>
      <c r="FH580" s="29"/>
      <c r="FI580" s="29"/>
      <c r="FJ580" s="29"/>
      <c r="FK580" s="29"/>
      <c r="FL580" s="1504">
        <v>52110</v>
      </c>
      <c r="FM580" s="19"/>
      <c r="FN580" s="93"/>
      <c r="FO580" s="93"/>
      <c r="FP580" s="93"/>
      <c r="FQ580" s="93"/>
      <c r="FR580" s="93"/>
      <c r="FS580" s="93"/>
      <c r="FT580" s="93"/>
      <c r="FU580" s="93"/>
      <c r="FV580" s="93"/>
      <c r="FW580" s="93"/>
      <c r="FX580" s="93"/>
      <c r="FY580" s="93"/>
      <c r="FZ580" s="29"/>
      <c r="GA580" s="1504">
        <v>52110</v>
      </c>
      <c r="GB580" s="19"/>
      <c r="GC580" s="93"/>
      <c r="GD580" s="93"/>
      <c r="GE580" s="93"/>
      <c r="GF580" s="93"/>
      <c r="GG580" s="93"/>
      <c r="GH580" s="93"/>
      <c r="GI580" s="93"/>
      <c r="GJ580" s="93"/>
      <c r="GK580" s="93"/>
      <c r="GL580" s="93"/>
      <c r="GM580" s="93"/>
      <c r="GN580" s="20"/>
      <c r="GO580" s="29"/>
      <c r="GP580" s="1504">
        <v>52110</v>
      </c>
      <c r="GQ580" s="19"/>
      <c r="GR580" s="93"/>
      <c r="GS580" s="93"/>
      <c r="GT580" s="93"/>
      <c r="GU580" s="93"/>
      <c r="GV580" s="20"/>
      <c r="GW580" s="19"/>
      <c r="GX580" s="93"/>
      <c r="GY580" s="93"/>
      <c r="GZ580" s="93"/>
      <c r="HA580" s="93"/>
      <c r="HB580" s="20"/>
      <c r="HC580" s="19"/>
      <c r="HD580" s="93"/>
      <c r="HE580" s="93"/>
      <c r="HF580" s="93"/>
      <c r="HG580" s="93"/>
      <c r="HH580" s="20"/>
      <c r="HI580" s="19"/>
      <c r="HJ580" s="93"/>
      <c r="HK580" s="93"/>
      <c r="HL580" s="93"/>
      <c r="HM580" s="93"/>
      <c r="HN580" s="20"/>
      <c r="HO580" s="219"/>
      <c r="HP580" s="20"/>
      <c r="HQ580" s="25"/>
      <c r="HR580" s="29"/>
      <c r="HS580" s="1504">
        <v>52110</v>
      </c>
      <c r="HT580" s="19"/>
      <c r="HU580" s="93"/>
      <c r="HV580" s="93"/>
      <c r="HW580" s="93"/>
      <c r="HX580" s="93"/>
      <c r="HY580" s="93"/>
      <c r="HZ580" s="93"/>
      <c r="IA580" s="20"/>
      <c r="IB580" s="19"/>
      <c r="IC580" s="93"/>
      <c r="ID580" s="93"/>
      <c r="IE580" s="93"/>
      <c r="IF580" s="93"/>
      <c r="IG580" s="20"/>
      <c r="IH580" s="19"/>
      <c r="II580" s="93"/>
      <c r="IJ580" s="93"/>
      <c r="IK580" s="93"/>
      <c r="IL580" s="93"/>
      <c r="IM580" s="93"/>
      <c r="IN580" s="93"/>
      <c r="IO580" s="20"/>
      <c r="IP580" s="29"/>
      <c r="IQ580" s="19"/>
      <c r="IR580" s="93"/>
      <c r="IS580" s="93"/>
      <c r="IT580" s="93"/>
      <c r="IU580" s="93"/>
      <c r="IV580" s="20"/>
      <c r="IW580" s="29"/>
      <c r="IX580" s="19"/>
      <c r="IY580" s="93"/>
      <c r="IZ580" s="93"/>
      <c r="JA580" s="93"/>
      <c r="JB580" s="93"/>
      <c r="JC580" s="93"/>
      <c r="JD580" s="93"/>
      <c r="JE580" s="20"/>
      <c r="JF580" s="29"/>
      <c r="JG580" s="19"/>
      <c r="JH580" s="93"/>
      <c r="JI580" s="93"/>
      <c r="JJ580" s="93"/>
      <c r="JK580" s="93"/>
      <c r="JL580" s="93"/>
      <c r="JM580" s="93"/>
      <c r="JN580" s="20"/>
      <c r="JO580" s="29"/>
      <c r="JP580" s="19"/>
      <c r="JQ580" s="93"/>
      <c r="JR580" s="93"/>
      <c r="JS580" s="93"/>
      <c r="JT580" s="93"/>
      <c r="JU580" s="20"/>
      <c r="JV580" s="29"/>
      <c r="JW580" s="1504">
        <v>52110</v>
      </c>
      <c r="JX580" s="19"/>
      <c r="JY580" s="93"/>
      <c r="JZ580" s="93"/>
      <c r="KA580" s="93"/>
      <c r="KB580" s="93"/>
      <c r="KC580" s="93"/>
      <c r="KD580" s="20"/>
      <c r="KE580" s="29"/>
      <c r="KF580" s="19"/>
      <c r="KG580" s="93"/>
      <c r="KH580" s="93"/>
      <c r="KI580" s="93"/>
      <c r="KJ580" s="93"/>
      <c r="KK580" s="20"/>
      <c r="KL580" s="29"/>
      <c r="KM580" s="19"/>
      <c r="KN580" s="93"/>
      <c r="KO580" s="93"/>
      <c r="KP580" s="93"/>
      <c r="KQ580" s="93"/>
      <c r="KR580" s="20"/>
      <c r="KS580" s="29"/>
      <c r="KT580" s="19"/>
      <c r="KU580" s="93"/>
      <c r="KV580" s="93"/>
      <c r="KW580" s="93"/>
      <c r="KX580" s="93"/>
      <c r="KY580" s="20"/>
      <c r="KZ580" s="29"/>
      <c r="LA580" s="1504">
        <v>52110</v>
      </c>
      <c r="LB580" s="19"/>
      <c r="LC580" s="93"/>
      <c r="LD580" s="93"/>
      <c r="LE580" s="93"/>
      <c r="LF580" s="93"/>
      <c r="LG580" s="93"/>
      <c r="LH580" s="20"/>
      <c r="LI580" s="29"/>
      <c r="LJ580" s="19"/>
      <c r="LK580" s="93"/>
      <c r="LL580" s="93"/>
      <c r="LM580" s="93"/>
      <c r="LN580" s="93"/>
      <c r="LO580" s="20"/>
      <c r="LP580" s="29"/>
      <c r="LQ580" s="19"/>
      <c r="LR580" s="93"/>
      <c r="LS580" s="93"/>
      <c r="LT580" s="93"/>
      <c r="LU580" s="93"/>
      <c r="LV580" s="93"/>
      <c r="LW580" s="93"/>
      <c r="LX580" s="93"/>
      <c r="LY580" s="93"/>
      <c r="LZ580" s="93"/>
      <c r="MA580" s="20"/>
      <c r="MB580" s="29"/>
      <c r="MC580" s="1504">
        <v>52110</v>
      </c>
      <c r="MD580" s="19"/>
      <c r="ME580" s="93"/>
      <c r="MF580" s="93"/>
      <c r="MG580" s="93"/>
      <c r="MH580" s="93"/>
      <c r="MI580" s="93"/>
      <c r="MJ580" s="93"/>
      <c r="MK580" s="93"/>
      <c r="ML580" s="93"/>
      <c r="MM580" s="93"/>
      <c r="MN580" s="93"/>
      <c r="MO580" s="93"/>
      <c r="MP580" s="93"/>
      <c r="MQ580" s="93"/>
      <c r="MR580" s="93"/>
      <c r="MS580" s="93"/>
      <c r="MT580" s="93"/>
      <c r="MU580" s="93"/>
      <c r="MV580" s="93"/>
      <c r="MW580" s="93"/>
      <c r="MX580" s="93"/>
      <c r="MY580" s="93"/>
      <c r="MZ580" s="93"/>
      <c r="NA580" s="93"/>
      <c r="NB580" s="93"/>
      <c r="NC580" s="93"/>
      <c r="ND580" s="93"/>
      <c r="NE580" s="93"/>
      <c r="NF580" s="93"/>
      <c r="NG580" s="93"/>
      <c r="NH580" s="93"/>
      <c r="NI580" s="93"/>
      <c r="NJ580" s="93"/>
      <c r="NK580" s="93"/>
      <c r="NL580" s="93"/>
      <c r="NM580" s="93"/>
      <c r="NN580" s="93"/>
      <c r="NO580" s="93"/>
      <c r="NP580" s="93"/>
      <c r="NQ580" s="93"/>
      <c r="NR580" s="93"/>
      <c r="NS580" s="93"/>
      <c r="NT580" s="93"/>
      <c r="NU580" s="93"/>
      <c r="NV580" s="93"/>
      <c r="NW580" s="93"/>
      <c r="NX580" s="93"/>
      <c r="NY580" s="93"/>
      <c r="NZ580" s="93"/>
      <c r="OA580" s="93"/>
      <c r="OB580" s="93"/>
      <c r="OC580" s="93"/>
      <c r="OD580" s="20"/>
      <c r="OE580" s="29"/>
      <c r="OF580" s="1504">
        <v>52110</v>
      </c>
      <c r="OG580" s="19"/>
      <c r="OH580" s="93"/>
      <c r="OI580" s="93"/>
      <c r="OJ580" s="93"/>
      <c r="OK580" s="93"/>
      <c r="OL580" s="93"/>
      <c r="OM580" s="93"/>
      <c r="ON580" s="93"/>
      <c r="OO580" s="93"/>
      <c r="OP580" s="93"/>
      <c r="OQ580" s="93"/>
      <c r="OR580" s="93"/>
      <c r="OS580" s="93"/>
      <c r="OT580" s="93"/>
      <c r="OU580" s="93"/>
      <c r="OV580" s="93"/>
      <c r="OW580" s="93"/>
      <c r="OX580" s="93"/>
      <c r="OY580" s="93"/>
      <c r="OZ580" s="93"/>
      <c r="PA580" s="93"/>
      <c r="PB580" s="93"/>
      <c r="PC580" s="20"/>
      <c r="PD580" s="29"/>
      <c r="PE580" s="19"/>
      <c r="PF580" s="93"/>
      <c r="PG580" s="93"/>
      <c r="PH580" s="93"/>
      <c r="PI580" s="93"/>
      <c r="PJ580" s="93"/>
      <c r="PK580" s="93"/>
      <c r="PL580" s="93"/>
      <c r="PM580" s="93"/>
      <c r="PN580" s="93"/>
      <c r="PO580" s="93"/>
      <c r="PP580" s="93"/>
      <c r="PQ580" s="93"/>
      <c r="PR580" s="93"/>
      <c r="PS580" s="93"/>
      <c r="PT580" s="93"/>
      <c r="PU580" s="93"/>
      <c r="PV580" s="93"/>
      <c r="PW580" s="93"/>
      <c r="PX580" s="93"/>
      <c r="PY580" s="93"/>
      <c r="PZ580" s="93"/>
      <c r="QA580" s="93"/>
      <c r="QB580" s="93"/>
      <c r="QC580" s="93"/>
      <c r="QD580" s="93"/>
      <c r="QE580" s="20"/>
      <c r="QF580" s="1739"/>
      <c r="QG580" s="19"/>
      <c r="QH580" s="93"/>
      <c r="QI580" s="93"/>
      <c r="QJ580" s="93"/>
      <c r="QK580" s="93"/>
      <c r="QL580" s="93"/>
      <c r="QM580" s="93"/>
      <c r="QN580" s="93"/>
      <c r="QO580" s="93"/>
      <c r="QP580" s="93"/>
      <c r="QQ580" s="93"/>
      <c r="QR580" s="93"/>
      <c r="QS580" s="93"/>
      <c r="QT580" s="93"/>
      <c r="QU580" s="93"/>
      <c r="QV580" s="93"/>
      <c r="QW580" s="93"/>
      <c r="QX580" s="93"/>
      <c r="QY580" s="93"/>
      <c r="QZ580" s="93"/>
      <c r="RA580" s="93"/>
      <c r="RB580" s="93"/>
      <c r="RC580" s="93"/>
      <c r="RD580" s="93"/>
      <c r="RE580" s="93"/>
      <c r="RF580" s="93"/>
      <c r="RG580" s="93"/>
      <c r="RH580" s="93"/>
      <c r="RI580" s="93"/>
      <c r="RJ580" s="93"/>
      <c r="RK580" s="93"/>
      <c r="RL580" s="93"/>
      <c r="RM580" s="20"/>
      <c r="RN580" s="29"/>
      <c r="RO580" s="19"/>
      <c r="RP580" s="20"/>
      <c r="RQ580" s="29"/>
      <c r="RR580" s="20"/>
      <c r="RS580" s="29"/>
      <c r="RT580" s="1504">
        <v>52110</v>
      </c>
      <c r="RU580" s="19"/>
      <c r="RV580" s="20"/>
      <c r="RW580" s="29"/>
      <c r="RX580" s="1504">
        <v>52110</v>
      </c>
      <c r="RY580" s="29"/>
      <c r="RZ580" s="20"/>
      <c r="SA580" s="29"/>
      <c r="SB580" s="29"/>
    </row>
    <row r="581" spans="1:496">
      <c r="A581" s="41">
        <f t="shared" si="362"/>
        <v>2042</v>
      </c>
      <c r="B581" s="1504">
        <v>52140</v>
      </c>
      <c r="C581" s="1813"/>
      <c r="D581" s="1814"/>
      <c r="E581" s="1814"/>
      <c r="F581" s="1815"/>
      <c r="G581" s="1814"/>
      <c r="H581" s="1814"/>
      <c r="I581" s="1814"/>
      <c r="J581" s="1816"/>
      <c r="K581" s="1807"/>
      <c r="L581" s="25"/>
      <c r="M581" s="97"/>
      <c r="N581" s="1504">
        <v>52140</v>
      </c>
      <c r="O581" s="19"/>
      <c r="P581" s="93"/>
      <c r="Q581" s="93"/>
      <c r="R581" s="93"/>
      <c r="S581" s="93"/>
      <c r="T581" s="93"/>
      <c r="U581" s="93"/>
      <c r="V581" s="93"/>
      <c r="W581" s="93"/>
      <c r="X581" s="93"/>
      <c r="Y581" s="93"/>
      <c r="Z581" s="93"/>
      <c r="AA581" s="93"/>
      <c r="AB581" s="20"/>
      <c r="AC581" s="25"/>
      <c r="AD581" s="97"/>
      <c r="AE581" s="1504">
        <v>52140</v>
      </c>
      <c r="AF581" s="19"/>
      <c r="AG581" s="93"/>
      <c r="AH581" s="93"/>
      <c r="AI581" s="93"/>
      <c r="AJ581" s="93"/>
      <c r="AK581" s="93"/>
      <c r="AL581" s="93"/>
      <c r="AM581" s="93"/>
      <c r="AN581" s="93"/>
      <c r="AO581" s="93"/>
      <c r="AP581" s="93"/>
      <c r="AQ581" s="93"/>
      <c r="AR581" s="93"/>
      <c r="AS581" s="20"/>
      <c r="AT581" s="25"/>
      <c r="AU581" s="97"/>
      <c r="AV581" s="1504">
        <v>52140</v>
      </c>
      <c r="AW581" s="19"/>
      <c r="AX581" s="93"/>
      <c r="AY581" s="93"/>
      <c r="AZ581" s="93"/>
      <c r="BA581" s="93"/>
      <c r="BB581" s="93"/>
      <c r="BC581" s="93"/>
      <c r="BD581" s="93"/>
      <c r="BE581" s="93"/>
      <c r="BF581" s="93"/>
      <c r="BG581" s="93"/>
      <c r="BH581" s="93"/>
      <c r="BI581" s="93"/>
      <c r="BJ581" s="20"/>
      <c r="BK581" s="25"/>
      <c r="BL581" s="97"/>
      <c r="BM581" s="1504">
        <v>52140</v>
      </c>
      <c r="BN581" s="19"/>
      <c r="BO581" s="93"/>
      <c r="BP581" s="93"/>
      <c r="BQ581" s="93"/>
      <c r="BR581" s="93"/>
      <c r="BS581" s="93"/>
      <c r="BT581" s="93"/>
      <c r="BU581" s="20"/>
      <c r="BV581" s="25"/>
      <c r="BW581" s="97"/>
      <c r="BX581" s="1504">
        <v>52140</v>
      </c>
      <c r="BY581" s="19"/>
      <c r="BZ581" s="93"/>
      <c r="CA581" s="93"/>
      <c r="CB581" s="93"/>
      <c r="CC581" s="93"/>
      <c r="CD581" s="25"/>
      <c r="CE581" s="97"/>
      <c r="CF581" s="1504">
        <v>52140</v>
      </c>
      <c r="CG581" s="19"/>
      <c r="CH581" s="93"/>
      <c r="CI581" s="219"/>
      <c r="CJ581" s="20"/>
      <c r="CK581" s="19"/>
      <c r="CL581" s="93"/>
      <c r="CM581" s="93"/>
      <c r="CN581" s="93"/>
      <c r="CO581" s="93"/>
      <c r="CP581" s="20"/>
      <c r="CQ581" s="219"/>
      <c r="CR581" s="93"/>
      <c r="CS581" s="93"/>
      <c r="CT581" s="93"/>
      <c r="CU581" s="93"/>
      <c r="CV581" s="214"/>
      <c r="CW581" s="29"/>
      <c r="CX581" s="41">
        <f t="shared" ref="CX581:CX644" si="363">YEAR(CY581)</f>
        <v>2042</v>
      </c>
      <c r="CY581" s="1504">
        <v>52140</v>
      </c>
      <c r="CZ581" s="19"/>
      <c r="DA581" s="93"/>
      <c r="DB581" s="93"/>
      <c r="DC581" s="93"/>
      <c r="DD581" s="93"/>
      <c r="DE581" s="20"/>
      <c r="DF581" s="29"/>
      <c r="DG581" s="1504">
        <v>52140</v>
      </c>
      <c r="DH581" s="19"/>
      <c r="DI581" s="93"/>
      <c r="DJ581" s="93"/>
      <c r="DK581" s="93"/>
      <c r="DL581" s="93"/>
      <c r="DM581" s="93"/>
      <c r="DN581" s="20"/>
      <c r="DO581" s="295"/>
      <c r="DP581" s="29"/>
      <c r="DQ581" s="1504">
        <v>52140</v>
      </c>
      <c r="DR581" s="19"/>
      <c r="DS581" s="93"/>
      <c r="DT581" s="93"/>
      <c r="DU581" s="93"/>
      <c r="DV581" s="93"/>
      <c r="DW581" s="93"/>
      <c r="DX581" s="20"/>
      <c r="DY581" s="29"/>
      <c r="DZ581" s="1504">
        <v>52140</v>
      </c>
      <c r="EA581" s="19"/>
      <c r="EB581" s="93"/>
      <c r="EC581" s="20"/>
      <c r="ED581" s="29"/>
      <c r="EE581" s="1504">
        <v>52140</v>
      </c>
      <c r="EF581" s="19"/>
      <c r="EG581" s="93"/>
      <c r="EH581" s="93"/>
      <c r="EI581" s="214"/>
      <c r="EJ581" s="93"/>
      <c r="EK581" s="93"/>
      <c r="EL581" s="93"/>
      <c r="EM581" s="93"/>
      <c r="EN581" s="20"/>
      <c r="EO581" s="29"/>
      <c r="EP581" s="1504">
        <v>52140</v>
      </c>
      <c r="EQ581" s="19"/>
      <c r="ER581" s="93"/>
      <c r="ES581" s="93"/>
      <c r="ET581" s="214"/>
      <c r="EU581" s="93"/>
      <c r="EV581" s="93"/>
      <c r="EW581" s="93"/>
      <c r="EX581" s="93"/>
      <c r="EY581" s="20"/>
      <c r="EZ581" s="29"/>
      <c r="FA581" s="1504">
        <v>52140</v>
      </c>
      <c r="FB581" s="29"/>
      <c r="FC581" s="29"/>
      <c r="FD581" s="29"/>
      <c r="FE581" s="29"/>
      <c r="FF581" s="29"/>
      <c r="FG581" s="29"/>
      <c r="FH581" s="29"/>
      <c r="FI581" s="29"/>
      <c r="FJ581" s="29"/>
      <c r="FK581" s="29"/>
      <c r="FL581" s="1504">
        <v>52140</v>
      </c>
      <c r="FM581" s="19"/>
      <c r="FN581" s="93"/>
      <c r="FO581" s="93"/>
      <c r="FP581" s="93"/>
      <c r="FQ581" s="93"/>
      <c r="FR581" s="93"/>
      <c r="FS581" s="93"/>
      <c r="FT581" s="93"/>
      <c r="FU581" s="93"/>
      <c r="FV581" s="93"/>
      <c r="FW581" s="93"/>
      <c r="FX581" s="93"/>
      <c r="FY581" s="93"/>
      <c r="FZ581" s="29"/>
      <c r="GA581" s="1504">
        <v>52140</v>
      </c>
      <c r="GB581" s="19"/>
      <c r="GC581" s="93"/>
      <c r="GD581" s="93"/>
      <c r="GE581" s="93"/>
      <c r="GF581" s="93"/>
      <c r="GG581" s="93"/>
      <c r="GH581" s="93"/>
      <c r="GI581" s="93"/>
      <c r="GJ581" s="93"/>
      <c r="GK581" s="93"/>
      <c r="GL581" s="93"/>
      <c r="GM581" s="93"/>
      <c r="GN581" s="20"/>
      <c r="GO581" s="29"/>
      <c r="GP581" s="1504">
        <v>52140</v>
      </c>
      <c r="GQ581" s="19"/>
      <c r="GR581" s="93"/>
      <c r="GS581" s="93"/>
      <c r="GT581" s="93"/>
      <c r="GU581" s="93"/>
      <c r="GV581" s="20"/>
      <c r="GW581" s="19"/>
      <c r="GX581" s="93"/>
      <c r="GY581" s="93"/>
      <c r="GZ581" s="93"/>
      <c r="HA581" s="93"/>
      <c r="HB581" s="20"/>
      <c r="HC581" s="19"/>
      <c r="HD581" s="93"/>
      <c r="HE581" s="93"/>
      <c r="HF581" s="93"/>
      <c r="HG581" s="93"/>
      <c r="HH581" s="20"/>
      <c r="HI581" s="19"/>
      <c r="HJ581" s="93"/>
      <c r="HK581" s="93"/>
      <c r="HL581" s="93"/>
      <c r="HM581" s="93"/>
      <c r="HN581" s="20"/>
      <c r="HO581" s="219"/>
      <c r="HP581" s="20"/>
      <c r="HQ581" s="25"/>
      <c r="HR581" s="29"/>
      <c r="HS581" s="1504">
        <v>52140</v>
      </c>
      <c r="HT581" s="19"/>
      <c r="HU581" s="93"/>
      <c r="HV581" s="93"/>
      <c r="HW581" s="93"/>
      <c r="HX581" s="93"/>
      <c r="HY581" s="93"/>
      <c r="HZ581" s="93"/>
      <c r="IA581" s="20"/>
      <c r="IB581" s="19"/>
      <c r="IC581" s="93"/>
      <c r="ID581" s="93"/>
      <c r="IE581" s="93"/>
      <c r="IF581" s="93"/>
      <c r="IG581" s="20"/>
      <c r="IH581" s="19"/>
      <c r="II581" s="93"/>
      <c r="IJ581" s="93"/>
      <c r="IK581" s="93"/>
      <c r="IL581" s="93"/>
      <c r="IM581" s="93"/>
      <c r="IN581" s="93"/>
      <c r="IO581" s="20"/>
      <c r="IP581" s="29"/>
      <c r="IQ581" s="19"/>
      <c r="IR581" s="93"/>
      <c r="IS581" s="93"/>
      <c r="IT581" s="93"/>
      <c r="IU581" s="93"/>
      <c r="IV581" s="20"/>
      <c r="IW581" s="29"/>
      <c r="IX581" s="19"/>
      <c r="IY581" s="93"/>
      <c r="IZ581" s="93"/>
      <c r="JA581" s="93"/>
      <c r="JB581" s="93"/>
      <c r="JC581" s="93"/>
      <c r="JD581" s="93"/>
      <c r="JE581" s="20"/>
      <c r="JF581" s="29"/>
      <c r="JG581" s="19"/>
      <c r="JH581" s="93"/>
      <c r="JI581" s="93"/>
      <c r="JJ581" s="93"/>
      <c r="JK581" s="93"/>
      <c r="JL581" s="93"/>
      <c r="JM581" s="93"/>
      <c r="JN581" s="20"/>
      <c r="JO581" s="29"/>
      <c r="JP581" s="19"/>
      <c r="JQ581" s="93"/>
      <c r="JR581" s="93"/>
      <c r="JS581" s="93"/>
      <c r="JT581" s="93"/>
      <c r="JU581" s="20"/>
      <c r="JV581" s="29"/>
      <c r="JW581" s="1504">
        <v>52140</v>
      </c>
      <c r="JX581" s="19"/>
      <c r="JY581" s="93"/>
      <c r="JZ581" s="93"/>
      <c r="KA581" s="93"/>
      <c r="KB581" s="93"/>
      <c r="KC581" s="93"/>
      <c r="KD581" s="20"/>
      <c r="KE581" s="29"/>
      <c r="KF581" s="19"/>
      <c r="KG581" s="93"/>
      <c r="KH581" s="93"/>
      <c r="KI581" s="93"/>
      <c r="KJ581" s="93"/>
      <c r="KK581" s="20"/>
      <c r="KL581" s="29"/>
      <c r="KM581" s="19"/>
      <c r="KN581" s="93"/>
      <c r="KO581" s="93"/>
      <c r="KP581" s="93"/>
      <c r="KQ581" s="93"/>
      <c r="KR581" s="20"/>
      <c r="KS581" s="29"/>
      <c r="KT581" s="19"/>
      <c r="KU581" s="93"/>
      <c r="KV581" s="93"/>
      <c r="KW581" s="93"/>
      <c r="KX581" s="93"/>
      <c r="KY581" s="20"/>
      <c r="KZ581" s="29"/>
      <c r="LA581" s="1504">
        <v>52140</v>
      </c>
      <c r="LB581" s="19"/>
      <c r="LC581" s="93"/>
      <c r="LD581" s="93"/>
      <c r="LE581" s="93"/>
      <c r="LF581" s="93"/>
      <c r="LG581" s="93"/>
      <c r="LH581" s="20"/>
      <c r="LI581" s="29"/>
      <c r="LJ581" s="19"/>
      <c r="LK581" s="93"/>
      <c r="LL581" s="93"/>
      <c r="LM581" s="93"/>
      <c r="LN581" s="93"/>
      <c r="LO581" s="20"/>
      <c r="LP581" s="29"/>
      <c r="LQ581" s="19"/>
      <c r="LR581" s="93"/>
      <c r="LS581" s="93"/>
      <c r="LT581" s="93"/>
      <c r="LU581" s="93"/>
      <c r="LV581" s="93"/>
      <c r="LW581" s="93"/>
      <c r="LX581" s="93"/>
      <c r="LY581" s="93"/>
      <c r="LZ581" s="93"/>
      <c r="MA581" s="20"/>
      <c r="MB581" s="29"/>
      <c r="MC581" s="1504">
        <v>52140</v>
      </c>
      <c r="MD581" s="19"/>
      <c r="ME581" s="93"/>
      <c r="MF581" s="93"/>
      <c r="MG581" s="93"/>
      <c r="MH581" s="93"/>
      <c r="MI581" s="93"/>
      <c r="MJ581" s="93"/>
      <c r="MK581" s="93"/>
      <c r="ML581" s="93"/>
      <c r="MM581" s="93"/>
      <c r="MN581" s="93"/>
      <c r="MO581" s="93"/>
      <c r="MP581" s="93"/>
      <c r="MQ581" s="93"/>
      <c r="MR581" s="93"/>
      <c r="MS581" s="93"/>
      <c r="MT581" s="93"/>
      <c r="MU581" s="93"/>
      <c r="MV581" s="93"/>
      <c r="MW581" s="93"/>
      <c r="MX581" s="93"/>
      <c r="MY581" s="93"/>
      <c r="MZ581" s="93"/>
      <c r="NA581" s="93"/>
      <c r="NB581" s="93"/>
      <c r="NC581" s="93"/>
      <c r="ND581" s="93"/>
      <c r="NE581" s="93"/>
      <c r="NF581" s="93"/>
      <c r="NG581" s="93"/>
      <c r="NH581" s="93"/>
      <c r="NI581" s="93"/>
      <c r="NJ581" s="93"/>
      <c r="NK581" s="93"/>
      <c r="NL581" s="93"/>
      <c r="NM581" s="93"/>
      <c r="NN581" s="93"/>
      <c r="NO581" s="93"/>
      <c r="NP581" s="93"/>
      <c r="NQ581" s="93"/>
      <c r="NR581" s="93"/>
      <c r="NS581" s="93"/>
      <c r="NT581" s="93"/>
      <c r="NU581" s="93"/>
      <c r="NV581" s="93"/>
      <c r="NW581" s="93"/>
      <c r="NX581" s="93"/>
      <c r="NY581" s="93"/>
      <c r="NZ581" s="93"/>
      <c r="OA581" s="93"/>
      <c r="OB581" s="93"/>
      <c r="OC581" s="93"/>
      <c r="OD581" s="20"/>
      <c r="OE581" s="29"/>
      <c r="OF581" s="1504">
        <v>52140</v>
      </c>
      <c r="OG581" s="19"/>
      <c r="OH581" s="93"/>
      <c r="OI581" s="93"/>
      <c r="OJ581" s="93"/>
      <c r="OK581" s="93"/>
      <c r="OL581" s="93"/>
      <c r="OM581" s="93"/>
      <c r="ON581" s="93"/>
      <c r="OO581" s="93"/>
      <c r="OP581" s="93"/>
      <c r="OQ581" s="93"/>
      <c r="OR581" s="93"/>
      <c r="OS581" s="93"/>
      <c r="OT581" s="93"/>
      <c r="OU581" s="93"/>
      <c r="OV581" s="93"/>
      <c r="OW581" s="93"/>
      <c r="OX581" s="93"/>
      <c r="OY581" s="93"/>
      <c r="OZ581" s="93"/>
      <c r="PA581" s="93"/>
      <c r="PB581" s="93"/>
      <c r="PC581" s="20"/>
      <c r="PD581" s="29"/>
      <c r="PE581" s="19"/>
      <c r="PF581" s="93"/>
      <c r="PG581" s="93"/>
      <c r="PH581" s="93"/>
      <c r="PI581" s="93"/>
      <c r="PJ581" s="93"/>
      <c r="PK581" s="93"/>
      <c r="PL581" s="93"/>
      <c r="PM581" s="93"/>
      <c r="PN581" s="93"/>
      <c r="PO581" s="93"/>
      <c r="PP581" s="93"/>
      <c r="PQ581" s="93"/>
      <c r="PR581" s="93"/>
      <c r="PS581" s="93"/>
      <c r="PT581" s="93"/>
      <c r="PU581" s="93"/>
      <c r="PV581" s="93"/>
      <c r="PW581" s="93"/>
      <c r="PX581" s="93"/>
      <c r="PY581" s="93"/>
      <c r="PZ581" s="93"/>
      <c r="QA581" s="93"/>
      <c r="QB581" s="93"/>
      <c r="QC581" s="93"/>
      <c r="QD581" s="93"/>
      <c r="QE581" s="20"/>
      <c r="QF581" s="1739"/>
      <c r="QG581" s="19"/>
      <c r="QH581" s="93"/>
      <c r="QI581" s="93"/>
      <c r="QJ581" s="93"/>
      <c r="QK581" s="93"/>
      <c r="QL581" s="93"/>
      <c r="QM581" s="93"/>
      <c r="QN581" s="93"/>
      <c r="QO581" s="93"/>
      <c r="QP581" s="93"/>
      <c r="QQ581" s="93"/>
      <c r="QR581" s="93"/>
      <c r="QS581" s="93"/>
      <c r="QT581" s="93"/>
      <c r="QU581" s="93"/>
      <c r="QV581" s="93"/>
      <c r="QW581" s="93"/>
      <c r="QX581" s="93"/>
      <c r="QY581" s="93"/>
      <c r="QZ581" s="93"/>
      <c r="RA581" s="93"/>
      <c r="RB581" s="93"/>
      <c r="RC581" s="93"/>
      <c r="RD581" s="93"/>
      <c r="RE581" s="93"/>
      <c r="RF581" s="93"/>
      <c r="RG581" s="93"/>
      <c r="RH581" s="93"/>
      <c r="RI581" s="93"/>
      <c r="RJ581" s="93"/>
      <c r="RK581" s="93"/>
      <c r="RL581" s="93"/>
      <c r="RM581" s="20"/>
      <c r="RN581" s="29"/>
      <c r="RO581" s="19"/>
      <c r="RP581" s="20"/>
      <c r="RQ581" s="29"/>
      <c r="RR581" s="20"/>
      <c r="RS581" s="29"/>
      <c r="RT581" s="1504">
        <v>52140</v>
      </c>
      <c r="RU581" s="19"/>
      <c r="RV581" s="20"/>
      <c r="RW581" s="29"/>
      <c r="RX581" s="1504">
        <v>52140</v>
      </c>
      <c r="RY581" s="29"/>
      <c r="RZ581" s="20"/>
      <c r="SA581" s="29"/>
      <c r="SB581" s="29"/>
    </row>
    <row r="582" spans="1:496">
      <c r="A582" s="41">
        <f t="shared" si="362"/>
        <v>2042</v>
      </c>
      <c r="B582" s="1504">
        <v>52171</v>
      </c>
      <c r="C582" s="1813"/>
      <c r="D582" s="1814"/>
      <c r="E582" s="1814"/>
      <c r="F582" s="1815"/>
      <c r="G582" s="1814"/>
      <c r="H582" s="1814"/>
      <c r="I582" s="1814"/>
      <c r="J582" s="1816"/>
      <c r="K582" s="1807"/>
      <c r="L582" s="25"/>
      <c r="M582" s="97"/>
      <c r="N582" s="1504">
        <v>52171</v>
      </c>
      <c r="O582" s="19"/>
      <c r="P582" s="93"/>
      <c r="Q582" s="93"/>
      <c r="R582" s="93"/>
      <c r="S582" s="93"/>
      <c r="T582" s="93"/>
      <c r="U582" s="93"/>
      <c r="V582" s="93"/>
      <c r="W582" s="93"/>
      <c r="X582" s="93"/>
      <c r="Y582" s="93"/>
      <c r="Z582" s="93"/>
      <c r="AA582" s="93"/>
      <c r="AB582" s="20"/>
      <c r="AC582" s="25"/>
      <c r="AD582" s="97"/>
      <c r="AE582" s="1504">
        <v>52171</v>
      </c>
      <c r="AF582" s="19"/>
      <c r="AG582" s="93"/>
      <c r="AH582" s="93"/>
      <c r="AI582" s="93"/>
      <c r="AJ582" s="93"/>
      <c r="AK582" s="93"/>
      <c r="AL582" s="93"/>
      <c r="AM582" s="93"/>
      <c r="AN582" s="93"/>
      <c r="AO582" s="93"/>
      <c r="AP582" s="93"/>
      <c r="AQ582" s="93"/>
      <c r="AR582" s="93"/>
      <c r="AS582" s="20"/>
      <c r="AT582" s="25"/>
      <c r="AU582" s="97"/>
      <c r="AV582" s="1504">
        <v>52171</v>
      </c>
      <c r="AW582" s="19"/>
      <c r="AX582" s="93"/>
      <c r="AY582" s="93"/>
      <c r="AZ582" s="93"/>
      <c r="BA582" s="93"/>
      <c r="BB582" s="93"/>
      <c r="BC582" s="93"/>
      <c r="BD582" s="93"/>
      <c r="BE582" s="93"/>
      <c r="BF582" s="93"/>
      <c r="BG582" s="93"/>
      <c r="BH582" s="93"/>
      <c r="BI582" s="93"/>
      <c r="BJ582" s="20"/>
      <c r="BK582" s="25"/>
      <c r="BL582" s="97"/>
      <c r="BM582" s="1504">
        <v>52171</v>
      </c>
      <c r="BN582" s="19"/>
      <c r="BO582" s="93"/>
      <c r="BP582" s="93"/>
      <c r="BQ582" s="93"/>
      <c r="BR582" s="93"/>
      <c r="BS582" s="93"/>
      <c r="BT582" s="93"/>
      <c r="BU582" s="20"/>
      <c r="BV582" s="25"/>
      <c r="BW582" s="97"/>
      <c r="BX582" s="1504">
        <v>52171</v>
      </c>
      <c r="BY582" s="19"/>
      <c r="BZ582" s="93"/>
      <c r="CA582" s="93"/>
      <c r="CB582" s="93"/>
      <c r="CC582" s="93"/>
      <c r="CD582" s="25"/>
      <c r="CE582" s="97"/>
      <c r="CF582" s="1504">
        <v>52171</v>
      </c>
      <c r="CG582" s="19"/>
      <c r="CH582" s="93"/>
      <c r="CI582" s="219"/>
      <c r="CJ582" s="20"/>
      <c r="CK582" s="19"/>
      <c r="CL582" s="93"/>
      <c r="CM582" s="93"/>
      <c r="CN582" s="93"/>
      <c r="CO582" s="93"/>
      <c r="CP582" s="20"/>
      <c r="CQ582" s="219"/>
      <c r="CR582" s="93"/>
      <c r="CS582" s="93"/>
      <c r="CT582" s="93"/>
      <c r="CU582" s="93"/>
      <c r="CV582" s="214"/>
      <c r="CW582" s="29"/>
      <c r="CX582" s="41">
        <f t="shared" si="363"/>
        <v>2042</v>
      </c>
      <c r="CY582" s="1504">
        <v>52171</v>
      </c>
      <c r="CZ582" s="19"/>
      <c r="DA582" s="93"/>
      <c r="DB582" s="93"/>
      <c r="DC582" s="93"/>
      <c r="DD582" s="93"/>
      <c r="DE582" s="20"/>
      <c r="DF582" s="29"/>
      <c r="DG582" s="1504">
        <v>52171</v>
      </c>
      <c r="DH582" s="19"/>
      <c r="DI582" s="93"/>
      <c r="DJ582" s="93"/>
      <c r="DK582" s="93"/>
      <c r="DL582" s="93"/>
      <c r="DM582" s="93"/>
      <c r="DN582" s="20"/>
      <c r="DO582" s="295"/>
      <c r="DP582" s="29"/>
      <c r="DQ582" s="1504">
        <v>52171</v>
      </c>
      <c r="DR582" s="19"/>
      <c r="DS582" s="93"/>
      <c r="DT582" s="93"/>
      <c r="DU582" s="93"/>
      <c r="DV582" s="93"/>
      <c r="DW582" s="93"/>
      <c r="DX582" s="20"/>
      <c r="DY582" s="29"/>
      <c r="DZ582" s="1504">
        <v>52171</v>
      </c>
      <c r="EA582" s="19"/>
      <c r="EB582" s="93"/>
      <c r="EC582" s="20"/>
      <c r="ED582" s="29"/>
      <c r="EE582" s="1504">
        <v>52171</v>
      </c>
      <c r="EF582" s="19"/>
      <c r="EG582" s="93"/>
      <c r="EH582" s="93"/>
      <c r="EI582" s="214"/>
      <c r="EJ582" s="93"/>
      <c r="EK582" s="93"/>
      <c r="EL582" s="93"/>
      <c r="EM582" s="93"/>
      <c r="EN582" s="20"/>
      <c r="EO582" s="29"/>
      <c r="EP582" s="1504">
        <v>52171</v>
      </c>
      <c r="EQ582" s="19"/>
      <c r="ER582" s="93"/>
      <c r="ES582" s="93"/>
      <c r="ET582" s="214"/>
      <c r="EU582" s="93"/>
      <c r="EV582" s="93"/>
      <c r="EW582" s="93"/>
      <c r="EX582" s="93"/>
      <c r="EY582" s="20"/>
      <c r="EZ582" s="29"/>
      <c r="FA582" s="1504">
        <v>52171</v>
      </c>
      <c r="FB582" s="29"/>
      <c r="FC582" s="29"/>
      <c r="FD582" s="29"/>
      <c r="FE582" s="29"/>
      <c r="FF582" s="29"/>
      <c r="FG582" s="29"/>
      <c r="FH582" s="29"/>
      <c r="FI582" s="29"/>
      <c r="FJ582" s="29"/>
      <c r="FK582" s="29"/>
      <c r="FL582" s="1504">
        <v>52171</v>
      </c>
      <c r="FM582" s="19"/>
      <c r="FN582" s="93"/>
      <c r="FO582" s="93"/>
      <c r="FP582" s="93"/>
      <c r="FQ582" s="93"/>
      <c r="FR582" s="93"/>
      <c r="FS582" s="93"/>
      <c r="FT582" s="93"/>
      <c r="FU582" s="93"/>
      <c r="FV582" s="93"/>
      <c r="FW582" s="93"/>
      <c r="FX582" s="93"/>
      <c r="FY582" s="93"/>
      <c r="FZ582" s="29"/>
      <c r="GA582" s="1504">
        <v>52171</v>
      </c>
      <c r="GB582" s="19"/>
      <c r="GC582" s="93"/>
      <c r="GD582" s="93"/>
      <c r="GE582" s="93"/>
      <c r="GF582" s="93"/>
      <c r="GG582" s="93"/>
      <c r="GH582" s="93"/>
      <c r="GI582" s="93"/>
      <c r="GJ582" s="93"/>
      <c r="GK582" s="93"/>
      <c r="GL582" s="93"/>
      <c r="GM582" s="93"/>
      <c r="GN582" s="20"/>
      <c r="GO582" s="29"/>
      <c r="GP582" s="1504">
        <v>52171</v>
      </c>
      <c r="GQ582" s="19"/>
      <c r="GR582" s="93"/>
      <c r="GS582" s="93"/>
      <c r="GT582" s="93"/>
      <c r="GU582" s="93"/>
      <c r="GV582" s="20"/>
      <c r="GW582" s="19"/>
      <c r="GX582" s="93"/>
      <c r="GY582" s="93"/>
      <c r="GZ582" s="93"/>
      <c r="HA582" s="93"/>
      <c r="HB582" s="20"/>
      <c r="HC582" s="19"/>
      <c r="HD582" s="93"/>
      <c r="HE582" s="93"/>
      <c r="HF582" s="93"/>
      <c r="HG582" s="93"/>
      <c r="HH582" s="20"/>
      <c r="HI582" s="19"/>
      <c r="HJ582" s="93"/>
      <c r="HK582" s="93"/>
      <c r="HL582" s="93"/>
      <c r="HM582" s="93"/>
      <c r="HN582" s="20"/>
      <c r="HO582" s="219"/>
      <c r="HP582" s="20"/>
      <c r="HQ582" s="25"/>
      <c r="HR582" s="29"/>
      <c r="HS582" s="1504">
        <v>52171</v>
      </c>
      <c r="HT582" s="19"/>
      <c r="HU582" s="93"/>
      <c r="HV582" s="93"/>
      <c r="HW582" s="93"/>
      <c r="HX582" s="93"/>
      <c r="HY582" s="93"/>
      <c r="HZ582" s="93"/>
      <c r="IA582" s="20"/>
      <c r="IB582" s="19"/>
      <c r="IC582" s="93"/>
      <c r="ID582" s="93"/>
      <c r="IE582" s="93"/>
      <c r="IF582" s="93"/>
      <c r="IG582" s="20"/>
      <c r="IH582" s="19"/>
      <c r="II582" s="93"/>
      <c r="IJ582" s="93"/>
      <c r="IK582" s="93"/>
      <c r="IL582" s="93"/>
      <c r="IM582" s="93"/>
      <c r="IN582" s="93"/>
      <c r="IO582" s="20"/>
      <c r="IP582" s="29"/>
      <c r="IQ582" s="19"/>
      <c r="IR582" s="93"/>
      <c r="IS582" s="93"/>
      <c r="IT582" s="93"/>
      <c r="IU582" s="93"/>
      <c r="IV582" s="20"/>
      <c r="IW582" s="29"/>
      <c r="IX582" s="19"/>
      <c r="IY582" s="93"/>
      <c r="IZ582" s="93"/>
      <c r="JA582" s="93"/>
      <c r="JB582" s="93"/>
      <c r="JC582" s="93"/>
      <c r="JD582" s="93"/>
      <c r="JE582" s="20"/>
      <c r="JF582" s="29"/>
      <c r="JG582" s="19"/>
      <c r="JH582" s="93"/>
      <c r="JI582" s="93"/>
      <c r="JJ582" s="93"/>
      <c r="JK582" s="93"/>
      <c r="JL582" s="93"/>
      <c r="JM582" s="93"/>
      <c r="JN582" s="20"/>
      <c r="JO582" s="29"/>
      <c r="JP582" s="19"/>
      <c r="JQ582" s="93"/>
      <c r="JR582" s="93"/>
      <c r="JS582" s="93"/>
      <c r="JT582" s="93"/>
      <c r="JU582" s="20"/>
      <c r="JV582" s="29"/>
      <c r="JW582" s="1504">
        <v>52171</v>
      </c>
      <c r="JX582" s="19"/>
      <c r="JY582" s="93"/>
      <c r="JZ582" s="93"/>
      <c r="KA582" s="93"/>
      <c r="KB582" s="93"/>
      <c r="KC582" s="93"/>
      <c r="KD582" s="20"/>
      <c r="KE582" s="29"/>
      <c r="KF582" s="19"/>
      <c r="KG582" s="93"/>
      <c r="KH582" s="93"/>
      <c r="KI582" s="93"/>
      <c r="KJ582" s="93"/>
      <c r="KK582" s="20"/>
      <c r="KL582" s="29"/>
      <c r="KM582" s="19"/>
      <c r="KN582" s="93"/>
      <c r="KO582" s="93"/>
      <c r="KP582" s="93"/>
      <c r="KQ582" s="93"/>
      <c r="KR582" s="20"/>
      <c r="KS582" s="29"/>
      <c r="KT582" s="19"/>
      <c r="KU582" s="93"/>
      <c r="KV582" s="93"/>
      <c r="KW582" s="93"/>
      <c r="KX582" s="93"/>
      <c r="KY582" s="20"/>
      <c r="KZ582" s="29"/>
      <c r="LA582" s="1504">
        <v>52171</v>
      </c>
      <c r="LB582" s="19"/>
      <c r="LC582" s="93"/>
      <c r="LD582" s="93"/>
      <c r="LE582" s="93"/>
      <c r="LF582" s="93"/>
      <c r="LG582" s="93"/>
      <c r="LH582" s="20"/>
      <c r="LI582" s="29"/>
      <c r="LJ582" s="19"/>
      <c r="LK582" s="93"/>
      <c r="LL582" s="93"/>
      <c r="LM582" s="93"/>
      <c r="LN582" s="93"/>
      <c r="LO582" s="20"/>
      <c r="LP582" s="29"/>
      <c r="LQ582" s="19"/>
      <c r="LR582" s="93"/>
      <c r="LS582" s="93"/>
      <c r="LT582" s="93"/>
      <c r="LU582" s="93"/>
      <c r="LV582" s="93"/>
      <c r="LW582" s="93"/>
      <c r="LX582" s="93"/>
      <c r="LY582" s="93"/>
      <c r="LZ582" s="93"/>
      <c r="MA582" s="20"/>
      <c r="MB582" s="29"/>
      <c r="MC582" s="1504">
        <v>52171</v>
      </c>
      <c r="MD582" s="19"/>
      <c r="ME582" s="93"/>
      <c r="MF582" s="93"/>
      <c r="MG582" s="93"/>
      <c r="MH582" s="93"/>
      <c r="MI582" s="93"/>
      <c r="MJ582" s="93"/>
      <c r="MK582" s="93"/>
      <c r="ML582" s="93"/>
      <c r="MM582" s="93"/>
      <c r="MN582" s="93"/>
      <c r="MO582" s="93"/>
      <c r="MP582" s="93"/>
      <c r="MQ582" s="93"/>
      <c r="MR582" s="93"/>
      <c r="MS582" s="93"/>
      <c r="MT582" s="93"/>
      <c r="MU582" s="93"/>
      <c r="MV582" s="93"/>
      <c r="MW582" s="93"/>
      <c r="MX582" s="93"/>
      <c r="MY582" s="93"/>
      <c r="MZ582" s="93"/>
      <c r="NA582" s="93"/>
      <c r="NB582" s="93"/>
      <c r="NC582" s="93"/>
      <c r="ND582" s="93"/>
      <c r="NE582" s="93"/>
      <c r="NF582" s="93"/>
      <c r="NG582" s="93"/>
      <c r="NH582" s="93"/>
      <c r="NI582" s="93"/>
      <c r="NJ582" s="93"/>
      <c r="NK582" s="93"/>
      <c r="NL582" s="93"/>
      <c r="NM582" s="93"/>
      <c r="NN582" s="93"/>
      <c r="NO582" s="93"/>
      <c r="NP582" s="93"/>
      <c r="NQ582" s="93"/>
      <c r="NR582" s="93"/>
      <c r="NS582" s="93"/>
      <c r="NT582" s="93"/>
      <c r="NU582" s="93"/>
      <c r="NV582" s="93"/>
      <c r="NW582" s="93"/>
      <c r="NX582" s="93"/>
      <c r="NY582" s="93"/>
      <c r="NZ582" s="93"/>
      <c r="OA582" s="93"/>
      <c r="OB582" s="93"/>
      <c r="OC582" s="93"/>
      <c r="OD582" s="20"/>
      <c r="OE582" s="29"/>
      <c r="OF582" s="1504">
        <v>52171</v>
      </c>
      <c r="OG582" s="19"/>
      <c r="OH582" s="93"/>
      <c r="OI582" s="93"/>
      <c r="OJ582" s="93"/>
      <c r="OK582" s="93"/>
      <c r="OL582" s="93"/>
      <c r="OM582" s="93"/>
      <c r="ON582" s="93"/>
      <c r="OO582" s="93"/>
      <c r="OP582" s="93"/>
      <c r="OQ582" s="93"/>
      <c r="OR582" s="93"/>
      <c r="OS582" s="93"/>
      <c r="OT582" s="93"/>
      <c r="OU582" s="93"/>
      <c r="OV582" s="93"/>
      <c r="OW582" s="93"/>
      <c r="OX582" s="93"/>
      <c r="OY582" s="93"/>
      <c r="OZ582" s="93"/>
      <c r="PA582" s="93"/>
      <c r="PB582" s="93"/>
      <c r="PC582" s="20"/>
      <c r="PD582" s="29"/>
      <c r="PE582" s="19"/>
      <c r="PF582" s="93"/>
      <c r="PG582" s="93"/>
      <c r="PH582" s="93"/>
      <c r="PI582" s="93"/>
      <c r="PJ582" s="93"/>
      <c r="PK582" s="93"/>
      <c r="PL582" s="93"/>
      <c r="PM582" s="93"/>
      <c r="PN582" s="93"/>
      <c r="PO582" s="93"/>
      <c r="PP582" s="93"/>
      <c r="PQ582" s="93"/>
      <c r="PR582" s="93"/>
      <c r="PS582" s="93"/>
      <c r="PT582" s="93"/>
      <c r="PU582" s="93"/>
      <c r="PV582" s="93"/>
      <c r="PW582" s="93"/>
      <c r="PX582" s="93"/>
      <c r="PY582" s="93"/>
      <c r="PZ582" s="93"/>
      <c r="QA582" s="93"/>
      <c r="QB582" s="93"/>
      <c r="QC582" s="93"/>
      <c r="QD582" s="93"/>
      <c r="QE582" s="20"/>
      <c r="QF582" s="1739"/>
      <c r="QG582" s="19"/>
      <c r="QH582" s="93"/>
      <c r="QI582" s="93"/>
      <c r="QJ582" s="93"/>
      <c r="QK582" s="93"/>
      <c r="QL582" s="93"/>
      <c r="QM582" s="93"/>
      <c r="QN582" s="93"/>
      <c r="QO582" s="93"/>
      <c r="QP582" s="93"/>
      <c r="QQ582" s="93"/>
      <c r="QR582" s="93"/>
      <c r="QS582" s="93"/>
      <c r="QT582" s="93"/>
      <c r="QU582" s="93"/>
      <c r="QV582" s="93"/>
      <c r="QW582" s="93"/>
      <c r="QX582" s="93"/>
      <c r="QY582" s="93"/>
      <c r="QZ582" s="93"/>
      <c r="RA582" s="93"/>
      <c r="RB582" s="93"/>
      <c r="RC582" s="93"/>
      <c r="RD582" s="93"/>
      <c r="RE582" s="93"/>
      <c r="RF582" s="93"/>
      <c r="RG582" s="93"/>
      <c r="RH582" s="93"/>
      <c r="RI582" s="93"/>
      <c r="RJ582" s="93"/>
      <c r="RK582" s="93"/>
      <c r="RL582" s="93"/>
      <c r="RM582" s="20"/>
      <c r="RN582" s="29"/>
      <c r="RO582" s="19"/>
      <c r="RP582" s="20"/>
      <c r="RQ582" s="29"/>
      <c r="RR582" s="20"/>
      <c r="RS582" s="29"/>
      <c r="RT582" s="1504">
        <v>52171</v>
      </c>
      <c r="RU582" s="19"/>
      <c r="RV582" s="20"/>
      <c r="RW582" s="29"/>
      <c r="RX582" s="1504">
        <v>52171</v>
      </c>
      <c r="RY582" s="29"/>
      <c r="RZ582" s="20"/>
      <c r="SA582" s="29"/>
      <c r="SB582" s="29"/>
    </row>
    <row r="583" spans="1:496">
      <c r="A583" s="41">
        <f t="shared" si="362"/>
        <v>2042</v>
      </c>
      <c r="B583" s="1504">
        <v>52201</v>
      </c>
      <c r="C583" s="1813"/>
      <c r="D583" s="1814"/>
      <c r="E583" s="1814"/>
      <c r="F583" s="1815"/>
      <c r="G583" s="1814"/>
      <c r="H583" s="1814"/>
      <c r="I583" s="1814"/>
      <c r="J583" s="1816"/>
      <c r="K583" s="1807"/>
      <c r="L583" s="25"/>
      <c r="M583" s="97"/>
      <c r="N583" s="1504">
        <v>52201</v>
      </c>
      <c r="O583" s="19"/>
      <c r="P583" s="93"/>
      <c r="Q583" s="93"/>
      <c r="R583" s="93"/>
      <c r="S583" s="93"/>
      <c r="T583" s="93"/>
      <c r="U583" s="93"/>
      <c r="V583" s="93"/>
      <c r="W583" s="93"/>
      <c r="X583" s="93"/>
      <c r="Y583" s="93"/>
      <c r="Z583" s="93"/>
      <c r="AA583" s="93"/>
      <c r="AB583" s="20"/>
      <c r="AC583" s="25"/>
      <c r="AD583" s="97"/>
      <c r="AE583" s="1504">
        <v>52201</v>
      </c>
      <c r="AF583" s="19"/>
      <c r="AG583" s="93"/>
      <c r="AH583" s="93"/>
      <c r="AI583" s="93"/>
      <c r="AJ583" s="93"/>
      <c r="AK583" s="93"/>
      <c r="AL583" s="93"/>
      <c r="AM583" s="93"/>
      <c r="AN583" s="93"/>
      <c r="AO583" s="93"/>
      <c r="AP583" s="93"/>
      <c r="AQ583" s="93"/>
      <c r="AR583" s="93"/>
      <c r="AS583" s="20"/>
      <c r="AT583" s="25"/>
      <c r="AU583" s="97"/>
      <c r="AV583" s="1504">
        <v>52201</v>
      </c>
      <c r="AW583" s="19"/>
      <c r="AX583" s="93"/>
      <c r="AY583" s="93"/>
      <c r="AZ583" s="93"/>
      <c r="BA583" s="93"/>
      <c r="BB583" s="93"/>
      <c r="BC583" s="93"/>
      <c r="BD583" s="93"/>
      <c r="BE583" s="93"/>
      <c r="BF583" s="93"/>
      <c r="BG583" s="93"/>
      <c r="BH583" s="93"/>
      <c r="BI583" s="93"/>
      <c r="BJ583" s="20"/>
      <c r="BK583" s="25"/>
      <c r="BL583" s="97"/>
      <c r="BM583" s="1504">
        <v>52201</v>
      </c>
      <c r="BN583" s="19"/>
      <c r="BO583" s="93"/>
      <c r="BP583" s="93"/>
      <c r="BQ583" s="93"/>
      <c r="BR583" s="93"/>
      <c r="BS583" s="93"/>
      <c r="BT583" s="93"/>
      <c r="BU583" s="20"/>
      <c r="BV583" s="25"/>
      <c r="BW583" s="97"/>
      <c r="BX583" s="1504">
        <v>52201</v>
      </c>
      <c r="BY583" s="19"/>
      <c r="BZ583" s="93"/>
      <c r="CA583" s="93"/>
      <c r="CB583" s="93"/>
      <c r="CC583" s="93"/>
      <c r="CD583" s="25"/>
      <c r="CE583" s="97"/>
      <c r="CF583" s="1504">
        <v>52201</v>
      </c>
      <c r="CG583" s="19"/>
      <c r="CH583" s="93"/>
      <c r="CI583" s="219"/>
      <c r="CJ583" s="20"/>
      <c r="CK583" s="19"/>
      <c r="CL583" s="93"/>
      <c r="CM583" s="93"/>
      <c r="CN583" s="93"/>
      <c r="CO583" s="93"/>
      <c r="CP583" s="20"/>
      <c r="CQ583" s="219"/>
      <c r="CR583" s="93"/>
      <c r="CS583" s="93"/>
      <c r="CT583" s="93"/>
      <c r="CU583" s="93"/>
      <c r="CV583" s="214"/>
      <c r="CW583" s="29"/>
      <c r="CX583" s="41">
        <f t="shared" si="363"/>
        <v>2042</v>
      </c>
      <c r="CY583" s="1504">
        <v>52201</v>
      </c>
      <c r="CZ583" s="19"/>
      <c r="DA583" s="93"/>
      <c r="DB583" s="93"/>
      <c r="DC583" s="93"/>
      <c r="DD583" s="93"/>
      <c r="DE583" s="20"/>
      <c r="DF583" s="29"/>
      <c r="DG583" s="1504">
        <v>52201</v>
      </c>
      <c r="DH583" s="19"/>
      <c r="DI583" s="93"/>
      <c r="DJ583" s="93"/>
      <c r="DK583" s="93"/>
      <c r="DL583" s="93"/>
      <c r="DM583" s="93"/>
      <c r="DN583" s="20"/>
      <c r="DO583" s="295"/>
      <c r="DP583" s="29"/>
      <c r="DQ583" s="1504">
        <v>52201</v>
      </c>
      <c r="DR583" s="19"/>
      <c r="DS583" s="93"/>
      <c r="DT583" s="93"/>
      <c r="DU583" s="93"/>
      <c r="DV583" s="93"/>
      <c r="DW583" s="93"/>
      <c r="DX583" s="20"/>
      <c r="DY583" s="29"/>
      <c r="DZ583" s="1504">
        <v>52201</v>
      </c>
      <c r="EA583" s="19"/>
      <c r="EB583" s="93"/>
      <c r="EC583" s="20"/>
      <c r="ED583" s="29"/>
      <c r="EE583" s="1504">
        <v>52201</v>
      </c>
      <c r="EF583" s="19"/>
      <c r="EG583" s="93"/>
      <c r="EH583" s="93"/>
      <c r="EI583" s="214"/>
      <c r="EJ583" s="93"/>
      <c r="EK583" s="93"/>
      <c r="EL583" s="93"/>
      <c r="EM583" s="93"/>
      <c r="EN583" s="20"/>
      <c r="EO583" s="29"/>
      <c r="EP583" s="1504">
        <v>52201</v>
      </c>
      <c r="EQ583" s="19"/>
      <c r="ER583" s="93"/>
      <c r="ES583" s="93"/>
      <c r="ET583" s="214"/>
      <c r="EU583" s="93"/>
      <c r="EV583" s="93"/>
      <c r="EW583" s="93"/>
      <c r="EX583" s="93"/>
      <c r="EY583" s="20"/>
      <c r="EZ583" s="29"/>
      <c r="FA583" s="1504">
        <v>52201</v>
      </c>
      <c r="FB583" s="29"/>
      <c r="FC583" s="29"/>
      <c r="FD583" s="29"/>
      <c r="FE583" s="29"/>
      <c r="FF583" s="29"/>
      <c r="FG583" s="29"/>
      <c r="FH583" s="29"/>
      <c r="FI583" s="29"/>
      <c r="FJ583" s="29"/>
      <c r="FK583" s="29"/>
      <c r="FL583" s="1504">
        <v>52201</v>
      </c>
      <c r="FM583" s="19"/>
      <c r="FN583" s="93"/>
      <c r="FO583" s="93"/>
      <c r="FP583" s="93"/>
      <c r="FQ583" s="93"/>
      <c r="FR583" s="93"/>
      <c r="FS583" s="93"/>
      <c r="FT583" s="93"/>
      <c r="FU583" s="93"/>
      <c r="FV583" s="93"/>
      <c r="FW583" s="93"/>
      <c r="FX583" s="93"/>
      <c r="FY583" s="93"/>
      <c r="FZ583" s="29"/>
      <c r="GA583" s="1504">
        <v>52201</v>
      </c>
      <c r="GB583" s="19"/>
      <c r="GC583" s="93"/>
      <c r="GD583" s="93"/>
      <c r="GE583" s="93"/>
      <c r="GF583" s="93"/>
      <c r="GG583" s="93"/>
      <c r="GH583" s="93"/>
      <c r="GI583" s="93"/>
      <c r="GJ583" s="93"/>
      <c r="GK583" s="93"/>
      <c r="GL583" s="93"/>
      <c r="GM583" s="93"/>
      <c r="GN583" s="20"/>
      <c r="GO583" s="29"/>
      <c r="GP583" s="1504">
        <v>52201</v>
      </c>
      <c r="GQ583" s="19"/>
      <c r="GR583" s="93"/>
      <c r="GS583" s="93"/>
      <c r="GT583" s="93"/>
      <c r="GU583" s="93"/>
      <c r="GV583" s="20"/>
      <c r="GW583" s="19"/>
      <c r="GX583" s="93"/>
      <c r="GY583" s="93"/>
      <c r="GZ583" s="93"/>
      <c r="HA583" s="93"/>
      <c r="HB583" s="20"/>
      <c r="HC583" s="19"/>
      <c r="HD583" s="93"/>
      <c r="HE583" s="93"/>
      <c r="HF583" s="93"/>
      <c r="HG583" s="93"/>
      <c r="HH583" s="20"/>
      <c r="HI583" s="19"/>
      <c r="HJ583" s="93"/>
      <c r="HK583" s="93"/>
      <c r="HL583" s="93"/>
      <c r="HM583" s="93"/>
      <c r="HN583" s="20"/>
      <c r="HO583" s="219"/>
      <c r="HP583" s="20"/>
      <c r="HQ583" s="25"/>
      <c r="HR583" s="29"/>
      <c r="HS583" s="1504">
        <v>52201</v>
      </c>
      <c r="HT583" s="19"/>
      <c r="HU583" s="93"/>
      <c r="HV583" s="93"/>
      <c r="HW583" s="93"/>
      <c r="HX583" s="93"/>
      <c r="HY583" s="93"/>
      <c r="HZ583" s="93"/>
      <c r="IA583" s="20"/>
      <c r="IB583" s="19"/>
      <c r="IC583" s="93"/>
      <c r="ID583" s="93"/>
      <c r="IE583" s="93"/>
      <c r="IF583" s="93"/>
      <c r="IG583" s="20"/>
      <c r="IH583" s="19"/>
      <c r="II583" s="93"/>
      <c r="IJ583" s="93"/>
      <c r="IK583" s="93"/>
      <c r="IL583" s="93"/>
      <c r="IM583" s="93"/>
      <c r="IN583" s="93"/>
      <c r="IO583" s="20"/>
      <c r="IP583" s="29"/>
      <c r="IQ583" s="19"/>
      <c r="IR583" s="93"/>
      <c r="IS583" s="93"/>
      <c r="IT583" s="93"/>
      <c r="IU583" s="93"/>
      <c r="IV583" s="20"/>
      <c r="IW583" s="29"/>
      <c r="IX583" s="19"/>
      <c r="IY583" s="93"/>
      <c r="IZ583" s="93"/>
      <c r="JA583" s="93"/>
      <c r="JB583" s="93"/>
      <c r="JC583" s="93"/>
      <c r="JD583" s="93"/>
      <c r="JE583" s="20"/>
      <c r="JF583" s="29"/>
      <c r="JG583" s="19"/>
      <c r="JH583" s="93"/>
      <c r="JI583" s="93"/>
      <c r="JJ583" s="93"/>
      <c r="JK583" s="93"/>
      <c r="JL583" s="93"/>
      <c r="JM583" s="93"/>
      <c r="JN583" s="20"/>
      <c r="JO583" s="29"/>
      <c r="JP583" s="19"/>
      <c r="JQ583" s="93"/>
      <c r="JR583" s="93"/>
      <c r="JS583" s="93"/>
      <c r="JT583" s="93"/>
      <c r="JU583" s="20"/>
      <c r="JV583" s="29"/>
      <c r="JW583" s="1504">
        <v>52201</v>
      </c>
      <c r="JX583" s="19"/>
      <c r="JY583" s="93"/>
      <c r="JZ583" s="93"/>
      <c r="KA583" s="93"/>
      <c r="KB583" s="93"/>
      <c r="KC583" s="93"/>
      <c r="KD583" s="20"/>
      <c r="KE583" s="29"/>
      <c r="KF583" s="19"/>
      <c r="KG583" s="93"/>
      <c r="KH583" s="93"/>
      <c r="KI583" s="93"/>
      <c r="KJ583" s="93"/>
      <c r="KK583" s="20"/>
      <c r="KL583" s="29"/>
      <c r="KM583" s="19"/>
      <c r="KN583" s="93"/>
      <c r="KO583" s="93"/>
      <c r="KP583" s="93"/>
      <c r="KQ583" s="93"/>
      <c r="KR583" s="20"/>
      <c r="KS583" s="29"/>
      <c r="KT583" s="19"/>
      <c r="KU583" s="93"/>
      <c r="KV583" s="93"/>
      <c r="KW583" s="93"/>
      <c r="KX583" s="93"/>
      <c r="KY583" s="20"/>
      <c r="KZ583" s="29"/>
      <c r="LA583" s="1504">
        <v>52201</v>
      </c>
      <c r="LB583" s="19"/>
      <c r="LC583" s="93"/>
      <c r="LD583" s="93"/>
      <c r="LE583" s="93"/>
      <c r="LF583" s="93"/>
      <c r="LG583" s="93"/>
      <c r="LH583" s="20"/>
      <c r="LI583" s="29"/>
      <c r="LJ583" s="19"/>
      <c r="LK583" s="93"/>
      <c r="LL583" s="93"/>
      <c r="LM583" s="93"/>
      <c r="LN583" s="93"/>
      <c r="LO583" s="20"/>
      <c r="LP583" s="29"/>
      <c r="LQ583" s="19"/>
      <c r="LR583" s="93"/>
      <c r="LS583" s="93"/>
      <c r="LT583" s="93"/>
      <c r="LU583" s="93"/>
      <c r="LV583" s="93"/>
      <c r="LW583" s="93"/>
      <c r="LX583" s="93"/>
      <c r="LY583" s="93"/>
      <c r="LZ583" s="93"/>
      <c r="MA583" s="20"/>
      <c r="MB583" s="29"/>
      <c r="MC583" s="1504">
        <v>52201</v>
      </c>
      <c r="MD583" s="19"/>
      <c r="ME583" s="93"/>
      <c r="MF583" s="93"/>
      <c r="MG583" s="93"/>
      <c r="MH583" s="93"/>
      <c r="MI583" s="93"/>
      <c r="MJ583" s="93"/>
      <c r="MK583" s="93"/>
      <c r="ML583" s="93"/>
      <c r="MM583" s="93"/>
      <c r="MN583" s="93"/>
      <c r="MO583" s="93"/>
      <c r="MP583" s="93"/>
      <c r="MQ583" s="93"/>
      <c r="MR583" s="93"/>
      <c r="MS583" s="93"/>
      <c r="MT583" s="93"/>
      <c r="MU583" s="93"/>
      <c r="MV583" s="93"/>
      <c r="MW583" s="93"/>
      <c r="MX583" s="93"/>
      <c r="MY583" s="93"/>
      <c r="MZ583" s="93"/>
      <c r="NA583" s="93"/>
      <c r="NB583" s="93"/>
      <c r="NC583" s="93"/>
      <c r="ND583" s="93"/>
      <c r="NE583" s="93"/>
      <c r="NF583" s="93"/>
      <c r="NG583" s="93"/>
      <c r="NH583" s="93"/>
      <c r="NI583" s="93"/>
      <c r="NJ583" s="93"/>
      <c r="NK583" s="93"/>
      <c r="NL583" s="93"/>
      <c r="NM583" s="93"/>
      <c r="NN583" s="93"/>
      <c r="NO583" s="93"/>
      <c r="NP583" s="93"/>
      <c r="NQ583" s="93"/>
      <c r="NR583" s="93"/>
      <c r="NS583" s="93"/>
      <c r="NT583" s="93"/>
      <c r="NU583" s="93"/>
      <c r="NV583" s="93"/>
      <c r="NW583" s="93"/>
      <c r="NX583" s="93"/>
      <c r="NY583" s="93"/>
      <c r="NZ583" s="93"/>
      <c r="OA583" s="93"/>
      <c r="OB583" s="93"/>
      <c r="OC583" s="93"/>
      <c r="OD583" s="20"/>
      <c r="OE583" s="29"/>
      <c r="OF583" s="1504">
        <v>52201</v>
      </c>
      <c r="OG583" s="19"/>
      <c r="OH583" s="93"/>
      <c r="OI583" s="93"/>
      <c r="OJ583" s="93"/>
      <c r="OK583" s="93"/>
      <c r="OL583" s="93"/>
      <c r="OM583" s="93"/>
      <c r="ON583" s="93"/>
      <c r="OO583" s="93"/>
      <c r="OP583" s="93"/>
      <c r="OQ583" s="93"/>
      <c r="OR583" s="93"/>
      <c r="OS583" s="93"/>
      <c r="OT583" s="93"/>
      <c r="OU583" s="93"/>
      <c r="OV583" s="93"/>
      <c r="OW583" s="93"/>
      <c r="OX583" s="93"/>
      <c r="OY583" s="93"/>
      <c r="OZ583" s="93"/>
      <c r="PA583" s="93"/>
      <c r="PB583" s="93"/>
      <c r="PC583" s="20"/>
      <c r="PD583" s="29"/>
      <c r="PE583" s="19"/>
      <c r="PF583" s="93"/>
      <c r="PG583" s="93"/>
      <c r="PH583" s="93"/>
      <c r="PI583" s="93"/>
      <c r="PJ583" s="93"/>
      <c r="PK583" s="93"/>
      <c r="PL583" s="93"/>
      <c r="PM583" s="93"/>
      <c r="PN583" s="93"/>
      <c r="PO583" s="93"/>
      <c r="PP583" s="93"/>
      <c r="PQ583" s="93"/>
      <c r="PR583" s="93"/>
      <c r="PS583" s="93"/>
      <c r="PT583" s="93"/>
      <c r="PU583" s="93"/>
      <c r="PV583" s="93"/>
      <c r="PW583" s="93"/>
      <c r="PX583" s="93"/>
      <c r="PY583" s="93"/>
      <c r="PZ583" s="93"/>
      <c r="QA583" s="93"/>
      <c r="QB583" s="93"/>
      <c r="QC583" s="93"/>
      <c r="QD583" s="93"/>
      <c r="QE583" s="20"/>
      <c r="QF583" s="1739"/>
      <c r="QG583" s="19"/>
      <c r="QH583" s="93"/>
      <c r="QI583" s="93"/>
      <c r="QJ583" s="93"/>
      <c r="QK583" s="93"/>
      <c r="QL583" s="93"/>
      <c r="QM583" s="93"/>
      <c r="QN583" s="93"/>
      <c r="QO583" s="93"/>
      <c r="QP583" s="93"/>
      <c r="QQ583" s="93"/>
      <c r="QR583" s="93"/>
      <c r="QS583" s="93"/>
      <c r="QT583" s="93"/>
      <c r="QU583" s="93"/>
      <c r="QV583" s="93"/>
      <c r="QW583" s="93"/>
      <c r="QX583" s="93"/>
      <c r="QY583" s="93"/>
      <c r="QZ583" s="93"/>
      <c r="RA583" s="93"/>
      <c r="RB583" s="93"/>
      <c r="RC583" s="93"/>
      <c r="RD583" s="93"/>
      <c r="RE583" s="93"/>
      <c r="RF583" s="93"/>
      <c r="RG583" s="93"/>
      <c r="RH583" s="93"/>
      <c r="RI583" s="93"/>
      <c r="RJ583" s="93"/>
      <c r="RK583" s="93"/>
      <c r="RL583" s="93"/>
      <c r="RM583" s="20"/>
      <c r="RN583" s="29"/>
      <c r="RO583" s="19"/>
      <c r="RP583" s="20"/>
      <c r="RQ583" s="29"/>
      <c r="RR583" s="20"/>
      <c r="RS583" s="29"/>
      <c r="RT583" s="1504">
        <v>52201</v>
      </c>
      <c r="RU583" s="19"/>
      <c r="RV583" s="20"/>
      <c r="RW583" s="29"/>
      <c r="RX583" s="1504">
        <v>52201</v>
      </c>
      <c r="RY583" s="29"/>
      <c r="RZ583" s="20"/>
      <c r="SA583" s="29"/>
      <c r="SB583" s="29"/>
    </row>
    <row r="584" spans="1:496">
      <c r="A584" s="41">
        <f t="shared" si="362"/>
        <v>2043</v>
      </c>
      <c r="B584" s="1504">
        <v>52232</v>
      </c>
      <c r="C584" s="1813"/>
      <c r="D584" s="1814"/>
      <c r="E584" s="1814"/>
      <c r="F584" s="1815"/>
      <c r="G584" s="1814"/>
      <c r="H584" s="1814"/>
      <c r="I584" s="1814"/>
      <c r="J584" s="1816"/>
      <c r="K584" s="1807"/>
      <c r="L584" s="25"/>
      <c r="M584" s="97"/>
      <c r="N584" s="1504">
        <v>52232</v>
      </c>
      <c r="O584" s="19"/>
      <c r="P584" s="93"/>
      <c r="Q584" s="93"/>
      <c r="R584" s="93"/>
      <c r="S584" s="93"/>
      <c r="T584" s="93"/>
      <c r="U584" s="93"/>
      <c r="V584" s="93"/>
      <c r="W584" s="93"/>
      <c r="X584" s="93"/>
      <c r="Y584" s="93"/>
      <c r="Z584" s="93"/>
      <c r="AA584" s="93"/>
      <c r="AB584" s="20"/>
      <c r="AC584" s="25"/>
      <c r="AD584" s="97"/>
      <c r="AE584" s="1504">
        <v>52232</v>
      </c>
      <c r="AF584" s="19"/>
      <c r="AG584" s="93"/>
      <c r="AH584" s="93"/>
      <c r="AI584" s="93"/>
      <c r="AJ584" s="93"/>
      <c r="AK584" s="93"/>
      <c r="AL584" s="93"/>
      <c r="AM584" s="93"/>
      <c r="AN584" s="93"/>
      <c r="AO584" s="93"/>
      <c r="AP584" s="93"/>
      <c r="AQ584" s="93"/>
      <c r="AR584" s="93"/>
      <c r="AS584" s="20"/>
      <c r="AT584" s="25"/>
      <c r="AU584" s="97"/>
      <c r="AV584" s="1504">
        <v>52232</v>
      </c>
      <c r="AW584" s="19"/>
      <c r="AX584" s="93"/>
      <c r="AY584" s="93"/>
      <c r="AZ584" s="93"/>
      <c r="BA584" s="93"/>
      <c r="BB584" s="93"/>
      <c r="BC584" s="93"/>
      <c r="BD584" s="93"/>
      <c r="BE584" s="93"/>
      <c r="BF584" s="93"/>
      <c r="BG584" s="93"/>
      <c r="BH584" s="93"/>
      <c r="BI584" s="93"/>
      <c r="BJ584" s="20"/>
      <c r="BK584" s="25"/>
      <c r="BL584" s="97"/>
      <c r="BM584" s="1504">
        <v>52232</v>
      </c>
      <c r="BN584" s="19"/>
      <c r="BO584" s="93"/>
      <c r="BP584" s="93"/>
      <c r="BQ584" s="93"/>
      <c r="BR584" s="93"/>
      <c r="BS584" s="93"/>
      <c r="BT584" s="93"/>
      <c r="BU584" s="20"/>
      <c r="BV584" s="25"/>
      <c r="BW584" s="97"/>
      <c r="BX584" s="1504">
        <v>52232</v>
      </c>
      <c r="BY584" s="19"/>
      <c r="BZ584" s="93"/>
      <c r="CA584" s="93"/>
      <c r="CB584" s="93"/>
      <c r="CC584" s="93"/>
      <c r="CD584" s="25"/>
      <c r="CE584" s="97"/>
      <c r="CF584" s="1504">
        <v>52232</v>
      </c>
      <c r="CG584" s="19"/>
      <c r="CH584" s="93"/>
      <c r="CI584" s="219"/>
      <c r="CJ584" s="20"/>
      <c r="CK584" s="19"/>
      <c r="CL584" s="93"/>
      <c r="CM584" s="93"/>
      <c r="CN584" s="93"/>
      <c r="CO584" s="93"/>
      <c r="CP584" s="20"/>
      <c r="CQ584" s="219"/>
      <c r="CR584" s="93"/>
      <c r="CS584" s="93"/>
      <c r="CT584" s="93"/>
      <c r="CU584" s="93"/>
      <c r="CV584" s="214"/>
      <c r="CW584" s="29"/>
      <c r="CX584" s="41">
        <f t="shared" si="363"/>
        <v>2043</v>
      </c>
      <c r="CY584" s="1504">
        <v>52232</v>
      </c>
      <c r="CZ584" s="19"/>
      <c r="DA584" s="93"/>
      <c r="DB584" s="93"/>
      <c r="DC584" s="93"/>
      <c r="DD584" s="93"/>
      <c r="DE584" s="20"/>
      <c r="DF584" s="29"/>
      <c r="DG584" s="1504">
        <v>52232</v>
      </c>
      <c r="DH584" s="19"/>
      <c r="DI584" s="93"/>
      <c r="DJ584" s="93"/>
      <c r="DK584" s="93"/>
      <c r="DL584" s="93"/>
      <c r="DM584" s="93"/>
      <c r="DN584" s="20"/>
      <c r="DO584" s="295"/>
      <c r="DP584" s="29"/>
      <c r="DQ584" s="1504">
        <v>52232</v>
      </c>
      <c r="DR584" s="19"/>
      <c r="DS584" s="93"/>
      <c r="DT584" s="93"/>
      <c r="DU584" s="93"/>
      <c r="DV584" s="93"/>
      <c r="DW584" s="93"/>
      <c r="DX584" s="20"/>
      <c r="DY584" s="29"/>
      <c r="DZ584" s="1504">
        <v>52232</v>
      </c>
      <c r="EA584" s="19"/>
      <c r="EB584" s="93"/>
      <c r="EC584" s="20"/>
      <c r="ED584" s="29"/>
      <c r="EE584" s="1504">
        <v>52232</v>
      </c>
      <c r="EF584" s="19"/>
      <c r="EG584" s="93"/>
      <c r="EH584" s="93"/>
      <c r="EI584" s="214"/>
      <c r="EJ584" s="93"/>
      <c r="EK584" s="93"/>
      <c r="EL584" s="93"/>
      <c r="EM584" s="93"/>
      <c r="EN584" s="20"/>
      <c r="EO584" s="29"/>
      <c r="EP584" s="1504">
        <v>52232</v>
      </c>
      <c r="EQ584" s="19"/>
      <c r="ER584" s="93"/>
      <c r="ES584" s="93"/>
      <c r="ET584" s="214"/>
      <c r="EU584" s="93"/>
      <c r="EV584" s="93"/>
      <c r="EW584" s="93"/>
      <c r="EX584" s="93"/>
      <c r="EY584" s="20"/>
      <c r="EZ584" s="29"/>
      <c r="FA584" s="1504">
        <v>52232</v>
      </c>
      <c r="FB584" s="29"/>
      <c r="FC584" s="29"/>
      <c r="FD584" s="29"/>
      <c r="FE584" s="29"/>
      <c r="FF584" s="29"/>
      <c r="FG584" s="29"/>
      <c r="FH584" s="29"/>
      <c r="FI584" s="29"/>
      <c r="FJ584" s="29"/>
      <c r="FK584" s="29"/>
      <c r="FL584" s="1504">
        <v>52232</v>
      </c>
      <c r="FM584" s="19"/>
      <c r="FN584" s="93"/>
      <c r="FO584" s="93"/>
      <c r="FP584" s="93"/>
      <c r="FQ584" s="93"/>
      <c r="FR584" s="93"/>
      <c r="FS584" s="93"/>
      <c r="FT584" s="93"/>
      <c r="FU584" s="93"/>
      <c r="FV584" s="93"/>
      <c r="FW584" s="93"/>
      <c r="FX584" s="93"/>
      <c r="FY584" s="93"/>
      <c r="FZ584" s="29"/>
      <c r="GA584" s="1504">
        <v>52232</v>
      </c>
      <c r="GB584" s="19"/>
      <c r="GC584" s="93"/>
      <c r="GD584" s="93"/>
      <c r="GE584" s="93"/>
      <c r="GF584" s="93"/>
      <c r="GG584" s="93"/>
      <c r="GH584" s="93"/>
      <c r="GI584" s="93"/>
      <c r="GJ584" s="93"/>
      <c r="GK584" s="93"/>
      <c r="GL584" s="93"/>
      <c r="GM584" s="93"/>
      <c r="GN584" s="20"/>
      <c r="GO584" s="29"/>
      <c r="GP584" s="1504">
        <v>52232</v>
      </c>
      <c r="GQ584" s="19"/>
      <c r="GR584" s="93"/>
      <c r="GS584" s="93"/>
      <c r="GT584" s="93"/>
      <c r="GU584" s="93"/>
      <c r="GV584" s="20"/>
      <c r="GW584" s="19"/>
      <c r="GX584" s="93"/>
      <c r="GY584" s="93"/>
      <c r="GZ584" s="93"/>
      <c r="HA584" s="93"/>
      <c r="HB584" s="20"/>
      <c r="HC584" s="19"/>
      <c r="HD584" s="93"/>
      <c r="HE584" s="93"/>
      <c r="HF584" s="93"/>
      <c r="HG584" s="93"/>
      <c r="HH584" s="20"/>
      <c r="HI584" s="19"/>
      <c r="HJ584" s="93"/>
      <c r="HK584" s="93"/>
      <c r="HL584" s="93"/>
      <c r="HM584" s="93"/>
      <c r="HN584" s="20"/>
      <c r="HO584" s="219"/>
      <c r="HP584" s="20"/>
      <c r="HQ584" s="25"/>
      <c r="HR584" s="29"/>
      <c r="HS584" s="1504">
        <v>52232</v>
      </c>
      <c r="HT584" s="19"/>
      <c r="HU584" s="93"/>
      <c r="HV584" s="93"/>
      <c r="HW584" s="93"/>
      <c r="HX584" s="93"/>
      <c r="HY584" s="93"/>
      <c r="HZ584" s="93"/>
      <c r="IA584" s="20"/>
      <c r="IB584" s="19"/>
      <c r="IC584" s="93"/>
      <c r="ID584" s="93"/>
      <c r="IE584" s="93"/>
      <c r="IF584" s="93"/>
      <c r="IG584" s="20"/>
      <c r="IH584" s="19"/>
      <c r="II584" s="93"/>
      <c r="IJ584" s="93"/>
      <c r="IK584" s="93"/>
      <c r="IL584" s="93"/>
      <c r="IM584" s="93"/>
      <c r="IN584" s="93"/>
      <c r="IO584" s="20"/>
      <c r="IP584" s="29"/>
      <c r="IQ584" s="19"/>
      <c r="IR584" s="93"/>
      <c r="IS584" s="93"/>
      <c r="IT584" s="93"/>
      <c r="IU584" s="93"/>
      <c r="IV584" s="20"/>
      <c r="IW584" s="29"/>
      <c r="IX584" s="19"/>
      <c r="IY584" s="93"/>
      <c r="IZ584" s="93"/>
      <c r="JA584" s="93"/>
      <c r="JB584" s="93"/>
      <c r="JC584" s="93"/>
      <c r="JD584" s="93"/>
      <c r="JE584" s="20"/>
      <c r="JF584" s="29"/>
      <c r="JG584" s="19"/>
      <c r="JH584" s="93"/>
      <c r="JI584" s="93"/>
      <c r="JJ584" s="93"/>
      <c r="JK584" s="93"/>
      <c r="JL584" s="93"/>
      <c r="JM584" s="93"/>
      <c r="JN584" s="20"/>
      <c r="JO584" s="29"/>
      <c r="JP584" s="19"/>
      <c r="JQ584" s="93"/>
      <c r="JR584" s="93"/>
      <c r="JS584" s="93"/>
      <c r="JT584" s="93"/>
      <c r="JU584" s="20"/>
      <c r="JV584" s="29"/>
      <c r="JW584" s="1504">
        <v>52232</v>
      </c>
      <c r="JX584" s="19"/>
      <c r="JY584" s="93"/>
      <c r="JZ584" s="93"/>
      <c r="KA584" s="93"/>
      <c r="KB584" s="93"/>
      <c r="KC584" s="93"/>
      <c r="KD584" s="20"/>
      <c r="KE584" s="29"/>
      <c r="KF584" s="19"/>
      <c r="KG584" s="93"/>
      <c r="KH584" s="93"/>
      <c r="KI584" s="93"/>
      <c r="KJ584" s="93"/>
      <c r="KK584" s="20"/>
      <c r="KL584" s="29"/>
      <c r="KM584" s="19"/>
      <c r="KN584" s="93"/>
      <c r="KO584" s="93"/>
      <c r="KP584" s="93"/>
      <c r="KQ584" s="93"/>
      <c r="KR584" s="20"/>
      <c r="KS584" s="29"/>
      <c r="KT584" s="19"/>
      <c r="KU584" s="93"/>
      <c r="KV584" s="93"/>
      <c r="KW584" s="93"/>
      <c r="KX584" s="93"/>
      <c r="KY584" s="20"/>
      <c r="KZ584" s="29"/>
      <c r="LA584" s="1504">
        <v>52232</v>
      </c>
      <c r="LB584" s="19"/>
      <c r="LC584" s="93"/>
      <c r="LD584" s="93"/>
      <c r="LE584" s="93"/>
      <c r="LF584" s="93"/>
      <c r="LG584" s="93"/>
      <c r="LH584" s="20"/>
      <c r="LI584" s="29"/>
      <c r="LJ584" s="19"/>
      <c r="LK584" s="93"/>
      <c r="LL584" s="93"/>
      <c r="LM584" s="93"/>
      <c r="LN584" s="93"/>
      <c r="LO584" s="20"/>
      <c r="LP584" s="29"/>
      <c r="LQ584" s="19"/>
      <c r="LR584" s="93"/>
      <c r="LS584" s="93"/>
      <c r="LT584" s="93"/>
      <c r="LU584" s="93"/>
      <c r="LV584" s="93"/>
      <c r="LW584" s="93"/>
      <c r="LX584" s="93"/>
      <c r="LY584" s="93"/>
      <c r="LZ584" s="93"/>
      <c r="MA584" s="20"/>
      <c r="MB584" s="29"/>
      <c r="MC584" s="1504">
        <v>52232</v>
      </c>
      <c r="MD584" s="19"/>
      <c r="ME584" s="93"/>
      <c r="MF584" s="93"/>
      <c r="MG584" s="93"/>
      <c r="MH584" s="93"/>
      <c r="MI584" s="93"/>
      <c r="MJ584" s="93"/>
      <c r="MK584" s="93"/>
      <c r="ML584" s="93"/>
      <c r="MM584" s="93"/>
      <c r="MN584" s="93"/>
      <c r="MO584" s="93"/>
      <c r="MP584" s="93"/>
      <c r="MQ584" s="93"/>
      <c r="MR584" s="93"/>
      <c r="MS584" s="93"/>
      <c r="MT584" s="93"/>
      <c r="MU584" s="93"/>
      <c r="MV584" s="93"/>
      <c r="MW584" s="93"/>
      <c r="MX584" s="93"/>
      <c r="MY584" s="93"/>
      <c r="MZ584" s="93"/>
      <c r="NA584" s="93"/>
      <c r="NB584" s="93"/>
      <c r="NC584" s="93"/>
      <c r="ND584" s="93"/>
      <c r="NE584" s="93"/>
      <c r="NF584" s="93"/>
      <c r="NG584" s="93"/>
      <c r="NH584" s="93"/>
      <c r="NI584" s="93"/>
      <c r="NJ584" s="93"/>
      <c r="NK584" s="93"/>
      <c r="NL584" s="93"/>
      <c r="NM584" s="93"/>
      <c r="NN584" s="93"/>
      <c r="NO584" s="93"/>
      <c r="NP584" s="93"/>
      <c r="NQ584" s="93"/>
      <c r="NR584" s="93"/>
      <c r="NS584" s="93"/>
      <c r="NT584" s="93"/>
      <c r="NU584" s="93"/>
      <c r="NV584" s="93"/>
      <c r="NW584" s="93"/>
      <c r="NX584" s="93"/>
      <c r="NY584" s="93"/>
      <c r="NZ584" s="93"/>
      <c r="OA584" s="93"/>
      <c r="OB584" s="93"/>
      <c r="OC584" s="93"/>
      <c r="OD584" s="20"/>
      <c r="OE584" s="29"/>
      <c r="OF584" s="1504">
        <v>52232</v>
      </c>
      <c r="OG584" s="19"/>
      <c r="OH584" s="93"/>
      <c r="OI584" s="93"/>
      <c r="OJ584" s="93"/>
      <c r="OK584" s="93"/>
      <c r="OL584" s="93"/>
      <c r="OM584" s="93"/>
      <c r="ON584" s="93"/>
      <c r="OO584" s="93"/>
      <c r="OP584" s="93"/>
      <c r="OQ584" s="93"/>
      <c r="OR584" s="93"/>
      <c r="OS584" s="93"/>
      <c r="OT584" s="93"/>
      <c r="OU584" s="93"/>
      <c r="OV584" s="93"/>
      <c r="OW584" s="93"/>
      <c r="OX584" s="93"/>
      <c r="OY584" s="93"/>
      <c r="OZ584" s="93"/>
      <c r="PA584" s="93"/>
      <c r="PB584" s="93"/>
      <c r="PC584" s="20"/>
      <c r="PD584" s="29"/>
      <c r="PE584" s="19"/>
      <c r="PF584" s="93"/>
      <c r="PG584" s="93"/>
      <c r="PH584" s="93"/>
      <c r="PI584" s="93"/>
      <c r="PJ584" s="93"/>
      <c r="PK584" s="93"/>
      <c r="PL584" s="93"/>
      <c r="PM584" s="93"/>
      <c r="PN584" s="93"/>
      <c r="PO584" s="93"/>
      <c r="PP584" s="93"/>
      <c r="PQ584" s="93"/>
      <c r="PR584" s="93"/>
      <c r="PS584" s="93"/>
      <c r="PT584" s="93"/>
      <c r="PU584" s="93"/>
      <c r="PV584" s="93"/>
      <c r="PW584" s="93"/>
      <c r="PX584" s="93"/>
      <c r="PY584" s="93"/>
      <c r="PZ584" s="93"/>
      <c r="QA584" s="93"/>
      <c r="QB584" s="93"/>
      <c r="QC584" s="93"/>
      <c r="QD584" s="93"/>
      <c r="QE584" s="20"/>
      <c r="QF584" s="1739"/>
      <c r="QG584" s="19"/>
      <c r="QH584" s="93"/>
      <c r="QI584" s="93"/>
      <c r="QJ584" s="93"/>
      <c r="QK584" s="93"/>
      <c r="QL584" s="93"/>
      <c r="QM584" s="93"/>
      <c r="QN584" s="93"/>
      <c r="QO584" s="93"/>
      <c r="QP584" s="93"/>
      <c r="QQ584" s="93"/>
      <c r="QR584" s="93"/>
      <c r="QS584" s="93"/>
      <c r="QT584" s="93"/>
      <c r="QU584" s="93"/>
      <c r="QV584" s="93"/>
      <c r="QW584" s="93"/>
      <c r="QX584" s="93"/>
      <c r="QY584" s="93"/>
      <c r="QZ584" s="93"/>
      <c r="RA584" s="93"/>
      <c r="RB584" s="93"/>
      <c r="RC584" s="93"/>
      <c r="RD584" s="93"/>
      <c r="RE584" s="93"/>
      <c r="RF584" s="93"/>
      <c r="RG584" s="93"/>
      <c r="RH584" s="93"/>
      <c r="RI584" s="93"/>
      <c r="RJ584" s="93"/>
      <c r="RK584" s="93"/>
      <c r="RL584" s="93"/>
      <c r="RM584" s="20"/>
      <c r="RN584" s="29"/>
      <c r="RO584" s="19"/>
      <c r="RP584" s="20"/>
      <c r="RQ584" s="29"/>
      <c r="RR584" s="20"/>
      <c r="RS584" s="29"/>
      <c r="RT584" s="1504">
        <v>52232</v>
      </c>
      <c r="RU584" s="19"/>
      <c r="RV584" s="20"/>
      <c r="RW584" s="29"/>
      <c r="RX584" s="1504">
        <v>52232</v>
      </c>
      <c r="RY584" s="29"/>
      <c r="RZ584" s="20"/>
      <c r="SA584" s="29"/>
      <c r="SB584" s="29"/>
    </row>
    <row r="585" spans="1:496">
      <c r="A585" s="41">
        <f t="shared" si="362"/>
        <v>2043</v>
      </c>
      <c r="B585" s="1504">
        <v>52263</v>
      </c>
      <c r="C585" s="1813"/>
      <c r="D585" s="1814"/>
      <c r="E585" s="1814"/>
      <c r="F585" s="1815"/>
      <c r="G585" s="1814"/>
      <c r="H585" s="1814"/>
      <c r="I585" s="1814"/>
      <c r="J585" s="1816"/>
      <c r="K585" s="1807"/>
      <c r="L585" s="25"/>
      <c r="M585" s="97"/>
      <c r="N585" s="1504">
        <v>52263</v>
      </c>
      <c r="O585" s="19"/>
      <c r="P585" s="93"/>
      <c r="Q585" s="93"/>
      <c r="R585" s="93"/>
      <c r="S585" s="93"/>
      <c r="T585" s="93"/>
      <c r="U585" s="93"/>
      <c r="V585" s="93"/>
      <c r="W585" s="93"/>
      <c r="X585" s="93"/>
      <c r="Y585" s="93"/>
      <c r="Z585" s="93"/>
      <c r="AA585" s="93"/>
      <c r="AB585" s="20"/>
      <c r="AC585" s="25"/>
      <c r="AD585" s="97"/>
      <c r="AE585" s="1504">
        <v>52263</v>
      </c>
      <c r="AF585" s="19"/>
      <c r="AG585" s="93"/>
      <c r="AH585" s="93"/>
      <c r="AI585" s="93"/>
      <c r="AJ585" s="93"/>
      <c r="AK585" s="93"/>
      <c r="AL585" s="93"/>
      <c r="AM585" s="93"/>
      <c r="AN585" s="93"/>
      <c r="AO585" s="93"/>
      <c r="AP585" s="93"/>
      <c r="AQ585" s="93"/>
      <c r="AR585" s="93"/>
      <c r="AS585" s="20"/>
      <c r="AT585" s="25"/>
      <c r="AU585" s="97"/>
      <c r="AV585" s="1504">
        <v>52263</v>
      </c>
      <c r="AW585" s="19"/>
      <c r="AX585" s="93"/>
      <c r="AY585" s="93"/>
      <c r="AZ585" s="93"/>
      <c r="BA585" s="93"/>
      <c r="BB585" s="93"/>
      <c r="BC585" s="93"/>
      <c r="BD585" s="93"/>
      <c r="BE585" s="93"/>
      <c r="BF585" s="93"/>
      <c r="BG585" s="93"/>
      <c r="BH585" s="93"/>
      <c r="BI585" s="93"/>
      <c r="BJ585" s="20"/>
      <c r="BK585" s="25"/>
      <c r="BL585" s="97"/>
      <c r="BM585" s="1504">
        <v>52263</v>
      </c>
      <c r="BN585" s="19"/>
      <c r="BO585" s="93"/>
      <c r="BP585" s="93"/>
      <c r="BQ585" s="93"/>
      <c r="BR585" s="93"/>
      <c r="BS585" s="93"/>
      <c r="BT585" s="93"/>
      <c r="BU585" s="20"/>
      <c r="BV585" s="25"/>
      <c r="BW585" s="97"/>
      <c r="BX585" s="1504">
        <v>52263</v>
      </c>
      <c r="BY585" s="19"/>
      <c r="BZ585" s="93"/>
      <c r="CA585" s="93"/>
      <c r="CB585" s="93"/>
      <c r="CC585" s="93"/>
      <c r="CD585" s="25"/>
      <c r="CE585" s="97"/>
      <c r="CF585" s="1504">
        <v>52263</v>
      </c>
      <c r="CG585" s="19"/>
      <c r="CH585" s="93"/>
      <c r="CI585" s="219"/>
      <c r="CJ585" s="20"/>
      <c r="CK585" s="19"/>
      <c r="CL585" s="93"/>
      <c r="CM585" s="93"/>
      <c r="CN585" s="93"/>
      <c r="CO585" s="93"/>
      <c r="CP585" s="20"/>
      <c r="CQ585" s="219"/>
      <c r="CR585" s="93"/>
      <c r="CS585" s="93"/>
      <c r="CT585" s="93"/>
      <c r="CU585" s="93"/>
      <c r="CV585" s="214"/>
      <c r="CW585" s="29"/>
      <c r="CX585" s="41">
        <f t="shared" si="363"/>
        <v>2043</v>
      </c>
      <c r="CY585" s="1504">
        <v>52263</v>
      </c>
      <c r="CZ585" s="19"/>
      <c r="DA585" s="93"/>
      <c r="DB585" s="93"/>
      <c r="DC585" s="93"/>
      <c r="DD585" s="93"/>
      <c r="DE585" s="20"/>
      <c r="DF585" s="29"/>
      <c r="DG585" s="1504">
        <v>52263</v>
      </c>
      <c r="DH585" s="19"/>
      <c r="DI585" s="93"/>
      <c r="DJ585" s="93"/>
      <c r="DK585" s="93"/>
      <c r="DL585" s="93"/>
      <c r="DM585" s="93"/>
      <c r="DN585" s="20"/>
      <c r="DO585" s="295"/>
      <c r="DP585" s="29"/>
      <c r="DQ585" s="1504">
        <v>52263</v>
      </c>
      <c r="DR585" s="19"/>
      <c r="DS585" s="93"/>
      <c r="DT585" s="93"/>
      <c r="DU585" s="93"/>
      <c r="DV585" s="93"/>
      <c r="DW585" s="93"/>
      <c r="DX585" s="20"/>
      <c r="DY585" s="29"/>
      <c r="DZ585" s="1504">
        <v>52263</v>
      </c>
      <c r="EA585" s="19"/>
      <c r="EB585" s="93"/>
      <c r="EC585" s="20"/>
      <c r="ED585" s="29"/>
      <c r="EE585" s="1504">
        <v>52263</v>
      </c>
      <c r="EF585" s="19"/>
      <c r="EG585" s="93"/>
      <c r="EH585" s="93"/>
      <c r="EI585" s="214"/>
      <c r="EJ585" s="93"/>
      <c r="EK585" s="93"/>
      <c r="EL585" s="93"/>
      <c r="EM585" s="93"/>
      <c r="EN585" s="20"/>
      <c r="EO585" s="29"/>
      <c r="EP585" s="1504">
        <v>52263</v>
      </c>
      <c r="EQ585" s="19"/>
      <c r="ER585" s="93"/>
      <c r="ES585" s="93"/>
      <c r="ET585" s="214"/>
      <c r="EU585" s="93"/>
      <c r="EV585" s="93"/>
      <c r="EW585" s="93"/>
      <c r="EX585" s="93"/>
      <c r="EY585" s="20"/>
      <c r="EZ585" s="29"/>
      <c r="FA585" s="1504">
        <v>52263</v>
      </c>
      <c r="FB585" s="29"/>
      <c r="FC585" s="29"/>
      <c r="FD585" s="29"/>
      <c r="FE585" s="29"/>
      <c r="FF585" s="29"/>
      <c r="FG585" s="29"/>
      <c r="FH585" s="29"/>
      <c r="FI585" s="29"/>
      <c r="FJ585" s="29"/>
      <c r="FK585" s="29"/>
      <c r="FL585" s="1504">
        <v>52263</v>
      </c>
      <c r="FM585" s="19"/>
      <c r="FN585" s="93"/>
      <c r="FO585" s="93"/>
      <c r="FP585" s="93"/>
      <c r="FQ585" s="93"/>
      <c r="FR585" s="93"/>
      <c r="FS585" s="93"/>
      <c r="FT585" s="93"/>
      <c r="FU585" s="93"/>
      <c r="FV585" s="93"/>
      <c r="FW585" s="93"/>
      <c r="FX585" s="93"/>
      <c r="FY585" s="93"/>
      <c r="FZ585" s="29"/>
      <c r="GA585" s="1504">
        <v>52263</v>
      </c>
      <c r="GB585" s="19"/>
      <c r="GC585" s="93"/>
      <c r="GD585" s="93"/>
      <c r="GE585" s="93"/>
      <c r="GF585" s="93"/>
      <c r="GG585" s="93"/>
      <c r="GH585" s="93"/>
      <c r="GI585" s="93"/>
      <c r="GJ585" s="93"/>
      <c r="GK585" s="93"/>
      <c r="GL585" s="93"/>
      <c r="GM585" s="93"/>
      <c r="GN585" s="20"/>
      <c r="GO585" s="29"/>
      <c r="GP585" s="1504">
        <v>52263</v>
      </c>
      <c r="GQ585" s="19"/>
      <c r="GR585" s="93"/>
      <c r="GS585" s="93"/>
      <c r="GT585" s="93"/>
      <c r="GU585" s="93"/>
      <c r="GV585" s="20"/>
      <c r="GW585" s="19"/>
      <c r="GX585" s="93"/>
      <c r="GY585" s="93"/>
      <c r="GZ585" s="93"/>
      <c r="HA585" s="93"/>
      <c r="HB585" s="20"/>
      <c r="HC585" s="19"/>
      <c r="HD585" s="93"/>
      <c r="HE585" s="93"/>
      <c r="HF585" s="93"/>
      <c r="HG585" s="93"/>
      <c r="HH585" s="20"/>
      <c r="HI585" s="19"/>
      <c r="HJ585" s="93"/>
      <c r="HK585" s="93"/>
      <c r="HL585" s="93"/>
      <c r="HM585" s="93"/>
      <c r="HN585" s="20"/>
      <c r="HO585" s="219"/>
      <c r="HP585" s="20"/>
      <c r="HQ585" s="25"/>
      <c r="HR585" s="29"/>
      <c r="HS585" s="1504">
        <v>52263</v>
      </c>
      <c r="HT585" s="19"/>
      <c r="HU585" s="93"/>
      <c r="HV585" s="93"/>
      <c r="HW585" s="93"/>
      <c r="HX585" s="93"/>
      <c r="HY585" s="93"/>
      <c r="HZ585" s="93"/>
      <c r="IA585" s="20"/>
      <c r="IB585" s="19"/>
      <c r="IC585" s="93"/>
      <c r="ID585" s="93"/>
      <c r="IE585" s="93"/>
      <c r="IF585" s="93"/>
      <c r="IG585" s="20"/>
      <c r="IH585" s="19"/>
      <c r="II585" s="93"/>
      <c r="IJ585" s="93"/>
      <c r="IK585" s="93"/>
      <c r="IL585" s="93"/>
      <c r="IM585" s="93"/>
      <c r="IN585" s="93"/>
      <c r="IO585" s="20"/>
      <c r="IP585" s="29"/>
      <c r="IQ585" s="19"/>
      <c r="IR585" s="93"/>
      <c r="IS585" s="93"/>
      <c r="IT585" s="93"/>
      <c r="IU585" s="93"/>
      <c r="IV585" s="20"/>
      <c r="IW585" s="29"/>
      <c r="IX585" s="19"/>
      <c r="IY585" s="93"/>
      <c r="IZ585" s="93"/>
      <c r="JA585" s="93"/>
      <c r="JB585" s="93"/>
      <c r="JC585" s="93"/>
      <c r="JD585" s="93"/>
      <c r="JE585" s="20"/>
      <c r="JF585" s="29"/>
      <c r="JG585" s="19"/>
      <c r="JH585" s="93"/>
      <c r="JI585" s="93"/>
      <c r="JJ585" s="93"/>
      <c r="JK585" s="93"/>
      <c r="JL585" s="93"/>
      <c r="JM585" s="93"/>
      <c r="JN585" s="20"/>
      <c r="JO585" s="29"/>
      <c r="JP585" s="19"/>
      <c r="JQ585" s="93"/>
      <c r="JR585" s="93"/>
      <c r="JS585" s="93"/>
      <c r="JT585" s="93"/>
      <c r="JU585" s="20"/>
      <c r="JV585" s="29"/>
      <c r="JW585" s="1504">
        <v>52263</v>
      </c>
      <c r="JX585" s="19"/>
      <c r="JY585" s="93"/>
      <c r="JZ585" s="93"/>
      <c r="KA585" s="93"/>
      <c r="KB585" s="93"/>
      <c r="KC585" s="93"/>
      <c r="KD585" s="20"/>
      <c r="KE585" s="29"/>
      <c r="KF585" s="19"/>
      <c r="KG585" s="93"/>
      <c r="KH585" s="93"/>
      <c r="KI585" s="93"/>
      <c r="KJ585" s="93"/>
      <c r="KK585" s="20"/>
      <c r="KL585" s="29"/>
      <c r="KM585" s="19"/>
      <c r="KN585" s="93"/>
      <c r="KO585" s="93"/>
      <c r="KP585" s="93"/>
      <c r="KQ585" s="93"/>
      <c r="KR585" s="20"/>
      <c r="KS585" s="29"/>
      <c r="KT585" s="19"/>
      <c r="KU585" s="93"/>
      <c r="KV585" s="93"/>
      <c r="KW585" s="93"/>
      <c r="KX585" s="93"/>
      <c r="KY585" s="20"/>
      <c r="KZ585" s="29"/>
      <c r="LA585" s="1504">
        <v>52263</v>
      </c>
      <c r="LB585" s="19"/>
      <c r="LC585" s="93"/>
      <c r="LD585" s="93"/>
      <c r="LE585" s="93"/>
      <c r="LF585" s="93"/>
      <c r="LG585" s="93"/>
      <c r="LH585" s="20"/>
      <c r="LI585" s="29"/>
      <c r="LJ585" s="19"/>
      <c r="LK585" s="93"/>
      <c r="LL585" s="93"/>
      <c r="LM585" s="93"/>
      <c r="LN585" s="93"/>
      <c r="LO585" s="20"/>
      <c r="LP585" s="29"/>
      <c r="LQ585" s="19"/>
      <c r="LR585" s="93"/>
      <c r="LS585" s="93"/>
      <c r="LT585" s="93"/>
      <c r="LU585" s="93"/>
      <c r="LV585" s="93"/>
      <c r="LW585" s="93"/>
      <c r="LX585" s="93"/>
      <c r="LY585" s="93"/>
      <c r="LZ585" s="93"/>
      <c r="MA585" s="20"/>
      <c r="MB585" s="29"/>
      <c r="MC585" s="1504">
        <v>52263</v>
      </c>
      <c r="MD585" s="19"/>
      <c r="ME585" s="93"/>
      <c r="MF585" s="93"/>
      <c r="MG585" s="93"/>
      <c r="MH585" s="93"/>
      <c r="MI585" s="93"/>
      <c r="MJ585" s="93"/>
      <c r="MK585" s="93"/>
      <c r="ML585" s="93"/>
      <c r="MM585" s="93"/>
      <c r="MN585" s="93"/>
      <c r="MO585" s="93"/>
      <c r="MP585" s="93"/>
      <c r="MQ585" s="93"/>
      <c r="MR585" s="93"/>
      <c r="MS585" s="93"/>
      <c r="MT585" s="93"/>
      <c r="MU585" s="93"/>
      <c r="MV585" s="93"/>
      <c r="MW585" s="93"/>
      <c r="MX585" s="93"/>
      <c r="MY585" s="93"/>
      <c r="MZ585" s="93"/>
      <c r="NA585" s="93"/>
      <c r="NB585" s="93"/>
      <c r="NC585" s="93"/>
      <c r="ND585" s="93"/>
      <c r="NE585" s="93"/>
      <c r="NF585" s="93"/>
      <c r="NG585" s="93"/>
      <c r="NH585" s="93"/>
      <c r="NI585" s="93"/>
      <c r="NJ585" s="93"/>
      <c r="NK585" s="93"/>
      <c r="NL585" s="93"/>
      <c r="NM585" s="93"/>
      <c r="NN585" s="93"/>
      <c r="NO585" s="93"/>
      <c r="NP585" s="93"/>
      <c r="NQ585" s="93"/>
      <c r="NR585" s="93"/>
      <c r="NS585" s="93"/>
      <c r="NT585" s="93"/>
      <c r="NU585" s="93"/>
      <c r="NV585" s="93"/>
      <c r="NW585" s="93"/>
      <c r="NX585" s="93"/>
      <c r="NY585" s="93"/>
      <c r="NZ585" s="93"/>
      <c r="OA585" s="93"/>
      <c r="OB585" s="93"/>
      <c r="OC585" s="93"/>
      <c r="OD585" s="20"/>
      <c r="OE585" s="29"/>
      <c r="OF585" s="1504">
        <v>52263</v>
      </c>
      <c r="OG585" s="19"/>
      <c r="OH585" s="93"/>
      <c r="OI585" s="93"/>
      <c r="OJ585" s="93"/>
      <c r="OK585" s="93"/>
      <c r="OL585" s="93"/>
      <c r="OM585" s="93"/>
      <c r="ON585" s="93"/>
      <c r="OO585" s="93"/>
      <c r="OP585" s="93"/>
      <c r="OQ585" s="93"/>
      <c r="OR585" s="93"/>
      <c r="OS585" s="93"/>
      <c r="OT585" s="93"/>
      <c r="OU585" s="93"/>
      <c r="OV585" s="93"/>
      <c r="OW585" s="93"/>
      <c r="OX585" s="93"/>
      <c r="OY585" s="93"/>
      <c r="OZ585" s="93"/>
      <c r="PA585" s="93"/>
      <c r="PB585" s="93"/>
      <c r="PC585" s="20"/>
      <c r="PD585" s="29"/>
      <c r="PE585" s="19"/>
      <c r="PF585" s="93"/>
      <c r="PG585" s="93"/>
      <c r="PH585" s="93"/>
      <c r="PI585" s="93"/>
      <c r="PJ585" s="93"/>
      <c r="PK585" s="93"/>
      <c r="PL585" s="93"/>
      <c r="PM585" s="93"/>
      <c r="PN585" s="93"/>
      <c r="PO585" s="93"/>
      <c r="PP585" s="93"/>
      <c r="PQ585" s="93"/>
      <c r="PR585" s="93"/>
      <c r="PS585" s="93"/>
      <c r="PT585" s="93"/>
      <c r="PU585" s="93"/>
      <c r="PV585" s="93"/>
      <c r="PW585" s="93"/>
      <c r="PX585" s="93"/>
      <c r="PY585" s="93"/>
      <c r="PZ585" s="93"/>
      <c r="QA585" s="93"/>
      <c r="QB585" s="93"/>
      <c r="QC585" s="93"/>
      <c r="QD585" s="93"/>
      <c r="QE585" s="20"/>
      <c r="QF585" s="1739"/>
      <c r="QG585" s="19"/>
      <c r="QH585" s="93"/>
      <c r="QI585" s="93"/>
      <c r="QJ585" s="93"/>
      <c r="QK585" s="93"/>
      <c r="QL585" s="93"/>
      <c r="QM585" s="93"/>
      <c r="QN585" s="93"/>
      <c r="QO585" s="93"/>
      <c r="QP585" s="93"/>
      <c r="QQ585" s="93"/>
      <c r="QR585" s="93"/>
      <c r="QS585" s="93"/>
      <c r="QT585" s="93"/>
      <c r="QU585" s="93"/>
      <c r="QV585" s="93"/>
      <c r="QW585" s="93"/>
      <c r="QX585" s="93"/>
      <c r="QY585" s="93"/>
      <c r="QZ585" s="93"/>
      <c r="RA585" s="93"/>
      <c r="RB585" s="93"/>
      <c r="RC585" s="93"/>
      <c r="RD585" s="93"/>
      <c r="RE585" s="93"/>
      <c r="RF585" s="93"/>
      <c r="RG585" s="93"/>
      <c r="RH585" s="93"/>
      <c r="RI585" s="93"/>
      <c r="RJ585" s="93"/>
      <c r="RK585" s="93"/>
      <c r="RL585" s="93"/>
      <c r="RM585" s="20"/>
      <c r="RN585" s="29"/>
      <c r="RO585" s="19"/>
      <c r="RP585" s="20"/>
      <c r="RQ585" s="29"/>
      <c r="RR585" s="20"/>
      <c r="RS585" s="29"/>
      <c r="RT585" s="1504">
        <v>52263</v>
      </c>
      <c r="RU585" s="19"/>
      <c r="RV585" s="20"/>
      <c r="RW585" s="29"/>
      <c r="RX585" s="1504">
        <v>52263</v>
      </c>
      <c r="RY585" s="29"/>
      <c r="RZ585" s="20"/>
      <c r="SA585" s="29"/>
      <c r="SB585" s="29"/>
    </row>
    <row r="586" spans="1:496">
      <c r="A586" s="41">
        <f t="shared" si="362"/>
        <v>2043</v>
      </c>
      <c r="B586" s="1504">
        <v>52291</v>
      </c>
      <c r="C586" s="1813"/>
      <c r="D586" s="1814"/>
      <c r="E586" s="1814"/>
      <c r="F586" s="1815"/>
      <c r="G586" s="1814"/>
      <c r="H586" s="1814"/>
      <c r="I586" s="1814"/>
      <c r="J586" s="1816"/>
      <c r="K586" s="1807"/>
      <c r="L586" s="25"/>
      <c r="M586" s="97"/>
      <c r="N586" s="1504">
        <v>52291</v>
      </c>
      <c r="O586" s="19"/>
      <c r="P586" s="93"/>
      <c r="Q586" s="93"/>
      <c r="R586" s="93"/>
      <c r="S586" s="93"/>
      <c r="T586" s="93"/>
      <c r="U586" s="93"/>
      <c r="V586" s="93"/>
      <c r="W586" s="93"/>
      <c r="X586" s="93"/>
      <c r="Y586" s="93"/>
      <c r="Z586" s="93"/>
      <c r="AA586" s="93"/>
      <c r="AB586" s="20"/>
      <c r="AC586" s="25"/>
      <c r="AD586" s="97"/>
      <c r="AE586" s="1504">
        <v>52291</v>
      </c>
      <c r="AF586" s="19"/>
      <c r="AG586" s="93"/>
      <c r="AH586" s="93"/>
      <c r="AI586" s="93"/>
      <c r="AJ586" s="93"/>
      <c r="AK586" s="93"/>
      <c r="AL586" s="93"/>
      <c r="AM586" s="93"/>
      <c r="AN586" s="93"/>
      <c r="AO586" s="93"/>
      <c r="AP586" s="93"/>
      <c r="AQ586" s="93"/>
      <c r="AR586" s="93"/>
      <c r="AS586" s="20"/>
      <c r="AT586" s="25"/>
      <c r="AU586" s="97"/>
      <c r="AV586" s="1504">
        <v>52291</v>
      </c>
      <c r="AW586" s="19"/>
      <c r="AX586" s="93"/>
      <c r="AY586" s="93"/>
      <c r="AZ586" s="93"/>
      <c r="BA586" s="93"/>
      <c r="BB586" s="93"/>
      <c r="BC586" s="93"/>
      <c r="BD586" s="93"/>
      <c r="BE586" s="93"/>
      <c r="BF586" s="93"/>
      <c r="BG586" s="93"/>
      <c r="BH586" s="93"/>
      <c r="BI586" s="93"/>
      <c r="BJ586" s="20"/>
      <c r="BK586" s="25"/>
      <c r="BL586" s="97"/>
      <c r="BM586" s="1504">
        <v>52291</v>
      </c>
      <c r="BN586" s="19"/>
      <c r="BO586" s="93"/>
      <c r="BP586" s="93"/>
      <c r="BQ586" s="93"/>
      <c r="BR586" s="93"/>
      <c r="BS586" s="93"/>
      <c r="BT586" s="93"/>
      <c r="BU586" s="20"/>
      <c r="BV586" s="25"/>
      <c r="BW586" s="97"/>
      <c r="BX586" s="1504">
        <v>52291</v>
      </c>
      <c r="BY586" s="19"/>
      <c r="BZ586" s="93"/>
      <c r="CA586" s="93"/>
      <c r="CB586" s="93"/>
      <c r="CC586" s="93"/>
      <c r="CD586" s="25"/>
      <c r="CE586" s="97"/>
      <c r="CF586" s="1504">
        <v>52291</v>
      </c>
      <c r="CG586" s="19"/>
      <c r="CH586" s="93"/>
      <c r="CI586" s="219"/>
      <c r="CJ586" s="20"/>
      <c r="CK586" s="19"/>
      <c r="CL586" s="93"/>
      <c r="CM586" s="93"/>
      <c r="CN586" s="93"/>
      <c r="CO586" s="93"/>
      <c r="CP586" s="20"/>
      <c r="CQ586" s="219"/>
      <c r="CR586" s="93"/>
      <c r="CS586" s="93"/>
      <c r="CT586" s="93"/>
      <c r="CU586" s="93"/>
      <c r="CV586" s="214"/>
      <c r="CW586" s="29"/>
      <c r="CX586" s="41">
        <f t="shared" si="363"/>
        <v>2043</v>
      </c>
      <c r="CY586" s="1504">
        <v>52291</v>
      </c>
      <c r="CZ586" s="19"/>
      <c r="DA586" s="93"/>
      <c r="DB586" s="93"/>
      <c r="DC586" s="93"/>
      <c r="DD586" s="93"/>
      <c r="DE586" s="20"/>
      <c r="DF586" s="29"/>
      <c r="DG586" s="1504">
        <v>52291</v>
      </c>
      <c r="DH586" s="19"/>
      <c r="DI586" s="93"/>
      <c r="DJ586" s="93"/>
      <c r="DK586" s="93"/>
      <c r="DL586" s="93"/>
      <c r="DM586" s="93"/>
      <c r="DN586" s="20"/>
      <c r="DO586" s="295"/>
      <c r="DP586" s="29"/>
      <c r="DQ586" s="1504">
        <v>52291</v>
      </c>
      <c r="DR586" s="19"/>
      <c r="DS586" s="93"/>
      <c r="DT586" s="93"/>
      <c r="DU586" s="93"/>
      <c r="DV586" s="93"/>
      <c r="DW586" s="93"/>
      <c r="DX586" s="20"/>
      <c r="DY586" s="29"/>
      <c r="DZ586" s="1504">
        <v>52291</v>
      </c>
      <c r="EA586" s="19"/>
      <c r="EB586" s="93"/>
      <c r="EC586" s="20"/>
      <c r="ED586" s="29"/>
      <c r="EE586" s="1504">
        <v>52291</v>
      </c>
      <c r="EF586" s="19"/>
      <c r="EG586" s="93"/>
      <c r="EH586" s="93"/>
      <c r="EI586" s="214"/>
      <c r="EJ586" s="93"/>
      <c r="EK586" s="93"/>
      <c r="EL586" s="93"/>
      <c r="EM586" s="93"/>
      <c r="EN586" s="20"/>
      <c r="EO586" s="29"/>
      <c r="EP586" s="1504">
        <v>52291</v>
      </c>
      <c r="EQ586" s="19"/>
      <c r="ER586" s="93"/>
      <c r="ES586" s="93"/>
      <c r="ET586" s="214"/>
      <c r="EU586" s="93"/>
      <c r="EV586" s="93"/>
      <c r="EW586" s="93"/>
      <c r="EX586" s="93"/>
      <c r="EY586" s="20"/>
      <c r="EZ586" s="29"/>
      <c r="FA586" s="1504">
        <v>52291</v>
      </c>
      <c r="FB586" s="29"/>
      <c r="FC586" s="29"/>
      <c r="FD586" s="29"/>
      <c r="FE586" s="29"/>
      <c r="FF586" s="29"/>
      <c r="FG586" s="29"/>
      <c r="FH586" s="29"/>
      <c r="FI586" s="29"/>
      <c r="FJ586" s="29"/>
      <c r="FK586" s="29"/>
      <c r="FL586" s="1504">
        <v>52291</v>
      </c>
      <c r="FM586" s="19"/>
      <c r="FN586" s="93"/>
      <c r="FO586" s="93"/>
      <c r="FP586" s="93"/>
      <c r="FQ586" s="93"/>
      <c r="FR586" s="93"/>
      <c r="FS586" s="93"/>
      <c r="FT586" s="93"/>
      <c r="FU586" s="93"/>
      <c r="FV586" s="93"/>
      <c r="FW586" s="93"/>
      <c r="FX586" s="93"/>
      <c r="FY586" s="93"/>
      <c r="FZ586" s="29"/>
      <c r="GA586" s="1504">
        <v>52291</v>
      </c>
      <c r="GB586" s="19"/>
      <c r="GC586" s="93"/>
      <c r="GD586" s="93"/>
      <c r="GE586" s="93"/>
      <c r="GF586" s="93"/>
      <c r="GG586" s="93"/>
      <c r="GH586" s="93"/>
      <c r="GI586" s="93"/>
      <c r="GJ586" s="93"/>
      <c r="GK586" s="93"/>
      <c r="GL586" s="93"/>
      <c r="GM586" s="93"/>
      <c r="GN586" s="20"/>
      <c r="GO586" s="29"/>
      <c r="GP586" s="1504">
        <v>52291</v>
      </c>
      <c r="GQ586" s="19"/>
      <c r="GR586" s="93"/>
      <c r="GS586" s="93"/>
      <c r="GT586" s="93"/>
      <c r="GU586" s="93"/>
      <c r="GV586" s="20"/>
      <c r="GW586" s="19"/>
      <c r="GX586" s="93"/>
      <c r="GY586" s="93"/>
      <c r="GZ586" s="93"/>
      <c r="HA586" s="93"/>
      <c r="HB586" s="20"/>
      <c r="HC586" s="19"/>
      <c r="HD586" s="93"/>
      <c r="HE586" s="93"/>
      <c r="HF586" s="93"/>
      <c r="HG586" s="93"/>
      <c r="HH586" s="20"/>
      <c r="HI586" s="19"/>
      <c r="HJ586" s="93"/>
      <c r="HK586" s="93"/>
      <c r="HL586" s="93"/>
      <c r="HM586" s="93"/>
      <c r="HN586" s="20"/>
      <c r="HO586" s="219"/>
      <c r="HP586" s="20"/>
      <c r="HQ586" s="25"/>
      <c r="HR586" s="29"/>
      <c r="HS586" s="1504">
        <v>52291</v>
      </c>
      <c r="HT586" s="19"/>
      <c r="HU586" s="93"/>
      <c r="HV586" s="93"/>
      <c r="HW586" s="93"/>
      <c r="HX586" s="93"/>
      <c r="HY586" s="93"/>
      <c r="HZ586" s="93"/>
      <c r="IA586" s="20"/>
      <c r="IB586" s="19"/>
      <c r="IC586" s="93"/>
      <c r="ID586" s="93"/>
      <c r="IE586" s="93"/>
      <c r="IF586" s="93"/>
      <c r="IG586" s="20"/>
      <c r="IH586" s="19"/>
      <c r="II586" s="93"/>
      <c r="IJ586" s="93"/>
      <c r="IK586" s="93"/>
      <c r="IL586" s="93"/>
      <c r="IM586" s="93"/>
      <c r="IN586" s="93"/>
      <c r="IO586" s="20"/>
      <c r="IP586" s="29"/>
      <c r="IQ586" s="19"/>
      <c r="IR586" s="93"/>
      <c r="IS586" s="93"/>
      <c r="IT586" s="93"/>
      <c r="IU586" s="93"/>
      <c r="IV586" s="20"/>
      <c r="IW586" s="29"/>
      <c r="IX586" s="19"/>
      <c r="IY586" s="93"/>
      <c r="IZ586" s="93"/>
      <c r="JA586" s="93"/>
      <c r="JB586" s="93"/>
      <c r="JC586" s="93"/>
      <c r="JD586" s="93"/>
      <c r="JE586" s="20"/>
      <c r="JF586" s="29"/>
      <c r="JG586" s="19"/>
      <c r="JH586" s="93"/>
      <c r="JI586" s="93"/>
      <c r="JJ586" s="93"/>
      <c r="JK586" s="93"/>
      <c r="JL586" s="93"/>
      <c r="JM586" s="93"/>
      <c r="JN586" s="20"/>
      <c r="JO586" s="29"/>
      <c r="JP586" s="19"/>
      <c r="JQ586" s="93"/>
      <c r="JR586" s="93"/>
      <c r="JS586" s="93"/>
      <c r="JT586" s="93"/>
      <c r="JU586" s="20"/>
      <c r="JV586" s="29"/>
      <c r="JW586" s="1504">
        <v>52291</v>
      </c>
      <c r="JX586" s="19"/>
      <c r="JY586" s="93"/>
      <c r="JZ586" s="93"/>
      <c r="KA586" s="93"/>
      <c r="KB586" s="93"/>
      <c r="KC586" s="93"/>
      <c r="KD586" s="20"/>
      <c r="KE586" s="29"/>
      <c r="KF586" s="19"/>
      <c r="KG586" s="93"/>
      <c r="KH586" s="93"/>
      <c r="KI586" s="93"/>
      <c r="KJ586" s="93"/>
      <c r="KK586" s="20"/>
      <c r="KL586" s="29"/>
      <c r="KM586" s="19"/>
      <c r="KN586" s="93"/>
      <c r="KO586" s="93"/>
      <c r="KP586" s="93"/>
      <c r="KQ586" s="93"/>
      <c r="KR586" s="20"/>
      <c r="KS586" s="29"/>
      <c r="KT586" s="19"/>
      <c r="KU586" s="93"/>
      <c r="KV586" s="93"/>
      <c r="KW586" s="93"/>
      <c r="KX586" s="93"/>
      <c r="KY586" s="20"/>
      <c r="KZ586" s="29"/>
      <c r="LA586" s="1504">
        <v>52291</v>
      </c>
      <c r="LB586" s="19"/>
      <c r="LC586" s="93"/>
      <c r="LD586" s="93"/>
      <c r="LE586" s="93"/>
      <c r="LF586" s="93"/>
      <c r="LG586" s="93"/>
      <c r="LH586" s="20"/>
      <c r="LI586" s="29"/>
      <c r="LJ586" s="19"/>
      <c r="LK586" s="93"/>
      <c r="LL586" s="93"/>
      <c r="LM586" s="93"/>
      <c r="LN586" s="93"/>
      <c r="LO586" s="20"/>
      <c r="LP586" s="29"/>
      <c r="LQ586" s="19"/>
      <c r="LR586" s="93"/>
      <c r="LS586" s="93"/>
      <c r="LT586" s="93"/>
      <c r="LU586" s="93"/>
      <c r="LV586" s="93"/>
      <c r="LW586" s="93"/>
      <c r="LX586" s="93"/>
      <c r="LY586" s="93"/>
      <c r="LZ586" s="93"/>
      <c r="MA586" s="20"/>
      <c r="MB586" s="29"/>
      <c r="MC586" s="1504">
        <v>52291</v>
      </c>
      <c r="MD586" s="19"/>
      <c r="ME586" s="93"/>
      <c r="MF586" s="93"/>
      <c r="MG586" s="93"/>
      <c r="MH586" s="93"/>
      <c r="MI586" s="93"/>
      <c r="MJ586" s="93"/>
      <c r="MK586" s="93"/>
      <c r="ML586" s="93"/>
      <c r="MM586" s="93"/>
      <c r="MN586" s="93"/>
      <c r="MO586" s="93"/>
      <c r="MP586" s="93"/>
      <c r="MQ586" s="93"/>
      <c r="MR586" s="93"/>
      <c r="MS586" s="93"/>
      <c r="MT586" s="93"/>
      <c r="MU586" s="93"/>
      <c r="MV586" s="93"/>
      <c r="MW586" s="93"/>
      <c r="MX586" s="93"/>
      <c r="MY586" s="93"/>
      <c r="MZ586" s="93"/>
      <c r="NA586" s="93"/>
      <c r="NB586" s="93"/>
      <c r="NC586" s="93"/>
      <c r="ND586" s="93"/>
      <c r="NE586" s="93"/>
      <c r="NF586" s="93"/>
      <c r="NG586" s="93"/>
      <c r="NH586" s="93"/>
      <c r="NI586" s="93"/>
      <c r="NJ586" s="93"/>
      <c r="NK586" s="93"/>
      <c r="NL586" s="93"/>
      <c r="NM586" s="93"/>
      <c r="NN586" s="93"/>
      <c r="NO586" s="93"/>
      <c r="NP586" s="93"/>
      <c r="NQ586" s="93"/>
      <c r="NR586" s="93"/>
      <c r="NS586" s="93"/>
      <c r="NT586" s="93"/>
      <c r="NU586" s="93"/>
      <c r="NV586" s="93"/>
      <c r="NW586" s="93"/>
      <c r="NX586" s="93"/>
      <c r="NY586" s="93"/>
      <c r="NZ586" s="93"/>
      <c r="OA586" s="93"/>
      <c r="OB586" s="93"/>
      <c r="OC586" s="93"/>
      <c r="OD586" s="20"/>
      <c r="OE586" s="29"/>
      <c r="OF586" s="1504">
        <v>52291</v>
      </c>
      <c r="OG586" s="19"/>
      <c r="OH586" s="93"/>
      <c r="OI586" s="93"/>
      <c r="OJ586" s="93"/>
      <c r="OK586" s="93"/>
      <c r="OL586" s="93"/>
      <c r="OM586" s="93"/>
      <c r="ON586" s="93"/>
      <c r="OO586" s="93"/>
      <c r="OP586" s="93"/>
      <c r="OQ586" s="93"/>
      <c r="OR586" s="93"/>
      <c r="OS586" s="93"/>
      <c r="OT586" s="93"/>
      <c r="OU586" s="93"/>
      <c r="OV586" s="93"/>
      <c r="OW586" s="93"/>
      <c r="OX586" s="93"/>
      <c r="OY586" s="93"/>
      <c r="OZ586" s="93"/>
      <c r="PA586" s="93"/>
      <c r="PB586" s="93"/>
      <c r="PC586" s="20"/>
      <c r="PD586" s="29"/>
      <c r="PE586" s="19"/>
      <c r="PF586" s="93"/>
      <c r="PG586" s="93"/>
      <c r="PH586" s="93"/>
      <c r="PI586" s="93"/>
      <c r="PJ586" s="93"/>
      <c r="PK586" s="93"/>
      <c r="PL586" s="93"/>
      <c r="PM586" s="93"/>
      <c r="PN586" s="93"/>
      <c r="PO586" s="93"/>
      <c r="PP586" s="93"/>
      <c r="PQ586" s="93"/>
      <c r="PR586" s="93"/>
      <c r="PS586" s="93"/>
      <c r="PT586" s="93"/>
      <c r="PU586" s="93"/>
      <c r="PV586" s="93"/>
      <c r="PW586" s="93"/>
      <c r="PX586" s="93"/>
      <c r="PY586" s="93"/>
      <c r="PZ586" s="93"/>
      <c r="QA586" s="93"/>
      <c r="QB586" s="93"/>
      <c r="QC586" s="93"/>
      <c r="QD586" s="93"/>
      <c r="QE586" s="20"/>
      <c r="QF586" s="1739"/>
      <c r="QG586" s="19"/>
      <c r="QH586" s="93"/>
      <c r="QI586" s="93"/>
      <c r="QJ586" s="93"/>
      <c r="QK586" s="93"/>
      <c r="QL586" s="93"/>
      <c r="QM586" s="93"/>
      <c r="QN586" s="93"/>
      <c r="QO586" s="93"/>
      <c r="QP586" s="93"/>
      <c r="QQ586" s="93"/>
      <c r="QR586" s="93"/>
      <c r="QS586" s="93"/>
      <c r="QT586" s="93"/>
      <c r="QU586" s="93"/>
      <c r="QV586" s="93"/>
      <c r="QW586" s="93"/>
      <c r="QX586" s="93"/>
      <c r="QY586" s="93"/>
      <c r="QZ586" s="93"/>
      <c r="RA586" s="93"/>
      <c r="RB586" s="93"/>
      <c r="RC586" s="93"/>
      <c r="RD586" s="93"/>
      <c r="RE586" s="93"/>
      <c r="RF586" s="93"/>
      <c r="RG586" s="93"/>
      <c r="RH586" s="93"/>
      <c r="RI586" s="93"/>
      <c r="RJ586" s="93"/>
      <c r="RK586" s="93"/>
      <c r="RL586" s="93"/>
      <c r="RM586" s="20"/>
      <c r="RN586" s="29"/>
      <c r="RO586" s="19"/>
      <c r="RP586" s="20"/>
      <c r="RQ586" s="29"/>
      <c r="RR586" s="20"/>
      <c r="RS586" s="29"/>
      <c r="RT586" s="1504">
        <v>52291</v>
      </c>
      <c r="RU586" s="19"/>
      <c r="RV586" s="20"/>
      <c r="RW586" s="29"/>
      <c r="RX586" s="1504">
        <v>52291</v>
      </c>
      <c r="RY586" s="29"/>
      <c r="RZ586" s="20"/>
      <c r="SA586" s="29"/>
      <c r="SB586" s="29"/>
    </row>
    <row r="587" spans="1:496">
      <c r="A587" s="41">
        <f t="shared" si="362"/>
        <v>2043</v>
      </c>
      <c r="B587" s="1504">
        <v>52322</v>
      </c>
      <c r="C587" s="1813"/>
      <c r="D587" s="1814"/>
      <c r="E587" s="1814"/>
      <c r="F587" s="1815"/>
      <c r="G587" s="1814"/>
      <c r="H587" s="1814"/>
      <c r="I587" s="1814"/>
      <c r="J587" s="1816"/>
      <c r="K587" s="1807"/>
      <c r="L587" s="25"/>
      <c r="M587" s="97"/>
      <c r="N587" s="1504">
        <v>52322</v>
      </c>
      <c r="O587" s="19"/>
      <c r="P587" s="93"/>
      <c r="Q587" s="93"/>
      <c r="R587" s="93"/>
      <c r="S587" s="93"/>
      <c r="T587" s="93"/>
      <c r="U587" s="93"/>
      <c r="V587" s="93"/>
      <c r="W587" s="93"/>
      <c r="X587" s="93"/>
      <c r="Y587" s="93"/>
      <c r="Z587" s="93"/>
      <c r="AA587" s="93"/>
      <c r="AB587" s="20"/>
      <c r="AC587" s="25"/>
      <c r="AD587" s="97"/>
      <c r="AE587" s="1504">
        <v>52322</v>
      </c>
      <c r="AF587" s="19"/>
      <c r="AG587" s="93"/>
      <c r="AH587" s="93"/>
      <c r="AI587" s="93"/>
      <c r="AJ587" s="93"/>
      <c r="AK587" s="93"/>
      <c r="AL587" s="93"/>
      <c r="AM587" s="93"/>
      <c r="AN587" s="93"/>
      <c r="AO587" s="93"/>
      <c r="AP587" s="93"/>
      <c r="AQ587" s="93"/>
      <c r="AR587" s="93"/>
      <c r="AS587" s="20"/>
      <c r="AT587" s="25"/>
      <c r="AU587" s="97"/>
      <c r="AV587" s="1504">
        <v>52322</v>
      </c>
      <c r="AW587" s="19"/>
      <c r="AX587" s="93"/>
      <c r="AY587" s="93"/>
      <c r="AZ587" s="93"/>
      <c r="BA587" s="93"/>
      <c r="BB587" s="93"/>
      <c r="BC587" s="93"/>
      <c r="BD587" s="93"/>
      <c r="BE587" s="93"/>
      <c r="BF587" s="93"/>
      <c r="BG587" s="93"/>
      <c r="BH587" s="93"/>
      <c r="BI587" s="93"/>
      <c r="BJ587" s="20"/>
      <c r="BK587" s="25"/>
      <c r="BL587" s="97"/>
      <c r="BM587" s="1504">
        <v>52322</v>
      </c>
      <c r="BN587" s="19"/>
      <c r="BO587" s="93"/>
      <c r="BP587" s="93"/>
      <c r="BQ587" s="93"/>
      <c r="BR587" s="93"/>
      <c r="BS587" s="93"/>
      <c r="BT587" s="93"/>
      <c r="BU587" s="20"/>
      <c r="BV587" s="25"/>
      <c r="BW587" s="97"/>
      <c r="BX587" s="1504">
        <v>52322</v>
      </c>
      <c r="BY587" s="19"/>
      <c r="BZ587" s="93"/>
      <c r="CA587" s="93"/>
      <c r="CB587" s="93"/>
      <c r="CC587" s="93"/>
      <c r="CD587" s="25"/>
      <c r="CE587" s="97"/>
      <c r="CF587" s="1504">
        <v>52322</v>
      </c>
      <c r="CG587" s="19"/>
      <c r="CH587" s="93"/>
      <c r="CI587" s="219"/>
      <c r="CJ587" s="20"/>
      <c r="CK587" s="19"/>
      <c r="CL587" s="93"/>
      <c r="CM587" s="93"/>
      <c r="CN587" s="93"/>
      <c r="CO587" s="93"/>
      <c r="CP587" s="20"/>
      <c r="CQ587" s="219"/>
      <c r="CR587" s="93"/>
      <c r="CS587" s="93"/>
      <c r="CT587" s="93"/>
      <c r="CU587" s="93"/>
      <c r="CV587" s="214"/>
      <c r="CW587" s="29"/>
      <c r="CX587" s="41">
        <f t="shared" si="363"/>
        <v>2043</v>
      </c>
      <c r="CY587" s="1504">
        <v>52322</v>
      </c>
      <c r="CZ587" s="19"/>
      <c r="DA587" s="93"/>
      <c r="DB587" s="93"/>
      <c r="DC587" s="93"/>
      <c r="DD587" s="93"/>
      <c r="DE587" s="20"/>
      <c r="DF587" s="29"/>
      <c r="DG587" s="1504">
        <v>52322</v>
      </c>
      <c r="DH587" s="19"/>
      <c r="DI587" s="93"/>
      <c r="DJ587" s="93"/>
      <c r="DK587" s="93"/>
      <c r="DL587" s="93"/>
      <c r="DM587" s="93"/>
      <c r="DN587" s="20"/>
      <c r="DO587" s="295"/>
      <c r="DP587" s="29"/>
      <c r="DQ587" s="1504">
        <v>52322</v>
      </c>
      <c r="DR587" s="19"/>
      <c r="DS587" s="93"/>
      <c r="DT587" s="93"/>
      <c r="DU587" s="93"/>
      <c r="DV587" s="93"/>
      <c r="DW587" s="93"/>
      <c r="DX587" s="20"/>
      <c r="DY587" s="29"/>
      <c r="DZ587" s="1504">
        <v>52322</v>
      </c>
      <c r="EA587" s="19"/>
      <c r="EB587" s="93"/>
      <c r="EC587" s="20"/>
      <c r="ED587" s="29"/>
      <c r="EE587" s="1504">
        <v>52322</v>
      </c>
      <c r="EF587" s="19"/>
      <c r="EG587" s="93"/>
      <c r="EH587" s="93"/>
      <c r="EI587" s="214"/>
      <c r="EJ587" s="93"/>
      <c r="EK587" s="93"/>
      <c r="EL587" s="93"/>
      <c r="EM587" s="93"/>
      <c r="EN587" s="20"/>
      <c r="EO587" s="29"/>
      <c r="EP587" s="1504">
        <v>52322</v>
      </c>
      <c r="EQ587" s="19"/>
      <c r="ER587" s="93"/>
      <c r="ES587" s="93"/>
      <c r="ET587" s="214"/>
      <c r="EU587" s="93"/>
      <c r="EV587" s="93"/>
      <c r="EW587" s="93"/>
      <c r="EX587" s="93"/>
      <c r="EY587" s="20"/>
      <c r="EZ587" s="29"/>
      <c r="FA587" s="1504">
        <v>52322</v>
      </c>
      <c r="FB587" s="29"/>
      <c r="FC587" s="29"/>
      <c r="FD587" s="29"/>
      <c r="FE587" s="29"/>
      <c r="FF587" s="29"/>
      <c r="FG587" s="29"/>
      <c r="FH587" s="29"/>
      <c r="FI587" s="29"/>
      <c r="FJ587" s="29"/>
      <c r="FK587" s="29"/>
      <c r="FL587" s="1504">
        <v>52322</v>
      </c>
      <c r="FM587" s="19"/>
      <c r="FN587" s="93"/>
      <c r="FO587" s="93"/>
      <c r="FP587" s="93"/>
      <c r="FQ587" s="93"/>
      <c r="FR587" s="93"/>
      <c r="FS587" s="93"/>
      <c r="FT587" s="93"/>
      <c r="FU587" s="93"/>
      <c r="FV587" s="93"/>
      <c r="FW587" s="93"/>
      <c r="FX587" s="93"/>
      <c r="FY587" s="93"/>
      <c r="FZ587" s="29"/>
      <c r="GA587" s="1504">
        <v>52322</v>
      </c>
      <c r="GB587" s="19"/>
      <c r="GC587" s="93"/>
      <c r="GD587" s="93"/>
      <c r="GE587" s="93"/>
      <c r="GF587" s="93"/>
      <c r="GG587" s="93"/>
      <c r="GH587" s="93"/>
      <c r="GI587" s="93"/>
      <c r="GJ587" s="93"/>
      <c r="GK587" s="93"/>
      <c r="GL587" s="93"/>
      <c r="GM587" s="93"/>
      <c r="GN587" s="20"/>
      <c r="GO587" s="29"/>
      <c r="GP587" s="1504">
        <v>52322</v>
      </c>
      <c r="GQ587" s="19"/>
      <c r="GR587" s="93"/>
      <c r="GS587" s="93"/>
      <c r="GT587" s="93"/>
      <c r="GU587" s="93"/>
      <c r="GV587" s="20"/>
      <c r="GW587" s="19"/>
      <c r="GX587" s="93"/>
      <c r="GY587" s="93"/>
      <c r="GZ587" s="93"/>
      <c r="HA587" s="93"/>
      <c r="HB587" s="20"/>
      <c r="HC587" s="19"/>
      <c r="HD587" s="93"/>
      <c r="HE587" s="93"/>
      <c r="HF587" s="93"/>
      <c r="HG587" s="93"/>
      <c r="HH587" s="20"/>
      <c r="HI587" s="19"/>
      <c r="HJ587" s="93"/>
      <c r="HK587" s="93"/>
      <c r="HL587" s="93"/>
      <c r="HM587" s="93"/>
      <c r="HN587" s="20"/>
      <c r="HO587" s="219"/>
      <c r="HP587" s="20"/>
      <c r="HQ587" s="25"/>
      <c r="HR587" s="29"/>
      <c r="HS587" s="1504">
        <v>52322</v>
      </c>
      <c r="HT587" s="19"/>
      <c r="HU587" s="93"/>
      <c r="HV587" s="93"/>
      <c r="HW587" s="93"/>
      <c r="HX587" s="93"/>
      <c r="HY587" s="93"/>
      <c r="HZ587" s="93"/>
      <c r="IA587" s="20"/>
      <c r="IB587" s="19"/>
      <c r="IC587" s="93"/>
      <c r="ID587" s="93"/>
      <c r="IE587" s="93"/>
      <c r="IF587" s="93"/>
      <c r="IG587" s="20"/>
      <c r="IH587" s="19"/>
      <c r="II587" s="93"/>
      <c r="IJ587" s="93"/>
      <c r="IK587" s="93"/>
      <c r="IL587" s="93"/>
      <c r="IM587" s="93"/>
      <c r="IN587" s="93"/>
      <c r="IO587" s="20"/>
      <c r="IP587" s="29"/>
      <c r="IQ587" s="19"/>
      <c r="IR587" s="93"/>
      <c r="IS587" s="93"/>
      <c r="IT587" s="93"/>
      <c r="IU587" s="93"/>
      <c r="IV587" s="20"/>
      <c r="IW587" s="29"/>
      <c r="IX587" s="19"/>
      <c r="IY587" s="93"/>
      <c r="IZ587" s="93"/>
      <c r="JA587" s="93"/>
      <c r="JB587" s="93"/>
      <c r="JC587" s="93"/>
      <c r="JD587" s="93"/>
      <c r="JE587" s="20"/>
      <c r="JF587" s="29"/>
      <c r="JG587" s="19"/>
      <c r="JH587" s="93"/>
      <c r="JI587" s="93"/>
      <c r="JJ587" s="93"/>
      <c r="JK587" s="93"/>
      <c r="JL587" s="93"/>
      <c r="JM587" s="93"/>
      <c r="JN587" s="20"/>
      <c r="JO587" s="29"/>
      <c r="JP587" s="19"/>
      <c r="JQ587" s="93"/>
      <c r="JR587" s="93"/>
      <c r="JS587" s="93"/>
      <c r="JT587" s="93"/>
      <c r="JU587" s="20"/>
      <c r="JV587" s="29"/>
      <c r="JW587" s="1504">
        <v>52322</v>
      </c>
      <c r="JX587" s="19"/>
      <c r="JY587" s="93"/>
      <c r="JZ587" s="93"/>
      <c r="KA587" s="93"/>
      <c r="KB587" s="93"/>
      <c r="KC587" s="93"/>
      <c r="KD587" s="20"/>
      <c r="KE587" s="29"/>
      <c r="KF587" s="19"/>
      <c r="KG587" s="93"/>
      <c r="KH587" s="93"/>
      <c r="KI587" s="93"/>
      <c r="KJ587" s="93"/>
      <c r="KK587" s="20"/>
      <c r="KL587" s="29"/>
      <c r="KM587" s="19"/>
      <c r="KN587" s="93"/>
      <c r="KO587" s="93"/>
      <c r="KP587" s="93"/>
      <c r="KQ587" s="93"/>
      <c r="KR587" s="20"/>
      <c r="KS587" s="29"/>
      <c r="KT587" s="19"/>
      <c r="KU587" s="93"/>
      <c r="KV587" s="93"/>
      <c r="KW587" s="93"/>
      <c r="KX587" s="93"/>
      <c r="KY587" s="20"/>
      <c r="KZ587" s="29"/>
      <c r="LA587" s="1504">
        <v>52322</v>
      </c>
      <c r="LB587" s="19"/>
      <c r="LC587" s="93"/>
      <c r="LD587" s="93"/>
      <c r="LE587" s="93"/>
      <c r="LF587" s="93"/>
      <c r="LG587" s="93"/>
      <c r="LH587" s="20"/>
      <c r="LI587" s="29"/>
      <c r="LJ587" s="19"/>
      <c r="LK587" s="93"/>
      <c r="LL587" s="93"/>
      <c r="LM587" s="93"/>
      <c r="LN587" s="93"/>
      <c r="LO587" s="20"/>
      <c r="LP587" s="29"/>
      <c r="LQ587" s="19"/>
      <c r="LR587" s="93"/>
      <c r="LS587" s="93"/>
      <c r="LT587" s="93"/>
      <c r="LU587" s="93"/>
      <c r="LV587" s="93"/>
      <c r="LW587" s="93"/>
      <c r="LX587" s="93"/>
      <c r="LY587" s="93"/>
      <c r="LZ587" s="93"/>
      <c r="MA587" s="20"/>
      <c r="MB587" s="29"/>
      <c r="MC587" s="1504">
        <v>52322</v>
      </c>
      <c r="MD587" s="19"/>
      <c r="ME587" s="93"/>
      <c r="MF587" s="93"/>
      <c r="MG587" s="93"/>
      <c r="MH587" s="93"/>
      <c r="MI587" s="93"/>
      <c r="MJ587" s="93"/>
      <c r="MK587" s="93"/>
      <c r="ML587" s="93"/>
      <c r="MM587" s="93"/>
      <c r="MN587" s="93"/>
      <c r="MO587" s="93"/>
      <c r="MP587" s="93"/>
      <c r="MQ587" s="93"/>
      <c r="MR587" s="93"/>
      <c r="MS587" s="93"/>
      <c r="MT587" s="93"/>
      <c r="MU587" s="93"/>
      <c r="MV587" s="93"/>
      <c r="MW587" s="93"/>
      <c r="MX587" s="93"/>
      <c r="MY587" s="93"/>
      <c r="MZ587" s="93"/>
      <c r="NA587" s="93"/>
      <c r="NB587" s="93"/>
      <c r="NC587" s="93"/>
      <c r="ND587" s="93"/>
      <c r="NE587" s="93"/>
      <c r="NF587" s="93"/>
      <c r="NG587" s="93"/>
      <c r="NH587" s="93"/>
      <c r="NI587" s="93"/>
      <c r="NJ587" s="93"/>
      <c r="NK587" s="93"/>
      <c r="NL587" s="93"/>
      <c r="NM587" s="93"/>
      <c r="NN587" s="93"/>
      <c r="NO587" s="93"/>
      <c r="NP587" s="93"/>
      <c r="NQ587" s="93"/>
      <c r="NR587" s="93"/>
      <c r="NS587" s="93"/>
      <c r="NT587" s="93"/>
      <c r="NU587" s="93"/>
      <c r="NV587" s="93"/>
      <c r="NW587" s="93"/>
      <c r="NX587" s="93"/>
      <c r="NY587" s="93"/>
      <c r="NZ587" s="93"/>
      <c r="OA587" s="93"/>
      <c r="OB587" s="93"/>
      <c r="OC587" s="93"/>
      <c r="OD587" s="20"/>
      <c r="OE587" s="29"/>
      <c r="OF587" s="1504">
        <v>52322</v>
      </c>
      <c r="OG587" s="19"/>
      <c r="OH587" s="93"/>
      <c r="OI587" s="93"/>
      <c r="OJ587" s="93"/>
      <c r="OK587" s="93"/>
      <c r="OL587" s="93"/>
      <c r="OM587" s="93"/>
      <c r="ON587" s="93"/>
      <c r="OO587" s="93"/>
      <c r="OP587" s="93"/>
      <c r="OQ587" s="93"/>
      <c r="OR587" s="93"/>
      <c r="OS587" s="93"/>
      <c r="OT587" s="93"/>
      <c r="OU587" s="93"/>
      <c r="OV587" s="93"/>
      <c r="OW587" s="93"/>
      <c r="OX587" s="93"/>
      <c r="OY587" s="93"/>
      <c r="OZ587" s="93"/>
      <c r="PA587" s="93"/>
      <c r="PB587" s="93"/>
      <c r="PC587" s="20"/>
      <c r="PD587" s="29"/>
      <c r="PE587" s="19"/>
      <c r="PF587" s="93"/>
      <c r="PG587" s="93"/>
      <c r="PH587" s="93"/>
      <c r="PI587" s="93"/>
      <c r="PJ587" s="93"/>
      <c r="PK587" s="93"/>
      <c r="PL587" s="93"/>
      <c r="PM587" s="93"/>
      <c r="PN587" s="93"/>
      <c r="PO587" s="93"/>
      <c r="PP587" s="93"/>
      <c r="PQ587" s="93"/>
      <c r="PR587" s="93"/>
      <c r="PS587" s="93"/>
      <c r="PT587" s="93"/>
      <c r="PU587" s="93"/>
      <c r="PV587" s="93"/>
      <c r="PW587" s="93"/>
      <c r="PX587" s="93"/>
      <c r="PY587" s="93"/>
      <c r="PZ587" s="93"/>
      <c r="QA587" s="93"/>
      <c r="QB587" s="93"/>
      <c r="QC587" s="93"/>
      <c r="QD587" s="93"/>
      <c r="QE587" s="20"/>
      <c r="QF587" s="1739"/>
      <c r="QG587" s="19"/>
      <c r="QH587" s="93"/>
      <c r="QI587" s="93"/>
      <c r="QJ587" s="93"/>
      <c r="QK587" s="93"/>
      <c r="QL587" s="93"/>
      <c r="QM587" s="93"/>
      <c r="QN587" s="93"/>
      <c r="QO587" s="93"/>
      <c r="QP587" s="93"/>
      <c r="QQ587" s="93"/>
      <c r="QR587" s="93"/>
      <c r="QS587" s="93"/>
      <c r="QT587" s="93"/>
      <c r="QU587" s="93"/>
      <c r="QV587" s="93"/>
      <c r="QW587" s="93"/>
      <c r="QX587" s="93"/>
      <c r="QY587" s="93"/>
      <c r="QZ587" s="93"/>
      <c r="RA587" s="93"/>
      <c r="RB587" s="93"/>
      <c r="RC587" s="93"/>
      <c r="RD587" s="93"/>
      <c r="RE587" s="93"/>
      <c r="RF587" s="93"/>
      <c r="RG587" s="93"/>
      <c r="RH587" s="93"/>
      <c r="RI587" s="93"/>
      <c r="RJ587" s="93"/>
      <c r="RK587" s="93"/>
      <c r="RL587" s="93"/>
      <c r="RM587" s="20"/>
      <c r="RN587" s="29"/>
      <c r="RO587" s="19"/>
      <c r="RP587" s="20"/>
      <c r="RQ587" s="29"/>
      <c r="RR587" s="20"/>
      <c r="RS587" s="29"/>
      <c r="RT587" s="1504">
        <v>52322</v>
      </c>
      <c r="RU587" s="19"/>
      <c r="RV587" s="20"/>
      <c r="RW587" s="29"/>
      <c r="RX587" s="1504">
        <v>52322</v>
      </c>
      <c r="RY587" s="29"/>
      <c r="RZ587" s="20"/>
      <c r="SA587" s="29"/>
      <c r="SB587" s="29"/>
    </row>
    <row r="588" spans="1:496">
      <c r="A588" s="41">
        <f t="shared" si="362"/>
        <v>2043</v>
      </c>
      <c r="B588" s="1504">
        <v>52352</v>
      </c>
      <c r="C588" s="1813"/>
      <c r="D588" s="1814"/>
      <c r="E588" s="1814"/>
      <c r="F588" s="1815"/>
      <c r="G588" s="1814"/>
      <c r="H588" s="1814"/>
      <c r="I588" s="1814"/>
      <c r="J588" s="1816"/>
      <c r="K588" s="1807"/>
      <c r="L588" s="25"/>
      <c r="M588" s="97"/>
      <c r="N588" s="1504">
        <v>52352</v>
      </c>
      <c r="O588" s="19"/>
      <c r="P588" s="93"/>
      <c r="Q588" s="93"/>
      <c r="R588" s="93"/>
      <c r="S588" s="93"/>
      <c r="T588" s="93"/>
      <c r="U588" s="93"/>
      <c r="V588" s="93"/>
      <c r="W588" s="93"/>
      <c r="X588" s="93"/>
      <c r="Y588" s="93"/>
      <c r="Z588" s="93"/>
      <c r="AA588" s="93"/>
      <c r="AB588" s="20"/>
      <c r="AC588" s="25"/>
      <c r="AD588" s="97"/>
      <c r="AE588" s="1504">
        <v>52352</v>
      </c>
      <c r="AF588" s="19"/>
      <c r="AG588" s="93"/>
      <c r="AH588" s="93"/>
      <c r="AI588" s="93"/>
      <c r="AJ588" s="93"/>
      <c r="AK588" s="93"/>
      <c r="AL588" s="93"/>
      <c r="AM588" s="93"/>
      <c r="AN588" s="93"/>
      <c r="AO588" s="93"/>
      <c r="AP588" s="93"/>
      <c r="AQ588" s="93"/>
      <c r="AR588" s="93"/>
      <c r="AS588" s="20"/>
      <c r="AT588" s="25"/>
      <c r="AU588" s="97"/>
      <c r="AV588" s="1504">
        <v>52352</v>
      </c>
      <c r="AW588" s="19"/>
      <c r="AX588" s="93"/>
      <c r="AY588" s="93"/>
      <c r="AZ588" s="93"/>
      <c r="BA588" s="93"/>
      <c r="BB588" s="93"/>
      <c r="BC588" s="93"/>
      <c r="BD588" s="93"/>
      <c r="BE588" s="93"/>
      <c r="BF588" s="93"/>
      <c r="BG588" s="93"/>
      <c r="BH588" s="93"/>
      <c r="BI588" s="93"/>
      <c r="BJ588" s="20"/>
      <c r="BK588" s="25"/>
      <c r="BL588" s="97"/>
      <c r="BM588" s="1504">
        <v>52352</v>
      </c>
      <c r="BN588" s="19"/>
      <c r="BO588" s="93"/>
      <c r="BP588" s="93"/>
      <c r="BQ588" s="93"/>
      <c r="BR588" s="93"/>
      <c r="BS588" s="93"/>
      <c r="BT588" s="93"/>
      <c r="BU588" s="20"/>
      <c r="BV588" s="25"/>
      <c r="BW588" s="97"/>
      <c r="BX588" s="1504">
        <v>52352</v>
      </c>
      <c r="BY588" s="19"/>
      <c r="BZ588" s="93"/>
      <c r="CA588" s="93"/>
      <c r="CB588" s="93"/>
      <c r="CC588" s="93"/>
      <c r="CD588" s="25"/>
      <c r="CE588" s="97"/>
      <c r="CF588" s="1504">
        <v>52352</v>
      </c>
      <c r="CG588" s="19"/>
      <c r="CH588" s="93"/>
      <c r="CI588" s="219"/>
      <c r="CJ588" s="20"/>
      <c r="CK588" s="19"/>
      <c r="CL588" s="93"/>
      <c r="CM588" s="93"/>
      <c r="CN588" s="93"/>
      <c r="CO588" s="93"/>
      <c r="CP588" s="20"/>
      <c r="CQ588" s="219"/>
      <c r="CR588" s="93"/>
      <c r="CS588" s="93"/>
      <c r="CT588" s="93"/>
      <c r="CU588" s="93"/>
      <c r="CV588" s="214"/>
      <c r="CW588" s="29"/>
      <c r="CX588" s="41">
        <f t="shared" si="363"/>
        <v>2043</v>
      </c>
      <c r="CY588" s="1504">
        <v>52352</v>
      </c>
      <c r="CZ588" s="19"/>
      <c r="DA588" s="93"/>
      <c r="DB588" s="93"/>
      <c r="DC588" s="93"/>
      <c r="DD588" s="93"/>
      <c r="DE588" s="20"/>
      <c r="DF588" s="29"/>
      <c r="DG588" s="1504">
        <v>52352</v>
      </c>
      <c r="DH588" s="19"/>
      <c r="DI588" s="93"/>
      <c r="DJ588" s="93"/>
      <c r="DK588" s="93"/>
      <c r="DL588" s="93"/>
      <c r="DM588" s="93"/>
      <c r="DN588" s="20"/>
      <c r="DO588" s="295"/>
      <c r="DP588" s="29"/>
      <c r="DQ588" s="1504">
        <v>52352</v>
      </c>
      <c r="DR588" s="19"/>
      <c r="DS588" s="93"/>
      <c r="DT588" s="93"/>
      <c r="DU588" s="93"/>
      <c r="DV588" s="93"/>
      <c r="DW588" s="93"/>
      <c r="DX588" s="20"/>
      <c r="DY588" s="29"/>
      <c r="DZ588" s="1504">
        <v>52352</v>
      </c>
      <c r="EA588" s="19"/>
      <c r="EB588" s="93"/>
      <c r="EC588" s="20"/>
      <c r="ED588" s="29"/>
      <c r="EE588" s="1504">
        <v>52352</v>
      </c>
      <c r="EF588" s="19"/>
      <c r="EG588" s="93"/>
      <c r="EH588" s="93"/>
      <c r="EI588" s="214"/>
      <c r="EJ588" s="93"/>
      <c r="EK588" s="93"/>
      <c r="EL588" s="93"/>
      <c r="EM588" s="93"/>
      <c r="EN588" s="20"/>
      <c r="EO588" s="29"/>
      <c r="EP588" s="1504">
        <v>52352</v>
      </c>
      <c r="EQ588" s="19"/>
      <c r="ER588" s="93"/>
      <c r="ES588" s="93"/>
      <c r="ET588" s="214"/>
      <c r="EU588" s="93"/>
      <c r="EV588" s="93"/>
      <c r="EW588" s="93"/>
      <c r="EX588" s="93"/>
      <c r="EY588" s="20"/>
      <c r="EZ588" s="29"/>
      <c r="FA588" s="1504">
        <v>52352</v>
      </c>
      <c r="FB588" s="29"/>
      <c r="FC588" s="29"/>
      <c r="FD588" s="29"/>
      <c r="FE588" s="29"/>
      <c r="FF588" s="29"/>
      <c r="FG588" s="29"/>
      <c r="FH588" s="29"/>
      <c r="FI588" s="29"/>
      <c r="FJ588" s="29"/>
      <c r="FK588" s="29"/>
      <c r="FL588" s="1504">
        <v>52352</v>
      </c>
      <c r="FM588" s="19"/>
      <c r="FN588" s="93"/>
      <c r="FO588" s="93"/>
      <c r="FP588" s="93"/>
      <c r="FQ588" s="93"/>
      <c r="FR588" s="93"/>
      <c r="FS588" s="93"/>
      <c r="FT588" s="93"/>
      <c r="FU588" s="93"/>
      <c r="FV588" s="93"/>
      <c r="FW588" s="93"/>
      <c r="FX588" s="93"/>
      <c r="FY588" s="93"/>
      <c r="FZ588" s="29"/>
      <c r="GA588" s="1504">
        <v>52352</v>
      </c>
      <c r="GB588" s="19"/>
      <c r="GC588" s="93"/>
      <c r="GD588" s="93"/>
      <c r="GE588" s="93"/>
      <c r="GF588" s="93"/>
      <c r="GG588" s="93"/>
      <c r="GH588" s="93"/>
      <c r="GI588" s="93"/>
      <c r="GJ588" s="93"/>
      <c r="GK588" s="93"/>
      <c r="GL588" s="93"/>
      <c r="GM588" s="93"/>
      <c r="GN588" s="20"/>
      <c r="GO588" s="29"/>
      <c r="GP588" s="1504">
        <v>52352</v>
      </c>
      <c r="GQ588" s="19"/>
      <c r="GR588" s="93"/>
      <c r="GS588" s="93"/>
      <c r="GT588" s="93"/>
      <c r="GU588" s="93"/>
      <c r="GV588" s="20"/>
      <c r="GW588" s="19"/>
      <c r="GX588" s="93"/>
      <c r="GY588" s="93"/>
      <c r="GZ588" s="93"/>
      <c r="HA588" s="93"/>
      <c r="HB588" s="20"/>
      <c r="HC588" s="19"/>
      <c r="HD588" s="93"/>
      <c r="HE588" s="93"/>
      <c r="HF588" s="93"/>
      <c r="HG588" s="93"/>
      <c r="HH588" s="20"/>
      <c r="HI588" s="19"/>
      <c r="HJ588" s="93"/>
      <c r="HK588" s="93"/>
      <c r="HL588" s="93"/>
      <c r="HM588" s="93"/>
      <c r="HN588" s="20"/>
      <c r="HO588" s="219"/>
      <c r="HP588" s="20"/>
      <c r="HQ588" s="25"/>
      <c r="HR588" s="29"/>
      <c r="HS588" s="1504">
        <v>52352</v>
      </c>
      <c r="HT588" s="19"/>
      <c r="HU588" s="93"/>
      <c r="HV588" s="93"/>
      <c r="HW588" s="93"/>
      <c r="HX588" s="93"/>
      <c r="HY588" s="93"/>
      <c r="HZ588" s="93"/>
      <c r="IA588" s="20"/>
      <c r="IB588" s="19"/>
      <c r="IC588" s="93"/>
      <c r="ID588" s="93"/>
      <c r="IE588" s="93"/>
      <c r="IF588" s="93"/>
      <c r="IG588" s="20"/>
      <c r="IH588" s="19"/>
      <c r="II588" s="93"/>
      <c r="IJ588" s="93"/>
      <c r="IK588" s="93"/>
      <c r="IL588" s="93"/>
      <c r="IM588" s="93"/>
      <c r="IN588" s="93"/>
      <c r="IO588" s="20"/>
      <c r="IP588" s="29"/>
      <c r="IQ588" s="19"/>
      <c r="IR588" s="93"/>
      <c r="IS588" s="93"/>
      <c r="IT588" s="93"/>
      <c r="IU588" s="93"/>
      <c r="IV588" s="20"/>
      <c r="IW588" s="29"/>
      <c r="IX588" s="19"/>
      <c r="IY588" s="93"/>
      <c r="IZ588" s="93"/>
      <c r="JA588" s="93"/>
      <c r="JB588" s="93"/>
      <c r="JC588" s="93"/>
      <c r="JD588" s="93"/>
      <c r="JE588" s="20"/>
      <c r="JF588" s="29"/>
      <c r="JG588" s="19"/>
      <c r="JH588" s="93"/>
      <c r="JI588" s="93"/>
      <c r="JJ588" s="93"/>
      <c r="JK588" s="93"/>
      <c r="JL588" s="93"/>
      <c r="JM588" s="93"/>
      <c r="JN588" s="20"/>
      <c r="JO588" s="29"/>
      <c r="JP588" s="19"/>
      <c r="JQ588" s="93"/>
      <c r="JR588" s="93"/>
      <c r="JS588" s="93"/>
      <c r="JT588" s="93"/>
      <c r="JU588" s="20"/>
      <c r="JV588" s="29"/>
      <c r="JW588" s="1504">
        <v>52352</v>
      </c>
      <c r="JX588" s="19"/>
      <c r="JY588" s="93"/>
      <c r="JZ588" s="93"/>
      <c r="KA588" s="93"/>
      <c r="KB588" s="93"/>
      <c r="KC588" s="93"/>
      <c r="KD588" s="20"/>
      <c r="KE588" s="29"/>
      <c r="KF588" s="19"/>
      <c r="KG588" s="93"/>
      <c r="KH588" s="93"/>
      <c r="KI588" s="93"/>
      <c r="KJ588" s="93"/>
      <c r="KK588" s="20"/>
      <c r="KL588" s="29"/>
      <c r="KM588" s="19"/>
      <c r="KN588" s="93"/>
      <c r="KO588" s="93"/>
      <c r="KP588" s="93"/>
      <c r="KQ588" s="93"/>
      <c r="KR588" s="20"/>
      <c r="KS588" s="29"/>
      <c r="KT588" s="19"/>
      <c r="KU588" s="93"/>
      <c r="KV588" s="93"/>
      <c r="KW588" s="93"/>
      <c r="KX588" s="93"/>
      <c r="KY588" s="20"/>
      <c r="KZ588" s="29"/>
      <c r="LA588" s="1504">
        <v>52352</v>
      </c>
      <c r="LB588" s="19"/>
      <c r="LC588" s="93"/>
      <c r="LD588" s="93"/>
      <c r="LE588" s="93"/>
      <c r="LF588" s="93"/>
      <c r="LG588" s="93"/>
      <c r="LH588" s="20"/>
      <c r="LI588" s="29"/>
      <c r="LJ588" s="19"/>
      <c r="LK588" s="93"/>
      <c r="LL588" s="93"/>
      <c r="LM588" s="93"/>
      <c r="LN588" s="93"/>
      <c r="LO588" s="20"/>
      <c r="LP588" s="29"/>
      <c r="LQ588" s="19"/>
      <c r="LR588" s="93"/>
      <c r="LS588" s="93"/>
      <c r="LT588" s="93"/>
      <c r="LU588" s="93"/>
      <c r="LV588" s="93"/>
      <c r="LW588" s="93"/>
      <c r="LX588" s="93"/>
      <c r="LY588" s="93"/>
      <c r="LZ588" s="93"/>
      <c r="MA588" s="20"/>
      <c r="MB588" s="29"/>
      <c r="MC588" s="1504">
        <v>52352</v>
      </c>
      <c r="MD588" s="19"/>
      <c r="ME588" s="93"/>
      <c r="MF588" s="93"/>
      <c r="MG588" s="93"/>
      <c r="MH588" s="93"/>
      <c r="MI588" s="93"/>
      <c r="MJ588" s="93"/>
      <c r="MK588" s="93"/>
      <c r="ML588" s="93"/>
      <c r="MM588" s="93"/>
      <c r="MN588" s="93"/>
      <c r="MO588" s="93"/>
      <c r="MP588" s="93"/>
      <c r="MQ588" s="93"/>
      <c r="MR588" s="93"/>
      <c r="MS588" s="93"/>
      <c r="MT588" s="93"/>
      <c r="MU588" s="93"/>
      <c r="MV588" s="93"/>
      <c r="MW588" s="93"/>
      <c r="MX588" s="93"/>
      <c r="MY588" s="93"/>
      <c r="MZ588" s="93"/>
      <c r="NA588" s="93"/>
      <c r="NB588" s="93"/>
      <c r="NC588" s="93"/>
      <c r="ND588" s="93"/>
      <c r="NE588" s="93"/>
      <c r="NF588" s="93"/>
      <c r="NG588" s="93"/>
      <c r="NH588" s="93"/>
      <c r="NI588" s="93"/>
      <c r="NJ588" s="93"/>
      <c r="NK588" s="93"/>
      <c r="NL588" s="93"/>
      <c r="NM588" s="93"/>
      <c r="NN588" s="93"/>
      <c r="NO588" s="93"/>
      <c r="NP588" s="93"/>
      <c r="NQ588" s="93"/>
      <c r="NR588" s="93"/>
      <c r="NS588" s="93"/>
      <c r="NT588" s="93"/>
      <c r="NU588" s="93"/>
      <c r="NV588" s="93"/>
      <c r="NW588" s="93"/>
      <c r="NX588" s="93"/>
      <c r="NY588" s="93"/>
      <c r="NZ588" s="93"/>
      <c r="OA588" s="93"/>
      <c r="OB588" s="93"/>
      <c r="OC588" s="93"/>
      <c r="OD588" s="20"/>
      <c r="OE588" s="29"/>
      <c r="OF588" s="1504">
        <v>52352</v>
      </c>
      <c r="OG588" s="19"/>
      <c r="OH588" s="93"/>
      <c r="OI588" s="93"/>
      <c r="OJ588" s="93"/>
      <c r="OK588" s="93"/>
      <c r="OL588" s="93"/>
      <c r="OM588" s="93"/>
      <c r="ON588" s="93"/>
      <c r="OO588" s="93"/>
      <c r="OP588" s="93"/>
      <c r="OQ588" s="93"/>
      <c r="OR588" s="93"/>
      <c r="OS588" s="93"/>
      <c r="OT588" s="93"/>
      <c r="OU588" s="93"/>
      <c r="OV588" s="93"/>
      <c r="OW588" s="93"/>
      <c r="OX588" s="93"/>
      <c r="OY588" s="93"/>
      <c r="OZ588" s="93"/>
      <c r="PA588" s="93"/>
      <c r="PB588" s="93"/>
      <c r="PC588" s="20"/>
      <c r="PD588" s="29"/>
      <c r="PE588" s="19"/>
      <c r="PF588" s="93"/>
      <c r="PG588" s="93"/>
      <c r="PH588" s="93"/>
      <c r="PI588" s="93"/>
      <c r="PJ588" s="93"/>
      <c r="PK588" s="93"/>
      <c r="PL588" s="93"/>
      <c r="PM588" s="93"/>
      <c r="PN588" s="93"/>
      <c r="PO588" s="93"/>
      <c r="PP588" s="93"/>
      <c r="PQ588" s="93"/>
      <c r="PR588" s="93"/>
      <c r="PS588" s="93"/>
      <c r="PT588" s="93"/>
      <c r="PU588" s="93"/>
      <c r="PV588" s="93"/>
      <c r="PW588" s="93"/>
      <c r="PX588" s="93"/>
      <c r="PY588" s="93"/>
      <c r="PZ588" s="93"/>
      <c r="QA588" s="93"/>
      <c r="QB588" s="93"/>
      <c r="QC588" s="93"/>
      <c r="QD588" s="93"/>
      <c r="QE588" s="20"/>
      <c r="QF588" s="1739"/>
      <c r="QG588" s="19"/>
      <c r="QH588" s="93"/>
      <c r="QI588" s="93"/>
      <c r="QJ588" s="93"/>
      <c r="QK588" s="93"/>
      <c r="QL588" s="93"/>
      <c r="QM588" s="93"/>
      <c r="QN588" s="93"/>
      <c r="QO588" s="93"/>
      <c r="QP588" s="93"/>
      <c r="QQ588" s="93"/>
      <c r="QR588" s="93"/>
      <c r="QS588" s="93"/>
      <c r="QT588" s="93"/>
      <c r="QU588" s="93"/>
      <c r="QV588" s="93"/>
      <c r="QW588" s="93"/>
      <c r="QX588" s="93"/>
      <c r="QY588" s="93"/>
      <c r="QZ588" s="93"/>
      <c r="RA588" s="93"/>
      <c r="RB588" s="93"/>
      <c r="RC588" s="93"/>
      <c r="RD588" s="93"/>
      <c r="RE588" s="93"/>
      <c r="RF588" s="93"/>
      <c r="RG588" s="93"/>
      <c r="RH588" s="93"/>
      <c r="RI588" s="93"/>
      <c r="RJ588" s="93"/>
      <c r="RK588" s="93"/>
      <c r="RL588" s="93"/>
      <c r="RM588" s="20"/>
      <c r="RN588" s="29"/>
      <c r="RO588" s="19"/>
      <c r="RP588" s="20"/>
      <c r="RQ588" s="29"/>
      <c r="RR588" s="20"/>
      <c r="RS588" s="29"/>
      <c r="RT588" s="1504">
        <v>52352</v>
      </c>
      <c r="RU588" s="19"/>
      <c r="RV588" s="20"/>
      <c r="RW588" s="29"/>
      <c r="RX588" s="1504">
        <v>52352</v>
      </c>
      <c r="RY588" s="29"/>
      <c r="RZ588" s="20"/>
      <c r="SA588" s="29"/>
      <c r="SB588" s="29"/>
    </row>
    <row r="589" spans="1:496">
      <c r="A589" s="41">
        <f t="shared" si="362"/>
        <v>2043</v>
      </c>
      <c r="B589" s="1504">
        <v>52383</v>
      </c>
      <c r="C589" s="1813"/>
      <c r="D589" s="1814"/>
      <c r="E589" s="1814"/>
      <c r="F589" s="1815"/>
      <c r="G589" s="1814"/>
      <c r="H589" s="1814"/>
      <c r="I589" s="1814"/>
      <c r="J589" s="1816"/>
      <c r="K589" s="1807"/>
      <c r="L589" s="25"/>
      <c r="M589" s="97"/>
      <c r="N589" s="1504">
        <v>52383</v>
      </c>
      <c r="O589" s="19"/>
      <c r="P589" s="93"/>
      <c r="Q589" s="93"/>
      <c r="R589" s="93"/>
      <c r="S589" s="93"/>
      <c r="T589" s="93"/>
      <c r="U589" s="93"/>
      <c r="V589" s="93"/>
      <c r="W589" s="93"/>
      <c r="X589" s="93"/>
      <c r="Y589" s="93"/>
      <c r="Z589" s="93"/>
      <c r="AA589" s="93"/>
      <c r="AB589" s="20"/>
      <c r="AC589" s="25"/>
      <c r="AD589" s="97"/>
      <c r="AE589" s="1504">
        <v>52383</v>
      </c>
      <c r="AF589" s="19"/>
      <c r="AG589" s="93"/>
      <c r="AH589" s="93"/>
      <c r="AI589" s="93"/>
      <c r="AJ589" s="93"/>
      <c r="AK589" s="93"/>
      <c r="AL589" s="93"/>
      <c r="AM589" s="93"/>
      <c r="AN589" s="93"/>
      <c r="AO589" s="93"/>
      <c r="AP589" s="93"/>
      <c r="AQ589" s="93"/>
      <c r="AR589" s="93"/>
      <c r="AS589" s="20"/>
      <c r="AT589" s="25"/>
      <c r="AU589" s="97"/>
      <c r="AV589" s="1504">
        <v>52383</v>
      </c>
      <c r="AW589" s="19"/>
      <c r="AX589" s="93"/>
      <c r="AY589" s="93"/>
      <c r="AZ589" s="93"/>
      <c r="BA589" s="93"/>
      <c r="BB589" s="93"/>
      <c r="BC589" s="93"/>
      <c r="BD589" s="93"/>
      <c r="BE589" s="93"/>
      <c r="BF589" s="93"/>
      <c r="BG589" s="93"/>
      <c r="BH589" s="93"/>
      <c r="BI589" s="93"/>
      <c r="BJ589" s="20"/>
      <c r="BK589" s="25"/>
      <c r="BL589" s="97"/>
      <c r="BM589" s="1504">
        <v>52383</v>
      </c>
      <c r="BN589" s="19"/>
      <c r="BO589" s="93"/>
      <c r="BP589" s="93"/>
      <c r="BQ589" s="93"/>
      <c r="BR589" s="93"/>
      <c r="BS589" s="93"/>
      <c r="BT589" s="93"/>
      <c r="BU589" s="20"/>
      <c r="BV589" s="25"/>
      <c r="BW589" s="97"/>
      <c r="BX589" s="1504">
        <v>52383</v>
      </c>
      <c r="BY589" s="19"/>
      <c r="BZ589" s="93"/>
      <c r="CA589" s="93"/>
      <c r="CB589" s="93"/>
      <c r="CC589" s="93"/>
      <c r="CD589" s="25"/>
      <c r="CE589" s="97"/>
      <c r="CF589" s="1504">
        <v>52383</v>
      </c>
      <c r="CG589" s="19"/>
      <c r="CH589" s="93"/>
      <c r="CI589" s="219"/>
      <c r="CJ589" s="20"/>
      <c r="CK589" s="19"/>
      <c r="CL589" s="93"/>
      <c r="CM589" s="93"/>
      <c r="CN589" s="93"/>
      <c r="CO589" s="93"/>
      <c r="CP589" s="20"/>
      <c r="CQ589" s="219"/>
      <c r="CR589" s="93"/>
      <c r="CS589" s="93"/>
      <c r="CT589" s="93"/>
      <c r="CU589" s="93"/>
      <c r="CV589" s="214"/>
      <c r="CW589" s="29"/>
      <c r="CX589" s="41">
        <f t="shared" si="363"/>
        <v>2043</v>
      </c>
      <c r="CY589" s="1504">
        <v>52383</v>
      </c>
      <c r="CZ589" s="19"/>
      <c r="DA589" s="93"/>
      <c r="DB589" s="93"/>
      <c r="DC589" s="93"/>
      <c r="DD589" s="93"/>
      <c r="DE589" s="20"/>
      <c r="DF589" s="29"/>
      <c r="DG589" s="1504">
        <v>52383</v>
      </c>
      <c r="DH589" s="19"/>
      <c r="DI589" s="93"/>
      <c r="DJ589" s="93"/>
      <c r="DK589" s="93"/>
      <c r="DL589" s="93"/>
      <c r="DM589" s="93"/>
      <c r="DN589" s="20"/>
      <c r="DO589" s="295"/>
      <c r="DP589" s="29"/>
      <c r="DQ589" s="1504">
        <v>52383</v>
      </c>
      <c r="DR589" s="19"/>
      <c r="DS589" s="93"/>
      <c r="DT589" s="93"/>
      <c r="DU589" s="93"/>
      <c r="DV589" s="93"/>
      <c r="DW589" s="93"/>
      <c r="DX589" s="20"/>
      <c r="DY589" s="29"/>
      <c r="DZ589" s="1504">
        <v>52383</v>
      </c>
      <c r="EA589" s="19"/>
      <c r="EB589" s="93"/>
      <c r="EC589" s="20"/>
      <c r="ED589" s="29"/>
      <c r="EE589" s="1504">
        <v>52383</v>
      </c>
      <c r="EF589" s="19"/>
      <c r="EG589" s="93"/>
      <c r="EH589" s="93"/>
      <c r="EI589" s="214"/>
      <c r="EJ589" s="93"/>
      <c r="EK589" s="93"/>
      <c r="EL589" s="93"/>
      <c r="EM589" s="93"/>
      <c r="EN589" s="20"/>
      <c r="EO589" s="29"/>
      <c r="EP589" s="1504">
        <v>52383</v>
      </c>
      <c r="EQ589" s="19"/>
      <c r="ER589" s="93"/>
      <c r="ES589" s="93"/>
      <c r="ET589" s="214"/>
      <c r="EU589" s="93"/>
      <c r="EV589" s="93"/>
      <c r="EW589" s="93"/>
      <c r="EX589" s="93"/>
      <c r="EY589" s="20"/>
      <c r="EZ589" s="29"/>
      <c r="FA589" s="1504">
        <v>52383</v>
      </c>
      <c r="FB589" s="29"/>
      <c r="FC589" s="29"/>
      <c r="FD589" s="29"/>
      <c r="FE589" s="29"/>
      <c r="FF589" s="29"/>
      <c r="FG589" s="29"/>
      <c r="FH589" s="29"/>
      <c r="FI589" s="29"/>
      <c r="FJ589" s="29"/>
      <c r="FK589" s="29"/>
      <c r="FL589" s="1504">
        <v>52383</v>
      </c>
      <c r="FM589" s="19"/>
      <c r="FN589" s="93"/>
      <c r="FO589" s="93"/>
      <c r="FP589" s="93"/>
      <c r="FQ589" s="93"/>
      <c r="FR589" s="93"/>
      <c r="FS589" s="93"/>
      <c r="FT589" s="93"/>
      <c r="FU589" s="93"/>
      <c r="FV589" s="93"/>
      <c r="FW589" s="93"/>
      <c r="FX589" s="93"/>
      <c r="FY589" s="93"/>
      <c r="FZ589" s="29"/>
      <c r="GA589" s="1504">
        <v>52383</v>
      </c>
      <c r="GB589" s="19"/>
      <c r="GC589" s="93"/>
      <c r="GD589" s="93"/>
      <c r="GE589" s="93"/>
      <c r="GF589" s="93"/>
      <c r="GG589" s="93"/>
      <c r="GH589" s="93"/>
      <c r="GI589" s="93"/>
      <c r="GJ589" s="93"/>
      <c r="GK589" s="93"/>
      <c r="GL589" s="93"/>
      <c r="GM589" s="93"/>
      <c r="GN589" s="20"/>
      <c r="GO589" s="29"/>
      <c r="GP589" s="1504">
        <v>52383</v>
      </c>
      <c r="GQ589" s="19"/>
      <c r="GR589" s="93"/>
      <c r="GS589" s="93"/>
      <c r="GT589" s="93"/>
      <c r="GU589" s="93"/>
      <c r="GV589" s="20"/>
      <c r="GW589" s="19"/>
      <c r="GX589" s="93"/>
      <c r="GY589" s="93"/>
      <c r="GZ589" s="93"/>
      <c r="HA589" s="93"/>
      <c r="HB589" s="20"/>
      <c r="HC589" s="19"/>
      <c r="HD589" s="93"/>
      <c r="HE589" s="93"/>
      <c r="HF589" s="93"/>
      <c r="HG589" s="93"/>
      <c r="HH589" s="20"/>
      <c r="HI589" s="19"/>
      <c r="HJ589" s="93"/>
      <c r="HK589" s="93"/>
      <c r="HL589" s="93"/>
      <c r="HM589" s="93"/>
      <c r="HN589" s="20"/>
      <c r="HO589" s="219"/>
      <c r="HP589" s="20"/>
      <c r="HQ589" s="25"/>
      <c r="HR589" s="29"/>
      <c r="HS589" s="1504">
        <v>52383</v>
      </c>
      <c r="HT589" s="19"/>
      <c r="HU589" s="93"/>
      <c r="HV589" s="93"/>
      <c r="HW589" s="93"/>
      <c r="HX589" s="93"/>
      <c r="HY589" s="93"/>
      <c r="HZ589" s="93"/>
      <c r="IA589" s="20"/>
      <c r="IB589" s="19"/>
      <c r="IC589" s="93"/>
      <c r="ID589" s="93"/>
      <c r="IE589" s="93"/>
      <c r="IF589" s="93"/>
      <c r="IG589" s="20"/>
      <c r="IH589" s="19"/>
      <c r="II589" s="93"/>
      <c r="IJ589" s="93"/>
      <c r="IK589" s="93"/>
      <c r="IL589" s="93"/>
      <c r="IM589" s="93"/>
      <c r="IN589" s="93"/>
      <c r="IO589" s="20"/>
      <c r="IP589" s="29"/>
      <c r="IQ589" s="19"/>
      <c r="IR589" s="93"/>
      <c r="IS589" s="93"/>
      <c r="IT589" s="93"/>
      <c r="IU589" s="93"/>
      <c r="IV589" s="20"/>
      <c r="IW589" s="29"/>
      <c r="IX589" s="19"/>
      <c r="IY589" s="93"/>
      <c r="IZ589" s="93"/>
      <c r="JA589" s="93"/>
      <c r="JB589" s="93"/>
      <c r="JC589" s="93"/>
      <c r="JD589" s="93"/>
      <c r="JE589" s="20"/>
      <c r="JF589" s="29"/>
      <c r="JG589" s="19"/>
      <c r="JH589" s="93"/>
      <c r="JI589" s="93"/>
      <c r="JJ589" s="93"/>
      <c r="JK589" s="93"/>
      <c r="JL589" s="93"/>
      <c r="JM589" s="93"/>
      <c r="JN589" s="20"/>
      <c r="JO589" s="29"/>
      <c r="JP589" s="19"/>
      <c r="JQ589" s="93"/>
      <c r="JR589" s="93"/>
      <c r="JS589" s="93"/>
      <c r="JT589" s="93"/>
      <c r="JU589" s="20"/>
      <c r="JV589" s="29"/>
      <c r="JW589" s="1504">
        <v>52383</v>
      </c>
      <c r="JX589" s="19"/>
      <c r="JY589" s="93"/>
      <c r="JZ589" s="93"/>
      <c r="KA589" s="93"/>
      <c r="KB589" s="93"/>
      <c r="KC589" s="93"/>
      <c r="KD589" s="20"/>
      <c r="KE589" s="29"/>
      <c r="KF589" s="19"/>
      <c r="KG589" s="93"/>
      <c r="KH589" s="93"/>
      <c r="KI589" s="93"/>
      <c r="KJ589" s="93"/>
      <c r="KK589" s="20"/>
      <c r="KL589" s="29"/>
      <c r="KM589" s="19"/>
      <c r="KN589" s="93"/>
      <c r="KO589" s="93"/>
      <c r="KP589" s="93"/>
      <c r="KQ589" s="93"/>
      <c r="KR589" s="20"/>
      <c r="KS589" s="29"/>
      <c r="KT589" s="19"/>
      <c r="KU589" s="93"/>
      <c r="KV589" s="93"/>
      <c r="KW589" s="93"/>
      <c r="KX589" s="93"/>
      <c r="KY589" s="20"/>
      <c r="KZ589" s="29"/>
      <c r="LA589" s="1504">
        <v>52383</v>
      </c>
      <c r="LB589" s="19"/>
      <c r="LC589" s="93"/>
      <c r="LD589" s="93"/>
      <c r="LE589" s="93"/>
      <c r="LF589" s="93"/>
      <c r="LG589" s="93"/>
      <c r="LH589" s="20"/>
      <c r="LI589" s="29"/>
      <c r="LJ589" s="19"/>
      <c r="LK589" s="93"/>
      <c r="LL589" s="93"/>
      <c r="LM589" s="93"/>
      <c r="LN589" s="93"/>
      <c r="LO589" s="20"/>
      <c r="LP589" s="29"/>
      <c r="LQ589" s="19"/>
      <c r="LR589" s="93"/>
      <c r="LS589" s="93"/>
      <c r="LT589" s="93"/>
      <c r="LU589" s="93"/>
      <c r="LV589" s="93"/>
      <c r="LW589" s="93"/>
      <c r="LX589" s="93"/>
      <c r="LY589" s="93"/>
      <c r="LZ589" s="93"/>
      <c r="MA589" s="20"/>
      <c r="MB589" s="29"/>
      <c r="MC589" s="1504">
        <v>52383</v>
      </c>
      <c r="MD589" s="19"/>
      <c r="ME589" s="93"/>
      <c r="MF589" s="93"/>
      <c r="MG589" s="93"/>
      <c r="MH589" s="93"/>
      <c r="MI589" s="93"/>
      <c r="MJ589" s="93"/>
      <c r="MK589" s="93"/>
      <c r="ML589" s="93"/>
      <c r="MM589" s="93"/>
      <c r="MN589" s="93"/>
      <c r="MO589" s="93"/>
      <c r="MP589" s="93"/>
      <c r="MQ589" s="93"/>
      <c r="MR589" s="93"/>
      <c r="MS589" s="93"/>
      <c r="MT589" s="93"/>
      <c r="MU589" s="93"/>
      <c r="MV589" s="93"/>
      <c r="MW589" s="93"/>
      <c r="MX589" s="93"/>
      <c r="MY589" s="93"/>
      <c r="MZ589" s="93"/>
      <c r="NA589" s="93"/>
      <c r="NB589" s="93"/>
      <c r="NC589" s="93"/>
      <c r="ND589" s="93"/>
      <c r="NE589" s="93"/>
      <c r="NF589" s="93"/>
      <c r="NG589" s="93"/>
      <c r="NH589" s="93"/>
      <c r="NI589" s="93"/>
      <c r="NJ589" s="93"/>
      <c r="NK589" s="93"/>
      <c r="NL589" s="93"/>
      <c r="NM589" s="93"/>
      <c r="NN589" s="93"/>
      <c r="NO589" s="93"/>
      <c r="NP589" s="93"/>
      <c r="NQ589" s="93"/>
      <c r="NR589" s="93"/>
      <c r="NS589" s="93"/>
      <c r="NT589" s="93"/>
      <c r="NU589" s="93"/>
      <c r="NV589" s="93"/>
      <c r="NW589" s="93"/>
      <c r="NX589" s="93"/>
      <c r="NY589" s="93"/>
      <c r="NZ589" s="93"/>
      <c r="OA589" s="93"/>
      <c r="OB589" s="93"/>
      <c r="OC589" s="93"/>
      <c r="OD589" s="20"/>
      <c r="OE589" s="29"/>
      <c r="OF589" s="1504">
        <v>52383</v>
      </c>
      <c r="OG589" s="19"/>
      <c r="OH589" s="93"/>
      <c r="OI589" s="93"/>
      <c r="OJ589" s="93"/>
      <c r="OK589" s="93"/>
      <c r="OL589" s="93"/>
      <c r="OM589" s="93"/>
      <c r="ON589" s="93"/>
      <c r="OO589" s="93"/>
      <c r="OP589" s="93"/>
      <c r="OQ589" s="93"/>
      <c r="OR589" s="93"/>
      <c r="OS589" s="93"/>
      <c r="OT589" s="93"/>
      <c r="OU589" s="93"/>
      <c r="OV589" s="93"/>
      <c r="OW589" s="93"/>
      <c r="OX589" s="93"/>
      <c r="OY589" s="93"/>
      <c r="OZ589" s="93"/>
      <c r="PA589" s="93"/>
      <c r="PB589" s="93"/>
      <c r="PC589" s="20"/>
      <c r="PD589" s="29"/>
      <c r="PE589" s="19"/>
      <c r="PF589" s="93"/>
      <c r="PG589" s="93"/>
      <c r="PH589" s="93"/>
      <c r="PI589" s="93"/>
      <c r="PJ589" s="93"/>
      <c r="PK589" s="93"/>
      <c r="PL589" s="93"/>
      <c r="PM589" s="93"/>
      <c r="PN589" s="93"/>
      <c r="PO589" s="93"/>
      <c r="PP589" s="93"/>
      <c r="PQ589" s="93"/>
      <c r="PR589" s="93"/>
      <c r="PS589" s="93"/>
      <c r="PT589" s="93"/>
      <c r="PU589" s="93"/>
      <c r="PV589" s="93"/>
      <c r="PW589" s="93"/>
      <c r="PX589" s="93"/>
      <c r="PY589" s="93"/>
      <c r="PZ589" s="93"/>
      <c r="QA589" s="93"/>
      <c r="QB589" s="93"/>
      <c r="QC589" s="93"/>
      <c r="QD589" s="93"/>
      <c r="QE589" s="20"/>
      <c r="QF589" s="1739"/>
      <c r="QG589" s="19"/>
      <c r="QH589" s="93"/>
      <c r="QI589" s="93"/>
      <c r="QJ589" s="93"/>
      <c r="QK589" s="93"/>
      <c r="QL589" s="93"/>
      <c r="QM589" s="93"/>
      <c r="QN589" s="93"/>
      <c r="QO589" s="93"/>
      <c r="QP589" s="93"/>
      <c r="QQ589" s="93"/>
      <c r="QR589" s="93"/>
      <c r="QS589" s="93"/>
      <c r="QT589" s="93"/>
      <c r="QU589" s="93"/>
      <c r="QV589" s="93"/>
      <c r="QW589" s="93"/>
      <c r="QX589" s="93"/>
      <c r="QY589" s="93"/>
      <c r="QZ589" s="93"/>
      <c r="RA589" s="93"/>
      <c r="RB589" s="93"/>
      <c r="RC589" s="93"/>
      <c r="RD589" s="93"/>
      <c r="RE589" s="93"/>
      <c r="RF589" s="93"/>
      <c r="RG589" s="93"/>
      <c r="RH589" s="93"/>
      <c r="RI589" s="93"/>
      <c r="RJ589" s="93"/>
      <c r="RK589" s="93"/>
      <c r="RL589" s="93"/>
      <c r="RM589" s="20"/>
      <c r="RN589" s="29"/>
      <c r="RO589" s="19"/>
      <c r="RP589" s="20"/>
      <c r="RQ589" s="29"/>
      <c r="RR589" s="20"/>
      <c r="RS589" s="29"/>
      <c r="RT589" s="1504">
        <v>52383</v>
      </c>
      <c r="RU589" s="19"/>
      <c r="RV589" s="20"/>
      <c r="RW589" s="29"/>
      <c r="RX589" s="1504">
        <v>52383</v>
      </c>
      <c r="RY589" s="29"/>
      <c r="RZ589" s="20"/>
      <c r="SA589" s="29"/>
      <c r="SB589" s="29"/>
    </row>
    <row r="590" spans="1:496">
      <c r="A590" s="41">
        <f t="shared" si="362"/>
        <v>2043</v>
      </c>
      <c r="B590" s="1504">
        <v>52413</v>
      </c>
      <c r="C590" s="1813"/>
      <c r="D590" s="1814"/>
      <c r="E590" s="1814"/>
      <c r="F590" s="1815"/>
      <c r="G590" s="1814"/>
      <c r="H590" s="1814"/>
      <c r="I590" s="1814"/>
      <c r="J590" s="1816"/>
      <c r="K590" s="1807"/>
      <c r="L590" s="25"/>
      <c r="M590" s="97"/>
      <c r="N590" s="1504">
        <v>52413</v>
      </c>
      <c r="O590" s="19"/>
      <c r="P590" s="93"/>
      <c r="Q590" s="93"/>
      <c r="R590" s="93"/>
      <c r="S590" s="93"/>
      <c r="T590" s="93"/>
      <c r="U590" s="93"/>
      <c r="V590" s="93"/>
      <c r="W590" s="93"/>
      <c r="X590" s="93"/>
      <c r="Y590" s="93"/>
      <c r="Z590" s="93"/>
      <c r="AA590" s="93"/>
      <c r="AB590" s="20"/>
      <c r="AC590" s="25"/>
      <c r="AD590" s="97"/>
      <c r="AE590" s="1504">
        <v>52413</v>
      </c>
      <c r="AF590" s="19"/>
      <c r="AG590" s="93"/>
      <c r="AH590" s="93"/>
      <c r="AI590" s="93"/>
      <c r="AJ590" s="93"/>
      <c r="AK590" s="93"/>
      <c r="AL590" s="93"/>
      <c r="AM590" s="93"/>
      <c r="AN590" s="93"/>
      <c r="AO590" s="93"/>
      <c r="AP590" s="93"/>
      <c r="AQ590" s="93"/>
      <c r="AR590" s="93"/>
      <c r="AS590" s="20"/>
      <c r="AT590" s="25"/>
      <c r="AU590" s="97"/>
      <c r="AV590" s="1504">
        <v>52413</v>
      </c>
      <c r="AW590" s="19"/>
      <c r="AX590" s="93"/>
      <c r="AY590" s="93"/>
      <c r="AZ590" s="93"/>
      <c r="BA590" s="93"/>
      <c r="BB590" s="93"/>
      <c r="BC590" s="93"/>
      <c r="BD590" s="93"/>
      <c r="BE590" s="93"/>
      <c r="BF590" s="93"/>
      <c r="BG590" s="93"/>
      <c r="BH590" s="93"/>
      <c r="BI590" s="93"/>
      <c r="BJ590" s="20"/>
      <c r="BK590" s="25"/>
      <c r="BL590" s="97"/>
      <c r="BM590" s="1504">
        <v>52413</v>
      </c>
      <c r="BN590" s="19"/>
      <c r="BO590" s="93"/>
      <c r="BP590" s="93"/>
      <c r="BQ590" s="93"/>
      <c r="BR590" s="93"/>
      <c r="BS590" s="93"/>
      <c r="BT590" s="93"/>
      <c r="BU590" s="20"/>
      <c r="BV590" s="25"/>
      <c r="BW590" s="97"/>
      <c r="BX590" s="1504">
        <v>52413</v>
      </c>
      <c r="BY590" s="19"/>
      <c r="BZ590" s="93"/>
      <c r="CA590" s="93"/>
      <c r="CB590" s="93"/>
      <c r="CC590" s="93"/>
      <c r="CD590" s="25"/>
      <c r="CE590" s="97"/>
      <c r="CF590" s="1504">
        <v>52413</v>
      </c>
      <c r="CG590" s="19"/>
      <c r="CH590" s="93"/>
      <c r="CI590" s="219"/>
      <c r="CJ590" s="20"/>
      <c r="CK590" s="19"/>
      <c r="CL590" s="93"/>
      <c r="CM590" s="93"/>
      <c r="CN590" s="93"/>
      <c r="CO590" s="93"/>
      <c r="CP590" s="20"/>
      <c r="CQ590" s="219"/>
      <c r="CR590" s="93"/>
      <c r="CS590" s="93"/>
      <c r="CT590" s="93"/>
      <c r="CU590" s="93"/>
      <c r="CV590" s="214"/>
      <c r="CW590" s="29"/>
      <c r="CX590" s="41">
        <f t="shared" si="363"/>
        <v>2043</v>
      </c>
      <c r="CY590" s="1504">
        <v>52413</v>
      </c>
      <c r="CZ590" s="19"/>
      <c r="DA590" s="93"/>
      <c r="DB590" s="93"/>
      <c r="DC590" s="93"/>
      <c r="DD590" s="93"/>
      <c r="DE590" s="20"/>
      <c r="DF590" s="29"/>
      <c r="DG590" s="1504">
        <v>52413</v>
      </c>
      <c r="DH590" s="19"/>
      <c r="DI590" s="93"/>
      <c r="DJ590" s="93"/>
      <c r="DK590" s="93"/>
      <c r="DL590" s="93"/>
      <c r="DM590" s="93"/>
      <c r="DN590" s="20"/>
      <c r="DO590" s="295"/>
      <c r="DP590" s="29"/>
      <c r="DQ590" s="1504">
        <v>52413</v>
      </c>
      <c r="DR590" s="19"/>
      <c r="DS590" s="93"/>
      <c r="DT590" s="93"/>
      <c r="DU590" s="93"/>
      <c r="DV590" s="93"/>
      <c r="DW590" s="93"/>
      <c r="DX590" s="20"/>
      <c r="DY590" s="29"/>
      <c r="DZ590" s="1504">
        <v>52413</v>
      </c>
      <c r="EA590" s="19"/>
      <c r="EB590" s="93"/>
      <c r="EC590" s="20"/>
      <c r="ED590" s="29"/>
      <c r="EE590" s="1504">
        <v>52413</v>
      </c>
      <c r="EF590" s="19"/>
      <c r="EG590" s="93"/>
      <c r="EH590" s="93"/>
      <c r="EI590" s="214"/>
      <c r="EJ590" s="93"/>
      <c r="EK590" s="93"/>
      <c r="EL590" s="93"/>
      <c r="EM590" s="93"/>
      <c r="EN590" s="20"/>
      <c r="EO590" s="29"/>
      <c r="EP590" s="1504">
        <v>52413</v>
      </c>
      <c r="EQ590" s="19"/>
      <c r="ER590" s="93"/>
      <c r="ES590" s="93"/>
      <c r="ET590" s="214"/>
      <c r="EU590" s="93"/>
      <c r="EV590" s="93"/>
      <c r="EW590" s="93"/>
      <c r="EX590" s="93"/>
      <c r="EY590" s="20"/>
      <c r="EZ590" s="29"/>
      <c r="FA590" s="1504">
        <v>52413</v>
      </c>
      <c r="FB590" s="29"/>
      <c r="FC590" s="29"/>
      <c r="FD590" s="29"/>
      <c r="FE590" s="29"/>
      <c r="FF590" s="29"/>
      <c r="FG590" s="29"/>
      <c r="FH590" s="29"/>
      <c r="FI590" s="29"/>
      <c r="FJ590" s="29"/>
      <c r="FK590" s="29"/>
      <c r="FL590" s="1504">
        <v>52413</v>
      </c>
      <c r="FM590" s="19"/>
      <c r="FN590" s="93"/>
      <c r="FO590" s="93"/>
      <c r="FP590" s="93"/>
      <c r="FQ590" s="93"/>
      <c r="FR590" s="93"/>
      <c r="FS590" s="93"/>
      <c r="FT590" s="93"/>
      <c r="FU590" s="93"/>
      <c r="FV590" s="93"/>
      <c r="FW590" s="93"/>
      <c r="FX590" s="93"/>
      <c r="FY590" s="93"/>
      <c r="FZ590" s="29"/>
      <c r="GA590" s="1504">
        <v>52413</v>
      </c>
      <c r="GB590" s="19"/>
      <c r="GC590" s="93"/>
      <c r="GD590" s="93"/>
      <c r="GE590" s="93"/>
      <c r="GF590" s="93"/>
      <c r="GG590" s="93"/>
      <c r="GH590" s="93"/>
      <c r="GI590" s="93"/>
      <c r="GJ590" s="93"/>
      <c r="GK590" s="93"/>
      <c r="GL590" s="93"/>
      <c r="GM590" s="93"/>
      <c r="GN590" s="20"/>
      <c r="GO590" s="29"/>
      <c r="GP590" s="1504">
        <v>52413</v>
      </c>
      <c r="GQ590" s="19"/>
      <c r="GR590" s="93"/>
      <c r="GS590" s="93"/>
      <c r="GT590" s="93"/>
      <c r="GU590" s="93"/>
      <c r="GV590" s="20"/>
      <c r="GW590" s="19"/>
      <c r="GX590" s="93"/>
      <c r="GY590" s="93"/>
      <c r="GZ590" s="93"/>
      <c r="HA590" s="93"/>
      <c r="HB590" s="20"/>
      <c r="HC590" s="19"/>
      <c r="HD590" s="93"/>
      <c r="HE590" s="93"/>
      <c r="HF590" s="93"/>
      <c r="HG590" s="93"/>
      <c r="HH590" s="20"/>
      <c r="HI590" s="19"/>
      <c r="HJ590" s="93"/>
      <c r="HK590" s="93"/>
      <c r="HL590" s="93"/>
      <c r="HM590" s="93"/>
      <c r="HN590" s="20"/>
      <c r="HO590" s="219"/>
      <c r="HP590" s="20"/>
      <c r="HQ590" s="25"/>
      <c r="HR590" s="29"/>
      <c r="HS590" s="1504">
        <v>52413</v>
      </c>
      <c r="HT590" s="19"/>
      <c r="HU590" s="93"/>
      <c r="HV590" s="93"/>
      <c r="HW590" s="93"/>
      <c r="HX590" s="93"/>
      <c r="HY590" s="93"/>
      <c r="HZ590" s="93"/>
      <c r="IA590" s="20"/>
      <c r="IB590" s="19"/>
      <c r="IC590" s="93"/>
      <c r="ID590" s="93"/>
      <c r="IE590" s="93"/>
      <c r="IF590" s="93"/>
      <c r="IG590" s="20"/>
      <c r="IH590" s="19"/>
      <c r="II590" s="93"/>
      <c r="IJ590" s="93"/>
      <c r="IK590" s="93"/>
      <c r="IL590" s="93"/>
      <c r="IM590" s="93"/>
      <c r="IN590" s="93"/>
      <c r="IO590" s="20"/>
      <c r="IP590" s="29"/>
      <c r="IQ590" s="19"/>
      <c r="IR590" s="93"/>
      <c r="IS590" s="93"/>
      <c r="IT590" s="93"/>
      <c r="IU590" s="93"/>
      <c r="IV590" s="20"/>
      <c r="IW590" s="29"/>
      <c r="IX590" s="19"/>
      <c r="IY590" s="93"/>
      <c r="IZ590" s="93"/>
      <c r="JA590" s="93"/>
      <c r="JB590" s="93"/>
      <c r="JC590" s="93"/>
      <c r="JD590" s="93"/>
      <c r="JE590" s="20"/>
      <c r="JF590" s="29"/>
      <c r="JG590" s="19"/>
      <c r="JH590" s="93"/>
      <c r="JI590" s="93"/>
      <c r="JJ590" s="93"/>
      <c r="JK590" s="93"/>
      <c r="JL590" s="93"/>
      <c r="JM590" s="93"/>
      <c r="JN590" s="20"/>
      <c r="JO590" s="29"/>
      <c r="JP590" s="19"/>
      <c r="JQ590" s="93"/>
      <c r="JR590" s="93"/>
      <c r="JS590" s="93"/>
      <c r="JT590" s="93"/>
      <c r="JU590" s="20"/>
      <c r="JV590" s="29"/>
      <c r="JW590" s="1504">
        <v>52413</v>
      </c>
      <c r="JX590" s="19"/>
      <c r="JY590" s="93"/>
      <c r="JZ590" s="93"/>
      <c r="KA590" s="93"/>
      <c r="KB590" s="93"/>
      <c r="KC590" s="93"/>
      <c r="KD590" s="20"/>
      <c r="KE590" s="29"/>
      <c r="KF590" s="19"/>
      <c r="KG590" s="93"/>
      <c r="KH590" s="93"/>
      <c r="KI590" s="93"/>
      <c r="KJ590" s="93"/>
      <c r="KK590" s="20"/>
      <c r="KL590" s="29"/>
      <c r="KM590" s="19"/>
      <c r="KN590" s="93"/>
      <c r="KO590" s="93"/>
      <c r="KP590" s="93"/>
      <c r="KQ590" s="93"/>
      <c r="KR590" s="20"/>
      <c r="KS590" s="29"/>
      <c r="KT590" s="19"/>
      <c r="KU590" s="93"/>
      <c r="KV590" s="93"/>
      <c r="KW590" s="93"/>
      <c r="KX590" s="93"/>
      <c r="KY590" s="20"/>
      <c r="KZ590" s="29"/>
      <c r="LA590" s="1504">
        <v>52413</v>
      </c>
      <c r="LB590" s="19"/>
      <c r="LC590" s="93"/>
      <c r="LD590" s="93"/>
      <c r="LE590" s="93"/>
      <c r="LF590" s="93"/>
      <c r="LG590" s="93"/>
      <c r="LH590" s="20"/>
      <c r="LI590" s="29"/>
      <c r="LJ590" s="19"/>
      <c r="LK590" s="93"/>
      <c r="LL590" s="93"/>
      <c r="LM590" s="93"/>
      <c r="LN590" s="93"/>
      <c r="LO590" s="20"/>
      <c r="LP590" s="29"/>
      <c r="LQ590" s="19"/>
      <c r="LR590" s="93"/>
      <c r="LS590" s="93"/>
      <c r="LT590" s="93"/>
      <c r="LU590" s="93"/>
      <c r="LV590" s="93"/>
      <c r="LW590" s="93"/>
      <c r="LX590" s="93"/>
      <c r="LY590" s="93"/>
      <c r="LZ590" s="93"/>
      <c r="MA590" s="20"/>
      <c r="MB590" s="29"/>
      <c r="MC590" s="1504">
        <v>52413</v>
      </c>
      <c r="MD590" s="19"/>
      <c r="ME590" s="93"/>
      <c r="MF590" s="93"/>
      <c r="MG590" s="93"/>
      <c r="MH590" s="93"/>
      <c r="MI590" s="93"/>
      <c r="MJ590" s="93"/>
      <c r="MK590" s="93"/>
      <c r="ML590" s="93"/>
      <c r="MM590" s="93"/>
      <c r="MN590" s="93"/>
      <c r="MO590" s="93"/>
      <c r="MP590" s="93"/>
      <c r="MQ590" s="93"/>
      <c r="MR590" s="93"/>
      <c r="MS590" s="93"/>
      <c r="MT590" s="93"/>
      <c r="MU590" s="93"/>
      <c r="MV590" s="93"/>
      <c r="MW590" s="93"/>
      <c r="MX590" s="93"/>
      <c r="MY590" s="93"/>
      <c r="MZ590" s="93"/>
      <c r="NA590" s="93"/>
      <c r="NB590" s="93"/>
      <c r="NC590" s="93"/>
      <c r="ND590" s="93"/>
      <c r="NE590" s="93"/>
      <c r="NF590" s="93"/>
      <c r="NG590" s="93"/>
      <c r="NH590" s="93"/>
      <c r="NI590" s="93"/>
      <c r="NJ590" s="93"/>
      <c r="NK590" s="93"/>
      <c r="NL590" s="93"/>
      <c r="NM590" s="93"/>
      <c r="NN590" s="93"/>
      <c r="NO590" s="93"/>
      <c r="NP590" s="93"/>
      <c r="NQ590" s="93"/>
      <c r="NR590" s="93"/>
      <c r="NS590" s="93"/>
      <c r="NT590" s="93"/>
      <c r="NU590" s="93"/>
      <c r="NV590" s="93"/>
      <c r="NW590" s="93"/>
      <c r="NX590" s="93"/>
      <c r="NY590" s="93"/>
      <c r="NZ590" s="93"/>
      <c r="OA590" s="93"/>
      <c r="OB590" s="93"/>
      <c r="OC590" s="93"/>
      <c r="OD590" s="20"/>
      <c r="OE590" s="29"/>
      <c r="OF590" s="1504">
        <v>52413</v>
      </c>
      <c r="OG590" s="19"/>
      <c r="OH590" s="93"/>
      <c r="OI590" s="93"/>
      <c r="OJ590" s="93"/>
      <c r="OK590" s="93"/>
      <c r="OL590" s="93"/>
      <c r="OM590" s="93"/>
      <c r="ON590" s="93"/>
      <c r="OO590" s="93"/>
      <c r="OP590" s="93"/>
      <c r="OQ590" s="93"/>
      <c r="OR590" s="93"/>
      <c r="OS590" s="93"/>
      <c r="OT590" s="93"/>
      <c r="OU590" s="93"/>
      <c r="OV590" s="93"/>
      <c r="OW590" s="93"/>
      <c r="OX590" s="93"/>
      <c r="OY590" s="93"/>
      <c r="OZ590" s="93"/>
      <c r="PA590" s="93"/>
      <c r="PB590" s="93"/>
      <c r="PC590" s="20"/>
      <c r="PD590" s="29"/>
      <c r="PE590" s="19"/>
      <c r="PF590" s="93"/>
      <c r="PG590" s="93"/>
      <c r="PH590" s="93"/>
      <c r="PI590" s="93"/>
      <c r="PJ590" s="93"/>
      <c r="PK590" s="93"/>
      <c r="PL590" s="93"/>
      <c r="PM590" s="93"/>
      <c r="PN590" s="93"/>
      <c r="PO590" s="93"/>
      <c r="PP590" s="93"/>
      <c r="PQ590" s="93"/>
      <c r="PR590" s="93"/>
      <c r="PS590" s="93"/>
      <c r="PT590" s="93"/>
      <c r="PU590" s="93"/>
      <c r="PV590" s="93"/>
      <c r="PW590" s="93"/>
      <c r="PX590" s="93"/>
      <c r="PY590" s="93"/>
      <c r="PZ590" s="93"/>
      <c r="QA590" s="93"/>
      <c r="QB590" s="93"/>
      <c r="QC590" s="93"/>
      <c r="QD590" s="93"/>
      <c r="QE590" s="20"/>
      <c r="QF590" s="1739"/>
      <c r="QG590" s="19"/>
      <c r="QH590" s="93"/>
      <c r="QI590" s="93"/>
      <c r="QJ590" s="93"/>
      <c r="QK590" s="93"/>
      <c r="QL590" s="93"/>
      <c r="QM590" s="93"/>
      <c r="QN590" s="93"/>
      <c r="QO590" s="93"/>
      <c r="QP590" s="93"/>
      <c r="QQ590" s="93"/>
      <c r="QR590" s="93"/>
      <c r="QS590" s="93"/>
      <c r="QT590" s="93"/>
      <c r="QU590" s="93"/>
      <c r="QV590" s="93"/>
      <c r="QW590" s="93"/>
      <c r="QX590" s="93"/>
      <c r="QY590" s="93"/>
      <c r="QZ590" s="93"/>
      <c r="RA590" s="93"/>
      <c r="RB590" s="93"/>
      <c r="RC590" s="93"/>
      <c r="RD590" s="93"/>
      <c r="RE590" s="93"/>
      <c r="RF590" s="93"/>
      <c r="RG590" s="93"/>
      <c r="RH590" s="93"/>
      <c r="RI590" s="93"/>
      <c r="RJ590" s="93"/>
      <c r="RK590" s="93"/>
      <c r="RL590" s="93"/>
      <c r="RM590" s="20"/>
      <c r="RN590" s="29"/>
      <c r="RO590" s="19"/>
      <c r="RP590" s="20"/>
      <c r="RQ590" s="29"/>
      <c r="RR590" s="20"/>
      <c r="RS590" s="29"/>
      <c r="RT590" s="1504">
        <v>52413</v>
      </c>
      <c r="RU590" s="19"/>
      <c r="RV590" s="20"/>
      <c r="RW590" s="29"/>
      <c r="RX590" s="1504">
        <v>52413</v>
      </c>
      <c r="RY590" s="29"/>
      <c r="RZ590" s="20"/>
      <c r="SA590" s="29"/>
      <c r="SB590" s="29"/>
    </row>
    <row r="591" spans="1:496">
      <c r="A591" s="41">
        <f t="shared" si="362"/>
        <v>2043</v>
      </c>
      <c r="B591" s="1504">
        <v>52444</v>
      </c>
      <c r="C591" s="1813"/>
      <c r="D591" s="1814"/>
      <c r="E591" s="1814"/>
      <c r="F591" s="1815"/>
      <c r="G591" s="1814"/>
      <c r="H591" s="1814"/>
      <c r="I591" s="1814"/>
      <c r="J591" s="1816"/>
      <c r="K591" s="1807"/>
      <c r="L591" s="25"/>
      <c r="M591" s="97"/>
      <c r="N591" s="1504">
        <v>52444</v>
      </c>
      <c r="O591" s="19"/>
      <c r="P591" s="93"/>
      <c r="Q591" s="93"/>
      <c r="R591" s="93"/>
      <c r="S591" s="93"/>
      <c r="T591" s="93"/>
      <c r="U591" s="93"/>
      <c r="V591" s="93"/>
      <c r="W591" s="93"/>
      <c r="X591" s="93"/>
      <c r="Y591" s="93"/>
      <c r="Z591" s="93"/>
      <c r="AA591" s="93"/>
      <c r="AB591" s="20"/>
      <c r="AC591" s="25"/>
      <c r="AD591" s="97"/>
      <c r="AE591" s="1504">
        <v>52444</v>
      </c>
      <c r="AF591" s="19"/>
      <c r="AG591" s="93"/>
      <c r="AH591" s="93"/>
      <c r="AI591" s="93"/>
      <c r="AJ591" s="93"/>
      <c r="AK591" s="93"/>
      <c r="AL591" s="93"/>
      <c r="AM591" s="93"/>
      <c r="AN591" s="93"/>
      <c r="AO591" s="93"/>
      <c r="AP591" s="93"/>
      <c r="AQ591" s="93"/>
      <c r="AR591" s="93"/>
      <c r="AS591" s="20"/>
      <c r="AT591" s="25"/>
      <c r="AU591" s="97"/>
      <c r="AV591" s="1504">
        <v>52444</v>
      </c>
      <c r="AW591" s="19"/>
      <c r="AX591" s="93"/>
      <c r="AY591" s="93"/>
      <c r="AZ591" s="93"/>
      <c r="BA591" s="93"/>
      <c r="BB591" s="93"/>
      <c r="BC591" s="93"/>
      <c r="BD591" s="93"/>
      <c r="BE591" s="93"/>
      <c r="BF591" s="93"/>
      <c r="BG591" s="93"/>
      <c r="BH591" s="93"/>
      <c r="BI591" s="93"/>
      <c r="BJ591" s="20"/>
      <c r="BK591" s="25"/>
      <c r="BL591" s="97"/>
      <c r="BM591" s="1504">
        <v>52444</v>
      </c>
      <c r="BN591" s="19"/>
      <c r="BO591" s="93"/>
      <c r="BP591" s="93"/>
      <c r="BQ591" s="93"/>
      <c r="BR591" s="93"/>
      <c r="BS591" s="93"/>
      <c r="BT591" s="93"/>
      <c r="BU591" s="20"/>
      <c r="BV591" s="25"/>
      <c r="BW591" s="97"/>
      <c r="BX591" s="1504">
        <v>52444</v>
      </c>
      <c r="BY591" s="19"/>
      <c r="BZ591" s="93"/>
      <c r="CA591" s="93"/>
      <c r="CB591" s="93"/>
      <c r="CC591" s="93"/>
      <c r="CD591" s="25"/>
      <c r="CE591" s="97"/>
      <c r="CF591" s="1504">
        <v>52444</v>
      </c>
      <c r="CG591" s="19"/>
      <c r="CH591" s="93"/>
      <c r="CI591" s="219"/>
      <c r="CJ591" s="20"/>
      <c r="CK591" s="19"/>
      <c r="CL591" s="93"/>
      <c r="CM591" s="93"/>
      <c r="CN591" s="93"/>
      <c r="CO591" s="93"/>
      <c r="CP591" s="20"/>
      <c r="CQ591" s="219"/>
      <c r="CR591" s="93"/>
      <c r="CS591" s="93"/>
      <c r="CT591" s="93"/>
      <c r="CU591" s="93"/>
      <c r="CV591" s="214"/>
      <c r="CW591" s="29"/>
      <c r="CX591" s="41">
        <f t="shared" si="363"/>
        <v>2043</v>
      </c>
      <c r="CY591" s="1504">
        <v>52444</v>
      </c>
      <c r="CZ591" s="19"/>
      <c r="DA591" s="93"/>
      <c r="DB591" s="93"/>
      <c r="DC591" s="93"/>
      <c r="DD591" s="93"/>
      <c r="DE591" s="20"/>
      <c r="DF591" s="29"/>
      <c r="DG591" s="1504">
        <v>52444</v>
      </c>
      <c r="DH591" s="19"/>
      <c r="DI591" s="93"/>
      <c r="DJ591" s="93"/>
      <c r="DK591" s="93"/>
      <c r="DL591" s="93"/>
      <c r="DM591" s="93"/>
      <c r="DN591" s="20"/>
      <c r="DO591" s="295"/>
      <c r="DP591" s="29"/>
      <c r="DQ591" s="1504">
        <v>52444</v>
      </c>
      <c r="DR591" s="19"/>
      <c r="DS591" s="93"/>
      <c r="DT591" s="93"/>
      <c r="DU591" s="93"/>
      <c r="DV591" s="93"/>
      <c r="DW591" s="93"/>
      <c r="DX591" s="20"/>
      <c r="DY591" s="29"/>
      <c r="DZ591" s="1504">
        <v>52444</v>
      </c>
      <c r="EA591" s="19"/>
      <c r="EB591" s="93"/>
      <c r="EC591" s="20"/>
      <c r="ED591" s="29"/>
      <c r="EE591" s="1504">
        <v>52444</v>
      </c>
      <c r="EF591" s="19"/>
      <c r="EG591" s="93"/>
      <c r="EH591" s="93"/>
      <c r="EI591" s="214"/>
      <c r="EJ591" s="93"/>
      <c r="EK591" s="93"/>
      <c r="EL591" s="93"/>
      <c r="EM591" s="93"/>
      <c r="EN591" s="20"/>
      <c r="EO591" s="29"/>
      <c r="EP591" s="1504">
        <v>52444</v>
      </c>
      <c r="EQ591" s="19"/>
      <c r="ER591" s="93"/>
      <c r="ES591" s="93"/>
      <c r="ET591" s="214"/>
      <c r="EU591" s="93"/>
      <c r="EV591" s="93"/>
      <c r="EW591" s="93"/>
      <c r="EX591" s="93"/>
      <c r="EY591" s="20"/>
      <c r="EZ591" s="29"/>
      <c r="FA591" s="1504">
        <v>52444</v>
      </c>
      <c r="FB591" s="29"/>
      <c r="FC591" s="29"/>
      <c r="FD591" s="29"/>
      <c r="FE591" s="29"/>
      <c r="FF591" s="29"/>
      <c r="FG591" s="29"/>
      <c r="FH591" s="29"/>
      <c r="FI591" s="29"/>
      <c r="FJ591" s="29"/>
      <c r="FK591" s="29"/>
      <c r="FL591" s="1504">
        <v>52444</v>
      </c>
      <c r="FM591" s="19"/>
      <c r="FN591" s="93"/>
      <c r="FO591" s="93"/>
      <c r="FP591" s="93"/>
      <c r="FQ591" s="93"/>
      <c r="FR591" s="93"/>
      <c r="FS591" s="93"/>
      <c r="FT591" s="93"/>
      <c r="FU591" s="93"/>
      <c r="FV591" s="93"/>
      <c r="FW591" s="93"/>
      <c r="FX591" s="93"/>
      <c r="FY591" s="93"/>
      <c r="FZ591" s="29"/>
      <c r="GA591" s="1504">
        <v>52444</v>
      </c>
      <c r="GB591" s="19"/>
      <c r="GC591" s="93"/>
      <c r="GD591" s="93"/>
      <c r="GE591" s="93"/>
      <c r="GF591" s="93"/>
      <c r="GG591" s="93"/>
      <c r="GH591" s="93"/>
      <c r="GI591" s="93"/>
      <c r="GJ591" s="93"/>
      <c r="GK591" s="93"/>
      <c r="GL591" s="93"/>
      <c r="GM591" s="93"/>
      <c r="GN591" s="20"/>
      <c r="GO591" s="29"/>
      <c r="GP591" s="1504">
        <v>52444</v>
      </c>
      <c r="GQ591" s="19"/>
      <c r="GR591" s="93"/>
      <c r="GS591" s="93"/>
      <c r="GT591" s="93"/>
      <c r="GU591" s="93"/>
      <c r="GV591" s="20"/>
      <c r="GW591" s="19"/>
      <c r="GX591" s="93"/>
      <c r="GY591" s="93"/>
      <c r="GZ591" s="93"/>
      <c r="HA591" s="93"/>
      <c r="HB591" s="20"/>
      <c r="HC591" s="19"/>
      <c r="HD591" s="93"/>
      <c r="HE591" s="93"/>
      <c r="HF591" s="93"/>
      <c r="HG591" s="93"/>
      <c r="HH591" s="20"/>
      <c r="HI591" s="19"/>
      <c r="HJ591" s="93"/>
      <c r="HK591" s="93"/>
      <c r="HL591" s="93"/>
      <c r="HM591" s="93"/>
      <c r="HN591" s="20"/>
      <c r="HO591" s="219"/>
      <c r="HP591" s="20"/>
      <c r="HQ591" s="25"/>
      <c r="HR591" s="29"/>
      <c r="HS591" s="1504">
        <v>52444</v>
      </c>
      <c r="HT591" s="19"/>
      <c r="HU591" s="93"/>
      <c r="HV591" s="93"/>
      <c r="HW591" s="93"/>
      <c r="HX591" s="93"/>
      <c r="HY591" s="93"/>
      <c r="HZ591" s="93"/>
      <c r="IA591" s="20"/>
      <c r="IB591" s="19"/>
      <c r="IC591" s="93"/>
      <c r="ID591" s="93"/>
      <c r="IE591" s="93"/>
      <c r="IF591" s="93"/>
      <c r="IG591" s="20"/>
      <c r="IH591" s="19"/>
      <c r="II591" s="93"/>
      <c r="IJ591" s="93"/>
      <c r="IK591" s="93"/>
      <c r="IL591" s="93"/>
      <c r="IM591" s="93"/>
      <c r="IN591" s="93"/>
      <c r="IO591" s="20"/>
      <c r="IP591" s="29"/>
      <c r="IQ591" s="19"/>
      <c r="IR591" s="93"/>
      <c r="IS591" s="93"/>
      <c r="IT591" s="93"/>
      <c r="IU591" s="93"/>
      <c r="IV591" s="20"/>
      <c r="IW591" s="29"/>
      <c r="IX591" s="19"/>
      <c r="IY591" s="93"/>
      <c r="IZ591" s="93"/>
      <c r="JA591" s="93"/>
      <c r="JB591" s="93"/>
      <c r="JC591" s="93"/>
      <c r="JD591" s="93"/>
      <c r="JE591" s="20"/>
      <c r="JF591" s="29"/>
      <c r="JG591" s="19"/>
      <c r="JH591" s="93"/>
      <c r="JI591" s="93"/>
      <c r="JJ591" s="93"/>
      <c r="JK591" s="93"/>
      <c r="JL591" s="93"/>
      <c r="JM591" s="93"/>
      <c r="JN591" s="20"/>
      <c r="JO591" s="29"/>
      <c r="JP591" s="19"/>
      <c r="JQ591" s="93"/>
      <c r="JR591" s="93"/>
      <c r="JS591" s="93"/>
      <c r="JT591" s="93"/>
      <c r="JU591" s="20"/>
      <c r="JV591" s="29"/>
      <c r="JW591" s="1504">
        <v>52444</v>
      </c>
      <c r="JX591" s="19"/>
      <c r="JY591" s="93"/>
      <c r="JZ591" s="93"/>
      <c r="KA591" s="93"/>
      <c r="KB591" s="93"/>
      <c r="KC591" s="93"/>
      <c r="KD591" s="20"/>
      <c r="KE591" s="29"/>
      <c r="KF591" s="19"/>
      <c r="KG591" s="93"/>
      <c r="KH591" s="93"/>
      <c r="KI591" s="93"/>
      <c r="KJ591" s="93"/>
      <c r="KK591" s="20"/>
      <c r="KL591" s="29"/>
      <c r="KM591" s="19"/>
      <c r="KN591" s="93"/>
      <c r="KO591" s="93"/>
      <c r="KP591" s="93"/>
      <c r="KQ591" s="93"/>
      <c r="KR591" s="20"/>
      <c r="KS591" s="29"/>
      <c r="KT591" s="19"/>
      <c r="KU591" s="93"/>
      <c r="KV591" s="93"/>
      <c r="KW591" s="93"/>
      <c r="KX591" s="93"/>
      <c r="KY591" s="20"/>
      <c r="KZ591" s="29"/>
      <c r="LA591" s="1504">
        <v>52444</v>
      </c>
      <c r="LB591" s="19"/>
      <c r="LC591" s="93"/>
      <c r="LD591" s="93"/>
      <c r="LE591" s="93"/>
      <c r="LF591" s="93"/>
      <c r="LG591" s="93"/>
      <c r="LH591" s="20"/>
      <c r="LI591" s="29"/>
      <c r="LJ591" s="19"/>
      <c r="LK591" s="93"/>
      <c r="LL591" s="93"/>
      <c r="LM591" s="93"/>
      <c r="LN591" s="93"/>
      <c r="LO591" s="20"/>
      <c r="LP591" s="29"/>
      <c r="LQ591" s="19"/>
      <c r="LR591" s="93"/>
      <c r="LS591" s="93"/>
      <c r="LT591" s="93"/>
      <c r="LU591" s="93"/>
      <c r="LV591" s="93"/>
      <c r="LW591" s="93"/>
      <c r="LX591" s="93"/>
      <c r="LY591" s="93"/>
      <c r="LZ591" s="93"/>
      <c r="MA591" s="20"/>
      <c r="MB591" s="29"/>
      <c r="MC591" s="1504">
        <v>52444</v>
      </c>
      <c r="MD591" s="19"/>
      <c r="ME591" s="93"/>
      <c r="MF591" s="93"/>
      <c r="MG591" s="93"/>
      <c r="MH591" s="93"/>
      <c r="MI591" s="93"/>
      <c r="MJ591" s="93"/>
      <c r="MK591" s="93"/>
      <c r="ML591" s="93"/>
      <c r="MM591" s="93"/>
      <c r="MN591" s="93"/>
      <c r="MO591" s="93"/>
      <c r="MP591" s="93"/>
      <c r="MQ591" s="93"/>
      <c r="MR591" s="93"/>
      <c r="MS591" s="93"/>
      <c r="MT591" s="93"/>
      <c r="MU591" s="93"/>
      <c r="MV591" s="93"/>
      <c r="MW591" s="93"/>
      <c r="MX591" s="93"/>
      <c r="MY591" s="93"/>
      <c r="MZ591" s="93"/>
      <c r="NA591" s="93"/>
      <c r="NB591" s="93"/>
      <c r="NC591" s="93"/>
      <c r="ND591" s="93"/>
      <c r="NE591" s="93"/>
      <c r="NF591" s="93"/>
      <c r="NG591" s="93"/>
      <c r="NH591" s="93"/>
      <c r="NI591" s="93"/>
      <c r="NJ591" s="93"/>
      <c r="NK591" s="93"/>
      <c r="NL591" s="93"/>
      <c r="NM591" s="93"/>
      <c r="NN591" s="93"/>
      <c r="NO591" s="93"/>
      <c r="NP591" s="93"/>
      <c r="NQ591" s="93"/>
      <c r="NR591" s="93"/>
      <c r="NS591" s="93"/>
      <c r="NT591" s="93"/>
      <c r="NU591" s="93"/>
      <c r="NV591" s="93"/>
      <c r="NW591" s="93"/>
      <c r="NX591" s="93"/>
      <c r="NY591" s="93"/>
      <c r="NZ591" s="93"/>
      <c r="OA591" s="93"/>
      <c r="OB591" s="93"/>
      <c r="OC591" s="93"/>
      <c r="OD591" s="20"/>
      <c r="OE591" s="29"/>
      <c r="OF591" s="1504">
        <v>52444</v>
      </c>
      <c r="OG591" s="19"/>
      <c r="OH591" s="93"/>
      <c r="OI591" s="93"/>
      <c r="OJ591" s="93"/>
      <c r="OK591" s="93"/>
      <c r="OL591" s="93"/>
      <c r="OM591" s="93"/>
      <c r="ON591" s="93"/>
      <c r="OO591" s="93"/>
      <c r="OP591" s="93"/>
      <c r="OQ591" s="93"/>
      <c r="OR591" s="93"/>
      <c r="OS591" s="93"/>
      <c r="OT591" s="93"/>
      <c r="OU591" s="93"/>
      <c r="OV591" s="93"/>
      <c r="OW591" s="93"/>
      <c r="OX591" s="93"/>
      <c r="OY591" s="93"/>
      <c r="OZ591" s="93"/>
      <c r="PA591" s="93"/>
      <c r="PB591" s="93"/>
      <c r="PC591" s="20"/>
      <c r="PD591" s="29"/>
      <c r="PE591" s="19"/>
      <c r="PF591" s="93"/>
      <c r="PG591" s="93"/>
      <c r="PH591" s="93"/>
      <c r="PI591" s="93"/>
      <c r="PJ591" s="93"/>
      <c r="PK591" s="93"/>
      <c r="PL591" s="93"/>
      <c r="PM591" s="93"/>
      <c r="PN591" s="93"/>
      <c r="PO591" s="93"/>
      <c r="PP591" s="93"/>
      <c r="PQ591" s="93"/>
      <c r="PR591" s="93"/>
      <c r="PS591" s="93"/>
      <c r="PT591" s="93"/>
      <c r="PU591" s="93"/>
      <c r="PV591" s="93"/>
      <c r="PW591" s="93"/>
      <c r="PX591" s="93"/>
      <c r="PY591" s="93"/>
      <c r="PZ591" s="93"/>
      <c r="QA591" s="93"/>
      <c r="QB591" s="93"/>
      <c r="QC591" s="93"/>
      <c r="QD591" s="93"/>
      <c r="QE591" s="20"/>
      <c r="QF591" s="1739"/>
      <c r="QG591" s="19"/>
      <c r="QH591" s="93"/>
      <c r="QI591" s="93"/>
      <c r="QJ591" s="93"/>
      <c r="QK591" s="93"/>
      <c r="QL591" s="93"/>
      <c r="QM591" s="93"/>
      <c r="QN591" s="93"/>
      <c r="QO591" s="93"/>
      <c r="QP591" s="93"/>
      <c r="QQ591" s="93"/>
      <c r="QR591" s="93"/>
      <c r="QS591" s="93"/>
      <c r="QT591" s="93"/>
      <c r="QU591" s="93"/>
      <c r="QV591" s="93"/>
      <c r="QW591" s="93"/>
      <c r="QX591" s="93"/>
      <c r="QY591" s="93"/>
      <c r="QZ591" s="93"/>
      <c r="RA591" s="93"/>
      <c r="RB591" s="93"/>
      <c r="RC591" s="93"/>
      <c r="RD591" s="93"/>
      <c r="RE591" s="93"/>
      <c r="RF591" s="93"/>
      <c r="RG591" s="93"/>
      <c r="RH591" s="93"/>
      <c r="RI591" s="93"/>
      <c r="RJ591" s="93"/>
      <c r="RK591" s="93"/>
      <c r="RL591" s="93"/>
      <c r="RM591" s="20"/>
      <c r="RN591" s="29"/>
      <c r="RO591" s="19"/>
      <c r="RP591" s="20"/>
      <c r="RQ591" s="29"/>
      <c r="RR591" s="20"/>
      <c r="RS591" s="29"/>
      <c r="RT591" s="1504">
        <v>52444</v>
      </c>
      <c r="RU591" s="19"/>
      <c r="RV591" s="20"/>
      <c r="RW591" s="29"/>
      <c r="RX591" s="1504">
        <v>52444</v>
      </c>
      <c r="RY591" s="29"/>
      <c r="RZ591" s="20"/>
      <c r="SA591" s="29"/>
      <c r="SB591" s="29"/>
    </row>
    <row r="592" spans="1:496">
      <c r="A592" s="41">
        <f t="shared" si="362"/>
        <v>2043</v>
      </c>
      <c r="B592" s="1504">
        <v>52475</v>
      </c>
      <c r="C592" s="1813"/>
      <c r="D592" s="1814"/>
      <c r="E592" s="1814"/>
      <c r="F592" s="1815"/>
      <c r="G592" s="1814"/>
      <c r="H592" s="1814"/>
      <c r="I592" s="1814"/>
      <c r="J592" s="1816"/>
      <c r="K592" s="1807"/>
      <c r="L592" s="25"/>
      <c r="M592" s="97"/>
      <c r="N592" s="1504">
        <v>52475</v>
      </c>
      <c r="O592" s="19"/>
      <c r="P592" s="93"/>
      <c r="Q592" s="93"/>
      <c r="R592" s="93"/>
      <c r="S592" s="93"/>
      <c r="T592" s="93"/>
      <c r="U592" s="93"/>
      <c r="V592" s="93"/>
      <c r="W592" s="93"/>
      <c r="X592" s="93"/>
      <c r="Y592" s="93"/>
      <c r="Z592" s="93"/>
      <c r="AA592" s="93"/>
      <c r="AB592" s="20"/>
      <c r="AC592" s="25"/>
      <c r="AD592" s="97"/>
      <c r="AE592" s="1504">
        <v>52475</v>
      </c>
      <c r="AF592" s="19"/>
      <c r="AG592" s="93"/>
      <c r="AH592" s="93"/>
      <c r="AI592" s="93"/>
      <c r="AJ592" s="93"/>
      <c r="AK592" s="93"/>
      <c r="AL592" s="93"/>
      <c r="AM592" s="93"/>
      <c r="AN592" s="93"/>
      <c r="AO592" s="93"/>
      <c r="AP592" s="93"/>
      <c r="AQ592" s="93"/>
      <c r="AR592" s="93"/>
      <c r="AS592" s="20"/>
      <c r="AT592" s="25"/>
      <c r="AU592" s="97"/>
      <c r="AV592" s="1504">
        <v>52475</v>
      </c>
      <c r="AW592" s="19"/>
      <c r="AX592" s="93"/>
      <c r="AY592" s="93"/>
      <c r="AZ592" s="93"/>
      <c r="BA592" s="93"/>
      <c r="BB592" s="93"/>
      <c r="BC592" s="93"/>
      <c r="BD592" s="93"/>
      <c r="BE592" s="93"/>
      <c r="BF592" s="93"/>
      <c r="BG592" s="93"/>
      <c r="BH592" s="93"/>
      <c r="BI592" s="93"/>
      <c r="BJ592" s="20"/>
      <c r="BK592" s="25"/>
      <c r="BL592" s="97"/>
      <c r="BM592" s="1504">
        <v>52475</v>
      </c>
      <c r="BN592" s="19"/>
      <c r="BO592" s="93"/>
      <c r="BP592" s="93"/>
      <c r="BQ592" s="93"/>
      <c r="BR592" s="93"/>
      <c r="BS592" s="93"/>
      <c r="BT592" s="93"/>
      <c r="BU592" s="20"/>
      <c r="BV592" s="25"/>
      <c r="BW592" s="97"/>
      <c r="BX592" s="1504">
        <v>52475</v>
      </c>
      <c r="BY592" s="19"/>
      <c r="BZ592" s="93"/>
      <c r="CA592" s="93"/>
      <c r="CB592" s="93"/>
      <c r="CC592" s="93"/>
      <c r="CD592" s="25"/>
      <c r="CE592" s="97"/>
      <c r="CF592" s="1504">
        <v>52475</v>
      </c>
      <c r="CG592" s="19"/>
      <c r="CH592" s="93"/>
      <c r="CI592" s="219"/>
      <c r="CJ592" s="20"/>
      <c r="CK592" s="19"/>
      <c r="CL592" s="93"/>
      <c r="CM592" s="93"/>
      <c r="CN592" s="93"/>
      <c r="CO592" s="93"/>
      <c r="CP592" s="20"/>
      <c r="CQ592" s="219"/>
      <c r="CR592" s="93"/>
      <c r="CS592" s="93"/>
      <c r="CT592" s="93"/>
      <c r="CU592" s="93"/>
      <c r="CV592" s="214"/>
      <c r="CW592" s="29"/>
      <c r="CX592" s="41">
        <f t="shared" si="363"/>
        <v>2043</v>
      </c>
      <c r="CY592" s="1504">
        <v>52475</v>
      </c>
      <c r="CZ592" s="19"/>
      <c r="DA592" s="93"/>
      <c r="DB592" s="93"/>
      <c r="DC592" s="93"/>
      <c r="DD592" s="93"/>
      <c r="DE592" s="20"/>
      <c r="DF592" s="29"/>
      <c r="DG592" s="1504">
        <v>52475</v>
      </c>
      <c r="DH592" s="19"/>
      <c r="DI592" s="93"/>
      <c r="DJ592" s="93"/>
      <c r="DK592" s="93"/>
      <c r="DL592" s="93"/>
      <c r="DM592" s="93"/>
      <c r="DN592" s="20"/>
      <c r="DO592" s="295"/>
      <c r="DP592" s="29"/>
      <c r="DQ592" s="1504">
        <v>52475</v>
      </c>
      <c r="DR592" s="19"/>
      <c r="DS592" s="93"/>
      <c r="DT592" s="93"/>
      <c r="DU592" s="93"/>
      <c r="DV592" s="93"/>
      <c r="DW592" s="93"/>
      <c r="DX592" s="20"/>
      <c r="DY592" s="29"/>
      <c r="DZ592" s="1504">
        <v>52475</v>
      </c>
      <c r="EA592" s="19"/>
      <c r="EB592" s="93"/>
      <c r="EC592" s="20"/>
      <c r="ED592" s="29"/>
      <c r="EE592" s="1504">
        <v>52475</v>
      </c>
      <c r="EF592" s="19"/>
      <c r="EG592" s="93"/>
      <c r="EH592" s="93"/>
      <c r="EI592" s="214"/>
      <c r="EJ592" s="93"/>
      <c r="EK592" s="93"/>
      <c r="EL592" s="93"/>
      <c r="EM592" s="93"/>
      <c r="EN592" s="20"/>
      <c r="EO592" s="29"/>
      <c r="EP592" s="1504">
        <v>52475</v>
      </c>
      <c r="EQ592" s="19"/>
      <c r="ER592" s="93"/>
      <c r="ES592" s="93"/>
      <c r="ET592" s="214"/>
      <c r="EU592" s="93"/>
      <c r="EV592" s="93"/>
      <c r="EW592" s="93"/>
      <c r="EX592" s="93"/>
      <c r="EY592" s="20"/>
      <c r="EZ592" s="29"/>
      <c r="FA592" s="1504">
        <v>52475</v>
      </c>
      <c r="FB592" s="29"/>
      <c r="FC592" s="29"/>
      <c r="FD592" s="29"/>
      <c r="FE592" s="29"/>
      <c r="FF592" s="29"/>
      <c r="FG592" s="29"/>
      <c r="FH592" s="29"/>
      <c r="FI592" s="29"/>
      <c r="FJ592" s="29"/>
      <c r="FK592" s="29"/>
      <c r="FL592" s="1504">
        <v>52475</v>
      </c>
      <c r="FM592" s="19"/>
      <c r="FN592" s="93"/>
      <c r="FO592" s="93"/>
      <c r="FP592" s="93"/>
      <c r="FQ592" s="93"/>
      <c r="FR592" s="93"/>
      <c r="FS592" s="93"/>
      <c r="FT592" s="93"/>
      <c r="FU592" s="93"/>
      <c r="FV592" s="93"/>
      <c r="FW592" s="93"/>
      <c r="FX592" s="93"/>
      <c r="FY592" s="93"/>
      <c r="FZ592" s="29"/>
      <c r="GA592" s="1504">
        <v>52475</v>
      </c>
      <c r="GB592" s="19"/>
      <c r="GC592" s="93"/>
      <c r="GD592" s="93"/>
      <c r="GE592" s="93"/>
      <c r="GF592" s="93"/>
      <c r="GG592" s="93"/>
      <c r="GH592" s="93"/>
      <c r="GI592" s="93"/>
      <c r="GJ592" s="93"/>
      <c r="GK592" s="93"/>
      <c r="GL592" s="93"/>
      <c r="GM592" s="93"/>
      <c r="GN592" s="20"/>
      <c r="GO592" s="29"/>
      <c r="GP592" s="1504">
        <v>52475</v>
      </c>
      <c r="GQ592" s="19"/>
      <c r="GR592" s="93"/>
      <c r="GS592" s="93"/>
      <c r="GT592" s="93"/>
      <c r="GU592" s="93"/>
      <c r="GV592" s="20"/>
      <c r="GW592" s="19"/>
      <c r="GX592" s="93"/>
      <c r="GY592" s="93"/>
      <c r="GZ592" s="93"/>
      <c r="HA592" s="93"/>
      <c r="HB592" s="20"/>
      <c r="HC592" s="19"/>
      <c r="HD592" s="93"/>
      <c r="HE592" s="93"/>
      <c r="HF592" s="93"/>
      <c r="HG592" s="93"/>
      <c r="HH592" s="20"/>
      <c r="HI592" s="19"/>
      <c r="HJ592" s="93"/>
      <c r="HK592" s="93"/>
      <c r="HL592" s="93"/>
      <c r="HM592" s="93"/>
      <c r="HN592" s="20"/>
      <c r="HO592" s="219"/>
      <c r="HP592" s="20"/>
      <c r="HQ592" s="25"/>
      <c r="HR592" s="29"/>
      <c r="HS592" s="1504">
        <v>52475</v>
      </c>
      <c r="HT592" s="19"/>
      <c r="HU592" s="93"/>
      <c r="HV592" s="93"/>
      <c r="HW592" s="93"/>
      <c r="HX592" s="93"/>
      <c r="HY592" s="93"/>
      <c r="HZ592" s="93"/>
      <c r="IA592" s="20"/>
      <c r="IB592" s="19"/>
      <c r="IC592" s="93"/>
      <c r="ID592" s="93"/>
      <c r="IE592" s="93"/>
      <c r="IF592" s="93"/>
      <c r="IG592" s="20"/>
      <c r="IH592" s="19"/>
      <c r="II592" s="93"/>
      <c r="IJ592" s="93"/>
      <c r="IK592" s="93"/>
      <c r="IL592" s="93"/>
      <c r="IM592" s="93"/>
      <c r="IN592" s="93"/>
      <c r="IO592" s="20"/>
      <c r="IP592" s="29"/>
      <c r="IQ592" s="19"/>
      <c r="IR592" s="93"/>
      <c r="IS592" s="93"/>
      <c r="IT592" s="93"/>
      <c r="IU592" s="93"/>
      <c r="IV592" s="20"/>
      <c r="IW592" s="29"/>
      <c r="IX592" s="19"/>
      <c r="IY592" s="93"/>
      <c r="IZ592" s="93"/>
      <c r="JA592" s="93"/>
      <c r="JB592" s="93"/>
      <c r="JC592" s="93"/>
      <c r="JD592" s="93"/>
      <c r="JE592" s="20"/>
      <c r="JF592" s="29"/>
      <c r="JG592" s="19"/>
      <c r="JH592" s="93"/>
      <c r="JI592" s="93"/>
      <c r="JJ592" s="93"/>
      <c r="JK592" s="93"/>
      <c r="JL592" s="93"/>
      <c r="JM592" s="93"/>
      <c r="JN592" s="20"/>
      <c r="JO592" s="29"/>
      <c r="JP592" s="19"/>
      <c r="JQ592" s="93"/>
      <c r="JR592" s="93"/>
      <c r="JS592" s="93"/>
      <c r="JT592" s="93"/>
      <c r="JU592" s="20"/>
      <c r="JV592" s="29"/>
      <c r="JW592" s="1504">
        <v>52475</v>
      </c>
      <c r="JX592" s="19"/>
      <c r="JY592" s="93"/>
      <c r="JZ592" s="93"/>
      <c r="KA592" s="93"/>
      <c r="KB592" s="93"/>
      <c r="KC592" s="93"/>
      <c r="KD592" s="20"/>
      <c r="KE592" s="29"/>
      <c r="KF592" s="19"/>
      <c r="KG592" s="93"/>
      <c r="KH592" s="93"/>
      <c r="KI592" s="93"/>
      <c r="KJ592" s="93"/>
      <c r="KK592" s="20"/>
      <c r="KL592" s="29"/>
      <c r="KM592" s="19"/>
      <c r="KN592" s="93"/>
      <c r="KO592" s="93"/>
      <c r="KP592" s="93"/>
      <c r="KQ592" s="93"/>
      <c r="KR592" s="20"/>
      <c r="KS592" s="29"/>
      <c r="KT592" s="19"/>
      <c r="KU592" s="93"/>
      <c r="KV592" s="93"/>
      <c r="KW592" s="93"/>
      <c r="KX592" s="93"/>
      <c r="KY592" s="20"/>
      <c r="KZ592" s="29"/>
      <c r="LA592" s="1504">
        <v>52475</v>
      </c>
      <c r="LB592" s="19"/>
      <c r="LC592" s="93"/>
      <c r="LD592" s="93"/>
      <c r="LE592" s="93"/>
      <c r="LF592" s="93"/>
      <c r="LG592" s="93"/>
      <c r="LH592" s="20"/>
      <c r="LI592" s="29"/>
      <c r="LJ592" s="19"/>
      <c r="LK592" s="93"/>
      <c r="LL592" s="93"/>
      <c r="LM592" s="93"/>
      <c r="LN592" s="93"/>
      <c r="LO592" s="20"/>
      <c r="LP592" s="29"/>
      <c r="LQ592" s="19"/>
      <c r="LR592" s="93"/>
      <c r="LS592" s="93"/>
      <c r="LT592" s="93"/>
      <c r="LU592" s="93"/>
      <c r="LV592" s="93"/>
      <c r="LW592" s="93"/>
      <c r="LX592" s="93"/>
      <c r="LY592" s="93"/>
      <c r="LZ592" s="93"/>
      <c r="MA592" s="20"/>
      <c r="MB592" s="29"/>
      <c r="MC592" s="1504">
        <v>52475</v>
      </c>
      <c r="MD592" s="19"/>
      <c r="ME592" s="93"/>
      <c r="MF592" s="93"/>
      <c r="MG592" s="93"/>
      <c r="MH592" s="93"/>
      <c r="MI592" s="93"/>
      <c r="MJ592" s="93"/>
      <c r="MK592" s="93"/>
      <c r="ML592" s="93"/>
      <c r="MM592" s="93"/>
      <c r="MN592" s="93"/>
      <c r="MO592" s="93"/>
      <c r="MP592" s="93"/>
      <c r="MQ592" s="93"/>
      <c r="MR592" s="93"/>
      <c r="MS592" s="93"/>
      <c r="MT592" s="93"/>
      <c r="MU592" s="93"/>
      <c r="MV592" s="93"/>
      <c r="MW592" s="93"/>
      <c r="MX592" s="93"/>
      <c r="MY592" s="93"/>
      <c r="MZ592" s="93"/>
      <c r="NA592" s="93"/>
      <c r="NB592" s="93"/>
      <c r="NC592" s="93"/>
      <c r="ND592" s="93"/>
      <c r="NE592" s="93"/>
      <c r="NF592" s="93"/>
      <c r="NG592" s="93"/>
      <c r="NH592" s="93"/>
      <c r="NI592" s="93"/>
      <c r="NJ592" s="93"/>
      <c r="NK592" s="93"/>
      <c r="NL592" s="93"/>
      <c r="NM592" s="93"/>
      <c r="NN592" s="93"/>
      <c r="NO592" s="93"/>
      <c r="NP592" s="93"/>
      <c r="NQ592" s="93"/>
      <c r="NR592" s="93"/>
      <c r="NS592" s="93"/>
      <c r="NT592" s="93"/>
      <c r="NU592" s="93"/>
      <c r="NV592" s="93"/>
      <c r="NW592" s="93"/>
      <c r="NX592" s="93"/>
      <c r="NY592" s="93"/>
      <c r="NZ592" s="93"/>
      <c r="OA592" s="93"/>
      <c r="OB592" s="93"/>
      <c r="OC592" s="93"/>
      <c r="OD592" s="20"/>
      <c r="OE592" s="29"/>
      <c r="OF592" s="1504">
        <v>52475</v>
      </c>
      <c r="OG592" s="19"/>
      <c r="OH592" s="93"/>
      <c r="OI592" s="93"/>
      <c r="OJ592" s="93"/>
      <c r="OK592" s="93"/>
      <c r="OL592" s="93"/>
      <c r="OM592" s="93"/>
      <c r="ON592" s="93"/>
      <c r="OO592" s="93"/>
      <c r="OP592" s="93"/>
      <c r="OQ592" s="93"/>
      <c r="OR592" s="93"/>
      <c r="OS592" s="93"/>
      <c r="OT592" s="93"/>
      <c r="OU592" s="93"/>
      <c r="OV592" s="93"/>
      <c r="OW592" s="93"/>
      <c r="OX592" s="93"/>
      <c r="OY592" s="93"/>
      <c r="OZ592" s="93"/>
      <c r="PA592" s="93"/>
      <c r="PB592" s="93"/>
      <c r="PC592" s="20"/>
      <c r="PD592" s="29"/>
      <c r="PE592" s="19"/>
      <c r="PF592" s="93"/>
      <c r="PG592" s="93"/>
      <c r="PH592" s="93"/>
      <c r="PI592" s="93"/>
      <c r="PJ592" s="93"/>
      <c r="PK592" s="93"/>
      <c r="PL592" s="93"/>
      <c r="PM592" s="93"/>
      <c r="PN592" s="93"/>
      <c r="PO592" s="93"/>
      <c r="PP592" s="93"/>
      <c r="PQ592" s="93"/>
      <c r="PR592" s="93"/>
      <c r="PS592" s="93"/>
      <c r="PT592" s="93"/>
      <c r="PU592" s="93"/>
      <c r="PV592" s="93"/>
      <c r="PW592" s="93"/>
      <c r="PX592" s="93"/>
      <c r="PY592" s="93"/>
      <c r="PZ592" s="93"/>
      <c r="QA592" s="93"/>
      <c r="QB592" s="93"/>
      <c r="QC592" s="93"/>
      <c r="QD592" s="93"/>
      <c r="QE592" s="20"/>
      <c r="QF592" s="1739"/>
      <c r="QG592" s="19"/>
      <c r="QH592" s="93"/>
      <c r="QI592" s="93"/>
      <c r="QJ592" s="93"/>
      <c r="QK592" s="93"/>
      <c r="QL592" s="93"/>
      <c r="QM592" s="93"/>
      <c r="QN592" s="93"/>
      <c r="QO592" s="93"/>
      <c r="QP592" s="93"/>
      <c r="QQ592" s="93"/>
      <c r="QR592" s="93"/>
      <c r="QS592" s="93"/>
      <c r="QT592" s="93"/>
      <c r="QU592" s="93"/>
      <c r="QV592" s="93"/>
      <c r="QW592" s="93"/>
      <c r="QX592" s="93"/>
      <c r="QY592" s="93"/>
      <c r="QZ592" s="93"/>
      <c r="RA592" s="93"/>
      <c r="RB592" s="93"/>
      <c r="RC592" s="93"/>
      <c r="RD592" s="93"/>
      <c r="RE592" s="93"/>
      <c r="RF592" s="93"/>
      <c r="RG592" s="93"/>
      <c r="RH592" s="93"/>
      <c r="RI592" s="93"/>
      <c r="RJ592" s="93"/>
      <c r="RK592" s="93"/>
      <c r="RL592" s="93"/>
      <c r="RM592" s="20"/>
      <c r="RN592" s="29"/>
      <c r="RO592" s="19"/>
      <c r="RP592" s="20"/>
      <c r="RQ592" s="29"/>
      <c r="RR592" s="20"/>
      <c r="RS592" s="29"/>
      <c r="RT592" s="1504">
        <v>52475</v>
      </c>
      <c r="RU592" s="19"/>
      <c r="RV592" s="20"/>
      <c r="RW592" s="29"/>
      <c r="RX592" s="1504">
        <v>52475</v>
      </c>
      <c r="RY592" s="29"/>
      <c r="RZ592" s="20"/>
      <c r="SA592" s="29"/>
      <c r="SB592" s="29"/>
    </row>
    <row r="593" spans="1:496">
      <c r="A593" s="41">
        <f t="shared" si="362"/>
        <v>2043</v>
      </c>
      <c r="B593" s="1504">
        <v>52505</v>
      </c>
      <c r="C593" s="1813"/>
      <c r="D593" s="1814"/>
      <c r="E593" s="1814"/>
      <c r="F593" s="1815"/>
      <c r="G593" s="1814"/>
      <c r="H593" s="1814"/>
      <c r="I593" s="1814"/>
      <c r="J593" s="1816"/>
      <c r="K593" s="1807"/>
      <c r="L593" s="25"/>
      <c r="M593" s="97"/>
      <c r="N593" s="1504">
        <v>52505</v>
      </c>
      <c r="O593" s="19"/>
      <c r="P593" s="93"/>
      <c r="Q593" s="93"/>
      <c r="R593" s="93"/>
      <c r="S593" s="93"/>
      <c r="T593" s="93"/>
      <c r="U593" s="93"/>
      <c r="V593" s="93"/>
      <c r="W593" s="93"/>
      <c r="X593" s="93"/>
      <c r="Y593" s="93"/>
      <c r="Z593" s="93"/>
      <c r="AA593" s="93"/>
      <c r="AB593" s="20"/>
      <c r="AC593" s="25"/>
      <c r="AD593" s="97"/>
      <c r="AE593" s="1504">
        <v>52505</v>
      </c>
      <c r="AF593" s="19"/>
      <c r="AG593" s="93"/>
      <c r="AH593" s="93"/>
      <c r="AI593" s="93"/>
      <c r="AJ593" s="93"/>
      <c r="AK593" s="93"/>
      <c r="AL593" s="93"/>
      <c r="AM593" s="93"/>
      <c r="AN593" s="93"/>
      <c r="AO593" s="93"/>
      <c r="AP593" s="93"/>
      <c r="AQ593" s="93"/>
      <c r="AR593" s="93"/>
      <c r="AS593" s="20"/>
      <c r="AT593" s="25"/>
      <c r="AU593" s="97"/>
      <c r="AV593" s="1504">
        <v>52505</v>
      </c>
      <c r="AW593" s="19"/>
      <c r="AX593" s="93"/>
      <c r="AY593" s="93"/>
      <c r="AZ593" s="93"/>
      <c r="BA593" s="93"/>
      <c r="BB593" s="93"/>
      <c r="BC593" s="93"/>
      <c r="BD593" s="93"/>
      <c r="BE593" s="93"/>
      <c r="BF593" s="93"/>
      <c r="BG593" s="93"/>
      <c r="BH593" s="93"/>
      <c r="BI593" s="93"/>
      <c r="BJ593" s="20"/>
      <c r="BK593" s="25"/>
      <c r="BL593" s="97"/>
      <c r="BM593" s="1504">
        <v>52505</v>
      </c>
      <c r="BN593" s="19"/>
      <c r="BO593" s="93"/>
      <c r="BP593" s="93"/>
      <c r="BQ593" s="93"/>
      <c r="BR593" s="93"/>
      <c r="BS593" s="93"/>
      <c r="BT593" s="93"/>
      <c r="BU593" s="20"/>
      <c r="BV593" s="25"/>
      <c r="BW593" s="97"/>
      <c r="BX593" s="1504">
        <v>52505</v>
      </c>
      <c r="BY593" s="19"/>
      <c r="BZ593" s="93"/>
      <c r="CA593" s="93"/>
      <c r="CB593" s="93"/>
      <c r="CC593" s="93"/>
      <c r="CD593" s="25"/>
      <c r="CE593" s="97"/>
      <c r="CF593" s="1504">
        <v>52505</v>
      </c>
      <c r="CG593" s="19"/>
      <c r="CH593" s="93"/>
      <c r="CI593" s="219"/>
      <c r="CJ593" s="20"/>
      <c r="CK593" s="19"/>
      <c r="CL593" s="93"/>
      <c r="CM593" s="93"/>
      <c r="CN593" s="93"/>
      <c r="CO593" s="93"/>
      <c r="CP593" s="20"/>
      <c r="CQ593" s="219"/>
      <c r="CR593" s="93"/>
      <c r="CS593" s="93"/>
      <c r="CT593" s="93"/>
      <c r="CU593" s="93"/>
      <c r="CV593" s="214"/>
      <c r="CW593" s="29"/>
      <c r="CX593" s="41">
        <f t="shared" si="363"/>
        <v>2043</v>
      </c>
      <c r="CY593" s="1504">
        <v>52505</v>
      </c>
      <c r="CZ593" s="19"/>
      <c r="DA593" s="93"/>
      <c r="DB593" s="93"/>
      <c r="DC593" s="93"/>
      <c r="DD593" s="93"/>
      <c r="DE593" s="20"/>
      <c r="DF593" s="29"/>
      <c r="DG593" s="1504">
        <v>52505</v>
      </c>
      <c r="DH593" s="19"/>
      <c r="DI593" s="93"/>
      <c r="DJ593" s="93"/>
      <c r="DK593" s="93"/>
      <c r="DL593" s="93"/>
      <c r="DM593" s="93"/>
      <c r="DN593" s="20"/>
      <c r="DO593" s="295"/>
      <c r="DP593" s="29"/>
      <c r="DQ593" s="1504">
        <v>52505</v>
      </c>
      <c r="DR593" s="19"/>
      <c r="DS593" s="93"/>
      <c r="DT593" s="93"/>
      <c r="DU593" s="93"/>
      <c r="DV593" s="93"/>
      <c r="DW593" s="93"/>
      <c r="DX593" s="20"/>
      <c r="DY593" s="29"/>
      <c r="DZ593" s="1504">
        <v>52505</v>
      </c>
      <c r="EA593" s="19"/>
      <c r="EB593" s="93"/>
      <c r="EC593" s="20"/>
      <c r="ED593" s="29"/>
      <c r="EE593" s="1504">
        <v>52505</v>
      </c>
      <c r="EF593" s="19"/>
      <c r="EG593" s="93"/>
      <c r="EH593" s="93"/>
      <c r="EI593" s="214"/>
      <c r="EJ593" s="93"/>
      <c r="EK593" s="93"/>
      <c r="EL593" s="93"/>
      <c r="EM593" s="93"/>
      <c r="EN593" s="20"/>
      <c r="EO593" s="29"/>
      <c r="EP593" s="1504">
        <v>52505</v>
      </c>
      <c r="EQ593" s="19"/>
      <c r="ER593" s="93"/>
      <c r="ES593" s="93"/>
      <c r="ET593" s="214"/>
      <c r="EU593" s="93"/>
      <c r="EV593" s="93"/>
      <c r="EW593" s="93"/>
      <c r="EX593" s="93"/>
      <c r="EY593" s="20"/>
      <c r="EZ593" s="29"/>
      <c r="FA593" s="1504">
        <v>52505</v>
      </c>
      <c r="FB593" s="29"/>
      <c r="FC593" s="29"/>
      <c r="FD593" s="29"/>
      <c r="FE593" s="29"/>
      <c r="FF593" s="29"/>
      <c r="FG593" s="29"/>
      <c r="FH593" s="29"/>
      <c r="FI593" s="29"/>
      <c r="FJ593" s="29"/>
      <c r="FK593" s="29"/>
      <c r="FL593" s="1504">
        <v>52505</v>
      </c>
      <c r="FM593" s="19"/>
      <c r="FN593" s="93"/>
      <c r="FO593" s="93"/>
      <c r="FP593" s="93"/>
      <c r="FQ593" s="93"/>
      <c r="FR593" s="93"/>
      <c r="FS593" s="93"/>
      <c r="FT593" s="93"/>
      <c r="FU593" s="93"/>
      <c r="FV593" s="93"/>
      <c r="FW593" s="93"/>
      <c r="FX593" s="93"/>
      <c r="FY593" s="93"/>
      <c r="FZ593" s="29"/>
      <c r="GA593" s="1504">
        <v>52505</v>
      </c>
      <c r="GB593" s="19"/>
      <c r="GC593" s="93"/>
      <c r="GD593" s="93"/>
      <c r="GE593" s="93"/>
      <c r="GF593" s="93"/>
      <c r="GG593" s="93"/>
      <c r="GH593" s="93"/>
      <c r="GI593" s="93"/>
      <c r="GJ593" s="93"/>
      <c r="GK593" s="93"/>
      <c r="GL593" s="93"/>
      <c r="GM593" s="93"/>
      <c r="GN593" s="20"/>
      <c r="GO593" s="29"/>
      <c r="GP593" s="1504">
        <v>52505</v>
      </c>
      <c r="GQ593" s="19"/>
      <c r="GR593" s="93"/>
      <c r="GS593" s="93"/>
      <c r="GT593" s="93"/>
      <c r="GU593" s="93"/>
      <c r="GV593" s="20"/>
      <c r="GW593" s="19"/>
      <c r="GX593" s="93"/>
      <c r="GY593" s="93"/>
      <c r="GZ593" s="93"/>
      <c r="HA593" s="93"/>
      <c r="HB593" s="20"/>
      <c r="HC593" s="19"/>
      <c r="HD593" s="93"/>
      <c r="HE593" s="93"/>
      <c r="HF593" s="93"/>
      <c r="HG593" s="93"/>
      <c r="HH593" s="20"/>
      <c r="HI593" s="19"/>
      <c r="HJ593" s="93"/>
      <c r="HK593" s="93"/>
      <c r="HL593" s="93"/>
      <c r="HM593" s="93"/>
      <c r="HN593" s="20"/>
      <c r="HO593" s="219"/>
      <c r="HP593" s="20"/>
      <c r="HQ593" s="25"/>
      <c r="HR593" s="29"/>
      <c r="HS593" s="1504">
        <v>52505</v>
      </c>
      <c r="HT593" s="19"/>
      <c r="HU593" s="93"/>
      <c r="HV593" s="93"/>
      <c r="HW593" s="93"/>
      <c r="HX593" s="93"/>
      <c r="HY593" s="93"/>
      <c r="HZ593" s="93"/>
      <c r="IA593" s="20"/>
      <c r="IB593" s="19"/>
      <c r="IC593" s="93"/>
      <c r="ID593" s="93"/>
      <c r="IE593" s="93"/>
      <c r="IF593" s="93"/>
      <c r="IG593" s="20"/>
      <c r="IH593" s="19"/>
      <c r="II593" s="93"/>
      <c r="IJ593" s="93"/>
      <c r="IK593" s="93"/>
      <c r="IL593" s="93"/>
      <c r="IM593" s="93"/>
      <c r="IN593" s="93"/>
      <c r="IO593" s="20"/>
      <c r="IP593" s="29"/>
      <c r="IQ593" s="19"/>
      <c r="IR593" s="93"/>
      <c r="IS593" s="93"/>
      <c r="IT593" s="93"/>
      <c r="IU593" s="93"/>
      <c r="IV593" s="20"/>
      <c r="IW593" s="29"/>
      <c r="IX593" s="19"/>
      <c r="IY593" s="93"/>
      <c r="IZ593" s="93"/>
      <c r="JA593" s="93"/>
      <c r="JB593" s="93"/>
      <c r="JC593" s="93"/>
      <c r="JD593" s="93"/>
      <c r="JE593" s="20"/>
      <c r="JF593" s="29"/>
      <c r="JG593" s="19"/>
      <c r="JH593" s="93"/>
      <c r="JI593" s="93"/>
      <c r="JJ593" s="93"/>
      <c r="JK593" s="93"/>
      <c r="JL593" s="93"/>
      <c r="JM593" s="93"/>
      <c r="JN593" s="20"/>
      <c r="JO593" s="29"/>
      <c r="JP593" s="19"/>
      <c r="JQ593" s="93"/>
      <c r="JR593" s="93"/>
      <c r="JS593" s="93"/>
      <c r="JT593" s="93"/>
      <c r="JU593" s="20"/>
      <c r="JV593" s="29"/>
      <c r="JW593" s="1504">
        <v>52505</v>
      </c>
      <c r="JX593" s="19"/>
      <c r="JY593" s="93"/>
      <c r="JZ593" s="93"/>
      <c r="KA593" s="93"/>
      <c r="KB593" s="93"/>
      <c r="KC593" s="93"/>
      <c r="KD593" s="20"/>
      <c r="KE593" s="29"/>
      <c r="KF593" s="19"/>
      <c r="KG593" s="93"/>
      <c r="KH593" s="93"/>
      <c r="KI593" s="93"/>
      <c r="KJ593" s="93"/>
      <c r="KK593" s="20"/>
      <c r="KL593" s="29"/>
      <c r="KM593" s="19"/>
      <c r="KN593" s="93"/>
      <c r="KO593" s="93"/>
      <c r="KP593" s="93"/>
      <c r="KQ593" s="93"/>
      <c r="KR593" s="20"/>
      <c r="KS593" s="29"/>
      <c r="KT593" s="19"/>
      <c r="KU593" s="93"/>
      <c r="KV593" s="93"/>
      <c r="KW593" s="93"/>
      <c r="KX593" s="93"/>
      <c r="KY593" s="20"/>
      <c r="KZ593" s="29"/>
      <c r="LA593" s="1504">
        <v>52505</v>
      </c>
      <c r="LB593" s="19"/>
      <c r="LC593" s="93"/>
      <c r="LD593" s="93"/>
      <c r="LE593" s="93"/>
      <c r="LF593" s="93"/>
      <c r="LG593" s="93"/>
      <c r="LH593" s="20"/>
      <c r="LI593" s="29"/>
      <c r="LJ593" s="19"/>
      <c r="LK593" s="93"/>
      <c r="LL593" s="93"/>
      <c r="LM593" s="93"/>
      <c r="LN593" s="93"/>
      <c r="LO593" s="20"/>
      <c r="LP593" s="29"/>
      <c r="LQ593" s="19"/>
      <c r="LR593" s="93"/>
      <c r="LS593" s="93"/>
      <c r="LT593" s="93"/>
      <c r="LU593" s="93"/>
      <c r="LV593" s="93"/>
      <c r="LW593" s="93"/>
      <c r="LX593" s="93"/>
      <c r="LY593" s="93"/>
      <c r="LZ593" s="93"/>
      <c r="MA593" s="20"/>
      <c r="MB593" s="29"/>
      <c r="MC593" s="1504">
        <v>52505</v>
      </c>
      <c r="MD593" s="19"/>
      <c r="ME593" s="93"/>
      <c r="MF593" s="93"/>
      <c r="MG593" s="93"/>
      <c r="MH593" s="93"/>
      <c r="MI593" s="93"/>
      <c r="MJ593" s="93"/>
      <c r="MK593" s="93"/>
      <c r="ML593" s="93"/>
      <c r="MM593" s="93"/>
      <c r="MN593" s="93"/>
      <c r="MO593" s="93"/>
      <c r="MP593" s="93"/>
      <c r="MQ593" s="93"/>
      <c r="MR593" s="93"/>
      <c r="MS593" s="93"/>
      <c r="MT593" s="93"/>
      <c r="MU593" s="93"/>
      <c r="MV593" s="93"/>
      <c r="MW593" s="93"/>
      <c r="MX593" s="93"/>
      <c r="MY593" s="93"/>
      <c r="MZ593" s="93"/>
      <c r="NA593" s="93"/>
      <c r="NB593" s="93"/>
      <c r="NC593" s="93"/>
      <c r="ND593" s="93"/>
      <c r="NE593" s="93"/>
      <c r="NF593" s="93"/>
      <c r="NG593" s="93"/>
      <c r="NH593" s="93"/>
      <c r="NI593" s="93"/>
      <c r="NJ593" s="93"/>
      <c r="NK593" s="93"/>
      <c r="NL593" s="93"/>
      <c r="NM593" s="93"/>
      <c r="NN593" s="93"/>
      <c r="NO593" s="93"/>
      <c r="NP593" s="93"/>
      <c r="NQ593" s="93"/>
      <c r="NR593" s="93"/>
      <c r="NS593" s="93"/>
      <c r="NT593" s="93"/>
      <c r="NU593" s="93"/>
      <c r="NV593" s="93"/>
      <c r="NW593" s="93"/>
      <c r="NX593" s="93"/>
      <c r="NY593" s="93"/>
      <c r="NZ593" s="93"/>
      <c r="OA593" s="93"/>
      <c r="OB593" s="93"/>
      <c r="OC593" s="93"/>
      <c r="OD593" s="20"/>
      <c r="OE593" s="29"/>
      <c r="OF593" s="1504">
        <v>52505</v>
      </c>
      <c r="OG593" s="19"/>
      <c r="OH593" s="93"/>
      <c r="OI593" s="93"/>
      <c r="OJ593" s="93"/>
      <c r="OK593" s="93"/>
      <c r="OL593" s="93"/>
      <c r="OM593" s="93"/>
      <c r="ON593" s="93"/>
      <c r="OO593" s="93"/>
      <c r="OP593" s="93"/>
      <c r="OQ593" s="93"/>
      <c r="OR593" s="93"/>
      <c r="OS593" s="93"/>
      <c r="OT593" s="93"/>
      <c r="OU593" s="93"/>
      <c r="OV593" s="93"/>
      <c r="OW593" s="93"/>
      <c r="OX593" s="93"/>
      <c r="OY593" s="93"/>
      <c r="OZ593" s="93"/>
      <c r="PA593" s="93"/>
      <c r="PB593" s="93"/>
      <c r="PC593" s="20"/>
      <c r="PD593" s="29"/>
      <c r="PE593" s="19"/>
      <c r="PF593" s="93"/>
      <c r="PG593" s="93"/>
      <c r="PH593" s="93"/>
      <c r="PI593" s="93"/>
      <c r="PJ593" s="93"/>
      <c r="PK593" s="93"/>
      <c r="PL593" s="93"/>
      <c r="PM593" s="93"/>
      <c r="PN593" s="93"/>
      <c r="PO593" s="93"/>
      <c r="PP593" s="93"/>
      <c r="PQ593" s="93"/>
      <c r="PR593" s="93"/>
      <c r="PS593" s="93"/>
      <c r="PT593" s="93"/>
      <c r="PU593" s="93"/>
      <c r="PV593" s="93"/>
      <c r="PW593" s="93"/>
      <c r="PX593" s="93"/>
      <c r="PY593" s="93"/>
      <c r="PZ593" s="93"/>
      <c r="QA593" s="93"/>
      <c r="QB593" s="93"/>
      <c r="QC593" s="93"/>
      <c r="QD593" s="93"/>
      <c r="QE593" s="20"/>
      <c r="QF593" s="1739"/>
      <c r="QG593" s="19"/>
      <c r="QH593" s="93"/>
      <c r="QI593" s="93"/>
      <c r="QJ593" s="93"/>
      <c r="QK593" s="93"/>
      <c r="QL593" s="93"/>
      <c r="QM593" s="93"/>
      <c r="QN593" s="93"/>
      <c r="QO593" s="93"/>
      <c r="QP593" s="93"/>
      <c r="QQ593" s="93"/>
      <c r="QR593" s="93"/>
      <c r="QS593" s="93"/>
      <c r="QT593" s="93"/>
      <c r="QU593" s="93"/>
      <c r="QV593" s="93"/>
      <c r="QW593" s="93"/>
      <c r="QX593" s="93"/>
      <c r="QY593" s="93"/>
      <c r="QZ593" s="93"/>
      <c r="RA593" s="93"/>
      <c r="RB593" s="93"/>
      <c r="RC593" s="93"/>
      <c r="RD593" s="93"/>
      <c r="RE593" s="93"/>
      <c r="RF593" s="93"/>
      <c r="RG593" s="93"/>
      <c r="RH593" s="93"/>
      <c r="RI593" s="93"/>
      <c r="RJ593" s="93"/>
      <c r="RK593" s="93"/>
      <c r="RL593" s="93"/>
      <c r="RM593" s="20"/>
      <c r="RN593" s="29"/>
      <c r="RO593" s="19"/>
      <c r="RP593" s="20"/>
      <c r="RQ593" s="29"/>
      <c r="RR593" s="20"/>
      <c r="RS593" s="29"/>
      <c r="RT593" s="1504">
        <v>52505</v>
      </c>
      <c r="RU593" s="19"/>
      <c r="RV593" s="20"/>
      <c r="RW593" s="29"/>
      <c r="RX593" s="1504">
        <v>52505</v>
      </c>
      <c r="RY593" s="29"/>
      <c r="RZ593" s="20"/>
      <c r="SA593" s="29"/>
      <c r="SB593" s="29"/>
    </row>
    <row r="594" spans="1:496">
      <c r="A594" s="41">
        <f t="shared" si="362"/>
        <v>2043</v>
      </c>
      <c r="B594" s="1504">
        <v>52536</v>
      </c>
      <c r="C594" s="1813"/>
      <c r="D594" s="1814"/>
      <c r="E594" s="1814"/>
      <c r="F594" s="1815"/>
      <c r="G594" s="1814"/>
      <c r="H594" s="1814"/>
      <c r="I594" s="1814"/>
      <c r="J594" s="1816"/>
      <c r="K594" s="1807"/>
      <c r="L594" s="25"/>
      <c r="M594" s="97"/>
      <c r="N594" s="1504">
        <v>52536</v>
      </c>
      <c r="O594" s="19"/>
      <c r="P594" s="93"/>
      <c r="Q594" s="93"/>
      <c r="R594" s="93"/>
      <c r="S594" s="93"/>
      <c r="T594" s="93"/>
      <c r="U594" s="93"/>
      <c r="V594" s="93"/>
      <c r="W594" s="93"/>
      <c r="X594" s="93"/>
      <c r="Y594" s="93"/>
      <c r="Z594" s="93"/>
      <c r="AA594" s="93"/>
      <c r="AB594" s="20"/>
      <c r="AC594" s="25"/>
      <c r="AD594" s="97"/>
      <c r="AE594" s="1504">
        <v>52536</v>
      </c>
      <c r="AF594" s="19"/>
      <c r="AG594" s="93"/>
      <c r="AH594" s="93"/>
      <c r="AI594" s="93"/>
      <c r="AJ594" s="93"/>
      <c r="AK594" s="93"/>
      <c r="AL594" s="93"/>
      <c r="AM594" s="93"/>
      <c r="AN594" s="93"/>
      <c r="AO594" s="93"/>
      <c r="AP594" s="93"/>
      <c r="AQ594" s="93"/>
      <c r="AR594" s="93"/>
      <c r="AS594" s="20"/>
      <c r="AT594" s="25"/>
      <c r="AU594" s="97"/>
      <c r="AV594" s="1504">
        <v>52536</v>
      </c>
      <c r="AW594" s="19"/>
      <c r="AX594" s="93"/>
      <c r="AY594" s="93"/>
      <c r="AZ594" s="93"/>
      <c r="BA594" s="93"/>
      <c r="BB594" s="93"/>
      <c r="BC594" s="93"/>
      <c r="BD594" s="93"/>
      <c r="BE594" s="93"/>
      <c r="BF594" s="93"/>
      <c r="BG594" s="93"/>
      <c r="BH594" s="93"/>
      <c r="BI594" s="93"/>
      <c r="BJ594" s="20"/>
      <c r="BK594" s="25"/>
      <c r="BL594" s="97"/>
      <c r="BM594" s="1504">
        <v>52536</v>
      </c>
      <c r="BN594" s="19"/>
      <c r="BO594" s="93"/>
      <c r="BP594" s="93"/>
      <c r="BQ594" s="93"/>
      <c r="BR594" s="93"/>
      <c r="BS594" s="93"/>
      <c r="BT594" s="93"/>
      <c r="BU594" s="20"/>
      <c r="BV594" s="25"/>
      <c r="BW594" s="97"/>
      <c r="BX594" s="1504">
        <v>52536</v>
      </c>
      <c r="BY594" s="19"/>
      <c r="BZ594" s="93"/>
      <c r="CA594" s="93"/>
      <c r="CB594" s="93"/>
      <c r="CC594" s="93"/>
      <c r="CD594" s="25"/>
      <c r="CE594" s="97"/>
      <c r="CF594" s="1504">
        <v>52536</v>
      </c>
      <c r="CG594" s="19"/>
      <c r="CH594" s="93"/>
      <c r="CI594" s="219"/>
      <c r="CJ594" s="20"/>
      <c r="CK594" s="19"/>
      <c r="CL594" s="93"/>
      <c r="CM594" s="93"/>
      <c r="CN594" s="93"/>
      <c r="CO594" s="93"/>
      <c r="CP594" s="20"/>
      <c r="CQ594" s="219"/>
      <c r="CR594" s="93"/>
      <c r="CS594" s="93"/>
      <c r="CT594" s="93"/>
      <c r="CU594" s="93"/>
      <c r="CV594" s="214"/>
      <c r="CW594" s="29"/>
      <c r="CX594" s="41">
        <f t="shared" si="363"/>
        <v>2043</v>
      </c>
      <c r="CY594" s="1504">
        <v>52536</v>
      </c>
      <c r="CZ594" s="19"/>
      <c r="DA594" s="93"/>
      <c r="DB594" s="93"/>
      <c r="DC594" s="93"/>
      <c r="DD594" s="93"/>
      <c r="DE594" s="20"/>
      <c r="DF594" s="29"/>
      <c r="DG594" s="1504">
        <v>52536</v>
      </c>
      <c r="DH594" s="19"/>
      <c r="DI594" s="93"/>
      <c r="DJ594" s="93"/>
      <c r="DK594" s="93"/>
      <c r="DL594" s="93"/>
      <c r="DM594" s="93"/>
      <c r="DN594" s="20"/>
      <c r="DO594" s="295"/>
      <c r="DP594" s="29"/>
      <c r="DQ594" s="1504">
        <v>52536</v>
      </c>
      <c r="DR594" s="19"/>
      <c r="DS594" s="93"/>
      <c r="DT594" s="93"/>
      <c r="DU594" s="93"/>
      <c r="DV594" s="93"/>
      <c r="DW594" s="93"/>
      <c r="DX594" s="20"/>
      <c r="DY594" s="29"/>
      <c r="DZ594" s="1504">
        <v>52536</v>
      </c>
      <c r="EA594" s="19"/>
      <c r="EB594" s="93"/>
      <c r="EC594" s="20"/>
      <c r="ED594" s="29"/>
      <c r="EE594" s="1504">
        <v>52536</v>
      </c>
      <c r="EF594" s="19"/>
      <c r="EG594" s="93"/>
      <c r="EH594" s="93"/>
      <c r="EI594" s="214"/>
      <c r="EJ594" s="93"/>
      <c r="EK594" s="93"/>
      <c r="EL594" s="93"/>
      <c r="EM594" s="93"/>
      <c r="EN594" s="20"/>
      <c r="EO594" s="29"/>
      <c r="EP594" s="1504">
        <v>52536</v>
      </c>
      <c r="EQ594" s="19"/>
      <c r="ER594" s="93"/>
      <c r="ES594" s="93"/>
      <c r="ET594" s="214"/>
      <c r="EU594" s="93"/>
      <c r="EV594" s="93"/>
      <c r="EW594" s="93"/>
      <c r="EX594" s="93"/>
      <c r="EY594" s="20"/>
      <c r="EZ594" s="29"/>
      <c r="FA594" s="1504">
        <v>52536</v>
      </c>
      <c r="FB594" s="29"/>
      <c r="FC594" s="29"/>
      <c r="FD594" s="29"/>
      <c r="FE594" s="29"/>
      <c r="FF594" s="29"/>
      <c r="FG594" s="29"/>
      <c r="FH594" s="29"/>
      <c r="FI594" s="29"/>
      <c r="FJ594" s="29"/>
      <c r="FK594" s="29"/>
      <c r="FL594" s="1504">
        <v>52536</v>
      </c>
      <c r="FM594" s="19"/>
      <c r="FN594" s="93"/>
      <c r="FO594" s="93"/>
      <c r="FP594" s="93"/>
      <c r="FQ594" s="93"/>
      <c r="FR594" s="93"/>
      <c r="FS594" s="93"/>
      <c r="FT594" s="93"/>
      <c r="FU594" s="93"/>
      <c r="FV594" s="93"/>
      <c r="FW594" s="93"/>
      <c r="FX594" s="93"/>
      <c r="FY594" s="93"/>
      <c r="FZ594" s="29"/>
      <c r="GA594" s="1504">
        <v>52536</v>
      </c>
      <c r="GB594" s="19"/>
      <c r="GC594" s="93"/>
      <c r="GD594" s="93"/>
      <c r="GE594" s="93"/>
      <c r="GF594" s="93"/>
      <c r="GG594" s="93"/>
      <c r="GH594" s="93"/>
      <c r="GI594" s="93"/>
      <c r="GJ594" s="93"/>
      <c r="GK594" s="93"/>
      <c r="GL594" s="93"/>
      <c r="GM594" s="93"/>
      <c r="GN594" s="20"/>
      <c r="GO594" s="29"/>
      <c r="GP594" s="1504">
        <v>52536</v>
      </c>
      <c r="GQ594" s="19"/>
      <c r="GR594" s="93"/>
      <c r="GS594" s="93"/>
      <c r="GT594" s="93"/>
      <c r="GU594" s="93"/>
      <c r="GV594" s="20"/>
      <c r="GW594" s="19"/>
      <c r="GX594" s="93"/>
      <c r="GY594" s="93"/>
      <c r="GZ594" s="93"/>
      <c r="HA594" s="93"/>
      <c r="HB594" s="20"/>
      <c r="HC594" s="19"/>
      <c r="HD594" s="93"/>
      <c r="HE594" s="93"/>
      <c r="HF594" s="93"/>
      <c r="HG594" s="93"/>
      <c r="HH594" s="20"/>
      <c r="HI594" s="19"/>
      <c r="HJ594" s="93"/>
      <c r="HK594" s="93"/>
      <c r="HL594" s="93"/>
      <c r="HM594" s="93"/>
      <c r="HN594" s="20"/>
      <c r="HO594" s="219"/>
      <c r="HP594" s="20"/>
      <c r="HQ594" s="25"/>
      <c r="HR594" s="29"/>
      <c r="HS594" s="1504">
        <v>52536</v>
      </c>
      <c r="HT594" s="19"/>
      <c r="HU594" s="93"/>
      <c r="HV594" s="93"/>
      <c r="HW594" s="93"/>
      <c r="HX594" s="93"/>
      <c r="HY594" s="93"/>
      <c r="HZ594" s="93"/>
      <c r="IA594" s="20"/>
      <c r="IB594" s="19"/>
      <c r="IC594" s="93"/>
      <c r="ID594" s="93"/>
      <c r="IE594" s="93"/>
      <c r="IF594" s="93"/>
      <c r="IG594" s="20"/>
      <c r="IH594" s="19"/>
      <c r="II594" s="93"/>
      <c r="IJ594" s="93"/>
      <c r="IK594" s="93"/>
      <c r="IL594" s="93"/>
      <c r="IM594" s="93"/>
      <c r="IN594" s="93"/>
      <c r="IO594" s="20"/>
      <c r="IP594" s="29"/>
      <c r="IQ594" s="19"/>
      <c r="IR594" s="93"/>
      <c r="IS594" s="93"/>
      <c r="IT594" s="93"/>
      <c r="IU594" s="93"/>
      <c r="IV594" s="20"/>
      <c r="IW594" s="29"/>
      <c r="IX594" s="19"/>
      <c r="IY594" s="93"/>
      <c r="IZ594" s="93"/>
      <c r="JA594" s="93"/>
      <c r="JB594" s="93"/>
      <c r="JC594" s="93"/>
      <c r="JD594" s="93"/>
      <c r="JE594" s="20"/>
      <c r="JF594" s="29"/>
      <c r="JG594" s="19"/>
      <c r="JH594" s="93"/>
      <c r="JI594" s="93"/>
      <c r="JJ594" s="93"/>
      <c r="JK594" s="93"/>
      <c r="JL594" s="93"/>
      <c r="JM594" s="93"/>
      <c r="JN594" s="20"/>
      <c r="JO594" s="29"/>
      <c r="JP594" s="19"/>
      <c r="JQ594" s="93"/>
      <c r="JR594" s="93"/>
      <c r="JS594" s="93"/>
      <c r="JT594" s="93"/>
      <c r="JU594" s="20"/>
      <c r="JV594" s="29"/>
      <c r="JW594" s="1504">
        <v>52536</v>
      </c>
      <c r="JX594" s="19"/>
      <c r="JY594" s="93"/>
      <c r="JZ594" s="93"/>
      <c r="KA594" s="93"/>
      <c r="KB594" s="93"/>
      <c r="KC594" s="93"/>
      <c r="KD594" s="20"/>
      <c r="KE594" s="29"/>
      <c r="KF594" s="19"/>
      <c r="KG594" s="93"/>
      <c r="KH594" s="93"/>
      <c r="KI594" s="93"/>
      <c r="KJ594" s="93"/>
      <c r="KK594" s="20"/>
      <c r="KL594" s="29"/>
      <c r="KM594" s="19"/>
      <c r="KN594" s="93"/>
      <c r="KO594" s="93"/>
      <c r="KP594" s="93"/>
      <c r="KQ594" s="93"/>
      <c r="KR594" s="20"/>
      <c r="KS594" s="29"/>
      <c r="KT594" s="19"/>
      <c r="KU594" s="93"/>
      <c r="KV594" s="93"/>
      <c r="KW594" s="93"/>
      <c r="KX594" s="93"/>
      <c r="KY594" s="20"/>
      <c r="KZ594" s="29"/>
      <c r="LA594" s="1504">
        <v>52536</v>
      </c>
      <c r="LB594" s="19"/>
      <c r="LC594" s="93"/>
      <c r="LD594" s="93"/>
      <c r="LE594" s="93"/>
      <c r="LF594" s="93"/>
      <c r="LG594" s="93"/>
      <c r="LH594" s="20"/>
      <c r="LI594" s="29"/>
      <c r="LJ594" s="19"/>
      <c r="LK594" s="93"/>
      <c r="LL594" s="93"/>
      <c r="LM594" s="93"/>
      <c r="LN594" s="93"/>
      <c r="LO594" s="20"/>
      <c r="LP594" s="29"/>
      <c r="LQ594" s="19"/>
      <c r="LR594" s="93"/>
      <c r="LS594" s="93"/>
      <c r="LT594" s="93"/>
      <c r="LU594" s="93"/>
      <c r="LV594" s="93"/>
      <c r="LW594" s="93"/>
      <c r="LX594" s="93"/>
      <c r="LY594" s="93"/>
      <c r="LZ594" s="93"/>
      <c r="MA594" s="20"/>
      <c r="MB594" s="29"/>
      <c r="MC594" s="1504">
        <v>52536</v>
      </c>
      <c r="MD594" s="19"/>
      <c r="ME594" s="93"/>
      <c r="MF594" s="93"/>
      <c r="MG594" s="93"/>
      <c r="MH594" s="93"/>
      <c r="MI594" s="93"/>
      <c r="MJ594" s="93"/>
      <c r="MK594" s="93"/>
      <c r="ML594" s="93"/>
      <c r="MM594" s="93"/>
      <c r="MN594" s="93"/>
      <c r="MO594" s="93"/>
      <c r="MP594" s="93"/>
      <c r="MQ594" s="93"/>
      <c r="MR594" s="93"/>
      <c r="MS594" s="93"/>
      <c r="MT594" s="93"/>
      <c r="MU594" s="93"/>
      <c r="MV594" s="93"/>
      <c r="MW594" s="93"/>
      <c r="MX594" s="93"/>
      <c r="MY594" s="93"/>
      <c r="MZ594" s="93"/>
      <c r="NA594" s="93"/>
      <c r="NB594" s="93"/>
      <c r="NC594" s="93"/>
      <c r="ND594" s="93"/>
      <c r="NE594" s="93"/>
      <c r="NF594" s="93"/>
      <c r="NG594" s="93"/>
      <c r="NH594" s="93"/>
      <c r="NI594" s="93"/>
      <c r="NJ594" s="93"/>
      <c r="NK594" s="93"/>
      <c r="NL594" s="93"/>
      <c r="NM594" s="93"/>
      <c r="NN594" s="93"/>
      <c r="NO594" s="93"/>
      <c r="NP594" s="93"/>
      <c r="NQ594" s="93"/>
      <c r="NR594" s="93"/>
      <c r="NS594" s="93"/>
      <c r="NT594" s="93"/>
      <c r="NU594" s="93"/>
      <c r="NV594" s="93"/>
      <c r="NW594" s="93"/>
      <c r="NX594" s="93"/>
      <c r="NY594" s="93"/>
      <c r="NZ594" s="93"/>
      <c r="OA594" s="93"/>
      <c r="OB594" s="93"/>
      <c r="OC594" s="93"/>
      <c r="OD594" s="20"/>
      <c r="OE594" s="29"/>
      <c r="OF594" s="1504">
        <v>52536</v>
      </c>
      <c r="OG594" s="19"/>
      <c r="OH594" s="93"/>
      <c r="OI594" s="93"/>
      <c r="OJ594" s="93"/>
      <c r="OK594" s="93"/>
      <c r="OL594" s="93"/>
      <c r="OM594" s="93"/>
      <c r="ON594" s="93"/>
      <c r="OO594" s="93"/>
      <c r="OP594" s="93"/>
      <c r="OQ594" s="93"/>
      <c r="OR594" s="93"/>
      <c r="OS594" s="93"/>
      <c r="OT594" s="93"/>
      <c r="OU594" s="93"/>
      <c r="OV594" s="93"/>
      <c r="OW594" s="93"/>
      <c r="OX594" s="93"/>
      <c r="OY594" s="93"/>
      <c r="OZ594" s="93"/>
      <c r="PA594" s="93"/>
      <c r="PB594" s="93"/>
      <c r="PC594" s="20"/>
      <c r="PD594" s="29"/>
      <c r="PE594" s="19"/>
      <c r="PF594" s="93"/>
      <c r="PG594" s="93"/>
      <c r="PH594" s="93"/>
      <c r="PI594" s="93"/>
      <c r="PJ594" s="93"/>
      <c r="PK594" s="93"/>
      <c r="PL594" s="93"/>
      <c r="PM594" s="93"/>
      <c r="PN594" s="93"/>
      <c r="PO594" s="93"/>
      <c r="PP594" s="93"/>
      <c r="PQ594" s="93"/>
      <c r="PR594" s="93"/>
      <c r="PS594" s="93"/>
      <c r="PT594" s="93"/>
      <c r="PU594" s="93"/>
      <c r="PV594" s="93"/>
      <c r="PW594" s="93"/>
      <c r="PX594" s="93"/>
      <c r="PY594" s="93"/>
      <c r="PZ594" s="93"/>
      <c r="QA594" s="93"/>
      <c r="QB594" s="93"/>
      <c r="QC594" s="93"/>
      <c r="QD594" s="93"/>
      <c r="QE594" s="20"/>
      <c r="QF594" s="1739"/>
      <c r="QG594" s="19"/>
      <c r="QH594" s="93"/>
      <c r="QI594" s="93"/>
      <c r="QJ594" s="93"/>
      <c r="QK594" s="93"/>
      <c r="QL594" s="93"/>
      <c r="QM594" s="93"/>
      <c r="QN594" s="93"/>
      <c r="QO594" s="93"/>
      <c r="QP594" s="93"/>
      <c r="QQ594" s="93"/>
      <c r="QR594" s="93"/>
      <c r="QS594" s="93"/>
      <c r="QT594" s="93"/>
      <c r="QU594" s="93"/>
      <c r="QV594" s="93"/>
      <c r="QW594" s="93"/>
      <c r="QX594" s="93"/>
      <c r="QY594" s="93"/>
      <c r="QZ594" s="93"/>
      <c r="RA594" s="93"/>
      <c r="RB594" s="93"/>
      <c r="RC594" s="93"/>
      <c r="RD594" s="93"/>
      <c r="RE594" s="93"/>
      <c r="RF594" s="93"/>
      <c r="RG594" s="93"/>
      <c r="RH594" s="93"/>
      <c r="RI594" s="93"/>
      <c r="RJ594" s="93"/>
      <c r="RK594" s="93"/>
      <c r="RL594" s="93"/>
      <c r="RM594" s="20"/>
      <c r="RN594" s="29"/>
      <c r="RO594" s="19"/>
      <c r="RP594" s="20"/>
      <c r="RQ594" s="29"/>
      <c r="RR594" s="20"/>
      <c r="RS594" s="29"/>
      <c r="RT594" s="1504">
        <v>52536</v>
      </c>
      <c r="RU594" s="19"/>
      <c r="RV594" s="20"/>
      <c r="RW594" s="29"/>
      <c r="RX594" s="1504">
        <v>52536</v>
      </c>
      <c r="RY594" s="29"/>
      <c r="RZ594" s="20"/>
      <c r="SA594" s="29"/>
      <c r="SB594" s="29"/>
    </row>
    <row r="595" spans="1:496">
      <c r="A595" s="41">
        <f t="shared" si="362"/>
        <v>2043</v>
      </c>
      <c r="B595" s="1504">
        <v>52566</v>
      </c>
      <c r="C595" s="1813"/>
      <c r="D595" s="1814"/>
      <c r="E595" s="1814"/>
      <c r="F595" s="1815"/>
      <c r="G595" s="1814"/>
      <c r="H595" s="1814"/>
      <c r="I595" s="1814"/>
      <c r="J595" s="1816"/>
      <c r="K595" s="1807"/>
      <c r="L595" s="25"/>
      <c r="M595" s="97"/>
      <c r="N595" s="1504">
        <v>52566</v>
      </c>
      <c r="O595" s="19"/>
      <c r="P595" s="93"/>
      <c r="Q595" s="93"/>
      <c r="R595" s="93"/>
      <c r="S595" s="93"/>
      <c r="T595" s="93"/>
      <c r="U595" s="93"/>
      <c r="V595" s="93"/>
      <c r="W595" s="93"/>
      <c r="X595" s="93"/>
      <c r="Y595" s="93"/>
      <c r="Z595" s="93"/>
      <c r="AA595" s="93"/>
      <c r="AB595" s="20"/>
      <c r="AC595" s="25"/>
      <c r="AD595" s="97"/>
      <c r="AE595" s="1504">
        <v>52566</v>
      </c>
      <c r="AF595" s="19"/>
      <c r="AG595" s="93"/>
      <c r="AH595" s="93"/>
      <c r="AI595" s="93"/>
      <c r="AJ595" s="93"/>
      <c r="AK595" s="93"/>
      <c r="AL595" s="93"/>
      <c r="AM595" s="93"/>
      <c r="AN595" s="93"/>
      <c r="AO595" s="93"/>
      <c r="AP595" s="93"/>
      <c r="AQ595" s="93"/>
      <c r="AR595" s="93"/>
      <c r="AS595" s="20"/>
      <c r="AT595" s="25"/>
      <c r="AU595" s="97"/>
      <c r="AV595" s="1504">
        <v>52566</v>
      </c>
      <c r="AW595" s="19"/>
      <c r="AX595" s="93"/>
      <c r="AY595" s="93"/>
      <c r="AZ595" s="93"/>
      <c r="BA595" s="93"/>
      <c r="BB595" s="93"/>
      <c r="BC595" s="93"/>
      <c r="BD595" s="93"/>
      <c r="BE595" s="93"/>
      <c r="BF595" s="93"/>
      <c r="BG595" s="93"/>
      <c r="BH595" s="93"/>
      <c r="BI595" s="93"/>
      <c r="BJ595" s="20"/>
      <c r="BK595" s="25"/>
      <c r="BL595" s="97"/>
      <c r="BM595" s="1504">
        <v>52566</v>
      </c>
      <c r="BN595" s="19"/>
      <c r="BO595" s="93"/>
      <c r="BP595" s="93"/>
      <c r="BQ595" s="93"/>
      <c r="BR595" s="93"/>
      <c r="BS595" s="93"/>
      <c r="BT595" s="93"/>
      <c r="BU595" s="20"/>
      <c r="BV595" s="25"/>
      <c r="BW595" s="97"/>
      <c r="BX595" s="1504">
        <v>52566</v>
      </c>
      <c r="BY595" s="19"/>
      <c r="BZ595" s="93"/>
      <c r="CA595" s="93"/>
      <c r="CB595" s="93"/>
      <c r="CC595" s="93"/>
      <c r="CD595" s="25"/>
      <c r="CE595" s="97"/>
      <c r="CF595" s="1504">
        <v>52566</v>
      </c>
      <c r="CG595" s="19"/>
      <c r="CH595" s="93"/>
      <c r="CI595" s="219"/>
      <c r="CJ595" s="20"/>
      <c r="CK595" s="19"/>
      <c r="CL595" s="93"/>
      <c r="CM595" s="93"/>
      <c r="CN595" s="93"/>
      <c r="CO595" s="93"/>
      <c r="CP595" s="20"/>
      <c r="CQ595" s="219"/>
      <c r="CR595" s="93"/>
      <c r="CS595" s="93"/>
      <c r="CT595" s="93"/>
      <c r="CU595" s="93"/>
      <c r="CV595" s="214"/>
      <c r="CW595" s="29"/>
      <c r="CX595" s="41">
        <f t="shared" si="363"/>
        <v>2043</v>
      </c>
      <c r="CY595" s="1504">
        <v>52566</v>
      </c>
      <c r="CZ595" s="19"/>
      <c r="DA595" s="93"/>
      <c r="DB595" s="93"/>
      <c r="DC595" s="93"/>
      <c r="DD595" s="93"/>
      <c r="DE595" s="20"/>
      <c r="DF595" s="29"/>
      <c r="DG595" s="1504">
        <v>52566</v>
      </c>
      <c r="DH595" s="19"/>
      <c r="DI595" s="93"/>
      <c r="DJ595" s="93"/>
      <c r="DK595" s="93"/>
      <c r="DL595" s="93"/>
      <c r="DM595" s="93"/>
      <c r="DN595" s="20"/>
      <c r="DO595" s="295"/>
      <c r="DP595" s="29"/>
      <c r="DQ595" s="1504">
        <v>52566</v>
      </c>
      <c r="DR595" s="19"/>
      <c r="DS595" s="93"/>
      <c r="DT595" s="93"/>
      <c r="DU595" s="93"/>
      <c r="DV595" s="93"/>
      <c r="DW595" s="93"/>
      <c r="DX595" s="20"/>
      <c r="DY595" s="29"/>
      <c r="DZ595" s="1504">
        <v>52566</v>
      </c>
      <c r="EA595" s="19"/>
      <c r="EB595" s="93"/>
      <c r="EC595" s="20"/>
      <c r="ED595" s="29"/>
      <c r="EE595" s="1504">
        <v>52566</v>
      </c>
      <c r="EF595" s="19"/>
      <c r="EG595" s="93"/>
      <c r="EH595" s="93"/>
      <c r="EI595" s="214"/>
      <c r="EJ595" s="93"/>
      <c r="EK595" s="93"/>
      <c r="EL595" s="93"/>
      <c r="EM595" s="93"/>
      <c r="EN595" s="20"/>
      <c r="EO595" s="29"/>
      <c r="EP595" s="1504">
        <v>52566</v>
      </c>
      <c r="EQ595" s="19"/>
      <c r="ER595" s="93"/>
      <c r="ES595" s="93"/>
      <c r="ET595" s="214"/>
      <c r="EU595" s="93"/>
      <c r="EV595" s="93"/>
      <c r="EW595" s="93"/>
      <c r="EX595" s="93"/>
      <c r="EY595" s="20"/>
      <c r="EZ595" s="29"/>
      <c r="FA595" s="1504">
        <v>52566</v>
      </c>
      <c r="FB595" s="29"/>
      <c r="FC595" s="29"/>
      <c r="FD595" s="29"/>
      <c r="FE595" s="29"/>
      <c r="FF595" s="29"/>
      <c r="FG595" s="29"/>
      <c r="FH595" s="29"/>
      <c r="FI595" s="29"/>
      <c r="FJ595" s="29"/>
      <c r="FK595" s="29"/>
      <c r="FL595" s="1504">
        <v>52566</v>
      </c>
      <c r="FM595" s="19"/>
      <c r="FN595" s="93"/>
      <c r="FO595" s="93"/>
      <c r="FP595" s="93"/>
      <c r="FQ595" s="93"/>
      <c r="FR595" s="93"/>
      <c r="FS595" s="93"/>
      <c r="FT595" s="93"/>
      <c r="FU595" s="93"/>
      <c r="FV595" s="93"/>
      <c r="FW595" s="93"/>
      <c r="FX595" s="93"/>
      <c r="FY595" s="93"/>
      <c r="FZ595" s="29"/>
      <c r="GA595" s="1504">
        <v>52566</v>
      </c>
      <c r="GB595" s="19"/>
      <c r="GC595" s="93"/>
      <c r="GD595" s="93"/>
      <c r="GE595" s="93"/>
      <c r="GF595" s="93"/>
      <c r="GG595" s="93"/>
      <c r="GH595" s="93"/>
      <c r="GI595" s="93"/>
      <c r="GJ595" s="93"/>
      <c r="GK595" s="93"/>
      <c r="GL595" s="93"/>
      <c r="GM595" s="93"/>
      <c r="GN595" s="20"/>
      <c r="GO595" s="29"/>
      <c r="GP595" s="1504">
        <v>52566</v>
      </c>
      <c r="GQ595" s="19"/>
      <c r="GR595" s="93"/>
      <c r="GS595" s="93"/>
      <c r="GT595" s="93"/>
      <c r="GU595" s="93"/>
      <c r="GV595" s="20"/>
      <c r="GW595" s="19"/>
      <c r="GX595" s="93"/>
      <c r="GY595" s="93"/>
      <c r="GZ595" s="93"/>
      <c r="HA595" s="93"/>
      <c r="HB595" s="20"/>
      <c r="HC595" s="19"/>
      <c r="HD595" s="93"/>
      <c r="HE595" s="93"/>
      <c r="HF595" s="93"/>
      <c r="HG595" s="93"/>
      <c r="HH595" s="20"/>
      <c r="HI595" s="19"/>
      <c r="HJ595" s="93"/>
      <c r="HK595" s="93"/>
      <c r="HL595" s="93"/>
      <c r="HM595" s="93"/>
      <c r="HN595" s="20"/>
      <c r="HO595" s="219"/>
      <c r="HP595" s="20"/>
      <c r="HQ595" s="25"/>
      <c r="HR595" s="29"/>
      <c r="HS595" s="1504">
        <v>52566</v>
      </c>
      <c r="HT595" s="19"/>
      <c r="HU595" s="93"/>
      <c r="HV595" s="93"/>
      <c r="HW595" s="93"/>
      <c r="HX595" s="93"/>
      <c r="HY595" s="93"/>
      <c r="HZ595" s="93"/>
      <c r="IA595" s="20"/>
      <c r="IB595" s="19"/>
      <c r="IC595" s="93"/>
      <c r="ID595" s="93"/>
      <c r="IE595" s="93"/>
      <c r="IF595" s="93"/>
      <c r="IG595" s="20"/>
      <c r="IH595" s="19"/>
      <c r="II595" s="93"/>
      <c r="IJ595" s="93"/>
      <c r="IK595" s="93"/>
      <c r="IL595" s="93"/>
      <c r="IM595" s="93"/>
      <c r="IN595" s="93"/>
      <c r="IO595" s="20"/>
      <c r="IP595" s="29"/>
      <c r="IQ595" s="19"/>
      <c r="IR595" s="93"/>
      <c r="IS595" s="93"/>
      <c r="IT595" s="93"/>
      <c r="IU595" s="93"/>
      <c r="IV595" s="20"/>
      <c r="IW595" s="29"/>
      <c r="IX595" s="19"/>
      <c r="IY595" s="93"/>
      <c r="IZ595" s="93"/>
      <c r="JA595" s="93"/>
      <c r="JB595" s="93"/>
      <c r="JC595" s="93"/>
      <c r="JD595" s="93"/>
      <c r="JE595" s="20"/>
      <c r="JF595" s="29"/>
      <c r="JG595" s="19"/>
      <c r="JH595" s="93"/>
      <c r="JI595" s="93"/>
      <c r="JJ595" s="93"/>
      <c r="JK595" s="93"/>
      <c r="JL595" s="93"/>
      <c r="JM595" s="93"/>
      <c r="JN595" s="20"/>
      <c r="JO595" s="29"/>
      <c r="JP595" s="19"/>
      <c r="JQ595" s="93"/>
      <c r="JR595" s="93"/>
      <c r="JS595" s="93"/>
      <c r="JT595" s="93"/>
      <c r="JU595" s="20"/>
      <c r="JV595" s="29"/>
      <c r="JW595" s="1504">
        <v>52566</v>
      </c>
      <c r="JX595" s="19"/>
      <c r="JY595" s="93"/>
      <c r="JZ595" s="93"/>
      <c r="KA595" s="93"/>
      <c r="KB595" s="93"/>
      <c r="KC595" s="93"/>
      <c r="KD595" s="20"/>
      <c r="KE595" s="29"/>
      <c r="KF595" s="19"/>
      <c r="KG595" s="93"/>
      <c r="KH595" s="93"/>
      <c r="KI595" s="93"/>
      <c r="KJ595" s="93"/>
      <c r="KK595" s="20"/>
      <c r="KL595" s="29"/>
      <c r="KM595" s="19"/>
      <c r="KN595" s="93"/>
      <c r="KO595" s="93"/>
      <c r="KP595" s="93"/>
      <c r="KQ595" s="93"/>
      <c r="KR595" s="20"/>
      <c r="KS595" s="29"/>
      <c r="KT595" s="19"/>
      <c r="KU595" s="93"/>
      <c r="KV595" s="93"/>
      <c r="KW595" s="93"/>
      <c r="KX595" s="93"/>
      <c r="KY595" s="20"/>
      <c r="KZ595" s="29"/>
      <c r="LA595" s="1504">
        <v>52566</v>
      </c>
      <c r="LB595" s="19"/>
      <c r="LC595" s="93"/>
      <c r="LD595" s="93"/>
      <c r="LE595" s="93"/>
      <c r="LF595" s="93"/>
      <c r="LG595" s="93"/>
      <c r="LH595" s="20"/>
      <c r="LI595" s="29"/>
      <c r="LJ595" s="19"/>
      <c r="LK595" s="93"/>
      <c r="LL595" s="93"/>
      <c r="LM595" s="93"/>
      <c r="LN595" s="93"/>
      <c r="LO595" s="20"/>
      <c r="LP595" s="29"/>
      <c r="LQ595" s="19"/>
      <c r="LR595" s="93"/>
      <c r="LS595" s="93"/>
      <c r="LT595" s="93"/>
      <c r="LU595" s="93"/>
      <c r="LV595" s="93"/>
      <c r="LW595" s="93"/>
      <c r="LX595" s="93"/>
      <c r="LY595" s="93"/>
      <c r="LZ595" s="93"/>
      <c r="MA595" s="20"/>
      <c r="MB595" s="29"/>
      <c r="MC595" s="1504">
        <v>52566</v>
      </c>
      <c r="MD595" s="19"/>
      <c r="ME595" s="93"/>
      <c r="MF595" s="93"/>
      <c r="MG595" s="93"/>
      <c r="MH595" s="93"/>
      <c r="MI595" s="93"/>
      <c r="MJ595" s="93"/>
      <c r="MK595" s="93"/>
      <c r="ML595" s="93"/>
      <c r="MM595" s="93"/>
      <c r="MN595" s="93"/>
      <c r="MO595" s="93"/>
      <c r="MP595" s="93"/>
      <c r="MQ595" s="93"/>
      <c r="MR595" s="93"/>
      <c r="MS595" s="93"/>
      <c r="MT595" s="93"/>
      <c r="MU595" s="93"/>
      <c r="MV595" s="93"/>
      <c r="MW595" s="93"/>
      <c r="MX595" s="93"/>
      <c r="MY595" s="93"/>
      <c r="MZ595" s="93"/>
      <c r="NA595" s="93"/>
      <c r="NB595" s="93"/>
      <c r="NC595" s="93"/>
      <c r="ND595" s="93"/>
      <c r="NE595" s="93"/>
      <c r="NF595" s="93"/>
      <c r="NG595" s="93"/>
      <c r="NH595" s="93"/>
      <c r="NI595" s="93"/>
      <c r="NJ595" s="93"/>
      <c r="NK595" s="93"/>
      <c r="NL595" s="93"/>
      <c r="NM595" s="93"/>
      <c r="NN595" s="93"/>
      <c r="NO595" s="93"/>
      <c r="NP595" s="93"/>
      <c r="NQ595" s="93"/>
      <c r="NR595" s="93"/>
      <c r="NS595" s="93"/>
      <c r="NT595" s="93"/>
      <c r="NU595" s="93"/>
      <c r="NV595" s="93"/>
      <c r="NW595" s="93"/>
      <c r="NX595" s="93"/>
      <c r="NY595" s="93"/>
      <c r="NZ595" s="93"/>
      <c r="OA595" s="93"/>
      <c r="OB595" s="93"/>
      <c r="OC595" s="93"/>
      <c r="OD595" s="20"/>
      <c r="OE595" s="29"/>
      <c r="OF595" s="1504">
        <v>52566</v>
      </c>
      <c r="OG595" s="19"/>
      <c r="OH595" s="93"/>
      <c r="OI595" s="93"/>
      <c r="OJ595" s="93"/>
      <c r="OK595" s="93"/>
      <c r="OL595" s="93"/>
      <c r="OM595" s="93"/>
      <c r="ON595" s="93"/>
      <c r="OO595" s="93"/>
      <c r="OP595" s="93"/>
      <c r="OQ595" s="93"/>
      <c r="OR595" s="93"/>
      <c r="OS595" s="93"/>
      <c r="OT595" s="93"/>
      <c r="OU595" s="93"/>
      <c r="OV595" s="93"/>
      <c r="OW595" s="93"/>
      <c r="OX595" s="93"/>
      <c r="OY595" s="93"/>
      <c r="OZ595" s="93"/>
      <c r="PA595" s="93"/>
      <c r="PB595" s="93"/>
      <c r="PC595" s="20"/>
      <c r="PD595" s="29"/>
      <c r="PE595" s="19"/>
      <c r="PF595" s="93"/>
      <c r="PG595" s="93"/>
      <c r="PH595" s="93"/>
      <c r="PI595" s="93"/>
      <c r="PJ595" s="93"/>
      <c r="PK595" s="93"/>
      <c r="PL595" s="93"/>
      <c r="PM595" s="93"/>
      <c r="PN595" s="93"/>
      <c r="PO595" s="93"/>
      <c r="PP595" s="93"/>
      <c r="PQ595" s="93"/>
      <c r="PR595" s="93"/>
      <c r="PS595" s="93"/>
      <c r="PT595" s="93"/>
      <c r="PU595" s="93"/>
      <c r="PV595" s="93"/>
      <c r="PW595" s="93"/>
      <c r="PX595" s="93"/>
      <c r="PY595" s="93"/>
      <c r="PZ595" s="93"/>
      <c r="QA595" s="93"/>
      <c r="QB595" s="93"/>
      <c r="QC595" s="93"/>
      <c r="QD595" s="93"/>
      <c r="QE595" s="20"/>
      <c r="QF595" s="1739"/>
      <c r="QG595" s="19"/>
      <c r="QH595" s="93"/>
      <c r="QI595" s="93"/>
      <c r="QJ595" s="93"/>
      <c r="QK595" s="93"/>
      <c r="QL595" s="93"/>
      <c r="QM595" s="93"/>
      <c r="QN595" s="93"/>
      <c r="QO595" s="93"/>
      <c r="QP595" s="93"/>
      <c r="QQ595" s="93"/>
      <c r="QR595" s="93"/>
      <c r="QS595" s="93"/>
      <c r="QT595" s="93"/>
      <c r="QU595" s="93"/>
      <c r="QV595" s="93"/>
      <c r="QW595" s="93"/>
      <c r="QX595" s="93"/>
      <c r="QY595" s="93"/>
      <c r="QZ595" s="93"/>
      <c r="RA595" s="93"/>
      <c r="RB595" s="93"/>
      <c r="RC595" s="93"/>
      <c r="RD595" s="93"/>
      <c r="RE595" s="93"/>
      <c r="RF595" s="93"/>
      <c r="RG595" s="93"/>
      <c r="RH595" s="93"/>
      <c r="RI595" s="93"/>
      <c r="RJ595" s="93"/>
      <c r="RK595" s="93"/>
      <c r="RL595" s="93"/>
      <c r="RM595" s="20"/>
      <c r="RN595" s="29"/>
      <c r="RO595" s="19"/>
      <c r="RP595" s="20"/>
      <c r="RQ595" s="29"/>
      <c r="RR595" s="20"/>
      <c r="RS595" s="29"/>
      <c r="RT595" s="1504">
        <v>52566</v>
      </c>
      <c r="RU595" s="19"/>
      <c r="RV595" s="20"/>
      <c r="RW595" s="29"/>
      <c r="RX595" s="1504">
        <v>52566</v>
      </c>
      <c r="RY595" s="29"/>
      <c r="RZ595" s="20"/>
      <c r="SA595" s="29"/>
      <c r="SB595" s="29"/>
    </row>
    <row r="596" spans="1:496">
      <c r="A596" s="41">
        <f t="shared" si="362"/>
        <v>2044</v>
      </c>
      <c r="B596" s="1504">
        <v>52597</v>
      </c>
      <c r="C596" s="1813"/>
      <c r="D596" s="1814"/>
      <c r="E596" s="1814"/>
      <c r="F596" s="1815"/>
      <c r="G596" s="1814"/>
      <c r="H596" s="1814"/>
      <c r="I596" s="1814"/>
      <c r="J596" s="1816"/>
      <c r="K596" s="1807"/>
      <c r="L596" s="25"/>
      <c r="M596" s="97"/>
      <c r="N596" s="1504">
        <v>52597</v>
      </c>
      <c r="O596" s="19"/>
      <c r="P596" s="93"/>
      <c r="Q596" s="93"/>
      <c r="R596" s="93"/>
      <c r="S596" s="93"/>
      <c r="T596" s="93"/>
      <c r="U596" s="93"/>
      <c r="V596" s="93"/>
      <c r="W596" s="93"/>
      <c r="X596" s="93"/>
      <c r="Y596" s="93"/>
      <c r="Z596" s="93"/>
      <c r="AA596" s="93"/>
      <c r="AB596" s="20"/>
      <c r="AC596" s="25"/>
      <c r="AD596" s="97"/>
      <c r="AE596" s="1504">
        <v>52597</v>
      </c>
      <c r="AF596" s="19"/>
      <c r="AG596" s="93"/>
      <c r="AH596" s="93"/>
      <c r="AI596" s="93"/>
      <c r="AJ596" s="93"/>
      <c r="AK596" s="93"/>
      <c r="AL596" s="93"/>
      <c r="AM596" s="93"/>
      <c r="AN596" s="93"/>
      <c r="AO596" s="93"/>
      <c r="AP596" s="93"/>
      <c r="AQ596" s="93"/>
      <c r="AR596" s="93"/>
      <c r="AS596" s="20"/>
      <c r="AT596" s="25"/>
      <c r="AU596" s="97"/>
      <c r="AV596" s="1504">
        <v>52597</v>
      </c>
      <c r="AW596" s="19"/>
      <c r="AX596" s="93"/>
      <c r="AY596" s="93"/>
      <c r="AZ596" s="93"/>
      <c r="BA596" s="93"/>
      <c r="BB596" s="93"/>
      <c r="BC596" s="93"/>
      <c r="BD596" s="93"/>
      <c r="BE596" s="93"/>
      <c r="BF596" s="93"/>
      <c r="BG596" s="93"/>
      <c r="BH596" s="93"/>
      <c r="BI596" s="93"/>
      <c r="BJ596" s="20"/>
      <c r="BK596" s="25"/>
      <c r="BL596" s="97"/>
      <c r="BM596" s="1504">
        <v>52597</v>
      </c>
      <c r="BN596" s="19"/>
      <c r="BO596" s="93"/>
      <c r="BP596" s="93"/>
      <c r="BQ596" s="93"/>
      <c r="BR596" s="93"/>
      <c r="BS596" s="93"/>
      <c r="BT596" s="93"/>
      <c r="BU596" s="20"/>
      <c r="BV596" s="25"/>
      <c r="BW596" s="97"/>
      <c r="BX596" s="1504">
        <v>52597</v>
      </c>
      <c r="BY596" s="19"/>
      <c r="BZ596" s="93"/>
      <c r="CA596" s="93"/>
      <c r="CB596" s="93"/>
      <c r="CC596" s="93"/>
      <c r="CD596" s="25"/>
      <c r="CE596" s="97"/>
      <c r="CF596" s="1504">
        <v>52597</v>
      </c>
      <c r="CG596" s="19"/>
      <c r="CH596" s="93"/>
      <c r="CI596" s="219"/>
      <c r="CJ596" s="20"/>
      <c r="CK596" s="19"/>
      <c r="CL596" s="93"/>
      <c r="CM596" s="93"/>
      <c r="CN596" s="93"/>
      <c r="CO596" s="93"/>
      <c r="CP596" s="20"/>
      <c r="CQ596" s="219"/>
      <c r="CR596" s="93"/>
      <c r="CS596" s="93"/>
      <c r="CT596" s="93"/>
      <c r="CU596" s="93"/>
      <c r="CV596" s="214"/>
      <c r="CW596" s="29"/>
      <c r="CX596" s="41">
        <f t="shared" si="363"/>
        <v>2044</v>
      </c>
      <c r="CY596" s="1504">
        <v>52597</v>
      </c>
      <c r="CZ596" s="19"/>
      <c r="DA596" s="93"/>
      <c r="DB596" s="93"/>
      <c r="DC596" s="93"/>
      <c r="DD596" s="93"/>
      <c r="DE596" s="20"/>
      <c r="DF596" s="29"/>
      <c r="DG596" s="1504">
        <v>52597</v>
      </c>
      <c r="DH596" s="19"/>
      <c r="DI596" s="93"/>
      <c r="DJ596" s="93"/>
      <c r="DK596" s="93"/>
      <c r="DL596" s="93"/>
      <c r="DM596" s="93"/>
      <c r="DN596" s="20"/>
      <c r="DO596" s="295"/>
      <c r="DP596" s="29"/>
      <c r="DQ596" s="1504">
        <v>52597</v>
      </c>
      <c r="DR596" s="19"/>
      <c r="DS596" s="93"/>
      <c r="DT596" s="93"/>
      <c r="DU596" s="93"/>
      <c r="DV596" s="93"/>
      <c r="DW596" s="93"/>
      <c r="DX596" s="20"/>
      <c r="DY596" s="29"/>
      <c r="DZ596" s="1504">
        <v>52597</v>
      </c>
      <c r="EA596" s="19"/>
      <c r="EB596" s="93"/>
      <c r="EC596" s="20"/>
      <c r="ED596" s="29"/>
      <c r="EE596" s="1504">
        <v>52597</v>
      </c>
      <c r="EF596" s="19"/>
      <c r="EG596" s="93"/>
      <c r="EH596" s="93"/>
      <c r="EI596" s="214"/>
      <c r="EJ596" s="93"/>
      <c r="EK596" s="93"/>
      <c r="EL596" s="93"/>
      <c r="EM596" s="93"/>
      <c r="EN596" s="20"/>
      <c r="EO596" s="29"/>
      <c r="EP596" s="1504">
        <v>52597</v>
      </c>
      <c r="EQ596" s="19"/>
      <c r="ER596" s="93"/>
      <c r="ES596" s="93"/>
      <c r="ET596" s="214"/>
      <c r="EU596" s="93"/>
      <c r="EV596" s="93"/>
      <c r="EW596" s="93"/>
      <c r="EX596" s="93"/>
      <c r="EY596" s="20"/>
      <c r="EZ596" s="29"/>
      <c r="FA596" s="1504">
        <v>52597</v>
      </c>
      <c r="FB596" s="29"/>
      <c r="FC596" s="29"/>
      <c r="FD596" s="29"/>
      <c r="FE596" s="29"/>
      <c r="FF596" s="29"/>
      <c r="FG596" s="29"/>
      <c r="FH596" s="29"/>
      <c r="FI596" s="29"/>
      <c r="FJ596" s="29"/>
      <c r="FK596" s="29"/>
      <c r="FL596" s="1504">
        <v>52597</v>
      </c>
      <c r="FM596" s="19"/>
      <c r="FN596" s="93"/>
      <c r="FO596" s="93"/>
      <c r="FP596" s="93"/>
      <c r="FQ596" s="93"/>
      <c r="FR596" s="93"/>
      <c r="FS596" s="93"/>
      <c r="FT596" s="93"/>
      <c r="FU596" s="93"/>
      <c r="FV596" s="93"/>
      <c r="FW596" s="93"/>
      <c r="FX596" s="93"/>
      <c r="FY596" s="93"/>
      <c r="FZ596" s="29"/>
      <c r="GA596" s="1504">
        <v>52597</v>
      </c>
      <c r="GB596" s="19"/>
      <c r="GC596" s="93"/>
      <c r="GD596" s="93"/>
      <c r="GE596" s="93"/>
      <c r="GF596" s="93"/>
      <c r="GG596" s="93"/>
      <c r="GH596" s="93"/>
      <c r="GI596" s="93"/>
      <c r="GJ596" s="93"/>
      <c r="GK596" s="93"/>
      <c r="GL596" s="93"/>
      <c r="GM596" s="93"/>
      <c r="GN596" s="20"/>
      <c r="GO596" s="29"/>
      <c r="GP596" s="1504">
        <v>52597</v>
      </c>
      <c r="GQ596" s="19"/>
      <c r="GR596" s="93"/>
      <c r="GS596" s="93"/>
      <c r="GT596" s="93"/>
      <c r="GU596" s="93"/>
      <c r="GV596" s="20"/>
      <c r="GW596" s="19"/>
      <c r="GX596" s="93"/>
      <c r="GY596" s="93"/>
      <c r="GZ596" s="93"/>
      <c r="HA596" s="93"/>
      <c r="HB596" s="20"/>
      <c r="HC596" s="19"/>
      <c r="HD596" s="93"/>
      <c r="HE596" s="93"/>
      <c r="HF596" s="93"/>
      <c r="HG596" s="93"/>
      <c r="HH596" s="20"/>
      <c r="HI596" s="19"/>
      <c r="HJ596" s="93"/>
      <c r="HK596" s="93"/>
      <c r="HL596" s="93"/>
      <c r="HM596" s="93"/>
      <c r="HN596" s="20"/>
      <c r="HO596" s="219"/>
      <c r="HP596" s="20"/>
      <c r="HQ596" s="25"/>
      <c r="HR596" s="29"/>
      <c r="HS596" s="1504">
        <v>52597</v>
      </c>
      <c r="HT596" s="19"/>
      <c r="HU596" s="93"/>
      <c r="HV596" s="93"/>
      <c r="HW596" s="93"/>
      <c r="HX596" s="93"/>
      <c r="HY596" s="93"/>
      <c r="HZ596" s="93"/>
      <c r="IA596" s="20"/>
      <c r="IB596" s="19"/>
      <c r="IC596" s="93"/>
      <c r="ID596" s="93"/>
      <c r="IE596" s="93"/>
      <c r="IF596" s="93"/>
      <c r="IG596" s="20"/>
      <c r="IH596" s="19"/>
      <c r="II596" s="93"/>
      <c r="IJ596" s="93"/>
      <c r="IK596" s="93"/>
      <c r="IL596" s="93"/>
      <c r="IM596" s="93"/>
      <c r="IN596" s="93"/>
      <c r="IO596" s="20"/>
      <c r="IP596" s="29"/>
      <c r="IQ596" s="19"/>
      <c r="IR596" s="93"/>
      <c r="IS596" s="93"/>
      <c r="IT596" s="93"/>
      <c r="IU596" s="93"/>
      <c r="IV596" s="20"/>
      <c r="IW596" s="29"/>
      <c r="IX596" s="19"/>
      <c r="IY596" s="93"/>
      <c r="IZ596" s="93"/>
      <c r="JA596" s="93"/>
      <c r="JB596" s="93"/>
      <c r="JC596" s="93"/>
      <c r="JD596" s="93"/>
      <c r="JE596" s="20"/>
      <c r="JF596" s="29"/>
      <c r="JG596" s="19"/>
      <c r="JH596" s="93"/>
      <c r="JI596" s="93"/>
      <c r="JJ596" s="93"/>
      <c r="JK596" s="93"/>
      <c r="JL596" s="93"/>
      <c r="JM596" s="93"/>
      <c r="JN596" s="20"/>
      <c r="JO596" s="29"/>
      <c r="JP596" s="19"/>
      <c r="JQ596" s="93"/>
      <c r="JR596" s="93"/>
      <c r="JS596" s="93"/>
      <c r="JT596" s="93"/>
      <c r="JU596" s="20"/>
      <c r="JV596" s="29"/>
      <c r="JW596" s="1504">
        <v>52597</v>
      </c>
      <c r="JX596" s="19"/>
      <c r="JY596" s="93"/>
      <c r="JZ596" s="93"/>
      <c r="KA596" s="93"/>
      <c r="KB596" s="93"/>
      <c r="KC596" s="93"/>
      <c r="KD596" s="20"/>
      <c r="KE596" s="29"/>
      <c r="KF596" s="19"/>
      <c r="KG596" s="93"/>
      <c r="KH596" s="93"/>
      <c r="KI596" s="93"/>
      <c r="KJ596" s="93"/>
      <c r="KK596" s="20"/>
      <c r="KL596" s="29"/>
      <c r="KM596" s="19"/>
      <c r="KN596" s="93"/>
      <c r="KO596" s="93"/>
      <c r="KP596" s="93"/>
      <c r="KQ596" s="93"/>
      <c r="KR596" s="20"/>
      <c r="KS596" s="29"/>
      <c r="KT596" s="19"/>
      <c r="KU596" s="93"/>
      <c r="KV596" s="93"/>
      <c r="KW596" s="93"/>
      <c r="KX596" s="93"/>
      <c r="KY596" s="20"/>
      <c r="KZ596" s="29"/>
      <c r="LA596" s="1504">
        <v>52597</v>
      </c>
      <c r="LB596" s="19"/>
      <c r="LC596" s="93"/>
      <c r="LD596" s="93"/>
      <c r="LE596" s="93"/>
      <c r="LF596" s="93"/>
      <c r="LG596" s="93"/>
      <c r="LH596" s="20"/>
      <c r="LI596" s="29"/>
      <c r="LJ596" s="19"/>
      <c r="LK596" s="93"/>
      <c r="LL596" s="93"/>
      <c r="LM596" s="93"/>
      <c r="LN596" s="93"/>
      <c r="LO596" s="20"/>
      <c r="LP596" s="29"/>
      <c r="LQ596" s="19"/>
      <c r="LR596" s="93"/>
      <c r="LS596" s="93"/>
      <c r="LT596" s="93"/>
      <c r="LU596" s="93"/>
      <c r="LV596" s="93"/>
      <c r="LW596" s="93"/>
      <c r="LX596" s="93"/>
      <c r="LY596" s="93"/>
      <c r="LZ596" s="93"/>
      <c r="MA596" s="20"/>
      <c r="MB596" s="29"/>
      <c r="MC596" s="1504">
        <v>52597</v>
      </c>
      <c r="MD596" s="19"/>
      <c r="ME596" s="93"/>
      <c r="MF596" s="93"/>
      <c r="MG596" s="93"/>
      <c r="MH596" s="93"/>
      <c r="MI596" s="93"/>
      <c r="MJ596" s="93"/>
      <c r="MK596" s="93"/>
      <c r="ML596" s="93"/>
      <c r="MM596" s="93"/>
      <c r="MN596" s="93"/>
      <c r="MO596" s="93"/>
      <c r="MP596" s="93"/>
      <c r="MQ596" s="93"/>
      <c r="MR596" s="93"/>
      <c r="MS596" s="93"/>
      <c r="MT596" s="93"/>
      <c r="MU596" s="93"/>
      <c r="MV596" s="93"/>
      <c r="MW596" s="93"/>
      <c r="MX596" s="93"/>
      <c r="MY596" s="93"/>
      <c r="MZ596" s="93"/>
      <c r="NA596" s="93"/>
      <c r="NB596" s="93"/>
      <c r="NC596" s="93"/>
      <c r="ND596" s="93"/>
      <c r="NE596" s="93"/>
      <c r="NF596" s="93"/>
      <c r="NG596" s="93"/>
      <c r="NH596" s="93"/>
      <c r="NI596" s="93"/>
      <c r="NJ596" s="93"/>
      <c r="NK596" s="93"/>
      <c r="NL596" s="93"/>
      <c r="NM596" s="93"/>
      <c r="NN596" s="93"/>
      <c r="NO596" s="93"/>
      <c r="NP596" s="93"/>
      <c r="NQ596" s="93"/>
      <c r="NR596" s="93"/>
      <c r="NS596" s="93"/>
      <c r="NT596" s="93"/>
      <c r="NU596" s="93"/>
      <c r="NV596" s="93"/>
      <c r="NW596" s="93"/>
      <c r="NX596" s="93"/>
      <c r="NY596" s="93"/>
      <c r="NZ596" s="93"/>
      <c r="OA596" s="93"/>
      <c r="OB596" s="93"/>
      <c r="OC596" s="93"/>
      <c r="OD596" s="20"/>
      <c r="OE596" s="29"/>
      <c r="OF596" s="1504">
        <v>52597</v>
      </c>
      <c r="OG596" s="19"/>
      <c r="OH596" s="93"/>
      <c r="OI596" s="93"/>
      <c r="OJ596" s="93"/>
      <c r="OK596" s="93"/>
      <c r="OL596" s="93"/>
      <c r="OM596" s="93"/>
      <c r="ON596" s="93"/>
      <c r="OO596" s="93"/>
      <c r="OP596" s="93"/>
      <c r="OQ596" s="93"/>
      <c r="OR596" s="93"/>
      <c r="OS596" s="93"/>
      <c r="OT596" s="93"/>
      <c r="OU596" s="93"/>
      <c r="OV596" s="93"/>
      <c r="OW596" s="93"/>
      <c r="OX596" s="93"/>
      <c r="OY596" s="93"/>
      <c r="OZ596" s="93"/>
      <c r="PA596" s="93"/>
      <c r="PB596" s="93"/>
      <c r="PC596" s="20"/>
      <c r="PD596" s="29"/>
      <c r="PE596" s="19"/>
      <c r="PF596" s="93"/>
      <c r="PG596" s="93"/>
      <c r="PH596" s="93"/>
      <c r="PI596" s="93"/>
      <c r="PJ596" s="93"/>
      <c r="PK596" s="93"/>
      <c r="PL596" s="93"/>
      <c r="PM596" s="93"/>
      <c r="PN596" s="93"/>
      <c r="PO596" s="93"/>
      <c r="PP596" s="93"/>
      <c r="PQ596" s="93"/>
      <c r="PR596" s="93"/>
      <c r="PS596" s="93"/>
      <c r="PT596" s="93"/>
      <c r="PU596" s="93"/>
      <c r="PV596" s="93"/>
      <c r="PW596" s="93"/>
      <c r="PX596" s="93"/>
      <c r="PY596" s="93"/>
      <c r="PZ596" s="93"/>
      <c r="QA596" s="93"/>
      <c r="QB596" s="93"/>
      <c r="QC596" s="93"/>
      <c r="QD596" s="93"/>
      <c r="QE596" s="20"/>
      <c r="QF596" s="1739"/>
      <c r="QG596" s="19"/>
      <c r="QH596" s="93"/>
      <c r="QI596" s="93"/>
      <c r="QJ596" s="93"/>
      <c r="QK596" s="93"/>
      <c r="QL596" s="93"/>
      <c r="QM596" s="93"/>
      <c r="QN596" s="93"/>
      <c r="QO596" s="93"/>
      <c r="QP596" s="93"/>
      <c r="QQ596" s="93"/>
      <c r="QR596" s="93"/>
      <c r="QS596" s="93"/>
      <c r="QT596" s="93"/>
      <c r="QU596" s="93"/>
      <c r="QV596" s="93"/>
      <c r="QW596" s="93"/>
      <c r="QX596" s="93"/>
      <c r="QY596" s="93"/>
      <c r="QZ596" s="93"/>
      <c r="RA596" s="93"/>
      <c r="RB596" s="93"/>
      <c r="RC596" s="93"/>
      <c r="RD596" s="93"/>
      <c r="RE596" s="93"/>
      <c r="RF596" s="93"/>
      <c r="RG596" s="93"/>
      <c r="RH596" s="93"/>
      <c r="RI596" s="93"/>
      <c r="RJ596" s="93"/>
      <c r="RK596" s="93"/>
      <c r="RL596" s="93"/>
      <c r="RM596" s="20"/>
      <c r="RN596" s="29"/>
      <c r="RO596" s="19"/>
      <c r="RP596" s="20"/>
      <c r="RQ596" s="29"/>
      <c r="RR596" s="20"/>
      <c r="RS596" s="29"/>
      <c r="RT596" s="1504">
        <v>52597</v>
      </c>
      <c r="RU596" s="19"/>
      <c r="RV596" s="20"/>
      <c r="RW596" s="29"/>
      <c r="RX596" s="1504">
        <v>52597</v>
      </c>
      <c r="RY596" s="29"/>
      <c r="RZ596" s="20"/>
      <c r="SA596" s="29"/>
      <c r="SB596" s="29"/>
    </row>
    <row r="597" spans="1:496">
      <c r="A597" s="41">
        <f t="shared" si="362"/>
        <v>2044</v>
      </c>
      <c r="B597" s="1504">
        <v>52628</v>
      </c>
      <c r="C597" s="1813"/>
      <c r="D597" s="1814"/>
      <c r="E597" s="1814"/>
      <c r="F597" s="1815"/>
      <c r="G597" s="1814"/>
      <c r="H597" s="1814"/>
      <c r="I597" s="1814"/>
      <c r="J597" s="1816"/>
      <c r="K597" s="1807"/>
      <c r="L597" s="25"/>
      <c r="M597" s="97"/>
      <c r="N597" s="1504">
        <v>52628</v>
      </c>
      <c r="O597" s="19"/>
      <c r="P597" s="93"/>
      <c r="Q597" s="93"/>
      <c r="R597" s="93"/>
      <c r="S597" s="93"/>
      <c r="T597" s="93"/>
      <c r="U597" s="93"/>
      <c r="V597" s="93"/>
      <c r="W597" s="93"/>
      <c r="X597" s="93"/>
      <c r="Y597" s="93"/>
      <c r="Z597" s="93"/>
      <c r="AA597" s="93"/>
      <c r="AB597" s="20"/>
      <c r="AC597" s="25"/>
      <c r="AD597" s="97"/>
      <c r="AE597" s="1504">
        <v>52628</v>
      </c>
      <c r="AF597" s="19"/>
      <c r="AG597" s="93"/>
      <c r="AH597" s="93"/>
      <c r="AI597" s="93"/>
      <c r="AJ597" s="93"/>
      <c r="AK597" s="93"/>
      <c r="AL597" s="93"/>
      <c r="AM597" s="93"/>
      <c r="AN597" s="93"/>
      <c r="AO597" s="93"/>
      <c r="AP597" s="93"/>
      <c r="AQ597" s="93"/>
      <c r="AR597" s="93"/>
      <c r="AS597" s="20"/>
      <c r="AT597" s="25"/>
      <c r="AU597" s="97"/>
      <c r="AV597" s="1504">
        <v>52628</v>
      </c>
      <c r="AW597" s="19"/>
      <c r="AX597" s="93"/>
      <c r="AY597" s="93"/>
      <c r="AZ597" s="93"/>
      <c r="BA597" s="93"/>
      <c r="BB597" s="93"/>
      <c r="BC597" s="93"/>
      <c r="BD597" s="93"/>
      <c r="BE597" s="93"/>
      <c r="BF597" s="93"/>
      <c r="BG597" s="93"/>
      <c r="BH597" s="93"/>
      <c r="BI597" s="93"/>
      <c r="BJ597" s="20"/>
      <c r="BK597" s="25"/>
      <c r="BL597" s="97"/>
      <c r="BM597" s="1504">
        <v>52628</v>
      </c>
      <c r="BN597" s="19"/>
      <c r="BO597" s="93"/>
      <c r="BP597" s="93"/>
      <c r="BQ597" s="93"/>
      <c r="BR597" s="93"/>
      <c r="BS597" s="93"/>
      <c r="BT597" s="93"/>
      <c r="BU597" s="20"/>
      <c r="BV597" s="25"/>
      <c r="BW597" s="97"/>
      <c r="BX597" s="1504">
        <v>52628</v>
      </c>
      <c r="BY597" s="19"/>
      <c r="BZ597" s="93"/>
      <c r="CA597" s="93"/>
      <c r="CB597" s="93"/>
      <c r="CC597" s="93"/>
      <c r="CD597" s="25"/>
      <c r="CE597" s="97"/>
      <c r="CF597" s="1504">
        <v>52628</v>
      </c>
      <c r="CG597" s="19"/>
      <c r="CH597" s="93"/>
      <c r="CI597" s="219"/>
      <c r="CJ597" s="20"/>
      <c r="CK597" s="19"/>
      <c r="CL597" s="93"/>
      <c r="CM597" s="93"/>
      <c r="CN597" s="93"/>
      <c r="CO597" s="93"/>
      <c r="CP597" s="20"/>
      <c r="CQ597" s="219"/>
      <c r="CR597" s="93"/>
      <c r="CS597" s="93"/>
      <c r="CT597" s="93"/>
      <c r="CU597" s="93"/>
      <c r="CV597" s="214"/>
      <c r="CW597" s="29"/>
      <c r="CX597" s="41">
        <f t="shared" si="363"/>
        <v>2044</v>
      </c>
      <c r="CY597" s="1504">
        <v>52628</v>
      </c>
      <c r="CZ597" s="19"/>
      <c r="DA597" s="93"/>
      <c r="DB597" s="93"/>
      <c r="DC597" s="93"/>
      <c r="DD597" s="93"/>
      <c r="DE597" s="20"/>
      <c r="DF597" s="29"/>
      <c r="DG597" s="1504">
        <v>52628</v>
      </c>
      <c r="DH597" s="19"/>
      <c r="DI597" s="93"/>
      <c r="DJ597" s="93"/>
      <c r="DK597" s="93"/>
      <c r="DL597" s="93"/>
      <c r="DM597" s="93"/>
      <c r="DN597" s="20"/>
      <c r="DO597" s="295"/>
      <c r="DP597" s="29"/>
      <c r="DQ597" s="1504">
        <v>52628</v>
      </c>
      <c r="DR597" s="19"/>
      <c r="DS597" s="93"/>
      <c r="DT597" s="93"/>
      <c r="DU597" s="93"/>
      <c r="DV597" s="93"/>
      <c r="DW597" s="93"/>
      <c r="DX597" s="20"/>
      <c r="DY597" s="29"/>
      <c r="DZ597" s="1504">
        <v>52628</v>
      </c>
      <c r="EA597" s="19"/>
      <c r="EB597" s="93"/>
      <c r="EC597" s="20"/>
      <c r="ED597" s="29"/>
      <c r="EE597" s="1504">
        <v>52628</v>
      </c>
      <c r="EF597" s="19"/>
      <c r="EG597" s="93"/>
      <c r="EH597" s="93"/>
      <c r="EI597" s="214"/>
      <c r="EJ597" s="93"/>
      <c r="EK597" s="93"/>
      <c r="EL597" s="93"/>
      <c r="EM597" s="93"/>
      <c r="EN597" s="20"/>
      <c r="EO597" s="29"/>
      <c r="EP597" s="1504">
        <v>52628</v>
      </c>
      <c r="EQ597" s="19"/>
      <c r="ER597" s="93"/>
      <c r="ES597" s="93"/>
      <c r="ET597" s="214"/>
      <c r="EU597" s="93"/>
      <c r="EV597" s="93"/>
      <c r="EW597" s="93"/>
      <c r="EX597" s="93"/>
      <c r="EY597" s="20"/>
      <c r="EZ597" s="29"/>
      <c r="FA597" s="1504">
        <v>52628</v>
      </c>
      <c r="FB597" s="29"/>
      <c r="FC597" s="29"/>
      <c r="FD597" s="29"/>
      <c r="FE597" s="29"/>
      <c r="FF597" s="29"/>
      <c r="FG597" s="29"/>
      <c r="FH597" s="29"/>
      <c r="FI597" s="29"/>
      <c r="FJ597" s="29"/>
      <c r="FK597" s="29"/>
      <c r="FL597" s="1504">
        <v>52628</v>
      </c>
      <c r="FM597" s="19"/>
      <c r="FN597" s="93"/>
      <c r="FO597" s="93"/>
      <c r="FP597" s="93"/>
      <c r="FQ597" s="93"/>
      <c r="FR597" s="93"/>
      <c r="FS597" s="93"/>
      <c r="FT597" s="93"/>
      <c r="FU597" s="93"/>
      <c r="FV597" s="93"/>
      <c r="FW597" s="93"/>
      <c r="FX597" s="93"/>
      <c r="FY597" s="93"/>
      <c r="FZ597" s="29"/>
      <c r="GA597" s="1504">
        <v>52628</v>
      </c>
      <c r="GB597" s="19"/>
      <c r="GC597" s="93"/>
      <c r="GD597" s="93"/>
      <c r="GE597" s="93"/>
      <c r="GF597" s="93"/>
      <c r="GG597" s="93"/>
      <c r="GH597" s="93"/>
      <c r="GI597" s="93"/>
      <c r="GJ597" s="93"/>
      <c r="GK597" s="93"/>
      <c r="GL597" s="93"/>
      <c r="GM597" s="93"/>
      <c r="GN597" s="20"/>
      <c r="GO597" s="29"/>
      <c r="GP597" s="1504">
        <v>52628</v>
      </c>
      <c r="GQ597" s="19"/>
      <c r="GR597" s="93"/>
      <c r="GS597" s="93"/>
      <c r="GT597" s="93"/>
      <c r="GU597" s="93"/>
      <c r="GV597" s="20"/>
      <c r="GW597" s="19"/>
      <c r="GX597" s="93"/>
      <c r="GY597" s="93"/>
      <c r="GZ597" s="93"/>
      <c r="HA597" s="93"/>
      <c r="HB597" s="20"/>
      <c r="HC597" s="19"/>
      <c r="HD597" s="93"/>
      <c r="HE597" s="93"/>
      <c r="HF597" s="93"/>
      <c r="HG597" s="93"/>
      <c r="HH597" s="20"/>
      <c r="HI597" s="19"/>
      <c r="HJ597" s="93"/>
      <c r="HK597" s="93"/>
      <c r="HL597" s="93"/>
      <c r="HM597" s="93"/>
      <c r="HN597" s="20"/>
      <c r="HO597" s="219"/>
      <c r="HP597" s="20"/>
      <c r="HQ597" s="25"/>
      <c r="HR597" s="29"/>
      <c r="HS597" s="1504">
        <v>52628</v>
      </c>
      <c r="HT597" s="19"/>
      <c r="HU597" s="93"/>
      <c r="HV597" s="93"/>
      <c r="HW597" s="93"/>
      <c r="HX597" s="93"/>
      <c r="HY597" s="93"/>
      <c r="HZ597" s="93"/>
      <c r="IA597" s="20"/>
      <c r="IB597" s="19"/>
      <c r="IC597" s="93"/>
      <c r="ID597" s="93"/>
      <c r="IE597" s="93"/>
      <c r="IF597" s="93"/>
      <c r="IG597" s="20"/>
      <c r="IH597" s="19"/>
      <c r="II597" s="93"/>
      <c r="IJ597" s="93"/>
      <c r="IK597" s="93"/>
      <c r="IL597" s="93"/>
      <c r="IM597" s="93"/>
      <c r="IN597" s="93"/>
      <c r="IO597" s="20"/>
      <c r="IP597" s="29"/>
      <c r="IQ597" s="19"/>
      <c r="IR597" s="93"/>
      <c r="IS597" s="93"/>
      <c r="IT597" s="93"/>
      <c r="IU597" s="93"/>
      <c r="IV597" s="20"/>
      <c r="IW597" s="29"/>
      <c r="IX597" s="19"/>
      <c r="IY597" s="93"/>
      <c r="IZ597" s="93"/>
      <c r="JA597" s="93"/>
      <c r="JB597" s="93"/>
      <c r="JC597" s="93"/>
      <c r="JD597" s="93"/>
      <c r="JE597" s="20"/>
      <c r="JF597" s="29"/>
      <c r="JG597" s="19"/>
      <c r="JH597" s="93"/>
      <c r="JI597" s="93"/>
      <c r="JJ597" s="93"/>
      <c r="JK597" s="93"/>
      <c r="JL597" s="93"/>
      <c r="JM597" s="93"/>
      <c r="JN597" s="20"/>
      <c r="JO597" s="29"/>
      <c r="JP597" s="19"/>
      <c r="JQ597" s="93"/>
      <c r="JR597" s="93"/>
      <c r="JS597" s="93"/>
      <c r="JT597" s="93"/>
      <c r="JU597" s="20"/>
      <c r="JV597" s="29"/>
      <c r="JW597" s="1504">
        <v>52628</v>
      </c>
      <c r="JX597" s="19"/>
      <c r="JY597" s="93"/>
      <c r="JZ597" s="93"/>
      <c r="KA597" s="93"/>
      <c r="KB597" s="93"/>
      <c r="KC597" s="93"/>
      <c r="KD597" s="20"/>
      <c r="KE597" s="29"/>
      <c r="KF597" s="19"/>
      <c r="KG597" s="93"/>
      <c r="KH597" s="93"/>
      <c r="KI597" s="93"/>
      <c r="KJ597" s="93"/>
      <c r="KK597" s="20"/>
      <c r="KL597" s="29"/>
      <c r="KM597" s="19"/>
      <c r="KN597" s="93"/>
      <c r="KO597" s="93"/>
      <c r="KP597" s="93"/>
      <c r="KQ597" s="93"/>
      <c r="KR597" s="20"/>
      <c r="KS597" s="29"/>
      <c r="KT597" s="19"/>
      <c r="KU597" s="93"/>
      <c r="KV597" s="93"/>
      <c r="KW597" s="93"/>
      <c r="KX597" s="93"/>
      <c r="KY597" s="20"/>
      <c r="KZ597" s="29"/>
      <c r="LA597" s="1504">
        <v>52628</v>
      </c>
      <c r="LB597" s="19"/>
      <c r="LC597" s="93"/>
      <c r="LD597" s="93"/>
      <c r="LE597" s="93"/>
      <c r="LF597" s="93"/>
      <c r="LG597" s="93"/>
      <c r="LH597" s="20"/>
      <c r="LI597" s="29"/>
      <c r="LJ597" s="19"/>
      <c r="LK597" s="93"/>
      <c r="LL597" s="93"/>
      <c r="LM597" s="93"/>
      <c r="LN597" s="93"/>
      <c r="LO597" s="20"/>
      <c r="LP597" s="29"/>
      <c r="LQ597" s="19"/>
      <c r="LR597" s="93"/>
      <c r="LS597" s="93"/>
      <c r="LT597" s="93"/>
      <c r="LU597" s="93"/>
      <c r="LV597" s="93"/>
      <c r="LW597" s="93"/>
      <c r="LX597" s="93"/>
      <c r="LY597" s="93"/>
      <c r="LZ597" s="93"/>
      <c r="MA597" s="20"/>
      <c r="MB597" s="29"/>
      <c r="MC597" s="1504">
        <v>52628</v>
      </c>
      <c r="MD597" s="19"/>
      <c r="ME597" s="93"/>
      <c r="MF597" s="93"/>
      <c r="MG597" s="93"/>
      <c r="MH597" s="93"/>
      <c r="MI597" s="93"/>
      <c r="MJ597" s="93"/>
      <c r="MK597" s="93"/>
      <c r="ML597" s="93"/>
      <c r="MM597" s="93"/>
      <c r="MN597" s="93"/>
      <c r="MO597" s="93"/>
      <c r="MP597" s="93"/>
      <c r="MQ597" s="93"/>
      <c r="MR597" s="93"/>
      <c r="MS597" s="93"/>
      <c r="MT597" s="93"/>
      <c r="MU597" s="93"/>
      <c r="MV597" s="93"/>
      <c r="MW597" s="93"/>
      <c r="MX597" s="93"/>
      <c r="MY597" s="93"/>
      <c r="MZ597" s="93"/>
      <c r="NA597" s="93"/>
      <c r="NB597" s="93"/>
      <c r="NC597" s="93"/>
      <c r="ND597" s="93"/>
      <c r="NE597" s="93"/>
      <c r="NF597" s="93"/>
      <c r="NG597" s="93"/>
      <c r="NH597" s="93"/>
      <c r="NI597" s="93"/>
      <c r="NJ597" s="93"/>
      <c r="NK597" s="93"/>
      <c r="NL597" s="93"/>
      <c r="NM597" s="93"/>
      <c r="NN597" s="93"/>
      <c r="NO597" s="93"/>
      <c r="NP597" s="93"/>
      <c r="NQ597" s="93"/>
      <c r="NR597" s="93"/>
      <c r="NS597" s="93"/>
      <c r="NT597" s="93"/>
      <c r="NU597" s="93"/>
      <c r="NV597" s="93"/>
      <c r="NW597" s="93"/>
      <c r="NX597" s="93"/>
      <c r="NY597" s="93"/>
      <c r="NZ597" s="93"/>
      <c r="OA597" s="93"/>
      <c r="OB597" s="93"/>
      <c r="OC597" s="93"/>
      <c r="OD597" s="20"/>
      <c r="OE597" s="29"/>
      <c r="OF597" s="1504">
        <v>52628</v>
      </c>
      <c r="OG597" s="19"/>
      <c r="OH597" s="93"/>
      <c r="OI597" s="93"/>
      <c r="OJ597" s="93"/>
      <c r="OK597" s="93"/>
      <c r="OL597" s="93"/>
      <c r="OM597" s="93"/>
      <c r="ON597" s="93"/>
      <c r="OO597" s="93"/>
      <c r="OP597" s="93"/>
      <c r="OQ597" s="93"/>
      <c r="OR597" s="93"/>
      <c r="OS597" s="93"/>
      <c r="OT597" s="93"/>
      <c r="OU597" s="93"/>
      <c r="OV597" s="93"/>
      <c r="OW597" s="93"/>
      <c r="OX597" s="93"/>
      <c r="OY597" s="93"/>
      <c r="OZ597" s="93"/>
      <c r="PA597" s="93"/>
      <c r="PB597" s="93"/>
      <c r="PC597" s="20"/>
      <c r="PD597" s="29"/>
      <c r="PE597" s="19"/>
      <c r="PF597" s="93"/>
      <c r="PG597" s="93"/>
      <c r="PH597" s="93"/>
      <c r="PI597" s="93"/>
      <c r="PJ597" s="93"/>
      <c r="PK597" s="93"/>
      <c r="PL597" s="93"/>
      <c r="PM597" s="93"/>
      <c r="PN597" s="93"/>
      <c r="PO597" s="93"/>
      <c r="PP597" s="93"/>
      <c r="PQ597" s="93"/>
      <c r="PR597" s="93"/>
      <c r="PS597" s="93"/>
      <c r="PT597" s="93"/>
      <c r="PU597" s="93"/>
      <c r="PV597" s="93"/>
      <c r="PW597" s="93"/>
      <c r="PX597" s="93"/>
      <c r="PY597" s="93"/>
      <c r="PZ597" s="93"/>
      <c r="QA597" s="93"/>
      <c r="QB597" s="93"/>
      <c r="QC597" s="93"/>
      <c r="QD597" s="93"/>
      <c r="QE597" s="20"/>
      <c r="QF597" s="1739"/>
      <c r="QG597" s="19"/>
      <c r="QH597" s="93"/>
      <c r="QI597" s="93"/>
      <c r="QJ597" s="93"/>
      <c r="QK597" s="93"/>
      <c r="QL597" s="93"/>
      <c r="QM597" s="93"/>
      <c r="QN597" s="93"/>
      <c r="QO597" s="93"/>
      <c r="QP597" s="93"/>
      <c r="QQ597" s="93"/>
      <c r="QR597" s="93"/>
      <c r="QS597" s="93"/>
      <c r="QT597" s="93"/>
      <c r="QU597" s="93"/>
      <c r="QV597" s="93"/>
      <c r="QW597" s="93"/>
      <c r="QX597" s="93"/>
      <c r="QY597" s="93"/>
      <c r="QZ597" s="93"/>
      <c r="RA597" s="93"/>
      <c r="RB597" s="93"/>
      <c r="RC597" s="93"/>
      <c r="RD597" s="93"/>
      <c r="RE597" s="93"/>
      <c r="RF597" s="93"/>
      <c r="RG597" s="93"/>
      <c r="RH597" s="93"/>
      <c r="RI597" s="93"/>
      <c r="RJ597" s="93"/>
      <c r="RK597" s="93"/>
      <c r="RL597" s="93"/>
      <c r="RM597" s="20"/>
      <c r="RN597" s="29"/>
      <c r="RO597" s="19"/>
      <c r="RP597" s="20"/>
      <c r="RQ597" s="29"/>
      <c r="RR597" s="20"/>
      <c r="RS597" s="29"/>
      <c r="RT597" s="1504">
        <v>52628</v>
      </c>
      <c r="RU597" s="19"/>
      <c r="RV597" s="20"/>
      <c r="RW597" s="29"/>
      <c r="RX597" s="1504">
        <v>52628</v>
      </c>
      <c r="RY597" s="29"/>
      <c r="RZ597" s="20"/>
      <c r="SA597" s="29"/>
      <c r="SB597" s="29"/>
    </row>
    <row r="598" spans="1:496">
      <c r="A598" s="41">
        <f t="shared" si="362"/>
        <v>2044</v>
      </c>
      <c r="B598" s="1504">
        <v>52657</v>
      </c>
      <c r="C598" s="1813"/>
      <c r="D598" s="1814"/>
      <c r="E598" s="1814"/>
      <c r="F598" s="1815"/>
      <c r="G598" s="1814"/>
      <c r="H598" s="1814"/>
      <c r="I598" s="1814"/>
      <c r="J598" s="1816"/>
      <c r="K598" s="1807"/>
      <c r="L598" s="25"/>
      <c r="M598" s="97"/>
      <c r="N598" s="1504">
        <v>52657</v>
      </c>
      <c r="O598" s="19"/>
      <c r="P598" s="93"/>
      <c r="Q598" s="93"/>
      <c r="R598" s="93"/>
      <c r="S598" s="93"/>
      <c r="T598" s="93"/>
      <c r="U598" s="93"/>
      <c r="V598" s="93"/>
      <c r="W598" s="93"/>
      <c r="X598" s="93"/>
      <c r="Y598" s="93"/>
      <c r="Z598" s="93"/>
      <c r="AA598" s="93"/>
      <c r="AB598" s="20"/>
      <c r="AC598" s="25"/>
      <c r="AD598" s="97"/>
      <c r="AE598" s="1504">
        <v>52657</v>
      </c>
      <c r="AF598" s="19"/>
      <c r="AG598" s="93"/>
      <c r="AH598" s="93"/>
      <c r="AI598" s="93"/>
      <c r="AJ598" s="93"/>
      <c r="AK598" s="93"/>
      <c r="AL598" s="93"/>
      <c r="AM598" s="93"/>
      <c r="AN598" s="93"/>
      <c r="AO598" s="93"/>
      <c r="AP598" s="93"/>
      <c r="AQ598" s="93"/>
      <c r="AR598" s="93"/>
      <c r="AS598" s="20"/>
      <c r="AT598" s="25"/>
      <c r="AU598" s="97"/>
      <c r="AV598" s="1504">
        <v>52657</v>
      </c>
      <c r="AW598" s="19"/>
      <c r="AX598" s="93"/>
      <c r="AY598" s="93"/>
      <c r="AZ598" s="93"/>
      <c r="BA598" s="93"/>
      <c r="BB598" s="93"/>
      <c r="BC598" s="93"/>
      <c r="BD598" s="93"/>
      <c r="BE598" s="93"/>
      <c r="BF598" s="93"/>
      <c r="BG598" s="93"/>
      <c r="BH598" s="93"/>
      <c r="BI598" s="93"/>
      <c r="BJ598" s="20"/>
      <c r="BK598" s="25"/>
      <c r="BL598" s="97"/>
      <c r="BM598" s="1504">
        <v>52657</v>
      </c>
      <c r="BN598" s="19"/>
      <c r="BO598" s="93"/>
      <c r="BP598" s="93"/>
      <c r="BQ598" s="93"/>
      <c r="BR598" s="93"/>
      <c r="BS598" s="93"/>
      <c r="BT598" s="93"/>
      <c r="BU598" s="20"/>
      <c r="BV598" s="25"/>
      <c r="BW598" s="97"/>
      <c r="BX598" s="1504">
        <v>52657</v>
      </c>
      <c r="BY598" s="19"/>
      <c r="BZ598" s="93"/>
      <c r="CA598" s="93"/>
      <c r="CB598" s="93"/>
      <c r="CC598" s="93"/>
      <c r="CD598" s="25"/>
      <c r="CE598" s="97"/>
      <c r="CF598" s="1504">
        <v>52657</v>
      </c>
      <c r="CG598" s="19"/>
      <c r="CH598" s="93"/>
      <c r="CI598" s="219"/>
      <c r="CJ598" s="20"/>
      <c r="CK598" s="19"/>
      <c r="CL598" s="93"/>
      <c r="CM598" s="93"/>
      <c r="CN598" s="93"/>
      <c r="CO598" s="93"/>
      <c r="CP598" s="20"/>
      <c r="CQ598" s="219"/>
      <c r="CR598" s="93"/>
      <c r="CS598" s="93"/>
      <c r="CT598" s="93"/>
      <c r="CU598" s="93"/>
      <c r="CV598" s="214"/>
      <c r="CW598" s="29"/>
      <c r="CX598" s="41">
        <f t="shared" si="363"/>
        <v>2044</v>
      </c>
      <c r="CY598" s="1504">
        <v>52657</v>
      </c>
      <c r="CZ598" s="19"/>
      <c r="DA598" s="93"/>
      <c r="DB598" s="93"/>
      <c r="DC598" s="93"/>
      <c r="DD598" s="93"/>
      <c r="DE598" s="20"/>
      <c r="DF598" s="29"/>
      <c r="DG598" s="1504">
        <v>52657</v>
      </c>
      <c r="DH598" s="19"/>
      <c r="DI598" s="93"/>
      <c r="DJ598" s="93"/>
      <c r="DK598" s="93"/>
      <c r="DL598" s="93"/>
      <c r="DM598" s="93"/>
      <c r="DN598" s="20"/>
      <c r="DO598" s="295"/>
      <c r="DP598" s="29"/>
      <c r="DQ598" s="1504">
        <v>52657</v>
      </c>
      <c r="DR598" s="19"/>
      <c r="DS598" s="93"/>
      <c r="DT598" s="93"/>
      <c r="DU598" s="93"/>
      <c r="DV598" s="93"/>
      <c r="DW598" s="93"/>
      <c r="DX598" s="20"/>
      <c r="DY598" s="29"/>
      <c r="DZ598" s="1504">
        <v>52657</v>
      </c>
      <c r="EA598" s="19"/>
      <c r="EB598" s="93"/>
      <c r="EC598" s="20"/>
      <c r="ED598" s="29"/>
      <c r="EE598" s="1504">
        <v>52657</v>
      </c>
      <c r="EF598" s="19"/>
      <c r="EG598" s="93"/>
      <c r="EH598" s="93"/>
      <c r="EI598" s="214"/>
      <c r="EJ598" s="93"/>
      <c r="EK598" s="93"/>
      <c r="EL598" s="93"/>
      <c r="EM598" s="93"/>
      <c r="EN598" s="20"/>
      <c r="EO598" s="29"/>
      <c r="EP598" s="1504">
        <v>52657</v>
      </c>
      <c r="EQ598" s="19"/>
      <c r="ER598" s="93"/>
      <c r="ES598" s="93"/>
      <c r="ET598" s="214"/>
      <c r="EU598" s="93"/>
      <c r="EV598" s="93"/>
      <c r="EW598" s="93"/>
      <c r="EX598" s="93"/>
      <c r="EY598" s="20"/>
      <c r="EZ598" s="29"/>
      <c r="FA598" s="1504">
        <v>52657</v>
      </c>
      <c r="FB598" s="29"/>
      <c r="FC598" s="29"/>
      <c r="FD598" s="29"/>
      <c r="FE598" s="29"/>
      <c r="FF598" s="29"/>
      <c r="FG598" s="29"/>
      <c r="FH598" s="29"/>
      <c r="FI598" s="29"/>
      <c r="FJ598" s="29"/>
      <c r="FK598" s="29"/>
      <c r="FL598" s="1504">
        <v>52657</v>
      </c>
      <c r="FM598" s="19"/>
      <c r="FN598" s="93"/>
      <c r="FO598" s="93"/>
      <c r="FP598" s="93"/>
      <c r="FQ598" s="93"/>
      <c r="FR598" s="93"/>
      <c r="FS598" s="93"/>
      <c r="FT598" s="93"/>
      <c r="FU598" s="93"/>
      <c r="FV598" s="93"/>
      <c r="FW598" s="93"/>
      <c r="FX598" s="93"/>
      <c r="FY598" s="93"/>
      <c r="FZ598" s="29"/>
      <c r="GA598" s="1504">
        <v>52657</v>
      </c>
      <c r="GB598" s="19"/>
      <c r="GC598" s="93"/>
      <c r="GD598" s="93"/>
      <c r="GE598" s="93"/>
      <c r="GF598" s="93"/>
      <c r="GG598" s="93"/>
      <c r="GH598" s="93"/>
      <c r="GI598" s="93"/>
      <c r="GJ598" s="93"/>
      <c r="GK598" s="93"/>
      <c r="GL598" s="93"/>
      <c r="GM598" s="93"/>
      <c r="GN598" s="20"/>
      <c r="GO598" s="29"/>
      <c r="GP598" s="1504">
        <v>52657</v>
      </c>
      <c r="GQ598" s="19"/>
      <c r="GR598" s="93"/>
      <c r="GS598" s="93"/>
      <c r="GT598" s="93"/>
      <c r="GU598" s="93"/>
      <c r="GV598" s="20"/>
      <c r="GW598" s="19"/>
      <c r="GX598" s="93"/>
      <c r="GY598" s="93"/>
      <c r="GZ598" s="93"/>
      <c r="HA598" s="93"/>
      <c r="HB598" s="20"/>
      <c r="HC598" s="19"/>
      <c r="HD598" s="93"/>
      <c r="HE598" s="93"/>
      <c r="HF598" s="93"/>
      <c r="HG598" s="93"/>
      <c r="HH598" s="20"/>
      <c r="HI598" s="19"/>
      <c r="HJ598" s="93"/>
      <c r="HK598" s="93"/>
      <c r="HL598" s="93"/>
      <c r="HM598" s="93"/>
      <c r="HN598" s="20"/>
      <c r="HO598" s="219"/>
      <c r="HP598" s="20"/>
      <c r="HQ598" s="25"/>
      <c r="HR598" s="29"/>
      <c r="HS598" s="1504">
        <v>52657</v>
      </c>
      <c r="HT598" s="19"/>
      <c r="HU598" s="93"/>
      <c r="HV598" s="93"/>
      <c r="HW598" s="93"/>
      <c r="HX598" s="93"/>
      <c r="HY598" s="93"/>
      <c r="HZ598" s="93"/>
      <c r="IA598" s="20"/>
      <c r="IB598" s="19"/>
      <c r="IC598" s="93"/>
      <c r="ID598" s="93"/>
      <c r="IE598" s="93"/>
      <c r="IF598" s="93"/>
      <c r="IG598" s="20"/>
      <c r="IH598" s="19"/>
      <c r="II598" s="93"/>
      <c r="IJ598" s="93"/>
      <c r="IK598" s="93"/>
      <c r="IL598" s="93"/>
      <c r="IM598" s="93"/>
      <c r="IN598" s="93"/>
      <c r="IO598" s="20"/>
      <c r="IP598" s="29"/>
      <c r="IQ598" s="19"/>
      <c r="IR598" s="93"/>
      <c r="IS598" s="93"/>
      <c r="IT598" s="93"/>
      <c r="IU598" s="93"/>
      <c r="IV598" s="20"/>
      <c r="IW598" s="29"/>
      <c r="IX598" s="19"/>
      <c r="IY598" s="93"/>
      <c r="IZ598" s="93"/>
      <c r="JA598" s="93"/>
      <c r="JB598" s="93"/>
      <c r="JC598" s="93"/>
      <c r="JD598" s="93"/>
      <c r="JE598" s="20"/>
      <c r="JF598" s="29"/>
      <c r="JG598" s="19"/>
      <c r="JH598" s="93"/>
      <c r="JI598" s="93"/>
      <c r="JJ598" s="93"/>
      <c r="JK598" s="93"/>
      <c r="JL598" s="93"/>
      <c r="JM598" s="93"/>
      <c r="JN598" s="20"/>
      <c r="JO598" s="29"/>
      <c r="JP598" s="19"/>
      <c r="JQ598" s="93"/>
      <c r="JR598" s="93"/>
      <c r="JS598" s="93"/>
      <c r="JT598" s="93"/>
      <c r="JU598" s="20"/>
      <c r="JV598" s="29"/>
      <c r="JW598" s="1504">
        <v>52657</v>
      </c>
      <c r="JX598" s="19"/>
      <c r="JY598" s="93"/>
      <c r="JZ598" s="93"/>
      <c r="KA598" s="93"/>
      <c r="KB598" s="93"/>
      <c r="KC598" s="93"/>
      <c r="KD598" s="20"/>
      <c r="KE598" s="29"/>
      <c r="KF598" s="19"/>
      <c r="KG598" s="93"/>
      <c r="KH598" s="93"/>
      <c r="KI598" s="93"/>
      <c r="KJ598" s="93"/>
      <c r="KK598" s="20"/>
      <c r="KL598" s="29"/>
      <c r="KM598" s="19"/>
      <c r="KN598" s="93"/>
      <c r="KO598" s="93"/>
      <c r="KP598" s="93"/>
      <c r="KQ598" s="93"/>
      <c r="KR598" s="20"/>
      <c r="KS598" s="29"/>
      <c r="KT598" s="19"/>
      <c r="KU598" s="93"/>
      <c r="KV598" s="93"/>
      <c r="KW598" s="93"/>
      <c r="KX598" s="93"/>
      <c r="KY598" s="20"/>
      <c r="KZ598" s="29"/>
      <c r="LA598" s="1504">
        <v>52657</v>
      </c>
      <c r="LB598" s="19"/>
      <c r="LC598" s="93"/>
      <c r="LD598" s="93"/>
      <c r="LE598" s="93"/>
      <c r="LF598" s="93"/>
      <c r="LG598" s="93"/>
      <c r="LH598" s="20"/>
      <c r="LI598" s="29"/>
      <c r="LJ598" s="19"/>
      <c r="LK598" s="93"/>
      <c r="LL598" s="93"/>
      <c r="LM598" s="93"/>
      <c r="LN598" s="93"/>
      <c r="LO598" s="20"/>
      <c r="LP598" s="29"/>
      <c r="LQ598" s="19"/>
      <c r="LR598" s="93"/>
      <c r="LS598" s="93"/>
      <c r="LT598" s="93"/>
      <c r="LU598" s="93"/>
      <c r="LV598" s="93"/>
      <c r="LW598" s="93"/>
      <c r="LX598" s="93"/>
      <c r="LY598" s="93"/>
      <c r="LZ598" s="93"/>
      <c r="MA598" s="20"/>
      <c r="MB598" s="29"/>
      <c r="MC598" s="1504">
        <v>52657</v>
      </c>
      <c r="MD598" s="19"/>
      <c r="ME598" s="93"/>
      <c r="MF598" s="93"/>
      <c r="MG598" s="93"/>
      <c r="MH598" s="93"/>
      <c r="MI598" s="93"/>
      <c r="MJ598" s="93"/>
      <c r="MK598" s="93"/>
      <c r="ML598" s="93"/>
      <c r="MM598" s="93"/>
      <c r="MN598" s="93"/>
      <c r="MO598" s="93"/>
      <c r="MP598" s="93"/>
      <c r="MQ598" s="93"/>
      <c r="MR598" s="93"/>
      <c r="MS598" s="93"/>
      <c r="MT598" s="93"/>
      <c r="MU598" s="93"/>
      <c r="MV598" s="93"/>
      <c r="MW598" s="93"/>
      <c r="MX598" s="93"/>
      <c r="MY598" s="93"/>
      <c r="MZ598" s="93"/>
      <c r="NA598" s="93"/>
      <c r="NB598" s="93"/>
      <c r="NC598" s="93"/>
      <c r="ND598" s="93"/>
      <c r="NE598" s="93"/>
      <c r="NF598" s="93"/>
      <c r="NG598" s="93"/>
      <c r="NH598" s="93"/>
      <c r="NI598" s="93"/>
      <c r="NJ598" s="93"/>
      <c r="NK598" s="93"/>
      <c r="NL598" s="93"/>
      <c r="NM598" s="93"/>
      <c r="NN598" s="93"/>
      <c r="NO598" s="93"/>
      <c r="NP598" s="93"/>
      <c r="NQ598" s="93"/>
      <c r="NR598" s="93"/>
      <c r="NS598" s="93"/>
      <c r="NT598" s="93"/>
      <c r="NU598" s="93"/>
      <c r="NV598" s="93"/>
      <c r="NW598" s="93"/>
      <c r="NX598" s="93"/>
      <c r="NY598" s="93"/>
      <c r="NZ598" s="93"/>
      <c r="OA598" s="93"/>
      <c r="OB598" s="93"/>
      <c r="OC598" s="93"/>
      <c r="OD598" s="20"/>
      <c r="OE598" s="29"/>
      <c r="OF598" s="1504">
        <v>52657</v>
      </c>
      <c r="OG598" s="19"/>
      <c r="OH598" s="93"/>
      <c r="OI598" s="93"/>
      <c r="OJ598" s="93"/>
      <c r="OK598" s="93"/>
      <c r="OL598" s="93"/>
      <c r="OM598" s="93"/>
      <c r="ON598" s="93"/>
      <c r="OO598" s="93"/>
      <c r="OP598" s="93"/>
      <c r="OQ598" s="93"/>
      <c r="OR598" s="93"/>
      <c r="OS598" s="93"/>
      <c r="OT598" s="93"/>
      <c r="OU598" s="93"/>
      <c r="OV598" s="93"/>
      <c r="OW598" s="93"/>
      <c r="OX598" s="93"/>
      <c r="OY598" s="93"/>
      <c r="OZ598" s="93"/>
      <c r="PA598" s="93"/>
      <c r="PB598" s="93"/>
      <c r="PC598" s="20"/>
      <c r="PD598" s="29"/>
      <c r="PE598" s="19"/>
      <c r="PF598" s="93"/>
      <c r="PG598" s="93"/>
      <c r="PH598" s="93"/>
      <c r="PI598" s="93"/>
      <c r="PJ598" s="93"/>
      <c r="PK598" s="93"/>
      <c r="PL598" s="93"/>
      <c r="PM598" s="93"/>
      <c r="PN598" s="93"/>
      <c r="PO598" s="93"/>
      <c r="PP598" s="93"/>
      <c r="PQ598" s="93"/>
      <c r="PR598" s="93"/>
      <c r="PS598" s="93"/>
      <c r="PT598" s="93"/>
      <c r="PU598" s="93"/>
      <c r="PV598" s="93"/>
      <c r="PW598" s="93"/>
      <c r="PX598" s="93"/>
      <c r="PY598" s="93"/>
      <c r="PZ598" s="93"/>
      <c r="QA598" s="93"/>
      <c r="QB598" s="93"/>
      <c r="QC598" s="93"/>
      <c r="QD598" s="93"/>
      <c r="QE598" s="20"/>
      <c r="QF598" s="1739"/>
      <c r="QG598" s="19"/>
      <c r="QH598" s="93"/>
      <c r="QI598" s="93"/>
      <c r="QJ598" s="93"/>
      <c r="QK598" s="93"/>
      <c r="QL598" s="93"/>
      <c r="QM598" s="93"/>
      <c r="QN598" s="93"/>
      <c r="QO598" s="93"/>
      <c r="QP598" s="93"/>
      <c r="QQ598" s="93"/>
      <c r="QR598" s="93"/>
      <c r="QS598" s="93"/>
      <c r="QT598" s="93"/>
      <c r="QU598" s="93"/>
      <c r="QV598" s="93"/>
      <c r="QW598" s="93"/>
      <c r="QX598" s="93"/>
      <c r="QY598" s="93"/>
      <c r="QZ598" s="93"/>
      <c r="RA598" s="93"/>
      <c r="RB598" s="93"/>
      <c r="RC598" s="93"/>
      <c r="RD598" s="93"/>
      <c r="RE598" s="93"/>
      <c r="RF598" s="93"/>
      <c r="RG598" s="93"/>
      <c r="RH598" s="93"/>
      <c r="RI598" s="93"/>
      <c r="RJ598" s="93"/>
      <c r="RK598" s="93"/>
      <c r="RL598" s="93"/>
      <c r="RM598" s="20"/>
      <c r="RN598" s="29"/>
      <c r="RO598" s="19"/>
      <c r="RP598" s="20"/>
      <c r="RQ598" s="29"/>
      <c r="RR598" s="20"/>
      <c r="RS598" s="29"/>
      <c r="RT598" s="1504">
        <v>52657</v>
      </c>
      <c r="RU598" s="19"/>
      <c r="RV598" s="20"/>
      <c r="RW598" s="29"/>
      <c r="RX598" s="1504">
        <v>52657</v>
      </c>
      <c r="RY598" s="29"/>
      <c r="RZ598" s="20"/>
      <c r="SA598" s="29"/>
      <c r="SB598" s="29"/>
    </row>
    <row r="599" spans="1:496">
      <c r="A599" s="41">
        <f t="shared" si="362"/>
        <v>2044</v>
      </c>
      <c r="B599" s="1504">
        <v>52688</v>
      </c>
      <c r="C599" s="1813"/>
      <c r="D599" s="1814"/>
      <c r="E599" s="1814"/>
      <c r="F599" s="1815"/>
      <c r="G599" s="1814"/>
      <c r="H599" s="1814"/>
      <c r="I599" s="1814"/>
      <c r="J599" s="1816"/>
      <c r="K599" s="1807"/>
      <c r="L599" s="25"/>
      <c r="M599" s="97"/>
      <c r="N599" s="1504">
        <v>52688</v>
      </c>
      <c r="O599" s="19"/>
      <c r="P599" s="93"/>
      <c r="Q599" s="93"/>
      <c r="R599" s="93"/>
      <c r="S599" s="93"/>
      <c r="T599" s="93"/>
      <c r="U599" s="93"/>
      <c r="V599" s="93"/>
      <c r="W599" s="93"/>
      <c r="X599" s="93"/>
      <c r="Y599" s="93"/>
      <c r="Z599" s="93"/>
      <c r="AA599" s="93"/>
      <c r="AB599" s="20"/>
      <c r="AC599" s="25"/>
      <c r="AD599" s="97"/>
      <c r="AE599" s="1504">
        <v>52688</v>
      </c>
      <c r="AF599" s="19"/>
      <c r="AG599" s="93"/>
      <c r="AH599" s="93"/>
      <c r="AI599" s="93"/>
      <c r="AJ599" s="93"/>
      <c r="AK599" s="93"/>
      <c r="AL599" s="93"/>
      <c r="AM599" s="93"/>
      <c r="AN599" s="93"/>
      <c r="AO599" s="93"/>
      <c r="AP599" s="93"/>
      <c r="AQ599" s="93"/>
      <c r="AR599" s="93"/>
      <c r="AS599" s="20"/>
      <c r="AT599" s="25"/>
      <c r="AU599" s="97"/>
      <c r="AV599" s="1504">
        <v>52688</v>
      </c>
      <c r="AW599" s="19"/>
      <c r="AX599" s="93"/>
      <c r="AY599" s="93"/>
      <c r="AZ599" s="93"/>
      <c r="BA599" s="93"/>
      <c r="BB599" s="93"/>
      <c r="BC599" s="93"/>
      <c r="BD599" s="93"/>
      <c r="BE599" s="93"/>
      <c r="BF599" s="93"/>
      <c r="BG599" s="93"/>
      <c r="BH599" s="93"/>
      <c r="BI599" s="93"/>
      <c r="BJ599" s="20"/>
      <c r="BK599" s="25"/>
      <c r="BL599" s="97"/>
      <c r="BM599" s="1504">
        <v>52688</v>
      </c>
      <c r="BN599" s="19"/>
      <c r="BO599" s="93"/>
      <c r="BP599" s="93"/>
      <c r="BQ599" s="93"/>
      <c r="BR599" s="93"/>
      <c r="BS599" s="93"/>
      <c r="BT599" s="93"/>
      <c r="BU599" s="20"/>
      <c r="BV599" s="25"/>
      <c r="BW599" s="97"/>
      <c r="BX599" s="1504">
        <v>52688</v>
      </c>
      <c r="BY599" s="19"/>
      <c r="BZ599" s="93"/>
      <c r="CA599" s="93"/>
      <c r="CB599" s="93"/>
      <c r="CC599" s="93"/>
      <c r="CD599" s="25"/>
      <c r="CE599" s="97"/>
      <c r="CF599" s="1504">
        <v>52688</v>
      </c>
      <c r="CG599" s="19"/>
      <c r="CH599" s="93"/>
      <c r="CI599" s="219"/>
      <c r="CJ599" s="20"/>
      <c r="CK599" s="19"/>
      <c r="CL599" s="93"/>
      <c r="CM599" s="93"/>
      <c r="CN599" s="93"/>
      <c r="CO599" s="93"/>
      <c r="CP599" s="20"/>
      <c r="CQ599" s="219"/>
      <c r="CR599" s="93"/>
      <c r="CS599" s="93"/>
      <c r="CT599" s="93"/>
      <c r="CU599" s="93"/>
      <c r="CV599" s="214"/>
      <c r="CW599" s="29"/>
      <c r="CX599" s="41">
        <f t="shared" si="363"/>
        <v>2044</v>
      </c>
      <c r="CY599" s="1504">
        <v>52688</v>
      </c>
      <c r="CZ599" s="19"/>
      <c r="DA599" s="93"/>
      <c r="DB599" s="93"/>
      <c r="DC599" s="93"/>
      <c r="DD599" s="93"/>
      <c r="DE599" s="20"/>
      <c r="DF599" s="29"/>
      <c r="DG599" s="1504">
        <v>52688</v>
      </c>
      <c r="DH599" s="19"/>
      <c r="DI599" s="93"/>
      <c r="DJ599" s="93"/>
      <c r="DK599" s="93"/>
      <c r="DL599" s="93"/>
      <c r="DM599" s="93"/>
      <c r="DN599" s="20"/>
      <c r="DO599" s="295"/>
      <c r="DP599" s="29"/>
      <c r="DQ599" s="1504">
        <v>52688</v>
      </c>
      <c r="DR599" s="19"/>
      <c r="DS599" s="93"/>
      <c r="DT599" s="93"/>
      <c r="DU599" s="93"/>
      <c r="DV599" s="93"/>
      <c r="DW599" s="93"/>
      <c r="DX599" s="20"/>
      <c r="DY599" s="29"/>
      <c r="DZ599" s="1504">
        <v>52688</v>
      </c>
      <c r="EA599" s="19"/>
      <c r="EB599" s="93"/>
      <c r="EC599" s="20"/>
      <c r="ED599" s="29"/>
      <c r="EE599" s="1504">
        <v>52688</v>
      </c>
      <c r="EF599" s="19"/>
      <c r="EG599" s="93"/>
      <c r="EH599" s="93"/>
      <c r="EI599" s="214"/>
      <c r="EJ599" s="93"/>
      <c r="EK599" s="93"/>
      <c r="EL599" s="93"/>
      <c r="EM599" s="93"/>
      <c r="EN599" s="20"/>
      <c r="EO599" s="29"/>
      <c r="EP599" s="1504">
        <v>52688</v>
      </c>
      <c r="EQ599" s="19"/>
      <c r="ER599" s="93"/>
      <c r="ES599" s="93"/>
      <c r="ET599" s="214"/>
      <c r="EU599" s="93"/>
      <c r="EV599" s="93"/>
      <c r="EW599" s="93"/>
      <c r="EX599" s="93"/>
      <c r="EY599" s="20"/>
      <c r="EZ599" s="29"/>
      <c r="FA599" s="1504">
        <v>52688</v>
      </c>
      <c r="FB599" s="29"/>
      <c r="FC599" s="29"/>
      <c r="FD599" s="29"/>
      <c r="FE599" s="29"/>
      <c r="FF599" s="29"/>
      <c r="FG599" s="29"/>
      <c r="FH599" s="29"/>
      <c r="FI599" s="29"/>
      <c r="FJ599" s="29"/>
      <c r="FK599" s="29"/>
      <c r="FL599" s="1504">
        <v>52688</v>
      </c>
      <c r="FM599" s="19"/>
      <c r="FN599" s="93"/>
      <c r="FO599" s="93"/>
      <c r="FP599" s="93"/>
      <c r="FQ599" s="93"/>
      <c r="FR599" s="93"/>
      <c r="FS599" s="93"/>
      <c r="FT599" s="93"/>
      <c r="FU599" s="93"/>
      <c r="FV599" s="93"/>
      <c r="FW599" s="93"/>
      <c r="FX599" s="93"/>
      <c r="FY599" s="93"/>
      <c r="FZ599" s="29"/>
      <c r="GA599" s="1504">
        <v>52688</v>
      </c>
      <c r="GB599" s="19"/>
      <c r="GC599" s="93"/>
      <c r="GD599" s="93"/>
      <c r="GE599" s="93"/>
      <c r="GF599" s="93"/>
      <c r="GG599" s="93"/>
      <c r="GH599" s="93"/>
      <c r="GI599" s="93"/>
      <c r="GJ599" s="93"/>
      <c r="GK599" s="93"/>
      <c r="GL599" s="93"/>
      <c r="GM599" s="93"/>
      <c r="GN599" s="20"/>
      <c r="GO599" s="29"/>
      <c r="GP599" s="1504">
        <v>52688</v>
      </c>
      <c r="GQ599" s="19"/>
      <c r="GR599" s="93"/>
      <c r="GS599" s="93"/>
      <c r="GT599" s="93"/>
      <c r="GU599" s="93"/>
      <c r="GV599" s="20"/>
      <c r="GW599" s="19"/>
      <c r="GX599" s="93"/>
      <c r="GY599" s="93"/>
      <c r="GZ599" s="93"/>
      <c r="HA599" s="93"/>
      <c r="HB599" s="20"/>
      <c r="HC599" s="19"/>
      <c r="HD599" s="93"/>
      <c r="HE599" s="93"/>
      <c r="HF599" s="93"/>
      <c r="HG599" s="93"/>
      <c r="HH599" s="20"/>
      <c r="HI599" s="19"/>
      <c r="HJ599" s="93"/>
      <c r="HK599" s="93"/>
      <c r="HL599" s="93"/>
      <c r="HM599" s="93"/>
      <c r="HN599" s="20"/>
      <c r="HO599" s="219"/>
      <c r="HP599" s="20"/>
      <c r="HQ599" s="25"/>
      <c r="HR599" s="29"/>
      <c r="HS599" s="1504">
        <v>52688</v>
      </c>
      <c r="HT599" s="19"/>
      <c r="HU599" s="93"/>
      <c r="HV599" s="93"/>
      <c r="HW599" s="93"/>
      <c r="HX599" s="93"/>
      <c r="HY599" s="93"/>
      <c r="HZ599" s="93"/>
      <c r="IA599" s="20"/>
      <c r="IB599" s="19"/>
      <c r="IC599" s="93"/>
      <c r="ID599" s="93"/>
      <c r="IE599" s="93"/>
      <c r="IF599" s="93"/>
      <c r="IG599" s="20"/>
      <c r="IH599" s="19"/>
      <c r="II599" s="93"/>
      <c r="IJ599" s="93"/>
      <c r="IK599" s="93"/>
      <c r="IL599" s="93"/>
      <c r="IM599" s="93"/>
      <c r="IN599" s="93"/>
      <c r="IO599" s="20"/>
      <c r="IP599" s="29"/>
      <c r="IQ599" s="19"/>
      <c r="IR599" s="93"/>
      <c r="IS599" s="93"/>
      <c r="IT599" s="93"/>
      <c r="IU599" s="93"/>
      <c r="IV599" s="20"/>
      <c r="IW599" s="29"/>
      <c r="IX599" s="19"/>
      <c r="IY599" s="93"/>
      <c r="IZ599" s="93"/>
      <c r="JA599" s="93"/>
      <c r="JB599" s="93"/>
      <c r="JC599" s="93"/>
      <c r="JD599" s="93"/>
      <c r="JE599" s="20"/>
      <c r="JF599" s="29"/>
      <c r="JG599" s="19"/>
      <c r="JH599" s="93"/>
      <c r="JI599" s="93"/>
      <c r="JJ599" s="93"/>
      <c r="JK599" s="93"/>
      <c r="JL599" s="93"/>
      <c r="JM599" s="93"/>
      <c r="JN599" s="20"/>
      <c r="JO599" s="29"/>
      <c r="JP599" s="19"/>
      <c r="JQ599" s="93"/>
      <c r="JR599" s="93"/>
      <c r="JS599" s="93"/>
      <c r="JT599" s="93"/>
      <c r="JU599" s="20"/>
      <c r="JV599" s="29"/>
      <c r="JW599" s="1504">
        <v>52688</v>
      </c>
      <c r="JX599" s="19"/>
      <c r="JY599" s="93"/>
      <c r="JZ599" s="93"/>
      <c r="KA599" s="93"/>
      <c r="KB599" s="93"/>
      <c r="KC599" s="93"/>
      <c r="KD599" s="20"/>
      <c r="KE599" s="29"/>
      <c r="KF599" s="19"/>
      <c r="KG599" s="93"/>
      <c r="KH599" s="93"/>
      <c r="KI599" s="93"/>
      <c r="KJ599" s="93"/>
      <c r="KK599" s="20"/>
      <c r="KL599" s="29"/>
      <c r="KM599" s="19"/>
      <c r="KN599" s="93"/>
      <c r="KO599" s="93"/>
      <c r="KP599" s="93"/>
      <c r="KQ599" s="93"/>
      <c r="KR599" s="20"/>
      <c r="KS599" s="29"/>
      <c r="KT599" s="19"/>
      <c r="KU599" s="93"/>
      <c r="KV599" s="93"/>
      <c r="KW599" s="93"/>
      <c r="KX599" s="93"/>
      <c r="KY599" s="20"/>
      <c r="KZ599" s="29"/>
      <c r="LA599" s="1504">
        <v>52688</v>
      </c>
      <c r="LB599" s="19"/>
      <c r="LC599" s="93"/>
      <c r="LD599" s="93"/>
      <c r="LE599" s="93"/>
      <c r="LF599" s="93"/>
      <c r="LG599" s="93"/>
      <c r="LH599" s="20"/>
      <c r="LI599" s="29"/>
      <c r="LJ599" s="19"/>
      <c r="LK599" s="93"/>
      <c r="LL599" s="93"/>
      <c r="LM599" s="93"/>
      <c r="LN599" s="93"/>
      <c r="LO599" s="20"/>
      <c r="LP599" s="29"/>
      <c r="LQ599" s="19"/>
      <c r="LR599" s="93"/>
      <c r="LS599" s="93"/>
      <c r="LT599" s="93"/>
      <c r="LU599" s="93"/>
      <c r="LV599" s="93"/>
      <c r="LW599" s="93"/>
      <c r="LX599" s="93"/>
      <c r="LY599" s="93"/>
      <c r="LZ599" s="93"/>
      <c r="MA599" s="20"/>
      <c r="MB599" s="29"/>
      <c r="MC599" s="1504">
        <v>52688</v>
      </c>
      <c r="MD599" s="19"/>
      <c r="ME599" s="93"/>
      <c r="MF599" s="93"/>
      <c r="MG599" s="93"/>
      <c r="MH599" s="93"/>
      <c r="MI599" s="93"/>
      <c r="MJ599" s="93"/>
      <c r="MK599" s="93"/>
      <c r="ML599" s="93"/>
      <c r="MM599" s="93"/>
      <c r="MN599" s="93"/>
      <c r="MO599" s="93"/>
      <c r="MP599" s="93"/>
      <c r="MQ599" s="93"/>
      <c r="MR599" s="93"/>
      <c r="MS599" s="93"/>
      <c r="MT599" s="93"/>
      <c r="MU599" s="93"/>
      <c r="MV599" s="93"/>
      <c r="MW599" s="93"/>
      <c r="MX599" s="93"/>
      <c r="MY599" s="93"/>
      <c r="MZ599" s="93"/>
      <c r="NA599" s="93"/>
      <c r="NB599" s="93"/>
      <c r="NC599" s="93"/>
      <c r="ND599" s="93"/>
      <c r="NE599" s="93"/>
      <c r="NF599" s="93"/>
      <c r="NG599" s="93"/>
      <c r="NH599" s="93"/>
      <c r="NI599" s="93"/>
      <c r="NJ599" s="93"/>
      <c r="NK599" s="93"/>
      <c r="NL599" s="93"/>
      <c r="NM599" s="93"/>
      <c r="NN599" s="93"/>
      <c r="NO599" s="93"/>
      <c r="NP599" s="93"/>
      <c r="NQ599" s="93"/>
      <c r="NR599" s="93"/>
      <c r="NS599" s="93"/>
      <c r="NT599" s="93"/>
      <c r="NU599" s="93"/>
      <c r="NV599" s="93"/>
      <c r="NW599" s="93"/>
      <c r="NX599" s="93"/>
      <c r="NY599" s="93"/>
      <c r="NZ599" s="93"/>
      <c r="OA599" s="93"/>
      <c r="OB599" s="93"/>
      <c r="OC599" s="93"/>
      <c r="OD599" s="20"/>
      <c r="OE599" s="29"/>
      <c r="OF599" s="1504">
        <v>52688</v>
      </c>
      <c r="OG599" s="19"/>
      <c r="OH599" s="93"/>
      <c r="OI599" s="93"/>
      <c r="OJ599" s="93"/>
      <c r="OK599" s="93"/>
      <c r="OL599" s="93"/>
      <c r="OM599" s="93"/>
      <c r="ON599" s="93"/>
      <c r="OO599" s="93"/>
      <c r="OP599" s="93"/>
      <c r="OQ599" s="93"/>
      <c r="OR599" s="93"/>
      <c r="OS599" s="93"/>
      <c r="OT599" s="93"/>
      <c r="OU599" s="93"/>
      <c r="OV599" s="93"/>
      <c r="OW599" s="93"/>
      <c r="OX599" s="93"/>
      <c r="OY599" s="93"/>
      <c r="OZ599" s="93"/>
      <c r="PA599" s="93"/>
      <c r="PB599" s="93"/>
      <c r="PC599" s="20"/>
      <c r="PD599" s="29"/>
      <c r="PE599" s="19"/>
      <c r="PF599" s="93"/>
      <c r="PG599" s="93"/>
      <c r="PH599" s="93"/>
      <c r="PI599" s="93"/>
      <c r="PJ599" s="93"/>
      <c r="PK599" s="93"/>
      <c r="PL599" s="93"/>
      <c r="PM599" s="93"/>
      <c r="PN599" s="93"/>
      <c r="PO599" s="93"/>
      <c r="PP599" s="93"/>
      <c r="PQ599" s="93"/>
      <c r="PR599" s="93"/>
      <c r="PS599" s="93"/>
      <c r="PT599" s="93"/>
      <c r="PU599" s="93"/>
      <c r="PV599" s="93"/>
      <c r="PW599" s="93"/>
      <c r="PX599" s="93"/>
      <c r="PY599" s="93"/>
      <c r="PZ599" s="93"/>
      <c r="QA599" s="93"/>
      <c r="QB599" s="93"/>
      <c r="QC599" s="93"/>
      <c r="QD599" s="93"/>
      <c r="QE599" s="20"/>
      <c r="QF599" s="1739"/>
      <c r="QG599" s="19"/>
      <c r="QH599" s="93"/>
      <c r="QI599" s="93"/>
      <c r="QJ599" s="93"/>
      <c r="QK599" s="93"/>
      <c r="QL599" s="93"/>
      <c r="QM599" s="93"/>
      <c r="QN599" s="93"/>
      <c r="QO599" s="93"/>
      <c r="QP599" s="93"/>
      <c r="QQ599" s="93"/>
      <c r="QR599" s="93"/>
      <c r="QS599" s="93"/>
      <c r="QT599" s="93"/>
      <c r="QU599" s="93"/>
      <c r="QV599" s="93"/>
      <c r="QW599" s="93"/>
      <c r="QX599" s="93"/>
      <c r="QY599" s="93"/>
      <c r="QZ599" s="93"/>
      <c r="RA599" s="93"/>
      <c r="RB599" s="93"/>
      <c r="RC599" s="93"/>
      <c r="RD599" s="93"/>
      <c r="RE599" s="93"/>
      <c r="RF599" s="93"/>
      <c r="RG599" s="93"/>
      <c r="RH599" s="93"/>
      <c r="RI599" s="93"/>
      <c r="RJ599" s="93"/>
      <c r="RK599" s="93"/>
      <c r="RL599" s="93"/>
      <c r="RM599" s="20"/>
      <c r="RN599" s="29"/>
      <c r="RO599" s="19"/>
      <c r="RP599" s="20"/>
      <c r="RQ599" s="29"/>
      <c r="RR599" s="20"/>
      <c r="RS599" s="29"/>
      <c r="RT599" s="1504">
        <v>52688</v>
      </c>
      <c r="RU599" s="19"/>
      <c r="RV599" s="20"/>
      <c r="RW599" s="29"/>
      <c r="RX599" s="1504">
        <v>52688</v>
      </c>
      <c r="RY599" s="29"/>
      <c r="RZ599" s="20"/>
      <c r="SA599" s="29"/>
      <c r="SB599" s="29"/>
    </row>
    <row r="600" spans="1:496">
      <c r="A600" s="41">
        <f t="shared" si="362"/>
        <v>2044</v>
      </c>
      <c r="B600" s="1504">
        <v>52718</v>
      </c>
      <c r="C600" s="1813"/>
      <c r="D600" s="1814"/>
      <c r="E600" s="1814"/>
      <c r="F600" s="1815"/>
      <c r="G600" s="1814"/>
      <c r="H600" s="1814"/>
      <c r="I600" s="1814"/>
      <c r="J600" s="1816"/>
      <c r="K600" s="1807"/>
      <c r="L600" s="25"/>
      <c r="M600" s="97"/>
      <c r="N600" s="1504">
        <v>52718</v>
      </c>
      <c r="O600" s="19"/>
      <c r="P600" s="93"/>
      <c r="Q600" s="93"/>
      <c r="R600" s="93"/>
      <c r="S600" s="93"/>
      <c r="T600" s="93"/>
      <c r="U600" s="93"/>
      <c r="V600" s="93"/>
      <c r="W600" s="93"/>
      <c r="X600" s="93"/>
      <c r="Y600" s="93"/>
      <c r="Z600" s="93"/>
      <c r="AA600" s="93"/>
      <c r="AB600" s="20"/>
      <c r="AC600" s="25"/>
      <c r="AD600" s="97"/>
      <c r="AE600" s="1504">
        <v>52718</v>
      </c>
      <c r="AF600" s="19"/>
      <c r="AG600" s="93"/>
      <c r="AH600" s="93"/>
      <c r="AI600" s="93"/>
      <c r="AJ600" s="93"/>
      <c r="AK600" s="93"/>
      <c r="AL600" s="93"/>
      <c r="AM600" s="93"/>
      <c r="AN600" s="93"/>
      <c r="AO600" s="93"/>
      <c r="AP600" s="93"/>
      <c r="AQ600" s="93"/>
      <c r="AR600" s="93"/>
      <c r="AS600" s="20"/>
      <c r="AT600" s="25"/>
      <c r="AU600" s="97"/>
      <c r="AV600" s="1504">
        <v>52718</v>
      </c>
      <c r="AW600" s="19"/>
      <c r="AX600" s="93"/>
      <c r="AY600" s="93"/>
      <c r="AZ600" s="93"/>
      <c r="BA600" s="93"/>
      <c r="BB600" s="93"/>
      <c r="BC600" s="93"/>
      <c r="BD600" s="93"/>
      <c r="BE600" s="93"/>
      <c r="BF600" s="93"/>
      <c r="BG600" s="93"/>
      <c r="BH600" s="93"/>
      <c r="BI600" s="93"/>
      <c r="BJ600" s="20"/>
      <c r="BK600" s="25"/>
      <c r="BL600" s="97"/>
      <c r="BM600" s="1504">
        <v>52718</v>
      </c>
      <c r="BN600" s="19"/>
      <c r="BO600" s="93"/>
      <c r="BP600" s="93"/>
      <c r="BQ600" s="93"/>
      <c r="BR600" s="93"/>
      <c r="BS600" s="93"/>
      <c r="BT600" s="93"/>
      <c r="BU600" s="20"/>
      <c r="BV600" s="25"/>
      <c r="BW600" s="97"/>
      <c r="BX600" s="1504">
        <v>52718</v>
      </c>
      <c r="BY600" s="19"/>
      <c r="BZ600" s="93"/>
      <c r="CA600" s="93"/>
      <c r="CB600" s="93"/>
      <c r="CC600" s="93"/>
      <c r="CD600" s="25"/>
      <c r="CE600" s="97"/>
      <c r="CF600" s="1504">
        <v>52718</v>
      </c>
      <c r="CG600" s="19"/>
      <c r="CH600" s="93"/>
      <c r="CI600" s="219"/>
      <c r="CJ600" s="20"/>
      <c r="CK600" s="19"/>
      <c r="CL600" s="93"/>
      <c r="CM600" s="93"/>
      <c r="CN600" s="93"/>
      <c r="CO600" s="93"/>
      <c r="CP600" s="20"/>
      <c r="CQ600" s="219"/>
      <c r="CR600" s="93"/>
      <c r="CS600" s="93"/>
      <c r="CT600" s="93"/>
      <c r="CU600" s="93"/>
      <c r="CV600" s="214"/>
      <c r="CW600" s="29"/>
      <c r="CX600" s="41">
        <f t="shared" si="363"/>
        <v>2044</v>
      </c>
      <c r="CY600" s="1504">
        <v>52718</v>
      </c>
      <c r="CZ600" s="19"/>
      <c r="DA600" s="93"/>
      <c r="DB600" s="93"/>
      <c r="DC600" s="93"/>
      <c r="DD600" s="93"/>
      <c r="DE600" s="20"/>
      <c r="DF600" s="29"/>
      <c r="DG600" s="1504">
        <v>52718</v>
      </c>
      <c r="DH600" s="19"/>
      <c r="DI600" s="93"/>
      <c r="DJ600" s="93"/>
      <c r="DK600" s="93"/>
      <c r="DL600" s="93"/>
      <c r="DM600" s="93"/>
      <c r="DN600" s="20"/>
      <c r="DO600" s="295"/>
      <c r="DP600" s="29"/>
      <c r="DQ600" s="1504">
        <v>52718</v>
      </c>
      <c r="DR600" s="19"/>
      <c r="DS600" s="93"/>
      <c r="DT600" s="93"/>
      <c r="DU600" s="93"/>
      <c r="DV600" s="93"/>
      <c r="DW600" s="93"/>
      <c r="DX600" s="20"/>
      <c r="DY600" s="29"/>
      <c r="DZ600" s="1504">
        <v>52718</v>
      </c>
      <c r="EA600" s="19"/>
      <c r="EB600" s="93"/>
      <c r="EC600" s="20"/>
      <c r="ED600" s="29"/>
      <c r="EE600" s="1504">
        <v>52718</v>
      </c>
      <c r="EF600" s="19"/>
      <c r="EG600" s="93"/>
      <c r="EH600" s="93"/>
      <c r="EI600" s="214"/>
      <c r="EJ600" s="93"/>
      <c r="EK600" s="93"/>
      <c r="EL600" s="93"/>
      <c r="EM600" s="93"/>
      <c r="EN600" s="20"/>
      <c r="EO600" s="29"/>
      <c r="EP600" s="1504">
        <v>52718</v>
      </c>
      <c r="EQ600" s="19"/>
      <c r="ER600" s="93"/>
      <c r="ES600" s="93"/>
      <c r="ET600" s="214"/>
      <c r="EU600" s="93"/>
      <c r="EV600" s="93"/>
      <c r="EW600" s="93"/>
      <c r="EX600" s="93"/>
      <c r="EY600" s="20"/>
      <c r="EZ600" s="29"/>
      <c r="FA600" s="1504">
        <v>52718</v>
      </c>
      <c r="FB600" s="29"/>
      <c r="FC600" s="29"/>
      <c r="FD600" s="29"/>
      <c r="FE600" s="29"/>
      <c r="FF600" s="29"/>
      <c r="FG600" s="29"/>
      <c r="FH600" s="29"/>
      <c r="FI600" s="29"/>
      <c r="FJ600" s="29"/>
      <c r="FK600" s="29"/>
      <c r="FL600" s="1504">
        <v>52718</v>
      </c>
      <c r="FM600" s="19"/>
      <c r="FN600" s="93"/>
      <c r="FO600" s="93"/>
      <c r="FP600" s="93"/>
      <c r="FQ600" s="93"/>
      <c r="FR600" s="93"/>
      <c r="FS600" s="93"/>
      <c r="FT600" s="93"/>
      <c r="FU600" s="93"/>
      <c r="FV600" s="93"/>
      <c r="FW600" s="93"/>
      <c r="FX600" s="93"/>
      <c r="FY600" s="93"/>
      <c r="FZ600" s="29"/>
      <c r="GA600" s="1504">
        <v>52718</v>
      </c>
      <c r="GB600" s="19"/>
      <c r="GC600" s="93"/>
      <c r="GD600" s="93"/>
      <c r="GE600" s="93"/>
      <c r="GF600" s="93"/>
      <c r="GG600" s="93"/>
      <c r="GH600" s="93"/>
      <c r="GI600" s="93"/>
      <c r="GJ600" s="93"/>
      <c r="GK600" s="93"/>
      <c r="GL600" s="93"/>
      <c r="GM600" s="93"/>
      <c r="GN600" s="20"/>
      <c r="GO600" s="29"/>
      <c r="GP600" s="1504">
        <v>52718</v>
      </c>
      <c r="GQ600" s="19"/>
      <c r="GR600" s="93"/>
      <c r="GS600" s="93"/>
      <c r="GT600" s="93"/>
      <c r="GU600" s="93"/>
      <c r="GV600" s="20"/>
      <c r="GW600" s="19"/>
      <c r="GX600" s="93"/>
      <c r="GY600" s="93"/>
      <c r="GZ600" s="93"/>
      <c r="HA600" s="93"/>
      <c r="HB600" s="20"/>
      <c r="HC600" s="19"/>
      <c r="HD600" s="93"/>
      <c r="HE600" s="93"/>
      <c r="HF600" s="93"/>
      <c r="HG600" s="93"/>
      <c r="HH600" s="20"/>
      <c r="HI600" s="19"/>
      <c r="HJ600" s="93"/>
      <c r="HK600" s="93"/>
      <c r="HL600" s="93"/>
      <c r="HM600" s="93"/>
      <c r="HN600" s="20"/>
      <c r="HO600" s="219"/>
      <c r="HP600" s="20"/>
      <c r="HQ600" s="25"/>
      <c r="HR600" s="29"/>
      <c r="HS600" s="1504">
        <v>52718</v>
      </c>
      <c r="HT600" s="19"/>
      <c r="HU600" s="93"/>
      <c r="HV600" s="93"/>
      <c r="HW600" s="93"/>
      <c r="HX600" s="93"/>
      <c r="HY600" s="93"/>
      <c r="HZ600" s="93"/>
      <c r="IA600" s="20"/>
      <c r="IB600" s="19"/>
      <c r="IC600" s="93"/>
      <c r="ID600" s="93"/>
      <c r="IE600" s="93"/>
      <c r="IF600" s="93"/>
      <c r="IG600" s="20"/>
      <c r="IH600" s="19"/>
      <c r="II600" s="93"/>
      <c r="IJ600" s="93"/>
      <c r="IK600" s="93"/>
      <c r="IL600" s="93"/>
      <c r="IM600" s="93"/>
      <c r="IN600" s="93"/>
      <c r="IO600" s="20"/>
      <c r="IP600" s="29"/>
      <c r="IQ600" s="19"/>
      <c r="IR600" s="93"/>
      <c r="IS600" s="93"/>
      <c r="IT600" s="93"/>
      <c r="IU600" s="93"/>
      <c r="IV600" s="20"/>
      <c r="IW600" s="29"/>
      <c r="IX600" s="19"/>
      <c r="IY600" s="93"/>
      <c r="IZ600" s="93"/>
      <c r="JA600" s="93"/>
      <c r="JB600" s="93"/>
      <c r="JC600" s="93"/>
      <c r="JD600" s="93"/>
      <c r="JE600" s="20"/>
      <c r="JF600" s="29"/>
      <c r="JG600" s="19"/>
      <c r="JH600" s="93"/>
      <c r="JI600" s="93"/>
      <c r="JJ600" s="93"/>
      <c r="JK600" s="93"/>
      <c r="JL600" s="93"/>
      <c r="JM600" s="93"/>
      <c r="JN600" s="20"/>
      <c r="JO600" s="29"/>
      <c r="JP600" s="19"/>
      <c r="JQ600" s="93"/>
      <c r="JR600" s="93"/>
      <c r="JS600" s="93"/>
      <c r="JT600" s="93"/>
      <c r="JU600" s="20"/>
      <c r="JV600" s="29"/>
      <c r="JW600" s="1504">
        <v>52718</v>
      </c>
      <c r="JX600" s="19"/>
      <c r="JY600" s="93"/>
      <c r="JZ600" s="93"/>
      <c r="KA600" s="93"/>
      <c r="KB600" s="93"/>
      <c r="KC600" s="93"/>
      <c r="KD600" s="20"/>
      <c r="KE600" s="29"/>
      <c r="KF600" s="19"/>
      <c r="KG600" s="93"/>
      <c r="KH600" s="93"/>
      <c r="KI600" s="93"/>
      <c r="KJ600" s="93"/>
      <c r="KK600" s="20"/>
      <c r="KL600" s="29"/>
      <c r="KM600" s="19"/>
      <c r="KN600" s="93"/>
      <c r="KO600" s="93"/>
      <c r="KP600" s="93"/>
      <c r="KQ600" s="93"/>
      <c r="KR600" s="20"/>
      <c r="KS600" s="29"/>
      <c r="KT600" s="19"/>
      <c r="KU600" s="93"/>
      <c r="KV600" s="93"/>
      <c r="KW600" s="93"/>
      <c r="KX600" s="93"/>
      <c r="KY600" s="20"/>
      <c r="KZ600" s="29"/>
      <c r="LA600" s="1504">
        <v>52718</v>
      </c>
      <c r="LB600" s="19"/>
      <c r="LC600" s="93"/>
      <c r="LD600" s="93"/>
      <c r="LE600" s="93"/>
      <c r="LF600" s="93"/>
      <c r="LG600" s="93"/>
      <c r="LH600" s="20"/>
      <c r="LI600" s="29"/>
      <c r="LJ600" s="19"/>
      <c r="LK600" s="93"/>
      <c r="LL600" s="93"/>
      <c r="LM600" s="93"/>
      <c r="LN600" s="93"/>
      <c r="LO600" s="20"/>
      <c r="LP600" s="29"/>
      <c r="LQ600" s="19"/>
      <c r="LR600" s="93"/>
      <c r="LS600" s="93"/>
      <c r="LT600" s="93"/>
      <c r="LU600" s="93"/>
      <c r="LV600" s="93"/>
      <c r="LW600" s="93"/>
      <c r="LX600" s="93"/>
      <c r="LY600" s="93"/>
      <c r="LZ600" s="93"/>
      <c r="MA600" s="20"/>
      <c r="MB600" s="29"/>
      <c r="MC600" s="1504">
        <v>52718</v>
      </c>
      <c r="MD600" s="19"/>
      <c r="ME600" s="93"/>
      <c r="MF600" s="93"/>
      <c r="MG600" s="93"/>
      <c r="MH600" s="93"/>
      <c r="MI600" s="93"/>
      <c r="MJ600" s="93"/>
      <c r="MK600" s="93"/>
      <c r="ML600" s="93"/>
      <c r="MM600" s="93"/>
      <c r="MN600" s="93"/>
      <c r="MO600" s="93"/>
      <c r="MP600" s="93"/>
      <c r="MQ600" s="93"/>
      <c r="MR600" s="93"/>
      <c r="MS600" s="93"/>
      <c r="MT600" s="93"/>
      <c r="MU600" s="93"/>
      <c r="MV600" s="93"/>
      <c r="MW600" s="93"/>
      <c r="MX600" s="93"/>
      <c r="MY600" s="93"/>
      <c r="MZ600" s="93"/>
      <c r="NA600" s="93"/>
      <c r="NB600" s="93"/>
      <c r="NC600" s="93"/>
      <c r="ND600" s="93"/>
      <c r="NE600" s="93"/>
      <c r="NF600" s="93"/>
      <c r="NG600" s="93"/>
      <c r="NH600" s="93"/>
      <c r="NI600" s="93"/>
      <c r="NJ600" s="93"/>
      <c r="NK600" s="93"/>
      <c r="NL600" s="93"/>
      <c r="NM600" s="93"/>
      <c r="NN600" s="93"/>
      <c r="NO600" s="93"/>
      <c r="NP600" s="93"/>
      <c r="NQ600" s="93"/>
      <c r="NR600" s="93"/>
      <c r="NS600" s="93"/>
      <c r="NT600" s="93"/>
      <c r="NU600" s="93"/>
      <c r="NV600" s="93"/>
      <c r="NW600" s="93"/>
      <c r="NX600" s="93"/>
      <c r="NY600" s="93"/>
      <c r="NZ600" s="93"/>
      <c r="OA600" s="93"/>
      <c r="OB600" s="93"/>
      <c r="OC600" s="93"/>
      <c r="OD600" s="20"/>
      <c r="OE600" s="29"/>
      <c r="OF600" s="1504">
        <v>52718</v>
      </c>
      <c r="OG600" s="19"/>
      <c r="OH600" s="93"/>
      <c r="OI600" s="93"/>
      <c r="OJ600" s="93"/>
      <c r="OK600" s="93"/>
      <c r="OL600" s="93"/>
      <c r="OM600" s="93"/>
      <c r="ON600" s="93"/>
      <c r="OO600" s="93"/>
      <c r="OP600" s="93"/>
      <c r="OQ600" s="93"/>
      <c r="OR600" s="93"/>
      <c r="OS600" s="93"/>
      <c r="OT600" s="93"/>
      <c r="OU600" s="93"/>
      <c r="OV600" s="93"/>
      <c r="OW600" s="93"/>
      <c r="OX600" s="93"/>
      <c r="OY600" s="93"/>
      <c r="OZ600" s="93"/>
      <c r="PA600" s="93"/>
      <c r="PB600" s="93"/>
      <c r="PC600" s="20"/>
      <c r="PD600" s="29"/>
      <c r="PE600" s="19"/>
      <c r="PF600" s="93"/>
      <c r="PG600" s="93"/>
      <c r="PH600" s="93"/>
      <c r="PI600" s="93"/>
      <c r="PJ600" s="93"/>
      <c r="PK600" s="93"/>
      <c r="PL600" s="93"/>
      <c r="PM600" s="93"/>
      <c r="PN600" s="93"/>
      <c r="PO600" s="93"/>
      <c r="PP600" s="93"/>
      <c r="PQ600" s="93"/>
      <c r="PR600" s="93"/>
      <c r="PS600" s="93"/>
      <c r="PT600" s="93"/>
      <c r="PU600" s="93"/>
      <c r="PV600" s="93"/>
      <c r="PW600" s="93"/>
      <c r="PX600" s="93"/>
      <c r="PY600" s="93"/>
      <c r="PZ600" s="93"/>
      <c r="QA600" s="93"/>
      <c r="QB600" s="93"/>
      <c r="QC600" s="93"/>
      <c r="QD600" s="93"/>
      <c r="QE600" s="20"/>
      <c r="QF600" s="1739"/>
      <c r="QG600" s="19"/>
      <c r="QH600" s="93"/>
      <c r="QI600" s="93"/>
      <c r="QJ600" s="93"/>
      <c r="QK600" s="93"/>
      <c r="QL600" s="93"/>
      <c r="QM600" s="93"/>
      <c r="QN600" s="93"/>
      <c r="QO600" s="93"/>
      <c r="QP600" s="93"/>
      <c r="QQ600" s="93"/>
      <c r="QR600" s="93"/>
      <c r="QS600" s="93"/>
      <c r="QT600" s="93"/>
      <c r="QU600" s="93"/>
      <c r="QV600" s="93"/>
      <c r="QW600" s="93"/>
      <c r="QX600" s="93"/>
      <c r="QY600" s="93"/>
      <c r="QZ600" s="93"/>
      <c r="RA600" s="93"/>
      <c r="RB600" s="93"/>
      <c r="RC600" s="93"/>
      <c r="RD600" s="93"/>
      <c r="RE600" s="93"/>
      <c r="RF600" s="93"/>
      <c r="RG600" s="93"/>
      <c r="RH600" s="93"/>
      <c r="RI600" s="93"/>
      <c r="RJ600" s="93"/>
      <c r="RK600" s="93"/>
      <c r="RL600" s="93"/>
      <c r="RM600" s="20"/>
      <c r="RN600" s="29"/>
      <c r="RO600" s="19"/>
      <c r="RP600" s="20"/>
      <c r="RQ600" s="29"/>
      <c r="RR600" s="20"/>
      <c r="RS600" s="29"/>
      <c r="RT600" s="1504">
        <v>52718</v>
      </c>
      <c r="RU600" s="19"/>
      <c r="RV600" s="20"/>
      <c r="RW600" s="29"/>
      <c r="RX600" s="1504">
        <v>52718</v>
      </c>
      <c r="RY600" s="29"/>
      <c r="RZ600" s="20"/>
      <c r="SA600" s="29"/>
      <c r="SB600" s="29"/>
    </row>
    <row r="601" spans="1:496">
      <c r="A601" s="41">
        <f t="shared" si="362"/>
        <v>2044</v>
      </c>
      <c r="B601" s="1504">
        <v>52749</v>
      </c>
      <c r="C601" s="1813"/>
      <c r="D601" s="1814"/>
      <c r="E601" s="1814"/>
      <c r="F601" s="1815"/>
      <c r="G601" s="1814"/>
      <c r="H601" s="1814"/>
      <c r="I601" s="1814"/>
      <c r="J601" s="1816"/>
      <c r="K601" s="1807"/>
      <c r="L601" s="25"/>
      <c r="M601" s="97"/>
      <c r="N601" s="1504">
        <v>52749</v>
      </c>
      <c r="O601" s="19"/>
      <c r="P601" s="93"/>
      <c r="Q601" s="93"/>
      <c r="R601" s="93"/>
      <c r="S601" s="93"/>
      <c r="T601" s="93"/>
      <c r="U601" s="93"/>
      <c r="V601" s="93"/>
      <c r="W601" s="93"/>
      <c r="X601" s="93"/>
      <c r="Y601" s="93"/>
      <c r="Z601" s="93"/>
      <c r="AA601" s="93"/>
      <c r="AB601" s="20"/>
      <c r="AC601" s="25"/>
      <c r="AD601" s="97"/>
      <c r="AE601" s="1504">
        <v>52749</v>
      </c>
      <c r="AF601" s="19"/>
      <c r="AG601" s="93"/>
      <c r="AH601" s="93"/>
      <c r="AI601" s="93"/>
      <c r="AJ601" s="93"/>
      <c r="AK601" s="93"/>
      <c r="AL601" s="93"/>
      <c r="AM601" s="93"/>
      <c r="AN601" s="93"/>
      <c r="AO601" s="93"/>
      <c r="AP601" s="93"/>
      <c r="AQ601" s="93"/>
      <c r="AR601" s="93"/>
      <c r="AS601" s="20"/>
      <c r="AT601" s="25"/>
      <c r="AU601" s="97"/>
      <c r="AV601" s="1504">
        <v>52749</v>
      </c>
      <c r="AW601" s="19"/>
      <c r="AX601" s="93"/>
      <c r="AY601" s="93"/>
      <c r="AZ601" s="93"/>
      <c r="BA601" s="93"/>
      <c r="BB601" s="93"/>
      <c r="BC601" s="93"/>
      <c r="BD601" s="93"/>
      <c r="BE601" s="93"/>
      <c r="BF601" s="93"/>
      <c r="BG601" s="93"/>
      <c r="BH601" s="93"/>
      <c r="BI601" s="93"/>
      <c r="BJ601" s="20"/>
      <c r="BK601" s="25"/>
      <c r="BL601" s="97"/>
      <c r="BM601" s="1504">
        <v>52749</v>
      </c>
      <c r="BN601" s="19"/>
      <c r="BO601" s="93"/>
      <c r="BP601" s="93"/>
      <c r="BQ601" s="93"/>
      <c r="BR601" s="93"/>
      <c r="BS601" s="93"/>
      <c r="BT601" s="93"/>
      <c r="BU601" s="20"/>
      <c r="BV601" s="25"/>
      <c r="BW601" s="97"/>
      <c r="BX601" s="1504">
        <v>52749</v>
      </c>
      <c r="BY601" s="19"/>
      <c r="BZ601" s="93"/>
      <c r="CA601" s="93"/>
      <c r="CB601" s="93"/>
      <c r="CC601" s="93"/>
      <c r="CD601" s="25"/>
      <c r="CE601" s="97"/>
      <c r="CF601" s="1504">
        <v>52749</v>
      </c>
      <c r="CG601" s="19"/>
      <c r="CH601" s="93"/>
      <c r="CI601" s="219"/>
      <c r="CJ601" s="20"/>
      <c r="CK601" s="19"/>
      <c r="CL601" s="93"/>
      <c r="CM601" s="93"/>
      <c r="CN601" s="93"/>
      <c r="CO601" s="93"/>
      <c r="CP601" s="20"/>
      <c r="CQ601" s="219"/>
      <c r="CR601" s="93"/>
      <c r="CS601" s="93"/>
      <c r="CT601" s="93"/>
      <c r="CU601" s="93"/>
      <c r="CV601" s="214"/>
      <c r="CW601" s="29"/>
      <c r="CX601" s="41">
        <f t="shared" si="363"/>
        <v>2044</v>
      </c>
      <c r="CY601" s="1504">
        <v>52749</v>
      </c>
      <c r="CZ601" s="19"/>
      <c r="DA601" s="93"/>
      <c r="DB601" s="93"/>
      <c r="DC601" s="93"/>
      <c r="DD601" s="93"/>
      <c r="DE601" s="20"/>
      <c r="DF601" s="29"/>
      <c r="DG601" s="1504">
        <v>52749</v>
      </c>
      <c r="DH601" s="19"/>
      <c r="DI601" s="93"/>
      <c r="DJ601" s="93"/>
      <c r="DK601" s="93"/>
      <c r="DL601" s="93"/>
      <c r="DM601" s="93"/>
      <c r="DN601" s="20"/>
      <c r="DO601" s="295"/>
      <c r="DP601" s="29"/>
      <c r="DQ601" s="1504">
        <v>52749</v>
      </c>
      <c r="DR601" s="19"/>
      <c r="DS601" s="93"/>
      <c r="DT601" s="93"/>
      <c r="DU601" s="93"/>
      <c r="DV601" s="93"/>
      <c r="DW601" s="93"/>
      <c r="DX601" s="20"/>
      <c r="DY601" s="29"/>
      <c r="DZ601" s="1504">
        <v>52749</v>
      </c>
      <c r="EA601" s="19"/>
      <c r="EB601" s="93"/>
      <c r="EC601" s="20"/>
      <c r="ED601" s="29"/>
      <c r="EE601" s="1504">
        <v>52749</v>
      </c>
      <c r="EF601" s="19"/>
      <c r="EG601" s="93"/>
      <c r="EH601" s="93"/>
      <c r="EI601" s="214"/>
      <c r="EJ601" s="93"/>
      <c r="EK601" s="93"/>
      <c r="EL601" s="93"/>
      <c r="EM601" s="93"/>
      <c r="EN601" s="20"/>
      <c r="EO601" s="29"/>
      <c r="EP601" s="1504">
        <v>52749</v>
      </c>
      <c r="EQ601" s="19"/>
      <c r="ER601" s="93"/>
      <c r="ES601" s="93"/>
      <c r="ET601" s="214"/>
      <c r="EU601" s="93"/>
      <c r="EV601" s="93"/>
      <c r="EW601" s="93"/>
      <c r="EX601" s="93"/>
      <c r="EY601" s="20"/>
      <c r="EZ601" s="29"/>
      <c r="FA601" s="1504">
        <v>52749</v>
      </c>
      <c r="FB601" s="29"/>
      <c r="FC601" s="29"/>
      <c r="FD601" s="29"/>
      <c r="FE601" s="29"/>
      <c r="FF601" s="29"/>
      <c r="FG601" s="29"/>
      <c r="FH601" s="29"/>
      <c r="FI601" s="29"/>
      <c r="FJ601" s="29"/>
      <c r="FK601" s="29"/>
      <c r="FL601" s="1504">
        <v>52749</v>
      </c>
      <c r="FM601" s="19"/>
      <c r="FN601" s="93"/>
      <c r="FO601" s="93"/>
      <c r="FP601" s="93"/>
      <c r="FQ601" s="93"/>
      <c r="FR601" s="93"/>
      <c r="FS601" s="93"/>
      <c r="FT601" s="93"/>
      <c r="FU601" s="93"/>
      <c r="FV601" s="93"/>
      <c r="FW601" s="93"/>
      <c r="FX601" s="93"/>
      <c r="FY601" s="93"/>
      <c r="FZ601" s="29"/>
      <c r="GA601" s="1504">
        <v>52749</v>
      </c>
      <c r="GB601" s="19"/>
      <c r="GC601" s="93"/>
      <c r="GD601" s="93"/>
      <c r="GE601" s="93"/>
      <c r="GF601" s="93"/>
      <c r="GG601" s="93"/>
      <c r="GH601" s="93"/>
      <c r="GI601" s="93"/>
      <c r="GJ601" s="93"/>
      <c r="GK601" s="93"/>
      <c r="GL601" s="93"/>
      <c r="GM601" s="93"/>
      <c r="GN601" s="20"/>
      <c r="GO601" s="29"/>
      <c r="GP601" s="1504">
        <v>52749</v>
      </c>
      <c r="GQ601" s="19"/>
      <c r="GR601" s="93"/>
      <c r="GS601" s="93"/>
      <c r="GT601" s="93"/>
      <c r="GU601" s="93"/>
      <c r="GV601" s="20"/>
      <c r="GW601" s="19"/>
      <c r="GX601" s="93"/>
      <c r="GY601" s="93"/>
      <c r="GZ601" s="93"/>
      <c r="HA601" s="93"/>
      <c r="HB601" s="20"/>
      <c r="HC601" s="19"/>
      <c r="HD601" s="93"/>
      <c r="HE601" s="93"/>
      <c r="HF601" s="93"/>
      <c r="HG601" s="93"/>
      <c r="HH601" s="20"/>
      <c r="HI601" s="19"/>
      <c r="HJ601" s="93"/>
      <c r="HK601" s="93"/>
      <c r="HL601" s="93"/>
      <c r="HM601" s="93"/>
      <c r="HN601" s="20"/>
      <c r="HO601" s="219"/>
      <c r="HP601" s="20"/>
      <c r="HQ601" s="25"/>
      <c r="HR601" s="29"/>
      <c r="HS601" s="1504">
        <v>52749</v>
      </c>
      <c r="HT601" s="19"/>
      <c r="HU601" s="93"/>
      <c r="HV601" s="93"/>
      <c r="HW601" s="93"/>
      <c r="HX601" s="93"/>
      <c r="HY601" s="93"/>
      <c r="HZ601" s="93"/>
      <c r="IA601" s="20"/>
      <c r="IB601" s="19"/>
      <c r="IC601" s="93"/>
      <c r="ID601" s="93"/>
      <c r="IE601" s="93"/>
      <c r="IF601" s="93"/>
      <c r="IG601" s="20"/>
      <c r="IH601" s="19"/>
      <c r="II601" s="93"/>
      <c r="IJ601" s="93"/>
      <c r="IK601" s="93"/>
      <c r="IL601" s="93"/>
      <c r="IM601" s="93"/>
      <c r="IN601" s="93"/>
      <c r="IO601" s="20"/>
      <c r="IP601" s="29"/>
      <c r="IQ601" s="19"/>
      <c r="IR601" s="93"/>
      <c r="IS601" s="93"/>
      <c r="IT601" s="93"/>
      <c r="IU601" s="93"/>
      <c r="IV601" s="20"/>
      <c r="IW601" s="29"/>
      <c r="IX601" s="19"/>
      <c r="IY601" s="93"/>
      <c r="IZ601" s="93"/>
      <c r="JA601" s="93"/>
      <c r="JB601" s="93"/>
      <c r="JC601" s="93"/>
      <c r="JD601" s="93"/>
      <c r="JE601" s="20"/>
      <c r="JF601" s="29"/>
      <c r="JG601" s="19"/>
      <c r="JH601" s="93"/>
      <c r="JI601" s="93"/>
      <c r="JJ601" s="93"/>
      <c r="JK601" s="93"/>
      <c r="JL601" s="93"/>
      <c r="JM601" s="93"/>
      <c r="JN601" s="20"/>
      <c r="JO601" s="29"/>
      <c r="JP601" s="19"/>
      <c r="JQ601" s="93"/>
      <c r="JR601" s="93"/>
      <c r="JS601" s="93"/>
      <c r="JT601" s="93"/>
      <c r="JU601" s="20"/>
      <c r="JV601" s="29"/>
      <c r="JW601" s="1504">
        <v>52749</v>
      </c>
      <c r="JX601" s="19"/>
      <c r="JY601" s="93"/>
      <c r="JZ601" s="93"/>
      <c r="KA601" s="93"/>
      <c r="KB601" s="93"/>
      <c r="KC601" s="93"/>
      <c r="KD601" s="20"/>
      <c r="KE601" s="29"/>
      <c r="KF601" s="19"/>
      <c r="KG601" s="93"/>
      <c r="KH601" s="93"/>
      <c r="KI601" s="93"/>
      <c r="KJ601" s="93"/>
      <c r="KK601" s="20"/>
      <c r="KL601" s="29"/>
      <c r="KM601" s="19"/>
      <c r="KN601" s="93"/>
      <c r="KO601" s="93"/>
      <c r="KP601" s="93"/>
      <c r="KQ601" s="93"/>
      <c r="KR601" s="20"/>
      <c r="KS601" s="29"/>
      <c r="KT601" s="19"/>
      <c r="KU601" s="93"/>
      <c r="KV601" s="93"/>
      <c r="KW601" s="93"/>
      <c r="KX601" s="93"/>
      <c r="KY601" s="20"/>
      <c r="KZ601" s="29"/>
      <c r="LA601" s="1504">
        <v>52749</v>
      </c>
      <c r="LB601" s="19"/>
      <c r="LC601" s="93"/>
      <c r="LD601" s="93"/>
      <c r="LE601" s="93"/>
      <c r="LF601" s="93"/>
      <c r="LG601" s="93"/>
      <c r="LH601" s="20"/>
      <c r="LI601" s="29"/>
      <c r="LJ601" s="19"/>
      <c r="LK601" s="93"/>
      <c r="LL601" s="93"/>
      <c r="LM601" s="93"/>
      <c r="LN601" s="93"/>
      <c r="LO601" s="20"/>
      <c r="LP601" s="29"/>
      <c r="LQ601" s="19"/>
      <c r="LR601" s="93"/>
      <c r="LS601" s="93"/>
      <c r="LT601" s="93"/>
      <c r="LU601" s="93"/>
      <c r="LV601" s="93"/>
      <c r="LW601" s="93"/>
      <c r="LX601" s="93"/>
      <c r="LY601" s="93"/>
      <c r="LZ601" s="93"/>
      <c r="MA601" s="20"/>
      <c r="MB601" s="29"/>
      <c r="MC601" s="1504">
        <v>52749</v>
      </c>
      <c r="MD601" s="19"/>
      <c r="ME601" s="93"/>
      <c r="MF601" s="93"/>
      <c r="MG601" s="93"/>
      <c r="MH601" s="93"/>
      <c r="MI601" s="93"/>
      <c r="MJ601" s="93"/>
      <c r="MK601" s="93"/>
      <c r="ML601" s="93"/>
      <c r="MM601" s="93"/>
      <c r="MN601" s="93"/>
      <c r="MO601" s="93"/>
      <c r="MP601" s="93"/>
      <c r="MQ601" s="93"/>
      <c r="MR601" s="93"/>
      <c r="MS601" s="93"/>
      <c r="MT601" s="93"/>
      <c r="MU601" s="93"/>
      <c r="MV601" s="93"/>
      <c r="MW601" s="93"/>
      <c r="MX601" s="93"/>
      <c r="MY601" s="93"/>
      <c r="MZ601" s="93"/>
      <c r="NA601" s="93"/>
      <c r="NB601" s="93"/>
      <c r="NC601" s="93"/>
      <c r="ND601" s="93"/>
      <c r="NE601" s="93"/>
      <c r="NF601" s="93"/>
      <c r="NG601" s="93"/>
      <c r="NH601" s="93"/>
      <c r="NI601" s="93"/>
      <c r="NJ601" s="93"/>
      <c r="NK601" s="93"/>
      <c r="NL601" s="93"/>
      <c r="NM601" s="93"/>
      <c r="NN601" s="93"/>
      <c r="NO601" s="93"/>
      <c r="NP601" s="93"/>
      <c r="NQ601" s="93"/>
      <c r="NR601" s="93"/>
      <c r="NS601" s="93"/>
      <c r="NT601" s="93"/>
      <c r="NU601" s="93"/>
      <c r="NV601" s="93"/>
      <c r="NW601" s="93"/>
      <c r="NX601" s="93"/>
      <c r="NY601" s="93"/>
      <c r="NZ601" s="93"/>
      <c r="OA601" s="93"/>
      <c r="OB601" s="93"/>
      <c r="OC601" s="93"/>
      <c r="OD601" s="20"/>
      <c r="OE601" s="29"/>
      <c r="OF601" s="1504">
        <v>52749</v>
      </c>
      <c r="OG601" s="19"/>
      <c r="OH601" s="93"/>
      <c r="OI601" s="93"/>
      <c r="OJ601" s="93"/>
      <c r="OK601" s="93"/>
      <c r="OL601" s="93"/>
      <c r="OM601" s="93"/>
      <c r="ON601" s="93"/>
      <c r="OO601" s="93"/>
      <c r="OP601" s="93"/>
      <c r="OQ601" s="93"/>
      <c r="OR601" s="93"/>
      <c r="OS601" s="93"/>
      <c r="OT601" s="93"/>
      <c r="OU601" s="93"/>
      <c r="OV601" s="93"/>
      <c r="OW601" s="93"/>
      <c r="OX601" s="93"/>
      <c r="OY601" s="93"/>
      <c r="OZ601" s="93"/>
      <c r="PA601" s="93"/>
      <c r="PB601" s="93"/>
      <c r="PC601" s="20"/>
      <c r="PD601" s="29"/>
      <c r="PE601" s="19"/>
      <c r="PF601" s="93"/>
      <c r="PG601" s="93"/>
      <c r="PH601" s="93"/>
      <c r="PI601" s="93"/>
      <c r="PJ601" s="93"/>
      <c r="PK601" s="93"/>
      <c r="PL601" s="93"/>
      <c r="PM601" s="93"/>
      <c r="PN601" s="93"/>
      <c r="PO601" s="93"/>
      <c r="PP601" s="93"/>
      <c r="PQ601" s="93"/>
      <c r="PR601" s="93"/>
      <c r="PS601" s="93"/>
      <c r="PT601" s="93"/>
      <c r="PU601" s="93"/>
      <c r="PV601" s="93"/>
      <c r="PW601" s="93"/>
      <c r="PX601" s="93"/>
      <c r="PY601" s="93"/>
      <c r="PZ601" s="93"/>
      <c r="QA601" s="93"/>
      <c r="QB601" s="93"/>
      <c r="QC601" s="93"/>
      <c r="QD601" s="93"/>
      <c r="QE601" s="20"/>
      <c r="QF601" s="1739"/>
      <c r="QG601" s="19"/>
      <c r="QH601" s="93"/>
      <c r="QI601" s="93"/>
      <c r="QJ601" s="93"/>
      <c r="QK601" s="93"/>
      <c r="QL601" s="93"/>
      <c r="QM601" s="93"/>
      <c r="QN601" s="93"/>
      <c r="QO601" s="93"/>
      <c r="QP601" s="93"/>
      <c r="QQ601" s="93"/>
      <c r="QR601" s="93"/>
      <c r="QS601" s="93"/>
      <c r="QT601" s="93"/>
      <c r="QU601" s="93"/>
      <c r="QV601" s="93"/>
      <c r="QW601" s="93"/>
      <c r="QX601" s="93"/>
      <c r="QY601" s="93"/>
      <c r="QZ601" s="93"/>
      <c r="RA601" s="93"/>
      <c r="RB601" s="93"/>
      <c r="RC601" s="93"/>
      <c r="RD601" s="93"/>
      <c r="RE601" s="93"/>
      <c r="RF601" s="93"/>
      <c r="RG601" s="93"/>
      <c r="RH601" s="93"/>
      <c r="RI601" s="93"/>
      <c r="RJ601" s="93"/>
      <c r="RK601" s="93"/>
      <c r="RL601" s="93"/>
      <c r="RM601" s="20"/>
      <c r="RN601" s="29"/>
      <c r="RO601" s="19"/>
      <c r="RP601" s="20"/>
      <c r="RQ601" s="29"/>
      <c r="RR601" s="20"/>
      <c r="RS601" s="29"/>
      <c r="RT601" s="1504">
        <v>52749</v>
      </c>
      <c r="RU601" s="19"/>
      <c r="RV601" s="20"/>
      <c r="RW601" s="29"/>
      <c r="RX601" s="1504">
        <v>52749</v>
      </c>
      <c r="RY601" s="29"/>
      <c r="RZ601" s="20"/>
      <c r="SA601" s="29"/>
      <c r="SB601" s="29"/>
    </row>
    <row r="602" spans="1:496">
      <c r="A602" s="41">
        <f t="shared" si="362"/>
        <v>2044</v>
      </c>
      <c r="B602" s="1504">
        <v>52779</v>
      </c>
      <c r="C602" s="1813"/>
      <c r="D602" s="1814"/>
      <c r="E602" s="1814"/>
      <c r="F602" s="1815"/>
      <c r="G602" s="1814"/>
      <c r="H602" s="1814"/>
      <c r="I602" s="1814"/>
      <c r="J602" s="1816"/>
      <c r="K602" s="1807"/>
      <c r="L602" s="25"/>
      <c r="M602" s="97"/>
      <c r="N602" s="1504">
        <v>52779</v>
      </c>
      <c r="O602" s="19"/>
      <c r="P602" s="93"/>
      <c r="Q602" s="93"/>
      <c r="R602" s="93"/>
      <c r="S602" s="93"/>
      <c r="T602" s="93"/>
      <c r="U602" s="93"/>
      <c r="V602" s="93"/>
      <c r="W602" s="93"/>
      <c r="X602" s="93"/>
      <c r="Y602" s="93"/>
      <c r="Z602" s="93"/>
      <c r="AA602" s="93"/>
      <c r="AB602" s="20"/>
      <c r="AC602" s="25"/>
      <c r="AD602" s="97"/>
      <c r="AE602" s="1504">
        <v>52779</v>
      </c>
      <c r="AF602" s="19"/>
      <c r="AG602" s="93"/>
      <c r="AH602" s="93"/>
      <c r="AI602" s="93"/>
      <c r="AJ602" s="93"/>
      <c r="AK602" s="93"/>
      <c r="AL602" s="93"/>
      <c r="AM602" s="93"/>
      <c r="AN602" s="93"/>
      <c r="AO602" s="93"/>
      <c r="AP602" s="93"/>
      <c r="AQ602" s="93"/>
      <c r="AR602" s="93"/>
      <c r="AS602" s="20"/>
      <c r="AT602" s="25"/>
      <c r="AU602" s="97"/>
      <c r="AV602" s="1504">
        <v>52779</v>
      </c>
      <c r="AW602" s="19"/>
      <c r="AX602" s="93"/>
      <c r="AY602" s="93"/>
      <c r="AZ602" s="93"/>
      <c r="BA602" s="93"/>
      <c r="BB602" s="93"/>
      <c r="BC602" s="93"/>
      <c r="BD602" s="93"/>
      <c r="BE602" s="93"/>
      <c r="BF602" s="93"/>
      <c r="BG602" s="93"/>
      <c r="BH602" s="93"/>
      <c r="BI602" s="93"/>
      <c r="BJ602" s="20"/>
      <c r="BK602" s="25"/>
      <c r="BL602" s="97"/>
      <c r="BM602" s="1504">
        <v>52779</v>
      </c>
      <c r="BN602" s="19"/>
      <c r="BO602" s="93"/>
      <c r="BP602" s="93"/>
      <c r="BQ602" s="93"/>
      <c r="BR602" s="93"/>
      <c r="BS602" s="93"/>
      <c r="BT602" s="93"/>
      <c r="BU602" s="20"/>
      <c r="BV602" s="25"/>
      <c r="BW602" s="97"/>
      <c r="BX602" s="1504">
        <v>52779</v>
      </c>
      <c r="BY602" s="19"/>
      <c r="BZ602" s="93"/>
      <c r="CA602" s="93"/>
      <c r="CB602" s="93"/>
      <c r="CC602" s="93"/>
      <c r="CD602" s="25"/>
      <c r="CE602" s="97"/>
      <c r="CF602" s="1504">
        <v>52779</v>
      </c>
      <c r="CG602" s="19"/>
      <c r="CH602" s="93"/>
      <c r="CI602" s="219"/>
      <c r="CJ602" s="20"/>
      <c r="CK602" s="19"/>
      <c r="CL602" s="93"/>
      <c r="CM602" s="93"/>
      <c r="CN602" s="93"/>
      <c r="CO602" s="93"/>
      <c r="CP602" s="20"/>
      <c r="CQ602" s="219"/>
      <c r="CR602" s="93"/>
      <c r="CS602" s="93"/>
      <c r="CT602" s="93"/>
      <c r="CU602" s="93"/>
      <c r="CV602" s="214"/>
      <c r="CW602" s="29"/>
      <c r="CX602" s="41">
        <f t="shared" si="363"/>
        <v>2044</v>
      </c>
      <c r="CY602" s="1504">
        <v>52779</v>
      </c>
      <c r="CZ602" s="19"/>
      <c r="DA602" s="93"/>
      <c r="DB602" s="93"/>
      <c r="DC602" s="93"/>
      <c r="DD602" s="93"/>
      <c r="DE602" s="20"/>
      <c r="DF602" s="29"/>
      <c r="DG602" s="1504">
        <v>52779</v>
      </c>
      <c r="DH602" s="19"/>
      <c r="DI602" s="93"/>
      <c r="DJ602" s="93"/>
      <c r="DK602" s="93"/>
      <c r="DL602" s="93"/>
      <c r="DM602" s="93"/>
      <c r="DN602" s="20"/>
      <c r="DO602" s="295"/>
      <c r="DP602" s="29"/>
      <c r="DQ602" s="1504">
        <v>52779</v>
      </c>
      <c r="DR602" s="19"/>
      <c r="DS602" s="93"/>
      <c r="DT602" s="93"/>
      <c r="DU602" s="93"/>
      <c r="DV602" s="93"/>
      <c r="DW602" s="93"/>
      <c r="DX602" s="20"/>
      <c r="DY602" s="29"/>
      <c r="DZ602" s="1504">
        <v>52779</v>
      </c>
      <c r="EA602" s="19"/>
      <c r="EB602" s="93"/>
      <c r="EC602" s="20"/>
      <c r="ED602" s="29"/>
      <c r="EE602" s="1504">
        <v>52779</v>
      </c>
      <c r="EF602" s="19"/>
      <c r="EG602" s="93"/>
      <c r="EH602" s="93"/>
      <c r="EI602" s="214"/>
      <c r="EJ602" s="93"/>
      <c r="EK602" s="93"/>
      <c r="EL602" s="93"/>
      <c r="EM602" s="93"/>
      <c r="EN602" s="20"/>
      <c r="EO602" s="29"/>
      <c r="EP602" s="1504">
        <v>52779</v>
      </c>
      <c r="EQ602" s="19"/>
      <c r="ER602" s="93"/>
      <c r="ES602" s="93"/>
      <c r="ET602" s="214"/>
      <c r="EU602" s="93"/>
      <c r="EV602" s="93"/>
      <c r="EW602" s="93"/>
      <c r="EX602" s="93"/>
      <c r="EY602" s="20"/>
      <c r="EZ602" s="29"/>
      <c r="FA602" s="1504">
        <v>52779</v>
      </c>
      <c r="FB602" s="29"/>
      <c r="FC602" s="29"/>
      <c r="FD602" s="29"/>
      <c r="FE602" s="29"/>
      <c r="FF602" s="29"/>
      <c r="FG602" s="29"/>
      <c r="FH602" s="29"/>
      <c r="FI602" s="29"/>
      <c r="FJ602" s="29"/>
      <c r="FK602" s="29"/>
      <c r="FL602" s="1504">
        <v>52779</v>
      </c>
      <c r="FM602" s="19"/>
      <c r="FN602" s="93"/>
      <c r="FO602" s="93"/>
      <c r="FP602" s="93"/>
      <c r="FQ602" s="93"/>
      <c r="FR602" s="93"/>
      <c r="FS602" s="93"/>
      <c r="FT602" s="93"/>
      <c r="FU602" s="93"/>
      <c r="FV602" s="93"/>
      <c r="FW602" s="93"/>
      <c r="FX602" s="93"/>
      <c r="FY602" s="93"/>
      <c r="FZ602" s="29"/>
      <c r="GA602" s="1504">
        <v>52779</v>
      </c>
      <c r="GB602" s="19"/>
      <c r="GC602" s="93"/>
      <c r="GD602" s="93"/>
      <c r="GE602" s="93"/>
      <c r="GF602" s="93"/>
      <c r="GG602" s="93"/>
      <c r="GH602" s="93"/>
      <c r="GI602" s="93"/>
      <c r="GJ602" s="93"/>
      <c r="GK602" s="93"/>
      <c r="GL602" s="93"/>
      <c r="GM602" s="93"/>
      <c r="GN602" s="20"/>
      <c r="GO602" s="29"/>
      <c r="GP602" s="1504">
        <v>52779</v>
      </c>
      <c r="GQ602" s="19"/>
      <c r="GR602" s="93"/>
      <c r="GS602" s="93"/>
      <c r="GT602" s="93"/>
      <c r="GU602" s="93"/>
      <c r="GV602" s="20"/>
      <c r="GW602" s="19"/>
      <c r="GX602" s="93"/>
      <c r="GY602" s="93"/>
      <c r="GZ602" s="93"/>
      <c r="HA602" s="93"/>
      <c r="HB602" s="20"/>
      <c r="HC602" s="19"/>
      <c r="HD602" s="93"/>
      <c r="HE602" s="93"/>
      <c r="HF602" s="93"/>
      <c r="HG602" s="93"/>
      <c r="HH602" s="20"/>
      <c r="HI602" s="19"/>
      <c r="HJ602" s="93"/>
      <c r="HK602" s="93"/>
      <c r="HL602" s="93"/>
      <c r="HM602" s="93"/>
      <c r="HN602" s="20"/>
      <c r="HO602" s="219"/>
      <c r="HP602" s="20"/>
      <c r="HQ602" s="25"/>
      <c r="HR602" s="29"/>
      <c r="HS602" s="1504">
        <v>52779</v>
      </c>
      <c r="HT602" s="19"/>
      <c r="HU602" s="93"/>
      <c r="HV602" s="93"/>
      <c r="HW602" s="93"/>
      <c r="HX602" s="93"/>
      <c r="HY602" s="93"/>
      <c r="HZ602" s="93"/>
      <c r="IA602" s="20"/>
      <c r="IB602" s="19"/>
      <c r="IC602" s="93"/>
      <c r="ID602" s="93"/>
      <c r="IE602" s="93"/>
      <c r="IF602" s="93"/>
      <c r="IG602" s="20"/>
      <c r="IH602" s="19"/>
      <c r="II602" s="93"/>
      <c r="IJ602" s="93"/>
      <c r="IK602" s="93"/>
      <c r="IL602" s="93"/>
      <c r="IM602" s="93"/>
      <c r="IN602" s="93"/>
      <c r="IO602" s="20"/>
      <c r="IP602" s="29"/>
      <c r="IQ602" s="19"/>
      <c r="IR602" s="93"/>
      <c r="IS602" s="93"/>
      <c r="IT602" s="93"/>
      <c r="IU602" s="93"/>
      <c r="IV602" s="20"/>
      <c r="IW602" s="29"/>
      <c r="IX602" s="19"/>
      <c r="IY602" s="93"/>
      <c r="IZ602" s="93"/>
      <c r="JA602" s="93"/>
      <c r="JB602" s="93"/>
      <c r="JC602" s="93"/>
      <c r="JD602" s="93"/>
      <c r="JE602" s="20"/>
      <c r="JF602" s="29"/>
      <c r="JG602" s="19"/>
      <c r="JH602" s="93"/>
      <c r="JI602" s="93"/>
      <c r="JJ602" s="93"/>
      <c r="JK602" s="93"/>
      <c r="JL602" s="93"/>
      <c r="JM602" s="93"/>
      <c r="JN602" s="20"/>
      <c r="JO602" s="29"/>
      <c r="JP602" s="19"/>
      <c r="JQ602" s="93"/>
      <c r="JR602" s="93"/>
      <c r="JS602" s="93"/>
      <c r="JT602" s="93"/>
      <c r="JU602" s="20"/>
      <c r="JV602" s="29"/>
      <c r="JW602" s="1504">
        <v>52779</v>
      </c>
      <c r="JX602" s="19"/>
      <c r="JY602" s="93"/>
      <c r="JZ602" s="93"/>
      <c r="KA602" s="93"/>
      <c r="KB602" s="93"/>
      <c r="KC602" s="93"/>
      <c r="KD602" s="20"/>
      <c r="KE602" s="29"/>
      <c r="KF602" s="19"/>
      <c r="KG602" s="93"/>
      <c r="KH602" s="93"/>
      <c r="KI602" s="93"/>
      <c r="KJ602" s="93"/>
      <c r="KK602" s="20"/>
      <c r="KL602" s="29"/>
      <c r="KM602" s="19"/>
      <c r="KN602" s="93"/>
      <c r="KO602" s="93"/>
      <c r="KP602" s="93"/>
      <c r="KQ602" s="93"/>
      <c r="KR602" s="20"/>
      <c r="KS602" s="29"/>
      <c r="KT602" s="19"/>
      <c r="KU602" s="93"/>
      <c r="KV602" s="93"/>
      <c r="KW602" s="93"/>
      <c r="KX602" s="93"/>
      <c r="KY602" s="20"/>
      <c r="KZ602" s="29"/>
      <c r="LA602" s="1504">
        <v>52779</v>
      </c>
      <c r="LB602" s="19"/>
      <c r="LC602" s="93"/>
      <c r="LD602" s="93"/>
      <c r="LE602" s="93"/>
      <c r="LF602" s="93"/>
      <c r="LG602" s="93"/>
      <c r="LH602" s="20"/>
      <c r="LI602" s="29"/>
      <c r="LJ602" s="19"/>
      <c r="LK602" s="93"/>
      <c r="LL602" s="93"/>
      <c r="LM602" s="93"/>
      <c r="LN602" s="93"/>
      <c r="LO602" s="20"/>
      <c r="LP602" s="29"/>
      <c r="LQ602" s="19"/>
      <c r="LR602" s="93"/>
      <c r="LS602" s="93"/>
      <c r="LT602" s="93"/>
      <c r="LU602" s="93"/>
      <c r="LV602" s="93"/>
      <c r="LW602" s="93"/>
      <c r="LX602" s="93"/>
      <c r="LY602" s="93"/>
      <c r="LZ602" s="93"/>
      <c r="MA602" s="20"/>
      <c r="MB602" s="29"/>
      <c r="MC602" s="1504">
        <v>52779</v>
      </c>
      <c r="MD602" s="19"/>
      <c r="ME602" s="93"/>
      <c r="MF602" s="93"/>
      <c r="MG602" s="93"/>
      <c r="MH602" s="93"/>
      <c r="MI602" s="93"/>
      <c r="MJ602" s="93"/>
      <c r="MK602" s="93"/>
      <c r="ML602" s="93"/>
      <c r="MM602" s="93"/>
      <c r="MN602" s="93"/>
      <c r="MO602" s="93"/>
      <c r="MP602" s="93"/>
      <c r="MQ602" s="93"/>
      <c r="MR602" s="93"/>
      <c r="MS602" s="93"/>
      <c r="MT602" s="93"/>
      <c r="MU602" s="93"/>
      <c r="MV602" s="93"/>
      <c r="MW602" s="93"/>
      <c r="MX602" s="93"/>
      <c r="MY602" s="93"/>
      <c r="MZ602" s="93"/>
      <c r="NA602" s="93"/>
      <c r="NB602" s="93"/>
      <c r="NC602" s="93"/>
      <c r="ND602" s="93"/>
      <c r="NE602" s="93"/>
      <c r="NF602" s="93"/>
      <c r="NG602" s="93"/>
      <c r="NH602" s="93"/>
      <c r="NI602" s="93"/>
      <c r="NJ602" s="93"/>
      <c r="NK602" s="93"/>
      <c r="NL602" s="93"/>
      <c r="NM602" s="93"/>
      <c r="NN602" s="93"/>
      <c r="NO602" s="93"/>
      <c r="NP602" s="93"/>
      <c r="NQ602" s="93"/>
      <c r="NR602" s="93"/>
      <c r="NS602" s="93"/>
      <c r="NT602" s="93"/>
      <c r="NU602" s="93"/>
      <c r="NV602" s="93"/>
      <c r="NW602" s="93"/>
      <c r="NX602" s="93"/>
      <c r="NY602" s="93"/>
      <c r="NZ602" s="93"/>
      <c r="OA602" s="93"/>
      <c r="OB602" s="93"/>
      <c r="OC602" s="93"/>
      <c r="OD602" s="20"/>
      <c r="OE602" s="29"/>
      <c r="OF602" s="1504">
        <v>52779</v>
      </c>
      <c r="OG602" s="19"/>
      <c r="OH602" s="93"/>
      <c r="OI602" s="93"/>
      <c r="OJ602" s="93"/>
      <c r="OK602" s="93"/>
      <c r="OL602" s="93"/>
      <c r="OM602" s="93"/>
      <c r="ON602" s="93"/>
      <c r="OO602" s="93"/>
      <c r="OP602" s="93"/>
      <c r="OQ602" s="93"/>
      <c r="OR602" s="93"/>
      <c r="OS602" s="93"/>
      <c r="OT602" s="93"/>
      <c r="OU602" s="93"/>
      <c r="OV602" s="93"/>
      <c r="OW602" s="93"/>
      <c r="OX602" s="93"/>
      <c r="OY602" s="93"/>
      <c r="OZ602" s="93"/>
      <c r="PA602" s="93"/>
      <c r="PB602" s="93"/>
      <c r="PC602" s="20"/>
      <c r="PD602" s="29"/>
      <c r="PE602" s="19"/>
      <c r="PF602" s="93"/>
      <c r="PG602" s="93"/>
      <c r="PH602" s="93"/>
      <c r="PI602" s="93"/>
      <c r="PJ602" s="93"/>
      <c r="PK602" s="93"/>
      <c r="PL602" s="93"/>
      <c r="PM602" s="93"/>
      <c r="PN602" s="93"/>
      <c r="PO602" s="93"/>
      <c r="PP602" s="93"/>
      <c r="PQ602" s="93"/>
      <c r="PR602" s="93"/>
      <c r="PS602" s="93"/>
      <c r="PT602" s="93"/>
      <c r="PU602" s="93"/>
      <c r="PV602" s="93"/>
      <c r="PW602" s="93"/>
      <c r="PX602" s="93"/>
      <c r="PY602" s="93"/>
      <c r="PZ602" s="93"/>
      <c r="QA602" s="93"/>
      <c r="QB602" s="93"/>
      <c r="QC602" s="93"/>
      <c r="QD602" s="93"/>
      <c r="QE602" s="20"/>
      <c r="QF602" s="1739"/>
      <c r="QG602" s="19"/>
      <c r="QH602" s="93"/>
      <c r="QI602" s="93"/>
      <c r="QJ602" s="93"/>
      <c r="QK602" s="93"/>
      <c r="QL602" s="93"/>
      <c r="QM602" s="93"/>
      <c r="QN602" s="93"/>
      <c r="QO602" s="93"/>
      <c r="QP602" s="93"/>
      <c r="QQ602" s="93"/>
      <c r="QR602" s="93"/>
      <c r="QS602" s="93"/>
      <c r="QT602" s="93"/>
      <c r="QU602" s="93"/>
      <c r="QV602" s="93"/>
      <c r="QW602" s="93"/>
      <c r="QX602" s="93"/>
      <c r="QY602" s="93"/>
      <c r="QZ602" s="93"/>
      <c r="RA602" s="93"/>
      <c r="RB602" s="93"/>
      <c r="RC602" s="93"/>
      <c r="RD602" s="93"/>
      <c r="RE602" s="93"/>
      <c r="RF602" s="93"/>
      <c r="RG602" s="93"/>
      <c r="RH602" s="93"/>
      <c r="RI602" s="93"/>
      <c r="RJ602" s="93"/>
      <c r="RK602" s="93"/>
      <c r="RL602" s="93"/>
      <c r="RM602" s="20"/>
      <c r="RN602" s="29"/>
      <c r="RO602" s="19"/>
      <c r="RP602" s="20"/>
      <c r="RQ602" s="29"/>
      <c r="RR602" s="20"/>
      <c r="RS602" s="29"/>
      <c r="RT602" s="1504">
        <v>52779</v>
      </c>
      <c r="RU602" s="19"/>
      <c r="RV602" s="20"/>
      <c r="RW602" s="29"/>
      <c r="RX602" s="1504">
        <v>52779</v>
      </c>
      <c r="RY602" s="29"/>
      <c r="RZ602" s="20"/>
      <c r="SA602" s="29"/>
      <c r="SB602" s="29"/>
    </row>
    <row r="603" spans="1:496">
      <c r="A603" s="41">
        <f t="shared" si="362"/>
        <v>2044</v>
      </c>
      <c r="B603" s="1504">
        <v>52810</v>
      </c>
      <c r="C603" s="1813"/>
      <c r="D603" s="1814"/>
      <c r="E603" s="1814"/>
      <c r="F603" s="1815"/>
      <c r="G603" s="1814"/>
      <c r="H603" s="1814"/>
      <c r="I603" s="1814"/>
      <c r="J603" s="1816"/>
      <c r="K603" s="1807"/>
      <c r="L603" s="25"/>
      <c r="M603" s="97"/>
      <c r="N603" s="1504">
        <v>52810</v>
      </c>
      <c r="O603" s="19"/>
      <c r="P603" s="93"/>
      <c r="Q603" s="93"/>
      <c r="R603" s="93"/>
      <c r="S603" s="93"/>
      <c r="T603" s="93"/>
      <c r="U603" s="93"/>
      <c r="V603" s="93"/>
      <c r="W603" s="93"/>
      <c r="X603" s="93"/>
      <c r="Y603" s="93"/>
      <c r="Z603" s="93"/>
      <c r="AA603" s="93"/>
      <c r="AB603" s="20"/>
      <c r="AC603" s="25"/>
      <c r="AD603" s="97"/>
      <c r="AE603" s="1504">
        <v>52810</v>
      </c>
      <c r="AF603" s="19"/>
      <c r="AG603" s="93"/>
      <c r="AH603" s="93"/>
      <c r="AI603" s="93"/>
      <c r="AJ603" s="93"/>
      <c r="AK603" s="93"/>
      <c r="AL603" s="93"/>
      <c r="AM603" s="93"/>
      <c r="AN603" s="93"/>
      <c r="AO603" s="93"/>
      <c r="AP603" s="93"/>
      <c r="AQ603" s="93"/>
      <c r="AR603" s="93"/>
      <c r="AS603" s="20"/>
      <c r="AT603" s="25"/>
      <c r="AU603" s="97"/>
      <c r="AV603" s="1504">
        <v>52810</v>
      </c>
      <c r="AW603" s="19"/>
      <c r="AX603" s="93"/>
      <c r="AY603" s="93"/>
      <c r="AZ603" s="93"/>
      <c r="BA603" s="93"/>
      <c r="BB603" s="93"/>
      <c r="BC603" s="93"/>
      <c r="BD603" s="93"/>
      <c r="BE603" s="93"/>
      <c r="BF603" s="93"/>
      <c r="BG603" s="93"/>
      <c r="BH603" s="93"/>
      <c r="BI603" s="93"/>
      <c r="BJ603" s="20"/>
      <c r="BK603" s="25"/>
      <c r="BL603" s="97"/>
      <c r="BM603" s="1504">
        <v>52810</v>
      </c>
      <c r="BN603" s="19"/>
      <c r="BO603" s="93"/>
      <c r="BP603" s="93"/>
      <c r="BQ603" s="93"/>
      <c r="BR603" s="93"/>
      <c r="BS603" s="93"/>
      <c r="BT603" s="93"/>
      <c r="BU603" s="20"/>
      <c r="BV603" s="25"/>
      <c r="BW603" s="97"/>
      <c r="BX603" s="1504">
        <v>52810</v>
      </c>
      <c r="BY603" s="19"/>
      <c r="BZ603" s="93"/>
      <c r="CA603" s="93"/>
      <c r="CB603" s="93"/>
      <c r="CC603" s="93"/>
      <c r="CD603" s="25"/>
      <c r="CE603" s="97"/>
      <c r="CF603" s="1504">
        <v>52810</v>
      </c>
      <c r="CG603" s="19"/>
      <c r="CH603" s="93"/>
      <c r="CI603" s="219"/>
      <c r="CJ603" s="20"/>
      <c r="CK603" s="19"/>
      <c r="CL603" s="93"/>
      <c r="CM603" s="93"/>
      <c r="CN603" s="93"/>
      <c r="CO603" s="93"/>
      <c r="CP603" s="20"/>
      <c r="CQ603" s="219"/>
      <c r="CR603" s="93"/>
      <c r="CS603" s="93"/>
      <c r="CT603" s="93"/>
      <c r="CU603" s="93"/>
      <c r="CV603" s="214"/>
      <c r="CW603" s="29"/>
      <c r="CX603" s="41">
        <f t="shared" si="363"/>
        <v>2044</v>
      </c>
      <c r="CY603" s="1504">
        <v>52810</v>
      </c>
      <c r="CZ603" s="19"/>
      <c r="DA603" s="93"/>
      <c r="DB603" s="93"/>
      <c r="DC603" s="93"/>
      <c r="DD603" s="93"/>
      <c r="DE603" s="20"/>
      <c r="DF603" s="29"/>
      <c r="DG603" s="1504">
        <v>52810</v>
      </c>
      <c r="DH603" s="19"/>
      <c r="DI603" s="93"/>
      <c r="DJ603" s="93"/>
      <c r="DK603" s="93"/>
      <c r="DL603" s="93"/>
      <c r="DM603" s="93"/>
      <c r="DN603" s="20"/>
      <c r="DO603" s="295"/>
      <c r="DP603" s="29"/>
      <c r="DQ603" s="1504">
        <v>52810</v>
      </c>
      <c r="DR603" s="19"/>
      <c r="DS603" s="93"/>
      <c r="DT603" s="93"/>
      <c r="DU603" s="93"/>
      <c r="DV603" s="93"/>
      <c r="DW603" s="93"/>
      <c r="DX603" s="20"/>
      <c r="DY603" s="29"/>
      <c r="DZ603" s="1504">
        <v>52810</v>
      </c>
      <c r="EA603" s="19"/>
      <c r="EB603" s="93"/>
      <c r="EC603" s="20"/>
      <c r="ED603" s="29"/>
      <c r="EE603" s="1504">
        <v>52810</v>
      </c>
      <c r="EF603" s="19"/>
      <c r="EG603" s="93"/>
      <c r="EH603" s="93"/>
      <c r="EI603" s="214"/>
      <c r="EJ603" s="93"/>
      <c r="EK603" s="93"/>
      <c r="EL603" s="93"/>
      <c r="EM603" s="93"/>
      <c r="EN603" s="20"/>
      <c r="EO603" s="29"/>
      <c r="EP603" s="1504">
        <v>52810</v>
      </c>
      <c r="EQ603" s="19"/>
      <c r="ER603" s="93"/>
      <c r="ES603" s="93"/>
      <c r="ET603" s="214"/>
      <c r="EU603" s="93"/>
      <c r="EV603" s="93"/>
      <c r="EW603" s="93"/>
      <c r="EX603" s="93"/>
      <c r="EY603" s="20"/>
      <c r="EZ603" s="29"/>
      <c r="FA603" s="1504">
        <v>52810</v>
      </c>
      <c r="FB603" s="29"/>
      <c r="FC603" s="29"/>
      <c r="FD603" s="29"/>
      <c r="FE603" s="29"/>
      <c r="FF603" s="29"/>
      <c r="FG603" s="29"/>
      <c r="FH603" s="29"/>
      <c r="FI603" s="29"/>
      <c r="FJ603" s="29"/>
      <c r="FK603" s="29"/>
      <c r="FL603" s="1504">
        <v>52810</v>
      </c>
      <c r="FM603" s="19"/>
      <c r="FN603" s="93"/>
      <c r="FO603" s="93"/>
      <c r="FP603" s="93"/>
      <c r="FQ603" s="93"/>
      <c r="FR603" s="93"/>
      <c r="FS603" s="93"/>
      <c r="FT603" s="93"/>
      <c r="FU603" s="93"/>
      <c r="FV603" s="93"/>
      <c r="FW603" s="93"/>
      <c r="FX603" s="93"/>
      <c r="FY603" s="93"/>
      <c r="FZ603" s="29"/>
      <c r="GA603" s="1504">
        <v>52810</v>
      </c>
      <c r="GB603" s="19"/>
      <c r="GC603" s="93"/>
      <c r="GD603" s="93"/>
      <c r="GE603" s="93"/>
      <c r="GF603" s="93"/>
      <c r="GG603" s="93"/>
      <c r="GH603" s="93"/>
      <c r="GI603" s="93"/>
      <c r="GJ603" s="93"/>
      <c r="GK603" s="93"/>
      <c r="GL603" s="93"/>
      <c r="GM603" s="93"/>
      <c r="GN603" s="20"/>
      <c r="GO603" s="29"/>
      <c r="GP603" s="1504">
        <v>52810</v>
      </c>
      <c r="GQ603" s="19"/>
      <c r="GR603" s="93"/>
      <c r="GS603" s="93"/>
      <c r="GT603" s="93"/>
      <c r="GU603" s="93"/>
      <c r="GV603" s="20"/>
      <c r="GW603" s="19"/>
      <c r="GX603" s="93"/>
      <c r="GY603" s="93"/>
      <c r="GZ603" s="93"/>
      <c r="HA603" s="93"/>
      <c r="HB603" s="20"/>
      <c r="HC603" s="19"/>
      <c r="HD603" s="93"/>
      <c r="HE603" s="93"/>
      <c r="HF603" s="93"/>
      <c r="HG603" s="93"/>
      <c r="HH603" s="20"/>
      <c r="HI603" s="19"/>
      <c r="HJ603" s="93"/>
      <c r="HK603" s="93"/>
      <c r="HL603" s="93"/>
      <c r="HM603" s="93"/>
      <c r="HN603" s="20"/>
      <c r="HO603" s="219"/>
      <c r="HP603" s="20"/>
      <c r="HQ603" s="25"/>
      <c r="HR603" s="29"/>
      <c r="HS603" s="1504">
        <v>52810</v>
      </c>
      <c r="HT603" s="19"/>
      <c r="HU603" s="93"/>
      <c r="HV603" s="93"/>
      <c r="HW603" s="93"/>
      <c r="HX603" s="93"/>
      <c r="HY603" s="93"/>
      <c r="HZ603" s="93"/>
      <c r="IA603" s="20"/>
      <c r="IB603" s="19"/>
      <c r="IC603" s="93"/>
      <c r="ID603" s="93"/>
      <c r="IE603" s="93"/>
      <c r="IF603" s="93"/>
      <c r="IG603" s="20"/>
      <c r="IH603" s="19"/>
      <c r="II603" s="93"/>
      <c r="IJ603" s="93"/>
      <c r="IK603" s="93"/>
      <c r="IL603" s="93"/>
      <c r="IM603" s="93"/>
      <c r="IN603" s="93"/>
      <c r="IO603" s="20"/>
      <c r="IP603" s="29"/>
      <c r="IQ603" s="19"/>
      <c r="IR603" s="93"/>
      <c r="IS603" s="93"/>
      <c r="IT603" s="93"/>
      <c r="IU603" s="93"/>
      <c r="IV603" s="20"/>
      <c r="IW603" s="29"/>
      <c r="IX603" s="19"/>
      <c r="IY603" s="93"/>
      <c r="IZ603" s="93"/>
      <c r="JA603" s="93"/>
      <c r="JB603" s="93"/>
      <c r="JC603" s="93"/>
      <c r="JD603" s="93"/>
      <c r="JE603" s="20"/>
      <c r="JF603" s="29"/>
      <c r="JG603" s="19"/>
      <c r="JH603" s="93"/>
      <c r="JI603" s="93"/>
      <c r="JJ603" s="93"/>
      <c r="JK603" s="93"/>
      <c r="JL603" s="93"/>
      <c r="JM603" s="93"/>
      <c r="JN603" s="20"/>
      <c r="JO603" s="29"/>
      <c r="JP603" s="19"/>
      <c r="JQ603" s="93"/>
      <c r="JR603" s="93"/>
      <c r="JS603" s="93"/>
      <c r="JT603" s="93"/>
      <c r="JU603" s="20"/>
      <c r="JV603" s="29"/>
      <c r="JW603" s="1504">
        <v>52810</v>
      </c>
      <c r="JX603" s="19"/>
      <c r="JY603" s="93"/>
      <c r="JZ603" s="93"/>
      <c r="KA603" s="93"/>
      <c r="KB603" s="93"/>
      <c r="KC603" s="93"/>
      <c r="KD603" s="20"/>
      <c r="KE603" s="29"/>
      <c r="KF603" s="19"/>
      <c r="KG603" s="93"/>
      <c r="KH603" s="93"/>
      <c r="KI603" s="93"/>
      <c r="KJ603" s="93"/>
      <c r="KK603" s="20"/>
      <c r="KL603" s="29"/>
      <c r="KM603" s="19"/>
      <c r="KN603" s="93"/>
      <c r="KO603" s="93"/>
      <c r="KP603" s="93"/>
      <c r="KQ603" s="93"/>
      <c r="KR603" s="20"/>
      <c r="KS603" s="29"/>
      <c r="KT603" s="19"/>
      <c r="KU603" s="93"/>
      <c r="KV603" s="93"/>
      <c r="KW603" s="93"/>
      <c r="KX603" s="93"/>
      <c r="KY603" s="20"/>
      <c r="KZ603" s="29"/>
      <c r="LA603" s="1504">
        <v>52810</v>
      </c>
      <c r="LB603" s="19"/>
      <c r="LC603" s="93"/>
      <c r="LD603" s="93"/>
      <c r="LE603" s="93"/>
      <c r="LF603" s="93"/>
      <c r="LG603" s="93"/>
      <c r="LH603" s="20"/>
      <c r="LI603" s="29"/>
      <c r="LJ603" s="19"/>
      <c r="LK603" s="93"/>
      <c r="LL603" s="93"/>
      <c r="LM603" s="93"/>
      <c r="LN603" s="93"/>
      <c r="LO603" s="20"/>
      <c r="LP603" s="29"/>
      <c r="LQ603" s="19"/>
      <c r="LR603" s="93"/>
      <c r="LS603" s="93"/>
      <c r="LT603" s="93"/>
      <c r="LU603" s="93"/>
      <c r="LV603" s="93"/>
      <c r="LW603" s="93"/>
      <c r="LX603" s="93"/>
      <c r="LY603" s="93"/>
      <c r="LZ603" s="93"/>
      <c r="MA603" s="20"/>
      <c r="MB603" s="29"/>
      <c r="MC603" s="1504">
        <v>52810</v>
      </c>
      <c r="MD603" s="19"/>
      <c r="ME603" s="93"/>
      <c r="MF603" s="93"/>
      <c r="MG603" s="93"/>
      <c r="MH603" s="93"/>
      <c r="MI603" s="93"/>
      <c r="MJ603" s="93"/>
      <c r="MK603" s="93"/>
      <c r="ML603" s="93"/>
      <c r="MM603" s="93"/>
      <c r="MN603" s="93"/>
      <c r="MO603" s="93"/>
      <c r="MP603" s="93"/>
      <c r="MQ603" s="93"/>
      <c r="MR603" s="93"/>
      <c r="MS603" s="93"/>
      <c r="MT603" s="93"/>
      <c r="MU603" s="93"/>
      <c r="MV603" s="93"/>
      <c r="MW603" s="93"/>
      <c r="MX603" s="93"/>
      <c r="MY603" s="93"/>
      <c r="MZ603" s="93"/>
      <c r="NA603" s="93"/>
      <c r="NB603" s="93"/>
      <c r="NC603" s="93"/>
      <c r="ND603" s="93"/>
      <c r="NE603" s="93"/>
      <c r="NF603" s="93"/>
      <c r="NG603" s="93"/>
      <c r="NH603" s="93"/>
      <c r="NI603" s="93"/>
      <c r="NJ603" s="93"/>
      <c r="NK603" s="93"/>
      <c r="NL603" s="93"/>
      <c r="NM603" s="93"/>
      <c r="NN603" s="93"/>
      <c r="NO603" s="93"/>
      <c r="NP603" s="93"/>
      <c r="NQ603" s="93"/>
      <c r="NR603" s="93"/>
      <c r="NS603" s="93"/>
      <c r="NT603" s="93"/>
      <c r="NU603" s="93"/>
      <c r="NV603" s="93"/>
      <c r="NW603" s="93"/>
      <c r="NX603" s="93"/>
      <c r="NY603" s="93"/>
      <c r="NZ603" s="93"/>
      <c r="OA603" s="93"/>
      <c r="OB603" s="93"/>
      <c r="OC603" s="93"/>
      <c r="OD603" s="20"/>
      <c r="OE603" s="29"/>
      <c r="OF603" s="1504">
        <v>52810</v>
      </c>
      <c r="OG603" s="19"/>
      <c r="OH603" s="93"/>
      <c r="OI603" s="93"/>
      <c r="OJ603" s="93"/>
      <c r="OK603" s="93"/>
      <c r="OL603" s="93"/>
      <c r="OM603" s="93"/>
      <c r="ON603" s="93"/>
      <c r="OO603" s="93"/>
      <c r="OP603" s="93"/>
      <c r="OQ603" s="93"/>
      <c r="OR603" s="93"/>
      <c r="OS603" s="93"/>
      <c r="OT603" s="93"/>
      <c r="OU603" s="93"/>
      <c r="OV603" s="93"/>
      <c r="OW603" s="93"/>
      <c r="OX603" s="93"/>
      <c r="OY603" s="93"/>
      <c r="OZ603" s="93"/>
      <c r="PA603" s="93"/>
      <c r="PB603" s="93"/>
      <c r="PC603" s="20"/>
      <c r="PD603" s="29"/>
      <c r="PE603" s="19"/>
      <c r="PF603" s="93"/>
      <c r="PG603" s="93"/>
      <c r="PH603" s="93"/>
      <c r="PI603" s="93"/>
      <c r="PJ603" s="93"/>
      <c r="PK603" s="93"/>
      <c r="PL603" s="93"/>
      <c r="PM603" s="93"/>
      <c r="PN603" s="93"/>
      <c r="PO603" s="93"/>
      <c r="PP603" s="93"/>
      <c r="PQ603" s="93"/>
      <c r="PR603" s="93"/>
      <c r="PS603" s="93"/>
      <c r="PT603" s="93"/>
      <c r="PU603" s="93"/>
      <c r="PV603" s="93"/>
      <c r="PW603" s="93"/>
      <c r="PX603" s="93"/>
      <c r="PY603" s="93"/>
      <c r="PZ603" s="93"/>
      <c r="QA603" s="93"/>
      <c r="QB603" s="93"/>
      <c r="QC603" s="93"/>
      <c r="QD603" s="93"/>
      <c r="QE603" s="20"/>
      <c r="QF603" s="1739"/>
      <c r="QG603" s="19"/>
      <c r="QH603" s="93"/>
      <c r="QI603" s="93"/>
      <c r="QJ603" s="93"/>
      <c r="QK603" s="93"/>
      <c r="QL603" s="93"/>
      <c r="QM603" s="93"/>
      <c r="QN603" s="93"/>
      <c r="QO603" s="93"/>
      <c r="QP603" s="93"/>
      <c r="QQ603" s="93"/>
      <c r="QR603" s="93"/>
      <c r="QS603" s="93"/>
      <c r="QT603" s="93"/>
      <c r="QU603" s="93"/>
      <c r="QV603" s="93"/>
      <c r="QW603" s="93"/>
      <c r="QX603" s="93"/>
      <c r="QY603" s="93"/>
      <c r="QZ603" s="93"/>
      <c r="RA603" s="93"/>
      <c r="RB603" s="93"/>
      <c r="RC603" s="93"/>
      <c r="RD603" s="93"/>
      <c r="RE603" s="93"/>
      <c r="RF603" s="93"/>
      <c r="RG603" s="93"/>
      <c r="RH603" s="93"/>
      <c r="RI603" s="93"/>
      <c r="RJ603" s="93"/>
      <c r="RK603" s="93"/>
      <c r="RL603" s="93"/>
      <c r="RM603" s="20"/>
      <c r="RN603" s="29"/>
      <c r="RO603" s="19"/>
      <c r="RP603" s="20"/>
      <c r="RQ603" s="29"/>
      <c r="RR603" s="20"/>
      <c r="RS603" s="29"/>
      <c r="RT603" s="1504">
        <v>52810</v>
      </c>
      <c r="RU603" s="19"/>
      <c r="RV603" s="20"/>
      <c r="RW603" s="29"/>
      <c r="RX603" s="1504">
        <v>52810</v>
      </c>
      <c r="RY603" s="29"/>
      <c r="RZ603" s="20"/>
      <c r="SA603" s="29"/>
      <c r="SB603" s="29"/>
    </row>
    <row r="604" spans="1:496">
      <c r="A604" s="41">
        <f t="shared" si="362"/>
        <v>2044</v>
      </c>
      <c r="B604" s="1504">
        <v>52841</v>
      </c>
      <c r="C604" s="1813"/>
      <c r="D604" s="1814"/>
      <c r="E604" s="1814"/>
      <c r="F604" s="1815"/>
      <c r="G604" s="1814"/>
      <c r="H604" s="1814"/>
      <c r="I604" s="1814"/>
      <c r="J604" s="1816"/>
      <c r="K604" s="1807"/>
      <c r="L604" s="25"/>
      <c r="M604" s="97"/>
      <c r="N604" s="1504">
        <v>52841</v>
      </c>
      <c r="O604" s="19"/>
      <c r="P604" s="93"/>
      <c r="Q604" s="93"/>
      <c r="R604" s="93"/>
      <c r="S604" s="93"/>
      <c r="T604" s="93"/>
      <c r="U604" s="93"/>
      <c r="V604" s="93"/>
      <c r="W604" s="93"/>
      <c r="X604" s="93"/>
      <c r="Y604" s="93"/>
      <c r="Z604" s="93"/>
      <c r="AA604" s="93"/>
      <c r="AB604" s="20"/>
      <c r="AC604" s="25"/>
      <c r="AD604" s="97"/>
      <c r="AE604" s="1504">
        <v>52841</v>
      </c>
      <c r="AF604" s="19"/>
      <c r="AG604" s="93"/>
      <c r="AH604" s="93"/>
      <c r="AI604" s="93"/>
      <c r="AJ604" s="93"/>
      <c r="AK604" s="93"/>
      <c r="AL604" s="93"/>
      <c r="AM604" s="93"/>
      <c r="AN604" s="93"/>
      <c r="AO604" s="93"/>
      <c r="AP604" s="93"/>
      <c r="AQ604" s="93"/>
      <c r="AR604" s="93"/>
      <c r="AS604" s="20"/>
      <c r="AT604" s="25"/>
      <c r="AU604" s="97"/>
      <c r="AV604" s="1504">
        <v>52841</v>
      </c>
      <c r="AW604" s="19"/>
      <c r="AX604" s="93"/>
      <c r="AY604" s="93"/>
      <c r="AZ604" s="93"/>
      <c r="BA604" s="93"/>
      <c r="BB604" s="93"/>
      <c r="BC604" s="93"/>
      <c r="BD604" s="93"/>
      <c r="BE604" s="93"/>
      <c r="BF604" s="93"/>
      <c r="BG604" s="93"/>
      <c r="BH604" s="93"/>
      <c r="BI604" s="93"/>
      <c r="BJ604" s="20"/>
      <c r="BK604" s="25"/>
      <c r="BL604" s="97"/>
      <c r="BM604" s="1504">
        <v>52841</v>
      </c>
      <c r="BN604" s="19"/>
      <c r="BO604" s="93"/>
      <c r="BP604" s="93"/>
      <c r="BQ604" s="93"/>
      <c r="BR604" s="93"/>
      <c r="BS604" s="93"/>
      <c r="BT604" s="93"/>
      <c r="BU604" s="20"/>
      <c r="BV604" s="25"/>
      <c r="BW604" s="97"/>
      <c r="BX604" s="1504">
        <v>52841</v>
      </c>
      <c r="BY604" s="19"/>
      <c r="BZ604" s="93"/>
      <c r="CA604" s="93"/>
      <c r="CB604" s="93"/>
      <c r="CC604" s="93"/>
      <c r="CD604" s="25"/>
      <c r="CE604" s="97"/>
      <c r="CF604" s="1504">
        <v>52841</v>
      </c>
      <c r="CG604" s="19"/>
      <c r="CH604" s="93"/>
      <c r="CI604" s="219"/>
      <c r="CJ604" s="20"/>
      <c r="CK604" s="19"/>
      <c r="CL604" s="93"/>
      <c r="CM604" s="93"/>
      <c r="CN604" s="93"/>
      <c r="CO604" s="93"/>
      <c r="CP604" s="20"/>
      <c r="CQ604" s="219"/>
      <c r="CR604" s="93"/>
      <c r="CS604" s="93"/>
      <c r="CT604" s="93"/>
      <c r="CU604" s="93"/>
      <c r="CV604" s="214"/>
      <c r="CW604" s="29"/>
      <c r="CX604" s="41">
        <f t="shared" si="363"/>
        <v>2044</v>
      </c>
      <c r="CY604" s="1504">
        <v>52841</v>
      </c>
      <c r="CZ604" s="19"/>
      <c r="DA604" s="93"/>
      <c r="DB604" s="93"/>
      <c r="DC604" s="93"/>
      <c r="DD604" s="93"/>
      <c r="DE604" s="20"/>
      <c r="DF604" s="29"/>
      <c r="DG604" s="1504">
        <v>52841</v>
      </c>
      <c r="DH604" s="19"/>
      <c r="DI604" s="93"/>
      <c r="DJ604" s="93"/>
      <c r="DK604" s="93"/>
      <c r="DL604" s="93"/>
      <c r="DM604" s="93"/>
      <c r="DN604" s="20"/>
      <c r="DO604" s="295"/>
      <c r="DP604" s="29"/>
      <c r="DQ604" s="1504">
        <v>52841</v>
      </c>
      <c r="DR604" s="19"/>
      <c r="DS604" s="93"/>
      <c r="DT604" s="93"/>
      <c r="DU604" s="93"/>
      <c r="DV604" s="93"/>
      <c r="DW604" s="93"/>
      <c r="DX604" s="20"/>
      <c r="DY604" s="29"/>
      <c r="DZ604" s="1504">
        <v>52841</v>
      </c>
      <c r="EA604" s="19"/>
      <c r="EB604" s="93"/>
      <c r="EC604" s="20"/>
      <c r="ED604" s="29"/>
      <c r="EE604" s="1504">
        <v>52841</v>
      </c>
      <c r="EF604" s="19"/>
      <c r="EG604" s="93"/>
      <c r="EH604" s="93"/>
      <c r="EI604" s="214"/>
      <c r="EJ604" s="93"/>
      <c r="EK604" s="93"/>
      <c r="EL604" s="93"/>
      <c r="EM604" s="93"/>
      <c r="EN604" s="20"/>
      <c r="EO604" s="29"/>
      <c r="EP604" s="1504">
        <v>52841</v>
      </c>
      <c r="EQ604" s="19"/>
      <c r="ER604" s="93"/>
      <c r="ES604" s="93"/>
      <c r="ET604" s="214"/>
      <c r="EU604" s="93"/>
      <c r="EV604" s="93"/>
      <c r="EW604" s="93"/>
      <c r="EX604" s="93"/>
      <c r="EY604" s="20"/>
      <c r="EZ604" s="29"/>
      <c r="FA604" s="1504">
        <v>52841</v>
      </c>
      <c r="FB604" s="29"/>
      <c r="FC604" s="29"/>
      <c r="FD604" s="29"/>
      <c r="FE604" s="29"/>
      <c r="FF604" s="29"/>
      <c r="FG604" s="29"/>
      <c r="FH604" s="29"/>
      <c r="FI604" s="29"/>
      <c r="FJ604" s="29"/>
      <c r="FK604" s="29"/>
      <c r="FL604" s="1504">
        <v>52841</v>
      </c>
      <c r="FM604" s="19"/>
      <c r="FN604" s="93"/>
      <c r="FO604" s="93"/>
      <c r="FP604" s="93"/>
      <c r="FQ604" s="93"/>
      <c r="FR604" s="93"/>
      <c r="FS604" s="93"/>
      <c r="FT604" s="93"/>
      <c r="FU604" s="93"/>
      <c r="FV604" s="93"/>
      <c r="FW604" s="93"/>
      <c r="FX604" s="93"/>
      <c r="FY604" s="93"/>
      <c r="FZ604" s="29"/>
      <c r="GA604" s="1504">
        <v>52841</v>
      </c>
      <c r="GB604" s="19"/>
      <c r="GC604" s="93"/>
      <c r="GD604" s="93"/>
      <c r="GE604" s="93"/>
      <c r="GF604" s="93"/>
      <c r="GG604" s="93"/>
      <c r="GH604" s="93"/>
      <c r="GI604" s="93"/>
      <c r="GJ604" s="93"/>
      <c r="GK604" s="93"/>
      <c r="GL604" s="93"/>
      <c r="GM604" s="93"/>
      <c r="GN604" s="20"/>
      <c r="GO604" s="29"/>
      <c r="GP604" s="1504">
        <v>52841</v>
      </c>
      <c r="GQ604" s="19"/>
      <c r="GR604" s="93"/>
      <c r="GS604" s="93"/>
      <c r="GT604" s="93"/>
      <c r="GU604" s="93"/>
      <c r="GV604" s="20"/>
      <c r="GW604" s="19"/>
      <c r="GX604" s="93"/>
      <c r="GY604" s="93"/>
      <c r="GZ604" s="93"/>
      <c r="HA604" s="93"/>
      <c r="HB604" s="20"/>
      <c r="HC604" s="19"/>
      <c r="HD604" s="93"/>
      <c r="HE604" s="93"/>
      <c r="HF604" s="93"/>
      <c r="HG604" s="93"/>
      <c r="HH604" s="20"/>
      <c r="HI604" s="19"/>
      <c r="HJ604" s="93"/>
      <c r="HK604" s="93"/>
      <c r="HL604" s="93"/>
      <c r="HM604" s="93"/>
      <c r="HN604" s="20"/>
      <c r="HO604" s="219"/>
      <c r="HP604" s="20"/>
      <c r="HQ604" s="25"/>
      <c r="HR604" s="29"/>
      <c r="HS604" s="1504">
        <v>52841</v>
      </c>
      <c r="HT604" s="19"/>
      <c r="HU604" s="93"/>
      <c r="HV604" s="93"/>
      <c r="HW604" s="93"/>
      <c r="HX604" s="93"/>
      <c r="HY604" s="93"/>
      <c r="HZ604" s="93"/>
      <c r="IA604" s="20"/>
      <c r="IB604" s="19"/>
      <c r="IC604" s="93"/>
      <c r="ID604" s="93"/>
      <c r="IE604" s="93"/>
      <c r="IF604" s="93"/>
      <c r="IG604" s="20"/>
      <c r="IH604" s="19"/>
      <c r="II604" s="93"/>
      <c r="IJ604" s="93"/>
      <c r="IK604" s="93"/>
      <c r="IL604" s="93"/>
      <c r="IM604" s="93"/>
      <c r="IN604" s="93"/>
      <c r="IO604" s="20"/>
      <c r="IP604" s="29"/>
      <c r="IQ604" s="19"/>
      <c r="IR604" s="93"/>
      <c r="IS604" s="93"/>
      <c r="IT604" s="93"/>
      <c r="IU604" s="93"/>
      <c r="IV604" s="20"/>
      <c r="IW604" s="29"/>
      <c r="IX604" s="19"/>
      <c r="IY604" s="93"/>
      <c r="IZ604" s="93"/>
      <c r="JA604" s="93"/>
      <c r="JB604" s="93"/>
      <c r="JC604" s="93"/>
      <c r="JD604" s="93"/>
      <c r="JE604" s="20"/>
      <c r="JF604" s="29"/>
      <c r="JG604" s="19"/>
      <c r="JH604" s="93"/>
      <c r="JI604" s="93"/>
      <c r="JJ604" s="93"/>
      <c r="JK604" s="93"/>
      <c r="JL604" s="93"/>
      <c r="JM604" s="93"/>
      <c r="JN604" s="20"/>
      <c r="JO604" s="29"/>
      <c r="JP604" s="19"/>
      <c r="JQ604" s="93"/>
      <c r="JR604" s="93"/>
      <c r="JS604" s="93"/>
      <c r="JT604" s="93"/>
      <c r="JU604" s="20"/>
      <c r="JV604" s="29"/>
      <c r="JW604" s="1504">
        <v>52841</v>
      </c>
      <c r="JX604" s="19"/>
      <c r="JY604" s="93"/>
      <c r="JZ604" s="93"/>
      <c r="KA604" s="93"/>
      <c r="KB604" s="93"/>
      <c r="KC604" s="93"/>
      <c r="KD604" s="20"/>
      <c r="KE604" s="29"/>
      <c r="KF604" s="19"/>
      <c r="KG604" s="93"/>
      <c r="KH604" s="93"/>
      <c r="KI604" s="93"/>
      <c r="KJ604" s="93"/>
      <c r="KK604" s="20"/>
      <c r="KL604" s="29"/>
      <c r="KM604" s="19"/>
      <c r="KN604" s="93"/>
      <c r="KO604" s="93"/>
      <c r="KP604" s="93"/>
      <c r="KQ604" s="93"/>
      <c r="KR604" s="20"/>
      <c r="KS604" s="29"/>
      <c r="KT604" s="19"/>
      <c r="KU604" s="93"/>
      <c r="KV604" s="93"/>
      <c r="KW604" s="93"/>
      <c r="KX604" s="93"/>
      <c r="KY604" s="20"/>
      <c r="KZ604" s="29"/>
      <c r="LA604" s="1504">
        <v>52841</v>
      </c>
      <c r="LB604" s="19"/>
      <c r="LC604" s="93"/>
      <c r="LD604" s="93"/>
      <c r="LE604" s="93"/>
      <c r="LF604" s="93"/>
      <c r="LG604" s="93"/>
      <c r="LH604" s="20"/>
      <c r="LI604" s="29"/>
      <c r="LJ604" s="19"/>
      <c r="LK604" s="93"/>
      <c r="LL604" s="93"/>
      <c r="LM604" s="93"/>
      <c r="LN604" s="93"/>
      <c r="LO604" s="20"/>
      <c r="LP604" s="29"/>
      <c r="LQ604" s="19"/>
      <c r="LR604" s="93"/>
      <c r="LS604" s="93"/>
      <c r="LT604" s="93"/>
      <c r="LU604" s="93"/>
      <c r="LV604" s="93"/>
      <c r="LW604" s="93"/>
      <c r="LX604" s="93"/>
      <c r="LY604" s="93"/>
      <c r="LZ604" s="93"/>
      <c r="MA604" s="20"/>
      <c r="MB604" s="29"/>
      <c r="MC604" s="1504">
        <v>52841</v>
      </c>
      <c r="MD604" s="19"/>
      <c r="ME604" s="93"/>
      <c r="MF604" s="93"/>
      <c r="MG604" s="93"/>
      <c r="MH604" s="93"/>
      <c r="MI604" s="93"/>
      <c r="MJ604" s="93"/>
      <c r="MK604" s="93"/>
      <c r="ML604" s="93"/>
      <c r="MM604" s="93"/>
      <c r="MN604" s="93"/>
      <c r="MO604" s="93"/>
      <c r="MP604" s="93"/>
      <c r="MQ604" s="93"/>
      <c r="MR604" s="93"/>
      <c r="MS604" s="93"/>
      <c r="MT604" s="93"/>
      <c r="MU604" s="93"/>
      <c r="MV604" s="93"/>
      <c r="MW604" s="93"/>
      <c r="MX604" s="93"/>
      <c r="MY604" s="93"/>
      <c r="MZ604" s="93"/>
      <c r="NA604" s="93"/>
      <c r="NB604" s="93"/>
      <c r="NC604" s="93"/>
      <c r="ND604" s="93"/>
      <c r="NE604" s="93"/>
      <c r="NF604" s="93"/>
      <c r="NG604" s="93"/>
      <c r="NH604" s="93"/>
      <c r="NI604" s="93"/>
      <c r="NJ604" s="93"/>
      <c r="NK604" s="93"/>
      <c r="NL604" s="93"/>
      <c r="NM604" s="93"/>
      <c r="NN604" s="93"/>
      <c r="NO604" s="93"/>
      <c r="NP604" s="93"/>
      <c r="NQ604" s="93"/>
      <c r="NR604" s="93"/>
      <c r="NS604" s="93"/>
      <c r="NT604" s="93"/>
      <c r="NU604" s="93"/>
      <c r="NV604" s="93"/>
      <c r="NW604" s="93"/>
      <c r="NX604" s="93"/>
      <c r="NY604" s="93"/>
      <c r="NZ604" s="93"/>
      <c r="OA604" s="93"/>
      <c r="OB604" s="93"/>
      <c r="OC604" s="93"/>
      <c r="OD604" s="20"/>
      <c r="OE604" s="29"/>
      <c r="OF604" s="1504">
        <v>52841</v>
      </c>
      <c r="OG604" s="19"/>
      <c r="OH604" s="93"/>
      <c r="OI604" s="93"/>
      <c r="OJ604" s="93"/>
      <c r="OK604" s="93"/>
      <c r="OL604" s="93"/>
      <c r="OM604" s="93"/>
      <c r="ON604" s="93"/>
      <c r="OO604" s="93"/>
      <c r="OP604" s="93"/>
      <c r="OQ604" s="93"/>
      <c r="OR604" s="93"/>
      <c r="OS604" s="93"/>
      <c r="OT604" s="93"/>
      <c r="OU604" s="93"/>
      <c r="OV604" s="93"/>
      <c r="OW604" s="93"/>
      <c r="OX604" s="93"/>
      <c r="OY604" s="93"/>
      <c r="OZ604" s="93"/>
      <c r="PA604" s="93"/>
      <c r="PB604" s="93"/>
      <c r="PC604" s="20"/>
      <c r="PD604" s="29"/>
      <c r="PE604" s="19"/>
      <c r="PF604" s="93"/>
      <c r="PG604" s="93"/>
      <c r="PH604" s="93"/>
      <c r="PI604" s="93"/>
      <c r="PJ604" s="93"/>
      <c r="PK604" s="93"/>
      <c r="PL604" s="93"/>
      <c r="PM604" s="93"/>
      <c r="PN604" s="93"/>
      <c r="PO604" s="93"/>
      <c r="PP604" s="93"/>
      <c r="PQ604" s="93"/>
      <c r="PR604" s="93"/>
      <c r="PS604" s="93"/>
      <c r="PT604" s="93"/>
      <c r="PU604" s="93"/>
      <c r="PV604" s="93"/>
      <c r="PW604" s="93"/>
      <c r="PX604" s="93"/>
      <c r="PY604" s="93"/>
      <c r="PZ604" s="93"/>
      <c r="QA604" s="93"/>
      <c r="QB604" s="93"/>
      <c r="QC604" s="93"/>
      <c r="QD604" s="93"/>
      <c r="QE604" s="20"/>
      <c r="QF604" s="1739"/>
      <c r="QG604" s="19"/>
      <c r="QH604" s="93"/>
      <c r="QI604" s="93"/>
      <c r="QJ604" s="93"/>
      <c r="QK604" s="93"/>
      <c r="QL604" s="93"/>
      <c r="QM604" s="93"/>
      <c r="QN604" s="93"/>
      <c r="QO604" s="93"/>
      <c r="QP604" s="93"/>
      <c r="QQ604" s="93"/>
      <c r="QR604" s="93"/>
      <c r="QS604" s="93"/>
      <c r="QT604" s="93"/>
      <c r="QU604" s="93"/>
      <c r="QV604" s="93"/>
      <c r="QW604" s="93"/>
      <c r="QX604" s="93"/>
      <c r="QY604" s="93"/>
      <c r="QZ604" s="93"/>
      <c r="RA604" s="93"/>
      <c r="RB604" s="93"/>
      <c r="RC604" s="93"/>
      <c r="RD604" s="93"/>
      <c r="RE604" s="93"/>
      <c r="RF604" s="93"/>
      <c r="RG604" s="93"/>
      <c r="RH604" s="93"/>
      <c r="RI604" s="93"/>
      <c r="RJ604" s="93"/>
      <c r="RK604" s="93"/>
      <c r="RL604" s="93"/>
      <c r="RM604" s="20"/>
      <c r="RN604" s="29"/>
      <c r="RO604" s="19"/>
      <c r="RP604" s="20"/>
      <c r="RQ604" s="29"/>
      <c r="RR604" s="20"/>
      <c r="RS604" s="29"/>
      <c r="RT604" s="1504">
        <v>52841</v>
      </c>
      <c r="RU604" s="19"/>
      <c r="RV604" s="20"/>
      <c r="RW604" s="29"/>
      <c r="RX604" s="1504">
        <v>52841</v>
      </c>
      <c r="RY604" s="29"/>
      <c r="RZ604" s="20"/>
      <c r="SA604" s="29"/>
      <c r="SB604" s="29"/>
    </row>
    <row r="605" spans="1:496">
      <c r="A605" s="41">
        <f t="shared" si="362"/>
        <v>2044</v>
      </c>
      <c r="B605" s="1504">
        <v>52871</v>
      </c>
      <c r="C605" s="1813"/>
      <c r="D605" s="1814"/>
      <c r="E605" s="1814"/>
      <c r="F605" s="1815"/>
      <c r="G605" s="1814"/>
      <c r="H605" s="1814"/>
      <c r="I605" s="1814"/>
      <c r="J605" s="1816"/>
      <c r="K605" s="1807"/>
      <c r="L605" s="25"/>
      <c r="M605" s="97"/>
      <c r="N605" s="1504">
        <v>52871</v>
      </c>
      <c r="O605" s="19"/>
      <c r="P605" s="93"/>
      <c r="Q605" s="93"/>
      <c r="R605" s="93"/>
      <c r="S605" s="93"/>
      <c r="T605" s="93"/>
      <c r="U605" s="93"/>
      <c r="V605" s="93"/>
      <c r="W605" s="93"/>
      <c r="X605" s="93"/>
      <c r="Y605" s="93"/>
      <c r="Z605" s="93"/>
      <c r="AA605" s="93"/>
      <c r="AB605" s="20"/>
      <c r="AC605" s="25"/>
      <c r="AD605" s="97"/>
      <c r="AE605" s="1504">
        <v>52871</v>
      </c>
      <c r="AF605" s="19"/>
      <c r="AG605" s="93"/>
      <c r="AH605" s="93"/>
      <c r="AI605" s="93"/>
      <c r="AJ605" s="93"/>
      <c r="AK605" s="93"/>
      <c r="AL605" s="93"/>
      <c r="AM605" s="93"/>
      <c r="AN605" s="93"/>
      <c r="AO605" s="93"/>
      <c r="AP605" s="93"/>
      <c r="AQ605" s="93"/>
      <c r="AR605" s="93"/>
      <c r="AS605" s="20"/>
      <c r="AT605" s="25"/>
      <c r="AU605" s="97"/>
      <c r="AV605" s="1504">
        <v>52871</v>
      </c>
      <c r="AW605" s="19"/>
      <c r="AX605" s="93"/>
      <c r="AY605" s="93"/>
      <c r="AZ605" s="93"/>
      <c r="BA605" s="93"/>
      <c r="BB605" s="93"/>
      <c r="BC605" s="93"/>
      <c r="BD605" s="93"/>
      <c r="BE605" s="93"/>
      <c r="BF605" s="93"/>
      <c r="BG605" s="93"/>
      <c r="BH605" s="93"/>
      <c r="BI605" s="93"/>
      <c r="BJ605" s="20"/>
      <c r="BK605" s="25"/>
      <c r="BL605" s="97"/>
      <c r="BM605" s="1504">
        <v>52871</v>
      </c>
      <c r="BN605" s="19"/>
      <c r="BO605" s="93"/>
      <c r="BP605" s="93"/>
      <c r="BQ605" s="93"/>
      <c r="BR605" s="93"/>
      <c r="BS605" s="93"/>
      <c r="BT605" s="93"/>
      <c r="BU605" s="20"/>
      <c r="BV605" s="25"/>
      <c r="BW605" s="97"/>
      <c r="BX605" s="1504">
        <v>52871</v>
      </c>
      <c r="BY605" s="19"/>
      <c r="BZ605" s="93"/>
      <c r="CA605" s="93"/>
      <c r="CB605" s="93"/>
      <c r="CC605" s="93"/>
      <c r="CD605" s="25"/>
      <c r="CE605" s="97"/>
      <c r="CF605" s="1504">
        <v>52871</v>
      </c>
      <c r="CG605" s="19"/>
      <c r="CH605" s="93"/>
      <c r="CI605" s="219"/>
      <c r="CJ605" s="20"/>
      <c r="CK605" s="19"/>
      <c r="CL605" s="93"/>
      <c r="CM605" s="93"/>
      <c r="CN605" s="93"/>
      <c r="CO605" s="93"/>
      <c r="CP605" s="20"/>
      <c r="CQ605" s="219"/>
      <c r="CR605" s="93"/>
      <c r="CS605" s="93"/>
      <c r="CT605" s="93"/>
      <c r="CU605" s="93"/>
      <c r="CV605" s="214"/>
      <c r="CW605" s="29"/>
      <c r="CX605" s="41">
        <f t="shared" si="363"/>
        <v>2044</v>
      </c>
      <c r="CY605" s="1504">
        <v>52871</v>
      </c>
      <c r="CZ605" s="19"/>
      <c r="DA605" s="93"/>
      <c r="DB605" s="93"/>
      <c r="DC605" s="93"/>
      <c r="DD605" s="93"/>
      <c r="DE605" s="20"/>
      <c r="DF605" s="29"/>
      <c r="DG605" s="1504">
        <v>52871</v>
      </c>
      <c r="DH605" s="19"/>
      <c r="DI605" s="93"/>
      <c r="DJ605" s="93"/>
      <c r="DK605" s="93"/>
      <c r="DL605" s="93"/>
      <c r="DM605" s="93"/>
      <c r="DN605" s="20"/>
      <c r="DO605" s="295"/>
      <c r="DP605" s="29"/>
      <c r="DQ605" s="1504">
        <v>52871</v>
      </c>
      <c r="DR605" s="19"/>
      <c r="DS605" s="93"/>
      <c r="DT605" s="93"/>
      <c r="DU605" s="93"/>
      <c r="DV605" s="93"/>
      <c r="DW605" s="93"/>
      <c r="DX605" s="20"/>
      <c r="DY605" s="29"/>
      <c r="DZ605" s="1504">
        <v>52871</v>
      </c>
      <c r="EA605" s="19"/>
      <c r="EB605" s="93"/>
      <c r="EC605" s="20"/>
      <c r="ED605" s="29"/>
      <c r="EE605" s="1504">
        <v>52871</v>
      </c>
      <c r="EF605" s="19"/>
      <c r="EG605" s="93"/>
      <c r="EH605" s="93"/>
      <c r="EI605" s="214"/>
      <c r="EJ605" s="93"/>
      <c r="EK605" s="93"/>
      <c r="EL605" s="93"/>
      <c r="EM605" s="93"/>
      <c r="EN605" s="20"/>
      <c r="EO605" s="29"/>
      <c r="EP605" s="1504">
        <v>52871</v>
      </c>
      <c r="EQ605" s="19"/>
      <c r="ER605" s="93"/>
      <c r="ES605" s="93"/>
      <c r="ET605" s="214"/>
      <c r="EU605" s="93"/>
      <c r="EV605" s="93"/>
      <c r="EW605" s="93"/>
      <c r="EX605" s="93"/>
      <c r="EY605" s="20"/>
      <c r="EZ605" s="29"/>
      <c r="FA605" s="1504">
        <v>52871</v>
      </c>
      <c r="FB605" s="29"/>
      <c r="FC605" s="29"/>
      <c r="FD605" s="29"/>
      <c r="FE605" s="29"/>
      <c r="FF605" s="29"/>
      <c r="FG605" s="29"/>
      <c r="FH605" s="29"/>
      <c r="FI605" s="29"/>
      <c r="FJ605" s="29"/>
      <c r="FK605" s="29"/>
      <c r="FL605" s="1504">
        <v>52871</v>
      </c>
      <c r="FM605" s="19"/>
      <c r="FN605" s="93"/>
      <c r="FO605" s="93"/>
      <c r="FP605" s="93"/>
      <c r="FQ605" s="93"/>
      <c r="FR605" s="93"/>
      <c r="FS605" s="93"/>
      <c r="FT605" s="93"/>
      <c r="FU605" s="93"/>
      <c r="FV605" s="93"/>
      <c r="FW605" s="93"/>
      <c r="FX605" s="93"/>
      <c r="FY605" s="93"/>
      <c r="FZ605" s="29"/>
      <c r="GA605" s="1504">
        <v>52871</v>
      </c>
      <c r="GB605" s="19"/>
      <c r="GC605" s="93"/>
      <c r="GD605" s="93"/>
      <c r="GE605" s="93"/>
      <c r="GF605" s="93"/>
      <c r="GG605" s="93"/>
      <c r="GH605" s="93"/>
      <c r="GI605" s="93"/>
      <c r="GJ605" s="93"/>
      <c r="GK605" s="93"/>
      <c r="GL605" s="93"/>
      <c r="GM605" s="93"/>
      <c r="GN605" s="20"/>
      <c r="GO605" s="29"/>
      <c r="GP605" s="1504">
        <v>52871</v>
      </c>
      <c r="GQ605" s="19"/>
      <c r="GR605" s="93"/>
      <c r="GS605" s="93"/>
      <c r="GT605" s="93"/>
      <c r="GU605" s="93"/>
      <c r="GV605" s="20"/>
      <c r="GW605" s="19"/>
      <c r="GX605" s="93"/>
      <c r="GY605" s="93"/>
      <c r="GZ605" s="93"/>
      <c r="HA605" s="93"/>
      <c r="HB605" s="20"/>
      <c r="HC605" s="19"/>
      <c r="HD605" s="93"/>
      <c r="HE605" s="93"/>
      <c r="HF605" s="93"/>
      <c r="HG605" s="93"/>
      <c r="HH605" s="20"/>
      <c r="HI605" s="19"/>
      <c r="HJ605" s="93"/>
      <c r="HK605" s="93"/>
      <c r="HL605" s="93"/>
      <c r="HM605" s="93"/>
      <c r="HN605" s="20"/>
      <c r="HO605" s="219"/>
      <c r="HP605" s="20"/>
      <c r="HQ605" s="25"/>
      <c r="HR605" s="29"/>
      <c r="HS605" s="1504">
        <v>52871</v>
      </c>
      <c r="HT605" s="19"/>
      <c r="HU605" s="93"/>
      <c r="HV605" s="93"/>
      <c r="HW605" s="93"/>
      <c r="HX605" s="93"/>
      <c r="HY605" s="93"/>
      <c r="HZ605" s="93"/>
      <c r="IA605" s="20"/>
      <c r="IB605" s="19"/>
      <c r="IC605" s="93"/>
      <c r="ID605" s="93"/>
      <c r="IE605" s="93"/>
      <c r="IF605" s="93"/>
      <c r="IG605" s="20"/>
      <c r="IH605" s="19"/>
      <c r="II605" s="93"/>
      <c r="IJ605" s="93"/>
      <c r="IK605" s="93"/>
      <c r="IL605" s="93"/>
      <c r="IM605" s="93"/>
      <c r="IN605" s="93"/>
      <c r="IO605" s="20"/>
      <c r="IP605" s="29"/>
      <c r="IQ605" s="19"/>
      <c r="IR605" s="93"/>
      <c r="IS605" s="93"/>
      <c r="IT605" s="93"/>
      <c r="IU605" s="93"/>
      <c r="IV605" s="20"/>
      <c r="IW605" s="29"/>
      <c r="IX605" s="19"/>
      <c r="IY605" s="93"/>
      <c r="IZ605" s="93"/>
      <c r="JA605" s="93"/>
      <c r="JB605" s="93"/>
      <c r="JC605" s="93"/>
      <c r="JD605" s="93"/>
      <c r="JE605" s="20"/>
      <c r="JF605" s="29"/>
      <c r="JG605" s="19"/>
      <c r="JH605" s="93"/>
      <c r="JI605" s="93"/>
      <c r="JJ605" s="93"/>
      <c r="JK605" s="93"/>
      <c r="JL605" s="93"/>
      <c r="JM605" s="93"/>
      <c r="JN605" s="20"/>
      <c r="JO605" s="29"/>
      <c r="JP605" s="19"/>
      <c r="JQ605" s="93"/>
      <c r="JR605" s="93"/>
      <c r="JS605" s="93"/>
      <c r="JT605" s="93"/>
      <c r="JU605" s="20"/>
      <c r="JV605" s="29"/>
      <c r="JW605" s="1504">
        <v>52871</v>
      </c>
      <c r="JX605" s="19"/>
      <c r="JY605" s="93"/>
      <c r="JZ605" s="93"/>
      <c r="KA605" s="93"/>
      <c r="KB605" s="93"/>
      <c r="KC605" s="93"/>
      <c r="KD605" s="20"/>
      <c r="KE605" s="29"/>
      <c r="KF605" s="19"/>
      <c r="KG605" s="93"/>
      <c r="KH605" s="93"/>
      <c r="KI605" s="93"/>
      <c r="KJ605" s="93"/>
      <c r="KK605" s="20"/>
      <c r="KL605" s="29"/>
      <c r="KM605" s="19"/>
      <c r="KN605" s="93"/>
      <c r="KO605" s="93"/>
      <c r="KP605" s="93"/>
      <c r="KQ605" s="93"/>
      <c r="KR605" s="20"/>
      <c r="KS605" s="29"/>
      <c r="KT605" s="19"/>
      <c r="KU605" s="93"/>
      <c r="KV605" s="93"/>
      <c r="KW605" s="93"/>
      <c r="KX605" s="93"/>
      <c r="KY605" s="20"/>
      <c r="KZ605" s="29"/>
      <c r="LA605" s="1504">
        <v>52871</v>
      </c>
      <c r="LB605" s="19"/>
      <c r="LC605" s="93"/>
      <c r="LD605" s="93"/>
      <c r="LE605" s="93"/>
      <c r="LF605" s="93"/>
      <c r="LG605" s="93"/>
      <c r="LH605" s="20"/>
      <c r="LI605" s="29"/>
      <c r="LJ605" s="19"/>
      <c r="LK605" s="93"/>
      <c r="LL605" s="93"/>
      <c r="LM605" s="93"/>
      <c r="LN605" s="93"/>
      <c r="LO605" s="20"/>
      <c r="LP605" s="29"/>
      <c r="LQ605" s="19"/>
      <c r="LR605" s="93"/>
      <c r="LS605" s="93"/>
      <c r="LT605" s="93"/>
      <c r="LU605" s="93"/>
      <c r="LV605" s="93"/>
      <c r="LW605" s="93"/>
      <c r="LX605" s="93"/>
      <c r="LY605" s="93"/>
      <c r="LZ605" s="93"/>
      <c r="MA605" s="20"/>
      <c r="MB605" s="29"/>
      <c r="MC605" s="1504">
        <v>52871</v>
      </c>
      <c r="MD605" s="19"/>
      <c r="ME605" s="93"/>
      <c r="MF605" s="93"/>
      <c r="MG605" s="93"/>
      <c r="MH605" s="93"/>
      <c r="MI605" s="93"/>
      <c r="MJ605" s="93"/>
      <c r="MK605" s="93"/>
      <c r="ML605" s="93"/>
      <c r="MM605" s="93"/>
      <c r="MN605" s="93"/>
      <c r="MO605" s="93"/>
      <c r="MP605" s="93"/>
      <c r="MQ605" s="93"/>
      <c r="MR605" s="93"/>
      <c r="MS605" s="93"/>
      <c r="MT605" s="93"/>
      <c r="MU605" s="93"/>
      <c r="MV605" s="93"/>
      <c r="MW605" s="93"/>
      <c r="MX605" s="93"/>
      <c r="MY605" s="93"/>
      <c r="MZ605" s="93"/>
      <c r="NA605" s="93"/>
      <c r="NB605" s="93"/>
      <c r="NC605" s="93"/>
      <c r="ND605" s="93"/>
      <c r="NE605" s="93"/>
      <c r="NF605" s="93"/>
      <c r="NG605" s="93"/>
      <c r="NH605" s="93"/>
      <c r="NI605" s="93"/>
      <c r="NJ605" s="93"/>
      <c r="NK605" s="93"/>
      <c r="NL605" s="93"/>
      <c r="NM605" s="93"/>
      <c r="NN605" s="93"/>
      <c r="NO605" s="93"/>
      <c r="NP605" s="93"/>
      <c r="NQ605" s="93"/>
      <c r="NR605" s="93"/>
      <c r="NS605" s="93"/>
      <c r="NT605" s="93"/>
      <c r="NU605" s="93"/>
      <c r="NV605" s="93"/>
      <c r="NW605" s="93"/>
      <c r="NX605" s="93"/>
      <c r="NY605" s="93"/>
      <c r="NZ605" s="93"/>
      <c r="OA605" s="93"/>
      <c r="OB605" s="93"/>
      <c r="OC605" s="93"/>
      <c r="OD605" s="20"/>
      <c r="OE605" s="29"/>
      <c r="OF605" s="1504">
        <v>52871</v>
      </c>
      <c r="OG605" s="19"/>
      <c r="OH605" s="93"/>
      <c r="OI605" s="93"/>
      <c r="OJ605" s="93"/>
      <c r="OK605" s="93"/>
      <c r="OL605" s="93"/>
      <c r="OM605" s="93"/>
      <c r="ON605" s="93"/>
      <c r="OO605" s="93"/>
      <c r="OP605" s="93"/>
      <c r="OQ605" s="93"/>
      <c r="OR605" s="93"/>
      <c r="OS605" s="93"/>
      <c r="OT605" s="93"/>
      <c r="OU605" s="93"/>
      <c r="OV605" s="93"/>
      <c r="OW605" s="93"/>
      <c r="OX605" s="93"/>
      <c r="OY605" s="93"/>
      <c r="OZ605" s="93"/>
      <c r="PA605" s="93"/>
      <c r="PB605" s="93"/>
      <c r="PC605" s="20"/>
      <c r="PD605" s="29"/>
      <c r="PE605" s="19"/>
      <c r="PF605" s="93"/>
      <c r="PG605" s="93"/>
      <c r="PH605" s="93"/>
      <c r="PI605" s="93"/>
      <c r="PJ605" s="93"/>
      <c r="PK605" s="93"/>
      <c r="PL605" s="93"/>
      <c r="PM605" s="93"/>
      <c r="PN605" s="93"/>
      <c r="PO605" s="93"/>
      <c r="PP605" s="93"/>
      <c r="PQ605" s="93"/>
      <c r="PR605" s="93"/>
      <c r="PS605" s="93"/>
      <c r="PT605" s="93"/>
      <c r="PU605" s="93"/>
      <c r="PV605" s="93"/>
      <c r="PW605" s="93"/>
      <c r="PX605" s="93"/>
      <c r="PY605" s="93"/>
      <c r="PZ605" s="93"/>
      <c r="QA605" s="93"/>
      <c r="QB605" s="93"/>
      <c r="QC605" s="93"/>
      <c r="QD605" s="93"/>
      <c r="QE605" s="20"/>
      <c r="QF605" s="1739"/>
      <c r="QG605" s="19"/>
      <c r="QH605" s="93"/>
      <c r="QI605" s="93"/>
      <c r="QJ605" s="93"/>
      <c r="QK605" s="93"/>
      <c r="QL605" s="93"/>
      <c r="QM605" s="93"/>
      <c r="QN605" s="93"/>
      <c r="QO605" s="93"/>
      <c r="QP605" s="93"/>
      <c r="QQ605" s="93"/>
      <c r="QR605" s="93"/>
      <c r="QS605" s="93"/>
      <c r="QT605" s="93"/>
      <c r="QU605" s="93"/>
      <c r="QV605" s="93"/>
      <c r="QW605" s="93"/>
      <c r="QX605" s="93"/>
      <c r="QY605" s="93"/>
      <c r="QZ605" s="93"/>
      <c r="RA605" s="93"/>
      <c r="RB605" s="93"/>
      <c r="RC605" s="93"/>
      <c r="RD605" s="93"/>
      <c r="RE605" s="93"/>
      <c r="RF605" s="93"/>
      <c r="RG605" s="93"/>
      <c r="RH605" s="93"/>
      <c r="RI605" s="93"/>
      <c r="RJ605" s="93"/>
      <c r="RK605" s="93"/>
      <c r="RL605" s="93"/>
      <c r="RM605" s="20"/>
      <c r="RN605" s="29"/>
      <c r="RO605" s="19"/>
      <c r="RP605" s="20"/>
      <c r="RQ605" s="29"/>
      <c r="RR605" s="20"/>
      <c r="RS605" s="29"/>
      <c r="RT605" s="1504">
        <v>52871</v>
      </c>
      <c r="RU605" s="19"/>
      <c r="RV605" s="20"/>
      <c r="RW605" s="29"/>
      <c r="RX605" s="1504">
        <v>52871</v>
      </c>
      <c r="RY605" s="29"/>
      <c r="RZ605" s="20"/>
      <c r="SA605" s="29"/>
      <c r="SB605" s="29"/>
    </row>
    <row r="606" spans="1:496">
      <c r="A606" s="41">
        <f t="shared" si="362"/>
        <v>2044</v>
      </c>
      <c r="B606" s="1504">
        <v>52902</v>
      </c>
      <c r="C606" s="1813"/>
      <c r="D606" s="1814"/>
      <c r="E606" s="1814"/>
      <c r="F606" s="1815"/>
      <c r="G606" s="1814"/>
      <c r="H606" s="1814"/>
      <c r="I606" s="1814"/>
      <c r="J606" s="1816"/>
      <c r="K606" s="1807"/>
      <c r="L606" s="25"/>
      <c r="M606" s="97"/>
      <c r="N606" s="1504">
        <v>52902</v>
      </c>
      <c r="O606" s="19"/>
      <c r="P606" s="93"/>
      <c r="Q606" s="93"/>
      <c r="R606" s="93"/>
      <c r="S606" s="93"/>
      <c r="T606" s="93"/>
      <c r="U606" s="93"/>
      <c r="V606" s="93"/>
      <c r="W606" s="93"/>
      <c r="X606" s="93"/>
      <c r="Y606" s="93"/>
      <c r="Z606" s="93"/>
      <c r="AA606" s="93"/>
      <c r="AB606" s="20"/>
      <c r="AC606" s="25"/>
      <c r="AD606" s="97"/>
      <c r="AE606" s="1504">
        <v>52902</v>
      </c>
      <c r="AF606" s="19"/>
      <c r="AG606" s="93"/>
      <c r="AH606" s="93"/>
      <c r="AI606" s="93"/>
      <c r="AJ606" s="93"/>
      <c r="AK606" s="93"/>
      <c r="AL606" s="93"/>
      <c r="AM606" s="93"/>
      <c r="AN606" s="93"/>
      <c r="AO606" s="93"/>
      <c r="AP606" s="93"/>
      <c r="AQ606" s="93"/>
      <c r="AR606" s="93"/>
      <c r="AS606" s="20"/>
      <c r="AT606" s="25"/>
      <c r="AU606" s="97"/>
      <c r="AV606" s="1504">
        <v>52902</v>
      </c>
      <c r="AW606" s="19"/>
      <c r="AX606" s="93"/>
      <c r="AY606" s="93"/>
      <c r="AZ606" s="93"/>
      <c r="BA606" s="93"/>
      <c r="BB606" s="93"/>
      <c r="BC606" s="93"/>
      <c r="BD606" s="93"/>
      <c r="BE606" s="93"/>
      <c r="BF606" s="93"/>
      <c r="BG606" s="93"/>
      <c r="BH606" s="93"/>
      <c r="BI606" s="93"/>
      <c r="BJ606" s="20"/>
      <c r="BK606" s="25"/>
      <c r="BL606" s="97"/>
      <c r="BM606" s="1504">
        <v>52902</v>
      </c>
      <c r="BN606" s="19"/>
      <c r="BO606" s="93"/>
      <c r="BP606" s="93"/>
      <c r="BQ606" s="93"/>
      <c r="BR606" s="93"/>
      <c r="BS606" s="93"/>
      <c r="BT606" s="93"/>
      <c r="BU606" s="20"/>
      <c r="BV606" s="25"/>
      <c r="BW606" s="97"/>
      <c r="BX606" s="1504">
        <v>52902</v>
      </c>
      <c r="BY606" s="19"/>
      <c r="BZ606" s="93"/>
      <c r="CA606" s="93"/>
      <c r="CB606" s="93"/>
      <c r="CC606" s="93"/>
      <c r="CD606" s="25"/>
      <c r="CE606" s="97"/>
      <c r="CF606" s="1504">
        <v>52902</v>
      </c>
      <c r="CG606" s="19"/>
      <c r="CH606" s="93"/>
      <c r="CI606" s="219"/>
      <c r="CJ606" s="20"/>
      <c r="CK606" s="19"/>
      <c r="CL606" s="93"/>
      <c r="CM606" s="93"/>
      <c r="CN606" s="93"/>
      <c r="CO606" s="93"/>
      <c r="CP606" s="20"/>
      <c r="CQ606" s="219"/>
      <c r="CR606" s="93"/>
      <c r="CS606" s="93"/>
      <c r="CT606" s="93"/>
      <c r="CU606" s="93"/>
      <c r="CV606" s="214"/>
      <c r="CW606" s="29"/>
      <c r="CX606" s="41">
        <f t="shared" si="363"/>
        <v>2044</v>
      </c>
      <c r="CY606" s="1504">
        <v>52902</v>
      </c>
      <c r="CZ606" s="19"/>
      <c r="DA606" s="93"/>
      <c r="DB606" s="93"/>
      <c r="DC606" s="93"/>
      <c r="DD606" s="93"/>
      <c r="DE606" s="20"/>
      <c r="DF606" s="29"/>
      <c r="DG606" s="1504">
        <v>52902</v>
      </c>
      <c r="DH606" s="19"/>
      <c r="DI606" s="93"/>
      <c r="DJ606" s="93"/>
      <c r="DK606" s="93"/>
      <c r="DL606" s="93"/>
      <c r="DM606" s="93"/>
      <c r="DN606" s="20"/>
      <c r="DO606" s="295"/>
      <c r="DP606" s="29"/>
      <c r="DQ606" s="1504">
        <v>52902</v>
      </c>
      <c r="DR606" s="19"/>
      <c r="DS606" s="93"/>
      <c r="DT606" s="93"/>
      <c r="DU606" s="93"/>
      <c r="DV606" s="93"/>
      <c r="DW606" s="93"/>
      <c r="DX606" s="20"/>
      <c r="DY606" s="29"/>
      <c r="DZ606" s="1504">
        <v>52902</v>
      </c>
      <c r="EA606" s="19"/>
      <c r="EB606" s="93"/>
      <c r="EC606" s="20"/>
      <c r="ED606" s="29"/>
      <c r="EE606" s="1504">
        <v>52902</v>
      </c>
      <c r="EF606" s="19"/>
      <c r="EG606" s="93"/>
      <c r="EH606" s="93"/>
      <c r="EI606" s="214"/>
      <c r="EJ606" s="93"/>
      <c r="EK606" s="93"/>
      <c r="EL606" s="93"/>
      <c r="EM606" s="93"/>
      <c r="EN606" s="20"/>
      <c r="EO606" s="29"/>
      <c r="EP606" s="1504">
        <v>52902</v>
      </c>
      <c r="EQ606" s="19"/>
      <c r="ER606" s="93"/>
      <c r="ES606" s="93"/>
      <c r="ET606" s="214"/>
      <c r="EU606" s="93"/>
      <c r="EV606" s="93"/>
      <c r="EW606" s="93"/>
      <c r="EX606" s="93"/>
      <c r="EY606" s="20"/>
      <c r="EZ606" s="29"/>
      <c r="FA606" s="1504">
        <v>52902</v>
      </c>
      <c r="FB606" s="29"/>
      <c r="FC606" s="29"/>
      <c r="FD606" s="29"/>
      <c r="FE606" s="29"/>
      <c r="FF606" s="29"/>
      <c r="FG606" s="29"/>
      <c r="FH606" s="29"/>
      <c r="FI606" s="29"/>
      <c r="FJ606" s="29"/>
      <c r="FK606" s="29"/>
      <c r="FL606" s="1504">
        <v>52902</v>
      </c>
      <c r="FM606" s="19"/>
      <c r="FN606" s="93"/>
      <c r="FO606" s="93"/>
      <c r="FP606" s="93"/>
      <c r="FQ606" s="93"/>
      <c r="FR606" s="93"/>
      <c r="FS606" s="93"/>
      <c r="FT606" s="93"/>
      <c r="FU606" s="93"/>
      <c r="FV606" s="93"/>
      <c r="FW606" s="93"/>
      <c r="FX606" s="93"/>
      <c r="FY606" s="93"/>
      <c r="FZ606" s="29"/>
      <c r="GA606" s="1504">
        <v>52902</v>
      </c>
      <c r="GB606" s="19"/>
      <c r="GC606" s="93"/>
      <c r="GD606" s="93"/>
      <c r="GE606" s="93"/>
      <c r="GF606" s="93"/>
      <c r="GG606" s="93"/>
      <c r="GH606" s="93"/>
      <c r="GI606" s="93"/>
      <c r="GJ606" s="93"/>
      <c r="GK606" s="93"/>
      <c r="GL606" s="93"/>
      <c r="GM606" s="93"/>
      <c r="GN606" s="20"/>
      <c r="GO606" s="29"/>
      <c r="GP606" s="1504">
        <v>52902</v>
      </c>
      <c r="GQ606" s="19"/>
      <c r="GR606" s="93"/>
      <c r="GS606" s="93"/>
      <c r="GT606" s="93"/>
      <c r="GU606" s="93"/>
      <c r="GV606" s="20"/>
      <c r="GW606" s="19"/>
      <c r="GX606" s="93"/>
      <c r="GY606" s="93"/>
      <c r="GZ606" s="93"/>
      <c r="HA606" s="93"/>
      <c r="HB606" s="20"/>
      <c r="HC606" s="19"/>
      <c r="HD606" s="93"/>
      <c r="HE606" s="93"/>
      <c r="HF606" s="93"/>
      <c r="HG606" s="93"/>
      <c r="HH606" s="20"/>
      <c r="HI606" s="19"/>
      <c r="HJ606" s="93"/>
      <c r="HK606" s="93"/>
      <c r="HL606" s="93"/>
      <c r="HM606" s="93"/>
      <c r="HN606" s="20"/>
      <c r="HO606" s="219"/>
      <c r="HP606" s="20"/>
      <c r="HQ606" s="25"/>
      <c r="HR606" s="29"/>
      <c r="HS606" s="1504">
        <v>52902</v>
      </c>
      <c r="HT606" s="19"/>
      <c r="HU606" s="93"/>
      <c r="HV606" s="93"/>
      <c r="HW606" s="93"/>
      <c r="HX606" s="93"/>
      <c r="HY606" s="93"/>
      <c r="HZ606" s="93"/>
      <c r="IA606" s="20"/>
      <c r="IB606" s="19"/>
      <c r="IC606" s="93"/>
      <c r="ID606" s="93"/>
      <c r="IE606" s="93"/>
      <c r="IF606" s="93"/>
      <c r="IG606" s="20"/>
      <c r="IH606" s="19"/>
      <c r="II606" s="93"/>
      <c r="IJ606" s="93"/>
      <c r="IK606" s="93"/>
      <c r="IL606" s="93"/>
      <c r="IM606" s="93"/>
      <c r="IN606" s="93"/>
      <c r="IO606" s="20"/>
      <c r="IP606" s="29"/>
      <c r="IQ606" s="19"/>
      <c r="IR606" s="93"/>
      <c r="IS606" s="93"/>
      <c r="IT606" s="93"/>
      <c r="IU606" s="93"/>
      <c r="IV606" s="20"/>
      <c r="IW606" s="29"/>
      <c r="IX606" s="19"/>
      <c r="IY606" s="93"/>
      <c r="IZ606" s="93"/>
      <c r="JA606" s="93"/>
      <c r="JB606" s="93"/>
      <c r="JC606" s="93"/>
      <c r="JD606" s="93"/>
      <c r="JE606" s="20"/>
      <c r="JF606" s="29"/>
      <c r="JG606" s="19"/>
      <c r="JH606" s="93"/>
      <c r="JI606" s="93"/>
      <c r="JJ606" s="93"/>
      <c r="JK606" s="93"/>
      <c r="JL606" s="93"/>
      <c r="JM606" s="93"/>
      <c r="JN606" s="20"/>
      <c r="JO606" s="29"/>
      <c r="JP606" s="19"/>
      <c r="JQ606" s="93"/>
      <c r="JR606" s="93"/>
      <c r="JS606" s="93"/>
      <c r="JT606" s="93"/>
      <c r="JU606" s="20"/>
      <c r="JV606" s="29"/>
      <c r="JW606" s="1504">
        <v>52902</v>
      </c>
      <c r="JX606" s="19"/>
      <c r="JY606" s="93"/>
      <c r="JZ606" s="93"/>
      <c r="KA606" s="93"/>
      <c r="KB606" s="93"/>
      <c r="KC606" s="93"/>
      <c r="KD606" s="20"/>
      <c r="KE606" s="29"/>
      <c r="KF606" s="19"/>
      <c r="KG606" s="93"/>
      <c r="KH606" s="93"/>
      <c r="KI606" s="93"/>
      <c r="KJ606" s="93"/>
      <c r="KK606" s="20"/>
      <c r="KL606" s="29"/>
      <c r="KM606" s="19"/>
      <c r="KN606" s="93"/>
      <c r="KO606" s="93"/>
      <c r="KP606" s="93"/>
      <c r="KQ606" s="93"/>
      <c r="KR606" s="20"/>
      <c r="KS606" s="29"/>
      <c r="KT606" s="19"/>
      <c r="KU606" s="93"/>
      <c r="KV606" s="93"/>
      <c r="KW606" s="93"/>
      <c r="KX606" s="93"/>
      <c r="KY606" s="20"/>
      <c r="KZ606" s="29"/>
      <c r="LA606" s="1504">
        <v>52902</v>
      </c>
      <c r="LB606" s="19"/>
      <c r="LC606" s="93"/>
      <c r="LD606" s="93"/>
      <c r="LE606" s="93"/>
      <c r="LF606" s="93"/>
      <c r="LG606" s="93"/>
      <c r="LH606" s="20"/>
      <c r="LI606" s="29"/>
      <c r="LJ606" s="19"/>
      <c r="LK606" s="93"/>
      <c r="LL606" s="93"/>
      <c r="LM606" s="93"/>
      <c r="LN606" s="93"/>
      <c r="LO606" s="20"/>
      <c r="LP606" s="29"/>
      <c r="LQ606" s="19"/>
      <c r="LR606" s="93"/>
      <c r="LS606" s="93"/>
      <c r="LT606" s="93"/>
      <c r="LU606" s="93"/>
      <c r="LV606" s="93"/>
      <c r="LW606" s="93"/>
      <c r="LX606" s="93"/>
      <c r="LY606" s="93"/>
      <c r="LZ606" s="93"/>
      <c r="MA606" s="20"/>
      <c r="MB606" s="29"/>
      <c r="MC606" s="1504">
        <v>52902</v>
      </c>
      <c r="MD606" s="19"/>
      <c r="ME606" s="93"/>
      <c r="MF606" s="93"/>
      <c r="MG606" s="93"/>
      <c r="MH606" s="93"/>
      <c r="MI606" s="93"/>
      <c r="MJ606" s="93"/>
      <c r="MK606" s="93"/>
      <c r="ML606" s="93"/>
      <c r="MM606" s="93"/>
      <c r="MN606" s="93"/>
      <c r="MO606" s="93"/>
      <c r="MP606" s="93"/>
      <c r="MQ606" s="93"/>
      <c r="MR606" s="93"/>
      <c r="MS606" s="93"/>
      <c r="MT606" s="93"/>
      <c r="MU606" s="93"/>
      <c r="MV606" s="93"/>
      <c r="MW606" s="93"/>
      <c r="MX606" s="93"/>
      <c r="MY606" s="93"/>
      <c r="MZ606" s="93"/>
      <c r="NA606" s="93"/>
      <c r="NB606" s="93"/>
      <c r="NC606" s="93"/>
      <c r="ND606" s="93"/>
      <c r="NE606" s="93"/>
      <c r="NF606" s="93"/>
      <c r="NG606" s="93"/>
      <c r="NH606" s="93"/>
      <c r="NI606" s="93"/>
      <c r="NJ606" s="93"/>
      <c r="NK606" s="93"/>
      <c r="NL606" s="93"/>
      <c r="NM606" s="93"/>
      <c r="NN606" s="93"/>
      <c r="NO606" s="93"/>
      <c r="NP606" s="93"/>
      <c r="NQ606" s="93"/>
      <c r="NR606" s="93"/>
      <c r="NS606" s="93"/>
      <c r="NT606" s="93"/>
      <c r="NU606" s="93"/>
      <c r="NV606" s="93"/>
      <c r="NW606" s="93"/>
      <c r="NX606" s="93"/>
      <c r="NY606" s="93"/>
      <c r="NZ606" s="93"/>
      <c r="OA606" s="93"/>
      <c r="OB606" s="93"/>
      <c r="OC606" s="93"/>
      <c r="OD606" s="20"/>
      <c r="OE606" s="29"/>
      <c r="OF606" s="1504">
        <v>52902</v>
      </c>
      <c r="OG606" s="19"/>
      <c r="OH606" s="93"/>
      <c r="OI606" s="93"/>
      <c r="OJ606" s="93"/>
      <c r="OK606" s="93"/>
      <c r="OL606" s="93"/>
      <c r="OM606" s="93"/>
      <c r="ON606" s="93"/>
      <c r="OO606" s="93"/>
      <c r="OP606" s="93"/>
      <c r="OQ606" s="93"/>
      <c r="OR606" s="93"/>
      <c r="OS606" s="93"/>
      <c r="OT606" s="93"/>
      <c r="OU606" s="93"/>
      <c r="OV606" s="93"/>
      <c r="OW606" s="93"/>
      <c r="OX606" s="93"/>
      <c r="OY606" s="93"/>
      <c r="OZ606" s="93"/>
      <c r="PA606" s="93"/>
      <c r="PB606" s="93"/>
      <c r="PC606" s="20"/>
      <c r="PD606" s="29"/>
      <c r="PE606" s="19"/>
      <c r="PF606" s="93"/>
      <c r="PG606" s="93"/>
      <c r="PH606" s="93"/>
      <c r="PI606" s="93"/>
      <c r="PJ606" s="93"/>
      <c r="PK606" s="93"/>
      <c r="PL606" s="93"/>
      <c r="PM606" s="93"/>
      <c r="PN606" s="93"/>
      <c r="PO606" s="93"/>
      <c r="PP606" s="93"/>
      <c r="PQ606" s="93"/>
      <c r="PR606" s="93"/>
      <c r="PS606" s="93"/>
      <c r="PT606" s="93"/>
      <c r="PU606" s="93"/>
      <c r="PV606" s="93"/>
      <c r="PW606" s="93"/>
      <c r="PX606" s="93"/>
      <c r="PY606" s="93"/>
      <c r="PZ606" s="93"/>
      <c r="QA606" s="93"/>
      <c r="QB606" s="93"/>
      <c r="QC606" s="93"/>
      <c r="QD606" s="93"/>
      <c r="QE606" s="20"/>
      <c r="QF606" s="1739"/>
      <c r="QG606" s="19"/>
      <c r="QH606" s="93"/>
      <c r="QI606" s="93"/>
      <c r="QJ606" s="93"/>
      <c r="QK606" s="93"/>
      <c r="QL606" s="93"/>
      <c r="QM606" s="93"/>
      <c r="QN606" s="93"/>
      <c r="QO606" s="93"/>
      <c r="QP606" s="93"/>
      <c r="QQ606" s="93"/>
      <c r="QR606" s="93"/>
      <c r="QS606" s="93"/>
      <c r="QT606" s="93"/>
      <c r="QU606" s="93"/>
      <c r="QV606" s="93"/>
      <c r="QW606" s="93"/>
      <c r="QX606" s="93"/>
      <c r="QY606" s="93"/>
      <c r="QZ606" s="93"/>
      <c r="RA606" s="93"/>
      <c r="RB606" s="93"/>
      <c r="RC606" s="93"/>
      <c r="RD606" s="93"/>
      <c r="RE606" s="93"/>
      <c r="RF606" s="93"/>
      <c r="RG606" s="93"/>
      <c r="RH606" s="93"/>
      <c r="RI606" s="93"/>
      <c r="RJ606" s="93"/>
      <c r="RK606" s="93"/>
      <c r="RL606" s="93"/>
      <c r="RM606" s="20"/>
      <c r="RN606" s="29"/>
      <c r="RO606" s="19"/>
      <c r="RP606" s="20"/>
      <c r="RQ606" s="29"/>
      <c r="RR606" s="20"/>
      <c r="RS606" s="29"/>
      <c r="RT606" s="1504">
        <v>52902</v>
      </c>
      <c r="RU606" s="19"/>
      <c r="RV606" s="20"/>
      <c r="RW606" s="29"/>
      <c r="RX606" s="1504">
        <v>52902</v>
      </c>
      <c r="RY606" s="29"/>
      <c r="RZ606" s="20"/>
      <c r="SA606" s="29"/>
      <c r="SB606" s="29"/>
    </row>
    <row r="607" spans="1:496">
      <c r="A607" s="41">
        <f t="shared" si="362"/>
        <v>2044</v>
      </c>
      <c r="B607" s="1504">
        <v>52932</v>
      </c>
      <c r="C607" s="1813"/>
      <c r="D607" s="1814"/>
      <c r="E607" s="1814"/>
      <c r="F607" s="1815"/>
      <c r="G607" s="1814"/>
      <c r="H607" s="1814"/>
      <c r="I607" s="1814"/>
      <c r="J607" s="1816"/>
      <c r="K607" s="1807"/>
      <c r="L607" s="25"/>
      <c r="M607" s="97"/>
      <c r="N607" s="1504">
        <v>52932</v>
      </c>
      <c r="O607" s="19"/>
      <c r="P607" s="93"/>
      <c r="Q607" s="93"/>
      <c r="R607" s="93"/>
      <c r="S607" s="93"/>
      <c r="T607" s="93"/>
      <c r="U607" s="93"/>
      <c r="V607" s="93"/>
      <c r="W607" s="93"/>
      <c r="X607" s="93"/>
      <c r="Y607" s="93"/>
      <c r="Z607" s="93"/>
      <c r="AA607" s="93"/>
      <c r="AB607" s="20"/>
      <c r="AC607" s="25"/>
      <c r="AD607" s="97"/>
      <c r="AE607" s="1504">
        <v>52932</v>
      </c>
      <c r="AF607" s="19"/>
      <c r="AG607" s="93"/>
      <c r="AH607" s="93"/>
      <c r="AI607" s="93"/>
      <c r="AJ607" s="93"/>
      <c r="AK607" s="93"/>
      <c r="AL607" s="93"/>
      <c r="AM607" s="93"/>
      <c r="AN607" s="93"/>
      <c r="AO607" s="93"/>
      <c r="AP607" s="93"/>
      <c r="AQ607" s="93"/>
      <c r="AR607" s="93"/>
      <c r="AS607" s="20"/>
      <c r="AT607" s="25"/>
      <c r="AU607" s="97"/>
      <c r="AV607" s="1504">
        <v>52932</v>
      </c>
      <c r="AW607" s="19"/>
      <c r="AX607" s="93"/>
      <c r="AY607" s="93"/>
      <c r="AZ607" s="93"/>
      <c r="BA607" s="93"/>
      <c r="BB607" s="93"/>
      <c r="BC607" s="93"/>
      <c r="BD607" s="93"/>
      <c r="BE607" s="93"/>
      <c r="BF607" s="93"/>
      <c r="BG607" s="93"/>
      <c r="BH607" s="93"/>
      <c r="BI607" s="93"/>
      <c r="BJ607" s="20"/>
      <c r="BK607" s="25"/>
      <c r="BL607" s="97"/>
      <c r="BM607" s="1504">
        <v>52932</v>
      </c>
      <c r="BN607" s="19"/>
      <c r="BO607" s="93"/>
      <c r="BP607" s="93"/>
      <c r="BQ607" s="93"/>
      <c r="BR607" s="93"/>
      <c r="BS607" s="93"/>
      <c r="BT607" s="93"/>
      <c r="BU607" s="20"/>
      <c r="BV607" s="25"/>
      <c r="BW607" s="97"/>
      <c r="BX607" s="1504">
        <v>52932</v>
      </c>
      <c r="BY607" s="19"/>
      <c r="BZ607" s="93"/>
      <c r="CA607" s="93"/>
      <c r="CB607" s="93"/>
      <c r="CC607" s="93"/>
      <c r="CD607" s="25"/>
      <c r="CE607" s="97"/>
      <c r="CF607" s="1504">
        <v>52932</v>
      </c>
      <c r="CG607" s="19"/>
      <c r="CH607" s="93"/>
      <c r="CI607" s="219"/>
      <c r="CJ607" s="20"/>
      <c r="CK607" s="19"/>
      <c r="CL607" s="93"/>
      <c r="CM607" s="93"/>
      <c r="CN607" s="93"/>
      <c r="CO607" s="93"/>
      <c r="CP607" s="20"/>
      <c r="CQ607" s="219"/>
      <c r="CR607" s="93"/>
      <c r="CS607" s="93"/>
      <c r="CT607" s="93"/>
      <c r="CU607" s="93"/>
      <c r="CV607" s="214"/>
      <c r="CW607" s="29"/>
      <c r="CX607" s="41">
        <f t="shared" si="363"/>
        <v>2044</v>
      </c>
      <c r="CY607" s="1504">
        <v>52932</v>
      </c>
      <c r="CZ607" s="19"/>
      <c r="DA607" s="93"/>
      <c r="DB607" s="93"/>
      <c r="DC607" s="93"/>
      <c r="DD607" s="93"/>
      <c r="DE607" s="20"/>
      <c r="DF607" s="29"/>
      <c r="DG607" s="1504">
        <v>52932</v>
      </c>
      <c r="DH607" s="19"/>
      <c r="DI607" s="93"/>
      <c r="DJ607" s="93"/>
      <c r="DK607" s="93"/>
      <c r="DL607" s="93"/>
      <c r="DM607" s="93"/>
      <c r="DN607" s="20"/>
      <c r="DO607" s="295"/>
      <c r="DP607" s="29"/>
      <c r="DQ607" s="1504">
        <v>52932</v>
      </c>
      <c r="DR607" s="19"/>
      <c r="DS607" s="93"/>
      <c r="DT607" s="93"/>
      <c r="DU607" s="93"/>
      <c r="DV607" s="93"/>
      <c r="DW607" s="93"/>
      <c r="DX607" s="20"/>
      <c r="DY607" s="29"/>
      <c r="DZ607" s="1504">
        <v>52932</v>
      </c>
      <c r="EA607" s="19"/>
      <c r="EB607" s="93"/>
      <c r="EC607" s="20"/>
      <c r="ED607" s="29"/>
      <c r="EE607" s="1504">
        <v>52932</v>
      </c>
      <c r="EF607" s="19"/>
      <c r="EG607" s="93"/>
      <c r="EH607" s="93"/>
      <c r="EI607" s="214"/>
      <c r="EJ607" s="93"/>
      <c r="EK607" s="93"/>
      <c r="EL607" s="93"/>
      <c r="EM607" s="93"/>
      <c r="EN607" s="20"/>
      <c r="EO607" s="29"/>
      <c r="EP607" s="1504">
        <v>52932</v>
      </c>
      <c r="EQ607" s="19"/>
      <c r="ER607" s="93"/>
      <c r="ES607" s="93"/>
      <c r="ET607" s="214"/>
      <c r="EU607" s="93"/>
      <c r="EV607" s="93"/>
      <c r="EW607" s="93"/>
      <c r="EX607" s="93"/>
      <c r="EY607" s="20"/>
      <c r="EZ607" s="29"/>
      <c r="FA607" s="1504">
        <v>52932</v>
      </c>
      <c r="FB607" s="29"/>
      <c r="FC607" s="29"/>
      <c r="FD607" s="29"/>
      <c r="FE607" s="29"/>
      <c r="FF607" s="29"/>
      <c r="FG607" s="29"/>
      <c r="FH607" s="29"/>
      <c r="FI607" s="29"/>
      <c r="FJ607" s="29"/>
      <c r="FK607" s="29"/>
      <c r="FL607" s="1504">
        <v>52932</v>
      </c>
      <c r="FM607" s="19"/>
      <c r="FN607" s="93"/>
      <c r="FO607" s="93"/>
      <c r="FP607" s="93"/>
      <c r="FQ607" s="93"/>
      <c r="FR607" s="93"/>
      <c r="FS607" s="93"/>
      <c r="FT607" s="93"/>
      <c r="FU607" s="93"/>
      <c r="FV607" s="93"/>
      <c r="FW607" s="93"/>
      <c r="FX607" s="93"/>
      <c r="FY607" s="93"/>
      <c r="FZ607" s="29"/>
      <c r="GA607" s="1504">
        <v>52932</v>
      </c>
      <c r="GB607" s="19"/>
      <c r="GC607" s="93"/>
      <c r="GD607" s="93"/>
      <c r="GE607" s="93"/>
      <c r="GF607" s="93"/>
      <c r="GG607" s="93"/>
      <c r="GH607" s="93"/>
      <c r="GI607" s="93"/>
      <c r="GJ607" s="93"/>
      <c r="GK607" s="93"/>
      <c r="GL607" s="93"/>
      <c r="GM607" s="93"/>
      <c r="GN607" s="20"/>
      <c r="GO607" s="29"/>
      <c r="GP607" s="1504">
        <v>52932</v>
      </c>
      <c r="GQ607" s="19"/>
      <c r="GR607" s="93"/>
      <c r="GS607" s="93"/>
      <c r="GT607" s="93"/>
      <c r="GU607" s="93"/>
      <c r="GV607" s="20"/>
      <c r="GW607" s="19"/>
      <c r="GX607" s="93"/>
      <c r="GY607" s="93"/>
      <c r="GZ607" s="93"/>
      <c r="HA607" s="93"/>
      <c r="HB607" s="20"/>
      <c r="HC607" s="19"/>
      <c r="HD607" s="93"/>
      <c r="HE607" s="93"/>
      <c r="HF607" s="93"/>
      <c r="HG607" s="93"/>
      <c r="HH607" s="20"/>
      <c r="HI607" s="19"/>
      <c r="HJ607" s="93"/>
      <c r="HK607" s="93"/>
      <c r="HL607" s="93"/>
      <c r="HM607" s="93"/>
      <c r="HN607" s="20"/>
      <c r="HO607" s="219"/>
      <c r="HP607" s="20"/>
      <c r="HQ607" s="25"/>
      <c r="HR607" s="29"/>
      <c r="HS607" s="1504">
        <v>52932</v>
      </c>
      <c r="HT607" s="19"/>
      <c r="HU607" s="93"/>
      <c r="HV607" s="93"/>
      <c r="HW607" s="93"/>
      <c r="HX607" s="93"/>
      <c r="HY607" s="93"/>
      <c r="HZ607" s="93"/>
      <c r="IA607" s="20"/>
      <c r="IB607" s="19"/>
      <c r="IC607" s="93"/>
      <c r="ID607" s="93"/>
      <c r="IE607" s="93"/>
      <c r="IF607" s="93"/>
      <c r="IG607" s="20"/>
      <c r="IH607" s="19"/>
      <c r="II607" s="93"/>
      <c r="IJ607" s="93"/>
      <c r="IK607" s="93"/>
      <c r="IL607" s="93"/>
      <c r="IM607" s="93"/>
      <c r="IN607" s="93"/>
      <c r="IO607" s="20"/>
      <c r="IP607" s="29"/>
      <c r="IQ607" s="19"/>
      <c r="IR607" s="93"/>
      <c r="IS607" s="93"/>
      <c r="IT607" s="93"/>
      <c r="IU607" s="93"/>
      <c r="IV607" s="20"/>
      <c r="IW607" s="29"/>
      <c r="IX607" s="19"/>
      <c r="IY607" s="93"/>
      <c r="IZ607" s="93"/>
      <c r="JA607" s="93"/>
      <c r="JB607" s="93"/>
      <c r="JC607" s="93"/>
      <c r="JD607" s="93"/>
      <c r="JE607" s="20"/>
      <c r="JF607" s="29"/>
      <c r="JG607" s="19"/>
      <c r="JH607" s="93"/>
      <c r="JI607" s="93"/>
      <c r="JJ607" s="93"/>
      <c r="JK607" s="93"/>
      <c r="JL607" s="93"/>
      <c r="JM607" s="93"/>
      <c r="JN607" s="20"/>
      <c r="JO607" s="29"/>
      <c r="JP607" s="19"/>
      <c r="JQ607" s="93"/>
      <c r="JR607" s="93"/>
      <c r="JS607" s="93"/>
      <c r="JT607" s="93"/>
      <c r="JU607" s="20"/>
      <c r="JV607" s="29"/>
      <c r="JW607" s="1504">
        <v>52932</v>
      </c>
      <c r="JX607" s="19"/>
      <c r="JY607" s="93"/>
      <c r="JZ607" s="93"/>
      <c r="KA607" s="93"/>
      <c r="KB607" s="93"/>
      <c r="KC607" s="93"/>
      <c r="KD607" s="20"/>
      <c r="KE607" s="29"/>
      <c r="KF607" s="19"/>
      <c r="KG607" s="93"/>
      <c r="KH607" s="93"/>
      <c r="KI607" s="93"/>
      <c r="KJ607" s="93"/>
      <c r="KK607" s="20"/>
      <c r="KL607" s="29"/>
      <c r="KM607" s="19"/>
      <c r="KN607" s="93"/>
      <c r="KO607" s="93"/>
      <c r="KP607" s="93"/>
      <c r="KQ607" s="93"/>
      <c r="KR607" s="20"/>
      <c r="KS607" s="29"/>
      <c r="KT607" s="19"/>
      <c r="KU607" s="93"/>
      <c r="KV607" s="93"/>
      <c r="KW607" s="93"/>
      <c r="KX607" s="93"/>
      <c r="KY607" s="20"/>
      <c r="KZ607" s="29"/>
      <c r="LA607" s="1504">
        <v>52932</v>
      </c>
      <c r="LB607" s="19"/>
      <c r="LC607" s="93"/>
      <c r="LD607" s="93"/>
      <c r="LE607" s="93"/>
      <c r="LF607" s="93"/>
      <c r="LG607" s="93"/>
      <c r="LH607" s="20"/>
      <c r="LI607" s="29"/>
      <c r="LJ607" s="19"/>
      <c r="LK607" s="93"/>
      <c r="LL607" s="93"/>
      <c r="LM607" s="93"/>
      <c r="LN607" s="93"/>
      <c r="LO607" s="20"/>
      <c r="LP607" s="29"/>
      <c r="LQ607" s="19"/>
      <c r="LR607" s="93"/>
      <c r="LS607" s="93"/>
      <c r="LT607" s="93"/>
      <c r="LU607" s="93"/>
      <c r="LV607" s="93"/>
      <c r="LW607" s="93"/>
      <c r="LX607" s="93"/>
      <c r="LY607" s="93"/>
      <c r="LZ607" s="93"/>
      <c r="MA607" s="20"/>
      <c r="MB607" s="29"/>
      <c r="MC607" s="1504">
        <v>52932</v>
      </c>
      <c r="MD607" s="19"/>
      <c r="ME607" s="93"/>
      <c r="MF607" s="93"/>
      <c r="MG607" s="93"/>
      <c r="MH607" s="93"/>
      <c r="MI607" s="93"/>
      <c r="MJ607" s="93"/>
      <c r="MK607" s="93"/>
      <c r="ML607" s="93"/>
      <c r="MM607" s="93"/>
      <c r="MN607" s="93"/>
      <c r="MO607" s="93"/>
      <c r="MP607" s="93"/>
      <c r="MQ607" s="93"/>
      <c r="MR607" s="93"/>
      <c r="MS607" s="93"/>
      <c r="MT607" s="93"/>
      <c r="MU607" s="93"/>
      <c r="MV607" s="93"/>
      <c r="MW607" s="93"/>
      <c r="MX607" s="93"/>
      <c r="MY607" s="93"/>
      <c r="MZ607" s="93"/>
      <c r="NA607" s="93"/>
      <c r="NB607" s="93"/>
      <c r="NC607" s="93"/>
      <c r="ND607" s="93"/>
      <c r="NE607" s="93"/>
      <c r="NF607" s="93"/>
      <c r="NG607" s="93"/>
      <c r="NH607" s="93"/>
      <c r="NI607" s="93"/>
      <c r="NJ607" s="93"/>
      <c r="NK607" s="93"/>
      <c r="NL607" s="93"/>
      <c r="NM607" s="93"/>
      <c r="NN607" s="93"/>
      <c r="NO607" s="93"/>
      <c r="NP607" s="93"/>
      <c r="NQ607" s="93"/>
      <c r="NR607" s="93"/>
      <c r="NS607" s="93"/>
      <c r="NT607" s="93"/>
      <c r="NU607" s="93"/>
      <c r="NV607" s="93"/>
      <c r="NW607" s="93"/>
      <c r="NX607" s="93"/>
      <c r="NY607" s="93"/>
      <c r="NZ607" s="93"/>
      <c r="OA607" s="93"/>
      <c r="OB607" s="93"/>
      <c r="OC607" s="93"/>
      <c r="OD607" s="20"/>
      <c r="OE607" s="29"/>
      <c r="OF607" s="1504">
        <v>52932</v>
      </c>
      <c r="OG607" s="19"/>
      <c r="OH607" s="93"/>
      <c r="OI607" s="93"/>
      <c r="OJ607" s="93"/>
      <c r="OK607" s="93"/>
      <c r="OL607" s="93"/>
      <c r="OM607" s="93"/>
      <c r="ON607" s="93"/>
      <c r="OO607" s="93"/>
      <c r="OP607" s="93"/>
      <c r="OQ607" s="93"/>
      <c r="OR607" s="93"/>
      <c r="OS607" s="93"/>
      <c r="OT607" s="93"/>
      <c r="OU607" s="93"/>
      <c r="OV607" s="93"/>
      <c r="OW607" s="93"/>
      <c r="OX607" s="93"/>
      <c r="OY607" s="93"/>
      <c r="OZ607" s="93"/>
      <c r="PA607" s="93"/>
      <c r="PB607" s="93"/>
      <c r="PC607" s="20"/>
      <c r="PD607" s="29"/>
      <c r="PE607" s="19"/>
      <c r="PF607" s="93"/>
      <c r="PG607" s="93"/>
      <c r="PH607" s="93"/>
      <c r="PI607" s="93"/>
      <c r="PJ607" s="93"/>
      <c r="PK607" s="93"/>
      <c r="PL607" s="93"/>
      <c r="PM607" s="93"/>
      <c r="PN607" s="93"/>
      <c r="PO607" s="93"/>
      <c r="PP607" s="93"/>
      <c r="PQ607" s="93"/>
      <c r="PR607" s="93"/>
      <c r="PS607" s="93"/>
      <c r="PT607" s="93"/>
      <c r="PU607" s="93"/>
      <c r="PV607" s="93"/>
      <c r="PW607" s="93"/>
      <c r="PX607" s="93"/>
      <c r="PY607" s="93"/>
      <c r="PZ607" s="93"/>
      <c r="QA607" s="93"/>
      <c r="QB607" s="93"/>
      <c r="QC607" s="93"/>
      <c r="QD607" s="93"/>
      <c r="QE607" s="20"/>
      <c r="QF607" s="1739"/>
      <c r="QG607" s="19"/>
      <c r="QH607" s="93"/>
      <c r="QI607" s="93"/>
      <c r="QJ607" s="93"/>
      <c r="QK607" s="93"/>
      <c r="QL607" s="93"/>
      <c r="QM607" s="93"/>
      <c r="QN607" s="93"/>
      <c r="QO607" s="93"/>
      <c r="QP607" s="93"/>
      <c r="QQ607" s="93"/>
      <c r="QR607" s="93"/>
      <c r="QS607" s="93"/>
      <c r="QT607" s="93"/>
      <c r="QU607" s="93"/>
      <c r="QV607" s="93"/>
      <c r="QW607" s="93"/>
      <c r="QX607" s="93"/>
      <c r="QY607" s="93"/>
      <c r="QZ607" s="93"/>
      <c r="RA607" s="93"/>
      <c r="RB607" s="93"/>
      <c r="RC607" s="93"/>
      <c r="RD607" s="93"/>
      <c r="RE607" s="93"/>
      <c r="RF607" s="93"/>
      <c r="RG607" s="93"/>
      <c r="RH607" s="93"/>
      <c r="RI607" s="93"/>
      <c r="RJ607" s="93"/>
      <c r="RK607" s="93"/>
      <c r="RL607" s="93"/>
      <c r="RM607" s="20"/>
      <c r="RN607" s="29"/>
      <c r="RO607" s="19"/>
      <c r="RP607" s="20"/>
      <c r="RQ607" s="29"/>
      <c r="RR607" s="20"/>
      <c r="RS607" s="29"/>
      <c r="RT607" s="1504">
        <v>52932</v>
      </c>
      <c r="RU607" s="19"/>
      <c r="RV607" s="20"/>
      <c r="RW607" s="29"/>
      <c r="RX607" s="1504">
        <v>52932</v>
      </c>
      <c r="RY607" s="29"/>
      <c r="RZ607" s="20"/>
      <c r="SA607" s="29"/>
      <c r="SB607" s="29"/>
    </row>
    <row r="608" spans="1:496">
      <c r="A608" s="41">
        <f t="shared" ref="A608:A671" si="364">YEAR(B608)</f>
        <v>2045</v>
      </c>
      <c r="B608" s="1504">
        <v>52963</v>
      </c>
      <c r="C608" s="1813"/>
      <c r="D608" s="1814"/>
      <c r="E608" s="1814"/>
      <c r="F608" s="1815"/>
      <c r="G608" s="1814"/>
      <c r="H608" s="1814"/>
      <c r="I608" s="1814"/>
      <c r="J608" s="1816"/>
      <c r="K608" s="1807"/>
      <c r="L608" s="25"/>
      <c r="M608" s="97"/>
      <c r="N608" s="1504">
        <v>52963</v>
      </c>
      <c r="O608" s="19"/>
      <c r="P608" s="93"/>
      <c r="Q608" s="93"/>
      <c r="R608" s="93"/>
      <c r="S608" s="93"/>
      <c r="T608" s="93"/>
      <c r="U608" s="93"/>
      <c r="V608" s="93"/>
      <c r="W608" s="93"/>
      <c r="X608" s="93"/>
      <c r="Y608" s="93"/>
      <c r="Z608" s="93"/>
      <c r="AA608" s="93"/>
      <c r="AB608" s="20"/>
      <c r="AC608" s="25"/>
      <c r="AD608" s="97"/>
      <c r="AE608" s="1504">
        <v>52963</v>
      </c>
      <c r="AF608" s="19"/>
      <c r="AG608" s="93"/>
      <c r="AH608" s="93"/>
      <c r="AI608" s="93"/>
      <c r="AJ608" s="93"/>
      <c r="AK608" s="93"/>
      <c r="AL608" s="93"/>
      <c r="AM608" s="93"/>
      <c r="AN608" s="93"/>
      <c r="AO608" s="93"/>
      <c r="AP608" s="93"/>
      <c r="AQ608" s="93"/>
      <c r="AR608" s="93"/>
      <c r="AS608" s="20"/>
      <c r="AT608" s="25"/>
      <c r="AU608" s="97"/>
      <c r="AV608" s="1504">
        <v>52963</v>
      </c>
      <c r="AW608" s="19"/>
      <c r="AX608" s="93"/>
      <c r="AY608" s="93"/>
      <c r="AZ608" s="93"/>
      <c r="BA608" s="93"/>
      <c r="BB608" s="93"/>
      <c r="BC608" s="93"/>
      <c r="BD608" s="93"/>
      <c r="BE608" s="93"/>
      <c r="BF608" s="93"/>
      <c r="BG608" s="93"/>
      <c r="BH608" s="93"/>
      <c r="BI608" s="93"/>
      <c r="BJ608" s="20"/>
      <c r="BK608" s="25"/>
      <c r="BL608" s="97"/>
      <c r="BM608" s="1504">
        <v>52963</v>
      </c>
      <c r="BN608" s="19"/>
      <c r="BO608" s="93"/>
      <c r="BP608" s="93"/>
      <c r="BQ608" s="93"/>
      <c r="BR608" s="93"/>
      <c r="BS608" s="93"/>
      <c r="BT608" s="93"/>
      <c r="BU608" s="20"/>
      <c r="BV608" s="25"/>
      <c r="BW608" s="97"/>
      <c r="BX608" s="1504">
        <v>52963</v>
      </c>
      <c r="BY608" s="19"/>
      <c r="BZ608" s="93"/>
      <c r="CA608" s="93"/>
      <c r="CB608" s="93"/>
      <c r="CC608" s="93"/>
      <c r="CD608" s="25"/>
      <c r="CE608" s="97"/>
      <c r="CF608" s="1504">
        <v>52963</v>
      </c>
      <c r="CG608" s="19"/>
      <c r="CH608" s="93"/>
      <c r="CI608" s="219"/>
      <c r="CJ608" s="20"/>
      <c r="CK608" s="19"/>
      <c r="CL608" s="93"/>
      <c r="CM608" s="93"/>
      <c r="CN608" s="93"/>
      <c r="CO608" s="93"/>
      <c r="CP608" s="20"/>
      <c r="CQ608" s="219"/>
      <c r="CR608" s="93"/>
      <c r="CS608" s="93"/>
      <c r="CT608" s="93"/>
      <c r="CU608" s="93"/>
      <c r="CV608" s="214"/>
      <c r="CW608" s="29"/>
      <c r="CX608" s="41">
        <f t="shared" si="363"/>
        <v>2045</v>
      </c>
      <c r="CY608" s="1504">
        <v>52963</v>
      </c>
      <c r="CZ608" s="19"/>
      <c r="DA608" s="93"/>
      <c r="DB608" s="93"/>
      <c r="DC608" s="93"/>
      <c r="DD608" s="93"/>
      <c r="DE608" s="20"/>
      <c r="DF608" s="29"/>
      <c r="DG608" s="1504">
        <v>52963</v>
      </c>
      <c r="DH608" s="19"/>
      <c r="DI608" s="93"/>
      <c r="DJ608" s="93"/>
      <c r="DK608" s="93"/>
      <c r="DL608" s="93"/>
      <c r="DM608" s="93"/>
      <c r="DN608" s="20"/>
      <c r="DO608" s="295"/>
      <c r="DP608" s="29"/>
      <c r="DQ608" s="1504">
        <v>52963</v>
      </c>
      <c r="DR608" s="19"/>
      <c r="DS608" s="93"/>
      <c r="DT608" s="93"/>
      <c r="DU608" s="93"/>
      <c r="DV608" s="93"/>
      <c r="DW608" s="93"/>
      <c r="DX608" s="20"/>
      <c r="DY608" s="29"/>
      <c r="DZ608" s="1504">
        <v>52963</v>
      </c>
      <c r="EA608" s="19"/>
      <c r="EB608" s="93"/>
      <c r="EC608" s="20"/>
      <c r="ED608" s="29"/>
      <c r="EE608" s="1504">
        <v>52963</v>
      </c>
      <c r="EF608" s="19"/>
      <c r="EG608" s="93"/>
      <c r="EH608" s="93"/>
      <c r="EI608" s="214"/>
      <c r="EJ608" s="93"/>
      <c r="EK608" s="93"/>
      <c r="EL608" s="93"/>
      <c r="EM608" s="93"/>
      <c r="EN608" s="20"/>
      <c r="EO608" s="29"/>
      <c r="EP608" s="1504">
        <v>52963</v>
      </c>
      <c r="EQ608" s="19"/>
      <c r="ER608" s="93"/>
      <c r="ES608" s="93"/>
      <c r="ET608" s="214"/>
      <c r="EU608" s="93"/>
      <c r="EV608" s="93"/>
      <c r="EW608" s="93"/>
      <c r="EX608" s="93"/>
      <c r="EY608" s="20"/>
      <c r="EZ608" s="29"/>
      <c r="FA608" s="1504">
        <v>52963</v>
      </c>
      <c r="FB608" s="29"/>
      <c r="FC608" s="29"/>
      <c r="FD608" s="29"/>
      <c r="FE608" s="29"/>
      <c r="FF608" s="29"/>
      <c r="FG608" s="29"/>
      <c r="FH608" s="29"/>
      <c r="FI608" s="29"/>
      <c r="FJ608" s="29"/>
      <c r="FK608" s="29"/>
      <c r="FL608" s="1504">
        <v>52963</v>
      </c>
      <c r="FM608" s="19"/>
      <c r="FN608" s="93"/>
      <c r="FO608" s="93"/>
      <c r="FP608" s="93"/>
      <c r="FQ608" s="93"/>
      <c r="FR608" s="93"/>
      <c r="FS608" s="93"/>
      <c r="FT608" s="93"/>
      <c r="FU608" s="93"/>
      <c r="FV608" s="93"/>
      <c r="FW608" s="93"/>
      <c r="FX608" s="93"/>
      <c r="FY608" s="93"/>
      <c r="FZ608" s="29"/>
      <c r="GA608" s="1504">
        <v>52963</v>
      </c>
      <c r="GB608" s="19"/>
      <c r="GC608" s="93"/>
      <c r="GD608" s="93"/>
      <c r="GE608" s="93"/>
      <c r="GF608" s="93"/>
      <c r="GG608" s="93"/>
      <c r="GH608" s="93"/>
      <c r="GI608" s="93"/>
      <c r="GJ608" s="93"/>
      <c r="GK608" s="93"/>
      <c r="GL608" s="93"/>
      <c r="GM608" s="93"/>
      <c r="GN608" s="20"/>
      <c r="GO608" s="29"/>
      <c r="GP608" s="1504">
        <v>52963</v>
      </c>
      <c r="GQ608" s="19"/>
      <c r="GR608" s="93"/>
      <c r="GS608" s="93"/>
      <c r="GT608" s="93"/>
      <c r="GU608" s="93"/>
      <c r="GV608" s="20"/>
      <c r="GW608" s="19"/>
      <c r="GX608" s="93"/>
      <c r="GY608" s="93"/>
      <c r="GZ608" s="93"/>
      <c r="HA608" s="93"/>
      <c r="HB608" s="20"/>
      <c r="HC608" s="19"/>
      <c r="HD608" s="93"/>
      <c r="HE608" s="93"/>
      <c r="HF608" s="93"/>
      <c r="HG608" s="93"/>
      <c r="HH608" s="20"/>
      <c r="HI608" s="19"/>
      <c r="HJ608" s="93"/>
      <c r="HK608" s="93"/>
      <c r="HL608" s="93"/>
      <c r="HM608" s="93"/>
      <c r="HN608" s="20"/>
      <c r="HO608" s="219"/>
      <c r="HP608" s="20"/>
      <c r="HQ608" s="25"/>
      <c r="HR608" s="29"/>
      <c r="HS608" s="1504">
        <v>52963</v>
      </c>
      <c r="HT608" s="19"/>
      <c r="HU608" s="93"/>
      <c r="HV608" s="93"/>
      <c r="HW608" s="93"/>
      <c r="HX608" s="93"/>
      <c r="HY608" s="93"/>
      <c r="HZ608" s="93"/>
      <c r="IA608" s="20"/>
      <c r="IB608" s="19"/>
      <c r="IC608" s="93"/>
      <c r="ID608" s="93"/>
      <c r="IE608" s="93"/>
      <c r="IF608" s="93"/>
      <c r="IG608" s="20"/>
      <c r="IH608" s="19"/>
      <c r="II608" s="93"/>
      <c r="IJ608" s="93"/>
      <c r="IK608" s="93"/>
      <c r="IL608" s="93"/>
      <c r="IM608" s="93"/>
      <c r="IN608" s="93"/>
      <c r="IO608" s="20"/>
      <c r="IP608" s="29"/>
      <c r="IQ608" s="19"/>
      <c r="IR608" s="93"/>
      <c r="IS608" s="93"/>
      <c r="IT608" s="93"/>
      <c r="IU608" s="93"/>
      <c r="IV608" s="20"/>
      <c r="IW608" s="29"/>
      <c r="IX608" s="19"/>
      <c r="IY608" s="93"/>
      <c r="IZ608" s="93"/>
      <c r="JA608" s="93"/>
      <c r="JB608" s="93"/>
      <c r="JC608" s="93"/>
      <c r="JD608" s="93"/>
      <c r="JE608" s="20"/>
      <c r="JF608" s="29"/>
      <c r="JG608" s="19"/>
      <c r="JH608" s="93"/>
      <c r="JI608" s="93"/>
      <c r="JJ608" s="93"/>
      <c r="JK608" s="93"/>
      <c r="JL608" s="93"/>
      <c r="JM608" s="93"/>
      <c r="JN608" s="20"/>
      <c r="JO608" s="29"/>
      <c r="JP608" s="19"/>
      <c r="JQ608" s="93"/>
      <c r="JR608" s="93"/>
      <c r="JS608" s="93"/>
      <c r="JT608" s="93"/>
      <c r="JU608" s="20"/>
      <c r="JV608" s="29"/>
      <c r="JW608" s="1504">
        <v>52963</v>
      </c>
      <c r="JX608" s="19"/>
      <c r="JY608" s="93"/>
      <c r="JZ608" s="93"/>
      <c r="KA608" s="93"/>
      <c r="KB608" s="93"/>
      <c r="KC608" s="93"/>
      <c r="KD608" s="20"/>
      <c r="KE608" s="29"/>
      <c r="KF608" s="19"/>
      <c r="KG608" s="93"/>
      <c r="KH608" s="93"/>
      <c r="KI608" s="93"/>
      <c r="KJ608" s="93"/>
      <c r="KK608" s="20"/>
      <c r="KL608" s="29"/>
      <c r="KM608" s="19"/>
      <c r="KN608" s="93"/>
      <c r="KO608" s="93"/>
      <c r="KP608" s="93"/>
      <c r="KQ608" s="93"/>
      <c r="KR608" s="20"/>
      <c r="KS608" s="29"/>
      <c r="KT608" s="19"/>
      <c r="KU608" s="93"/>
      <c r="KV608" s="93"/>
      <c r="KW608" s="93"/>
      <c r="KX608" s="93"/>
      <c r="KY608" s="20"/>
      <c r="KZ608" s="29"/>
      <c r="LA608" s="1504">
        <v>52963</v>
      </c>
      <c r="LB608" s="19"/>
      <c r="LC608" s="93"/>
      <c r="LD608" s="93"/>
      <c r="LE608" s="93"/>
      <c r="LF608" s="93"/>
      <c r="LG608" s="93"/>
      <c r="LH608" s="20"/>
      <c r="LI608" s="29"/>
      <c r="LJ608" s="19"/>
      <c r="LK608" s="93"/>
      <c r="LL608" s="93"/>
      <c r="LM608" s="93"/>
      <c r="LN608" s="93"/>
      <c r="LO608" s="20"/>
      <c r="LP608" s="29"/>
      <c r="LQ608" s="19"/>
      <c r="LR608" s="93"/>
      <c r="LS608" s="93"/>
      <c r="LT608" s="93"/>
      <c r="LU608" s="93"/>
      <c r="LV608" s="93"/>
      <c r="LW608" s="93"/>
      <c r="LX608" s="93"/>
      <c r="LY608" s="93"/>
      <c r="LZ608" s="93"/>
      <c r="MA608" s="20"/>
      <c r="MB608" s="29"/>
      <c r="MC608" s="1504">
        <v>52963</v>
      </c>
      <c r="MD608" s="19"/>
      <c r="ME608" s="93"/>
      <c r="MF608" s="93"/>
      <c r="MG608" s="93"/>
      <c r="MH608" s="93"/>
      <c r="MI608" s="93"/>
      <c r="MJ608" s="93"/>
      <c r="MK608" s="93"/>
      <c r="ML608" s="93"/>
      <c r="MM608" s="93"/>
      <c r="MN608" s="93"/>
      <c r="MO608" s="93"/>
      <c r="MP608" s="93"/>
      <c r="MQ608" s="93"/>
      <c r="MR608" s="93"/>
      <c r="MS608" s="93"/>
      <c r="MT608" s="93"/>
      <c r="MU608" s="93"/>
      <c r="MV608" s="93"/>
      <c r="MW608" s="93"/>
      <c r="MX608" s="93"/>
      <c r="MY608" s="93"/>
      <c r="MZ608" s="93"/>
      <c r="NA608" s="93"/>
      <c r="NB608" s="93"/>
      <c r="NC608" s="93"/>
      <c r="ND608" s="93"/>
      <c r="NE608" s="93"/>
      <c r="NF608" s="93"/>
      <c r="NG608" s="93"/>
      <c r="NH608" s="93"/>
      <c r="NI608" s="93"/>
      <c r="NJ608" s="93"/>
      <c r="NK608" s="93"/>
      <c r="NL608" s="93"/>
      <c r="NM608" s="93"/>
      <c r="NN608" s="93"/>
      <c r="NO608" s="93"/>
      <c r="NP608" s="93"/>
      <c r="NQ608" s="93"/>
      <c r="NR608" s="93"/>
      <c r="NS608" s="93"/>
      <c r="NT608" s="93"/>
      <c r="NU608" s="93"/>
      <c r="NV608" s="93"/>
      <c r="NW608" s="93"/>
      <c r="NX608" s="93"/>
      <c r="NY608" s="93"/>
      <c r="NZ608" s="93"/>
      <c r="OA608" s="93"/>
      <c r="OB608" s="93"/>
      <c r="OC608" s="93"/>
      <c r="OD608" s="20"/>
      <c r="OE608" s="29"/>
      <c r="OF608" s="1504">
        <v>52963</v>
      </c>
      <c r="OG608" s="19"/>
      <c r="OH608" s="93"/>
      <c r="OI608" s="93"/>
      <c r="OJ608" s="93"/>
      <c r="OK608" s="93"/>
      <c r="OL608" s="93"/>
      <c r="OM608" s="93"/>
      <c r="ON608" s="93"/>
      <c r="OO608" s="93"/>
      <c r="OP608" s="93"/>
      <c r="OQ608" s="93"/>
      <c r="OR608" s="93"/>
      <c r="OS608" s="93"/>
      <c r="OT608" s="93"/>
      <c r="OU608" s="93"/>
      <c r="OV608" s="93"/>
      <c r="OW608" s="93"/>
      <c r="OX608" s="93"/>
      <c r="OY608" s="93"/>
      <c r="OZ608" s="93"/>
      <c r="PA608" s="93"/>
      <c r="PB608" s="93"/>
      <c r="PC608" s="20"/>
      <c r="PD608" s="29"/>
      <c r="PE608" s="19"/>
      <c r="PF608" s="93"/>
      <c r="PG608" s="93"/>
      <c r="PH608" s="93"/>
      <c r="PI608" s="93"/>
      <c r="PJ608" s="93"/>
      <c r="PK608" s="93"/>
      <c r="PL608" s="93"/>
      <c r="PM608" s="93"/>
      <c r="PN608" s="93"/>
      <c r="PO608" s="93"/>
      <c r="PP608" s="93"/>
      <c r="PQ608" s="93"/>
      <c r="PR608" s="93"/>
      <c r="PS608" s="93"/>
      <c r="PT608" s="93"/>
      <c r="PU608" s="93"/>
      <c r="PV608" s="93"/>
      <c r="PW608" s="93"/>
      <c r="PX608" s="93"/>
      <c r="PY608" s="93"/>
      <c r="PZ608" s="93"/>
      <c r="QA608" s="93"/>
      <c r="QB608" s="93"/>
      <c r="QC608" s="93"/>
      <c r="QD608" s="93"/>
      <c r="QE608" s="20"/>
      <c r="QF608" s="1739"/>
      <c r="QG608" s="19"/>
      <c r="QH608" s="93"/>
      <c r="QI608" s="93"/>
      <c r="QJ608" s="93"/>
      <c r="QK608" s="93"/>
      <c r="QL608" s="93"/>
      <c r="QM608" s="93"/>
      <c r="QN608" s="93"/>
      <c r="QO608" s="93"/>
      <c r="QP608" s="93"/>
      <c r="QQ608" s="93"/>
      <c r="QR608" s="93"/>
      <c r="QS608" s="93"/>
      <c r="QT608" s="93"/>
      <c r="QU608" s="93"/>
      <c r="QV608" s="93"/>
      <c r="QW608" s="93"/>
      <c r="QX608" s="93"/>
      <c r="QY608" s="93"/>
      <c r="QZ608" s="93"/>
      <c r="RA608" s="93"/>
      <c r="RB608" s="93"/>
      <c r="RC608" s="93"/>
      <c r="RD608" s="93"/>
      <c r="RE608" s="93"/>
      <c r="RF608" s="93"/>
      <c r="RG608" s="93"/>
      <c r="RH608" s="93"/>
      <c r="RI608" s="93"/>
      <c r="RJ608" s="93"/>
      <c r="RK608" s="93"/>
      <c r="RL608" s="93"/>
      <c r="RM608" s="20"/>
      <c r="RN608" s="29"/>
      <c r="RO608" s="19"/>
      <c r="RP608" s="20"/>
      <c r="RQ608" s="29"/>
      <c r="RR608" s="20"/>
      <c r="RS608" s="29"/>
      <c r="RT608" s="1504">
        <v>52963</v>
      </c>
      <c r="RU608" s="19"/>
      <c r="RV608" s="20"/>
      <c r="RW608" s="29"/>
      <c r="RX608" s="1504">
        <v>52963</v>
      </c>
      <c r="RY608" s="29"/>
      <c r="RZ608" s="20"/>
      <c r="SA608" s="29"/>
      <c r="SB608" s="29"/>
    </row>
    <row r="609" spans="1:496">
      <c r="A609" s="41">
        <f t="shared" si="364"/>
        <v>2045</v>
      </c>
      <c r="B609" s="1504">
        <v>52994</v>
      </c>
      <c r="C609" s="1813"/>
      <c r="D609" s="1814"/>
      <c r="E609" s="1814"/>
      <c r="F609" s="1815"/>
      <c r="G609" s="1814"/>
      <c r="H609" s="1814"/>
      <c r="I609" s="1814"/>
      <c r="J609" s="1816"/>
      <c r="K609" s="1807"/>
      <c r="L609" s="25"/>
      <c r="M609" s="97"/>
      <c r="N609" s="1504">
        <v>52994</v>
      </c>
      <c r="O609" s="19"/>
      <c r="P609" s="93"/>
      <c r="Q609" s="93"/>
      <c r="R609" s="93"/>
      <c r="S609" s="93"/>
      <c r="T609" s="93"/>
      <c r="U609" s="93"/>
      <c r="V609" s="93"/>
      <c r="W609" s="93"/>
      <c r="X609" s="93"/>
      <c r="Y609" s="93"/>
      <c r="Z609" s="93"/>
      <c r="AA609" s="93"/>
      <c r="AB609" s="20"/>
      <c r="AC609" s="25"/>
      <c r="AD609" s="97"/>
      <c r="AE609" s="1504">
        <v>52994</v>
      </c>
      <c r="AF609" s="19"/>
      <c r="AG609" s="93"/>
      <c r="AH609" s="93"/>
      <c r="AI609" s="93"/>
      <c r="AJ609" s="93"/>
      <c r="AK609" s="93"/>
      <c r="AL609" s="93"/>
      <c r="AM609" s="93"/>
      <c r="AN609" s="93"/>
      <c r="AO609" s="93"/>
      <c r="AP609" s="93"/>
      <c r="AQ609" s="93"/>
      <c r="AR609" s="93"/>
      <c r="AS609" s="20"/>
      <c r="AT609" s="25"/>
      <c r="AU609" s="97"/>
      <c r="AV609" s="1504">
        <v>52994</v>
      </c>
      <c r="AW609" s="19"/>
      <c r="AX609" s="93"/>
      <c r="AY609" s="93"/>
      <c r="AZ609" s="93"/>
      <c r="BA609" s="93"/>
      <c r="BB609" s="93"/>
      <c r="BC609" s="93"/>
      <c r="BD609" s="93"/>
      <c r="BE609" s="93"/>
      <c r="BF609" s="93"/>
      <c r="BG609" s="93"/>
      <c r="BH609" s="93"/>
      <c r="BI609" s="93"/>
      <c r="BJ609" s="20"/>
      <c r="BK609" s="25"/>
      <c r="BL609" s="97"/>
      <c r="BM609" s="1504">
        <v>52994</v>
      </c>
      <c r="BN609" s="19"/>
      <c r="BO609" s="93"/>
      <c r="BP609" s="93"/>
      <c r="BQ609" s="93"/>
      <c r="BR609" s="93"/>
      <c r="BS609" s="93"/>
      <c r="BT609" s="93"/>
      <c r="BU609" s="20"/>
      <c r="BV609" s="25"/>
      <c r="BW609" s="97"/>
      <c r="BX609" s="1504">
        <v>52994</v>
      </c>
      <c r="BY609" s="19"/>
      <c r="BZ609" s="93"/>
      <c r="CA609" s="93"/>
      <c r="CB609" s="93"/>
      <c r="CC609" s="93"/>
      <c r="CD609" s="25"/>
      <c r="CE609" s="97"/>
      <c r="CF609" s="1504">
        <v>52994</v>
      </c>
      <c r="CG609" s="19"/>
      <c r="CH609" s="93"/>
      <c r="CI609" s="219"/>
      <c r="CJ609" s="20"/>
      <c r="CK609" s="19"/>
      <c r="CL609" s="93"/>
      <c r="CM609" s="93"/>
      <c r="CN609" s="93"/>
      <c r="CO609" s="93"/>
      <c r="CP609" s="20"/>
      <c r="CQ609" s="219"/>
      <c r="CR609" s="93"/>
      <c r="CS609" s="93"/>
      <c r="CT609" s="93"/>
      <c r="CU609" s="93"/>
      <c r="CV609" s="214"/>
      <c r="CW609" s="29"/>
      <c r="CX609" s="41">
        <f t="shared" si="363"/>
        <v>2045</v>
      </c>
      <c r="CY609" s="1504">
        <v>52994</v>
      </c>
      <c r="CZ609" s="19"/>
      <c r="DA609" s="93"/>
      <c r="DB609" s="93"/>
      <c r="DC609" s="93"/>
      <c r="DD609" s="93"/>
      <c r="DE609" s="20"/>
      <c r="DF609" s="29"/>
      <c r="DG609" s="1504">
        <v>52994</v>
      </c>
      <c r="DH609" s="19"/>
      <c r="DI609" s="93"/>
      <c r="DJ609" s="93"/>
      <c r="DK609" s="93"/>
      <c r="DL609" s="93"/>
      <c r="DM609" s="93"/>
      <c r="DN609" s="20"/>
      <c r="DO609" s="295"/>
      <c r="DP609" s="29"/>
      <c r="DQ609" s="1504">
        <v>52994</v>
      </c>
      <c r="DR609" s="19"/>
      <c r="DS609" s="93"/>
      <c r="DT609" s="93"/>
      <c r="DU609" s="93"/>
      <c r="DV609" s="93"/>
      <c r="DW609" s="93"/>
      <c r="DX609" s="20"/>
      <c r="DY609" s="29"/>
      <c r="DZ609" s="1504">
        <v>52994</v>
      </c>
      <c r="EA609" s="19"/>
      <c r="EB609" s="93"/>
      <c r="EC609" s="20"/>
      <c r="ED609" s="29"/>
      <c r="EE609" s="1504">
        <v>52994</v>
      </c>
      <c r="EF609" s="19"/>
      <c r="EG609" s="93"/>
      <c r="EH609" s="93"/>
      <c r="EI609" s="214"/>
      <c r="EJ609" s="93"/>
      <c r="EK609" s="93"/>
      <c r="EL609" s="93"/>
      <c r="EM609" s="93"/>
      <c r="EN609" s="20"/>
      <c r="EO609" s="29"/>
      <c r="EP609" s="1504">
        <v>52994</v>
      </c>
      <c r="EQ609" s="19"/>
      <c r="ER609" s="93"/>
      <c r="ES609" s="93"/>
      <c r="ET609" s="214"/>
      <c r="EU609" s="93"/>
      <c r="EV609" s="93"/>
      <c r="EW609" s="93"/>
      <c r="EX609" s="93"/>
      <c r="EY609" s="20"/>
      <c r="EZ609" s="29"/>
      <c r="FA609" s="1504">
        <v>52994</v>
      </c>
      <c r="FB609" s="29"/>
      <c r="FC609" s="29"/>
      <c r="FD609" s="29"/>
      <c r="FE609" s="29"/>
      <c r="FF609" s="29"/>
      <c r="FG609" s="29"/>
      <c r="FH609" s="29"/>
      <c r="FI609" s="29"/>
      <c r="FJ609" s="29"/>
      <c r="FK609" s="29"/>
      <c r="FL609" s="1504">
        <v>52994</v>
      </c>
      <c r="FM609" s="19"/>
      <c r="FN609" s="93"/>
      <c r="FO609" s="93"/>
      <c r="FP609" s="93"/>
      <c r="FQ609" s="93"/>
      <c r="FR609" s="93"/>
      <c r="FS609" s="93"/>
      <c r="FT609" s="93"/>
      <c r="FU609" s="93"/>
      <c r="FV609" s="93"/>
      <c r="FW609" s="93"/>
      <c r="FX609" s="93"/>
      <c r="FY609" s="93"/>
      <c r="FZ609" s="29"/>
      <c r="GA609" s="1504">
        <v>52994</v>
      </c>
      <c r="GB609" s="19"/>
      <c r="GC609" s="93"/>
      <c r="GD609" s="93"/>
      <c r="GE609" s="93"/>
      <c r="GF609" s="93"/>
      <c r="GG609" s="93"/>
      <c r="GH609" s="93"/>
      <c r="GI609" s="93"/>
      <c r="GJ609" s="93"/>
      <c r="GK609" s="93"/>
      <c r="GL609" s="93"/>
      <c r="GM609" s="93"/>
      <c r="GN609" s="20"/>
      <c r="GO609" s="29"/>
      <c r="GP609" s="1504">
        <v>52994</v>
      </c>
      <c r="GQ609" s="19"/>
      <c r="GR609" s="93"/>
      <c r="GS609" s="93"/>
      <c r="GT609" s="93"/>
      <c r="GU609" s="93"/>
      <c r="GV609" s="20"/>
      <c r="GW609" s="19"/>
      <c r="GX609" s="93"/>
      <c r="GY609" s="93"/>
      <c r="GZ609" s="93"/>
      <c r="HA609" s="93"/>
      <c r="HB609" s="20"/>
      <c r="HC609" s="19"/>
      <c r="HD609" s="93"/>
      <c r="HE609" s="93"/>
      <c r="HF609" s="93"/>
      <c r="HG609" s="93"/>
      <c r="HH609" s="20"/>
      <c r="HI609" s="19"/>
      <c r="HJ609" s="93"/>
      <c r="HK609" s="93"/>
      <c r="HL609" s="93"/>
      <c r="HM609" s="93"/>
      <c r="HN609" s="20"/>
      <c r="HO609" s="219"/>
      <c r="HP609" s="20"/>
      <c r="HQ609" s="25"/>
      <c r="HR609" s="29"/>
      <c r="HS609" s="1504">
        <v>52994</v>
      </c>
      <c r="HT609" s="19"/>
      <c r="HU609" s="93"/>
      <c r="HV609" s="93"/>
      <c r="HW609" s="93"/>
      <c r="HX609" s="93"/>
      <c r="HY609" s="93"/>
      <c r="HZ609" s="93"/>
      <c r="IA609" s="20"/>
      <c r="IB609" s="19"/>
      <c r="IC609" s="93"/>
      <c r="ID609" s="93"/>
      <c r="IE609" s="93"/>
      <c r="IF609" s="93"/>
      <c r="IG609" s="20"/>
      <c r="IH609" s="19"/>
      <c r="II609" s="93"/>
      <c r="IJ609" s="93"/>
      <c r="IK609" s="93"/>
      <c r="IL609" s="93"/>
      <c r="IM609" s="93"/>
      <c r="IN609" s="93"/>
      <c r="IO609" s="20"/>
      <c r="IP609" s="29"/>
      <c r="IQ609" s="19"/>
      <c r="IR609" s="93"/>
      <c r="IS609" s="93"/>
      <c r="IT609" s="93"/>
      <c r="IU609" s="93"/>
      <c r="IV609" s="20"/>
      <c r="IW609" s="29"/>
      <c r="IX609" s="19"/>
      <c r="IY609" s="93"/>
      <c r="IZ609" s="93"/>
      <c r="JA609" s="93"/>
      <c r="JB609" s="93"/>
      <c r="JC609" s="93"/>
      <c r="JD609" s="93"/>
      <c r="JE609" s="20"/>
      <c r="JF609" s="29"/>
      <c r="JG609" s="19"/>
      <c r="JH609" s="93"/>
      <c r="JI609" s="93"/>
      <c r="JJ609" s="93"/>
      <c r="JK609" s="93"/>
      <c r="JL609" s="93"/>
      <c r="JM609" s="93"/>
      <c r="JN609" s="20"/>
      <c r="JO609" s="29"/>
      <c r="JP609" s="19"/>
      <c r="JQ609" s="93"/>
      <c r="JR609" s="93"/>
      <c r="JS609" s="93"/>
      <c r="JT609" s="93"/>
      <c r="JU609" s="20"/>
      <c r="JV609" s="29"/>
      <c r="JW609" s="1504">
        <v>52994</v>
      </c>
      <c r="JX609" s="19"/>
      <c r="JY609" s="93"/>
      <c r="JZ609" s="93"/>
      <c r="KA609" s="93"/>
      <c r="KB609" s="93"/>
      <c r="KC609" s="93"/>
      <c r="KD609" s="20"/>
      <c r="KE609" s="29"/>
      <c r="KF609" s="19"/>
      <c r="KG609" s="93"/>
      <c r="KH609" s="93"/>
      <c r="KI609" s="93"/>
      <c r="KJ609" s="93"/>
      <c r="KK609" s="20"/>
      <c r="KL609" s="29"/>
      <c r="KM609" s="19"/>
      <c r="KN609" s="93"/>
      <c r="KO609" s="93"/>
      <c r="KP609" s="93"/>
      <c r="KQ609" s="93"/>
      <c r="KR609" s="20"/>
      <c r="KS609" s="29"/>
      <c r="KT609" s="19"/>
      <c r="KU609" s="93"/>
      <c r="KV609" s="93"/>
      <c r="KW609" s="93"/>
      <c r="KX609" s="93"/>
      <c r="KY609" s="20"/>
      <c r="KZ609" s="29"/>
      <c r="LA609" s="1504">
        <v>52994</v>
      </c>
      <c r="LB609" s="19"/>
      <c r="LC609" s="93"/>
      <c r="LD609" s="93"/>
      <c r="LE609" s="93"/>
      <c r="LF609" s="93"/>
      <c r="LG609" s="93"/>
      <c r="LH609" s="20"/>
      <c r="LI609" s="29"/>
      <c r="LJ609" s="19"/>
      <c r="LK609" s="93"/>
      <c r="LL609" s="93"/>
      <c r="LM609" s="93"/>
      <c r="LN609" s="93"/>
      <c r="LO609" s="20"/>
      <c r="LP609" s="29"/>
      <c r="LQ609" s="19"/>
      <c r="LR609" s="93"/>
      <c r="LS609" s="93"/>
      <c r="LT609" s="93"/>
      <c r="LU609" s="93"/>
      <c r="LV609" s="93"/>
      <c r="LW609" s="93"/>
      <c r="LX609" s="93"/>
      <c r="LY609" s="93"/>
      <c r="LZ609" s="93"/>
      <c r="MA609" s="20"/>
      <c r="MB609" s="29"/>
      <c r="MC609" s="1504">
        <v>52994</v>
      </c>
      <c r="MD609" s="19"/>
      <c r="ME609" s="93"/>
      <c r="MF609" s="93"/>
      <c r="MG609" s="93"/>
      <c r="MH609" s="93"/>
      <c r="MI609" s="93"/>
      <c r="MJ609" s="93"/>
      <c r="MK609" s="93"/>
      <c r="ML609" s="93"/>
      <c r="MM609" s="93"/>
      <c r="MN609" s="93"/>
      <c r="MO609" s="93"/>
      <c r="MP609" s="93"/>
      <c r="MQ609" s="93"/>
      <c r="MR609" s="93"/>
      <c r="MS609" s="93"/>
      <c r="MT609" s="93"/>
      <c r="MU609" s="93"/>
      <c r="MV609" s="93"/>
      <c r="MW609" s="93"/>
      <c r="MX609" s="93"/>
      <c r="MY609" s="93"/>
      <c r="MZ609" s="93"/>
      <c r="NA609" s="93"/>
      <c r="NB609" s="93"/>
      <c r="NC609" s="93"/>
      <c r="ND609" s="93"/>
      <c r="NE609" s="93"/>
      <c r="NF609" s="93"/>
      <c r="NG609" s="93"/>
      <c r="NH609" s="93"/>
      <c r="NI609" s="93"/>
      <c r="NJ609" s="93"/>
      <c r="NK609" s="93"/>
      <c r="NL609" s="93"/>
      <c r="NM609" s="93"/>
      <c r="NN609" s="93"/>
      <c r="NO609" s="93"/>
      <c r="NP609" s="93"/>
      <c r="NQ609" s="93"/>
      <c r="NR609" s="93"/>
      <c r="NS609" s="93"/>
      <c r="NT609" s="93"/>
      <c r="NU609" s="93"/>
      <c r="NV609" s="93"/>
      <c r="NW609" s="93"/>
      <c r="NX609" s="93"/>
      <c r="NY609" s="93"/>
      <c r="NZ609" s="93"/>
      <c r="OA609" s="93"/>
      <c r="OB609" s="93"/>
      <c r="OC609" s="93"/>
      <c r="OD609" s="20"/>
      <c r="OE609" s="29"/>
      <c r="OF609" s="1504">
        <v>52994</v>
      </c>
      <c r="OG609" s="19"/>
      <c r="OH609" s="93"/>
      <c r="OI609" s="93"/>
      <c r="OJ609" s="93"/>
      <c r="OK609" s="93"/>
      <c r="OL609" s="93"/>
      <c r="OM609" s="93"/>
      <c r="ON609" s="93"/>
      <c r="OO609" s="93"/>
      <c r="OP609" s="93"/>
      <c r="OQ609" s="93"/>
      <c r="OR609" s="93"/>
      <c r="OS609" s="93"/>
      <c r="OT609" s="93"/>
      <c r="OU609" s="93"/>
      <c r="OV609" s="93"/>
      <c r="OW609" s="93"/>
      <c r="OX609" s="93"/>
      <c r="OY609" s="93"/>
      <c r="OZ609" s="93"/>
      <c r="PA609" s="93"/>
      <c r="PB609" s="93"/>
      <c r="PC609" s="20"/>
      <c r="PD609" s="29"/>
      <c r="PE609" s="19"/>
      <c r="PF609" s="93"/>
      <c r="PG609" s="93"/>
      <c r="PH609" s="93"/>
      <c r="PI609" s="93"/>
      <c r="PJ609" s="93"/>
      <c r="PK609" s="93"/>
      <c r="PL609" s="93"/>
      <c r="PM609" s="93"/>
      <c r="PN609" s="93"/>
      <c r="PO609" s="93"/>
      <c r="PP609" s="93"/>
      <c r="PQ609" s="93"/>
      <c r="PR609" s="93"/>
      <c r="PS609" s="93"/>
      <c r="PT609" s="93"/>
      <c r="PU609" s="93"/>
      <c r="PV609" s="93"/>
      <c r="PW609" s="93"/>
      <c r="PX609" s="93"/>
      <c r="PY609" s="93"/>
      <c r="PZ609" s="93"/>
      <c r="QA609" s="93"/>
      <c r="QB609" s="93"/>
      <c r="QC609" s="93"/>
      <c r="QD609" s="93"/>
      <c r="QE609" s="20"/>
      <c r="QF609" s="1739"/>
      <c r="QG609" s="19"/>
      <c r="QH609" s="93"/>
      <c r="QI609" s="93"/>
      <c r="QJ609" s="93"/>
      <c r="QK609" s="93"/>
      <c r="QL609" s="93"/>
      <c r="QM609" s="93"/>
      <c r="QN609" s="93"/>
      <c r="QO609" s="93"/>
      <c r="QP609" s="93"/>
      <c r="QQ609" s="93"/>
      <c r="QR609" s="93"/>
      <c r="QS609" s="93"/>
      <c r="QT609" s="93"/>
      <c r="QU609" s="93"/>
      <c r="QV609" s="93"/>
      <c r="QW609" s="93"/>
      <c r="QX609" s="93"/>
      <c r="QY609" s="93"/>
      <c r="QZ609" s="93"/>
      <c r="RA609" s="93"/>
      <c r="RB609" s="93"/>
      <c r="RC609" s="93"/>
      <c r="RD609" s="93"/>
      <c r="RE609" s="93"/>
      <c r="RF609" s="93"/>
      <c r="RG609" s="93"/>
      <c r="RH609" s="93"/>
      <c r="RI609" s="93"/>
      <c r="RJ609" s="93"/>
      <c r="RK609" s="93"/>
      <c r="RL609" s="93"/>
      <c r="RM609" s="20"/>
      <c r="RN609" s="29"/>
      <c r="RO609" s="19"/>
      <c r="RP609" s="20"/>
      <c r="RQ609" s="29"/>
      <c r="RR609" s="20"/>
      <c r="RS609" s="29"/>
      <c r="RT609" s="1504">
        <v>52994</v>
      </c>
      <c r="RU609" s="19"/>
      <c r="RV609" s="20"/>
      <c r="RW609" s="29"/>
      <c r="RX609" s="1504">
        <v>52994</v>
      </c>
      <c r="RY609" s="29"/>
      <c r="RZ609" s="20"/>
      <c r="SA609" s="29"/>
      <c r="SB609" s="29"/>
    </row>
    <row r="610" spans="1:496">
      <c r="A610" s="41">
        <f t="shared" si="364"/>
        <v>2045</v>
      </c>
      <c r="B610" s="1504">
        <v>53022</v>
      </c>
      <c r="C610" s="1813"/>
      <c r="D610" s="1814"/>
      <c r="E610" s="1814"/>
      <c r="F610" s="1815"/>
      <c r="G610" s="1814"/>
      <c r="H610" s="1814"/>
      <c r="I610" s="1814"/>
      <c r="J610" s="1816"/>
      <c r="K610" s="1807"/>
      <c r="L610" s="25"/>
      <c r="M610" s="97"/>
      <c r="N610" s="1504">
        <v>53022</v>
      </c>
      <c r="O610" s="19"/>
      <c r="P610" s="93"/>
      <c r="Q610" s="93"/>
      <c r="R610" s="93"/>
      <c r="S610" s="93"/>
      <c r="T610" s="93"/>
      <c r="U610" s="93"/>
      <c r="V610" s="93"/>
      <c r="W610" s="93"/>
      <c r="X610" s="93"/>
      <c r="Y610" s="93"/>
      <c r="Z610" s="93"/>
      <c r="AA610" s="93"/>
      <c r="AB610" s="20"/>
      <c r="AC610" s="25"/>
      <c r="AD610" s="97"/>
      <c r="AE610" s="1504">
        <v>53022</v>
      </c>
      <c r="AF610" s="19"/>
      <c r="AG610" s="93"/>
      <c r="AH610" s="93"/>
      <c r="AI610" s="93"/>
      <c r="AJ610" s="93"/>
      <c r="AK610" s="93"/>
      <c r="AL610" s="93"/>
      <c r="AM610" s="93"/>
      <c r="AN610" s="93"/>
      <c r="AO610" s="93"/>
      <c r="AP610" s="93"/>
      <c r="AQ610" s="93"/>
      <c r="AR610" s="93"/>
      <c r="AS610" s="20"/>
      <c r="AT610" s="25"/>
      <c r="AU610" s="97"/>
      <c r="AV610" s="1504">
        <v>53022</v>
      </c>
      <c r="AW610" s="19"/>
      <c r="AX610" s="93"/>
      <c r="AY610" s="93"/>
      <c r="AZ610" s="93"/>
      <c r="BA610" s="93"/>
      <c r="BB610" s="93"/>
      <c r="BC610" s="93"/>
      <c r="BD610" s="93"/>
      <c r="BE610" s="93"/>
      <c r="BF610" s="93"/>
      <c r="BG610" s="93"/>
      <c r="BH610" s="93"/>
      <c r="BI610" s="93"/>
      <c r="BJ610" s="20"/>
      <c r="BK610" s="25"/>
      <c r="BL610" s="97"/>
      <c r="BM610" s="1504">
        <v>53022</v>
      </c>
      <c r="BN610" s="19"/>
      <c r="BO610" s="93"/>
      <c r="BP610" s="93"/>
      <c r="BQ610" s="93"/>
      <c r="BR610" s="93"/>
      <c r="BS610" s="93"/>
      <c r="BT610" s="93"/>
      <c r="BU610" s="20"/>
      <c r="BV610" s="25"/>
      <c r="BW610" s="97"/>
      <c r="BX610" s="1504">
        <v>53022</v>
      </c>
      <c r="BY610" s="19"/>
      <c r="BZ610" s="93"/>
      <c r="CA610" s="93"/>
      <c r="CB610" s="93"/>
      <c r="CC610" s="93"/>
      <c r="CD610" s="25"/>
      <c r="CE610" s="97"/>
      <c r="CF610" s="1504">
        <v>53022</v>
      </c>
      <c r="CG610" s="19"/>
      <c r="CH610" s="93"/>
      <c r="CI610" s="219"/>
      <c r="CJ610" s="20"/>
      <c r="CK610" s="19"/>
      <c r="CL610" s="93"/>
      <c r="CM610" s="93"/>
      <c r="CN610" s="93"/>
      <c r="CO610" s="93"/>
      <c r="CP610" s="20"/>
      <c r="CQ610" s="219"/>
      <c r="CR610" s="93"/>
      <c r="CS610" s="93"/>
      <c r="CT610" s="93"/>
      <c r="CU610" s="93"/>
      <c r="CV610" s="214"/>
      <c r="CW610" s="29"/>
      <c r="CX610" s="41">
        <f t="shared" si="363"/>
        <v>2045</v>
      </c>
      <c r="CY610" s="1504">
        <v>53022</v>
      </c>
      <c r="CZ610" s="19"/>
      <c r="DA610" s="93"/>
      <c r="DB610" s="93"/>
      <c r="DC610" s="93"/>
      <c r="DD610" s="93"/>
      <c r="DE610" s="20"/>
      <c r="DF610" s="29"/>
      <c r="DG610" s="1504">
        <v>53022</v>
      </c>
      <c r="DH610" s="19"/>
      <c r="DI610" s="93"/>
      <c r="DJ610" s="93"/>
      <c r="DK610" s="93"/>
      <c r="DL610" s="93"/>
      <c r="DM610" s="93"/>
      <c r="DN610" s="20"/>
      <c r="DO610" s="295"/>
      <c r="DP610" s="29"/>
      <c r="DQ610" s="1504">
        <v>53022</v>
      </c>
      <c r="DR610" s="19"/>
      <c r="DS610" s="93"/>
      <c r="DT610" s="93"/>
      <c r="DU610" s="93"/>
      <c r="DV610" s="93"/>
      <c r="DW610" s="93"/>
      <c r="DX610" s="20"/>
      <c r="DY610" s="29"/>
      <c r="DZ610" s="1504">
        <v>53022</v>
      </c>
      <c r="EA610" s="19"/>
      <c r="EB610" s="93"/>
      <c r="EC610" s="20"/>
      <c r="ED610" s="29"/>
      <c r="EE610" s="1504">
        <v>53022</v>
      </c>
      <c r="EF610" s="19"/>
      <c r="EG610" s="93"/>
      <c r="EH610" s="93"/>
      <c r="EI610" s="214"/>
      <c r="EJ610" s="93"/>
      <c r="EK610" s="93"/>
      <c r="EL610" s="93"/>
      <c r="EM610" s="93"/>
      <c r="EN610" s="20"/>
      <c r="EO610" s="29"/>
      <c r="EP610" s="1504">
        <v>53022</v>
      </c>
      <c r="EQ610" s="19"/>
      <c r="ER610" s="93"/>
      <c r="ES610" s="93"/>
      <c r="ET610" s="214"/>
      <c r="EU610" s="93"/>
      <c r="EV610" s="93"/>
      <c r="EW610" s="93"/>
      <c r="EX610" s="93"/>
      <c r="EY610" s="20"/>
      <c r="EZ610" s="29"/>
      <c r="FA610" s="1504">
        <v>53022</v>
      </c>
      <c r="FB610" s="29"/>
      <c r="FC610" s="29"/>
      <c r="FD610" s="29"/>
      <c r="FE610" s="29"/>
      <c r="FF610" s="29"/>
      <c r="FG610" s="29"/>
      <c r="FH610" s="29"/>
      <c r="FI610" s="29"/>
      <c r="FJ610" s="29"/>
      <c r="FK610" s="29"/>
      <c r="FL610" s="1504">
        <v>53022</v>
      </c>
      <c r="FM610" s="19"/>
      <c r="FN610" s="93"/>
      <c r="FO610" s="93"/>
      <c r="FP610" s="93"/>
      <c r="FQ610" s="93"/>
      <c r="FR610" s="93"/>
      <c r="FS610" s="93"/>
      <c r="FT610" s="93"/>
      <c r="FU610" s="93"/>
      <c r="FV610" s="93"/>
      <c r="FW610" s="93"/>
      <c r="FX610" s="93"/>
      <c r="FY610" s="93"/>
      <c r="FZ610" s="29"/>
      <c r="GA610" s="1504">
        <v>53022</v>
      </c>
      <c r="GB610" s="19"/>
      <c r="GC610" s="93"/>
      <c r="GD610" s="93"/>
      <c r="GE610" s="93"/>
      <c r="GF610" s="93"/>
      <c r="GG610" s="93"/>
      <c r="GH610" s="93"/>
      <c r="GI610" s="93"/>
      <c r="GJ610" s="93"/>
      <c r="GK610" s="93"/>
      <c r="GL610" s="93"/>
      <c r="GM610" s="93"/>
      <c r="GN610" s="20"/>
      <c r="GO610" s="29"/>
      <c r="GP610" s="1504">
        <v>53022</v>
      </c>
      <c r="GQ610" s="19"/>
      <c r="GR610" s="93"/>
      <c r="GS610" s="93"/>
      <c r="GT610" s="93"/>
      <c r="GU610" s="93"/>
      <c r="GV610" s="20"/>
      <c r="GW610" s="19"/>
      <c r="GX610" s="93"/>
      <c r="GY610" s="93"/>
      <c r="GZ610" s="93"/>
      <c r="HA610" s="93"/>
      <c r="HB610" s="20"/>
      <c r="HC610" s="19"/>
      <c r="HD610" s="93"/>
      <c r="HE610" s="93"/>
      <c r="HF610" s="93"/>
      <c r="HG610" s="93"/>
      <c r="HH610" s="20"/>
      <c r="HI610" s="19"/>
      <c r="HJ610" s="93"/>
      <c r="HK610" s="93"/>
      <c r="HL610" s="93"/>
      <c r="HM610" s="93"/>
      <c r="HN610" s="20"/>
      <c r="HO610" s="219"/>
      <c r="HP610" s="20"/>
      <c r="HQ610" s="25"/>
      <c r="HR610" s="29"/>
      <c r="HS610" s="1504">
        <v>53022</v>
      </c>
      <c r="HT610" s="19"/>
      <c r="HU610" s="93"/>
      <c r="HV610" s="93"/>
      <c r="HW610" s="93"/>
      <c r="HX610" s="93"/>
      <c r="HY610" s="93"/>
      <c r="HZ610" s="93"/>
      <c r="IA610" s="20"/>
      <c r="IB610" s="19"/>
      <c r="IC610" s="93"/>
      <c r="ID610" s="93"/>
      <c r="IE610" s="93"/>
      <c r="IF610" s="93"/>
      <c r="IG610" s="20"/>
      <c r="IH610" s="19"/>
      <c r="II610" s="93"/>
      <c r="IJ610" s="93"/>
      <c r="IK610" s="93"/>
      <c r="IL610" s="93"/>
      <c r="IM610" s="93"/>
      <c r="IN610" s="93"/>
      <c r="IO610" s="20"/>
      <c r="IP610" s="29"/>
      <c r="IQ610" s="19"/>
      <c r="IR610" s="93"/>
      <c r="IS610" s="93"/>
      <c r="IT610" s="93"/>
      <c r="IU610" s="93"/>
      <c r="IV610" s="20"/>
      <c r="IW610" s="29"/>
      <c r="IX610" s="19"/>
      <c r="IY610" s="93"/>
      <c r="IZ610" s="93"/>
      <c r="JA610" s="93"/>
      <c r="JB610" s="93"/>
      <c r="JC610" s="93"/>
      <c r="JD610" s="93"/>
      <c r="JE610" s="20"/>
      <c r="JF610" s="29"/>
      <c r="JG610" s="19"/>
      <c r="JH610" s="93"/>
      <c r="JI610" s="93"/>
      <c r="JJ610" s="93"/>
      <c r="JK610" s="93"/>
      <c r="JL610" s="93"/>
      <c r="JM610" s="93"/>
      <c r="JN610" s="20"/>
      <c r="JO610" s="29"/>
      <c r="JP610" s="19"/>
      <c r="JQ610" s="93"/>
      <c r="JR610" s="93"/>
      <c r="JS610" s="93"/>
      <c r="JT610" s="93"/>
      <c r="JU610" s="20"/>
      <c r="JV610" s="29"/>
      <c r="JW610" s="1504">
        <v>53022</v>
      </c>
      <c r="JX610" s="19"/>
      <c r="JY610" s="93"/>
      <c r="JZ610" s="93"/>
      <c r="KA610" s="93"/>
      <c r="KB610" s="93"/>
      <c r="KC610" s="93"/>
      <c r="KD610" s="20"/>
      <c r="KE610" s="29"/>
      <c r="KF610" s="19"/>
      <c r="KG610" s="93"/>
      <c r="KH610" s="93"/>
      <c r="KI610" s="93"/>
      <c r="KJ610" s="93"/>
      <c r="KK610" s="20"/>
      <c r="KL610" s="29"/>
      <c r="KM610" s="19"/>
      <c r="KN610" s="93"/>
      <c r="KO610" s="93"/>
      <c r="KP610" s="93"/>
      <c r="KQ610" s="93"/>
      <c r="KR610" s="20"/>
      <c r="KS610" s="29"/>
      <c r="KT610" s="19"/>
      <c r="KU610" s="93"/>
      <c r="KV610" s="93"/>
      <c r="KW610" s="93"/>
      <c r="KX610" s="93"/>
      <c r="KY610" s="20"/>
      <c r="KZ610" s="29"/>
      <c r="LA610" s="1504">
        <v>53022</v>
      </c>
      <c r="LB610" s="19"/>
      <c r="LC610" s="93"/>
      <c r="LD610" s="93"/>
      <c r="LE610" s="93"/>
      <c r="LF610" s="93"/>
      <c r="LG610" s="93"/>
      <c r="LH610" s="20"/>
      <c r="LI610" s="29"/>
      <c r="LJ610" s="19"/>
      <c r="LK610" s="93"/>
      <c r="LL610" s="93"/>
      <c r="LM610" s="93"/>
      <c r="LN610" s="93"/>
      <c r="LO610" s="20"/>
      <c r="LP610" s="29"/>
      <c r="LQ610" s="19"/>
      <c r="LR610" s="93"/>
      <c r="LS610" s="93"/>
      <c r="LT610" s="93"/>
      <c r="LU610" s="93"/>
      <c r="LV610" s="93"/>
      <c r="LW610" s="93"/>
      <c r="LX610" s="93"/>
      <c r="LY610" s="93"/>
      <c r="LZ610" s="93"/>
      <c r="MA610" s="20"/>
      <c r="MB610" s="29"/>
      <c r="MC610" s="1504">
        <v>53022</v>
      </c>
      <c r="MD610" s="19"/>
      <c r="ME610" s="93"/>
      <c r="MF610" s="93"/>
      <c r="MG610" s="93"/>
      <c r="MH610" s="93"/>
      <c r="MI610" s="93"/>
      <c r="MJ610" s="93"/>
      <c r="MK610" s="93"/>
      <c r="ML610" s="93"/>
      <c r="MM610" s="93"/>
      <c r="MN610" s="93"/>
      <c r="MO610" s="93"/>
      <c r="MP610" s="93"/>
      <c r="MQ610" s="93"/>
      <c r="MR610" s="93"/>
      <c r="MS610" s="93"/>
      <c r="MT610" s="93"/>
      <c r="MU610" s="93"/>
      <c r="MV610" s="93"/>
      <c r="MW610" s="93"/>
      <c r="MX610" s="93"/>
      <c r="MY610" s="93"/>
      <c r="MZ610" s="93"/>
      <c r="NA610" s="93"/>
      <c r="NB610" s="93"/>
      <c r="NC610" s="93"/>
      <c r="ND610" s="93"/>
      <c r="NE610" s="93"/>
      <c r="NF610" s="93"/>
      <c r="NG610" s="93"/>
      <c r="NH610" s="93"/>
      <c r="NI610" s="93"/>
      <c r="NJ610" s="93"/>
      <c r="NK610" s="93"/>
      <c r="NL610" s="93"/>
      <c r="NM610" s="93"/>
      <c r="NN610" s="93"/>
      <c r="NO610" s="93"/>
      <c r="NP610" s="93"/>
      <c r="NQ610" s="93"/>
      <c r="NR610" s="93"/>
      <c r="NS610" s="93"/>
      <c r="NT610" s="93"/>
      <c r="NU610" s="93"/>
      <c r="NV610" s="93"/>
      <c r="NW610" s="93"/>
      <c r="NX610" s="93"/>
      <c r="NY610" s="93"/>
      <c r="NZ610" s="93"/>
      <c r="OA610" s="93"/>
      <c r="OB610" s="93"/>
      <c r="OC610" s="93"/>
      <c r="OD610" s="20"/>
      <c r="OE610" s="29"/>
      <c r="OF610" s="1504">
        <v>53022</v>
      </c>
      <c r="OG610" s="19"/>
      <c r="OH610" s="93"/>
      <c r="OI610" s="93"/>
      <c r="OJ610" s="93"/>
      <c r="OK610" s="93"/>
      <c r="OL610" s="93"/>
      <c r="OM610" s="93"/>
      <c r="ON610" s="93"/>
      <c r="OO610" s="93"/>
      <c r="OP610" s="93"/>
      <c r="OQ610" s="93"/>
      <c r="OR610" s="93"/>
      <c r="OS610" s="93"/>
      <c r="OT610" s="93"/>
      <c r="OU610" s="93"/>
      <c r="OV610" s="93"/>
      <c r="OW610" s="93"/>
      <c r="OX610" s="93"/>
      <c r="OY610" s="93"/>
      <c r="OZ610" s="93"/>
      <c r="PA610" s="93"/>
      <c r="PB610" s="93"/>
      <c r="PC610" s="20"/>
      <c r="PD610" s="29"/>
      <c r="PE610" s="19"/>
      <c r="PF610" s="93"/>
      <c r="PG610" s="93"/>
      <c r="PH610" s="93"/>
      <c r="PI610" s="93"/>
      <c r="PJ610" s="93"/>
      <c r="PK610" s="93"/>
      <c r="PL610" s="93"/>
      <c r="PM610" s="93"/>
      <c r="PN610" s="93"/>
      <c r="PO610" s="93"/>
      <c r="PP610" s="93"/>
      <c r="PQ610" s="93"/>
      <c r="PR610" s="93"/>
      <c r="PS610" s="93"/>
      <c r="PT610" s="93"/>
      <c r="PU610" s="93"/>
      <c r="PV610" s="93"/>
      <c r="PW610" s="93"/>
      <c r="PX610" s="93"/>
      <c r="PY610" s="93"/>
      <c r="PZ610" s="93"/>
      <c r="QA610" s="93"/>
      <c r="QB610" s="93"/>
      <c r="QC610" s="93"/>
      <c r="QD610" s="93"/>
      <c r="QE610" s="20"/>
      <c r="QF610" s="1739"/>
      <c r="QG610" s="19"/>
      <c r="QH610" s="93"/>
      <c r="QI610" s="93"/>
      <c r="QJ610" s="93"/>
      <c r="QK610" s="93"/>
      <c r="QL610" s="93"/>
      <c r="QM610" s="93"/>
      <c r="QN610" s="93"/>
      <c r="QO610" s="93"/>
      <c r="QP610" s="93"/>
      <c r="QQ610" s="93"/>
      <c r="QR610" s="93"/>
      <c r="QS610" s="93"/>
      <c r="QT610" s="93"/>
      <c r="QU610" s="93"/>
      <c r="QV610" s="93"/>
      <c r="QW610" s="93"/>
      <c r="QX610" s="93"/>
      <c r="QY610" s="93"/>
      <c r="QZ610" s="93"/>
      <c r="RA610" s="93"/>
      <c r="RB610" s="93"/>
      <c r="RC610" s="93"/>
      <c r="RD610" s="93"/>
      <c r="RE610" s="93"/>
      <c r="RF610" s="93"/>
      <c r="RG610" s="93"/>
      <c r="RH610" s="93"/>
      <c r="RI610" s="93"/>
      <c r="RJ610" s="93"/>
      <c r="RK610" s="93"/>
      <c r="RL610" s="93"/>
      <c r="RM610" s="20"/>
      <c r="RN610" s="29"/>
      <c r="RO610" s="19"/>
      <c r="RP610" s="20"/>
      <c r="RQ610" s="29"/>
      <c r="RR610" s="20"/>
      <c r="RS610" s="29"/>
      <c r="RT610" s="1504">
        <v>53022</v>
      </c>
      <c r="RU610" s="19"/>
      <c r="RV610" s="20"/>
      <c r="RW610" s="29"/>
      <c r="RX610" s="1504">
        <v>53022</v>
      </c>
      <c r="RY610" s="29"/>
      <c r="RZ610" s="20"/>
      <c r="SA610" s="29"/>
      <c r="SB610" s="29"/>
    </row>
    <row r="611" spans="1:496">
      <c r="A611" s="41">
        <f t="shared" si="364"/>
        <v>2045</v>
      </c>
      <c r="B611" s="1504">
        <v>53053</v>
      </c>
      <c r="C611" s="1813"/>
      <c r="D611" s="1814"/>
      <c r="E611" s="1814"/>
      <c r="F611" s="1815"/>
      <c r="G611" s="1814"/>
      <c r="H611" s="1814"/>
      <c r="I611" s="1814"/>
      <c r="J611" s="1816"/>
      <c r="K611" s="1807"/>
      <c r="L611" s="25"/>
      <c r="M611" s="97"/>
      <c r="N611" s="1504">
        <v>53053</v>
      </c>
      <c r="O611" s="19"/>
      <c r="P611" s="93"/>
      <c r="Q611" s="93"/>
      <c r="R611" s="93"/>
      <c r="S611" s="93"/>
      <c r="T611" s="93"/>
      <c r="U611" s="93"/>
      <c r="V611" s="93"/>
      <c r="W611" s="93"/>
      <c r="X611" s="93"/>
      <c r="Y611" s="93"/>
      <c r="Z611" s="93"/>
      <c r="AA611" s="93"/>
      <c r="AB611" s="20"/>
      <c r="AC611" s="25"/>
      <c r="AD611" s="97"/>
      <c r="AE611" s="1504">
        <v>53053</v>
      </c>
      <c r="AF611" s="19"/>
      <c r="AG611" s="93"/>
      <c r="AH611" s="93"/>
      <c r="AI611" s="93"/>
      <c r="AJ611" s="93"/>
      <c r="AK611" s="93"/>
      <c r="AL611" s="93"/>
      <c r="AM611" s="93"/>
      <c r="AN611" s="93"/>
      <c r="AO611" s="93"/>
      <c r="AP611" s="93"/>
      <c r="AQ611" s="93"/>
      <c r="AR611" s="93"/>
      <c r="AS611" s="20"/>
      <c r="AT611" s="25"/>
      <c r="AU611" s="97"/>
      <c r="AV611" s="1504">
        <v>53053</v>
      </c>
      <c r="AW611" s="19"/>
      <c r="AX611" s="93"/>
      <c r="AY611" s="93"/>
      <c r="AZ611" s="93"/>
      <c r="BA611" s="93"/>
      <c r="BB611" s="93"/>
      <c r="BC611" s="93"/>
      <c r="BD611" s="93"/>
      <c r="BE611" s="93"/>
      <c r="BF611" s="93"/>
      <c r="BG611" s="93"/>
      <c r="BH611" s="93"/>
      <c r="BI611" s="93"/>
      <c r="BJ611" s="20"/>
      <c r="BK611" s="25"/>
      <c r="BL611" s="97"/>
      <c r="BM611" s="1504">
        <v>53053</v>
      </c>
      <c r="BN611" s="19"/>
      <c r="BO611" s="93"/>
      <c r="BP611" s="93"/>
      <c r="BQ611" s="93"/>
      <c r="BR611" s="93"/>
      <c r="BS611" s="93"/>
      <c r="BT611" s="93"/>
      <c r="BU611" s="20"/>
      <c r="BV611" s="25"/>
      <c r="BW611" s="97"/>
      <c r="BX611" s="1504">
        <v>53053</v>
      </c>
      <c r="BY611" s="19"/>
      <c r="BZ611" s="93"/>
      <c r="CA611" s="93"/>
      <c r="CB611" s="93"/>
      <c r="CC611" s="93"/>
      <c r="CD611" s="25"/>
      <c r="CE611" s="97"/>
      <c r="CF611" s="1504">
        <v>53053</v>
      </c>
      <c r="CG611" s="19"/>
      <c r="CH611" s="93"/>
      <c r="CI611" s="219"/>
      <c r="CJ611" s="20"/>
      <c r="CK611" s="19"/>
      <c r="CL611" s="93"/>
      <c r="CM611" s="93"/>
      <c r="CN611" s="93"/>
      <c r="CO611" s="93"/>
      <c r="CP611" s="20"/>
      <c r="CQ611" s="219"/>
      <c r="CR611" s="93"/>
      <c r="CS611" s="93"/>
      <c r="CT611" s="93"/>
      <c r="CU611" s="93"/>
      <c r="CV611" s="214"/>
      <c r="CW611" s="29"/>
      <c r="CX611" s="41">
        <f t="shared" si="363"/>
        <v>2045</v>
      </c>
      <c r="CY611" s="1504">
        <v>53053</v>
      </c>
      <c r="CZ611" s="19"/>
      <c r="DA611" s="93"/>
      <c r="DB611" s="93"/>
      <c r="DC611" s="93"/>
      <c r="DD611" s="93"/>
      <c r="DE611" s="20"/>
      <c r="DF611" s="29"/>
      <c r="DG611" s="1504">
        <v>53053</v>
      </c>
      <c r="DH611" s="19"/>
      <c r="DI611" s="93"/>
      <c r="DJ611" s="93"/>
      <c r="DK611" s="93"/>
      <c r="DL611" s="93"/>
      <c r="DM611" s="93"/>
      <c r="DN611" s="20"/>
      <c r="DO611" s="295"/>
      <c r="DP611" s="29"/>
      <c r="DQ611" s="1504">
        <v>53053</v>
      </c>
      <c r="DR611" s="19"/>
      <c r="DS611" s="93"/>
      <c r="DT611" s="93"/>
      <c r="DU611" s="93"/>
      <c r="DV611" s="93"/>
      <c r="DW611" s="93"/>
      <c r="DX611" s="20"/>
      <c r="DY611" s="29"/>
      <c r="DZ611" s="1504">
        <v>53053</v>
      </c>
      <c r="EA611" s="19"/>
      <c r="EB611" s="93"/>
      <c r="EC611" s="20"/>
      <c r="ED611" s="29"/>
      <c r="EE611" s="1504">
        <v>53053</v>
      </c>
      <c r="EF611" s="19"/>
      <c r="EG611" s="93"/>
      <c r="EH611" s="93"/>
      <c r="EI611" s="214"/>
      <c r="EJ611" s="93"/>
      <c r="EK611" s="93"/>
      <c r="EL611" s="93"/>
      <c r="EM611" s="93"/>
      <c r="EN611" s="20"/>
      <c r="EO611" s="29"/>
      <c r="EP611" s="1504">
        <v>53053</v>
      </c>
      <c r="EQ611" s="19"/>
      <c r="ER611" s="93"/>
      <c r="ES611" s="93"/>
      <c r="ET611" s="214"/>
      <c r="EU611" s="93"/>
      <c r="EV611" s="93"/>
      <c r="EW611" s="93"/>
      <c r="EX611" s="93"/>
      <c r="EY611" s="20"/>
      <c r="EZ611" s="29"/>
      <c r="FA611" s="1504">
        <v>53053</v>
      </c>
      <c r="FB611" s="29"/>
      <c r="FC611" s="29"/>
      <c r="FD611" s="29"/>
      <c r="FE611" s="29"/>
      <c r="FF611" s="29"/>
      <c r="FG611" s="29"/>
      <c r="FH611" s="29"/>
      <c r="FI611" s="29"/>
      <c r="FJ611" s="29"/>
      <c r="FK611" s="29"/>
      <c r="FL611" s="1504">
        <v>53053</v>
      </c>
      <c r="FM611" s="19"/>
      <c r="FN611" s="93"/>
      <c r="FO611" s="93"/>
      <c r="FP611" s="93"/>
      <c r="FQ611" s="93"/>
      <c r="FR611" s="93"/>
      <c r="FS611" s="93"/>
      <c r="FT611" s="93"/>
      <c r="FU611" s="93"/>
      <c r="FV611" s="93"/>
      <c r="FW611" s="93"/>
      <c r="FX611" s="93"/>
      <c r="FY611" s="93"/>
      <c r="FZ611" s="29"/>
      <c r="GA611" s="1504">
        <v>53053</v>
      </c>
      <c r="GB611" s="19"/>
      <c r="GC611" s="93"/>
      <c r="GD611" s="93"/>
      <c r="GE611" s="93"/>
      <c r="GF611" s="93"/>
      <c r="GG611" s="93"/>
      <c r="GH611" s="93"/>
      <c r="GI611" s="93"/>
      <c r="GJ611" s="93"/>
      <c r="GK611" s="93"/>
      <c r="GL611" s="93"/>
      <c r="GM611" s="93"/>
      <c r="GN611" s="20"/>
      <c r="GO611" s="29"/>
      <c r="GP611" s="1504">
        <v>53053</v>
      </c>
      <c r="GQ611" s="19"/>
      <c r="GR611" s="93"/>
      <c r="GS611" s="93"/>
      <c r="GT611" s="93"/>
      <c r="GU611" s="93"/>
      <c r="GV611" s="20"/>
      <c r="GW611" s="19"/>
      <c r="GX611" s="93"/>
      <c r="GY611" s="93"/>
      <c r="GZ611" s="93"/>
      <c r="HA611" s="93"/>
      <c r="HB611" s="20"/>
      <c r="HC611" s="19"/>
      <c r="HD611" s="93"/>
      <c r="HE611" s="93"/>
      <c r="HF611" s="93"/>
      <c r="HG611" s="93"/>
      <c r="HH611" s="20"/>
      <c r="HI611" s="19"/>
      <c r="HJ611" s="93"/>
      <c r="HK611" s="93"/>
      <c r="HL611" s="93"/>
      <c r="HM611" s="93"/>
      <c r="HN611" s="20"/>
      <c r="HO611" s="219"/>
      <c r="HP611" s="20"/>
      <c r="HQ611" s="25"/>
      <c r="HR611" s="29"/>
      <c r="HS611" s="1504">
        <v>53053</v>
      </c>
      <c r="HT611" s="19"/>
      <c r="HU611" s="93"/>
      <c r="HV611" s="93"/>
      <c r="HW611" s="93"/>
      <c r="HX611" s="93"/>
      <c r="HY611" s="93"/>
      <c r="HZ611" s="93"/>
      <c r="IA611" s="20"/>
      <c r="IB611" s="19"/>
      <c r="IC611" s="93"/>
      <c r="ID611" s="93"/>
      <c r="IE611" s="93"/>
      <c r="IF611" s="93"/>
      <c r="IG611" s="20"/>
      <c r="IH611" s="19"/>
      <c r="II611" s="93"/>
      <c r="IJ611" s="93"/>
      <c r="IK611" s="93"/>
      <c r="IL611" s="93"/>
      <c r="IM611" s="93"/>
      <c r="IN611" s="93"/>
      <c r="IO611" s="20"/>
      <c r="IP611" s="29"/>
      <c r="IQ611" s="19"/>
      <c r="IR611" s="93"/>
      <c r="IS611" s="93"/>
      <c r="IT611" s="93"/>
      <c r="IU611" s="93"/>
      <c r="IV611" s="20"/>
      <c r="IW611" s="29"/>
      <c r="IX611" s="19"/>
      <c r="IY611" s="93"/>
      <c r="IZ611" s="93"/>
      <c r="JA611" s="93"/>
      <c r="JB611" s="93"/>
      <c r="JC611" s="93"/>
      <c r="JD611" s="93"/>
      <c r="JE611" s="20"/>
      <c r="JF611" s="29"/>
      <c r="JG611" s="19"/>
      <c r="JH611" s="93"/>
      <c r="JI611" s="93"/>
      <c r="JJ611" s="93"/>
      <c r="JK611" s="93"/>
      <c r="JL611" s="93"/>
      <c r="JM611" s="93"/>
      <c r="JN611" s="20"/>
      <c r="JO611" s="29"/>
      <c r="JP611" s="19"/>
      <c r="JQ611" s="93"/>
      <c r="JR611" s="93"/>
      <c r="JS611" s="93"/>
      <c r="JT611" s="93"/>
      <c r="JU611" s="20"/>
      <c r="JV611" s="29"/>
      <c r="JW611" s="1504">
        <v>53053</v>
      </c>
      <c r="JX611" s="19"/>
      <c r="JY611" s="93"/>
      <c r="JZ611" s="93"/>
      <c r="KA611" s="93"/>
      <c r="KB611" s="93"/>
      <c r="KC611" s="93"/>
      <c r="KD611" s="20"/>
      <c r="KE611" s="29"/>
      <c r="KF611" s="19"/>
      <c r="KG611" s="93"/>
      <c r="KH611" s="93"/>
      <c r="KI611" s="93"/>
      <c r="KJ611" s="93"/>
      <c r="KK611" s="20"/>
      <c r="KL611" s="29"/>
      <c r="KM611" s="19"/>
      <c r="KN611" s="93"/>
      <c r="KO611" s="93"/>
      <c r="KP611" s="93"/>
      <c r="KQ611" s="93"/>
      <c r="KR611" s="20"/>
      <c r="KS611" s="29"/>
      <c r="KT611" s="19"/>
      <c r="KU611" s="93"/>
      <c r="KV611" s="93"/>
      <c r="KW611" s="93"/>
      <c r="KX611" s="93"/>
      <c r="KY611" s="20"/>
      <c r="KZ611" s="29"/>
      <c r="LA611" s="1504">
        <v>53053</v>
      </c>
      <c r="LB611" s="19"/>
      <c r="LC611" s="93"/>
      <c r="LD611" s="93"/>
      <c r="LE611" s="93"/>
      <c r="LF611" s="93"/>
      <c r="LG611" s="93"/>
      <c r="LH611" s="20"/>
      <c r="LI611" s="29"/>
      <c r="LJ611" s="19"/>
      <c r="LK611" s="93"/>
      <c r="LL611" s="93"/>
      <c r="LM611" s="93"/>
      <c r="LN611" s="93"/>
      <c r="LO611" s="20"/>
      <c r="LP611" s="29"/>
      <c r="LQ611" s="19"/>
      <c r="LR611" s="93"/>
      <c r="LS611" s="93"/>
      <c r="LT611" s="93"/>
      <c r="LU611" s="93"/>
      <c r="LV611" s="93"/>
      <c r="LW611" s="93"/>
      <c r="LX611" s="93"/>
      <c r="LY611" s="93"/>
      <c r="LZ611" s="93"/>
      <c r="MA611" s="20"/>
      <c r="MB611" s="29"/>
      <c r="MC611" s="1504">
        <v>53053</v>
      </c>
      <c r="MD611" s="19"/>
      <c r="ME611" s="93"/>
      <c r="MF611" s="93"/>
      <c r="MG611" s="93"/>
      <c r="MH611" s="93"/>
      <c r="MI611" s="93"/>
      <c r="MJ611" s="93"/>
      <c r="MK611" s="93"/>
      <c r="ML611" s="93"/>
      <c r="MM611" s="93"/>
      <c r="MN611" s="93"/>
      <c r="MO611" s="93"/>
      <c r="MP611" s="93"/>
      <c r="MQ611" s="93"/>
      <c r="MR611" s="93"/>
      <c r="MS611" s="93"/>
      <c r="MT611" s="93"/>
      <c r="MU611" s="93"/>
      <c r="MV611" s="93"/>
      <c r="MW611" s="93"/>
      <c r="MX611" s="93"/>
      <c r="MY611" s="93"/>
      <c r="MZ611" s="93"/>
      <c r="NA611" s="93"/>
      <c r="NB611" s="93"/>
      <c r="NC611" s="93"/>
      <c r="ND611" s="93"/>
      <c r="NE611" s="93"/>
      <c r="NF611" s="93"/>
      <c r="NG611" s="93"/>
      <c r="NH611" s="93"/>
      <c r="NI611" s="93"/>
      <c r="NJ611" s="93"/>
      <c r="NK611" s="93"/>
      <c r="NL611" s="93"/>
      <c r="NM611" s="93"/>
      <c r="NN611" s="93"/>
      <c r="NO611" s="93"/>
      <c r="NP611" s="93"/>
      <c r="NQ611" s="93"/>
      <c r="NR611" s="93"/>
      <c r="NS611" s="93"/>
      <c r="NT611" s="93"/>
      <c r="NU611" s="93"/>
      <c r="NV611" s="93"/>
      <c r="NW611" s="93"/>
      <c r="NX611" s="93"/>
      <c r="NY611" s="93"/>
      <c r="NZ611" s="93"/>
      <c r="OA611" s="93"/>
      <c r="OB611" s="93"/>
      <c r="OC611" s="93"/>
      <c r="OD611" s="20"/>
      <c r="OE611" s="29"/>
      <c r="OF611" s="1504">
        <v>53053</v>
      </c>
      <c r="OG611" s="19"/>
      <c r="OH611" s="93"/>
      <c r="OI611" s="93"/>
      <c r="OJ611" s="93"/>
      <c r="OK611" s="93"/>
      <c r="OL611" s="93"/>
      <c r="OM611" s="93"/>
      <c r="ON611" s="93"/>
      <c r="OO611" s="93"/>
      <c r="OP611" s="93"/>
      <c r="OQ611" s="93"/>
      <c r="OR611" s="93"/>
      <c r="OS611" s="93"/>
      <c r="OT611" s="93"/>
      <c r="OU611" s="93"/>
      <c r="OV611" s="93"/>
      <c r="OW611" s="93"/>
      <c r="OX611" s="93"/>
      <c r="OY611" s="93"/>
      <c r="OZ611" s="93"/>
      <c r="PA611" s="93"/>
      <c r="PB611" s="93"/>
      <c r="PC611" s="20"/>
      <c r="PD611" s="29"/>
      <c r="PE611" s="19"/>
      <c r="PF611" s="93"/>
      <c r="PG611" s="93"/>
      <c r="PH611" s="93"/>
      <c r="PI611" s="93"/>
      <c r="PJ611" s="93"/>
      <c r="PK611" s="93"/>
      <c r="PL611" s="93"/>
      <c r="PM611" s="93"/>
      <c r="PN611" s="93"/>
      <c r="PO611" s="93"/>
      <c r="PP611" s="93"/>
      <c r="PQ611" s="93"/>
      <c r="PR611" s="93"/>
      <c r="PS611" s="93"/>
      <c r="PT611" s="93"/>
      <c r="PU611" s="93"/>
      <c r="PV611" s="93"/>
      <c r="PW611" s="93"/>
      <c r="PX611" s="93"/>
      <c r="PY611" s="93"/>
      <c r="PZ611" s="93"/>
      <c r="QA611" s="93"/>
      <c r="QB611" s="93"/>
      <c r="QC611" s="93"/>
      <c r="QD611" s="93"/>
      <c r="QE611" s="20"/>
      <c r="QF611" s="1739"/>
      <c r="QG611" s="19"/>
      <c r="QH611" s="93"/>
      <c r="QI611" s="93"/>
      <c r="QJ611" s="93"/>
      <c r="QK611" s="93"/>
      <c r="QL611" s="93"/>
      <c r="QM611" s="93"/>
      <c r="QN611" s="93"/>
      <c r="QO611" s="93"/>
      <c r="QP611" s="93"/>
      <c r="QQ611" s="93"/>
      <c r="QR611" s="93"/>
      <c r="QS611" s="93"/>
      <c r="QT611" s="93"/>
      <c r="QU611" s="93"/>
      <c r="QV611" s="93"/>
      <c r="QW611" s="93"/>
      <c r="QX611" s="93"/>
      <c r="QY611" s="93"/>
      <c r="QZ611" s="93"/>
      <c r="RA611" s="93"/>
      <c r="RB611" s="93"/>
      <c r="RC611" s="93"/>
      <c r="RD611" s="93"/>
      <c r="RE611" s="93"/>
      <c r="RF611" s="93"/>
      <c r="RG611" s="93"/>
      <c r="RH611" s="93"/>
      <c r="RI611" s="93"/>
      <c r="RJ611" s="93"/>
      <c r="RK611" s="93"/>
      <c r="RL611" s="93"/>
      <c r="RM611" s="20"/>
      <c r="RN611" s="29"/>
      <c r="RO611" s="19"/>
      <c r="RP611" s="20"/>
      <c r="RQ611" s="29"/>
      <c r="RR611" s="20"/>
      <c r="RS611" s="29"/>
      <c r="RT611" s="1504">
        <v>53053</v>
      </c>
      <c r="RU611" s="19"/>
      <c r="RV611" s="20"/>
      <c r="RW611" s="29"/>
      <c r="RX611" s="1504">
        <v>53053</v>
      </c>
      <c r="RY611" s="29"/>
      <c r="RZ611" s="20"/>
      <c r="SA611" s="29"/>
      <c r="SB611" s="29"/>
    </row>
    <row r="612" spans="1:496">
      <c r="A612" s="41">
        <f t="shared" si="364"/>
        <v>2045</v>
      </c>
      <c r="B612" s="1504">
        <v>53083</v>
      </c>
      <c r="C612" s="1813"/>
      <c r="D612" s="1814"/>
      <c r="E612" s="1814"/>
      <c r="F612" s="1815"/>
      <c r="G612" s="1814"/>
      <c r="H612" s="1814"/>
      <c r="I612" s="1814"/>
      <c r="J612" s="1816"/>
      <c r="K612" s="1807"/>
      <c r="L612" s="25"/>
      <c r="M612" s="97"/>
      <c r="N612" s="1504">
        <v>53083</v>
      </c>
      <c r="O612" s="19"/>
      <c r="P612" s="93"/>
      <c r="Q612" s="93"/>
      <c r="R612" s="93"/>
      <c r="S612" s="93"/>
      <c r="T612" s="93"/>
      <c r="U612" s="93"/>
      <c r="V612" s="93"/>
      <c r="W612" s="93"/>
      <c r="X612" s="93"/>
      <c r="Y612" s="93"/>
      <c r="Z612" s="93"/>
      <c r="AA612" s="93"/>
      <c r="AB612" s="20"/>
      <c r="AC612" s="25"/>
      <c r="AD612" s="97"/>
      <c r="AE612" s="1504">
        <v>53083</v>
      </c>
      <c r="AF612" s="19"/>
      <c r="AG612" s="93"/>
      <c r="AH612" s="93"/>
      <c r="AI612" s="93"/>
      <c r="AJ612" s="93"/>
      <c r="AK612" s="93"/>
      <c r="AL612" s="93"/>
      <c r="AM612" s="93"/>
      <c r="AN612" s="93"/>
      <c r="AO612" s="93"/>
      <c r="AP612" s="93"/>
      <c r="AQ612" s="93"/>
      <c r="AR612" s="93"/>
      <c r="AS612" s="20"/>
      <c r="AT612" s="25"/>
      <c r="AU612" s="97"/>
      <c r="AV612" s="1504">
        <v>53083</v>
      </c>
      <c r="AW612" s="19"/>
      <c r="AX612" s="93"/>
      <c r="AY612" s="93"/>
      <c r="AZ612" s="93"/>
      <c r="BA612" s="93"/>
      <c r="BB612" s="93"/>
      <c r="BC612" s="93"/>
      <c r="BD612" s="93"/>
      <c r="BE612" s="93"/>
      <c r="BF612" s="93"/>
      <c r="BG612" s="93"/>
      <c r="BH612" s="93"/>
      <c r="BI612" s="93"/>
      <c r="BJ612" s="20"/>
      <c r="BK612" s="25"/>
      <c r="BL612" s="97"/>
      <c r="BM612" s="1504">
        <v>53083</v>
      </c>
      <c r="BN612" s="19"/>
      <c r="BO612" s="93"/>
      <c r="BP612" s="93"/>
      <c r="BQ612" s="93"/>
      <c r="BR612" s="93"/>
      <c r="BS612" s="93"/>
      <c r="BT612" s="93"/>
      <c r="BU612" s="20"/>
      <c r="BV612" s="25"/>
      <c r="BW612" s="97"/>
      <c r="BX612" s="1504">
        <v>53083</v>
      </c>
      <c r="BY612" s="19"/>
      <c r="BZ612" s="93"/>
      <c r="CA612" s="93"/>
      <c r="CB612" s="93"/>
      <c r="CC612" s="93"/>
      <c r="CD612" s="25"/>
      <c r="CE612" s="97"/>
      <c r="CF612" s="1504">
        <v>53083</v>
      </c>
      <c r="CG612" s="19"/>
      <c r="CH612" s="93"/>
      <c r="CI612" s="219"/>
      <c r="CJ612" s="20"/>
      <c r="CK612" s="19"/>
      <c r="CL612" s="93"/>
      <c r="CM612" s="93"/>
      <c r="CN612" s="93"/>
      <c r="CO612" s="93"/>
      <c r="CP612" s="20"/>
      <c r="CQ612" s="219"/>
      <c r="CR612" s="93"/>
      <c r="CS612" s="93"/>
      <c r="CT612" s="93"/>
      <c r="CU612" s="93"/>
      <c r="CV612" s="214"/>
      <c r="CW612" s="29"/>
      <c r="CX612" s="41">
        <f t="shared" si="363"/>
        <v>2045</v>
      </c>
      <c r="CY612" s="1504">
        <v>53083</v>
      </c>
      <c r="CZ612" s="19"/>
      <c r="DA612" s="93"/>
      <c r="DB612" s="93"/>
      <c r="DC612" s="93"/>
      <c r="DD612" s="93"/>
      <c r="DE612" s="20"/>
      <c r="DF612" s="29"/>
      <c r="DG612" s="1504">
        <v>53083</v>
      </c>
      <c r="DH612" s="19"/>
      <c r="DI612" s="93"/>
      <c r="DJ612" s="93"/>
      <c r="DK612" s="93"/>
      <c r="DL612" s="93"/>
      <c r="DM612" s="93"/>
      <c r="DN612" s="20"/>
      <c r="DO612" s="295"/>
      <c r="DP612" s="29"/>
      <c r="DQ612" s="1504">
        <v>53083</v>
      </c>
      <c r="DR612" s="19"/>
      <c r="DS612" s="93"/>
      <c r="DT612" s="93"/>
      <c r="DU612" s="93"/>
      <c r="DV612" s="93"/>
      <c r="DW612" s="93"/>
      <c r="DX612" s="20"/>
      <c r="DY612" s="29"/>
      <c r="DZ612" s="1504">
        <v>53083</v>
      </c>
      <c r="EA612" s="19"/>
      <c r="EB612" s="93"/>
      <c r="EC612" s="20"/>
      <c r="ED612" s="29"/>
      <c r="EE612" s="1504">
        <v>53083</v>
      </c>
      <c r="EF612" s="19"/>
      <c r="EG612" s="93"/>
      <c r="EH612" s="93"/>
      <c r="EI612" s="214"/>
      <c r="EJ612" s="93"/>
      <c r="EK612" s="93"/>
      <c r="EL612" s="93"/>
      <c r="EM612" s="93"/>
      <c r="EN612" s="20"/>
      <c r="EO612" s="29"/>
      <c r="EP612" s="1504">
        <v>53083</v>
      </c>
      <c r="EQ612" s="19"/>
      <c r="ER612" s="93"/>
      <c r="ES612" s="93"/>
      <c r="ET612" s="214"/>
      <c r="EU612" s="93"/>
      <c r="EV612" s="93"/>
      <c r="EW612" s="93"/>
      <c r="EX612" s="93"/>
      <c r="EY612" s="20"/>
      <c r="EZ612" s="29"/>
      <c r="FA612" s="1504">
        <v>53083</v>
      </c>
      <c r="FB612" s="29"/>
      <c r="FC612" s="29"/>
      <c r="FD612" s="29"/>
      <c r="FE612" s="29"/>
      <c r="FF612" s="29"/>
      <c r="FG612" s="29"/>
      <c r="FH612" s="29"/>
      <c r="FI612" s="29"/>
      <c r="FJ612" s="29"/>
      <c r="FK612" s="29"/>
      <c r="FL612" s="1504">
        <v>53083</v>
      </c>
      <c r="FM612" s="19"/>
      <c r="FN612" s="93"/>
      <c r="FO612" s="93"/>
      <c r="FP612" s="93"/>
      <c r="FQ612" s="93"/>
      <c r="FR612" s="93"/>
      <c r="FS612" s="93"/>
      <c r="FT612" s="93"/>
      <c r="FU612" s="93"/>
      <c r="FV612" s="93"/>
      <c r="FW612" s="93"/>
      <c r="FX612" s="93"/>
      <c r="FY612" s="93"/>
      <c r="FZ612" s="29"/>
      <c r="GA612" s="1504">
        <v>53083</v>
      </c>
      <c r="GB612" s="19"/>
      <c r="GC612" s="93"/>
      <c r="GD612" s="93"/>
      <c r="GE612" s="93"/>
      <c r="GF612" s="93"/>
      <c r="GG612" s="93"/>
      <c r="GH612" s="93"/>
      <c r="GI612" s="93"/>
      <c r="GJ612" s="93"/>
      <c r="GK612" s="93"/>
      <c r="GL612" s="93"/>
      <c r="GM612" s="93"/>
      <c r="GN612" s="20"/>
      <c r="GO612" s="29"/>
      <c r="GP612" s="1504">
        <v>53083</v>
      </c>
      <c r="GQ612" s="19"/>
      <c r="GR612" s="93"/>
      <c r="GS612" s="93"/>
      <c r="GT612" s="93"/>
      <c r="GU612" s="93"/>
      <c r="GV612" s="20"/>
      <c r="GW612" s="19"/>
      <c r="GX612" s="93"/>
      <c r="GY612" s="93"/>
      <c r="GZ612" s="93"/>
      <c r="HA612" s="93"/>
      <c r="HB612" s="20"/>
      <c r="HC612" s="19"/>
      <c r="HD612" s="93"/>
      <c r="HE612" s="93"/>
      <c r="HF612" s="93"/>
      <c r="HG612" s="93"/>
      <c r="HH612" s="20"/>
      <c r="HI612" s="19"/>
      <c r="HJ612" s="93"/>
      <c r="HK612" s="93"/>
      <c r="HL612" s="93"/>
      <c r="HM612" s="93"/>
      <c r="HN612" s="20"/>
      <c r="HO612" s="219"/>
      <c r="HP612" s="20"/>
      <c r="HQ612" s="25"/>
      <c r="HR612" s="29"/>
      <c r="HS612" s="1504">
        <v>53083</v>
      </c>
      <c r="HT612" s="19"/>
      <c r="HU612" s="93"/>
      <c r="HV612" s="93"/>
      <c r="HW612" s="93"/>
      <c r="HX612" s="93"/>
      <c r="HY612" s="93"/>
      <c r="HZ612" s="93"/>
      <c r="IA612" s="20"/>
      <c r="IB612" s="19"/>
      <c r="IC612" s="93"/>
      <c r="ID612" s="93"/>
      <c r="IE612" s="93"/>
      <c r="IF612" s="93"/>
      <c r="IG612" s="20"/>
      <c r="IH612" s="19"/>
      <c r="II612" s="93"/>
      <c r="IJ612" s="93"/>
      <c r="IK612" s="93"/>
      <c r="IL612" s="93"/>
      <c r="IM612" s="93"/>
      <c r="IN612" s="93"/>
      <c r="IO612" s="20"/>
      <c r="IP612" s="29"/>
      <c r="IQ612" s="19"/>
      <c r="IR612" s="93"/>
      <c r="IS612" s="93"/>
      <c r="IT612" s="93"/>
      <c r="IU612" s="93"/>
      <c r="IV612" s="20"/>
      <c r="IW612" s="29"/>
      <c r="IX612" s="19"/>
      <c r="IY612" s="93"/>
      <c r="IZ612" s="93"/>
      <c r="JA612" s="93"/>
      <c r="JB612" s="93"/>
      <c r="JC612" s="93"/>
      <c r="JD612" s="93"/>
      <c r="JE612" s="20"/>
      <c r="JF612" s="29"/>
      <c r="JG612" s="19"/>
      <c r="JH612" s="93"/>
      <c r="JI612" s="93"/>
      <c r="JJ612" s="93"/>
      <c r="JK612" s="93"/>
      <c r="JL612" s="93"/>
      <c r="JM612" s="93"/>
      <c r="JN612" s="20"/>
      <c r="JO612" s="29"/>
      <c r="JP612" s="19"/>
      <c r="JQ612" s="93"/>
      <c r="JR612" s="93"/>
      <c r="JS612" s="93"/>
      <c r="JT612" s="93"/>
      <c r="JU612" s="20"/>
      <c r="JV612" s="29"/>
      <c r="JW612" s="1504">
        <v>53083</v>
      </c>
      <c r="JX612" s="19"/>
      <c r="JY612" s="93"/>
      <c r="JZ612" s="93"/>
      <c r="KA612" s="93"/>
      <c r="KB612" s="93"/>
      <c r="KC612" s="93"/>
      <c r="KD612" s="20"/>
      <c r="KE612" s="29"/>
      <c r="KF612" s="19"/>
      <c r="KG612" s="93"/>
      <c r="KH612" s="93"/>
      <c r="KI612" s="93"/>
      <c r="KJ612" s="93"/>
      <c r="KK612" s="20"/>
      <c r="KL612" s="29"/>
      <c r="KM612" s="19"/>
      <c r="KN612" s="93"/>
      <c r="KO612" s="93"/>
      <c r="KP612" s="93"/>
      <c r="KQ612" s="93"/>
      <c r="KR612" s="20"/>
      <c r="KS612" s="29"/>
      <c r="KT612" s="19"/>
      <c r="KU612" s="93"/>
      <c r="KV612" s="93"/>
      <c r="KW612" s="93"/>
      <c r="KX612" s="93"/>
      <c r="KY612" s="20"/>
      <c r="KZ612" s="29"/>
      <c r="LA612" s="1504">
        <v>53083</v>
      </c>
      <c r="LB612" s="19"/>
      <c r="LC612" s="93"/>
      <c r="LD612" s="93"/>
      <c r="LE612" s="93"/>
      <c r="LF612" s="93"/>
      <c r="LG612" s="93"/>
      <c r="LH612" s="20"/>
      <c r="LI612" s="29"/>
      <c r="LJ612" s="19"/>
      <c r="LK612" s="93"/>
      <c r="LL612" s="93"/>
      <c r="LM612" s="93"/>
      <c r="LN612" s="93"/>
      <c r="LO612" s="20"/>
      <c r="LP612" s="29"/>
      <c r="LQ612" s="19"/>
      <c r="LR612" s="93"/>
      <c r="LS612" s="93"/>
      <c r="LT612" s="93"/>
      <c r="LU612" s="93"/>
      <c r="LV612" s="93"/>
      <c r="LW612" s="93"/>
      <c r="LX612" s="93"/>
      <c r="LY612" s="93"/>
      <c r="LZ612" s="93"/>
      <c r="MA612" s="20"/>
      <c r="MB612" s="29"/>
      <c r="MC612" s="1504">
        <v>53083</v>
      </c>
      <c r="MD612" s="19"/>
      <c r="ME612" s="93"/>
      <c r="MF612" s="93"/>
      <c r="MG612" s="93"/>
      <c r="MH612" s="93"/>
      <c r="MI612" s="93"/>
      <c r="MJ612" s="93"/>
      <c r="MK612" s="93"/>
      <c r="ML612" s="93"/>
      <c r="MM612" s="93"/>
      <c r="MN612" s="93"/>
      <c r="MO612" s="93"/>
      <c r="MP612" s="93"/>
      <c r="MQ612" s="93"/>
      <c r="MR612" s="93"/>
      <c r="MS612" s="93"/>
      <c r="MT612" s="93"/>
      <c r="MU612" s="93"/>
      <c r="MV612" s="93"/>
      <c r="MW612" s="93"/>
      <c r="MX612" s="93"/>
      <c r="MY612" s="93"/>
      <c r="MZ612" s="93"/>
      <c r="NA612" s="93"/>
      <c r="NB612" s="93"/>
      <c r="NC612" s="93"/>
      <c r="ND612" s="93"/>
      <c r="NE612" s="93"/>
      <c r="NF612" s="93"/>
      <c r="NG612" s="93"/>
      <c r="NH612" s="93"/>
      <c r="NI612" s="93"/>
      <c r="NJ612" s="93"/>
      <c r="NK612" s="93"/>
      <c r="NL612" s="93"/>
      <c r="NM612" s="93"/>
      <c r="NN612" s="93"/>
      <c r="NO612" s="93"/>
      <c r="NP612" s="93"/>
      <c r="NQ612" s="93"/>
      <c r="NR612" s="93"/>
      <c r="NS612" s="93"/>
      <c r="NT612" s="93"/>
      <c r="NU612" s="93"/>
      <c r="NV612" s="93"/>
      <c r="NW612" s="93"/>
      <c r="NX612" s="93"/>
      <c r="NY612" s="93"/>
      <c r="NZ612" s="93"/>
      <c r="OA612" s="93"/>
      <c r="OB612" s="93"/>
      <c r="OC612" s="93"/>
      <c r="OD612" s="20"/>
      <c r="OE612" s="29"/>
      <c r="OF612" s="1504">
        <v>53083</v>
      </c>
      <c r="OG612" s="19"/>
      <c r="OH612" s="93"/>
      <c r="OI612" s="93"/>
      <c r="OJ612" s="93"/>
      <c r="OK612" s="93"/>
      <c r="OL612" s="93"/>
      <c r="OM612" s="93"/>
      <c r="ON612" s="93"/>
      <c r="OO612" s="93"/>
      <c r="OP612" s="93"/>
      <c r="OQ612" s="93"/>
      <c r="OR612" s="93"/>
      <c r="OS612" s="93"/>
      <c r="OT612" s="93"/>
      <c r="OU612" s="93"/>
      <c r="OV612" s="93"/>
      <c r="OW612" s="93"/>
      <c r="OX612" s="93"/>
      <c r="OY612" s="93"/>
      <c r="OZ612" s="93"/>
      <c r="PA612" s="93"/>
      <c r="PB612" s="93"/>
      <c r="PC612" s="20"/>
      <c r="PD612" s="29"/>
      <c r="PE612" s="19"/>
      <c r="PF612" s="93"/>
      <c r="PG612" s="93"/>
      <c r="PH612" s="93"/>
      <c r="PI612" s="93"/>
      <c r="PJ612" s="93"/>
      <c r="PK612" s="93"/>
      <c r="PL612" s="93"/>
      <c r="PM612" s="93"/>
      <c r="PN612" s="93"/>
      <c r="PO612" s="93"/>
      <c r="PP612" s="93"/>
      <c r="PQ612" s="93"/>
      <c r="PR612" s="93"/>
      <c r="PS612" s="93"/>
      <c r="PT612" s="93"/>
      <c r="PU612" s="93"/>
      <c r="PV612" s="93"/>
      <c r="PW612" s="93"/>
      <c r="PX612" s="93"/>
      <c r="PY612" s="93"/>
      <c r="PZ612" s="93"/>
      <c r="QA612" s="93"/>
      <c r="QB612" s="93"/>
      <c r="QC612" s="93"/>
      <c r="QD612" s="93"/>
      <c r="QE612" s="20"/>
      <c r="QF612" s="1739"/>
      <c r="QG612" s="19"/>
      <c r="QH612" s="93"/>
      <c r="QI612" s="93"/>
      <c r="QJ612" s="93"/>
      <c r="QK612" s="93"/>
      <c r="QL612" s="93"/>
      <c r="QM612" s="93"/>
      <c r="QN612" s="93"/>
      <c r="QO612" s="93"/>
      <c r="QP612" s="93"/>
      <c r="QQ612" s="93"/>
      <c r="QR612" s="93"/>
      <c r="QS612" s="93"/>
      <c r="QT612" s="93"/>
      <c r="QU612" s="93"/>
      <c r="QV612" s="93"/>
      <c r="QW612" s="93"/>
      <c r="QX612" s="93"/>
      <c r="QY612" s="93"/>
      <c r="QZ612" s="93"/>
      <c r="RA612" s="93"/>
      <c r="RB612" s="93"/>
      <c r="RC612" s="93"/>
      <c r="RD612" s="93"/>
      <c r="RE612" s="93"/>
      <c r="RF612" s="93"/>
      <c r="RG612" s="93"/>
      <c r="RH612" s="93"/>
      <c r="RI612" s="93"/>
      <c r="RJ612" s="93"/>
      <c r="RK612" s="93"/>
      <c r="RL612" s="93"/>
      <c r="RM612" s="20"/>
      <c r="RN612" s="29"/>
      <c r="RO612" s="19"/>
      <c r="RP612" s="20"/>
      <c r="RQ612" s="29"/>
      <c r="RR612" s="20"/>
      <c r="RS612" s="29"/>
      <c r="RT612" s="1504">
        <v>53083</v>
      </c>
      <c r="RU612" s="19"/>
      <c r="RV612" s="20"/>
      <c r="RW612" s="29"/>
      <c r="RX612" s="1504">
        <v>53083</v>
      </c>
      <c r="RY612" s="29"/>
      <c r="RZ612" s="20"/>
      <c r="SA612" s="29"/>
      <c r="SB612" s="29"/>
    </row>
    <row r="613" spans="1:496">
      <c r="A613" s="41">
        <f t="shared" si="364"/>
        <v>2045</v>
      </c>
      <c r="B613" s="1504">
        <v>53114</v>
      </c>
      <c r="C613" s="1813"/>
      <c r="D613" s="1814"/>
      <c r="E613" s="1814"/>
      <c r="F613" s="1815"/>
      <c r="G613" s="1814"/>
      <c r="H613" s="1814"/>
      <c r="I613" s="1814"/>
      <c r="J613" s="1816"/>
      <c r="K613" s="1807"/>
      <c r="L613" s="25"/>
      <c r="M613" s="97"/>
      <c r="N613" s="1504">
        <v>53114</v>
      </c>
      <c r="O613" s="19"/>
      <c r="P613" s="93"/>
      <c r="Q613" s="93"/>
      <c r="R613" s="93"/>
      <c r="S613" s="93"/>
      <c r="T613" s="93"/>
      <c r="U613" s="93"/>
      <c r="V613" s="93"/>
      <c r="W613" s="93"/>
      <c r="X613" s="93"/>
      <c r="Y613" s="93"/>
      <c r="Z613" s="93"/>
      <c r="AA613" s="93"/>
      <c r="AB613" s="20"/>
      <c r="AC613" s="25"/>
      <c r="AD613" s="97"/>
      <c r="AE613" s="1504">
        <v>53114</v>
      </c>
      <c r="AF613" s="19"/>
      <c r="AG613" s="93"/>
      <c r="AH613" s="93"/>
      <c r="AI613" s="93"/>
      <c r="AJ613" s="93"/>
      <c r="AK613" s="93"/>
      <c r="AL613" s="93"/>
      <c r="AM613" s="93"/>
      <c r="AN613" s="93"/>
      <c r="AO613" s="93"/>
      <c r="AP613" s="93"/>
      <c r="AQ613" s="93"/>
      <c r="AR613" s="93"/>
      <c r="AS613" s="20"/>
      <c r="AT613" s="25"/>
      <c r="AU613" s="97"/>
      <c r="AV613" s="1504">
        <v>53114</v>
      </c>
      <c r="AW613" s="19"/>
      <c r="AX613" s="93"/>
      <c r="AY613" s="93"/>
      <c r="AZ613" s="93"/>
      <c r="BA613" s="93"/>
      <c r="BB613" s="93"/>
      <c r="BC613" s="93"/>
      <c r="BD613" s="93"/>
      <c r="BE613" s="93"/>
      <c r="BF613" s="93"/>
      <c r="BG613" s="93"/>
      <c r="BH613" s="93"/>
      <c r="BI613" s="93"/>
      <c r="BJ613" s="20"/>
      <c r="BK613" s="25"/>
      <c r="BL613" s="97"/>
      <c r="BM613" s="1504">
        <v>53114</v>
      </c>
      <c r="BN613" s="19"/>
      <c r="BO613" s="93"/>
      <c r="BP613" s="93"/>
      <c r="BQ613" s="93"/>
      <c r="BR613" s="93"/>
      <c r="BS613" s="93"/>
      <c r="BT613" s="93"/>
      <c r="BU613" s="20"/>
      <c r="BV613" s="25"/>
      <c r="BW613" s="97"/>
      <c r="BX613" s="1504">
        <v>53114</v>
      </c>
      <c r="BY613" s="19"/>
      <c r="BZ613" s="93"/>
      <c r="CA613" s="93"/>
      <c r="CB613" s="93"/>
      <c r="CC613" s="93"/>
      <c r="CD613" s="25"/>
      <c r="CE613" s="97"/>
      <c r="CF613" s="1504">
        <v>53114</v>
      </c>
      <c r="CG613" s="19"/>
      <c r="CH613" s="93"/>
      <c r="CI613" s="219"/>
      <c r="CJ613" s="20"/>
      <c r="CK613" s="19"/>
      <c r="CL613" s="93"/>
      <c r="CM613" s="93"/>
      <c r="CN613" s="93"/>
      <c r="CO613" s="93"/>
      <c r="CP613" s="20"/>
      <c r="CQ613" s="219"/>
      <c r="CR613" s="93"/>
      <c r="CS613" s="93"/>
      <c r="CT613" s="93"/>
      <c r="CU613" s="93"/>
      <c r="CV613" s="214"/>
      <c r="CW613" s="29"/>
      <c r="CX613" s="41">
        <f t="shared" si="363"/>
        <v>2045</v>
      </c>
      <c r="CY613" s="1504">
        <v>53114</v>
      </c>
      <c r="CZ613" s="19"/>
      <c r="DA613" s="93"/>
      <c r="DB613" s="93"/>
      <c r="DC613" s="93"/>
      <c r="DD613" s="93"/>
      <c r="DE613" s="20"/>
      <c r="DF613" s="29"/>
      <c r="DG613" s="1504">
        <v>53114</v>
      </c>
      <c r="DH613" s="19"/>
      <c r="DI613" s="93"/>
      <c r="DJ613" s="93"/>
      <c r="DK613" s="93"/>
      <c r="DL613" s="93"/>
      <c r="DM613" s="93"/>
      <c r="DN613" s="20"/>
      <c r="DO613" s="295"/>
      <c r="DP613" s="29"/>
      <c r="DQ613" s="1504">
        <v>53114</v>
      </c>
      <c r="DR613" s="19"/>
      <c r="DS613" s="93"/>
      <c r="DT613" s="93"/>
      <c r="DU613" s="93"/>
      <c r="DV613" s="93"/>
      <c r="DW613" s="93"/>
      <c r="DX613" s="20"/>
      <c r="DY613" s="29"/>
      <c r="DZ613" s="1504">
        <v>53114</v>
      </c>
      <c r="EA613" s="19"/>
      <c r="EB613" s="93"/>
      <c r="EC613" s="20"/>
      <c r="ED613" s="29"/>
      <c r="EE613" s="1504">
        <v>53114</v>
      </c>
      <c r="EF613" s="19"/>
      <c r="EG613" s="93"/>
      <c r="EH613" s="93"/>
      <c r="EI613" s="214"/>
      <c r="EJ613" s="93"/>
      <c r="EK613" s="93"/>
      <c r="EL613" s="93"/>
      <c r="EM613" s="93"/>
      <c r="EN613" s="20"/>
      <c r="EO613" s="29"/>
      <c r="EP613" s="1504">
        <v>53114</v>
      </c>
      <c r="EQ613" s="19"/>
      <c r="ER613" s="93"/>
      <c r="ES613" s="93"/>
      <c r="ET613" s="214"/>
      <c r="EU613" s="93"/>
      <c r="EV613" s="93"/>
      <c r="EW613" s="93"/>
      <c r="EX613" s="93"/>
      <c r="EY613" s="20"/>
      <c r="EZ613" s="29"/>
      <c r="FA613" s="1504">
        <v>53114</v>
      </c>
      <c r="FB613" s="29"/>
      <c r="FC613" s="29"/>
      <c r="FD613" s="29"/>
      <c r="FE613" s="29"/>
      <c r="FF613" s="29"/>
      <c r="FG613" s="29"/>
      <c r="FH613" s="29"/>
      <c r="FI613" s="29"/>
      <c r="FJ613" s="29"/>
      <c r="FK613" s="29"/>
      <c r="FL613" s="1504">
        <v>53114</v>
      </c>
      <c r="FM613" s="19"/>
      <c r="FN613" s="93"/>
      <c r="FO613" s="93"/>
      <c r="FP613" s="93"/>
      <c r="FQ613" s="93"/>
      <c r="FR613" s="93"/>
      <c r="FS613" s="93"/>
      <c r="FT613" s="93"/>
      <c r="FU613" s="93"/>
      <c r="FV613" s="93"/>
      <c r="FW613" s="93"/>
      <c r="FX613" s="93"/>
      <c r="FY613" s="93"/>
      <c r="FZ613" s="29"/>
      <c r="GA613" s="1504">
        <v>53114</v>
      </c>
      <c r="GB613" s="19"/>
      <c r="GC613" s="93"/>
      <c r="GD613" s="93"/>
      <c r="GE613" s="93"/>
      <c r="GF613" s="93"/>
      <c r="GG613" s="93"/>
      <c r="GH613" s="93"/>
      <c r="GI613" s="93"/>
      <c r="GJ613" s="93"/>
      <c r="GK613" s="93"/>
      <c r="GL613" s="93"/>
      <c r="GM613" s="93"/>
      <c r="GN613" s="20"/>
      <c r="GO613" s="29"/>
      <c r="GP613" s="1504">
        <v>53114</v>
      </c>
      <c r="GQ613" s="19"/>
      <c r="GR613" s="93"/>
      <c r="GS613" s="93"/>
      <c r="GT613" s="93"/>
      <c r="GU613" s="93"/>
      <c r="GV613" s="20"/>
      <c r="GW613" s="19"/>
      <c r="GX613" s="93"/>
      <c r="GY613" s="93"/>
      <c r="GZ613" s="93"/>
      <c r="HA613" s="93"/>
      <c r="HB613" s="20"/>
      <c r="HC613" s="19"/>
      <c r="HD613" s="93"/>
      <c r="HE613" s="93"/>
      <c r="HF613" s="93"/>
      <c r="HG613" s="93"/>
      <c r="HH613" s="20"/>
      <c r="HI613" s="19"/>
      <c r="HJ613" s="93"/>
      <c r="HK613" s="93"/>
      <c r="HL613" s="93"/>
      <c r="HM613" s="93"/>
      <c r="HN613" s="20"/>
      <c r="HO613" s="219"/>
      <c r="HP613" s="20"/>
      <c r="HQ613" s="25"/>
      <c r="HR613" s="29"/>
      <c r="HS613" s="1504">
        <v>53114</v>
      </c>
      <c r="HT613" s="19"/>
      <c r="HU613" s="93"/>
      <c r="HV613" s="93"/>
      <c r="HW613" s="93"/>
      <c r="HX613" s="93"/>
      <c r="HY613" s="93"/>
      <c r="HZ613" s="93"/>
      <c r="IA613" s="20"/>
      <c r="IB613" s="19"/>
      <c r="IC613" s="93"/>
      <c r="ID613" s="93"/>
      <c r="IE613" s="93"/>
      <c r="IF613" s="93"/>
      <c r="IG613" s="20"/>
      <c r="IH613" s="19"/>
      <c r="II613" s="93"/>
      <c r="IJ613" s="93"/>
      <c r="IK613" s="93"/>
      <c r="IL613" s="93"/>
      <c r="IM613" s="93"/>
      <c r="IN613" s="93"/>
      <c r="IO613" s="20"/>
      <c r="IP613" s="29"/>
      <c r="IQ613" s="19"/>
      <c r="IR613" s="93"/>
      <c r="IS613" s="93"/>
      <c r="IT613" s="93"/>
      <c r="IU613" s="93"/>
      <c r="IV613" s="20"/>
      <c r="IW613" s="29"/>
      <c r="IX613" s="19"/>
      <c r="IY613" s="93"/>
      <c r="IZ613" s="93"/>
      <c r="JA613" s="93"/>
      <c r="JB613" s="93"/>
      <c r="JC613" s="93"/>
      <c r="JD613" s="93"/>
      <c r="JE613" s="20"/>
      <c r="JF613" s="29"/>
      <c r="JG613" s="19"/>
      <c r="JH613" s="93"/>
      <c r="JI613" s="93"/>
      <c r="JJ613" s="93"/>
      <c r="JK613" s="93"/>
      <c r="JL613" s="93"/>
      <c r="JM613" s="93"/>
      <c r="JN613" s="20"/>
      <c r="JO613" s="29"/>
      <c r="JP613" s="19"/>
      <c r="JQ613" s="93"/>
      <c r="JR613" s="93"/>
      <c r="JS613" s="93"/>
      <c r="JT613" s="93"/>
      <c r="JU613" s="20"/>
      <c r="JV613" s="29"/>
      <c r="JW613" s="1504">
        <v>53114</v>
      </c>
      <c r="JX613" s="19"/>
      <c r="JY613" s="93"/>
      <c r="JZ613" s="93"/>
      <c r="KA613" s="93"/>
      <c r="KB613" s="93"/>
      <c r="KC613" s="93"/>
      <c r="KD613" s="20"/>
      <c r="KE613" s="29"/>
      <c r="KF613" s="19"/>
      <c r="KG613" s="93"/>
      <c r="KH613" s="93"/>
      <c r="KI613" s="93"/>
      <c r="KJ613" s="93"/>
      <c r="KK613" s="20"/>
      <c r="KL613" s="29"/>
      <c r="KM613" s="19"/>
      <c r="KN613" s="93"/>
      <c r="KO613" s="93"/>
      <c r="KP613" s="93"/>
      <c r="KQ613" s="93"/>
      <c r="KR613" s="20"/>
      <c r="KS613" s="29"/>
      <c r="KT613" s="19"/>
      <c r="KU613" s="93"/>
      <c r="KV613" s="93"/>
      <c r="KW613" s="93"/>
      <c r="KX613" s="93"/>
      <c r="KY613" s="20"/>
      <c r="KZ613" s="29"/>
      <c r="LA613" s="1504">
        <v>53114</v>
      </c>
      <c r="LB613" s="19"/>
      <c r="LC613" s="93"/>
      <c r="LD613" s="93"/>
      <c r="LE613" s="93"/>
      <c r="LF613" s="93"/>
      <c r="LG613" s="93"/>
      <c r="LH613" s="20"/>
      <c r="LI613" s="29"/>
      <c r="LJ613" s="19"/>
      <c r="LK613" s="93"/>
      <c r="LL613" s="93"/>
      <c r="LM613" s="93"/>
      <c r="LN613" s="93"/>
      <c r="LO613" s="20"/>
      <c r="LP613" s="29"/>
      <c r="LQ613" s="19"/>
      <c r="LR613" s="93"/>
      <c r="LS613" s="93"/>
      <c r="LT613" s="93"/>
      <c r="LU613" s="93"/>
      <c r="LV613" s="93"/>
      <c r="LW613" s="93"/>
      <c r="LX613" s="93"/>
      <c r="LY613" s="93"/>
      <c r="LZ613" s="93"/>
      <c r="MA613" s="20"/>
      <c r="MB613" s="29"/>
      <c r="MC613" s="1504">
        <v>53114</v>
      </c>
      <c r="MD613" s="19"/>
      <c r="ME613" s="93"/>
      <c r="MF613" s="93"/>
      <c r="MG613" s="93"/>
      <c r="MH613" s="93"/>
      <c r="MI613" s="93"/>
      <c r="MJ613" s="93"/>
      <c r="MK613" s="93"/>
      <c r="ML613" s="93"/>
      <c r="MM613" s="93"/>
      <c r="MN613" s="93"/>
      <c r="MO613" s="93"/>
      <c r="MP613" s="93"/>
      <c r="MQ613" s="93"/>
      <c r="MR613" s="93"/>
      <c r="MS613" s="93"/>
      <c r="MT613" s="93"/>
      <c r="MU613" s="93"/>
      <c r="MV613" s="93"/>
      <c r="MW613" s="93"/>
      <c r="MX613" s="93"/>
      <c r="MY613" s="93"/>
      <c r="MZ613" s="93"/>
      <c r="NA613" s="93"/>
      <c r="NB613" s="93"/>
      <c r="NC613" s="93"/>
      <c r="ND613" s="93"/>
      <c r="NE613" s="93"/>
      <c r="NF613" s="93"/>
      <c r="NG613" s="93"/>
      <c r="NH613" s="93"/>
      <c r="NI613" s="93"/>
      <c r="NJ613" s="93"/>
      <c r="NK613" s="93"/>
      <c r="NL613" s="93"/>
      <c r="NM613" s="93"/>
      <c r="NN613" s="93"/>
      <c r="NO613" s="93"/>
      <c r="NP613" s="93"/>
      <c r="NQ613" s="93"/>
      <c r="NR613" s="93"/>
      <c r="NS613" s="93"/>
      <c r="NT613" s="93"/>
      <c r="NU613" s="93"/>
      <c r="NV613" s="93"/>
      <c r="NW613" s="93"/>
      <c r="NX613" s="93"/>
      <c r="NY613" s="93"/>
      <c r="NZ613" s="93"/>
      <c r="OA613" s="93"/>
      <c r="OB613" s="93"/>
      <c r="OC613" s="93"/>
      <c r="OD613" s="20"/>
      <c r="OE613" s="29"/>
      <c r="OF613" s="1504">
        <v>53114</v>
      </c>
      <c r="OG613" s="19"/>
      <c r="OH613" s="93"/>
      <c r="OI613" s="93"/>
      <c r="OJ613" s="93"/>
      <c r="OK613" s="93"/>
      <c r="OL613" s="93"/>
      <c r="OM613" s="93"/>
      <c r="ON613" s="93"/>
      <c r="OO613" s="93"/>
      <c r="OP613" s="93"/>
      <c r="OQ613" s="93"/>
      <c r="OR613" s="93"/>
      <c r="OS613" s="93"/>
      <c r="OT613" s="93"/>
      <c r="OU613" s="93"/>
      <c r="OV613" s="93"/>
      <c r="OW613" s="93"/>
      <c r="OX613" s="93"/>
      <c r="OY613" s="93"/>
      <c r="OZ613" s="93"/>
      <c r="PA613" s="93"/>
      <c r="PB613" s="93"/>
      <c r="PC613" s="20"/>
      <c r="PD613" s="29"/>
      <c r="PE613" s="19"/>
      <c r="PF613" s="93"/>
      <c r="PG613" s="93"/>
      <c r="PH613" s="93"/>
      <c r="PI613" s="93"/>
      <c r="PJ613" s="93"/>
      <c r="PK613" s="93"/>
      <c r="PL613" s="93"/>
      <c r="PM613" s="93"/>
      <c r="PN613" s="93"/>
      <c r="PO613" s="93"/>
      <c r="PP613" s="93"/>
      <c r="PQ613" s="93"/>
      <c r="PR613" s="93"/>
      <c r="PS613" s="93"/>
      <c r="PT613" s="93"/>
      <c r="PU613" s="93"/>
      <c r="PV613" s="93"/>
      <c r="PW613" s="93"/>
      <c r="PX613" s="93"/>
      <c r="PY613" s="93"/>
      <c r="PZ613" s="93"/>
      <c r="QA613" s="93"/>
      <c r="QB613" s="93"/>
      <c r="QC613" s="93"/>
      <c r="QD613" s="93"/>
      <c r="QE613" s="20"/>
      <c r="QF613" s="1739"/>
      <c r="QG613" s="19"/>
      <c r="QH613" s="93"/>
      <c r="QI613" s="93"/>
      <c r="QJ613" s="93"/>
      <c r="QK613" s="93"/>
      <c r="QL613" s="93"/>
      <c r="QM613" s="93"/>
      <c r="QN613" s="93"/>
      <c r="QO613" s="93"/>
      <c r="QP613" s="93"/>
      <c r="QQ613" s="93"/>
      <c r="QR613" s="93"/>
      <c r="QS613" s="93"/>
      <c r="QT613" s="93"/>
      <c r="QU613" s="93"/>
      <c r="QV613" s="93"/>
      <c r="QW613" s="93"/>
      <c r="QX613" s="93"/>
      <c r="QY613" s="93"/>
      <c r="QZ613" s="93"/>
      <c r="RA613" s="93"/>
      <c r="RB613" s="93"/>
      <c r="RC613" s="93"/>
      <c r="RD613" s="93"/>
      <c r="RE613" s="93"/>
      <c r="RF613" s="93"/>
      <c r="RG613" s="93"/>
      <c r="RH613" s="93"/>
      <c r="RI613" s="93"/>
      <c r="RJ613" s="93"/>
      <c r="RK613" s="93"/>
      <c r="RL613" s="93"/>
      <c r="RM613" s="20"/>
      <c r="RN613" s="29"/>
      <c r="RO613" s="19"/>
      <c r="RP613" s="20"/>
      <c r="RQ613" s="29"/>
      <c r="RR613" s="20"/>
      <c r="RS613" s="29"/>
      <c r="RT613" s="1504">
        <v>53114</v>
      </c>
      <c r="RU613" s="19"/>
      <c r="RV613" s="20"/>
      <c r="RW613" s="29"/>
      <c r="RX613" s="1504">
        <v>53114</v>
      </c>
      <c r="RY613" s="29"/>
      <c r="RZ613" s="20"/>
      <c r="SA613" s="29"/>
      <c r="SB613" s="29"/>
    </row>
    <row r="614" spans="1:496">
      <c r="A614" s="41">
        <f t="shared" si="364"/>
        <v>2045</v>
      </c>
      <c r="B614" s="1504">
        <v>53144</v>
      </c>
      <c r="C614" s="1813"/>
      <c r="D614" s="1814"/>
      <c r="E614" s="1814"/>
      <c r="F614" s="1815"/>
      <c r="G614" s="1814"/>
      <c r="H614" s="1814"/>
      <c r="I614" s="1814"/>
      <c r="J614" s="1816"/>
      <c r="K614" s="1807"/>
      <c r="L614" s="25"/>
      <c r="M614" s="97"/>
      <c r="N614" s="1504">
        <v>53144</v>
      </c>
      <c r="O614" s="19"/>
      <c r="P614" s="93"/>
      <c r="Q614" s="93"/>
      <c r="R614" s="93"/>
      <c r="S614" s="93"/>
      <c r="T614" s="93"/>
      <c r="U614" s="93"/>
      <c r="V614" s="93"/>
      <c r="W614" s="93"/>
      <c r="X614" s="93"/>
      <c r="Y614" s="93"/>
      <c r="Z614" s="93"/>
      <c r="AA614" s="93"/>
      <c r="AB614" s="20"/>
      <c r="AC614" s="25"/>
      <c r="AD614" s="97"/>
      <c r="AE614" s="1504">
        <v>53144</v>
      </c>
      <c r="AF614" s="19"/>
      <c r="AG614" s="93"/>
      <c r="AH614" s="93"/>
      <c r="AI614" s="93"/>
      <c r="AJ614" s="93"/>
      <c r="AK614" s="93"/>
      <c r="AL614" s="93"/>
      <c r="AM614" s="93"/>
      <c r="AN614" s="93"/>
      <c r="AO614" s="93"/>
      <c r="AP614" s="93"/>
      <c r="AQ614" s="93"/>
      <c r="AR614" s="93"/>
      <c r="AS614" s="20"/>
      <c r="AT614" s="25"/>
      <c r="AU614" s="97"/>
      <c r="AV614" s="1504">
        <v>53144</v>
      </c>
      <c r="AW614" s="19"/>
      <c r="AX614" s="93"/>
      <c r="AY614" s="93"/>
      <c r="AZ614" s="93"/>
      <c r="BA614" s="93"/>
      <c r="BB614" s="93"/>
      <c r="BC614" s="93"/>
      <c r="BD614" s="93"/>
      <c r="BE614" s="93"/>
      <c r="BF614" s="93"/>
      <c r="BG614" s="93"/>
      <c r="BH614" s="93"/>
      <c r="BI614" s="93"/>
      <c r="BJ614" s="20"/>
      <c r="BK614" s="25"/>
      <c r="BL614" s="97"/>
      <c r="BM614" s="1504">
        <v>53144</v>
      </c>
      <c r="BN614" s="19"/>
      <c r="BO614" s="93"/>
      <c r="BP614" s="93"/>
      <c r="BQ614" s="93"/>
      <c r="BR614" s="93"/>
      <c r="BS614" s="93"/>
      <c r="BT614" s="93"/>
      <c r="BU614" s="20"/>
      <c r="BV614" s="25"/>
      <c r="BW614" s="97"/>
      <c r="BX614" s="1504">
        <v>53144</v>
      </c>
      <c r="BY614" s="19"/>
      <c r="BZ614" s="93"/>
      <c r="CA614" s="93"/>
      <c r="CB614" s="93"/>
      <c r="CC614" s="93"/>
      <c r="CD614" s="25"/>
      <c r="CE614" s="97"/>
      <c r="CF614" s="1504">
        <v>53144</v>
      </c>
      <c r="CG614" s="19"/>
      <c r="CH614" s="93"/>
      <c r="CI614" s="219"/>
      <c r="CJ614" s="20"/>
      <c r="CK614" s="19"/>
      <c r="CL614" s="93"/>
      <c r="CM614" s="93"/>
      <c r="CN614" s="93"/>
      <c r="CO614" s="93"/>
      <c r="CP614" s="20"/>
      <c r="CQ614" s="219"/>
      <c r="CR614" s="93"/>
      <c r="CS614" s="93"/>
      <c r="CT614" s="93"/>
      <c r="CU614" s="93"/>
      <c r="CV614" s="214"/>
      <c r="CW614" s="29"/>
      <c r="CX614" s="41">
        <f t="shared" si="363"/>
        <v>2045</v>
      </c>
      <c r="CY614" s="1504">
        <v>53144</v>
      </c>
      <c r="CZ614" s="19"/>
      <c r="DA614" s="93"/>
      <c r="DB614" s="93"/>
      <c r="DC614" s="93"/>
      <c r="DD614" s="93"/>
      <c r="DE614" s="20"/>
      <c r="DF614" s="29"/>
      <c r="DG614" s="1504">
        <v>53144</v>
      </c>
      <c r="DH614" s="19"/>
      <c r="DI614" s="93"/>
      <c r="DJ614" s="93"/>
      <c r="DK614" s="93"/>
      <c r="DL614" s="93"/>
      <c r="DM614" s="93"/>
      <c r="DN614" s="20"/>
      <c r="DO614" s="295"/>
      <c r="DP614" s="29"/>
      <c r="DQ614" s="1504">
        <v>53144</v>
      </c>
      <c r="DR614" s="19"/>
      <c r="DS614" s="93"/>
      <c r="DT614" s="93"/>
      <c r="DU614" s="93"/>
      <c r="DV614" s="93"/>
      <c r="DW614" s="93"/>
      <c r="DX614" s="20"/>
      <c r="DY614" s="29"/>
      <c r="DZ614" s="1504">
        <v>53144</v>
      </c>
      <c r="EA614" s="19"/>
      <c r="EB614" s="93"/>
      <c r="EC614" s="20"/>
      <c r="ED614" s="29"/>
      <c r="EE614" s="1504">
        <v>53144</v>
      </c>
      <c r="EF614" s="19"/>
      <c r="EG614" s="93"/>
      <c r="EH614" s="93"/>
      <c r="EI614" s="214"/>
      <c r="EJ614" s="93"/>
      <c r="EK614" s="93"/>
      <c r="EL614" s="93"/>
      <c r="EM614" s="93"/>
      <c r="EN614" s="20"/>
      <c r="EO614" s="29"/>
      <c r="EP614" s="1504">
        <v>53144</v>
      </c>
      <c r="EQ614" s="19"/>
      <c r="ER614" s="93"/>
      <c r="ES614" s="93"/>
      <c r="ET614" s="214"/>
      <c r="EU614" s="93"/>
      <c r="EV614" s="93"/>
      <c r="EW614" s="93"/>
      <c r="EX614" s="93"/>
      <c r="EY614" s="20"/>
      <c r="EZ614" s="29"/>
      <c r="FA614" s="1504">
        <v>53144</v>
      </c>
      <c r="FB614" s="29"/>
      <c r="FC614" s="29"/>
      <c r="FD614" s="29"/>
      <c r="FE614" s="29"/>
      <c r="FF614" s="29"/>
      <c r="FG614" s="29"/>
      <c r="FH614" s="29"/>
      <c r="FI614" s="29"/>
      <c r="FJ614" s="29"/>
      <c r="FK614" s="29"/>
      <c r="FL614" s="1504">
        <v>53144</v>
      </c>
      <c r="FM614" s="19"/>
      <c r="FN614" s="93"/>
      <c r="FO614" s="93"/>
      <c r="FP614" s="93"/>
      <c r="FQ614" s="93"/>
      <c r="FR614" s="93"/>
      <c r="FS614" s="93"/>
      <c r="FT614" s="93"/>
      <c r="FU614" s="93"/>
      <c r="FV614" s="93"/>
      <c r="FW614" s="93"/>
      <c r="FX614" s="93"/>
      <c r="FY614" s="93"/>
      <c r="FZ614" s="29"/>
      <c r="GA614" s="1504">
        <v>53144</v>
      </c>
      <c r="GB614" s="19"/>
      <c r="GC614" s="93"/>
      <c r="GD614" s="93"/>
      <c r="GE614" s="93"/>
      <c r="GF614" s="93"/>
      <c r="GG614" s="93"/>
      <c r="GH614" s="93"/>
      <c r="GI614" s="93"/>
      <c r="GJ614" s="93"/>
      <c r="GK614" s="93"/>
      <c r="GL614" s="93"/>
      <c r="GM614" s="93"/>
      <c r="GN614" s="20"/>
      <c r="GO614" s="29"/>
      <c r="GP614" s="1504">
        <v>53144</v>
      </c>
      <c r="GQ614" s="19"/>
      <c r="GR614" s="93"/>
      <c r="GS614" s="93"/>
      <c r="GT614" s="93"/>
      <c r="GU614" s="93"/>
      <c r="GV614" s="20"/>
      <c r="GW614" s="19"/>
      <c r="GX614" s="93"/>
      <c r="GY614" s="93"/>
      <c r="GZ614" s="93"/>
      <c r="HA614" s="93"/>
      <c r="HB614" s="20"/>
      <c r="HC614" s="19"/>
      <c r="HD614" s="93"/>
      <c r="HE614" s="93"/>
      <c r="HF614" s="93"/>
      <c r="HG614" s="93"/>
      <c r="HH614" s="20"/>
      <c r="HI614" s="19"/>
      <c r="HJ614" s="93"/>
      <c r="HK614" s="93"/>
      <c r="HL614" s="93"/>
      <c r="HM614" s="93"/>
      <c r="HN614" s="20"/>
      <c r="HO614" s="219"/>
      <c r="HP614" s="20"/>
      <c r="HQ614" s="25"/>
      <c r="HR614" s="29"/>
      <c r="HS614" s="1504">
        <v>53144</v>
      </c>
      <c r="HT614" s="19"/>
      <c r="HU614" s="93"/>
      <c r="HV614" s="93"/>
      <c r="HW614" s="93"/>
      <c r="HX614" s="93"/>
      <c r="HY614" s="93"/>
      <c r="HZ614" s="93"/>
      <c r="IA614" s="20"/>
      <c r="IB614" s="19"/>
      <c r="IC614" s="93"/>
      <c r="ID614" s="93"/>
      <c r="IE614" s="93"/>
      <c r="IF614" s="93"/>
      <c r="IG614" s="20"/>
      <c r="IH614" s="19"/>
      <c r="II614" s="93"/>
      <c r="IJ614" s="93"/>
      <c r="IK614" s="93"/>
      <c r="IL614" s="93"/>
      <c r="IM614" s="93"/>
      <c r="IN614" s="93"/>
      <c r="IO614" s="20"/>
      <c r="IP614" s="29"/>
      <c r="IQ614" s="19"/>
      <c r="IR614" s="93"/>
      <c r="IS614" s="93"/>
      <c r="IT614" s="93"/>
      <c r="IU614" s="93"/>
      <c r="IV614" s="20"/>
      <c r="IW614" s="29"/>
      <c r="IX614" s="19"/>
      <c r="IY614" s="93"/>
      <c r="IZ614" s="93"/>
      <c r="JA614" s="93"/>
      <c r="JB614" s="93"/>
      <c r="JC614" s="93"/>
      <c r="JD614" s="93"/>
      <c r="JE614" s="20"/>
      <c r="JF614" s="29"/>
      <c r="JG614" s="19"/>
      <c r="JH614" s="93"/>
      <c r="JI614" s="93"/>
      <c r="JJ614" s="93"/>
      <c r="JK614" s="93"/>
      <c r="JL614" s="93"/>
      <c r="JM614" s="93"/>
      <c r="JN614" s="20"/>
      <c r="JO614" s="29"/>
      <c r="JP614" s="19"/>
      <c r="JQ614" s="93"/>
      <c r="JR614" s="93"/>
      <c r="JS614" s="93"/>
      <c r="JT614" s="93"/>
      <c r="JU614" s="20"/>
      <c r="JV614" s="29"/>
      <c r="JW614" s="1504">
        <v>53144</v>
      </c>
      <c r="JX614" s="19"/>
      <c r="JY614" s="93"/>
      <c r="JZ614" s="93"/>
      <c r="KA614" s="93"/>
      <c r="KB614" s="93"/>
      <c r="KC614" s="93"/>
      <c r="KD614" s="20"/>
      <c r="KE614" s="29"/>
      <c r="KF614" s="19"/>
      <c r="KG614" s="93"/>
      <c r="KH614" s="93"/>
      <c r="KI614" s="93"/>
      <c r="KJ614" s="93"/>
      <c r="KK614" s="20"/>
      <c r="KL614" s="29"/>
      <c r="KM614" s="19"/>
      <c r="KN614" s="93"/>
      <c r="KO614" s="93"/>
      <c r="KP614" s="93"/>
      <c r="KQ614" s="93"/>
      <c r="KR614" s="20"/>
      <c r="KS614" s="29"/>
      <c r="KT614" s="19"/>
      <c r="KU614" s="93"/>
      <c r="KV614" s="93"/>
      <c r="KW614" s="93"/>
      <c r="KX614" s="93"/>
      <c r="KY614" s="20"/>
      <c r="KZ614" s="29"/>
      <c r="LA614" s="1504">
        <v>53144</v>
      </c>
      <c r="LB614" s="19"/>
      <c r="LC614" s="93"/>
      <c r="LD614" s="93"/>
      <c r="LE614" s="93"/>
      <c r="LF614" s="93"/>
      <c r="LG614" s="93"/>
      <c r="LH614" s="20"/>
      <c r="LI614" s="29"/>
      <c r="LJ614" s="19"/>
      <c r="LK614" s="93"/>
      <c r="LL614" s="93"/>
      <c r="LM614" s="93"/>
      <c r="LN614" s="93"/>
      <c r="LO614" s="20"/>
      <c r="LP614" s="29"/>
      <c r="LQ614" s="19"/>
      <c r="LR614" s="93"/>
      <c r="LS614" s="93"/>
      <c r="LT614" s="93"/>
      <c r="LU614" s="93"/>
      <c r="LV614" s="93"/>
      <c r="LW614" s="93"/>
      <c r="LX614" s="93"/>
      <c r="LY614" s="93"/>
      <c r="LZ614" s="93"/>
      <c r="MA614" s="20"/>
      <c r="MB614" s="29"/>
      <c r="MC614" s="1504">
        <v>53144</v>
      </c>
      <c r="MD614" s="19"/>
      <c r="ME614" s="93"/>
      <c r="MF614" s="93"/>
      <c r="MG614" s="93"/>
      <c r="MH614" s="93"/>
      <c r="MI614" s="93"/>
      <c r="MJ614" s="93"/>
      <c r="MK614" s="93"/>
      <c r="ML614" s="93"/>
      <c r="MM614" s="93"/>
      <c r="MN614" s="93"/>
      <c r="MO614" s="93"/>
      <c r="MP614" s="93"/>
      <c r="MQ614" s="93"/>
      <c r="MR614" s="93"/>
      <c r="MS614" s="93"/>
      <c r="MT614" s="93"/>
      <c r="MU614" s="93"/>
      <c r="MV614" s="93"/>
      <c r="MW614" s="93"/>
      <c r="MX614" s="93"/>
      <c r="MY614" s="93"/>
      <c r="MZ614" s="93"/>
      <c r="NA614" s="93"/>
      <c r="NB614" s="93"/>
      <c r="NC614" s="93"/>
      <c r="ND614" s="93"/>
      <c r="NE614" s="93"/>
      <c r="NF614" s="93"/>
      <c r="NG614" s="93"/>
      <c r="NH614" s="93"/>
      <c r="NI614" s="93"/>
      <c r="NJ614" s="93"/>
      <c r="NK614" s="93"/>
      <c r="NL614" s="93"/>
      <c r="NM614" s="93"/>
      <c r="NN614" s="93"/>
      <c r="NO614" s="93"/>
      <c r="NP614" s="93"/>
      <c r="NQ614" s="93"/>
      <c r="NR614" s="93"/>
      <c r="NS614" s="93"/>
      <c r="NT614" s="93"/>
      <c r="NU614" s="93"/>
      <c r="NV614" s="93"/>
      <c r="NW614" s="93"/>
      <c r="NX614" s="93"/>
      <c r="NY614" s="93"/>
      <c r="NZ614" s="93"/>
      <c r="OA614" s="93"/>
      <c r="OB614" s="93"/>
      <c r="OC614" s="93"/>
      <c r="OD614" s="20"/>
      <c r="OE614" s="29"/>
      <c r="OF614" s="1504">
        <v>53144</v>
      </c>
      <c r="OG614" s="19"/>
      <c r="OH614" s="93"/>
      <c r="OI614" s="93"/>
      <c r="OJ614" s="93"/>
      <c r="OK614" s="93"/>
      <c r="OL614" s="93"/>
      <c r="OM614" s="93"/>
      <c r="ON614" s="93"/>
      <c r="OO614" s="93"/>
      <c r="OP614" s="93"/>
      <c r="OQ614" s="93"/>
      <c r="OR614" s="93"/>
      <c r="OS614" s="93"/>
      <c r="OT614" s="93"/>
      <c r="OU614" s="93"/>
      <c r="OV614" s="93"/>
      <c r="OW614" s="93"/>
      <c r="OX614" s="93"/>
      <c r="OY614" s="93"/>
      <c r="OZ614" s="93"/>
      <c r="PA614" s="93"/>
      <c r="PB614" s="93"/>
      <c r="PC614" s="20"/>
      <c r="PD614" s="29"/>
      <c r="PE614" s="19"/>
      <c r="PF614" s="93"/>
      <c r="PG614" s="93"/>
      <c r="PH614" s="93"/>
      <c r="PI614" s="93"/>
      <c r="PJ614" s="93"/>
      <c r="PK614" s="93"/>
      <c r="PL614" s="93"/>
      <c r="PM614" s="93"/>
      <c r="PN614" s="93"/>
      <c r="PO614" s="93"/>
      <c r="PP614" s="93"/>
      <c r="PQ614" s="93"/>
      <c r="PR614" s="93"/>
      <c r="PS614" s="93"/>
      <c r="PT614" s="93"/>
      <c r="PU614" s="93"/>
      <c r="PV614" s="93"/>
      <c r="PW614" s="93"/>
      <c r="PX614" s="93"/>
      <c r="PY614" s="93"/>
      <c r="PZ614" s="93"/>
      <c r="QA614" s="93"/>
      <c r="QB614" s="93"/>
      <c r="QC614" s="93"/>
      <c r="QD614" s="93"/>
      <c r="QE614" s="20"/>
      <c r="QF614" s="1739"/>
      <c r="QG614" s="19"/>
      <c r="QH614" s="93"/>
      <c r="QI614" s="93"/>
      <c r="QJ614" s="93"/>
      <c r="QK614" s="93"/>
      <c r="QL614" s="93"/>
      <c r="QM614" s="93"/>
      <c r="QN614" s="93"/>
      <c r="QO614" s="93"/>
      <c r="QP614" s="93"/>
      <c r="QQ614" s="93"/>
      <c r="QR614" s="93"/>
      <c r="QS614" s="93"/>
      <c r="QT614" s="93"/>
      <c r="QU614" s="93"/>
      <c r="QV614" s="93"/>
      <c r="QW614" s="93"/>
      <c r="QX614" s="93"/>
      <c r="QY614" s="93"/>
      <c r="QZ614" s="93"/>
      <c r="RA614" s="93"/>
      <c r="RB614" s="93"/>
      <c r="RC614" s="93"/>
      <c r="RD614" s="93"/>
      <c r="RE614" s="93"/>
      <c r="RF614" s="93"/>
      <c r="RG614" s="93"/>
      <c r="RH614" s="93"/>
      <c r="RI614" s="93"/>
      <c r="RJ614" s="93"/>
      <c r="RK614" s="93"/>
      <c r="RL614" s="93"/>
      <c r="RM614" s="20"/>
      <c r="RN614" s="29"/>
      <c r="RO614" s="19"/>
      <c r="RP614" s="20"/>
      <c r="RQ614" s="29"/>
      <c r="RR614" s="20"/>
      <c r="RS614" s="29"/>
      <c r="RT614" s="1504">
        <v>53144</v>
      </c>
      <c r="RU614" s="19"/>
      <c r="RV614" s="20"/>
      <c r="RW614" s="29"/>
      <c r="RX614" s="1504">
        <v>53144</v>
      </c>
      <c r="RY614" s="29"/>
      <c r="RZ614" s="20"/>
      <c r="SA614" s="29"/>
      <c r="SB614" s="29"/>
    </row>
    <row r="615" spans="1:496">
      <c r="A615" s="41">
        <f t="shared" si="364"/>
        <v>2045</v>
      </c>
      <c r="B615" s="1504">
        <v>53175</v>
      </c>
      <c r="C615" s="1813"/>
      <c r="D615" s="1814"/>
      <c r="E615" s="1814"/>
      <c r="F615" s="1815"/>
      <c r="G615" s="1814"/>
      <c r="H615" s="1814"/>
      <c r="I615" s="1814"/>
      <c r="J615" s="1816"/>
      <c r="K615" s="1807"/>
      <c r="L615" s="25"/>
      <c r="M615" s="97"/>
      <c r="N615" s="1504">
        <v>53175</v>
      </c>
      <c r="O615" s="19"/>
      <c r="P615" s="93"/>
      <c r="Q615" s="93"/>
      <c r="R615" s="93"/>
      <c r="S615" s="93"/>
      <c r="T615" s="93"/>
      <c r="U615" s="93"/>
      <c r="V615" s="93"/>
      <c r="W615" s="93"/>
      <c r="X615" s="93"/>
      <c r="Y615" s="93"/>
      <c r="Z615" s="93"/>
      <c r="AA615" s="93"/>
      <c r="AB615" s="20"/>
      <c r="AC615" s="25"/>
      <c r="AD615" s="97"/>
      <c r="AE615" s="1504">
        <v>53175</v>
      </c>
      <c r="AF615" s="19"/>
      <c r="AG615" s="93"/>
      <c r="AH615" s="93"/>
      <c r="AI615" s="93"/>
      <c r="AJ615" s="93"/>
      <c r="AK615" s="93"/>
      <c r="AL615" s="93"/>
      <c r="AM615" s="93"/>
      <c r="AN615" s="93"/>
      <c r="AO615" s="93"/>
      <c r="AP615" s="93"/>
      <c r="AQ615" s="93"/>
      <c r="AR615" s="93"/>
      <c r="AS615" s="20"/>
      <c r="AT615" s="25"/>
      <c r="AU615" s="97"/>
      <c r="AV615" s="1504">
        <v>53175</v>
      </c>
      <c r="AW615" s="19"/>
      <c r="AX615" s="93"/>
      <c r="AY615" s="93"/>
      <c r="AZ615" s="93"/>
      <c r="BA615" s="93"/>
      <c r="BB615" s="93"/>
      <c r="BC615" s="93"/>
      <c r="BD615" s="93"/>
      <c r="BE615" s="93"/>
      <c r="BF615" s="93"/>
      <c r="BG615" s="93"/>
      <c r="BH615" s="93"/>
      <c r="BI615" s="93"/>
      <c r="BJ615" s="20"/>
      <c r="BK615" s="25"/>
      <c r="BL615" s="97"/>
      <c r="BM615" s="1504">
        <v>53175</v>
      </c>
      <c r="BN615" s="19"/>
      <c r="BO615" s="93"/>
      <c r="BP615" s="93"/>
      <c r="BQ615" s="93"/>
      <c r="BR615" s="93"/>
      <c r="BS615" s="93"/>
      <c r="BT615" s="93"/>
      <c r="BU615" s="20"/>
      <c r="BV615" s="25"/>
      <c r="BW615" s="97"/>
      <c r="BX615" s="1504">
        <v>53175</v>
      </c>
      <c r="BY615" s="19"/>
      <c r="BZ615" s="93"/>
      <c r="CA615" s="93"/>
      <c r="CB615" s="93"/>
      <c r="CC615" s="93"/>
      <c r="CD615" s="25"/>
      <c r="CE615" s="97"/>
      <c r="CF615" s="1504">
        <v>53175</v>
      </c>
      <c r="CG615" s="19"/>
      <c r="CH615" s="93"/>
      <c r="CI615" s="219"/>
      <c r="CJ615" s="20"/>
      <c r="CK615" s="19"/>
      <c r="CL615" s="93"/>
      <c r="CM615" s="93"/>
      <c r="CN615" s="93"/>
      <c r="CO615" s="93"/>
      <c r="CP615" s="20"/>
      <c r="CQ615" s="219"/>
      <c r="CR615" s="93"/>
      <c r="CS615" s="93"/>
      <c r="CT615" s="93"/>
      <c r="CU615" s="93"/>
      <c r="CV615" s="214"/>
      <c r="CW615" s="29"/>
      <c r="CX615" s="41">
        <f t="shared" si="363"/>
        <v>2045</v>
      </c>
      <c r="CY615" s="1504">
        <v>53175</v>
      </c>
      <c r="CZ615" s="19"/>
      <c r="DA615" s="93"/>
      <c r="DB615" s="93"/>
      <c r="DC615" s="93"/>
      <c r="DD615" s="93"/>
      <c r="DE615" s="20"/>
      <c r="DF615" s="29"/>
      <c r="DG615" s="1504">
        <v>53175</v>
      </c>
      <c r="DH615" s="19"/>
      <c r="DI615" s="93"/>
      <c r="DJ615" s="93"/>
      <c r="DK615" s="93"/>
      <c r="DL615" s="93"/>
      <c r="DM615" s="93"/>
      <c r="DN615" s="20"/>
      <c r="DO615" s="295"/>
      <c r="DP615" s="29"/>
      <c r="DQ615" s="1504">
        <v>53175</v>
      </c>
      <c r="DR615" s="19"/>
      <c r="DS615" s="93"/>
      <c r="DT615" s="93"/>
      <c r="DU615" s="93"/>
      <c r="DV615" s="93"/>
      <c r="DW615" s="93"/>
      <c r="DX615" s="20"/>
      <c r="DY615" s="29"/>
      <c r="DZ615" s="1504">
        <v>53175</v>
      </c>
      <c r="EA615" s="19"/>
      <c r="EB615" s="93"/>
      <c r="EC615" s="20"/>
      <c r="ED615" s="29"/>
      <c r="EE615" s="1504">
        <v>53175</v>
      </c>
      <c r="EF615" s="19"/>
      <c r="EG615" s="93"/>
      <c r="EH615" s="93"/>
      <c r="EI615" s="214"/>
      <c r="EJ615" s="93"/>
      <c r="EK615" s="93"/>
      <c r="EL615" s="93"/>
      <c r="EM615" s="93"/>
      <c r="EN615" s="20"/>
      <c r="EO615" s="29"/>
      <c r="EP615" s="1504">
        <v>53175</v>
      </c>
      <c r="EQ615" s="19"/>
      <c r="ER615" s="93"/>
      <c r="ES615" s="93"/>
      <c r="ET615" s="214"/>
      <c r="EU615" s="93"/>
      <c r="EV615" s="93"/>
      <c r="EW615" s="93"/>
      <c r="EX615" s="93"/>
      <c r="EY615" s="20"/>
      <c r="EZ615" s="29"/>
      <c r="FA615" s="1504">
        <v>53175</v>
      </c>
      <c r="FB615" s="29"/>
      <c r="FC615" s="29"/>
      <c r="FD615" s="29"/>
      <c r="FE615" s="29"/>
      <c r="FF615" s="29"/>
      <c r="FG615" s="29"/>
      <c r="FH615" s="29"/>
      <c r="FI615" s="29"/>
      <c r="FJ615" s="29"/>
      <c r="FK615" s="29"/>
      <c r="FL615" s="1504">
        <v>53175</v>
      </c>
      <c r="FM615" s="19"/>
      <c r="FN615" s="93"/>
      <c r="FO615" s="93"/>
      <c r="FP615" s="93"/>
      <c r="FQ615" s="93"/>
      <c r="FR615" s="93"/>
      <c r="FS615" s="93"/>
      <c r="FT615" s="93"/>
      <c r="FU615" s="93"/>
      <c r="FV615" s="93"/>
      <c r="FW615" s="93"/>
      <c r="FX615" s="93"/>
      <c r="FY615" s="93"/>
      <c r="FZ615" s="29"/>
      <c r="GA615" s="1504">
        <v>53175</v>
      </c>
      <c r="GB615" s="19"/>
      <c r="GC615" s="93"/>
      <c r="GD615" s="93"/>
      <c r="GE615" s="93"/>
      <c r="GF615" s="93"/>
      <c r="GG615" s="93"/>
      <c r="GH615" s="93"/>
      <c r="GI615" s="93"/>
      <c r="GJ615" s="93"/>
      <c r="GK615" s="93"/>
      <c r="GL615" s="93"/>
      <c r="GM615" s="93"/>
      <c r="GN615" s="20"/>
      <c r="GO615" s="29"/>
      <c r="GP615" s="1504">
        <v>53175</v>
      </c>
      <c r="GQ615" s="19"/>
      <c r="GR615" s="93"/>
      <c r="GS615" s="93"/>
      <c r="GT615" s="93"/>
      <c r="GU615" s="93"/>
      <c r="GV615" s="20"/>
      <c r="GW615" s="19"/>
      <c r="GX615" s="93"/>
      <c r="GY615" s="93"/>
      <c r="GZ615" s="93"/>
      <c r="HA615" s="93"/>
      <c r="HB615" s="20"/>
      <c r="HC615" s="19"/>
      <c r="HD615" s="93"/>
      <c r="HE615" s="93"/>
      <c r="HF615" s="93"/>
      <c r="HG615" s="93"/>
      <c r="HH615" s="20"/>
      <c r="HI615" s="19"/>
      <c r="HJ615" s="93"/>
      <c r="HK615" s="93"/>
      <c r="HL615" s="93"/>
      <c r="HM615" s="93"/>
      <c r="HN615" s="20"/>
      <c r="HO615" s="219"/>
      <c r="HP615" s="20"/>
      <c r="HQ615" s="25"/>
      <c r="HR615" s="29"/>
      <c r="HS615" s="1504">
        <v>53175</v>
      </c>
      <c r="HT615" s="19"/>
      <c r="HU615" s="93"/>
      <c r="HV615" s="93"/>
      <c r="HW615" s="93"/>
      <c r="HX615" s="93"/>
      <c r="HY615" s="93"/>
      <c r="HZ615" s="93"/>
      <c r="IA615" s="20"/>
      <c r="IB615" s="19"/>
      <c r="IC615" s="93"/>
      <c r="ID615" s="93"/>
      <c r="IE615" s="93"/>
      <c r="IF615" s="93"/>
      <c r="IG615" s="20"/>
      <c r="IH615" s="19"/>
      <c r="II615" s="93"/>
      <c r="IJ615" s="93"/>
      <c r="IK615" s="93"/>
      <c r="IL615" s="93"/>
      <c r="IM615" s="93"/>
      <c r="IN615" s="93"/>
      <c r="IO615" s="20"/>
      <c r="IP615" s="29"/>
      <c r="IQ615" s="19"/>
      <c r="IR615" s="93"/>
      <c r="IS615" s="93"/>
      <c r="IT615" s="93"/>
      <c r="IU615" s="93"/>
      <c r="IV615" s="20"/>
      <c r="IW615" s="29"/>
      <c r="IX615" s="19"/>
      <c r="IY615" s="93"/>
      <c r="IZ615" s="93"/>
      <c r="JA615" s="93"/>
      <c r="JB615" s="93"/>
      <c r="JC615" s="93"/>
      <c r="JD615" s="93"/>
      <c r="JE615" s="20"/>
      <c r="JF615" s="29"/>
      <c r="JG615" s="19"/>
      <c r="JH615" s="93"/>
      <c r="JI615" s="93"/>
      <c r="JJ615" s="93"/>
      <c r="JK615" s="93"/>
      <c r="JL615" s="93"/>
      <c r="JM615" s="93"/>
      <c r="JN615" s="20"/>
      <c r="JO615" s="29"/>
      <c r="JP615" s="19"/>
      <c r="JQ615" s="93"/>
      <c r="JR615" s="93"/>
      <c r="JS615" s="93"/>
      <c r="JT615" s="93"/>
      <c r="JU615" s="20"/>
      <c r="JV615" s="29"/>
      <c r="JW615" s="1504">
        <v>53175</v>
      </c>
      <c r="JX615" s="19"/>
      <c r="JY615" s="93"/>
      <c r="JZ615" s="93"/>
      <c r="KA615" s="93"/>
      <c r="KB615" s="93"/>
      <c r="KC615" s="93"/>
      <c r="KD615" s="20"/>
      <c r="KE615" s="29"/>
      <c r="KF615" s="19"/>
      <c r="KG615" s="93"/>
      <c r="KH615" s="93"/>
      <c r="KI615" s="93"/>
      <c r="KJ615" s="93"/>
      <c r="KK615" s="20"/>
      <c r="KL615" s="29"/>
      <c r="KM615" s="19"/>
      <c r="KN615" s="93"/>
      <c r="KO615" s="93"/>
      <c r="KP615" s="93"/>
      <c r="KQ615" s="93"/>
      <c r="KR615" s="20"/>
      <c r="KS615" s="29"/>
      <c r="KT615" s="19"/>
      <c r="KU615" s="93"/>
      <c r="KV615" s="93"/>
      <c r="KW615" s="93"/>
      <c r="KX615" s="93"/>
      <c r="KY615" s="20"/>
      <c r="KZ615" s="29"/>
      <c r="LA615" s="1504">
        <v>53175</v>
      </c>
      <c r="LB615" s="19"/>
      <c r="LC615" s="93"/>
      <c r="LD615" s="93"/>
      <c r="LE615" s="93"/>
      <c r="LF615" s="93"/>
      <c r="LG615" s="93"/>
      <c r="LH615" s="20"/>
      <c r="LI615" s="29"/>
      <c r="LJ615" s="19"/>
      <c r="LK615" s="93"/>
      <c r="LL615" s="93"/>
      <c r="LM615" s="93"/>
      <c r="LN615" s="93"/>
      <c r="LO615" s="20"/>
      <c r="LP615" s="29"/>
      <c r="LQ615" s="19"/>
      <c r="LR615" s="93"/>
      <c r="LS615" s="93"/>
      <c r="LT615" s="93"/>
      <c r="LU615" s="93"/>
      <c r="LV615" s="93"/>
      <c r="LW615" s="93"/>
      <c r="LX615" s="93"/>
      <c r="LY615" s="93"/>
      <c r="LZ615" s="93"/>
      <c r="MA615" s="20"/>
      <c r="MB615" s="29"/>
      <c r="MC615" s="1504">
        <v>53175</v>
      </c>
      <c r="MD615" s="19"/>
      <c r="ME615" s="93"/>
      <c r="MF615" s="93"/>
      <c r="MG615" s="93"/>
      <c r="MH615" s="93"/>
      <c r="MI615" s="93"/>
      <c r="MJ615" s="93"/>
      <c r="MK615" s="93"/>
      <c r="ML615" s="93"/>
      <c r="MM615" s="93"/>
      <c r="MN615" s="93"/>
      <c r="MO615" s="93"/>
      <c r="MP615" s="93"/>
      <c r="MQ615" s="93"/>
      <c r="MR615" s="93"/>
      <c r="MS615" s="93"/>
      <c r="MT615" s="93"/>
      <c r="MU615" s="93"/>
      <c r="MV615" s="93"/>
      <c r="MW615" s="93"/>
      <c r="MX615" s="93"/>
      <c r="MY615" s="93"/>
      <c r="MZ615" s="93"/>
      <c r="NA615" s="93"/>
      <c r="NB615" s="93"/>
      <c r="NC615" s="93"/>
      <c r="ND615" s="93"/>
      <c r="NE615" s="93"/>
      <c r="NF615" s="93"/>
      <c r="NG615" s="93"/>
      <c r="NH615" s="93"/>
      <c r="NI615" s="93"/>
      <c r="NJ615" s="93"/>
      <c r="NK615" s="93"/>
      <c r="NL615" s="93"/>
      <c r="NM615" s="93"/>
      <c r="NN615" s="93"/>
      <c r="NO615" s="93"/>
      <c r="NP615" s="93"/>
      <c r="NQ615" s="93"/>
      <c r="NR615" s="93"/>
      <c r="NS615" s="93"/>
      <c r="NT615" s="93"/>
      <c r="NU615" s="93"/>
      <c r="NV615" s="93"/>
      <c r="NW615" s="93"/>
      <c r="NX615" s="93"/>
      <c r="NY615" s="93"/>
      <c r="NZ615" s="93"/>
      <c r="OA615" s="93"/>
      <c r="OB615" s="93"/>
      <c r="OC615" s="93"/>
      <c r="OD615" s="20"/>
      <c r="OE615" s="29"/>
      <c r="OF615" s="1504">
        <v>53175</v>
      </c>
      <c r="OG615" s="19"/>
      <c r="OH615" s="93"/>
      <c r="OI615" s="93"/>
      <c r="OJ615" s="93"/>
      <c r="OK615" s="93"/>
      <c r="OL615" s="93"/>
      <c r="OM615" s="93"/>
      <c r="ON615" s="93"/>
      <c r="OO615" s="93"/>
      <c r="OP615" s="93"/>
      <c r="OQ615" s="93"/>
      <c r="OR615" s="93"/>
      <c r="OS615" s="93"/>
      <c r="OT615" s="93"/>
      <c r="OU615" s="93"/>
      <c r="OV615" s="93"/>
      <c r="OW615" s="93"/>
      <c r="OX615" s="93"/>
      <c r="OY615" s="93"/>
      <c r="OZ615" s="93"/>
      <c r="PA615" s="93"/>
      <c r="PB615" s="93"/>
      <c r="PC615" s="20"/>
      <c r="PD615" s="29"/>
      <c r="PE615" s="19"/>
      <c r="PF615" s="93"/>
      <c r="PG615" s="93"/>
      <c r="PH615" s="93"/>
      <c r="PI615" s="93"/>
      <c r="PJ615" s="93"/>
      <c r="PK615" s="93"/>
      <c r="PL615" s="93"/>
      <c r="PM615" s="93"/>
      <c r="PN615" s="93"/>
      <c r="PO615" s="93"/>
      <c r="PP615" s="93"/>
      <c r="PQ615" s="93"/>
      <c r="PR615" s="93"/>
      <c r="PS615" s="93"/>
      <c r="PT615" s="93"/>
      <c r="PU615" s="93"/>
      <c r="PV615" s="93"/>
      <c r="PW615" s="93"/>
      <c r="PX615" s="93"/>
      <c r="PY615" s="93"/>
      <c r="PZ615" s="93"/>
      <c r="QA615" s="93"/>
      <c r="QB615" s="93"/>
      <c r="QC615" s="93"/>
      <c r="QD615" s="93"/>
      <c r="QE615" s="20"/>
      <c r="QF615" s="1739"/>
      <c r="QG615" s="19"/>
      <c r="QH615" s="93"/>
      <c r="QI615" s="93"/>
      <c r="QJ615" s="93"/>
      <c r="QK615" s="93"/>
      <c r="QL615" s="93"/>
      <c r="QM615" s="93"/>
      <c r="QN615" s="93"/>
      <c r="QO615" s="93"/>
      <c r="QP615" s="93"/>
      <c r="QQ615" s="93"/>
      <c r="QR615" s="93"/>
      <c r="QS615" s="93"/>
      <c r="QT615" s="93"/>
      <c r="QU615" s="93"/>
      <c r="QV615" s="93"/>
      <c r="QW615" s="93"/>
      <c r="QX615" s="93"/>
      <c r="QY615" s="93"/>
      <c r="QZ615" s="93"/>
      <c r="RA615" s="93"/>
      <c r="RB615" s="93"/>
      <c r="RC615" s="93"/>
      <c r="RD615" s="93"/>
      <c r="RE615" s="93"/>
      <c r="RF615" s="93"/>
      <c r="RG615" s="93"/>
      <c r="RH615" s="93"/>
      <c r="RI615" s="93"/>
      <c r="RJ615" s="93"/>
      <c r="RK615" s="93"/>
      <c r="RL615" s="93"/>
      <c r="RM615" s="20"/>
      <c r="RN615" s="29"/>
      <c r="RO615" s="19"/>
      <c r="RP615" s="20"/>
      <c r="RQ615" s="29"/>
      <c r="RR615" s="20"/>
      <c r="RS615" s="29"/>
      <c r="RT615" s="1504">
        <v>53175</v>
      </c>
      <c r="RU615" s="19"/>
      <c r="RV615" s="20"/>
      <c r="RW615" s="29"/>
      <c r="RX615" s="1504">
        <v>53175</v>
      </c>
      <c r="RY615" s="29"/>
      <c r="RZ615" s="20"/>
      <c r="SA615" s="29"/>
      <c r="SB615" s="29"/>
    </row>
    <row r="616" spans="1:496">
      <c r="A616" s="41">
        <f t="shared" si="364"/>
        <v>2045</v>
      </c>
      <c r="B616" s="1504">
        <v>53206</v>
      </c>
      <c r="C616" s="1813"/>
      <c r="D616" s="1814"/>
      <c r="E616" s="1814"/>
      <c r="F616" s="1815"/>
      <c r="G616" s="1814"/>
      <c r="H616" s="1814"/>
      <c r="I616" s="1814"/>
      <c r="J616" s="1816"/>
      <c r="K616" s="1807"/>
      <c r="L616" s="25"/>
      <c r="M616" s="97"/>
      <c r="N616" s="1504">
        <v>53206</v>
      </c>
      <c r="O616" s="19"/>
      <c r="P616" s="93"/>
      <c r="Q616" s="93"/>
      <c r="R616" s="93"/>
      <c r="S616" s="93"/>
      <c r="T616" s="93"/>
      <c r="U616" s="93"/>
      <c r="V616" s="93"/>
      <c r="W616" s="93"/>
      <c r="X616" s="93"/>
      <c r="Y616" s="93"/>
      <c r="Z616" s="93"/>
      <c r="AA616" s="93"/>
      <c r="AB616" s="20"/>
      <c r="AC616" s="25"/>
      <c r="AD616" s="97"/>
      <c r="AE616" s="1504">
        <v>53206</v>
      </c>
      <c r="AF616" s="19"/>
      <c r="AG616" s="93"/>
      <c r="AH616" s="93"/>
      <c r="AI616" s="93"/>
      <c r="AJ616" s="93"/>
      <c r="AK616" s="93"/>
      <c r="AL616" s="93"/>
      <c r="AM616" s="93"/>
      <c r="AN616" s="93"/>
      <c r="AO616" s="93"/>
      <c r="AP616" s="93"/>
      <c r="AQ616" s="93"/>
      <c r="AR616" s="93"/>
      <c r="AS616" s="20"/>
      <c r="AT616" s="25"/>
      <c r="AU616" s="97"/>
      <c r="AV616" s="1504">
        <v>53206</v>
      </c>
      <c r="AW616" s="19"/>
      <c r="AX616" s="93"/>
      <c r="AY616" s="93"/>
      <c r="AZ616" s="93"/>
      <c r="BA616" s="93"/>
      <c r="BB616" s="93"/>
      <c r="BC616" s="93"/>
      <c r="BD616" s="93"/>
      <c r="BE616" s="93"/>
      <c r="BF616" s="93"/>
      <c r="BG616" s="93"/>
      <c r="BH616" s="93"/>
      <c r="BI616" s="93"/>
      <c r="BJ616" s="20"/>
      <c r="BK616" s="25"/>
      <c r="BL616" s="97"/>
      <c r="BM616" s="1504">
        <v>53206</v>
      </c>
      <c r="BN616" s="19"/>
      <c r="BO616" s="93"/>
      <c r="BP616" s="93"/>
      <c r="BQ616" s="93"/>
      <c r="BR616" s="93"/>
      <c r="BS616" s="93"/>
      <c r="BT616" s="93"/>
      <c r="BU616" s="20"/>
      <c r="BV616" s="25"/>
      <c r="BW616" s="97"/>
      <c r="BX616" s="1504">
        <v>53206</v>
      </c>
      <c r="BY616" s="19"/>
      <c r="BZ616" s="93"/>
      <c r="CA616" s="93"/>
      <c r="CB616" s="93"/>
      <c r="CC616" s="93"/>
      <c r="CD616" s="25"/>
      <c r="CE616" s="97"/>
      <c r="CF616" s="1504">
        <v>53206</v>
      </c>
      <c r="CG616" s="19"/>
      <c r="CH616" s="93"/>
      <c r="CI616" s="219"/>
      <c r="CJ616" s="20"/>
      <c r="CK616" s="19"/>
      <c r="CL616" s="93"/>
      <c r="CM616" s="93"/>
      <c r="CN616" s="93"/>
      <c r="CO616" s="93"/>
      <c r="CP616" s="20"/>
      <c r="CQ616" s="219"/>
      <c r="CR616" s="93"/>
      <c r="CS616" s="93"/>
      <c r="CT616" s="93"/>
      <c r="CU616" s="93"/>
      <c r="CV616" s="214"/>
      <c r="CW616" s="29"/>
      <c r="CX616" s="41">
        <f t="shared" si="363"/>
        <v>2045</v>
      </c>
      <c r="CY616" s="1504">
        <v>53206</v>
      </c>
      <c r="CZ616" s="19"/>
      <c r="DA616" s="93"/>
      <c r="DB616" s="93"/>
      <c r="DC616" s="93"/>
      <c r="DD616" s="93"/>
      <c r="DE616" s="20"/>
      <c r="DF616" s="29"/>
      <c r="DG616" s="1504">
        <v>53206</v>
      </c>
      <c r="DH616" s="19"/>
      <c r="DI616" s="93"/>
      <c r="DJ616" s="93"/>
      <c r="DK616" s="93"/>
      <c r="DL616" s="93"/>
      <c r="DM616" s="93"/>
      <c r="DN616" s="20"/>
      <c r="DO616" s="295"/>
      <c r="DP616" s="29"/>
      <c r="DQ616" s="1504">
        <v>53206</v>
      </c>
      <c r="DR616" s="19"/>
      <c r="DS616" s="93"/>
      <c r="DT616" s="93"/>
      <c r="DU616" s="93"/>
      <c r="DV616" s="93"/>
      <c r="DW616" s="93"/>
      <c r="DX616" s="20"/>
      <c r="DY616" s="29"/>
      <c r="DZ616" s="1504">
        <v>53206</v>
      </c>
      <c r="EA616" s="19"/>
      <c r="EB616" s="93"/>
      <c r="EC616" s="20"/>
      <c r="ED616" s="29"/>
      <c r="EE616" s="1504">
        <v>53206</v>
      </c>
      <c r="EF616" s="19"/>
      <c r="EG616" s="93"/>
      <c r="EH616" s="93"/>
      <c r="EI616" s="214"/>
      <c r="EJ616" s="93"/>
      <c r="EK616" s="93"/>
      <c r="EL616" s="93"/>
      <c r="EM616" s="93"/>
      <c r="EN616" s="20"/>
      <c r="EO616" s="29"/>
      <c r="EP616" s="1504">
        <v>53206</v>
      </c>
      <c r="EQ616" s="19"/>
      <c r="ER616" s="93"/>
      <c r="ES616" s="93"/>
      <c r="ET616" s="214"/>
      <c r="EU616" s="93"/>
      <c r="EV616" s="93"/>
      <c r="EW616" s="93"/>
      <c r="EX616" s="93"/>
      <c r="EY616" s="20"/>
      <c r="EZ616" s="29"/>
      <c r="FA616" s="1504">
        <v>53206</v>
      </c>
      <c r="FB616" s="29"/>
      <c r="FC616" s="29"/>
      <c r="FD616" s="29"/>
      <c r="FE616" s="29"/>
      <c r="FF616" s="29"/>
      <c r="FG616" s="29"/>
      <c r="FH616" s="29"/>
      <c r="FI616" s="29"/>
      <c r="FJ616" s="29"/>
      <c r="FK616" s="29"/>
      <c r="FL616" s="1504">
        <v>53206</v>
      </c>
      <c r="FM616" s="19"/>
      <c r="FN616" s="93"/>
      <c r="FO616" s="93"/>
      <c r="FP616" s="93"/>
      <c r="FQ616" s="93"/>
      <c r="FR616" s="93"/>
      <c r="FS616" s="93"/>
      <c r="FT616" s="93"/>
      <c r="FU616" s="93"/>
      <c r="FV616" s="93"/>
      <c r="FW616" s="93"/>
      <c r="FX616" s="93"/>
      <c r="FY616" s="93"/>
      <c r="FZ616" s="29"/>
      <c r="GA616" s="1504">
        <v>53206</v>
      </c>
      <c r="GB616" s="19"/>
      <c r="GC616" s="93"/>
      <c r="GD616" s="93"/>
      <c r="GE616" s="93"/>
      <c r="GF616" s="93"/>
      <c r="GG616" s="93"/>
      <c r="GH616" s="93"/>
      <c r="GI616" s="93"/>
      <c r="GJ616" s="93"/>
      <c r="GK616" s="93"/>
      <c r="GL616" s="93"/>
      <c r="GM616" s="93"/>
      <c r="GN616" s="20"/>
      <c r="GO616" s="29"/>
      <c r="GP616" s="1504">
        <v>53206</v>
      </c>
      <c r="GQ616" s="19"/>
      <c r="GR616" s="93"/>
      <c r="GS616" s="93"/>
      <c r="GT616" s="93"/>
      <c r="GU616" s="93"/>
      <c r="GV616" s="20"/>
      <c r="GW616" s="19"/>
      <c r="GX616" s="93"/>
      <c r="GY616" s="93"/>
      <c r="GZ616" s="93"/>
      <c r="HA616" s="93"/>
      <c r="HB616" s="20"/>
      <c r="HC616" s="19"/>
      <c r="HD616" s="93"/>
      <c r="HE616" s="93"/>
      <c r="HF616" s="93"/>
      <c r="HG616" s="93"/>
      <c r="HH616" s="20"/>
      <c r="HI616" s="19"/>
      <c r="HJ616" s="93"/>
      <c r="HK616" s="93"/>
      <c r="HL616" s="93"/>
      <c r="HM616" s="93"/>
      <c r="HN616" s="20"/>
      <c r="HO616" s="219"/>
      <c r="HP616" s="20"/>
      <c r="HQ616" s="25"/>
      <c r="HR616" s="29"/>
      <c r="HS616" s="1504">
        <v>53206</v>
      </c>
      <c r="HT616" s="19"/>
      <c r="HU616" s="93"/>
      <c r="HV616" s="93"/>
      <c r="HW616" s="93"/>
      <c r="HX616" s="93"/>
      <c r="HY616" s="93"/>
      <c r="HZ616" s="93"/>
      <c r="IA616" s="20"/>
      <c r="IB616" s="19"/>
      <c r="IC616" s="93"/>
      <c r="ID616" s="93"/>
      <c r="IE616" s="93"/>
      <c r="IF616" s="93"/>
      <c r="IG616" s="20"/>
      <c r="IH616" s="19"/>
      <c r="II616" s="93"/>
      <c r="IJ616" s="93"/>
      <c r="IK616" s="93"/>
      <c r="IL616" s="93"/>
      <c r="IM616" s="93"/>
      <c r="IN616" s="93"/>
      <c r="IO616" s="20"/>
      <c r="IP616" s="29"/>
      <c r="IQ616" s="19"/>
      <c r="IR616" s="93"/>
      <c r="IS616" s="93"/>
      <c r="IT616" s="93"/>
      <c r="IU616" s="93"/>
      <c r="IV616" s="20"/>
      <c r="IW616" s="29"/>
      <c r="IX616" s="19"/>
      <c r="IY616" s="93"/>
      <c r="IZ616" s="93"/>
      <c r="JA616" s="93"/>
      <c r="JB616" s="93"/>
      <c r="JC616" s="93"/>
      <c r="JD616" s="93"/>
      <c r="JE616" s="20"/>
      <c r="JF616" s="29"/>
      <c r="JG616" s="19"/>
      <c r="JH616" s="93"/>
      <c r="JI616" s="93"/>
      <c r="JJ616" s="93"/>
      <c r="JK616" s="93"/>
      <c r="JL616" s="93"/>
      <c r="JM616" s="93"/>
      <c r="JN616" s="20"/>
      <c r="JO616" s="29"/>
      <c r="JP616" s="19"/>
      <c r="JQ616" s="93"/>
      <c r="JR616" s="93"/>
      <c r="JS616" s="93"/>
      <c r="JT616" s="93"/>
      <c r="JU616" s="20"/>
      <c r="JV616" s="29"/>
      <c r="JW616" s="1504">
        <v>53206</v>
      </c>
      <c r="JX616" s="19"/>
      <c r="JY616" s="93"/>
      <c r="JZ616" s="93"/>
      <c r="KA616" s="93"/>
      <c r="KB616" s="93"/>
      <c r="KC616" s="93"/>
      <c r="KD616" s="20"/>
      <c r="KE616" s="29"/>
      <c r="KF616" s="19"/>
      <c r="KG616" s="93"/>
      <c r="KH616" s="93"/>
      <c r="KI616" s="93"/>
      <c r="KJ616" s="93"/>
      <c r="KK616" s="20"/>
      <c r="KL616" s="29"/>
      <c r="KM616" s="19"/>
      <c r="KN616" s="93"/>
      <c r="KO616" s="93"/>
      <c r="KP616" s="93"/>
      <c r="KQ616" s="93"/>
      <c r="KR616" s="20"/>
      <c r="KS616" s="29"/>
      <c r="KT616" s="19"/>
      <c r="KU616" s="93"/>
      <c r="KV616" s="93"/>
      <c r="KW616" s="93"/>
      <c r="KX616" s="93"/>
      <c r="KY616" s="20"/>
      <c r="KZ616" s="29"/>
      <c r="LA616" s="1504">
        <v>53206</v>
      </c>
      <c r="LB616" s="19"/>
      <c r="LC616" s="93"/>
      <c r="LD616" s="93"/>
      <c r="LE616" s="93"/>
      <c r="LF616" s="93"/>
      <c r="LG616" s="93"/>
      <c r="LH616" s="20"/>
      <c r="LI616" s="29"/>
      <c r="LJ616" s="19"/>
      <c r="LK616" s="93"/>
      <c r="LL616" s="93"/>
      <c r="LM616" s="93"/>
      <c r="LN616" s="93"/>
      <c r="LO616" s="20"/>
      <c r="LP616" s="29"/>
      <c r="LQ616" s="19"/>
      <c r="LR616" s="93"/>
      <c r="LS616" s="93"/>
      <c r="LT616" s="93"/>
      <c r="LU616" s="93"/>
      <c r="LV616" s="93"/>
      <c r="LW616" s="93"/>
      <c r="LX616" s="93"/>
      <c r="LY616" s="93"/>
      <c r="LZ616" s="93"/>
      <c r="MA616" s="20"/>
      <c r="MB616" s="29"/>
      <c r="MC616" s="1504">
        <v>53206</v>
      </c>
      <c r="MD616" s="19"/>
      <c r="ME616" s="93"/>
      <c r="MF616" s="93"/>
      <c r="MG616" s="93"/>
      <c r="MH616" s="93"/>
      <c r="MI616" s="93"/>
      <c r="MJ616" s="93"/>
      <c r="MK616" s="93"/>
      <c r="ML616" s="93"/>
      <c r="MM616" s="93"/>
      <c r="MN616" s="93"/>
      <c r="MO616" s="93"/>
      <c r="MP616" s="93"/>
      <c r="MQ616" s="93"/>
      <c r="MR616" s="93"/>
      <c r="MS616" s="93"/>
      <c r="MT616" s="93"/>
      <c r="MU616" s="93"/>
      <c r="MV616" s="93"/>
      <c r="MW616" s="93"/>
      <c r="MX616" s="93"/>
      <c r="MY616" s="93"/>
      <c r="MZ616" s="93"/>
      <c r="NA616" s="93"/>
      <c r="NB616" s="93"/>
      <c r="NC616" s="93"/>
      <c r="ND616" s="93"/>
      <c r="NE616" s="93"/>
      <c r="NF616" s="93"/>
      <c r="NG616" s="93"/>
      <c r="NH616" s="93"/>
      <c r="NI616" s="93"/>
      <c r="NJ616" s="93"/>
      <c r="NK616" s="93"/>
      <c r="NL616" s="93"/>
      <c r="NM616" s="93"/>
      <c r="NN616" s="93"/>
      <c r="NO616" s="93"/>
      <c r="NP616" s="93"/>
      <c r="NQ616" s="93"/>
      <c r="NR616" s="93"/>
      <c r="NS616" s="93"/>
      <c r="NT616" s="93"/>
      <c r="NU616" s="93"/>
      <c r="NV616" s="93"/>
      <c r="NW616" s="93"/>
      <c r="NX616" s="93"/>
      <c r="NY616" s="93"/>
      <c r="NZ616" s="93"/>
      <c r="OA616" s="93"/>
      <c r="OB616" s="93"/>
      <c r="OC616" s="93"/>
      <c r="OD616" s="20"/>
      <c r="OE616" s="29"/>
      <c r="OF616" s="1504">
        <v>53206</v>
      </c>
      <c r="OG616" s="19"/>
      <c r="OH616" s="93"/>
      <c r="OI616" s="93"/>
      <c r="OJ616" s="93"/>
      <c r="OK616" s="93"/>
      <c r="OL616" s="93"/>
      <c r="OM616" s="93"/>
      <c r="ON616" s="93"/>
      <c r="OO616" s="93"/>
      <c r="OP616" s="93"/>
      <c r="OQ616" s="93"/>
      <c r="OR616" s="93"/>
      <c r="OS616" s="93"/>
      <c r="OT616" s="93"/>
      <c r="OU616" s="93"/>
      <c r="OV616" s="93"/>
      <c r="OW616" s="93"/>
      <c r="OX616" s="93"/>
      <c r="OY616" s="93"/>
      <c r="OZ616" s="93"/>
      <c r="PA616" s="93"/>
      <c r="PB616" s="93"/>
      <c r="PC616" s="20"/>
      <c r="PD616" s="29"/>
      <c r="PE616" s="19"/>
      <c r="PF616" s="93"/>
      <c r="PG616" s="93"/>
      <c r="PH616" s="93"/>
      <c r="PI616" s="93"/>
      <c r="PJ616" s="93"/>
      <c r="PK616" s="93"/>
      <c r="PL616" s="93"/>
      <c r="PM616" s="93"/>
      <c r="PN616" s="93"/>
      <c r="PO616" s="93"/>
      <c r="PP616" s="93"/>
      <c r="PQ616" s="93"/>
      <c r="PR616" s="93"/>
      <c r="PS616" s="93"/>
      <c r="PT616" s="93"/>
      <c r="PU616" s="93"/>
      <c r="PV616" s="93"/>
      <c r="PW616" s="93"/>
      <c r="PX616" s="93"/>
      <c r="PY616" s="93"/>
      <c r="PZ616" s="93"/>
      <c r="QA616" s="93"/>
      <c r="QB616" s="93"/>
      <c r="QC616" s="93"/>
      <c r="QD616" s="93"/>
      <c r="QE616" s="20"/>
      <c r="QF616" s="1739"/>
      <c r="QG616" s="19"/>
      <c r="QH616" s="93"/>
      <c r="QI616" s="93"/>
      <c r="QJ616" s="93"/>
      <c r="QK616" s="93"/>
      <c r="QL616" s="93"/>
      <c r="QM616" s="93"/>
      <c r="QN616" s="93"/>
      <c r="QO616" s="93"/>
      <c r="QP616" s="93"/>
      <c r="QQ616" s="93"/>
      <c r="QR616" s="93"/>
      <c r="QS616" s="93"/>
      <c r="QT616" s="93"/>
      <c r="QU616" s="93"/>
      <c r="QV616" s="93"/>
      <c r="QW616" s="93"/>
      <c r="QX616" s="93"/>
      <c r="QY616" s="93"/>
      <c r="QZ616" s="93"/>
      <c r="RA616" s="93"/>
      <c r="RB616" s="93"/>
      <c r="RC616" s="93"/>
      <c r="RD616" s="93"/>
      <c r="RE616" s="93"/>
      <c r="RF616" s="93"/>
      <c r="RG616" s="93"/>
      <c r="RH616" s="93"/>
      <c r="RI616" s="93"/>
      <c r="RJ616" s="93"/>
      <c r="RK616" s="93"/>
      <c r="RL616" s="93"/>
      <c r="RM616" s="20"/>
      <c r="RN616" s="29"/>
      <c r="RO616" s="19"/>
      <c r="RP616" s="20"/>
      <c r="RQ616" s="29"/>
      <c r="RR616" s="20"/>
      <c r="RS616" s="29"/>
      <c r="RT616" s="1504">
        <v>53206</v>
      </c>
      <c r="RU616" s="19"/>
      <c r="RV616" s="20"/>
      <c r="RW616" s="29"/>
      <c r="RX616" s="1504">
        <v>53206</v>
      </c>
      <c r="RY616" s="29"/>
      <c r="RZ616" s="20"/>
      <c r="SA616" s="29"/>
      <c r="SB616" s="29"/>
    </row>
    <row r="617" spans="1:496">
      <c r="A617" s="41">
        <f t="shared" si="364"/>
        <v>2045</v>
      </c>
      <c r="B617" s="1504">
        <v>53236</v>
      </c>
      <c r="C617" s="1813"/>
      <c r="D617" s="1814"/>
      <c r="E617" s="1814"/>
      <c r="F617" s="1815"/>
      <c r="G617" s="1814"/>
      <c r="H617" s="1814"/>
      <c r="I617" s="1814"/>
      <c r="J617" s="1816"/>
      <c r="K617" s="1807"/>
      <c r="L617" s="25"/>
      <c r="M617" s="97"/>
      <c r="N617" s="1504">
        <v>53236</v>
      </c>
      <c r="O617" s="19"/>
      <c r="P617" s="93"/>
      <c r="Q617" s="93"/>
      <c r="R617" s="93"/>
      <c r="S617" s="93"/>
      <c r="T617" s="93"/>
      <c r="U617" s="93"/>
      <c r="V617" s="93"/>
      <c r="W617" s="93"/>
      <c r="X617" s="93"/>
      <c r="Y617" s="93"/>
      <c r="Z617" s="93"/>
      <c r="AA617" s="93"/>
      <c r="AB617" s="20"/>
      <c r="AC617" s="25"/>
      <c r="AD617" s="97"/>
      <c r="AE617" s="1504">
        <v>53236</v>
      </c>
      <c r="AF617" s="19"/>
      <c r="AG617" s="93"/>
      <c r="AH617" s="93"/>
      <c r="AI617" s="93"/>
      <c r="AJ617" s="93"/>
      <c r="AK617" s="93"/>
      <c r="AL617" s="93"/>
      <c r="AM617" s="93"/>
      <c r="AN617" s="93"/>
      <c r="AO617" s="93"/>
      <c r="AP617" s="93"/>
      <c r="AQ617" s="93"/>
      <c r="AR617" s="93"/>
      <c r="AS617" s="20"/>
      <c r="AT617" s="25"/>
      <c r="AU617" s="97"/>
      <c r="AV617" s="1504">
        <v>53236</v>
      </c>
      <c r="AW617" s="19"/>
      <c r="AX617" s="93"/>
      <c r="AY617" s="93"/>
      <c r="AZ617" s="93"/>
      <c r="BA617" s="93"/>
      <c r="BB617" s="93"/>
      <c r="BC617" s="93"/>
      <c r="BD617" s="93"/>
      <c r="BE617" s="93"/>
      <c r="BF617" s="93"/>
      <c r="BG617" s="93"/>
      <c r="BH617" s="93"/>
      <c r="BI617" s="93"/>
      <c r="BJ617" s="20"/>
      <c r="BK617" s="25"/>
      <c r="BL617" s="97"/>
      <c r="BM617" s="1504">
        <v>53236</v>
      </c>
      <c r="BN617" s="19"/>
      <c r="BO617" s="93"/>
      <c r="BP617" s="93"/>
      <c r="BQ617" s="93"/>
      <c r="BR617" s="93"/>
      <c r="BS617" s="93"/>
      <c r="BT617" s="93"/>
      <c r="BU617" s="20"/>
      <c r="BV617" s="25"/>
      <c r="BW617" s="97"/>
      <c r="BX617" s="1504">
        <v>53236</v>
      </c>
      <c r="BY617" s="19"/>
      <c r="BZ617" s="93"/>
      <c r="CA617" s="93"/>
      <c r="CB617" s="93"/>
      <c r="CC617" s="93"/>
      <c r="CD617" s="25"/>
      <c r="CE617" s="97"/>
      <c r="CF617" s="1504">
        <v>53236</v>
      </c>
      <c r="CG617" s="19"/>
      <c r="CH617" s="93"/>
      <c r="CI617" s="219"/>
      <c r="CJ617" s="20"/>
      <c r="CK617" s="19"/>
      <c r="CL617" s="93"/>
      <c r="CM617" s="93"/>
      <c r="CN617" s="93"/>
      <c r="CO617" s="93"/>
      <c r="CP617" s="20"/>
      <c r="CQ617" s="219"/>
      <c r="CR617" s="93"/>
      <c r="CS617" s="93"/>
      <c r="CT617" s="93"/>
      <c r="CU617" s="93"/>
      <c r="CV617" s="214"/>
      <c r="CW617" s="29"/>
      <c r="CX617" s="41">
        <f t="shared" si="363"/>
        <v>2045</v>
      </c>
      <c r="CY617" s="1504">
        <v>53236</v>
      </c>
      <c r="CZ617" s="19"/>
      <c r="DA617" s="93"/>
      <c r="DB617" s="93"/>
      <c r="DC617" s="93"/>
      <c r="DD617" s="93"/>
      <c r="DE617" s="20"/>
      <c r="DF617" s="29"/>
      <c r="DG617" s="1504">
        <v>53236</v>
      </c>
      <c r="DH617" s="19"/>
      <c r="DI617" s="93"/>
      <c r="DJ617" s="93"/>
      <c r="DK617" s="93"/>
      <c r="DL617" s="93"/>
      <c r="DM617" s="93"/>
      <c r="DN617" s="20"/>
      <c r="DO617" s="295"/>
      <c r="DP617" s="29"/>
      <c r="DQ617" s="1504">
        <v>53236</v>
      </c>
      <c r="DR617" s="19"/>
      <c r="DS617" s="93"/>
      <c r="DT617" s="93"/>
      <c r="DU617" s="93"/>
      <c r="DV617" s="93"/>
      <c r="DW617" s="93"/>
      <c r="DX617" s="20"/>
      <c r="DY617" s="29"/>
      <c r="DZ617" s="1504">
        <v>53236</v>
      </c>
      <c r="EA617" s="19"/>
      <c r="EB617" s="93"/>
      <c r="EC617" s="20"/>
      <c r="ED617" s="29"/>
      <c r="EE617" s="1504">
        <v>53236</v>
      </c>
      <c r="EF617" s="19"/>
      <c r="EG617" s="93"/>
      <c r="EH617" s="93"/>
      <c r="EI617" s="214"/>
      <c r="EJ617" s="93"/>
      <c r="EK617" s="93"/>
      <c r="EL617" s="93"/>
      <c r="EM617" s="93"/>
      <c r="EN617" s="20"/>
      <c r="EO617" s="29"/>
      <c r="EP617" s="1504">
        <v>53236</v>
      </c>
      <c r="EQ617" s="19"/>
      <c r="ER617" s="93"/>
      <c r="ES617" s="93"/>
      <c r="ET617" s="214"/>
      <c r="EU617" s="93"/>
      <c r="EV617" s="93"/>
      <c r="EW617" s="93"/>
      <c r="EX617" s="93"/>
      <c r="EY617" s="20"/>
      <c r="EZ617" s="29"/>
      <c r="FA617" s="1504">
        <v>53236</v>
      </c>
      <c r="FB617" s="29"/>
      <c r="FC617" s="29"/>
      <c r="FD617" s="29"/>
      <c r="FE617" s="29"/>
      <c r="FF617" s="29"/>
      <c r="FG617" s="29"/>
      <c r="FH617" s="29"/>
      <c r="FI617" s="29"/>
      <c r="FJ617" s="29"/>
      <c r="FK617" s="29"/>
      <c r="FL617" s="1504">
        <v>53236</v>
      </c>
      <c r="FM617" s="19"/>
      <c r="FN617" s="93"/>
      <c r="FO617" s="93"/>
      <c r="FP617" s="93"/>
      <c r="FQ617" s="93"/>
      <c r="FR617" s="93"/>
      <c r="FS617" s="93"/>
      <c r="FT617" s="93"/>
      <c r="FU617" s="93"/>
      <c r="FV617" s="93"/>
      <c r="FW617" s="93"/>
      <c r="FX617" s="93"/>
      <c r="FY617" s="93"/>
      <c r="FZ617" s="29"/>
      <c r="GA617" s="1504">
        <v>53236</v>
      </c>
      <c r="GB617" s="19"/>
      <c r="GC617" s="93"/>
      <c r="GD617" s="93"/>
      <c r="GE617" s="93"/>
      <c r="GF617" s="93"/>
      <c r="GG617" s="93"/>
      <c r="GH617" s="93"/>
      <c r="GI617" s="93"/>
      <c r="GJ617" s="93"/>
      <c r="GK617" s="93"/>
      <c r="GL617" s="93"/>
      <c r="GM617" s="93"/>
      <c r="GN617" s="20"/>
      <c r="GO617" s="29"/>
      <c r="GP617" s="1504">
        <v>53236</v>
      </c>
      <c r="GQ617" s="19"/>
      <c r="GR617" s="93"/>
      <c r="GS617" s="93"/>
      <c r="GT617" s="93"/>
      <c r="GU617" s="93"/>
      <c r="GV617" s="20"/>
      <c r="GW617" s="19"/>
      <c r="GX617" s="93"/>
      <c r="GY617" s="93"/>
      <c r="GZ617" s="93"/>
      <c r="HA617" s="93"/>
      <c r="HB617" s="20"/>
      <c r="HC617" s="19"/>
      <c r="HD617" s="93"/>
      <c r="HE617" s="93"/>
      <c r="HF617" s="93"/>
      <c r="HG617" s="93"/>
      <c r="HH617" s="20"/>
      <c r="HI617" s="19"/>
      <c r="HJ617" s="93"/>
      <c r="HK617" s="93"/>
      <c r="HL617" s="93"/>
      <c r="HM617" s="93"/>
      <c r="HN617" s="20"/>
      <c r="HO617" s="219"/>
      <c r="HP617" s="20"/>
      <c r="HQ617" s="25"/>
      <c r="HR617" s="29"/>
      <c r="HS617" s="1504">
        <v>53236</v>
      </c>
      <c r="HT617" s="19"/>
      <c r="HU617" s="93"/>
      <c r="HV617" s="93"/>
      <c r="HW617" s="93"/>
      <c r="HX617" s="93"/>
      <c r="HY617" s="93"/>
      <c r="HZ617" s="93"/>
      <c r="IA617" s="20"/>
      <c r="IB617" s="19"/>
      <c r="IC617" s="93"/>
      <c r="ID617" s="93"/>
      <c r="IE617" s="93"/>
      <c r="IF617" s="93"/>
      <c r="IG617" s="20"/>
      <c r="IH617" s="19"/>
      <c r="II617" s="93"/>
      <c r="IJ617" s="93"/>
      <c r="IK617" s="93"/>
      <c r="IL617" s="93"/>
      <c r="IM617" s="93"/>
      <c r="IN617" s="93"/>
      <c r="IO617" s="20"/>
      <c r="IP617" s="29"/>
      <c r="IQ617" s="19"/>
      <c r="IR617" s="93"/>
      <c r="IS617" s="93"/>
      <c r="IT617" s="93"/>
      <c r="IU617" s="93"/>
      <c r="IV617" s="20"/>
      <c r="IW617" s="29"/>
      <c r="IX617" s="19"/>
      <c r="IY617" s="93"/>
      <c r="IZ617" s="93"/>
      <c r="JA617" s="93"/>
      <c r="JB617" s="93"/>
      <c r="JC617" s="93"/>
      <c r="JD617" s="93"/>
      <c r="JE617" s="20"/>
      <c r="JF617" s="29"/>
      <c r="JG617" s="19"/>
      <c r="JH617" s="93"/>
      <c r="JI617" s="93"/>
      <c r="JJ617" s="93"/>
      <c r="JK617" s="93"/>
      <c r="JL617" s="93"/>
      <c r="JM617" s="93"/>
      <c r="JN617" s="20"/>
      <c r="JO617" s="29"/>
      <c r="JP617" s="19"/>
      <c r="JQ617" s="93"/>
      <c r="JR617" s="93"/>
      <c r="JS617" s="93"/>
      <c r="JT617" s="93"/>
      <c r="JU617" s="20"/>
      <c r="JV617" s="29"/>
      <c r="JW617" s="1504">
        <v>53236</v>
      </c>
      <c r="JX617" s="19"/>
      <c r="JY617" s="93"/>
      <c r="JZ617" s="93"/>
      <c r="KA617" s="93"/>
      <c r="KB617" s="93"/>
      <c r="KC617" s="93"/>
      <c r="KD617" s="20"/>
      <c r="KE617" s="29"/>
      <c r="KF617" s="19"/>
      <c r="KG617" s="93"/>
      <c r="KH617" s="93"/>
      <c r="KI617" s="93"/>
      <c r="KJ617" s="93"/>
      <c r="KK617" s="20"/>
      <c r="KL617" s="29"/>
      <c r="KM617" s="19"/>
      <c r="KN617" s="93"/>
      <c r="KO617" s="93"/>
      <c r="KP617" s="93"/>
      <c r="KQ617" s="93"/>
      <c r="KR617" s="20"/>
      <c r="KS617" s="29"/>
      <c r="KT617" s="19"/>
      <c r="KU617" s="93"/>
      <c r="KV617" s="93"/>
      <c r="KW617" s="93"/>
      <c r="KX617" s="93"/>
      <c r="KY617" s="20"/>
      <c r="KZ617" s="29"/>
      <c r="LA617" s="1504">
        <v>53236</v>
      </c>
      <c r="LB617" s="19"/>
      <c r="LC617" s="93"/>
      <c r="LD617" s="93"/>
      <c r="LE617" s="93"/>
      <c r="LF617" s="93"/>
      <c r="LG617" s="93"/>
      <c r="LH617" s="20"/>
      <c r="LI617" s="29"/>
      <c r="LJ617" s="19"/>
      <c r="LK617" s="93"/>
      <c r="LL617" s="93"/>
      <c r="LM617" s="93"/>
      <c r="LN617" s="93"/>
      <c r="LO617" s="20"/>
      <c r="LP617" s="29"/>
      <c r="LQ617" s="19"/>
      <c r="LR617" s="93"/>
      <c r="LS617" s="93"/>
      <c r="LT617" s="93"/>
      <c r="LU617" s="93"/>
      <c r="LV617" s="93"/>
      <c r="LW617" s="93"/>
      <c r="LX617" s="93"/>
      <c r="LY617" s="93"/>
      <c r="LZ617" s="93"/>
      <c r="MA617" s="20"/>
      <c r="MB617" s="29"/>
      <c r="MC617" s="1504">
        <v>53236</v>
      </c>
      <c r="MD617" s="19"/>
      <c r="ME617" s="93"/>
      <c r="MF617" s="93"/>
      <c r="MG617" s="93"/>
      <c r="MH617" s="93"/>
      <c r="MI617" s="93"/>
      <c r="MJ617" s="93"/>
      <c r="MK617" s="93"/>
      <c r="ML617" s="93"/>
      <c r="MM617" s="93"/>
      <c r="MN617" s="93"/>
      <c r="MO617" s="93"/>
      <c r="MP617" s="93"/>
      <c r="MQ617" s="93"/>
      <c r="MR617" s="93"/>
      <c r="MS617" s="93"/>
      <c r="MT617" s="93"/>
      <c r="MU617" s="93"/>
      <c r="MV617" s="93"/>
      <c r="MW617" s="93"/>
      <c r="MX617" s="93"/>
      <c r="MY617" s="93"/>
      <c r="MZ617" s="93"/>
      <c r="NA617" s="93"/>
      <c r="NB617" s="93"/>
      <c r="NC617" s="93"/>
      <c r="ND617" s="93"/>
      <c r="NE617" s="93"/>
      <c r="NF617" s="93"/>
      <c r="NG617" s="93"/>
      <c r="NH617" s="93"/>
      <c r="NI617" s="93"/>
      <c r="NJ617" s="93"/>
      <c r="NK617" s="93"/>
      <c r="NL617" s="93"/>
      <c r="NM617" s="93"/>
      <c r="NN617" s="93"/>
      <c r="NO617" s="93"/>
      <c r="NP617" s="93"/>
      <c r="NQ617" s="93"/>
      <c r="NR617" s="93"/>
      <c r="NS617" s="93"/>
      <c r="NT617" s="93"/>
      <c r="NU617" s="93"/>
      <c r="NV617" s="93"/>
      <c r="NW617" s="93"/>
      <c r="NX617" s="93"/>
      <c r="NY617" s="93"/>
      <c r="NZ617" s="93"/>
      <c r="OA617" s="93"/>
      <c r="OB617" s="93"/>
      <c r="OC617" s="93"/>
      <c r="OD617" s="20"/>
      <c r="OE617" s="29"/>
      <c r="OF617" s="1504">
        <v>53236</v>
      </c>
      <c r="OG617" s="19"/>
      <c r="OH617" s="93"/>
      <c r="OI617" s="93"/>
      <c r="OJ617" s="93"/>
      <c r="OK617" s="93"/>
      <c r="OL617" s="93"/>
      <c r="OM617" s="93"/>
      <c r="ON617" s="93"/>
      <c r="OO617" s="93"/>
      <c r="OP617" s="93"/>
      <c r="OQ617" s="93"/>
      <c r="OR617" s="93"/>
      <c r="OS617" s="93"/>
      <c r="OT617" s="93"/>
      <c r="OU617" s="93"/>
      <c r="OV617" s="93"/>
      <c r="OW617" s="93"/>
      <c r="OX617" s="93"/>
      <c r="OY617" s="93"/>
      <c r="OZ617" s="93"/>
      <c r="PA617" s="93"/>
      <c r="PB617" s="93"/>
      <c r="PC617" s="20"/>
      <c r="PD617" s="29"/>
      <c r="PE617" s="19"/>
      <c r="PF617" s="93"/>
      <c r="PG617" s="93"/>
      <c r="PH617" s="93"/>
      <c r="PI617" s="93"/>
      <c r="PJ617" s="93"/>
      <c r="PK617" s="93"/>
      <c r="PL617" s="93"/>
      <c r="PM617" s="93"/>
      <c r="PN617" s="93"/>
      <c r="PO617" s="93"/>
      <c r="PP617" s="93"/>
      <c r="PQ617" s="93"/>
      <c r="PR617" s="93"/>
      <c r="PS617" s="93"/>
      <c r="PT617" s="93"/>
      <c r="PU617" s="93"/>
      <c r="PV617" s="93"/>
      <c r="PW617" s="93"/>
      <c r="PX617" s="93"/>
      <c r="PY617" s="93"/>
      <c r="PZ617" s="93"/>
      <c r="QA617" s="93"/>
      <c r="QB617" s="93"/>
      <c r="QC617" s="93"/>
      <c r="QD617" s="93"/>
      <c r="QE617" s="20"/>
      <c r="QF617" s="1739"/>
      <c r="QG617" s="19"/>
      <c r="QH617" s="93"/>
      <c r="QI617" s="93"/>
      <c r="QJ617" s="93"/>
      <c r="QK617" s="93"/>
      <c r="QL617" s="93"/>
      <c r="QM617" s="93"/>
      <c r="QN617" s="93"/>
      <c r="QO617" s="93"/>
      <c r="QP617" s="93"/>
      <c r="QQ617" s="93"/>
      <c r="QR617" s="93"/>
      <c r="QS617" s="93"/>
      <c r="QT617" s="93"/>
      <c r="QU617" s="93"/>
      <c r="QV617" s="93"/>
      <c r="QW617" s="93"/>
      <c r="QX617" s="93"/>
      <c r="QY617" s="93"/>
      <c r="QZ617" s="93"/>
      <c r="RA617" s="93"/>
      <c r="RB617" s="93"/>
      <c r="RC617" s="93"/>
      <c r="RD617" s="93"/>
      <c r="RE617" s="93"/>
      <c r="RF617" s="93"/>
      <c r="RG617" s="93"/>
      <c r="RH617" s="93"/>
      <c r="RI617" s="93"/>
      <c r="RJ617" s="93"/>
      <c r="RK617" s="93"/>
      <c r="RL617" s="93"/>
      <c r="RM617" s="20"/>
      <c r="RN617" s="29"/>
      <c r="RO617" s="19"/>
      <c r="RP617" s="20"/>
      <c r="RQ617" s="29"/>
      <c r="RR617" s="20"/>
      <c r="RS617" s="29"/>
      <c r="RT617" s="1504">
        <v>53236</v>
      </c>
      <c r="RU617" s="19"/>
      <c r="RV617" s="20"/>
      <c r="RW617" s="29"/>
      <c r="RX617" s="1504">
        <v>53236</v>
      </c>
      <c r="RY617" s="29"/>
      <c r="RZ617" s="20"/>
      <c r="SA617" s="29"/>
      <c r="SB617" s="29"/>
    </row>
    <row r="618" spans="1:496">
      <c r="A618" s="41">
        <f t="shared" si="364"/>
        <v>2045</v>
      </c>
      <c r="B618" s="1504">
        <v>53267</v>
      </c>
      <c r="C618" s="1813"/>
      <c r="D618" s="1814"/>
      <c r="E618" s="1814"/>
      <c r="F618" s="1815"/>
      <c r="G618" s="1814"/>
      <c r="H618" s="1814"/>
      <c r="I618" s="1814"/>
      <c r="J618" s="1816"/>
      <c r="K618" s="1807"/>
      <c r="L618" s="25"/>
      <c r="M618" s="97"/>
      <c r="N618" s="1504">
        <v>53267</v>
      </c>
      <c r="O618" s="19"/>
      <c r="P618" s="93"/>
      <c r="Q618" s="93"/>
      <c r="R618" s="93"/>
      <c r="S618" s="93"/>
      <c r="T618" s="93"/>
      <c r="U618" s="93"/>
      <c r="V618" s="93"/>
      <c r="W618" s="93"/>
      <c r="X618" s="93"/>
      <c r="Y618" s="93"/>
      <c r="Z618" s="93"/>
      <c r="AA618" s="93"/>
      <c r="AB618" s="20"/>
      <c r="AC618" s="25"/>
      <c r="AD618" s="97"/>
      <c r="AE618" s="1504">
        <v>53267</v>
      </c>
      <c r="AF618" s="19"/>
      <c r="AG618" s="93"/>
      <c r="AH618" s="93"/>
      <c r="AI618" s="93"/>
      <c r="AJ618" s="93"/>
      <c r="AK618" s="93"/>
      <c r="AL618" s="93"/>
      <c r="AM618" s="93"/>
      <c r="AN618" s="93"/>
      <c r="AO618" s="93"/>
      <c r="AP618" s="93"/>
      <c r="AQ618" s="93"/>
      <c r="AR618" s="93"/>
      <c r="AS618" s="20"/>
      <c r="AT618" s="25"/>
      <c r="AU618" s="97"/>
      <c r="AV618" s="1504">
        <v>53267</v>
      </c>
      <c r="AW618" s="19"/>
      <c r="AX618" s="93"/>
      <c r="AY618" s="93"/>
      <c r="AZ618" s="93"/>
      <c r="BA618" s="93"/>
      <c r="BB618" s="93"/>
      <c r="BC618" s="93"/>
      <c r="BD618" s="93"/>
      <c r="BE618" s="93"/>
      <c r="BF618" s="93"/>
      <c r="BG618" s="93"/>
      <c r="BH618" s="93"/>
      <c r="BI618" s="93"/>
      <c r="BJ618" s="20"/>
      <c r="BK618" s="25"/>
      <c r="BL618" s="97"/>
      <c r="BM618" s="1504">
        <v>53267</v>
      </c>
      <c r="BN618" s="19"/>
      <c r="BO618" s="93"/>
      <c r="BP618" s="93"/>
      <c r="BQ618" s="93"/>
      <c r="BR618" s="93"/>
      <c r="BS618" s="93"/>
      <c r="BT618" s="93"/>
      <c r="BU618" s="20"/>
      <c r="BV618" s="25"/>
      <c r="BW618" s="97"/>
      <c r="BX618" s="1504">
        <v>53267</v>
      </c>
      <c r="BY618" s="19"/>
      <c r="BZ618" s="93"/>
      <c r="CA618" s="93"/>
      <c r="CB618" s="93"/>
      <c r="CC618" s="93"/>
      <c r="CD618" s="25"/>
      <c r="CE618" s="97"/>
      <c r="CF618" s="1504">
        <v>53267</v>
      </c>
      <c r="CG618" s="19"/>
      <c r="CH618" s="93"/>
      <c r="CI618" s="219"/>
      <c r="CJ618" s="20"/>
      <c r="CK618" s="19"/>
      <c r="CL618" s="93"/>
      <c r="CM618" s="93"/>
      <c r="CN618" s="93"/>
      <c r="CO618" s="93"/>
      <c r="CP618" s="20"/>
      <c r="CQ618" s="219"/>
      <c r="CR618" s="93"/>
      <c r="CS618" s="93"/>
      <c r="CT618" s="93"/>
      <c r="CU618" s="93"/>
      <c r="CV618" s="214"/>
      <c r="CW618" s="29"/>
      <c r="CX618" s="41">
        <f t="shared" si="363"/>
        <v>2045</v>
      </c>
      <c r="CY618" s="1504">
        <v>53267</v>
      </c>
      <c r="CZ618" s="19"/>
      <c r="DA618" s="93"/>
      <c r="DB618" s="93"/>
      <c r="DC618" s="93"/>
      <c r="DD618" s="93"/>
      <c r="DE618" s="20"/>
      <c r="DF618" s="29"/>
      <c r="DG618" s="1504">
        <v>53267</v>
      </c>
      <c r="DH618" s="19"/>
      <c r="DI618" s="93"/>
      <c r="DJ618" s="93"/>
      <c r="DK618" s="93"/>
      <c r="DL618" s="93"/>
      <c r="DM618" s="93"/>
      <c r="DN618" s="20"/>
      <c r="DO618" s="295"/>
      <c r="DP618" s="29"/>
      <c r="DQ618" s="1504">
        <v>53267</v>
      </c>
      <c r="DR618" s="19"/>
      <c r="DS618" s="93"/>
      <c r="DT618" s="93"/>
      <c r="DU618" s="93"/>
      <c r="DV618" s="93"/>
      <c r="DW618" s="93"/>
      <c r="DX618" s="20"/>
      <c r="DY618" s="29"/>
      <c r="DZ618" s="1504">
        <v>53267</v>
      </c>
      <c r="EA618" s="19"/>
      <c r="EB618" s="93"/>
      <c r="EC618" s="20"/>
      <c r="ED618" s="29"/>
      <c r="EE618" s="1504">
        <v>53267</v>
      </c>
      <c r="EF618" s="19"/>
      <c r="EG618" s="93"/>
      <c r="EH618" s="93"/>
      <c r="EI618" s="214"/>
      <c r="EJ618" s="93"/>
      <c r="EK618" s="93"/>
      <c r="EL618" s="93"/>
      <c r="EM618" s="93"/>
      <c r="EN618" s="20"/>
      <c r="EO618" s="29"/>
      <c r="EP618" s="1504">
        <v>53267</v>
      </c>
      <c r="EQ618" s="19"/>
      <c r="ER618" s="93"/>
      <c r="ES618" s="93"/>
      <c r="ET618" s="214"/>
      <c r="EU618" s="93"/>
      <c r="EV618" s="93"/>
      <c r="EW618" s="93"/>
      <c r="EX618" s="93"/>
      <c r="EY618" s="20"/>
      <c r="EZ618" s="29"/>
      <c r="FA618" s="1504">
        <v>53267</v>
      </c>
      <c r="FB618" s="29"/>
      <c r="FC618" s="29"/>
      <c r="FD618" s="29"/>
      <c r="FE618" s="29"/>
      <c r="FF618" s="29"/>
      <c r="FG618" s="29"/>
      <c r="FH618" s="29"/>
      <c r="FI618" s="29"/>
      <c r="FJ618" s="29"/>
      <c r="FK618" s="29"/>
      <c r="FL618" s="1504">
        <v>53267</v>
      </c>
      <c r="FM618" s="19"/>
      <c r="FN618" s="93"/>
      <c r="FO618" s="93"/>
      <c r="FP618" s="93"/>
      <c r="FQ618" s="93"/>
      <c r="FR618" s="93"/>
      <c r="FS618" s="93"/>
      <c r="FT618" s="93"/>
      <c r="FU618" s="93"/>
      <c r="FV618" s="93"/>
      <c r="FW618" s="93"/>
      <c r="FX618" s="93"/>
      <c r="FY618" s="93"/>
      <c r="FZ618" s="29"/>
      <c r="GA618" s="1504">
        <v>53267</v>
      </c>
      <c r="GB618" s="19"/>
      <c r="GC618" s="93"/>
      <c r="GD618" s="93"/>
      <c r="GE618" s="93"/>
      <c r="GF618" s="93"/>
      <c r="GG618" s="93"/>
      <c r="GH618" s="93"/>
      <c r="GI618" s="93"/>
      <c r="GJ618" s="93"/>
      <c r="GK618" s="93"/>
      <c r="GL618" s="93"/>
      <c r="GM618" s="93"/>
      <c r="GN618" s="20"/>
      <c r="GO618" s="29"/>
      <c r="GP618" s="1504">
        <v>53267</v>
      </c>
      <c r="GQ618" s="19"/>
      <c r="GR618" s="93"/>
      <c r="GS618" s="93"/>
      <c r="GT618" s="93"/>
      <c r="GU618" s="93"/>
      <c r="GV618" s="20"/>
      <c r="GW618" s="19"/>
      <c r="GX618" s="93"/>
      <c r="GY618" s="93"/>
      <c r="GZ618" s="93"/>
      <c r="HA618" s="93"/>
      <c r="HB618" s="20"/>
      <c r="HC618" s="19"/>
      <c r="HD618" s="93"/>
      <c r="HE618" s="93"/>
      <c r="HF618" s="93"/>
      <c r="HG618" s="93"/>
      <c r="HH618" s="20"/>
      <c r="HI618" s="19"/>
      <c r="HJ618" s="93"/>
      <c r="HK618" s="93"/>
      <c r="HL618" s="93"/>
      <c r="HM618" s="93"/>
      <c r="HN618" s="20"/>
      <c r="HO618" s="219"/>
      <c r="HP618" s="20"/>
      <c r="HQ618" s="25"/>
      <c r="HR618" s="29"/>
      <c r="HS618" s="1504">
        <v>53267</v>
      </c>
      <c r="HT618" s="19"/>
      <c r="HU618" s="93"/>
      <c r="HV618" s="93"/>
      <c r="HW618" s="93"/>
      <c r="HX618" s="93"/>
      <c r="HY618" s="93"/>
      <c r="HZ618" s="93"/>
      <c r="IA618" s="20"/>
      <c r="IB618" s="19"/>
      <c r="IC618" s="93"/>
      <c r="ID618" s="93"/>
      <c r="IE618" s="93"/>
      <c r="IF618" s="93"/>
      <c r="IG618" s="20"/>
      <c r="IH618" s="19"/>
      <c r="II618" s="93"/>
      <c r="IJ618" s="93"/>
      <c r="IK618" s="93"/>
      <c r="IL618" s="93"/>
      <c r="IM618" s="93"/>
      <c r="IN618" s="93"/>
      <c r="IO618" s="20"/>
      <c r="IP618" s="29"/>
      <c r="IQ618" s="19"/>
      <c r="IR618" s="93"/>
      <c r="IS618" s="93"/>
      <c r="IT618" s="93"/>
      <c r="IU618" s="93"/>
      <c r="IV618" s="20"/>
      <c r="IW618" s="29"/>
      <c r="IX618" s="19"/>
      <c r="IY618" s="93"/>
      <c r="IZ618" s="93"/>
      <c r="JA618" s="93"/>
      <c r="JB618" s="93"/>
      <c r="JC618" s="93"/>
      <c r="JD618" s="93"/>
      <c r="JE618" s="20"/>
      <c r="JF618" s="29"/>
      <c r="JG618" s="19"/>
      <c r="JH618" s="93"/>
      <c r="JI618" s="93"/>
      <c r="JJ618" s="93"/>
      <c r="JK618" s="93"/>
      <c r="JL618" s="93"/>
      <c r="JM618" s="93"/>
      <c r="JN618" s="20"/>
      <c r="JO618" s="29"/>
      <c r="JP618" s="19"/>
      <c r="JQ618" s="93"/>
      <c r="JR618" s="93"/>
      <c r="JS618" s="93"/>
      <c r="JT618" s="93"/>
      <c r="JU618" s="20"/>
      <c r="JV618" s="29"/>
      <c r="JW618" s="1504">
        <v>53267</v>
      </c>
      <c r="JX618" s="19"/>
      <c r="JY618" s="93"/>
      <c r="JZ618" s="93"/>
      <c r="KA618" s="93"/>
      <c r="KB618" s="93"/>
      <c r="KC618" s="93"/>
      <c r="KD618" s="20"/>
      <c r="KE618" s="29"/>
      <c r="KF618" s="19"/>
      <c r="KG618" s="93"/>
      <c r="KH618" s="93"/>
      <c r="KI618" s="93"/>
      <c r="KJ618" s="93"/>
      <c r="KK618" s="20"/>
      <c r="KL618" s="29"/>
      <c r="KM618" s="19"/>
      <c r="KN618" s="93"/>
      <c r="KO618" s="93"/>
      <c r="KP618" s="93"/>
      <c r="KQ618" s="93"/>
      <c r="KR618" s="20"/>
      <c r="KS618" s="29"/>
      <c r="KT618" s="19"/>
      <c r="KU618" s="93"/>
      <c r="KV618" s="93"/>
      <c r="KW618" s="93"/>
      <c r="KX618" s="93"/>
      <c r="KY618" s="20"/>
      <c r="KZ618" s="29"/>
      <c r="LA618" s="1504">
        <v>53267</v>
      </c>
      <c r="LB618" s="19"/>
      <c r="LC618" s="93"/>
      <c r="LD618" s="93"/>
      <c r="LE618" s="93"/>
      <c r="LF618" s="93"/>
      <c r="LG618" s="93"/>
      <c r="LH618" s="20"/>
      <c r="LI618" s="29"/>
      <c r="LJ618" s="19"/>
      <c r="LK618" s="93"/>
      <c r="LL618" s="93"/>
      <c r="LM618" s="93"/>
      <c r="LN618" s="93"/>
      <c r="LO618" s="20"/>
      <c r="LP618" s="29"/>
      <c r="LQ618" s="19"/>
      <c r="LR618" s="93"/>
      <c r="LS618" s="93"/>
      <c r="LT618" s="93"/>
      <c r="LU618" s="93"/>
      <c r="LV618" s="93"/>
      <c r="LW618" s="93"/>
      <c r="LX618" s="93"/>
      <c r="LY618" s="93"/>
      <c r="LZ618" s="93"/>
      <c r="MA618" s="20"/>
      <c r="MB618" s="29"/>
      <c r="MC618" s="1504">
        <v>53267</v>
      </c>
      <c r="MD618" s="19"/>
      <c r="ME618" s="93"/>
      <c r="MF618" s="93"/>
      <c r="MG618" s="93"/>
      <c r="MH618" s="93"/>
      <c r="MI618" s="93"/>
      <c r="MJ618" s="93"/>
      <c r="MK618" s="93"/>
      <c r="ML618" s="93"/>
      <c r="MM618" s="93"/>
      <c r="MN618" s="93"/>
      <c r="MO618" s="93"/>
      <c r="MP618" s="93"/>
      <c r="MQ618" s="93"/>
      <c r="MR618" s="93"/>
      <c r="MS618" s="93"/>
      <c r="MT618" s="93"/>
      <c r="MU618" s="93"/>
      <c r="MV618" s="93"/>
      <c r="MW618" s="93"/>
      <c r="MX618" s="93"/>
      <c r="MY618" s="93"/>
      <c r="MZ618" s="93"/>
      <c r="NA618" s="93"/>
      <c r="NB618" s="93"/>
      <c r="NC618" s="93"/>
      <c r="ND618" s="93"/>
      <c r="NE618" s="93"/>
      <c r="NF618" s="93"/>
      <c r="NG618" s="93"/>
      <c r="NH618" s="93"/>
      <c r="NI618" s="93"/>
      <c r="NJ618" s="93"/>
      <c r="NK618" s="93"/>
      <c r="NL618" s="93"/>
      <c r="NM618" s="93"/>
      <c r="NN618" s="93"/>
      <c r="NO618" s="93"/>
      <c r="NP618" s="93"/>
      <c r="NQ618" s="93"/>
      <c r="NR618" s="93"/>
      <c r="NS618" s="93"/>
      <c r="NT618" s="93"/>
      <c r="NU618" s="93"/>
      <c r="NV618" s="93"/>
      <c r="NW618" s="93"/>
      <c r="NX618" s="93"/>
      <c r="NY618" s="93"/>
      <c r="NZ618" s="93"/>
      <c r="OA618" s="93"/>
      <c r="OB618" s="93"/>
      <c r="OC618" s="93"/>
      <c r="OD618" s="20"/>
      <c r="OE618" s="29"/>
      <c r="OF618" s="1504">
        <v>53267</v>
      </c>
      <c r="OG618" s="19"/>
      <c r="OH618" s="93"/>
      <c r="OI618" s="93"/>
      <c r="OJ618" s="93"/>
      <c r="OK618" s="93"/>
      <c r="OL618" s="93"/>
      <c r="OM618" s="93"/>
      <c r="ON618" s="93"/>
      <c r="OO618" s="93"/>
      <c r="OP618" s="93"/>
      <c r="OQ618" s="93"/>
      <c r="OR618" s="93"/>
      <c r="OS618" s="93"/>
      <c r="OT618" s="93"/>
      <c r="OU618" s="93"/>
      <c r="OV618" s="93"/>
      <c r="OW618" s="93"/>
      <c r="OX618" s="93"/>
      <c r="OY618" s="93"/>
      <c r="OZ618" s="93"/>
      <c r="PA618" s="93"/>
      <c r="PB618" s="93"/>
      <c r="PC618" s="20"/>
      <c r="PD618" s="29"/>
      <c r="PE618" s="19"/>
      <c r="PF618" s="93"/>
      <c r="PG618" s="93"/>
      <c r="PH618" s="93"/>
      <c r="PI618" s="93"/>
      <c r="PJ618" s="93"/>
      <c r="PK618" s="93"/>
      <c r="PL618" s="93"/>
      <c r="PM618" s="93"/>
      <c r="PN618" s="93"/>
      <c r="PO618" s="93"/>
      <c r="PP618" s="93"/>
      <c r="PQ618" s="93"/>
      <c r="PR618" s="93"/>
      <c r="PS618" s="93"/>
      <c r="PT618" s="93"/>
      <c r="PU618" s="93"/>
      <c r="PV618" s="93"/>
      <c r="PW618" s="93"/>
      <c r="PX618" s="93"/>
      <c r="PY618" s="93"/>
      <c r="PZ618" s="93"/>
      <c r="QA618" s="93"/>
      <c r="QB618" s="93"/>
      <c r="QC618" s="93"/>
      <c r="QD618" s="93"/>
      <c r="QE618" s="20"/>
      <c r="QF618" s="1739"/>
      <c r="QG618" s="19"/>
      <c r="QH618" s="93"/>
      <c r="QI618" s="93"/>
      <c r="QJ618" s="93"/>
      <c r="QK618" s="93"/>
      <c r="QL618" s="93"/>
      <c r="QM618" s="93"/>
      <c r="QN618" s="93"/>
      <c r="QO618" s="93"/>
      <c r="QP618" s="93"/>
      <c r="QQ618" s="93"/>
      <c r="QR618" s="93"/>
      <c r="QS618" s="93"/>
      <c r="QT618" s="93"/>
      <c r="QU618" s="93"/>
      <c r="QV618" s="93"/>
      <c r="QW618" s="93"/>
      <c r="QX618" s="93"/>
      <c r="QY618" s="93"/>
      <c r="QZ618" s="93"/>
      <c r="RA618" s="93"/>
      <c r="RB618" s="93"/>
      <c r="RC618" s="93"/>
      <c r="RD618" s="93"/>
      <c r="RE618" s="93"/>
      <c r="RF618" s="93"/>
      <c r="RG618" s="93"/>
      <c r="RH618" s="93"/>
      <c r="RI618" s="93"/>
      <c r="RJ618" s="93"/>
      <c r="RK618" s="93"/>
      <c r="RL618" s="93"/>
      <c r="RM618" s="20"/>
      <c r="RN618" s="29"/>
      <c r="RO618" s="19"/>
      <c r="RP618" s="20"/>
      <c r="RQ618" s="29"/>
      <c r="RR618" s="20"/>
      <c r="RS618" s="29"/>
      <c r="RT618" s="1504">
        <v>53267</v>
      </c>
      <c r="RU618" s="19"/>
      <c r="RV618" s="20"/>
      <c r="RW618" s="29"/>
      <c r="RX618" s="1504">
        <v>53267</v>
      </c>
      <c r="RY618" s="29"/>
      <c r="RZ618" s="20"/>
      <c r="SA618" s="29"/>
      <c r="SB618" s="29"/>
    </row>
    <row r="619" spans="1:496">
      <c r="A619" s="41">
        <f t="shared" si="364"/>
        <v>2045</v>
      </c>
      <c r="B619" s="1504">
        <v>53297</v>
      </c>
      <c r="C619" s="1813"/>
      <c r="D619" s="1814"/>
      <c r="E619" s="1814"/>
      <c r="F619" s="1815"/>
      <c r="G619" s="1814"/>
      <c r="H619" s="1814"/>
      <c r="I619" s="1814"/>
      <c r="J619" s="1816"/>
      <c r="K619" s="1807"/>
      <c r="L619" s="25"/>
      <c r="M619" s="97"/>
      <c r="N619" s="1504">
        <v>53297</v>
      </c>
      <c r="O619" s="19"/>
      <c r="P619" s="93"/>
      <c r="Q619" s="93"/>
      <c r="R619" s="93"/>
      <c r="S619" s="93"/>
      <c r="T619" s="93"/>
      <c r="U619" s="93"/>
      <c r="V619" s="93"/>
      <c r="W619" s="93"/>
      <c r="X619" s="93"/>
      <c r="Y619" s="93"/>
      <c r="Z619" s="93"/>
      <c r="AA619" s="93"/>
      <c r="AB619" s="20"/>
      <c r="AC619" s="25"/>
      <c r="AD619" s="97"/>
      <c r="AE619" s="1504">
        <v>53297</v>
      </c>
      <c r="AF619" s="19"/>
      <c r="AG619" s="93"/>
      <c r="AH619" s="93"/>
      <c r="AI619" s="93"/>
      <c r="AJ619" s="93"/>
      <c r="AK619" s="93"/>
      <c r="AL619" s="93"/>
      <c r="AM619" s="93"/>
      <c r="AN619" s="93"/>
      <c r="AO619" s="93"/>
      <c r="AP619" s="93"/>
      <c r="AQ619" s="93"/>
      <c r="AR619" s="93"/>
      <c r="AS619" s="20"/>
      <c r="AT619" s="25"/>
      <c r="AU619" s="97"/>
      <c r="AV619" s="1504">
        <v>53297</v>
      </c>
      <c r="AW619" s="19"/>
      <c r="AX619" s="93"/>
      <c r="AY619" s="93"/>
      <c r="AZ619" s="93"/>
      <c r="BA619" s="93"/>
      <c r="BB619" s="93"/>
      <c r="BC619" s="93"/>
      <c r="BD619" s="93"/>
      <c r="BE619" s="93"/>
      <c r="BF619" s="93"/>
      <c r="BG619" s="93"/>
      <c r="BH619" s="93"/>
      <c r="BI619" s="93"/>
      <c r="BJ619" s="20"/>
      <c r="BK619" s="25"/>
      <c r="BL619" s="97"/>
      <c r="BM619" s="1504">
        <v>53297</v>
      </c>
      <c r="BN619" s="19"/>
      <c r="BO619" s="93"/>
      <c r="BP619" s="93"/>
      <c r="BQ619" s="93"/>
      <c r="BR619" s="93"/>
      <c r="BS619" s="93"/>
      <c r="BT619" s="93"/>
      <c r="BU619" s="20"/>
      <c r="BV619" s="25"/>
      <c r="BW619" s="97"/>
      <c r="BX619" s="1504">
        <v>53297</v>
      </c>
      <c r="BY619" s="19"/>
      <c r="BZ619" s="93"/>
      <c r="CA619" s="93"/>
      <c r="CB619" s="93"/>
      <c r="CC619" s="93"/>
      <c r="CD619" s="25"/>
      <c r="CE619" s="97"/>
      <c r="CF619" s="1504">
        <v>53297</v>
      </c>
      <c r="CG619" s="19"/>
      <c r="CH619" s="93"/>
      <c r="CI619" s="219"/>
      <c r="CJ619" s="20"/>
      <c r="CK619" s="19"/>
      <c r="CL619" s="93"/>
      <c r="CM619" s="93"/>
      <c r="CN619" s="93"/>
      <c r="CO619" s="93"/>
      <c r="CP619" s="20"/>
      <c r="CQ619" s="219"/>
      <c r="CR619" s="93"/>
      <c r="CS619" s="93"/>
      <c r="CT619" s="93"/>
      <c r="CU619" s="93"/>
      <c r="CV619" s="214"/>
      <c r="CW619" s="29"/>
      <c r="CX619" s="41">
        <f t="shared" si="363"/>
        <v>2045</v>
      </c>
      <c r="CY619" s="1504">
        <v>53297</v>
      </c>
      <c r="CZ619" s="19"/>
      <c r="DA619" s="93"/>
      <c r="DB619" s="93"/>
      <c r="DC619" s="93"/>
      <c r="DD619" s="93"/>
      <c r="DE619" s="20"/>
      <c r="DF619" s="29"/>
      <c r="DG619" s="1504">
        <v>53297</v>
      </c>
      <c r="DH619" s="19"/>
      <c r="DI619" s="93"/>
      <c r="DJ619" s="93"/>
      <c r="DK619" s="93"/>
      <c r="DL619" s="93"/>
      <c r="DM619" s="93"/>
      <c r="DN619" s="20"/>
      <c r="DO619" s="295"/>
      <c r="DP619" s="29"/>
      <c r="DQ619" s="1504">
        <v>53297</v>
      </c>
      <c r="DR619" s="19"/>
      <c r="DS619" s="93"/>
      <c r="DT619" s="93"/>
      <c r="DU619" s="93"/>
      <c r="DV619" s="93"/>
      <c r="DW619" s="93"/>
      <c r="DX619" s="20"/>
      <c r="DY619" s="29"/>
      <c r="DZ619" s="1504">
        <v>53297</v>
      </c>
      <c r="EA619" s="19"/>
      <c r="EB619" s="93"/>
      <c r="EC619" s="20"/>
      <c r="ED619" s="29"/>
      <c r="EE619" s="1504">
        <v>53297</v>
      </c>
      <c r="EF619" s="19"/>
      <c r="EG619" s="93"/>
      <c r="EH619" s="93"/>
      <c r="EI619" s="214"/>
      <c r="EJ619" s="93"/>
      <c r="EK619" s="93"/>
      <c r="EL619" s="93"/>
      <c r="EM619" s="93"/>
      <c r="EN619" s="20"/>
      <c r="EO619" s="29"/>
      <c r="EP619" s="1504">
        <v>53297</v>
      </c>
      <c r="EQ619" s="19"/>
      <c r="ER619" s="93"/>
      <c r="ES619" s="93"/>
      <c r="ET619" s="214"/>
      <c r="EU619" s="93"/>
      <c r="EV619" s="93"/>
      <c r="EW619" s="93"/>
      <c r="EX619" s="93"/>
      <c r="EY619" s="20"/>
      <c r="EZ619" s="29"/>
      <c r="FA619" s="1504">
        <v>53297</v>
      </c>
      <c r="FB619" s="29"/>
      <c r="FC619" s="29"/>
      <c r="FD619" s="29"/>
      <c r="FE619" s="29"/>
      <c r="FF619" s="29"/>
      <c r="FG619" s="29"/>
      <c r="FH619" s="29"/>
      <c r="FI619" s="29"/>
      <c r="FJ619" s="29"/>
      <c r="FK619" s="29"/>
      <c r="FL619" s="1504">
        <v>53297</v>
      </c>
      <c r="FM619" s="19"/>
      <c r="FN619" s="93"/>
      <c r="FO619" s="93"/>
      <c r="FP619" s="93"/>
      <c r="FQ619" s="93"/>
      <c r="FR619" s="93"/>
      <c r="FS619" s="93"/>
      <c r="FT619" s="93"/>
      <c r="FU619" s="93"/>
      <c r="FV619" s="93"/>
      <c r="FW619" s="93"/>
      <c r="FX619" s="93"/>
      <c r="FY619" s="93"/>
      <c r="FZ619" s="29"/>
      <c r="GA619" s="1504">
        <v>53297</v>
      </c>
      <c r="GB619" s="19"/>
      <c r="GC619" s="93"/>
      <c r="GD619" s="93"/>
      <c r="GE619" s="93"/>
      <c r="GF619" s="93"/>
      <c r="GG619" s="93"/>
      <c r="GH619" s="93"/>
      <c r="GI619" s="93"/>
      <c r="GJ619" s="93"/>
      <c r="GK619" s="93"/>
      <c r="GL619" s="93"/>
      <c r="GM619" s="93"/>
      <c r="GN619" s="20"/>
      <c r="GO619" s="29"/>
      <c r="GP619" s="1504">
        <v>53297</v>
      </c>
      <c r="GQ619" s="19"/>
      <c r="GR619" s="93"/>
      <c r="GS619" s="93"/>
      <c r="GT619" s="93"/>
      <c r="GU619" s="93"/>
      <c r="GV619" s="20"/>
      <c r="GW619" s="19"/>
      <c r="GX619" s="93"/>
      <c r="GY619" s="93"/>
      <c r="GZ619" s="93"/>
      <c r="HA619" s="93"/>
      <c r="HB619" s="20"/>
      <c r="HC619" s="19"/>
      <c r="HD619" s="93"/>
      <c r="HE619" s="93"/>
      <c r="HF619" s="93"/>
      <c r="HG619" s="93"/>
      <c r="HH619" s="20"/>
      <c r="HI619" s="19"/>
      <c r="HJ619" s="93"/>
      <c r="HK619" s="93"/>
      <c r="HL619" s="93"/>
      <c r="HM619" s="93"/>
      <c r="HN619" s="20"/>
      <c r="HO619" s="219"/>
      <c r="HP619" s="20"/>
      <c r="HQ619" s="25"/>
      <c r="HR619" s="29"/>
      <c r="HS619" s="1504">
        <v>53297</v>
      </c>
      <c r="HT619" s="19"/>
      <c r="HU619" s="93"/>
      <c r="HV619" s="93"/>
      <c r="HW619" s="93"/>
      <c r="HX619" s="93"/>
      <c r="HY619" s="93"/>
      <c r="HZ619" s="93"/>
      <c r="IA619" s="20"/>
      <c r="IB619" s="19"/>
      <c r="IC619" s="93"/>
      <c r="ID619" s="93"/>
      <c r="IE619" s="93"/>
      <c r="IF619" s="93"/>
      <c r="IG619" s="20"/>
      <c r="IH619" s="19"/>
      <c r="II619" s="93"/>
      <c r="IJ619" s="93"/>
      <c r="IK619" s="93"/>
      <c r="IL619" s="93"/>
      <c r="IM619" s="93"/>
      <c r="IN619" s="93"/>
      <c r="IO619" s="20"/>
      <c r="IP619" s="29"/>
      <c r="IQ619" s="19"/>
      <c r="IR619" s="93"/>
      <c r="IS619" s="93"/>
      <c r="IT619" s="93"/>
      <c r="IU619" s="93"/>
      <c r="IV619" s="20"/>
      <c r="IW619" s="29"/>
      <c r="IX619" s="19"/>
      <c r="IY619" s="93"/>
      <c r="IZ619" s="93"/>
      <c r="JA619" s="93"/>
      <c r="JB619" s="93"/>
      <c r="JC619" s="93"/>
      <c r="JD619" s="93"/>
      <c r="JE619" s="20"/>
      <c r="JF619" s="29"/>
      <c r="JG619" s="19"/>
      <c r="JH619" s="93"/>
      <c r="JI619" s="93"/>
      <c r="JJ619" s="93"/>
      <c r="JK619" s="93"/>
      <c r="JL619" s="93"/>
      <c r="JM619" s="93"/>
      <c r="JN619" s="20"/>
      <c r="JO619" s="29"/>
      <c r="JP619" s="19"/>
      <c r="JQ619" s="93"/>
      <c r="JR619" s="93"/>
      <c r="JS619" s="93"/>
      <c r="JT619" s="93"/>
      <c r="JU619" s="20"/>
      <c r="JV619" s="29"/>
      <c r="JW619" s="1504">
        <v>53297</v>
      </c>
      <c r="JX619" s="19"/>
      <c r="JY619" s="93"/>
      <c r="JZ619" s="93"/>
      <c r="KA619" s="93"/>
      <c r="KB619" s="93"/>
      <c r="KC619" s="93"/>
      <c r="KD619" s="20"/>
      <c r="KE619" s="29"/>
      <c r="KF619" s="19"/>
      <c r="KG619" s="93"/>
      <c r="KH619" s="93"/>
      <c r="KI619" s="93"/>
      <c r="KJ619" s="93"/>
      <c r="KK619" s="20"/>
      <c r="KL619" s="29"/>
      <c r="KM619" s="19"/>
      <c r="KN619" s="93"/>
      <c r="KO619" s="93"/>
      <c r="KP619" s="93"/>
      <c r="KQ619" s="93"/>
      <c r="KR619" s="20"/>
      <c r="KS619" s="29"/>
      <c r="KT619" s="19"/>
      <c r="KU619" s="93"/>
      <c r="KV619" s="93"/>
      <c r="KW619" s="93"/>
      <c r="KX619" s="93"/>
      <c r="KY619" s="20"/>
      <c r="KZ619" s="29"/>
      <c r="LA619" s="1504">
        <v>53297</v>
      </c>
      <c r="LB619" s="19"/>
      <c r="LC619" s="93"/>
      <c r="LD619" s="93"/>
      <c r="LE619" s="93"/>
      <c r="LF619" s="93"/>
      <c r="LG619" s="93"/>
      <c r="LH619" s="20"/>
      <c r="LI619" s="29"/>
      <c r="LJ619" s="19"/>
      <c r="LK619" s="93"/>
      <c r="LL619" s="93"/>
      <c r="LM619" s="93"/>
      <c r="LN619" s="93"/>
      <c r="LO619" s="20"/>
      <c r="LP619" s="29"/>
      <c r="LQ619" s="19"/>
      <c r="LR619" s="93"/>
      <c r="LS619" s="93"/>
      <c r="LT619" s="93"/>
      <c r="LU619" s="93"/>
      <c r="LV619" s="93"/>
      <c r="LW619" s="93"/>
      <c r="LX619" s="93"/>
      <c r="LY619" s="93"/>
      <c r="LZ619" s="93"/>
      <c r="MA619" s="20"/>
      <c r="MB619" s="29"/>
      <c r="MC619" s="1504">
        <v>53297</v>
      </c>
      <c r="MD619" s="19"/>
      <c r="ME619" s="93"/>
      <c r="MF619" s="93"/>
      <c r="MG619" s="93"/>
      <c r="MH619" s="93"/>
      <c r="MI619" s="93"/>
      <c r="MJ619" s="93"/>
      <c r="MK619" s="93"/>
      <c r="ML619" s="93"/>
      <c r="MM619" s="93"/>
      <c r="MN619" s="93"/>
      <c r="MO619" s="93"/>
      <c r="MP619" s="93"/>
      <c r="MQ619" s="93"/>
      <c r="MR619" s="93"/>
      <c r="MS619" s="93"/>
      <c r="MT619" s="93"/>
      <c r="MU619" s="93"/>
      <c r="MV619" s="93"/>
      <c r="MW619" s="93"/>
      <c r="MX619" s="93"/>
      <c r="MY619" s="93"/>
      <c r="MZ619" s="93"/>
      <c r="NA619" s="93"/>
      <c r="NB619" s="93"/>
      <c r="NC619" s="93"/>
      <c r="ND619" s="93"/>
      <c r="NE619" s="93"/>
      <c r="NF619" s="93"/>
      <c r="NG619" s="93"/>
      <c r="NH619" s="93"/>
      <c r="NI619" s="93"/>
      <c r="NJ619" s="93"/>
      <c r="NK619" s="93"/>
      <c r="NL619" s="93"/>
      <c r="NM619" s="93"/>
      <c r="NN619" s="93"/>
      <c r="NO619" s="93"/>
      <c r="NP619" s="93"/>
      <c r="NQ619" s="93"/>
      <c r="NR619" s="93"/>
      <c r="NS619" s="93"/>
      <c r="NT619" s="93"/>
      <c r="NU619" s="93"/>
      <c r="NV619" s="93"/>
      <c r="NW619" s="93"/>
      <c r="NX619" s="93"/>
      <c r="NY619" s="93"/>
      <c r="NZ619" s="93"/>
      <c r="OA619" s="93"/>
      <c r="OB619" s="93"/>
      <c r="OC619" s="93"/>
      <c r="OD619" s="20"/>
      <c r="OE619" s="29"/>
      <c r="OF619" s="1504">
        <v>53297</v>
      </c>
      <c r="OG619" s="19"/>
      <c r="OH619" s="93"/>
      <c r="OI619" s="93"/>
      <c r="OJ619" s="93"/>
      <c r="OK619" s="93"/>
      <c r="OL619" s="93"/>
      <c r="OM619" s="93"/>
      <c r="ON619" s="93"/>
      <c r="OO619" s="93"/>
      <c r="OP619" s="93"/>
      <c r="OQ619" s="93"/>
      <c r="OR619" s="93"/>
      <c r="OS619" s="93"/>
      <c r="OT619" s="93"/>
      <c r="OU619" s="93"/>
      <c r="OV619" s="93"/>
      <c r="OW619" s="93"/>
      <c r="OX619" s="93"/>
      <c r="OY619" s="93"/>
      <c r="OZ619" s="93"/>
      <c r="PA619" s="93"/>
      <c r="PB619" s="93"/>
      <c r="PC619" s="20"/>
      <c r="PD619" s="29"/>
      <c r="PE619" s="19"/>
      <c r="PF619" s="93"/>
      <c r="PG619" s="93"/>
      <c r="PH619" s="93"/>
      <c r="PI619" s="93"/>
      <c r="PJ619" s="93"/>
      <c r="PK619" s="93"/>
      <c r="PL619" s="93"/>
      <c r="PM619" s="93"/>
      <c r="PN619" s="93"/>
      <c r="PO619" s="93"/>
      <c r="PP619" s="93"/>
      <c r="PQ619" s="93"/>
      <c r="PR619" s="93"/>
      <c r="PS619" s="93"/>
      <c r="PT619" s="93"/>
      <c r="PU619" s="93"/>
      <c r="PV619" s="93"/>
      <c r="PW619" s="93"/>
      <c r="PX619" s="93"/>
      <c r="PY619" s="93"/>
      <c r="PZ619" s="93"/>
      <c r="QA619" s="93"/>
      <c r="QB619" s="93"/>
      <c r="QC619" s="93"/>
      <c r="QD619" s="93"/>
      <c r="QE619" s="20"/>
      <c r="QF619" s="1739"/>
      <c r="QG619" s="19"/>
      <c r="QH619" s="93"/>
      <c r="QI619" s="93"/>
      <c r="QJ619" s="93"/>
      <c r="QK619" s="93"/>
      <c r="QL619" s="93"/>
      <c r="QM619" s="93"/>
      <c r="QN619" s="93"/>
      <c r="QO619" s="93"/>
      <c r="QP619" s="93"/>
      <c r="QQ619" s="93"/>
      <c r="QR619" s="93"/>
      <c r="QS619" s="93"/>
      <c r="QT619" s="93"/>
      <c r="QU619" s="93"/>
      <c r="QV619" s="93"/>
      <c r="QW619" s="93"/>
      <c r="QX619" s="93"/>
      <c r="QY619" s="93"/>
      <c r="QZ619" s="93"/>
      <c r="RA619" s="93"/>
      <c r="RB619" s="93"/>
      <c r="RC619" s="93"/>
      <c r="RD619" s="93"/>
      <c r="RE619" s="93"/>
      <c r="RF619" s="93"/>
      <c r="RG619" s="93"/>
      <c r="RH619" s="93"/>
      <c r="RI619" s="93"/>
      <c r="RJ619" s="93"/>
      <c r="RK619" s="93"/>
      <c r="RL619" s="93"/>
      <c r="RM619" s="20"/>
      <c r="RN619" s="29"/>
      <c r="RO619" s="19"/>
      <c r="RP619" s="20"/>
      <c r="RQ619" s="29"/>
      <c r="RR619" s="20"/>
      <c r="RS619" s="29"/>
      <c r="RT619" s="1504">
        <v>53297</v>
      </c>
      <c r="RU619" s="19"/>
      <c r="RV619" s="20"/>
      <c r="RW619" s="29"/>
      <c r="RX619" s="1504">
        <v>53297</v>
      </c>
      <c r="RY619" s="29"/>
      <c r="RZ619" s="20"/>
      <c r="SA619" s="29"/>
      <c r="SB619" s="29"/>
    </row>
    <row r="620" spans="1:496">
      <c r="A620" s="41">
        <f t="shared" si="364"/>
        <v>2046</v>
      </c>
      <c r="B620" s="1504">
        <v>53328</v>
      </c>
      <c r="C620" s="1813"/>
      <c r="D620" s="1814"/>
      <c r="E620" s="1814"/>
      <c r="F620" s="1815"/>
      <c r="G620" s="1814"/>
      <c r="H620" s="1814"/>
      <c r="I620" s="1814"/>
      <c r="J620" s="1816"/>
      <c r="K620" s="1807"/>
      <c r="L620" s="25"/>
      <c r="M620" s="97"/>
      <c r="N620" s="1504">
        <v>53328</v>
      </c>
      <c r="O620" s="19"/>
      <c r="P620" s="93"/>
      <c r="Q620" s="93"/>
      <c r="R620" s="93"/>
      <c r="S620" s="93"/>
      <c r="T620" s="93"/>
      <c r="U620" s="93"/>
      <c r="V620" s="93"/>
      <c r="W620" s="93"/>
      <c r="X620" s="93"/>
      <c r="Y620" s="93"/>
      <c r="Z620" s="93"/>
      <c r="AA620" s="93"/>
      <c r="AB620" s="20"/>
      <c r="AC620" s="25"/>
      <c r="AD620" s="97"/>
      <c r="AE620" s="1504">
        <v>53328</v>
      </c>
      <c r="AF620" s="19"/>
      <c r="AG620" s="93"/>
      <c r="AH620" s="93"/>
      <c r="AI620" s="93"/>
      <c r="AJ620" s="93"/>
      <c r="AK620" s="93"/>
      <c r="AL620" s="93"/>
      <c r="AM620" s="93"/>
      <c r="AN620" s="93"/>
      <c r="AO620" s="93"/>
      <c r="AP620" s="93"/>
      <c r="AQ620" s="93"/>
      <c r="AR620" s="93"/>
      <c r="AS620" s="20"/>
      <c r="AT620" s="25"/>
      <c r="AU620" s="97"/>
      <c r="AV620" s="1504">
        <v>53328</v>
      </c>
      <c r="AW620" s="19"/>
      <c r="AX620" s="93"/>
      <c r="AY620" s="93"/>
      <c r="AZ620" s="93"/>
      <c r="BA620" s="93"/>
      <c r="BB620" s="93"/>
      <c r="BC620" s="93"/>
      <c r="BD620" s="93"/>
      <c r="BE620" s="93"/>
      <c r="BF620" s="93"/>
      <c r="BG620" s="93"/>
      <c r="BH620" s="93"/>
      <c r="BI620" s="93"/>
      <c r="BJ620" s="20"/>
      <c r="BK620" s="25"/>
      <c r="BL620" s="97"/>
      <c r="BM620" s="1504">
        <v>53328</v>
      </c>
      <c r="BN620" s="19"/>
      <c r="BO620" s="93"/>
      <c r="BP620" s="93"/>
      <c r="BQ620" s="93"/>
      <c r="BR620" s="93"/>
      <c r="BS620" s="93"/>
      <c r="BT620" s="93"/>
      <c r="BU620" s="20"/>
      <c r="BV620" s="25"/>
      <c r="BW620" s="97"/>
      <c r="BX620" s="1504">
        <v>53328</v>
      </c>
      <c r="BY620" s="19"/>
      <c r="BZ620" s="93"/>
      <c r="CA620" s="93"/>
      <c r="CB620" s="93"/>
      <c r="CC620" s="93"/>
      <c r="CD620" s="25"/>
      <c r="CE620" s="97"/>
      <c r="CF620" s="1504">
        <v>53328</v>
      </c>
      <c r="CG620" s="19"/>
      <c r="CH620" s="93"/>
      <c r="CI620" s="219"/>
      <c r="CJ620" s="20"/>
      <c r="CK620" s="19"/>
      <c r="CL620" s="93"/>
      <c r="CM620" s="93"/>
      <c r="CN620" s="93"/>
      <c r="CO620" s="93"/>
      <c r="CP620" s="20"/>
      <c r="CQ620" s="219"/>
      <c r="CR620" s="93"/>
      <c r="CS620" s="93"/>
      <c r="CT620" s="93"/>
      <c r="CU620" s="93"/>
      <c r="CV620" s="214"/>
      <c r="CW620" s="29"/>
      <c r="CX620" s="41">
        <f t="shared" si="363"/>
        <v>2046</v>
      </c>
      <c r="CY620" s="1504">
        <v>53328</v>
      </c>
      <c r="CZ620" s="19"/>
      <c r="DA620" s="93"/>
      <c r="DB620" s="93"/>
      <c r="DC620" s="93"/>
      <c r="DD620" s="93"/>
      <c r="DE620" s="20"/>
      <c r="DF620" s="29"/>
      <c r="DG620" s="1504">
        <v>53328</v>
      </c>
      <c r="DH620" s="19"/>
      <c r="DI620" s="93"/>
      <c r="DJ620" s="93"/>
      <c r="DK620" s="93"/>
      <c r="DL620" s="93"/>
      <c r="DM620" s="93"/>
      <c r="DN620" s="20"/>
      <c r="DO620" s="295"/>
      <c r="DP620" s="29"/>
      <c r="DQ620" s="1504">
        <v>53328</v>
      </c>
      <c r="DR620" s="19"/>
      <c r="DS620" s="93"/>
      <c r="DT620" s="93"/>
      <c r="DU620" s="93"/>
      <c r="DV620" s="93"/>
      <c r="DW620" s="93"/>
      <c r="DX620" s="20"/>
      <c r="DY620" s="29"/>
      <c r="DZ620" s="1504">
        <v>53328</v>
      </c>
      <c r="EA620" s="19"/>
      <c r="EB620" s="93"/>
      <c r="EC620" s="20"/>
      <c r="ED620" s="29"/>
      <c r="EE620" s="1504">
        <v>53328</v>
      </c>
      <c r="EF620" s="19"/>
      <c r="EG620" s="93"/>
      <c r="EH620" s="93"/>
      <c r="EI620" s="214"/>
      <c r="EJ620" s="93"/>
      <c r="EK620" s="93"/>
      <c r="EL620" s="93"/>
      <c r="EM620" s="93"/>
      <c r="EN620" s="20"/>
      <c r="EO620" s="29"/>
      <c r="EP620" s="1504">
        <v>53328</v>
      </c>
      <c r="EQ620" s="19"/>
      <c r="ER620" s="93"/>
      <c r="ES620" s="93"/>
      <c r="ET620" s="214"/>
      <c r="EU620" s="93"/>
      <c r="EV620" s="93"/>
      <c r="EW620" s="93"/>
      <c r="EX620" s="93"/>
      <c r="EY620" s="20"/>
      <c r="EZ620" s="29"/>
      <c r="FA620" s="1504">
        <v>53328</v>
      </c>
      <c r="FB620" s="29"/>
      <c r="FC620" s="29"/>
      <c r="FD620" s="29"/>
      <c r="FE620" s="29"/>
      <c r="FF620" s="29"/>
      <c r="FG620" s="29"/>
      <c r="FH620" s="29"/>
      <c r="FI620" s="29"/>
      <c r="FJ620" s="29"/>
      <c r="FK620" s="29"/>
      <c r="FL620" s="1504">
        <v>53328</v>
      </c>
      <c r="FM620" s="19"/>
      <c r="FN620" s="93"/>
      <c r="FO620" s="93"/>
      <c r="FP620" s="93"/>
      <c r="FQ620" s="93"/>
      <c r="FR620" s="93"/>
      <c r="FS620" s="93"/>
      <c r="FT620" s="93"/>
      <c r="FU620" s="93"/>
      <c r="FV620" s="93"/>
      <c r="FW620" s="93"/>
      <c r="FX620" s="93"/>
      <c r="FY620" s="93"/>
      <c r="FZ620" s="29"/>
      <c r="GA620" s="1504">
        <v>53328</v>
      </c>
      <c r="GB620" s="19"/>
      <c r="GC620" s="93"/>
      <c r="GD620" s="93"/>
      <c r="GE620" s="93"/>
      <c r="GF620" s="93"/>
      <c r="GG620" s="93"/>
      <c r="GH620" s="93"/>
      <c r="GI620" s="93"/>
      <c r="GJ620" s="93"/>
      <c r="GK620" s="93"/>
      <c r="GL620" s="93"/>
      <c r="GM620" s="93"/>
      <c r="GN620" s="20"/>
      <c r="GO620" s="29"/>
      <c r="GP620" s="1504">
        <v>53328</v>
      </c>
      <c r="GQ620" s="19"/>
      <c r="GR620" s="93"/>
      <c r="GS620" s="93"/>
      <c r="GT620" s="93"/>
      <c r="GU620" s="93"/>
      <c r="GV620" s="20"/>
      <c r="GW620" s="19"/>
      <c r="GX620" s="93"/>
      <c r="GY620" s="93"/>
      <c r="GZ620" s="93"/>
      <c r="HA620" s="93"/>
      <c r="HB620" s="20"/>
      <c r="HC620" s="19"/>
      <c r="HD620" s="93"/>
      <c r="HE620" s="93"/>
      <c r="HF620" s="93"/>
      <c r="HG620" s="93"/>
      <c r="HH620" s="20"/>
      <c r="HI620" s="19"/>
      <c r="HJ620" s="93"/>
      <c r="HK620" s="93"/>
      <c r="HL620" s="93"/>
      <c r="HM620" s="93"/>
      <c r="HN620" s="20"/>
      <c r="HO620" s="219"/>
      <c r="HP620" s="20"/>
      <c r="HQ620" s="25"/>
      <c r="HR620" s="29"/>
      <c r="HS620" s="1504">
        <v>53328</v>
      </c>
      <c r="HT620" s="19"/>
      <c r="HU620" s="93"/>
      <c r="HV620" s="93"/>
      <c r="HW620" s="93"/>
      <c r="HX620" s="93"/>
      <c r="HY620" s="93"/>
      <c r="HZ620" s="93"/>
      <c r="IA620" s="20"/>
      <c r="IB620" s="19"/>
      <c r="IC620" s="93"/>
      <c r="ID620" s="93"/>
      <c r="IE620" s="93"/>
      <c r="IF620" s="93"/>
      <c r="IG620" s="20"/>
      <c r="IH620" s="19"/>
      <c r="II620" s="93"/>
      <c r="IJ620" s="93"/>
      <c r="IK620" s="93"/>
      <c r="IL620" s="93"/>
      <c r="IM620" s="93"/>
      <c r="IN620" s="93"/>
      <c r="IO620" s="20"/>
      <c r="IP620" s="29"/>
      <c r="IQ620" s="19"/>
      <c r="IR620" s="93"/>
      <c r="IS620" s="93"/>
      <c r="IT620" s="93"/>
      <c r="IU620" s="93"/>
      <c r="IV620" s="20"/>
      <c r="IW620" s="29"/>
      <c r="IX620" s="19"/>
      <c r="IY620" s="93"/>
      <c r="IZ620" s="93"/>
      <c r="JA620" s="93"/>
      <c r="JB620" s="93"/>
      <c r="JC620" s="93"/>
      <c r="JD620" s="93"/>
      <c r="JE620" s="20"/>
      <c r="JF620" s="29"/>
      <c r="JG620" s="19"/>
      <c r="JH620" s="93"/>
      <c r="JI620" s="93"/>
      <c r="JJ620" s="93"/>
      <c r="JK620" s="93"/>
      <c r="JL620" s="93"/>
      <c r="JM620" s="93"/>
      <c r="JN620" s="20"/>
      <c r="JO620" s="29"/>
      <c r="JP620" s="19"/>
      <c r="JQ620" s="93"/>
      <c r="JR620" s="93"/>
      <c r="JS620" s="93"/>
      <c r="JT620" s="93"/>
      <c r="JU620" s="20"/>
      <c r="JV620" s="29"/>
      <c r="JW620" s="1504">
        <v>53328</v>
      </c>
      <c r="JX620" s="19"/>
      <c r="JY620" s="93"/>
      <c r="JZ620" s="93"/>
      <c r="KA620" s="93"/>
      <c r="KB620" s="93"/>
      <c r="KC620" s="93"/>
      <c r="KD620" s="20"/>
      <c r="KE620" s="29"/>
      <c r="KF620" s="19"/>
      <c r="KG620" s="93"/>
      <c r="KH620" s="93"/>
      <c r="KI620" s="93"/>
      <c r="KJ620" s="93"/>
      <c r="KK620" s="20"/>
      <c r="KL620" s="29"/>
      <c r="KM620" s="19"/>
      <c r="KN620" s="93"/>
      <c r="KO620" s="93"/>
      <c r="KP620" s="93"/>
      <c r="KQ620" s="93"/>
      <c r="KR620" s="20"/>
      <c r="KS620" s="29"/>
      <c r="KT620" s="19"/>
      <c r="KU620" s="93"/>
      <c r="KV620" s="93"/>
      <c r="KW620" s="93"/>
      <c r="KX620" s="93"/>
      <c r="KY620" s="20"/>
      <c r="KZ620" s="29"/>
      <c r="LA620" s="1504">
        <v>53328</v>
      </c>
      <c r="LB620" s="19"/>
      <c r="LC620" s="93"/>
      <c r="LD620" s="93"/>
      <c r="LE620" s="93"/>
      <c r="LF620" s="93"/>
      <c r="LG620" s="93"/>
      <c r="LH620" s="20"/>
      <c r="LI620" s="29"/>
      <c r="LJ620" s="19"/>
      <c r="LK620" s="93"/>
      <c r="LL620" s="93"/>
      <c r="LM620" s="93"/>
      <c r="LN620" s="93"/>
      <c r="LO620" s="20"/>
      <c r="LP620" s="29"/>
      <c r="LQ620" s="19"/>
      <c r="LR620" s="93"/>
      <c r="LS620" s="93"/>
      <c r="LT620" s="93"/>
      <c r="LU620" s="93"/>
      <c r="LV620" s="93"/>
      <c r="LW620" s="93"/>
      <c r="LX620" s="93"/>
      <c r="LY620" s="93"/>
      <c r="LZ620" s="93"/>
      <c r="MA620" s="20"/>
      <c r="MB620" s="29"/>
      <c r="MC620" s="1504">
        <v>53328</v>
      </c>
      <c r="MD620" s="19"/>
      <c r="ME620" s="93"/>
      <c r="MF620" s="93"/>
      <c r="MG620" s="93"/>
      <c r="MH620" s="93"/>
      <c r="MI620" s="93"/>
      <c r="MJ620" s="93"/>
      <c r="MK620" s="93"/>
      <c r="ML620" s="93"/>
      <c r="MM620" s="93"/>
      <c r="MN620" s="93"/>
      <c r="MO620" s="93"/>
      <c r="MP620" s="93"/>
      <c r="MQ620" s="93"/>
      <c r="MR620" s="93"/>
      <c r="MS620" s="93"/>
      <c r="MT620" s="93"/>
      <c r="MU620" s="93"/>
      <c r="MV620" s="93"/>
      <c r="MW620" s="93"/>
      <c r="MX620" s="93"/>
      <c r="MY620" s="93"/>
      <c r="MZ620" s="93"/>
      <c r="NA620" s="93"/>
      <c r="NB620" s="93"/>
      <c r="NC620" s="93"/>
      <c r="ND620" s="93"/>
      <c r="NE620" s="93"/>
      <c r="NF620" s="93"/>
      <c r="NG620" s="93"/>
      <c r="NH620" s="93"/>
      <c r="NI620" s="93"/>
      <c r="NJ620" s="93"/>
      <c r="NK620" s="93"/>
      <c r="NL620" s="93"/>
      <c r="NM620" s="93"/>
      <c r="NN620" s="93"/>
      <c r="NO620" s="93"/>
      <c r="NP620" s="93"/>
      <c r="NQ620" s="93"/>
      <c r="NR620" s="93"/>
      <c r="NS620" s="93"/>
      <c r="NT620" s="93"/>
      <c r="NU620" s="93"/>
      <c r="NV620" s="93"/>
      <c r="NW620" s="93"/>
      <c r="NX620" s="93"/>
      <c r="NY620" s="93"/>
      <c r="NZ620" s="93"/>
      <c r="OA620" s="93"/>
      <c r="OB620" s="93"/>
      <c r="OC620" s="93"/>
      <c r="OD620" s="20"/>
      <c r="OE620" s="29"/>
      <c r="OF620" s="1504">
        <v>53328</v>
      </c>
      <c r="OG620" s="19"/>
      <c r="OH620" s="93"/>
      <c r="OI620" s="93"/>
      <c r="OJ620" s="93"/>
      <c r="OK620" s="93"/>
      <c r="OL620" s="93"/>
      <c r="OM620" s="93"/>
      <c r="ON620" s="93"/>
      <c r="OO620" s="93"/>
      <c r="OP620" s="93"/>
      <c r="OQ620" s="93"/>
      <c r="OR620" s="93"/>
      <c r="OS620" s="93"/>
      <c r="OT620" s="93"/>
      <c r="OU620" s="93"/>
      <c r="OV620" s="93"/>
      <c r="OW620" s="93"/>
      <c r="OX620" s="93"/>
      <c r="OY620" s="93"/>
      <c r="OZ620" s="93"/>
      <c r="PA620" s="93"/>
      <c r="PB620" s="93"/>
      <c r="PC620" s="20"/>
      <c r="PD620" s="29"/>
      <c r="PE620" s="19"/>
      <c r="PF620" s="93"/>
      <c r="PG620" s="93"/>
      <c r="PH620" s="93"/>
      <c r="PI620" s="93"/>
      <c r="PJ620" s="93"/>
      <c r="PK620" s="93"/>
      <c r="PL620" s="93"/>
      <c r="PM620" s="93"/>
      <c r="PN620" s="93"/>
      <c r="PO620" s="93"/>
      <c r="PP620" s="93"/>
      <c r="PQ620" s="93"/>
      <c r="PR620" s="93"/>
      <c r="PS620" s="93"/>
      <c r="PT620" s="93"/>
      <c r="PU620" s="93"/>
      <c r="PV620" s="93"/>
      <c r="PW620" s="93"/>
      <c r="PX620" s="93"/>
      <c r="PY620" s="93"/>
      <c r="PZ620" s="93"/>
      <c r="QA620" s="93"/>
      <c r="QB620" s="93"/>
      <c r="QC620" s="93"/>
      <c r="QD620" s="93"/>
      <c r="QE620" s="20"/>
      <c r="QF620" s="1739"/>
      <c r="QG620" s="19"/>
      <c r="QH620" s="93"/>
      <c r="QI620" s="93"/>
      <c r="QJ620" s="93"/>
      <c r="QK620" s="93"/>
      <c r="QL620" s="93"/>
      <c r="QM620" s="93"/>
      <c r="QN620" s="93"/>
      <c r="QO620" s="93"/>
      <c r="QP620" s="93"/>
      <c r="QQ620" s="93"/>
      <c r="QR620" s="93"/>
      <c r="QS620" s="93"/>
      <c r="QT620" s="93"/>
      <c r="QU620" s="93"/>
      <c r="QV620" s="93"/>
      <c r="QW620" s="93"/>
      <c r="QX620" s="93"/>
      <c r="QY620" s="93"/>
      <c r="QZ620" s="93"/>
      <c r="RA620" s="93"/>
      <c r="RB620" s="93"/>
      <c r="RC620" s="93"/>
      <c r="RD620" s="93"/>
      <c r="RE620" s="93"/>
      <c r="RF620" s="93"/>
      <c r="RG620" s="93"/>
      <c r="RH620" s="93"/>
      <c r="RI620" s="93"/>
      <c r="RJ620" s="93"/>
      <c r="RK620" s="93"/>
      <c r="RL620" s="93"/>
      <c r="RM620" s="20"/>
      <c r="RN620" s="29"/>
      <c r="RO620" s="19"/>
      <c r="RP620" s="20"/>
      <c r="RQ620" s="29"/>
      <c r="RR620" s="20"/>
      <c r="RS620" s="29"/>
      <c r="RT620" s="1504">
        <v>53328</v>
      </c>
      <c r="RU620" s="19"/>
      <c r="RV620" s="20"/>
      <c r="RW620" s="29"/>
      <c r="RX620" s="1504">
        <v>53328</v>
      </c>
      <c r="RY620" s="29"/>
      <c r="RZ620" s="20"/>
      <c r="SA620" s="29"/>
      <c r="SB620" s="29"/>
    </row>
    <row r="621" spans="1:496">
      <c r="A621" s="41">
        <f t="shared" si="364"/>
        <v>2046</v>
      </c>
      <c r="B621" s="1504">
        <v>53359</v>
      </c>
      <c r="C621" s="1813"/>
      <c r="D621" s="1814"/>
      <c r="E621" s="1814"/>
      <c r="F621" s="1815"/>
      <c r="G621" s="1814"/>
      <c r="H621" s="1814"/>
      <c r="I621" s="1814"/>
      <c r="J621" s="1816"/>
      <c r="K621" s="1807"/>
      <c r="L621" s="25"/>
      <c r="M621" s="97"/>
      <c r="N621" s="1504">
        <v>53359</v>
      </c>
      <c r="O621" s="19"/>
      <c r="P621" s="93"/>
      <c r="Q621" s="93"/>
      <c r="R621" s="93"/>
      <c r="S621" s="93"/>
      <c r="T621" s="93"/>
      <c r="U621" s="93"/>
      <c r="V621" s="93"/>
      <c r="W621" s="93"/>
      <c r="X621" s="93"/>
      <c r="Y621" s="93"/>
      <c r="Z621" s="93"/>
      <c r="AA621" s="93"/>
      <c r="AB621" s="20"/>
      <c r="AC621" s="25"/>
      <c r="AD621" s="97"/>
      <c r="AE621" s="1504">
        <v>53359</v>
      </c>
      <c r="AF621" s="19"/>
      <c r="AG621" s="93"/>
      <c r="AH621" s="93"/>
      <c r="AI621" s="93"/>
      <c r="AJ621" s="93"/>
      <c r="AK621" s="93"/>
      <c r="AL621" s="93"/>
      <c r="AM621" s="93"/>
      <c r="AN621" s="93"/>
      <c r="AO621" s="93"/>
      <c r="AP621" s="93"/>
      <c r="AQ621" s="93"/>
      <c r="AR621" s="93"/>
      <c r="AS621" s="20"/>
      <c r="AT621" s="25"/>
      <c r="AU621" s="97"/>
      <c r="AV621" s="1504">
        <v>53359</v>
      </c>
      <c r="AW621" s="19"/>
      <c r="AX621" s="93"/>
      <c r="AY621" s="93"/>
      <c r="AZ621" s="93"/>
      <c r="BA621" s="93"/>
      <c r="BB621" s="93"/>
      <c r="BC621" s="93"/>
      <c r="BD621" s="93"/>
      <c r="BE621" s="93"/>
      <c r="BF621" s="93"/>
      <c r="BG621" s="93"/>
      <c r="BH621" s="93"/>
      <c r="BI621" s="93"/>
      <c r="BJ621" s="20"/>
      <c r="BK621" s="25"/>
      <c r="BL621" s="97"/>
      <c r="BM621" s="1504">
        <v>53359</v>
      </c>
      <c r="BN621" s="19"/>
      <c r="BO621" s="93"/>
      <c r="BP621" s="93"/>
      <c r="BQ621" s="93"/>
      <c r="BR621" s="93"/>
      <c r="BS621" s="93"/>
      <c r="BT621" s="93"/>
      <c r="BU621" s="20"/>
      <c r="BV621" s="25"/>
      <c r="BW621" s="97"/>
      <c r="BX621" s="1504">
        <v>53359</v>
      </c>
      <c r="BY621" s="19"/>
      <c r="BZ621" s="93"/>
      <c r="CA621" s="93"/>
      <c r="CB621" s="93"/>
      <c r="CC621" s="93"/>
      <c r="CD621" s="25"/>
      <c r="CE621" s="97"/>
      <c r="CF621" s="1504">
        <v>53359</v>
      </c>
      <c r="CG621" s="19"/>
      <c r="CH621" s="93"/>
      <c r="CI621" s="219"/>
      <c r="CJ621" s="20"/>
      <c r="CK621" s="19"/>
      <c r="CL621" s="93"/>
      <c r="CM621" s="93"/>
      <c r="CN621" s="93"/>
      <c r="CO621" s="93"/>
      <c r="CP621" s="20"/>
      <c r="CQ621" s="219"/>
      <c r="CR621" s="93"/>
      <c r="CS621" s="93"/>
      <c r="CT621" s="93"/>
      <c r="CU621" s="93"/>
      <c r="CV621" s="214"/>
      <c r="CW621" s="29"/>
      <c r="CX621" s="41">
        <f t="shared" si="363"/>
        <v>2046</v>
      </c>
      <c r="CY621" s="1504">
        <v>53359</v>
      </c>
      <c r="CZ621" s="19"/>
      <c r="DA621" s="93"/>
      <c r="DB621" s="93"/>
      <c r="DC621" s="93"/>
      <c r="DD621" s="93"/>
      <c r="DE621" s="20"/>
      <c r="DF621" s="29"/>
      <c r="DG621" s="1504">
        <v>53359</v>
      </c>
      <c r="DH621" s="19"/>
      <c r="DI621" s="93"/>
      <c r="DJ621" s="93"/>
      <c r="DK621" s="93"/>
      <c r="DL621" s="93"/>
      <c r="DM621" s="93"/>
      <c r="DN621" s="20"/>
      <c r="DO621" s="295"/>
      <c r="DP621" s="29"/>
      <c r="DQ621" s="1504">
        <v>53359</v>
      </c>
      <c r="DR621" s="19"/>
      <c r="DS621" s="93"/>
      <c r="DT621" s="93"/>
      <c r="DU621" s="93"/>
      <c r="DV621" s="93"/>
      <c r="DW621" s="93"/>
      <c r="DX621" s="20"/>
      <c r="DY621" s="29"/>
      <c r="DZ621" s="1504">
        <v>53359</v>
      </c>
      <c r="EA621" s="19"/>
      <c r="EB621" s="93"/>
      <c r="EC621" s="20"/>
      <c r="ED621" s="29"/>
      <c r="EE621" s="1504">
        <v>53359</v>
      </c>
      <c r="EF621" s="19"/>
      <c r="EG621" s="93"/>
      <c r="EH621" s="93"/>
      <c r="EI621" s="214"/>
      <c r="EJ621" s="93"/>
      <c r="EK621" s="93"/>
      <c r="EL621" s="93"/>
      <c r="EM621" s="93"/>
      <c r="EN621" s="20"/>
      <c r="EO621" s="29"/>
      <c r="EP621" s="1504">
        <v>53359</v>
      </c>
      <c r="EQ621" s="19"/>
      <c r="ER621" s="93"/>
      <c r="ES621" s="93"/>
      <c r="ET621" s="214"/>
      <c r="EU621" s="93"/>
      <c r="EV621" s="93"/>
      <c r="EW621" s="93"/>
      <c r="EX621" s="93"/>
      <c r="EY621" s="20"/>
      <c r="EZ621" s="29"/>
      <c r="FA621" s="1504">
        <v>53359</v>
      </c>
      <c r="FB621" s="29"/>
      <c r="FC621" s="29"/>
      <c r="FD621" s="29"/>
      <c r="FE621" s="29"/>
      <c r="FF621" s="29"/>
      <c r="FG621" s="29"/>
      <c r="FH621" s="29"/>
      <c r="FI621" s="29"/>
      <c r="FJ621" s="29"/>
      <c r="FK621" s="29"/>
      <c r="FL621" s="1504">
        <v>53359</v>
      </c>
      <c r="FM621" s="19"/>
      <c r="FN621" s="93"/>
      <c r="FO621" s="93"/>
      <c r="FP621" s="93"/>
      <c r="FQ621" s="93"/>
      <c r="FR621" s="93"/>
      <c r="FS621" s="93"/>
      <c r="FT621" s="93"/>
      <c r="FU621" s="93"/>
      <c r="FV621" s="93"/>
      <c r="FW621" s="93"/>
      <c r="FX621" s="93"/>
      <c r="FY621" s="93"/>
      <c r="FZ621" s="29"/>
      <c r="GA621" s="1504">
        <v>53359</v>
      </c>
      <c r="GB621" s="19"/>
      <c r="GC621" s="93"/>
      <c r="GD621" s="93"/>
      <c r="GE621" s="93"/>
      <c r="GF621" s="93"/>
      <c r="GG621" s="93"/>
      <c r="GH621" s="93"/>
      <c r="GI621" s="93"/>
      <c r="GJ621" s="93"/>
      <c r="GK621" s="93"/>
      <c r="GL621" s="93"/>
      <c r="GM621" s="93"/>
      <c r="GN621" s="20"/>
      <c r="GO621" s="29"/>
      <c r="GP621" s="1504">
        <v>53359</v>
      </c>
      <c r="GQ621" s="19"/>
      <c r="GR621" s="93"/>
      <c r="GS621" s="93"/>
      <c r="GT621" s="93"/>
      <c r="GU621" s="93"/>
      <c r="GV621" s="20"/>
      <c r="GW621" s="19"/>
      <c r="GX621" s="93"/>
      <c r="GY621" s="93"/>
      <c r="GZ621" s="93"/>
      <c r="HA621" s="93"/>
      <c r="HB621" s="20"/>
      <c r="HC621" s="19"/>
      <c r="HD621" s="93"/>
      <c r="HE621" s="93"/>
      <c r="HF621" s="93"/>
      <c r="HG621" s="93"/>
      <c r="HH621" s="20"/>
      <c r="HI621" s="19"/>
      <c r="HJ621" s="93"/>
      <c r="HK621" s="93"/>
      <c r="HL621" s="93"/>
      <c r="HM621" s="93"/>
      <c r="HN621" s="20"/>
      <c r="HO621" s="219"/>
      <c r="HP621" s="20"/>
      <c r="HQ621" s="25"/>
      <c r="HR621" s="29"/>
      <c r="HS621" s="1504">
        <v>53359</v>
      </c>
      <c r="HT621" s="19"/>
      <c r="HU621" s="93"/>
      <c r="HV621" s="93"/>
      <c r="HW621" s="93"/>
      <c r="HX621" s="93"/>
      <c r="HY621" s="93"/>
      <c r="HZ621" s="93"/>
      <c r="IA621" s="20"/>
      <c r="IB621" s="19"/>
      <c r="IC621" s="93"/>
      <c r="ID621" s="93"/>
      <c r="IE621" s="93"/>
      <c r="IF621" s="93"/>
      <c r="IG621" s="20"/>
      <c r="IH621" s="19"/>
      <c r="II621" s="93"/>
      <c r="IJ621" s="93"/>
      <c r="IK621" s="93"/>
      <c r="IL621" s="93"/>
      <c r="IM621" s="93"/>
      <c r="IN621" s="93"/>
      <c r="IO621" s="20"/>
      <c r="IP621" s="29"/>
      <c r="IQ621" s="19"/>
      <c r="IR621" s="93"/>
      <c r="IS621" s="93"/>
      <c r="IT621" s="93"/>
      <c r="IU621" s="93"/>
      <c r="IV621" s="20"/>
      <c r="IW621" s="29"/>
      <c r="IX621" s="19"/>
      <c r="IY621" s="93"/>
      <c r="IZ621" s="93"/>
      <c r="JA621" s="93"/>
      <c r="JB621" s="93"/>
      <c r="JC621" s="93"/>
      <c r="JD621" s="93"/>
      <c r="JE621" s="20"/>
      <c r="JF621" s="29"/>
      <c r="JG621" s="19"/>
      <c r="JH621" s="93"/>
      <c r="JI621" s="93"/>
      <c r="JJ621" s="93"/>
      <c r="JK621" s="93"/>
      <c r="JL621" s="93"/>
      <c r="JM621" s="93"/>
      <c r="JN621" s="20"/>
      <c r="JO621" s="29"/>
      <c r="JP621" s="19"/>
      <c r="JQ621" s="93"/>
      <c r="JR621" s="93"/>
      <c r="JS621" s="93"/>
      <c r="JT621" s="93"/>
      <c r="JU621" s="20"/>
      <c r="JV621" s="29"/>
      <c r="JW621" s="1504">
        <v>53359</v>
      </c>
      <c r="JX621" s="19"/>
      <c r="JY621" s="93"/>
      <c r="JZ621" s="93"/>
      <c r="KA621" s="93"/>
      <c r="KB621" s="93"/>
      <c r="KC621" s="93"/>
      <c r="KD621" s="20"/>
      <c r="KE621" s="29"/>
      <c r="KF621" s="19"/>
      <c r="KG621" s="93"/>
      <c r="KH621" s="93"/>
      <c r="KI621" s="93"/>
      <c r="KJ621" s="93"/>
      <c r="KK621" s="20"/>
      <c r="KL621" s="29"/>
      <c r="KM621" s="19"/>
      <c r="KN621" s="93"/>
      <c r="KO621" s="93"/>
      <c r="KP621" s="93"/>
      <c r="KQ621" s="93"/>
      <c r="KR621" s="20"/>
      <c r="KS621" s="29"/>
      <c r="KT621" s="19"/>
      <c r="KU621" s="93"/>
      <c r="KV621" s="93"/>
      <c r="KW621" s="93"/>
      <c r="KX621" s="93"/>
      <c r="KY621" s="20"/>
      <c r="KZ621" s="29"/>
      <c r="LA621" s="1504">
        <v>53359</v>
      </c>
      <c r="LB621" s="19"/>
      <c r="LC621" s="93"/>
      <c r="LD621" s="93"/>
      <c r="LE621" s="93"/>
      <c r="LF621" s="93"/>
      <c r="LG621" s="93"/>
      <c r="LH621" s="20"/>
      <c r="LI621" s="29"/>
      <c r="LJ621" s="19"/>
      <c r="LK621" s="93"/>
      <c r="LL621" s="93"/>
      <c r="LM621" s="93"/>
      <c r="LN621" s="93"/>
      <c r="LO621" s="20"/>
      <c r="LP621" s="29"/>
      <c r="LQ621" s="19"/>
      <c r="LR621" s="93"/>
      <c r="LS621" s="93"/>
      <c r="LT621" s="93"/>
      <c r="LU621" s="93"/>
      <c r="LV621" s="93"/>
      <c r="LW621" s="93"/>
      <c r="LX621" s="93"/>
      <c r="LY621" s="93"/>
      <c r="LZ621" s="93"/>
      <c r="MA621" s="20"/>
      <c r="MB621" s="29"/>
      <c r="MC621" s="1504">
        <v>53359</v>
      </c>
      <c r="MD621" s="19"/>
      <c r="ME621" s="93"/>
      <c r="MF621" s="93"/>
      <c r="MG621" s="93"/>
      <c r="MH621" s="93"/>
      <c r="MI621" s="93"/>
      <c r="MJ621" s="93"/>
      <c r="MK621" s="93"/>
      <c r="ML621" s="93"/>
      <c r="MM621" s="93"/>
      <c r="MN621" s="93"/>
      <c r="MO621" s="93"/>
      <c r="MP621" s="93"/>
      <c r="MQ621" s="93"/>
      <c r="MR621" s="93"/>
      <c r="MS621" s="93"/>
      <c r="MT621" s="93"/>
      <c r="MU621" s="93"/>
      <c r="MV621" s="93"/>
      <c r="MW621" s="93"/>
      <c r="MX621" s="93"/>
      <c r="MY621" s="93"/>
      <c r="MZ621" s="93"/>
      <c r="NA621" s="93"/>
      <c r="NB621" s="93"/>
      <c r="NC621" s="93"/>
      <c r="ND621" s="93"/>
      <c r="NE621" s="93"/>
      <c r="NF621" s="93"/>
      <c r="NG621" s="93"/>
      <c r="NH621" s="93"/>
      <c r="NI621" s="93"/>
      <c r="NJ621" s="93"/>
      <c r="NK621" s="93"/>
      <c r="NL621" s="93"/>
      <c r="NM621" s="93"/>
      <c r="NN621" s="93"/>
      <c r="NO621" s="93"/>
      <c r="NP621" s="93"/>
      <c r="NQ621" s="93"/>
      <c r="NR621" s="93"/>
      <c r="NS621" s="93"/>
      <c r="NT621" s="93"/>
      <c r="NU621" s="93"/>
      <c r="NV621" s="93"/>
      <c r="NW621" s="93"/>
      <c r="NX621" s="93"/>
      <c r="NY621" s="93"/>
      <c r="NZ621" s="93"/>
      <c r="OA621" s="93"/>
      <c r="OB621" s="93"/>
      <c r="OC621" s="93"/>
      <c r="OD621" s="20"/>
      <c r="OE621" s="29"/>
      <c r="OF621" s="1504">
        <v>53359</v>
      </c>
      <c r="OG621" s="19"/>
      <c r="OH621" s="93"/>
      <c r="OI621" s="93"/>
      <c r="OJ621" s="93"/>
      <c r="OK621" s="93"/>
      <c r="OL621" s="93"/>
      <c r="OM621" s="93"/>
      <c r="ON621" s="93"/>
      <c r="OO621" s="93"/>
      <c r="OP621" s="93"/>
      <c r="OQ621" s="93"/>
      <c r="OR621" s="93"/>
      <c r="OS621" s="93"/>
      <c r="OT621" s="93"/>
      <c r="OU621" s="93"/>
      <c r="OV621" s="93"/>
      <c r="OW621" s="93"/>
      <c r="OX621" s="93"/>
      <c r="OY621" s="93"/>
      <c r="OZ621" s="93"/>
      <c r="PA621" s="93"/>
      <c r="PB621" s="93"/>
      <c r="PC621" s="20"/>
      <c r="PD621" s="29"/>
      <c r="PE621" s="19"/>
      <c r="PF621" s="93"/>
      <c r="PG621" s="93"/>
      <c r="PH621" s="93"/>
      <c r="PI621" s="93"/>
      <c r="PJ621" s="93"/>
      <c r="PK621" s="93"/>
      <c r="PL621" s="93"/>
      <c r="PM621" s="93"/>
      <c r="PN621" s="93"/>
      <c r="PO621" s="93"/>
      <c r="PP621" s="93"/>
      <c r="PQ621" s="93"/>
      <c r="PR621" s="93"/>
      <c r="PS621" s="93"/>
      <c r="PT621" s="93"/>
      <c r="PU621" s="93"/>
      <c r="PV621" s="93"/>
      <c r="PW621" s="93"/>
      <c r="PX621" s="93"/>
      <c r="PY621" s="93"/>
      <c r="PZ621" s="93"/>
      <c r="QA621" s="93"/>
      <c r="QB621" s="93"/>
      <c r="QC621" s="93"/>
      <c r="QD621" s="93"/>
      <c r="QE621" s="20"/>
      <c r="QF621" s="1739"/>
      <c r="QG621" s="19"/>
      <c r="QH621" s="93"/>
      <c r="QI621" s="93"/>
      <c r="QJ621" s="93"/>
      <c r="QK621" s="93"/>
      <c r="QL621" s="93"/>
      <c r="QM621" s="93"/>
      <c r="QN621" s="93"/>
      <c r="QO621" s="93"/>
      <c r="QP621" s="93"/>
      <c r="QQ621" s="93"/>
      <c r="QR621" s="93"/>
      <c r="QS621" s="93"/>
      <c r="QT621" s="93"/>
      <c r="QU621" s="93"/>
      <c r="QV621" s="93"/>
      <c r="QW621" s="93"/>
      <c r="QX621" s="93"/>
      <c r="QY621" s="93"/>
      <c r="QZ621" s="93"/>
      <c r="RA621" s="93"/>
      <c r="RB621" s="93"/>
      <c r="RC621" s="93"/>
      <c r="RD621" s="93"/>
      <c r="RE621" s="93"/>
      <c r="RF621" s="93"/>
      <c r="RG621" s="93"/>
      <c r="RH621" s="93"/>
      <c r="RI621" s="93"/>
      <c r="RJ621" s="93"/>
      <c r="RK621" s="93"/>
      <c r="RL621" s="93"/>
      <c r="RM621" s="20"/>
      <c r="RN621" s="29"/>
      <c r="RO621" s="19"/>
      <c r="RP621" s="20"/>
      <c r="RQ621" s="29"/>
      <c r="RR621" s="20"/>
      <c r="RS621" s="29"/>
      <c r="RT621" s="1504">
        <v>53359</v>
      </c>
      <c r="RU621" s="19"/>
      <c r="RV621" s="20"/>
      <c r="RW621" s="29"/>
      <c r="RX621" s="1504">
        <v>53359</v>
      </c>
      <c r="RY621" s="29"/>
      <c r="RZ621" s="20"/>
      <c r="SA621" s="29"/>
      <c r="SB621" s="29"/>
    </row>
    <row r="622" spans="1:496">
      <c r="A622" s="41">
        <f t="shared" si="364"/>
        <v>2046</v>
      </c>
      <c r="B622" s="1504">
        <v>53387</v>
      </c>
      <c r="C622" s="1813"/>
      <c r="D622" s="1814"/>
      <c r="E622" s="1814"/>
      <c r="F622" s="1815"/>
      <c r="G622" s="1814"/>
      <c r="H622" s="1814"/>
      <c r="I622" s="1814"/>
      <c r="J622" s="1816"/>
      <c r="K622" s="1807"/>
      <c r="L622" s="25"/>
      <c r="M622" s="97"/>
      <c r="N622" s="1504">
        <v>53387</v>
      </c>
      <c r="O622" s="19"/>
      <c r="P622" s="93"/>
      <c r="Q622" s="93"/>
      <c r="R622" s="93"/>
      <c r="S622" s="93"/>
      <c r="T622" s="93"/>
      <c r="U622" s="93"/>
      <c r="V622" s="93"/>
      <c r="W622" s="93"/>
      <c r="X622" s="93"/>
      <c r="Y622" s="93"/>
      <c r="Z622" s="93"/>
      <c r="AA622" s="93"/>
      <c r="AB622" s="20"/>
      <c r="AC622" s="25"/>
      <c r="AD622" s="97"/>
      <c r="AE622" s="1504">
        <v>53387</v>
      </c>
      <c r="AF622" s="19"/>
      <c r="AG622" s="93"/>
      <c r="AH622" s="93"/>
      <c r="AI622" s="93"/>
      <c r="AJ622" s="93"/>
      <c r="AK622" s="93"/>
      <c r="AL622" s="93"/>
      <c r="AM622" s="93"/>
      <c r="AN622" s="93"/>
      <c r="AO622" s="93"/>
      <c r="AP622" s="93"/>
      <c r="AQ622" s="93"/>
      <c r="AR622" s="93"/>
      <c r="AS622" s="20"/>
      <c r="AT622" s="25"/>
      <c r="AU622" s="97"/>
      <c r="AV622" s="1504">
        <v>53387</v>
      </c>
      <c r="AW622" s="19"/>
      <c r="AX622" s="93"/>
      <c r="AY622" s="93"/>
      <c r="AZ622" s="93"/>
      <c r="BA622" s="93"/>
      <c r="BB622" s="93"/>
      <c r="BC622" s="93"/>
      <c r="BD622" s="93"/>
      <c r="BE622" s="93"/>
      <c r="BF622" s="93"/>
      <c r="BG622" s="93"/>
      <c r="BH622" s="93"/>
      <c r="BI622" s="93"/>
      <c r="BJ622" s="20"/>
      <c r="BK622" s="25"/>
      <c r="BL622" s="97"/>
      <c r="BM622" s="1504">
        <v>53387</v>
      </c>
      <c r="BN622" s="19"/>
      <c r="BO622" s="93"/>
      <c r="BP622" s="93"/>
      <c r="BQ622" s="93"/>
      <c r="BR622" s="93"/>
      <c r="BS622" s="93"/>
      <c r="BT622" s="93"/>
      <c r="BU622" s="20"/>
      <c r="BV622" s="25"/>
      <c r="BW622" s="97"/>
      <c r="BX622" s="1504">
        <v>53387</v>
      </c>
      <c r="BY622" s="19"/>
      <c r="BZ622" s="93"/>
      <c r="CA622" s="93"/>
      <c r="CB622" s="93"/>
      <c r="CC622" s="93"/>
      <c r="CD622" s="25"/>
      <c r="CE622" s="97"/>
      <c r="CF622" s="1504">
        <v>53387</v>
      </c>
      <c r="CG622" s="19"/>
      <c r="CH622" s="93"/>
      <c r="CI622" s="219"/>
      <c r="CJ622" s="20"/>
      <c r="CK622" s="19"/>
      <c r="CL622" s="93"/>
      <c r="CM622" s="93"/>
      <c r="CN622" s="93"/>
      <c r="CO622" s="93"/>
      <c r="CP622" s="20"/>
      <c r="CQ622" s="219"/>
      <c r="CR622" s="93"/>
      <c r="CS622" s="93"/>
      <c r="CT622" s="93"/>
      <c r="CU622" s="93"/>
      <c r="CV622" s="214"/>
      <c r="CW622" s="29"/>
      <c r="CX622" s="41">
        <f t="shared" si="363"/>
        <v>2046</v>
      </c>
      <c r="CY622" s="1504">
        <v>53387</v>
      </c>
      <c r="CZ622" s="19"/>
      <c r="DA622" s="93"/>
      <c r="DB622" s="93"/>
      <c r="DC622" s="93"/>
      <c r="DD622" s="93"/>
      <c r="DE622" s="20"/>
      <c r="DF622" s="29"/>
      <c r="DG622" s="1504">
        <v>53387</v>
      </c>
      <c r="DH622" s="19"/>
      <c r="DI622" s="93"/>
      <c r="DJ622" s="93"/>
      <c r="DK622" s="93"/>
      <c r="DL622" s="93"/>
      <c r="DM622" s="93"/>
      <c r="DN622" s="20"/>
      <c r="DO622" s="295"/>
      <c r="DP622" s="29"/>
      <c r="DQ622" s="1504">
        <v>53387</v>
      </c>
      <c r="DR622" s="19"/>
      <c r="DS622" s="93"/>
      <c r="DT622" s="93"/>
      <c r="DU622" s="93"/>
      <c r="DV622" s="93"/>
      <c r="DW622" s="93"/>
      <c r="DX622" s="20"/>
      <c r="DY622" s="29"/>
      <c r="DZ622" s="1504">
        <v>53387</v>
      </c>
      <c r="EA622" s="19"/>
      <c r="EB622" s="93"/>
      <c r="EC622" s="20"/>
      <c r="ED622" s="29"/>
      <c r="EE622" s="1504">
        <v>53387</v>
      </c>
      <c r="EF622" s="19"/>
      <c r="EG622" s="93"/>
      <c r="EH622" s="93"/>
      <c r="EI622" s="214"/>
      <c r="EJ622" s="93"/>
      <c r="EK622" s="93"/>
      <c r="EL622" s="93"/>
      <c r="EM622" s="93"/>
      <c r="EN622" s="20"/>
      <c r="EO622" s="29"/>
      <c r="EP622" s="1504">
        <v>53387</v>
      </c>
      <c r="EQ622" s="19"/>
      <c r="ER622" s="93"/>
      <c r="ES622" s="93"/>
      <c r="ET622" s="214"/>
      <c r="EU622" s="93"/>
      <c r="EV622" s="93"/>
      <c r="EW622" s="93"/>
      <c r="EX622" s="93"/>
      <c r="EY622" s="20"/>
      <c r="EZ622" s="29"/>
      <c r="FA622" s="1504">
        <v>53387</v>
      </c>
      <c r="FB622" s="29"/>
      <c r="FC622" s="29"/>
      <c r="FD622" s="29"/>
      <c r="FE622" s="29"/>
      <c r="FF622" s="29"/>
      <c r="FG622" s="29"/>
      <c r="FH622" s="29"/>
      <c r="FI622" s="29"/>
      <c r="FJ622" s="29"/>
      <c r="FK622" s="29"/>
      <c r="FL622" s="1504">
        <v>53387</v>
      </c>
      <c r="FM622" s="19"/>
      <c r="FN622" s="93"/>
      <c r="FO622" s="93"/>
      <c r="FP622" s="93"/>
      <c r="FQ622" s="93"/>
      <c r="FR622" s="93"/>
      <c r="FS622" s="93"/>
      <c r="FT622" s="93"/>
      <c r="FU622" s="93"/>
      <c r="FV622" s="93"/>
      <c r="FW622" s="93"/>
      <c r="FX622" s="93"/>
      <c r="FY622" s="93"/>
      <c r="FZ622" s="29"/>
      <c r="GA622" s="1504">
        <v>53387</v>
      </c>
      <c r="GB622" s="19"/>
      <c r="GC622" s="93"/>
      <c r="GD622" s="93"/>
      <c r="GE622" s="93"/>
      <c r="GF622" s="93"/>
      <c r="GG622" s="93"/>
      <c r="GH622" s="93"/>
      <c r="GI622" s="93"/>
      <c r="GJ622" s="93"/>
      <c r="GK622" s="93"/>
      <c r="GL622" s="93"/>
      <c r="GM622" s="93"/>
      <c r="GN622" s="20"/>
      <c r="GO622" s="29"/>
      <c r="GP622" s="1504">
        <v>53387</v>
      </c>
      <c r="GQ622" s="19"/>
      <c r="GR622" s="93"/>
      <c r="GS622" s="93"/>
      <c r="GT622" s="93"/>
      <c r="GU622" s="93"/>
      <c r="GV622" s="20"/>
      <c r="GW622" s="19"/>
      <c r="GX622" s="93"/>
      <c r="GY622" s="93"/>
      <c r="GZ622" s="93"/>
      <c r="HA622" s="93"/>
      <c r="HB622" s="20"/>
      <c r="HC622" s="19"/>
      <c r="HD622" s="93"/>
      <c r="HE622" s="93"/>
      <c r="HF622" s="93"/>
      <c r="HG622" s="93"/>
      <c r="HH622" s="20"/>
      <c r="HI622" s="19"/>
      <c r="HJ622" s="93"/>
      <c r="HK622" s="93"/>
      <c r="HL622" s="93"/>
      <c r="HM622" s="93"/>
      <c r="HN622" s="20"/>
      <c r="HO622" s="219"/>
      <c r="HP622" s="20"/>
      <c r="HQ622" s="25"/>
      <c r="HR622" s="29"/>
      <c r="HS622" s="1504">
        <v>53387</v>
      </c>
      <c r="HT622" s="19"/>
      <c r="HU622" s="93"/>
      <c r="HV622" s="93"/>
      <c r="HW622" s="93"/>
      <c r="HX622" s="93"/>
      <c r="HY622" s="93"/>
      <c r="HZ622" s="93"/>
      <c r="IA622" s="20"/>
      <c r="IB622" s="19"/>
      <c r="IC622" s="93"/>
      <c r="ID622" s="93"/>
      <c r="IE622" s="93"/>
      <c r="IF622" s="93"/>
      <c r="IG622" s="20"/>
      <c r="IH622" s="19"/>
      <c r="II622" s="93"/>
      <c r="IJ622" s="93"/>
      <c r="IK622" s="93"/>
      <c r="IL622" s="93"/>
      <c r="IM622" s="93"/>
      <c r="IN622" s="93"/>
      <c r="IO622" s="20"/>
      <c r="IP622" s="29"/>
      <c r="IQ622" s="19"/>
      <c r="IR622" s="93"/>
      <c r="IS622" s="93"/>
      <c r="IT622" s="93"/>
      <c r="IU622" s="93"/>
      <c r="IV622" s="20"/>
      <c r="IW622" s="29"/>
      <c r="IX622" s="19"/>
      <c r="IY622" s="93"/>
      <c r="IZ622" s="93"/>
      <c r="JA622" s="93"/>
      <c r="JB622" s="93"/>
      <c r="JC622" s="93"/>
      <c r="JD622" s="93"/>
      <c r="JE622" s="20"/>
      <c r="JF622" s="29"/>
      <c r="JG622" s="19"/>
      <c r="JH622" s="93"/>
      <c r="JI622" s="93"/>
      <c r="JJ622" s="93"/>
      <c r="JK622" s="93"/>
      <c r="JL622" s="93"/>
      <c r="JM622" s="93"/>
      <c r="JN622" s="20"/>
      <c r="JO622" s="29"/>
      <c r="JP622" s="19"/>
      <c r="JQ622" s="93"/>
      <c r="JR622" s="93"/>
      <c r="JS622" s="93"/>
      <c r="JT622" s="93"/>
      <c r="JU622" s="20"/>
      <c r="JV622" s="29"/>
      <c r="JW622" s="1504">
        <v>53387</v>
      </c>
      <c r="JX622" s="19"/>
      <c r="JY622" s="93"/>
      <c r="JZ622" s="93"/>
      <c r="KA622" s="93"/>
      <c r="KB622" s="93"/>
      <c r="KC622" s="93"/>
      <c r="KD622" s="20"/>
      <c r="KE622" s="29"/>
      <c r="KF622" s="19"/>
      <c r="KG622" s="93"/>
      <c r="KH622" s="93"/>
      <c r="KI622" s="93"/>
      <c r="KJ622" s="93"/>
      <c r="KK622" s="20"/>
      <c r="KL622" s="29"/>
      <c r="KM622" s="19"/>
      <c r="KN622" s="93"/>
      <c r="KO622" s="93"/>
      <c r="KP622" s="93"/>
      <c r="KQ622" s="93"/>
      <c r="KR622" s="20"/>
      <c r="KS622" s="29"/>
      <c r="KT622" s="19"/>
      <c r="KU622" s="93"/>
      <c r="KV622" s="93"/>
      <c r="KW622" s="93"/>
      <c r="KX622" s="93"/>
      <c r="KY622" s="20"/>
      <c r="KZ622" s="29"/>
      <c r="LA622" s="1504">
        <v>53387</v>
      </c>
      <c r="LB622" s="19"/>
      <c r="LC622" s="93"/>
      <c r="LD622" s="93"/>
      <c r="LE622" s="93"/>
      <c r="LF622" s="93"/>
      <c r="LG622" s="93"/>
      <c r="LH622" s="20"/>
      <c r="LI622" s="29"/>
      <c r="LJ622" s="19"/>
      <c r="LK622" s="93"/>
      <c r="LL622" s="93"/>
      <c r="LM622" s="93"/>
      <c r="LN622" s="93"/>
      <c r="LO622" s="20"/>
      <c r="LP622" s="29"/>
      <c r="LQ622" s="19"/>
      <c r="LR622" s="93"/>
      <c r="LS622" s="93"/>
      <c r="LT622" s="93"/>
      <c r="LU622" s="93"/>
      <c r="LV622" s="93"/>
      <c r="LW622" s="93"/>
      <c r="LX622" s="93"/>
      <c r="LY622" s="93"/>
      <c r="LZ622" s="93"/>
      <c r="MA622" s="20"/>
      <c r="MB622" s="29"/>
      <c r="MC622" s="1504">
        <v>53387</v>
      </c>
      <c r="MD622" s="19"/>
      <c r="ME622" s="93"/>
      <c r="MF622" s="93"/>
      <c r="MG622" s="93"/>
      <c r="MH622" s="93"/>
      <c r="MI622" s="93"/>
      <c r="MJ622" s="93"/>
      <c r="MK622" s="93"/>
      <c r="ML622" s="93"/>
      <c r="MM622" s="93"/>
      <c r="MN622" s="93"/>
      <c r="MO622" s="93"/>
      <c r="MP622" s="93"/>
      <c r="MQ622" s="93"/>
      <c r="MR622" s="93"/>
      <c r="MS622" s="93"/>
      <c r="MT622" s="93"/>
      <c r="MU622" s="93"/>
      <c r="MV622" s="93"/>
      <c r="MW622" s="93"/>
      <c r="MX622" s="93"/>
      <c r="MY622" s="93"/>
      <c r="MZ622" s="93"/>
      <c r="NA622" s="93"/>
      <c r="NB622" s="93"/>
      <c r="NC622" s="93"/>
      <c r="ND622" s="93"/>
      <c r="NE622" s="93"/>
      <c r="NF622" s="93"/>
      <c r="NG622" s="93"/>
      <c r="NH622" s="93"/>
      <c r="NI622" s="93"/>
      <c r="NJ622" s="93"/>
      <c r="NK622" s="93"/>
      <c r="NL622" s="93"/>
      <c r="NM622" s="93"/>
      <c r="NN622" s="93"/>
      <c r="NO622" s="93"/>
      <c r="NP622" s="93"/>
      <c r="NQ622" s="93"/>
      <c r="NR622" s="93"/>
      <c r="NS622" s="93"/>
      <c r="NT622" s="93"/>
      <c r="NU622" s="93"/>
      <c r="NV622" s="93"/>
      <c r="NW622" s="93"/>
      <c r="NX622" s="93"/>
      <c r="NY622" s="93"/>
      <c r="NZ622" s="93"/>
      <c r="OA622" s="93"/>
      <c r="OB622" s="93"/>
      <c r="OC622" s="93"/>
      <c r="OD622" s="20"/>
      <c r="OE622" s="29"/>
      <c r="OF622" s="1504">
        <v>53387</v>
      </c>
      <c r="OG622" s="19"/>
      <c r="OH622" s="93"/>
      <c r="OI622" s="93"/>
      <c r="OJ622" s="93"/>
      <c r="OK622" s="93"/>
      <c r="OL622" s="93"/>
      <c r="OM622" s="93"/>
      <c r="ON622" s="93"/>
      <c r="OO622" s="93"/>
      <c r="OP622" s="93"/>
      <c r="OQ622" s="93"/>
      <c r="OR622" s="93"/>
      <c r="OS622" s="93"/>
      <c r="OT622" s="93"/>
      <c r="OU622" s="93"/>
      <c r="OV622" s="93"/>
      <c r="OW622" s="93"/>
      <c r="OX622" s="93"/>
      <c r="OY622" s="93"/>
      <c r="OZ622" s="93"/>
      <c r="PA622" s="93"/>
      <c r="PB622" s="93"/>
      <c r="PC622" s="20"/>
      <c r="PD622" s="29"/>
      <c r="PE622" s="19"/>
      <c r="PF622" s="93"/>
      <c r="PG622" s="93"/>
      <c r="PH622" s="93"/>
      <c r="PI622" s="93"/>
      <c r="PJ622" s="93"/>
      <c r="PK622" s="93"/>
      <c r="PL622" s="93"/>
      <c r="PM622" s="93"/>
      <c r="PN622" s="93"/>
      <c r="PO622" s="93"/>
      <c r="PP622" s="93"/>
      <c r="PQ622" s="93"/>
      <c r="PR622" s="93"/>
      <c r="PS622" s="93"/>
      <c r="PT622" s="93"/>
      <c r="PU622" s="93"/>
      <c r="PV622" s="93"/>
      <c r="PW622" s="93"/>
      <c r="PX622" s="93"/>
      <c r="PY622" s="93"/>
      <c r="PZ622" s="93"/>
      <c r="QA622" s="93"/>
      <c r="QB622" s="93"/>
      <c r="QC622" s="93"/>
      <c r="QD622" s="93"/>
      <c r="QE622" s="20"/>
      <c r="QF622" s="1739"/>
      <c r="QG622" s="19"/>
      <c r="QH622" s="93"/>
      <c r="QI622" s="93"/>
      <c r="QJ622" s="93"/>
      <c r="QK622" s="93"/>
      <c r="QL622" s="93"/>
      <c r="QM622" s="93"/>
      <c r="QN622" s="93"/>
      <c r="QO622" s="93"/>
      <c r="QP622" s="93"/>
      <c r="QQ622" s="93"/>
      <c r="QR622" s="93"/>
      <c r="QS622" s="93"/>
      <c r="QT622" s="93"/>
      <c r="QU622" s="93"/>
      <c r="QV622" s="93"/>
      <c r="QW622" s="93"/>
      <c r="QX622" s="93"/>
      <c r="QY622" s="93"/>
      <c r="QZ622" s="93"/>
      <c r="RA622" s="93"/>
      <c r="RB622" s="93"/>
      <c r="RC622" s="93"/>
      <c r="RD622" s="93"/>
      <c r="RE622" s="93"/>
      <c r="RF622" s="93"/>
      <c r="RG622" s="93"/>
      <c r="RH622" s="93"/>
      <c r="RI622" s="93"/>
      <c r="RJ622" s="93"/>
      <c r="RK622" s="93"/>
      <c r="RL622" s="93"/>
      <c r="RM622" s="20"/>
      <c r="RN622" s="29"/>
      <c r="RO622" s="19"/>
      <c r="RP622" s="20"/>
      <c r="RQ622" s="29"/>
      <c r="RR622" s="20"/>
      <c r="RS622" s="29"/>
      <c r="RT622" s="1504">
        <v>53387</v>
      </c>
      <c r="RU622" s="19"/>
      <c r="RV622" s="20"/>
      <c r="RW622" s="29"/>
      <c r="RX622" s="1504">
        <v>53387</v>
      </c>
      <c r="RY622" s="29"/>
      <c r="RZ622" s="20"/>
      <c r="SA622" s="29"/>
      <c r="SB622" s="29"/>
    </row>
    <row r="623" spans="1:496">
      <c r="A623" s="41">
        <f t="shared" si="364"/>
        <v>2046</v>
      </c>
      <c r="B623" s="1504">
        <v>53418</v>
      </c>
      <c r="C623" s="1813"/>
      <c r="D623" s="1814"/>
      <c r="E623" s="1814"/>
      <c r="F623" s="1815"/>
      <c r="G623" s="1814"/>
      <c r="H623" s="1814"/>
      <c r="I623" s="1814"/>
      <c r="J623" s="1816"/>
      <c r="K623" s="1807"/>
      <c r="L623" s="25"/>
      <c r="M623" s="97"/>
      <c r="N623" s="1504">
        <v>53418</v>
      </c>
      <c r="O623" s="19"/>
      <c r="P623" s="93"/>
      <c r="Q623" s="93"/>
      <c r="R623" s="93"/>
      <c r="S623" s="93"/>
      <c r="T623" s="93"/>
      <c r="U623" s="93"/>
      <c r="V623" s="93"/>
      <c r="W623" s="93"/>
      <c r="X623" s="93"/>
      <c r="Y623" s="93"/>
      <c r="Z623" s="93"/>
      <c r="AA623" s="93"/>
      <c r="AB623" s="20"/>
      <c r="AC623" s="25"/>
      <c r="AD623" s="97"/>
      <c r="AE623" s="1504">
        <v>53418</v>
      </c>
      <c r="AF623" s="19"/>
      <c r="AG623" s="93"/>
      <c r="AH623" s="93"/>
      <c r="AI623" s="93"/>
      <c r="AJ623" s="93"/>
      <c r="AK623" s="93"/>
      <c r="AL623" s="93"/>
      <c r="AM623" s="93"/>
      <c r="AN623" s="93"/>
      <c r="AO623" s="93"/>
      <c r="AP623" s="93"/>
      <c r="AQ623" s="93"/>
      <c r="AR623" s="93"/>
      <c r="AS623" s="20"/>
      <c r="AT623" s="25"/>
      <c r="AU623" s="97"/>
      <c r="AV623" s="1504">
        <v>53418</v>
      </c>
      <c r="AW623" s="19"/>
      <c r="AX623" s="93"/>
      <c r="AY623" s="93"/>
      <c r="AZ623" s="93"/>
      <c r="BA623" s="93"/>
      <c r="BB623" s="93"/>
      <c r="BC623" s="93"/>
      <c r="BD623" s="93"/>
      <c r="BE623" s="93"/>
      <c r="BF623" s="93"/>
      <c r="BG623" s="93"/>
      <c r="BH623" s="93"/>
      <c r="BI623" s="93"/>
      <c r="BJ623" s="20"/>
      <c r="BK623" s="25"/>
      <c r="BL623" s="97"/>
      <c r="BM623" s="1504">
        <v>53418</v>
      </c>
      <c r="BN623" s="19"/>
      <c r="BO623" s="93"/>
      <c r="BP623" s="93"/>
      <c r="BQ623" s="93"/>
      <c r="BR623" s="93"/>
      <c r="BS623" s="93"/>
      <c r="BT623" s="93"/>
      <c r="BU623" s="20"/>
      <c r="BV623" s="25"/>
      <c r="BW623" s="97"/>
      <c r="BX623" s="1504">
        <v>53418</v>
      </c>
      <c r="BY623" s="19"/>
      <c r="BZ623" s="93"/>
      <c r="CA623" s="93"/>
      <c r="CB623" s="93"/>
      <c r="CC623" s="93"/>
      <c r="CD623" s="25"/>
      <c r="CE623" s="97"/>
      <c r="CF623" s="1504">
        <v>53418</v>
      </c>
      <c r="CG623" s="19"/>
      <c r="CH623" s="93"/>
      <c r="CI623" s="219"/>
      <c r="CJ623" s="20"/>
      <c r="CK623" s="19"/>
      <c r="CL623" s="93"/>
      <c r="CM623" s="93"/>
      <c r="CN623" s="93"/>
      <c r="CO623" s="93"/>
      <c r="CP623" s="20"/>
      <c r="CQ623" s="219"/>
      <c r="CR623" s="93"/>
      <c r="CS623" s="93"/>
      <c r="CT623" s="93"/>
      <c r="CU623" s="93"/>
      <c r="CV623" s="214"/>
      <c r="CW623" s="29"/>
      <c r="CX623" s="41">
        <f t="shared" si="363"/>
        <v>2046</v>
      </c>
      <c r="CY623" s="1504">
        <v>53418</v>
      </c>
      <c r="CZ623" s="19"/>
      <c r="DA623" s="93"/>
      <c r="DB623" s="93"/>
      <c r="DC623" s="93"/>
      <c r="DD623" s="93"/>
      <c r="DE623" s="20"/>
      <c r="DF623" s="29"/>
      <c r="DG623" s="1504">
        <v>53418</v>
      </c>
      <c r="DH623" s="19"/>
      <c r="DI623" s="93"/>
      <c r="DJ623" s="93"/>
      <c r="DK623" s="93"/>
      <c r="DL623" s="93"/>
      <c r="DM623" s="93"/>
      <c r="DN623" s="20"/>
      <c r="DO623" s="295"/>
      <c r="DP623" s="29"/>
      <c r="DQ623" s="1504">
        <v>53418</v>
      </c>
      <c r="DR623" s="19"/>
      <c r="DS623" s="93"/>
      <c r="DT623" s="93"/>
      <c r="DU623" s="93"/>
      <c r="DV623" s="93"/>
      <c r="DW623" s="93"/>
      <c r="DX623" s="20"/>
      <c r="DY623" s="29"/>
      <c r="DZ623" s="1504">
        <v>53418</v>
      </c>
      <c r="EA623" s="19"/>
      <c r="EB623" s="93"/>
      <c r="EC623" s="20"/>
      <c r="ED623" s="29"/>
      <c r="EE623" s="1504">
        <v>53418</v>
      </c>
      <c r="EF623" s="19"/>
      <c r="EG623" s="93"/>
      <c r="EH623" s="93"/>
      <c r="EI623" s="214"/>
      <c r="EJ623" s="93"/>
      <c r="EK623" s="93"/>
      <c r="EL623" s="93"/>
      <c r="EM623" s="93"/>
      <c r="EN623" s="20"/>
      <c r="EO623" s="29"/>
      <c r="EP623" s="1504">
        <v>53418</v>
      </c>
      <c r="EQ623" s="19"/>
      <c r="ER623" s="93"/>
      <c r="ES623" s="93"/>
      <c r="ET623" s="214"/>
      <c r="EU623" s="93"/>
      <c r="EV623" s="93"/>
      <c r="EW623" s="93"/>
      <c r="EX623" s="93"/>
      <c r="EY623" s="20"/>
      <c r="EZ623" s="29"/>
      <c r="FA623" s="1504">
        <v>53418</v>
      </c>
      <c r="FB623" s="29"/>
      <c r="FC623" s="29"/>
      <c r="FD623" s="29"/>
      <c r="FE623" s="29"/>
      <c r="FF623" s="29"/>
      <c r="FG623" s="29"/>
      <c r="FH623" s="29"/>
      <c r="FI623" s="29"/>
      <c r="FJ623" s="29"/>
      <c r="FK623" s="29"/>
      <c r="FL623" s="1504">
        <v>53418</v>
      </c>
      <c r="FM623" s="19"/>
      <c r="FN623" s="93"/>
      <c r="FO623" s="93"/>
      <c r="FP623" s="93"/>
      <c r="FQ623" s="93"/>
      <c r="FR623" s="93"/>
      <c r="FS623" s="93"/>
      <c r="FT623" s="93"/>
      <c r="FU623" s="93"/>
      <c r="FV623" s="93"/>
      <c r="FW623" s="93"/>
      <c r="FX623" s="93"/>
      <c r="FY623" s="93"/>
      <c r="FZ623" s="29"/>
      <c r="GA623" s="1504">
        <v>53418</v>
      </c>
      <c r="GB623" s="19"/>
      <c r="GC623" s="93"/>
      <c r="GD623" s="93"/>
      <c r="GE623" s="93"/>
      <c r="GF623" s="93"/>
      <c r="GG623" s="93"/>
      <c r="GH623" s="93"/>
      <c r="GI623" s="93"/>
      <c r="GJ623" s="93"/>
      <c r="GK623" s="93"/>
      <c r="GL623" s="93"/>
      <c r="GM623" s="93"/>
      <c r="GN623" s="20"/>
      <c r="GO623" s="29"/>
      <c r="GP623" s="1504">
        <v>53418</v>
      </c>
      <c r="GQ623" s="19"/>
      <c r="GR623" s="93"/>
      <c r="GS623" s="93"/>
      <c r="GT623" s="93"/>
      <c r="GU623" s="93"/>
      <c r="GV623" s="20"/>
      <c r="GW623" s="19"/>
      <c r="GX623" s="93"/>
      <c r="GY623" s="93"/>
      <c r="GZ623" s="93"/>
      <c r="HA623" s="93"/>
      <c r="HB623" s="20"/>
      <c r="HC623" s="19"/>
      <c r="HD623" s="93"/>
      <c r="HE623" s="93"/>
      <c r="HF623" s="93"/>
      <c r="HG623" s="93"/>
      <c r="HH623" s="20"/>
      <c r="HI623" s="19"/>
      <c r="HJ623" s="93"/>
      <c r="HK623" s="93"/>
      <c r="HL623" s="93"/>
      <c r="HM623" s="93"/>
      <c r="HN623" s="20"/>
      <c r="HO623" s="219"/>
      <c r="HP623" s="20"/>
      <c r="HQ623" s="25"/>
      <c r="HR623" s="29"/>
      <c r="HS623" s="1504">
        <v>53418</v>
      </c>
      <c r="HT623" s="19"/>
      <c r="HU623" s="93"/>
      <c r="HV623" s="93"/>
      <c r="HW623" s="93"/>
      <c r="HX623" s="93"/>
      <c r="HY623" s="93"/>
      <c r="HZ623" s="93"/>
      <c r="IA623" s="20"/>
      <c r="IB623" s="19"/>
      <c r="IC623" s="93"/>
      <c r="ID623" s="93"/>
      <c r="IE623" s="93"/>
      <c r="IF623" s="93"/>
      <c r="IG623" s="20"/>
      <c r="IH623" s="19"/>
      <c r="II623" s="93"/>
      <c r="IJ623" s="93"/>
      <c r="IK623" s="93"/>
      <c r="IL623" s="93"/>
      <c r="IM623" s="93"/>
      <c r="IN623" s="93"/>
      <c r="IO623" s="20"/>
      <c r="IP623" s="29"/>
      <c r="IQ623" s="19"/>
      <c r="IR623" s="93"/>
      <c r="IS623" s="93"/>
      <c r="IT623" s="93"/>
      <c r="IU623" s="93"/>
      <c r="IV623" s="20"/>
      <c r="IW623" s="29"/>
      <c r="IX623" s="19"/>
      <c r="IY623" s="93"/>
      <c r="IZ623" s="93"/>
      <c r="JA623" s="93"/>
      <c r="JB623" s="93"/>
      <c r="JC623" s="93"/>
      <c r="JD623" s="93"/>
      <c r="JE623" s="20"/>
      <c r="JF623" s="29"/>
      <c r="JG623" s="19"/>
      <c r="JH623" s="93"/>
      <c r="JI623" s="93"/>
      <c r="JJ623" s="93"/>
      <c r="JK623" s="93"/>
      <c r="JL623" s="93"/>
      <c r="JM623" s="93"/>
      <c r="JN623" s="20"/>
      <c r="JO623" s="29"/>
      <c r="JP623" s="19"/>
      <c r="JQ623" s="93"/>
      <c r="JR623" s="93"/>
      <c r="JS623" s="93"/>
      <c r="JT623" s="93"/>
      <c r="JU623" s="20"/>
      <c r="JV623" s="29"/>
      <c r="JW623" s="1504">
        <v>53418</v>
      </c>
      <c r="JX623" s="19"/>
      <c r="JY623" s="93"/>
      <c r="JZ623" s="93"/>
      <c r="KA623" s="93"/>
      <c r="KB623" s="93"/>
      <c r="KC623" s="93"/>
      <c r="KD623" s="20"/>
      <c r="KE623" s="29"/>
      <c r="KF623" s="19"/>
      <c r="KG623" s="93"/>
      <c r="KH623" s="93"/>
      <c r="KI623" s="93"/>
      <c r="KJ623" s="93"/>
      <c r="KK623" s="20"/>
      <c r="KL623" s="29"/>
      <c r="KM623" s="19"/>
      <c r="KN623" s="93"/>
      <c r="KO623" s="93"/>
      <c r="KP623" s="93"/>
      <c r="KQ623" s="93"/>
      <c r="KR623" s="20"/>
      <c r="KS623" s="29"/>
      <c r="KT623" s="19"/>
      <c r="KU623" s="93"/>
      <c r="KV623" s="93"/>
      <c r="KW623" s="93"/>
      <c r="KX623" s="93"/>
      <c r="KY623" s="20"/>
      <c r="KZ623" s="29"/>
      <c r="LA623" s="1504">
        <v>53418</v>
      </c>
      <c r="LB623" s="19"/>
      <c r="LC623" s="93"/>
      <c r="LD623" s="93"/>
      <c r="LE623" s="93"/>
      <c r="LF623" s="93"/>
      <c r="LG623" s="93"/>
      <c r="LH623" s="20"/>
      <c r="LI623" s="29"/>
      <c r="LJ623" s="19"/>
      <c r="LK623" s="93"/>
      <c r="LL623" s="93"/>
      <c r="LM623" s="93"/>
      <c r="LN623" s="93"/>
      <c r="LO623" s="20"/>
      <c r="LP623" s="29"/>
      <c r="LQ623" s="19"/>
      <c r="LR623" s="93"/>
      <c r="LS623" s="93"/>
      <c r="LT623" s="93"/>
      <c r="LU623" s="93"/>
      <c r="LV623" s="93"/>
      <c r="LW623" s="93"/>
      <c r="LX623" s="93"/>
      <c r="LY623" s="93"/>
      <c r="LZ623" s="93"/>
      <c r="MA623" s="20"/>
      <c r="MB623" s="29"/>
      <c r="MC623" s="1504">
        <v>53418</v>
      </c>
      <c r="MD623" s="19"/>
      <c r="ME623" s="93"/>
      <c r="MF623" s="93"/>
      <c r="MG623" s="93"/>
      <c r="MH623" s="93"/>
      <c r="MI623" s="93"/>
      <c r="MJ623" s="93"/>
      <c r="MK623" s="93"/>
      <c r="ML623" s="93"/>
      <c r="MM623" s="93"/>
      <c r="MN623" s="93"/>
      <c r="MO623" s="93"/>
      <c r="MP623" s="93"/>
      <c r="MQ623" s="93"/>
      <c r="MR623" s="93"/>
      <c r="MS623" s="93"/>
      <c r="MT623" s="93"/>
      <c r="MU623" s="93"/>
      <c r="MV623" s="93"/>
      <c r="MW623" s="93"/>
      <c r="MX623" s="93"/>
      <c r="MY623" s="93"/>
      <c r="MZ623" s="93"/>
      <c r="NA623" s="93"/>
      <c r="NB623" s="93"/>
      <c r="NC623" s="93"/>
      <c r="ND623" s="93"/>
      <c r="NE623" s="93"/>
      <c r="NF623" s="93"/>
      <c r="NG623" s="93"/>
      <c r="NH623" s="93"/>
      <c r="NI623" s="93"/>
      <c r="NJ623" s="93"/>
      <c r="NK623" s="93"/>
      <c r="NL623" s="93"/>
      <c r="NM623" s="93"/>
      <c r="NN623" s="93"/>
      <c r="NO623" s="93"/>
      <c r="NP623" s="93"/>
      <c r="NQ623" s="93"/>
      <c r="NR623" s="93"/>
      <c r="NS623" s="93"/>
      <c r="NT623" s="93"/>
      <c r="NU623" s="93"/>
      <c r="NV623" s="93"/>
      <c r="NW623" s="93"/>
      <c r="NX623" s="93"/>
      <c r="NY623" s="93"/>
      <c r="NZ623" s="93"/>
      <c r="OA623" s="93"/>
      <c r="OB623" s="93"/>
      <c r="OC623" s="93"/>
      <c r="OD623" s="20"/>
      <c r="OE623" s="29"/>
      <c r="OF623" s="1504">
        <v>53418</v>
      </c>
      <c r="OG623" s="19"/>
      <c r="OH623" s="93"/>
      <c r="OI623" s="93"/>
      <c r="OJ623" s="93"/>
      <c r="OK623" s="93"/>
      <c r="OL623" s="93"/>
      <c r="OM623" s="93"/>
      <c r="ON623" s="93"/>
      <c r="OO623" s="93"/>
      <c r="OP623" s="93"/>
      <c r="OQ623" s="93"/>
      <c r="OR623" s="93"/>
      <c r="OS623" s="93"/>
      <c r="OT623" s="93"/>
      <c r="OU623" s="93"/>
      <c r="OV623" s="93"/>
      <c r="OW623" s="93"/>
      <c r="OX623" s="93"/>
      <c r="OY623" s="93"/>
      <c r="OZ623" s="93"/>
      <c r="PA623" s="93"/>
      <c r="PB623" s="93"/>
      <c r="PC623" s="20"/>
      <c r="PD623" s="29"/>
      <c r="PE623" s="19"/>
      <c r="PF623" s="93"/>
      <c r="PG623" s="93"/>
      <c r="PH623" s="93"/>
      <c r="PI623" s="93"/>
      <c r="PJ623" s="93"/>
      <c r="PK623" s="93"/>
      <c r="PL623" s="93"/>
      <c r="PM623" s="93"/>
      <c r="PN623" s="93"/>
      <c r="PO623" s="93"/>
      <c r="PP623" s="93"/>
      <c r="PQ623" s="93"/>
      <c r="PR623" s="93"/>
      <c r="PS623" s="93"/>
      <c r="PT623" s="93"/>
      <c r="PU623" s="93"/>
      <c r="PV623" s="93"/>
      <c r="PW623" s="93"/>
      <c r="PX623" s="93"/>
      <c r="PY623" s="93"/>
      <c r="PZ623" s="93"/>
      <c r="QA623" s="93"/>
      <c r="QB623" s="93"/>
      <c r="QC623" s="93"/>
      <c r="QD623" s="93"/>
      <c r="QE623" s="20"/>
      <c r="QF623" s="1739"/>
      <c r="QG623" s="19"/>
      <c r="QH623" s="93"/>
      <c r="QI623" s="93"/>
      <c r="QJ623" s="93"/>
      <c r="QK623" s="93"/>
      <c r="QL623" s="93"/>
      <c r="QM623" s="93"/>
      <c r="QN623" s="93"/>
      <c r="QO623" s="93"/>
      <c r="QP623" s="93"/>
      <c r="QQ623" s="93"/>
      <c r="QR623" s="93"/>
      <c r="QS623" s="93"/>
      <c r="QT623" s="93"/>
      <c r="QU623" s="93"/>
      <c r="QV623" s="93"/>
      <c r="QW623" s="93"/>
      <c r="QX623" s="93"/>
      <c r="QY623" s="93"/>
      <c r="QZ623" s="93"/>
      <c r="RA623" s="93"/>
      <c r="RB623" s="93"/>
      <c r="RC623" s="93"/>
      <c r="RD623" s="93"/>
      <c r="RE623" s="93"/>
      <c r="RF623" s="93"/>
      <c r="RG623" s="93"/>
      <c r="RH623" s="93"/>
      <c r="RI623" s="93"/>
      <c r="RJ623" s="93"/>
      <c r="RK623" s="93"/>
      <c r="RL623" s="93"/>
      <c r="RM623" s="20"/>
      <c r="RN623" s="29"/>
      <c r="RO623" s="19"/>
      <c r="RP623" s="20"/>
      <c r="RQ623" s="29"/>
      <c r="RR623" s="20"/>
      <c r="RS623" s="29"/>
      <c r="RT623" s="1504">
        <v>53418</v>
      </c>
      <c r="RU623" s="19"/>
      <c r="RV623" s="20"/>
      <c r="RW623" s="29"/>
      <c r="RX623" s="1504">
        <v>53418</v>
      </c>
      <c r="RY623" s="29"/>
      <c r="RZ623" s="20"/>
      <c r="SA623" s="29"/>
      <c r="SB623" s="29"/>
    </row>
    <row r="624" spans="1:496">
      <c r="A624" s="41">
        <f t="shared" si="364"/>
        <v>2046</v>
      </c>
      <c r="B624" s="1504">
        <v>53448</v>
      </c>
      <c r="C624" s="1813"/>
      <c r="D624" s="1814"/>
      <c r="E624" s="1814"/>
      <c r="F624" s="1815"/>
      <c r="G624" s="1814"/>
      <c r="H624" s="1814"/>
      <c r="I624" s="1814"/>
      <c r="J624" s="1816"/>
      <c r="K624" s="1807"/>
      <c r="L624" s="25"/>
      <c r="M624" s="97"/>
      <c r="N624" s="1504">
        <v>53448</v>
      </c>
      <c r="O624" s="19"/>
      <c r="P624" s="93"/>
      <c r="Q624" s="93"/>
      <c r="R624" s="93"/>
      <c r="S624" s="93"/>
      <c r="T624" s="93"/>
      <c r="U624" s="93"/>
      <c r="V624" s="93"/>
      <c r="W624" s="93"/>
      <c r="X624" s="93"/>
      <c r="Y624" s="93"/>
      <c r="Z624" s="93"/>
      <c r="AA624" s="93"/>
      <c r="AB624" s="20"/>
      <c r="AC624" s="25"/>
      <c r="AD624" s="97"/>
      <c r="AE624" s="1504">
        <v>53448</v>
      </c>
      <c r="AF624" s="19"/>
      <c r="AG624" s="93"/>
      <c r="AH624" s="93"/>
      <c r="AI624" s="93"/>
      <c r="AJ624" s="93"/>
      <c r="AK624" s="93"/>
      <c r="AL624" s="93"/>
      <c r="AM624" s="93"/>
      <c r="AN624" s="93"/>
      <c r="AO624" s="93"/>
      <c r="AP624" s="93"/>
      <c r="AQ624" s="93"/>
      <c r="AR624" s="93"/>
      <c r="AS624" s="20"/>
      <c r="AT624" s="25"/>
      <c r="AU624" s="97"/>
      <c r="AV624" s="1504">
        <v>53448</v>
      </c>
      <c r="AW624" s="19"/>
      <c r="AX624" s="93"/>
      <c r="AY624" s="93"/>
      <c r="AZ624" s="93"/>
      <c r="BA624" s="93"/>
      <c r="BB624" s="93"/>
      <c r="BC624" s="93"/>
      <c r="BD624" s="93"/>
      <c r="BE624" s="93"/>
      <c r="BF624" s="93"/>
      <c r="BG624" s="93"/>
      <c r="BH624" s="93"/>
      <c r="BI624" s="93"/>
      <c r="BJ624" s="20"/>
      <c r="BK624" s="25"/>
      <c r="BL624" s="97"/>
      <c r="BM624" s="1504">
        <v>53448</v>
      </c>
      <c r="BN624" s="19"/>
      <c r="BO624" s="93"/>
      <c r="BP624" s="93"/>
      <c r="BQ624" s="93"/>
      <c r="BR624" s="93"/>
      <c r="BS624" s="93"/>
      <c r="BT624" s="93"/>
      <c r="BU624" s="20"/>
      <c r="BV624" s="25"/>
      <c r="BW624" s="97"/>
      <c r="BX624" s="1504">
        <v>53448</v>
      </c>
      <c r="BY624" s="19"/>
      <c r="BZ624" s="93"/>
      <c r="CA624" s="93"/>
      <c r="CB624" s="93"/>
      <c r="CC624" s="93"/>
      <c r="CD624" s="25"/>
      <c r="CE624" s="97"/>
      <c r="CF624" s="1504">
        <v>53448</v>
      </c>
      <c r="CG624" s="19"/>
      <c r="CH624" s="93"/>
      <c r="CI624" s="219"/>
      <c r="CJ624" s="20"/>
      <c r="CK624" s="19"/>
      <c r="CL624" s="93"/>
      <c r="CM624" s="93"/>
      <c r="CN624" s="93"/>
      <c r="CO624" s="93"/>
      <c r="CP624" s="20"/>
      <c r="CQ624" s="219"/>
      <c r="CR624" s="93"/>
      <c r="CS624" s="93"/>
      <c r="CT624" s="93"/>
      <c r="CU624" s="93"/>
      <c r="CV624" s="214"/>
      <c r="CW624" s="29"/>
      <c r="CX624" s="41">
        <f t="shared" si="363"/>
        <v>2046</v>
      </c>
      <c r="CY624" s="1504">
        <v>53448</v>
      </c>
      <c r="CZ624" s="19"/>
      <c r="DA624" s="93"/>
      <c r="DB624" s="93"/>
      <c r="DC624" s="93"/>
      <c r="DD624" s="93"/>
      <c r="DE624" s="20"/>
      <c r="DF624" s="29"/>
      <c r="DG624" s="1504">
        <v>53448</v>
      </c>
      <c r="DH624" s="19"/>
      <c r="DI624" s="93"/>
      <c r="DJ624" s="93"/>
      <c r="DK624" s="93"/>
      <c r="DL624" s="93"/>
      <c r="DM624" s="93"/>
      <c r="DN624" s="20"/>
      <c r="DO624" s="295"/>
      <c r="DP624" s="29"/>
      <c r="DQ624" s="1504">
        <v>53448</v>
      </c>
      <c r="DR624" s="19"/>
      <c r="DS624" s="93"/>
      <c r="DT624" s="93"/>
      <c r="DU624" s="93"/>
      <c r="DV624" s="93"/>
      <c r="DW624" s="93"/>
      <c r="DX624" s="20"/>
      <c r="DY624" s="29"/>
      <c r="DZ624" s="1504">
        <v>53448</v>
      </c>
      <c r="EA624" s="19"/>
      <c r="EB624" s="93"/>
      <c r="EC624" s="20"/>
      <c r="ED624" s="29"/>
      <c r="EE624" s="1504">
        <v>53448</v>
      </c>
      <c r="EF624" s="19"/>
      <c r="EG624" s="93"/>
      <c r="EH624" s="93"/>
      <c r="EI624" s="214"/>
      <c r="EJ624" s="93"/>
      <c r="EK624" s="93"/>
      <c r="EL624" s="93"/>
      <c r="EM624" s="93"/>
      <c r="EN624" s="20"/>
      <c r="EO624" s="29"/>
      <c r="EP624" s="1504">
        <v>53448</v>
      </c>
      <c r="EQ624" s="19"/>
      <c r="ER624" s="93"/>
      <c r="ES624" s="93"/>
      <c r="ET624" s="214"/>
      <c r="EU624" s="93"/>
      <c r="EV624" s="93"/>
      <c r="EW624" s="93"/>
      <c r="EX624" s="93"/>
      <c r="EY624" s="20"/>
      <c r="EZ624" s="29"/>
      <c r="FA624" s="1504">
        <v>53448</v>
      </c>
      <c r="FB624" s="29"/>
      <c r="FC624" s="29"/>
      <c r="FD624" s="29"/>
      <c r="FE624" s="29"/>
      <c r="FF624" s="29"/>
      <c r="FG624" s="29"/>
      <c r="FH624" s="29"/>
      <c r="FI624" s="29"/>
      <c r="FJ624" s="29"/>
      <c r="FK624" s="29"/>
      <c r="FL624" s="1504">
        <v>53448</v>
      </c>
      <c r="FM624" s="19"/>
      <c r="FN624" s="93"/>
      <c r="FO624" s="93"/>
      <c r="FP624" s="93"/>
      <c r="FQ624" s="93"/>
      <c r="FR624" s="93"/>
      <c r="FS624" s="93"/>
      <c r="FT624" s="93"/>
      <c r="FU624" s="93"/>
      <c r="FV624" s="93"/>
      <c r="FW624" s="93"/>
      <c r="FX624" s="93"/>
      <c r="FY624" s="93"/>
      <c r="FZ624" s="29"/>
      <c r="GA624" s="1504">
        <v>53448</v>
      </c>
      <c r="GB624" s="19"/>
      <c r="GC624" s="93"/>
      <c r="GD624" s="93"/>
      <c r="GE624" s="93"/>
      <c r="GF624" s="93"/>
      <c r="GG624" s="93"/>
      <c r="GH624" s="93"/>
      <c r="GI624" s="93"/>
      <c r="GJ624" s="93"/>
      <c r="GK624" s="93"/>
      <c r="GL624" s="93"/>
      <c r="GM624" s="93"/>
      <c r="GN624" s="20"/>
      <c r="GO624" s="29"/>
      <c r="GP624" s="1504">
        <v>53448</v>
      </c>
      <c r="GQ624" s="19"/>
      <c r="GR624" s="93"/>
      <c r="GS624" s="93"/>
      <c r="GT624" s="93"/>
      <c r="GU624" s="93"/>
      <c r="GV624" s="20"/>
      <c r="GW624" s="19"/>
      <c r="GX624" s="93"/>
      <c r="GY624" s="93"/>
      <c r="GZ624" s="93"/>
      <c r="HA624" s="93"/>
      <c r="HB624" s="20"/>
      <c r="HC624" s="19"/>
      <c r="HD624" s="93"/>
      <c r="HE624" s="93"/>
      <c r="HF624" s="93"/>
      <c r="HG624" s="93"/>
      <c r="HH624" s="20"/>
      <c r="HI624" s="19"/>
      <c r="HJ624" s="93"/>
      <c r="HK624" s="93"/>
      <c r="HL624" s="93"/>
      <c r="HM624" s="93"/>
      <c r="HN624" s="20"/>
      <c r="HO624" s="219"/>
      <c r="HP624" s="20"/>
      <c r="HQ624" s="25"/>
      <c r="HR624" s="29"/>
      <c r="HS624" s="1504">
        <v>53448</v>
      </c>
      <c r="HT624" s="19"/>
      <c r="HU624" s="93"/>
      <c r="HV624" s="93"/>
      <c r="HW624" s="93"/>
      <c r="HX624" s="93"/>
      <c r="HY624" s="93"/>
      <c r="HZ624" s="93"/>
      <c r="IA624" s="20"/>
      <c r="IB624" s="19"/>
      <c r="IC624" s="93"/>
      <c r="ID624" s="93"/>
      <c r="IE624" s="93"/>
      <c r="IF624" s="93"/>
      <c r="IG624" s="20"/>
      <c r="IH624" s="19"/>
      <c r="II624" s="93"/>
      <c r="IJ624" s="93"/>
      <c r="IK624" s="93"/>
      <c r="IL624" s="93"/>
      <c r="IM624" s="93"/>
      <c r="IN624" s="93"/>
      <c r="IO624" s="20"/>
      <c r="IP624" s="29"/>
      <c r="IQ624" s="19"/>
      <c r="IR624" s="93"/>
      <c r="IS624" s="93"/>
      <c r="IT624" s="93"/>
      <c r="IU624" s="93"/>
      <c r="IV624" s="20"/>
      <c r="IW624" s="29"/>
      <c r="IX624" s="19"/>
      <c r="IY624" s="93"/>
      <c r="IZ624" s="93"/>
      <c r="JA624" s="93"/>
      <c r="JB624" s="93"/>
      <c r="JC624" s="93"/>
      <c r="JD624" s="93"/>
      <c r="JE624" s="20"/>
      <c r="JF624" s="29"/>
      <c r="JG624" s="19"/>
      <c r="JH624" s="93"/>
      <c r="JI624" s="93"/>
      <c r="JJ624" s="93"/>
      <c r="JK624" s="93"/>
      <c r="JL624" s="93"/>
      <c r="JM624" s="93"/>
      <c r="JN624" s="20"/>
      <c r="JO624" s="29"/>
      <c r="JP624" s="19"/>
      <c r="JQ624" s="93"/>
      <c r="JR624" s="93"/>
      <c r="JS624" s="93"/>
      <c r="JT624" s="93"/>
      <c r="JU624" s="20"/>
      <c r="JV624" s="29"/>
      <c r="JW624" s="1504">
        <v>53448</v>
      </c>
      <c r="JX624" s="19"/>
      <c r="JY624" s="93"/>
      <c r="JZ624" s="93"/>
      <c r="KA624" s="93"/>
      <c r="KB624" s="93"/>
      <c r="KC624" s="93"/>
      <c r="KD624" s="20"/>
      <c r="KE624" s="29"/>
      <c r="KF624" s="19"/>
      <c r="KG624" s="93"/>
      <c r="KH624" s="93"/>
      <c r="KI624" s="93"/>
      <c r="KJ624" s="93"/>
      <c r="KK624" s="20"/>
      <c r="KL624" s="29"/>
      <c r="KM624" s="19"/>
      <c r="KN624" s="93"/>
      <c r="KO624" s="93"/>
      <c r="KP624" s="93"/>
      <c r="KQ624" s="93"/>
      <c r="KR624" s="20"/>
      <c r="KS624" s="29"/>
      <c r="KT624" s="19"/>
      <c r="KU624" s="93"/>
      <c r="KV624" s="93"/>
      <c r="KW624" s="93"/>
      <c r="KX624" s="93"/>
      <c r="KY624" s="20"/>
      <c r="KZ624" s="29"/>
      <c r="LA624" s="1504">
        <v>53448</v>
      </c>
      <c r="LB624" s="19"/>
      <c r="LC624" s="93"/>
      <c r="LD624" s="93"/>
      <c r="LE624" s="93"/>
      <c r="LF624" s="93"/>
      <c r="LG624" s="93"/>
      <c r="LH624" s="20"/>
      <c r="LI624" s="29"/>
      <c r="LJ624" s="19"/>
      <c r="LK624" s="93"/>
      <c r="LL624" s="93"/>
      <c r="LM624" s="93"/>
      <c r="LN624" s="93"/>
      <c r="LO624" s="20"/>
      <c r="LP624" s="29"/>
      <c r="LQ624" s="19"/>
      <c r="LR624" s="93"/>
      <c r="LS624" s="93"/>
      <c r="LT624" s="93"/>
      <c r="LU624" s="93"/>
      <c r="LV624" s="93"/>
      <c r="LW624" s="93"/>
      <c r="LX624" s="93"/>
      <c r="LY624" s="93"/>
      <c r="LZ624" s="93"/>
      <c r="MA624" s="20"/>
      <c r="MB624" s="29"/>
      <c r="MC624" s="1504">
        <v>53448</v>
      </c>
      <c r="MD624" s="19"/>
      <c r="ME624" s="93"/>
      <c r="MF624" s="93"/>
      <c r="MG624" s="93"/>
      <c r="MH624" s="93"/>
      <c r="MI624" s="93"/>
      <c r="MJ624" s="93"/>
      <c r="MK624" s="93"/>
      <c r="ML624" s="93"/>
      <c r="MM624" s="93"/>
      <c r="MN624" s="93"/>
      <c r="MO624" s="93"/>
      <c r="MP624" s="93"/>
      <c r="MQ624" s="93"/>
      <c r="MR624" s="93"/>
      <c r="MS624" s="93"/>
      <c r="MT624" s="93"/>
      <c r="MU624" s="93"/>
      <c r="MV624" s="93"/>
      <c r="MW624" s="93"/>
      <c r="MX624" s="93"/>
      <c r="MY624" s="93"/>
      <c r="MZ624" s="93"/>
      <c r="NA624" s="93"/>
      <c r="NB624" s="93"/>
      <c r="NC624" s="93"/>
      <c r="ND624" s="93"/>
      <c r="NE624" s="93"/>
      <c r="NF624" s="93"/>
      <c r="NG624" s="93"/>
      <c r="NH624" s="93"/>
      <c r="NI624" s="93"/>
      <c r="NJ624" s="93"/>
      <c r="NK624" s="93"/>
      <c r="NL624" s="93"/>
      <c r="NM624" s="93"/>
      <c r="NN624" s="93"/>
      <c r="NO624" s="93"/>
      <c r="NP624" s="93"/>
      <c r="NQ624" s="93"/>
      <c r="NR624" s="93"/>
      <c r="NS624" s="93"/>
      <c r="NT624" s="93"/>
      <c r="NU624" s="93"/>
      <c r="NV624" s="93"/>
      <c r="NW624" s="93"/>
      <c r="NX624" s="93"/>
      <c r="NY624" s="93"/>
      <c r="NZ624" s="93"/>
      <c r="OA624" s="93"/>
      <c r="OB624" s="93"/>
      <c r="OC624" s="93"/>
      <c r="OD624" s="20"/>
      <c r="OE624" s="29"/>
      <c r="OF624" s="1504">
        <v>53448</v>
      </c>
      <c r="OG624" s="19"/>
      <c r="OH624" s="93"/>
      <c r="OI624" s="93"/>
      <c r="OJ624" s="93"/>
      <c r="OK624" s="93"/>
      <c r="OL624" s="93"/>
      <c r="OM624" s="93"/>
      <c r="ON624" s="93"/>
      <c r="OO624" s="93"/>
      <c r="OP624" s="93"/>
      <c r="OQ624" s="93"/>
      <c r="OR624" s="93"/>
      <c r="OS624" s="93"/>
      <c r="OT624" s="93"/>
      <c r="OU624" s="93"/>
      <c r="OV624" s="93"/>
      <c r="OW624" s="93"/>
      <c r="OX624" s="93"/>
      <c r="OY624" s="93"/>
      <c r="OZ624" s="93"/>
      <c r="PA624" s="93"/>
      <c r="PB624" s="93"/>
      <c r="PC624" s="20"/>
      <c r="PD624" s="29"/>
      <c r="PE624" s="19"/>
      <c r="PF624" s="93"/>
      <c r="PG624" s="93"/>
      <c r="PH624" s="93"/>
      <c r="PI624" s="93"/>
      <c r="PJ624" s="93"/>
      <c r="PK624" s="93"/>
      <c r="PL624" s="93"/>
      <c r="PM624" s="93"/>
      <c r="PN624" s="93"/>
      <c r="PO624" s="93"/>
      <c r="PP624" s="93"/>
      <c r="PQ624" s="93"/>
      <c r="PR624" s="93"/>
      <c r="PS624" s="93"/>
      <c r="PT624" s="93"/>
      <c r="PU624" s="93"/>
      <c r="PV624" s="93"/>
      <c r="PW624" s="93"/>
      <c r="PX624" s="93"/>
      <c r="PY624" s="93"/>
      <c r="PZ624" s="93"/>
      <c r="QA624" s="93"/>
      <c r="QB624" s="93"/>
      <c r="QC624" s="93"/>
      <c r="QD624" s="93"/>
      <c r="QE624" s="20"/>
      <c r="QF624" s="1739"/>
      <c r="QG624" s="19"/>
      <c r="QH624" s="93"/>
      <c r="QI624" s="93"/>
      <c r="QJ624" s="93"/>
      <c r="QK624" s="93"/>
      <c r="QL624" s="93"/>
      <c r="QM624" s="93"/>
      <c r="QN624" s="93"/>
      <c r="QO624" s="93"/>
      <c r="QP624" s="93"/>
      <c r="QQ624" s="93"/>
      <c r="QR624" s="93"/>
      <c r="QS624" s="93"/>
      <c r="QT624" s="93"/>
      <c r="QU624" s="93"/>
      <c r="QV624" s="93"/>
      <c r="QW624" s="93"/>
      <c r="QX624" s="93"/>
      <c r="QY624" s="93"/>
      <c r="QZ624" s="93"/>
      <c r="RA624" s="93"/>
      <c r="RB624" s="93"/>
      <c r="RC624" s="93"/>
      <c r="RD624" s="93"/>
      <c r="RE624" s="93"/>
      <c r="RF624" s="93"/>
      <c r="RG624" s="93"/>
      <c r="RH624" s="93"/>
      <c r="RI624" s="93"/>
      <c r="RJ624" s="93"/>
      <c r="RK624" s="93"/>
      <c r="RL624" s="93"/>
      <c r="RM624" s="20"/>
      <c r="RN624" s="29"/>
      <c r="RO624" s="19"/>
      <c r="RP624" s="20"/>
      <c r="RQ624" s="29"/>
      <c r="RR624" s="20"/>
      <c r="RS624" s="29"/>
      <c r="RT624" s="1504">
        <v>53448</v>
      </c>
      <c r="RU624" s="19"/>
      <c r="RV624" s="20"/>
      <c r="RW624" s="29"/>
      <c r="RX624" s="1504">
        <v>53448</v>
      </c>
      <c r="RY624" s="29"/>
      <c r="RZ624" s="20"/>
      <c r="SA624" s="29"/>
      <c r="SB624" s="29"/>
    </row>
    <row r="625" spans="1:496">
      <c r="A625" s="41">
        <f t="shared" si="364"/>
        <v>2046</v>
      </c>
      <c r="B625" s="1504">
        <v>53479</v>
      </c>
      <c r="C625" s="1813"/>
      <c r="D625" s="1814"/>
      <c r="E625" s="1814"/>
      <c r="F625" s="1815"/>
      <c r="G625" s="1814"/>
      <c r="H625" s="1814"/>
      <c r="I625" s="1814"/>
      <c r="J625" s="1816"/>
      <c r="K625" s="1807"/>
      <c r="L625" s="25"/>
      <c r="M625" s="97"/>
      <c r="N625" s="1504">
        <v>53479</v>
      </c>
      <c r="O625" s="19"/>
      <c r="P625" s="93"/>
      <c r="Q625" s="93"/>
      <c r="R625" s="93"/>
      <c r="S625" s="93"/>
      <c r="T625" s="93"/>
      <c r="U625" s="93"/>
      <c r="V625" s="93"/>
      <c r="W625" s="93"/>
      <c r="X625" s="93"/>
      <c r="Y625" s="93"/>
      <c r="Z625" s="93"/>
      <c r="AA625" s="93"/>
      <c r="AB625" s="20"/>
      <c r="AC625" s="25"/>
      <c r="AD625" s="97"/>
      <c r="AE625" s="1504">
        <v>53479</v>
      </c>
      <c r="AF625" s="19"/>
      <c r="AG625" s="93"/>
      <c r="AH625" s="93"/>
      <c r="AI625" s="93"/>
      <c r="AJ625" s="93"/>
      <c r="AK625" s="93"/>
      <c r="AL625" s="93"/>
      <c r="AM625" s="93"/>
      <c r="AN625" s="93"/>
      <c r="AO625" s="93"/>
      <c r="AP625" s="93"/>
      <c r="AQ625" s="93"/>
      <c r="AR625" s="93"/>
      <c r="AS625" s="20"/>
      <c r="AT625" s="25"/>
      <c r="AU625" s="97"/>
      <c r="AV625" s="1504">
        <v>53479</v>
      </c>
      <c r="AW625" s="19"/>
      <c r="AX625" s="93"/>
      <c r="AY625" s="93"/>
      <c r="AZ625" s="93"/>
      <c r="BA625" s="93"/>
      <c r="BB625" s="93"/>
      <c r="BC625" s="93"/>
      <c r="BD625" s="93"/>
      <c r="BE625" s="93"/>
      <c r="BF625" s="93"/>
      <c r="BG625" s="93"/>
      <c r="BH625" s="93"/>
      <c r="BI625" s="93"/>
      <c r="BJ625" s="20"/>
      <c r="BK625" s="25"/>
      <c r="BL625" s="97"/>
      <c r="BM625" s="1504">
        <v>53479</v>
      </c>
      <c r="BN625" s="19"/>
      <c r="BO625" s="93"/>
      <c r="BP625" s="93"/>
      <c r="BQ625" s="93"/>
      <c r="BR625" s="93"/>
      <c r="BS625" s="93"/>
      <c r="BT625" s="93"/>
      <c r="BU625" s="20"/>
      <c r="BV625" s="25"/>
      <c r="BW625" s="97"/>
      <c r="BX625" s="1504">
        <v>53479</v>
      </c>
      <c r="BY625" s="19"/>
      <c r="BZ625" s="93"/>
      <c r="CA625" s="93"/>
      <c r="CB625" s="93"/>
      <c r="CC625" s="93"/>
      <c r="CD625" s="25"/>
      <c r="CE625" s="97"/>
      <c r="CF625" s="1504">
        <v>53479</v>
      </c>
      <c r="CG625" s="19"/>
      <c r="CH625" s="93"/>
      <c r="CI625" s="219"/>
      <c r="CJ625" s="20"/>
      <c r="CK625" s="19"/>
      <c r="CL625" s="93"/>
      <c r="CM625" s="93"/>
      <c r="CN625" s="93"/>
      <c r="CO625" s="93"/>
      <c r="CP625" s="20"/>
      <c r="CQ625" s="219"/>
      <c r="CR625" s="93"/>
      <c r="CS625" s="93"/>
      <c r="CT625" s="93"/>
      <c r="CU625" s="93"/>
      <c r="CV625" s="214"/>
      <c r="CW625" s="29"/>
      <c r="CX625" s="41">
        <f t="shared" si="363"/>
        <v>2046</v>
      </c>
      <c r="CY625" s="1504">
        <v>53479</v>
      </c>
      <c r="CZ625" s="19"/>
      <c r="DA625" s="93"/>
      <c r="DB625" s="93"/>
      <c r="DC625" s="93"/>
      <c r="DD625" s="93"/>
      <c r="DE625" s="20"/>
      <c r="DF625" s="29"/>
      <c r="DG625" s="1504">
        <v>53479</v>
      </c>
      <c r="DH625" s="19"/>
      <c r="DI625" s="93"/>
      <c r="DJ625" s="93"/>
      <c r="DK625" s="93"/>
      <c r="DL625" s="93"/>
      <c r="DM625" s="93"/>
      <c r="DN625" s="20"/>
      <c r="DO625" s="295"/>
      <c r="DP625" s="29"/>
      <c r="DQ625" s="1504">
        <v>53479</v>
      </c>
      <c r="DR625" s="19"/>
      <c r="DS625" s="93"/>
      <c r="DT625" s="93"/>
      <c r="DU625" s="93"/>
      <c r="DV625" s="93"/>
      <c r="DW625" s="93"/>
      <c r="DX625" s="20"/>
      <c r="DY625" s="29"/>
      <c r="DZ625" s="1504">
        <v>53479</v>
      </c>
      <c r="EA625" s="19"/>
      <c r="EB625" s="93"/>
      <c r="EC625" s="20"/>
      <c r="ED625" s="29"/>
      <c r="EE625" s="1504">
        <v>53479</v>
      </c>
      <c r="EF625" s="19"/>
      <c r="EG625" s="93"/>
      <c r="EH625" s="93"/>
      <c r="EI625" s="214"/>
      <c r="EJ625" s="93"/>
      <c r="EK625" s="93"/>
      <c r="EL625" s="93"/>
      <c r="EM625" s="93"/>
      <c r="EN625" s="20"/>
      <c r="EO625" s="29"/>
      <c r="EP625" s="1504">
        <v>53479</v>
      </c>
      <c r="EQ625" s="19"/>
      <c r="ER625" s="93"/>
      <c r="ES625" s="93"/>
      <c r="ET625" s="214"/>
      <c r="EU625" s="93"/>
      <c r="EV625" s="93"/>
      <c r="EW625" s="93"/>
      <c r="EX625" s="93"/>
      <c r="EY625" s="20"/>
      <c r="EZ625" s="29"/>
      <c r="FA625" s="1504">
        <v>53479</v>
      </c>
      <c r="FB625" s="29"/>
      <c r="FC625" s="29"/>
      <c r="FD625" s="29"/>
      <c r="FE625" s="29"/>
      <c r="FF625" s="29"/>
      <c r="FG625" s="29"/>
      <c r="FH625" s="29"/>
      <c r="FI625" s="29"/>
      <c r="FJ625" s="29"/>
      <c r="FK625" s="29"/>
      <c r="FL625" s="1504">
        <v>53479</v>
      </c>
      <c r="FM625" s="19"/>
      <c r="FN625" s="93"/>
      <c r="FO625" s="93"/>
      <c r="FP625" s="93"/>
      <c r="FQ625" s="93"/>
      <c r="FR625" s="93"/>
      <c r="FS625" s="93"/>
      <c r="FT625" s="93"/>
      <c r="FU625" s="93"/>
      <c r="FV625" s="93"/>
      <c r="FW625" s="93"/>
      <c r="FX625" s="93"/>
      <c r="FY625" s="93"/>
      <c r="FZ625" s="29"/>
      <c r="GA625" s="1504">
        <v>53479</v>
      </c>
      <c r="GB625" s="19"/>
      <c r="GC625" s="93"/>
      <c r="GD625" s="93"/>
      <c r="GE625" s="93"/>
      <c r="GF625" s="93"/>
      <c r="GG625" s="93"/>
      <c r="GH625" s="93"/>
      <c r="GI625" s="93"/>
      <c r="GJ625" s="93"/>
      <c r="GK625" s="93"/>
      <c r="GL625" s="93"/>
      <c r="GM625" s="93"/>
      <c r="GN625" s="20"/>
      <c r="GO625" s="29"/>
      <c r="GP625" s="1504">
        <v>53479</v>
      </c>
      <c r="GQ625" s="19"/>
      <c r="GR625" s="93"/>
      <c r="GS625" s="93"/>
      <c r="GT625" s="93"/>
      <c r="GU625" s="93"/>
      <c r="GV625" s="20"/>
      <c r="GW625" s="19"/>
      <c r="GX625" s="93"/>
      <c r="GY625" s="93"/>
      <c r="GZ625" s="93"/>
      <c r="HA625" s="93"/>
      <c r="HB625" s="20"/>
      <c r="HC625" s="19"/>
      <c r="HD625" s="93"/>
      <c r="HE625" s="93"/>
      <c r="HF625" s="93"/>
      <c r="HG625" s="93"/>
      <c r="HH625" s="20"/>
      <c r="HI625" s="19"/>
      <c r="HJ625" s="93"/>
      <c r="HK625" s="93"/>
      <c r="HL625" s="93"/>
      <c r="HM625" s="93"/>
      <c r="HN625" s="20"/>
      <c r="HO625" s="219"/>
      <c r="HP625" s="20"/>
      <c r="HQ625" s="25"/>
      <c r="HR625" s="29"/>
      <c r="HS625" s="1504">
        <v>53479</v>
      </c>
      <c r="HT625" s="19"/>
      <c r="HU625" s="93"/>
      <c r="HV625" s="93"/>
      <c r="HW625" s="93"/>
      <c r="HX625" s="93"/>
      <c r="HY625" s="93"/>
      <c r="HZ625" s="93"/>
      <c r="IA625" s="20"/>
      <c r="IB625" s="19"/>
      <c r="IC625" s="93"/>
      <c r="ID625" s="93"/>
      <c r="IE625" s="93"/>
      <c r="IF625" s="93"/>
      <c r="IG625" s="20"/>
      <c r="IH625" s="19"/>
      <c r="II625" s="93"/>
      <c r="IJ625" s="93"/>
      <c r="IK625" s="93"/>
      <c r="IL625" s="93"/>
      <c r="IM625" s="93"/>
      <c r="IN625" s="93"/>
      <c r="IO625" s="20"/>
      <c r="IP625" s="29"/>
      <c r="IQ625" s="19"/>
      <c r="IR625" s="93"/>
      <c r="IS625" s="93"/>
      <c r="IT625" s="93"/>
      <c r="IU625" s="93"/>
      <c r="IV625" s="20"/>
      <c r="IW625" s="29"/>
      <c r="IX625" s="19"/>
      <c r="IY625" s="93"/>
      <c r="IZ625" s="93"/>
      <c r="JA625" s="93"/>
      <c r="JB625" s="93"/>
      <c r="JC625" s="93"/>
      <c r="JD625" s="93"/>
      <c r="JE625" s="20"/>
      <c r="JF625" s="29"/>
      <c r="JG625" s="19"/>
      <c r="JH625" s="93"/>
      <c r="JI625" s="93"/>
      <c r="JJ625" s="93"/>
      <c r="JK625" s="93"/>
      <c r="JL625" s="93"/>
      <c r="JM625" s="93"/>
      <c r="JN625" s="20"/>
      <c r="JO625" s="29"/>
      <c r="JP625" s="19"/>
      <c r="JQ625" s="93"/>
      <c r="JR625" s="93"/>
      <c r="JS625" s="93"/>
      <c r="JT625" s="93"/>
      <c r="JU625" s="20"/>
      <c r="JV625" s="29"/>
      <c r="JW625" s="1504">
        <v>53479</v>
      </c>
      <c r="JX625" s="19"/>
      <c r="JY625" s="93"/>
      <c r="JZ625" s="93"/>
      <c r="KA625" s="93"/>
      <c r="KB625" s="93"/>
      <c r="KC625" s="93"/>
      <c r="KD625" s="20"/>
      <c r="KE625" s="29"/>
      <c r="KF625" s="19"/>
      <c r="KG625" s="93"/>
      <c r="KH625" s="93"/>
      <c r="KI625" s="93"/>
      <c r="KJ625" s="93"/>
      <c r="KK625" s="20"/>
      <c r="KL625" s="29"/>
      <c r="KM625" s="19"/>
      <c r="KN625" s="93"/>
      <c r="KO625" s="93"/>
      <c r="KP625" s="93"/>
      <c r="KQ625" s="93"/>
      <c r="KR625" s="20"/>
      <c r="KS625" s="29"/>
      <c r="KT625" s="19"/>
      <c r="KU625" s="93"/>
      <c r="KV625" s="93"/>
      <c r="KW625" s="93"/>
      <c r="KX625" s="93"/>
      <c r="KY625" s="20"/>
      <c r="KZ625" s="29"/>
      <c r="LA625" s="1504">
        <v>53479</v>
      </c>
      <c r="LB625" s="19"/>
      <c r="LC625" s="93"/>
      <c r="LD625" s="93"/>
      <c r="LE625" s="93"/>
      <c r="LF625" s="93"/>
      <c r="LG625" s="93"/>
      <c r="LH625" s="20"/>
      <c r="LI625" s="29"/>
      <c r="LJ625" s="19"/>
      <c r="LK625" s="93"/>
      <c r="LL625" s="93"/>
      <c r="LM625" s="93"/>
      <c r="LN625" s="93"/>
      <c r="LO625" s="20"/>
      <c r="LP625" s="29"/>
      <c r="LQ625" s="19"/>
      <c r="LR625" s="93"/>
      <c r="LS625" s="93"/>
      <c r="LT625" s="93"/>
      <c r="LU625" s="93"/>
      <c r="LV625" s="93"/>
      <c r="LW625" s="93"/>
      <c r="LX625" s="93"/>
      <c r="LY625" s="93"/>
      <c r="LZ625" s="93"/>
      <c r="MA625" s="20"/>
      <c r="MB625" s="29"/>
      <c r="MC625" s="1504">
        <v>53479</v>
      </c>
      <c r="MD625" s="19"/>
      <c r="ME625" s="93"/>
      <c r="MF625" s="93"/>
      <c r="MG625" s="93"/>
      <c r="MH625" s="93"/>
      <c r="MI625" s="93"/>
      <c r="MJ625" s="93"/>
      <c r="MK625" s="93"/>
      <c r="ML625" s="93"/>
      <c r="MM625" s="93"/>
      <c r="MN625" s="93"/>
      <c r="MO625" s="93"/>
      <c r="MP625" s="93"/>
      <c r="MQ625" s="93"/>
      <c r="MR625" s="93"/>
      <c r="MS625" s="93"/>
      <c r="MT625" s="93"/>
      <c r="MU625" s="93"/>
      <c r="MV625" s="93"/>
      <c r="MW625" s="93"/>
      <c r="MX625" s="93"/>
      <c r="MY625" s="93"/>
      <c r="MZ625" s="93"/>
      <c r="NA625" s="93"/>
      <c r="NB625" s="93"/>
      <c r="NC625" s="93"/>
      <c r="ND625" s="93"/>
      <c r="NE625" s="93"/>
      <c r="NF625" s="93"/>
      <c r="NG625" s="93"/>
      <c r="NH625" s="93"/>
      <c r="NI625" s="93"/>
      <c r="NJ625" s="93"/>
      <c r="NK625" s="93"/>
      <c r="NL625" s="93"/>
      <c r="NM625" s="93"/>
      <c r="NN625" s="93"/>
      <c r="NO625" s="93"/>
      <c r="NP625" s="93"/>
      <c r="NQ625" s="93"/>
      <c r="NR625" s="93"/>
      <c r="NS625" s="93"/>
      <c r="NT625" s="93"/>
      <c r="NU625" s="93"/>
      <c r="NV625" s="93"/>
      <c r="NW625" s="93"/>
      <c r="NX625" s="93"/>
      <c r="NY625" s="93"/>
      <c r="NZ625" s="93"/>
      <c r="OA625" s="93"/>
      <c r="OB625" s="93"/>
      <c r="OC625" s="93"/>
      <c r="OD625" s="20"/>
      <c r="OE625" s="29"/>
      <c r="OF625" s="1504">
        <v>53479</v>
      </c>
      <c r="OG625" s="19"/>
      <c r="OH625" s="93"/>
      <c r="OI625" s="93"/>
      <c r="OJ625" s="93"/>
      <c r="OK625" s="93"/>
      <c r="OL625" s="93"/>
      <c r="OM625" s="93"/>
      <c r="ON625" s="93"/>
      <c r="OO625" s="93"/>
      <c r="OP625" s="93"/>
      <c r="OQ625" s="93"/>
      <c r="OR625" s="93"/>
      <c r="OS625" s="93"/>
      <c r="OT625" s="93"/>
      <c r="OU625" s="93"/>
      <c r="OV625" s="93"/>
      <c r="OW625" s="93"/>
      <c r="OX625" s="93"/>
      <c r="OY625" s="93"/>
      <c r="OZ625" s="93"/>
      <c r="PA625" s="93"/>
      <c r="PB625" s="93"/>
      <c r="PC625" s="20"/>
      <c r="PD625" s="29"/>
      <c r="PE625" s="19"/>
      <c r="PF625" s="93"/>
      <c r="PG625" s="93"/>
      <c r="PH625" s="93"/>
      <c r="PI625" s="93"/>
      <c r="PJ625" s="93"/>
      <c r="PK625" s="93"/>
      <c r="PL625" s="93"/>
      <c r="PM625" s="93"/>
      <c r="PN625" s="93"/>
      <c r="PO625" s="93"/>
      <c r="PP625" s="93"/>
      <c r="PQ625" s="93"/>
      <c r="PR625" s="93"/>
      <c r="PS625" s="93"/>
      <c r="PT625" s="93"/>
      <c r="PU625" s="93"/>
      <c r="PV625" s="93"/>
      <c r="PW625" s="93"/>
      <c r="PX625" s="93"/>
      <c r="PY625" s="93"/>
      <c r="PZ625" s="93"/>
      <c r="QA625" s="93"/>
      <c r="QB625" s="93"/>
      <c r="QC625" s="93"/>
      <c r="QD625" s="93"/>
      <c r="QE625" s="20"/>
      <c r="QF625" s="1739"/>
      <c r="QG625" s="19"/>
      <c r="QH625" s="93"/>
      <c r="QI625" s="93"/>
      <c r="QJ625" s="93"/>
      <c r="QK625" s="93"/>
      <c r="QL625" s="93"/>
      <c r="QM625" s="93"/>
      <c r="QN625" s="93"/>
      <c r="QO625" s="93"/>
      <c r="QP625" s="93"/>
      <c r="QQ625" s="93"/>
      <c r="QR625" s="93"/>
      <c r="QS625" s="93"/>
      <c r="QT625" s="93"/>
      <c r="QU625" s="93"/>
      <c r="QV625" s="93"/>
      <c r="QW625" s="93"/>
      <c r="QX625" s="93"/>
      <c r="QY625" s="93"/>
      <c r="QZ625" s="93"/>
      <c r="RA625" s="93"/>
      <c r="RB625" s="93"/>
      <c r="RC625" s="93"/>
      <c r="RD625" s="93"/>
      <c r="RE625" s="93"/>
      <c r="RF625" s="93"/>
      <c r="RG625" s="93"/>
      <c r="RH625" s="93"/>
      <c r="RI625" s="93"/>
      <c r="RJ625" s="93"/>
      <c r="RK625" s="93"/>
      <c r="RL625" s="93"/>
      <c r="RM625" s="20"/>
      <c r="RN625" s="29"/>
      <c r="RO625" s="19"/>
      <c r="RP625" s="20"/>
      <c r="RQ625" s="29"/>
      <c r="RR625" s="20"/>
      <c r="RS625" s="29"/>
      <c r="RT625" s="1504">
        <v>53479</v>
      </c>
      <c r="RU625" s="19"/>
      <c r="RV625" s="20"/>
      <c r="RW625" s="29"/>
      <c r="RX625" s="1504">
        <v>53479</v>
      </c>
      <c r="RY625" s="29"/>
      <c r="RZ625" s="20"/>
      <c r="SA625" s="29"/>
      <c r="SB625" s="29"/>
    </row>
    <row r="626" spans="1:496">
      <c r="A626" s="41">
        <f t="shared" si="364"/>
        <v>2046</v>
      </c>
      <c r="B626" s="1504">
        <v>53509</v>
      </c>
      <c r="C626" s="1813"/>
      <c r="D626" s="1814"/>
      <c r="E626" s="1814"/>
      <c r="F626" s="1815"/>
      <c r="G626" s="1814"/>
      <c r="H626" s="1814"/>
      <c r="I626" s="1814"/>
      <c r="J626" s="1816"/>
      <c r="K626" s="1807"/>
      <c r="L626" s="25"/>
      <c r="M626" s="97"/>
      <c r="N626" s="1504">
        <v>53509</v>
      </c>
      <c r="O626" s="19"/>
      <c r="P626" s="93"/>
      <c r="Q626" s="93"/>
      <c r="R626" s="93"/>
      <c r="S626" s="93"/>
      <c r="T626" s="93"/>
      <c r="U626" s="93"/>
      <c r="V626" s="93"/>
      <c r="W626" s="93"/>
      <c r="X626" s="93"/>
      <c r="Y626" s="93"/>
      <c r="Z626" s="93"/>
      <c r="AA626" s="93"/>
      <c r="AB626" s="20"/>
      <c r="AC626" s="25"/>
      <c r="AD626" s="97"/>
      <c r="AE626" s="1504">
        <v>53509</v>
      </c>
      <c r="AF626" s="19"/>
      <c r="AG626" s="93"/>
      <c r="AH626" s="93"/>
      <c r="AI626" s="93"/>
      <c r="AJ626" s="93"/>
      <c r="AK626" s="93"/>
      <c r="AL626" s="93"/>
      <c r="AM626" s="93"/>
      <c r="AN626" s="93"/>
      <c r="AO626" s="93"/>
      <c r="AP626" s="93"/>
      <c r="AQ626" s="93"/>
      <c r="AR626" s="93"/>
      <c r="AS626" s="20"/>
      <c r="AT626" s="25"/>
      <c r="AU626" s="97"/>
      <c r="AV626" s="1504">
        <v>53509</v>
      </c>
      <c r="AW626" s="19"/>
      <c r="AX626" s="93"/>
      <c r="AY626" s="93"/>
      <c r="AZ626" s="93"/>
      <c r="BA626" s="93"/>
      <c r="BB626" s="93"/>
      <c r="BC626" s="93"/>
      <c r="BD626" s="93"/>
      <c r="BE626" s="93"/>
      <c r="BF626" s="93"/>
      <c r="BG626" s="93"/>
      <c r="BH626" s="93"/>
      <c r="BI626" s="93"/>
      <c r="BJ626" s="20"/>
      <c r="BK626" s="25"/>
      <c r="BL626" s="97"/>
      <c r="BM626" s="1504">
        <v>53509</v>
      </c>
      <c r="BN626" s="19"/>
      <c r="BO626" s="93"/>
      <c r="BP626" s="93"/>
      <c r="BQ626" s="93"/>
      <c r="BR626" s="93"/>
      <c r="BS626" s="93"/>
      <c r="BT626" s="93"/>
      <c r="BU626" s="20"/>
      <c r="BV626" s="25"/>
      <c r="BW626" s="97"/>
      <c r="BX626" s="1504">
        <v>53509</v>
      </c>
      <c r="BY626" s="19"/>
      <c r="BZ626" s="93"/>
      <c r="CA626" s="93"/>
      <c r="CB626" s="93"/>
      <c r="CC626" s="93"/>
      <c r="CD626" s="25"/>
      <c r="CE626" s="97"/>
      <c r="CF626" s="1504">
        <v>53509</v>
      </c>
      <c r="CG626" s="19"/>
      <c r="CH626" s="93"/>
      <c r="CI626" s="219"/>
      <c r="CJ626" s="20"/>
      <c r="CK626" s="19"/>
      <c r="CL626" s="93"/>
      <c r="CM626" s="93"/>
      <c r="CN626" s="93"/>
      <c r="CO626" s="93"/>
      <c r="CP626" s="20"/>
      <c r="CQ626" s="219"/>
      <c r="CR626" s="93"/>
      <c r="CS626" s="93"/>
      <c r="CT626" s="93"/>
      <c r="CU626" s="93"/>
      <c r="CV626" s="214"/>
      <c r="CW626" s="29"/>
      <c r="CX626" s="41">
        <f t="shared" si="363"/>
        <v>2046</v>
      </c>
      <c r="CY626" s="1504">
        <v>53509</v>
      </c>
      <c r="CZ626" s="19"/>
      <c r="DA626" s="93"/>
      <c r="DB626" s="93"/>
      <c r="DC626" s="93"/>
      <c r="DD626" s="93"/>
      <c r="DE626" s="20"/>
      <c r="DF626" s="29"/>
      <c r="DG626" s="1504">
        <v>53509</v>
      </c>
      <c r="DH626" s="19"/>
      <c r="DI626" s="93"/>
      <c r="DJ626" s="93"/>
      <c r="DK626" s="93"/>
      <c r="DL626" s="93"/>
      <c r="DM626" s="93"/>
      <c r="DN626" s="20"/>
      <c r="DO626" s="295"/>
      <c r="DP626" s="29"/>
      <c r="DQ626" s="1504">
        <v>53509</v>
      </c>
      <c r="DR626" s="19"/>
      <c r="DS626" s="93"/>
      <c r="DT626" s="93"/>
      <c r="DU626" s="93"/>
      <c r="DV626" s="93"/>
      <c r="DW626" s="93"/>
      <c r="DX626" s="20"/>
      <c r="DY626" s="29"/>
      <c r="DZ626" s="1504">
        <v>53509</v>
      </c>
      <c r="EA626" s="19"/>
      <c r="EB626" s="93"/>
      <c r="EC626" s="20"/>
      <c r="ED626" s="29"/>
      <c r="EE626" s="1504">
        <v>53509</v>
      </c>
      <c r="EF626" s="19"/>
      <c r="EG626" s="93"/>
      <c r="EH626" s="93"/>
      <c r="EI626" s="214"/>
      <c r="EJ626" s="93"/>
      <c r="EK626" s="93"/>
      <c r="EL626" s="93"/>
      <c r="EM626" s="93"/>
      <c r="EN626" s="20"/>
      <c r="EO626" s="29"/>
      <c r="EP626" s="1504">
        <v>53509</v>
      </c>
      <c r="EQ626" s="19"/>
      <c r="ER626" s="93"/>
      <c r="ES626" s="93"/>
      <c r="ET626" s="214"/>
      <c r="EU626" s="93"/>
      <c r="EV626" s="93"/>
      <c r="EW626" s="93"/>
      <c r="EX626" s="93"/>
      <c r="EY626" s="20"/>
      <c r="EZ626" s="29"/>
      <c r="FA626" s="1504">
        <v>53509</v>
      </c>
      <c r="FB626" s="29"/>
      <c r="FC626" s="29"/>
      <c r="FD626" s="29"/>
      <c r="FE626" s="29"/>
      <c r="FF626" s="29"/>
      <c r="FG626" s="29"/>
      <c r="FH626" s="29"/>
      <c r="FI626" s="29"/>
      <c r="FJ626" s="29"/>
      <c r="FK626" s="29"/>
      <c r="FL626" s="1504">
        <v>53509</v>
      </c>
      <c r="FM626" s="19"/>
      <c r="FN626" s="93"/>
      <c r="FO626" s="93"/>
      <c r="FP626" s="93"/>
      <c r="FQ626" s="93"/>
      <c r="FR626" s="93"/>
      <c r="FS626" s="93"/>
      <c r="FT626" s="93"/>
      <c r="FU626" s="93"/>
      <c r="FV626" s="93"/>
      <c r="FW626" s="93"/>
      <c r="FX626" s="93"/>
      <c r="FY626" s="93"/>
      <c r="FZ626" s="29"/>
      <c r="GA626" s="1504">
        <v>53509</v>
      </c>
      <c r="GB626" s="19"/>
      <c r="GC626" s="93"/>
      <c r="GD626" s="93"/>
      <c r="GE626" s="93"/>
      <c r="GF626" s="93"/>
      <c r="GG626" s="93"/>
      <c r="GH626" s="93"/>
      <c r="GI626" s="93"/>
      <c r="GJ626" s="93"/>
      <c r="GK626" s="93"/>
      <c r="GL626" s="93"/>
      <c r="GM626" s="93"/>
      <c r="GN626" s="20"/>
      <c r="GO626" s="29"/>
      <c r="GP626" s="1504">
        <v>53509</v>
      </c>
      <c r="GQ626" s="19"/>
      <c r="GR626" s="93"/>
      <c r="GS626" s="93"/>
      <c r="GT626" s="93"/>
      <c r="GU626" s="93"/>
      <c r="GV626" s="20"/>
      <c r="GW626" s="19"/>
      <c r="GX626" s="93"/>
      <c r="GY626" s="93"/>
      <c r="GZ626" s="93"/>
      <c r="HA626" s="93"/>
      <c r="HB626" s="20"/>
      <c r="HC626" s="19"/>
      <c r="HD626" s="93"/>
      <c r="HE626" s="93"/>
      <c r="HF626" s="93"/>
      <c r="HG626" s="93"/>
      <c r="HH626" s="20"/>
      <c r="HI626" s="19"/>
      <c r="HJ626" s="93"/>
      <c r="HK626" s="93"/>
      <c r="HL626" s="93"/>
      <c r="HM626" s="93"/>
      <c r="HN626" s="20"/>
      <c r="HO626" s="219"/>
      <c r="HP626" s="20"/>
      <c r="HQ626" s="25"/>
      <c r="HR626" s="29"/>
      <c r="HS626" s="1504">
        <v>53509</v>
      </c>
      <c r="HT626" s="19"/>
      <c r="HU626" s="93"/>
      <c r="HV626" s="93"/>
      <c r="HW626" s="93"/>
      <c r="HX626" s="93"/>
      <c r="HY626" s="93"/>
      <c r="HZ626" s="93"/>
      <c r="IA626" s="20"/>
      <c r="IB626" s="19"/>
      <c r="IC626" s="93"/>
      <c r="ID626" s="93"/>
      <c r="IE626" s="93"/>
      <c r="IF626" s="93"/>
      <c r="IG626" s="20"/>
      <c r="IH626" s="19"/>
      <c r="II626" s="93"/>
      <c r="IJ626" s="93"/>
      <c r="IK626" s="93"/>
      <c r="IL626" s="93"/>
      <c r="IM626" s="93"/>
      <c r="IN626" s="93"/>
      <c r="IO626" s="20"/>
      <c r="IP626" s="29"/>
      <c r="IQ626" s="19"/>
      <c r="IR626" s="93"/>
      <c r="IS626" s="93"/>
      <c r="IT626" s="93"/>
      <c r="IU626" s="93"/>
      <c r="IV626" s="20"/>
      <c r="IW626" s="29"/>
      <c r="IX626" s="19"/>
      <c r="IY626" s="93"/>
      <c r="IZ626" s="93"/>
      <c r="JA626" s="93"/>
      <c r="JB626" s="93"/>
      <c r="JC626" s="93"/>
      <c r="JD626" s="93"/>
      <c r="JE626" s="20"/>
      <c r="JF626" s="29"/>
      <c r="JG626" s="19"/>
      <c r="JH626" s="93"/>
      <c r="JI626" s="93"/>
      <c r="JJ626" s="93"/>
      <c r="JK626" s="93"/>
      <c r="JL626" s="93"/>
      <c r="JM626" s="93"/>
      <c r="JN626" s="20"/>
      <c r="JO626" s="29"/>
      <c r="JP626" s="19"/>
      <c r="JQ626" s="93"/>
      <c r="JR626" s="93"/>
      <c r="JS626" s="93"/>
      <c r="JT626" s="93"/>
      <c r="JU626" s="20"/>
      <c r="JV626" s="29"/>
      <c r="JW626" s="1504">
        <v>53509</v>
      </c>
      <c r="JX626" s="19"/>
      <c r="JY626" s="93"/>
      <c r="JZ626" s="93"/>
      <c r="KA626" s="93"/>
      <c r="KB626" s="93"/>
      <c r="KC626" s="93"/>
      <c r="KD626" s="20"/>
      <c r="KE626" s="29"/>
      <c r="KF626" s="19"/>
      <c r="KG626" s="93"/>
      <c r="KH626" s="93"/>
      <c r="KI626" s="93"/>
      <c r="KJ626" s="93"/>
      <c r="KK626" s="20"/>
      <c r="KL626" s="29"/>
      <c r="KM626" s="19"/>
      <c r="KN626" s="93"/>
      <c r="KO626" s="93"/>
      <c r="KP626" s="93"/>
      <c r="KQ626" s="93"/>
      <c r="KR626" s="20"/>
      <c r="KS626" s="29"/>
      <c r="KT626" s="19"/>
      <c r="KU626" s="93"/>
      <c r="KV626" s="93"/>
      <c r="KW626" s="93"/>
      <c r="KX626" s="93"/>
      <c r="KY626" s="20"/>
      <c r="KZ626" s="29"/>
      <c r="LA626" s="1504">
        <v>53509</v>
      </c>
      <c r="LB626" s="19"/>
      <c r="LC626" s="93"/>
      <c r="LD626" s="93"/>
      <c r="LE626" s="93"/>
      <c r="LF626" s="93"/>
      <c r="LG626" s="93"/>
      <c r="LH626" s="20"/>
      <c r="LI626" s="29"/>
      <c r="LJ626" s="19"/>
      <c r="LK626" s="93"/>
      <c r="LL626" s="93"/>
      <c r="LM626" s="93"/>
      <c r="LN626" s="93"/>
      <c r="LO626" s="20"/>
      <c r="LP626" s="29"/>
      <c r="LQ626" s="19"/>
      <c r="LR626" s="93"/>
      <c r="LS626" s="93"/>
      <c r="LT626" s="93"/>
      <c r="LU626" s="93"/>
      <c r="LV626" s="93"/>
      <c r="LW626" s="93"/>
      <c r="LX626" s="93"/>
      <c r="LY626" s="93"/>
      <c r="LZ626" s="93"/>
      <c r="MA626" s="20"/>
      <c r="MB626" s="29"/>
      <c r="MC626" s="1504">
        <v>53509</v>
      </c>
      <c r="MD626" s="19"/>
      <c r="ME626" s="93"/>
      <c r="MF626" s="93"/>
      <c r="MG626" s="93"/>
      <c r="MH626" s="93"/>
      <c r="MI626" s="93"/>
      <c r="MJ626" s="93"/>
      <c r="MK626" s="93"/>
      <c r="ML626" s="93"/>
      <c r="MM626" s="93"/>
      <c r="MN626" s="93"/>
      <c r="MO626" s="93"/>
      <c r="MP626" s="93"/>
      <c r="MQ626" s="93"/>
      <c r="MR626" s="93"/>
      <c r="MS626" s="93"/>
      <c r="MT626" s="93"/>
      <c r="MU626" s="93"/>
      <c r="MV626" s="93"/>
      <c r="MW626" s="93"/>
      <c r="MX626" s="93"/>
      <c r="MY626" s="93"/>
      <c r="MZ626" s="93"/>
      <c r="NA626" s="93"/>
      <c r="NB626" s="93"/>
      <c r="NC626" s="93"/>
      <c r="ND626" s="93"/>
      <c r="NE626" s="93"/>
      <c r="NF626" s="93"/>
      <c r="NG626" s="93"/>
      <c r="NH626" s="93"/>
      <c r="NI626" s="93"/>
      <c r="NJ626" s="93"/>
      <c r="NK626" s="93"/>
      <c r="NL626" s="93"/>
      <c r="NM626" s="93"/>
      <c r="NN626" s="93"/>
      <c r="NO626" s="93"/>
      <c r="NP626" s="93"/>
      <c r="NQ626" s="93"/>
      <c r="NR626" s="93"/>
      <c r="NS626" s="93"/>
      <c r="NT626" s="93"/>
      <c r="NU626" s="93"/>
      <c r="NV626" s="93"/>
      <c r="NW626" s="93"/>
      <c r="NX626" s="93"/>
      <c r="NY626" s="93"/>
      <c r="NZ626" s="93"/>
      <c r="OA626" s="93"/>
      <c r="OB626" s="93"/>
      <c r="OC626" s="93"/>
      <c r="OD626" s="20"/>
      <c r="OE626" s="29"/>
      <c r="OF626" s="1504">
        <v>53509</v>
      </c>
      <c r="OG626" s="19"/>
      <c r="OH626" s="93"/>
      <c r="OI626" s="93"/>
      <c r="OJ626" s="93"/>
      <c r="OK626" s="93"/>
      <c r="OL626" s="93"/>
      <c r="OM626" s="93"/>
      <c r="ON626" s="93"/>
      <c r="OO626" s="93"/>
      <c r="OP626" s="93"/>
      <c r="OQ626" s="93"/>
      <c r="OR626" s="93"/>
      <c r="OS626" s="93"/>
      <c r="OT626" s="93"/>
      <c r="OU626" s="93"/>
      <c r="OV626" s="93"/>
      <c r="OW626" s="93"/>
      <c r="OX626" s="93"/>
      <c r="OY626" s="93"/>
      <c r="OZ626" s="93"/>
      <c r="PA626" s="93"/>
      <c r="PB626" s="93"/>
      <c r="PC626" s="20"/>
      <c r="PD626" s="29"/>
      <c r="PE626" s="19"/>
      <c r="PF626" s="93"/>
      <c r="PG626" s="93"/>
      <c r="PH626" s="93"/>
      <c r="PI626" s="93"/>
      <c r="PJ626" s="93"/>
      <c r="PK626" s="93"/>
      <c r="PL626" s="93"/>
      <c r="PM626" s="93"/>
      <c r="PN626" s="93"/>
      <c r="PO626" s="93"/>
      <c r="PP626" s="93"/>
      <c r="PQ626" s="93"/>
      <c r="PR626" s="93"/>
      <c r="PS626" s="93"/>
      <c r="PT626" s="93"/>
      <c r="PU626" s="93"/>
      <c r="PV626" s="93"/>
      <c r="PW626" s="93"/>
      <c r="PX626" s="93"/>
      <c r="PY626" s="93"/>
      <c r="PZ626" s="93"/>
      <c r="QA626" s="93"/>
      <c r="QB626" s="93"/>
      <c r="QC626" s="93"/>
      <c r="QD626" s="93"/>
      <c r="QE626" s="20"/>
      <c r="QF626" s="1739"/>
      <c r="QG626" s="19"/>
      <c r="QH626" s="93"/>
      <c r="QI626" s="93"/>
      <c r="QJ626" s="93"/>
      <c r="QK626" s="93"/>
      <c r="QL626" s="93"/>
      <c r="QM626" s="93"/>
      <c r="QN626" s="93"/>
      <c r="QO626" s="93"/>
      <c r="QP626" s="93"/>
      <c r="QQ626" s="93"/>
      <c r="QR626" s="93"/>
      <c r="QS626" s="93"/>
      <c r="QT626" s="93"/>
      <c r="QU626" s="93"/>
      <c r="QV626" s="93"/>
      <c r="QW626" s="93"/>
      <c r="QX626" s="93"/>
      <c r="QY626" s="93"/>
      <c r="QZ626" s="93"/>
      <c r="RA626" s="93"/>
      <c r="RB626" s="93"/>
      <c r="RC626" s="93"/>
      <c r="RD626" s="93"/>
      <c r="RE626" s="93"/>
      <c r="RF626" s="93"/>
      <c r="RG626" s="93"/>
      <c r="RH626" s="93"/>
      <c r="RI626" s="93"/>
      <c r="RJ626" s="93"/>
      <c r="RK626" s="93"/>
      <c r="RL626" s="93"/>
      <c r="RM626" s="20"/>
      <c r="RN626" s="29"/>
      <c r="RO626" s="19"/>
      <c r="RP626" s="20"/>
      <c r="RQ626" s="29"/>
      <c r="RR626" s="20"/>
      <c r="RS626" s="29"/>
      <c r="RT626" s="1504">
        <v>53509</v>
      </c>
      <c r="RU626" s="19"/>
      <c r="RV626" s="20"/>
      <c r="RW626" s="29"/>
      <c r="RX626" s="1504">
        <v>53509</v>
      </c>
      <c r="RY626" s="29"/>
      <c r="RZ626" s="20"/>
      <c r="SA626" s="29"/>
      <c r="SB626" s="29"/>
    </row>
    <row r="627" spans="1:496">
      <c r="A627" s="41">
        <f t="shared" si="364"/>
        <v>2046</v>
      </c>
      <c r="B627" s="1504">
        <v>53540</v>
      </c>
      <c r="C627" s="1813"/>
      <c r="D627" s="1814"/>
      <c r="E627" s="1814"/>
      <c r="F627" s="1815"/>
      <c r="G627" s="1814"/>
      <c r="H627" s="1814"/>
      <c r="I627" s="1814"/>
      <c r="J627" s="1816"/>
      <c r="K627" s="1807"/>
      <c r="L627" s="25"/>
      <c r="M627" s="97"/>
      <c r="N627" s="1504">
        <v>53540</v>
      </c>
      <c r="O627" s="19"/>
      <c r="P627" s="93"/>
      <c r="Q627" s="93"/>
      <c r="R627" s="93"/>
      <c r="S627" s="93"/>
      <c r="T627" s="93"/>
      <c r="U627" s="93"/>
      <c r="V627" s="93"/>
      <c r="W627" s="93"/>
      <c r="X627" s="93"/>
      <c r="Y627" s="93"/>
      <c r="Z627" s="93"/>
      <c r="AA627" s="93"/>
      <c r="AB627" s="20"/>
      <c r="AC627" s="25"/>
      <c r="AD627" s="97"/>
      <c r="AE627" s="1504">
        <v>53540</v>
      </c>
      <c r="AF627" s="19"/>
      <c r="AG627" s="93"/>
      <c r="AH627" s="93"/>
      <c r="AI627" s="93"/>
      <c r="AJ627" s="93"/>
      <c r="AK627" s="93"/>
      <c r="AL627" s="93"/>
      <c r="AM627" s="93"/>
      <c r="AN627" s="93"/>
      <c r="AO627" s="93"/>
      <c r="AP627" s="93"/>
      <c r="AQ627" s="93"/>
      <c r="AR627" s="93"/>
      <c r="AS627" s="20"/>
      <c r="AT627" s="25"/>
      <c r="AU627" s="97"/>
      <c r="AV627" s="1504">
        <v>53540</v>
      </c>
      <c r="AW627" s="19"/>
      <c r="AX627" s="93"/>
      <c r="AY627" s="93"/>
      <c r="AZ627" s="93"/>
      <c r="BA627" s="93"/>
      <c r="BB627" s="93"/>
      <c r="BC627" s="93"/>
      <c r="BD627" s="93"/>
      <c r="BE627" s="93"/>
      <c r="BF627" s="93"/>
      <c r="BG627" s="93"/>
      <c r="BH627" s="93"/>
      <c r="BI627" s="93"/>
      <c r="BJ627" s="20"/>
      <c r="BK627" s="25"/>
      <c r="BL627" s="97"/>
      <c r="BM627" s="1504">
        <v>53540</v>
      </c>
      <c r="BN627" s="19"/>
      <c r="BO627" s="93"/>
      <c r="BP627" s="93"/>
      <c r="BQ627" s="93"/>
      <c r="BR627" s="93"/>
      <c r="BS627" s="93"/>
      <c r="BT627" s="93"/>
      <c r="BU627" s="20"/>
      <c r="BV627" s="25"/>
      <c r="BW627" s="97"/>
      <c r="BX627" s="1504">
        <v>53540</v>
      </c>
      <c r="BY627" s="19"/>
      <c r="BZ627" s="93"/>
      <c r="CA627" s="93"/>
      <c r="CB627" s="93"/>
      <c r="CC627" s="93"/>
      <c r="CD627" s="25"/>
      <c r="CE627" s="97"/>
      <c r="CF627" s="1504">
        <v>53540</v>
      </c>
      <c r="CG627" s="19"/>
      <c r="CH627" s="93"/>
      <c r="CI627" s="219"/>
      <c r="CJ627" s="20"/>
      <c r="CK627" s="19"/>
      <c r="CL627" s="93"/>
      <c r="CM627" s="93"/>
      <c r="CN627" s="93"/>
      <c r="CO627" s="93"/>
      <c r="CP627" s="20"/>
      <c r="CQ627" s="219"/>
      <c r="CR627" s="93"/>
      <c r="CS627" s="93"/>
      <c r="CT627" s="93"/>
      <c r="CU627" s="93"/>
      <c r="CV627" s="214"/>
      <c r="CW627" s="29"/>
      <c r="CX627" s="41">
        <f t="shared" si="363"/>
        <v>2046</v>
      </c>
      <c r="CY627" s="1504">
        <v>53540</v>
      </c>
      <c r="CZ627" s="19"/>
      <c r="DA627" s="93"/>
      <c r="DB627" s="93"/>
      <c r="DC627" s="93"/>
      <c r="DD627" s="93"/>
      <c r="DE627" s="20"/>
      <c r="DF627" s="29"/>
      <c r="DG627" s="1504">
        <v>53540</v>
      </c>
      <c r="DH627" s="19"/>
      <c r="DI627" s="93"/>
      <c r="DJ627" s="93"/>
      <c r="DK627" s="93"/>
      <c r="DL627" s="93"/>
      <c r="DM627" s="93"/>
      <c r="DN627" s="20"/>
      <c r="DO627" s="295"/>
      <c r="DP627" s="29"/>
      <c r="DQ627" s="1504">
        <v>53540</v>
      </c>
      <c r="DR627" s="19"/>
      <c r="DS627" s="93"/>
      <c r="DT627" s="93"/>
      <c r="DU627" s="93"/>
      <c r="DV627" s="93"/>
      <c r="DW627" s="93"/>
      <c r="DX627" s="20"/>
      <c r="DY627" s="29"/>
      <c r="DZ627" s="1504">
        <v>53540</v>
      </c>
      <c r="EA627" s="19"/>
      <c r="EB627" s="93"/>
      <c r="EC627" s="20"/>
      <c r="ED627" s="29"/>
      <c r="EE627" s="1504">
        <v>53540</v>
      </c>
      <c r="EF627" s="19"/>
      <c r="EG627" s="93"/>
      <c r="EH627" s="93"/>
      <c r="EI627" s="214"/>
      <c r="EJ627" s="93"/>
      <c r="EK627" s="93"/>
      <c r="EL627" s="93"/>
      <c r="EM627" s="93"/>
      <c r="EN627" s="20"/>
      <c r="EO627" s="29"/>
      <c r="EP627" s="1504">
        <v>53540</v>
      </c>
      <c r="EQ627" s="19"/>
      <c r="ER627" s="93"/>
      <c r="ES627" s="93"/>
      <c r="ET627" s="214"/>
      <c r="EU627" s="93"/>
      <c r="EV627" s="93"/>
      <c r="EW627" s="93"/>
      <c r="EX627" s="93"/>
      <c r="EY627" s="20"/>
      <c r="EZ627" s="29"/>
      <c r="FA627" s="1504">
        <v>53540</v>
      </c>
      <c r="FB627" s="29"/>
      <c r="FC627" s="29"/>
      <c r="FD627" s="29"/>
      <c r="FE627" s="29"/>
      <c r="FF627" s="29"/>
      <c r="FG627" s="29"/>
      <c r="FH627" s="29"/>
      <c r="FI627" s="29"/>
      <c r="FJ627" s="29"/>
      <c r="FK627" s="29"/>
      <c r="FL627" s="1504">
        <v>53540</v>
      </c>
      <c r="FM627" s="19"/>
      <c r="FN627" s="93"/>
      <c r="FO627" s="93"/>
      <c r="FP627" s="93"/>
      <c r="FQ627" s="93"/>
      <c r="FR627" s="93"/>
      <c r="FS627" s="93"/>
      <c r="FT627" s="93"/>
      <c r="FU627" s="93"/>
      <c r="FV627" s="93"/>
      <c r="FW627" s="93"/>
      <c r="FX627" s="93"/>
      <c r="FY627" s="93"/>
      <c r="FZ627" s="29"/>
      <c r="GA627" s="1504">
        <v>53540</v>
      </c>
      <c r="GB627" s="19"/>
      <c r="GC627" s="93"/>
      <c r="GD627" s="93"/>
      <c r="GE627" s="93"/>
      <c r="GF627" s="93"/>
      <c r="GG627" s="93"/>
      <c r="GH627" s="93"/>
      <c r="GI627" s="93"/>
      <c r="GJ627" s="93"/>
      <c r="GK627" s="93"/>
      <c r="GL627" s="93"/>
      <c r="GM627" s="93"/>
      <c r="GN627" s="20"/>
      <c r="GO627" s="29"/>
      <c r="GP627" s="1504">
        <v>53540</v>
      </c>
      <c r="GQ627" s="19"/>
      <c r="GR627" s="93"/>
      <c r="GS627" s="93"/>
      <c r="GT627" s="93"/>
      <c r="GU627" s="93"/>
      <c r="GV627" s="20"/>
      <c r="GW627" s="19"/>
      <c r="GX627" s="93"/>
      <c r="GY627" s="93"/>
      <c r="GZ627" s="93"/>
      <c r="HA627" s="93"/>
      <c r="HB627" s="20"/>
      <c r="HC627" s="19"/>
      <c r="HD627" s="93"/>
      <c r="HE627" s="93"/>
      <c r="HF627" s="93"/>
      <c r="HG627" s="93"/>
      <c r="HH627" s="20"/>
      <c r="HI627" s="19"/>
      <c r="HJ627" s="93"/>
      <c r="HK627" s="93"/>
      <c r="HL627" s="93"/>
      <c r="HM627" s="93"/>
      <c r="HN627" s="20"/>
      <c r="HO627" s="219"/>
      <c r="HP627" s="20"/>
      <c r="HQ627" s="25"/>
      <c r="HR627" s="29"/>
      <c r="HS627" s="1504">
        <v>53540</v>
      </c>
      <c r="HT627" s="19"/>
      <c r="HU627" s="93"/>
      <c r="HV627" s="93"/>
      <c r="HW627" s="93"/>
      <c r="HX627" s="93"/>
      <c r="HY627" s="93"/>
      <c r="HZ627" s="93"/>
      <c r="IA627" s="20"/>
      <c r="IB627" s="19"/>
      <c r="IC627" s="93"/>
      <c r="ID627" s="93"/>
      <c r="IE627" s="93"/>
      <c r="IF627" s="93"/>
      <c r="IG627" s="20"/>
      <c r="IH627" s="19"/>
      <c r="II627" s="93"/>
      <c r="IJ627" s="93"/>
      <c r="IK627" s="93"/>
      <c r="IL627" s="93"/>
      <c r="IM627" s="93"/>
      <c r="IN627" s="93"/>
      <c r="IO627" s="20"/>
      <c r="IP627" s="29"/>
      <c r="IQ627" s="19"/>
      <c r="IR627" s="93"/>
      <c r="IS627" s="93"/>
      <c r="IT627" s="93"/>
      <c r="IU627" s="93"/>
      <c r="IV627" s="20"/>
      <c r="IW627" s="29"/>
      <c r="IX627" s="19"/>
      <c r="IY627" s="93"/>
      <c r="IZ627" s="93"/>
      <c r="JA627" s="93"/>
      <c r="JB627" s="93"/>
      <c r="JC627" s="93"/>
      <c r="JD627" s="93"/>
      <c r="JE627" s="20"/>
      <c r="JF627" s="29"/>
      <c r="JG627" s="19"/>
      <c r="JH627" s="93"/>
      <c r="JI627" s="93"/>
      <c r="JJ627" s="93"/>
      <c r="JK627" s="93"/>
      <c r="JL627" s="93"/>
      <c r="JM627" s="93"/>
      <c r="JN627" s="20"/>
      <c r="JO627" s="29"/>
      <c r="JP627" s="19"/>
      <c r="JQ627" s="93"/>
      <c r="JR627" s="93"/>
      <c r="JS627" s="93"/>
      <c r="JT627" s="93"/>
      <c r="JU627" s="20"/>
      <c r="JV627" s="29"/>
      <c r="JW627" s="1504">
        <v>53540</v>
      </c>
      <c r="JX627" s="19"/>
      <c r="JY627" s="93"/>
      <c r="JZ627" s="93"/>
      <c r="KA627" s="93"/>
      <c r="KB627" s="93"/>
      <c r="KC627" s="93"/>
      <c r="KD627" s="20"/>
      <c r="KE627" s="29"/>
      <c r="KF627" s="19"/>
      <c r="KG627" s="93"/>
      <c r="KH627" s="93"/>
      <c r="KI627" s="93"/>
      <c r="KJ627" s="93"/>
      <c r="KK627" s="20"/>
      <c r="KL627" s="29"/>
      <c r="KM627" s="19"/>
      <c r="KN627" s="93"/>
      <c r="KO627" s="93"/>
      <c r="KP627" s="93"/>
      <c r="KQ627" s="93"/>
      <c r="KR627" s="20"/>
      <c r="KS627" s="29"/>
      <c r="KT627" s="19"/>
      <c r="KU627" s="93"/>
      <c r="KV627" s="93"/>
      <c r="KW627" s="93"/>
      <c r="KX627" s="93"/>
      <c r="KY627" s="20"/>
      <c r="KZ627" s="29"/>
      <c r="LA627" s="1504">
        <v>53540</v>
      </c>
      <c r="LB627" s="19"/>
      <c r="LC627" s="93"/>
      <c r="LD627" s="93"/>
      <c r="LE627" s="93"/>
      <c r="LF627" s="93"/>
      <c r="LG627" s="93"/>
      <c r="LH627" s="20"/>
      <c r="LI627" s="29"/>
      <c r="LJ627" s="19"/>
      <c r="LK627" s="93"/>
      <c r="LL627" s="93"/>
      <c r="LM627" s="93"/>
      <c r="LN627" s="93"/>
      <c r="LO627" s="20"/>
      <c r="LP627" s="29"/>
      <c r="LQ627" s="19"/>
      <c r="LR627" s="93"/>
      <c r="LS627" s="93"/>
      <c r="LT627" s="93"/>
      <c r="LU627" s="93"/>
      <c r="LV627" s="93"/>
      <c r="LW627" s="93"/>
      <c r="LX627" s="93"/>
      <c r="LY627" s="93"/>
      <c r="LZ627" s="93"/>
      <c r="MA627" s="20"/>
      <c r="MB627" s="29"/>
      <c r="MC627" s="1504">
        <v>53540</v>
      </c>
      <c r="MD627" s="19"/>
      <c r="ME627" s="93"/>
      <c r="MF627" s="93"/>
      <c r="MG627" s="93"/>
      <c r="MH627" s="93"/>
      <c r="MI627" s="93"/>
      <c r="MJ627" s="93"/>
      <c r="MK627" s="93"/>
      <c r="ML627" s="93"/>
      <c r="MM627" s="93"/>
      <c r="MN627" s="93"/>
      <c r="MO627" s="93"/>
      <c r="MP627" s="93"/>
      <c r="MQ627" s="93"/>
      <c r="MR627" s="93"/>
      <c r="MS627" s="93"/>
      <c r="MT627" s="93"/>
      <c r="MU627" s="93"/>
      <c r="MV627" s="93"/>
      <c r="MW627" s="93"/>
      <c r="MX627" s="93"/>
      <c r="MY627" s="93"/>
      <c r="MZ627" s="93"/>
      <c r="NA627" s="93"/>
      <c r="NB627" s="93"/>
      <c r="NC627" s="93"/>
      <c r="ND627" s="93"/>
      <c r="NE627" s="93"/>
      <c r="NF627" s="93"/>
      <c r="NG627" s="93"/>
      <c r="NH627" s="93"/>
      <c r="NI627" s="93"/>
      <c r="NJ627" s="93"/>
      <c r="NK627" s="93"/>
      <c r="NL627" s="93"/>
      <c r="NM627" s="93"/>
      <c r="NN627" s="93"/>
      <c r="NO627" s="93"/>
      <c r="NP627" s="93"/>
      <c r="NQ627" s="93"/>
      <c r="NR627" s="93"/>
      <c r="NS627" s="93"/>
      <c r="NT627" s="93"/>
      <c r="NU627" s="93"/>
      <c r="NV627" s="93"/>
      <c r="NW627" s="93"/>
      <c r="NX627" s="93"/>
      <c r="NY627" s="93"/>
      <c r="NZ627" s="93"/>
      <c r="OA627" s="93"/>
      <c r="OB627" s="93"/>
      <c r="OC627" s="93"/>
      <c r="OD627" s="20"/>
      <c r="OE627" s="29"/>
      <c r="OF627" s="1504">
        <v>53540</v>
      </c>
      <c r="OG627" s="19"/>
      <c r="OH627" s="93"/>
      <c r="OI627" s="93"/>
      <c r="OJ627" s="93"/>
      <c r="OK627" s="93"/>
      <c r="OL627" s="93"/>
      <c r="OM627" s="93"/>
      <c r="ON627" s="93"/>
      <c r="OO627" s="93"/>
      <c r="OP627" s="93"/>
      <c r="OQ627" s="93"/>
      <c r="OR627" s="93"/>
      <c r="OS627" s="93"/>
      <c r="OT627" s="93"/>
      <c r="OU627" s="93"/>
      <c r="OV627" s="93"/>
      <c r="OW627" s="93"/>
      <c r="OX627" s="93"/>
      <c r="OY627" s="93"/>
      <c r="OZ627" s="93"/>
      <c r="PA627" s="93"/>
      <c r="PB627" s="93"/>
      <c r="PC627" s="20"/>
      <c r="PD627" s="29"/>
      <c r="PE627" s="19"/>
      <c r="PF627" s="93"/>
      <c r="PG627" s="93"/>
      <c r="PH627" s="93"/>
      <c r="PI627" s="93"/>
      <c r="PJ627" s="93"/>
      <c r="PK627" s="93"/>
      <c r="PL627" s="93"/>
      <c r="PM627" s="93"/>
      <c r="PN627" s="93"/>
      <c r="PO627" s="93"/>
      <c r="PP627" s="93"/>
      <c r="PQ627" s="93"/>
      <c r="PR627" s="93"/>
      <c r="PS627" s="93"/>
      <c r="PT627" s="93"/>
      <c r="PU627" s="93"/>
      <c r="PV627" s="93"/>
      <c r="PW627" s="93"/>
      <c r="PX627" s="93"/>
      <c r="PY627" s="93"/>
      <c r="PZ627" s="93"/>
      <c r="QA627" s="93"/>
      <c r="QB627" s="93"/>
      <c r="QC627" s="93"/>
      <c r="QD627" s="93"/>
      <c r="QE627" s="20"/>
      <c r="QF627" s="1739"/>
      <c r="QG627" s="19"/>
      <c r="QH627" s="93"/>
      <c r="QI627" s="93"/>
      <c r="QJ627" s="93"/>
      <c r="QK627" s="93"/>
      <c r="QL627" s="93"/>
      <c r="QM627" s="93"/>
      <c r="QN627" s="93"/>
      <c r="QO627" s="93"/>
      <c r="QP627" s="93"/>
      <c r="QQ627" s="93"/>
      <c r="QR627" s="93"/>
      <c r="QS627" s="93"/>
      <c r="QT627" s="93"/>
      <c r="QU627" s="93"/>
      <c r="QV627" s="93"/>
      <c r="QW627" s="93"/>
      <c r="QX627" s="93"/>
      <c r="QY627" s="93"/>
      <c r="QZ627" s="93"/>
      <c r="RA627" s="93"/>
      <c r="RB627" s="93"/>
      <c r="RC627" s="93"/>
      <c r="RD627" s="93"/>
      <c r="RE627" s="93"/>
      <c r="RF627" s="93"/>
      <c r="RG627" s="93"/>
      <c r="RH627" s="93"/>
      <c r="RI627" s="93"/>
      <c r="RJ627" s="93"/>
      <c r="RK627" s="93"/>
      <c r="RL627" s="93"/>
      <c r="RM627" s="20"/>
      <c r="RN627" s="29"/>
      <c r="RO627" s="19"/>
      <c r="RP627" s="20"/>
      <c r="RQ627" s="29"/>
      <c r="RR627" s="20"/>
      <c r="RS627" s="29"/>
      <c r="RT627" s="1504">
        <v>53540</v>
      </c>
      <c r="RU627" s="19"/>
      <c r="RV627" s="20"/>
      <c r="RW627" s="29"/>
      <c r="RX627" s="1504">
        <v>53540</v>
      </c>
      <c r="RY627" s="29"/>
      <c r="RZ627" s="20"/>
      <c r="SA627" s="29"/>
      <c r="SB627" s="29"/>
    </row>
    <row r="628" spans="1:496">
      <c r="A628" s="41">
        <f t="shared" si="364"/>
        <v>2046</v>
      </c>
      <c r="B628" s="1504">
        <v>53571</v>
      </c>
      <c r="C628" s="1813"/>
      <c r="D628" s="1814"/>
      <c r="E628" s="1814"/>
      <c r="F628" s="1815"/>
      <c r="G628" s="1814"/>
      <c r="H628" s="1814"/>
      <c r="I628" s="1814"/>
      <c r="J628" s="1816"/>
      <c r="K628" s="1807"/>
      <c r="L628" s="25"/>
      <c r="M628" s="97"/>
      <c r="N628" s="1504">
        <v>53571</v>
      </c>
      <c r="O628" s="19"/>
      <c r="P628" s="93"/>
      <c r="Q628" s="93"/>
      <c r="R628" s="93"/>
      <c r="S628" s="93"/>
      <c r="T628" s="93"/>
      <c r="U628" s="93"/>
      <c r="V628" s="93"/>
      <c r="W628" s="93"/>
      <c r="X628" s="93"/>
      <c r="Y628" s="93"/>
      <c r="Z628" s="93"/>
      <c r="AA628" s="93"/>
      <c r="AB628" s="20"/>
      <c r="AC628" s="25"/>
      <c r="AD628" s="97"/>
      <c r="AE628" s="1504">
        <v>53571</v>
      </c>
      <c r="AF628" s="19"/>
      <c r="AG628" s="93"/>
      <c r="AH628" s="93"/>
      <c r="AI628" s="93"/>
      <c r="AJ628" s="93"/>
      <c r="AK628" s="93"/>
      <c r="AL628" s="93"/>
      <c r="AM628" s="93"/>
      <c r="AN628" s="93"/>
      <c r="AO628" s="93"/>
      <c r="AP628" s="93"/>
      <c r="AQ628" s="93"/>
      <c r="AR628" s="93"/>
      <c r="AS628" s="20"/>
      <c r="AT628" s="25"/>
      <c r="AU628" s="97"/>
      <c r="AV628" s="1504">
        <v>53571</v>
      </c>
      <c r="AW628" s="19"/>
      <c r="AX628" s="93"/>
      <c r="AY628" s="93"/>
      <c r="AZ628" s="93"/>
      <c r="BA628" s="93"/>
      <c r="BB628" s="93"/>
      <c r="BC628" s="93"/>
      <c r="BD628" s="93"/>
      <c r="BE628" s="93"/>
      <c r="BF628" s="93"/>
      <c r="BG628" s="93"/>
      <c r="BH628" s="93"/>
      <c r="BI628" s="93"/>
      <c r="BJ628" s="20"/>
      <c r="BK628" s="25"/>
      <c r="BL628" s="97"/>
      <c r="BM628" s="1504">
        <v>53571</v>
      </c>
      <c r="BN628" s="19"/>
      <c r="BO628" s="93"/>
      <c r="BP628" s="93"/>
      <c r="BQ628" s="93"/>
      <c r="BR628" s="93"/>
      <c r="BS628" s="93"/>
      <c r="BT628" s="93"/>
      <c r="BU628" s="20"/>
      <c r="BV628" s="25"/>
      <c r="BW628" s="97"/>
      <c r="BX628" s="1504">
        <v>53571</v>
      </c>
      <c r="BY628" s="19"/>
      <c r="BZ628" s="93"/>
      <c r="CA628" s="93"/>
      <c r="CB628" s="93"/>
      <c r="CC628" s="93"/>
      <c r="CD628" s="25"/>
      <c r="CE628" s="97"/>
      <c r="CF628" s="1504">
        <v>53571</v>
      </c>
      <c r="CG628" s="19"/>
      <c r="CH628" s="93"/>
      <c r="CI628" s="219"/>
      <c r="CJ628" s="20"/>
      <c r="CK628" s="19"/>
      <c r="CL628" s="93"/>
      <c r="CM628" s="93"/>
      <c r="CN628" s="93"/>
      <c r="CO628" s="93"/>
      <c r="CP628" s="20"/>
      <c r="CQ628" s="219"/>
      <c r="CR628" s="93"/>
      <c r="CS628" s="93"/>
      <c r="CT628" s="93"/>
      <c r="CU628" s="93"/>
      <c r="CV628" s="214"/>
      <c r="CW628" s="29"/>
      <c r="CX628" s="41">
        <f t="shared" si="363"/>
        <v>2046</v>
      </c>
      <c r="CY628" s="1504">
        <v>53571</v>
      </c>
      <c r="CZ628" s="19"/>
      <c r="DA628" s="93"/>
      <c r="DB628" s="93"/>
      <c r="DC628" s="93"/>
      <c r="DD628" s="93"/>
      <c r="DE628" s="20"/>
      <c r="DF628" s="29"/>
      <c r="DG628" s="1504">
        <v>53571</v>
      </c>
      <c r="DH628" s="19"/>
      <c r="DI628" s="93"/>
      <c r="DJ628" s="93"/>
      <c r="DK628" s="93"/>
      <c r="DL628" s="93"/>
      <c r="DM628" s="93"/>
      <c r="DN628" s="20"/>
      <c r="DO628" s="295"/>
      <c r="DP628" s="29"/>
      <c r="DQ628" s="1504">
        <v>53571</v>
      </c>
      <c r="DR628" s="19"/>
      <c r="DS628" s="93"/>
      <c r="DT628" s="93"/>
      <c r="DU628" s="93"/>
      <c r="DV628" s="93"/>
      <c r="DW628" s="93"/>
      <c r="DX628" s="20"/>
      <c r="DY628" s="29"/>
      <c r="DZ628" s="1504">
        <v>53571</v>
      </c>
      <c r="EA628" s="19"/>
      <c r="EB628" s="93"/>
      <c r="EC628" s="20"/>
      <c r="ED628" s="29"/>
      <c r="EE628" s="1504">
        <v>53571</v>
      </c>
      <c r="EF628" s="19"/>
      <c r="EG628" s="93"/>
      <c r="EH628" s="93"/>
      <c r="EI628" s="214"/>
      <c r="EJ628" s="93"/>
      <c r="EK628" s="93"/>
      <c r="EL628" s="93"/>
      <c r="EM628" s="93"/>
      <c r="EN628" s="20"/>
      <c r="EO628" s="29"/>
      <c r="EP628" s="1504">
        <v>53571</v>
      </c>
      <c r="EQ628" s="19"/>
      <c r="ER628" s="93"/>
      <c r="ES628" s="93"/>
      <c r="ET628" s="214"/>
      <c r="EU628" s="93"/>
      <c r="EV628" s="93"/>
      <c r="EW628" s="93"/>
      <c r="EX628" s="93"/>
      <c r="EY628" s="20"/>
      <c r="EZ628" s="29"/>
      <c r="FA628" s="1504">
        <v>53571</v>
      </c>
      <c r="FB628" s="29"/>
      <c r="FC628" s="29"/>
      <c r="FD628" s="29"/>
      <c r="FE628" s="29"/>
      <c r="FF628" s="29"/>
      <c r="FG628" s="29"/>
      <c r="FH628" s="29"/>
      <c r="FI628" s="29"/>
      <c r="FJ628" s="29"/>
      <c r="FK628" s="29"/>
      <c r="FL628" s="1504">
        <v>53571</v>
      </c>
      <c r="FM628" s="19"/>
      <c r="FN628" s="93"/>
      <c r="FO628" s="93"/>
      <c r="FP628" s="93"/>
      <c r="FQ628" s="93"/>
      <c r="FR628" s="93"/>
      <c r="FS628" s="93"/>
      <c r="FT628" s="93"/>
      <c r="FU628" s="93"/>
      <c r="FV628" s="93"/>
      <c r="FW628" s="93"/>
      <c r="FX628" s="93"/>
      <c r="FY628" s="93"/>
      <c r="FZ628" s="29"/>
      <c r="GA628" s="1504">
        <v>53571</v>
      </c>
      <c r="GB628" s="19"/>
      <c r="GC628" s="93"/>
      <c r="GD628" s="93"/>
      <c r="GE628" s="93"/>
      <c r="GF628" s="93"/>
      <c r="GG628" s="93"/>
      <c r="GH628" s="93"/>
      <c r="GI628" s="93"/>
      <c r="GJ628" s="93"/>
      <c r="GK628" s="93"/>
      <c r="GL628" s="93"/>
      <c r="GM628" s="93"/>
      <c r="GN628" s="20"/>
      <c r="GO628" s="29"/>
      <c r="GP628" s="1504">
        <v>53571</v>
      </c>
      <c r="GQ628" s="19"/>
      <c r="GR628" s="93"/>
      <c r="GS628" s="93"/>
      <c r="GT628" s="93"/>
      <c r="GU628" s="93"/>
      <c r="GV628" s="20"/>
      <c r="GW628" s="19"/>
      <c r="GX628" s="93"/>
      <c r="GY628" s="93"/>
      <c r="GZ628" s="93"/>
      <c r="HA628" s="93"/>
      <c r="HB628" s="20"/>
      <c r="HC628" s="19"/>
      <c r="HD628" s="93"/>
      <c r="HE628" s="93"/>
      <c r="HF628" s="93"/>
      <c r="HG628" s="93"/>
      <c r="HH628" s="20"/>
      <c r="HI628" s="19"/>
      <c r="HJ628" s="93"/>
      <c r="HK628" s="93"/>
      <c r="HL628" s="93"/>
      <c r="HM628" s="93"/>
      <c r="HN628" s="20"/>
      <c r="HO628" s="219"/>
      <c r="HP628" s="20"/>
      <c r="HQ628" s="25"/>
      <c r="HR628" s="29"/>
      <c r="HS628" s="1504">
        <v>53571</v>
      </c>
      <c r="HT628" s="19"/>
      <c r="HU628" s="93"/>
      <c r="HV628" s="93"/>
      <c r="HW628" s="93"/>
      <c r="HX628" s="93"/>
      <c r="HY628" s="93"/>
      <c r="HZ628" s="93"/>
      <c r="IA628" s="20"/>
      <c r="IB628" s="19"/>
      <c r="IC628" s="93"/>
      <c r="ID628" s="93"/>
      <c r="IE628" s="93"/>
      <c r="IF628" s="93"/>
      <c r="IG628" s="20"/>
      <c r="IH628" s="19"/>
      <c r="II628" s="93"/>
      <c r="IJ628" s="93"/>
      <c r="IK628" s="93"/>
      <c r="IL628" s="93"/>
      <c r="IM628" s="93"/>
      <c r="IN628" s="93"/>
      <c r="IO628" s="20"/>
      <c r="IP628" s="29"/>
      <c r="IQ628" s="19"/>
      <c r="IR628" s="93"/>
      <c r="IS628" s="93"/>
      <c r="IT628" s="93"/>
      <c r="IU628" s="93"/>
      <c r="IV628" s="20"/>
      <c r="IW628" s="29"/>
      <c r="IX628" s="19"/>
      <c r="IY628" s="93"/>
      <c r="IZ628" s="93"/>
      <c r="JA628" s="93"/>
      <c r="JB628" s="93"/>
      <c r="JC628" s="93"/>
      <c r="JD628" s="93"/>
      <c r="JE628" s="20"/>
      <c r="JF628" s="29"/>
      <c r="JG628" s="19"/>
      <c r="JH628" s="93"/>
      <c r="JI628" s="93"/>
      <c r="JJ628" s="93"/>
      <c r="JK628" s="93"/>
      <c r="JL628" s="93"/>
      <c r="JM628" s="93"/>
      <c r="JN628" s="20"/>
      <c r="JO628" s="29"/>
      <c r="JP628" s="19"/>
      <c r="JQ628" s="93"/>
      <c r="JR628" s="93"/>
      <c r="JS628" s="93"/>
      <c r="JT628" s="93"/>
      <c r="JU628" s="20"/>
      <c r="JV628" s="29"/>
      <c r="JW628" s="1504">
        <v>53571</v>
      </c>
      <c r="JX628" s="19"/>
      <c r="JY628" s="93"/>
      <c r="JZ628" s="93"/>
      <c r="KA628" s="93"/>
      <c r="KB628" s="93"/>
      <c r="KC628" s="93"/>
      <c r="KD628" s="20"/>
      <c r="KE628" s="29"/>
      <c r="KF628" s="19"/>
      <c r="KG628" s="93"/>
      <c r="KH628" s="93"/>
      <c r="KI628" s="93"/>
      <c r="KJ628" s="93"/>
      <c r="KK628" s="20"/>
      <c r="KL628" s="29"/>
      <c r="KM628" s="19"/>
      <c r="KN628" s="93"/>
      <c r="KO628" s="93"/>
      <c r="KP628" s="93"/>
      <c r="KQ628" s="93"/>
      <c r="KR628" s="20"/>
      <c r="KS628" s="29"/>
      <c r="KT628" s="19"/>
      <c r="KU628" s="93"/>
      <c r="KV628" s="93"/>
      <c r="KW628" s="93"/>
      <c r="KX628" s="93"/>
      <c r="KY628" s="20"/>
      <c r="KZ628" s="29"/>
      <c r="LA628" s="1504">
        <v>53571</v>
      </c>
      <c r="LB628" s="19"/>
      <c r="LC628" s="93"/>
      <c r="LD628" s="93"/>
      <c r="LE628" s="93"/>
      <c r="LF628" s="93"/>
      <c r="LG628" s="93"/>
      <c r="LH628" s="20"/>
      <c r="LI628" s="29"/>
      <c r="LJ628" s="19"/>
      <c r="LK628" s="93"/>
      <c r="LL628" s="93"/>
      <c r="LM628" s="93"/>
      <c r="LN628" s="93"/>
      <c r="LO628" s="20"/>
      <c r="LP628" s="29"/>
      <c r="LQ628" s="19"/>
      <c r="LR628" s="93"/>
      <c r="LS628" s="93"/>
      <c r="LT628" s="93"/>
      <c r="LU628" s="93"/>
      <c r="LV628" s="93"/>
      <c r="LW628" s="93"/>
      <c r="LX628" s="93"/>
      <c r="LY628" s="93"/>
      <c r="LZ628" s="93"/>
      <c r="MA628" s="20"/>
      <c r="MB628" s="29"/>
      <c r="MC628" s="1504">
        <v>53571</v>
      </c>
      <c r="MD628" s="19"/>
      <c r="ME628" s="93"/>
      <c r="MF628" s="93"/>
      <c r="MG628" s="93"/>
      <c r="MH628" s="93"/>
      <c r="MI628" s="93"/>
      <c r="MJ628" s="93"/>
      <c r="MK628" s="93"/>
      <c r="ML628" s="93"/>
      <c r="MM628" s="93"/>
      <c r="MN628" s="93"/>
      <c r="MO628" s="93"/>
      <c r="MP628" s="93"/>
      <c r="MQ628" s="93"/>
      <c r="MR628" s="93"/>
      <c r="MS628" s="93"/>
      <c r="MT628" s="93"/>
      <c r="MU628" s="93"/>
      <c r="MV628" s="93"/>
      <c r="MW628" s="93"/>
      <c r="MX628" s="93"/>
      <c r="MY628" s="93"/>
      <c r="MZ628" s="93"/>
      <c r="NA628" s="93"/>
      <c r="NB628" s="93"/>
      <c r="NC628" s="93"/>
      <c r="ND628" s="93"/>
      <c r="NE628" s="93"/>
      <c r="NF628" s="93"/>
      <c r="NG628" s="93"/>
      <c r="NH628" s="93"/>
      <c r="NI628" s="93"/>
      <c r="NJ628" s="93"/>
      <c r="NK628" s="93"/>
      <c r="NL628" s="93"/>
      <c r="NM628" s="93"/>
      <c r="NN628" s="93"/>
      <c r="NO628" s="93"/>
      <c r="NP628" s="93"/>
      <c r="NQ628" s="93"/>
      <c r="NR628" s="93"/>
      <c r="NS628" s="93"/>
      <c r="NT628" s="93"/>
      <c r="NU628" s="93"/>
      <c r="NV628" s="93"/>
      <c r="NW628" s="93"/>
      <c r="NX628" s="93"/>
      <c r="NY628" s="93"/>
      <c r="NZ628" s="93"/>
      <c r="OA628" s="93"/>
      <c r="OB628" s="93"/>
      <c r="OC628" s="93"/>
      <c r="OD628" s="20"/>
      <c r="OE628" s="29"/>
      <c r="OF628" s="1504">
        <v>53571</v>
      </c>
      <c r="OG628" s="19"/>
      <c r="OH628" s="93"/>
      <c r="OI628" s="93"/>
      <c r="OJ628" s="93"/>
      <c r="OK628" s="93"/>
      <c r="OL628" s="93"/>
      <c r="OM628" s="93"/>
      <c r="ON628" s="93"/>
      <c r="OO628" s="93"/>
      <c r="OP628" s="93"/>
      <c r="OQ628" s="93"/>
      <c r="OR628" s="93"/>
      <c r="OS628" s="93"/>
      <c r="OT628" s="93"/>
      <c r="OU628" s="93"/>
      <c r="OV628" s="93"/>
      <c r="OW628" s="93"/>
      <c r="OX628" s="93"/>
      <c r="OY628" s="93"/>
      <c r="OZ628" s="93"/>
      <c r="PA628" s="93"/>
      <c r="PB628" s="93"/>
      <c r="PC628" s="20"/>
      <c r="PD628" s="29"/>
      <c r="PE628" s="19"/>
      <c r="PF628" s="93"/>
      <c r="PG628" s="93"/>
      <c r="PH628" s="93"/>
      <c r="PI628" s="93"/>
      <c r="PJ628" s="93"/>
      <c r="PK628" s="93"/>
      <c r="PL628" s="93"/>
      <c r="PM628" s="93"/>
      <c r="PN628" s="93"/>
      <c r="PO628" s="93"/>
      <c r="PP628" s="93"/>
      <c r="PQ628" s="93"/>
      <c r="PR628" s="93"/>
      <c r="PS628" s="93"/>
      <c r="PT628" s="93"/>
      <c r="PU628" s="93"/>
      <c r="PV628" s="93"/>
      <c r="PW628" s="93"/>
      <c r="PX628" s="93"/>
      <c r="PY628" s="93"/>
      <c r="PZ628" s="93"/>
      <c r="QA628" s="93"/>
      <c r="QB628" s="93"/>
      <c r="QC628" s="93"/>
      <c r="QD628" s="93"/>
      <c r="QE628" s="20"/>
      <c r="QF628" s="1739"/>
      <c r="QG628" s="19"/>
      <c r="QH628" s="93"/>
      <c r="QI628" s="93"/>
      <c r="QJ628" s="93"/>
      <c r="QK628" s="93"/>
      <c r="QL628" s="93"/>
      <c r="QM628" s="93"/>
      <c r="QN628" s="93"/>
      <c r="QO628" s="93"/>
      <c r="QP628" s="93"/>
      <c r="QQ628" s="93"/>
      <c r="QR628" s="93"/>
      <c r="QS628" s="93"/>
      <c r="QT628" s="93"/>
      <c r="QU628" s="93"/>
      <c r="QV628" s="93"/>
      <c r="QW628" s="93"/>
      <c r="QX628" s="93"/>
      <c r="QY628" s="93"/>
      <c r="QZ628" s="93"/>
      <c r="RA628" s="93"/>
      <c r="RB628" s="93"/>
      <c r="RC628" s="93"/>
      <c r="RD628" s="93"/>
      <c r="RE628" s="93"/>
      <c r="RF628" s="93"/>
      <c r="RG628" s="93"/>
      <c r="RH628" s="93"/>
      <c r="RI628" s="93"/>
      <c r="RJ628" s="93"/>
      <c r="RK628" s="93"/>
      <c r="RL628" s="93"/>
      <c r="RM628" s="20"/>
      <c r="RN628" s="29"/>
      <c r="RO628" s="19"/>
      <c r="RP628" s="20"/>
      <c r="RQ628" s="29"/>
      <c r="RR628" s="20"/>
      <c r="RS628" s="29"/>
      <c r="RT628" s="1504">
        <v>53571</v>
      </c>
      <c r="RU628" s="19"/>
      <c r="RV628" s="20"/>
      <c r="RW628" s="29"/>
      <c r="RX628" s="1504">
        <v>53571</v>
      </c>
      <c r="RY628" s="29"/>
      <c r="RZ628" s="20"/>
      <c r="SA628" s="29"/>
      <c r="SB628" s="29"/>
    </row>
    <row r="629" spans="1:496">
      <c r="A629" s="41">
        <f t="shared" si="364"/>
        <v>2046</v>
      </c>
      <c r="B629" s="1504">
        <v>53601</v>
      </c>
      <c r="C629" s="1813"/>
      <c r="D629" s="1814"/>
      <c r="E629" s="1814"/>
      <c r="F629" s="1815"/>
      <c r="G629" s="1814"/>
      <c r="H629" s="1814"/>
      <c r="I629" s="1814"/>
      <c r="J629" s="1816"/>
      <c r="K629" s="1807"/>
      <c r="L629" s="25"/>
      <c r="M629" s="97"/>
      <c r="N629" s="1504">
        <v>53601</v>
      </c>
      <c r="O629" s="19"/>
      <c r="P629" s="93"/>
      <c r="Q629" s="93"/>
      <c r="R629" s="93"/>
      <c r="S629" s="93"/>
      <c r="T629" s="93"/>
      <c r="U629" s="93"/>
      <c r="V629" s="93"/>
      <c r="W629" s="93"/>
      <c r="X629" s="93"/>
      <c r="Y629" s="93"/>
      <c r="Z629" s="93"/>
      <c r="AA629" s="93"/>
      <c r="AB629" s="20"/>
      <c r="AC629" s="25"/>
      <c r="AD629" s="97"/>
      <c r="AE629" s="1504">
        <v>53601</v>
      </c>
      <c r="AF629" s="19"/>
      <c r="AG629" s="93"/>
      <c r="AH629" s="93"/>
      <c r="AI629" s="93"/>
      <c r="AJ629" s="93"/>
      <c r="AK629" s="93"/>
      <c r="AL629" s="93"/>
      <c r="AM629" s="93"/>
      <c r="AN629" s="93"/>
      <c r="AO629" s="93"/>
      <c r="AP629" s="93"/>
      <c r="AQ629" s="93"/>
      <c r="AR629" s="93"/>
      <c r="AS629" s="20"/>
      <c r="AT629" s="25"/>
      <c r="AU629" s="97"/>
      <c r="AV629" s="1504">
        <v>53601</v>
      </c>
      <c r="AW629" s="19"/>
      <c r="AX629" s="93"/>
      <c r="AY629" s="93"/>
      <c r="AZ629" s="93"/>
      <c r="BA629" s="93"/>
      <c r="BB629" s="93"/>
      <c r="BC629" s="93"/>
      <c r="BD629" s="93"/>
      <c r="BE629" s="93"/>
      <c r="BF629" s="93"/>
      <c r="BG629" s="93"/>
      <c r="BH629" s="93"/>
      <c r="BI629" s="93"/>
      <c r="BJ629" s="20"/>
      <c r="BK629" s="25"/>
      <c r="BL629" s="97"/>
      <c r="BM629" s="1504">
        <v>53601</v>
      </c>
      <c r="BN629" s="19"/>
      <c r="BO629" s="93"/>
      <c r="BP629" s="93"/>
      <c r="BQ629" s="93"/>
      <c r="BR629" s="93"/>
      <c r="BS629" s="93"/>
      <c r="BT629" s="93"/>
      <c r="BU629" s="20"/>
      <c r="BV629" s="25"/>
      <c r="BW629" s="97"/>
      <c r="BX629" s="1504">
        <v>53601</v>
      </c>
      <c r="BY629" s="19"/>
      <c r="BZ629" s="93"/>
      <c r="CA629" s="93"/>
      <c r="CB629" s="93"/>
      <c r="CC629" s="93"/>
      <c r="CD629" s="25"/>
      <c r="CE629" s="97"/>
      <c r="CF629" s="1504">
        <v>53601</v>
      </c>
      <c r="CG629" s="19"/>
      <c r="CH629" s="93"/>
      <c r="CI629" s="219"/>
      <c r="CJ629" s="20"/>
      <c r="CK629" s="19"/>
      <c r="CL629" s="93"/>
      <c r="CM629" s="93"/>
      <c r="CN629" s="93"/>
      <c r="CO629" s="93"/>
      <c r="CP629" s="20"/>
      <c r="CQ629" s="219"/>
      <c r="CR629" s="93"/>
      <c r="CS629" s="93"/>
      <c r="CT629" s="93"/>
      <c r="CU629" s="93"/>
      <c r="CV629" s="214"/>
      <c r="CW629" s="29"/>
      <c r="CX629" s="41">
        <f t="shared" si="363"/>
        <v>2046</v>
      </c>
      <c r="CY629" s="1504">
        <v>53601</v>
      </c>
      <c r="CZ629" s="19"/>
      <c r="DA629" s="93"/>
      <c r="DB629" s="93"/>
      <c r="DC629" s="93"/>
      <c r="DD629" s="93"/>
      <c r="DE629" s="20"/>
      <c r="DF629" s="29"/>
      <c r="DG629" s="1504">
        <v>53601</v>
      </c>
      <c r="DH629" s="19"/>
      <c r="DI629" s="93"/>
      <c r="DJ629" s="93"/>
      <c r="DK629" s="93"/>
      <c r="DL629" s="93"/>
      <c r="DM629" s="93"/>
      <c r="DN629" s="20"/>
      <c r="DO629" s="295"/>
      <c r="DP629" s="29"/>
      <c r="DQ629" s="1504">
        <v>53601</v>
      </c>
      <c r="DR629" s="19"/>
      <c r="DS629" s="93"/>
      <c r="DT629" s="93"/>
      <c r="DU629" s="93"/>
      <c r="DV629" s="93"/>
      <c r="DW629" s="93"/>
      <c r="DX629" s="20"/>
      <c r="DY629" s="29"/>
      <c r="DZ629" s="1504">
        <v>53601</v>
      </c>
      <c r="EA629" s="19"/>
      <c r="EB629" s="93"/>
      <c r="EC629" s="20"/>
      <c r="ED629" s="29"/>
      <c r="EE629" s="1504">
        <v>53601</v>
      </c>
      <c r="EF629" s="19"/>
      <c r="EG629" s="93"/>
      <c r="EH629" s="93"/>
      <c r="EI629" s="214"/>
      <c r="EJ629" s="93"/>
      <c r="EK629" s="93"/>
      <c r="EL629" s="93"/>
      <c r="EM629" s="93"/>
      <c r="EN629" s="20"/>
      <c r="EO629" s="29"/>
      <c r="EP629" s="1504">
        <v>53601</v>
      </c>
      <c r="EQ629" s="19"/>
      <c r="ER629" s="93"/>
      <c r="ES629" s="93"/>
      <c r="ET629" s="214"/>
      <c r="EU629" s="93"/>
      <c r="EV629" s="93"/>
      <c r="EW629" s="93"/>
      <c r="EX629" s="93"/>
      <c r="EY629" s="20"/>
      <c r="EZ629" s="29"/>
      <c r="FA629" s="1504">
        <v>53601</v>
      </c>
      <c r="FB629" s="29"/>
      <c r="FC629" s="29"/>
      <c r="FD629" s="29"/>
      <c r="FE629" s="29"/>
      <c r="FF629" s="29"/>
      <c r="FG629" s="29"/>
      <c r="FH629" s="29"/>
      <c r="FI629" s="29"/>
      <c r="FJ629" s="29"/>
      <c r="FK629" s="29"/>
      <c r="FL629" s="1504">
        <v>53601</v>
      </c>
      <c r="FM629" s="19"/>
      <c r="FN629" s="93"/>
      <c r="FO629" s="93"/>
      <c r="FP629" s="93"/>
      <c r="FQ629" s="93"/>
      <c r="FR629" s="93"/>
      <c r="FS629" s="93"/>
      <c r="FT629" s="93"/>
      <c r="FU629" s="93"/>
      <c r="FV629" s="93"/>
      <c r="FW629" s="93"/>
      <c r="FX629" s="93"/>
      <c r="FY629" s="93"/>
      <c r="FZ629" s="29"/>
      <c r="GA629" s="1504">
        <v>53601</v>
      </c>
      <c r="GB629" s="19"/>
      <c r="GC629" s="93"/>
      <c r="GD629" s="93"/>
      <c r="GE629" s="93"/>
      <c r="GF629" s="93"/>
      <c r="GG629" s="93"/>
      <c r="GH629" s="93"/>
      <c r="GI629" s="93"/>
      <c r="GJ629" s="93"/>
      <c r="GK629" s="93"/>
      <c r="GL629" s="93"/>
      <c r="GM629" s="93"/>
      <c r="GN629" s="20"/>
      <c r="GO629" s="29"/>
      <c r="GP629" s="1504">
        <v>53601</v>
      </c>
      <c r="GQ629" s="19"/>
      <c r="GR629" s="93"/>
      <c r="GS629" s="93"/>
      <c r="GT629" s="93"/>
      <c r="GU629" s="93"/>
      <c r="GV629" s="20"/>
      <c r="GW629" s="19"/>
      <c r="GX629" s="93"/>
      <c r="GY629" s="93"/>
      <c r="GZ629" s="93"/>
      <c r="HA629" s="93"/>
      <c r="HB629" s="20"/>
      <c r="HC629" s="19"/>
      <c r="HD629" s="93"/>
      <c r="HE629" s="93"/>
      <c r="HF629" s="93"/>
      <c r="HG629" s="93"/>
      <c r="HH629" s="20"/>
      <c r="HI629" s="19"/>
      <c r="HJ629" s="93"/>
      <c r="HK629" s="93"/>
      <c r="HL629" s="93"/>
      <c r="HM629" s="93"/>
      <c r="HN629" s="20"/>
      <c r="HO629" s="219"/>
      <c r="HP629" s="20"/>
      <c r="HQ629" s="25"/>
      <c r="HR629" s="29"/>
      <c r="HS629" s="1504">
        <v>53601</v>
      </c>
      <c r="HT629" s="19"/>
      <c r="HU629" s="93"/>
      <c r="HV629" s="93"/>
      <c r="HW629" s="93"/>
      <c r="HX629" s="93"/>
      <c r="HY629" s="93"/>
      <c r="HZ629" s="93"/>
      <c r="IA629" s="20"/>
      <c r="IB629" s="19"/>
      <c r="IC629" s="93"/>
      <c r="ID629" s="93"/>
      <c r="IE629" s="93"/>
      <c r="IF629" s="93"/>
      <c r="IG629" s="20"/>
      <c r="IH629" s="19"/>
      <c r="II629" s="93"/>
      <c r="IJ629" s="93"/>
      <c r="IK629" s="93"/>
      <c r="IL629" s="93"/>
      <c r="IM629" s="93"/>
      <c r="IN629" s="93"/>
      <c r="IO629" s="20"/>
      <c r="IP629" s="29"/>
      <c r="IQ629" s="19"/>
      <c r="IR629" s="93"/>
      <c r="IS629" s="93"/>
      <c r="IT629" s="93"/>
      <c r="IU629" s="93"/>
      <c r="IV629" s="20"/>
      <c r="IW629" s="29"/>
      <c r="IX629" s="19"/>
      <c r="IY629" s="93"/>
      <c r="IZ629" s="93"/>
      <c r="JA629" s="93"/>
      <c r="JB629" s="93"/>
      <c r="JC629" s="93"/>
      <c r="JD629" s="93"/>
      <c r="JE629" s="20"/>
      <c r="JF629" s="29"/>
      <c r="JG629" s="19"/>
      <c r="JH629" s="93"/>
      <c r="JI629" s="93"/>
      <c r="JJ629" s="93"/>
      <c r="JK629" s="93"/>
      <c r="JL629" s="93"/>
      <c r="JM629" s="93"/>
      <c r="JN629" s="20"/>
      <c r="JO629" s="29"/>
      <c r="JP629" s="19"/>
      <c r="JQ629" s="93"/>
      <c r="JR629" s="93"/>
      <c r="JS629" s="93"/>
      <c r="JT629" s="93"/>
      <c r="JU629" s="20"/>
      <c r="JV629" s="29"/>
      <c r="JW629" s="1504">
        <v>53601</v>
      </c>
      <c r="JX629" s="19"/>
      <c r="JY629" s="93"/>
      <c r="JZ629" s="93"/>
      <c r="KA629" s="93"/>
      <c r="KB629" s="93"/>
      <c r="KC629" s="93"/>
      <c r="KD629" s="20"/>
      <c r="KE629" s="29"/>
      <c r="KF629" s="19"/>
      <c r="KG629" s="93"/>
      <c r="KH629" s="93"/>
      <c r="KI629" s="93"/>
      <c r="KJ629" s="93"/>
      <c r="KK629" s="20"/>
      <c r="KL629" s="29"/>
      <c r="KM629" s="19"/>
      <c r="KN629" s="93"/>
      <c r="KO629" s="93"/>
      <c r="KP629" s="93"/>
      <c r="KQ629" s="93"/>
      <c r="KR629" s="20"/>
      <c r="KS629" s="29"/>
      <c r="KT629" s="19"/>
      <c r="KU629" s="93"/>
      <c r="KV629" s="93"/>
      <c r="KW629" s="93"/>
      <c r="KX629" s="93"/>
      <c r="KY629" s="20"/>
      <c r="KZ629" s="29"/>
      <c r="LA629" s="1504">
        <v>53601</v>
      </c>
      <c r="LB629" s="19"/>
      <c r="LC629" s="93"/>
      <c r="LD629" s="93"/>
      <c r="LE629" s="93"/>
      <c r="LF629" s="93"/>
      <c r="LG629" s="93"/>
      <c r="LH629" s="20"/>
      <c r="LI629" s="29"/>
      <c r="LJ629" s="19"/>
      <c r="LK629" s="93"/>
      <c r="LL629" s="93"/>
      <c r="LM629" s="93"/>
      <c r="LN629" s="93"/>
      <c r="LO629" s="20"/>
      <c r="LP629" s="29"/>
      <c r="LQ629" s="19"/>
      <c r="LR629" s="93"/>
      <c r="LS629" s="93"/>
      <c r="LT629" s="93"/>
      <c r="LU629" s="93"/>
      <c r="LV629" s="93"/>
      <c r="LW629" s="93"/>
      <c r="LX629" s="93"/>
      <c r="LY629" s="93"/>
      <c r="LZ629" s="93"/>
      <c r="MA629" s="20"/>
      <c r="MB629" s="29"/>
      <c r="MC629" s="1504">
        <v>53601</v>
      </c>
      <c r="MD629" s="19"/>
      <c r="ME629" s="93"/>
      <c r="MF629" s="93"/>
      <c r="MG629" s="93"/>
      <c r="MH629" s="93"/>
      <c r="MI629" s="93"/>
      <c r="MJ629" s="93"/>
      <c r="MK629" s="93"/>
      <c r="ML629" s="93"/>
      <c r="MM629" s="93"/>
      <c r="MN629" s="93"/>
      <c r="MO629" s="93"/>
      <c r="MP629" s="93"/>
      <c r="MQ629" s="93"/>
      <c r="MR629" s="93"/>
      <c r="MS629" s="93"/>
      <c r="MT629" s="93"/>
      <c r="MU629" s="93"/>
      <c r="MV629" s="93"/>
      <c r="MW629" s="93"/>
      <c r="MX629" s="93"/>
      <c r="MY629" s="93"/>
      <c r="MZ629" s="93"/>
      <c r="NA629" s="93"/>
      <c r="NB629" s="93"/>
      <c r="NC629" s="93"/>
      <c r="ND629" s="93"/>
      <c r="NE629" s="93"/>
      <c r="NF629" s="93"/>
      <c r="NG629" s="93"/>
      <c r="NH629" s="93"/>
      <c r="NI629" s="93"/>
      <c r="NJ629" s="93"/>
      <c r="NK629" s="93"/>
      <c r="NL629" s="93"/>
      <c r="NM629" s="93"/>
      <c r="NN629" s="93"/>
      <c r="NO629" s="93"/>
      <c r="NP629" s="93"/>
      <c r="NQ629" s="93"/>
      <c r="NR629" s="93"/>
      <c r="NS629" s="93"/>
      <c r="NT629" s="93"/>
      <c r="NU629" s="93"/>
      <c r="NV629" s="93"/>
      <c r="NW629" s="93"/>
      <c r="NX629" s="93"/>
      <c r="NY629" s="93"/>
      <c r="NZ629" s="93"/>
      <c r="OA629" s="93"/>
      <c r="OB629" s="93"/>
      <c r="OC629" s="93"/>
      <c r="OD629" s="20"/>
      <c r="OE629" s="29"/>
      <c r="OF629" s="1504">
        <v>53601</v>
      </c>
      <c r="OG629" s="19"/>
      <c r="OH629" s="93"/>
      <c r="OI629" s="93"/>
      <c r="OJ629" s="93"/>
      <c r="OK629" s="93"/>
      <c r="OL629" s="93"/>
      <c r="OM629" s="93"/>
      <c r="ON629" s="93"/>
      <c r="OO629" s="93"/>
      <c r="OP629" s="93"/>
      <c r="OQ629" s="93"/>
      <c r="OR629" s="93"/>
      <c r="OS629" s="93"/>
      <c r="OT629" s="93"/>
      <c r="OU629" s="93"/>
      <c r="OV629" s="93"/>
      <c r="OW629" s="93"/>
      <c r="OX629" s="93"/>
      <c r="OY629" s="93"/>
      <c r="OZ629" s="93"/>
      <c r="PA629" s="93"/>
      <c r="PB629" s="93"/>
      <c r="PC629" s="20"/>
      <c r="PD629" s="29"/>
      <c r="PE629" s="19"/>
      <c r="PF629" s="93"/>
      <c r="PG629" s="93"/>
      <c r="PH629" s="93"/>
      <c r="PI629" s="93"/>
      <c r="PJ629" s="93"/>
      <c r="PK629" s="93"/>
      <c r="PL629" s="93"/>
      <c r="PM629" s="93"/>
      <c r="PN629" s="93"/>
      <c r="PO629" s="93"/>
      <c r="PP629" s="93"/>
      <c r="PQ629" s="93"/>
      <c r="PR629" s="93"/>
      <c r="PS629" s="93"/>
      <c r="PT629" s="93"/>
      <c r="PU629" s="93"/>
      <c r="PV629" s="93"/>
      <c r="PW629" s="93"/>
      <c r="PX629" s="93"/>
      <c r="PY629" s="93"/>
      <c r="PZ629" s="93"/>
      <c r="QA629" s="93"/>
      <c r="QB629" s="93"/>
      <c r="QC629" s="93"/>
      <c r="QD629" s="93"/>
      <c r="QE629" s="20"/>
      <c r="QF629" s="1739"/>
      <c r="QG629" s="19"/>
      <c r="QH629" s="93"/>
      <c r="QI629" s="93"/>
      <c r="QJ629" s="93"/>
      <c r="QK629" s="93"/>
      <c r="QL629" s="93"/>
      <c r="QM629" s="93"/>
      <c r="QN629" s="93"/>
      <c r="QO629" s="93"/>
      <c r="QP629" s="93"/>
      <c r="QQ629" s="93"/>
      <c r="QR629" s="93"/>
      <c r="QS629" s="93"/>
      <c r="QT629" s="93"/>
      <c r="QU629" s="93"/>
      <c r="QV629" s="93"/>
      <c r="QW629" s="93"/>
      <c r="QX629" s="93"/>
      <c r="QY629" s="93"/>
      <c r="QZ629" s="93"/>
      <c r="RA629" s="93"/>
      <c r="RB629" s="93"/>
      <c r="RC629" s="93"/>
      <c r="RD629" s="93"/>
      <c r="RE629" s="93"/>
      <c r="RF629" s="93"/>
      <c r="RG629" s="93"/>
      <c r="RH629" s="93"/>
      <c r="RI629" s="93"/>
      <c r="RJ629" s="93"/>
      <c r="RK629" s="93"/>
      <c r="RL629" s="93"/>
      <c r="RM629" s="20"/>
      <c r="RN629" s="29"/>
      <c r="RO629" s="19"/>
      <c r="RP629" s="20"/>
      <c r="RQ629" s="29"/>
      <c r="RR629" s="20"/>
      <c r="RS629" s="29"/>
      <c r="RT629" s="1504">
        <v>53601</v>
      </c>
      <c r="RU629" s="19"/>
      <c r="RV629" s="20"/>
      <c r="RW629" s="29"/>
      <c r="RX629" s="1504">
        <v>53601</v>
      </c>
      <c r="RY629" s="29"/>
      <c r="RZ629" s="20"/>
      <c r="SA629" s="29"/>
      <c r="SB629" s="29"/>
    </row>
    <row r="630" spans="1:496">
      <c r="A630" s="41">
        <f t="shared" si="364"/>
        <v>2046</v>
      </c>
      <c r="B630" s="1504">
        <v>53632</v>
      </c>
      <c r="C630" s="1813"/>
      <c r="D630" s="1814"/>
      <c r="E630" s="1814"/>
      <c r="F630" s="1815"/>
      <c r="G630" s="1814"/>
      <c r="H630" s="1814"/>
      <c r="I630" s="1814"/>
      <c r="J630" s="1816"/>
      <c r="K630" s="1807"/>
      <c r="L630" s="25"/>
      <c r="M630" s="97"/>
      <c r="N630" s="1504">
        <v>53632</v>
      </c>
      <c r="O630" s="19"/>
      <c r="P630" s="93"/>
      <c r="Q630" s="93"/>
      <c r="R630" s="93"/>
      <c r="S630" s="93"/>
      <c r="T630" s="93"/>
      <c r="U630" s="93"/>
      <c r="V630" s="93"/>
      <c r="W630" s="93"/>
      <c r="X630" s="93"/>
      <c r="Y630" s="93"/>
      <c r="Z630" s="93"/>
      <c r="AA630" s="93"/>
      <c r="AB630" s="20"/>
      <c r="AC630" s="25"/>
      <c r="AD630" s="97"/>
      <c r="AE630" s="1504">
        <v>53632</v>
      </c>
      <c r="AF630" s="19"/>
      <c r="AG630" s="93"/>
      <c r="AH630" s="93"/>
      <c r="AI630" s="93"/>
      <c r="AJ630" s="93"/>
      <c r="AK630" s="93"/>
      <c r="AL630" s="93"/>
      <c r="AM630" s="93"/>
      <c r="AN630" s="93"/>
      <c r="AO630" s="93"/>
      <c r="AP630" s="93"/>
      <c r="AQ630" s="93"/>
      <c r="AR630" s="93"/>
      <c r="AS630" s="20"/>
      <c r="AT630" s="25"/>
      <c r="AU630" s="97"/>
      <c r="AV630" s="1504">
        <v>53632</v>
      </c>
      <c r="AW630" s="19"/>
      <c r="AX630" s="93"/>
      <c r="AY630" s="93"/>
      <c r="AZ630" s="93"/>
      <c r="BA630" s="93"/>
      <c r="BB630" s="93"/>
      <c r="BC630" s="93"/>
      <c r="BD630" s="93"/>
      <c r="BE630" s="93"/>
      <c r="BF630" s="93"/>
      <c r="BG630" s="93"/>
      <c r="BH630" s="93"/>
      <c r="BI630" s="93"/>
      <c r="BJ630" s="20"/>
      <c r="BK630" s="25"/>
      <c r="BL630" s="97"/>
      <c r="BM630" s="1504">
        <v>53632</v>
      </c>
      <c r="BN630" s="19"/>
      <c r="BO630" s="93"/>
      <c r="BP630" s="93"/>
      <c r="BQ630" s="93"/>
      <c r="BR630" s="93"/>
      <c r="BS630" s="93"/>
      <c r="BT630" s="93"/>
      <c r="BU630" s="20"/>
      <c r="BV630" s="25"/>
      <c r="BW630" s="97"/>
      <c r="BX630" s="1504">
        <v>53632</v>
      </c>
      <c r="BY630" s="19"/>
      <c r="BZ630" s="93"/>
      <c r="CA630" s="93"/>
      <c r="CB630" s="93"/>
      <c r="CC630" s="93"/>
      <c r="CD630" s="25"/>
      <c r="CE630" s="97"/>
      <c r="CF630" s="1504">
        <v>53632</v>
      </c>
      <c r="CG630" s="19"/>
      <c r="CH630" s="93"/>
      <c r="CI630" s="219"/>
      <c r="CJ630" s="20"/>
      <c r="CK630" s="19"/>
      <c r="CL630" s="93"/>
      <c r="CM630" s="93"/>
      <c r="CN630" s="93"/>
      <c r="CO630" s="93"/>
      <c r="CP630" s="20"/>
      <c r="CQ630" s="219"/>
      <c r="CR630" s="93"/>
      <c r="CS630" s="93"/>
      <c r="CT630" s="93"/>
      <c r="CU630" s="93"/>
      <c r="CV630" s="214"/>
      <c r="CW630" s="29"/>
      <c r="CX630" s="41">
        <f t="shared" si="363"/>
        <v>2046</v>
      </c>
      <c r="CY630" s="1504">
        <v>53632</v>
      </c>
      <c r="CZ630" s="19"/>
      <c r="DA630" s="93"/>
      <c r="DB630" s="93"/>
      <c r="DC630" s="93"/>
      <c r="DD630" s="93"/>
      <c r="DE630" s="20"/>
      <c r="DF630" s="29"/>
      <c r="DG630" s="1504">
        <v>53632</v>
      </c>
      <c r="DH630" s="19"/>
      <c r="DI630" s="93"/>
      <c r="DJ630" s="93"/>
      <c r="DK630" s="93"/>
      <c r="DL630" s="93"/>
      <c r="DM630" s="93"/>
      <c r="DN630" s="20"/>
      <c r="DO630" s="295"/>
      <c r="DP630" s="29"/>
      <c r="DQ630" s="1504">
        <v>53632</v>
      </c>
      <c r="DR630" s="19"/>
      <c r="DS630" s="93"/>
      <c r="DT630" s="93"/>
      <c r="DU630" s="93"/>
      <c r="DV630" s="93"/>
      <c r="DW630" s="93"/>
      <c r="DX630" s="20"/>
      <c r="DY630" s="29"/>
      <c r="DZ630" s="1504">
        <v>53632</v>
      </c>
      <c r="EA630" s="19"/>
      <c r="EB630" s="93"/>
      <c r="EC630" s="20"/>
      <c r="ED630" s="29"/>
      <c r="EE630" s="1504">
        <v>53632</v>
      </c>
      <c r="EF630" s="19"/>
      <c r="EG630" s="93"/>
      <c r="EH630" s="93"/>
      <c r="EI630" s="214"/>
      <c r="EJ630" s="93"/>
      <c r="EK630" s="93"/>
      <c r="EL630" s="93"/>
      <c r="EM630" s="93"/>
      <c r="EN630" s="20"/>
      <c r="EO630" s="29"/>
      <c r="EP630" s="1504">
        <v>53632</v>
      </c>
      <c r="EQ630" s="19"/>
      <c r="ER630" s="93"/>
      <c r="ES630" s="93"/>
      <c r="ET630" s="214"/>
      <c r="EU630" s="93"/>
      <c r="EV630" s="93"/>
      <c r="EW630" s="93"/>
      <c r="EX630" s="93"/>
      <c r="EY630" s="20"/>
      <c r="EZ630" s="29"/>
      <c r="FA630" s="1504">
        <v>53632</v>
      </c>
      <c r="FB630" s="29"/>
      <c r="FC630" s="29"/>
      <c r="FD630" s="29"/>
      <c r="FE630" s="29"/>
      <c r="FF630" s="29"/>
      <c r="FG630" s="29"/>
      <c r="FH630" s="29"/>
      <c r="FI630" s="29"/>
      <c r="FJ630" s="29"/>
      <c r="FK630" s="29"/>
      <c r="FL630" s="1504">
        <v>53632</v>
      </c>
      <c r="FM630" s="19"/>
      <c r="FN630" s="93"/>
      <c r="FO630" s="93"/>
      <c r="FP630" s="93"/>
      <c r="FQ630" s="93"/>
      <c r="FR630" s="93"/>
      <c r="FS630" s="93"/>
      <c r="FT630" s="93"/>
      <c r="FU630" s="93"/>
      <c r="FV630" s="93"/>
      <c r="FW630" s="93"/>
      <c r="FX630" s="93"/>
      <c r="FY630" s="93"/>
      <c r="FZ630" s="29"/>
      <c r="GA630" s="1504">
        <v>53632</v>
      </c>
      <c r="GB630" s="19"/>
      <c r="GC630" s="93"/>
      <c r="GD630" s="93"/>
      <c r="GE630" s="93"/>
      <c r="GF630" s="93"/>
      <c r="GG630" s="93"/>
      <c r="GH630" s="93"/>
      <c r="GI630" s="93"/>
      <c r="GJ630" s="93"/>
      <c r="GK630" s="93"/>
      <c r="GL630" s="93"/>
      <c r="GM630" s="93"/>
      <c r="GN630" s="20"/>
      <c r="GO630" s="29"/>
      <c r="GP630" s="1504">
        <v>53632</v>
      </c>
      <c r="GQ630" s="19"/>
      <c r="GR630" s="93"/>
      <c r="GS630" s="93"/>
      <c r="GT630" s="93"/>
      <c r="GU630" s="93"/>
      <c r="GV630" s="20"/>
      <c r="GW630" s="19"/>
      <c r="GX630" s="93"/>
      <c r="GY630" s="93"/>
      <c r="GZ630" s="93"/>
      <c r="HA630" s="93"/>
      <c r="HB630" s="20"/>
      <c r="HC630" s="19"/>
      <c r="HD630" s="93"/>
      <c r="HE630" s="93"/>
      <c r="HF630" s="93"/>
      <c r="HG630" s="93"/>
      <c r="HH630" s="20"/>
      <c r="HI630" s="19"/>
      <c r="HJ630" s="93"/>
      <c r="HK630" s="93"/>
      <c r="HL630" s="93"/>
      <c r="HM630" s="93"/>
      <c r="HN630" s="20"/>
      <c r="HO630" s="219"/>
      <c r="HP630" s="20"/>
      <c r="HQ630" s="25"/>
      <c r="HR630" s="29"/>
      <c r="HS630" s="1504">
        <v>53632</v>
      </c>
      <c r="HT630" s="19"/>
      <c r="HU630" s="93"/>
      <c r="HV630" s="93"/>
      <c r="HW630" s="93"/>
      <c r="HX630" s="93"/>
      <c r="HY630" s="93"/>
      <c r="HZ630" s="93"/>
      <c r="IA630" s="20"/>
      <c r="IB630" s="19"/>
      <c r="IC630" s="93"/>
      <c r="ID630" s="93"/>
      <c r="IE630" s="93"/>
      <c r="IF630" s="93"/>
      <c r="IG630" s="20"/>
      <c r="IH630" s="19"/>
      <c r="II630" s="93"/>
      <c r="IJ630" s="93"/>
      <c r="IK630" s="93"/>
      <c r="IL630" s="93"/>
      <c r="IM630" s="93"/>
      <c r="IN630" s="93"/>
      <c r="IO630" s="20"/>
      <c r="IP630" s="29"/>
      <c r="IQ630" s="19"/>
      <c r="IR630" s="93"/>
      <c r="IS630" s="93"/>
      <c r="IT630" s="93"/>
      <c r="IU630" s="93"/>
      <c r="IV630" s="20"/>
      <c r="IW630" s="29"/>
      <c r="IX630" s="19"/>
      <c r="IY630" s="93"/>
      <c r="IZ630" s="93"/>
      <c r="JA630" s="93"/>
      <c r="JB630" s="93"/>
      <c r="JC630" s="93"/>
      <c r="JD630" s="93"/>
      <c r="JE630" s="20"/>
      <c r="JF630" s="29"/>
      <c r="JG630" s="19"/>
      <c r="JH630" s="93"/>
      <c r="JI630" s="93"/>
      <c r="JJ630" s="93"/>
      <c r="JK630" s="93"/>
      <c r="JL630" s="93"/>
      <c r="JM630" s="93"/>
      <c r="JN630" s="20"/>
      <c r="JO630" s="29"/>
      <c r="JP630" s="19"/>
      <c r="JQ630" s="93"/>
      <c r="JR630" s="93"/>
      <c r="JS630" s="93"/>
      <c r="JT630" s="93"/>
      <c r="JU630" s="20"/>
      <c r="JV630" s="29"/>
      <c r="JW630" s="1504">
        <v>53632</v>
      </c>
      <c r="JX630" s="19"/>
      <c r="JY630" s="93"/>
      <c r="JZ630" s="93"/>
      <c r="KA630" s="93"/>
      <c r="KB630" s="93"/>
      <c r="KC630" s="93"/>
      <c r="KD630" s="20"/>
      <c r="KE630" s="29"/>
      <c r="KF630" s="19"/>
      <c r="KG630" s="93"/>
      <c r="KH630" s="93"/>
      <c r="KI630" s="93"/>
      <c r="KJ630" s="93"/>
      <c r="KK630" s="20"/>
      <c r="KL630" s="29"/>
      <c r="KM630" s="19"/>
      <c r="KN630" s="93"/>
      <c r="KO630" s="93"/>
      <c r="KP630" s="93"/>
      <c r="KQ630" s="93"/>
      <c r="KR630" s="20"/>
      <c r="KS630" s="29"/>
      <c r="KT630" s="19"/>
      <c r="KU630" s="93"/>
      <c r="KV630" s="93"/>
      <c r="KW630" s="93"/>
      <c r="KX630" s="93"/>
      <c r="KY630" s="20"/>
      <c r="KZ630" s="29"/>
      <c r="LA630" s="1504">
        <v>53632</v>
      </c>
      <c r="LB630" s="19"/>
      <c r="LC630" s="93"/>
      <c r="LD630" s="93"/>
      <c r="LE630" s="93"/>
      <c r="LF630" s="93"/>
      <c r="LG630" s="93"/>
      <c r="LH630" s="20"/>
      <c r="LI630" s="29"/>
      <c r="LJ630" s="19"/>
      <c r="LK630" s="93"/>
      <c r="LL630" s="93"/>
      <c r="LM630" s="93"/>
      <c r="LN630" s="93"/>
      <c r="LO630" s="20"/>
      <c r="LP630" s="29"/>
      <c r="LQ630" s="19"/>
      <c r="LR630" s="93"/>
      <c r="LS630" s="93"/>
      <c r="LT630" s="93"/>
      <c r="LU630" s="93"/>
      <c r="LV630" s="93"/>
      <c r="LW630" s="93"/>
      <c r="LX630" s="93"/>
      <c r="LY630" s="93"/>
      <c r="LZ630" s="93"/>
      <c r="MA630" s="20"/>
      <c r="MB630" s="29"/>
      <c r="MC630" s="1504">
        <v>53632</v>
      </c>
      <c r="MD630" s="19"/>
      <c r="ME630" s="93"/>
      <c r="MF630" s="93"/>
      <c r="MG630" s="93"/>
      <c r="MH630" s="93"/>
      <c r="MI630" s="93"/>
      <c r="MJ630" s="93"/>
      <c r="MK630" s="93"/>
      <c r="ML630" s="93"/>
      <c r="MM630" s="93"/>
      <c r="MN630" s="93"/>
      <c r="MO630" s="93"/>
      <c r="MP630" s="93"/>
      <c r="MQ630" s="93"/>
      <c r="MR630" s="93"/>
      <c r="MS630" s="93"/>
      <c r="MT630" s="93"/>
      <c r="MU630" s="93"/>
      <c r="MV630" s="93"/>
      <c r="MW630" s="93"/>
      <c r="MX630" s="93"/>
      <c r="MY630" s="93"/>
      <c r="MZ630" s="93"/>
      <c r="NA630" s="93"/>
      <c r="NB630" s="93"/>
      <c r="NC630" s="93"/>
      <c r="ND630" s="93"/>
      <c r="NE630" s="93"/>
      <c r="NF630" s="93"/>
      <c r="NG630" s="93"/>
      <c r="NH630" s="93"/>
      <c r="NI630" s="93"/>
      <c r="NJ630" s="93"/>
      <c r="NK630" s="93"/>
      <c r="NL630" s="93"/>
      <c r="NM630" s="93"/>
      <c r="NN630" s="93"/>
      <c r="NO630" s="93"/>
      <c r="NP630" s="93"/>
      <c r="NQ630" s="93"/>
      <c r="NR630" s="93"/>
      <c r="NS630" s="93"/>
      <c r="NT630" s="93"/>
      <c r="NU630" s="93"/>
      <c r="NV630" s="93"/>
      <c r="NW630" s="93"/>
      <c r="NX630" s="93"/>
      <c r="NY630" s="93"/>
      <c r="NZ630" s="93"/>
      <c r="OA630" s="93"/>
      <c r="OB630" s="93"/>
      <c r="OC630" s="93"/>
      <c r="OD630" s="20"/>
      <c r="OE630" s="29"/>
      <c r="OF630" s="1504">
        <v>53632</v>
      </c>
      <c r="OG630" s="19"/>
      <c r="OH630" s="93"/>
      <c r="OI630" s="93"/>
      <c r="OJ630" s="93"/>
      <c r="OK630" s="93"/>
      <c r="OL630" s="93"/>
      <c r="OM630" s="93"/>
      <c r="ON630" s="93"/>
      <c r="OO630" s="93"/>
      <c r="OP630" s="93"/>
      <c r="OQ630" s="93"/>
      <c r="OR630" s="93"/>
      <c r="OS630" s="93"/>
      <c r="OT630" s="93"/>
      <c r="OU630" s="93"/>
      <c r="OV630" s="93"/>
      <c r="OW630" s="93"/>
      <c r="OX630" s="93"/>
      <c r="OY630" s="93"/>
      <c r="OZ630" s="93"/>
      <c r="PA630" s="93"/>
      <c r="PB630" s="93"/>
      <c r="PC630" s="20"/>
      <c r="PD630" s="29"/>
      <c r="PE630" s="19"/>
      <c r="PF630" s="93"/>
      <c r="PG630" s="93"/>
      <c r="PH630" s="93"/>
      <c r="PI630" s="93"/>
      <c r="PJ630" s="93"/>
      <c r="PK630" s="93"/>
      <c r="PL630" s="93"/>
      <c r="PM630" s="93"/>
      <c r="PN630" s="93"/>
      <c r="PO630" s="93"/>
      <c r="PP630" s="93"/>
      <c r="PQ630" s="93"/>
      <c r="PR630" s="93"/>
      <c r="PS630" s="93"/>
      <c r="PT630" s="93"/>
      <c r="PU630" s="93"/>
      <c r="PV630" s="93"/>
      <c r="PW630" s="93"/>
      <c r="PX630" s="93"/>
      <c r="PY630" s="93"/>
      <c r="PZ630" s="93"/>
      <c r="QA630" s="93"/>
      <c r="QB630" s="93"/>
      <c r="QC630" s="93"/>
      <c r="QD630" s="93"/>
      <c r="QE630" s="20"/>
      <c r="QF630" s="1739"/>
      <c r="QG630" s="19"/>
      <c r="QH630" s="93"/>
      <c r="QI630" s="93"/>
      <c r="QJ630" s="93"/>
      <c r="QK630" s="93"/>
      <c r="QL630" s="93"/>
      <c r="QM630" s="93"/>
      <c r="QN630" s="93"/>
      <c r="QO630" s="93"/>
      <c r="QP630" s="93"/>
      <c r="QQ630" s="93"/>
      <c r="QR630" s="93"/>
      <c r="QS630" s="93"/>
      <c r="QT630" s="93"/>
      <c r="QU630" s="93"/>
      <c r="QV630" s="93"/>
      <c r="QW630" s="93"/>
      <c r="QX630" s="93"/>
      <c r="QY630" s="93"/>
      <c r="QZ630" s="93"/>
      <c r="RA630" s="93"/>
      <c r="RB630" s="93"/>
      <c r="RC630" s="93"/>
      <c r="RD630" s="93"/>
      <c r="RE630" s="93"/>
      <c r="RF630" s="93"/>
      <c r="RG630" s="93"/>
      <c r="RH630" s="93"/>
      <c r="RI630" s="93"/>
      <c r="RJ630" s="93"/>
      <c r="RK630" s="93"/>
      <c r="RL630" s="93"/>
      <c r="RM630" s="20"/>
      <c r="RN630" s="29"/>
      <c r="RO630" s="19"/>
      <c r="RP630" s="20"/>
      <c r="RQ630" s="29"/>
      <c r="RR630" s="20"/>
      <c r="RS630" s="29"/>
      <c r="RT630" s="1504">
        <v>53632</v>
      </c>
      <c r="RU630" s="19"/>
      <c r="RV630" s="20"/>
      <c r="RW630" s="29"/>
      <c r="RX630" s="1504">
        <v>53632</v>
      </c>
      <c r="RY630" s="29"/>
      <c r="RZ630" s="20"/>
      <c r="SA630" s="29"/>
      <c r="SB630" s="29"/>
    </row>
    <row r="631" spans="1:496">
      <c r="A631" s="41">
        <f t="shared" si="364"/>
        <v>2046</v>
      </c>
      <c r="B631" s="1504">
        <v>53662</v>
      </c>
      <c r="C631" s="1813"/>
      <c r="D631" s="1814"/>
      <c r="E631" s="1814"/>
      <c r="F631" s="1815"/>
      <c r="G631" s="1814"/>
      <c r="H631" s="1814"/>
      <c r="I631" s="1814"/>
      <c r="J631" s="1816"/>
      <c r="K631" s="1807"/>
      <c r="L631" s="25"/>
      <c r="M631" s="97"/>
      <c r="N631" s="1504">
        <v>53662</v>
      </c>
      <c r="O631" s="19"/>
      <c r="P631" s="93"/>
      <c r="Q631" s="93"/>
      <c r="R631" s="93"/>
      <c r="S631" s="93"/>
      <c r="T631" s="93"/>
      <c r="U631" s="93"/>
      <c r="V631" s="93"/>
      <c r="W631" s="93"/>
      <c r="X631" s="93"/>
      <c r="Y631" s="93"/>
      <c r="Z631" s="93"/>
      <c r="AA631" s="93"/>
      <c r="AB631" s="20"/>
      <c r="AC631" s="25"/>
      <c r="AD631" s="97"/>
      <c r="AE631" s="1504">
        <v>53662</v>
      </c>
      <c r="AF631" s="19"/>
      <c r="AG631" s="93"/>
      <c r="AH631" s="93"/>
      <c r="AI631" s="93"/>
      <c r="AJ631" s="93"/>
      <c r="AK631" s="93"/>
      <c r="AL631" s="93"/>
      <c r="AM631" s="93"/>
      <c r="AN631" s="93"/>
      <c r="AO631" s="93"/>
      <c r="AP631" s="93"/>
      <c r="AQ631" s="93"/>
      <c r="AR631" s="93"/>
      <c r="AS631" s="20"/>
      <c r="AT631" s="25"/>
      <c r="AU631" s="97"/>
      <c r="AV631" s="1504">
        <v>53662</v>
      </c>
      <c r="AW631" s="19"/>
      <c r="AX631" s="93"/>
      <c r="AY631" s="93"/>
      <c r="AZ631" s="93"/>
      <c r="BA631" s="93"/>
      <c r="BB631" s="93"/>
      <c r="BC631" s="93"/>
      <c r="BD631" s="93"/>
      <c r="BE631" s="93"/>
      <c r="BF631" s="93"/>
      <c r="BG631" s="93"/>
      <c r="BH631" s="93"/>
      <c r="BI631" s="93"/>
      <c r="BJ631" s="20"/>
      <c r="BK631" s="25"/>
      <c r="BL631" s="97"/>
      <c r="BM631" s="1504">
        <v>53662</v>
      </c>
      <c r="BN631" s="19"/>
      <c r="BO631" s="93"/>
      <c r="BP631" s="93"/>
      <c r="BQ631" s="93"/>
      <c r="BR631" s="93"/>
      <c r="BS631" s="93"/>
      <c r="BT631" s="93"/>
      <c r="BU631" s="20"/>
      <c r="BV631" s="25"/>
      <c r="BW631" s="97"/>
      <c r="BX631" s="1504">
        <v>53662</v>
      </c>
      <c r="BY631" s="19"/>
      <c r="BZ631" s="93"/>
      <c r="CA631" s="93"/>
      <c r="CB631" s="93"/>
      <c r="CC631" s="93"/>
      <c r="CD631" s="25"/>
      <c r="CE631" s="97"/>
      <c r="CF631" s="1504">
        <v>53662</v>
      </c>
      <c r="CG631" s="19"/>
      <c r="CH631" s="93"/>
      <c r="CI631" s="219"/>
      <c r="CJ631" s="20"/>
      <c r="CK631" s="19"/>
      <c r="CL631" s="93"/>
      <c r="CM631" s="93"/>
      <c r="CN631" s="93"/>
      <c r="CO631" s="93"/>
      <c r="CP631" s="20"/>
      <c r="CQ631" s="219"/>
      <c r="CR631" s="93"/>
      <c r="CS631" s="93"/>
      <c r="CT631" s="93"/>
      <c r="CU631" s="93"/>
      <c r="CV631" s="214"/>
      <c r="CW631" s="29"/>
      <c r="CX631" s="41">
        <f t="shared" si="363"/>
        <v>2046</v>
      </c>
      <c r="CY631" s="1504">
        <v>53662</v>
      </c>
      <c r="CZ631" s="19"/>
      <c r="DA631" s="93"/>
      <c r="DB631" s="93"/>
      <c r="DC631" s="93"/>
      <c r="DD631" s="93"/>
      <c r="DE631" s="20"/>
      <c r="DF631" s="29"/>
      <c r="DG631" s="1504">
        <v>53662</v>
      </c>
      <c r="DH631" s="19"/>
      <c r="DI631" s="93"/>
      <c r="DJ631" s="93"/>
      <c r="DK631" s="93"/>
      <c r="DL631" s="93"/>
      <c r="DM631" s="93"/>
      <c r="DN631" s="20"/>
      <c r="DO631" s="295"/>
      <c r="DP631" s="29"/>
      <c r="DQ631" s="1504">
        <v>53662</v>
      </c>
      <c r="DR631" s="19"/>
      <c r="DS631" s="93"/>
      <c r="DT631" s="93"/>
      <c r="DU631" s="93"/>
      <c r="DV631" s="93"/>
      <c r="DW631" s="93"/>
      <c r="DX631" s="20"/>
      <c r="DY631" s="29"/>
      <c r="DZ631" s="1504">
        <v>53662</v>
      </c>
      <c r="EA631" s="19"/>
      <c r="EB631" s="93"/>
      <c r="EC631" s="20"/>
      <c r="ED631" s="29"/>
      <c r="EE631" s="1504">
        <v>53662</v>
      </c>
      <c r="EF631" s="19"/>
      <c r="EG631" s="93"/>
      <c r="EH631" s="93"/>
      <c r="EI631" s="214"/>
      <c r="EJ631" s="93"/>
      <c r="EK631" s="93"/>
      <c r="EL631" s="93"/>
      <c r="EM631" s="93"/>
      <c r="EN631" s="20"/>
      <c r="EO631" s="29"/>
      <c r="EP631" s="1504">
        <v>53662</v>
      </c>
      <c r="EQ631" s="19"/>
      <c r="ER631" s="93"/>
      <c r="ES631" s="93"/>
      <c r="ET631" s="214"/>
      <c r="EU631" s="93"/>
      <c r="EV631" s="93"/>
      <c r="EW631" s="93"/>
      <c r="EX631" s="93"/>
      <c r="EY631" s="20"/>
      <c r="EZ631" s="29"/>
      <c r="FA631" s="1504">
        <v>53662</v>
      </c>
      <c r="FB631" s="29"/>
      <c r="FC631" s="29"/>
      <c r="FD631" s="29"/>
      <c r="FE631" s="29"/>
      <c r="FF631" s="29"/>
      <c r="FG631" s="29"/>
      <c r="FH631" s="29"/>
      <c r="FI631" s="29"/>
      <c r="FJ631" s="29"/>
      <c r="FK631" s="29"/>
      <c r="FL631" s="1504">
        <v>53662</v>
      </c>
      <c r="FM631" s="19"/>
      <c r="FN631" s="93"/>
      <c r="FO631" s="93"/>
      <c r="FP631" s="93"/>
      <c r="FQ631" s="93"/>
      <c r="FR631" s="93"/>
      <c r="FS631" s="93"/>
      <c r="FT631" s="93"/>
      <c r="FU631" s="93"/>
      <c r="FV631" s="93"/>
      <c r="FW631" s="93"/>
      <c r="FX631" s="93"/>
      <c r="FY631" s="93"/>
      <c r="FZ631" s="29"/>
      <c r="GA631" s="1504">
        <v>53662</v>
      </c>
      <c r="GB631" s="19"/>
      <c r="GC631" s="93"/>
      <c r="GD631" s="93"/>
      <c r="GE631" s="93"/>
      <c r="GF631" s="93"/>
      <c r="GG631" s="93"/>
      <c r="GH631" s="93"/>
      <c r="GI631" s="93"/>
      <c r="GJ631" s="93"/>
      <c r="GK631" s="93"/>
      <c r="GL631" s="93"/>
      <c r="GM631" s="93"/>
      <c r="GN631" s="20"/>
      <c r="GO631" s="29"/>
      <c r="GP631" s="1504">
        <v>53662</v>
      </c>
      <c r="GQ631" s="19"/>
      <c r="GR631" s="93"/>
      <c r="GS631" s="93"/>
      <c r="GT631" s="93"/>
      <c r="GU631" s="93"/>
      <c r="GV631" s="20"/>
      <c r="GW631" s="19"/>
      <c r="GX631" s="93"/>
      <c r="GY631" s="93"/>
      <c r="GZ631" s="93"/>
      <c r="HA631" s="93"/>
      <c r="HB631" s="20"/>
      <c r="HC631" s="19"/>
      <c r="HD631" s="93"/>
      <c r="HE631" s="93"/>
      <c r="HF631" s="93"/>
      <c r="HG631" s="93"/>
      <c r="HH631" s="20"/>
      <c r="HI631" s="19"/>
      <c r="HJ631" s="93"/>
      <c r="HK631" s="93"/>
      <c r="HL631" s="93"/>
      <c r="HM631" s="93"/>
      <c r="HN631" s="20"/>
      <c r="HO631" s="219"/>
      <c r="HP631" s="20"/>
      <c r="HQ631" s="25"/>
      <c r="HR631" s="29"/>
      <c r="HS631" s="1504">
        <v>53662</v>
      </c>
      <c r="HT631" s="19"/>
      <c r="HU631" s="93"/>
      <c r="HV631" s="93"/>
      <c r="HW631" s="93"/>
      <c r="HX631" s="93"/>
      <c r="HY631" s="93"/>
      <c r="HZ631" s="93"/>
      <c r="IA631" s="20"/>
      <c r="IB631" s="19"/>
      <c r="IC631" s="93"/>
      <c r="ID631" s="93"/>
      <c r="IE631" s="93"/>
      <c r="IF631" s="93"/>
      <c r="IG631" s="20"/>
      <c r="IH631" s="19"/>
      <c r="II631" s="93"/>
      <c r="IJ631" s="93"/>
      <c r="IK631" s="93"/>
      <c r="IL631" s="93"/>
      <c r="IM631" s="93"/>
      <c r="IN631" s="93"/>
      <c r="IO631" s="20"/>
      <c r="IP631" s="29"/>
      <c r="IQ631" s="19"/>
      <c r="IR631" s="93"/>
      <c r="IS631" s="93"/>
      <c r="IT631" s="93"/>
      <c r="IU631" s="93"/>
      <c r="IV631" s="20"/>
      <c r="IW631" s="29"/>
      <c r="IX631" s="19"/>
      <c r="IY631" s="93"/>
      <c r="IZ631" s="93"/>
      <c r="JA631" s="93"/>
      <c r="JB631" s="93"/>
      <c r="JC631" s="93"/>
      <c r="JD631" s="93"/>
      <c r="JE631" s="20"/>
      <c r="JF631" s="29"/>
      <c r="JG631" s="19"/>
      <c r="JH631" s="93"/>
      <c r="JI631" s="93"/>
      <c r="JJ631" s="93"/>
      <c r="JK631" s="93"/>
      <c r="JL631" s="93"/>
      <c r="JM631" s="93"/>
      <c r="JN631" s="20"/>
      <c r="JO631" s="29"/>
      <c r="JP631" s="19"/>
      <c r="JQ631" s="93"/>
      <c r="JR631" s="93"/>
      <c r="JS631" s="93"/>
      <c r="JT631" s="93"/>
      <c r="JU631" s="20"/>
      <c r="JV631" s="29"/>
      <c r="JW631" s="1504">
        <v>53662</v>
      </c>
      <c r="JX631" s="19"/>
      <c r="JY631" s="93"/>
      <c r="JZ631" s="93"/>
      <c r="KA631" s="93"/>
      <c r="KB631" s="93"/>
      <c r="KC631" s="93"/>
      <c r="KD631" s="20"/>
      <c r="KE631" s="29"/>
      <c r="KF631" s="19"/>
      <c r="KG631" s="93"/>
      <c r="KH631" s="93"/>
      <c r="KI631" s="93"/>
      <c r="KJ631" s="93"/>
      <c r="KK631" s="20"/>
      <c r="KL631" s="29"/>
      <c r="KM631" s="19"/>
      <c r="KN631" s="93"/>
      <c r="KO631" s="93"/>
      <c r="KP631" s="93"/>
      <c r="KQ631" s="93"/>
      <c r="KR631" s="20"/>
      <c r="KS631" s="29"/>
      <c r="KT631" s="19"/>
      <c r="KU631" s="93"/>
      <c r="KV631" s="93"/>
      <c r="KW631" s="93"/>
      <c r="KX631" s="93"/>
      <c r="KY631" s="20"/>
      <c r="KZ631" s="29"/>
      <c r="LA631" s="1504">
        <v>53662</v>
      </c>
      <c r="LB631" s="19"/>
      <c r="LC631" s="93"/>
      <c r="LD631" s="93"/>
      <c r="LE631" s="93"/>
      <c r="LF631" s="93"/>
      <c r="LG631" s="93"/>
      <c r="LH631" s="20"/>
      <c r="LI631" s="29"/>
      <c r="LJ631" s="19"/>
      <c r="LK631" s="93"/>
      <c r="LL631" s="93"/>
      <c r="LM631" s="93"/>
      <c r="LN631" s="93"/>
      <c r="LO631" s="20"/>
      <c r="LP631" s="29"/>
      <c r="LQ631" s="19"/>
      <c r="LR631" s="93"/>
      <c r="LS631" s="93"/>
      <c r="LT631" s="93"/>
      <c r="LU631" s="93"/>
      <c r="LV631" s="93"/>
      <c r="LW631" s="93"/>
      <c r="LX631" s="93"/>
      <c r="LY631" s="93"/>
      <c r="LZ631" s="93"/>
      <c r="MA631" s="20"/>
      <c r="MB631" s="29"/>
      <c r="MC631" s="1504">
        <v>53662</v>
      </c>
      <c r="MD631" s="19"/>
      <c r="ME631" s="93"/>
      <c r="MF631" s="93"/>
      <c r="MG631" s="93"/>
      <c r="MH631" s="93"/>
      <c r="MI631" s="93"/>
      <c r="MJ631" s="93"/>
      <c r="MK631" s="93"/>
      <c r="ML631" s="93"/>
      <c r="MM631" s="93"/>
      <c r="MN631" s="93"/>
      <c r="MO631" s="93"/>
      <c r="MP631" s="93"/>
      <c r="MQ631" s="93"/>
      <c r="MR631" s="93"/>
      <c r="MS631" s="93"/>
      <c r="MT631" s="93"/>
      <c r="MU631" s="93"/>
      <c r="MV631" s="93"/>
      <c r="MW631" s="93"/>
      <c r="MX631" s="93"/>
      <c r="MY631" s="93"/>
      <c r="MZ631" s="93"/>
      <c r="NA631" s="93"/>
      <c r="NB631" s="93"/>
      <c r="NC631" s="93"/>
      <c r="ND631" s="93"/>
      <c r="NE631" s="93"/>
      <c r="NF631" s="93"/>
      <c r="NG631" s="93"/>
      <c r="NH631" s="93"/>
      <c r="NI631" s="93"/>
      <c r="NJ631" s="93"/>
      <c r="NK631" s="93"/>
      <c r="NL631" s="93"/>
      <c r="NM631" s="93"/>
      <c r="NN631" s="93"/>
      <c r="NO631" s="93"/>
      <c r="NP631" s="93"/>
      <c r="NQ631" s="93"/>
      <c r="NR631" s="93"/>
      <c r="NS631" s="93"/>
      <c r="NT631" s="93"/>
      <c r="NU631" s="93"/>
      <c r="NV631" s="93"/>
      <c r="NW631" s="93"/>
      <c r="NX631" s="93"/>
      <c r="NY631" s="93"/>
      <c r="NZ631" s="93"/>
      <c r="OA631" s="93"/>
      <c r="OB631" s="93"/>
      <c r="OC631" s="93"/>
      <c r="OD631" s="20"/>
      <c r="OE631" s="29"/>
      <c r="OF631" s="1504">
        <v>53662</v>
      </c>
      <c r="OG631" s="19"/>
      <c r="OH631" s="93"/>
      <c r="OI631" s="93"/>
      <c r="OJ631" s="93"/>
      <c r="OK631" s="93"/>
      <c r="OL631" s="93"/>
      <c r="OM631" s="93"/>
      <c r="ON631" s="93"/>
      <c r="OO631" s="93"/>
      <c r="OP631" s="93"/>
      <c r="OQ631" s="93"/>
      <c r="OR631" s="93"/>
      <c r="OS631" s="93"/>
      <c r="OT631" s="93"/>
      <c r="OU631" s="93"/>
      <c r="OV631" s="93"/>
      <c r="OW631" s="93"/>
      <c r="OX631" s="93"/>
      <c r="OY631" s="93"/>
      <c r="OZ631" s="93"/>
      <c r="PA631" s="93"/>
      <c r="PB631" s="93"/>
      <c r="PC631" s="20"/>
      <c r="PD631" s="29"/>
      <c r="PE631" s="19"/>
      <c r="PF631" s="93"/>
      <c r="PG631" s="93"/>
      <c r="PH631" s="93"/>
      <c r="PI631" s="93"/>
      <c r="PJ631" s="93"/>
      <c r="PK631" s="93"/>
      <c r="PL631" s="93"/>
      <c r="PM631" s="93"/>
      <c r="PN631" s="93"/>
      <c r="PO631" s="93"/>
      <c r="PP631" s="93"/>
      <c r="PQ631" s="93"/>
      <c r="PR631" s="93"/>
      <c r="PS631" s="93"/>
      <c r="PT631" s="93"/>
      <c r="PU631" s="93"/>
      <c r="PV631" s="93"/>
      <c r="PW631" s="93"/>
      <c r="PX631" s="93"/>
      <c r="PY631" s="93"/>
      <c r="PZ631" s="93"/>
      <c r="QA631" s="93"/>
      <c r="QB631" s="93"/>
      <c r="QC631" s="93"/>
      <c r="QD631" s="93"/>
      <c r="QE631" s="20"/>
      <c r="QF631" s="1739"/>
      <c r="QG631" s="19"/>
      <c r="QH631" s="93"/>
      <c r="QI631" s="93"/>
      <c r="QJ631" s="93"/>
      <c r="QK631" s="93"/>
      <c r="QL631" s="93"/>
      <c r="QM631" s="93"/>
      <c r="QN631" s="93"/>
      <c r="QO631" s="93"/>
      <c r="QP631" s="93"/>
      <c r="QQ631" s="93"/>
      <c r="QR631" s="93"/>
      <c r="QS631" s="93"/>
      <c r="QT631" s="93"/>
      <c r="QU631" s="93"/>
      <c r="QV631" s="93"/>
      <c r="QW631" s="93"/>
      <c r="QX631" s="93"/>
      <c r="QY631" s="93"/>
      <c r="QZ631" s="93"/>
      <c r="RA631" s="93"/>
      <c r="RB631" s="93"/>
      <c r="RC631" s="93"/>
      <c r="RD631" s="93"/>
      <c r="RE631" s="93"/>
      <c r="RF631" s="93"/>
      <c r="RG631" s="93"/>
      <c r="RH631" s="93"/>
      <c r="RI631" s="93"/>
      <c r="RJ631" s="93"/>
      <c r="RK631" s="93"/>
      <c r="RL631" s="93"/>
      <c r="RM631" s="20"/>
      <c r="RN631" s="29"/>
      <c r="RO631" s="19"/>
      <c r="RP631" s="20"/>
      <c r="RQ631" s="29"/>
      <c r="RR631" s="20"/>
      <c r="RS631" s="29"/>
      <c r="RT631" s="1504">
        <v>53662</v>
      </c>
      <c r="RU631" s="19"/>
      <c r="RV631" s="20"/>
      <c r="RW631" s="29"/>
      <c r="RX631" s="1504">
        <v>53662</v>
      </c>
      <c r="RY631" s="29"/>
      <c r="RZ631" s="20"/>
      <c r="SA631" s="29"/>
      <c r="SB631" s="29"/>
    </row>
    <row r="632" spans="1:496">
      <c r="A632" s="41">
        <f t="shared" si="364"/>
        <v>2047</v>
      </c>
      <c r="B632" s="1504">
        <v>53693</v>
      </c>
      <c r="C632" s="1813"/>
      <c r="D632" s="1814"/>
      <c r="E632" s="1814"/>
      <c r="F632" s="1815"/>
      <c r="G632" s="1814"/>
      <c r="H632" s="1814"/>
      <c r="I632" s="1814"/>
      <c r="J632" s="1816"/>
      <c r="K632" s="1807"/>
      <c r="L632" s="25"/>
      <c r="M632" s="97"/>
      <c r="N632" s="1504">
        <v>53693</v>
      </c>
      <c r="O632" s="19"/>
      <c r="P632" s="93"/>
      <c r="Q632" s="93"/>
      <c r="R632" s="93"/>
      <c r="S632" s="93"/>
      <c r="T632" s="93"/>
      <c r="U632" s="93"/>
      <c r="V632" s="93"/>
      <c r="W632" s="93"/>
      <c r="X632" s="93"/>
      <c r="Y632" s="93"/>
      <c r="Z632" s="93"/>
      <c r="AA632" s="93"/>
      <c r="AB632" s="20"/>
      <c r="AC632" s="25"/>
      <c r="AD632" s="97"/>
      <c r="AE632" s="1504">
        <v>53693</v>
      </c>
      <c r="AF632" s="19"/>
      <c r="AG632" s="93"/>
      <c r="AH632" s="93"/>
      <c r="AI632" s="93"/>
      <c r="AJ632" s="93"/>
      <c r="AK632" s="93"/>
      <c r="AL632" s="93"/>
      <c r="AM632" s="93"/>
      <c r="AN632" s="93"/>
      <c r="AO632" s="93"/>
      <c r="AP632" s="93"/>
      <c r="AQ632" s="93"/>
      <c r="AR632" s="93"/>
      <c r="AS632" s="20"/>
      <c r="AT632" s="25"/>
      <c r="AU632" s="97"/>
      <c r="AV632" s="1504">
        <v>53693</v>
      </c>
      <c r="AW632" s="19"/>
      <c r="AX632" s="93"/>
      <c r="AY632" s="93"/>
      <c r="AZ632" s="93"/>
      <c r="BA632" s="93"/>
      <c r="BB632" s="93"/>
      <c r="BC632" s="93"/>
      <c r="BD632" s="93"/>
      <c r="BE632" s="93"/>
      <c r="BF632" s="93"/>
      <c r="BG632" s="93"/>
      <c r="BH632" s="93"/>
      <c r="BI632" s="93"/>
      <c r="BJ632" s="20"/>
      <c r="BK632" s="25"/>
      <c r="BL632" s="97"/>
      <c r="BM632" s="1504">
        <v>53693</v>
      </c>
      <c r="BN632" s="19"/>
      <c r="BO632" s="93"/>
      <c r="BP632" s="93"/>
      <c r="BQ632" s="93"/>
      <c r="BR632" s="93"/>
      <c r="BS632" s="93"/>
      <c r="BT632" s="93"/>
      <c r="BU632" s="20"/>
      <c r="BV632" s="25"/>
      <c r="BW632" s="97"/>
      <c r="BX632" s="1504">
        <v>53693</v>
      </c>
      <c r="BY632" s="19"/>
      <c r="BZ632" s="93"/>
      <c r="CA632" s="93"/>
      <c r="CB632" s="93"/>
      <c r="CC632" s="93"/>
      <c r="CD632" s="25"/>
      <c r="CE632" s="97"/>
      <c r="CF632" s="1504">
        <v>53693</v>
      </c>
      <c r="CG632" s="19"/>
      <c r="CH632" s="93"/>
      <c r="CI632" s="219"/>
      <c r="CJ632" s="20"/>
      <c r="CK632" s="19"/>
      <c r="CL632" s="93"/>
      <c r="CM632" s="93"/>
      <c r="CN632" s="93"/>
      <c r="CO632" s="93"/>
      <c r="CP632" s="20"/>
      <c r="CQ632" s="219"/>
      <c r="CR632" s="93"/>
      <c r="CS632" s="93"/>
      <c r="CT632" s="93"/>
      <c r="CU632" s="93"/>
      <c r="CV632" s="214"/>
      <c r="CW632" s="29"/>
      <c r="CX632" s="41">
        <f t="shared" si="363"/>
        <v>2047</v>
      </c>
      <c r="CY632" s="1504">
        <v>53693</v>
      </c>
      <c r="CZ632" s="19"/>
      <c r="DA632" s="93"/>
      <c r="DB632" s="93"/>
      <c r="DC632" s="93"/>
      <c r="DD632" s="93"/>
      <c r="DE632" s="20"/>
      <c r="DF632" s="29"/>
      <c r="DG632" s="1504">
        <v>53693</v>
      </c>
      <c r="DH632" s="19"/>
      <c r="DI632" s="93"/>
      <c r="DJ632" s="93"/>
      <c r="DK632" s="93"/>
      <c r="DL632" s="93"/>
      <c r="DM632" s="93"/>
      <c r="DN632" s="20"/>
      <c r="DO632" s="295"/>
      <c r="DP632" s="29"/>
      <c r="DQ632" s="1504">
        <v>53693</v>
      </c>
      <c r="DR632" s="19"/>
      <c r="DS632" s="93"/>
      <c r="DT632" s="93"/>
      <c r="DU632" s="93"/>
      <c r="DV632" s="93"/>
      <c r="DW632" s="93"/>
      <c r="DX632" s="20"/>
      <c r="DY632" s="29"/>
      <c r="DZ632" s="1504">
        <v>53693</v>
      </c>
      <c r="EA632" s="19"/>
      <c r="EB632" s="93"/>
      <c r="EC632" s="20"/>
      <c r="ED632" s="29"/>
      <c r="EE632" s="1504">
        <v>53693</v>
      </c>
      <c r="EF632" s="19"/>
      <c r="EG632" s="93"/>
      <c r="EH632" s="93"/>
      <c r="EI632" s="214"/>
      <c r="EJ632" s="93"/>
      <c r="EK632" s="93"/>
      <c r="EL632" s="93"/>
      <c r="EM632" s="93"/>
      <c r="EN632" s="20"/>
      <c r="EO632" s="29"/>
      <c r="EP632" s="1504">
        <v>53693</v>
      </c>
      <c r="EQ632" s="19"/>
      <c r="ER632" s="93"/>
      <c r="ES632" s="93"/>
      <c r="ET632" s="214"/>
      <c r="EU632" s="93"/>
      <c r="EV632" s="93"/>
      <c r="EW632" s="93"/>
      <c r="EX632" s="93"/>
      <c r="EY632" s="20"/>
      <c r="EZ632" s="29"/>
      <c r="FA632" s="1504">
        <v>53693</v>
      </c>
      <c r="FB632" s="29"/>
      <c r="FC632" s="29"/>
      <c r="FD632" s="29"/>
      <c r="FE632" s="29"/>
      <c r="FF632" s="29"/>
      <c r="FG632" s="29"/>
      <c r="FH632" s="29"/>
      <c r="FI632" s="29"/>
      <c r="FJ632" s="29"/>
      <c r="FK632" s="29"/>
      <c r="FL632" s="1504">
        <v>53693</v>
      </c>
      <c r="FM632" s="19"/>
      <c r="FN632" s="93"/>
      <c r="FO632" s="93"/>
      <c r="FP632" s="93"/>
      <c r="FQ632" s="93"/>
      <c r="FR632" s="93"/>
      <c r="FS632" s="93"/>
      <c r="FT632" s="93"/>
      <c r="FU632" s="93"/>
      <c r="FV632" s="93"/>
      <c r="FW632" s="93"/>
      <c r="FX632" s="93"/>
      <c r="FY632" s="93"/>
      <c r="FZ632" s="29"/>
      <c r="GA632" s="1504">
        <v>53693</v>
      </c>
      <c r="GB632" s="19"/>
      <c r="GC632" s="93"/>
      <c r="GD632" s="93"/>
      <c r="GE632" s="93"/>
      <c r="GF632" s="93"/>
      <c r="GG632" s="93"/>
      <c r="GH632" s="93"/>
      <c r="GI632" s="93"/>
      <c r="GJ632" s="93"/>
      <c r="GK632" s="93"/>
      <c r="GL632" s="93"/>
      <c r="GM632" s="93"/>
      <c r="GN632" s="20"/>
      <c r="GO632" s="29"/>
      <c r="GP632" s="1504">
        <v>53693</v>
      </c>
      <c r="GQ632" s="19"/>
      <c r="GR632" s="93"/>
      <c r="GS632" s="93"/>
      <c r="GT632" s="93"/>
      <c r="GU632" s="93"/>
      <c r="GV632" s="20"/>
      <c r="GW632" s="19"/>
      <c r="GX632" s="93"/>
      <c r="GY632" s="93"/>
      <c r="GZ632" s="93"/>
      <c r="HA632" s="93"/>
      <c r="HB632" s="20"/>
      <c r="HC632" s="19"/>
      <c r="HD632" s="93"/>
      <c r="HE632" s="93"/>
      <c r="HF632" s="93"/>
      <c r="HG632" s="93"/>
      <c r="HH632" s="20"/>
      <c r="HI632" s="19"/>
      <c r="HJ632" s="93"/>
      <c r="HK632" s="93"/>
      <c r="HL632" s="93"/>
      <c r="HM632" s="93"/>
      <c r="HN632" s="20"/>
      <c r="HO632" s="219"/>
      <c r="HP632" s="20"/>
      <c r="HQ632" s="25"/>
      <c r="HR632" s="29"/>
      <c r="HS632" s="1504">
        <v>53693</v>
      </c>
      <c r="HT632" s="19"/>
      <c r="HU632" s="93"/>
      <c r="HV632" s="93"/>
      <c r="HW632" s="93"/>
      <c r="HX632" s="93"/>
      <c r="HY632" s="93"/>
      <c r="HZ632" s="93"/>
      <c r="IA632" s="20"/>
      <c r="IB632" s="19"/>
      <c r="IC632" s="93"/>
      <c r="ID632" s="93"/>
      <c r="IE632" s="93"/>
      <c r="IF632" s="93"/>
      <c r="IG632" s="20"/>
      <c r="IH632" s="19"/>
      <c r="II632" s="93"/>
      <c r="IJ632" s="93"/>
      <c r="IK632" s="93"/>
      <c r="IL632" s="93"/>
      <c r="IM632" s="93"/>
      <c r="IN632" s="93"/>
      <c r="IO632" s="20"/>
      <c r="IP632" s="29"/>
      <c r="IQ632" s="19"/>
      <c r="IR632" s="93"/>
      <c r="IS632" s="93"/>
      <c r="IT632" s="93"/>
      <c r="IU632" s="93"/>
      <c r="IV632" s="20"/>
      <c r="IW632" s="29"/>
      <c r="IX632" s="19"/>
      <c r="IY632" s="93"/>
      <c r="IZ632" s="93"/>
      <c r="JA632" s="93"/>
      <c r="JB632" s="93"/>
      <c r="JC632" s="93"/>
      <c r="JD632" s="93"/>
      <c r="JE632" s="20"/>
      <c r="JF632" s="29"/>
      <c r="JG632" s="19"/>
      <c r="JH632" s="93"/>
      <c r="JI632" s="93"/>
      <c r="JJ632" s="93"/>
      <c r="JK632" s="93"/>
      <c r="JL632" s="93"/>
      <c r="JM632" s="93"/>
      <c r="JN632" s="20"/>
      <c r="JO632" s="29"/>
      <c r="JP632" s="19"/>
      <c r="JQ632" s="93"/>
      <c r="JR632" s="93"/>
      <c r="JS632" s="93"/>
      <c r="JT632" s="93"/>
      <c r="JU632" s="20"/>
      <c r="JV632" s="29"/>
      <c r="JW632" s="1504">
        <v>53693</v>
      </c>
      <c r="JX632" s="19"/>
      <c r="JY632" s="93"/>
      <c r="JZ632" s="93"/>
      <c r="KA632" s="93"/>
      <c r="KB632" s="93"/>
      <c r="KC632" s="93"/>
      <c r="KD632" s="20"/>
      <c r="KE632" s="29"/>
      <c r="KF632" s="19"/>
      <c r="KG632" s="93"/>
      <c r="KH632" s="93"/>
      <c r="KI632" s="93"/>
      <c r="KJ632" s="93"/>
      <c r="KK632" s="20"/>
      <c r="KL632" s="29"/>
      <c r="KM632" s="19"/>
      <c r="KN632" s="93"/>
      <c r="KO632" s="93"/>
      <c r="KP632" s="93"/>
      <c r="KQ632" s="93"/>
      <c r="KR632" s="20"/>
      <c r="KS632" s="29"/>
      <c r="KT632" s="19"/>
      <c r="KU632" s="93"/>
      <c r="KV632" s="93"/>
      <c r="KW632" s="93"/>
      <c r="KX632" s="93"/>
      <c r="KY632" s="20"/>
      <c r="KZ632" s="29"/>
      <c r="LA632" s="1504">
        <v>53693</v>
      </c>
      <c r="LB632" s="19"/>
      <c r="LC632" s="93"/>
      <c r="LD632" s="93"/>
      <c r="LE632" s="93"/>
      <c r="LF632" s="93"/>
      <c r="LG632" s="93"/>
      <c r="LH632" s="20"/>
      <c r="LI632" s="29"/>
      <c r="LJ632" s="19"/>
      <c r="LK632" s="93"/>
      <c r="LL632" s="93"/>
      <c r="LM632" s="93"/>
      <c r="LN632" s="93"/>
      <c r="LO632" s="20"/>
      <c r="LP632" s="29"/>
      <c r="LQ632" s="19"/>
      <c r="LR632" s="93"/>
      <c r="LS632" s="93"/>
      <c r="LT632" s="93"/>
      <c r="LU632" s="93"/>
      <c r="LV632" s="93"/>
      <c r="LW632" s="93"/>
      <c r="LX632" s="93"/>
      <c r="LY632" s="93"/>
      <c r="LZ632" s="93"/>
      <c r="MA632" s="20"/>
      <c r="MB632" s="29"/>
      <c r="MC632" s="1504">
        <v>53693</v>
      </c>
      <c r="MD632" s="19"/>
      <c r="ME632" s="93"/>
      <c r="MF632" s="93"/>
      <c r="MG632" s="93"/>
      <c r="MH632" s="93"/>
      <c r="MI632" s="93"/>
      <c r="MJ632" s="93"/>
      <c r="MK632" s="93"/>
      <c r="ML632" s="93"/>
      <c r="MM632" s="93"/>
      <c r="MN632" s="93"/>
      <c r="MO632" s="93"/>
      <c r="MP632" s="93"/>
      <c r="MQ632" s="93"/>
      <c r="MR632" s="93"/>
      <c r="MS632" s="93"/>
      <c r="MT632" s="93"/>
      <c r="MU632" s="93"/>
      <c r="MV632" s="93"/>
      <c r="MW632" s="93"/>
      <c r="MX632" s="93"/>
      <c r="MY632" s="93"/>
      <c r="MZ632" s="93"/>
      <c r="NA632" s="93"/>
      <c r="NB632" s="93"/>
      <c r="NC632" s="93"/>
      <c r="ND632" s="93"/>
      <c r="NE632" s="93"/>
      <c r="NF632" s="93"/>
      <c r="NG632" s="93"/>
      <c r="NH632" s="93"/>
      <c r="NI632" s="93"/>
      <c r="NJ632" s="93"/>
      <c r="NK632" s="93"/>
      <c r="NL632" s="93"/>
      <c r="NM632" s="93"/>
      <c r="NN632" s="93"/>
      <c r="NO632" s="93"/>
      <c r="NP632" s="93"/>
      <c r="NQ632" s="93"/>
      <c r="NR632" s="93"/>
      <c r="NS632" s="93"/>
      <c r="NT632" s="93"/>
      <c r="NU632" s="93"/>
      <c r="NV632" s="93"/>
      <c r="NW632" s="93"/>
      <c r="NX632" s="93"/>
      <c r="NY632" s="93"/>
      <c r="NZ632" s="93"/>
      <c r="OA632" s="93"/>
      <c r="OB632" s="93"/>
      <c r="OC632" s="93"/>
      <c r="OD632" s="20"/>
      <c r="OE632" s="29"/>
      <c r="OF632" s="1504">
        <v>53693</v>
      </c>
      <c r="OG632" s="19"/>
      <c r="OH632" s="93"/>
      <c r="OI632" s="93"/>
      <c r="OJ632" s="93"/>
      <c r="OK632" s="93"/>
      <c r="OL632" s="93"/>
      <c r="OM632" s="93"/>
      <c r="ON632" s="93"/>
      <c r="OO632" s="93"/>
      <c r="OP632" s="93"/>
      <c r="OQ632" s="93"/>
      <c r="OR632" s="93"/>
      <c r="OS632" s="93"/>
      <c r="OT632" s="93"/>
      <c r="OU632" s="93"/>
      <c r="OV632" s="93"/>
      <c r="OW632" s="93"/>
      <c r="OX632" s="93"/>
      <c r="OY632" s="93"/>
      <c r="OZ632" s="93"/>
      <c r="PA632" s="93"/>
      <c r="PB632" s="93"/>
      <c r="PC632" s="20"/>
      <c r="PD632" s="29"/>
      <c r="PE632" s="19"/>
      <c r="PF632" s="93"/>
      <c r="PG632" s="93"/>
      <c r="PH632" s="93"/>
      <c r="PI632" s="93"/>
      <c r="PJ632" s="93"/>
      <c r="PK632" s="93"/>
      <c r="PL632" s="93"/>
      <c r="PM632" s="93"/>
      <c r="PN632" s="93"/>
      <c r="PO632" s="93"/>
      <c r="PP632" s="93"/>
      <c r="PQ632" s="93"/>
      <c r="PR632" s="93"/>
      <c r="PS632" s="93"/>
      <c r="PT632" s="93"/>
      <c r="PU632" s="93"/>
      <c r="PV632" s="93"/>
      <c r="PW632" s="93"/>
      <c r="PX632" s="93"/>
      <c r="PY632" s="93"/>
      <c r="PZ632" s="93"/>
      <c r="QA632" s="93"/>
      <c r="QB632" s="93"/>
      <c r="QC632" s="93"/>
      <c r="QD632" s="93"/>
      <c r="QE632" s="20"/>
      <c r="QF632" s="1739"/>
      <c r="QG632" s="19"/>
      <c r="QH632" s="93"/>
      <c r="QI632" s="93"/>
      <c r="QJ632" s="93"/>
      <c r="QK632" s="93"/>
      <c r="QL632" s="93"/>
      <c r="QM632" s="93"/>
      <c r="QN632" s="93"/>
      <c r="QO632" s="93"/>
      <c r="QP632" s="93"/>
      <c r="QQ632" s="93"/>
      <c r="QR632" s="93"/>
      <c r="QS632" s="93"/>
      <c r="QT632" s="93"/>
      <c r="QU632" s="93"/>
      <c r="QV632" s="93"/>
      <c r="QW632" s="93"/>
      <c r="QX632" s="93"/>
      <c r="QY632" s="93"/>
      <c r="QZ632" s="93"/>
      <c r="RA632" s="93"/>
      <c r="RB632" s="93"/>
      <c r="RC632" s="93"/>
      <c r="RD632" s="93"/>
      <c r="RE632" s="93"/>
      <c r="RF632" s="93"/>
      <c r="RG632" s="93"/>
      <c r="RH632" s="93"/>
      <c r="RI632" s="93"/>
      <c r="RJ632" s="93"/>
      <c r="RK632" s="93"/>
      <c r="RL632" s="93"/>
      <c r="RM632" s="20"/>
      <c r="RN632" s="29"/>
      <c r="RO632" s="19"/>
      <c r="RP632" s="20"/>
      <c r="RQ632" s="29"/>
      <c r="RR632" s="20"/>
      <c r="RS632" s="29"/>
      <c r="RT632" s="1504">
        <v>53693</v>
      </c>
      <c r="RU632" s="19"/>
      <c r="RV632" s="20"/>
      <c r="RW632" s="29"/>
      <c r="RX632" s="1504">
        <v>53693</v>
      </c>
      <c r="RY632" s="29"/>
      <c r="RZ632" s="20"/>
      <c r="SA632" s="29"/>
      <c r="SB632" s="29"/>
    </row>
    <row r="633" spans="1:496">
      <c r="A633" s="41">
        <f t="shared" si="364"/>
        <v>2047</v>
      </c>
      <c r="B633" s="1504">
        <v>53724</v>
      </c>
      <c r="C633" s="1813"/>
      <c r="D633" s="1814"/>
      <c r="E633" s="1814"/>
      <c r="F633" s="1815"/>
      <c r="G633" s="1814"/>
      <c r="H633" s="1814"/>
      <c r="I633" s="1814"/>
      <c r="J633" s="1816"/>
      <c r="K633" s="1807"/>
      <c r="L633" s="25"/>
      <c r="M633" s="97"/>
      <c r="N633" s="1504">
        <v>53724</v>
      </c>
      <c r="O633" s="19"/>
      <c r="P633" s="93"/>
      <c r="Q633" s="93"/>
      <c r="R633" s="93"/>
      <c r="S633" s="93"/>
      <c r="T633" s="93"/>
      <c r="U633" s="93"/>
      <c r="V633" s="93"/>
      <c r="W633" s="93"/>
      <c r="X633" s="93"/>
      <c r="Y633" s="93"/>
      <c r="Z633" s="93"/>
      <c r="AA633" s="93"/>
      <c r="AB633" s="20"/>
      <c r="AC633" s="25"/>
      <c r="AD633" s="97"/>
      <c r="AE633" s="1504">
        <v>53724</v>
      </c>
      <c r="AF633" s="19"/>
      <c r="AG633" s="93"/>
      <c r="AH633" s="93"/>
      <c r="AI633" s="93"/>
      <c r="AJ633" s="93"/>
      <c r="AK633" s="93"/>
      <c r="AL633" s="93"/>
      <c r="AM633" s="93"/>
      <c r="AN633" s="93"/>
      <c r="AO633" s="93"/>
      <c r="AP633" s="93"/>
      <c r="AQ633" s="93"/>
      <c r="AR633" s="93"/>
      <c r="AS633" s="20"/>
      <c r="AT633" s="25"/>
      <c r="AU633" s="97"/>
      <c r="AV633" s="1504">
        <v>53724</v>
      </c>
      <c r="AW633" s="19"/>
      <c r="AX633" s="93"/>
      <c r="AY633" s="93"/>
      <c r="AZ633" s="93"/>
      <c r="BA633" s="93"/>
      <c r="BB633" s="93"/>
      <c r="BC633" s="93"/>
      <c r="BD633" s="93"/>
      <c r="BE633" s="93"/>
      <c r="BF633" s="93"/>
      <c r="BG633" s="93"/>
      <c r="BH633" s="93"/>
      <c r="BI633" s="93"/>
      <c r="BJ633" s="20"/>
      <c r="BK633" s="25"/>
      <c r="BL633" s="97"/>
      <c r="BM633" s="1504">
        <v>53724</v>
      </c>
      <c r="BN633" s="19"/>
      <c r="BO633" s="93"/>
      <c r="BP633" s="93"/>
      <c r="BQ633" s="93"/>
      <c r="BR633" s="93"/>
      <c r="BS633" s="93"/>
      <c r="BT633" s="93"/>
      <c r="BU633" s="20"/>
      <c r="BV633" s="25"/>
      <c r="BW633" s="97"/>
      <c r="BX633" s="1504">
        <v>53724</v>
      </c>
      <c r="BY633" s="19"/>
      <c r="BZ633" s="93"/>
      <c r="CA633" s="93"/>
      <c r="CB633" s="93"/>
      <c r="CC633" s="93"/>
      <c r="CD633" s="25"/>
      <c r="CE633" s="97"/>
      <c r="CF633" s="1504">
        <v>53724</v>
      </c>
      <c r="CG633" s="19"/>
      <c r="CH633" s="93"/>
      <c r="CI633" s="219"/>
      <c r="CJ633" s="20"/>
      <c r="CK633" s="19"/>
      <c r="CL633" s="93"/>
      <c r="CM633" s="93"/>
      <c r="CN633" s="93"/>
      <c r="CO633" s="93"/>
      <c r="CP633" s="20"/>
      <c r="CQ633" s="219"/>
      <c r="CR633" s="93"/>
      <c r="CS633" s="93"/>
      <c r="CT633" s="93"/>
      <c r="CU633" s="93"/>
      <c r="CV633" s="214"/>
      <c r="CW633" s="29"/>
      <c r="CX633" s="41">
        <f t="shared" si="363"/>
        <v>2047</v>
      </c>
      <c r="CY633" s="1504">
        <v>53724</v>
      </c>
      <c r="CZ633" s="19"/>
      <c r="DA633" s="93"/>
      <c r="DB633" s="93"/>
      <c r="DC633" s="93"/>
      <c r="DD633" s="93"/>
      <c r="DE633" s="20"/>
      <c r="DF633" s="29"/>
      <c r="DG633" s="1504">
        <v>53724</v>
      </c>
      <c r="DH633" s="19"/>
      <c r="DI633" s="93"/>
      <c r="DJ633" s="93"/>
      <c r="DK633" s="93"/>
      <c r="DL633" s="93"/>
      <c r="DM633" s="93"/>
      <c r="DN633" s="20"/>
      <c r="DO633" s="295"/>
      <c r="DP633" s="29"/>
      <c r="DQ633" s="1504">
        <v>53724</v>
      </c>
      <c r="DR633" s="19"/>
      <c r="DS633" s="93"/>
      <c r="DT633" s="93"/>
      <c r="DU633" s="93"/>
      <c r="DV633" s="93"/>
      <c r="DW633" s="93"/>
      <c r="DX633" s="20"/>
      <c r="DY633" s="29"/>
      <c r="DZ633" s="1504">
        <v>53724</v>
      </c>
      <c r="EA633" s="19"/>
      <c r="EB633" s="93"/>
      <c r="EC633" s="20"/>
      <c r="ED633" s="29"/>
      <c r="EE633" s="1504">
        <v>53724</v>
      </c>
      <c r="EF633" s="19"/>
      <c r="EG633" s="93"/>
      <c r="EH633" s="93"/>
      <c r="EI633" s="214"/>
      <c r="EJ633" s="93"/>
      <c r="EK633" s="93"/>
      <c r="EL633" s="93"/>
      <c r="EM633" s="93"/>
      <c r="EN633" s="20"/>
      <c r="EO633" s="29"/>
      <c r="EP633" s="1504">
        <v>53724</v>
      </c>
      <c r="EQ633" s="19"/>
      <c r="ER633" s="93"/>
      <c r="ES633" s="93"/>
      <c r="ET633" s="214"/>
      <c r="EU633" s="93"/>
      <c r="EV633" s="93"/>
      <c r="EW633" s="93"/>
      <c r="EX633" s="93"/>
      <c r="EY633" s="20"/>
      <c r="EZ633" s="29"/>
      <c r="FA633" s="1504">
        <v>53724</v>
      </c>
      <c r="FB633" s="29"/>
      <c r="FC633" s="29"/>
      <c r="FD633" s="29"/>
      <c r="FE633" s="29"/>
      <c r="FF633" s="29"/>
      <c r="FG633" s="29"/>
      <c r="FH633" s="29"/>
      <c r="FI633" s="29"/>
      <c r="FJ633" s="29"/>
      <c r="FK633" s="29"/>
      <c r="FL633" s="1504">
        <v>53724</v>
      </c>
      <c r="FM633" s="19"/>
      <c r="FN633" s="93"/>
      <c r="FO633" s="93"/>
      <c r="FP633" s="93"/>
      <c r="FQ633" s="93"/>
      <c r="FR633" s="93"/>
      <c r="FS633" s="93"/>
      <c r="FT633" s="93"/>
      <c r="FU633" s="93"/>
      <c r="FV633" s="93"/>
      <c r="FW633" s="93"/>
      <c r="FX633" s="93"/>
      <c r="FY633" s="93"/>
      <c r="FZ633" s="29"/>
      <c r="GA633" s="1504">
        <v>53724</v>
      </c>
      <c r="GB633" s="19"/>
      <c r="GC633" s="93"/>
      <c r="GD633" s="93"/>
      <c r="GE633" s="93"/>
      <c r="GF633" s="93"/>
      <c r="GG633" s="93"/>
      <c r="GH633" s="93"/>
      <c r="GI633" s="93"/>
      <c r="GJ633" s="93"/>
      <c r="GK633" s="93"/>
      <c r="GL633" s="93"/>
      <c r="GM633" s="93"/>
      <c r="GN633" s="20"/>
      <c r="GO633" s="29"/>
      <c r="GP633" s="1504">
        <v>53724</v>
      </c>
      <c r="GQ633" s="19"/>
      <c r="GR633" s="93"/>
      <c r="GS633" s="93"/>
      <c r="GT633" s="93"/>
      <c r="GU633" s="93"/>
      <c r="GV633" s="20"/>
      <c r="GW633" s="19"/>
      <c r="GX633" s="93"/>
      <c r="GY633" s="93"/>
      <c r="GZ633" s="93"/>
      <c r="HA633" s="93"/>
      <c r="HB633" s="20"/>
      <c r="HC633" s="19"/>
      <c r="HD633" s="93"/>
      <c r="HE633" s="93"/>
      <c r="HF633" s="93"/>
      <c r="HG633" s="93"/>
      <c r="HH633" s="20"/>
      <c r="HI633" s="19"/>
      <c r="HJ633" s="93"/>
      <c r="HK633" s="93"/>
      <c r="HL633" s="93"/>
      <c r="HM633" s="93"/>
      <c r="HN633" s="20"/>
      <c r="HO633" s="219"/>
      <c r="HP633" s="20"/>
      <c r="HQ633" s="25"/>
      <c r="HR633" s="29"/>
      <c r="HS633" s="1504">
        <v>53724</v>
      </c>
      <c r="HT633" s="19"/>
      <c r="HU633" s="93"/>
      <c r="HV633" s="93"/>
      <c r="HW633" s="93"/>
      <c r="HX633" s="93"/>
      <c r="HY633" s="93"/>
      <c r="HZ633" s="93"/>
      <c r="IA633" s="20"/>
      <c r="IB633" s="19"/>
      <c r="IC633" s="93"/>
      <c r="ID633" s="93"/>
      <c r="IE633" s="93"/>
      <c r="IF633" s="93"/>
      <c r="IG633" s="20"/>
      <c r="IH633" s="19"/>
      <c r="II633" s="93"/>
      <c r="IJ633" s="93"/>
      <c r="IK633" s="93"/>
      <c r="IL633" s="93"/>
      <c r="IM633" s="93"/>
      <c r="IN633" s="93"/>
      <c r="IO633" s="20"/>
      <c r="IP633" s="29"/>
      <c r="IQ633" s="19"/>
      <c r="IR633" s="93"/>
      <c r="IS633" s="93"/>
      <c r="IT633" s="93"/>
      <c r="IU633" s="93"/>
      <c r="IV633" s="20"/>
      <c r="IW633" s="29"/>
      <c r="IX633" s="19"/>
      <c r="IY633" s="93"/>
      <c r="IZ633" s="93"/>
      <c r="JA633" s="93"/>
      <c r="JB633" s="93"/>
      <c r="JC633" s="93"/>
      <c r="JD633" s="93"/>
      <c r="JE633" s="20"/>
      <c r="JF633" s="29"/>
      <c r="JG633" s="19"/>
      <c r="JH633" s="93"/>
      <c r="JI633" s="93"/>
      <c r="JJ633" s="93"/>
      <c r="JK633" s="93"/>
      <c r="JL633" s="93"/>
      <c r="JM633" s="93"/>
      <c r="JN633" s="20"/>
      <c r="JO633" s="29"/>
      <c r="JP633" s="19"/>
      <c r="JQ633" s="93"/>
      <c r="JR633" s="93"/>
      <c r="JS633" s="93"/>
      <c r="JT633" s="93"/>
      <c r="JU633" s="20"/>
      <c r="JV633" s="29"/>
      <c r="JW633" s="1504">
        <v>53724</v>
      </c>
      <c r="JX633" s="19"/>
      <c r="JY633" s="93"/>
      <c r="JZ633" s="93"/>
      <c r="KA633" s="93"/>
      <c r="KB633" s="93"/>
      <c r="KC633" s="93"/>
      <c r="KD633" s="20"/>
      <c r="KE633" s="29"/>
      <c r="KF633" s="19"/>
      <c r="KG633" s="93"/>
      <c r="KH633" s="93"/>
      <c r="KI633" s="93"/>
      <c r="KJ633" s="93"/>
      <c r="KK633" s="20"/>
      <c r="KL633" s="29"/>
      <c r="KM633" s="19"/>
      <c r="KN633" s="93"/>
      <c r="KO633" s="93"/>
      <c r="KP633" s="93"/>
      <c r="KQ633" s="93"/>
      <c r="KR633" s="20"/>
      <c r="KS633" s="29"/>
      <c r="KT633" s="19"/>
      <c r="KU633" s="93"/>
      <c r="KV633" s="93"/>
      <c r="KW633" s="93"/>
      <c r="KX633" s="93"/>
      <c r="KY633" s="20"/>
      <c r="KZ633" s="29"/>
      <c r="LA633" s="1504">
        <v>53724</v>
      </c>
      <c r="LB633" s="19"/>
      <c r="LC633" s="93"/>
      <c r="LD633" s="93"/>
      <c r="LE633" s="93"/>
      <c r="LF633" s="93"/>
      <c r="LG633" s="93"/>
      <c r="LH633" s="20"/>
      <c r="LI633" s="29"/>
      <c r="LJ633" s="19"/>
      <c r="LK633" s="93"/>
      <c r="LL633" s="93"/>
      <c r="LM633" s="93"/>
      <c r="LN633" s="93"/>
      <c r="LO633" s="20"/>
      <c r="LP633" s="29"/>
      <c r="LQ633" s="19"/>
      <c r="LR633" s="93"/>
      <c r="LS633" s="93"/>
      <c r="LT633" s="93"/>
      <c r="LU633" s="93"/>
      <c r="LV633" s="93"/>
      <c r="LW633" s="93"/>
      <c r="LX633" s="93"/>
      <c r="LY633" s="93"/>
      <c r="LZ633" s="93"/>
      <c r="MA633" s="20"/>
      <c r="MB633" s="29"/>
      <c r="MC633" s="1504">
        <v>53724</v>
      </c>
      <c r="MD633" s="19"/>
      <c r="ME633" s="93"/>
      <c r="MF633" s="93"/>
      <c r="MG633" s="93"/>
      <c r="MH633" s="93"/>
      <c r="MI633" s="93"/>
      <c r="MJ633" s="93"/>
      <c r="MK633" s="93"/>
      <c r="ML633" s="93"/>
      <c r="MM633" s="93"/>
      <c r="MN633" s="93"/>
      <c r="MO633" s="93"/>
      <c r="MP633" s="93"/>
      <c r="MQ633" s="93"/>
      <c r="MR633" s="93"/>
      <c r="MS633" s="93"/>
      <c r="MT633" s="93"/>
      <c r="MU633" s="93"/>
      <c r="MV633" s="93"/>
      <c r="MW633" s="93"/>
      <c r="MX633" s="93"/>
      <c r="MY633" s="93"/>
      <c r="MZ633" s="93"/>
      <c r="NA633" s="93"/>
      <c r="NB633" s="93"/>
      <c r="NC633" s="93"/>
      <c r="ND633" s="93"/>
      <c r="NE633" s="93"/>
      <c r="NF633" s="93"/>
      <c r="NG633" s="93"/>
      <c r="NH633" s="93"/>
      <c r="NI633" s="93"/>
      <c r="NJ633" s="93"/>
      <c r="NK633" s="93"/>
      <c r="NL633" s="93"/>
      <c r="NM633" s="93"/>
      <c r="NN633" s="93"/>
      <c r="NO633" s="93"/>
      <c r="NP633" s="93"/>
      <c r="NQ633" s="93"/>
      <c r="NR633" s="93"/>
      <c r="NS633" s="93"/>
      <c r="NT633" s="93"/>
      <c r="NU633" s="93"/>
      <c r="NV633" s="93"/>
      <c r="NW633" s="93"/>
      <c r="NX633" s="93"/>
      <c r="NY633" s="93"/>
      <c r="NZ633" s="93"/>
      <c r="OA633" s="93"/>
      <c r="OB633" s="93"/>
      <c r="OC633" s="93"/>
      <c r="OD633" s="20"/>
      <c r="OE633" s="29"/>
      <c r="OF633" s="1504">
        <v>53724</v>
      </c>
      <c r="OG633" s="19"/>
      <c r="OH633" s="93"/>
      <c r="OI633" s="93"/>
      <c r="OJ633" s="93"/>
      <c r="OK633" s="93"/>
      <c r="OL633" s="93"/>
      <c r="OM633" s="93"/>
      <c r="ON633" s="93"/>
      <c r="OO633" s="93"/>
      <c r="OP633" s="93"/>
      <c r="OQ633" s="93"/>
      <c r="OR633" s="93"/>
      <c r="OS633" s="93"/>
      <c r="OT633" s="93"/>
      <c r="OU633" s="93"/>
      <c r="OV633" s="93"/>
      <c r="OW633" s="93"/>
      <c r="OX633" s="93"/>
      <c r="OY633" s="93"/>
      <c r="OZ633" s="93"/>
      <c r="PA633" s="93"/>
      <c r="PB633" s="93"/>
      <c r="PC633" s="20"/>
      <c r="PD633" s="29"/>
      <c r="PE633" s="19"/>
      <c r="PF633" s="93"/>
      <c r="PG633" s="93"/>
      <c r="PH633" s="93"/>
      <c r="PI633" s="93"/>
      <c r="PJ633" s="93"/>
      <c r="PK633" s="93"/>
      <c r="PL633" s="93"/>
      <c r="PM633" s="93"/>
      <c r="PN633" s="93"/>
      <c r="PO633" s="93"/>
      <c r="PP633" s="93"/>
      <c r="PQ633" s="93"/>
      <c r="PR633" s="93"/>
      <c r="PS633" s="93"/>
      <c r="PT633" s="93"/>
      <c r="PU633" s="93"/>
      <c r="PV633" s="93"/>
      <c r="PW633" s="93"/>
      <c r="PX633" s="93"/>
      <c r="PY633" s="93"/>
      <c r="PZ633" s="93"/>
      <c r="QA633" s="93"/>
      <c r="QB633" s="93"/>
      <c r="QC633" s="93"/>
      <c r="QD633" s="93"/>
      <c r="QE633" s="20"/>
      <c r="QF633" s="1739"/>
      <c r="QG633" s="19"/>
      <c r="QH633" s="93"/>
      <c r="QI633" s="93"/>
      <c r="QJ633" s="93"/>
      <c r="QK633" s="93"/>
      <c r="QL633" s="93"/>
      <c r="QM633" s="93"/>
      <c r="QN633" s="93"/>
      <c r="QO633" s="93"/>
      <c r="QP633" s="93"/>
      <c r="QQ633" s="93"/>
      <c r="QR633" s="93"/>
      <c r="QS633" s="93"/>
      <c r="QT633" s="93"/>
      <c r="QU633" s="93"/>
      <c r="QV633" s="93"/>
      <c r="QW633" s="93"/>
      <c r="QX633" s="93"/>
      <c r="QY633" s="93"/>
      <c r="QZ633" s="93"/>
      <c r="RA633" s="93"/>
      <c r="RB633" s="93"/>
      <c r="RC633" s="93"/>
      <c r="RD633" s="93"/>
      <c r="RE633" s="93"/>
      <c r="RF633" s="93"/>
      <c r="RG633" s="93"/>
      <c r="RH633" s="93"/>
      <c r="RI633" s="93"/>
      <c r="RJ633" s="93"/>
      <c r="RK633" s="93"/>
      <c r="RL633" s="93"/>
      <c r="RM633" s="20"/>
      <c r="RN633" s="29"/>
      <c r="RO633" s="19"/>
      <c r="RP633" s="20"/>
      <c r="RQ633" s="29"/>
      <c r="RR633" s="20"/>
      <c r="RS633" s="29"/>
      <c r="RT633" s="1504">
        <v>53724</v>
      </c>
      <c r="RU633" s="19"/>
      <c r="RV633" s="20"/>
      <c r="RW633" s="29"/>
      <c r="RX633" s="1504">
        <v>53724</v>
      </c>
      <c r="RY633" s="29"/>
      <c r="RZ633" s="20"/>
      <c r="SA633" s="29"/>
      <c r="SB633" s="29"/>
    </row>
    <row r="634" spans="1:496">
      <c r="A634" s="41">
        <f t="shared" si="364"/>
        <v>2047</v>
      </c>
      <c r="B634" s="1504">
        <v>53752</v>
      </c>
      <c r="C634" s="1813"/>
      <c r="D634" s="1814"/>
      <c r="E634" s="1814"/>
      <c r="F634" s="1815"/>
      <c r="G634" s="1814"/>
      <c r="H634" s="1814"/>
      <c r="I634" s="1814"/>
      <c r="J634" s="1816"/>
      <c r="K634" s="1807"/>
      <c r="L634" s="25"/>
      <c r="M634" s="97"/>
      <c r="N634" s="1504">
        <v>53752</v>
      </c>
      <c r="O634" s="19"/>
      <c r="P634" s="93"/>
      <c r="Q634" s="93"/>
      <c r="R634" s="93"/>
      <c r="S634" s="93"/>
      <c r="T634" s="93"/>
      <c r="U634" s="93"/>
      <c r="V634" s="93"/>
      <c r="W634" s="93"/>
      <c r="X634" s="93"/>
      <c r="Y634" s="93"/>
      <c r="Z634" s="93"/>
      <c r="AA634" s="93"/>
      <c r="AB634" s="20"/>
      <c r="AC634" s="25"/>
      <c r="AD634" s="97"/>
      <c r="AE634" s="1504">
        <v>53752</v>
      </c>
      <c r="AF634" s="19"/>
      <c r="AG634" s="93"/>
      <c r="AH634" s="93"/>
      <c r="AI634" s="93"/>
      <c r="AJ634" s="93"/>
      <c r="AK634" s="93"/>
      <c r="AL634" s="93"/>
      <c r="AM634" s="93"/>
      <c r="AN634" s="93"/>
      <c r="AO634" s="93"/>
      <c r="AP634" s="93"/>
      <c r="AQ634" s="93"/>
      <c r="AR634" s="93"/>
      <c r="AS634" s="20"/>
      <c r="AT634" s="25"/>
      <c r="AU634" s="97"/>
      <c r="AV634" s="1504">
        <v>53752</v>
      </c>
      <c r="AW634" s="19"/>
      <c r="AX634" s="93"/>
      <c r="AY634" s="93"/>
      <c r="AZ634" s="93"/>
      <c r="BA634" s="93"/>
      <c r="BB634" s="93"/>
      <c r="BC634" s="93"/>
      <c r="BD634" s="93"/>
      <c r="BE634" s="93"/>
      <c r="BF634" s="93"/>
      <c r="BG634" s="93"/>
      <c r="BH634" s="93"/>
      <c r="BI634" s="93"/>
      <c r="BJ634" s="20"/>
      <c r="BK634" s="25"/>
      <c r="BL634" s="97"/>
      <c r="BM634" s="1504">
        <v>53752</v>
      </c>
      <c r="BN634" s="19"/>
      <c r="BO634" s="93"/>
      <c r="BP634" s="93"/>
      <c r="BQ634" s="93"/>
      <c r="BR634" s="93"/>
      <c r="BS634" s="93"/>
      <c r="BT634" s="93"/>
      <c r="BU634" s="20"/>
      <c r="BV634" s="25"/>
      <c r="BW634" s="97"/>
      <c r="BX634" s="1504">
        <v>53752</v>
      </c>
      <c r="BY634" s="19"/>
      <c r="BZ634" s="93"/>
      <c r="CA634" s="93"/>
      <c r="CB634" s="93"/>
      <c r="CC634" s="93"/>
      <c r="CD634" s="25"/>
      <c r="CE634" s="97"/>
      <c r="CF634" s="1504">
        <v>53752</v>
      </c>
      <c r="CG634" s="19"/>
      <c r="CH634" s="93"/>
      <c r="CI634" s="219"/>
      <c r="CJ634" s="20"/>
      <c r="CK634" s="19"/>
      <c r="CL634" s="93"/>
      <c r="CM634" s="93"/>
      <c r="CN634" s="93"/>
      <c r="CO634" s="93"/>
      <c r="CP634" s="20"/>
      <c r="CQ634" s="219"/>
      <c r="CR634" s="93"/>
      <c r="CS634" s="93"/>
      <c r="CT634" s="93"/>
      <c r="CU634" s="93"/>
      <c r="CV634" s="214"/>
      <c r="CW634" s="29"/>
      <c r="CX634" s="41">
        <f t="shared" si="363"/>
        <v>2047</v>
      </c>
      <c r="CY634" s="1504">
        <v>53752</v>
      </c>
      <c r="CZ634" s="19"/>
      <c r="DA634" s="93"/>
      <c r="DB634" s="93"/>
      <c r="DC634" s="93"/>
      <c r="DD634" s="93"/>
      <c r="DE634" s="20"/>
      <c r="DF634" s="29"/>
      <c r="DG634" s="1504">
        <v>53752</v>
      </c>
      <c r="DH634" s="19"/>
      <c r="DI634" s="93"/>
      <c r="DJ634" s="93"/>
      <c r="DK634" s="93"/>
      <c r="DL634" s="93"/>
      <c r="DM634" s="93"/>
      <c r="DN634" s="20"/>
      <c r="DO634" s="295"/>
      <c r="DP634" s="29"/>
      <c r="DQ634" s="1504">
        <v>53752</v>
      </c>
      <c r="DR634" s="19"/>
      <c r="DS634" s="93"/>
      <c r="DT634" s="93"/>
      <c r="DU634" s="93"/>
      <c r="DV634" s="93"/>
      <c r="DW634" s="93"/>
      <c r="DX634" s="20"/>
      <c r="DY634" s="29"/>
      <c r="DZ634" s="1504">
        <v>53752</v>
      </c>
      <c r="EA634" s="19"/>
      <c r="EB634" s="93"/>
      <c r="EC634" s="20"/>
      <c r="ED634" s="29"/>
      <c r="EE634" s="1504">
        <v>53752</v>
      </c>
      <c r="EF634" s="19"/>
      <c r="EG634" s="93"/>
      <c r="EH634" s="93"/>
      <c r="EI634" s="214"/>
      <c r="EJ634" s="93"/>
      <c r="EK634" s="93"/>
      <c r="EL634" s="93"/>
      <c r="EM634" s="93"/>
      <c r="EN634" s="20"/>
      <c r="EO634" s="29"/>
      <c r="EP634" s="1504">
        <v>53752</v>
      </c>
      <c r="EQ634" s="19"/>
      <c r="ER634" s="93"/>
      <c r="ES634" s="93"/>
      <c r="ET634" s="214"/>
      <c r="EU634" s="93"/>
      <c r="EV634" s="93"/>
      <c r="EW634" s="93"/>
      <c r="EX634" s="93"/>
      <c r="EY634" s="20"/>
      <c r="EZ634" s="29"/>
      <c r="FA634" s="1504">
        <v>53752</v>
      </c>
      <c r="FB634" s="29"/>
      <c r="FC634" s="29"/>
      <c r="FD634" s="29"/>
      <c r="FE634" s="29"/>
      <c r="FF634" s="29"/>
      <c r="FG634" s="29"/>
      <c r="FH634" s="29"/>
      <c r="FI634" s="29"/>
      <c r="FJ634" s="29"/>
      <c r="FK634" s="29"/>
      <c r="FL634" s="1504">
        <v>53752</v>
      </c>
      <c r="FM634" s="19"/>
      <c r="FN634" s="93"/>
      <c r="FO634" s="93"/>
      <c r="FP634" s="93"/>
      <c r="FQ634" s="93"/>
      <c r="FR634" s="93"/>
      <c r="FS634" s="93"/>
      <c r="FT634" s="93"/>
      <c r="FU634" s="93"/>
      <c r="FV634" s="93"/>
      <c r="FW634" s="93"/>
      <c r="FX634" s="93"/>
      <c r="FY634" s="93"/>
      <c r="FZ634" s="29"/>
      <c r="GA634" s="1504">
        <v>53752</v>
      </c>
      <c r="GB634" s="19"/>
      <c r="GC634" s="93"/>
      <c r="GD634" s="93"/>
      <c r="GE634" s="93"/>
      <c r="GF634" s="93"/>
      <c r="GG634" s="93"/>
      <c r="GH634" s="93"/>
      <c r="GI634" s="93"/>
      <c r="GJ634" s="93"/>
      <c r="GK634" s="93"/>
      <c r="GL634" s="93"/>
      <c r="GM634" s="93"/>
      <c r="GN634" s="20"/>
      <c r="GO634" s="29"/>
      <c r="GP634" s="1504">
        <v>53752</v>
      </c>
      <c r="GQ634" s="19"/>
      <c r="GR634" s="93"/>
      <c r="GS634" s="93"/>
      <c r="GT634" s="93"/>
      <c r="GU634" s="93"/>
      <c r="GV634" s="20"/>
      <c r="GW634" s="19"/>
      <c r="GX634" s="93"/>
      <c r="GY634" s="93"/>
      <c r="GZ634" s="93"/>
      <c r="HA634" s="93"/>
      <c r="HB634" s="20"/>
      <c r="HC634" s="19"/>
      <c r="HD634" s="93"/>
      <c r="HE634" s="93"/>
      <c r="HF634" s="93"/>
      <c r="HG634" s="93"/>
      <c r="HH634" s="20"/>
      <c r="HI634" s="19"/>
      <c r="HJ634" s="93"/>
      <c r="HK634" s="93"/>
      <c r="HL634" s="93"/>
      <c r="HM634" s="93"/>
      <c r="HN634" s="20"/>
      <c r="HO634" s="219"/>
      <c r="HP634" s="20"/>
      <c r="HQ634" s="25"/>
      <c r="HR634" s="29"/>
      <c r="HS634" s="1504">
        <v>53752</v>
      </c>
      <c r="HT634" s="19"/>
      <c r="HU634" s="93"/>
      <c r="HV634" s="93"/>
      <c r="HW634" s="93"/>
      <c r="HX634" s="93"/>
      <c r="HY634" s="93"/>
      <c r="HZ634" s="93"/>
      <c r="IA634" s="20"/>
      <c r="IB634" s="19"/>
      <c r="IC634" s="93"/>
      <c r="ID634" s="93"/>
      <c r="IE634" s="93"/>
      <c r="IF634" s="93"/>
      <c r="IG634" s="20"/>
      <c r="IH634" s="19"/>
      <c r="II634" s="93"/>
      <c r="IJ634" s="93"/>
      <c r="IK634" s="93"/>
      <c r="IL634" s="93"/>
      <c r="IM634" s="93"/>
      <c r="IN634" s="93"/>
      <c r="IO634" s="20"/>
      <c r="IP634" s="29"/>
      <c r="IQ634" s="19"/>
      <c r="IR634" s="93"/>
      <c r="IS634" s="93"/>
      <c r="IT634" s="93"/>
      <c r="IU634" s="93"/>
      <c r="IV634" s="20"/>
      <c r="IW634" s="29"/>
      <c r="IX634" s="19"/>
      <c r="IY634" s="93"/>
      <c r="IZ634" s="93"/>
      <c r="JA634" s="93"/>
      <c r="JB634" s="93"/>
      <c r="JC634" s="93"/>
      <c r="JD634" s="93"/>
      <c r="JE634" s="20"/>
      <c r="JF634" s="29"/>
      <c r="JG634" s="19"/>
      <c r="JH634" s="93"/>
      <c r="JI634" s="93"/>
      <c r="JJ634" s="93"/>
      <c r="JK634" s="93"/>
      <c r="JL634" s="93"/>
      <c r="JM634" s="93"/>
      <c r="JN634" s="20"/>
      <c r="JO634" s="29"/>
      <c r="JP634" s="19"/>
      <c r="JQ634" s="93"/>
      <c r="JR634" s="93"/>
      <c r="JS634" s="93"/>
      <c r="JT634" s="93"/>
      <c r="JU634" s="20"/>
      <c r="JV634" s="29"/>
      <c r="JW634" s="1504">
        <v>53752</v>
      </c>
      <c r="JX634" s="19"/>
      <c r="JY634" s="93"/>
      <c r="JZ634" s="93"/>
      <c r="KA634" s="93"/>
      <c r="KB634" s="93"/>
      <c r="KC634" s="93"/>
      <c r="KD634" s="20"/>
      <c r="KE634" s="29"/>
      <c r="KF634" s="19"/>
      <c r="KG634" s="93"/>
      <c r="KH634" s="93"/>
      <c r="KI634" s="93"/>
      <c r="KJ634" s="93"/>
      <c r="KK634" s="20"/>
      <c r="KL634" s="29"/>
      <c r="KM634" s="19"/>
      <c r="KN634" s="93"/>
      <c r="KO634" s="93"/>
      <c r="KP634" s="93"/>
      <c r="KQ634" s="93"/>
      <c r="KR634" s="20"/>
      <c r="KS634" s="29"/>
      <c r="KT634" s="19"/>
      <c r="KU634" s="93"/>
      <c r="KV634" s="93"/>
      <c r="KW634" s="93"/>
      <c r="KX634" s="93"/>
      <c r="KY634" s="20"/>
      <c r="KZ634" s="29"/>
      <c r="LA634" s="1504">
        <v>53752</v>
      </c>
      <c r="LB634" s="19"/>
      <c r="LC634" s="93"/>
      <c r="LD634" s="93"/>
      <c r="LE634" s="93"/>
      <c r="LF634" s="93"/>
      <c r="LG634" s="93"/>
      <c r="LH634" s="20"/>
      <c r="LI634" s="29"/>
      <c r="LJ634" s="19"/>
      <c r="LK634" s="93"/>
      <c r="LL634" s="93"/>
      <c r="LM634" s="93"/>
      <c r="LN634" s="93"/>
      <c r="LO634" s="20"/>
      <c r="LP634" s="29"/>
      <c r="LQ634" s="19"/>
      <c r="LR634" s="93"/>
      <c r="LS634" s="93"/>
      <c r="LT634" s="93"/>
      <c r="LU634" s="93"/>
      <c r="LV634" s="93"/>
      <c r="LW634" s="93"/>
      <c r="LX634" s="93"/>
      <c r="LY634" s="93"/>
      <c r="LZ634" s="93"/>
      <c r="MA634" s="20"/>
      <c r="MB634" s="29"/>
      <c r="MC634" s="1504">
        <v>53752</v>
      </c>
      <c r="MD634" s="19"/>
      <c r="ME634" s="93"/>
      <c r="MF634" s="93"/>
      <c r="MG634" s="93"/>
      <c r="MH634" s="93"/>
      <c r="MI634" s="93"/>
      <c r="MJ634" s="93"/>
      <c r="MK634" s="93"/>
      <c r="ML634" s="93"/>
      <c r="MM634" s="93"/>
      <c r="MN634" s="93"/>
      <c r="MO634" s="93"/>
      <c r="MP634" s="93"/>
      <c r="MQ634" s="93"/>
      <c r="MR634" s="93"/>
      <c r="MS634" s="93"/>
      <c r="MT634" s="93"/>
      <c r="MU634" s="93"/>
      <c r="MV634" s="93"/>
      <c r="MW634" s="93"/>
      <c r="MX634" s="93"/>
      <c r="MY634" s="93"/>
      <c r="MZ634" s="93"/>
      <c r="NA634" s="93"/>
      <c r="NB634" s="93"/>
      <c r="NC634" s="93"/>
      <c r="ND634" s="93"/>
      <c r="NE634" s="93"/>
      <c r="NF634" s="93"/>
      <c r="NG634" s="93"/>
      <c r="NH634" s="93"/>
      <c r="NI634" s="93"/>
      <c r="NJ634" s="93"/>
      <c r="NK634" s="93"/>
      <c r="NL634" s="93"/>
      <c r="NM634" s="93"/>
      <c r="NN634" s="93"/>
      <c r="NO634" s="93"/>
      <c r="NP634" s="93"/>
      <c r="NQ634" s="93"/>
      <c r="NR634" s="93"/>
      <c r="NS634" s="93"/>
      <c r="NT634" s="93"/>
      <c r="NU634" s="93"/>
      <c r="NV634" s="93"/>
      <c r="NW634" s="93"/>
      <c r="NX634" s="93"/>
      <c r="NY634" s="93"/>
      <c r="NZ634" s="93"/>
      <c r="OA634" s="93"/>
      <c r="OB634" s="93"/>
      <c r="OC634" s="93"/>
      <c r="OD634" s="20"/>
      <c r="OE634" s="29"/>
      <c r="OF634" s="1504">
        <v>53752</v>
      </c>
      <c r="OG634" s="19"/>
      <c r="OH634" s="93"/>
      <c r="OI634" s="93"/>
      <c r="OJ634" s="93"/>
      <c r="OK634" s="93"/>
      <c r="OL634" s="93"/>
      <c r="OM634" s="93"/>
      <c r="ON634" s="93"/>
      <c r="OO634" s="93"/>
      <c r="OP634" s="93"/>
      <c r="OQ634" s="93"/>
      <c r="OR634" s="93"/>
      <c r="OS634" s="93"/>
      <c r="OT634" s="93"/>
      <c r="OU634" s="93"/>
      <c r="OV634" s="93"/>
      <c r="OW634" s="93"/>
      <c r="OX634" s="93"/>
      <c r="OY634" s="93"/>
      <c r="OZ634" s="93"/>
      <c r="PA634" s="93"/>
      <c r="PB634" s="93"/>
      <c r="PC634" s="20"/>
      <c r="PD634" s="29"/>
      <c r="PE634" s="19"/>
      <c r="PF634" s="93"/>
      <c r="PG634" s="93"/>
      <c r="PH634" s="93"/>
      <c r="PI634" s="93"/>
      <c r="PJ634" s="93"/>
      <c r="PK634" s="93"/>
      <c r="PL634" s="93"/>
      <c r="PM634" s="93"/>
      <c r="PN634" s="93"/>
      <c r="PO634" s="93"/>
      <c r="PP634" s="93"/>
      <c r="PQ634" s="93"/>
      <c r="PR634" s="93"/>
      <c r="PS634" s="93"/>
      <c r="PT634" s="93"/>
      <c r="PU634" s="93"/>
      <c r="PV634" s="93"/>
      <c r="PW634" s="93"/>
      <c r="PX634" s="93"/>
      <c r="PY634" s="93"/>
      <c r="PZ634" s="93"/>
      <c r="QA634" s="93"/>
      <c r="QB634" s="93"/>
      <c r="QC634" s="93"/>
      <c r="QD634" s="93"/>
      <c r="QE634" s="20"/>
      <c r="QF634" s="1739"/>
      <c r="QG634" s="19"/>
      <c r="QH634" s="93"/>
      <c r="QI634" s="93"/>
      <c r="QJ634" s="93"/>
      <c r="QK634" s="93"/>
      <c r="QL634" s="93"/>
      <c r="QM634" s="93"/>
      <c r="QN634" s="93"/>
      <c r="QO634" s="93"/>
      <c r="QP634" s="93"/>
      <c r="QQ634" s="93"/>
      <c r="QR634" s="93"/>
      <c r="QS634" s="93"/>
      <c r="QT634" s="93"/>
      <c r="QU634" s="93"/>
      <c r="QV634" s="93"/>
      <c r="QW634" s="93"/>
      <c r="QX634" s="93"/>
      <c r="QY634" s="93"/>
      <c r="QZ634" s="93"/>
      <c r="RA634" s="93"/>
      <c r="RB634" s="93"/>
      <c r="RC634" s="93"/>
      <c r="RD634" s="93"/>
      <c r="RE634" s="93"/>
      <c r="RF634" s="93"/>
      <c r="RG634" s="93"/>
      <c r="RH634" s="93"/>
      <c r="RI634" s="93"/>
      <c r="RJ634" s="93"/>
      <c r="RK634" s="93"/>
      <c r="RL634" s="93"/>
      <c r="RM634" s="20"/>
      <c r="RN634" s="29"/>
      <c r="RO634" s="19"/>
      <c r="RP634" s="20"/>
      <c r="RQ634" s="29"/>
      <c r="RR634" s="20"/>
      <c r="RS634" s="29"/>
      <c r="RT634" s="1504">
        <v>53752</v>
      </c>
      <c r="RU634" s="19"/>
      <c r="RV634" s="20"/>
      <c r="RW634" s="29"/>
      <c r="RX634" s="1504">
        <v>53752</v>
      </c>
      <c r="RY634" s="29"/>
      <c r="RZ634" s="20"/>
      <c r="SA634" s="29"/>
      <c r="SB634" s="29"/>
    </row>
    <row r="635" spans="1:496">
      <c r="A635" s="41">
        <f t="shared" si="364"/>
        <v>2047</v>
      </c>
      <c r="B635" s="1504">
        <v>53783</v>
      </c>
      <c r="C635" s="1813"/>
      <c r="D635" s="1814"/>
      <c r="E635" s="1814"/>
      <c r="F635" s="1815"/>
      <c r="G635" s="1814"/>
      <c r="H635" s="1814"/>
      <c r="I635" s="1814"/>
      <c r="J635" s="1816"/>
      <c r="K635" s="1807"/>
      <c r="L635" s="25"/>
      <c r="M635" s="97"/>
      <c r="N635" s="1504">
        <v>53783</v>
      </c>
      <c r="O635" s="19"/>
      <c r="P635" s="93"/>
      <c r="Q635" s="93"/>
      <c r="R635" s="93"/>
      <c r="S635" s="93"/>
      <c r="T635" s="93"/>
      <c r="U635" s="93"/>
      <c r="V635" s="93"/>
      <c r="W635" s="93"/>
      <c r="X635" s="93"/>
      <c r="Y635" s="93"/>
      <c r="Z635" s="93"/>
      <c r="AA635" s="93"/>
      <c r="AB635" s="20"/>
      <c r="AC635" s="25"/>
      <c r="AD635" s="97"/>
      <c r="AE635" s="1504">
        <v>53783</v>
      </c>
      <c r="AF635" s="19"/>
      <c r="AG635" s="93"/>
      <c r="AH635" s="93"/>
      <c r="AI635" s="93"/>
      <c r="AJ635" s="93"/>
      <c r="AK635" s="93"/>
      <c r="AL635" s="93"/>
      <c r="AM635" s="93"/>
      <c r="AN635" s="93"/>
      <c r="AO635" s="93"/>
      <c r="AP635" s="93"/>
      <c r="AQ635" s="93"/>
      <c r="AR635" s="93"/>
      <c r="AS635" s="20"/>
      <c r="AT635" s="25"/>
      <c r="AU635" s="97"/>
      <c r="AV635" s="1504">
        <v>53783</v>
      </c>
      <c r="AW635" s="19"/>
      <c r="AX635" s="93"/>
      <c r="AY635" s="93"/>
      <c r="AZ635" s="93"/>
      <c r="BA635" s="93"/>
      <c r="BB635" s="93"/>
      <c r="BC635" s="93"/>
      <c r="BD635" s="93"/>
      <c r="BE635" s="93"/>
      <c r="BF635" s="93"/>
      <c r="BG635" s="93"/>
      <c r="BH635" s="93"/>
      <c r="BI635" s="93"/>
      <c r="BJ635" s="20"/>
      <c r="BK635" s="25"/>
      <c r="BL635" s="97"/>
      <c r="BM635" s="1504">
        <v>53783</v>
      </c>
      <c r="BN635" s="19"/>
      <c r="BO635" s="93"/>
      <c r="BP635" s="93"/>
      <c r="BQ635" s="93"/>
      <c r="BR635" s="93"/>
      <c r="BS635" s="93"/>
      <c r="BT635" s="93"/>
      <c r="BU635" s="20"/>
      <c r="BV635" s="25"/>
      <c r="BW635" s="97"/>
      <c r="BX635" s="1504">
        <v>53783</v>
      </c>
      <c r="BY635" s="19"/>
      <c r="BZ635" s="93"/>
      <c r="CA635" s="93"/>
      <c r="CB635" s="93"/>
      <c r="CC635" s="93"/>
      <c r="CD635" s="25"/>
      <c r="CE635" s="97"/>
      <c r="CF635" s="1504">
        <v>53783</v>
      </c>
      <c r="CG635" s="19"/>
      <c r="CH635" s="93"/>
      <c r="CI635" s="219"/>
      <c r="CJ635" s="20"/>
      <c r="CK635" s="19"/>
      <c r="CL635" s="93"/>
      <c r="CM635" s="93"/>
      <c r="CN635" s="93"/>
      <c r="CO635" s="93"/>
      <c r="CP635" s="20"/>
      <c r="CQ635" s="219"/>
      <c r="CR635" s="93"/>
      <c r="CS635" s="93"/>
      <c r="CT635" s="93"/>
      <c r="CU635" s="93"/>
      <c r="CV635" s="214"/>
      <c r="CW635" s="29"/>
      <c r="CX635" s="41">
        <f t="shared" si="363"/>
        <v>2047</v>
      </c>
      <c r="CY635" s="1504">
        <v>53783</v>
      </c>
      <c r="CZ635" s="19"/>
      <c r="DA635" s="93"/>
      <c r="DB635" s="93"/>
      <c r="DC635" s="93"/>
      <c r="DD635" s="93"/>
      <c r="DE635" s="20"/>
      <c r="DF635" s="29"/>
      <c r="DG635" s="1504">
        <v>53783</v>
      </c>
      <c r="DH635" s="19"/>
      <c r="DI635" s="93"/>
      <c r="DJ635" s="93"/>
      <c r="DK635" s="93"/>
      <c r="DL635" s="93"/>
      <c r="DM635" s="93"/>
      <c r="DN635" s="20"/>
      <c r="DO635" s="295"/>
      <c r="DP635" s="29"/>
      <c r="DQ635" s="1504">
        <v>53783</v>
      </c>
      <c r="DR635" s="19"/>
      <c r="DS635" s="93"/>
      <c r="DT635" s="93"/>
      <c r="DU635" s="93"/>
      <c r="DV635" s="93"/>
      <c r="DW635" s="93"/>
      <c r="DX635" s="20"/>
      <c r="DY635" s="29"/>
      <c r="DZ635" s="1504">
        <v>53783</v>
      </c>
      <c r="EA635" s="19"/>
      <c r="EB635" s="93"/>
      <c r="EC635" s="20"/>
      <c r="ED635" s="29"/>
      <c r="EE635" s="1504">
        <v>53783</v>
      </c>
      <c r="EF635" s="19"/>
      <c r="EG635" s="93"/>
      <c r="EH635" s="93"/>
      <c r="EI635" s="214"/>
      <c r="EJ635" s="93"/>
      <c r="EK635" s="93"/>
      <c r="EL635" s="93"/>
      <c r="EM635" s="93"/>
      <c r="EN635" s="20"/>
      <c r="EO635" s="29"/>
      <c r="EP635" s="1504">
        <v>53783</v>
      </c>
      <c r="EQ635" s="19"/>
      <c r="ER635" s="93"/>
      <c r="ES635" s="93"/>
      <c r="ET635" s="214"/>
      <c r="EU635" s="93"/>
      <c r="EV635" s="93"/>
      <c r="EW635" s="93"/>
      <c r="EX635" s="93"/>
      <c r="EY635" s="20"/>
      <c r="EZ635" s="29"/>
      <c r="FA635" s="1504">
        <v>53783</v>
      </c>
      <c r="FB635" s="29"/>
      <c r="FC635" s="29"/>
      <c r="FD635" s="29"/>
      <c r="FE635" s="29"/>
      <c r="FF635" s="29"/>
      <c r="FG635" s="29"/>
      <c r="FH635" s="29"/>
      <c r="FI635" s="29"/>
      <c r="FJ635" s="29"/>
      <c r="FK635" s="29"/>
      <c r="FL635" s="1504">
        <v>53783</v>
      </c>
      <c r="FM635" s="19"/>
      <c r="FN635" s="93"/>
      <c r="FO635" s="93"/>
      <c r="FP635" s="93"/>
      <c r="FQ635" s="93"/>
      <c r="FR635" s="93"/>
      <c r="FS635" s="93"/>
      <c r="FT635" s="93"/>
      <c r="FU635" s="93"/>
      <c r="FV635" s="93"/>
      <c r="FW635" s="93"/>
      <c r="FX635" s="93"/>
      <c r="FY635" s="93"/>
      <c r="FZ635" s="29"/>
      <c r="GA635" s="1504">
        <v>53783</v>
      </c>
      <c r="GB635" s="19"/>
      <c r="GC635" s="93"/>
      <c r="GD635" s="93"/>
      <c r="GE635" s="93"/>
      <c r="GF635" s="93"/>
      <c r="GG635" s="93"/>
      <c r="GH635" s="93"/>
      <c r="GI635" s="93"/>
      <c r="GJ635" s="93"/>
      <c r="GK635" s="93"/>
      <c r="GL635" s="93"/>
      <c r="GM635" s="93"/>
      <c r="GN635" s="20"/>
      <c r="GO635" s="29"/>
      <c r="GP635" s="1504">
        <v>53783</v>
      </c>
      <c r="GQ635" s="19"/>
      <c r="GR635" s="93"/>
      <c r="GS635" s="93"/>
      <c r="GT635" s="93"/>
      <c r="GU635" s="93"/>
      <c r="GV635" s="20"/>
      <c r="GW635" s="19"/>
      <c r="GX635" s="93"/>
      <c r="GY635" s="93"/>
      <c r="GZ635" s="93"/>
      <c r="HA635" s="93"/>
      <c r="HB635" s="20"/>
      <c r="HC635" s="19"/>
      <c r="HD635" s="93"/>
      <c r="HE635" s="93"/>
      <c r="HF635" s="93"/>
      <c r="HG635" s="93"/>
      <c r="HH635" s="20"/>
      <c r="HI635" s="19"/>
      <c r="HJ635" s="93"/>
      <c r="HK635" s="93"/>
      <c r="HL635" s="93"/>
      <c r="HM635" s="93"/>
      <c r="HN635" s="20"/>
      <c r="HO635" s="219"/>
      <c r="HP635" s="20"/>
      <c r="HQ635" s="25"/>
      <c r="HR635" s="29"/>
      <c r="HS635" s="1504">
        <v>53783</v>
      </c>
      <c r="HT635" s="19"/>
      <c r="HU635" s="93"/>
      <c r="HV635" s="93"/>
      <c r="HW635" s="93"/>
      <c r="HX635" s="93"/>
      <c r="HY635" s="93"/>
      <c r="HZ635" s="93"/>
      <c r="IA635" s="20"/>
      <c r="IB635" s="19"/>
      <c r="IC635" s="93"/>
      <c r="ID635" s="93"/>
      <c r="IE635" s="93"/>
      <c r="IF635" s="93"/>
      <c r="IG635" s="20"/>
      <c r="IH635" s="19"/>
      <c r="II635" s="93"/>
      <c r="IJ635" s="93"/>
      <c r="IK635" s="93"/>
      <c r="IL635" s="93"/>
      <c r="IM635" s="93"/>
      <c r="IN635" s="93"/>
      <c r="IO635" s="20"/>
      <c r="IP635" s="29"/>
      <c r="IQ635" s="19"/>
      <c r="IR635" s="93"/>
      <c r="IS635" s="93"/>
      <c r="IT635" s="93"/>
      <c r="IU635" s="93"/>
      <c r="IV635" s="20"/>
      <c r="IW635" s="29"/>
      <c r="IX635" s="19"/>
      <c r="IY635" s="93"/>
      <c r="IZ635" s="93"/>
      <c r="JA635" s="93"/>
      <c r="JB635" s="93"/>
      <c r="JC635" s="93"/>
      <c r="JD635" s="93"/>
      <c r="JE635" s="20"/>
      <c r="JF635" s="29"/>
      <c r="JG635" s="19"/>
      <c r="JH635" s="93"/>
      <c r="JI635" s="93"/>
      <c r="JJ635" s="93"/>
      <c r="JK635" s="93"/>
      <c r="JL635" s="93"/>
      <c r="JM635" s="93"/>
      <c r="JN635" s="20"/>
      <c r="JO635" s="29"/>
      <c r="JP635" s="19"/>
      <c r="JQ635" s="93"/>
      <c r="JR635" s="93"/>
      <c r="JS635" s="93"/>
      <c r="JT635" s="93"/>
      <c r="JU635" s="20"/>
      <c r="JV635" s="29"/>
      <c r="JW635" s="1504">
        <v>53783</v>
      </c>
      <c r="JX635" s="19"/>
      <c r="JY635" s="93"/>
      <c r="JZ635" s="93"/>
      <c r="KA635" s="93"/>
      <c r="KB635" s="93"/>
      <c r="KC635" s="93"/>
      <c r="KD635" s="20"/>
      <c r="KE635" s="29"/>
      <c r="KF635" s="19"/>
      <c r="KG635" s="93"/>
      <c r="KH635" s="93"/>
      <c r="KI635" s="93"/>
      <c r="KJ635" s="93"/>
      <c r="KK635" s="20"/>
      <c r="KL635" s="29"/>
      <c r="KM635" s="19"/>
      <c r="KN635" s="93"/>
      <c r="KO635" s="93"/>
      <c r="KP635" s="93"/>
      <c r="KQ635" s="93"/>
      <c r="KR635" s="20"/>
      <c r="KS635" s="29"/>
      <c r="KT635" s="19"/>
      <c r="KU635" s="93"/>
      <c r="KV635" s="93"/>
      <c r="KW635" s="93"/>
      <c r="KX635" s="93"/>
      <c r="KY635" s="20"/>
      <c r="KZ635" s="29"/>
      <c r="LA635" s="1504">
        <v>53783</v>
      </c>
      <c r="LB635" s="19"/>
      <c r="LC635" s="93"/>
      <c r="LD635" s="93"/>
      <c r="LE635" s="93"/>
      <c r="LF635" s="93"/>
      <c r="LG635" s="93"/>
      <c r="LH635" s="20"/>
      <c r="LI635" s="29"/>
      <c r="LJ635" s="19"/>
      <c r="LK635" s="93"/>
      <c r="LL635" s="93"/>
      <c r="LM635" s="93"/>
      <c r="LN635" s="93"/>
      <c r="LO635" s="20"/>
      <c r="LP635" s="29"/>
      <c r="LQ635" s="19"/>
      <c r="LR635" s="93"/>
      <c r="LS635" s="93"/>
      <c r="LT635" s="93"/>
      <c r="LU635" s="93"/>
      <c r="LV635" s="93"/>
      <c r="LW635" s="93"/>
      <c r="LX635" s="93"/>
      <c r="LY635" s="93"/>
      <c r="LZ635" s="93"/>
      <c r="MA635" s="20"/>
      <c r="MB635" s="29"/>
      <c r="MC635" s="1504">
        <v>53783</v>
      </c>
      <c r="MD635" s="19"/>
      <c r="ME635" s="93"/>
      <c r="MF635" s="93"/>
      <c r="MG635" s="93"/>
      <c r="MH635" s="93"/>
      <c r="MI635" s="93"/>
      <c r="MJ635" s="93"/>
      <c r="MK635" s="93"/>
      <c r="ML635" s="93"/>
      <c r="MM635" s="93"/>
      <c r="MN635" s="93"/>
      <c r="MO635" s="93"/>
      <c r="MP635" s="93"/>
      <c r="MQ635" s="93"/>
      <c r="MR635" s="93"/>
      <c r="MS635" s="93"/>
      <c r="MT635" s="93"/>
      <c r="MU635" s="93"/>
      <c r="MV635" s="93"/>
      <c r="MW635" s="93"/>
      <c r="MX635" s="93"/>
      <c r="MY635" s="93"/>
      <c r="MZ635" s="93"/>
      <c r="NA635" s="93"/>
      <c r="NB635" s="93"/>
      <c r="NC635" s="93"/>
      <c r="ND635" s="93"/>
      <c r="NE635" s="93"/>
      <c r="NF635" s="93"/>
      <c r="NG635" s="93"/>
      <c r="NH635" s="93"/>
      <c r="NI635" s="93"/>
      <c r="NJ635" s="93"/>
      <c r="NK635" s="93"/>
      <c r="NL635" s="93"/>
      <c r="NM635" s="93"/>
      <c r="NN635" s="93"/>
      <c r="NO635" s="93"/>
      <c r="NP635" s="93"/>
      <c r="NQ635" s="93"/>
      <c r="NR635" s="93"/>
      <c r="NS635" s="93"/>
      <c r="NT635" s="93"/>
      <c r="NU635" s="93"/>
      <c r="NV635" s="93"/>
      <c r="NW635" s="93"/>
      <c r="NX635" s="93"/>
      <c r="NY635" s="93"/>
      <c r="NZ635" s="93"/>
      <c r="OA635" s="93"/>
      <c r="OB635" s="93"/>
      <c r="OC635" s="93"/>
      <c r="OD635" s="20"/>
      <c r="OE635" s="29"/>
      <c r="OF635" s="1504">
        <v>53783</v>
      </c>
      <c r="OG635" s="19"/>
      <c r="OH635" s="93"/>
      <c r="OI635" s="93"/>
      <c r="OJ635" s="93"/>
      <c r="OK635" s="93"/>
      <c r="OL635" s="93"/>
      <c r="OM635" s="93"/>
      <c r="ON635" s="93"/>
      <c r="OO635" s="93"/>
      <c r="OP635" s="93"/>
      <c r="OQ635" s="93"/>
      <c r="OR635" s="93"/>
      <c r="OS635" s="93"/>
      <c r="OT635" s="93"/>
      <c r="OU635" s="93"/>
      <c r="OV635" s="93"/>
      <c r="OW635" s="93"/>
      <c r="OX635" s="93"/>
      <c r="OY635" s="93"/>
      <c r="OZ635" s="93"/>
      <c r="PA635" s="93"/>
      <c r="PB635" s="93"/>
      <c r="PC635" s="20"/>
      <c r="PD635" s="29"/>
      <c r="PE635" s="19"/>
      <c r="PF635" s="93"/>
      <c r="PG635" s="93"/>
      <c r="PH635" s="93"/>
      <c r="PI635" s="93"/>
      <c r="PJ635" s="93"/>
      <c r="PK635" s="93"/>
      <c r="PL635" s="93"/>
      <c r="PM635" s="93"/>
      <c r="PN635" s="93"/>
      <c r="PO635" s="93"/>
      <c r="PP635" s="93"/>
      <c r="PQ635" s="93"/>
      <c r="PR635" s="93"/>
      <c r="PS635" s="93"/>
      <c r="PT635" s="93"/>
      <c r="PU635" s="93"/>
      <c r="PV635" s="93"/>
      <c r="PW635" s="93"/>
      <c r="PX635" s="93"/>
      <c r="PY635" s="93"/>
      <c r="PZ635" s="93"/>
      <c r="QA635" s="93"/>
      <c r="QB635" s="93"/>
      <c r="QC635" s="93"/>
      <c r="QD635" s="93"/>
      <c r="QE635" s="20"/>
      <c r="QF635" s="1739"/>
      <c r="QG635" s="19"/>
      <c r="QH635" s="93"/>
      <c r="QI635" s="93"/>
      <c r="QJ635" s="93"/>
      <c r="QK635" s="93"/>
      <c r="QL635" s="93"/>
      <c r="QM635" s="93"/>
      <c r="QN635" s="93"/>
      <c r="QO635" s="93"/>
      <c r="QP635" s="93"/>
      <c r="QQ635" s="93"/>
      <c r="QR635" s="93"/>
      <c r="QS635" s="93"/>
      <c r="QT635" s="93"/>
      <c r="QU635" s="93"/>
      <c r="QV635" s="93"/>
      <c r="QW635" s="93"/>
      <c r="QX635" s="93"/>
      <c r="QY635" s="93"/>
      <c r="QZ635" s="93"/>
      <c r="RA635" s="93"/>
      <c r="RB635" s="93"/>
      <c r="RC635" s="93"/>
      <c r="RD635" s="93"/>
      <c r="RE635" s="93"/>
      <c r="RF635" s="93"/>
      <c r="RG635" s="93"/>
      <c r="RH635" s="93"/>
      <c r="RI635" s="93"/>
      <c r="RJ635" s="93"/>
      <c r="RK635" s="93"/>
      <c r="RL635" s="93"/>
      <c r="RM635" s="20"/>
      <c r="RN635" s="29"/>
      <c r="RO635" s="19"/>
      <c r="RP635" s="20"/>
      <c r="RQ635" s="29"/>
      <c r="RR635" s="20"/>
      <c r="RS635" s="29"/>
      <c r="RT635" s="1504">
        <v>53783</v>
      </c>
      <c r="RU635" s="19"/>
      <c r="RV635" s="20"/>
      <c r="RW635" s="29"/>
      <c r="RX635" s="1504">
        <v>53783</v>
      </c>
      <c r="RY635" s="29"/>
      <c r="RZ635" s="20"/>
      <c r="SA635" s="29"/>
      <c r="SB635" s="29"/>
    </row>
    <row r="636" spans="1:496">
      <c r="A636" s="41">
        <f t="shared" si="364"/>
        <v>2047</v>
      </c>
      <c r="B636" s="1504">
        <v>53813</v>
      </c>
      <c r="C636" s="1813"/>
      <c r="D636" s="1814"/>
      <c r="E636" s="1814"/>
      <c r="F636" s="1815"/>
      <c r="G636" s="1814"/>
      <c r="H636" s="1814"/>
      <c r="I636" s="1814"/>
      <c r="J636" s="1816"/>
      <c r="K636" s="1807"/>
      <c r="L636" s="25"/>
      <c r="M636" s="97"/>
      <c r="N636" s="1504">
        <v>53813</v>
      </c>
      <c r="O636" s="19"/>
      <c r="P636" s="93"/>
      <c r="Q636" s="93"/>
      <c r="R636" s="93"/>
      <c r="S636" s="93"/>
      <c r="T636" s="93"/>
      <c r="U636" s="93"/>
      <c r="V636" s="93"/>
      <c r="W636" s="93"/>
      <c r="X636" s="93"/>
      <c r="Y636" s="93"/>
      <c r="Z636" s="93"/>
      <c r="AA636" s="93"/>
      <c r="AB636" s="20"/>
      <c r="AC636" s="25"/>
      <c r="AD636" s="97"/>
      <c r="AE636" s="1504">
        <v>53813</v>
      </c>
      <c r="AF636" s="19"/>
      <c r="AG636" s="93"/>
      <c r="AH636" s="93"/>
      <c r="AI636" s="93"/>
      <c r="AJ636" s="93"/>
      <c r="AK636" s="93"/>
      <c r="AL636" s="93"/>
      <c r="AM636" s="93"/>
      <c r="AN636" s="93"/>
      <c r="AO636" s="93"/>
      <c r="AP636" s="93"/>
      <c r="AQ636" s="93"/>
      <c r="AR636" s="93"/>
      <c r="AS636" s="20"/>
      <c r="AT636" s="25"/>
      <c r="AU636" s="97"/>
      <c r="AV636" s="1504">
        <v>53813</v>
      </c>
      <c r="AW636" s="19"/>
      <c r="AX636" s="93"/>
      <c r="AY636" s="93"/>
      <c r="AZ636" s="93"/>
      <c r="BA636" s="93"/>
      <c r="BB636" s="93"/>
      <c r="BC636" s="93"/>
      <c r="BD636" s="93"/>
      <c r="BE636" s="93"/>
      <c r="BF636" s="93"/>
      <c r="BG636" s="93"/>
      <c r="BH636" s="93"/>
      <c r="BI636" s="93"/>
      <c r="BJ636" s="20"/>
      <c r="BK636" s="25"/>
      <c r="BL636" s="97"/>
      <c r="BM636" s="1504">
        <v>53813</v>
      </c>
      <c r="BN636" s="19"/>
      <c r="BO636" s="93"/>
      <c r="BP636" s="93"/>
      <c r="BQ636" s="93"/>
      <c r="BR636" s="93"/>
      <c r="BS636" s="93"/>
      <c r="BT636" s="93"/>
      <c r="BU636" s="20"/>
      <c r="BV636" s="25"/>
      <c r="BW636" s="97"/>
      <c r="BX636" s="1504">
        <v>53813</v>
      </c>
      <c r="BY636" s="19"/>
      <c r="BZ636" s="93"/>
      <c r="CA636" s="93"/>
      <c r="CB636" s="93"/>
      <c r="CC636" s="93"/>
      <c r="CD636" s="25"/>
      <c r="CE636" s="97"/>
      <c r="CF636" s="1504">
        <v>53813</v>
      </c>
      <c r="CG636" s="19"/>
      <c r="CH636" s="93"/>
      <c r="CI636" s="219"/>
      <c r="CJ636" s="20"/>
      <c r="CK636" s="19"/>
      <c r="CL636" s="93"/>
      <c r="CM636" s="93"/>
      <c r="CN636" s="93"/>
      <c r="CO636" s="93"/>
      <c r="CP636" s="20"/>
      <c r="CQ636" s="219"/>
      <c r="CR636" s="93"/>
      <c r="CS636" s="93"/>
      <c r="CT636" s="93"/>
      <c r="CU636" s="93"/>
      <c r="CV636" s="214"/>
      <c r="CW636" s="29"/>
      <c r="CX636" s="41">
        <f t="shared" si="363"/>
        <v>2047</v>
      </c>
      <c r="CY636" s="1504">
        <v>53813</v>
      </c>
      <c r="CZ636" s="19"/>
      <c r="DA636" s="93"/>
      <c r="DB636" s="93"/>
      <c r="DC636" s="93"/>
      <c r="DD636" s="93"/>
      <c r="DE636" s="20"/>
      <c r="DF636" s="29"/>
      <c r="DG636" s="1504">
        <v>53813</v>
      </c>
      <c r="DH636" s="19"/>
      <c r="DI636" s="93"/>
      <c r="DJ636" s="93"/>
      <c r="DK636" s="93"/>
      <c r="DL636" s="93"/>
      <c r="DM636" s="93"/>
      <c r="DN636" s="20"/>
      <c r="DO636" s="295"/>
      <c r="DP636" s="29"/>
      <c r="DQ636" s="1504">
        <v>53813</v>
      </c>
      <c r="DR636" s="19"/>
      <c r="DS636" s="93"/>
      <c r="DT636" s="93"/>
      <c r="DU636" s="93"/>
      <c r="DV636" s="93"/>
      <c r="DW636" s="93"/>
      <c r="DX636" s="20"/>
      <c r="DY636" s="29"/>
      <c r="DZ636" s="1504">
        <v>53813</v>
      </c>
      <c r="EA636" s="19"/>
      <c r="EB636" s="93"/>
      <c r="EC636" s="20"/>
      <c r="ED636" s="29"/>
      <c r="EE636" s="1504">
        <v>53813</v>
      </c>
      <c r="EF636" s="19"/>
      <c r="EG636" s="93"/>
      <c r="EH636" s="93"/>
      <c r="EI636" s="214"/>
      <c r="EJ636" s="93"/>
      <c r="EK636" s="93"/>
      <c r="EL636" s="93"/>
      <c r="EM636" s="93"/>
      <c r="EN636" s="20"/>
      <c r="EO636" s="29"/>
      <c r="EP636" s="1504">
        <v>53813</v>
      </c>
      <c r="EQ636" s="19"/>
      <c r="ER636" s="93"/>
      <c r="ES636" s="93"/>
      <c r="ET636" s="214"/>
      <c r="EU636" s="93"/>
      <c r="EV636" s="93"/>
      <c r="EW636" s="93"/>
      <c r="EX636" s="93"/>
      <c r="EY636" s="20"/>
      <c r="EZ636" s="29"/>
      <c r="FA636" s="1504">
        <v>53813</v>
      </c>
      <c r="FB636" s="29"/>
      <c r="FC636" s="29"/>
      <c r="FD636" s="29"/>
      <c r="FE636" s="29"/>
      <c r="FF636" s="29"/>
      <c r="FG636" s="29"/>
      <c r="FH636" s="29"/>
      <c r="FI636" s="29"/>
      <c r="FJ636" s="29"/>
      <c r="FK636" s="29"/>
      <c r="FL636" s="1504">
        <v>53813</v>
      </c>
      <c r="FM636" s="19"/>
      <c r="FN636" s="93"/>
      <c r="FO636" s="93"/>
      <c r="FP636" s="93"/>
      <c r="FQ636" s="93"/>
      <c r="FR636" s="93"/>
      <c r="FS636" s="93"/>
      <c r="FT636" s="93"/>
      <c r="FU636" s="93"/>
      <c r="FV636" s="93"/>
      <c r="FW636" s="93"/>
      <c r="FX636" s="93"/>
      <c r="FY636" s="93"/>
      <c r="FZ636" s="29"/>
      <c r="GA636" s="1504">
        <v>53813</v>
      </c>
      <c r="GB636" s="19"/>
      <c r="GC636" s="93"/>
      <c r="GD636" s="93"/>
      <c r="GE636" s="93"/>
      <c r="GF636" s="93"/>
      <c r="GG636" s="93"/>
      <c r="GH636" s="93"/>
      <c r="GI636" s="93"/>
      <c r="GJ636" s="93"/>
      <c r="GK636" s="93"/>
      <c r="GL636" s="93"/>
      <c r="GM636" s="93"/>
      <c r="GN636" s="20"/>
      <c r="GO636" s="29"/>
      <c r="GP636" s="1504">
        <v>53813</v>
      </c>
      <c r="GQ636" s="19"/>
      <c r="GR636" s="93"/>
      <c r="GS636" s="93"/>
      <c r="GT636" s="93"/>
      <c r="GU636" s="93"/>
      <c r="GV636" s="20"/>
      <c r="GW636" s="19"/>
      <c r="GX636" s="93"/>
      <c r="GY636" s="93"/>
      <c r="GZ636" s="93"/>
      <c r="HA636" s="93"/>
      <c r="HB636" s="20"/>
      <c r="HC636" s="19"/>
      <c r="HD636" s="93"/>
      <c r="HE636" s="93"/>
      <c r="HF636" s="93"/>
      <c r="HG636" s="93"/>
      <c r="HH636" s="20"/>
      <c r="HI636" s="19"/>
      <c r="HJ636" s="93"/>
      <c r="HK636" s="93"/>
      <c r="HL636" s="93"/>
      <c r="HM636" s="93"/>
      <c r="HN636" s="20"/>
      <c r="HO636" s="219"/>
      <c r="HP636" s="20"/>
      <c r="HQ636" s="25"/>
      <c r="HR636" s="29"/>
      <c r="HS636" s="1504">
        <v>53813</v>
      </c>
      <c r="HT636" s="19"/>
      <c r="HU636" s="93"/>
      <c r="HV636" s="93"/>
      <c r="HW636" s="93"/>
      <c r="HX636" s="93"/>
      <c r="HY636" s="93"/>
      <c r="HZ636" s="93"/>
      <c r="IA636" s="20"/>
      <c r="IB636" s="19"/>
      <c r="IC636" s="93"/>
      <c r="ID636" s="93"/>
      <c r="IE636" s="93"/>
      <c r="IF636" s="93"/>
      <c r="IG636" s="20"/>
      <c r="IH636" s="19"/>
      <c r="II636" s="93"/>
      <c r="IJ636" s="93"/>
      <c r="IK636" s="93"/>
      <c r="IL636" s="93"/>
      <c r="IM636" s="93"/>
      <c r="IN636" s="93"/>
      <c r="IO636" s="20"/>
      <c r="IP636" s="29"/>
      <c r="IQ636" s="19"/>
      <c r="IR636" s="93"/>
      <c r="IS636" s="93"/>
      <c r="IT636" s="93"/>
      <c r="IU636" s="93"/>
      <c r="IV636" s="20"/>
      <c r="IW636" s="29"/>
      <c r="IX636" s="19"/>
      <c r="IY636" s="93"/>
      <c r="IZ636" s="93"/>
      <c r="JA636" s="93"/>
      <c r="JB636" s="93"/>
      <c r="JC636" s="93"/>
      <c r="JD636" s="93"/>
      <c r="JE636" s="20"/>
      <c r="JF636" s="29"/>
      <c r="JG636" s="19"/>
      <c r="JH636" s="93"/>
      <c r="JI636" s="93"/>
      <c r="JJ636" s="93"/>
      <c r="JK636" s="93"/>
      <c r="JL636" s="93"/>
      <c r="JM636" s="93"/>
      <c r="JN636" s="20"/>
      <c r="JO636" s="29"/>
      <c r="JP636" s="19"/>
      <c r="JQ636" s="93"/>
      <c r="JR636" s="93"/>
      <c r="JS636" s="93"/>
      <c r="JT636" s="93"/>
      <c r="JU636" s="20"/>
      <c r="JV636" s="29"/>
      <c r="JW636" s="1504">
        <v>53813</v>
      </c>
      <c r="JX636" s="19"/>
      <c r="JY636" s="93"/>
      <c r="JZ636" s="93"/>
      <c r="KA636" s="93"/>
      <c r="KB636" s="93"/>
      <c r="KC636" s="93"/>
      <c r="KD636" s="20"/>
      <c r="KE636" s="29"/>
      <c r="KF636" s="19"/>
      <c r="KG636" s="93"/>
      <c r="KH636" s="93"/>
      <c r="KI636" s="93"/>
      <c r="KJ636" s="93"/>
      <c r="KK636" s="20"/>
      <c r="KL636" s="29"/>
      <c r="KM636" s="19"/>
      <c r="KN636" s="93"/>
      <c r="KO636" s="93"/>
      <c r="KP636" s="93"/>
      <c r="KQ636" s="93"/>
      <c r="KR636" s="20"/>
      <c r="KS636" s="29"/>
      <c r="KT636" s="19"/>
      <c r="KU636" s="93"/>
      <c r="KV636" s="93"/>
      <c r="KW636" s="93"/>
      <c r="KX636" s="93"/>
      <c r="KY636" s="20"/>
      <c r="KZ636" s="29"/>
      <c r="LA636" s="1504">
        <v>53813</v>
      </c>
      <c r="LB636" s="19"/>
      <c r="LC636" s="93"/>
      <c r="LD636" s="93"/>
      <c r="LE636" s="93"/>
      <c r="LF636" s="93"/>
      <c r="LG636" s="93"/>
      <c r="LH636" s="20"/>
      <c r="LI636" s="29"/>
      <c r="LJ636" s="19"/>
      <c r="LK636" s="93"/>
      <c r="LL636" s="93"/>
      <c r="LM636" s="93"/>
      <c r="LN636" s="93"/>
      <c r="LO636" s="20"/>
      <c r="LP636" s="29"/>
      <c r="LQ636" s="19"/>
      <c r="LR636" s="93"/>
      <c r="LS636" s="93"/>
      <c r="LT636" s="93"/>
      <c r="LU636" s="93"/>
      <c r="LV636" s="93"/>
      <c r="LW636" s="93"/>
      <c r="LX636" s="93"/>
      <c r="LY636" s="93"/>
      <c r="LZ636" s="93"/>
      <c r="MA636" s="20"/>
      <c r="MB636" s="29"/>
      <c r="MC636" s="1504">
        <v>53813</v>
      </c>
      <c r="MD636" s="19"/>
      <c r="ME636" s="93"/>
      <c r="MF636" s="93"/>
      <c r="MG636" s="93"/>
      <c r="MH636" s="93"/>
      <c r="MI636" s="93"/>
      <c r="MJ636" s="93"/>
      <c r="MK636" s="93"/>
      <c r="ML636" s="93"/>
      <c r="MM636" s="93"/>
      <c r="MN636" s="93"/>
      <c r="MO636" s="93"/>
      <c r="MP636" s="93"/>
      <c r="MQ636" s="93"/>
      <c r="MR636" s="93"/>
      <c r="MS636" s="93"/>
      <c r="MT636" s="93"/>
      <c r="MU636" s="93"/>
      <c r="MV636" s="93"/>
      <c r="MW636" s="93"/>
      <c r="MX636" s="93"/>
      <c r="MY636" s="93"/>
      <c r="MZ636" s="93"/>
      <c r="NA636" s="93"/>
      <c r="NB636" s="93"/>
      <c r="NC636" s="93"/>
      <c r="ND636" s="93"/>
      <c r="NE636" s="93"/>
      <c r="NF636" s="93"/>
      <c r="NG636" s="93"/>
      <c r="NH636" s="93"/>
      <c r="NI636" s="93"/>
      <c r="NJ636" s="93"/>
      <c r="NK636" s="93"/>
      <c r="NL636" s="93"/>
      <c r="NM636" s="93"/>
      <c r="NN636" s="93"/>
      <c r="NO636" s="93"/>
      <c r="NP636" s="93"/>
      <c r="NQ636" s="93"/>
      <c r="NR636" s="93"/>
      <c r="NS636" s="93"/>
      <c r="NT636" s="93"/>
      <c r="NU636" s="93"/>
      <c r="NV636" s="93"/>
      <c r="NW636" s="93"/>
      <c r="NX636" s="93"/>
      <c r="NY636" s="93"/>
      <c r="NZ636" s="93"/>
      <c r="OA636" s="93"/>
      <c r="OB636" s="93"/>
      <c r="OC636" s="93"/>
      <c r="OD636" s="20"/>
      <c r="OE636" s="29"/>
      <c r="OF636" s="1504">
        <v>53813</v>
      </c>
      <c r="OG636" s="19"/>
      <c r="OH636" s="93"/>
      <c r="OI636" s="93"/>
      <c r="OJ636" s="93"/>
      <c r="OK636" s="93"/>
      <c r="OL636" s="93"/>
      <c r="OM636" s="93"/>
      <c r="ON636" s="93"/>
      <c r="OO636" s="93"/>
      <c r="OP636" s="93"/>
      <c r="OQ636" s="93"/>
      <c r="OR636" s="93"/>
      <c r="OS636" s="93"/>
      <c r="OT636" s="93"/>
      <c r="OU636" s="93"/>
      <c r="OV636" s="93"/>
      <c r="OW636" s="93"/>
      <c r="OX636" s="93"/>
      <c r="OY636" s="93"/>
      <c r="OZ636" s="93"/>
      <c r="PA636" s="93"/>
      <c r="PB636" s="93"/>
      <c r="PC636" s="20"/>
      <c r="PD636" s="29"/>
      <c r="PE636" s="19"/>
      <c r="PF636" s="93"/>
      <c r="PG636" s="93"/>
      <c r="PH636" s="93"/>
      <c r="PI636" s="93"/>
      <c r="PJ636" s="93"/>
      <c r="PK636" s="93"/>
      <c r="PL636" s="93"/>
      <c r="PM636" s="93"/>
      <c r="PN636" s="93"/>
      <c r="PO636" s="93"/>
      <c r="PP636" s="93"/>
      <c r="PQ636" s="93"/>
      <c r="PR636" s="93"/>
      <c r="PS636" s="93"/>
      <c r="PT636" s="93"/>
      <c r="PU636" s="93"/>
      <c r="PV636" s="93"/>
      <c r="PW636" s="93"/>
      <c r="PX636" s="93"/>
      <c r="PY636" s="93"/>
      <c r="PZ636" s="93"/>
      <c r="QA636" s="93"/>
      <c r="QB636" s="93"/>
      <c r="QC636" s="93"/>
      <c r="QD636" s="93"/>
      <c r="QE636" s="20"/>
      <c r="QF636" s="1739"/>
      <c r="QG636" s="19"/>
      <c r="QH636" s="93"/>
      <c r="QI636" s="93"/>
      <c r="QJ636" s="93"/>
      <c r="QK636" s="93"/>
      <c r="QL636" s="93"/>
      <c r="QM636" s="93"/>
      <c r="QN636" s="93"/>
      <c r="QO636" s="93"/>
      <c r="QP636" s="93"/>
      <c r="QQ636" s="93"/>
      <c r="QR636" s="93"/>
      <c r="QS636" s="93"/>
      <c r="QT636" s="93"/>
      <c r="QU636" s="93"/>
      <c r="QV636" s="93"/>
      <c r="QW636" s="93"/>
      <c r="QX636" s="93"/>
      <c r="QY636" s="93"/>
      <c r="QZ636" s="93"/>
      <c r="RA636" s="93"/>
      <c r="RB636" s="93"/>
      <c r="RC636" s="93"/>
      <c r="RD636" s="93"/>
      <c r="RE636" s="93"/>
      <c r="RF636" s="93"/>
      <c r="RG636" s="93"/>
      <c r="RH636" s="93"/>
      <c r="RI636" s="93"/>
      <c r="RJ636" s="93"/>
      <c r="RK636" s="93"/>
      <c r="RL636" s="93"/>
      <c r="RM636" s="20"/>
      <c r="RN636" s="29"/>
      <c r="RO636" s="19"/>
      <c r="RP636" s="20"/>
      <c r="RQ636" s="29"/>
      <c r="RR636" s="20"/>
      <c r="RS636" s="29"/>
      <c r="RT636" s="1504">
        <v>53813</v>
      </c>
      <c r="RU636" s="19"/>
      <c r="RV636" s="20"/>
      <c r="RW636" s="29"/>
      <c r="RX636" s="1504">
        <v>53813</v>
      </c>
      <c r="RY636" s="29"/>
      <c r="RZ636" s="20"/>
      <c r="SA636" s="29"/>
      <c r="SB636" s="29"/>
    </row>
    <row r="637" spans="1:496">
      <c r="A637" s="41">
        <f t="shared" si="364"/>
        <v>2047</v>
      </c>
      <c r="B637" s="1504">
        <v>53844</v>
      </c>
      <c r="C637" s="1813"/>
      <c r="D637" s="1814"/>
      <c r="E637" s="1814"/>
      <c r="F637" s="1815"/>
      <c r="G637" s="1814"/>
      <c r="H637" s="1814"/>
      <c r="I637" s="1814"/>
      <c r="J637" s="1816"/>
      <c r="K637" s="1807"/>
      <c r="L637" s="25"/>
      <c r="M637" s="97"/>
      <c r="N637" s="1504">
        <v>53844</v>
      </c>
      <c r="O637" s="19"/>
      <c r="P637" s="93"/>
      <c r="Q637" s="93"/>
      <c r="R637" s="93"/>
      <c r="S637" s="93"/>
      <c r="T637" s="93"/>
      <c r="U637" s="93"/>
      <c r="V637" s="93"/>
      <c r="W637" s="93"/>
      <c r="X637" s="93"/>
      <c r="Y637" s="93"/>
      <c r="Z637" s="93"/>
      <c r="AA637" s="93"/>
      <c r="AB637" s="20"/>
      <c r="AC637" s="25"/>
      <c r="AD637" s="97"/>
      <c r="AE637" s="1504">
        <v>53844</v>
      </c>
      <c r="AF637" s="19"/>
      <c r="AG637" s="93"/>
      <c r="AH637" s="93"/>
      <c r="AI637" s="93"/>
      <c r="AJ637" s="93"/>
      <c r="AK637" s="93"/>
      <c r="AL637" s="93"/>
      <c r="AM637" s="93"/>
      <c r="AN637" s="93"/>
      <c r="AO637" s="93"/>
      <c r="AP637" s="93"/>
      <c r="AQ637" s="93"/>
      <c r="AR637" s="93"/>
      <c r="AS637" s="20"/>
      <c r="AT637" s="25"/>
      <c r="AU637" s="97"/>
      <c r="AV637" s="1504">
        <v>53844</v>
      </c>
      <c r="AW637" s="19"/>
      <c r="AX637" s="93"/>
      <c r="AY637" s="93"/>
      <c r="AZ637" s="93"/>
      <c r="BA637" s="93"/>
      <c r="BB637" s="93"/>
      <c r="BC637" s="93"/>
      <c r="BD637" s="93"/>
      <c r="BE637" s="93"/>
      <c r="BF637" s="93"/>
      <c r="BG637" s="93"/>
      <c r="BH637" s="93"/>
      <c r="BI637" s="93"/>
      <c r="BJ637" s="20"/>
      <c r="BK637" s="25"/>
      <c r="BL637" s="97"/>
      <c r="BM637" s="1504">
        <v>53844</v>
      </c>
      <c r="BN637" s="19"/>
      <c r="BO637" s="93"/>
      <c r="BP637" s="93"/>
      <c r="BQ637" s="93"/>
      <c r="BR637" s="93"/>
      <c r="BS637" s="93"/>
      <c r="BT637" s="93"/>
      <c r="BU637" s="20"/>
      <c r="BV637" s="25"/>
      <c r="BW637" s="97"/>
      <c r="BX637" s="1504">
        <v>53844</v>
      </c>
      <c r="BY637" s="19"/>
      <c r="BZ637" s="93"/>
      <c r="CA637" s="93"/>
      <c r="CB637" s="93"/>
      <c r="CC637" s="93"/>
      <c r="CD637" s="25"/>
      <c r="CE637" s="97"/>
      <c r="CF637" s="1504">
        <v>53844</v>
      </c>
      <c r="CG637" s="19"/>
      <c r="CH637" s="93"/>
      <c r="CI637" s="219"/>
      <c r="CJ637" s="20"/>
      <c r="CK637" s="19"/>
      <c r="CL637" s="93"/>
      <c r="CM637" s="93"/>
      <c r="CN637" s="93"/>
      <c r="CO637" s="93"/>
      <c r="CP637" s="20"/>
      <c r="CQ637" s="219"/>
      <c r="CR637" s="93"/>
      <c r="CS637" s="93"/>
      <c r="CT637" s="93"/>
      <c r="CU637" s="93"/>
      <c r="CV637" s="214"/>
      <c r="CW637" s="29"/>
      <c r="CX637" s="41">
        <f t="shared" si="363"/>
        <v>2047</v>
      </c>
      <c r="CY637" s="1504">
        <v>53844</v>
      </c>
      <c r="CZ637" s="19"/>
      <c r="DA637" s="93"/>
      <c r="DB637" s="93"/>
      <c r="DC637" s="93"/>
      <c r="DD637" s="93"/>
      <c r="DE637" s="20"/>
      <c r="DF637" s="29"/>
      <c r="DG637" s="1504">
        <v>53844</v>
      </c>
      <c r="DH637" s="19"/>
      <c r="DI637" s="93"/>
      <c r="DJ637" s="93"/>
      <c r="DK637" s="93"/>
      <c r="DL637" s="93"/>
      <c r="DM637" s="93"/>
      <c r="DN637" s="20"/>
      <c r="DO637" s="295"/>
      <c r="DP637" s="29"/>
      <c r="DQ637" s="1504">
        <v>53844</v>
      </c>
      <c r="DR637" s="19"/>
      <c r="DS637" s="93"/>
      <c r="DT637" s="93"/>
      <c r="DU637" s="93"/>
      <c r="DV637" s="93"/>
      <c r="DW637" s="93"/>
      <c r="DX637" s="20"/>
      <c r="DY637" s="29"/>
      <c r="DZ637" s="1504">
        <v>53844</v>
      </c>
      <c r="EA637" s="19"/>
      <c r="EB637" s="93"/>
      <c r="EC637" s="20"/>
      <c r="ED637" s="29"/>
      <c r="EE637" s="1504">
        <v>53844</v>
      </c>
      <c r="EF637" s="19"/>
      <c r="EG637" s="93"/>
      <c r="EH637" s="93"/>
      <c r="EI637" s="214"/>
      <c r="EJ637" s="93"/>
      <c r="EK637" s="93"/>
      <c r="EL637" s="93"/>
      <c r="EM637" s="93"/>
      <c r="EN637" s="20"/>
      <c r="EO637" s="29"/>
      <c r="EP637" s="1504">
        <v>53844</v>
      </c>
      <c r="EQ637" s="19"/>
      <c r="ER637" s="93"/>
      <c r="ES637" s="93"/>
      <c r="ET637" s="214"/>
      <c r="EU637" s="93"/>
      <c r="EV637" s="93"/>
      <c r="EW637" s="93"/>
      <c r="EX637" s="93"/>
      <c r="EY637" s="20"/>
      <c r="EZ637" s="29"/>
      <c r="FA637" s="1504">
        <v>53844</v>
      </c>
      <c r="FB637" s="29"/>
      <c r="FC637" s="29"/>
      <c r="FD637" s="29"/>
      <c r="FE637" s="29"/>
      <c r="FF637" s="29"/>
      <c r="FG637" s="29"/>
      <c r="FH637" s="29"/>
      <c r="FI637" s="29"/>
      <c r="FJ637" s="29"/>
      <c r="FK637" s="29"/>
      <c r="FL637" s="1504">
        <v>53844</v>
      </c>
      <c r="FM637" s="19"/>
      <c r="FN637" s="93"/>
      <c r="FO637" s="93"/>
      <c r="FP637" s="93"/>
      <c r="FQ637" s="93"/>
      <c r="FR637" s="93"/>
      <c r="FS637" s="93"/>
      <c r="FT637" s="93"/>
      <c r="FU637" s="93"/>
      <c r="FV637" s="93"/>
      <c r="FW637" s="93"/>
      <c r="FX637" s="93"/>
      <c r="FY637" s="93"/>
      <c r="FZ637" s="29"/>
      <c r="GA637" s="1504">
        <v>53844</v>
      </c>
      <c r="GB637" s="19"/>
      <c r="GC637" s="93"/>
      <c r="GD637" s="93"/>
      <c r="GE637" s="93"/>
      <c r="GF637" s="93"/>
      <c r="GG637" s="93"/>
      <c r="GH637" s="93"/>
      <c r="GI637" s="93"/>
      <c r="GJ637" s="93"/>
      <c r="GK637" s="93"/>
      <c r="GL637" s="93"/>
      <c r="GM637" s="93"/>
      <c r="GN637" s="20"/>
      <c r="GO637" s="29"/>
      <c r="GP637" s="1504">
        <v>53844</v>
      </c>
      <c r="GQ637" s="19"/>
      <c r="GR637" s="93"/>
      <c r="GS637" s="93"/>
      <c r="GT637" s="93"/>
      <c r="GU637" s="93"/>
      <c r="GV637" s="20"/>
      <c r="GW637" s="19"/>
      <c r="GX637" s="93"/>
      <c r="GY637" s="93"/>
      <c r="GZ637" s="93"/>
      <c r="HA637" s="93"/>
      <c r="HB637" s="20"/>
      <c r="HC637" s="19"/>
      <c r="HD637" s="93"/>
      <c r="HE637" s="93"/>
      <c r="HF637" s="93"/>
      <c r="HG637" s="93"/>
      <c r="HH637" s="20"/>
      <c r="HI637" s="19"/>
      <c r="HJ637" s="93"/>
      <c r="HK637" s="93"/>
      <c r="HL637" s="93"/>
      <c r="HM637" s="93"/>
      <c r="HN637" s="20"/>
      <c r="HO637" s="219"/>
      <c r="HP637" s="20"/>
      <c r="HQ637" s="25"/>
      <c r="HR637" s="29"/>
      <c r="HS637" s="1504">
        <v>53844</v>
      </c>
      <c r="HT637" s="19"/>
      <c r="HU637" s="93"/>
      <c r="HV637" s="93"/>
      <c r="HW637" s="93"/>
      <c r="HX637" s="93"/>
      <c r="HY637" s="93"/>
      <c r="HZ637" s="93"/>
      <c r="IA637" s="20"/>
      <c r="IB637" s="19"/>
      <c r="IC637" s="93"/>
      <c r="ID637" s="93"/>
      <c r="IE637" s="93"/>
      <c r="IF637" s="93"/>
      <c r="IG637" s="20"/>
      <c r="IH637" s="19"/>
      <c r="II637" s="93"/>
      <c r="IJ637" s="93"/>
      <c r="IK637" s="93"/>
      <c r="IL637" s="93"/>
      <c r="IM637" s="93"/>
      <c r="IN637" s="93"/>
      <c r="IO637" s="20"/>
      <c r="IP637" s="29"/>
      <c r="IQ637" s="19"/>
      <c r="IR637" s="93"/>
      <c r="IS637" s="93"/>
      <c r="IT637" s="93"/>
      <c r="IU637" s="93"/>
      <c r="IV637" s="20"/>
      <c r="IW637" s="29"/>
      <c r="IX637" s="19"/>
      <c r="IY637" s="93"/>
      <c r="IZ637" s="93"/>
      <c r="JA637" s="93"/>
      <c r="JB637" s="93"/>
      <c r="JC637" s="93"/>
      <c r="JD637" s="93"/>
      <c r="JE637" s="20"/>
      <c r="JF637" s="29"/>
      <c r="JG637" s="19"/>
      <c r="JH637" s="93"/>
      <c r="JI637" s="93"/>
      <c r="JJ637" s="93"/>
      <c r="JK637" s="93"/>
      <c r="JL637" s="93"/>
      <c r="JM637" s="93"/>
      <c r="JN637" s="20"/>
      <c r="JO637" s="29"/>
      <c r="JP637" s="19"/>
      <c r="JQ637" s="93"/>
      <c r="JR637" s="93"/>
      <c r="JS637" s="93"/>
      <c r="JT637" s="93"/>
      <c r="JU637" s="20"/>
      <c r="JV637" s="29"/>
      <c r="JW637" s="1504">
        <v>53844</v>
      </c>
      <c r="JX637" s="19"/>
      <c r="JY637" s="93"/>
      <c r="JZ637" s="93"/>
      <c r="KA637" s="93"/>
      <c r="KB637" s="93"/>
      <c r="KC637" s="93"/>
      <c r="KD637" s="20"/>
      <c r="KE637" s="29"/>
      <c r="KF637" s="19"/>
      <c r="KG637" s="93"/>
      <c r="KH637" s="93"/>
      <c r="KI637" s="93"/>
      <c r="KJ637" s="93"/>
      <c r="KK637" s="20"/>
      <c r="KL637" s="29"/>
      <c r="KM637" s="19"/>
      <c r="KN637" s="93"/>
      <c r="KO637" s="93"/>
      <c r="KP637" s="93"/>
      <c r="KQ637" s="93"/>
      <c r="KR637" s="20"/>
      <c r="KS637" s="29"/>
      <c r="KT637" s="19"/>
      <c r="KU637" s="93"/>
      <c r="KV637" s="93"/>
      <c r="KW637" s="93"/>
      <c r="KX637" s="93"/>
      <c r="KY637" s="20"/>
      <c r="KZ637" s="29"/>
      <c r="LA637" s="1504">
        <v>53844</v>
      </c>
      <c r="LB637" s="19"/>
      <c r="LC637" s="93"/>
      <c r="LD637" s="93"/>
      <c r="LE637" s="93"/>
      <c r="LF637" s="93"/>
      <c r="LG637" s="93"/>
      <c r="LH637" s="20"/>
      <c r="LI637" s="29"/>
      <c r="LJ637" s="19"/>
      <c r="LK637" s="93"/>
      <c r="LL637" s="93"/>
      <c r="LM637" s="93"/>
      <c r="LN637" s="93"/>
      <c r="LO637" s="20"/>
      <c r="LP637" s="29"/>
      <c r="LQ637" s="19"/>
      <c r="LR637" s="93"/>
      <c r="LS637" s="93"/>
      <c r="LT637" s="93"/>
      <c r="LU637" s="93"/>
      <c r="LV637" s="93"/>
      <c r="LW637" s="93"/>
      <c r="LX637" s="93"/>
      <c r="LY637" s="93"/>
      <c r="LZ637" s="93"/>
      <c r="MA637" s="20"/>
      <c r="MB637" s="29"/>
      <c r="MC637" s="1504">
        <v>53844</v>
      </c>
      <c r="MD637" s="19"/>
      <c r="ME637" s="93"/>
      <c r="MF637" s="93"/>
      <c r="MG637" s="93"/>
      <c r="MH637" s="93"/>
      <c r="MI637" s="93"/>
      <c r="MJ637" s="93"/>
      <c r="MK637" s="93"/>
      <c r="ML637" s="93"/>
      <c r="MM637" s="93"/>
      <c r="MN637" s="93"/>
      <c r="MO637" s="93"/>
      <c r="MP637" s="93"/>
      <c r="MQ637" s="93"/>
      <c r="MR637" s="93"/>
      <c r="MS637" s="93"/>
      <c r="MT637" s="93"/>
      <c r="MU637" s="93"/>
      <c r="MV637" s="93"/>
      <c r="MW637" s="93"/>
      <c r="MX637" s="93"/>
      <c r="MY637" s="93"/>
      <c r="MZ637" s="93"/>
      <c r="NA637" s="93"/>
      <c r="NB637" s="93"/>
      <c r="NC637" s="93"/>
      <c r="ND637" s="93"/>
      <c r="NE637" s="93"/>
      <c r="NF637" s="93"/>
      <c r="NG637" s="93"/>
      <c r="NH637" s="93"/>
      <c r="NI637" s="93"/>
      <c r="NJ637" s="93"/>
      <c r="NK637" s="93"/>
      <c r="NL637" s="93"/>
      <c r="NM637" s="93"/>
      <c r="NN637" s="93"/>
      <c r="NO637" s="93"/>
      <c r="NP637" s="93"/>
      <c r="NQ637" s="93"/>
      <c r="NR637" s="93"/>
      <c r="NS637" s="93"/>
      <c r="NT637" s="93"/>
      <c r="NU637" s="93"/>
      <c r="NV637" s="93"/>
      <c r="NW637" s="93"/>
      <c r="NX637" s="93"/>
      <c r="NY637" s="93"/>
      <c r="NZ637" s="93"/>
      <c r="OA637" s="93"/>
      <c r="OB637" s="93"/>
      <c r="OC637" s="93"/>
      <c r="OD637" s="20"/>
      <c r="OE637" s="29"/>
      <c r="OF637" s="1504">
        <v>53844</v>
      </c>
      <c r="OG637" s="19"/>
      <c r="OH637" s="93"/>
      <c r="OI637" s="93"/>
      <c r="OJ637" s="93"/>
      <c r="OK637" s="93"/>
      <c r="OL637" s="93"/>
      <c r="OM637" s="93"/>
      <c r="ON637" s="93"/>
      <c r="OO637" s="93"/>
      <c r="OP637" s="93"/>
      <c r="OQ637" s="93"/>
      <c r="OR637" s="93"/>
      <c r="OS637" s="93"/>
      <c r="OT637" s="93"/>
      <c r="OU637" s="93"/>
      <c r="OV637" s="93"/>
      <c r="OW637" s="93"/>
      <c r="OX637" s="93"/>
      <c r="OY637" s="93"/>
      <c r="OZ637" s="93"/>
      <c r="PA637" s="93"/>
      <c r="PB637" s="93"/>
      <c r="PC637" s="20"/>
      <c r="PD637" s="29"/>
      <c r="PE637" s="19"/>
      <c r="PF637" s="93"/>
      <c r="PG637" s="93"/>
      <c r="PH637" s="93"/>
      <c r="PI637" s="93"/>
      <c r="PJ637" s="93"/>
      <c r="PK637" s="93"/>
      <c r="PL637" s="93"/>
      <c r="PM637" s="93"/>
      <c r="PN637" s="93"/>
      <c r="PO637" s="93"/>
      <c r="PP637" s="93"/>
      <c r="PQ637" s="93"/>
      <c r="PR637" s="93"/>
      <c r="PS637" s="93"/>
      <c r="PT637" s="93"/>
      <c r="PU637" s="93"/>
      <c r="PV637" s="93"/>
      <c r="PW637" s="93"/>
      <c r="PX637" s="93"/>
      <c r="PY637" s="93"/>
      <c r="PZ637" s="93"/>
      <c r="QA637" s="93"/>
      <c r="QB637" s="93"/>
      <c r="QC637" s="93"/>
      <c r="QD637" s="93"/>
      <c r="QE637" s="20"/>
      <c r="QF637" s="1739"/>
      <c r="QG637" s="19"/>
      <c r="QH637" s="93"/>
      <c r="QI637" s="93"/>
      <c r="QJ637" s="93"/>
      <c r="QK637" s="93"/>
      <c r="QL637" s="93"/>
      <c r="QM637" s="93"/>
      <c r="QN637" s="93"/>
      <c r="QO637" s="93"/>
      <c r="QP637" s="93"/>
      <c r="QQ637" s="93"/>
      <c r="QR637" s="93"/>
      <c r="QS637" s="93"/>
      <c r="QT637" s="93"/>
      <c r="QU637" s="93"/>
      <c r="QV637" s="93"/>
      <c r="QW637" s="93"/>
      <c r="QX637" s="93"/>
      <c r="QY637" s="93"/>
      <c r="QZ637" s="93"/>
      <c r="RA637" s="93"/>
      <c r="RB637" s="93"/>
      <c r="RC637" s="93"/>
      <c r="RD637" s="93"/>
      <c r="RE637" s="93"/>
      <c r="RF637" s="93"/>
      <c r="RG637" s="93"/>
      <c r="RH637" s="93"/>
      <c r="RI637" s="93"/>
      <c r="RJ637" s="93"/>
      <c r="RK637" s="93"/>
      <c r="RL637" s="93"/>
      <c r="RM637" s="20"/>
      <c r="RN637" s="29"/>
      <c r="RO637" s="19"/>
      <c r="RP637" s="20"/>
      <c r="RQ637" s="29"/>
      <c r="RR637" s="20"/>
      <c r="RS637" s="29"/>
      <c r="RT637" s="1504">
        <v>53844</v>
      </c>
      <c r="RU637" s="19"/>
      <c r="RV637" s="20"/>
      <c r="RW637" s="29"/>
      <c r="RX637" s="1504">
        <v>53844</v>
      </c>
      <c r="RY637" s="29"/>
      <c r="RZ637" s="20"/>
      <c r="SA637" s="29"/>
      <c r="SB637" s="29"/>
    </row>
    <row r="638" spans="1:496">
      <c r="A638" s="41">
        <f t="shared" si="364"/>
        <v>2047</v>
      </c>
      <c r="B638" s="1504">
        <v>53874</v>
      </c>
      <c r="C638" s="1813"/>
      <c r="D638" s="1814"/>
      <c r="E638" s="1814"/>
      <c r="F638" s="1815"/>
      <c r="G638" s="1814"/>
      <c r="H638" s="1814"/>
      <c r="I638" s="1814"/>
      <c r="J638" s="1816"/>
      <c r="K638" s="1807"/>
      <c r="L638" s="25"/>
      <c r="M638" s="97"/>
      <c r="N638" s="1504">
        <v>53874</v>
      </c>
      <c r="O638" s="19"/>
      <c r="P638" s="93"/>
      <c r="Q638" s="93"/>
      <c r="R638" s="93"/>
      <c r="S638" s="93"/>
      <c r="T638" s="93"/>
      <c r="U638" s="93"/>
      <c r="V638" s="93"/>
      <c r="W638" s="93"/>
      <c r="X638" s="93"/>
      <c r="Y638" s="93"/>
      <c r="Z638" s="93"/>
      <c r="AA638" s="93"/>
      <c r="AB638" s="20"/>
      <c r="AC638" s="25"/>
      <c r="AD638" s="97"/>
      <c r="AE638" s="1504">
        <v>53874</v>
      </c>
      <c r="AF638" s="19"/>
      <c r="AG638" s="93"/>
      <c r="AH638" s="93"/>
      <c r="AI638" s="93"/>
      <c r="AJ638" s="93"/>
      <c r="AK638" s="93"/>
      <c r="AL638" s="93"/>
      <c r="AM638" s="93"/>
      <c r="AN638" s="93"/>
      <c r="AO638" s="93"/>
      <c r="AP638" s="93"/>
      <c r="AQ638" s="93"/>
      <c r="AR638" s="93"/>
      <c r="AS638" s="20"/>
      <c r="AT638" s="25"/>
      <c r="AU638" s="97"/>
      <c r="AV638" s="1504">
        <v>53874</v>
      </c>
      <c r="AW638" s="19"/>
      <c r="AX638" s="93"/>
      <c r="AY638" s="93"/>
      <c r="AZ638" s="93"/>
      <c r="BA638" s="93"/>
      <c r="BB638" s="93"/>
      <c r="BC638" s="93"/>
      <c r="BD638" s="93"/>
      <c r="BE638" s="93"/>
      <c r="BF638" s="93"/>
      <c r="BG638" s="93"/>
      <c r="BH638" s="93"/>
      <c r="BI638" s="93"/>
      <c r="BJ638" s="20"/>
      <c r="BK638" s="25"/>
      <c r="BL638" s="97"/>
      <c r="BM638" s="1504">
        <v>53874</v>
      </c>
      <c r="BN638" s="19"/>
      <c r="BO638" s="93"/>
      <c r="BP638" s="93"/>
      <c r="BQ638" s="93"/>
      <c r="BR638" s="93"/>
      <c r="BS638" s="93"/>
      <c r="BT638" s="93"/>
      <c r="BU638" s="20"/>
      <c r="BV638" s="25"/>
      <c r="BW638" s="97"/>
      <c r="BX638" s="1504">
        <v>53874</v>
      </c>
      <c r="BY638" s="19"/>
      <c r="BZ638" s="93"/>
      <c r="CA638" s="93"/>
      <c r="CB638" s="93"/>
      <c r="CC638" s="93"/>
      <c r="CD638" s="25"/>
      <c r="CE638" s="97"/>
      <c r="CF638" s="1504">
        <v>53874</v>
      </c>
      <c r="CG638" s="19"/>
      <c r="CH638" s="93"/>
      <c r="CI638" s="219"/>
      <c r="CJ638" s="20"/>
      <c r="CK638" s="19"/>
      <c r="CL638" s="93"/>
      <c r="CM638" s="93"/>
      <c r="CN638" s="93"/>
      <c r="CO638" s="93"/>
      <c r="CP638" s="20"/>
      <c r="CQ638" s="219"/>
      <c r="CR638" s="93"/>
      <c r="CS638" s="93"/>
      <c r="CT638" s="93"/>
      <c r="CU638" s="93"/>
      <c r="CV638" s="214"/>
      <c r="CW638" s="29"/>
      <c r="CX638" s="41">
        <f t="shared" si="363"/>
        <v>2047</v>
      </c>
      <c r="CY638" s="1504">
        <v>53874</v>
      </c>
      <c r="CZ638" s="19"/>
      <c r="DA638" s="93"/>
      <c r="DB638" s="93"/>
      <c r="DC638" s="93"/>
      <c r="DD638" s="93"/>
      <c r="DE638" s="20"/>
      <c r="DF638" s="29"/>
      <c r="DG638" s="1504">
        <v>53874</v>
      </c>
      <c r="DH638" s="19"/>
      <c r="DI638" s="93"/>
      <c r="DJ638" s="93"/>
      <c r="DK638" s="93"/>
      <c r="DL638" s="93"/>
      <c r="DM638" s="93"/>
      <c r="DN638" s="20"/>
      <c r="DO638" s="295"/>
      <c r="DP638" s="29"/>
      <c r="DQ638" s="1504">
        <v>53874</v>
      </c>
      <c r="DR638" s="19"/>
      <c r="DS638" s="93"/>
      <c r="DT638" s="93"/>
      <c r="DU638" s="93"/>
      <c r="DV638" s="93"/>
      <c r="DW638" s="93"/>
      <c r="DX638" s="20"/>
      <c r="DY638" s="29"/>
      <c r="DZ638" s="1504">
        <v>53874</v>
      </c>
      <c r="EA638" s="19"/>
      <c r="EB638" s="93"/>
      <c r="EC638" s="20"/>
      <c r="ED638" s="29"/>
      <c r="EE638" s="1504">
        <v>53874</v>
      </c>
      <c r="EF638" s="19"/>
      <c r="EG638" s="93"/>
      <c r="EH638" s="93"/>
      <c r="EI638" s="214"/>
      <c r="EJ638" s="93"/>
      <c r="EK638" s="93"/>
      <c r="EL638" s="93"/>
      <c r="EM638" s="93"/>
      <c r="EN638" s="20"/>
      <c r="EO638" s="29"/>
      <c r="EP638" s="1504">
        <v>53874</v>
      </c>
      <c r="EQ638" s="19"/>
      <c r="ER638" s="93"/>
      <c r="ES638" s="93"/>
      <c r="ET638" s="214"/>
      <c r="EU638" s="93"/>
      <c r="EV638" s="93"/>
      <c r="EW638" s="93"/>
      <c r="EX638" s="93"/>
      <c r="EY638" s="20"/>
      <c r="EZ638" s="29"/>
      <c r="FA638" s="1504">
        <v>53874</v>
      </c>
      <c r="FB638" s="29"/>
      <c r="FC638" s="29"/>
      <c r="FD638" s="29"/>
      <c r="FE638" s="29"/>
      <c r="FF638" s="29"/>
      <c r="FG638" s="29"/>
      <c r="FH638" s="29"/>
      <c r="FI638" s="29"/>
      <c r="FJ638" s="29"/>
      <c r="FK638" s="29"/>
      <c r="FL638" s="1504">
        <v>53874</v>
      </c>
      <c r="FM638" s="19"/>
      <c r="FN638" s="93"/>
      <c r="FO638" s="93"/>
      <c r="FP638" s="93"/>
      <c r="FQ638" s="93"/>
      <c r="FR638" s="93"/>
      <c r="FS638" s="93"/>
      <c r="FT638" s="93"/>
      <c r="FU638" s="93"/>
      <c r="FV638" s="93"/>
      <c r="FW638" s="93"/>
      <c r="FX638" s="93"/>
      <c r="FY638" s="93"/>
      <c r="FZ638" s="29"/>
      <c r="GA638" s="1504">
        <v>53874</v>
      </c>
      <c r="GB638" s="19"/>
      <c r="GC638" s="93"/>
      <c r="GD638" s="93"/>
      <c r="GE638" s="93"/>
      <c r="GF638" s="93"/>
      <c r="GG638" s="93"/>
      <c r="GH638" s="93"/>
      <c r="GI638" s="93"/>
      <c r="GJ638" s="93"/>
      <c r="GK638" s="93"/>
      <c r="GL638" s="93"/>
      <c r="GM638" s="93"/>
      <c r="GN638" s="20"/>
      <c r="GO638" s="29"/>
      <c r="GP638" s="1504">
        <v>53874</v>
      </c>
      <c r="GQ638" s="19"/>
      <c r="GR638" s="93"/>
      <c r="GS638" s="93"/>
      <c r="GT638" s="93"/>
      <c r="GU638" s="93"/>
      <c r="GV638" s="20"/>
      <c r="GW638" s="19"/>
      <c r="GX638" s="93"/>
      <c r="GY638" s="93"/>
      <c r="GZ638" s="93"/>
      <c r="HA638" s="93"/>
      <c r="HB638" s="20"/>
      <c r="HC638" s="19"/>
      <c r="HD638" s="93"/>
      <c r="HE638" s="93"/>
      <c r="HF638" s="93"/>
      <c r="HG638" s="93"/>
      <c r="HH638" s="20"/>
      <c r="HI638" s="19"/>
      <c r="HJ638" s="93"/>
      <c r="HK638" s="93"/>
      <c r="HL638" s="93"/>
      <c r="HM638" s="93"/>
      <c r="HN638" s="20"/>
      <c r="HO638" s="219"/>
      <c r="HP638" s="20"/>
      <c r="HQ638" s="25"/>
      <c r="HR638" s="29"/>
      <c r="HS638" s="1504">
        <v>53874</v>
      </c>
      <c r="HT638" s="19"/>
      <c r="HU638" s="93"/>
      <c r="HV638" s="93"/>
      <c r="HW638" s="93"/>
      <c r="HX638" s="93"/>
      <c r="HY638" s="93"/>
      <c r="HZ638" s="93"/>
      <c r="IA638" s="20"/>
      <c r="IB638" s="19"/>
      <c r="IC638" s="93"/>
      <c r="ID638" s="93"/>
      <c r="IE638" s="93"/>
      <c r="IF638" s="93"/>
      <c r="IG638" s="20"/>
      <c r="IH638" s="19"/>
      <c r="II638" s="93"/>
      <c r="IJ638" s="93"/>
      <c r="IK638" s="93"/>
      <c r="IL638" s="93"/>
      <c r="IM638" s="93"/>
      <c r="IN638" s="93"/>
      <c r="IO638" s="20"/>
      <c r="IP638" s="29"/>
      <c r="IQ638" s="19"/>
      <c r="IR638" s="93"/>
      <c r="IS638" s="93"/>
      <c r="IT638" s="93"/>
      <c r="IU638" s="93"/>
      <c r="IV638" s="20"/>
      <c r="IW638" s="29"/>
      <c r="IX638" s="19"/>
      <c r="IY638" s="93"/>
      <c r="IZ638" s="93"/>
      <c r="JA638" s="93"/>
      <c r="JB638" s="93"/>
      <c r="JC638" s="93"/>
      <c r="JD638" s="93"/>
      <c r="JE638" s="20"/>
      <c r="JF638" s="29"/>
      <c r="JG638" s="19"/>
      <c r="JH638" s="93"/>
      <c r="JI638" s="93"/>
      <c r="JJ638" s="93"/>
      <c r="JK638" s="93"/>
      <c r="JL638" s="93"/>
      <c r="JM638" s="93"/>
      <c r="JN638" s="20"/>
      <c r="JO638" s="29"/>
      <c r="JP638" s="19"/>
      <c r="JQ638" s="93"/>
      <c r="JR638" s="93"/>
      <c r="JS638" s="93"/>
      <c r="JT638" s="93"/>
      <c r="JU638" s="20"/>
      <c r="JV638" s="29"/>
      <c r="JW638" s="1504">
        <v>53874</v>
      </c>
      <c r="JX638" s="19"/>
      <c r="JY638" s="93"/>
      <c r="JZ638" s="93"/>
      <c r="KA638" s="93"/>
      <c r="KB638" s="93"/>
      <c r="KC638" s="93"/>
      <c r="KD638" s="20"/>
      <c r="KE638" s="29"/>
      <c r="KF638" s="19"/>
      <c r="KG638" s="93"/>
      <c r="KH638" s="93"/>
      <c r="KI638" s="93"/>
      <c r="KJ638" s="93"/>
      <c r="KK638" s="20"/>
      <c r="KL638" s="29"/>
      <c r="KM638" s="19"/>
      <c r="KN638" s="93"/>
      <c r="KO638" s="93"/>
      <c r="KP638" s="93"/>
      <c r="KQ638" s="93"/>
      <c r="KR638" s="20"/>
      <c r="KS638" s="29"/>
      <c r="KT638" s="19"/>
      <c r="KU638" s="93"/>
      <c r="KV638" s="93"/>
      <c r="KW638" s="93"/>
      <c r="KX638" s="93"/>
      <c r="KY638" s="20"/>
      <c r="KZ638" s="29"/>
      <c r="LA638" s="1504">
        <v>53874</v>
      </c>
      <c r="LB638" s="19"/>
      <c r="LC638" s="93"/>
      <c r="LD638" s="93"/>
      <c r="LE638" s="93"/>
      <c r="LF638" s="93"/>
      <c r="LG638" s="93"/>
      <c r="LH638" s="20"/>
      <c r="LI638" s="29"/>
      <c r="LJ638" s="19"/>
      <c r="LK638" s="93"/>
      <c r="LL638" s="93"/>
      <c r="LM638" s="93"/>
      <c r="LN638" s="93"/>
      <c r="LO638" s="20"/>
      <c r="LP638" s="29"/>
      <c r="LQ638" s="19"/>
      <c r="LR638" s="93"/>
      <c r="LS638" s="93"/>
      <c r="LT638" s="93"/>
      <c r="LU638" s="93"/>
      <c r="LV638" s="93"/>
      <c r="LW638" s="93"/>
      <c r="LX638" s="93"/>
      <c r="LY638" s="93"/>
      <c r="LZ638" s="93"/>
      <c r="MA638" s="20"/>
      <c r="MB638" s="29"/>
      <c r="MC638" s="1504">
        <v>53874</v>
      </c>
      <c r="MD638" s="19"/>
      <c r="ME638" s="93"/>
      <c r="MF638" s="93"/>
      <c r="MG638" s="93"/>
      <c r="MH638" s="93"/>
      <c r="MI638" s="93"/>
      <c r="MJ638" s="93"/>
      <c r="MK638" s="93"/>
      <c r="ML638" s="93"/>
      <c r="MM638" s="93"/>
      <c r="MN638" s="93"/>
      <c r="MO638" s="93"/>
      <c r="MP638" s="93"/>
      <c r="MQ638" s="93"/>
      <c r="MR638" s="93"/>
      <c r="MS638" s="93"/>
      <c r="MT638" s="93"/>
      <c r="MU638" s="93"/>
      <c r="MV638" s="93"/>
      <c r="MW638" s="93"/>
      <c r="MX638" s="93"/>
      <c r="MY638" s="93"/>
      <c r="MZ638" s="93"/>
      <c r="NA638" s="93"/>
      <c r="NB638" s="93"/>
      <c r="NC638" s="93"/>
      <c r="ND638" s="93"/>
      <c r="NE638" s="93"/>
      <c r="NF638" s="93"/>
      <c r="NG638" s="93"/>
      <c r="NH638" s="93"/>
      <c r="NI638" s="93"/>
      <c r="NJ638" s="93"/>
      <c r="NK638" s="93"/>
      <c r="NL638" s="93"/>
      <c r="NM638" s="93"/>
      <c r="NN638" s="93"/>
      <c r="NO638" s="93"/>
      <c r="NP638" s="93"/>
      <c r="NQ638" s="93"/>
      <c r="NR638" s="93"/>
      <c r="NS638" s="93"/>
      <c r="NT638" s="93"/>
      <c r="NU638" s="93"/>
      <c r="NV638" s="93"/>
      <c r="NW638" s="93"/>
      <c r="NX638" s="93"/>
      <c r="NY638" s="93"/>
      <c r="NZ638" s="93"/>
      <c r="OA638" s="93"/>
      <c r="OB638" s="93"/>
      <c r="OC638" s="93"/>
      <c r="OD638" s="20"/>
      <c r="OE638" s="29"/>
      <c r="OF638" s="1504">
        <v>53874</v>
      </c>
      <c r="OG638" s="19"/>
      <c r="OH638" s="93"/>
      <c r="OI638" s="93"/>
      <c r="OJ638" s="93"/>
      <c r="OK638" s="93"/>
      <c r="OL638" s="93"/>
      <c r="OM638" s="93"/>
      <c r="ON638" s="93"/>
      <c r="OO638" s="93"/>
      <c r="OP638" s="93"/>
      <c r="OQ638" s="93"/>
      <c r="OR638" s="93"/>
      <c r="OS638" s="93"/>
      <c r="OT638" s="93"/>
      <c r="OU638" s="93"/>
      <c r="OV638" s="93"/>
      <c r="OW638" s="93"/>
      <c r="OX638" s="93"/>
      <c r="OY638" s="93"/>
      <c r="OZ638" s="93"/>
      <c r="PA638" s="93"/>
      <c r="PB638" s="93"/>
      <c r="PC638" s="20"/>
      <c r="PD638" s="29"/>
      <c r="PE638" s="19"/>
      <c r="PF638" s="93"/>
      <c r="PG638" s="93"/>
      <c r="PH638" s="93"/>
      <c r="PI638" s="93"/>
      <c r="PJ638" s="93"/>
      <c r="PK638" s="93"/>
      <c r="PL638" s="93"/>
      <c r="PM638" s="93"/>
      <c r="PN638" s="93"/>
      <c r="PO638" s="93"/>
      <c r="PP638" s="93"/>
      <c r="PQ638" s="93"/>
      <c r="PR638" s="93"/>
      <c r="PS638" s="93"/>
      <c r="PT638" s="93"/>
      <c r="PU638" s="93"/>
      <c r="PV638" s="93"/>
      <c r="PW638" s="93"/>
      <c r="PX638" s="93"/>
      <c r="PY638" s="93"/>
      <c r="PZ638" s="93"/>
      <c r="QA638" s="93"/>
      <c r="QB638" s="93"/>
      <c r="QC638" s="93"/>
      <c r="QD638" s="93"/>
      <c r="QE638" s="20"/>
      <c r="QF638" s="1739"/>
      <c r="QG638" s="19"/>
      <c r="QH638" s="93"/>
      <c r="QI638" s="93"/>
      <c r="QJ638" s="93"/>
      <c r="QK638" s="93"/>
      <c r="QL638" s="93"/>
      <c r="QM638" s="93"/>
      <c r="QN638" s="93"/>
      <c r="QO638" s="93"/>
      <c r="QP638" s="93"/>
      <c r="QQ638" s="93"/>
      <c r="QR638" s="93"/>
      <c r="QS638" s="93"/>
      <c r="QT638" s="93"/>
      <c r="QU638" s="93"/>
      <c r="QV638" s="93"/>
      <c r="QW638" s="93"/>
      <c r="QX638" s="93"/>
      <c r="QY638" s="93"/>
      <c r="QZ638" s="93"/>
      <c r="RA638" s="93"/>
      <c r="RB638" s="93"/>
      <c r="RC638" s="93"/>
      <c r="RD638" s="93"/>
      <c r="RE638" s="93"/>
      <c r="RF638" s="93"/>
      <c r="RG638" s="93"/>
      <c r="RH638" s="93"/>
      <c r="RI638" s="93"/>
      <c r="RJ638" s="93"/>
      <c r="RK638" s="93"/>
      <c r="RL638" s="93"/>
      <c r="RM638" s="20"/>
      <c r="RN638" s="29"/>
      <c r="RO638" s="19"/>
      <c r="RP638" s="20"/>
      <c r="RQ638" s="29"/>
      <c r="RR638" s="20"/>
      <c r="RS638" s="29"/>
      <c r="RT638" s="1504">
        <v>53874</v>
      </c>
      <c r="RU638" s="19"/>
      <c r="RV638" s="20"/>
      <c r="RW638" s="29"/>
      <c r="RX638" s="1504">
        <v>53874</v>
      </c>
      <c r="RY638" s="29"/>
      <c r="RZ638" s="20"/>
      <c r="SA638" s="29"/>
      <c r="SB638" s="29"/>
    </row>
    <row r="639" spans="1:496">
      <c r="A639" s="41">
        <f t="shared" si="364"/>
        <v>2047</v>
      </c>
      <c r="B639" s="1504">
        <v>53905</v>
      </c>
      <c r="C639" s="1813"/>
      <c r="D639" s="1814"/>
      <c r="E639" s="1814"/>
      <c r="F639" s="1815"/>
      <c r="G639" s="1814"/>
      <c r="H639" s="1814"/>
      <c r="I639" s="1814"/>
      <c r="J639" s="1816"/>
      <c r="K639" s="1807"/>
      <c r="L639" s="25"/>
      <c r="M639" s="97"/>
      <c r="N639" s="1504">
        <v>53905</v>
      </c>
      <c r="O639" s="19"/>
      <c r="P639" s="93"/>
      <c r="Q639" s="93"/>
      <c r="R639" s="93"/>
      <c r="S639" s="93"/>
      <c r="T639" s="93"/>
      <c r="U639" s="93"/>
      <c r="V639" s="93"/>
      <c r="W639" s="93"/>
      <c r="X639" s="93"/>
      <c r="Y639" s="93"/>
      <c r="Z639" s="93"/>
      <c r="AA639" s="93"/>
      <c r="AB639" s="20"/>
      <c r="AC639" s="25"/>
      <c r="AD639" s="97"/>
      <c r="AE639" s="1504">
        <v>53905</v>
      </c>
      <c r="AF639" s="19"/>
      <c r="AG639" s="93"/>
      <c r="AH639" s="93"/>
      <c r="AI639" s="93"/>
      <c r="AJ639" s="93"/>
      <c r="AK639" s="93"/>
      <c r="AL639" s="93"/>
      <c r="AM639" s="93"/>
      <c r="AN639" s="93"/>
      <c r="AO639" s="93"/>
      <c r="AP639" s="93"/>
      <c r="AQ639" s="93"/>
      <c r="AR639" s="93"/>
      <c r="AS639" s="20"/>
      <c r="AT639" s="25"/>
      <c r="AU639" s="97"/>
      <c r="AV639" s="1504">
        <v>53905</v>
      </c>
      <c r="AW639" s="19"/>
      <c r="AX639" s="93"/>
      <c r="AY639" s="93"/>
      <c r="AZ639" s="93"/>
      <c r="BA639" s="93"/>
      <c r="BB639" s="93"/>
      <c r="BC639" s="93"/>
      <c r="BD639" s="93"/>
      <c r="BE639" s="93"/>
      <c r="BF639" s="93"/>
      <c r="BG639" s="93"/>
      <c r="BH639" s="93"/>
      <c r="BI639" s="93"/>
      <c r="BJ639" s="20"/>
      <c r="BK639" s="25"/>
      <c r="BL639" s="97"/>
      <c r="BM639" s="1504">
        <v>53905</v>
      </c>
      <c r="BN639" s="19"/>
      <c r="BO639" s="93"/>
      <c r="BP639" s="93"/>
      <c r="BQ639" s="93"/>
      <c r="BR639" s="93"/>
      <c r="BS639" s="93"/>
      <c r="BT639" s="93"/>
      <c r="BU639" s="20"/>
      <c r="BV639" s="25"/>
      <c r="BW639" s="97"/>
      <c r="BX639" s="1504">
        <v>53905</v>
      </c>
      <c r="BY639" s="19"/>
      <c r="BZ639" s="93"/>
      <c r="CA639" s="93"/>
      <c r="CB639" s="93"/>
      <c r="CC639" s="93"/>
      <c r="CD639" s="25"/>
      <c r="CE639" s="97"/>
      <c r="CF639" s="1504">
        <v>53905</v>
      </c>
      <c r="CG639" s="19"/>
      <c r="CH639" s="93"/>
      <c r="CI639" s="219"/>
      <c r="CJ639" s="20"/>
      <c r="CK639" s="19"/>
      <c r="CL639" s="93"/>
      <c r="CM639" s="93"/>
      <c r="CN639" s="93"/>
      <c r="CO639" s="93"/>
      <c r="CP639" s="20"/>
      <c r="CQ639" s="219"/>
      <c r="CR639" s="93"/>
      <c r="CS639" s="93"/>
      <c r="CT639" s="93"/>
      <c r="CU639" s="93"/>
      <c r="CV639" s="214"/>
      <c r="CW639" s="29"/>
      <c r="CX639" s="41">
        <f t="shared" si="363"/>
        <v>2047</v>
      </c>
      <c r="CY639" s="1504">
        <v>53905</v>
      </c>
      <c r="CZ639" s="19"/>
      <c r="DA639" s="93"/>
      <c r="DB639" s="93"/>
      <c r="DC639" s="93"/>
      <c r="DD639" s="93"/>
      <c r="DE639" s="20"/>
      <c r="DF639" s="29"/>
      <c r="DG639" s="1504">
        <v>53905</v>
      </c>
      <c r="DH639" s="19"/>
      <c r="DI639" s="93"/>
      <c r="DJ639" s="93"/>
      <c r="DK639" s="93"/>
      <c r="DL639" s="93"/>
      <c r="DM639" s="93"/>
      <c r="DN639" s="20"/>
      <c r="DO639" s="295"/>
      <c r="DP639" s="29"/>
      <c r="DQ639" s="1504">
        <v>53905</v>
      </c>
      <c r="DR639" s="19"/>
      <c r="DS639" s="93"/>
      <c r="DT639" s="93"/>
      <c r="DU639" s="93"/>
      <c r="DV639" s="93"/>
      <c r="DW639" s="93"/>
      <c r="DX639" s="20"/>
      <c r="DY639" s="29"/>
      <c r="DZ639" s="1504">
        <v>53905</v>
      </c>
      <c r="EA639" s="19"/>
      <c r="EB639" s="93"/>
      <c r="EC639" s="20"/>
      <c r="ED639" s="29"/>
      <c r="EE639" s="1504">
        <v>53905</v>
      </c>
      <c r="EF639" s="19"/>
      <c r="EG639" s="93"/>
      <c r="EH639" s="93"/>
      <c r="EI639" s="214"/>
      <c r="EJ639" s="93"/>
      <c r="EK639" s="93"/>
      <c r="EL639" s="93"/>
      <c r="EM639" s="93"/>
      <c r="EN639" s="20"/>
      <c r="EO639" s="29"/>
      <c r="EP639" s="1504">
        <v>53905</v>
      </c>
      <c r="EQ639" s="19"/>
      <c r="ER639" s="93"/>
      <c r="ES639" s="93"/>
      <c r="ET639" s="214"/>
      <c r="EU639" s="93"/>
      <c r="EV639" s="93"/>
      <c r="EW639" s="93"/>
      <c r="EX639" s="93"/>
      <c r="EY639" s="20"/>
      <c r="EZ639" s="29"/>
      <c r="FA639" s="1504">
        <v>53905</v>
      </c>
      <c r="FB639" s="29"/>
      <c r="FC639" s="29"/>
      <c r="FD639" s="29"/>
      <c r="FE639" s="29"/>
      <c r="FF639" s="29"/>
      <c r="FG639" s="29"/>
      <c r="FH639" s="29"/>
      <c r="FI639" s="29"/>
      <c r="FJ639" s="29"/>
      <c r="FK639" s="29"/>
      <c r="FL639" s="1504">
        <v>53905</v>
      </c>
      <c r="FM639" s="19"/>
      <c r="FN639" s="93"/>
      <c r="FO639" s="93"/>
      <c r="FP639" s="93"/>
      <c r="FQ639" s="93"/>
      <c r="FR639" s="93"/>
      <c r="FS639" s="93"/>
      <c r="FT639" s="93"/>
      <c r="FU639" s="93"/>
      <c r="FV639" s="93"/>
      <c r="FW639" s="93"/>
      <c r="FX639" s="93"/>
      <c r="FY639" s="93"/>
      <c r="FZ639" s="29"/>
      <c r="GA639" s="1504">
        <v>53905</v>
      </c>
      <c r="GB639" s="19"/>
      <c r="GC639" s="93"/>
      <c r="GD639" s="93"/>
      <c r="GE639" s="93"/>
      <c r="GF639" s="93"/>
      <c r="GG639" s="93"/>
      <c r="GH639" s="93"/>
      <c r="GI639" s="93"/>
      <c r="GJ639" s="93"/>
      <c r="GK639" s="93"/>
      <c r="GL639" s="93"/>
      <c r="GM639" s="93"/>
      <c r="GN639" s="20"/>
      <c r="GO639" s="29"/>
      <c r="GP639" s="1504">
        <v>53905</v>
      </c>
      <c r="GQ639" s="19"/>
      <c r="GR639" s="93"/>
      <c r="GS639" s="93"/>
      <c r="GT639" s="93"/>
      <c r="GU639" s="93"/>
      <c r="GV639" s="20"/>
      <c r="GW639" s="19"/>
      <c r="GX639" s="93"/>
      <c r="GY639" s="93"/>
      <c r="GZ639" s="93"/>
      <c r="HA639" s="93"/>
      <c r="HB639" s="20"/>
      <c r="HC639" s="19"/>
      <c r="HD639" s="93"/>
      <c r="HE639" s="93"/>
      <c r="HF639" s="93"/>
      <c r="HG639" s="93"/>
      <c r="HH639" s="20"/>
      <c r="HI639" s="19"/>
      <c r="HJ639" s="93"/>
      <c r="HK639" s="93"/>
      <c r="HL639" s="93"/>
      <c r="HM639" s="93"/>
      <c r="HN639" s="20"/>
      <c r="HO639" s="219"/>
      <c r="HP639" s="20"/>
      <c r="HQ639" s="25"/>
      <c r="HR639" s="29"/>
      <c r="HS639" s="1504">
        <v>53905</v>
      </c>
      <c r="HT639" s="19"/>
      <c r="HU639" s="93"/>
      <c r="HV639" s="93"/>
      <c r="HW639" s="93"/>
      <c r="HX639" s="93"/>
      <c r="HY639" s="93"/>
      <c r="HZ639" s="93"/>
      <c r="IA639" s="20"/>
      <c r="IB639" s="19"/>
      <c r="IC639" s="93"/>
      <c r="ID639" s="93"/>
      <c r="IE639" s="93"/>
      <c r="IF639" s="93"/>
      <c r="IG639" s="20"/>
      <c r="IH639" s="19"/>
      <c r="II639" s="93"/>
      <c r="IJ639" s="93"/>
      <c r="IK639" s="93"/>
      <c r="IL639" s="93"/>
      <c r="IM639" s="93"/>
      <c r="IN639" s="93"/>
      <c r="IO639" s="20"/>
      <c r="IP639" s="29"/>
      <c r="IQ639" s="19"/>
      <c r="IR639" s="93"/>
      <c r="IS639" s="93"/>
      <c r="IT639" s="93"/>
      <c r="IU639" s="93"/>
      <c r="IV639" s="20"/>
      <c r="IW639" s="29"/>
      <c r="IX639" s="19"/>
      <c r="IY639" s="93"/>
      <c r="IZ639" s="93"/>
      <c r="JA639" s="93"/>
      <c r="JB639" s="93"/>
      <c r="JC639" s="93"/>
      <c r="JD639" s="93"/>
      <c r="JE639" s="20"/>
      <c r="JF639" s="29"/>
      <c r="JG639" s="19"/>
      <c r="JH639" s="93"/>
      <c r="JI639" s="93"/>
      <c r="JJ639" s="93"/>
      <c r="JK639" s="93"/>
      <c r="JL639" s="93"/>
      <c r="JM639" s="93"/>
      <c r="JN639" s="20"/>
      <c r="JO639" s="29"/>
      <c r="JP639" s="19"/>
      <c r="JQ639" s="93"/>
      <c r="JR639" s="93"/>
      <c r="JS639" s="93"/>
      <c r="JT639" s="93"/>
      <c r="JU639" s="20"/>
      <c r="JV639" s="29"/>
      <c r="JW639" s="1504">
        <v>53905</v>
      </c>
      <c r="JX639" s="19"/>
      <c r="JY639" s="93"/>
      <c r="JZ639" s="93"/>
      <c r="KA639" s="93"/>
      <c r="KB639" s="93"/>
      <c r="KC639" s="93"/>
      <c r="KD639" s="20"/>
      <c r="KE639" s="29"/>
      <c r="KF639" s="19"/>
      <c r="KG639" s="93"/>
      <c r="KH639" s="93"/>
      <c r="KI639" s="93"/>
      <c r="KJ639" s="93"/>
      <c r="KK639" s="20"/>
      <c r="KL639" s="29"/>
      <c r="KM639" s="19"/>
      <c r="KN639" s="93"/>
      <c r="KO639" s="93"/>
      <c r="KP639" s="93"/>
      <c r="KQ639" s="93"/>
      <c r="KR639" s="20"/>
      <c r="KS639" s="29"/>
      <c r="KT639" s="19"/>
      <c r="KU639" s="93"/>
      <c r="KV639" s="93"/>
      <c r="KW639" s="93"/>
      <c r="KX639" s="93"/>
      <c r="KY639" s="20"/>
      <c r="KZ639" s="29"/>
      <c r="LA639" s="1504">
        <v>53905</v>
      </c>
      <c r="LB639" s="19"/>
      <c r="LC639" s="93"/>
      <c r="LD639" s="93"/>
      <c r="LE639" s="93"/>
      <c r="LF639" s="93"/>
      <c r="LG639" s="93"/>
      <c r="LH639" s="20"/>
      <c r="LI639" s="29"/>
      <c r="LJ639" s="19"/>
      <c r="LK639" s="93"/>
      <c r="LL639" s="93"/>
      <c r="LM639" s="93"/>
      <c r="LN639" s="93"/>
      <c r="LO639" s="20"/>
      <c r="LP639" s="29"/>
      <c r="LQ639" s="19"/>
      <c r="LR639" s="93"/>
      <c r="LS639" s="93"/>
      <c r="LT639" s="93"/>
      <c r="LU639" s="93"/>
      <c r="LV639" s="93"/>
      <c r="LW639" s="93"/>
      <c r="LX639" s="93"/>
      <c r="LY639" s="93"/>
      <c r="LZ639" s="93"/>
      <c r="MA639" s="20"/>
      <c r="MB639" s="29"/>
      <c r="MC639" s="1504">
        <v>53905</v>
      </c>
      <c r="MD639" s="19"/>
      <c r="ME639" s="93"/>
      <c r="MF639" s="93"/>
      <c r="MG639" s="93"/>
      <c r="MH639" s="93"/>
      <c r="MI639" s="93"/>
      <c r="MJ639" s="93"/>
      <c r="MK639" s="93"/>
      <c r="ML639" s="93"/>
      <c r="MM639" s="93"/>
      <c r="MN639" s="93"/>
      <c r="MO639" s="93"/>
      <c r="MP639" s="93"/>
      <c r="MQ639" s="93"/>
      <c r="MR639" s="93"/>
      <c r="MS639" s="93"/>
      <c r="MT639" s="93"/>
      <c r="MU639" s="93"/>
      <c r="MV639" s="93"/>
      <c r="MW639" s="93"/>
      <c r="MX639" s="93"/>
      <c r="MY639" s="93"/>
      <c r="MZ639" s="93"/>
      <c r="NA639" s="93"/>
      <c r="NB639" s="93"/>
      <c r="NC639" s="93"/>
      <c r="ND639" s="93"/>
      <c r="NE639" s="93"/>
      <c r="NF639" s="93"/>
      <c r="NG639" s="93"/>
      <c r="NH639" s="93"/>
      <c r="NI639" s="93"/>
      <c r="NJ639" s="93"/>
      <c r="NK639" s="93"/>
      <c r="NL639" s="93"/>
      <c r="NM639" s="93"/>
      <c r="NN639" s="93"/>
      <c r="NO639" s="93"/>
      <c r="NP639" s="93"/>
      <c r="NQ639" s="93"/>
      <c r="NR639" s="93"/>
      <c r="NS639" s="93"/>
      <c r="NT639" s="93"/>
      <c r="NU639" s="93"/>
      <c r="NV639" s="93"/>
      <c r="NW639" s="93"/>
      <c r="NX639" s="93"/>
      <c r="NY639" s="93"/>
      <c r="NZ639" s="93"/>
      <c r="OA639" s="93"/>
      <c r="OB639" s="93"/>
      <c r="OC639" s="93"/>
      <c r="OD639" s="20"/>
      <c r="OE639" s="29"/>
      <c r="OF639" s="1504">
        <v>53905</v>
      </c>
      <c r="OG639" s="19"/>
      <c r="OH639" s="93"/>
      <c r="OI639" s="93"/>
      <c r="OJ639" s="93"/>
      <c r="OK639" s="93"/>
      <c r="OL639" s="93"/>
      <c r="OM639" s="93"/>
      <c r="ON639" s="93"/>
      <c r="OO639" s="93"/>
      <c r="OP639" s="93"/>
      <c r="OQ639" s="93"/>
      <c r="OR639" s="93"/>
      <c r="OS639" s="93"/>
      <c r="OT639" s="93"/>
      <c r="OU639" s="93"/>
      <c r="OV639" s="93"/>
      <c r="OW639" s="93"/>
      <c r="OX639" s="93"/>
      <c r="OY639" s="93"/>
      <c r="OZ639" s="93"/>
      <c r="PA639" s="93"/>
      <c r="PB639" s="93"/>
      <c r="PC639" s="20"/>
      <c r="PD639" s="29"/>
      <c r="PE639" s="19"/>
      <c r="PF639" s="93"/>
      <c r="PG639" s="93"/>
      <c r="PH639" s="93"/>
      <c r="PI639" s="93"/>
      <c r="PJ639" s="93"/>
      <c r="PK639" s="93"/>
      <c r="PL639" s="93"/>
      <c r="PM639" s="93"/>
      <c r="PN639" s="93"/>
      <c r="PO639" s="93"/>
      <c r="PP639" s="93"/>
      <c r="PQ639" s="93"/>
      <c r="PR639" s="93"/>
      <c r="PS639" s="93"/>
      <c r="PT639" s="93"/>
      <c r="PU639" s="93"/>
      <c r="PV639" s="93"/>
      <c r="PW639" s="93"/>
      <c r="PX639" s="93"/>
      <c r="PY639" s="93"/>
      <c r="PZ639" s="93"/>
      <c r="QA639" s="93"/>
      <c r="QB639" s="93"/>
      <c r="QC639" s="93"/>
      <c r="QD639" s="93"/>
      <c r="QE639" s="20"/>
      <c r="QF639" s="1739"/>
      <c r="QG639" s="19"/>
      <c r="QH639" s="93"/>
      <c r="QI639" s="93"/>
      <c r="QJ639" s="93"/>
      <c r="QK639" s="93"/>
      <c r="QL639" s="93"/>
      <c r="QM639" s="93"/>
      <c r="QN639" s="93"/>
      <c r="QO639" s="93"/>
      <c r="QP639" s="93"/>
      <c r="QQ639" s="93"/>
      <c r="QR639" s="93"/>
      <c r="QS639" s="93"/>
      <c r="QT639" s="93"/>
      <c r="QU639" s="93"/>
      <c r="QV639" s="93"/>
      <c r="QW639" s="93"/>
      <c r="QX639" s="93"/>
      <c r="QY639" s="93"/>
      <c r="QZ639" s="93"/>
      <c r="RA639" s="93"/>
      <c r="RB639" s="93"/>
      <c r="RC639" s="93"/>
      <c r="RD639" s="93"/>
      <c r="RE639" s="93"/>
      <c r="RF639" s="93"/>
      <c r="RG639" s="93"/>
      <c r="RH639" s="93"/>
      <c r="RI639" s="93"/>
      <c r="RJ639" s="93"/>
      <c r="RK639" s="93"/>
      <c r="RL639" s="93"/>
      <c r="RM639" s="20"/>
      <c r="RN639" s="29"/>
      <c r="RO639" s="19"/>
      <c r="RP639" s="20"/>
      <c r="RQ639" s="29"/>
      <c r="RR639" s="20"/>
      <c r="RS639" s="29"/>
      <c r="RT639" s="1504">
        <v>53905</v>
      </c>
      <c r="RU639" s="19"/>
      <c r="RV639" s="20"/>
      <c r="RW639" s="29"/>
      <c r="RX639" s="1504">
        <v>53905</v>
      </c>
      <c r="RY639" s="29"/>
      <c r="RZ639" s="20"/>
      <c r="SA639" s="29"/>
      <c r="SB639" s="29"/>
    </row>
    <row r="640" spans="1:496">
      <c r="A640" s="41">
        <f t="shared" si="364"/>
        <v>2047</v>
      </c>
      <c r="B640" s="1504">
        <v>53936</v>
      </c>
      <c r="C640" s="1813"/>
      <c r="D640" s="1814"/>
      <c r="E640" s="1814"/>
      <c r="F640" s="1815"/>
      <c r="G640" s="1814"/>
      <c r="H640" s="1814"/>
      <c r="I640" s="1814"/>
      <c r="J640" s="1816"/>
      <c r="K640" s="1807"/>
      <c r="L640" s="25"/>
      <c r="M640" s="97"/>
      <c r="N640" s="1504">
        <v>53936</v>
      </c>
      <c r="O640" s="19"/>
      <c r="P640" s="93"/>
      <c r="Q640" s="93"/>
      <c r="R640" s="93"/>
      <c r="S640" s="93"/>
      <c r="T640" s="93"/>
      <c r="U640" s="93"/>
      <c r="V640" s="93"/>
      <c r="W640" s="93"/>
      <c r="X640" s="93"/>
      <c r="Y640" s="93"/>
      <c r="Z640" s="93"/>
      <c r="AA640" s="93"/>
      <c r="AB640" s="20"/>
      <c r="AC640" s="25"/>
      <c r="AD640" s="97"/>
      <c r="AE640" s="1504">
        <v>53936</v>
      </c>
      <c r="AF640" s="19"/>
      <c r="AG640" s="93"/>
      <c r="AH640" s="93"/>
      <c r="AI640" s="93"/>
      <c r="AJ640" s="93"/>
      <c r="AK640" s="93"/>
      <c r="AL640" s="93"/>
      <c r="AM640" s="93"/>
      <c r="AN640" s="93"/>
      <c r="AO640" s="93"/>
      <c r="AP640" s="93"/>
      <c r="AQ640" s="93"/>
      <c r="AR640" s="93"/>
      <c r="AS640" s="20"/>
      <c r="AT640" s="25"/>
      <c r="AU640" s="97"/>
      <c r="AV640" s="1504">
        <v>53936</v>
      </c>
      <c r="AW640" s="19"/>
      <c r="AX640" s="93"/>
      <c r="AY640" s="93"/>
      <c r="AZ640" s="93"/>
      <c r="BA640" s="93"/>
      <c r="BB640" s="93"/>
      <c r="BC640" s="93"/>
      <c r="BD640" s="93"/>
      <c r="BE640" s="93"/>
      <c r="BF640" s="93"/>
      <c r="BG640" s="93"/>
      <c r="BH640" s="93"/>
      <c r="BI640" s="93"/>
      <c r="BJ640" s="20"/>
      <c r="BK640" s="25"/>
      <c r="BL640" s="97"/>
      <c r="BM640" s="1504">
        <v>53936</v>
      </c>
      <c r="BN640" s="19"/>
      <c r="BO640" s="93"/>
      <c r="BP640" s="93"/>
      <c r="BQ640" s="93"/>
      <c r="BR640" s="93"/>
      <c r="BS640" s="93"/>
      <c r="BT640" s="93"/>
      <c r="BU640" s="20"/>
      <c r="BV640" s="25"/>
      <c r="BW640" s="97"/>
      <c r="BX640" s="1504">
        <v>53936</v>
      </c>
      <c r="BY640" s="19"/>
      <c r="BZ640" s="93"/>
      <c r="CA640" s="93"/>
      <c r="CB640" s="93"/>
      <c r="CC640" s="93"/>
      <c r="CD640" s="25"/>
      <c r="CE640" s="97"/>
      <c r="CF640" s="1504">
        <v>53936</v>
      </c>
      <c r="CG640" s="19"/>
      <c r="CH640" s="93"/>
      <c r="CI640" s="219"/>
      <c r="CJ640" s="20"/>
      <c r="CK640" s="19"/>
      <c r="CL640" s="93"/>
      <c r="CM640" s="93"/>
      <c r="CN640" s="93"/>
      <c r="CO640" s="93"/>
      <c r="CP640" s="20"/>
      <c r="CQ640" s="219"/>
      <c r="CR640" s="93"/>
      <c r="CS640" s="93"/>
      <c r="CT640" s="93"/>
      <c r="CU640" s="93"/>
      <c r="CV640" s="214"/>
      <c r="CW640" s="29"/>
      <c r="CX640" s="41">
        <f t="shared" si="363"/>
        <v>2047</v>
      </c>
      <c r="CY640" s="1504">
        <v>53936</v>
      </c>
      <c r="CZ640" s="19"/>
      <c r="DA640" s="93"/>
      <c r="DB640" s="93"/>
      <c r="DC640" s="93"/>
      <c r="DD640" s="93"/>
      <c r="DE640" s="20"/>
      <c r="DF640" s="29"/>
      <c r="DG640" s="1504">
        <v>53936</v>
      </c>
      <c r="DH640" s="19"/>
      <c r="DI640" s="93"/>
      <c r="DJ640" s="93"/>
      <c r="DK640" s="93"/>
      <c r="DL640" s="93"/>
      <c r="DM640" s="93"/>
      <c r="DN640" s="20"/>
      <c r="DO640" s="295"/>
      <c r="DP640" s="29"/>
      <c r="DQ640" s="1504">
        <v>53936</v>
      </c>
      <c r="DR640" s="19"/>
      <c r="DS640" s="93"/>
      <c r="DT640" s="93"/>
      <c r="DU640" s="93"/>
      <c r="DV640" s="93"/>
      <c r="DW640" s="93"/>
      <c r="DX640" s="20"/>
      <c r="DY640" s="29"/>
      <c r="DZ640" s="1504">
        <v>53936</v>
      </c>
      <c r="EA640" s="19"/>
      <c r="EB640" s="93"/>
      <c r="EC640" s="20"/>
      <c r="ED640" s="29"/>
      <c r="EE640" s="1504">
        <v>53936</v>
      </c>
      <c r="EF640" s="19"/>
      <c r="EG640" s="93"/>
      <c r="EH640" s="93"/>
      <c r="EI640" s="214"/>
      <c r="EJ640" s="93"/>
      <c r="EK640" s="93"/>
      <c r="EL640" s="93"/>
      <c r="EM640" s="93"/>
      <c r="EN640" s="20"/>
      <c r="EO640" s="29"/>
      <c r="EP640" s="1504">
        <v>53936</v>
      </c>
      <c r="EQ640" s="19"/>
      <c r="ER640" s="93"/>
      <c r="ES640" s="93"/>
      <c r="ET640" s="214"/>
      <c r="EU640" s="93"/>
      <c r="EV640" s="93"/>
      <c r="EW640" s="93"/>
      <c r="EX640" s="93"/>
      <c r="EY640" s="20"/>
      <c r="EZ640" s="29"/>
      <c r="FA640" s="1504">
        <v>53936</v>
      </c>
      <c r="FB640" s="29"/>
      <c r="FC640" s="29"/>
      <c r="FD640" s="29"/>
      <c r="FE640" s="29"/>
      <c r="FF640" s="29"/>
      <c r="FG640" s="29"/>
      <c r="FH640" s="29"/>
      <c r="FI640" s="29"/>
      <c r="FJ640" s="29"/>
      <c r="FK640" s="29"/>
      <c r="FL640" s="1504">
        <v>53936</v>
      </c>
      <c r="FM640" s="19"/>
      <c r="FN640" s="93"/>
      <c r="FO640" s="93"/>
      <c r="FP640" s="93"/>
      <c r="FQ640" s="93"/>
      <c r="FR640" s="93"/>
      <c r="FS640" s="93"/>
      <c r="FT640" s="93"/>
      <c r="FU640" s="93"/>
      <c r="FV640" s="93"/>
      <c r="FW640" s="93"/>
      <c r="FX640" s="93"/>
      <c r="FY640" s="93"/>
      <c r="FZ640" s="29"/>
      <c r="GA640" s="1504">
        <v>53936</v>
      </c>
      <c r="GB640" s="19"/>
      <c r="GC640" s="93"/>
      <c r="GD640" s="93"/>
      <c r="GE640" s="93"/>
      <c r="GF640" s="93"/>
      <c r="GG640" s="93"/>
      <c r="GH640" s="93"/>
      <c r="GI640" s="93"/>
      <c r="GJ640" s="93"/>
      <c r="GK640" s="93"/>
      <c r="GL640" s="93"/>
      <c r="GM640" s="93"/>
      <c r="GN640" s="20"/>
      <c r="GO640" s="29"/>
      <c r="GP640" s="1504">
        <v>53936</v>
      </c>
      <c r="GQ640" s="19"/>
      <c r="GR640" s="93"/>
      <c r="GS640" s="93"/>
      <c r="GT640" s="93"/>
      <c r="GU640" s="93"/>
      <c r="GV640" s="20"/>
      <c r="GW640" s="19"/>
      <c r="GX640" s="93"/>
      <c r="GY640" s="93"/>
      <c r="GZ640" s="93"/>
      <c r="HA640" s="93"/>
      <c r="HB640" s="20"/>
      <c r="HC640" s="19"/>
      <c r="HD640" s="93"/>
      <c r="HE640" s="93"/>
      <c r="HF640" s="93"/>
      <c r="HG640" s="93"/>
      <c r="HH640" s="20"/>
      <c r="HI640" s="19"/>
      <c r="HJ640" s="93"/>
      <c r="HK640" s="93"/>
      <c r="HL640" s="93"/>
      <c r="HM640" s="93"/>
      <c r="HN640" s="20"/>
      <c r="HO640" s="219"/>
      <c r="HP640" s="20"/>
      <c r="HQ640" s="25"/>
      <c r="HR640" s="29"/>
      <c r="HS640" s="1504">
        <v>53936</v>
      </c>
      <c r="HT640" s="19"/>
      <c r="HU640" s="93"/>
      <c r="HV640" s="93"/>
      <c r="HW640" s="93"/>
      <c r="HX640" s="93"/>
      <c r="HY640" s="93"/>
      <c r="HZ640" s="93"/>
      <c r="IA640" s="20"/>
      <c r="IB640" s="19"/>
      <c r="IC640" s="93"/>
      <c r="ID640" s="93"/>
      <c r="IE640" s="93"/>
      <c r="IF640" s="93"/>
      <c r="IG640" s="20"/>
      <c r="IH640" s="19"/>
      <c r="II640" s="93"/>
      <c r="IJ640" s="93"/>
      <c r="IK640" s="93"/>
      <c r="IL640" s="93"/>
      <c r="IM640" s="93"/>
      <c r="IN640" s="93"/>
      <c r="IO640" s="20"/>
      <c r="IP640" s="29"/>
      <c r="IQ640" s="19"/>
      <c r="IR640" s="93"/>
      <c r="IS640" s="93"/>
      <c r="IT640" s="93"/>
      <c r="IU640" s="93"/>
      <c r="IV640" s="20"/>
      <c r="IW640" s="29"/>
      <c r="IX640" s="19"/>
      <c r="IY640" s="93"/>
      <c r="IZ640" s="93"/>
      <c r="JA640" s="93"/>
      <c r="JB640" s="93"/>
      <c r="JC640" s="93"/>
      <c r="JD640" s="93"/>
      <c r="JE640" s="20"/>
      <c r="JF640" s="29"/>
      <c r="JG640" s="19"/>
      <c r="JH640" s="93"/>
      <c r="JI640" s="93"/>
      <c r="JJ640" s="93"/>
      <c r="JK640" s="93"/>
      <c r="JL640" s="93"/>
      <c r="JM640" s="93"/>
      <c r="JN640" s="20"/>
      <c r="JO640" s="29"/>
      <c r="JP640" s="19"/>
      <c r="JQ640" s="93"/>
      <c r="JR640" s="93"/>
      <c r="JS640" s="93"/>
      <c r="JT640" s="93"/>
      <c r="JU640" s="20"/>
      <c r="JV640" s="29"/>
      <c r="JW640" s="1504">
        <v>53936</v>
      </c>
      <c r="JX640" s="19"/>
      <c r="JY640" s="93"/>
      <c r="JZ640" s="93"/>
      <c r="KA640" s="93"/>
      <c r="KB640" s="93"/>
      <c r="KC640" s="93"/>
      <c r="KD640" s="20"/>
      <c r="KE640" s="29"/>
      <c r="KF640" s="19"/>
      <c r="KG640" s="93"/>
      <c r="KH640" s="93"/>
      <c r="KI640" s="93"/>
      <c r="KJ640" s="93"/>
      <c r="KK640" s="20"/>
      <c r="KL640" s="29"/>
      <c r="KM640" s="19"/>
      <c r="KN640" s="93"/>
      <c r="KO640" s="93"/>
      <c r="KP640" s="93"/>
      <c r="KQ640" s="93"/>
      <c r="KR640" s="20"/>
      <c r="KS640" s="29"/>
      <c r="KT640" s="19"/>
      <c r="KU640" s="93"/>
      <c r="KV640" s="93"/>
      <c r="KW640" s="93"/>
      <c r="KX640" s="93"/>
      <c r="KY640" s="20"/>
      <c r="KZ640" s="29"/>
      <c r="LA640" s="1504">
        <v>53936</v>
      </c>
      <c r="LB640" s="19"/>
      <c r="LC640" s="93"/>
      <c r="LD640" s="93"/>
      <c r="LE640" s="93"/>
      <c r="LF640" s="93"/>
      <c r="LG640" s="93"/>
      <c r="LH640" s="20"/>
      <c r="LI640" s="29"/>
      <c r="LJ640" s="19"/>
      <c r="LK640" s="93"/>
      <c r="LL640" s="93"/>
      <c r="LM640" s="93"/>
      <c r="LN640" s="93"/>
      <c r="LO640" s="20"/>
      <c r="LP640" s="29"/>
      <c r="LQ640" s="19"/>
      <c r="LR640" s="93"/>
      <c r="LS640" s="93"/>
      <c r="LT640" s="93"/>
      <c r="LU640" s="93"/>
      <c r="LV640" s="93"/>
      <c r="LW640" s="93"/>
      <c r="LX640" s="93"/>
      <c r="LY640" s="93"/>
      <c r="LZ640" s="93"/>
      <c r="MA640" s="20"/>
      <c r="MB640" s="29"/>
      <c r="MC640" s="1504">
        <v>53936</v>
      </c>
      <c r="MD640" s="19"/>
      <c r="ME640" s="93"/>
      <c r="MF640" s="93"/>
      <c r="MG640" s="93"/>
      <c r="MH640" s="93"/>
      <c r="MI640" s="93"/>
      <c r="MJ640" s="93"/>
      <c r="MK640" s="93"/>
      <c r="ML640" s="93"/>
      <c r="MM640" s="93"/>
      <c r="MN640" s="93"/>
      <c r="MO640" s="93"/>
      <c r="MP640" s="93"/>
      <c r="MQ640" s="93"/>
      <c r="MR640" s="93"/>
      <c r="MS640" s="93"/>
      <c r="MT640" s="93"/>
      <c r="MU640" s="93"/>
      <c r="MV640" s="93"/>
      <c r="MW640" s="93"/>
      <c r="MX640" s="93"/>
      <c r="MY640" s="93"/>
      <c r="MZ640" s="93"/>
      <c r="NA640" s="93"/>
      <c r="NB640" s="93"/>
      <c r="NC640" s="93"/>
      <c r="ND640" s="93"/>
      <c r="NE640" s="93"/>
      <c r="NF640" s="93"/>
      <c r="NG640" s="93"/>
      <c r="NH640" s="93"/>
      <c r="NI640" s="93"/>
      <c r="NJ640" s="93"/>
      <c r="NK640" s="93"/>
      <c r="NL640" s="93"/>
      <c r="NM640" s="93"/>
      <c r="NN640" s="93"/>
      <c r="NO640" s="93"/>
      <c r="NP640" s="93"/>
      <c r="NQ640" s="93"/>
      <c r="NR640" s="93"/>
      <c r="NS640" s="93"/>
      <c r="NT640" s="93"/>
      <c r="NU640" s="93"/>
      <c r="NV640" s="93"/>
      <c r="NW640" s="93"/>
      <c r="NX640" s="93"/>
      <c r="NY640" s="93"/>
      <c r="NZ640" s="93"/>
      <c r="OA640" s="93"/>
      <c r="OB640" s="93"/>
      <c r="OC640" s="93"/>
      <c r="OD640" s="20"/>
      <c r="OE640" s="29"/>
      <c r="OF640" s="1504">
        <v>53936</v>
      </c>
      <c r="OG640" s="19"/>
      <c r="OH640" s="93"/>
      <c r="OI640" s="93"/>
      <c r="OJ640" s="93"/>
      <c r="OK640" s="93"/>
      <c r="OL640" s="93"/>
      <c r="OM640" s="93"/>
      <c r="ON640" s="93"/>
      <c r="OO640" s="93"/>
      <c r="OP640" s="93"/>
      <c r="OQ640" s="93"/>
      <c r="OR640" s="93"/>
      <c r="OS640" s="93"/>
      <c r="OT640" s="93"/>
      <c r="OU640" s="93"/>
      <c r="OV640" s="93"/>
      <c r="OW640" s="93"/>
      <c r="OX640" s="93"/>
      <c r="OY640" s="93"/>
      <c r="OZ640" s="93"/>
      <c r="PA640" s="93"/>
      <c r="PB640" s="93"/>
      <c r="PC640" s="20"/>
      <c r="PD640" s="29"/>
      <c r="PE640" s="19"/>
      <c r="PF640" s="93"/>
      <c r="PG640" s="93"/>
      <c r="PH640" s="93"/>
      <c r="PI640" s="93"/>
      <c r="PJ640" s="93"/>
      <c r="PK640" s="93"/>
      <c r="PL640" s="93"/>
      <c r="PM640" s="93"/>
      <c r="PN640" s="93"/>
      <c r="PO640" s="93"/>
      <c r="PP640" s="93"/>
      <c r="PQ640" s="93"/>
      <c r="PR640" s="93"/>
      <c r="PS640" s="93"/>
      <c r="PT640" s="93"/>
      <c r="PU640" s="93"/>
      <c r="PV640" s="93"/>
      <c r="PW640" s="93"/>
      <c r="PX640" s="93"/>
      <c r="PY640" s="93"/>
      <c r="PZ640" s="93"/>
      <c r="QA640" s="93"/>
      <c r="QB640" s="93"/>
      <c r="QC640" s="93"/>
      <c r="QD640" s="93"/>
      <c r="QE640" s="20"/>
      <c r="QF640" s="1739"/>
      <c r="QG640" s="19"/>
      <c r="QH640" s="93"/>
      <c r="QI640" s="93"/>
      <c r="QJ640" s="93"/>
      <c r="QK640" s="93"/>
      <c r="QL640" s="93"/>
      <c r="QM640" s="93"/>
      <c r="QN640" s="93"/>
      <c r="QO640" s="93"/>
      <c r="QP640" s="93"/>
      <c r="QQ640" s="93"/>
      <c r="QR640" s="93"/>
      <c r="QS640" s="93"/>
      <c r="QT640" s="93"/>
      <c r="QU640" s="93"/>
      <c r="QV640" s="93"/>
      <c r="QW640" s="93"/>
      <c r="QX640" s="93"/>
      <c r="QY640" s="93"/>
      <c r="QZ640" s="93"/>
      <c r="RA640" s="93"/>
      <c r="RB640" s="93"/>
      <c r="RC640" s="93"/>
      <c r="RD640" s="93"/>
      <c r="RE640" s="93"/>
      <c r="RF640" s="93"/>
      <c r="RG640" s="93"/>
      <c r="RH640" s="93"/>
      <c r="RI640" s="93"/>
      <c r="RJ640" s="93"/>
      <c r="RK640" s="93"/>
      <c r="RL640" s="93"/>
      <c r="RM640" s="20"/>
      <c r="RN640" s="29"/>
      <c r="RO640" s="19"/>
      <c r="RP640" s="20"/>
      <c r="RQ640" s="29"/>
      <c r="RR640" s="20"/>
      <c r="RS640" s="29"/>
      <c r="RT640" s="1504">
        <v>53936</v>
      </c>
      <c r="RU640" s="19"/>
      <c r="RV640" s="20"/>
      <c r="RW640" s="29"/>
      <c r="RX640" s="1504">
        <v>53936</v>
      </c>
      <c r="RY640" s="29"/>
      <c r="RZ640" s="20"/>
      <c r="SA640" s="29"/>
      <c r="SB640" s="29"/>
    </row>
    <row r="641" spans="1:496">
      <c r="A641" s="41">
        <f t="shared" si="364"/>
        <v>2047</v>
      </c>
      <c r="B641" s="1504">
        <v>53966</v>
      </c>
      <c r="C641" s="1813"/>
      <c r="D641" s="1814"/>
      <c r="E641" s="1814"/>
      <c r="F641" s="1815"/>
      <c r="G641" s="1814"/>
      <c r="H641" s="1814"/>
      <c r="I641" s="1814"/>
      <c r="J641" s="1816"/>
      <c r="K641" s="1807"/>
      <c r="L641" s="25"/>
      <c r="M641" s="97"/>
      <c r="N641" s="1504">
        <v>53966</v>
      </c>
      <c r="O641" s="19"/>
      <c r="P641" s="93"/>
      <c r="Q641" s="93"/>
      <c r="R641" s="93"/>
      <c r="S641" s="93"/>
      <c r="T641" s="93"/>
      <c r="U641" s="93"/>
      <c r="V641" s="93"/>
      <c r="W641" s="93"/>
      <c r="X641" s="93"/>
      <c r="Y641" s="93"/>
      <c r="Z641" s="93"/>
      <c r="AA641" s="93"/>
      <c r="AB641" s="20"/>
      <c r="AC641" s="25"/>
      <c r="AD641" s="97"/>
      <c r="AE641" s="1504">
        <v>53966</v>
      </c>
      <c r="AF641" s="19"/>
      <c r="AG641" s="93"/>
      <c r="AH641" s="93"/>
      <c r="AI641" s="93"/>
      <c r="AJ641" s="93"/>
      <c r="AK641" s="93"/>
      <c r="AL641" s="93"/>
      <c r="AM641" s="93"/>
      <c r="AN641" s="93"/>
      <c r="AO641" s="93"/>
      <c r="AP641" s="93"/>
      <c r="AQ641" s="93"/>
      <c r="AR641" s="93"/>
      <c r="AS641" s="20"/>
      <c r="AT641" s="25"/>
      <c r="AU641" s="97"/>
      <c r="AV641" s="1504">
        <v>53966</v>
      </c>
      <c r="AW641" s="19"/>
      <c r="AX641" s="93"/>
      <c r="AY641" s="93"/>
      <c r="AZ641" s="93"/>
      <c r="BA641" s="93"/>
      <c r="BB641" s="93"/>
      <c r="BC641" s="93"/>
      <c r="BD641" s="93"/>
      <c r="BE641" s="93"/>
      <c r="BF641" s="93"/>
      <c r="BG641" s="93"/>
      <c r="BH641" s="93"/>
      <c r="BI641" s="93"/>
      <c r="BJ641" s="20"/>
      <c r="BK641" s="25"/>
      <c r="BL641" s="97"/>
      <c r="BM641" s="1504">
        <v>53966</v>
      </c>
      <c r="BN641" s="19"/>
      <c r="BO641" s="93"/>
      <c r="BP641" s="93"/>
      <c r="BQ641" s="93"/>
      <c r="BR641" s="93"/>
      <c r="BS641" s="93"/>
      <c r="BT641" s="93"/>
      <c r="BU641" s="20"/>
      <c r="BV641" s="25"/>
      <c r="BW641" s="97"/>
      <c r="BX641" s="1504">
        <v>53966</v>
      </c>
      <c r="BY641" s="19"/>
      <c r="BZ641" s="93"/>
      <c r="CA641" s="93"/>
      <c r="CB641" s="93"/>
      <c r="CC641" s="93"/>
      <c r="CD641" s="25"/>
      <c r="CE641" s="97"/>
      <c r="CF641" s="1504">
        <v>53966</v>
      </c>
      <c r="CG641" s="19"/>
      <c r="CH641" s="93"/>
      <c r="CI641" s="219"/>
      <c r="CJ641" s="20"/>
      <c r="CK641" s="19"/>
      <c r="CL641" s="93"/>
      <c r="CM641" s="93"/>
      <c r="CN641" s="93"/>
      <c r="CO641" s="93"/>
      <c r="CP641" s="20"/>
      <c r="CQ641" s="219"/>
      <c r="CR641" s="93"/>
      <c r="CS641" s="93"/>
      <c r="CT641" s="93"/>
      <c r="CU641" s="93"/>
      <c r="CV641" s="214"/>
      <c r="CW641" s="29"/>
      <c r="CX641" s="41">
        <f t="shared" si="363"/>
        <v>2047</v>
      </c>
      <c r="CY641" s="1504">
        <v>53966</v>
      </c>
      <c r="CZ641" s="19"/>
      <c r="DA641" s="93"/>
      <c r="DB641" s="93"/>
      <c r="DC641" s="93"/>
      <c r="DD641" s="93"/>
      <c r="DE641" s="20"/>
      <c r="DF641" s="29"/>
      <c r="DG641" s="1504">
        <v>53966</v>
      </c>
      <c r="DH641" s="19"/>
      <c r="DI641" s="93"/>
      <c r="DJ641" s="93"/>
      <c r="DK641" s="93"/>
      <c r="DL641" s="93"/>
      <c r="DM641" s="93"/>
      <c r="DN641" s="20"/>
      <c r="DO641" s="295"/>
      <c r="DP641" s="29"/>
      <c r="DQ641" s="1504">
        <v>53966</v>
      </c>
      <c r="DR641" s="19"/>
      <c r="DS641" s="93"/>
      <c r="DT641" s="93"/>
      <c r="DU641" s="93"/>
      <c r="DV641" s="93"/>
      <c r="DW641" s="93"/>
      <c r="DX641" s="20"/>
      <c r="DY641" s="29"/>
      <c r="DZ641" s="1504">
        <v>53966</v>
      </c>
      <c r="EA641" s="19"/>
      <c r="EB641" s="93"/>
      <c r="EC641" s="20"/>
      <c r="ED641" s="29"/>
      <c r="EE641" s="1504">
        <v>53966</v>
      </c>
      <c r="EF641" s="19"/>
      <c r="EG641" s="93"/>
      <c r="EH641" s="93"/>
      <c r="EI641" s="214"/>
      <c r="EJ641" s="93"/>
      <c r="EK641" s="93"/>
      <c r="EL641" s="93"/>
      <c r="EM641" s="93"/>
      <c r="EN641" s="20"/>
      <c r="EO641" s="29"/>
      <c r="EP641" s="1504">
        <v>53966</v>
      </c>
      <c r="EQ641" s="19"/>
      <c r="ER641" s="93"/>
      <c r="ES641" s="93"/>
      <c r="ET641" s="214"/>
      <c r="EU641" s="93"/>
      <c r="EV641" s="93"/>
      <c r="EW641" s="93"/>
      <c r="EX641" s="93"/>
      <c r="EY641" s="20"/>
      <c r="EZ641" s="29"/>
      <c r="FA641" s="1504">
        <v>53966</v>
      </c>
      <c r="FB641" s="29"/>
      <c r="FC641" s="29"/>
      <c r="FD641" s="29"/>
      <c r="FE641" s="29"/>
      <c r="FF641" s="29"/>
      <c r="FG641" s="29"/>
      <c r="FH641" s="29"/>
      <c r="FI641" s="29"/>
      <c r="FJ641" s="29"/>
      <c r="FK641" s="29"/>
      <c r="FL641" s="1504">
        <v>53966</v>
      </c>
      <c r="FM641" s="19"/>
      <c r="FN641" s="93"/>
      <c r="FO641" s="93"/>
      <c r="FP641" s="93"/>
      <c r="FQ641" s="93"/>
      <c r="FR641" s="93"/>
      <c r="FS641" s="93"/>
      <c r="FT641" s="93"/>
      <c r="FU641" s="93"/>
      <c r="FV641" s="93"/>
      <c r="FW641" s="93"/>
      <c r="FX641" s="93"/>
      <c r="FY641" s="93"/>
      <c r="FZ641" s="29"/>
      <c r="GA641" s="1504">
        <v>53966</v>
      </c>
      <c r="GB641" s="19"/>
      <c r="GC641" s="93"/>
      <c r="GD641" s="93"/>
      <c r="GE641" s="93"/>
      <c r="GF641" s="93"/>
      <c r="GG641" s="93"/>
      <c r="GH641" s="93"/>
      <c r="GI641" s="93"/>
      <c r="GJ641" s="93"/>
      <c r="GK641" s="93"/>
      <c r="GL641" s="93"/>
      <c r="GM641" s="93"/>
      <c r="GN641" s="20"/>
      <c r="GO641" s="29"/>
      <c r="GP641" s="1504">
        <v>53966</v>
      </c>
      <c r="GQ641" s="19"/>
      <c r="GR641" s="93"/>
      <c r="GS641" s="93"/>
      <c r="GT641" s="93"/>
      <c r="GU641" s="93"/>
      <c r="GV641" s="20"/>
      <c r="GW641" s="19"/>
      <c r="GX641" s="93"/>
      <c r="GY641" s="93"/>
      <c r="GZ641" s="93"/>
      <c r="HA641" s="93"/>
      <c r="HB641" s="20"/>
      <c r="HC641" s="19"/>
      <c r="HD641" s="93"/>
      <c r="HE641" s="93"/>
      <c r="HF641" s="93"/>
      <c r="HG641" s="93"/>
      <c r="HH641" s="20"/>
      <c r="HI641" s="19"/>
      <c r="HJ641" s="93"/>
      <c r="HK641" s="93"/>
      <c r="HL641" s="93"/>
      <c r="HM641" s="93"/>
      <c r="HN641" s="20"/>
      <c r="HO641" s="219"/>
      <c r="HP641" s="20"/>
      <c r="HQ641" s="25"/>
      <c r="HR641" s="29"/>
      <c r="HS641" s="1504">
        <v>53966</v>
      </c>
      <c r="HT641" s="19"/>
      <c r="HU641" s="93"/>
      <c r="HV641" s="93"/>
      <c r="HW641" s="93"/>
      <c r="HX641" s="93"/>
      <c r="HY641" s="93"/>
      <c r="HZ641" s="93"/>
      <c r="IA641" s="20"/>
      <c r="IB641" s="19"/>
      <c r="IC641" s="93"/>
      <c r="ID641" s="93"/>
      <c r="IE641" s="93"/>
      <c r="IF641" s="93"/>
      <c r="IG641" s="20"/>
      <c r="IH641" s="19"/>
      <c r="II641" s="93"/>
      <c r="IJ641" s="93"/>
      <c r="IK641" s="93"/>
      <c r="IL641" s="93"/>
      <c r="IM641" s="93"/>
      <c r="IN641" s="93"/>
      <c r="IO641" s="20"/>
      <c r="IP641" s="29"/>
      <c r="IQ641" s="19"/>
      <c r="IR641" s="93"/>
      <c r="IS641" s="93"/>
      <c r="IT641" s="93"/>
      <c r="IU641" s="93"/>
      <c r="IV641" s="20"/>
      <c r="IW641" s="29"/>
      <c r="IX641" s="19"/>
      <c r="IY641" s="93"/>
      <c r="IZ641" s="93"/>
      <c r="JA641" s="93"/>
      <c r="JB641" s="93"/>
      <c r="JC641" s="93"/>
      <c r="JD641" s="93"/>
      <c r="JE641" s="20"/>
      <c r="JF641" s="29"/>
      <c r="JG641" s="19"/>
      <c r="JH641" s="93"/>
      <c r="JI641" s="93"/>
      <c r="JJ641" s="93"/>
      <c r="JK641" s="93"/>
      <c r="JL641" s="93"/>
      <c r="JM641" s="93"/>
      <c r="JN641" s="20"/>
      <c r="JO641" s="29"/>
      <c r="JP641" s="19"/>
      <c r="JQ641" s="93"/>
      <c r="JR641" s="93"/>
      <c r="JS641" s="93"/>
      <c r="JT641" s="93"/>
      <c r="JU641" s="20"/>
      <c r="JV641" s="29"/>
      <c r="JW641" s="1504">
        <v>53966</v>
      </c>
      <c r="JX641" s="19"/>
      <c r="JY641" s="93"/>
      <c r="JZ641" s="93"/>
      <c r="KA641" s="93"/>
      <c r="KB641" s="93"/>
      <c r="KC641" s="93"/>
      <c r="KD641" s="20"/>
      <c r="KE641" s="29"/>
      <c r="KF641" s="19"/>
      <c r="KG641" s="93"/>
      <c r="KH641" s="93"/>
      <c r="KI641" s="93"/>
      <c r="KJ641" s="93"/>
      <c r="KK641" s="20"/>
      <c r="KL641" s="29"/>
      <c r="KM641" s="19"/>
      <c r="KN641" s="93"/>
      <c r="KO641" s="93"/>
      <c r="KP641" s="93"/>
      <c r="KQ641" s="93"/>
      <c r="KR641" s="20"/>
      <c r="KS641" s="29"/>
      <c r="KT641" s="19"/>
      <c r="KU641" s="93"/>
      <c r="KV641" s="93"/>
      <c r="KW641" s="93"/>
      <c r="KX641" s="93"/>
      <c r="KY641" s="20"/>
      <c r="KZ641" s="29"/>
      <c r="LA641" s="1504">
        <v>53966</v>
      </c>
      <c r="LB641" s="19"/>
      <c r="LC641" s="93"/>
      <c r="LD641" s="93"/>
      <c r="LE641" s="93"/>
      <c r="LF641" s="93"/>
      <c r="LG641" s="93"/>
      <c r="LH641" s="20"/>
      <c r="LI641" s="29"/>
      <c r="LJ641" s="19"/>
      <c r="LK641" s="93"/>
      <c r="LL641" s="93"/>
      <c r="LM641" s="93"/>
      <c r="LN641" s="93"/>
      <c r="LO641" s="20"/>
      <c r="LP641" s="29"/>
      <c r="LQ641" s="19"/>
      <c r="LR641" s="93"/>
      <c r="LS641" s="93"/>
      <c r="LT641" s="93"/>
      <c r="LU641" s="93"/>
      <c r="LV641" s="93"/>
      <c r="LW641" s="93"/>
      <c r="LX641" s="93"/>
      <c r="LY641" s="93"/>
      <c r="LZ641" s="93"/>
      <c r="MA641" s="20"/>
      <c r="MB641" s="29"/>
      <c r="MC641" s="1504">
        <v>53966</v>
      </c>
      <c r="MD641" s="19"/>
      <c r="ME641" s="93"/>
      <c r="MF641" s="93"/>
      <c r="MG641" s="93"/>
      <c r="MH641" s="93"/>
      <c r="MI641" s="93"/>
      <c r="MJ641" s="93"/>
      <c r="MK641" s="93"/>
      <c r="ML641" s="93"/>
      <c r="MM641" s="93"/>
      <c r="MN641" s="93"/>
      <c r="MO641" s="93"/>
      <c r="MP641" s="93"/>
      <c r="MQ641" s="93"/>
      <c r="MR641" s="93"/>
      <c r="MS641" s="93"/>
      <c r="MT641" s="93"/>
      <c r="MU641" s="93"/>
      <c r="MV641" s="93"/>
      <c r="MW641" s="93"/>
      <c r="MX641" s="93"/>
      <c r="MY641" s="93"/>
      <c r="MZ641" s="93"/>
      <c r="NA641" s="93"/>
      <c r="NB641" s="93"/>
      <c r="NC641" s="93"/>
      <c r="ND641" s="93"/>
      <c r="NE641" s="93"/>
      <c r="NF641" s="93"/>
      <c r="NG641" s="93"/>
      <c r="NH641" s="93"/>
      <c r="NI641" s="93"/>
      <c r="NJ641" s="93"/>
      <c r="NK641" s="93"/>
      <c r="NL641" s="93"/>
      <c r="NM641" s="93"/>
      <c r="NN641" s="93"/>
      <c r="NO641" s="93"/>
      <c r="NP641" s="93"/>
      <c r="NQ641" s="93"/>
      <c r="NR641" s="93"/>
      <c r="NS641" s="93"/>
      <c r="NT641" s="93"/>
      <c r="NU641" s="93"/>
      <c r="NV641" s="93"/>
      <c r="NW641" s="93"/>
      <c r="NX641" s="93"/>
      <c r="NY641" s="93"/>
      <c r="NZ641" s="93"/>
      <c r="OA641" s="93"/>
      <c r="OB641" s="93"/>
      <c r="OC641" s="93"/>
      <c r="OD641" s="20"/>
      <c r="OE641" s="29"/>
      <c r="OF641" s="1504">
        <v>53966</v>
      </c>
      <c r="OG641" s="19"/>
      <c r="OH641" s="93"/>
      <c r="OI641" s="93"/>
      <c r="OJ641" s="93"/>
      <c r="OK641" s="93"/>
      <c r="OL641" s="93"/>
      <c r="OM641" s="93"/>
      <c r="ON641" s="93"/>
      <c r="OO641" s="93"/>
      <c r="OP641" s="93"/>
      <c r="OQ641" s="93"/>
      <c r="OR641" s="93"/>
      <c r="OS641" s="93"/>
      <c r="OT641" s="93"/>
      <c r="OU641" s="93"/>
      <c r="OV641" s="93"/>
      <c r="OW641" s="93"/>
      <c r="OX641" s="93"/>
      <c r="OY641" s="93"/>
      <c r="OZ641" s="93"/>
      <c r="PA641" s="93"/>
      <c r="PB641" s="93"/>
      <c r="PC641" s="20"/>
      <c r="PD641" s="29"/>
      <c r="PE641" s="19"/>
      <c r="PF641" s="93"/>
      <c r="PG641" s="93"/>
      <c r="PH641" s="93"/>
      <c r="PI641" s="93"/>
      <c r="PJ641" s="93"/>
      <c r="PK641" s="93"/>
      <c r="PL641" s="93"/>
      <c r="PM641" s="93"/>
      <c r="PN641" s="93"/>
      <c r="PO641" s="93"/>
      <c r="PP641" s="93"/>
      <c r="PQ641" s="93"/>
      <c r="PR641" s="93"/>
      <c r="PS641" s="93"/>
      <c r="PT641" s="93"/>
      <c r="PU641" s="93"/>
      <c r="PV641" s="93"/>
      <c r="PW641" s="93"/>
      <c r="PX641" s="93"/>
      <c r="PY641" s="93"/>
      <c r="PZ641" s="93"/>
      <c r="QA641" s="93"/>
      <c r="QB641" s="93"/>
      <c r="QC641" s="93"/>
      <c r="QD641" s="93"/>
      <c r="QE641" s="20"/>
      <c r="QF641" s="1739"/>
      <c r="QG641" s="19"/>
      <c r="QH641" s="93"/>
      <c r="QI641" s="93"/>
      <c r="QJ641" s="93"/>
      <c r="QK641" s="93"/>
      <c r="QL641" s="93"/>
      <c r="QM641" s="93"/>
      <c r="QN641" s="93"/>
      <c r="QO641" s="93"/>
      <c r="QP641" s="93"/>
      <c r="QQ641" s="93"/>
      <c r="QR641" s="93"/>
      <c r="QS641" s="93"/>
      <c r="QT641" s="93"/>
      <c r="QU641" s="93"/>
      <c r="QV641" s="93"/>
      <c r="QW641" s="93"/>
      <c r="QX641" s="93"/>
      <c r="QY641" s="93"/>
      <c r="QZ641" s="93"/>
      <c r="RA641" s="93"/>
      <c r="RB641" s="93"/>
      <c r="RC641" s="93"/>
      <c r="RD641" s="93"/>
      <c r="RE641" s="93"/>
      <c r="RF641" s="93"/>
      <c r="RG641" s="93"/>
      <c r="RH641" s="93"/>
      <c r="RI641" s="93"/>
      <c r="RJ641" s="93"/>
      <c r="RK641" s="93"/>
      <c r="RL641" s="93"/>
      <c r="RM641" s="20"/>
      <c r="RN641" s="29"/>
      <c r="RO641" s="19"/>
      <c r="RP641" s="20"/>
      <c r="RQ641" s="29"/>
      <c r="RR641" s="20"/>
      <c r="RS641" s="29"/>
      <c r="RT641" s="1504">
        <v>53966</v>
      </c>
      <c r="RU641" s="19"/>
      <c r="RV641" s="20"/>
      <c r="RW641" s="29"/>
      <c r="RX641" s="1504">
        <v>53966</v>
      </c>
      <c r="RY641" s="29"/>
      <c r="RZ641" s="20"/>
      <c r="SA641" s="29"/>
      <c r="SB641" s="29"/>
    </row>
    <row r="642" spans="1:496">
      <c r="A642" s="41">
        <f t="shared" si="364"/>
        <v>2047</v>
      </c>
      <c r="B642" s="1504">
        <v>53997</v>
      </c>
      <c r="C642" s="1813"/>
      <c r="D642" s="1814"/>
      <c r="E642" s="1814"/>
      <c r="F642" s="1815"/>
      <c r="G642" s="1814"/>
      <c r="H642" s="1814"/>
      <c r="I642" s="1814"/>
      <c r="J642" s="1816"/>
      <c r="K642" s="1807"/>
      <c r="L642" s="25"/>
      <c r="M642" s="97"/>
      <c r="N642" s="1504">
        <v>53997</v>
      </c>
      <c r="O642" s="19"/>
      <c r="P642" s="93"/>
      <c r="Q642" s="93"/>
      <c r="R642" s="93"/>
      <c r="S642" s="93"/>
      <c r="T642" s="93"/>
      <c r="U642" s="93"/>
      <c r="V642" s="93"/>
      <c r="W642" s="93"/>
      <c r="X642" s="93"/>
      <c r="Y642" s="93"/>
      <c r="Z642" s="93"/>
      <c r="AA642" s="93"/>
      <c r="AB642" s="20"/>
      <c r="AC642" s="25"/>
      <c r="AD642" s="97"/>
      <c r="AE642" s="1504">
        <v>53997</v>
      </c>
      <c r="AF642" s="19"/>
      <c r="AG642" s="93"/>
      <c r="AH642" s="93"/>
      <c r="AI642" s="93"/>
      <c r="AJ642" s="93"/>
      <c r="AK642" s="93"/>
      <c r="AL642" s="93"/>
      <c r="AM642" s="93"/>
      <c r="AN642" s="93"/>
      <c r="AO642" s="93"/>
      <c r="AP642" s="93"/>
      <c r="AQ642" s="93"/>
      <c r="AR642" s="93"/>
      <c r="AS642" s="20"/>
      <c r="AT642" s="25"/>
      <c r="AU642" s="97"/>
      <c r="AV642" s="1504">
        <v>53997</v>
      </c>
      <c r="AW642" s="19"/>
      <c r="AX642" s="93"/>
      <c r="AY642" s="93"/>
      <c r="AZ642" s="93"/>
      <c r="BA642" s="93"/>
      <c r="BB642" s="93"/>
      <c r="BC642" s="93"/>
      <c r="BD642" s="93"/>
      <c r="BE642" s="93"/>
      <c r="BF642" s="93"/>
      <c r="BG642" s="93"/>
      <c r="BH642" s="93"/>
      <c r="BI642" s="93"/>
      <c r="BJ642" s="20"/>
      <c r="BK642" s="25"/>
      <c r="BL642" s="97"/>
      <c r="BM642" s="1504">
        <v>53997</v>
      </c>
      <c r="BN642" s="19"/>
      <c r="BO642" s="93"/>
      <c r="BP642" s="93"/>
      <c r="BQ642" s="93"/>
      <c r="BR642" s="93"/>
      <c r="BS642" s="93"/>
      <c r="BT642" s="93"/>
      <c r="BU642" s="20"/>
      <c r="BV642" s="25"/>
      <c r="BW642" s="97"/>
      <c r="BX642" s="1504">
        <v>53997</v>
      </c>
      <c r="BY642" s="19"/>
      <c r="BZ642" s="93"/>
      <c r="CA642" s="93"/>
      <c r="CB642" s="93"/>
      <c r="CC642" s="93"/>
      <c r="CD642" s="25"/>
      <c r="CE642" s="97"/>
      <c r="CF642" s="1504">
        <v>53997</v>
      </c>
      <c r="CG642" s="19"/>
      <c r="CH642" s="93"/>
      <c r="CI642" s="219"/>
      <c r="CJ642" s="20"/>
      <c r="CK642" s="19"/>
      <c r="CL642" s="93"/>
      <c r="CM642" s="93"/>
      <c r="CN642" s="93"/>
      <c r="CO642" s="93"/>
      <c r="CP642" s="20"/>
      <c r="CQ642" s="219"/>
      <c r="CR642" s="93"/>
      <c r="CS642" s="93"/>
      <c r="CT642" s="93"/>
      <c r="CU642" s="93"/>
      <c r="CV642" s="214"/>
      <c r="CW642" s="29"/>
      <c r="CX642" s="41">
        <f t="shared" si="363"/>
        <v>2047</v>
      </c>
      <c r="CY642" s="1504">
        <v>53997</v>
      </c>
      <c r="CZ642" s="19"/>
      <c r="DA642" s="93"/>
      <c r="DB642" s="93"/>
      <c r="DC642" s="93"/>
      <c r="DD642" s="93"/>
      <c r="DE642" s="20"/>
      <c r="DF642" s="29"/>
      <c r="DG642" s="1504">
        <v>53997</v>
      </c>
      <c r="DH642" s="19"/>
      <c r="DI642" s="93"/>
      <c r="DJ642" s="93"/>
      <c r="DK642" s="93"/>
      <c r="DL642" s="93"/>
      <c r="DM642" s="93"/>
      <c r="DN642" s="20"/>
      <c r="DO642" s="295"/>
      <c r="DP642" s="29"/>
      <c r="DQ642" s="1504">
        <v>53997</v>
      </c>
      <c r="DR642" s="19"/>
      <c r="DS642" s="93"/>
      <c r="DT642" s="93"/>
      <c r="DU642" s="93"/>
      <c r="DV642" s="93"/>
      <c r="DW642" s="93"/>
      <c r="DX642" s="20"/>
      <c r="DY642" s="29"/>
      <c r="DZ642" s="1504">
        <v>53997</v>
      </c>
      <c r="EA642" s="19"/>
      <c r="EB642" s="93"/>
      <c r="EC642" s="20"/>
      <c r="ED642" s="29"/>
      <c r="EE642" s="1504">
        <v>53997</v>
      </c>
      <c r="EF642" s="19"/>
      <c r="EG642" s="93"/>
      <c r="EH642" s="93"/>
      <c r="EI642" s="214"/>
      <c r="EJ642" s="93"/>
      <c r="EK642" s="93"/>
      <c r="EL642" s="93"/>
      <c r="EM642" s="93"/>
      <c r="EN642" s="20"/>
      <c r="EO642" s="29"/>
      <c r="EP642" s="1504">
        <v>53997</v>
      </c>
      <c r="EQ642" s="19"/>
      <c r="ER642" s="93"/>
      <c r="ES642" s="93"/>
      <c r="ET642" s="214"/>
      <c r="EU642" s="93"/>
      <c r="EV642" s="93"/>
      <c r="EW642" s="93"/>
      <c r="EX642" s="93"/>
      <c r="EY642" s="20"/>
      <c r="EZ642" s="29"/>
      <c r="FA642" s="1504">
        <v>53997</v>
      </c>
      <c r="FB642" s="29"/>
      <c r="FC642" s="29"/>
      <c r="FD642" s="29"/>
      <c r="FE642" s="29"/>
      <c r="FF642" s="29"/>
      <c r="FG642" s="29"/>
      <c r="FH642" s="29"/>
      <c r="FI642" s="29"/>
      <c r="FJ642" s="29"/>
      <c r="FK642" s="29"/>
      <c r="FL642" s="1504">
        <v>53997</v>
      </c>
      <c r="FM642" s="19"/>
      <c r="FN642" s="93"/>
      <c r="FO642" s="93"/>
      <c r="FP642" s="93"/>
      <c r="FQ642" s="93"/>
      <c r="FR642" s="93"/>
      <c r="FS642" s="93"/>
      <c r="FT642" s="93"/>
      <c r="FU642" s="93"/>
      <c r="FV642" s="93"/>
      <c r="FW642" s="93"/>
      <c r="FX642" s="93"/>
      <c r="FY642" s="93"/>
      <c r="FZ642" s="29"/>
      <c r="GA642" s="1504">
        <v>53997</v>
      </c>
      <c r="GB642" s="19"/>
      <c r="GC642" s="93"/>
      <c r="GD642" s="93"/>
      <c r="GE642" s="93"/>
      <c r="GF642" s="93"/>
      <c r="GG642" s="93"/>
      <c r="GH642" s="93"/>
      <c r="GI642" s="93"/>
      <c r="GJ642" s="93"/>
      <c r="GK642" s="93"/>
      <c r="GL642" s="93"/>
      <c r="GM642" s="93"/>
      <c r="GN642" s="20"/>
      <c r="GO642" s="29"/>
      <c r="GP642" s="1504">
        <v>53997</v>
      </c>
      <c r="GQ642" s="19"/>
      <c r="GR642" s="93"/>
      <c r="GS642" s="93"/>
      <c r="GT642" s="93"/>
      <c r="GU642" s="93"/>
      <c r="GV642" s="20"/>
      <c r="GW642" s="19"/>
      <c r="GX642" s="93"/>
      <c r="GY642" s="93"/>
      <c r="GZ642" s="93"/>
      <c r="HA642" s="93"/>
      <c r="HB642" s="20"/>
      <c r="HC642" s="19"/>
      <c r="HD642" s="93"/>
      <c r="HE642" s="93"/>
      <c r="HF642" s="93"/>
      <c r="HG642" s="93"/>
      <c r="HH642" s="20"/>
      <c r="HI642" s="19"/>
      <c r="HJ642" s="93"/>
      <c r="HK642" s="93"/>
      <c r="HL642" s="93"/>
      <c r="HM642" s="93"/>
      <c r="HN642" s="20"/>
      <c r="HO642" s="219"/>
      <c r="HP642" s="20"/>
      <c r="HQ642" s="25"/>
      <c r="HR642" s="29"/>
      <c r="HS642" s="1504">
        <v>53997</v>
      </c>
      <c r="HT642" s="19"/>
      <c r="HU642" s="93"/>
      <c r="HV642" s="93"/>
      <c r="HW642" s="93"/>
      <c r="HX642" s="93"/>
      <c r="HY642" s="93"/>
      <c r="HZ642" s="93"/>
      <c r="IA642" s="20"/>
      <c r="IB642" s="19"/>
      <c r="IC642" s="93"/>
      <c r="ID642" s="93"/>
      <c r="IE642" s="93"/>
      <c r="IF642" s="93"/>
      <c r="IG642" s="20"/>
      <c r="IH642" s="19"/>
      <c r="II642" s="93"/>
      <c r="IJ642" s="93"/>
      <c r="IK642" s="93"/>
      <c r="IL642" s="93"/>
      <c r="IM642" s="93"/>
      <c r="IN642" s="93"/>
      <c r="IO642" s="20"/>
      <c r="IP642" s="29"/>
      <c r="IQ642" s="19"/>
      <c r="IR642" s="93"/>
      <c r="IS642" s="93"/>
      <c r="IT642" s="93"/>
      <c r="IU642" s="93"/>
      <c r="IV642" s="20"/>
      <c r="IW642" s="29"/>
      <c r="IX642" s="19"/>
      <c r="IY642" s="93"/>
      <c r="IZ642" s="93"/>
      <c r="JA642" s="93"/>
      <c r="JB642" s="93"/>
      <c r="JC642" s="93"/>
      <c r="JD642" s="93"/>
      <c r="JE642" s="20"/>
      <c r="JF642" s="29"/>
      <c r="JG642" s="19"/>
      <c r="JH642" s="93"/>
      <c r="JI642" s="93"/>
      <c r="JJ642" s="93"/>
      <c r="JK642" s="93"/>
      <c r="JL642" s="93"/>
      <c r="JM642" s="93"/>
      <c r="JN642" s="20"/>
      <c r="JO642" s="29"/>
      <c r="JP642" s="19"/>
      <c r="JQ642" s="93"/>
      <c r="JR642" s="93"/>
      <c r="JS642" s="93"/>
      <c r="JT642" s="93"/>
      <c r="JU642" s="20"/>
      <c r="JV642" s="29"/>
      <c r="JW642" s="1504">
        <v>53997</v>
      </c>
      <c r="JX642" s="19"/>
      <c r="JY642" s="93"/>
      <c r="JZ642" s="93"/>
      <c r="KA642" s="93"/>
      <c r="KB642" s="93"/>
      <c r="KC642" s="93"/>
      <c r="KD642" s="20"/>
      <c r="KE642" s="29"/>
      <c r="KF642" s="19"/>
      <c r="KG642" s="93"/>
      <c r="KH642" s="93"/>
      <c r="KI642" s="93"/>
      <c r="KJ642" s="93"/>
      <c r="KK642" s="20"/>
      <c r="KL642" s="29"/>
      <c r="KM642" s="19"/>
      <c r="KN642" s="93"/>
      <c r="KO642" s="93"/>
      <c r="KP642" s="93"/>
      <c r="KQ642" s="93"/>
      <c r="KR642" s="20"/>
      <c r="KS642" s="29"/>
      <c r="KT642" s="19"/>
      <c r="KU642" s="93"/>
      <c r="KV642" s="93"/>
      <c r="KW642" s="93"/>
      <c r="KX642" s="93"/>
      <c r="KY642" s="20"/>
      <c r="KZ642" s="29"/>
      <c r="LA642" s="1504">
        <v>53997</v>
      </c>
      <c r="LB642" s="19"/>
      <c r="LC642" s="93"/>
      <c r="LD642" s="93"/>
      <c r="LE642" s="93"/>
      <c r="LF642" s="93"/>
      <c r="LG642" s="93"/>
      <c r="LH642" s="20"/>
      <c r="LI642" s="29"/>
      <c r="LJ642" s="19"/>
      <c r="LK642" s="93"/>
      <c r="LL642" s="93"/>
      <c r="LM642" s="93"/>
      <c r="LN642" s="93"/>
      <c r="LO642" s="20"/>
      <c r="LP642" s="29"/>
      <c r="LQ642" s="19"/>
      <c r="LR642" s="93"/>
      <c r="LS642" s="93"/>
      <c r="LT642" s="93"/>
      <c r="LU642" s="93"/>
      <c r="LV642" s="93"/>
      <c r="LW642" s="93"/>
      <c r="LX642" s="93"/>
      <c r="LY642" s="93"/>
      <c r="LZ642" s="93"/>
      <c r="MA642" s="20"/>
      <c r="MB642" s="29"/>
      <c r="MC642" s="1504">
        <v>53997</v>
      </c>
      <c r="MD642" s="19"/>
      <c r="ME642" s="93"/>
      <c r="MF642" s="93"/>
      <c r="MG642" s="93"/>
      <c r="MH642" s="93"/>
      <c r="MI642" s="93"/>
      <c r="MJ642" s="93"/>
      <c r="MK642" s="93"/>
      <c r="ML642" s="93"/>
      <c r="MM642" s="93"/>
      <c r="MN642" s="93"/>
      <c r="MO642" s="93"/>
      <c r="MP642" s="93"/>
      <c r="MQ642" s="93"/>
      <c r="MR642" s="93"/>
      <c r="MS642" s="93"/>
      <c r="MT642" s="93"/>
      <c r="MU642" s="93"/>
      <c r="MV642" s="93"/>
      <c r="MW642" s="93"/>
      <c r="MX642" s="93"/>
      <c r="MY642" s="93"/>
      <c r="MZ642" s="93"/>
      <c r="NA642" s="93"/>
      <c r="NB642" s="93"/>
      <c r="NC642" s="93"/>
      <c r="ND642" s="93"/>
      <c r="NE642" s="93"/>
      <c r="NF642" s="93"/>
      <c r="NG642" s="93"/>
      <c r="NH642" s="93"/>
      <c r="NI642" s="93"/>
      <c r="NJ642" s="93"/>
      <c r="NK642" s="93"/>
      <c r="NL642" s="93"/>
      <c r="NM642" s="93"/>
      <c r="NN642" s="93"/>
      <c r="NO642" s="93"/>
      <c r="NP642" s="93"/>
      <c r="NQ642" s="93"/>
      <c r="NR642" s="93"/>
      <c r="NS642" s="93"/>
      <c r="NT642" s="93"/>
      <c r="NU642" s="93"/>
      <c r="NV642" s="93"/>
      <c r="NW642" s="93"/>
      <c r="NX642" s="93"/>
      <c r="NY642" s="93"/>
      <c r="NZ642" s="93"/>
      <c r="OA642" s="93"/>
      <c r="OB642" s="93"/>
      <c r="OC642" s="93"/>
      <c r="OD642" s="20"/>
      <c r="OE642" s="29"/>
      <c r="OF642" s="1504">
        <v>53997</v>
      </c>
      <c r="OG642" s="19"/>
      <c r="OH642" s="93"/>
      <c r="OI642" s="93"/>
      <c r="OJ642" s="93"/>
      <c r="OK642" s="93"/>
      <c r="OL642" s="93"/>
      <c r="OM642" s="93"/>
      <c r="ON642" s="93"/>
      <c r="OO642" s="93"/>
      <c r="OP642" s="93"/>
      <c r="OQ642" s="93"/>
      <c r="OR642" s="93"/>
      <c r="OS642" s="93"/>
      <c r="OT642" s="93"/>
      <c r="OU642" s="93"/>
      <c r="OV642" s="93"/>
      <c r="OW642" s="93"/>
      <c r="OX642" s="93"/>
      <c r="OY642" s="93"/>
      <c r="OZ642" s="93"/>
      <c r="PA642" s="93"/>
      <c r="PB642" s="93"/>
      <c r="PC642" s="20"/>
      <c r="PD642" s="29"/>
      <c r="PE642" s="19"/>
      <c r="PF642" s="93"/>
      <c r="PG642" s="93"/>
      <c r="PH642" s="93"/>
      <c r="PI642" s="93"/>
      <c r="PJ642" s="93"/>
      <c r="PK642" s="93"/>
      <c r="PL642" s="93"/>
      <c r="PM642" s="93"/>
      <c r="PN642" s="93"/>
      <c r="PO642" s="93"/>
      <c r="PP642" s="93"/>
      <c r="PQ642" s="93"/>
      <c r="PR642" s="93"/>
      <c r="PS642" s="93"/>
      <c r="PT642" s="93"/>
      <c r="PU642" s="93"/>
      <c r="PV642" s="93"/>
      <c r="PW642" s="93"/>
      <c r="PX642" s="93"/>
      <c r="PY642" s="93"/>
      <c r="PZ642" s="93"/>
      <c r="QA642" s="93"/>
      <c r="QB642" s="93"/>
      <c r="QC642" s="93"/>
      <c r="QD642" s="93"/>
      <c r="QE642" s="20"/>
      <c r="QF642" s="1739"/>
      <c r="QG642" s="19"/>
      <c r="QH642" s="93"/>
      <c r="QI642" s="93"/>
      <c r="QJ642" s="93"/>
      <c r="QK642" s="93"/>
      <c r="QL642" s="93"/>
      <c r="QM642" s="93"/>
      <c r="QN642" s="93"/>
      <c r="QO642" s="93"/>
      <c r="QP642" s="93"/>
      <c r="QQ642" s="93"/>
      <c r="QR642" s="93"/>
      <c r="QS642" s="93"/>
      <c r="QT642" s="93"/>
      <c r="QU642" s="93"/>
      <c r="QV642" s="93"/>
      <c r="QW642" s="93"/>
      <c r="QX642" s="93"/>
      <c r="QY642" s="93"/>
      <c r="QZ642" s="93"/>
      <c r="RA642" s="93"/>
      <c r="RB642" s="93"/>
      <c r="RC642" s="93"/>
      <c r="RD642" s="93"/>
      <c r="RE642" s="93"/>
      <c r="RF642" s="93"/>
      <c r="RG642" s="93"/>
      <c r="RH642" s="93"/>
      <c r="RI642" s="93"/>
      <c r="RJ642" s="93"/>
      <c r="RK642" s="93"/>
      <c r="RL642" s="93"/>
      <c r="RM642" s="20"/>
      <c r="RN642" s="29"/>
      <c r="RO642" s="19"/>
      <c r="RP642" s="20"/>
      <c r="RQ642" s="29"/>
      <c r="RR642" s="20"/>
      <c r="RS642" s="29"/>
      <c r="RT642" s="1504">
        <v>53997</v>
      </c>
      <c r="RU642" s="19"/>
      <c r="RV642" s="20"/>
      <c r="RW642" s="29"/>
      <c r="RX642" s="1504">
        <v>53997</v>
      </c>
      <c r="RY642" s="29"/>
      <c r="RZ642" s="20"/>
      <c r="SA642" s="29"/>
      <c r="SB642" s="29"/>
    </row>
    <row r="643" spans="1:496">
      <c r="A643" s="41">
        <f t="shared" si="364"/>
        <v>2047</v>
      </c>
      <c r="B643" s="1504">
        <v>54027</v>
      </c>
      <c r="C643" s="1813"/>
      <c r="D643" s="1814"/>
      <c r="E643" s="1814"/>
      <c r="F643" s="1815"/>
      <c r="G643" s="1814"/>
      <c r="H643" s="1814"/>
      <c r="I643" s="1814"/>
      <c r="J643" s="1816"/>
      <c r="K643" s="1807"/>
      <c r="L643" s="25"/>
      <c r="M643" s="97"/>
      <c r="N643" s="1504">
        <v>54027</v>
      </c>
      <c r="O643" s="19"/>
      <c r="P643" s="93"/>
      <c r="Q643" s="93"/>
      <c r="R643" s="93"/>
      <c r="S643" s="93"/>
      <c r="T643" s="93"/>
      <c r="U643" s="93"/>
      <c r="V643" s="93"/>
      <c r="W643" s="93"/>
      <c r="X643" s="93"/>
      <c r="Y643" s="93"/>
      <c r="Z643" s="93"/>
      <c r="AA643" s="93"/>
      <c r="AB643" s="20"/>
      <c r="AC643" s="25"/>
      <c r="AD643" s="97"/>
      <c r="AE643" s="1504">
        <v>54027</v>
      </c>
      <c r="AF643" s="19"/>
      <c r="AG643" s="93"/>
      <c r="AH643" s="93"/>
      <c r="AI643" s="93"/>
      <c r="AJ643" s="93"/>
      <c r="AK643" s="93"/>
      <c r="AL643" s="93"/>
      <c r="AM643" s="93"/>
      <c r="AN643" s="93"/>
      <c r="AO643" s="93"/>
      <c r="AP643" s="93"/>
      <c r="AQ643" s="93"/>
      <c r="AR643" s="93"/>
      <c r="AS643" s="20"/>
      <c r="AT643" s="25"/>
      <c r="AU643" s="97"/>
      <c r="AV643" s="1504">
        <v>54027</v>
      </c>
      <c r="AW643" s="19"/>
      <c r="AX643" s="93"/>
      <c r="AY643" s="93"/>
      <c r="AZ643" s="93"/>
      <c r="BA643" s="93"/>
      <c r="BB643" s="93"/>
      <c r="BC643" s="93"/>
      <c r="BD643" s="93"/>
      <c r="BE643" s="93"/>
      <c r="BF643" s="93"/>
      <c r="BG643" s="93"/>
      <c r="BH643" s="93"/>
      <c r="BI643" s="93"/>
      <c r="BJ643" s="20"/>
      <c r="BK643" s="25"/>
      <c r="BL643" s="97"/>
      <c r="BM643" s="1504">
        <v>54027</v>
      </c>
      <c r="BN643" s="19"/>
      <c r="BO643" s="93"/>
      <c r="BP643" s="93"/>
      <c r="BQ643" s="93"/>
      <c r="BR643" s="93"/>
      <c r="BS643" s="93"/>
      <c r="BT643" s="93"/>
      <c r="BU643" s="20"/>
      <c r="BV643" s="25"/>
      <c r="BW643" s="97"/>
      <c r="BX643" s="1504">
        <v>54027</v>
      </c>
      <c r="BY643" s="19"/>
      <c r="BZ643" s="93"/>
      <c r="CA643" s="93"/>
      <c r="CB643" s="93"/>
      <c r="CC643" s="93"/>
      <c r="CD643" s="25"/>
      <c r="CE643" s="97"/>
      <c r="CF643" s="1504">
        <v>54027</v>
      </c>
      <c r="CG643" s="19"/>
      <c r="CH643" s="93"/>
      <c r="CI643" s="219"/>
      <c r="CJ643" s="20"/>
      <c r="CK643" s="19"/>
      <c r="CL643" s="93"/>
      <c r="CM643" s="93"/>
      <c r="CN643" s="93"/>
      <c r="CO643" s="93"/>
      <c r="CP643" s="20"/>
      <c r="CQ643" s="219"/>
      <c r="CR643" s="93"/>
      <c r="CS643" s="93"/>
      <c r="CT643" s="93"/>
      <c r="CU643" s="93"/>
      <c r="CV643" s="214"/>
      <c r="CW643" s="29"/>
      <c r="CX643" s="41">
        <f t="shared" si="363"/>
        <v>2047</v>
      </c>
      <c r="CY643" s="1504">
        <v>54027</v>
      </c>
      <c r="CZ643" s="19"/>
      <c r="DA643" s="93"/>
      <c r="DB643" s="93"/>
      <c r="DC643" s="93"/>
      <c r="DD643" s="93"/>
      <c r="DE643" s="20"/>
      <c r="DF643" s="29"/>
      <c r="DG643" s="1504">
        <v>54027</v>
      </c>
      <c r="DH643" s="19"/>
      <c r="DI643" s="93"/>
      <c r="DJ643" s="93"/>
      <c r="DK643" s="93"/>
      <c r="DL643" s="93"/>
      <c r="DM643" s="93"/>
      <c r="DN643" s="20"/>
      <c r="DO643" s="295"/>
      <c r="DP643" s="29"/>
      <c r="DQ643" s="1504">
        <v>54027</v>
      </c>
      <c r="DR643" s="19"/>
      <c r="DS643" s="93"/>
      <c r="DT643" s="93"/>
      <c r="DU643" s="93"/>
      <c r="DV643" s="93"/>
      <c r="DW643" s="93"/>
      <c r="DX643" s="20"/>
      <c r="DY643" s="29"/>
      <c r="DZ643" s="1504">
        <v>54027</v>
      </c>
      <c r="EA643" s="19"/>
      <c r="EB643" s="93"/>
      <c r="EC643" s="20"/>
      <c r="ED643" s="29"/>
      <c r="EE643" s="1504">
        <v>54027</v>
      </c>
      <c r="EF643" s="19"/>
      <c r="EG643" s="93"/>
      <c r="EH643" s="93"/>
      <c r="EI643" s="214"/>
      <c r="EJ643" s="93"/>
      <c r="EK643" s="93"/>
      <c r="EL643" s="93"/>
      <c r="EM643" s="93"/>
      <c r="EN643" s="20"/>
      <c r="EO643" s="29"/>
      <c r="EP643" s="1504">
        <v>54027</v>
      </c>
      <c r="EQ643" s="19"/>
      <c r="ER643" s="93"/>
      <c r="ES643" s="93"/>
      <c r="ET643" s="214"/>
      <c r="EU643" s="93"/>
      <c r="EV643" s="93"/>
      <c r="EW643" s="93"/>
      <c r="EX643" s="93"/>
      <c r="EY643" s="20"/>
      <c r="EZ643" s="29"/>
      <c r="FA643" s="1504">
        <v>54027</v>
      </c>
      <c r="FB643" s="29"/>
      <c r="FC643" s="29"/>
      <c r="FD643" s="29"/>
      <c r="FE643" s="29"/>
      <c r="FF643" s="29"/>
      <c r="FG643" s="29"/>
      <c r="FH643" s="29"/>
      <c r="FI643" s="29"/>
      <c r="FJ643" s="29"/>
      <c r="FK643" s="29"/>
      <c r="FL643" s="1504">
        <v>54027</v>
      </c>
      <c r="FM643" s="19"/>
      <c r="FN643" s="93"/>
      <c r="FO643" s="93"/>
      <c r="FP643" s="93"/>
      <c r="FQ643" s="93"/>
      <c r="FR643" s="93"/>
      <c r="FS643" s="93"/>
      <c r="FT643" s="93"/>
      <c r="FU643" s="93"/>
      <c r="FV643" s="93"/>
      <c r="FW643" s="93"/>
      <c r="FX643" s="93"/>
      <c r="FY643" s="93"/>
      <c r="FZ643" s="29"/>
      <c r="GA643" s="1504">
        <v>54027</v>
      </c>
      <c r="GB643" s="19"/>
      <c r="GC643" s="93"/>
      <c r="GD643" s="93"/>
      <c r="GE643" s="93"/>
      <c r="GF643" s="93"/>
      <c r="GG643" s="93"/>
      <c r="GH643" s="93"/>
      <c r="GI643" s="93"/>
      <c r="GJ643" s="93"/>
      <c r="GK643" s="93"/>
      <c r="GL643" s="93"/>
      <c r="GM643" s="93"/>
      <c r="GN643" s="20"/>
      <c r="GO643" s="29"/>
      <c r="GP643" s="1504">
        <v>54027</v>
      </c>
      <c r="GQ643" s="19"/>
      <c r="GR643" s="93"/>
      <c r="GS643" s="93"/>
      <c r="GT643" s="93"/>
      <c r="GU643" s="93"/>
      <c r="GV643" s="20"/>
      <c r="GW643" s="19"/>
      <c r="GX643" s="93"/>
      <c r="GY643" s="93"/>
      <c r="GZ643" s="93"/>
      <c r="HA643" s="93"/>
      <c r="HB643" s="20"/>
      <c r="HC643" s="19"/>
      <c r="HD643" s="93"/>
      <c r="HE643" s="93"/>
      <c r="HF643" s="93"/>
      <c r="HG643" s="93"/>
      <c r="HH643" s="20"/>
      <c r="HI643" s="19"/>
      <c r="HJ643" s="93"/>
      <c r="HK643" s="93"/>
      <c r="HL643" s="93"/>
      <c r="HM643" s="93"/>
      <c r="HN643" s="20"/>
      <c r="HO643" s="219"/>
      <c r="HP643" s="20"/>
      <c r="HQ643" s="25"/>
      <c r="HR643" s="29"/>
      <c r="HS643" s="1504">
        <v>54027</v>
      </c>
      <c r="HT643" s="19"/>
      <c r="HU643" s="93"/>
      <c r="HV643" s="93"/>
      <c r="HW643" s="93"/>
      <c r="HX643" s="93"/>
      <c r="HY643" s="93"/>
      <c r="HZ643" s="93"/>
      <c r="IA643" s="20"/>
      <c r="IB643" s="19"/>
      <c r="IC643" s="93"/>
      <c r="ID643" s="93"/>
      <c r="IE643" s="93"/>
      <c r="IF643" s="93"/>
      <c r="IG643" s="20"/>
      <c r="IH643" s="19"/>
      <c r="II643" s="93"/>
      <c r="IJ643" s="93"/>
      <c r="IK643" s="93"/>
      <c r="IL643" s="93"/>
      <c r="IM643" s="93"/>
      <c r="IN643" s="93"/>
      <c r="IO643" s="20"/>
      <c r="IP643" s="29"/>
      <c r="IQ643" s="19"/>
      <c r="IR643" s="93"/>
      <c r="IS643" s="93"/>
      <c r="IT643" s="93"/>
      <c r="IU643" s="93"/>
      <c r="IV643" s="20"/>
      <c r="IW643" s="29"/>
      <c r="IX643" s="19"/>
      <c r="IY643" s="93"/>
      <c r="IZ643" s="93"/>
      <c r="JA643" s="93"/>
      <c r="JB643" s="93"/>
      <c r="JC643" s="93"/>
      <c r="JD643" s="93"/>
      <c r="JE643" s="20"/>
      <c r="JF643" s="29"/>
      <c r="JG643" s="19"/>
      <c r="JH643" s="93"/>
      <c r="JI643" s="93"/>
      <c r="JJ643" s="93"/>
      <c r="JK643" s="93"/>
      <c r="JL643" s="93"/>
      <c r="JM643" s="93"/>
      <c r="JN643" s="20"/>
      <c r="JO643" s="29"/>
      <c r="JP643" s="19"/>
      <c r="JQ643" s="93"/>
      <c r="JR643" s="93"/>
      <c r="JS643" s="93"/>
      <c r="JT643" s="93"/>
      <c r="JU643" s="20"/>
      <c r="JV643" s="29"/>
      <c r="JW643" s="1504">
        <v>54027</v>
      </c>
      <c r="JX643" s="19"/>
      <c r="JY643" s="93"/>
      <c r="JZ643" s="93"/>
      <c r="KA643" s="93"/>
      <c r="KB643" s="93"/>
      <c r="KC643" s="93"/>
      <c r="KD643" s="20"/>
      <c r="KE643" s="29"/>
      <c r="KF643" s="19"/>
      <c r="KG643" s="93"/>
      <c r="KH643" s="93"/>
      <c r="KI643" s="93"/>
      <c r="KJ643" s="93"/>
      <c r="KK643" s="20"/>
      <c r="KL643" s="29"/>
      <c r="KM643" s="19"/>
      <c r="KN643" s="93"/>
      <c r="KO643" s="93"/>
      <c r="KP643" s="93"/>
      <c r="KQ643" s="93"/>
      <c r="KR643" s="20"/>
      <c r="KS643" s="29"/>
      <c r="KT643" s="19"/>
      <c r="KU643" s="93"/>
      <c r="KV643" s="93"/>
      <c r="KW643" s="93"/>
      <c r="KX643" s="93"/>
      <c r="KY643" s="20"/>
      <c r="KZ643" s="29"/>
      <c r="LA643" s="1504">
        <v>54027</v>
      </c>
      <c r="LB643" s="19"/>
      <c r="LC643" s="93"/>
      <c r="LD643" s="93"/>
      <c r="LE643" s="93"/>
      <c r="LF643" s="93"/>
      <c r="LG643" s="93"/>
      <c r="LH643" s="20"/>
      <c r="LI643" s="29"/>
      <c r="LJ643" s="19"/>
      <c r="LK643" s="93"/>
      <c r="LL643" s="93"/>
      <c r="LM643" s="93"/>
      <c r="LN643" s="93"/>
      <c r="LO643" s="20"/>
      <c r="LP643" s="29"/>
      <c r="LQ643" s="19"/>
      <c r="LR643" s="93"/>
      <c r="LS643" s="93"/>
      <c r="LT643" s="93"/>
      <c r="LU643" s="93"/>
      <c r="LV643" s="93"/>
      <c r="LW643" s="93"/>
      <c r="LX643" s="93"/>
      <c r="LY643" s="93"/>
      <c r="LZ643" s="93"/>
      <c r="MA643" s="20"/>
      <c r="MB643" s="29"/>
      <c r="MC643" s="1504">
        <v>54027</v>
      </c>
      <c r="MD643" s="19"/>
      <c r="ME643" s="93"/>
      <c r="MF643" s="93"/>
      <c r="MG643" s="93"/>
      <c r="MH643" s="93"/>
      <c r="MI643" s="93"/>
      <c r="MJ643" s="93"/>
      <c r="MK643" s="93"/>
      <c r="ML643" s="93"/>
      <c r="MM643" s="93"/>
      <c r="MN643" s="93"/>
      <c r="MO643" s="93"/>
      <c r="MP643" s="93"/>
      <c r="MQ643" s="93"/>
      <c r="MR643" s="93"/>
      <c r="MS643" s="93"/>
      <c r="MT643" s="93"/>
      <c r="MU643" s="93"/>
      <c r="MV643" s="93"/>
      <c r="MW643" s="93"/>
      <c r="MX643" s="93"/>
      <c r="MY643" s="93"/>
      <c r="MZ643" s="93"/>
      <c r="NA643" s="93"/>
      <c r="NB643" s="93"/>
      <c r="NC643" s="93"/>
      <c r="ND643" s="93"/>
      <c r="NE643" s="93"/>
      <c r="NF643" s="93"/>
      <c r="NG643" s="93"/>
      <c r="NH643" s="93"/>
      <c r="NI643" s="93"/>
      <c r="NJ643" s="93"/>
      <c r="NK643" s="93"/>
      <c r="NL643" s="93"/>
      <c r="NM643" s="93"/>
      <c r="NN643" s="93"/>
      <c r="NO643" s="93"/>
      <c r="NP643" s="93"/>
      <c r="NQ643" s="93"/>
      <c r="NR643" s="93"/>
      <c r="NS643" s="93"/>
      <c r="NT643" s="93"/>
      <c r="NU643" s="93"/>
      <c r="NV643" s="93"/>
      <c r="NW643" s="93"/>
      <c r="NX643" s="93"/>
      <c r="NY643" s="93"/>
      <c r="NZ643" s="93"/>
      <c r="OA643" s="93"/>
      <c r="OB643" s="93"/>
      <c r="OC643" s="93"/>
      <c r="OD643" s="20"/>
      <c r="OE643" s="29"/>
      <c r="OF643" s="1504">
        <v>54027</v>
      </c>
      <c r="OG643" s="19"/>
      <c r="OH643" s="93"/>
      <c r="OI643" s="93"/>
      <c r="OJ643" s="93"/>
      <c r="OK643" s="93"/>
      <c r="OL643" s="93"/>
      <c r="OM643" s="93"/>
      <c r="ON643" s="93"/>
      <c r="OO643" s="93"/>
      <c r="OP643" s="93"/>
      <c r="OQ643" s="93"/>
      <c r="OR643" s="93"/>
      <c r="OS643" s="93"/>
      <c r="OT643" s="93"/>
      <c r="OU643" s="93"/>
      <c r="OV643" s="93"/>
      <c r="OW643" s="93"/>
      <c r="OX643" s="93"/>
      <c r="OY643" s="93"/>
      <c r="OZ643" s="93"/>
      <c r="PA643" s="93"/>
      <c r="PB643" s="93"/>
      <c r="PC643" s="20"/>
      <c r="PD643" s="29"/>
      <c r="PE643" s="19"/>
      <c r="PF643" s="93"/>
      <c r="PG643" s="93"/>
      <c r="PH643" s="93"/>
      <c r="PI643" s="93"/>
      <c r="PJ643" s="93"/>
      <c r="PK643" s="93"/>
      <c r="PL643" s="93"/>
      <c r="PM643" s="93"/>
      <c r="PN643" s="93"/>
      <c r="PO643" s="93"/>
      <c r="PP643" s="93"/>
      <c r="PQ643" s="93"/>
      <c r="PR643" s="93"/>
      <c r="PS643" s="93"/>
      <c r="PT643" s="93"/>
      <c r="PU643" s="93"/>
      <c r="PV643" s="93"/>
      <c r="PW643" s="93"/>
      <c r="PX643" s="93"/>
      <c r="PY643" s="93"/>
      <c r="PZ643" s="93"/>
      <c r="QA643" s="93"/>
      <c r="QB643" s="93"/>
      <c r="QC643" s="93"/>
      <c r="QD643" s="93"/>
      <c r="QE643" s="20"/>
      <c r="QF643" s="1739"/>
      <c r="QG643" s="19"/>
      <c r="QH643" s="93"/>
      <c r="QI643" s="93"/>
      <c r="QJ643" s="93"/>
      <c r="QK643" s="93"/>
      <c r="QL643" s="93"/>
      <c r="QM643" s="93"/>
      <c r="QN643" s="93"/>
      <c r="QO643" s="93"/>
      <c r="QP643" s="93"/>
      <c r="QQ643" s="93"/>
      <c r="QR643" s="93"/>
      <c r="QS643" s="93"/>
      <c r="QT643" s="93"/>
      <c r="QU643" s="93"/>
      <c r="QV643" s="93"/>
      <c r="QW643" s="93"/>
      <c r="QX643" s="93"/>
      <c r="QY643" s="93"/>
      <c r="QZ643" s="93"/>
      <c r="RA643" s="93"/>
      <c r="RB643" s="93"/>
      <c r="RC643" s="93"/>
      <c r="RD643" s="93"/>
      <c r="RE643" s="93"/>
      <c r="RF643" s="93"/>
      <c r="RG643" s="93"/>
      <c r="RH643" s="93"/>
      <c r="RI643" s="93"/>
      <c r="RJ643" s="93"/>
      <c r="RK643" s="93"/>
      <c r="RL643" s="93"/>
      <c r="RM643" s="20"/>
      <c r="RN643" s="29"/>
      <c r="RO643" s="19"/>
      <c r="RP643" s="20"/>
      <c r="RQ643" s="29"/>
      <c r="RR643" s="20"/>
      <c r="RS643" s="29"/>
      <c r="RT643" s="1504">
        <v>54027</v>
      </c>
      <c r="RU643" s="19"/>
      <c r="RV643" s="20"/>
      <c r="RW643" s="29"/>
      <c r="RX643" s="1504">
        <v>54027</v>
      </c>
      <c r="RY643" s="29"/>
      <c r="RZ643" s="20"/>
      <c r="SA643" s="29"/>
      <c r="SB643" s="29"/>
    </row>
    <row r="644" spans="1:496">
      <c r="A644" s="41">
        <f t="shared" si="364"/>
        <v>2048</v>
      </c>
      <c r="B644" s="1504">
        <v>54058</v>
      </c>
      <c r="C644" s="1813"/>
      <c r="D644" s="1814"/>
      <c r="E644" s="1814"/>
      <c r="F644" s="1815"/>
      <c r="G644" s="1814"/>
      <c r="H644" s="1814"/>
      <c r="I644" s="1814"/>
      <c r="J644" s="1816"/>
      <c r="K644" s="1807"/>
      <c r="L644" s="25"/>
      <c r="M644" s="97"/>
      <c r="N644" s="1504">
        <v>54058</v>
      </c>
      <c r="O644" s="19"/>
      <c r="P644" s="93"/>
      <c r="Q644" s="93"/>
      <c r="R644" s="93"/>
      <c r="S644" s="93"/>
      <c r="T644" s="93"/>
      <c r="U644" s="93"/>
      <c r="V644" s="93"/>
      <c r="W644" s="93"/>
      <c r="X644" s="93"/>
      <c r="Y644" s="93"/>
      <c r="Z644" s="93"/>
      <c r="AA644" s="93"/>
      <c r="AB644" s="20"/>
      <c r="AC644" s="25"/>
      <c r="AD644" s="97"/>
      <c r="AE644" s="1504">
        <v>54058</v>
      </c>
      <c r="AF644" s="19"/>
      <c r="AG644" s="93"/>
      <c r="AH644" s="93"/>
      <c r="AI644" s="93"/>
      <c r="AJ644" s="93"/>
      <c r="AK644" s="93"/>
      <c r="AL644" s="93"/>
      <c r="AM644" s="93"/>
      <c r="AN644" s="93"/>
      <c r="AO644" s="93"/>
      <c r="AP644" s="93"/>
      <c r="AQ644" s="93"/>
      <c r="AR644" s="93"/>
      <c r="AS644" s="20"/>
      <c r="AT644" s="25"/>
      <c r="AU644" s="97"/>
      <c r="AV644" s="1504">
        <v>54058</v>
      </c>
      <c r="AW644" s="19"/>
      <c r="AX644" s="93"/>
      <c r="AY644" s="93"/>
      <c r="AZ644" s="93"/>
      <c r="BA644" s="93"/>
      <c r="BB644" s="93"/>
      <c r="BC644" s="93"/>
      <c r="BD644" s="93"/>
      <c r="BE644" s="93"/>
      <c r="BF644" s="93"/>
      <c r="BG644" s="93"/>
      <c r="BH644" s="93"/>
      <c r="BI644" s="93"/>
      <c r="BJ644" s="20"/>
      <c r="BK644" s="25"/>
      <c r="BL644" s="97"/>
      <c r="BM644" s="1504">
        <v>54058</v>
      </c>
      <c r="BN644" s="19"/>
      <c r="BO644" s="93"/>
      <c r="BP644" s="93"/>
      <c r="BQ644" s="93"/>
      <c r="BR644" s="93"/>
      <c r="BS644" s="93"/>
      <c r="BT644" s="93"/>
      <c r="BU644" s="20"/>
      <c r="BV644" s="25"/>
      <c r="BW644" s="97"/>
      <c r="BX644" s="1504">
        <v>54058</v>
      </c>
      <c r="BY644" s="19"/>
      <c r="BZ644" s="93"/>
      <c r="CA644" s="93"/>
      <c r="CB644" s="93"/>
      <c r="CC644" s="93"/>
      <c r="CD644" s="25"/>
      <c r="CE644" s="97"/>
      <c r="CF644" s="1504">
        <v>54058</v>
      </c>
      <c r="CG644" s="19"/>
      <c r="CH644" s="93"/>
      <c r="CI644" s="219"/>
      <c r="CJ644" s="20"/>
      <c r="CK644" s="19"/>
      <c r="CL644" s="93"/>
      <c r="CM644" s="93"/>
      <c r="CN644" s="93"/>
      <c r="CO644" s="93"/>
      <c r="CP644" s="20"/>
      <c r="CQ644" s="219"/>
      <c r="CR644" s="93"/>
      <c r="CS644" s="93"/>
      <c r="CT644" s="93"/>
      <c r="CU644" s="93"/>
      <c r="CV644" s="214"/>
      <c r="CW644" s="29"/>
      <c r="CX644" s="41">
        <f t="shared" si="363"/>
        <v>2048</v>
      </c>
      <c r="CY644" s="1504">
        <v>54058</v>
      </c>
      <c r="CZ644" s="19"/>
      <c r="DA644" s="93"/>
      <c r="DB644" s="93"/>
      <c r="DC644" s="93"/>
      <c r="DD644" s="93"/>
      <c r="DE644" s="20"/>
      <c r="DF644" s="29"/>
      <c r="DG644" s="1504">
        <v>54058</v>
      </c>
      <c r="DH644" s="19"/>
      <c r="DI644" s="93"/>
      <c r="DJ644" s="93"/>
      <c r="DK644" s="93"/>
      <c r="DL644" s="93"/>
      <c r="DM644" s="93"/>
      <c r="DN644" s="20"/>
      <c r="DO644" s="295"/>
      <c r="DP644" s="29"/>
      <c r="DQ644" s="1504">
        <v>54058</v>
      </c>
      <c r="DR644" s="19"/>
      <c r="DS644" s="93"/>
      <c r="DT644" s="93"/>
      <c r="DU644" s="93"/>
      <c r="DV644" s="93"/>
      <c r="DW644" s="93"/>
      <c r="DX644" s="20"/>
      <c r="DY644" s="29"/>
      <c r="DZ644" s="1504">
        <v>54058</v>
      </c>
      <c r="EA644" s="19"/>
      <c r="EB644" s="93"/>
      <c r="EC644" s="20"/>
      <c r="ED644" s="29"/>
      <c r="EE644" s="1504">
        <v>54058</v>
      </c>
      <c r="EF644" s="19"/>
      <c r="EG644" s="93"/>
      <c r="EH644" s="93"/>
      <c r="EI644" s="214"/>
      <c r="EJ644" s="93"/>
      <c r="EK644" s="93"/>
      <c r="EL644" s="93"/>
      <c r="EM644" s="93"/>
      <c r="EN644" s="20"/>
      <c r="EO644" s="29"/>
      <c r="EP644" s="1504">
        <v>54058</v>
      </c>
      <c r="EQ644" s="19"/>
      <c r="ER644" s="93"/>
      <c r="ES644" s="93"/>
      <c r="ET644" s="214"/>
      <c r="EU644" s="93"/>
      <c r="EV644" s="93"/>
      <c r="EW644" s="93"/>
      <c r="EX644" s="93"/>
      <c r="EY644" s="20"/>
      <c r="EZ644" s="29"/>
      <c r="FA644" s="1504">
        <v>54058</v>
      </c>
      <c r="FB644" s="29"/>
      <c r="FC644" s="29"/>
      <c r="FD644" s="29"/>
      <c r="FE644" s="29"/>
      <c r="FF644" s="29"/>
      <c r="FG644" s="29"/>
      <c r="FH644" s="29"/>
      <c r="FI644" s="29"/>
      <c r="FJ644" s="29"/>
      <c r="FK644" s="29"/>
      <c r="FL644" s="1504">
        <v>54058</v>
      </c>
      <c r="FM644" s="19"/>
      <c r="FN644" s="93"/>
      <c r="FO644" s="93"/>
      <c r="FP644" s="93"/>
      <c r="FQ644" s="93"/>
      <c r="FR644" s="93"/>
      <c r="FS644" s="93"/>
      <c r="FT644" s="93"/>
      <c r="FU644" s="93"/>
      <c r="FV644" s="93"/>
      <c r="FW644" s="93"/>
      <c r="FX644" s="93"/>
      <c r="FY644" s="93"/>
      <c r="FZ644" s="29"/>
      <c r="GA644" s="1504">
        <v>54058</v>
      </c>
      <c r="GB644" s="19"/>
      <c r="GC644" s="93"/>
      <c r="GD644" s="93"/>
      <c r="GE644" s="93"/>
      <c r="GF644" s="93"/>
      <c r="GG644" s="93"/>
      <c r="GH644" s="93"/>
      <c r="GI644" s="93"/>
      <c r="GJ644" s="93"/>
      <c r="GK644" s="93"/>
      <c r="GL644" s="93"/>
      <c r="GM644" s="93"/>
      <c r="GN644" s="20"/>
      <c r="GO644" s="29"/>
      <c r="GP644" s="1504">
        <v>54058</v>
      </c>
      <c r="GQ644" s="19"/>
      <c r="GR644" s="93"/>
      <c r="GS644" s="93"/>
      <c r="GT644" s="93"/>
      <c r="GU644" s="93"/>
      <c r="GV644" s="20"/>
      <c r="GW644" s="19"/>
      <c r="GX644" s="93"/>
      <c r="GY644" s="93"/>
      <c r="GZ644" s="93"/>
      <c r="HA644" s="93"/>
      <c r="HB644" s="20"/>
      <c r="HC644" s="19"/>
      <c r="HD644" s="93"/>
      <c r="HE644" s="93"/>
      <c r="HF644" s="93"/>
      <c r="HG644" s="93"/>
      <c r="HH644" s="20"/>
      <c r="HI644" s="19"/>
      <c r="HJ644" s="93"/>
      <c r="HK644" s="93"/>
      <c r="HL644" s="93"/>
      <c r="HM644" s="93"/>
      <c r="HN644" s="20"/>
      <c r="HO644" s="219"/>
      <c r="HP644" s="20"/>
      <c r="HQ644" s="25"/>
      <c r="HR644" s="29"/>
      <c r="HS644" s="1504">
        <v>54058</v>
      </c>
      <c r="HT644" s="19"/>
      <c r="HU644" s="93"/>
      <c r="HV644" s="93"/>
      <c r="HW644" s="93"/>
      <c r="HX644" s="93"/>
      <c r="HY644" s="93"/>
      <c r="HZ644" s="93"/>
      <c r="IA644" s="20"/>
      <c r="IB644" s="19"/>
      <c r="IC644" s="93"/>
      <c r="ID644" s="93"/>
      <c r="IE644" s="93"/>
      <c r="IF644" s="93"/>
      <c r="IG644" s="20"/>
      <c r="IH644" s="19"/>
      <c r="II644" s="93"/>
      <c r="IJ644" s="93"/>
      <c r="IK644" s="93"/>
      <c r="IL644" s="93"/>
      <c r="IM644" s="93"/>
      <c r="IN644" s="93"/>
      <c r="IO644" s="20"/>
      <c r="IP644" s="29"/>
      <c r="IQ644" s="19"/>
      <c r="IR644" s="93"/>
      <c r="IS644" s="93"/>
      <c r="IT644" s="93"/>
      <c r="IU644" s="93"/>
      <c r="IV644" s="20"/>
      <c r="IW644" s="29"/>
      <c r="IX644" s="19"/>
      <c r="IY644" s="93"/>
      <c r="IZ644" s="93"/>
      <c r="JA644" s="93"/>
      <c r="JB644" s="93"/>
      <c r="JC644" s="93"/>
      <c r="JD644" s="93"/>
      <c r="JE644" s="20"/>
      <c r="JF644" s="29"/>
      <c r="JG644" s="19"/>
      <c r="JH644" s="93"/>
      <c r="JI644" s="93"/>
      <c r="JJ644" s="93"/>
      <c r="JK644" s="93"/>
      <c r="JL644" s="93"/>
      <c r="JM644" s="93"/>
      <c r="JN644" s="20"/>
      <c r="JO644" s="29"/>
      <c r="JP644" s="19"/>
      <c r="JQ644" s="93"/>
      <c r="JR644" s="93"/>
      <c r="JS644" s="93"/>
      <c r="JT644" s="93"/>
      <c r="JU644" s="20"/>
      <c r="JV644" s="29"/>
      <c r="JW644" s="1504">
        <v>54058</v>
      </c>
      <c r="JX644" s="19"/>
      <c r="JY644" s="93"/>
      <c r="JZ644" s="93"/>
      <c r="KA644" s="93"/>
      <c r="KB644" s="93"/>
      <c r="KC644" s="93"/>
      <c r="KD644" s="20"/>
      <c r="KE644" s="29"/>
      <c r="KF644" s="19"/>
      <c r="KG644" s="93"/>
      <c r="KH644" s="93"/>
      <c r="KI644" s="93"/>
      <c r="KJ644" s="93"/>
      <c r="KK644" s="20"/>
      <c r="KL644" s="29"/>
      <c r="KM644" s="19"/>
      <c r="KN644" s="93"/>
      <c r="KO644" s="93"/>
      <c r="KP644" s="93"/>
      <c r="KQ644" s="93"/>
      <c r="KR644" s="20"/>
      <c r="KS644" s="29"/>
      <c r="KT644" s="19"/>
      <c r="KU644" s="93"/>
      <c r="KV644" s="93"/>
      <c r="KW644" s="93"/>
      <c r="KX644" s="93"/>
      <c r="KY644" s="20"/>
      <c r="KZ644" s="29"/>
      <c r="LA644" s="1504">
        <v>54058</v>
      </c>
      <c r="LB644" s="19"/>
      <c r="LC644" s="93"/>
      <c r="LD644" s="93"/>
      <c r="LE644" s="93"/>
      <c r="LF644" s="93"/>
      <c r="LG644" s="93"/>
      <c r="LH644" s="20"/>
      <c r="LI644" s="29"/>
      <c r="LJ644" s="19"/>
      <c r="LK644" s="93"/>
      <c r="LL644" s="93"/>
      <c r="LM644" s="93"/>
      <c r="LN644" s="93"/>
      <c r="LO644" s="20"/>
      <c r="LP644" s="29"/>
      <c r="LQ644" s="19"/>
      <c r="LR644" s="93"/>
      <c r="LS644" s="93"/>
      <c r="LT644" s="93"/>
      <c r="LU644" s="93"/>
      <c r="LV644" s="93"/>
      <c r="LW644" s="93"/>
      <c r="LX644" s="93"/>
      <c r="LY644" s="93"/>
      <c r="LZ644" s="93"/>
      <c r="MA644" s="20"/>
      <c r="MB644" s="29"/>
      <c r="MC644" s="1504">
        <v>54058</v>
      </c>
      <c r="MD644" s="19"/>
      <c r="ME644" s="93"/>
      <c r="MF644" s="93"/>
      <c r="MG644" s="93"/>
      <c r="MH644" s="93"/>
      <c r="MI644" s="93"/>
      <c r="MJ644" s="93"/>
      <c r="MK644" s="93"/>
      <c r="ML644" s="93"/>
      <c r="MM644" s="93"/>
      <c r="MN644" s="93"/>
      <c r="MO644" s="93"/>
      <c r="MP644" s="93"/>
      <c r="MQ644" s="93"/>
      <c r="MR644" s="93"/>
      <c r="MS644" s="93"/>
      <c r="MT644" s="93"/>
      <c r="MU644" s="93"/>
      <c r="MV644" s="93"/>
      <c r="MW644" s="93"/>
      <c r="MX644" s="93"/>
      <c r="MY644" s="93"/>
      <c r="MZ644" s="93"/>
      <c r="NA644" s="93"/>
      <c r="NB644" s="93"/>
      <c r="NC644" s="93"/>
      <c r="ND644" s="93"/>
      <c r="NE644" s="93"/>
      <c r="NF644" s="93"/>
      <c r="NG644" s="93"/>
      <c r="NH644" s="93"/>
      <c r="NI644" s="93"/>
      <c r="NJ644" s="93"/>
      <c r="NK644" s="93"/>
      <c r="NL644" s="93"/>
      <c r="NM644" s="93"/>
      <c r="NN644" s="93"/>
      <c r="NO644" s="93"/>
      <c r="NP644" s="93"/>
      <c r="NQ644" s="93"/>
      <c r="NR644" s="93"/>
      <c r="NS644" s="93"/>
      <c r="NT644" s="93"/>
      <c r="NU644" s="93"/>
      <c r="NV644" s="93"/>
      <c r="NW644" s="93"/>
      <c r="NX644" s="93"/>
      <c r="NY644" s="93"/>
      <c r="NZ644" s="93"/>
      <c r="OA644" s="93"/>
      <c r="OB644" s="93"/>
      <c r="OC644" s="93"/>
      <c r="OD644" s="20"/>
      <c r="OE644" s="29"/>
      <c r="OF644" s="1504">
        <v>54058</v>
      </c>
      <c r="OG644" s="19"/>
      <c r="OH644" s="93"/>
      <c r="OI644" s="93"/>
      <c r="OJ644" s="93"/>
      <c r="OK644" s="93"/>
      <c r="OL644" s="93"/>
      <c r="OM644" s="93"/>
      <c r="ON644" s="93"/>
      <c r="OO644" s="93"/>
      <c r="OP644" s="93"/>
      <c r="OQ644" s="93"/>
      <c r="OR644" s="93"/>
      <c r="OS644" s="93"/>
      <c r="OT644" s="93"/>
      <c r="OU644" s="93"/>
      <c r="OV644" s="93"/>
      <c r="OW644" s="93"/>
      <c r="OX644" s="93"/>
      <c r="OY644" s="93"/>
      <c r="OZ644" s="93"/>
      <c r="PA644" s="93"/>
      <c r="PB644" s="93"/>
      <c r="PC644" s="20"/>
      <c r="PD644" s="29"/>
      <c r="PE644" s="19"/>
      <c r="PF644" s="93"/>
      <c r="PG644" s="93"/>
      <c r="PH644" s="93"/>
      <c r="PI644" s="93"/>
      <c r="PJ644" s="93"/>
      <c r="PK644" s="93"/>
      <c r="PL644" s="93"/>
      <c r="PM644" s="93"/>
      <c r="PN644" s="93"/>
      <c r="PO644" s="93"/>
      <c r="PP644" s="93"/>
      <c r="PQ644" s="93"/>
      <c r="PR644" s="93"/>
      <c r="PS644" s="93"/>
      <c r="PT644" s="93"/>
      <c r="PU644" s="93"/>
      <c r="PV644" s="93"/>
      <c r="PW644" s="93"/>
      <c r="PX644" s="93"/>
      <c r="PY644" s="93"/>
      <c r="PZ644" s="93"/>
      <c r="QA644" s="93"/>
      <c r="QB644" s="93"/>
      <c r="QC644" s="93"/>
      <c r="QD644" s="93"/>
      <c r="QE644" s="20"/>
      <c r="QF644" s="1739"/>
      <c r="QG644" s="19"/>
      <c r="QH644" s="93"/>
      <c r="QI644" s="93"/>
      <c r="QJ644" s="93"/>
      <c r="QK644" s="93"/>
      <c r="QL644" s="93"/>
      <c r="QM644" s="93"/>
      <c r="QN644" s="93"/>
      <c r="QO644" s="93"/>
      <c r="QP644" s="93"/>
      <c r="QQ644" s="93"/>
      <c r="QR644" s="93"/>
      <c r="QS644" s="93"/>
      <c r="QT644" s="93"/>
      <c r="QU644" s="93"/>
      <c r="QV644" s="93"/>
      <c r="QW644" s="93"/>
      <c r="QX644" s="93"/>
      <c r="QY644" s="93"/>
      <c r="QZ644" s="93"/>
      <c r="RA644" s="93"/>
      <c r="RB644" s="93"/>
      <c r="RC644" s="93"/>
      <c r="RD644" s="93"/>
      <c r="RE644" s="93"/>
      <c r="RF644" s="93"/>
      <c r="RG644" s="93"/>
      <c r="RH644" s="93"/>
      <c r="RI644" s="93"/>
      <c r="RJ644" s="93"/>
      <c r="RK644" s="93"/>
      <c r="RL644" s="93"/>
      <c r="RM644" s="20"/>
      <c r="RN644" s="29"/>
      <c r="RO644" s="19"/>
      <c r="RP644" s="20"/>
      <c r="RQ644" s="29"/>
      <c r="RR644" s="20"/>
      <c r="RS644" s="29"/>
      <c r="RT644" s="1504">
        <v>54058</v>
      </c>
      <c r="RU644" s="19"/>
      <c r="RV644" s="20"/>
      <c r="RW644" s="29"/>
      <c r="RX644" s="1504">
        <v>54058</v>
      </c>
      <c r="RY644" s="29"/>
      <c r="RZ644" s="20"/>
      <c r="SA644" s="29"/>
      <c r="SB644" s="29"/>
    </row>
    <row r="645" spans="1:496">
      <c r="A645" s="41">
        <f t="shared" si="364"/>
        <v>2048</v>
      </c>
      <c r="B645" s="1504">
        <v>54089</v>
      </c>
      <c r="C645" s="1813"/>
      <c r="D645" s="1814"/>
      <c r="E645" s="1814"/>
      <c r="F645" s="1815"/>
      <c r="G645" s="1814"/>
      <c r="H645" s="1814"/>
      <c r="I645" s="1814"/>
      <c r="J645" s="1816"/>
      <c r="K645" s="1807"/>
      <c r="L645" s="25"/>
      <c r="M645" s="97"/>
      <c r="N645" s="1504">
        <v>54089</v>
      </c>
      <c r="O645" s="19"/>
      <c r="P645" s="93"/>
      <c r="Q645" s="93"/>
      <c r="R645" s="93"/>
      <c r="S645" s="93"/>
      <c r="T645" s="93"/>
      <c r="U645" s="93"/>
      <c r="V645" s="93"/>
      <c r="W645" s="93"/>
      <c r="X645" s="93"/>
      <c r="Y645" s="93"/>
      <c r="Z645" s="93"/>
      <c r="AA645" s="93"/>
      <c r="AB645" s="20"/>
      <c r="AC645" s="25"/>
      <c r="AD645" s="97"/>
      <c r="AE645" s="1504">
        <v>54089</v>
      </c>
      <c r="AF645" s="19"/>
      <c r="AG645" s="93"/>
      <c r="AH645" s="93"/>
      <c r="AI645" s="93"/>
      <c r="AJ645" s="93"/>
      <c r="AK645" s="93"/>
      <c r="AL645" s="93"/>
      <c r="AM645" s="93"/>
      <c r="AN645" s="93"/>
      <c r="AO645" s="93"/>
      <c r="AP645" s="93"/>
      <c r="AQ645" s="93"/>
      <c r="AR645" s="93"/>
      <c r="AS645" s="20"/>
      <c r="AT645" s="25"/>
      <c r="AU645" s="97"/>
      <c r="AV645" s="1504">
        <v>54089</v>
      </c>
      <c r="AW645" s="19"/>
      <c r="AX645" s="93"/>
      <c r="AY645" s="93"/>
      <c r="AZ645" s="93"/>
      <c r="BA645" s="93"/>
      <c r="BB645" s="93"/>
      <c r="BC645" s="93"/>
      <c r="BD645" s="93"/>
      <c r="BE645" s="93"/>
      <c r="BF645" s="93"/>
      <c r="BG645" s="93"/>
      <c r="BH645" s="93"/>
      <c r="BI645" s="93"/>
      <c r="BJ645" s="20"/>
      <c r="BK645" s="25"/>
      <c r="BL645" s="97"/>
      <c r="BM645" s="1504">
        <v>54089</v>
      </c>
      <c r="BN645" s="19"/>
      <c r="BO645" s="93"/>
      <c r="BP645" s="93"/>
      <c r="BQ645" s="93"/>
      <c r="BR645" s="93"/>
      <c r="BS645" s="93"/>
      <c r="BT645" s="93"/>
      <c r="BU645" s="20"/>
      <c r="BV645" s="25"/>
      <c r="BW645" s="97"/>
      <c r="BX645" s="1504">
        <v>54089</v>
      </c>
      <c r="BY645" s="19"/>
      <c r="BZ645" s="93"/>
      <c r="CA645" s="93"/>
      <c r="CB645" s="93"/>
      <c r="CC645" s="93"/>
      <c r="CD645" s="25"/>
      <c r="CE645" s="97"/>
      <c r="CF645" s="1504">
        <v>54089</v>
      </c>
      <c r="CG645" s="19"/>
      <c r="CH645" s="93"/>
      <c r="CI645" s="219"/>
      <c r="CJ645" s="20"/>
      <c r="CK645" s="19"/>
      <c r="CL645" s="93"/>
      <c r="CM645" s="93"/>
      <c r="CN645" s="93"/>
      <c r="CO645" s="93"/>
      <c r="CP645" s="20"/>
      <c r="CQ645" s="219"/>
      <c r="CR645" s="93"/>
      <c r="CS645" s="93"/>
      <c r="CT645" s="93"/>
      <c r="CU645" s="93"/>
      <c r="CV645" s="214"/>
      <c r="CW645" s="29"/>
      <c r="CX645" s="41">
        <f t="shared" ref="CX645:CX679" si="365">YEAR(CY645)</f>
        <v>2048</v>
      </c>
      <c r="CY645" s="1504">
        <v>54089</v>
      </c>
      <c r="CZ645" s="19"/>
      <c r="DA645" s="93"/>
      <c r="DB645" s="93"/>
      <c r="DC645" s="93"/>
      <c r="DD645" s="93"/>
      <c r="DE645" s="20"/>
      <c r="DF645" s="29"/>
      <c r="DG645" s="1504">
        <v>54089</v>
      </c>
      <c r="DH645" s="19"/>
      <c r="DI645" s="93"/>
      <c r="DJ645" s="93"/>
      <c r="DK645" s="93"/>
      <c r="DL645" s="93"/>
      <c r="DM645" s="93"/>
      <c r="DN645" s="20"/>
      <c r="DO645" s="295"/>
      <c r="DP645" s="29"/>
      <c r="DQ645" s="1504">
        <v>54089</v>
      </c>
      <c r="DR645" s="19"/>
      <c r="DS645" s="93"/>
      <c r="DT645" s="93"/>
      <c r="DU645" s="93"/>
      <c r="DV645" s="93"/>
      <c r="DW645" s="93"/>
      <c r="DX645" s="20"/>
      <c r="DY645" s="29"/>
      <c r="DZ645" s="1504">
        <v>54089</v>
      </c>
      <c r="EA645" s="19"/>
      <c r="EB645" s="93"/>
      <c r="EC645" s="20"/>
      <c r="ED645" s="29"/>
      <c r="EE645" s="1504">
        <v>54089</v>
      </c>
      <c r="EF645" s="19"/>
      <c r="EG645" s="93"/>
      <c r="EH645" s="93"/>
      <c r="EI645" s="214"/>
      <c r="EJ645" s="93"/>
      <c r="EK645" s="93"/>
      <c r="EL645" s="93"/>
      <c r="EM645" s="93"/>
      <c r="EN645" s="20"/>
      <c r="EO645" s="29"/>
      <c r="EP645" s="1504">
        <v>54089</v>
      </c>
      <c r="EQ645" s="19"/>
      <c r="ER645" s="93"/>
      <c r="ES645" s="93"/>
      <c r="ET645" s="214"/>
      <c r="EU645" s="93"/>
      <c r="EV645" s="93"/>
      <c r="EW645" s="93"/>
      <c r="EX645" s="93"/>
      <c r="EY645" s="20"/>
      <c r="EZ645" s="29"/>
      <c r="FA645" s="1504">
        <v>54089</v>
      </c>
      <c r="FB645" s="29"/>
      <c r="FC645" s="29"/>
      <c r="FD645" s="29"/>
      <c r="FE645" s="29"/>
      <c r="FF645" s="29"/>
      <c r="FG645" s="29"/>
      <c r="FH645" s="29"/>
      <c r="FI645" s="29"/>
      <c r="FJ645" s="29"/>
      <c r="FK645" s="29"/>
      <c r="FL645" s="1504">
        <v>54089</v>
      </c>
      <c r="FM645" s="19"/>
      <c r="FN645" s="93"/>
      <c r="FO645" s="93"/>
      <c r="FP645" s="93"/>
      <c r="FQ645" s="93"/>
      <c r="FR645" s="93"/>
      <c r="FS645" s="93"/>
      <c r="FT645" s="93"/>
      <c r="FU645" s="93"/>
      <c r="FV645" s="93"/>
      <c r="FW645" s="93"/>
      <c r="FX645" s="93"/>
      <c r="FY645" s="93"/>
      <c r="FZ645" s="29"/>
      <c r="GA645" s="1504">
        <v>54089</v>
      </c>
      <c r="GB645" s="19"/>
      <c r="GC645" s="93"/>
      <c r="GD645" s="93"/>
      <c r="GE645" s="93"/>
      <c r="GF645" s="93"/>
      <c r="GG645" s="93"/>
      <c r="GH645" s="93"/>
      <c r="GI645" s="93"/>
      <c r="GJ645" s="93"/>
      <c r="GK645" s="93"/>
      <c r="GL645" s="93"/>
      <c r="GM645" s="93"/>
      <c r="GN645" s="20"/>
      <c r="GO645" s="29"/>
      <c r="GP645" s="1504">
        <v>54089</v>
      </c>
      <c r="GQ645" s="19"/>
      <c r="GR645" s="93"/>
      <c r="GS645" s="93"/>
      <c r="GT645" s="93"/>
      <c r="GU645" s="93"/>
      <c r="GV645" s="20"/>
      <c r="GW645" s="19"/>
      <c r="GX645" s="93"/>
      <c r="GY645" s="93"/>
      <c r="GZ645" s="93"/>
      <c r="HA645" s="93"/>
      <c r="HB645" s="20"/>
      <c r="HC645" s="19"/>
      <c r="HD645" s="93"/>
      <c r="HE645" s="93"/>
      <c r="HF645" s="93"/>
      <c r="HG645" s="93"/>
      <c r="HH645" s="20"/>
      <c r="HI645" s="19"/>
      <c r="HJ645" s="93"/>
      <c r="HK645" s="93"/>
      <c r="HL645" s="93"/>
      <c r="HM645" s="93"/>
      <c r="HN645" s="20"/>
      <c r="HO645" s="219"/>
      <c r="HP645" s="20"/>
      <c r="HQ645" s="25"/>
      <c r="HR645" s="29"/>
      <c r="HS645" s="1504">
        <v>54089</v>
      </c>
      <c r="HT645" s="19"/>
      <c r="HU645" s="93"/>
      <c r="HV645" s="93"/>
      <c r="HW645" s="93"/>
      <c r="HX645" s="93"/>
      <c r="HY645" s="93"/>
      <c r="HZ645" s="93"/>
      <c r="IA645" s="20"/>
      <c r="IB645" s="19"/>
      <c r="IC645" s="93"/>
      <c r="ID645" s="93"/>
      <c r="IE645" s="93"/>
      <c r="IF645" s="93"/>
      <c r="IG645" s="20"/>
      <c r="IH645" s="19"/>
      <c r="II645" s="93"/>
      <c r="IJ645" s="93"/>
      <c r="IK645" s="93"/>
      <c r="IL645" s="93"/>
      <c r="IM645" s="93"/>
      <c r="IN645" s="93"/>
      <c r="IO645" s="20"/>
      <c r="IP645" s="29"/>
      <c r="IQ645" s="19"/>
      <c r="IR645" s="93"/>
      <c r="IS645" s="93"/>
      <c r="IT645" s="93"/>
      <c r="IU645" s="93"/>
      <c r="IV645" s="20"/>
      <c r="IW645" s="29"/>
      <c r="IX645" s="19"/>
      <c r="IY645" s="93"/>
      <c r="IZ645" s="93"/>
      <c r="JA645" s="93"/>
      <c r="JB645" s="93"/>
      <c r="JC645" s="93"/>
      <c r="JD645" s="93"/>
      <c r="JE645" s="20"/>
      <c r="JF645" s="29"/>
      <c r="JG645" s="19"/>
      <c r="JH645" s="93"/>
      <c r="JI645" s="93"/>
      <c r="JJ645" s="93"/>
      <c r="JK645" s="93"/>
      <c r="JL645" s="93"/>
      <c r="JM645" s="93"/>
      <c r="JN645" s="20"/>
      <c r="JO645" s="29"/>
      <c r="JP645" s="19"/>
      <c r="JQ645" s="93"/>
      <c r="JR645" s="93"/>
      <c r="JS645" s="93"/>
      <c r="JT645" s="93"/>
      <c r="JU645" s="20"/>
      <c r="JV645" s="29"/>
      <c r="JW645" s="1504">
        <v>54089</v>
      </c>
      <c r="JX645" s="19"/>
      <c r="JY645" s="93"/>
      <c r="JZ645" s="93"/>
      <c r="KA645" s="93"/>
      <c r="KB645" s="93"/>
      <c r="KC645" s="93"/>
      <c r="KD645" s="20"/>
      <c r="KE645" s="29"/>
      <c r="KF645" s="19"/>
      <c r="KG645" s="93"/>
      <c r="KH645" s="93"/>
      <c r="KI645" s="93"/>
      <c r="KJ645" s="93"/>
      <c r="KK645" s="20"/>
      <c r="KL645" s="29"/>
      <c r="KM645" s="19"/>
      <c r="KN645" s="93"/>
      <c r="KO645" s="93"/>
      <c r="KP645" s="93"/>
      <c r="KQ645" s="93"/>
      <c r="KR645" s="20"/>
      <c r="KS645" s="29"/>
      <c r="KT645" s="19"/>
      <c r="KU645" s="93"/>
      <c r="KV645" s="93"/>
      <c r="KW645" s="93"/>
      <c r="KX645" s="93"/>
      <c r="KY645" s="20"/>
      <c r="KZ645" s="29"/>
      <c r="LA645" s="1504">
        <v>54089</v>
      </c>
      <c r="LB645" s="19"/>
      <c r="LC645" s="93"/>
      <c r="LD645" s="93"/>
      <c r="LE645" s="93"/>
      <c r="LF645" s="93"/>
      <c r="LG645" s="93"/>
      <c r="LH645" s="20"/>
      <c r="LI645" s="29"/>
      <c r="LJ645" s="19"/>
      <c r="LK645" s="93"/>
      <c r="LL645" s="93"/>
      <c r="LM645" s="93"/>
      <c r="LN645" s="93"/>
      <c r="LO645" s="20"/>
      <c r="LP645" s="29"/>
      <c r="LQ645" s="19"/>
      <c r="LR645" s="93"/>
      <c r="LS645" s="93"/>
      <c r="LT645" s="93"/>
      <c r="LU645" s="93"/>
      <c r="LV645" s="93"/>
      <c r="LW645" s="93"/>
      <c r="LX645" s="93"/>
      <c r="LY645" s="93"/>
      <c r="LZ645" s="93"/>
      <c r="MA645" s="20"/>
      <c r="MB645" s="29"/>
      <c r="MC645" s="1504">
        <v>54089</v>
      </c>
      <c r="MD645" s="19"/>
      <c r="ME645" s="93"/>
      <c r="MF645" s="93"/>
      <c r="MG645" s="93"/>
      <c r="MH645" s="93"/>
      <c r="MI645" s="93"/>
      <c r="MJ645" s="93"/>
      <c r="MK645" s="93"/>
      <c r="ML645" s="93"/>
      <c r="MM645" s="93"/>
      <c r="MN645" s="93"/>
      <c r="MO645" s="93"/>
      <c r="MP645" s="93"/>
      <c r="MQ645" s="93"/>
      <c r="MR645" s="93"/>
      <c r="MS645" s="93"/>
      <c r="MT645" s="93"/>
      <c r="MU645" s="93"/>
      <c r="MV645" s="93"/>
      <c r="MW645" s="93"/>
      <c r="MX645" s="93"/>
      <c r="MY645" s="93"/>
      <c r="MZ645" s="93"/>
      <c r="NA645" s="93"/>
      <c r="NB645" s="93"/>
      <c r="NC645" s="93"/>
      <c r="ND645" s="93"/>
      <c r="NE645" s="93"/>
      <c r="NF645" s="93"/>
      <c r="NG645" s="93"/>
      <c r="NH645" s="93"/>
      <c r="NI645" s="93"/>
      <c r="NJ645" s="93"/>
      <c r="NK645" s="93"/>
      <c r="NL645" s="93"/>
      <c r="NM645" s="93"/>
      <c r="NN645" s="93"/>
      <c r="NO645" s="93"/>
      <c r="NP645" s="93"/>
      <c r="NQ645" s="93"/>
      <c r="NR645" s="93"/>
      <c r="NS645" s="93"/>
      <c r="NT645" s="93"/>
      <c r="NU645" s="93"/>
      <c r="NV645" s="93"/>
      <c r="NW645" s="93"/>
      <c r="NX645" s="93"/>
      <c r="NY645" s="93"/>
      <c r="NZ645" s="93"/>
      <c r="OA645" s="93"/>
      <c r="OB645" s="93"/>
      <c r="OC645" s="93"/>
      <c r="OD645" s="20"/>
      <c r="OE645" s="29"/>
      <c r="OF645" s="1504">
        <v>54089</v>
      </c>
      <c r="OG645" s="19"/>
      <c r="OH645" s="93"/>
      <c r="OI645" s="93"/>
      <c r="OJ645" s="93"/>
      <c r="OK645" s="93"/>
      <c r="OL645" s="93"/>
      <c r="OM645" s="93"/>
      <c r="ON645" s="93"/>
      <c r="OO645" s="93"/>
      <c r="OP645" s="93"/>
      <c r="OQ645" s="93"/>
      <c r="OR645" s="93"/>
      <c r="OS645" s="93"/>
      <c r="OT645" s="93"/>
      <c r="OU645" s="93"/>
      <c r="OV645" s="93"/>
      <c r="OW645" s="93"/>
      <c r="OX645" s="93"/>
      <c r="OY645" s="93"/>
      <c r="OZ645" s="93"/>
      <c r="PA645" s="93"/>
      <c r="PB645" s="93"/>
      <c r="PC645" s="20"/>
      <c r="PD645" s="29"/>
      <c r="PE645" s="19"/>
      <c r="PF645" s="93"/>
      <c r="PG645" s="93"/>
      <c r="PH645" s="93"/>
      <c r="PI645" s="93"/>
      <c r="PJ645" s="93"/>
      <c r="PK645" s="93"/>
      <c r="PL645" s="93"/>
      <c r="PM645" s="93"/>
      <c r="PN645" s="93"/>
      <c r="PO645" s="93"/>
      <c r="PP645" s="93"/>
      <c r="PQ645" s="93"/>
      <c r="PR645" s="93"/>
      <c r="PS645" s="93"/>
      <c r="PT645" s="93"/>
      <c r="PU645" s="93"/>
      <c r="PV645" s="93"/>
      <c r="PW645" s="93"/>
      <c r="PX645" s="93"/>
      <c r="PY645" s="93"/>
      <c r="PZ645" s="93"/>
      <c r="QA645" s="93"/>
      <c r="QB645" s="93"/>
      <c r="QC645" s="93"/>
      <c r="QD645" s="93"/>
      <c r="QE645" s="20"/>
      <c r="QF645" s="1739"/>
      <c r="QG645" s="19"/>
      <c r="QH645" s="93"/>
      <c r="QI645" s="93"/>
      <c r="QJ645" s="93"/>
      <c r="QK645" s="93"/>
      <c r="QL645" s="93"/>
      <c r="QM645" s="93"/>
      <c r="QN645" s="93"/>
      <c r="QO645" s="93"/>
      <c r="QP645" s="93"/>
      <c r="QQ645" s="93"/>
      <c r="QR645" s="93"/>
      <c r="QS645" s="93"/>
      <c r="QT645" s="93"/>
      <c r="QU645" s="93"/>
      <c r="QV645" s="93"/>
      <c r="QW645" s="93"/>
      <c r="QX645" s="93"/>
      <c r="QY645" s="93"/>
      <c r="QZ645" s="93"/>
      <c r="RA645" s="93"/>
      <c r="RB645" s="93"/>
      <c r="RC645" s="93"/>
      <c r="RD645" s="93"/>
      <c r="RE645" s="93"/>
      <c r="RF645" s="93"/>
      <c r="RG645" s="93"/>
      <c r="RH645" s="93"/>
      <c r="RI645" s="93"/>
      <c r="RJ645" s="93"/>
      <c r="RK645" s="93"/>
      <c r="RL645" s="93"/>
      <c r="RM645" s="20"/>
      <c r="RN645" s="29"/>
      <c r="RO645" s="19"/>
      <c r="RP645" s="20"/>
      <c r="RQ645" s="29"/>
      <c r="RR645" s="20"/>
      <c r="RS645" s="29"/>
      <c r="RT645" s="1504">
        <v>54089</v>
      </c>
      <c r="RU645" s="19"/>
      <c r="RV645" s="20"/>
      <c r="RW645" s="29"/>
      <c r="RX645" s="1504">
        <v>54089</v>
      </c>
      <c r="RY645" s="29"/>
      <c r="RZ645" s="20"/>
      <c r="SA645" s="29"/>
      <c r="SB645" s="29"/>
    </row>
    <row r="646" spans="1:496">
      <c r="A646" s="41">
        <f t="shared" si="364"/>
        <v>2048</v>
      </c>
      <c r="B646" s="1504">
        <v>54118</v>
      </c>
      <c r="C646" s="1813"/>
      <c r="D646" s="1814"/>
      <c r="E646" s="1814"/>
      <c r="F646" s="1815"/>
      <c r="G646" s="1814"/>
      <c r="H646" s="1814"/>
      <c r="I646" s="1814"/>
      <c r="J646" s="1816"/>
      <c r="K646" s="1807"/>
      <c r="L646" s="25"/>
      <c r="M646" s="97"/>
      <c r="N646" s="1504">
        <v>54118</v>
      </c>
      <c r="O646" s="19"/>
      <c r="P646" s="93"/>
      <c r="Q646" s="93"/>
      <c r="R646" s="93"/>
      <c r="S646" s="93"/>
      <c r="T646" s="93"/>
      <c r="U646" s="93"/>
      <c r="V646" s="93"/>
      <c r="W646" s="93"/>
      <c r="X646" s="93"/>
      <c r="Y646" s="93"/>
      <c r="Z646" s="93"/>
      <c r="AA646" s="93"/>
      <c r="AB646" s="20"/>
      <c r="AC646" s="25"/>
      <c r="AD646" s="97"/>
      <c r="AE646" s="1504">
        <v>54118</v>
      </c>
      <c r="AF646" s="19"/>
      <c r="AG646" s="93"/>
      <c r="AH646" s="93"/>
      <c r="AI646" s="93"/>
      <c r="AJ646" s="93"/>
      <c r="AK646" s="93"/>
      <c r="AL646" s="93"/>
      <c r="AM646" s="93"/>
      <c r="AN646" s="93"/>
      <c r="AO646" s="93"/>
      <c r="AP646" s="93"/>
      <c r="AQ646" s="93"/>
      <c r="AR646" s="93"/>
      <c r="AS646" s="20"/>
      <c r="AT646" s="25"/>
      <c r="AU646" s="97"/>
      <c r="AV646" s="1504">
        <v>54118</v>
      </c>
      <c r="AW646" s="19"/>
      <c r="AX646" s="93"/>
      <c r="AY646" s="93"/>
      <c r="AZ646" s="93"/>
      <c r="BA646" s="93"/>
      <c r="BB646" s="93"/>
      <c r="BC646" s="93"/>
      <c r="BD646" s="93"/>
      <c r="BE646" s="93"/>
      <c r="BF646" s="93"/>
      <c r="BG646" s="93"/>
      <c r="BH646" s="93"/>
      <c r="BI646" s="93"/>
      <c r="BJ646" s="20"/>
      <c r="BK646" s="25"/>
      <c r="BL646" s="97"/>
      <c r="BM646" s="1504">
        <v>54118</v>
      </c>
      <c r="BN646" s="19"/>
      <c r="BO646" s="93"/>
      <c r="BP646" s="93"/>
      <c r="BQ646" s="93"/>
      <c r="BR646" s="93"/>
      <c r="BS646" s="93"/>
      <c r="BT646" s="93"/>
      <c r="BU646" s="20"/>
      <c r="BV646" s="25"/>
      <c r="BW646" s="97"/>
      <c r="BX646" s="1504">
        <v>54118</v>
      </c>
      <c r="BY646" s="19"/>
      <c r="BZ646" s="93"/>
      <c r="CA646" s="93"/>
      <c r="CB646" s="93"/>
      <c r="CC646" s="93"/>
      <c r="CD646" s="25"/>
      <c r="CE646" s="97"/>
      <c r="CF646" s="1504">
        <v>54118</v>
      </c>
      <c r="CG646" s="19"/>
      <c r="CH646" s="93"/>
      <c r="CI646" s="219"/>
      <c r="CJ646" s="20"/>
      <c r="CK646" s="19"/>
      <c r="CL646" s="93"/>
      <c r="CM646" s="93"/>
      <c r="CN646" s="93"/>
      <c r="CO646" s="93"/>
      <c r="CP646" s="20"/>
      <c r="CQ646" s="219"/>
      <c r="CR646" s="93"/>
      <c r="CS646" s="93"/>
      <c r="CT646" s="93"/>
      <c r="CU646" s="93"/>
      <c r="CV646" s="214"/>
      <c r="CW646" s="29"/>
      <c r="CX646" s="41">
        <f t="shared" si="365"/>
        <v>2048</v>
      </c>
      <c r="CY646" s="1504">
        <v>54118</v>
      </c>
      <c r="CZ646" s="19"/>
      <c r="DA646" s="93"/>
      <c r="DB646" s="93"/>
      <c r="DC646" s="93"/>
      <c r="DD646" s="93"/>
      <c r="DE646" s="20"/>
      <c r="DF646" s="29"/>
      <c r="DG646" s="1504">
        <v>54118</v>
      </c>
      <c r="DH646" s="19"/>
      <c r="DI646" s="93"/>
      <c r="DJ646" s="93"/>
      <c r="DK646" s="93"/>
      <c r="DL646" s="93"/>
      <c r="DM646" s="93"/>
      <c r="DN646" s="20"/>
      <c r="DO646" s="295"/>
      <c r="DP646" s="29"/>
      <c r="DQ646" s="1504">
        <v>54118</v>
      </c>
      <c r="DR646" s="19"/>
      <c r="DS646" s="93"/>
      <c r="DT646" s="93"/>
      <c r="DU646" s="93"/>
      <c r="DV646" s="93"/>
      <c r="DW646" s="93"/>
      <c r="DX646" s="20"/>
      <c r="DY646" s="29"/>
      <c r="DZ646" s="1504">
        <v>54118</v>
      </c>
      <c r="EA646" s="19"/>
      <c r="EB646" s="93"/>
      <c r="EC646" s="20"/>
      <c r="ED646" s="29"/>
      <c r="EE646" s="1504">
        <v>54118</v>
      </c>
      <c r="EF646" s="19"/>
      <c r="EG646" s="93"/>
      <c r="EH646" s="93"/>
      <c r="EI646" s="214"/>
      <c r="EJ646" s="93"/>
      <c r="EK646" s="93"/>
      <c r="EL646" s="93"/>
      <c r="EM646" s="93"/>
      <c r="EN646" s="20"/>
      <c r="EO646" s="29"/>
      <c r="EP646" s="1504">
        <v>54118</v>
      </c>
      <c r="EQ646" s="19"/>
      <c r="ER646" s="93"/>
      <c r="ES646" s="93"/>
      <c r="ET646" s="214"/>
      <c r="EU646" s="93"/>
      <c r="EV646" s="93"/>
      <c r="EW646" s="93"/>
      <c r="EX646" s="93"/>
      <c r="EY646" s="20"/>
      <c r="EZ646" s="29"/>
      <c r="FA646" s="1504">
        <v>54118</v>
      </c>
      <c r="FB646" s="29"/>
      <c r="FC646" s="29"/>
      <c r="FD646" s="29"/>
      <c r="FE646" s="29"/>
      <c r="FF646" s="29"/>
      <c r="FG646" s="29"/>
      <c r="FH646" s="29"/>
      <c r="FI646" s="29"/>
      <c r="FJ646" s="29"/>
      <c r="FK646" s="29"/>
      <c r="FL646" s="1504">
        <v>54118</v>
      </c>
      <c r="FM646" s="19"/>
      <c r="FN646" s="93"/>
      <c r="FO646" s="93"/>
      <c r="FP646" s="93"/>
      <c r="FQ646" s="93"/>
      <c r="FR646" s="93"/>
      <c r="FS646" s="93"/>
      <c r="FT646" s="93"/>
      <c r="FU646" s="93"/>
      <c r="FV646" s="93"/>
      <c r="FW646" s="93"/>
      <c r="FX646" s="93"/>
      <c r="FY646" s="93"/>
      <c r="FZ646" s="29"/>
      <c r="GA646" s="1504">
        <v>54118</v>
      </c>
      <c r="GB646" s="19"/>
      <c r="GC646" s="93"/>
      <c r="GD646" s="93"/>
      <c r="GE646" s="93"/>
      <c r="GF646" s="93"/>
      <c r="GG646" s="93"/>
      <c r="GH646" s="93"/>
      <c r="GI646" s="93"/>
      <c r="GJ646" s="93"/>
      <c r="GK646" s="93"/>
      <c r="GL646" s="93"/>
      <c r="GM646" s="93"/>
      <c r="GN646" s="20"/>
      <c r="GO646" s="29"/>
      <c r="GP646" s="1504">
        <v>54118</v>
      </c>
      <c r="GQ646" s="19"/>
      <c r="GR646" s="93"/>
      <c r="GS646" s="93"/>
      <c r="GT646" s="93"/>
      <c r="GU646" s="93"/>
      <c r="GV646" s="20"/>
      <c r="GW646" s="19"/>
      <c r="GX646" s="93"/>
      <c r="GY646" s="93"/>
      <c r="GZ646" s="93"/>
      <c r="HA646" s="93"/>
      <c r="HB646" s="20"/>
      <c r="HC646" s="19"/>
      <c r="HD646" s="93"/>
      <c r="HE646" s="93"/>
      <c r="HF646" s="93"/>
      <c r="HG646" s="93"/>
      <c r="HH646" s="20"/>
      <c r="HI646" s="19"/>
      <c r="HJ646" s="93"/>
      <c r="HK646" s="93"/>
      <c r="HL646" s="93"/>
      <c r="HM646" s="93"/>
      <c r="HN646" s="20"/>
      <c r="HO646" s="219"/>
      <c r="HP646" s="20"/>
      <c r="HQ646" s="25"/>
      <c r="HR646" s="29"/>
      <c r="HS646" s="1504">
        <v>54118</v>
      </c>
      <c r="HT646" s="19"/>
      <c r="HU646" s="93"/>
      <c r="HV646" s="93"/>
      <c r="HW646" s="93"/>
      <c r="HX646" s="93"/>
      <c r="HY646" s="93"/>
      <c r="HZ646" s="93"/>
      <c r="IA646" s="20"/>
      <c r="IB646" s="19"/>
      <c r="IC646" s="93"/>
      <c r="ID646" s="93"/>
      <c r="IE646" s="93"/>
      <c r="IF646" s="93"/>
      <c r="IG646" s="20"/>
      <c r="IH646" s="19"/>
      <c r="II646" s="93"/>
      <c r="IJ646" s="93"/>
      <c r="IK646" s="93"/>
      <c r="IL646" s="93"/>
      <c r="IM646" s="93"/>
      <c r="IN646" s="93"/>
      <c r="IO646" s="20"/>
      <c r="IP646" s="29"/>
      <c r="IQ646" s="19"/>
      <c r="IR646" s="93"/>
      <c r="IS646" s="93"/>
      <c r="IT646" s="93"/>
      <c r="IU646" s="93"/>
      <c r="IV646" s="20"/>
      <c r="IW646" s="29"/>
      <c r="IX646" s="19"/>
      <c r="IY646" s="93"/>
      <c r="IZ646" s="93"/>
      <c r="JA646" s="93"/>
      <c r="JB646" s="93"/>
      <c r="JC646" s="93"/>
      <c r="JD646" s="93"/>
      <c r="JE646" s="20"/>
      <c r="JF646" s="29"/>
      <c r="JG646" s="19"/>
      <c r="JH646" s="93"/>
      <c r="JI646" s="93"/>
      <c r="JJ646" s="93"/>
      <c r="JK646" s="93"/>
      <c r="JL646" s="93"/>
      <c r="JM646" s="93"/>
      <c r="JN646" s="20"/>
      <c r="JO646" s="29"/>
      <c r="JP646" s="19"/>
      <c r="JQ646" s="93"/>
      <c r="JR646" s="93"/>
      <c r="JS646" s="93"/>
      <c r="JT646" s="93"/>
      <c r="JU646" s="20"/>
      <c r="JV646" s="29"/>
      <c r="JW646" s="1504">
        <v>54118</v>
      </c>
      <c r="JX646" s="19"/>
      <c r="JY646" s="93"/>
      <c r="JZ646" s="93"/>
      <c r="KA646" s="93"/>
      <c r="KB646" s="93"/>
      <c r="KC646" s="93"/>
      <c r="KD646" s="20"/>
      <c r="KE646" s="29"/>
      <c r="KF646" s="19"/>
      <c r="KG646" s="93"/>
      <c r="KH646" s="93"/>
      <c r="KI646" s="93"/>
      <c r="KJ646" s="93"/>
      <c r="KK646" s="20"/>
      <c r="KL646" s="29"/>
      <c r="KM646" s="19"/>
      <c r="KN646" s="93"/>
      <c r="KO646" s="93"/>
      <c r="KP646" s="93"/>
      <c r="KQ646" s="93"/>
      <c r="KR646" s="20"/>
      <c r="KS646" s="29"/>
      <c r="KT646" s="19"/>
      <c r="KU646" s="93"/>
      <c r="KV646" s="93"/>
      <c r="KW646" s="93"/>
      <c r="KX646" s="93"/>
      <c r="KY646" s="20"/>
      <c r="KZ646" s="29"/>
      <c r="LA646" s="1504">
        <v>54118</v>
      </c>
      <c r="LB646" s="19"/>
      <c r="LC646" s="93"/>
      <c r="LD646" s="93"/>
      <c r="LE646" s="93"/>
      <c r="LF646" s="93"/>
      <c r="LG646" s="93"/>
      <c r="LH646" s="20"/>
      <c r="LI646" s="29"/>
      <c r="LJ646" s="19"/>
      <c r="LK646" s="93"/>
      <c r="LL646" s="93"/>
      <c r="LM646" s="93"/>
      <c r="LN646" s="93"/>
      <c r="LO646" s="20"/>
      <c r="LP646" s="29"/>
      <c r="LQ646" s="19"/>
      <c r="LR646" s="93"/>
      <c r="LS646" s="93"/>
      <c r="LT646" s="93"/>
      <c r="LU646" s="93"/>
      <c r="LV646" s="93"/>
      <c r="LW646" s="93"/>
      <c r="LX646" s="93"/>
      <c r="LY646" s="93"/>
      <c r="LZ646" s="93"/>
      <c r="MA646" s="20"/>
      <c r="MB646" s="29"/>
      <c r="MC646" s="1504">
        <v>54118</v>
      </c>
      <c r="MD646" s="19"/>
      <c r="ME646" s="93"/>
      <c r="MF646" s="93"/>
      <c r="MG646" s="93"/>
      <c r="MH646" s="93"/>
      <c r="MI646" s="93"/>
      <c r="MJ646" s="93"/>
      <c r="MK646" s="93"/>
      <c r="ML646" s="93"/>
      <c r="MM646" s="93"/>
      <c r="MN646" s="93"/>
      <c r="MO646" s="93"/>
      <c r="MP646" s="93"/>
      <c r="MQ646" s="93"/>
      <c r="MR646" s="93"/>
      <c r="MS646" s="93"/>
      <c r="MT646" s="93"/>
      <c r="MU646" s="93"/>
      <c r="MV646" s="93"/>
      <c r="MW646" s="93"/>
      <c r="MX646" s="93"/>
      <c r="MY646" s="93"/>
      <c r="MZ646" s="93"/>
      <c r="NA646" s="93"/>
      <c r="NB646" s="93"/>
      <c r="NC646" s="93"/>
      <c r="ND646" s="93"/>
      <c r="NE646" s="93"/>
      <c r="NF646" s="93"/>
      <c r="NG646" s="93"/>
      <c r="NH646" s="93"/>
      <c r="NI646" s="93"/>
      <c r="NJ646" s="93"/>
      <c r="NK646" s="93"/>
      <c r="NL646" s="93"/>
      <c r="NM646" s="93"/>
      <c r="NN646" s="93"/>
      <c r="NO646" s="93"/>
      <c r="NP646" s="93"/>
      <c r="NQ646" s="93"/>
      <c r="NR646" s="93"/>
      <c r="NS646" s="93"/>
      <c r="NT646" s="93"/>
      <c r="NU646" s="93"/>
      <c r="NV646" s="93"/>
      <c r="NW646" s="93"/>
      <c r="NX646" s="93"/>
      <c r="NY646" s="93"/>
      <c r="NZ646" s="93"/>
      <c r="OA646" s="93"/>
      <c r="OB646" s="93"/>
      <c r="OC646" s="93"/>
      <c r="OD646" s="20"/>
      <c r="OE646" s="29"/>
      <c r="OF646" s="1504">
        <v>54118</v>
      </c>
      <c r="OG646" s="19"/>
      <c r="OH646" s="93"/>
      <c r="OI646" s="93"/>
      <c r="OJ646" s="93"/>
      <c r="OK646" s="93"/>
      <c r="OL646" s="93"/>
      <c r="OM646" s="93"/>
      <c r="ON646" s="93"/>
      <c r="OO646" s="93"/>
      <c r="OP646" s="93"/>
      <c r="OQ646" s="93"/>
      <c r="OR646" s="93"/>
      <c r="OS646" s="93"/>
      <c r="OT646" s="93"/>
      <c r="OU646" s="93"/>
      <c r="OV646" s="93"/>
      <c r="OW646" s="93"/>
      <c r="OX646" s="93"/>
      <c r="OY646" s="93"/>
      <c r="OZ646" s="93"/>
      <c r="PA646" s="93"/>
      <c r="PB646" s="93"/>
      <c r="PC646" s="20"/>
      <c r="PD646" s="29"/>
      <c r="PE646" s="19"/>
      <c r="PF646" s="93"/>
      <c r="PG646" s="93"/>
      <c r="PH646" s="93"/>
      <c r="PI646" s="93"/>
      <c r="PJ646" s="93"/>
      <c r="PK646" s="93"/>
      <c r="PL646" s="93"/>
      <c r="PM646" s="93"/>
      <c r="PN646" s="93"/>
      <c r="PO646" s="93"/>
      <c r="PP646" s="93"/>
      <c r="PQ646" s="93"/>
      <c r="PR646" s="93"/>
      <c r="PS646" s="93"/>
      <c r="PT646" s="93"/>
      <c r="PU646" s="93"/>
      <c r="PV646" s="93"/>
      <c r="PW646" s="93"/>
      <c r="PX646" s="93"/>
      <c r="PY646" s="93"/>
      <c r="PZ646" s="93"/>
      <c r="QA646" s="93"/>
      <c r="QB646" s="93"/>
      <c r="QC646" s="93"/>
      <c r="QD646" s="93"/>
      <c r="QE646" s="20"/>
      <c r="QF646" s="1739"/>
      <c r="QG646" s="19"/>
      <c r="QH646" s="93"/>
      <c r="QI646" s="93"/>
      <c r="QJ646" s="93"/>
      <c r="QK646" s="93"/>
      <c r="QL646" s="93"/>
      <c r="QM646" s="93"/>
      <c r="QN646" s="93"/>
      <c r="QO646" s="93"/>
      <c r="QP646" s="93"/>
      <c r="QQ646" s="93"/>
      <c r="QR646" s="93"/>
      <c r="QS646" s="93"/>
      <c r="QT646" s="93"/>
      <c r="QU646" s="93"/>
      <c r="QV646" s="93"/>
      <c r="QW646" s="93"/>
      <c r="QX646" s="93"/>
      <c r="QY646" s="93"/>
      <c r="QZ646" s="93"/>
      <c r="RA646" s="93"/>
      <c r="RB646" s="93"/>
      <c r="RC646" s="93"/>
      <c r="RD646" s="93"/>
      <c r="RE646" s="93"/>
      <c r="RF646" s="93"/>
      <c r="RG646" s="93"/>
      <c r="RH646" s="93"/>
      <c r="RI646" s="93"/>
      <c r="RJ646" s="93"/>
      <c r="RK646" s="93"/>
      <c r="RL646" s="93"/>
      <c r="RM646" s="20"/>
      <c r="RN646" s="29"/>
      <c r="RO646" s="19"/>
      <c r="RP646" s="20"/>
      <c r="RQ646" s="29"/>
      <c r="RR646" s="20"/>
      <c r="RS646" s="29"/>
      <c r="RT646" s="1504">
        <v>54118</v>
      </c>
      <c r="RU646" s="19"/>
      <c r="RV646" s="20"/>
      <c r="RW646" s="29"/>
      <c r="RX646" s="1504">
        <v>54118</v>
      </c>
      <c r="RY646" s="29"/>
      <c r="RZ646" s="20"/>
      <c r="SA646" s="29"/>
      <c r="SB646" s="29"/>
    </row>
    <row r="647" spans="1:496">
      <c r="A647" s="41">
        <f t="shared" si="364"/>
        <v>2048</v>
      </c>
      <c r="B647" s="1504">
        <v>54149</v>
      </c>
      <c r="C647" s="1813"/>
      <c r="D647" s="1814"/>
      <c r="E647" s="1814"/>
      <c r="F647" s="1815"/>
      <c r="G647" s="1814"/>
      <c r="H647" s="1814"/>
      <c r="I647" s="1814"/>
      <c r="J647" s="1816"/>
      <c r="K647" s="1807"/>
      <c r="L647" s="25"/>
      <c r="M647" s="97"/>
      <c r="N647" s="1504">
        <v>54149</v>
      </c>
      <c r="O647" s="19"/>
      <c r="P647" s="93"/>
      <c r="Q647" s="93"/>
      <c r="R647" s="93"/>
      <c r="S647" s="93"/>
      <c r="T647" s="93"/>
      <c r="U647" s="93"/>
      <c r="V647" s="93"/>
      <c r="W647" s="93"/>
      <c r="X647" s="93"/>
      <c r="Y647" s="93"/>
      <c r="Z647" s="93"/>
      <c r="AA647" s="93"/>
      <c r="AB647" s="20"/>
      <c r="AC647" s="25"/>
      <c r="AD647" s="97"/>
      <c r="AE647" s="1504">
        <v>54149</v>
      </c>
      <c r="AF647" s="19"/>
      <c r="AG647" s="93"/>
      <c r="AH647" s="93"/>
      <c r="AI647" s="93"/>
      <c r="AJ647" s="93"/>
      <c r="AK647" s="93"/>
      <c r="AL647" s="93"/>
      <c r="AM647" s="93"/>
      <c r="AN647" s="93"/>
      <c r="AO647" s="93"/>
      <c r="AP647" s="93"/>
      <c r="AQ647" s="93"/>
      <c r="AR647" s="93"/>
      <c r="AS647" s="20"/>
      <c r="AT647" s="25"/>
      <c r="AU647" s="97"/>
      <c r="AV647" s="1504">
        <v>54149</v>
      </c>
      <c r="AW647" s="19"/>
      <c r="AX647" s="93"/>
      <c r="AY647" s="93"/>
      <c r="AZ647" s="93"/>
      <c r="BA647" s="93"/>
      <c r="BB647" s="93"/>
      <c r="BC647" s="93"/>
      <c r="BD647" s="93"/>
      <c r="BE647" s="93"/>
      <c r="BF647" s="93"/>
      <c r="BG647" s="93"/>
      <c r="BH647" s="93"/>
      <c r="BI647" s="93"/>
      <c r="BJ647" s="20"/>
      <c r="BK647" s="25"/>
      <c r="BL647" s="97"/>
      <c r="BM647" s="1504">
        <v>54149</v>
      </c>
      <c r="BN647" s="19"/>
      <c r="BO647" s="93"/>
      <c r="BP647" s="93"/>
      <c r="BQ647" s="93"/>
      <c r="BR647" s="93"/>
      <c r="BS647" s="93"/>
      <c r="BT647" s="93"/>
      <c r="BU647" s="20"/>
      <c r="BV647" s="25"/>
      <c r="BW647" s="97"/>
      <c r="BX647" s="1504">
        <v>54149</v>
      </c>
      <c r="BY647" s="19"/>
      <c r="BZ647" s="93"/>
      <c r="CA647" s="93"/>
      <c r="CB647" s="93"/>
      <c r="CC647" s="93"/>
      <c r="CD647" s="25"/>
      <c r="CE647" s="97"/>
      <c r="CF647" s="1504">
        <v>54149</v>
      </c>
      <c r="CG647" s="19"/>
      <c r="CH647" s="93"/>
      <c r="CI647" s="219"/>
      <c r="CJ647" s="20"/>
      <c r="CK647" s="19"/>
      <c r="CL647" s="93"/>
      <c r="CM647" s="93"/>
      <c r="CN647" s="93"/>
      <c r="CO647" s="93"/>
      <c r="CP647" s="20"/>
      <c r="CQ647" s="219"/>
      <c r="CR647" s="93"/>
      <c r="CS647" s="93"/>
      <c r="CT647" s="93"/>
      <c r="CU647" s="93"/>
      <c r="CV647" s="214"/>
      <c r="CW647" s="29"/>
      <c r="CX647" s="41">
        <f t="shared" si="365"/>
        <v>2048</v>
      </c>
      <c r="CY647" s="1504">
        <v>54149</v>
      </c>
      <c r="CZ647" s="19"/>
      <c r="DA647" s="93"/>
      <c r="DB647" s="93"/>
      <c r="DC647" s="93"/>
      <c r="DD647" s="93"/>
      <c r="DE647" s="20"/>
      <c r="DF647" s="29"/>
      <c r="DG647" s="1504">
        <v>54149</v>
      </c>
      <c r="DH647" s="19"/>
      <c r="DI647" s="93"/>
      <c r="DJ647" s="93"/>
      <c r="DK647" s="93"/>
      <c r="DL647" s="93"/>
      <c r="DM647" s="93"/>
      <c r="DN647" s="20"/>
      <c r="DO647" s="295"/>
      <c r="DP647" s="29"/>
      <c r="DQ647" s="1504">
        <v>54149</v>
      </c>
      <c r="DR647" s="19"/>
      <c r="DS647" s="93"/>
      <c r="DT647" s="93"/>
      <c r="DU647" s="93"/>
      <c r="DV647" s="93"/>
      <c r="DW647" s="93"/>
      <c r="DX647" s="20"/>
      <c r="DY647" s="29"/>
      <c r="DZ647" s="1504">
        <v>54149</v>
      </c>
      <c r="EA647" s="19"/>
      <c r="EB647" s="93"/>
      <c r="EC647" s="20"/>
      <c r="ED647" s="29"/>
      <c r="EE647" s="1504">
        <v>54149</v>
      </c>
      <c r="EF647" s="19"/>
      <c r="EG647" s="93"/>
      <c r="EH647" s="93"/>
      <c r="EI647" s="214"/>
      <c r="EJ647" s="93"/>
      <c r="EK647" s="93"/>
      <c r="EL647" s="93"/>
      <c r="EM647" s="93"/>
      <c r="EN647" s="20"/>
      <c r="EO647" s="29"/>
      <c r="EP647" s="1504">
        <v>54149</v>
      </c>
      <c r="EQ647" s="19"/>
      <c r="ER647" s="93"/>
      <c r="ES647" s="93"/>
      <c r="ET647" s="214"/>
      <c r="EU647" s="93"/>
      <c r="EV647" s="93"/>
      <c r="EW647" s="93"/>
      <c r="EX647" s="93"/>
      <c r="EY647" s="20"/>
      <c r="EZ647" s="29"/>
      <c r="FA647" s="1504">
        <v>54149</v>
      </c>
      <c r="FB647" s="29"/>
      <c r="FC647" s="29"/>
      <c r="FD647" s="29"/>
      <c r="FE647" s="29"/>
      <c r="FF647" s="29"/>
      <c r="FG647" s="29"/>
      <c r="FH647" s="29"/>
      <c r="FI647" s="29"/>
      <c r="FJ647" s="29"/>
      <c r="FK647" s="29"/>
      <c r="FL647" s="1504">
        <v>54149</v>
      </c>
      <c r="FM647" s="19"/>
      <c r="FN647" s="93"/>
      <c r="FO647" s="93"/>
      <c r="FP647" s="93"/>
      <c r="FQ647" s="93"/>
      <c r="FR647" s="93"/>
      <c r="FS647" s="93"/>
      <c r="FT647" s="93"/>
      <c r="FU647" s="93"/>
      <c r="FV647" s="93"/>
      <c r="FW647" s="93"/>
      <c r="FX647" s="93"/>
      <c r="FY647" s="93"/>
      <c r="FZ647" s="29"/>
      <c r="GA647" s="1504">
        <v>54149</v>
      </c>
      <c r="GB647" s="19"/>
      <c r="GC647" s="93"/>
      <c r="GD647" s="93"/>
      <c r="GE647" s="93"/>
      <c r="GF647" s="93"/>
      <c r="GG647" s="93"/>
      <c r="GH647" s="93"/>
      <c r="GI647" s="93"/>
      <c r="GJ647" s="93"/>
      <c r="GK647" s="93"/>
      <c r="GL647" s="93"/>
      <c r="GM647" s="93"/>
      <c r="GN647" s="20"/>
      <c r="GO647" s="29"/>
      <c r="GP647" s="1504">
        <v>54149</v>
      </c>
      <c r="GQ647" s="19"/>
      <c r="GR647" s="93"/>
      <c r="GS647" s="93"/>
      <c r="GT647" s="93"/>
      <c r="GU647" s="93"/>
      <c r="GV647" s="20"/>
      <c r="GW647" s="19"/>
      <c r="GX647" s="93"/>
      <c r="GY647" s="93"/>
      <c r="GZ647" s="93"/>
      <c r="HA647" s="93"/>
      <c r="HB647" s="20"/>
      <c r="HC647" s="19"/>
      <c r="HD647" s="93"/>
      <c r="HE647" s="93"/>
      <c r="HF647" s="93"/>
      <c r="HG647" s="93"/>
      <c r="HH647" s="20"/>
      <c r="HI647" s="19"/>
      <c r="HJ647" s="93"/>
      <c r="HK647" s="93"/>
      <c r="HL647" s="93"/>
      <c r="HM647" s="93"/>
      <c r="HN647" s="20"/>
      <c r="HO647" s="219"/>
      <c r="HP647" s="20"/>
      <c r="HQ647" s="25"/>
      <c r="HR647" s="29"/>
      <c r="HS647" s="1504">
        <v>54149</v>
      </c>
      <c r="HT647" s="19"/>
      <c r="HU647" s="93"/>
      <c r="HV647" s="93"/>
      <c r="HW647" s="93"/>
      <c r="HX647" s="93"/>
      <c r="HY647" s="93"/>
      <c r="HZ647" s="93"/>
      <c r="IA647" s="20"/>
      <c r="IB647" s="19"/>
      <c r="IC647" s="93"/>
      <c r="ID647" s="93"/>
      <c r="IE647" s="93"/>
      <c r="IF647" s="93"/>
      <c r="IG647" s="20"/>
      <c r="IH647" s="19"/>
      <c r="II647" s="93"/>
      <c r="IJ647" s="93"/>
      <c r="IK647" s="93"/>
      <c r="IL647" s="93"/>
      <c r="IM647" s="93"/>
      <c r="IN647" s="93"/>
      <c r="IO647" s="20"/>
      <c r="IP647" s="29"/>
      <c r="IQ647" s="19"/>
      <c r="IR647" s="93"/>
      <c r="IS647" s="93"/>
      <c r="IT647" s="93"/>
      <c r="IU647" s="93"/>
      <c r="IV647" s="20"/>
      <c r="IW647" s="29"/>
      <c r="IX647" s="19"/>
      <c r="IY647" s="93"/>
      <c r="IZ647" s="93"/>
      <c r="JA647" s="93"/>
      <c r="JB647" s="93"/>
      <c r="JC647" s="93"/>
      <c r="JD647" s="93"/>
      <c r="JE647" s="20"/>
      <c r="JF647" s="29"/>
      <c r="JG647" s="19"/>
      <c r="JH647" s="93"/>
      <c r="JI647" s="93"/>
      <c r="JJ647" s="93"/>
      <c r="JK647" s="93"/>
      <c r="JL647" s="93"/>
      <c r="JM647" s="93"/>
      <c r="JN647" s="20"/>
      <c r="JO647" s="29"/>
      <c r="JP647" s="19"/>
      <c r="JQ647" s="93"/>
      <c r="JR647" s="93"/>
      <c r="JS647" s="93"/>
      <c r="JT647" s="93"/>
      <c r="JU647" s="20"/>
      <c r="JV647" s="29"/>
      <c r="JW647" s="1504">
        <v>54149</v>
      </c>
      <c r="JX647" s="19"/>
      <c r="JY647" s="93"/>
      <c r="JZ647" s="93"/>
      <c r="KA647" s="93"/>
      <c r="KB647" s="93"/>
      <c r="KC647" s="93"/>
      <c r="KD647" s="20"/>
      <c r="KE647" s="29"/>
      <c r="KF647" s="19"/>
      <c r="KG647" s="93"/>
      <c r="KH647" s="93"/>
      <c r="KI647" s="93"/>
      <c r="KJ647" s="93"/>
      <c r="KK647" s="20"/>
      <c r="KL647" s="29"/>
      <c r="KM647" s="19"/>
      <c r="KN647" s="93"/>
      <c r="KO647" s="93"/>
      <c r="KP647" s="93"/>
      <c r="KQ647" s="93"/>
      <c r="KR647" s="20"/>
      <c r="KS647" s="29"/>
      <c r="KT647" s="19"/>
      <c r="KU647" s="93"/>
      <c r="KV647" s="93"/>
      <c r="KW647" s="93"/>
      <c r="KX647" s="93"/>
      <c r="KY647" s="20"/>
      <c r="KZ647" s="29"/>
      <c r="LA647" s="1504">
        <v>54149</v>
      </c>
      <c r="LB647" s="19"/>
      <c r="LC647" s="93"/>
      <c r="LD647" s="93"/>
      <c r="LE647" s="93"/>
      <c r="LF647" s="93"/>
      <c r="LG647" s="93"/>
      <c r="LH647" s="20"/>
      <c r="LI647" s="29"/>
      <c r="LJ647" s="19"/>
      <c r="LK647" s="93"/>
      <c r="LL647" s="93"/>
      <c r="LM647" s="93"/>
      <c r="LN647" s="93"/>
      <c r="LO647" s="20"/>
      <c r="LP647" s="29"/>
      <c r="LQ647" s="19"/>
      <c r="LR647" s="93"/>
      <c r="LS647" s="93"/>
      <c r="LT647" s="93"/>
      <c r="LU647" s="93"/>
      <c r="LV647" s="93"/>
      <c r="LW647" s="93"/>
      <c r="LX647" s="93"/>
      <c r="LY647" s="93"/>
      <c r="LZ647" s="93"/>
      <c r="MA647" s="20"/>
      <c r="MB647" s="29"/>
      <c r="MC647" s="1504">
        <v>54149</v>
      </c>
      <c r="MD647" s="19"/>
      <c r="ME647" s="93"/>
      <c r="MF647" s="93"/>
      <c r="MG647" s="93"/>
      <c r="MH647" s="93"/>
      <c r="MI647" s="93"/>
      <c r="MJ647" s="93"/>
      <c r="MK647" s="93"/>
      <c r="ML647" s="93"/>
      <c r="MM647" s="93"/>
      <c r="MN647" s="93"/>
      <c r="MO647" s="93"/>
      <c r="MP647" s="93"/>
      <c r="MQ647" s="93"/>
      <c r="MR647" s="93"/>
      <c r="MS647" s="93"/>
      <c r="MT647" s="93"/>
      <c r="MU647" s="93"/>
      <c r="MV647" s="93"/>
      <c r="MW647" s="93"/>
      <c r="MX647" s="93"/>
      <c r="MY647" s="93"/>
      <c r="MZ647" s="93"/>
      <c r="NA647" s="93"/>
      <c r="NB647" s="93"/>
      <c r="NC647" s="93"/>
      <c r="ND647" s="93"/>
      <c r="NE647" s="93"/>
      <c r="NF647" s="93"/>
      <c r="NG647" s="93"/>
      <c r="NH647" s="93"/>
      <c r="NI647" s="93"/>
      <c r="NJ647" s="93"/>
      <c r="NK647" s="93"/>
      <c r="NL647" s="93"/>
      <c r="NM647" s="93"/>
      <c r="NN647" s="93"/>
      <c r="NO647" s="93"/>
      <c r="NP647" s="93"/>
      <c r="NQ647" s="93"/>
      <c r="NR647" s="93"/>
      <c r="NS647" s="93"/>
      <c r="NT647" s="93"/>
      <c r="NU647" s="93"/>
      <c r="NV647" s="93"/>
      <c r="NW647" s="93"/>
      <c r="NX647" s="93"/>
      <c r="NY647" s="93"/>
      <c r="NZ647" s="93"/>
      <c r="OA647" s="93"/>
      <c r="OB647" s="93"/>
      <c r="OC647" s="93"/>
      <c r="OD647" s="20"/>
      <c r="OE647" s="29"/>
      <c r="OF647" s="1504">
        <v>54149</v>
      </c>
      <c r="OG647" s="19"/>
      <c r="OH647" s="93"/>
      <c r="OI647" s="93"/>
      <c r="OJ647" s="93"/>
      <c r="OK647" s="93"/>
      <c r="OL647" s="93"/>
      <c r="OM647" s="93"/>
      <c r="ON647" s="93"/>
      <c r="OO647" s="93"/>
      <c r="OP647" s="93"/>
      <c r="OQ647" s="93"/>
      <c r="OR647" s="93"/>
      <c r="OS647" s="93"/>
      <c r="OT647" s="93"/>
      <c r="OU647" s="93"/>
      <c r="OV647" s="93"/>
      <c r="OW647" s="93"/>
      <c r="OX647" s="93"/>
      <c r="OY647" s="93"/>
      <c r="OZ647" s="93"/>
      <c r="PA647" s="93"/>
      <c r="PB647" s="93"/>
      <c r="PC647" s="20"/>
      <c r="PD647" s="29"/>
      <c r="PE647" s="19"/>
      <c r="PF647" s="93"/>
      <c r="PG647" s="93"/>
      <c r="PH647" s="93"/>
      <c r="PI647" s="93"/>
      <c r="PJ647" s="93"/>
      <c r="PK647" s="93"/>
      <c r="PL647" s="93"/>
      <c r="PM647" s="93"/>
      <c r="PN647" s="93"/>
      <c r="PO647" s="93"/>
      <c r="PP647" s="93"/>
      <c r="PQ647" s="93"/>
      <c r="PR647" s="93"/>
      <c r="PS647" s="93"/>
      <c r="PT647" s="93"/>
      <c r="PU647" s="93"/>
      <c r="PV647" s="93"/>
      <c r="PW647" s="93"/>
      <c r="PX647" s="93"/>
      <c r="PY647" s="93"/>
      <c r="PZ647" s="93"/>
      <c r="QA647" s="93"/>
      <c r="QB647" s="93"/>
      <c r="QC647" s="93"/>
      <c r="QD647" s="93"/>
      <c r="QE647" s="20"/>
      <c r="QF647" s="1739"/>
      <c r="QG647" s="19"/>
      <c r="QH647" s="93"/>
      <c r="QI647" s="93"/>
      <c r="QJ647" s="93"/>
      <c r="QK647" s="93"/>
      <c r="QL647" s="93"/>
      <c r="QM647" s="93"/>
      <c r="QN647" s="93"/>
      <c r="QO647" s="93"/>
      <c r="QP647" s="93"/>
      <c r="QQ647" s="93"/>
      <c r="QR647" s="93"/>
      <c r="QS647" s="93"/>
      <c r="QT647" s="93"/>
      <c r="QU647" s="93"/>
      <c r="QV647" s="93"/>
      <c r="QW647" s="93"/>
      <c r="QX647" s="93"/>
      <c r="QY647" s="93"/>
      <c r="QZ647" s="93"/>
      <c r="RA647" s="93"/>
      <c r="RB647" s="93"/>
      <c r="RC647" s="93"/>
      <c r="RD647" s="93"/>
      <c r="RE647" s="93"/>
      <c r="RF647" s="93"/>
      <c r="RG647" s="93"/>
      <c r="RH647" s="93"/>
      <c r="RI647" s="93"/>
      <c r="RJ647" s="93"/>
      <c r="RK647" s="93"/>
      <c r="RL647" s="93"/>
      <c r="RM647" s="20"/>
      <c r="RN647" s="29"/>
      <c r="RO647" s="19"/>
      <c r="RP647" s="20"/>
      <c r="RQ647" s="29"/>
      <c r="RR647" s="20"/>
      <c r="RS647" s="29"/>
      <c r="RT647" s="1504">
        <v>54149</v>
      </c>
      <c r="RU647" s="19"/>
      <c r="RV647" s="20"/>
      <c r="RW647" s="29"/>
      <c r="RX647" s="1504">
        <v>54149</v>
      </c>
      <c r="RY647" s="29"/>
      <c r="RZ647" s="20"/>
      <c r="SA647" s="29"/>
      <c r="SB647" s="29"/>
    </row>
    <row r="648" spans="1:496">
      <c r="A648" s="41">
        <f t="shared" si="364"/>
        <v>2048</v>
      </c>
      <c r="B648" s="1504">
        <v>54179</v>
      </c>
      <c r="C648" s="1813"/>
      <c r="D648" s="1814"/>
      <c r="E648" s="1814"/>
      <c r="F648" s="1815"/>
      <c r="G648" s="1814"/>
      <c r="H648" s="1814"/>
      <c r="I648" s="1814"/>
      <c r="J648" s="1816"/>
      <c r="K648" s="1807"/>
      <c r="L648" s="25"/>
      <c r="M648" s="97"/>
      <c r="N648" s="1504">
        <v>54179</v>
      </c>
      <c r="O648" s="19"/>
      <c r="P648" s="93"/>
      <c r="Q648" s="93"/>
      <c r="R648" s="93"/>
      <c r="S648" s="93"/>
      <c r="T648" s="93"/>
      <c r="U648" s="93"/>
      <c r="V648" s="93"/>
      <c r="W648" s="93"/>
      <c r="X648" s="93"/>
      <c r="Y648" s="93"/>
      <c r="Z648" s="93"/>
      <c r="AA648" s="93"/>
      <c r="AB648" s="20"/>
      <c r="AC648" s="25"/>
      <c r="AD648" s="97"/>
      <c r="AE648" s="1504">
        <v>54179</v>
      </c>
      <c r="AF648" s="19"/>
      <c r="AG648" s="93"/>
      <c r="AH648" s="93"/>
      <c r="AI648" s="93"/>
      <c r="AJ648" s="93"/>
      <c r="AK648" s="93"/>
      <c r="AL648" s="93"/>
      <c r="AM648" s="93"/>
      <c r="AN648" s="93"/>
      <c r="AO648" s="93"/>
      <c r="AP648" s="93"/>
      <c r="AQ648" s="93"/>
      <c r="AR648" s="93"/>
      <c r="AS648" s="20"/>
      <c r="AT648" s="25"/>
      <c r="AU648" s="97"/>
      <c r="AV648" s="1504">
        <v>54179</v>
      </c>
      <c r="AW648" s="19"/>
      <c r="AX648" s="93"/>
      <c r="AY648" s="93"/>
      <c r="AZ648" s="93"/>
      <c r="BA648" s="93"/>
      <c r="BB648" s="93"/>
      <c r="BC648" s="93"/>
      <c r="BD648" s="93"/>
      <c r="BE648" s="93"/>
      <c r="BF648" s="93"/>
      <c r="BG648" s="93"/>
      <c r="BH648" s="93"/>
      <c r="BI648" s="93"/>
      <c r="BJ648" s="20"/>
      <c r="BK648" s="25"/>
      <c r="BL648" s="97"/>
      <c r="BM648" s="1504">
        <v>54179</v>
      </c>
      <c r="BN648" s="19"/>
      <c r="BO648" s="93"/>
      <c r="BP648" s="93"/>
      <c r="BQ648" s="93"/>
      <c r="BR648" s="93"/>
      <c r="BS648" s="93"/>
      <c r="BT648" s="93"/>
      <c r="BU648" s="20"/>
      <c r="BV648" s="25"/>
      <c r="BW648" s="97"/>
      <c r="BX648" s="1504">
        <v>54179</v>
      </c>
      <c r="BY648" s="19"/>
      <c r="BZ648" s="93"/>
      <c r="CA648" s="93"/>
      <c r="CB648" s="93"/>
      <c r="CC648" s="93"/>
      <c r="CD648" s="25"/>
      <c r="CE648" s="97"/>
      <c r="CF648" s="1504">
        <v>54179</v>
      </c>
      <c r="CG648" s="19"/>
      <c r="CH648" s="93"/>
      <c r="CI648" s="219"/>
      <c r="CJ648" s="20"/>
      <c r="CK648" s="19"/>
      <c r="CL648" s="93"/>
      <c r="CM648" s="93"/>
      <c r="CN648" s="93"/>
      <c r="CO648" s="93"/>
      <c r="CP648" s="20"/>
      <c r="CQ648" s="219"/>
      <c r="CR648" s="93"/>
      <c r="CS648" s="93"/>
      <c r="CT648" s="93"/>
      <c r="CU648" s="93"/>
      <c r="CV648" s="214"/>
      <c r="CW648" s="29"/>
      <c r="CX648" s="41">
        <f t="shared" si="365"/>
        <v>2048</v>
      </c>
      <c r="CY648" s="1504">
        <v>54179</v>
      </c>
      <c r="CZ648" s="19"/>
      <c r="DA648" s="93"/>
      <c r="DB648" s="93"/>
      <c r="DC648" s="93"/>
      <c r="DD648" s="93"/>
      <c r="DE648" s="20"/>
      <c r="DF648" s="29"/>
      <c r="DG648" s="1504">
        <v>54179</v>
      </c>
      <c r="DH648" s="19"/>
      <c r="DI648" s="93"/>
      <c r="DJ648" s="93"/>
      <c r="DK648" s="93"/>
      <c r="DL648" s="93"/>
      <c r="DM648" s="93"/>
      <c r="DN648" s="20"/>
      <c r="DO648" s="295"/>
      <c r="DP648" s="29"/>
      <c r="DQ648" s="1504">
        <v>54179</v>
      </c>
      <c r="DR648" s="19"/>
      <c r="DS648" s="93"/>
      <c r="DT648" s="93"/>
      <c r="DU648" s="93"/>
      <c r="DV648" s="93"/>
      <c r="DW648" s="93"/>
      <c r="DX648" s="20"/>
      <c r="DY648" s="29"/>
      <c r="DZ648" s="1504">
        <v>54179</v>
      </c>
      <c r="EA648" s="19"/>
      <c r="EB648" s="93"/>
      <c r="EC648" s="20"/>
      <c r="ED648" s="29"/>
      <c r="EE648" s="1504">
        <v>54179</v>
      </c>
      <c r="EF648" s="19"/>
      <c r="EG648" s="93"/>
      <c r="EH648" s="93"/>
      <c r="EI648" s="214"/>
      <c r="EJ648" s="93"/>
      <c r="EK648" s="93"/>
      <c r="EL648" s="93"/>
      <c r="EM648" s="93"/>
      <c r="EN648" s="20"/>
      <c r="EO648" s="29"/>
      <c r="EP648" s="1504">
        <v>54179</v>
      </c>
      <c r="EQ648" s="19"/>
      <c r="ER648" s="93"/>
      <c r="ES648" s="93"/>
      <c r="ET648" s="214"/>
      <c r="EU648" s="93"/>
      <c r="EV648" s="93"/>
      <c r="EW648" s="93"/>
      <c r="EX648" s="93"/>
      <c r="EY648" s="20"/>
      <c r="EZ648" s="29"/>
      <c r="FA648" s="1504">
        <v>54179</v>
      </c>
      <c r="FB648" s="29"/>
      <c r="FC648" s="29"/>
      <c r="FD648" s="29"/>
      <c r="FE648" s="29"/>
      <c r="FF648" s="29"/>
      <c r="FG648" s="29"/>
      <c r="FH648" s="29"/>
      <c r="FI648" s="29"/>
      <c r="FJ648" s="29"/>
      <c r="FK648" s="29"/>
      <c r="FL648" s="1504">
        <v>54179</v>
      </c>
      <c r="FM648" s="19"/>
      <c r="FN648" s="93"/>
      <c r="FO648" s="93"/>
      <c r="FP648" s="93"/>
      <c r="FQ648" s="93"/>
      <c r="FR648" s="93"/>
      <c r="FS648" s="93"/>
      <c r="FT648" s="93"/>
      <c r="FU648" s="93"/>
      <c r="FV648" s="93"/>
      <c r="FW648" s="93"/>
      <c r="FX648" s="93"/>
      <c r="FY648" s="93"/>
      <c r="FZ648" s="29"/>
      <c r="GA648" s="1504">
        <v>54179</v>
      </c>
      <c r="GB648" s="19"/>
      <c r="GC648" s="93"/>
      <c r="GD648" s="93"/>
      <c r="GE648" s="93"/>
      <c r="GF648" s="93"/>
      <c r="GG648" s="93"/>
      <c r="GH648" s="93"/>
      <c r="GI648" s="93"/>
      <c r="GJ648" s="93"/>
      <c r="GK648" s="93"/>
      <c r="GL648" s="93"/>
      <c r="GM648" s="93"/>
      <c r="GN648" s="20"/>
      <c r="GO648" s="29"/>
      <c r="GP648" s="1504">
        <v>54179</v>
      </c>
      <c r="GQ648" s="19"/>
      <c r="GR648" s="93"/>
      <c r="GS648" s="93"/>
      <c r="GT648" s="93"/>
      <c r="GU648" s="93"/>
      <c r="GV648" s="20"/>
      <c r="GW648" s="19"/>
      <c r="GX648" s="93"/>
      <c r="GY648" s="93"/>
      <c r="GZ648" s="93"/>
      <c r="HA648" s="93"/>
      <c r="HB648" s="20"/>
      <c r="HC648" s="19"/>
      <c r="HD648" s="93"/>
      <c r="HE648" s="93"/>
      <c r="HF648" s="93"/>
      <c r="HG648" s="93"/>
      <c r="HH648" s="20"/>
      <c r="HI648" s="19"/>
      <c r="HJ648" s="93"/>
      <c r="HK648" s="93"/>
      <c r="HL648" s="93"/>
      <c r="HM648" s="93"/>
      <c r="HN648" s="20"/>
      <c r="HO648" s="219"/>
      <c r="HP648" s="20"/>
      <c r="HQ648" s="25"/>
      <c r="HR648" s="29"/>
      <c r="HS648" s="1504">
        <v>54179</v>
      </c>
      <c r="HT648" s="19"/>
      <c r="HU648" s="93"/>
      <c r="HV648" s="93"/>
      <c r="HW648" s="93"/>
      <c r="HX648" s="93"/>
      <c r="HY648" s="93"/>
      <c r="HZ648" s="93"/>
      <c r="IA648" s="20"/>
      <c r="IB648" s="19"/>
      <c r="IC648" s="93"/>
      <c r="ID648" s="93"/>
      <c r="IE648" s="93"/>
      <c r="IF648" s="93"/>
      <c r="IG648" s="20"/>
      <c r="IH648" s="19"/>
      <c r="II648" s="93"/>
      <c r="IJ648" s="93"/>
      <c r="IK648" s="93"/>
      <c r="IL648" s="93"/>
      <c r="IM648" s="93"/>
      <c r="IN648" s="93"/>
      <c r="IO648" s="20"/>
      <c r="IP648" s="29"/>
      <c r="IQ648" s="19"/>
      <c r="IR648" s="93"/>
      <c r="IS648" s="93"/>
      <c r="IT648" s="93"/>
      <c r="IU648" s="93"/>
      <c r="IV648" s="20"/>
      <c r="IW648" s="29"/>
      <c r="IX648" s="19"/>
      <c r="IY648" s="93"/>
      <c r="IZ648" s="93"/>
      <c r="JA648" s="93"/>
      <c r="JB648" s="93"/>
      <c r="JC648" s="93"/>
      <c r="JD648" s="93"/>
      <c r="JE648" s="20"/>
      <c r="JF648" s="29"/>
      <c r="JG648" s="19"/>
      <c r="JH648" s="93"/>
      <c r="JI648" s="93"/>
      <c r="JJ648" s="93"/>
      <c r="JK648" s="93"/>
      <c r="JL648" s="93"/>
      <c r="JM648" s="93"/>
      <c r="JN648" s="20"/>
      <c r="JO648" s="29"/>
      <c r="JP648" s="19"/>
      <c r="JQ648" s="93"/>
      <c r="JR648" s="93"/>
      <c r="JS648" s="93"/>
      <c r="JT648" s="93"/>
      <c r="JU648" s="20"/>
      <c r="JV648" s="29"/>
      <c r="JW648" s="1504">
        <v>54179</v>
      </c>
      <c r="JX648" s="19"/>
      <c r="JY648" s="93"/>
      <c r="JZ648" s="93"/>
      <c r="KA648" s="93"/>
      <c r="KB648" s="93"/>
      <c r="KC648" s="93"/>
      <c r="KD648" s="20"/>
      <c r="KE648" s="29"/>
      <c r="KF648" s="19"/>
      <c r="KG648" s="93"/>
      <c r="KH648" s="93"/>
      <c r="KI648" s="93"/>
      <c r="KJ648" s="93"/>
      <c r="KK648" s="20"/>
      <c r="KL648" s="29"/>
      <c r="KM648" s="19"/>
      <c r="KN648" s="93"/>
      <c r="KO648" s="93"/>
      <c r="KP648" s="93"/>
      <c r="KQ648" s="93"/>
      <c r="KR648" s="20"/>
      <c r="KS648" s="29"/>
      <c r="KT648" s="19"/>
      <c r="KU648" s="93"/>
      <c r="KV648" s="93"/>
      <c r="KW648" s="93"/>
      <c r="KX648" s="93"/>
      <c r="KY648" s="20"/>
      <c r="KZ648" s="29"/>
      <c r="LA648" s="1504">
        <v>54179</v>
      </c>
      <c r="LB648" s="19"/>
      <c r="LC648" s="93"/>
      <c r="LD648" s="93"/>
      <c r="LE648" s="93"/>
      <c r="LF648" s="93"/>
      <c r="LG648" s="93"/>
      <c r="LH648" s="20"/>
      <c r="LI648" s="29"/>
      <c r="LJ648" s="19"/>
      <c r="LK648" s="93"/>
      <c r="LL648" s="93"/>
      <c r="LM648" s="93"/>
      <c r="LN648" s="93"/>
      <c r="LO648" s="20"/>
      <c r="LP648" s="29"/>
      <c r="LQ648" s="19"/>
      <c r="LR648" s="93"/>
      <c r="LS648" s="93"/>
      <c r="LT648" s="93"/>
      <c r="LU648" s="93"/>
      <c r="LV648" s="93"/>
      <c r="LW648" s="93"/>
      <c r="LX648" s="93"/>
      <c r="LY648" s="93"/>
      <c r="LZ648" s="93"/>
      <c r="MA648" s="20"/>
      <c r="MB648" s="29"/>
      <c r="MC648" s="1504">
        <v>54179</v>
      </c>
      <c r="MD648" s="19"/>
      <c r="ME648" s="93"/>
      <c r="MF648" s="93"/>
      <c r="MG648" s="93"/>
      <c r="MH648" s="93"/>
      <c r="MI648" s="93"/>
      <c r="MJ648" s="93"/>
      <c r="MK648" s="93"/>
      <c r="ML648" s="93"/>
      <c r="MM648" s="93"/>
      <c r="MN648" s="93"/>
      <c r="MO648" s="93"/>
      <c r="MP648" s="93"/>
      <c r="MQ648" s="93"/>
      <c r="MR648" s="93"/>
      <c r="MS648" s="93"/>
      <c r="MT648" s="93"/>
      <c r="MU648" s="93"/>
      <c r="MV648" s="93"/>
      <c r="MW648" s="93"/>
      <c r="MX648" s="93"/>
      <c r="MY648" s="93"/>
      <c r="MZ648" s="93"/>
      <c r="NA648" s="93"/>
      <c r="NB648" s="93"/>
      <c r="NC648" s="93"/>
      <c r="ND648" s="93"/>
      <c r="NE648" s="93"/>
      <c r="NF648" s="93"/>
      <c r="NG648" s="93"/>
      <c r="NH648" s="93"/>
      <c r="NI648" s="93"/>
      <c r="NJ648" s="93"/>
      <c r="NK648" s="93"/>
      <c r="NL648" s="93"/>
      <c r="NM648" s="93"/>
      <c r="NN648" s="93"/>
      <c r="NO648" s="93"/>
      <c r="NP648" s="93"/>
      <c r="NQ648" s="93"/>
      <c r="NR648" s="93"/>
      <c r="NS648" s="93"/>
      <c r="NT648" s="93"/>
      <c r="NU648" s="93"/>
      <c r="NV648" s="93"/>
      <c r="NW648" s="93"/>
      <c r="NX648" s="93"/>
      <c r="NY648" s="93"/>
      <c r="NZ648" s="93"/>
      <c r="OA648" s="93"/>
      <c r="OB648" s="93"/>
      <c r="OC648" s="93"/>
      <c r="OD648" s="20"/>
      <c r="OE648" s="29"/>
      <c r="OF648" s="1504">
        <v>54179</v>
      </c>
      <c r="OG648" s="19"/>
      <c r="OH648" s="93"/>
      <c r="OI648" s="93"/>
      <c r="OJ648" s="93"/>
      <c r="OK648" s="93"/>
      <c r="OL648" s="93"/>
      <c r="OM648" s="93"/>
      <c r="ON648" s="93"/>
      <c r="OO648" s="93"/>
      <c r="OP648" s="93"/>
      <c r="OQ648" s="93"/>
      <c r="OR648" s="93"/>
      <c r="OS648" s="93"/>
      <c r="OT648" s="93"/>
      <c r="OU648" s="93"/>
      <c r="OV648" s="93"/>
      <c r="OW648" s="93"/>
      <c r="OX648" s="93"/>
      <c r="OY648" s="93"/>
      <c r="OZ648" s="93"/>
      <c r="PA648" s="93"/>
      <c r="PB648" s="93"/>
      <c r="PC648" s="20"/>
      <c r="PD648" s="29"/>
      <c r="PE648" s="19"/>
      <c r="PF648" s="93"/>
      <c r="PG648" s="93"/>
      <c r="PH648" s="93"/>
      <c r="PI648" s="93"/>
      <c r="PJ648" s="93"/>
      <c r="PK648" s="93"/>
      <c r="PL648" s="93"/>
      <c r="PM648" s="93"/>
      <c r="PN648" s="93"/>
      <c r="PO648" s="93"/>
      <c r="PP648" s="93"/>
      <c r="PQ648" s="93"/>
      <c r="PR648" s="93"/>
      <c r="PS648" s="93"/>
      <c r="PT648" s="93"/>
      <c r="PU648" s="93"/>
      <c r="PV648" s="93"/>
      <c r="PW648" s="93"/>
      <c r="PX648" s="93"/>
      <c r="PY648" s="93"/>
      <c r="PZ648" s="93"/>
      <c r="QA648" s="93"/>
      <c r="QB648" s="93"/>
      <c r="QC648" s="93"/>
      <c r="QD648" s="93"/>
      <c r="QE648" s="20"/>
      <c r="QF648" s="1739"/>
      <c r="QG648" s="19"/>
      <c r="QH648" s="93"/>
      <c r="QI648" s="93"/>
      <c r="QJ648" s="93"/>
      <c r="QK648" s="93"/>
      <c r="QL648" s="93"/>
      <c r="QM648" s="93"/>
      <c r="QN648" s="93"/>
      <c r="QO648" s="93"/>
      <c r="QP648" s="93"/>
      <c r="QQ648" s="93"/>
      <c r="QR648" s="93"/>
      <c r="QS648" s="93"/>
      <c r="QT648" s="93"/>
      <c r="QU648" s="93"/>
      <c r="QV648" s="93"/>
      <c r="QW648" s="93"/>
      <c r="QX648" s="93"/>
      <c r="QY648" s="93"/>
      <c r="QZ648" s="93"/>
      <c r="RA648" s="93"/>
      <c r="RB648" s="93"/>
      <c r="RC648" s="93"/>
      <c r="RD648" s="93"/>
      <c r="RE648" s="93"/>
      <c r="RF648" s="93"/>
      <c r="RG648" s="93"/>
      <c r="RH648" s="93"/>
      <c r="RI648" s="93"/>
      <c r="RJ648" s="93"/>
      <c r="RK648" s="93"/>
      <c r="RL648" s="93"/>
      <c r="RM648" s="20"/>
      <c r="RN648" s="29"/>
      <c r="RO648" s="19"/>
      <c r="RP648" s="20"/>
      <c r="RQ648" s="29"/>
      <c r="RR648" s="20"/>
      <c r="RS648" s="29"/>
      <c r="RT648" s="1504">
        <v>54179</v>
      </c>
      <c r="RU648" s="19"/>
      <c r="RV648" s="20"/>
      <c r="RW648" s="29"/>
      <c r="RX648" s="1504">
        <v>54179</v>
      </c>
      <c r="RY648" s="29"/>
      <c r="RZ648" s="20"/>
      <c r="SA648" s="29"/>
      <c r="SB648" s="29"/>
    </row>
    <row r="649" spans="1:496">
      <c r="A649" s="41">
        <f t="shared" si="364"/>
        <v>2048</v>
      </c>
      <c r="B649" s="1504">
        <v>54210</v>
      </c>
      <c r="C649" s="1813"/>
      <c r="D649" s="1814"/>
      <c r="E649" s="1814"/>
      <c r="F649" s="1815"/>
      <c r="G649" s="1814"/>
      <c r="H649" s="1814"/>
      <c r="I649" s="1814"/>
      <c r="J649" s="1816"/>
      <c r="K649" s="1807"/>
      <c r="L649" s="25"/>
      <c r="M649" s="97"/>
      <c r="N649" s="1504">
        <v>54210</v>
      </c>
      <c r="O649" s="19"/>
      <c r="P649" s="93"/>
      <c r="Q649" s="93"/>
      <c r="R649" s="93"/>
      <c r="S649" s="93"/>
      <c r="T649" s="93"/>
      <c r="U649" s="93"/>
      <c r="V649" s="93"/>
      <c r="W649" s="93"/>
      <c r="X649" s="93"/>
      <c r="Y649" s="93"/>
      <c r="Z649" s="93"/>
      <c r="AA649" s="93"/>
      <c r="AB649" s="20"/>
      <c r="AC649" s="25"/>
      <c r="AD649" s="97"/>
      <c r="AE649" s="1504">
        <v>54210</v>
      </c>
      <c r="AF649" s="19"/>
      <c r="AG649" s="93"/>
      <c r="AH649" s="93"/>
      <c r="AI649" s="93"/>
      <c r="AJ649" s="93"/>
      <c r="AK649" s="93"/>
      <c r="AL649" s="93"/>
      <c r="AM649" s="93"/>
      <c r="AN649" s="93"/>
      <c r="AO649" s="93"/>
      <c r="AP649" s="93"/>
      <c r="AQ649" s="93"/>
      <c r="AR649" s="93"/>
      <c r="AS649" s="20"/>
      <c r="AT649" s="25"/>
      <c r="AU649" s="97"/>
      <c r="AV649" s="1504">
        <v>54210</v>
      </c>
      <c r="AW649" s="19"/>
      <c r="AX649" s="93"/>
      <c r="AY649" s="93"/>
      <c r="AZ649" s="93"/>
      <c r="BA649" s="93"/>
      <c r="BB649" s="93"/>
      <c r="BC649" s="93"/>
      <c r="BD649" s="93"/>
      <c r="BE649" s="93"/>
      <c r="BF649" s="93"/>
      <c r="BG649" s="93"/>
      <c r="BH649" s="93"/>
      <c r="BI649" s="93"/>
      <c r="BJ649" s="20"/>
      <c r="BK649" s="25"/>
      <c r="BL649" s="97"/>
      <c r="BM649" s="1504">
        <v>54210</v>
      </c>
      <c r="BN649" s="19"/>
      <c r="BO649" s="93"/>
      <c r="BP649" s="93"/>
      <c r="BQ649" s="93"/>
      <c r="BR649" s="93"/>
      <c r="BS649" s="93"/>
      <c r="BT649" s="93"/>
      <c r="BU649" s="20"/>
      <c r="BV649" s="25"/>
      <c r="BW649" s="97"/>
      <c r="BX649" s="1504">
        <v>54210</v>
      </c>
      <c r="BY649" s="19"/>
      <c r="BZ649" s="93"/>
      <c r="CA649" s="93"/>
      <c r="CB649" s="93"/>
      <c r="CC649" s="93"/>
      <c r="CD649" s="25"/>
      <c r="CE649" s="97"/>
      <c r="CF649" s="1504">
        <v>54210</v>
      </c>
      <c r="CG649" s="19"/>
      <c r="CH649" s="93"/>
      <c r="CI649" s="219"/>
      <c r="CJ649" s="20"/>
      <c r="CK649" s="19"/>
      <c r="CL649" s="93"/>
      <c r="CM649" s="93"/>
      <c r="CN649" s="93"/>
      <c r="CO649" s="93"/>
      <c r="CP649" s="20"/>
      <c r="CQ649" s="219"/>
      <c r="CR649" s="93"/>
      <c r="CS649" s="93"/>
      <c r="CT649" s="93"/>
      <c r="CU649" s="93"/>
      <c r="CV649" s="214"/>
      <c r="CW649" s="29"/>
      <c r="CX649" s="41">
        <f t="shared" si="365"/>
        <v>2048</v>
      </c>
      <c r="CY649" s="1504">
        <v>54210</v>
      </c>
      <c r="CZ649" s="19"/>
      <c r="DA649" s="93"/>
      <c r="DB649" s="93"/>
      <c r="DC649" s="93"/>
      <c r="DD649" s="93"/>
      <c r="DE649" s="20"/>
      <c r="DF649" s="29"/>
      <c r="DG649" s="1504">
        <v>54210</v>
      </c>
      <c r="DH649" s="19"/>
      <c r="DI649" s="93"/>
      <c r="DJ649" s="93"/>
      <c r="DK649" s="93"/>
      <c r="DL649" s="93"/>
      <c r="DM649" s="93"/>
      <c r="DN649" s="20"/>
      <c r="DO649" s="295"/>
      <c r="DP649" s="29"/>
      <c r="DQ649" s="1504">
        <v>54210</v>
      </c>
      <c r="DR649" s="19"/>
      <c r="DS649" s="93"/>
      <c r="DT649" s="93"/>
      <c r="DU649" s="93"/>
      <c r="DV649" s="93"/>
      <c r="DW649" s="93"/>
      <c r="DX649" s="20"/>
      <c r="DY649" s="29"/>
      <c r="DZ649" s="1504">
        <v>54210</v>
      </c>
      <c r="EA649" s="19"/>
      <c r="EB649" s="93"/>
      <c r="EC649" s="20"/>
      <c r="ED649" s="29"/>
      <c r="EE649" s="1504">
        <v>54210</v>
      </c>
      <c r="EF649" s="19"/>
      <c r="EG649" s="93"/>
      <c r="EH649" s="93"/>
      <c r="EI649" s="214"/>
      <c r="EJ649" s="93"/>
      <c r="EK649" s="93"/>
      <c r="EL649" s="93"/>
      <c r="EM649" s="93"/>
      <c r="EN649" s="20"/>
      <c r="EO649" s="29"/>
      <c r="EP649" s="1504">
        <v>54210</v>
      </c>
      <c r="EQ649" s="19"/>
      <c r="ER649" s="93"/>
      <c r="ES649" s="93"/>
      <c r="ET649" s="214"/>
      <c r="EU649" s="93"/>
      <c r="EV649" s="93"/>
      <c r="EW649" s="93"/>
      <c r="EX649" s="93"/>
      <c r="EY649" s="20"/>
      <c r="EZ649" s="29"/>
      <c r="FA649" s="1504">
        <v>54210</v>
      </c>
      <c r="FB649" s="29"/>
      <c r="FC649" s="29"/>
      <c r="FD649" s="29"/>
      <c r="FE649" s="29"/>
      <c r="FF649" s="29"/>
      <c r="FG649" s="29"/>
      <c r="FH649" s="29"/>
      <c r="FI649" s="29"/>
      <c r="FJ649" s="29"/>
      <c r="FK649" s="29"/>
      <c r="FL649" s="1504">
        <v>54210</v>
      </c>
      <c r="FM649" s="19"/>
      <c r="FN649" s="93"/>
      <c r="FO649" s="93"/>
      <c r="FP649" s="93"/>
      <c r="FQ649" s="93"/>
      <c r="FR649" s="93"/>
      <c r="FS649" s="93"/>
      <c r="FT649" s="93"/>
      <c r="FU649" s="93"/>
      <c r="FV649" s="93"/>
      <c r="FW649" s="93"/>
      <c r="FX649" s="93"/>
      <c r="FY649" s="93"/>
      <c r="FZ649" s="29"/>
      <c r="GA649" s="1504">
        <v>54210</v>
      </c>
      <c r="GB649" s="19"/>
      <c r="GC649" s="93"/>
      <c r="GD649" s="93"/>
      <c r="GE649" s="93"/>
      <c r="GF649" s="93"/>
      <c r="GG649" s="93"/>
      <c r="GH649" s="93"/>
      <c r="GI649" s="93"/>
      <c r="GJ649" s="93"/>
      <c r="GK649" s="93"/>
      <c r="GL649" s="93"/>
      <c r="GM649" s="93"/>
      <c r="GN649" s="20"/>
      <c r="GO649" s="29"/>
      <c r="GP649" s="1504">
        <v>54210</v>
      </c>
      <c r="GQ649" s="19"/>
      <c r="GR649" s="93"/>
      <c r="GS649" s="93"/>
      <c r="GT649" s="93"/>
      <c r="GU649" s="93"/>
      <c r="GV649" s="20"/>
      <c r="GW649" s="19"/>
      <c r="GX649" s="93"/>
      <c r="GY649" s="93"/>
      <c r="GZ649" s="93"/>
      <c r="HA649" s="93"/>
      <c r="HB649" s="20"/>
      <c r="HC649" s="19"/>
      <c r="HD649" s="93"/>
      <c r="HE649" s="93"/>
      <c r="HF649" s="93"/>
      <c r="HG649" s="93"/>
      <c r="HH649" s="20"/>
      <c r="HI649" s="19"/>
      <c r="HJ649" s="93"/>
      <c r="HK649" s="93"/>
      <c r="HL649" s="93"/>
      <c r="HM649" s="93"/>
      <c r="HN649" s="20"/>
      <c r="HO649" s="219"/>
      <c r="HP649" s="20"/>
      <c r="HQ649" s="25"/>
      <c r="HR649" s="29"/>
      <c r="HS649" s="1504">
        <v>54210</v>
      </c>
      <c r="HT649" s="19"/>
      <c r="HU649" s="93"/>
      <c r="HV649" s="93"/>
      <c r="HW649" s="93"/>
      <c r="HX649" s="93"/>
      <c r="HY649" s="93"/>
      <c r="HZ649" s="93"/>
      <c r="IA649" s="20"/>
      <c r="IB649" s="19"/>
      <c r="IC649" s="93"/>
      <c r="ID649" s="93"/>
      <c r="IE649" s="93"/>
      <c r="IF649" s="93"/>
      <c r="IG649" s="20"/>
      <c r="IH649" s="19"/>
      <c r="II649" s="93"/>
      <c r="IJ649" s="93"/>
      <c r="IK649" s="93"/>
      <c r="IL649" s="93"/>
      <c r="IM649" s="93"/>
      <c r="IN649" s="93"/>
      <c r="IO649" s="20"/>
      <c r="IP649" s="29"/>
      <c r="IQ649" s="19"/>
      <c r="IR649" s="93"/>
      <c r="IS649" s="93"/>
      <c r="IT649" s="93"/>
      <c r="IU649" s="93"/>
      <c r="IV649" s="20"/>
      <c r="IW649" s="29"/>
      <c r="IX649" s="19"/>
      <c r="IY649" s="93"/>
      <c r="IZ649" s="93"/>
      <c r="JA649" s="93"/>
      <c r="JB649" s="93"/>
      <c r="JC649" s="93"/>
      <c r="JD649" s="93"/>
      <c r="JE649" s="20"/>
      <c r="JF649" s="29"/>
      <c r="JG649" s="19"/>
      <c r="JH649" s="93"/>
      <c r="JI649" s="93"/>
      <c r="JJ649" s="93"/>
      <c r="JK649" s="93"/>
      <c r="JL649" s="93"/>
      <c r="JM649" s="93"/>
      <c r="JN649" s="20"/>
      <c r="JO649" s="29"/>
      <c r="JP649" s="19"/>
      <c r="JQ649" s="93"/>
      <c r="JR649" s="93"/>
      <c r="JS649" s="93"/>
      <c r="JT649" s="93"/>
      <c r="JU649" s="20"/>
      <c r="JV649" s="29"/>
      <c r="JW649" s="1504">
        <v>54210</v>
      </c>
      <c r="JX649" s="19"/>
      <c r="JY649" s="93"/>
      <c r="JZ649" s="93"/>
      <c r="KA649" s="93"/>
      <c r="KB649" s="93"/>
      <c r="KC649" s="93"/>
      <c r="KD649" s="20"/>
      <c r="KE649" s="29"/>
      <c r="KF649" s="19"/>
      <c r="KG649" s="93"/>
      <c r="KH649" s="93"/>
      <c r="KI649" s="93"/>
      <c r="KJ649" s="93"/>
      <c r="KK649" s="20"/>
      <c r="KL649" s="29"/>
      <c r="KM649" s="19"/>
      <c r="KN649" s="93"/>
      <c r="KO649" s="93"/>
      <c r="KP649" s="93"/>
      <c r="KQ649" s="93"/>
      <c r="KR649" s="20"/>
      <c r="KS649" s="29"/>
      <c r="KT649" s="19"/>
      <c r="KU649" s="93"/>
      <c r="KV649" s="93"/>
      <c r="KW649" s="93"/>
      <c r="KX649" s="93"/>
      <c r="KY649" s="20"/>
      <c r="KZ649" s="29"/>
      <c r="LA649" s="1504">
        <v>54210</v>
      </c>
      <c r="LB649" s="19"/>
      <c r="LC649" s="93"/>
      <c r="LD649" s="93"/>
      <c r="LE649" s="93"/>
      <c r="LF649" s="93"/>
      <c r="LG649" s="93"/>
      <c r="LH649" s="20"/>
      <c r="LI649" s="29"/>
      <c r="LJ649" s="19"/>
      <c r="LK649" s="93"/>
      <c r="LL649" s="93"/>
      <c r="LM649" s="93"/>
      <c r="LN649" s="93"/>
      <c r="LO649" s="20"/>
      <c r="LP649" s="29"/>
      <c r="LQ649" s="19"/>
      <c r="LR649" s="93"/>
      <c r="LS649" s="93"/>
      <c r="LT649" s="93"/>
      <c r="LU649" s="93"/>
      <c r="LV649" s="93"/>
      <c r="LW649" s="93"/>
      <c r="LX649" s="93"/>
      <c r="LY649" s="93"/>
      <c r="LZ649" s="93"/>
      <c r="MA649" s="20"/>
      <c r="MB649" s="29"/>
      <c r="MC649" s="1504">
        <v>54210</v>
      </c>
      <c r="MD649" s="19"/>
      <c r="ME649" s="93"/>
      <c r="MF649" s="93"/>
      <c r="MG649" s="93"/>
      <c r="MH649" s="93"/>
      <c r="MI649" s="93"/>
      <c r="MJ649" s="93"/>
      <c r="MK649" s="93"/>
      <c r="ML649" s="93"/>
      <c r="MM649" s="93"/>
      <c r="MN649" s="93"/>
      <c r="MO649" s="93"/>
      <c r="MP649" s="93"/>
      <c r="MQ649" s="93"/>
      <c r="MR649" s="93"/>
      <c r="MS649" s="93"/>
      <c r="MT649" s="93"/>
      <c r="MU649" s="93"/>
      <c r="MV649" s="93"/>
      <c r="MW649" s="93"/>
      <c r="MX649" s="93"/>
      <c r="MY649" s="93"/>
      <c r="MZ649" s="93"/>
      <c r="NA649" s="93"/>
      <c r="NB649" s="93"/>
      <c r="NC649" s="93"/>
      <c r="ND649" s="93"/>
      <c r="NE649" s="93"/>
      <c r="NF649" s="93"/>
      <c r="NG649" s="93"/>
      <c r="NH649" s="93"/>
      <c r="NI649" s="93"/>
      <c r="NJ649" s="93"/>
      <c r="NK649" s="93"/>
      <c r="NL649" s="93"/>
      <c r="NM649" s="93"/>
      <c r="NN649" s="93"/>
      <c r="NO649" s="93"/>
      <c r="NP649" s="93"/>
      <c r="NQ649" s="93"/>
      <c r="NR649" s="93"/>
      <c r="NS649" s="93"/>
      <c r="NT649" s="93"/>
      <c r="NU649" s="93"/>
      <c r="NV649" s="93"/>
      <c r="NW649" s="93"/>
      <c r="NX649" s="93"/>
      <c r="NY649" s="93"/>
      <c r="NZ649" s="93"/>
      <c r="OA649" s="93"/>
      <c r="OB649" s="93"/>
      <c r="OC649" s="93"/>
      <c r="OD649" s="20"/>
      <c r="OE649" s="29"/>
      <c r="OF649" s="1504">
        <v>54210</v>
      </c>
      <c r="OG649" s="19"/>
      <c r="OH649" s="93"/>
      <c r="OI649" s="93"/>
      <c r="OJ649" s="93"/>
      <c r="OK649" s="93"/>
      <c r="OL649" s="93"/>
      <c r="OM649" s="93"/>
      <c r="ON649" s="93"/>
      <c r="OO649" s="93"/>
      <c r="OP649" s="93"/>
      <c r="OQ649" s="93"/>
      <c r="OR649" s="93"/>
      <c r="OS649" s="93"/>
      <c r="OT649" s="93"/>
      <c r="OU649" s="93"/>
      <c r="OV649" s="93"/>
      <c r="OW649" s="93"/>
      <c r="OX649" s="93"/>
      <c r="OY649" s="93"/>
      <c r="OZ649" s="93"/>
      <c r="PA649" s="93"/>
      <c r="PB649" s="93"/>
      <c r="PC649" s="20"/>
      <c r="PD649" s="29"/>
      <c r="PE649" s="19"/>
      <c r="PF649" s="93"/>
      <c r="PG649" s="93"/>
      <c r="PH649" s="93"/>
      <c r="PI649" s="93"/>
      <c r="PJ649" s="93"/>
      <c r="PK649" s="93"/>
      <c r="PL649" s="93"/>
      <c r="PM649" s="93"/>
      <c r="PN649" s="93"/>
      <c r="PO649" s="93"/>
      <c r="PP649" s="93"/>
      <c r="PQ649" s="93"/>
      <c r="PR649" s="93"/>
      <c r="PS649" s="93"/>
      <c r="PT649" s="93"/>
      <c r="PU649" s="93"/>
      <c r="PV649" s="93"/>
      <c r="PW649" s="93"/>
      <c r="PX649" s="93"/>
      <c r="PY649" s="93"/>
      <c r="PZ649" s="93"/>
      <c r="QA649" s="93"/>
      <c r="QB649" s="93"/>
      <c r="QC649" s="93"/>
      <c r="QD649" s="93"/>
      <c r="QE649" s="20"/>
      <c r="QF649" s="1739"/>
      <c r="QG649" s="19"/>
      <c r="QH649" s="93"/>
      <c r="QI649" s="93"/>
      <c r="QJ649" s="93"/>
      <c r="QK649" s="93"/>
      <c r="QL649" s="93"/>
      <c r="QM649" s="93"/>
      <c r="QN649" s="93"/>
      <c r="QO649" s="93"/>
      <c r="QP649" s="93"/>
      <c r="QQ649" s="93"/>
      <c r="QR649" s="93"/>
      <c r="QS649" s="93"/>
      <c r="QT649" s="93"/>
      <c r="QU649" s="93"/>
      <c r="QV649" s="93"/>
      <c r="QW649" s="93"/>
      <c r="QX649" s="93"/>
      <c r="QY649" s="93"/>
      <c r="QZ649" s="93"/>
      <c r="RA649" s="93"/>
      <c r="RB649" s="93"/>
      <c r="RC649" s="93"/>
      <c r="RD649" s="93"/>
      <c r="RE649" s="93"/>
      <c r="RF649" s="93"/>
      <c r="RG649" s="93"/>
      <c r="RH649" s="93"/>
      <c r="RI649" s="93"/>
      <c r="RJ649" s="93"/>
      <c r="RK649" s="93"/>
      <c r="RL649" s="93"/>
      <c r="RM649" s="20"/>
      <c r="RN649" s="29"/>
      <c r="RO649" s="19"/>
      <c r="RP649" s="20"/>
      <c r="RQ649" s="29"/>
      <c r="RR649" s="20"/>
      <c r="RS649" s="29"/>
      <c r="RT649" s="1504">
        <v>54210</v>
      </c>
      <c r="RU649" s="19"/>
      <c r="RV649" s="20"/>
      <c r="RW649" s="29"/>
      <c r="RX649" s="1504">
        <v>54210</v>
      </c>
      <c r="RY649" s="29"/>
      <c r="RZ649" s="20"/>
      <c r="SA649" s="29"/>
      <c r="SB649" s="29"/>
    </row>
    <row r="650" spans="1:496">
      <c r="A650" s="41">
        <f t="shared" si="364"/>
        <v>2048</v>
      </c>
      <c r="B650" s="1504">
        <v>54240</v>
      </c>
      <c r="C650" s="1813"/>
      <c r="D650" s="1814"/>
      <c r="E650" s="1814"/>
      <c r="F650" s="1815"/>
      <c r="G650" s="1814"/>
      <c r="H650" s="1814"/>
      <c r="I650" s="1814"/>
      <c r="J650" s="1816"/>
      <c r="K650" s="1807"/>
      <c r="L650" s="25"/>
      <c r="M650" s="97"/>
      <c r="N650" s="1504">
        <v>54240</v>
      </c>
      <c r="O650" s="19"/>
      <c r="P650" s="93"/>
      <c r="Q650" s="93"/>
      <c r="R650" s="93"/>
      <c r="S650" s="93"/>
      <c r="T650" s="93"/>
      <c r="U650" s="93"/>
      <c r="V650" s="93"/>
      <c r="W650" s="93"/>
      <c r="X650" s="93"/>
      <c r="Y650" s="93"/>
      <c r="Z650" s="93"/>
      <c r="AA650" s="93"/>
      <c r="AB650" s="20"/>
      <c r="AC650" s="25"/>
      <c r="AD650" s="97"/>
      <c r="AE650" s="1504">
        <v>54240</v>
      </c>
      <c r="AF650" s="19"/>
      <c r="AG650" s="93"/>
      <c r="AH650" s="93"/>
      <c r="AI650" s="93"/>
      <c r="AJ650" s="93"/>
      <c r="AK650" s="93"/>
      <c r="AL650" s="93"/>
      <c r="AM650" s="93"/>
      <c r="AN650" s="93"/>
      <c r="AO650" s="93"/>
      <c r="AP650" s="93"/>
      <c r="AQ650" s="93"/>
      <c r="AR650" s="93"/>
      <c r="AS650" s="20"/>
      <c r="AT650" s="25"/>
      <c r="AU650" s="97"/>
      <c r="AV650" s="1504">
        <v>54240</v>
      </c>
      <c r="AW650" s="19"/>
      <c r="AX650" s="93"/>
      <c r="AY650" s="93"/>
      <c r="AZ650" s="93"/>
      <c r="BA650" s="93"/>
      <c r="BB650" s="93"/>
      <c r="BC650" s="93"/>
      <c r="BD650" s="93"/>
      <c r="BE650" s="93"/>
      <c r="BF650" s="93"/>
      <c r="BG650" s="93"/>
      <c r="BH650" s="93"/>
      <c r="BI650" s="93"/>
      <c r="BJ650" s="20"/>
      <c r="BK650" s="25"/>
      <c r="BL650" s="97"/>
      <c r="BM650" s="1504">
        <v>54240</v>
      </c>
      <c r="BN650" s="19"/>
      <c r="BO650" s="93"/>
      <c r="BP650" s="93"/>
      <c r="BQ650" s="93"/>
      <c r="BR650" s="93"/>
      <c r="BS650" s="93"/>
      <c r="BT650" s="93"/>
      <c r="BU650" s="20"/>
      <c r="BV650" s="25"/>
      <c r="BW650" s="97"/>
      <c r="BX650" s="1504">
        <v>54240</v>
      </c>
      <c r="BY650" s="19"/>
      <c r="BZ650" s="93"/>
      <c r="CA650" s="93"/>
      <c r="CB650" s="93"/>
      <c r="CC650" s="93"/>
      <c r="CD650" s="25"/>
      <c r="CE650" s="97"/>
      <c r="CF650" s="1504">
        <v>54240</v>
      </c>
      <c r="CG650" s="19"/>
      <c r="CH650" s="93"/>
      <c r="CI650" s="219"/>
      <c r="CJ650" s="20"/>
      <c r="CK650" s="19"/>
      <c r="CL650" s="93"/>
      <c r="CM650" s="93"/>
      <c r="CN650" s="93"/>
      <c r="CO650" s="93"/>
      <c r="CP650" s="20"/>
      <c r="CQ650" s="219"/>
      <c r="CR650" s="93"/>
      <c r="CS650" s="93"/>
      <c r="CT650" s="93"/>
      <c r="CU650" s="93"/>
      <c r="CV650" s="214"/>
      <c r="CW650" s="29"/>
      <c r="CX650" s="41">
        <f t="shared" si="365"/>
        <v>2048</v>
      </c>
      <c r="CY650" s="1504">
        <v>54240</v>
      </c>
      <c r="CZ650" s="19"/>
      <c r="DA650" s="93"/>
      <c r="DB650" s="93"/>
      <c r="DC650" s="93"/>
      <c r="DD650" s="93"/>
      <c r="DE650" s="20"/>
      <c r="DF650" s="29"/>
      <c r="DG650" s="1504">
        <v>54240</v>
      </c>
      <c r="DH650" s="19"/>
      <c r="DI650" s="93"/>
      <c r="DJ650" s="93"/>
      <c r="DK650" s="93"/>
      <c r="DL650" s="93"/>
      <c r="DM650" s="93"/>
      <c r="DN650" s="20"/>
      <c r="DO650" s="295"/>
      <c r="DP650" s="29"/>
      <c r="DQ650" s="1504">
        <v>54240</v>
      </c>
      <c r="DR650" s="19"/>
      <c r="DS650" s="93"/>
      <c r="DT650" s="93"/>
      <c r="DU650" s="93"/>
      <c r="DV650" s="93"/>
      <c r="DW650" s="93"/>
      <c r="DX650" s="20"/>
      <c r="DY650" s="29"/>
      <c r="DZ650" s="1504">
        <v>54240</v>
      </c>
      <c r="EA650" s="19"/>
      <c r="EB650" s="93"/>
      <c r="EC650" s="20"/>
      <c r="ED650" s="29"/>
      <c r="EE650" s="1504">
        <v>54240</v>
      </c>
      <c r="EF650" s="19"/>
      <c r="EG650" s="93"/>
      <c r="EH650" s="93"/>
      <c r="EI650" s="214"/>
      <c r="EJ650" s="93"/>
      <c r="EK650" s="93"/>
      <c r="EL650" s="93"/>
      <c r="EM650" s="93"/>
      <c r="EN650" s="20"/>
      <c r="EO650" s="29"/>
      <c r="EP650" s="1504">
        <v>54240</v>
      </c>
      <c r="EQ650" s="19"/>
      <c r="ER650" s="93"/>
      <c r="ES650" s="93"/>
      <c r="ET650" s="214"/>
      <c r="EU650" s="93"/>
      <c r="EV650" s="93"/>
      <c r="EW650" s="93"/>
      <c r="EX650" s="93"/>
      <c r="EY650" s="20"/>
      <c r="EZ650" s="29"/>
      <c r="FA650" s="1504">
        <v>54240</v>
      </c>
      <c r="FB650" s="29"/>
      <c r="FC650" s="29"/>
      <c r="FD650" s="29"/>
      <c r="FE650" s="29"/>
      <c r="FF650" s="29"/>
      <c r="FG650" s="29"/>
      <c r="FH650" s="29"/>
      <c r="FI650" s="29"/>
      <c r="FJ650" s="29"/>
      <c r="FK650" s="29"/>
      <c r="FL650" s="1504">
        <v>54240</v>
      </c>
      <c r="FM650" s="19"/>
      <c r="FN650" s="93"/>
      <c r="FO650" s="93"/>
      <c r="FP650" s="93"/>
      <c r="FQ650" s="93"/>
      <c r="FR650" s="93"/>
      <c r="FS650" s="93"/>
      <c r="FT650" s="93"/>
      <c r="FU650" s="93"/>
      <c r="FV650" s="93"/>
      <c r="FW650" s="93"/>
      <c r="FX650" s="93"/>
      <c r="FY650" s="93"/>
      <c r="FZ650" s="29"/>
      <c r="GA650" s="1504">
        <v>54240</v>
      </c>
      <c r="GB650" s="19"/>
      <c r="GC650" s="93"/>
      <c r="GD650" s="93"/>
      <c r="GE650" s="93"/>
      <c r="GF650" s="93"/>
      <c r="GG650" s="93"/>
      <c r="GH650" s="93"/>
      <c r="GI650" s="93"/>
      <c r="GJ650" s="93"/>
      <c r="GK650" s="93"/>
      <c r="GL650" s="93"/>
      <c r="GM650" s="93"/>
      <c r="GN650" s="20"/>
      <c r="GO650" s="29"/>
      <c r="GP650" s="1504">
        <v>54240</v>
      </c>
      <c r="GQ650" s="19"/>
      <c r="GR650" s="93"/>
      <c r="GS650" s="93"/>
      <c r="GT650" s="93"/>
      <c r="GU650" s="93"/>
      <c r="GV650" s="20"/>
      <c r="GW650" s="19"/>
      <c r="GX650" s="93"/>
      <c r="GY650" s="93"/>
      <c r="GZ650" s="93"/>
      <c r="HA650" s="93"/>
      <c r="HB650" s="20"/>
      <c r="HC650" s="19"/>
      <c r="HD650" s="93"/>
      <c r="HE650" s="93"/>
      <c r="HF650" s="93"/>
      <c r="HG650" s="93"/>
      <c r="HH650" s="20"/>
      <c r="HI650" s="19"/>
      <c r="HJ650" s="93"/>
      <c r="HK650" s="93"/>
      <c r="HL650" s="93"/>
      <c r="HM650" s="93"/>
      <c r="HN650" s="20"/>
      <c r="HO650" s="219"/>
      <c r="HP650" s="20"/>
      <c r="HQ650" s="25"/>
      <c r="HR650" s="29"/>
      <c r="HS650" s="1504">
        <v>54240</v>
      </c>
      <c r="HT650" s="19"/>
      <c r="HU650" s="93"/>
      <c r="HV650" s="93"/>
      <c r="HW650" s="93"/>
      <c r="HX650" s="93"/>
      <c r="HY650" s="93"/>
      <c r="HZ650" s="93"/>
      <c r="IA650" s="20"/>
      <c r="IB650" s="19"/>
      <c r="IC650" s="93"/>
      <c r="ID650" s="93"/>
      <c r="IE650" s="93"/>
      <c r="IF650" s="93"/>
      <c r="IG650" s="20"/>
      <c r="IH650" s="19"/>
      <c r="II650" s="93"/>
      <c r="IJ650" s="93"/>
      <c r="IK650" s="93"/>
      <c r="IL650" s="93"/>
      <c r="IM650" s="93"/>
      <c r="IN650" s="93"/>
      <c r="IO650" s="20"/>
      <c r="IP650" s="29"/>
      <c r="IQ650" s="19"/>
      <c r="IR650" s="93"/>
      <c r="IS650" s="93"/>
      <c r="IT650" s="93"/>
      <c r="IU650" s="93"/>
      <c r="IV650" s="20"/>
      <c r="IW650" s="29"/>
      <c r="IX650" s="19"/>
      <c r="IY650" s="93"/>
      <c r="IZ650" s="93"/>
      <c r="JA650" s="93"/>
      <c r="JB650" s="93"/>
      <c r="JC650" s="93"/>
      <c r="JD650" s="93"/>
      <c r="JE650" s="20"/>
      <c r="JF650" s="29"/>
      <c r="JG650" s="19"/>
      <c r="JH650" s="93"/>
      <c r="JI650" s="93"/>
      <c r="JJ650" s="93"/>
      <c r="JK650" s="93"/>
      <c r="JL650" s="93"/>
      <c r="JM650" s="93"/>
      <c r="JN650" s="20"/>
      <c r="JO650" s="29"/>
      <c r="JP650" s="19"/>
      <c r="JQ650" s="93"/>
      <c r="JR650" s="93"/>
      <c r="JS650" s="93"/>
      <c r="JT650" s="93"/>
      <c r="JU650" s="20"/>
      <c r="JV650" s="29"/>
      <c r="JW650" s="1504">
        <v>54240</v>
      </c>
      <c r="JX650" s="19"/>
      <c r="JY650" s="93"/>
      <c r="JZ650" s="93"/>
      <c r="KA650" s="93"/>
      <c r="KB650" s="93"/>
      <c r="KC650" s="93"/>
      <c r="KD650" s="20"/>
      <c r="KE650" s="29"/>
      <c r="KF650" s="19"/>
      <c r="KG650" s="93"/>
      <c r="KH650" s="93"/>
      <c r="KI650" s="93"/>
      <c r="KJ650" s="93"/>
      <c r="KK650" s="20"/>
      <c r="KL650" s="29"/>
      <c r="KM650" s="19"/>
      <c r="KN650" s="93"/>
      <c r="KO650" s="93"/>
      <c r="KP650" s="93"/>
      <c r="KQ650" s="93"/>
      <c r="KR650" s="20"/>
      <c r="KS650" s="29"/>
      <c r="KT650" s="19"/>
      <c r="KU650" s="93"/>
      <c r="KV650" s="93"/>
      <c r="KW650" s="93"/>
      <c r="KX650" s="93"/>
      <c r="KY650" s="20"/>
      <c r="KZ650" s="29"/>
      <c r="LA650" s="1504">
        <v>54240</v>
      </c>
      <c r="LB650" s="19"/>
      <c r="LC650" s="93"/>
      <c r="LD650" s="93"/>
      <c r="LE650" s="93"/>
      <c r="LF650" s="93"/>
      <c r="LG650" s="93"/>
      <c r="LH650" s="20"/>
      <c r="LI650" s="29"/>
      <c r="LJ650" s="19"/>
      <c r="LK650" s="93"/>
      <c r="LL650" s="93"/>
      <c r="LM650" s="93"/>
      <c r="LN650" s="93"/>
      <c r="LO650" s="20"/>
      <c r="LP650" s="29"/>
      <c r="LQ650" s="19"/>
      <c r="LR650" s="93"/>
      <c r="LS650" s="93"/>
      <c r="LT650" s="93"/>
      <c r="LU650" s="93"/>
      <c r="LV650" s="93"/>
      <c r="LW650" s="93"/>
      <c r="LX650" s="93"/>
      <c r="LY650" s="93"/>
      <c r="LZ650" s="93"/>
      <c r="MA650" s="20"/>
      <c r="MB650" s="29"/>
      <c r="MC650" s="1504">
        <v>54240</v>
      </c>
      <c r="MD650" s="19"/>
      <c r="ME650" s="93"/>
      <c r="MF650" s="93"/>
      <c r="MG650" s="93"/>
      <c r="MH650" s="93"/>
      <c r="MI650" s="93"/>
      <c r="MJ650" s="93"/>
      <c r="MK650" s="93"/>
      <c r="ML650" s="93"/>
      <c r="MM650" s="93"/>
      <c r="MN650" s="93"/>
      <c r="MO650" s="93"/>
      <c r="MP650" s="93"/>
      <c r="MQ650" s="93"/>
      <c r="MR650" s="93"/>
      <c r="MS650" s="93"/>
      <c r="MT650" s="93"/>
      <c r="MU650" s="93"/>
      <c r="MV650" s="93"/>
      <c r="MW650" s="93"/>
      <c r="MX650" s="93"/>
      <c r="MY650" s="93"/>
      <c r="MZ650" s="93"/>
      <c r="NA650" s="93"/>
      <c r="NB650" s="93"/>
      <c r="NC650" s="93"/>
      <c r="ND650" s="93"/>
      <c r="NE650" s="93"/>
      <c r="NF650" s="93"/>
      <c r="NG650" s="93"/>
      <c r="NH650" s="93"/>
      <c r="NI650" s="93"/>
      <c r="NJ650" s="93"/>
      <c r="NK650" s="93"/>
      <c r="NL650" s="93"/>
      <c r="NM650" s="93"/>
      <c r="NN650" s="93"/>
      <c r="NO650" s="93"/>
      <c r="NP650" s="93"/>
      <c r="NQ650" s="93"/>
      <c r="NR650" s="93"/>
      <c r="NS650" s="93"/>
      <c r="NT650" s="93"/>
      <c r="NU650" s="93"/>
      <c r="NV650" s="93"/>
      <c r="NW650" s="93"/>
      <c r="NX650" s="93"/>
      <c r="NY650" s="93"/>
      <c r="NZ650" s="93"/>
      <c r="OA650" s="93"/>
      <c r="OB650" s="93"/>
      <c r="OC650" s="93"/>
      <c r="OD650" s="20"/>
      <c r="OE650" s="29"/>
      <c r="OF650" s="1504">
        <v>54240</v>
      </c>
      <c r="OG650" s="19"/>
      <c r="OH650" s="93"/>
      <c r="OI650" s="93"/>
      <c r="OJ650" s="93"/>
      <c r="OK650" s="93"/>
      <c r="OL650" s="93"/>
      <c r="OM650" s="93"/>
      <c r="ON650" s="93"/>
      <c r="OO650" s="93"/>
      <c r="OP650" s="93"/>
      <c r="OQ650" s="93"/>
      <c r="OR650" s="93"/>
      <c r="OS650" s="93"/>
      <c r="OT650" s="93"/>
      <c r="OU650" s="93"/>
      <c r="OV650" s="93"/>
      <c r="OW650" s="93"/>
      <c r="OX650" s="93"/>
      <c r="OY650" s="93"/>
      <c r="OZ650" s="93"/>
      <c r="PA650" s="93"/>
      <c r="PB650" s="93"/>
      <c r="PC650" s="20"/>
      <c r="PD650" s="29"/>
      <c r="PE650" s="19"/>
      <c r="PF650" s="93"/>
      <c r="PG650" s="93"/>
      <c r="PH650" s="93"/>
      <c r="PI650" s="93"/>
      <c r="PJ650" s="93"/>
      <c r="PK650" s="93"/>
      <c r="PL650" s="93"/>
      <c r="PM650" s="93"/>
      <c r="PN650" s="93"/>
      <c r="PO650" s="93"/>
      <c r="PP650" s="93"/>
      <c r="PQ650" s="93"/>
      <c r="PR650" s="93"/>
      <c r="PS650" s="93"/>
      <c r="PT650" s="93"/>
      <c r="PU650" s="93"/>
      <c r="PV650" s="93"/>
      <c r="PW650" s="93"/>
      <c r="PX650" s="93"/>
      <c r="PY650" s="93"/>
      <c r="PZ650" s="93"/>
      <c r="QA650" s="93"/>
      <c r="QB650" s="93"/>
      <c r="QC650" s="93"/>
      <c r="QD650" s="93"/>
      <c r="QE650" s="20"/>
      <c r="QF650" s="1739"/>
      <c r="QG650" s="19"/>
      <c r="QH650" s="93"/>
      <c r="QI650" s="93"/>
      <c r="QJ650" s="93"/>
      <c r="QK650" s="93"/>
      <c r="QL650" s="93"/>
      <c r="QM650" s="93"/>
      <c r="QN650" s="93"/>
      <c r="QO650" s="93"/>
      <c r="QP650" s="93"/>
      <c r="QQ650" s="93"/>
      <c r="QR650" s="93"/>
      <c r="QS650" s="93"/>
      <c r="QT650" s="93"/>
      <c r="QU650" s="93"/>
      <c r="QV650" s="93"/>
      <c r="QW650" s="93"/>
      <c r="QX650" s="93"/>
      <c r="QY650" s="93"/>
      <c r="QZ650" s="93"/>
      <c r="RA650" s="93"/>
      <c r="RB650" s="93"/>
      <c r="RC650" s="93"/>
      <c r="RD650" s="93"/>
      <c r="RE650" s="93"/>
      <c r="RF650" s="93"/>
      <c r="RG650" s="93"/>
      <c r="RH650" s="93"/>
      <c r="RI650" s="93"/>
      <c r="RJ650" s="93"/>
      <c r="RK650" s="93"/>
      <c r="RL650" s="93"/>
      <c r="RM650" s="20"/>
      <c r="RN650" s="29"/>
      <c r="RO650" s="19"/>
      <c r="RP650" s="20"/>
      <c r="RQ650" s="29"/>
      <c r="RR650" s="20"/>
      <c r="RS650" s="29"/>
      <c r="RT650" s="1504">
        <v>54240</v>
      </c>
      <c r="RU650" s="19"/>
      <c r="RV650" s="20"/>
      <c r="RW650" s="29"/>
      <c r="RX650" s="1504">
        <v>54240</v>
      </c>
      <c r="RY650" s="29"/>
      <c r="RZ650" s="20"/>
      <c r="SA650" s="29"/>
      <c r="SB650" s="29"/>
    </row>
    <row r="651" spans="1:496">
      <c r="A651" s="41">
        <f t="shared" si="364"/>
        <v>2048</v>
      </c>
      <c r="B651" s="1504">
        <v>54271</v>
      </c>
      <c r="C651" s="1813"/>
      <c r="D651" s="1814"/>
      <c r="E651" s="1814"/>
      <c r="F651" s="1815"/>
      <c r="G651" s="1814"/>
      <c r="H651" s="1814"/>
      <c r="I651" s="1814"/>
      <c r="J651" s="1816"/>
      <c r="K651" s="1807"/>
      <c r="L651" s="25"/>
      <c r="M651" s="97"/>
      <c r="N651" s="1504">
        <v>54271</v>
      </c>
      <c r="O651" s="19"/>
      <c r="P651" s="93"/>
      <c r="Q651" s="93"/>
      <c r="R651" s="93"/>
      <c r="S651" s="93"/>
      <c r="T651" s="93"/>
      <c r="U651" s="93"/>
      <c r="V651" s="93"/>
      <c r="W651" s="93"/>
      <c r="X651" s="93"/>
      <c r="Y651" s="93"/>
      <c r="Z651" s="93"/>
      <c r="AA651" s="93"/>
      <c r="AB651" s="20"/>
      <c r="AC651" s="25"/>
      <c r="AD651" s="97"/>
      <c r="AE651" s="1504">
        <v>54271</v>
      </c>
      <c r="AF651" s="19"/>
      <c r="AG651" s="93"/>
      <c r="AH651" s="93"/>
      <c r="AI651" s="93"/>
      <c r="AJ651" s="93"/>
      <c r="AK651" s="93"/>
      <c r="AL651" s="93"/>
      <c r="AM651" s="93"/>
      <c r="AN651" s="93"/>
      <c r="AO651" s="93"/>
      <c r="AP651" s="93"/>
      <c r="AQ651" s="93"/>
      <c r="AR651" s="93"/>
      <c r="AS651" s="20"/>
      <c r="AT651" s="25"/>
      <c r="AU651" s="97"/>
      <c r="AV651" s="1504">
        <v>54271</v>
      </c>
      <c r="AW651" s="19"/>
      <c r="AX651" s="93"/>
      <c r="AY651" s="93"/>
      <c r="AZ651" s="93"/>
      <c r="BA651" s="93"/>
      <c r="BB651" s="93"/>
      <c r="BC651" s="93"/>
      <c r="BD651" s="93"/>
      <c r="BE651" s="93"/>
      <c r="BF651" s="93"/>
      <c r="BG651" s="93"/>
      <c r="BH651" s="93"/>
      <c r="BI651" s="93"/>
      <c r="BJ651" s="20"/>
      <c r="BK651" s="25"/>
      <c r="BL651" s="97"/>
      <c r="BM651" s="1504">
        <v>54271</v>
      </c>
      <c r="BN651" s="19"/>
      <c r="BO651" s="93"/>
      <c r="BP651" s="93"/>
      <c r="BQ651" s="93"/>
      <c r="BR651" s="93"/>
      <c r="BS651" s="93"/>
      <c r="BT651" s="93"/>
      <c r="BU651" s="20"/>
      <c r="BV651" s="25"/>
      <c r="BW651" s="97"/>
      <c r="BX651" s="1504">
        <v>54271</v>
      </c>
      <c r="BY651" s="19"/>
      <c r="BZ651" s="93"/>
      <c r="CA651" s="93"/>
      <c r="CB651" s="93"/>
      <c r="CC651" s="93"/>
      <c r="CD651" s="25"/>
      <c r="CE651" s="97"/>
      <c r="CF651" s="1504">
        <v>54271</v>
      </c>
      <c r="CG651" s="19"/>
      <c r="CH651" s="93"/>
      <c r="CI651" s="219"/>
      <c r="CJ651" s="20"/>
      <c r="CK651" s="19"/>
      <c r="CL651" s="93"/>
      <c r="CM651" s="93"/>
      <c r="CN651" s="93"/>
      <c r="CO651" s="93"/>
      <c r="CP651" s="20"/>
      <c r="CQ651" s="219"/>
      <c r="CR651" s="93"/>
      <c r="CS651" s="93"/>
      <c r="CT651" s="93"/>
      <c r="CU651" s="93"/>
      <c r="CV651" s="214"/>
      <c r="CW651" s="29"/>
      <c r="CX651" s="41">
        <f t="shared" si="365"/>
        <v>2048</v>
      </c>
      <c r="CY651" s="1504">
        <v>54271</v>
      </c>
      <c r="CZ651" s="19"/>
      <c r="DA651" s="93"/>
      <c r="DB651" s="93"/>
      <c r="DC651" s="93"/>
      <c r="DD651" s="93"/>
      <c r="DE651" s="20"/>
      <c r="DF651" s="29"/>
      <c r="DG651" s="1504">
        <v>54271</v>
      </c>
      <c r="DH651" s="19"/>
      <c r="DI651" s="93"/>
      <c r="DJ651" s="93"/>
      <c r="DK651" s="93"/>
      <c r="DL651" s="93"/>
      <c r="DM651" s="93"/>
      <c r="DN651" s="20"/>
      <c r="DO651" s="295"/>
      <c r="DP651" s="29"/>
      <c r="DQ651" s="1504">
        <v>54271</v>
      </c>
      <c r="DR651" s="19"/>
      <c r="DS651" s="93"/>
      <c r="DT651" s="93"/>
      <c r="DU651" s="93"/>
      <c r="DV651" s="93"/>
      <c r="DW651" s="93"/>
      <c r="DX651" s="20"/>
      <c r="DY651" s="29"/>
      <c r="DZ651" s="1504">
        <v>54271</v>
      </c>
      <c r="EA651" s="19"/>
      <c r="EB651" s="93"/>
      <c r="EC651" s="20"/>
      <c r="ED651" s="29"/>
      <c r="EE651" s="1504">
        <v>54271</v>
      </c>
      <c r="EF651" s="19"/>
      <c r="EG651" s="93"/>
      <c r="EH651" s="93"/>
      <c r="EI651" s="214"/>
      <c r="EJ651" s="93"/>
      <c r="EK651" s="93"/>
      <c r="EL651" s="93"/>
      <c r="EM651" s="93"/>
      <c r="EN651" s="20"/>
      <c r="EO651" s="29"/>
      <c r="EP651" s="1504">
        <v>54271</v>
      </c>
      <c r="EQ651" s="19"/>
      <c r="ER651" s="93"/>
      <c r="ES651" s="93"/>
      <c r="ET651" s="214"/>
      <c r="EU651" s="93"/>
      <c r="EV651" s="93"/>
      <c r="EW651" s="93"/>
      <c r="EX651" s="93"/>
      <c r="EY651" s="20"/>
      <c r="EZ651" s="29"/>
      <c r="FA651" s="1504">
        <v>54271</v>
      </c>
      <c r="FB651" s="29"/>
      <c r="FC651" s="29"/>
      <c r="FD651" s="29"/>
      <c r="FE651" s="29"/>
      <c r="FF651" s="29"/>
      <c r="FG651" s="29"/>
      <c r="FH651" s="29"/>
      <c r="FI651" s="29"/>
      <c r="FJ651" s="29"/>
      <c r="FK651" s="29"/>
      <c r="FL651" s="1504">
        <v>54271</v>
      </c>
      <c r="FM651" s="19"/>
      <c r="FN651" s="93"/>
      <c r="FO651" s="93"/>
      <c r="FP651" s="93"/>
      <c r="FQ651" s="93"/>
      <c r="FR651" s="93"/>
      <c r="FS651" s="93"/>
      <c r="FT651" s="93"/>
      <c r="FU651" s="93"/>
      <c r="FV651" s="93"/>
      <c r="FW651" s="93"/>
      <c r="FX651" s="93"/>
      <c r="FY651" s="93"/>
      <c r="FZ651" s="29"/>
      <c r="GA651" s="1504">
        <v>54271</v>
      </c>
      <c r="GB651" s="19"/>
      <c r="GC651" s="93"/>
      <c r="GD651" s="93"/>
      <c r="GE651" s="93"/>
      <c r="GF651" s="93"/>
      <c r="GG651" s="93"/>
      <c r="GH651" s="93"/>
      <c r="GI651" s="93"/>
      <c r="GJ651" s="93"/>
      <c r="GK651" s="93"/>
      <c r="GL651" s="93"/>
      <c r="GM651" s="93"/>
      <c r="GN651" s="20"/>
      <c r="GO651" s="29"/>
      <c r="GP651" s="1504">
        <v>54271</v>
      </c>
      <c r="GQ651" s="19"/>
      <c r="GR651" s="93"/>
      <c r="GS651" s="93"/>
      <c r="GT651" s="93"/>
      <c r="GU651" s="93"/>
      <c r="GV651" s="20"/>
      <c r="GW651" s="19"/>
      <c r="GX651" s="93"/>
      <c r="GY651" s="93"/>
      <c r="GZ651" s="93"/>
      <c r="HA651" s="93"/>
      <c r="HB651" s="20"/>
      <c r="HC651" s="19"/>
      <c r="HD651" s="93"/>
      <c r="HE651" s="93"/>
      <c r="HF651" s="93"/>
      <c r="HG651" s="93"/>
      <c r="HH651" s="20"/>
      <c r="HI651" s="19"/>
      <c r="HJ651" s="93"/>
      <c r="HK651" s="93"/>
      <c r="HL651" s="93"/>
      <c r="HM651" s="93"/>
      <c r="HN651" s="20"/>
      <c r="HO651" s="219"/>
      <c r="HP651" s="20"/>
      <c r="HQ651" s="25"/>
      <c r="HR651" s="29"/>
      <c r="HS651" s="1504">
        <v>54271</v>
      </c>
      <c r="HT651" s="19"/>
      <c r="HU651" s="93"/>
      <c r="HV651" s="93"/>
      <c r="HW651" s="93"/>
      <c r="HX651" s="93"/>
      <c r="HY651" s="93"/>
      <c r="HZ651" s="93"/>
      <c r="IA651" s="20"/>
      <c r="IB651" s="19"/>
      <c r="IC651" s="93"/>
      <c r="ID651" s="93"/>
      <c r="IE651" s="93"/>
      <c r="IF651" s="93"/>
      <c r="IG651" s="20"/>
      <c r="IH651" s="19"/>
      <c r="II651" s="93"/>
      <c r="IJ651" s="93"/>
      <c r="IK651" s="93"/>
      <c r="IL651" s="93"/>
      <c r="IM651" s="93"/>
      <c r="IN651" s="93"/>
      <c r="IO651" s="20"/>
      <c r="IP651" s="29"/>
      <c r="IQ651" s="19"/>
      <c r="IR651" s="93"/>
      <c r="IS651" s="93"/>
      <c r="IT651" s="93"/>
      <c r="IU651" s="93"/>
      <c r="IV651" s="20"/>
      <c r="IW651" s="29"/>
      <c r="IX651" s="19"/>
      <c r="IY651" s="93"/>
      <c r="IZ651" s="93"/>
      <c r="JA651" s="93"/>
      <c r="JB651" s="93"/>
      <c r="JC651" s="93"/>
      <c r="JD651" s="93"/>
      <c r="JE651" s="20"/>
      <c r="JF651" s="29"/>
      <c r="JG651" s="19"/>
      <c r="JH651" s="93"/>
      <c r="JI651" s="93"/>
      <c r="JJ651" s="93"/>
      <c r="JK651" s="93"/>
      <c r="JL651" s="93"/>
      <c r="JM651" s="93"/>
      <c r="JN651" s="20"/>
      <c r="JO651" s="29"/>
      <c r="JP651" s="19"/>
      <c r="JQ651" s="93"/>
      <c r="JR651" s="93"/>
      <c r="JS651" s="93"/>
      <c r="JT651" s="93"/>
      <c r="JU651" s="20"/>
      <c r="JV651" s="29"/>
      <c r="JW651" s="1504">
        <v>54271</v>
      </c>
      <c r="JX651" s="19"/>
      <c r="JY651" s="93"/>
      <c r="JZ651" s="93"/>
      <c r="KA651" s="93"/>
      <c r="KB651" s="93"/>
      <c r="KC651" s="93"/>
      <c r="KD651" s="20"/>
      <c r="KE651" s="29"/>
      <c r="KF651" s="19"/>
      <c r="KG651" s="93"/>
      <c r="KH651" s="93"/>
      <c r="KI651" s="93"/>
      <c r="KJ651" s="93"/>
      <c r="KK651" s="20"/>
      <c r="KL651" s="29"/>
      <c r="KM651" s="19"/>
      <c r="KN651" s="93"/>
      <c r="KO651" s="93"/>
      <c r="KP651" s="93"/>
      <c r="KQ651" s="93"/>
      <c r="KR651" s="20"/>
      <c r="KS651" s="29"/>
      <c r="KT651" s="19"/>
      <c r="KU651" s="93"/>
      <c r="KV651" s="93"/>
      <c r="KW651" s="93"/>
      <c r="KX651" s="93"/>
      <c r="KY651" s="20"/>
      <c r="KZ651" s="29"/>
      <c r="LA651" s="1504">
        <v>54271</v>
      </c>
      <c r="LB651" s="19"/>
      <c r="LC651" s="93"/>
      <c r="LD651" s="93"/>
      <c r="LE651" s="93"/>
      <c r="LF651" s="93"/>
      <c r="LG651" s="93"/>
      <c r="LH651" s="20"/>
      <c r="LI651" s="29"/>
      <c r="LJ651" s="19"/>
      <c r="LK651" s="93"/>
      <c r="LL651" s="93"/>
      <c r="LM651" s="93"/>
      <c r="LN651" s="93"/>
      <c r="LO651" s="20"/>
      <c r="LP651" s="29"/>
      <c r="LQ651" s="19"/>
      <c r="LR651" s="93"/>
      <c r="LS651" s="93"/>
      <c r="LT651" s="93"/>
      <c r="LU651" s="93"/>
      <c r="LV651" s="93"/>
      <c r="LW651" s="93"/>
      <c r="LX651" s="93"/>
      <c r="LY651" s="93"/>
      <c r="LZ651" s="93"/>
      <c r="MA651" s="20"/>
      <c r="MB651" s="29"/>
      <c r="MC651" s="1504">
        <v>54271</v>
      </c>
      <c r="MD651" s="19"/>
      <c r="ME651" s="93"/>
      <c r="MF651" s="93"/>
      <c r="MG651" s="93"/>
      <c r="MH651" s="93"/>
      <c r="MI651" s="93"/>
      <c r="MJ651" s="93"/>
      <c r="MK651" s="93"/>
      <c r="ML651" s="93"/>
      <c r="MM651" s="93"/>
      <c r="MN651" s="93"/>
      <c r="MO651" s="93"/>
      <c r="MP651" s="93"/>
      <c r="MQ651" s="93"/>
      <c r="MR651" s="93"/>
      <c r="MS651" s="93"/>
      <c r="MT651" s="93"/>
      <c r="MU651" s="93"/>
      <c r="MV651" s="93"/>
      <c r="MW651" s="93"/>
      <c r="MX651" s="93"/>
      <c r="MY651" s="93"/>
      <c r="MZ651" s="93"/>
      <c r="NA651" s="93"/>
      <c r="NB651" s="93"/>
      <c r="NC651" s="93"/>
      <c r="ND651" s="93"/>
      <c r="NE651" s="93"/>
      <c r="NF651" s="93"/>
      <c r="NG651" s="93"/>
      <c r="NH651" s="93"/>
      <c r="NI651" s="93"/>
      <c r="NJ651" s="93"/>
      <c r="NK651" s="93"/>
      <c r="NL651" s="93"/>
      <c r="NM651" s="93"/>
      <c r="NN651" s="93"/>
      <c r="NO651" s="93"/>
      <c r="NP651" s="93"/>
      <c r="NQ651" s="93"/>
      <c r="NR651" s="93"/>
      <c r="NS651" s="93"/>
      <c r="NT651" s="93"/>
      <c r="NU651" s="93"/>
      <c r="NV651" s="93"/>
      <c r="NW651" s="93"/>
      <c r="NX651" s="93"/>
      <c r="NY651" s="93"/>
      <c r="NZ651" s="93"/>
      <c r="OA651" s="93"/>
      <c r="OB651" s="93"/>
      <c r="OC651" s="93"/>
      <c r="OD651" s="20"/>
      <c r="OE651" s="29"/>
      <c r="OF651" s="1504">
        <v>54271</v>
      </c>
      <c r="OG651" s="19"/>
      <c r="OH651" s="93"/>
      <c r="OI651" s="93"/>
      <c r="OJ651" s="93"/>
      <c r="OK651" s="93"/>
      <c r="OL651" s="93"/>
      <c r="OM651" s="93"/>
      <c r="ON651" s="93"/>
      <c r="OO651" s="93"/>
      <c r="OP651" s="93"/>
      <c r="OQ651" s="93"/>
      <c r="OR651" s="93"/>
      <c r="OS651" s="93"/>
      <c r="OT651" s="93"/>
      <c r="OU651" s="93"/>
      <c r="OV651" s="93"/>
      <c r="OW651" s="93"/>
      <c r="OX651" s="93"/>
      <c r="OY651" s="93"/>
      <c r="OZ651" s="93"/>
      <c r="PA651" s="93"/>
      <c r="PB651" s="93"/>
      <c r="PC651" s="20"/>
      <c r="PD651" s="29"/>
      <c r="PE651" s="19"/>
      <c r="PF651" s="93"/>
      <c r="PG651" s="93"/>
      <c r="PH651" s="93"/>
      <c r="PI651" s="93"/>
      <c r="PJ651" s="93"/>
      <c r="PK651" s="93"/>
      <c r="PL651" s="93"/>
      <c r="PM651" s="93"/>
      <c r="PN651" s="93"/>
      <c r="PO651" s="93"/>
      <c r="PP651" s="93"/>
      <c r="PQ651" s="93"/>
      <c r="PR651" s="93"/>
      <c r="PS651" s="93"/>
      <c r="PT651" s="93"/>
      <c r="PU651" s="93"/>
      <c r="PV651" s="93"/>
      <c r="PW651" s="93"/>
      <c r="PX651" s="93"/>
      <c r="PY651" s="93"/>
      <c r="PZ651" s="93"/>
      <c r="QA651" s="93"/>
      <c r="QB651" s="93"/>
      <c r="QC651" s="93"/>
      <c r="QD651" s="93"/>
      <c r="QE651" s="20"/>
      <c r="QF651" s="1739"/>
      <c r="QG651" s="19"/>
      <c r="QH651" s="93"/>
      <c r="QI651" s="93"/>
      <c r="QJ651" s="93"/>
      <c r="QK651" s="93"/>
      <c r="QL651" s="93"/>
      <c r="QM651" s="93"/>
      <c r="QN651" s="93"/>
      <c r="QO651" s="93"/>
      <c r="QP651" s="93"/>
      <c r="QQ651" s="93"/>
      <c r="QR651" s="93"/>
      <c r="QS651" s="93"/>
      <c r="QT651" s="93"/>
      <c r="QU651" s="93"/>
      <c r="QV651" s="93"/>
      <c r="QW651" s="93"/>
      <c r="QX651" s="93"/>
      <c r="QY651" s="93"/>
      <c r="QZ651" s="93"/>
      <c r="RA651" s="93"/>
      <c r="RB651" s="93"/>
      <c r="RC651" s="93"/>
      <c r="RD651" s="93"/>
      <c r="RE651" s="93"/>
      <c r="RF651" s="93"/>
      <c r="RG651" s="93"/>
      <c r="RH651" s="93"/>
      <c r="RI651" s="93"/>
      <c r="RJ651" s="93"/>
      <c r="RK651" s="93"/>
      <c r="RL651" s="93"/>
      <c r="RM651" s="20"/>
      <c r="RN651" s="29"/>
      <c r="RO651" s="19"/>
      <c r="RP651" s="20"/>
      <c r="RQ651" s="29"/>
      <c r="RR651" s="20"/>
      <c r="RS651" s="29"/>
      <c r="RT651" s="1504">
        <v>54271</v>
      </c>
      <c r="RU651" s="19"/>
      <c r="RV651" s="20"/>
      <c r="RW651" s="29"/>
      <c r="RX651" s="1504">
        <v>54271</v>
      </c>
      <c r="RY651" s="29"/>
      <c r="RZ651" s="20"/>
      <c r="SA651" s="29"/>
      <c r="SB651" s="29"/>
    </row>
    <row r="652" spans="1:496">
      <c r="A652" s="41">
        <f t="shared" si="364"/>
        <v>2048</v>
      </c>
      <c r="B652" s="1504">
        <v>54302</v>
      </c>
      <c r="C652" s="1813"/>
      <c r="D652" s="1814"/>
      <c r="E652" s="1814"/>
      <c r="F652" s="1815"/>
      <c r="G652" s="1814"/>
      <c r="H652" s="1814"/>
      <c r="I652" s="1814"/>
      <c r="J652" s="1816"/>
      <c r="K652" s="1807"/>
      <c r="L652" s="25"/>
      <c r="M652" s="97"/>
      <c r="N652" s="1504">
        <v>54302</v>
      </c>
      <c r="O652" s="19"/>
      <c r="P652" s="93"/>
      <c r="Q652" s="93"/>
      <c r="R652" s="93"/>
      <c r="S652" s="93"/>
      <c r="T652" s="93"/>
      <c r="U652" s="93"/>
      <c r="V652" s="93"/>
      <c r="W652" s="93"/>
      <c r="X652" s="93"/>
      <c r="Y652" s="93"/>
      <c r="Z652" s="93"/>
      <c r="AA652" s="93"/>
      <c r="AB652" s="20"/>
      <c r="AC652" s="25"/>
      <c r="AD652" s="97"/>
      <c r="AE652" s="1504">
        <v>54302</v>
      </c>
      <c r="AF652" s="19"/>
      <c r="AG652" s="93"/>
      <c r="AH652" s="93"/>
      <c r="AI652" s="93"/>
      <c r="AJ652" s="93"/>
      <c r="AK652" s="93"/>
      <c r="AL652" s="93"/>
      <c r="AM652" s="93"/>
      <c r="AN652" s="93"/>
      <c r="AO652" s="93"/>
      <c r="AP652" s="93"/>
      <c r="AQ652" s="93"/>
      <c r="AR652" s="93"/>
      <c r="AS652" s="20"/>
      <c r="AT652" s="25"/>
      <c r="AU652" s="97"/>
      <c r="AV652" s="1504">
        <v>54302</v>
      </c>
      <c r="AW652" s="19"/>
      <c r="AX652" s="93"/>
      <c r="AY652" s="93"/>
      <c r="AZ652" s="93"/>
      <c r="BA652" s="93"/>
      <c r="BB652" s="93"/>
      <c r="BC652" s="93"/>
      <c r="BD652" s="93"/>
      <c r="BE652" s="93"/>
      <c r="BF652" s="93"/>
      <c r="BG652" s="93"/>
      <c r="BH652" s="93"/>
      <c r="BI652" s="93"/>
      <c r="BJ652" s="20"/>
      <c r="BK652" s="25"/>
      <c r="BL652" s="97"/>
      <c r="BM652" s="1504">
        <v>54302</v>
      </c>
      <c r="BN652" s="19"/>
      <c r="BO652" s="93"/>
      <c r="BP652" s="93"/>
      <c r="BQ652" s="93"/>
      <c r="BR652" s="93"/>
      <c r="BS652" s="93"/>
      <c r="BT652" s="93"/>
      <c r="BU652" s="20"/>
      <c r="BV652" s="25"/>
      <c r="BW652" s="97"/>
      <c r="BX652" s="1504">
        <v>54302</v>
      </c>
      <c r="BY652" s="19"/>
      <c r="BZ652" s="93"/>
      <c r="CA652" s="93"/>
      <c r="CB652" s="93"/>
      <c r="CC652" s="93"/>
      <c r="CD652" s="25"/>
      <c r="CE652" s="97"/>
      <c r="CF652" s="1504">
        <v>54302</v>
      </c>
      <c r="CG652" s="19"/>
      <c r="CH652" s="93"/>
      <c r="CI652" s="219"/>
      <c r="CJ652" s="20"/>
      <c r="CK652" s="19"/>
      <c r="CL652" s="93"/>
      <c r="CM652" s="93"/>
      <c r="CN652" s="93"/>
      <c r="CO652" s="93"/>
      <c r="CP652" s="20"/>
      <c r="CQ652" s="219"/>
      <c r="CR652" s="93"/>
      <c r="CS652" s="93"/>
      <c r="CT652" s="93"/>
      <c r="CU652" s="93"/>
      <c r="CV652" s="214"/>
      <c r="CW652" s="29"/>
      <c r="CX652" s="41">
        <f t="shared" si="365"/>
        <v>2048</v>
      </c>
      <c r="CY652" s="1504">
        <v>54302</v>
      </c>
      <c r="CZ652" s="19"/>
      <c r="DA652" s="93"/>
      <c r="DB652" s="93"/>
      <c r="DC652" s="93"/>
      <c r="DD652" s="93"/>
      <c r="DE652" s="20"/>
      <c r="DF652" s="29"/>
      <c r="DG652" s="1504">
        <v>54302</v>
      </c>
      <c r="DH652" s="19"/>
      <c r="DI652" s="93"/>
      <c r="DJ652" s="93"/>
      <c r="DK652" s="93"/>
      <c r="DL652" s="93"/>
      <c r="DM652" s="93"/>
      <c r="DN652" s="20"/>
      <c r="DO652" s="295"/>
      <c r="DP652" s="29"/>
      <c r="DQ652" s="1504">
        <v>54302</v>
      </c>
      <c r="DR652" s="19"/>
      <c r="DS652" s="93"/>
      <c r="DT652" s="93"/>
      <c r="DU652" s="93"/>
      <c r="DV652" s="93"/>
      <c r="DW652" s="93"/>
      <c r="DX652" s="20"/>
      <c r="DY652" s="29"/>
      <c r="DZ652" s="1504">
        <v>54302</v>
      </c>
      <c r="EA652" s="19"/>
      <c r="EB652" s="93"/>
      <c r="EC652" s="20"/>
      <c r="ED652" s="29"/>
      <c r="EE652" s="1504">
        <v>54302</v>
      </c>
      <c r="EF652" s="19"/>
      <c r="EG652" s="93"/>
      <c r="EH652" s="93"/>
      <c r="EI652" s="214"/>
      <c r="EJ652" s="93"/>
      <c r="EK652" s="93"/>
      <c r="EL652" s="93"/>
      <c r="EM652" s="93"/>
      <c r="EN652" s="20"/>
      <c r="EO652" s="29"/>
      <c r="EP652" s="1504">
        <v>54302</v>
      </c>
      <c r="EQ652" s="19"/>
      <c r="ER652" s="93"/>
      <c r="ES652" s="93"/>
      <c r="ET652" s="214"/>
      <c r="EU652" s="93"/>
      <c r="EV652" s="93"/>
      <c r="EW652" s="93"/>
      <c r="EX652" s="93"/>
      <c r="EY652" s="20"/>
      <c r="EZ652" s="29"/>
      <c r="FA652" s="1504">
        <v>54302</v>
      </c>
      <c r="FB652" s="29"/>
      <c r="FC652" s="29"/>
      <c r="FD652" s="29"/>
      <c r="FE652" s="29"/>
      <c r="FF652" s="29"/>
      <c r="FG652" s="29"/>
      <c r="FH652" s="29"/>
      <c r="FI652" s="29"/>
      <c r="FJ652" s="29"/>
      <c r="FK652" s="29"/>
      <c r="FL652" s="1504">
        <v>54302</v>
      </c>
      <c r="FM652" s="19"/>
      <c r="FN652" s="93"/>
      <c r="FO652" s="93"/>
      <c r="FP652" s="93"/>
      <c r="FQ652" s="93"/>
      <c r="FR652" s="93"/>
      <c r="FS652" s="93"/>
      <c r="FT652" s="93"/>
      <c r="FU652" s="93"/>
      <c r="FV652" s="93"/>
      <c r="FW652" s="93"/>
      <c r="FX652" s="93"/>
      <c r="FY652" s="93"/>
      <c r="FZ652" s="29"/>
      <c r="GA652" s="1504">
        <v>54302</v>
      </c>
      <c r="GB652" s="19"/>
      <c r="GC652" s="93"/>
      <c r="GD652" s="93"/>
      <c r="GE652" s="93"/>
      <c r="GF652" s="93"/>
      <c r="GG652" s="93"/>
      <c r="GH652" s="93"/>
      <c r="GI652" s="93"/>
      <c r="GJ652" s="93"/>
      <c r="GK652" s="93"/>
      <c r="GL652" s="93"/>
      <c r="GM652" s="93"/>
      <c r="GN652" s="20"/>
      <c r="GO652" s="29"/>
      <c r="GP652" s="1504">
        <v>54302</v>
      </c>
      <c r="GQ652" s="19"/>
      <c r="GR652" s="93"/>
      <c r="GS652" s="93"/>
      <c r="GT652" s="93"/>
      <c r="GU652" s="93"/>
      <c r="GV652" s="20"/>
      <c r="GW652" s="19"/>
      <c r="GX652" s="93"/>
      <c r="GY652" s="93"/>
      <c r="GZ652" s="93"/>
      <c r="HA652" s="93"/>
      <c r="HB652" s="20"/>
      <c r="HC652" s="19"/>
      <c r="HD652" s="93"/>
      <c r="HE652" s="93"/>
      <c r="HF652" s="93"/>
      <c r="HG652" s="93"/>
      <c r="HH652" s="20"/>
      <c r="HI652" s="19"/>
      <c r="HJ652" s="93"/>
      <c r="HK652" s="93"/>
      <c r="HL652" s="93"/>
      <c r="HM652" s="93"/>
      <c r="HN652" s="20"/>
      <c r="HO652" s="219"/>
      <c r="HP652" s="20"/>
      <c r="HQ652" s="25"/>
      <c r="HR652" s="29"/>
      <c r="HS652" s="1504">
        <v>54302</v>
      </c>
      <c r="HT652" s="19"/>
      <c r="HU652" s="93"/>
      <c r="HV652" s="93"/>
      <c r="HW652" s="93"/>
      <c r="HX652" s="93"/>
      <c r="HY652" s="93"/>
      <c r="HZ652" s="93"/>
      <c r="IA652" s="20"/>
      <c r="IB652" s="19"/>
      <c r="IC652" s="93"/>
      <c r="ID652" s="93"/>
      <c r="IE652" s="93"/>
      <c r="IF652" s="93"/>
      <c r="IG652" s="20"/>
      <c r="IH652" s="19"/>
      <c r="II652" s="93"/>
      <c r="IJ652" s="93"/>
      <c r="IK652" s="93"/>
      <c r="IL652" s="93"/>
      <c r="IM652" s="93"/>
      <c r="IN652" s="93"/>
      <c r="IO652" s="20"/>
      <c r="IP652" s="29"/>
      <c r="IQ652" s="19"/>
      <c r="IR652" s="93"/>
      <c r="IS652" s="93"/>
      <c r="IT652" s="93"/>
      <c r="IU652" s="93"/>
      <c r="IV652" s="20"/>
      <c r="IW652" s="29"/>
      <c r="IX652" s="19"/>
      <c r="IY652" s="93"/>
      <c r="IZ652" s="93"/>
      <c r="JA652" s="93"/>
      <c r="JB652" s="93"/>
      <c r="JC652" s="93"/>
      <c r="JD652" s="93"/>
      <c r="JE652" s="20"/>
      <c r="JF652" s="29"/>
      <c r="JG652" s="19"/>
      <c r="JH652" s="93"/>
      <c r="JI652" s="93"/>
      <c r="JJ652" s="93"/>
      <c r="JK652" s="93"/>
      <c r="JL652" s="93"/>
      <c r="JM652" s="93"/>
      <c r="JN652" s="20"/>
      <c r="JO652" s="29"/>
      <c r="JP652" s="19"/>
      <c r="JQ652" s="93"/>
      <c r="JR652" s="93"/>
      <c r="JS652" s="93"/>
      <c r="JT652" s="93"/>
      <c r="JU652" s="20"/>
      <c r="JV652" s="29"/>
      <c r="JW652" s="1504">
        <v>54302</v>
      </c>
      <c r="JX652" s="19"/>
      <c r="JY652" s="93"/>
      <c r="JZ652" s="93"/>
      <c r="KA652" s="93"/>
      <c r="KB652" s="93"/>
      <c r="KC652" s="93"/>
      <c r="KD652" s="20"/>
      <c r="KE652" s="29"/>
      <c r="KF652" s="19"/>
      <c r="KG652" s="93"/>
      <c r="KH652" s="93"/>
      <c r="KI652" s="93"/>
      <c r="KJ652" s="93"/>
      <c r="KK652" s="20"/>
      <c r="KL652" s="29"/>
      <c r="KM652" s="19"/>
      <c r="KN652" s="93"/>
      <c r="KO652" s="93"/>
      <c r="KP652" s="93"/>
      <c r="KQ652" s="93"/>
      <c r="KR652" s="20"/>
      <c r="KS652" s="29"/>
      <c r="KT652" s="19"/>
      <c r="KU652" s="93"/>
      <c r="KV652" s="93"/>
      <c r="KW652" s="93"/>
      <c r="KX652" s="93"/>
      <c r="KY652" s="20"/>
      <c r="KZ652" s="29"/>
      <c r="LA652" s="1504">
        <v>54302</v>
      </c>
      <c r="LB652" s="19"/>
      <c r="LC652" s="93"/>
      <c r="LD652" s="93"/>
      <c r="LE652" s="93"/>
      <c r="LF652" s="93"/>
      <c r="LG652" s="93"/>
      <c r="LH652" s="20"/>
      <c r="LI652" s="29"/>
      <c r="LJ652" s="19"/>
      <c r="LK652" s="93"/>
      <c r="LL652" s="93"/>
      <c r="LM652" s="93"/>
      <c r="LN652" s="93"/>
      <c r="LO652" s="20"/>
      <c r="LP652" s="29"/>
      <c r="LQ652" s="19"/>
      <c r="LR652" s="93"/>
      <c r="LS652" s="93"/>
      <c r="LT652" s="93"/>
      <c r="LU652" s="93"/>
      <c r="LV652" s="93"/>
      <c r="LW652" s="93"/>
      <c r="LX652" s="93"/>
      <c r="LY652" s="93"/>
      <c r="LZ652" s="93"/>
      <c r="MA652" s="20"/>
      <c r="MB652" s="29"/>
      <c r="MC652" s="1504">
        <v>54302</v>
      </c>
      <c r="MD652" s="19"/>
      <c r="ME652" s="93"/>
      <c r="MF652" s="93"/>
      <c r="MG652" s="93"/>
      <c r="MH652" s="93"/>
      <c r="MI652" s="93"/>
      <c r="MJ652" s="93"/>
      <c r="MK652" s="93"/>
      <c r="ML652" s="93"/>
      <c r="MM652" s="93"/>
      <c r="MN652" s="93"/>
      <c r="MO652" s="93"/>
      <c r="MP652" s="93"/>
      <c r="MQ652" s="93"/>
      <c r="MR652" s="93"/>
      <c r="MS652" s="93"/>
      <c r="MT652" s="93"/>
      <c r="MU652" s="93"/>
      <c r="MV652" s="93"/>
      <c r="MW652" s="93"/>
      <c r="MX652" s="93"/>
      <c r="MY652" s="93"/>
      <c r="MZ652" s="93"/>
      <c r="NA652" s="93"/>
      <c r="NB652" s="93"/>
      <c r="NC652" s="93"/>
      <c r="ND652" s="93"/>
      <c r="NE652" s="93"/>
      <c r="NF652" s="93"/>
      <c r="NG652" s="93"/>
      <c r="NH652" s="93"/>
      <c r="NI652" s="93"/>
      <c r="NJ652" s="93"/>
      <c r="NK652" s="93"/>
      <c r="NL652" s="93"/>
      <c r="NM652" s="93"/>
      <c r="NN652" s="93"/>
      <c r="NO652" s="93"/>
      <c r="NP652" s="93"/>
      <c r="NQ652" s="93"/>
      <c r="NR652" s="93"/>
      <c r="NS652" s="93"/>
      <c r="NT652" s="93"/>
      <c r="NU652" s="93"/>
      <c r="NV652" s="93"/>
      <c r="NW652" s="93"/>
      <c r="NX652" s="93"/>
      <c r="NY652" s="93"/>
      <c r="NZ652" s="93"/>
      <c r="OA652" s="93"/>
      <c r="OB652" s="93"/>
      <c r="OC652" s="93"/>
      <c r="OD652" s="20"/>
      <c r="OE652" s="29"/>
      <c r="OF652" s="1504">
        <v>54302</v>
      </c>
      <c r="OG652" s="19"/>
      <c r="OH652" s="93"/>
      <c r="OI652" s="93"/>
      <c r="OJ652" s="93"/>
      <c r="OK652" s="93"/>
      <c r="OL652" s="93"/>
      <c r="OM652" s="93"/>
      <c r="ON652" s="93"/>
      <c r="OO652" s="93"/>
      <c r="OP652" s="93"/>
      <c r="OQ652" s="93"/>
      <c r="OR652" s="93"/>
      <c r="OS652" s="93"/>
      <c r="OT652" s="93"/>
      <c r="OU652" s="93"/>
      <c r="OV652" s="93"/>
      <c r="OW652" s="93"/>
      <c r="OX652" s="93"/>
      <c r="OY652" s="93"/>
      <c r="OZ652" s="93"/>
      <c r="PA652" s="93"/>
      <c r="PB652" s="93"/>
      <c r="PC652" s="20"/>
      <c r="PD652" s="29"/>
      <c r="PE652" s="19"/>
      <c r="PF652" s="93"/>
      <c r="PG652" s="93"/>
      <c r="PH652" s="93"/>
      <c r="PI652" s="93"/>
      <c r="PJ652" s="93"/>
      <c r="PK652" s="93"/>
      <c r="PL652" s="93"/>
      <c r="PM652" s="93"/>
      <c r="PN652" s="93"/>
      <c r="PO652" s="93"/>
      <c r="PP652" s="93"/>
      <c r="PQ652" s="93"/>
      <c r="PR652" s="93"/>
      <c r="PS652" s="93"/>
      <c r="PT652" s="93"/>
      <c r="PU652" s="93"/>
      <c r="PV652" s="93"/>
      <c r="PW652" s="93"/>
      <c r="PX652" s="93"/>
      <c r="PY652" s="93"/>
      <c r="PZ652" s="93"/>
      <c r="QA652" s="93"/>
      <c r="QB652" s="93"/>
      <c r="QC652" s="93"/>
      <c r="QD652" s="93"/>
      <c r="QE652" s="20"/>
      <c r="QF652" s="1739"/>
      <c r="QG652" s="19"/>
      <c r="QH652" s="93"/>
      <c r="QI652" s="93"/>
      <c r="QJ652" s="93"/>
      <c r="QK652" s="93"/>
      <c r="QL652" s="93"/>
      <c r="QM652" s="93"/>
      <c r="QN652" s="93"/>
      <c r="QO652" s="93"/>
      <c r="QP652" s="93"/>
      <c r="QQ652" s="93"/>
      <c r="QR652" s="93"/>
      <c r="QS652" s="93"/>
      <c r="QT652" s="93"/>
      <c r="QU652" s="93"/>
      <c r="QV652" s="93"/>
      <c r="QW652" s="93"/>
      <c r="QX652" s="93"/>
      <c r="QY652" s="93"/>
      <c r="QZ652" s="93"/>
      <c r="RA652" s="93"/>
      <c r="RB652" s="93"/>
      <c r="RC652" s="93"/>
      <c r="RD652" s="93"/>
      <c r="RE652" s="93"/>
      <c r="RF652" s="93"/>
      <c r="RG652" s="93"/>
      <c r="RH652" s="93"/>
      <c r="RI652" s="93"/>
      <c r="RJ652" s="93"/>
      <c r="RK652" s="93"/>
      <c r="RL652" s="93"/>
      <c r="RM652" s="20"/>
      <c r="RN652" s="29"/>
      <c r="RO652" s="19"/>
      <c r="RP652" s="20"/>
      <c r="RQ652" s="29"/>
      <c r="RR652" s="20"/>
      <c r="RS652" s="29"/>
      <c r="RT652" s="1504">
        <v>54302</v>
      </c>
      <c r="RU652" s="19"/>
      <c r="RV652" s="20"/>
      <c r="RW652" s="29"/>
      <c r="RX652" s="1504">
        <v>54302</v>
      </c>
      <c r="RY652" s="29"/>
      <c r="RZ652" s="20"/>
      <c r="SA652" s="29"/>
      <c r="SB652" s="29"/>
    </row>
    <row r="653" spans="1:496">
      <c r="A653" s="41">
        <f t="shared" si="364"/>
        <v>2048</v>
      </c>
      <c r="B653" s="1504">
        <v>54332</v>
      </c>
      <c r="C653" s="1813"/>
      <c r="D653" s="1814"/>
      <c r="E653" s="1814"/>
      <c r="F653" s="1815"/>
      <c r="G653" s="1814"/>
      <c r="H653" s="1814"/>
      <c r="I653" s="1814"/>
      <c r="J653" s="1816"/>
      <c r="K653" s="1807"/>
      <c r="L653" s="25"/>
      <c r="M653" s="97"/>
      <c r="N653" s="1504">
        <v>54332</v>
      </c>
      <c r="O653" s="19"/>
      <c r="P653" s="93"/>
      <c r="Q653" s="93"/>
      <c r="R653" s="93"/>
      <c r="S653" s="93"/>
      <c r="T653" s="93"/>
      <c r="U653" s="93"/>
      <c r="V653" s="93"/>
      <c r="W653" s="93"/>
      <c r="X653" s="93"/>
      <c r="Y653" s="93"/>
      <c r="Z653" s="93"/>
      <c r="AA653" s="93"/>
      <c r="AB653" s="20"/>
      <c r="AC653" s="25"/>
      <c r="AD653" s="97"/>
      <c r="AE653" s="1504">
        <v>54332</v>
      </c>
      <c r="AF653" s="19"/>
      <c r="AG653" s="93"/>
      <c r="AH653" s="93"/>
      <c r="AI653" s="93"/>
      <c r="AJ653" s="93"/>
      <c r="AK653" s="93"/>
      <c r="AL653" s="93"/>
      <c r="AM653" s="93"/>
      <c r="AN653" s="93"/>
      <c r="AO653" s="93"/>
      <c r="AP653" s="93"/>
      <c r="AQ653" s="93"/>
      <c r="AR653" s="93"/>
      <c r="AS653" s="20"/>
      <c r="AT653" s="25"/>
      <c r="AU653" s="97"/>
      <c r="AV653" s="1504">
        <v>54332</v>
      </c>
      <c r="AW653" s="19"/>
      <c r="AX653" s="93"/>
      <c r="AY653" s="93"/>
      <c r="AZ653" s="93"/>
      <c r="BA653" s="93"/>
      <c r="BB653" s="93"/>
      <c r="BC653" s="93"/>
      <c r="BD653" s="93"/>
      <c r="BE653" s="93"/>
      <c r="BF653" s="93"/>
      <c r="BG653" s="93"/>
      <c r="BH653" s="93"/>
      <c r="BI653" s="93"/>
      <c r="BJ653" s="20"/>
      <c r="BK653" s="25"/>
      <c r="BL653" s="97"/>
      <c r="BM653" s="1504">
        <v>54332</v>
      </c>
      <c r="BN653" s="19"/>
      <c r="BO653" s="93"/>
      <c r="BP653" s="93"/>
      <c r="BQ653" s="93"/>
      <c r="BR653" s="93"/>
      <c r="BS653" s="93"/>
      <c r="BT653" s="93"/>
      <c r="BU653" s="20"/>
      <c r="BV653" s="25"/>
      <c r="BW653" s="97"/>
      <c r="BX653" s="1504">
        <v>54332</v>
      </c>
      <c r="BY653" s="19"/>
      <c r="BZ653" s="93"/>
      <c r="CA653" s="93"/>
      <c r="CB653" s="93"/>
      <c r="CC653" s="93"/>
      <c r="CD653" s="25"/>
      <c r="CE653" s="97"/>
      <c r="CF653" s="1504">
        <v>54332</v>
      </c>
      <c r="CG653" s="19"/>
      <c r="CH653" s="93"/>
      <c r="CI653" s="219"/>
      <c r="CJ653" s="20"/>
      <c r="CK653" s="19"/>
      <c r="CL653" s="93"/>
      <c r="CM653" s="93"/>
      <c r="CN653" s="93"/>
      <c r="CO653" s="93"/>
      <c r="CP653" s="20"/>
      <c r="CQ653" s="219"/>
      <c r="CR653" s="93"/>
      <c r="CS653" s="93"/>
      <c r="CT653" s="93"/>
      <c r="CU653" s="93"/>
      <c r="CV653" s="214"/>
      <c r="CW653" s="29"/>
      <c r="CX653" s="41">
        <f t="shared" si="365"/>
        <v>2048</v>
      </c>
      <c r="CY653" s="1504">
        <v>54332</v>
      </c>
      <c r="CZ653" s="19"/>
      <c r="DA653" s="93"/>
      <c r="DB653" s="93"/>
      <c r="DC653" s="93"/>
      <c r="DD653" s="93"/>
      <c r="DE653" s="20"/>
      <c r="DF653" s="29"/>
      <c r="DG653" s="1504">
        <v>54332</v>
      </c>
      <c r="DH653" s="19"/>
      <c r="DI653" s="93"/>
      <c r="DJ653" s="93"/>
      <c r="DK653" s="93"/>
      <c r="DL653" s="93"/>
      <c r="DM653" s="93"/>
      <c r="DN653" s="20"/>
      <c r="DO653" s="295"/>
      <c r="DP653" s="29"/>
      <c r="DQ653" s="1504">
        <v>54332</v>
      </c>
      <c r="DR653" s="19"/>
      <c r="DS653" s="93"/>
      <c r="DT653" s="93"/>
      <c r="DU653" s="93"/>
      <c r="DV653" s="93"/>
      <c r="DW653" s="93"/>
      <c r="DX653" s="20"/>
      <c r="DY653" s="29"/>
      <c r="DZ653" s="1504">
        <v>54332</v>
      </c>
      <c r="EA653" s="19"/>
      <c r="EB653" s="93"/>
      <c r="EC653" s="20"/>
      <c r="ED653" s="29"/>
      <c r="EE653" s="1504">
        <v>54332</v>
      </c>
      <c r="EF653" s="19"/>
      <c r="EG653" s="93"/>
      <c r="EH653" s="93"/>
      <c r="EI653" s="214"/>
      <c r="EJ653" s="93"/>
      <c r="EK653" s="93"/>
      <c r="EL653" s="93"/>
      <c r="EM653" s="93"/>
      <c r="EN653" s="20"/>
      <c r="EO653" s="29"/>
      <c r="EP653" s="1504">
        <v>54332</v>
      </c>
      <c r="EQ653" s="19"/>
      <c r="ER653" s="93"/>
      <c r="ES653" s="93"/>
      <c r="ET653" s="214"/>
      <c r="EU653" s="93"/>
      <c r="EV653" s="93"/>
      <c r="EW653" s="93"/>
      <c r="EX653" s="93"/>
      <c r="EY653" s="20"/>
      <c r="EZ653" s="29"/>
      <c r="FA653" s="1504">
        <v>54332</v>
      </c>
      <c r="FB653" s="29"/>
      <c r="FC653" s="29"/>
      <c r="FD653" s="29"/>
      <c r="FE653" s="29"/>
      <c r="FF653" s="29"/>
      <c r="FG653" s="29"/>
      <c r="FH653" s="29"/>
      <c r="FI653" s="29"/>
      <c r="FJ653" s="29"/>
      <c r="FK653" s="29"/>
      <c r="FL653" s="1504">
        <v>54332</v>
      </c>
      <c r="FM653" s="19"/>
      <c r="FN653" s="93"/>
      <c r="FO653" s="93"/>
      <c r="FP653" s="93"/>
      <c r="FQ653" s="93"/>
      <c r="FR653" s="93"/>
      <c r="FS653" s="93"/>
      <c r="FT653" s="93"/>
      <c r="FU653" s="93"/>
      <c r="FV653" s="93"/>
      <c r="FW653" s="93"/>
      <c r="FX653" s="93"/>
      <c r="FY653" s="93"/>
      <c r="FZ653" s="29"/>
      <c r="GA653" s="1504">
        <v>54332</v>
      </c>
      <c r="GB653" s="19"/>
      <c r="GC653" s="93"/>
      <c r="GD653" s="93"/>
      <c r="GE653" s="93"/>
      <c r="GF653" s="93"/>
      <c r="GG653" s="93"/>
      <c r="GH653" s="93"/>
      <c r="GI653" s="93"/>
      <c r="GJ653" s="93"/>
      <c r="GK653" s="93"/>
      <c r="GL653" s="93"/>
      <c r="GM653" s="93"/>
      <c r="GN653" s="20"/>
      <c r="GO653" s="29"/>
      <c r="GP653" s="1504">
        <v>54332</v>
      </c>
      <c r="GQ653" s="19"/>
      <c r="GR653" s="93"/>
      <c r="GS653" s="93"/>
      <c r="GT653" s="93"/>
      <c r="GU653" s="93"/>
      <c r="GV653" s="20"/>
      <c r="GW653" s="19"/>
      <c r="GX653" s="93"/>
      <c r="GY653" s="93"/>
      <c r="GZ653" s="93"/>
      <c r="HA653" s="93"/>
      <c r="HB653" s="20"/>
      <c r="HC653" s="19"/>
      <c r="HD653" s="93"/>
      <c r="HE653" s="93"/>
      <c r="HF653" s="93"/>
      <c r="HG653" s="93"/>
      <c r="HH653" s="20"/>
      <c r="HI653" s="19"/>
      <c r="HJ653" s="93"/>
      <c r="HK653" s="93"/>
      <c r="HL653" s="93"/>
      <c r="HM653" s="93"/>
      <c r="HN653" s="20"/>
      <c r="HO653" s="219"/>
      <c r="HP653" s="20"/>
      <c r="HQ653" s="25"/>
      <c r="HR653" s="29"/>
      <c r="HS653" s="1504">
        <v>54332</v>
      </c>
      <c r="HT653" s="19"/>
      <c r="HU653" s="93"/>
      <c r="HV653" s="93"/>
      <c r="HW653" s="93"/>
      <c r="HX653" s="93"/>
      <c r="HY653" s="93"/>
      <c r="HZ653" s="93"/>
      <c r="IA653" s="20"/>
      <c r="IB653" s="19"/>
      <c r="IC653" s="93"/>
      <c r="ID653" s="93"/>
      <c r="IE653" s="93"/>
      <c r="IF653" s="93"/>
      <c r="IG653" s="20"/>
      <c r="IH653" s="19"/>
      <c r="II653" s="93"/>
      <c r="IJ653" s="93"/>
      <c r="IK653" s="93"/>
      <c r="IL653" s="93"/>
      <c r="IM653" s="93"/>
      <c r="IN653" s="93"/>
      <c r="IO653" s="20"/>
      <c r="IP653" s="29"/>
      <c r="IQ653" s="19"/>
      <c r="IR653" s="93"/>
      <c r="IS653" s="93"/>
      <c r="IT653" s="93"/>
      <c r="IU653" s="93"/>
      <c r="IV653" s="20"/>
      <c r="IW653" s="29"/>
      <c r="IX653" s="19"/>
      <c r="IY653" s="93"/>
      <c r="IZ653" s="93"/>
      <c r="JA653" s="93"/>
      <c r="JB653" s="93"/>
      <c r="JC653" s="93"/>
      <c r="JD653" s="93"/>
      <c r="JE653" s="20"/>
      <c r="JF653" s="29"/>
      <c r="JG653" s="19"/>
      <c r="JH653" s="93"/>
      <c r="JI653" s="93"/>
      <c r="JJ653" s="93"/>
      <c r="JK653" s="93"/>
      <c r="JL653" s="93"/>
      <c r="JM653" s="93"/>
      <c r="JN653" s="20"/>
      <c r="JO653" s="29"/>
      <c r="JP653" s="19"/>
      <c r="JQ653" s="93"/>
      <c r="JR653" s="93"/>
      <c r="JS653" s="93"/>
      <c r="JT653" s="93"/>
      <c r="JU653" s="20"/>
      <c r="JV653" s="29"/>
      <c r="JW653" s="1504">
        <v>54332</v>
      </c>
      <c r="JX653" s="19"/>
      <c r="JY653" s="93"/>
      <c r="JZ653" s="93"/>
      <c r="KA653" s="93"/>
      <c r="KB653" s="93"/>
      <c r="KC653" s="93"/>
      <c r="KD653" s="20"/>
      <c r="KE653" s="29"/>
      <c r="KF653" s="19"/>
      <c r="KG653" s="93"/>
      <c r="KH653" s="93"/>
      <c r="KI653" s="93"/>
      <c r="KJ653" s="93"/>
      <c r="KK653" s="20"/>
      <c r="KL653" s="29"/>
      <c r="KM653" s="19"/>
      <c r="KN653" s="93"/>
      <c r="KO653" s="93"/>
      <c r="KP653" s="93"/>
      <c r="KQ653" s="93"/>
      <c r="KR653" s="20"/>
      <c r="KS653" s="29"/>
      <c r="KT653" s="19"/>
      <c r="KU653" s="93"/>
      <c r="KV653" s="93"/>
      <c r="KW653" s="93"/>
      <c r="KX653" s="93"/>
      <c r="KY653" s="20"/>
      <c r="KZ653" s="29"/>
      <c r="LA653" s="1504">
        <v>54332</v>
      </c>
      <c r="LB653" s="19"/>
      <c r="LC653" s="93"/>
      <c r="LD653" s="93"/>
      <c r="LE653" s="93"/>
      <c r="LF653" s="93"/>
      <c r="LG653" s="93"/>
      <c r="LH653" s="20"/>
      <c r="LI653" s="29"/>
      <c r="LJ653" s="19"/>
      <c r="LK653" s="93"/>
      <c r="LL653" s="93"/>
      <c r="LM653" s="93"/>
      <c r="LN653" s="93"/>
      <c r="LO653" s="20"/>
      <c r="LP653" s="29"/>
      <c r="LQ653" s="19"/>
      <c r="LR653" s="93"/>
      <c r="LS653" s="93"/>
      <c r="LT653" s="93"/>
      <c r="LU653" s="93"/>
      <c r="LV653" s="93"/>
      <c r="LW653" s="93"/>
      <c r="LX653" s="93"/>
      <c r="LY653" s="93"/>
      <c r="LZ653" s="93"/>
      <c r="MA653" s="20"/>
      <c r="MB653" s="29"/>
      <c r="MC653" s="1504">
        <v>54332</v>
      </c>
      <c r="MD653" s="19"/>
      <c r="ME653" s="93"/>
      <c r="MF653" s="93"/>
      <c r="MG653" s="93"/>
      <c r="MH653" s="93"/>
      <c r="MI653" s="93"/>
      <c r="MJ653" s="93"/>
      <c r="MK653" s="93"/>
      <c r="ML653" s="93"/>
      <c r="MM653" s="93"/>
      <c r="MN653" s="93"/>
      <c r="MO653" s="93"/>
      <c r="MP653" s="93"/>
      <c r="MQ653" s="93"/>
      <c r="MR653" s="93"/>
      <c r="MS653" s="93"/>
      <c r="MT653" s="93"/>
      <c r="MU653" s="93"/>
      <c r="MV653" s="93"/>
      <c r="MW653" s="93"/>
      <c r="MX653" s="93"/>
      <c r="MY653" s="93"/>
      <c r="MZ653" s="93"/>
      <c r="NA653" s="93"/>
      <c r="NB653" s="93"/>
      <c r="NC653" s="93"/>
      <c r="ND653" s="93"/>
      <c r="NE653" s="93"/>
      <c r="NF653" s="93"/>
      <c r="NG653" s="93"/>
      <c r="NH653" s="93"/>
      <c r="NI653" s="93"/>
      <c r="NJ653" s="93"/>
      <c r="NK653" s="93"/>
      <c r="NL653" s="93"/>
      <c r="NM653" s="93"/>
      <c r="NN653" s="93"/>
      <c r="NO653" s="93"/>
      <c r="NP653" s="93"/>
      <c r="NQ653" s="93"/>
      <c r="NR653" s="93"/>
      <c r="NS653" s="93"/>
      <c r="NT653" s="93"/>
      <c r="NU653" s="93"/>
      <c r="NV653" s="93"/>
      <c r="NW653" s="93"/>
      <c r="NX653" s="93"/>
      <c r="NY653" s="93"/>
      <c r="NZ653" s="93"/>
      <c r="OA653" s="93"/>
      <c r="OB653" s="93"/>
      <c r="OC653" s="93"/>
      <c r="OD653" s="20"/>
      <c r="OE653" s="29"/>
      <c r="OF653" s="1504">
        <v>54332</v>
      </c>
      <c r="OG653" s="19"/>
      <c r="OH653" s="93"/>
      <c r="OI653" s="93"/>
      <c r="OJ653" s="93"/>
      <c r="OK653" s="93"/>
      <c r="OL653" s="93"/>
      <c r="OM653" s="93"/>
      <c r="ON653" s="93"/>
      <c r="OO653" s="93"/>
      <c r="OP653" s="93"/>
      <c r="OQ653" s="93"/>
      <c r="OR653" s="93"/>
      <c r="OS653" s="93"/>
      <c r="OT653" s="93"/>
      <c r="OU653" s="93"/>
      <c r="OV653" s="93"/>
      <c r="OW653" s="93"/>
      <c r="OX653" s="93"/>
      <c r="OY653" s="93"/>
      <c r="OZ653" s="93"/>
      <c r="PA653" s="93"/>
      <c r="PB653" s="93"/>
      <c r="PC653" s="20"/>
      <c r="PD653" s="29"/>
      <c r="PE653" s="19"/>
      <c r="PF653" s="93"/>
      <c r="PG653" s="93"/>
      <c r="PH653" s="93"/>
      <c r="PI653" s="93"/>
      <c r="PJ653" s="93"/>
      <c r="PK653" s="93"/>
      <c r="PL653" s="93"/>
      <c r="PM653" s="93"/>
      <c r="PN653" s="93"/>
      <c r="PO653" s="93"/>
      <c r="PP653" s="93"/>
      <c r="PQ653" s="93"/>
      <c r="PR653" s="93"/>
      <c r="PS653" s="93"/>
      <c r="PT653" s="93"/>
      <c r="PU653" s="93"/>
      <c r="PV653" s="93"/>
      <c r="PW653" s="93"/>
      <c r="PX653" s="93"/>
      <c r="PY653" s="93"/>
      <c r="PZ653" s="93"/>
      <c r="QA653" s="93"/>
      <c r="QB653" s="93"/>
      <c r="QC653" s="93"/>
      <c r="QD653" s="93"/>
      <c r="QE653" s="20"/>
      <c r="QF653" s="1739"/>
      <c r="QG653" s="19"/>
      <c r="QH653" s="93"/>
      <c r="QI653" s="93"/>
      <c r="QJ653" s="93"/>
      <c r="QK653" s="93"/>
      <c r="QL653" s="93"/>
      <c r="QM653" s="93"/>
      <c r="QN653" s="93"/>
      <c r="QO653" s="93"/>
      <c r="QP653" s="93"/>
      <c r="QQ653" s="93"/>
      <c r="QR653" s="93"/>
      <c r="QS653" s="93"/>
      <c r="QT653" s="93"/>
      <c r="QU653" s="93"/>
      <c r="QV653" s="93"/>
      <c r="QW653" s="93"/>
      <c r="QX653" s="93"/>
      <c r="QY653" s="93"/>
      <c r="QZ653" s="93"/>
      <c r="RA653" s="93"/>
      <c r="RB653" s="93"/>
      <c r="RC653" s="93"/>
      <c r="RD653" s="93"/>
      <c r="RE653" s="93"/>
      <c r="RF653" s="93"/>
      <c r="RG653" s="93"/>
      <c r="RH653" s="93"/>
      <c r="RI653" s="93"/>
      <c r="RJ653" s="93"/>
      <c r="RK653" s="93"/>
      <c r="RL653" s="93"/>
      <c r="RM653" s="20"/>
      <c r="RN653" s="29"/>
      <c r="RO653" s="19"/>
      <c r="RP653" s="20"/>
      <c r="RQ653" s="29"/>
      <c r="RR653" s="20"/>
      <c r="RS653" s="29"/>
      <c r="RT653" s="1504">
        <v>54332</v>
      </c>
      <c r="RU653" s="19"/>
      <c r="RV653" s="20"/>
      <c r="RW653" s="29"/>
      <c r="RX653" s="1504">
        <v>54332</v>
      </c>
      <c r="RY653" s="29"/>
      <c r="RZ653" s="20"/>
      <c r="SA653" s="29"/>
      <c r="SB653" s="29"/>
    </row>
    <row r="654" spans="1:496">
      <c r="A654" s="41">
        <f t="shared" si="364"/>
        <v>2048</v>
      </c>
      <c r="B654" s="1504">
        <v>54363</v>
      </c>
      <c r="C654" s="1813"/>
      <c r="D654" s="1814"/>
      <c r="E654" s="1814"/>
      <c r="F654" s="1815"/>
      <c r="G654" s="1814"/>
      <c r="H654" s="1814"/>
      <c r="I654" s="1814"/>
      <c r="J654" s="1816"/>
      <c r="K654" s="1807"/>
      <c r="L654" s="25"/>
      <c r="M654" s="97"/>
      <c r="N654" s="1504">
        <v>54363</v>
      </c>
      <c r="O654" s="19"/>
      <c r="P654" s="93"/>
      <c r="Q654" s="93"/>
      <c r="R654" s="93"/>
      <c r="S654" s="93"/>
      <c r="T654" s="93"/>
      <c r="U654" s="93"/>
      <c r="V654" s="93"/>
      <c r="W654" s="93"/>
      <c r="X654" s="93"/>
      <c r="Y654" s="93"/>
      <c r="Z654" s="93"/>
      <c r="AA654" s="93"/>
      <c r="AB654" s="20"/>
      <c r="AC654" s="25"/>
      <c r="AD654" s="97"/>
      <c r="AE654" s="1504">
        <v>54363</v>
      </c>
      <c r="AF654" s="19"/>
      <c r="AG654" s="93"/>
      <c r="AH654" s="93"/>
      <c r="AI654" s="93"/>
      <c r="AJ654" s="93"/>
      <c r="AK654" s="93"/>
      <c r="AL654" s="93"/>
      <c r="AM654" s="93"/>
      <c r="AN654" s="93"/>
      <c r="AO654" s="93"/>
      <c r="AP654" s="93"/>
      <c r="AQ654" s="93"/>
      <c r="AR654" s="93"/>
      <c r="AS654" s="20"/>
      <c r="AT654" s="25"/>
      <c r="AU654" s="97"/>
      <c r="AV654" s="1504">
        <v>54363</v>
      </c>
      <c r="AW654" s="19"/>
      <c r="AX654" s="93"/>
      <c r="AY654" s="93"/>
      <c r="AZ654" s="93"/>
      <c r="BA654" s="93"/>
      <c r="BB654" s="93"/>
      <c r="BC654" s="93"/>
      <c r="BD654" s="93"/>
      <c r="BE654" s="93"/>
      <c r="BF654" s="93"/>
      <c r="BG654" s="93"/>
      <c r="BH654" s="93"/>
      <c r="BI654" s="93"/>
      <c r="BJ654" s="20"/>
      <c r="BK654" s="25"/>
      <c r="BL654" s="97"/>
      <c r="BM654" s="1504">
        <v>54363</v>
      </c>
      <c r="BN654" s="19"/>
      <c r="BO654" s="93"/>
      <c r="BP654" s="93"/>
      <c r="BQ654" s="93"/>
      <c r="BR654" s="93"/>
      <c r="BS654" s="93"/>
      <c r="BT654" s="93"/>
      <c r="BU654" s="20"/>
      <c r="BV654" s="25"/>
      <c r="BW654" s="97"/>
      <c r="BX654" s="1504">
        <v>54363</v>
      </c>
      <c r="BY654" s="19"/>
      <c r="BZ654" s="93"/>
      <c r="CA654" s="93"/>
      <c r="CB654" s="93"/>
      <c r="CC654" s="93"/>
      <c r="CD654" s="25"/>
      <c r="CE654" s="97"/>
      <c r="CF654" s="1504">
        <v>54363</v>
      </c>
      <c r="CG654" s="19"/>
      <c r="CH654" s="93"/>
      <c r="CI654" s="219"/>
      <c r="CJ654" s="20"/>
      <c r="CK654" s="19"/>
      <c r="CL654" s="93"/>
      <c r="CM654" s="93"/>
      <c r="CN654" s="93"/>
      <c r="CO654" s="93"/>
      <c r="CP654" s="20"/>
      <c r="CQ654" s="219"/>
      <c r="CR654" s="93"/>
      <c r="CS654" s="93"/>
      <c r="CT654" s="93"/>
      <c r="CU654" s="93"/>
      <c r="CV654" s="214"/>
      <c r="CW654" s="29"/>
      <c r="CX654" s="41">
        <f t="shared" si="365"/>
        <v>2048</v>
      </c>
      <c r="CY654" s="1504">
        <v>54363</v>
      </c>
      <c r="CZ654" s="19"/>
      <c r="DA654" s="93"/>
      <c r="DB654" s="93"/>
      <c r="DC654" s="93"/>
      <c r="DD654" s="93"/>
      <c r="DE654" s="20"/>
      <c r="DF654" s="29"/>
      <c r="DG654" s="1504">
        <v>54363</v>
      </c>
      <c r="DH654" s="19"/>
      <c r="DI654" s="93"/>
      <c r="DJ654" s="93"/>
      <c r="DK654" s="93"/>
      <c r="DL654" s="93"/>
      <c r="DM654" s="93"/>
      <c r="DN654" s="20"/>
      <c r="DO654" s="295"/>
      <c r="DP654" s="29"/>
      <c r="DQ654" s="1504">
        <v>54363</v>
      </c>
      <c r="DR654" s="19"/>
      <c r="DS654" s="93"/>
      <c r="DT654" s="93"/>
      <c r="DU654" s="93"/>
      <c r="DV654" s="93"/>
      <c r="DW654" s="93"/>
      <c r="DX654" s="20"/>
      <c r="DY654" s="29"/>
      <c r="DZ654" s="1504">
        <v>54363</v>
      </c>
      <c r="EA654" s="19"/>
      <c r="EB654" s="93"/>
      <c r="EC654" s="20"/>
      <c r="ED654" s="29"/>
      <c r="EE654" s="1504">
        <v>54363</v>
      </c>
      <c r="EF654" s="19"/>
      <c r="EG654" s="93"/>
      <c r="EH654" s="93"/>
      <c r="EI654" s="214"/>
      <c r="EJ654" s="93"/>
      <c r="EK654" s="93"/>
      <c r="EL654" s="93"/>
      <c r="EM654" s="93"/>
      <c r="EN654" s="20"/>
      <c r="EO654" s="29"/>
      <c r="EP654" s="1504">
        <v>54363</v>
      </c>
      <c r="EQ654" s="19"/>
      <c r="ER654" s="93"/>
      <c r="ES654" s="93"/>
      <c r="ET654" s="214"/>
      <c r="EU654" s="93"/>
      <c r="EV654" s="93"/>
      <c r="EW654" s="93"/>
      <c r="EX654" s="93"/>
      <c r="EY654" s="20"/>
      <c r="EZ654" s="29"/>
      <c r="FA654" s="1504">
        <v>54363</v>
      </c>
      <c r="FB654" s="29"/>
      <c r="FC654" s="29"/>
      <c r="FD654" s="29"/>
      <c r="FE654" s="29"/>
      <c r="FF654" s="29"/>
      <c r="FG654" s="29"/>
      <c r="FH654" s="29"/>
      <c r="FI654" s="29"/>
      <c r="FJ654" s="29"/>
      <c r="FK654" s="29"/>
      <c r="FL654" s="1504">
        <v>54363</v>
      </c>
      <c r="FM654" s="19"/>
      <c r="FN654" s="93"/>
      <c r="FO654" s="93"/>
      <c r="FP654" s="93"/>
      <c r="FQ654" s="93"/>
      <c r="FR654" s="93"/>
      <c r="FS654" s="93"/>
      <c r="FT654" s="93"/>
      <c r="FU654" s="93"/>
      <c r="FV654" s="93"/>
      <c r="FW654" s="93"/>
      <c r="FX654" s="93"/>
      <c r="FY654" s="93"/>
      <c r="FZ654" s="29"/>
      <c r="GA654" s="1504">
        <v>54363</v>
      </c>
      <c r="GB654" s="19"/>
      <c r="GC654" s="93"/>
      <c r="GD654" s="93"/>
      <c r="GE654" s="93"/>
      <c r="GF654" s="93"/>
      <c r="GG654" s="93"/>
      <c r="GH654" s="93"/>
      <c r="GI654" s="93"/>
      <c r="GJ654" s="93"/>
      <c r="GK654" s="93"/>
      <c r="GL654" s="93"/>
      <c r="GM654" s="93"/>
      <c r="GN654" s="20"/>
      <c r="GO654" s="29"/>
      <c r="GP654" s="1504">
        <v>54363</v>
      </c>
      <c r="GQ654" s="19"/>
      <c r="GR654" s="93"/>
      <c r="GS654" s="93"/>
      <c r="GT654" s="93"/>
      <c r="GU654" s="93"/>
      <c r="GV654" s="20"/>
      <c r="GW654" s="19"/>
      <c r="GX654" s="93"/>
      <c r="GY654" s="93"/>
      <c r="GZ654" s="93"/>
      <c r="HA654" s="93"/>
      <c r="HB654" s="20"/>
      <c r="HC654" s="19"/>
      <c r="HD654" s="93"/>
      <c r="HE654" s="93"/>
      <c r="HF654" s="93"/>
      <c r="HG654" s="93"/>
      <c r="HH654" s="20"/>
      <c r="HI654" s="19"/>
      <c r="HJ654" s="93"/>
      <c r="HK654" s="93"/>
      <c r="HL654" s="93"/>
      <c r="HM654" s="93"/>
      <c r="HN654" s="20"/>
      <c r="HO654" s="219"/>
      <c r="HP654" s="20"/>
      <c r="HQ654" s="25"/>
      <c r="HR654" s="29"/>
      <c r="HS654" s="1504">
        <v>54363</v>
      </c>
      <c r="HT654" s="19"/>
      <c r="HU654" s="93"/>
      <c r="HV654" s="93"/>
      <c r="HW654" s="93"/>
      <c r="HX654" s="93"/>
      <c r="HY654" s="93"/>
      <c r="HZ654" s="93"/>
      <c r="IA654" s="20"/>
      <c r="IB654" s="19"/>
      <c r="IC654" s="93"/>
      <c r="ID654" s="93"/>
      <c r="IE654" s="93"/>
      <c r="IF654" s="93"/>
      <c r="IG654" s="20"/>
      <c r="IH654" s="19"/>
      <c r="II654" s="93"/>
      <c r="IJ654" s="93"/>
      <c r="IK654" s="93"/>
      <c r="IL654" s="93"/>
      <c r="IM654" s="93"/>
      <c r="IN654" s="93"/>
      <c r="IO654" s="20"/>
      <c r="IP654" s="29"/>
      <c r="IQ654" s="19"/>
      <c r="IR654" s="93"/>
      <c r="IS654" s="93"/>
      <c r="IT654" s="93"/>
      <c r="IU654" s="93"/>
      <c r="IV654" s="20"/>
      <c r="IW654" s="29"/>
      <c r="IX654" s="19"/>
      <c r="IY654" s="93"/>
      <c r="IZ654" s="93"/>
      <c r="JA654" s="93"/>
      <c r="JB654" s="93"/>
      <c r="JC654" s="93"/>
      <c r="JD654" s="93"/>
      <c r="JE654" s="20"/>
      <c r="JF654" s="29"/>
      <c r="JG654" s="19"/>
      <c r="JH654" s="93"/>
      <c r="JI654" s="93"/>
      <c r="JJ654" s="93"/>
      <c r="JK654" s="93"/>
      <c r="JL654" s="93"/>
      <c r="JM654" s="93"/>
      <c r="JN654" s="20"/>
      <c r="JO654" s="29"/>
      <c r="JP654" s="19"/>
      <c r="JQ654" s="93"/>
      <c r="JR654" s="93"/>
      <c r="JS654" s="93"/>
      <c r="JT654" s="93"/>
      <c r="JU654" s="20"/>
      <c r="JV654" s="29"/>
      <c r="JW654" s="1504">
        <v>54363</v>
      </c>
      <c r="JX654" s="19"/>
      <c r="JY654" s="93"/>
      <c r="JZ654" s="93"/>
      <c r="KA654" s="93"/>
      <c r="KB654" s="93"/>
      <c r="KC654" s="93"/>
      <c r="KD654" s="20"/>
      <c r="KE654" s="29"/>
      <c r="KF654" s="19"/>
      <c r="KG654" s="93"/>
      <c r="KH654" s="93"/>
      <c r="KI654" s="93"/>
      <c r="KJ654" s="93"/>
      <c r="KK654" s="20"/>
      <c r="KL654" s="29"/>
      <c r="KM654" s="19"/>
      <c r="KN654" s="93"/>
      <c r="KO654" s="93"/>
      <c r="KP654" s="93"/>
      <c r="KQ654" s="93"/>
      <c r="KR654" s="20"/>
      <c r="KS654" s="29"/>
      <c r="KT654" s="19"/>
      <c r="KU654" s="93"/>
      <c r="KV654" s="93"/>
      <c r="KW654" s="93"/>
      <c r="KX654" s="93"/>
      <c r="KY654" s="20"/>
      <c r="KZ654" s="29"/>
      <c r="LA654" s="1504">
        <v>54363</v>
      </c>
      <c r="LB654" s="19"/>
      <c r="LC654" s="93"/>
      <c r="LD654" s="93"/>
      <c r="LE654" s="93"/>
      <c r="LF654" s="93"/>
      <c r="LG654" s="93"/>
      <c r="LH654" s="20"/>
      <c r="LI654" s="29"/>
      <c r="LJ654" s="19"/>
      <c r="LK654" s="93"/>
      <c r="LL654" s="93"/>
      <c r="LM654" s="93"/>
      <c r="LN654" s="93"/>
      <c r="LO654" s="20"/>
      <c r="LP654" s="29"/>
      <c r="LQ654" s="19"/>
      <c r="LR654" s="93"/>
      <c r="LS654" s="93"/>
      <c r="LT654" s="93"/>
      <c r="LU654" s="93"/>
      <c r="LV654" s="93"/>
      <c r="LW654" s="93"/>
      <c r="LX654" s="93"/>
      <c r="LY654" s="93"/>
      <c r="LZ654" s="93"/>
      <c r="MA654" s="20"/>
      <c r="MB654" s="29"/>
      <c r="MC654" s="1504">
        <v>54363</v>
      </c>
      <c r="MD654" s="19"/>
      <c r="ME654" s="93"/>
      <c r="MF654" s="93"/>
      <c r="MG654" s="93"/>
      <c r="MH654" s="93"/>
      <c r="MI654" s="93"/>
      <c r="MJ654" s="93"/>
      <c r="MK654" s="93"/>
      <c r="ML654" s="93"/>
      <c r="MM654" s="93"/>
      <c r="MN654" s="93"/>
      <c r="MO654" s="93"/>
      <c r="MP654" s="93"/>
      <c r="MQ654" s="93"/>
      <c r="MR654" s="93"/>
      <c r="MS654" s="93"/>
      <c r="MT654" s="93"/>
      <c r="MU654" s="93"/>
      <c r="MV654" s="93"/>
      <c r="MW654" s="93"/>
      <c r="MX654" s="93"/>
      <c r="MY654" s="93"/>
      <c r="MZ654" s="93"/>
      <c r="NA654" s="93"/>
      <c r="NB654" s="93"/>
      <c r="NC654" s="93"/>
      <c r="ND654" s="93"/>
      <c r="NE654" s="93"/>
      <c r="NF654" s="93"/>
      <c r="NG654" s="93"/>
      <c r="NH654" s="93"/>
      <c r="NI654" s="93"/>
      <c r="NJ654" s="93"/>
      <c r="NK654" s="93"/>
      <c r="NL654" s="93"/>
      <c r="NM654" s="93"/>
      <c r="NN654" s="93"/>
      <c r="NO654" s="93"/>
      <c r="NP654" s="93"/>
      <c r="NQ654" s="93"/>
      <c r="NR654" s="93"/>
      <c r="NS654" s="93"/>
      <c r="NT654" s="93"/>
      <c r="NU654" s="93"/>
      <c r="NV654" s="93"/>
      <c r="NW654" s="93"/>
      <c r="NX654" s="93"/>
      <c r="NY654" s="93"/>
      <c r="NZ654" s="93"/>
      <c r="OA654" s="93"/>
      <c r="OB654" s="93"/>
      <c r="OC654" s="93"/>
      <c r="OD654" s="20"/>
      <c r="OE654" s="29"/>
      <c r="OF654" s="1504">
        <v>54363</v>
      </c>
      <c r="OG654" s="19"/>
      <c r="OH654" s="93"/>
      <c r="OI654" s="93"/>
      <c r="OJ654" s="93"/>
      <c r="OK654" s="93"/>
      <c r="OL654" s="93"/>
      <c r="OM654" s="93"/>
      <c r="ON654" s="93"/>
      <c r="OO654" s="93"/>
      <c r="OP654" s="93"/>
      <c r="OQ654" s="93"/>
      <c r="OR654" s="93"/>
      <c r="OS654" s="93"/>
      <c r="OT654" s="93"/>
      <c r="OU654" s="93"/>
      <c r="OV654" s="93"/>
      <c r="OW654" s="93"/>
      <c r="OX654" s="93"/>
      <c r="OY654" s="93"/>
      <c r="OZ654" s="93"/>
      <c r="PA654" s="93"/>
      <c r="PB654" s="93"/>
      <c r="PC654" s="20"/>
      <c r="PD654" s="29"/>
      <c r="PE654" s="19"/>
      <c r="PF654" s="93"/>
      <c r="PG654" s="93"/>
      <c r="PH654" s="93"/>
      <c r="PI654" s="93"/>
      <c r="PJ654" s="93"/>
      <c r="PK654" s="93"/>
      <c r="PL654" s="93"/>
      <c r="PM654" s="93"/>
      <c r="PN654" s="93"/>
      <c r="PO654" s="93"/>
      <c r="PP654" s="93"/>
      <c r="PQ654" s="93"/>
      <c r="PR654" s="93"/>
      <c r="PS654" s="93"/>
      <c r="PT654" s="93"/>
      <c r="PU654" s="93"/>
      <c r="PV654" s="93"/>
      <c r="PW654" s="93"/>
      <c r="PX654" s="93"/>
      <c r="PY654" s="93"/>
      <c r="PZ654" s="93"/>
      <c r="QA654" s="93"/>
      <c r="QB654" s="93"/>
      <c r="QC654" s="93"/>
      <c r="QD654" s="93"/>
      <c r="QE654" s="20"/>
      <c r="QF654" s="1739"/>
      <c r="QG654" s="19"/>
      <c r="QH654" s="93"/>
      <c r="QI654" s="93"/>
      <c r="QJ654" s="93"/>
      <c r="QK654" s="93"/>
      <c r="QL654" s="93"/>
      <c r="QM654" s="93"/>
      <c r="QN654" s="93"/>
      <c r="QO654" s="93"/>
      <c r="QP654" s="93"/>
      <c r="QQ654" s="93"/>
      <c r="QR654" s="93"/>
      <c r="QS654" s="93"/>
      <c r="QT654" s="93"/>
      <c r="QU654" s="93"/>
      <c r="QV654" s="93"/>
      <c r="QW654" s="93"/>
      <c r="QX654" s="93"/>
      <c r="QY654" s="93"/>
      <c r="QZ654" s="93"/>
      <c r="RA654" s="93"/>
      <c r="RB654" s="93"/>
      <c r="RC654" s="93"/>
      <c r="RD654" s="93"/>
      <c r="RE654" s="93"/>
      <c r="RF654" s="93"/>
      <c r="RG654" s="93"/>
      <c r="RH654" s="93"/>
      <c r="RI654" s="93"/>
      <c r="RJ654" s="93"/>
      <c r="RK654" s="93"/>
      <c r="RL654" s="93"/>
      <c r="RM654" s="20"/>
      <c r="RN654" s="29"/>
      <c r="RO654" s="19"/>
      <c r="RP654" s="20"/>
      <c r="RQ654" s="29"/>
      <c r="RR654" s="20"/>
      <c r="RS654" s="29"/>
      <c r="RT654" s="1504">
        <v>54363</v>
      </c>
      <c r="RU654" s="19"/>
      <c r="RV654" s="20"/>
      <c r="RW654" s="29"/>
      <c r="RX654" s="1504">
        <v>54363</v>
      </c>
      <c r="RY654" s="29"/>
      <c r="RZ654" s="20"/>
      <c r="SA654" s="29"/>
      <c r="SB654" s="29"/>
    </row>
    <row r="655" spans="1:496">
      <c r="A655" s="41">
        <f t="shared" si="364"/>
        <v>2048</v>
      </c>
      <c r="B655" s="1504">
        <v>54393</v>
      </c>
      <c r="C655" s="1813"/>
      <c r="D655" s="1814"/>
      <c r="E655" s="1814"/>
      <c r="F655" s="1815"/>
      <c r="G655" s="1814"/>
      <c r="H655" s="1814"/>
      <c r="I655" s="1814"/>
      <c r="J655" s="1816"/>
      <c r="K655" s="1807"/>
      <c r="L655" s="25"/>
      <c r="M655" s="97"/>
      <c r="N655" s="1504">
        <v>54393</v>
      </c>
      <c r="O655" s="19"/>
      <c r="P655" s="93"/>
      <c r="Q655" s="93"/>
      <c r="R655" s="93"/>
      <c r="S655" s="93"/>
      <c r="T655" s="93"/>
      <c r="U655" s="93"/>
      <c r="V655" s="93"/>
      <c r="W655" s="93"/>
      <c r="X655" s="93"/>
      <c r="Y655" s="93"/>
      <c r="Z655" s="93"/>
      <c r="AA655" s="93"/>
      <c r="AB655" s="20"/>
      <c r="AC655" s="25"/>
      <c r="AD655" s="97"/>
      <c r="AE655" s="1504">
        <v>54393</v>
      </c>
      <c r="AF655" s="19"/>
      <c r="AG655" s="93"/>
      <c r="AH655" s="93"/>
      <c r="AI655" s="93"/>
      <c r="AJ655" s="93"/>
      <c r="AK655" s="93"/>
      <c r="AL655" s="93"/>
      <c r="AM655" s="93"/>
      <c r="AN655" s="93"/>
      <c r="AO655" s="93"/>
      <c r="AP655" s="93"/>
      <c r="AQ655" s="93"/>
      <c r="AR655" s="93"/>
      <c r="AS655" s="20"/>
      <c r="AT655" s="25"/>
      <c r="AU655" s="97"/>
      <c r="AV655" s="1504">
        <v>54393</v>
      </c>
      <c r="AW655" s="19"/>
      <c r="AX655" s="93"/>
      <c r="AY655" s="93"/>
      <c r="AZ655" s="93"/>
      <c r="BA655" s="93"/>
      <c r="BB655" s="93"/>
      <c r="BC655" s="93"/>
      <c r="BD655" s="93"/>
      <c r="BE655" s="93"/>
      <c r="BF655" s="93"/>
      <c r="BG655" s="93"/>
      <c r="BH655" s="93"/>
      <c r="BI655" s="93"/>
      <c r="BJ655" s="20"/>
      <c r="BK655" s="25"/>
      <c r="BL655" s="97"/>
      <c r="BM655" s="1504">
        <v>54393</v>
      </c>
      <c r="BN655" s="19"/>
      <c r="BO655" s="93"/>
      <c r="BP655" s="93"/>
      <c r="BQ655" s="93"/>
      <c r="BR655" s="93"/>
      <c r="BS655" s="93"/>
      <c r="BT655" s="93"/>
      <c r="BU655" s="20"/>
      <c r="BV655" s="25"/>
      <c r="BW655" s="97"/>
      <c r="BX655" s="1504">
        <v>54393</v>
      </c>
      <c r="BY655" s="19"/>
      <c r="BZ655" s="93"/>
      <c r="CA655" s="93"/>
      <c r="CB655" s="93"/>
      <c r="CC655" s="93"/>
      <c r="CD655" s="25"/>
      <c r="CE655" s="97"/>
      <c r="CF655" s="1504">
        <v>54393</v>
      </c>
      <c r="CG655" s="19"/>
      <c r="CH655" s="93"/>
      <c r="CI655" s="219"/>
      <c r="CJ655" s="20"/>
      <c r="CK655" s="19"/>
      <c r="CL655" s="93"/>
      <c r="CM655" s="93"/>
      <c r="CN655" s="93"/>
      <c r="CO655" s="93"/>
      <c r="CP655" s="20"/>
      <c r="CQ655" s="219"/>
      <c r="CR655" s="93"/>
      <c r="CS655" s="93"/>
      <c r="CT655" s="93"/>
      <c r="CU655" s="93"/>
      <c r="CV655" s="214"/>
      <c r="CW655" s="29"/>
      <c r="CX655" s="41">
        <f t="shared" si="365"/>
        <v>2048</v>
      </c>
      <c r="CY655" s="1504">
        <v>54393</v>
      </c>
      <c r="CZ655" s="19"/>
      <c r="DA655" s="93"/>
      <c r="DB655" s="93"/>
      <c r="DC655" s="93"/>
      <c r="DD655" s="93"/>
      <c r="DE655" s="20"/>
      <c r="DF655" s="29"/>
      <c r="DG655" s="1504">
        <v>54393</v>
      </c>
      <c r="DH655" s="19"/>
      <c r="DI655" s="93"/>
      <c r="DJ655" s="93"/>
      <c r="DK655" s="93"/>
      <c r="DL655" s="93"/>
      <c r="DM655" s="93"/>
      <c r="DN655" s="20"/>
      <c r="DO655" s="295"/>
      <c r="DP655" s="29"/>
      <c r="DQ655" s="1504">
        <v>54393</v>
      </c>
      <c r="DR655" s="19"/>
      <c r="DS655" s="93"/>
      <c r="DT655" s="93"/>
      <c r="DU655" s="93"/>
      <c r="DV655" s="93"/>
      <c r="DW655" s="93"/>
      <c r="DX655" s="20"/>
      <c r="DY655" s="29"/>
      <c r="DZ655" s="1504">
        <v>54393</v>
      </c>
      <c r="EA655" s="19"/>
      <c r="EB655" s="93"/>
      <c r="EC655" s="20"/>
      <c r="ED655" s="29"/>
      <c r="EE655" s="1504">
        <v>54393</v>
      </c>
      <c r="EF655" s="19"/>
      <c r="EG655" s="93"/>
      <c r="EH655" s="93"/>
      <c r="EI655" s="214"/>
      <c r="EJ655" s="93"/>
      <c r="EK655" s="93"/>
      <c r="EL655" s="93"/>
      <c r="EM655" s="93"/>
      <c r="EN655" s="20"/>
      <c r="EO655" s="29"/>
      <c r="EP655" s="1504">
        <v>54393</v>
      </c>
      <c r="EQ655" s="19"/>
      <c r="ER655" s="93"/>
      <c r="ES655" s="93"/>
      <c r="ET655" s="214"/>
      <c r="EU655" s="93"/>
      <c r="EV655" s="93"/>
      <c r="EW655" s="93"/>
      <c r="EX655" s="93"/>
      <c r="EY655" s="20"/>
      <c r="EZ655" s="29"/>
      <c r="FA655" s="1504">
        <v>54393</v>
      </c>
      <c r="FB655" s="29"/>
      <c r="FC655" s="29"/>
      <c r="FD655" s="29"/>
      <c r="FE655" s="29"/>
      <c r="FF655" s="29"/>
      <c r="FG655" s="29"/>
      <c r="FH655" s="29"/>
      <c r="FI655" s="29"/>
      <c r="FJ655" s="29"/>
      <c r="FK655" s="29"/>
      <c r="FL655" s="1504">
        <v>54393</v>
      </c>
      <c r="FM655" s="19"/>
      <c r="FN655" s="93"/>
      <c r="FO655" s="93"/>
      <c r="FP655" s="93"/>
      <c r="FQ655" s="93"/>
      <c r="FR655" s="93"/>
      <c r="FS655" s="93"/>
      <c r="FT655" s="93"/>
      <c r="FU655" s="93"/>
      <c r="FV655" s="93"/>
      <c r="FW655" s="93"/>
      <c r="FX655" s="93"/>
      <c r="FY655" s="93"/>
      <c r="FZ655" s="29"/>
      <c r="GA655" s="1504">
        <v>54393</v>
      </c>
      <c r="GB655" s="19"/>
      <c r="GC655" s="93"/>
      <c r="GD655" s="93"/>
      <c r="GE655" s="93"/>
      <c r="GF655" s="93"/>
      <c r="GG655" s="93"/>
      <c r="GH655" s="93"/>
      <c r="GI655" s="93"/>
      <c r="GJ655" s="93"/>
      <c r="GK655" s="93"/>
      <c r="GL655" s="93"/>
      <c r="GM655" s="93"/>
      <c r="GN655" s="20"/>
      <c r="GO655" s="29"/>
      <c r="GP655" s="1504">
        <v>54393</v>
      </c>
      <c r="GQ655" s="19"/>
      <c r="GR655" s="93"/>
      <c r="GS655" s="93"/>
      <c r="GT655" s="93"/>
      <c r="GU655" s="93"/>
      <c r="GV655" s="20"/>
      <c r="GW655" s="19"/>
      <c r="GX655" s="93"/>
      <c r="GY655" s="93"/>
      <c r="GZ655" s="93"/>
      <c r="HA655" s="93"/>
      <c r="HB655" s="20"/>
      <c r="HC655" s="19"/>
      <c r="HD655" s="93"/>
      <c r="HE655" s="93"/>
      <c r="HF655" s="93"/>
      <c r="HG655" s="93"/>
      <c r="HH655" s="20"/>
      <c r="HI655" s="19"/>
      <c r="HJ655" s="93"/>
      <c r="HK655" s="93"/>
      <c r="HL655" s="93"/>
      <c r="HM655" s="93"/>
      <c r="HN655" s="20"/>
      <c r="HO655" s="219"/>
      <c r="HP655" s="20"/>
      <c r="HQ655" s="25"/>
      <c r="HR655" s="29"/>
      <c r="HS655" s="1504">
        <v>54393</v>
      </c>
      <c r="HT655" s="19"/>
      <c r="HU655" s="93"/>
      <c r="HV655" s="93"/>
      <c r="HW655" s="93"/>
      <c r="HX655" s="93"/>
      <c r="HY655" s="93"/>
      <c r="HZ655" s="93"/>
      <c r="IA655" s="20"/>
      <c r="IB655" s="19"/>
      <c r="IC655" s="93"/>
      <c r="ID655" s="93"/>
      <c r="IE655" s="93"/>
      <c r="IF655" s="93"/>
      <c r="IG655" s="20"/>
      <c r="IH655" s="19"/>
      <c r="II655" s="93"/>
      <c r="IJ655" s="93"/>
      <c r="IK655" s="93"/>
      <c r="IL655" s="93"/>
      <c r="IM655" s="93"/>
      <c r="IN655" s="93"/>
      <c r="IO655" s="20"/>
      <c r="IP655" s="29"/>
      <c r="IQ655" s="19"/>
      <c r="IR655" s="93"/>
      <c r="IS655" s="93"/>
      <c r="IT655" s="93"/>
      <c r="IU655" s="93"/>
      <c r="IV655" s="20"/>
      <c r="IW655" s="29"/>
      <c r="IX655" s="19"/>
      <c r="IY655" s="93"/>
      <c r="IZ655" s="93"/>
      <c r="JA655" s="93"/>
      <c r="JB655" s="93"/>
      <c r="JC655" s="93"/>
      <c r="JD655" s="93"/>
      <c r="JE655" s="20"/>
      <c r="JF655" s="29"/>
      <c r="JG655" s="19"/>
      <c r="JH655" s="93"/>
      <c r="JI655" s="93"/>
      <c r="JJ655" s="93"/>
      <c r="JK655" s="93"/>
      <c r="JL655" s="93"/>
      <c r="JM655" s="93"/>
      <c r="JN655" s="20"/>
      <c r="JO655" s="29"/>
      <c r="JP655" s="19"/>
      <c r="JQ655" s="93"/>
      <c r="JR655" s="93"/>
      <c r="JS655" s="93"/>
      <c r="JT655" s="93"/>
      <c r="JU655" s="20"/>
      <c r="JV655" s="29"/>
      <c r="JW655" s="1504">
        <v>54393</v>
      </c>
      <c r="JX655" s="19"/>
      <c r="JY655" s="93"/>
      <c r="JZ655" s="93"/>
      <c r="KA655" s="93"/>
      <c r="KB655" s="93"/>
      <c r="KC655" s="93"/>
      <c r="KD655" s="20"/>
      <c r="KE655" s="29"/>
      <c r="KF655" s="19"/>
      <c r="KG655" s="93"/>
      <c r="KH655" s="93"/>
      <c r="KI655" s="93"/>
      <c r="KJ655" s="93"/>
      <c r="KK655" s="20"/>
      <c r="KL655" s="29"/>
      <c r="KM655" s="19"/>
      <c r="KN655" s="93"/>
      <c r="KO655" s="93"/>
      <c r="KP655" s="93"/>
      <c r="KQ655" s="93"/>
      <c r="KR655" s="20"/>
      <c r="KS655" s="29"/>
      <c r="KT655" s="19"/>
      <c r="KU655" s="93"/>
      <c r="KV655" s="93"/>
      <c r="KW655" s="93"/>
      <c r="KX655" s="93"/>
      <c r="KY655" s="20"/>
      <c r="KZ655" s="29"/>
      <c r="LA655" s="1504">
        <v>54393</v>
      </c>
      <c r="LB655" s="19"/>
      <c r="LC655" s="93"/>
      <c r="LD655" s="93"/>
      <c r="LE655" s="93"/>
      <c r="LF655" s="93"/>
      <c r="LG655" s="93"/>
      <c r="LH655" s="20"/>
      <c r="LI655" s="29"/>
      <c r="LJ655" s="19"/>
      <c r="LK655" s="93"/>
      <c r="LL655" s="93"/>
      <c r="LM655" s="93"/>
      <c r="LN655" s="93"/>
      <c r="LO655" s="20"/>
      <c r="LP655" s="29"/>
      <c r="LQ655" s="19"/>
      <c r="LR655" s="93"/>
      <c r="LS655" s="93"/>
      <c r="LT655" s="93"/>
      <c r="LU655" s="93"/>
      <c r="LV655" s="93"/>
      <c r="LW655" s="93"/>
      <c r="LX655" s="93"/>
      <c r="LY655" s="93"/>
      <c r="LZ655" s="93"/>
      <c r="MA655" s="20"/>
      <c r="MB655" s="29"/>
      <c r="MC655" s="1504">
        <v>54393</v>
      </c>
      <c r="MD655" s="19"/>
      <c r="ME655" s="93"/>
      <c r="MF655" s="93"/>
      <c r="MG655" s="93"/>
      <c r="MH655" s="93"/>
      <c r="MI655" s="93"/>
      <c r="MJ655" s="93"/>
      <c r="MK655" s="93"/>
      <c r="ML655" s="93"/>
      <c r="MM655" s="93"/>
      <c r="MN655" s="93"/>
      <c r="MO655" s="93"/>
      <c r="MP655" s="93"/>
      <c r="MQ655" s="93"/>
      <c r="MR655" s="93"/>
      <c r="MS655" s="93"/>
      <c r="MT655" s="93"/>
      <c r="MU655" s="93"/>
      <c r="MV655" s="93"/>
      <c r="MW655" s="93"/>
      <c r="MX655" s="93"/>
      <c r="MY655" s="93"/>
      <c r="MZ655" s="93"/>
      <c r="NA655" s="93"/>
      <c r="NB655" s="93"/>
      <c r="NC655" s="93"/>
      <c r="ND655" s="93"/>
      <c r="NE655" s="93"/>
      <c r="NF655" s="93"/>
      <c r="NG655" s="93"/>
      <c r="NH655" s="93"/>
      <c r="NI655" s="93"/>
      <c r="NJ655" s="93"/>
      <c r="NK655" s="93"/>
      <c r="NL655" s="93"/>
      <c r="NM655" s="93"/>
      <c r="NN655" s="93"/>
      <c r="NO655" s="93"/>
      <c r="NP655" s="93"/>
      <c r="NQ655" s="93"/>
      <c r="NR655" s="93"/>
      <c r="NS655" s="93"/>
      <c r="NT655" s="93"/>
      <c r="NU655" s="93"/>
      <c r="NV655" s="93"/>
      <c r="NW655" s="93"/>
      <c r="NX655" s="93"/>
      <c r="NY655" s="93"/>
      <c r="NZ655" s="93"/>
      <c r="OA655" s="93"/>
      <c r="OB655" s="93"/>
      <c r="OC655" s="93"/>
      <c r="OD655" s="20"/>
      <c r="OE655" s="29"/>
      <c r="OF655" s="1504">
        <v>54393</v>
      </c>
      <c r="OG655" s="19"/>
      <c r="OH655" s="93"/>
      <c r="OI655" s="93"/>
      <c r="OJ655" s="93"/>
      <c r="OK655" s="93"/>
      <c r="OL655" s="93"/>
      <c r="OM655" s="93"/>
      <c r="ON655" s="93"/>
      <c r="OO655" s="93"/>
      <c r="OP655" s="93"/>
      <c r="OQ655" s="93"/>
      <c r="OR655" s="93"/>
      <c r="OS655" s="93"/>
      <c r="OT655" s="93"/>
      <c r="OU655" s="93"/>
      <c r="OV655" s="93"/>
      <c r="OW655" s="93"/>
      <c r="OX655" s="93"/>
      <c r="OY655" s="93"/>
      <c r="OZ655" s="93"/>
      <c r="PA655" s="93"/>
      <c r="PB655" s="93"/>
      <c r="PC655" s="20"/>
      <c r="PD655" s="29"/>
      <c r="PE655" s="19"/>
      <c r="PF655" s="93"/>
      <c r="PG655" s="93"/>
      <c r="PH655" s="93"/>
      <c r="PI655" s="93"/>
      <c r="PJ655" s="93"/>
      <c r="PK655" s="93"/>
      <c r="PL655" s="93"/>
      <c r="PM655" s="93"/>
      <c r="PN655" s="93"/>
      <c r="PO655" s="93"/>
      <c r="PP655" s="93"/>
      <c r="PQ655" s="93"/>
      <c r="PR655" s="93"/>
      <c r="PS655" s="93"/>
      <c r="PT655" s="93"/>
      <c r="PU655" s="93"/>
      <c r="PV655" s="93"/>
      <c r="PW655" s="93"/>
      <c r="PX655" s="93"/>
      <c r="PY655" s="93"/>
      <c r="PZ655" s="93"/>
      <c r="QA655" s="93"/>
      <c r="QB655" s="93"/>
      <c r="QC655" s="93"/>
      <c r="QD655" s="93"/>
      <c r="QE655" s="20"/>
      <c r="QF655" s="1739"/>
      <c r="QG655" s="19"/>
      <c r="QH655" s="93"/>
      <c r="QI655" s="93"/>
      <c r="QJ655" s="93"/>
      <c r="QK655" s="93"/>
      <c r="QL655" s="93"/>
      <c r="QM655" s="93"/>
      <c r="QN655" s="93"/>
      <c r="QO655" s="93"/>
      <c r="QP655" s="93"/>
      <c r="QQ655" s="93"/>
      <c r="QR655" s="93"/>
      <c r="QS655" s="93"/>
      <c r="QT655" s="93"/>
      <c r="QU655" s="93"/>
      <c r="QV655" s="93"/>
      <c r="QW655" s="93"/>
      <c r="QX655" s="93"/>
      <c r="QY655" s="93"/>
      <c r="QZ655" s="93"/>
      <c r="RA655" s="93"/>
      <c r="RB655" s="93"/>
      <c r="RC655" s="93"/>
      <c r="RD655" s="93"/>
      <c r="RE655" s="93"/>
      <c r="RF655" s="93"/>
      <c r="RG655" s="93"/>
      <c r="RH655" s="93"/>
      <c r="RI655" s="93"/>
      <c r="RJ655" s="93"/>
      <c r="RK655" s="93"/>
      <c r="RL655" s="93"/>
      <c r="RM655" s="20"/>
      <c r="RN655" s="29"/>
      <c r="RO655" s="19"/>
      <c r="RP655" s="20"/>
      <c r="RQ655" s="29"/>
      <c r="RR655" s="20"/>
      <c r="RS655" s="29"/>
      <c r="RT655" s="1504">
        <v>54393</v>
      </c>
      <c r="RU655" s="19"/>
      <c r="RV655" s="20"/>
      <c r="RW655" s="29"/>
      <c r="RX655" s="1504">
        <v>54393</v>
      </c>
      <c r="RY655" s="29"/>
      <c r="RZ655" s="20"/>
      <c r="SA655" s="29"/>
      <c r="SB655" s="29"/>
    </row>
    <row r="656" spans="1:496">
      <c r="A656" s="41">
        <f t="shared" si="364"/>
        <v>2049</v>
      </c>
      <c r="B656" s="1504">
        <v>54424</v>
      </c>
      <c r="C656" s="1813"/>
      <c r="D656" s="1814"/>
      <c r="E656" s="1814"/>
      <c r="F656" s="1815"/>
      <c r="G656" s="1814"/>
      <c r="H656" s="1814"/>
      <c r="I656" s="1814"/>
      <c r="J656" s="1816"/>
      <c r="K656" s="1807"/>
      <c r="L656" s="25"/>
      <c r="M656" s="97"/>
      <c r="N656" s="1504">
        <v>54424</v>
      </c>
      <c r="O656" s="19"/>
      <c r="P656" s="93"/>
      <c r="Q656" s="93"/>
      <c r="R656" s="93"/>
      <c r="S656" s="93"/>
      <c r="T656" s="93"/>
      <c r="U656" s="93"/>
      <c r="V656" s="93"/>
      <c r="W656" s="93"/>
      <c r="X656" s="93"/>
      <c r="Y656" s="93"/>
      <c r="Z656" s="93"/>
      <c r="AA656" s="93"/>
      <c r="AB656" s="20"/>
      <c r="AC656" s="25"/>
      <c r="AD656" s="97"/>
      <c r="AE656" s="1504">
        <v>54424</v>
      </c>
      <c r="AF656" s="19"/>
      <c r="AG656" s="93"/>
      <c r="AH656" s="93"/>
      <c r="AI656" s="93"/>
      <c r="AJ656" s="93"/>
      <c r="AK656" s="93"/>
      <c r="AL656" s="93"/>
      <c r="AM656" s="93"/>
      <c r="AN656" s="93"/>
      <c r="AO656" s="93"/>
      <c r="AP656" s="93"/>
      <c r="AQ656" s="93"/>
      <c r="AR656" s="93"/>
      <c r="AS656" s="20"/>
      <c r="AT656" s="25"/>
      <c r="AU656" s="97"/>
      <c r="AV656" s="1504">
        <v>54424</v>
      </c>
      <c r="AW656" s="19"/>
      <c r="AX656" s="93"/>
      <c r="AY656" s="93"/>
      <c r="AZ656" s="93"/>
      <c r="BA656" s="93"/>
      <c r="BB656" s="93"/>
      <c r="BC656" s="93"/>
      <c r="BD656" s="93"/>
      <c r="BE656" s="93"/>
      <c r="BF656" s="93"/>
      <c r="BG656" s="93"/>
      <c r="BH656" s="93"/>
      <c r="BI656" s="93"/>
      <c r="BJ656" s="20"/>
      <c r="BK656" s="25"/>
      <c r="BL656" s="97"/>
      <c r="BM656" s="1504">
        <v>54424</v>
      </c>
      <c r="BN656" s="19"/>
      <c r="BO656" s="93"/>
      <c r="BP656" s="93"/>
      <c r="BQ656" s="93"/>
      <c r="BR656" s="93"/>
      <c r="BS656" s="93"/>
      <c r="BT656" s="93"/>
      <c r="BU656" s="20"/>
      <c r="BV656" s="25"/>
      <c r="BW656" s="97"/>
      <c r="BX656" s="1504">
        <v>54424</v>
      </c>
      <c r="BY656" s="19"/>
      <c r="BZ656" s="93"/>
      <c r="CA656" s="93"/>
      <c r="CB656" s="93"/>
      <c r="CC656" s="93"/>
      <c r="CD656" s="25"/>
      <c r="CE656" s="97"/>
      <c r="CF656" s="1504">
        <v>54424</v>
      </c>
      <c r="CG656" s="19"/>
      <c r="CH656" s="93"/>
      <c r="CI656" s="219"/>
      <c r="CJ656" s="20"/>
      <c r="CK656" s="19"/>
      <c r="CL656" s="93"/>
      <c r="CM656" s="93"/>
      <c r="CN656" s="93"/>
      <c r="CO656" s="93"/>
      <c r="CP656" s="20"/>
      <c r="CQ656" s="219"/>
      <c r="CR656" s="93"/>
      <c r="CS656" s="93"/>
      <c r="CT656" s="93"/>
      <c r="CU656" s="93"/>
      <c r="CV656" s="214"/>
      <c r="CW656" s="29"/>
      <c r="CX656" s="41">
        <f t="shared" si="365"/>
        <v>2049</v>
      </c>
      <c r="CY656" s="1504">
        <v>54424</v>
      </c>
      <c r="CZ656" s="19"/>
      <c r="DA656" s="93"/>
      <c r="DB656" s="93"/>
      <c r="DC656" s="93"/>
      <c r="DD656" s="93"/>
      <c r="DE656" s="20"/>
      <c r="DF656" s="29"/>
      <c r="DG656" s="1504">
        <v>54424</v>
      </c>
      <c r="DH656" s="19"/>
      <c r="DI656" s="93"/>
      <c r="DJ656" s="93"/>
      <c r="DK656" s="93"/>
      <c r="DL656" s="93"/>
      <c r="DM656" s="93"/>
      <c r="DN656" s="20"/>
      <c r="DO656" s="295"/>
      <c r="DP656" s="29"/>
      <c r="DQ656" s="1504">
        <v>54424</v>
      </c>
      <c r="DR656" s="19"/>
      <c r="DS656" s="93"/>
      <c r="DT656" s="93"/>
      <c r="DU656" s="93"/>
      <c r="DV656" s="93"/>
      <c r="DW656" s="93"/>
      <c r="DX656" s="20"/>
      <c r="DY656" s="29"/>
      <c r="DZ656" s="1504">
        <v>54424</v>
      </c>
      <c r="EA656" s="19"/>
      <c r="EB656" s="93"/>
      <c r="EC656" s="20"/>
      <c r="ED656" s="29"/>
      <c r="EE656" s="1504">
        <v>54424</v>
      </c>
      <c r="EF656" s="19"/>
      <c r="EG656" s="93"/>
      <c r="EH656" s="93"/>
      <c r="EI656" s="214"/>
      <c r="EJ656" s="93"/>
      <c r="EK656" s="93"/>
      <c r="EL656" s="93"/>
      <c r="EM656" s="93"/>
      <c r="EN656" s="20"/>
      <c r="EO656" s="29"/>
      <c r="EP656" s="1504">
        <v>54424</v>
      </c>
      <c r="EQ656" s="19"/>
      <c r="ER656" s="93"/>
      <c r="ES656" s="93"/>
      <c r="ET656" s="214"/>
      <c r="EU656" s="93"/>
      <c r="EV656" s="93"/>
      <c r="EW656" s="93"/>
      <c r="EX656" s="93"/>
      <c r="EY656" s="20"/>
      <c r="EZ656" s="29"/>
      <c r="FA656" s="1504">
        <v>54424</v>
      </c>
      <c r="FB656" s="29"/>
      <c r="FC656" s="29"/>
      <c r="FD656" s="29"/>
      <c r="FE656" s="29"/>
      <c r="FF656" s="29"/>
      <c r="FG656" s="29"/>
      <c r="FH656" s="29"/>
      <c r="FI656" s="29"/>
      <c r="FJ656" s="29"/>
      <c r="FK656" s="29"/>
      <c r="FL656" s="1504">
        <v>54424</v>
      </c>
      <c r="FM656" s="19"/>
      <c r="FN656" s="93"/>
      <c r="FO656" s="93"/>
      <c r="FP656" s="93"/>
      <c r="FQ656" s="93"/>
      <c r="FR656" s="93"/>
      <c r="FS656" s="93"/>
      <c r="FT656" s="93"/>
      <c r="FU656" s="93"/>
      <c r="FV656" s="93"/>
      <c r="FW656" s="93"/>
      <c r="FX656" s="93"/>
      <c r="FY656" s="93"/>
      <c r="FZ656" s="29"/>
      <c r="GA656" s="1504">
        <v>54424</v>
      </c>
      <c r="GB656" s="19"/>
      <c r="GC656" s="93"/>
      <c r="GD656" s="93"/>
      <c r="GE656" s="93"/>
      <c r="GF656" s="93"/>
      <c r="GG656" s="93"/>
      <c r="GH656" s="93"/>
      <c r="GI656" s="93"/>
      <c r="GJ656" s="93"/>
      <c r="GK656" s="93"/>
      <c r="GL656" s="93"/>
      <c r="GM656" s="93"/>
      <c r="GN656" s="20"/>
      <c r="GO656" s="29"/>
      <c r="GP656" s="1504">
        <v>54424</v>
      </c>
      <c r="GQ656" s="19"/>
      <c r="GR656" s="93"/>
      <c r="GS656" s="93"/>
      <c r="GT656" s="93"/>
      <c r="GU656" s="93"/>
      <c r="GV656" s="20"/>
      <c r="GW656" s="19"/>
      <c r="GX656" s="93"/>
      <c r="GY656" s="93"/>
      <c r="GZ656" s="93"/>
      <c r="HA656" s="93"/>
      <c r="HB656" s="20"/>
      <c r="HC656" s="19"/>
      <c r="HD656" s="93"/>
      <c r="HE656" s="93"/>
      <c r="HF656" s="93"/>
      <c r="HG656" s="93"/>
      <c r="HH656" s="20"/>
      <c r="HI656" s="19"/>
      <c r="HJ656" s="93"/>
      <c r="HK656" s="93"/>
      <c r="HL656" s="93"/>
      <c r="HM656" s="93"/>
      <c r="HN656" s="20"/>
      <c r="HO656" s="219"/>
      <c r="HP656" s="20"/>
      <c r="HQ656" s="25"/>
      <c r="HR656" s="29"/>
      <c r="HS656" s="1504">
        <v>54424</v>
      </c>
      <c r="HT656" s="19"/>
      <c r="HU656" s="93"/>
      <c r="HV656" s="93"/>
      <c r="HW656" s="93"/>
      <c r="HX656" s="93"/>
      <c r="HY656" s="93"/>
      <c r="HZ656" s="93"/>
      <c r="IA656" s="20"/>
      <c r="IB656" s="19"/>
      <c r="IC656" s="93"/>
      <c r="ID656" s="93"/>
      <c r="IE656" s="93"/>
      <c r="IF656" s="93"/>
      <c r="IG656" s="20"/>
      <c r="IH656" s="19"/>
      <c r="II656" s="93"/>
      <c r="IJ656" s="93"/>
      <c r="IK656" s="93"/>
      <c r="IL656" s="93"/>
      <c r="IM656" s="93"/>
      <c r="IN656" s="93"/>
      <c r="IO656" s="20"/>
      <c r="IP656" s="29"/>
      <c r="IQ656" s="19"/>
      <c r="IR656" s="93"/>
      <c r="IS656" s="93"/>
      <c r="IT656" s="93"/>
      <c r="IU656" s="93"/>
      <c r="IV656" s="20"/>
      <c r="IW656" s="29"/>
      <c r="IX656" s="19"/>
      <c r="IY656" s="93"/>
      <c r="IZ656" s="93"/>
      <c r="JA656" s="93"/>
      <c r="JB656" s="93"/>
      <c r="JC656" s="93"/>
      <c r="JD656" s="93"/>
      <c r="JE656" s="20"/>
      <c r="JF656" s="29"/>
      <c r="JG656" s="19"/>
      <c r="JH656" s="93"/>
      <c r="JI656" s="93"/>
      <c r="JJ656" s="93"/>
      <c r="JK656" s="93"/>
      <c r="JL656" s="93"/>
      <c r="JM656" s="93"/>
      <c r="JN656" s="20"/>
      <c r="JO656" s="29"/>
      <c r="JP656" s="19"/>
      <c r="JQ656" s="93"/>
      <c r="JR656" s="93"/>
      <c r="JS656" s="93"/>
      <c r="JT656" s="93"/>
      <c r="JU656" s="20"/>
      <c r="JV656" s="29"/>
      <c r="JW656" s="1504">
        <v>54424</v>
      </c>
      <c r="JX656" s="19"/>
      <c r="JY656" s="93"/>
      <c r="JZ656" s="93"/>
      <c r="KA656" s="93"/>
      <c r="KB656" s="93"/>
      <c r="KC656" s="93"/>
      <c r="KD656" s="20"/>
      <c r="KE656" s="29"/>
      <c r="KF656" s="19"/>
      <c r="KG656" s="93"/>
      <c r="KH656" s="93"/>
      <c r="KI656" s="93"/>
      <c r="KJ656" s="93"/>
      <c r="KK656" s="20"/>
      <c r="KL656" s="29"/>
      <c r="KM656" s="19"/>
      <c r="KN656" s="93"/>
      <c r="KO656" s="93"/>
      <c r="KP656" s="93"/>
      <c r="KQ656" s="93"/>
      <c r="KR656" s="20"/>
      <c r="KS656" s="29"/>
      <c r="KT656" s="19"/>
      <c r="KU656" s="93"/>
      <c r="KV656" s="93"/>
      <c r="KW656" s="93"/>
      <c r="KX656" s="93"/>
      <c r="KY656" s="20"/>
      <c r="KZ656" s="29"/>
      <c r="LA656" s="1504">
        <v>54424</v>
      </c>
      <c r="LB656" s="19"/>
      <c r="LC656" s="93"/>
      <c r="LD656" s="93"/>
      <c r="LE656" s="93"/>
      <c r="LF656" s="93"/>
      <c r="LG656" s="93"/>
      <c r="LH656" s="20"/>
      <c r="LI656" s="29"/>
      <c r="LJ656" s="19"/>
      <c r="LK656" s="93"/>
      <c r="LL656" s="93"/>
      <c r="LM656" s="93"/>
      <c r="LN656" s="93"/>
      <c r="LO656" s="20"/>
      <c r="LP656" s="29"/>
      <c r="LQ656" s="19"/>
      <c r="LR656" s="93"/>
      <c r="LS656" s="93"/>
      <c r="LT656" s="93"/>
      <c r="LU656" s="93"/>
      <c r="LV656" s="93"/>
      <c r="LW656" s="93"/>
      <c r="LX656" s="93"/>
      <c r="LY656" s="93"/>
      <c r="LZ656" s="93"/>
      <c r="MA656" s="20"/>
      <c r="MB656" s="29"/>
      <c r="MC656" s="1504">
        <v>54424</v>
      </c>
      <c r="MD656" s="19"/>
      <c r="ME656" s="93"/>
      <c r="MF656" s="93"/>
      <c r="MG656" s="93"/>
      <c r="MH656" s="93"/>
      <c r="MI656" s="93"/>
      <c r="MJ656" s="93"/>
      <c r="MK656" s="93"/>
      <c r="ML656" s="93"/>
      <c r="MM656" s="93"/>
      <c r="MN656" s="93"/>
      <c r="MO656" s="93"/>
      <c r="MP656" s="93"/>
      <c r="MQ656" s="93"/>
      <c r="MR656" s="93"/>
      <c r="MS656" s="93"/>
      <c r="MT656" s="93"/>
      <c r="MU656" s="93"/>
      <c r="MV656" s="93"/>
      <c r="MW656" s="93"/>
      <c r="MX656" s="93"/>
      <c r="MY656" s="93"/>
      <c r="MZ656" s="93"/>
      <c r="NA656" s="93"/>
      <c r="NB656" s="93"/>
      <c r="NC656" s="93"/>
      <c r="ND656" s="93"/>
      <c r="NE656" s="93"/>
      <c r="NF656" s="93"/>
      <c r="NG656" s="93"/>
      <c r="NH656" s="93"/>
      <c r="NI656" s="93"/>
      <c r="NJ656" s="93"/>
      <c r="NK656" s="93"/>
      <c r="NL656" s="93"/>
      <c r="NM656" s="93"/>
      <c r="NN656" s="93"/>
      <c r="NO656" s="93"/>
      <c r="NP656" s="93"/>
      <c r="NQ656" s="93"/>
      <c r="NR656" s="93"/>
      <c r="NS656" s="93"/>
      <c r="NT656" s="93"/>
      <c r="NU656" s="93"/>
      <c r="NV656" s="93"/>
      <c r="NW656" s="93"/>
      <c r="NX656" s="93"/>
      <c r="NY656" s="93"/>
      <c r="NZ656" s="93"/>
      <c r="OA656" s="93"/>
      <c r="OB656" s="93"/>
      <c r="OC656" s="93"/>
      <c r="OD656" s="20"/>
      <c r="OE656" s="29"/>
      <c r="OF656" s="1504">
        <v>54424</v>
      </c>
      <c r="OG656" s="19"/>
      <c r="OH656" s="93"/>
      <c r="OI656" s="93"/>
      <c r="OJ656" s="93"/>
      <c r="OK656" s="93"/>
      <c r="OL656" s="93"/>
      <c r="OM656" s="93"/>
      <c r="ON656" s="93"/>
      <c r="OO656" s="93"/>
      <c r="OP656" s="93"/>
      <c r="OQ656" s="93"/>
      <c r="OR656" s="93"/>
      <c r="OS656" s="93"/>
      <c r="OT656" s="93"/>
      <c r="OU656" s="93"/>
      <c r="OV656" s="93"/>
      <c r="OW656" s="93"/>
      <c r="OX656" s="93"/>
      <c r="OY656" s="93"/>
      <c r="OZ656" s="93"/>
      <c r="PA656" s="93"/>
      <c r="PB656" s="93"/>
      <c r="PC656" s="20"/>
      <c r="PD656" s="29"/>
      <c r="PE656" s="19"/>
      <c r="PF656" s="93"/>
      <c r="PG656" s="93"/>
      <c r="PH656" s="93"/>
      <c r="PI656" s="93"/>
      <c r="PJ656" s="93"/>
      <c r="PK656" s="93"/>
      <c r="PL656" s="93"/>
      <c r="PM656" s="93"/>
      <c r="PN656" s="93"/>
      <c r="PO656" s="93"/>
      <c r="PP656" s="93"/>
      <c r="PQ656" s="93"/>
      <c r="PR656" s="93"/>
      <c r="PS656" s="93"/>
      <c r="PT656" s="93"/>
      <c r="PU656" s="93"/>
      <c r="PV656" s="93"/>
      <c r="PW656" s="93"/>
      <c r="PX656" s="93"/>
      <c r="PY656" s="93"/>
      <c r="PZ656" s="93"/>
      <c r="QA656" s="93"/>
      <c r="QB656" s="93"/>
      <c r="QC656" s="93"/>
      <c r="QD656" s="93"/>
      <c r="QE656" s="20"/>
      <c r="QF656" s="1739"/>
      <c r="QG656" s="19"/>
      <c r="QH656" s="93"/>
      <c r="QI656" s="93"/>
      <c r="QJ656" s="93"/>
      <c r="QK656" s="93"/>
      <c r="QL656" s="93"/>
      <c r="QM656" s="93"/>
      <c r="QN656" s="93"/>
      <c r="QO656" s="93"/>
      <c r="QP656" s="93"/>
      <c r="QQ656" s="93"/>
      <c r="QR656" s="93"/>
      <c r="QS656" s="93"/>
      <c r="QT656" s="93"/>
      <c r="QU656" s="93"/>
      <c r="QV656" s="93"/>
      <c r="QW656" s="93"/>
      <c r="QX656" s="93"/>
      <c r="QY656" s="93"/>
      <c r="QZ656" s="93"/>
      <c r="RA656" s="93"/>
      <c r="RB656" s="93"/>
      <c r="RC656" s="93"/>
      <c r="RD656" s="93"/>
      <c r="RE656" s="93"/>
      <c r="RF656" s="93"/>
      <c r="RG656" s="93"/>
      <c r="RH656" s="93"/>
      <c r="RI656" s="93"/>
      <c r="RJ656" s="93"/>
      <c r="RK656" s="93"/>
      <c r="RL656" s="93"/>
      <c r="RM656" s="20"/>
      <c r="RN656" s="29"/>
      <c r="RO656" s="19"/>
      <c r="RP656" s="20"/>
      <c r="RQ656" s="29"/>
      <c r="RR656" s="20"/>
      <c r="RS656" s="29"/>
      <c r="RT656" s="1504">
        <v>54424</v>
      </c>
      <c r="RU656" s="19"/>
      <c r="RV656" s="20"/>
      <c r="RW656" s="29"/>
      <c r="RX656" s="1504">
        <v>54424</v>
      </c>
      <c r="RY656" s="29"/>
      <c r="RZ656" s="20"/>
      <c r="SA656" s="29"/>
      <c r="SB656" s="29"/>
    </row>
    <row r="657" spans="1:496">
      <c r="A657" s="41">
        <f t="shared" si="364"/>
        <v>2049</v>
      </c>
      <c r="B657" s="1504">
        <v>54455</v>
      </c>
      <c r="C657" s="1813"/>
      <c r="D657" s="1814"/>
      <c r="E657" s="1814"/>
      <c r="F657" s="1815"/>
      <c r="G657" s="1814"/>
      <c r="H657" s="1814"/>
      <c r="I657" s="1814"/>
      <c r="J657" s="1816"/>
      <c r="K657" s="1807"/>
      <c r="L657" s="25"/>
      <c r="M657" s="97"/>
      <c r="N657" s="1504">
        <v>54455</v>
      </c>
      <c r="O657" s="19"/>
      <c r="P657" s="93"/>
      <c r="Q657" s="93"/>
      <c r="R657" s="93"/>
      <c r="S657" s="93"/>
      <c r="T657" s="93"/>
      <c r="U657" s="93"/>
      <c r="V657" s="93"/>
      <c r="W657" s="93"/>
      <c r="X657" s="93"/>
      <c r="Y657" s="93"/>
      <c r="Z657" s="93"/>
      <c r="AA657" s="93"/>
      <c r="AB657" s="20"/>
      <c r="AC657" s="25"/>
      <c r="AD657" s="97"/>
      <c r="AE657" s="1504">
        <v>54455</v>
      </c>
      <c r="AF657" s="19"/>
      <c r="AG657" s="93"/>
      <c r="AH657" s="93"/>
      <c r="AI657" s="93"/>
      <c r="AJ657" s="93"/>
      <c r="AK657" s="93"/>
      <c r="AL657" s="93"/>
      <c r="AM657" s="93"/>
      <c r="AN657" s="93"/>
      <c r="AO657" s="93"/>
      <c r="AP657" s="93"/>
      <c r="AQ657" s="93"/>
      <c r="AR657" s="93"/>
      <c r="AS657" s="20"/>
      <c r="AT657" s="25"/>
      <c r="AU657" s="97"/>
      <c r="AV657" s="1504">
        <v>54455</v>
      </c>
      <c r="AW657" s="19"/>
      <c r="AX657" s="93"/>
      <c r="AY657" s="93"/>
      <c r="AZ657" s="93"/>
      <c r="BA657" s="93"/>
      <c r="BB657" s="93"/>
      <c r="BC657" s="93"/>
      <c r="BD657" s="93"/>
      <c r="BE657" s="93"/>
      <c r="BF657" s="93"/>
      <c r="BG657" s="93"/>
      <c r="BH657" s="93"/>
      <c r="BI657" s="93"/>
      <c r="BJ657" s="20"/>
      <c r="BK657" s="25"/>
      <c r="BL657" s="97"/>
      <c r="BM657" s="1504">
        <v>54455</v>
      </c>
      <c r="BN657" s="19"/>
      <c r="BO657" s="93"/>
      <c r="BP657" s="93"/>
      <c r="BQ657" s="93"/>
      <c r="BR657" s="93"/>
      <c r="BS657" s="93"/>
      <c r="BT657" s="93"/>
      <c r="BU657" s="20"/>
      <c r="BV657" s="25"/>
      <c r="BW657" s="97"/>
      <c r="BX657" s="1504">
        <v>54455</v>
      </c>
      <c r="BY657" s="19"/>
      <c r="BZ657" s="93"/>
      <c r="CA657" s="93"/>
      <c r="CB657" s="93"/>
      <c r="CC657" s="93"/>
      <c r="CD657" s="25"/>
      <c r="CE657" s="97"/>
      <c r="CF657" s="1504">
        <v>54455</v>
      </c>
      <c r="CG657" s="19"/>
      <c r="CH657" s="93"/>
      <c r="CI657" s="219"/>
      <c r="CJ657" s="20"/>
      <c r="CK657" s="19"/>
      <c r="CL657" s="93"/>
      <c r="CM657" s="93"/>
      <c r="CN657" s="93"/>
      <c r="CO657" s="93"/>
      <c r="CP657" s="20"/>
      <c r="CQ657" s="219"/>
      <c r="CR657" s="93"/>
      <c r="CS657" s="93"/>
      <c r="CT657" s="93"/>
      <c r="CU657" s="93"/>
      <c r="CV657" s="214"/>
      <c r="CW657" s="29"/>
      <c r="CX657" s="41">
        <f t="shared" si="365"/>
        <v>2049</v>
      </c>
      <c r="CY657" s="1504">
        <v>54455</v>
      </c>
      <c r="CZ657" s="19"/>
      <c r="DA657" s="93"/>
      <c r="DB657" s="93"/>
      <c r="DC657" s="93"/>
      <c r="DD657" s="93"/>
      <c r="DE657" s="20"/>
      <c r="DF657" s="29"/>
      <c r="DG657" s="1504">
        <v>54455</v>
      </c>
      <c r="DH657" s="19"/>
      <c r="DI657" s="93"/>
      <c r="DJ657" s="93"/>
      <c r="DK657" s="93"/>
      <c r="DL657" s="93"/>
      <c r="DM657" s="93"/>
      <c r="DN657" s="20"/>
      <c r="DO657" s="295"/>
      <c r="DP657" s="29"/>
      <c r="DQ657" s="1504">
        <v>54455</v>
      </c>
      <c r="DR657" s="19"/>
      <c r="DS657" s="93"/>
      <c r="DT657" s="93"/>
      <c r="DU657" s="93"/>
      <c r="DV657" s="93"/>
      <c r="DW657" s="93"/>
      <c r="DX657" s="20"/>
      <c r="DY657" s="29"/>
      <c r="DZ657" s="1504">
        <v>54455</v>
      </c>
      <c r="EA657" s="19"/>
      <c r="EB657" s="93"/>
      <c r="EC657" s="20"/>
      <c r="ED657" s="29"/>
      <c r="EE657" s="1504">
        <v>54455</v>
      </c>
      <c r="EF657" s="19"/>
      <c r="EG657" s="93"/>
      <c r="EH657" s="93"/>
      <c r="EI657" s="214"/>
      <c r="EJ657" s="93"/>
      <c r="EK657" s="93"/>
      <c r="EL657" s="93"/>
      <c r="EM657" s="93"/>
      <c r="EN657" s="20"/>
      <c r="EO657" s="29"/>
      <c r="EP657" s="1504">
        <v>54455</v>
      </c>
      <c r="EQ657" s="19"/>
      <c r="ER657" s="93"/>
      <c r="ES657" s="93"/>
      <c r="ET657" s="214"/>
      <c r="EU657" s="93"/>
      <c r="EV657" s="93"/>
      <c r="EW657" s="93"/>
      <c r="EX657" s="93"/>
      <c r="EY657" s="20"/>
      <c r="EZ657" s="29"/>
      <c r="FA657" s="1504">
        <v>54455</v>
      </c>
      <c r="FB657" s="29"/>
      <c r="FC657" s="29"/>
      <c r="FD657" s="29"/>
      <c r="FE657" s="29"/>
      <c r="FF657" s="29"/>
      <c r="FG657" s="29"/>
      <c r="FH657" s="29"/>
      <c r="FI657" s="29"/>
      <c r="FJ657" s="29"/>
      <c r="FK657" s="29"/>
      <c r="FL657" s="1504">
        <v>54455</v>
      </c>
      <c r="FM657" s="19"/>
      <c r="FN657" s="93"/>
      <c r="FO657" s="93"/>
      <c r="FP657" s="93"/>
      <c r="FQ657" s="93"/>
      <c r="FR657" s="93"/>
      <c r="FS657" s="93"/>
      <c r="FT657" s="93"/>
      <c r="FU657" s="93"/>
      <c r="FV657" s="93"/>
      <c r="FW657" s="93"/>
      <c r="FX657" s="93"/>
      <c r="FY657" s="93"/>
      <c r="FZ657" s="29"/>
      <c r="GA657" s="1504">
        <v>54455</v>
      </c>
      <c r="GB657" s="19"/>
      <c r="GC657" s="93"/>
      <c r="GD657" s="93"/>
      <c r="GE657" s="93"/>
      <c r="GF657" s="93"/>
      <c r="GG657" s="93"/>
      <c r="GH657" s="93"/>
      <c r="GI657" s="93"/>
      <c r="GJ657" s="93"/>
      <c r="GK657" s="93"/>
      <c r="GL657" s="93"/>
      <c r="GM657" s="93"/>
      <c r="GN657" s="20"/>
      <c r="GO657" s="29"/>
      <c r="GP657" s="1504">
        <v>54455</v>
      </c>
      <c r="GQ657" s="19"/>
      <c r="GR657" s="93"/>
      <c r="GS657" s="93"/>
      <c r="GT657" s="93"/>
      <c r="GU657" s="93"/>
      <c r="GV657" s="20"/>
      <c r="GW657" s="19"/>
      <c r="GX657" s="93"/>
      <c r="GY657" s="93"/>
      <c r="GZ657" s="93"/>
      <c r="HA657" s="93"/>
      <c r="HB657" s="20"/>
      <c r="HC657" s="19"/>
      <c r="HD657" s="93"/>
      <c r="HE657" s="93"/>
      <c r="HF657" s="93"/>
      <c r="HG657" s="93"/>
      <c r="HH657" s="20"/>
      <c r="HI657" s="19"/>
      <c r="HJ657" s="93"/>
      <c r="HK657" s="93"/>
      <c r="HL657" s="93"/>
      <c r="HM657" s="93"/>
      <c r="HN657" s="20"/>
      <c r="HO657" s="219"/>
      <c r="HP657" s="20"/>
      <c r="HQ657" s="25"/>
      <c r="HR657" s="29"/>
      <c r="HS657" s="1504">
        <v>54455</v>
      </c>
      <c r="HT657" s="19"/>
      <c r="HU657" s="93"/>
      <c r="HV657" s="93"/>
      <c r="HW657" s="93"/>
      <c r="HX657" s="93"/>
      <c r="HY657" s="93"/>
      <c r="HZ657" s="93"/>
      <c r="IA657" s="20"/>
      <c r="IB657" s="19"/>
      <c r="IC657" s="93"/>
      <c r="ID657" s="93"/>
      <c r="IE657" s="93"/>
      <c r="IF657" s="93"/>
      <c r="IG657" s="20"/>
      <c r="IH657" s="19"/>
      <c r="II657" s="93"/>
      <c r="IJ657" s="93"/>
      <c r="IK657" s="93"/>
      <c r="IL657" s="93"/>
      <c r="IM657" s="93"/>
      <c r="IN657" s="93"/>
      <c r="IO657" s="20"/>
      <c r="IP657" s="29"/>
      <c r="IQ657" s="19"/>
      <c r="IR657" s="93"/>
      <c r="IS657" s="93"/>
      <c r="IT657" s="93"/>
      <c r="IU657" s="93"/>
      <c r="IV657" s="20"/>
      <c r="IW657" s="29"/>
      <c r="IX657" s="19"/>
      <c r="IY657" s="93"/>
      <c r="IZ657" s="93"/>
      <c r="JA657" s="93"/>
      <c r="JB657" s="93"/>
      <c r="JC657" s="93"/>
      <c r="JD657" s="93"/>
      <c r="JE657" s="20"/>
      <c r="JF657" s="29"/>
      <c r="JG657" s="19"/>
      <c r="JH657" s="93"/>
      <c r="JI657" s="93"/>
      <c r="JJ657" s="93"/>
      <c r="JK657" s="93"/>
      <c r="JL657" s="93"/>
      <c r="JM657" s="93"/>
      <c r="JN657" s="20"/>
      <c r="JO657" s="29"/>
      <c r="JP657" s="19"/>
      <c r="JQ657" s="93"/>
      <c r="JR657" s="93"/>
      <c r="JS657" s="93"/>
      <c r="JT657" s="93"/>
      <c r="JU657" s="20"/>
      <c r="JV657" s="29"/>
      <c r="JW657" s="1504">
        <v>54455</v>
      </c>
      <c r="JX657" s="19"/>
      <c r="JY657" s="93"/>
      <c r="JZ657" s="93"/>
      <c r="KA657" s="93"/>
      <c r="KB657" s="93"/>
      <c r="KC657" s="93"/>
      <c r="KD657" s="20"/>
      <c r="KE657" s="29"/>
      <c r="KF657" s="19"/>
      <c r="KG657" s="93"/>
      <c r="KH657" s="93"/>
      <c r="KI657" s="93"/>
      <c r="KJ657" s="93"/>
      <c r="KK657" s="20"/>
      <c r="KL657" s="29"/>
      <c r="KM657" s="19"/>
      <c r="KN657" s="93"/>
      <c r="KO657" s="93"/>
      <c r="KP657" s="93"/>
      <c r="KQ657" s="93"/>
      <c r="KR657" s="20"/>
      <c r="KS657" s="29"/>
      <c r="KT657" s="19"/>
      <c r="KU657" s="93"/>
      <c r="KV657" s="93"/>
      <c r="KW657" s="93"/>
      <c r="KX657" s="93"/>
      <c r="KY657" s="20"/>
      <c r="KZ657" s="29"/>
      <c r="LA657" s="1504">
        <v>54455</v>
      </c>
      <c r="LB657" s="19"/>
      <c r="LC657" s="93"/>
      <c r="LD657" s="93"/>
      <c r="LE657" s="93"/>
      <c r="LF657" s="93"/>
      <c r="LG657" s="93"/>
      <c r="LH657" s="20"/>
      <c r="LI657" s="29"/>
      <c r="LJ657" s="19"/>
      <c r="LK657" s="93"/>
      <c r="LL657" s="93"/>
      <c r="LM657" s="93"/>
      <c r="LN657" s="93"/>
      <c r="LO657" s="20"/>
      <c r="LP657" s="29"/>
      <c r="LQ657" s="19"/>
      <c r="LR657" s="93"/>
      <c r="LS657" s="93"/>
      <c r="LT657" s="93"/>
      <c r="LU657" s="93"/>
      <c r="LV657" s="93"/>
      <c r="LW657" s="93"/>
      <c r="LX657" s="93"/>
      <c r="LY657" s="93"/>
      <c r="LZ657" s="93"/>
      <c r="MA657" s="20"/>
      <c r="MB657" s="29"/>
      <c r="MC657" s="1504">
        <v>54455</v>
      </c>
      <c r="MD657" s="19"/>
      <c r="ME657" s="93"/>
      <c r="MF657" s="93"/>
      <c r="MG657" s="93"/>
      <c r="MH657" s="93"/>
      <c r="MI657" s="93"/>
      <c r="MJ657" s="93"/>
      <c r="MK657" s="93"/>
      <c r="ML657" s="93"/>
      <c r="MM657" s="93"/>
      <c r="MN657" s="93"/>
      <c r="MO657" s="93"/>
      <c r="MP657" s="93"/>
      <c r="MQ657" s="93"/>
      <c r="MR657" s="93"/>
      <c r="MS657" s="93"/>
      <c r="MT657" s="93"/>
      <c r="MU657" s="93"/>
      <c r="MV657" s="93"/>
      <c r="MW657" s="93"/>
      <c r="MX657" s="93"/>
      <c r="MY657" s="93"/>
      <c r="MZ657" s="93"/>
      <c r="NA657" s="93"/>
      <c r="NB657" s="93"/>
      <c r="NC657" s="93"/>
      <c r="ND657" s="93"/>
      <c r="NE657" s="93"/>
      <c r="NF657" s="93"/>
      <c r="NG657" s="93"/>
      <c r="NH657" s="93"/>
      <c r="NI657" s="93"/>
      <c r="NJ657" s="93"/>
      <c r="NK657" s="93"/>
      <c r="NL657" s="93"/>
      <c r="NM657" s="93"/>
      <c r="NN657" s="93"/>
      <c r="NO657" s="93"/>
      <c r="NP657" s="93"/>
      <c r="NQ657" s="93"/>
      <c r="NR657" s="93"/>
      <c r="NS657" s="93"/>
      <c r="NT657" s="93"/>
      <c r="NU657" s="93"/>
      <c r="NV657" s="93"/>
      <c r="NW657" s="93"/>
      <c r="NX657" s="93"/>
      <c r="NY657" s="93"/>
      <c r="NZ657" s="93"/>
      <c r="OA657" s="93"/>
      <c r="OB657" s="93"/>
      <c r="OC657" s="93"/>
      <c r="OD657" s="20"/>
      <c r="OE657" s="29"/>
      <c r="OF657" s="1504">
        <v>54455</v>
      </c>
      <c r="OG657" s="19"/>
      <c r="OH657" s="93"/>
      <c r="OI657" s="93"/>
      <c r="OJ657" s="93"/>
      <c r="OK657" s="93"/>
      <c r="OL657" s="93"/>
      <c r="OM657" s="93"/>
      <c r="ON657" s="93"/>
      <c r="OO657" s="93"/>
      <c r="OP657" s="93"/>
      <c r="OQ657" s="93"/>
      <c r="OR657" s="93"/>
      <c r="OS657" s="93"/>
      <c r="OT657" s="93"/>
      <c r="OU657" s="93"/>
      <c r="OV657" s="93"/>
      <c r="OW657" s="93"/>
      <c r="OX657" s="93"/>
      <c r="OY657" s="93"/>
      <c r="OZ657" s="93"/>
      <c r="PA657" s="93"/>
      <c r="PB657" s="93"/>
      <c r="PC657" s="20"/>
      <c r="PD657" s="29"/>
      <c r="PE657" s="19"/>
      <c r="PF657" s="93"/>
      <c r="PG657" s="93"/>
      <c r="PH657" s="93"/>
      <c r="PI657" s="93"/>
      <c r="PJ657" s="93"/>
      <c r="PK657" s="93"/>
      <c r="PL657" s="93"/>
      <c r="PM657" s="93"/>
      <c r="PN657" s="93"/>
      <c r="PO657" s="93"/>
      <c r="PP657" s="93"/>
      <c r="PQ657" s="93"/>
      <c r="PR657" s="93"/>
      <c r="PS657" s="93"/>
      <c r="PT657" s="93"/>
      <c r="PU657" s="93"/>
      <c r="PV657" s="93"/>
      <c r="PW657" s="93"/>
      <c r="PX657" s="93"/>
      <c r="PY657" s="93"/>
      <c r="PZ657" s="93"/>
      <c r="QA657" s="93"/>
      <c r="QB657" s="93"/>
      <c r="QC657" s="93"/>
      <c r="QD657" s="93"/>
      <c r="QE657" s="20"/>
      <c r="QF657" s="1739"/>
      <c r="QG657" s="19"/>
      <c r="QH657" s="93"/>
      <c r="QI657" s="93"/>
      <c r="QJ657" s="93"/>
      <c r="QK657" s="93"/>
      <c r="QL657" s="93"/>
      <c r="QM657" s="93"/>
      <c r="QN657" s="93"/>
      <c r="QO657" s="93"/>
      <c r="QP657" s="93"/>
      <c r="QQ657" s="93"/>
      <c r="QR657" s="93"/>
      <c r="QS657" s="93"/>
      <c r="QT657" s="93"/>
      <c r="QU657" s="93"/>
      <c r="QV657" s="93"/>
      <c r="QW657" s="93"/>
      <c r="QX657" s="93"/>
      <c r="QY657" s="93"/>
      <c r="QZ657" s="93"/>
      <c r="RA657" s="93"/>
      <c r="RB657" s="93"/>
      <c r="RC657" s="93"/>
      <c r="RD657" s="93"/>
      <c r="RE657" s="93"/>
      <c r="RF657" s="93"/>
      <c r="RG657" s="93"/>
      <c r="RH657" s="93"/>
      <c r="RI657" s="93"/>
      <c r="RJ657" s="93"/>
      <c r="RK657" s="93"/>
      <c r="RL657" s="93"/>
      <c r="RM657" s="20"/>
      <c r="RN657" s="29"/>
      <c r="RO657" s="19"/>
      <c r="RP657" s="20"/>
      <c r="RQ657" s="29"/>
      <c r="RR657" s="20"/>
      <c r="RS657" s="29"/>
      <c r="RT657" s="1504">
        <v>54455</v>
      </c>
      <c r="RU657" s="19"/>
      <c r="RV657" s="20"/>
      <c r="RW657" s="29"/>
      <c r="RX657" s="1504">
        <v>54455</v>
      </c>
      <c r="RY657" s="29"/>
      <c r="RZ657" s="20"/>
      <c r="SA657" s="29"/>
      <c r="SB657" s="29"/>
    </row>
    <row r="658" spans="1:496">
      <c r="A658" s="41">
        <f t="shared" si="364"/>
        <v>2049</v>
      </c>
      <c r="B658" s="1504">
        <v>54483</v>
      </c>
      <c r="C658" s="1813"/>
      <c r="D658" s="1814"/>
      <c r="E658" s="1814"/>
      <c r="F658" s="1815"/>
      <c r="G658" s="1814"/>
      <c r="H658" s="1814"/>
      <c r="I658" s="1814"/>
      <c r="J658" s="1816"/>
      <c r="K658" s="1807"/>
      <c r="L658" s="25"/>
      <c r="M658" s="97"/>
      <c r="N658" s="1504">
        <v>54483</v>
      </c>
      <c r="O658" s="19"/>
      <c r="P658" s="93"/>
      <c r="Q658" s="93"/>
      <c r="R658" s="93"/>
      <c r="S658" s="93"/>
      <c r="T658" s="93"/>
      <c r="U658" s="93"/>
      <c r="V658" s="93"/>
      <c r="W658" s="93"/>
      <c r="X658" s="93"/>
      <c r="Y658" s="93"/>
      <c r="Z658" s="93"/>
      <c r="AA658" s="93"/>
      <c r="AB658" s="20"/>
      <c r="AC658" s="25"/>
      <c r="AD658" s="97"/>
      <c r="AE658" s="1504">
        <v>54483</v>
      </c>
      <c r="AF658" s="19"/>
      <c r="AG658" s="93"/>
      <c r="AH658" s="93"/>
      <c r="AI658" s="93"/>
      <c r="AJ658" s="93"/>
      <c r="AK658" s="93"/>
      <c r="AL658" s="93"/>
      <c r="AM658" s="93"/>
      <c r="AN658" s="93"/>
      <c r="AO658" s="93"/>
      <c r="AP658" s="93"/>
      <c r="AQ658" s="93"/>
      <c r="AR658" s="93"/>
      <c r="AS658" s="20"/>
      <c r="AT658" s="25"/>
      <c r="AU658" s="97"/>
      <c r="AV658" s="1504">
        <v>54483</v>
      </c>
      <c r="AW658" s="19"/>
      <c r="AX658" s="93"/>
      <c r="AY658" s="93"/>
      <c r="AZ658" s="93"/>
      <c r="BA658" s="93"/>
      <c r="BB658" s="93"/>
      <c r="BC658" s="93"/>
      <c r="BD658" s="93"/>
      <c r="BE658" s="93"/>
      <c r="BF658" s="93"/>
      <c r="BG658" s="93"/>
      <c r="BH658" s="93"/>
      <c r="BI658" s="93"/>
      <c r="BJ658" s="20"/>
      <c r="BK658" s="25"/>
      <c r="BL658" s="97"/>
      <c r="BM658" s="1504">
        <v>54483</v>
      </c>
      <c r="BN658" s="19"/>
      <c r="BO658" s="93"/>
      <c r="BP658" s="93"/>
      <c r="BQ658" s="93"/>
      <c r="BR658" s="93"/>
      <c r="BS658" s="93"/>
      <c r="BT658" s="93"/>
      <c r="BU658" s="20"/>
      <c r="BV658" s="25"/>
      <c r="BW658" s="97"/>
      <c r="BX658" s="1504">
        <v>54483</v>
      </c>
      <c r="BY658" s="19"/>
      <c r="BZ658" s="93"/>
      <c r="CA658" s="93"/>
      <c r="CB658" s="93"/>
      <c r="CC658" s="93"/>
      <c r="CD658" s="25"/>
      <c r="CE658" s="97"/>
      <c r="CF658" s="1504">
        <v>54483</v>
      </c>
      <c r="CG658" s="19"/>
      <c r="CH658" s="93"/>
      <c r="CI658" s="219"/>
      <c r="CJ658" s="20"/>
      <c r="CK658" s="19"/>
      <c r="CL658" s="93"/>
      <c r="CM658" s="93"/>
      <c r="CN658" s="93"/>
      <c r="CO658" s="93"/>
      <c r="CP658" s="20"/>
      <c r="CQ658" s="219"/>
      <c r="CR658" s="93"/>
      <c r="CS658" s="93"/>
      <c r="CT658" s="93"/>
      <c r="CU658" s="93"/>
      <c r="CV658" s="214"/>
      <c r="CW658" s="29"/>
      <c r="CX658" s="41">
        <f t="shared" si="365"/>
        <v>2049</v>
      </c>
      <c r="CY658" s="1504">
        <v>54483</v>
      </c>
      <c r="CZ658" s="19"/>
      <c r="DA658" s="93"/>
      <c r="DB658" s="93"/>
      <c r="DC658" s="93"/>
      <c r="DD658" s="93"/>
      <c r="DE658" s="20"/>
      <c r="DF658" s="29"/>
      <c r="DG658" s="1504">
        <v>54483</v>
      </c>
      <c r="DH658" s="19"/>
      <c r="DI658" s="93"/>
      <c r="DJ658" s="93"/>
      <c r="DK658" s="93"/>
      <c r="DL658" s="93"/>
      <c r="DM658" s="93"/>
      <c r="DN658" s="20"/>
      <c r="DO658" s="295"/>
      <c r="DP658" s="29"/>
      <c r="DQ658" s="1504">
        <v>54483</v>
      </c>
      <c r="DR658" s="19"/>
      <c r="DS658" s="93"/>
      <c r="DT658" s="93"/>
      <c r="DU658" s="93"/>
      <c r="DV658" s="93"/>
      <c r="DW658" s="93"/>
      <c r="DX658" s="20"/>
      <c r="DY658" s="29"/>
      <c r="DZ658" s="1504">
        <v>54483</v>
      </c>
      <c r="EA658" s="19"/>
      <c r="EB658" s="93"/>
      <c r="EC658" s="20"/>
      <c r="ED658" s="29"/>
      <c r="EE658" s="1504">
        <v>54483</v>
      </c>
      <c r="EF658" s="19"/>
      <c r="EG658" s="93"/>
      <c r="EH658" s="93"/>
      <c r="EI658" s="214"/>
      <c r="EJ658" s="93"/>
      <c r="EK658" s="93"/>
      <c r="EL658" s="93"/>
      <c r="EM658" s="93"/>
      <c r="EN658" s="20"/>
      <c r="EO658" s="29"/>
      <c r="EP658" s="1504">
        <v>54483</v>
      </c>
      <c r="EQ658" s="19"/>
      <c r="ER658" s="93"/>
      <c r="ES658" s="93"/>
      <c r="ET658" s="214"/>
      <c r="EU658" s="93"/>
      <c r="EV658" s="93"/>
      <c r="EW658" s="93"/>
      <c r="EX658" s="93"/>
      <c r="EY658" s="20"/>
      <c r="EZ658" s="29"/>
      <c r="FA658" s="1504">
        <v>54483</v>
      </c>
      <c r="FB658" s="29"/>
      <c r="FC658" s="29"/>
      <c r="FD658" s="29"/>
      <c r="FE658" s="29"/>
      <c r="FF658" s="29"/>
      <c r="FG658" s="29"/>
      <c r="FH658" s="29"/>
      <c r="FI658" s="29"/>
      <c r="FJ658" s="29"/>
      <c r="FK658" s="29"/>
      <c r="FL658" s="1504">
        <v>54483</v>
      </c>
      <c r="FM658" s="19"/>
      <c r="FN658" s="93"/>
      <c r="FO658" s="93"/>
      <c r="FP658" s="93"/>
      <c r="FQ658" s="93"/>
      <c r="FR658" s="93"/>
      <c r="FS658" s="93"/>
      <c r="FT658" s="93"/>
      <c r="FU658" s="93"/>
      <c r="FV658" s="93"/>
      <c r="FW658" s="93"/>
      <c r="FX658" s="93"/>
      <c r="FY658" s="93"/>
      <c r="FZ658" s="29"/>
      <c r="GA658" s="1504">
        <v>54483</v>
      </c>
      <c r="GB658" s="19"/>
      <c r="GC658" s="93"/>
      <c r="GD658" s="93"/>
      <c r="GE658" s="93"/>
      <c r="GF658" s="93"/>
      <c r="GG658" s="93"/>
      <c r="GH658" s="93"/>
      <c r="GI658" s="93"/>
      <c r="GJ658" s="93"/>
      <c r="GK658" s="93"/>
      <c r="GL658" s="93"/>
      <c r="GM658" s="93"/>
      <c r="GN658" s="20"/>
      <c r="GO658" s="29"/>
      <c r="GP658" s="1504">
        <v>54483</v>
      </c>
      <c r="GQ658" s="19"/>
      <c r="GR658" s="93"/>
      <c r="GS658" s="93"/>
      <c r="GT658" s="93"/>
      <c r="GU658" s="93"/>
      <c r="GV658" s="20"/>
      <c r="GW658" s="19"/>
      <c r="GX658" s="93"/>
      <c r="GY658" s="93"/>
      <c r="GZ658" s="93"/>
      <c r="HA658" s="93"/>
      <c r="HB658" s="20"/>
      <c r="HC658" s="19"/>
      <c r="HD658" s="93"/>
      <c r="HE658" s="93"/>
      <c r="HF658" s="93"/>
      <c r="HG658" s="93"/>
      <c r="HH658" s="20"/>
      <c r="HI658" s="19"/>
      <c r="HJ658" s="93"/>
      <c r="HK658" s="93"/>
      <c r="HL658" s="93"/>
      <c r="HM658" s="93"/>
      <c r="HN658" s="20"/>
      <c r="HO658" s="219"/>
      <c r="HP658" s="20"/>
      <c r="HQ658" s="25"/>
      <c r="HR658" s="29"/>
      <c r="HS658" s="1504">
        <v>54483</v>
      </c>
      <c r="HT658" s="19"/>
      <c r="HU658" s="93"/>
      <c r="HV658" s="93"/>
      <c r="HW658" s="93"/>
      <c r="HX658" s="93"/>
      <c r="HY658" s="93"/>
      <c r="HZ658" s="93"/>
      <c r="IA658" s="20"/>
      <c r="IB658" s="19"/>
      <c r="IC658" s="93"/>
      <c r="ID658" s="93"/>
      <c r="IE658" s="93"/>
      <c r="IF658" s="93"/>
      <c r="IG658" s="20"/>
      <c r="IH658" s="19"/>
      <c r="II658" s="93"/>
      <c r="IJ658" s="93"/>
      <c r="IK658" s="93"/>
      <c r="IL658" s="93"/>
      <c r="IM658" s="93"/>
      <c r="IN658" s="93"/>
      <c r="IO658" s="20"/>
      <c r="IP658" s="29"/>
      <c r="IQ658" s="19"/>
      <c r="IR658" s="93"/>
      <c r="IS658" s="93"/>
      <c r="IT658" s="93"/>
      <c r="IU658" s="93"/>
      <c r="IV658" s="20"/>
      <c r="IW658" s="29"/>
      <c r="IX658" s="19"/>
      <c r="IY658" s="93"/>
      <c r="IZ658" s="93"/>
      <c r="JA658" s="93"/>
      <c r="JB658" s="93"/>
      <c r="JC658" s="93"/>
      <c r="JD658" s="93"/>
      <c r="JE658" s="20"/>
      <c r="JF658" s="29"/>
      <c r="JG658" s="19"/>
      <c r="JH658" s="93"/>
      <c r="JI658" s="93"/>
      <c r="JJ658" s="93"/>
      <c r="JK658" s="93"/>
      <c r="JL658" s="93"/>
      <c r="JM658" s="93"/>
      <c r="JN658" s="20"/>
      <c r="JO658" s="29"/>
      <c r="JP658" s="19"/>
      <c r="JQ658" s="93"/>
      <c r="JR658" s="93"/>
      <c r="JS658" s="93"/>
      <c r="JT658" s="93"/>
      <c r="JU658" s="20"/>
      <c r="JV658" s="29"/>
      <c r="JW658" s="1504">
        <v>54483</v>
      </c>
      <c r="JX658" s="19"/>
      <c r="JY658" s="93"/>
      <c r="JZ658" s="93"/>
      <c r="KA658" s="93"/>
      <c r="KB658" s="93"/>
      <c r="KC658" s="93"/>
      <c r="KD658" s="20"/>
      <c r="KE658" s="29"/>
      <c r="KF658" s="19"/>
      <c r="KG658" s="93"/>
      <c r="KH658" s="93"/>
      <c r="KI658" s="93"/>
      <c r="KJ658" s="93"/>
      <c r="KK658" s="20"/>
      <c r="KL658" s="29"/>
      <c r="KM658" s="19"/>
      <c r="KN658" s="93"/>
      <c r="KO658" s="93"/>
      <c r="KP658" s="93"/>
      <c r="KQ658" s="93"/>
      <c r="KR658" s="20"/>
      <c r="KS658" s="29"/>
      <c r="KT658" s="19"/>
      <c r="KU658" s="93"/>
      <c r="KV658" s="93"/>
      <c r="KW658" s="93"/>
      <c r="KX658" s="93"/>
      <c r="KY658" s="20"/>
      <c r="KZ658" s="29"/>
      <c r="LA658" s="1504">
        <v>54483</v>
      </c>
      <c r="LB658" s="19"/>
      <c r="LC658" s="93"/>
      <c r="LD658" s="93"/>
      <c r="LE658" s="93"/>
      <c r="LF658" s="93"/>
      <c r="LG658" s="93"/>
      <c r="LH658" s="20"/>
      <c r="LI658" s="29"/>
      <c r="LJ658" s="19"/>
      <c r="LK658" s="93"/>
      <c r="LL658" s="93"/>
      <c r="LM658" s="93"/>
      <c r="LN658" s="93"/>
      <c r="LO658" s="20"/>
      <c r="LP658" s="29"/>
      <c r="LQ658" s="19"/>
      <c r="LR658" s="93"/>
      <c r="LS658" s="93"/>
      <c r="LT658" s="93"/>
      <c r="LU658" s="93"/>
      <c r="LV658" s="93"/>
      <c r="LW658" s="93"/>
      <c r="LX658" s="93"/>
      <c r="LY658" s="93"/>
      <c r="LZ658" s="93"/>
      <c r="MA658" s="20"/>
      <c r="MB658" s="29"/>
      <c r="MC658" s="1504">
        <v>54483</v>
      </c>
      <c r="MD658" s="19"/>
      <c r="ME658" s="93"/>
      <c r="MF658" s="93"/>
      <c r="MG658" s="93"/>
      <c r="MH658" s="93"/>
      <c r="MI658" s="93"/>
      <c r="MJ658" s="93"/>
      <c r="MK658" s="93"/>
      <c r="ML658" s="93"/>
      <c r="MM658" s="93"/>
      <c r="MN658" s="93"/>
      <c r="MO658" s="93"/>
      <c r="MP658" s="93"/>
      <c r="MQ658" s="93"/>
      <c r="MR658" s="93"/>
      <c r="MS658" s="93"/>
      <c r="MT658" s="93"/>
      <c r="MU658" s="93"/>
      <c r="MV658" s="93"/>
      <c r="MW658" s="93"/>
      <c r="MX658" s="93"/>
      <c r="MY658" s="93"/>
      <c r="MZ658" s="93"/>
      <c r="NA658" s="93"/>
      <c r="NB658" s="93"/>
      <c r="NC658" s="93"/>
      <c r="ND658" s="93"/>
      <c r="NE658" s="93"/>
      <c r="NF658" s="93"/>
      <c r="NG658" s="93"/>
      <c r="NH658" s="93"/>
      <c r="NI658" s="93"/>
      <c r="NJ658" s="93"/>
      <c r="NK658" s="93"/>
      <c r="NL658" s="93"/>
      <c r="NM658" s="93"/>
      <c r="NN658" s="93"/>
      <c r="NO658" s="93"/>
      <c r="NP658" s="93"/>
      <c r="NQ658" s="93"/>
      <c r="NR658" s="93"/>
      <c r="NS658" s="93"/>
      <c r="NT658" s="93"/>
      <c r="NU658" s="93"/>
      <c r="NV658" s="93"/>
      <c r="NW658" s="93"/>
      <c r="NX658" s="93"/>
      <c r="NY658" s="93"/>
      <c r="NZ658" s="93"/>
      <c r="OA658" s="93"/>
      <c r="OB658" s="93"/>
      <c r="OC658" s="93"/>
      <c r="OD658" s="20"/>
      <c r="OE658" s="29"/>
      <c r="OF658" s="1504">
        <v>54483</v>
      </c>
      <c r="OG658" s="19"/>
      <c r="OH658" s="93"/>
      <c r="OI658" s="93"/>
      <c r="OJ658" s="93"/>
      <c r="OK658" s="93"/>
      <c r="OL658" s="93"/>
      <c r="OM658" s="93"/>
      <c r="ON658" s="93"/>
      <c r="OO658" s="93"/>
      <c r="OP658" s="93"/>
      <c r="OQ658" s="93"/>
      <c r="OR658" s="93"/>
      <c r="OS658" s="93"/>
      <c r="OT658" s="93"/>
      <c r="OU658" s="93"/>
      <c r="OV658" s="93"/>
      <c r="OW658" s="93"/>
      <c r="OX658" s="93"/>
      <c r="OY658" s="93"/>
      <c r="OZ658" s="93"/>
      <c r="PA658" s="93"/>
      <c r="PB658" s="93"/>
      <c r="PC658" s="20"/>
      <c r="PD658" s="29"/>
      <c r="PE658" s="19"/>
      <c r="PF658" s="93"/>
      <c r="PG658" s="93"/>
      <c r="PH658" s="93"/>
      <c r="PI658" s="93"/>
      <c r="PJ658" s="93"/>
      <c r="PK658" s="93"/>
      <c r="PL658" s="93"/>
      <c r="PM658" s="93"/>
      <c r="PN658" s="93"/>
      <c r="PO658" s="93"/>
      <c r="PP658" s="93"/>
      <c r="PQ658" s="93"/>
      <c r="PR658" s="93"/>
      <c r="PS658" s="93"/>
      <c r="PT658" s="93"/>
      <c r="PU658" s="93"/>
      <c r="PV658" s="93"/>
      <c r="PW658" s="93"/>
      <c r="PX658" s="93"/>
      <c r="PY658" s="93"/>
      <c r="PZ658" s="93"/>
      <c r="QA658" s="93"/>
      <c r="QB658" s="93"/>
      <c r="QC658" s="93"/>
      <c r="QD658" s="93"/>
      <c r="QE658" s="20"/>
      <c r="QF658" s="1739"/>
      <c r="QG658" s="19"/>
      <c r="QH658" s="93"/>
      <c r="QI658" s="93"/>
      <c r="QJ658" s="93"/>
      <c r="QK658" s="93"/>
      <c r="QL658" s="93"/>
      <c r="QM658" s="93"/>
      <c r="QN658" s="93"/>
      <c r="QO658" s="93"/>
      <c r="QP658" s="93"/>
      <c r="QQ658" s="93"/>
      <c r="QR658" s="93"/>
      <c r="QS658" s="93"/>
      <c r="QT658" s="93"/>
      <c r="QU658" s="93"/>
      <c r="QV658" s="93"/>
      <c r="QW658" s="93"/>
      <c r="QX658" s="93"/>
      <c r="QY658" s="93"/>
      <c r="QZ658" s="93"/>
      <c r="RA658" s="93"/>
      <c r="RB658" s="93"/>
      <c r="RC658" s="93"/>
      <c r="RD658" s="93"/>
      <c r="RE658" s="93"/>
      <c r="RF658" s="93"/>
      <c r="RG658" s="93"/>
      <c r="RH658" s="93"/>
      <c r="RI658" s="93"/>
      <c r="RJ658" s="93"/>
      <c r="RK658" s="93"/>
      <c r="RL658" s="93"/>
      <c r="RM658" s="20"/>
      <c r="RN658" s="29"/>
      <c r="RO658" s="19"/>
      <c r="RP658" s="20"/>
      <c r="RQ658" s="29"/>
      <c r="RR658" s="20"/>
      <c r="RS658" s="29"/>
      <c r="RT658" s="1504">
        <v>54483</v>
      </c>
      <c r="RU658" s="19"/>
      <c r="RV658" s="20"/>
      <c r="RW658" s="29"/>
      <c r="RX658" s="1504">
        <v>54483</v>
      </c>
      <c r="RY658" s="29"/>
      <c r="RZ658" s="20"/>
      <c r="SA658" s="29"/>
      <c r="SB658" s="29"/>
    </row>
    <row r="659" spans="1:496">
      <c r="A659" s="41">
        <f t="shared" si="364"/>
        <v>2049</v>
      </c>
      <c r="B659" s="1504">
        <v>54514</v>
      </c>
      <c r="C659" s="1813"/>
      <c r="D659" s="1814"/>
      <c r="E659" s="1814"/>
      <c r="F659" s="1815"/>
      <c r="G659" s="1814"/>
      <c r="H659" s="1814"/>
      <c r="I659" s="1814"/>
      <c r="J659" s="1816"/>
      <c r="K659" s="1807"/>
      <c r="L659" s="25"/>
      <c r="M659" s="97"/>
      <c r="N659" s="1504">
        <v>54514</v>
      </c>
      <c r="O659" s="19"/>
      <c r="P659" s="93"/>
      <c r="Q659" s="93"/>
      <c r="R659" s="93"/>
      <c r="S659" s="93"/>
      <c r="T659" s="93"/>
      <c r="U659" s="93"/>
      <c r="V659" s="93"/>
      <c r="W659" s="93"/>
      <c r="X659" s="93"/>
      <c r="Y659" s="93"/>
      <c r="Z659" s="93"/>
      <c r="AA659" s="93"/>
      <c r="AB659" s="20"/>
      <c r="AC659" s="25"/>
      <c r="AD659" s="97"/>
      <c r="AE659" s="1504">
        <v>54514</v>
      </c>
      <c r="AF659" s="19"/>
      <c r="AG659" s="93"/>
      <c r="AH659" s="93"/>
      <c r="AI659" s="93"/>
      <c r="AJ659" s="93"/>
      <c r="AK659" s="93"/>
      <c r="AL659" s="93"/>
      <c r="AM659" s="93"/>
      <c r="AN659" s="93"/>
      <c r="AO659" s="93"/>
      <c r="AP659" s="93"/>
      <c r="AQ659" s="93"/>
      <c r="AR659" s="93"/>
      <c r="AS659" s="20"/>
      <c r="AT659" s="25"/>
      <c r="AU659" s="97"/>
      <c r="AV659" s="1504">
        <v>54514</v>
      </c>
      <c r="AW659" s="19"/>
      <c r="AX659" s="93"/>
      <c r="AY659" s="93"/>
      <c r="AZ659" s="93"/>
      <c r="BA659" s="93"/>
      <c r="BB659" s="93"/>
      <c r="BC659" s="93"/>
      <c r="BD659" s="93"/>
      <c r="BE659" s="93"/>
      <c r="BF659" s="93"/>
      <c r="BG659" s="93"/>
      <c r="BH659" s="93"/>
      <c r="BI659" s="93"/>
      <c r="BJ659" s="20"/>
      <c r="BK659" s="25"/>
      <c r="BL659" s="97"/>
      <c r="BM659" s="1504">
        <v>54514</v>
      </c>
      <c r="BN659" s="19"/>
      <c r="BO659" s="93"/>
      <c r="BP659" s="93"/>
      <c r="BQ659" s="93"/>
      <c r="BR659" s="93"/>
      <c r="BS659" s="93"/>
      <c r="BT659" s="93"/>
      <c r="BU659" s="20"/>
      <c r="BV659" s="25"/>
      <c r="BW659" s="97"/>
      <c r="BX659" s="1504">
        <v>54514</v>
      </c>
      <c r="BY659" s="19"/>
      <c r="BZ659" s="93"/>
      <c r="CA659" s="93"/>
      <c r="CB659" s="93"/>
      <c r="CC659" s="93"/>
      <c r="CD659" s="25"/>
      <c r="CE659" s="97"/>
      <c r="CF659" s="1504">
        <v>54514</v>
      </c>
      <c r="CG659" s="19"/>
      <c r="CH659" s="93"/>
      <c r="CI659" s="219"/>
      <c r="CJ659" s="20"/>
      <c r="CK659" s="19"/>
      <c r="CL659" s="93"/>
      <c r="CM659" s="93"/>
      <c r="CN659" s="93"/>
      <c r="CO659" s="93"/>
      <c r="CP659" s="20"/>
      <c r="CQ659" s="219"/>
      <c r="CR659" s="93"/>
      <c r="CS659" s="93"/>
      <c r="CT659" s="93"/>
      <c r="CU659" s="93"/>
      <c r="CV659" s="214"/>
      <c r="CW659" s="29"/>
      <c r="CX659" s="41">
        <f t="shared" si="365"/>
        <v>2049</v>
      </c>
      <c r="CY659" s="1504">
        <v>54514</v>
      </c>
      <c r="CZ659" s="19"/>
      <c r="DA659" s="93"/>
      <c r="DB659" s="93"/>
      <c r="DC659" s="93"/>
      <c r="DD659" s="93"/>
      <c r="DE659" s="20"/>
      <c r="DF659" s="29"/>
      <c r="DG659" s="1504">
        <v>54514</v>
      </c>
      <c r="DH659" s="19"/>
      <c r="DI659" s="93"/>
      <c r="DJ659" s="93"/>
      <c r="DK659" s="93"/>
      <c r="DL659" s="93"/>
      <c r="DM659" s="93"/>
      <c r="DN659" s="20"/>
      <c r="DO659" s="295"/>
      <c r="DP659" s="29"/>
      <c r="DQ659" s="1504">
        <v>54514</v>
      </c>
      <c r="DR659" s="19"/>
      <c r="DS659" s="93"/>
      <c r="DT659" s="93"/>
      <c r="DU659" s="93"/>
      <c r="DV659" s="93"/>
      <c r="DW659" s="93"/>
      <c r="DX659" s="20"/>
      <c r="DY659" s="29"/>
      <c r="DZ659" s="1504">
        <v>54514</v>
      </c>
      <c r="EA659" s="19"/>
      <c r="EB659" s="93"/>
      <c r="EC659" s="20"/>
      <c r="ED659" s="29"/>
      <c r="EE659" s="1504">
        <v>54514</v>
      </c>
      <c r="EF659" s="19"/>
      <c r="EG659" s="93"/>
      <c r="EH659" s="93"/>
      <c r="EI659" s="214"/>
      <c r="EJ659" s="93"/>
      <c r="EK659" s="93"/>
      <c r="EL659" s="93"/>
      <c r="EM659" s="93"/>
      <c r="EN659" s="20"/>
      <c r="EO659" s="29"/>
      <c r="EP659" s="1504">
        <v>54514</v>
      </c>
      <c r="EQ659" s="19"/>
      <c r="ER659" s="93"/>
      <c r="ES659" s="93"/>
      <c r="ET659" s="214"/>
      <c r="EU659" s="93"/>
      <c r="EV659" s="93"/>
      <c r="EW659" s="93"/>
      <c r="EX659" s="93"/>
      <c r="EY659" s="20"/>
      <c r="EZ659" s="29"/>
      <c r="FA659" s="1504">
        <v>54514</v>
      </c>
      <c r="FB659" s="29"/>
      <c r="FC659" s="29"/>
      <c r="FD659" s="29"/>
      <c r="FE659" s="29"/>
      <c r="FF659" s="29"/>
      <c r="FG659" s="29"/>
      <c r="FH659" s="29"/>
      <c r="FI659" s="29"/>
      <c r="FJ659" s="29"/>
      <c r="FK659" s="29"/>
      <c r="FL659" s="1504">
        <v>54514</v>
      </c>
      <c r="FM659" s="19"/>
      <c r="FN659" s="93"/>
      <c r="FO659" s="93"/>
      <c r="FP659" s="93"/>
      <c r="FQ659" s="93"/>
      <c r="FR659" s="93"/>
      <c r="FS659" s="93"/>
      <c r="FT659" s="93"/>
      <c r="FU659" s="93"/>
      <c r="FV659" s="93"/>
      <c r="FW659" s="93"/>
      <c r="FX659" s="93"/>
      <c r="FY659" s="93"/>
      <c r="FZ659" s="29"/>
      <c r="GA659" s="1504">
        <v>54514</v>
      </c>
      <c r="GB659" s="19"/>
      <c r="GC659" s="93"/>
      <c r="GD659" s="93"/>
      <c r="GE659" s="93"/>
      <c r="GF659" s="93"/>
      <c r="GG659" s="93"/>
      <c r="GH659" s="93"/>
      <c r="GI659" s="93"/>
      <c r="GJ659" s="93"/>
      <c r="GK659" s="93"/>
      <c r="GL659" s="93"/>
      <c r="GM659" s="93"/>
      <c r="GN659" s="20"/>
      <c r="GO659" s="29"/>
      <c r="GP659" s="1504">
        <v>54514</v>
      </c>
      <c r="GQ659" s="19"/>
      <c r="GR659" s="93"/>
      <c r="GS659" s="93"/>
      <c r="GT659" s="93"/>
      <c r="GU659" s="93"/>
      <c r="GV659" s="20"/>
      <c r="GW659" s="19"/>
      <c r="GX659" s="93"/>
      <c r="GY659" s="93"/>
      <c r="GZ659" s="93"/>
      <c r="HA659" s="93"/>
      <c r="HB659" s="20"/>
      <c r="HC659" s="19"/>
      <c r="HD659" s="93"/>
      <c r="HE659" s="93"/>
      <c r="HF659" s="93"/>
      <c r="HG659" s="93"/>
      <c r="HH659" s="20"/>
      <c r="HI659" s="19"/>
      <c r="HJ659" s="93"/>
      <c r="HK659" s="93"/>
      <c r="HL659" s="93"/>
      <c r="HM659" s="93"/>
      <c r="HN659" s="20"/>
      <c r="HO659" s="219"/>
      <c r="HP659" s="20"/>
      <c r="HQ659" s="25"/>
      <c r="HR659" s="29"/>
      <c r="HS659" s="1504">
        <v>54514</v>
      </c>
      <c r="HT659" s="19"/>
      <c r="HU659" s="93"/>
      <c r="HV659" s="93"/>
      <c r="HW659" s="93"/>
      <c r="HX659" s="93"/>
      <c r="HY659" s="93"/>
      <c r="HZ659" s="93"/>
      <c r="IA659" s="20"/>
      <c r="IB659" s="19"/>
      <c r="IC659" s="93"/>
      <c r="ID659" s="93"/>
      <c r="IE659" s="93"/>
      <c r="IF659" s="93"/>
      <c r="IG659" s="20"/>
      <c r="IH659" s="19"/>
      <c r="II659" s="93"/>
      <c r="IJ659" s="93"/>
      <c r="IK659" s="93"/>
      <c r="IL659" s="93"/>
      <c r="IM659" s="93"/>
      <c r="IN659" s="93"/>
      <c r="IO659" s="20"/>
      <c r="IP659" s="29"/>
      <c r="IQ659" s="19"/>
      <c r="IR659" s="93"/>
      <c r="IS659" s="93"/>
      <c r="IT659" s="93"/>
      <c r="IU659" s="93"/>
      <c r="IV659" s="20"/>
      <c r="IW659" s="29"/>
      <c r="IX659" s="19"/>
      <c r="IY659" s="93"/>
      <c r="IZ659" s="93"/>
      <c r="JA659" s="93"/>
      <c r="JB659" s="93"/>
      <c r="JC659" s="93"/>
      <c r="JD659" s="93"/>
      <c r="JE659" s="20"/>
      <c r="JF659" s="29"/>
      <c r="JG659" s="19"/>
      <c r="JH659" s="93"/>
      <c r="JI659" s="93"/>
      <c r="JJ659" s="93"/>
      <c r="JK659" s="93"/>
      <c r="JL659" s="93"/>
      <c r="JM659" s="93"/>
      <c r="JN659" s="20"/>
      <c r="JO659" s="29"/>
      <c r="JP659" s="19"/>
      <c r="JQ659" s="93"/>
      <c r="JR659" s="93"/>
      <c r="JS659" s="93"/>
      <c r="JT659" s="93"/>
      <c r="JU659" s="20"/>
      <c r="JV659" s="29"/>
      <c r="JW659" s="1504">
        <v>54514</v>
      </c>
      <c r="JX659" s="19"/>
      <c r="JY659" s="93"/>
      <c r="JZ659" s="93"/>
      <c r="KA659" s="93"/>
      <c r="KB659" s="93"/>
      <c r="KC659" s="93"/>
      <c r="KD659" s="20"/>
      <c r="KE659" s="29"/>
      <c r="KF659" s="19"/>
      <c r="KG659" s="93"/>
      <c r="KH659" s="93"/>
      <c r="KI659" s="93"/>
      <c r="KJ659" s="93"/>
      <c r="KK659" s="20"/>
      <c r="KL659" s="29"/>
      <c r="KM659" s="19"/>
      <c r="KN659" s="93"/>
      <c r="KO659" s="93"/>
      <c r="KP659" s="93"/>
      <c r="KQ659" s="93"/>
      <c r="KR659" s="20"/>
      <c r="KS659" s="29"/>
      <c r="KT659" s="19"/>
      <c r="KU659" s="93"/>
      <c r="KV659" s="93"/>
      <c r="KW659" s="93"/>
      <c r="KX659" s="93"/>
      <c r="KY659" s="20"/>
      <c r="KZ659" s="29"/>
      <c r="LA659" s="1504">
        <v>54514</v>
      </c>
      <c r="LB659" s="19"/>
      <c r="LC659" s="93"/>
      <c r="LD659" s="93"/>
      <c r="LE659" s="93"/>
      <c r="LF659" s="93"/>
      <c r="LG659" s="93"/>
      <c r="LH659" s="20"/>
      <c r="LI659" s="29"/>
      <c r="LJ659" s="19"/>
      <c r="LK659" s="93"/>
      <c r="LL659" s="93"/>
      <c r="LM659" s="93"/>
      <c r="LN659" s="93"/>
      <c r="LO659" s="20"/>
      <c r="LP659" s="29"/>
      <c r="LQ659" s="19"/>
      <c r="LR659" s="93"/>
      <c r="LS659" s="93"/>
      <c r="LT659" s="93"/>
      <c r="LU659" s="93"/>
      <c r="LV659" s="93"/>
      <c r="LW659" s="93"/>
      <c r="LX659" s="93"/>
      <c r="LY659" s="93"/>
      <c r="LZ659" s="93"/>
      <c r="MA659" s="20"/>
      <c r="MB659" s="29"/>
      <c r="MC659" s="1504">
        <v>54514</v>
      </c>
      <c r="MD659" s="19"/>
      <c r="ME659" s="93"/>
      <c r="MF659" s="93"/>
      <c r="MG659" s="93"/>
      <c r="MH659" s="93"/>
      <c r="MI659" s="93"/>
      <c r="MJ659" s="93"/>
      <c r="MK659" s="93"/>
      <c r="ML659" s="93"/>
      <c r="MM659" s="93"/>
      <c r="MN659" s="93"/>
      <c r="MO659" s="93"/>
      <c r="MP659" s="93"/>
      <c r="MQ659" s="93"/>
      <c r="MR659" s="93"/>
      <c r="MS659" s="93"/>
      <c r="MT659" s="93"/>
      <c r="MU659" s="93"/>
      <c r="MV659" s="93"/>
      <c r="MW659" s="93"/>
      <c r="MX659" s="93"/>
      <c r="MY659" s="93"/>
      <c r="MZ659" s="93"/>
      <c r="NA659" s="93"/>
      <c r="NB659" s="93"/>
      <c r="NC659" s="93"/>
      <c r="ND659" s="93"/>
      <c r="NE659" s="93"/>
      <c r="NF659" s="93"/>
      <c r="NG659" s="93"/>
      <c r="NH659" s="93"/>
      <c r="NI659" s="93"/>
      <c r="NJ659" s="93"/>
      <c r="NK659" s="93"/>
      <c r="NL659" s="93"/>
      <c r="NM659" s="93"/>
      <c r="NN659" s="93"/>
      <c r="NO659" s="93"/>
      <c r="NP659" s="93"/>
      <c r="NQ659" s="93"/>
      <c r="NR659" s="93"/>
      <c r="NS659" s="93"/>
      <c r="NT659" s="93"/>
      <c r="NU659" s="93"/>
      <c r="NV659" s="93"/>
      <c r="NW659" s="93"/>
      <c r="NX659" s="93"/>
      <c r="NY659" s="93"/>
      <c r="NZ659" s="93"/>
      <c r="OA659" s="93"/>
      <c r="OB659" s="93"/>
      <c r="OC659" s="93"/>
      <c r="OD659" s="20"/>
      <c r="OE659" s="29"/>
      <c r="OF659" s="1504">
        <v>54514</v>
      </c>
      <c r="OG659" s="19"/>
      <c r="OH659" s="93"/>
      <c r="OI659" s="93"/>
      <c r="OJ659" s="93"/>
      <c r="OK659" s="93"/>
      <c r="OL659" s="93"/>
      <c r="OM659" s="93"/>
      <c r="ON659" s="93"/>
      <c r="OO659" s="93"/>
      <c r="OP659" s="93"/>
      <c r="OQ659" s="93"/>
      <c r="OR659" s="93"/>
      <c r="OS659" s="93"/>
      <c r="OT659" s="93"/>
      <c r="OU659" s="93"/>
      <c r="OV659" s="93"/>
      <c r="OW659" s="93"/>
      <c r="OX659" s="93"/>
      <c r="OY659" s="93"/>
      <c r="OZ659" s="93"/>
      <c r="PA659" s="93"/>
      <c r="PB659" s="93"/>
      <c r="PC659" s="20"/>
      <c r="PD659" s="29"/>
      <c r="PE659" s="19"/>
      <c r="PF659" s="93"/>
      <c r="PG659" s="93"/>
      <c r="PH659" s="93"/>
      <c r="PI659" s="93"/>
      <c r="PJ659" s="93"/>
      <c r="PK659" s="93"/>
      <c r="PL659" s="93"/>
      <c r="PM659" s="93"/>
      <c r="PN659" s="93"/>
      <c r="PO659" s="93"/>
      <c r="PP659" s="93"/>
      <c r="PQ659" s="93"/>
      <c r="PR659" s="93"/>
      <c r="PS659" s="93"/>
      <c r="PT659" s="93"/>
      <c r="PU659" s="93"/>
      <c r="PV659" s="93"/>
      <c r="PW659" s="93"/>
      <c r="PX659" s="93"/>
      <c r="PY659" s="93"/>
      <c r="PZ659" s="93"/>
      <c r="QA659" s="93"/>
      <c r="QB659" s="93"/>
      <c r="QC659" s="93"/>
      <c r="QD659" s="93"/>
      <c r="QE659" s="20"/>
      <c r="QF659" s="1739"/>
      <c r="QG659" s="19"/>
      <c r="QH659" s="93"/>
      <c r="QI659" s="93"/>
      <c r="QJ659" s="93"/>
      <c r="QK659" s="93"/>
      <c r="QL659" s="93"/>
      <c r="QM659" s="93"/>
      <c r="QN659" s="93"/>
      <c r="QO659" s="93"/>
      <c r="QP659" s="93"/>
      <c r="QQ659" s="93"/>
      <c r="QR659" s="93"/>
      <c r="QS659" s="93"/>
      <c r="QT659" s="93"/>
      <c r="QU659" s="93"/>
      <c r="QV659" s="93"/>
      <c r="QW659" s="93"/>
      <c r="QX659" s="93"/>
      <c r="QY659" s="93"/>
      <c r="QZ659" s="93"/>
      <c r="RA659" s="93"/>
      <c r="RB659" s="93"/>
      <c r="RC659" s="93"/>
      <c r="RD659" s="93"/>
      <c r="RE659" s="93"/>
      <c r="RF659" s="93"/>
      <c r="RG659" s="93"/>
      <c r="RH659" s="93"/>
      <c r="RI659" s="93"/>
      <c r="RJ659" s="93"/>
      <c r="RK659" s="93"/>
      <c r="RL659" s="93"/>
      <c r="RM659" s="20"/>
      <c r="RN659" s="29"/>
      <c r="RO659" s="19"/>
      <c r="RP659" s="20"/>
      <c r="RQ659" s="29"/>
      <c r="RR659" s="20"/>
      <c r="RS659" s="29"/>
      <c r="RT659" s="1504">
        <v>54514</v>
      </c>
      <c r="RU659" s="19"/>
      <c r="RV659" s="20"/>
      <c r="RW659" s="29"/>
      <c r="RX659" s="1504">
        <v>54514</v>
      </c>
      <c r="RY659" s="29"/>
      <c r="RZ659" s="20"/>
      <c r="SA659" s="29"/>
      <c r="SB659" s="29"/>
    </row>
    <row r="660" spans="1:496">
      <c r="A660" s="41">
        <f t="shared" si="364"/>
        <v>2049</v>
      </c>
      <c r="B660" s="1504">
        <v>54544</v>
      </c>
      <c r="C660" s="1813"/>
      <c r="D660" s="1814"/>
      <c r="E660" s="1814"/>
      <c r="F660" s="1815"/>
      <c r="G660" s="1814"/>
      <c r="H660" s="1814"/>
      <c r="I660" s="1814"/>
      <c r="J660" s="1816"/>
      <c r="K660" s="1807"/>
      <c r="L660" s="25"/>
      <c r="M660" s="97"/>
      <c r="N660" s="1504">
        <v>54544</v>
      </c>
      <c r="O660" s="19"/>
      <c r="P660" s="93"/>
      <c r="Q660" s="93"/>
      <c r="R660" s="93"/>
      <c r="S660" s="93"/>
      <c r="T660" s="93"/>
      <c r="U660" s="93"/>
      <c r="V660" s="93"/>
      <c r="W660" s="93"/>
      <c r="X660" s="93"/>
      <c r="Y660" s="93"/>
      <c r="Z660" s="93"/>
      <c r="AA660" s="93"/>
      <c r="AB660" s="20"/>
      <c r="AC660" s="25"/>
      <c r="AD660" s="97"/>
      <c r="AE660" s="1504">
        <v>54544</v>
      </c>
      <c r="AF660" s="19"/>
      <c r="AG660" s="93"/>
      <c r="AH660" s="93"/>
      <c r="AI660" s="93"/>
      <c r="AJ660" s="93"/>
      <c r="AK660" s="93"/>
      <c r="AL660" s="93"/>
      <c r="AM660" s="93"/>
      <c r="AN660" s="93"/>
      <c r="AO660" s="93"/>
      <c r="AP660" s="93"/>
      <c r="AQ660" s="93"/>
      <c r="AR660" s="93"/>
      <c r="AS660" s="20"/>
      <c r="AT660" s="25"/>
      <c r="AU660" s="97"/>
      <c r="AV660" s="1504">
        <v>54544</v>
      </c>
      <c r="AW660" s="19"/>
      <c r="AX660" s="93"/>
      <c r="AY660" s="93"/>
      <c r="AZ660" s="93"/>
      <c r="BA660" s="93"/>
      <c r="BB660" s="93"/>
      <c r="BC660" s="93"/>
      <c r="BD660" s="93"/>
      <c r="BE660" s="93"/>
      <c r="BF660" s="93"/>
      <c r="BG660" s="93"/>
      <c r="BH660" s="93"/>
      <c r="BI660" s="93"/>
      <c r="BJ660" s="20"/>
      <c r="BK660" s="25"/>
      <c r="BL660" s="97"/>
      <c r="BM660" s="1504">
        <v>54544</v>
      </c>
      <c r="BN660" s="19"/>
      <c r="BO660" s="93"/>
      <c r="BP660" s="93"/>
      <c r="BQ660" s="93"/>
      <c r="BR660" s="93"/>
      <c r="BS660" s="93"/>
      <c r="BT660" s="93"/>
      <c r="BU660" s="20"/>
      <c r="BV660" s="25"/>
      <c r="BW660" s="97"/>
      <c r="BX660" s="1504">
        <v>54544</v>
      </c>
      <c r="BY660" s="19"/>
      <c r="BZ660" s="93"/>
      <c r="CA660" s="93"/>
      <c r="CB660" s="93"/>
      <c r="CC660" s="93"/>
      <c r="CD660" s="25"/>
      <c r="CE660" s="97"/>
      <c r="CF660" s="1504">
        <v>54544</v>
      </c>
      <c r="CG660" s="19"/>
      <c r="CH660" s="93"/>
      <c r="CI660" s="219"/>
      <c r="CJ660" s="20"/>
      <c r="CK660" s="19"/>
      <c r="CL660" s="93"/>
      <c r="CM660" s="93"/>
      <c r="CN660" s="93"/>
      <c r="CO660" s="93"/>
      <c r="CP660" s="20"/>
      <c r="CQ660" s="219"/>
      <c r="CR660" s="93"/>
      <c r="CS660" s="93"/>
      <c r="CT660" s="93"/>
      <c r="CU660" s="93"/>
      <c r="CV660" s="214"/>
      <c r="CW660" s="29"/>
      <c r="CX660" s="41">
        <f t="shared" si="365"/>
        <v>2049</v>
      </c>
      <c r="CY660" s="1504">
        <v>54544</v>
      </c>
      <c r="CZ660" s="19"/>
      <c r="DA660" s="93"/>
      <c r="DB660" s="93"/>
      <c r="DC660" s="93"/>
      <c r="DD660" s="93"/>
      <c r="DE660" s="20"/>
      <c r="DF660" s="29"/>
      <c r="DG660" s="1504">
        <v>54544</v>
      </c>
      <c r="DH660" s="19"/>
      <c r="DI660" s="93"/>
      <c r="DJ660" s="93"/>
      <c r="DK660" s="93"/>
      <c r="DL660" s="93"/>
      <c r="DM660" s="93"/>
      <c r="DN660" s="20"/>
      <c r="DO660" s="295"/>
      <c r="DP660" s="29"/>
      <c r="DQ660" s="1504">
        <v>54544</v>
      </c>
      <c r="DR660" s="19"/>
      <c r="DS660" s="93"/>
      <c r="DT660" s="93"/>
      <c r="DU660" s="93"/>
      <c r="DV660" s="93"/>
      <c r="DW660" s="93"/>
      <c r="DX660" s="20"/>
      <c r="DY660" s="29"/>
      <c r="DZ660" s="1504">
        <v>54544</v>
      </c>
      <c r="EA660" s="19"/>
      <c r="EB660" s="93"/>
      <c r="EC660" s="20"/>
      <c r="ED660" s="29"/>
      <c r="EE660" s="1504">
        <v>54544</v>
      </c>
      <c r="EF660" s="19"/>
      <c r="EG660" s="93"/>
      <c r="EH660" s="93"/>
      <c r="EI660" s="214"/>
      <c r="EJ660" s="93"/>
      <c r="EK660" s="93"/>
      <c r="EL660" s="93"/>
      <c r="EM660" s="93"/>
      <c r="EN660" s="20"/>
      <c r="EO660" s="29"/>
      <c r="EP660" s="1504">
        <v>54544</v>
      </c>
      <c r="EQ660" s="19"/>
      <c r="ER660" s="93"/>
      <c r="ES660" s="93"/>
      <c r="ET660" s="214"/>
      <c r="EU660" s="93"/>
      <c r="EV660" s="93"/>
      <c r="EW660" s="93"/>
      <c r="EX660" s="93"/>
      <c r="EY660" s="20"/>
      <c r="EZ660" s="29"/>
      <c r="FA660" s="1504">
        <v>54544</v>
      </c>
      <c r="FB660" s="29"/>
      <c r="FC660" s="29"/>
      <c r="FD660" s="29"/>
      <c r="FE660" s="29"/>
      <c r="FF660" s="29"/>
      <c r="FG660" s="29"/>
      <c r="FH660" s="29"/>
      <c r="FI660" s="29"/>
      <c r="FJ660" s="29"/>
      <c r="FK660" s="29"/>
      <c r="FL660" s="1504">
        <v>54544</v>
      </c>
      <c r="FM660" s="19"/>
      <c r="FN660" s="93"/>
      <c r="FO660" s="93"/>
      <c r="FP660" s="93"/>
      <c r="FQ660" s="93"/>
      <c r="FR660" s="93"/>
      <c r="FS660" s="93"/>
      <c r="FT660" s="93"/>
      <c r="FU660" s="93"/>
      <c r="FV660" s="93"/>
      <c r="FW660" s="93"/>
      <c r="FX660" s="93"/>
      <c r="FY660" s="93"/>
      <c r="FZ660" s="29"/>
      <c r="GA660" s="1504">
        <v>54544</v>
      </c>
      <c r="GB660" s="19"/>
      <c r="GC660" s="93"/>
      <c r="GD660" s="93"/>
      <c r="GE660" s="93"/>
      <c r="GF660" s="93"/>
      <c r="GG660" s="93"/>
      <c r="GH660" s="93"/>
      <c r="GI660" s="93"/>
      <c r="GJ660" s="93"/>
      <c r="GK660" s="93"/>
      <c r="GL660" s="93"/>
      <c r="GM660" s="93"/>
      <c r="GN660" s="20"/>
      <c r="GO660" s="29"/>
      <c r="GP660" s="1504">
        <v>54544</v>
      </c>
      <c r="GQ660" s="19"/>
      <c r="GR660" s="93"/>
      <c r="GS660" s="93"/>
      <c r="GT660" s="93"/>
      <c r="GU660" s="93"/>
      <c r="GV660" s="20"/>
      <c r="GW660" s="19"/>
      <c r="GX660" s="93"/>
      <c r="GY660" s="93"/>
      <c r="GZ660" s="93"/>
      <c r="HA660" s="93"/>
      <c r="HB660" s="20"/>
      <c r="HC660" s="19"/>
      <c r="HD660" s="93"/>
      <c r="HE660" s="93"/>
      <c r="HF660" s="93"/>
      <c r="HG660" s="93"/>
      <c r="HH660" s="20"/>
      <c r="HI660" s="19"/>
      <c r="HJ660" s="93"/>
      <c r="HK660" s="93"/>
      <c r="HL660" s="93"/>
      <c r="HM660" s="93"/>
      <c r="HN660" s="20"/>
      <c r="HO660" s="219"/>
      <c r="HP660" s="20"/>
      <c r="HQ660" s="25"/>
      <c r="HR660" s="29"/>
      <c r="HS660" s="1504">
        <v>54544</v>
      </c>
      <c r="HT660" s="19"/>
      <c r="HU660" s="93"/>
      <c r="HV660" s="93"/>
      <c r="HW660" s="93"/>
      <c r="HX660" s="93"/>
      <c r="HY660" s="93"/>
      <c r="HZ660" s="93"/>
      <c r="IA660" s="20"/>
      <c r="IB660" s="19"/>
      <c r="IC660" s="93"/>
      <c r="ID660" s="93"/>
      <c r="IE660" s="93"/>
      <c r="IF660" s="93"/>
      <c r="IG660" s="20"/>
      <c r="IH660" s="19"/>
      <c r="II660" s="93"/>
      <c r="IJ660" s="93"/>
      <c r="IK660" s="93"/>
      <c r="IL660" s="93"/>
      <c r="IM660" s="93"/>
      <c r="IN660" s="93"/>
      <c r="IO660" s="20"/>
      <c r="IP660" s="29"/>
      <c r="IQ660" s="19"/>
      <c r="IR660" s="93"/>
      <c r="IS660" s="93"/>
      <c r="IT660" s="93"/>
      <c r="IU660" s="93"/>
      <c r="IV660" s="20"/>
      <c r="IW660" s="29"/>
      <c r="IX660" s="19"/>
      <c r="IY660" s="93"/>
      <c r="IZ660" s="93"/>
      <c r="JA660" s="93"/>
      <c r="JB660" s="93"/>
      <c r="JC660" s="93"/>
      <c r="JD660" s="93"/>
      <c r="JE660" s="20"/>
      <c r="JF660" s="29"/>
      <c r="JG660" s="19"/>
      <c r="JH660" s="93"/>
      <c r="JI660" s="93"/>
      <c r="JJ660" s="93"/>
      <c r="JK660" s="93"/>
      <c r="JL660" s="93"/>
      <c r="JM660" s="93"/>
      <c r="JN660" s="20"/>
      <c r="JO660" s="29"/>
      <c r="JP660" s="19"/>
      <c r="JQ660" s="93"/>
      <c r="JR660" s="93"/>
      <c r="JS660" s="93"/>
      <c r="JT660" s="93"/>
      <c r="JU660" s="20"/>
      <c r="JV660" s="29"/>
      <c r="JW660" s="1504">
        <v>54544</v>
      </c>
      <c r="JX660" s="19"/>
      <c r="JY660" s="93"/>
      <c r="JZ660" s="93"/>
      <c r="KA660" s="93"/>
      <c r="KB660" s="93"/>
      <c r="KC660" s="93"/>
      <c r="KD660" s="20"/>
      <c r="KE660" s="29"/>
      <c r="KF660" s="19"/>
      <c r="KG660" s="93"/>
      <c r="KH660" s="93"/>
      <c r="KI660" s="93"/>
      <c r="KJ660" s="93"/>
      <c r="KK660" s="20"/>
      <c r="KL660" s="29"/>
      <c r="KM660" s="19"/>
      <c r="KN660" s="93"/>
      <c r="KO660" s="93"/>
      <c r="KP660" s="93"/>
      <c r="KQ660" s="93"/>
      <c r="KR660" s="20"/>
      <c r="KS660" s="29"/>
      <c r="KT660" s="19"/>
      <c r="KU660" s="93"/>
      <c r="KV660" s="93"/>
      <c r="KW660" s="93"/>
      <c r="KX660" s="93"/>
      <c r="KY660" s="20"/>
      <c r="KZ660" s="29"/>
      <c r="LA660" s="1504">
        <v>54544</v>
      </c>
      <c r="LB660" s="19"/>
      <c r="LC660" s="93"/>
      <c r="LD660" s="93"/>
      <c r="LE660" s="93"/>
      <c r="LF660" s="93"/>
      <c r="LG660" s="93"/>
      <c r="LH660" s="20"/>
      <c r="LI660" s="29"/>
      <c r="LJ660" s="19"/>
      <c r="LK660" s="93"/>
      <c r="LL660" s="93"/>
      <c r="LM660" s="93"/>
      <c r="LN660" s="93"/>
      <c r="LO660" s="20"/>
      <c r="LP660" s="29"/>
      <c r="LQ660" s="19"/>
      <c r="LR660" s="93"/>
      <c r="LS660" s="93"/>
      <c r="LT660" s="93"/>
      <c r="LU660" s="93"/>
      <c r="LV660" s="93"/>
      <c r="LW660" s="93"/>
      <c r="LX660" s="93"/>
      <c r="LY660" s="93"/>
      <c r="LZ660" s="93"/>
      <c r="MA660" s="20"/>
      <c r="MB660" s="29"/>
      <c r="MC660" s="1504">
        <v>54544</v>
      </c>
      <c r="MD660" s="19"/>
      <c r="ME660" s="93"/>
      <c r="MF660" s="93"/>
      <c r="MG660" s="93"/>
      <c r="MH660" s="93"/>
      <c r="MI660" s="93"/>
      <c r="MJ660" s="93"/>
      <c r="MK660" s="93"/>
      <c r="ML660" s="93"/>
      <c r="MM660" s="93"/>
      <c r="MN660" s="93"/>
      <c r="MO660" s="93"/>
      <c r="MP660" s="93"/>
      <c r="MQ660" s="93"/>
      <c r="MR660" s="93"/>
      <c r="MS660" s="93"/>
      <c r="MT660" s="93"/>
      <c r="MU660" s="93"/>
      <c r="MV660" s="93"/>
      <c r="MW660" s="93"/>
      <c r="MX660" s="93"/>
      <c r="MY660" s="93"/>
      <c r="MZ660" s="93"/>
      <c r="NA660" s="93"/>
      <c r="NB660" s="93"/>
      <c r="NC660" s="93"/>
      <c r="ND660" s="93"/>
      <c r="NE660" s="93"/>
      <c r="NF660" s="93"/>
      <c r="NG660" s="93"/>
      <c r="NH660" s="93"/>
      <c r="NI660" s="93"/>
      <c r="NJ660" s="93"/>
      <c r="NK660" s="93"/>
      <c r="NL660" s="93"/>
      <c r="NM660" s="93"/>
      <c r="NN660" s="93"/>
      <c r="NO660" s="93"/>
      <c r="NP660" s="93"/>
      <c r="NQ660" s="93"/>
      <c r="NR660" s="93"/>
      <c r="NS660" s="93"/>
      <c r="NT660" s="93"/>
      <c r="NU660" s="93"/>
      <c r="NV660" s="93"/>
      <c r="NW660" s="93"/>
      <c r="NX660" s="93"/>
      <c r="NY660" s="93"/>
      <c r="NZ660" s="93"/>
      <c r="OA660" s="93"/>
      <c r="OB660" s="93"/>
      <c r="OC660" s="93"/>
      <c r="OD660" s="20"/>
      <c r="OE660" s="29"/>
      <c r="OF660" s="1504">
        <v>54544</v>
      </c>
      <c r="OG660" s="19"/>
      <c r="OH660" s="93"/>
      <c r="OI660" s="93"/>
      <c r="OJ660" s="93"/>
      <c r="OK660" s="93"/>
      <c r="OL660" s="93"/>
      <c r="OM660" s="93"/>
      <c r="ON660" s="93"/>
      <c r="OO660" s="93"/>
      <c r="OP660" s="93"/>
      <c r="OQ660" s="93"/>
      <c r="OR660" s="93"/>
      <c r="OS660" s="93"/>
      <c r="OT660" s="93"/>
      <c r="OU660" s="93"/>
      <c r="OV660" s="93"/>
      <c r="OW660" s="93"/>
      <c r="OX660" s="93"/>
      <c r="OY660" s="93"/>
      <c r="OZ660" s="93"/>
      <c r="PA660" s="93"/>
      <c r="PB660" s="93"/>
      <c r="PC660" s="20"/>
      <c r="PD660" s="29"/>
      <c r="PE660" s="19"/>
      <c r="PF660" s="93"/>
      <c r="PG660" s="93"/>
      <c r="PH660" s="93"/>
      <c r="PI660" s="93"/>
      <c r="PJ660" s="93"/>
      <c r="PK660" s="93"/>
      <c r="PL660" s="93"/>
      <c r="PM660" s="93"/>
      <c r="PN660" s="93"/>
      <c r="PO660" s="93"/>
      <c r="PP660" s="93"/>
      <c r="PQ660" s="93"/>
      <c r="PR660" s="93"/>
      <c r="PS660" s="93"/>
      <c r="PT660" s="93"/>
      <c r="PU660" s="93"/>
      <c r="PV660" s="93"/>
      <c r="PW660" s="93"/>
      <c r="PX660" s="93"/>
      <c r="PY660" s="93"/>
      <c r="PZ660" s="93"/>
      <c r="QA660" s="93"/>
      <c r="QB660" s="93"/>
      <c r="QC660" s="93"/>
      <c r="QD660" s="93"/>
      <c r="QE660" s="20"/>
      <c r="QF660" s="1739"/>
      <c r="QG660" s="19"/>
      <c r="QH660" s="93"/>
      <c r="QI660" s="93"/>
      <c r="QJ660" s="93"/>
      <c r="QK660" s="93"/>
      <c r="QL660" s="93"/>
      <c r="QM660" s="93"/>
      <c r="QN660" s="93"/>
      <c r="QO660" s="93"/>
      <c r="QP660" s="93"/>
      <c r="QQ660" s="93"/>
      <c r="QR660" s="93"/>
      <c r="QS660" s="93"/>
      <c r="QT660" s="93"/>
      <c r="QU660" s="93"/>
      <c r="QV660" s="93"/>
      <c r="QW660" s="93"/>
      <c r="QX660" s="93"/>
      <c r="QY660" s="93"/>
      <c r="QZ660" s="93"/>
      <c r="RA660" s="93"/>
      <c r="RB660" s="93"/>
      <c r="RC660" s="93"/>
      <c r="RD660" s="93"/>
      <c r="RE660" s="93"/>
      <c r="RF660" s="93"/>
      <c r="RG660" s="93"/>
      <c r="RH660" s="93"/>
      <c r="RI660" s="93"/>
      <c r="RJ660" s="93"/>
      <c r="RK660" s="93"/>
      <c r="RL660" s="93"/>
      <c r="RM660" s="20"/>
      <c r="RN660" s="29"/>
      <c r="RO660" s="19"/>
      <c r="RP660" s="20"/>
      <c r="RQ660" s="29"/>
      <c r="RR660" s="20"/>
      <c r="RS660" s="29"/>
      <c r="RT660" s="1504">
        <v>54544</v>
      </c>
      <c r="RU660" s="19"/>
      <c r="RV660" s="20"/>
      <c r="RW660" s="29"/>
      <c r="RX660" s="1504">
        <v>54544</v>
      </c>
      <c r="RY660" s="29"/>
      <c r="RZ660" s="20"/>
      <c r="SA660" s="29"/>
      <c r="SB660" s="29"/>
    </row>
    <row r="661" spans="1:496">
      <c r="A661" s="41">
        <f t="shared" si="364"/>
        <v>2049</v>
      </c>
      <c r="B661" s="1504">
        <v>54575</v>
      </c>
      <c r="C661" s="1813"/>
      <c r="D661" s="1814"/>
      <c r="E661" s="1814"/>
      <c r="F661" s="1815"/>
      <c r="G661" s="1814"/>
      <c r="H661" s="1814"/>
      <c r="I661" s="1814"/>
      <c r="J661" s="1816"/>
      <c r="K661" s="1807"/>
      <c r="L661" s="25"/>
      <c r="M661" s="97"/>
      <c r="N661" s="1504">
        <v>54575</v>
      </c>
      <c r="O661" s="19"/>
      <c r="P661" s="93"/>
      <c r="Q661" s="93"/>
      <c r="R661" s="93"/>
      <c r="S661" s="93"/>
      <c r="T661" s="93"/>
      <c r="U661" s="93"/>
      <c r="V661" s="93"/>
      <c r="W661" s="93"/>
      <c r="X661" s="93"/>
      <c r="Y661" s="93"/>
      <c r="Z661" s="93"/>
      <c r="AA661" s="93"/>
      <c r="AB661" s="20"/>
      <c r="AC661" s="25"/>
      <c r="AD661" s="97"/>
      <c r="AE661" s="1504">
        <v>54575</v>
      </c>
      <c r="AF661" s="19"/>
      <c r="AG661" s="93"/>
      <c r="AH661" s="93"/>
      <c r="AI661" s="93"/>
      <c r="AJ661" s="93"/>
      <c r="AK661" s="93"/>
      <c r="AL661" s="93"/>
      <c r="AM661" s="93"/>
      <c r="AN661" s="93"/>
      <c r="AO661" s="93"/>
      <c r="AP661" s="93"/>
      <c r="AQ661" s="93"/>
      <c r="AR661" s="93"/>
      <c r="AS661" s="20"/>
      <c r="AT661" s="25"/>
      <c r="AU661" s="97"/>
      <c r="AV661" s="1504">
        <v>54575</v>
      </c>
      <c r="AW661" s="19"/>
      <c r="AX661" s="93"/>
      <c r="AY661" s="93"/>
      <c r="AZ661" s="93"/>
      <c r="BA661" s="93"/>
      <c r="BB661" s="93"/>
      <c r="BC661" s="93"/>
      <c r="BD661" s="93"/>
      <c r="BE661" s="93"/>
      <c r="BF661" s="93"/>
      <c r="BG661" s="93"/>
      <c r="BH661" s="93"/>
      <c r="BI661" s="93"/>
      <c r="BJ661" s="20"/>
      <c r="BK661" s="25"/>
      <c r="BL661" s="97"/>
      <c r="BM661" s="1504">
        <v>54575</v>
      </c>
      <c r="BN661" s="19"/>
      <c r="BO661" s="93"/>
      <c r="BP661" s="93"/>
      <c r="BQ661" s="93"/>
      <c r="BR661" s="93"/>
      <c r="BS661" s="93"/>
      <c r="BT661" s="93"/>
      <c r="BU661" s="20"/>
      <c r="BV661" s="25"/>
      <c r="BW661" s="97"/>
      <c r="BX661" s="1504">
        <v>54575</v>
      </c>
      <c r="BY661" s="19"/>
      <c r="BZ661" s="93"/>
      <c r="CA661" s="93"/>
      <c r="CB661" s="93"/>
      <c r="CC661" s="93"/>
      <c r="CD661" s="25"/>
      <c r="CE661" s="97"/>
      <c r="CF661" s="1504">
        <v>54575</v>
      </c>
      <c r="CG661" s="19"/>
      <c r="CH661" s="93"/>
      <c r="CI661" s="219"/>
      <c r="CJ661" s="20"/>
      <c r="CK661" s="19"/>
      <c r="CL661" s="93"/>
      <c r="CM661" s="93"/>
      <c r="CN661" s="93"/>
      <c r="CO661" s="93"/>
      <c r="CP661" s="20"/>
      <c r="CQ661" s="219"/>
      <c r="CR661" s="93"/>
      <c r="CS661" s="93"/>
      <c r="CT661" s="93"/>
      <c r="CU661" s="93"/>
      <c r="CV661" s="214"/>
      <c r="CW661" s="29"/>
      <c r="CX661" s="41">
        <f t="shared" si="365"/>
        <v>2049</v>
      </c>
      <c r="CY661" s="1504">
        <v>54575</v>
      </c>
      <c r="CZ661" s="19"/>
      <c r="DA661" s="93"/>
      <c r="DB661" s="93"/>
      <c r="DC661" s="93"/>
      <c r="DD661" s="93"/>
      <c r="DE661" s="20"/>
      <c r="DF661" s="29"/>
      <c r="DG661" s="1504">
        <v>54575</v>
      </c>
      <c r="DH661" s="19"/>
      <c r="DI661" s="93"/>
      <c r="DJ661" s="93"/>
      <c r="DK661" s="93"/>
      <c r="DL661" s="93"/>
      <c r="DM661" s="93"/>
      <c r="DN661" s="20"/>
      <c r="DO661" s="295"/>
      <c r="DP661" s="29"/>
      <c r="DQ661" s="1504">
        <v>54575</v>
      </c>
      <c r="DR661" s="19"/>
      <c r="DS661" s="93"/>
      <c r="DT661" s="93"/>
      <c r="DU661" s="93"/>
      <c r="DV661" s="93"/>
      <c r="DW661" s="93"/>
      <c r="DX661" s="20"/>
      <c r="DY661" s="29"/>
      <c r="DZ661" s="1504">
        <v>54575</v>
      </c>
      <c r="EA661" s="19"/>
      <c r="EB661" s="93"/>
      <c r="EC661" s="20"/>
      <c r="ED661" s="29"/>
      <c r="EE661" s="1504">
        <v>54575</v>
      </c>
      <c r="EF661" s="19"/>
      <c r="EG661" s="93"/>
      <c r="EH661" s="93"/>
      <c r="EI661" s="214"/>
      <c r="EJ661" s="93"/>
      <c r="EK661" s="93"/>
      <c r="EL661" s="93"/>
      <c r="EM661" s="93"/>
      <c r="EN661" s="20"/>
      <c r="EO661" s="29"/>
      <c r="EP661" s="1504">
        <v>54575</v>
      </c>
      <c r="EQ661" s="19"/>
      <c r="ER661" s="93"/>
      <c r="ES661" s="93"/>
      <c r="ET661" s="214"/>
      <c r="EU661" s="93"/>
      <c r="EV661" s="93"/>
      <c r="EW661" s="93"/>
      <c r="EX661" s="93"/>
      <c r="EY661" s="20"/>
      <c r="EZ661" s="29"/>
      <c r="FA661" s="1504">
        <v>54575</v>
      </c>
      <c r="FB661" s="29"/>
      <c r="FC661" s="29"/>
      <c r="FD661" s="29"/>
      <c r="FE661" s="29"/>
      <c r="FF661" s="29"/>
      <c r="FG661" s="29"/>
      <c r="FH661" s="29"/>
      <c r="FI661" s="29"/>
      <c r="FJ661" s="29"/>
      <c r="FK661" s="29"/>
      <c r="FL661" s="1504">
        <v>54575</v>
      </c>
      <c r="FM661" s="19"/>
      <c r="FN661" s="93"/>
      <c r="FO661" s="93"/>
      <c r="FP661" s="93"/>
      <c r="FQ661" s="93"/>
      <c r="FR661" s="93"/>
      <c r="FS661" s="93"/>
      <c r="FT661" s="93"/>
      <c r="FU661" s="93"/>
      <c r="FV661" s="93"/>
      <c r="FW661" s="93"/>
      <c r="FX661" s="93"/>
      <c r="FY661" s="93"/>
      <c r="FZ661" s="29"/>
      <c r="GA661" s="1504">
        <v>54575</v>
      </c>
      <c r="GB661" s="19"/>
      <c r="GC661" s="93"/>
      <c r="GD661" s="93"/>
      <c r="GE661" s="93"/>
      <c r="GF661" s="93"/>
      <c r="GG661" s="93"/>
      <c r="GH661" s="93"/>
      <c r="GI661" s="93"/>
      <c r="GJ661" s="93"/>
      <c r="GK661" s="93"/>
      <c r="GL661" s="93"/>
      <c r="GM661" s="93"/>
      <c r="GN661" s="20"/>
      <c r="GO661" s="29"/>
      <c r="GP661" s="1504">
        <v>54575</v>
      </c>
      <c r="GQ661" s="19"/>
      <c r="GR661" s="93"/>
      <c r="GS661" s="93"/>
      <c r="GT661" s="93"/>
      <c r="GU661" s="93"/>
      <c r="GV661" s="20"/>
      <c r="GW661" s="19"/>
      <c r="GX661" s="93"/>
      <c r="GY661" s="93"/>
      <c r="GZ661" s="93"/>
      <c r="HA661" s="93"/>
      <c r="HB661" s="20"/>
      <c r="HC661" s="19"/>
      <c r="HD661" s="93"/>
      <c r="HE661" s="93"/>
      <c r="HF661" s="93"/>
      <c r="HG661" s="93"/>
      <c r="HH661" s="20"/>
      <c r="HI661" s="19"/>
      <c r="HJ661" s="93"/>
      <c r="HK661" s="93"/>
      <c r="HL661" s="93"/>
      <c r="HM661" s="93"/>
      <c r="HN661" s="20"/>
      <c r="HO661" s="219"/>
      <c r="HP661" s="20"/>
      <c r="HQ661" s="25"/>
      <c r="HR661" s="29"/>
      <c r="HS661" s="1504">
        <v>54575</v>
      </c>
      <c r="HT661" s="19"/>
      <c r="HU661" s="93"/>
      <c r="HV661" s="93"/>
      <c r="HW661" s="93"/>
      <c r="HX661" s="93"/>
      <c r="HY661" s="93"/>
      <c r="HZ661" s="93"/>
      <c r="IA661" s="20"/>
      <c r="IB661" s="19"/>
      <c r="IC661" s="93"/>
      <c r="ID661" s="93"/>
      <c r="IE661" s="93"/>
      <c r="IF661" s="93"/>
      <c r="IG661" s="20"/>
      <c r="IH661" s="19"/>
      <c r="II661" s="93"/>
      <c r="IJ661" s="93"/>
      <c r="IK661" s="93"/>
      <c r="IL661" s="93"/>
      <c r="IM661" s="93"/>
      <c r="IN661" s="93"/>
      <c r="IO661" s="20"/>
      <c r="IP661" s="29"/>
      <c r="IQ661" s="19"/>
      <c r="IR661" s="93"/>
      <c r="IS661" s="93"/>
      <c r="IT661" s="93"/>
      <c r="IU661" s="93"/>
      <c r="IV661" s="20"/>
      <c r="IW661" s="29"/>
      <c r="IX661" s="19"/>
      <c r="IY661" s="93"/>
      <c r="IZ661" s="93"/>
      <c r="JA661" s="93"/>
      <c r="JB661" s="93"/>
      <c r="JC661" s="93"/>
      <c r="JD661" s="93"/>
      <c r="JE661" s="20"/>
      <c r="JF661" s="29"/>
      <c r="JG661" s="19"/>
      <c r="JH661" s="93"/>
      <c r="JI661" s="93"/>
      <c r="JJ661" s="93"/>
      <c r="JK661" s="93"/>
      <c r="JL661" s="93"/>
      <c r="JM661" s="93"/>
      <c r="JN661" s="20"/>
      <c r="JO661" s="29"/>
      <c r="JP661" s="19"/>
      <c r="JQ661" s="93"/>
      <c r="JR661" s="93"/>
      <c r="JS661" s="93"/>
      <c r="JT661" s="93"/>
      <c r="JU661" s="20"/>
      <c r="JV661" s="29"/>
      <c r="JW661" s="1504">
        <v>54575</v>
      </c>
      <c r="JX661" s="19"/>
      <c r="JY661" s="93"/>
      <c r="JZ661" s="93"/>
      <c r="KA661" s="93"/>
      <c r="KB661" s="93"/>
      <c r="KC661" s="93"/>
      <c r="KD661" s="20"/>
      <c r="KE661" s="29"/>
      <c r="KF661" s="19"/>
      <c r="KG661" s="93"/>
      <c r="KH661" s="93"/>
      <c r="KI661" s="93"/>
      <c r="KJ661" s="93"/>
      <c r="KK661" s="20"/>
      <c r="KL661" s="29"/>
      <c r="KM661" s="19"/>
      <c r="KN661" s="93"/>
      <c r="KO661" s="93"/>
      <c r="KP661" s="93"/>
      <c r="KQ661" s="93"/>
      <c r="KR661" s="20"/>
      <c r="KS661" s="29"/>
      <c r="KT661" s="19"/>
      <c r="KU661" s="93"/>
      <c r="KV661" s="93"/>
      <c r="KW661" s="93"/>
      <c r="KX661" s="93"/>
      <c r="KY661" s="20"/>
      <c r="KZ661" s="29"/>
      <c r="LA661" s="1504">
        <v>54575</v>
      </c>
      <c r="LB661" s="19"/>
      <c r="LC661" s="93"/>
      <c r="LD661" s="93"/>
      <c r="LE661" s="93"/>
      <c r="LF661" s="93"/>
      <c r="LG661" s="93"/>
      <c r="LH661" s="20"/>
      <c r="LI661" s="29"/>
      <c r="LJ661" s="19"/>
      <c r="LK661" s="93"/>
      <c r="LL661" s="93"/>
      <c r="LM661" s="93"/>
      <c r="LN661" s="93"/>
      <c r="LO661" s="20"/>
      <c r="LP661" s="29"/>
      <c r="LQ661" s="19"/>
      <c r="LR661" s="93"/>
      <c r="LS661" s="93"/>
      <c r="LT661" s="93"/>
      <c r="LU661" s="93"/>
      <c r="LV661" s="93"/>
      <c r="LW661" s="93"/>
      <c r="LX661" s="93"/>
      <c r="LY661" s="93"/>
      <c r="LZ661" s="93"/>
      <c r="MA661" s="20"/>
      <c r="MB661" s="29"/>
      <c r="MC661" s="1504">
        <v>54575</v>
      </c>
      <c r="MD661" s="19"/>
      <c r="ME661" s="93"/>
      <c r="MF661" s="93"/>
      <c r="MG661" s="93"/>
      <c r="MH661" s="93"/>
      <c r="MI661" s="93"/>
      <c r="MJ661" s="93"/>
      <c r="MK661" s="93"/>
      <c r="ML661" s="93"/>
      <c r="MM661" s="93"/>
      <c r="MN661" s="93"/>
      <c r="MO661" s="93"/>
      <c r="MP661" s="93"/>
      <c r="MQ661" s="93"/>
      <c r="MR661" s="93"/>
      <c r="MS661" s="93"/>
      <c r="MT661" s="93"/>
      <c r="MU661" s="93"/>
      <c r="MV661" s="93"/>
      <c r="MW661" s="93"/>
      <c r="MX661" s="93"/>
      <c r="MY661" s="93"/>
      <c r="MZ661" s="93"/>
      <c r="NA661" s="93"/>
      <c r="NB661" s="93"/>
      <c r="NC661" s="93"/>
      <c r="ND661" s="93"/>
      <c r="NE661" s="93"/>
      <c r="NF661" s="93"/>
      <c r="NG661" s="93"/>
      <c r="NH661" s="93"/>
      <c r="NI661" s="93"/>
      <c r="NJ661" s="93"/>
      <c r="NK661" s="93"/>
      <c r="NL661" s="93"/>
      <c r="NM661" s="93"/>
      <c r="NN661" s="93"/>
      <c r="NO661" s="93"/>
      <c r="NP661" s="93"/>
      <c r="NQ661" s="93"/>
      <c r="NR661" s="93"/>
      <c r="NS661" s="93"/>
      <c r="NT661" s="93"/>
      <c r="NU661" s="93"/>
      <c r="NV661" s="93"/>
      <c r="NW661" s="93"/>
      <c r="NX661" s="93"/>
      <c r="NY661" s="93"/>
      <c r="NZ661" s="93"/>
      <c r="OA661" s="93"/>
      <c r="OB661" s="93"/>
      <c r="OC661" s="93"/>
      <c r="OD661" s="20"/>
      <c r="OE661" s="29"/>
      <c r="OF661" s="1504">
        <v>54575</v>
      </c>
      <c r="OG661" s="19"/>
      <c r="OH661" s="93"/>
      <c r="OI661" s="93"/>
      <c r="OJ661" s="93"/>
      <c r="OK661" s="93"/>
      <c r="OL661" s="93"/>
      <c r="OM661" s="93"/>
      <c r="ON661" s="93"/>
      <c r="OO661" s="93"/>
      <c r="OP661" s="93"/>
      <c r="OQ661" s="93"/>
      <c r="OR661" s="93"/>
      <c r="OS661" s="93"/>
      <c r="OT661" s="93"/>
      <c r="OU661" s="93"/>
      <c r="OV661" s="93"/>
      <c r="OW661" s="93"/>
      <c r="OX661" s="93"/>
      <c r="OY661" s="93"/>
      <c r="OZ661" s="93"/>
      <c r="PA661" s="93"/>
      <c r="PB661" s="93"/>
      <c r="PC661" s="20"/>
      <c r="PD661" s="29"/>
      <c r="PE661" s="19"/>
      <c r="PF661" s="93"/>
      <c r="PG661" s="93"/>
      <c r="PH661" s="93"/>
      <c r="PI661" s="93"/>
      <c r="PJ661" s="93"/>
      <c r="PK661" s="93"/>
      <c r="PL661" s="93"/>
      <c r="PM661" s="93"/>
      <c r="PN661" s="93"/>
      <c r="PO661" s="93"/>
      <c r="PP661" s="93"/>
      <c r="PQ661" s="93"/>
      <c r="PR661" s="93"/>
      <c r="PS661" s="93"/>
      <c r="PT661" s="93"/>
      <c r="PU661" s="93"/>
      <c r="PV661" s="93"/>
      <c r="PW661" s="93"/>
      <c r="PX661" s="93"/>
      <c r="PY661" s="93"/>
      <c r="PZ661" s="93"/>
      <c r="QA661" s="93"/>
      <c r="QB661" s="93"/>
      <c r="QC661" s="93"/>
      <c r="QD661" s="93"/>
      <c r="QE661" s="20"/>
      <c r="QF661" s="1739"/>
      <c r="QG661" s="19"/>
      <c r="QH661" s="93"/>
      <c r="QI661" s="93"/>
      <c r="QJ661" s="93"/>
      <c r="QK661" s="93"/>
      <c r="QL661" s="93"/>
      <c r="QM661" s="93"/>
      <c r="QN661" s="93"/>
      <c r="QO661" s="93"/>
      <c r="QP661" s="93"/>
      <c r="QQ661" s="93"/>
      <c r="QR661" s="93"/>
      <c r="QS661" s="93"/>
      <c r="QT661" s="93"/>
      <c r="QU661" s="93"/>
      <c r="QV661" s="93"/>
      <c r="QW661" s="93"/>
      <c r="QX661" s="93"/>
      <c r="QY661" s="93"/>
      <c r="QZ661" s="93"/>
      <c r="RA661" s="93"/>
      <c r="RB661" s="93"/>
      <c r="RC661" s="93"/>
      <c r="RD661" s="93"/>
      <c r="RE661" s="93"/>
      <c r="RF661" s="93"/>
      <c r="RG661" s="93"/>
      <c r="RH661" s="93"/>
      <c r="RI661" s="93"/>
      <c r="RJ661" s="93"/>
      <c r="RK661" s="93"/>
      <c r="RL661" s="93"/>
      <c r="RM661" s="20"/>
      <c r="RN661" s="29"/>
      <c r="RO661" s="19"/>
      <c r="RP661" s="20"/>
      <c r="RQ661" s="29"/>
      <c r="RR661" s="20"/>
      <c r="RS661" s="29"/>
      <c r="RT661" s="1504">
        <v>54575</v>
      </c>
      <c r="RU661" s="19"/>
      <c r="RV661" s="20"/>
      <c r="RW661" s="29"/>
      <c r="RX661" s="1504">
        <v>54575</v>
      </c>
      <c r="RY661" s="29"/>
      <c r="RZ661" s="20"/>
      <c r="SA661" s="29"/>
      <c r="SB661" s="29"/>
    </row>
    <row r="662" spans="1:496">
      <c r="A662" s="41">
        <f t="shared" si="364"/>
        <v>2049</v>
      </c>
      <c r="B662" s="1504">
        <v>54605</v>
      </c>
      <c r="C662" s="1813"/>
      <c r="D662" s="1814"/>
      <c r="E662" s="1814"/>
      <c r="F662" s="1815"/>
      <c r="G662" s="1814"/>
      <c r="H662" s="1814"/>
      <c r="I662" s="1814"/>
      <c r="J662" s="1816"/>
      <c r="K662" s="1807"/>
      <c r="L662" s="25"/>
      <c r="M662" s="97"/>
      <c r="N662" s="1504">
        <v>54605</v>
      </c>
      <c r="O662" s="19"/>
      <c r="P662" s="93"/>
      <c r="Q662" s="93"/>
      <c r="R662" s="93"/>
      <c r="S662" s="93"/>
      <c r="T662" s="93"/>
      <c r="U662" s="93"/>
      <c r="V662" s="93"/>
      <c r="W662" s="93"/>
      <c r="X662" s="93"/>
      <c r="Y662" s="93"/>
      <c r="Z662" s="93"/>
      <c r="AA662" s="93"/>
      <c r="AB662" s="20"/>
      <c r="AC662" s="25"/>
      <c r="AD662" s="97"/>
      <c r="AE662" s="1504">
        <v>54605</v>
      </c>
      <c r="AF662" s="19"/>
      <c r="AG662" s="93"/>
      <c r="AH662" s="93"/>
      <c r="AI662" s="93"/>
      <c r="AJ662" s="93"/>
      <c r="AK662" s="93"/>
      <c r="AL662" s="93"/>
      <c r="AM662" s="93"/>
      <c r="AN662" s="93"/>
      <c r="AO662" s="93"/>
      <c r="AP662" s="93"/>
      <c r="AQ662" s="93"/>
      <c r="AR662" s="93"/>
      <c r="AS662" s="20"/>
      <c r="AT662" s="25"/>
      <c r="AU662" s="97"/>
      <c r="AV662" s="1504">
        <v>54605</v>
      </c>
      <c r="AW662" s="19"/>
      <c r="AX662" s="93"/>
      <c r="AY662" s="93"/>
      <c r="AZ662" s="93"/>
      <c r="BA662" s="93"/>
      <c r="BB662" s="93"/>
      <c r="BC662" s="93"/>
      <c r="BD662" s="93"/>
      <c r="BE662" s="93"/>
      <c r="BF662" s="93"/>
      <c r="BG662" s="93"/>
      <c r="BH662" s="93"/>
      <c r="BI662" s="93"/>
      <c r="BJ662" s="20"/>
      <c r="BK662" s="25"/>
      <c r="BL662" s="97"/>
      <c r="BM662" s="1504">
        <v>54605</v>
      </c>
      <c r="BN662" s="19"/>
      <c r="BO662" s="93"/>
      <c r="BP662" s="93"/>
      <c r="BQ662" s="93"/>
      <c r="BR662" s="93"/>
      <c r="BS662" s="93"/>
      <c r="BT662" s="93"/>
      <c r="BU662" s="20"/>
      <c r="BV662" s="25"/>
      <c r="BW662" s="97"/>
      <c r="BX662" s="1504">
        <v>54605</v>
      </c>
      <c r="BY662" s="19"/>
      <c r="BZ662" s="93"/>
      <c r="CA662" s="93"/>
      <c r="CB662" s="93"/>
      <c r="CC662" s="93"/>
      <c r="CD662" s="25"/>
      <c r="CE662" s="97"/>
      <c r="CF662" s="1504">
        <v>54605</v>
      </c>
      <c r="CG662" s="19"/>
      <c r="CH662" s="93"/>
      <c r="CI662" s="219"/>
      <c r="CJ662" s="20"/>
      <c r="CK662" s="19"/>
      <c r="CL662" s="93"/>
      <c r="CM662" s="93"/>
      <c r="CN662" s="93"/>
      <c r="CO662" s="93"/>
      <c r="CP662" s="20"/>
      <c r="CQ662" s="219"/>
      <c r="CR662" s="93"/>
      <c r="CS662" s="93"/>
      <c r="CT662" s="93"/>
      <c r="CU662" s="93"/>
      <c r="CV662" s="214"/>
      <c r="CW662" s="29"/>
      <c r="CX662" s="41">
        <f t="shared" si="365"/>
        <v>2049</v>
      </c>
      <c r="CY662" s="1504">
        <v>54605</v>
      </c>
      <c r="CZ662" s="19"/>
      <c r="DA662" s="93"/>
      <c r="DB662" s="93"/>
      <c r="DC662" s="93"/>
      <c r="DD662" s="93"/>
      <c r="DE662" s="20"/>
      <c r="DF662" s="29"/>
      <c r="DG662" s="1504">
        <v>54605</v>
      </c>
      <c r="DH662" s="19"/>
      <c r="DI662" s="93"/>
      <c r="DJ662" s="93"/>
      <c r="DK662" s="93"/>
      <c r="DL662" s="93"/>
      <c r="DM662" s="93"/>
      <c r="DN662" s="20"/>
      <c r="DO662" s="295"/>
      <c r="DP662" s="29"/>
      <c r="DQ662" s="1504">
        <v>54605</v>
      </c>
      <c r="DR662" s="19"/>
      <c r="DS662" s="93"/>
      <c r="DT662" s="93"/>
      <c r="DU662" s="93"/>
      <c r="DV662" s="93"/>
      <c r="DW662" s="93"/>
      <c r="DX662" s="20"/>
      <c r="DY662" s="29"/>
      <c r="DZ662" s="1504">
        <v>54605</v>
      </c>
      <c r="EA662" s="19"/>
      <c r="EB662" s="93"/>
      <c r="EC662" s="20"/>
      <c r="ED662" s="29"/>
      <c r="EE662" s="1504">
        <v>54605</v>
      </c>
      <c r="EF662" s="19"/>
      <c r="EG662" s="93"/>
      <c r="EH662" s="93"/>
      <c r="EI662" s="214"/>
      <c r="EJ662" s="93"/>
      <c r="EK662" s="93"/>
      <c r="EL662" s="93"/>
      <c r="EM662" s="93"/>
      <c r="EN662" s="20"/>
      <c r="EO662" s="29"/>
      <c r="EP662" s="1504">
        <v>54605</v>
      </c>
      <c r="EQ662" s="19"/>
      <c r="ER662" s="93"/>
      <c r="ES662" s="93"/>
      <c r="ET662" s="214"/>
      <c r="EU662" s="93"/>
      <c r="EV662" s="93"/>
      <c r="EW662" s="93"/>
      <c r="EX662" s="93"/>
      <c r="EY662" s="20"/>
      <c r="EZ662" s="29"/>
      <c r="FA662" s="1504">
        <v>54605</v>
      </c>
      <c r="FB662" s="29"/>
      <c r="FC662" s="29"/>
      <c r="FD662" s="29"/>
      <c r="FE662" s="29"/>
      <c r="FF662" s="29"/>
      <c r="FG662" s="29"/>
      <c r="FH662" s="29"/>
      <c r="FI662" s="29"/>
      <c r="FJ662" s="29"/>
      <c r="FK662" s="29"/>
      <c r="FL662" s="1504">
        <v>54605</v>
      </c>
      <c r="FM662" s="19"/>
      <c r="FN662" s="93"/>
      <c r="FO662" s="93"/>
      <c r="FP662" s="93"/>
      <c r="FQ662" s="93"/>
      <c r="FR662" s="93"/>
      <c r="FS662" s="93"/>
      <c r="FT662" s="93"/>
      <c r="FU662" s="93"/>
      <c r="FV662" s="93"/>
      <c r="FW662" s="93"/>
      <c r="FX662" s="93"/>
      <c r="FY662" s="93"/>
      <c r="FZ662" s="29"/>
      <c r="GA662" s="1504">
        <v>54605</v>
      </c>
      <c r="GB662" s="19"/>
      <c r="GC662" s="93"/>
      <c r="GD662" s="93"/>
      <c r="GE662" s="93"/>
      <c r="GF662" s="93"/>
      <c r="GG662" s="93"/>
      <c r="GH662" s="93"/>
      <c r="GI662" s="93"/>
      <c r="GJ662" s="93"/>
      <c r="GK662" s="93"/>
      <c r="GL662" s="93"/>
      <c r="GM662" s="93"/>
      <c r="GN662" s="20"/>
      <c r="GO662" s="29"/>
      <c r="GP662" s="1504">
        <v>54605</v>
      </c>
      <c r="GQ662" s="19"/>
      <c r="GR662" s="93"/>
      <c r="GS662" s="93"/>
      <c r="GT662" s="93"/>
      <c r="GU662" s="93"/>
      <c r="GV662" s="20"/>
      <c r="GW662" s="19"/>
      <c r="GX662" s="93"/>
      <c r="GY662" s="93"/>
      <c r="GZ662" s="93"/>
      <c r="HA662" s="93"/>
      <c r="HB662" s="20"/>
      <c r="HC662" s="19"/>
      <c r="HD662" s="93"/>
      <c r="HE662" s="93"/>
      <c r="HF662" s="93"/>
      <c r="HG662" s="93"/>
      <c r="HH662" s="20"/>
      <c r="HI662" s="19"/>
      <c r="HJ662" s="93"/>
      <c r="HK662" s="93"/>
      <c r="HL662" s="93"/>
      <c r="HM662" s="93"/>
      <c r="HN662" s="20"/>
      <c r="HO662" s="219"/>
      <c r="HP662" s="20"/>
      <c r="HQ662" s="25"/>
      <c r="HR662" s="29"/>
      <c r="HS662" s="1504">
        <v>54605</v>
      </c>
      <c r="HT662" s="19"/>
      <c r="HU662" s="93"/>
      <c r="HV662" s="93"/>
      <c r="HW662" s="93"/>
      <c r="HX662" s="93"/>
      <c r="HY662" s="93"/>
      <c r="HZ662" s="93"/>
      <c r="IA662" s="20"/>
      <c r="IB662" s="19"/>
      <c r="IC662" s="93"/>
      <c r="ID662" s="93"/>
      <c r="IE662" s="93"/>
      <c r="IF662" s="93"/>
      <c r="IG662" s="20"/>
      <c r="IH662" s="19"/>
      <c r="II662" s="93"/>
      <c r="IJ662" s="93"/>
      <c r="IK662" s="93"/>
      <c r="IL662" s="93"/>
      <c r="IM662" s="93"/>
      <c r="IN662" s="93"/>
      <c r="IO662" s="20"/>
      <c r="IP662" s="29"/>
      <c r="IQ662" s="19"/>
      <c r="IR662" s="93"/>
      <c r="IS662" s="93"/>
      <c r="IT662" s="93"/>
      <c r="IU662" s="93"/>
      <c r="IV662" s="20"/>
      <c r="IW662" s="29"/>
      <c r="IX662" s="19"/>
      <c r="IY662" s="93"/>
      <c r="IZ662" s="93"/>
      <c r="JA662" s="93"/>
      <c r="JB662" s="93"/>
      <c r="JC662" s="93"/>
      <c r="JD662" s="93"/>
      <c r="JE662" s="20"/>
      <c r="JF662" s="29"/>
      <c r="JG662" s="19"/>
      <c r="JH662" s="93"/>
      <c r="JI662" s="93"/>
      <c r="JJ662" s="93"/>
      <c r="JK662" s="93"/>
      <c r="JL662" s="93"/>
      <c r="JM662" s="93"/>
      <c r="JN662" s="20"/>
      <c r="JO662" s="29"/>
      <c r="JP662" s="19"/>
      <c r="JQ662" s="93"/>
      <c r="JR662" s="93"/>
      <c r="JS662" s="93"/>
      <c r="JT662" s="93"/>
      <c r="JU662" s="20"/>
      <c r="JV662" s="29"/>
      <c r="JW662" s="1504">
        <v>54605</v>
      </c>
      <c r="JX662" s="19"/>
      <c r="JY662" s="93"/>
      <c r="JZ662" s="93"/>
      <c r="KA662" s="93"/>
      <c r="KB662" s="93"/>
      <c r="KC662" s="93"/>
      <c r="KD662" s="20"/>
      <c r="KE662" s="29"/>
      <c r="KF662" s="19"/>
      <c r="KG662" s="93"/>
      <c r="KH662" s="93"/>
      <c r="KI662" s="93"/>
      <c r="KJ662" s="93"/>
      <c r="KK662" s="20"/>
      <c r="KL662" s="29"/>
      <c r="KM662" s="19"/>
      <c r="KN662" s="93"/>
      <c r="KO662" s="93"/>
      <c r="KP662" s="93"/>
      <c r="KQ662" s="93"/>
      <c r="KR662" s="20"/>
      <c r="KS662" s="29"/>
      <c r="KT662" s="19"/>
      <c r="KU662" s="93"/>
      <c r="KV662" s="93"/>
      <c r="KW662" s="93"/>
      <c r="KX662" s="93"/>
      <c r="KY662" s="20"/>
      <c r="KZ662" s="29"/>
      <c r="LA662" s="1504">
        <v>54605</v>
      </c>
      <c r="LB662" s="19"/>
      <c r="LC662" s="93"/>
      <c r="LD662" s="93"/>
      <c r="LE662" s="93"/>
      <c r="LF662" s="93"/>
      <c r="LG662" s="93"/>
      <c r="LH662" s="20"/>
      <c r="LI662" s="29"/>
      <c r="LJ662" s="19"/>
      <c r="LK662" s="93"/>
      <c r="LL662" s="93"/>
      <c r="LM662" s="93"/>
      <c r="LN662" s="93"/>
      <c r="LO662" s="20"/>
      <c r="LP662" s="29"/>
      <c r="LQ662" s="19"/>
      <c r="LR662" s="93"/>
      <c r="LS662" s="93"/>
      <c r="LT662" s="93"/>
      <c r="LU662" s="93"/>
      <c r="LV662" s="93"/>
      <c r="LW662" s="93"/>
      <c r="LX662" s="93"/>
      <c r="LY662" s="93"/>
      <c r="LZ662" s="93"/>
      <c r="MA662" s="20"/>
      <c r="MB662" s="29"/>
      <c r="MC662" s="1504">
        <v>54605</v>
      </c>
      <c r="MD662" s="19"/>
      <c r="ME662" s="93"/>
      <c r="MF662" s="93"/>
      <c r="MG662" s="93"/>
      <c r="MH662" s="93"/>
      <c r="MI662" s="93"/>
      <c r="MJ662" s="93"/>
      <c r="MK662" s="93"/>
      <c r="ML662" s="93"/>
      <c r="MM662" s="93"/>
      <c r="MN662" s="93"/>
      <c r="MO662" s="93"/>
      <c r="MP662" s="93"/>
      <c r="MQ662" s="93"/>
      <c r="MR662" s="93"/>
      <c r="MS662" s="93"/>
      <c r="MT662" s="93"/>
      <c r="MU662" s="93"/>
      <c r="MV662" s="93"/>
      <c r="MW662" s="93"/>
      <c r="MX662" s="93"/>
      <c r="MY662" s="93"/>
      <c r="MZ662" s="93"/>
      <c r="NA662" s="93"/>
      <c r="NB662" s="93"/>
      <c r="NC662" s="93"/>
      <c r="ND662" s="93"/>
      <c r="NE662" s="93"/>
      <c r="NF662" s="93"/>
      <c r="NG662" s="93"/>
      <c r="NH662" s="93"/>
      <c r="NI662" s="93"/>
      <c r="NJ662" s="93"/>
      <c r="NK662" s="93"/>
      <c r="NL662" s="93"/>
      <c r="NM662" s="93"/>
      <c r="NN662" s="93"/>
      <c r="NO662" s="93"/>
      <c r="NP662" s="93"/>
      <c r="NQ662" s="93"/>
      <c r="NR662" s="93"/>
      <c r="NS662" s="93"/>
      <c r="NT662" s="93"/>
      <c r="NU662" s="93"/>
      <c r="NV662" s="93"/>
      <c r="NW662" s="93"/>
      <c r="NX662" s="93"/>
      <c r="NY662" s="93"/>
      <c r="NZ662" s="93"/>
      <c r="OA662" s="93"/>
      <c r="OB662" s="93"/>
      <c r="OC662" s="93"/>
      <c r="OD662" s="20"/>
      <c r="OE662" s="29"/>
      <c r="OF662" s="1504">
        <v>54605</v>
      </c>
      <c r="OG662" s="19"/>
      <c r="OH662" s="93"/>
      <c r="OI662" s="93"/>
      <c r="OJ662" s="93"/>
      <c r="OK662" s="93"/>
      <c r="OL662" s="93"/>
      <c r="OM662" s="93"/>
      <c r="ON662" s="93"/>
      <c r="OO662" s="93"/>
      <c r="OP662" s="93"/>
      <c r="OQ662" s="93"/>
      <c r="OR662" s="93"/>
      <c r="OS662" s="93"/>
      <c r="OT662" s="93"/>
      <c r="OU662" s="93"/>
      <c r="OV662" s="93"/>
      <c r="OW662" s="93"/>
      <c r="OX662" s="93"/>
      <c r="OY662" s="93"/>
      <c r="OZ662" s="93"/>
      <c r="PA662" s="93"/>
      <c r="PB662" s="93"/>
      <c r="PC662" s="20"/>
      <c r="PD662" s="29"/>
      <c r="PE662" s="19"/>
      <c r="PF662" s="93"/>
      <c r="PG662" s="93"/>
      <c r="PH662" s="93"/>
      <c r="PI662" s="93"/>
      <c r="PJ662" s="93"/>
      <c r="PK662" s="93"/>
      <c r="PL662" s="93"/>
      <c r="PM662" s="93"/>
      <c r="PN662" s="93"/>
      <c r="PO662" s="93"/>
      <c r="PP662" s="93"/>
      <c r="PQ662" s="93"/>
      <c r="PR662" s="93"/>
      <c r="PS662" s="93"/>
      <c r="PT662" s="93"/>
      <c r="PU662" s="93"/>
      <c r="PV662" s="93"/>
      <c r="PW662" s="93"/>
      <c r="PX662" s="93"/>
      <c r="PY662" s="93"/>
      <c r="PZ662" s="93"/>
      <c r="QA662" s="93"/>
      <c r="QB662" s="93"/>
      <c r="QC662" s="93"/>
      <c r="QD662" s="93"/>
      <c r="QE662" s="20"/>
      <c r="QF662" s="1739"/>
      <c r="QG662" s="19"/>
      <c r="QH662" s="93"/>
      <c r="QI662" s="93"/>
      <c r="QJ662" s="93"/>
      <c r="QK662" s="93"/>
      <c r="QL662" s="93"/>
      <c r="QM662" s="93"/>
      <c r="QN662" s="93"/>
      <c r="QO662" s="93"/>
      <c r="QP662" s="93"/>
      <c r="QQ662" s="93"/>
      <c r="QR662" s="93"/>
      <c r="QS662" s="93"/>
      <c r="QT662" s="93"/>
      <c r="QU662" s="93"/>
      <c r="QV662" s="93"/>
      <c r="QW662" s="93"/>
      <c r="QX662" s="93"/>
      <c r="QY662" s="93"/>
      <c r="QZ662" s="93"/>
      <c r="RA662" s="93"/>
      <c r="RB662" s="93"/>
      <c r="RC662" s="93"/>
      <c r="RD662" s="93"/>
      <c r="RE662" s="93"/>
      <c r="RF662" s="93"/>
      <c r="RG662" s="93"/>
      <c r="RH662" s="93"/>
      <c r="RI662" s="93"/>
      <c r="RJ662" s="93"/>
      <c r="RK662" s="93"/>
      <c r="RL662" s="93"/>
      <c r="RM662" s="20"/>
      <c r="RN662" s="29"/>
      <c r="RO662" s="19"/>
      <c r="RP662" s="20"/>
      <c r="RQ662" s="29"/>
      <c r="RR662" s="20"/>
      <c r="RS662" s="29"/>
      <c r="RT662" s="1504">
        <v>54605</v>
      </c>
      <c r="RU662" s="19"/>
      <c r="RV662" s="20"/>
      <c r="RW662" s="29"/>
      <c r="RX662" s="1504">
        <v>54605</v>
      </c>
      <c r="RY662" s="29"/>
      <c r="RZ662" s="20"/>
      <c r="SA662" s="29"/>
      <c r="SB662" s="29"/>
    </row>
    <row r="663" spans="1:496">
      <c r="A663" s="41">
        <f t="shared" si="364"/>
        <v>2049</v>
      </c>
      <c r="B663" s="1504">
        <v>54636</v>
      </c>
      <c r="C663" s="1813"/>
      <c r="D663" s="1814"/>
      <c r="E663" s="1814"/>
      <c r="F663" s="1815"/>
      <c r="G663" s="1814"/>
      <c r="H663" s="1814"/>
      <c r="I663" s="1814"/>
      <c r="J663" s="1816"/>
      <c r="K663" s="1807"/>
      <c r="L663" s="25"/>
      <c r="M663" s="97"/>
      <c r="N663" s="1504">
        <v>54636</v>
      </c>
      <c r="O663" s="19"/>
      <c r="P663" s="93"/>
      <c r="Q663" s="93"/>
      <c r="R663" s="93"/>
      <c r="S663" s="93"/>
      <c r="T663" s="93"/>
      <c r="U663" s="93"/>
      <c r="V663" s="93"/>
      <c r="W663" s="93"/>
      <c r="X663" s="93"/>
      <c r="Y663" s="93"/>
      <c r="Z663" s="93"/>
      <c r="AA663" s="93"/>
      <c r="AB663" s="20"/>
      <c r="AC663" s="25"/>
      <c r="AD663" s="97"/>
      <c r="AE663" s="1504">
        <v>54636</v>
      </c>
      <c r="AF663" s="19"/>
      <c r="AG663" s="93"/>
      <c r="AH663" s="93"/>
      <c r="AI663" s="93"/>
      <c r="AJ663" s="93"/>
      <c r="AK663" s="93"/>
      <c r="AL663" s="93"/>
      <c r="AM663" s="93"/>
      <c r="AN663" s="93"/>
      <c r="AO663" s="93"/>
      <c r="AP663" s="93"/>
      <c r="AQ663" s="93"/>
      <c r="AR663" s="93"/>
      <c r="AS663" s="20"/>
      <c r="AT663" s="25"/>
      <c r="AU663" s="97"/>
      <c r="AV663" s="1504">
        <v>54636</v>
      </c>
      <c r="AW663" s="19"/>
      <c r="AX663" s="93"/>
      <c r="AY663" s="93"/>
      <c r="AZ663" s="93"/>
      <c r="BA663" s="93"/>
      <c r="BB663" s="93"/>
      <c r="BC663" s="93"/>
      <c r="BD663" s="93"/>
      <c r="BE663" s="93"/>
      <c r="BF663" s="93"/>
      <c r="BG663" s="93"/>
      <c r="BH663" s="93"/>
      <c r="BI663" s="93"/>
      <c r="BJ663" s="20"/>
      <c r="BK663" s="25"/>
      <c r="BL663" s="97"/>
      <c r="BM663" s="1504">
        <v>54636</v>
      </c>
      <c r="BN663" s="19"/>
      <c r="BO663" s="93"/>
      <c r="BP663" s="93"/>
      <c r="BQ663" s="93"/>
      <c r="BR663" s="93"/>
      <c r="BS663" s="93"/>
      <c r="BT663" s="93"/>
      <c r="BU663" s="20"/>
      <c r="BV663" s="25"/>
      <c r="BW663" s="97"/>
      <c r="BX663" s="1504">
        <v>54636</v>
      </c>
      <c r="BY663" s="19"/>
      <c r="BZ663" s="93"/>
      <c r="CA663" s="93"/>
      <c r="CB663" s="93"/>
      <c r="CC663" s="93"/>
      <c r="CD663" s="25"/>
      <c r="CE663" s="97"/>
      <c r="CF663" s="1504">
        <v>54636</v>
      </c>
      <c r="CG663" s="19"/>
      <c r="CH663" s="93"/>
      <c r="CI663" s="219"/>
      <c r="CJ663" s="20"/>
      <c r="CK663" s="19"/>
      <c r="CL663" s="93"/>
      <c r="CM663" s="93"/>
      <c r="CN663" s="93"/>
      <c r="CO663" s="93"/>
      <c r="CP663" s="20"/>
      <c r="CQ663" s="219"/>
      <c r="CR663" s="93"/>
      <c r="CS663" s="93"/>
      <c r="CT663" s="93"/>
      <c r="CU663" s="93"/>
      <c r="CV663" s="214"/>
      <c r="CW663" s="29"/>
      <c r="CX663" s="41">
        <f t="shared" si="365"/>
        <v>2049</v>
      </c>
      <c r="CY663" s="1504">
        <v>54636</v>
      </c>
      <c r="CZ663" s="19"/>
      <c r="DA663" s="93"/>
      <c r="DB663" s="93"/>
      <c r="DC663" s="93"/>
      <c r="DD663" s="93"/>
      <c r="DE663" s="20"/>
      <c r="DF663" s="29"/>
      <c r="DG663" s="1504">
        <v>54636</v>
      </c>
      <c r="DH663" s="19"/>
      <c r="DI663" s="93"/>
      <c r="DJ663" s="93"/>
      <c r="DK663" s="93"/>
      <c r="DL663" s="93"/>
      <c r="DM663" s="93"/>
      <c r="DN663" s="20"/>
      <c r="DO663" s="295"/>
      <c r="DP663" s="29"/>
      <c r="DQ663" s="1504">
        <v>54636</v>
      </c>
      <c r="DR663" s="19"/>
      <c r="DS663" s="93"/>
      <c r="DT663" s="93"/>
      <c r="DU663" s="93"/>
      <c r="DV663" s="93"/>
      <c r="DW663" s="93"/>
      <c r="DX663" s="20"/>
      <c r="DY663" s="29"/>
      <c r="DZ663" s="1504">
        <v>54636</v>
      </c>
      <c r="EA663" s="19"/>
      <c r="EB663" s="93"/>
      <c r="EC663" s="20"/>
      <c r="ED663" s="29"/>
      <c r="EE663" s="1504">
        <v>54636</v>
      </c>
      <c r="EF663" s="19"/>
      <c r="EG663" s="93"/>
      <c r="EH663" s="93"/>
      <c r="EI663" s="214"/>
      <c r="EJ663" s="93"/>
      <c r="EK663" s="93"/>
      <c r="EL663" s="93"/>
      <c r="EM663" s="93"/>
      <c r="EN663" s="20"/>
      <c r="EO663" s="29"/>
      <c r="EP663" s="1504">
        <v>54636</v>
      </c>
      <c r="EQ663" s="19"/>
      <c r="ER663" s="93"/>
      <c r="ES663" s="93"/>
      <c r="ET663" s="214"/>
      <c r="EU663" s="93"/>
      <c r="EV663" s="93"/>
      <c r="EW663" s="93"/>
      <c r="EX663" s="93"/>
      <c r="EY663" s="20"/>
      <c r="EZ663" s="29"/>
      <c r="FA663" s="1504">
        <v>54636</v>
      </c>
      <c r="FB663" s="29"/>
      <c r="FC663" s="29"/>
      <c r="FD663" s="29"/>
      <c r="FE663" s="29"/>
      <c r="FF663" s="29"/>
      <c r="FG663" s="29"/>
      <c r="FH663" s="29"/>
      <c r="FI663" s="29"/>
      <c r="FJ663" s="29"/>
      <c r="FK663" s="29"/>
      <c r="FL663" s="1504">
        <v>54636</v>
      </c>
      <c r="FM663" s="19"/>
      <c r="FN663" s="93"/>
      <c r="FO663" s="93"/>
      <c r="FP663" s="93"/>
      <c r="FQ663" s="93"/>
      <c r="FR663" s="93"/>
      <c r="FS663" s="93"/>
      <c r="FT663" s="93"/>
      <c r="FU663" s="93"/>
      <c r="FV663" s="93"/>
      <c r="FW663" s="93"/>
      <c r="FX663" s="93"/>
      <c r="FY663" s="93"/>
      <c r="FZ663" s="29"/>
      <c r="GA663" s="1504">
        <v>54636</v>
      </c>
      <c r="GB663" s="19"/>
      <c r="GC663" s="93"/>
      <c r="GD663" s="93"/>
      <c r="GE663" s="93"/>
      <c r="GF663" s="93"/>
      <c r="GG663" s="93"/>
      <c r="GH663" s="93"/>
      <c r="GI663" s="93"/>
      <c r="GJ663" s="93"/>
      <c r="GK663" s="93"/>
      <c r="GL663" s="93"/>
      <c r="GM663" s="93"/>
      <c r="GN663" s="20"/>
      <c r="GO663" s="29"/>
      <c r="GP663" s="1504">
        <v>54636</v>
      </c>
      <c r="GQ663" s="19"/>
      <c r="GR663" s="93"/>
      <c r="GS663" s="93"/>
      <c r="GT663" s="93"/>
      <c r="GU663" s="93"/>
      <c r="GV663" s="20"/>
      <c r="GW663" s="19"/>
      <c r="GX663" s="93"/>
      <c r="GY663" s="93"/>
      <c r="GZ663" s="93"/>
      <c r="HA663" s="93"/>
      <c r="HB663" s="20"/>
      <c r="HC663" s="19"/>
      <c r="HD663" s="93"/>
      <c r="HE663" s="93"/>
      <c r="HF663" s="93"/>
      <c r="HG663" s="93"/>
      <c r="HH663" s="20"/>
      <c r="HI663" s="19"/>
      <c r="HJ663" s="93"/>
      <c r="HK663" s="93"/>
      <c r="HL663" s="93"/>
      <c r="HM663" s="93"/>
      <c r="HN663" s="20"/>
      <c r="HO663" s="219"/>
      <c r="HP663" s="20"/>
      <c r="HQ663" s="25"/>
      <c r="HR663" s="29"/>
      <c r="HS663" s="1504">
        <v>54636</v>
      </c>
      <c r="HT663" s="19"/>
      <c r="HU663" s="93"/>
      <c r="HV663" s="93"/>
      <c r="HW663" s="93"/>
      <c r="HX663" s="93"/>
      <c r="HY663" s="93"/>
      <c r="HZ663" s="93"/>
      <c r="IA663" s="20"/>
      <c r="IB663" s="19"/>
      <c r="IC663" s="93"/>
      <c r="ID663" s="93"/>
      <c r="IE663" s="93"/>
      <c r="IF663" s="93"/>
      <c r="IG663" s="20"/>
      <c r="IH663" s="19"/>
      <c r="II663" s="93"/>
      <c r="IJ663" s="93"/>
      <c r="IK663" s="93"/>
      <c r="IL663" s="93"/>
      <c r="IM663" s="93"/>
      <c r="IN663" s="93"/>
      <c r="IO663" s="20"/>
      <c r="IP663" s="29"/>
      <c r="IQ663" s="19"/>
      <c r="IR663" s="93"/>
      <c r="IS663" s="93"/>
      <c r="IT663" s="93"/>
      <c r="IU663" s="93"/>
      <c r="IV663" s="20"/>
      <c r="IW663" s="29"/>
      <c r="IX663" s="19"/>
      <c r="IY663" s="93"/>
      <c r="IZ663" s="93"/>
      <c r="JA663" s="93"/>
      <c r="JB663" s="93"/>
      <c r="JC663" s="93"/>
      <c r="JD663" s="93"/>
      <c r="JE663" s="20"/>
      <c r="JF663" s="29"/>
      <c r="JG663" s="19"/>
      <c r="JH663" s="93"/>
      <c r="JI663" s="93"/>
      <c r="JJ663" s="93"/>
      <c r="JK663" s="93"/>
      <c r="JL663" s="93"/>
      <c r="JM663" s="93"/>
      <c r="JN663" s="20"/>
      <c r="JO663" s="29"/>
      <c r="JP663" s="19"/>
      <c r="JQ663" s="93"/>
      <c r="JR663" s="93"/>
      <c r="JS663" s="93"/>
      <c r="JT663" s="93"/>
      <c r="JU663" s="20"/>
      <c r="JV663" s="29"/>
      <c r="JW663" s="1504">
        <v>54636</v>
      </c>
      <c r="JX663" s="19"/>
      <c r="JY663" s="93"/>
      <c r="JZ663" s="93"/>
      <c r="KA663" s="93"/>
      <c r="KB663" s="93"/>
      <c r="KC663" s="93"/>
      <c r="KD663" s="20"/>
      <c r="KE663" s="29"/>
      <c r="KF663" s="19"/>
      <c r="KG663" s="93"/>
      <c r="KH663" s="93"/>
      <c r="KI663" s="93"/>
      <c r="KJ663" s="93"/>
      <c r="KK663" s="20"/>
      <c r="KL663" s="29"/>
      <c r="KM663" s="19"/>
      <c r="KN663" s="93"/>
      <c r="KO663" s="93"/>
      <c r="KP663" s="93"/>
      <c r="KQ663" s="93"/>
      <c r="KR663" s="20"/>
      <c r="KS663" s="29"/>
      <c r="KT663" s="19"/>
      <c r="KU663" s="93"/>
      <c r="KV663" s="93"/>
      <c r="KW663" s="93"/>
      <c r="KX663" s="93"/>
      <c r="KY663" s="20"/>
      <c r="KZ663" s="29"/>
      <c r="LA663" s="1504">
        <v>54636</v>
      </c>
      <c r="LB663" s="19"/>
      <c r="LC663" s="93"/>
      <c r="LD663" s="93"/>
      <c r="LE663" s="93"/>
      <c r="LF663" s="93"/>
      <c r="LG663" s="93"/>
      <c r="LH663" s="20"/>
      <c r="LI663" s="29"/>
      <c r="LJ663" s="19"/>
      <c r="LK663" s="93"/>
      <c r="LL663" s="93"/>
      <c r="LM663" s="93"/>
      <c r="LN663" s="93"/>
      <c r="LO663" s="20"/>
      <c r="LP663" s="29"/>
      <c r="LQ663" s="19"/>
      <c r="LR663" s="93"/>
      <c r="LS663" s="93"/>
      <c r="LT663" s="93"/>
      <c r="LU663" s="93"/>
      <c r="LV663" s="93"/>
      <c r="LW663" s="93"/>
      <c r="LX663" s="93"/>
      <c r="LY663" s="93"/>
      <c r="LZ663" s="93"/>
      <c r="MA663" s="20"/>
      <c r="MB663" s="29"/>
      <c r="MC663" s="1504">
        <v>54636</v>
      </c>
      <c r="MD663" s="19"/>
      <c r="ME663" s="93"/>
      <c r="MF663" s="93"/>
      <c r="MG663" s="93"/>
      <c r="MH663" s="93"/>
      <c r="MI663" s="93"/>
      <c r="MJ663" s="93"/>
      <c r="MK663" s="93"/>
      <c r="ML663" s="93"/>
      <c r="MM663" s="93"/>
      <c r="MN663" s="93"/>
      <c r="MO663" s="93"/>
      <c r="MP663" s="93"/>
      <c r="MQ663" s="93"/>
      <c r="MR663" s="93"/>
      <c r="MS663" s="93"/>
      <c r="MT663" s="93"/>
      <c r="MU663" s="93"/>
      <c r="MV663" s="93"/>
      <c r="MW663" s="93"/>
      <c r="MX663" s="93"/>
      <c r="MY663" s="93"/>
      <c r="MZ663" s="93"/>
      <c r="NA663" s="93"/>
      <c r="NB663" s="93"/>
      <c r="NC663" s="93"/>
      <c r="ND663" s="93"/>
      <c r="NE663" s="93"/>
      <c r="NF663" s="93"/>
      <c r="NG663" s="93"/>
      <c r="NH663" s="93"/>
      <c r="NI663" s="93"/>
      <c r="NJ663" s="93"/>
      <c r="NK663" s="93"/>
      <c r="NL663" s="93"/>
      <c r="NM663" s="93"/>
      <c r="NN663" s="93"/>
      <c r="NO663" s="93"/>
      <c r="NP663" s="93"/>
      <c r="NQ663" s="93"/>
      <c r="NR663" s="93"/>
      <c r="NS663" s="93"/>
      <c r="NT663" s="93"/>
      <c r="NU663" s="93"/>
      <c r="NV663" s="93"/>
      <c r="NW663" s="93"/>
      <c r="NX663" s="93"/>
      <c r="NY663" s="93"/>
      <c r="NZ663" s="93"/>
      <c r="OA663" s="93"/>
      <c r="OB663" s="93"/>
      <c r="OC663" s="93"/>
      <c r="OD663" s="20"/>
      <c r="OE663" s="29"/>
      <c r="OF663" s="1504">
        <v>54636</v>
      </c>
      <c r="OG663" s="19"/>
      <c r="OH663" s="93"/>
      <c r="OI663" s="93"/>
      <c r="OJ663" s="93"/>
      <c r="OK663" s="93"/>
      <c r="OL663" s="93"/>
      <c r="OM663" s="93"/>
      <c r="ON663" s="93"/>
      <c r="OO663" s="93"/>
      <c r="OP663" s="93"/>
      <c r="OQ663" s="93"/>
      <c r="OR663" s="93"/>
      <c r="OS663" s="93"/>
      <c r="OT663" s="93"/>
      <c r="OU663" s="93"/>
      <c r="OV663" s="93"/>
      <c r="OW663" s="93"/>
      <c r="OX663" s="93"/>
      <c r="OY663" s="93"/>
      <c r="OZ663" s="93"/>
      <c r="PA663" s="93"/>
      <c r="PB663" s="93"/>
      <c r="PC663" s="20"/>
      <c r="PD663" s="29"/>
      <c r="PE663" s="19"/>
      <c r="PF663" s="93"/>
      <c r="PG663" s="93"/>
      <c r="PH663" s="93"/>
      <c r="PI663" s="93"/>
      <c r="PJ663" s="93"/>
      <c r="PK663" s="93"/>
      <c r="PL663" s="93"/>
      <c r="PM663" s="93"/>
      <c r="PN663" s="93"/>
      <c r="PO663" s="93"/>
      <c r="PP663" s="93"/>
      <c r="PQ663" s="93"/>
      <c r="PR663" s="93"/>
      <c r="PS663" s="93"/>
      <c r="PT663" s="93"/>
      <c r="PU663" s="93"/>
      <c r="PV663" s="93"/>
      <c r="PW663" s="93"/>
      <c r="PX663" s="93"/>
      <c r="PY663" s="93"/>
      <c r="PZ663" s="93"/>
      <c r="QA663" s="93"/>
      <c r="QB663" s="93"/>
      <c r="QC663" s="93"/>
      <c r="QD663" s="93"/>
      <c r="QE663" s="20"/>
      <c r="QF663" s="1739"/>
      <c r="QG663" s="19"/>
      <c r="QH663" s="93"/>
      <c r="QI663" s="93"/>
      <c r="QJ663" s="93"/>
      <c r="QK663" s="93"/>
      <c r="QL663" s="93"/>
      <c r="QM663" s="93"/>
      <c r="QN663" s="93"/>
      <c r="QO663" s="93"/>
      <c r="QP663" s="93"/>
      <c r="QQ663" s="93"/>
      <c r="QR663" s="93"/>
      <c r="QS663" s="93"/>
      <c r="QT663" s="93"/>
      <c r="QU663" s="93"/>
      <c r="QV663" s="93"/>
      <c r="QW663" s="93"/>
      <c r="QX663" s="93"/>
      <c r="QY663" s="93"/>
      <c r="QZ663" s="93"/>
      <c r="RA663" s="93"/>
      <c r="RB663" s="93"/>
      <c r="RC663" s="93"/>
      <c r="RD663" s="93"/>
      <c r="RE663" s="93"/>
      <c r="RF663" s="93"/>
      <c r="RG663" s="93"/>
      <c r="RH663" s="93"/>
      <c r="RI663" s="93"/>
      <c r="RJ663" s="93"/>
      <c r="RK663" s="93"/>
      <c r="RL663" s="93"/>
      <c r="RM663" s="20"/>
      <c r="RN663" s="29"/>
      <c r="RO663" s="19"/>
      <c r="RP663" s="20"/>
      <c r="RQ663" s="29"/>
      <c r="RR663" s="20"/>
      <c r="RS663" s="29"/>
      <c r="RT663" s="1504">
        <v>54636</v>
      </c>
      <c r="RU663" s="19"/>
      <c r="RV663" s="20"/>
      <c r="RW663" s="29"/>
      <c r="RX663" s="1504">
        <v>54636</v>
      </c>
      <c r="RY663" s="29"/>
      <c r="RZ663" s="20"/>
      <c r="SA663" s="29"/>
      <c r="SB663" s="29"/>
    </row>
    <row r="664" spans="1:496">
      <c r="A664" s="41">
        <f t="shared" si="364"/>
        <v>2049</v>
      </c>
      <c r="B664" s="1504">
        <v>54667</v>
      </c>
      <c r="C664" s="1813"/>
      <c r="D664" s="1814"/>
      <c r="E664" s="1814"/>
      <c r="F664" s="1815"/>
      <c r="G664" s="1814"/>
      <c r="H664" s="1814"/>
      <c r="I664" s="1814"/>
      <c r="J664" s="1816"/>
      <c r="K664" s="1807"/>
      <c r="L664" s="25"/>
      <c r="M664" s="97"/>
      <c r="N664" s="1504">
        <v>54667</v>
      </c>
      <c r="O664" s="19"/>
      <c r="P664" s="93"/>
      <c r="Q664" s="93"/>
      <c r="R664" s="93"/>
      <c r="S664" s="93"/>
      <c r="T664" s="93"/>
      <c r="U664" s="93"/>
      <c r="V664" s="93"/>
      <c r="W664" s="93"/>
      <c r="X664" s="93"/>
      <c r="Y664" s="93"/>
      <c r="Z664" s="93"/>
      <c r="AA664" s="93"/>
      <c r="AB664" s="20"/>
      <c r="AC664" s="25"/>
      <c r="AD664" s="97"/>
      <c r="AE664" s="1504">
        <v>54667</v>
      </c>
      <c r="AF664" s="19"/>
      <c r="AG664" s="93"/>
      <c r="AH664" s="93"/>
      <c r="AI664" s="93"/>
      <c r="AJ664" s="93"/>
      <c r="AK664" s="93"/>
      <c r="AL664" s="93"/>
      <c r="AM664" s="93"/>
      <c r="AN664" s="93"/>
      <c r="AO664" s="93"/>
      <c r="AP664" s="93"/>
      <c r="AQ664" s="93"/>
      <c r="AR664" s="93"/>
      <c r="AS664" s="20"/>
      <c r="AT664" s="25"/>
      <c r="AU664" s="97"/>
      <c r="AV664" s="1504">
        <v>54667</v>
      </c>
      <c r="AW664" s="19"/>
      <c r="AX664" s="93"/>
      <c r="AY664" s="93"/>
      <c r="AZ664" s="93"/>
      <c r="BA664" s="93"/>
      <c r="BB664" s="93"/>
      <c r="BC664" s="93"/>
      <c r="BD664" s="93"/>
      <c r="BE664" s="93"/>
      <c r="BF664" s="93"/>
      <c r="BG664" s="93"/>
      <c r="BH664" s="93"/>
      <c r="BI664" s="93"/>
      <c r="BJ664" s="20"/>
      <c r="BK664" s="25"/>
      <c r="BL664" s="97"/>
      <c r="BM664" s="1504">
        <v>54667</v>
      </c>
      <c r="BN664" s="19"/>
      <c r="BO664" s="93"/>
      <c r="BP664" s="93"/>
      <c r="BQ664" s="93"/>
      <c r="BR664" s="93"/>
      <c r="BS664" s="93"/>
      <c r="BT664" s="93"/>
      <c r="BU664" s="20"/>
      <c r="BV664" s="25"/>
      <c r="BW664" s="97"/>
      <c r="BX664" s="1504">
        <v>54667</v>
      </c>
      <c r="BY664" s="19"/>
      <c r="BZ664" s="93"/>
      <c r="CA664" s="93"/>
      <c r="CB664" s="93"/>
      <c r="CC664" s="93"/>
      <c r="CD664" s="25"/>
      <c r="CE664" s="97"/>
      <c r="CF664" s="1504">
        <v>54667</v>
      </c>
      <c r="CG664" s="19"/>
      <c r="CH664" s="93"/>
      <c r="CI664" s="219"/>
      <c r="CJ664" s="20"/>
      <c r="CK664" s="19"/>
      <c r="CL664" s="93"/>
      <c r="CM664" s="93"/>
      <c r="CN664" s="93"/>
      <c r="CO664" s="93"/>
      <c r="CP664" s="20"/>
      <c r="CQ664" s="219"/>
      <c r="CR664" s="93"/>
      <c r="CS664" s="93"/>
      <c r="CT664" s="93"/>
      <c r="CU664" s="93"/>
      <c r="CV664" s="214"/>
      <c r="CW664" s="29"/>
      <c r="CX664" s="41">
        <f t="shared" si="365"/>
        <v>2049</v>
      </c>
      <c r="CY664" s="1504">
        <v>54667</v>
      </c>
      <c r="CZ664" s="19"/>
      <c r="DA664" s="93"/>
      <c r="DB664" s="93"/>
      <c r="DC664" s="93"/>
      <c r="DD664" s="93"/>
      <c r="DE664" s="20"/>
      <c r="DF664" s="29"/>
      <c r="DG664" s="1504">
        <v>54667</v>
      </c>
      <c r="DH664" s="19"/>
      <c r="DI664" s="93"/>
      <c r="DJ664" s="93"/>
      <c r="DK664" s="93"/>
      <c r="DL664" s="93"/>
      <c r="DM664" s="93"/>
      <c r="DN664" s="20"/>
      <c r="DO664" s="295"/>
      <c r="DP664" s="29"/>
      <c r="DQ664" s="1504">
        <v>54667</v>
      </c>
      <c r="DR664" s="19"/>
      <c r="DS664" s="93"/>
      <c r="DT664" s="93"/>
      <c r="DU664" s="93"/>
      <c r="DV664" s="93"/>
      <c r="DW664" s="93"/>
      <c r="DX664" s="20"/>
      <c r="DY664" s="29"/>
      <c r="DZ664" s="1504">
        <v>54667</v>
      </c>
      <c r="EA664" s="19"/>
      <c r="EB664" s="93"/>
      <c r="EC664" s="20"/>
      <c r="ED664" s="29"/>
      <c r="EE664" s="1504">
        <v>54667</v>
      </c>
      <c r="EF664" s="19"/>
      <c r="EG664" s="93"/>
      <c r="EH664" s="93"/>
      <c r="EI664" s="214"/>
      <c r="EJ664" s="93"/>
      <c r="EK664" s="93"/>
      <c r="EL664" s="93"/>
      <c r="EM664" s="93"/>
      <c r="EN664" s="20"/>
      <c r="EO664" s="29"/>
      <c r="EP664" s="1504">
        <v>54667</v>
      </c>
      <c r="EQ664" s="19"/>
      <c r="ER664" s="93"/>
      <c r="ES664" s="93"/>
      <c r="ET664" s="214"/>
      <c r="EU664" s="93"/>
      <c r="EV664" s="93"/>
      <c r="EW664" s="93"/>
      <c r="EX664" s="93"/>
      <c r="EY664" s="20"/>
      <c r="EZ664" s="29"/>
      <c r="FA664" s="1504">
        <v>54667</v>
      </c>
      <c r="FB664" s="29"/>
      <c r="FC664" s="29"/>
      <c r="FD664" s="29"/>
      <c r="FE664" s="29"/>
      <c r="FF664" s="29"/>
      <c r="FG664" s="29"/>
      <c r="FH664" s="29"/>
      <c r="FI664" s="29"/>
      <c r="FJ664" s="29"/>
      <c r="FK664" s="29"/>
      <c r="FL664" s="1504">
        <v>54667</v>
      </c>
      <c r="FM664" s="19"/>
      <c r="FN664" s="93"/>
      <c r="FO664" s="93"/>
      <c r="FP664" s="93"/>
      <c r="FQ664" s="93"/>
      <c r="FR664" s="93"/>
      <c r="FS664" s="93"/>
      <c r="FT664" s="93"/>
      <c r="FU664" s="93"/>
      <c r="FV664" s="93"/>
      <c r="FW664" s="93"/>
      <c r="FX664" s="93"/>
      <c r="FY664" s="93"/>
      <c r="FZ664" s="29"/>
      <c r="GA664" s="1504">
        <v>54667</v>
      </c>
      <c r="GB664" s="19"/>
      <c r="GC664" s="93"/>
      <c r="GD664" s="93"/>
      <c r="GE664" s="93"/>
      <c r="GF664" s="93"/>
      <c r="GG664" s="93"/>
      <c r="GH664" s="93"/>
      <c r="GI664" s="93"/>
      <c r="GJ664" s="93"/>
      <c r="GK664" s="93"/>
      <c r="GL664" s="93"/>
      <c r="GM664" s="93"/>
      <c r="GN664" s="20"/>
      <c r="GO664" s="29"/>
      <c r="GP664" s="1504">
        <v>54667</v>
      </c>
      <c r="GQ664" s="19"/>
      <c r="GR664" s="93"/>
      <c r="GS664" s="93"/>
      <c r="GT664" s="93"/>
      <c r="GU664" s="93"/>
      <c r="GV664" s="20"/>
      <c r="GW664" s="19"/>
      <c r="GX664" s="93"/>
      <c r="GY664" s="93"/>
      <c r="GZ664" s="93"/>
      <c r="HA664" s="93"/>
      <c r="HB664" s="20"/>
      <c r="HC664" s="19"/>
      <c r="HD664" s="93"/>
      <c r="HE664" s="93"/>
      <c r="HF664" s="93"/>
      <c r="HG664" s="93"/>
      <c r="HH664" s="20"/>
      <c r="HI664" s="19"/>
      <c r="HJ664" s="93"/>
      <c r="HK664" s="93"/>
      <c r="HL664" s="93"/>
      <c r="HM664" s="93"/>
      <c r="HN664" s="20"/>
      <c r="HO664" s="219"/>
      <c r="HP664" s="20"/>
      <c r="HQ664" s="25"/>
      <c r="HR664" s="29"/>
      <c r="HS664" s="1504">
        <v>54667</v>
      </c>
      <c r="HT664" s="19"/>
      <c r="HU664" s="93"/>
      <c r="HV664" s="93"/>
      <c r="HW664" s="93"/>
      <c r="HX664" s="93"/>
      <c r="HY664" s="93"/>
      <c r="HZ664" s="93"/>
      <c r="IA664" s="20"/>
      <c r="IB664" s="19"/>
      <c r="IC664" s="93"/>
      <c r="ID664" s="93"/>
      <c r="IE664" s="93"/>
      <c r="IF664" s="93"/>
      <c r="IG664" s="20"/>
      <c r="IH664" s="19"/>
      <c r="II664" s="93"/>
      <c r="IJ664" s="93"/>
      <c r="IK664" s="93"/>
      <c r="IL664" s="93"/>
      <c r="IM664" s="93"/>
      <c r="IN664" s="93"/>
      <c r="IO664" s="20"/>
      <c r="IP664" s="29"/>
      <c r="IQ664" s="19"/>
      <c r="IR664" s="93"/>
      <c r="IS664" s="93"/>
      <c r="IT664" s="93"/>
      <c r="IU664" s="93"/>
      <c r="IV664" s="20"/>
      <c r="IW664" s="29"/>
      <c r="IX664" s="19"/>
      <c r="IY664" s="93"/>
      <c r="IZ664" s="93"/>
      <c r="JA664" s="93"/>
      <c r="JB664" s="93"/>
      <c r="JC664" s="93"/>
      <c r="JD664" s="93"/>
      <c r="JE664" s="20"/>
      <c r="JF664" s="29"/>
      <c r="JG664" s="19"/>
      <c r="JH664" s="93"/>
      <c r="JI664" s="93"/>
      <c r="JJ664" s="93"/>
      <c r="JK664" s="93"/>
      <c r="JL664" s="93"/>
      <c r="JM664" s="93"/>
      <c r="JN664" s="20"/>
      <c r="JO664" s="29"/>
      <c r="JP664" s="19"/>
      <c r="JQ664" s="93"/>
      <c r="JR664" s="93"/>
      <c r="JS664" s="93"/>
      <c r="JT664" s="93"/>
      <c r="JU664" s="20"/>
      <c r="JV664" s="29"/>
      <c r="JW664" s="1504">
        <v>54667</v>
      </c>
      <c r="JX664" s="19"/>
      <c r="JY664" s="93"/>
      <c r="JZ664" s="93"/>
      <c r="KA664" s="93"/>
      <c r="KB664" s="93"/>
      <c r="KC664" s="93"/>
      <c r="KD664" s="20"/>
      <c r="KE664" s="29"/>
      <c r="KF664" s="19"/>
      <c r="KG664" s="93"/>
      <c r="KH664" s="93"/>
      <c r="KI664" s="93"/>
      <c r="KJ664" s="93"/>
      <c r="KK664" s="20"/>
      <c r="KL664" s="29"/>
      <c r="KM664" s="19"/>
      <c r="KN664" s="93"/>
      <c r="KO664" s="93"/>
      <c r="KP664" s="93"/>
      <c r="KQ664" s="93"/>
      <c r="KR664" s="20"/>
      <c r="KS664" s="29"/>
      <c r="KT664" s="19"/>
      <c r="KU664" s="93"/>
      <c r="KV664" s="93"/>
      <c r="KW664" s="93"/>
      <c r="KX664" s="93"/>
      <c r="KY664" s="20"/>
      <c r="KZ664" s="29"/>
      <c r="LA664" s="1504">
        <v>54667</v>
      </c>
      <c r="LB664" s="19"/>
      <c r="LC664" s="93"/>
      <c r="LD664" s="93"/>
      <c r="LE664" s="93"/>
      <c r="LF664" s="93"/>
      <c r="LG664" s="93"/>
      <c r="LH664" s="20"/>
      <c r="LI664" s="29"/>
      <c r="LJ664" s="19"/>
      <c r="LK664" s="93"/>
      <c r="LL664" s="93"/>
      <c r="LM664" s="93"/>
      <c r="LN664" s="93"/>
      <c r="LO664" s="20"/>
      <c r="LP664" s="29"/>
      <c r="LQ664" s="19"/>
      <c r="LR664" s="93"/>
      <c r="LS664" s="93"/>
      <c r="LT664" s="93"/>
      <c r="LU664" s="93"/>
      <c r="LV664" s="93"/>
      <c r="LW664" s="93"/>
      <c r="LX664" s="93"/>
      <c r="LY664" s="93"/>
      <c r="LZ664" s="93"/>
      <c r="MA664" s="20"/>
      <c r="MB664" s="29"/>
      <c r="MC664" s="1504">
        <v>54667</v>
      </c>
      <c r="MD664" s="19"/>
      <c r="ME664" s="93"/>
      <c r="MF664" s="93"/>
      <c r="MG664" s="93"/>
      <c r="MH664" s="93"/>
      <c r="MI664" s="93"/>
      <c r="MJ664" s="93"/>
      <c r="MK664" s="93"/>
      <c r="ML664" s="93"/>
      <c r="MM664" s="93"/>
      <c r="MN664" s="93"/>
      <c r="MO664" s="93"/>
      <c r="MP664" s="93"/>
      <c r="MQ664" s="93"/>
      <c r="MR664" s="93"/>
      <c r="MS664" s="93"/>
      <c r="MT664" s="93"/>
      <c r="MU664" s="93"/>
      <c r="MV664" s="93"/>
      <c r="MW664" s="93"/>
      <c r="MX664" s="93"/>
      <c r="MY664" s="93"/>
      <c r="MZ664" s="93"/>
      <c r="NA664" s="93"/>
      <c r="NB664" s="93"/>
      <c r="NC664" s="93"/>
      <c r="ND664" s="93"/>
      <c r="NE664" s="93"/>
      <c r="NF664" s="93"/>
      <c r="NG664" s="93"/>
      <c r="NH664" s="93"/>
      <c r="NI664" s="93"/>
      <c r="NJ664" s="93"/>
      <c r="NK664" s="93"/>
      <c r="NL664" s="93"/>
      <c r="NM664" s="93"/>
      <c r="NN664" s="93"/>
      <c r="NO664" s="93"/>
      <c r="NP664" s="93"/>
      <c r="NQ664" s="93"/>
      <c r="NR664" s="93"/>
      <c r="NS664" s="93"/>
      <c r="NT664" s="93"/>
      <c r="NU664" s="93"/>
      <c r="NV664" s="93"/>
      <c r="NW664" s="93"/>
      <c r="NX664" s="93"/>
      <c r="NY664" s="93"/>
      <c r="NZ664" s="93"/>
      <c r="OA664" s="93"/>
      <c r="OB664" s="93"/>
      <c r="OC664" s="93"/>
      <c r="OD664" s="20"/>
      <c r="OE664" s="29"/>
      <c r="OF664" s="1504">
        <v>54667</v>
      </c>
      <c r="OG664" s="19"/>
      <c r="OH664" s="93"/>
      <c r="OI664" s="93"/>
      <c r="OJ664" s="93"/>
      <c r="OK664" s="93"/>
      <c r="OL664" s="93"/>
      <c r="OM664" s="93"/>
      <c r="ON664" s="93"/>
      <c r="OO664" s="93"/>
      <c r="OP664" s="93"/>
      <c r="OQ664" s="93"/>
      <c r="OR664" s="93"/>
      <c r="OS664" s="93"/>
      <c r="OT664" s="93"/>
      <c r="OU664" s="93"/>
      <c r="OV664" s="93"/>
      <c r="OW664" s="93"/>
      <c r="OX664" s="93"/>
      <c r="OY664" s="93"/>
      <c r="OZ664" s="93"/>
      <c r="PA664" s="93"/>
      <c r="PB664" s="93"/>
      <c r="PC664" s="20"/>
      <c r="PD664" s="29"/>
      <c r="PE664" s="19"/>
      <c r="PF664" s="93"/>
      <c r="PG664" s="93"/>
      <c r="PH664" s="93"/>
      <c r="PI664" s="93"/>
      <c r="PJ664" s="93"/>
      <c r="PK664" s="93"/>
      <c r="PL664" s="93"/>
      <c r="PM664" s="93"/>
      <c r="PN664" s="93"/>
      <c r="PO664" s="93"/>
      <c r="PP664" s="93"/>
      <c r="PQ664" s="93"/>
      <c r="PR664" s="93"/>
      <c r="PS664" s="93"/>
      <c r="PT664" s="93"/>
      <c r="PU664" s="93"/>
      <c r="PV664" s="93"/>
      <c r="PW664" s="93"/>
      <c r="PX664" s="93"/>
      <c r="PY664" s="93"/>
      <c r="PZ664" s="93"/>
      <c r="QA664" s="93"/>
      <c r="QB664" s="93"/>
      <c r="QC664" s="93"/>
      <c r="QD664" s="93"/>
      <c r="QE664" s="20"/>
      <c r="QF664" s="1739"/>
      <c r="QG664" s="19"/>
      <c r="QH664" s="93"/>
      <c r="QI664" s="93"/>
      <c r="QJ664" s="93"/>
      <c r="QK664" s="93"/>
      <c r="QL664" s="93"/>
      <c r="QM664" s="93"/>
      <c r="QN664" s="93"/>
      <c r="QO664" s="93"/>
      <c r="QP664" s="93"/>
      <c r="QQ664" s="93"/>
      <c r="QR664" s="93"/>
      <c r="QS664" s="93"/>
      <c r="QT664" s="93"/>
      <c r="QU664" s="93"/>
      <c r="QV664" s="93"/>
      <c r="QW664" s="93"/>
      <c r="QX664" s="93"/>
      <c r="QY664" s="93"/>
      <c r="QZ664" s="93"/>
      <c r="RA664" s="93"/>
      <c r="RB664" s="93"/>
      <c r="RC664" s="93"/>
      <c r="RD664" s="93"/>
      <c r="RE664" s="93"/>
      <c r="RF664" s="93"/>
      <c r="RG664" s="93"/>
      <c r="RH664" s="93"/>
      <c r="RI664" s="93"/>
      <c r="RJ664" s="93"/>
      <c r="RK664" s="93"/>
      <c r="RL664" s="93"/>
      <c r="RM664" s="20"/>
      <c r="RN664" s="29"/>
      <c r="RO664" s="19"/>
      <c r="RP664" s="20"/>
      <c r="RQ664" s="29"/>
      <c r="RR664" s="20"/>
      <c r="RS664" s="29"/>
      <c r="RT664" s="1504">
        <v>54667</v>
      </c>
      <c r="RU664" s="19"/>
      <c r="RV664" s="20"/>
      <c r="RW664" s="29"/>
      <c r="RX664" s="1504">
        <v>54667</v>
      </c>
      <c r="RY664" s="29"/>
      <c r="RZ664" s="20"/>
      <c r="SA664" s="29"/>
      <c r="SB664" s="29"/>
    </row>
    <row r="665" spans="1:496">
      <c r="A665" s="41">
        <f t="shared" si="364"/>
        <v>2049</v>
      </c>
      <c r="B665" s="1504">
        <v>54697</v>
      </c>
      <c r="C665" s="1813"/>
      <c r="D665" s="1814"/>
      <c r="E665" s="1814"/>
      <c r="F665" s="1815"/>
      <c r="G665" s="1814"/>
      <c r="H665" s="1814"/>
      <c r="I665" s="1814"/>
      <c r="J665" s="1816"/>
      <c r="K665" s="1807"/>
      <c r="L665" s="25"/>
      <c r="M665" s="97"/>
      <c r="N665" s="1504">
        <v>54697</v>
      </c>
      <c r="O665" s="19"/>
      <c r="P665" s="93"/>
      <c r="Q665" s="93"/>
      <c r="R665" s="93"/>
      <c r="S665" s="93"/>
      <c r="T665" s="93"/>
      <c r="U665" s="93"/>
      <c r="V665" s="93"/>
      <c r="W665" s="93"/>
      <c r="X665" s="93"/>
      <c r="Y665" s="93"/>
      <c r="Z665" s="93"/>
      <c r="AA665" s="93"/>
      <c r="AB665" s="20"/>
      <c r="AC665" s="25"/>
      <c r="AD665" s="97"/>
      <c r="AE665" s="1504">
        <v>54697</v>
      </c>
      <c r="AF665" s="19"/>
      <c r="AG665" s="93"/>
      <c r="AH665" s="93"/>
      <c r="AI665" s="93"/>
      <c r="AJ665" s="93"/>
      <c r="AK665" s="93"/>
      <c r="AL665" s="93"/>
      <c r="AM665" s="93"/>
      <c r="AN665" s="93"/>
      <c r="AO665" s="93"/>
      <c r="AP665" s="93"/>
      <c r="AQ665" s="93"/>
      <c r="AR665" s="93"/>
      <c r="AS665" s="20"/>
      <c r="AT665" s="25"/>
      <c r="AU665" s="97"/>
      <c r="AV665" s="1504">
        <v>54697</v>
      </c>
      <c r="AW665" s="19"/>
      <c r="AX665" s="93"/>
      <c r="AY665" s="93"/>
      <c r="AZ665" s="93"/>
      <c r="BA665" s="93"/>
      <c r="BB665" s="93"/>
      <c r="BC665" s="93"/>
      <c r="BD665" s="93"/>
      <c r="BE665" s="93"/>
      <c r="BF665" s="93"/>
      <c r="BG665" s="93"/>
      <c r="BH665" s="93"/>
      <c r="BI665" s="93"/>
      <c r="BJ665" s="20"/>
      <c r="BK665" s="25"/>
      <c r="BL665" s="97"/>
      <c r="BM665" s="1504">
        <v>54697</v>
      </c>
      <c r="BN665" s="19"/>
      <c r="BO665" s="93"/>
      <c r="BP665" s="93"/>
      <c r="BQ665" s="93"/>
      <c r="BR665" s="93"/>
      <c r="BS665" s="93"/>
      <c r="BT665" s="93"/>
      <c r="BU665" s="20"/>
      <c r="BV665" s="25"/>
      <c r="BW665" s="97"/>
      <c r="BX665" s="1504">
        <v>54697</v>
      </c>
      <c r="BY665" s="19"/>
      <c r="BZ665" s="93"/>
      <c r="CA665" s="93"/>
      <c r="CB665" s="93"/>
      <c r="CC665" s="93"/>
      <c r="CD665" s="25"/>
      <c r="CE665" s="97"/>
      <c r="CF665" s="1504">
        <v>54697</v>
      </c>
      <c r="CG665" s="19"/>
      <c r="CH665" s="93"/>
      <c r="CI665" s="219"/>
      <c r="CJ665" s="20"/>
      <c r="CK665" s="19"/>
      <c r="CL665" s="93"/>
      <c r="CM665" s="93"/>
      <c r="CN665" s="93"/>
      <c r="CO665" s="93"/>
      <c r="CP665" s="20"/>
      <c r="CQ665" s="219"/>
      <c r="CR665" s="93"/>
      <c r="CS665" s="93"/>
      <c r="CT665" s="93"/>
      <c r="CU665" s="93"/>
      <c r="CV665" s="214"/>
      <c r="CW665" s="29"/>
      <c r="CX665" s="41">
        <f t="shared" si="365"/>
        <v>2049</v>
      </c>
      <c r="CY665" s="1504">
        <v>54697</v>
      </c>
      <c r="CZ665" s="19"/>
      <c r="DA665" s="93"/>
      <c r="DB665" s="93"/>
      <c r="DC665" s="93"/>
      <c r="DD665" s="93"/>
      <c r="DE665" s="20"/>
      <c r="DF665" s="29"/>
      <c r="DG665" s="1504">
        <v>54697</v>
      </c>
      <c r="DH665" s="19"/>
      <c r="DI665" s="93"/>
      <c r="DJ665" s="93"/>
      <c r="DK665" s="93"/>
      <c r="DL665" s="93"/>
      <c r="DM665" s="93"/>
      <c r="DN665" s="20"/>
      <c r="DO665" s="295"/>
      <c r="DP665" s="29"/>
      <c r="DQ665" s="1504">
        <v>54697</v>
      </c>
      <c r="DR665" s="19"/>
      <c r="DS665" s="93"/>
      <c r="DT665" s="93"/>
      <c r="DU665" s="93"/>
      <c r="DV665" s="93"/>
      <c r="DW665" s="93"/>
      <c r="DX665" s="20"/>
      <c r="DY665" s="29"/>
      <c r="DZ665" s="1504">
        <v>54697</v>
      </c>
      <c r="EA665" s="19"/>
      <c r="EB665" s="93"/>
      <c r="EC665" s="20"/>
      <c r="ED665" s="29"/>
      <c r="EE665" s="1504">
        <v>54697</v>
      </c>
      <c r="EF665" s="19"/>
      <c r="EG665" s="93"/>
      <c r="EH665" s="93"/>
      <c r="EI665" s="214"/>
      <c r="EJ665" s="93"/>
      <c r="EK665" s="93"/>
      <c r="EL665" s="93"/>
      <c r="EM665" s="93"/>
      <c r="EN665" s="20"/>
      <c r="EO665" s="29"/>
      <c r="EP665" s="1504">
        <v>54697</v>
      </c>
      <c r="EQ665" s="19"/>
      <c r="ER665" s="93"/>
      <c r="ES665" s="93"/>
      <c r="ET665" s="214"/>
      <c r="EU665" s="93"/>
      <c r="EV665" s="93"/>
      <c r="EW665" s="93"/>
      <c r="EX665" s="93"/>
      <c r="EY665" s="20"/>
      <c r="EZ665" s="29"/>
      <c r="FA665" s="1504">
        <v>54697</v>
      </c>
      <c r="FB665" s="29"/>
      <c r="FC665" s="29"/>
      <c r="FD665" s="29"/>
      <c r="FE665" s="29"/>
      <c r="FF665" s="29"/>
      <c r="FG665" s="29"/>
      <c r="FH665" s="29"/>
      <c r="FI665" s="29"/>
      <c r="FJ665" s="29"/>
      <c r="FK665" s="29"/>
      <c r="FL665" s="1504">
        <v>54697</v>
      </c>
      <c r="FM665" s="19"/>
      <c r="FN665" s="93"/>
      <c r="FO665" s="93"/>
      <c r="FP665" s="93"/>
      <c r="FQ665" s="93"/>
      <c r="FR665" s="93"/>
      <c r="FS665" s="93"/>
      <c r="FT665" s="93"/>
      <c r="FU665" s="93"/>
      <c r="FV665" s="93"/>
      <c r="FW665" s="93"/>
      <c r="FX665" s="93"/>
      <c r="FY665" s="93"/>
      <c r="FZ665" s="29"/>
      <c r="GA665" s="1504">
        <v>54697</v>
      </c>
      <c r="GB665" s="19"/>
      <c r="GC665" s="93"/>
      <c r="GD665" s="93"/>
      <c r="GE665" s="93"/>
      <c r="GF665" s="93"/>
      <c r="GG665" s="93"/>
      <c r="GH665" s="93"/>
      <c r="GI665" s="93"/>
      <c r="GJ665" s="93"/>
      <c r="GK665" s="93"/>
      <c r="GL665" s="93"/>
      <c r="GM665" s="93"/>
      <c r="GN665" s="20"/>
      <c r="GO665" s="29"/>
      <c r="GP665" s="1504">
        <v>54697</v>
      </c>
      <c r="GQ665" s="19"/>
      <c r="GR665" s="93"/>
      <c r="GS665" s="93"/>
      <c r="GT665" s="93"/>
      <c r="GU665" s="93"/>
      <c r="GV665" s="20"/>
      <c r="GW665" s="19"/>
      <c r="GX665" s="93"/>
      <c r="GY665" s="93"/>
      <c r="GZ665" s="93"/>
      <c r="HA665" s="93"/>
      <c r="HB665" s="20"/>
      <c r="HC665" s="19"/>
      <c r="HD665" s="93"/>
      <c r="HE665" s="93"/>
      <c r="HF665" s="93"/>
      <c r="HG665" s="93"/>
      <c r="HH665" s="20"/>
      <c r="HI665" s="19"/>
      <c r="HJ665" s="93"/>
      <c r="HK665" s="93"/>
      <c r="HL665" s="93"/>
      <c r="HM665" s="93"/>
      <c r="HN665" s="20"/>
      <c r="HO665" s="219"/>
      <c r="HP665" s="20"/>
      <c r="HQ665" s="25"/>
      <c r="HR665" s="29"/>
      <c r="HS665" s="1504">
        <v>54697</v>
      </c>
      <c r="HT665" s="19"/>
      <c r="HU665" s="93"/>
      <c r="HV665" s="93"/>
      <c r="HW665" s="93"/>
      <c r="HX665" s="93"/>
      <c r="HY665" s="93"/>
      <c r="HZ665" s="93"/>
      <c r="IA665" s="20"/>
      <c r="IB665" s="19"/>
      <c r="IC665" s="93"/>
      <c r="ID665" s="93"/>
      <c r="IE665" s="93"/>
      <c r="IF665" s="93"/>
      <c r="IG665" s="20"/>
      <c r="IH665" s="19"/>
      <c r="II665" s="93"/>
      <c r="IJ665" s="93"/>
      <c r="IK665" s="93"/>
      <c r="IL665" s="93"/>
      <c r="IM665" s="93"/>
      <c r="IN665" s="93"/>
      <c r="IO665" s="20"/>
      <c r="IP665" s="29"/>
      <c r="IQ665" s="19"/>
      <c r="IR665" s="93"/>
      <c r="IS665" s="93"/>
      <c r="IT665" s="93"/>
      <c r="IU665" s="93"/>
      <c r="IV665" s="20"/>
      <c r="IW665" s="29"/>
      <c r="IX665" s="19"/>
      <c r="IY665" s="93"/>
      <c r="IZ665" s="93"/>
      <c r="JA665" s="93"/>
      <c r="JB665" s="93"/>
      <c r="JC665" s="93"/>
      <c r="JD665" s="93"/>
      <c r="JE665" s="20"/>
      <c r="JF665" s="29"/>
      <c r="JG665" s="19"/>
      <c r="JH665" s="93"/>
      <c r="JI665" s="93"/>
      <c r="JJ665" s="93"/>
      <c r="JK665" s="93"/>
      <c r="JL665" s="93"/>
      <c r="JM665" s="93"/>
      <c r="JN665" s="20"/>
      <c r="JO665" s="29"/>
      <c r="JP665" s="19"/>
      <c r="JQ665" s="93"/>
      <c r="JR665" s="93"/>
      <c r="JS665" s="93"/>
      <c r="JT665" s="93"/>
      <c r="JU665" s="20"/>
      <c r="JV665" s="29"/>
      <c r="JW665" s="1504">
        <v>54697</v>
      </c>
      <c r="JX665" s="19"/>
      <c r="JY665" s="93"/>
      <c r="JZ665" s="93"/>
      <c r="KA665" s="93"/>
      <c r="KB665" s="93"/>
      <c r="KC665" s="93"/>
      <c r="KD665" s="20"/>
      <c r="KE665" s="29"/>
      <c r="KF665" s="19"/>
      <c r="KG665" s="93"/>
      <c r="KH665" s="93"/>
      <c r="KI665" s="93"/>
      <c r="KJ665" s="93"/>
      <c r="KK665" s="20"/>
      <c r="KL665" s="29"/>
      <c r="KM665" s="19"/>
      <c r="KN665" s="93"/>
      <c r="KO665" s="93"/>
      <c r="KP665" s="93"/>
      <c r="KQ665" s="93"/>
      <c r="KR665" s="20"/>
      <c r="KS665" s="29"/>
      <c r="KT665" s="19"/>
      <c r="KU665" s="93"/>
      <c r="KV665" s="93"/>
      <c r="KW665" s="93"/>
      <c r="KX665" s="93"/>
      <c r="KY665" s="20"/>
      <c r="KZ665" s="29"/>
      <c r="LA665" s="1504">
        <v>54697</v>
      </c>
      <c r="LB665" s="19"/>
      <c r="LC665" s="93"/>
      <c r="LD665" s="93"/>
      <c r="LE665" s="93"/>
      <c r="LF665" s="93"/>
      <c r="LG665" s="93"/>
      <c r="LH665" s="20"/>
      <c r="LI665" s="29"/>
      <c r="LJ665" s="19"/>
      <c r="LK665" s="93"/>
      <c r="LL665" s="93"/>
      <c r="LM665" s="93"/>
      <c r="LN665" s="93"/>
      <c r="LO665" s="20"/>
      <c r="LP665" s="29"/>
      <c r="LQ665" s="19"/>
      <c r="LR665" s="93"/>
      <c r="LS665" s="93"/>
      <c r="LT665" s="93"/>
      <c r="LU665" s="93"/>
      <c r="LV665" s="93"/>
      <c r="LW665" s="93"/>
      <c r="LX665" s="93"/>
      <c r="LY665" s="93"/>
      <c r="LZ665" s="93"/>
      <c r="MA665" s="20"/>
      <c r="MB665" s="29"/>
      <c r="MC665" s="1504">
        <v>54697</v>
      </c>
      <c r="MD665" s="19"/>
      <c r="ME665" s="93"/>
      <c r="MF665" s="93"/>
      <c r="MG665" s="93"/>
      <c r="MH665" s="93"/>
      <c r="MI665" s="93"/>
      <c r="MJ665" s="93"/>
      <c r="MK665" s="93"/>
      <c r="ML665" s="93"/>
      <c r="MM665" s="93"/>
      <c r="MN665" s="93"/>
      <c r="MO665" s="93"/>
      <c r="MP665" s="93"/>
      <c r="MQ665" s="93"/>
      <c r="MR665" s="93"/>
      <c r="MS665" s="93"/>
      <c r="MT665" s="93"/>
      <c r="MU665" s="93"/>
      <c r="MV665" s="93"/>
      <c r="MW665" s="93"/>
      <c r="MX665" s="93"/>
      <c r="MY665" s="93"/>
      <c r="MZ665" s="93"/>
      <c r="NA665" s="93"/>
      <c r="NB665" s="93"/>
      <c r="NC665" s="93"/>
      <c r="ND665" s="93"/>
      <c r="NE665" s="93"/>
      <c r="NF665" s="93"/>
      <c r="NG665" s="93"/>
      <c r="NH665" s="93"/>
      <c r="NI665" s="93"/>
      <c r="NJ665" s="93"/>
      <c r="NK665" s="93"/>
      <c r="NL665" s="93"/>
      <c r="NM665" s="93"/>
      <c r="NN665" s="93"/>
      <c r="NO665" s="93"/>
      <c r="NP665" s="93"/>
      <c r="NQ665" s="93"/>
      <c r="NR665" s="93"/>
      <c r="NS665" s="93"/>
      <c r="NT665" s="93"/>
      <c r="NU665" s="93"/>
      <c r="NV665" s="93"/>
      <c r="NW665" s="93"/>
      <c r="NX665" s="93"/>
      <c r="NY665" s="93"/>
      <c r="NZ665" s="93"/>
      <c r="OA665" s="93"/>
      <c r="OB665" s="93"/>
      <c r="OC665" s="93"/>
      <c r="OD665" s="20"/>
      <c r="OE665" s="29"/>
      <c r="OF665" s="1504">
        <v>54697</v>
      </c>
      <c r="OG665" s="19"/>
      <c r="OH665" s="93"/>
      <c r="OI665" s="93"/>
      <c r="OJ665" s="93"/>
      <c r="OK665" s="93"/>
      <c r="OL665" s="93"/>
      <c r="OM665" s="93"/>
      <c r="ON665" s="93"/>
      <c r="OO665" s="93"/>
      <c r="OP665" s="93"/>
      <c r="OQ665" s="93"/>
      <c r="OR665" s="93"/>
      <c r="OS665" s="93"/>
      <c r="OT665" s="93"/>
      <c r="OU665" s="93"/>
      <c r="OV665" s="93"/>
      <c r="OW665" s="93"/>
      <c r="OX665" s="93"/>
      <c r="OY665" s="93"/>
      <c r="OZ665" s="93"/>
      <c r="PA665" s="93"/>
      <c r="PB665" s="93"/>
      <c r="PC665" s="20"/>
      <c r="PD665" s="29"/>
      <c r="PE665" s="19"/>
      <c r="PF665" s="93"/>
      <c r="PG665" s="93"/>
      <c r="PH665" s="93"/>
      <c r="PI665" s="93"/>
      <c r="PJ665" s="93"/>
      <c r="PK665" s="93"/>
      <c r="PL665" s="93"/>
      <c r="PM665" s="93"/>
      <c r="PN665" s="93"/>
      <c r="PO665" s="93"/>
      <c r="PP665" s="93"/>
      <c r="PQ665" s="93"/>
      <c r="PR665" s="93"/>
      <c r="PS665" s="93"/>
      <c r="PT665" s="93"/>
      <c r="PU665" s="93"/>
      <c r="PV665" s="93"/>
      <c r="PW665" s="93"/>
      <c r="PX665" s="93"/>
      <c r="PY665" s="93"/>
      <c r="PZ665" s="93"/>
      <c r="QA665" s="93"/>
      <c r="QB665" s="93"/>
      <c r="QC665" s="93"/>
      <c r="QD665" s="93"/>
      <c r="QE665" s="20"/>
      <c r="QF665" s="1739"/>
      <c r="QG665" s="19"/>
      <c r="QH665" s="93"/>
      <c r="QI665" s="93"/>
      <c r="QJ665" s="93"/>
      <c r="QK665" s="93"/>
      <c r="QL665" s="93"/>
      <c r="QM665" s="93"/>
      <c r="QN665" s="93"/>
      <c r="QO665" s="93"/>
      <c r="QP665" s="93"/>
      <c r="QQ665" s="93"/>
      <c r="QR665" s="93"/>
      <c r="QS665" s="93"/>
      <c r="QT665" s="93"/>
      <c r="QU665" s="93"/>
      <c r="QV665" s="93"/>
      <c r="QW665" s="93"/>
      <c r="QX665" s="93"/>
      <c r="QY665" s="93"/>
      <c r="QZ665" s="93"/>
      <c r="RA665" s="93"/>
      <c r="RB665" s="93"/>
      <c r="RC665" s="93"/>
      <c r="RD665" s="93"/>
      <c r="RE665" s="93"/>
      <c r="RF665" s="93"/>
      <c r="RG665" s="93"/>
      <c r="RH665" s="93"/>
      <c r="RI665" s="93"/>
      <c r="RJ665" s="93"/>
      <c r="RK665" s="93"/>
      <c r="RL665" s="93"/>
      <c r="RM665" s="20"/>
      <c r="RN665" s="29"/>
      <c r="RO665" s="19"/>
      <c r="RP665" s="20"/>
      <c r="RQ665" s="29"/>
      <c r="RR665" s="20"/>
      <c r="RS665" s="29"/>
      <c r="RT665" s="1504">
        <v>54697</v>
      </c>
      <c r="RU665" s="19"/>
      <c r="RV665" s="20"/>
      <c r="RW665" s="29"/>
      <c r="RX665" s="1504">
        <v>54697</v>
      </c>
      <c r="RY665" s="29"/>
      <c r="RZ665" s="20"/>
      <c r="SA665" s="29"/>
      <c r="SB665" s="29"/>
    </row>
    <row r="666" spans="1:496">
      <c r="A666" s="41">
        <f t="shared" si="364"/>
        <v>2049</v>
      </c>
      <c r="B666" s="1504">
        <v>54728</v>
      </c>
      <c r="C666" s="1813"/>
      <c r="D666" s="1814"/>
      <c r="E666" s="1814"/>
      <c r="F666" s="1815"/>
      <c r="G666" s="1814"/>
      <c r="H666" s="1814"/>
      <c r="I666" s="1814"/>
      <c r="J666" s="1816"/>
      <c r="K666" s="1807"/>
      <c r="L666" s="25"/>
      <c r="M666" s="97"/>
      <c r="N666" s="1504">
        <v>54728</v>
      </c>
      <c r="O666" s="19"/>
      <c r="P666" s="93"/>
      <c r="Q666" s="93"/>
      <c r="R666" s="93"/>
      <c r="S666" s="93"/>
      <c r="T666" s="93"/>
      <c r="U666" s="93"/>
      <c r="V666" s="93"/>
      <c r="W666" s="93"/>
      <c r="X666" s="93"/>
      <c r="Y666" s="93"/>
      <c r="Z666" s="93"/>
      <c r="AA666" s="93"/>
      <c r="AB666" s="20"/>
      <c r="AC666" s="25"/>
      <c r="AD666" s="97"/>
      <c r="AE666" s="1504">
        <v>54728</v>
      </c>
      <c r="AF666" s="19"/>
      <c r="AG666" s="93"/>
      <c r="AH666" s="93"/>
      <c r="AI666" s="93"/>
      <c r="AJ666" s="93"/>
      <c r="AK666" s="93"/>
      <c r="AL666" s="93"/>
      <c r="AM666" s="93"/>
      <c r="AN666" s="93"/>
      <c r="AO666" s="93"/>
      <c r="AP666" s="93"/>
      <c r="AQ666" s="93"/>
      <c r="AR666" s="93"/>
      <c r="AS666" s="20"/>
      <c r="AT666" s="25"/>
      <c r="AU666" s="97"/>
      <c r="AV666" s="1504">
        <v>54728</v>
      </c>
      <c r="AW666" s="19"/>
      <c r="AX666" s="93"/>
      <c r="AY666" s="93"/>
      <c r="AZ666" s="93"/>
      <c r="BA666" s="93"/>
      <c r="BB666" s="93"/>
      <c r="BC666" s="93"/>
      <c r="BD666" s="93"/>
      <c r="BE666" s="93"/>
      <c r="BF666" s="93"/>
      <c r="BG666" s="93"/>
      <c r="BH666" s="93"/>
      <c r="BI666" s="93"/>
      <c r="BJ666" s="20"/>
      <c r="BK666" s="25"/>
      <c r="BL666" s="97"/>
      <c r="BM666" s="1504">
        <v>54728</v>
      </c>
      <c r="BN666" s="19"/>
      <c r="BO666" s="93"/>
      <c r="BP666" s="93"/>
      <c r="BQ666" s="93"/>
      <c r="BR666" s="93"/>
      <c r="BS666" s="93"/>
      <c r="BT666" s="93"/>
      <c r="BU666" s="20"/>
      <c r="BV666" s="25"/>
      <c r="BW666" s="97"/>
      <c r="BX666" s="1504">
        <v>54728</v>
      </c>
      <c r="BY666" s="19"/>
      <c r="BZ666" s="93"/>
      <c r="CA666" s="93"/>
      <c r="CB666" s="93"/>
      <c r="CC666" s="93"/>
      <c r="CD666" s="25"/>
      <c r="CE666" s="97"/>
      <c r="CF666" s="1504">
        <v>54728</v>
      </c>
      <c r="CG666" s="19"/>
      <c r="CH666" s="93"/>
      <c r="CI666" s="219"/>
      <c r="CJ666" s="20"/>
      <c r="CK666" s="19"/>
      <c r="CL666" s="93"/>
      <c r="CM666" s="93"/>
      <c r="CN666" s="93"/>
      <c r="CO666" s="93"/>
      <c r="CP666" s="20"/>
      <c r="CQ666" s="219"/>
      <c r="CR666" s="93"/>
      <c r="CS666" s="93"/>
      <c r="CT666" s="93"/>
      <c r="CU666" s="93"/>
      <c r="CV666" s="214"/>
      <c r="CW666" s="29"/>
      <c r="CX666" s="41">
        <f t="shared" si="365"/>
        <v>2049</v>
      </c>
      <c r="CY666" s="1504">
        <v>54728</v>
      </c>
      <c r="CZ666" s="19"/>
      <c r="DA666" s="93"/>
      <c r="DB666" s="93"/>
      <c r="DC666" s="93"/>
      <c r="DD666" s="93"/>
      <c r="DE666" s="20"/>
      <c r="DF666" s="29"/>
      <c r="DG666" s="1504">
        <v>54728</v>
      </c>
      <c r="DH666" s="19"/>
      <c r="DI666" s="93"/>
      <c r="DJ666" s="93"/>
      <c r="DK666" s="93"/>
      <c r="DL666" s="93"/>
      <c r="DM666" s="93"/>
      <c r="DN666" s="20"/>
      <c r="DO666" s="295"/>
      <c r="DP666" s="29"/>
      <c r="DQ666" s="1504">
        <v>54728</v>
      </c>
      <c r="DR666" s="19"/>
      <c r="DS666" s="93"/>
      <c r="DT666" s="93"/>
      <c r="DU666" s="93"/>
      <c r="DV666" s="93"/>
      <c r="DW666" s="93"/>
      <c r="DX666" s="20"/>
      <c r="DY666" s="29"/>
      <c r="DZ666" s="1504">
        <v>54728</v>
      </c>
      <c r="EA666" s="19"/>
      <c r="EB666" s="93"/>
      <c r="EC666" s="20"/>
      <c r="ED666" s="29"/>
      <c r="EE666" s="1504">
        <v>54728</v>
      </c>
      <c r="EF666" s="19"/>
      <c r="EG666" s="93"/>
      <c r="EH666" s="93"/>
      <c r="EI666" s="214"/>
      <c r="EJ666" s="93"/>
      <c r="EK666" s="93"/>
      <c r="EL666" s="93"/>
      <c r="EM666" s="93"/>
      <c r="EN666" s="20"/>
      <c r="EO666" s="29"/>
      <c r="EP666" s="1504">
        <v>54728</v>
      </c>
      <c r="EQ666" s="19"/>
      <c r="ER666" s="93"/>
      <c r="ES666" s="93"/>
      <c r="ET666" s="214"/>
      <c r="EU666" s="93"/>
      <c r="EV666" s="93"/>
      <c r="EW666" s="93"/>
      <c r="EX666" s="93"/>
      <c r="EY666" s="20"/>
      <c r="EZ666" s="29"/>
      <c r="FA666" s="1504">
        <v>54728</v>
      </c>
      <c r="FB666" s="29"/>
      <c r="FC666" s="29"/>
      <c r="FD666" s="29"/>
      <c r="FE666" s="29"/>
      <c r="FF666" s="29"/>
      <c r="FG666" s="29"/>
      <c r="FH666" s="29"/>
      <c r="FI666" s="29"/>
      <c r="FJ666" s="29"/>
      <c r="FK666" s="29"/>
      <c r="FL666" s="1504">
        <v>54728</v>
      </c>
      <c r="FM666" s="19"/>
      <c r="FN666" s="93"/>
      <c r="FO666" s="93"/>
      <c r="FP666" s="93"/>
      <c r="FQ666" s="93"/>
      <c r="FR666" s="93"/>
      <c r="FS666" s="93"/>
      <c r="FT666" s="93"/>
      <c r="FU666" s="93"/>
      <c r="FV666" s="93"/>
      <c r="FW666" s="93"/>
      <c r="FX666" s="93"/>
      <c r="FY666" s="93"/>
      <c r="FZ666" s="29"/>
      <c r="GA666" s="1504">
        <v>54728</v>
      </c>
      <c r="GB666" s="19"/>
      <c r="GC666" s="93"/>
      <c r="GD666" s="93"/>
      <c r="GE666" s="93"/>
      <c r="GF666" s="93"/>
      <c r="GG666" s="93"/>
      <c r="GH666" s="93"/>
      <c r="GI666" s="93"/>
      <c r="GJ666" s="93"/>
      <c r="GK666" s="93"/>
      <c r="GL666" s="93"/>
      <c r="GM666" s="93"/>
      <c r="GN666" s="20"/>
      <c r="GO666" s="29"/>
      <c r="GP666" s="1504">
        <v>54728</v>
      </c>
      <c r="GQ666" s="19"/>
      <c r="GR666" s="93"/>
      <c r="GS666" s="93"/>
      <c r="GT666" s="93"/>
      <c r="GU666" s="93"/>
      <c r="GV666" s="20"/>
      <c r="GW666" s="19"/>
      <c r="GX666" s="93"/>
      <c r="GY666" s="93"/>
      <c r="GZ666" s="93"/>
      <c r="HA666" s="93"/>
      <c r="HB666" s="20"/>
      <c r="HC666" s="19"/>
      <c r="HD666" s="93"/>
      <c r="HE666" s="93"/>
      <c r="HF666" s="93"/>
      <c r="HG666" s="93"/>
      <c r="HH666" s="20"/>
      <c r="HI666" s="19"/>
      <c r="HJ666" s="93"/>
      <c r="HK666" s="93"/>
      <c r="HL666" s="93"/>
      <c r="HM666" s="93"/>
      <c r="HN666" s="20"/>
      <c r="HO666" s="219"/>
      <c r="HP666" s="20"/>
      <c r="HQ666" s="25"/>
      <c r="HR666" s="29"/>
      <c r="HS666" s="1504">
        <v>54728</v>
      </c>
      <c r="HT666" s="19"/>
      <c r="HU666" s="93"/>
      <c r="HV666" s="93"/>
      <c r="HW666" s="93"/>
      <c r="HX666" s="93"/>
      <c r="HY666" s="93"/>
      <c r="HZ666" s="93"/>
      <c r="IA666" s="20"/>
      <c r="IB666" s="19"/>
      <c r="IC666" s="93"/>
      <c r="ID666" s="93"/>
      <c r="IE666" s="93"/>
      <c r="IF666" s="93"/>
      <c r="IG666" s="20"/>
      <c r="IH666" s="19"/>
      <c r="II666" s="93"/>
      <c r="IJ666" s="93"/>
      <c r="IK666" s="93"/>
      <c r="IL666" s="93"/>
      <c r="IM666" s="93"/>
      <c r="IN666" s="93"/>
      <c r="IO666" s="20"/>
      <c r="IP666" s="29"/>
      <c r="IQ666" s="19"/>
      <c r="IR666" s="93"/>
      <c r="IS666" s="93"/>
      <c r="IT666" s="93"/>
      <c r="IU666" s="93"/>
      <c r="IV666" s="20"/>
      <c r="IW666" s="29"/>
      <c r="IX666" s="19"/>
      <c r="IY666" s="93"/>
      <c r="IZ666" s="93"/>
      <c r="JA666" s="93"/>
      <c r="JB666" s="93"/>
      <c r="JC666" s="93"/>
      <c r="JD666" s="93"/>
      <c r="JE666" s="20"/>
      <c r="JF666" s="29"/>
      <c r="JG666" s="19"/>
      <c r="JH666" s="93"/>
      <c r="JI666" s="93"/>
      <c r="JJ666" s="93"/>
      <c r="JK666" s="93"/>
      <c r="JL666" s="93"/>
      <c r="JM666" s="93"/>
      <c r="JN666" s="20"/>
      <c r="JO666" s="29"/>
      <c r="JP666" s="19"/>
      <c r="JQ666" s="93"/>
      <c r="JR666" s="93"/>
      <c r="JS666" s="93"/>
      <c r="JT666" s="93"/>
      <c r="JU666" s="20"/>
      <c r="JV666" s="29"/>
      <c r="JW666" s="1504">
        <v>54728</v>
      </c>
      <c r="JX666" s="19"/>
      <c r="JY666" s="93"/>
      <c r="JZ666" s="93"/>
      <c r="KA666" s="93"/>
      <c r="KB666" s="93"/>
      <c r="KC666" s="93"/>
      <c r="KD666" s="20"/>
      <c r="KE666" s="29"/>
      <c r="KF666" s="19"/>
      <c r="KG666" s="93"/>
      <c r="KH666" s="93"/>
      <c r="KI666" s="93"/>
      <c r="KJ666" s="93"/>
      <c r="KK666" s="20"/>
      <c r="KL666" s="29"/>
      <c r="KM666" s="19"/>
      <c r="KN666" s="93"/>
      <c r="KO666" s="93"/>
      <c r="KP666" s="93"/>
      <c r="KQ666" s="93"/>
      <c r="KR666" s="20"/>
      <c r="KS666" s="29"/>
      <c r="KT666" s="19"/>
      <c r="KU666" s="93"/>
      <c r="KV666" s="93"/>
      <c r="KW666" s="93"/>
      <c r="KX666" s="93"/>
      <c r="KY666" s="20"/>
      <c r="KZ666" s="29"/>
      <c r="LA666" s="1504">
        <v>54728</v>
      </c>
      <c r="LB666" s="19"/>
      <c r="LC666" s="93"/>
      <c r="LD666" s="93"/>
      <c r="LE666" s="93"/>
      <c r="LF666" s="93"/>
      <c r="LG666" s="93"/>
      <c r="LH666" s="20"/>
      <c r="LI666" s="29"/>
      <c r="LJ666" s="19"/>
      <c r="LK666" s="93"/>
      <c r="LL666" s="93"/>
      <c r="LM666" s="93"/>
      <c r="LN666" s="93"/>
      <c r="LO666" s="20"/>
      <c r="LP666" s="29"/>
      <c r="LQ666" s="19"/>
      <c r="LR666" s="93"/>
      <c r="LS666" s="93"/>
      <c r="LT666" s="93"/>
      <c r="LU666" s="93"/>
      <c r="LV666" s="93"/>
      <c r="LW666" s="93"/>
      <c r="LX666" s="93"/>
      <c r="LY666" s="93"/>
      <c r="LZ666" s="93"/>
      <c r="MA666" s="20"/>
      <c r="MB666" s="29"/>
      <c r="MC666" s="1504">
        <v>54728</v>
      </c>
      <c r="MD666" s="19"/>
      <c r="ME666" s="93"/>
      <c r="MF666" s="93"/>
      <c r="MG666" s="93"/>
      <c r="MH666" s="93"/>
      <c r="MI666" s="93"/>
      <c r="MJ666" s="93"/>
      <c r="MK666" s="93"/>
      <c r="ML666" s="93"/>
      <c r="MM666" s="93"/>
      <c r="MN666" s="93"/>
      <c r="MO666" s="93"/>
      <c r="MP666" s="93"/>
      <c r="MQ666" s="93"/>
      <c r="MR666" s="93"/>
      <c r="MS666" s="93"/>
      <c r="MT666" s="93"/>
      <c r="MU666" s="93"/>
      <c r="MV666" s="93"/>
      <c r="MW666" s="93"/>
      <c r="MX666" s="93"/>
      <c r="MY666" s="93"/>
      <c r="MZ666" s="93"/>
      <c r="NA666" s="93"/>
      <c r="NB666" s="93"/>
      <c r="NC666" s="93"/>
      <c r="ND666" s="93"/>
      <c r="NE666" s="93"/>
      <c r="NF666" s="93"/>
      <c r="NG666" s="93"/>
      <c r="NH666" s="93"/>
      <c r="NI666" s="93"/>
      <c r="NJ666" s="93"/>
      <c r="NK666" s="93"/>
      <c r="NL666" s="93"/>
      <c r="NM666" s="93"/>
      <c r="NN666" s="93"/>
      <c r="NO666" s="93"/>
      <c r="NP666" s="93"/>
      <c r="NQ666" s="93"/>
      <c r="NR666" s="93"/>
      <c r="NS666" s="93"/>
      <c r="NT666" s="93"/>
      <c r="NU666" s="93"/>
      <c r="NV666" s="93"/>
      <c r="NW666" s="93"/>
      <c r="NX666" s="93"/>
      <c r="NY666" s="93"/>
      <c r="NZ666" s="93"/>
      <c r="OA666" s="93"/>
      <c r="OB666" s="93"/>
      <c r="OC666" s="93"/>
      <c r="OD666" s="20"/>
      <c r="OE666" s="29"/>
      <c r="OF666" s="1504">
        <v>54728</v>
      </c>
      <c r="OG666" s="19"/>
      <c r="OH666" s="93"/>
      <c r="OI666" s="93"/>
      <c r="OJ666" s="93"/>
      <c r="OK666" s="93"/>
      <c r="OL666" s="93"/>
      <c r="OM666" s="93"/>
      <c r="ON666" s="93"/>
      <c r="OO666" s="93"/>
      <c r="OP666" s="93"/>
      <c r="OQ666" s="93"/>
      <c r="OR666" s="93"/>
      <c r="OS666" s="93"/>
      <c r="OT666" s="93"/>
      <c r="OU666" s="93"/>
      <c r="OV666" s="93"/>
      <c r="OW666" s="93"/>
      <c r="OX666" s="93"/>
      <c r="OY666" s="93"/>
      <c r="OZ666" s="93"/>
      <c r="PA666" s="93"/>
      <c r="PB666" s="93"/>
      <c r="PC666" s="20"/>
      <c r="PD666" s="29"/>
      <c r="PE666" s="19"/>
      <c r="PF666" s="93"/>
      <c r="PG666" s="93"/>
      <c r="PH666" s="93"/>
      <c r="PI666" s="93"/>
      <c r="PJ666" s="93"/>
      <c r="PK666" s="93"/>
      <c r="PL666" s="93"/>
      <c r="PM666" s="93"/>
      <c r="PN666" s="93"/>
      <c r="PO666" s="93"/>
      <c r="PP666" s="93"/>
      <c r="PQ666" s="93"/>
      <c r="PR666" s="93"/>
      <c r="PS666" s="93"/>
      <c r="PT666" s="93"/>
      <c r="PU666" s="93"/>
      <c r="PV666" s="93"/>
      <c r="PW666" s="93"/>
      <c r="PX666" s="93"/>
      <c r="PY666" s="93"/>
      <c r="PZ666" s="93"/>
      <c r="QA666" s="93"/>
      <c r="QB666" s="93"/>
      <c r="QC666" s="93"/>
      <c r="QD666" s="93"/>
      <c r="QE666" s="20"/>
      <c r="QF666" s="1739"/>
      <c r="QG666" s="19"/>
      <c r="QH666" s="93"/>
      <c r="QI666" s="93"/>
      <c r="QJ666" s="93"/>
      <c r="QK666" s="93"/>
      <c r="QL666" s="93"/>
      <c r="QM666" s="93"/>
      <c r="QN666" s="93"/>
      <c r="QO666" s="93"/>
      <c r="QP666" s="93"/>
      <c r="QQ666" s="93"/>
      <c r="QR666" s="93"/>
      <c r="QS666" s="93"/>
      <c r="QT666" s="93"/>
      <c r="QU666" s="93"/>
      <c r="QV666" s="93"/>
      <c r="QW666" s="93"/>
      <c r="QX666" s="93"/>
      <c r="QY666" s="93"/>
      <c r="QZ666" s="93"/>
      <c r="RA666" s="93"/>
      <c r="RB666" s="93"/>
      <c r="RC666" s="93"/>
      <c r="RD666" s="93"/>
      <c r="RE666" s="93"/>
      <c r="RF666" s="93"/>
      <c r="RG666" s="93"/>
      <c r="RH666" s="93"/>
      <c r="RI666" s="93"/>
      <c r="RJ666" s="93"/>
      <c r="RK666" s="93"/>
      <c r="RL666" s="93"/>
      <c r="RM666" s="20"/>
      <c r="RN666" s="29"/>
      <c r="RO666" s="19"/>
      <c r="RP666" s="20"/>
      <c r="RQ666" s="29"/>
      <c r="RR666" s="20"/>
      <c r="RS666" s="29"/>
      <c r="RT666" s="1504">
        <v>54728</v>
      </c>
      <c r="RU666" s="19"/>
      <c r="RV666" s="20"/>
      <c r="RW666" s="29"/>
      <c r="RX666" s="1504">
        <v>54728</v>
      </c>
      <c r="RY666" s="29"/>
      <c r="RZ666" s="20"/>
      <c r="SA666" s="29"/>
      <c r="SB666" s="29"/>
    </row>
    <row r="667" spans="1:496">
      <c r="A667" s="41">
        <f t="shared" si="364"/>
        <v>2049</v>
      </c>
      <c r="B667" s="1504">
        <v>54758</v>
      </c>
      <c r="C667" s="1813"/>
      <c r="D667" s="1814"/>
      <c r="E667" s="1814"/>
      <c r="F667" s="1815"/>
      <c r="G667" s="1814"/>
      <c r="H667" s="1814"/>
      <c r="I667" s="1814"/>
      <c r="J667" s="1816"/>
      <c r="K667" s="1807"/>
      <c r="L667" s="25"/>
      <c r="M667" s="97"/>
      <c r="N667" s="1504">
        <v>54758</v>
      </c>
      <c r="O667" s="19"/>
      <c r="P667" s="93"/>
      <c r="Q667" s="93"/>
      <c r="R667" s="93"/>
      <c r="S667" s="93"/>
      <c r="T667" s="93"/>
      <c r="U667" s="93"/>
      <c r="V667" s="93"/>
      <c r="W667" s="93"/>
      <c r="X667" s="93"/>
      <c r="Y667" s="93"/>
      <c r="Z667" s="93"/>
      <c r="AA667" s="93"/>
      <c r="AB667" s="20"/>
      <c r="AC667" s="25"/>
      <c r="AD667" s="97"/>
      <c r="AE667" s="1504">
        <v>54758</v>
      </c>
      <c r="AF667" s="19"/>
      <c r="AG667" s="93"/>
      <c r="AH667" s="93"/>
      <c r="AI667" s="93"/>
      <c r="AJ667" s="93"/>
      <c r="AK667" s="93"/>
      <c r="AL667" s="93"/>
      <c r="AM667" s="93"/>
      <c r="AN667" s="93"/>
      <c r="AO667" s="93"/>
      <c r="AP667" s="93"/>
      <c r="AQ667" s="93"/>
      <c r="AR667" s="93"/>
      <c r="AS667" s="20"/>
      <c r="AT667" s="25"/>
      <c r="AU667" s="97"/>
      <c r="AV667" s="1504">
        <v>54758</v>
      </c>
      <c r="AW667" s="19"/>
      <c r="AX667" s="93"/>
      <c r="AY667" s="93"/>
      <c r="AZ667" s="93"/>
      <c r="BA667" s="93"/>
      <c r="BB667" s="93"/>
      <c r="BC667" s="93"/>
      <c r="BD667" s="93"/>
      <c r="BE667" s="93"/>
      <c r="BF667" s="93"/>
      <c r="BG667" s="93"/>
      <c r="BH667" s="93"/>
      <c r="BI667" s="93"/>
      <c r="BJ667" s="20"/>
      <c r="BK667" s="25"/>
      <c r="BL667" s="97"/>
      <c r="BM667" s="1504">
        <v>54758</v>
      </c>
      <c r="BN667" s="19"/>
      <c r="BO667" s="93"/>
      <c r="BP667" s="93"/>
      <c r="BQ667" s="93"/>
      <c r="BR667" s="93"/>
      <c r="BS667" s="93"/>
      <c r="BT667" s="93"/>
      <c r="BU667" s="20"/>
      <c r="BV667" s="25"/>
      <c r="BW667" s="97"/>
      <c r="BX667" s="1504">
        <v>54758</v>
      </c>
      <c r="BY667" s="19"/>
      <c r="BZ667" s="93"/>
      <c r="CA667" s="93"/>
      <c r="CB667" s="93"/>
      <c r="CC667" s="93"/>
      <c r="CD667" s="25"/>
      <c r="CE667" s="97"/>
      <c r="CF667" s="1504">
        <v>54758</v>
      </c>
      <c r="CG667" s="19"/>
      <c r="CH667" s="93"/>
      <c r="CI667" s="219"/>
      <c r="CJ667" s="20"/>
      <c r="CK667" s="19"/>
      <c r="CL667" s="93"/>
      <c r="CM667" s="93"/>
      <c r="CN667" s="93"/>
      <c r="CO667" s="93"/>
      <c r="CP667" s="20"/>
      <c r="CQ667" s="219"/>
      <c r="CR667" s="93"/>
      <c r="CS667" s="93"/>
      <c r="CT667" s="93"/>
      <c r="CU667" s="93"/>
      <c r="CV667" s="214"/>
      <c r="CW667" s="29"/>
      <c r="CX667" s="41">
        <f t="shared" si="365"/>
        <v>2049</v>
      </c>
      <c r="CY667" s="1504">
        <v>54758</v>
      </c>
      <c r="CZ667" s="19"/>
      <c r="DA667" s="93"/>
      <c r="DB667" s="93"/>
      <c r="DC667" s="93"/>
      <c r="DD667" s="93"/>
      <c r="DE667" s="20"/>
      <c r="DF667" s="29"/>
      <c r="DG667" s="1504">
        <v>54758</v>
      </c>
      <c r="DH667" s="19"/>
      <c r="DI667" s="93"/>
      <c r="DJ667" s="93"/>
      <c r="DK667" s="93"/>
      <c r="DL667" s="93"/>
      <c r="DM667" s="93"/>
      <c r="DN667" s="20"/>
      <c r="DO667" s="295"/>
      <c r="DP667" s="29"/>
      <c r="DQ667" s="1504">
        <v>54758</v>
      </c>
      <c r="DR667" s="19"/>
      <c r="DS667" s="93"/>
      <c r="DT667" s="93"/>
      <c r="DU667" s="93"/>
      <c r="DV667" s="93"/>
      <c r="DW667" s="93"/>
      <c r="DX667" s="20"/>
      <c r="DY667" s="29"/>
      <c r="DZ667" s="1504">
        <v>54758</v>
      </c>
      <c r="EA667" s="19"/>
      <c r="EB667" s="93"/>
      <c r="EC667" s="20"/>
      <c r="ED667" s="29"/>
      <c r="EE667" s="1504">
        <v>54758</v>
      </c>
      <c r="EF667" s="19"/>
      <c r="EG667" s="93"/>
      <c r="EH667" s="93"/>
      <c r="EI667" s="214"/>
      <c r="EJ667" s="93"/>
      <c r="EK667" s="93"/>
      <c r="EL667" s="93"/>
      <c r="EM667" s="93"/>
      <c r="EN667" s="20"/>
      <c r="EO667" s="29"/>
      <c r="EP667" s="1504">
        <v>54758</v>
      </c>
      <c r="EQ667" s="19"/>
      <c r="ER667" s="93"/>
      <c r="ES667" s="93"/>
      <c r="ET667" s="214"/>
      <c r="EU667" s="93"/>
      <c r="EV667" s="93"/>
      <c r="EW667" s="93"/>
      <c r="EX667" s="93"/>
      <c r="EY667" s="20"/>
      <c r="EZ667" s="29"/>
      <c r="FA667" s="1504">
        <v>54758</v>
      </c>
      <c r="FB667" s="29"/>
      <c r="FC667" s="29"/>
      <c r="FD667" s="29"/>
      <c r="FE667" s="29"/>
      <c r="FF667" s="29"/>
      <c r="FG667" s="29"/>
      <c r="FH667" s="29"/>
      <c r="FI667" s="29"/>
      <c r="FJ667" s="29"/>
      <c r="FK667" s="29"/>
      <c r="FL667" s="1504">
        <v>54758</v>
      </c>
      <c r="FM667" s="19"/>
      <c r="FN667" s="93"/>
      <c r="FO667" s="93"/>
      <c r="FP667" s="93"/>
      <c r="FQ667" s="93"/>
      <c r="FR667" s="93"/>
      <c r="FS667" s="93"/>
      <c r="FT667" s="93"/>
      <c r="FU667" s="93"/>
      <c r="FV667" s="93"/>
      <c r="FW667" s="93"/>
      <c r="FX667" s="93"/>
      <c r="FY667" s="93"/>
      <c r="FZ667" s="29"/>
      <c r="GA667" s="1504">
        <v>54758</v>
      </c>
      <c r="GB667" s="19"/>
      <c r="GC667" s="93"/>
      <c r="GD667" s="93"/>
      <c r="GE667" s="93"/>
      <c r="GF667" s="93"/>
      <c r="GG667" s="93"/>
      <c r="GH667" s="93"/>
      <c r="GI667" s="93"/>
      <c r="GJ667" s="93"/>
      <c r="GK667" s="93"/>
      <c r="GL667" s="93"/>
      <c r="GM667" s="93"/>
      <c r="GN667" s="20"/>
      <c r="GO667" s="29"/>
      <c r="GP667" s="1504">
        <v>54758</v>
      </c>
      <c r="GQ667" s="19"/>
      <c r="GR667" s="93"/>
      <c r="GS667" s="93"/>
      <c r="GT667" s="93"/>
      <c r="GU667" s="93"/>
      <c r="GV667" s="20"/>
      <c r="GW667" s="19"/>
      <c r="GX667" s="93"/>
      <c r="GY667" s="93"/>
      <c r="GZ667" s="93"/>
      <c r="HA667" s="93"/>
      <c r="HB667" s="20"/>
      <c r="HC667" s="19"/>
      <c r="HD667" s="93"/>
      <c r="HE667" s="93"/>
      <c r="HF667" s="93"/>
      <c r="HG667" s="93"/>
      <c r="HH667" s="20"/>
      <c r="HI667" s="19"/>
      <c r="HJ667" s="93"/>
      <c r="HK667" s="93"/>
      <c r="HL667" s="93"/>
      <c r="HM667" s="93"/>
      <c r="HN667" s="20"/>
      <c r="HO667" s="219"/>
      <c r="HP667" s="20"/>
      <c r="HQ667" s="25"/>
      <c r="HR667" s="29"/>
      <c r="HS667" s="1504">
        <v>54758</v>
      </c>
      <c r="HT667" s="19"/>
      <c r="HU667" s="93"/>
      <c r="HV667" s="93"/>
      <c r="HW667" s="93"/>
      <c r="HX667" s="93"/>
      <c r="HY667" s="93"/>
      <c r="HZ667" s="93"/>
      <c r="IA667" s="20"/>
      <c r="IB667" s="19"/>
      <c r="IC667" s="93"/>
      <c r="ID667" s="93"/>
      <c r="IE667" s="93"/>
      <c r="IF667" s="93"/>
      <c r="IG667" s="20"/>
      <c r="IH667" s="19"/>
      <c r="II667" s="93"/>
      <c r="IJ667" s="93"/>
      <c r="IK667" s="93"/>
      <c r="IL667" s="93"/>
      <c r="IM667" s="93"/>
      <c r="IN667" s="93"/>
      <c r="IO667" s="20"/>
      <c r="IP667" s="29"/>
      <c r="IQ667" s="19"/>
      <c r="IR667" s="93"/>
      <c r="IS667" s="93"/>
      <c r="IT667" s="93"/>
      <c r="IU667" s="93"/>
      <c r="IV667" s="20"/>
      <c r="IW667" s="29"/>
      <c r="IX667" s="19"/>
      <c r="IY667" s="93"/>
      <c r="IZ667" s="93"/>
      <c r="JA667" s="93"/>
      <c r="JB667" s="93"/>
      <c r="JC667" s="93"/>
      <c r="JD667" s="93"/>
      <c r="JE667" s="20"/>
      <c r="JF667" s="29"/>
      <c r="JG667" s="19"/>
      <c r="JH667" s="93"/>
      <c r="JI667" s="93"/>
      <c r="JJ667" s="93"/>
      <c r="JK667" s="93"/>
      <c r="JL667" s="93"/>
      <c r="JM667" s="93"/>
      <c r="JN667" s="20"/>
      <c r="JO667" s="29"/>
      <c r="JP667" s="19"/>
      <c r="JQ667" s="93"/>
      <c r="JR667" s="93"/>
      <c r="JS667" s="93"/>
      <c r="JT667" s="93"/>
      <c r="JU667" s="20"/>
      <c r="JV667" s="29"/>
      <c r="JW667" s="1504">
        <v>54758</v>
      </c>
      <c r="JX667" s="19"/>
      <c r="JY667" s="93"/>
      <c r="JZ667" s="93"/>
      <c r="KA667" s="93"/>
      <c r="KB667" s="93"/>
      <c r="KC667" s="93"/>
      <c r="KD667" s="20"/>
      <c r="KE667" s="29"/>
      <c r="KF667" s="19"/>
      <c r="KG667" s="93"/>
      <c r="KH667" s="93"/>
      <c r="KI667" s="93"/>
      <c r="KJ667" s="93"/>
      <c r="KK667" s="20"/>
      <c r="KL667" s="29"/>
      <c r="KM667" s="19"/>
      <c r="KN667" s="93"/>
      <c r="KO667" s="93"/>
      <c r="KP667" s="93"/>
      <c r="KQ667" s="93"/>
      <c r="KR667" s="20"/>
      <c r="KS667" s="29"/>
      <c r="KT667" s="19"/>
      <c r="KU667" s="93"/>
      <c r="KV667" s="93"/>
      <c r="KW667" s="93"/>
      <c r="KX667" s="93"/>
      <c r="KY667" s="20"/>
      <c r="KZ667" s="29"/>
      <c r="LA667" s="1504">
        <v>54758</v>
      </c>
      <c r="LB667" s="19"/>
      <c r="LC667" s="93"/>
      <c r="LD667" s="93"/>
      <c r="LE667" s="93"/>
      <c r="LF667" s="93"/>
      <c r="LG667" s="93"/>
      <c r="LH667" s="20"/>
      <c r="LI667" s="29"/>
      <c r="LJ667" s="19"/>
      <c r="LK667" s="93"/>
      <c r="LL667" s="93"/>
      <c r="LM667" s="93"/>
      <c r="LN667" s="93"/>
      <c r="LO667" s="20"/>
      <c r="LP667" s="29"/>
      <c r="LQ667" s="19"/>
      <c r="LR667" s="93"/>
      <c r="LS667" s="93"/>
      <c r="LT667" s="93"/>
      <c r="LU667" s="93"/>
      <c r="LV667" s="93"/>
      <c r="LW667" s="93"/>
      <c r="LX667" s="93"/>
      <c r="LY667" s="93"/>
      <c r="LZ667" s="93"/>
      <c r="MA667" s="20"/>
      <c r="MB667" s="29"/>
      <c r="MC667" s="1504">
        <v>54758</v>
      </c>
      <c r="MD667" s="19"/>
      <c r="ME667" s="93"/>
      <c r="MF667" s="93"/>
      <c r="MG667" s="93"/>
      <c r="MH667" s="93"/>
      <c r="MI667" s="93"/>
      <c r="MJ667" s="93"/>
      <c r="MK667" s="93"/>
      <c r="ML667" s="93"/>
      <c r="MM667" s="93"/>
      <c r="MN667" s="93"/>
      <c r="MO667" s="93"/>
      <c r="MP667" s="93"/>
      <c r="MQ667" s="93"/>
      <c r="MR667" s="93"/>
      <c r="MS667" s="93"/>
      <c r="MT667" s="93"/>
      <c r="MU667" s="93"/>
      <c r="MV667" s="93"/>
      <c r="MW667" s="93"/>
      <c r="MX667" s="93"/>
      <c r="MY667" s="93"/>
      <c r="MZ667" s="93"/>
      <c r="NA667" s="93"/>
      <c r="NB667" s="93"/>
      <c r="NC667" s="93"/>
      <c r="ND667" s="93"/>
      <c r="NE667" s="93"/>
      <c r="NF667" s="93"/>
      <c r="NG667" s="93"/>
      <c r="NH667" s="93"/>
      <c r="NI667" s="93"/>
      <c r="NJ667" s="93"/>
      <c r="NK667" s="93"/>
      <c r="NL667" s="93"/>
      <c r="NM667" s="93"/>
      <c r="NN667" s="93"/>
      <c r="NO667" s="93"/>
      <c r="NP667" s="93"/>
      <c r="NQ667" s="93"/>
      <c r="NR667" s="93"/>
      <c r="NS667" s="93"/>
      <c r="NT667" s="93"/>
      <c r="NU667" s="93"/>
      <c r="NV667" s="93"/>
      <c r="NW667" s="93"/>
      <c r="NX667" s="93"/>
      <c r="NY667" s="93"/>
      <c r="NZ667" s="93"/>
      <c r="OA667" s="93"/>
      <c r="OB667" s="93"/>
      <c r="OC667" s="93"/>
      <c r="OD667" s="20"/>
      <c r="OE667" s="29"/>
      <c r="OF667" s="1504">
        <v>54758</v>
      </c>
      <c r="OG667" s="19"/>
      <c r="OH667" s="93"/>
      <c r="OI667" s="93"/>
      <c r="OJ667" s="93"/>
      <c r="OK667" s="93"/>
      <c r="OL667" s="93"/>
      <c r="OM667" s="93"/>
      <c r="ON667" s="93"/>
      <c r="OO667" s="93"/>
      <c r="OP667" s="93"/>
      <c r="OQ667" s="93"/>
      <c r="OR667" s="93"/>
      <c r="OS667" s="93"/>
      <c r="OT667" s="93"/>
      <c r="OU667" s="93"/>
      <c r="OV667" s="93"/>
      <c r="OW667" s="93"/>
      <c r="OX667" s="93"/>
      <c r="OY667" s="93"/>
      <c r="OZ667" s="93"/>
      <c r="PA667" s="93"/>
      <c r="PB667" s="93"/>
      <c r="PC667" s="20"/>
      <c r="PD667" s="29"/>
      <c r="PE667" s="19"/>
      <c r="PF667" s="93"/>
      <c r="PG667" s="93"/>
      <c r="PH667" s="93"/>
      <c r="PI667" s="93"/>
      <c r="PJ667" s="93"/>
      <c r="PK667" s="93"/>
      <c r="PL667" s="93"/>
      <c r="PM667" s="93"/>
      <c r="PN667" s="93"/>
      <c r="PO667" s="93"/>
      <c r="PP667" s="93"/>
      <c r="PQ667" s="93"/>
      <c r="PR667" s="93"/>
      <c r="PS667" s="93"/>
      <c r="PT667" s="93"/>
      <c r="PU667" s="93"/>
      <c r="PV667" s="93"/>
      <c r="PW667" s="93"/>
      <c r="PX667" s="93"/>
      <c r="PY667" s="93"/>
      <c r="PZ667" s="93"/>
      <c r="QA667" s="93"/>
      <c r="QB667" s="93"/>
      <c r="QC667" s="93"/>
      <c r="QD667" s="93"/>
      <c r="QE667" s="20"/>
      <c r="QF667" s="1739"/>
      <c r="QG667" s="19"/>
      <c r="QH667" s="93"/>
      <c r="QI667" s="93"/>
      <c r="QJ667" s="93"/>
      <c r="QK667" s="93"/>
      <c r="QL667" s="93"/>
      <c r="QM667" s="93"/>
      <c r="QN667" s="93"/>
      <c r="QO667" s="93"/>
      <c r="QP667" s="93"/>
      <c r="QQ667" s="93"/>
      <c r="QR667" s="93"/>
      <c r="QS667" s="93"/>
      <c r="QT667" s="93"/>
      <c r="QU667" s="93"/>
      <c r="QV667" s="93"/>
      <c r="QW667" s="93"/>
      <c r="QX667" s="93"/>
      <c r="QY667" s="93"/>
      <c r="QZ667" s="93"/>
      <c r="RA667" s="93"/>
      <c r="RB667" s="93"/>
      <c r="RC667" s="93"/>
      <c r="RD667" s="93"/>
      <c r="RE667" s="93"/>
      <c r="RF667" s="93"/>
      <c r="RG667" s="93"/>
      <c r="RH667" s="93"/>
      <c r="RI667" s="93"/>
      <c r="RJ667" s="93"/>
      <c r="RK667" s="93"/>
      <c r="RL667" s="93"/>
      <c r="RM667" s="20"/>
      <c r="RN667" s="29"/>
      <c r="RO667" s="19"/>
      <c r="RP667" s="20"/>
      <c r="RQ667" s="29"/>
      <c r="RR667" s="20"/>
      <c r="RS667" s="29"/>
      <c r="RT667" s="1504">
        <v>54758</v>
      </c>
      <c r="RU667" s="19"/>
      <c r="RV667" s="20"/>
      <c r="RW667" s="29"/>
      <c r="RX667" s="1504">
        <v>54758</v>
      </c>
      <c r="RY667" s="29"/>
      <c r="RZ667" s="20"/>
      <c r="SA667" s="29"/>
      <c r="SB667" s="29"/>
    </row>
    <row r="668" spans="1:496">
      <c r="A668" s="41">
        <f t="shared" si="364"/>
        <v>2050</v>
      </c>
      <c r="B668" s="1504">
        <v>54789</v>
      </c>
      <c r="C668" s="1813"/>
      <c r="D668" s="1814"/>
      <c r="E668" s="1814"/>
      <c r="F668" s="1815"/>
      <c r="G668" s="1814"/>
      <c r="H668" s="1814"/>
      <c r="I668" s="1814"/>
      <c r="J668" s="1816"/>
      <c r="K668" s="1807"/>
      <c r="L668" s="25"/>
      <c r="M668" s="97"/>
      <c r="N668" s="1504">
        <v>54789</v>
      </c>
      <c r="O668" s="19"/>
      <c r="P668" s="93"/>
      <c r="Q668" s="93"/>
      <c r="R668" s="93"/>
      <c r="S668" s="93"/>
      <c r="T668" s="93"/>
      <c r="U668" s="93"/>
      <c r="V668" s="93"/>
      <c r="W668" s="93"/>
      <c r="X668" s="93"/>
      <c r="Y668" s="93"/>
      <c r="Z668" s="93"/>
      <c r="AA668" s="93"/>
      <c r="AB668" s="20"/>
      <c r="AC668" s="25"/>
      <c r="AD668" s="97"/>
      <c r="AE668" s="1504">
        <v>54789</v>
      </c>
      <c r="AF668" s="19"/>
      <c r="AG668" s="93"/>
      <c r="AH668" s="93"/>
      <c r="AI668" s="93"/>
      <c r="AJ668" s="93"/>
      <c r="AK668" s="93"/>
      <c r="AL668" s="93"/>
      <c r="AM668" s="93"/>
      <c r="AN668" s="93"/>
      <c r="AO668" s="93"/>
      <c r="AP668" s="93"/>
      <c r="AQ668" s="93"/>
      <c r="AR668" s="93"/>
      <c r="AS668" s="20"/>
      <c r="AT668" s="25"/>
      <c r="AU668" s="97"/>
      <c r="AV668" s="1504">
        <v>54789</v>
      </c>
      <c r="AW668" s="19"/>
      <c r="AX668" s="93"/>
      <c r="AY668" s="93"/>
      <c r="AZ668" s="93"/>
      <c r="BA668" s="93"/>
      <c r="BB668" s="93"/>
      <c r="BC668" s="93"/>
      <c r="BD668" s="93"/>
      <c r="BE668" s="93"/>
      <c r="BF668" s="93"/>
      <c r="BG668" s="93"/>
      <c r="BH668" s="93"/>
      <c r="BI668" s="93"/>
      <c r="BJ668" s="20"/>
      <c r="BK668" s="25"/>
      <c r="BL668" s="97"/>
      <c r="BM668" s="1504">
        <v>54789</v>
      </c>
      <c r="BN668" s="19"/>
      <c r="BO668" s="93"/>
      <c r="BP668" s="93"/>
      <c r="BQ668" s="93"/>
      <c r="BR668" s="93"/>
      <c r="BS668" s="93"/>
      <c r="BT668" s="93"/>
      <c r="BU668" s="20"/>
      <c r="BV668" s="25"/>
      <c r="BW668" s="97"/>
      <c r="BX668" s="1504">
        <v>54789</v>
      </c>
      <c r="BY668" s="19"/>
      <c r="BZ668" s="93"/>
      <c r="CA668" s="93"/>
      <c r="CB668" s="93"/>
      <c r="CC668" s="93"/>
      <c r="CD668" s="25"/>
      <c r="CE668" s="97"/>
      <c r="CF668" s="1504">
        <v>54789</v>
      </c>
      <c r="CG668" s="19"/>
      <c r="CH668" s="93"/>
      <c r="CI668" s="219"/>
      <c r="CJ668" s="20"/>
      <c r="CK668" s="19"/>
      <c r="CL668" s="93"/>
      <c r="CM668" s="93"/>
      <c r="CN668" s="93"/>
      <c r="CO668" s="93"/>
      <c r="CP668" s="20"/>
      <c r="CQ668" s="219"/>
      <c r="CR668" s="93"/>
      <c r="CS668" s="93"/>
      <c r="CT668" s="93"/>
      <c r="CU668" s="93"/>
      <c r="CV668" s="214"/>
      <c r="CW668" s="29"/>
      <c r="CX668" s="41">
        <f t="shared" si="365"/>
        <v>2050</v>
      </c>
      <c r="CY668" s="1504">
        <v>54789</v>
      </c>
      <c r="CZ668" s="19"/>
      <c r="DA668" s="93"/>
      <c r="DB668" s="93"/>
      <c r="DC668" s="93"/>
      <c r="DD668" s="93"/>
      <c r="DE668" s="20"/>
      <c r="DF668" s="29"/>
      <c r="DG668" s="1504">
        <v>54789</v>
      </c>
      <c r="DH668" s="19"/>
      <c r="DI668" s="93"/>
      <c r="DJ668" s="93"/>
      <c r="DK668" s="93"/>
      <c r="DL668" s="93"/>
      <c r="DM668" s="93"/>
      <c r="DN668" s="20"/>
      <c r="DO668" s="295"/>
      <c r="DP668" s="29"/>
      <c r="DQ668" s="1504">
        <v>54789</v>
      </c>
      <c r="DR668" s="19"/>
      <c r="DS668" s="93"/>
      <c r="DT668" s="93"/>
      <c r="DU668" s="93"/>
      <c r="DV668" s="93"/>
      <c r="DW668" s="93"/>
      <c r="DX668" s="20"/>
      <c r="DY668" s="29"/>
      <c r="DZ668" s="1504">
        <v>54789</v>
      </c>
      <c r="EA668" s="19"/>
      <c r="EB668" s="93"/>
      <c r="EC668" s="20"/>
      <c r="ED668" s="29"/>
      <c r="EE668" s="1504">
        <v>54789</v>
      </c>
      <c r="EF668" s="19"/>
      <c r="EG668" s="93"/>
      <c r="EH668" s="93"/>
      <c r="EI668" s="214"/>
      <c r="EJ668" s="93"/>
      <c r="EK668" s="93"/>
      <c r="EL668" s="93"/>
      <c r="EM668" s="93"/>
      <c r="EN668" s="20"/>
      <c r="EO668" s="29"/>
      <c r="EP668" s="1504">
        <v>54789</v>
      </c>
      <c r="EQ668" s="19"/>
      <c r="ER668" s="93"/>
      <c r="ES668" s="93"/>
      <c r="ET668" s="214"/>
      <c r="EU668" s="93"/>
      <c r="EV668" s="93"/>
      <c r="EW668" s="93"/>
      <c r="EX668" s="93"/>
      <c r="EY668" s="20"/>
      <c r="EZ668" s="29"/>
      <c r="FA668" s="1504">
        <v>54789</v>
      </c>
      <c r="FB668" s="29"/>
      <c r="FC668" s="29"/>
      <c r="FD668" s="29"/>
      <c r="FE668" s="29"/>
      <c r="FF668" s="29"/>
      <c r="FG668" s="29"/>
      <c r="FH668" s="29"/>
      <c r="FI668" s="29"/>
      <c r="FJ668" s="29"/>
      <c r="FK668" s="29"/>
      <c r="FL668" s="1504">
        <v>54789</v>
      </c>
      <c r="FM668" s="19"/>
      <c r="FN668" s="93"/>
      <c r="FO668" s="93"/>
      <c r="FP668" s="93"/>
      <c r="FQ668" s="93"/>
      <c r="FR668" s="93"/>
      <c r="FS668" s="93"/>
      <c r="FT668" s="93"/>
      <c r="FU668" s="93"/>
      <c r="FV668" s="93"/>
      <c r="FW668" s="93"/>
      <c r="FX668" s="93"/>
      <c r="FY668" s="93"/>
      <c r="FZ668" s="29"/>
      <c r="GA668" s="1504">
        <v>54789</v>
      </c>
      <c r="GB668" s="19"/>
      <c r="GC668" s="93"/>
      <c r="GD668" s="93"/>
      <c r="GE668" s="93"/>
      <c r="GF668" s="93"/>
      <c r="GG668" s="93"/>
      <c r="GH668" s="93"/>
      <c r="GI668" s="93"/>
      <c r="GJ668" s="93"/>
      <c r="GK668" s="93"/>
      <c r="GL668" s="93"/>
      <c r="GM668" s="93"/>
      <c r="GN668" s="20"/>
      <c r="GO668" s="29"/>
      <c r="GP668" s="1504">
        <v>54789</v>
      </c>
      <c r="GQ668" s="19"/>
      <c r="GR668" s="93"/>
      <c r="GS668" s="93"/>
      <c r="GT668" s="93"/>
      <c r="GU668" s="93"/>
      <c r="GV668" s="20"/>
      <c r="GW668" s="19"/>
      <c r="GX668" s="93"/>
      <c r="GY668" s="93"/>
      <c r="GZ668" s="93"/>
      <c r="HA668" s="93"/>
      <c r="HB668" s="20"/>
      <c r="HC668" s="19"/>
      <c r="HD668" s="93"/>
      <c r="HE668" s="93"/>
      <c r="HF668" s="93"/>
      <c r="HG668" s="93"/>
      <c r="HH668" s="20"/>
      <c r="HI668" s="19"/>
      <c r="HJ668" s="93"/>
      <c r="HK668" s="93"/>
      <c r="HL668" s="93"/>
      <c r="HM668" s="93"/>
      <c r="HN668" s="20"/>
      <c r="HO668" s="219"/>
      <c r="HP668" s="20"/>
      <c r="HQ668" s="25"/>
      <c r="HR668" s="29"/>
      <c r="HS668" s="1504">
        <v>54789</v>
      </c>
      <c r="HT668" s="19"/>
      <c r="HU668" s="93"/>
      <c r="HV668" s="93"/>
      <c r="HW668" s="93"/>
      <c r="HX668" s="93"/>
      <c r="HY668" s="93"/>
      <c r="HZ668" s="93"/>
      <c r="IA668" s="20"/>
      <c r="IB668" s="19"/>
      <c r="IC668" s="93"/>
      <c r="ID668" s="93"/>
      <c r="IE668" s="93"/>
      <c r="IF668" s="93"/>
      <c r="IG668" s="20"/>
      <c r="IH668" s="19"/>
      <c r="II668" s="93"/>
      <c r="IJ668" s="93"/>
      <c r="IK668" s="93"/>
      <c r="IL668" s="93"/>
      <c r="IM668" s="93"/>
      <c r="IN668" s="93"/>
      <c r="IO668" s="20"/>
      <c r="IP668" s="29"/>
      <c r="IQ668" s="19"/>
      <c r="IR668" s="93"/>
      <c r="IS668" s="93"/>
      <c r="IT668" s="93"/>
      <c r="IU668" s="93"/>
      <c r="IV668" s="20"/>
      <c r="IW668" s="29"/>
      <c r="IX668" s="19"/>
      <c r="IY668" s="93"/>
      <c r="IZ668" s="93"/>
      <c r="JA668" s="93"/>
      <c r="JB668" s="93"/>
      <c r="JC668" s="93"/>
      <c r="JD668" s="93"/>
      <c r="JE668" s="20"/>
      <c r="JF668" s="29"/>
      <c r="JG668" s="19"/>
      <c r="JH668" s="93"/>
      <c r="JI668" s="93"/>
      <c r="JJ668" s="93"/>
      <c r="JK668" s="93"/>
      <c r="JL668" s="93"/>
      <c r="JM668" s="93"/>
      <c r="JN668" s="20"/>
      <c r="JO668" s="29"/>
      <c r="JP668" s="19"/>
      <c r="JQ668" s="93"/>
      <c r="JR668" s="93"/>
      <c r="JS668" s="93"/>
      <c r="JT668" s="93"/>
      <c r="JU668" s="20"/>
      <c r="JV668" s="29"/>
      <c r="JW668" s="1504">
        <v>54789</v>
      </c>
      <c r="JX668" s="19"/>
      <c r="JY668" s="93"/>
      <c r="JZ668" s="93"/>
      <c r="KA668" s="93"/>
      <c r="KB668" s="93"/>
      <c r="KC668" s="93"/>
      <c r="KD668" s="20"/>
      <c r="KE668" s="29"/>
      <c r="KF668" s="19"/>
      <c r="KG668" s="93"/>
      <c r="KH668" s="93"/>
      <c r="KI668" s="93"/>
      <c r="KJ668" s="93"/>
      <c r="KK668" s="20"/>
      <c r="KL668" s="29"/>
      <c r="KM668" s="19"/>
      <c r="KN668" s="93"/>
      <c r="KO668" s="93"/>
      <c r="KP668" s="93"/>
      <c r="KQ668" s="93"/>
      <c r="KR668" s="20"/>
      <c r="KS668" s="29"/>
      <c r="KT668" s="19"/>
      <c r="KU668" s="93"/>
      <c r="KV668" s="93"/>
      <c r="KW668" s="93"/>
      <c r="KX668" s="93"/>
      <c r="KY668" s="20"/>
      <c r="KZ668" s="29"/>
      <c r="LA668" s="1504">
        <v>54789</v>
      </c>
      <c r="LB668" s="19"/>
      <c r="LC668" s="93"/>
      <c r="LD668" s="93"/>
      <c r="LE668" s="93"/>
      <c r="LF668" s="93"/>
      <c r="LG668" s="93"/>
      <c r="LH668" s="20"/>
      <c r="LI668" s="29"/>
      <c r="LJ668" s="19"/>
      <c r="LK668" s="93"/>
      <c r="LL668" s="93"/>
      <c r="LM668" s="93"/>
      <c r="LN668" s="93"/>
      <c r="LO668" s="20"/>
      <c r="LP668" s="29"/>
      <c r="LQ668" s="19"/>
      <c r="LR668" s="93"/>
      <c r="LS668" s="93"/>
      <c r="LT668" s="93"/>
      <c r="LU668" s="93"/>
      <c r="LV668" s="93"/>
      <c r="LW668" s="93"/>
      <c r="LX668" s="93"/>
      <c r="LY668" s="93"/>
      <c r="LZ668" s="93"/>
      <c r="MA668" s="20"/>
      <c r="MB668" s="29"/>
      <c r="MC668" s="1504">
        <v>54789</v>
      </c>
      <c r="MD668" s="19"/>
      <c r="ME668" s="93"/>
      <c r="MF668" s="93"/>
      <c r="MG668" s="93"/>
      <c r="MH668" s="93"/>
      <c r="MI668" s="93"/>
      <c r="MJ668" s="93"/>
      <c r="MK668" s="93"/>
      <c r="ML668" s="93"/>
      <c r="MM668" s="93"/>
      <c r="MN668" s="93"/>
      <c r="MO668" s="93"/>
      <c r="MP668" s="93"/>
      <c r="MQ668" s="93"/>
      <c r="MR668" s="93"/>
      <c r="MS668" s="93"/>
      <c r="MT668" s="93"/>
      <c r="MU668" s="93"/>
      <c r="MV668" s="93"/>
      <c r="MW668" s="93"/>
      <c r="MX668" s="93"/>
      <c r="MY668" s="93"/>
      <c r="MZ668" s="93"/>
      <c r="NA668" s="93"/>
      <c r="NB668" s="93"/>
      <c r="NC668" s="93"/>
      <c r="ND668" s="93"/>
      <c r="NE668" s="93"/>
      <c r="NF668" s="93"/>
      <c r="NG668" s="93"/>
      <c r="NH668" s="93"/>
      <c r="NI668" s="93"/>
      <c r="NJ668" s="93"/>
      <c r="NK668" s="93"/>
      <c r="NL668" s="93"/>
      <c r="NM668" s="93"/>
      <c r="NN668" s="93"/>
      <c r="NO668" s="93"/>
      <c r="NP668" s="93"/>
      <c r="NQ668" s="93"/>
      <c r="NR668" s="93"/>
      <c r="NS668" s="93"/>
      <c r="NT668" s="93"/>
      <c r="NU668" s="93"/>
      <c r="NV668" s="93"/>
      <c r="NW668" s="93"/>
      <c r="NX668" s="93"/>
      <c r="NY668" s="93"/>
      <c r="NZ668" s="93"/>
      <c r="OA668" s="93"/>
      <c r="OB668" s="93"/>
      <c r="OC668" s="93"/>
      <c r="OD668" s="20"/>
      <c r="OE668" s="29"/>
      <c r="OF668" s="1504">
        <v>54789</v>
      </c>
      <c r="OG668" s="19"/>
      <c r="OH668" s="93"/>
      <c r="OI668" s="93"/>
      <c r="OJ668" s="93"/>
      <c r="OK668" s="93"/>
      <c r="OL668" s="93"/>
      <c r="OM668" s="93"/>
      <c r="ON668" s="93"/>
      <c r="OO668" s="93"/>
      <c r="OP668" s="93"/>
      <c r="OQ668" s="93"/>
      <c r="OR668" s="93"/>
      <c r="OS668" s="93"/>
      <c r="OT668" s="93"/>
      <c r="OU668" s="93"/>
      <c r="OV668" s="93"/>
      <c r="OW668" s="93"/>
      <c r="OX668" s="93"/>
      <c r="OY668" s="93"/>
      <c r="OZ668" s="93"/>
      <c r="PA668" s="93"/>
      <c r="PB668" s="93"/>
      <c r="PC668" s="20"/>
      <c r="PD668" s="29"/>
      <c r="PE668" s="19"/>
      <c r="PF668" s="93"/>
      <c r="PG668" s="93"/>
      <c r="PH668" s="93"/>
      <c r="PI668" s="93"/>
      <c r="PJ668" s="93"/>
      <c r="PK668" s="93"/>
      <c r="PL668" s="93"/>
      <c r="PM668" s="93"/>
      <c r="PN668" s="93"/>
      <c r="PO668" s="93"/>
      <c r="PP668" s="93"/>
      <c r="PQ668" s="93"/>
      <c r="PR668" s="93"/>
      <c r="PS668" s="93"/>
      <c r="PT668" s="93"/>
      <c r="PU668" s="93"/>
      <c r="PV668" s="93"/>
      <c r="PW668" s="93"/>
      <c r="PX668" s="93"/>
      <c r="PY668" s="93"/>
      <c r="PZ668" s="93"/>
      <c r="QA668" s="93"/>
      <c r="QB668" s="93"/>
      <c r="QC668" s="93"/>
      <c r="QD668" s="93"/>
      <c r="QE668" s="20"/>
      <c r="QF668" s="1739"/>
      <c r="QG668" s="19"/>
      <c r="QH668" s="93"/>
      <c r="QI668" s="93"/>
      <c r="QJ668" s="93"/>
      <c r="QK668" s="93"/>
      <c r="QL668" s="93"/>
      <c r="QM668" s="93"/>
      <c r="QN668" s="93"/>
      <c r="QO668" s="93"/>
      <c r="QP668" s="93"/>
      <c r="QQ668" s="93"/>
      <c r="QR668" s="93"/>
      <c r="QS668" s="93"/>
      <c r="QT668" s="93"/>
      <c r="QU668" s="93"/>
      <c r="QV668" s="93"/>
      <c r="QW668" s="93"/>
      <c r="QX668" s="93"/>
      <c r="QY668" s="93"/>
      <c r="QZ668" s="93"/>
      <c r="RA668" s="93"/>
      <c r="RB668" s="93"/>
      <c r="RC668" s="93"/>
      <c r="RD668" s="93"/>
      <c r="RE668" s="93"/>
      <c r="RF668" s="93"/>
      <c r="RG668" s="93"/>
      <c r="RH668" s="93"/>
      <c r="RI668" s="93"/>
      <c r="RJ668" s="93"/>
      <c r="RK668" s="93"/>
      <c r="RL668" s="93"/>
      <c r="RM668" s="20"/>
      <c r="RN668" s="29"/>
      <c r="RO668" s="19"/>
      <c r="RP668" s="20"/>
      <c r="RQ668" s="29"/>
      <c r="RR668" s="20"/>
      <c r="RS668" s="29"/>
      <c r="RT668" s="1504">
        <v>54789</v>
      </c>
      <c r="RU668" s="19"/>
      <c r="RV668" s="20"/>
      <c r="RW668" s="29"/>
      <c r="RX668" s="1504">
        <v>54789</v>
      </c>
      <c r="RY668" s="29"/>
      <c r="RZ668" s="20"/>
      <c r="SA668" s="29"/>
      <c r="SB668" s="29"/>
    </row>
    <row r="669" spans="1:496">
      <c r="A669" s="41">
        <f t="shared" si="364"/>
        <v>2050</v>
      </c>
      <c r="B669" s="1504">
        <v>54820</v>
      </c>
      <c r="C669" s="1813"/>
      <c r="D669" s="1814"/>
      <c r="E669" s="1814"/>
      <c r="F669" s="1815"/>
      <c r="G669" s="1814"/>
      <c r="H669" s="1814"/>
      <c r="I669" s="1814"/>
      <c r="J669" s="1816"/>
      <c r="K669" s="1807"/>
      <c r="L669" s="25"/>
      <c r="M669" s="97"/>
      <c r="N669" s="1504">
        <v>54820</v>
      </c>
      <c r="O669" s="19"/>
      <c r="P669" s="93"/>
      <c r="Q669" s="93"/>
      <c r="R669" s="93"/>
      <c r="S669" s="93"/>
      <c r="T669" s="93"/>
      <c r="U669" s="93"/>
      <c r="V669" s="93"/>
      <c r="W669" s="93"/>
      <c r="X669" s="93"/>
      <c r="Y669" s="93"/>
      <c r="Z669" s="93"/>
      <c r="AA669" s="93"/>
      <c r="AB669" s="20"/>
      <c r="AC669" s="25"/>
      <c r="AD669" s="97"/>
      <c r="AE669" s="1504">
        <v>54820</v>
      </c>
      <c r="AF669" s="19"/>
      <c r="AG669" s="93"/>
      <c r="AH669" s="93"/>
      <c r="AI669" s="93"/>
      <c r="AJ669" s="93"/>
      <c r="AK669" s="93"/>
      <c r="AL669" s="93"/>
      <c r="AM669" s="93"/>
      <c r="AN669" s="93"/>
      <c r="AO669" s="93"/>
      <c r="AP669" s="93"/>
      <c r="AQ669" s="93"/>
      <c r="AR669" s="93"/>
      <c r="AS669" s="20"/>
      <c r="AT669" s="25"/>
      <c r="AU669" s="97"/>
      <c r="AV669" s="1504">
        <v>54820</v>
      </c>
      <c r="AW669" s="19"/>
      <c r="AX669" s="93"/>
      <c r="AY669" s="93"/>
      <c r="AZ669" s="93"/>
      <c r="BA669" s="93"/>
      <c r="BB669" s="93"/>
      <c r="BC669" s="93"/>
      <c r="BD669" s="93"/>
      <c r="BE669" s="93"/>
      <c r="BF669" s="93"/>
      <c r="BG669" s="93"/>
      <c r="BH669" s="93"/>
      <c r="BI669" s="93"/>
      <c r="BJ669" s="20"/>
      <c r="BK669" s="25"/>
      <c r="BL669" s="97"/>
      <c r="BM669" s="1504">
        <v>54820</v>
      </c>
      <c r="BN669" s="19"/>
      <c r="BO669" s="93"/>
      <c r="BP669" s="93"/>
      <c r="BQ669" s="93"/>
      <c r="BR669" s="93"/>
      <c r="BS669" s="93"/>
      <c r="BT669" s="93"/>
      <c r="BU669" s="20"/>
      <c r="BV669" s="25"/>
      <c r="BW669" s="97"/>
      <c r="BX669" s="1504">
        <v>54820</v>
      </c>
      <c r="BY669" s="19"/>
      <c r="BZ669" s="93"/>
      <c r="CA669" s="93"/>
      <c r="CB669" s="93"/>
      <c r="CC669" s="93"/>
      <c r="CD669" s="25"/>
      <c r="CE669" s="97"/>
      <c r="CF669" s="1504">
        <v>54820</v>
      </c>
      <c r="CG669" s="19"/>
      <c r="CH669" s="93"/>
      <c r="CI669" s="219"/>
      <c r="CJ669" s="20"/>
      <c r="CK669" s="19"/>
      <c r="CL669" s="93"/>
      <c r="CM669" s="93"/>
      <c r="CN669" s="93"/>
      <c r="CO669" s="93"/>
      <c r="CP669" s="20"/>
      <c r="CQ669" s="219"/>
      <c r="CR669" s="93"/>
      <c r="CS669" s="93"/>
      <c r="CT669" s="93"/>
      <c r="CU669" s="93"/>
      <c r="CV669" s="214"/>
      <c r="CW669" s="29"/>
      <c r="CX669" s="41">
        <f t="shared" si="365"/>
        <v>2050</v>
      </c>
      <c r="CY669" s="1504">
        <v>54820</v>
      </c>
      <c r="CZ669" s="19"/>
      <c r="DA669" s="93"/>
      <c r="DB669" s="93"/>
      <c r="DC669" s="93"/>
      <c r="DD669" s="93"/>
      <c r="DE669" s="20"/>
      <c r="DF669" s="29"/>
      <c r="DG669" s="1504">
        <v>54820</v>
      </c>
      <c r="DH669" s="19"/>
      <c r="DI669" s="93"/>
      <c r="DJ669" s="93"/>
      <c r="DK669" s="93"/>
      <c r="DL669" s="93"/>
      <c r="DM669" s="93"/>
      <c r="DN669" s="20"/>
      <c r="DO669" s="295"/>
      <c r="DP669" s="29"/>
      <c r="DQ669" s="1504">
        <v>54820</v>
      </c>
      <c r="DR669" s="19"/>
      <c r="DS669" s="93"/>
      <c r="DT669" s="93"/>
      <c r="DU669" s="93"/>
      <c r="DV669" s="93"/>
      <c r="DW669" s="93"/>
      <c r="DX669" s="20"/>
      <c r="DY669" s="29"/>
      <c r="DZ669" s="1504">
        <v>54820</v>
      </c>
      <c r="EA669" s="19"/>
      <c r="EB669" s="93"/>
      <c r="EC669" s="20"/>
      <c r="ED669" s="29"/>
      <c r="EE669" s="1504">
        <v>54820</v>
      </c>
      <c r="EF669" s="19"/>
      <c r="EG669" s="93"/>
      <c r="EH669" s="93"/>
      <c r="EI669" s="214"/>
      <c r="EJ669" s="93"/>
      <c r="EK669" s="93"/>
      <c r="EL669" s="93"/>
      <c r="EM669" s="93"/>
      <c r="EN669" s="20"/>
      <c r="EO669" s="29"/>
      <c r="EP669" s="1504">
        <v>54820</v>
      </c>
      <c r="EQ669" s="19"/>
      <c r="ER669" s="93"/>
      <c r="ES669" s="93"/>
      <c r="ET669" s="214"/>
      <c r="EU669" s="93"/>
      <c r="EV669" s="93"/>
      <c r="EW669" s="93"/>
      <c r="EX669" s="93"/>
      <c r="EY669" s="20"/>
      <c r="EZ669" s="29"/>
      <c r="FA669" s="1504">
        <v>54820</v>
      </c>
      <c r="FB669" s="29"/>
      <c r="FC669" s="29"/>
      <c r="FD669" s="29"/>
      <c r="FE669" s="29"/>
      <c r="FF669" s="29"/>
      <c r="FG669" s="29"/>
      <c r="FH669" s="29"/>
      <c r="FI669" s="29"/>
      <c r="FJ669" s="29"/>
      <c r="FK669" s="29"/>
      <c r="FL669" s="1504">
        <v>54820</v>
      </c>
      <c r="FM669" s="19"/>
      <c r="FN669" s="93"/>
      <c r="FO669" s="93"/>
      <c r="FP669" s="93"/>
      <c r="FQ669" s="93"/>
      <c r="FR669" s="93"/>
      <c r="FS669" s="93"/>
      <c r="FT669" s="93"/>
      <c r="FU669" s="93"/>
      <c r="FV669" s="93"/>
      <c r="FW669" s="93"/>
      <c r="FX669" s="93"/>
      <c r="FY669" s="93"/>
      <c r="FZ669" s="29"/>
      <c r="GA669" s="1504">
        <v>54820</v>
      </c>
      <c r="GB669" s="19"/>
      <c r="GC669" s="93"/>
      <c r="GD669" s="93"/>
      <c r="GE669" s="93"/>
      <c r="GF669" s="93"/>
      <c r="GG669" s="93"/>
      <c r="GH669" s="93"/>
      <c r="GI669" s="93"/>
      <c r="GJ669" s="93"/>
      <c r="GK669" s="93"/>
      <c r="GL669" s="93"/>
      <c r="GM669" s="93"/>
      <c r="GN669" s="20"/>
      <c r="GO669" s="29"/>
      <c r="GP669" s="1504">
        <v>54820</v>
      </c>
      <c r="GQ669" s="19"/>
      <c r="GR669" s="93"/>
      <c r="GS669" s="93"/>
      <c r="GT669" s="93"/>
      <c r="GU669" s="93"/>
      <c r="GV669" s="20"/>
      <c r="GW669" s="19"/>
      <c r="GX669" s="93"/>
      <c r="GY669" s="93"/>
      <c r="GZ669" s="93"/>
      <c r="HA669" s="93"/>
      <c r="HB669" s="20"/>
      <c r="HC669" s="19"/>
      <c r="HD669" s="93"/>
      <c r="HE669" s="93"/>
      <c r="HF669" s="93"/>
      <c r="HG669" s="93"/>
      <c r="HH669" s="20"/>
      <c r="HI669" s="19"/>
      <c r="HJ669" s="93"/>
      <c r="HK669" s="93"/>
      <c r="HL669" s="93"/>
      <c r="HM669" s="93"/>
      <c r="HN669" s="20"/>
      <c r="HO669" s="219"/>
      <c r="HP669" s="20"/>
      <c r="HQ669" s="25"/>
      <c r="HR669" s="29"/>
      <c r="HS669" s="1504">
        <v>54820</v>
      </c>
      <c r="HT669" s="19"/>
      <c r="HU669" s="93"/>
      <c r="HV669" s="93"/>
      <c r="HW669" s="93"/>
      <c r="HX669" s="93"/>
      <c r="HY669" s="93"/>
      <c r="HZ669" s="93"/>
      <c r="IA669" s="20"/>
      <c r="IB669" s="19"/>
      <c r="IC669" s="93"/>
      <c r="ID669" s="93"/>
      <c r="IE669" s="93"/>
      <c r="IF669" s="93"/>
      <c r="IG669" s="20"/>
      <c r="IH669" s="19"/>
      <c r="II669" s="93"/>
      <c r="IJ669" s="93"/>
      <c r="IK669" s="93"/>
      <c r="IL669" s="93"/>
      <c r="IM669" s="93"/>
      <c r="IN669" s="93"/>
      <c r="IO669" s="20"/>
      <c r="IP669" s="29"/>
      <c r="IQ669" s="19"/>
      <c r="IR669" s="93"/>
      <c r="IS669" s="93"/>
      <c r="IT669" s="93"/>
      <c r="IU669" s="93"/>
      <c r="IV669" s="20"/>
      <c r="IW669" s="29"/>
      <c r="IX669" s="19"/>
      <c r="IY669" s="93"/>
      <c r="IZ669" s="93"/>
      <c r="JA669" s="93"/>
      <c r="JB669" s="93"/>
      <c r="JC669" s="93"/>
      <c r="JD669" s="93"/>
      <c r="JE669" s="20"/>
      <c r="JF669" s="29"/>
      <c r="JG669" s="19"/>
      <c r="JH669" s="93"/>
      <c r="JI669" s="93"/>
      <c r="JJ669" s="93"/>
      <c r="JK669" s="93"/>
      <c r="JL669" s="93"/>
      <c r="JM669" s="93"/>
      <c r="JN669" s="20"/>
      <c r="JO669" s="29"/>
      <c r="JP669" s="19"/>
      <c r="JQ669" s="93"/>
      <c r="JR669" s="93"/>
      <c r="JS669" s="93"/>
      <c r="JT669" s="93"/>
      <c r="JU669" s="20"/>
      <c r="JV669" s="29"/>
      <c r="JW669" s="1504">
        <v>54820</v>
      </c>
      <c r="JX669" s="19"/>
      <c r="JY669" s="93"/>
      <c r="JZ669" s="93"/>
      <c r="KA669" s="93"/>
      <c r="KB669" s="93"/>
      <c r="KC669" s="93"/>
      <c r="KD669" s="20"/>
      <c r="KE669" s="29"/>
      <c r="KF669" s="19"/>
      <c r="KG669" s="93"/>
      <c r="KH669" s="93"/>
      <c r="KI669" s="93"/>
      <c r="KJ669" s="93"/>
      <c r="KK669" s="20"/>
      <c r="KL669" s="29"/>
      <c r="KM669" s="19"/>
      <c r="KN669" s="93"/>
      <c r="KO669" s="93"/>
      <c r="KP669" s="93"/>
      <c r="KQ669" s="93"/>
      <c r="KR669" s="20"/>
      <c r="KS669" s="29"/>
      <c r="KT669" s="19"/>
      <c r="KU669" s="93"/>
      <c r="KV669" s="93"/>
      <c r="KW669" s="93"/>
      <c r="KX669" s="93"/>
      <c r="KY669" s="20"/>
      <c r="KZ669" s="29"/>
      <c r="LA669" s="1504">
        <v>54820</v>
      </c>
      <c r="LB669" s="19"/>
      <c r="LC669" s="93"/>
      <c r="LD669" s="93"/>
      <c r="LE669" s="93"/>
      <c r="LF669" s="93"/>
      <c r="LG669" s="93"/>
      <c r="LH669" s="20"/>
      <c r="LI669" s="29"/>
      <c r="LJ669" s="19"/>
      <c r="LK669" s="93"/>
      <c r="LL669" s="93"/>
      <c r="LM669" s="93"/>
      <c r="LN669" s="93"/>
      <c r="LO669" s="20"/>
      <c r="LP669" s="29"/>
      <c r="LQ669" s="19"/>
      <c r="LR669" s="93"/>
      <c r="LS669" s="93"/>
      <c r="LT669" s="93"/>
      <c r="LU669" s="93"/>
      <c r="LV669" s="93"/>
      <c r="LW669" s="93"/>
      <c r="LX669" s="93"/>
      <c r="LY669" s="93"/>
      <c r="LZ669" s="93"/>
      <c r="MA669" s="20"/>
      <c r="MB669" s="29"/>
      <c r="MC669" s="1504">
        <v>54820</v>
      </c>
      <c r="MD669" s="19"/>
      <c r="ME669" s="93"/>
      <c r="MF669" s="93"/>
      <c r="MG669" s="93"/>
      <c r="MH669" s="93"/>
      <c r="MI669" s="93"/>
      <c r="MJ669" s="93"/>
      <c r="MK669" s="93"/>
      <c r="ML669" s="93"/>
      <c r="MM669" s="93"/>
      <c r="MN669" s="93"/>
      <c r="MO669" s="93"/>
      <c r="MP669" s="93"/>
      <c r="MQ669" s="93"/>
      <c r="MR669" s="93"/>
      <c r="MS669" s="93"/>
      <c r="MT669" s="93"/>
      <c r="MU669" s="93"/>
      <c r="MV669" s="93"/>
      <c r="MW669" s="93"/>
      <c r="MX669" s="93"/>
      <c r="MY669" s="93"/>
      <c r="MZ669" s="93"/>
      <c r="NA669" s="93"/>
      <c r="NB669" s="93"/>
      <c r="NC669" s="93"/>
      <c r="ND669" s="93"/>
      <c r="NE669" s="93"/>
      <c r="NF669" s="93"/>
      <c r="NG669" s="93"/>
      <c r="NH669" s="93"/>
      <c r="NI669" s="93"/>
      <c r="NJ669" s="93"/>
      <c r="NK669" s="93"/>
      <c r="NL669" s="93"/>
      <c r="NM669" s="93"/>
      <c r="NN669" s="93"/>
      <c r="NO669" s="93"/>
      <c r="NP669" s="93"/>
      <c r="NQ669" s="93"/>
      <c r="NR669" s="93"/>
      <c r="NS669" s="93"/>
      <c r="NT669" s="93"/>
      <c r="NU669" s="93"/>
      <c r="NV669" s="93"/>
      <c r="NW669" s="93"/>
      <c r="NX669" s="93"/>
      <c r="NY669" s="93"/>
      <c r="NZ669" s="93"/>
      <c r="OA669" s="93"/>
      <c r="OB669" s="93"/>
      <c r="OC669" s="93"/>
      <c r="OD669" s="20"/>
      <c r="OE669" s="29"/>
      <c r="OF669" s="1504">
        <v>54820</v>
      </c>
      <c r="OG669" s="19"/>
      <c r="OH669" s="93"/>
      <c r="OI669" s="93"/>
      <c r="OJ669" s="93"/>
      <c r="OK669" s="93"/>
      <c r="OL669" s="93"/>
      <c r="OM669" s="93"/>
      <c r="ON669" s="93"/>
      <c r="OO669" s="93"/>
      <c r="OP669" s="93"/>
      <c r="OQ669" s="93"/>
      <c r="OR669" s="93"/>
      <c r="OS669" s="93"/>
      <c r="OT669" s="93"/>
      <c r="OU669" s="93"/>
      <c r="OV669" s="93"/>
      <c r="OW669" s="93"/>
      <c r="OX669" s="93"/>
      <c r="OY669" s="93"/>
      <c r="OZ669" s="93"/>
      <c r="PA669" s="93"/>
      <c r="PB669" s="93"/>
      <c r="PC669" s="20"/>
      <c r="PD669" s="29"/>
      <c r="PE669" s="19"/>
      <c r="PF669" s="93"/>
      <c r="PG669" s="93"/>
      <c r="PH669" s="93"/>
      <c r="PI669" s="93"/>
      <c r="PJ669" s="93"/>
      <c r="PK669" s="93"/>
      <c r="PL669" s="93"/>
      <c r="PM669" s="93"/>
      <c r="PN669" s="93"/>
      <c r="PO669" s="93"/>
      <c r="PP669" s="93"/>
      <c r="PQ669" s="93"/>
      <c r="PR669" s="93"/>
      <c r="PS669" s="93"/>
      <c r="PT669" s="93"/>
      <c r="PU669" s="93"/>
      <c r="PV669" s="93"/>
      <c r="PW669" s="93"/>
      <c r="PX669" s="93"/>
      <c r="PY669" s="93"/>
      <c r="PZ669" s="93"/>
      <c r="QA669" s="93"/>
      <c r="QB669" s="93"/>
      <c r="QC669" s="93"/>
      <c r="QD669" s="93"/>
      <c r="QE669" s="20"/>
      <c r="QF669" s="1739"/>
      <c r="QG669" s="19"/>
      <c r="QH669" s="93"/>
      <c r="QI669" s="93"/>
      <c r="QJ669" s="93"/>
      <c r="QK669" s="93"/>
      <c r="QL669" s="93"/>
      <c r="QM669" s="93"/>
      <c r="QN669" s="93"/>
      <c r="QO669" s="93"/>
      <c r="QP669" s="93"/>
      <c r="QQ669" s="93"/>
      <c r="QR669" s="93"/>
      <c r="QS669" s="93"/>
      <c r="QT669" s="93"/>
      <c r="QU669" s="93"/>
      <c r="QV669" s="93"/>
      <c r="QW669" s="93"/>
      <c r="QX669" s="93"/>
      <c r="QY669" s="93"/>
      <c r="QZ669" s="93"/>
      <c r="RA669" s="93"/>
      <c r="RB669" s="93"/>
      <c r="RC669" s="93"/>
      <c r="RD669" s="93"/>
      <c r="RE669" s="93"/>
      <c r="RF669" s="93"/>
      <c r="RG669" s="93"/>
      <c r="RH669" s="93"/>
      <c r="RI669" s="93"/>
      <c r="RJ669" s="93"/>
      <c r="RK669" s="93"/>
      <c r="RL669" s="93"/>
      <c r="RM669" s="20"/>
      <c r="RN669" s="29"/>
      <c r="RO669" s="19"/>
      <c r="RP669" s="20"/>
      <c r="RQ669" s="29"/>
      <c r="RR669" s="20"/>
      <c r="RS669" s="29"/>
      <c r="RT669" s="1504">
        <v>54820</v>
      </c>
      <c r="RU669" s="19"/>
      <c r="RV669" s="20"/>
      <c r="RW669" s="29"/>
      <c r="RX669" s="1504">
        <v>54820</v>
      </c>
      <c r="RY669" s="29"/>
      <c r="RZ669" s="20"/>
      <c r="SA669" s="29"/>
      <c r="SB669" s="29"/>
    </row>
    <row r="670" spans="1:496">
      <c r="A670" s="41">
        <f t="shared" si="364"/>
        <v>2050</v>
      </c>
      <c r="B670" s="1504">
        <v>54848</v>
      </c>
      <c r="C670" s="1813"/>
      <c r="D670" s="1814"/>
      <c r="E670" s="1814"/>
      <c r="F670" s="1815"/>
      <c r="G670" s="1814"/>
      <c r="H670" s="1814"/>
      <c r="I670" s="1814"/>
      <c r="J670" s="1816"/>
      <c r="K670" s="1807"/>
      <c r="L670" s="25"/>
      <c r="M670" s="97"/>
      <c r="N670" s="1504">
        <v>54848</v>
      </c>
      <c r="O670" s="19"/>
      <c r="P670" s="93"/>
      <c r="Q670" s="93"/>
      <c r="R670" s="93"/>
      <c r="S670" s="93"/>
      <c r="T670" s="93"/>
      <c r="U670" s="93"/>
      <c r="V670" s="93"/>
      <c r="W670" s="93"/>
      <c r="X670" s="93"/>
      <c r="Y670" s="93"/>
      <c r="Z670" s="93"/>
      <c r="AA670" s="93"/>
      <c r="AB670" s="20"/>
      <c r="AC670" s="25"/>
      <c r="AD670" s="97"/>
      <c r="AE670" s="1504">
        <v>54848</v>
      </c>
      <c r="AF670" s="19"/>
      <c r="AG670" s="93"/>
      <c r="AH670" s="93"/>
      <c r="AI670" s="93"/>
      <c r="AJ670" s="93"/>
      <c r="AK670" s="93"/>
      <c r="AL670" s="93"/>
      <c r="AM670" s="93"/>
      <c r="AN670" s="93"/>
      <c r="AO670" s="93"/>
      <c r="AP670" s="93"/>
      <c r="AQ670" s="93"/>
      <c r="AR670" s="93"/>
      <c r="AS670" s="20"/>
      <c r="AT670" s="25"/>
      <c r="AU670" s="97"/>
      <c r="AV670" s="1504">
        <v>54848</v>
      </c>
      <c r="AW670" s="19"/>
      <c r="AX670" s="93"/>
      <c r="AY670" s="93"/>
      <c r="AZ670" s="93"/>
      <c r="BA670" s="93"/>
      <c r="BB670" s="93"/>
      <c r="BC670" s="93"/>
      <c r="BD670" s="93"/>
      <c r="BE670" s="93"/>
      <c r="BF670" s="93"/>
      <c r="BG670" s="93"/>
      <c r="BH670" s="93"/>
      <c r="BI670" s="93"/>
      <c r="BJ670" s="20"/>
      <c r="BK670" s="25"/>
      <c r="BL670" s="97"/>
      <c r="BM670" s="1504">
        <v>54848</v>
      </c>
      <c r="BN670" s="19"/>
      <c r="BO670" s="93"/>
      <c r="BP670" s="93"/>
      <c r="BQ670" s="93"/>
      <c r="BR670" s="93"/>
      <c r="BS670" s="93"/>
      <c r="BT670" s="93"/>
      <c r="BU670" s="20"/>
      <c r="BV670" s="25"/>
      <c r="BW670" s="97"/>
      <c r="BX670" s="1504">
        <v>54848</v>
      </c>
      <c r="BY670" s="19"/>
      <c r="BZ670" s="93"/>
      <c r="CA670" s="93"/>
      <c r="CB670" s="93"/>
      <c r="CC670" s="93"/>
      <c r="CD670" s="25"/>
      <c r="CE670" s="97"/>
      <c r="CF670" s="1504">
        <v>54848</v>
      </c>
      <c r="CG670" s="19"/>
      <c r="CH670" s="93"/>
      <c r="CI670" s="219"/>
      <c r="CJ670" s="20"/>
      <c r="CK670" s="19"/>
      <c r="CL670" s="93"/>
      <c r="CM670" s="93"/>
      <c r="CN670" s="93"/>
      <c r="CO670" s="93"/>
      <c r="CP670" s="20"/>
      <c r="CQ670" s="219"/>
      <c r="CR670" s="93"/>
      <c r="CS670" s="93"/>
      <c r="CT670" s="93"/>
      <c r="CU670" s="93"/>
      <c r="CV670" s="214"/>
      <c r="CW670" s="29"/>
      <c r="CX670" s="41">
        <f t="shared" si="365"/>
        <v>2050</v>
      </c>
      <c r="CY670" s="1504">
        <v>54848</v>
      </c>
      <c r="CZ670" s="19"/>
      <c r="DA670" s="93"/>
      <c r="DB670" s="93"/>
      <c r="DC670" s="93"/>
      <c r="DD670" s="93"/>
      <c r="DE670" s="20"/>
      <c r="DF670" s="29"/>
      <c r="DG670" s="1504">
        <v>54848</v>
      </c>
      <c r="DH670" s="19"/>
      <c r="DI670" s="93"/>
      <c r="DJ670" s="93"/>
      <c r="DK670" s="93"/>
      <c r="DL670" s="93"/>
      <c r="DM670" s="93"/>
      <c r="DN670" s="20"/>
      <c r="DO670" s="295"/>
      <c r="DP670" s="29"/>
      <c r="DQ670" s="1504">
        <v>54848</v>
      </c>
      <c r="DR670" s="19"/>
      <c r="DS670" s="93"/>
      <c r="DT670" s="93"/>
      <c r="DU670" s="93"/>
      <c r="DV670" s="93"/>
      <c r="DW670" s="93"/>
      <c r="DX670" s="20"/>
      <c r="DY670" s="29"/>
      <c r="DZ670" s="1504">
        <v>54848</v>
      </c>
      <c r="EA670" s="19"/>
      <c r="EB670" s="93"/>
      <c r="EC670" s="20"/>
      <c r="ED670" s="29"/>
      <c r="EE670" s="1504">
        <v>54848</v>
      </c>
      <c r="EF670" s="19"/>
      <c r="EG670" s="93"/>
      <c r="EH670" s="93"/>
      <c r="EI670" s="214"/>
      <c r="EJ670" s="93"/>
      <c r="EK670" s="93"/>
      <c r="EL670" s="93"/>
      <c r="EM670" s="93"/>
      <c r="EN670" s="20"/>
      <c r="EO670" s="29"/>
      <c r="EP670" s="1504">
        <v>54848</v>
      </c>
      <c r="EQ670" s="19"/>
      <c r="ER670" s="93"/>
      <c r="ES670" s="93"/>
      <c r="ET670" s="214"/>
      <c r="EU670" s="93"/>
      <c r="EV670" s="93"/>
      <c r="EW670" s="93"/>
      <c r="EX670" s="93"/>
      <c r="EY670" s="20"/>
      <c r="EZ670" s="29"/>
      <c r="FA670" s="1504">
        <v>54848</v>
      </c>
      <c r="FB670" s="29"/>
      <c r="FC670" s="29"/>
      <c r="FD670" s="29"/>
      <c r="FE670" s="29"/>
      <c r="FF670" s="29"/>
      <c r="FG670" s="29"/>
      <c r="FH670" s="29"/>
      <c r="FI670" s="29"/>
      <c r="FJ670" s="29"/>
      <c r="FK670" s="29"/>
      <c r="FL670" s="1504">
        <v>54848</v>
      </c>
      <c r="FM670" s="19"/>
      <c r="FN670" s="93"/>
      <c r="FO670" s="93"/>
      <c r="FP670" s="93"/>
      <c r="FQ670" s="93"/>
      <c r="FR670" s="93"/>
      <c r="FS670" s="93"/>
      <c r="FT670" s="93"/>
      <c r="FU670" s="93"/>
      <c r="FV670" s="93"/>
      <c r="FW670" s="93"/>
      <c r="FX670" s="93"/>
      <c r="FY670" s="93"/>
      <c r="FZ670" s="29"/>
      <c r="GA670" s="1504">
        <v>54848</v>
      </c>
      <c r="GB670" s="19"/>
      <c r="GC670" s="93"/>
      <c r="GD670" s="93"/>
      <c r="GE670" s="93"/>
      <c r="GF670" s="93"/>
      <c r="GG670" s="93"/>
      <c r="GH670" s="93"/>
      <c r="GI670" s="93"/>
      <c r="GJ670" s="93"/>
      <c r="GK670" s="93"/>
      <c r="GL670" s="93"/>
      <c r="GM670" s="93"/>
      <c r="GN670" s="20"/>
      <c r="GO670" s="29"/>
      <c r="GP670" s="1504">
        <v>54848</v>
      </c>
      <c r="GQ670" s="19"/>
      <c r="GR670" s="93"/>
      <c r="GS670" s="93"/>
      <c r="GT670" s="93"/>
      <c r="GU670" s="93"/>
      <c r="GV670" s="20"/>
      <c r="GW670" s="19"/>
      <c r="GX670" s="93"/>
      <c r="GY670" s="93"/>
      <c r="GZ670" s="93"/>
      <c r="HA670" s="93"/>
      <c r="HB670" s="20"/>
      <c r="HC670" s="19"/>
      <c r="HD670" s="93"/>
      <c r="HE670" s="93"/>
      <c r="HF670" s="93"/>
      <c r="HG670" s="93"/>
      <c r="HH670" s="20"/>
      <c r="HI670" s="19"/>
      <c r="HJ670" s="93"/>
      <c r="HK670" s="93"/>
      <c r="HL670" s="93"/>
      <c r="HM670" s="93"/>
      <c r="HN670" s="20"/>
      <c r="HO670" s="219"/>
      <c r="HP670" s="20"/>
      <c r="HQ670" s="25"/>
      <c r="HR670" s="29"/>
      <c r="HS670" s="1504">
        <v>54848</v>
      </c>
      <c r="HT670" s="19"/>
      <c r="HU670" s="93"/>
      <c r="HV670" s="93"/>
      <c r="HW670" s="93"/>
      <c r="HX670" s="93"/>
      <c r="HY670" s="93"/>
      <c r="HZ670" s="93"/>
      <c r="IA670" s="20"/>
      <c r="IB670" s="19"/>
      <c r="IC670" s="93"/>
      <c r="ID670" s="93"/>
      <c r="IE670" s="93"/>
      <c r="IF670" s="93"/>
      <c r="IG670" s="20"/>
      <c r="IH670" s="19"/>
      <c r="II670" s="93"/>
      <c r="IJ670" s="93"/>
      <c r="IK670" s="93"/>
      <c r="IL670" s="93"/>
      <c r="IM670" s="93"/>
      <c r="IN670" s="93"/>
      <c r="IO670" s="20"/>
      <c r="IP670" s="29"/>
      <c r="IQ670" s="19"/>
      <c r="IR670" s="93"/>
      <c r="IS670" s="93"/>
      <c r="IT670" s="93"/>
      <c r="IU670" s="93"/>
      <c r="IV670" s="20"/>
      <c r="IW670" s="29"/>
      <c r="IX670" s="19"/>
      <c r="IY670" s="93"/>
      <c r="IZ670" s="93"/>
      <c r="JA670" s="93"/>
      <c r="JB670" s="93"/>
      <c r="JC670" s="93"/>
      <c r="JD670" s="93"/>
      <c r="JE670" s="20"/>
      <c r="JF670" s="29"/>
      <c r="JG670" s="19"/>
      <c r="JH670" s="93"/>
      <c r="JI670" s="93"/>
      <c r="JJ670" s="93"/>
      <c r="JK670" s="93"/>
      <c r="JL670" s="93"/>
      <c r="JM670" s="93"/>
      <c r="JN670" s="20"/>
      <c r="JO670" s="29"/>
      <c r="JP670" s="19"/>
      <c r="JQ670" s="93"/>
      <c r="JR670" s="93"/>
      <c r="JS670" s="93"/>
      <c r="JT670" s="93"/>
      <c r="JU670" s="20"/>
      <c r="JV670" s="29"/>
      <c r="JW670" s="1504">
        <v>54848</v>
      </c>
      <c r="JX670" s="19"/>
      <c r="JY670" s="93"/>
      <c r="JZ670" s="93"/>
      <c r="KA670" s="93"/>
      <c r="KB670" s="93"/>
      <c r="KC670" s="93"/>
      <c r="KD670" s="20"/>
      <c r="KE670" s="29"/>
      <c r="KF670" s="19"/>
      <c r="KG670" s="93"/>
      <c r="KH670" s="93"/>
      <c r="KI670" s="93"/>
      <c r="KJ670" s="93"/>
      <c r="KK670" s="20"/>
      <c r="KL670" s="29"/>
      <c r="KM670" s="19"/>
      <c r="KN670" s="93"/>
      <c r="KO670" s="93"/>
      <c r="KP670" s="93"/>
      <c r="KQ670" s="93"/>
      <c r="KR670" s="20"/>
      <c r="KS670" s="29"/>
      <c r="KT670" s="19"/>
      <c r="KU670" s="93"/>
      <c r="KV670" s="93"/>
      <c r="KW670" s="93"/>
      <c r="KX670" s="93"/>
      <c r="KY670" s="20"/>
      <c r="KZ670" s="29"/>
      <c r="LA670" s="1504">
        <v>54848</v>
      </c>
      <c r="LB670" s="19"/>
      <c r="LC670" s="93"/>
      <c r="LD670" s="93"/>
      <c r="LE670" s="93"/>
      <c r="LF670" s="93"/>
      <c r="LG670" s="93"/>
      <c r="LH670" s="20"/>
      <c r="LI670" s="29"/>
      <c r="LJ670" s="19"/>
      <c r="LK670" s="93"/>
      <c r="LL670" s="93"/>
      <c r="LM670" s="93"/>
      <c r="LN670" s="93"/>
      <c r="LO670" s="20"/>
      <c r="LP670" s="29"/>
      <c r="LQ670" s="19"/>
      <c r="LR670" s="93"/>
      <c r="LS670" s="93"/>
      <c r="LT670" s="93"/>
      <c r="LU670" s="93"/>
      <c r="LV670" s="93"/>
      <c r="LW670" s="93"/>
      <c r="LX670" s="93"/>
      <c r="LY670" s="93"/>
      <c r="LZ670" s="93"/>
      <c r="MA670" s="20"/>
      <c r="MB670" s="29"/>
      <c r="MC670" s="1504">
        <v>54848</v>
      </c>
      <c r="MD670" s="19"/>
      <c r="ME670" s="93"/>
      <c r="MF670" s="93"/>
      <c r="MG670" s="93"/>
      <c r="MH670" s="93"/>
      <c r="MI670" s="93"/>
      <c r="MJ670" s="93"/>
      <c r="MK670" s="93"/>
      <c r="ML670" s="93"/>
      <c r="MM670" s="93"/>
      <c r="MN670" s="93"/>
      <c r="MO670" s="93"/>
      <c r="MP670" s="93"/>
      <c r="MQ670" s="93"/>
      <c r="MR670" s="93"/>
      <c r="MS670" s="93"/>
      <c r="MT670" s="93"/>
      <c r="MU670" s="93"/>
      <c r="MV670" s="93"/>
      <c r="MW670" s="93"/>
      <c r="MX670" s="93"/>
      <c r="MY670" s="93"/>
      <c r="MZ670" s="93"/>
      <c r="NA670" s="93"/>
      <c r="NB670" s="93"/>
      <c r="NC670" s="93"/>
      <c r="ND670" s="93"/>
      <c r="NE670" s="93"/>
      <c r="NF670" s="93"/>
      <c r="NG670" s="93"/>
      <c r="NH670" s="93"/>
      <c r="NI670" s="93"/>
      <c r="NJ670" s="93"/>
      <c r="NK670" s="93"/>
      <c r="NL670" s="93"/>
      <c r="NM670" s="93"/>
      <c r="NN670" s="93"/>
      <c r="NO670" s="93"/>
      <c r="NP670" s="93"/>
      <c r="NQ670" s="93"/>
      <c r="NR670" s="93"/>
      <c r="NS670" s="93"/>
      <c r="NT670" s="93"/>
      <c r="NU670" s="93"/>
      <c r="NV670" s="93"/>
      <c r="NW670" s="93"/>
      <c r="NX670" s="93"/>
      <c r="NY670" s="93"/>
      <c r="NZ670" s="93"/>
      <c r="OA670" s="93"/>
      <c r="OB670" s="93"/>
      <c r="OC670" s="93"/>
      <c r="OD670" s="20"/>
      <c r="OE670" s="29"/>
      <c r="OF670" s="1504">
        <v>54848</v>
      </c>
      <c r="OG670" s="19"/>
      <c r="OH670" s="93"/>
      <c r="OI670" s="93"/>
      <c r="OJ670" s="93"/>
      <c r="OK670" s="93"/>
      <c r="OL670" s="93"/>
      <c r="OM670" s="93"/>
      <c r="ON670" s="93"/>
      <c r="OO670" s="93"/>
      <c r="OP670" s="93"/>
      <c r="OQ670" s="93"/>
      <c r="OR670" s="93"/>
      <c r="OS670" s="93"/>
      <c r="OT670" s="93"/>
      <c r="OU670" s="93"/>
      <c r="OV670" s="93"/>
      <c r="OW670" s="93"/>
      <c r="OX670" s="93"/>
      <c r="OY670" s="93"/>
      <c r="OZ670" s="93"/>
      <c r="PA670" s="93"/>
      <c r="PB670" s="93"/>
      <c r="PC670" s="20"/>
      <c r="PD670" s="29"/>
      <c r="PE670" s="19"/>
      <c r="PF670" s="93"/>
      <c r="PG670" s="93"/>
      <c r="PH670" s="93"/>
      <c r="PI670" s="93"/>
      <c r="PJ670" s="93"/>
      <c r="PK670" s="93"/>
      <c r="PL670" s="93"/>
      <c r="PM670" s="93"/>
      <c r="PN670" s="93"/>
      <c r="PO670" s="93"/>
      <c r="PP670" s="93"/>
      <c r="PQ670" s="93"/>
      <c r="PR670" s="93"/>
      <c r="PS670" s="93"/>
      <c r="PT670" s="93"/>
      <c r="PU670" s="93"/>
      <c r="PV670" s="93"/>
      <c r="PW670" s="93"/>
      <c r="PX670" s="93"/>
      <c r="PY670" s="93"/>
      <c r="PZ670" s="93"/>
      <c r="QA670" s="93"/>
      <c r="QB670" s="93"/>
      <c r="QC670" s="93"/>
      <c r="QD670" s="93"/>
      <c r="QE670" s="20"/>
      <c r="QF670" s="1739"/>
      <c r="QG670" s="19"/>
      <c r="QH670" s="93"/>
      <c r="QI670" s="93"/>
      <c r="QJ670" s="93"/>
      <c r="QK670" s="93"/>
      <c r="QL670" s="93"/>
      <c r="QM670" s="93"/>
      <c r="QN670" s="93"/>
      <c r="QO670" s="93"/>
      <c r="QP670" s="93"/>
      <c r="QQ670" s="93"/>
      <c r="QR670" s="93"/>
      <c r="QS670" s="93"/>
      <c r="QT670" s="93"/>
      <c r="QU670" s="93"/>
      <c r="QV670" s="93"/>
      <c r="QW670" s="93"/>
      <c r="QX670" s="93"/>
      <c r="QY670" s="93"/>
      <c r="QZ670" s="93"/>
      <c r="RA670" s="93"/>
      <c r="RB670" s="93"/>
      <c r="RC670" s="93"/>
      <c r="RD670" s="93"/>
      <c r="RE670" s="93"/>
      <c r="RF670" s="93"/>
      <c r="RG670" s="93"/>
      <c r="RH670" s="93"/>
      <c r="RI670" s="93"/>
      <c r="RJ670" s="93"/>
      <c r="RK670" s="93"/>
      <c r="RL670" s="93"/>
      <c r="RM670" s="20"/>
      <c r="RN670" s="29"/>
      <c r="RO670" s="19"/>
      <c r="RP670" s="20"/>
      <c r="RQ670" s="29"/>
      <c r="RR670" s="20"/>
      <c r="RS670" s="29"/>
      <c r="RT670" s="1504">
        <v>54848</v>
      </c>
      <c r="RU670" s="19"/>
      <c r="RV670" s="20"/>
      <c r="RW670" s="29"/>
      <c r="RX670" s="1504">
        <v>54848</v>
      </c>
      <c r="RY670" s="29"/>
      <c r="RZ670" s="20"/>
      <c r="SA670" s="29"/>
      <c r="SB670" s="29"/>
    </row>
    <row r="671" spans="1:496">
      <c r="A671" s="41">
        <f t="shared" si="364"/>
        <v>2050</v>
      </c>
      <c r="B671" s="1504">
        <v>54879</v>
      </c>
      <c r="C671" s="1813"/>
      <c r="D671" s="1814"/>
      <c r="E671" s="1814"/>
      <c r="F671" s="1815"/>
      <c r="G671" s="1814"/>
      <c r="H671" s="1814"/>
      <c r="I671" s="1814"/>
      <c r="J671" s="1816"/>
      <c r="K671" s="1807"/>
      <c r="L671" s="25"/>
      <c r="M671" s="97"/>
      <c r="N671" s="1504">
        <v>54879</v>
      </c>
      <c r="O671" s="19"/>
      <c r="P671" s="93"/>
      <c r="Q671" s="93"/>
      <c r="R671" s="93"/>
      <c r="S671" s="93"/>
      <c r="T671" s="93"/>
      <c r="U671" s="93"/>
      <c r="V671" s="93"/>
      <c r="W671" s="93"/>
      <c r="X671" s="93"/>
      <c r="Y671" s="93"/>
      <c r="Z671" s="93"/>
      <c r="AA671" s="93"/>
      <c r="AB671" s="20"/>
      <c r="AC671" s="25"/>
      <c r="AD671" s="97"/>
      <c r="AE671" s="1504">
        <v>54879</v>
      </c>
      <c r="AF671" s="19"/>
      <c r="AG671" s="93"/>
      <c r="AH671" s="93"/>
      <c r="AI671" s="93"/>
      <c r="AJ671" s="93"/>
      <c r="AK671" s="93"/>
      <c r="AL671" s="93"/>
      <c r="AM671" s="93"/>
      <c r="AN671" s="93"/>
      <c r="AO671" s="93"/>
      <c r="AP671" s="93"/>
      <c r="AQ671" s="93"/>
      <c r="AR671" s="93"/>
      <c r="AS671" s="20"/>
      <c r="AT671" s="25"/>
      <c r="AU671" s="97"/>
      <c r="AV671" s="1504">
        <v>54879</v>
      </c>
      <c r="AW671" s="19"/>
      <c r="AX671" s="93"/>
      <c r="AY671" s="93"/>
      <c r="AZ671" s="93"/>
      <c r="BA671" s="93"/>
      <c r="BB671" s="93"/>
      <c r="BC671" s="93"/>
      <c r="BD671" s="93"/>
      <c r="BE671" s="93"/>
      <c r="BF671" s="93"/>
      <c r="BG671" s="93"/>
      <c r="BH671" s="93"/>
      <c r="BI671" s="93"/>
      <c r="BJ671" s="20"/>
      <c r="BK671" s="25"/>
      <c r="BL671" s="97"/>
      <c r="BM671" s="1504">
        <v>54879</v>
      </c>
      <c r="BN671" s="19"/>
      <c r="BO671" s="93"/>
      <c r="BP671" s="93"/>
      <c r="BQ671" s="93"/>
      <c r="BR671" s="93"/>
      <c r="BS671" s="93"/>
      <c r="BT671" s="93"/>
      <c r="BU671" s="20"/>
      <c r="BV671" s="25"/>
      <c r="BW671" s="97"/>
      <c r="BX671" s="1504">
        <v>54879</v>
      </c>
      <c r="BY671" s="19"/>
      <c r="BZ671" s="93"/>
      <c r="CA671" s="93"/>
      <c r="CB671" s="93"/>
      <c r="CC671" s="93"/>
      <c r="CD671" s="25"/>
      <c r="CE671" s="97"/>
      <c r="CF671" s="1504">
        <v>54879</v>
      </c>
      <c r="CG671" s="19"/>
      <c r="CH671" s="93"/>
      <c r="CI671" s="219"/>
      <c r="CJ671" s="20"/>
      <c r="CK671" s="19"/>
      <c r="CL671" s="93"/>
      <c r="CM671" s="93"/>
      <c r="CN671" s="93"/>
      <c r="CO671" s="93"/>
      <c r="CP671" s="20"/>
      <c r="CQ671" s="219"/>
      <c r="CR671" s="93"/>
      <c r="CS671" s="93"/>
      <c r="CT671" s="93"/>
      <c r="CU671" s="93"/>
      <c r="CV671" s="214"/>
      <c r="CW671" s="29"/>
      <c r="CX671" s="41">
        <f t="shared" si="365"/>
        <v>2050</v>
      </c>
      <c r="CY671" s="1504">
        <v>54879</v>
      </c>
      <c r="CZ671" s="19"/>
      <c r="DA671" s="93"/>
      <c r="DB671" s="93"/>
      <c r="DC671" s="93"/>
      <c r="DD671" s="93"/>
      <c r="DE671" s="20"/>
      <c r="DF671" s="29"/>
      <c r="DG671" s="1504">
        <v>54879</v>
      </c>
      <c r="DH671" s="19"/>
      <c r="DI671" s="93"/>
      <c r="DJ671" s="93"/>
      <c r="DK671" s="93"/>
      <c r="DL671" s="93"/>
      <c r="DM671" s="93"/>
      <c r="DN671" s="20"/>
      <c r="DO671" s="295"/>
      <c r="DP671" s="29"/>
      <c r="DQ671" s="1504">
        <v>54879</v>
      </c>
      <c r="DR671" s="19"/>
      <c r="DS671" s="93"/>
      <c r="DT671" s="93"/>
      <c r="DU671" s="93"/>
      <c r="DV671" s="93"/>
      <c r="DW671" s="93"/>
      <c r="DX671" s="20"/>
      <c r="DY671" s="29"/>
      <c r="DZ671" s="1504">
        <v>54879</v>
      </c>
      <c r="EA671" s="19"/>
      <c r="EB671" s="93"/>
      <c r="EC671" s="20"/>
      <c r="ED671" s="29"/>
      <c r="EE671" s="1504">
        <v>54879</v>
      </c>
      <c r="EF671" s="19"/>
      <c r="EG671" s="93"/>
      <c r="EH671" s="93"/>
      <c r="EI671" s="214"/>
      <c r="EJ671" s="93"/>
      <c r="EK671" s="93"/>
      <c r="EL671" s="93"/>
      <c r="EM671" s="93"/>
      <c r="EN671" s="20"/>
      <c r="EO671" s="29"/>
      <c r="EP671" s="1504">
        <v>54879</v>
      </c>
      <c r="EQ671" s="19"/>
      <c r="ER671" s="93"/>
      <c r="ES671" s="93"/>
      <c r="ET671" s="214"/>
      <c r="EU671" s="93"/>
      <c r="EV671" s="93"/>
      <c r="EW671" s="93"/>
      <c r="EX671" s="93"/>
      <c r="EY671" s="20"/>
      <c r="EZ671" s="29"/>
      <c r="FA671" s="1504">
        <v>54879</v>
      </c>
      <c r="FB671" s="29"/>
      <c r="FC671" s="29"/>
      <c r="FD671" s="29"/>
      <c r="FE671" s="29"/>
      <c r="FF671" s="29"/>
      <c r="FG671" s="29"/>
      <c r="FH671" s="29"/>
      <c r="FI671" s="29"/>
      <c r="FJ671" s="29"/>
      <c r="FK671" s="29"/>
      <c r="FL671" s="1504">
        <v>54879</v>
      </c>
      <c r="FM671" s="19"/>
      <c r="FN671" s="93"/>
      <c r="FO671" s="93"/>
      <c r="FP671" s="93"/>
      <c r="FQ671" s="93"/>
      <c r="FR671" s="93"/>
      <c r="FS671" s="93"/>
      <c r="FT671" s="93"/>
      <c r="FU671" s="93"/>
      <c r="FV671" s="93"/>
      <c r="FW671" s="93"/>
      <c r="FX671" s="93"/>
      <c r="FY671" s="93"/>
      <c r="FZ671" s="29"/>
      <c r="GA671" s="1504">
        <v>54879</v>
      </c>
      <c r="GB671" s="19"/>
      <c r="GC671" s="93"/>
      <c r="GD671" s="93"/>
      <c r="GE671" s="93"/>
      <c r="GF671" s="93"/>
      <c r="GG671" s="93"/>
      <c r="GH671" s="93"/>
      <c r="GI671" s="93"/>
      <c r="GJ671" s="93"/>
      <c r="GK671" s="93"/>
      <c r="GL671" s="93"/>
      <c r="GM671" s="93"/>
      <c r="GN671" s="20"/>
      <c r="GO671" s="29"/>
      <c r="GP671" s="1504">
        <v>54879</v>
      </c>
      <c r="GQ671" s="19"/>
      <c r="GR671" s="93"/>
      <c r="GS671" s="93"/>
      <c r="GT671" s="93"/>
      <c r="GU671" s="93"/>
      <c r="GV671" s="20"/>
      <c r="GW671" s="19"/>
      <c r="GX671" s="93"/>
      <c r="GY671" s="93"/>
      <c r="GZ671" s="93"/>
      <c r="HA671" s="93"/>
      <c r="HB671" s="20"/>
      <c r="HC671" s="19"/>
      <c r="HD671" s="93"/>
      <c r="HE671" s="93"/>
      <c r="HF671" s="93"/>
      <c r="HG671" s="93"/>
      <c r="HH671" s="20"/>
      <c r="HI671" s="19"/>
      <c r="HJ671" s="93"/>
      <c r="HK671" s="93"/>
      <c r="HL671" s="93"/>
      <c r="HM671" s="93"/>
      <c r="HN671" s="20"/>
      <c r="HO671" s="219"/>
      <c r="HP671" s="20"/>
      <c r="HQ671" s="25"/>
      <c r="HR671" s="29"/>
      <c r="HS671" s="1504">
        <v>54879</v>
      </c>
      <c r="HT671" s="19"/>
      <c r="HU671" s="93"/>
      <c r="HV671" s="93"/>
      <c r="HW671" s="93"/>
      <c r="HX671" s="93"/>
      <c r="HY671" s="93"/>
      <c r="HZ671" s="93"/>
      <c r="IA671" s="20"/>
      <c r="IB671" s="19"/>
      <c r="IC671" s="93"/>
      <c r="ID671" s="93"/>
      <c r="IE671" s="93"/>
      <c r="IF671" s="93"/>
      <c r="IG671" s="20"/>
      <c r="IH671" s="19"/>
      <c r="II671" s="93"/>
      <c r="IJ671" s="93"/>
      <c r="IK671" s="93"/>
      <c r="IL671" s="93"/>
      <c r="IM671" s="93"/>
      <c r="IN671" s="93"/>
      <c r="IO671" s="20"/>
      <c r="IP671" s="29"/>
      <c r="IQ671" s="19"/>
      <c r="IR671" s="93"/>
      <c r="IS671" s="93"/>
      <c r="IT671" s="93"/>
      <c r="IU671" s="93"/>
      <c r="IV671" s="20"/>
      <c r="IW671" s="29"/>
      <c r="IX671" s="19"/>
      <c r="IY671" s="93"/>
      <c r="IZ671" s="93"/>
      <c r="JA671" s="93"/>
      <c r="JB671" s="93"/>
      <c r="JC671" s="93"/>
      <c r="JD671" s="93"/>
      <c r="JE671" s="20"/>
      <c r="JF671" s="29"/>
      <c r="JG671" s="19"/>
      <c r="JH671" s="93"/>
      <c r="JI671" s="93"/>
      <c r="JJ671" s="93"/>
      <c r="JK671" s="93"/>
      <c r="JL671" s="93"/>
      <c r="JM671" s="93"/>
      <c r="JN671" s="20"/>
      <c r="JO671" s="29"/>
      <c r="JP671" s="19"/>
      <c r="JQ671" s="93"/>
      <c r="JR671" s="93"/>
      <c r="JS671" s="93"/>
      <c r="JT671" s="93"/>
      <c r="JU671" s="20"/>
      <c r="JV671" s="29"/>
      <c r="JW671" s="1504">
        <v>54879</v>
      </c>
      <c r="JX671" s="19"/>
      <c r="JY671" s="93"/>
      <c r="JZ671" s="93"/>
      <c r="KA671" s="93"/>
      <c r="KB671" s="93"/>
      <c r="KC671" s="93"/>
      <c r="KD671" s="20"/>
      <c r="KE671" s="29"/>
      <c r="KF671" s="19"/>
      <c r="KG671" s="93"/>
      <c r="KH671" s="93"/>
      <c r="KI671" s="93"/>
      <c r="KJ671" s="93"/>
      <c r="KK671" s="20"/>
      <c r="KL671" s="29"/>
      <c r="KM671" s="19"/>
      <c r="KN671" s="93"/>
      <c r="KO671" s="93"/>
      <c r="KP671" s="93"/>
      <c r="KQ671" s="93"/>
      <c r="KR671" s="20"/>
      <c r="KS671" s="29"/>
      <c r="KT671" s="19"/>
      <c r="KU671" s="93"/>
      <c r="KV671" s="93"/>
      <c r="KW671" s="93"/>
      <c r="KX671" s="93"/>
      <c r="KY671" s="20"/>
      <c r="KZ671" s="29"/>
      <c r="LA671" s="1504">
        <v>54879</v>
      </c>
      <c r="LB671" s="19"/>
      <c r="LC671" s="93"/>
      <c r="LD671" s="93"/>
      <c r="LE671" s="93"/>
      <c r="LF671" s="93"/>
      <c r="LG671" s="93"/>
      <c r="LH671" s="20"/>
      <c r="LI671" s="29"/>
      <c r="LJ671" s="19"/>
      <c r="LK671" s="93"/>
      <c r="LL671" s="93"/>
      <c r="LM671" s="93"/>
      <c r="LN671" s="93"/>
      <c r="LO671" s="20"/>
      <c r="LP671" s="29"/>
      <c r="LQ671" s="19"/>
      <c r="LR671" s="93"/>
      <c r="LS671" s="93"/>
      <c r="LT671" s="93"/>
      <c r="LU671" s="93"/>
      <c r="LV671" s="93"/>
      <c r="LW671" s="93"/>
      <c r="LX671" s="93"/>
      <c r="LY671" s="93"/>
      <c r="LZ671" s="93"/>
      <c r="MA671" s="20"/>
      <c r="MB671" s="29"/>
      <c r="MC671" s="1504">
        <v>54879</v>
      </c>
      <c r="MD671" s="19"/>
      <c r="ME671" s="93"/>
      <c r="MF671" s="93"/>
      <c r="MG671" s="93"/>
      <c r="MH671" s="93"/>
      <c r="MI671" s="93"/>
      <c r="MJ671" s="93"/>
      <c r="MK671" s="93"/>
      <c r="ML671" s="93"/>
      <c r="MM671" s="93"/>
      <c r="MN671" s="93"/>
      <c r="MO671" s="93"/>
      <c r="MP671" s="93"/>
      <c r="MQ671" s="93"/>
      <c r="MR671" s="93"/>
      <c r="MS671" s="93"/>
      <c r="MT671" s="93"/>
      <c r="MU671" s="93"/>
      <c r="MV671" s="93"/>
      <c r="MW671" s="93"/>
      <c r="MX671" s="93"/>
      <c r="MY671" s="93"/>
      <c r="MZ671" s="93"/>
      <c r="NA671" s="93"/>
      <c r="NB671" s="93"/>
      <c r="NC671" s="93"/>
      <c r="ND671" s="93"/>
      <c r="NE671" s="93"/>
      <c r="NF671" s="93"/>
      <c r="NG671" s="93"/>
      <c r="NH671" s="93"/>
      <c r="NI671" s="93"/>
      <c r="NJ671" s="93"/>
      <c r="NK671" s="93"/>
      <c r="NL671" s="93"/>
      <c r="NM671" s="93"/>
      <c r="NN671" s="93"/>
      <c r="NO671" s="93"/>
      <c r="NP671" s="93"/>
      <c r="NQ671" s="93"/>
      <c r="NR671" s="93"/>
      <c r="NS671" s="93"/>
      <c r="NT671" s="93"/>
      <c r="NU671" s="93"/>
      <c r="NV671" s="93"/>
      <c r="NW671" s="93"/>
      <c r="NX671" s="93"/>
      <c r="NY671" s="93"/>
      <c r="NZ671" s="93"/>
      <c r="OA671" s="93"/>
      <c r="OB671" s="93"/>
      <c r="OC671" s="93"/>
      <c r="OD671" s="20"/>
      <c r="OE671" s="29"/>
      <c r="OF671" s="1504">
        <v>54879</v>
      </c>
      <c r="OG671" s="19"/>
      <c r="OH671" s="93"/>
      <c r="OI671" s="93"/>
      <c r="OJ671" s="93"/>
      <c r="OK671" s="93"/>
      <c r="OL671" s="93"/>
      <c r="OM671" s="93"/>
      <c r="ON671" s="93"/>
      <c r="OO671" s="93"/>
      <c r="OP671" s="93"/>
      <c r="OQ671" s="93"/>
      <c r="OR671" s="93"/>
      <c r="OS671" s="93"/>
      <c r="OT671" s="93"/>
      <c r="OU671" s="93"/>
      <c r="OV671" s="93"/>
      <c r="OW671" s="93"/>
      <c r="OX671" s="93"/>
      <c r="OY671" s="93"/>
      <c r="OZ671" s="93"/>
      <c r="PA671" s="93"/>
      <c r="PB671" s="93"/>
      <c r="PC671" s="20"/>
      <c r="PD671" s="29"/>
      <c r="PE671" s="19"/>
      <c r="PF671" s="93"/>
      <c r="PG671" s="93"/>
      <c r="PH671" s="93"/>
      <c r="PI671" s="93"/>
      <c r="PJ671" s="93"/>
      <c r="PK671" s="93"/>
      <c r="PL671" s="93"/>
      <c r="PM671" s="93"/>
      <c r="PN671" s="93"/>
      <c r="PO671" s="93"/>
      <c r="PP671" s="93"/>
      <c r="PQ671" s="93"/>
      <c r="PR671" s="93"/>
      <c r="PS671" s="93"/>
      <c r="PT671" s="93"/>
      <c r="PU671" s="93"/>
      <c r="PV671" s="93"/>
      <c r="PW671" s="93"/>
      <c r="PX671" s="93"/>
      <c r="PY671" s="93"/>
      <c r="PZ671" s="93"/>
      <c r="QA671" s="93"/>
      <c r="QB671" s="93"/>
      <c r="QC671" s="93"/>
      <c r="QD671" s="93"/>
      <c r="QE671" s="20"/>
      <c r="QF671" s="1739"/>
      <c r="QG671" s="19"/>
      <c r="QH671" s="93"/>
      <c r="QI671" s="93"/>
      <c r="QJ671" s="93"/>
      <c r="QK671" s="93"/>
      <c r="QL671" s="93"/>
      <c r="QM671" s="93"/>
      <c r="QN671" s="93"/>
      <c r="QO671" s="93"/>
      <c r="QP671" s="93"/>
      <c r="QQ671" s="93"/>
      <c r="QR671" s="93"/>
      <c r="QS671" s="93"/>
      <c r="QT671" s="93"/>
      <c r="QU671" s="93"/>
      <c r="QV671" s="93"/>
      <c r="QW671" s="93"/>
      <c r="QX671" s="93"/>
      <c r="QY671" s="93"/>
      <c r="QZ671" s="93"/>
      <c r="RA671" s="93"/>
      <c r="RB671" s="93"/>
      <c r="RC671" s="93"/>
      <c r="RD671" s="93"/>
      <c r="RE671" s="93"/>
      <c r="RF671" s="93"/>
      <c r="RG671" s="93"/>
      <c r="RH671" s="93"/>
      <c r="RI671" s="93"/>
      <c r="RJ671" s="93"/>
      <c r="RK671" s="93"/>
      <c r="RL671" s="93"/>
      <c r="RM671" s="20"/>
      <c r="RN671" s="29"/>
      <c r="RO671" s="19"/>
      <c r="RP671" s="20"/>
      <c r="RQ671" s="29"/>
      <c r="RR671" s="20"/>
      <c r="RS671" s="29"/>
      <c r="RT671" s="1504">
        <v>54879</v>
      </c>
      <c r="RU671" s="19"/>
      <c r="RV671" s="20"/>
      <c r="RW671" s="29"/>
      <c r="RX671" s="1504">
        <v>54879</v>
      </c>
      <c r="RY671" s="29"/>
      <c r="RZ671" s="20"/>
      <c r="SA671" s="29"/>
      <c r="SB671" s="29"/>
    </row>
    <row r="672" spans="1:496">
      <c r="A672" s="41">
        <f t="shared" ref="A672:A679" si="366">YEAR(B672)</f>
        <v>2050</v>
      </c>
      <c r="B672" s="1504">
        <v>54909</v>
      </c>
      <c r="C672" s="1813"/>
      <c r="D672" s="1814"/>
      <c r="E672" s="1814"/>
      <c r="F672" s="1815"/>
      <c r="G672" s="1814"/>
      <c r="H672" s="1814"/>
      <c r="I672" s="1814"/>
      <c r="J672" s="1816"/>
      <c r="K672" s="1807"/>
      <c r="L672" s="25"/>
      <c r="M672" s="97"/>
      <c r="N672" s="1504">
        <v>54909</v>
      </c>
      <c r="O672" s="19"/>
      <c r="P672" s="93"/>
      <c r="Q672" s="93"/>
      <c r="R672" s="93"/>
      <c r="S672" s="93"/>
      <c r="T672" s="93"/>
      <c r="U672" s="93"/>
      <c r="V672" s="93"/>
      <c r="W672" s="93"/>
      <c r="X672" s="93"/>
      <c r="Y672" s="93"/>
      <c r="Z672" s="93"/>
      <c r="AA672" s="93"/>
      <c r="AB672" s="20"/>
      <c r="AC672" s="25"/>
      <c r="AD672" s="97"/>
      <c r="AE672" s="1504">
        <v>54909</v>
      </c>
      <c r="AF672" s="19"/>
      <c r="AG672" s="93"/>
      <c r="AH672" s="93"/>
      <c r="AI672" s="93"/>
      <c r="AJ672" s="93"/>
      <c r="AK672" s="93"/>
      <c r="AL672" s="93"/>
      <c r="AM672" s="93"/>
      <c r="AN672" s="93"/>
      <c r="AO672" s="93"/>
      <c r="AP672" s="93"/>
      <c r="AQ672" s="93"/>
      <c r="AR672" s="93"/>
      <c r="AS672" s="20"/>
      <c r="AT672" s="25"/>
      <c r="AU672" s="97"/>
      <c r="AV672" s="1504">
        <v>54909</v>
      </c>
      <c r="AW672" s="19"/>
      <c r="AX672" s="93"/>
      <c r="AY672" s="93"/>
      <c r="AZ672" s="93"/>
      <c r="BA672" s="93"/>
      <c r="BB672" s="93"/>
      <c r="BC672" s="93"/>
      <c r="BD672" s="93"/>
      <c r="BE672" s="93"/>
      <c r="BF672" s="93"/>
      <c r="BG672" s="93"/>
      <c r="BH672" s="93"/>
      <c r="BI672" s="93"/>
      <c r="BJ672" s="20"/>
      <c r="BK672" s="25"/>
      <c r="BL672" s="97"/>
      <c r="BM672" s="1504">
        <v>54909</v>
      </c>
      <c r="BN672" s="19"/>
      <c r="BO672" s="93"/>
      <c r="BP672" s="93"/>
      <c r="BQ672" s="93"/>
      <c r="BR672" s="93"/>
      <c r="BS672" s="93"/>
      <c r="BT672" s="93"/>
      <c r="BU672" s="20"/>
      <c r="BV672" s="25"/>
      <c r="BW672" s="97"/>
      <c r="BX672" s="1504">
        <v>54909</v>
      </c>
      <c r="BY672" s="19"/>
      <c r="BZ672" s="93"/>
      <c r="CA672" s="93"/>
      <c r="CB672" s="93"/>
      <c r="CC672" s="93"/>
      <c r="CD672" s="25"/>
      <c r="CE672" s="97"/>
      <c r="CF672" s="1504">
        <v>54909</v>
      </c>
      <c r="CG672" s="19"/>
      <c r="CH672" s="93"/>
      <c r="CI672" s="219"/>
      <c r="CJ672" s="20"/>
      <c r="CK672" s="19"/>
      <c r="CL672" s="93"/>
      <c r="CM672" s="93"/>
      <c r="CN672" s="93"/>
      <c r="CO672" s="93"/>
      <c r="CP672" s="20"/>
      <c r="CQ672" s="219"/>
      <c r="CR672" s="93"/>
      <c r="CS672" s="93"/>
      <c r="CT672" s="93"/>
      <c r="CU672" s="93"/>
      <c r="CV672" s="214"/>
      <c r="CW672" s="29"/>
      <c r="CX672" s="41">
        <f t="shared" si="365"/>
        <v>2050</v>
      </c>
      <c r="CY672" s="1504">
        <v>54909</v>
      </c>
      <c r="CZ672" s="19"/>
      <c r="DA672" s="93"/>
      <c r="DB672" s="93"/>
      <c r="DC672" s="93"/>
      <c r="DD672" s="93"/>
      <c r="DE672" s="20"/>
      <c r="DF672" s="29"/>
      <c r="DG672" s="1504">
        <v>54909</v>
      </c>
      <c r="DH672" s="19"/>
      <c r="DI672" s="93"/>
      <c r="DJ672" s="93"/>
      <c r="DK672" s="93"/>
      <c r="DL672" s="93"/>
      <c r="DM672" s="93"/>
      <c r="DN672" s="20"/>
      <c r="DO672" s="295"/>
      <c r="DP672" s="29"/>
      <c r="DQ672" s="1504">
        <v>54909</v>
      </c>
      <c r="DR672" s="19"/>
      <c r="DS672" s="93"/>
      <c r="DT672" s="93"/>
      <c r="DU672" s="93"/>
      <c r="DV672" s="93"/>
      <c r="DW672" s="93"/>
      <c r="DX672" s="20"/>
      <c r="DY672" s="29"/>
      <c r="DZ672" s="1504">
        <v>54909</v>
      </c>
      <c r="EA672" s="19"/>
      <c r="EB672" s="93"/>
      <c r="EC672" s="20"/>
      <c r="ED672" s="29"/>
      <c r="EE672" s="1504">
        <v>54909</v>
      </c>
      <c r="EF672" s="19"/>
      <c r="EG672" s="93"/>
      <c r="EH672" s="93"/>
      <c r="EI672" s="214"/>
      <c r="EJ672" s="93"/>
      <c r="EK672" s="93"/>
      <c r="EL672" s="93"/>
      <c r="EM672" s="93"/>
      <c r="EN672" s="20"/>
      <c r="EO672" s="29"/>
      <c r="EP672" s="1504">
        <v>54909</v>
      </c>
      <c r="EQ672" s="19"/>
      <c r="ER672" s="93"/>
      <c r="ES672" s="93"/>
      <c r="ET672" s="214"/>
      <c r="EU672" s="93"/>
      <c r="EV672" s="93"/>
      <c r="EW672" s="93"/>
      <c r="EX672" s="93"/>
      <c r="EY672" s="20"/>
      <c r="EZ672" s="29"/>
      <c r="FA672" s="1504">
        <v>54909</v>
      </c>
      <c r="FB672" s="29"/>
      <c r="FC672" s="29"/>
      <c r="FD672" s="29"/>
      <c r="FE672" s="29"/>
      <c r="FF672" s="29"/>
      <c r="FG672" s="29"/>
      <c r="FH672" s="29"/>
      <c r="FI672" s="29"/>
      <c r="FJ672" s="29"/>
      <c r="FK672" s="29"/>
      <c r="FL672" s="1504">
        <v>54909</v>
      </c>
      <c r="FM672" s="19"/>
      <c r="FN672" s="93"/>
      <c r="FO672" s="93"/>
      <c r="FP672" s="93"/>
      <c r="FQ672" s="93"/>
      <c r="FR672" s="93"/>
      <c r="FS672" s="93"/>
      <c r="FT672" s="93"/>
      <c r="FU672" s="93"/>
      <c r="FV672" s="93"/>
      <c r="FW672" s="93"/>
      <c r="FX672" s="93"/>
      <c r="FY672" s="93"/>
      <c r="FZ672" s="29"/>
      <c r="GA672" s="1504">
        <v>54909</v>
      </c>
      <c r="GB672" s="19"/>
      <c r="GC672" s="93"/>
      <c r="GD672" s="93"/>
      <c r="GE672" s="93"/>
      <c r="GF672" s="93"/>
      <c r="GG672" s="93"/>
      <c r="GH672" s="93"/>
      <c r="GI672" s="93"/>
      <c r="GJ672" s="93"/>
      <c r="GK672" s="93"/>
      <c r="GL672" s="93"/>
      <c r="GM672" s="93"/>
      <c r="GN672" s="20"/>
      <c r="GO672" s="29"/>
      <c r="GP672" s="1504">
        <v>54909</v>
      </c>
      <c r="GQ672" s="19"/>
      <c r="GR672" s="93"/>
      <c r="GS672" s="93"/>
      <c r="GT672" s="93"/>
      <c r="GU672" s="93"/>
      <c r="GV672" s="20"/>
      <c r="GW672" s="19"/>
      <c r="GX672" s="93"/>
      <c r="GY672" s="93"/>
      <c r="GZ672" s="93"/>
      <c r="HA672" s="93"/>
      <c r="HB672" s="20"/>
      <c r="HC672" s="19"/>
      <c r="HD672" s="93"/>
      <c r="HE672" s="93"/>
      <c r="HF672" s="93"/>
      <c r="HG672" s="93"/>
      <c r="HH672" s="20"/>
      <c r="HI672" s="19"/>
      <c r="HJ672" s="93"/>
      <c r="HK672" s="93"/>
      <c r="HL672" s="93"/>
      <c r="HM672" s="93"/>
      <c r="HN672" s="20"/>
      <c r="HO672" s="219"/>
      <c r="HP672" s="20"/>
      <c r="HQ672" s="25"/>
      <c r="HR672" s="29"/>
      <c r="HS672" s="1504">
        <v>54909</v>
      </c>
      <c r="HT672" s="19"/>
      <c r="HU672" s="93"/>
      <c r="HV672" s="93"/>
      <c r="HW672" s="93"/>
      <c r="HX672" s="93"/>
      <c r="HY672" s="93"/>
      <c r="HZ672" s="93"/>
      <c r="IA672" s="20"/>
      <c r="IB672" s="19"/>
      <c r="IC672" s="93"/>
      <c r="ID672" s="93"/>
      <c r="IE672" s="93"/>
      <c r="IF672" s="93"/>
      <c r="IG672" s="20"/>
      <c r="IH672" s="19"/>
      <c r="II672" s="93"/>
      <c r="IJ672" s="93"/>
      <c r="IK672" s="93"/>
      <c r="IL672" s="93"/>
      <c r="IM672" s="93"/>
      <c r="IN672" s="93"/>
      <c r="IO672" s="20"/>
      <c r="IP672" s="29"/>
      <c r="IQ672" s="19"/>
      <c r="IR672" s="93"/>
      <c r="IS672" s="93"/>
      <c r="IT672" s="93"/>
      <c r="IU672" s="93"/>
      <c r="IV672" s="20"/>
      <c r="IW672" s="29"/>
      <c r="IX672" s="19"/>
      <c r="IY672" s="93"/>
      <c r="IZ672" s="93"/>
      <c r="JA672" s="93"/>
      <c r="JB672" s="93"/>
      <c r="JC672" s="93"/>
      <c r="JD672" s="93"/>
      <c r="JE672" s="20"/>
      <c r="JF672" s="29"/>
      <c r="JG672" s="19"/>
      <c r="JH672" s="93"/>
      <c r="JI672" s="93"/>
      <c r="JJ672" s="93"/>
      <c r="JK672" s="93"/>
      <c r="JL672" s="93"/>
      <c r="JM672" s="93"/>
      <c r="JN672" s="20"/>
      <c r="JO672" s="29"/>
      <c r="JP672" s="19"/>
      <c r="JQ672" s="93"/>
      <c r="JR672" s="93"/>
      <c r="JS672" s="93"/>
      <c r="JT672" s="93"/>
      <c r="JU672" s="20"/>
      <c r="JV672" s="29"/>
      <c r="JW672" s="1504">
        <v>54909</v>
      </c>
      <c r="JX672" s="19"/>
      <c r="JY672" s="93"/>
      <c r="JZ672" s="93"/>
      <c r="KA672" s="93"/>
      <c r="KB672" s="93"/>
      <c r="KC672" s="93"/>
      <c r="KD672" s="20"/>
      <c r="KE672" s="29"/>
      <c r="KF672" s="19"/>
      <c r="KG672" s="93"/>
      <c r="KH672" s="93"/>
      <c r="KI672" s="93"/>
      <c r="KJ672" s="93"/>
      <c r="KK672" s="20"/>
      <c r="KL672" s="29"/>
      <c r="KM672" s="19"/>
      <c r="KN672" s="93"/>
      <c r="KO672" s="93"/>
      <c r="KP672" s="93"/>
      <c r="KQ672" s="93"/>
      <c r="KR672" s="20"/>
      <c r="KS672" s="29"/>
      <c r="KT672" s="19"/>
      <c r="KU672" s="93"/>
      <c r="KV672" s="93"/>
      <c r="KW672" s="93"/>
      <c r="KX672" s="93"/>
      <c r="KY672" s="20"/>
      <c r="KZ672" s="29"/>
      <c r="LA672" s="1504">
        <v>54909</v>
      </c>
      <c r="LB672" s="19"/>
      <c r="LC672" s="93"/>
      <c r="LD672" s="93"/>
      <c r="LE672" s="93"/>
      <c r="LF672" s="93"/>
      <c r="LG672" s="93"/>
      <c r="LH672" s="20"/>
      <c r="LI672" s="29"/>
      <c r="LJ672" s="19"/>
      <c r="LK672" s="93"/>
      <c r="LL672" s="93"/>
      <c r="LM672" s="93"/>
      <c r="LN672" s="93"/>
      <c r="LO672" s="20"/>
      <c r="LP672" s="29"/>
      <c r="LQ672" s="19"/>
      <c r="LR672" s="93"/>
      <c r="LS672" s="93"/>
      <c r="LT672" s="93"/>
      <c r="LU672" s="93"/>
      <c r="LV672" s="93"/>
      <c r="LW672" s="93"/>
      <c r="LX672" s="93"/>
      <c r="LY672" s="93"/>
      <c r="LZ672" s="93"/>
      <c r="MA672" s="20"/>
      <c r="MB672" s="29"/>
      <c r="MC672" s="1504">
        <v>54909</v>
      </c>
      <c r="MD672" s="19"/>
      <c r="ME672" s="93"/>
      <c r="MF672" s="93"/>
      <c r="MG672" s="93"/>
      <c r="MH672" s="93"/>
      <c r="MI672" s="93"/>
      <c r="MJ672" s="93"/>
      <c r="MK672" s="93"/>
      <c r="ML672" s="93"/>
      <c r="MM672" s="93"/>
      <c r="MN672" s="93"/>
      <c r="MO672" s="93"/>
      <c r="MP672" s="93"/>
      <c r="MQ672" s="93"/>
      <c r="MR672" s="93"/>
      <c r="MS672" s="93"/>
      <c r="MT672" s="93"/>
      <c r="MU672" s="93"/>
      <c r="MV672" s="93"/>
      <c r="MW672" s="93"/>
      <c r="MX672" s="93"/>
      <c r="MY672" s="93"/>
      <c r="MZ672" s="93"/>
      <c r="NA672" s="93"/>
      <c r="NB672" s="93"/>
      <c r="NC672" s="93"/>
      <c r="ND672" s="93"/>
      <c r="NE672" s="93"/>
      <c r="NF672" s="93"/>
      <c r="NG672" s="93"/>
      <c r="NH672" s="93"/>
      <c r="NI672" s="93"/>
      <c r="NJ672" s="93"/>
      <c r="NK672" s="93"/>
      <c r="NL672" s="93"/>
      <c r="NM672" s="93"/>
      <c r="NN672" s="93"/>
      <c r="NO672" s="93"/>
      <c r="NP672" s="93"/>
      <c r="NQ672" s="93"/>
      <c r="NR672" s="93"/>
      <c r="NS672" s="93"/>
      <c r="NT672" s="93"/>
      <c r="NU672" s="93"/>
      <c r="NV672" s="93"/>
      <c r="NW672" s="93"/>
      <c r="NX672" s="93"/>
      <c r="NY672" s="93"/>
      <c r="NZ672" s="93"/>
      <c r="OA672" s="93"/>
      <c r="OB672" s="93"/>
      <c r="OC672" s="93"/>
      <c r="OD672" s="20"/>
      <c r="OE672" s="29"/>
      <c r="OF672" s="1504">
        <v>54909</v>
      </c>
      <c r="OG672" s="19"/>
      <c r="OH672" s="93"/>
      <c r="OI672" s="93"/>
      <c r="OJ672" s="93"/>
      <c r="OK672" s="93"/>
      <c r="OL672" s="93"/>
      <c r="OM672" s="93"/>
      <c r="ON672" s="93"/>
      <c r="OO672" s="93"/>
      <c r="OP672" s="93"/>
      <c r="OQ672" s="93"/>
      <c r="OR672" s="93"/>
      <c r="OS672" s="93"/>
      <c r="OT672" s="93"/>
      <c r="OU672" s="93"/>
      <c r="OV672" s="93"/>
      <c r="OW672" s="93"/>
      <c r="OX672" s="93"/>
      <c r="OY672" s="93"/>
      <c r="OZ672" s="93"/>
      <c r="PA672" s="93"/>
      <c r="PB672" s="93"/>
      <c r="PC672" s="20"/>
      <c r="PD672" s="29"/>
      <c r="PE672" s="19"/>
      <c r="PF672" s="93"/>
      <c r="PG672" s="93"/>
      <c r="PH672" s="93"/>
      <c r="PI672" s="93"/>
      <c r="PJ672" s="93"/>
      <c r="PK672" s="93"/>
      <c r="PL672" s="93"/>
      <c r="PM672" s="93"/>
      <c r="PN672" s="93"/>
      <c r="PO672" s="93"/>
      <c r="PP672" s="93"/>
      <c r="PQ672" s="93"/>
      <c r="PR672" s="93"/>
      <c r="PS672" s="93"/>
      <c r="PT672" s="93"/>
      <c r="PU672" s="93"/>
      <c r="PV672" s="93"/>
      <c r="PW672" s="93"/>
      <c r="PX672" s="93"/>
      <c r="PY672" s="93"/>
      <c r="PZ672" s="93"/>
      <c r="QA672" s="93"/>
      <c r="QB672" s="93"/>
      <c r="QC672" s="93"/>
      <c r="QD672" s="93"/>
      <c r="QE672" s="20"/>
      <c r="QF672" s="1739"/>
      <c r="QG672" s="19"/>
      <c r="QH672" s="93"/>
      <c r="QI672" s="93"/>
      <c r="QJ672" s="93"/>
      <c r="QK672" s="93"/>
      <c r="QL672" s="93"/>
      <c r="QM672" s="93"/>
      <c r="QN672" s="93"/>
      <c r="QO672" s="93"/>
      <c r="QP672" s="93"/>
      <c r="QQ672" s="93"/>
      <c r="QR672" s="93"/>
      <c r="QS672" s="93"/>
      <c r="QT672" s="93"/>
      <c r="QU672" s="93"/>
      <c r="QV672" s="93"/>
      <c r="QW672" s="93"/>
      <c r="QX672" s="93"/>
      <c r="QY672" s="93"/>
      <c r="QZ672" s="93"/>
      <c r="RA672" s="93"/>
      <c r="RB672" s="93"/>
      <c r="RC672" s="93"/>
      <c r="RD672" s="93"/>
      <c r="RE672" s="93"/>
      <c r="RF672" s="93"/>
      <c r="RG672" s="93"/>
      <c r="RH672" s="93"/>
      <c r="RI672" s="93"/>
      <c r="RJ672" s="93"/>
      <c r="RK672" s="93"/>
      <c r="RL672" s="93"/>
      <c r="RM672" s="20"/>
      <c r="RN672" s="29"/>
      <c r="RO672" s="19"/>
      <c r="RP672" s="20"/>
      <c r="RQ672" s="29"/>
      <c r="RR672" s="20"/>
      <c r="RS672" s="29"/>
      <c r="RT672" s="1504">
        <v>54909</v>
      </c>
      <c r="RU672" s="19"/>
      <c r="RV672" s="20"/>
      <c r="RW672" s="29"/>
      <c r="RX672" s="1504">
        <v>54909</v>
      </c>
      <c r="RY672" s="29"/>
      <c r="RZ672" s="20"/>
      <c r="SA672" s="29"/>
      <c r="SB672" s="29"/>
    </row>
    <row r="673" spans="1:496">
      <c r="A673" s="41">
        <f t="shared" si="366"/>
        <v>2050</v>
      </c>
      <c r="B673" s="1504">
        <v>54940</v>
      </c>
      <c r="C673" s="1813"/>
      <c r="D673" s="1814"/>
      <c r="E673" s="1814"/>
      <c r="F673" s="1815"/>
      <c r="G673" s="1814"/>
      <c r="H673" s="1814"/>
      <c r="I673" s="1814"/>
      <c r="J673" s="1816"/>
      <c r="K673" s="1807"/>
      <c r="L673" s="25"/>
      <c r="M673" s="97"/>
      <c r="N673" s="1504">
        <v>54940</v>
      </c>
      <c r="O673" s="19"/>
      <c r="P673" s="93"/>
      <c r="Q673" s="93"/>
      <c r="R673" s="93"/>
      <c r="S673" s="93"/>
      <c r="T673" s="93"/>
      <c r="U673" s="93"/>
      <c r="V673" s="93"/>
      <c r="W673" s="93"/>
      <c r="X673" s="93"/>
      <c r="Y673" s="93"/>
      <c r="Z673" s="93"/>
      <c r="AA673" s="93"/>
      <c r="AB673" s="20"/>
      <c r="AC673" s="25"/>
      <c r="AD673" s="97"/>
      <c r="AE673" s="1504">
        <v>54940</v>
      </c>
      <c r="AF673" s="19"/>
      <c r="AG673" s="93"/>
      <c r="AH673" s="93"/>
      <c r="AI673" s="93"/>
      <c r="AJ673" s="93"/>
      <c r="AK673" s="93"/>
      <c r="AL673" s="93"/>
      <c r="AM673" s="93"/>
      <c r="AN673" s="93"/>
      <c r="AO673" s="93"/>
      <c r="AP673" s="93"/>
      <c r="AQ673" s="93"/>
      <c r="AR673" s="93"/>
      <c r="AS673" s="20"/>
      <c r="AT673" s="25"/>
      <c r="AU673" s="97"/>
      <c r="AV673" s="1504">
        <v>54940</v>
      </c>
      <c r="AW673" s="19"/>
      <c r="AX673" s="93"/>
      <c r="AY673" s="93"/>
      <c r="AZ673" s="93"/>
      <c r="BA673" s="93"/>
      <c r="BB673" s="93"/>
      <c r="BC673" s="93"/>
      <c r="BD673" s="93"/>
      <c r="BE673" s="93"/>
      <c r="BF673" s="93"/>
      <c r="BG673" s="93"/>
      <c r="BH673" s="93"/>
      <c r="BI673" s="93"/>
      <c r="BJ673" s="20"/>
      <c r="BK673" s="25"/>
      <c r="BL673" s="97"/>
      <c r="BM673" s="1504">
        <v>54940</v>
      </c>
      <c r="BN673" s="19"/>
      <c r="BO673" s="93"/>
      <c r="BP673" s="93"/>
      <c r="BQ673" s="93"/>
      <c r="BR673" s="93"/>
      <c r="BS673" s="93"/>
      <c r="BT673" s="93"/>
      <c r="BU673" s="20"/>
      <c r="BV673" s="25"/>
      <c r="BW673" s="97"/>
      <c r="BX673" s="1504">
        <v>54940</v>
      </c>
      <c r="BY673" s="19"/>
      <c r="BZ673" s="93"/>
      <c r="CA673" s="93"/>
      <c r="CB673" s="93"/>
      <c r="CC673" s="93"/>
      <c r="CD673" s="25"/>
      <c r="CE673" s="97"/>
      <c r="CF673" s="1504">
        <v>54940</v>
      </c>
      <c r="CG673" s="19"/>
      <c r="CH673" s="93"/>
      <c r="CI673" s="219"/>
      <c r="CJ673" s="20"/>
      <c r="CK673" s="19"/>
      <c r="CL673" s="93"/>
      <c r="CM673" s="93"/>
      <c r="CN673" s="93"/>
      <c r="CO673" s="93"/>
      <c r="CP673" s="20"/>
      <c r="CQ673" s="219"/>
      <c r="CR673" s="93"/>
      <c r="CS673" s="93"/>
      <c r="CT673" s="93"/>
      <c r="CU673" s="93"/>
      <c r="CV673" s="214"/>
      <c r="CW673" s="29"/>
      <c r="CX673" s="41">
        <f t="shared" si="365"/>
        <v>2050</v>
      </c>
      <c r="CY673" s="1504">
        <v>54940</v>
      </c>
      <c r="CZ673" s="19"/>
      <c r="DA673" s="93"/>
      <c r="DB673" s="93"/>
      <c r="DC673" s="93"/>
      <c r="DD673" s="93"/>
      <c r="DE673" s="20"/>
      <c r="DF673" s="29"/>
      <c r="DG673" s="1504">
        <v>54940</v>
      </c>
      <c r="DH673" s="19"/>
      <c r="DI673" s="93"/>
      <c r="DJ673" s="93"/>
      <c r="DK673" s="93"/>
      <c r="DL673" s="93"/>
      <c r="DM673" s="93"/>
      <c r="DN673" s="20"/>
      <c r="DO673" s="295"/>
      <c r="DP673" s="29"/>
      <c r="DQ673" s="1504">
        <v>54940</v>
      </c>
      <c r="DR673" s="19"/>
      <c r="DS673" s="93"/>
      <c r="DT673" s="93"/>
      <c r="DU673" s="93"/>
      <c r="DV673" s="93"/>
      <c r="DW673" s="93"/>
      <c r="DX673" s="20"/>
      <c r="DY673" s="29"/>
      <c r="DZ673" s="1504">
        <v>54940</v>
      </c>
      <c r="EA673" s="19"/>
      <c r="EB673" s="93"/>
      <c r="EC673" s="20"/>
      <c r="ED673" s="29"/>
      <c r="EE673" s="1504">
        <v>54940</v>
      </c>
      <c r="EF673" s="19"/>
      <c r="EG673" s="93"/>
      <c r="EH673" s="93"/>
      <c r="EI673" s="214"/>
      <c r="EJ673" s="93"/>
      <c r="EK673" s="93"/>
      <c r="EL673" s="93"/>
      <c r="EM673" s="93"/>
      <c r="EN673" s="20"/>
      <c r="EO673" s="29"/>
      <c r="EP673" s="1504">
        <v>54940</v>
      </c>
      <c r="EQ673" s="19"/>
      <c r="ER673" s="93"/>
      <c r="ES673" s="93"/>
      <c r="ET673" s="214"/>
      <c r="EU673" s="93"/>
      <c r="EV673" s="93"/>
      <c r="EW673" s="93"/>
      <c r="EX673" s="93"/>
      <c r="EY673" s="20"/>
      <c r="EZ673" s="29"/>
      <c r="FA673" s="1504">
        <v>54940</v>
      </c>
      <c r="FB673" s="29"/>
      <c r="FC673" s="29"/>
      <c r="FD673" s="29"/>
      <c r="FE673" s="29"/>
      <c r="FF673" s="29"/>
      <c r="FG673" s="29"/>
      <c r="FH673" s="29"/>
      <c r="FI673" s="29"/>
      <c r="FJ673" s="29"/>
      <c r="FK673" s="29"/>
      <c r="FL673" s="1504">
        <v>54940</v>
      </c>
      <c r="FM673" s="19"/>
      <c r="FN673" s="93"/>
      <c r="FO673" s="93"/>
      <c r="FP673" s="93"/>
      <c r="FQ673" s="93"/>
      <c r="FR673" s="93"/>
      <c r="FS673" s="93"/>
      <c r="FT673" s="93"/>
      <c r="FU673" s="93"/>
      <c r="FV673" s="93"/>
      <c r="FW673" s="93"/>
      <c r="FX673" s="93"/>
      <c r="FY673" s="93"/>
      <c r="FZ673" s="29"/>
      <c r="GA673" s="1504">
        <v>54940</v>
      </c>
      <c r="GB673" s="19"/>
      <c r="GC673" s="93"/>
      <c r="GD673" s="93"/>
      <c r="GE673" s="93"/>
      <c r="GF673" s="93"/>
      <c r="GG673" s="93"/>
      <c r="GH673" s="93"/>
      <c r="GI673" s="93"/>
      <c r="GJ673" s="93"/>
      <c r="GK673" s="93"/>
      <c r="GL673" s="93"/>
      <c r="GM673" s="93"/>
      <c r="GN673" s="20"/>
      <c r="GO673" s="29"/>
      <c r="GP673" s="1504">
        <v>54940</v>
      </c>
      <c r="GQ673" s="19"/>
      <c r="GR673" s="93"/>
      <c r="GS673" s="93"/>
      <c r="GT673" s="93"/>
      <c r="GU673" s="93"/>
      <c r="GV673" s="20"/>
      <c r="GW673" s="19"/>
      <c r="GX673" s="93"/>
      <c r="GY673" s="93"/>
      <c r="GZ673" s="93"/>
      <c r="HA673" s="93"/>
      <c r="HB673" s="20"/>
      <c r="HC673" s="19"/>
      <c r="HD673" s="93"/>
      <c r="HE673" s="93"/>
      <c r="HF673" s="93"/>
      <c r="HG673" s="93"/>
      <c r="HH673" s="20"/>
      <c r="HI673" s="19"/>
      <c r="HJ673" s="93"/>
      <c r="HK673" s="93"/>
      <c r="HL673" s="93"/>
      <c r="HM673" s="93"/>
      <c r="HN673" s="20"/>
      <c r="HO673" s="219"/>
      <c r="HP673" s="20"/>
      <c r="HQ673" s="25"/>
      <c r="HR673" s="29"/>
      <c r="HS673" s="1504">
        <v>54940</v>
      </c>
      <c r="HT673" s="19"/>
      <c r="HU673" s="93"/>
      <c r="HV673" s="93"/>
      <c r="HW673" s="93"/>
      <c r="HX673" s="93"/>
      <c r="HY673" s="93"/>
      <c r="HZ673" s="93"/>
      <c r="IA673" s="20"/>
      <c r="IB673" s="19"/>
      <c r="IC673" s="93"/>
      <c r="ID673" s="93"/>
      <c r="IE673" s="93"/>
      <c r="IF673" s="93"/>
      <c r="IG673" s="20"/>
      <c r="IH673" s="19"/>
      <c r="II673" s="93"/>
      <c r="IJ673" s="93"/>
      <c r="IK673" s="93"/>
      <c r="IL673" s="93"/>
      <c r="IM673" s="93"/>
      <c r="IN673" s="93"/>
      <c r="IO673" s="20"/>
      <c r="IP673" s="29"/>
      <c r="IQ673" s="19"/>
      <c r="IR673" s="93"/>
      <c r="IS673" s="93"/>
      <c r="IT673" s="93"/>
      <c r="IU673" s="93"/>
      <c r="IV673" s="20"/>
      <c r="IW673" s="29"/>
      <c r="IX673" s="19"/>
      <c r="IY673" s="93"/>
      <c r="IZ673" s="93"/>
      <c r="JA673" s="93"/>
      <c r="JB673" s="93"/>
      <c r="JC673" s="93"/>
      <c r="JD673" s="93"/>
      <c r="JE673" s="20"/>
      <c r="JF673" s="29"/>
      <c r="JG673" s="19"/>
      <c r="JH673" s="93"/>
      <c r="JI673" s="93"/>
      <c r="JJ673" s="93"/>
      <c r="JK673" s="93"/>
      <c r="JL673" s="93"/>
      <c r="JM673" s="93"/>
      <c r="JN673" s="20"/>
      <c r="JO673" s="29"/>
      <c r="JP673" s="19"/>
      <c r="JQ673" s="93"/>
      <c r="JR673" s="93"/>
      <c r="JS673" s="93"/>
      <c r="JT673" s="93"/>
      <c r="JU673" s="20"/>
      <c r="JV673" s="29"/>
      <c r="JW673" s="1504">
        <v>54940</v>
      </c>
      <c r="JX673" s="19"/>
      <c r="JY673" s="93"/>
      <c r="JZ673" s="93"/>
      <c r="KA673" s="93"/>
      <c r="KB673" s="93"/>
      <c r="KC673" s="93"/>
      <c r="KD673" s="20"/>
      <c r="KE673" s="29"/>
      <c r="KF673" s="19"/>
      <c r="KG673" s="93"/>
      <c r="KH673" s="93"/>
      <c r="KI673" s="93"/>
      <c r="KJ673" s="93"/>
      <c r="KK673" s="20"/>
      <c r="KL673" s="29"/>
      <c r="KM673" s="19"/>
      <c r="KN673" s="93"/>
      <c r="KO673" s="93"/>
      <c r="KP673" s="93"/>
      <c r="KQ673" s="93"/>
      <c r="KR673" s="20"/>
      <c r="KS673" s="29"/>
      <c r="KT673" s="19"/>
      <c r="KU673" s="93"/>
      <c r="KV673" s="93"/>
      <c r="KW673" s="93"/>
      <c r="KX673" s="93"/>
      <c r="KY673" s="20"/>
      <c r="KZ673" s="29"/>
      <c r="LA673" s="1504">
        <v>54940</v>
      </c>
      <c r="LB673" s="19"/>
      <c r="LC673" s="93"/>
      <c r="LD673" s="93"/>
      <c r="LE673" s="93"/>
      <c r="LF673" s="93"/>
      <c r="LG673" s="93"/>
      <c r="LH673" s="20"/>
      <c r="LI673" s="29"/>
      <c r="LJ673" s="19"/>
      <c r="LK673" s="93"/>
      <c r="LL673" s="93"/>
      <c r="LM673" s="93"/>
      <c r="LN673" s="93"/>
      <c r="LO673" s="20"/>
      <c r="LP673" s="29"/>
      <c r="LQ673" s="19"/>
      <c r="LR673" s="93"/>
      <c r="LS673" s="93"/>
      <c r="LT673" s="93"/>
      <c r="LU673" s="93"/>
      <c r="LV673" s="93"/>
      <c r="LW673" s="93"/>
      <c r="LX673" s="93"/>
      <c r="LY673" s="93"/>
      <c r="LZ673" s="93"/>
      <c r="MA673" s="20"/>
      <c r="MB673" s="29"/>
      <c r="MC673" s="1504">
        <v>54940</v>
      </c>
      <c r="MD673" s="19"/>
      <c r="ME673" s="93"/>
      <c r="MF673" s="93"/>
      <c r="MG673" s="93"/>
      <c r="MH673" s="93"/>
      <c r="MI673" s="93"/>
      <c r="MJ673" s="93"/>
      <c r="MK673" s="93"/>
      <c r="ML673" s="93"/>
      <c r="MM673" s="93"/>
      <c r="MN673" s="93"/>
      <c r="MO673" s="93"/>
      <c r="MP673" s="93"/>
      <c r="MQ673" s="93"/>
      <c r="MR673" s="93"/>
      <c r="MS673" s="93"/>
      <c r="MT673" s="93"/>
      <c r="MU673" s="93"/>
      <c r="MV673" s="93"/>
      <c r="MW673" s="93"/>
      <c r="MX673" s="93"/>
      <c r="MY673" s="93"/>
      <c r="MZ673" s="93"/>
      <c r="NA673" s="93"/>
      <c r="NB673" s="93"/>
      <c r="NC673" s="93"/>
      <c r="ND673" s="93"/>
      <c r="NE673" s="93"/>
      <c r="NF673" s="93"/>
      <c r="NG673" s="93"/>
      <c r="NH673" s="93"/>
      <c r="NI673" s="93"/>
      <c r="NJ673" s="93"/>
      <c r="NK673" s="93"/>
      <c r="NL673" s="93"/>
      <c r="NM673" s="93"/>
      <c r="NN673" s="93"/>
      <c r="NO673" s="93"/>
      <c r="NP673" s="93"/>
      <c r="NQ673" s="93"/>
      <c r="NR673" s="93"/>
      <c r="NS673" s="93"/>
      <c r="NT673" s="93"/>
      <c r="NU673" s="93"/>
      <c r="NV673" s="93"/>
      <c r="NW673" s="93"/>
      <c r="NX673" s="93"/>
      <c r="NY673" s="93"/>
      <c r="NZ673" s="93"/>
      <c r="OA673" s="93"/>
      <c r="OB673" s="93"/>
      <c r="OC673" s="93"/>
      <c r="OD673" s="20"/>
      <c r="OE673" s="29"/>
      <c r="OF673" s="1504">
        <v>54940</v>
      </c>
      <c r="OG673" s="19"/>
      <c r="OH673" s="93"/>
      <c r="OI673" s="93"/>
      <c r="OJ673" s="93"/>
      <c r="OK673" s="93"/>
      <c r="OL673" s="93"/>
      <c r="OM673" s="93"/>
      <c r="ON673" s="93"/>
      <c r="OO673" s="93"/>
      <c r="OP673" s="93"/>
      <c r="OQ673" s="93"/>
      <c r="OR673" s="93"/>
      <c r="OS673" s="93"/>
      <c r="OT673" s="93"/>
      <c r="OU673" s="93"/>
      <c r="OV673" s="93"/>
      <c r="OW673" s="93"/>
      <c r="OX673" s="93"/>
      <c r="OY673" s="93"/>
      <c r="OZ673" s="93"/>
      <c r="PA673" s="93"/>
      <c r="PB673" s="93"/>
      <c r="PC673" s="20"/>
      <c r="PD673" s="29"/>
      <c r="PE673" s="19"/>
      <c r="PF673" s="93"/>
      <c r="PG673" s="93"/>
      <c r="PH673" s="93"/>
      <c r="PI673" s="93"/>
      <c r="PJ673" s="93"/>
      <c r="PK673" s="93"/>
      <c r="PL673" s="93"/>
      <c r="PM673" s="93"/>
      <c r="PN673" s="93"/>
      <c r="PO673" s="93"/>
      <c r="PP673" s="93"/>
      <c r="PQ673" s="93"/>
      <c r="PR673" s="93"/>
      <c r="PS673" s="93"/>
      <c r="PT673" s="93"/>
      <c r="PU673" s="93"/>
      <c r="PV673" s="93"/>
      <c r="PW673" s="93"/>
      <c r="PX673" s="93"/>
      <c r="PY673" s="93"/>
      <c r="PZ673" s="93"/>
      <c r="QA673" s="93"/>
      <c r="QB673" s="93"/>
      <c r="QC673" s="93"/>
      <c r="QD673" s="93"/>
      <c r="QE673" s="20"/>
      <c r="QF673" s="1739"/>
      <c r="QG673" s="19"/>
      <c r="QH673" s="93"/>
      <c r="QI673" s="93"/>
      <c r="QJ673" s="93"/>
      <c r="QK673" s="93"/>
      <c r="QL673" s="93"/>
      <c r="QM673" s="93"/>
      <c r="QN673" s="93"/>
      <c r="QO673" s="93"/>
      <c r="QP673" s="93"/>
      <c r="QQ673" s="93"/>
      <c r="QR673" s="93"/>
      <c r="QS673" s="93"/>
      <c r="QT673" s="93"/>
      <c r="QU673" s="93"/>
      <c r="QV673" s="93"/>
      <c r="QW673" s="93"/>
      <c r="QX673" s="93"/>
      <c r="QY673" s="93"/>
      <c r="QZ673" s="93"/>
      <c r="RA673" s="93"/>
      <c r="RB673" s="93"/>
      <c r="RC673" s="93"/>
      <c r="RD673" s="93"/>
      <c r="RE673" s="93"/>
      <c r="RF673" s="93"/>
      <c r="RG673" s="93"/>
      <c r="RH673" s="93"/>
      <c r="RI673" s="93"/>
      <c r="RJ673" s="93"/>
      <c r="RK673" s="93"/>
      <c r="RL673" s="93"/>
      <c r="RM673" s="20"/>
      <c r="RN673" s="29"/>
      <c r="RO673" s="19"/>
      <c r="RP673" s="20"/>
      <c r="RQ673" s="29"/>
      <c r="RR673" s="20"/>
      <c r="RS673" s="29"/>
      <c r="RT673" s="1504">
        <v>54940</v>
      </c>
      <c r="RU673" s="19"/>
      <c r="RV673" s="20"/>
      <c r="RW673" s="29"/>
      <c r="RX673" s="1504">
        <v>54940</v>
      </c>
      <c r="RY673" s="29"/>
      <c r="RZ673" s="20"/>
      <c r="SA673" s="29"/>
      <c r="SB673" s="29"/>
    </row>
    <row r="674" spans="1:496">
      <c r="A674" s="41">
        <f t="shared" si="366"/>
        <v>2050</v>
      </c>
      <c r="B674" s="1504">
        <v>54970</v>
      </c>
      <c r="C674" s="1813"/>
      <c r="D674" s="1814"/>
      <c r="E674" s="1814"/>
      <c r="F674" s="1815"/>
      <c r="G674" s="1814"/>
      <c r="H674" s="1814"/>
      <c r="I674" s="1814"/>
      <c r="J674" s="1816"/>
      <c r="K674" s="1807"/>
      <c r="L674" s="25"/>
      <c r="M674" s="97"/>
      <c r="N674" s="1504">
        <v>54970</v>
      </c>
      <c r="O674" s="19"/>
      <c r="P674" s="93"/>
      <c r="Q674" s="93"/>
      <c r="R674" s="93"/>
      <c r="S674" s="93"/>
      <c r="T674" s="93"/>
      <c r="U674" s="93"/>
      <c r="V674" s="93"/>
      <c r="W674" s="93"/>
      <c r="X674" s="93"/>
      <c r="Y674" s="93"/>
      <c r="Z674" s="93"/>
      <c r="AA674" s="93"/>
      <c r="AB674" s="20"/>
      <c r="AC674" s="25"/>
      <c r="AD674" s="97"/>
      <c r="AE674" s="1504">
        <v>54970</v>
      </c>
      <c r="AF674" s="19"/>
      <c r="AG674" s="93"/>
      <c r="AH674" s="93"/>
      <c r="AI674" s="93"/>
      <c r="AJ674" s="93"/>
      <c r="AK674" s="93"/>
      <c r="AL674" s="93"/>
      <c r="AM674" s="93"/>
      <c r="AN674" s="93"/>
      <c r="AO674" s="93"/>
      <c r="AP674" s="93"/>
      <c r="AQ674" s="93"/>
      <c r="AR674" s="93"/>
      <c r="AS674" s="20"/>
      <c r="AT674" s="25"/>
      <c r="AU674" s="97"/>
      <c r="AV674" s="1504">
        <v>54970</v>
      </c>
      <c r="AW674" s="19"/>
      <c r="AX674" s="93"/>
      <c r="AY674" s="93"/>
      <c r="AZ674" s="93"/>
      <c r="BA674" s="93"/>
      <c r="BB674" s="93"/>
      <c r="BC674" s="93"/>
      <c r="BD674" s="93"/>
      <c r="BE674" s="93"/>
      <c r="BF674" s="93"/>
      <c r="BG674" s="93"/>
      <c r="BH674" s="93"/>
      <c r="BI674" s="93"/>
      <c r="BJ674" s="20"/>
      <c r="BK674" s="25"/>
      <c r="BL674" s="97"/>
      <c r="BM674" s="1504">
        <v>54970</v>
      </c>
      <c r="BN674" s="19"/>
      <c r="BO674" s="93"/>
      <c r="BP674" s="93"/>
      <c r="BQ674" s="93"/>
      <c r="BR674" s="93"/>
      <c r="BS674" s="93"/>
      <c r="BT674" s="93"/>
      <c r="BU674" s="20"/>
      <c r="BV674" s="25"/>
      <c r="BW674" s="97"/>
      <c r="BX674" s="1504">
        <v>54970</v>
      </c>
      <c r="BY674" s="19"/>
      <c r="BZ674" s="93"/>
      <c r="CA674" s="93"/>
      <c r="CB674" s="93"/>
      <c r="CC674" s="93"/>
      <c r="CD674" s="25"/>
      <c r="CE674" s="97"/>
      <c r="CF674" s="1504">
        <v>54970</v>
      </c>
      <c r="CG674" s="19"/>
      <c r="CH674" s="93"/>
      <c r="CI674" s="219"/>
      <c r="CJ674" s="20"/>
      <c r="CK674" s="19"/>
      <c r="CL674" s="93"/>
      <c r="CM674" s="93"/>
      <c r="CN674" s="93"/>
      <c r="CO674" s="93"/>
      <c r="CP674" s="20"/>
      <c r="CQ674" s="219"/>
      <c r="CR674" s="93"/>
      <c r="CS674" s="93"/>
      <c r="CT674" s="93"/>
      <c r="CU674" s="93"/>
      <c r="CV674" s="214"/>
      <c r="CW674" s="29"/>
      <c r="CX674" s="41">
        <f t="shared" si="365"/>
        <v>2050</v>
      </c>
      <c r="CY674" s="1504">
        <v>54970</v>
      </c>
      <c r="CZ674" s="19"/>
      <c r="DA674" s="93"/>
      <c r="DB674" s="93"/>
      <c r="DC674" s="93"/>
      <c r="DD674" s="93"/>
      <c r="DE674" s="20"/>
      <c r="DF674" s="29"/>
      <c r="DG674" s="1504">
        <v>54970</v>
      </c>
      <c r="DH674" s="19"/>
      <c r="DI674" s="93"/>
      <c r="DJ674" s="93"/>
      <c r="DK674" s="93"/>
      <c r="DL674" s="93"/>
      <c r="DM674" s="93"/>
      <c r="DN674" s="20"/>
      <c r="DO674" s="295"/>
      <c r="DP674" s="29"/>
      <c r="DQ674" s="1504">
        <v>54970</v>
      </c>
      <c r="DR674" s="19"/>
      <c r="DS674" s="93"/>
      <c r="DT674" s="93"/>
      <c r="DU674" s="93"/>
      <c r="DV674" s="93"/>
      <c r="DW674" s="93"/>
      <c r="DX674" s="20"/>
      <c r="DY674" s="29"/>
      <c r="DZ674" s="1504">
        <v>54970</v>
      </c>
      <c r="EA674" s="19"/>
      <c r="EB674" s="93"/>
      <c r="EC674" s="20"/>
      <c r="ED674" s="29"/>
      <c r="EE674" s="1504">
        <v>54970</v>
      </c>
      <c r="EF674" s="19"/>
      <c r="EG674" s="93"/>
      <c r="EH674" s="93"/>
      <c r="EI674" s="214"/>
      <c r="EJ674" s="93"/>
      <c r="EK674" s="93"/>
      <c r="EL674" s="93"/>
      <c r="EM674" s="93"/>
      <c r="EN674" s="20"/>
      <c r="EO674" s="29"/>
      <c r="EP674" s="1504">
        <v>54970</v>
      </c>
      <c r="EQ674" s="19"/>
      <c r="ER674" s="93"/>
      <c r="ES674" s="93"/>
      <c r="ET674" s="214"/>
      <c r="EU674" s="93"/>
      <c r="EV674" s="93"/>
      <c r="EW674" s="93"/>
      <c r="EX674" s="93"/>
      <c r="EY674" s="20"/>
      <c r="EZ674" s="29"/>
      <c r="FA674" s="1504">
        <v>54970</v>
      </c>
      <c r="FB674" s="29"/>
      <c r="FC674" s="29"/>
      <c r="FD674" s="29"/>
      <c r="FE674" s="29"/>
      <c r="FF674" s="29"/>
      <c r="FG674" s="29"/>
      <c r="FH674" s="29"/>
      <c r="FI674" s="29"/>
      <c r="FJ674" s="29"/>
      <c r="FK674" s="29"/>
      <c r="FL674" s="1504">
        <v>54970</v>
      </c>
      <c r="FM674" s="19"/>
      <c r="FN674" s="93"/>
      <c r="FO674" s="93"/>
      <c r="FP674" s="93"/>
      <c r="FQ674" s="93"/>
      <c r="FR674" s="93"/>
      <c r="FS674" s="93"/>
      <c r="FT674" s="93"/>
      <c r="FU674" s="93"/>
      <c r="FV674" s="93"/>
      <c r="FW674" s="93"/>
      <c r="FX674" s="93"/>
      <c r="FY674" s="93"/>
      <c r="FZ674" s="29"/>
      <c r="GA674" s="1504">
        <v>54970</v>
      </c>
      <c r="GB674" s="19"/>
      <c r="GC674" s="93"/>
      <c r="GD674" s="93"/>
      <c r="GE674" s="93"/>
      <c r="GF674" s="93"/>
      <c r="GG674" s="93"/>
      <c r="GH674" s="93"/>
      <c r="GI674" s="93"/>
      <c r="GJ674" s="93"/>
      <c r="GK674" s="93"/>
      <c r="GL674" s="93"/>
      <c r="GM674" s="93"/>
      <c r="GN674" s="20"/>
      <c r="GO674" s="29"/>
      <c r="GP674" s="1504">
        <v>54970</v>
      </c>
      <c r="GQ674" s="19"/>
      <c r="GR674" s="93"/>
      <c r="GS674" s="93"/>
      <c r="GT674" s="93"/>
      <c r="GU674" s="93"/>
      <c r="GV674" s="20"/>
      <c r="GW674" s="19"/>
      <c r="GX674" s="93"/>
      <c r="GY674" s="93"/>
      <c r="GZ674" s="93"/>
      <c r="HA674" s="93"/>
      <c r="HB674" s="20"/>
      <c r="HC674" s="19"/>
      <c r="HD674" s="93"/>
      <c r="HE674" s="93"/>
      <c r="HF674" s="93"/>
      <c r="HG674" s="93"/>
      <c r="HH674" s="20"/>
      <c r="HI674" s="19"/>
      <c r="HJ674" s="93"/>
      <c r="HK674" s="93"/>
      <c r="HL674" s="93"/>
      <c r="HM674" s="93"/>
      <c r="HN674" s="20"/>
      <c r="HO674" s="219"/>
      <c r="HP674" s="20"/>
      <c r="HQ674" s="25"/>
      <c r="HR674" s="29"/>
      <c r="HS674" s="1504">
        <v>54970</v>
      </c>
      <c r="HT674" s="19"/>
      <c r="HU674" s="93"/>
      <c r="HV674" s="93"/>
      <c r="HW674" s="93"/>
      <c r="HX674" s="93"/>
      <c r="HY674" s="93"/>
      <c r="HZ674" s="93"/>
      <c r="IA674" s="20"/>
      <c r="IB674" s="19"/>
      <c r="IC674" s="93"/>
      <c r="ID674" s="93"/>
      <c r="IE674" s="93"/>
      <c r="IF674" s="93"/>
      <c r="IG674" s="20"/>
      <c r="IH674" s="19"/>
      <c r="II674" s="93"/>
      <c r="IJ674" s="93"/>
      <c r="IK674" s="93"/>
      <c r="IL674" s="93"/>
      <c r="IM674" s="93"/>
      <c r="IN674" s="93"/>
      <c r="IO674" s="20"/>
      <c r="IP674" s="29"/>
      <c r="IQ674" s="19"/>
      <c r="IR674" s="93"/>
      <c r="IS674" s="93"/>
      <c r="IT674" s="93"/>
      <c r="IU674" s="93"/>
      <c r="IV674" s="20"/>
      <c r="IW674" s="29"/>
      <c r="IX674" s="19"/>
      <c r="IY674" s="93"/>
      <c r="IZ674" s="93"/>
      <c r="JA674" s="93"/>
      <c r="JB674" s="93"/>
      <c r="JC674" s="93"/>
      <c r="JD674" s="93"/>
      <c r="JE674" s="20"/>
      <c r="JF674" s="29"/>
      <c r="JG674" s="19"/>
      <c r="JH674" s="93"/>
      <c r="JI674" s="93"/>
      <c r="JJ674" s="93"/>
      <c r="JK674" s="93"/>
      <c r="JL674" s="93"/>
      <c r="JM674" s="93"/>
      <c r="JN674" s="20"/>
      <c r="JO674" s="29"/>
      <c r="JP674" s="19"/>
      <c r="JQ674" s="93"/>
      <c r="JR674" s="93"/>
      <c r="JS674" s="93"/>
      <c r="JT674" s="93"/>
      <c r="JU674" s="20"/>
      <c r="JV674" s="29"/>
      <c r="JW674" s="1504">
        <v>54970</v>
      </c>
      <c r="JX674" s="19"/>
      <c r="JY674" s="93"/>
      <c r="JZ674" s="93"/>
      <c r="KA674" s="93"/>
      <c r="KB674" s="93"/>
      <c r="KC674" s="93"/>
      <c r="KD674" s="20"/>
      <c r="KE674" s="29"/>
      <c r="KF674" s="19"/>
      <c r="KG674" s="93"/>
      <c r="KH674" s="93"/>
      <c r="KI674" s="93"/>
      <c r="KJ674" s="93"/>
      <c r="KK674" s="20"/>
      <c r="KL674" s="29"/>
      <c r="KM674" s="19"/>
      <c r="KN674" s="93"/>
      <c r="KO674" s="93"/>
      <c r="KP674" s="93"/>
      <c r="KQ674" s="93"/>
      <c r="KR674" s="20"/>
      <c r="KS674" s="29"/>
      <c r="KT674" s="19"/>
      <c r="KU674" s="93"/>
      <c r="KV674" s="93"/>
      <c r="KW674" s="93"/>
      <c r="KX674" s="93"/>
      <c r="KY674" s="20"/>
      <c r="KZ674" s="29"/>
      <c r="LA674" s="1504">
        <v>54970</v>
      </c>
      <c r="LB674" s="19"/>
      <c r="LC674" s="93"/>
      <c r="LD674" s="93"/>
      <c r="LE674" s="93"/>
      <c r="LF674" s="93"/>
      <c r="LG674" s="93"/>
      <c r="LH674" s="20"/>
      <c r="LI674" s="29"/>
      <c r="LJ674" s="19"/>
      <c r="LK674" s="93"/>
      <c r="LL674" s="93"/>
      <c r="LM674" s="93"/>
      <c r="LN674" s="93"/>
      <c r="LO674" s="20"/>
      <c r="LP674" s="29"/>
      <c r="LQ674" s="19"/>
      <c r="LR674" s="93"/>
      <c r="LS674" s="93"/>
      <c r="LT674" s="93"/>
      <c r="LU674" s="93"/>
      <c r="LV674" s="93"/>
      <c r="LW674" s="93"/>
      <c r="LX674" s="93"/>
      <c r="LY674" s="93"/>
      <c r="LZ674" s="93"/>
      <c r="MA674" s="20"/>
      <c r="MB674" s="29"/>
      <c r="MC674" s="1504">
        <v>54970</v>
      </c>
      <c r="MD674" s="19"/>
      <c r="ME674" s="93"/>
      <c r="MF674" s="93"/>
      <c r="MG674" s="93"/>
      <c r="MH674" s="93"/>
      <c r="MI674" s="93"/>
      <c r="MJ674" s="93"/>
      <c r="MK674" s="93"/>
      <c r="ML674" s="93"/>
      <c r="MM674" s="93"/>
      <c r="MN674" s="93"/>
      <c r="MO674" s="93"/>
      <c r="MP674" s="93"/>
      <c r="MQ674" s="93"/>
      <c r="MR674" s="93"/>
      <c r="MS674" s="93"/>
      <c r="MT674" s="93"/>
      <c r="MU674" s="93"/>
      <c r="MV674" s="93"/>
      <c r="MW674" s="93"/>
      <c r="MX674" s="93"/>
      <c r="MY674" s="93"/>
      <c r="MZ674" s="93"/>
      <c r="NA674" s="93"/>
      <c r="NB674" s="93"/>
      <c r="NC674" s="93"/>
      <c r="ND674" s="93"/>
      <c r="NE674" s="93"/>
      <c r="NF674" s="93"/>
      <c r="NG674" s="93"/>
      <c r="NH674" s="93"/>
      <c r="NI674" s="93"/>
      <c r="NJ674" s="93"/>
      <c r="NK674" s="93"/>
      <c r="NL674" s="93"/>
      <c r="NM674" s="93"/>
      <c r="NN674" s="93"/>
      <c r="NO674" s="93"/>
      <c r="NP674" s="93"/>
      <c r="NQ674" s="93"/>
      <c r="NR674" s="93"/>
      <c r="NS674" s="93"/>
      <c r="NT674" s="93"/>
      <c r="NU674" s="93"/>
      <c r="NV674" s="93"/>
      <c r="NW674" s="93"/>
      <c r="NX674" s="93"/>
      <c r="NY674" s="93"/>
      <c r="NZ674" s="93"/>
      <c r="OA674" s="93"/>
      <c r="OB674" s="93"/>
      <c r="OC674" s="93"/>
      <c r="OD674" s="20"/>
      <c r="OE674" s="29"/>
      <c r="OF674" s="1504">
        <v>54970</v>
      </c>
      <c r="OG674" s="19"/>
      <c r="OH674" s="93"/>
      <c r="OI674" s="93"/>
      <c r="OJ674" s="93"/>
      <c r="OK674" s="93"/>
      <c r="OL674" s="93"/>
      <c r="OM674" s="93"/>
      <c r="ON674" s="93"/>
      <c r="OO674" s="93"/>
      <c r="OP674" s="93"/>
      <c r="OQ674" s="93"/>
      <c r="OR674" s="93"/>
      <c r="OS674" s="93"/>
      <c r="OT674" s="93"/>
      <c r="OU674" s="93"/>
      <c r="OV674" s="93"/>
      <c r="OW674" s="93"/>
      <c r="OX674" s="93"/>
      <c r="OY674" s="93"/>
      <c r="OZ674" s="93"/>
      <c r="PA674" s="93"/>
      <c r="PB674" s="93"/>
      <c r="PC674" s="20"/>
      <c r="PD674" s="29"/>
      <c r="PE674" s="19"/>
      <c r="PF674" s="93"/>
      <c r="PG674" s="93"/>
      <c r="PH674" s="93"/>
      <c r="PI674" s="93"/>
      <c r="PJ674" s="93"/>
      <c r="PK674" s="93"/>
      <c r="PL674" s="93"/>
      <c r="PM674" s="93"/>
      <c r="PN674" s="93"/>
      <c r="PO674" s="93"/>
      <c r="PP674" s="93"/>
      <c r="PQ674" s="93"/>
      <c r="PR674" s="93"/>
      <c r="PS674" s="93"/>
      <c r="PT674" s="93"/>
      <c r="PU674" s="93"/>
      <c r="PV674" s="93"/>
      <c r="PW674" s="93"/>
      <c r="PX674" s="93"/>
      <c r="PY674" s="93"/>
      <c r="PZ674" s="93"/>
      <c r="QA674" s="93"/>
      <c r="QB674" s="93"/>
      <c r="QC674" s="93"/>
      <c r="QD674" s="93"/>
      <c r="QE674" s="20"/>
      <c r="QF674" s="1739"/>
      <c r="QG674" s="19"/>
      <c r="QH674" s="93"/>
      <c r="QI674" s="93"/>
      <c r="QJ674" s="93"/>
      <c r="QK674" s="93"/>
      <c r="QL674" s="93"/>
      <c r="QM674" s="93"/>
      <c r="QN674" s="93"/>
      <c r="QO674" s="93"/>
      <c r="QP674" s="93"/>
      <c r="QQ674" s="93"/>
      <c r="QR674" s="93"/>
      <c r="QS674" s="93"/>
      <c r="QT674" s="93"/>
      <c r="QU674" s="93"/>
      <c r="QV674" s="93"/>
      <c r="QW674" s="93"/>
      <c r="QX674" s="93"/>
      <c r="QY674" s="93"/>
      <c r="QZ674" s="93"/>
      <c r="RA674" s="93"/>
      <c r="RB674" s="93"/>
      <c r="RC674" s="93"/>
      <c r="RD674" s="93"/>
      <c r="RE674" s="93"/>
      <c r="RF674" s="93"/>
      <c r="RG674" s="93"/>
      <c r="RH674" s="93"/>
      <c r="RI674" s="93"/>
      <c r="RJ674" s="93"/>
      <c r="RK674" s="93"/>
      <c r="RL674" s="93"/>
      <c r="RM674" s="20"/>
      <c r="RN674" s="29"/>
      <c r="RO674" s="19"/>
      <c r="RP674" s="20"/>
      <c r="RQ674" s="29"/>
      <c r="RR674" s="20"/>
      <c r="RS674" s="29"/>
      <c r="RT674" s="1504">
        <v>54970</v>
      </c>
      <c r="RU674" s="19"/>
      <c r="RV674" s="20"/>
      <c r="RW674" s="29"/>
      <c r="RX674" s="1504">
        <v>54970</v>
      </c>
      <c r="RY674" s="29"/>
      <c r="RZ674" s="20"/>
      <c r="SA674" s="29"/>
      <c r="SB674" s="29"/>
    </row>
    <row r="675" spans="1:496">
      <c r="A675" s="41">
        <f t="shared" si="366"/>
        <v>2050</v>
      </c>
      <c r="B675" s="1504">
        <v>55001</v>
      </c>
      <c r="C675" s="1813"/>
      <c r="D675" s="1814"/>
      <c r="E675" s="1814"/>
      <c r="F675" s="1815"/>
      <c r="G675" s="1814"/>
      <c r="H675" s="1814"/>
      <c r="I675" s="1814"/>
      <c r="J675" s="1816"/>
      <c r="K675" s="1807"/>
      <c r="L675" s="25"/>
      <c r="M675" s="97"/>
      <c r="N675" s="1504">
        <v>55001</v>
      </c>
      <c r="O675" s="19"/>
      <c r="P675" s="93"/>
      <c r="Q675" s="93"/>
      <c r="R675" s="93"/>
      <c r="S675" s="93"/>
      <c r="T675" s="93"/>
      <c r="U675" s="93"/>
      <c r="V675" s="93"/>
      <c r="W675" s="93"/>
      <c r="X675" s="93"/>
      <c r="Y675" s="93"/>
      <c r="Z675" s="93"/>
      <c r="AA675" s="93"/>
      <c r="AB675" s="20"/>
      <c r="AC675" s="25"/>
      <c r="AD675" s="97"/>
      <c r="AE675" s="1504">
        <v>55001</v>
      </c>
      <c r="AF675" s="19"/>
      <c r="AG675" s="93"/>
      <c r="AH675" s="93"/>
      <c r="AI675" s="93"/>
      <c r="AJ675" s="93"/>
      <c r="AK675" s="93"/>
      <c r="AL675" s="93"/>
      <c r="AM675" s="93"/>
      <c r="AN675" s="93"/>
      <c r="AO675" s="93"/>
      <c r="AP675" s="93"/>
      <c r="AQ675" s="93"/>
      <c r="AR675" s="93"/>
      <c r="AS675" s="20"/>
      <c r="AT675" s="25"/>
      <c r="AU675" s="97"/>
      <c r="AV675" s="1504">
        <v>55001</v>
      </c>
      <c r="AW675" s="19"/>
      <c r="AX675" s="93"/>
      <c r="AY675" s="93"/>
      <c r="AZ675" s="93"/>
      <c r="BA675" s="93"/>
      <c r="BB675" s="93"/>
      <c r="BC675" s="93"/>
      <c r="BD675" s="93"/>
      <c r="BE675" s="93"/>
      <c r="BF675" s="93"/>
      <c r="BG675" s="93"/>
      <c r="BH675" s="93"/>
      <c r="BI675" s="93"/>
      <c r="BJ675" s="20"/>
      <c r="BK675" s="25"/>
      <c r="BL675" s="97"/>
      <c r="BM675" s="1504">
        <v>55001</v>
      </c>
      <c r="BN675" s="19"/>
      <c r="BO675" s="93"/>
      <c r="BP675" s="93"/>
      <c r="BQ675" s="93"/>
      <c r="BR675" s="93"/>
      <c r="BS675" s="93"/>
      <c r="BT675" s="93"/>
      <c r="BU675" s="20"/>
      <c r="BV675" s="25"/>
      <c r="BW675" s="97"/>
      <c r="BX675" s="1504">
        <v>55001</v>
      </c>
      <c r="BY675" s="19"/>
      <c r="BZ675" s="93"/>
      <c r="CA675" s="93"/>
      <c r="CB675" s="93"/>
      <c r="CC675" s="93"/>
      <c r="CD675" s="25"/>
      <c r="CE675" s="97"/>
      <c r="CF675" s="1504">
        <v>55001</v>
      </c>
      <c r="CG675" s="19"/>
      <c r="CH675" s="93"/>
      <c r="CI675" s="219"/>
      <c r="CJ675" s="20"/>
      <c r="CK675" s="19"/>
      <c r="CL675" s="93"/>
      <c r="CM675" s="93"/>
      <c r="CN675" s="93"/>
      <c r="CO675" s="93"/>
      <c r="CP675" s="20"/>
      <c r="CQ675" s="219"/>
      <c r="CR675" s="93"/>
      <c r="CS675" s="93"/>
      <c r="CT675" s="93"/>
      <c r="CU675" s="93"/>
      <c r="CV675" s="214"/>
      <c r="CW675" s="29"/>
      <c r="CX675" s="41">
        <f t="shared" si="365"/>
        <v>2050</v>
      </c>
      <c r="CY675" s="1504">
        <v>55001</v>
      </c>
      <c r="CZ675" s="19"/>
      <c r="DA675" s="93"/>
      <c r="DB675" s="93"/>
      <c r="DC675" s="93"/>
      <c r="DD675" s="93"/>
      <c r="DE675" s="20"/>
      <c r="DF675" s="29"/>
      <c r="DG675" s="1504">
        <v>55001</v>
      </c>
      <c r="DH675" s="19"/>
      <c r="DI675" s="93"/>
      <c r="DJ675" s="93"/>
      <c r="DK675" s="93"/>
      <c r="DL675" s="93"/>
      <c r="DM675" s="93"/>
      <c r="DN675" s="20"/>
      <c r="DO675" s="295"/>
      <c r="DP675" s="29"/>
      <c r="DQ675" s="1504">
        <v>55001</v>
      </c>
      <c r="DR675" s="19"/>
      <c r="DS675" s="93"/>
      <c r="DT675" s="93"/>
      <c r="DU675" s="93"/>
      <c r="DV675" s="93"/>
      <c r="DW675" s="93"/>
      <c r="DX675" s="20"/>
      <c r="DY675" s="29"/>
      <c r="DZ675" s="1504">
        <v>55001</v>
      </c>
      <c r="EA675" s="19"/>
      <c r="EB675" s="93"/>
      <c r="EC675" s="20"/>
      <c r="ED675" s="29"/>
      <c r="EE675" s="1504">
        <v>55001</v>
      </c>
      <c r="EF675" s="19"/>
      <c r="EG675" s="93"/>
      <c r="EH675" s="93"/>
      <c r="EI675" s="214"/>
      <c r="EJ675" s="93"/>
      <c r="EK675" s="93"/>
      <c r="EL675" s="93"/>
      <c r="EM675" s="93"/>
      <c r="EN675" s="20"/>
      <c r="EO675" s="29"/>
      <c r="EP675" s="1504">
        <v>55001</v>
      </c>
      <c r="EQ675" s="19"/>
      <c r="ER675" s="93"/>
      <c r="ES675" s="93"/>
      <c r="ET675" s="214"/>
      <c r="EU675" s="93"/>
      <c r="EV675" s="93"/>
      <c r="EW675" s="93"/>
      <c r="EX675" s="93"/>
      <c r="EY675" s="20"/>
      <c r="EZ675" s="29"/>
      <c r="FA675" s="1504">
        <v>55001</v>
      </c>
      <c r="FB675" s="29"/>
      <c r="FC675" s="29"/>
      <c r="FD675" s="29"/>
      <c r="FE675" s="29"/>
      <c r="FF675" s="29"/>
      <c r="FG675" s="29"/>
      <c r="FH675" s="29"/>
      <c r="FI675" s="29"/>
      <c r="FJ675" s="29"/>
      <c r="FK675" s="29"/>
      <c r="FL675" s="1504">
        <v>55001</v>
      </c>
      <c r="FM675" s="19"/>
      <c r="FN675" s="93"/>
      <c r="FO675" s="93"/>
      <c r="FP675" s="93"/>
      <c r="FQ675" s="93"/>
      <c r="FR675" s="93"/>
      <c r="FS675" s="93"/>
      <c r="FT675" s="93"/>
      <c r="FU675" s="93"/>
      <c r="FV675" s="93"/>
      <c r="FW675" s="93"/>
      <c r="FX675" s="93"/>
      <c r="FY675" s="93"/>
      <c r="FZ675" s="29"/>
      <c r="GA675" s="1504">
        <v>55001</v>
      </c>
      <c r="GB675" s="19"/>
      <c r="GC675" s="93"/>
      <c r="GD675" s="93"/>
      <c r="GE675" s="93"/>
      <c r="GF675" s="93"/>
      <c r="GG675" s="93"/>
      <c r="GH675" s="93"/>
      <c r="GI675" s="93"/>
      <c r="GJ675" s="93"/>
      <c r="GK675" s="93"/>
      <c r="GL675" s="93"/>
      <c r="GM675" s="93"/>
      <c r="GN675" s="20"/>
      <c r="GO675" s="29"/>
      <c r="GP675" s="1504">
        <v>55001</v>
      </c>
      <c r="GQ675" s="19"/>
      <c r="GR675" s="93"/>
      <c r="GS675" s="93"/>
      <c r="GT675" s="93"/>
      <c r="GU675" s="93"/>
      <c r="GV675" s="20"/>
      <c r="GW675" s="19"/>
      <c r="GX675" s="93"/>
      <c r="GY675" s="93"/>
      <c r="GZ675" s="93"/>
      <c r="HA675" s="93"/>
      <c r="HB675" s="20"/>
      <c r="HC675" s="19"/>
      <c r="HD675" s="93"/>
      <c r="HE675" s="93"/>
      <c r="HF675" s="93"/>
      <c r="HG675" s="93"/>
      <c r="HH675" s="20"/>
      <c r="HI675" s="19"/>
      <c r="HJ675" s="93"/>
      <c r="HK675" s="93"/>
      <c r="HL675" s="93"/>
      <c r="HM675" s="93"/>
      <c r="HN675" s="20"/>
      <c r="HO675" s="219"/>
      <c r="HP675" s="20"/>
      <c r="HQ675" s="25"/>
      <c r="HR675" s="29"/>
      <c r="HS675" s="1504">
        <v>55001</v>
      </c>
      <c r="HT675" s="19"/>
      <c r="HU675" s="93"/>
      <c r="HV675" s="93"/>
      <c r="HW675" s="93"/>
      <c r="HX675" s="93"/>
      <c r="HY675" s="93"/>
      <c r="HZ675" s="93"/>
      <c r="IA675" s="20"/>
      <c r="IB675" s="19"/>
      <c r="IC675" s="93"/>
      <c r="ID675" s="93"/>
      <c r="IE675" s="93"/>
      <c r="IF675" s="93"/>
      <c r="IG675" s="20"/>
      <c r="IH675" s="19"/>
      <c r="II675" s="93"/>
      <c r="IJ675" s="93"/>
      <c r="IK675" s="93"/>
      <c r="IL675" s="93"/>
      <c r="IM675" s="93"/>
      <c r="IN675" s="93"/>
      <c r="IO675" s="20"/>
      <c r="IP675" s="29"/>
      <c r="IQ675" s="19"/>
      <c r="IR675" s="93"/>
      <c r="IS675" s="93"/>
      <c r="IT675" s="93"/>
      <c r="IU675" s="93"/>
      <c r="IV675" s="20"/>
      <c r="IW675" s="29"/>
      <c r="IX675" s="19"/>
      <c r="IY675" s="93"/>
      <c r="IZ675" s="93"/>
      <c r="JA675" s="93"/>
      <c r="JB675" s="93"/>
      <c r="JC675" s="93"/>
      <c r="JD675" s="93"/>
      <c r="JE675" s="20"/>
      <c r="JF675" s="29"/>
      <c r="JG675" s="19"/>
      <c r="JH675" s="93"/>
      <c r="JI675" s="93"/>
      <c r="JJ675" s="93"/>
      <c r="JK675" s="93"/>
      <c r="JL675" s="93"/>
      <c r="JM675" s="93"/>
      <c r="JN675" s="20"/>
      <c r="JO675" s="29"/>
      <c r="JP675" s="19"/>
      <c r="JQ675" s="93"/>
      <c r="JR675" s="93"/>
      <c r="JS675" s="93"/>
      <c r="JT675" s="93"/>
      <c r="JU675" s="20"/>
      <c r="JV675" s="29"/>
      <c r="JW675" s="1504">
        <v>55001</v>
      </c>
      <c r="JX675" s="19"/>
      <c r="JY675" s="93"/>
      <c r="JZ675" s="93"/>
      <c r="KA675" s="93"/>
      <c r="KB675" s="93"/>
      <c r="KC675" s="93"/>
      <c r="KD675" s="20"/>
      <c r="KE675" s="29"/>
      <c r="KF675" s="19"/>
      <c r="KG675" s="93"/>
      <c r="KH675" s="93"/>
      <c r="KI675" s="93"/>
      <c r="KJ675" s="93"/>
      <c r="KK675" s="20"/>
      <c r="KL675" s="29"/>
      <c r="KM675" s="19"/>
      <c r="KN675" s="93"/>
      <c r="KO675" s="93"/>
      <c r="KP675" s="93"/>
      <c r="KQ675" s="93"/>
      <c r="KR675" s="20"/>
      <c r="KS675" s="29"/>
      <c r="KT675" s="19"/>
      <c r="KU675" s="93"/>
      <c r="KV675" s="93"/>
      <c r="KW675" s="93"/>
      <c r="KX675" s="93"/>
      <c r="KY675" s="20"/>
      <c r="KZ675" s="29"/>
      <c r="LA675" s="1504">
        <v>55001</v>
      </c>
      <c r="LB675" s="19"/>
      <c r="LC675" s="93"/>
      <c r="LD675" s="93"/>
      <c r="LE675" s="93"/>
      <c r="LF675" s="93"/>
      <c r="LG675" s="93"/>
      <c r="LH675" s="20"/>
      <c r="LI675" s="29"/>
      <c r="LJ675" s="19"/>
      <c r="LK675" s="93"/>
      <c r="LL675" s="93"/>
      <c r="LM675" s="93"/>
      <c r="LN675" s="93"/>
      <c r="LO675" s="20"/>
      <c r="LP675" s="29"/>
      <c r="LQ675" s="19"/>
      <c r="LR675" s="93"/>
      <c r="LS675" s="93"/>
      <c r="LT675" s="93"/>
      <c r="LU675" s="93"/>
      <c r="LV675" s="93"/>
      <c r="LW675" s="93"/>
      <c r="LX675" s="93"/>
      <c r="LY675" s="93"/>
      <c r="LZ675" s="93"/>
      <c r="MA675" s="20"/>
      <c r="MB675" s="29"/>
      <c r="MC675" s="1504">
        <v>55001</v>
      </c>
      <c r="MD675" s="19"/>
      <c r="ME675" s="93"/>
      <c r="MF675" s="93"/>
      <c r="MG675" s="93"/>
      <c r="MH675" s="93"/>
      <c r="MI675" s="93"/>
      <c r="MJ675" s="93"/>
      <c r="MK675" s="93"/>
      <c r="ML675" s="93"/>
      <c r="MM675" s="93"/>
      <c r="MN675" s="93"/>
      <c r="MO675" s="93"/>
      <c r="MP675" s="93"/>
      <c r="MQ675" s="93"/>
      <c r="MR675" s="93"/>
      <c r="MS675" s="93"/>
      <c r="MT675" s="93"/>
      <c r="MU675" s="93"/>
      <c r="MV675" s="93"/>
      <c r="MW675" s="93"/>
      <c r="MX675" s="93"/>
      <c r="MY675" s="93"/>
      <c r="MZ675" s="93"/>
      <c r="NA675" s="93"/>
      <c r="NB675" s="93"/>
      <c r="NC675" s="93"/>
      <c r="ND675" s="93"/>
      <c r="NE675" s="93"/>
      <c r="NF675" s="93"/>
      <c r="NG675" s="93"/>
      <c r="NH675" s="93"/>
      <c r="NI675" s="93"/>
      <c r="NJ675" s="93"/>
      <c r="NK675" s="93"/>
      <c r="NL675" s="93"/>
      <c r="NM675" s="93"/>
      <c r="NN675" s="93"/>
      <c r="NO675" s="93"/>
      <c r="NP675" s="93"/>
      <c r="NQ675" s="93"/>
      <c r="NR675" s="93"/>
      <c r="NS675" s="93"/>
      <c r="NT675" s="93"/>
      <c r="NU675" s="93"/>
      <c r="NV675" s="93"/>
      <c r="NW675" s="93"/>
      <c r="NX675" s="93"/>
      <c r="NY675" s="93"/>
      <c r="NZ675" s="93"/>
      <c r="OA675" s="93"/>
      <c r="OB675" s="93"/>
      <c r="OC675" s="93"/>
      <c r="OD675" s="20"/>
      <c r="OE675" s="29"/>
      <c r="OF675" s="1504">
        <v>55001</v>
      </c>
      <c r="OG675" s="19"/>
      <c r="OH675" s="93"/>
      <c r="OI675" s="93"/>
      <c r="OJ675" s="93"/>
      <c r="OK675" s="93"/>
      <c r="OL675" s="93"/>
      <c r="OM675" s="93"/>
      <c r="ON675" s="93"/>
      <c r="OO675" s="93"/>
      <c r="OP675" s="93"/>
      <c r="OQ675" s="93"/>
      <c r="OR675" s="93"/>
      <c r="OS675" s="93"/>
      <c r="OT675" s="93"/>
      <c r="OU675" s="93"/>
      <c r="OV675" s="93"/>
      <c r="OW675" s="93"/>
      <c r="OX675" s="93"/>
      <c r="OY675" s="93"/>
      <c r="OZ675" s="93"/>
      <c r="PA675" s="93"/>
      <c r="PB675" s="93"/>
      <c r="PC675" s="20"/>
      <c r="PD675" s="29"/>
      <c r="PE675" s="19"/>
      <c r="PF675" s="93"/>
      <c r="PG675" s="93"/>
      <c r="PH675" s="93"/>
      <c r="PI675" s="93"/>
      <c r="PJ675" s="93"/>
      <c r="PK675" s="93"/>
      <c r="PL675" s="93"/>
      <c r="PM675" s="93"/>
      <c r="PN675" s="93"/>
      <c r="PO675" s="93"/>
      <c r="PP675" s="93"/>
      <c r="PQ675" s="93"/>
      <c r="PR675" s="93"/>
      <c r="PS675" s="93"/>
      <c r="PT675" s="93"/>
      <c r="PU675" s="93"/>
      <c r="PV675" s="93"/>
      <c r="PW675" s="93"/>
      <c r="PX675" s="93"/>
      <c r="PY675" s="93"/>
      <c r="PZ675" s="93"/>
      <c r="QA675" s="93"/>
      <c r="QB675" s="93"/>
      <c r="QC675" s="93"/>
      <c r="QD675" s="93"/>
      <c r="QE675" s="20"/>
      <c r="QF675" s="1739"/>
      <c r="QG675" s="19"/>
      <c r="QH675" s="93"/>
      <c r="QI675" s="93"/>
      <c r="QJ675" s="93"/>
      <c r="QK675" s="93"/>
      <c r="QL675" s="93"/>
      <c r="QM675" s="93"/>
      <c r="QN675" s="93"/>
      <c r="QO675" s="93"/>
      <c r="QP675" s="93"/>
      <c r="QQ675" s="93"/>
      <c r="QR675" s="93"/>
      <c r="QS675" s="93"/>
      <c r="QT675" s="93"/>
      <c r="QU675" s="93"/>
      <c r="QV675" s="93"/>
      <c r="QW675" s="93"/>
      <c r="QX675" s="93"/>
      <c r="QY675" s="93"/>
      <c r="QZ675" s="93"/>
      <c r="RA675" s="93"/>
      <c r="RB675" s="93"/>
      <c r="RC675" s="93"/>
      <c r="RD675" s="93"/>
      <c r="RE675" s="93"/>
      <c r="RF675" s="93"/>
      <c r="RG675" s="93"/>
      <c r="RH675" s="93"/>
      <c r="RI675" s="93"/>
      <c r="RJ675" s="93"/>
      <c r="RK675" s="93"/>
      <c r="RL675" s="93"/>
      <c r="RM675" s="20"/>
      <c r="RN675" s="29"/>
      <c r="RO675" s="19"/>
      <c r="RP675" s="20"/>
      <c r="RQ675" s="29"/>
      <c r="RR675" s="20"/>
      <c r="RS675" s="29"/>
      <c r="RT675" s="1504">
        <v>55001</v>
      </c>
      <c r="RU675" s="19"/>
      <c r="RV675" s="20"/>
      <c r="RW675" s="29"/>
      <c r="RX675" s="1504">
        <v>55001</v>
      </c>
      <c r="RY675" s="29"/>
      <c r="RZ675" s="20"/>
      <c r="SA675" s="29"/>
      <c r="SB675" s="29"/>
    </row>
    <row r="676" spans="1:496">
      <c r="A676" s="41">
        <f t="shared" si="366"/>
        <v>2050</v>
      </c>
      <c r="B676" s="1504">
        <v>55032</v>
      </c>
      <c r="C676" s="1813"/>
      <c r="D676" s="1814"/>
      <c r="E676" s="1814"/>
      <c r="F676" s="1815"/>
      <c r="G676" s="1814"/>
      <c r="H676" s="1814"/>
      <c r="I676" s="1814"/>
      <c r="J676" s="1816"/>
      <c r="K676" s="1807"/>
      <c r="L676" s="25"/>
      <c r="M676" s="97"/>
      <c r="N676" s="1504">
        <v>55032</v>
      </c>
      <c r="O676" s="19"/>
      <c r="P676" s="93"/>
      <c r="Q676" s="93"/>
      <c r="R676" s="93"/>
      <c r="S676" s="93"/>
      <c r="T676" s="93"/>
      <c r="U676" s="93"/>
      <c r="V676" s="93"/>
      <c r="W676" s="93"/>
      <c r="X676" s="93"/>
      <c r="Y676" s="93"/>
      <c r="Z676" s="93"/>
      <c r="AA676" s="93"/>
      <c r="AB676" s="20"/>
      <c r="AC676" s="25"/>
      <c r="AD676" s="97"/>
      <c r="AE676" s="1504">
        <v>55032</v>
      </c>
      <c r="AF676" s="19"/>
      <c r="AG676" s="93"/>
      <c r="AH676" s="93"/>
      <c r="AI676" s="93"/>
      <c r="AJ676" s="93"/>
      <c r="AK676" s="93"/>
      <c r="AL676" s="93"/>
      <c r="AM676" s="93"/>
      <c r="AN676" s="93"/>
      <c r="AO676" s="93"/>
      <c r="AP676" s="93"/>
      <c r="AQ676" s="93"/>
      <c r="AR676" s="93"/>
      <c r="AS676" s="20"/>
      <c r="AT676" s="25"/>
      <c r="AU676" s="97"/>
      <c r="AV676" s="1504">
        <v>55032</v>
      </c>
      <c r="AW676" s="19"/>
      <c r="AX676" s="93"/>
      <c r="AY676" s="93"/>
      <c r="AZ676" s="93"/>
      <c r="BA676" s="93"/>
      <c r="BB676" s="93"/>
      <c r="BC676" s="93"/>
      <c r="BD676" s="93"/>
      <c r="BE676" s="93"/>
      <c r="BF676" s="93"/>
      <c r="BG676" s="93"/>
      <c r="BH676" s="93"/>
      <c r="BI676" s="93"/>
      <c r="BJ676" s="20"/>
      <c r="BK676" s="25"/>
      <c r="BL676" s="97"/>
      <c r="BM676" s="1504">
        <v>55032</v>
      </c>
      <c r="BN676" s="19"/>
      <c r="BO676" s="93"/>
      <c r="BP676" s="93"/>
      <c r="BQ676" s="93"/>
      <c r="BR676" s="93"/>
      <c r="BS676" s="93"/>
      <c r="BT676" s="93"/>
      <c r="BU676" s="20"/>
      <c r="BV676" s="25"/>
      <c r="BW676" s="97"/>
      <c r="BX676" s="1504">
        <v>55032</v>
      </c>
      <c r="BY676" s="19"/>
      <c r="BZ676" s="93"/>
      <c r="CA676" s="93"/>
      <c r="CB676" s="93"/>
      <c r="CC676" s="93"/>
      <c r="CD676" s="25"/>
      <c r="CE676" s="97"/>
      <c r="CF676" s="1504">
        <v>55032</v>
      </c>
      <c r="CG676" s="19"/>
      <c r="CH676" s="93"/>
      <c r="CI676" s="219"/>
      <c r="CJ676" s="20"/>
      <c r="CK676" s="19"/>
      <c r="CL676" s="93"/>
      <c r="CM676" s="93"/>
      <c r="CN676" s="93"/>
      <c r="CO676" s="93"/>
      <c r="CP676" s="20"/>
      <c r="CQ676" s="219"/>
      <c r="CR676" s="93"/>
      <c r="CS676" s="93"/>
      <c r="CT676" s="93"/>
      <c r="CU676" s="93"/>
      <c r="CV676" s="214"/>
      <c r="CW676" s="29"/>
      <c r="CX676" s="41">
        <f t="shared" si="365"/>
        <v>2050</v>
      </c>
      <c r="CY676" s="1504">
        <v>55032</v>
      </c>
      <c r="CZ676" s="19"/>
      <c r="DA676" s="93"/>
      <c r="DB676" s="93"/>
      <c r="DC676" s="93"/>
      <c r="DD676" s="93"/>
      <c r="DE676" s="20"/>
      <c r="DF676" s="29"/>
      <c r="DG676" s="1504">
        <v>55032</v>
      </c>
      <c r="DH676" s="19"/>
      <c r="DI676" s="93"/>
      <c r="DJ676" s="93"/>
      <c r="DK676" s="93"/>
      <c r="DL676" s="93"/>
      <c r="DM676" s="93"/>
      <c r="DN676" s="20"/>
      <c r="DO676" s="295"/>
      <c r="DP676" s="29"/>
      <c r="DQ676" s="1504">
        <v>55032</v>
      </c>
      <c r="DR676" s="19"/>
      <c r="DS676" s="93"/>
      <c r="DT676" s="93"/>
      <c r="DU676" s="93"/>
      <c r="DV676" s="93"/>
      <c r="DW676" s="93"/>
      <c r="DX676" s="20"/>
      <c r="DY676" s="29"/>
      <c r="DZ676" s="1504">
        <v>55032</v>
      </c>
      <c r="EA676" s="19"/>
      <c r="EB676" s="93"/>
      <c r="EC676" s="20"/>
      <c r="ED676" s="29"/>
      <c r="EE676" s="1504">
        <v>55032</v>
      </c>
      <c r="EF676" s="19"/>
      <c r="EG676" s="93"/>
      <c r="EH676" s="93"/>
      <c r="EI676" s="214"/>
      <c r="EJ676" s="93"/>
      <c r="EK676" s="93"/>
      <c r="EL676" s="93"/>
      <c r="EM676" s="93"/>
      <c r="EN676" s="20"/>
      <c r="EO676" s="29"/>
      <c r="EP676" s="1504">
        <v>55032</v>
      </c>
      <c r="EQ676" s="19"/>
      <c r="ER676" s="93"/>
      <c r="ES676" s="93"/>
      <c r="ET676" s="214"/>
      <c r="EU676" s="93"/>
      <c r="EV676" s="93"/>
      <c r="EW676" s="93"/>
      <c r="EX676" s="93"/>
      <c r="EY676" s="20"/>
      <c r="EZ676" s="29"/>
      <c r="FA676" s="1504">
        <v>55032</v>
      </c>
      <c r="FB676" s="29"/>
      <c r="FC676" s="29"/>
      <c r="FD676" s="29"/>
      <c r="FE676" s="29"/>
      <c r="FF676" s="29"/>
      <c r="FG676" s="29"/>
      <c r="FH676" s="29"/>
      <c r="FI676" s="29"/>
      <c r="FJ676" s="29"/>
      <c r="FK676" s="29"/>
      <c r="FL676" s="1504">
        <v>55032</v>
      </c>
      <c r="FM676" s="19"/>
      <c r="FN676" s="93"/>
      <c r="FO676" s="93"/>
      <c r="FP676" s="93"/>
      <c r="FQ676" s="93"/>
      <c r="FR676" s="93"/>
      <c r="FS676" s="93"/>
      <c r="FT676" s="93"/>
      <c r="FU676" s="93"/>
      <c r="FV676" s="93"/>
      <c r="FW676" s="93"/>
      <c r="FX676" s="93"/>
      <c r="FY676" s="93"/>
      <c r="FZ676" s="29"/>
      <c r="GA676" s="1504">
        <v>55032</v>
      </c>
      <c r="GB676" s="19"/>
      <c r="GC676" s="93"/>
      <c r="GD676" s="93"/>
      <c r="GE676" s="93"/>
      <c r="GF676" s="93"/>
      <c r="GG676" s="93"/>
      <c r="GH676" s="93"/>
      <c r="GI676" s="93"/>
      <c r="GJ676" s="93"/>
      <c r="GK676" s="93"/>
      <c r="GL676" s="93"/>
      <c r="GM676" s="93"/>
      <c r="GN676" s="20"/>
      <c r="GO676" s="29"/>
      <c r="GP676" s="1504">
        <v>55032</v>
      </c>
      <c r="GQ676" s="19"/>
      <c r="GR676" s="93"/>
      <c r="GS676" s="93"/>
      <c r="GT676" s="93"/>
      <c r="GU676" s="93"/>
      <c r="GV676" s="20"/>
      <c r="GW676" s="19"/>
      <c r="GX676" s="93"/>
      <c r="GY676" s="93"/>
      <c r="GZ676" s="93"/>
      <c r="HA676" s="93"/>
      <c r="HB676" s="20"/>
      <c r="HC676" s="19"/>
      <c r="HD676" s="93"/>
      <c r="HE676" s="93"/>
      <c r="HF676" s="93"/>
      <c r="HG676" s="93"/>
      <c r="HH676" s="20"/>
      <c r="HI676" s="19"/>
      <c r="HJ676" s="93"/>
      <c r="HK676" s="93"/>
      <c r="HL676" s="93"/>
      <c r="HM676" s="93"/>
      <c r="HN676" s="20"/>
      <c r="HO676" s="219"/>
      <c r="HP676" s="20"/>
      <c r="HQ676" s="25"/>
      <c r="HR676" s="29"/>
      <c r="HS676" s="1504">
        <v>55032</v>
      </c>
      <c r="HT676" s="19"/>
      <c r="HU676" s="93"/>
      <c r="HV676" s="93"/>
      <c r="HW676" s="93"/>
      <c r="HX676" s="93"/>
      <c r="HY676" s="93"/>
      <c r="HZ676" s="93"/>
      <c r="IA676" s="20"/>
      <c r="IB676" s="19"/>
      <c r="IC676" s="93"/>
      <c r="ID676" s="93"/>
      <c r="IE676" s="93"/>
      <c r="IF676" s="93"/>
      <c r="IG676" s="20"/>
      <c r="IH676" s="19"/>
      <c r="II676" s="93"/>
      <c r="IJ676" s="93"/>
      <c r="IK676" s="93"/>
      <c r="IL676" s="93"/>
      <c r="IM676" s="93"/>
      <c r="IN676" s="93"/>
      <c r="IO676" s="20"/>
      <c r="IP676" s="29"/>
      <c r="IQ676" s="19"/>
      <c r="IR676" s="93"/>
      <c r="IS676" s="93"/>
      <c r="IT676" s="93"/>
      <c r="IU676" s="93"/>
      <c r="IV676" s="20"/>
      <c r="IW676" s="29"/>
      <c r="IX676" s="19"/>
      <c r="IY676" s="93"/>
      <c r="IZ676" s="93"/>
      <c r="JA676" s="93"/>
      <c r="JB676" s="93"/>
      <c r="JC676" s="93"/>
      <c r="JD676" s="93"/>
      <c r="JE676" s="20"/>
      <c r="JF676" s="29"/>
      <c r="JG676" s="19"/>
      <c r="JH676" s="93"/>
      <c r="JI676" s="93"/>
      <c r="JJ676" s="93"/>
      <c r="JK676" s="93"/>
      <c r="JL676" s="93"/>
      <c r="JM676" s="93"/>
      <c r="JN676" s="20"/>
      <c r="JO676" s="29"/>
      <c r="JP676" s="19"/>
      <c r="JQ676" s="93"/>
      <c r="JR676" s="93"/>
      <c r="JS676" s="93"/>
      <c r="JT676" s="93"/>
      <c r="JU676" s="20"/>
      <c r="JV676" s="29"/>
      <c r="JW676" s="1504">
        <v>55032</v>
      </c>
      <c r="JX676" s="19"/>
      <c r="JY676" s="93"/>
      <c r="JZ676" s="93"/>
      <c r="KA676" s="93"/>
      <c r="KB676" s="93"/>
      <c r="KC676" s="93"/>
      <c r="KD676" s="20"/>
      <c r="KE676" s="29"/>
      <c r="KF676" s="19"/>
      <c r="KG676" s="93"/>
      <c r="KH676" s="93"/>
      <c r="KI676" s="93"/>
      <c r="KJ676" s="93"/>
      <c r="KK676" s="20"/>
      <c r="KL676" s="29"/>
      <c r="KM676" s="19"/>
      <c r="KN676" s="93"/>
      <c r="KO676" s="93"/>
      <c r="KP676" s="93"/>
      <c r="KQ676" s="93"/>
      <c r="KR676" s="20"/>
      <c r="KS676" s="29"/>
      <c r="KT676" s="19"/>
      <c r="KU676" s="93"/>
      <c r="KV676" s="93"/>
      <c r="KW676" s="93"/>
      <c r="KX676" s="93"/>
      <c r="KY676" s="20"/>
      <c r="KZ676" s="29"/>
      <c r="LA676" s="1504">
        <v>55032</v>
      </c>
      <c r="LB676" s="19"/>
      <c r="LC676" s="93"/>
      <c r="LD676" s="93"/>
      <c r="LE676" s="93"/>
      <c r="LF676" s="93"/>
      <c r="LG676" s="93"/>
      <c r="LH676" s="20"/>
      <c r="LI676" s="29"/>
      <c r="LJ676" s="19"/>
      <c r="LK676" s="93"/>
      <c r="LL676" s="93"/>
      <c r="LM676" s="93"/>
      <c r="LN676" s="93"/>
      <c r="LO676" s="20"/>
      <c r="LP676" s="29"/>
      <c r="LQ676" s="19"/>
      <c r="LR676" s="93"/>
      <c r="LS676" s="93"/>
      <c r="LT676" s="93"/>
      <c r="LU676" s="93"/>
      <c r="LV676" s="93"/>
      <c r="LW676" s="93"/>
      <c r="LX676" s="93"/>
      <c r="LY676" s="93"/>
      <c r="LZ676" s="93"/>
      <c r="MA676" s="20"/>
      <c r="MB676" s="29"/>
      <c r="MC676" s="1504">
        <v>55032</v>
      </c>
      <c r="MD676" s="19"/>
      <c r="ME676" s="93"/>
      <c r="MF676" s="93"/>
      <c r="MG676" s="93"/>
      <c r="MH676" s="93"/>
      <c r="MI676" s="93"/>
      <c r="MJ676" s="93"/>
      <c r="MK676" s="93"/>
      <c r="ML676" s="93"/>
      <c r="MM676" s="93"/>
      <c r="MN676" s="93"/>
      <c r="MO676" s="93"/>
      <c r="MP676" s="93"/>
      <c r="MQ676" s="93"/>
      <c r="MR676" s="93"/>
      <c r="MS676" s="93"/>
      <c r="MT676" s="93"/>
      <c r="MU676" s="93"/>
      <c r="MV676" s="93"/>
      <c r="MW676" s="93"/>
      <c r="MX676" s="93"/>
      <c r="MY676" s="93"/>
      <c r="MZ676" s="93"/>
      <c r="NA676" s="93"/>
      <c r="NB676" s="93"/>
      <c r="NC676" s="93"/>
      <c r="ND676" s="93"/>
      <c r="NE676" s="93"/>
      <c r="NF676" s="93"/>
      <c r="NG676" s="93"/>
      <c r="NH676" s="93"/>
      <c r="NI676" s="93"/>
      <c r="NJ676" s="93"/>
      <c r="NK676" s="93"/>
      <c r="NL676" s="93"/>
      <c r="NM676" s="93"/>
      <c r="NN676" s="93"/>
      <c r="NO676" s="93"/>
      <c r="NP676" s="93"/>
      <c r="NQ676" s="93"/>
      <c r="NR676" s="93"/>
      <c r="NS676" s="93"/>
      <c r="NT676" s="93"/>
      <c r="NU676" s="93"/>
      <c r="NV676" s="93"/>
      <c r="NW676" s="93"/>
      <c r="NX676" s="93"/>
      <c r="NY676" s="93"/>
      <c r="NZ676" s="93"/>
      <c r="OA676" s="93"/>
      <c r="OB676" s="93"/>
      <c r="OC676" s="93"/>
      <c r="OD676" s="20"/>
      <c r="OE676" s="29"/>
      <c r="OF676" s="1504">
        <v>55032</v>
      </c>
      <c r="OG676" s="19"/>
      <c r="OH676" s="93"/>
      <c r="OI676" s="93"/>
      <c r="OJ676" s="93"/>
      <c r="OK676" s="93"/>
      <c r="OL676" s="93"/>
      <c r="OM676" s="93"/>
      <c r="ON676" s="93"/>
      <c r="OO676" s="93"/>
      <c r="OP676" s="93"/>
      <c r="OQ676" s="93"/>
      <c r="OR676" s="93"/>
      <c r="OS676" s="93"/>
      <c r="OT676" s="93"/>
      <c r="OU676" s="93"/>
      <c r="OV676" s="93"/>
      <c r="OW676" s="93"/>
      <c r="OX676" s="93"/>
      <c r="OY676" s="93"/>
      <c r="OZ676" s="93"/>
      <c r="PA676" s="93"/>
      <c r="PB676" s="93"/>
      <c r="PC676" s="20"/>
      <c r="PD676" s="29"/>
      <c r="PE676" s="19"/>
      <c r="PF676" s="93"/>
      <c r="PG676" s="93"/>
      <c r="PH676" s="93"/>
      <c r="PI676" s="93"/>
      <c r="PJ676" s="93"/>
      <c r="PK676" s="93"/>
      <c r="PL676" s="93"/>
      <c r="PM676" s="93"/>
      <c r="PN676" s="93"/>
      <c r="PO676" s="93"/>
      <c r="PP676" s="93"/>
      <c r="PQ676" s="93"/>
      <c r="PR676" s="93"/>
      <c r="PS676" s="93"/>
      <c r="PT676" s="93"/>
      <c r="PU676" s="93"/>
      <c r="PV676" s="93"/>
      <c r="PW676" s="93"/>
      <c r="PX676" s="93"/>
      <c r="PY676" s="93"/>
      <c r="PZ676" s="93"/>
      <c r="QA676" s="93"/>
      <c r="QB676" s="93"/>
      <c r="QC676" s="93"/>
      <c r="QD676" s="93"/>
      <c r="QE676" s="20"/>
      <c r="QF676" s="1739"/>
      <c r="QG676" s="19"/>
      <c r="QH676" s="93"/>
      <c r="QI676" s="93"/>
      <c r="QJ676" s="93"/>
      <c r="QK676" s="93"/>
      <c r="QL676" s="93"/>
      <c r="QM676" s="93"/>
      <c r="QN676" s="93"/>
      <c r="QO676" s="93"/>
      <c r="QP676" s="93"/>
      <c r="QQ676" s="93"/>
      <c r="QR676" s="93"/>
      <c r="QS676" s="93"/>
      <c r="QT676" s="93"/>
      <c r="QU676" s="93"/>
      <c r="QV676" s="93"/>
      <c r="QW676" s="93"/>
      <c r="QX676" s="93"/>
      <c r="QY676" s="93"/>
      <c r="QZ676" s="93"/>
      <c r="RA676" s="93"/>
      <c r="RB676" s="93"/>
      <c r="RC676" s="93"/>
      <c r="RD676" s="93"/>
      <c r="RE676" s="93"/>
      <c r="RF676" s="93"/>
      <c r="RG676" s="93"/>
      <c r="RH676" s="93"/>
      <c r="RI676" s="93"/>
      <c r="RJ676" s="93"/>
      <c r="RK676" s="93"/>
      <c r="RL676" s="93"/>
      <c r="RM676" s="20"/>
      <c r="RN676" s="29"/>
      <c r="RO676" s="19"/>
      <c r="RP676" s="20"/>
      <c r="RQ676" s="29"/>
      <c r="RR676" s="20"/>
      <c r="RS676" s="29"/>
      <c r="RT676" s="1504">
        <v>55032</v>
      </c>
      <c r="RU676" s="19"/>
      <c r="RV676" s="20"/>
      <c r="RW676" s="29"/>
      <c r="RX676" s="1504">
        <v>55032</v>
      </c>
      <c r="RY676" s="29"/>
      <c r="RZ676" s="20"/>
      <c r="SA676" s="29"/>
      <c r="SB676" s="29"/>
    </row>
    <row r="677" spans="1:496">
      <c r="A677" s="41">
        <f t="shared" si="366"/>
        <v>2050</v>
      </c>
      <c r="B677" s="1504">
        <v>55062</v>
      </c>
      <c r="C677" s="1813"/>
      <c r="D677" s="1814"/>
      <c r="E677" s="1814"/>
      <c r="F677" s="1815"/>
      <c r="G677" s="1814"/>
      <c r="H677" s="1814"/>
      <c r="I677" s="1814"/>
      <c r="J677" s="1816"/>
      <c r="K677" s="1807"/>
      <c r="L677" s="25"/>
      <c r="M677" s="97"/>
      <c r="N677" s="1504">
        <v>55062</v>
      </c>
      <c r="O677" s="19"/>
      <c r="P677" s="93"/>
      <c r="Q677" s="93"/>
      <c r="R677" s="93"/>
      <c r="S677" s="93"/>
      <c r="T677" s="93"/>
      <c r="U677" s="93"/>
      <c r="V677" s="93"/>
      <c r="W677" s="93"/>
      <c r="X677" s="93"/>
      <c r="Y677" s="93"/>
      <c r="Z677" s="93"/>
      <c r="AA677" s="93"/>
      <c r="AB677" s="20"/>
      <c r="AC677" s="25"/>
      <c r="AD677" s="97"/>
      <c r="AE677" s="1504">
        <v>55062</v>
      </c>
      <c r="AF677" s="19"/>
      <c r="AG677" s="93"/>
      <c r="AH677" s="93"/>
      <c r="AI677" s="93"/>
      <c r="AJ677" s="93"/>
      <c r="AK677" s="93"/>
      <c r="AL677" s="93"/>
      <c r="AM677" s="93"/>
      <c r="AN677" s="93"/>
      <c r="AO677" s="93"/>
      <c r="AP677" s="93"/>
      <c r="AQ677" s="93"/>
      <c r="AR677" s="93"/>
      <c r="AS677" s="20"/>
      <c r="AT677" s="25"/>
      <c r="AU677" s="97"/>
      <c r="AV677" s="1504">
        <v>55062</v>
      </c>
      <c r="AW677" s="19"/>
      <c r="AX677" s="93"/>
      <c r="AY677" s="93"/>
      <c r="AZ677" s="93"/>
      <c r="BA677" s="93"/>
      <c r="BB677" s="93"/>
      <c r="BC677" s="93"/>
      <c r="BD677" s="93"/>
      <c r="BE677" s="93"/>
      <c r="BF677" s="93"/>
      <c r="BG677" s="93"/>
      <c r="BH677" s="93"/>
      <c r="BI677" s="93"/>
      <c r="BJ677" s="20"/>
      <c r="BK677" s="25"/>
      <c r="BL677" s="97"/>
      <c r="BM677" s="1504">
        <v>55062</v>
      </c>
      <c r="BN677" s="19"/>
      <c r="BO677" s="93"/>
      <c r="BP677" s="93"/>
      <c r="BQ677" s="93"/>
      <c r="BR677" s="93"/>
      <c r="BS677" s="93"/>
      <c r="BT677" s="93"/>
      <c r="BU677" s="20"/>
      <c r="BV677" s="25"/>
      <c r="BW677" s="97"/>
      <c r="BX677" s="1504">
        <v>55062</v>
      </c>
      <c r="BY677" s="19"/>
      <c r="BZ677" s="93"/>
      <c r="CA677" s="93"/>
      <c r="CB677" s="93"/>
      <c r="CC677" s="93"/>
      <c r="CD677" s="25"/>
      <c r="CE677" s="97"/>
      <c r="CF677" s="1504">
        <v>55062</v>
      </c>
      <c r="CG677" s="19"/>
      <c r="CH677" s="93"/>
      <c r="CI677" s="219"/>
      <c r="CJ677" s="20"/>
      <c r="CK677" s="19"/>
      <c r="CL677" s="93"/>
      <c r="CM677" s="93"/>
      <c r="CN677" s="93"/>
      <c r="CO677" s="93"/>
      <c r="CP677" s="20"/>
      <c r="CQ677" s="219"/>
      <c r="CR677" s="93"/>
      <c r="CS677" s="93"/>
      <c r="CT677" s="93"/>
      <c r="CU677" s="93"/>
      <c r="CV677" s="214"/>
      <c r="CW677" s="29"/>
      <c r="CX677" s="41">
        <f t="shared" si="365"/>
        <v>2050</v>
      </c>
      <c r="CY677" s="1504">
        <v>55062</v>
      </c>
      <c r="CZ677" s="19"/>
      <c r="DA677" s="93"/>
      <c r="DB677" s="93"/>
      <c r="DC677" s="93"/>
      <c r="DD677" s="93"/>
      <c r="DE677" s="20"/>
      <c r="DF677" s="29"/>
      <c r="DG677" s="1504">
        <v>55062</v>
      </c>
      <c r="DH677" s="19"/>
      <c r="DI677" s="93"/>
      <c r="DJ677" s="93"/>
      <c r="DK677" s="93"/>
      <c r="DL677" s="93"/>
      <c r="DM677" s="93"/>
      <c r="DN677" s="20"/>
      <c r="DO677" s="295"/>
      <c r="DP677" s="29"/>
      <c r="DQ677" s="1504">
        <v>55062</v>
      </c>
      <c r="DR677" s="19"/>
      <c r="DS677" s="93"/>
      <c r="DT677" s="93"/>
      <c r="DU677" s="93"/>
      <c r="DV677" s="93"/>
      <c r="DW677" s="93"/>
      <c r="DX677" s="20"/>
      <c r="DY677" s="29"/>
      <c r="DZ677" s="1504">
        <v>55062</v>
      </c>
      <c r="EA677" s="19"/>
      <c r="EB677" s="93"/>
      <c r="EC677" s="20"/>
      <c r="ED677" s="29"/>
      <c r="EE677" s="1504">
        <v>55062</v>
      </c>
      <c r="EF677" s="19"/>
      <c r="EG677" s="93"/>
      <c r="EH677" s="93"/>
      <c r="EI677" s="214"/>
      <c r="EJ677" s="93"/>
      <c r="EK677" s="93"/>
      <c r="EL677" s="93"/>
      <c r="EM677" s="93"/>
      <c r="EN677" s="20"/>
      <c r="EO677" s="29"/>
      <c r="EP677" s="1504">
        <v>55062</v>
      </c>
      <c r="EQ677" s="19"/>
      <c r="ER677" s="93"/>
      <c r="ES677" s="93"/>
      <c r="ET677" s="214"/>
      <c r="EU677" s="93"/>
      <c r="EV677" s="93"/>
      <c r="EW677" s="93"/>
      <c r="EX677" s="93"/>
      <c r="EY677" s="20"/>
      <c r="EZ677" s="29"/>
      <c r="FA677" s="1504">
        <v>55062</v>
      </c>
      <c r="FB677" s="29"/>
      <c r="FC677" s="29"/>
      <c r="FD677" s="29"/>
      <c r="FE677" s="29"/>
      <c r="FF677" s="29"/>
      <c r="FG677" s="29"/>
      <c r="FH677" s="29"/>
      <c r="FI677" s="29"/>
      <c r="FJ677" s="29"/>
      <c r="FK677" s="29"/>
      <c r="FL677" s="1504">
        <v>55062</v>
      </c>
      <c r="FM677" s="19"/>
      <c r="FN677" s="93"/>
      <c r="FO677" s="93"/>
      <c r="FP677" s="93"/>
      <c r="FQ677" s="93"/>
      <c r="FR677" s="93"/>
      <c r="FS677" s="93"/>
      <c r="FT677" s="93"/>
      <c r="FU677" s="93"/>
      <c r="FV677" s="93"/>
      <c r="FW677" s="93"/>
      <c r="FX677" s="93"/>
      <c r="FY677" s="93"/>
      <c r="FZ677" s="29"/>
      <c r="GA677" s="1504">
        <v>55062</v>
      </c>
      <c r="GB677" s="19"/>
      <c r="GC677" s="93"/>
      <c r="GD677" s="93"/>
      <c r="GE677" s="93"/>
      <c r="GF677" s="93"/>
      <c r="GG677" s="93"/>
      <c r="GH677" s="93"/>
      <c r="GI677" s="93"/>
      <c r="GJ677" s="93"/>
      <c r="GK677" s="93"/>
      <c r="GL677" s="93"/>
      <c r="GM677" s="93"/>
      <c r="GN677" s="20"/>
      <c r="GO677" s="29"/>
      <c r="GP677" s="1504">
        <v>55062</v>
      </c>
      <c r="GQ677" s="19"/>
      <c r="GR677" s="93"/>
      <c r="GS677" s="93"/>
      <c r="GT677" s="93"/>
      <c r="GU677" s="93"/>
      <c r="GV677" s="20"/>
      <c r="GW677" s="19"/>
      <c r="GX677" s="93"/>
      <c r="GY677" s="93"/>
      <c r="GZ677" s="93"/>
      <c r="HA677" s="93"/>
      <c r="HB677" s="20"/>
      <c r="HC677" s="19"/>
      <c r="HD677" s="93"/>
      <c r="HE677" s="93"/>
      <c r="HF677" s="93"/>
      <c r="HG677" s="93"/>
      <c r="HH677" s="20"/>
      <c r="HI677" s="19"/>
      <c r="HJ677" s="93"/>
      <c r="HK677" s="93"/>
      <c r="HL677" s="93"/>
      <c r="HM677" s="93"/>
      <c r="HN677" s="20"/>
      <c r="HO677" s="219"/>
      <c r="HP677" s="20"/>
      <c r="HQ677" s="25"/>
      <c r="HR677" s="29"/>
      <c r="HS677" s="1504">
        <v>55062</v>
      </c>
      <c r="HT677" s="19"/>
      <c r="HU677" s="93"/>
      <c r="HV677" s="93"/>
      <c r="HW677" s="93"/>
      <c r="HX677" s="93"/>
      <c r="HY677" s="93"/>
      <c r="HZ677" s="93"/>
      <c r="IA677" s="20"/>
      <c r="IB677" s="19"/>
      <c r="IC677" s="93"/>
      <c r="ID677" s="93"/>
      <c r="IE677" s="93"/>
      <c r="IF677" s="93"/>
      <c r="IG677" s="20"/>
      <c r="IH677" s="19"/>
      <c r="II677" s="93"/>
      <c r="IJ677" s="93"/>
      <c r="IK677" s="93"/>
      <c r="IL677" s="93"/>
      <c r="IM677" s="93"/>
      <c r="IN677" s="93"/>
      <c r="IO677" s="20"/>
      <c r="IP677" s="29"/>
      <c r="IQ677" s="19"/>
      <c r="IR677" s="93"/>
      <c r="IS677" s="93"/>
      <c r="IT677" s="93"/>
      <c r="IU677" s="93"/>
      <c r="IV677" s="20"/>
      <c r="IW677" s="29"/>
      <c r="IX677" s="19"/>
      <c r="IY677" s="93"/>
      <c r="IZ677" s="93"/>
      <c r="JA677" s="93"/>
      <c r="JB677" s="93"/>
      <c r="JC677" s="93"/>
      <c r="JD677" s="93"/>
      <c r="JE677" s="20"/>
      <c r="JF677" s="29"/>
      <c r="JG677" s="19"/>
      <c r="JH677" s="93"/>
      <c r="JI677" s="93"/>
      <c r="JJ677" s="93"/>
      <c r="JK677" s="93"/>
      <c r="JL677" s="93"/>
      <c r="JM677" s="93"/>
      <c r="JN677" s="20"/>
      <c r="JO677" s="29"/>
      <c r="JP677" s="19"/>
      <c r="JQ677" s="93"/>
      <c r="JR677" s="93"/>
      <c r="JS677" s="93"/>
      <c r="JT677" s="93"/>
      <c r="JU677" s="20"/>
      <c r="JV677" s="29"/>
      <c r="JW677" s="1504">
        <v>55062</v>
      </c>
      <c r="JX677" s="19"/>
      <c r="JY677" s="93"/>
      <c r="JZ677" s="93"/>
      <c r="KA677" s="93"/>
      <c r="KB677" s="93"/>
      <c r="KC677" s="93"/>
      <c r="KD677" s="20"/>
      <c r="KE677" s="29"/>
      <c r="KF677" s="19"/>
      <c r="KG677" s="93"/>
      <c r="KH677" s="93"/>
      <c r="KI677" s="93"/>
      <c r="KJ677" s="93"/>
      <c r="KK677" s="20"/>
      <c r="KL677" s="29"/>
      <c r="KM677" s="19"/>
      <c r="KN677" s="93"/>
      <c r="KO677" s="93"/>
      <c r="KP677" s="93"/>
      <c r="KQ677" s="93"/>
      <c r="KR677" s="20"/>
      <c r="KS677" s="29"/>
      <c r="KT677" s="19"/>
      <c r="KU677" s="93"/>
      <c r="KV677" s="93"/>
      <c r="KW677" s="93"/>
      <c r="KX677" s="93"/>
      <c r="KY677" s="20"/>
      <c r="KZ677" s="29"/>
      <c r="LA677" s="1504">
        <v>55062</v>
      </c>
      <c r="LB677" s="19"/>
      <c r="LC677" s="93"/>
      <c r="LD677" s="93"/>
      <c r="LE677" s="93"/>
      <c r="LF677" s="93"/>
      <c r="LG677" s="93"/>
      <c r="LH677" s="20"/>
      <c r="LI677" s="29"/>
      <c r="LJ677" s="19"/>
      <c r="LK677" s="93"/>
      <c r="LL677" s="93"/>
      <c r="LM677" s="93"/>
      <c r="LN677" s="93"/>
      <c r="LO677" s="20"/>
      <c r="LP677" s="29"/>
      <c r="LQ677" s="19"/>
      <c r="LR677" s="93"/>
      <c r="LS677" s="93"/>
      <c r="LT677" s="93"/>
      <c r="LU677" s="93"/>
      <c r="LV677" s="93"/>
      <c r="LW677" s="93"/>
      <c r="LX677" s="93"/>
      <c r="LY677" s="93"/>
      <c r="LZ677" s="93"/>
      <c r="MA677" s="20"/>
      <c r="MB677" s="29"/>
      <c r="MC677" s="1504">
        <v>55062</v>
      </c>
      <c r="MD677" s="19"/>
      <c r="ME677" s="93"/>
      <c r="MF677" s="93"/>
      <c r="MG677" s="93"/>
      <c r="MH677" s="93"/>
      <c r="MI677" s="93"/>
      <c r="MJ677" s="93"/>
      <c r="MK677" s="93"/>
      <c r="ML677" s="93"/>
      <c r="MM677" s="93"/>
      <c r="MN677" s="93"/>
      <c r="MO677" s="93"/>
      <c r="MP677" s="93"/>
      <c r="MQ677" s="93"/>
      <c r="MR677" s="93"/>
      <c r="MS677" s="93"/>
      <c r="MT677" s="93"/>
      <c r="MU677" s="93"/>
      <c r="MV677" s="93"/>
      <c r="MW677" s="93"/>
      <c r="MX677" s="93"/>
      <c r="MY677" s="93"/>
      <c r="MZ677" s="93"/>
      <c r="NA677" s="93"/>
      <c r="NB677" s="93"/>
      <c r="NC677" s="93"/>
      <c r="ND677" s="93"/>
      <c r="NE677" s="93"/>
      <c r="NF677" s="93"/>
      <c r="NG677" s="93"/>
      <c r="NH677" s="93"/>
      <c r="NI677" s="93"/>
      <c r="NJ677" s="93"/>
      <c r="NK677" s="93"/>
      <c r="NL677" s="93"/>
      <c r="NM677" s="93"/>
      <c r="NN677" s="93"/>
      <c r="NO677" s="93"/>
      <c r="NP677" s="93"/>
      <c r="NQ677" s="93"/>
      <c r="NR677" s="93"/>
      <c r="NS677" s="93"/>
      <c r="NT677" s="93"/>
      <c r="NU677" s="93"/>
      <c r="NV677" s="93"/>
      <c r="NW677" s="93"/>
      <c r="NX677" s="93"/>
      <c r="NY677" s="93"/>
      <c r="NZ677" s="93"/>
      <c r="OA677" s="93"/>
      <c r="OB677" s="93"/>
      <c r="OC677" s="93"/>
      <c r="OD677" s="20"/>
      <c r="OE677" s="29"/>
      <c r="OF677" s="1504">
        <v>55062</v>
      </c>
      <c r="OG677" s="19"/>
      <c r="OH677" s="93"/>
      <c r="OI677" s="93"/>
      <c r="OJ677" s="93"/>
      <c r="OK677" s="93"/>
      <c r="OL677" s="93"/>
      <c r="OM677" s="93"/>
      <c r="ON677" s="93"/>
      <c r="OO677" s="93"/>
      <c r="OP677" s="93"/>
      <c r="OQ677" s="93"/>
      <c r="OR677" s="93"/>
      <c r="OS677" s="93"/>
      <c r="OT677" s="93"/>
      <c r="OU677" s="93"/>
      <c r="OV677" s="93"/>
      <c r="OW677" s="93"/>
      <c r="OX677" s="93"/>
      <c r="OY677" s="93"/>
      <c r="OZ677" s="93"/>
      <c r="PA677" s="93"/>
      <c r="PB677" s="93"/>
      <c r="PC677" s="20"/>
      <c r="PD677" s="29"/>
      <c r="PE677" s="19"/>
      <c r="PF677" s="93"/>
      <c r="PG677" s="93"/>
      <c r="PH677" s="93"/>
      <c r="PI677" s="93"/>
      <c r="PJ677" s="93"/>
      <c r="PK677" s="93"/>
      <c r="PL677" s="93"/>
      <c r="PM677" s="93"/>
      <c r="PN677" s="93"/>
      <c r="PO677" s="93"/>
      <c r="PP677" s="93"/>
      <c r="PQ677" s="93"/>
      <c r="PR677" s="93"/>
      <c r="PS677" s="93"/>
      <c r="PT677" s="93"/>
      <c r="PU677" s="93"/>
      <c r="PV677" s="93"/>
      <c r="PW677" s="93"/>
      <c r="PX677" s="93"/>
      <c r="PY677" s="93"/>
      <c r="PZ677" s="93"/>
      <c r="QA677" s="93"/>
      <c r="QB677" s="93"/>
      <c r="QC677" s="93"/>
      <c r="QD677" s="93"/>
      <c r="QE677" s="20"/>
      <c r="QF677" s="1739"/>
      <c r="QG677" s="19"/>
      <c r="QH677" s="93"/>
      <c r="QI677" s="93"/>
      <c r="QJ677" s="93"/>
      <c r="QK677" s="93"/>
      <c r="QL677" s="93"/>
      <c r="QM677" s="93"/>
      <c r="QN677" s="93"/>
      <c r="QO677" s="93"/>
      <c r="QP677" s="93"/>
      <c r="QQ677" s="93"/>
      <c r="QR677" s="93"/>
      <c r="QS677" s="93"/>
      <c r="QT677" s="93"/>
      <c r="QU677" s="93"/>
      <c r="QV677" s="93"/>
      <c r="QW677" s="93"/>
      <c r="QX677" s="93"/>
      <c r="QY677" s="93"/>
      <c r="QZ677" s="93"/>
      <c r="RA677" s="93"/>
      <c r="RB677" s="93"/>
      <c r="RC677" s="93"/>
      <c r="RD677" s="93"/>
      <c r="RE677" s="93"/>
      <c r="RF677" s="93"/>
      <c r="RG677" s="93"/>
      <c r="RH677" s="93"/>
      <c r="RI677" s="93"/>
      <c r="RJ677" s="93"/>
      <c r="RK677" s="93"/>
      <c r="RL677" s="93"/>
      <c r="RM677" s="20"/>
      <c r="RN677" s="29"/>
      <c r="RO677" s="19"/>
      <c r="RP677" s="20"/>
      <c r="RQ677" s="29"/>
      <c r="RR677" s="20"/>
      <c r="RS677" s="29"/>
      <c r="RT677" s="1504">
        <v>55062</v>
      </c>
      <c r="RU677" s="19"/>
      <c r="RV677" s="20"/>
      <c r="RW677" s="29"/>
      <c r="RX677" s="1504">
        <v>55062</v>
      </c>
      <c r="RY677" s="29"/>
      <c r="RZ677" s="20"/>
      <c r="SA677" s="29"/>
      <c r="SB677" s="29"/>
    </row>
    <row r="678" spans="1:496">
      <c r="A678" s="41">
        <f t="shared" si="366"/>
        <v>2050</v>
      </c>
      <c r="B678" s="1504">
        <v>55093</v>
      </c>
      <c r="C678" s="1813"/>
      <c r="D678" s="1814"/>
      <c r="E678" s="1814"/>
      <c r="F678" s="1815"/>
      <c r="G678" s="1814"/>
      <c r="H678" s="1814"/>
      <c r="I678" s="1814"/>
      <c r="J678" s="1816"/>
      <c r="K678" s="1807"/>
      <c r="L678" s="25"/>
      <c r="M678" s="97"/>
      <c r="N678" s="1504">
        <v>55093</v>
      </c>
      <c r="O678" s="19"/>
      <c r="P678" s="93"/>
      <c r="Q678" s="93"/>
      <c r="R678" s="93"/>
      <c r="S678" s="93"/>
      <c r="T678" s="93"/>
      <c r="U678" s="93"/>
      <c r="V678" s="93"/>
      <c r="W678" s="93"/>
      <c r="X678" s="93"/>
      <c r="Y678" s="93"/>
      <c r="Z678" s="93"/>
      <c r="AA678" s="93"/>
      <c r="AB678" s="20"/>
      <c r="AC678" s="25"/>
      <c r="AD678" s="97"/>
      <c r="AE678" s="1504">
        <v>55093</v>
      </c>
      <c r="AF678" s="19"/>
      <c r="AG678" s="93"/>
      <c r="AH678" s="93"/>
      <c r="AI678" s="93"/>
      <c r="AJ678" s="93"/>
      <c r="AK678" s="93"/>
      <c r="AL678" s="93"/>
      <c r="AM678" s="93"/>
      <c r="AN678" s="93"/>
      <c r="AO678" s="93"/>
      <c r="AP678" s="93"/>
      <c r="AQ678" s="93"/>
      <c r="AR678" s="93"/>
      <c r="AS678" s="20"/>
      <c r="AT678" s="25"/>
      <c r="AU678" s="97"/>
      <c r="AV678" s="1504">
        <v>55093</v>
      </c>
      <c r="AW678" s="19"/>
      <c r="AX678" s="93"/>
      <c r="AY678" s="93"/>
      <c r="AZ678" s="93"/>
      <c r="BA678" s="93"/>
      <c r="BB678" s="93"/>
      <c r="BC678" s="93"/>
      <c r="BD678" s="93"/>
      <c r="BE678" s="93"/>
      <c r="BF678" s="93"/>
      <c r="BG678" s="93"/>
      <c r="BH678" s="93"/>
      <c r="BI678" s="93"/>
      <c r="BJ678" s="20"/>
      <c r="BK678" s="25"/>
      <c r="BL678" s="97"/>
      <c r="BM678" s="1504">
        <v>55093</v>
      </c>
      <c r="BN678" s="19"/>
      <c r="BO678" s="93"/>
      <c r="BP678" s="93"/>
      <c r="BQ678" s="93"/>
      <c r="BR678" s="93"/>
      <c r="BS678" s="93"/>
      <c r="BT678" s="93"/>
      <c r="BU678" s="20"/>
      <c r="BV678" s="25"/>
      <c r="BW678" s="97"/>
      <c r="BX678" s="1504">
        <v>55093</v>
      </c>
      <c r="BY678" s="19"/>
      <c r="BZ678" s="93"/>
      <c r="CA678" s="93"/>
      <c r="CB678" s="93"/>
      <c r="CC678" s="93"/>
      <c r="CD678" s="25"/>
      <c r="CE678" s="97"/>
      <c r="CF678" s="1504">
        <v>55093</v>
      </c>
      <c r="CG678" s="19"/>
      <c r="CH678" s="93"/>
      <c r="CI678" s="219"/>
      <c r="CJ678" s="20"/>
      <c r="CK678" s="19"/>
      <c r="CL678" s="93"/>
      <c r="CM678" s="93"/>
      <c r="CN678" s="93"/>
      <c r="CO678" s="93"/>
      <c r="CP678" s="20"/>
      <c r="CQ678" s="219"/>
      <c r="CR678" s="93"/>
      <c r="CS678" s="93"/>
      <c r="CT678" s="93"/>
      <c r="CU678" s="93"/>
      <c r="CV678" s="214"/>
      <c r="CW678" s="29"/>
      <c r="CX678" s="41">
        <f t="shared" si="365"/>
        <v>2050</v>
      </c>
      <c r="CY678" s="1504">
        <v>55093</v>
      </c>
      <c r="CZ678" s="19"/>
      <c r="DA678" s="93"/>
      <c r="DB678" s="93"/>
      <c r="DC678" s="93"/>
      <c r="DD678" s="93"/>
      <c r="DE678" s="20"/>
      <c r="DF678" s="29"/>
      <c r="DG678" s="1504">
        <v>55093</v>
      </c>
      <c r="DH678" s="19"/>
      <c r="DI678" s="93"/>
      <c r="DJ678" s="93"/>
      <c r="DK678" s="93"/>
      <c r="DL678" s="93"/>
      <c r="DM678" s="93"/>
      <c r="DN678" s="20"/>
      <c r="DO678" s="295"/>
      <c r="DP678" s="29"/>
      <c r="DQ678" s="1504">
        <v>55093</v>
      </c>
      <c r="DR678" s="19"/>
      <c r="DS678" s="93"/>
      <c r="DT678" s="93"/>
      <c r="DU678" s="93"/>
      <c r="DV678" s="93"/>
      <c r="DW678" s="93"/>
      <c r="DX678" s="20"/>
      <c r="DY678" s="29"/>
      <c r="DZ678" s="1504">
        <v>55093</v>
      </c>
      <c r="EA678" s="19"/>
      <c r="EB678" s="93"/>
      <c r="EC678" s="20"/>
      <c r="ED678" s="29"/>
      <c r="EE678" s="1504">
        <v>55093</v>
      </c>
      <c r="EF678" s="19"/>
      <c r="EG678" s="93"/>
      <c r="EH678" s="93"/>
      <c r="EI678" s="214"/>
      <c r="EJ678" s="93"/>
      <c r="EK678" s="93"/>
      <c r="EL678" s="93"/>
      <c r="EM678" s="93"/>
      <c r="EN678" s="20"/>
      <c r="EO678" s="29"/>
      <c r="EP678" s="1504">
        <v>55093</v>
      </c>
      <c r="EQ678" s="19"/>
      <c r="ER678" s="93"/>
      <c r="ES678" s="93"/>
      <c r="ET678" s="214"/>
      <c r="EU678" s="93"/>
      <c r="EV678" s="93"/>
      <c r="EW678" s="93"/>
      <c r="EX678" s="93"/>
      <c r="EY678" s="20"/>
      <c r="EZ678" s="29"/>
      <c r="FA678" s="1504">
        <v>55093</v>
      </c>
      <c r="FB678" s="29"/>
      <c r="FC678" s="29"/>
      <c r="FD678" s="29"/>
      <c r="FE678" s="29"/>
      <c r="FF678" s="29"/>
      <c r="FG678" s="29"/>
      <c r="FH678" s="29"/>
      <c r="FI678" s="29"/>
      <c r="FJ678" s="29"/>
      <c r="FK678" s="29"/>
      <c r="FL678" s="1504">
        <v>55093</v>
      </c>
      <c r="FM678" s="19"/>
      <c r="FN678" s="93"/>
      <c r="FO678" s="93"/>
      <c r="FP678" s="93"/>
      <c r="FQ678" s="93"/>
      <c r="FR678" s="93"/>
      <c r="FS678" s="93"/>
      <c r="FT678" s="93"/>
      <c r="FU678" s="93"/>
      <c r="FV678" s="93"/>
      <c r="FW678" s="93"/>
      <c r="FX678" s="93"/>
      <c r="FY678" s="93"/>
      <c r="FZ678" s="29"/>
      <c r="GA678" s="1504">
        <v>55093</v>
      </c>
      <c r="GB678" s="19"/>
      <c r="GC678" s="93"/>
      <c r="GD678" s="93"/>
      <c r="GE678" s="93"/>
      <c r="GF678" s="93"/>
      <c r="GG678" s="93"/>
      <c r="GH678" s="93"/>
      <c r="GI678" s="93"/>
      <c r="GJ678" s="93"/>
      <c r="GK678" s="93"/>
      <c r="GL678" s="93"/>
      <c r="GM678" s="93"/>
      <c r="GN678" s="20"/>
      <c r="GO678" s="29"/>
      <c r="GP678" s="1504">
        <v>55093</v>
      </c>
      <c r="GQ678" s="19"/>
      <c r="GR678" s="93"/>
      <c r="GS678" s="93"/>
      <c r="GT678" s="93"/>
      <c r="GU678" s="93"/>
      <c r="GV678" s="20"/>
      <c r="GW678" s="19"/>
      <c r="GX678" s="93"/>
      <c r="GY678" s="93"/>
      <c r="GZ678" s="93"/>
      <c r="HA678" s="93"/>
      <c r="HB678" s="20"/>
      <c r="HC678" s="19"/>
      <c r="HD678" s="93"/>
      <c r="HE678" s="93"/>
      <c r="HF678" s="93"/>
      <c r="HG678" s="93"/>
      <c r="HH678" s="20"/>
      <c r="HI678" s="19"/>
      <c r="HJ678" s="93"/>
      <c r="HK678" s="93"/>
      <c r="HL678" s="93"/>
      <c r="HM678" s="93"/>
      <c r="HN678" s="20"/>
      <c r="HO678" s="219"/>
      <c r="HP678" s="20"/>
      <c r="HQ678" s="25"/>
      <c r="HR678" s="29"/>
      <c r="HS678" s="1504">
        <v>55093</v>
      </c>
      <c r="HT678" s="19"/>
      <c r="HU678" s="93"/>
      <c r="HV678" s="93"/>
      <c r="HW678" s="93"/>
      <c r="HX678" s="93"/>
      <c r="HY678" s="93"/>
      <c r="HZ678" s="93"/>
      <c r="IA678" s="20"/>
      <c r="IB678" s="19"/>
      <c r="IC678" s="93"/>
      <c r="ID678" s="93"/>
      <c r="IE678" s="93"/>
      <c r="IF678" s="93"/>
      <c r="IG678" s="20"/>
      <c r="IH678" s="19"/>
      <c r="II678" s="93"/>
      <c r="IJ678" s="93"/>
      <c r="IK678" s="93"/>
      <c r="IL678" s="93"/>
      <c r="IM678" s="93"/>
      <c r="IN678" s="93"/>
      <c r="IO678" s="20"/>
      <c r="IP678" s="29"/>
      <c r="IQ678" s="19"/>
      <c r="IR678" s="93"/>
      <c r="IS678" s="93"/>
      <c r="IT678" s="93"/>
      <c r="IU678" s="93"/>
      <c r="IV678" s="20"/>
      <c r="IW678" s="29"/>
      <c r="IX678" s="19"/>
      <c r="IY678" s="93"/>
      <c r="IZ678" s="93"/>
      <c r="JA678" s="93"/>
      <c r="JB678" s="93"/>
      <c r="JC678" s="93"/>
      <c r="JD678" s="93"/>
      <c r="JE678" s="20"/>
      <c r="JF678" s="29"/>
      <c r="JG678" s="19"/>
      <c r="JH678" s="93"/>
      <c r="JI678" s="93"/>
      <c r="JJ678" s="93"/>
      <c r="JK678" s="93"/>
      <c r="JL678" s="93"/>
      <c r="JM678" s="93"/>
      <c r="JN678" s="20"/>
      <c r="JO678" s="29"/>
      <c r="JP678" s="19"/>
      <c r="JQ678" s="93"/>
      <c r="JR678" s="93"/>
      <c r="JS678" s="93"/>
      <c r="JT678" s="93"/>
      <c r="JU678" s="20"/>
      <c r="JV678" s="29"/>
      <c r="JW678" s="1504">
        <v>55093</v>
      </c>
      <c r="JX678" s="19"/>
      <c r="JY678" s="93"/>
      <c r="JZ678" s="93"/>
      <c r="KA678" s="93"/>
      <c r="KB678" s="93"/>
      <c r="KC678" s="93"/>
      <c r="KD678" s="20"/>
      <c r="KE678" s="29"/>
      <c r="KF678" s="19"/>
      <c r="KG678" s="93"/>
      <c r="KH678" s="93"/>
      <c r="KI678" s="93"/>
      <c r="KJ678" s="93"/>
      <c r="KK678" s="20"/>
      <c r="KL678" s="29"/>
      <c r="KM678" s="19"/>
      <c r="KN678" s="93"/>
      <c r="KO678" s="93"/>
      <c r="KP678" s="93"/>
      <c r="KQ678" s="93"/>
      <c r="KR678" s="20"/>
      <c r="KS678" s="29"/>
      <c r="KT678" s="19"/>
      <c r="KU678" s="93"/>
      <c r="KV678" s="93"/>
      <c r="KW678" s="93"/>
      <c r="KX678" s="93"/>
      <c r="KY678" s="20"/>
      <c r="KZ678" s="29"/>
      <c r="LA678" s="1504">
        <v>55093</v>
      </c>
      <c r="LB678" s="19"/>
      <c r="LC678" s="93"/>
      <c r="LD678" s="93"/>
      <c r="LE678" s="93"/>
      <c r="LF678" s="93"/>
      <c r="LG678" s="93"/>
      <c r="LH678" s="20"/>
      <c r="LI678" s="29"/>
      <c r="LJ678" s="19"/>
      <c r="LK678" s="93"/>
      <c r="LL678" s="93"/>
      <c r="LM678" s="93"/>
      <c r="LN678" s="93"/>
      <c r="LO678" s="20"/>
      <c r="LP678" s="29"/>
      <c r="LQ678" s="19"/>
      <c r="LR678" s="93"/>
      <c r="LS678" s="93"/>
      <c r="LT678" s="93"/>
      <c r="LU678" s="93"/>
      <c r="LV678" s="93"/>
      <c r="LW678" s="93"/>
      <c r="LX678" s="93"/>
      <c r="LY678" s="93"/>
      <c r="LZ678" s="93"/>
      <c r="MA678" s="20"/>
      <c r="MB678" s="29"/>
      <c r="MC678" s="1504">
        <v>55093</v>
      </c>
      <c r="MD678" s="19"/>
      <c r="ME678" s="93"/>
      <c r="MF678" s="93"/>
      <c r="MG678" s="93"/>
      <c r="MH678" s="93"/>
      <c r="MI678" s="93"/>
      <c r="MJ678" s="93"/>
      <c r="MK678" s="93"/>
      <c r="ML678" s="93"/>
      <c r="MM678" s="93"/>
      <c r="MN678" s="93"/>
      <c r="MO678" s="93"/>
      <c r="MP678" s="93"/>
      <c r="MQ678" s="93"/>
      <c r="MR678" s="93"/>
      <c r="MS678" s="93"/>
      <c r="MT678" s="93"/>
      <c r="MU678" s="93"/>
      <c r="MV678" s="93"/>
      <c r="MW678" s="93"/>
      <c r="MX678" s="93"/>
      <c r="MY678" s="93"/>
      <c r="MZ678" s="93"/>
      <c r="NA678" s="93"/>
      <c r="NB678" s="93"/>
      <c r="NC678" s="93"/>
      <c r="ND678" s="93"/>
      <c r="NE678" s="93"/>
      <c r="NF678" s="93"/>
      <c r="NG678" s="93"/>
      <c r="NH678" s="93"/>
      <c r="NI678" s="93"/>
      <c r="NJ678" s="93"/>
      <c r="NK678" s="93"/>
      <c r="NL678" s="93"/>
      <c r="NM678" s="93"/>
      <c r="NN678" s="93"/>
      <c r="NO678" s="93"/>
      <c r="NP678" s="93"/>
      <c r="NQ678" s="93"/>
      <c r="NR678" s="93"/>
      <c r="NS678" s="93"/>
      <c r="NT678" s="93"/>
      <c r="NU678" s="93"/>
      <c r="NV678" s="93"/>
      <c r="NW678" s="93"/>
      <c r="NX678" s="93"/>
      <c r="NY678" s="93"/>
      <c r="NZ678" s="93"/>
      <c r="OA678" s="93"/>
      <c r="OB678" s="93"/>
      <c r="OC678" s="93"/>
      <c r="OD678" s="20"/>
      <c r="OE678" s="29"/>
      <c r="OF678" s="1504">
        <v>55093</v>
      </c>
      <c r="OG678" s="19"/>
      <c r="OH678" s="93"/>
      <c r="OI678" s="93"/>
      <c r="OJ678" s="93"/>
      <c r="OK678" s="93"/>
      <c r="OL678" s="93"/>
      <c r="OM678" s="93"/>
      <c r="ON678" s="93"/>
      <c r="OO678" s="93"/>
      <c r="OP678" s="93"/>
      <c r="OQ678" s="93"/>
      <c r="OR678" s="93"/>
      <c r="OS678" s="93"/>
      <c r="OT678" s="93"/>
      <c r="OU678" s="93"/>
      <c r="OV678" s="93"/>
      <c r="OW678" s="93"/>
      <c r="OX678" s="93"/>
      <c r="OY678" s="93"/>
      <c r="OZ678" s="93"/>
      <c r="PA678" s="93"/>
      <c r="PB678" s="93"/>
      <c r="PC678" s="20"/>
      <c r="PD678" s="29"/>
      <c r="PE678" s="19"/>
      <c r="PF678" s="93"/>
      <c r="PG678" s="93"/>
      <c r="PH678" s="93"/>
      <c r="PI678" s="93"/>
      <c r="PJ678" s="93"/>
      <c r="PK678" s="93"/>
      <c r="PL678" s="93"/>
      <c r="PM678" s="93"/>
      <c r="PN678" s="93"/>
      <c r="PO678" s="93"/>
      <c r="PP678" s="93"/>
      <c r="PQ678" s="93"/>
      <c r="PR678" s="93"/>
      <c r="PS678" s="93"/>
      <c r="PT678" s="93"/>
      <c r="PU678" s="93"/>
      <c r="PV678" s="93"/>
      <c r="PW678" s="93"/>
      <c r="PX678" s="93"/>
      <c r="PY678" s="93"/>
      <c r="PZ678" s="93"/>
      <c r="QA678" s="93"/>
      <c r="QB678" s="93"/>
      <c r="QC678" s="93"/>
      <c r="QD678" s="93"/>
      <c r="QE678" s="20"/>
      <c r="QF678" s="1739"/>
      <c r="QG678" s="19"/>
      <c r="QH678" s="93"/>
      <c r="QI678" s="93"/>
      <c r="QJ678" s="93"/>
      <c r="QK678" s="93"/>
      <c r="QL678" s="93"/>
      <c r="QM678" s="93"/>
      <c r="QN678" s="93"/>
      <c r="QO678" s="93"/>
      <c r="QP678" s="93"/>
      <c r="QQ678" s="93"/>
      <c r="QR678" s="93"/>
      <c r="QS678" s="93"/>
      <c r="QT678" s="93"/>
      <c r="QU678" s="93"/>
      <c r="QV678" s="93"/>
      <c r="QW678" s="93"/>
      <c r="QX678" s="93"/>
      <c r="QY678" s="93"/>
      <c r="QZ678" s="93"/>
      <c r="RA678" s="93"/>
      <c r="RB678" s="93"/>
      <c r="RC678" s="93"/>
      <c r="RD678" s="93"/>
      <c r="RE678" s="93"/>
      <c r="RF678" s="93"/>
      <c r="RG678" s="93"/>
      <c r="RH678" s="93"/>
      <c r="RI678" s="93"/>
      <c r="RJ678" s="93"/>
      <c r="RK678" s="93"/>
      <c r="RL678" s="93"/>
      <c r="RM678" s="20"/>
      <c r="RN678" s="29"/>
      <c r="RO678" s="19"/>
      <c r="RP678" s="20"/>
      <c r="RQ678" s="29"/>
      <c r="RR678" s="20"/>
      <c r="RS678" s="29"/>
      <c r="RT678" s="1504">
        <v>55093</v>
      </c>
      <c r="RU678" s="19"/>
      <c r="RV678" s="20"/>
      <c r="RW678" s="29"/>
      <c r="RX678" s="1504">
        <v>55093</v>
      </c>
      <c r="RY678" s="29"/>
      <c r="RZ678" s="20"/>
      <c r="SA678" s="29"/>
      <c r="SB678" s="29"/>
    </row>
    <row r="679" spans="1:496" ht="12.6" thickBot="1">
      <c r="A679" s="41">
        <f t="shared" si="366"/>
        <v>2050</v>
      </c>
      <c r="B679" s="1507">
        <v>55123</v>
      </c>
      <c r="C679" s="1817"/>
      <c r="D679" s="1818"/>
      <c r="E679" s="1818"/>
      <c r="F679" s="1819"/>
      <c r="G679" s="1818"/>
      <c r="H679" s="1818"/>
      <c r="I679" s="1818"/>
      <c r="J679" s="1820"/>
      <c r="K679" s="1808"/>
      <c r="L679" s="26"/>
      <c r="M679" s="98"/>
      <c r="N679" s="1507">
        <v>55123</v>
      </c>
      <c r="O679" s="21"/>
      <c r="P679" s="94"/>
      <c r="Q679" s="94"/>
      <c r="R679" s="94"/>
      <c r="S679" s="94"/>
      <c r="T679" s="94"/>
      <c r="U679" s="94"/>
      <c r="V679" s="94"/>
      <c r="W679" s="94"/>
      <c r="X679" s="94"/>
      <c r="Y679" s="94"/>
      <c r="Z679" s="94"/>
      <c r="AA679" s="94"/>
      <c r="AB679" s="22"/>
      <c r="AC679" s="26"/>
      <c r="AD679" s="98"/>
      <c r="AE679" s="1507">
        <v>55123</v>
      </c>
      <c r="AF679" s="21"/>
      <c r="AG679" s="94"/>
      <c r="AH679" s="94"/>
      <c r="AI679" s="94"/>
      <c r="AJ679" s="94"/>
      <c r="AK679" s="94"/>
      <c r="AL679" s="94"/>
      <c r="AM679" s="94"/>
      <c r="AN679" s="94"/>
      <c r="AO679" s="94"/>
      <c r="AP679" s="94"/>
      <c r="AQ679" s="94"/>
      <c r="AR679" s="94"/>
      <c r="AS679" s="22"/>
      <c r="AT679" s="26"/>
      <c r="AU679" s="98"/>
      <c r="AV679" s="1507">
        <v>55123</v>
      </c>
      <c r="AW679" s="21"/>
      <c r="AX679" s="94"/>
      <c r="AY679" s="94"/>
      <c r="AZ679" s="94"/>
      <c r="BA679" s="94"/>
      <c r="BB679" s="94"/>
      <c r="BC679" s="94"/>
      <c r="BD679" s="94"/>
      <c r="BE679" s="94"/>
      <c r="BF679" s="94"/>
      <c r="BG679" s="94"/>
      <c r="BH679" s="94"/>
      <c r="BI679" s="94"/>
      <c r="BJ679" s="22"/>
      <c r="BK679" s="26"/>
      <c r="BL679" s="98"/>
      <c r="BM679" s="1507">
        <v>55123</v>
      </c>
      <c r="BN679" s="156"/>
      <c r="BO679" s="157"/>
      <c r="BP679" s="157"/>
      <c r="BQ679" s="157"/>
      <c r="BR679" s="157"/>
      <c r="BS679" s="157"/>
      <c r="BT679" s="158"/>
      <c r="BU679" s="22"/>
      <c r="BV679" s="26"/>
      <c r="BW679" s="98"/>
      <c r="BX679" s="1507">
        <v>55123</v>
      </c>
      <c r="BY679" s="21"/>
      <c r="BZ679" s="94"/>
      <c r="CA679" s="94"/>
      <c r="CB679" s="94"/>
      <c r="CC679" s="94"/>
      <c r="CD679" s="25"/>
      <c r="CE679" s="98"/>
      <c r="CF679" s="1507">
        <v>55123</v>
      </c>
      <c r="CG679" s="21"/>
      <c r="CH679" s="94"/>
      <c r="CI679" s="158"/>
      <c r="CJ679" s="22"/>
      <c r="CK679" s="21"/>
      <c r="CL679" s="94"/>
      <c r="CM679" s="94"/>
      <c r="CN679" s="94"/>
      <c r="CO679" s="94"/>
      <c r="CP679" s="22"/>
      <c r="CQ679" s="158"/>
      <c r="CR679" s="94"/>
      <c r="CS679" s="94"/>
      <c r="CT679" s="94"/>
      <c r="CU679" s="94"/>
      <c r="CV679" s="215"/>
      <c r="CW679" s="30"/>
      <c r="CX679" s="41">
        <f t="shared" si="365"/>
        <v>2050</v>
      </c>
      <c r="CY679" s="1507">
        <v>55123</v>
      </c>
      <c r="CZ679" s="21"/>
      <c r="DA679" s="94"/>
      <c r="DB679" s="94"/>
      <c r="DC679" s="94"/>
      <c r="DD679" s="94"/>
      <c r="DE679" s="22"/>
      <c r="DF679" s="30"/>
      <c r="DG679" s="1507">
        <v>55123</v>
      </c>
      <c r="DH679" s="21"/>
      <c r="DI679" s="94"/>
      <c r="DJ679" s="94"/>
      <c r="DK679" s="94"/>
      <c r="DL679" s="94"/>
      <c r="DM679" s="94"/>
      <c r="DN679" s="22"/>
      <c r="DO679" s="26"/>
      <c r="DP679" s="30"/>
      <c r="DQ679" s="1507">
        <v>55123</v>
      </c>
      <c r="DR679" s="21"/>
      <c r="DS679" s="94"/>
      <c r="DT679" s="94"/>
      <c r="DU679" s="94"/>
      <c r="DV679" s="94"/>
      <c r="DW679" s="94"/>
      <c r="DX679" s="22"/>
      <c r="DY679" s="30"/>
      <c r="DZ679" s="1507">
        <v>55123</v>
      </c>
      <c r="EA679" s="21"/>
      <c r="EB679" s="94"/>
      <c r="EC679" s="22"/>
      <c r="ED679" s="30"/>
      <c r="EE679" s="1507">
        <v>55123</v>
      </c>
      <c r="EF679" s="21"/>
      <c r="EG679" s="94"/>
      <c r="EH679" s="94"/>
      <c r="EI679" s="215"/>
      <c r="EJ679" s="94"/>
      <c r="EK679" s="94"/>
      <c r="EL679" s="94"/>
      <c r="EM679" s="94"/>
      <c r="EN679" s="22"/>
      <c r="EO679" s="30"/>
      <c r="EP679" s="1507">
        <v>55123</v>
      </c>
      <c r="EQ679" s="21"/>
      <c r="ER679" s="94"/>
      <c r="ES679" s="94"/>
      <c r="ET679" s="215"/>
      <c r="EU679" s="94"/>
      <c r="EV679" s="94"/>
      <c r="EW679" s="94"/>
      <c r="EX679" s="94"/>
      <c r="EY679" s="22"/>
      <c r="EZ679" s="30"/>
      <c r="FA679" s="1507">
        <v>55123</v>
      </c>
      <c r="FB679" s="30"/>
      <c r="FC679" s="30"/>
      <c r="FD679" s="30"/>
      <c r="FE679" s="30"/>
      <c r="FF679" s="30"/>
      <c r="FG679" s="30"/>
      <c r="FH679" s="30"/>
      <c r="FI679" s="30"/>
      <c r="FJ679" s="30"/>
      <c r="FK679" s="30"/>
      <c r="FL679" s="1507">
        <v>55123</v>
      </c>
      <c r="FM679" s="21"/>
      <c r="FN679" s="94"/>
      <c r="FO679" s="94"/>
      <c r="FP679" s="94"/>
      <c r="FQ679" s="94"/>
      <c r="FR679" s="94"/>
      <c r="FS679" s="94"/>
      <c r="FT679" s="94"/>
      <c r="FU679" s="94"/>
      <c r="FV679" s="94"/>
      <c r="FW679" s="94"/>
      <c r="FX679" s="94"/>
      <c r="FY679" s="94"/>
      <c r="FZ679" s="30"/>
      <c r="GA679" s="1507">
        <v>55123</v>
      </c>
      <c r="GB679" s="21"/>
      <c r="GC679" s="94"/>
      <c r="GD679" s="94"/>
      <c r="GE679" s="94"/>
      <c r="GF679" s="94"/>
      <c r="GG679" s="94"/>
      <c r="GH679" s="94"/>
      <c r="GI679" s="94"/>
      <c r="GJ679" s="94"/>
      <c r="GK679" s="94"/>
      <c r="GL679" s="94"/>
      <c r="GM679" s="94"/>
      <c r="GN679" s="22"/>
      <c r="GO679" s="30"/>
      <c r="GP679" s="1507">
        <v>55123</v>
      </c>
      <c r="GQ679" s="21"/>
      <c r="GR679" s="94"/>
      <c r="GS679" s="94"/>
      <c r="GT679" s="94"/>
      <c r="GU679" s="94"/>
      <c r="GV679" s="22"/>
      <c r="GW679" s="21"/>
      <c r="GX679" s="94"/>
      <c r="GY679" s="94"/>
      <c r="GZ679" s="94"/>
      <c r="HA679" s="94"/>
      <c r="HB679" s="22"/>
      <c r="HC679" s="21"/>
      <c r="HD679" s="94"/>
      <c r="HE679" s="94"/>
      <c r="HF679" s="94"/>
      <c r="HG679" s="94"/>
      <c r="HH679" s="22"/>
      <c r="HI679" s="21"/>
      <c r="HJ679" s="94"/>
      <c r="HK679" s="94"/>
      <c r="HL679" s="94"/>
      <c r="HM679" s="94"/>
      <c r="HN679" s="22"/>
      <c r="HO679" s="158"/>
      <c r="HP679" s="22"/>
      <c r="HQ679" s="26"/>
      <c r="HR679" s="30"/>
      <c r="HS679" s="1507">
        <v>55123</v>
      </c>
      <c r="HT679" s="21"/>
      <c r="HU679" s="94"/>
      <c r="HV679" s="94"/>
      <c r="HW679" s="94"/>
      <c r="HX679" s="94"/>
      <c r="HY679" s="94"/>
      <c r="HZ679" s="94"/>
      <c r="IA679" s="22"/>
      <c r="IB679" s="21"/>
      <c r="IC679" s="94"/>
      <c r="ID679" s="94"/>
      <c r="IE679" s="94"/>
      <c r="IF679" s="94"/>
      <c r="IG679" s="22"/>
      <c r="IH679" s="21"/>
      <c r="II679" s="94"/>
      <c r="IJ679" s="94"/>
      <c r="IK679" s="94"/>
      <c r="IL679" s="94"/>
      <c r="IM679" s="94"/>
      <c r="IN679" s="94"/>
      <c r="IO679" s="22"/>
      <c r="IP679" s="30"/>
      <c r="IQ679" s="21"/>
      <c r="IR679" s="94"/>
      <c r="IS679" s="94"/>
      <c r="IT679" s="94"/>
      <c r="IU679" s="94"/>
      <c r="IV679" s="22"/>
      <c r="IW679" s="30"/>
      <c r="IX679" s="21"/>
      <c r="IY679" s="94"/>
      <c r="IZ679" s="94"/>
      <c r="JA679" s="94"/>
      <c r="JB679" s="94"/>
      <c r="JC679" s="94"/>
      <c r="JD679" s="94"/>
      <c r="JE679" s="22"/>
      <c r="JF679" s="30"/>
      <c r="JG679" s="21"/>
      <c r="JH679" s="94"/>
      <c r="JI679" s="94"/>
      <c r="JJ679" s="94"/>
      <c r="JK679" s="94"/>
      <c r="JL679" s="94"/>
      <c r="JM679" s="94"/>
      <c r="JN679" s="22"/>
      <c r="JO679" s="30"/>
      <c r="JP679" s="21"/>
      <c r="JQ679" s="94"/>
      <c r="JR679" s="94"/>
      <c r="JS679" s="94"/>
      <c r="JT679" s="94"/>
      <c r="JU679" s="22"/>
      <c r="JV679" s="30"/>
      <c r="JW679" s="1507">
        <v>55123</v>
      </c>
      <c r="JX679" s="21"/>
      <c r="JY679" s="94"/>
      <c r="JZ679" s="94"/>
      <c r="KA679" s="94"/>
      <c r="KB679" s="94"/>
      <c r="KC679" s="94"/>
      <c r="KD679" s="22"/>
      <c r="KE679" s="30"/>
      <c r="KF679" s="21"/>
      <c r="KG679" s="94"/>
      <c r="KH679" s="94"/>
      <c r="KI679" s="94"/>
      <c r="KJ679" s="94"/>
      <c r="KK679" s="22"/>
      <c r="KL679" s="30"/>
      <c r="KM679" s="21"/>
      <c r="KN679" s="94"/>
      <c r="KO679" s="94"/>
      <c r="KP679" s="94"/>
      <c r="KQ679" s="94"/>
      <c r="KR679" s="22"/>
      <c r="KS679" s="30"/>
      <c r="KT679" s="21"/>
      <c r="KU679" s="94"/>
      <c r="KV679" s="94"/>
      <c r="KW679" s="94"/>
      <c r="KX679" s="94"/>
      <c r="KY679" s="22"/>
      <c r="KZ679" s="30"/>
      <c r="LA679" s="1507">
        <v>55123</v>
      </c>
      <c r="LB679" s="21"/>
      <c r="LC679" s="94"/>
      <c r="LD679" s="94"/>
      <c r="LE679" s="94"/>
      <c r="LF679" s="94"/>
      <c r="LG679" s="94"/>
      <c r="LH679" s="22"/>
      <c r="LI679" s="30"/>
      <c r="LJ679" s="21"/>
      <c r="LK679" s="94"/>
      <c r="LL679" s="94"/>
      <c r="LM679" s="94"/>
      <c r="LN679" s="94"/>
      <c r="LO679" s="22"/>
      <c r="LP679" s="30"/>
      <c r="LQ679" s="21"/>
      <c r="LR679" s="94"/>
      <c r="LS679" s="94"/>
      <c r="LT679" s="94"/>
      <c r="LU679" s="94"/>
      <c r="LV679" s="94"/>
      <c r="LW679" s="94"/>
      <c r="LX679" s="94"/>
      <c r="LY679" s="94"/>
      <c r="LZ679" s="94"/>
      <c r="MA679" s="22"/>
      <c r="MB679" s="30"/>
      <c r="MC679" s="1507">
        <v>55123</v>
      </c>
      <c r="MD679" s="21"/>
      <c r="ME679" s="94"/>
      <c r="MF679" s="94"/>
      <c r="MG679" s="94"/>
      <c r="MH679" s="94"/>
      <c r="MI679" s="94"/>
      <c r="MJ679" s="94"/>
      <c r="MK679" s="94"/>
      <c r="ML679" s="94"/>
      <c r="MM679" s="94"/>
      <c r="MN679" s="94"/>
      <c r="MO679" s="94"/>
      <c r="MP679" s="94"/>
      <c r="MQ679" s="94"/>
      <c r="MR679" s="94"/>
      <c r="MS679" s="94"/>
      <c r="MT679" s="94"/>
      <c r="MU679" s="94"/>
      <c r="MV679" s="94"/>
      <c r="MW679" s="94"/>
      <c r="MX679" s="94"/>
      <c r="MY679" s="94"/>
      <c r="MZ679" s="94"/>
      <c r="NA679" s="94"/>
      <c r="NB679" s="94"/>
      <c r="NC679" s="94"/>
      <c r="ND679" s="94"/>
      <c r="NE679" s="94"/>
      <c r="NF679" s="94"/>
      <c r="NG679" s="94"/>
      <c r="NH679" s="94"/>
      <c r="NI679" s="94"/>
      <c r="NJ679" s="94"/>
      <c r="NK679" s="94"/>
      <c r="NL679" s="94"/>
      <c r="NM679" s="94"/>
      <c r="NN679" s="94"/>
      <c r="NO679" s="94"/>
      <c r="NP679" s="94"/>
      <c r="NQ679" s="94"/>
      <c r="NR679" s="94"/>
      <c r="NS679" s="94"/>
      <c r="NT679" s="94"/>
      <c r="NU679" s="94"/>
      <c r="NV679" s="94"/>
      <c r="NW679" s="94"/>
      <c r="NX679" s="94"/>
      <c r="NY679" s="94"/>
      <c r="NZ679" s="94"/>
      <c r="OA679" s="94"/>
      <c r="OB679" s="94"/>
      <c r="OC679" s="94"/>
      <c r="OD679" s="22"/>
      <c r="OE679" s="30"/>
      <c r="OF679" s="1507">
        <v>55123</v>
      </c>
      <c r="OG679" s="21"/>
      <c r="OH679" s="94"/>
      <c r="OI679" s="94"/>
      <c r="OJ679" s="94"/>
      <c r="OK679" s="94"/>
      <c r="OL679" s="94"/>
      <c r="OM679" s="94"/>
      <c r="ON679" s="94"/>
      <c r="OO679" s="94"/>
      <c r="OP679" s="94"/>
      <c r="OQ679" s="94"/>
      <c r="OR679" s="94"/>
      <c r="OS679" s="94"/>
      <c r="OT679" s="94"/>
      <c r="OU679" s="94"/>
      <c r="OV679" s="94"/>
      <c r="OW679" s="94"/>
      <c r="OX679" s="94"/>
      <c r="OY679" s="94"/>
      <c r="OZ679" s="94"/>
      <c r="PA679" s="94"/>
      <c r="PB679" s="94"/>
      <c r="PC679" s="22"/>
      <c r="PD679" s="30"/>
      <c r="PE679" s="21"/>
      <c r="PF679" s="94"/>
      <c r="PG679" s="94"/>
      <c r="PH679" s="94"/>
      <c r="PI679" s="94"/>
      <c r="PJ679" s="94"/>
      <c r="PK679" s="94"/>
      <c r="PL679" s="94"/>
      <c r="PM679" s="94"/>
      <c r="PN679" s="94"/>
      <c r="PO679" s="94"/>
      <c r="PP679" s="94"/>
      <c r="PQ679" s="94"/>
      <c r="PR679" s="94"/>
      <c r="PS679" s="94"/>
      <c r="PT679" s="94"/>
      <c r="PU679" s="94"/>
      <c r="PV679" s="94"/>
      <c r="PW679" s="94"/>
      <c r="PX679" s="94"/>
      <c r="PY679" s="94"/>
      <c r="PZ679" s="94"/>
      <c r="QA679" s="94"/>
      <c r="QB679" s="94"/>
      <c r="QC679" s="94"/>
      <c r="QD679" s="94"/>
      <c r="QE679" s="22"/>
      <c r="QF679" s="1740"/>
      <c r="QG679" s="21"/>
      <c r="QH679" s="94"/>
      <c r="QI679" s="94"/>
      <c r="QJ679" s="94"/>
      <c r="QK679" s="94"/>
      <c r="QL679" s="94"/>
      <c r="QM679" s="94"/>
      <c r="QN679" s="94"/>
      <c r="QO679" s="94"/>
      <c r="QP679" s="94"/>
      <c r="QQ679" s="94"/>
      <c r="QR679" s="94"/>
      <c r="QS679" s="94"/>
      <c r="QT679" s="94"/>
      <c r="QU679" s="94"/>
      <c r="QV679" s="94"/>
      <c r="QW679" s="94"/>
      <c r="QX679" s="94"/>
      <c r="QY679" s="94"/>
      <c r="QZ679" s="94"/>
      <c r="RA679" s="94"/>
      <c r="RB679" s="94"/>
      <c r="RC679" s="94"/>
      <c r="RD679" s="94"/>
      <c r="RE679" s="94"/>
      <c r="RF679" s="94"/>
      <c r="RG679" s="94"/>
      <c r="RH679" s="94"/>
      <c r="RI679" s="94"/>
      <c r="RJ679" s="94"/>
      <c r="RK679" s="94"/>
      <c r="RL679" s="94"/>
      <c r="RM679" s="22"/>
      <c r="RN679" s="30"/>
      <c r="RO679" s="21"/>
      <c r="RP679" s="22"/>
      <c r="RQ679" s="30"/>
      <c r="RR679" s="22"/>
      <c r="RS679" s="30"/>
      <c r="RT679" s="1507">
        <v>55123</v>
      </c>
      <c r="RU679" s="21"/>
      <c r="RV679" s="22"/>
      <c r="RW679" s="30"/>
      <c r="RX679" s="1507">
        <v>55123</v>
      </c>
      <c r="RY679" s="30"/>
      <c r="RZ679" s="22"/>
      <c r="SA679" s="30"/>
      <c r="SB679" s="30"/>
    </row>
    <row r="680" spans="1:496" ht="12.6" thickTop="1">
      <c r="MD680">
        <v>2</v>
      </c>
      <c r="ME680">
        <v>3</v>
      </c>
      <c r="MF680">
        <v>4</v>
      </c>
      <c r="MG680">
        <v>5</v>
      </c>
      <c r="MH680">
        <v>6</v>
      </c>
      <c r="MI680">
        <v>7</v>
      </c>
      <c r="MJ680">
        <v>8</v>
      </c>
      <c r="MK680">
        <v>9</v>
      </c>
      <c r="ML680">
        <v>10</v>
      </c>
      <c r="MM680">
        <v>11</v>
      </c>
      <c r="MN680">
        <v>12</v>
      </c>
      <c r="MO680">
        <v>13</v>
      </c>
      <c r="MP680">
        <v>14</v>
      </c>
      <c r="MQ680">
        <v>15</v>
      </c>
      <c r="MR680">
        <v>16</v>
      </c>
      <c r="MS680">
        <v>17</v>
      </c>
      <c r="MT680">
        <v>18</v>
      </c>
      <c r="MU680">
        <v>19</v>
      </c>
      <c r="MV680">
        <v>20</v>
      </c>
      <c r="MW680">
        <v>21</v>
      </c>
      <c r="MX680">
        <v>22</v>
      </c>
      <c r="MY680">
        <v>23</v>
      </c>
      <c r="MZ680">
        <v>24</v>
      </c>
      <c r="NA680">
        <v>25</v>
      </c>
      <c r="NB680">
        <v>26</v>
      </c>
      <c r="NC680">
        <v>27</v>
      </c>
      <c r="ND680">
        <v>28</v>
      </c>
      <c r="NE680">
        <v>29</v>
      </c>
      <c r="NF680">
        <v>30</v>
      </c>
      <c r="NG680">
        <v>31</v>
      </c>
      <c r="NH680">
        <v>32</v>
      </c>
      <c r="NI680">
        <v>33</v>
      </c>
      <c r="NJ680">
        <v>34</v>
      </c>
      <c r="NK680">
        <v>35</v>
      </c>
      <c r="NL680">
        <v>36</v>
      </c>
      <c r="NM680">
        <v>37</v>
      </c>
      <c r="NN680">
        <v>38</v>
      </c>
      <c r="NO680">
        <v>39</v>
      </c>
      <c r="NP680">
        <v>40</v>
      </c>
      <c r="NQ680">
        <v>41</v>
      </c>
      <c r="NR680">
        <v>42</v>
      </c>
      <c r="NS680">
        <v>43</v>
      </c>
      <c r="NT680">
        <v>44</v>
      </c>
      <c r="NU680">
        <v>45</v>
      </c>
      <c r="NV680">
        <v>46</v>
      </c>
      <c r="NW680">
        <v>47</v>
      </c>
      <c r="NX680">
        <v>48</v>
      </c>
      <c r="NY680">
        <v>49</v>
      </c>
      <c r="NZ680">
        <v>50</v>
      </c>
      <c r="OA680">
        <v>51</v>
      </c>
      <c r="OB680">
        <v>52</v>
      </c>
      <c r="OC680">
        <v>53</v>
      </c>
      <c r="OD680">
        <v>54</v>
      </c>
      <c r="OF680" s="14"/>
      <c r="OG680">
        <v>2</v>
      </c>
      <c r="OH680">
        <v>3</v>
      </c>
      <c r="OI680">
        <v>4</v>
      </c>
      <c r="OJ680">
        <v>5</v>
      </c>
      <c r="OK680">
        <v>6</v>
      </c>
      <c r="OL680">
        <v>7</v>
      </c>
      <c r="OM680">
        <v>8</v>
      </c>
      <c r="ON680">
        <v>9</v>
      </c>
      <c r="OO680">
        <v>10</v>
      </c>
      <c r="OP680">
        <v>11</v>
      </c>
      <c r="OQ680">
        <v>12</v>
      </c>
      <c r="OR680">
        <v>13</v>
      </c>
      <c r="OS680">
        <v>14</v>
      </c>
      <c r="OT680">
        <v>15</v>
      </c>
      <c r="OU680">
        <v>16</v>
      </c>
      <c r="OV680">
        <v>17</v>
      </c>
      <c r="OW680">
        <v>18</v>
      </c>
      <c r="OX680">
        <v>19</v>
      </c>
      <c r="OY680">
        <v>20</v>
      </c>
      <c r="OZ680">
        <v>21</v>
      </c>
      <c r="PA680">
        <v>22</v>
      </c>
      <c r="PB680">
        <v>23</v>
      </c>
      <c r="PC680">
        <v>24</v>
      </c>
      <c r="PD680">
        <v>25</v>
      </c>
      <c r="PE680">
        <v>26</v>
      </c>
      <c r="PF680">
        <v>27</v>
      </c>
      <c r="PG680">
        <v>28</v>
      </c>
      <c r="PH680">
        <v>29</v>
      </c>
      <c r="PI680">
        <v>30</v>
      </c>
      <c r="PJ680">
        <v>31</v>
      </c>
      <c r="PK680">
        <v>32</v>
      </c>
      <c r="PL680">
        <v>33</v>
      </c>
      <c r="PM680">
        <v>34</v>
      </c>
      <c r="PN680">
        <v>35</v>
      </c>
      <c r="PO680">
        <v>36</v>
      </c>
      <c r="PP680">
        <v>37</v>
      </c>
      <c r="PQ680">
        <v>38</v>
      </c>
      <c r="PR680">
        <v>39</v>
      </c>
      <c r="PS680">
        <v>40</v>
      </c>
      <c r="PT680">
        <v>41</v>
      </c>
      <c r="PU680">
        <v>42</v>
      </c>
      <c r="PV680">
        <v>43</v>
      </c>
      <c r="PW680">
        <v>44</v>
      </c>
      <c r="PX680">
        <v>45</v>
      </c>
      <c r="PY680">
        <v>46</v>
      </c>
      <c r="PZ680">
        <v>47</v>
      </c>
      <c r="QA680">
        <v>48</v>
      </c>
      <c r="QB680">
        <v>49</v>
      </c>
      <c r="QC680">
        <v>50</v>
      </c>
      <c r="QD680">
        <v>51</v>
      </c>
      <c r="QE680">
        <v>52</v>
      </c>
      <c r="QF680" s="1726">
        <v>53</v>
      </c>
      <c r="QG680">
        <v>54</v>
      </c>
      <c r="QH680">
        <v>55</v>
      </c>
      <c r="QI680">
        <v>56</v>
      </c>
      <c r="QJ680">
        <v>57</v>
      </c>
      <c r="QK680">
        <v>58</v>
      </c>
      <c r="QL680">
        <v>59</v>
      </c>
      <c r="QM680">
        <v>60</v>
      </c>
      <c r="QN680">
        <v>61</v>
      </c>
      <c r="QO680">
        <v>62</v>
      </c>
      <c r="QP680">
        <v>63</v>
      </c>
      <c r="QQ680">
        <v>64</v>
      </c>
      <c r="QR680">
        <v>65</v>
      </c>
      <c r="QS680">
        <v>66</v>
      </c>
      <c r="QT680">
        <v>67</v>
      </c>
      <c r="QU680">
        <v>68</v>
      </c>
      <c r="QV680">
        <v>69</v>
      </c>
      <c r="QW680">
        <v>70</v>
      </c>
      <c r="QX680">
        <v>71</v>
      </c>
      <c r="QY680">
        <v>72</v>
      </c>
      <c r="QZ680">
        <v>73</v>
      </c>
      <c r="RA680">
        <v>74</v>
      </c>
      <c r="RB680">
        <v>75</v>
      </c>
      <c r="RC680">
        <v>76</v>
      </c>
      <c r="RD680">
        <v>77</v>
      </c>
      <c r="RE680">
        <v>78</v>
      </c>
      <c r="RF680">
        <v>79</v>
      </c>
      <c r="RG680">
        <v>80</v>
      </c>
      <c r="RH680">
        <v>81</v>
      </c>
      <c r="RI680">
        <v>82</v>
      </c>
      <c r="RJ680">
        <v>83</v>
      </c>
      <c r="RK680">
        <v>84</v>
      </c>
      <c r="RL680">
        <v>85</v>
      </c>
      <c r="RM680">
        <v>86</v>
      </c>
      <c r="RN680">
        <v>87</v>
      </c>
      <c r="RO680">
        <v>88</v>
      </c>
      <c r="RP680">
        <v>89</v>
      </c>
      <c r="RQ680">
        <v>90</v>
      </c>
      <c r="RR680">
        <v>91</v>
      </c>
      <c r="RS680">
        <v>92</v>
      </c>
      <c r="RU680">
        <v>88</v>
      </c>
      <c r="RV680">
        <v>89</v>
      </c>
      <c r="RW680">
        <v>90</v>
      </c>
      <c r="RX680">
        <v>91</v>
      </c>
      <c r="RY680">
        <v>92</v>
      </c>
      <c r="RZ680">
        <v>93</v>
      </c>
      <c r="SA680">
        <v>94</v>
      </c>
    </row>
  </sheetData>
  <mergeCells count="3">
    <mergeCell ref="D4:H4"/>
    <mergeCell ref="BP4:BT4"/>
    <mergeCell ref="DH9:DH14"/>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2"/>
  <dimension ref="A1:NL277"/>
  <sheetViews>
    <sheetView topLeftCell="A144" zoomScale="120" zoomScaleNormal="120" workbookViewId="0">
      <selection activeCell="F166" sqref="F166"/>
    </sheetView>
  </sheetViews>
  <sheetFormatPr baseColWidth="10" defaultRowHeight="12.3"/>
  <cols>
    <col min="2" max="2" width="35" customWidth="1"/>
    <col min="3" max="9" width="16.44140625" customWidth="1"/>
    <col min="10" max="10" width="17.1640625" customWidth="1"/>
    <col min="11" max="13" width="16.44140625" customWidth="1"/>
    <col min="15" max="16" width="10.44140625" customWidth="1"/>
    <col min="19" max="19" width="15.5546875" bestFit="1" customWidth="1"/>
    <col min="23" max="23" width="21.44140625" customWidth="1"/>
    <col min="33" max="33" width="27" customWidth="1"/>
    <col min="34" max="34" width="13.71875" bestFit="1" customWidth="1"/>
    <col min="35" max="36" width="14.27734375" bestFit="1" customWidth="1"/>
    <col min="37" max="39" width="13.71875" bestFit="1" customWidth="1"/>
    <col min="40" max="40" width="13.27734375" bestFit="1" customWidth="1"/>
    <col min="41" max="45" width="14.27734375" bestFit="1" customWidth="1"/>
    <col min="46" max="46" width="13.71875" bestFit="1" customWidth="1"/>
    <col min="47" max="47" width="14.27734375" bestFit="1" customWidth="1"/>
    <col min="48" max="48" width="13.27734375" bestFit="1" customWidth="1"/>
    <col min="49" max="51" width="14.27734375" bestFit="1" customWidth="1"/>
    <col min="52" max="53" width="13.27734375" bestFit="1" customWidth="1"/>
    <col min="54" max="54" width="14.27734375" bestFit="1" customWidth="1"/>
    <col min="55" max="55" width="13.71875" bestFit="1" customWidth="1"/>
    <col min="56" max="56" width="11.71875" bestFit="1" customWidth="1"/>
    <col min="57" max="57" width="27.5546875" customWidth="1"/>
    <col min="58" max="58" width="12.44140625" bestFit="1" customWidth="1"/>
    <col min="59" max="59" width="11.71875" bestFit="1" customWidth="1"/>
    <col min="60" max="60" width="12.44140625" bestFit="1" customWidth="1"/>
    <col min="61" max="63" width="11.71875" bestFit="1" customWidth="1"/>
    <col min="64" max="65" width="12.44140625" bestFit="1" customWidth="1"/>
    <col min="66" max="66" width="12.27734375" bestFit="1" customWidth="1"/>
    <col min="67" max="67" width="11.71875" bestFit="1" customWidth="1"/>
    <col min="68" max="69" width="12.27734375" bestFit="1" customWidth="1"/>
    <col min="70" max="70" width="11.71875" bestFit="1" customWidth="1"/>
    <col min="71" max="73" width="12.27734375" bestFit="1" customWidth="1"/>
    <col min="74" max="77" width="11.71875" bestFit="1" customWidth="1"/>
    <col min="78" max="80" width="12.27734375" bestFit="1" customWidth="1"/>
    <col min="82" max="82" width="22.83203125" customWidth="1"/>
    <col min="83" max="83" width="16.27734375" customWidth="1"/>
    <col min="84" max="84" width="13.27734375" customWidth="1"/>
    <col min="85" max="88" width="10.83203125" customWidth="1"/>
    <col min="90" max="90" width="22.83203125" customWidth="1"/>
    <col min="99" max="99" width="26.71875" customWidth="1"/>
    <col min="109" max="109" width="23.5546875" customWidth="1"/>
    <col min="110" max="110" width="13.44140625" bestFit="1" customWidth="1"/>
    <col min="117" max="117" width="27.27734375" customWidth="1"/>
    <col min="118" max="118" width="14.44140625" bestFit="1" customWidth="1"/>
    <col min="125" max="125" width="24.1640625" customWidth="1"/>
    <col min="133" max="133" width="29.44140625" customWidth="1"/>
    <col min="142" max="142" width="28.71875" customWidth="1"/>
    <col min="151" max="151" width="25.44140625" customWidth="1"/>
    <col min="170" max="170" width="11.71875" bestFit="1" customWidth="1"/>
    <col min="171" max="171" width="12.71875" bestFit="1" customWidth="1"/>
    <col min="172" max="173" width="13.71875" bestFit="1" customWidth="1"/>
    <col min="174" max="175" width="12.71875" bestFit="1" customWidth="1"/>
    <col min="176" max="178" width="11.71875" bestFit="1" customWidth="1"/>
    <col min="181" max="181" width="18" customWidth="1"/>
    <col min="182" max="184" width="11.71875" bestFit="1" customWidth="1"/>
    <col min="185" max="185" width="12.71875" bestFit="1" customWidth="1"/>
    <col min="186" max="186" width="11.71875" bestFit="1" customWidth="1"/>
    <col min="187" max="187" width="12.71875" bestFit="1" customWidth="1"/>
    <col min="188" max="191" width="11.71875" bestFit="1" customWidth="1"/>
    <col min="195" max="195" width="22.1640625" customWidth="1"/>
    <col min="196" max="197" width="13.71875" bestFit="1" customWidth="1"/>
    <col min="203" max="203" width="32.44140625" customWidth="1"/>
    <col min="204" max="206" width="12.5546875" bestFit="1" customWidth="1"/>
    <col min="207" max="222" width="11.71875" bestFit="1" customWidth="1"/>
    <col min="223" max="225" width="12.5546875" bestFit="1" customWidth="1"/>
    <col min="226" max="240" width="11.71875" bestFit="1" customWidth="1"/>
    <col min="241" max="246" width="12.27734375" bestFit="1" customWidth="1"/>
    <col min="247" max="255" width="11.71875" bestFit="1" customWidth="1"/>
    <col min="258" max="258" width="26.1640625" customWidth="1"/>
    <col min="259" max="259" width="12.5546875" bestFit="1" customWidth="1"/>
    <col min="260" max="260" width="13.44140625" customWidth="1"/>
    <col min="261" max="261" width="11.71875" bestFit="1" customWidth="1"/>
    <col min="262" max="262" width="13.5546875" bestFit="1" customWidth="1"/>
    <col min="263" max="263" width="12.5546875" bestFit="1" customWidth="1"/>
    <col min="264" max="266" width="13.5546875" bestFit="1" customWidth="1"/>
    <col min="268" max="268" width="13.5546875" bestFit="1" customWidth="1"/>
    <col min="269" max="269" width="11.71875" bestFit="1" customWidth="1"/>
    <col min="270" max="271" width="13.5546875" bestFit="1" customWidth="1"/>
    <col min="272" max="272" width="12.5546875" bestFit="1" customWidth="1"/>
    <col min="273" max="273" width="12.27734375" bestFit="1" customWidth="1"/>
    <col min="274" max="274" width="12.5546875" bestFit="1" customWidth="1"/>
    <col min="275" max="275" width="13.5546875" bestFit="1" customWidth="1"/>
    <col min="276" max="276" width="11.71875" bestFit="1" customWidth="1"/>
    <col min="277" max="277" width="13.5546875" bestFit="1" customWidth="1"/>
    <col min="278" max="278" width="12.5546875" bestFit="1" customWidth="1"/>
    <col min="279" max="279" width="13.27734375" bestFit="1" customWidth="1"/>
    <col min="280" max="280" width="13.5546875" bestFit="1" customWidth="1"/>
    <col min="283" max="283" width="52" customWidth="1"/>
    <col min="284" max="284" width="12.5546875" bestFit="1" customWidth="1"/>
    <col min="285" max="285" width="13.27734375" bestFit="1" customWidth="1"/>
    <col min="286" max="287" width="12.71875" bestFit="1" customWidth="1"/>
    <col min="288" max="289" width="13.71875" bestFit="1" customWidth="1"/>
    <col min="290" max="308" width="11.71875" bestFit="1" customWidth="1"/>
    <col min="311" max="311" width="25.5546875" customWidth="1"/>
    <col min="348" max="348" width="15.44140625" customWidth="1"/>
    <col min="350" max="350" width="10.44140625" bestFit="1" customWidth="1"/>
    <col min="353" max="353" width="20.44140625" bestFit="1" customWidth="1"/>
    <col min="354" max="354" width="10.44140625" bestFit="1" customWidth="1"/>
    <col min="356" max="356" width="14.5546875" bestFit="1" customWidth="1"/>
    <col min="357" max="358" width="11.5546875" bestFit="1" customWidth="1"/>
    <col min="359" max="360" width="11.71875" bestFit="1" customWidth="1"/>
    <col min="361" max="361" width="11.5546875" bestFit="1" customWidth="1"/>
    <col min="362" max="362" width="18.27734375" bestFit="1" customWidth="1"/>
    <col min="363" max="363" width="17.27734375" bestFit="1" customWidth="1"/>
    <col min="364" max="364" width="11.5546875" bestFit="1" customWidth="1"/>
    <col min="365" max="365" width="13.44140625" bestFit="1" customWidth="1"/>
    <col min="366" max="366" width="11.5546875" bestFit="1" customWidth="1"/>
    <col min="367" max="367" width="13.27734375" bestFit="1" customWidth="1"/>
    <col min="368" max="370" width="11.5546875" bestFit="1" customWidth="1"/>
    <col min="372" max="372" width="11.5546875" bestFit="1" customWidth="1"/>
    <col min="373" max="373" width="11.71875" bestFit="1" customWidth="1"/>
    <col min="374" max="374" width="16.44140625" bestFit="1" customWidth="1"/>
    <col min="375" max="375" width="10.5546875" bestFit="1" customWidth="1"/>
  </cols>
  <sheetData>
    <row r="1" spans="33:372">
      <c r="KY1" s="86" t="s">
        <v>732</v>
      </c>
    </row>
    <row r="2" spans="33:372">
      <c r="IX2" s="86" t="s">
        <v>730</v>
      </c>
      <c r="JW2" s="86" t="s">
        <v>731</v>
      </c>
    </row>
    <row r="3" spans="33:372">
      <c r="GU3" s="68" t="s">
        <v>441</v>
      </c>
      <c r="GW3" s="806"/>
      <c r="IZ3" s="212">
        <v>4</v>
      </c>
      <c r="JA3" s="212">
        <v>3</v>
      </c>
      <c r="JB3" s="212">
        <v>2</v>
      </c>
      <c r="JC3" s="212">
        <v>1</v>
      </c>
      <c r="JD3" s="807">
        <v>0</v>
      </c>
      <c r="JY3" s="212">
        <v>4</v>
      </c>
      <c r="JZ3" s="212">
        <v>3</v>
      </c>
      <c r="KA3" s="212">
        <v>2</v>
      </c>
      <c r="KB3" s="212">
        <v>1</v>
      </c>
      <c r="KC3" s="807">
        <v>0</v>
      </c>
      <c r="LA3" s="212">
        <v>4</v>
      </c>
      <c r="LB3" s="212">
        <v>3</v>
      </c>
      <c r="LC3" s="212">
        <v>2</v>
      </c>
      <c r="LD3" s="212">
        <v>1</v>
      </c>
      <c r="LE3" s="807">
        <v>0</v>
      </c>
    </row>
    <row r="4" spans="33:372" ht="12.6" thickBot="1">
      <c r="GW4" s="212">
        <v>4</v>
      </c>
      <c r="GX4" s="212">
        <v>3</v>
      </c>
      <c r="GY4" s="212">
        <v>2</v>
      </c>
      <c r="GZ4" s="212">
        <v>1</v>
      </c>
      <c r="HA4" s="807">
        <v>0</v>
      </c>
      <c r="IZ4" s="808" t="str">
        <f>CONCATENATE(IF(INDEX($IW$74:$MI$276,MAX($JU$74:$JU$276)-IZ3,$IY7)-DATE(YEAR(IZ7)-1,12,31)&lt;91,1,IF(INDEX($IW$74:$MI$276,MAX($JU$74:$JU$276)-IZ3,$IY7)-DATE(YEAR(IZ7)-1,12,31)&lt;182,2,IF(INDEX($IW$74:$MI$276,MAX($JU$74:$JU$276)-IZ3,$IY7)-DATE(YEAR(IZ7)-1,12,31)&lt;274,3,4))),"T",YEAR(INDEX($IW$74:$MI$276,MAX($JU$74:$JU$276)-IZ3,$IY7)))</f>
        <v>4T2022</v>
      </c>
      <c r="JA4" s="808" t="str">
        <f>CONCATENATE(IF(INDEX($IW$74:$MI$276,MAX($JU$74:$JU$276)-JA3,$IY7)-DATE(YEAR(JA7)-1,12,31)&lt;91,1,IF(INDEX($IW$74:$MI$276,MAX($JU$74:$JU$276)-JA3,$IY7)-DATE(YEAR(JA7)-1,12,31)&lt;182,2,IF(INDEX($IW$74:$MI$276,MAX($JU$74:$JU$276)-JA3,$IY7)-DATE(YEAR(JA7)-1,12,31)&lt;274,3,4))),"T",YEAR(INDEX($IW$74:$MI$276,MAX($JU$74:$JU$276)-JA3,$IY7)))</f>
        <v>1T2023</v>
      </c>
      <c r="JB4" s="808" t="str">
        <f>CONCATENATE(IF(INDEX($IW$74:$MI$276,MAX($JU$74:$JU$276)-JB3,$IY7)-DATE(YEAR(JB7)-1,12,31)&lt;91,1,IF(INDEX($IW$74:$MI$276,MAX($JU$74:$JU$276)-JB3,$IY7)-DATE(YEAR(JB7)-1,12,31)&lt;182,2,IF(INDEX($IW$74:$MI$276,MAX($JU$74:$JU$276)-JB3,$IY7)-DATE(YEAR(JB7)-1,12,31)&lt;274,3,4))),"T",YEAR(INDEX($IW$74:$MI$276,MAX($JU$74:$JU$276)-JB3,$IY7)))</f>
        <v>2T2023</v>
      </c>
      <c r="JC4" s="808" t="str">
        <f>CONCATENATE(IF(INDEX($IW$74:$MI$276,MAX($JU$74:$JU$276)-JC3,$IY7)-DATE(YEAR(JC7)-1,12,31)&lt;91,1,IF(INDEX($IW$74:$MI$276,MAX($JU$74:$JU$276)-JC3,$IY7)-DATE(YEAR(JC7)-1,12,31)&lt;182,2,IF(INDEX($IW$74:$MI$276,MAX($JU$74:$JU$276)-JC3,$IY7)-DATE(YEAR(JC7)-1,12,31)&lt;274,3,4))),"T",YEAR(INDEX($IW$74:$MI$276,MAX($JU$74:$JU$276)-JC3,$IY7)))</f>
        <v>3T2023</v>
      </c>
      <c r="JD4" s="808" t="str">
        <f>CONCATENATE(IF(INDEX($IW$74:$MI$276,MAX($JU$74:$JU$276)-JD3,$IY7)-DATE(YEAR(JD7)-1,12,31)&lt;91,1,IF(INDEX($IW$74:$MI$276,MAX($JU$74:$JU$276)-JD3,$IY7)-DATE(YEAR(JD7)-1,12,31)&lt;182,2,IF(INDEX($IW$74:$MI$276,MAX($JU$74:$JU$276)-JD3,$IY7)-DATE(YEAR(JD7)-1,12,31)&lt;274,3,4))),"T",YEAR(INDEX($IW$74:$MI$276,MAX($JU$74:$JU$276)-JD3,$IY7)))</f>
        <v>4T2023</v>
      </c>
      <c r="JY4" s="808" t="str">
        <f>CONCATENATE(IF(INDEX($IW$74:$MI$276,MAX($KX$74:$KX$276)-JY3,$JX7)-DATE(YEAR(JY7)-1,12,31)&lt;91,1,IF(INDEX($IW$74:$MI$276,MAX($KX$74:$KX$276)-JY3,$JX7)-DATE(YEAR(JY7)-1,12,31)&lt;182,2,IF(INDEX($IW$74:$MI$276,MAX($KX$74:$KX$276)-JY3,$JX7)-DATE(YEAR(JY7)-1,12,31)&lt;274,3,4))),"T",YEAR(INDEX($IW$74:$MI$276,MAX($KX$74:$KX$276)-JY3,$JX7)))</f>
        <v>4T2022</v>
      </c>
      <c r="JZ4" s="808" t="str">
        <f>CONCATENATE(IF(INDEX($IW$74:$MI$276,MAX($KX$74:$KX$276)-JZ3,$JX7)-DATE(YEAR(JZ7)-1,12,31)&lt;91,1,IF(INDEX($IW$74:$MI$276,MAX($KX$74:$KX$276)-JZ3,$JX7)-DATE(YEAR(JZ7)-1,12,31)&lt;182,2,IF(INDEX($IW$74:$MI$276,MAX($KX$74:$KX$276)-JZ3,$JX7)-DATE(YEAR(JZ7)-1,12,31)&lt;274,3,4))),"T",YEAR(INDEX($IW$74:$MI$276,MAX($KX$74:$KX$276)-JZ3,$JX7)))</f>
        <v>1T2023</v>
      </c>
      <c r="KA4" s="808" t="str">
        <f>CONCATENATE(IF(INDEX($IW$74:$MI$276,MAX($KX$74:$KX$276)-KA3,$JX7)-DATE(YEAR(KA7)-1,12,31)&lt;91,1,IF(INDEX($IW$74:$MI$276,MAX($KX$74:$KX$276)-KA3,$JX7)-DATE(YEAR(KA7)-1,12,31)&lt;182,2,IF(INDEX($IW$74:$MI$276,MAX($KX$74:$KX$276)-KA3,$JX7)-DATE(YEAR(KA7)-1,12,31)&lt;274,3,4))),"T",YEAR(INDEX($IW$74:$MI$276,MAX($KX$74:$KX$276)-KA3,$JX7)))</f>
        <v>2T2023</v>
      </c>
      <c r="KB4" s="808" t="str">
        <f>CONCATENATE(IF(INDEX($IW$74:$MI$276,MAX($KX$74:$KX$276)-KB3,$JX7)-DATE(YEAR(KB7)-1,12,31)&lt;91,1,IF(INDEX($IW$74:$MI$276,MAX($KX$74:$KX$276)-KB3,$JX7)-DATE(YEAR(KB7)-1,12,31)&lt;182,2,IF(INDEX($IW$74:$MI$276,MAX($KX$74:$KX$276)-KB3,$JX7)-DATE(YEAR(KB7)-1,12,31)&lt;274,3,4))),"T",YEAR(INDEX($IW$74:$MI$276,MAX($KX$74:$KX$276)-KB3,$JX7)))</f>
        <v>3T2023</v>
      </c>
      <c r="KC4" s="808" t="str">
        <f>CONCATENATE(IF(INDEX($IW$74:$MI$276,MAX($KX$74:$KX$276)-KC3,$JX7)-DATE(YEAR(KC7)-1,12,31)&lt;91,1,IF(INDEX($IW$74:$MI$276,MAX($KX$74:$KX$276)-KC3,$JX7)-DATE(YEAR(KC7)-1,12,31)&lt;182,2,IF(INDEX($IW$74:$MI$276,MAX($KX$74:$KX$276)-KC3,$JX7)-DATE(YEAR(KC7)-1,12,31)&lt;274,3,4))),"T",YEAR(INDEX($IW$74:$MI$276,MAX($KX$74:$KX$276)-KC3,$JX7)))</f>
        <v>4T2023</v>
      </c>
      <c r="LA4" s="808" t="str">
        <f>CONCATENATE(IF(INDEX($IW$74:$MI$276,MAX($MI$74:$MI$276)-LA3,$KZ7)-DATE(YEAR(LA7)-1,12,31)&lt;91,1,IF(INDEX($IW$74:$MI$276,MAX($MI$74:$MI$276)-LA3,$KZ7)-DATE(YEAR(LA7)-1,12,31)&lt;182,2,IF(INDEX($IW$74:$MI$276,MAX($MI$74:$MI$276)-LA3,$KZ7)-DATE(YEAR(LA7)-1,12,31)&lt;274,3,4))),"T",YEAR(INDEX($IW$74:$MI$276,MAX($MI$74:$MI$276)-LA3,$JX7)))</f>
        <v>4T2022</v>
      </c>
      <c r="LB4" s="808" t="str">
        <f>CONCATENATE(IF(INDEX($IW$74:$MI$276,MAX($MI$74:$MI$276)-LB3,$KZ7)-DATE(YEAR(LB7)-1,12,31)&lt;91,1,IF(INDEX($IW$74:$MI$276,MAX($MI$74:$MI$276)-LB3,$KZ7)-DATE(YEAR(LB7)-1,12,31)&lt;182,2,IF(INDEX($IW$74:$MI$276,MAX($MI$74:$MI$276)-LB3,$KZ7)-DATE(YEAR(LB7)-1,12,31)&lt;274,3,4))),"T",YEAR(INDEX($IW$74:$MI$276,MAX($MI$74:$MI$276)-LB3,$JX7)))</f>
        <v>1T2023</v>
      </c>
      <c r="LC4" s="808" t="str">
        <f>CONCATENATE(IF(INDEX($IW$74:$MI$276,MAX($MI$74:$MI$276)-LC3,$KZ7)-DATE(YEAR(LC7)-1,12,31)&lt;91,1,IF(INDEX($IW$74:$MI$276,MAX($MI$74:$MI$276)-LC3,$KZ7)-DATE(YEAR(LC7)-1,12,31)&lt;182,2,IF(INDEX($IW$74:$MI$276,MAX($MI$74:$MI$276)-LC3,$KZ7)-DATE(YEAR(LC7)-1,12,31)&lt;274,3,4))),"T",YEAR(INDEX($IW$74:$MI$276,MAX($MI$74:$MI$276)-LC3,$JX7)))</f>
        <v>2T2023</v>
      </c>
      <c r="LD4" s="808" t="str">
        <f>CONCATENATE(IF(INDEX($IW$74:$MI$276,MAX($MI$74:$MI$276)-LD3,$KZ7)-DATE(YEAR(LD7)-1,12,31)&lt;91,1,IF(INDEX($IW$74:$MI$276,MAX($MI$74:$MI$276)-LD3,$KZ7)-DATE(YEAR(LD7)-1,12,31)&lt;182,2,IF(INDEX($IW$74:$MI$276,MAX($MI$74:$MI$276)-LD3,$KZ7)-DATE(YEAR(LD7)-1,12,31)&lt;274,3,4))),"T",YEAR(INDEX($IW$74:$MI$276,MAX($MI$74:$MI$276)-LD3,$JX7)))</f>
        <v>3T2023</v>
      </c>
      <c r="LE4" s="808" t="str">
        <f>CONCATENATE(IF(INDEX($IW$74:$MI$276,MAX($MI$74:$MI$276)-LE3,$KZ7)-DATE(YEAR(LE7)-1,12,31)&lt;91,1,IF(INDEX($IW$74:$MI$276,MAX($MI$74:$MI$276)-LE3,$KZ7)-DATE(YEAR(LE7)-1,12,31)&lt;182,2,IF(INDEX($IW$74:$MI$276,MAX($MI$74:$MI$276)-LE3,$KZ7)-DATE(YEAR(LE7)-1,12,31)&lt;274,3,4))),"T",YEAR(INDEX($IW$74:$MI$276,MAX($MI$74:$MI$276)-LE3,$JX7)))</f>
        <v>4T2023</v>
      </c>
    </row>
    <row r="5" spans="33:372" ht="12.6" thickBot="1">
      <c r="GW5" s="808" t="str">
        <f>CONCATENATE(IF(INDEX($GT$74:$IV$276,MAX($IV$74:$IV$276)-GW4,$GV8)-DATE(YEAR(GW8)-1,12,31)&lt;91,1,IF(INDEX($GT$74:$IV$276,MAX($IV$74:$IV$276)-GW4,$GV8)-DATE(YEAR(GW8)-1,12,31)&lt;182,2,IF(INDEX($GT$74:$IV$276,MAX($IV$74:$IV$276)-GW4,$GV8)-DATE(YEAR(GW8)-1,12,31)&lt;274,3,4))),"T",YEAR(INDEX($GT$74:$IV$276,MAX($IV$74:$IV$276)-GW4,$GV8)))</f>
        <v>4T2018</v>
      </c>
      <c r="GX5" s="808" t="str">
        <f>CONCATENATE(IF(INDEX($GT$74:$IV$276,MAX($IV$74:$IV$276)-GX4,$GV8)-DATE(YEAR(GX8)-1,12,31)&lt;91,1,IF(INDEX($GT$74:$IV$276,MAX($IV$74:$IV$276)-GX4,$GV8)-DATE(YEAR(GX8)-1,12,31)&lt;182,2,IF(INDEX($GT$74:$IV$276,MAX($IV$74:$IV$276)-GX4,$GV8)-DATE(YEAR(GX8)-1,12,31)&lt;274,3,4))),"T",YEAR(INDEX($GT$74:$IV$276,MAX($IV$74:$IV$276)-GX4,$GV8)))</f>
        <v>1T2019</v>
      </c>
      <c r="GY5" s="808" t="str">
        <f>CONCATENATE(IF(INDEX($GT$74:$IV$276,MAX($IV$74:$IV$276)-GY4,$GV8)-DATE(YEAR(GY8)-1,12,31)&lt;91,1,IF(INDEX($GT$74:$IV$276,MAX($IV$74:$IV$276)-GY4,$GV8)-DATE(YEAR(GY8)-1,12,31)&lt;182,2,IF(INDEX($GT$74:$IV$276,MAX($IV$74:$IV$276)-GY4,$GV8)-DATE(YEAR(GY8)-1,12,31)&lt;274,3,4))),"T",YEAR(INDEX($GT$74:$IV$276,MAX($IV$74:$IV$276)-GY4,$GV8)))</f>
        <v>2T2019</v>
      </c>
      <c r="GZ5" s="808" t="str">
        <f>CONCATENATE(IF(INDEX($GT$74:$IV$276,MAX($IV$74:$IV$276)-GZ4,$GV8)-DATE(YEAR(GZ8)-1,12,31)&lt;91,1,IF(INDEX($GT$74:$IV$276,MAX($IV$74:$IV$276)-GZ4,$GV8)-DATE(YEAR(GZ8)-1,12,31)&lt;182,2,IF(INDEX($GT$74:$IV$276,MAX($IV$74:$IV$276)-GZ4,$GV8)-DATE(YEAR(GZ8)-1,12,31)&lt;274,3,4))),"T",YEAR(INDEX($GT$74:$IV$276,MAX($IV$74:$IV$276)-GZ4,$GV8)))</f>
        <v>3T2019</v>
      </c>
      <c r="HA5" s="808" t="str">
        <f>CONCATENATE(IF(INDEX($GT$74:$IV$276,MAX($IV$74:$IV$276)-HA4,$GV8)-DATE(YEAR(HA8)-1,12,31)&lt;91,1,IF(INDEX($GT$74:$IV$276,MAX($IV$74:$IV$276)-HA4,$GV8)-DATE(YEAR(HA8)-1,12,31)&lt;182,2,IF(INDEX($GT$74:$IV$276,MAX($IV$74:$IV$276)-HA4,$GV8)-DATE(YEAR(HA8)-1,12,31)&lt;274,3,4))),"T",YEAR(INDEX($GT$74:$IV$276,MAX($IV$74:$IV$276)-HA4,$GV8)))</f>
        <v>4T2019</v>
      </c>
      <c r="IX5" s="36"/>
      <c r="IY5" s="43" t="s">
        <v>15</v>
      </c>
      <c r="IZ5" s="1000" t="s">
        <v>12</v>
      </c>
      <c r="JA5" s="102"/>
      <c r="JB5" s="102"/>
      <c r="JC5" s="102"/>
      <c r="JD5" s="103"/>
      <c r="JW5" s="36"/>
      <c r="JX5" s="43" t="s">
        <v>15</v>
      </c>
      <c r="JY5" s="1000" t="s">
        <v>12</v>
      </c>
      <c r="JZ5" s="102"/>
      <c r="KA5" s="102"/>
      <c r="KB5" s="102"/>
      <c r="KC5" s="103"/>
      <c r="KY5" s="36"/>
      <c r="KZ5" s="43" t="s">
        <v>15</v>
      </c>
      <c r="LA5" s="1000" t="s">
        <v>12</v>
      </c>
      <c r="LB5" s="102"/>
      <c r="LC5" s="102"/>
      <c r="LD5" s="102"/>
      <c r="LE5" s="103"/>
    </row>
    <row r="6" spans="33:372" ht="12.6" thickBot="1">
      <c r="GU6" s="36"/>
      <c r="GV6" s="43" t="s">
        <v>15</v>
      </c>
      <c r="GW6" s="1000" t="s">
        <v>12</v>
      </c>
      <c r="GX6" s="102"/>
      <c r="GY6" s="102"/>
      <c r="GZ6" s="102"/>
      <c r="HA6" s="103"/>
      <c r="IX6" s="260"/>
      <c r="IY6" s="51"/>
      <c r="IZ6" s="804">
        <f>IZ7</f>
        <v>44896</v>
      </c>
      <c r="JA6" s="785">
        <f>JA7</f>
        <v>44986</v>
      </c>
      <c r="JB6" s="785">
        <f>JB7</f>
        <v>45078</v>
      </c>
      <c r="JC6" s="785">
        <f>JC7</f>
        <v>45170</v>
      </c>
      <c r="JD6" s="805">
        <f>JD7</f>
        <v>45261</v>
      </c>
      <c r="JW6" s="260"/>
      <c r="JX6" s="51"/>
      <c r="JY6" s="1047">
        <f>JY7</f>
        <v>44896</v>
      </c>
      <c r="JZ6" s="1048">
        <f>JZ7</f>
        <v>44986</v>
      </c>
      <c r="KA6" s="1048">
        <f>KA7</f>
        <v>45078</v>
      </c>
      <c r="KB6" s="1048">
        <f>KB7</f>
        <v>45170</v>
      </c>
      <c r="KC6" s="1049">
        <f>KC7</f>
        <v>45261</v>
      </c>
      <c r="KY6" s="260"/>
      <c r="KZ6" s="51"/>
      <c r="LA6" s="1047">
        <f>LA7</f>
        <v>44896</v>
      </c>
      <c r="LB6" s="1048">
        <f>LB7</f>
        <v>44986</v>
      </c>
      <c r="LC6" s="1048">
        <f>LC7</f>
        <v>45078</v>
      </c>
      <c r="LD6" s="1048">
        <f>LD7</f>
        <v>45170</v>
      </c>
      <c r="LE6" s="1049">
        <f>LE7</f>
        <v>45261</v>
      </c>
      <c r="ND6" s="212">
        <v>4</v>
      </c>
      <c r="NE6" s="212">
        <v>3</v>
      </c>
      <c r="NF6" s="212">
        <v>2</v>
      </c>
      <c r="NG6" s="212">
        <v>1</v>
      </c>
      <c r="NH6" s="807">
        <v>0</v>
      </c>
    </row>
    <row r="7" spans="33:372" ht="12.9" thickTop="1" thickBot="1">
      <c r="GU7" s="260"/>
      <c r="GV7" s="51"/>
      <c r="GW7" s="804">
        <f>GW8</f>
        <v>43435</v>
      </c>
      <c r="GX7" s="785">
        <f>GX8</f>
        <v>43525</v>
      </c>
      <c r="GY7" s="785">
        <f>GY8</f>
        <v>43617</v>
      </c>
      <c r="GZ7" s="785">
        <f>GZ8</f>
        <v>43709</v>
      </c>
      <c r="HA7" s="805">
        <f>HA8</f>
        <v>43800</v>
      </c>
      <c r="IX7" s="998"/>
      <c r="IY7" s="999">
        <v>1</v>
      </c>
      <c r="IZ7" s="758">
        <f t="shared" ref="IZ7:IZ30" si="0">INDEX($IW$74:$MI$276,MAX($JU$74:$JU$276)-4,$IY7)</f>
        <v>44896</v>
      </c>
      <c r="JA7" s="759">
        <f t="shared" ref="JA7:JA30" si="1">INDEX($IW$74:$MI$276,MAX($JU$74:$JU$276)-3,$IY7)</f>
        <v>44986</v>
      </c>
      <c r="JB7" s="759">
        <f t="shared" ref="JB7:JB30" si="2">INDEX($IW$74:$MI$276,MAX($JU$74:$JU$276)-2,$IY7)</f>
        <v>45078</v>
      </c>
      <c r="JC7" s="759">
        <f t="shared" ref="JC7:JC30" si="3">INDEX($IW$74:$MI$276,MAX($JU$74:$JU$276)-1,$IY7)</f>
        <v>45170</v>
      </c>
      <c r="JD7" s="760">
        <f t="shared" ref="JD7:JD30" si="4">INDEX($IW$74:$MI$276,MAX($JU$74:$JU$276),$IY7)</f>
        <v>45261</v>
      </c>
      <c r="JW7" s="998"/>
      <c r="JX7" s="984">
        <v>1</v>
      </c>
      <c r="JY7" s="1050">
        <f>INDEX($IW$74:$MI$276,MAX($KX$74:$KX$276)-4,$JX7)</f>
        <v>44896</v>
      </c>
      <c r="JZ7" s="1051">
        <f>INDEX($IW$74:$MI$276,MAX($KX$74:$KX$276)-3,$JX7)</f>
        <v>44986</v>
      </c>
      <c r="KA7" s="1051">
        <f>INDEX($IW$74:$MI$276,MAX($KX$74:$KX$276)-2,$JX7)</f>
        <v>45078</v>
      </c>
      <c r="KB7" s="1051">
        <f>INDEX($IW$74:$MI$276,MAX($KX$74:$KX$276)-1,$JX7)</f>
        <v>45170</v>
      </c>
      <c r="KC7" s="1052">
        <f>INDEX($IW$74:$MI$276,MAX($KX$74:$KX$276),$JX7)</f>
        <v>45261</v>
      </c>
      <c r="KY7" s="1057"/>
      <c r="KZ7" s="984">
        <v>1</v>
      </c>
      <c r="LA7" s="1064">
        <f>INDEX($IW$74:$MI$276,MAX($MI$74:$MI$276)-4,$KZ7)</f>
        <v>44896</v>
      </c>
      <c r="LB7" s="1004">
        <f>INDEX($IW$74:$MI$276,MAX($MI$74:$MI$276)-3,$KZ7)</f>
        <v>44986</v>
      </c>
      <c r="LC7" s="1004">
        <f>INDEX($IW$74:$MI$276,MAX($MI$74:$MI$276)-2,$KZ7)</f>
        <v>45078</v>
      </c>
      <c r="LD7" s="1004">
        <f>INDEX($IW$74:$MI$276,MAX($MI$74:$MI$276)-1,$KZ7)</f>
        <v>45170</v>
      </c>
      <c r="LE7" s="1065">
        <f>INDEX($IW$74:$MI$276,MAX($MI$74:$MI$276),$KZ7)</f>
        <v>45261</v>
      </c>
      <c r="ND7" s="808" t="str">
        <f>CONCATENATE(IF(INDEX($MK$74:$NL$276,MAX($NL$74:$NL$276)-ND6,$NC10)-DATE(YEAR(ND10)-1,12,31)&lt;91,1,IF(INDEX($MK$74:$NL$276,MAX($NL$74:$NL$276)-ND6,$NC10)-DATE(YEAR(ND10)-1,12,31)&lt;182,2,IF(INDEX($MK$74:$NL$276,MAX($NL$74:$NL$276)-ND6,$NC10)-DATE(YEAR(ND10)-1,12,31)&lt;274,3,4))),"T",YEAR(INDEX($MK$74:$NL$276,MAX($NL$74:$NL$276)-ND6,$NC10)))</f>
        <v>3T2022</v>
      </c>
      <c r="NE7" s="808" t="str">
        <f>CONCATENATE(IF(INDEX($MK$74:$NL$276,MAX($NL$74:$NL$276)-NE6,$NC10)-DATE(YEAR(NE10)-1,12,31)&lt;91,1,IF(INDEX($MK$74:$NL$276,MAX($NL$74:$NL$276)-NE6,$NC10)-DATE(YEAR(NE10)-1,12,31)&lt;182,2,IF(INDEX($MK$74:$NL$276,MAX($NL$74:$NL$276)-NE6,$NC10)-DATE(YEAR(NE10)-1,12,31)&lt;274,3,4))),"T",YEAR(INDEX($MK$74:$NL$276,MAX($NL$74:$NL$276)-NE6,$NC10)))</f>
        <v>4T2022</v>
      </c>
      <c r="NF7" s="808" t="str">
        <f>CONCATENATE(IF(INDEX($MK$74:$NL$276,MAX($NL$74:$NL$276)-NF6,$NC10)-DATE(YEAR(NF10)-1,12,31)&lt;91,1,IF(INDEX($MK$74:$NL$276,MAX($NL$74:$NL$276)-NF6,$NC10)-DATE(YEAR(NF10)-1,12,31)&lt;182,2,IF(INDEX($MK$74:$NL$276,MAX($NL$74:$NL$276)-NF6,$NC10)-DATE(YEAR(NF10)-1,12,31)&lt;274,3,4))),"T",YEAR(INDEX($MK$74:$NL$276,MAX($NL$74:$NL$276)-NF6,$NC10)))</f>
        <v>1T2023</v>
      </c>
      <c r="NG7" s="808" t="str">
        <f>CONCATENATE(IF(INDEX($MK$74:$NL$276,MAX($NL$74:$NL$276)-NG6,$NC10)-DATE(YEAR(NG10)-1,12,31)&lt;91,1,IF(INDEX($MK$74:$NL$276,MAX($NL$74:$NL$276)-NG6,$NC10)-DATE(YEAR(NG10)-1,12,31)&lt;182,2,IF(INDEX($MK$74:$NL$276,MAX($NL$74:$NL$276)-NG6,$NC10)-DATE(YEAR(NG10)-1,12,31)&lt;274,3,4))),"T",YEAR(INDEX($MK$74:$NL$276,MAX($NL$74:$NL$276)-NG6,$NC10)))</f>
        <v>2T2023</v>
      </c>
      <c r="NH7" s="808" t="str">
        <f>CONCATENATE(IF(INDEX($MK$74:$NL$276,MAX($NL$74:$NL$276)-NH6,$NC10)-DATE(YEAR(NH10)-1,12,31)&lt;91,1,IF(INDEX($MK$74:$NL$276,MAX($NL$74:$NL$276)-NH6,$NC10)-DATE(YEAR(NH10)-1,12,31)&lt;182,2,IF(INDEX($MK$74:$NL$276,MAX($NL$74:$NL$276)-NH6,$NC10)-DATE(YEAR(NH10)-1,12,31)&lt;274,3,4))),"T",YEAR(INDEX($MK$74:$NL$276,MAX($NL$74:$NL$276)-NH6,$NC10)))</f>
        <v>3T2023</v>
      </c>
    </row>
    <row r="8" spans="33:372" ht="25.2" thickTop="1" thickBot="1">
      <c r="GU8" s="998"/>
      <c r="GV8" s="999">
        <v>1</v>
      </c>
      <c r="GW8" s="758">
        <f>INDEX($GT$74:$IV$276,MAX($IV$74:$IV$276)-4,$GV8)</f>
        <v>43435</v>
      </c>
      <c r="GX8" s="759">
        <f>INDEX($GT$74:$IV$276,MAX($IV$74:$IV$276)-3,$GV8)</f>
        <v>43525</v>
      </c>
      <c r="GY8" s="759">
        <f>INDEX($GT$74:$IV$276,MAX($IV$74:$IV$276)-2,$GV8)</f>
        <v>43617</v>
      </c>
      <c r="GZ8" s="759">
        <f>INDEX($GT$74:$IV$276,MAX($IV$74:$IV$276)-1,$GV8)</f>
        <v>43709</v>
      </c>
      <c r="HA8" s="760">
        <f>INDEX($GT$74:$IV$276,MAX($IV$74:$IV$276),$GV8)</f>
        <v>43800</v>
      </c>
      <c r="IX8" s="1025" t="s">
        <v>444</v>
      </c>
      <c r="IY8" s="887">
        <v>2</v>
      </c>
      <c r="IZ8" s="932">
        <f t="shared" si="0"/>
        <v>0</v>
      </c>
      <c r="JA8" s="933">
        <f t="shared" si="1"/>
        <v>0</v>
      </c>
      <c r="JB8" s="933">
        <f t="shared" si="2"/>
        <v>0</v>
      </c>
      <c r="JC8" s="933">
        <f t="shared" si="3"/>
        <v>0</v>
      </c>
      <c r="JD8" s="934">
        <f t="shared" si="4"/>
        <v>0</v>
      </c>
      <c r="JW8" s="1045" t="s">
        <v>469</v>
      </c>
      <c r="JX8" s="1046">
        <v>26</v>
      </c>
      <c r="JY8" s="982">
        <f t="shared" ref="JY8:JY34" si="5">INDEX($IW$74:$MI$276,MAX($KX$74:$KX$276)-4,$JX8)</f>
        <v>0</v>
      </c>
      <c r="JZ8" s="933">
        <f t="shared" ref="JZ8:JZ34" si="6">INDEX($IW$74:$MI$276,MAX($KX$74:$KX$276)-3,$JX8)</f>
        <v>0</v>
      </c>
      <c r="KA8" s="933">
        <f t="shared" ref="KA8:KA34" si="7">INDEX($IW$74:$MI$276,MAX($KX$74:$KX$276)-2,$JX8)</f>
        <v>0</v>
      </c>
      <c r="KB8" s="933">
        <f t="shared" ref="KB8:KB34" si="8">INDEX($IW$74:$MI$276,MAX($KX$74:$KX$276)-1,$JX8)</f>
        <v>0</v>
      </c>
      <c r="KC8" s="934">
        <f t="shared" ref="KC8:KC34" si="9">INDEX($IW$74:$MI$276,MAX($KX$74:$KX$276),$JX8)</f>
        <v>0</v>
      </c>
      <c r="KY8" s="1058" t="s">
        <v>490</v>
      </c>
      <c r="KZ8" s="792">
        <v>55</v>
      </c>
      <c r="LA8" s="793">
        <f t="shared" ref="LA8:LA43" si="10">INDEX($IW$74:$MI$276,MAX($MI$74:$MI$276)-4,$KZ8)</f>
        <v>0</v>
      </c>
      <c r="LB8" s="794">
        <f t="shared" ref="LB8:LB43" si="11">INDEX($IW$74:$MI$276,MAX($MI$74:$MI$276)-3,$KZ8)</f>
        <v>0</v>
      </c>
      <c r="LC8" s="794">
        <f t="shared" ref="LC8:LC43" si="12">INDEX($IW$74:$MI$276,MAX($MI$74:$MI$276)-2,$KZ8)</f>
        <v>0</v>
      </c>
      <c r="LD8" s="794">
        <f t="shared" ref="LD8:LD43" si="13">INDEX($IW$74:$MI$276,MAX($MI$74:$MI$276)-1,$KZ8)</f>
        <v>0</v>
      </c>
      <c r="LE8" s="795">
        <f t="shared" ref="LE8:LE43" si="14">INDEX($IW$74:$MI$276,MAX($MI$74:$MI$276),$KZ8)</f>
        <v>0</v>
      </c>
      <c r="NB8" s="36"/>
      <c r="NC8" s="43" t="s">
        <v>15</v>
      </c>
      <c r="ND8" s="2168" t="s">
        <v>12</v>
      </c>
      <c r="NE8" s="2145"/>
      <c r="NF8" s="2145"/>
      <c r="NG8" s="2145"/>
      <c r="NH8" s="2146"/>
    </row>
    <row r="9" spans="33:372" ht="12.6" thickTop="1">
      <c r="GU9" s="1005" t="s">
        <v>385</v>
      </c>
      <c r="GV9" s="887">
        <v>2</v>
      </c>
      <c r="GW9" s="932">
        <f t="shared" ref="GW9:GW61" si="15">INDEX($GT$74:$IV$276,MAX($IV$74:$IV$276)-4,$GV9)</f>
        <v>1745.9521593177492</v>
      </c>
      <c r="GX9" s="933">
        <f t="shared" ref="GX9:GX61" si="16">INDEX($GT$74:$IV$276,MAX($IV$74:$IV$276)-3,$GV9)</f>
        <v>431.78310282414753</v>
      </c>
      <c r="GY9" s="933">
        <f t="shared" ref="GY9:GY61" si="17">INDEX($GT$74:$IV$276,MAX($IV$74:$IV$276)-2,$GV9)</f>
        <v>962.73361597306041</v>
      </c>
      <c r="GZ9" s="933">
        <f t="shared" ref="GZ9:GZ61" si="18">INDEX($GT$74:$IV$276,MAX($IV$74:$IV$276)-1,$GV9)</f>
        <v>1406.2819492592855</v>
      </c>
      <c r="HA9" s="934">
        <f t="shared" ref="HA9:HA61" si="19">INDEX($GT$74:$IV$276,MAX($IV$74:$IV$276),$GV9)</f>
        <v>1931.8994893758322</v>
      </c>
      <c r="IX9" s="1026" t="s">
        <v>445</v>
      </c>
      <c r="IY9" s="889">
        <v>3</v>
      </c>
      <c r="IZ9" s="935">
        <f t="shared" si="0"/>
        <v>828.74838173000012</v>
      </c>
      <c r="JA9" s="797">
        <f t="shared" si="1"/>
        <v>858.63758405400006</v>
      </c>
      <c r="JB9" s="797">
        <f t="shared" si="2"/>
        <v>923.48333448599999</v>
      </c>
      <c r="JC9" s="797">
        <f t="shared" si="3"/>
        <v>933.14057847800018</v>
      </c>
      <c r="JD9" s="936">
        <f t="shared" si="4"/>
        <v>986.10114882400012</v>
      </c>
      <c r="JW9" s="1038" t="s">
        <v>454</v>
      </c>
      <c r="JX9" s="1053">
        <f>HLOOKUP(JW9,$JV$73:$KW$277,205,0)</f>
        <v>27</v>
      </c>
      <c r="JY9" s="779">
        <f t="shared" si="5"/>
        <v>-624.09032409300016</v>
      </c>
      <c r="JZ9" s="1056">
        <f t="shared" si="6"/>
        <v>-391.68530425</v>
      </c>
      <c r="KA9" s="1056">
        <f t="shared" si="7"/>
        <v>-404.02417554199997</v>
      </c>
      <c r="KB9" s="1056">
        <f t="shared" si="8"/>
        <v>-377.72911350600009</v>
      </c>
      <c r="KC9" s="780">
        <f t="shared" si="9"/>
        <v>-372.52078992099985</v>
      </c>
      <c r="KY9" s="1059" t="s">
        <v>454</v>
      </c>
      <c r="KZ9" s="316">
        <f>HLOOKUP(KY9,$KY$73:$MH$277,205,0)</f>
        <v>56</v>
      </c>
      <c r="LA9" s="796">
        <f t="shared" si="10"/>
        <v>2596.1610000000001</v>
      </c>
      <c r="LB9" s="797">
        <f t="shared" si="11"/>
        <v>2049.4349999999999</v>
      </c>
      <c r="LC9" s="797">
        <f t="shared" si="12"/>
        <v>2274.326</v>
      </c>
      <c r="LD9" s="797">
        <f t="shared" si="13"/>
        <v>2278.5110000000004</v>
      </c>
      <c r="LE9" s="798">
        <f t="shared" si="14"/>
        <v>1998.8049999999998</v>
      </c>
      <c r="NB9" s="37"/>
      <c r="NC9" s="44"/>
      <c r="ND9" s="804">
        <f>ND10</f>
        <v>44805</v>
      </c>
      <c r="NE9" s="785">
        <f>NE10</f>
        <v>44896</v>
      </c>
      <c r="NF9" s="785">
        <f>NF10</f>
        <v>44986</v>
      </c>
      <c r="NG9" s="785">
        <f>NG10</f>
        <v>45078</v>
      </c>
      <c r="NH9" s="805">
        <f>NH10</f>
        <v>45170</v>
      </c>
    </row>
    <row r="10" spans="33:372" ht="12.6" thickBot="1">
      <c r="GU10" s="1006" t="s">
        <v>386</v>
      </c>
      <c r="GV10" s="889">
        <v>3</v>
      </c>
      <c r="GW10" s="935">
        <f t="shared" si="15"/>
        <v>1530.8611227107997</v>
      </c>
      <c r="GX10" s="797">
        <f t="shared" si="16"/>
        <v>408.284526911</v>
      </c>
      <c r="GY10" s="797">
        <f t="shared" si="17"/>
        <v>929.83099728999991</v>
      </c>
      <c r="GZ10" s="797">
        <f t="shared" si="18"/>
        <v>1360.6440124794285</v>
      </c>
      <c r="HA10" s="936">
        <f t="shared" si="19"/>
        <v>1797.6947365538285</v>
      </c>
      <c r="IX10" s="1027" t="s">
        <v>446</v>
      </c>
      <c r="IY10" s="889">
        <v>4</v>
      </c>
      <c r="IZ10" s="935">
        <f t="shared" si="0"/>
        <v>2813.9410329239995</v>
      </c>
      <c r="JA10" s="797">
        <f t="shared" si="1"/>
        <v>2550.6226424810002</v>
      </c>
      <c r="JB10" s="797">
        <f t="shared" si="2"/>
        <v>2690.4704537129996</v>
      </c>
      <c r="JC10" s="797">
        <f t="shared" si="3"/>
        <v>2693.1156919209998</v>
      </c>
      <c r="JD10" s="936">
        <f t="shared" si="4"/>
        <v>2491.7672695840001</v>
      </c>
      <c r="JW10" s="1039" t="s">
        <v>470</v>
      </c>
      <c r="JX10" s="1054">
        <f t="shared" ref="JX10:JX34" si="20">HLOOKUP(JW10,$JV$73:$KW$277,205,0)</f>
        <v>28</v>
      </c>
      <c r="JY10" s="733">
        <f t="shared" si="5"/>
        <v>168.74831944099998</v>
      </c>
      <c r="JZ10" s="570">
        <f t="shared" si="6"/>
        <v>310.95002076400004</v>
      </c>
      <c r="KA10" s="570">
        <f t="shared" si="7"/>
        <v>496.70488802700004</v>
      </c>
      <c r="KB10" s="570">
        <f t="shared" si="8"/>
        <v>657.57678681699997</v>
      </c>
      <c r="KC10" s="734">
        <f t="shared" si="9"/>
        <v>524.372294302</v>
      </c>
      <c r="KY10" s="703" t="s">
        <v>470</v>
      </c>
      <c r="KZ10" s="316">
        <f t="shared" ref="KZ10:KZ43" si="21">HLOOKUP(KY10,$KY$73:$MH$277,205,0)</f>
        <v>57</v>
      </c>
      <c r="LA10" s="796">
        <f t="shared" si="10"/>
        <v>2968.3040000000001</v>
      </c>
      <c r="LB10" s="797">
        <f t="shared" si="11"/>
        <v>2795.2429999999999</v>
      </c>
      <c r="LC10" s="797">
        <f t="shared" si="12"/>
        <v>2699.6080000000002</v>
      </c>
      <c r="LD10" s="797">
        <f t="shared" si="13"/>
        <v>2636.6230000000005</v>
      </c>
      <c r="LE10" s="798">
        <f t="shared" si="14"/>
        <v>2624.3069999999998</v>
      </c>
      <c r="NB10" s="260"/>
      <c r="NC10" s="64">
        <v>1</v>
      </c>
      <c r="ND10" s="48">
        <f>INDEX($MK$74:$NL$276,MAX($NL$74:$NL$276)-4,$NC10)</f>
        <v>44805</v>
      </c>
      <c r="NE10" s="49">
        <f>INDEX($MK$74:$NL$276,MAX($NL$74:$NL$276)-3,$NC10)</f>
        <v>44896</v>
      </c>
      <c r="NF10" s="49">
        <f>INDEX($MK$74:$NL$276,MAX($NL$74:$NL$276)-2,$NC10)</f>
        <v>44986</v>
      </c>
      <c r="NG10" s="49">
        <f>INDEX($MK$74:$NL$276,MAX($NL$74:$NL$276)-1,$NC10)</f>
        <v>45078</v>
      </c>
      <c r="NH10" s="50">
        <f>INDEX($MK$74:$NL$276,MAX($NL$74:$NL$276),$NC10)</f>
        <v>45170</v>
      </c>
    </row>
    <row r="11" spans="33:372" ht="22.8">
      <c r="GU11" s="1007" t="s">
        <v>387</v>
      </c>
      <c r="GV11" s="889">
        <v>4</v>
      </c>
      <c r="GW11" s="935">
        <f t="shared" si="15"/>
        <v>1530.8611227107997</v>
      </c>
      <c r="GX11" s="797">
        <f t="shared" si="16"/>
        <v>408.284526911</v>
      </c>
      <c r="GY11" s="797">
        <f t="shared" si="17"/>
        <v>929.83099728999991</v>
      </c>
      <c r="GZ11" s="797">
        <f t="shared" si="18"/>
        <v>1360.6440124794285</v>
      </c>
      <c r="HA11" s="936">
        <f t="shared" si="19"/>
        <v>1797.6947365538285</v>
      </c>
      <c r="IX11" s="1028" t="s">
        <v>447</v>
      </c>
      <c r="IY11" s="889">
        <v>5</v>
      </c>
      <c r="IZ11" s="935">
        <f t="shared" si="0"/>
        <v>0.42652169400000001</v>
      </c>
      <c r="JA11" s="797">
        <f t="shared" si="1"/>
        <v>0.54813125100000004</v>
      </c>
      <c r="JB11" s="797">
        <f t="shared" si="2"/>
        <v>0.35494248299999998</v>
      </c>
      <c r="JC11" s="797">
        <f t="shared" si="3"/>
        <v>0.51118069099999996</v>
      </c>
      <c r="JD11" s="936">
        <f t="shared" si="4"/>
        <v>0.99675835400000001</v>
      </c>
      <c r="JW11" s="1040" t="s">
        <v>471</v>
      </c>
      <c r="JX11" s="1054">
        <f t="shared" si="20"/>
        <v>29</v>
      </c>
      <c r="JY11" s="733">
        <f t="shared" si="5"/>
        <v>792.83864353400008</v>
      </c>
      <c r="JZ11" s="570">
        <f t="shared" si="6"/>
        <v>702.63532501400005</v>
      </c>
      <c r="KA11" s="570">
        <f t="shared" si="7"/>
        <v>900.729063569</v>
      </c>
      <c r="KB11" s="570">
        <f t="shared" si="8"/>
        <v>1035.3059003230001</v>
      </c>
      <c r="KC11" s="734">
        <f t="shared" si="9"/>
        <v>896.89308422299985</v>
      </c>
      <c r="KY11" s="1060" t="s">
        <v>471</v>
      </c>
      <c r="KZ11" s="316">
        <f t="shared" si="21"/>
        <v>58</v>
      </c>
      <c r="LA11" s="796">
        <f t="shared" si="10"/>
        <v>-372.14300000000003</v>
      </c>
      <c r="LB11" s="797">
        <f t="shared" si="11"/>
        <v>-745.80799999999999</v>
      </c>
      <c r="LC11" s="797">
        <f t="shared" si="12"/>
        <v>-425.2820000000001</v>
      </c>
      <c r="LD11" s="797">
        <f t="shared" si="13"/>
        <v>-358.11200000000002</v>
      </c>
      <c r="LE11" s="798">
        <f t="shared" si="14"/>
        <v>-625.50199999999995</v>
      </c>
      <c r="NB11" s="1899" t="s">
        <v>1067</v>
      </c>
      <c r="NC11" s="792">
        <v>2</v>
      </c>
      <c r="ND11" s="1993">
        <f t="shared" ref="ND11:NH26" si="22">INDEX($MK$74:$NL$276,MAX($NL$74:$NL$276)-ND$6,MATCH($NB11,$MK$73:$NK$73,0))</f>
        <v>191.20125615508783</v>
      </c>
      <c r="NE11" s="1993">
        <f t="shared" si="22"/>
        <v>184.83397273105629</v>
      </c>
      <c r="NF11" s="1994">
        <f t="shared" si="22"/>
        <v>185.44910196267048</v>
      </c>
      <c r="NG11" s="1994">
        <f t="shared" si="22"/>
        <v>192.92951298081073</v>
      </c>
      <c r="NH11" s="1995">
        <f>INDEX($MK$74:$NL$276,MAX($NL$74:$NL$276)-NH$6,MATCH($NB11,$MK$73:$NK$73,0))</f>
        <v>181.15952713730914</v>
      </c>
    </row>
    <row r="12" spans="33:372" ht="20.7">
      <c r="GU12" s="1008" t="s">
        <v>388</v>
      </c>
      <c r="GV12" s="889">
        <v>5</v>
      </c>
      <c r="GW12" s="935">
        <f t="shared" si="15"/>
        <v>1354.2650551408001</v>
      </c>
      <c r="GX12" s="797">
        <f t="shared" si="16"/>
        <v>335.99242663899997</v>
      </c>
      <c r="GY12" s="797">
        <f t="shared" si="17"/>
        <v>720.31894905900003</v>
      </c>
      <c r="GZ12" s="797">
        <f t="shared" si="18"/>
        <v>1080.8988036744288</v>
      </c>
      <c r="HA12" s="936">
        <f t="shared" si="19"/>
        <v>1474.8638866378287</v>
      </c>
      <c r="IX12" s="1008" t="s">
        <v>448</v>
      </c>
      <c r="IY12" s="889">
        <v>6</v>
      </c>
      <c r="IZ12" s="935">
        <f t="shared" si="0"/>
        <v>2511.9139999999998</v>
      </c>
      <c r="JA12" s="797">
        <f t="shared" si="1"/>
        <v>2248.4740000000002</v>
      </c>
      <c r="JB12" s="797">
        <f t="shared" si="2"/>
        <v>2388.5149999999999</v>
      </c>
      <c r="JC12" s="797">
        <f t="shared" si="3"/>
        <v>2391.0039999999999</v>
      </c>
      <c r="JD12" s="936">
        <f t="shared" si="4"/>
        <v>2189.17</v>
      </c>
      <c r="JW12" s="1039" t="s">
        <v>473</v>
      </c>
      <c r="JX12" s="1054">
        <f t="shared" si="20"/>
        <v>30</v>
      </c>
      <c r="JY12" s="733">
        <f t="shared" si="5"/>
        <v>1812.489944057</v>
      </c>
      <c r="JZ12" s="570">
        <f t="shared" si="6"/>
        <v>1547.456031532</v>
      </c>
      <c r="KA12" s="570">
        <f t="shared" si="7"/>
        <v>1644.2957604129999</v>
      </c>
      <c r="KB12" s="570">
        <f t="shared" si="8"/>
        <v>1651.611206</v>
      </c>
      <c r="KC12" s="734">
        <f t="shared" si="9"/>
        <v>1508.405847045</v>
      </c>
      <c r="KY12" s="703" t="s">
        <v>472</v>
      </c>
      <c r="KZ12" s="316" t="e">
        <f t="shared" si="21"/>
        <v>#N/A</v>
      </c>
      <c r="LA12" s="796"/>
      <c r="LB12" s="797"/>
      <c r="LC12" s="797"/>
      <c r="LD12" s="797"/>
      <c r="LE12" s="798"/>
      <c r="NB12" s="1900" t="s">
        <v>1068</v>
      </c>
      <c r="NC12" s="316">
        <v>3</v>
      </c>
      <c r="ND12" s="1996">
        <f t="shared" si="22"/>
        <v>164.82898807898135</v>
      </c>
      <c r="NE12" s="1997">
        <f t="shared" si="22"/>
        <v>163.57040026055947</v>
      </c>
      <c r="NF12" s="1997">
        <f t="shared" si="22"/>
        <v>171.83233759008618</v>
      </c>
      <c r="NG12" s="1997">
        <f t="shared" si="22"/>
        <v>180.18896630628549</v>
      </c>
      <c r="NH12" s="1998">
        <f t="shared" si="22"/>
        <v>180.57516319194769</v>
      </c>
    </row>
    <row r="13" spans="33:372" ht="30.9">
      <c r="GU13" s="1009" t="s">
        <v>389</v>
      </c>
      <c r="GV13" s="889">
        <v>6</v>
      </c>
      <c r="GW13" s="935">
        <f t="shared" si="15"/>
        <v>375.28198885848468</v>
      </c>
      <c r="GX13" s="797">
        <f t="shared" si="16"/>
        <v>89.293684661840103</v>
      </c>
      <c r="GY13" s="797">
        <f t="shared" si="17"/>
        <v>226.60100739084012</v>
      </c>
      <c r="GZ13" s="797">
        <f t="shared" si="18"/>
        <v>337.9587908028401</v>
      </c>
      <c r="HA13" s="936">
        <f t="shared" si="19"/>
        <v>448.63692028584018</v>
      </c>
      <c r="IX13" s="1028" t="s">
        <v>449</v>
      </c>
      <c r="IY13" s="889">
        <v>7</v>
      </c>
      <c r="IZ13" s="935">
        <f t="shared" si="0"/>
        <v>301.60051123</v>
      </c>
      <c r="JA13" s="797">
        <f t="shared" si="1"/>
        <v>301.60051123</v>
      </c>
      <c r="JB13" s="797">
        <f t="shared" si="2"/>
        <v>301.60051123</v>
      </c>
      <c r="JC13" s="797">
        <f t="shared" si="3"/>
        <v>301.60051123</v>
      </c>
      <c r="JD13" s="936">
        <f t="shared" si="4"/>
        <v>301.60051123</v>
      </c>
      <c r="JW13" s="1040" t="s">
        <v>474</v>
      </c>
      <c r="JX13" s="1054">
        <f t="shared" si="20"/>
        <v>31</v>
      </c>
      <c r="JY13" s="733">
        <f t="shared" si="5"/>
        <v>67.136885559000007</v>
      </c>
      <c r="JZ13" s="570">
        <f t="shared" si="6"/>
        <v>28.859706550999988</v>
      </c>
      <c r="KA13" s="570">
        <f t="shared" si="7"/>
        <v>123.76961023099997</v>
      </c>
      <c r="KB13" s="570">
        <f t="shared" si="8"/>
        <v>91.08669628399997</v>
      </c>
      <c r="KC13" s="734">
        <f t="shared" si="9"/>
        <v>206.32895775600002</v>
      </c>
      <c r="KY13" s="1059" t="s">
        <v>491</v>
      </c>
      <c r="KZ13" s="316">
        <f t="shared" si="21"/>
        <v>59</v>
      </c>
      <c r="LA13" s="796">
        <f t="shared" si="10"/>
        <v>510.38700000000006</v>
      </c>
      <c r="LB13" s="797">
        <f t="shared" si="11"/>
        <v>379.733</v>
      </c>
      <c r="LC13" s="797">
        <f t="shared" si="12"/>
        <v>528.58299999999997</v>
      </c>
      <c r="LD13" s="797">
        <f t="shared" si="13"/>
        <v>393.78200000000004</v>
      </c>
      <c r="LE13" s="798">
        <f t="shared" si="14"/>
        <v>433.61</v>
      </c>
      <c r="NB13" s="1900" t="s">
        <v>1069</v>
      </c>
      <c r="NC13" s="316">
        <v>4</v>
      </c>
      <c r="ND13" s="1996">
        <f t="shared" si="22"/>
        <v>120.59773086214763</v>
      </c>
      <c r="NE13" s="1997">
        <f t="shared" si="22"/>
        <v>117.00601803831762</v>
      </c>
      <c r="NF13" s="1997">
        <f t="shared" si="22"/>
        <v>118.58925328952803</v>
      </c>
      <c r="NG13" s="1997">
        <f t="shared" si="22"/>
        <v>118.93824073436346</v>
      </c>
      <c r="NH13" s="1998">
        <f t="shared" si="22"/>
        <v>145.32361035541837</v>
      </c>
    </row>
    <row r="14" spans="33:372" ht="81.900000000000006">
      <c r="AG14" t="s">
        <v>593</v>
      </c>
      <c r="AI14" s="806"/>
      <c r="BE14" t="s">
        <v>594</v>
      </c>
      <c r="BG14" s="806"/>
      <c r="GU14" s="1010" t="s">
        <v>390</v>
      </c>
      <c r="GV14" s="889">
        <v>7</v>
      </c>
      <c r="GW14" s="935">
        <f t="shared" si="15"/>
        <v>12.42648187717022</v>
      </c>
      <c r="GX14" s="797">
        <f t="shared" si="16"/>
        <v>3.2004035370174404</v>
      </c>
      <c r="GY14" s="797">
        <f t="shared" si="17"/>
        <v>6.4503987200174393</v>
      </c>
      <c r="GZ14" s="797">
        <f t="shared" si="18"/>
        <v>9.7774150080174387</v>
      </c>
      <c r="HA14" s="936">
        <f t="shared" si="19"/>
        <v>13.220351489017443</v>
      </c>
      <c r="IX14" s="1027" t="s">
        <v>450</v>
      </c>
      <c r="IY14" s="889">
        <v>8</v>
      </c>
      <c r="IZ14" s="935">
        <f t="shared" si="0"/>
        <v>3642.6894146539998</v>
      </c>
      <c r="JA14" s="797">
        <f t="shared" si="1"/>
        <v>3409.2602265350001</v>
      </c>
      <c r="JB14" s="797">
        <f t="shared" si="2"/>
        <v>3613.9537881989995</v>
      </c>
      <c r="JC14" s="797">
        <f t="shared" si="3"/>
        <v>3626.2562703989997</v>
      </c>
      <c r="JD14" s="936">
        <f t="shared" si="4"/>
        <v>3477.8684184080003</v>
      </c>
      <c r="JW14" s="1041" t="s">
        <v>475</v>
      </c>
      <c r="JX14" s="1054">
        <f t="shared" si="20"/>
        <v>32</v>
      </c>
      <c r="JY14" s="733">
        <f t="shared" si="5"/>
        <v>276.05598233500001</v>
      </c>
      <c r="JZ14" s="570">
        <f t="shared" si="6"/>
        <v>324.13975690299998</v>
      </c>
      <c r="KA14" s="570">
        <f t="shared" si="7"/>
        <v>320.24977640499998</v>
      </c>
      <c r="KB14" s="570">
        <f t="shared" si="8"/>
        <v>337.52794514699997</v>
      </c>
      <c r="KC14" s="734">
        <f t="shared" si="9"/>
        <v>333.17791819000001</v>
      </c>
      <c r="KY14" s="703" t="s">
        <v>492</v>
      </c>
      <c r="KZ14" s="316">
        <f t="shared" si="21"/>
        <v>60</v>
      </c>
      <c r="LA14" s="796">
        <f t="shared" si="10"/>
        <v>131.74100000000001</v>
      </c>
      <c r="LB14" s="797">
        <f t="shared" si="11"/>
        <v>117.81</v>
      </c>
      <c r="LC14" s="797">
        <f t="shared" si="12"/>
        <v>133.31899999999999</v>
      </c>
      <c r="LD14" s="797">
        <f t="shared" si="13"/>
        <v>123.535</v>
      </c>
      <c r="LE14" s="798">
        <f t="shared" si="14"/>
        <v>154.542</v>
      </c>
      <c r="NB14" s="1900" t="s">
        <v>1070</v>
      </c>
      <c r="NC14" s="316">
        <v>5</v>
      </c>
      <c r="ND14" s="1996">
        <f t="shared" si="22"/>
        <v>100.0000000000001</v>
      </c>
      <c r="NE14" s="1997">
        <f t="shared" si="22"/>
        <v>100.0000000000001</v>
      </c>
      <c r="NF14" s="1997">
        <f t="shared" si="22"/>
        <v>100.00000000000013</v>
      </c>
      <c r="NG14" s="1997">
        <f t="shared" si="22"/>
        <v>100.00000000000013</v>
      </c>
      <c r="NH14" s="1998">
        <f t="shared" si="22"/>
        <v>100.00000000000013</v>
      </c>
    </row>
    <row r="15" spans="33:372" ht="24.6">
      <c r="AI15" s="212">
        <v>4</v>
      </c>
      <c r="AJ15" s="212">
        <v>3</v>
      </c>
      <c r="AK15" s="212">
        <v>2</v>
      </c>
      <c r="AL15" s="212">
        <v>1</v>
      </c>
      <c r="AM15" s="807">
        <v>0</v>
      </c>
      <c r="BG15" s="212">
        <v>4</v>
      </c>
      <c r="BH15" s="212">
        <v>3</v>
      </c>
      <c r="BI15" s="212">
        <v>2</v>
      </c>
      <c r="BJ15" s="212">
        <v>1</v>
      </c>
      <c r="BK15" s="807">
        <v>0</v>
      </c>
      <c r="GU15" s="1009" t="s">
        <v>391</v>
      </c>
      <c r="GV15" s="889">
        <v>8</v>
      </c>
      <c r="GW15" s="935">
        <f t="shared" si="15"/>
        <v>7.8051295696380816</v>
      </c>
      <c r="GX15" s="797">
        <f t="shared" si="16"/>
        <v>1.9021327342619965</v>
      </c>
      <c r="GY15" s="797">
        <f t="shared" si="17"/>
        <v>3.3031668312619962</v>
      </c>
      <c r="GZ15" s="797">
        <f t="shared" si="18"/>
        <v>6.1767715226905677</v>
      </c>
      <c r="HA15" s="936">
        <f t="shared" si="19"/>
        <v>8.6481005526905683</v>
      </c>
      <c r="IX15" s="1029" t="s">
        <v>451</v>
      </c>
      <c r="IY15" s="889">
        <v>9</v>
      </c>
      <c r="IZ15" s="935">
        <f t="shared" si="0"/>
        <v>2074.1841083190002</v>
      </c>
      <c r="JA15" s="797">
        <f t="shared" si="1"/>
        <v>1969.3901083190001</v>
      </c>
      <c r="JB15" s="797">
        <f t="shared" si="2"/>
        <v>2130.9751083189999</v>
      </c>
      <c r="JC15" s="797">
        <f t="shared" si="3"/>
        <v>2153.0131083190004</v>
      </c>
      <c r="JD15" s="936">
        <f t="shared" si="4"/>
        <v>2074.1401083189999</v>
      </c>
      <c r="JW15" s="1042" t="s">
        <v>476</v>
      </c>
      <c r="JX15" s="1054">
        <f t="shared" si="20"/>
        <v>33</v>
      </c>
      <c r="JY15" s="733">
        <f t="shared" si="5"/>
        <v>208.919096776</v>
      </c>
      <c r="JZ15" s="570">
        <f t="shared" si="6"/>
        <v>295.28005035199999</v>
      </c>
      <c r="KA15" s="570">
        <f t="shared" si="7"/>
        <v>196.480166174</v>
      </c>
      <c r="KB15" s="570">
        <f t="shared" si="8"/>
        <v>246.441248863</v>
      </c>
      <c r="KC15" s="734">
        <f t="shared" si="9"/>
        <v>126.84896043400001</v>
      </c>
      <c r="KY15" s="1060" t="s">
        <v>493</v>
      </c>
      <c r="KZ15" s="316">
        <f t="shared" si="21"/>
        <v>61</v>
      </c>
      <c r="LA15" s="796">
        <f t="shared" si="10"/>
        <v>378.64600000000002</v>
      </c>
      <c r="LB15" s="797">
        <f t="shared" si="11"/>
        <v>261.923</v>
      </c>
      <c r="LC15" s="797">
        <f t="shared" si="12"/>
        <v>395.26400000000001</v>
      </c>
      <c r="LD15" s="797">
        <f t="shared" si="13"/>
        <v>270.24700000000001</v>
      </c>
      <c r="LE15" s="798">
        <f t="shared" si="14"/>
        <v>279.06800000000004</v>
      </c>
      <c r="NB15" s="1900" t="s">
        <v>1067</v>
      </c>
      <c r="NC15" s="316">
        <v>6</v>
      </c>
      <c r="ND15" s="1996">
        <f t="shared" si="22"/>
        <v>191.20125615508783</v>
      </c>
      <c r="NE15" s="1997">
        <f t="shared" si="22"/>
        <v>184.83397273105629</v>
      </c>
      <c r="NF15" s="1997">
        <f t="shared" si="22"/>
        <v>185.44910196267048</v>
      </c>
      <c r="NG15" s="1997">
        <f t="shared" si="22"/>
        <v>192.92951298081073</v>
      </c>
      <c r="NH15" s="1998">
        <f t="shared" si="22"/>
        <v>181.15952713730914</v>
      </c>
    </row>
    <row r="16" spans="33:372" ht="31.2" thickBot="1">
      <c r="AI16" s="808" t="str">
        <f>CONCATENATE(IF(INDEX($Q$74:$CB$276,MAX($CC$74:$CC$276)-AI15,$AH19)-DATE(YEAR(AI19)-1,12,31)&lt;91,1,IF(INDEX($Q$74:$CB$276,MAX($CC$74:$CC$276)-AI15,$AH19)-DATE(YEAR(AI19)-1,12,31)&lt;182,2,IF(INDEX($Q$74:$CC$276,MAX($CC$74:$CC$276)-AI15,$AH19)-DATE(YEAR(AI19)-1,12,31)&lt;274,3,4))),"T",YEAR(INDEX($Q$74:$V$276,MAX($CC$74:$CC$276)-AI15,$AH19)))</f>
        <v>4T2021</v>
      </c>
      <c r="AJ16" s="808" t="str">
        <f>CONCATENATE(IF(INDEX($Q$74:$CB$276,MAX($CC$74:$CC$276)-AJ15,$AH19)-DATE(YEAR(AJ19)-1,12,31)&lt;91,1,IF(INDEX($Q$74:$CB$276,MAX($CC$74:$CC$276)-AJ15,$AH19)-DATE(YEAR(AJ19)-1,12,31)&lt;182,2,IF(INDEX($Q$74:$CC$276,MAX($CC$74:$CC$276)-AJ15,$AH19)-DATE(YEAR(AJ19)-1,12,31)&lt;274,3,4))),"T",YEAR(INDEX($Q$74:$V$276,MAX($CC$74:$CC$276)-AJ15,$AH19)))</f>
        <v>1T2022</v>
      </c>
      <c r="AK16" s="808" t="str">
        <f>CONCATENATE(IF(INDEX($Q$74:$CB$276,MAX($CC$74:$CC$276)-AK15,$AH19)-DATE(YEAR(AK19)-1,12,31)&lt;91,1,IF(INDEX($Q$74:$CB$276,MAX($CC$74:$CC$276)-AK15,$AH19)-DATE(YEAR(AK19)-1,12,31)&lt;182,2,IF(INDEX($Q$74:$CC$276,MAX($CC$74:$CC$276)-AK15,$AH19)-DATE(YEAR(AK19)-1,12,31)&lt;274,3,4))),"T",YEAR(INDEX($Q$74:$V$276,MAX($CC$74:$CC$276)-AK15,$AH19)))</f>
        <v>2T2022</v>
      </c>
      <c r="AL16" s="808" t="str">
        <f>CONCATENATE(IF(INDEX($Q$74:$CB$276,MAX($CC$74:$CC$276)-AL15,$AH19)-DATE(YEAR(AL19)-1,12,31)&lt;91,1,IF(INDEX($Q$74:$CB$276,MAX($CC$74:$CC$276)-AL15,$AH19)-DATE(YEAR(AL19)-1,12,31)&lt;182,2,IF(INDEX($Q$74:$CC$276,MAX($CC$74:$CC$276)-AL15,$AH19)-DATE(YEAR(AL19)-1,12,31)&lt;274,3,4))),"T",YEAR(INDEX($Q$74:$V$276,MAX($CC$74:$CC$276)-AL15,$AH19)))</f>
        <v>3T2022</v>
      </c>
      <c r="AM16" s="808" t="str">
        <f>CONCATENATE(IF(INDEX($Q$74:$CB$276,MAX($CC$74:$CC$276)-AM15,$AH19)-DATE(YEAR(AM19)-1,12,31)&lt;91,1,IF(INDEX($Q$74:$CB$276,MAX($CC$74:$CC$276)-AM15,$AH19)-DATE(YEAR(AM19)-1,12,31)&lt;182,2,IF(INDEX($Q$74:$CC$276,MAX($CC$74:$CC$276)-AM15,$AH19)-DATE(YEAR(AM19)-1,12,31)&lt;274,3,4))),"T",YEAR(INDEX($Q$74:$V$276,MAX($CC$74:$CC$276)-AM15,$AH19)))</f>
        <v>4T2022</v>
      </c>
      <c r="BG16" s="808" t="str">
        <f>CONCATENATE(IF(INDEX($Q$74:$CB$276,MAX($CC$74:$CC$276)-BG15,$AH19)-DATE(YEAR(BG19)-1,12,31)&lt;91,1,IF(INDEX($Q$74:$CB$276,MAX($CC$74:$CC$276)-BG15,$AH19)-DATE(YEAR(BG19)-1,12,31)&lt;182,2,IF(INDEX($Q$74:$CC$276,MAX($CC$74:$CC$276)-BG15,$AH19)-DATE(YEAR(BG19)-1,12,31)&lt;274,3,4))),"T",YEAR(INDEX($Q$74:$V$276,MAX($CC$74:$CC$276)-BG15,$AH19)))</f>
        <v>4T2021</v>
      </c>
      <c r="BH16" s="808" t="str">
        <f>CONCATENATE(IF(INDEX($Q$74:$CB$276,MAX($CC$74:$CC$276)-BH15,$AH19)-DATE(YEAR(BH19)-1,12,31)&lt;91,1,IF(INDEX($Q$74:$CB$276,MAX($CC$74:$CC$276)-BH15,$AH19)-DATE(YEAR(BH19)-1,12,31)&lt;182,2,IF(INDEX($Q$74:$CC$276,MAX($CC$74:$CC$276)-BH15,$AH19)-DATE(YEAR(BH19)-1,12,31)&lt;274,3,4))),"T",YEAR(INDEX($Q$74:$V$276,MAX($CC$74:$CC$276)-BH15,$AH19)))</f>
        <v>1T2022</v>
      </c>
      <c r="BI16" s="808" t="str">
        <f>CONCATENATE(IF(INDEX($Q$74:$CB$276,MAX($CC$74:$CC$276)-BI15,$AH19)-DATE(YEAR(BI19)-1,12,31)&lt;91,1,IF(INDEX($Q$74:$CB$276,MAX($CC$74:$CC$276)-BI15,$AH19)-DATE(YEAR(BI19)-1,12,31)&lt;182,2,IF(INDEX($Q$74:$CC$276,MAX($CC$74:$CC$276)-BI15,$AH19)-DATE(YEAR(BI19)-1,12,31)&lt;274,3,4))),"T",YEAR(INDEX($Q$74:$V$276,MAX($CC$74:$CC$276)-BI15,$AH19)))</f>
        <v>2T2022</v>
      </c>
      <c r="BJ16" s="808" t="str">
        <f>CONCATENATE(IF(INDEX($Q$74:$CB$276,MAX($CC$74:$CC$276)-BJ15,$AH19)-DATE(YEAR(BJ19)-1,12,31)&lt;91,1,IF(INDEX($Q$74:$CB$276,MAX($CC$74:$CC$276)-BJ15,$AH19)-DATE(YEAR(BJ19)-1,12,31)&lt;182,2,IF(INDEX($Q$74:$CC$276,MAX($CC$74:$CC$276)-BJ15,$AH19)-DATE(YEAR(BJ19)-1,12,31)&lt;274,3,4))),"T",YEAR(INDEX($Q$74:$V$276,MAX($CC$74:$CC$276)-BJ15,$AH19)))</f>
        <v>3T2022</v>
      </c>
      <c r="BK16" s="808" t="str">
        <f>CONCATENATE(IF(INDEX($Q$74:$CB$276,MAX($CC$74:$CC$276)-BK15,$AH19)-DATE(YEAR(BK19)-1,12,31)&lt;91,1,IF(INDEX($Q$74:$CB$276,MAX($CC$74:$CC$276)-BK15,$AH19)-DATE(YEAR(BK19)-1,12,31)&lt;182,2,IF(INDEX($Q$74:$CC$276,MAX($CC$74:$CC$276)-BK15,$AH19)-DATE(YEAR(BK19)-1,12,31)&lt;274,3,4))),"T",YEAR(INDEX($Q$74:$V$276,MAX($CC$74:$CC$276)-BK15,$AH19)))</f>
        <v>4T2022</v>
      </c>
      <c r="GU16" s="1010" t="s">
        <v>392</v>
      </c>
      <c r="GV16" s="889">
        <v>9</v>
      </c>
      <c r="GW16" s="935">
        <f t="shared" si="15"/>
        <v>744.88504396495375</v>
      </c>
      <c r="GX16" s="797">
        <f t="shared" si="16"/>
        <v>190.22185100421538</v>
      </c>
      <c r="GY16" s="797">
        <f t="shared" si="17"/>
        <v>379.20660382721536</v>
      </c>
      <c r="GZ16" s="797">
        <f t="shared" si="18"/>
        <v>572.62863778721533</v>
      </c>
      <c r="HA16" s="936">
        <f t="shared" si="19"/>
        <v>796.8479282786152</v>
      </c>
      <c r="IX16" s="1027" t="s">
        <v>452</v>
      </c>
      <c r="IY16" s="889">
        <v>10</v>
      </c>
      <c r="IZ16" s="935">
        <f t="shared" si="0"/>
        <v>5716.873522973</v>
      </c>
      <c r="JA16" s="797">
        <f t="shared" si="1"/>
        <v>5378.650334854</v>
      </c>
      <c r="JB16" s="797">
        <f t="shared" si="2"/>
        <v>5744.9288965179994</v>
      </c>
      <c r="JC16" s="797">
        <f t="shared" si="3"/>
        <v>5779.2693787179996</v>
      </c>
      <c r="JD16" s="936">
        <f t="shared" si="4"/>
        <v>5552.0085267270006</v>
      </c>
      <c r="JW16" s="1043" t="s">
        <v>477</v>
      </c>
      <c r="JX16" s="1054">
        <f t="shared" si="20"/>
        <v>34</v>
      </c>
      <c r="JY16" s="733">
        <f t="shared" si="5"/>
        <v>9.1537610869999995</v>
      </c>
      <c r="JZ16" s="570">
        <f t="shared" si="6"/>
        <v>9.2310388759999995</v>
      </c>
      <c r="KA16" s="570">
        <f t="shared" si="7"/>
        <v>9.3588892569999995</v>
      </c>
      <c r="KB16" s="570">
        <f t="shared" si="8"/>
        <v>8.8982985410000008</v>
      </c>
      <c r="KC16" s="734">
        <f t="shared" si="9"/>
        <v>9.0020789939999997</v>
      </c>
      <c r="KY16" s="703" t="s">
        <v>505</v>
      </c>
      <c r="KZ16" s="316">
        <f t="shared" si="21"/>
        <v>62</v>
      </c>
      <c r="LA16" s="796">
        <f t="shared" si="10"/>
        <v>0</v>
      </c>
      <c r="LB16" s="797">
        <f t="shared" si="11"/>
        <v>0</v>
      </c>
      <c r="LC16" s="797">
        <f t="shared" si="12"/>
        <v>0</v>
      </c>
      <c r="LD16" s="797">
        <f t="shared" si="13"/>
        <v>0</v>
      </c>
      <c r="LE16" s="798">
        <f t="shared" si="14"/>
        <v>0</v>
      </c>
      <c r="NB16" s="1900" t="s">
        <v>1071</v>
      </c>
      <c r="NC16" s="316">
        <v>7</v>
      </c>
      <c r="ND16" s="1996">
        <f t="shared" si="22"/>
        <v>165.37471658011734</v>
      </c>
      <c r="NE16" s="1997">
        <f t="shared" si="22"/>
        <v>164.05640703732243</v>
      </c>
      <c r="NF16" s="1997">
        <f t="shared" si="22"/>
        <v>172.33449359840873</v>
      </c>
      <c r="NG16" s="1997">
        <f t="shared" si="22"/>
        <v>180.88913239674687</v>
      </c>
      <c r="NH16" s="1998">
        <f t="shared" si="22"/>
        <v>181.28448020674099</v>
      </c>
    </row>
    <row r="17" spans="2:372" ht="41.1">
      <c r="AG17" s="36"/>
      <c r="AH17" s="43" t="s">
        <v>15</v>
      </c>
      <c r="AI17" s="2168" t="s">
        <v>12</v>
      </c>
      <c r="AJ17" s="2145"/>
      <c r="AK17" s="2145"/>
      <c r="AL17" s="2145"/>
      <c r="AM17" s="2146"/>
      <c r="BE17" s="36"/>
      <c r="BF17" s="43" t="s">
        <v>15</v>
      </c>
      <c r="BG17" s="2168" t="s">
        <v>12</v>
      </c>
      <c r="BH17" s="2145"/>
      <c r="BI17" s="2145"/>
      <c r="BJ17" s="2145"/>
      <c r="BK17" s="2146"/>
      <c r="GU17" s="1011" t="s">
        <v>393</v>
      </c>
      <c r="GV17" s="889">
        <v>10</v>
      </c>
      <c r="GW17" s="935">
        <f t="shared" si="15"/>
        <v>202.46770272799998</v>
      </c>
      <c r="GX17" s="797">
        <f t="shared" si="16"/>
        <v>48.703826723999995</v>
      </c>
      <c r="GY17" s="797">
        <f t="shared" si="17"/>
        <v>99.436609455999999</v>
      </c>
      <c r="GZ17" s="797">
        <f t="shared" si="18"/>
        <v>146.16969171900001</v>
      </c>
      <c r="HA17" s="936">
        <f t="shared" si="19"/>
        <v>195.88554201700001</v>
      </c>
      <c r="IX17" s="1030" t="s">
        <v>453</v>
      </c>
      <c r="IY17" s="889">
        <v>11</v>
      </c>
      <c r="IZ17" s="935">
        <f t="shared" si="0"/>
        <v>0</v>
      </c>
      <c r="JA17" s="797">
        <f t="shared" si="1"/>
        <v>0</v>
      </c>
      <c r="JB17" s="797">
        <f t="shared" si="2"/>
        <v>0</v>
      </c>
      <c r="JC17" s="797">
        <f t="shared" si="3"/>
        <v>0</v>
      </c>
      <c r="JD17" s="936">
        <f t="shared" si="4"/>
        <v>0</v>
      </c>
      <c r="JW17" s="1042" t="s">
        <v>478</v>
      </c>
      <c r="JX17" s="1054">
        <f t="shared" si="20"/>
        <v>35</v>
      </c>
      <c r="JY17" s="733">
        <f t="shared" si="5"/>
        <v>3.6619999999999999</v>
      </c>
      <c r="JZ17" s="570">
        <f t="shared" si="6"/>
        <v>3.5590000000000002</v>
      </c>
      <c r="KA17" s="570">
        <f t="shared" si="7"/>
        <v>3.3340000000000001</v>
      </c>
      <c r="KB17" s="570">
        <f t="shared" si="8"/>
        <v>2.6890000000000001</v>
      </c>
      <c r="KC17" s="734">
        <f t="shared" si="9"/>
        <v>2.6890000000000001</v>
      </c>
      <c r="KY17" s="1061" t="s">
        <v>472</v>
      </c>
      <c r="KZ17" s="316" t="e">
        <f t="shared" si="21"/>
        <v>#N/A</v>
      </c>
      <c r="LA17" s="796"/>
      <c r="LB17" s="797"/>
      <c r="LC17" s="797"/>
      <c r="LD17" s="797"/>
      <c r="LE17" s="798"/>
      <c r="NB17" s="1900" t="s">
        <v>1072</v>
      </c>
      <c r="NC17" s="316">
        <v>8</v>
      </c>
      <c r="ND17" s="1996">
        <f t="shared" si="22"/>
        <v>159.99999999999986</v>
      </c>
      <c r="NE17" s="1997">
        <f t="shared" si="22"/>
        <v>159.99999999999986</v>
      </c>
      <c r="NF17" s="1997">
        <f t="shared" si="22"/>
        <v>159.99999999999986</v>
      </c>
      <c r="NG17" s="1997">
        <f t="shared" si="22"/>
        <v>159.99999999999986</v>
      </c>
      <c r="NH17" s="1998">
        <f t="shared" si="22"/>
        <v>159.99999999999986</v>
      </c>
    </row>
    <row r="18" spans="2:372" ht="41.1">
      <c r="AG18" s="37"/>
      <c r="AH18" s="44"/>
      <c r="AI18" s="804">
        <f>AI19</f>
        <v>44531</v>
      </c>
      <c r="AJ18" s="785">
        <f>AJ19</f>
        <v>44621</v>
      </c>
      <c r="AK18" s="785">
        <f>AK19</f>
        <v>44713</v>
      </c>
      <c r="AL18" s="785">
        <f>AL19</f>
        <v>44805</v>
      </c>
      <c r="AM18" s="805">
        <f>AM19</f>
        <v>44896</v>
      </c>
      <c r="BE18" s="37"/>
      <c r="BF18" s="44"/>
      <c r="BG18" s="804">
        <f>BG19</f>
        <v>44531</v>
      </c>
      <c r="BH18" s="785">
        <f>BH19</f>
        <v>44621</v>
      </c>
      <c r="BI18" s="785">
        <f>BI19</f>
        <v>44713</v>
      </c>
      <c r="BJ18" s="785">
        <f>BJ19</f>
        <v>44805</v>
      </c>
      <c r="BK18" s="805">
        <f>BK19</f>
        <v>44896</v>
      </c>
      <c r="GU18" s="1010" t="s">
        <v>394</v>
      </c>
      <c r="GV18" s="889">
        <v>11</v>
      </c>
      <c r="GW18" s="935">
        <f t="shared" si="15"/>
        <v>11.39870814255316</v>
      </c>
      <c r="GX18" s="797">
        <f t="shared" si="16"/>
        <v>2.6705279776650661</v>
      </c>
      <c r="GY18" s="797">
        <f t="shared" si="17"/>
        <v>5.3211628336650652</v>
      </c>
      <c r="GZ18" s="797">
        <f t="shared" si="18"/>
        <v>8.1874968346650672</v>
      </c>
      <c r="HA18" s="936">
        <f t="shared" si="19"/>
        <v>11.625044014665066</v>
      </c>
      <c r="IX18" s="1031" t="s">
        <v>454</v>
      </c>
      <c r="IY18" s="889">
        <v>12</v>
      </c>
      <c r="IZ18" s="935">
        <f t="shared" si="0"/>
        <v>1972.0706759070001</v>
      </c>
      <c r="JA18" s="797">
        <f t="shared" si="1"/>
        <v>1657.7496957499998</v>
      </c>
      <c r="JB18" s="797">
        <f t="shared" si="2"/>
        <v>1870.3018244580001</v>
      </c>
      <c r="JC18" s="797">
        <f t="shared" si="3"/>
        <v>1900.7818864940004</v>
      </c>
      <c r="JD18" s="936">
        <f t="shared" si="4"/>
        <v>1626.2842100790003</v>
      </c>
      <c r="JW18" s="1039" t="s">
        <v>494</v>
      </c>
      <c r="JX18" s="1054">
        <f t="shared" si="20"/>
        <v>36</v>
      </c>
      <c r="JY18" s="733">
        <f t="shared" si="5"/>
        <v>0</v>
      </c>
      <c r="JZ18" s="570">
        <f t="shared" si="6"/>
        <v>0</v>
      </c>
      <c r="KA18" s="570">
        <f t="shared" si="7"/>
        <v>0</v>
      </c>
      <c r="KB18" s="570">
        <f t="shared" si="8"/>
        <v>0</v>
      </c>
      <c r="KC18" s="734">
        <f t="shared" si="9"/>
        <v>0</v>
      </c>
      <c r="KY18" s="704" t="s">
        <v>474</v>
      </c>
      <c r="KZ18" s="316">
        <f t="shared" si="21"/>
        <v>63</v>
      </c>
      <c r="LA18" s="796">
        <f t="shared" si="10"/>
        <v>81.490000000000009</v>
      </c>
      <c r="LB18" s="797">
        <f t="shared" si="11"/>
        <v>310.81400000000008</v>
      </c>
      <c r="LC18" s="797">
        <f t="shared" si="12"/>
        <v>282.13300000000004</v>
      </c>
      <c r="LD18" s="797">
        <f t="shared" si="13"/>
        <v>256.85500000000013</v>
      </c>
      <c r="LE18" s="798">
        <f t="shared" si="14"/>
        <v>243.69700000000012</v>
      </c>
      <c r="NB18" s="1900" t="s">
        <v>1073</v>
      </c>
      <c r="NC18" s="316">
        <v>9</v>
      </c>
      <c r="ND18" s="1996">
        <f t="shared" si="22"/>
        <v>138.62806110200322</v>
      </c>
      <c r="NE18" s="1997">
        <f t="shared" si="22"/>
        <v>132.65018373644946</v>
      </c>
      <c r="NF18" s="1997">
        <f t="shared" si="22"/>
        <v>136.47146675096886</v>
      </c>
      <c r="NG18" s="1997">
        <f t="shared" si="22"/>
        <v>135.17309667885354</v>
      </c>
      <c r="NH18" s="1998">
        <f t="shared" si="22"/>
        <v>239.55148475970464</v>
      </c>
    </row>
    <row r="19" spans="2:372" ht="23.1" thickBot="1">
      <c r="AG19" s="260"/>
      <c r="AH19" s="64">
        <v>1</v>
      </c>
      <c r="AI19" s="48">
        <f>INDEX($Q$74:$CB$276,MAX($CC$74:$CC$276)-4,$AH19)</f>
        <v>44531</v>
      </c>
      <c r="AJ19" s="49">
        <f>INDEX($Q$74:$CB$276,MAX($CC$74:$CC$276)-3,$AH19)</f>
        <v>44621</v>
      </c>
      <c r="AK19" s="49">
        <f>INDEX($Q$74:$CB$276,MAX($CC$74:$CC$276)-2,$AH19)</f>
        <v>44713</v>
      </c>
      <c r="AL19" s="49">
        <f>INDEX($Q$74:$CB$276,MAX($CC$74:$CC$276)-1,$AH19)</f>
        <v>44805</v>
      </c>
      <c r="AM19" s="50">
        <f>INDEX($Q$74:$CB$276,MAX($CC$74:$CC$276),$AH19)</f>
        <v>44896</v>
      </c>
      <c r="BE19" s="260"/>
      <c r="BF19" s="64">
        <v>1</v>
      </c>
      <c r="BG19" s="48">
        <f>INDEX($Q$74:$CB$276,MAX($CC$74:$CC$276)-4,$AH19)</f>
        <v>44531</v>
      </c>
      <c r="BH19" s="49">
        <f>INDEX($Q$74:$CB$276,MAX($CC$74:$CC$276)-3,$AH19)</f>
        <v>44621</v>
      </c>
      <c r="BI19" s="49">
        <f>INDEX($Q$74:$CB$276,MAX($CC$74:$CC$276)-2,$AH19)</f>
        <v>44713</v>
      </c>
      <c r="BJ19" s="49">
        <f>INDEX($Q$74:$CB$276,MAX($CC$74:$CC$276)-1,$AH19)</f>
        <v>44805</v>
      </c>
      <c r="BK19" s="50">
        <f>INDEX($Q$74:$CB$276,MAX($CC$74:$CC$276),$AH19)</f>
        <v>44896</v>
      </c>
      <c r="GU19" s="1012" t="s">
        <v>395</v>
      </c>
      <c r="GV19" s="889">
        <v>12</v>
      </c>
      <c r="GW19" s="935">
        <f t="shared" si="15"/>
        <v>176.59606757</v>
      </c>
      <c r="GX19" s="797">
        <f t="shared" si="16"/>
        <v>72.292100272000013</v>
      </c>
      <c r="GY19" s="797">
        <f t="shared" si="17"/>
        <v>209.51204823100002</v>
      </c>
      <c r="GZ19" s="797">
        <f t="shared" si="18"/>
        <v>279.745208805</v>
      </c>
      <c r="HA19" s="936">
        <f t="shared" si="19"/>
        <v>322.83084991600003</v>
      </c>
      <c r="IX19" s="1028" t="s">
        <v>447</v>
      </c>
      <c r="IY19" s="889">
        <v>13</v>
      </c>
      <c r="IZ19" s="935">
        <f t="shared" si="0"/>
        <v>-624.09032409300016</v>
      </c>
      <c r="JA19" s="797">
        <f t="shared" si="1"/>
        <v>-391.68530425</v>
      </c>
      <c r="JB19" s="797">
        <f t="shared" si="2"/>
        <v>-404.02417554199997</v>
      </c>
      <c r="JC19" s="797">
        <f t="shared" si="3"/>
        <v>-377.72911350600009</v>
      </c>
      <c r="JD19" s="936">
        <f t="shared" si="4"/>
        <v>-372.52078992099985</v>
      </c>
      <c r="JW19" s="1042" t="s">
        <v>495</v>
      </c>
      <c r="JX19" s="1054">
        <f t="shared" si="20"/>
        <v>37</v>
      </c>
      <c r="JY19" s="733">
        <f t="shared" si="5"/>
        <v>0</v>
      </c>
      <c r="JZ19" s="570">
        <f t="shared" si="6"/>
        <v>0</v>
      </c>
      <c r="KA19" s="570">
        <f t="shared" si="7"/>
        <v>0</v>
      </c>
      <c r="KB19" s="570">
        <f t="shared" si="8"/>
        <v>0</v>
      </c>
      <c r="KC19" s="734">
        <f t="shared" si="9"/>
        <v>0</v>
      </c>
      <c r="KY19" s="703" t="s">
        <v>475</v>
      </c>
      <c r="KZ19" s="316">
        <f t="shared" si="21"/>
        <v>64</v>
      </c>
      <c r="LA19" s="796">
        <f t="shared" si="10"/>
        <v>1019.239</v>
      </c>
      <c r="LB19" s="797">
        <f t="shared" si="11"/>
        <v>1115.586</v>
      </c>
      <c r="LC19" s="797">
        <f t="shared" si="12"/>
        <v>1184.596</v>
      </c>
      <c r="LD19" s="797">
        <f t="shared" si="13"/>
        <v>1150.4490000000001</v>
      </c>
      <c r="LE19" s="798">
        <f t="shared" si="14"/>
        <v>1154.7450000000001</v>
      </c>
      <c r="NB19" s="1900" t="s">
        <v>1074</v>
      </c>
      <c r="NC19" s="316">
        <v>10</v>
      </c>
      <c r="ND19" s="1996">
        <f t="shared" si="22"/>
        <v>100.00065465091683</v>
      </c>
      <c r="NE19" s="1997">
        <f t="shared" si="22"/>
        <v>100.00065465091683</v>
      </c>
      <c r="NF19" s="1997">
        <f t="shared" si="22"/>
        <v>100.00065465091681</v>
      </c>
      <c r="NG19" s="1997">
        <f t="shared" si="22"/>
        <v>100.00065465091681</v>
      </c>
      <c r="NH19" s="1998">
        <f t="shared" si="22"/>
        <v>99.989210142220131</v>
      </c>
    </row>
    <row r="20" spans="2:372" ht="41.1">
      <c r="AF20" s="850"/>
      <c r="AG20" s="851" t="s">
        <v>566</v>
      </c>
      <c r="AH20" s="863">
        <v>17</v>
      </c>
      <c r="AI20" s="56">
        <f t="shared" ref="AI20:AI42" si="23">INDEX($Q$74:$CB$276,MAX($CC$74:$CC$276)-4,$AH20)</f>
        <v>36.734627296784993</v>
      </c>
      <c r="AJ20" s="56">
        <f t="shared" ref="AJ20:AJ42" si="24">INDEX($Q$74:$CB$276,MAX($CC$74:$CC$276)-3,$AH20)</f>
        <v>12.24022835408941</v>
      </c>
      <c r="AK20" s="56">
        <f t="shared" ref="AK20:AK42" si="25">INDEX($Q$74:$CB$276,MAX($CC$74:$CC$276)-2,$AH20)</f>
        <v>-15.084259740753623</v>
      </c>
      <c r="AL20" s="56">
        <f t="shared" ref="AL20:AL42" si="26">INDEX($Q$74:$CB$276,MAX($CC$74:$CC$276)-1,$AH20)</f>
        <v>13.098503293185129</v>
      </c>
      <c r="AM20" s="57">
        <f t="shared" ref="AM20:AM42" si="27">INDEX($Q$74:$CB$276,MAX($CC$74:$CC$276),$AH20)</f>
        <v>-7.9117280541837331</v>
      </c>
      <c r="BD20" s="866"/>
      <c r="BE20" s="867" t="s">
        <v>566</v>
      </c>
      <c r="BF20" s="792">
        <v>40</v>
      </c>
      <c r="BG20" s="793">
        <f>INDEX($Q$74:$CB$276,MAX($CC$74:$CC$276)-4,$BF20)</f>
        <v>35.429172483558602</v>
      </c>
      <c r="BH20" s="793">
        <f>INDEX($Q$74:$CB$276,MAX($CC$74:$CC$276)-3,$BF20)</f>
        <v>46.205171726761911</v>
      </c>
      <c r="BI20" s="794">
        <f>INDEX($Q$74:$CB$276,MAX($CC$74:$CC$276)-2,$BF20)</f>
        <v>-28.410564372842124</v>
      </c>
      <c r="BJ20" s="794">
        <f>INDEX($Q$74:$CB$276,MAX($CC$74:$CC$276)-1,$BF20)</f>
        <v>40.873277908913593</v>
      </c>
      <c r="BK20" s="795">
        <f>INDEX($Q$74:$CB$276,MAX($CC$74:$CC$276),$BF20)</f>
        <v>-69.781696457898803</v>
      </c>
      <c r="DM20" s="86" t="s">
        <v>638</v>
      </c>
      <c r="DO20" s="806"/>
      <c r="GU20" s="1010" t="s">
        <v>396</v>
      </c>
      <c r="GV20" s="889">
        <v>13</v>
      </c>
      <c r="GW20" s="935">
        <f t="shared" si="15"/>
        <v>6.5550918400000002</v>
      </c>
      <c r="GX20" s="797">
        <f t="shared" si="16"/>
        <v>1.5766145250000001</v>
      </c>
      <c r="GY20" s="797">
        <f t="shared" si="17"/>
        <v>3.486776329</v>
      </c>
      <c r="GZ20" s="797">
        <f t="shared" si="18"/>
        <v>4.9282246489999997</v>
      </c>
      <c r="HA20" s="936">
        <f t="shared" si="19"/>
        <v>6.6096334309999989</v>
      </c>
      <c r="IX20" s="1032" t="s">
        <v>448</v>
      </c>
      <c r="IY20" s="889">
        <v>14</v>
      </c>
      <c r="IZ20" s="935">
        <f t="shared" si="0"/>
        <v>2596.1610000000001</v>
      </c>
      <c r="JA20" s="797">
        <f t="shared" si="1"/>
        <v>2049.4349999999999</v>
      </c>
      <c r="JB20" s="797">
        <f t="shared" si="2"/>
        <v>2274.326</v>
      </c>
      <c r="JC20" s="797">
        <f t="shared" si="3"/>
        <v>2278.5110000000004</v>
      </c>
      <c r="JD20" s="936">
        <f t="shared" si="4"/>
        <v>1998.8049999999998</v>
      </c>
      <c r="JW20" s="1041" t="s">
        <v>479</v>
      </c>
      <c r="JX20" s="1054">
        <f t="shared" si="20"/>
        <v>38</v>
      </c>
      <c r="JY20" s="733">
        <f t="shared" si="5"/>
        <v>5.4917610870000004</v>
      </c>
      <c r="JZ20" s="570">
        <f t="shared" si="6"/>
        <v>5.6720388760000002</v>
      </c>
      <c r="KA20" s="570">
        <f t="shared" si="7"/>
        <v>6.0248892569999999</v>
      </c>
      <c r="KB20" s="570">
        <f t="shared" si="8"/>
        <v>6.2092985410000008</v>
      </c>
      <c r="KC20" s="734">
        <f t="shared" si="9"/>
        <v>6.3130789939999996</v>
      </c>
      <c r="KY20" s="1060" t="s">
        <v>476</v>
      </c>
      <c r="KZ20" s="316">
        <f t="shared" si="21"/>
        <v>65</v>
      </c>
      <c r="LA20" s="796">
        <f t="shared" si="10"/>
        <v>-937.74900000000002</v>
      </c>
      <c r="LB20" s="797">
        <f t="shared" si="11"/>
        <v>-804.77199999999993</v>
      </c>
      <c r="LC20" s="797">
        <f t="shared" si="12"/>
        <v>-902.46299999999997</v>
      </c>
      <c r="LD20" s="797">
        <f t="shared" si="13"/>
        <v>-893.59399999999994</v>
      </c>
      <c r="LE20" s="798">
        <f t="shared" si="14"/>
        <v>-911.048</v>
      </c>
      <c r="NB20" s="1900" t="s">
        <v>1075</v>
      </c>
      <c r="NC20" s="316">
        <v>11</v>
      </c>
      <c r="ND20" s="1996">
        <f t="shared" si="22"/>
        <v>181.34312248667365</v>
      </c>
      <c r="NE20" s="1997">
        <f t="shared" si="22"/>
        <v>101.26140661236944</v>
      </c>
      <c r="NF20" s="1997">
        <f t="shared" si="22"/>
        <v>101.2614066124502</v>
      </c>
      <c r="NG20" s="1997">
        <f t="shared" si="22"/>
        <v>101.2614066124502</v>
      </c>
      <c r="NH20" s="1998">
        <f t="shared" si="22"/>
        <v>101.2614066124502</v>
      </c>
    </row>
    <row r="21" spans="2:372" ht="30.9">
      <c r="AF21" s="852" t="s">
        <v>567</v>
      </c>
      <c r="AG21" s="853" t="s">
        <v>568</v>
      </c>
      <c r="AH21" s="864">
        <v>18</v>
      </c>
      <c r="AI21" s="75">
        <f t="shared" si="23"/>
        <v>28.83278634687877</v>
      </c>
      <c r="AJ21" s="75">
        <f t="shared" si="24"/>
        <v>25.605989587967322</v>
      </c>
      <c r="AK21" s="75">
        <f t="shared" si="25"/>
        <v>-23.978881388770212</v>
      </c>
      <c r="AL21" s="75">
        <f t="shared" si="26"/>
        <v>-3.4120651212815432</v>
      </c>
      <c r="AM21" s="803">
        <f t="shared" si="27"/>
        <v>19.396443983997749</v>
      </c>
      <c r="BD21" s="868" t="s">
        <v>567</v>
      </c>
      <c r="BE21" s="869" t="s">
        <v>568</v>
      </c>
      <c r="BF21" s="316">
        <v>41</v>
      </c>
      <c r="BG21" s="796">
        <f t="shared" ref="BG21:BG44" si="28">INDEX($Q$74:$CB$276,MAX($CC$74:$CC$276)-4,$BF21)</f>
        <v>2.2338737717781925</v>
      </c>
      <c r="BH21" s="797">
        <f t="shared" ref="BH21:BH44" si="29">INDEX($Q$74:$CB$276,MAX($CC$74:$CC$276)-3,$BF21)</f>
        <v>74.53713794679976</v>
      </c>
      <c r="BI21" s="797">
        <f t="shared" ref="BI21:BI44" si="30">INDEX($Q$74:$CB$276,MAX($CC$74:$CC$276)-2,$BF21)</f>
        <v>-19.861645793292801</v>
      </c>
      <c r="BJ21" s="797">
        <f t="shared" ref="BJ21:BJ44" si="31">INDEX($Q$74:$CB$276,MAX($CC$74:$CC$276)-1,$BF21)</f>
        <v>-15.714600874337002</v>
      </c>
      <c r="BK21" s="798">
        <f t="shared" ref="BK21:BK44" si="32">INDEX($Q$74:$CB$276,MAX($CC$74:$CC$276),$BF21)</f>
        <v>-6.4744640762096353</v>
      </c>
      <c r="DO21" s="212">
        <v>4</v>
      </c>
      <c r="DP21" s="212">
        <v>3</v>
      </c>
      <c r="DQ21" s="212">
        <v>2</v>
      </c>
      <c r="DR21" s="212">
        <v>1</v>
      </c>
      <c r="DS21" s="807">
        <v>0</v>
      </c>
      <c r="DU21" s="86" t="s">
        <v>684</v>
      </c>
      <c r="DW21" s="806"/>
      <c r="GU21" s="1009" t="s">
        <v>397</v>
      </c>
      <c r="GV21" s="889">
        <v>14</v>
      </c>
      <c r="GW21" s="935">
        <f t="shared" si="15"/>
        <v>29.962953691999999</v>
      </c>
      <c r="GX21" s="797">
        <f t="shared" si="16"/>
        <v>46.466239377000008</v>
      </c>
      <c r="GY21" s="797">
        <f t="shared" si="17"/>
        <v>134.535960512</v>
      </c>
      <c r="GZ21" s="797">
        <f t="shared" si="18"/>
        <v>142.21699114799998</v>
      </c>
      <c r="HA21" s="936">
        <f t="shared" si="19"/>
        <v>151.70286078399997</v>
      </c>
      <c r="IX21" s="1029" t="s">
        <v>455</v>
      </c>
      <c r="IY21" s="889">
        <v>15</v>
      </c>
      <c r="IZ21" s="935">
        <f t="shared" si="0"/>
        <v>4396.1364443080001</v>
      </c>
      <c r="JA21" s="797">
        <f t="shared" si="1"/>
        <v>4317.6425430890004</v>
      </c>
      <c r="JB21" s="797">
        <f t="shared" si="2"/>
        <v>4551.9022971499999</v>
      </c>
      <c r="JC21" s="797">
        <f t="shared" si="3"/>
        <v>4686.3317924869998</v>
      </c>
      <c r="JD21" s="936">
        <f t="shared" si="4"/>
        <v>4764.6858344120001</v>
      </c>
      <c r="JW21" s="1042" t="s">
        <v>481</v>
      </c>
      <c r="JX21" s="1054">
        <f t="shared" si="20"/>
        <v>39</v>
      </c>
      <c r="JY21" s="733">
        <f t="shared" si="5"/>
        <v>1262.7449119200003</v>
      </c>
      <c r="JZ21" s="570">
        <f t="shared" si="6"/>
        <v>1243.6039750799998</v>
      </c>
      <c r="KA21" s="570">
        <f t="shared" si="7"/>
        <v>1349.5134398269997</v>
      </c>
      <c r="KB21" s="570">
        <f t="shared" si="8"/>
        <v>1335.9944169970001</v>
      </c>
      <c r="KC21" s="734">
        <f t="shared" si="9"/>
        <v>1382.586212357</v>
      </c>
      <c r="KY21" s="715" t="s">
        <v>472</v>
      </c>
      <c r="KZ21" s="316" t="e">
        <f t="shared" si="21"/>
        <v>#N/A</v>
      </c>
      <c r="LA21" s="796"/>
      <c r="LB21" s="797"/>
      <c r="LC21" s="797"/>
      <c r="LD21" s="797"/>
      <c r="LE21" s="798"/>
      <c r="NB21" s="1900" t="s">
        <v>1076</v>
      </c>
      <c r="NC21" s="316">
        <v>12</v>
      </c>
      <c r="ND21" s="1996">
        <f t="shared" si="22"/>
        <v>100.08999602021392</v>
      </c>
      <c r="NE21" s="1997">
        <f t="shared" si="22"/>
        <v>100.08999602021392</v>
      </c>
      <c r="NF21" s="1997">
        <f t="shared" si="22"/>
        <v>99.94720577109365</v>
      </c>
      <c r="NG21" s="1997">
        <f t="shared" si="22"/>
        <v>99.94720577109365</v>
      </c>
      <c r="NH21" s="1998">
        <f t="shared" si="22"/>
        <v>99.94720577109365</v>
      </c>
    </row>
    <row r="22" spans="2:372" ht="41.4" thickBot="1">
      <c r="AF22" s="852" t="s">
        <v>569</v>
      </c>
      <c r="AG22" s="854" t="s">
        <v>570</v>
      </c>
      <c r="AH22" s="864">
        <v>19</v>
      </c>
      <c r="AI22" s="75">
        <f t="shared" si="23"/>
        <v>28.725932760741102</v>
      </c>
      <c r="AJ22" s="75">
        <f t="shared" si="24"/>
        <v>-13.956502361682826</v>
      </c>
      <c r="AK22" s="75">
        <f t="shared" si="25"/>
        <v>-19.619668132776397</v>
      </c>
      <c r="AL22" s="75">
        <f t="shared" si="26"/>
        <v>-3.9615606503485647</v>
      </c>
      <c r="AM22" s="803">
        <f t="shared" si="27"/>
        <v>-34.423837988532874</v>
      </c>
      <c r="BD22" s="868" t="s">
        <v>569</v>
      </c>
      <c r="BE22" s="870" t="s">
        <v>570</v>
      </c>
      <c r="BF22" s="316">
        <v>42</v>
      </c>
      <c r="BG22" s="796">
        <f t="shared" si="28"/>
        <v>73.620008833866009</v>
      </c>
      <c r="BH22" s="797">
        <f t="shared" si="29"/>
        <v>-28.691233277264548</v>
      </c>
      <c r="BI22" s="797">
        <f t="shared" si="30"/>
        <v>-38.412273126190001</v>
      </c>
      <c r="BJ22" s="797">
        <f t="shared" si="31"/>
        <v>2.9125782753603335</v>
      </c>
      <c r="BK22" s="798">
        <f t="shared" si="32"/>
        <v>-48.794909387707705</v>
      </c>
      <c r="DO22" s="808" t="str">
        <f>CONCATENATE(IF(INDEX($DD$74:$FH$276,MAX($DO$74:$DO$276)-DO21,$DN25)-DATE(YEAR(DO25)-1,12,31)&lt;91,1,IF(INDEX($DD$74:$FH$276,MAX($DO$74:$DO$276)-DO21,$DN25)-DATE(YEAR(DO25)-1,12,31)&lt;182,2,IF(INDEX($DD$74:$FH$276,MAX($DO$74:$DO$276)-DO21,$DN25)-DATE(YEAR(DO25)-1,12,31)&lt;274,3,4))),"T",YEAR(INDEX($DD$74:$FH$276,MAX($DO$74:$DO$276)-DO21,$DN25)))</f>
        <v>4T2022</v>
      </c>
      <c r="DP22" s="808" t="str">
        <f>CONCATENATE(IF(INDEX($DD$74:$FH$276,MAX($DO$74:$DO$276)-DP21,$DN25)-DATE(YEAR(DP25)-1,12,31)&lt;91,1,IF(INDEX($DD$74:$FH$276,MAX($DO$74:$DO$276)-DP21,$DN25)-DATE(YEAR(DP25)-1,12,31)&lt;182,2,IF(INDEX($DD$74:$FH$276,MAX($DO$74:$DO$276)-DP21,$DN25)-DATE(YEAR(DP25)-1,12,31)&lt;274,3,4))),"T",YEAR(INDEX($DD$74:$FH$276,MAX($DO$74:$DO$276)-DP21,$DN25)))</f>
        <v>1T2023</v>
      </c>
      <c r="DQ22" s="808" t="str">
        <f>CONCATENATE(IF(INDEX($DD$74:$FH$276,MAX($DO$74:$DO$276)-DQ21,$DN25)-DATE(YEAR(DQ25)-1,12,31)&lt;91,1,IF(INDEX($DD$74:$FH$276,MAX($DO$74:$DO$276)-DQ21,$DN25)-DATE(YEAR(DQ25)-1,12,31)&lt;182,2,IF(INDEX($DD$74:$FH$276,MAX($DO$74:$DO$276)-DQ21,$DN25)-DATE(YEAR(DQ25)-1,12,31)&lt;274,3,4))),"T",YEAR(INDEX($DD$74:$FH$276,MAX($DO$74:$DO$276)-DQ21,$DN25)))</f>
        <v>2T2023</v>
      </c>
      <c r="DR22" s="808" t="str">
        <f>CONCATENATE(IF(INDEX($DD$74:$FH$276,MAX($DO$74:$DO$276)-DR21,$DN25)-DATE(YEAR(DR25)-1,12,31)&lt;91,1,IF(INDEX($DD$74:$FH$276,MAX($DO$74:$DO$276)-DR21,$DN25)-DATE(YEAR(DR25)-1,12,31)&lt;182,2,IF(INDEX($DD$74:$FH$276,MAX($DO$74:$DO$276)-DR21,$DN25)-DATE(YEAR(DR25)-1,12,31)&lt;274,3,4))),"T",YEAR(INDEX($DD$74:$FH$276,MAX($DO$74:$DO$276)-DR21,$DN25)))</f>
        <v>3T2023</v>
      </c>
      <c r="DS22" s="808" t="str">
        <f>CONCATENATE(IF(INDEX($DD$74:$FH$276,MAX($DO$74:$DO$276)-DS21,$DN25)-DATE(YEAR(DS25)-1,12,31)&lt;91,1,IF(INDEX($DD$74:$FH$276,MAX($DO$74:$DO$276)-DS21,$DN25)-DATE(YEAR(DS25)-1,12,31)&lt;182,2,IF(INDEX($DD$74:$FH$276,MAX($DO$74:$DO$276)-DS21,$DN25)-DATE(YEAR(DS25)-1,12,31)&lt;274,3,4))),"T",YEAR(INDEX($DD$74:$FH$276,MAX($DO$74:$DO$276)-DS21,$DN25)))</f>
        <v>4T2023</v>
      </c>
      <c r="DW22" s="212">
        <v>4</v>
      </c>
      <c r="DX22" s="212">
        <v>3</v>
      </c>
      <c r="DY22" s="212">
        <v>2</v>
      </c>
      <c r="DZ22" s="212">
        <v>1</v>
      </c>
      <c r="EA22" s="807">
        <v>0</v>
      </c>
      <c r="GU22" s="1010" t="s">
        <v>398</v>
      </c>
      <c r="GV22" s="889">
        <v>15</v>
      </c>
      <c r="GW22" s="935">
        <f t="shared" si="15"/>
        <v>2.6228765750000003</v>
      </c>
      <c r="GX22" s="797">
        <f t="shared" si="16"/>
        <v>0.29512803600000004</v>
      </c>
      <c r="GY22" s="797">
        <f t="shared" si="17"/>
        <v>0.71243109500000001</v>
      </c>
      <c r="GZ22" s="797">
        <f t="shared" si="18"/>
        <v>1.6970597450000005</v>
      </c>
      <c r="HA22" s="936">
        <f t="shared" si="19"/>
        <v>2.3915787560000004</v>
      </c>
      <c r="IX22" s="1032" t="s">
        <v>456</v>
      </c>
      <c r="IY22" s="889">
        <v>16</v>
      </c>
      <c r="IZ22" s="935">
        <f t="shared" si="0"/>
        <v>142.06168322100001</v>
      </c>
      <c r="JA22" s="797">
        <f t="shared" si="1"/>
        <v>205.32350421300009</v>
      </c>
      <c r="JB22" s="797">
        <f t="shared" si="2"/>
        <v>399.33740789299998</v>
      </c>
      <c r="JC22" s="797">
        <f t="shared" si="3"/>
        <v>341.3764939460001</v>
      </c>
      <c r="JD22" s="936">
        <f t="shared" si="4"/>
        <v>443.46075541800013</v>
      </c>
      <c r="JW22" s="1039" t="s">
        <v>445</v>
      </c>
      <c r="JX22" s="1054">
        <f t="shared" si="20"/>
        <v>40</v>
      </c>
      <c r="JY22" s="733">
        <f t="shared" si="5"/>
        <v>967.05458406800005</v>
      </c>
      <c r="JZ22" s="570">
        <f t="shared" si="6"/>
        <v>983.01278639199995</v>
      </c>
      <c r="KA22" s="570">
        <f t="shared" si="7"/>
        <v>1063.3675368239999</v>
      </c>
      <c r="KB22" s="570">
        <f t="shared" si="8"/>
        <v>1063.2407808160001</v>
      </c>
      <c r="KC22" s="734">
        <f t="shared" si="9"/>
        <v>1147.2083511620001</v>
      </c>
      <c r="KY22" s="1059" t="s">
        <v>477</v>
      </c>
      <c r="KZ22" s="316">
        <f t="shared" si="21"/>
        <v>66</v>
      </c>
      <c r="LA22" s="796">
        <f t="shared" si="10"/>
        <v>4244.9210000000003</v>
      </c>
      <c r="LB22" s="797">
        <f t="shared" si="11"/>
        <v>3975.3029999999999</v>
      </c>
      <c r="LC22" s="797">
        <f t="shared" si="12"/>
        <v>4143.2060000000001</v>
      </c>
      <c r="LD22" s="797">
        <f t="shared" si="13"/>
        <v>4336.0569999999998</v>
      </c>
      <c r="LE22" s="798">
        <f t="shared" si="14"/>
        <v>4312.223</v>
      </c>
      <c r="NB22" s="1900" t="s">
        <v>1077</v>
      </c>
      <c r="NC22" s="316">
        <v>13</v>
      </c>
      <c r="ND22" s="1996">
        <f t="shared" si="22"/>
        <v>104.35461790372415</v>
      </c>
      <c r="NE22" s="1997">
        <f t="shared" si="22"/>
        <v>100.01070944793751</v>
      </c>
      <c r="NF22" s="1997">
        <f t="shared" si="22"/>
        <v>99.624105419119161</v>
      </c>
      <c r="NG22" s="1997">
        <f t="shared" si="22"/>
        <v>99.850548769862584</v>
      </c>
      <c r="NH22" s="1998">
        <f t="shared" si="22"/>
        <v>99.860768180618436</v>
      </c>
    </row>
    <row r="23" spans="2:372" ht="72" thickBot="1">
      <c r="AF23" s="852" t="s">
        <v>571</v>
      </c>
      <c r="AG23" s="853" t="s">
        <v>572</v>
      </c>
      <c r="AH23" s="864">
        <v>20</v>
      </c>
      <c r="AI23" s="75">
        <f t="shared" si="23"/>
        <v>5.406570044179384</v>
      </c>
      <c r="AJ23" s="75">
        <f t="shared" si="24"/>
        <v>16.966078526799276</v>
      </c>
      <c r="AK23" s="75">
        <f t="shared" si="25"/>
        <v>14.079992399638391</v>
      </c>
      <c r="AL23" s="75">
        <f t="shared" si="26"/>
        <v>5.7770170481463659</v>
      </c>
      <c r="AM23" s="803">
        <f t="shared" si="27"/>
        <v>15.036334404097756</v>
      </c>
      <c r="BD23" s="868" t="s">
        <v>571</v>
      </c>
      <c r="BE23" s="869" t="s">
        <v>572</v>
      </c>
      <c r="BF23" s="316">
        <v>43</v>
      </c>
      <c r="BG23" s="796">
        <f t="shared" si="28"/>
        <v>13.3642640940466</v>
      </c>
      <c r="BH23" s="797">
        <f t="shared" si="29"/>
        <v>37.606254371227621</v>
      </c>
      <c r="BI23" s="797">
        <f t="shared" si="30"/>
        <v>56.309652103438196</v>
      </c>
      <c r="BJ23" s="797">
        <f t="shared" si="31"/>
        <v>11.865883503741596</v>
      </c>
      <c r="BK23" s="798">
        <f t="shared" si="32"/>
        <v>41.499545420754394</v>
      </c>
      <c r="DM23" s="36"/>
      <c r="DN23" s="43" t="s">
        <v>15</v>
      </c>
      <c r="DO23" s="2168" t="s">
        <v>12</v>
      </c>
      <c r="DP23" s="2145"/>
      <c r="DQ23" s="2145"/>
      <c r="DR23" s="2145"/>
      <c r="DS23" s="2146"/>
      <c r="DW23" s="808" t="str">
        <f>CONCATENATE(IF(INDEX($DD$74:$FH$276,MAX($DW$74:$DW$276)-DW22,$DV26)-DATE(YEAR(DW26)-1,12,31)&lt;91,1,IF(INDEX($DD$74:$FH$276,MAX($DW$74:$DW$276)-DW22,$DV26)-DATE(YEAR(DW26)-1,12,31)&lt;182,2,IF(INDEX($DD$74:$FH$276,MAX($DW$74:$DW$276)-DW22,$DV26)-DATE(YEAR(DW26)-1,12,31)&lt;274,3,4))),"T",YEAR(INDEX($DD$74:$FH$276,MAX($DW$74:$DW$276)-DW22,$DV26)))</f>
        <v>4T2022</v>
      </c>
      <c r="DX23" s="808" t="str">
        <f>CONCATENATE(IF(INDEX($DD$74:$FH$276,MAX($DW$74:$DW$276)-DX22,$DV26)-DATE(YEAR(DX26)-1,12,31)&lt;91,1,IF(INDEX($DD$74:$FH$276,MAX($DW$74:$DW$276)-DX22,$DV26)-DATE(YEAR(DX26)-1,12,31)&lt;182,2,IF(INDEX($DD$74:$FH$276,MAX($DW$74:$DW$276)-DX22,$DV26)-DATE(YEAR(DX26)-1,12,31)&lt;274,3,4))),"T",YEAR(INDEX($DD$74:$FH$276,MAX($DW$74:$DW$276)-DX22,$DV26)))</f>
        <v>1T2023</v>
      </c>
      <c r="DY23" s="808" t="str">
        <f>CONCATENATE(IF(INDEX($DD$74:$FH$276,MAX($DW$74:$DW$276)-DY22,$DV26)-DATE(YEAR(DY26)-1,12,31)&lt;91,1,IF(INDEX($DD$74:$FH$276,MAX($DW$74:$DW$276)-DY22,$DV26)-DATE(YEAR(DY26)-1,12,31)&lt;182,2,IF(INDEX($DD$74:$FH$276,MAX($DW$74:$DW$276)-DY22,$DV26)-DATE(YEAR(DY26)-1,12,31)&lt;274,3,4))),"T",YEAR(INDEX($DD$74:$FH$276,MAX($DW$74:$DW$276)-DY22,$DV26)))</f>
        <v>2T2023</v>
      </c>
      <c r="DZ23" s="808" t="str">
        <f>CONCATENATE(IF(INDEX($DD$74:$FH$276,MAX($DW$74:$DW$276)-DZ22,$DV26)-DATE(YEAR(DZ26)-1,12,31)&lt;91,1,IF(INDEX($DD$74:$FH$276,MAX($DW$74:$DW$276)-DZ22,$DV26)-DATE(YEAR(DZ26)-1,12,31)&lt;182,2,IF(INDEX($DD$74:$FH$276,MAX($DW$74:$DW$276)-DZ22,$DV26)-DATE(YEAR(DZ26)-1,12,31)&lt;274,3,4))),"T",YEAR(INDEX($DD$74:$FH$276,MAX($DW$74:$DW$276)-DZ22,$DV26)))</f>
        <v>3T2023</v>
      </c>
      <c r="EA23" s="808" t="str">
        <f>CONCATENATE(IF(INDEX($DD$74:$FH$276,MAX($DW$74:$DW$276)-EA22,$DV26)-DATE(YEAR(EA26)-1,12,31)&lt;91,1,IF(INDEX($DD$74:$FH$276,MAX($DW$74:$DW$276)-EA22,$DV26)-DATE(YEAR(EA26)-1,12,31)&lt;182,2,IF(INDEX($DD$74:$FH$276,MAX($DW$74:$DW$276)-EA22,$DV26)-DATE(YEAR(EA26)-1,12,31)&lt;274,3,4))),"T",YEAR(INDEX($DD$74:$FH$276,MAX($DW$74:$DW$276)-EA22,$DV26)))</f>
        <v>4T2023</v>
      </c>
      <c r="GU23" s="1009" t="s">
        <v>399</v>
      </c>
      <c r="GV23" s="889">
        <v>16</v>
      </c>
      <c r="GW23" s="935">
        <f t="shared" si="15"/>
        <v>39.012587489000005</v>
      </c>
      <c r="GX23" s="797">
        <f t="shared" si="16"/>
        <v>0.43907436800000005</v>
      </c>
      <c r="GY23" s="797">
        <f t="shared" si="17"/>
        <v>13.127447159000001</v>
      </c>
      <c r="GZ23" s="797">
        <f t="shared" si="18"/>
        <v>43.195117928000002</v>
      </c>
      <c r="HA23" s="936">
        <f t="shared" si="19"/>
        <v>45.347187747000007</v>
      </c>
      <c r="IX23" s="1028" t="s">
        <v>457</v>
      </c>
      <c r="IY23" s="889">
        <v>17</v>
      </c>
      <c r="IZ23" s="935">
        <f t="shared" si="0"/>
        <v>60.571683221000008</v>
      </c>
      <c r="JA23" s="797">
        <f t="shared" si="1"/>
        <v>22.294504212999989</v>
      </c>
      <c r="JB23" s="797">
        <f t="shared" si="2"/>
        <v>117.20440789299997</v>
      </c>
      <c r="JC23" s="797">
        <f t="shared" si="3"/>
        <v>84.521493945999964</v>
      </c>
      <c r="JD23" s="936">
        <f t="shared" si="4"/>
        <v>199.76375541800002</v>
      </c>
      <c r="JW23" s="1042" t="s">
        <v>482</v>
      </c>
      <c r="JX23" s="1054">
        <f t="shared" si="20"/>
        <v>41</v>
      </c>
      <c r="JY23" s="733">
        <f t="shared" si="5"/>
        <v>294.930697839</v>
      </c>
      <c r="JZ23" s="570">
        <f t="shared" si="6"/>
        <v>259.709949118</v>
      </c>
      <c r="KA23" s="570">
        <f t="shared" si="7"/>
        <v>285.45785220099998</v>
      </c>
      <c r="KB23" s="570">
        <f t="shared" si="8"/>
        <v>271.90934717099998</v>
      </c>
      <c r="KC23" s="734">
        <f t="shared" si="9"/>
        <v>234.04799452200001</v>
      </c>
      <c r="KY23" s="703" t="s">
        <v>478</v>
      </c>
      <c r="KZ23" s="316">
        <f t="shared" si="21"/>
        <v>67</v>
      </c>
      <c r="LA23" s="796">
        <f t="shared" si="10"/>
        <v>59.407000000000004</v>
      </c>
      <c r="LB23" s="797">
        <f t="shared" si="11"/>
        <v>43.541000000000004</v>
      </c>
      <c r="LC23" s="797">
        <f t="shared" si="12"/>
        <v>64.765000000000001</v>
      </c>
      <c r="LD23" s="797">
        <f t="shared" si="13"/>
        <v>68.712000000000003</v>
      </c>
      <c r="LE23" s="798">
        <f t="shared" si="14"/>
        <v>72.391000000000005</v>
      </c>
      <c r="NB23" s="1900" t="s">
        <v>1078</v>
      </c>
      <c r="NC23" s="316">
        <v>14</v>
      </c>
      <c r="ND23" s="1996">
        <f t="shared" si="22"/>
        <v>115.09799658584342</v>
      </c>
      <c r="NE23" s="1997">
        <f t="shared" si="22"/>
        <v>115.09799658584342</v>
      </c>
      <c r="NF23" s="1997">
        <f t="shared" si="22"/>
        <v>115.09799658584345</v>
      </c>
      <c r="NG23" s="1997">
        <f t="shared" si="22"/>
        <v>115.09799658584345</v>
      </c>
      <c r="NH23" s="1998">
        <f t="shared" si="22"/>
        <v>115.09799658584345</v>
      </c>
    </row>
    <row r="24" spans="2:372" ht="61.5">
      <c r="AF24" s="855" t="s">
        <v>573</v>
      </c>
      <c r="AG24" s="854" t="s">
        <v>574</v>
      </c>
      <c r="AH24" s="864">
        <v>21</v>
      </c>
      <c r="AI24" s="75">
        <f t="shared" si="23"/>
        <v>15.21380433928576</v>
      </c>
      <c r="AJ24" s="75">
        <f t="shared" si="24"/>
        <v>7.5187738315651025</v>
      </c>
      <c r="AK24" s="75">
        <f t="shared" si="25"/>
        <v>13.243214824903346</v>
      </c>
      <c r="AL24" s="75">
        <f t="shared" si="26"/>
        <v>-9.1159095347478107</v>
      </c>
      <c r="AM24" s="803">
        <f t="shared" si="27"/>
        <v>-20.015367894499157</v>
      </c>
      <c r="BD24" s="869" t="s">
        <v>573</v>
      </c>
      <c r="BE24" s="870" t="s">
        <v>574</v>
      </c>
      <c r="BF24" s="316">
        <v>44</v>
      </c>
      <c r="BG24" s="796">
        <f t="shared" si="28"/>
        <v>11.550684124934797</v>
      </c>
      <c r="BH24" s="797">
        <f t="shared" si="29"/>
        <v>-16.660767891317384</v>
      </c>
      <c r="BI24" s="797">
        <f t="shared" si="30"/>
        <v>13.891950037327323</v>
      </c>
      <c r="BJ24" s="797">
        <f t="shared" si="31"/>
        <v>-1.4485049112761104</v>
      </c>
      <c r="BK24" s="798">
        <f t="shared" si="32"/>
        <v>-20.325427022514958</v>
      </c>
      <c r="DM24" s="37"/>
      <c r="DN24" s="44"/>
      <c r="DO24" s="804">
        <f>DO25</f>
        <v>44896</v>
      </c>
      <c r="DP24" s="785">
        <f>DP25</f>
        <v>44986</v>
      </c>
      <c r="DQ24" s="785">
        <f>DQ25</f>
        <v>45078</v>
      </c>
      <c r="DR24" s="785">
        <f>DR25</f>
        <v>45170</v>
      </c>
      <c r="DS24" s="805">
        <f>DS25</f>
        <v>45261</v>
      </c>
      <c r="DU24" s="36"/>
      <c r="DV24" s="43" t="s">
        <v>15</v>
      </c>
      <c r="DW24" s="2168" t="s">
        <v>12</v>
      </c>
      <c r="DX24" s="2145"/>
      <c r="DY24" s="2145"/>
      <c r="DZ24" s="2145"/>
      <c r="EA24" s="2146"/>
      <c r="GU24" s="1010" t="s">
        <v>400</v>
      </c>
      <c r="GV24" s="889">
        <v>17</v>
      </c>
      <c r="GW24" s="935">
        <f t="shared" si="15"/>
        <v>98.44255797400001</v>
      </c>
      <c r="GX24" s="797">
        <f t="shared" si="16"/>
        <v>23.515043966</v>
      </c>
      <c r="GY24" s="797">
        <f t="shared" si="17"/>
        <v>57.649433135999992</v>
      </c>
      <c r="GZ24" s="797">
        <f t="shared" si="18"/>
        <v>87.707815334999978</v>
      </c>
      <c r="HA24" s="936">
        <f t="shared" si="19"/>
        <v>116.77958919799998</v>
      </c>
      <c r="IX24" s="1032" t="s">
        <v>458</v>
      </c>
      <c r="IY24" s="889">
        <v>18</v>
      </c>
      <c r="IZ24" s="935">
        <f t="shared" si="0"/>
        <v>81.490000000000009</v>
      </c>
      <c r="JA24" s="797">
        <f t="shared" si="1"/>
        <v>183.02900000000011</v>
      </c>
      <c r="JB24" s="797">
        <f t="shared" si="2"/>
        <v>282.13300000000004</v>
      </c>
      <c r="JC24" s="797">
        <f t="shared" si="3"/>
        <v>256.85500000000013</v>
      </c>
      <c r="JD24" s="936">
        <f t="shared" si="4"/>
        <v>243.69700000000012</v>
      </c>
      <c r="JW24" s="1041" t="s">
        <v>483</v>
      </c>
      <c r="JX24" s="1054">
        <f t="shared" si="20"/>
        <v>42</v>
      </c>
      <c r="JY24" s="733">
        <f t="shared" si="5"/>
        <v>0.75963001299999999</v>
      </c>
      <c r="JZ24" s="570">
        <f t="shared" si="6"/>
        <v>0.88123956999999997</v>
      </c>
      <c r="KA24" s="570">
        <f t="shared" si="7"/>
        <v>0.68805080200000002</v>
      </c>
      <c r="KB24" s="570">
        <f t="shared" si="8"/>
        <v>0.84428901000000001</v>
      </c>
      <c r="KC24" s="734">
        <f t="shared" si="9"/>
        <v>1.3298666729999999</v>
      </c>
      <c r="KY24" s="1060" t="s">
        <v>494</v>
      </c>
      <c r="KZ24" s="316">
        <f t="shared" si="21"/>
        <v>68</v>
      </c>
      <c r="LA24" s="796">
        <f t="shared" si="10"/>
        <v>154.69300000000001</v>
      </c>
      <c r="LB24" s="797">
        <f t="shared" si="11"/>
        <v>15.304</v>
      </c>
      <c r="LC24" s="797">
        <f t="shared" si="12"/>
        <v>15.122999999999999</v>
      </c>
      <c r="LD24" s="797">
        <f t="shared" si="13"/>
        <v>5.29</v>
      </c>
      <c r="LE24" s="798">
        <f t="shared" si="14"/>
        <v>5.3620000000000001</v>
      </c>
      <c r="NB24" s="1900" t="s">
        <v>1079</v>
      </c>
      <c r="NC24" s="316">
        <v>15</v>
      </c>
      <c r="ND24" s="1996">
        <f t="shared" si="22"/>
        <v>103.65414305948853</v>
      </c>
      <c r="NE24" s="1997">
        <f t="shared" si="22"/>
        <v>103.65414305948853</v>
      </c>
      <c r="NF24" s="1997">
        <f t="shared" si="22"/>
        <v>103.65414305957231</v>
      </c>
      <c r="NG24" s="1997">
        <f t="shared" si="22"/>
        <v>103.65414305957231</v>
      </c>
      <c r="NH24" s="1998">
        <f t="shared" si="22"/>
        <v>103.65414305957231</v>
      </c>
    </row>
    <row r="25" spans="2:372" ht="31.2" thickBot="1">
      <c r="AF25" s="852" t="s">
        <v>575</v>
      </c>
      <c r="AG25" s="853" t="s">
        <v>576</v>
      </c>
      <c r="AH25" s="864">
        <v>22</v>
      </c>
      <c r="AI25" s="75">
        <f t="shared" si="23"/>
        <v>17.147395626680066</v>
      </c>
      <c r="AJ25" s="75">
        <f t="shared" si="24"/>
        <v>50.857230365342993</v>
      </c>
      <c r="AK25" s="75">
        <f t="shared" si="25"/>
        <v>34.421892622820721</v>
      </c>
      <c r="AL25" s="75">
        <f t="shared" si="26"/>
        <v>48.076504390131461</v>
      </c>
      <c r="AM25" s="803">
        <f t="shared" si="27"/>
        <v>47.71229610478283</v>
      </c>
      <c r="BD25" s="868" t="s">
        <v>575</v>
      </c>
      <c r="BE25" s="869" t="s">
        <v>576</v>
      </c>
      <c r="BF25" s="316">
        <v>45</v>
      </c>
      <c r="BG25" s="796">
        <f t="shared" si="28"/>
        <v>28.347726286201173</v>
      </c>
      <c r="BH25" s="797">
        <f t="shared" si="29"/>
        <v>84.710947457358827</v>
      </c>
      <c r="BI25" s="797">
        <f t="shared" si="30"/>
        <v>63.238748048708217</v>
      </c>
      <c r="BJ25" s="797">
        <f t="shared" si="31"/>
        <v>87.379610886011051</v>
      </c>
      <c r="BK25" s="798">
        <f t="shared" si="32"/>
        <v>60.724679064327489</v>
      </c>
      <c r="DM25" s="260"/>
      <c r="DN25" s="929">
        <v>1</v>
      </c>
      <c r="DO25" s="893">
        <f>INDEX($DD$74:$FH$276,MAX($DO$74:$DO$276)-4,$DN25)</f>
        <v>44896</v>
      </c>
      <c r="DP25" s="759">
        <f>INDEX($DD$74:$FH$276,MAX($DO$74:$DO$276)-3,$DN25)</f>
        <v>44986</v>
      </c>
      <c r="DQ25" s="759">
        <f>INDEX($DD$74:$FH$276,MAX($DO$74:$DO$276)-2,$DN25)</f>
        <v>45078</v>
      </c>
      <c r="DR25" s="759">
        <f>INDEX($DD$74:$FH$276,MAX($DO$74:$DO$276)-1,$DN25)</f>
        <v>45170</v>
      </c>
      <c r="DS25" s="760">
        <f>INDEX($DD$74:$FH$276,MAX($DO$74:$DO$276),$DN25)</f>
        <v>45261</v>
      </c>
      <c r="DU25" s="37"/>
      <c r="DV25" s="44"/>
      <c r="DW25" s="804">
        <f>DW26</f>
        <v>44896</v>
      </c>
      <c r="DX25" s="785">
        <f>DX26</f>
        <v>44986</v>
      </c>
      <c r="DY25" s="785">
        <f>DY26</f>
        <v>45078</v>
      </c>
      <c r="DZ25" s="785">
        <f>DZ26</f>
        <v>45170</v>
      </c>
      <c r="EA25" s="805">
        <f>EA26</f>
        <v>45261</v>
      </c>
      <c r="GM25" s="86" t="s">
        <v>728</v>
      </c>
      <c r="GO25" s="806"/>
      <c r="GU25" s="1007" t="s">
        <v>401</v>
      </c>
      <c r="GV25" s="889">
        <v>18</v>
      </c>
      <c r="GW25" s="935">
        <f t="shared" si="15"/>
        <v>0</v>
      </c>
      <c r="GX25" s="797">
        <f t="shared" si="16"/>
        <v>0</v>
      </c>
      <c r="GY25" s="797">
        <f t="shared" si="17"/>
        <v>0</v>
      </c>
      <c r="GZ25" s="797">
        <f t="shared" si="18"/>
        <v>0</v>
      </c>
      <c r="HA25" s="936">
        <f t="shared" si="19"/>
        <v>0</v>
      </c>
      <c r="IX25" s="1028" t="s">
        <v>459</v>
      </c>
      <c r="IY25" s="889">
        <v>19</v>
      </c>
      <c r="IZ25" s="935">
        <f t="shared" si="0"/>
        <v>4254.0747610870003</v>
      </c>
      <c r="JA25" s="797">
        <f t="shared" si="1"/>
        <v>4112.3190388760004</v>
      </c>
      <c r="JB25" s="797">
        <f t="shared" si="2"/>
        <v>4152.5648892569998</v>
      </c>
      <c r="JC25" s="797">
        <f t="shared" si="3"/>
        <v>4344.955298541</v>
      </c>
      <c r="JD25" s="936">
        <f t="shared" si="4"/>
        <v>4321.2250789939999</v>
      </c>
      <c r="JW25" s="1042" t="s">
        <v>993</v>
      </c>
      <c r="JX25" s="1054">
        <f t="shared" si="20"/>
        <v>43</v>
      </c>
      <c r="JY25" s="733">
        <f t="shared" si="5"/>
        <v>0</v>
      </c>
      <c r="JZ25" s="570">
        <f t="shared" si="6"/>
        <v>0</v>
      </c>
      <c r="KA25" s="570">
        <f t="shared" si="7"/>
        <v>0</v>
      </c>
      <c r="KB25" s="570">
        <f t="shared" si="8"/>
        <v>0</v>
      </c>
      <c r="KC25" s="734">
        <f t="shared" si="9"/>
        <v>0</v>
      </c>
      <c r="KY25" s="703" t="s">
        <v>495</v>
      </c>
      <c r="KZ25" s="316">
        <f t="shared" si="21"/>
        <v>69</v>
      </c>
      <c r="LA25" s="796">
        <f t="shared" si="10"/>
        <v>359.95600000000002</v>
      </c>
      <c r="LB25" s="797">
        <f t="shared" si="11"/>
        <v>343.779</v>
      </c>
      <c r="LC25" s="797">
        <f t="shared" si="12"/>
        <v>403.38900000000001</v>
      </c>
      <c r="LD25" s="797">
        <f t="shared" si="13"/>
        <v>353.37</v>
      </c>
      <c r="LE25" s="798">
        <f t="shared" si="14"/>
        <v>347.82799999999997</v>
      </c>
      <c r="NB25" s="1900" t="s">
        <v>1080</v>
      </c>
      <c r="NC25" s="316">
        <v>16</v>
      </c>
      <c r="ND25" s="1996">
        <f t="shared" si="22"/>
        <v>113.34630183820379</v>
      </c>
      <c r="NE25" s="1997">
        <f t="shared" si="22"/>
        <v>113.34630183820379</v>
      </c>
      <c r="NF25" s="1997">
        <f t="shared" si="22"/>
        <v>113.25646998473957</v>
      </c>
      <c r="NG25" s="1997">
        <f t="shared" si="22"/>
        <v>175.5956960708983</v>
      </c>
      <c r="NH25" s="1998">
        <f t="shared" si="22"/>
        <v>200.13788742603765</v>
      </c>
    </row>
    <row r="26" spans="2:372" ht="61.8" thickBot="1">
      <c r="AF26" s="855"/>
      <c r="AG26" s="854" t="s">
        <v>577</v>
      </c>
      <c r="AH26" s="864">
        <v>23</v>
      </c>
      <c r="AI26" s="75">
        <f t="shared" si="23"/>
        <v>29.464185904154739</v>
      </c>
      <c r="AJ26" s="75">
        <f t="shared" si="24"/>
        <v>64.477100048321162</v>
      </c>
      <c r="AK26" s="75">
        <f t="shared" si="25"/>
        <v>50.707687815490246</v>
      </c>
      <c r="AL26" s="75">
        <f t="shared" si="26"/>
        <v>45.36274198028655</v>
      </c>
      <c r="AM26" s="803">
        <f t="shared" si="27"/>
        <v>50.365877293160253</v>
      </c>
      <c r="BD26" s="869"/>
      <c r="BE26" s="870" t="s">
        <v>577</v>
      </c>
      <c r="BF26" s="316">
        <v>46</v>
      </c>
      <c r="BG26" s="796">
        <f t="shared" si="28"/>
        <v>52.014381357811793</v>
      </c>
      <c r="BH26" s="797">
        <f t="shared" si="29"/>
        <v>88.273465105037701</v>
      </c>
      <c r="BI26" s="797">
        <f t="shared" si="30"/>
        <v>75.558442670464387</v>
      </c>
      <c r="BJ26" s="797">
        <f t="shared" si="31"/>
        <v>90.918830386756497</v>
      </c>
      <c r="BK26" s="798">
        <f t="shared" si="32"/>
        <v>66.857773883406097</v>
      </c>
      <c r="DM26" s="925" t="s">
        <v>633</v>
      </c>
      <c r="DN26" s="792">
        <v>8</v>
      </c>
      <c r="DO26" s="793">
        <f>INDEX($DD$74:$FH$276,MAX($DO$74:$DO$276)-4,$DN26)</f>
        <v>748.35125717899996</v>
      </c>
      <c r="DP26" s="794">
        <f>INDEX($DD$74:$FH$276,MAX($DO$74:$DO$276)-3,$DN26)</f>
        <v>693.80107024899996</v>
      </c>
      <c r="DQ26" s="794">
        <f>INDEX($DD$74:$FH$276,MAX($DO$74:$DO$276)-2,$DN26)</f>
        <v>686.813883519</v>
      </c>
      <c r="DR26" s="794">
        <f>INDEX($DD$74:$FH$276,MAX($DO$74:$DO$276)-1,$DN26)</f>
        <v>624.37754000300004</v>
      </c>
      <c r="DS26" s="795">
        <f>INDEX($DD$74:$FH$276,MAX($DO$74:$DO$276),$DN26)</f>
        <v>699.56294215200001</v>
      </c>
      <c r="DU26" s="260"/>
      <c r="DV26" s="929">
        <v>1</v>
      </c>
      <c r="DW26" s="893">
        <f>INDEX($DD$74:$FH$276,MAX($DW$74:$DW$276)-4,$DV26)</f>
        <v>44896</v>
      </c>
      <c r="DX26" s="759">
        <f>INDEX($DD$74:$FH$276,MAX($DW$74:$DW$276)-3,$DV26)</f>
        <v>44986</v>
      </c>
      <c r="DY26" s="759">
        <f>INDEX($DD$74:$FH$276,MAX($DW$74:$DW$276)-2,$DV26)</f>
        <v>45078</v>
      </c>
      <c r="DZ26" s="759">
        <f>INDEX($DD$74:$FH$276,MAX($DW$74:$DW$276)-1,$DV26)</f>
        <v>45170</v>
      </c>
      <c r="EA26" s="760">
        <f>INDEX($DD$74:$FH$276,MAX($DW$74:$DW$276),$DV26)</f>
        <v>45261</v>
      </c>
      <c r="GO26" s="212">
        <v>4</v>
      </c>
      <c r="GP26" s="212">
        <v>3</v>
      </c>
      <c r="GQ26" s="212">
        <v>2</v>
      </c>
      <c r="GR26" s="212">
        <v>1</v>
      </c>
      <c r="GS26" s="807">
        <v>0</v>
      </c>
      <c r="GU26" s="1007" t="s">
        <v>402</v>
      </c>
      <c r="GV26" s="889">
        <v>19</v>
      </c>
      <c r="GW26" s="935">
        <f t="shared" si="15"/>
        <v>215.09103660694905</v>
      </c>
      <c r="GX26" s="797">
        <f t="shared" si="16"/>
        <v>23.498575913147576</v>
      </c>
      <c r="GY26" s="797">
        <f t="shared" si="17"/>
        <v>32.90261868306051</v>
      </c>
      <c r="GZ26" s="797">
        <f t="shared" si="18"/>
        <v>45.637936779856979</v>
      </c>
      <c r="HA26" s="936">
        <f t="shared" si="19"/>
        <v>134.20475282200385</v>
      </c>
      <c r="IX26" s="1032" t="s">
        <v>457</v>
      </c>
      <c r="IY26" s="889">
        <v>20</v>
      </c>
      <c r="IZ26" s="935">
        <f t="shared" si="0"/>
        <v>9.1537610869999995</v>
      </c>
      <c r="JA26" s="797">
        <f t="shared" si="1"/>
        <v>9.2310388759999995</v>
      </c>
      <c r="JB26" s="797">
        <f t="shared" si="2"/>
        <v>9.3588892569999995</v>
      </c>
      <c r="JC26" s="797">
        <f t="shared" si="3"/>
        <v>8.8982985410000008</v>
      </c>
      <c r="JD26" s="936">
        <f t="shared" si="4"/>
        <v>9.0020789939999997</v>
      </c>
      <c r="JW26" s="1041" t="s">
        <v>484</v>
      </c>
      <c r="JX26" s="1054">
        <f t="shared" si="20"/>
        <v>44</v>
      </c>
      <c r="JY26" s="733">
        <f t="shared" si="5"/>
        <v>0.77700933500000002</v>
      </c>
      <c r="JZ26" s="570">
        <f t="shared" si="6"/>
        <v>3.91654276</v>
      </c>
      <c r="KA26" s="570">
        <f t="shared" si="7"/>
        <v>4.2606470080000003</v>
      </c>
      <c r="KB26" s="570">
        <f t="shared" si="8"/>
        <v>4.3275082450000006</v>
      </c>
      <c r="KC26" s="734">
        <f t="shared" si="9"/>
        <v>3.6631229470000002</v>
      </c>
      <c r="KY26" s="1060" t="s">
        <v>479</v>
      </c>
      <c r="KZ26" s="316">
        <f t="shared" si="21"/>
        <v>70</v>
      </c>
      <c r="LA26" s="796">
        <f t="shared" si="10"/>
        <v>3670.8649999999998</v>
      </c>
      <c r="LB26" s="797">
        <f t="shared" si="11"/>
        <v>3572.6790000000001</v>
      </c>
      <c r="LC26" s="797">
        <f t="shared" si="12"/>
        <v>3659.9290000000001</v>
      </c>
      <c r="LD26" s="797">
        <f t="shared" si="13"/>
        <v>3908.6849999999999</v>
      </c>
      <c r="LE26" s="798">
        <f t="shared" si="14"/>
        <v>3886.6419999999998</v>
      </c>
      <c r="NB26" s="1900" t="s">
        <v>1081</v>
      </c>
      <c r="NC26" s="316">
        <v>17</v>
      </c>
      <c r="ND26" s="1996">
        <f t="shared" si="22"/>
        <v>111.72982942654124</v>
      </c>
      <c r="NE26" s="1997">
        <f t="shared" si="22"/>
        <v>91.344419906738977</v>
      </c>
      <c r="NF26" s="1997">
        <f t="shared" si="22"/>
        <v>109.42678018724067</v>
      </c>
      <c r="NG26" s="1997">
        <f t="shared" si="22"/>
        <v>111.08781966653486</v>
      </c>
      <c r="NH26" s="1998">
        <f t="shared" si="22"/>
        <v>269.81702108253143</v>
      </c>
    </row>
    <row r="27" spans="2:372" ht="31.5" thickTop="1" thickBot="1">
      <c r="AF27" s="856"/>
      <c r="AG27" s="857" t="s">
        <v>578</v>
      </c>
      <c r="AH27" s="864">
        <v>24</v>
      </c>
      <c r="AI27" s="75">
        <f t="shared" si="23"/>
        <v>9.7576165526275833</v>
      </c>
      <c r="AJ27" s="75">
        <f t="shared" si="24"/>
        <v>12.899353446311986</v>
      </c>
      <c r="AK27" s="75">
        <f t="shared" si="25"/>
        <v>11.776557723983313</v>
      </c>
      <c r="AL27" s="75">
        <f t="shared" si="26"/>
        <v>35.691306980041105</v>
      </c>
      <c r="AM27" s="803">
        <f t="shared" si="27"/>
        <v>12.4361482280675</v>
      </c>
      <c r="BD27" s="869"/>
      <c r="BE27" s="871" t="s">
        <v>578</v>
      </c>
      <c r="BF27" s="316">
        <v>47</v>
      </c>
      <c r="BG27" s="796">
        <f t="shared" si="28"/>
        <v>18.553165889391792</v>
      </c>
      <c r="BH27" s="797">
        <f t="shared" si="29"/>
        <v>22.243097392515939</v>
      </c>
      <c r="BI27" s="797">
        <f t="shared" si="30"/>
        <v>19.221197940401758</v>
      </c>
      <c r="BJ27" s="797">
        <f t="shared" si="31"/>
        <v>84.957431848735865</v>
      </c>
      <c r="BK27" s="798">
        <f t="shared" si="32"/>
        <v>37.116914108693052</v>
      </c>
      <c r="DM27" s="926" t="s">
        <v>636</v>
      </c>
      <c r="DN27" s="316">
        <v>9</v>
      </c>
      <c r="DO27" s="796">
        <f>INDEX($DD$74:$FH$276,MAX($DO$74:$DO$276)-4,$DN27)</f>
        <v>949.471688352</v>
      </c>
      <c r="DP27" s="797">
        <f>INDEX($DD$74:$FH$276,MAX($DO$74:$DO$276)-3,$DN27)</f>
        <v>864.46288067037494</v>
      </c>
      <c r="DQ27" s="797">
        <f>INDEX($DD$74:$FH$276,MAX($DO$74:$DO$276)-2,$DN27)</f>
        <v>873.37362322499996</v>
      </c>
      <c r="DR27" s="797">
        <f>INDEX($DD$74:$FH$276,MAX($DO$74:$DO$276)-1,$DN27)</f>
        <v>867.56550407422799</v>
      </c>
      <c r="DS27" s="798">
        <f>INDEX($DD$74:$FH$276,MAX($DO$74:$DO$276),$DN27)</f>
        <v>961.39779235289097</v>
      </c>
      <c r="DU27" s="930" t="s">
        <v>642</v>
      </c>
      <c r="DV27" s="887">
        <v>17</v>
      </c>
      <c r="DW27" s="932">
        <f>INDEX($DD$74:$FH$276,MAX($DW$74:$DW$276)-4,$DV27)</f>
        <v>115.56436641191914</v>
      </c>
      <c r="DX27" s="933">
        <f>INDEX($DD$74:$FH$276,MAX($DW$74:$DW$276)-3,$DV27)</f>
        <v>113.96721549633442</v>
      </c>
      <c r="DY27" s="933">
        <f>INDEX($DD$74:$FH$276,MAX($DW$74:$DW$276)-2,$DV27)</f>
        <v>111.83640207380456</v>
      </c>
      <c r="DZ27" s="933">
        <f>INDEX($DD$74:$FH$276,MAX($DW$74:$DW$276)-1,$DV27)</f>
        <v>106.90937458902822</v>
      </c>
      <c r="EA27" s="934">
        <f>INDEX($DD$74:$FH$276,MAX($DW$74:$DW$276),$DV27)</f>
        <v>113.83526706475433</v>
      </c>
      <c r="GO27" s="808" t="str">
        <f>CONCATENATE(IF(INDEX($FI$74:$GS$276,MAX($GP$74:$GP$276)-GO26,$GN30)-DATE(YEAR(GO30)-1,12,31)&lt;91,1,IF(INDEX($FI$74:$GS$276,MAX($GP$74:$GP$276)-GO26,$GN30)-DATE(YEAR(GO30)-1,12,31)&lt;182,2,IF(INDEX($FI$74:$GS$276,MAX($GP$74:$GP$276)-GO26,$GN30)-DATE(YEAR(GO30)-1,12,31)&lt;274,3,4))),"T",YEAR(INDEX($FI$74:$GS$276,MAX($GP$74:$GP$276)-GO26,$GN30)))</f>
        <v>4T2022</v>
      </c>
      <c r="GP27" s="808" t="str">
        <f>CONCATENATE(IF(INDEX($FI$74:$GS$276,MAX($GP$74:$GP$276)-GP26,$GN30)-DATE(YEAR(GP30)-1,12,31)&lt;91,1,IF(INDEX($FI$74:$GS$276,MAX($GP$74:$GP$276)-GP26,$GN30)-DATE(YEAR(GP30)-1,12,31)&lt;182,2,IF(INDEX($FI$74:$GS$276,MAX($GP$74:$GP$276)-GP26,$GN30)-DATE(YEAR(GP30)-1,12,31)&lt;274,3,4))),"T",YEAR(INDEX($FI$74:$GS$276,MAX($GP$74:$GP$276)-GP26,$GN30)))</f>
        <v>1T2023</v>
      </c>
      <c r="GQ27" s="808" t="str">
        <f>CONCATENATE(IF(INDEX($FI$74:$GS$276,MAX($GP$74:$GP$276)-GQ26,$GN30)-DATE(YEAR(GQ30)-1,12,31)&lt;91,1,IF(INDEX($FI$74:$GS$276,MAX($GP$74:$GP$276)-GQ26,$GN30)-DATE(YEAR(GQ30)-1,12,31)&lt;182,2,IF(INDEX($FI$74:$GS$276,MAX($GP$74:$GP$276)-GQ26,$GN30)-DATE(YEAR(GQ30)-1,12,31)&lt;274,3,4))),"T",YEAR(INDEX($FI$74:$GS$276,MAX($GP$74:$GP$276)-GQ26,$GN30)))</f>
        <v>2T2023</v>
      </c>
      <c r="GR27" s="808" t="str">
        <f>CONCATENATE(IF(INDEX($FI$74:$GS$276,MAX($GP$74:$GP$276)-GR26,$GN30)-DATE(YEAR(GR30)-1,12,31)&lt;91,1,IF(INDEX($FI$74:$GS$276,MAX($GP$74:$GP$276)-GR26,$GN30)-DATE(YEAR(GR30)-1,12,31)&lt;182,2,IF(INDEX($FI$74:$GS$276,MAX($GP$74:$GP$276)-GR26,$GN30)-DATE(YEAR(GR30)-1,12,31)&lt;274,3,4))),"T",YEAR(INDEX($FI$74:$GS$276,MAX($GP$74:$GP$276)-GR26,$GN30)))</f>
        <v>3T2023</v>
      </c>
      <c r="GS27" s="808" t="str">
        <f>CONCATENATE(IF(INDEX($FI$74:$GS$276,MAX($GP$74:$GP$276)-GS26,$GN30)-DATE(YEAR(GS30)-1,12,31)&lt;91,1,IF(INDEX($FI$74:$GS$276,MAX($GP$74:$GP$276)-GS26,$GN30)-DATE(YEAR(GS30)-1,12,31)&lt;182,2,IF(INDEX($FI$74:$GS$276,MAX($GP$74:$GP$276)-GS26,$GN30)-DATE(YEAR(GS30)-1,12,31)&lt;274,3,4))),"T",YEAR(INDEX($FI$74:$GS$276,MAX($GP$74:$GP$276)-GS26,$GN30)))</f>
        <v>4T2023</v>
      </c>
      <c r="GU27" s="1006" t="s">
        <v>403</v>
      </c>
      <c r="GV27" s="889">
        <v>20</v>
      </c>
      <c r="GW27" s="935">
        <f t="shared" si="15"/>
        <v>122.39013551694907</v>
      </c>
      <c r="GX27" s="797">
        <f t="shared" si="16"/>
        <v>17.190250433147572</v>
      </c>
      <c r="GY27" s="797">
        <f t="shared" si="17"/>
        <v>26.594293203060509</v>
      </c>
      <c r="GZ27" s="797">
        <f t="shared" si="18"/>
        <v>32.770041299856985</v>
      </c>
      <c r="HA27" s="936">
        <f t="shared" si="19"/>
        <v>45.823155233003824</v>
      </c>
      <c r="IX27" s="1028" t="s">
        <v>458</v>
      </c>
      <c r="IY27" s="889">
        <v>21</v>
      </c>
      <c r="IZ27" s="935">
        <f t="shared" si="0"/>
        <v>4244.9210000000003</v>
      </c>
      <c r="JA27" s="797">
        <f t="shared" si="1"/>
        <v>4103.0879999999997</v>
      </c>
      <c r="JB27" s="797">
        <f t="shared" si="2"/>
        <v>4143.2060000000001</v>
      </c>
      <c r="JC27" s="797">
        <f t="shared" si="3"/>
        <v>4336.0569999999998</v>
      </c>
      <c r="JD27" s="936">
        <f t="shared" si="4"/>
        <v>4312.223</v>
      </c>
      <c r="JW27" s="1042" t="s">
        <v>994</v>
      </c>
      <c r="JX27" s="1054">
        <f t="shared" si="20"/>
        <v>45</v>
      </c>
      <c r="JY27" s="733">
        <f t="shared" si="5"/>
        <v>0</v>
      </c>
      <c r="JZ27" s="570">
        <f t="shared" si="6"/>
        <v>0</v>
      </c>
      <c r="KA27" s="570">
        <f t="shared" si="7"/>
        <v>0</v>
      </c>
      <c r="KB27" s="570">
        <f t="shared" si="8"/>
        <v>0</v>
      </c>
      <c r="KC27" s="734">
        <f t="shared" si="9"/>
        <v>0</v>
      </c>
      <c r="KY27" s="715" t="s">
        <v>472</v>
      </c>
      <c r="KZ27" s="316" t="e">
        <f t="shared" si="21"/>
        <v>#N/A</v>
      </c>
      <c r="LA27" s="796"/>
      <c r="LB27" s="797"/>
      <c r="LC27" s="797"/>
      <c r="LD27" s="797"/>
      <c r="LE27" s="798"/>
      <c r="NB27" s="1900" t="s">
        <v>1082</v>
      </c>
      <c r="NC27" s="316">
        <v>18</v>
      </c>
      <c r="ND27" s="1996">
        <f t="shared" ref="ND27:NH37" si="33">INDEX($MK$74:$NL$276,MAX($NL$74:$NL$276)-ND$6,MATCH($NB27,$MK$73:$NK$73,0))</f>
        <v>135.92143888739156</v>
      </c>
      <c r="NE27" s="1997">
        <f t="shared" si="33"/>
        <v>135.71122341959449</v>
      </c>
      <c r="NF27" s="1997">
        <f t="shared" si="33"/>
        <v>126.56908947932352</v>
      </c>
      <c r="NG27" s="1997">
        <f t="shared" si="33"/>
        <v>129.17693302246218</v>
      </c>
      <c r="NH27" s="1998">
        <f t="shared" si="33"/>
        <v>129.2720630717989</v>
      </c>
    </row>
    <row r="28" spans="2:372" ht="41.1">
      <c r="AF28" s="858"/>
      <c r="AG28" s="854" t="s">
        <v>566</v>
      </c>
      <c r="AH28" s="864">
        <v>25</v>
      </c>
      <c r="AI28" s="75">
        <f t="shared" si="23"/>
        <v>1.5973171894987743</v>
      </c>
      <c r="AJ28" s="75">
        <f t="shared" si="24"/>
        <v>35.892268166232348</v>
      </c>
      <c r="AK28" s="75">
        <f t="shared" si="25"/>
        <v>18.094573899904283</v>
      </c>
      <c r="AL28" s="75">
        <f t="shared" si="26"/>
        <v>-27.103591410718629</v>
      </c>
      <c r="AM28" s="803">
        <f t="shared" si="27"/>
        <v>20.453837537741109</v>
      </c>
      <c r="BD28" s="872"/>
      <c r="BE28" s="870" t="s">
        <v>566</v>
      </c>
      <c r="BF28" s="316">
        <v>48</v>
      </c>
      <c r="BG28" s="796">
        <f t="shared" si="28"/>
        <v>-43.338686711366137</v>
      </c>
      <c r="BH28" s="797">
        <f t="shared" si="29"/>
        <v>63.400681134413993</v>
      </c>
      <c r="BI28" s="797">
        <f t="shared" si="30"/>
        <v>-13.913709649028114</v>
      </c>
      <c r="BJ28" s="797">
        <f t="shared" si="31"/>
        <v>-65.361973737028649</v>
      </c>
      <c r="BK28" s="798">
        <f t="shared" si="32"/>
        <v>-16.432763484448266</v>
      </c>
      <c r="DM28" s="927" t="s">
        <v>639</v>
      </c>
      <c r="DN28" s="316">
        <v>10</v>
      </c>
      <c r="DO28" s="796">
        <f>INDEX($DD$74:$FH$276,MAX($DO$74:$DO$276)-4,$DN28)</f>
        <v>-201.12043117299999</v>
      </c>
      <c r="DP28" s="797">
        <f>INDEX($DD$74:$FH$276,MAX($DO$74:$DO$276)-3,$DN28)</f>
        <v>-170.66181042137501</v>
      </c>
      <c r="DQ28" s="797">
        <f>INDEX($DD$74:$FH$276,MAX($DO$74:$DO$276)-2,$DN28)</f>
        <v>-186.55973970599999</v>
      </c>
      <c r="DR28" s="797">
        <f>INDEX($DD$74:$FH$276,MAX($DO$74:$DO$276)-1,$DN28)</f>
        <v>-243.18796407122804</v>
      </c>
      <c r="DS28" s="798">
        <f>INDEX($DD$74:$FH$276,MAX($DO$74:$DO$276),$DN28)</f>
        <v>-261.83485020089097</v>
      </c>
      <c r="DU28" s="900" t="s">
        <v>643</v>
      </c>
      <c r="DV28" s="889">
        <v>18</v>
      </c>
      <c r="DW28" s="935">
        <f>INDEX($DD$74:$FH$276,MAX($DW$74:$DW$276)-4,$DV28)</f>
        <v>173.02500085540561</v>
      </c>
      <c r="DX28" s="797">
        <f>INDEX($DD$74:$FH$276,MAX($DW$74:$DW$276)-3,$DV28)</f>
        <v>162.19222087380911</v>
      </c>
      <c r="DY28" s="797">
        <f>INDEX($DD$74:$FH$276,MAX($DW$74:$DW$276)-2,$DV28)</f>
        <v>166.05956552674539</v>
      </c>
      <c r="DZ28" s="797">
        <f>INDEX($DD$74:$FH$276,MAX($DW$74:$DW$276)-1,$DV28)</f>
        <v>173.49642784732646</v>
      </c>
      <c r="EA28" s="936">
        <f>INDEX($DD$74:$FH$276,MAX($DW$74:$DW$276),$DV28)</f>
        <v>178.53127903131099</v>
      </c>
      <c r="GM28" s="36"/>
      <c r="GN28" s="43" t="s">
        <v>15</v>
      </c>
      <c r="GO28" s="2168" t="s">
        <v>12</v>
      </c>
      <c r="GP28" s="2145"/>
      <c r="GQ28" s="2145"/>
      <c r="GR28" s="2145"/>
      <c r="GS28" s="2146"/>
      <c r="GU28" s="1013" t="s">
        <v>404</v>
      </c>
      <c r="GV28" s="889">
        <v>21</v>
      </c>
      <c r="GW28" s="935">
        <f t="shared" si="15"/>
        <v>92.700901090000002</v>
      </c>
      <c r="GX28" s="797">
        <f t="shared" si="16"/>
        <v>6.3083254800000006</v>
      </c>
      <c r="GY28" s="797">
        <f t="shared" si="17"/>
        <v>6.3083254800000006</v>
      </c>
      <c r="GZ28" s="797">
        <f t="shared" si="18"/>
        <v>12.86789548</v>
      </c>
      <c r="HA28" s="936">
        <f t="shared" si="19"/>
        <v>88.381597589000023</v>
      </c>
      <c r="IX28" s="1033" t="s">
        <v>460</v>
      </c>
      <c r="IY28" s="889">
        <v>22</v>
      </c>
      <c r="IZ28" s="935">
        <f t="shared" si="0"/>
        <v>1187.8806726909993</v>
      </c>
      <c r="JA28" s="797">
        <f t="shared" si="1"/>
        <v>1185.428432729</v>
      </c>
      <c r="JB28" s="797">
        <f t="shared" si="2"/>
        <v>1262.5841128569991</v>
      </c>
      <c r="JC28" s="797">
        <f t="shared" si="3"/>
        <v>1290.1788243949986</v>
      </c>
      <c r="JD28" s="936">
        <f t="shared" si="4"/>
        <v>1370.4811924599999</v>
      </c>
      <c r="JW28" s="1039" t="s">
        <v>982</v>
      </c>
      <c r="JX28" s="1054">
        <f t="shared" si="20"/>
        <v>46</v>
      </c>
      <c r="JY28" s="733">
        <f t="shared" si="5"/>
        <v>0</v>
      </c>
      <c r="JZ28" s="570">
        <f t="shared" si="6"/>
        <v>0</v>
      </c>
      <c r="KA28" s="570">
        <f t="shared" si="7"/>
        <v>0</v>
      </c>
      <c r="KB28" s="570">
        <f t="shared" si="8"/>
        <v>0</v>
      </c>
      <c r="KC28" s="734">
        <f t="shared" si="9"/>
        <v>0</v>
      </c>
      <c r="KY28" s="1062" t="s">
        <v>496</v>
      </c>
      <c r="KZ28" s="316">
        <f t="shared" si="21"/>
        <v>71</v>
      </c>
      <c r="LA28" s="796">
        <f t="shared" si="10"/>
        <v>0</v>
      </c>
      <c r="LB28" s="797">
        <f t="shared" si="11"/>
        <v>0</v>
      </c>
      <c r="LC28" s="797">
        <f t="shared" si="12"/>
        <v>0</v>
      </c>
      <c r="LD28" s="797">
        <f t="shared" si="13"/>
        <v>0</v>
      </c>
      <c r="LE28" s="798">
        <f t="shared" si="14"/>
        <v>0</v>
      </c>
      <c r="NB28" s="1900" t="s">
        <v>1083</v>
      </c>
      <c r="NC28" s="316">
        <v>19</v>
      </c>
      <c r="ND28" s="1996">
        <f t="shared" si="33"/>
        <v>127.95425996125658</v>
      </c>
      <c r="NE28" s="1997">
        <f t="shared" si="33"/>
        <v>280.94503707816625</v>
      </c>
      <c r="NF28" s="1997">
        <f t="shared" si="33"/>
        <v>233.13534657913254</v>
      </c>
      <c r="NG28" s="1997">
        <f t="shared" si="33"/>
        <v>249.92951759185877</v>
      </c>
      <c r="NH28" s="1998">
        <f t="shared" si="33"/>
        <v>274.3734727451041</v>
      </c>
    </row>
    <row r="29" spans="2:372" ht="41.4" thickBot="1">
      <c r="AF29" s="852" t="s">
        <v>567</v>
      </c>
      <c r="AG29" s="853" t="s">
        <v>568</v>
      </c>
      <c r="AH29" s="864">
        <v>26</v>
      </c>
      <c r="AI29" s="75">
        <f t="shared" si="23"/>
        <v>43.830160741918981</v>
      </c>
      <c r="AJ29" s="75">
        <f t="shared" si="24"/>
        <v>29.101802289197515</v>
      </c>
      <c r="AK29" s="75">
        <f t="shared" si="25"/>
        <v>2.2711603156189604</v>
      </c>
      <c r="AL29" s="75">
        <f t="shared" si="26"/>
        <v>-28.567297169958294</v>
      </c>
      <c r="AM29" s="803">
        <f t="shared" si="27"/>
        <v>24.463590233197902</v>
      </c>
      <c r="BD29" s="869"/>
      <c r="BE29" s="869" t="s">
        <v>568</v>
      </c>
      <c r="BF29" s="316">
        <v>49</v>
      </c>
      <c r="BG29" s="796">
        <f t="shared" si="28"/>
        <v>55.474009170093993</v>
      </c>
      <c r="BH29" s="797">
        <f t="shared" si="29"/>
        <v>47.475314863537221</v>
      </c>
      <c r="BI29" s="797">
        <f t="shared" si="30"/>
        <v>-34.671940380114137</v>
      </c>
      <c r="BJ29" s="797">
        <f t="shared" si="31"/>
        <v>-77.014585301125948</v>
      </c>
      <c r="BK29" s="798">
        <f t="shared" si="32"/>
        <v>-1.8334609806570583</v>
      </c>
      <c r="DM29" s="928" t="s">
        <v>640</v>
      </c>
      <c r="DN29" s="317">
        <v>11</v>
      </c>
      <c r="DO29" s="799">
        <f>INDEX($DD$74:$FH$276,MAX($DO$74:$DO$276)-4,$DN29)</f>
        <v>78.817648420661683</v>
      </c>
      <c r="DP29" s="800">
        <f>INDEX($DD$74:$FH$276,MAX($DO$74:$DO$276)-3,$DN29)</f>
        <v>80.258052226715634</v>
      </c>
      <c r="DQ29" s="800">
        <f>INDEX($DD$74:$FH$276,MAX($DO$74:$DO$276)-2,$DN29)</f>
        <v>78.639183192055455</v>
      </c>
      <c r="DR29" s="800">
        <f>INDEX($DD$74:$FH$276,MAX($DO$74:$DO$276)-1,$DN29)</f>
        <v>71.968921893600196</v>
      </c>
      <c r="DS29" s="801">
        <f>INDEX($DD$74:$FH$276,MAX($DO$74:$DO$276),$DN29)</f>
        <v>72.765191236804739</v>
      </c>
      <c r="DU29" s="931" t="s">
        <v>644</v>
      </c>
      <c r="DV29" s="898">
        <v>19</v>
      </c>
      <c r="DW29" s="937">
        <f>INDEX($DD$74:$FH$276,MAX($DW$74:$DW$276)-4,$DV29)</f>
        <v>199.95524597276705</v>
      </c>
      <c r="DX29" s="938">
        <f>INDEX($DD$74:$FH$276,MAX($DW$74:$DW$276)-3,$DV29)</f>
        <v>184.84595788154493</v>
      </c>
      <c r="DY29" s="938">
        <f>INDEX($DD$74:$FH$276,MAX($DW$74:$DW$276)-2,$DV29)</f>
        <v>185.71504338450379</v>
      </c>
      <c r="DZ29" s="938">
        <f>INDEX($DD$74:$FH$276,MAX($DW$74:$DW$276)-1,$DV29)</f>
        <v>185.48394594588135</v>
      </c>
      <c r="EA29" s="939">
        <f>INDEX($DD$74:$FH$276,MAX($DW$74:$DW$276),$DV29)</f>
        <v>203.23155827941449</v>
      </c>
      <c r="GM29" s="260"/>
      <c r="GN29" s="51"/>
      <c r="GO29" s="804">
        <f>GO30</f>
        <v>44896</v>
      </c>
      <c r="GP29" s="785">
        <f>GP30</f>
        <v>44986</v>
      </c>
      <c r="GQ29" s="785">
        <f>GQ30</f>
        <v>45078</v>
      </c>
      <c r="GR29" s="785">
        <f>GR30</f>
        <v>45170</v>
      </c>
      <c r="GS29" s="805">
        <f>GS30</f>
        <v>45261</v>
      </c>
      <c r="GU29" s="1014" t="s">
        <v>405</v>
      </c>
      <c r="GV29" s="889">
        <v>22</v>
      </c>
      <c r="GW29" s="935">
        <f t="shared" si="15"/>
        <v>2127.6062039299482</v>
      </c>
      <c r="GX29" s="797">
        <f t="shared" si="16"/>
        <v>437.23626744876458</v>
      </c>
      <c r="GY29" s="797">
        <f t="shared" si="17"/>
        <v>1053.3415331443719</v>
      </c>
      <c r="GZ29" s="797">
        <f t="shared" si="18"/>
        <v>1579.626642406927</v>
      </c>
      <c r="HA29" s="936">
        <f t="shared" si="19"/>
        <v>2184.6206139885016</v>
      </c>
      <c r="IX29" s="1029" t="s">
        <v>461</v>
      </c>
      <c r="IY29" s="889">
        <v>23</v>
      </c>
      <c r="IZ29" s="935">
        <f t="shared" si="0"/>
        <v>-536.54707544899986</v>
      </c>
      <c r="JA29" s="797">
        <f t="shared" si="1"/>
        <v>-588.68652874400004</v>
      </c>
      <c r="JB29" s="797">
        <f t="shared" si="2"/>
        <v>-585.30888776700021</v>
      </c>
      <c r="JC29" s="797">
        <f t="shared" si="3"/>
        <v>-482.3345241320003</v>
      </c>
      <c r="JD29" s="936">
        <f t="shared" si="4"/>
        <v>-531.51967469599992</v>
      </c>
      <c r="JW29" s="1041" t="s">
        <v>485</v>
      </c>
      <c r="JX29" s="1054">
        <f t="shared" si="20"/>
        <v>47</v>
      </c>
      <c r="JY29" s="733">
        <f t="shared" si="5"/>
        <v>0.77700933500000002</v>
      </c>
      <c r="JZ29" s="570">
        <f t="shared" si="6"/>
        <v>3.91654276</v>
      </c>
      <c r="KA29" s="570">
        <f t="shared" si="7"/>
        <v>4.2606470080000003</v>
      </c>
      <c r="KB29" s="570">
        <f t="shared" si="8"/>
        <v>4.3275082450000006</v>
      </c>
      <c r="KC29" s="734">
        <f t="shared" si="9"/>
        <v>3.6631229470000002</v>
      </c>
      <c r="KY29" s="1059" t="s">
        <v>497</v>
      </c>
      <c r="KZ29" s="316">
        <f t="shared" si="21"/>
        <v>72</v>
      </c>
      <c r="LA29" s="796">
        <f t="shared" si="10"/>
        <v>1670.4850000000001</v>
      </c>
      <c r="LB29" s="797">
        <f t="shared" si="11"/>
        <v>1544.69</v>
      </c>
      <c r="LC29" s="797">
        <f t="shared" si="12"/>
        <v>1644.2049999999999</v>
      </c>
      <c r="LD29" s="797">
        <f t="shared" si="13"/>
        <v>1647.8049999999998</v>
      </c>
      <c r="LE29" s="798">
        <f t="shared" si="14"/>
        <v>1508.2710000000002</v>
      </c>
      <c r="NB29" s="1900" t="s">
        <v>1084</v>
      </c>
      <c r="NC29" s="316">
        <v>20</v>
      </c>
      <c r="ND29" s="1996">
        <f t="shared" si="33"/>
        <v>94.717997189985084</v>
      </c>
      <c r="NE29" s="1997">
        <f t="shared" si="33"/>
        <v>94.717997189985084</v>
      </c>
      <c r="NF29" s="1997">
        <f t="shared" si="33"/>
        <v>94.677754704105354</v>
      </c>
      <c r="NG29" s="1997">
        <f t="shared" si="33"/>
        <v>96.545261157095354</v>
      </c>
      <c r="NH29" s="1998">
        <f t="shared" si="33"/>
        <v>96.569475537039551</v>
      </c>
    </row>
    <row r="30" spans="2:372" ht="25.2" thickTop="1" thickBot="1">
      <c r="AF30" s="855" t="s">
        <v>569</v>
      </c>
      <c r="AG30" s="854" t="s">
        <v>570</v>
      </c>
      <c r="AH30" s="864">
        <v>27</v>
      </c>
      <c r="AI30" s="75">
        <f t="shared" si="23"/>
        <v>17.269854774740597</v>
      </c>
      <c r="AJ30" s="75">
        <f t="shared" si="24"/>
        <v>6.133813082302094</v>
      </c>
      <c r="AK30" s="75">
        <f t="shared" si="25"/>
        <v>-9.8165379772327235</v>
      </c>
      <c r="AL30" s="75">
        <f t="shared" si="26"/>
        <v>-30.760945108928571</v>
      </c>
      <c r="AM30" s="803">
        <f t="shared" si="27"/>
        <v>-6.8970931281872581</v>
      </c>
      <c r="BD30" s="868" t="s">
        <v>567</v>
      </c>
      <c r="BE30" s="870" t="s">
        <v>570</v>
      </c>
      <c r="BF30" s="316">
        <v>50</v>
      </c>
      <c r="BG30" s="796">
        <f t="shared" si="28"/>
        <v>70.652817950155367</v>
      </c>
      <c r="BH30" s="797">
        <f t="shared" si="29"/>
        <v>27.775858968499982</v>
      </c>
      <c r="BI30" s="797">
        <f t="shared" si="30"/>
        <v>-14.108019446667999</v>
      </c>
      <c r="BJ30" s="797">
        <f t="shared" si="31"/>
        <v>-56.688285487757931</v>
      </c>
      <c r="BK30" s="798">
        <f t="shared" si="32"/>
        <v>25.990653631908906</v>
      </c>
      <c r="GM30" s="994"/>
      <c r="GN30" s="887">
        <v>1</v>
      </c>
      <c r="GO30" s="758">
        <f>INDEX($FI$74:$GS$276,MAX($GP$74:$GP$276)-4,$GN30)</f>
        <v>44896</v>
      </c>
      <c r="GP30" s="759">
        <f>INDEX($FI$74:$GS$276,MAX($GP$74:$GP$276)-3,$GN30)</f>
        <v>44986</v>
      </c>
      <c r="GQ30" s="759">
        <f>INDEX($FI$74:$GS$276,MAX($GP$74:$GP$276)-2,$GN30)</f>
        <v>45078</v>
      </c>
      <c r="GR30" s="759">
        <f>INDEX($FI$74:$GS$276,MAX($GP$74:$GP$276)-1,$GN30)</f>
        <v>45170</v>
      </c>
      <c r="GS30" s="760">
        <f>INDEX($FI$74:$GS$276,MAX($GP$74:$GP$276),$GN30)</f>
        <v>45261</v>
      </c>
      <c r="GU30" s="1006" t="s">
        <v>406</v>
      </c>
      <c r="GV30" s="889">
        <v>23</v>
      </c>
      <c r="GW30" s="935">
        <f t="shared" si="15"/>
        <v>2137.7049808939482</v>
      </c>
      <c r="GX30" s="797">
        <f t="shared" si="16"/>
        <v>437.74331463576448</v>
      </c>
      <c r="GY30" s="797">
        <f t="shared" si="17"/>
        <v>1057.6069871633717</v>
      </c>
      <c r="GZ30" s="797">
        <f t="shared" si="18"/>
        <v>1591.4871095169269</v>
      </c>
      <c r="HA30" s="936">
        <f t="shared" si="19"/>
        <v>2208.4699565015017</v>
      </c>
      <c r="IX30" s="1034" t="s">
        <v>462</v>
      </c>
      <c r="IY30" s="898">
        <v>24</v>
      </c>
      <c r="IZ30" s="937">
        <f t="shared" si="0"/>
        <v>5716.8735229730009</v>
      </c>
      <c r="JA30" s="938">
        <f t="shared" si="1"/>
        <v>5378.6503348540009</v>
      </c>
      <c r="JB30" s="938">
        <f t="shared" si="2"/>
        <v>5744.9288965180003</v>
      </c>
      <c r="JC30" s="938">
        <f t="shared" si="3"/>
        <v>5779.2693787180024</v>
      </c>
      <c r="JD30" s="939">
        <f t="shared" si="4"/>
        <v>5552.0085267270006</v>
      </c>
      <c r="JW30" s="1042" t="s">
        <v>506</v>
      </c>
      <c r="JX30" s="1054">
        <f t="shared" si="20"/>
        <v>48</v>
      </c>
      <c r="JY30" s="733">
        <f t="shared" si="5"/>
        <v>0</v>
      </c>
      <c r="JZ30" s="570">
        <f t="shared" si="6"/>
        <v>0</v>
      </c>
      <c r="KA30" s="570">
        <f t="shared" si="7"/>
        <v>0</v>
      </c>
      <c r="KB30" s="570">
        <f t="shared" si="8"/>
        <v>0</v>
      </c>
      <c r="KC30" s="734">
        <f t="shared" si="9"/>
        <v>0</v>
      </c>
      <c r="KY30" s="704" t="s">
        <v>472</v>
      </c>
      <c r="KZ30" s="316" t="e">
        <f t="shared" si="21"/>
        <v>#N/A</v>
      </c>
      <c r="LA30" s="796"/>
      <c r="LB30" s="797"/>
      <c r="LC30" s="797"/>
      <c r="LD30" s="797"/>
      <c r="LE30" s="798"/>
      <c r="NB30" s="1900" t="s">
        <v>1085</v>
      </c>
      <c r="NC30" s="316">
        <v>21</v>
      </c>
      <c r="ND30" s="1996">
        <f t="shared" si="33"/>
        <v>113.86646305321543</v>
      </c>
      <c r="NE30" s="1997">
        <f t="shared" si="33"/>
        <v>113.41871097281577</v>
      </c>
      <c r="NF30" s="1997">
        <f t="shared" si="33"/>
        <v>114.48096940358101</v>
      </c>
      <c r="NG30" s="1997">
        <f t="shared" si="33"/>
        <v>114.459054908764</v>
      </c>
      <c r="NH30" s="1998">
        <f t="shared" si="33"/>
        <v>114.43568564900062</v>
      </c>
    </row>
    <row r="31" spans="2:372" ht="34.5" thickTop="1">
      <c r="B31" s="2078" t="s">
        <v>820</v>
      </c>
      <c r="C31" s="2078"/>
      <c r="D31" s="2078"/>
      <c r="E31" s="2078"/>
      <c r="F31" s="2078"/>
      <c r="G31" s="2078"/>
      <c r="H31" s="2078"/>
      <c r="I31" s="2078"/>
      <c r="J31" s="2078"/>
      <c r="K31" t="s">
        <v>591</v>
      </c>
      <c r="M31" s="806"/>
      <c r="W31" t="s">
        <v>591</v>
      </c>
      <c r="Y31" s="806"/>
      <c r="AF31" s="852" t="s">
        <v>579</v>
      </c>
      <c r="AG31" s="853" t="s">
        <v>572</v>
      </c>
      <c r="AH31" s="864">
        <v>28</v>
      </c>
      <c r="AI31" s="75">
        <f t="shared" si="23"/>
        <v>3.0161358096515829</v>
      </c>
      <c r="AJ31" s="75">
        <f t="shared" si="24"/>
        <v>10.575457943289631</v>
      </c>
      <c r="AK31" s="75">
        <f t="shared" si="25"/>
        <v>12.501945270874469</v>
      </c>
      <c r="AL31" s="75">
        <f t="shared" si="26"/>
        <v>9.8989974942684995</v>
      </c>
      <c r="AM31" s="803">
        <f t="shared" si="27"/>
        <v>3.7333247693923397</v>
      </c>
      <c r="BD31" s="869" t="s">
        <v>569</v>
      </c>
      <c r="BE31" s="869" t="s">
        <v>572</v>
      </c>
      <c r="BF31" s="316">
        <v>51</v>
      </c>
      <c r="BG31" s="796">
        <f t="shared" si="28"/>
        <v>5.3089574967390458</v>
      </c>
      <c r="BH31" s="797">
        <f t="shared" si="29"/>
        <v>28.733096063206339</v>
      </c>
      <c r="BI31" s="797">
        <f t="shared" si="30"/>
        <v>10.474235360268151</v>
      </c>
      <c r="BJ31" s="797">
        <f t="shared" si="31"/>
        <v>4.9830427085661455</v>
      </c>
      <c r="BK31" s="798">
        <f t="shared" si="32"/>
        <v>-9.6368434516817718</v>
      </c>
      <c r="GM31" s="995" t="s">
        <v>720</v>
      </c>
      <c r="GN31" s="996">
        <v>32</v>
      </c>
      <c r="GO31" s="982">
        <f>INDEX($FI$74:$GS$276,MAX($GP$74:$GP$276)-4,$GN31)</f>
        <v>4598</v>
      </c>
      <c r="GP31" s="933">
        <f>INDEX($FI$74:$GS$276,MAX($GP$74:$GP$276)-3,$GN31)</f>
        <v>3945</v>
      </c>
      <c r="GQ31" s="933">
        <f>INDEX($FI$74:$GS$276,MAX($GP$74:$GP$276)-2,$GN31)</f>
        <v>4810</v>
      </c>
      <c r="GR31" s="933">
        <f>INDEX($FI$74:$GS$276,MAX($GP$74:$GP$276)-1,$GN31)</f>
        <v>5572</v>
      </c>
      <c r="GS31" s="934">
        <f>INDEX($FI$74:$GS$276,MAX($GP$74:$GP$276),$GN31)</f>
        <v>5847</v>
      </c>
      <c r="GU31" s="1007" t="s">
        <v>407</v>
      </c>
      <c r="GV31" s="889">
        <v>24</v>
      </c>
      <c r="GW31" s="935">
        <f t="shared" si="15"/>
        <v>1383.3640960260827</v>
      </c>
      <c r="GX31" s="797">
        <f t="shared" si="16"/>
        <v>320.11007095149807</v>
      </c>
      <c r="GY31" s="797">
        <f t="shared" si="17"/>
        <v>812.62255333442135</v>
      </c>
      <c r="GZ31" s="797">
        <f t="shared" si="18"/>
        <v>1263.4690515774616</v>
      </c>
      <c r="HA31" s="936">
        <f t="shared" si="19"/>
        <v>1651.859569860653</v>
      </c>
      <c r="JW31" s="1039" t="s">
        <v>500</v>
      </c>
      <c r="JX31" s="1054">
        <f t="shared" si="20"/>
        <v>49</v>
      </c>
      <c r="JY31" s="733">
        <f t="shared" si="5"/>
        <v>0</v>
      </c>
      <c r="JZ31" s="570">
        <f t="shared" si="6"/>
        <v>0</v>
      </c>
      <c r="KA31" s="570">
        <f t="shared" si="7"/>
        <v>0</v>
      </c>
      <c r="KB31" s="570">
        <f t="shared" si="8"/>
        <v>0</v>
      </c>
      <c r="KC31" s="734">
        <f t="shared" si="9"/>
        <v>0</v>
      </c>
      <c r="KY31" s="1059" t="s">
        <v>498</v>
      </c>
      <c r="KZ31" s="316">
        <f t="shared" si="21"/>
        <v>73</v>
      </c>
      <c r="LA31" s="796">
        <f t="shared" si="10"/>
        <v>2511.9140000000002</v>
      </c>
      <c r="LB31" s="797">
        <f t="shared" si="11"/>
        <v>2248.4740000000002</v>
      </c>
      <c r="LC31" s="797">
        <f t="shared" si="12"/>
        <v>2388.5149999999999</v>
      </c>
      <c r="LD31" s="797">
        <f t="shared" si="13"/>
        <v>2391.0039999999999</v>
      </c>
      <c r="LE31" s="798">
        <f t="shared" si="14"/>
        <v>2189.17</v>
      </c>
      <c r="NB31" s="1900" t="s">
        <v>1086</v>
      </c>
      <c r="NC31" s="316">
        <v>22</v>
      </c>
      <c r="ND31" s="1996">
        <f t="shared" si="33"/>
        <v>103.27612425977642</v>
      </c>
      <c r="NE31" s="1997">
        <f t="shared" si="33"/>
        <v>103.27612425977642</v>
      </c>
      <c r="NF31" s="1997">
        <f t="shared" si="33"/>
        <v>104.35960355406276</v>
      </c>
      <c r="NG31" s="1997">
        <f t="shared" si="33"/>
        <v>104.35960355406276</v>
      </c>
      <c r="NH31" s="1998">
        <f t="shared" si="33"/>
        <v>104.35960355406276</v>
      </c>
    </row>
    <row r="32" spans="2:372" ht="41.4" thickBot="1">
      <c r="M32" s="212">
        <v>4</v>
      </c>
      <c r="N32" s="212">
        <v>3</v>
      </c>
      <c r="O32" s="212">
        <v>2</v>
      </c>
      <c r="P32" s="212"/>
      <c r="Q32" s="212">
        <v>1</v>
      </c>
      <c r="R32" s="807">
        <v>0</v>
      </c>
      <c r="Y32" s="212">
        <v>4</v>
      </c>
      <c r="Z32" s="212">
        <v>3</v>
      </c>
      <c r="AA32" s="212">
        <v>2</v>
      </c>
      <c r="AB32" s="212">
        <v>1</v>
      </c>
      <c r="AC32" s="807">
        <v>0</v>
      </c>
      <c r="AF32" s="856"/>
      <c r="AG32" s="854" t="s">
        <v>580</v>
      </c>
      <c r="AH32" s="864">
        <v>29</v>
      </c>
      <c r="AI32" s="75">
        <f t="shared" si="23"/>
        <v>-21.25</v>
      </c>
      <c r="AJ32" s="75">
        <f t="shared" si="24"/>
        <v>-35.526315789473685</v>
      </c>
      <c r="AK32" s="75">
        <f t="shared" si="25"/>
        <v>-31.578947368421048</v>
      </c>
      <c r="AL32" s="75">
        <f t="shared" si="26"/>
        <v>-36.111111111111107</v>
      </c>
      <c r="AM32" s="803">
        <f t="shared" si="27"/>
        <v>-29.729729729729726</v>
      </c>
      <c r="BD32" s="868" t="s">
        <v>579</v>
      </c>
      <c r="BE32" s="870" t="s">
        <v>590</v>
      </c>
      <c r="BF32" s="316">
        <v>52</v>
      </c>
      <c r="BG32" s="796">
        <f t="shared" si="28"/>
        <v>-22.727272727272727</v>
      </c>
      <c r="BH32" s="797">
        <f t="shared" si="29"/>
        <v>-13.043478260869563</v>
      </c>
      <c r="BI32" s="797">
        <f t="shared" si="30"/>
        <v>-15</v>
      </c>
      <c r="BJ32" s="797">
        <f t="shared" si="31"/>
        <v>-36.842105263157897</v>
      </c>
      <c r="BK32" s="798">
        <f t="shared" si="32"/>
        <v>-28.571428571428569</v>
      </c>
      <c r="GM32" s="997" t="s">
        <v>721</v>
      </c>
      <c r="GN32" s="898">
        <v>33</v>
      </c>
      <c r="GO32" s="158">
        <f>INDEX($FI$74:$GS$276,MAX($GP$74:$GP$276)-4,$GN32)</f>
        <v>2406</v>
      </c>
      <c r="GP32" s="94">
        <f>INDEX($FI$74:$GS$276,MAX($GP$74:$GP$276)-3,$GN32)</f>
        <v>2093</v>
      </c>
      <c r="GQ32" s="94">
        <f>INDEX($FI$74:$GS$276,MAX($GP$74:$GP$276)-2,$GN32)</f>
        <v>2400</v>
      </c>
      <c r="GR32" s="94">
        <f>INDEX($FI$74:$GS$276,MAX($GP$74:$GP$276)-1,$GN32)</f>
        <v>2803</v>
      </c>
      <c r="GS32" s="22">
        <f>INDEX($FI$74:$GS$276,MAX($GP$74:$GP$276),$GN32)</f>
        <v>2711</v>
      </c>
      <c r="GU32" s="1008" t="s">
        <v>408</v>
      </c>
      <c r="GV32" s="889">
        <v>25</v>
      </c>
      <c r="GW32" s="935">
        <f t="shared" si="15"/>
        <v>705.10688247100006</v>
      </c>
      <c r="GX32" s="797">
        <f t="shared" si="16"/>
        <v>187.21656192500001</v>
      </c>
      <c r="GY32" s="797">
        <f t="shared" si="17"/>
        <v>410.57603279299997</v>
      </c>
      <c r="GZ32" s="797">
        <f t="shared" si="18"/>
        <v>632.32031799499998</v>
      </c>
      <c r="HA32" s="936">
        <f t="shared" si="19"/>
        <v>845.9</v>
      </c>
      <c r="JW32" s="1041" t="s">
        <v>983</v>
      </c>
      <c r="JX32" s="1054">
        <f t="shared" si="20"/>
        <v>50</v>
      </c>
      <c r="JY32" s="733">
        <f t="shared" si="5"/>
        <v>0</v>
      </c>
      <c r="JZ32" s="570">
        <f t="shared" si="6"/>
        <v>0</v>
      </c>
      <c r="KA32" s="570">
        <f t="shared" si="7"/>
        <v>0</v>
      </c>
      <c r="KB32" s="570">
        <f t="shared" si="8"/>
        <v>0</v>
      </c>
      <c r="KC32" s="734">
        <f t="shared" si="9"/>
        <v>0</v>
      </c>
      <c r="KY32" s="704" t="s">
        <v>472</v>
      </c>
      <c r="KZ32" s="316" t="e">
        <f t="shared" si="21"/>
        <v>#N/A</v>
      </c>
      <c r="LA32" s="796"/>
      <c r="LB32" s="797"/>
      <c r="LC32" s="797"/>
      <c r="LD32" s="797"/>
      <c r="LE32" s="798"/>
      <c r="NB32" s="1999" t="s">
        <v>1087</v>
      </c>
      <c r="NC32" s="2000">
        <v>23</v>
      </c>
      <c r="ND32" s="2001" t="e">
        <f t="shared" si="33"/>
        <v>#N/A</v>
      </c>
      <c r="NE32" s="2002" t="e">
        <f t="shared" si="33"/>
        <v>#N/A</v>
      </c>
      <c r="NF32" s="2002" t="e">
        <f t="shared" si="33"/>
        <v>#N/A</v>
      </c>
      <c r="NG32" s="2002" t="e">
        <f t="shared" si="33"/>
        <v>#N/A</v>
      </c>
      <c r="NH32" s="2003" t="e">
        <f t="shared" si="33"/>
        <v>#N/A</v>
      </c>
    </row>
    <row r="33" spans="10:372" ht="31.5" thickTop="1" thickBot="1">
      <c r="M33" s="808" t="str">
        <f>CONCATENATE(IF(INDEX($Q$74:$V$276,MAX($V$74:$V$276)-M32,$L36)-DATE(YEAR(M36)-1,12,31)&lt;91,1,IF(INDEX($Q$74:$V$276,MAX($V$74:$V$276)-M32,$L36)-DATE(YEAR(M36)-1,12,31)&lt;182,2,IF(INDEX($Q$74:$V$276,MAX($V$74:$V$276)-M32,$L36)-DATE(YEAR(M36)-1,12,31)&lt;274,3,4))),"T",YEAR(INDEX($Q$74:$V$276,MAX($V$74:$V$276)-M32,$L36)))</f>
        <v>3T2022</v>
      </c>
      <c r="N33" s="808" t="str">
        <f>CONCATENATE(IF(INDEX($Q$74:$V$276,MAX($V$74:$V$276)-N32,$L36)-DATE(YEAR(N36)-1,12,31)&lt;91,1,IF(INDEX($Q$74:$V$276,MAX($V$74:$V$276)-N32,$L36)-DATE(YEAR(N36)-1,12,31)&lt;182,2,IF(INDEX($Q$74:$V$276,MAX($V$74:$V$276)-N32,$L36)-DATE(YEAR(N36)-1,12,31)&lt;274,3,4))),"T",YEAR(INDEX($Q$74:$V$276,MAX($V$74:$V$276)-N32,$L36)))</f>
        <v>4T2022</v>
      </c>
      <c r="O33" s="808" t="str">
        <f>CONCATENATE(IF(INDEX($Q$74:$V$276,MAX($V$74:$V$276)-O32,$L36)-DATE(YEAR(O36)-1,12,31)&lt;91,1,IF(INDEX($Q$74:$V$276,MAX($V$74:$V$276)-O32,$L36)-DATE(YEAR(O36)-1,12,31)&lt;182,2,IF(INDEX($Q$74:$V$276,MAX($V$74:$V$276)-O32,$L36)-DATE(YEAR(O36)-1,12,31)&lt;274,3,4))),"T",YEAR(INDEX($Q$74:$V$276,MAX($V$74:$V$276)-O32,$L36)))</f>
        <v>1T2023</v>
      </c>
      <c r="P33" s="808"/>
      <c r="Q33" s="808" t="str">
        <f>CONCATENATE(IF(INDEX($Q$74:$V$276,MAX($V$74:$V$276)-Q32,$L36)-DATE(YEAR(Q36)-1,12,31)&lt;91,1,IF(INDEX($Q$74:$V$276,MAX($V$74:$V$276)-Q32,$L36)-DATE(YEAR(Q36)-1,12,31)&lt;182,2,IF(INDEX($Q$74:$V$276,MAX($V$74:$V$276)-Q32,$L36)-DATE(YEAR(Q36)-1,12,31)&lt;274,3,4))),"T",YEAR(INDEX($Q$74:$V$276,MAX($V$74:$V$276)-Q32,$L36)))</f>
        <v>2T2023</v>
      </c>
      <c r="R33" s="808" t="str">
        <f>CONCATENATE(IF(INDEX($Q$74:$V$276,MAX($V$74:$V$276)-R32,$L36)-DATE(YEAR(R36)-1,12,31)&lt;91,1,IF(INDEX($Q$74:$V$276,MAX($V$74:$V$276)-R32,$L36)-DATE(YEAR(R36)-1,12,31)&lt;182,2,IF(INDEX($Q$74:$V$276,MAX($V$74:$V$276)-R32,$L36)-DATE(YEAR(R36)-1,12,31)&lt;274,3,4))),"T",YEAR(INDEX($Q$74:$V$276,MAX($V$74:$V$276)-R32,$L36)))</f>
        <v>3T2023</v>
      </c>
      <c r="Y33" s="808" t="str">
        <f>CONCATENATE(IF(INDEX($Q$74:$AF$276,MAX($AF$74:$AF$276)-Y32,$X36)-DATE(YEAR(Y36)-1,12,31)&lt;91,1,IF(INDEX($Q$74:$AF$276,MAX($AF$74:$AF$276)-Y32,$X36)-DATE(YEAR(Y36)-1,12,31)&lt;182,2,IF(INDEX($Q$74:$AF$276,MAX($AF$74:$AF$276)-Y32,$X36)-DATE(YEAR(Y36)-1,12,31)&lt;274,3,4))),"T",YEAR(INDEX($Q$74:$V$276,MAX($AF$74:$AF$276)-Y32,$X36)))</f>
        <v>3T2022</v>
      </c>
      <c r="Z33" s="808" t="str">
        <f>CONCATENATE(IF(INDEX($Q$74:$AF$276,MAX($AF$74:$AF$276)-Z32,$X36)-DATE(YEAR(Z36)-1,12,31)&lt;91,1,IF(INDEX($Q$74:$AF$276,MAX($AF$74:$AF$276)-Z32,$X36)-DATE(YEAR(Z36)-1,12,31)&lt;182,2,IF(INDEX($Q$74:$AF$276,MAX($AF$74:$AF$276)-Z32,$X36)-DATE(YEAR(Z36)-1,12,31)&lt;274,3,4))),"T",YEAR(INDEX($Q$74:$V$276,MAX($AF$74:$AF$276)-Z32,$X36)))</f>
        <v>4T2022</v>
      </c>
      <c r="AA33" s="808" t="str">
        <f>CONCATENATE(IF(INDEX($Q$74:$AF$276,MAX($AF$74:$AF$276)-AA32,$X36)-DATE(YEAR(AA36)-1,12,31)&lt;91,1,IF(INDEX($Q$74:$AF$276,MAX($AF$74:$AF$276)-AA32,$X36)-DATE(YEAR(AA36)-1,12,31)&lt;182,2,IF(INDEX($Q$74:$AF$276,MAX($AF$74:$AF$276)-AA32,$X36)-DATE(YEAR(AA36)-1,12,31)&lt;274,3,4))),"T",YEAR(INDEX($Q$74:$V$276,MAX($AF$74:$AF$276)-AA32,$X36)))</f>
        <v>1T2023</v>
      </c>
      <c r="AB33" s="808" t="str">
        <f>CONCATENATE(IF(INDEX($Q$74:$AF$276,MAX($AF$74:$AF$276)-AB32,$X36)-DATE(YEAR(AB36)-1,12,31)&lt;91,1,IF(INDEX($Q$74:$AF$276,MAX($AF$74:$AF$276)-AB32,$X36)-DATE(YEAR(AB36)-1,12,31)&lt;182,2,IF(INDEX($Q$74:$AF$276,MAX($AF$74:$AF$276)-AB32,$X36)-DATE(YEAR(AB36)-1,12,31)&lt;274,3,4))),"T",YEAR(INDEX($Q$74:$V$276,MAX($AF$74:$AF$276)-AB32,$X36)))</f>
        <v>2T2023</v>
      </c>
      <c r="AC33" s="808" t="str">
        <f>CONCATENATE(IF(INDEX($Q$74:$AF$276,MAX($AF$74:$AF$276)-AC32,$X36)-DATE(YEAR(AC36)-1,12,31)&lt;91,1,IF(INDEX($Q$74:$AF$276,MAX($AF$74:$AF$276)-AC32,$X36)-DATE(YEAR(AC36)-1,12,31)&lt;182,2,IF(INDEX($Q$74:$AF$276,MAX($AF$74:$AF$276)-AC32,$X36)-DATE(YEAR(AC36)-1,12,31)&lt;274,3,4))),"T",YEAR(INDEX($Q$74:$V$276,MAX($AF$74:$AF$276)-AC32,$X36)))</f>
        <v>3T2023</v>
      </c>
      <c r="AF33" s="858"/>
      <c r="AG33" s="859" t="s">
        <v>581</v>
      </c>
      <c r="AH33" s="864">
        <v>30</v>
      </c>
      <c r="AI33" s="75">
        <f t="shared" si="23"/>
        <v>24.818485948565861</v>
      </c>
      <c r="AJ33" s="75">
        <f t="shared" si="24"/>
        <v>14.640661912926031</v>
      </c>
      <c r="AK33" s="75">
        <f t="shared" si="25"/>
        <v>7.1158914533211872</v>
      </c>
      <c r="AL33" s="75">
        <f t="shared" si="26"/>
        <v>36.439710878364828</v>
      </c>
      <c r="AM33" s="803">
        <f t="shared" si="27"/>
        <v>-7.5304629759203383</v>
      </c>
      <c r="BD33" s="871"/>
      <c r="BE33" s="869" t="s">
        <v>580</v>
      </c>
      <c r="BF33" s="316">
        <v>53</v>
      </c>
      <c r="BG33" s="796">
        <f t="shared" si="28"/>
        <v>-31.81818181818182</v>
      </c>
      <c r="BH33" s="797">
        <f t="shared" si="29"/>
        <v>-34.782608695652172</v>
      </c>
      <c r="BI33" s="797">
        <f t="shared" si="30"/>
        <v>-30</v>
      </c>
      <c r="BJ33" s="797">
        <f t="shared" si="31"/>
        <v>-42.105263157894733</v>
      </c>
      <c r="BK33" s="798">
        <f t="shared" si="32"/>
        <v>-42.857142857142861</v>
      </c>
      <c r="GU33" s="1012" t="s">
        <v>409</v>
      </c>
      <c r="GV33" s="889">
        <v>26</v>
      </c>
      <c r="GW33" s="935">
        <f t="shared" si="15"/>
        <v>196.22458875500001</v>
      </c>
      <c r="GX33" s="797">
        <f t="shared" si="16"/>
        <v>25.535860954</v>
      </c>
      <c r="GY33" s="797">
        <f t="shared" si="17"/>
        <v>82.52043965899999</v>
      </c>
      <c r="GZ33" s="797">
        <f t="shared" si="18"/>
        <v>117.99084950300001</v>
      </c>
      <c r="HA33" s="936">
        <f t="shared" si="19"/>
        <v>201.643707315</v>
      </c>
      <c r="JW33" s="1042" t="s">
        <v>486</v>
      </c>
      <c r="JX33" s="1054">
        <f t="shared" si="20"/>
        <v>51</v>
      </c>
      <c r="JY33" s="733">
        <f t="shared" si="5"/>
        <v>0.50266335600000001</v>
      </c>
      <c r="JZ33" s="570">
        <f t="shared" si="6"/>
        <v>9.1908899690000005</v>
      </c>
      <c r="KA33" s="570">
        <f t="shared" si="7"/>
        <v>25.694465849</v>
      </c>
      <c r="KB33" s="570">
        <f t="shared" si="8"/>
        <v>37.880316149999999</v>
      </c>
      <c r="KC33" s="734">
        <f t="shared" si="9"/>
        <v>0.48906951300000001</v>
      </c>
      <c r="KY33" s="1059" t="s">
        <v>499</v>
      </c>
      <c r="KZ33" s="316">
        <f t="shared" si="21"/>
        <v>74</v>
      </c>
      <c r="LA33" s="796">
        <f t="shared" si="10"/>
        <v>2073.8510000000001</v>
      </c>
      <c r="LB33" s="797">
        <f t="shared" si="11"/>
        <v>1969.057</v>
      </c>
      <c r="LC33" s="797">
        <f t="shared" si="12"/>
        <v>2130.6420000000003</v>
      </c>
      <c r="LD33" s="797">
        <f t="shared" si="13"/>
        <v>2152.6800000000003</v>
      </c>
      <c r="LE33" s="798">
        <f t="shared" si="14"/>
        <v>2073.8069999999998</v>
      </c>
      <c r="NB33" s="1900" t="s">
        <v>1088</v>
      </c>
      <c r="NC33" s="316">
        <v>24</v>
      </c>
      <c r="ND33" s="1996">
        <f t="shared" si="33"/>
        <v>102.98512035867947</v>
      </c>
      <c r="NE33" s="1997">
        <f t="shared" si="33"/>
        <v>100.73355721093445</v>
      </c>
      <c r="NF33" s="1997">
        <f t="shared" si="33"/>
        <v>103.89082840607622</v>
      </c>
      <c r="NG33" s="1997">
        <f t="shared" si="33"/>
        <v>91.619567653981576</v>
      </c>
      <c r="NH33" s="1998">
        <f t="shared" si="33"/>
        <v>91.548679272845447</v>
      </c>
    </row>
    <row r="34" spans="10:372" ht="41.1">
      <c r="K34" s="36"/>
      <c r="L34" s="43" t="s">
        <v>15</v>
      </c>
      <c r="M34" s="2168" t="s">
        <v>12</v>
      </c>
      <c r="N34" s="2145"/>
      <c r="O34" s="2145"/>
      <c r="P34" s="2145"/>
      <c r="Q34" s="2145"/>
      <c r="R34" s="2146"/>
      <c r="W34" s="36"/>
      <c r="X34" s="43" t="s">
        <v>15</v>
      </c>
      <c r="Y34" s="2168" t="s">
        <v>12</v>
      </c>
      <c r="Z34" s="2145"/>
      <c r="AA34" s="2145"/>
      <c r="AB34" s="2145"/>
      <c r="AC34" s="2146"/>
      <c r="AF34" s="852" t="s">
        <v>582</v>
      </c>
      <c r="AG34" s="854" t="s">
        <v>583</v>
      </c>
      <c r="AH34" s="864">
        <v>31</v>
      </c>
      <c r="AI34" s="75">
        <f t="shared" si="23"/>
        <v>-28.06036711246594</v>
      </c>
      <c r="AJ34" s="75">
        <f t="shared" si="24"/>
        <v>-12.135820923072014</v>
      </c>
      <c r="AK34" s="75">
        <f t="shared" si="25"/>
        <v>-8.574404441236009</v>
      </c>
      <c r="AL34" s="75">
        <f t="shared" si="26"/>
        <v>-32.154073806809414</v>
      </c>
      <c r="AM34" s="803">
        <f t="shared" si="27"/>
        <v>-13.199097188812653</v>
      </c>
      <c r="BD34" s="869"/>
      <c r="BE34" s="873" t="s">
        <v>581</v>
      </c>
      <c r="BF34" s="316">
        <v>54</v>
      </c>
      <c r="BG34" s="796">
        <f t="shared" si="28"/>
        <v>57.590693056792013</v>
      </c>
      <c r="BH34" s="797">
        <f t="shared" si="29"/>
        <v>40.764439097616481</v>
      </c>
      <c r="BI34" s="797">
        <f t="shared" si="30"/>
        <v>47.874234241175152</v>
      </c>
      <c r="BJ34" s="797">
        <f t="shared" si="31"/>
        <v>81.687981467311872</v>
      </c>
      <c r="BK34" s="798">
        <f t="shared" si="32"/>
        <v>42.500501881311997</v>
      </c>
      <c r="GU34" s="1008" t="s">
        <v>410</v>
      </c>
      <c r="GV34" s="889">
        <v>27</v>
      </c>
      <c r="GW34" s="935">
        <f t="shared" si="15"/>
        <v>97.240452243082629</v>
      </c>
      <c r="GX34" s="797">
        <f t="shared" si="16"/>
        <v>12.241571949498034</v>
      </c>
      <c r="GY34" s="797">
        <f t="shared" si="17"/>
        <v>42.791569973021367</v>
      </c>
      <c r="GZ34" s="797">
        <f t="shared" si="18"/>
        <v>70.644402530561578</v>
      </c>
      <c r="HA34" s="936">
        <f t="shared" si="19"/>
        <v>117.854457616503</v>
      </c>
      <c r="JW34" s="1039" t="s">
        <v>487</v>
      </c>
      <c r="JX34" s="1054">
        <f t="shared" si="20"/>
        <v>52</v>
      </c>
      <c r="JY34" s="733">
        <f t="shared" si="5"/>
        <v>0.66568199899998581</v>
      </c>
      <c r="JZ34" s="570">
        <f t="shared" si="6"/>
        <v>-62.84993510000001</v>
      </c>
      <c r="KA34" s="570">
        <f t="shared" si="7"/>
        <v>-6.0684683249999862</v>
      </c>
      <c r="KB34" s="570">
        <f t="shared" si="8"/>
        <v>-4.3351540729999725</v>
      </c>
      <c r="KC34" s="734">
        <f t="shared" si="9"/>
        <v>-35.522310943000001</v>
      </c>
      <c r="KY34" s="704" t="s">
        <v>472</v>
      </c>
      <c r="KZ34" s="316" t="e">
        <f t="shared" si="21"/>
        <v>#N/A</v>
      </c>
      <c r="LA34" s="796"/>
      <c r="LB34" s="797"/>
      <c r="LC34" s="797"/>
      <c r="LD34" s="797"/>
      <c r="LE34" s="798"/>
      <c r="NB34" s="1900" t="s">
        <v>1089</v>
      </c>
      <c r="NC34" s="316">
        <v>25</v>
      </c>
      <c r="ND34" s="1996">
        <f t="shared" si="33"/>
        <v>148.33551693595305</v>
      </c>
      <c r="NE34" s="1997">
        <f t="shared" si="33"/>
        <v>148.33551693595305</v>
      </c>
      <c r="NF34" s="1997">
        <f t="shared" si="33"/>
        <v>148.33551693595314</v>
      </c>
      <c r="NG34" s="1997">
        <f t="shared" si="33"/>
        <v>141.7931376608401</v>
      </c>
      <c r="NH34" s="1998">
        <f t="shared" si="33"/>
        <v>131.01745414888916</v>
      </c>
    </row>
    <row r="35" spans="10:372" ht="51.6" thickBot="1">
      <c r="K35" s="37"/>
      <c r="L35" s="44"/>
      <c r="M35" s="804">
        <f>M36</f>
        <v>44805</v>
      </c>
      <c r="N35" s="785">
        <f>N36</f>
        <v>44896</v>
      </c>
      <c r="O35" s="785">
        <f>O36</f>
        <v>44986</v>
      </c>
      <c r="P35" s="785"/>
      <c r="Q35" s="785">
        <f>Q36</f>
        <v>45078</v>
      </c>
      <c r="R35" s="805">
        <f>R36</f>
        <v>45170</v>
      </c>
      <c r="W35" s="37"/>
      <c r="X35" s="44"/>
      <c r="Y35" s="804">
        <f>Y36</f>
        <v>44805</v>
      </c>
      <c r="Z35" s="785">
        <f>Z36</f>
        <v>44896</v>
      </c>
      <c r="AA35" s="785">
        <f>AA36</f>
        <v>44986</v>
      </c>
      <c r="AB35" s="785">
        <f>AB36</f>
        <v>45078</v>
      </c>
      <c r="AC35" s="805">
        <f>AC36</f>
        <v>45170</v>
      </c>
      <c r="AF35" s="855"/>
      <c r="AG35" s="853" t="s">
        <v>584</v>
      </c>
      <c r="AH35" s="864">
        <v>32</v>
      </c>
      <c r="AI35" s="75">
        <f t="shared" si="23"/>
        <v>-3.0021326184293118</v>
      </c>
      <c r="AJ35" s="75">
        <f t="shared" si="24"/>
        <v>0.24390082812679736</v>
      </c>
      <c r="AK35" s="75">
        <f t="shared" si="25"/>
        <v>-7.5533578460351167</v>
      </c>
      <c r="AL35" s="75">
        <f t="shared" si="26"/>
        <v>-5.8972436450130763</v>
      </c>
      <c r="AM35" s="803">
        <f t="shared" si="27"/>
        <v>-4.2597483814177046</v>
      </c>
      <c r="BD35" s="868" t="s">
        <v>582</v>
      </c>
      <c r="BE35" s="869" t="s">
        <v>583</v>
      </c>
      <c r="BF35" s="316">
        <v>55</v>
      </c>
      <c r="BG35" s="796">
        <f t="shared" si="28"/>
        <v>-62.330397244935696</v>
      </c>
      <c r="BH35" s="797">
        <f t="shared" si="29"/>
        <v>-21.202770954874882</v>
      </c>
      <c r="BI35" s="797">
        <f t="shared" si="30"/>
        <v>-40.378401573258728</v>
      </c>
      <c r="BJ35" s="797">
        <f t="shared" si="31"/>
        <v>-79.721024921761284</v>
      </c>
      <c r="BK35" s="798">
        <f t="shared" si="32"/>
        <v>-47.980317547981947</v>
      </c>
      <c r="GU35" s="1009" t="s">
        <v>411</v>
      </c>
      <c r="GV35" s="889">
        <v>28</v>
      </c>
      <c r="GW35" s="935">
        <f t="shared" si="15"/>
        <v>74.138343724082631</v>
      </c>
      <c r="GX35" s="797">
        <f t="shared" si="16"/>
        <v>7.8814572100000007</v>
      </c>
      <c r="GY35" s="797">
        <f t="shared" si="17"/>
        <v>31.445993041999998</v>
      </c>
      <c r="GZ35" s="797">
        <f t="shared" si="18"/>
        <v>55.794117601000004</v>
      </c>
      <c r="HA35" s="936">
        <f t="shared" si="19"/>
        <v>94.805942346000492</v>
      </c>
      <c r="JW35" s="1044"/>
      <c r="JX35" s="1055"/>
      <c r="JY35" s="728"/>
      <c r="JZ35" s="729"/>
      <c r="KA35" s="729"/>
      <c r="KB35" s="729"/>
      <c r="KC35" s="730"/>
      <c r="KY35" s="1059" t="s">
        <v>485</v>
      </c>
      <c r="KZ35" s="316">
        <f t="shared" si="21"/>
        <v>76</v>
      </c>
      <c r="LA35" s="796">
        <f t="shared" si="10"/>
        <v>289.28999999999996</v>
      </c>
      <c r="LB35" s="797">
        <f t="shared" si="11"/>
        <v>263.64299999999997</v>
      </c>
      <c r="LC35" s="797">
        <f t="shared" si="12"/>
        <v>285.96199999999999</v>
      </c>
      <c r="LD35" s="797">
        <f t="shared" si="13"/>
        <v>302.67899999999997</v>
      </c>
      <c r="LE35" s="798">
        <f t="shared" si="14"/>
        <v>380.92499999999995</v>
      </c>
      <c r="NB35" s="1900" t="s">
        <v>1090</v>
      </c>
      <c r="NC35" s="316">
        <v>26</v>
      </c>
      <c r="ND35" s="1996">
        <f t="shared" si="33"/>
        <v>100.00000000000001</v>
      </c>
      <c r="NE35" s="1997">
        <f t="shared" si="33"/>
        <v>100.00000000000001</v>
      </c>
      <c r="NF35" s="1997">
        <f t="shared" si="33"/>
        <v>100.00000000000007</v>
      </c>
      <c r="NG35" s="1997">
        <f t="shared" si="33"/>
        <v>100.00000000000007</v>
      </c>
      <c r="NH35" s="1998">
        <f t="shared" si="33"/>
        <v>100.00000000000007</v>
      </c>
    </row>
    <row r="36" spans="10:372" ht="51.6" thickBot="1">
      <c r="J36" s="806"/>
      <c r="K36" s="260"/>
      <c r="L36" s="64">
        <v>1</v>
      </c>
      <c r="M36" s="48">
        <f>INDEX($Q$74:$V$276,MAX($V$74:$V$276)-4,$L36)</f>
        <v>44805</v>
      </c>
      <c r="N36" s="49">
        <f>INDEX($Q$74:$V$276,MAX($V$74:$V$276)-3,$L36)</f>
        <v>44896</v>
      </c>
      <c r="O36" s="49">
        <f>INDEX($Q$74:$V$276,MAX($V$74:$V$276)-2,$L36)</f>
        <v>44986</v>
      </c>
      <c r="P36" s="49"/>
      <c r="Q36" s="49">
        <f>INDEX($Q$74:$V$276,MAX($V$74:$V$276)-1,$L36)</f>
        <v>45078</v>
      </c>
      <c r="R36" s="50">
        <f>INDEX($Q$74:$V$276,MAX($V$74:$V$276),$L36)</f>
        <v>45170</v>
      </c>
      <c r="W36" s="260"/>
      <c r="X36" s="64">
        <v>1</v>
      </c>
      <c r="Y36" s="48">
        <f>INDEX($Q$74:$BC$276,MAX($AF$74:$AF$276)-4,$X36)</f>
        <v>44805</v>
      </c>
      <c r="Z36" s="49">
        <f>INDEX($Q$74:$BC$276,MAX($AF$74:$AF$276)-3,$X36)</f>
        <v>44896</v>
      </c>
      <c r="AA36" s="49">
        <f>INDEX($Q$74:$BC$276,MAX($AF$74:$AF$276)-2,$X36)</f>
        <v>44986</v>
      </c>
      <c r="AB36" s="49">
        <f>INDEX($Q$74:$BC$276,MAX($AF$74:$AF$276)-1,$X36)</f>
        <v>45078</v>
      </c>
      <c r="AC36" s="50">
        <f>INDEX($Q$74:$BC$276,MAX($AF$74:$AF$276),$X36)</f>
        <v>45170</v>
      </c>
      <c r="AF36" s="856"/>
      <c r="AG36" s="860" t="s">
        <v>585</v>
      </c>
      <c r="AH36" s="864">
        <v>33</v>
      </c>
      <c r="AI36" s="75">
        <f t="shared" si="23"/>
        <v>-19.580570241719492</v>
      </c>
      <c r="AJ36" s="75">
        <f t="shared" si="24"/>
        <v>7.371965094432479</v>
      </c>
      <c r="AK36" s="75">
        <f t="shared" si="25"/>
        <v>-12.538195926954298</v>
      </c>
      <c r="AL36" s="75">
        <f t="shared" si="26"/>
        <v>-34.994175479167481</v>
      </c>
      <c r="AM36" s="803">
        <f t="shared" si="27"/>
        <v>-21.466920406433154</v>
      </c>
      <c r="BD36" s="869"/>
      <c r="BE36" s="870" t="s">
        <v>584</v>
      </c>
      <c r="BF36" s="316">
        <v>56</v>
      </c>
      <c r="BG36" s="796">
        <f t="shared" si="28"/>
        <v>-6.3145739943572572</v>
      </c>
      <c r="BH36" s="797">
        <f t="shared" si="29"/>
        <v>-0.13215771823750266</v>
      </c>
      <c r="BI36" s="797">
        <f t="shared" si="30"/>
        <v>-37.68662475617942</v>
      </c>
      <c r="BJ36" s="797">
        <f t="shared" si="31"/>
        <v>-17.137244482773013</v>
      </c>
      <c r="BK36" s="798">
        <f t="shared" si="32"/>
        <v>-16.992410178139643</v>
      </c>
      <c r="GU36" s="1010" t="s">
        <v>412</v>
      </c>
      <c r="GV36" s="889">
        <v>29</v>
      </c>
      <c r="GW36" s="935">
        <f t="shared" si="15"/>
        <v>23.102108519000002</v>
      </c>
      <c r="GX36" s="797">
        <f t="shared" si="16"/>
        <v>4.3601147394980355</v>
      </c>
      <c r="GY36" s="797">
        <f t="shared" si="17"/>
        <v>11.345576931021364</v>
      </c>
      <c r="GZ36" s="797">
        <f t="shared" si="18"/>
        <v>14.850284929561578</v>
      </c>
      <c r="HA36" s="936">
        <f t="shared" si="19"/>
        <v>23.048515270502502</v>
      </c>
      <c r="KY36" s="704" t="s">
        <v>472</v>
      </c>
      <c r="KZ36" s="91"/>
      <c r="LA36" s="796"/>
      <c r="LB36" s="797"/>
      <c r="LC36" s="797"/>
      <c r="LD36" s="797"/>
      <c r="LE36" s="798"/>
      <c r="NB36" s="1900" t="s">
        <v>1091</v>
      </c>
      <c r="NC36" s="316">
        <v>27</v>
      </c>
      <c r="ND36" s="1996">
        <f t="shared" si="33"/>
        <v>100.00000000000004</v>
      </c>
      <c r="NE36" s="1997">
        <f t="shared" si="33"/>
        <v>100.00000000000004</v>
      </c>
      <c r="NF36" s="1997">
        <f t="shared" si="33"/>
        <v>100.00000000000006</v>
      </c>
      <c r="NG36" s="1997">
        <f t="shared" si="33"/>
        <v>100.00000000000006</v>
      </c>
      <c r="NH36" s="1998">
        <f t="shared" si="33"/>
        <v>100.00000000000006</v>
      </c>
    </row>
    <row r="37" spans="10:372" ht="34.5" thickBot="1">
      <c r="K37" s="791" t="s">
        <v>87</v>
      </c>
      <c r="L37" s="792">
        <v>2</v>
      </c>
      <c r="M37" s="55">
        <f>INDEX($Q$74:$V$276,MAX($V$74:$V$276)-4,$L37)</f>
        <v>13.209701000000001</v>
      </c>
      <c r="N37" s="56">
        <f>INDEX($Q$74:$V$276,MAX($V$74:$V$276)-3,$L37)</f>
        <v>14.024369</v>
      </c>
      <c r="O37" s="56">
        <f>INDEX($Q$74:$V$276,MAX($V$74:$V$276)-2,$L37)</f>
        <v>13.934317</v>
      </c>
      <c r="P37" s="56"/>
      <c r="Q37" s="56">
        <f>INDEX($Q$74:$V$276,MAX($V$74:$V$276)-1,$L37)</f>
        <v>13.592885999999998</v>
      </c>
      <c r="R37" s="57">
        <f>INDEX($Q$74:$V$276,MAX($V$74:$V$276),$L37)</f>
        <v>14.420201</v>
      </c>
      <c r="W37" s="791" t="s">
        <v>550</v>
      </c>
      <c r="X37" s="792">
        <v>7</v>
      </c>
      <c r="Y37" s="55">
        <f t="shared" ref="Y37:Y45" si="34">INDEX($Q$74:$BC$276,MAX($AF$74:$AF$276)-4,$X37)</f>
        <v>149.79762700000001</v>
      </c>
      <c r="Z37" s="56">
        <f t="shared" ref="Z37:Z45" si="35">INDEX($Q$74:$BC$276,MAX($AF$74:$AF$276)-3,$X37)</f>
        <v>2561.8968340000001</v>
      </c>
      <c r="AA37" s="56">
        <f t="shared" ref="AA37:AA45" si="36">INDEX($Q$74:$BC$276,MAX($AF$74:$AF$276)-2,$X37)</f>
        <v>3975.101424</v>
      </c>
      <c r="AB37" s="56">
        <f t="shared" ref="AB37:AB45" si="37">INDEX($Q$74:$BC$276,MAX($AF$74:$AF$276)-1,$X37)</f>
        <v>639.29997100000003</v>
      </c>
      <c r="AC37" s="57">
        <f t="shared" ref="AC37:AC45" si="38">INDEX($Q$74:$BC$276,MAX($AF$74:$AF$276),$X37)</f>
        <v>639.29997100000003</v>
      </c>
      <c r="AF37" s="855"/>
      <c r="AG37" s="853" t="s">
        <v>566</v>
      </c>
      <c r="AH37" s="864">
        <v>34</v>
      </c>
      <c r="AI37" s="75">
        <f t="shared" si="23"/>
        <v>28.171446952699036</v>
      </c>
      <c r="AJ37" s="75">
        <f t="shared" si="24"/>
        <v>53.14614940826425</v>
      </c>
      <c r="AK37" s="75">
        <f t="shared" si="25"/>
        <v>17.7745059198135</v>
      </c>
      <c r="AL37" s="75">
        <f t="shared" si="26"/>
        <v>10.740326163737244</v>
      </c>
      <c r="AM37" s="803">
        <f t="shared" si="27"/>
        <v>16.298481424129619</v>
      </c>
      <c r="BD37" s="871"/>
      <c r="BE37" s="871" t="s">
        <v>585</v>
      </c>
      <c r="BF37" s="316">
        <v>57</v>
      </c>
      <c r="BG37" s="796">
        <f t="shared" si="28"/>
        <v>-34.172325797699607</v>
      </c>
      <c r="BH37" s="797">
        <f t="shared" si="29"/>
        <v>-2.1618649776818124</v>
      </c>
      <c r="BI37" s="797">
        <f t="shared" si="30"/>
        <v>-22.772447691548937</v>
      </c>
      <c r="BJ37" s="797">
        <f t="shared" si="31"/>
        <v>-40.79267919930664</v>
      </c>
      <c r="BK37" s="798">
        <f t="shared" si="32"/>
        <v>-50.617622812829637</v>
      </c>
      <c r="GU37" s="1012" t="s">
        <v>413</v>
      </c>
      <c r="GV37" s="889">
        <v>30</v>
      </c>
      <c r="GW37" s="935">
        <f t="shared" si="15"/>
        <v>384.79217255700001</v>
      </c>
      <c r="GX37" s="797">
        <f t="shared" si="16"/>
        <v>95.116076122999999</v>
      </c>
      <c r="GY37" s="797">
        <f t="shared" si="17"/>
        <v>276.7345109094</v>
      </c>
      <c r="GZ37" s="797">
        <f t="shared" si="18"/>
        <v>442.51348154890002</v>
      </c>
      <c r="HA37" s="936">
        <f t="shared" si="19"/>
        <v>486.46140492914992</v>
      </c>
      <c r="KY37" s="1059" t="s">
        <v>506</v>
      </c>
      <c r="KZ37" s="91">
        <f t="shared" si="21"/>
        <v>77</v>
      </c>
      <c r="LA37" s="796">
        <f t="shared" si="10"/>
        <v>0</v>
      </c>
      <c r="LB37" s="797">
        <f t="shared" si="11"/>
        <v>0</v>
      </c>
      <c r="LC37" s="797">
        <f t="shared" si="12"/>
        <v>0</v>
      </c>
      <c r="LD37" s="797">
        <f t="shared" si="13"/>
        <v>0</v>
      </c>
      <c r="LE37" s="798">
        <f t="shared" si="14"/>
        <v>0</v>
      </c>
      <c r="NB37" s="1901" t="s">
        <v>1092</v>
      </c>
      <c r="NC37" s="1902">
        <v>28</v>
      </c>
      <c r="ND37" s="1903">
        <f t="shared" si="33"/>
        <v>142.41359103794704</v>
      </c>
      <c r="NE37" s="1904">
        <f t="shared" si="33"/>
        <v>140.06324054375355</v>
      </c>
      <c r="NF37" s="1904">
        <f t="shared" si="33"/>
        <v>145.21060880695899</v>
      </c>
      <c r="NG37" s="1904">
        <f t="shared" si="33"/>
        <v>149.83441534500247</v>
      </c>
      <c r="NH37" s="1905">
        <f t="shared" si="33"/>
        <v>160.21520815883616</v>
      </c>
    </row>
    <row r="38" spans="10:372" ht="12.6">
      <c r="K38" s="91" t="s">
        <v>544</v>
      </c>
      <c r="L38" s="316">
        <v>3</v>
      </c>
      <c r="M38" s="802">
        <f>INDEX($Q$74:$V$276,MAX($V$74:$V$276)-4,$L38)</f>
        <v>0</v>
      </c>
      <c r="N38" s="75">
        <f>INDEX($Q$74:$V$276,MAX($V$74:$V$276)-3,$L38)</f>
        <v>53.220118014000001</v>
      </c>
      <c r="O38" s="75">
        <f>INDEX($Q$74:$V$276,MAX($V$74:$V$276)-2,$L38)</f>
        <v>21.169567752216768</v>
      </c>
      <c r="P38" s="1988"/>
      <c r="Q38" s="75">
        <f>INDEX($Q$74:$V$276,MAX($V$74:$V$276)-1,$L38)</f>
        <v>2.2853293800575729</v>
      </c>
      <c r="R38" s="803">
        <f>INDEX($Q$74:$V$276,MAX($V$74:$V$276),$L38)</f>
        <v>0</v>
      </c>
      <c r="W38" s="91" t="s">
        <v>551</v>
      </c>
      <c r="X38" s="316">
        <v>8</v>
      </c>
      <c r="Y38" s="802">
        <f t="shared" si="34"/>
        <v>149.79762700000001</v>
      </c>
      <c r="Z38" s="75">
        <f t="shared" si="35"/>
        <v>2561.8968340000001</v>
      </c>
      <c r="AA38" s="75">
        <f t="shared" si="36"/>
        <v>3975.101424</v>
      </c>
      <c r="AB38" s="75">
        <f t="shared" si="37"/>
        <v>639.29997100000003</v>
      </c>
      <c r="AC38" s="803">
        <f t="shared" si="38"/>
        <v>639.29997100000003</v>
      </c>
      <c r="AF38" s="852" t="s">
        <v>586</v>
      </c>
      <c r="AG38" s="854" t="s">
        <v>568</v>
      </c>
      <c r="AH38" s="864">
        <v>35</v>
      </c>
      <c r="AI38" s="75">
        <f t="shared" si="23"/>
        <v>37.322865172357353</v>
      </c>
      <c r="AJ38" s="75">
        <f t="shared" si="24"/>
        <v>8.3131722104982018</v>
      </c>
      <c r="AK38" s="75">
        <f t="shared" si="25"/>
        <v>14.526559621559773</v>
      </c>
      <c r="AL38" s="75">
        <f t="shared" si="26"/>
        <v>18.523397160063347</v>
      </c>
      <c r="AM38" s="803">
        <f t="shared" si="27"/>
        <v>40.505539069428124</v>
      </c>
      <c r="BD38" s="872"/>
      <c r="BE38" s="870" t="s">
        <v>566</v>
      </c>
      <c r="BF38" s="316">
        <v>58</v>
      </c>
      <c r="BG38" s="796">
        <f t="shared" si="28"/>
        <v>63.316621679728932</v>
      </c>
      <c r="BH38" s="797">
        <f t="shared" si="29"/>
        <v>49.095382533960802</v>
      </c>
      <c r="BI38" s="797">
        <f t="shared" si="30"/>
        <v>-69.519225188596067</v>
      </c>
      <c r="BJ38" s="797">
        <f t="shared" si="31"/>
        <v>25.810754117566731</v>
      </c>
      <c r="BK38" s="798">
        <f t="shared" si="32"/>
        <v>-5.3016429489891834</v>
      </c>
      <c r="CD38" t="s">
        <v>607</v>
      </c>
      <c r="CF38" s="806"/>
      <c r="CL38" s="68" t="s">
        <v>629</v>
      </c>
      <c r="CN38" s="806"/>
      <c r="CU38" s="68" t="s">
        <v>630</v>
      </c>
      <c r="CW38" s="806"/>
      <c r="DE38" t="s">
        <v>681</v>
      </c>
      <c r="DG38" s="806"/>
      <c r="DM38" s="86" t="s">
        <v>682</v>
      </c>
      <c r="DO38" s="806"/>
      <c r="DU38" s="86" t="s">
        <v>683</v>
      </c>
      <c r="DW38" s="806"/>
      <c r="EC38" s="86" t="s">
        <v>686</v>
      </c>
      <c r="EE38" s="806"/>
      <c r="EL38" s="86" t="s">
        <v>688</v>
      </c>
      <c r="EN38" s="806"/>
      <c r="EU38" s="68" t="s">
        <v>689</v>
      </c>
      <c r="EW38" s="806"/>
      <c r="FI38" s="86" t="s">
        <v>724</v>
      </c>
      <c r="FK38" s="806"/>
      <c r="FQ38" s="86" t="s">
        <v>725</v>
      </c>
      <c r="FS38" s="806"/>
      <c r="FY38" s="86" t="s">
        <v>726</v>
      </c>
      <c r="GA38" s="806"/>
      <c r="GM38" s="86" t="s">
        <v>729</v>
      </c>
      <c r="GO38" s="806"/>
      <c r="GU38" s="1010" t="s">
        <v>414</v>
      </c>
      <c r="GV38" s="889">
        <v>31</v>
      </c>
      <c r="GW38" s="935">
        <f t="shared" si="15"/>
        <v>0</v>
      </c>
      <c r="GX38" s="797">
        <f t="shared" si="16"/>
        <v>0</v>
      </c>
      <c r="GY38" s="797">
        <f t="shared" si="17"/>
        <v>5.5562104088000002</v>
      </c>
      <c r="GZ38" s="797">
        <f t="shared" si="18"/>
        <v>8.0057770638000001</v>
      </c>
      <c r="HA38" s="936">
        <f t="shared" si="19"/>
        <v>10.786799131299999</v>
      </c>
      <c r="KY38" s="704" t="s">
        <v>472</v>
      </c>
      <c r="KZ38" s="91"/>
      <c r="LA38" s="796"/>
      <c r="LB38" s="797"/>
      <c r="LC38" s="797"/>
      <c r="LD38" s="797"/>
      <c r="LE38" s="798"/>
    </row>
    <row r="39" spans="10:372">
      <c r="K39" s="91" t="s">
        <v>546</v>
      </c>
      <c r="L39" s="316">
        <v>4</v>
      </c>
      <c r="M39" s="802">
        <f>INDEX($Q$74:$V$276,MAX($V$74:$V$276)-4,$L39)</f>
        <v>0</v>
      </c>
      <c r="N39" s="75">
        <f>INDEX($Q$74:$V$276,MAX($V$74:$V$276)-3,$L39)</f>
        <v>0</v>
      </c>
      <c r="O39" s="75">
        <f>INDEX($Q$74:$V$276,MAX($V$74:$V$276)-2,$L39)</f>
        <v>0</v>
      </c>
      <c r="P39" s="1988"/>
      <c r="Q39" s="75">
        <f>INDEX($Q$74:$V$276,MAX($V$74:$V$276)-1,$L39)</f>
        <v>0</v>
      </c>
      <c r="R39" s="803">
        <f>INDEX($Q$74:$V$276,MAX($V$74:$V$276),$L39)</f>
        <v>0</v>
      </c>
      <c r="W39" s="91" t="s">
        <v>552</v>
      </c>
      <c r="X39" s="316">
        <v>9</v>
      </c>
      <c r="Y39" s="802">
        <f t="shared" si="34"/>
        <v>4987.5957364832575</v>
      </c>
      <c r="Z39" s="75">
        <f t="shared" si="35"/>
        <v>10154.429253333119</v>
      </c>
      <c r="AA39" s="75">
        <f t="shared" si="36"/>
        <v>5665.7625325759627</v>
      </c>
      <c r="AB39" s="75">
        <f t="shared" si="37"/>
        <v>6419.4862007637757</v>
      </c>
      <c r="AC39" s="803">
        <f t="shared" si="38"/>
        <v>7809.114187805807</v>
      </c>
      <c r="AF39" s="855" t="s">
        <v>587</v>
      </c>
      <c r="AG39" s="853" t="s">
        <v>570</v>
      </c>
      <c r="AH39" s="864">
        <v>36</v>
      </c>
      <c r="AI39" s="75">
        <f t="shared" si="23"/>
        <v>11.698293255691839</v>
      </c>
      <c r="AJ39" s="75">
        <f t="shared" si="24"/>
        <v>-41.530419650395352</v>
      </c>
      <c r="AK39" s="75">
        <f t="shared" si="25"/>
        <v>-24.654707509580103</v>
      </c>
      <c r="AL39" s="75">
        <f t="shared" si="26"/>
        <v>17.079262780838356</v>
      </c>
      <c r="AM39" s="803">
        <f t="shared" si="27"/>
        <v>-0.34816662942402843</v>
      </c>
      <c r="BD39" s="868" t="s">
        <v>586</v>
      </c>
      <c r="BE39" s="869" t="s">
        <v>568</v>
      </c>
      <c r="BF39" s="316">
        <v>59</v>
      </c>
      <c r="BG39" s="796">
        <f t="shared" si="28"/>
        <v>78.460250387708157</v>
      </c>
      <c r="BH39" s="797">
        <f t="shared" si="29"/>
        <v>-56.049330040614755</v>
      </c>
      <c r="BI39" s="797">
        <f t="shared" si="30"/>
        <v>-48.057623329322908</v>
      </c>
      <c r="BJ39" s="797">
        <f t="shared" si="31"/>
        <v>37.463365681664037</v>
      </c>
      <c r="BK39" s="798">
        <f t="shared" si="32"/>
        <v>55.175369509788325</v>
      </c>
      <c r="CF39" s="212">
        <v>4</v>
      </c>
      <c r="CG39" s="212">
        <v>3</v>
      </c>
      <c r="CH39" s="212">
        <v>2</v>
      </c>
      <c r="CI39" s="212">
        <v>1</v>
      </c>
      <c r="CJ39" s="807">
        <v>0</v>
      </c>
      <c r="CN39" s="212">
        <v>4</v>
      </c>
      <c r="CO39" s="212">
        <v>3</v>
      </c>
      <c r="CP39" s="212">
        <v>2</v>
      </c>
      <c r="CQ39" s="212">
        <v>1</v>
      </c>
      <c r="CR39" s="807">
        <v>0</v>
      </c>
      <c r="CW39" s="212">
        <v>4</v>
      </c>
      <c r="CX39" s="212">
        <v>3</v>
      </c>
      <c r="CY39" s="212">
        <v>2</v>
      </c>
      <c r="CZ39" s="212">
        <v>1</v>
      </c>
      <c r="DA39" s="807">
        <v>0</v>
      </c>
      <c r="DG39" s="212">
        <v>4</v>
      </c>
      <c r="DH39" s="212">
        <v>3</v>
      </c>
      <c r="DI39" s="212">
        <v>2</v>
      </c>
      <c r="DJ39" s="212">
        <v>1</v>
      </c>
      <c r="DK39" s="807">
        <v>0</v>
      </c>
      <c r="DO39" s="212">
        <v>4</v>
      </c>
      <c r="DP39" s="212">
        <v>3</v>
      </c>
      <c r="DQ39" s="212">
        <v>2</v>
      </c>
      <c r="DR39" s="212">
        <v>1</v>
      </c>
      <c r="DS39" s="807">
        <v>0</v>
      </c>
      <c r="DW39" s="212">
        <v>4</v>
      </c>
      <c r="DX39" s="212">
        <v>3</v>
      </c>
      <c r="DY39" s="212">
        <v>2</v>
      </c>
      <c r="DZ39" s="212">
        <v>1</v>
      </c>
      <c r="EA39" s="807">
        <v>0</v>
      </c>
      <c r="EE39" s="212">
        <v>4</v>
      </c>
      <c r="EF39" s="212">
        <v>3</v>
      </c>
      <c r="EG39" s="212">
        <v>2</v>
      </c>
      <c r="EH39" s="212">
        <v>1</v>
      </c>
      <c r="EI39" s="807">
        <v>0</v>
      </c>
      <c r="EN39" s="212">
        <v>4</v>
      </c>
      <c r="EO39" s="212">
        <v>3</v>
      </c>
      <c r="EP39" s="212">
        <v>2</v>
      </c>
      <c r="EQ39" s="212">
        <v>1</v>
      </c>
      <c r="ER39" s="807">
        <v>0</v>
      </c>
      <c r="EW39" s="212">
        <v>4</v>
      </c>
      <c r="EX39" s="212">
        <v>3</v>
      </c>
      <c r="EY39" s="212">
        <v>2</v>
      </c>
      <c r="EZ39" s="212">
        <v>1</v>
      </c>
      <c r="FA39" s="807">
        <v>0</v>
      </c>
      <c r="FK39" s="212">
        <v>4</v>
      </c>
      <c r="FL39" s="212">
        <v>3</v>
      </c>
      <c r="FM39" s="212">
        <v>2</v>
      </c>
      <c r="FN39" s="212">
        <v>1</v>
      </c>
      <c r="FO39" s="807">
        <v>0</v>
      </c>
      <c r="FS39" s="212">
        <v>4</v>
      </c>
      <c r="FT39" s="212">
        <v>3</v>
      </c>
      <c r="FU39" s="212">
        <v>2</v>
      </c>
      <c r="FV39" s="212">
        <v>1</v>
      </c>
      <c r="FW39" s="807">
        <v>0</v>
      </c>
      <c r="GA39" s="212">
        <v>4</v>
      </c>
      <c r="GB39" s="212">
        <v>3</v>
      </c>
      <c r="GC39" s="212">
        <v>2</v>
      </c>
      <c r="GD39" s="212">
        <v>1</v>
      </c>
      <c r="GE39" s="807">
        <v>0</v>
      </c>
      <c r="GO39" s="212">
        <v>4</v>
      </c>
      <c r="GP39" s="212">
        <v>3</v>
      </c>
      <c r="GQ39" s="212">
        <v>2</v>
      </c>
      <c r="GR39" s="212">
        <v>1</v>
      </c>
      <c r="GS39" s="807">
        <v>0</v>
      </c>
      <c r="GU39" s="1009" t="s">
        <v>415</v>
      </c>
      <c r="GV39" s="889">
        <v>32</v>
      </c>
      <c r="GW39" s="935">
        <f t="shared" si="15"/>
        <v>104.39866901800001</v>
      </c>
      <c r="GX39" s="797">
        <f t="shared" si="16"/>
        <v>38.523457163000003</v>
      </c>
      <c r="GY39" s="797">
        <f t="shared" si="17"/>
        <v>57.012518387</v>
      </c>
      <c r="GZ39" s="797">
        <f t="shared" si="18"/>
        <v>94.53412445299999</v>
      </c>
      <c r="HA39" s="936">
        <f t="shared" si="19"/>
        <v>109.97057084000001</v>
      </c>
      <c r="KY39" s="1059" t="s">
        <v>500</v>
      </c>
      <c r="KZ39" s="91">
        <f t="shared" si="21"/>
        <v>78</v>
      </c>
      <c r="LA39" s="796">
        <f t="shared" si="10"/>
        <v>59.491999999999997</v>
      </c>
      <c r="LB39" s="797">
        <f t="shared" si="11"/>
        <v>45.588999999999992</v>
      </c>
      <c r="LC39" s="797">
        <f t="shared" si="12"/>
        <v>101.01599999999999</v>
      </c>
      <c r="LD39" s="797">
        <f t="shared" si="13"/>
        <v>44.905000000000001</v>
      </c>
      <c r="LE39" s="798">
        <f t="shared" si="14"/>
        <v>73.088999999999999</v>
      </c>
    </row>
    <row r="40" spans="10:372" ht="12.6" thickBot="1">
      <c r="K40" s="418" t="s">
        <v>547</v>
      </c>
      <c r="L40" s="317">
        <v>5</v>
      </c>
      <c r="M40" s="273">
        <f>INDEX($Q$74:$V$276,MAX($V$74:$V$276)-4,$L40)</f>
        <v>70.451400562607674</v>
      </c>
      <c r="N40" s="264">
        <f>INDEX($Q$74:$V$276,MAX($V$74:$V$276)-3,$L40)</f>
        <v>72.005413000456358</v>
      </c>
      <c r="O40" s="264">
        <f>INDEX($Q$74:$V$276,MAX($V$74:$V$276)-2,$L40)</f>
        <v>67.075686458922945</v>
      </c>
      <c r="P40" s="264"/>
      <c r="Q40" s="264">
        <f>INDEX($Q$74:$V$276,MAX($V$74:$V$276)-1,$L40)</f>
        <v>69.505189889514909</v>
      </c>
      <c r="R40" s="265">
        <f>INDEX($Q$74:$V$276,MAX($V$74:$V$276),$L40)</f>
        <v>59.435713606733835</v>
      </c>
      <c r="W40" s="91" t="s">
        <v>554</v>
      </c>
      <c r="X40" s="316">
        <v>10</v>
      </c>
      <c r="Y40" s="802">
        <f t="shared" si="34"/>
        <v>1688.4145681589944</v>
      </c>
      <c r="Z40" s="75">
        <f t="shared" si="35"/>
        <v>1724.7269363061728</v>
      </c>
      <c r="AA40" s="75">
        <f t="shared" si="36"/>
        <v>2184.881026506524</v>
      </c>
      <c r="AB40" s="75">
        <f t="shared" si="37"/>
        <v>2231.8707917504935</v>
      </c>
      <c r="AC40" s="803">
        <f t="shared" si="38"/>
        <v>2912.0540853555717</v>
      </c>
      <c r="AF40" s="855"/>
      <c r="AG40" s="854" t="s">
        <v>572</v>
      </c>
      <c r="AH40" s="864">
        <v>37</v>
      </c>
      <c r="AI40" s="75">
        <f t="shared" si="23"/>
        <v>3.3010855952181499</v>
      </c>
      <c r="AJ40" s="75">
        <f t="shared" si="24"/>
        <v>1.203458803401247</v>
      </c>
      <c r="AK40" s="75">
        <f t="shared" si="25"/>
        <v>2.6242689804155366</v>
      </c>
      <c r="AL40" s="75">
        <f t="shared" si="26"/>
        <v>-2.8859740533256693</v>
      </c>
      <c r="AM40" s="803">
        <f t="shared" si="27"/>
        <v>-0.98784011051793907</v>
      </c>
      <c r="BD40" s="869" t="s">
        <v>587</v>
      </c>
      <c r="BE40" s="870" t="s">
        <v>570</v>
      </c>
      <c r="BF40" s="316">
        <v>60</v>
      </c>
      <c r="BG40" s="796">
        <f t="shared" si="28"/>
        <v>37.385671303197697</v>
      </c>
      <c r="BH40" s="797">
        <f t="shared" si="29"/>
        <v>-64.352559948031299</v>
      </c>
      <c r="BI40" s="797">
        <f t="shared" si="30"/>
        <v>-18.777418831141702</v>
      </c>
      <c r="BJ40" s="797">
        <f t="shared" si="31"/>
        <v>59.019500006524808</v>
      </c>
      <c r="BK40" s="798">
        <f t="shared" si="32"/>
        <v>41.770391214622059</v>
      </c>
      <c r="CF40" s="808" t="str">
        <f>CONCATENATE(IF(INDEX($Q$74:$CG$276,MAX($CG$74:$CG$276)-CF39,$CE43)-DATE(YEAR(CF43)-1,12,31)&lt;91,1,IF(INDEX($Q$74:$CG$276,MAX($CG$74:$CG$276)-CF39,$CE43)-DATE(YEAR(CF43)-1,12,31)&lt;182,2,IF(INDEX($Q$74:$CG$276,MAX($CG$74:$CG$276)-CF39,$CE43)-DATE(YEAR(CF43)-1,12,31)&lt;274,3,4))),"T",YEAR(INDEX($Q$74:$CG$276,MAX($CG$74:$CG$276)-CF39,$CE43)))</f>
        <v>3T2022</v>
      </c>
      <c r="CG40" s="808" t="str">
        <f>CONCATENATE(IF(INDEX($Q$74:$CG$276,MAX($CG$74:$CG$276)-CG39,$CE43)-DATE(YEAR(CG43)-1,12,31)&lt;91,1,IF(INDEX($Q$74:$CG$276,MAX($CG$74:$CG$276)-CG39,$CE43)-DATE(YEAR(CG43)-1,12,31)&lt;182,2,IF(INDEX($Q$74:$CG$276,MAX($CG$74:$CG$276)-CG39,$CE43)-DATE(YEAR(CG43)-1,12,31)&lt;274,3,4))),"T",YEAR(INDEX($Q$74:$CG$276,MAX($CG$74:$CG$276)-CG39,$CE43)))</f>
        <v>4T2022</v>
      </c>
      <c r="CH40" s="808" t="str">
        <f>CONCATENATE(IF(INDEX($Q$74:$CG$276,MAX($CG$74:$CG$276)-CH39,$CE43)-DATE(YEAR(CH43)-1,12,31)&lt;91,1,IF(INDEX($Q$74:$CG$276,MAX($CG$74:$CG$276)-CH39,$CE43)-DATE(YEAR(CH43)-1,12,31)&lt;182,2,IF(INDEX($Q$74:$CG$276,MAX($CG$74:$CG$276)-CH39,$CE43)-DATE(YEAR(CH43)-1,12,31)&lt;274,3,4))),"T",YEAR(INDEX($Q$74:$CG$276,MAX($CG$74:$CG$276)-CH39,$CE43)))</f>
        <v>1T2023</v>
      </c>
      <c r="CI40" s="808" t="str">
        <f>CONCATENATE(IF(INDEX($Q$74:$CG$276,MAX($CG$74:$CG$276)-CI39,$CE43)-DATE(YEAR(CI43)-1,12,31)&lt;91,1,IF(INDEX($Q$74:$CG$276,MAX($CG$74:$CG$276)-CI39,$CE43)-DATE(YEAR(CI43)-1,12,31)&lt;182,2,IF(INDEX($Q$74:$CG$276,MAX($CG$74:$CG$276)-CI39,$CE43)-DATE(YEAR(CI43)-1,12,31)&lt;274,3,4))),"T",YEAR(INDEX($Q$74:$CG$276,MAX($CG$74:$CG$276)-CI39,$CE43)))</f>
        <v>2T2023</v>
      </c>
      <c r="CJ40" s="808" t="str">
        <f>CONCATENATE(IF(INDEX($Q$74:$CG$276,MAX($CG$74:$CG$276)-CJ39,$CE43)-DATE(YEAR(CJ43)-1,12,31)&lt;91,1,IF(INDEX($Q$74:$CG$276,MAX($CG$74:$CG$276)-CJ39,$CE43)-DATE(YEAR(CJ43)-1,12,31)&lt;182,2,IF(INDEX($Q$74:$CG$276,MAX($CG$74:$CG$276)-CJ39,$CE43)-DATE(YEAR(CJ43)-1,12,31)&lt;274,3,4))),"T",YEAR(INDEX($Q$74:$CG$276,MAX($CG$74:$CG$276)-CJ39,$CE43)))</f>
        <v>3T2023</v>
      </c>
      <c r="CN40" s="808" t="str">
        <f>CONCATENATE(IF(INDEX($Q$74:$DC$276,MAX($CT$74:$CT$276)-CN39,$CM43)-DATE(YEAR(CN43)-1,12,31)&lt;91,1,IF(INDEX($Q$74:$DC$276,MAX($CT$74:$CT$276)-CN39,$CM43)-DATE(YEAR(CN43)-1,12,31)&lt;182,2,IF(INDEX($Q$74:$DC$276,MAX($CT$74:$CT$276)-CN39,$CM43)-DATE(YEAR(CN43)-1,12,31)&lt;274,3,4))),"T",YEAR(INDEX($Q$74:$DC$276,MAX($CT$74:$CT$276)-CN39,$CM43)))</f>
        <v>1T2022</v>
      </c>
      <c r="CO40" s="808" t="str">
        <f>CONCATENATE(IF(INDEX($Q$74:$DC$276,MAX($CT$74:$CT$276)-CO39,$CM43)-DATE(YEAR(CO43)-1,12,31)&lt;91,1,IF(INDEX($Q$74:$DC$276,MAX($CT$74:$CT$276)-CO39,$CM43)-DATE(YEAR(CO43)-1,12,31)&lt;182,2,IF(INDEX($Q$74:$DC$276,MAX($CT$74:$CT$276)-CO39,$CM43)-DATE(YEAR(CO43)-1,12,31)&lt;274,3,4))),"T",YEAR(INDEX($Q$74:$DC$276,MAX($CT$74:$CT$276)-CO39,$CM43)))</f>
        <v>2T2022</v>
      </c>
      <c r="CP40" s="808" t="str">
        <f>CONCATENATE(IF(INDEX($Q$74:$DC$276,MAX($CT$74:$CT$276)-CP39,$CM43)-DATE(YEAR(CP43)-1,12,31)&lt;91,1,IF(INDEX($Q$74:$DC$276,MAX($CT$74:$CT$276)-CP39,$CM43)-DATE(YEAR(CP43)-1,12,31)&lt;182,2,IF(INDEX($Q$74:$DC$276,MAX($CT$74:$CT$276)-CP39,$CM43)-DATE(YEAR(CP43)-1,12,31)&lt;274,3,4))),"T",YEAR(INDEX($Q$74:$DC$276,MAX($CT$74:$CT$276)-CP39,$CM43)))</f>
        <v>3T2022</v>
      </c>
      <c r="CQ40" s="808" t="str">
        <f>CONCATENATE(IF(INDEX($Q$74:$DC$276,MAX($CT$74:$CT$276)-CQ39,$CM43)-DATE(YEAR(CQ43)-1,12,31)&lt;91,1,IF(INDEX($Q$74:$DC$276,MAX($CT$74:$CT$276)-CQ39,$CM43)-DATE(YEAR(CQ43)-1,12,31)&lt;182,2,IF(INDEX($Q$74:$DC$276,MAX($CT$74:$CT$276)-CQ39,$CM43)-DATE(YEAR(CQ43)-1,12,31)&lt;274,3,4))),"T",YEAR(INDEX($Q$74:$DC$276,MAX($CT$74:$CT$276)-CQ39,$CM43)))</f>
        <v>4T2022</v>
      </c>
      <c r="CR40" s="808" t="str">
        <f>CONCATENATE(IF(INDEX($Q$74:$DC$276,MAX($CT$74:$CT$276)-CR39,$CM43)-DATE(YEAR(CR43)-1,12,31)&lt;91,1,IF(INDEX($Q$74:$DC$276,MAX($CT$74:$CT$276)-CR39,$CM43)-DATE(YEAR(CR43)-1,12,31)&lt;182,2,IF(INDEX($Q$74:$DC$276,MAX($CT$74:$CT$276)-CR39,$CM43)-DATE(YEAR(CR43)-1,12,31)&lt;274,3,4))),"T",YEAR(INDEX($Q$74:$DC$276,MAX($CT$74:$CT$276)-CR39,$CM43)))</f>
        <v>1T2023</v>
      </c>
      <c r="CW40" s="808" t="str">
        <f>CONCATENATE(IF(INDEX($Q$74:$DC$276,MAX($DC$74:$DC$276)-CW39,$CV43)-DATE(YEAR(CW43)-1,12,31)&lt;91,1,IF(INDEX($Q$74:$DC$276,MAX($DC$74:$DC$276)-CW39,$CV43)-DATE(YEAR(CW43)-1,12,31)&lt;182,2,IF(INDEX($Q$74:$DC$276,MAX($DC$74:$DC$276)-CW39,$CV43)-DATE(YEAR(CW43)-1,12,31)&lt;274,3,4))),"T",YEAR(INDEX($Q$74:$DC$276,MAX($DC$74:$DC$276)-CW39,$CV43)))</f>
        <v>1T2022</v>
      </c>
      <c r="CX40" s="808" t="str">
        <f>CONCATENATE(IF(INDEX($Q$74:$DC$276,MAX($DC$74:$DC$276)-CX39,$CV43)-DATE(YEAR(CX43)-1,12,31)&lt;91,1,IF(INDEX($Q$74:$DC$276,MAX($DC$74:$DC$276)-CX39,$CV43)-DATE(YEAR(CX43)-1,12,31)&lt;182,2,IF(INDEX($Q$74:$DC$276,MAX($DC$74:$DC$276)-CX39,$CV43)-DATE(YEAR(CX43)-1,12,31)&lt;274,3,4))),"T",YEAR(INDEX($Q$74:$DC$276,MAX($DC$74:$DC$276)-CX39,$CV43)))</f>
        <v>2T2022</v>
      </c>
      <c r="CY40" s="808" t="str">
        <f>CONCATENATE(IF(INDEX($Q$74:$DC$276,MAX($DC$74:$DC$276)-CY39,$CV43)-DATE(YEAR(CY43)-1,12,31)&lt;91,1,IF(INDEX($Q$74:$DC$276,MAX($DC$74:$DC$276)-CY39,$CV43)-DATE(YEAR(CY43)-1,12,31)&lt;182,2,IF(INDEX($Q$74:$DC$276,MAX($DC$74:$DC$276)-CY39,$CV43)-DATE(YEAR(CY43)-1,12,31)&lt;274,3,4))),"T",YEAR(INDEX($Q$74:$DC$276,MAX($DC$74:$DC$276)-CY39,$CV43)))</f>
        <v>3T2022</v>
      </c>
      <c r="CZ40" s="808" t="str">
        <f>CONCATENATE(IF(INDEX($Q$74:$DC$276,MAX($DC$74:$DC$276)-CZ39,$CV43)-DATE(YEAR(CZ43)-1,12,31)&lt;91,1,IF(INDEX($Q$74:$DC$276,MAX($DC$74:$DC$276)-CZ39,$CV43)-DATE(YEAR(CZ43)-1,12,31)&lt;182,2,IF(INDEX($Q$74:$DC$276,MAX($DC$74:$DC$276)-CZ39,$CV43)-DATE(YEAR(CZ43)-1,12,31)&lt;274,3,4))),"T",YEAR(INDEX($Q$74:$DC$276,MAX($DC$74:$DC$276)-CZ39,$CV43)))</f>
        <v>4T2022</v>
      </c>
      <c r="DA40" s="808" t="str">
        <f>CONCATENATE(IF(INDEX($Q$74:$DC$276,MAX($DC$74:$DC$276)-DA39,$CV43)-DATE(YEAR(DA43)-1,12,31)&lt;91,1,IF(INDEX($Q$74:$DC$276,MAX($DC$74:$DC$276)-DA39,$CV43)-DATE(YEAR(DA43)-1,12,31)&lt;182,2,IF(INDEX($Q$74:$DC$276,MAX($DC$74:$DC$276)-DA39,$CV43)-DATE(YEAR(DA43)-1,12,31)&lt;274,3,4))),"T",YEAR(INDEX($Q$74:$DC$276,MAX($DC$74:$DC$276)-DA39,$CV43)))</f>
        <v>1T2023</v>
      </c>
      <c r="DG40" s="808" t="str">
        <f>CONCATENATE(IF(INDEX($DD$74:$FH$276,MAX($DG$74:$DG$276)-DG39,$DF43)-DATE(YEAR(DG43)-1,12,31)&lt;91,1,IF(INDEX($DD$74:$FH$276,MAX($DG$74:$DG$276)-DG39,$DF43)-DATE(YEAR(DG43)-1,12,31)&lt;182,2,IF(INDEX($DD$74:$FH$276,MAX($DG$74:$DG$276)-DG39,$DF43)-DATE(YEAR(DG43)-1,12,31)&lt;274,3,4))),"T",YEAR(INDEX($DD$74:$FH$276,MAX($DG$74:$DG$276)-DG39,$DF43)))</f>
        <v>4T2022</v>
      </c>
      <c r="DH40" s="808" t="str">
        <f>CONCATENATE(IF(INDEX($DD$74:$FH$276,MAX($DG$74:$DG$276)-DH39,$DF43)-DATE(YEAR(DH43)-1,12,31)&lt;91,1,IF(INDEX($DD$74:$FH$276,MAX($DG$74:$DG$276)-DH39,$DF43)-DATE(YEAR(DH43)-1,12,31)&lt;182,2,IF(INDEX($DD$74:$FH$276,MAX($DG$74:$DG$276)-DH39,$DF43)-DATE(YEAR(DH43)-1,12,31)&lt;274,3,4))),"T",YEAR(INDEX($DD$74:$FH$276,MAX($DG$74:$DG$276)-DH39,$DF43)))</f>
        <v>1T2023</v>
      </c>
      <c r="DI40" s="808" t="str">
        <f>CONCATENATE(IF(INDEX($DD$74:$FH$276,MAX($DG$74:$DG$276)-DI39,$DF43)-DATE(YEAR(DI43)-1,12,31)&lt;91,1,IF(INDEX($DD$74:$FH$276,MAX($DG$74:$DG$276)-DI39,$DF43)-DATE(YEAR(DI43)-1,12,31)&lt;182,2,IF(INDEX($DD$74:$FH$276,MAX($DG$74:$DG$276)-DI39,$DF43)-DATE(YEAR(DI43)-1,12,31)&lt;274,3,4))),"T",YEAR(INDEX($DD$74:$FH$276,MAX($DG$74:$DG$276)-DI39,$DF43)))</f>
        <v>2T2023</v>
      </c>
      <c r="DJ40" s="808" t="str">
        <f>CONCATENATE(IF(INDEX($DD$74:$FH$276,MAX($DG$74:$DG$276)-DJ39,$DF43)-DATE(YEAR(DJ43)-1,12,31)&lt;91,1,IF(INDEX($DD$74:$FH$276,MAX($DG$74:$DG$276)-DJ39,$DF43)-DATE(YEAR(DJ43)-1,12,31)&lt;182,2,IF(INDEX($DD$74:$FH$276,MAX($DG$74:$DG$276)-DJ39,$DF43)-DATE(YEAR(DJ43)-1,12,31)&lt;274,3,4))),"T",YEAR(INDEX($DD$74:$FH$276,MAX($DG$74:$DG$276)-DJ39,$DF43)))</f>
        <v>3T2023</v>
      </c>
      <c r="DK40" s="808" t="str">
        <f>CONCATENATE(IF(INDEX($DD$74:$FH$276,MAX($DG$74:$DG$276)-DK39,$DF43)-DATE(YEAR(DK43)-1,12,31)&lt;91,1,IF(INDEX($DD$74:$FH$276,MAX($DG$74:$DG$276)-DK39,$DF43)-DATE(YEAR(DK43)-1,12,31)&lt;182,2,IF(INDEX($DD$74:$FH$276,MAX($DG$74:$DG$276)-DK39,$DF43)-DATE(YEAR(DK43)-1,12,31)&lt;274,3,4))),"T",YEAR(INDEX($DD$74:$FH$276,MAX($DG$74:$DG$276)-DK39,$DF43)))</f>
        <v>4T2023</v>
      </c>
      <c r="DO40" s="808" t="str">
        <f>CONCATENATE(IF(INDEX($DD$74:$FH$276,MAX($DG$74:$DG$276)-DO39,$DN43)-DATE(YEAR(DO43)-1,12,31)&lt;91,1,IF(INDEX($DD$74:$FH$276,MAX($DG$74:$DG$276)-DO39,$DN43)-DATE(YEAR(DO43)-1,12,31)&lt;182,2,IF(INDEX($DD$74:$FH$276,MAX($DG$74:$DG$276)-DO39,$DN43)-DATE(YEAR(DO43)-1,12,31)&lt;274,3,4))),"T",YEAR(INDEX($DD$74:$FH$276,MAX($DG$74:$DG$276)-DO39,$DN43)))</f>
        <v>4T2022</v>
      </c>
      <c r="DP40" s="808" t="str">
        <f>CONCATENATE(IF(INDEX($DD$74:$FH$276,MAX($DG$74:$DG$276)-DP39,$DN43)-DATE(YEAR(DP43)-1,12,31)&lt;91,1,IF(INDEX($DD$74:$FH$276,MAX($DG$74:$DG$276)-DP39,$DN43)-DATE(YEAR(DP43)-1,12,31)&lt;182,2,IF(INDEX($DD$74:$FH$276,MAX($DG$74:$DG$276)-DP39,$DN43)-DATE(YEAR(DP43)-1,12,31)&lt;274,3,4))),"T",YEAR(INDEX($DD$74:$FH$276,MAX($DG$74:$DG$276)-DP39,$DN43)))</f>
        <v>1T2023</v>
      </c>
      <c r="DQ40" s="808" t="str">
        <f>CONCATENATE(IF(INDEX($DD$74:$FH$276,MAX($DG$74:$DG$276)-DQ39,$DN43)-DATE(YEAR(DQ43)-1,12,31)&lt;91,1,IF(INDEX($DD$74:$FH$276,MAX($DG$74:$DG$276)-DQ39,$DN43)-DATE(YEAR(DQ43)-1,12,31)&lt;182,2,IF(INDEX($DD$74:$FH$276,MAX($DG$74:$DG$276)-DQ39,$DN43)-DATE(YEAR(DQ43)-1,12,31)&lt;274,3,4))),"T",YEAR(INDEX($DD$74:$FH$276,MAX($DG$74:$DG$276)-DQ39,$DN43)))</f>
        <v>2T2023</v>
      </c>
      <c r="DR40" s="808" t="str">
        <f>CONCATENATE(IF(INDEX($DD$74:$FH$276,MAX($DG$74:$DG$276)-DR39,$DN43)-DATE(YEAR(DR43)-1,12,31)&lt;91,1,IF(INDEX($DD$74:$FH$276,MAX($DG$74:$DG$276)-DR39,$DN43)-DATE(YEAR(DR43)-1,12,31)&lt;182,2,IF(INDEX($DD$74:$FH$276,MAX($DG$74:$DG$276)-DR39,$DN43)-DATE(YEAR(DR43)-1,12,31)&lt;274,3,4))),"T",YEAR(INDEX($DD$74:$FH$276,MAX($DG$74:$DG$276)-DR39,$DN43)))</f>
        <v>3T2023</v>
      </c>
      <c r="DS40" s="808" t="str">
        <f>CONCATENATE(IF(INDEX($DD$74:$FH$276,MAX($DG$74:$DG$276)-DS39,$DN43)-DATE(YEAR(DS43)-1,12,31)&lt;91,1,IF(INDEX($DD$74:$FH$276,MAX($DG$74:$DG$276)-DS39,$DN43)-DATE(YEAR(DS43)-1,12,31)&lt;182,2,IF(INDEX($DD$74:$FH$276,MAX($DG$74:$DG$276)-DS39,$DN43)-DATE(YEAR(DS43)-1,12,31)&lt;274,3,4))),"T",YEAR(INDEX($DD$74:$FH$276,MAX($DG$74:$DG$276)-DS39,$DN43)))</f>
        <v>4T2023</v>
      </c>
      <c r="DW40" s="808" t="str">
        <f>CONCATENATE(IF(INDEX($DD$74:$FH$276,MAX($DS$74:$DS$276)-DW39,$DV43)-DATE(YEAR(DW43)-1,12,31)&lt;91,1,IF(INDEX($DD$74:$FH$276,MAX($DS$74:$DS$276)-DW39,$DV43)-DATE(YEAR(DW43)-1,12,31)&lt;182,2,IF(INDEX($DD$74:$FH$276,MAX($DS$74:$DS$276)-DW39,$DV43)-DATE(YEAR(DW43)-1,12,31)&lt;274,3,4))),"T",YEAR(INDEX($DD$74:$FH$276,MAX($DS$74:$DS$276)-DW39,$DV43)))</f>
        <v>4T2022</v>
      </c>
      <c r="DX40" s="808" t="str">
        <f>CONCATENATE(IF(INDEX($DD$74:$FH$276,MAX($DS$74:$DS$276)-DX39,$DV43)-DATE(YEAR(DX43)-1,12,31)&lt;91,1,IF(INDEX($DD$74:$FH$276,MAX($DS$74:$DS$276)-DX39,$DV43)-DATE(YEAR(DX43)-1,12,31)&lt;182,2,IF(INDEX($DD$74:$FH$276,MAX($DS$74:$DS$276)-DX39,$DV43)-DATE(YEAR(DX43)-1,12,31)&lt;274,3,4))),"T",YEAR(INDEX($DD$74:$FH$276,MAX($DS$74:$DS$276)-DX39,$DV43)))</f>
        <v>1T2023</v>
      </c>
      <c r="DY40" s="808" t="str">
        <f>CONCATENATE(IF(INDEX($DD$74:$FH$276,MAX($DS$74:$DS$276)-DY39,$DV43)-DATE(YEAR(DY43)-1,12,31)&lt;91,1,IF(INDEX($DD$74:$FH$276,MAX($DS$74:$DS$276)-DY39,$DV43)-DATE(YEAR(DY43)-1,12,31)&lt;182,2,IF(INDEX($DD$74:$FH$276,MAX($DS$74:$DS$276)-DY39,$DV43)-DATE(YEAR(DY43)-1,12,31)&lt;274,3,4))),"T",YEAR(INDEX($DD$74:$FH$276,MAX($DS$74:$DS$276)-DY39,$DV43)))</f>
        <v>2T2023</v>
      </c>
      <c r="DZ40" s="808" t="str">
        <f>CONCATENATE(IF(INDEX($DD$74:$FH$276,MAX($DS$74:$DS$276)-DZ39,$DV43)-DATE(YEAR(DZ43)-1,12,31)&lt;91,1,IF(INDEX($DD$74:$FH$276,MAX($DS$74:$DS$276)-DZ39,$DV43)-DATE(YEAR(DZ43)-1,12,31)&lt;182,2,IF(INDEX($DD$74:$FH$276,MAX($DS$74:$DS$276)-DZ39,$DV43)-DATE(YEAR(DZ43)-1,12,31)&lt;274,3,4))),"T",YEAR(INDEX($DD$74:$FH$276,MAX($DS$74:$DS$276)-DZ39,$DV43)))</f>
        <v>3T2023</v>
      </c>
      <c r="EA40" s="808" t="str">
        <f>CONCATENATE(IF(INDEX($DD$74:$FH$276,MAX($DS$74:$DS$276)-EA39,$DV43)-DATE(YEAR(EA43)-1,12,31)&lt;91,1,IF(INDEX($DD$74:$FH$276,MAX($DS$74:$DS$276)-EA39,$DV43)-DATE(YEAR(EA43)-1,12,31)&lt;182,2,IF(INDEX($DD$74:$FH$276,MAX($DS$74:$DS$276)-EA39,$DV43)-DATE(YEAR(EA43)-1,12,31)&lt;274,3,4))),"T",YEAR(INDEX($DD$74:$FH$276,MAX($DS$74:$DS$276)-EA39,$DV43)))</f>
        <v>4T2023</v>
      </c>
      <c r="EE40" s="808" t="str">
        <f>CONCATENATE(IF(INDEX($DD$74:$FH$276,MAX($EF$74:$EF$276)-EE39,$DV43)-DATE(YEAR(EE43)-1,12,31)&lt;91,1,IF(INDEX($DD$74:$FH$276,MAX($EF$74:$EF$276)-EE39,$DV43)-DATE(YEAR(EE43)-1,12,31)&lt;182,2,IF(INDEX($DD$74:$FH$276,MAX($EF$74:$EF$276)-EE39,$DV43)-DATE(YEAR(EE43)-1,12,31)&lt;274,3,4))),"T",YEAR(INDEX($DD$74:$FH$276,MAX($EF$74:$EF$276)-EE39,$DV43)))</f>
        <v>4T2022</v>
      </c>
      <c r="EF40" s="808" t="str">
        <f>CONCATENATE(IF(INDEX($DD$74:$FH$276,MAX($EF$74:$EF$276)-EF39,$DV43)-DATE(YEAR(EF43)-1,12,31)&lt;91,1,IF(INDEX($DD$74:$FH$276,MAX($EF$74:$EF$276)-EF39,$DV43)-DATE(YEAR(EF43)-1,12,31)&lt;182,2,IF(INDEX($DD$74:$FH$276,MAX($EF$74:$EF$276)-EF39,$DV43)-DATE(YEAR(EF43)-1,12,31)&lt;274,3,4))),"T",YEAR(INDEX($DD$74:$FH$276,MAX($EF$74:$EF$276)-EF39,$DV43)))</f>
        <v>1T2023</v>
      </c>
      <c r="EG40" s="808" t="str">
        <f>CONCATENATE(IF(INDEX($DD$74:$FH$276,MAX($EF$74:$EF$276)-EG39,$DV43)-DATE(YEAR(EG43)-1,12,31)&lt;91,1,IF(INDEX($DD$74:$FH$276,MAX($EF$74:$EF$276)-EG39,$DV43)-DATE(YEAR(EG43)-1,12,31)&lt;182,2,IF(INDEX($DD$74:$FH$276,MAX($EF$74:$EF$276)-EG39,$DV43)-DATE(YEAR(EG43)-1,12,31)&lt;274,3,4))),"T",YEAR(INDEX($DD$74:$FH$276,MAX($EF$74:$EF$276)-EG39,$DV43)))</f>
        <v>2T2023</v>
      </c>
      <c r="EH40" s="808" t="str">
        <f>CONCATENATE(IF(INDEX($DD$74:$FH$276,MAX($EF$74:$EF$276)-EH39,$DV43)-DATE(YEAR(EH43)-1,12,31)&lt;91,1,IF(INDEX($DD$74:$FH$276,MAX($EF$74:$EF$276)-EH39,$DV43)-DATE(YEAR(EH43)-1,12,31)&lt;182,2,IF(INDEX($DD$74:$FH$276,MAX($EF$74:$EF$276)-EH39,$DV43)-DATE(YEAR(EH43)-1,12,31)&lt;274,3,4))),"T",YEAR(INDEX($DD$74:$FH$276,MAX($EF$74:$EF$276)-EH39,$DV43)))</f>
        <v>3T2023</v>
      </c>
      <c r="EI40" s="808" t="str">
        <f>CONCATENATE(IF(INDEX($DD$74:$FH$276,MAX($EF$74:$EF$276)-EI39,$DV43)-DATE(YEAR(EI43)-1,12,31)&lt;91,1,IF(INDEX($DD$74:$FH$276,MAX($EF$74:$EF$276)-EI39,$DV43)-DATE(YEAR(EI43)-1,12,31)&lt;182,2,IF(INDEX($DD$74:$FH$276,MAX($EF$74:$EF$276)-EI39,$DV43)-DATE(YEAR(EI43)-1,12,31)&lt;274,3,4))),"T",YEAR(INDEX($DD$74:$FH$276,MAX($EF$74:$EF$276)-EI39,$DV43)))</f>
        <v>4T2023</v>
      </c>
      <c r="EN40" s="808" t="str">
        <f>CONCATENATE(IF(INDEX($DD$74:$FH$276,MAX($EW$74:$EW$276)-EN39,$EM43)-DATE(YEAR(EN43)-1,12,31)&lt;91,1,IF(INDEX($DD$74:$FH$276,MAX($EW$74:$EW$276)-EN39,$EM43)-DATE(YEAR(EN43)-1,12,31)&lt;182,2,IF(INDEX($DD$74:$FH$276,MAX($EW$74:$EW$276)-EN39,$EM43)-DATE(YEAR(EN43)-1,12,31)&lt;274,3,4))),"T",YEAR(INDEX($DD$74:$FH$276,MAX($EW$74:$EW$276)-EN39,$EM43)))</f>
        <v>4T2022</v>
      </c>
      <c r="EO40" s="808" t="str">
        <f>CONCATENATE(IF(INDEX($DD$74:$FH$276,MAX($EW$74:$EW$276)-EO39,$EM43)-DATE(YEAR(EO43)-1,12,31)&lt;91,1,IF(INDEX($DD$74:$FH$276,MAX($EW$74:$EW$276)-EO39,$EM43)-DATE(YEAR(EO43)-1,12,31)&lt;182,2,IF(INDEX($DD$74:$FH$276,MAX($EW$74:$EW$276)-EO39,$EM43)-DATE(YEAR(EO43)-1,12,31)&lt;274,3,4))),"T",YEAR(INDEX($DD$74:$FH$276,MAX($EW$74:$EW$276)-EO39,$EM43)))</f>
        <v>1T2023</v>
      </c>
      <c r="EP40" s="808" t="str">
        <f>CONCATENATE(IF(INDEX($DD$74:$FH$276,MAX($EW$74:$EW$276)-EP39,$EM43)-DATE(YEAR(EP43)-1,12,31)&lt;91,1,IF(INDEX($DD$74:$FH$276,MAX($EW$74:$EW$276)-EP39,$EM43)-DATE(YEAR(EP43)-1,12,31)&lt;182,2,IF(INDEX($DD$74:$FH$276,MAX($EW$74:$EW$276)-EP39,$EM43)-DATE(YEAR(EP43)-1,12,31)&lt;274,3,4))),"T",YEAR(INDEX($DD$74:$FH$276,MAX($EW$74:$EW$276)-EP39,$EM43)))</f>
        <v>2T2023</v>
      </c>
      <c r="EQ40" s="808" t="str">
        <f>CONCATENATE(IF(INDEX($DD$74:$FH$276,MAX($EW$74:$EW$276)-EQ39,$EM43)-DATE(YEAR(EQ43)-1,12,31)&lt;91,1,IF(INDEX($DD$74:$FH$276,MAX($EW$74:$EW$276)-EQ39,$EM43)-DATE(YEAR(EQ43)-1,12,31)&lt;182,2,IF(INDEX($DD$74:$FH$276,MAX($EW$74:$EW$276)-EQ39,$EM43)-DATE(YEAR(EQ43)-1,12,31)&lt;274,3,4))),"T",YEAR(INDEX($DD$74:$FH$276,MAX($EW$74:$EW$276)-EQ39,$EM43)))</f>
        <v>3T2023</v>
      </c>
      <c r="ER40" s="808" t="str">
        <f>CONCATENATE(IF(INDEX($DD$74:$FH$276,MAX($EW$74:$EW$276)-ER39,$EM43)-DATE(YEAR(ER43)-1,12,31)&lt;91,1,IF(INDEX($DD$74:$FH$276,MAX($EW$74:$EW$276)-ER39,$EM43)-DATE(YEAR(ER43)-1,12,31)&lt;182,2,IF(INDEX($DD$74:$FH$276,MAX($EW$74:$EW$276)-ER39,$EM43)-DATE(YEAR(ER43)-1,12,31)&lt;274,3,4))),"T",YEAR(INDEX($DD$74:$FH$276,MAX($EW$74:$EW$276)-ER39,$EM43)))</f>
        <v>4T2023</v>
      </c>
      <c r="EW40" s="808" t="str">
        <f>CONCATENATE(IF(INDEX($DD$74:$FH$276,MAX($EW$74:$EW$276)-EW39,$EM43)-DATE(YEAR(EW43)-1,12,31)&lt;91,1,IF(INDEX($DD$74:$FH$276,MAX($EW$74:$EW$276)-EW39,$EM43)-DATE(YEAR(EW43)-1,12,31)&lt;182,2,IF(INDEX($DD$74:$FH$276,MAX($EW$74:$EW$276)-EW39,$EM43)-DATE(YEAR(EW43)-1,12,31)&lt;274,3,4))),"T",YEAR(INDEX($DD$74:$FH$276,MAX($EW$74:$EW$276)-EW39,$EM43)))</f>
        <v>4T2022</v>
      </c>
      <c r="EX40" s="808" t="str">
        <f>CONCATENATE(IF(INDEX($DD$74:$FH$276,MAX($EW$74:$EW$276)-EX39,$EM43)-DATE(YEAR(EX43)-1,12,31)&lt;91,1,IF(INDEX($DD$74:$FH$276,MAX($EW$74:$EW$276)-EX39,$EM43)-DATE(YEAR(EX43)-1,12,31)&lt;182,2,IF(INDEX($DD$74:$FH$276,MAX($EW$74:$EW$276)-EX39,$EM43)-DATE(YEAR(EX43)-1,12,31)&lt;274,3,4))),"T",YEAR(INDEX($DD$74:$FH$276,MAX($EW$74:$EW$276)-EX39,$EM43)))</f>
        <v>1T2023</v>
      </c>
      <c r="EY40" s="808" t="str">
        <f>CONCATENATE(IF(INDEX($DD$74:$FH$276,MAX($EW$74:$EW$276)-EY39,$EM43)-DATE(YEAR(EY43)-1,12,31)&lt;91,1,IF(INDEX($DD$74:$FH$276,MAX($EW$74:$EW$276)-EY39,$EM43)-DATE(YEAR(EY43)-1,12,31)&lt;182,2,IF(INDEX($DD$74:$FH$276,MAX($EW$74:$EW$276)-EY39,$EM43)-DATE(YEAR(EY43)-1,12,31)&lt;274,3,4))),"T",YEAR(INDEX($DD$74:$FH$276,MAX($EW$74:$EW$276)-EY39,$EM43)))</f>
        <v>2T2023</v>
      </c>
      <c r="EZ40" s="808" t="str">
        <f>CONCATENATE(IF(INDEX($DD$74:$FH$276,MAX($EW$74:$EW$276)-EZ39,$EM43)-DATE(YEAR(EZ43)-1,12,31)&lt;91,1,IF(INDEX($DD$74:$FH$276,MAX($EW$74:$EW$276)-EZ39,$EM43)-DATE(YEAR(EZ43)-1,12,31)&lt;182,2,IF(INDEX($DD$74:$FH$276,MAX($EW$74:$EW$276)-EZ39,$EM43)-DATE(YEAR(EZ43)-1,12,31)&lt;274,3,4))),"T",YEAR(INDEX($DD$74:$FH$276,MAX($EW$74:$EW$276)-EZ39,$EM43)))</f>
        <v>3T2023</v>
      </c>
      <c r="FA40" s="808" t="str">
        <f>CONCATENATE(IF(INDEX($DD$74:$FH$276,MAX($EW$74:$EW$276)-FA39,$EM43)-DATE(YEAR(FA43)-1,12,31)&lt;91,1,IF(INDEX($DD$74:$FH$276,MAX($EW$74:$EW$276)-FA39,$EM43)-DATE(YEAR(FA43)-1,12,31)&lt;182,2,IF(INDEX($DD$74:$FH$276,MAX($EW$74:$EW$276)-FA39,$EM43)-DATE(YEAR(FA43)-1,12,31)&lt;274,3,4))),"T",YEAR(INDEX($DD$74:$FH$276,MAX($EW$74:$EW$276)-FA39,$EM43)))</f>
        <v>4T2023</v>
      </c>
      <c r="FK40" s="808" t="str">
        <f>CONCATENATE(IF(INDEX($FI$74:$GS$276,MAX($FM$74:$FM$276)-FK39,$FJ43)-DATE(YEAR(FK43)-1,12,31)&lt;91,1,IF(INDEX($FI$74:$GS$276,MAX($FM$74:$FM$276)-FK39,$FJ43)-DATE(YEAR(FK43)-1,12,31)&lt;182,2,IF(INDEX($FI$74:$GS$276,MAX($FM$74:$FM$276)-FK39,$FJ43)-DATE(YEAR(FK43)-1,12,31)&lt;274,3,4))),"T",YEAR(INDEX($FI$74:$GS$276,MAX($FM$74:$FM$276)-FK39,$FJ43)))</f>
        <v>3T2021</v>
      </c>
      <c r="FL40" s="808" t="str">
        <f>CONCATENATE(IF(INDEX($FI$74:$GS$276,MAX($FM$74:$FM$276)-FL39,$FJ43)-DATE(YEAR(FL43)-1,12,31)&lt;91,1,IF(INDEX($FI$74:$GS$276,MAX($FM$74:$FM$276)-FL39,$FJ43)-DATE(YEAR(FL43)-1,12,31)&lt;182,2,IF(INDEX($FI$74:$GS$276,MAX($FM$74:$FM$276)-FL39,$FJ43)-DATE(YEAR(FL43)-1,12,31)&lt;274,3,4))),"T",YEAR(INDEX($FI$74:$GS$276,MAX($FM$74:$FM$276)-FL39,$FJ43)))</f>
        <v>4T2021</v>
      </c>
      <c r="FM40" s="808" t="str">
        <f>CONCATENATE(IF(INDEX($FI$74:$GS$276,MAX($FM$74:$FM$276)-FM39,$FJ43)-DATE(YEAR(FM43)-1,12,31)&lt;91,1,IF(INDEX($FI$74:$GS$276,MAX($FM$74:$FM$276)-FM39,$FJ43)-DATE(YEAR(FM43)-1,12,31)&lt;182,2,IF(INDEX($FI$74:$GS$276,MAX($FM$74:$FM$276)-FM39,$FJ43)-DATE(YEAR(FM43)-1,12,31)&lt;274,3,4))),"T",YEAR(INDEX($FI$74:$GS$276,MAX($FM$74:$FM$276)-FM39,$FJ43)))</f>
        <v>1T2022</v>
      </c>
      <c r="FN40" s="808" t="str">
        <f>CONCATENATE(IF(INDEX($FI$74:$GS$276,MAX($FM$74:$FM$276)-FN39,$FJ43)-DATE(YEAR(FN43)-1,12,31)&lt;91,1,IF(INDEX($FI$74:$GS$276,MAX($FM$74:$FM$276)-FN39,$FJ43)-DATE(YEAR(FN43)-1,12,31)&lt;182,2,IF(INDEX($FI$74:$GS$276,MAX($FM$74:$FM$276)-FN39,$FJ43)-DATE(YEAR(FN43)-1,12,31)&lt;274,3,4))),"T",YEAR(INDEX($FI$74:$GS$276,MAX($FM$74:$FM$276)-FN39,$FJ43)))</f>
        <v>2T2022</v>
      </c>
      <c r="FO40" s="808" t="str">
        <f>CONCATENATE(IF(INDEX($FI$74:$GS$276,MAX($FM$74:$FM$276)-FO39,$FJ43)-DATE(YEAR(FO43)-1,12,31)&lt;91,1,IF(INDEX($FI$74:$GS$276,MAX($FM$74:$FM$276)-FO39,$FJ43)-DATE(YEAR(FO43)-1,12,31)&lt;182,2,IF(INDEX($FI$74:$GS$276,MAX($FM$74:$FM$276)-FO39,$FJ43)-DATE(YEAR(FO43)-1,12,31)&lt;274,3,4))),"T",YEAR(INDEX($FI$74:$GS$276,MAX($FM$74:$FM$276)-FO39,$FJ43)))</f>
        <v>3T2022</v>
      </c>
      <c r="FS40" s="808" t="str">
        <f>CONCATENATE(IF(INDEX($FI$74:$GS$276,MAX($FX$74:$FX$276)-FS39,$FR43)-DATE(YEAR(FS43)-1,12,31)&lt;91,1,IF(INDEX($FI$74:$GS$276,MAX($FX$74:$FX$276)-FS39,$FR43)-DATE(YEAR(FS43)-1,12,31)&lt;182,2,IF(INDEX($FI$74:$GS$276,MAX($FX$74:$FX$276)-FS39,$FR43)-DATE(YEAR(FS43)-1,12,31)&lt;274,3,4))),"T",YEAR(INDEX($FI$74:$GS$276,MAX($FX$74:$FX$276)-FS39,$FR43)))</f>
        <v>3T2021</v>
      </c>
      <c r="FT40" s="808" t="str">
        <f>CONCATENATE(IF(INDEX($FI$74:$GS$276,MAX($FX$74:$FX$276)-FT39,$FR43)-DATE(YEAR(FT43)-1,12,31)&lt;91,1,IF(INDEX($FI$74:$GS$276,MAX($FX$74:$FX$276)-FT39,$FR43)-DATE(YEAR(FT43)-1,12,31)&lt;182,2,IF(INDEX($FI$74:$GS$276,MAX($FX$74:$FX$276)-FT39,$FR43)-DATE(YEAR(FT43)-1,12,31)&lt;274,3,4))),"T",YEAR(INDEX($FI$74:$GS$276,MAX($FX$74:$FX$276)-FT39,$FR43)))</f>
        <v>4T2021</v>
      </c>
      <c r="FU40" s="808" t="str">
        <f>CONCATENATE(IF(INDEX($FI$74:$GS$276,MAX($FX$74:$FX$276)-FU39,$FR43)-DATE(YEAR(FU43)-1,12,31)&lt;91,1,IF(INDEX($FI$74:$GS$276,MAX($FX$74:$FX$276)-FU39,$FR43)-DATE(YEAR(FU43)-1,12,31)&lt;182,2,IF(INDEX($FI$74:$GS$276,MAX($FX$74:$FX$276)-FU39,$FR43)-DATE(YEAR(FU43)-1,12,31)&lt;274,3,4))),"T",YEAR(INDEX($FI$74:$GS$276,MAX($FX$74:$FX$276)-FU39,$FR43)))</f>
        <v>1T2022</v>
      </c>
      <c r="FV40" s="808" t="str">
        <f>CONCATENATE(IF(INDEX($FI$74:$GS$276,MAX($FX$74:$FX$276)-FV39,$FR43)-DATE(YEAR(FV43)-1,12,31)&lt;91,1,IF(INDEX($FI$74:$GS$276,MAX($FX$74:$FX$276)-FV39,$FR43)-DATE(YEAR(FV43)-1,12,31)&lt;182,2,IF(INDEX($FI$74:$GS$276,MAX($FX$74:$FX$276)-FV39,$FR43)-DATE(YEAR(FV43)-1,12,31)&lt;274,3,4))),"T",YEAR(INDEX($FI$74:$GS$276,MAX($FX$74:$FX$276)-FV39,$FR43)))</f>
        <v>2T2022</v>
      </c>
      <c r="FW40" s="808" t="str">
        <f>CONCATENATE(IF(INDEX($FI$74:$GS$276,MAX($FX$74:$FX$276)-FW39,$FR43)-DATE(YEAR(FW43)-1,12,31)&lt;91,1,IF(INDEX($FI$74:$GS$276,MAX($FX$74:$FX$276)-FW39,$FR43)-DATE(YEAR(FW43)-1,12,31)&lt;182,2,IF(INDEX($FI$74:$GS$276,MAX($FX$74:$FX$276)-FW39,$FR43)-DATE(YEAR(FW43)-1,12,31)&lt;274,3,4))),"T",YEAR(INDEX($FI$74:$GS$276,MAX($FX$74:$FX$276)-FW39,$FR43)))</f>
        <v>3T2022</v>
      </c>
      <c r="GA40" s="808" t="str">
        <f>CONCATENATE(IF(INDEX($FI$74:$GS$276,MAX($GJ$74:$GJ$276)-GA39,$FZ43)-DATE(YEAR(GA43)-1,12,31)&lt;91,1,IF(INDEX($FI$74:$GS$276,MAX($GJ$74:$GJ$276)-GA39,$FZ43)-DATE(YEAR(GA43)-1,12,31)&lt;182,2,IF(INDEX($FI$74:$GS$276,MAX($GJ$74:$GJ$276)-GA39,$FZ43)-DATE(YEAR(GA43)-1,12,31)&lt;274,3,4))),"T",YEAR(INDEX($FI$74:$GS$276,MAX($GJ$74:$GJ$276)-GA39,$FZ43)))</f>
        <v>3T2021</v>
      </c>
      <c r="GB40" s="808" t="str">
        <f>CONCATENATE(IF(INDEX($FI$74:$GS$276,MAX($GJ$74:$GJ$276)-GB39,$FZ43)-DATE(YEAR(GB43)-1,12,31)&lt;91,1,IF(INDEX($FI$74:$GS$276,MAX($GJ$74:$GJ$276)-GB39,$FZ43)-DATE(YEAR(GB43)-1,12,31)&lt;182,2,IF(INDEX($FI$74:$GS$276,MAX($GJ$74:$GJ$276)-GB39,$FZ43)-DATE(YEAR(GB43)-1,12,31)&lt;274,3,4))),"T",YEAR(INDEX($FI$74:$GS$276,MAX($GJ$74:$GJ$276)-GB39,$FZ43)))</f>
        <v>4T2021</v>
      </c>
      <c r="GC40" s="808" t="str">
        <f>CONCATENATE(IF(INDEX($FI$74:$GS$276,MAX($GJ$74:$GJ$276)-GC39,$FZ43)-DATE(YEAR(GC43)-1,12,31)&lt;91,1,IF(INDEX($FI$74:$GS$276,MAX($GJ$74:$GJ$276)-GC39,$FZ43)-DATE(YEAR(GC43)-1,12,31)&lt;182,2,IF(INDEX($FI$74:$GS$276,MAX($GJ$74:$GJ$276)-GC39,$FZ43)-DATE(YEAR(GC43)-1,12,31)&lt;274,3,4))),"T",YEAR(INDEX($FI$74:$GS$276,MAX($GJ$74:$GJ$276)-GC39,$FZ43)))</f>
        <v>1T2022</v>
      </c>
      <c r="GD40" s="808" t="str">
        <f>CONCATENATE(IF(INDEX($FI$74:$GS$276,MAX($GJ$74:$GJ$276)-GD39,$FZ43)-DATE(YEAR(GD43)-1,12,31)&lt;91,1,IF(INDEX($FI$74:$GS$276,MAX($GJ$74:$GJ$276)-GD39,$FZ43)-DATE(YEAR(GD43)-1,12,31)&lt;182,2,IF(INDEX($FI$74:$GS$276,MAX($GJ$74:$GJ$276)-GD39,$FZ43)-DATE(YEAR(GD43)-1,12,31)&lt;274,3,4))),"T",YEAR(INDEX($FI$74:$GS$276,MAX($GJ$74:$GJ$276)-GD39,$FZ43)))</f>
        <v>2T2022</v>
      </c>
      <c r="GE40" s="808" t="str">
        <f>CONCATENATE(IF(INDEX($FI$74:$GS$276,MAX($GJ$74:$GJ$276)-GE39,$FZ43)-DATE(YEAR(GE43)-1,12,31)&lt;91,1,IF(INDEX($FI$74:$GS$276,MAX($GJ$74:$GJ$276)-GE39,$FZ43)-DATE(YEAR(GE43)-1,12,31)&lt;182,2,IF(INDEX($FI$74:$GS$276,MAX($GJ$74:$GJ$276)-GE39,$FZ43)-DATE(YEAR(GE43)-1,12,31)&lt;274,3,4))),"T",YEAR(INDEX($FI$74:$GS$276,MAX($GJ$74:$GJ$276)-GE39,$FZ43)))</f>
        <v>3T2022</v>
      </c>
      <c r="GO40" s="808" t="str">
        <f>CONCATENATE(IF(INDEX($FI$74:$GS$276,MAX($GS$74:$GS$276)-GO39,$FZ43)-DATE(YEAR(GO43)-1,12,31)&lt;91,1,IF(INDEX($FI$74:$GS$276,MAX($GS$74:$GS$276)-GO39,$FZ43)-DATE(YEAR(GO43)-1,12,31)&lt;182,2,IF(INDEX($FI$74:$GS$276,MAX($GS$74:$GS$276)-GO39,$FZ43)-DATE(YEAR(GO43)-1,12,31)&lt;274,3,4))),"T",YEAR(INDEX($FI$74:$GS$276,MAX($GS$74:$GS$276)-GO39,$FZ43)))</f>
        <v>4T2022</v>
      </c>
      <c r="GP40" s="808" t="str">
        <f>CONCATENATE(IF(INDEX($FI$74:$GS$276,MAX($GS$74:$GS$276)-GP39,$FZ43)-DATE(YEAR(GP43)-1,12,31)&lt;91,1,IF(INDEX($FI$74:$GS$276,MAX($GS$74:$GS$276)-GP39,$FZ43)-DATE(YEAR(GP43)-1,12,31)&lt;182,2,IF(INDEX($FI$74:$GS$276,MAX($GS$74:$GS$276)-GP39,$FZ43)-DATE(YEAR(GP43)-1,12,31)&lt;274,3,4))),"T",YEAR(INDEX($FI$74:$GS$276,MAX($GS$74:$GS$276)-GP39,$FZ43)))</f>
        <v>1T2023</v>
      </c>
      <c r="GQ40" s="808" t="str">
        <f>CONCATENATE(IF(INDEX($FI$74:$GS$276,MAX($GS$74:$GS$276)-GQ39,$FZ43)-DATE(YEAR(GQ43)-1,12,31)&lt;91,1,IF(INDEX($FI$74:$GS$276,MAX($GS$74:$GS$276)-GQ39,$FZ43)-DATE(YEAR(GQ43)-1,12,31)&lt;182,2,IF(INDEX($FI$74:$GS$276,MAX($GS$74:$GS$276)-GQ39,$FZ43)-DATE(YEAR(GQ43)-1,12,31)&lt;274,3,4))),"T",YEAR(INDEX($FI$74:$GS$276,MAX($GS$74:$GS$276)-GQ39,$FZ43)))</f>
        <v>2T2023</v>
      </c>
      <c r="GR40" s="808" t="str">
        <f>CONCATENATE(IF(INDEX($FI$74:$GS$276,MAX($GS$74:$GS$276)-GR39,$FZ43)-DATE(YEAR(GR43)-1,12,31)&lt;91,1,IF(INDEX($FI$74:$GS$276,MAX($GS$74:$GS$276)-GR39,$FZ43)-DATE(YEAR(GR43)-1,12,31)&lt;182,2,IF(INDEX($FI$74:$GS$276,MAX($GS$74:$GS$276)-GR39,$FZ43)-DATE(YEAR(GR43)-1,12,31)&lt;274,3,4))),"T",YEAR(INDEX($FI$74:$GS$276,MAX($GS$74:$GS$276)-GR39,$FZ43)))</f>
        <v>3T2023</v>
      </c>
      <c r="GS40" s="808" t="str">
        <f>CONCATENATE(IF(INDEX($FI$74:$GS$276,MAX($GS$74:$GS$276)-GS39,$FZ43)-DATE(YEAR(GS43)-1,12,31)&lt;91,1,IF(INDEX($FI$74:$GS$276,MAX($GS$74:$GS$276)-GS39,$FZ43)-DATE(YEAR(GS43)-1,12,31)&lt;182,2,IF(INDEX($FI$74:$GS$276,MAX($GS$74:$GS$276)-GS39,$FZ43)-DATE(YEAR(GS43)-1,12,31)&lt;274,3,4))),"T",YEAR(INDEX($FI$74:$GS$276,MAX($GS$74:$GS$276)-GS39,$FZ43)))</f>
        <v>4T2023</v>
      </c>
      <c r="GU40" s="1015" t="s">
        <v>440</v>
      </c>
      <c r="GV40" s="889">
        <v>33</v>
      </c>
      <c r="GW40" s="935">
        <f t="shared" si="15"/>
        <v>0</v>
      </c>
      <c r="GX40" s="797">
        <f t="shared" si="16"/>
        <v>0</v>
      </c>
      <c r="GY40" s="797">
        <f t="shared" si="17"/>
        <v>0</v>
      </c>
      <c r="GZ40" s="797">
        <f t="shared" si="18"/>
        <v>0</v>
      </c>
      <c r="HA40" s="936">
        <f t="shared" si="19"/>
        <v>0</v>
      </c>
      <c r="KY40" s="704" t="s">
        <v>472</v>
      </c>
      <c r="KZ40" s="91"/>
      <c r="LA40" s="796"/>
      <c r="LB40" s="797"/>
      <c r="LC40" s="797"/>
      <c r="LD40" s="797"/>
      <c r="LE40" s="798"/>
    </row>
    <row r="41" spans="10:372" ht="22.8">
      <c r="W41" s="91" t="s">
        <v>555</v>
      </c>
      <c r="X41" s="316">
        <v>11</v>
      </c>
      <c r="Y41" s="802">
        <f t="shared" si="34"/>
        <v>10.220456064</v>
      </c>
      <c r="Z41" s="75">
        <f t="shared" si="35"/>
        <v>11.472883476</v>
      </c>
      <c r="AA41" s="75">
        <f t="shared" si="36"/>
        <v>13.904306553</v>
      </c>
      <c r="AB41" s="75">
        <f t="shared" si="37"/>
        <v>9.7727789299999994</v>
      </c>
      <c r="AC41" s="803">
        <f t="shared" si="38"/>
        <v>6.3102674805179557</v>
      </c>
      <c r="AF41" s="855"/>
      <c r="AG41" s="853" t="s">
        <v>588</v>
      </c>
      <c r="AH41" s="864">
        <v>38</v>
      </c>
      <c r="AI41" s="75">
        <f t="shared" si="23"/>
        <v>-3.6829507706289917</v>
      </c>
      <c r="AJ41" s="75">
        <f t="shared" si="24"/>
        <v>10.068983738249564</v>
      </c>
      <c r="AK41" s="75">
        <f t="shared" si="25"/>
        <v>23.860218389396099</v>
      </c>
      <c r="AL41" s="75">
        <f t="shared" si="26"/>
        <v>-9.8346410506860327</v>
      </c>
      <c r="AM41" s="803">
        <f t="shared" si="27"/>
        <v>-1.7957346174552562</v>
      </c>
      <c r="BD41" s="869"/>
      <c r="BE41" s="869" t="s">
        <v>572</v>
      </c>
      <c r="BF41" s="316">
        <v>61</v>
      </c>
      <c r="BG41" s="796">
        <f t="shared" si="28"/>
        <v>7.1165166942938978</v>
      </c>
      <c r="BH41" s="797">
        <f t="shared" si="29"/>
        <v>3.2910938649995294</v>
      </c>
      <c r="BI41" s="797">
        <f t="shared" si="30"/>
        <v>-1.8036502574973656</v>
      </c>
      <c r="BJ41" s="797">
        <f t="shared" si="31"/>
        <v>-0.77390420134523619</v>
      </c>
      <c r="BK41" s="798">
        <f t="shared" si="32"/>
        <v>-8.5462659723434022</v>
      </c>
      <c r="CD41" s="36"/>
      <c r="CE41" s="43" t="s">
        <v>15</v>
      </c>
      <c r="CF41" s="2168" t="s">
        <v>12</v>
      </c>
      <c r="CG41" s="2145"/>
      <c r="CH41" s="2145"/>
      <c r="CI41" s="2145"/>
      <c r="CJ41" s="2146"/>
      <c r="CL41" s="36"/>
      <c r="CM41" s="43" t="s">
        <v>15</v>
      </c>
      <c r="CN41" s="2168" t="s">
        <v>12</v>
      </c>
      <c r="CO41" s="2145"/>
      <c r="CP41" s="2145"/>
      <c r="CQ41" s="2145"/>
      <c r="CR41" s="2146"/>
      <c r="CU41" s="36"/>
      <c r="CV41" s="43" t="s">
        <v>15</v>
      </c>
      <c r="CW41" s="2168" t="s">
        <v>12</v>
      </c>
      <c r="CX41" s="2145"/>
      <c r="CY41" s="2145"/>
      <c r="CZ41" s="2145"/>
      <c r="DA41" s="2146"/>
      <c r="DE41" s="36"/>
      <c r="DF41" s="43" t="s">
        <v>15</v>
      </c>
      <c r="DG41" s="2168" t="s">
        <v>12</v>
      </c>
      <c r="DH41" s="2145"/>
      <c r="DI41" s="2145"/>
      <c r="DJ41" s="2145"/>
      <c r="DK41" s="2146"/>
      <c r="DM41" s="36"/>
      <c r="DN41" s="43" t="s">
        <v>15</v>
      </c>
      <c r="DO41" s="2168" t="s">
        <v>12</v>
      </c>
      <c r="DP41" s="2145"/>
      <c r="DQ41" s="2145"/>
      <c r="DR41" s="2145"/>
      <c r="DS41" s="2146"/>
      <c r="DU41" s="36"/>
      <c r="DV41" s="43" t="s">
        <v>15</v>
      </c>
      <c r="DW41" s="2168" t="s">
        <v>12</v>
      </c>
      <c r="DX41" s="2145"/>
      <c r="DY41" s="2145"/>
      <c r="DZ41" s="2145"/>
      <c r="EA41" s="2146"/>
      <c r="EC41" s="36"/>
      <c r="ED41" s="43" t="s">
        <v>15</v>
      </c>
      <c r="EE41" s="2168" t="s">
        <v>12</v>
      </c>
      <c r="EF41" s="2145"/>
      <c r="EG41" s="2145"/>
      <c r="EH41" s="2145"/>
      <c r="EI41" s="2146"/>
      <c r="EL41" s="36"/>
      <c r="EM41" s="43" t="s">
        <v>15</v>
      </c>
      <c r="EN41" s="2168" t="s">
        <v>12</v>
      </c>
      <c r="EO41" s="2145"/>
      <c r="EP41" s="2145"/>
      <c r="EQ41" s="2145"/>
      <c r="ER41" s="2146"/>
      <c r="EU41" s="36"/>
      <c r="EV41" s="43" t="s">
        <v>15</v>
      </c>
      <c r="EW41" s="2168" t="s">
        <v>12</v>
      </c>
      <c r="EX41" s="2145"/>
      <c r="EY41" s="2145"/>
      <c r="EZ41" s="2145"/>
      <c r="FA41" s="2146"/>
      <c r="FI41" s="36"/>
      <c r="FJ41" s="43" t="s">
        <v>15</v>
      </c>
      <c r="FK41" s="2168" t="s">
        <v>12</v>
      </c>
      <c r="FL41" s="2145"/>
      <c r="FM41" s="2145"/>
      <c r="FN41" s="2145"/>
      <c r="FO41" s="2146"/>
      <c r="FQ41" s="36"/>
      <c r="FR41" s="43" t="s">
        <v>15</v>
      </c>
      <c r="FS41" s="2168" t="s">
        <v>12</v>
      </c>
      <c r="FT41" s="2145"/>
      <c r="FU41" s="2145"/>
      <c r="FV41" s="2145"/>
      <c r="FW41" s="2146"/>
      <c r="FY41" s="36"/>
      <c r="FZ41" s="43" t="s">
        <v>15</v>
      </c>
      <c r="GA41" s="2168" t="s">
        <v>12</v>
      </c>
      <c r="GB41" s="2145"/>
      <c r="GC41" s="2145"/>
      <c r="GD41" s="2145"/>
      <c r="GE41" s="2146"/>
      <c r="GM41" s="36"/>
      <c r="GN41" s="43" t="s">
        <v>15</v>
      </c>
      <c r="GO41" s="2168" t="s">
        <v>12</v>
      </c>
      <c r="GP41" s="2145"/>
      <c r="GQ41" s="2145"/>
      <c r="GR41" s="2145"/>
      <c r="GS41" s="2146"/>
      <c r="GU41" s="1011" t="s">
        <v>417</v>
      </c>
      <c r="GV41" s="889">
        <v>34</v>
      </c>
      <c r="GW41" s="935">
        <f t="shared" si="15"/>
        <v>51</v>
      </c>
      <c r="GX41" s="797">
        <f t="shared" si="16"/>
        <v>0</v>
      </c>
      <c r="GY41" s="797">
        <f t="shared" si="17"/>
        <v>0</v>
      </c>
      <c r="GZ41" s="797">
        <f t="shared" si="18"/>
        <v>76</v>
      </c>
      <c r="HA41" s="936">
        <f t="shared" si="19"/>
        <v>76</v>
      </c>
      <c r="KY41" s="1059" t="s">
        <v>486</v>
      </c>
      <c r="KZ41" s="91">
        <f t="shared" si="21"/>
        <v>81</v>
      </c>
      <c r="LA41" s="796">
        <f t="shared" si="10"/>
        <v>837.81899999999928</v>
      </c>
      <c r="LB41" s="797">
        <f t="shared" si="11"/>
        <v>731.08899999999994</v>
      </c>
      <c r="LC41" s="797">
        <f t="shared" si="12"/>
        <v>845.65099999999916</v>
      </c>
      <c r="LD41" s="797">
        <f t="shared" si="13"/>
        <v>900.38699999999858</v>
      </c>
      <c r="LE41" s="798">
        <f t="shared" si="14"/>
        <v>912.31500000000005</v>
      </c>
    </row>
    <row r="42" spans="10:372" ht="12.6" thickBot="1">
      <c r="W42" s="91" t="s">
        <v>557</v>
      </c>
      <c r="X42" s="316">
        <v>12</v>
      </c>
      <c r="Y42" s="802">
        <f t="shared" si="34"/>
        <v>246.031114</v>
      </c>
      <c r="Z42" s="75">
        <f t="shared" si="35"/>
        <v>292.91305</v>
      </c>
      <c r="AA42" s="75">
        <f t="shared" si="36"/>
        <v>9.598703059027434</v>
      </c>
      <c r="AB42" s="75">
        <f t="shared" si="37"/>
        <v>192.45170009789933</v>
      </c>
      <c r="AC42" s="803">
        <f t="shared" si="38"/>
        <v>90.031999999999996</v>
      </c>
      <c r="AF42" s="861"/>
      <c r="AG42" s="862" t="s">
        <v>580</v>
      </c>
      <c r="AH42" s="865">
        <v>39</v>
      </c>
      <c r="AI42" s="264">
        <f t="shared" si="23"/>
        <v>-1.25</v>
      </c>
      <c r="AJ42" s="264">
        <f t="shared" si="24"/>
        <v>-9.210526315789469</v>
      </c>
      <c r="AK42" s="264">
        <f t="shared" si="25"/>
        <v>-7.8947368421052602</v>
      </c>
      <c r="AL42" s="264">
        <f t="shared" si="26"/>
        <v>-25.000000000000004</v>
      </c>
      <c r="AM42" s="265">
        <f t="shared" si="27"/>
        <v>-6.7567567567567579</v>
      </c>
      <c r="BD42" s="869"/>
      <c r="BE42" s="870" t="s">
        <v>588</v>
      </c>
      <c r="BF42" s="316">
        <v>62</v>
      </c>
      <c r="BG42" s="796">
        <f t="shared" si="28"/>
        <v>-12.705890237380043</v>
      </c>
      <c r="BH42" s="797">
        <f t="shared" si="29"/>
        <v>-9.9222320939111643</v>
      </c>
      <c r="BI42" s="797">
        <f t="shared" si="30"/>
        <v>-43.603474974854613</v>
      </c>
      <c r="BJ42" s="797">
        <f t="shared" si="31"/>
        <v>-31.871912981440254</v>
      </c>
      <c r="BK42" s="798">
        <f t="shared" si="32"/>
        <v>-7.7763335500539235</v>
      </c>
      <c r="CD42" s="37"/>
      <c r="CE42" s="44"/>
      <c r="CF42" s="804">
        <f>CF43</f>
        <v>44805</v>
      </c>
      <c r="CG42" s="785">
        <f>CG43</f>
        <v>44896</v>
      </c>
      <c r="CH42" s="785">
        <f>CH43</f>
        <v>44986</v>
      </c>
      <c r="CI42" s="785">
        <f>CI43</f>
        <v>45078</v>
      </c>
      <c r="CJ42" s="805">
        <f>CJ43</f>
        <v>45170</v>
      </c>
      <c r="CL42" s="37"/>
      <c r="CM42" s="44"/>
      <c r="CN42" s="804">
        <f>CN43</f>
        <v>44621</v>
      </c>
      <c r="CO42" s="785">
        <f>CO43</f>
        <v>44713</v>
      </c>
      <c r="CP42" s="785">
        <f>CP43</f>
        <v>44805</v>
      </c>
      <c r="CQ42" s="785">
        <f>CQ43</f>
        <v>44896</v>
      </c>
      <c r="CR42" s="805">
        <f>CR43</f>
        <v>44986</v>
      </c>
      <c r="CU42" s="37"/>
      <c r="CV42" s="44"/>
      <c r="CW42" s="804">
        <f>CW43</f>
        <v>44621</v>
      </c>
      <c r="CX42" s="785">
        <f>CX43</f>
        <v>44713</v>
      </c>
      <c r="CY42" s="785">
        <f>CY43</f>
        <v>44805</v>
      </c>
      <c r="CZ42" s="785">
        <f>CZ43</f>
        <v>44896</v>
      </c>
      <c r="DA42" s="805">
        <f>DA43</f>
        <v>44986</v>
      </c>
      <c r="DE42" s="37"/>
      <c r="DF42" s="44"/>
      <c r="DG42" s="804">
        <f>DG43</f>
        <v>44896</v>
      </c>
      <c r="DH42" s="785">
        <f>DH43</f>
        <v>44986</v>
      </c>
      <c r="DI42" s="785">
        <f>DI43</f>
        <v>45078</v>
      </c>
      <c r="DJ42" s="785">
        <f>DJ43</f>
        <v>45170</v>
      </c>
      <c r="DK42" s="805">
        <f>DK43</f>
        <v>45261</v>
      </c>
      <c r="DM42" s="37"/>
      <c r="DN42" s="44"/>
      <c r="DO42" s="804">
        <f>DO43</f>
        <v>44896</v>
      </c>
      <c r="DP42" s="785">
        <f>DP43</f>
        <v>44986</v>
      </c>
      <c r="DQ42" s="785">
        <f>DQ43</f>
        <v>45078</v>
      </c>
      <c r="DR42" s="785">
        <f>DR43</f>
        <v>45170</v>
      </c>
      <c r="DS42" s="805">
        <f>DS43</f>
        <v>45261</v>
      </c>
      <c r="DU42" s="37"/>
      <c r="DV42" s="44"/>
      <c r="DW42" s="804">
        <f>DW43</f>
        <v>44896</v>
      </c>
      <c r="DX42" s="785">
        <f>DX43</f>
        <v>44986</v>
      </c>
      <c r="DY42" s="785">
        <f>DY43</f>
        <v>45078</v>
      </c>
      <c r="DZ42" s="785">
        <f>DZ43</f>
        <v>45170</v>
      </c>
      <c r="EA42" s="805">
        <f>EA43</f>
        <v>45261</v>
      </c>
      <c r="EC42" s="37"/>
      <c r="ED42" s="44"/>
      <c r="EE42" s="804">
        <f>EE43</f>
        <v>44896</v>
      </c>
      <c r="EF42" s="785">
        <f>EF43</f>
        <v>44986</v>
      </c>
      <c r="EG42" s="785">
        <f>EG43</f>
        <v>45078</v>
      </c>
      <c r="EH42" s="785">
        <f>EH43</f>
        <v>45170</v>
      </c>
      <c r="EI42" s="805">
        <f>EI43</f>
        <v>45261</v>
      </c>
      <c r="EL42" s="37"/>
      <c r="EM42" s="44"/>
      <c r="EN42" s="804">
        <f>EN43</f>
        <v>44896</v>
      </c>
      <c r="EO42" s="785">
        <f>EO43</f>
        <v>44986</v>
      </c>
      <c r="EP42" s="785">
        <f>EP43</f>
        <v>45078</v>
      </c>
      <c r="EQ42" s="785">
        <f>EQ43</f>
        <v>45170</v>
      </c>
      <c r="ER42" s="805">
        <f>ER43</f>
        <v>45261</v>
      </c>
      <c r="EU42" s="37"/>
      <c r="EV42" s="44"/>
      <c r="EW42" s="804">
        <f>EW43</f>
        <v>44896</v>
      </c>
      <c r="EX42" s="785">
        <f>EX43</f>
        <v>44986</v>
      </c>
      <c r="EY42" s="785">
        <f>EY43</f>
        <v>45078</v>
      </c>
      <c r="EZ42" s="785">
        <f>EZ43</f>
        <v>45170</v>
      </c>
      <c r="FA42" s="805">
        <f>FA43</f>
        <v>45261</v>
      </c>
      <c r="FI42" s="37"/>
      <c r="FJ42" s="44"/>
      <c r="FK42" s="804">
        <f>FK43</f>
        <v>44440</v>
      </c>
      <c r="FL42" s="785">
        <f>FL43</f>
        <v>44531</v>
      </c>
      <c r="FM42" s="785">
        <f>FM43</f>
        <v>44621</v>
      </c>
      <c r="FN42" s="785">
        <f>FN43</f>
        <v>44713</v>
      </c>
      <c r="FO42" s="805">
        <f>FO43</f>
        <v>44805</v>
      </c>
      <c r="FQ42" s="37"/>
      <c r="FR42" s="44"/>
      <c r="FS42" s="804">
        <f>FS43</f>
        <v>44440</v>
      </c>
      <c r="FT42" s="785">
        <f>FT43</f>
        <v>44531</v>
      </c>
      <c r="FU42" s="785">
        <f>FU43</f>
        <v>44621</v>
      </c>
      <c r="FV42" s="785">
        <f>FV43</f>
        <v>44713</v>
      </c>
      <c r="FW42" s="805">
        <f>FW43</f>
        <v>44805</v>
      </c>
      <c r="FY42" s="37"/>
      <c r="FZ42" s="44"/>
      <c r="GA42" s="804">
        <f>GA43</f>
        <v>44440</v>
      </c>
      <c r="GB42" s="785">
        <f>GB43</f>
        <v>44531</v>
      </c>
      <c r="GC42" s="785">
        <f>GC43</f>
        <v>44621</v>
      </c>
      <c r="GD42" s="785">
        <f>GD43</f>
        <v>44713</v>
      </c>
      <c r="GE42" s="805">
        <f>GE43</f>
        <v>44805</v>
      </c>
      <c r="GM42" s="260"/>
      <c r="GN42" s="51"/>
      <c r="GO42" s="804">
        <f>GO43</f>
        <v>44896</v>
      </c>
      <c r="GP42" s="785">
        <f>GP43</f>
        <v>44986</v>
      </c>
      <c r="GQ42" s="785">
        <f>GQ43</f>
        <v>45078</v>
      </c>
      <c r="GR42" s="785">
        <f>GR43</f>
        <v>45170</v>
      </c>
      <c r="GS42" s="805">
        <f>GS43</f>
        <v>45261</v>
      </c>
      <c r="GU42" s="1016" t="s">
        <v>418</v>
      </c>
      <c r="GV42" s="889">
        <v>35</v>
      </c>
      <c r="GW42" s="935">
        <f t="shared" si="15"/>
        <v>754.34088486786561</v>
      </c>
      <c r="GX42" s="797">
        <f t="shared" si="16"/>
        <v>117.63324368426646</v>
      </c>
      <c r="GY42" s="797">
        <f t="shared" si="17"/>
        <v>244.98443382895042</v>
      </c>
      <c r="GZ42" s="797">
        <f t="shared" si="18"/>
        <v>328.01805793946528</v>
      </c>
      <c r="HA42" s="936">
        <f t="shared" si="19"/>
        <v>556.61038664084856</v>
      </c>
      <c r="KY42" s="704" t="s">
        <v>472</v>
      </c>
      <c r="KZ42" s="91"/>
      <c r="LA42" s="796"/>
      <c r="LB42" s="797"/>
      <c r="LC42" s="797"/>
      <c r="LD42" s="797"/>
      <c r="LE42" s="798"/>
    </row>
    <row r="43" spans="10:372" ht="12.9" thickTop="1" thickBot="1">
      <c r="W43" s="91" t="s">
        <v>559</v>
      </c>
      <c r="X43" s="316">
        <v>13</v>
      </c>
      <c r="Y43" s="802">
        <f t="shared" si="34"/>
        <v>384.32177999999999</v>
      </c>
      <c r="Z43" s="75">
        <f t="shared" si="35"/>
        <v>591.29629399999999</v>
      </c>
      <c r="AA43" s="75">
        <f t="shared" si="36"/>
        <v>366.16090169507112</v>
      </c>
      <c r="AB43" s="75">
        <f t="shared" si="37"/>
        <v>210.88197878709929</v>
      </c>
      <c r="AC43" s="803">
        <f t="shared" si="38"/>
        <v>426.17099999999999</v>
      </c>
      <c r="BD43" s="869"/>
      <c r="BE43" s="869" t="s">
        <v>590</v>
      </c>
      <c r="BF43" s="316">
        <v>63</v>
      </c>
      <c r="BG43" s="796">
        <f t="shared" si="28"/>
        <v>-9.0909090909090899</v>
      </c>
      <c r="BH43" s="797">
        <f t="shared" si="29"/>
        <v>-4.3478260869565197</v>
      </c>
      <c r="BI43" s="797">
        <f t="shared" si="30"/>
        <v>-25</v>
      </c>
      <c r="BJ43" s="797">
        <f t="shared" si="31"/>
        <v>-21.052631578947366</v>
      </c>
      <c r="BK43" s="798">
        <f t="shared" si="32"/>
        <v>-9.5238095238095237</v>
      </c>
      <c r="CD43" s="260"/>
      <c r="CE43" s="64">
        <v>1</v>
      </c>
      <c r="CF43" s="48">
        <f>INDEX($Q$74:$CG$276,MAX($CG$74:$CG$276)-4,$CE43)</f>
        <v>44805</v>
      </c>
      <c r="CG43" s="49">
        <f>INDEX($Q$74:$CG$276,MAX($CG$74:$CG$276)-3,$CE43)</f>
        <v>44896</v>
      </c>
      <c r="CH43" s="49">
        <f>INDEX($Q$74:$CG$276,MAX($CG$74:$CG$276)-2,$CE43)</f>
        <v>44986</v>
      </c>
      <c r="CI43" s="49">
        <f>INDEX($Q$74:$CG$276,MAX($CG$74:$CG$276)-1,$CE43)</f>
        <v>45078</v>
      </c>
      <c r="CJ43" s="50">
        <f>INDEX($Q$74:$CG$276,MAX($CG$74:$CG$276),$CE43)</f>
        <v>45170</v>
      </c>
      <c r="CL43" s="260"/>
      <c r="CM43" s="64">
        <v>1</v>
      </c>
      <c r="CN43" s="893">
        <f>INDEX($Q$74:$DC$276,MAX($CT$74:$CT$276)-4,$CM43)</f>
        <v>44621</v>
      </c>
      <c r="CO43" s="759">
        <f>INDEX($Q$74:$DC$276,MAX($CT$74:$CT$276)-3,$CM43)</f>
        <v>44713</v>
      </c>
      <c r="CP43" s="759">
        <f>INDEX($Q$74:$DC$276,MAX($CT$74:$CT$276)-2,$CM43)</f>
        <v>44805</v>
      </c>
      <c r="CQ43" s="759">
        <f>INDEX($Q$74:$DC$276,MAX($CT$74:$CT$276)-1,$CM43)</f>
        <v>44896</v>
      </c>
      <c r="CR43" s="760">
        <f>INDEX($Q$74:$DC$276,MAX($CT$74:$CT$276),$CM43)</f>
        <v>44986</v>
      </c>
      <c r="CU43" s="260"/>
      <c r="CV43" s="64">
        <v>1</v>
      </c>
      <c r="CW43" s="893">
        <f>INDEX($Q$74:$DC$276,MAX($DC$74:$DC$276)-4,$CV43)</f>
        <v>44621</v>
      </c>
      <c r="CX43" s="759">
        <f>INDEX($Q$74:$DC$276,MAX($DC$74:$DC$276)-3,$CV43)</f>
        <v>44713</v>
      </c>
      <c r="CY43" s="759">
        <f>INDEX($Q$74:$DC$276,MAX($DC$74:$DC$276)-2,$CV43)</f>
        <v>44805</v>
      </c>
      <c r="CZ43" s="759">
        <f>INDEX($Q$74:$DC$276,MAX($DC$74:$DC$276)-1,$CV43)</f>
        <v>44896</v>
      </c>
      <c r="DA43" s="760">
        <f>INDEX($Q$74:$DC$276,MAX($DC$74:$DC$276),$CV43)</f>
        <v>44986</v>
      </c>
      <c r="DE43" s="260"/>
      <c r="DF43" s="64">
        <v>1</v>
      </c>
      <c r="DG43" s="893">
        <f>INDEX($DD$74:$FH$276,MAX($DG$74:$DG$276)-4,$DF43)</f>
        <v>44896</v>
      </c>
      <c r="DH43" s="759">
        <f>INDEX($DD$74:$FH$276,MAX($DG$74:$DG$276)-3,$DF43)</f>
        <v>44986</v>
      </c>
      <c r="DI43" s="759">
        <f>INDEX($DD$74:$FH$276,MAX($DG$74:$DG$276)-2,$DF43)</f>
        <v>45078</v>
      </c>
      <c r="DJ43" s="759">
        <f>INDEX($DD$74:$FH$276,MAX($DG$74:$DG$276)-1,$DF43)</f>
        <v>45170</v>
      </c>
      <c r="DK43" s="760">
        <f>INDEX($DD$74:$FH$276,MAX($DG$74:$DG$276),$DF43)</f>
        <v>45261</v>
      </c>
      <c r="DM43" s="260"/>
      <c r="DN43" s="64">
        <v>1</v>
      </c>
      <c r="DO43" s="893">
        <f>INDEX($DD$74:$FH$276,MAX($DJ$74:$DJ$276)-4,$DN43)</f>
        <v>44896</v>
      </c>
      <c r="DP43" s="759">
        <f>INDEX($DD$74:$FH$276,MAX($DJ$74:$DJ$276)-3,$DN43)</f>
        <v>44986</v>
      </c>
      <c r="DQ43" s="759">
        <f>INDEX($DD$74:$FH$276,MAX($DJ$74:$DJ$276)-2,$DN43)</f>
        <v>45078</v>
      </c>
      <c r="DR43" s="759">
        <f>INDEX($DD$74:$FH$276,MAX($DJ$74:$DJ$276)-1,$DN43)</f>
        <v>45170</v>
      </c>
      <c r="DS43" s="760">
        <f>INDEX($DD$74:$FH$276,MAX($DJ$74:$DJ$276),$DN43)</f>
        <v>45261</v>
      </c>
      <c r="DU43" s="260"/>
      <c r="DV43" s="929">
        <v>1</v>
      </c>
      <c r="DW43" s="893">
        <f>INDEX($DD$74:$FH$276,MAX($DS$74:$DS$276)-4,$DV43)</f>
        <v>44896</v>
      </c>
      <c r="DX43" s="759">
        <f>INDEX($DD$74:$FH$276,MAX($DS$74:$DS$276)-3,$DV43)</f>
        <v>44986</v>
      </c>
      <c r="DY43" s="759">
        <f>INDEX($DD$74:$FH$276,MAX($DS$74:$DS$276)-2,$DV43)</f>
        <v>45078</v>
      </c>
      <c r="DZ43" s="759">
        <f>INDEX($DD$74:$FH$276,MAX($DS$74:$DS$276)-1,$DV43)</f>
        <v>45170</v>
      </c>
      <c r="EA43" s="760">
        <f>INDEX($DD$74:$FH$276,MAX($DS$74:$DS$276),$DV43)</f>
        <v>45261</v>
      </c>
      <c r="EC43" s="260"/>
      <c r="ED43" s="929">
        <v>1</v>
      </c>
      <c r="EE43" s="893">
        <f t="shared" ref="EE43:EE48" si="39">INDEX($DD$74:$FH$276,MAX($EF$74:$EF$276)-4,$ED43)</f>
        <v>44896</v>
      </c>
      <c r="EF43" s="759">
        <f t="shared" ref="EF43:EF48" si="40">INDEX($DD$74:$FH$276,MAX($EF$74:$EF$276)-3,$ED43)</f>
        <v>44986</v>
      </c>
      <c r="EG43" s="759">
        <f t="shared" ref="EG43:EG48" si="41">INDEX($DD$74:$FH$276,MAX($EF$74:$EF$276)-2,$ED43)</f>
        <v>45078</v>
      </c>
      <c r="EH43" s="759">
        <f t="shared" ref="EH43:EH48" si="42">INDEX($DD$74:$FH$276,MAX($EF$74:$EF$276)-1,$ED43)</f>
        <v>45170</v>
      </c>
      <c r="EI43" s="760">
        <f t="shared" ref="EI43:EI48" si="43">INDEX($DD$74:$FH$276,MAX($EF$74:$EF$276),$ED43)</f>
        <v>45261</v>
      </c>
      <c r="EL43" s="260"/>
      <c r="EM43" s="929">
        <v>1</v>
      </c>
      <c r="EN43" s="893">
        <f>INDEX($DD$74:$FH$276,MAX($EW$74:$EW$276)-4,$EM43)</f>
        <v>44896</v>
      </c>
      <c r="EO43" s="759">
        <f>INDEX($DD$74:$FH$276,MAX($EW$74:$EW$276)-3,$EM43)</f>
        <v>44986</v>
      </c>
      <c r="EP43" s="759">
        <f>INDEX($DD$74:$FH$276,MAX($EW$74:$EW$276)-2,$EM43)</f>
        <v>45078</v>
      </c>
      <c r="EQ43" s="759">
        <f>INDEX($DD$74:$FH$276,MAX($EW$74:$EW$276)-1,$EM43)</f>
        <v>45170</v>
      </c>
      <c r="ER43" s="760">
        <f>INDEX($DD$74:$FH$276,MAX($EW$74:$EW$276),$EM43)</f>
        <v>45261</v>
      </c>
      <c r="EU43" s="260"/>
      <c r="EV43" s="929">
        <v>1</v>
      </c>
      <c r="EW43" s="893">
        <f>INDEX($DD$74:$FH$276,MAX($FH$74:$FH$276)-4,$EV43)</f>
        <v>44896</v>
      </c>
      <c r="EX43" s="759">
        <f>INDEX($DD$74:$FH$276,MAX($FH$74:$FH$276)-3,$EV43)</f>
        <v>44986</v>
      </c>
      <c r="EY43" s="759">
        <f>INDEX($DD$74:$FH$276,MAX($FH$74:$FH$276)-2,$EV43)</f>
        <v>45078</v>
      </c>
      <c r="EZ43" s="759">
        <f>INDEX($DD$74:$FH$276,MAX($FH$74:$FH$276)-1,$EV43)</f>
        <v>45170</v>
      </c>
      <c r="FA43" s="760">
        <f>INDEX($DD$74:$FH$276,MAX($FH$74:$FH$276),$EV43)</f>
        <v>45261</v>
      </c>
      <c r="FI43" s="260"/>
      <c r="FJ43" s="929">
        <v>1</v>
      </c>
      <c r="FK43" s="893">
        <f>INDEX($FI$74:$GS$276,MAX($FM$74:$FM$276)-4,$FJ43)</f>
        <v>44440</v>
      </c>
      <c r="FL43" s="759">
        <f>INDEX($FI$74:$GS$276,MAX($FM$74:$FM$276)-3,$FJ43)</f>
        <v>44531</v>
      </c>
      <c r="FM43" s="759">
        <f>INDEX($FI$74:$GS$276,MAX($FM$74:$FM$276)-2,$FJ43)</f>
        <v>44621</v>
      </c>
      <c r="FN43" s="759">
        <f>INDEX($FI$74:$GS$276,MAX($FM$74:$FM$276)-1,$FJ43)</f>
        <v>44713</v>
      </c>
      <c r="FO43" s="760">
        <f>INDEX($FI$74:$GS$276,MAX($FM$74:$FM$276),$FJ43)</f>
        <v>44805</v>
      </c>
      <c r="FQ43" s="260"/>
      <c r="FR43" s="929">
        <v>1</v>
      </c>
      <c r="FS43" s="893">
        <f>INDEX($FI$74:$GS$276,MAX($FX$74:$FX$276)-4,$FR43)</f>
        <v>44440</v>
      </c>
      <c r="FT43" s="759">
        <f>INDEX($FI$74:$GS$276,MAX($FX$74:$FX$276)-3,$FR43)</f>
        <v>44531</v>
      </c>
      <c r="FU43" s="759">
        <f>INDEX($FI$74:$GS$276,MAX($FX$74:$FX$276)-2,$FR43)</f>
        <v>44621</v>
      </c>
      <c r="FV43" s="759">
        <f>INDEX($FI$74:$GS$276,MAX($FX$74:$FX$276)-1,$FR43)</f>
        <v>44713</v>
      </c>
      <c r="FW43" s="760">
        <f>INDEX($FI$74:$GS$276,MAX($FX$74:$FX$276),$FR43)</f>
        <v>44805</v>
      </c>
      <c r="FY43" s="260"/>
      <c r="FZ43" s="929">
        <v>1</v>
      </c>
      <c r="GA43" s="893">
        <f>INDEX($FI$74:$GS$276,MAX($GJ$74:$GJ$276)-4,$FZ43)</f>
        <v>44440</v>
      </c>
      <c r="GB43" s="759">
        <f>INDEX($FI$74:$GS$276,MAX($GJ$74:$GJ$276)-3,$FZ43)</f>
        <v>44531</v>
      </c>
      <c r="GC43" s="759">
        <f>INDEX($FI$74:$GS$276,MAX($GJ$74:$GJ$276)-2,$FZ43)</f>
        <v>44621</v>
      </c>
      <c r="GD43" s="759">
        <f>INDEX($FI$74:$GS$276,MAX($GJ$74:$GJ$276)-1,$FZ43)</f>
        <v>44713</v>
      </c>
      <c r="GE43" s="760">
        <f>INDEX($FI$74:$GS$276,MAX($GJ$74:$GJ$276),$FZ43)</f>
        <v>44805</v>
      </c>
      <c r="GM43" s="998"/>
      <c r="GN43" s="999">
        <v>1</v>
      </c>
      <c r="GO43" s="758">
        <f>INDEX($FI$74:$GS$276,MAX($GS$74:$GS$276)-4,$GN43)</f>
        <v>44896</v>
      </c>
      <c r="GP43" s="759">
        <f>INDEX($FI$74:$GS$276,MAX($GS$74:$GS$276)-3,$GN43)</f>
        <v>44986</v>
      </c>
      <c r="GQ43" s="759">
        <f>INDEX($FI$74:$GS$276,MAX($GS$74:$GS$276)-2,$GN43)</f>
        <v>45078</v>
      </c>
      <c r="GR43" s="759">
        <f>INDEX($FI$74:$GS$276,MAX($GS$74:$GS$276)-1,$GN43)</f>
        <v>45170</v>
      </c>
      <c r="GS43" s="760">
        <f>INDEX($FI$74:$GS$276,MAX($GS$74:$GS$276),$GN43)</f>
        <v>45261</v>
      </c>
      <c r="GU43" s="1011" t="s">
        <v>419</v>
      </c>
      <c r="GV43" s="889">
        <v>36</v>
      </c>
      <c r="GW43" s="935">
        <f t="shared" si="15"/>
        <v>446.95107002200007</v>
      </c>
      <c r="GX43" s="797">
        <f t="shared" si="16"/>
        <v>63.928058909000001</v>
      </c>
      <c r="GY43" s="797">
        <f t="shared" si="17"/>
        <v>176.816106789</v>
      </c>
      <c r="GZ43" s="797">
        <f t="shared" si="18"/>
        <v>232.85694697400001</v>
      </c>
      <c r="HA43" s="936">
        <f t="shared" si="19"/>
        <v>418.87658417599999</v>
      </c>
      <c r="KY43" s="1063" t="s">
        <v>487</v>
      </c>
      <c r="KZ43" s="418">
        <f t="shared" si="21"/>
        <v>82</v>
      </c>
      <c r="LA43" s="799">
        <f t="shared" si="10"/>
        <v>-9.8920000000000528</v>
      </c>
      <c r="LB43" s="800">
        <f t="shared" si="11"/>
        <v>-87.257000000000005</v>
      </c>
      <c r="LC43" s="800">
        <f t="shared" si="12"/>
        <v>-167.74299999999999</v>
      </c>
      <c r="LD43" s="800">
        <f t="shared" si="13"/>
        <v>-174.25500000000005</v>
      </c>
      <c r="LE43" s="801">
        <f t="shared" si="14"/>
        <v>-149.24200000000008</v>
      </c>
    </row>
    <row r="44" spans="10:372" ht="25.2" thickTop="1" thickBot="1">
      <c r="W44" s="91" t="s">
        <v>560</v>
      </c>
      <c r="X44" s="316">
        <v>14</v>
      </c>
      <c r="Y44" s="802">
        <f t="shared" si="34"/>
        <v>170.20802599999999</v>
      </c>
      <c r="Z44" s="75">
        <f t="shared" si="35"/>
        <v>217.875799</v>
      </c>
      <c r="AA44" s="75">
        <f t="shared" si="36"/>
        <v>281.79192</v>
      </c>
      <c r="AB44" s="75">
        <f t="shared" si="37"/>
        <v>375.919397</v>
      </c>
      <c r="AC44" s="803">
        <f t="shared" si="38"/>
        <v>234.13803999999999</v>
      </c>
      <c r="BD44" s="874"/>
      <c r="BE44" s="875" t="s">
        <v>580</v>
      </c>
      <c r="BF44" s="317">
        <v>64</v>
      </c>
      <c r="BG44" s="799">
        <f t="shared" si="28"/>
        <v>-22.727272727272727</v>
      </c>
      <c r="BH44" s="800">
        <f t="shared" si="29"/>
        <v>-8.695652173913043</v>
      </c>
      <c r="BI44" s="800">
        <f t="shared" si="30"/>
        <v>-20</v>
      </c>
      <c r="BJ44" s="800">
        <f t="shared" si="31"/>
        <v>-31.578947368421055</v>
      </c>
      <c r="BK44" s="801">
        <f t="shared" si="32"/>
        <v>-23.80952380952381</v>
      </c>
      <c r="CD44" s="881" t="s">
        <v>599</v>
      </c>
      <c r="CE44" s="792">
        <v>66</v>
      </c>
      <c r="CF44" s="55">
        <f>INDEX($Q$74:$CG$276,MAX($CG$74:$CG$276)-4,$CE44)</f>
        <v>82323</v>
      </c>
      <c r="CG44" s="56">
        <f>INDEX($Q$74:$CG$276,MAX($CG$74:$CG$276)-3,$CE44)</f>
        <v>82473</v>
      </c>
      <c r="CH44" s="56">
        <f>INDEX($Q$74:$CG$276,MAX($CG$74:$CG$276)-2,$CE44)</f>
        <v>82143</v>
      </c>
      <c r="CI44" s="56">
        <f>INDEX($Q$74:$CG$276,MAX($CG$74:$CG$276)-1,$CE44)</f>
        <v>81884</v>
      </c>
      <c r="CJ44" s="57">
        <f>INDEX($Q$74:$CG$276,MAX($CG$74:$CG$276),$CE44)</f>
        <v>81913</v>
      </c>
      <c r="CL44" s="886" t="s">
        <v>609</v>
      </c>
      <c r="CM44" s="887">
        <v>70</v>
      </c>
      <c r="CN44" s="894">
        <f t="shared" ref="CN44:CN55" si="44">INDEX($Q$74:$DC$276,MAX($CT$74:$CT$276)-4,$CM44)</f>
        <v>11706</v>
      </c>
      <c r="CO44" s="895">
        <f t="shared" ref="CO44:CO55" si="45">INDEX($Q$74:$DC$276,MAX($CT$74:$CT$276)-3,$CM44)</f>
        <v>12615</v>
      </c>
      <c r="CP44" s="895">
        <f t="shared" ref="CP44:CP55" si="46">INDEX($Q$74:$DC$276,MAX($CT$74:$CT$276)-2,$CM44)</f>
        <v>11803</v>
      </c>
      <c r="CQ44" s="895">
        <f t="shared" ref="CQ44:CQ55" si="47">INDEX($Q$74:$DC$276,MAX($CT$74:$CT$276)-1,$CM44)</f>
        <v>13603</v>
      </c>
      <c r="CR44" s="896">
        <f t="shared" ref="CR44:CR55" si="48">INDEX($Q$74:$DC$276,MAX($CT$74:$CT$276),$CM44)</f>
        <v>17606</v>
      </c>
      <c r="CU44" s="899" t="s">
        <v>622</v>
      </c>
      <c r="CV44" s="887">
        <v>83</v>
      </c>
      <c r="CW44" s="894">
        <f>INDEX($Q$74:$DC$276,MAX($DC$74:$DC$276)-4,$CV44)</f>
        <v>12332</v>
      </c>
      <c r="CX44" s="895">
        <f>INDEX($Q$74:$DC$276,MAX($DC$74:$DC$276)-3,$CV44)</f>
        <v>10444</v>
      </c>
      <c r="CY44" s="895">
        <f>INDEX($Q$74:$DC$276,MAX($DC$74:$DC$276)-2,$CV44)</f>
        <v>15217</v>
      </c>
      <c r="CZ44" s="895">
        <f>INDEX($Q$74:$DC$276,MAX($DC$74:$DC$276)-1,$CV44)</f>
        <v>16587</v>
      </c>
      <c r="DA44" s="896">
        <f>INDEX($Q$74:$DC$276,MAX($DC$74:$DC$276),$CV44)</f>
        <v>12214</v>
      </c>
      <c r="DE44" s="921" t="s">
        <v>633</v>
      </c>
      <c r="DF44" s="887">
        <v>2</v>
      </c>
      <c r="DG44" s="894">
        <f>INDEX($DD$74:$FH$276,MAX($DG$74:$DG$276)-4,$DF44)</f>
        <v>748.35125717899996</v>
      </c>
      <c r="DH44" s="895">
        <f>INDEX($DD$74:$FH$276,MAX($DG$74:$DG$276)-3,$DF44)</f>
        <v>693.80107024899996</v>
      </c>
      <c r="DI44" s="895">
        <f>INDEX($DD$74:$FH$276,MAX($DG$74:$DG$276)-2,$DF44)</f>
        <v>686.813883519</v>
      </c>
      <c r="DJ44" s="895">
        <f>INDEX($DD$74:$FH$276,MAX($DG$74:$DG$276)-1,$DF44)</f>
        <v>624.37754000300004</v>
      </c>
      <c r="DK44" s="896">
        <f>INDEX($DD$74:$FH$276,MAX($DG$74:$DG$276),$DF44)</f>
        <v>699.56294215200001</v>
      </c>
      <c r="DM44" s="905" t="s">
        <v>636</v>
      </c>
      <c r="DN44" s="887">
        <v>5</v>
      </c>
      <c r="DO44" s="894">
        <f>INDEX($DD$74:$FH$276,MAX($DJ$74:$DJ$276)-4,$DN44)</f>
        <v>949.471688352</v>
      </c>
      <c r="DP44" s="895">
        <f>INDEX($DD$74:$FH$276,MAX($DJ$74:$DJ$276)-3,$DN44)</f>
        <v>864.46288067037494</v>
      </c>
      <c r="DQ44" s="895">
        <f>INDEX($DD$74:$FH$276,MAX($DJ$74:$DJ$276)-2,$DN44)</f>
        <v>873.37362322499996</v>
      </c>
      <c r="DR44" s="895">
        <f>INDEX($DD$74:$FH$276,MAX($DJ$74:$DJ$276)-1,$DN44)</f>
        <v>867.56550407422799</v>
      </c>
      <c r="DS44" s="896">
        <f>INDEX($DD$74:$FH$276,MAX($DJ$74:$DJ$276),$DN44)</f>
        <v>961.39779235289097</v>
      </c>
      <c r="DU44" s="930" t="s">
        <v>642</v>
      </c>
      <c r="DV44" s="887">
        <v>13</v>
      </c>
      <c r="DW44" s="932">
        <f>INDEX($DD$74:$FH$276,MAX($DS$74:$DS$276)-4,$DV44)</f>
        <v>172.69645755126868</v>
      </c>
      <c r="DX44" s="933">
        <f>INDEX($DD$74:$FH$276,MAX($DS$74:$DS$276)-3,$DV44)</f>
        <v>170.65928250240501</v>
      </c>
      <c r="DY44" s="933">
        <f>INDEX($DD$74:$FH$276,MAX($DS$74:$DS$276)-2,$DV44)</f>
        <v>173.99781314745474</v>
      </c>
      <c r="DZ44" s="933">
        <f>INDEX($DD$74:$FH$276,MAX($DS$74:$DS$276)-1,$DV44)</f>
        <v>175.50144030498919</v>
      </c>
      <c r="EA44" s="934">
        <f>INDEX($DD$74:$FH$276,MAX($DS$74:$DS$276),$DV44)</f>
        <v>179.67492222203327</v>
      </c>
      <c r="EC44" s="941" t="s">
        <v>651</v>
      </c>
      <c r="ED44" s="887">
        <v>24</v>
      </c>
      <c r="EE44" s="932">
        <f t="shared" si="39"/>
        <v>551.52482362000001</v>
      </c>
      <c r="EF44" s="933">
        <f t="shared" si="40"/>
        <v>512.98247863200004</v>
      </c>
      <c r="EG44" s="933">
        <f t="shared" si="41"/>
        <v>522.10059471800002</v>
      </c>
      <c r="EH44" s="933">
        <f t="shared" si="42"/>
        <v>529.29129958400006</v>
      </c>
      <c r="EI44" s="934">
        <f t="shared" si="43"/>
        <v>565.90447214400001</v>
      </c>
      <c r="EL44" s="930" t="s">
        <v>663</v>
      </c>
      <c r="EM44" s="887">
        <v>36</v>
      </c>
      <c r="EN44" s="932">
        <f t="shared" ref="EN44:EN53" si="49">INDEX($DD$74:$FH$276,MAX($EW$74:$EW$276)-4,$EM44)</f>
        <v>475.14969001899999</v>
      </c>
      <c r="EO44" s="933">
        <f t="shared" ref="EO44:EO53" si="50">INDEX($DD$74:$FH$276,MAX($EW$74:$EW$276)-3,$EM44)</f>
        <v>467.43536460899998</v>
      </c>
      <c r="EP44" s="933">
        <f t="shared" ref="EP44:EP53" si="51">INDEX($DD$74:$FH$276,MAX($EW$74:$EW$276)-2,$EM44)</f>
        <v>452.18488259499998</v>
      </c>
      <c r="EQ44" s="933">
        <f t="shared" ref="EQ44:EQ53" si="52">INDEX($DD$74:$FH$276,MAX($EW$74:$EW$276)-1,$EM44)</f>
        <v>456.53218923899999</v>
      </c>
      <c r="ER44" s="934">
        <f t="shared" ref="ER44:ER53" si="53">INDEX($DD$74:$FH$276,MAX($EW$74:$EW$276),$EM44)</f>
        <v>0</v>
      </c>
      <c r="EU44" s="930" t="s">
        <v>663</v>
      </c>
      <c r="EV44" s="887">
        <v>47</v>
      </c>
      <c r="EW44" s="932">
        <f t="shared" ref="EW44:EW53" si="54">INDEX($DD$74:$FH$276,MAX($FH$74:$FH$276)-4,$EV44)</f>
        <v>95.245066007999995</v>
      </c>
      <c r="EX44" s="933">
        <f t="shared" ref="EX44:EX53" si="55">INDEX($DD$74:$FH$276,MAX($FH$74:$FH$276)-3,$EV44)</f>
        <v>113.00471533699999</v>
      </c>
      <c r="EY44" s="933">
        <f t="shared" ref="EY44:EY53" si="56">INDEX($DD$74:$FH$276,MAX($FH$74:$FH$276)-2,$EV44)</f>
        <v>113.722828647</v>
      </c>
      <c r="EZ44" s="933">
        <f t="shared" ref="EZ44:EZ53" si="57">INDEX($DD$74:$FH$276,MAX($FH$74:$FH$276)-1,$EV44)</f>
        <v>99.895209113000007</v>
      </c>
      <c r="FA44" s="934">
        <f t="shared" ref="FA44:FA53" si="58">INDEX($DD$74:$FH$276,MAX($FH$74:$FH$276),$EV44)</f>
        <v>0</v>
      </c>
      <c r="FI44" s="983" t="s">
        <v>692</v>
      </c>
      <c r="FJ44" s="984">
        <v>2</v>
      </c>
      <c r="FK44" s="932">
        <f>INDEX($FI$74:$GS$276,MAX($FM$74:$FM$276)-4,$FJ44)</f>
        <v>971</v>
      </c>
      <c r="FL44" s="933">
        <f>INDEX($FI$74:$GS$276,MAX($FM$74:$FM$276)-3,$FJ44)</f>
        <v>1328</v>
      </c>
      <c r="FM44" s="933">
        <f>INDEX($FI$74:$GS$276,MAX($FM$74:$FM$276)-2,$FJ44)</f>
        <v>2144</v>
      </c>
      <c r="FN44" s="933">
        <f>INDEX($FI$74:$GS$276,MAX($FM$74:$FM$276)-1,$FJ44)</f>
        <v>3196.8326777759853</v>
      </c>
      <c r="FO44" s="934">
        <f>INDEX($FI$74:$GS$276,MAX($FM$74:$FM$276),$FJ44)</f>
        <v>1434</v>
      </c>
      <c r="FQ44" s="989" t="s">
        <v>697</v>
      </c>
      <c r="FR44" s="887">
        <v>6</v>
      </c>
      <c r="FS44" s="932">
        <f t="shared" ref="FS44:FS53" si="59">INDEX($FI$74:$GS$276,MAX($FX$74:$FX$276)-4,$FR44)</f>
        <v>51</v>
      </c>
      <c r="FT44" s="933">
        <f t="shared" ref="FT44:FT53" si="60">INDEX($FI$74:$GS$276,MAX($FX$74:$FX$276)-3,$FR44)</f>
        <v>55</v>
      </c>
      <c r="FU44" s="933">
        <f t="shared" ref="FU44:FU53" si="61">INDEX($FI$74:$GS$276,MAX($FX$74:$FX$276)-2,$FR44)</f>
        <v>26</v>
      </c>
      <c r="FV44" s="933">
        <f t="shared" ref="FV44:FV53" si="62">INDEX($FI$74:$GS$276,MAX($FX$74:$FX$276)-1,$FR44)</f>
        <v>20.165062388591799</v>
      </c>
      <c r="FW44" s="934">
        <f t="shared" ref="FW44:FW53" si="63">INDEX($FI$74:$GS$276,MAX($FX$74:$FX$276),$FR44)</f>
        <v>59</v>
      </c>
      <c r="FY44" s="989" t="s">
        <v>707</v>
      </c>
      <c r="FZ44" s="887">
        <v>17</v>
      </c>
      <c r="GA44" s="932">
        <f t="shared" ref="GA44:GA54" si="64">INDEX($FI$74:$GS$276,MAX($GJ$74:$GJ$276)-4,$FZ44)</f>
        <v>0</v>
      </c>
      <c r="GB44" s="933">
        <f t="shared" ref="GB44:GB54" si="65">INDEX($FI$74:$GS$276,MAX($GJ$74:$GJ$276)-3,$FZ44)</f>
        <v>4</v>
      </c>
      <c r="GC44" s="933">
        <f t="shared" ref="GC44:GC54" si="66">INDEX($FI$74:$GS$276,MAX($GJ$74:$GJ$276)-2,$FZ44)</f>
        <v>6</v>
      </c>
      <c r="GD44" s="933">
        <f t="shared" ref="GD44:GD54" si="67">INDEX($FI$74:$GS$276,MAX($GJ$74:$GJ$276)-1,$FZ44)</f>
        <v>0</v>
      </c>
      <c r="GE44" s="934">
        <f t="shared" ref="GE44:GE54" si="68">INDEX($FI$74:$GS$276,MAX($GJ$74:$GJ$276),$FZ44)</f>
        <v>4</v>
      </c>
      <c r="GM44" s="995" t="s">
        <v>720</v>
      </c>
      <c r="GN44" s="996">
        <v>35</v>
      </c>
      <c r="GO44" s="982">
        <f>INDEX($FI$74:$GS$276,MAX($GS$74:$GS$276)-4,$GN44)</f>
        <v>30.91</v>
      </c>
      <c r="GP44" s="933">
        <f>INDEX($FI$74:$GS$276,MAX($GS$74:$GS$276)-3,$GN44)</f>
        <v>31.17</v>
      </c>
      <c r="GQ44" s="933">
        <f>INDEX($FI$74:$GS$276,MAX($GS$74:$GS$276)-2,$GN44)</f>
        <v>30.52</v>
      </c>
      <c r="GR44" s="933">
        <f>INDEX($FI$74:$GS$276,MAX($GS$74:$GS$276)-1,$GN44)</f>
        <v>30</v>
      </c>
      <c r="GS44" s="934">
        <f>INDEX($FI$74:$GS$276,MAX($GS$74:$GS$276),$GN44)</f>
        <v>31</v>
      </c>
      <c r="GU44" s="1015" t="s">
        <v>420</v>
      </c>
      <c r="GV44" s="889">
        <v>37</v>
      </c>
      <c r="GW44" s="935">
        <f t="shared" si="15"/>
        <v>10</v>
      </c>
      <c r="GX44" s="797">
        <f t="shared" si="16"/>
        <v>0</v>
      </c>
      <c r="GY44" s="797">
        <f t="shared" si="17"/>
        <v>0.88775871400000006</v>
      </c>
      <c r="GZ44" s="797">
        <f t="shared" si="18"/>
        <v>1.3071919590000001</v>
      </c>
      <c r="HA44" s="936">
        <f t="shared" si="19"/>
        <v>1.3071919590000001</v>
      </c>
    </row>
    <row r="45" spans="10:372" ht="24.9" thickBot="1">
      <c r="W45" s="418" t="s">
        <v>562</v>
      </c>
      <c r="X45" s="317">
        <v>15</v>
      </c>
      <c r="Y45" s="273">
        <f t="shared" si="34"/>
        <v>15.807117485483049</v>
      </c>
      <c r="Z45" s="264">
        <f t="shared" si="35"/>
        <v>17.466216497126677</v>
      </c>
      <c r="AA45" s="264">
        <f t="shared" si="36"/>
        <v>17.782235259140588</v>
      </c>
      <c r="AB45" s="264">
        <f t="shared" si="37"/>
        <v>14.428880681000001</v>
      </c>
      <c r="AC45" s="265">
        <f t="shared" si="38"/>
        <v>14.123596976946496</v>
      </c>
      <c r="CD45" s="882" t="s">
        <v>600</v>
      </c>
      <c r="CE45" s="316">
        <v>67</v>
      </c>
      <c r="CF45" s="802">
        <f>INDEX($Q$74:$CG$276,MAX($CG$74:$CG$276)-4,$CE45)</f>
        <v>25680876</v>
      </c>
      <c r="CG45" s="75">
        <f>INDEX($Q$74:$CG$276,MAX($CG$74:$CG$276)-3,$CE45)</f>
        <v>25659436</v>
      </c>
      <c r="CH45" s="75">
        <f>INDEX($Q$74:$CG$276,MAX($CG$74:$CG$276)-2,$CE45)</f>
        <v>26044508</v>
      </c>
      <c r="CI45" s="75">
        <f>INDEX($Q$74:$CG$276,MAX($CG$74:$CG$276)-1,$CE45)</f>
        <v>26308462</v>
      </c>
      <c r="CJ45" s="803">
        <f>INDEX($Q$74:$CG$276,MAX($CG$74:$CG$276),$CE45)</f>
        <v>26427599</v>
      </c>
      <c r="CL45" s="888" t="s">
        <v>610</v>
      </c>
      <c r="CM45" s="889">
        <v>71</v>
      </c>
      <c r="CN45" s="897">
        <f t="shared" si="44"/>
        <v>4278</v>
      </c>
      <c r="CO45" s="75">
        <f t="shared" si="45"/>
        <v>4239</v>
      </c>
      <c r="CP45" s="75">
        <f t="shared" si="46"/>
        <v>4441</v>
      </c>
      <c r="CQ45" s="75">
        <f t="shared" si="47"/>
        <v>5056</v>
      </c>
      <c r="CR45" s="76">
        <f t="shared" si="48"/>
        <v>7858</v>
      </c>
      <c r="CU45" s="900" t="s">
        <v>623</v>
      </c>
      <c r="CV45" s="889">
        <v>84</v>
      </c>
      <c r="CW45" s="897">
        <f t="shared" ref="CW45:CW51" si="69">INDEX($Q$74:$DC$276,MAX($DC$74:$DC$276)-4,$CV45)</f>
        <v>78581</v>
      </c>
      <c r="CX45" s="75">
        <f t="shared" ref="CX45:CX51" si="70">INDEX($Q$74:$DC$276,MAX($DC$74:$DC$276)-3,$CV45)</f>
        <v>86582</v>
      </c>
      <c r="CY45" s="75">
        <f t="shared" ref="CY45:CY51" si="71">INDEX($Q$74:$DC$276,MAX($DC$74:$DC$276)-2,$CV45)</f>
        <v>81420</v>
      </c>
      <c r="CZ45" s="75">
        <f t="shared" ref="CZ45:CZ51" si="72">INDEX($Q$74:$DC$276,MAX($DC$74:$DC$276)-1,$CV45)</f>
        <v>88788</v>
      </c>
      <c r="DA45" s="76">
        <f t="shared" ref="DA45:DA51" si="73">INDEX($Q$74:$DC$276,MAX($DC$74:$DC$276),$CV45)</f>
        <v>73234</v>
      </c>
      <c r="DE45" s="922" t="s">
        <v>634</v>
      </c>
      <c r="DF45" s="898">
        <v>3</v>
      </c>
      <c r="DG45" s="923">
        <f>INDEX($DD$74:$FH$276,MAX($DG$74:$DG$276)-4,$DF45)</f>
        <v>494.26969100000002</v>
      </c>
      <c r="DH45" s="84">
        <f>INDEX($DD$74:$FH$276,MAX($DG$74:$DG$276)-3,$DF45)</f>
        <v>611.25936300000001</v>
      </c>
      <c r="DI45" s="84">
        <f>INDEX($DD$74:$FH$276,MAX($DG$74:$DG$276)-2,$DF45)</f>
        <v>532.01099799999997</v>
      </c>
      <c r="DJ45" s="84">
        <f>INDEX($DD$74:$FH$276,MAX($DG$74:$DG$276)-1,$DF45)</f>
        <v>464.98458599999998</v>
      </c>
      <c r="DK45" s="924">
        <f>INDEX($DD$74:$FH$276,MAX($DG$74:$DG$276),$DF45)</f>
        <v>419.53811300000001</v>
      </c>
      <c r="DM45" s="906" t="s">
        <v>637</v>
      </c>
      <c r="DN45" s="898">
        <v>6</v>
      </c>
      <c r="DO45" s="923">
        <f>INDEX($DD$74:$FH$276,MAX($DJ$74:$DJ$276)-4,$DN45)</f>
        <v>2343.4935009999999</v>
      </c>
      <c r="DP45" s="84">
        <f>INDEX($DD$74:$FH$276,MAX($DJ$74:$DJ$276)-3,$DN45)</f>
        <v>2145.5227089999998</v>
      </c>
      <c r="DQ45" s="84">
        <f>INDEX($DD$74:$FH$276,MAX($DJ$74:$DJ$276)-2,$DN45)</f>
        <v>2182.2213379999998</v>
      </c>
      <c r="DR45" s="84">
        <f>INDEX($DD$74:$FH$276,MAX($DJ$74:$DJ$276)-1,$DN45)</f>
        <v>2476.8817159999999</v>
      </c>
      <c r="DS45" s="924">
        <f>INDEX($DD$74:$FH$276,MAX($DJ$74:$DJ$276),$DN45)</f>
        <v>2424.744353</v>
      </c>
      <c r="DU45" s="900" t="s">
        <v>643</v>
      </c>
      <c r="DV45" s="889">
        <v>14</v>
      </c>
      <c r="DW45" s="935">
        <f>INDEX($DD$74:$FH$276,MAX($DS$74:$DS$276)-4,$DV45)</f>
        <v>132.22383172907399</v>
      </c>
      <c r="DX45" s="797">
        <f>INDEX($DD$74:$FH$276,MAX($DS$74:$DS$276)-3,$DV45)</f>
        <v>123.4253814211751</v>
      </c>
      <c r="DY45" s="797">
        <f>INDEX($DD$74:$FH$276,MAX($DS$74:$DS$276)-2,$DV45)</f>
        <v>120.34024053937735</v>
      </c>
      <c r="DZ45" s="797">
        <f>INDEX($DD$74:$FH$276,MAX($DS$74:$DS$276)-1,$DV45)</f>
        <v>107.92998726147185</v>
      </c>
      <c r="EA45" s="936">
        <f>INDEX($DD$74:$FH$276,MAX($DS$74:$DS$276),$DV45)</f>
        <v>118.97331927154251</v>
      </c>
      <c r="EC45" s="943" t="s">
        <v>86</v>
      </c>
      <c r="ED45" s="889">
        <v>25</v>
      </c>
      <c r="EE45" s="935">
        <f t="shared" si="39"/>
        <v>95.074188403999997</v>
      </c>
      <c r="EF45" s="797">
        <f t="shared" si="40"/>
        <v>60.942253847000003</v>
      </c>
      <c r="EG45" s="797">
        <f t="shared" si="41"/>
        <v>47.054705376000001</v>
      </c>
      <c r="EH45" s="797">
        <f t="shared" si="42"/>
        <v>7.9614614560000003</v>
      </c>
      <c r="EI45" s="936">
        <f t="shared" si="43"/>
        <v>35.508889758999999</v>
      </c>
      <c r="EL45" s="945" t="s">
        <v>664</v>
      </c>
      <c r="EM45" s="889">
        <v>37</v>
      </c>
      <c r="EN45" s="935">
        <f t="shared" si="49"/>
        <v>42.08</v>
      </c>
      <c r="EO45" s="797">
        <f t="shared" si="50"/>
        <v>16.809999999999999</v>
      </c>
      <c r="EP45" s="797">
        <f t="shared" si="51"/>
        <v>14.55</v>
      </c>
      <c r="EQ45" s="797">
        <f t="shared" si="52"/>
        <v>0</v>
      </c>
      <c r="ER45" s="936">
        <f t="shared" si="53"/>
        <v>0</v>
      </c>
      <c r="EU45" s="945" t="s">
        <v>664</v>
      </c>
      <c r="EV45" s="889">
        <v>48</v>
      </c>
      <c r="EW45" s="935">
        <f t="shared" si="54"/>
        <v>55.202577695000002</v>
      </c>
      <c r="EX45" s="797">
        <f t="shared" si="55"/>
        <v>47.296963978999997</v>
      </c>
      <c r="EY45" s="797">
        <f t="shared" si="56"/>
        <v>40.76470656</v>
      </c>
      <c r="EZ45" s="797">
        <f t="shared" si="57"/>
        <v>21.700344121000001</v>
      </c>
      <c r="FA45" s="936">
        <f t="shared" si="58"/>
        <v>0</v>
      </c>
      <c r="FI45" s="985" t="s">
        <v>693</v>
      </c>
      <c r="FJ45" s="987">
        <v>3</v>
      </c>
      <c r="FK45" s="19">
        <f>INDEX($FI$74:$GS$276,MAX($FM$74:$FM$276)-4,$FJ45)</f>
        <v>1470</v>
      </c>
      <c r="FL45" s="93">
        <f>INDEX($FI$74:$GS$276,MAX($FM$74:$FM$276)-3,$FJ45)</f>
        <v>1566</v>
      </c>
      <c r="FM45" s="93">
        <f>INDEX($FI$74:$GS$276,MAX($FM$74:$FM$276)-2,$FJ45)</f>
        <v>1702</v>
      </c>
      <c r="FN45" s="93">
        <f>INDEX($FI$74:$GS$276,MAX($FM$74:$FM$276)-1,$FJ45)</f>
        <v>1831.4810019026768</v>
      </c>
      <c r="FO45" s="20">
        <f>INDEX($FI$74:$GS$276,MAX($FM$74:$FM$276),$FJ45)</f>
        <v>1224</v>
      </c>
      <c r="FQ45" s="990" t="s">
        <v>698</v>
      </c>
      <c r="FR45" s="889">
        <v>7</v>
      </c>
      <c r="FS45" s="19">
        <f t="shared" si="59"/>
        <v>815</v>
      </c>
      <c r="FT45" s="93">
        <f t="shared" si="60"/>
        <v>972</v>
      </c>
      <c r="FU45" s="93">
        <f t="shared" si="61"/>
        <v>897</v>
      </c>
      <c r="FV45" s="93">
        <f t="shared" si="62"/>
        <v>948.79167802772099</v>
      </c>
      <c r="FW45" s="20">
        <f t="shared" si="63"/>
        <v>812</v>
      </c>
      <c r="FY45" s="990" t="s">
        <v>708</v>
      </c>
      <c r="FZ45" s="889">
        <v>18</v>
      </c>
      <c r="GA45" s="19">
        <f t="shared" si="64"/>
        <v>77</v>
      </c>
      <c r="GB45" s="93">
        <f t="shared" si="65"/>
        <v>110</v>
      </c>
      <c r="GC45" s="93">
        <f t="shared" si="66"/>
        <v>121</v>
      </c>
      <c r="GD45" s="93">
        <f t="shared" si="67"/>
        <v>152.97857142857143</v>
      </c>
      <c r="GE45" s="20">
        <f t="shared" si="68"/>
        <v>128</v>
      </c>
      <c r="GM45" s="997" t="s">
        <v>721</v>
      </c>
      <c r="GN45" s="898">
        <v>36</v>
      </c>
      <c r="GO45" s="158">
        <f>INDEX($FI$74:$GS$276,MAX($GS$74:$GS$276)-4,$GN45)</f>
        <v>30.29</v>
      </c>
      <c r="GP45" s="94">
        <f>INDEX($FI$74:$GS$276,MAX($GS$74:$GS$276)-3,$GN45)</f>
        <v>30.56</v>
      </c>
      <c r="GQ45" s="94">
        <f>INDEX($FI$74:$GS$276,MAX($GS$74:$GS$276)-2,$GN45)</f>
        <v>29.98</v>
      </c>
      <c r="GR45" s="94">
        <f>INDEX($FI$74:$GS$276,MAX($GS$74:$GS$276)-1,$GN45)</f>
        <v>29</v>
      </c>
      <c r="GS45" s="22">
        <f>INDEX($FI$74:$GS$276,MAX($GS$74:$GS$276),$GN45)</f>
        <v>30</v>
      </c>
      <c r="GU45" s="1011" t="s">
        <v>421</v>
      </c>
      <c r="GV45" s="889">
        <v>38</v>
      </c>
      <c r="GW45" s="935">
        <f t="shared" si="15"/>
        <v>82.230896245000011</v>
      </c>
      <c r="GX45" s="797">
        <f t="shared" si="16"/>
        <v>0</v>
      </c>
      <c r="GY45" s="797">
        <f t="shared" si="17"/>
        <v>67.280568325950398</v>
      </c>
      <c r="GZ45" s="797">
        <f t="shared" si="18"/>
        <v>93.853919006465318</v>
      </c>
      <c r="HA45" s="936">
        <f t="shared" si="19"/>
        <v>136.42661050584852</v>
      </c>
    </row>
    <row r="46" spans="10:372" ht="24.9" thickBot="1">
      <c r="CD46" s="883" t="s">
        <v>601</v>
      </c>
      <c r="CE46" s="317">
        <v>68</v>
      </c>
      <c r="CF46" s="273">
        <f>INDEX($Q$74:$CG$276,MAX($CG$74:$CG$276)-4,$CE46)</f>
        <v>16164539</v>
      </c>
      <c r="CG46" s="264">
        <f>INDEX($Q$74:$CG$276,MAX($CG$74:$CG$276)-3,$CE46)</f>
        <v>16358457</v>
      </c>
      <c r="CH46" s="264">
        <f>INDEX($Q$74:$CG$276,MAX($CG$74:$CG$276)-2,$CE46)</f>
        <v>17060341</v>
      </c>
      <c r="CI46" s="264">
        <f>INDEX($Q$74:$CG$276,MAX($CG$74:$CG$276)-1,$CE46)</f>
        <v>17599050</v>
      </c>
      <c r="CJ46" s="265">
        <f>INDEX($Q$74:$CG$276,MAX($CG$74:$CG$276),$CE46)</f>
        <v>17805486</v>
      </c>
      <c r="CL46" s="890" t="s">
        <v>611</v>
      </c>
      <c r="CM46" s="889">
        <v>72</v>
      </c>
      <c r="CN46" s="897">
        <f t="shared" si="44"/>
        <v>1986</v>
      </c>
      <c r="CO46" s="75">
        <f t="shared" si="45"/>
        <v>2158</v>
      </c>
      <c r="CP46" s="75">
        <f t="shared" si="46"/>
        <v>2238</v>
      </c>
      <c r="CQ46" s="75">
        <f t="shared" si="47"/>
        <v>2535</v>
      </c>
      <c r="CR46" s="76">
        <f t="shared" si="48"/>
        <v>3560</v>
      </c>
      <c r="CU46" s="901" t="s">
        <v>624</v>
      </c>
      <c r="CV46" s="889">
        <v>85</v>
      </c>
      <c r="CW46" s="897">
        <f t="shared" si="69"/>
        <v>17225</v>
      </c>
      <c r="CX46" s="75">
        <f t="shared" si="70"/>
        <v>17153</v>
      </c>
      <c r="CY46" s="75">
        <f t="shared" si="71"/>
        <v>14503</v>
      </c>
      <c r="CZ46" s="75">
        <f t="shared" si="72"/>
        <v>14083</v>
      </c>
      <c r="DA46" s="76">
        <f t="shared" si="73"/>
        <v>8630</v>
      </c>
      <c r="DU46" s="931" t="s">
        <v>644</v>
      </c>
      <c r="DV46" s="898">
        <v>15</v>
      </c>
      <c r="DW46" s="937">
        <f>INDEX($DD$74:$FH$276,MAX($DS$74:$DS$276)-4,$DV46)</f>
        <v>228.34587343466123</v>
      </c>
      <c r="DX46" s="938">
        <f>INDEX($DD$74:$FH$276,MAX($DS$74:$DS$276)-3,$DV46)</f>
        <v>210.63687035923419</v>
      </c>
      <c r="DY46" s="938">
        <f>INDEX($DD$74:$FH$276,MAX($DS$74:$DS$276)-2,$DV46)</f>
        <v>209.38938687490335</v>
      </c>
      <c r="DZ46" s="938">
        <f>INDEX($DD$74:$FH$276,MAX($DS$74:$DS$276)-1,$DV46)</f>
        <v>189.4186821648745</v>
      </c>
      <c r="EA46" s="939">
        <f>INDEX($DD$74:$FH$276,MAX($DS$74:$DS$276),$DV46)</f>
        <v>213.76521886611533</v>
      </c>
      <c r="EC46" s="944" t="s">
        <v>652</v>
      </c>
      <c r="ED46" s="889">
        <v>26</v>
      </c>
      <c r="EE46" s="935">
        <f t="shared" si="39"/>
        <v>16.288630336000001</v>
      </c>
      <c r="EF46" s="797">
        <f t="shared" si="40"/>
        <v>15.552852553999999</v>
      </c>
      <c r="EG46" s="797">
        <f t="shared" si="41"/>
        <v>8.1336953400000009</v>
      </c>
      <c r="EH46" s="797">
        <f t="shared" si="42"/>
        <v>0.365345484</v>
      </c>
      <c r="EI46" s="936">
        <f t="shared" si="43"/>
        <v>15.904607819999999</v>
      </c>
      <c r="EL46" s="946" t="s">
        <v>665</v>
      </c>
      <c r="EM46" s="889">
        <v>38</v>
      </c>
      <c r="EN46" s="935">
        <f t="shared" si="49"/>
        <v>45.440505635000001</v>
      </c>
      <c r="EO46" s="797">
        <f t="shared" si="50"/>
        <v>34.472707921999998</v>
      </c>
      <c r="EP46" s="797">
        <f t="shared" si="51"/>
        <v>24.952565916000001</v>
      </c>
      <c r="EQ46" s="797">
        <f t="shared" si="52"/>
        <v>4.0668122010000003</v>
      </c>
      <c r="ER46" s="936">
        <f t="shared" si="53"/>
        <v>0</v>
      </c>
      <c r="EU46" s="946" t="s">
        <v>665</v>
      </c>
      <c r="EV46" s="889">
        <v>49</v>
      </c>
      <c r="EW46" s="935">
        <f t="shared" si="54"/>
        <v>106.117880054</v>
      </c>
      <c r="EX46" s="797">
        <f t="shared" si="55"/>
        <v>71.016905443374995</v>
      </c>
      <c r="EY46" s="797">
        <f t="shared" si="56"/>
        <v>63.866997503999997</v>
      </c>
      <c r="EZ46" s="797">
        <f t="shared" si="57"/>
        <v>71.644265686871009</v>
      </c>
      <c r="FA46" s="936">
        <f t="shared" si="58"/>
        <v>0</v>
      </c>
      <c r="FI46" s="986" t="s">
        <v>694</v>
      </c>
      <c r="FJ46" s="988">
        <v>4</v>
      </c>
      <c r="FK46" s="21">
        <f>INDEX($FI$74:$GS$276,MAX($FM$74:$FM$276)-4,$FJ46)</f>
        <v>0</v>
      </c>
      <c r="FL46" s="94">
        <f>INDEX($FI$74:$GS$276,MAX($FM$74:$FM$276)-3,$FJ46)</f>
        <v>0</v>
      </c>
      <c r="FM46" s="94">
        <f>INDEX($FI$74:$GS$276,MAX($FM$74:$FM$276)-2,$FJ46)</f>
        <v>0</v>
      </c>
      <c r="FN46" s="94">
        <f>INDEX($FI$74:$GS$276,MAX($FM$74:$FM$276)-1,$FJ46)</f>
        <v>0</v>
      </c>
      <c r="FO46" s="22">
        <f>INDEX($FI$74:$GS$276,MAX($FM$74:$FM$276),$FJ46)</f>
        <v>0</v>
      </c>
      <c r="FQ46" s="991" t="s">
        <v>699</v>
      </c>
      <c r="FR46" s="889">
        <v>8</v>
      </c>
      <c r="FS46" s="19">
        <f t="shared" si="59"/>
        <v>982</v>
      </c>
      <c r="FT46" s="93">
        <f t="shared" si="60"/>
        <v>1068</v>
      </c>
      <c r="FU46" s="93">
        <f t="shared" si="61"/>
        <v>1595</v>
      </c>
      <c r="FV46" s="93">
        <f t="shared" si="62"/>
        <v>2058.3650989343769</v>
      </c>
      <c r="FW46" s="20">
        <f t="shared" si="63"/>
        <v>996</v>
      </c>
      <c r="FY46" s="991" t="s">
        <v>709</v>
      </c>
      <c r="FZ46" s="889">
        <v>19</v>
      </c>
      <c r="GA46" s="19">
        <f t="shared" si="64"/>
        <v>200</v>
      </c>
      <c r="GB46" s="93">
        <f t="shared" si="65"/>
        <v>277</v>
      </c>
      <c r="GC46" s="93">
        <f t="shared" si="66"/>
        <v>268</v>
      </c>
      <c r="GD46" s="93">
        <f t="shared" si="67"/>
        <v>315.23620938628164</v>
      </c>
      <c r="GE46" s="20">
        <f t="shared" si="68"/>
        <v>285</v>
      </c>
      <c r="GU46" s="1017" t="s">
        <v>422</v>
      </c>
      <c r="GV46" s="889">
        <v>39</v>
      </c>
      <c r="GW46" s="935">
        <f t="shared" si="15"/>
        <v>-10.098776963999997</v>
      </c>
      <c r="GX46" s="797">
        <f t="shared" si="16"/>
        <v>-0.50704718699999796</v>
      </c>
      <c r="GY46" s="797">
        <f t="shared" si="17"/>
        <v>-4.2654540189999972</v>
      </c>
      <c r="GZ46" s="797">
        <f t="shared" si="18"/>
        <v>-11.86046711</v>
      </c>
      <c r="HA46" s="936">
        <f t="shared" si="19"/>
        <v>-23.849342512999993</v>
      </c>
    </row>
    <row r="47" spans="10:372" ht="24.6">
      <c r="CL47" s="891" t="s">
        <v>612</v>
      </c>
      <c r="CM47" s="889">
        <v>73</v>
      </c>
      <c r="CN47" s="19">
        <f t="shared" si="44"/>
        <v>7780</v>
      </c>
      <c r="CO47" s="93">
        <f t="shared" si="45"/>
        <v>7297</v>
      </c>
      <c r="CP47" s="93">
        <f t="shared" si="46"/>
        <v>6612</v>
      </c>
      <c r="CQ47" s="93">
        <f t="shared" si="47"/>
        <v>8341</v>
      </c>
      <c r="CR47" s="20">
        <f t="shared" si="48"/>
        <v>7949</v>
      </c>
      <c r="CU47" s="900" t="s">
        <v>625</v>
      </c>
      <c r="CV47" s="889">
        <v>86</v>
      </c>
      <c r="CW47" s="19">
        <f t="shared" si="69"/>
        <v>1122</v>
      </c>
      <c r="CX47" s="93">
        <f t="shared" si="70"/>
        <v>1041</v>
      </c>
      <c r="CY47" s="93">
        <f t="shared" si="71"/>
        <v>1160</v>
      </c>
      <c r="CZ47" s="93">
        <f t="shared" si="72"/>
        <v>1473</v>
      </c>
      <c r="DA47" s="20">
        <f t="shared" si="73"/>
        <v>2976</v>
      </c>
      <c r="EC47" s="943" t="s">
        <v>653</v>
      </c>
      <c r="ED47" s="889">
        <v>27</v>
      </c>
      <c r="EE47" s="19">
        <f t="shared" si="39"/>
        <v>16.288630336000001</v>
      </c>
      <c r="EF47" s="93">
        <f t="shared" si="40"/>
        <v>6.5112855249999999</v>
      </c>
      <c r="EG47" s="93">
        <f t="shared" si="41"/>
        <v>0.39523518699999999</v>
      </c>
      <c r="EH47" s="93">
        <f t="shared" si="42"/>
        <v>18.047975321999999</v>
      </c>
      <c r="EI47" s="20">
        <f t="shared" si="43"/>
        <v>24.264326642</v>
      </c>
      <c r="EL47" s="945" t="s">
        <v>666</v>
      </c>
      <c r="EM47" s="889">
        <v>39</v>
      </c>
      <c r="EN47" s="935">
        <f t="shared" si="49"/>
        <v>0</v>
      </c>
      <c r="EO47" s="797">
        <f t="shared" si="50"/>
        <v>0</v>
      </c>
      <c r="EP47" s="797">
        <f t="shared" si="51"/>
        <v>0</v>
      </c>
      <c r="EQ47" s="797">
        <f t="shared" si="52"/>
        <v>0</v>
      </c>
      <c r="ER47" s="936">
        <f t="shared" si="53"/>
        <v>0</v>
      </c>
      <c r="EU47" s="945" t="s">
        <v>666</v>
      </c>
      <c r="EV47" s="889">
        <v>50</v>
      </c>
      <c r="EW47" s="935">
        <f t="shared" si="54"/>
        <v>0.3</v>
      </c>
      <c r="EX47" s="797">
        <f t="shared" si="55"/>
        <v>0</v>
      </c>
      <c r="EY47" s="797">
        <f t="shared" si="56"/>
        <v>0</v>
      </c>
      <c r="EZ47" s="797">
        <f t="shared" si="57"/>
        <v>0</v>
      </c>
      <c r="FA47" s="936">
        <f t="shared" si="58"/>
        <v>0</v>
      </c>
      <c r="FQ47" s="990" t="s">
        <v>700</v>
      </c>
      <c r="FR47" s="889">
        <v>9</v>
      </c>
      <c r="FS47" s="19">
        <f t="shared" si="59"/>
        <v>382</v>
      </c>
      <c r="FT47" s="93">
        <f t="shared" si="60"/>
        <v>540</v>
      </c>
      <c r="FU47" s="93">
        <f t="shared" si="61"/>
        <v>885</v>
      </c>
      <c r="FV47" s="93">
        <f t="shared" si="62"/>
        <v>1350.7318935427572</v>
      </c>
      <c r="FW47" s="20">
        <f t="shared" si="63"/>
        <v>520</v>
      </c>
      <c r="FY47" s="990" t="s">
        <v>710</v>
      </c>
      <c r="FZ47" s="889">
        <v>20</v>
      </c>
      <c r="GA47" s="19">
        <f t="shared" si="64"/>
        <v>76</v>
      </c>
      <c r="GB47" s="93">
        <f t="shared" si="65"/>
        <v>81</v>
      </c>
      <c r="GC47" s="93">
        <f t="shared" si="66"/>
        <v>162</v>
      </c>
      <c r="GD47" s="93">
        <f t="shared" si="67"/>
        <v>248.32894736842107</v>
      </c>
      <c r="GE47" s="20">
        <f t="shared" si="68"/>
        <v>80</v>
      </c>
      <c r="GU47" s="1014" t="s">
        <v>423</v>
      </c>
      <c r="GV47" s="889">
        <v>40</v>
      </c>
      <c r="GW47" s="935">
        <f t="shared" si="15"/>
        <v>-381.65404461219924</v>
      </c>
      <c r="GX47" s="797">
        <f t="shared" si="16"/>
        <v>-5.4531646246170276</v>
      </c>
      <c r="GY47" s="797">
        <f t="shared" si="17"/>
        <v>-90.607917171311314</v>
      </c>
      <c r="GZ47" s="797">
        <f t="shared" si="18"/>
        <v>-173.34469314764141</v>
      </c>
      <c r="HA47" s="936">
        <f t="shared" si="19"/>
        <v>-252.72112461266912</v>
      </c>
    </row>
    <row r="48" spans="10:372" ht="24.9" thickBot="1">
      <c r="CL48" s="890" t="s">
        <v>613</v>
      </c>
      <c r="CM48" s="889">
        <v>74</v>
      </c>
      <c r="CN48" s="19">
        <f t="shared" si="44"/>
        <v>2545</v>
      </c>
      <c r="CO48" s="93">
        <f t="shared" si="45"/>
        <v>2350</v>
      </c>
      <c r="CP48" s="93">
        <f t="shared" si="46"/>
        <v>2447</v>
      </c>
      <c r="CQ48" s="93">
        <f t="shared" si="47"/>
        <v>2932</v>
      </c>
      <c r="CR48" s="20">
        <f t="shared" si="48"/>
        <v>5343</v>
      </c>
      <c r="CU48" s="901" t="s">
        <v>626</v>
      </c>
      <c r="CV48" s="889">
        <v>87</v>
      </c>
      <c r="CW48" s="19">
        <f t="shared" si="69"/>
        <v>507</v>
      </c>
      <c r="CX48" s="93">
        <f t="shared" si="70"/>
        <v>324</v>
      </c>
      <c r="CY48" s="93">
        <f t="shared" si="71"/>
        <v>947</v>
      </c>
      <c r="CZ48" s="93">
        <f t="shared" si="72"/>
        <v>945</v>
      </c>
      <c r="DA48" s="20">
        <f t="shared" si="73"/>
        <v>1637</v>
      </c>
      <c r="EC48" s="931" t="s">
        <v>654</v>
      </c>
      <c r="ED48" s="898">
        <v>28</v>
      </c>
      <c r="EE48" s="21">
        <f t="shared" si="39"/>
        <v>9.035467027000001</v>
      </c>
      <c r="EF48" s="94">
        <f t="shared" si="40"/>
        <v>28.623481165000001</v>
      </c>
      <c r="EG48" s="94">
        <f t="shared" si="41"/>
        <v>42.655288841000001</v>
      </c>
      <c r="EH48" s="94">
        <f t="shared" si="42"/>
        <v>11.583124305</v>
      </c>
      <c r="EI48" s="22">
        <f t="shared" si="43"/>
        <v>6.959132812</v>
      </c>
      <c r="EL48" s="946" t="s">
        <v>667</v>
      </c>
      <c r="EM48" s="889">
        <v>40</v>
      </c>
      <c r="EN48" s="935">
        <f t="shared" si="49"/>
        <v>19.503293671000002</v>
      </c>
      <c r="EO48" s="797">
        <f t="shared" si="50"/>
        <v>6.8931190009999996</v>
      </c>
      <c r="EP48" s="797">
        <f t="shared" si="51"/>
        <v>7.6297229849999999</v>
      </c>
      <c r="EQ48" s="797">
        <f t="shared" si="52"/>
        <v>4.1490566170000003</v>
      </c>
      <c r="ER48" s="936">
        <f t="shared" si="53"/>
        <v>0</v>
      </c>
      <c r="EU48" s="946" t="s">
        <v>667</v>
      </c>
      <c r="EV48" s="889">
        <v>51</v>
      </c>
      <c r="EW48" s="935">
        <f t="shared" si="54"/>
        <v>117.76732165999999</v>
      </c>
      <c r="EX48" s="797">
        <f t="shared" si="55"/>
        <v>121.45026629175</v>
      </c>
      <c r="EY48" s="797">
        <f t="shared" si="56"/>
        <v>122.98584519649999</v>
      </c>
      <c r="EZ48" s="797">
        <f t="shared" si="57"/>
        <v>128.58089812927901</v>
      </c>
      <c r="FA48" s="936">
        <f t="shared" si="58"/>
        <v>0</v>
      </c>
      <c r="FQ48" s="991" t="s">
        <v>701</v>
      </c>
      <c r="FR48" s="889">
        <v>10</v>
      </c>
      <c r="FS48" s="19">
        <f t="shared" si="59"/>
        <v>156</v>
      </c>
      <c r="FT48" s="93">
        <f t="shared" si="60"/>
        <v>199</v>
      </c>
      <c r="FU48" s="93">
        <f t="shared" si="61"/>
        <v>334</v>
      </c>
      <c r="FV48" s="93">
        <f t="shared" si="62"/>
        <v>493.32350856848342</v>
      </c>
      <c r="FW48" s="20">
        <f t="shared" si="63"/>
        <v>194</v>
      </c>
      <c r="FY48" s="991" t="s">
        <v>711</v>
      </c>
      <c r="FZ48" s="889">
        <v>21</v>
      </c>
      <c r="GA48" s="19">
        <f t="shared" si="64"/>
        <v>515</v>
      </c>
      <c r="GB48" s="93">
        <f t="shared" si="65"/>
        <v>573</v>
      </c>
      <c r="GC48" s="93">
        <f t="shared" si="66"/>
        <v>817</v>
      </c>
      <c r="GD48" s="93">
        <f t="shared" si="67"/>
        <v>1036.9569596231722</v>
      </c>
      <c r="GE48" s="20">
        <f t="shared" si="68"/>
        <v>629</v>
      </c>
      <c r="GU48" s="1018" t="s">
        <v>424</v>
      </c>
      <c r="GV48" s="889">
        <v>41</v>
      </c>
      <c r="GW48" s="935">
        <f t="shared" si="15"/>
        <v>-596.74508121914823</v>
      </c>
      <c r="GX48" s="797">
        <f t="shared" si="16"/>
        <v>-28.951740537764582</v>
      </c>
      <c r="GY48" s="797">
        <f t="shared" si="17"/>
        <v>-123.51053585437181</v>
      </c>
      <c r="GZ48" s="797">
        <f t="shared" si="18"/>
        <v>-218.98262992749841</v>
      </c>
      <c r="HA48" s="936">
        <f t="shared" si="19"/>
        <v>-386.92587743467294</v>
      </c>
    </row>
    <row r="49" spans="17:209" ht="12.9" thickTop="1">
      <c r="CL49" s="888" t="s">
        <v>614</v>
      </c>
      <c r="CM49" s="889">
        <v>75</v>
      </c>
      <c r="CN49" s="19">
        <f t="shared" si="44"/>
        <v>178</v>
      </c>
      <c r="CO49" s="93">
        <f t="shared" si="45"/>
        <v>120</v>
      </c>
      <c r="CP49" s="93">
        <f t="shared" si="46"/>
        <v>111</v>
      </c>
      <c r="CQ49" s="93">
        <f t="shared" si="47"/>
        <v>136</v>
      </c>
      <c r="CR49" s="20">
        <f t="shared" si="48"/>
        <v>212</v>
      </c>
      <c r="CU49" s="900" t="s">
        <v>627</v>
      </c>
      <c r="CV49" s="889">
        <v>88</v>
      </c>
      <c r="CW49" s="19">
        <f t="shared" si="69"/>
        <v>812</v>
      </c>
      <c r="CX49" s="93">
        <f t="shared" si="70"/>
        <v>406</v>
      </c>
      <c r="CY49" s="93">
        <f t="shared" si="71"/>
        <v>368</v>
      </c>
      <c r="CZ49" s="93">
        <f t="shared" si="72"/>
        <v>360</v>
      </c>
      <c r="DA49" s="20">
        <f t="shared" si="73"/>
        <v>444</v>
      </c>
      <c r="DU49" s="86" t="s">
        <v>685</v>
      </c>
      <c r="DW49" s="806"/>
      <c r="EL49" s="945" t="s">
        <v>668</v>
      </c>
      <c r="EM49" s="889">
        <v>41</v>
      </c>
      <c r="EN49" s="935">
        <f t="shared" si="49"/>
        <v>10.696339721999999</v>
      </c>
      <c r="EO49" s="797">
        <f t="shared" si="50"/>
        <v>7.5932149390000001</v>
      </c>
      <c r="EP49" s="797">
        <f t="shared" si="51"/>
        <v>8.7466752339999996</v>
      </c>
      <c r="EQ49" s="797">
        <f t="shared" si="52"/>
        <v>13.810923662</v>
      </c>
      <c r="ER49" s="936">
        <f t="shared" si="53"/>
        <v>0</v>
      </c>
      <c r="EU49" s="945" t="s">
        <v>668</v>
      </c>
      <c r="EV49" s="889">
        <v>52</v>
      </c>
      <c r="EW49" s="935">
        <f t="shared" si="54"/>
        <v>39.635081632999999</v>
      </c>
      <c r="EX49" s="797">
        <f t="shared" si="55"/>
        <v>38.404912664000001</v>
      </c>
      <c r="EY49" s="797">
        <f t="shared" si="56"/>
        <v>45.776231367500003</v>
      </c>
      <c r="EZ49" s="797">
        <f t="shared" si="57"/>
        <v>62.585279651999997</v>
      </c>
      <c r="FA49" s="936">
        <f t="shared" si="58"/>
        <v>0</v>
      </c>
      <c r="FQ49" s="990" t="s">
        <v>702</v>
      </c>
      <c r="FR49" s="889">
        <v>11</v>
      </c>
      <c r="FS49" s="19">
        <f t="shared" si="59"/>
        <v>36</v>
      </c>
      <c r="FT49" s="93">
        <f t="shared" si="60"/>
        <v>42</v>
      </c>
      <c r="FU49" s="93">
        <f t="shared" si="61"/>
        <v>85</v>
      </c>
      <c r="FV49" s="93">
        <f t="shared" si="62"/>
        <v>135.5952380952381</v>
      </c>
      <c r="FW49" s="20">
        <f t="shared" si="63"/>
        <v>42</v>
      </c>
      <c r="FY49" s="990" t="s">
        <v>712</v>
      </c>
      <c r="FZ49" s="889">
        <v>22</v>
      </c>
      <c r="GA49" s="19">
        <f t="shared" si="64"/>
        <v>92</v>
      </c>
      <c r="GB49" s="93">
        <f t="shared" si="65"/>
        <v>123</v>
      </c>
      <c r="GC49" s="93">
        <f t="shared" si="66"/>
        <v>174</v>
      </c>
      <c r="GD49" s="93">
        <f t="shared" si="67"/>
        <v>239.38838812301165</v>
      </c>
      <c r="GE49" s="20">
        <f t="shared" si="68"/>
        <v>246</v>
      </c>
      <c r="GU49" s="1019" t="s">
        <v>425</v>
      </c>
      <c r="GV49" s="889">
        <v>42</v>
      </c>
      <c r="GW49" s="935">
        <f t="shared" si="15"/>
        <v>-274.34571037520016</v>
      </c>
      <c r="GX49" s="797">
        <f t="shared" si="16"/>
        <v>36.995016186999919</v>
      </c>
      <c r="GY49" s="797">
        <f t="shared" si="17"/>
        <v>-13.438397555400044</v>
      </c>
      <c r="GZ49" s="797">
        <f t="shared" si="18"/>
        <v>-54.484308390471476</v>
      </c>
      <c r="HA49" s="936">
        <f t="shared" si="19"/>
        <v>-132.6448093123214</v>
      </c>
    </row>
    <row r="50" spans="17:209" ht="12.6">
      <c r="CL50" s="892" t="s">
        <v>615</v>
      </c>
      <c r="CM50" s="889">
        <v>76</v>
      </c>
      <c r="CN50" s="19">
        <f t="shared" si="44"/>
        <v>904</v>
      </c>
      <c r="CO50" s="93">
        <f t="shared" si="45"/>
        <v>842</v>
      </c>
      <c r="CP50" s="93">
        <f t="shared" si="46"/>
        <v>815</v>
      </c>
      <c r="CQ50" s="93">
        <f t="shared" si="47"/>
        <v>987</v>
      </c>
      <c r="CR50" s="20">
        <f t="shared" si="48"/>
        <v>744</v>
      </c>
      <c r="CU50" s="901" t="s">
        <v>628</v>
      </c>
      <c r="CV50" s="889">
        <v>89</v>
      </c>
      <c r="CW50" s="19">
        <f t="shared" si="69"/>
        <v>12391</v>
      </c>
      <c r="CX50" s="93">
        <f t="shared" si="70"/>
        <v>9265</v>
      </c>
      <c r="CY50" s="93">
        <f t="shared" si="71"/>
        <v>10830</v>
      </c>
      <c r="CZ50" s="93">
        <f t="shared" si="72"/>
        <v>11995</v>
      </c>
      <c r="DA50" s="20">
        <f t="shared" si="73"/>
        <v>36304</v>
      </c>
      <c r="DW50" s="212">
        <v>4</v>
      </c>
      <c r="DX50" s="212">
        <v>3</v>
      </c>
      <c r="DY50" s="212">
        <v>2</v>
      </c>
      <c r="DZ50" s="212">
        <v>1</v>
      </c>
      <c r="EA50" s="807">
        <v>0</v>
      </c>
      <c r="EL50" s="946" t="s">
        <v>669</v>
      </c>
      <c r="EM50" s="889">
        <v>42</v>
      </c>
      <c r="EN50" s="935">
        <f t="shared" si="49"/>
        <v>0.6</v>
      </c>
      <c r="EO50" s="797">
        <f t="shared" si="50"/>
        <v>0</v>
      </c>
      <c r="EP50" s="797">
        <f t="shared" si="51"/>
        <v>0</v>
      </c>
      <c r="EQ50" s="797">
        <f t="shared" si="52"/>
        <v>0</v>
      </c>
      <c r="ER50" s="936">
        <f t="shared" si="53"/>
        <v>0</v>
      </c>
      <c r="EU50" s="946" t="s">
        <v>669</v>
      </c>
      <c r="EV50" s="889">
        <v>53</v>
      </c>
      <c r="EW50" s="935">
        <f t="shared" si="54"/>
        <v>0.6</v>
      </c>
      <c r="EX50" s="797">
        <f t="shared" si="55"/>
        <v>0</v>
      </c>
      <c r="EY50" s="797">
        <f t="shared" si="56"/>
        <v>0</v>
      </c>
      <c r="EZ50" s="797">
        <f t="shared" si="57"/>
        <v>0</v>
      </c>
      <c r="FA50" s="936">
        <f t="shared" si="58"/>
        <v>0</v>
      </c>
      <c r="FQ50" s="991" t="s">
        <v>703</v>
      </c>
      <c r="FR50" s="889">
        <v>12</v>
      </c>
      <c r="FS50" s="19">
        <f t="shared" si="59"/>
        <v>13</v>
      </c>
      <c r="FT50" s="93">
        <f t="shared" si="60"/>
        <v>15</v>
      </c>
      <c r="FU50" s="93">
        <f t="shared" si="61"/>
        <v>15</v>
      </c>
      <c r="FV50" s="93">
        <f t="shared" si="62"/>
        <v>16.153846153846153</v>
      </c>
      <c r="FW50" s="20">
        <f t="shared" si="63"/>
        <v>17</v>
      </c>
      <c r="FY50" s="991" t="s">
        <v>713</v>
      </c>
      <c r="FZ50" s="889">
        <v>23</v>
      </c>
      <c r="GA50" s="19">
        <f t="shared" si="64"/>
        <v>858</v>
      </c>
      <c r="GB50" s="93">
        <f t="shared" si="65"/>
        <v>1062</v>
      </c>
      <c r="GC50" s="93">
        <f t="shared" si="66"/>
        <v>1187</v>
      </c>
      <c r="GD50" s="93">
        <f t="shared" si="67"/>
        <v>1397.9682911250707</v>
      </c>
      <c r="GE50" s="20">
        <f t="shared" si="68"/>
        <v>727</v>
      </c>
      <c r="GU50" s="1018" t="s">
        <v>426</v>
      </c>
      <c r="GV50" s="889">
        <v>43</v>
      </c>
      <c r="GW50" s="935">
        <f t="shared" si="15"/>
        <v>-371.58616261828274</v>
      </c>
      <c r="GX50" s="797">
        <f t="shared" si="16"/>
        <v>24.753444237501874</v>
      </c>
      <c r="GY50" s="797">
        <f t="shared" si="17"/>
        <v>-56.229967528421419</v>
      </c>
      <c r="GZ50" s="797">
        <f t="shared" si="18"/>
        <v>-125.12871092103309</v>
      </c>
      <c r="HA50" s="936">
        <f t="shared" si="19"/>
        <v>-250.49926692882443</v>
      </c>
    </row>
    <row r="51" spans="17:209" ht="12.6" thickBot="1">
      <c r="CL51" s="891" t="s">
        <v>616</v>
      </c>
      <c r="CM51" s="889">
        <v>77</v>
      </c>
      <c r="CN51" s="19">
        <f t="shared" si="44"/>
        <v>1285</v>
      </c>
      <c r="CO51" s="93">
        <f t="shared" si="45"/>
        <v>1394</v>
      </c>
      <c r="CP51" s="93">
        <f t="shared" si="46"/>
        <v>1350</v>
      </c>
      <c r="CQ51" s="93">
        <f t="shared" si="47"/>
        <v>1474</v>
      </c>
      <c r="CR51" s="20">
        <f t="shared" si="48"/>
        <v>2362</v>
      </c>
      <c r="CU51" s="902" t="s">
        <v>128</v>
      </c>
      <c r="CV51" s="898">
        <v>90</v>
      </c>
      <c r="CW51" s="21">
        <f t="shared" si="69"/>
        <v>122971</v>
      </c>
      <c r="CX51" s="94">
        <f t="shared" si="70"/>
        <v>125227</v>
      </c>
      <c r="CY51" s="94">
        <f t="shared" si="71"/>
        <v>124445</v>
      </c>
      <c r="CZ51" s="94">
        <f t="shared" si="72"/>
        <v>134231</v>
      </c>
      <c r="DA51" s="22">
        <f t="shared" si="73"/>
        <v>135439</v>
      </c>
      <c r="DW51" s="808" t="str">
        <f>CONCATENATE(IF(INDEX($DD$74:$FH$276,MAX($DZ$74:$DZ$276)-DW50,$DV54)-DATE(YEAR(DW54)-1,12,31)&lt;91,1,IF(INDEX($DD$74:$FH$276,MAX($DZ$74:$DZ$276)-DW50,$DV54)-DATE(YEAR(DW54)-1,12,31)&lt;182,2,IF(INDEX($DD$74:$FH$276,MAX($DZ$74:$DZ$276)-DW50,$DV54)-DATE(YEAR(DW54)-1,12,31)&lt;274,3,4))),"T",YEAR(INDEX($DD$74:$FH$276,MAX($DZ$74:$DZ$276)-DW50,$DV54)))</f>
        <v>4T2022</v>
      </c>
      <c r="DX51" s="808" t="str">
        <f>CONCATENATE(IF(INDEX($DD$74:$FH$276,MAX($DZ$74:$DZ$276)-DX50,$DV54)-DATE(YEAR(DX54)-1,12,31)&lt;91,1,IF(INDEX($DD$74:$FH$276,MAX($DZ$74:$DZ$276)-DX50,$DV54)-DATE(YEAR(DX54)-1,12,31)&lt;182,2,IF(INDEX($DD$74:$FH$276,MAX($DZ$74:$DZ$276)-DX50,$DV54)-DATE(YEAR(DX54)-1,12,31)&lt;274,3,4))),"T",YEAR(INDEX($DD$74:$FH$276,MAX($DZ$74:$DZ$276)-DX50,$DV54)))</f>
        <v>1T2023</v>
      </c>
      <c r="DY51" s="808" t="str">
        <f>CONCATENATE(IF(INDEX($DD$74:$FH$276,MAX($DZ$74:$DZ$276)-DY50,$DV54)-DATE(YEAR(DY54)-1,12,31)&lt;91,1,IF(INDEX($DD$74:$FH$276,MAX($DZ$74:$DZ$276)-DY50,$DV54)-DATE(YEAR(DY54)-1,12,31)&lt;182,2,IF(INDEX($DD$74:$FH$276,MAX($DZ$74:$DZ$276)-DY50,$DV54)-DATE(YEAR(DY54)-1,12,31)&lt;274,3,4))),"T",YEAR(INDEX($DD$74:$FH$276,MAX($DZ$74:$DZ$276)-DY50,$DV54)))</f>
        <v>2T2023</v>
      </c>
      <c r="DZ51" s="808" t="str">
        <f>CONCATENATE(IF(INDEX($DD$74:$FH$276,MAX($DZ$74:$DZ$276)-DZ50,$DV54)-DATE(YEAR(DZ54)-1,12,31)&lt;91,1,IF(INDEX($DD$74:$FH$276,MAX($DZ$74:$DZ$276)-DZ50,$DV54)-DATE(YEAR(DZ54)-1,12,31)&lt;182,2,IF(INDEX($DD$74:$FH$276,MAX($DZ$74:$DZ$276)-DZ50,$DV54)-DATE(YEAR(DZ54)-1,12,31)&lt;274,3,4))),"T",YEAR(INDEX($DD$74:$FH$276,MAX($DZ$74:$DZ$276)-DZ50,$DV54)))</f>
        <v>3T2023</v>
      </c>
      <c r="EA51" s="808" t="str">
        <f>CONCATENATE(IF(INDEX($DD$74:$FH$276,MAX($DZ$74:$DZ$276)-EA50,$DV54)-DATE(YEAR(EA54)-1,12,31)&lt;91,1,IF(INDEX($DD$74:$FH$276,MAX($DZ$74:$DZ$276)-EA50,$DV54)-DATE(YEAR(EA54)-1,12,31)&lt;182,2,IF(INDEX($DD$74:$FH$276,MAX($DZ$74:$DZ$276)-EA50,$DV54)-DATE(YEAR(EA54)-1,12,31)&lt;274,3,4))),"T",YEAR(INDEX($DD$74:$FH$276,MAX($DZ$74:$DZ$276)-EA50,$DV54)))</f>
        <v>4T2023</v>
      </c>
      <c r="EL51" s="945" t="s">
        <v>670</v>
      </c>
      <c r="EM51" s="889">
        <v>43</v>
      </c>
      <c r="EN51" s="935">
        <f t="shared" si="49"/>
        <v>6.3906488990000003</v>
      </c>
      <c r="EO51" s="797">
        <f t="shared" si="50"/>
        <v>14.251367655999999</v>
      </c>
      <c r="EP51" s="797">
        <f t="shared" si="51"/>
        <v>11.33547012</v>
      </c>
      <c r="EQ51" s="797">
        <f t="shared" si="52"/>
        <v>3.3670007759999998</v>
      </c>
      <c r="ER51" s="936">
        <f t="shared" si="53"/>
        <v>0</v>
      </c>
      <c r="EU51" s="945" t="s">
        <v>670</v>
      </c>
      <c r="EV51" s="889">
        <v>54</v>
      </c>
      <c r="EW51" s="935">
        <f t="shared" si="54"/>
        <v>76.708057268999994</v>
      </c>
      <c r="EX51" s="797">
        <f t="shared" si="55"/>
        <v>41.741618447999997</v>
      </c>
      <c r="EY51" s="797">
        <f t="shared" si="56"/>
        <v>70.107779722000004</v>
      </c>
      <c r="EZ51" s="797">
        <f t="shared" si="57"/>
        <v>49.837418227000001</v>
      </c>
      <c r="FA51" s="936">
        <f t="shared" si="58"/>
        <v>0</v>
      </c>
      <c r="FQ51" s="990" t="s">
        <v>704</v>
      </c>
      <c r="FR51" s="889">
        <v>13</v>
      </c>
      <c r="FS51" s="19">
        <f t="shared" si="59"/>
        <v>3</v>
      </c>
      <c r="FT51" s="93">
        <f t="shared" si="60"/>
        <v>2</v>
      </c>
      <c r="FU51" s="93">
        <f t="shared" si="61"/>
        <v>3</v>
      </c>
      <c r="FV51" s="93">
        <f t="shared" si="62"/>
        <v>3.25</v>
      </c>
      <c r="FW51" s="20">
        <f t="shared" si="63"/>
        <v>14</v>
      </c>
      <c r="FY51" s="990" t="s">
        <v>714</v>
      </c>
      <c r="FZ51" s="889">
        <v>24</v>
      </c>
      <c r="GA51" s="19">
        <f t="shared" si="64"/>
        <v>100</v>
      </c>
      <c r="GB51" s="93">
        <f t="shared" si="65"/>
        <v>109</v>
      </c>
      <c r="GC51" s="93">
        <f t="shared" si="66"/>
        <v>161</v>
      </c>
      <c r="GD51" s="93">
        <f t="shared" si="67"/>
        <v>206.64866972477066</v>
      </c>
      <c r="GE51" s="20">
        <f t="shared" si="68"/>
        <v>99</v>
      </c>
      <c r="GU51" s="1014" t="s">
        <v>427</v>
      </c>
      <c r="GV51" s="889">
        <v>44</v>
      </c>
      <c r="GW51" s="935">
        <f t="shared" si="15"/>
        <v>-478.30181671119942</v>
      </c>
      <c r="GX51" s="797">
        <f t="shared" si="16"/>
        <v>-96.957570602616983</v>
      </c>
      <c r="GY51" s="797">
        <f t="shared" si="17"/>
        <v>-106.59150196858126</v>
      </c>
      <c r="GZ51" s="797">
        <f t="shared" si="18"/>
        <v>-230.50430910164133</v>
      </c>
      <c r="HA51" s="936">
        <f t="shared" si="19"/>
        <v>-302.0878502321641</v>
      </c>
    </row>
    <row r="52" spans="17:209" ht="24.9" thickTop="1">
      <c r="CL52" s="892" t="s">
        <v>617</v>
      </c>
      <c r="CM52" s="889">
        <v>78</v>
      </c>
      <c r="CN52" s="19">
        <f t="shared" si="44"/>
        <v>2488</v>
      </c>
      <c r="CO52" s="93">
        <f t="shared" si="45"/>
        <v>2785</v>
      </c>
      <c r="CP52" s="93">
        <f t="shared" si="46"/>
        <v>2558</v>
      </c>
      <c r="CQ52" s="93">
        <f t="shared" si="47"/>
        <v>3074</v>
      </c>
      <c r="CR52" s="20">
        <f t="shared" si="48"/>
        <v>4727</v>
      </c>
      <c r="DU52" s="36"/>
      <c r="DV52" s="43" t="s">
        <v>15</v>
      </c>
      <c r="DW52" s="2168" t="s">
        <v>12</v>
      </c>
      <c r="DX52" s="2145"/>
      <c r="DY52" s="2145"/>
      <c r="DZ52" s="2145"/>
      <c r="EA52" s="2146"/>
      <c r="EC52" s="86" t="s">
        <v>687</v>
      </c>
      <c r="EE52" s="806"/>
      <c r="EL52" s="946" t="s">
        <v>671</v>
      </c>
      <c r="EM52" s="889">
        <v>44</v>
      </c>
      <c r="EN52" s="935">
        <f t="shared" si="49"/>
        <v>0.4</v>
      </c>
      <c r="EO52" s="797">
        <f t="shared" si="50"/>
        <v>0</v>
      </c>
      <c r="EP52" s="797">
        <f t="shared" si="51"/>
        <v>0</v>
      </c>
      <c r="EQ52" s="797">
        <f t="shared" si="52"/>
        <v>0</v>
      </c>
      <c r="ER52" s="936">
        <f t="shared" si="53"/>
        <v>0</v>
      </c>
      <c r="EU52" s="946" t="s">
        <v>671</v>
      </c>
      <c r="EV52" s="889">
        <v>55</v>
      </c>
      <c r="EW52" s="935">
        <f t="shared" si="54"/>
        <v>61.316834790999998</v>
      </c>
      <c r="EX52" s="797">
        <f t="shared" si="55"/>
        <v>35.373602697999999</v>
      </c>
      <c r="EY52" s="797">
        <f t="shared" si="56"/>
        <v>29.920509418000002</v>
      </c>
      <c r="EZ52" s="797">
        <f t="shared" si="57"/>
        <v>18.141679093</v>
      </c>
      <c r="FA52" s="936">
        <f t="shared" si="58"/>
        <v>0</v>
      </c>
      <c r="FQ52" s="991" t="s">
        <v>705</v>
      </c>
      <c r="FR52" s="889">
        <v>14</v>
      </c>
      <c r="FS52" s="19">
        <f t="shared" si="59"/>
        <v>3</v>
      </c>
      <c r="FT52" s="93">
        <f t="shared" si="60"/>
        <v>1</v>
      </c>
      <c r="FU52" s="93">
        <f t="shared" si="61"/>
        <v>6</v>
      </c>
      <c r="FV52" s="93">
        <f t="shared" si="62"/>
        <v>19</v>
      </c>
      <c r="FW52" s="20">
        <f t="shared" si="63"/>
        <v>4</v>
      </c>
      <c r="FY52" s="991" t="s">
        <v>715</v>
      </c>
      <c r="FZ52" s="889">
        <v>25</v>
      </c>
      <c r="GA52" s="19">
        <f t="shared" si="64"/>
        <v>23</v>
      </c>
      <c r="GB52" s="93">
        <f t="shared" si="65"/>
        <v>20</v>
      </c>
      <c r="GC52" s="93">
        <f t="shared" si="66"/>
        <v>16</v>
      </c>
      <c r="GD52" s="93">
        <f t="shared" si="67"/>
        <v>13.356521739130436</v>
      </c>
      <c r="GE52" s="20">
        <f t="shared" si="68"/>
        <v>10</v>
      </c>
      <c r="GU52" s="1020" t="s">
        <v>428</v>
      </c>
      <c r="GV52" s="889">
        <v>45</v>
      </c>
      <c r="GW52" s="935">
        <f t="shared" si="15"/>
        <v>-693.39285331814847</v>
      </c>
      <c r="GX52" s="797">
        <f t="shared" si="16"/>
        <v>-120.45614651576453</v>
      </c>
      <c r="GY52" s="797">
        <f t="shared" si="17"/>
        <v>-139.49412065164177</v>
      </c>
      <c r="GZ52" s="797">
        <f t="shared" si="18"/>
        <v>-276.14224588149835</v>
      </c>
      <c r="HA52" s="936">
        <f t="shared" si="19"/>
        <v>-436.29260305416784</v>
      </c>
    </row>
    <row r="53" spans="17:209" ht="24.9" thickBot="1">
      <c r="CL53" s="891" t="s">
        <v>618</v>
      </c>
      <c r="CM53" s="889">
        <v>79</v>
      </c>
      <c r="CN53" s="19">
        <f t="shared" si="44"/>
        <v>2229</v>
      </c>
      <c r="CO53" s="93">
        <f t="shared" si="45"/>
        <v>2400</v>
      </c>
      <c r="CP53" s="93">
        <f t="shared" si="46"/>
        <v>2611</v>
      </c>
      <c r="CQ53" s="93">
        <f t="shared" si="47"/>
        <v>3035</v>
      </c>
      <c r="CR53" s="20">
        <f t="shared" si="48"/>
        <v>3941</v>
      </c>
      <c r="DU53" s="37"/>
      <c r="DV53" s="44"/>
      <c r="DW53" s="804">
        <f>DW54</f>
        <v>44896</v>
      </c>
      <c r="DX53" s="785">
        <f>DX54</f>
        <v>44986</v>
      </c>
      <c r="DY53" s="785">
        <f>DY54</f>
        <v>45078</v>
      </c>
      <c r="DZ53" s="785">
        <f>DZ54</f>
        <v>45170</v>
      </c>
      <c r="EA53" s="805">
        <f>EA54</f>
        <v>45261</v>
      </c>
      <c r="EE53" s="212">
        <v>4</v>
      </c>
      <c r="EF53" s="212">
        <v>3</v>
      </c>
      <c r="EG53" s="212">
        <v>2</v>
      </c>
      <c r="EH53" s="212">
        <v>1</v>
      </c>
      <c r="EI53" s="807">
        <v>0</v>
      </c>
      <c r="EL53" s="940" t="s">
        <v>672</v>
      </c>
      <c r="EM53" s="898">
        <v>45</v>
      </c>
      <c r="EN53" s="937">
        <f t="shared" si="49"/>
        <v>100.586996054</v>
      </c>
      <c r="EO53" s="938">
        <f t="shared" si="50"/>
        <v>76.992566671999995</v>
      </c>
      <c r="EP53" s="938">
        <f t="shared" si="51"/>
        <v>40.030505691999998</v>
      </c>
      <c r="EQ53" s="938">
        <f t="shared" si="52"/>
        <v>22.825442548000002</v>
      </c>
      <c r="ER53" s="939">
        <f t="shared" si="53"/>
        <v>0</v>
      </c>
      <c r="EU53" s="940" t="s">
        <v>672</v>
      </c>
      <c r="EV53" s="898">
        <v>56</v>
      </c>
      <c r="EW53" s="937">
        <f t="shared" si="54"/>
        <v>44.803299969999998</v>
      </c>
      <c r="EX53" s="938">
        <f t="shared" si="55"/>
        <v>32.571716901000002</v>
      </c>
      <c r="EY53" s="938">
        <f t="shared" si="56"/>
        <v>28.230564516000001</v>
      </c>
      <c r="EZ53" s="938">
        <f t="shared" si="57"/>
        <v>34.355511912762999</v>
      </c>
      <c r="FA53" s="939">
        <f t="shared" si="58"/>
        <v>0</v>
      </c>
      <c r="FQ53" s="992" t="s">
        <v>694</v>
      </c>
      <c r="FR53" s="898">
        <v>15</v>
      </c>
      <c r="FS53" s="21">
        <f t="shared" si="59"/>
        <v>0</v>
      </c>
      <c r="FT53" s="94">
        <f t="shared" si="60"/>
        <v>0</v>
      </c>
      <c r="FU53" s="94">
        <f t="shared" si="61"/>
        <v>0</v>
      </c>
      <c r="FV53" s="94">
        <f t="shared" si="62"/>
        <v>0</v>
      </c>
      <c r="FW53" s="22">
        <f t="shared" si="63"/>
        <v>0</v>
      </c>
      <c r="FY53" s="990" t="s">
        <v>716</v>
      </c>
      <c r="FZ53" s="889">
        <v>26</v>
      </c>
      <c r="GA53" s="19">
        <f t="shared" si="64"/>
        <v>414</v>
      </c>
      <c r="GB53" s="93">
        <f t="shared" si="65"/>
        <v>439</v>
      </c>
      <c r="GC53" s="93">
        <f t="shared" si="66"/>
        <v>731</v>
      </c>
      <c r="GD53" s="93">
        <f t="shared" si="67"/>
        <v>996.18287335072023</v>
      </c>
      <c r="GE53" s="20">
        <f t="shared" si="68"/>
        <v>360</v>
      </c>
      <c r="GU53" s="1021" t="s">
        <v>429</v>
      </c>
      <c r="GV53" s="889">
        <v>46</v>
      </c>
      <c r="GW53" s="935">
        <f t="shared" si="15"/>
        <v>470.48018011597151</v>
      </c>
      <c r="GX53" s="797">
        <f t="shared" si="16"/>
        <v>105.33025297733747</v>
      </c>
      <c r="GY53" s="797">
        <f t="shared" si="17"/>
        <v>104.18913039104044</v>
      </c>
      <c r="GZ53" s="797">
        <f t="shared" si="18"/>
        <v>226.05230705706836</v>
      </c>
      <c r="HA53" s="936">
        <f t="shared" si="19"/>
        <v>297.29379557188861</v>
      </c>
    </row>
    <row r="54" spans="17:209" ht="25.2" thickTop="1" thickBot="1">
      <c r="CL54" s="892" t="s">
        <v>619</v>
      </c>
      <c r="CM54" s="889">
        <v>80</v>
      </c>
      <c r="CN54" s="19">
        <f t="shared" si="44"/>
        <v>96579</v>
      </c>
      <c r="CO54" s="93">
        <f t="shared" si="45"/>
        <v>97894</v>
      </c>
      <c r="CP54" s="93">
        <f t="shared" si="46"/>
        <v>98696</v>
      </c>
      <c r="CQ54" s="93">
        <f t="shared" si="47"/>
        <v>103717</v>
      </c>
      <c r="CR54" s="20">
        <f t="shared" si="48"/>
        <v>98110</v>
      </c>
      <c r="DU54" s="260"/>
      <c r="DV54" s="929">
        <v>1</v>
      </c>
      <c r="DW54" s="893">
        <f>INDEX($DD$74:$FH$276,MAX($DZ$74:$DZ$276)-4,$DV54)</f>
        <v>44896</v>
      </c>
      <c r="DX54" s="759">
        <f>INDEX($DD$74:$FH$276,MAX($DZ$74:$DZ$276)-3,$DV54)</f>
        <v>44986</v>
      </c>
      <c r="DY54" s="759">
        <f>INDEX($DD$74:$FH$276,MAX($DZ$74:$DZ$276)-2,$DV54)</f>
        <v>45078</v>
      </c>
      <c r="DZ54" s="759">
        <f>INDEX($DD$74:$FH$276,MAX($DZ$74:$DZ$276)-1,$DV54)</f>
        <v>45170</v>
      </c>
      <c r="EA54" s="760">
        <f>INDEX($DD$74:$FH$276,MAX($DZ$74:$DZ$276),$DV54)</f>
        <v>45261</v>
      </c>
      <c r="EE54" s="808" t="str">
        <f>CONCATENATE(IF(INDEX($DD$74:$FH$276,MAX($EL$74:$EL$276)-EE53,$ED57)-DATE(YEAR(EE57)-1,12,31)&lt;91,1,IF(INDEX($DD$74:$FH$276,MAX($EL$74:$EL$276)-EE53,$ED57)-DATE(YEAR(EE57)-1,12,31)&lt;182,2,IF(INDEX($DD$74:$FH$276,MAX($EL$74:$EL$276)-EE53,$ED57)-DATE(YEAR(EE57)-1,12,31)&lt;274,3,4))),"T",YEAR(INDEX($DD$74:$FH$276,MAX($EL$74:$EL$276)-EE53,$ED57)))</f>
        <v>4T2022</v>
      </c>
      <c r="EF54" s="808" t="str">
        <f>CONCATENATE(IF(INDEX($DD$74:$FH$276,MAX($EL$74:$EL$276)-EF53,$ED57)-DATE(YEAR(EF57)-1,12,31)&lt;91,1,IF(INDEX($DD$74:$FH$276,MAX($EL$74:$EL$276)-EF53,$ED57)-DATE(YEAR(EF57)-1,12,31)&lt;182,2,IF(INDEX($DD$74:$FH$276,MAX($EL$74:$EL$276)-EF53,$ED57)-DATE(YEAR(EF57)-1,12,31)&lt;274,3,4))),"T",YEAR(INDEX($DD$74:$FH$276,MAX($EL$74:$EL$276)-EF53,$ED57)))</f>
        <v>1T2023</v>
      </c>
      <c r="EG54" s="808" t="str">
        <f>CONCATENATE(IF(INDEX($DD$74:$FH$276,MAX($EL$74:$EL$276)-EG53,$ED57)-DATE(YEAR(EG57)-1,12,31)&lt;91,1,IF(INDEX($DD$74:$FH$276,MAX($EL$74:$EL$276)-EG53,$ED57)-DATE(YEAR(EG57)-1,12,31)&lt;182,2,IF(INDEX($DD$74:$FH$276,MAX($EL$74:$EL$276)-EG53,$ED57)-DATE(YEAR(EG57)-1,12,31)&lt;274,3,4))),"T",YEAR(INDEX($DD$74:$FH$276,MAX($EL$74:$EL$276)-EG53,$ED57)))</f>
        <v>2T2023</v>
      </c>
      <c r="EH54" s="808" t="str">
        <f>CONCATENATE(IF(INDEX($DD$74:$FH$276,MAX($EL$74:$EL$276)-EH53,$ED57)-DATE(YEAR(EH57)-1,12,31)&lt;91,1,IF(INDEX($DD$74:$FH$276,MAX($EL$74:$EL$276)-EH53,$ED57)-DATE(YEAR(EH57)-1,12,31)&lt;182,2,IF(INDEX($DD$74:$FH$276,MAX($EL$74:$EL$276)-EH53,$ED57)-DATE(YEAR(EH57)-1,12,31)&lt;274,3,4))),"T",YEAR(INDEX($DD$74:$FH$276,MAX($EL$74:$EL$276)-EH53,$ED57)))</f>
        <v>3T2023</v>
      </c>
      <c r="EI54" s="808" t="str">
        <f>CONCATENATE(IF(INDEX($DD$74:$FH$276,MAX($EL$74:$EL$276)-EI53,$ED57)-DATE(YEAR(EI57)-1,12,31)&lt;91,1,IF(INDEX($DD$74:$FH$276,MAX($EL$74:$EL$276)-EI53,$ED57)-DATE(YEAR(EI57)-1,12,31)&lt;182,2,IF(INDEX($DD$74:$FH$276,MAX($EL$74:$EL$276)-EI53,$ED57)-DATE(YEAR(EI57)-1,12,31)&lt;274,3,4))),"T",YEAR(INDEX($DD$74:$FH$276,MAX($EL$74:$EL$276)-EI53,$ED57)))</f>
        <v>4T2023</v>
      </c>
      <c r="FY54" s="993" t="s">
        <v>694</v>
      </c>
      <c r="FZ54" s="898">
        <v>27</v>
      </c>
      <c r="GA54" s="21">
        <f t="shared" si="64"/>
        <v>86</v>
      </c>
      <c r="GB54" s="94">
        <f t="shared" si="65"/>
        <v>96</v>
      </c>
      <c r="GC54" s="94">
        <f t="shared" si="66"/>
        <v>203</v>
      </c>
      <c r="GD54" s="94">
        <f t="shared" si="67"/>
        <v>327.93253391472865</v>
      </c>
      <c r="GE54" s="22">
        <f t="shared" si="68"/>
        <v>90</v>
      </c>
      <c r="GU54" s="1022" t="s">
        <v>430</v>
      </c>
      <c r="GV54" s="889">
        <v>47</v>
      </c>
      <c r="GW54" s="935">
        <f t="shared" si="15"/>
        <v>75.891089166916487</v>
      </c>
      <c r="GX54" s="797">
        <f t="shared" si="16"/>
        <v>34.15805264733747</v>
      </c>
      <c r="GY54" s="797">
        <f t="shared" si="17"/>
        <v>24.889344975630422</v>
      </c>
      <c r="GZ54" s="797">
        <f t="shared" si="18"/>
        <v>92.36017377524837</v>
      </c>
      <c r="HA54" s="936">
        <f t="shared" si="19"/>
        <v>98.473001220068625</v>
      </c>
    </row>
    <row r="55" spans="17:209" ht="25.2" thickTop="1" thickBot="1">
      <c r="CL55" s="30" t="s">
        <v>128</v>
      </c>
      <c r="CM55" s="898">
        <v>81</v>
      </c>
      <c r="CN55" s="21">
        <f t="shared" si="44"/>
        <v>122971</v>
      </c>
      <c r="CO55" s="94">
        <f t="shared" si="45"/>
        <v>125227</v>
      </c>
      <c r="CP55" s="94">
        <f t="shared" si="46"/>
        <v>124445</v>
      </c>
      <c r="CQ55" s="94">
        <f t="shared" si="47"/>
        <v>134231</v>
      </c>
      <c r="CR55" s="22">
        <f t="shared" si="48"/>
        <v>135439</v>
      </c>
      <c r="DU55" s="941" t="s">
        <v>648</v>
      </c>
      <c r="DV55" s="887">
        <v>21</v>
      </c>
      <c r="DW55" s="932">
        <f>INDEX($DD$74:$FH$276,MAX($DZ$74:$DZ$276)-4,$DV55)</f>
        <v>149.43746321916149</v>
      </c>
      <c r="DX55" s="933">
        <f>INDEX($DD$74:$FH$276,MAX($DZ$74:$DZ$276)-3,$DV55)</f>
        <v>149.7441889399272</v>
      </c>
      <c r="DY55" s="933">
        <f>INDEX($DD$74:$FH$276,MAX($DZ$74:$DZ$276)-2,$DV55)</f>
        <v>155.58244893521146</v>
      </c>
      <c r="DZ55" s="933">
        <f>INDEX($DD$74:$FH$276,MAX($DZ$74:$DZ$276)-1,$DV55)</f>
        <v>164.15907489837693</v>
      </c>
      <c r="EA55" s="934">
        <f>INDEX($DD$74:$FH$276,MAX($DZ$74:$DZ$276),$DV55)</f>
        <v>157.83766037973677</v>
      </c>
      <c r="EC55" s="36"/>
      <c r="ED55" s="43" t="s">
        <v>15</v>
      </c>
      <c r="EE55" s="2168" t="s">
        <v>12</v>
      </c>
      <c r="EF55" s="2145"/>
      <c r="EG55" s="2145"/>
      <c r="EH55" s="2145"/>
      <c r="EI55" s="2146"/>
      <c r="GU55" s="1011" t="s">
        <v>431</v>
      </c>
      <c r="GV55" s="889">
        <v>48</v>
      </c>
      <c r="GW55" s="935">
        <f t="shared" si="15"/>
        <v>130.97493408391651</v>
      </c>
      <c r="GX55" s="797">
        <f t="shared" si="16"/>
        <v>44.549064848118888</v>
      </c>
      <c r="GY55" s="797">
        <f t="shared" si="17"/>
        <v>48.720405628889893</v>
      </c>
      <c r="GZ55" s="797">
        <f t="shared" si="18"/>
        <v>126.57984141260833</v>
      </c>
      <c r="HA55" s="936">
        <f t="shared" si="19"/>
        <v>156.09941897884468</v>
      </c>
    </row>
    <row r="56" spans="17:209" ht="12.9" thickTop="1" thickBot="1">
      <c r="DU56" s="942" t="s">
        <v>649</v>
      </c>
      <c r="DV56" s="898">
        <v>22</v>
      </c>
      <c r="DW56" s="937">
        <f>INDEX($DD$74:$FH$276,MAX($DZ$74:$DZ$276)-4,$DV56)</f>
        <v>1653.6513180328334</v>
      </c>
      <c r="DX56" s="938">
        <f>INDEX($DD$74:$FH$276,MAX($DZ$74:$DZ$276)-3,$DV56)</f>
        <v>126.95925805770986</v>
      </c>
      <c r="DY56" s="938">
        <f>INDEX($DD$74:$FH$276,MAX($DZ$74:$DZ$276)-2,$DV56)</f>
        <v>133.64522124700574</v>
      </c>
      <c r="DZ56" s="938">
        <f>INDEX($DD$74:$FH$276,MAX($DZ$74:$DZ$276)-1,$DV56)</f>
        <v>152.77476617518283</v>
      </c>
      <c r="EA56" s="939">
        <f>INDEX($DD$74:$FH$276,MAX($DZ$74:$DZ$276),$DV56)</f>
        <v>140.15799612312031</v>
      </c>
      <c r="EC56" s="37"/>
      <c r="ED56" s="44"/>
      <c r="EE56" s="804">
        <f>EE57</f>
        <v>44896</v>
      </c>
      <c r="EF56" s="785">
        <f>EF57</f>
        <v>44986</v>
      </c>
      <c r="EG56" s="785">
        <f>EG57</f>
        <v>45078</v>
      </c>
      <c r="EH56" s="785">
        <f>EH57</f>
        <v>45170</v>
      </c>
      <c r="EI56" s="805">
        <f>EI57</f>
        <v>45261</v>
      </c>
      <c r="GU56" s="1015" t="s">
        <v>432</v>
      </c>
      <c r="GV56" s="889">
        <v>49</v>
      </c>
      <c r="GW56" s="935">
        <f t="shared" si="15"/>
        <v>-55.083844917</v>
      </c>
      <c r="GX56" s="797">
        <f t="shared" si="16"/>
        <v>-10.39101220078142</v>
      </c>
      <c r="GY56" s="797">
        <f t="shared" si="17"/>
        <v>-23.831060653259474</v>
      </c>
      <c r="GZ56" s="797">
        <f t="shared" si="18"/>
        <v>-34.219667637359976</v>
      </c>
      <c r="HA56" s="936">
        <f t="shared" si="19"/>
        <v>-57.626417758776071</v>
      </c>
    </row>
    <row r="57" spans="17:209" ht="12.9" thickTop="1" thickBot="1">
      <c r="EC57" s="260"/>
      <c r="ED57" s="929">
        <v>1</v>
      </c>
      <c r="EE57" s="893">
        <f t="shared" ref="EE57:EE62" si="74">INDEX($DD$74:$FH$276,MAX($EL$74:$EL$276)-4,$ED57)</f>
        <v>44896</v>
      </c>
      <c r="EF57" s="759">
        <f t="shared" ref="EF57:EF62" si="75">INDEX($DD$74:$FH$276,MAX($EL$74:$EL$276)-3,$ED57)</f>
        <v>44986</v>
      </c>
      <c r="EG57" s="759">
        <f t="shared" ref="EG57:EG62" si="76">INDEX($DD$74:$FH$276,MAX($EL$74:$EL$276)-2,$ED57)</f>
        <v>45078</v>
      </c>
      <c r="EH57" s="759">
        <f t="shared" ref="EH57:EH62" si="77">INDEX($DD$74:$FH$276,MAX($EL$74:$EL$276)-1,$ED57)</f>
        <v>45170</v>
      </c>
      <c r="EI57" s="760">
        <f t="shared" ref="EI57:EI62" si="78">INDEX($DD$74:$FH$276,MAX($EL$74:$EL$276),$ED57)</f>
        <v>45261</v>
      </c>
      <c r="GU57" s="1009" t="s">
        <v>433</v>
      </c>
      <c r="GV57" s="889">
        <v>50</v>
      </c>
      <c r="GW57" s="935">
        <f t="shared" si="15"/>
        <v>0</v>
      </c>
      <c r="GX57" s="797">
        <f t="shared" si="16"/>
        <v>0</v>
      </c>
      <c r="GY57" s="797">
        <f t="shared" si="17"/>
        <v>0</v>
      </c>
      <c r="GZ57" s="797">
        <f t="shared" si="18"/>
        <v>0</v>
      </c>
      <c r="HA57" s="936">
        <f t="shared" si="19"/>
        <v>0</v>
      </c>
    </row>
    <row r="58" spans="17:209" ht="12.6" thickTop="1">
      <c r="EC58" s="941" t="s">
        <v>656</v>
      </c>
      <c r="ED58" s="887">
        <v>30</v>
      </c>
      <c r="EE58" s="932">
        <f t="shared" si="74"/>
        <v>318.41540303900001</v>
      </c>
      <c r="EF58" s="933">
        <f t="shared" si="75"/>
        <v>249.99553598124999</v>
      </c>
      <c r="EG58" s="933">
        <f t="shared" si="76"/>
        <v>278.66916553200002</v>
      </c>
      <c r="EH58" s="933">
        <f t="shared" si="77"/>
        <v>276.50465876300001</v>
      </c>
      <c r="EI58" s="934">
        <f t="shared" si="78"/>
        <v>0</v>
      </c>
      <c r="GU58" s="1023" t="s">
        <v>434</v>
      </c>
      <c r="GV58" s="889">
        <v>51</v>
      </c>
      <c r="GW58" s="935">
        <f t="shared" si="15"/>
        <v>394.58909094905499</v>
      </c>
      <c r="GX58" s="797">
        <f t="shared" si="16"/>
        <v>71.17220033000001</v>
      </c>
      <c r="GY58" s="797">
        <f t="shared" si="17"/>
        <v>79.29978541541</v>
      </c>
      <c r="GZ58" s="797">
        <f t="shared" si="18"/>
        <v>133.69213328181999</v>
      </c>
      <c r="HA58" s="936">
        <f t="shared" si="19"/>
        <v>198.82079435181996</v>
      </c>
    </row>
    <row r="59" spans="17:209">
      <c r="Q59">
        <v>1</v>
      </c>
      <c r="R59">
        <v>2</v>
      </c>
      <c r="S59">
        <v>3</v>
      </c>
      <c r="T59">
        <v>4</v>
      </c>
      <c r="U59">
        <v>5</v>
      </c>
      <c r="V59">
        <v>6</v>
      </c>
      <c r="W59">
        <v>7</v>
      </c>
      <c r="X59">
        <v>8</v>
      </c>
      <c r="Y59">
        <v>9</v>
      </c>
      <c r="Z59">
        <v>10</v>
      </c>
      <c r="AA59">
        <v>11</v>
      </c>
      <c r="AB59">
        <v>12</v>
      </c>
      <c r="AC59">
        <v>13</v>
      </c>
      <c r="AD59">
        <v>14</v>
      </c>
      <c r="AE59">
        <v>15</v>
      </c>
      <c r="AF59">
        <v>16</v>
      </c>
      <c r="AG59">
        <v>17</v>
      </c>
      <c r="AH59">
        <v>18</v>
      </c>
      <c r="AI59">
        <v>19</v>
      </c>
      <c r="AJ59">
        <v>20</v>
      </c>
      <c r="AK59">
        <v>21</v>
      </c>
      <c r="AL59">
        <v>22</v>
      </c>
      <c r="AM59">
        <v>23</v>
      </c>
      <c r="AN59">
        <v>24</v>
      </c>
      <c r="AO59">
        <v>25</v>
      </c>
      <c r="AP59">
        <v>26</v>
      </c>
      <c r="AQ59">
        <v>27</v>
      </c>
      <c r="AR59">
        <v>28</v>
      </c>
      <c r="AS59">
        <v>29</v>
      </c>
      <c r="AT59">
        <v>30</v>
      </c>
      <c r="AU59">
        <v>31</v>
      </c>
      <c r="AV59">
        <v>32</v>
      </c>
      <c r="AW59">
        <v>33</v>
      </c>
      <c r="AX59">
        <v>34</v>
      </c>
      <c r="AY59">
        <v>35</v>
      </c>
      <c r="AZ59">
        <v>36</v>
      </c>
      <c r="BA59">
        <v>37</v>
      </c>
      <c r="BB59">
        <v>38</v>
      </c>
      <c r="BC59">
        <v>39</v>
      </c>
      <c r="BD59">
        <v>40</v>
      </c>
      <c r="BE59">
        <v>41</v>
      </c>
      <c r="BF59">
        <v>42</v>
      </c>
      <c r="BG59">
        <v>43</v>
      </c>
      <c r="BH59">
        <v>44</v>
      </c>
      <c r="BI59">
        <v>45</v>
      </c>
      <c r="BJ59">
        <v>46</v>
      </c>
      <c r="BK59">
        <v>47</v>
      </c>
      <c r="BL59">
        <v>48</v>
      </c>
      <c r="BM59">
        <v>49</v>
      </c>
      <c r="BN59">
        <v>50</v>
      </c>
      <c r="BO59">
        <v>51</v>
      </c>
      <c r="BP59">
        <v>52</v>
      </c>
      <c r="BQ59">
        <v>53</v>
      </c>
      <c r="EC59" s="943" t="s">
        <v>657</v>
      </c>
      <c r="ED59" s="889">
        <v>31</v>
      </c>
      <c r="EE59" s="935">
        <f t="shared" si="74"/>
        <v>16.401443524999998</v>
      </c>
      <c r="EF59" s="797">
        <f t="shared" si="75"/>
        <v>27.670532817999998</v>
      </c>
      <c r="EG59" s="797">
        <f t="shared" si="76"/>
        <v>21.972677128000001</v>
      </c>
      <c r="EH59" s="797">
        <f t="shared" si="77"/>
        <v>16.311068414000001</v>
      </c>
      <c r="EI59" s="936">
        <f t="shared" si="78"/>
        <v>0</v>
      </c>
      <c r="GU59" s="1009" t="s">
        <v>435</v>
      </c>
      <c r="GV59" s="889">
        <v>52</v>
      </c>
      <c r="GW59" s="935">
        <f t="shared" si="15"/>
        <v>142.32193750300002</v>
      </c>
      <c r="GX59" s="797">
        <f t="shared" si="16"/>
        <v>47.478746052999995</v>
      </c>
      <c r="GY59" s="797">
        <f t="shared" si="17"/>
        <v>-48.629303448590001</v>
      </c>
      <c r="GZ59" s="797">
        <f t="shared" si="18"/>
        <v>-3.621931755180007</v>
      </c>
      <c r="HA59" s="936">
        <f t="shared" si="19"/>
        <v>21.718548872819984</v>
      </c>
    </row>
    <row r="60" spans="17:209" ht="36.9">
      <c r="EC60" s="944" t="s">
        <v>658</v>
      </c>
      <c r="ED60" s="889">
        <v>32</v>
      </c>
      <c r="EE60" s="935">
        <f t="shared" si="74"/>
        <v>14.606818238000001</v>
      </c>
      <c r="EF60" s="797">
        <f t="shared" si="75"/>
        <v>14.918264499000001</v>
      </c>
      <c r="EG60" s="797">
        <f t="shared" si="76"/>
        <v>13.65846936</v>
      </c>
      <c r="EH60" s="797">
        <f t="shared" si="77"/>
        <v>13.876231970999999</v>
      </c>
      <c r="EI60" s="936">
        <f t="shared" si="78"/>
        <v>0</v>
      </c>
      <c r="GU60" s="1010" t="s">
        <v>436</v>
      </c>
      <c r="GV60" s="889">
        <v>53</v>
      </c>
      <c r="GW60" s="935">
        <f t="shared" si="15"/>
        <v>252.267153446055</v>
      </c>
      <c r="GX60" s="797">
        <f t="shared" si="16"/>
        <v>23.693454277000004</v>
      </c>
      <c r="GY60" s="797">
        <f t="shared" si="17"/>
        <v>127.92908886399999</v>
      </c>
      <c r="GZ60" s="797">
        <f t="shared" si="18"/>
        <v>137.31406503700001</v>
      </c>
      <c r="HA60" s="936">
        <f t="shared" si="19"/>
        <v>177.10224547899998</v>
      </c>
    </row>
    <row r="61" spans="17:209" ht="41.25" customHeight="1" thickBot="1">
      <c r="EC61" s="943" t="s">
        <v>659</v>
      </c>
      <c r="ED61" s="889">
        <v>33</v>
      </c>
      <c r="EE61" s="935">
        <f t="shared" si="74"/>
        <v>0.46518418290096658</v>
      </c>
      <c r="EF61" s="797">
        <f t="shared" si="75"/>
        <v>0.79703719607106438</v>
      </c>
      <c r="EG61" s="797">
        <f t="shared" si="76"/>
        <v>0.48266642367746676</v>
      </c>
      <c r="EH61" s="797">
        <f t="shared" si="77"/>
        <v>0.49458853898166716</v>
      </c>
      <c r="EI61" s="936">
        <f t="shared" si="78"/>
        <v>0</v>
      </c>
      <c r="GU61" s="1024" t="s">
        <v>437</v>
      </c>
      <c r="GV61" s="898">
        <v>54</v>
      </c>
      <c r="GW61" s="937">
        <f t="shared" si="15"/>
        <v>7.8216365952279023</v>
      </c>
      <c r="GX61" s="938">
        <f t="shared" si="16"/>
        <v>-8.3726823747204904</v>
      </c>
      <c r="GY61" s="938">
        <f t="shared" si="17"/>
        <v>2.4023715775408334</v>
      </c>
      <c r="GZ61" s="938">
        <f t="shared" si="18"/>
        <v>4.4520020445729607</v>
      </c>
      <c r="HA61" s="939">
        <f t="shared" si="19"/>
        <v>4.7940546602754406</v>
      </c>
    </row>
    <row r="62" spans="17:209" ht="37.5" thickTop="1" thickBot="1">
      <c r="EC62" s="931" t="s">
        <v>660</v>
      </c>
      <c r="ED62" s="898">
        <v>34</v>
      </c>
      <c r="EE62" s="937">
        <f t="shared" si="74"/>
        <v>3.9774990859999999</v>
      </c>
      <c r="EF62" s="938">
        <f t="shared" si="75"/>
        <v>22.183304811999999</v>
      </c>
      <c r="EG62" s="938">
        <f t="shared" si="76"/>
        <v>0</v>
      </c>
      <c r="EH62" s="938">
        <f t="shared" si="77"/>
        <v>0</v>
      </c>
      <c r="EI62" s="939">
        <f t="shared" si="78"/>
        <v>0</v>
      </c>
    </row>
    <row r="63" spans="17:209" ht="12.6" thickTop="1"/>
    <row r="67" spans="1:376">
      <c r="JV67" s="86" t="s">
        <v>731</v>
      </c>
    </row>
    <row r="68" spans="1:376">
      <c r="B68" s="2078" t="s">
        <v>820</v>
      </c>
      <c r="C68" s="2078"/>
      <c r="D68" s="2078"/>
      <c r="E68" s="2078"/>
      <c r="F68" s="2078"/>
      <c r="G68" s="2078"/>
      <c r="H68" s="2078"/>
      <c r="I68" s="2078"/>
      <c r="J68" s="2078"/>
      <c r="R68" t="s">
        <v>591</v>
      </c>
      <c r="W68" t="s">
        <v>592</v>
      </c>
      <c r="AG68" t="s">
        <v>593</v>
      </c>
      <c r="IX68" s="86" t="s">
        <v>730</v>
      </c>
      <c r="KX68" s="86" t="s">
        <v>732</v>
      </c>
      <c r="MK68" t="s">
        <v>1199</v>
      </c>
    </row>
    <row r="69" spans="1:376" ht="12.6">
      <c r="B69">
        <v>1</v>
      </c>
      <c r="CD69" t="s">
        <v>607</v>
      </c>
      <c r="CH69" s="68" t="s">
        <v>629</v>
      </c>
      <c r="CU69" s="68" t="s">
        <v>630</v>
      </c>
      <c r="DE69" t="s">
        <v>681</v>
      </c>
      <c r="DH69" s="86" t="s">
        <v>682</v>
      </c>
      <c r="DL69" s="86" t="s">
        <v>638</v>
      </c>
      <c r="DQ69" s="86" t="s">
        <v>683</v>
      </c>
      <c r="DU69" s="86" t="s">
        <v>684</v>
      </c>
      <c r="DY69" s="86" t="s">
        <v>685</v>
      </c>
      <c r="EB69" s="86" t="s">
        <v>686</v>
      </c>
      <c r="EH69" s="86" t="s">
        <v>687</v>
      </c>
      <c r="EN69" s="86" t="s">
        <v>688</v>
      </c>
      <c r="EY69" s="68" t="s">
        <v>689</v>
      </c>
      <c r="FI69" s="86" t="s">
        <v>724</v>
      </c>
      <c r="FN69" s="86" t="s">
        <v>725</v>
      </c>
      <c r="FY69" s="86" t="s">
        <v>726</v>
      </c>
      <c r="GK69" s="86" t="s">
        <v>727</v>
      </c>
      <c r="GN69" s="86" t="s">
        <v>728</v>
      </c>
      <c r="GQ69" s="86" t="s">
        <v>729</v>
      </c>
      <c r="GU69" s="68" t="s">
        <v>441</v>
      </c>
    </row>
    <row r="70" spans="1:376">
      <c r="B70" s="1">
        <v>1</v>
      </c>
      <c r="C70">
        <v>2</v>
      </c>
      <c r="D70">
        <v>3</v>
      </c>
      <c r="E70">
        <v>4</v>
      </c>
      <c r="F70">
        <v>5</v>
      </c>
      <c r="G70">
        <v>6</v>
      </c>
      <c r="H70">
        <v>7</v>
      </c>
      <c r="I70">
        <v>8</v>
      </c>
      <c r="J70">
        <v>9</v>
      </c>
      <c r="K70">
        <v>10</v>
      </c>
      <c r="L70">
        <v>11</v>
      </c>
      <c r="M70">
        <v>12</v>
      </c>
      <c r="N70">
        <v>13</v>
      </c>
      <c r="Q70">
        <v>1</v>
      </c>
      <c r="R70">
        <v>2</v>
      </c>
      <c r="S70">
        <v>3</v>
      </c>
      <c r="T70">
        <v>4</v>
      </c>
      <c r="U70">
        <v>5</v>
      </c>
      <c r="V70">
        <v>6</v>
      </c>
      <c r="W70">
        <v>7</v>
      </c>
      <c r="X70">
        <v>8</v>
      </c>
      <c r="Y70">
        <v>9</v>
      </c>
      <c r="Z70">
        <v>10</v>
      </c>
      <c r="AA70">
        <v>11</v>
      </c>
      <c r="AB70">
        <v>12</v>
      </c>
      <c r="AC70">
        <v>13</v>
      </c>
      <c r="AD70">
        <v>14</v>
      </c>
      <c r="AE70">
        <v>15</v>
      </c>
      <c r="AF70">
        <v>16</v>
      </c>
      <c r="AG70">
        <v>17</v>
      </c>
      <c r="AH70">
        <v>18</v>
      </c>
      <c r="AI70">
        <v>19</v>
      </c>
      <c r="AJ70">
        <v>20</v>
      </c>
      <c r="AK70">
        <v>21</v>
      </c>
      <c r="AL70">
        <v>22</v>
      </c>
      <c r="AM70">
        <v>23</v>
      </c>
      <c r="AN70">
        <v>24</v>
      </c>
      <c r="AO70">
        <v>25</v>
      </c>
      <c r="AP70">
        <v>26</v>
      </c>
      <c r="AQ70">
        <v>27</v>
      </c>
      <c r="AR70">
        <v>28</v>
      </c>
      <c r="AS70">
        <v>29</v>
      </c>
      <c r="AT70">
        <v>30</v>
      </c>
      <c r="AU70">
        <v>31</v>
      </c>
      <c r="AV70">
        <v>32</v>
      </c>
      <c r="AW70">
        <v>33</v>
      </c>
      <c r="AX70">
        <v>34</v>
      </c>
      <c r="AY70">
        <v>35</v>
      </c>
      <c r="AZ70">
        <v>36</v>
      </c>
      <c r="BA70">
        <v>37</v>
      </c>
      <c r="BB70">
        <v>38</v>
      </c>
      <c r="BC70">
        <v>39</v>
      </c>
      <c r="BD70">
        <v>40</v>
      </c>
      <c r="BE70">
        <v>41</v>
      </c>
      <c r="BF70">
        <v>42</v>
      </c>
      <c r="BG70">
        <v>43</v>
      </c>
      <c r="BH70">
        <v>44</v>
      </c>
      <c r="BI70">
        <v>45</v>
      </c>
      <c r="BJ70">
        <v>46</v>
      </c>
      <c r="BK70">
        <v>47</v>
      </c>
      <c r="BL70">
        <v>48</v>
      </c>
      <c r="BM70">
        <v>49</v>
      </c>
      <c r="BN70">
        <v>50</v>
      </c>
      <c r="BO70">
        <v>51</v>
      </c>
      <c r="BP70">
        <v>52</v>
      </c>
      <c r="BQ70">
        <v>53</v>
      </c>
      <c r="BR70">
        <v>54</v>
      </c>
      <c r="BS70">
        <v>55</v>
      </c>
      <c r="BT70">
        <v>56</v>
      </c>
      <c r="BU70">
        <v>57</v>
      </c>
      <c r="BV70">
        <v>58</v>
      </c>
      <c r="BW70">
        <v>59</v>
      </c>
      <c r="BX70">
        <v>60</v>
      </c>
      <c r="BY70">
        <v>61</v>
      </c>
      <c r="BZ70">
        <v>62</v>
      </c>
      <c r="CA70">
        <v>63</v>
      </c>
      <c r="CB70">
        <v>64</v>
      </c>
      <c r="CC70">
        <v>65</v>
      </c>
      <c r="CD70">
        <v>66</v>
      </c>
      <c r="CE70">
        <v>67</v>
      </c>
      <c r="CF70">
        <v>68</v>
      </c>
      <c r="CG70">
        <v>69</v>
      </c>
      <c r="CH70">
        <v>70</v>
      </c>
      <c r="CI70">
        <v>71</v>
      </c>
      <c r="CJ70">
        <v>72</v>
      </c>
      <c r="CK70">
        <v>73</v>
      </c>
      <c r="CL70">
        <v>74</v>
      </c>
      <c r="CM70">
        <v>75</v>
      </c>
      <c r="CN70">
        <v>76</v>
      </c>
      <c r="CO70">
        <v>77</v>
      </c>
      <c r="CP70">
        <v>78</v>
      </c>
      <c r="CQ70">
        <v>79</v>
      </c>
      <c r="CR70">
        <v>80</v>
      </c>
      <c r="CS70">
        <v>81</v>
      </c>
      <c r="CT70">
        <v>82</v>
      </c>
      <c r="CU70">
        <v>83</v>
      </c>
      <c r="CV70">
        <v>84</v>
      </c>
      <c r="CW70">
        <v>85</v>
      </c>
      <c r="CX70">
        <v>86</v>
      </c>
      <c r="CY70">
        <v>87</v>
      </c>
      <c r="CZ70">
        <v>88</v>
      </c>
      <c r="DA70">
        <v>89</v>
      </c>
      <c r="DB70">
        <v>90</v>
      </c>
      <c r="DC70">
        <v>91</v>
      </c>
      <c r="DD70">
        <v>1</v>
      </c>
      <c r="DE70">
        <v>2</v>
      </c>
      <c r="DF70">
        <v>3</v>
      </c>
      <c r="DG70">
        <v>4</v>
      </c>
      <c r="DH70">
        <v>5</v>
      </c>
      <c r="DI70">
        <v>6</v>
      </c>
      <c r="DJ70">
        <v>7</v>
      </c>
      <c r="DK70">
        <v>8</v>
      </c>
      <c r="DL70">
        <v>9</v>
      </c>
      <c r="DM70">
        <v>10</v>
      </c>
      <c r="DN70">
        <v>11</v>
      </c>
      <c r="DO70">
        <v>12</v>
      </c>
      <c r="DP70">
        <v>13</v>
      </c>
      <c r="DQ70">
        <v>14</v>
      </c>
      <c r="DR70">
        <v>15</v>
      </c>
      <c r="DS70">
        <v>16</v>
      </c>
      <c r="DT70">
        <v>17</v>
      </c>
      <c r="DU70">
        <v>18</v>
      </c>
      <c r="DV70">
        <v>19</v>
      </c>
      <c r="DW70">
        <v>20</v>
      </c>
      <c r="DX70">
        <v>21</v>
      </c>
      <c r="DY70">
        <v>22</v>
      </c>
      <c r="DZ70">
        <v>23</v>
      </c>
      <c r="EA70">
        <v>24</v>
      </c>
      <c r="EB70">
        <v>25</v>
      </c>
      <c r="EC70">
        <v>26</v>
      </c>
      <c r="ED70">
        <v>27</v>
      </c>
      <c r="EE70">
        <v>28</v>
      </c>
      <c r="EF70">
        <v>29</v>
      </c>
      <c r="EG70">
        <v>30</v>
      </c>
      <c r="EH70">
        <v>31</v>
      </c>
      <c r="EI70">
        <v>32</v>
      </c>
      <c r="EJ70">
        <v>33</v>
      </c>
      <c r="EK70">
        <v>34</v>
      </c>
      <c r="EL70">
        <v>35</v>
      </c>
      <c r="EM70">
        <v>36</v>
      </c>
      <c r="EN70">
        <v>37</v>
      </c>
      <c r="EO70">
        <v>38</v>
      </c>
      <c r="EP70">
        <v>39</v>
      </c>
      <c r="EQ70">
        <v>40</v>
      </c>
      <c r="ER70">
        <v>41</v>
      </c>
      <c r="ES70">
        <v>42</v>
      </c>
      <c r="ET70">
        <v>43</v>
      </c>
      <c r="EU70">
        <v>44</v>
      </c>
      <c r="EV70">
        <v>45</v>
      </c>
      <c r="EW70">
        <v>46</v>
      </c>
      <c r="EX70">
        <v>47</v>
      </c>
      <c r="EY70">
        <v>48</v>
      </c>
      <c r="EZ70">
        <v>49</v>
      </c>
      <c r="FA70">
        <v>50</v>
      </c>
      <c r="FB70">
        <v>51</v>
      </c>
      <c r="FC70">
        <v>52</v>
      </c>
      <c r="FD70">
        <v>53</v>
      </c>
      <c r="FE70">
        <v>54</v>
      </c>
      <c r="FF70">
        <v>55</v>
      </c>
      <c r="FG70">
        <v>56</v>
      </c>
      <c r="FH70">
        <v>57</v>
      </c>
      <c r="FI70">
        <v>1</v>
      </c>
      <c r="FJ70">
        <v>2</v>
      </c>
      <c r="FK70">
        <v>3</v>
      </c>
      <c r="FL70">
        <v>4</v>
      </c>
      <c r="FM70">
        <v>5</v>
      </c>
      <c r="FN70">
        <v>6</v>
      </c>
      <c r="FO70">
        <v>7</v>
      </c>
      <c r="FP70">
        <v>8</v>
      </c>
      <c r="FQ70">
        <v>9</v>
      </c>
      <c r="FR70">
        <v>10</v>
      </c>
      <c r="FS70">
        <v>11</v>
      </c>
      <c r="FT70">
        <v>12</v>
      </c>
      <c r="FU70">
        <v>13</v>
      </c>
      <c r="FV70">
        <v>14</v>
      </c>
      <c r="FW70">
        <v>15</v>
      </c>
      <c r="FX70">
        <v>16</v>
      </c>
      <c r="FY70">
        <v>17</v>
      </c>
      <c r="FZ70">
        <v>18</v>
      </c>
      <c r="GA70">
        <v>19</v>
      </c>
      <c r="GB70">
        <v>20</v>
      </c>
      <c r="GC70">
        <v>21</v>
      </c>
      <c r="GD70">
        <v>22</v>
      </c>
      <c r="GE70">
        <v>23</v>
      </c>
      <c r="GF70">
        <v>24</v>
      </c>
      <c r="GG70">
        <v>25</v>
      </c>
      <c r="GH70">
        <v>26</v>
      </c>
      <c r="GI70">
        <v>27</v>
      </c>
      <c r="GJ70">
        <v>28</v>
      </c>
      <c r="GK70">
        <v>29</v>
      </c>
      <c r="GL70">
        <v>30</v>
      </c>
      <c r="GM70">
        <v>31</v>
      </c>
      <c r="GN70">
        <v>32</v>
      </c>
      <c r="GO70">
        <v>33</v>
      </c>
      <c r="GP70">
        <v>34</v>
      </c>
      <c r="GQ70">
        <v>35</v>
      </c>
      <c r="GR70">
        <v>36</v>
      </c>
      <c r="GS70">
        <v>37</v>
      </c>
      <c r="GT70">
        <v>1</v>
      </c>
      <c r="GU70">
        <v>2</v>
      </c>
      <c r="GV70">
        <v>3</v>
      </c>
      <c r="GW70">
        <v>4</v>
      </c>
      <c r="GX70">
        <v>5</v>
      </c>
      <c r="GY70">
        <v>6</v>
      </c>
      <c r="GZ70">
        <v>7</v>
      </c>
      <c r="HA70">
        <v>8</v>
      </c>
      <c r="HB70">
        <v>9</v>
      </c>
      <c r="HC70">
        <v>10</v>
      </c>
      <c r="HD70">
        <v>11</v>
      </c>
      <c r="HE70">
        <v>12</v>
      </c>
      <c r="HF70">
        <v>13</v>
      </c>
      <c r="HG70">
        <v>14</v>
      </c>
      <c r="HH70">
        <v>15</v>
      </c>
      <c r="HI70">
        <v>16</v>
      </c>
      <c r="HJ70">
        <v>17</v>
      </c>
      <c r="HK70">
        <v>18</v>
      </c>
      <c r="HL70">
        <v>19</v>
      </c>
      <c r="HM70">
        <v>20</v>
      </c>
      <c r="HN70">
        <v>21</v>
      </c>
      <c r="HO70">
        <v>22</v>
      </c>
      <c r="HP70">
        <v>23</v>
      </c>
      <c r="HQ70">
        <v>24</v>
      </c>
      <c r="HR70">
        <v>25</v>
      </c>
      <c r="HS70">
        <v>26</v>
      </c>
      <c r="HT70">
        <v>27</v>
      </c>
      <c r="HU70">
        <v>28</v>
      </c>
      <c r="HV70">
        <v>29</v>
      </c>
      <c r="HW70">
        <v>30</v>
      </c>
      <c r="HX70">
        <v>31</v>
      </c>
      <c r="HY70">
        <v>32</v>
      </c>
      <c r="HZ70">
        <v>33</v>
      </c>
      <c r="IA70">
        <v>34</v>
      </c>
      <c r="IB70">
        <v>35</v>
      </c>
      <c r="IC70">
        <v>36</v>
      </c>
      <c r="ID70">
        <v>37</v>
      </c>
      <c r="IE70">
        <v>38</v>
      </c>
      <c r="IF70">
        <v>39</v>
      </c>
      <c r="IG70">
        <v>40</v>
      </c>
      <c r="IH70">
        <v>41</v>
      </c>
      <c r="II70">
        <v>42</v>
      </c>
      <c r="IJ70">
        <v>43</v>
      </c>
      <c r="IK70">
        <v>44</v>
      </c>
      <c r="IL70">
        <v>45</v>
      </c>
      <c r="IM70">
        <v>46</v>
      </c>
      <c r="IN70">
        <v>47</v>
      </c>
      <c r="IO70">
        <v>48</v>
      </c>
      <c r="IP70">
        <v>49</v>
      </c>
      <c r="IQ70">
        <v>50</v>
      </c>
      <c r="IR70">
        <v>51</v>
      </c>
      <c r="IS70">
        <v>52</v>
      </c>
      <c r="IT70">
        <v>53</v>
      </c>
      <c r="IU70">
        <v>54</v>
      </c>
      <c r="IV70">
        <v>55</v>
      </c>
      <c r="IW70">
        <v>1</v>
      </c>
      <c r="IX70">
        <v>2</v>
      </c>
      <c r="IY70">
        <v>3</v>
      </c>
      <c r="IZ70">
        <v>4</v>
      </c>
      <c r="JA70">
        <v>5</v>
      </c>
      <c r="JB70">
        <v>6</v>
      </c>
      <c r="JC70">
        <v>7</v>
      </c>
      <c r="JD70">
        <v>8</v>
      </c>
      <c r="JE70">
        <v>9</v>
      </c>
      <c r="JF70">
        <v>10</v>
      </c>
      <c r="JG70">
        <v>11</v>
      </c>
      <c r="JH70">
        <v>12</v>
      </c>
      <c r="JI70">
        <v>13</v>
      </c>
      <c r="JJ70">
        <v>14</v>
      </c>
      <c r="JK70">
        <v>15</v>
      </c>
      <c r="JL70">
        <v>16</v>
      </c>
      <c r="JM70">
        <v>17</v>
      </c>
      <c r="JN70">
        <v>18</v>
      </c>
      <c r="JO70">
        <v>19</v>
      </c>
      <c r="JP70">
        <v>20</v>
      </c>
      <c r="JQ70">
        <v>21</v>
      </c>
      <c r="JR70">
        <v>22</v>
      </c>
      <c r="JS70">
        <v>23</v>
      </c>
      <c r="JT70">
        <v>24</v>
      </c>
      <c r="JU70">
        <v>25</v>
      </c>
      <c r="JV70">
        <v>26</v>
      </c>
      <c r="JW70">
        <v>27</v>
      </c>
      <c r="JX70">
        <v>28</v>
      </c>
      <c r="JY70">
        <v>29</v>
      </c>
      <c r="JZ70">
        <v>30</v>
      </c>
      <c r="KA70">
        <v>31</v>
      </c>
      <c r="KB70">
        <v>32</v>
      </c>
      <c r="KC70">
        <v>33</v>
      </c>
      <c r="KD70">
        <v>34</v>
      </c>
      <c r="KE70">
        <v>35</v>
      </c>
      <c r="KF70">
        <v>36</v>
      </c>
      <c r="KG70">
        <v>37</v>
      </c>
      <c r="KH70">
        <v>38</v>
      </c>
      <c r="KI70">
        <v>39</v>
      </c>
      <c r="KJ70">
        <v>40</v>
      </c>
      <c r="KK70">
        <v>41</v>
      </c>
      <c r="KL70">
        <v>42</v>
      </c>
      <c r="KM70">
        <v>43</v>
      </c>
      <c r="KN70">
        <v>44</v>
      </c>
      <c r="KO70">
        <v>45</v>
      </c>
      <c r="KP70">
        <v>46</v>
      </c>
      <c r="KQ70">
        <v>47</v>
      </c>
      <c r="KR70">
        <v>48</v>
      </c>
      <c r="KS70">
        <v>49</v>
      </c>
      <c r="KT70">
        <v>50</v>
      </c>
      <c r="KU70">
        <v>51</v>
      </c>
      <c r="KV70">
        <v>52</v>
      </c>
      <c r="KW70">
        <v>53</v>
      </c>
      <c r="KX70">
        <v>54</v>
      </c>
      <c r="KY70">
        <v>55</v>
      </c>
      <c r="KZ70">
        <v>56</v>
      </c>
      <c r="LA70">
        <v>57</v>
      </c>
      <c r="LB70">
        <v>58</v>
      </c>
      <c r="LC70">
        <v>59</v>
      </c>
      <c r="LD70">
        <v>60</v>
      </c>
      <c r="LE70">
        <v>61</v>
      </c>
      <c r="LF70">
        <v>62</v>
      </c>
      <c r="LG70">
        <v>63</v>
      </c>
      <c r="LH70">
        <v>64</v>
      </c>
      <c r="LI70">
        <v>65</v>
      </c>
      <c r="LJ70">
        <v>66</v>
      </c>
      <c r="LK70">
        <v>67</v>
      </c>
      <c r="LL70">
        <v>68</v>
      </c>
      <c r="LM70">
        <v>69</v>
      </c>
      <c r="LN70">
        <v>70</v>
      </c>
      <c r="LO70">
        <v>71</v>
      </c>
      <c r="LP70">
        <v>72</v>
      </c>
      <c r="LQ70">
        <v>73</v>
      </c>
      <c r="LR70">
        <v>74</v>
      </c>
      <c r="LS70">
        <v>75</v>
      </c>
      <c r="LT70">
        <v>76</v>
      </c>
      <c r="LU70">
        <v>77</v>
      </c>
      <c r="LV70">
        <v>78</v>
      </c>
      <c r="LW70">
        <v>79</v>
      </c>
      <c r="LX70">
        <v>80</v>
      </c>
      <c r="LY70">
        <v>81</v>
      </c>
      <c r="LZ70">
        <v>82</v>
      </c>
      <c r="MA70">
        <v>83</v>
      </c>
      <c r="MB70">
        <v>84</v>
      </c>
      <c r="MC70">
        <v>85</v>
      </c>
      <c r="MD70">
        <v>86</v>
      </c>
      <c r="ME70">
        <v>87</v>
      </c>
      <c r="MF70">
        <v>88</v>
      </c>
      <c r="MG70">
        <v>89</v>
      </c>
      <c r="MH70">
        <v>90</v>
      </c>
      <c r="MI70">
        <v>91</v>
      </c>
      <c r="MK70">
        <v>101</v>
      </c>
      <c r="ML70">
        <v>102</v>
      </c>
      <c r="MM70">
        <v>103</v>
      </c>
      <c r="MN70">
        <v>104</v>
      </c>
      <c r="MO70">
        <v>105</v>
      </c>
      <c r="MP70">
        <v>106</v>
      </c>
      <c r="MQ70">
        <v>107</v>
      </c>
      <c r="MR70">
        <v>108</v>
      </c>
      <c r="MS70">
        <v>109</v>
      </c>
      <c r="MT70">
        <v>110</v>
      </c>
      <c r="MU70">
        <v>111</v>
      </c>
      <c r="MV70">
        <v>112</v>
      </c>
      <c r="MW70">
        <v>113</v>
      </c>
      <c r="MX70">
        <v>114</v>
      </c>
      <c r="MY70">
        <v>115</v>
      </c>
      <c r="MZ70">
        <v>116</v>
      </c>
      <c r="NA70">
        <v>117</v>
      </c>
      <c r="NB70">
        <v>118</v>
      </c>
      <c r="NC70">
        <v>119</v>
      </c>
      <c r="ND70">
        <v>120</v>
      </c>
      <c r="NE70">
        <v>121</v>
      </c>
      <c r="NF70">
        <v>122</v>
      </c>
      <c r="NG70">
        <v>123</v>
      </c>
      <c r="NH70">
        <v>124</v>
      </c>
      <c r="NI70">
        <v>125</v>
      </c>
      <c r="NJ70">
        <v>126</v>
      </c>
      <c r="NK70">
        <v>128</v>
      </c>
      <c r="NL70">
        <v>129</v>
      </c>
    </row>
    <row r="71" spans="1:376" ht="12.6" thickBot="1">
      <c r="B71" s="1"/>
      <c r="R71" t="s">
        <v>1061</v>
      </c>
      <c r="BD71" t="s">
        <v>594</v>
      </c>
      <c r="MK71">
        <v>1</v>
      </c>
      <c r="ML71">
        <v>2</v>
      </c>
      <c r="MM71">
        <v>3</v>
      </c>
      <c r="MN71">
        <v>4</v>
      </c>
      <c r="MO71">
        <v>5</v>
      </c>
      <c r="MP71">
        <v>6</v>
      </c>
      <c r="MQ71">
        <v>7</v>
      </c>
      <c r="MR71">
        <v>8</v>
      </c>
      <c r="MS71">
        <v>9</v>
      </c>
      <c r="MT71">
        <v>10</v>
      </c>
      <c r="MU71">
        <v>11</v>
      </c>
      <c r="MV71">
        <v>12</v>
      </c>
      <c r="MW71">
        <v>13</v>
      </c>
      <c r="MX71">
        <v>14</v>
      </c>
      <c r="MY71">
        <v>15</v>
      </c>
      <c r="MZ71">
        <v>16</v>
      </c>
      <c r="NA71">
        <v>17</v>
      </c>
      <c r="NB71">
        <v>18</v>
      </c>
      <c r="NC71">
        <v>19</v>
      </c>
      <c r="ND71">
        <v>20</v>
      </c>
      <c r="NE71">
        <v>21</v>
      </c>
      <c r="NF71">
        <v>22</v>
      </c>
      <c r="NG71">
        <v>23</v>
      </c>
      <c r="NH71">
        <v>24</v>
      </c>
      <c r="NI71">
        <v>25</v>
      </c>
      <c r="NJ71">
        <v>26</v>
      </c>
      <c r="NK71">
        <v>28</v>
      </c>
      <c r="NL71">
        <v>29</v>
      </c>
    </row>
    <row r="72" spans="1:376" ht="12.6" thickBot="1">
      <c r="A72" s="130"/>
      <c r="B72" s="130"/>
      <c r="C72" s="130"/>
      <c r="D72" s="130"/>
      <c r="E72" s="130"/>
      <c r="F72" s="130"/>
      <c r="G72" s="130"/>
      <c r="H72" s="130"/>
      <c r="I72" s="130"/>
      <c r="J72" s="130"/>
      <c r="K72" s="130"/>
      <c r="L72" s="130"/>
      <c r="M72" s="130"/>
      <c r="N72" s="130"/>
      <c r="O72" s="131"/>
      <c r="P72" s="545"/>
      <c r="Q72" s="545"/>
      <c r="R72" s="545"/>
      <c r="S72" s="545"/>
      <c r="T72" s="545"/>
      <c r="U72" s="545"/>
      <c r="V72" s="212"/>
      <c r="AD72" t="s">
        <v>1060</v>
      </c>
      <c r="AG72" s="2169" t="s">
        <v>595</v>
      </c>
      <c r="AH72" s="2169"/>
      <c r="AI72" s="2169"/>
      <c r="AJ72" s="2169"/>
      <c r="AK72" s="2169"/>
      <c r="AL72" s="2169"/>
      <c r="AM72" s="2169"/>
      <c r="AN72" s="2169"/>
      <c r="AO72" s="2169" t="s">
        <v>596</v>
      </c>
      <c r="AP72" s="2169"/>
      <c r="AQ72" s="2169"/>
      <c r="AR72" s="2169"/>
      <c r="AS72" s="2169"/>
      <c r="AT72" s="2169" t="s">
        <v>582</v>
      </c>
      <c r="AU72" s="2169"/>
      <c r="AV72" s="2169"/>
      <c r="AW72" s="2169" t="s">
        <v>597</v>
      </c>
      <c r="AX72" s="2169"/>
      <c r="AY72" s="2169"/>
      <c r="AZ72" s="2169"/>
      <c r="BA72" s="2169"/>
      <c r="BB72" s="2169"/>
      <c r="BC72" s="2169"/>
      <c r="BD72" s="2169" t="s">
        <v>595</v>
      </c>
      <c r="BE72" s="2169"/>
      <c r="BF72" s="2169"/>
      <c r="BG72" s="2169"/>
      <c r="BH72" s="2169"/>
      <c r="BI72" s="2169"/>
      <c r="BJ72" s="2169"/>
      <c r="BK72" s="2169"/>
      <c r="BL72" s="2169" t="s">
        <v>596</v>
      </c>
      <c r="BM72" s="2169"/>
      <c r="BN72" s="2169"/>
      <c r="BO72" s="2169"/>
      <c r="BP72" s="2169"/>
      <c r="BQ72" s="2169" t="s">
        <v>582</v>
      </c>
      <c r="BR72" s="2169"/>
      <c r="BS72" s="2169"/>
      <c r="BT72" s="2169" t="s">
        <v>597</v>
      </c>
      <c r="BU72" s="2169"/>
      <c r="BV72" s="2170"/>
      <c r="BW72" s="2170"/>
      <c r="BX72" s="2170"/>
      <c r="BY72" s="2170"/>
      <c r="BZ72" s="2170"/>
    </row>
    <row r="73" spans="1:376" ht="24.75" customHeight="1" thickTop="1" thickBot="1">
      <c r="A73" s="41" t="s">
        <v>16</v>
      </c>
      <c r="B73" s="121" t="s">
        <v>0</v>
      </c>
      <c r="C73" s="788" t="s">
        <v>529</v>
      </c>
      <c r="D73" s="789" t="s">
        <v>530</v>
      </c>
      <c r="E73" s="789" t="s">
        <v>531</v>
      </c>
      <c r="F73" s="789" t="s">
        <v>532</v>
      </c>
      <c r="G73" s="789" t="s">
        <v>533</v>
      </c>
      <c r="H73" s="789" t="s">
        <v>534</v>
      </c>
      <c r="I73" s="789" t="s">
        <v>535</v>
      </c>
      <c r="J73" s="789" t="s">
        <v>536</v>
      </c>
      <c r="K73" s="789" t="s">
        <v>537</v>
      </c>
      <c r="L73" s="789" t="s">
        <v>538</v>
      </c>
      <c r="M73" s="790" t="s">
        <v>539</v>
      </c>
      <c r="N73" s="126" t="s">
        <v>11</v>
      </c>
      <c r="O73" s="97"/>
      <c r="P73" s="90" t="s">
        <v>439</v>
      </c>
      <c r="Q73" s="176" t="s">
        <v>0</v>
      </c>
      <c r="R73" s="216" t="s">
        <v>87</v>
      </c>
      <c r="S73" s="149" t="s">
        <v>544</v>
      </c>
      <c r="T73" s="149" t="s">
        <v>546</v>
      </c>
      <c r="U73" s="217" t="s">
        <v>547</v>
      </c>
      <c r="V73" s="23" t="s">
        <v>11</v>
      </c>
      <c r="W73" s="148" t="s">
        <v>550</v>
      </c>
      <c r="X73" s="149" t="s">
        <v>551</v>
      </c>
      <c r="Y73" s="149" t="s">
        <v>552</v>
      </c>
      <c r="Z73" s="149" t="s">
        <v>554</v>
      </c>
      <c r="AA73" s="149" t="s">
        <v>555</v>
      </c>
      <c r="AB73" s="149" t="s">
        <v>557</v>
      </c>
      <c r="AC73" s="149" t="s">
        <v>559</v>
      </c>
      <c r="AD73" s="149" t="s">
        <v>560</v>
      </c>
      <c r="AE73" s="217" t="s">
        <v>562</v>
      </c>
      <c r="AF73" s="23" t="s">
        <v>11</v>
      </c>
      <c r="AG73" s="148" t="s">
        <v>566</v>
      </c>
      <c r="AH73" s="149" t="s">
        <v>568</v>
      </c>
      <c r="AI73" s="149" t="s">
        <v>570</v>
      </c>
      <c r="AJ73" s="149" t="s">
        <v>572</v>
      </c>
      <c r="AK73" s="149" t="s">
        <v>574</v>
      </c>
      <c r="AL73" s="149" t="s">
        <v>576</v>
      </c>
      <c r="AM73" s="149" t="s">
        <v>577</v>
      </c>
      <c r="AN73" s="217" t="s">
        <v>578</v>
      </c>
      <c r="AO73" s="148" t="s">
        <v>566</v>
      </c>
      <c r="AP73" s="149" t="s">
        <v>568</v>
      </c>
      <c r="AQ73" s="149" t="s">
        <v>570</v>
      </c>
      <c r="AR73" s="149" t="s">
        <v>572</v>
      </c>
      <c r="AS73" s="217" t="s">
        <v>580</v>
      </c>
      <c r="AT73" s="148" t="s">
        <v>581</v>
      </c>
      <c r="AU73" s="149" t="s">
        <v>583</v>
      </c>
      <c r="AV73" s="217" t="s">
        <v>584</v>
      </c>
      <c r="AW73" s="148" t="s">
        <v>585</v>
      </c>
      <c r="AX73" s="149" t="s">
        <v>566</v>
      </c>
      <c r="AY73" s="149" t="s">
        <v>568</v>
      </c>
      <c r="AZ73" s="149" t="s">
        <v>570</v>
      </c>
      <c r="BA73" s="149" t="s">
        <v>572</v>
      </c>
      <c r="BB73" s="149" t="s">
        <v>588</v>
      </c>
      <c r="BC73" s="217" t="s">
        <v>580</v>
      </c>
      <c r="BD73" s="148" t="s">
        <v>566</v>
      </c>
      <c r="BE73" s="149" t="s">
        <v>568</v>
      </c>
      <c r="BF73" s="149" t="s">
        <v>570</v>
      </c>
      <c r="BG73" s="149" t="s">
        <v>572</v>
      </c>
      <c r="BH73" s="149" t="s">
        <v>574</v>
      </c>
      <c r="BI73" s="149" t="s">
        <v>576</v>
      </c>
      <c r="BJ73" s="149" t="s">
        <v>577</v>
      </c>
      <c r="BK73" s="217" t="s">
        <v>578</v>
      </c>
      <c r="BL73" s="148" t="s">
        <v>566</v>
      </c>
      <c r="BM73" s="149" t="s">
        <v>568</v>
      </c>
      <c r="BN73" s="149" t="s">
        <v>570</v>
      </c>
      <c r="BO73" s="149" t="s">
        <v>572</v>
      </c>
      <c r="BP73" s="149" t="s">
        <v>590</v>
      </c>
      <c r="BQ73" s="217" t="s">
        <v>580</v>
      </c>
      <c r="BR73" s="148" t="s">
        <v>581</v>
      </c>
      <c r="BS73" s="149" t="s">
        <v>583</v>
      </c>
      <c r="BT73" s="149" t="s">
        <v>584</v>
      </c>
      <c r="BU73" s="217" t="s">
        <v>585</v>
      </c>
      <c r="BV73" s="148" t="s">
        <v>566</v>
      </c>
      <c r="BW73" s="149" t="s">
        <v>568</v>
      </c>
      <c r="BX73" s="149" t="s">
        <v>570</v>
      </c>
      <c r="BY73" s="149" t="s">
        <v>572</v>
      </c>
      <c r="BZ73" s="149" t="s">
        <v>588</v>
      </c>
      <c r="CA73" s="149" t="s">
        <v>590</v>
      </c>
      <c r="CB73" s="217" t="s">
        <v>580</v>
      </c>
      <c r="CC73" s="23" t="s">
        <v>11</v>
      </c>
      <c r="CD73" s="148" t="s">
        <v>599</v>
      </c>
      <c r="CE73" s="149" t="s">
        <v>600</v>
      </c>
      <c r="CF73" s="217" t="s">
        <v>601</v>
      </c>
      <c r="CG73" s="23" t="s">
        <v>11</v>
      </c>
      <c r="CH73" s="148" t="s">
        <v>609</v>
      </c>
      <c r="CI73" s="149" t="s">
        <v>610</v>
      </c>
      <c r="CJ73" s="149" t="s">
        <v>611</v>
      </c>
      <c r="CK73" s="149" t="s">
        <v>612</v>
      </c>
      <c r="CL73" s="149" t="s">
        <v>613</v>
      </c>
      <c r="CM73" s="149" t="s">
        <v>614</v>
      </c>
      <c r="CN73" s="149" t="s">
        <v>615</v>
      </c>
      <c r="CO73" s="149" t="s">
        <v>616</v>
      </c>
      <c r="CP73" s="149" t="s">
        <v>617</v>
      </c>
      <c r="CQ73" s="149" t="s">
        <v>618</v>
      </c>
      <c r="CR73" s="393" t="s">
        <v>998</v>
      </c>
      <c r="CS73" s="217" t="s">
        <v>128</v>
      </c>
      <c r="CT73" s="23" t="s">
        <v>11</v>
      </c>
      <c r="CU73" s="148" t="s">
        <v>622</v>
      </c>
      <c r="CV73" s="149" t="s">
        <v>623</v>
      </c>
      <c r="CW73" s="149" t="s">
        <v>624</v>
      </c>
      <c r="CX73" s="149" t="s">
        <v>625</v>
      </c>
      <c r="CY73" s="149" t="s">
        <v>626</v>
      </c>
      <c r="CZ73" s="149" t="s">
        <v>627</v>
      </c>
      <c r="DA73" s="149" t="s">
        <v>628</v>
      </c>
      <c r="DB73" s="217" t="s">
        <v>128</v>
      </c>
      <c r="DC73" s="23" t="s">
        <v>11</v>
      </c>
      <c r="DD73" s="16" t="s">
        <v>0</v>
      </c>
      <c r="DE73" s="148" t="s">
        <v>633</v>
      </c>
      <c r="DF73" s="217" t="s">
        <v>634</v>
      </c>
      <c r="DG73" s="177" t="s">
        <v>11</v>
      </c>
      <c r="DH73" s="148" t="s">
        <v>636</v>
      </c>
      <c r="DI73" s="217" t="s">
        <v>637</v>
      </c>
      <c r="DJ73" s="177" t="s">
        <v>11</v>
      </c>
      <c r="DK73" s="148" t="s">
        <v>633</v>
      </c>
      <c r="DL73" s="217" t="s">
        <v>636</v>
      </c>
      <c r="DM73" s="148" t="s">
        <v>639</v>
      </c>
      <c r="DN73" s="217" t="s">
        <v>640</v>
      </c>
      <c r="DO73" s="23" t="s">
        <v>11</v>
      </c>
      <c r="DP73" s="148" t="s">
        <v>642</v>
      </c>
      <c r="DQ73" s="149" t="s">
        <v>643</v>
      </c>
      <c r="DR73" s="217" t="s">
        <v>644</v>
      </c>
      <c r="DS73" s="23" t="s">
        <v>11</v>
      </c>
      <c r="DT73" s="148" t="s">
        <v>642</v>
      </c>
      <c r="DU73" s="149" t="s">
        <v>643</v>
      </c>
      <c r="DV73" s="217" t="s">
        <v>646</v>
      </c>
      <c r="DW73" s="23" t="s">
        <v>11</v>
      </c>
      <c r="DX73" s="148" t="s">
        <v>648</v>
      </c>
      <c r="DY73" s="217" t="s">
        <v>649</v>
      </c>
      <c r="DZ73" s="23" t="s">
        <v>11</v>
      </c>
      <c r="EA73" s="148" t="s">
        <v>651</v>
      </c>
      <c r="EB73" s="149" t="s">
        <v>86</v>
      </c>
      <c r="EC73" s="149" t="s">
        <v>652</v>
      </c>
      <c r="ED73" s="149" t="s">
        <v>653</v>
      </c>
      <c r="EE73" s="217" t="s">
        <v>654</v>
      </c>
      <c r="EF73" s="23" t="s">
        <v>11</v>
      </c>
      <c r="EG73" s="148" t="s">
        <v>656</v>
      </c>
      <c r="EH73" s="149" t="s">
        <v>657</v>
      </c>
      <c r="EI73" s="149" t="s">
        <v>658</v>
      </c>
      <c r="EJ73" s="149" t="s">
        <v>659</v>
      </c>
      <c r="EK73" s="217" t="s">
        <v>660</v>
      </c>
      <c r="EL73" s="23" t="s">
        <v>11</v>
      </c>
      <c r="EM73" s="148" t="s">
        <v>663</v>
      </c>
      <c r="EN73" s="149" t="s">
        <v>664</v>
      </c>
      <c r="EO73" s="149" t="s">
        <v>665</v>
      </c>
      <c r="EP73" s="149" t="s">
        <v>666</v>
      </c>
      <c r="EQ73" s="149" t="s">
        <v>667</v>
      </c>
      <c r="ER73" s="149" t="s">
        <v>668</v>
      </c>
      <c r="ES73" s="149" t="s">
        <v>669</v>
      </c>
      <c r="ET73" s="149" t="s">
        <v>670</v>
      </c>
      <c r="EU73" s="149" t="s">
        <v>671</v>
      </c>
      <c r="EV73" s="217" t="s">
        <v>672</v>
      </c>
      <c r="EW73" s="23" t="s">
        <v>11</v>
      </c>
      <c r="EX73" s="148" t="s">
        <v>674</v>
      </c>
      <c r="EY73" s="149" t="s">
        <v>670</v>
      </c>
      <c r="EZ73" s="149" t="s">
        <v>667</v>
      </c>
      <c r="FA73" s="149" t="s">
        <v>675</v>
      </c>
      <c r="FB73" s="149" t="s">
        <v>676</v>
      </c>
      <c r="FC73" s="149" t="s">
        <v>668</v>
      </c>
      <c r="FD73" s="149" t="s">
        <v>677</v>
      </c>
      <c r="FE73" s="149" t="s">
        <v>678</v>
      </c>
      <c r="FF73" s="149" t="s">
        <v>679</v>
      </c>
      <c r="FG73" s="217" t="s">
        <v>680</v>
      </c>
      <c r="FH73" s="23" t="s">
        <v>11</v>
      </c>
      <c r="FI73" s="16" t="s">
        <v>0</v>
      </c>
      <c r="FJ73" s="148" t="s">
        <v>692</v>
      </c>
      <c r="FK73" s="149" t="s">
        <v>693</v>
      </c>
      <c r="FL73" s="217" t="s">
        <v>694</v>
      </c>
      <c r="FM73" s="23" t="s">
        <v>11</v>
      </c>
      <c r="FN73" s="148" t="s">
        <v>697</v>
      </c>
      <c r="FO73" s="149" t="s">
        <v>698</v>
      </c>
      <c r="FP73" s="149" t="s">
        <v>699</v>
      </c>
      <c r="FQ73" s="149" t="s">
        <v>700</v>
      </c>
      <c r="FR73" s="149" t="s">
        <v>701</v>
      </c>
      <c r="FS73" s="149" t="s">
        <v>702</v>
      </c>
      <c r="FT73" s="149" t="s">
        <v>703</v>
      </c>
      <c r="FU73" s="149" t="s">
        <v>704</v>
      </c>
      <c r="FV73" s="149" t="s">
        <v>705</v>
      </c>
      <c r="FW73" s="217" t="s">
        <v>694</v>
      </c>
      <c r="FX73" s="23" t="s">
        <v>11</v>
      </c>
      <c r="FY73" s="149" t="s">
        <v>707</v>
      </c>
      <c r="FZ73" s="149" t="s">
        <v>708</v>
      </c>
      <c r="GA73" s="149" t="s">
        <v>709</v>
      </c>
      <c r="GB73" s="149" t="s">
        <v>710</v>
      </c>
      <c r="GC73" s="149" t="s">
        <v>711</v>
      </c>
      <c r="GD73" s="149" t="s">
        <v>712</v>
      </c>
      <c r="GE73" s="149" t="s">
        <v>713</v>
      </c>
      <c r="GF73" s="149" t="s">
        <v>714</v>
      </c>
      <c r="GG73" s="149" t="s">
        <v>715</v>
      </c>
      <c r="GH73" s="149" t="s">
        <v>716</v>
      </c>
      <c r="GI73" s="217" t="s">
        <v>694</v>
      </c>
      <c r="GJ73" s="23" t="s">
        <v>11</v>
      </c>
      <c r="GK73" s="977" t="s">
        <v>718</v>
      </c>
      <c r="GL73" s="978" t="s">
        <v>719</v>
      </c>
      <c r="GM73" s="23" t="s">
        <v>11</v>
      </c>
      <c r="GN73" s="148" t="s">
        <v>720</v>
      </c>
      <c r="GO73" s="217" t="s">
        <v>721</v>
      </c>
      <c r="GP73" s="23" t="s">
        <v>11</v>
      </c>
      <c r="GQ73" s="148" t="s">
        <v>720</v>
      </c>
      <c r="GR73" s="217" t="s">
        <v>721</v>
      </c>
      <c r="GS73" s="23" t="s">
        <v>11</v>
      </c>
      <c r="GT73" s="16" t="s">
        <v>0</v>
      </c>
      <c r="GU73" s="148" t="s">
        <v>385</v>
      </c>
      <c r="GV73" s="149" t="s">
        <v>386</v>
      </c>
      <c r="GW73" s="149" t="s">
        <v>387</v>
      </c>
      <c r="GX73" s="149" t="s">
        <v>388</v>
      </c>
      <c r="GY73" s="149" t="s">
        <v>389</v>
      </c>
      <c r="GZ73" s="149" t="s">
        <v>390</v>
      </c>
      <c r="HA73" s="149" t="s">
        <v>391</v>
      </c>
      <c r="HB73" s="149" t="s">
        <v>392</v>
      </c>
      <c r="HC73" s="149" t="s">
        <v>393</v>
      </c>
      <c r="HD73" s="149" t="s">
        <v>394</v>
      </c>
      <c r="HE73" s="149" t="s">
        <v>395</v>
      </c>
      <c r="HF73" s="149" t="s">
        <v>396</v>
      </c>
      <c r="HG73" s="149" t="s">
        <v>397</v>
      </c>
      <c r="HH73" s="149" t="s">
        <v>398</v>
      </c>
      <c r="HI73" s="149" t="s">
        <v>399</v>
      </c>
      <c r="HJ73" s="149" t="s">
        <v>400</v>
      </c>
      <c r="HK73" s="149" t="s">
        <v>401</v>
      </c>
      <c r="HL73" s="149" t="s">
        <v>402</v>
      </c>
      <c r="HM73" s="149" t="s">
        <v>403</v>
      </c>
      <c r="HN73" s="149" t="s">
        <v>404</v>
      </c>
      <c r="HO73" s="149" t="s">
        <v>405</v>
      </c>
      <c r="HP73" s="149" t="s">
        <v>406</v>
      </c>
      <c r="HQ73" s="149" t="s">
        <v>407</v>
      </c>
      <c r="HR73" s="149" t="s">
        <v>408</v>
      </c>
      <c r="HS73" s="149" t="s">
        <v>409</v>
      </c>
      <c r="HT73" s="149" t="s">
        <v>410</v>
      </c>
      <c r="HU73" s="149" t="s">
        <v>411</v>
      </c>
      <c r="HV73" s="149" t="s">
        <v>412</v>
      </c>
      <c r="HW73" s="149" t="s">
        <v>413</v>
      </c>
      <c r="HX73" s="149" t="s">
        <v>414</v>
      </c>
      <c r="HY73" s="149" t="s">
        <v>415</v>
      </c>
      <c r="HZ73" s="149" t="s">
        <v>440</v>
      </c>
      <c r="IA73" s="149" t="s">
        <v>417</v>
      </c>
      <c r="IB73" s="149" t="s">
        <v>418</v>
      </c>
      <c r="IC73" s="149" t="s">
        <v>419</v>
      </c>
      <c r="ID73" s="149" t="s">
        <v>420</v>
      </c>
      <c r="IE73" s="149" t="s">
        <v>421</v>
      </c>
      <c r="IF73" s="149" t="s">
        <v>422</v>
      </c>
      <c r="IG73" s="149" t="s">
        <v>423</v>
      </c>
      <c r="IH73" s="149" t="s">
        <v>424</v>
      </c>
      <c r="II73" s="149" t="s">
        <v>425</v>
      </c>
      <c r="IJ73" s="149" t="s">
        <v>426</v>
      </c>
      <c r="IK73" s="149" t="s">
        <v>427</v>
      </c>
      <c r="IL73" s="149" t="s">
        <v>428</v>
      </c>
      <c r="IM73" s="149" t="s">
        <v>429</v>
      </c>
      <c r="IN73" s="149" t="s">
        <v>430</v>
      </c>
      <c r="IO73" s="149" t="s">
        <v>431</v>
      </c>
      <c r="IP73" s="149" t="s">
        <v>432</v>
      </c>
      <c r="IQ73" s="149" t="s">
        <v>433</v>
      </c>
      <c r="IR73" s="149" t="s">
        <v>434</v>
      </c>
      <c r="IS73" s="149" t="s">
        <v>435</v>
      </c>
      <c r="IT73" s="149" t="s">
        <v>436</v>
      </c>
      <c r="IU73" s="217" t="s">
        <v>437</v>
      </c>
      <c r="IV73" s="23" t="s">
        <v>11</v>
      </c>
      <c r="IW73" s="16" t="s">
        <v>0</v>
      </c>
      <c r="IX73" s="148" t="s">
        <v>444</v>
      </c>
      <c r="IY73" s="149" t="s">
        <v>445</v>
      </c>
      <c r="IZ73" s="149" t="s">
        <v>446</v>
      </c>
      <c r="JA73" s="149" t="s">
        <v>447</v>
      </c>
      <c r="JB73" s="149" t="s">
        <v>448</v>
      </c>
      <c r="JC73" s="149" t="s">
        <v>449</v>
      </c>
      <c r="JD73" s="149" t="s">
        <v>450</v>
      </c>
      <c r="JE73" s="149" t="s">
        <v>451</v>
      </c>
      <c r="JF73" s="149" t="s">
        <v>452</v>
      </c>
      <c r="JG73" s="149" t="s">
        <v>453</v>
      </c>
      <c r="JH73" s="149" t="s">
        <v>454</v>
      </c>
      <c r="JI73" s="149" t="s">
        <v>447</v>
      </c>
      <c r="JJ73" s="149" t="s">
        <v>448</v>
      </c>
      <c r="JK73" s="149" t="s">
        <v>455</v>
      </c>
      <c r="JL73" s="149" t="s">
        <v>456</v>
      </c>
      <c r="JM73" s="149" t="s">
        <v>457</v>
      </c>
      <c r="JN73" s="149" t="s">
        <v>458</v>
      </c>
      <c r="JO73" s="149" t="s">
        <v>459</v>
      </c>
      <c r="JP73" s="149" t="s">
        <v>457</v>
      </c>
      <c r="JQ73" s="149" t="s">
        <v>458</v>
      </c>
      <c r="JR73" s="149" t="s">
        <v>460</v>
      </c>
      <c r="JS73" s="149" t="s">
        <v>461</v>
      </c>
      <c r="JT73" s="217" t="s">
        <v>462</v>
      </c>
      <c r="JU73" s="90" t="s">
        <v>11</v>
      </c>
      <c r="JV73" s="148" t="s">
        <v>469</v>
      </c>
      <c r="JW73" s="149" t="s">
        <v>454</v>
      </c>
      <c r="JX73" s="149" t="s">
        <v>470</v>
      </c>
      <c r="JY73" s="149" t="s">
        <v>471</v>
      </c>
      <c r="JZ73" s="149" t="s">
        <v>473</v>
      </c>
      <c r="KA73" s="149" t="s">
        <v>474</v>
      </c>
      <c r="KB73" s="149" t="s">
        <v>475</v>
      </c>
      <c r="KC73" s="149" t="s">
        <v>476</v>
      </c>
      <c r="KD73" s="149" t="s">
        <v>477</v>
      </c>
      <c r="KE73" s="149" t="s">
        <v>478</v>
      </c>
      <c r="KF73" s="149" t="s">
        <v>494</v>
      </c>
      <c r="KG73" s="149" t="s">
        <v>495</v>
      </c>
      <c r="KH73" s="149" t="s">
        <v>479</v>
      </c>
      <c r="KI73" s="149" t="s">
        <v>481</v>
      </c>
      <c r="KJ73" s="149" t="s">
        <v>445</v>
      </c>
      <c r="KK73" s="149" t="s">
        <v>482</v>
      </c>
      <c r="KL73" s="149" t="s">
        <v>483</v>
      </c>
      <c r="KM73" s="149" t="s">
        <v>993</v>
      </c>
      <c r="KN73" s="149" t="s">
        <v>484</v>
      </c>
      <c r="KO73" s="149" t="s">
        <v>994</v>
      </c>
      <c r="KP73" s="149" t="s">
        <v>982</v>
      </c>
      <c r="KQ73" s="149" t="s">
        <v>485</v>
      </c>
      <c r="KR73" s="149" t="s">
        <v>506</v>
      </c>
      <c r="KS73" s="149" t="s">
        <v>500</v>
      </c>
      <c r="KT73" s="149" t="s">
        <v>983</v>
      </c>
      <c r="KU73" s="149" t="s">
        <v>486</v>
      </c>
      <c r="KV73" s="149" t="s">
        <v>487</v>
      </c>
      <c r="KW73" s="217" t="s">
        <v>985</v>
      </c>
      <c r="KX73" s="90" t="s">
        <v>11</v>
      </c>
      <c r="KY73" s="148" t="s">
        <v>490</v>
      </c>
      <c r="KZ73" s="149" t="s">
        <v>454</v>
      </c>
      <c r="LA73" s="149" t="s">
        <v>470</v>
      </c>
      <c r="LB73" s="149" t="s">
        <v>471</v>
      </c>
      <c r="LC73" s="149" t="s">
        <v>491</v>
      </c>
      <c r="LD73" s="149" t="s">
        <v>492</v>
      </c>
      <c r="LE73" s="149" t="s">
        <v>493</v>
      </c>
      <c r="LF73" s="149" t="s">
        <v>505</v>
      </c>
      <c r="LG73" s="149" t="s">
        <v>474</v>
      </c>
      <c r="LH73" s="149" t="s">
        <v>475</v>
      </c>
      <c r="LI73" s="149" t="s">
        <v>476</v>
      </c>
      <c r="LJ73" s="149" t="s">
        <v>477</v>
      </c>
      <c r="LK73" s="149" t="s">
        <v>478</v>
      </c>
      <c r="LL73" s="149" t="s">
        <v>494</v>
      </c>
      <c r="LM73" s="149" t="s">
        <v>495</v>
      </c>
      <c r="LN73" s="149" t="s">
        <v>479</v>
      </c>
      <c r="LO73" s="149" t="s">
        <v>496</v>
      </c>
      <c r="LP73" s="149" t="s">
        <v>497</v>
      </c>
      <c r="LQ73" s="149" t="s">
        <v>498</v>
      </c>
      <c r="LR73" s="149" t="s">
        <v>499</v>
      </c>
      <c r="LS73" s="149" t="s">
        <v>982</v>
      </c>
      <c r="LT73" s="149" t="s">
        <v>485</v>
      </c>
      <c r="LU73" s="149" t="s">
        <v>506</v>
      </c>
      <c r="LV73" s="149" t="s">
        <v>500</v>
      </c>
      <c r="LW73" s="149" t="s">
        <v>983</v>
      </c>
      <c r="LX73" s="149" t="s">
        <v>984</v>
      </c>
      <c r="LY73" s="149" t="s">
        <v>486</v>
      </c>
      <c r="LZ73" s="149" t="s">
        <v>487</v>
      </c>
      <c r="MA73" s="149" t="s">
        <v>985</v>
      </c>
      <c r="MB73" s="149" t="s">
        <v>986</v>
      </c>
      <c r="MC73" s="149" t="s">
        <v>987</v>
      </c>
      <c r="MD73" s="149" t="s">
        <v>988</v>
      </c>
      <c r="ME73" s="149" t="s">
        <v>989</v>
      </c>
      <c r="MF73" s="95" t="s">
        <v>990</v>
      </c>
      <c r="MG73" s="149" t="s">
        <v>991</v>
      </c>
      <c r="MH73" s="217" t="s">
        <v>992</v>
      </c>
      <c r="MI73" s="90" t="s">
        <v>11</v>
      </c>
      <c r="MJ73" s="90" t="s">
        <v>439</v>
      </c>
      <c r="MK73" s="1687" t="s">
        <v>0</v>
      </c>
      <c r="ML73" s="1898" t="s">
        <v>1067</v>
      </c>
      <c r="MM73" s="1898" t="s">
        <v>1068</v>
      </c>
      <c r="MN73" s="1898" t="s">
        <v>1069</v>
      </c>
      <c r="MO73" s="1898" t="s">
        <v>1070</v>
      </c>
      <c r="MP73" s="1898" t="s">
        <v>1067</v>
      </c>
      <c r="MQ73" s="1898" t="s">
        <v>1071</v>
      </c>
      <c r="MR73" s="1898" t="s">
        <v>1072</v>
      </c>
      <c r="MS73" s="1898" t="s">
        <v>1073</v>
      </c>
      <c r="MT73" s="1898" t="s">
        <v>1074</v>
      </c>
      <c r="MU73" s="1898" t="s">
        <v>1075</v>
      </c>
      <c r="MV73" s="1898" t="s">
        <v>1076</v>
      </c>
      <c r="MW73" s="1898" t="s">
        <v>1077</v>
      </c>
      <c r="MX73" s="1898" t="s">
        <v>1078</v>
      </c>
      <c r="MY73" s="1898" t="s">
        <v>1079</v>
      </c>
      <c r="MZ73" s="1898" t="s">
        <v>1080</v>
      </c>
      <c r="NA73" s="1898" t="s">
        <v>1081</v>
      </c>
      <c r="NB73" s="1898" t="s">
        <v>1082</v>
      </c>
      <c r="NC73" s="1898" t="s">
        <v>1083</v>
      </c>
      <c r="ND73" s="1898" t="s">
        <v>1084</v>
      </c>
      <c r="NE73" s="1898" t="s">
        <v>1085</v>
      </c>
      <c r="NF73" s="1898" t="s">
        <v>1086</v>
      </c>
      <c r="NG73" s="1898" t="s">
        <v>1088</v>
      </c>
      <c r="NH73" s="1898" t="s">
        <v>1089</v>
      </c>
      <c r="NI73" s="1898" t="s">
        <v>1090</v>
      </c>
      <c r="NJ73" s="1898" t="s">
        <v>1091</v>
      </c>
      <c r="NK73" s="1898" t="s">
        <v>1092</v>
      </c>
      <c r="NL73" s="90" t="s">
        <v>11</v>
      </c>
    </row>
    <row r="74" spans="1:376" ht="12.6" thickTop="1">
      <c r="A74" s="41">
        <f>YEAR(B74)</f>
        <v>2000</v>
      </c>
      <c r="B74" s="785">
        <v>36586</v>
      </c>
      <c r="C74" s="5"/>
      <c r="D74" s="6"/>
      <c r="E74" s="6"/>
      <c r="F74" s="6"/>
      <c r="G74" s="6"/>
      <c r="H74" s="6"/>
      <c r="I74" s="6"/>
      <c r="J74" s="6"/>
      <c r="K74" s="92"/>
      <c r="L74" s="92"/>
      <c r="M74" s="18"/>
      <c r="N74" s="24">
        <v>1</v>
      </c>
      <c r="O74" s="97">
        <f>YEAR(Q74)</f>
        <v>2000</v>
      </c>
      <c r="P74" s="28" t="str">
        <f>CONCATENATE(IF(MONTH(Q74)&lt;4,"Trimestre 1",IF(MONTH(Q74)&lt;7,"Trimestre 2",IF(MONTH(Q74)&lt;10,"Trimestre 3","Trimestre 4"))),YEAR(Q74))</f>
        <v>Trimestre 12000</v>
      </c>
      <c r="Q74" s="848">
        <v>36586</v>
      </c>
      <c r="R74" s="779"/>
      <c r="S74" s="1056"/>
      <c r="T74" s="1056"/>
      <c r="U74" s="780"/>
      <c r="V74" s="25">
        <v>1</v>
      </c>
      <c r="W74" s="17"/>
      <c r="X74" s="92"/>
      <c r="Y74" s="92"/>
      <c r="Z74" s="92"/>
      <c r="AA74" s="92"/>
      <c r="AB74" s="92"/>
      <c r="AC74" s="92"/>
      <c r="AD74" s="92"/>
      <c r="AE74" s="18"/>
      <c r="AF74" s="25">
        <v>1</v>
      </c>
      <c r="AG74" s="17"/>
      <c r="AH74" s="92"/>
      <c r="AI74" s="92"/>
      <c r="AJ74" s="92"/>
      <c r="AK74" s="92"/>
      <c r="AL74" s="92"/>
      <c r="AM74" s="92"/>
      <c r="AN74" s="18"/>
      <c r="AO74" s="17"/>
      <c r="AP74" s="92"/>
      <c r="AQ74" s="92"/>
      <c r="AR74" s="92"/>
      <c r="AS74" s="18"/>
      <c r="AT74" s="17"/>
      <c r="AU74" s="92"/>
      <c r="AV74" s="18"/>
      <c r="AW74" s="17"/>
      <c r="AX74" s="92"/>
      <c r="AY74" s="92"/>
      <c r="AZ74" s="92"/>
      <c r="BA74" s="92"/>
      <c r="BB74" s="92"/>
      <c r="BC74" s="18"/>
      <c r="BD74" s="17"/>
      <c r="BE74" s="92"/>
      <c r="BF74" s="92"/>
      <c r="BG74" s="92"/>
      <c r="BH74" s="92"/>
      <c r="BI74" s="92"/>
      <c r="BJ74" s="92"/>
      <c r="BK74" s="18"/>
      <c r="BL74" s="17"/>
      <c r="BM74" s="92"/>
      <c r="BN74" s="92"/>
      <c r="BO74" s="92"/>
      <c r="BP74" s="92"/>
      <c r="BQ74" s="18"/>
      <c r="BR74" s="17"/>
      <c r="BS74" s="92"/>
      <c r="BT74" s="92"/>
      <c r="BU74" s="18"/>
      <c r="BV74" s="17"/>
      <c r="BW74" s="92"/>
      <c r="BX74" s="92"/>
      <c r="BY74" s="92"/>
      <c r="BZ74" s="92"/>
      <c r="CA74" s="92"/>
      <c r="CB74" s="18"/>
      <c r="CC74" s="25">
        <v>1</v>
      </c>
      <c r="CD74" s="17"/>
      <c r="CE74" s="92"/>
      <c r="CF74" s="18"/>
      <c r="CG74" s="25">
        <v>1</v>
      </c>
      <c r="CH74" s="17"/>
      <c r="CI74" s="92"/>
      <c r="CJ74" s="92"/>
      <c r="CK74" s="92"/>
      <c r="CL74" s="92"/>
      <c r="CM74" s="92"/>
      <c r="CN74" s="92"/>
      <c r="CO74" s="92"/>
      <c r="CP74" s="92"/>
      <c r="CQ74" s="92"/>
      <c r="CR74" s="213"/>
      <c r="CS74" s="18"/>
      <c r="CT74" s="25">
        <v>1</v>
      </c>
      <c r="CU74" s="17"/>
      <c r="CV74" s="92"/>
      <c r="CW74" s="92"/>
      <c r="CX74" s="92"/>
      <c r="CY74" s="92"/>
      <c r="CZ74" s="92"/>
      <c r="DA74" s="92"/>
      <c r="DB74" s="18"/>
      <c r="DC74" s="25">
        <v>1</v>
      </c>
      <c r="DD74" s="785">
        <v>36586</v>
      </c>
      <c r="DE74" s="17"/>
      <c r="DF74" s="18"/>
      <c r="DG74" s="25">
        <v>1</v>
      </c>
      <c r="DH74" s="17"/>
      <c r="DI74" s="18"/>
      <c r="DJ74" s="25">
        <v>1</v>
      </c>
      <c r="DK74" s="17"/>
      <c r="DL74" s="18"/>
      <c r="DM74" s="17"/>
      <c r="DN74" s="18"/>
      <c r="DO74" s="25">
        <v>1</v>
      </c>
      <c r="DP74" s="17"/>
      <c r="DQ74" s="92"/>
      <c r="DR74" s="18"/>
      <c r="DS74" s="25">
        <v>1</v>
      </c>
      <c r="DT74" s="17"/>
      <c r="DU74" s="92"/>
      <c r="DV74" s="18"/>
      <c r="DW74" s="25">
        <v>1</v>
      </c>
      <c r="DX74" s="17"/>
      <c r="DY74" s="18"/>
      <c r="DZ74" s="25">
        <v>1</v>
      </c>
      <c r="EA74" s="17"/>
      <c r="EB74" s="92"/>
      <c r="EC74" s="92"/>
      <c r="ED74" s="92"/>
      <c r="EE74" s="18"/>
      <c r="EF74" s="25">
        <v>1</v>
      </c>
      <c r="EG74" s="17"/>
      <c r="EH74" s="92"/>
      <c r="EI74" s="92"/>
      <c r="EJ74" s="92"/>
      <c r="EK74" s="18"/>
      <c r="EL74" s="25">
        <v>1</v>
      </c>
      <c r="EM74" s="17"/>
      <c r="EN74" s="92"/>
      <c r="EO74" s="92"/>
      <c r="EP74" s="92"/>
      <c r="EQ74" s="92"/>
      <c r="ER74" s="92"/>
      <c r="ES74" s="92"/>
      <c r="ET74" s="92"/>
      <c r="EU74" s="92"/>
      <c r="EV74" s="18"/>
      <c r="EW74" s="25">
        <v>1</v>
      </c>
      <c r="EX74" s="912"/>
      <c r="EY74" s="913"/>
      <c r="EZ74" s="913"/>
      <c r="FA74" s="913"/>
      <c r="FB74" s="913"/>
      <c r="FC74" s="913"/>
      <c r="FD74" s="913"/>
      <c r="FE74" s="913"/>
      <c r="FF74" s="913"/>
      <c r="FG74" s="914"/>
      <c r="FH74" s="25">
        <v>1</v>
      </c>
      <c r="FI74" s="974">
        <v>36586</v>
      </c>
      <c r="FJ74" s="17"/>
      <c r="FK74" s="92"/>
      <c r="FL74" s="18"/>
      <c r="FM74" s="25">
        <v>1</v>
      </c>
      <c r="FN74" s="17"/>
      <c r="FO74" s="92"/>
      <c r="FP74" s="92"/>
      <c r="FQ74" s="92"/>
      <c r="FR74" s="92"/>
      <c r="FS74" s="92"/>
      <c r="FT74" s="92"/>
      <c r="FU74" s="92"/>
      <c r="FV74" s="92"/>
      <c r="FW74" s="914"/>
      <c r="FX74" s="25">
        <v>1</v>
      </c>
      <c r="FY74" s="913"/>
      <c r="FZ74" s="913"/>
      <c r="GA74" s="913"/>
      <c r="GB74" s="913"/>
      <c r="GC74" s="913"/>
      <c r="GD74" s="913"/>
      <c r="GE74" s="913"/>
      <c r="GF74" s="913"/>
      <c r="GG74" s="913"/>
      <c r="GH74" s="913"/>
      <c r="GI74" s="914"/>
      <c r="GJ74" s="25">
        <v>1</v>
      </c>
      <c r="GK74" s="17"/>
      <c r="GL74" s="18"/>
      <c r="GM74" s="25">
        <v>1</v>
      </c>
      <c r="GN74" s="17"/>
      <c r="GO74" s="18"/>
      <c r="GP74" s="25">
        <v>1</v>
      </c>
      <c r="GQ74" s="17"/>
      <c r="GR74" s="18"/>
      <c r="GS74" s="25">
        <v>1</v>
      </c>
      <c r="GT74" s="974">
        <v>36586</v>
      </c>
      <c r="GU74" s="17"/>
      <c r="GV74" s="92"/>
      <c r="GW74" s="92"/>
      <c r="GX74" s="92"/>
      <c r="GY74" s="92"/>
      <c r="GZ74" s="92"/>
      <c r="HA74" s="92"/>
      <c r="HB74" s="92"/>
      <c r="HC74" s="92"/>
      <c r="HD74" s="92"/>
      <c r="HE74" s="92"/>
      <c r="HF74" s="92"/>
      <c r="HG74" s="92"/>
      <c r="HH74" s="92"/>
      <c r="HI74" s="92"/>
      <c r="HJ74" s="92"/>
      <c r="HK74" s="92"/>
      <c r="HL74" s="92"/>
      <c r="HM74" s="92"/>
      <c r="HN74" s="92"/>
      <c r="HO74" s="92"/>
      <c r="HP74" s="92"/>
      <c r="HQ74" s="92"/>
      <c r="HR74" s="92"/>
      <c r="HS74" s="92"/>
      <c r="HT74" s="92"/>
      <c r="HU74" s="92"/>
      <c r="HV74" s="92"/>
      <c r="HW74" s="92"/>
      <c r="HX74" s="92"/>
      <c r="HY74" s="92"/>
      <c r="HZ74" s="92"/>
      <c r="IA74" s="92"/>
      <c r="IB74" s="92"/>
      <c r="IC74" s="92"/>
      <c r="ID74" s="92"/>
      <c r="IE74" s="92"/>
      <c r="IF74" s="92"/>
      <c r="IG74" s="92"/>
      <c r="IH74" s="92"/>
      <c r="II74" s="92"/>
      <c r="IJ74" s="92"/>
      <c r="IK74" s="92"/>
      <c r="IL74" s="92"/>
      <c r="IM74" s="92"/>
      <c r="IN74" s="92"/>
      <c r="IO74" s="92"/>
      <c r="IP74" s="92"/>
      <c r="IQ74" s="92"/>
      <c r="IR74" s="92"/>
      <c r="IS74" s="92"/>
      <c r="IT74" s="92"/>
      <c r="IU74" s="92"/>
      <c r="IV74" s="92">
        <v>1</v>
      </c>
      <c r="IW74" s="974">
        <v>36586</v>
      </c>
      <c r="IX74" s="92"/>
      <c r="IY74" s="92"/>
      <c r="IZ74" s="92"/>
      <c r="JA74" s="92"/>
      <c r="JB74" s="92"/>
      <c r="JC74" s="92"/>
      <c r="JD74" s="92"/>
      <c r="JE74" s="92"/>
      <c r="JF74" s="92"/>
      <c r="JG74" s="92"/>
      <c r="JH74" s="92"/>
      <c r="JI74" s="92"/>
      <c r="JJ74" s="92"/>
      <c r="JK74" s="92"/>
      <c r="JL74" s="92"/>
      <c r="JM74" s="92"/>
      <c r="JN74" s="92"/>
      <c r="JO74" s="92"/>
      <c r="JP74" s="92"/>
      <c r="JQ74" s="92"/>
      <c r="JR74" s="92"/>
      <c r="JS74" s="92"/>
      <c r="JT74" s="18"/>
      <c r="JU74" s="28">
        <v>1</v>
      </c>
      <c r="JV74" s="17"/>
      <c r="JW74" s="92"/>
      <c r="JX74" s="92"/>
      <c r="JY74" s="92"/>
      <c r="JZ74" s="92"/>
      <c r="KA74" s="92"/>
      <c r="KB74" s="92"/>
      <c r="KC74" s="92"/>
      <c r="KD74" s="92"/>
      <c r="KE74" s="92"/>
      <c r="KF74" s="92"/>
      <c r="KG74" s="92"/>
      <c r="KH74" s="92"/>
      <c r="KI74" s="92"/>
      <c r="KJ74" s="92"/>
      <c r="KK74" s="92"/>
      <c r="KL74" s="92"/>
      <c r="KM74" s="92"/>
      <c r="KN74" s="92"/>
      <c r="KO74" s="92"/>
      <c r="KP74" s="92"/>
      <c r="KQ74" s="92"/>
      <c r="KR74" s="92"/>
      <c r="KS74" s="92"/>
      <c r="KT74" s="92"/>
      <c r="KU74" s="92"/>
      <c r="KV74" s="92"/>
      <c r="KW74" s="18"/>
      <c r="KX74" s="28">
        <v>1</v>
      </c>
      <c r="KY74" s="17"/>
      <c r="KZ74" s="92"/>
      <c r="LA74" s="92"/>
      <c r="LB74" s="92"/>
      <c r="LC74" s="92"/>
      <c r="LD74" s="92"/>
      <c r="LE74" s="92"/>
      <c r="LF74" s="92"/>
      <c r="LG74" s="92"/>
      <c r="LH74" s="92"/>
      <c r="LI74" s="92"/>
      <c r="LJ74" s="92"/>
      <c r="LK74" s="92"/>
      <c r="LL74" s="92"/>
      <c r="LM74" s="92"/>
      <c r="LN74" s="92"/>
      <c r="LO74" s="92"/>
      <c r="LP74" s="92"/>
      <c r="LQ74" s="92"/>
      <c r="LR74" s="92"/>
      <c r="LS74" s="92"/>
      <c r="LT74" s="92"/>
      <c r="LU74" s="92"/>
      <c r="LV74" s="92"/>
      <c r="LW74" s="92"/>
      <c r="LX74" s="92"/>
      <c r="LY74" s="92"/>
      <c r="LZ74" s="92"/>
      <c r="MA74" s="92"/>
      <c r="MB74" s="92"/>
      <c r="MC74" s="92"/>
      <c r="MD74" s="92"/>
      <c r="ME74" s="92"/>
      <c r="MF74" s="92"/>
      <c r="MG74" s="92"/>
      <c r="MH74" s="18"/>
      <c r="MI74" s="28">
        <v>1</v>
      </c>
      <c r="MJ74" s="28" t="str">
        <f>CONCATENATE(IF(MONTH(MK74)&lt;4,"Trimestre 1",IF(MONTH(MK74)&lt;7,"Trimestre 2",IF(MONTH(MK74)&lt;10,"Trimestre 3","Trimestre 4"))),YEAR(MK74))</f>
        <v>Trimestre 12000</v>
      </c>
      <c r="MK74" s="974">
        <v>36586</v>
      </c>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v>1</v>
      </c>
    </row>
    <row r="75" spans="1:376">
      <c r="A75" s="41">
        <f>YEAR(B75)</f>
        <v>2000</v>
      </c>
      <c r="B75" s="785">
        <v>36678</v>
      </c>
      <c r="C75" s="8"/>
      <c r="D75" s="9"/>
      <c r="E75" s="9"/>
      <c r="F75" s="9"/>
      <c r="G75" s="9"/>
      <c r="H75" s="9"/>
      <c r="I75" s="9"/>
      <c r="J75" s="9"/>
      <c r="K75" s="93"/>
      <c r="L75" s="93"/>
      <c r="M75" s="20"/>
      <c r="N75" s="25">
        <v>2</v>
      </c>
      <c r="O75" s="889">
        <f t="shared" ref="O75:O138" si="79">YEAR(Q75)</f>
        <v>2000</v>
      </c>
      <c r="P75" s="29" t="str">
        <f>CONCATENATE(IF(MONTH(Q75)&lt;4,"Trimestre 1",IF(MONTH(Q75)&lt;7,"Trimestre 2",IF(MONTH(Q75)&lt;10,"Trimestre 3","Trimestre 4"))),YEAR(Q75))</f>
        <v>Trimestre 22000</v>
      </c>
      <c r="Q75" s="848">
        <v>36678</v>
      </c>
      <c r="R75" s="733"/>
      <c r="S75" s="570"/>
      <c r="T75" s="570"/>
      <c r="U75" s="734"/>
      <c r="V75" s="25">
        <v>2</v>
      </c>
      <c r="W75" s="19"/>
      <c r="X75" s="93"/>
      <c r="Y75" s="93"/>
      <c r="Z75" s="93"/>
      <c r="AA75" s="93"/>
      <c r="AB75" s="93"/>
      <c r="AC75" s="93"/>
      <c r="AD75" s="93"/>
      <c r="AE75" s="20"/>
      <c r="AF75" s="25">
        <v>2</v>
      </c>
      <c r="AG75" s="19"/>
      <c r="AH75" s="93"/>
      <c r="AI75" s="93"/>
      <c r="AJ75" s="93"/>
      <c r="AK75" s="93"/>
      <c r="AL75" s="93"/>
      <c r="AM75" s="93"/>
      <c r="AN75" s="20"/>
      <c r="AO75" s="19"/>
      <c r="AP75" s="93"/>
      <c r="AQ75" s="93"/>
      <c r="AR75" s="93"/>
      <c r="AS75" s="20"/>
      <c r="AT75" s="19"/>
      <c r="AU75" s="93"/>
      <c r="AV75" s="20"/>
      <c r="AW75" s="19"/>
      <c r="AX75" s="93"/>
      <c r="AY75" s="93"/>
      <c r="AZ75" s="93"/>
      <c r="BA75" s="93"/>
      <c r="BB75" s="93"/>
      <c r="BC75" s="20"/>
      <c r="BD75" s="19"/>
      <c r="BE75" s="93"/>
      <c r="BF75" s="93"/>
      <c r="BG75" s="93"/>
      <c r="BH75" s="93"/>
      <c r="BI75" s="93"/>
      <c r="BJ75" s="93"/>
      <c r="BK75" s="20"/>
      <c r="BL75" s="19"/>
      <c r="BM75" s="93"/>
      <c r="BN75" s="93"/>
      <c r="BO75" s="93"/>
      <c r="BP75" s="93"/>
      <c r="BQ75" s="20"/>
      <c r="BR75" s="19"/>
      <c r="BS75" s="93"/>
      <c r="BT75" s="93"/>
      <c r="BU75" s="20"/>
      <c r="BV75" s="19"/>
      <c r="BW75" s="93"/>
      <c r="BX75" s="93"/>
      <c r="BY75" s="93"/>
      <c r="BZ75" s="93"/>
      <c r="CA75" s="93"/>
      <c r="CB75" s="20"/>
      <c r="CC75" s="25">
        <v>2</v>
      </c>
      <c r="CD75" s="19"/>
      <c r="CE75" s="93"/>
      <c r="CF75" s="20"/>
      <c r="CG75" s="25">
        <v>2</v>
      </c>
      <c r="CH75" s="19"/>
      <c r="CI75" s="93"/>
      <c r="CJ75" s="93"/>
      <c r="CK75" s="93"/>
      <c r="CL75" s="93"/>
      <c r="CM75" s="93"/>
      <c r="CN75" s="93"/>
      <c r="CO75" s="93"/>
      <c r="CP75" s="93"/>
      <c r="CQ75" s="93"/>
      <c r="CR75" s="214"/>
      <c r="CS75" s="20"/>
      <c r="CT75" s="25">
        <v>2</v>
      </c>
      <c r="CU75" s="19"/>
      <c r="CV75" s="93"/>
      <c r="CW75" s="93"/>
      <c r="CX75" s="93"/>
      <c r="CY75" s="93"/>
      <c r="CZ75" s="93"/>
      <c r="DA75" s="93"/>
      <c r="DB75" s="20"/>
      <c r="DC75" s="25">
        <v>2</v>
      </c>
      <c r="DD75" s="785">
        <v>36678</v>
      </c>
      <c r="DE75" s="19"/>
      <c r="DF75" s="20"/>
      <c r="DG75" s="25">
        <v>2</v>
      </c>
      <c r="DH75" s="19"/>
      <c r="DI75" s="20"/>
      <c r="DJ75" s="25">
        <v>2</v>
      </c>
      <c r="DK75" s="19"/>
      <c r="DL75" s="20"/>
      <c r="DM75" s="19"/>
      <c r="DN75" s="20"/>
      <c r="DO75" s="25">
        <v>2</v>
      </c>
      <c r="DP75" s="19"/>
      <c r="DQ75" s="93"/>
      <c r="DR75" s="20"/>
      <c r="DS75" s="25">
        <v>2</v>
      </c>
      <c r="DT75" s="19"/>
      <c r="DU75" s="93"/>
      <c r="DV75" s="20"/>
      <c r="DW75" s="25">
        <v>2</v>
      </c>
      <c r="DX75" s="19"/>
      <c r="DY75" s="20"/>
      <c r="DZ75" s="25">
        <v>2</v>
      </c>
      <c r="EA75" s="19"/>
      <c r="EB75" s="93"/>
      <c r="EC75" s="93"/>
      <c r="ED75" s="93"/>
      <c r="EE75" s="20"/>
      <c r="EF75" s="25">
        <v>2</v>
      </c>
      <c r="EG75" s="19"/>
      <c r="EH75" s="93"/>
      <c r="EI75" s="93"/>
      <c r="EJ75" s="93"/>
      <c r="EK75" s="20"/>
      <c r="EL75" s="25">
        <v>2</v>
      </c>
      <c r="EM75" s="19"/>
      <c r="EN75" s="93"/>
      <c r="EO75" s="93"/>
      <c r="EP75" s="93"/>
      <c r="EQ75" s="93"/>
      <c r="ER75" s="93"/>
      <c r="ES75" s="93"/>
      <c r="ET75" s="93"/>
      <c r="EU75" s="93"/>
      <c r="EV75" s="20"/>
      <c r="EW75" s="25">
        <v>2</v>
      </c>
      <c r="EX75" s="915"/>
      <c r="EY75" s="916"/>
      <c r="EZ75" s="916"/>
      <c r="FA75" s="916"/>
      <c r="FB75" s="916"/>
      <c r="FC75" s="916"/>
      <c r="FD75" s="916"/>
      <c r="FE75" s="916"/>
      <c r="FF75" s="916"/>
      <c r="FG75" s="917"/>
      <c r="FH75" s="25">
        <v>2</v>
      </c>
      <c r="FI75" s="848">
        <v>36678</v>
      </c>
      <c r="FJ75" s="19"/>
      <c r="FK75" s="93"/>
      <c r="FL75" s="20"/>
      <c r="FM75" s="25">
        <v>2</v>
      </c>
      <c r="FN75" s="19"/>
      <c r="FO75" s="93"/>
      <c r="FP75" s="93"/>
      <c r="FQ75" s="93"/>
      <c r="FR75" s="93"/>
      <c r="FS75" s="93"/>
      <c r="FT75" s="93"/>
      <c r="FU75" s="93"/>
      <c r="FV75" s="93"/>
      <c r="FW75" s="917"/>
      <c r="FX75" s="25">
        <v>2</v>
      </c>
      <c r="FY75" s="916"/>
      <c r="FZ75" s="916"/>
      <c r="GA75" s="916"/>
      <c r="GB75" s="916"/>
      <c r="GC75" s="916"/>
      <c r="GD75" s="916"/>
      <c r="GE75" s="916"/>
      <c r="GF75" s="916"/>
      <c r="GG75" s="916"/>
      <c r="GH75" s="916"/>
      <c r="GI75" s="917"/>
      <c r="GJ75" s="25">
        <v>2</v>
      </c>
      <c r="GK75" s="19"/>
      <c r="GL75" s="20"/>
      <c r="GM75" s="25">
        <v>2</v>
      </c>
      <c r="GN75" s="19"/>
      <c r="GO75" s="20"/>
      <c r="GP75" s="25">
        <v>2</v>
      </c>
      <c r="GQ75" s="19"/>
      <c r="GR75" s="20"/>
      <c r="GS75" s="25">
        <v>2</v>
      </c>
      <c r="GT75" s="848">
        <v>36678</v>
      </c>
      <c r="GU75" s="19"/>
      <c r="GV75" s="93"/>
      <c r="GW75" s="93"/>
      <c r="GX75" s="93"/>
      <c r="GY75" s="93"/>
      <c r="GZ75" s="93"/>
      <c r="HA75" s="93"/>
      <c r="HB75" s="93"/>
      <c r="HC75" s="93"/>
      <c r="HD75" s="93"/>
      <c r="HE75" s="93"/>
      <c r="HF75" s="93"/>
      <c r="HG75" s="93"/>
      <c r="HH75" s="93"/>
      <c r="HI75" s="93"/>
      <c r="HJ75" s="93"/>
      <c r="HK75" s="93"/>
      <c r="HL75" s="93"/>
      <c r="HM75" s="93"/>
      <c r="HN75" s="93"/>
      <c r="HO75" s="93"/>
      <c r="HP75" s="93"/>
      <c r="HQ75" s="93"/>
      <c r="HR75" s="93"/>
      <c r="HS75" s="93"/>
      <c r="HT75" s="93"/>
      <c r="HU75" s="93"/>
      <c r="HV75" s="93"/>
      <c r="HW75" s="93"/>
      <c r="HX75" s="93"/>
      <c r="HY75" s="93"/>
      <c r="HZ75" s="93"/>
      <c r="IA75" s="93"/>
      <c r="IB75" s="93"/>
      <c r="IC75" s="93"/>
      <c r="ID75" s="93"/>
      <c r="IE75" s="93"/>
      <c r="IF75" s="93"/>
      <c r="IG75" s="93"/>
      <c r="IH75" s="93"/>
      <c r="II75" s="93"/>
      <c r="IJ75" s="93"/>
      <c r="IK75" s="93"/>
      <c r="IL75" s="93"/>
      <c r="IM75" s="93"/>
      <c r="IN75" s="93"/>
      <c r="IO75" s="93"/>
      <c r="IP75" s="93"/>
      <c r="IQ75" s="93"/>
      <c r="IR75" s="93"/>
      <c r="IS75" s="93"/>
      <c r="IT75" s="93"/>
      <c r="IU75" s="93"/>
      <c r="IV75" s="93">
        <v>2</v>
      </c>
      <c r="IW75" s="848">
        <v>36678</v>
      </c>
      <c r="IX75" s="93"/>
      <c r="IY75" s="93"/>
      <c r="IZ75" s="93"/>
      <c r="JA75" s="93"/>
      <c r="JB75" s="93"/>
      <c r="JC75" s="93"/>
      <c r="JD75" s="93"/>
      <c r="JE75" s="93"/>
      <c r="JF75" s="93"/>
      <c r="JG75" s="93"/>
      <c r="JH75" s="93"/>
      <c r="JI75" s="93"/>
      <c r="JJ75" s="93"/>
      <c r="JK75" s="93"/>
      <c r="JL75" s="93"/>
      <c r="JM75" s="93"/>
      <c r="JN75" s="93"/>
      <c r="JO75" s="93"/>
      <c r="JP75" s="93"/>
      <c r="JQ75" s="93"/>
      <c r="JR75" s="93"/>
      <c r="JS75" s="93"/>
      <c r="JT75" s="20"/>
      <c r="JU75" s="29">
        <v>2</v>
      </c>
      <c r="JV75" s="19"/>
      <c r="JW75" s="93"/>
      <c r="JX75" s="93"/>
      <c r="JY75" s="93"/>
      <c r="JZ75" s="93"/>
      <c r="KA75" s="93"/>
      <c r="KB75" s="93"/>
      <c r="KC75" s="93"/>
      <c r="KD75" s="93"/>
      <c r="KE75" s="93"/>
      <c r="KF75" s="93"/>
      <c r="KG75" s="93"/>
      <c r="KH75" s="93"/>
      <c r="KI75" s="93"/>
      <c r="KJ75" s="93"/>
      <c r="KK75" s="93"/>
      <c r="KL75" s="93"/>
      <c r="KM75" s="93"/>
      <c r="KN75" s="93"/>
      <c r="KO75" s="93"/>
      <c r="KP75" s="93"/>
      <c r="KQ75" s="93"/>
      <c r="KR75" s="93"/>
      <c r="KS75" s="93"/>
      <c r="KT75" s="93"/>
      <c r="KU75" s="93"/>
      <c r="KV75" s="93"/>
      <c r="KW75" s="20"/>
      <c r="KX75" s="29">
        <v>2</v>
      </c>
      <c r="KY75" s="19"/>
      <c r="KZ75" s="93"/>
      <c r="LA75" s="93"/>
      <c r="LB75" s="93"/>
      <c r="LC75" s="93"/>
      <c r="LD75" s="93"/>
      <c r="LE75" s="93"/>
      <c r="LF75" s="93"/>
      <c r="LG75" s="93"/>
      <c r="LH75" s="93"/>
      <c r="LI75" s="93"/>
      <c r="LJ75" s="93"/>
      <c r="LK75" s="93"/>
      <c r="LL75" s="93"/>
      <c r="LM75" s="93"/>
      <c r="LN75" s="93"/>
      <c r="LO75" s="93"/>
      <c r="LP75" s="93"/>
      <c r="LQ75" s="93"/>
      <c r="LR75" s="93"/>
      <c r="LS75" s="93"/>
      <c r="LT75" s="93"/>
      <c r="LU75" s="93"/>
      <c r="LV75" s="93"/>
      <c r="LW75" s="93"/>
      <c r="LX75" s="93"/>
      <c r="LY75" s="93"/>
      <c r="LZ75" s="93"/>
      <c r="MA75" s="93"/>
      <c r="MB75" s="93"/>
      <c r="MC75" s="93"/>
      <c r="MD75" s="93"/>
      <c r="ME75" s="93"/>
      <c r="MF75" s="93"/>
      <c r="MG75" s="93"/>
      <c r="MH75" s="20"/>
      <c r="MI75" s="29">
        <v>2</v>
      </c>
      <c r="MJ75" s="29" t="str">
        <f>CONCATENATE(IF(MONTH(MK75)&lt;4,"Trimestre 1",IF(MONTH(MK75)&lt;7,"Trimestre 2",IF(MONTH(MK75)&lt;10,"Trimestre 3","Trimestre 4"))),YEAR(MK75))</f>
        <v>Trimestre 22000</v>
      </c>
      <c r="MK75" s="848">
        <v>36678</v>
      </c>
      <c r="ML75" s="29"/>
      <c r="MM75" s="29"/>
      <c r="MN75" s="29"/>
      <c r="MO75" s="29"/>
      <c r="MP75" s="29"/>
      <c r="MQ75" s="29"/>
      <c r="MR75" s="29"/>
      <c r="MS75" s="29"/>
      <c r="MT75" s="29"/>
      <c r="MU75" s="29"/>
      <c r="MV75" s="29"/>
      <c r="MW75" s="29"/>
      <c r="MX75" s="29"/>
      <c r="MY75" s="29"/>
      <c r="MZ75" s="29"/>
      <c r="NA75" s="29"/>
      <c r="NB75" s="29"/>
      <c r="NC75" s="29"/>
      <c r="ND75" s="29"/>
      <c r="NE75" s="29"/>
      <c r="NF75" s="29"/>
      <c r="NG75" s="29"/>
      <c r="NH75" s="29"/>
      <c r="NI75" s="29"/>
      <c r="NJ75" s="29"/>
      <c r="NK75" s="29"/>
      <c r="NL75" s="29">
        <v>2</v>
      </c>
    </row>
    <row r="76" spans="1:376">
      <c r="A76" s="41">
        <f t="shared" ref="A76:A139" si="80">YEAR(B76)</f>
        <v>2000</v>
      </c>
      <c r="B76" s="785">
        <v>36770</v>
      </c>
      <c r="C76" s="19"/>
      <c r="D76" s="93"/>
      <c r="E76" s="93"/>
      <c r="F76" s="93"/>
      <c r="G76" s="93"/>
      <c r="H76" s="93"/>
      <c r="I76" s="93"/>
      <c r="J76" s="93"/>
      <c r="K76" s="93"/>
      <c r="L76" s="93"/>
      <c r="M76" s="20"/>
      <c r="N76" s="25">
        <v>3</v>
      </c>
      <c r="O76" s="889">
        <f t="shared" si="79"/>
        <v>2000</v>
      </c>
      <c r="P76" s="29" t="str">
        <f t="shared" ref="P76:P139" si="81">CONCATENATE(IF(MONTH(Q76)&lt;4,"Trimestre 1",IF(MONTH(Q76)&lt;7,"Trimestre 2",IF(MONTH(Q76)&lt;10,"Trimestre 3","Trimestre 4"))),YEAR(Q76))</f>
        <v>Trimestre 32000</v>
      </c>
      <c r="Q76" s="848">
        <v>36770</v>
      </c>
      <c r="R76" s="733"/>
      <c r="S76" s="570"/>
      <c r="T76" s="570"/>
      <c r="U76" s="734"/>
      <c r="V76" s="25">
        <v>3</v>
      </c>
      <c r="W76" s="19"/>
      <c r="X76" s="93"/>
      <c r="Y76" s="93"/>
      <c r="Z76" s="93"/>
      <c r="AA76" s="93"/>
      <c r="AB76" s="93"/>
      <c r="AC76" s="93"/>
      <c r="AD76" s="93"/>
      <c r="AE76" s="20"/>
      <c r="AF76" s="25">
        <v>3</v>
      </c>
      <c r="AG76" s="19"/>
      <c r="AH76" s="93"/>
      <c r="AI76" s="93"/>
      <c r="AJ76" s="93"/>
      <c r="AK76" s="93"/>
      <c r="AL76" s="93"/>
      <c r="AM76" s="93"/>
      <c r="AN76" s="20"/>
      <c r="AO76" s="19"/>
      <c r="AP76" s="93"/>
      <c r="AQ76" s="93"/>
      <c r="AR76" s="93"/>
      <c r="AS76" s="20"/>
      <c r="AT76" s="19"/>
      <c r="AU76" s="93"/>
      <c r="AV76" s="20"/>
      <c r="AW76" s="19"/>
      <c r="AX76" s="93"/>
      <c r="AY76" s="93"/>
      <c r="AZ76" s="93"/>
      <c r="BA76" s="93"/>
      <c r="BB76" s="93"/>
      <c r="BC76" s="20"/>
      <c r="BD76" s="19"/>
      <c r="BE76" s="93"/>
      <c r="BF76" s="93"/>
      <c r="BG76" s="93"/>
      <c r="BH76" s="93"/>
      <c r="BI76" s="93"/>
      <c r="BJ76" s="93"/>
      <c r="BK76" s="20"/>
      <c r="BL76" s="19"/>
      <c r="BM76" s="93"/>
      <c r="BN76" s="93"/>
      <c r="BO76" s="93"/>
      <c r="BP76" s="93"/>
      <c r="BQ76" s="20"/>
      <c r="BR76" s="19"/>
      <c r="BS76" s="93"/>
      <c r="BT76" s="93"/>
      <c r="BU76" s="20"/>
      <c r="BV76" s="19"/>
      <c r="BW76" s="93"/>
      <c r="BX76" s="93"/>
      <c r="BY76" s="93"/>
      <c r="BZ76" s="93"/>
      <c r="CA76" s="93"/>
      <c r="CB76" s="20"/>
      <c r="CC76" s="25">
        <v>3</v>
      </c>
      <c r="CD76" s="19"/>
      <c r="CE76" s="93"/>
      <c r="CF76" s="20"/>
      <c r="CG76" s="25">
        <v>3</v>
      </c>
      <c r="CH76" s="19"/>
      <c r="CI76" s="93"/>
      <c r="CJ76" s="93"/>
      <c r="CK76" s="93"/>
      <c r="CL76" s="93"/>
      <c r="CM76" s="93"/>
      <c r="CN76" s="93"/>
      <c r="CO76" s="93"/>
      <c r="CP76" s="93"/>
      <c r="CQ76" s="93"/>
      <c r="CR76" s="214"/>
      <c r="CS76" s="20"/>
      <c r="CT76" s="25">
        <v>3</v>
      </c>
      <c r="CU76" s="19"/>
      <c r="CV76" s="93"/>
      <c r="CW76" s="93"/>
      <c r="CX76" s="93"/>
      <c r="CY76" s="93"/>
      <c r="CZ76" s="93"/>
      <c r="DA76" s="93"/>
      <c r="DB76" s="20"/>
      <c r="DC76" s="25">
        <v>3</v>
      </c>
      <c r="DD76" s="785">
        <v>36770</v>
      </c>
      <c r="DE76" s="19"/>
      <c r="DF76" s="20"/>
      <c r="DG76" s="25">
        <v>3</v>
      </c>
      <c r="DH76" s="19"/>
      <c r="DI76" s="20"/>
      <c r="DJ76" s="25">
        <v>3</v>
      </c>
      <c r="DK76" s="19"/>
      <c r="DL76" s="20"/>
      <c r="DM76" s="19"/>
      <c r="DN76" s="20"/>
      <c r="DO76" s="25">
        <v>3</v>
      </c>
      <c r="DP76" s="19"/>
      <c r="DQ76" s="93"/>
      <c r="DR76" s="20"/>
      <c r="DS76" s="25">
        <v>3</v>
      </c>
      <c r="DT76" s="19"/>
      <c r="DU76" s="93"/>
      <c r="DV76" s="20"/>
      <c r="DW76" s="25">
        <v>3</v>
      </c>
      <c r="DX76" s="19"/>
      <c r="DY76" s="20"/>
      <c r="DZ76" s="25">
        <v>3</v>
      </c>
      <c r="EA76" s="19"/>
      <c r="EB76" s="93"/>
      <c r="EC76" s="93"/>
      <c r="ED76" s="93"/>
      <c r="EE76" s="20"/>
      <c r="EF76" s="25">
        <v>3</v>
      </c>
      <c r="EG76" s="19"/>
      <c r="EH76" s="93"/>
      <c r="EI76" s="93"/>
      <c r="EJ76" s="93"/>
      <c r="EK76" s="20"/>
      <c r="EL76" s="25">
        <v>3</v>
      </c>
      <c r="EM76" s="19"/>
      <c r="EN76" s="93"/>
      <c r="EO76" s="93"/>
      <c r="EP76" s="93"/>
      <c r="EQ76" s="93"/>
      <c r="ER76" s="93"/>
      <c r="ES76" s="93"/>
      <c r="ET76" s="93"/>
      <c r="EU76" s="93"/>
      <c r="EV76" s="20"/>
      <c r="EW76" s="25">
        <v>3</v>
      </c>
      <c r="EX76" s="915"/>
      <c r="EY76" s="916"/>
      <c r="EZ76" s="916"/>
      <c r="FA76" s="916"/>
      <c r="FB76" s="916"/>
      <c r="FC76" s="916"/>
      <c r="FD76" s="916"/>
      <c r="FE76" s="916"/>
      <c r="FF76" s="916"/>
      <c r="FG76" s="917"/>
      <c r="FH76" s="25">
        <v>3</v>
      </c>
      <c r="FI76" s="848">
        <v>36770</v>
      </c>
      <c r="FJ76" s="19"/>
      <c r="FK76" s="93"/>
      <c r="FL76" s="20"/>
      <c r="FM76" s="25">
        <v>3</v>
      </c>
      <c r="FN76" s="19"/>
      <c r="FO76" s="93"/>
      <c r="FP76" s="93"/>
      <c r="FQ76" s="93"/>
      <c r="FR76" s="93"/>
      <c r="FS76" s="93"/>
      <c r="FT76" s="93"/>
      <c r="FU76" s="93"/>
      <c r="FV76" s="93"/>
      <c r="FW76" s="917"/>
      <c r="FX76" s="25">
        <v>3</v>
      </c>
      <c r="FY76" s="916"/>
      <c r="FZ76" s="916"/>
      <c r="GA76" s="916"/>
      <c r="GB76" s="916"/>
      <c r="GC76" s="916"/>
      <c r="GD76" s="916"/>
      <c r="GE76" s="916"/>
      <c r="GF76" s="916"/>
      <c r="GG76" s="916"/>
      <c r="GH76" s="916"/>
      <c r="GI76" s="917"/>
      <c r="GJ76" s="25">
        <v>3</v>
      </c>
      <c r="GK76" s="19"/>
      <c r="GL76" s="20"/>
      <c r="GM76" s="25">
        <v>3</v>
      </c>
      <c r="GN76" s="19"/>
      <c r="GO76" s="20"/>
      <c r="GP76" s="25">
        <v>3</v>
      </c>
      <c r="GQ76" s="19"/>
      <c r="GR76" s="20"/>
      <c r="GS76" s="25">
        <v>3</v>
      </c>
      <c r="GT76" s="848">
        <v>36770</v>
      </c>
      <c r="GU76" s="19"/>
      <c r="GV76" s="93"/>
      <c r="GW76" s="93"/>
      <c r="GX76" s="93"/>
      <c r="GY76" s="93"/>
      <c r="GZ76" s="93"/>
      <c r="HA76" s="93"/>
      <c r="HB76" s="93"/>
      <c r="HC76" s="93"/>
      <c r="HD76" s="93"/>
      <c r="HE76" s="93"/>
      <c r="HF76" s="93"/>
      <c r="HG76" s="93"/>
      <c r="HH76" s="93"/>
      <c r="HI76" s="93"/>
      <c r="HJ76" s="93"/>
      <c r="HK76" s="93"/>
      <c r="HL76" s="93"/>
      <c r="HM76" s="93"/>
      <c r="HN76" s="93"/>
      <c r="HO76" s="93"/>
      <c r="HP76" s="93"/>
      <c r="HQ76" s="93"/>
      <c r="HR76" s="93"/>
      <c r="HS76" s="93"/>
      <c r="HT76" s="93"/>
      <c r="HU76" s="93"/>
      <c r="HV76" s="93"/>
      <c r="HW76" s="93"/>
      <c r="HX76" s="93"/>
      <c r="HY76" s="93"/>
      <c r="HZ76" s="93"/>
      <c r="IA76" s="93"/>
      <c r="IB76" s="93"/>
      <c r="IC76" s="93"/>
      <c r="ID76" s="93"/>
      <c r="IE76" s="93"/>
      <c r="IF76" s="93"/>
      <c r="IG76" s="93"/>
      <c r="IH76" s="93"/>
      <c r="II76" s="93"/>
      <c r="IJ76" s="93"/>
      <c r="IK76" s="93"/>
      <c r="IL76" s="93"/>
      <c r="IM76" s="93"/>
      <c r="IN76" s="93"/>
      <c r="IO76" s="93"/>
      <c r="IP76" s="93"/>
      <c r="IQ76" s="93"/>
      <c r="IR76" s="93"/>
      <c r="IS76" s="93"/>
      <c r="IT76" s="93"/>
      <c r="IU76" s="93"/>
      <c r="IV76" s="93">
        <v>3</v>
      </c>
      <c r="IW76" s="848">
        <v>36770</v>
      </c>
      <c r="IX76" s="93"/>
      <c r="IY76" s="93"/>
      <c r="IZ76" s="93"/>
      <c r="JA76" s="93"/>
      <c r="JB76" s="93"/>
      <c r="JC76" s="93"/>
      <c r="JD76" s="93"/>
      <c r="JE76" s="93"/>
      <c r="JF76" s="93"/>
      <c r="JG76" s="93"/>
      <c r="JH76" s="93"/>
      <c r="JI76" s="93"/>
      <c r="JJ76" s="93"/>
      <c r="JK76" s="93"/>
      <c r="JL76" s="93"/>
      <c r="JM76" s="93"/>
      <c r="JN76" s="93"/>
      <c r="JO76" s="93"/>
      <c r="JP76" s="93"/>
      <c r="JQ76" s="93"/>
      <c r="JR76" s="93"/>
      <c r="JS76" s="93"/>
      <c r="JT76" s="20"/>
      <c r="JU76" s="29">
        <v>3</v>
      </c>
      <c r="JV76" s="19"/>
      <c r="JW76" s="93"/>
      <c r="JX76" s="93"/>
      <c r="JY76" s="93"/>
      <c r="JZ76" s="93"/>
      <c r="KA76" s="93"/>
      <c r="KB76" s="93"/>
      <c r="KC76" s="93"/>
      <c r="KD76" s="93"/>
      <c r="KE76" s="93"/>
      <c r="KF76" s="93"/>
      <c r="KG76" s="93"/>
      <c r="KH76" s="93"/>
      <c r="KI76" s="93"/>
      <c r="KJ76" s="93"/>
      <c r="KK76" s="93"/>
      <c r="KL76" s="93"/>
      <c r="KM76" s="93"/>
      <c r="KN76" s="93"/>
      <c r="KO76" s="93"/>
      <c r="KP76" s="93"/>
      <c r="KQ76" s="93"/>
      <c r="KR76" s="93"/>
      <c r="KS76" s="93"/>
      <c r="KT76" s="93"/>
      <c r="KU76" s="93"/>
      <c r="KV76" s="93"/>
      <c r="KW76" s="20"/>
      <c r="KX76" s="29">
        <v>3</v>
      </c>
      <c r="KY76" s="19"/>
      <c r="KZ76" s="93"/>
      <c r="LA76" s="93"/>
      <c r="LB76" s="93"/>
      <c r="LC76" s="93"/>
      <c r="LD76" s="93"/>
      <c r="LE76" s="93"/>
      <c r="LF76" s="93"/>
      <c r="LG76" s="93"/>
      <c r="LH76" s="93"/>
      <c r="LI76" s="93"/>
      <c r="LJ76" s="93"/>
      <c r="LK76" s="93"/>
      <c r="LL76" s="93"/>
      <c r="LM76" s="93"/>
      <c r="LN76" s="93"/>
      <c r="LO76" s="93"/>
      <c r="LP76" s="93"/>
      <c r="LQ76" s="93"/>
      <c r="LR76" s="93"/>
      <c r="LS76" s="93"/>
      <c r="LT76" s="93"/>
      <c r="LU76" s="93"/>
      <c r="LV76" s="93"/>
      <c r="LW76" s="93"/>
      <c r="LX76" s="93"/>
      <c r="LY76" s="93"/>
      <c r="LZ76" s="93"/>
      <c r="MA76" s="93"/>
      <c r="MB76" s="93"/>
      <c r="MC76" s="93"/>
      <c r="MD76" s="93"/>
      <c r="ME76" s="93"/>
      <c r="MF76" s="93"/>
      <c r="MG76" s="93"/>
      <c r="MH76" s="20"/>
      <c r="MI76" s="29">
        <v>3</v>
      </c>
      <c r="MJ76" s="29" t="str">
        <f t="shared" ref="MJ76:MJ139" si="82">CONCATENATE(IF(MONTH(MK76)&lt;4,"Trimestre 1",IF(MONTH(MK76)&lt;7,"Trimestre 2",IF(MONTH(MK76)&lt;10,"Trimestre 3","Trimestre 4"))),YEAR(MK76))</f>
        <v>Trimestre 32000</v>
      </c>
      <c r="MK76" s="848">
        <v>36770</v>
      </c>
      <c r="ML76" s="29"/>
      <c r="MM76" s="29"/>
      <c r="MN76" s="29"/>
      <c r="MO76" s="29"/>
      <c r="MP76" s="29"/>
      <c r="MQ76" s="29"/>
      <c r="MR76" s="29"/>
      <c r="MS76" s="29"/>
      <c r="MT76" s="29"/>
      <c r="MU76" s="29"/>
      <c r="MV76" s="29"/>
      <c r="MW76" s="29"/>
      <c r="MX76" s="29"/>
      <c r="MY76" s="29"/>
      <c r="MZ76" s="29"/>
      <c r="NA76" s="29"/>
      <c r="NB76" s="29"/>
      <c r="NC76" s="29"/>
      <c r="ND76" s="29"/>
      <c r="NE76" s="29"/>
      <c r="NF76" s="29"/>
      <c r="NG76" s="29"/>
      <c r="NH76" s="29"/>
      <c r="NI76" s="29"/>
      <c r="NJ76" s="29"/>
      <c r="NK76" s="29"/>
      <c r="NL76" s="29">
        <v>3</v>
      </c>
    </row>
    <row r="77" spans="1:376">
      <c r="A77" s="41">
        <f t="shared" si="80"/>
        <v>2000</v>
      </c>
      <c r="B77" s="785">
        <v>36861</v>
      </c>
      <c r="C77" s="19"/>
      <c r="D77" s="93"/>
      <c r="E77" s="93"/>
      <c r="F77" s="93"/>
      <c r="G77" s="93"/>
      <c r="H77" s="93"/>
      <c r="I77" s="93"/>
      <c r="J77" s="93"/>
      <c r="K77" s="93"/>
      <c r="L77" s="93"/>
      <c r="M77" s="20"/>
      <c r="N77" s="25">
        <v>4</v>
      </c>
      <c r="O77" s="889">
        <f t="shared" si="79"/>
        <v>2000</v>
      </c>
      <c r="P77" s="29" t="str">
        <f t="shared" si="81"/>
        <v>Trimestre 42000</v>
      </c>
      <c r="Q77" s="848">
        <v>36861</v>
      </c>
      <c r="R77" s="733"/>
      <c r="S77" s="570"/>
      <c r="T77" s="570"/>
      <c r="U77" s="734"/>
      <c r="V77" s="25">
        <v>4</v>
      </c>
      <c r="W77" s="19"/>
      <c r="X77" s="93"/>
      <c r="Y77" s="93"/>
      <c r="Z77" s="93"/>
      <c r="AA77" s="93"/>
      <c r="AB77" s="93"/>
      <c r="AC77" s="93"/>
      <c r="AD77" s="93"/>
      <c r="AE77" s="20"/>
      <c r="AF77" s="25">
        <v>4</v>
      </c>
      <c r="AG77" s="19"/>
      <c r="AH77" s="93"/>
      <c r="AI77" s="93"/>
      <c r="AJ77" s="93"/>
      <c r="AK77" s="93"/>
      <c r="AL77" s="93"/>
      <c r="AM77" s="93"/>
      <c r="AN77" s="20"/>
      <c r="AO77" s="19"/>
      <c r="AP77" s="93"/>
      <c r="AQ77" s="93"/>
      <c r="AR77" s="93"/>
      <c r="AS77" s="20"/>
      <c r="AT77" s="19"/>
      <c r="AU77" s="93"/>
      <c r="AV77" s="20"/>
      <c r="AW77" s="19"/>
      <c r="AX77" s="93"/>
      <c r="AY77" s="93"/>
      <c r="AZ77" s="93"/>
      <c r="BA77" s="93"/>
      <c r="BB77" s="93"/>
      <c r="BC77" s="20"/>
      <c r="BD77" s="19"/>
      <c r="BE77" s="93"/>
      <c r="BF77" s="93"/>
      <c r="BG77" s="93"/>
      <c r="BH77" s="93"/>
      <c r="BI77" s="93"/>
      <c r="BJ77" s="93"/>
      <c r="BK77" s="20"/>
      <c r="BL77" s="19"/>
      <c r="BM77" s="93"/>
      <c r="BN77" s="93"/>
      <c r="BO77" s="93"/>
      <c r="BP77" s="93"/>
      <c r="BQ77" s="20"/>
      <c r="BR77" s="19"/>
      <c r="BS77" s="93"/>
      <c r="BT77" s="93"/>
      <c r="BU77" s="20"/>
      <c r="BV77" s="19"/>
      <c r="BW77" s="93"/>
      <c r="BX77" s="93"/>
      <c r="BY77" s="93"/>
      <c r="BZ77" s="93"/>
      <c r="CA77" s="93"/>
      <c r="CB77" s="20"/>
      <c r="CC77" s="25">
        <v>4</v>
      </c>
      <c r="CD77" s="19"/>
      <c r="CE77" s="93"/>
      <c r="CF77" s="20"/>
      <c r="CG77" s="25">
        <v>4</v>
      </c>
      <c r="CH77" s="19"/>
      <c r="CI77" s="93"/>
      <c r="CJ77" s="93"/>
      <c r="CK77" s="93"/>
      <c r="CL77" s="93"/>
      <c r="CM77" s="93"/>
      <c r="CN77" s="93"/>
      <c r="CO77" s="93"/>
      <c r="CP77" s="93"/>
      <c r="CQ77" s="93"/>
      <c r="CR77" s="214"/>
      <c r="CS77" s="20"/>
      <c r="CT77" s="25">
        <v>4</v>
      </c>
      <c r="CU77" s="19"/>
      <c r="CV77" s="93"/>
      <c r="CW77" s="93"/>
      <c r="CX77" s="93"/>
      <c r="CY77" s="93"/>
      <c r="CZ77" s="93"/>
      <c r="DA77" s="93"/>
      <c r="DB77" s="20"/>
      <c r="DC77" s="25">
        <v>4</v>
      </c>
      <c r="DD77" s="785">
        <v>36861</v>
      </c>
      <c r="DE77" s="19"/>
      <c r="DF77" s="20"/>
      <c r="DG77" s="25">
        <v>4</v>
      </c>
      <c r="DH77" s="19"/>
      <c r="DI77" s="20"/>
      <c r="DJ77" s="25">
        <v>4</v>
      </c>
      <c r="DK77" s="19"/>
      <c r="DL77" s="20"/>
      <c r="DM77" s="19"/>
      <c r="DN77" s="20"/>
      <c r="DO77" s="25">
        <v>4</v>
      </c>
      <c r="DP77" s="19"/>
      <c r="DQ77" s="93"/>
      <c r="DR77" s="20"/>
      <c r="DS77" s="25">
        <v>4</v>
      </c>
      <c r="DT77" s="19"/>
      <c r="DU77" s="93"/>
      <c r="DV77" s="20"/>
      <c r="DW77" s="25">
        <v>4</v>
      </c>
      <c r="DX77" s="19"/>
      <c r="DY77" s="20"/>
      <c r="DZ77" s="25">
        <v>4</v>
      </c>
      <c r="EA77" s="19"/>
      <c r="EB77" s="93"/>
      <c r="EC77" s="93"/>
      <c r="ED77" s="93"/>
      <c r="EE77" s="20"/>
      <c r="EF77" s="25">
        <v>4</v>
      </c>
      <c r="EG77" s="19"/>
      <c r="EH77" s="93"/>
      <c r="EI77" s="93"/>
      <c r="EJ77" s="93"/>
      <c r="EK77" s="20"/>
      <c r="EL77" s="25">
        <v>4</v>
      </c>
      <c r="EM77" s="19"/>
      <c r="EN77" s="93"/>
      <c r="EO77" s="93"/>
      <c r="EP77" s="93"/>
      <c r="EQ77" s="93"/>
      <c r="ER77" s="93"/>
      <c r="ES77" s="93"/>
      <c r="ET77" s="93"/>
      <c r="EU77" s="93"/>
      <c r="EV77" s="20"/>
      <c r="EW77" s="25">
        <v>4</v>
      </c>
      <c r="EX77" s="915"/>
      <c r="EY77" s="916"/>
      <c r="EZ77" s="916"/>
      <c r="FA77" s="916"/>
      <c r="FB77" s="916"/>
      <c r="FC77" s="916"/>
      <c r="FD77" s="916"/>
      <c r="FE77" s="916"/>
      <c r="FF77" s="916"/>
      <c r="FG77" s="917"/>
      <c r="FH77" s="25">
        <v>4</v>
      </c>
      <c r="FI77" s="848">
        <v>36861</v>
      </c>
      <c r="FJ77" s="19"/>
      <c r="FK77" s="93"/>
      <c r="FL77" s="20"/>
      <c r="FM77" s="25">
        <v>4</v>
      </c>
      <c r="FN77" s="19"/>
      <c r="FO77" s="93"/>
      <c r="FP77" s="93"/>
      <c r="FQ77" s="93"/>
      <c r="FR77" s="93"/>
      <c r="FS77" s="93"/>
      <c r="FT77" s="93"/>
      <c r="FU77" s="93"/>
      <c r="FV77" s="93"/>
      <c r="FW77" s="917"/>
      <c r="FX77" s="25">
        <v>4</v>
      </c>
      <c r="FY77" s="916"/>
      <c r="FZ77" s="916"/>
      <c r="GA77" s="916"/>
      <c r="GB77" s="916"/>
      <c r="GC77" s="916"/>
      <c r="GD77" s="916"/>
      <c r="GE77" s="916"/>
      <c r="GF77" s="916"/>
      <c r="GG77" s="916"/>
      <c r="GH77" s="916"/>
      <c r="GI77" s="917"/>
      <c r="GJ77" s="25">
        <v>4</v>
      </c>
      <c r="GK77" s="19"/>
      <c r="GL77" s="20"/>
      <c r="GM77" s="25">
        <v>4</v>
      </c>
      <c r="GN77" s="19"/>
      <c r="GO77" s="20"/>
      <c r="GP77" s="25">
        <v>4</v>
      </c>
      <c r="GQ77" s="19"/>
      <c r="GR77" s="20"/>
      <c r="GS77" s="25">
        <v>4</v>
      </c>
      <c r="GT77" s="848">
        <v>36861</v>
      </c>
      <c r="GU77" s="19"/>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v>4</v>
      </c>
      <c r="IW77" s="848">
        <v>36861</v>
      </c>
      <c r="IX77" s="93"/>
      <c r="IY77" s="93"/>
      <c r="IZ77" s="93"/>
      <c r="JA77" s="93"/>
      <c r="JB77" s="93"/>
      <c r="JC77" s="93"/>
      <c r="JD77" s="93"/>
      <c r="JE77" s="93"/>
      <c r="JF77" s="93"/>
      <c r="JG77" s="93"/>
      <c r="JH77" s="93"/>
      <c r="JI77" s="93"/>
      <c r="JJ77" s="93"/>
      <c r="JK77" s="93"/>
      <c r="JL77" s="93"/>
      <c r="JM77" s="93"/>
      <c r="JN77" s="93"/>
      <c r="JO77" s="93"/>
      <c r="JP77" s="93"/>
      <c r="JQ77" s="93"/>
      <c r="JR77" s="93"/>
      <c r="JS77" s="93"/>
      <c r="JT77" s="20"/>
      <c r="JU77" s="29">
        <v>4</v>
      </c>
      <c r="JV77" s="19"/>
      <c r="JW77" s="93"/>
      <c r="JX77" s="93"/>
      <c r="JY77" s="93"/>
      <c r="JZ77" s="93"/>
      <c r="KA77" s="93"/>
      <c r="KB77" s="93"/>
      <c r="KC77" s="93"/>
      <c r="KD77" s="93"/>
      <c r="KE77" s="93"/>
      <c r="KF77" s="93"/>
      <c r="KG77" s="93"/>
      <c r="KH77" s="93"/>
      <c r="KI77" s="93"/>
      <c r="KJ77" s="93"/>
      <c r="KK77" s="93"/>
      <c r="KL77" s="93"/>
      <c r="KM77" s="93"/>
      <c r="KN77" s="93"/>
      <c r="KO77" s="93"/>
      <c r="KP77" s="93"/>
      <c r="KQ77" s="93"/>
      <c r="KR77" s="93"/>
      <c r="KS77" s="93"/>
      <c r="KT77" s="93"/>
      <c r="KU77" s="93"/>
      <c r="KV77" s="93"/>
      <c r="KW77" s="20"/>
      <c r="KX77" s="29">
        <v>4</v>
      </c>
      <c r="KY77" s="19"/>
      <c r="KZ77" s="93"/>
      <c r="LA77" s="93"/>
      <c r="LB77" s="93"/>
      <c r="LC77" s="93"/>
      <c r="LD77" s="93"/>
      <c r="LE77" s="93"/>
      <c r="LF77" s="93"/>
      <c r="LG77" s="93"/>
      <c r="LH77" s="93"/>
      <c r="LI77" s="93"/>
      <c r="LJ77" s="93"/>
      <c r="LK77" s="93"/>
      <c r="LL77" s="93"/>
      <c r="LM77" s="93"/>
      <c r="LN77" s="93"/>
      <c r="LO77" s="93"/>
      <c r="LP77" s="93"/>
      <c r="LQ77" s="93"/>
      <c r="LR77" s="93"/>
      <c r="LS77" s="93"/>
      <c r="LT77" s="93"/>
      <c r="LU77" s="93"/>
      <c r="LV77" s="93"/>
      <c r="LW77" s="93"/>
      <c r="LX77" s="93"/>
      <c r="LY77" s="93"/>
      <c r="LZ77" s="93"/>
      <c r="MA77" s="93"/>
      <c r="MB77" s="93"/>
      <c r="MC77" s="93"/>
      <c r="MD77" s="93"/>
      <c r="ME77" s="93"/>
      <c r="MF77" s="93"/>
      <c r="MG77" s="93"/>
      <c r="MH77" s="20"/>
      <c r="MI77" s="29">
        <v>4</v>
      </c>
      <c r="MJ77" s="29" t="str">
        <f t="shared" si="82"/>
        <v>Trimestre 42000</v>
      </c>
      <c r="MK77" s="848">
        <v>36861</v>
      </c>
      <c r="ML77" s="29"/>
      <c r="MM77" s="29"/>
      <c r="MN77" s="29"/>
      <c r="MO77" s="29"/>
      <c r="MP77" s="29"/>
      <c r="MQ77" s="29"/>
      <c r="MR77" s="29"/>
      <c r="MS77" s="29"/>
      <c r="MT77" s="29"/>
      <c r="MU77" s="29"/>
      <c r="MV77" s="29"/>
      <c r="MW77" s="29"/>
      <c r="MX77" s="29"/>
      <c r="MY77" s="29"/>
      <c r="MZ77" s="29"/>
      <c r="NA77" s="29"/>
      <c r="NB77" s="29"/>
      <c r="NC77" s="29"/>
      <c r="ND77" s="29"/>
      <c r="NE77" s="29"/>
      <c r="NF77" s="29"/>
      <c r="NG77" s="29"/>
      <c r="NH77" s="29"/>
      <c r="NI77" s="29"/>
      <c r="NJ77" s="29"/>
      <c r="NK77" s="29"/>
      <c r="NL77" s="29">
        <v>4</v>
      </c>
    </row>
    <row r="78" spans="1:376">
      <c r="A78" s="41">
        <f t="shared" si="80"/>
        <v>2001</v>
      </c>
      <c r="B78" s="785">
        <v>36951</v>
      </c>
      <c r="C78" s="19"/>
      <c r="D78" s="93"/>
      <c r="E78" s="93"/>
      <c r="F78" s="93"/>
      <c r="G78" s="93"/>
      <c r="H78" s="93"/>
      <c r="I78" s="93"/>
      <c r="J78" s="93"/>
      <c r="K78" s="93"/>
      <c r="L78" s="93"/>
      <c r="M78" s="20"/>
      <c r="N78" s="25">
        <v>5</v>
      </c>
      <c r="O78" s="889">
        <f t="shared" si="79"/>
        <v>2001</v>
      </c>
      <c r="P78" s="29" t="str">
        <f t="shared" si="81"/>
        <v>Trimestre 12001</v>
      </c>
      <c r="Q78" s="848">
        <v>36951</v>
      </c>
      <c r="R78" s="733"/>
      <c r="S78" s="570"/>
      <c r="T78" s="570"/>
      <c r="U78" s="734"/>
      <c r="V78" s="25">
        <v>5</v>
      </c>
      <c r="W78" s="19"/>
      <c r="X78" s="93"/>
      <c r="Y78" s="93"/>
      <c r="Z78" s="93"/>
      <c r="AA78" s="93"/>
      <c r="AB78" s="93"/>
      <c r="AC78" s="93"/>
      <c r="AD78" s="93"/>
      <c r="AE78" s="20"/>
      <c r="AF78" s="25">
        <v>5</v>
      </c>
      <c r="AG78" s="19"/>
      <c r="AH78" s="93"/>
      <c r="AI78" s="93"/>
      <c r="AJ78" s="93"/>
      <c r="AK78" s="93"/>
      <c r="AL78" s="93"/>
      <c r="AM78" s="93"/>
      <c r="AN78" s="20"/>
      <c r="AO78" s="19"/>
      <c r="AP78" s="93"/>
      <c r="AQ78" s="93"/>
      <c r="AR78" s="93"/>
      <c r="AS78" s="20"/>
      <c r="AT78" s="19"/>
      <c r="AU78" s="93"/>
      <c r="AV78" s="20"/>
      <c r="AW78" s="19"/>
      <c r="AX78" s="93"/>
      <c r="AY78" s="93"/>
      <c r="AZ78" s="93"/>
      <c r="BA78" s="93"/>
      <c r="BB78" s="93"/>
      <c r="BC78" s="20"/>
      <c r="BD78" s="19"/>
      <c r="BE78" s="93"/>
      <c r="BF78" s="93"/>
      <c r="BG78" s="93"/>
      <c r="BH78" s="93"/>
      <c r="BI78" s="93"/>
      <c r="BJ78" s="93"/>
      <c r="BK78" s="20"/>
      <c r="BL78" s="19"/>
      <c r="BM78" s="93"/>
      <c r="BN78" s="93"/>
      <c r="BO78" s="93"/>
      <c r="BP78" s="93"/>
      <c r="BQ78" s="20"/>
      <c r="BR78" s="19"/>
      <c r="BS78" s="93"/>
      <c r="BT78" s="93"/>
      <c r="BU78" s="20"/>
      <c r="BV78" s="19"/>
      <c r="BW78" s="93"/>
      <c r="BX78" s="93"/>
      <c r="BY78" s="93"/>
      <c r="BZ78" s="93"/>
      <c r="CA78" s="93"/>
      <c r="CB78" s="20"/>
      <c r="CC78" s="25">
        <v>5</v>
      </c>
      <c r="CD78" s="19"/>
      <c r="CE78" s="93"/>
      <c r="CF78" s="20"/>
      <c r="CG78" s="25">
        <v>5</v>
      </c>
      <c r="CH78" s="19"/>
      <c r="CI78" s="93"/>
      <c r="CJ78" s="93"/>
      <c r="CK78" s="93"/>
      <c r="CL78" s="93"/>
      <c r="CM78" s="93"/>
      <c r="CN78" s="93"/>
      <c r="CO78" s="93"/>
      <c r="CP78" s="93"/>
      <c r="CQ78" s="93"/>
      <c r="CR78" s="214"/>
      <c r="CS78" s="20"/>
      <c r="CT78" s="25">
        <v>5</v>
      </c>
      <c r="CU78" s="19"/>
      <c r="CV78" s="93"/>
      <c r="CW78" s="93"/>
      <c r="CX78" s="93"/>
      <c r="CY78" s="93"/>
      <c r="CZ78" s="93"/>
      <c r="DA78" s="93"/>
      <c r="DB78" s="20"/>
      <c r="DC78" s="25">
        <v>5</v>
      </c>
      <c r="DD78" s="785">
        <v>36951</v>
      </c>
      <c r="DE78" s="19"/>
      <c r="DF78" s="20"/>
      <c r="DG78" s="25">
        <v>5</v>
      </c>
      <c r="DH78" s="19"/>
      <c r="DI78" s="20"/>
      <c r="DJ78" s="25">
        <v>5</v>
      </c>
      <c r="DK78" s="19"/>
      <c r="DL78" s="20"/>
      <c r="DM78" s="19"/>
      <c r="DN78" s="20"/>
      <c r="DO78" s="25">
        <v>5</v>
      </c>
      <c r="DP78" s="19"/>
      <c r="DQ78" s="93"/>
      <c r="DR78" s="20"/>
      <c r="DS78" s="25">
        <v>5</v>
      </c>
      <c r="DT78" s="19"/>
      <c r="DU78" s="93"/>
      <c r="DV78" s="20"/>
      <c r="DW78" s="25">
        <v>5</v>
      </c>
      <c r="DX78" s="19"/>
      <c r="DY78" s="20"/>
      <c r="DZ78" s="25">
        <v>5</v>
      </c>
      <c r="EA78" s="19"/>
      <c r="EB78" s="93"/>
      <c r="EC78" s="93"/>
      <c r="ED78" s="93"/>
      <c r="EE78" s="20"/>
      <c r="EF78" s="25">
        <v>5</v>
      </c>
      <c r="EG78" s="19"/>
      <c r="EH78" s="93"/>
      <c r="EI78" s="93"/>
      <c r="EJ78" s="93"/>
      <c r="EK78" s="20"/>
      <c r="EL78" s="25">
        <v>5</v>
      </c>
      <c r="EM78" s="19"/>
      <c r="EN78" s="93"/>
      <c r="EO78" s="93"/>
      <c r="EP78" s="93"/>
      <c r="EQ78" s="93"/>
      <c r="ER78" s="93"/>
      <c r="ES78" s="93"/>
      <c r="ET78" s="93"/>
      <c r="EU78" s="93"/>
      <c r="EV78" s="20"/>
      <c r="EW78" s="25">
        <v>5</v>
      </c>
      <c r="EX78" s="915"/>
      <c r="EY78" s="916"/>
      <c r="EZ78" s="916"/>
      <c r="FA78" s="916"/>
      <c r="FB78" s="916"/>
      <c r="FC78" s="916"/>
      <c r="FD78" s="916"/>
      <c r="FE78" s="916"/>
      <c r="FF78" s="916"/>
      <c r="FG78" s="917"/>
      <c r="FH78" s="25">
        <v>5</v>
      </c>
      <c r="FI78" s="848">
        <v>36951</v>
      </c>
      <c r="FJ78" s="19"/>
      <c r="FK78" s="93"/>
      <c r="FL78" s="20"/>
      <c r="FM78" s="25">
        <v>5</v>
      </c>
      <c r="FN78" s="19"/>
      <c r="FO78" s="93"/>
      <c r="FP78" s="93"/>
      <c r="FQ78" s="93"/>
      <c r="FR78" s="93"/>
      <c r="FS78" s="93"/>
      <c r="FT78" s="93"/>
      <c r="FU78" s="93"/>
      <c r="FV78" s="93"/>
      <c r="FW78" s="917"/>
      <c r="FX78" s="25">
        <v>5</v>
      </c>
      <c r="FY78" s="916"/>
      <c r="FZ78" s="916"/>
      <c r="GA78" s="916"/>
      <c r="GB78" s="916"/>
      <c r="GC78" s="916"/>
      <c r="GD78" s="916"/>
      <c r="GE78" s="916"/>
      <c r="GF78" s="916"/>
      <c r="GG78" s="916"/>
      <c r="GH78" s="916"/>
      <c r="GI78" s="917"/>
      <c r="GJ78" s="25">
        <v>5</v>
      </c>
      <c r="GK78" s="19"/>
      <c r="GL78" s="20"/>
      <c r="GM78" s="25">
        <v>5</v>
      </c>
      <c r="GN78" s="19"/>
      <c r="GO78" s="20"/>
      <c r="GP78" s="25">
        <v>5</v>
      </c>
      <c r="GQ78" s="19"/>
      <c r="GR78" s="20"/>
      <c r="GS78" s="25">
        <v>5</v>
      </c>
      <c r="GT78" s="848">
        <v>36951</v>
      </c>
      <c r="GU78" s="19"/>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v>5</v>
      </c>
      <c r="IW78" s="848">
        <v>36951</v>
      </c>
      <c r="IX78" s="93"/>
      <c r="IY78" s="93"/>
      <c r="IZ78" s="93"/>
      <c r="JA78" s="93"/>
      <c r="JB78" s="93"/>
      <c r="JC78" s="93"/>
      <c r="JD78" s="93"/>
      <c r="JE78" s="93"/>
      <c r="JF78" s="93"/>
      <c r="JG78" s="93"/>
      <c r="JH78" s="93"/>
      <c r="JI78" s="93"/>
      <c r="JJ78" s="93"/>
      <c r="JK78" s="93"/>
      <c r="JL78" s="93"/>
      <c r="JM78" s="93"/>
      <c r="JN78" s="93"/>
      <c r="JO78" s="93"/>
      <c r="JP78" s="93"/>
      <c r="JQ78" s="93"/>
      <c r="JR78" s="93"/>
      <c r="JS78" s="93"/>
      <c r="JT78" s="20"/>
      <c r="JU78" s="29">
        <v>5</v>
      </c>
      <c r="JV78" s="19"/>
      <c r="JW78" s="93"/>
      <c r="JX78" s="93"/>
      <c r="JY78" s="93"/>
      <c r="JZ78" s="93"/>
      <c r="KA78" s="93"/>
      <c r="KB78" s="93"/>
      <c r="KC78" s="93"/>
      <c r="KD78" s="93"/>
      <c r="KE78" s="93"/>
      <c r="KF78" s="93"/>
      <c r="KG78" s="93"/>
      <c r="KH78" s="93"/>
      <c r="KI78" s="93"/>
      <c r="KJ78" s="93"/>
      <c r="KK78" s="93"/>
      <c r="KL78" s="93"/>
      <c r="KM78" s="93"/>
      <c r="KN78" s="93"/>
      <c r="KO78" s="93"/>
      <c r="KP78" s="93"/>
      <c r="KQ78" s="93"/>
      <c r="KR78" s="93"/>
      <c r="KS78" s="93"/>
      <c r="KT78" s="93"/>
      <c r="KU78" s="93"/>
      <c r="KV78" s="93"/>
      <c r="KW78" s="20"/>
      <c r="KX78" s="29">
        <v>5</v>
      </c>
      <c r="KY78" s="19"/>
      <c r="KZ78" s="93"/>
      <c r="LA78" s="93"/>
      <c r="LB78" s="93"/>
      <c r="LC78" s="93"/>
      <c r="LD78" s="93"/>
      <c r="LE78" s="93"/>
      <c r="LF78" s="93"/>
      <c r="LG78" s="93"/>
      <c r="LH78" s="93"/>
      <c r="LI78" s="93"/>
      <c r="LJ78" s="93"/>
      <c r="LK78" s="93"/>
      <c r="LL78" s="93"/>
      <c r="LM78" s="93"/>
      <c r="LN78" s="93"/>
      <c r="LO78" s="93"/>
      <c r="LP78" s="93"/>
      <c r="LQ78" s="93"/>
      <c r="LR78" s="93"/>
      <c r="LS78" s="93"/>
      <c r="LT78" s="93"/>
      <c r="LU78" s="93"/>
      <c r="LV78" s="93"/>
      <c r="LW78" s="93"/>
      <c r="LX78" s="93"/>
      <c r="LY78" s="93"/>
      <c r="LZ78" s="93"/>
      <c r="MA78" s="93"/>
      <c r="MB78" s="93"/>
      <c r="MC78" s="93"/>
      <c r="MD78" s="93"/>
      <c r="ME78" s="93"/>
      <c r="MF78" s="93"/>
      <c r="MG78" s="93"/>
      <c r="MH78" s="20"/>
      <c r="MI78" s="29">
        <v>5</v>
      </c>
      <c r="MJ78" s="29" t="str">
        <f t="shared" si="82"/>
        <v>Trimestre 12001</v>
      </c>
      <c r="MK78" s="848">
        <v>36951</v>
      </c>
      <c r="ML78" s="29"/>
      <c r="MM78" s="29"/>
      <c r="MN78" s="29"/>
      <c r="MO78" s="29"/>
      <c r="MP78" s="29"/>
      <c r="MQ78" s="29"/>
      <c r="MR78" s="29"/>
      <c r="MS78" s="29"/>
      <c r="MT78" s="29"/>
      <c r="MU78" s="29"/>
      <c r="MV78" s="29"/>
      <c r="MW78" s="29"/>
      <c r="MX78" s="29"/>
      <c r="MY78" s="29"/>
      <c r="MZ78" s="29"/>
      <c r="NA78" s="29"/>
      <c r="NB78" s="29"/>
      <c r="NC78" s="29"/>
      <c r="ND78" s="29"/>
      <c r="NE78" s="29"/>
      <c r="NF78" s="29"/>
      <c r="NG78" s="29"/>
      <c r="NH78" s="29"/>
      <c r="NI78" s="29"/>
      <c r="NJ78" s="29"/>
      <c r="NK78" s="29"/>
      <c r="NL78" s="29">
        <v>5</v>
      </c>
    </row>
    <row r="79" spans="1:376">
      <c r="A79" s="41">
        <f t="shared" si="80"/>
        <v>2001</v>
      </c>
      <c r="B79" s="785">
        <v>37043</v>
      </c>
      <c r="C79" s="19"/>
      <c r="D79" s="93"/>
      <c r="E79" s="93"/>
      <c r="F79" s="93"/>
      <c r="G79" s="93"/>
      <c r="H79" s="93"/>
      <c r="I79" s="93"/>
      <c r="J79" s="93"/>
      <c r="K79" s="93"/>
      <c r="L79" s="93"/>
      <c r="M79" s="20"/>
      <c r="N79" s="25">
        <v>6</v>
      </c>
      <c r="O79" s="889">
        <f t="shared" si="79"/>
        <v>2001</v>
      </c>
      <c r="P79" s="29" t="str">
        <f t="shared" si="81"/>
        <v>Trimestre 22001</v>
      </c>
      <c r="Q79" s="848">
        <v>37043</v>
      </c>
      <c r="R79" s="733"/>
      <c r="S79" s="570"/>
      <c r="T79" s="570"/>
      <c r="U79" s="734"/>
      <c r="V79" s="25">
        <v>6</v>
      </c>
      <c r="W79" s="19"/>
      <c r="X79" s="93"/>
      <c r="Y79" s="93"/>
      <c r="Z79" s="93"/>
      <c r="AA79" s="93"/>
      <c r="AB79" s="93"/>
      <c r="AC79" s="93"/>
      <c r="AD79" s="93"/>
      <c r="AE79" s="20"/>
      <c r="AF79" s="25">
        <v>6</v>
      </c>
      <c r="AG79" s="19"/>
      <c r="AH79" s="93"/>
      <c r="AI79" s="93"/>
      <c r="AJ79" s="93"/>
      <c r="AK79" s="93"/>
      <c r="AL79" s="93"/>
      <c r="AM79" s="93"/>
      <c r="AN79" s="20"/>
      <c r="AO79" s="19"/>
      <c r="AP79" s="93"/>
      <c r="AQ79" s="93"/>
      <c r="AR79" s="93"/>
      <c r="AS79" s="20"/>
      <c r="AT79" s="19"/>
      <c r="AU79" s="93"/>
      <c r="AV79" s="20"/>
      <c r="AW79" s="19"/>
      <c r="AX79" s="93"/>
      <c r="AY79" s="93"/>
      <c r="AZ79" s="93"/>
      <c r="BA79" s="93"/>
      <c r="BB79" s="93"/>
      <c r="BC79" s="20"/>
      <c r="BD79" s="19"/>
      <c r="BE79" s="93"/>
      <c r="BF79" s="93"/>
      <c r="BG79" s="93"/>
      <c r="BH79" s="93"/>
      <c r="BI79" s="93"/>
      <c r="BJ79" s="93"/>
      <c r="BK79" s="20"/>
      <c r="BL79" s="19"/>
      <c r="BM79" s="93"/>
      <c r="BN79" s="93"/>
      <c r="BO79" s="93"/>
      <c r="BP79" s="93"/>
      <c r="BQ79" s="20"/>
      <c r="BR79" s="19"/>
      <c r="BS79" s="93"/>
      <c r="BT79" s="93"/>
      <c r="BU79" s="20"/>
      <c r="BV79" s="19"/>
      <c r="BW79" s="93"/>
      <c r="BX79" s="93"/>
      <c r="BY79" s="93"/>
      <c r="BZ79" s="93"/>
      <c r="CA79" s="93"/>
      <c r="CB79" s="20"/>
      <c r="CC79" s="25">
        <v>6</v>
      </c>
      <c r="CD79" s="19"/>
      <c r="CE79" s="93"/>
      <c r="CF79" s="20"/>
      <c r="CG79" s="25">
        <v>6</v>
      </c>
      <c r="CH79" s="19"/>
      <c r="CI79" s="93"/>
      <c r="CJ79" s="93"/>
      <c r="CK79" s="93"/>
      <c r="CL79" s="93"/>
      <c r="CM79" s="93"/>
      <c r="CN79" s="93"/>
      <c r="CO79" s="93"/>
      <c r="CP79" s="93"/>
      <c r="CQ79" s="93"/>
      <c r="CR79" s="214"/>
      <c r="CS79" s="20"/>
      <c r="CT79" s="25">
        <v>6</v>
      </c>
      <c r="CU79" s="19"/>
      <c r="CV79" s="93"/>
      <c r="CW79" s="93"/>
      <c r="CX79" s="93"/>
      <c r="CY79" s="93"/>
      <c r="CZ79" s="93"/>
      <c r="DA79" s="93"/>
      <c r="DB79" s="20"/>
      <c r="DC79" s="25">
        <v>6</v>
      </c>
      <c r="DD79" s="785">
        <v>37043</v>
      </c>
      <c r="DE79" s="19"/>
      <c r="DF79" s="20"/>
      <c r="DG79" s="25">
        <v>6</v>
      </c>
      <c r="DH79" s="19"/>
      <c r="DI79" s="20"/>
      <c r="DJ79" s="25">
        <v>6</v>
      </c>
      <c r="DK79" s="19"/>
      <c r="DL79" s="20"/>
      <c r="DM79" s="19"/>
      <c r="DN79" s="20"/>
      <c r="DO79" s="25">
        <v>6</v>
      </c>
      <c r="DP79" s="19"/>
      <c r="DQ79" s="93"/>
      <c r="DR79" s="20"/>
      <c r="DS79" s="25">
        <v>6</v>
      </c>
      <c r="DT79" s="19"/>
      <c r="DU79" s="93"/>
      <c r="DV79" s="20"/>
      <c r="DW79" s="25">
        <v>6</v>
      </c>
      <c r="DX79" s="19"/>
      <c r="DY79" s="20"/>
      <c r="DZ79" s="25">
        <v>6</v>
      </c>
      <c r="EA79" s="19"/>
      <c r="EB79" s="93"/>
      <c r="EC79" s="93"/>
      <c r="ED79" s="93"/>
      <c r="EE79" s="20"/>
      <c r="EF79" s="25">
        <v>6</v>
      </c>
      <c r="EG79" s="19"/>
      <c r="EH79" s="93"/>
      <c r="EI79" s="93"/>
      <c r="EJ79" s="93"/>
      <c r="EK79" s="20"/>
      <c r="EL79" s="25">
        <v>6</v>
      </c>
      <c r="EM79" s="19"/>
      <c r="EN79" s="93"/>
      <c r="EO79" s="93"/>
      <c r="EP79" s="93"/>
      <c r="EQ79" s="93"/>
      <c r="ER79" s="93"/>
      <c r="ES79" s="93"/>
      <c r="ET79" s="93"/>
      <c r="EU79" s="93"/>
      <c r="EV79" s="20"/>
      <c r="EW79" s="25">
        <v>6</v>
      </c>
      <c r="EX79" s="915"/>
      <c r="EY79" s="916"/>
      <c r="EZ79" s="916"/>
      <c r="FA79" s="916"/>
      <c r="FB79" s="916"/>
      <c r="FC79" s="916"/>
      <c r="FD79" s="916"/>
      <c r="FE79" s="916"/>
      <c r="FF79" s="916"/>
      <c r="FG79" s="917"/>
      <c r="FH79" s="25">
        <v>6</v>
      </c>
      <c r="FI79" s="848">
        <v>37043</v>
      </c>
      <c r="FJ79" s="19"/>
      <c r="FK79" s="93"/>
      <c r="FL79" s="20"/>
      <c r="FM79" s="25">
        <v>6</v>
      </c>
      <c r="FN79" s="19"/>
      <c r="FO79" s="93"/>
      <c r="FP79" s="93"/>
      <c r="FQ79" s="93"/>
      <c r="FR79" s="93"/>
      <c r="FS79" s="93"/>
      <c r="FT79" s="93"/>
      <c r="FU79" s="93"/>
      <c r="FV79" s="93"/>
      <c r="FW79" s="917"/>
      <c r="FX79" s="25">
        <v>6</v>
      </c>
      <c r="FY79" s="916"/>
      <c r="FZ79" s="916"/>
      <c r="GA79" s="916"/>
      <c r="GB79" s="916"/>
      <c r="GC79" s="916"/>
      <c r="GD79" s="916"/>
      <c r="GE79" s="916"/>
      <c r="GF79" s="916"/>
      <c r="GG79" s="916"/>
      <c r="GH79" s="916"/>
      <c r="GI79" s="917"/>
      <c r="GJ79" s="25">
        <v>6</v>
      </c>
      <c r="GK79" s="19"/>
      <c r="GL79" s="20"/>
      <c r="GM79" s="25">
        <v>6</v>
      </c>
      <c r="GN79" s="19"/>
      <c r="GO79" s="20"/>
      <c r="GP79" s="25">
        <v>6</v>
      </c>
      <c r="GQ79" s="19"/>
      <c r="GR79" s="20"/>
      <c r="GS79" s="25">
        <v>6</v>
      </c>
      <c r="GT79" s="848">
        <v>37043</v>
      </c>
      <c r="GU79" s="19"/>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v>6</v>
      </c>
      <c r="IW79" s="848">
        <v>37043</v>
      </c>
      <c r="IX79" s="93"/>
      <c r="IY79" s="93"/>
      <c r="IZ79" s="93"/>
      <c r="JA79" s="93"/>
      <c r="JB79" s="93"/>
      <c r="JC79" s="93"/>
      <c r="JD79" s="93"/>
      <c r="JE79" s="93"/>
      <c r="JF79" s="93"/>
      <c r="JG79" s="93"/>
      <c r="JH79" s="93"/>
      <c r="JI79" s="93"/>
      <c r="JJ79" s="93"/>
      <c r="JK79" s="93"/>
      <c r="JL79" s="93"/>
      <c r="JM79" s="93"/>
      <c r="JN79" s="93"/>
      <c r="JO79" s="93"/>
      <c r="JP79" s="93"/>
      <c r="JQ79" s="93"/>
      <c r="JR79" s="93"/>
      <c r="JS79" s="93"/>
      <c r="JT79" s="20"/>
      <c r="JU79" s="29">
        <v>6</v>
      </c>
      <c r="JV79" s="19"/>
      <c r="JW79" s="93"/>
      <c r="JX79" s="93"/>
      <c r="JY79" s="93"/>
      <c r="JZ79" s="93"/>
      <c r="KA79" s="93"/>
      <c r="KB79" s="93"/>
      <c r="KC79" s="93"/>
      <c r="KD79" s="93"/>
      <c r="KE79" s="93"/>
      <c r="KF79" s="93"/>
      <c r="KG79" s="93"/>
      <c r="KH79" s="93"/>
      <c r="KI79" s="93"/>
      <c r="KJ79" s="93"/>
      <c r="KK79" s="93"/>
      <c r="KL79" s="93"/>
      <c r="KM79" s="93"/>
      <c r="KN79" s="93"/>
      <c r="KO79" s="93"/>
      <c r="KP79" s="93"/>
      <c r="KQ79" s="93"/>
      <c r="KR79" s="93"/>
      <c r="KS79" s="93"/>
      <c r="KT79" s="93"/>
      <c r="KU79" s="93"/>
      <c r="KV79" s="93"/>
      <c r="KW79" s="20"/>
      <c r="KX79" s="29">
        <v>6</v>
      </c>
      <c r="KY79" s="19"/>
      <c r="KZ79" s="93"/>
      <c r="LA79" s="93"/>
      <c r="LB79" s="93"/>
      <c r="LC79" s="93"/>
      <c r="LD79" s="93"/>
      <c r="LE79" s="93"/>
      <c r="LF79" s="93"/>
      <c r="LG79" s="93"/>
      <c r="LH79" s="93"/>
      <c r="LI79" s="93"/>
      <c r="LJ79" s="93"/>
      <c r="LK79" s="93"/>
      <c r="LL79" s="93"/>
      <c r="LM79" s="93"/>
      <c r="LN79" s="93"/>
      <c r="LO79" s="93"/>
      <c r="LP79" s="93"/>
      <c r="LQ79" s="93"/>
      <c r="LR79" s="93"/>
      <c r="LS79" s="93"/>
      <c r="LT79" s="93"/>
      <c r="LU79" s="93"/>
      <c r="LV79" s="93"/>
      <c r="LW79" s="93"/>
      <c r="LX79" s="93"/>
      <c r="LY79" s="93"/>
      <c r="LZ79" s="93"/>
      <c r="MA79" s="93"/>
      <c r="MB79" s="93"/>
      <c r="MC79" s="93"/>
      <c r="MD79" s="93"/>
      <c r="ME79" s="93"/>
      <c r="MF79" s="93"/>
      <c r="MG79" s="93"/>
      <c r="MH79" s="20"/>
      <c r="MI79" s="29">
        <v>6</v>
      </c>
      <c r="MJ79" s="29" t="str">
        <f t="shared" si="82"/>
        <v>Trimestre 22001</v>
      </c>
      <c r="MK79" s="848">
        <v>37043</v>
      </c>
      <c r="ML79" s="29"/>
      <c r="MM79" s="29"/>
      <c r="MN79" s="29"/>
      <c r="MO79" s="29"/>
      <c r="MP79" s="29"/>
      <c r="MQ79" s="29"/>
      <c r="MR79" s="29"/>
      <c r="MS79" s="29"/>
      <c r="MT79" s="29"/>
      <c r="MU79" s="29"/>
      <c r="MV79" s="29"/>
      <c r="MW79" s="29"/>
      <c r="MX79" s="29"/>
      <c r="MY79" s="29"/>
      <c r="MZ79" s="29"/>
      <c r="NA79" s="29"/>
      <c r="NB79" s="29"/>
      <c r="NC79" s="29"/>
      <c r="ND79" s="29"/>
      <c r="NE79" s="29"/>
      <c r="NF79" s="29"/>
      <c r="NG79" s="29"/>
      <c r="NH79" s="29"/>
      <c r="NI79" s="29"/>
      <c r="NJ79" s="29"/>
      <c r="NK79" s="29"/>
      <c r="NL79" s="29">
        <v>6</v>
      </c>
    </row>
    <row r="80" spans="1:376">
      <c r="A80" s="41">
        <f t="shared" si="80"/>
        <v>2001</v>
      </c>
      <c r="B80" s="785">
        <v>37135</v>
      </c>
      <c r="C80" s="19"/>
      <c r="D80" s="93"/>
      <c r="E80" s="93"/>
      <c r="F80" s="93"/>
      <c r="G80" s="93"/>
      <c r="H80" s="93"/>
      <c r="I80" s="93"/>
      <c r="J80" s="93"/>
      <c r="K80" s="93"/>
      <c r="L80" s="93"/>
      <c r="M80" s="20"/>
      <c r="N80" s="25">
        <v>7</v>
      </c>
      <c r="O80" s="889">
        <f t="shared" si="79"/>
        <v>2001</v>
      </c>
      <c r="P80" s="29" t="str">
        <f t="shared" si="81"/>
        <v>Trimestre 32001</v>
      </c>
      <c r="Q80" s="848">
        <v>37135</v>
      </c>
      <c r="R80" s="733"/>
      <c r="S80" s="570"/>
      <c r="T80" s="570"/>
      <c r="U80" s="734"/>
      <c r="V80" s="25">
        <v>7</v>
      </c>
      <c r="W80" s="19"/>
      <c r="X80" s="93"/>
      <c r="Y80" s="93"/>
      <c r="Z80" s="93"/>
      <c r="AA80" s="93"/>
      <c r="AB80" s="93"/>
      <c r="AC80" s="93"/>
      <c r="AD80" s="93"/>
      <c r="AE80" s="20"/>
      <c r="AF80" s="25">
        <v>7</v>
      </c>
      <c r="AG80" s="19"/>
      <c r="AH80" s="93"/>
      <c r="AI80" s="93"/>
      <c r="AJ80" s="93"/>
      <c r="AK80" s="93"/>
      <c r="AL80" s="93"/>
      <c r="AM80" s="93"/>
      <c r="AN80" s="20"/>
      <c r="AO80" s="19"/>
      <c r="AP80" s="93"/>
      <c r="AQ80" s="93"/>
      <c r="AR80" s="93"/>
      <c r="AS80" s="20"/>
      <c r="AT80" s="19"/>
      <c r="AU80" s="93"/>
      <c r="AV80" s="20"/>
      <c r="AW80" s="19"/>
      <c r="AX80" s="93"/>
      <c r="AY80" s="93"/>
      <c r="AZ80" s="93"/>
      <c r="BA80" s="93"/>
      <c r="BB80" s="93"/>
      <c r="BC80" s="20"/>
      <c r="BD80" s="19"/>
      <c r="BE80" s="93"/>
      <c r="BF80" s="93"/>
      <c r="BG80" s="93"/>
      <c r="BH80" s="93"/>
      <c r="BI80" s="93"/>
      <c r="BJ80" s="93"/>
      <c r="BK80" s="20"/>
      <c r="BL80" s="19"/>
      <c r="BM80" s="93"/>
      <c r="BN80" s="93"/>
      <c r="BO80" s="93"/>
      <c r="BP80" s="93"/>
      <c r="BQ80" s="20"/>
      <c r="BR80" s="19"/>
      <c r="BS80" s="93"/>
      <c r="BT80" s="93"/>
      <c r="BU80" s="20"/>
      <c r="BV80" s="19"/>
      <c r="BW80" s="93"/>
      <c r="BX80" s="93"/>
      <c r="BY80" s="93"/>
      <c r="BZ80" s="93"/>
      <c r="CA80" s="93"/>
      <c r="CB80" s="20"/>
      <c r="CC80" s="25">
        <v>7</v>
      </c>
      <c r="CD80" s="19"/>
      <c r="CE80" s="93"/>
      <c r="CF80" s="20"/>
      <c r="CG80" s="25">
        <v>7</v>
      </c>
      <c r="CH80" s="19"/>
      <c r="CI80" s="93"/>
      <c r="CJ80" s="93"/>
      <c r="CK80" s="93"/>
      <c r="CL80" s="93"/>
      <c r="CM80" s="93"/>
      <c r="CN80" s="93"/>
      <c r="CO80" s="93"/>
      <c r="CP80" s="93"/>
      <c r="CQ80" s="93"/>
      <c r="CR80" s="214"/>
      <c r="CS80" s="20"/>
      <c r="CT80" s="25">
        <v>7</v>
      </c>
      <c r="CU80" s="19"/>
      <c r="CV80" s="93"/>
      <c r="CW80" s="93"/>
      <c r="CX80" s="93"/>
      <c r="CY80" s="93"/>
      <c r="CZ80" s="93"/>
      <c r="DA80" s="93"/>
      <c r="DB80" s="20"/>
      <c r="DC80" s="25">
        <v>7</v>
      </c>
      <c r="DD80" s="785">
        <v>37135</v>
      </c>
      <c r="DE80" s="19"/>
      <c r="DF80" s="20"/>
      <c r="DG80" s="25">
        <v>7</v>
      </c>
      <c r="DH80" s="19"/>
      <c r="DI80" s="20"/>
      <c r="DJ80" s="25">
        <v>7</v>
      </c>
      <c r="DK80" s="19"/>
      <c r="DL80" s="20"/>
      <c r="DM80" s="19"/>
      <c r="DN80" s="20"/>
      <c r="DO80" s="25">
        <v>7</v>
      </c>
      <c r="DP80" s="19"/>
      <c r="DQ80" s="93"/>
      <c r="DR80" s="20"/>
      <c r="DS80" s="25">
        <v>7</v>
      </c>
      <c r="DT80" s="19"/>
      <c r="DU80" s="93"/>
      <c r="DV80" s="20"/>
      <c r="DW80" s="25">
        <v>7</v>
      </c>
      <c r="DX80" s="19"/>
      <c r="DY80" s="20"/>
      <c r="DZ80" s="25">
        <v>7</v>
      </c>
      <c r="EA80" s="19"/>
      <c r="EB80" s="93"/>
      <c r="EC80" s="93"/>
      <c r="ED80" s="93"/>
      <c r="EE80" s="20"/>
      <c r="EF80" s="25">
        <v>7</v>
      </c>
      <c r="EG80" s="19"/>
      <c r="EH80" s="93"/>
      <c r="EI80" s="93"/>
      <c r="EJ80" s="93"/>
      <c r="EK80" s="20"/>
      <c r="EL80" s="25">
        <v>7</v>
      </c>
      <c r="EM80" s="19"/>
      <c r="EN80" s="93"/>
      <c r="EO80" s="93"/>
      <c r="EP80" s="93"/>
      <c r="EQ80" s="93"/>
      <c r="ER80" s="93"/>
      <c r="ES80" s="93"/>
      <c r="ET80" s="93"/>
      <c r="EU80" s="93"/>
      <c r="EV80" s="20"/>
      <c r="EW80" s="25">
        <v>7</v>
      </c>
      <c r="EX80" s="915"/>
      <c r="EY80" s="916"/>
      <c r="EZ80" s="916"/>
      <c r="FA80" s="916"/>
      <c r="FB80" s="916"/>
      <c r="FC80" s="916"/>
      <c r="FD80" s="916"/>
      <c r="FE80" s="916"/>
      <c r="FF80" s="916"/>
      <c r="FG80" s="917"/>
      <c r="FH80" s="25">
        <v>7</v>
      </c>
      <c r="FI80" s="848">
        <v>37135</v>
      </c>
      <c r="FJ80" s="19"/>
      <c r="FK80" s="93"/>
      <c r="FL80" s="20"/>
      <c r="FM80" s="25">
        <v>7</v>
      </c>
      <c r="FN80" s="19"/>
      <c r="FO80" s="93"/>
      <c r="FP80" s="93"/>
      <c r="FQ80" s="93"/>
      <c r="FR80" s="93"/>
      <c r="FS80" s="93"/>
      <c r="FT80" s="93"/>
      <c r="FU80" s="93"/>
      <c r="FV80" s="93"/>
      <c r="FW80" s="917"/>
      <c r="FX80" s="25">
        <v>7</v>
      </c>
      <c r="FY80" s="916"/>
      <c r="FZ80" s="916"/>
      <c r="GA80" s="916"/>
      <c r="GB80" s="916"/>
      <c r="GC80" s="916"/>
      <c r="GD80" s="916"/>
      <c r="GE80" s="916"/>
      <c r="GF80" s="916"/>
      <c r="GG80" s="916"/>
      <c r="GH80" s="916"/>
      <c r="GI80" s="917"/>
      <c r="GJ80" s="25">
        <v>7</v>
      </c>
      <c r="GK80" s="19"/>
      <c r="GL80" s="20"/>
      <c r="GM80" s="25">
        <v>7</v>
      </c>
      <c r="GN80" s="19"/>
      <c r="GO80" s="20"/>
      <c r="GP80" s="25">
        <v>7</v>
      </c>
      <c r="GQ80" s="19"/>
      <c r="GR80" s="20"/>
      <c r="GS80" s="25">
        <v>7</v>
      </c>
      <c r="GT80" s="848">
        <v>37135</v>
      </c>
      <c r="GU80" s="19"/>
      <c r="GV80" s="93"/>
      <c r="GW80" s="93"/>
      <c r="GX80" s="93"/>
      <c r="GY80" s="93"/>
      <c r="GZ80" s="93"/>
      <c r="HA80" s="93"/>
      <c r="HB80" s="93"/>
      <c r="HC80" s="93"/>
      <c r="HD80" s="93"/>
      <c r="HE80" s="93"/>
      <c r="HF80" s="93"/>
      <c r="HG80" s="93"/>
      <c r="HH80" s="93"/>
      <c r="HI80" s="93"/>
      <c r="HJ80" s="93"/>
      <c r="HK80" s="93"/>
      <c r="HL80" s="93"/>
      <c r="HM80" s="93"/>
      <c r="HN80" s="93"/>
      <c r="HO80" s="93"/>
      <c r="HP80" s="93"/>
      <c r="HQ80" s="93"/>
      <c r="HR80" s="93"/>
      <c r="HS80" s="93"/>
      <c r="HT80" s="93"/>
      <c r="HU80" s="93"/>
      <c r="HV80" s="93"/>
      <c r="HW80" s="93"/>
      <c r="HX80" s="93"/>
      <c r="HY80" s="93"/>
      <c r="HZ80" s="93"/>
      <c r="IA80" s="93"/>
      <c r="IB80" s="93"/>
      <c r="IC80" s="93"/>
      <c r="ID80" s="93"/>
      <c r="IE80" s="93"/>
      <c r="IF80" s="93"/>
      <c r="IG80" s="93"/>
      <c r="IH80" s="93"/>
      <c r="II80" s="93"/>
      <c r="IJ80" s="93"/>
      <c r="IK80" s="93"/>
      <c r="IL80" s="93"/>
      <c r="IM80" s="93"/>
      <c r="IN80" s="93"/>
      <c r="IO80" s="93"/>
      <c r="IP80" s="93"/>
      <c r="IQ80" s="93"/>
      <c r="IR80" s="93"/>
      <c r="IS80" s="93"/>
      <c r="IT80" s="93"/>
      <c r="IU80" s="93"/>
      <c r="IV80" s="93">
        <v>7</v>
      </c>
      <c r="IW80" s="848">
        <v>37135</v>
      </c>
      <c r="IX80" s="93"/>
      <c r="IY80" s="93"/>
      <c r="IZ80" s="93"/>
      <c r="JA80" s="93"/>
      <c r="JB80" s="93"/>
      <c r="JC80" s="93"/>
      <c r="JD80" s="93"/>
      <c r="JE80" s="93"/>
      <c r="JF80" s="93"/>
      <c r="JG80" s="93"/>
      <c r="JH80" s="93"/>
      <c r="JI80" s="93"/>
      <c r="JJ80" s="93"/>
      <c r="JK80" s="93"/>
      <c r="JL80" s="93"/>
      <c r="JM80" s="93"/>
      <c r="JN80" s="93"/>
      <c r="JO80" s="93"/>
      <c r="JP80" s="93"/>
      <c r="JQ80" s="93"/>
      <c r="JR80" s="93"/>
      <c r="JS80" s="93"/>
      <c r="JT80" s="20"/>
      <c r="JU80" s="29">
        <v>7</v>
      </c>
      <c r="JV80" s="19"/>
      <c r="JW80" s="93"/>
      <c r="JX80" s="93"/>
      <c r="JY80" s="93"/>
      <c r="JZ80" s="93"/>
      <c r="KA80" s="93"/>
      <c r="KB80" s="93"/>
      <c r="KC80" s="93"/>
      <c r="KD80" s="93"/>
      <c r="KE80" s="93"/>
      <c r="KF80" s="93"/>
      <c r="KG80" s="93"/>
      <c r="KH80" s="93"/>
      <c r="KI80" s="93"/>
      <c r="KJ80" s="93"/>
      <c r="KK80" s="93"/>
      <c r="KL80" s="93"/>
      <c r="KM80" s="93"/>
      <c r="KN80" s="93"/>
      <c r="KO80" s="93"/>
      <c r="KP80" s="93"/>
      <c r="KQ80" s="93"/>
      <c r="KR80" s="93"/>
      <c r="KS80" s="93"/>
      <c r="KT80" s="93"/>
      <c r="KU80" s="93"/>
      <c r="KV80" s="93"/>
      <c r="KW80" s="20"/>
      <c r="KX80" s="29">
        <v>7</v>
      </c>
      <c r="KY80" s="19"/>
      <c r="KZ80" s="93"/>
      <c r="LA80" s="93"/>
      <c r="LB80" s="93"/>
      <c r="LC80" s="93"/>
      <c r="LD80" s="93"/>
      <c r="LE80" s="93"/>
      <c r="LF80" s="93"/>
      <c r="LG80" s="93"/>
      <c r="LH80" s="93"/>
      <c r="LI80" s="93"/>
      <c r="LJ80" s="93"/>
      <c r="LK80" s="93"/>
      <c r="LL80" s="93"/>
      <c r="LM80" s="93"/>
      <c r="LN80" s="93"/>
      <c r="LO80" s="93"/>
      <c r="LP80" s="93"/>
      <c r="LQ80" s="93"/>
      <c r="LR80" s="93"/>
      <c r="LS80" s="93"/>
      <c r="LT80" s="93"/>
      <c r="LU80" s="93"/>
      <c r="LV80" s="93"/>
      <c r="LW80" s="93"/>
      <c r="LX80" s="93"/>
      <c r="LY80" s="93"/>
      <c r="LZ80" s="93"/>
      <c r="MA80" s="93"/>
      <c r="MB80" s="93"/>
      <c r="MC80" s="93"/>
      <c r="MD80" s="93"/>
      <c r="ME80" s="93"/>
      <c r="MF80" s="93"/>
      <c r="MG80" s="93"/>
      <c r="MH80" s="20"/>
      <c r="MI80" s="29">
        <v>7</v>
      </c>
      <c r="MJ80" s="29" t="str">
        <f t="shared" si="82"/>
        <v>Trimestre 32001</v>
      </c>
      <c r="MK80" s="848">
        <v>37135</v>
      </c>
      <c r="ML80" s="29"/>
      <c r="MM80" s="29"/>
      <c r="MN80" s="29"/>
      <c r="MO80" s="29"/>
      <c r="MP80" s="29"/>
      <c r="MQ80" s="29"/>
      <c r="MR80" s="29"/>
      <c r="MS80" s="29"/>
      <c r="MT80" s="29"/>
      <c r="MU80" s="29"/>
      <c r="MV80" s="29"/>
      <c r="MW80" s="29"/>
      <c r="MX80" s="29"/>
      <c r="MY80" s="29"/>
      <c r="MZ80" s="29"/>
      <c r="NA80" s="29"/>
      <c r="NB80" s="29"/>
      <c r="NC80" s="29"/>
      <c r="ND80" s="29"/>
      <c r="NE80" s="29"/>
      <c r="NF80" s="29"/>
      <c r="NG80" s="29"/>
      <c r="NH80" s="29"/>
      <c r="NI80" s="29"/>
      <c r="NJ80" s="29"/>
      <c r="NK80" s="29"/>
      <c r="NL80" s="29">
        <v>7</v>
      </c>
    </row>
    <row r="81" spans="1:376">
      <c r="A81" s="41">
        <f t="shared" si="80"/>
        <v>2001</v>
      </c>
      <c r="B81" s="785">
        <v>37226</v>
      </c>
      <c r="C81" s="19"/>
      <c r="D81" s="93"/>
      <c r="E81" s="93"/>
      <c r="F81" s="93"/>
      <c r="G81" s="93"/>
      <c r="H81" s="93"/>
      <c r="I81" s="93"/>
      <c r="J81" s="93"/>
      <c r="K81" s="93"/>
      <c r="L81" s="93"/>
      <c r="M81" s="20"/>
      <c r="N81" s="25">
        <v>8</v>
      </c>
      <c r="O81" s="889">
        <f t="shared" si="79"/>
        <v>2001</v>
      </c>
      <c r="P81" s="29" t="str">
        <f t="shared" si="81"/>
        <v>Trimestre 42001</v>
      </c>
      <c r="Q81" s="848">
        <v>37226</v>
      </c>
      <c r="R81" s="733"/>
      <c r="S81" s="570"/>
      <c r="T81" s="570"/>
      <c r="U81" s="734"/>
      <c r="V81" s="25">
        <v>8</v>
      </c>
      <c r="W81" s="19"/>
      <c r="X81" s="93"/>
      <c r="Y81" s="93"/>
      <c r="Z81" s="93"/>
      <c r="AA81" s="93"/>
      <c r="AB81" s="93"/>
      <c r="AC81" s="93"/>
      <c r="AD81" s="93"/>
      <c r="AE81" s="20"/>
      <c r="AF81" s="25">
        <v>8</v>
      </c>
      <c r="AG81" s="19"/>
      <c r="AH81" s="93"/>
      <c r="AI81" s="93"/>
      <c r="AJ81" s="93"/>
      <c r="AK81" s="93"/>
      <c r="AL81" s="93"/>
      <c r="AM81" s="93"/>
      <c r="AN81" s="20"/>
      <c r="AO81" s="19"/>
      <c r="AP81" s="93"/>
      <c r="AQ81" s="93"/>
      <c r="AR81" s="93"/>
      <c r="AS81" s="20"/>
      <c r="AT81" s="19"/>
      <c r="AU81" s="93"/>
      <c r="AV81" s="20"/>
      <c r="AW81" s="19"/>
      <c r="AX81" s="93"/>
      <c r="AY81" s="93"/>
      <c r="AZ81" s="93"/>
      <c r="BA81" s="93"/>
      <c r="BB81" s="93"/>
      <c r="BC81" s="20"/>
      <c r="BD81" s="19"/>
      <c r="BE81" s="93"/>
      <c r="BF81" s="93"/>
      <c r="BG81" s="93"/>
      <c r="BH81" s="93"/>
      <c r="BI81" s="93"/>
      <c r="BJ81" s="93"/>
      <c r="BK81" s="20"/>
      <c r="BL81" s="19"/>
      <c r="BM81" s="93"/>
      <c r="BN81" s="93"/>
      <c r="BO81" s="93"/>
      <c r="BP81" s="93"/>
      <c r="BQ81" s="20"/>
      <c r="BR81" s="19"/>
      <c r="BS81" s="93"/>
      <c r="BT81" s="93"/>
      <c r="BU81" s="20"/>
      <c r="BV81" s="19"/>
      <c r="BW81" s="93"/>
      <c r="BX81" s="93"/>
      <c r="BY81" s="93"/>
      <c r="BZ81" s="93"/>
      <c r="CA81" s="93"/>
      <c r="CB81" s="20"/>
      <c r="CC81" s="25">
        <v>8</v>
      </c>
      <c r="CD81" s="19"/>
      <c r="CE81" s="93"/>
      <c r="CF81" s="20"/>
      <c r="CG81" s="25">
        <v>8</v>
      </c>
      <c r="CH81" s="19"/>
      <c r="CI81" s="93"/>
      <c r="CJ81" s="93"/>
      <c r="CK81" s="93"/>
      <c r="CL81" s="93"/>
      <c r="CM81" s="93"/>
      <c r="CN81" s="93"/>
      <c r="CO81" s="93"/>
      <c r="CP81" s="93"/>
      <c r="CQ81" s="93"/>
      <c r="CR81" s="214"/>
      <c r="CS81" s="20"/>
      <c r="CT81" s="25">
        <v>8</v>
      </c>
      <c r="CU81" s="19"/>
      <c r="CV81" s="93"/>
      <c r="CW81" s="93"/>
      <c r="CX81" s="93"/>
      <c r="CY81" s="93"/>
      <c r="CZ81" s="93"/>
      <c r="DA81" s="93"/>
      <c r="DB81" s="20"/>
      <c r="DC81" s="25">
        <v>8</v>
      </c>
      <c r="DD81" s="785">
        <v>37226</v>
      </c>
      <c r="DE81" s="19"/>
      <c r="DF81" s="20"/>
      <c r="DG81" s="25">
        <v>8</v>
      </c>
      <c r="DH81" s="19"/>
      <c r="DI81" s="20"/>
      <c r="DJ81" s="25">
        <v>8</v>
      </c>
      <c r="DK81" s="19"/>
      <c r="DL81" s="20"/>
      <c r="DM81" s="19"/>
      <c r="DN81" s="20"/>
      <c r="DO81" s="25">
        <v>8</v>
      </c>
      <c r="DP81" s="19"/>
      <c r="DQ81" s="93"/>
      <c r="DR81" s="20"/>
      <c r="DS81" s="25">
        <v>8</v>
      </c>
      <c r="DT81" s="19"/>
      <c r="DU81" s="93"/>
      <c r="DV81" s="20"/>
      <c r="DW81" s="25">
        <v>8</v>
      </c>
      <c r="DX81" s="19"/>
      <c r="DY81" s="20"/>
      <c r="DZ81" s="25">
        <v>8</v>
      </c>
      <c r="EA81" s="19"/>
      <c r="EB81" s="93"/>
      <c r="EC81" s="93"/>
      <c r="ED81" s="93"/>
      <c r="EE81" s="20"/>
      <c r="EF81" s="25">
        <v>8</v>
      </c>
      <c r="EG81" s="19"/>
      <c r="EH81" s="93"/>
      <c r="EI81" s="93"/>
      <c r="EJ81" s="93"/>
      <c r="EK81" s="20"/>
      <c r="EL81" s="25">
        <v>8</v>
      </c>
      <c r="EM81" s="19"/>
      <c r="EN81" s="93"/>
      <c r="EO81" s="93"/>
      <c r="EP81" s="93"/>
      <c r="EQ81" s="93"/>
      <c r="ER81" s="93"/>
      <c r="ES81" s="93"/>
      <c r="ET81" s="93"/>
      <c r="EU81" s="93"/>
      <c r="EV81" s="20"/>
      <c r="EW81" s="25">
        <v>8</v>
      </c>
      <c r="EX81" s="915"/>
      <c r="EY81" s="916"/>
      <c r="EZ81" s="916"/>
      <c r="FA81" s="916"/>
      <c r="FB81" s="916"/>
      <c r="FC81" s="916"/>
      <c r="FD81" s="916"/>
      <c r="FE81" s="916"/>
      <c r="FF81" s="916"/>
      <c r="FG81" s="917"/>
      <c r="FH81" s="25">
        <v>8</v>
      </c>
      <c r="FI81" s="848">
        <v>37226</v>
      </c>
      <c r="FJ81" s="19"/>
      <c r="FK81" s="93"/>
      <c r="FL81" s="20"/>
      <c r="FM81" s="25">
        <v>8</v>
      </c>
      <c r="FN81" s="19"/>
      <c r="FO81" s="93"/>
      <c r="FP81" s="93"/>
      <c r="FQ81" s="93"/>
      <c r="FR81" s="93"/>
      <c r="FS81" s="93"/>
      <c r="FT81" s="93"/>
      <c r="FU81" s="93"/>
      <c r="FV81" s="93"/>
      <c r="FW81" s="917"/>
      <c r="FX81" s="25">
        <v>8</v>
      </c>
      <c r="FY81" s="916"/>
      <c r="FZ81" s="916"/>
      <c r="GA81" s="916"/>
      <c r="GB81" s="916"/>
      <c r="GC81" s="916"/>
      <c r="GD81" s="916"/>
      <c r="GE81" s="916"/>
      <c r="GF81" s="916"/>
      <c r="GG81" s="916"/>
      <c r="GH81" s="916"/>
      <c r="GI81" s="917"/>
      <c r="GJ81" s="25">
        <v>8</v>
      </c>
      <c r="GK81" s="19"/>
      <c r="GL81" s="20"/>
      <c r="GM81" s="25">
        <v>8</v>
      </c>
      <c r="GN81" s="19"/>
      <c r="GO81" s="20"/>
      <c r="GP81" s="25">
        <v>8</v>
      </c>
      <c r="GQ81" s="19"/>
      <c r="GR81" s="20"/>
      <c r="GS81" s="25">
        <v>8</v>
      </c>
      <c r="GT81" s="848">
        <v>37226</v>
      </c>
      <c r="GU81" s="19"/>
      <c r="GV81" s="93"/>
      <c r="GW81" s="93"/>
      <c r="GX81" s="93"/>
      <c r="GY81" s="93"/>
      <c r="GZ81" s="93"/>
      <c r="HA81" s="93"/>
      <c r="HB81" s="93"/>
      <c r="HC81" s="93"/>
      <c r="HD81" s="93"/>
      <c r="HE81" s="93"/>
      <c r="HF81" s="93"/>
      <c r="HG81" s="93"/>
      <c r="HH81" s="93"/>
      <c r="HI81" s="93"/>
      <c r="HJ81" s="93"/>
      <c r="HK81" s="93"/>
      <c r="HL81" s="93"/>
      <c r="HM81" s="93"/>
      <c r="HN81" s="93"/>
      <c r="HO81" s="93"/>
      <c r="HP81" s="93"/>
      <c r="HQ81" s="93"/>
      <c r="HR81" s="93"/>
      <c r="HS81" s="93"/>
      <c r="HT81" s="93"/>
      <c r="HU81" s="93"/>
      <c r="HV81" s="93"/>
      <c r="HW81" s="93"/>
      <c r="HX81" s="93"/>
      <c r="HY81" s="93"/>
      <c r="HZ81" s="93"/>
      <c r="IA81" s="93"/>
      <c r="IB81" s="93"/>
      <c r="IC81" s="93"/>
      <c r="ID81" s="93"/>
      <c r="IE81" s="93"/>
      <c r="IF81" s="93"/>
      <c r="IG81" s="93"/>
      <c r="IH81" s="93"/>
      <c r="II81" s="93"/>
      <c r="IJ81" s="93"/>
      <c r="IK81" s="93"/>
      <c r="IL81" s="93"/>
      <c r="IM81" s="93"/>
      <c r="IN81" s="93"/>
      <c r="IO81" s="93"/>
      <c r="IP81" s="93"/>
      <c r="IQ81" s="93"/>
      <c r="IR81" s="93"/>
      <c r="IS81" s="93"/>
      <c r="IT81" s="93"/>
      <c r="IU81" s="93"/>
      <c r="IV81" s="93">
        <v>8</v>
      </c>
      <c r="IW81" s="848">
        <v>37226</v>
      </c>
      <c r="IX81" s="93"/>
      <c r="IY81" s="93"/>
      <c r="IZ81" s="93"/>
      <c r="JA81" s="93"/>
      <c r="JB81" s="93"/>
      <c r="JC81" s="93"/>
      <c r="JD81" s="93"/>
      <c r="JE81" s="93"/>
      <c r="JF81" s="93"/>
      <c r="JG81" s="93"/>
      <c r="JH81" s="93"/>
      <c r="JI81" s="93"/>
      <c r="JJ81" s="93"/>
      <c r="JK81" s="93"/>
      <c r="JL81" s="93"/>
      <c r="JM81" s="93"/>
      <c r="JN81" s="93"/>
      <c r="JO81" s="93"/>
      <c r="JP81" s="93"/>
      <c r="JQ81" s="93"/>
      <c r="JR81" s="93"/>
      <c r="JS81" s="93"/>
      <c r="JT81" s="20"/>
      <c r="JU81" s="29">
        <v>8</v>
      </c>
      <c r="JV81" s="19"/>
      <c r="JW81" s="93"/>
      <c r="JX81" s="93"/>
      <c r="JY81" s="93"/>
      <c r="JZ81" s="93"/>
      <c r="KA81" s="93"/>
      <c r="KB81" s="93"/>
      <c r="KC81" s="93"/>
      <c r="KD81" s="93"/>
      <c r="KE81" s="93"/>
      <c r="KF81" s="93"/>
      <c r="KG81" s="93"/>
      <c r="KH81" s="93"/>
      <c r="KI81" s="93"/>
      <c r="KJ81" s="93"/>
      <c r="KK81" s="93"/>
      <c r="KL81" s="93"/>
      <c r="KM81" s="93"/>
      <c r="KN81" s="93"/>
      <c r="KO81" s="93"/>
      <c r="KP81" s="93"/>
      <c r="KQ81" s="93"/>
      <c r="KR81" s="93"/>
      <c r="KS81" s="93"/>
      <c r="KT81" s="93"/>
      <c r="KU81" s="93"/>
      <c r="KV81" s="93"/>
      <c r="KW81" s="20"/>
      <c r="KX81" s="29">
        <v>8</v>
      </c>
      <c r="KY81" s="19"/>
      <c r="KZ81" s="93"/>
      <c r="LA81" s="93"/>
      <c r="LB81" s="93"/>
      <c r="LC81" s="93"/>
      <c r="LD81" s="93"/>
      <c r="LE81" s="93"/>
      <c r="LF81" s="93"/>
      <c r="LG81" s="93"/>
      <c r="LH81" s="93"/>
      <c r="LI81" s="93"/>
      <c r="LJ81" s="93"/>
      <c r="LK81" s="93"/>
      <c r="LL81" s="93"/>
      <c r="LM81" s="93"/>
      <c r="LN81" s="93"/>
      <c r="LO81" s="93"/>
      <c r="LP81" s="93"/>
      <c r="LQ81" s="93"/>
      <c r="LR81" s="93"/>
      <c r="LS81" s="93"/>
      <c r="LT81" s="93"/>
      <c r="LU81" s="93"/>
      <c r="LV81" s="93"/>
      <c r="LW81" s="93"/>
      <c r="LX81" s="93"/>
      <c r="LY81" s="93"/>
      <c r="LZ81" s="93"/>
      <c r="MA81" s="93"/>
      <c r="MB81" s="93"/>
      <c r="MC81" s="93"/>
      <c r="MD81" s="93"/>
      <c r="ME81" s="93"/>
      <c r="MF81" s="93"/>
      <c r="MG81" s="93"/>
      <c r="MH81" s="20"/>
      <c r="MI81" s="29">
        <v>8</v>
      </c>
      <c r="MJ81" s="29" t="str">
        <f t="shared" si="82"/>
        <v>Trimestre 42001</v>
      </c>
      <c r="MK81" s="848">
        <v>37226</v>
      </c>
      <c r="ML81" s="29"/>
      <c r="MM81" s="29"/>
      <c r="MN81" s="29"/>
      <c r="MO81" s="29"/>
      <c r="MP81" s="29"/>
      <c r="MQ81" s="29"/>
      <c r="MR81" s="29"/>
      <c r="MS81" s="29"/>
      <c r="MT81" s="29"/>
      <c r="MU81" s="29"/>
      <c r="MV81" s="29"/>
      <c r="MW81" s="29"/>
      <c r="MX81" s="29"/>
      <c r="MY81" s="29"/>
      <c r="MZ81" s="29"/>
      <c r="NA81" s="29"/>
      <c r="NB81" s="29"/>
      <c r="NC81" s="29"/>
      <c r="ND81" s="29"/>
      <c r="NE81" s="29"/>
      <c r="NF81" s="29"/>
      <c r="NG81" s="29"/>
      <c r="NH81" s="29"/>
      <c r="NI81" s="29"/>
      <c r="NJ81" s="29"/>
      <c r="NK81" s="29"/>
      <c r="NL81" s="29">
        <v>8</v>
      </c>
    </row>
    <row r="82" spans="1:376">
      <c r="A82" s="41">
        <f t="shared" si="80"/>
        <v>2002</v>
      </c>
      <c r="B82" s="785">
        <v>37316</v>
      </c>
      <c r="C82" s="19"/>
      <c r="D82" s="93"/>
      <c r="E82" s="93"/>
      <c r="F82" s="93"/>
      <c r="G82" s="93"/>
      <c r="H82" s="93"/>
      <c r="I82" s="93"/>
      <c r="J82" s="93"/>
      <c r="K82" s="93"/>
      <c r="L82" s="93"/>
      <c r="M82" s="20"/>
      <c r="N82" s="25">
        <v>9</v>
      </c>
      <c r="O82" s="889">
        <f t="shared" si="79"/>
        <v>2002</v>
      </c>
      <c r="P82" s="29" t="str">
        <f t="shared" si="81"/>
        <v>Trimestre 12002</v>
      </c>
      <c r="Q82" s="848">
        <v>37316</v>
      </c>
      <c r="R82" s="733"/>
      <c r="S82" s="570"/>
      <c r="T82" s="570"/>
      <c r="U82" s="734"/>
      <c r="V82" s="25">
        <v>9</v>
      </c>
      <c r="W82" s="19"/>
      <c r="X82" s="93"/>
      <c r="Y82" s="93"/>
      <c r="Z82" s="93"/>
      <c r="AA82" s="93"/>
      <c r="AB82" s="93"/>
      <c r="AC82" s="93"/>
      <c r="AD82" s="93"/>
      <c r="AE82" s="20"/>
      <c r="AF82" s="25">
        <v>9</v>
      </c>
      <c r="AG82" s="19"/>
      <c r="AH82" s="93"/>
      <c r="AI82" s="93"/>
      <c r="AJ82" s="93"/>
      <c r="AK82" s="93"/>
      <c r="AL82" s="93"/>
      <c r="AM82" s="93"/>
      <c r="AN82" s="20"/>
      <c r="AO82" s="19"/>
      <c r="AP82" s="93"/>
      <c r="AQ82" s="93"/>
      <c r="AR82" s="93"/>
      <c r="AS82" s="20"/>
      <c r="AT82" s="19"/>
      <c r="AU82" s="93"/>
      <c r="AV82" s="20"/>
      <c r="AW82" s="19"/>
      <c r="AX82" s="93"/>
      <c r="AY82" s="93"/>
      <c r="AZ82" s="93"/>
      <c r="BA82" s="93"/>
      <c r="BB82" s="93"/>
      <c r="BC82" s="20"/>
      <c r="BD82" s="19"/>
      <c r="BE82" s="93"/>
      <c r="BF82" s="93"/>
      <c r="BG82" s="93"/>
      <c r="BH82" s="93"/>
      <c r="BI82" s="93"/>
      <c r="BJ82" s="93"/>
      <c r="BK82" s="20"/>
      <c r="BL82" s="19"/>
      <c r="BM82" s="93"/>
      <c r="BN82" s="93"/>
      <c r="BO82" s="93"/>
      <c r="BP82" s="93"/>
      <c r="BQ82" s="20"/>
      <c r="BR82" s="19"/>
      <c r="BS82" s="93"/>
      <c r="BT82" s="93"/>
      <c r="BU82" s="20"/>
      <c r="BV82" s="19"/>
      <c r="BW82" s="93"/>
      <c r="BX82" s="93"/>
      <c r="BY82" s="93"/>
      <c r="BZ82" s="93"/>
      <c r="CA82" s="93"/>
      <c r="CB82" s="20"/>
      <c r="CC82" s="25">
        <v>9</v>
      </c>
      <c r="CD82" s="19"/>
      <c r="CE82" s="93"/>
      <c r="CF82" s="20"/>
      <c r="CG82" s="25">
        <v>9</v>
      </c>
      <c r="CH82" s="19"/>
      <c r="CI82" s="93"/>
      <c r="CJ82" s="93"/>
      <c r="CK82" s="93"/>
      <c r="CL82" s="93"/>
      <c r="CM82" s="93"/>
      <c r="CN82" s="93"/>
      <c r="CO82" s="93"/>
      <c r="CP82" s="93"/>
      <c r="CQ82" s="93"/>
      <c r="CR82" s="214"/>
      <c r="CS82" s="20"/>
      <c r="CT82" s="25">
        <v>9</v>
      </c>
      <c r="CU82" s="19"/>
      <c r="CV82" s="93"/>
      <c r="CW82" s="93"/>
      <c r="CX82" s="93"/>
      <c r="CY82" s="93"/>
      <c r="CZ82" s="93"/>
      <c r="DA82" s="93"/>
      <c r="DB82" s="20"/>
      <c r="DC82" s="25">
        <v>9</v>
      </c>
      <c r="DD82" s="785">
        <v>37316</v>
      </c>
      <c r="DE82" s="19"/>
      <c r="DF82" s="20"/>
      <c r="DG82" s="25">
        <v>9</v>
      </c>
      <c r="DH82" s="19"/>
      <c r="DI82" s="20"/>
      <c r="DJ82" s="25">
        <v>9</v>
      </c>
      <c r="DK82" s="19"/>
      <c r="DL82" s="20"/>
      <c r="DM82" s="19"/>
      <c r="DN82" s="20"/>
      <c r="DO82" s="25">
        <v>9</v>
      </c>
      <c r="DP82" s="19"/>
      <c r="DQ82" s="93"/>
      <c r="DR82" s="20"/>
      <c r="DS82" s="25">
        <v>9</v>
      </c>
      <c r="DT82" s="19"/>
      <c r="DU82" s="93"/>
      <c r="DV82" s="20"/>
      <c r="DW82" s="25">
        <v>9</v>
      </c>
      <c r="DX82" s="19"/>
      <c r="DY82" s="20"/>
      <c r="DZ82" s="25">
        <v>9</v>
      </c>
      <c r="EA82" s="19"/>
      <c r="EB82" s="93"/>
      <c r="EC82" s="93"/>
      <c r="ED82" s="93"/>
      <c r="EE82" s="20"/>
      <c r="EF82" s="25">
        <v>9</v>
      </c>
      <c r="EG82" s="19"/>
      <c r="EH82" s="93"/>
      <c r="EI82" s="93"/>
      <c r="EJ82" s="93"/>
      <c r="EK82" s="20"/>
      <c r="EL82" s="25">
        <v>9</v>
      </c>
      <c r="EM82" s="19"/>
      <c r="EN82" s="93"/>
      <c r="EO82" s="93"/>
      <c r="EP82" s="93"/>
      <c r="EQ82" s="93"/>
      <c r="ER82" s="93"/>
      <c r="ES82" s="93"/>
      <c r="ET82" s="93"/>
      <c r="EU82" s="93"/>
      <c r="EV82" s="20"/>
      <c r="EW82" s="25">
        <v>9</v>
      </c>
      <c r="EX82" s="915"/>
      <c r="EY82" s="916"/>
      <c r="EZ82" s="916"/>
      <c r="FA82" s="916"/>
      <c r="FB82" s="916"/>
      <c r="FC82" s="916"/>
      <c r="FD82" s="916"/>
      <c r="FE82" s="916"/>
      <c r="FF82" s="916"/>
      <c r="FG82" s="917"/>
      <c r="FH82" s="25">
        <v>9</v>
      </c>
      <c r="FI82" s="848">
        <v>37316</v>
      </c>
      <c r="FJ82" s="19"/>
      <c r="FK82" s="93"/>
      <c r="FL82" s="20"/>
      <c r="FM82" s="25">
        <v>9</v>
      </c>
      <c r="FN82" s="19"/>
      <c r="FO82" s="93"/>
      <c r="FP82" s="93"/>
      <c r="FQ82" s="93"/>
      <c r="FR82" s="93"/>
      <c r="FS82" s="93"/>
      <c r="FT82" s="93"/>
      <c r="FU82" s="93"/>
      <c r="FV82" s="93"/>
      <c r="FW82" s="917"/>
      <c r="FX82" s="25">
        <v>9</v>
      </c>
      <c r="FY82" s="916"/>
      <c r="FZ82" s="916"/>
      <c r="GA82" s="916"/>
      <c r="GB82" s="916"/>
      <c r="GC82" s="916"/>
      <c r="GD82" s="916"/>
      <c r="GE82" s="916"/>
      <c r="GF82" s="916"/>
      <c r="GG82" s="916"/>
      <c r="GH82" s="916"/>
      <c r="GI82" s="917"/>
      <c r="GJ82" s="25">
        <v>9</v>
      </c>
      <c r="GK82" s="19"/>
      <c r="GL82" s="20"/>
      <c r="GM82" s="25">
        <v>9</v>
      </c>
      <c r="GN82" s="19"/>
      <c r="GO82" s="20"/>
      <c r="GP82" s="25">
        <v>9</v>
      </c>
      <c r="GQ82" s="19"/>
      <c r="GR82" s="20"/>
      <c r="GS82" s="25">
        <v>9</v>
      </c>
      <c r="GT82" s="848">
        <v>37316</v>
      </c>
      <c r="GU82" s="19"/>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v>9</v>
      </c>
      <c r="IW82" s="848">
        <v>37316</v>
      </c>
      <c r="IX82" s="93"/>
      <c r="IY82" s="93"/>
      <c r="IZ82" s="93"/>
      <c r="JA82" s="93"/>
      <c r="JB82" s="93"/>
      <c r="JC82" s="93"/>
      <c r="JD82" s="93"/>
      <c r="JE82" s="93"/>
      <c r="JF82" s="93"/>
      <c r="JG82" s="93"/>
      <c r="JH82" s="93"/>
      <c r="JI82" s="93"/>
      <c r="JJ82" s="93"/>
      <c r="JK82" s="93"/>
      <c r="JL82" s="93"/>
      <c r="JM82" s="93"/>
      <c r="JN82" s="93"/>
      <c r="JO82" s="93"/>
      <c r="JP82" s="93"/>
      <c r="JQ82" s="93"/>
      <c r="JR82" s="93"/>
      <c r="JS82" s="93"/>
      <c r="JT82" s="20"/>
      <c r="JU82" s="29">
        <v>9</v>
      </c>
      <c r="JV82" s="19"/>
      <c r="JW82" s="93"/>
      <c r="JX82" s="93"/>
      <c r="JY82" s="93"/>
      <c r="JZ82" s="93"/>
      <c r="KA82" s="93"/>
      <c r="KB82" s="93"/>
      <c r="KC82" s="93"/>
      <c r="KD82" s="93"/>
      <c r="KE82" s="93"/>
      <c r="KF82" s="93"/>
      <c r="KG82" s="93"/>
      <c r="KH82" s="93"/>
      <c r="KI82" s="93"/>
      <c r="KJ82" s="93"/>
      <c r="KK82" s="93"/>
      <c r="KL82" s="93"/>
      <c r="KM82" s="93"/>
      <c r="KN82" s="93"/>
      <c r="KO82" s="93"/>
      <c r="KP82" s="93"/>
      <c r="KQ82" s="93"/>
      <c r="KR82" s="93"/>
      <c r="KS82" s="93"/>
      <c r="KT82" s="93"/>
      <c r="KU82" s="93"/>
      <c r="KV82" s="93"/>
      <c r="KW82" s="20"/>
      <c r="KX82" s="29">
        <v>9</v>
      </c>
      <c r="KY82" s="19"/>
      <c r="KZ82" s="93"/>
      <c r="LA82" s="93"/>
      <c r="LB82" s="93"/>
      <c r="LC82" s="93"/>
      <c r="LD82" s="93"/>
      <c r="LE82" s="93"/>
      <c r="LF82" s="93"/>
      <c r="LG82" s="93"/>
      <c r="LH82" s="93"/>
      <c r="LI82" s="93"/>
      <c r="LJ82" s="93"/>
      <c r="LK82" s="93"/>
      <c r="LL82" s="93"/>
      <c r="LM82" s="93"/>
      <c r="LN82" s="93"/>
      <c r="LO82" s="93"/>
      <c r="LP82" s="93"/>
      <c r="LQ82" s="93"/>
      <c r="LR82" s="93"/>
      <c r="LS82" s="93"/>
      <c r="LT82" s="93"/>
      <c r="LU82" s="93"/>
      <c r="LV82" s="93"/>
      <c r="LW82" s="93"/>
      <c r="LX82" s="93"/>
      <c r="LY82" s="93"/>
      <c r="LZ82" s="93"/>
      <c r="MA82" s="93"/>
      <c r="MB82" s="93"/>
      <c r="MC82" s="93"/>
      <c r="MD82" s="93"/>
      <c r="ME82" s="93"/>
      <c r="MF82" s="93"/>
      <c r="MG82" s="93"/>
      <c r="MH82" s="20"/>
      <c r="MI82" s="29">
        <v>9</v>
      </c>
      <c r="MJ82" s="29" t="str">
        <f t="shared" si="82"/>
        <v>Trimestre 12002</v>
      </c>
      <c r="MK82" s="848">
        <v>37316</v>
      </c>
      <c r="ML82" s="29"/>
      <c r="MM82" s="29"/>
      <c r="MN82" s="29"/>
      <c r="MO82" s="29"/>
      <c r="MP82" s="29"/>
      <c r="MQ82" s="29"/>
      <c r="MR82" s="29"/>
      <c r="MS82" s="29"/>
      <c r="MT82" s="29"/>
      <c r="MU82" s="29"/>
      <c r="MV82" s="29"/>
      <c r="MW82" s="29"/>
      <c r="MX82" s="29"/>
      <c r="MY82" s="29"/>
      <c r="MZ82" s="29"/>
      <c r="NA82" s="29"/>
      <c r="NB82" s="29"/>
      <c r="NC82" s="29"/>
      <c r="ND82" s="29"/>
      <c r="NE82" s="29"/>
      <c r="NF82" s="29"/>
      <c r="NG82" s="29"/>
      <c r="NH82" s="29"/>
      <c r="NI82" s="29"/>
      <c r="NJ82" s="29"/>
      <c r="NK82" s="29"/>
      <c r="NL82" s="29">
        <v>9</v>
      </c>
    </row>
    <row r="83" spans="1:376">
      <c r="A83" s="41">
        <f t="shared" si="80"/>
        <v>2002</v>
      </c>
      <c r="B83" s="785">
        <v>37408</v>
      </c>
      <c r="C83" s="19"/>
      <c r="D83" s="93"/>
      <c r="E83" s="93"/>
      <c r="F83" s="93"/>
      <c r="G83" s="93"/>
      <c r="H83" s="93"/>
      <c r="I83" s="93"/>
      <c r="J83" s="93"/>
      <c r="K83" s="93"/>
      <c r="L83" s="93"/>
      <c r="M83" s="20"/>
      <c r="N83" s="25">
        <v>10</v>
      </c>
      <c r="O83" s="889">
        <f t="shared" si="79"/>
        <v>2002</v>
      </c>
      <c r="P83" s="29" t="str">
        <f t="shared" si="81"/>
        <v>Trimestre 22002</v>
      </c>
      <c r="Q83" s="848">
        <v>37408</v>
      </c>
      <c r="R83" s="733"/>
      <c r="S83" s="570"/>
      <c r="T83" s="570"/>
      <c r="U83" s="734"/>
      <c r="V83" s="25">
        <v>10</v>
      </c>
      <c r="W83" s="19"/>
      <c r="X83" s="93"/>
      <c r="Y83" s="93"/>
      <c r="Z83" s="93"/>
      <c r="AA83" s="93"/>
      <c r="AB83" s="93"/>
      <c r="AC83" s="93"/>
      <c r="AD83" s="93"/>
      <c r="AE83" s="20"/>
      <c r="AF83" s="25">
        <v>10</v>
      </c>
      <c r="AG83" s="19"/>
      <c r="AH83" s="93"/>
      <c r="AI83" s="93"/>
      <c r="AJ83" s="93"/>
      <c r="AK83" s="93"/>
      <c r="AL83" s="93"/>
      <c r="AM83" s="93"/>
      <c r="AN83" s="20"/>
      <c r="AO83" s="19"/>
      <c r="AP83" s="93"/>
      <c r="AQ83" s="93"/>
      <c r="AR83" s="93"/>
      <c r="AS83" s="20"/>
      <c r="AT83" s="19"/>
      <c r="AU83" s="93"/>
      <c r="AV83" s="20"/>
      <c r="AW83" s="19"/>
      <c r="AX83" s="93"/>
      <c r="AY83" s="93"/>
      <c r="AZ83" s="93"/>
      <c r="BA83" s="93"/>
      <c r="BB83" s="93"/>
      <c r="BC83" s="20"/>
      <c r="BD83" s="19"/>
      <c r="BE83" s="93"/>
      <c r="BF83" s="93"/>
      <c r="BG83" s="93"/>
      <c r="BH83" s="93"/>
      <c r="BI83" s="93"/>
      <c r="BJ83" s="93"/>
      <c r="BK83" s="20"/>
      <c r="BL83" s="19"/>
      <c r="BM83" s="93"/>
      <c r="BN83" s="93"/>
      <c r="BO83" s="93"/>
      <c r="BP83" s="93"/>
      <c r="BQ83" s="20"/>
      <c r="BR83" s="19"/>
      <c r="BS83" s="93"/>
      <c r="BT83" s="93"/>
      <c r="BU83" s="20"/>
      <c r="BV83" s="19"/>
      <c r="BW83" s="93"/>
      <c r="BX83" s="93"/>
      <c r="BY83" s="93"/>
      <c r="BZ83" s="93"/>
      <c r="CA83" s="93"/>
      <c r="CB83" s="20"/>
      <c r="CC83" s="25">
        <v>10</v>
      </c>
      <c r="CD83" s="19"/>
      <c r="CE83" s="93"/>
      <c r="CF83" s="20"/>
      <c r="CG83" s="25">
        <v>10</v>
      </c>
      <c r="CH83" s="19"/>
      <c r="CI83" s="93"/>
      <c r="CJ83" s="93"/>
      <c r="CK83" s="93"/>
      <c r="CL83" s="93"/>
      <c r="CM83" s="93"/>
      <c r="CN83" s="93"/>
      <c r="CO83" s="93"/>
      <c r="CP83" s="93"/>
      <c r="CQ83" s="93"/>
      <c r="CR83" s="214"/>
      <c r="CS83" s="20"/>
      <c r="CT83" s="25">
        <v>10</v>
      </c>
      <c r="CU83" s="19"/>
      <c r="CV83" s="93"/>
      <c r="CW83" s="93"/>
      <c r="CX83" s="93"/>
      <c r="CY83" s="93"/>
      <c r="CZ83" s="93"/>
      <c r="DA83" s="93"/>
      <c r="DB83" s="20"/>
      <c r="DC83" s="25">
        <v>10</v>
      </c>
      <c r="DD83" s="785">
        <v>37408</v>
      </c>
      <c r="DE83" s="19"/>
      <c r="DF83" s="20"/>
      <c r="DG83" s="25">
        <v>10</v>
      </c>
      <c r="DH83" s="19"/>
      <c r="DI83" s="20"/>
      <c r="DJ83" s="25">
        <v>10</v>
      </c>
      <c r="DK83" s="19"/>
      <c r="DL83" s="20"/>
      <c r="DM83" s="19"/>
      <c r="DN83" s="20"/>
      <c r="DO83" s="25">
        <v>10</v>
      </c>
      <c r="DP83" s="19"/>
      <c r="DQ83" s="93"/>
      <c r="DR83" s="20"/>
      <c r="DS83" s="25">
        <v>10</v>
      </c>
      <c r="DT83" s="19"/>
      <c r="DU83" s="93"/>
      <c r="DV83" s="20"/>
      <c r="DW83" s="25">
        <v>10</v>
      </c>
      <c r="DX83" s="19"/>
      <c r="DY83" s="20"/>
      <c r="DZ83" s="25">
        <v>10</v>
      </c>
      <c r="EA83" s="19"/>
      <c r="EB83" s="93"/>
      <c r="EC83" s="93"/>
      <c r="ED83" s="93"/>
      <c r="EE83" s="20"/>
      <c r="EF83" s="25">
        <v>10</v>
      </c>
      <c r="EG83" s="19"/>
      <c r="EH83" s="93"/>
      <c r="EI83" s="93"/>
      <c r="EJ83" s="93"/>
      <c r="EK83" s="20"/>
      <c r="EL83" s="25">
        <v>10</v>
      </c>
      <c r="EM83" s="19"/>
      <c r="EN83" s="93"/>
      <c r="EO83" s="93"/>
      <c r="EP83" s="93"/>
      <c r="EQ83" s="93"/>
      <c r="ER83" s="93"/>
      <c r="ES83" s="93"/>
      <c r="ET83" s="93"/>
      <c r="EU83" s="93"/>
      <c r="EV83" s="20"/>
      <c r="EW83" s="25">
        <v>10</v>
      </c>
      <c r="EX83" s="915"/>
      <c r="EY83" s="916"/>
      <c r="EZ83" s="916"/>
      <c r="FA83" s="916"/>
      <c r="FB83" s="916"/>
      <c r="FC83" s="916"/>
      <c r="FD83" s="916"/>
      <c r="FE83" s="916"/>
      <c r="FF83" s="916"/>
      <c r="FG83" s="917"/>
      <c r="FH83" s="25">
        <v>10</v>
      </c>
      <c r="FI83" s="848">
        <v>37408</v>
      </c>
      <c r="FJ83" s="19"/>
      <c r="FK83" s="93"/>
      <c r="FL83" s="20"/>
      <c r="FM83" s="25">
        <v>10</v>
      </c>
      <c r="FN83" s="19"/>
      <c r="FO83" s="93"/>
      <c r="FP83" s="93"/>
      <c r="FQ83" s="93"/>
      <c r="FR83" s="93"/>
      <c r="FS83" s="93"/>
      <c r="FT83" s="93"/>
      <c r="FU83" s="93"/>
      <c r="FV83" s="93"/>
      <c r="FW83" s="917"/>
      <c r="FX83" s="25">
        <v>10</v>
      </c>
      <c r="FY83" s="916"/>
      <c r="FZ83" s="916"/>
      <c r="GA83" s="916"/>
      <c r="GB83" s="916"/>
      <c r="GC83" s="916"/>
      <c r="GD83" s="916"/>
      <c r="GE83" s="916"/>
      <c r="GF83" s="916"/>
      <c r="GG83" s="916"/>
      <c r="GH83" s="916"/>
      <c r="GI83" s="917"/>
      <c r="GJ83" s="25">
        <v>10</v>
      </c>
      <c r="GK83" s="19"/>
      <c r="GL83" s="20"/>
      <c r="GM83" s="25">
        <v>10</v>
      </c>
      <c r="GN83" s="19"/>
      <c r="GO83" s="20"/>
      <c r="GP83" s="25">
        <v>10</v>
      </c>
      <c r="GQ83" s="19"/>
      <c r="GR83" s="20"/>
      <c r="GS83" s="25">
        <v>10</v>
      </c>
      <c r="GT83" s="848">
        <v>37408</v>
      </c>
      <c r="GU83" s="19"/>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v>10</v>
      </c>
      <c r="IW83" s="848">
        <v>37408</v>
      </c>
      <c r="IX83" s="93"/>
      <c r="IY83" s="93"/>
      <c r="IZ83" s="93"/>
      <c r="JA83" s="93"/>
      <c r="JB83" s="93"/>
      <c r="JC83" s="93"/>
      <c r="JD83" s="93"/>
      <c r="JE83" s="93"/>
      <c r="JF83" s="93"/>
      <c r="JG83" s="93"/>
      <c r="JH83" s="93"/>
      <c r="JI83" s="93"/>
      <c r="JJ83" s="93"/>
      <c r="JK83" s="93"/>
      <c r="JL83" s="93"/>
      <c r="JM83" s="93"/>
      <c r="JN83" s="93"/>
      <c r="JO83" s="93"/>
      <c r="JP83" s="93"/>
      <c r="JQ83" s="93"/>
      <c r="JR83" s="93"/>
      <c r="JS83" s="93"/>
      <c r="JT83" s="20"/>
      <c r="JU83" s="29">
        <v>10</v>
      </c>
      <c r="JV83" s="19"/>
      <c r="JW83" s="93"/>
      <c r="JX83" s="93"/>
      <c r="JY83" s="93"/>
      <c r="JZ83" s="93"/>
      <c r="KA83" s="93"/>
      <c r="KB83" s="93"/>
      <c r="KC83" s="93"/>
      <c r="KD83" s="93"/>
      <c r="KE83" s="93"/>
      <c r="KF83" s="93"/>
      <c r="KG83" s="93"/>
      <c r="KH83" s="93"/>
      <c r="KI83" s="93"/>
      <c r="KJ83" s="93"/>
      <c r="KK83" s="93"/>
      <c r="KL83" s="93"/>
      <c r="KM83" s="93"/>
      <c r="KN83" s="93"/>
      <c r="KO83" s="93"/>
      <c r="KP83" s="93"/>
      <c r="KQ83" s="93"/>
      <c r="KR83" s="93"/>
      <c r="KS83" s="93"/>
      <c r="KT83" s="93"/>
      <c r="KU83" s="93"/>
      <c r="KV83" s="93"/>
      <c r="KW83" s="20"/>
      <c r="KX83" s="29">
        <v>10</v>
      </c>
      <c r="KY83" s="19"/>
      <c r="KZ83" s="93"/>
      <c r="LA83" s="93"/>
      <c r="LB83" s="93"/>
      <c r="LC83" s="93"/>
      <c r="LD83" s="93"/>
      <c r="LE83" s="93"/>
      <c r="LF83" s="93"/>
      <c r="LG83" s="93"/>
      <c r="LH83" s="93"/>
      <c r="LI83" s="93"/>
      <c r="LJ83" s="93"/>
      <c r="LK83" s="93"/>
      <c r="LL83" s="93"/>
      <c r="LM83" s="93"/>
      <c r="LN83" s="93"/>
      <c r="LO83" s="93"/>
      <c r="LP83" s="93"/>
      <c r="LQ83" s="93"/>
      <c r="LR83" s="93"/>
      <c r="LS83" s="93"/>
      <c r="LT83" s="93"/>
      <c r="LU83" s="93"/>
      <c r="LV83" s="93"/>
      <c r="LW83" s="93"/>
      <c r="LX83" s="93"/>
      <c r="LY83" s="93"/>
      <c r="LZ83" s="93"/>
      <c r="MA83" s="93"/>
      <c r="MB83" s="93"/>
      <c r="MC83" s="93"/>
      <c r="MD83" s="93"/>
      <c r="ME83" s="93"/>
      <c r="MF83" s="93"/>
      <c r="MG83" s="93"/>
      <c r="MH83" s="20"/>
      <c r="MI83" s="29">
        <v>10</v>
      </c>
      <c r="MJ83" s="29" t="str">
        <f t="shared" si="82"/>
        <v>Trimestre 22002</v>
      </c>
      <c r="MK83" s="848">
        <v>37408</v>
      </c>
      <c r="ML83" s="29"/>
      <c r="MM83" s="29"/>
      <c r="MN83" s="29"/>
      <c r="MO83" s="29"/>
      <c r="MP83" s="29"/>
      <c r="MQ83" s="29"/>
      <c r="MR83" s="29"/>
      <c r="MS83" s="29"/>
      <c r="MT83" s="29"/>
      <c r="MU83" s="29"/>
      <c r="MV83" s="29"/>
      <c r="MW83" s="29"/>
      <c r="MX83" s="29"/>
      <c r="MY83" s="29"/>
      <c r="MZ83" s="29"/>
      <c r="NA83" s="29"/>
      <c r="NB83" s="29"/>
      <c r="NC83" s="29"/>
      <c r="ND83" s="29"/>
      <c r="NE83" s="29"/>
      <c r="NF83" s="29"/>
      <c r="NG83" s="29"/>
      <c r="NH83" s="29"/>
      <c r="NI83" s="29"/>
      <c r="NJ83" s="29"/>
      <c r="NK83" s="29"/>
      <c r="NL83" s="29">
        <v>10</v>
      </c>
    </row>
    <row r="84" spans="1:376">
      <c r="A84" s="41">
        <f t="shared" si="80"/>
        <v>2002</v>
      </c>
      <c r="B84" s="785">
        <v>37500</v>
      </c>
      <c r="C84" s="19"/>
      <c r="D84" s="93"/>
      <c r="E84" s="93"/>
      <c r="F84" s="93"/>
      <c r="G84" s="93"/>
      <c r="H84" s="93"/>
      <c r="I84" s="93"/>
      <c r="J84" s="93"/>
      <c r="K84" s="93"/>
      <c r="L84" s="93"/>
      <c r="M84" s="20"/>
      <c r="N84" s="25">
        <v>11</v>
      </c>
      <c r="O84" s="889">
        <f t="shared" si="79"/>
        <v>2002</v>
      </c>
      <c r="P84" s="29" t="str">
        <f t="shared" si="81"/>
        <v>Trimestre 32002</v>
      </c>
      <c r="Q84" s="848">
        <v>37500</v>
      </c>
      <c r="R84" s="733"/>
      <c r="S84" s="570"/>
      <c r="T84" s="570"/>
      <c r="U84" s="734"/>
      <c r="V84" s="25">
        <v>11</v>
      </c>
      <c r="W84" s="19"/>
      <c r="X84" s="93"/>
      <c r="Y84" s="93"/>
      <c r="Z84" s="93"/>
      <c r="AA84" s="93"/>
      <c r="AB84" s="93"/>
      <c r="AC84" s="93"/>
      <c r="AD84" s="93"/>
      <c r="AE84" s="20"/>
      <c r="AF84" s="25">
        <v>11</v>
      </c>
      <c r="AG84" s="19"/>
      <c r="AH84" s="93"/>
      <c r="AI84" s="93"/>
      <c r="AJ84" s="93"/>
      <c r="AK84" s="93"/>
      <c r="AL84" s="93"/>
      <c r="AM84" s="93"/>
      <c r="AN84" s="20"/>
      <c r="AO84" s="19"/>
      <c r="AP84" s="93"/>
      <c r="AQ84" s="93"/>
      <c r="AR84" s="93"/>
      <c r="AS84" s="20"/>
      <c r="AT84" s="19"/>
      <c r="AU84" s="93"/>
      <c r="AV84" s="20"/>
      <c r="AW84" s="19"/>
      <c r="AX84" s="93"/>
      <c r="AY84" s="93"/>
      <c r="AZ84" s="93"/>
      <c r="BA84" s="93"/>
      <c r="BB84" s="93"/>
      <c r="BC84" s="20"/>
      <c r="BD84" s="19"/>
      <c r="BE84" s="93"/>
      <c r="BF84" s="93"/>
      <c r="BG84" s="93"/>
      <c r="BH84" s="93"/>
      <c r="BI84" s="93"/>
      <c r="BJ84" s="93"/>
      <c r="BK84" s="20"/>
      <c r="BL84" s="19"/>
      <c r="BM84" s="93"/>
      <c r="BN84" s="93"/>
      <c r="BO84" s="93"/>
      <c r="BP84" s="93"/>
      <c r="BQ84" s="20"/>
      <c r="BR84" s="19"/>
      <c r="BS84" s="93"/>
      <c r="BT84" s="93"/>
      <c r="BU84" s="20"/>
      <c r="BV84" s="19"/>
      <c r="BW84" s="93"/>
      <c r="BX84" s="93"/>
      <c r="BY84" s="93"/>
      <c r="BZ84" s="93"/>
      <c r="CA84" s="93"/>
      <c r="CB84" s="20"/>
      <c r="CC84" s="25">
        <v>11</v>
      </c>
      <c r="CD84" s="19"/>
      <c r="CE84" s="93"/>
      <c r="CF84" s="20"/>
      <c r="CG84" s="25">
        <v>11</v>
      </c>
      <c r="CH84" s="19"/>
      <c r="CI84" s="93"/>
      <c r="CJ84" s="93"/>
      <c r="CK84" s="93"/>
      <c r="CL84" s="93"/>
      <c r="CM84" s="93"/>
      <c r="CN84" s="93"/>
      <c r="CO84" s="93"/>
      <c r="CP84" s="93"/>
      <c r="CQ84" s="93"/>
      <c r="CR84" s="214"/>
      <c r="CS84" s="20"/>
      <c r="CT84" s="25">
        <v>11</v>
      </c>
      <c r="CU84" s="19"/>
      <c r="CV84" s="93"/>
      <c r="CW84" s="93"/>
      <c r="CX84" s="93"/>
      <c r="CY84" s="93"/>
      <c r="CZ84" s="93"/>
      <c r="DA84" s="93"/>
      <c r="DB84" s="20"/>
      <c r="DC84" s="25">
        <v>11</v>
      </c>
      <c r="DD84" s="785">
        <v>37500</v>
      </c>
      <c r="DE84" s="19"/>
      <c r="DF84" s="20"/>
      <c r="DG84" s="25">
        <v>11</v>
      </c>
      <c r="DH84" s="19"/>
      <c r="DI84" s="20"/>
      <c r="DJ84" s="25">
        <v>11</v>
      </c>
      <c r="DK84" s="19"/>
      <c r="DL84" s="20"/>
      <c r="DM84" s="19"/>
      <c r="DN84" s="20"/>
      <c r="DO84" s="25">
        <v>11</v>
      </c>
      <c r="DP84" s="19"/>
      <c r="DQ84" s="93"/>
      <c r="DR84" s="20"/>
      <c r="DS84" s="25">
        <v>11</v>
      </c>
      <c r="DT84" s="19"/>
      <c r="DU84" s="93"/>
      <c r="DV84" s="20"/>
      <c r="DW84" s="25">
        <v>11</v>
      </c>
      <c r="DX84" s="19"/>
      <c r="DY84" s="20"/>
      <c r="DZ84" s="25">
        <v>11</v>
      </c>
      <c r="EA84" s="19"/>
      <c r="EB84" s="93"/>
      <c r="EC84" s="93"/>
      <c r="ED84" s="93"/>
      <c r="EE84" s="20"/>
      <c r="EF84" s="25">
        <v>11</v>
      </c>
      <c r="EG84" s="19"/>
      <c r="EH84" s="93"/>
      <c r="EI84" s="93"/>
      <c r="EJ84" s="93"/>
      <c r="EK84" s="20"/>
      <c r="EL84" s="25">
        <v>11</v>
      </c>
      <c r="EM84" s="19"/>
      <c r="EN84" s="93"/>
      <c r="EO84" s="93"/>
      <c r="EP84" s="93"/>
      <c r="EQ84" s="93"/>
      <c r="ER84" s="93"/>
      <c r="ES84" s="93"/>
      <c r="ET84" s="93"/>
      <c r="EU84" s="93"/>
      <c r="EV84" s="20"/>
      <c r="EW84" s="25">
        <v>11</v>
      </c>
      <c r="EX84" s="915"/>
      <c r="EY84" s="916"/>
      <c r="EZ84" s="916"/>
      <c r="FA84" s="916"/>
      <c r="FB84" s="916"/>
      <c r="FC84" s="916"/>
      <c r="FD84" s="916"/>
      <c r="FE84" s="916"/>
      <c r="FF84" s="916"/>
      <c r="FG84" s="917"/>
      <c r="FH84" s="25">
        <v>11</v>
      </c>
      <c r="FI84" s="848">
        <v>37500</v>
      </c>
      <c r="FJ84" s="19"/>
      <c r="FK84" s="93"/>
      <c r="FL84" s="20"/>
      <c r="FM84" s="25">
        <v>11</v>
      </c>
      <c r="FN84" s="19"/>
      <c r="FO84" s="93"/>
      <c r="FP84" s="93"/>
      <c r="FQ84" s="93"/>
      <c r="FR84" s="93"/>
      <c r="FS84" s="93"/>
      <c r="FT84" s="93"/>
      <c r="FU84" s="93"/>
      <c r="FV84" s="93"/>
      <c r="FW84" s="917"/>
      <c r="FX84" s="25">
        <v>11</v>
      </c>
      <c r="FY84" s="916"/>
      <c r="FZ84" s="916"/>
      <c r="GA84" s="916"/>
      <c r="GB84" s="916"/>
      <c r="GC84" s="916"/>
      <c r="GD84" s="916"/>
      <c r="GE84" s="916"/>
      <c r="GF84" s="916"/>
      <c r="GG84" s="916"/>
      <c r="GH84" s="916"/>
      <c r="GI84" s="917"/>
      <c r="GJ84" s="25">
        <v>11</v>
      </c>
      <c r="GK84" s="19"/>
      <c r="GL84" s="20"/>
      <c r="GM84" s="25">
        <v>11</v>
      </c>
      <c r="GN84" s="19"/>
      <c r="GO84" s="20"/>
      <c r="GP84" s="25">
        <v>11</v>
      </c>
      <c r="GQ84" s="19"/>
      <c r="GR84" s="20"/>
      <c r="GS84" s="25">
        <v>11</v>
      </c>
      <c r="GT84" s="848">
        <v>37500</v>
      </c>
      <c r="GU84" s="19"/>
      <c r="GV84" s="93"/>
      <c r="GW84" s="93"/>
      <c r="GX84" s="93"/>
      <c r="GY84" s="93"/>
      <c r="GZ84" s="93"/>
      <c r="HA84" s="93"/>
      <c r="HB84" s="93"/>
      <c r="HC84" s="93"/>
      <c r="HD84" s="93"/>
      <c r="HE84" s="93"/>
      <c r="HF84" s="93"/>
      <c r="HG84" s="93"/>
      <c r="HH84" s="93"/>
      <c r="HI84" s="93"/>
      <c r="HJ84" s="93"/>
      <c r="HK84" s="93"/>
      <c r="HL84" s="93"/>
      <c r="HM84" s="93"/>
      <c r="HN84" s="93"/>
      <c r="HO84" s="93"/>
      <c r="HP84" s="93"/>
      <c r="HQ84" s="93"/>
      <c r="HR84" s="93"/>
      <c r="HS84" s="93"/>
      <c r="HT84" s="93"/>
      <c r="HU84" s="93"/>
      <c r="HV84" s="93"/>
      <c r="HW84" s="93"/>
      <c r="HX84" s="93"/>
      <c r="HY84" s="93"/>
      <c r="HZ84" s="93"/>
      <c r="IA84" s="93"/>
      <c r="IB84" s="93"/>
      <c r="IC84" s="93"/>
      <c r="ID84" s="93"/>
      <c r="IE84" s="93"/>
      <c r="IF84" s="93"/>
      <c r="IG84" s="93"/>
      <c r="IH84" s="93"/>
      <c r="II84" s="93"/>
      <c r="IJ84" s="93"/>
      <c r="IK84" s="93"/>
      <c r="IL84" s="93"/>
      <c r="IM84" s="93"/>
      <c r="IN84" s="93"/>
      <c r="IO84" s="93"/>
      <c r="IP84" s="93"/>
      <c r="IQ84" s="93"/>
      <c r="IR84" s="93"/>
      <c r="IS84" s="93"/>
      <c r="IT84" s="93"/>
      <c r="IU84" s="93"/>
      <c r="IV84" s="93">
        <v>11</v>
      </c>
      <c r="IW84" s="848">
        <v>37500</v>
      </c>
      <c r="IX84" s="93"/>
      <c r="IY84" s="93"/>
      <c r="IZ84" s="93"/>
      <c r="JA84" s="93"/>
      <c r="JB84" s="93"/>
      <c r="JC84" s="93"/>
      <c r="JD84" s="93"/>
      <c r="JE84" s="93"/>
      <c r="JF84" s="93"/>
      <c r="JG84" s="93"/>
      <c r="JH84" s="93"/>
      <c r="JI84" s="93"/>
      <c r="JJ84" s="93"/>
      <c r="JK84" s="93"/>
      <c r="JL84" s="93"/>
      <c r="JM84" s="93"/>
      <c r="JN84" s="93"/>
      <c r="JO84" s="93"/>
      <c r="JP84" s="93"/>
      <c r="JQ84" s="93"/>
      <c r="JR84" s="93"/>
      <c r="JS84" s="93"/>
      <c r="JT84" s="20"/>
      <c r="JU84" s="29">
        <v>11</v>
      </c>
      <c r="JV84" s="19"/>
      <c r="JW84" s="93"/>
      <c r="JX84" s="93"/>
      <c r="JY84" s="93"/>
      <c r="JZ84" s="93"/>
      <c r="KA84" s="93"/>
      <c r="KB84" s="93"/>
      <c r="KC84" s="93"/>
      <c r="KD84" s="93"/>
      <c r="KE84" s="93"/>
      <c r="KF84" s="93"/>
      <c r="KG84" s="93"/>
      <c r="KH84" s="93"/>
      <c r="KI84" s="93"/>
      <c r="KJ84" s="93"/>
      <c r="KK84" s="93"/>
      <c r="KL84" s="93"/>
      <c r="KM84" s="93"/>
      <c r="KN84" s="93"/>
      <c r="KO84" s="93"/>
      <c r="KP84" s="93"/>
      <c r="KQ84" s="93"/>
      <c r="KR84" s="93"/>
      <c r="KS84" s="93"/>
      <c r="KT84" s="93"/>
      <c r="KU84" s="93"/>
      <c r="KV84" s="93"/>
      <c r="KW84" s="20"/>
      <c r="KX84" s="29">
        <v>11</v>
      </c>
      <c r="KY84" s="19"/>
      <c r="KZ84" s="93"/>
      <c r="LA84" s="93"/>
      <c r="LB84" s="93"/>
      <c r="LC84" s="93"/>
      <c r="LD84" s="93"/>
      <c r="LE84" s="93"/>
      <c r="LF84" s="93"/>
      <c r="LG84" s="93"/>
      <c r="LH84" s="93"/>
      <c r="LI84" s="93"/>
      <c r="LJ84" s="93"/>
      <c r="LK84" s="93"/>
      <c r="LL84" s="93"/>
      <c r="LM84" s="93"/>
      <c r="LN84" s="93"/>
      <c r="LO84" s="93"/>
      <c r="LP84" s="93"/>
      <c r="LQ84" s="93"/>
      <c r="LR84" s="93"/>
      <c r="LS84" s="93"/>
      <c r="LT84" s="93"/>
      <c r="LU84" s="93"/>
      <c r="LV84" s="93"/>
      <c r="LW84" s="93"/>
      <c r="LX84" s="93"/>
      <c r="LY84" s="93"/>
      <c r="LZ84" s="93"/>
      <c r="MA84" s="93"/>
      <c r="MB84" s="93"/>
      <c r="MC84" s="93"/>
      <c r="MD84" s="93"/>
      <c r="ME84" s="93"/>
      <c r="MF84" s="93"/>
      <c r="MG84" s="93"/>
      <c r="MH84" s="20"/>
      <c r="MI84" s="29">
        <v>11</v>
      </c>
      <c r="MJ84" s="29" t="str">
        <f t="shared" si="82"/>
        <v>Trimestre 32002</v>
      </c>
      <c r="MK84" s="848">
        <v>37500</v>
      </c>
      <c r="ML84" s="29"/>
      <c r="MM84" s="29"/>
      <c r="MN84" s="29"/>
      <c r="MO84" s="29"/>
      <c r="MP84" s="29"/>
      <c r="MQ84" s="29"/>
      <c r="MR84" s="29"/>
      <c r="MS84" s="29"/>
      <c r="MT84" s="29"/>
      <c r="MU84" s="29"/>
      <c r="MV84" s="29"/>
      <c r="MW84" s="29"/>
      <c r="MX84" s="29"/>
      <c r="MY84" s="29"/>
      <c r="MZ84" s="29"/>
      <c r="NA84" s="29"/>
      <c r="NB84" s="29"/>
      <c r="NC84" s="29"/>
      <c r="ND84" s="29"/>
      <c r="NE84" s="29"/>
      <c r="NF84" s="29"/>
      <c r="NG84" s="29"/>
      <c r="NH84" s="29"/>
      <c r="NI84" s="29"/>
      <c r="NJ84" s="29"/>
      <c r="NK84" s="29"/>
      <c r="NL84" s="29">
        <v>11</v>
      </c>
    </row>
    <row r="85" spans="1:376">
      <c r="A85" s="41">
        <f t="shared" si="80"/>
        <v>2002</v>
      </c>
      <c r="B85" s="785">
        <v>37591</v>
      </c>
      <c r="C85" s="19"/>
      <c r="D85" s="93"/>
      <c r="E85" s="93"/>
      <c r="F85" s="93"/>
      <c r="G85" s="93"/>
      <c r="H85" s="93"/>
      <c r="I85" s="93"/>
      <c r="J85" s="93"/>
      <c r="K85" s="93"/>
      <c r="L85" s="93"/>
      <c r="M85" s="20"/>
      <c r="N85" s="25">
        <v>12</v>
      </c>
      <c r="O85" s="889">
        <f t="shared" si="79"/>
        <v>2002</v>
      </c>
      <c r="P85" s="29" t="str">
        <f t="shared" si="81"/>
        <v>Trimestre 42002</v>
      </c>
      <c r="Q85" s="848">
        <v>37591</v>
      </c>
      <c r="R85" s="733"/>
      <c r="S85" s="570"/>
      <c r="T85" s="570"/>
      <c r="U85" s="734"/>
      <c r="V85" s="25">
        <v>12</v>
      </c>
      <c r="W85" s="19"/>
      <c r="X85" s="93"/>
      <c r="Y85" s="93"/>
      <c r="Z85" s="93"/>
      <c r="AA85" s="93"/>
      <c r="AB85" s="93"/>
      <c r="AC85" s="93"/>
      <c r="AD85" s="93"/>
      <c r="AE85" s="20"/>
      <c r="AF85" s="25">
        <v>12</v>
      </c>
      <c r="AG85" s="19"/>
      <c r="AH85" s="93"/>
      <c r="AI85" s="93"/>
      <c r="AJ85" s="93"/>
      <c r="AK85" s="93"/>
      <c r="AL85" s="93"/>
      <c r="AM85" s="93"/>
      <c r="AN85" s="20"/>
      <c r="AO85" s="19"/>
      <c r="AP85" s="93"/>
      <c r="AQ85" s="93"/>
      <c r="AR85" s="93"/>
      <c r="AS85" s="20"/>
      <c r="AT85" s="19"/>
      <c r="AU85" s="93"/>
      <c r="AV85" s="20"/>
      <c r="AW85" s="19"/>
      <c r="AX85" s="93"/>
      <c r="AY85" s="93"/>
      <c r="AZ85" s="93"/>
      <c r="BA85" s="93"/>
      <c r="BB85" s="93"/>
      <c r="BC85" s="20"/>
      <c r="BD85" s="19"/>
      <c r="BE85" s="93"/>
      <c r="BF85" s="93"/>
      <c r="BG85" s="93"/>
      <c r="BH85" s="93"/>
      <c r="BI85" s="93"/>
      <c r="BJ85" s="93"/>
      <c r="BK85" s="20"/>
      <c r="BL85" s="19"/>
      <c r="BM85" s="93"/>
      <c r="BN85" s="93"/>
      <c r="BO85" s="93"/>
      <c r="BP85" s="93"/>
      <c r="BQ85" s="20"/>
      <c r="BR85" s="19"/>
      <c r="BS85" s="93"/>
      <c r="BT85" s="93"/>
      <c r="BU85" s="20"/>
      <c r="BV85" s="19"/>
      <c r="BW85" s="93"/>
      <c r="BX85" s="93"/>
      <c r="BY85" s="93"/>
      <c r="BZ85" s="93"/>
      <c r="CA85" s="93"/>
      <c r="CB85" s="20"/>
      <c r="CC85" s="25">
        <v>12</v>
      </c>
      <c r="CD85" s="19"/>
      <c r="CE85" s="93"/>
      <c r="CF85" s="20"/>
      <c r="CG85" s="25">
        <v>12</v>
      </c>
      <c r="CH85" s="19"/>
      <c r="CI85" s="93"/>
      <c r="CJ85" s="93"/>
      <c r="CK85" s="93"/>
      <c r="CL85" s="93"/>
      <c r="CM85" s="93"/>
      <c r="CN85" s="93"/>
      <c r="CO85" s="93"/>
      <c r="CP85" s="93"/>
      <c r="CQ85" s="93"/>
      <c r="CR85" s="214"/>
      <c r="CS85" s="20"/>
      <c r="CT85" s="25">
        <v>12</v>
      </c>
      <c r="CU85" s="19"/>
      <c r="CV85" s="93"/>
      <c r="CW85" s="93"/>
      <c r="CX85" s="93"/>
      <c r="CY85" s="93"/>
      <c r="CZ85" s="93"/>
      <c r="DA85" s="93"/>
      <c r="DB85" s="20"/>
      <c r="DC85" s="25">
        <v>12</v>
      </c>
      <c r="DD85" s="785">
        <v>37591</v>
      </c>
      <c r="DE85" s="19"/>
      <c r="DF85" s="20"/>
      <c r="DG85" s="25">
        <v>12</v>
      </c>
      <c r="DH85" s="19"/>
      <c r="DI85" s="20"/>
      <c r="DJ85" s="25">
        <v>12</v>
      </c>
      <c r="DK85" s="19"/>
      <c r="DL85" s="20"/>
      <c r="DM85" s="19"/>
      <c r="DN85" s="20"/>
      <c r="DO85" s="25">
        <v>12</v>
      </c>
      <c r="DP85" s="19"/>
      <c r="DQ85" s="93"/>
      <c r="DR85" s="20"/>
      <c r="DS85" s="25">
        <v>12</v>
      </c>
      <c r="DT85" s="19"/>
      <c r="DU85" s="93"/>
      <c r="DV85" s="20"/>
      <c r="DW85" s="25">
        <v>12</v>
      </c>
      <c r="DX85" s="19"/>
      <c r="DY85" s="20"/>
      <c r="DZ85" s="25">
        <v>12</v>
      </c>
      <c r="EA85" s="19"/>
      <c r="EB85" s="93"/>
      <c r="EC85" s="93"/>
      <c r="ED85" s="93"/>
      <c r="EE85" s="20"/>
      <c r="EF85" s="25">
        <v>12</v>
      </c>
      <c r="EG85" s="19"/>
      <c r="EH85" s="93"/>
      <c r="EI85" s="93"/>
      <c r="EJ85" s="93"/>
      <c r="EK85" s="20"/>
      <c r="EL85" s="25">
        <v>12</v>
      </c>
      <c r="EM85" s="19"/>
      <c r="EN85" s="93"/>
      <c r="EO85" s="93"/>
      <c r="EP85" s="93"/>
      <c r="EQ85" s="93"/>
      <c r="ER85" s="93"/>
      <c r="ES85" s="93"/>
      <c r="ET85" s="93"/>
      <c r="EU85" s="93"/>
      <c r="EV85" s="20"/>
      <c r="EW85" s="25">
        <v>12</v>
      </c>
      <c r="EX85" s="915"/>
      <c r="EY85" s="916"/>
      <c r="EZ85" s="916"/>
      <c r="FA85" s="916"/>
      <c r="FB85" s="916"/>
      <c r="FC85" s="916"/>
      <c r="FD85" s="916"/>
      <c r="FE85" s="916"/>
      <c r="FF85" s="916"/>
      <c r="FG85" s="917"/>
      <c r="FH85" s="25">
        <v>12</v>
      </c>
      <c r="FI85" s="848">
        <v>37591</v>
      </c>
      <c r="FJ85" s="19"/>
      <c r="FK85" s="93"/>
      <c r="FL85" s="20"/>
      <c r="FM85" s="25">
        <v>12</v>
      </c>
      <c r="FN85" s="19"/>
      <c r="FO85" s="93"/>
      <c r="FP85" s="93"/>
      <c r="FQ85" s="93"/>
      <c r="FR85" s="93"/>
      <c r="FS85" s="93"/>
      <c r="FT85" s="93"/>
      <c r="FU85" s="93"/>
      <c r="FV85" s="93"/>
      <c r="FW85" s="917"/>
      <c r="FX85" s="25">
        <v>12</v>
      </c>
      <c r="FY85" s="916"/>
      <c r="FZ85" s="916"/>
      <c r="GA85" s="916"/>
      <c r="GB85" s="916"/>
      <c r="GC85" s="916"/>
      <c r="GD85" s="916"/>
      <c r="GE85" s="916"/>
      <c r="GF85" s="916"/>
      <c r="GG85" s="916"/>
      <c r="GH85" s="916"/>
      <c r="GI85" s="917"/>
      <c r="GJ85" s="25">
        <v>12</v>
      </c>
      <c r="GK85" s="19"/>
      <c r="GL85" s="20"/>
      <c r="GM85" s="25">
        <v>12</v>
      </c>
      <c r="GN85" s="19"/>
      <c r="GO85" s="20"/>
      <c r="GP85" s="25">
        <v>12</v>
      </c>
      <c r="GQ85" s="19"/>
      <c r="GR85" s="20"/>
      <c r="GS85" s="25">
        <v>12</v>
      </c>
      <c r="GT85" s="848">
        <v>37591</v>
      </c>
      <c r="GU85" s="19"/>
      <c r="GV85" s="93"/>
      <c r="GW85" s="93"/>
      <c r="GX85" s="93"/>
      <c r="GY85" s="93"/>
      <c r="GZ85" s="93"/>
      <c r="HA85" s="93"/>
      <c r="HB85" s="93"/>
      <c r="HC85" s="93"/>
      <c r="HD85" s="93"/>
      <c r="HE85" s="93"/>
      <c r="HF85" s="93"/>
      <c r="HG85" s="93"/>
      <c r="HH85" s="93"/>
      <c r="HI85" s="93"/>
      <c r="HJ85" s="93"/>
      <c r="HK85" s="93"/>
      <c r="HL85" s="93"/>
      <c r="HM85" s="93"/>
      <c r="HN85" s="93"/>
      <c r="HO85" s="93"/>
      <c r="HP85" s="93"/>
      <c r="HQ85" s="93"/>
      <c r="HR85" s="93"/>
      <c r="HS85" s="93"/>
      <c r="HT85" s="93"/>
      <c r="HU85" s="93"/>
      <c r="HV85" s="93"/>
      <c r="HW85" s="93"/>
      <c r="HX85" s="93"/>
      <c r="HY85" s="93"/>
      <c r="HZ85" s="93"/>
      <c r="IA85" s="93"/>
      <c r="IB85" s="93"/>
      <c r="IC85" s="93"/>
      <c r="ID85" s="93"/>
      <c r="IE85" s="93"/>
      <c r="IF85" s="93"/>
      <c r="IG85" s="93"/>
      <c r="IH85" s="93"/>
      <c r="II85" s="93"/>
      <c r="IJ85" s="93"/>
      <c r="IK85" s="93"/>
      <c r="IL85" s="93"/>
      <c r="IM85" s="93"/>
      <c r="IN85" s="93"/>
      <c r="IO85" s="93"/>
      <c r="IP85" s="93"/>
      <c r="IQ85" s="93"/>
      <c r="IR85" s="93"/>
      <c r="IS85" s="93"/>
      <c r="IT85" s="93"/>
      <c r="IU85" s="93"/>
      <c r="IV85" s="93">
        <v>12</v>
      </c>
      <c r="IW85" s="848">
        <v>37591</v>
      </c>
      <c r="IX85" s="93"/>
      <c r="IY85" s="93"/>
      <c r="IZ85" s="93"/>
      <c r="JA85" s="93"/>
      <c r="JB85" s="93"/>
      <c r="JC85" s="93"/>
      <c r="JD85" s="93"/>
      <c r="JE85" s="93"/>
      <c r="JF85" s="93"/>
      <c r="JG85" s="93"/>
      <c r="JH85" s="93"/>
      <c r="JI85" s="93"/>
      <c r="JJ85" s="93"/>
      <c r="JK85" s="93"/>
      <c r="JL85" s="93"/>
      <c r="JM85" s="93"/>
      <c r="JN85" s="93"/>
      <c r="JO85" s="93"/>
      <c r="JP85" s="93"/>
      <c r="JQ85" s="93"/>
      <c r="JR85" s="93"/>
      <c r="JS85" s="93"/>
      <c r="JT85" s="20"/>
      <c r="JU85" s="29">
        <v>12</v>
      </c>
      <c r="JV85" s="19"/>
      <c r="JW85" s="93"/>
      <c r="JX85" s="93"/>
      <c r="JY85" s="93"/>
      <c r="JZ85" s="93"/>
      <c r="KA85" s="93"/>
      <c r="KB85" s="93"/>
      <c r="KC85" s="93"/>
      <c r="KD85" s="93"/>
      <c r="KE85" s="93"/>
      <c r="KF85" s="93"/>
      <c r="KG85" s="93"/>
      <c r="KH85" s="93"/>
      <c r="KI85" s="93"/>
      <c r="KJ85" s="93"/>
      <c r="KK85" s="93"/>
      <c r="KL85" s="93"/>
      <c r="KM85" s="93"/>
      <c r="KN85" s="93"/>
      <c r="KO85" s="93"/>
      <c r="KP85" s="93"/>
      <c r="KQ85" s="93"/>
      <c r="KR85" s="93"/>
      <c r="KS85" s="93"/>
      <c r="KT85" s="93"/>
      <c r="KU85" s="93"/>
      <c r="KV85" s="93"/>
      <c r="KW85" s="20"/>
      <c r="KX85" s="29">
        <v>12</v>
      </c>
      <c r="KY85" s="19"/>
      <c r="KZ85" s="93"/>
      <c r="LA85" s="93"/>
      <c r="LB85" s="93"/>
      <c r="LC85" s="93"/>
      <c r="LD85" s="93"/>
      <c r="LE85" s="93"/>
      <c r="LF85" s="93"/>
      <c r="LG85" s="93"/>
      <c r="LH85" s="93"/>
      <c r="LI85" s="93"/>
      <c r="LJ85" s="93"/>
      <c r="LK85" s="93"/>
      <c r="LL85" s="93"/>
      <c r="LM85" s="93"/>
      <c r="LN85" s="93"/>
      <c r="LO85" s="93"/>
      <c r="LP85" s="93"/>
      <c r="LQ85" s="93"/>
      <c r="LR85" s="93"/>
      <c r="LS85" s="93"/>
      <c r="LT85" s="93"/>
      <c r="LU85" s="93"/>
      <c r="LV85" s="93"/>
      <c r="LW85" s="93"/>
      <c r="LX85" s="93"/>
      <c r="LY85" s="93"/>
      <c r="LZ85" s="93"/>
      <c r="MA85" s="93"/>
      <c r="MB85" s="93"/>
      <c r="MC85" s="93"/>
      <c r="MD85" s="93"/>
      <c r="ME85" s="93"/>
      <c r="MF85" s="93"/>
      <c r="MG85" s="93"/>
      <c r="MH85" s="20"/>
      <c r="MI85" s="29">
        <v>12</v>
      </c>
      <c r="MJ85" s="29" t="str">
        <f t="shared" si="82"/>
        <v>Trimestre 42002</v>
      </c>
      <c r="MK85" s="848">
        <v>37591</v>
      </c>
      <c r="ML85" s="29"/>
      <c r="MM85" s="29"/>
      <c r="MN85" s="29"/>
      <c r="MO85" s="29"/>
      <c r="MP85" s="29"/>
      <c r="MQ85" s="29"/>
      <c r="MR85" s="29"/>
      <c r="MS85" s="29"/>
      <c r="MT85" s="29"/>
      <c r="MU85" s="29"/>
      <c r="MV85" s="29"/>
      <c r="MW85" s="29"/>
      <c r="MX85" s="29"/>
      <c r="MY85" s="29"/>
      <c r="MZ85" s="29"/>
      <c r="NA85" s="29"/>
      <c r="NB85" s="29"/>
      <c r="NC85" s="29"/>
      <c r="ND85" s="29"/>
      <c r="NE85" s="29"/>
      <c r="NF85" s="29"/>
      <c r="NG85" s="29"/>
      <c r="NH85" s="29"/>
      <c r="NI85" s="29"/>
      <c r="NJ85" s="29"/>
      <c r="NK85" s="29"/>
      <c r="NL85" s="29">
        <v>12</v>
      </c>
    </row>
    <row r="86" spans="1:376">
      <c r="A86" s="41">
        <f t="shared" si="80"/>
        <v>2003</v>
      </c>
      <c r="B86" s="785">
        <v>37681</v>
      </c>
      <c r="C86" s="19"/>
      <c r="D86" s="93"/>
      <c r="E86" s="93"/>
      <c r="F86" s="93"/>
      <c r="G86" s="93"/>
      <c r="H86" s="93"/>
      <c r="I86" s="93"/>
      <c r="J86" s="93"/>
      <c r="K86" s="93"/>
      <c r="L86" s="93"/>
      <c r="M86" s="20"/>
      <c r="N86" s="25">
        <v>13</v>
      </c>
      <c r="O86" s="889">
        <f t="shared" si="79"/>
        <v>2003</v>
      </c>
      <c r="P86" s="29" t="str">
        <f t="shared" si="81"/>
        <v>Trimestre 12003</v>
      </c>
      <c r="Q86" s="848">
        <v>37681</v>
      </c>
      <c r="R86" s="733"/>
      <c r="S86" s="570"/>
      <c r="T86" s="570"/>
      <c r="U86" s="734"/>
      <c r="V86" s="25">
        <v>13</v>
      </c>
      <c r="W86" s="19"/>
      <c r="X86" s="93"/>
      <c r="Y86" s="93"/>
      <c r="Z86" s="93"/>
      <c r="AA86" s="93"/>
      <c r="AB86" s="93"/>
      <c r="AC86" s="93"/>
      <c r="AD86" s="93"/>
      <c r="AE86" s="20"/>
      <c r="AF86" s="25">
        <v>13</v>
      </c>
      <c r="AG86" s="19"/>
      <c r="AH86" s="93"/>
      <c r="AI86" s="93"/>
      <c r="AJ86" s="93"/>
      <c r="AK86" s="93"/>
      <c r="AL86" s="93"/>
      <c r="AM86" s="93"/>
      <c r="AN86" s="20"/>
      <c r="AO86" s="19"/>
      <c r="AP86" s="93"/>
      <c r="AQ86" s="93"/>
      <c r="AR86" s="93"/>
      <c r="AS86" s="20"/>
      <c r="AT86" s="19"/>
      <c r="AU86" s="93"/>
      <c r="AV86" s="20"/>
      <c r="AW86" s="19"/>
      <c r="AX86" s="93"/>
      <c r="AY86" s="93"/>
      <c r="AZ86" s="93"/>
      <c r="BA86" s="93"/>
      <c r="BB86" s="93"/>
      <c r="BC86" s="20"/>
      <c r="BD86" s="19"/>
      <c r="BE86" s="93"/>
      <c r="BF86" s="93"/>
      <c r="BG86" s="93"/>
      <c r="BH86" s="93"/>
      <c r="BI86" s="93"/>
      <c r="BJ86" s="93"/>
      <c r="BK86" s="20"/>
      <c r="BL86" s="19"/>
      <c r="BM86" s="93"/>
      <c r="BN86" s="93"/>
      <c r="BO86" s="93"/>
      <c r="BP86" s="93"/>
      <c r="BQ86" s="20"/>
      <c r="BR86" s="19"/>
      <c r="BS86" s="93"/>
      <c r="BT86" s="93"/>
      <c r="BU86" s="20"/>
      <c r="BV86" s="19"/>
      <c r="BW86" s="93"/>
      <c r="BX86" s="93"/>
      <c r="BY86" s="93"/>
      <c r="BZ86" s="93"/>
      <c r="CA86" s="93"/>
      <c r="CB86" s="20"/>
      <c r="CC86" s="25">
        <v>13</v>
      </c>
      <c r="CD86" s="19"/>
      <c r="CE86" s="93"/>
      <c r="CF86" s="20"/>
      <c r="CG86" s="25">
        <v>13</v>
      </c>
      <c r="CH86" s="19"/>
      <c r="CI86" s="93"/>
      <c r="CJ86" s="93"/>
      <c r="CK86" s="93"/>
      <c r="CL86" s="93"/>
      <c r="CM86" s="93"/>
      <c r="CN86" s="93"/>
      <c r="CO86" s="93"/>
      <c r="CP86" s="93"/>
      <c r="CQ86" s="93"/>
      <c r="CR86" s="214"/>
      <c r="CS86" s="20"/>
      <c r="CT86" s="25">
        <v>13</v>
      </c>
      <c r="CU86" s="19"/>
      <c r="CV86" s="93"/>
      <c r="CW86" s="93"/>
      <c r="CX86" s="93"/>
      <c r="CY86" s="93"/>
      <c r="CZ86" s="93"/>
      <c r="DA86" s="93"/>
      <c r="DB86" s="20"/>
      <c r="DC86" s="25">
        <v>13</v>
      </c>
      <c r="DD86" s="785">
        <v>37681</v>
      </c>
      <c r="DE86" s="19"/>
      <c r="DF86" s="20"/>
      <c r="DG86" s="25">
        <v>13</v>
      </c>
      <c r="DH86" s="19"/>
      <c r="DI86" s="20"/>
      <c r="DJ86" s="25">
        <v>13</v>
      </c>
      <c r="DK86" s="19"/>
      <c r="DL86" s="20"/>
      <c r="DM86" s="19"/>
      <c r="DN86" s="20"/>
      <c r="DO86" s="25">
        <v>13</v>
      </c>
      <c r="DP86" s="19"/>
      <c r="DQ86" s="93"/>
      <c r="DR86" s="20"/>
      <c r="DS86" s="25">
        <v>13</v>
      </c>
      <c r="DT86" s="19"/>
      <c r="DU86" s="93"/>
      <c r="DV86" s="20"/>
      <c r="DW86" s="25">
        <v>13</v>
      </c>
      <c r="DX86" s="19"/>
      <c r="DY86" s="20"/>
      <c r="DZ86" s="25">
        <v>13</v>
      </c>
      <c r="EA86" s="19"/>
      <c r="EB86" s="93"/>
      <c r="EC86" s="93"/>
      <c r="ED86" s="93"/>
      <c r="EE86" s="20"/>
      <c r="EF86" s="25">
        <v>13</v>
      </c>
      <c r="EG86" s="19"/>
      <c r="EH86" s="93"/>
      <c r="EI86" s="93"/>
      <c r="EJ86" s="93"/>
      <c r="EK86" s="20"/>
      <c r="EL86" s="25">
        <v>13</v>
      </c>
      <c r="EM86" s="19"/>
      <c r="EN86" s="93"/>
      <c r="EO86" s="93"/>
      <c r="EP86" s="93"/>
      <c r="EQ86" s="93"/>
      <c r="ER86" s="93"/>
      <c r="ES86" s="93"/>
      <c r="ET86" s="93"/>
      <c r="EU86" s="93"/>
      <c r="EV86" s="20"/>
      <c r="EW86" s="25">
        <v>13</v>
      </c>
      <c r="EX86" s="915"/>
      <c r="EY86" s="916"/>
      <c r="EZ86" s="916"/>
      <c r="FA86" s="916"/>
      <c r="FB86" s="916"/>
      <c r="FC86" s="916"/>
      <c r="FD86" s="916"/>
      <c r="FE86" s="916"/>
      <c r="FF86" s="916"/>
      <c r="FG86" s="917"/>
      <c r="FH86" s="25">
        <v>13</v>
      </c>
      <c r="FI86" s="848">
        <v>37681</v>
      </c>
      <c r="FJ86" s="19"/>
      <c r="FK86" s="93"/>
      <c r="FL86" s="20"/>
      <c r="FM86" s="25">
        <v>13</v>
      </c>
      <c r="FN86" s="19"/>
      <c r="FO86" s="93"/>
      <c r="FP86" s="93"/>
      <c r="FQ86" s="93"/>
      <c r="FR86" s="93"/>
      <c r="FS86" s="93"/>
      <c r="FT86" s="93"/>
      <c r="FU86" s="93"/>
      <c r="FV86" s="93"/>
      <c r="FW86" s="917"/>
      <c r="FX86" s="25">
        <v>13</v>
      </c>
      <c r="FY86" s="916"/>
      <c r="FZ86" s="916"/>
      <c r="GA86" s="916"/>
      <c r="GB86" s="916"/>
      <c r="GC86" s="916"/>
      <c r="GD86" s="916"/>
      <c r="GE86" s="916"/>
      <c r="GF86" s="916"/>
      <c r="GG86" s="916"/>
      <c r="GH86" s="916"/>
      <c r="GI86" s="917"/>
      <c r="GJ86" s="25">
        <v>13</v>
      </c>
      <c r="GK86" s="19"/>
      <c r="GL86" s="20"/>
      <c r="GM86" s="25">
        <v>13</v>
      </c>
      <c r="GN86" s="19"/>
      <c r="GO86" s="20"/>
      <c r="GP86" s="25">
        <v>13</v>
      </c>
      <c r="GQ86" s="19"/>
      <c r="GR86" s="20"/>
      <c r="GS86" s="25">
        <v>13</v>
      </c>
      <c r="GT86" s="848">
        <v>37681</v>
      </c>
      <c r="GU86" s="19"/>
      <c r="GV86" s="93"/>
      <c r="GW86" s="93"/>
      <c r="GX86" s="93"/>
      <c r="GY86" s="93"/>
      <c r="GZ86" s="93"/>
      <c r="HA86" s="93"/>
      <c r="HB86" s="93"/>
      <c r="HC86" s="93"/>
      <c r="HD86" s="93"/>
      <c r="HE86" s="93"/>
      <c r="HF86" s="93"/>
      <c r="HG86" s="93"/>
      <c r="HH86" s="93"/>
      <c r="HI86" s="93"/>
      <c r="HJ86" s="93"/>
      <c r="HK86" s="93"/>
      <c r="HL86" s="93"/>
      <c r="HM86" s="93"/>
      <c r="HN86" s="93"/>
      <c r="HO86" s="93"/>
      <c r="HP86" s="93"/>
      <c r="HQ86" s="93"/>
      <c r="HR86" s="93"/>
      <c r="HS86" s="93"/>
      <c r="HT86" s="93"/>
      <c r="HU86" s="93"/>
      <c r="HV86" s="93"/>
      <c r="HW86" s="93"/>
      <c r="HX86" s="93"/>
      <c r="HY86" s="93"/>
      <c r="HZ86" s="93"/>
      <c r="IA86" s="93"/>
      <c r="IB86" s="93"/>
      <c r="IC86" s="93"/>
      <c r="ID86" s="93"/>
      <c r="IE86" s="93"/>
      <c r="IF86" s="93"/>
      <c r="IG86" s="93"/>
      <c r="IH86" s="93"/>
      <c r="II86" s="93"/>
      <c r="IJ86" s="93"/>
      <c r="IK86" s="93"/>
      <c r="IL86" s="93"/>
      <c r="IM86" s="93"/>
      <c r="IN86" s="93"/>
      <c r="IO86" s="93"/>
      <c r="IP86" s="93"/>
      <c r="IQ86" s="93"/>
      <c r="IR86" s="93"/>
      <c r="IS86" s="93"/>
      <c r="IT86" s="93"/>
      <c r="IU86" s="93"/>
      <c r="IV86" s="93">
        <v>13</v>
      </c>
      <c r="IW86" s="848">
        <v>37681</v>
      </c>
      <c r="IX86" s="93"/>
      <c r="IY86" s="93"/>
      <c r="IZ86" s="93"/>
      <c r="JA86" s="93"/>
      <c r="JB86" s="93"/>
      <c r="JC86" s="93"/>
      <c r="JD86" s="93"/>
      <c r="JE86" s="93"/>
      <c r="JF86" s="93"/>
      <c r="JG86" s="93"/>
      <c r="JH86" s="93"/>
      <c r="JI86" s="93"/>
      <c r="JJ86" s="93"/>
      <c r="JK86" s="93"/>
      <c r="JL86" s="93"/>
      <c r="JM86" s="93"/>
      <c r="JN86" s="93"/>
      <c r="JO86" s="93"/>
      <c r="JP86" s="93"/>
      <c r="JQ86" s="93"/>
      <c r="JR86" s="93"/>
      <c r="JS86" s="93"/>
      <c r="JT86" s="20"/>
      <c r="JU86" s="29">
        <v>13</v>
      </c>
      <c r="JV86" s="19"/>
      <c r="JW86" s="93"/>
      <c r="JX86" s="93"/>
      <c r="JY86" s="93"/>
      <c r="JZ86" s="93"/>
      <c r="KA86" s="93"/>
      <c r="KB86" s="93"/>
      <c r="KC86" s="93"/>
      <c r="KD86" s="93"/>
      <c r="KE86" s="93"/>
      <c r="KF86" s="93"/>
      <c r="KG86" s="93"/>
      <c r="KH86" s="93"/>
      <c r="KI86" s="93"/>
      <c r="KJ86" s="93"/>
      <c r="KK86" s="93"/>
      <c r="KL86" s="93"/>
      <c r="KM86" s="93"/>
      <c r="KN86" s="93"/>
      <c r="KO86" s="93"/>
      <c r="KP86" s="93"/>
      <c r="KQ86" s="93"/>
      <c r="KR86" s="93"/>
      <c r="KS86" s="93"/>
      <c r="KT86" s="93"/>
      <c r="KU86" s="93"/>
      <c r="KV86" s="93"/>
      <c r="KW86" s="20"/>
      <c r="KX86" s="29">
        <v>13</v>
      </c>
      <c r="KY86" s="19"/>
      <c r="KZ86" s="93"/>
      <c r="LA86" s="93"/>
      <c r="LB86" s="93"/>
      <c r="LC86" s="93"/>
      <c r="LD86" s="93"/>
      <c r="LE86" s="93"/>
      <c r="LF86" s="93"/>
      <c r="LG86" s="93"/>
      <c r="LH86" s="93"/>
      <c r="LI86" s="93"/>
      <c r="LJ86" s="93"/>
      <c r="LK86" s="93"/>
      <c r="LL86" s="93"/>
      <c r="LM86" s="93"/>
      <c r="LN86" s="93"/>
      <c r="LO86" s="93"/>
      <c r="LP86" s="93"/>
      <c r="LQ86" s="93"/>
      <c r="LR86" s="93"/>
      <c r="LS86" s="93"/>
      <c r="LT86" s="93"/>
      <c r="LU86" s="93"/>
      <c r="LV86" s="93"/>
      <c r="LW86" s="93"/>
      <c r="LX86" s="93"/>
      <c r="LY86" s="93"/>
      <c r="LZ86" s="93"/>
      <c r="MA86" s="93"/>
      <c r="MB86" s="93"/>
      <c r="MC86" s="93"/>
      <c r="MD86" s="93"/>
      <c r="ME86" s="93"/>
      <c r="MF86" s="93"/>
      <c r="MG86" s="93"/>
      <c r="MH86" s="20"/>
      <c r="MI86" s="29">
        <v>13</v>
      </c>
      <c r="MJ86" s="29" t="str">
        <f t="shared" si="82"/>
        <v>Trimestre 12003</v>
      </c>
      <c r="MK86" s="848">
        <v>37681</v>
      </c>
      <c r="ML86" s="29"/>
      <c r="MM86" s="29"/>
      <c r="MN86" s="29"/>
      <c r="MO86" s="29"/>
      <c r="MP86" s="29"/>
      <c r="MQ86" s="29"/>
      <c r="MR86" s="29"/>
      <c r="MS86" s="29"/>
      <c r="MT86" s="29"/>
      <c r="MU86" s="29"/>
      <c r="MV86" s="29"/>
      <c r="MW86" s="29"/>
      <c r="MX86" s="29"/>
      <c r="MY86" s="29"/>
      <c r="MZ86" s="29"/>
      <c r="NA86" s="29"/>
      <c r="NB86" s="29"/>
      <c r="NC86" s="29"/>
      <c r="ND86" s="29"/>
      <c r="NE86" s="29"/>
      <c r="NF86" s="29"/>
      <c r="NG86" s="29"/>
      <c r="NH86" s="29"/>
      <c r="NI86" s="29"/>
      <c r="NJ86" s="29"/>
      <c r="NK86" s="29"/>
      <c r="NL86" s="29">
        <v>13</v>
      </c>
    </row>
    <row r="87" spans="1:376">
      <c r="A87" s="41">
        <f t="shared" si="80"/>
        <v>2003</v>
      </c>
      <c r="B87" s="785">
        <v>37773</v>
      </c>
      <c r="C87" s="19"/>
      <c r="D87" s="93"/>
      <c r="E87" s="93"/>
      <c r="F87" s="93"/>
      <c r="G87" s="93"/>
      <c r="H87" s="93"/>
      <c r="I87" s="93"/>
      <c r="J87" s="93"/>
      <c r="K87" s="93"/>
      <c r="L87" s="93"/>
      <c r="M87" s="20"/>
      <c r="N87" s="25">
        <v>14</v>
      </c>
      <c r="O87" s="889">
        <f t="shared" si="79"/>
        <v>2003</v>
      </c>
      <c r="P87" s="29" t="str">
        <f t="shared" si="81"/>
        <v>Trimestre 22003</v>
      </c>
      <c r="Q87" s="848">
        <v>37773</v>
      </c>
      <c r="R87" s="733"/>
      <c r="S87" s="570"/>
      <c r="T87" s="570"/>
      <c r="U87" s="734"/>
      <c r="V87" s="25">
        <v>14</v>
      </c>
      <c r="W87" s="19"/>
      <c r="X87" s="93"/>
      <c r="Y87" s="93"/>
      <c r="Z87" s="93"/>
      <c r="AA87" s="93"/>
      <c r="AB87" s="93"/>
      <c r="AC87" s="93"/>
      <c r="AD87" s="93"/>
      <c r="AE87" s="20"/>
      <c r="AF87" s="25">
        <v>14</v>
      </c>
      <c r="AG87" s="19"/>
      <c r="AH87" s="93"/>
      <c r="AI87" s="93"/>
      <c r="AJ87" s="93"/>
      <c r="AK87" s="93"/>
      <c r="AL87" s="93"/>
      <c r="AM87" s="93"/>
      <c r="AN87" s="20"/>
      <c r="AO87" s="19"/>
      <c r="AP87" s="93"/>
      <c r="AQ87" s="93"/>
      <c r="AR87" s="93"/>
      <c r="AS87" s="20"/>
      <c r="AT87" s="19"/>
      <c r="AU87" s="93"/>
      <c r="AV87" s="20"/>
      <c r="AW87" s="19"/>
      <c r="AX87" s="93"/>
      <c r="AY87" s="93"/>
      <c r="AZ87" s="93"/>
      <c r="BA87" s="93"/>
      <c r="BB87" s="93"/>
      <c r="BC87" s="20"/>
      <c r="BD87" s="19"/>
      <c r="BE87" s="93"/>
      <c r="BF87" s="93"/>
      <c r="BG87" s="93"/>
      <c r="BH87" s="93"/>
      <c r="BI87" s="93"/>
      <c r="BJ87" s="93"/>
      <c r="BK87" s="20"/>
      <c r="BL87" s="19"/>
      <c r="BM87" s="93"/>
      <c r="BN87" s="93"/>
      <c r="BO87" s="93"/>
      <c r="BP87" s="93"/>
      <c r="BQ87" s="20"/>
      <c r="BR87" s="19"/>
      <c r="BS87" s="93"/>
      <c r="BT87" s="93"/>
      <c r="BU87" s="20"/>
      <c r="BV87" s="19"/>
      <c r="BW87" s="93"/>
      <c r="BX87" s="93"/>
      <c r="BY87" s="93"/>
      <c r="BZ87" s="93"/>
      <c r="CA87" s="93"/>
      <c r="CB87" s="20"/>
      <c r="CC87" s="25">
        <v>14</v>
      </c>
      <c r="CD87" s="19"/>
      <c r="CE87" s="93"/>
      <c r="CF87" s="20"/>
      <c r="CG87" s="25">
        <v>14</v>
      </c>
      <c r="CH87" s="19"/>
      <c r="CI87" s="93"/>
      <c r="CJ87" s="93"/>
      <c r="CK87" s="93"/>
      <c r="CL87" s="93"/>
      <c r="CM87" s="93"/>
      <c r="CN87" s="93"/>
      <c r="CO87" s="93"/>
      <c r="CP87" s="93"/>
      <c r="CQ87" s="93"/>
      <c r="CR87" s="214"/>
      <c r="CS87" s="20"/>
      <c r="CT87" s="25">
        <v>14</v>
      </c>
      <c r="CU87" s="19"/>
      <c r="CV87" s="93"/>
      <c r="CW87" s="93"/>
      <c r="CX87" s="93"/>
      <c r="CY87" s="93"/>
      <c r="CZ87" s="93"/>
      <c r="DA87" s="93"/>
      <c r="DB87" s="20"/>
      <c r="DC87" s="25">
        <v>14</v>
      </c>
      <c r="DD87" s="785">
        <v>37773</v>
      </c>
      <c r="DE87" s="19"/>
      <c r="DF87" s="20"/>
      <c r="DG87" s="25">
        <v>14</v>
      </c>
      <c r="DH87" s="19"/>
      <c r="DI87" s="20"/>
      <c r="DJ87" s="25">
        <v>14</v>
      </c>
      <c r="DK87" s="19"/>
      <c r="DL87" s="20"/>
      <c r="DM87" s="19"/>
      <c r="DN87" s="20"/>
      <c r="DO87" s="25">
        <v>14</v>
      </c>
      <c r="DP87" s="19"/>
      <c r="DQ87" s="93"/>
      <c r="DR87" s="20"/>
      <c r="DS87" s="25">
        <v>14</v>
      </c>
      <c r="DT87" s="19"/>
      <c r="DU87" s="93"/>
      <c r="DV87" s="20"/>
      <c r="DW87" s="25">
        <v>14</v>
      </c>
      <c r="DX87" s="19"/>
      <c r="DY87" s="20"/>
      <c r="DZ87" s="25">
        <v>14</v>
      </c>
      <c r="EA87" s="19"/>
      <c r="EB87" s="93"/>
      <c r="EC87" s="93"/>
      <c r="ED87" s="93"/>
      <c r="EE87" s="20"/>
      <c r="EF87" s="25">
        <v>14</v>
      </c>
      <c r="EG87" s="19"/>
      <c r="EH87" s="93"/>
      <c r="EI87" s="93"/>
      <c r="EJ87" s="93"/>
      <c r="EK87" s="20"/>
      <c r="EL87" s="25">
        <v>14</v>
      </c>
      <c r="EM87" s="19"/>
      <c r="EN87" s="93"/>
      <c r="EO87" s="93"/>
      <c r="EP87" s="93"/>
      <c r="EQ87" s="93"/>
      <c r="ER87" s="93"/>
      <c r="ES87" s="93"/>
      <c r="ET87" s="93"/>
      <c r="EU87" s="93"/>
      <c r="EV87" s="20"/>
      <c r="EW87" s="25">
        <v>14</v>
      </c>
      <c r="EX87" s="915"/>
      <c r="EY87" s="916"/>
      <c r="EZ87" s="916"/>
      <c r="FA87" s="916"/>
      <c r="FB87" s="916"/>
      <c r="FC87" s="916"/>
      <c r="FD87" s="916"/>
      <c r="FE87" s="916"/>
      <c r="FF87" s="916"/>
      <c r="FG87" s="917"/>
      <c r="FH87" s="25">
        <v>14</v>
      </c>
      <c r="FI87" s="848">
        <v>37773</v>
      </c>
      <c r="FJ87" s="19"/>
      <c r="FK87" s="93"/>
      <c r="FL87" s="20"/>
      <c r="FM87" s="25">
        <v>14</v>
      </c>
      <c r="FN87" s="19"/>
      <c r="FO87" s="93"/>
      <c r="FP87" s="93"/>
      <c r="FQ87" s="93"/>
      <c r="FR87" s="93"/>
      <c r="FS87" s="93"/>
      <c r="FT87" s="93"/>
      <c r="FU87" s="93"/>
      <c r="FV87" s="93"/>
      <c r="FW87" s="917"/>
      <c r="FX87" s="25">
        <v>14</v>
      </c>
      <c r="FY87" s="916"/>
      <c r="FZ87" s="916"/>
      <c r="GA87" s="916"/>
      <c r="GB87" s="916"/>
      <c r="GC87" s="916"/>
      <c r="GD87" s="916"/>
      <c r="GE87" s="916"/>
      <c r="GF87" s="916"/>
      <c r="GG87" s="916"/>
      <c r="GH87" s="916"/>
      <c r="GI87" s="917"/>
      <c r="GJ87" s="25">
        <v>14</v>
      </c>
      <c r="GK87" s="19"/>
      <c r="GL87" s="20"/>
      <c r="GM87" s="25">
        <v>14</v>
      </c>
      <c r="GN87" s="19"/>
      <c r="GO87" s="20"/>
      <c r="GP87" s="25">
        <v>14</v>
      </c>
      <c r="GQ87" s="19"/>
      <c r="GR87" s="20"/>
      <c r="GS87" s="25">
        <v>14</v>
      </c>
      <c r="GT87" s="848">
        <v>37773</v>
      </c>
      <c r="GU87" s="19"/>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v>14</v>
      </c>
      <c r="IW87" s="848">
        <v>37773</v>
      </c>
      <c r="IX87" s="93"/>
      <c r="IY87" s="93"/>
      <c r="IZ87" s="93"/>
      <c r="JA87" s="93"/>
      <c r="JB87" s="93"/>
      <c r="JC87" s="93"/>
      <c r="JD87" s="93"/>
      <c r="JE87" s="93"/>
      <c r="JF87" s="93"/>
      <c r="JG87" s="93"/>
      <c r="JH87" s="93"/>
      <c r="JI87" s="93"/>
      <c r="JJ87" s="93"/>
      <c r="JK87" s="93"/>
      <c r="JL87" s="93"/>
      <c r="JM87" s="93"/>
      <c r="JN87" s="93"/>
      <c r="JO87" s="93"/>
      <c r="JP87" s="93"/>
      <c r="JQ87" s="93"/>
      <c r="JR87" s="93"/>
      <c r="JS87" s="93"/>
      <c r="JT87" s="20"/>
      <c r="JU87" s="29">
        <v>14</v>
      </c>
      <c r="JV87" s="19"/>
      <c r="JW87" s="93"/>
      <c r="JX87" s="93"/>
      <c r="JY87" s="93"/>
      <c r="JZ87" s="93"/>
      <c r="KA87" s="93"/>
      <c r="KB87" s="93"/>
      <c r="KC87" s="93"/>
      <c r="KD87" s="93"/>
      <c r="KE87" s="93"/>
      <c r="KF87" s="93"/>
      <c r="KG87" s="93"/>
      <c r="KH87" s="93"/>
      <c r="KI87" s="93"/>
      <c r="KJ87" s="93"/>
      <c r="KK87" s="93"/>
      <c r="KL87" s="93"/>
      <c r="KM87" s="93"/>
      <c r="KN87" s="93"/>
      <c r="KO87" s="93"/>
      <c r="KP87" s="93"/>
      <c r="KQ87" s="93"/>
      <c r="KR87" s="93"/>
      <c r="KS87" s="93"/>
      <c r="KT87" s="93"/>
      <c r="KU87" s="93"/>
      <c r="KV87" s="93"/>
      <c r="KW87" s="20"/>
      <c r="KX87" s="29">
        <v>14</v>
      </c>
      <c r="KY87" s="19"/>
      <c r="KZ87" s="93"/>
      <c r="LA87" s="93"/>
      <c r="LB87" s="93"/>
      <c r="LC87" s="93"/>
      <c r="LD87" s="93"/>
      <c r="LE87" s="93"/>
      <c r="LF87" s="93"/>
      <c r="LG87" s="93"/>
      <c r="LH87" s="93"/>
      <c r="LI87" s="93"/>
      <c r="LJ87" s="93"/>
      <c r="LK87" s="93"/>
      <c r="LL87" s="93"/>
      <c r="LM87" s="93"/>
      <c r="LN87" s="93"/>
      <c r="LO87" s="93"/>
      <c r="LP87" s="93"/>
      <c r="LQ87" s="93"/>
      <c r="LR87" s="93"/>
      <c r="LS87" s="93"/>
      <c r="LT87" s="93"/>
      <c r="LU87" s="93"/>
      <c r="LV87" s="93"/>
      <c r="LW87" s="93"/>
      <c r="LX87" s="93"/>
      <c r="LY87" s="93"/>
      <c r="LZ87" s="93"/>
      <c r="MA87" s="93"/>
      <c r="MB87" s="93"/>
      <c r="MC87" s="93"/>
      <c r="MD87" s="93"/>
      <c r="ME87" s="93"/>
      <c r="MF87" s="93"/>
      <c r="MG87" s="93"/>
      <c r="MH87" s="20"/>
      <c r="MI87" s="29">
        <v>14</v>
      </c>
      <c r="MJ87" s="29" t="str">
        <f t="shared" si="82"/>
        <v>Trimestre 22003</v>
      </c>
      <c r="MK87" s="848">
        <v>37773</v>
      </c>
      <c r="ML87" s="29"/>
      <c r="MM87" s="29"/>
      <c r="MN87" s="29"/>
      <c r="MO87" s="29"/>
      <c r="MP87" s="29"/>
      <c r="MQ87" s="29"/>
      <c r="MR87" s="29"/>
      <c r="MS87" s="29"/>
      <c r="MT87" s="29"/>
      <c r="MU87" s="29"/>
      <c r="MV87" s="29"/>
      <c r="MW87" s="29"/>
      <c r="MX87" s="29"/>
      <c r="MY87" s="29"/>
      <c r="MZ87" s="29"/>
      <c r="NA87" s="29"/>
      <c r="NB87" s="29"/>
      <c r="NC87" s="29"/>
      <c r="ND87" s="29"/>
      <c r="NE87" s="29"/>
      <c r="NF87" s="29"/>
      <c r="NG87" s="29"/>
      <c r="NH87" s="29"/>
      <c r="NI87" s="29"/>
      <c r="NJ87" s="29"/>
      <c r="NK87" s="29"/>
      <c r="NL87" s="29">
        <v>14</v>
      </c>
    </row>
    <row r="88" spans="1:376">
      <c r="A88" s="41">
        <f t="shared" si="80"/>
        <v>2003</v>
      </c>
      <c r="B88" s="785">
        <v>37865</v>
      </c>
      <c r="C88" s="19"/>
      <c r="D88" s="93"/>
      <c r="E88" s="93"/>
      <c r="F88" s="93"/>
      <c r="G88" s="93"/>
      <c r="H88" s="93"/>
      <c r="I88" s="93"/>
      <c r="J88" s="93"/>
      <c r="K88" s="93"/>
      <c r="L88" s="93"/>
      <c r="M88" s="20"/>
      <c r="N88" s="25">
        <v>15</v>
      </c>
      <c r="O88" s="889">
        <f t="shared" si="79"/>
        <v>2003</v>
      </c>
      <c r="P88" s="29" t="str">
        <f t="shared" si="81"/>
        <v>Trimestre 32003</v>
      </c>
      <c r="Q88" s="848">
        <v>37865</v>
      </c>
      <c r="R88" s="733"/>
      <c r="S88" s="570"/>
      <c r="T88" s="570"/>
      <c r="U88" s="734"/>
      <c r="V88" s="25">
        <v>15</v>
      </c>
      <c r="W88" s="19"/>
      <c r="X88" s="93"/>
      <c r="Y88" s="93"/>
      <c r="Z88" s="93"/>
      <c r="AA88" s="93"/>
      <c r="AB88" s="93"/>
      <c r="AC88" s="93"/>
      <c r="AD88" s="93"/>
      <c r="AE88" s="20"/>
      <c r="AF88" s="25">
        <v>15</v>
      </c>
      <c r="AG88" s="19"/>
      <c r="AH88" s="93"/>
      <c r="AI88" s="93"/>
      <c r="AJ88" s="93"/>
      <c r="AK88" s="93"/>
      <c r="AL88" s="93"/>
      <c r="AM88" s="93"/>
      <c r="AN88" s="20"/>
      <c r="AO88" s="19"/>
      <c r="AP88" s="93"/>
      <c r="AQ88" s="93"/>
      <c r="AR88" s="93"/>
      <c r="AS88" s="20"/>
      <c r="AT88" s="19"/>
      <c r="AU88" s="93"/>
      <c r="AV88" s="20"/>
      <c r="AW88" s="19"/>
      <c r="AX88" s="93"/>
      <c r="AY88" s="93"/>
      <c r="AZ88" s="93"/>
      <c r="BA88" s="93"/>
      <c r="BB88" s="93"/>
      <c r="BC88" s="20"/>
      <c r="BD88" s="19"/>
      <c r="BE88" s="93"/>
      <c r="BF88" s="93"/>
      <c r="BG88" s="93"/>
      <c r="BH88" s="93"/>
      <c r="BI88" s="93"/>
      <c r="BJ88" s="93"/>
      <c r="BK88" s="20"/>
      <c r="BL88" s="19"/>
      <c r="BM88" s="93"/>
      <c r="BN88" s="93"/>
      <c r="BO88" s="93"/>
      <c r="BP88" s="93"/>
      <c r="BQ88" s="20"/>
      <c r="BR88" s="19"/>
      <c r="BS88" s="93"/>
      <c r="BT88" s="93"/>
      <c r="BU88" s="20"/>
      <c r="BV88" s="19"/>
      <c r="BW88" s="93"/>
      <c r="BX88" s="93"/>
      <c r="BY88" s="93"/>
      <c r="BZ88" s="93"/>
      <c r="CA88" s="93"/>
      <c r="CB88" s="20"/>
      <c r="CC88" s="25">
        <v>15</v>
      </c>
      <c r="CD88" s="19"/>
      <c r="CE88" s="93"/>
      <c r="CF88" s="20"/>
      <c r="CG88" s="25">
        <v>15</v>
      </c>
      <c r="CH88" s="19"/>
      <c r="CI88" s="93"/>
      <c r="CJ88" s="93"/>
      <c r="CK88" s="93"/>
      <c r="CL88" s="93"/>
      <c r="CM88" s="93"/>
      <c r="CN88" s="93"/>
      <c r="CO88" s="93"/>
      <c r="CP88" s="93"/>
      <c r="CQ88" s="93"/>
      <c r="CR88" s="214"/>
      <c r="CS88" s="20"/>
      <c r="CT88" s="25">
        <v>15</v>
      </c>
      <c r="CU88" s="19"/>
      <c r="CV88" s="93"/>
      <c r="CW88" s="93"/>
      <c r="CX88" s="93"/>
      <c r="CY88" s="93"/>
      <c r="CZ88" s="93"/>
      <c r="DA88" s="93"/>
      <c r="DB88" s="20"/>
      <c r="DC88" s="25">
        <v>15</v>
      </c>
      <c r="DD88" s="785">
        <v>37865</v>
      </c>
      <c r="DE88" s="19"/>
      <c r="DF88" s="20"/>
      <c r="DG88" s="25">
        <v>15</v>
      </c>
      <c r="DH88" s="19"/>
      <c r="DI88" s="20"/>
      <c r="DJ88" s="25">
        <v>15</v>
      </c>
      <c r="DK88" s="19"/>
      <c r="DL88" s="20"/>
      <c r="DM88" s="19"/>
      <c r="DN88" s="20"/>
      <c r="DO88" s="25">
        <v>15</v>
      </c>
      <c r="DP88" s="19"/>
      <c r="DQ88" s="93"/>
      <c r="DR88" s="20"/>
      <c r="DS88" s="25">
        <v>15</v>
      </c>
      <c r="DT88" s="19"/>
      <c r="DU88" s="93"/>
      <c r="DV88" s="20"/>
      <c r="DW88" s="25">
        <v>15</v>
      </c>
      <c r="DX88" s="19"/>
      <c r="DY88" s="20"/>
      <c r="DZ88" s="25">
        <v>15</v>
      </c>
      <c r="EA88" s="19"/>
      <c r="EB88" s="93"/>
      <c r="EC88" s="93"/>
      <c r="ED88" s="93"/>
      <c r="EE88" s="20"/>
      <c r="EF88" s="25">
        <v>15</v>
      </c>
      <c r="EG88" s="19"/>
      <c r="EH88" s="93"/>
      <c r="EI88" s="93"/>
      <c r="EJ88" s="93"/>
      <c r="EK88" s="20"/>
      <c r="EL88" s="25">
        <v>15</v>
      </c>
      <c r="EM88" s="19"/>
      <c r="EN88" s="93"/>
      <c r="EO88" s="93"/>
      <c r="EP88" s="93"/>
      <c r="EQ88" s="93"/>
      <c r="ER88" s="93"/>
      <c r="ES88" s="93"/>
      <c r="ET88" s="93"/>
      <c r="EU88" s="93"/>
      <c r="EV88" s="20"/>
      <c r="EW88" s="25">
        <v>15</v>
      </c>
      <c r="EX88" s="915"/>
      <c r="EY88" s="916"/>
      <c r="EZ88" s="916"/>
      <c r="FA88" s="916"/>
      <c r="FB88" s="916"/>
      <c r="FC88" s="916"/>
      <c r="FD88" s="916"/>
      <c r="FE88" s="916"/>
      <c r="FF88" s="916"/>
      <c r="FG88" s="917"/>
      <c r="FH88" s="25">
        <v>15</v>
      </c>
      <c r="FI88" s="848">
        <v>37865</v>
      </c>
      <c r="FJ88" s="19"/>
      <c r="FK88" s="93"/>
      <c r="FL88" s="20"/>
      <c r="FM88" s="25">
        <v>15</v>
      </c>
      <c r="FN88" s="19"/>
      <c r="FO88" s="93"/>
      <c r="FP88" s="93"/>
      <c r="FQ88" s="93"/>
      <c r="FR88" s="93"/>
      <c r="FS88" s="93"/>
      <c r="FT88" s="93"/>
      <c r="FU88" s="93"/>
      <c r="FV88" s="93"/>
      <c r="FW88" s="917"/>
      <c r="FX88" s="25">
        <v>15</v>
      </c>
      <c r="FY88" s="916"/>
      <c r="FZ88" s="916"/>
      <c r="GA88" s="916"/>
      <c r="GB88" s="916"/>
      <c r="GC88" s="916"/>
      <c r="GD88" s="916"/>
      <c r="GE88" s="916"/>
      <c r="GF88" s="916"/>
      <c r="GG88" s="916"/>
      <c r="GH88" s="916"/>
      <c r="GI88" s="917"/>
      <c r="GJ88" s="25">
        <v>15</v>
      </c>
      <c r="GK88" s="19"/>
      <c r="GL88" s="20"/>
      <c r="GM88" s="25">
        <v>15</v>
      </c>
      <c r="GN88" s="19"/>
      <c r="GO88" s="20"/>
      <c r="GP88" s="25">
        <v>15</v>
      </c>
      <c r="GQ88" s="19"/>
      <c r="GR88" s="20"/>
      <c r="GS88" s="25">
        <v>15</v>
      </c>
      <c r="GT88" s="848">
        <v>37865</v>
      </c>
      <c r="GU88" s="19"/>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v>15</v>
      </c>
      <c r="IW88" s="848">
        <v>37865</v>
      </c>
      <c r="IX88" s="93"/>
      <c r="IY88" s="93"/>
      <c r="IZ88" s="93"/>
      <c r="JA88" s="93"/>
      <c r="JB88" s="93"/>
      <c r="JC88" s="93"/>
      <c r="JD88" s="93"/>
      <c r="JE88" s="93"/>
      <c r="JF88" s="93"/>
      <c r="JG88" s="93"/>
      <c r="JH88" s="93"/>
      <c r="JI88" s="93"/>
      <c r="JJ88" s="93"/>
      <c r="JK88" s="93"/>
      <c r="JL88" s="93"/>
      <c r="JM88" s="93"/>
      <c r="JN88" s="93"/>
      <c r="JO88" s="93"/>
      <c r="JP88" s="93"/>
      <c r="JQ88" s="93"/>
      <c r="JR88" s="93"/>
      <c r="JS88" s="93"/>
      <c r="JT88" s="20"/>
      <c r="JU88" s="29">
        <v>15</v>
      </c>
      <c r="JV88" s="19"/>
      <c r="JW88" s="93"/>
      <c r="JX88" s="93"/>
      <c r="JY88" s="93"/>
      <c r="JZ88" s="93"/>
      <c r="KA88" s="93"/>
      <c r="KB88" s="93"/>
      <c r="KC88" s="93"/>
      <c r="KD88" s="93"/>
      <c r="KE88" s="93"/>
      <c r="KF88" s="93"/>
      <c r="KG88" s="93"/>
      <c r="KH88" s="93"/>
      <c r="KI88" s="93"/>
      <c r="KJ88" s="93"/>
      <c r="KK88" s="93"/>
      <c r="KL88" s="93"/>
      <c r="KM88" s="93"/>
      <c r="KN88" s="93"/>
      <c r="KO88" s="93"/>
      <c r="KP88" s="93"/>
      <c r="KQ88" s="93"/>
      <c r="KR88" s="93"/>
      <c r="KS88" s="93"/>
      <c r="KT88" s="93"/>
      <c r="KU88" s="93"/>
      <c r="KV88" s="93"/>
      <c r="KW88" s="20"/>
      <c r="KX88" s="29">
        <v>15</v>
      </c>
      <c r="KY88" s="19"/>
      <c r="KZ88" s="93"/>
      <c r="LA88" s="93"/>
      <c r="LB88" s="93"/>
      <c r="LC88" s="93"/>
      <c r="LD88" s="93"/>
      <c r="LE88" s="93"/>
      <c r="LF88" s="93"/>
      <c r="LG88" s="93"/>
      <c r="LH88" s="93"/>
      <c r="LI88" s="93"/>
      <c r="LJ88" s="93"/>
      <c r="LK88" s="93"/>
      <c r="LL88" s="93"/>
      <c r="LM88" s="93"/>
      <c r="LN88" s="93"/>
      <c r="LO88" s="93"/>
      <c r="LP88" s="93"/>
      <c r="LQ88" s="93"/>
      <c r="LR88" s="93"/>
      <c r="LS88" s="93"/>
      <c r="LT88" s="93"/>
      <c r="LU88" s="93"/>
      <c r="LV88" s="93"/>
      <c r="LW88" s="93"/>
      <c r="LX88" s="93"/>
      <c r="LY88" s="93"/>
      <c r="LZ88" s="93"/>
      <c r="MA88" s="93"/>
      <c r="MB88" s="93"/>
      <c r="MC88" s="93"/>
      <c r="MD88" s="93"/>
      <c r="ME88" s="93"/>
      <c r="MF88" s="93"/>
      <c r="MG88" s="93"/>
      <c r="MH88" s="20"/>
      <c r="MI88" s="29">
        <v>15</v>
      </c>
      <c r="MJ88" s="29" t="str">
        <f t="shared" si="82"/>
        <v>Trimestre 32003</v>
      </c>
      <c r="MK88" s="848">
        <v>37865</v>
      </c>
      <c r="ML88" s="29"/>
      <c r="MM88" s="29"/>
      <c r="MN88" s="29"/>
      <c r="MO88" s="29"/>
      <c r="MP88" s="29"/>
      <c r="MQ88" s="29"/>
      <c r="MR88" s="29"/>
      <c r="MS88" s="29"/>
      <c r="MT88" s="29"/>
      <c r="MU88" s="29"/>
      <c r="MV88" s="29"/>
      <c r="MW88" s="29"/>
      <c r="MX88" s="29"/>
      <c r="MY88" s="29"/>
      <c r="MZ88" s="29"/>
      <c r="NA88" s="29"/>
      <c r="NB88" s="29"/>
      <c r="NC88" s="29"/>
      <c r="ND88" s="29"/>
      <c r="NE88" s="29"/>
      <c r="NF88" s="29"/>
      <c r="NG88" s="29"/>
      <c r="NH88" s="29"/>
      <c r="NI88" s="29"/>
      <c r="NJ88" s="29"/>
      <c r="NK88" s="29"/>
      <c r="NL88" s="29">
        <v>15</v>
      </c>
    </row>
    <row r="89" spans="1:376">
      <c r="A89" s="41">
        <f t="shared" si="80"/>
        <v>2003</v>
      </c>
      <c r="B89" s="785">
        <v>37956</v>
      </c>
      <c r="C89" s="19"/>
      <c r="D89" s="93"/>
      <c r="E89" s="93"/>
      <c r="F89" s="93"/>
      <c r="G89" s="93"/>
      <c r="H89" s="93"/>
      <c r="I89" s="93"/>
      <c r="J89" s="93"/>
      <c r="K89" s="93"/>
      <c r="L89" s="93"/>
      <c r="M89" s="20"/>
      <c r="N89" s="25">
        <v>16</v>
      </c>
      <c r="O89" s="889">
        <f t="shared" si="79"/>
        <v>2003</v>
      </c>
      <c r="P89" s="29" t="str">
        <f t="shared" si="81"/>
        <v>Trimestre 42003</v>
      </c>
      <c r="Q89" s="848">
        <v>37956</v>
      </c>
      <c r="R89" s="733"/>
      <c r="S89" s="570"/>
      <c r="T89" s="570"/>
      <c r="U89" s="734"/>
      <c r="V89" s="25">
        <v>16</v>
      </c>
      <c r="W89" s="19"/>
      <c r="X89" s="93"/>
      <c r="Y89" s="93"/>
      <c r="Z89" s="93"/>
      <c r="AA89" s="93"/>
      <c r="AB89" s="93"/>
      <c r="AC89" s="93"/>
      <c r="AD89" s="93"/>
      <c r="AE89" s="20"/>
      <c r="AF89" s="25">
        <v>16</v>
      </c>
      <c r="AG89" s="19"/>
      <c r="AH89" s="93"/>
      <c r="AI89" s="93"/>
      <c r="AJ89" s="93"/>
      <c r="AK89" s="93"/>
      <c r="AL89" s="93"/>
      <c r="AM89" s="93"/>
      <c r="AN89" s="20"/>
      <c r="AO89" s="19"/>
      <c r="AP89" s="93"/>
      <c r="AQ89" s="93"/>
      <c r="AR89" s="93"/>
      <c r="AS89" s="20"/>
      <c r="AT89" s="19"/>
      <c r="AU89" s="93"/>
      <c r="AV89" s="20"/>
      <c r="AW89" s="19"/>
      <c r="AX89" s="93"/>
      <c r="AY89" s="93"/>
      <c r="AZ89" s="93"/>
      <c r="BA89" s="93"/>
      <c r="BB89" s="93"/>
      <c r="BC89" s="20"/>
      <c r="BD89" s="19"/>
      <c r="BE89" s="93"/>
      <c r="BF89" s="93"/>
      <c r="BG89" s="93"/>
      <c r="BH89" s="93"/>
      <c r="BI89" s="93"/>
      <c r="BJ89" s="93"/>
      <c r="BK89" s="20"/>
      <c r="BL89" s="19"/>
      <c r="BM89" s="93"/>
      <c r="BN89" s="93"/>
      <c r="BO89" s="93"/>
      <c r="BP89" s="93"/>
      <c r="BQ89" s="20"/>
      <c r="BR89" s="19"/>
      <c r="BS89" s="93"/>
      <c r="BT89" s="93"/>
      <c r="BU89" s="20"/>
      <c r="BV89" s="19"/>
      <c r="BW89" s="93"/>
      <c r="BX89" s="93"/>
      <c r="BY89" s="93"/>
      <c r="BZ89" s="93"/>
      <c r="CA89" s="93"/>
      <c r="CB89" s="20"/>
      <c r="CC89" s="25">
        <v>16</v>
      </c>
      <c r="CD89" s="19"/>
      <c r="CE89" s="93"/>
      <c r="CF89" s="20"/>
      <c r="CG89" s="25">
        <v>16</v>
      </c>
      <c r="CH89" s="19"/>
      <c r="CI89" s="93"/>
      <c r="CJ89" s="93"/>
      <c r="CK89" s="93"/>
      <c r="CL89" s="93"/>
      <c r="CM89" s="93"/>
      <c r="CN89" s="93"/>
      <c r="CO89" s="93"/>
      <c r="CP89" s="93"/>
      <c r="CQ89" s="93"/>
      <c r="CR89" s="214"/>
      <c r="CS89" s="20"/>
      <c r="CT89" s="25">
        <v>16</v>
      </c>
      <c r="CU89" s="19"/>
      <c r="CV89" s="93"/>
      <c r="CW89" s="93"/>
      <c r="CX89" s="93"/>
      <c r="CY89" s="93"/>
      <c r="CZ89" s="93"/>
      <c r="DA89" s="93"/>
      <c r="DB89" s="20"/>
      <c r="DC89" s="25">
        <v>16</v>
      </c>
      <c r="DD89" s="785">
        <v>37956</v>
      </c>
      <c r="DE89" s="19"/>
      <c r="DF89" s="20"/>
      <c r="DG89" s="25">
        <v>16</v>
      </c>
      <c r="DH89" s="19"/>
      <c r="DI89" s="20"/>
      <c r="DJ89" s="25">
        <v>16</v>
      </c>
      <c r="DK89" s="19"/>
      <c r="DL89" s="20"/>
      <c r="DM89" s="19"/>
      <c r="DN89" s="20"/>
      <c r="DO89" s="25">
        <v>16</v>
      </c>
      <c r="DP89" s="19"/>
      <c r="DQ89" s="93"/>
      <c r="DR89" s="20"/>
      <c r="DS89" s="25">
        <v>16</v>
      </c>
      <c r="DT89" s="19"/>
      <c r="DU89" s="93"/>
      <c r="DV89" s="20"/>
      <c r="DW89" s="25">
        <v>16</v>
      </c>
      <c r="DX89" s="19"/>
      <c r="DY89" s="20"/>
      <c r="DZ89" s="25">
        <v>16</v>
      </c>
      <c r="EA89" s="19"/>
      <c r="EB89" s="93"/>
      <c r="EC89" s="93"/>
      <c r="ED89" s="93"/>
      <c r="EE89" s="20"/>
      <c r="EF89" s="25">
        <v>16</v>
      </c>
      <c r="EG89" s="19"/>
      <c r="EH89" s="93"/>
      <c r="EI89" s="93"/>
      <c r="EJ89" s="93"/>
      <c r="EK89" s="20"/>
      <c r="EL89" s="25">
        <v>16</v>
      </c>
      <c r="EM89" s="19"/>
      <c r="EN89" s="93"/>
      <c r="EO89" s="93"/>
      <c r="EP89" s="93"/>
      <c r="EQ89" s="93"/>
      <c r="ER89" s="93"/>
      <c r="ES89" s="93"/>
      <c r="ET89" s="93"/>
      <c r="EU89" s="93"/>
      <c r="EV89" s="20"/>
      <c r="EW89" s="25">
        <v>16</v>
      </c>
      <c r="EX89" s="915"/>
      <c r="EY89" s="916"/>
      <c r="EZ89" s="916"/>
      <c r="FA89" s="916"/>
      <c r="FB89" s="916"/>
      <c r="FC89" s="916"/>
      <c r="FD89" s="916"/>
      <c r="FE89" s="916"/>
      <c r="FF89" s="916"/>
      <c r="FG89" s="917"/>
      <c r="FH89" s="25">
        <v>16</v>
      </c>
      <c r="FI89" s="848">
        <v>37956</v>
      </c>
      <c r="FJ89" s="19"/>
      <c r="FK89" s="93"/>
      <c r="FL89" s="20"/>
      <c r="FM89" s="25">
        <v>16</v>
      </c>
      <c r="FN89" s="19"/>
      <c r="FO89" s="93"/>
      <c r="FP89" s="93"/>
      <c r="FQ89" s="93"/>
      <c r="FR89" s="93"/>
      <c r="FS89" s="93"/>
      <c r="FT89" s="93"/>
      <c r="FU89" s="93"/>
      <c r="FV89" s="93"/>
      <c r="FW89" s="917"/>
      <c r="FX89" s="25">
        <v>16</v>
      </c>
      <c r="FY89" s="916"/>
      <c r="FZ89" s="916"/>
      <c r="GA89" s="916"/>
      <c r="GB89" s="916"/>
      <c r="GC89" s="916"/>
      <c r="GD89" s="916"/>
      <c r="GE89" s="916"/>
      <c r="GF89" s="916"/>
      <c r="GG89" s="916"/>
      <c r="GH89" s="916"/>
      <c r="GI89" s="917"/>
      <c r="GJ89" s="25">
        <v>16</v>
      </c>
      <c r="GK89" s="19"/>
      <c r="GL89" s="20"/>
      <c r="GM89" s="25">
        <v>16</v>
      </c>
      <c r="GN89" s="19"/>
      <c r="GO89" s="20"/>
      <c r="GP89" s="25">
        <v>16</v>
      </c>
      <c r="GQ89" s="19"/>
      <c r="GR89" s="20"/>
      <c r="GS89" s="25">
        <v>16</v>
      </c>
      <c r="GT89" s="848">
        <v>37956</v>
      </c>
      <c r="GU89" s="19"/>
      <c r="GV89" s="93"/>
      <c r="GW89" s="93"/>
      <c r="GX89" s="93"/>
      <c r="GY89" s="93"/>
      <c r="GZ89" s="93"/>
      <c r="HA89" s="93"/>
      <c r="HB89" s="93"/>
      <c r="HC89" s="93"/>
      <c r="HD89" s="93"/>
      <c r="HE89" s="93"/>
      <c r="HF89" s="93"/>
      <c r="HG89" s="93"/>
      <c r="HH89" s="93"/>
      <c r="HI89" s="93"/>
      <c r="HJ89" s="93"/>
      <c r="HK89" s="93"/>
      <c r="HL89" s="93"/>
      <c r="HM89" s="93"/>
      <c r="HN89" s="93"/>
      <c r="HO89" s="93"/>
      <c r="HP89" s="93"/>
      <c r="HQ89" s="93"/>
      <c r="HR89" s="93"/>
      <c r="HS89" s="93"/>
      <c r="HT89" s="93"/>
      <c r="HU89" s="93"/>
      <c r="HV89" s="93"/>
      <c r="HW89" s="93"/>
      <c r="HX89" s="93"/>
      <c r="HY89" s="93"/>
      <c r="HZ89" s="93"/>
      <c r="IA89" s="93"/>
      <c r="IB89" s="93"/>
      <c r="IC89" s="93"/>
      <c r="ID89" s="93"/>
      <c r="IE89" s="93"/>
      <c r="IF89" s="93"/>
      <c r="IG89" s="93"/>
      <c r="IH89" s="93"/>
      <c r="II89" s="93"/>
      <c r="IJ89" s="93"/>
      <c r="IK89" s="93"/>
      <c r="IL89" s="93"/>
      <c r="IM89" s="93"/>
      <c r="IN89" s="93"/>
      <c r="IO89" s="93"/>
      <c r="IP89" s="93"/>
      <c r="IQ89" s="93"/>
      <c r="IR89" s="93"/>
      <c r="IS89" s="93"/>
      <c r="IT89" s="93"/>
      <c r="IU89" s="93"/>
      <c r="IV89" s="93">
        <v>16</v>
      </c>
      <c r="IW89" s="848">
        <v>37956</v>
      </c>
      <c r="IX89" s="93"/>
      <c r="IY89" s="93"/>
      <c r="IZ89" s="93"/>
      <c r="JA89" s="93"/>
      <c r="JB89" s="93"/>
      <c r="JC89" s="93"/>
      <c r="JD89" s="93"/>
      <c r="JE89" s="93"/>
      <c r="JF89" s="93"/>
      <c r="JG89" s="93"/>
      <c r="JH89" s="93"/>
      <c r="JI89" s="93"/>
      <c r="JJ89" s="93"/>
      <c r="JK89" s="93"/>
      <c r="JL89" s="93"/>
      <c r="JM89" s="93"/>
      <c r="JN89" s="93"/>
      <c r="JO89" s="93"/>
      <c r="JP89" s="93"/>
      <c r="JQ89" s="93"/>
      <c r="JR89" s="93"/>
      <c r="JS89" s="93"/>
      <c r="JT89" s="20"/>
      <c r="JU89" s="29">
        <v>16</v>
      </c>
      <c r="JV89" s="19"/>
      <c r="JW89" s="93"/>
      <c r="JX89" s="93"/>
      <c r="JY89" s="93"/>
      <c r="JZ89" s="93"/>
      <c r="KA89" s="93"/>
      <c r="KB89" s="93"/>
      <c r="KC89" s="93"/>
      <c r="KD89" s="93"/>
      <c r="KE89" s="93"/>
      <c r="KF89" s="93"/>
      <c r="KG89" s="93"/>
      <c r="KH89" s="93"/>
      <c r="KI89" s="93"/>
      <c r="KJ89" s="93"/>
      <c r="KK89" s="93"/>
      <c r="KL89" s="93"/>
      <c r="KM89" s="93"/>
      <c r="KN89" s="93"/>
      <c r="KO89" s="93"/>
      <c r="KP89" s="93"/>
      <c r="KQ89" s="93"/>
      <c r="KR89" s="93"/>
      <c r="KS89" s="93"/>
      <c r="KT89" s="93"/>
      <c r="KU89" s="93"/>
      <c r="KV89" s="93"/>
      <c r="KW89" s="20"/>
      <c r="KX89" s="29">
        <v>16</v>
      </c>
      <c r="KY89" s="19"/>
      <c r="KZ89" s="93"/>
      <c r="LA89" s="93"/>
      <c r="LB89" s="93"/>
      <c r="LC89" s="93"/>
      <c r="LD89" s="93"/>
      <c r="LE89" s="93"/>
      <c r="LF89" s="93"/>
      <c r="LG89" s="93"/>
      <c r="LH89" s="93"/>
      <c r="LI89" s="93"/>
      <c r="LJ89" s="93"/>
      <c r="LK89" s="93"/>
      <c r="LL89" s="93"/>
      <c r="LM89" s="93"/>
      <c r="LN89" s="93"/>
      <c r="LO89" s="93"/>
      <c r="LP89" s="93"/>
      <c r="LQ89" s="93"/>
      <c r="LR89" s="93"/>
      <c r="LS89" s="93"/>
      <c r="LT89" s="93"/>
      <c r="LU89" s="93"/>
      <c r="LV89" s="93"/>
      <c r="LW89" s="93"/>
      <c r="LX89" s="93"/>
      <c r="LY89" s="93"/>
      <c r="LZ89" s="93"/>
      <c r="MA89" s="93"/>
      <c r="MB89" s="93"/>
      <c r="MC89" s="93"/>
      <c r="MD89" s="93"/>
      <c r="ME89" s="93"/>
      <c r="MF89" s="93"/>
      <c r="MG89" s="93"/>
      <c r="MH89" s="20"/>
      <c r="MI89" s="29">
        <v>16</v>
      </c>
      <c r="MJ89" s="29" t="str">
        <f t="shared" si="82"/>
        <v>Trimestre 42003</v>
      </c>
      <c r="MK89" s="848">
        <v>37956</v>
      </c>
      <c r="ML89" s="29"/>
      <c r="MM89" s="29"/>
      <c r="MN89" s="29"/>
      <c r="MO89" s="29"/>
      <c r="MP89" s="29"/>
      <c r="MQ89" s="29"/>
      <c r="MR89" s="29"/>
      <c r="MS89" s="29"/>
      <c r="MT89" s="29"/>
      <c r="MU89" s="29"/>
      <c r="MV89" s="29"/>
      <c r="MW89" s="29"/>
      <c r="MX89" s="29"/>
      <c r="MY89" s="29"/>
      <c r="MZ89" s="29"/>
      <c r="NA89" s="29"/>
      <c r="NB89" s="29"/>
      <c r="NC89" s="29"/>
      <c r="ND89" s="29"/>
      <c r="NE89" s="29"/>
      <c r="NF89" s="29"/>
      <c r="NG89" s="29"/>
      <c r="NH89" s="29"/>
      <c r="NI89" s="29"/>
      <c r="NJ89" s="29"/>
      <c r="NK89" s="29"/>
      <c r="NL89" s="29">
        <v>16</v>
      </c>
    </row>
    <row r="90" spans="1:376">
      <c r="A90" s="41">
        <f t="shared" si="80"/>
        <v>2004</v>
      </c>
      <c r="B90" s="785">
        <v>38047</v>
      </c>
      <c r="C90" s="19"/>
      <c r="D90" s="93"/>
      <c r="E90" s="93"/>
      <c r="F90" s="93"/>
      <c r="G90" s="93"/>
      <c r="H90" s="93"/>
      <c r="I90" s="93"/>
      <c r="J90" s="93"/>
      <c r="K90" s="93"/>
      <c r="L90" s="93"/>
      <c r="M90" s="20"/>
      <c r="N90" s="25">
        <v>17</v>
      </c>
      <c r="O90" s="889">
        <f t="shared" si="79"/>
        <v>2004</v>
      </c>
      <c r="P90" s="29" t="str">
        <f t="shared" si="81"/>
        <v>Trimestre 12004</v>
      </c>
      <c r="Q90" s="848">
        <v>38047</v>
      </c>
      <c r="R90" s="733"/>
      <c r="S90" s="570"/>
      <c r="T90" s="570"/>
      <c r="U90" s="734"/>
      <c r="V90" s="25">
        <v>17</v>
      </c>
      <c r="W90" s="19"/>
      <c r="X90" s="93"/>
      <c r="Y90" s="93"/>
      <c r="Z90" s="93"/>
      <c r="AA90" s="93"/>
      <c r="AB90" s="93"/>
      <c r="AC90" s="93"/>
      <c r="AD90" s="93"/>
      <c r="AE90" s="20"/>
      <c r="AF90" s="25">
        <v>17</v>
      </c>
      <c r="AG90" s="19"/>
      <c r="AH90" s="93"/>
      <c r="AI90" s="93"/>
      <c r="AJ90" s="93"/>
      <c r="AK90" s="93"/>
      <c r="AL90" s="93"/>
      <c r="AM90" s="93"/>
      <c r="AN90" s="20"/>
      <c r="AO90" s="19"/>
      <c r="AP90" s="93"/>
      <c r="AQ90" s="93"/>
      <c r="AR90" s="93"/>
      <c r="AS90" s="20"/>
      <c r="AT90" s="19"/>
      <c r="AU90" s="93"/>
      <c r="AV90" s="20"/>
      <c r="AW90" s="19"/>
      <c r="AX90" s="93"/>
      <c r="AY90" s="93"/>
      <c r="AZ90" s="93"/>
      <c r="BA90" s="93"/>
      <c r="BB90" s="93"/>
      <c r="BC90" s="20"/>
      <c r="BD90" s="19"/>
      <c r="BE90" s="93"/>
      <c r="BF90" s="93"/>
      <c r="BG90" s="93"/>
      <c r="BH90" s="93"/>
      <c r="BI90" s="93"/>
      <c r="BJ90" s="93"/>
      <c r="BK90" s="20"/>
      <c r="BL90" s="19"/>
      <c r="BM90" s="93"/>
      <c r="BN90" s="93"/>
      <c r="BO90" s="93"/>
      <c r="BP90" s="93"/>
      <c r="BQ90" s="20"/>
      <c r="BR90" s="19"/>
      <c r="BS90" s="93"/>
      <c r="BT90" s="93"/>
      <c r="BU90" s="20"/>
      <c r="BV90" s="19"/>
      <c r="BW90" s="93"/>
      <c r="BX90" s="93"/>
      <c r="BY90" s="93"/>
      <c r="BZ90" s="93"/>
      <c r="CA90" s="93"/>
      <c r="CB90" s="20"/>
      <c r="CC90" s="25">
        <v>17</v>
      </c>
      <c r="CD90" s="19"/>
      <c r="CE90" s="93"/>
      <c r="CF90" s="20"/>
      <c r="CG90" s="25">
        <v>17</v>
      </c>
      <c r="CH90" s="19"/>
      <c r="CI90" s="93"/>
      <c r="CJ90" s="93"/>
      <c r="CK90" s="93"/>
      <c r="CL90" s="93"/>
      <c r="CM90" s="93"/>
      <c r="CN90" s="93"/>
      <c r="CO90" s="93"/>
      <c r="CP90" s="93"/>
      <c r="CQ90" s="93"/>
      <c r="CR90" s="214"/>
      <c r="CS90" s="20"/>
      <c r="CT90" s="25">
        <v>17</v>
      </c>
      <c r="CU90" s="19"/>
      <c r="CV90" s="93"/>
      <c r="CW90" s="93"/>
      <c r="CX90" s="93"/>
      <c r="CY90" s="93"/>
      <c r="CZ90" s="93"/>
      <c r="DA90" s="93"/>
      <c r="DB90" s="20"/>
      <c r="DC90" s="25">
        <v>17</v>
      </c>
      <c r="DD90" s="785">
        <v>38047</v>
      </c>
      <c r="DE90" s="19"/>
      <c r="DF90" s="20"/>
      <c r="DG90" s="25">
        <v>17</v>
      </c>
      <c r="DH90" s="19"/>
      <c r="DI90" s="20"/>
      <c r="DJ90" s="25">
        <v>17</v>
      </c>
      <c r="DK90" s="19"/>
      <c r="DL90" s="20"/>
      <c r="DM90" s="19"/>
      <c r="DN90" s="20"/>
      <c r="DO90" s="25">
        <v>17</v>
      </c>
      <c r="DP90" s="19"/>
      <c r="DQ90" s="93"/>
      <c r="DR90" s="20"/>
      <c r="DS90" s="25">
        <v>17</v>
      </c>
      <c r="DT90" s="19"/>
      <c r="DU90" s="93"/>
      <c r="DV90" s="20"/>
      <c r="DW90" s="25">
        <v>17</v>
      </c>
      <c r="DX90" s="19"/>
      <c r="DY90" s="20"/>
      <c r="DZ90" s="25">
        <v>17</v>
      </c>
      <c r="EA90" s="19"/>
      <c r="EB90" s="93"/>
      <c r="EC90" s="93"/>
      <c r="ED90" s="93"/>
      <c r="EE90" s="20"/>
      <c r="EF90" s="25">
        <v>17</v>
      </c>
      <c r="EG90" s="19"/>
      <c r="EH90" s="93"/>
      <c r="EI90" s="93"/>
      <c r="EJ90" s="93"/>
      <c r="EK90" s="20"/>
      <c r="EL90" s="25">
        <v>17</v>
      </c>
      <c r="EM90" s="19"/>
      <c r="EN90" s="93"/>
      <c r="EO90" s="93"/>
      <c r="EP90" s="93"/>
      <c r="EQ90" s="93"/>
      <c r="ER90" s="93"/>
      <c r="ES90" s="93"/>
      <c r="ET90" s="93"/>
      <c r="EU90" s="93"/>
      <c r="EV90" s="20"/>
      <c r="EW90" s="25">
        <v>17</v>
      </c>
      <c r="EX90" s="915"/>
      <c r="EY90" s="916"/>
      <c r="EZ90" s="916"/>
      <c r="FA90" s="916"/>
      <c r="FB90" s="916"/>
      <c r="FC90" s="916"/>
      <c r="FD90" s="916"/>
      <c r="FE90" s="916"/>
      <c r="FF90" s="916"/>
      <c r="FG90" s="917"/>
      <c r="FH90" s="25">
        <v>17</v>
      </c>
      <c r="FI90" s="848">
        <v>38047</v>
      </c>
      <c r="FJ90" s="19"/>
      <c r="FK90" s="93"/>
      <c r="FL90" s="20"/>
      <c r="FM90" s="25">
        <v>17</v>
      </c>
      <c r="FN90" s="19"/>
      <c r="FO90" s="93"/>
      <c r="FP90" s="93"/>
      <c r="FQ90" s="93"/>
      <c r="FR90" s="93"/>
      <c r="FS90" s="93"/>
      <c r="FT90" s="93"/>
      <c r="FU90" s="93"/>
      <c r="FV90" s="93"/>
      <c r="FW90" s="917"/>
      <c r="FX90" s="25">
        <v>17</v>
      </c>
      <c r="FY90" s="916"/>
      <c r="FZ90" s="916"/>
      <c r="GA90" s="916"/>
      <c r="GB90" s="916"/>
      <c r="GC90" s="916"/>
      <c r="GD90" s="916"/>
      <c r="GE90" s="916"/>
      <c r="GF90" s="916"/>
      <c r="GG90" s="916"/>
      <c r="GH90" s="916"/>
      <c r="GI90" s="917"/>
      <c r="GJ90" s="25">
        <v>17</v>
      </c>
      <c r="GK90" s="19"/>
      <c r="GL90" s="20"/>
      <c r="GM90" s="25">
        <v>17</v>
      </c>
      <c r="GN90" s="19"/>
      <c r="GO90" s="20"/>
      <c r="GP90" s="25">
        <v>17</v>
      </c>
      <c r="GQ90" s="19"/>
      <c r="GR90" s="20"/>
      <c r="GS90" s="25">
        <v>17</v>
      </c>
      <c r="GT90" s="848">
        <v>38047</v>
      </c>
      <c r="GU90" s="19"/>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v>17</v>
      </c>
      <c r="IW90" s="848">
        <v>38047</v>
      </c>
      <c r="IX90" s="1035"/>
      <c r="IY90" s="1035">
        <v>251.81709999999998</v>
      </c>
      <c r="IZ90" s="1035">
        <v>266.86509999999998</v>
      </c>
      <c r="JA90" s="1035">
        <v>0.38456551</v>
      </c>
      <c r="JB90" s="1035">
        <v>192.94481550104541</v>
      </c>
      <c r="JC90" s="1035">
        <v>42.072299999999998</v>
      </c>
      <c r="JD90" s="1035">
        <v>487.21878101104539</v>
      </c>
      <c r="JE90" s="1035">
        <v>182.69478105288567</v>
      </c>
      <c r="JF90" s="1035">
        <v>669.91356206393107</v>
      </c>
      <c r="JG90" s="1035"/>
      <c r="JH90" s="1035">
        <v>326.19723555441612</v>
      </c>
      <c r="JI90" s="1035">
        <v>260.83426803499998</v>
      </c>
      <c r="JJ90" s="1035">
        <v>65.362967519416131</v>
      </c>
      <c r="JK90" s="1035">
        <v>399.36503717251486</v>
      </c>
      <c r="JL90" s="1035">
        <v>-6.9384905770000174</v>
      </c>
      <c r="JM90" s="1035">
        <v>51.307509422999992</v>
      </c>
      <c r="JN90" s="1035">
        <v>-58.246000000000009</v>
      </c>
      <c r="JO90" s="1035">
        <v>406.3035277495149</v>
      </c>
      <c r="JP90" s="1035">
        <v>1.8818987150000002</v>
      </c>
      <c r="JQ90" s="1035">
        <v>404.42162903451492</v>
      </c>
      <c r="JR90" s="1035">
        <v>91.147258217000001</v>
      </c>
      <c r="JS90" s="1035">
        <v>-35.498547553999998</v>
      </c>
      <c r="JT90" s="1036">
        <v>669.91356206393107</v>
      </c>
      <c r="JU90" s="29">
        <v>17</v>
      </c>
      <c r="JV90" s="1037"/>
      <c r="JW90" s="1526">
        <f>VLOOKUP($IW90,Base_Mensuelle!$OF$68:$RM$679,HLOOKUP(JW$73,Base_Mensuelle!$PE$67:$QE$680,614,0))</f>
        <v>260.83426803499998</v>
      </c>
      <c r="JX90" s="1526">
        <f>VLOOKUP($IW90,Base_Mensuelle!$OF$68:$RM$679,HLOOKUP(JX$73,Base_Mensuelle!$PE$67:$QE$680,614,0))</f>
        <v>528.76605081299999</v>
      </c>
      <c r="JY90" s="1526">
        <f>VLOOKUP($IW90,Base_Mensuelle!$OF$68:$RM$679,HLOOKUP(JY$73,Base_Mensuelle!$PE$67:$QE$680,614,0))</f>
        <v>267.93178277800001</v>
      </c>
      <c r="JZ90" s="1526">
        <f>VLOOKUP($IW90,Base_Mensuelle!$OF$68:$RM$679,HLOOKUP(JZ$73,Base_Mensuelle!$PE$67:$QE$680,614,0))</f>
        <v>1.1444905000000001</v>
      </c>
      <c r="KA90" s="1526">
        <f>VLOOKUP($IW90,Base_Mensuelle!$OF$68:$RM$679,HLOOKUP(KA$73,Base_Mensuelle!$PE$67:$QE$680,614,0))</f>
        <v>51.307509422999992</v>
      </c>
      <c r="KB90" s="1526">
        <f>VLOOKUP($IW90,Base_Mensuelle!$OF$68:$RM$679,HLOOKUP(KB$73,Base_Mensuelle!$PE$67:$QE$680,614,0))</f>
        <v>101.49669710799999</v>
      </c>
      <c r="KC90" s="1526">
        <f>VLOOKUP($IW90,Base_Mensuelle!$OF$68:$RM$679,HLOOKUP(KC$73,Base_Mensuelle!$PE$67:$QE$680,614,0))</f>
        <v>50.189187685</v>
      </c>
      <c r="KD90" s="1526">
        <f>VLOOKUP($IW90,Base_Mensuelle!$OF$68:$RM$679,HLOOKUP(KD$73,Base_Mensuelle!$PE$67:$QE$680,614,0))</f>
        <v>1.8818987150000002</v>
      </c>
      <c r="KE90" s="1526">
        <f>VLOOKUP($IW90,Base_Mensuelle!$OF$68:$RM$679,HLOOKUP(KE$73,Base_Mensuelle!$PE$67:$QE$680,614,0))</f>
        <v>0</v>
      </c>
      <c r="KF90" s="1526">
        <f>VLOOKUP($IW90,Base_Mensuelle!$OF$68:$RM$679,HLOOKUP(KF$73,Base_Mensuelle!$PE$67:$QE$680,614,0))</f>
        <v>0</v>
      </c>
      <c r="KG90" s="1526">
        <f>VLOOKUP($IW90,Base_Mensuelle!$OF$68:$RM$679,HLOOKUP(KG$73,Base_Mensuelle!$PE$67:$QE$680,614,0))</f>
        <v>5.0794000000000002E-5</v>
      </c>
      <c r="KH90" s="1526">
        <f>VLOOKUP($IW90,Base_Mensuelle!$OF$68:$RM$679,HLOOKUP(KH$73,Base_Mensuelle!$PE$67:$QE$680,614,0))</f>
        <v>1.8818479210000001</v>
      </c>
      <c r="KI90" s="1526">
        <f>VLOOKUP($IW90,Base_Mensuelle!$OF$68:$RM$679,HLOOKUP(KI$73,Base_Mensuelle!$PE$67:$QE$680,614,0))</f>
        <v>307.721151851</v>
      </c>
      <c r="KJ90" s="1526">
        <f>VLOOKUP($IW90,Base_Mensuelle!$OF$68:$RM$679,HLOOKUP(KJ$73,Base_Mensuelle!$PE$67:$QE$680,614,0))</f>
        <v>266.86509999999998</v>
      </c>
      <c r="KK90" s="1526">
        <f>VLOOKUP($IW90,Base_Mensuelle!$OF$68:$RM$679,HLOOKUP(KK$73,Base_Mensuelle!$PE$67:$QE$680,614,0))</f>
        <v>40.471486341000002</v>
      </c>
      <c r="KL90" s="1526">
        <f>VLOOKUP($IW90,Base_Mensuelle!$OF$68:$RM$679,HLOOKUP(KL$73,Base_Mensuelle!$PE$67:$QE$680,614,0))</f>
        <v>0.38456551</v>
      </c>
      <c r="KM90" s="1526">
        <f>VLOOKUP($IW90,Base_Mensuelle!$OF$68:$RM$679,HLOOKUP(KM$73,Base_Mensuelle!$PE$67:$QE$680,614,0))</f>
        <v>0</v>
      </c>
      <c r="KN90" s="1526">
        <f>VLOOKUP($IW90,Base_Mensuelle!$OF$68:$RM$679,HLOOKUP(KN$73,Base_Mensuelle!$PE$67:$QE$680,614,0))</f>
        <v>7.0917768629999998</v>
      </c>
      <c r="KO90" s="1526">
        <f>VLOOKUP($IW90,Base_Mensuelle!$OF$68:$RM$679,HLOOKUP(KO$73,Base_Mensuelle!$PE$67:$QE$680,614,0))</f>
        <v>0</v>
      </c>
      <c r="KP90" s="1526">
        <f>VLOOKUP($IW90,Base_Mensuelle!$OF$68:$RM$679,HLOOKUP(KP$73,Base_Mensuelle!$PE$67:$QE$680,614,0))</f>
        <v>0</v>
      </c>
      <c r="KQ90" s="1526">
        <f>VLOOKUP($IW90,Base_Mensuelle!$OF$68:$RM$679,HLOOKUP(KQ$73,Base_Mensuelle!$PE$67:$QE$680,614,0))</f>
        <v>7.0917768629999998</v>
      </c>
      <c r="KR90" s="1526">
        <f>VLOOKUP($IW90,Base_Mensuelle!$OF$68:$RM$679,HLOOKUP(KR$73,Base_Mensuelle!$PE$67:$QE$680,614,0))</f>
        <v>0</v>
      </c>
      <c r="KS90" s="1526">
        <f>VLOOKUP($IW90,Base_Mensuelle!$OF$68:$RM$679,HLOOKUP(KS$73,Base_Mensuelle!$PE$67:$QE$680,614,0))</f>
        <v>0</v>
      </c>
      <c r="KT90" s="1526">
        <f>VLOOKUP($IW90,Base_Mensuelle!$OF$68:$RM$679,HLOOKUP(KT$73,Base_Mensuelle!$PE$67:$QE$680,614,0))</f>
        <v>0</v>
      </c>
      <c r="KU90" s="1526">
        <f>VLOOKUP($IW90,Base_Mensuelle!$OF$68:$RM$679,HLOOKUP(KU$73,Base_Mensuelle!$PE$67:$QE$680,614,0))</f>
        <v>8.5481354000000009E-2</v>
      </c>
      <c r="KV90" s="1526">
        <f>VLOOKUP($IW90,Base_Mensuelle!$OF$68:$RM$679,HLOOKUP(KV$73,Base_Mensuelle!$PE$67:$QE$680,614,0))</f>
        <v>0.26975660500000004</v>
      </c>
      <c r="KW90" s="1036"/>
      <c r="KX90" s="29">
        <v>17</v>
      </c>
      <c r="KY90" s="1037"/>
      <c r="KZ90" s="182">
        <f>VLOOKUP($IW90,Base_Mensuelle!$OF$68:$RM$679,HLOOKUP(KZ$73,Base_Mensuelle!$QG$67:$RM$680,614,0))</f>
        <v>65.362967519416131</v>
      </c>
      <c r="LA90" s="182">
        <f>VLOOKUP($IW90,Base_Mensuelle!$OF$68:$RM$679,HLOOKUP(LA$73,Base_Mensuelle!$QG$67:$RM$680,614,0))</f>
        <v>139.00237096548503</v>
      </c>
      <c r="LB90" s="182">
        <f>VLOOKUP($IW90,Base_Mensuelle!$OF$68:$RM$679,HLOOKUP(LB$73,Base_Mensuelle!$QG$67:$RM$680,614,0))</f>
        <v>-73.639403446068897</v>
      </c>
      <c r="LC90" s="182">
        <f>VLOOKUP($IW90,Base_Mensuelle!$OF$68:$RM$679,HLOOKUP(LC$73,Base_Mensuelle!$QG$67:$RM$680,614,0))</f>
        <v>58.901000000000003</v>
      </c>
      <c r="LD90" s="182">
        <f>VLOOKUP($IW90,Base_Mensuelle!$OF$68:$RM$679,HLOOKUP(LD$73,Base_Mensuelle!$QG$67:$RM$680,614,0))</f>
        <v>15.048</v>
      </c>
      <c r="LE90" s="182">
        <f>VLOOKUP($IW90,Base_Mensuelle!$OF$68:$RM$679,HLOOKUP(LE$73,Base_Mensuelle!$QG$67:$RM$680,614,0))</f>
        <v>43.853000000000002</v>
      </c>
      <c r="LF90" s="182">
        <f>VLOOKUP($IW90,Base_Mensuelle!$OF$68:$RM$679,HLOOKUP(LF$73,Base_Mensuelle!$QG$67:$RM$680,614,0))</f>
        <v>0</v>
      </c>
      <c r="LG90" s="182">
        <f>VLOOKUP($IW90,Base_Mensuelle!$OF$68:$RM$679,HLOOKUP(LG$73,Base_Mensuelle!$QG$67:$RM$680,614,0))</f>
        <v>-58.246000000000009</v>
      </c>
      <c r="LH90" s="182">
        <f>VLOOKUP($IW90,Base_Mensuelle!$OF$68:$RM$679,HLOOKUP(LH$73,Base_Mensuelle!$QG$67:$RM$680,614,0))</f>
        <v>26.029</v>
      </c>
      <c r="LI90" s="182">
        <f>VLOOKUP($IW90,Base_Mensuelle!$OF$68:$RM$679,HLOOKUP(LI$73,Base_Mensuelle!$QG$67:$RM$680,614,0))</f>
        <v>-84.275000000000006</v>
      </c>
      <c r="LJ90" s="182">
        <f>VLOOKUP($IW90,Base_Mensuelle!$OF$68:$RM$679,HLOOKUP(LJ$73,Base_Mensuelle!$QG$67:$RM$680,614,0))</f>
        <v>404.42162903451492</v>
      </c>
      <c r="LK90" s="182">
        <f>VLOOKUP($IW90,Base_Mensuelle!$OF$68:$RM$679,HLOOKUP(LK$73,Base_Mensuelle!$QG$67:$RM$680,614,0))</f>
        <v>6.8293508136655472</v>
      </c>
      <c r="LL90" s="182">
        <f>VLOOKUP($IW90,Base_Mensuelle!$OF$68:$RM$679,HLOOKUP(LL$73,Base_Mensuelle!$QG$67:$RM$680,614,0))</f>
        <v>0</v>
      </c>
      <c r="LM90" s="182">
        <f>VLOOKUP($IW90,Base_Mensuelle!$OF$68:$RM$679,HLOOKUP(LM$73,Base_Mensuelle!$QG$67:$RM$680,614,0))</f>
        <v>57.792999999999999</v>
      </c>
      <c r="LN90" s="182">
        <f>VLOOKUP($IW90,Base_Mensuelle!$OF$68:$RM$679,HLOOKUP(LN$73,Base_Mensuelle!$QG$67:$RM$680,614,0))</f>
        <v>339.79927822084937</v>
      </c>
      <c r="LO90" s="182">
        <f>VLOOKUP($IW90,Base_Mensuelle!$OF$68:$RM$679,HLOOKUP(LO$73,Base_Mensuelle!$QG$67:$RM$680,614,0))</f>
        <v>0</v>
      </c>
      <c r="LP90" s="182">
        <f>VLOOKUP($IW90,Base_Mensuelle!$OF$68:$RM$679,HLOOKUP(LP$73,Base_Mensuelle!$QG$67:$RM$680,614,0))</f>
        <v>0.24</v>
      </c>
      <c r="LQ90" s="182">
        <f>VLOOKUP($IW90,Base_Mensuelle!$OF$68:$RM$679,HLOOKUP(LQ$73,Base_Mensuelle!$QG$67:$RM$680,614,0))</f>
        <v>192.94481550104541</v>
      </c>
      <c r="LR90" s="182">
        <f>VLOOKUP($IW90,Base_Mensuelle!$OF$68:$RM$679,HLOOKUP(LR$73,Base_Mensuelle!$QG$67:$RM$680,614,0))</f>
        <v>182.69478105288567</v>
      </c>
      <c r="LS90" s="182">
        <f>VLOOKUP($IW90,Base_Mensuelle!$OF$68:$RM$679,HLOOKUP(LS$73,Base_Mensuelle!$QG$67:$RM$680,614,0))</f>
        <v>0</v>
      </c>
      <c r="LT90" s="182">
        <f>VLOOKUP($IW90,Base_Mensuelle!$OF$68:$RM$679,HLOOKUP(LT$73,Base_Mensuelle!$QG$67:$RM$680,614,0))</f>
        <v>13.905000000000001</v>
      </c>
      <c r="LU90" s="182">
        <f>VLOOKUP($IW90,Base_Mensuelle!$OF$68:$RM$679,HLOOKUP(LU$73,Base_Mensuelle!$QG$67:$RM$680,614,0))</f>
        <v>2.4E-2</v>
      </c>
      <c r="LV90" s="182">
        <f>VLOOKUP($IW90,Base_Mensuelle!$OF$68:$RM$679,HLOOKUP(LV$73,Base_Mensuelle!$QG$67:$RM$680,614,0))</f>
        <v>4.6779999999999999</v>
      </c>
      <c r="LW90" s="182">
        <f>VLOOKUP($IW90,Base_Mensuelle!$OF$68:$RM$679,HLOOKUP(LW$73,Base_Mensuelle!$QG$67:$RM$680,614,0))</f>
        <v>0</v>
      </c>
      <c r="LX90" s="182">
        <f>VLOOKUP($IW90,Base_Mensuelle!$OF$68:$RM$679,HLOOKUP(LX$73,Base_Mensuelle!$QG$67:$RM$680,614,0))</f>
        <v>0</v>
      </c>
      <c r="LY90" s="182">
        <f>VLOOKUP($IW90,Base_Mensuelle!$OF$68:$RM$679,HLOOKUP(LY$73,Base_Mensuelle!$QG$67:$RM$680,614,0))</f>
        <v>65.363</v>
      </c>
      <c r="LZ90" s="182">
        <f>VLOOKUP($IW90,Base_Mensuelle!$OF$68:$RM$679,HLOOKUP(LZ$73,Base_Mensuelle!$QG$67:$RM$680,614,0))</f>
        <v>10.590000000000003</v>
      </c>
      <c r="MA90" s="182">
        <f>VLOOKUP($IW90,Base_Mensuelle!$OF$68:$RM$679,HLOOKUP(MA$73,Base_Mensuelle!$QG$67:$RM$680,614,0))</f>
        <v>0</v>
      </c>
      <c r="MB90" s="182">
        <f>VLOOKUP($IW90,Base_Mensuelle!$OF$68:$RM$679,HLOOKUP(MB$73,Base_Mensuelle!$QG$67:$RM$680,614,0))</f>
        <v>0</v>
      </c>
      <c r="MC90" s="182">
        <f>VLOOKUP($IW90,Base_Mensuelle!$OF$68:$RM$679,HLOOKUP(MC$73,Base_Mensuelle!$QG$67:$RM$680,614,0))</f>
        <v>0</v>
      </c>
      <c r="MD90" s="182">
        <f>VLOOKUP($IW90,Base_Mensuelle!$OF$68:$RM$679,HLOOKUP(MD$73,Base_Mensuelle!$QG$67:$RM$680,614,0))</f>
        <v>0</v>
      </c>
      <c r="ME90" s="182">
        <f>VLOOKUP($IW90,Base_Mensuelle!$OF$68:$RM$679,HLOOKUP(ME$73,Base_Mensuelle!$QG$67:$RM$680,614,0))</f>
        <v>0</v>
      </c>
      <c r="MF90" s="182"/>
      <c r="MG90" s="182"/>
      <c r="MH90" s="290"/>
      <c r="MI90" s="29">
        <v>17</v>
      </c>
      <c r="MJ90" s="29" t="str">
        <f t="shared" si="82"/>
        <v>Trimestre 12004</v>
      </c>
      <c r="MK90" s="848">
        <v>38047</v>
      </c>
      <c r="ML90" s="29"/>
      <c r="MM90" s="29"/>
      <c r="MN90" s="29"/>
      <c r="MO90" s="29"/>
      <c r="MP90" s="29"/>
      <c r="MQ90" s="29"/>
      <c r="MR90" s="29"/>
      <c r="MS90" s="29"/>
      <c r="MT90" s="29"/>
      <c r="MU90" s="29"/>
      <c r="MV90" s="29"/>
      <c r="MW90" s="29"/>
      <c r="MX90" s="29"/>
      <c r="MY90" s="29"/>
      <c r="MZ90" s="29"/>
      <c r="NA90" s="29"/>
      <c r="NB90" s="29"/>
      <c r="NC90" s="29"/>
      <c r="ND90" s="29"/>
      <c r="NE90" s="29"/>
      <c r="NF90" s="29"/>
      <c r="NG90" s="29"/>
      <c r="NH90" s="29"/>
      <c r="NI90" s="29"/>
      <c r="NJ90" s="29"/>
      <c r="NK90" s="29"/>
      <c r="NL90" s="29">
        <v>17</v>
      </c>
    </row>
    <row r="91" spans="1:376">
      <c r="A91" s="41">
        <f t="shared" si="80"/>
        <v>2004</v>
      </c>
      <c r="B91" s="785">
        <v>38139</v>
      </c>
      <c r="C91" s="19"/>
      <c r="D91" s="93"/>
      <c r="E91" s="93"/>
      <c r="F91" s="93"/>
      <c r="G91" s="93"/>
      <c r="H91" s="93"/>
      <c r="I91" s="93"/>
      <c r="J91" s="93"/>
      <c r="K91" s="93"/>
      <c r="L91" s="93"/>
      <c r="M91" s="20"/>
      <c r="N91" s="25">
        <v>18</v>
      </c>
      <c r="O91" s="889">
        <f t="shared" si="79"/>
        <v>2004</v>
      </c>
      <c r="P91" s="29" t="str">
        <f t="shared" si="81"/>
        <v>Trimestre 22004</v>
      </c>
      <c r="Q91" s="848">
        <v>38139</v>
      </c>
      <c r="R91" s="733"/>
      <c r="S91" s="570"/>
      <c r="T91" s="570"/>
      <c r="U91" s="734"/>
      <c r="V91" s="25">
        <v>18</v>
      </c>
      <c r="W91" s="19"/>
      <c r="X91" s="93"/>
      <c r="Y91" s="93"/>
      <c r="Z91" s="93"/>
      <c r="AA91" s="93"/>
      <c r="AB91" s="93"/>
      <c r="AC91" s="93"/>
      <c r="AD91" s="93"/>
      <c r="AE91" s="20"/>
      <c r="AF91" s="25">
        <v>18</v>
      </c>
      <c r="AG91" s="19"/>
      <c r="AH91" s="93"/>
      <c r="AI91" s="93"/>
      <c r="AJ91" s="93"/>
      <c r="AK91" s="93"/>
      <c r="AL91" s="93"/>
      <c r="AM91" s="93"/>
      <c r="AN91" s="20"/>
      <c r="AO91" s="19"/>
      <c r="AP91" s="93"/>
      <c r="AQ91" s="93"/>
      <c r="AR91" s="93"/>
      <c r="AS91" s="20"/>
      <c r="AT91" s="19"/>
      <c r="AU91" s="93"/>
      <c r="AV91" s="20"/>
      <c r="AW91" s="19"/>
      <c r="AX91" s="93"/>
      <c r="AY91" s="93"/>
      <c r="AZ91" s="93"/>
      <c r="BA91" s="93"/>
      <c r="BB91" s="93"/>
      <c r="BC91" s="20"/>
      <c r="BD91" s="19"/>
      <c r="BE91" s="93"/>
      <c r="BF91" s="93"/>
      <c r="BG91" s="93"/>
      <c r="BH91" s="93"/>
      <c r="BI91" s="93"/>
      <c r="BJ91" s="93"/>
      <c r="BK91" s="20"/>
      <c r="BL91" s="19"/>
      <c r="BM91" s="93"/>
      <c r="BN91" s="93"/>
      <c r="BO91" s="93"/>
      <c r="BP91" s="93"/>
      <c r="BQ91" s="20"/>
      <c r="BR91" s="19"/>
      <c r="BS91" s="93"/>
      <c r="BT91" s="93"/>
      <c r="BU91" s="20"/>
      <c r="BV91" s="19"/>
      <c r="BW91" s="93"/>
      <c r="BX91" s="93"/>
      <c r="BY91" s="93"/>
      <c r="BZ91" s="93"/>
      <c r="CA91" s="93"/>
      <c r="CB91" s="20"/>
      <c r="CC91" s="25">
        <v>18</v>
      </c>
      <c r="CD91" s="19"/>
      <c r="CE91" s="93"/>
      <c r="CF91" s="20"/>
      <c r="CG91" s="25">
        <v>18</v>
      </c>
      <c r="CH91" s="19"/>
      <c r="CI91" s="93"/>
      <c r="CJ91" s="93"/>
      <c r="CK91" s="93"/>
      <c r="CL91" s="93"/>
      <c r="CM91" s="93"/>
      <c r="CN91" s="93"/>
      <c r="CO91" s="93"/>
      <c r="CP91" s="93"/>
      <c r="CQ91" s="93"/>
      <c r="CR91" s="214"/>
      <c r="CS91" s="20"/>
      <c r="CT91" s="25">
        <v>18</v>
      </c>
      <c r="CU91" s="19"/>
      <c r="CV91" s="93"/>
      <c r="CW91" s="93"/>
      <c r="CX91" s="93"/>
      <c r="CY91" s="93"/>
      <c r="CZ91" s="93"/>
      <c r="DA91" s="93"/>
      <c r="DB91" s="20"/>
      <c r="DC91" s="25">
        <v>18</v>
      </c>
      <c r="DD91" s="785">
        <v>38139</v>
      </c>
      <c r="DE91" s="19"/>
      <c r="DF91" s="20"/>
      <c r="DG91" s="25">
        <v>18</v>
      </c>
      <c r="DH91" s="19"/>
      <c r="DI91" s="20"/>
      <c r="DJ91" s="25">
        <v>18</v>
      </c>
      <c r="DK91" s="19"/>
      <c r="DL91" s="20"/>
      <c r="DM91" s="19"/>
      <c r="DN91" s="20"/>
      <c r="DO91" s="25">
        <v>18</v>
      </c>
      <c r="DP91" s="19"/>
      <c r="DQ91" s="93"/>
      <c r="DR91" s="20"/>
      <c r="DS91" s="25">
        <v>18</v>
      </c>
      <c r="DT91" s="19"/>
      <c r="DU91" s="93"/>
      <c r="DV91" s="20"/>
      <c r="DW91" s="25">
        <v>18</v>
      </c>
      <c r="DX91" s="19"/>
      <c r="DY91" s="20"/>
      <c r="DZ91" s="25">
        <v>18</v>
      </c>
      <c r="EA91" s="19"/>
      <c r="EB91" s="93"/>
      <c r="EC91" s="93"/>
      <c r="ED91" s="93"/>
      <c r="EE91" s="20"/>
      <c r="EF91" s="25">
        <v>18</v>
      </c>
      <c r="EG91" s="19"/>
      <c r="EH91" s="93"/>
      <c r="EI91" s="93"/>
      <c r="EJ91" s="93"/>
      <c r="EK91" s="20"/>
      <c r="EL91" s="25">
        <v>18</v>
      </c>
      <c r="EM91" s="19"/>
      <c r="EN91" s="93"/>
      <c r="EO91" s="93"/>
      <c r="EP91" s="93"/>
      <c r="EQ91" s="93"/>
      <c r="ER91" s="93"/>
      <c r="ES91" s="93"/>
      <c r="ET91" s="93"/>
      <c r="EU91" s="93"/>
      <c r="EV91" s="20"/>
      <c r="EW91" s="25">
        <v>18</v>
      </c>
      <c r="EX91" s="915"/>
      <c r="EY91" s="916"/>
      <c r="EZ91" s="916"/>
      <c r="FA91" s="916"/>
      <c r="FB91" s="916"/>
      <c r="FC91" s="916"/>
      <c r="FD91" s="916"/>
      <c r="FE91" s="916"/>
      <c r="FF91" s="916"/>
      <c r="FG91" s="917"/>
      <c r="FH91" s="25">
        <v>18</v>
      </c>
      <c r="FI91" s="848">
        <v>38139</v>
      </c>
      <c r="FJ91" s="19"/>
      <c r="FK91" s="93"/>
      <c r="FL91" s="20"/>
      <c r="FM91" s="25">
        <v>18</v>
      </c>
      <c r="FN91" s="19"/>
      <c r="FO91" s="93"/>
      <c r="FP91" s="93"/>
      <c r="FQ91" s="93"/>
      <c r="FR91" s="93"/>
      <c r="FS91" s="93"/>
      <c r="FT91" s="93"/>
      <c r="FU91" s="93"/>
      <c r="FV91" s="93"/>
      <c r="FW91" s="917"/>
      <c r="FX91" s="25">
        <v>18</v>
      </c>
      <c r="FY91" s="916"/>
      <c r="FZ91" s="916"/>
      <c r="GA91" s="916"/>
      <c r="GB91" s="916"/>
      <c r="GC91" s="916"/>
      <c r="GD91" s="916"/>
      <c r="GE91" s="916"/>
      <c r="GF91" s="916"/>
      <c r="GG91" s="916"/>
      <c r="GH91" s="916"/>
      <c r="GI91" s="917"/>
      <c r="GJ91" s="25">
        <v>18</v>
      </c>
      <c r="GK91" s="19"/>
      <c r="GL91" s="20"/>
      <c r="GM91" s="25">
        <v>18</v>
      </c>
      <c r="GN91" s="19"/>
      <c r="GO91" s="20"/>
      <c r="GP91" s="25">
        <v>18</v>
      </c>
      <c r="GQ91" s="19"/>
      <c r="GR91" s="20"/>
      <c r="GS91" s="25">
        <v>18</v>
      </c>
      <c r="GT91" s="848">
        <v>38139</v>
      </c>
      <c r="GU91" s="19"/>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v>18</v>
      </c>
      <c r="IW91" s="848">
        <v>38139</v>
      </c>
      <c r="IX91" s="1035"/>
      <c r="IY91" s="1035">
        <v>216.0608</v>
      </c>
      <c r="IZ91" s="1035">
        <v>228.89080000000001</v>
      </c>
      <c r="JA91" s="1035">
        <v>0.31159819700000002</v>
      </c>
      <c r="JB91" s="1035">
        <v>184.17478364178061</v>
      </c>
      <c r="JC91" s="1035">
        <v>44.437100000000001</v>
      </c>
      <c r="JD91" s="1035">
        <v>444.98428183878059</v>
      </c>
      <c r="JE91" s="1035">
        <v>189.32148538156804</v>
      </c>
      <c r="JF91" s="1035">
        <v>634.30576722034857</v>
      </c>
      <c r="JG91" s="1035"/>
      <c r="JH91" s="1035">
        <v>328.29152803941145</v>
      </c>
      <c r="JI91" s="1035">
        <v>253.18387288899999</v>
      </c>
      <c r="JJ91" s="1035">
        <v>75.107655150411489</v>
      </c>
      <c r="JK91" s="1035">
        <v>366.66590127193717</v>
      </c>
      <c r="JL91" s="1035">
        <v>-13.317016942000009</v>
      </c>
      <c r="JM91" s="1035">
        <v>53.343983057999992</v>
      </c>
      <c r="JN91" s="1035">
        <v>-66.661000000000001</v>
      </c>
      <c r="JO91" s="1035">
        <v>379.98291821393718</v>
      </c>
      <c r="JP91" s="1035">
        <v>2.3873043409999997</v>
      </c>
      <c r="JQ91" s="1035">
        <v>377.59561387293718</v>
      </c>
      <c r="JR91" s="1035">
        <v>90.004920408999993</v>
      </c>
      <c r="JS91" s="1035">
        <v>-29.353258318000002</v>
      </c>
      <c r="JT91" s="1036">
        <v>634.30576722034868</v>
      </c>
      <c r="JU91" s="29">
        <v>18</v>
      </c>
      <c r="JV91" s="1037"/>
      <c r="JW91" s="1526">
        <f>VLOOKUP($IW91,Base_Mensuelle!$OF$68:$RM$679,HLOOKUP(JW$73,Base_Mensuelle!$PE$67:$QE$680,614,0))</f>
        <v>253.18387288899999</v>
      </c>
      <c r="JX91" s="1526">
        <f>VLOOKUP($IW91,Base_Mensuelle!$OF$68:$RM$679,HLOOKUP(JX$73,Base_Mensuelle!$PE$67:$QE$680,614,0))</f>
        <v>471.32193633899999</v>
      </c>
      <c r="JY91" s="1526">
        <f>VLOOKUP($IW91,Base_Mensuelle!$OF$68:$RM$679,HLOOKUP(JY$73,Base_Mensuelle!$PE$67:$QE$680,614,0))</f>
        <v>218.13806345</v>
      </c>
      <c r="JZ91" s="1526">
        <f>VLOOKUP($IW91,Base_Mensuelle!$OF$68:$RM$679,HLOOKUP(JZ$73,Base_Mensuelle!$PE$67:$QE$680,614,0))</f>
        <v>1.0269999999999999</v>
      </c>
      <c r="KA91" s="1526">
        <f>VLOOKUP($IW91,Base_Mensuelle!$OF$68:$RM$679,HLOOKUP(KA$73,Base_Mensuelle!$PE$67:$QE$680,614,0))</f>
        <v>53.343983057999992</v>
      </c>
      <c r="KB91" s="1526">
        <f>VLOOKUP($IW91,Base_Mensuelle!$OF$68:$RM$679,HLOOKUP(KB$73,Base_Mensuelle!$PE$67:$QE$680,614,0))</f>
        <v>99.301080057999997</v>
      </c>
      <c r="KC91" s="1526">
        <f>VLOOKUP($IW91,Base_Mensuelle!$OF$68:$RM$679,HLOOKUP(KC$73,Base_Mensuelle!$PE$67:$QE$680,614,0))</f>
        <v>45.957097000000005</v>
      </c>
      <c r="KD91" s="1526">
        <f>VLOOKUP($IW91,Base_Mensuelle!$OF$68:$RM$679,HLOOKUP(KD$73,Base_Mensuelle!$PE$67:$QE$680,614,0))</f>
        <v>2.3873043409999997</v>
      </c>
      <c r="KE91" s="1526">
        <f>VLOOKUP($IW91,Base_Mensuelle!$OF$68:$RM$679,HLOOKUP(KE$73,Base_Mensuelle!$PE$67:$QE$680,614,0))</f>
        <v>0</v>
      </c>
      <c r="KF91" s="1526">
        <f>VLOOKUP($IW91,Base_Mensuelle!$OF$68:$RM$679,HLOOKUP(KF$73,Base_Mensuelle!$PE$67:$QE$680,614,0))</f>
        <v>0</v>
      </c>
      <c r="KG91" s="1526">
        <f>VLOOKUP($IW91,Base_Mensuelle!$OF$68:$RM$679,HLOOKUP(KG$73,Base_Mensuelle!$PE$67:$QE$680,614,0))</f>
        <v>3.6465599999999999E-4</v>
      </c>
      <c r="KH91" s="1526">
        <f>VLOOKUP($IW91,Base_Mensuelle!$OF$68:$RM$679,HLOOKUP(KH$73,Base_Mensuelle!$PE$67:$QE$680,614,0))</f>
        <v>2.3869396849999998</v>
      </c>
      <c r="KI91" s="1526">
        <f>VLOOKUP($IW91,Base_Mensuelle!$OF$68:$RM$679,HLOOKUP(KI$73,Base_Mensuelle!$PE$67:$QE$680,614,0))</f>
        <v>304.26644784800004</v>
      </c>
      <c r="KJ91" s="1526">
        <f>VLOOKUP($IW91,Base_Mensuelle!$OF$68:$RM$679,HLOOKUP(KJ$73,Base_Mensuelle!$PE$67:$QE$680,614,0))</f>
        <v>228.89080000000001</v>
      </c>
      <c r="KK91" s="1526">
        <f>VLOOKUP($IW91,Base_Mensuelle!$OF$68:$RM$679,HLOOKUP(KK$73,Base_Mensuelle!$PE$67:$QE$680,614,0))</f>
        <v>75.064049651000005</v>
      </c>
      <c r="KL91" s="1526">
        <f>VLOOKUP($IW91,Base_Mensuelle!$OF$68:$RM$679,HLOOKUP(KL$73,Base_Mensuelle!$PE$67:$QE$680,614,0))</f>
        <v>0.31159819700000002</v>
      </c>
      <c r="KM91" s="1526">
        <f>VLOOKUP($IW91,Base_Mensuelle!$OF$68:$RM$679,HLOOKUP(KM$73,Base_Mensuelle!$PE$67:$QE$680,614,0))</f>
        <v>0</v>
      </c>
      <c r="KN91" s="1526">
        <f>VLOOKUP($IW91,Base_Mensuelle!$OF$68:$RM$679,HLOOKUP(KN$73,Base_Mensuelle!$PE$67:$QE$680,614,0))</f>
        <v>6.778468975</v>
      </c>
      <c r="KO91" s="1526">
        <f>VLOOKUP($IW91,Base_Mensuelle!$OF$68:$RM$679,HLOOKUP(KO$73,Base_Mensuelle!$PE$67:$QE$680,614,0))</f>
        <v>0</v>
      </c>
      <c r="KP91" s="1526">
        <f>VLOOKUP($IW91,Base_Mensuelle!$OF$68:$RM$679,HLOOKUP(KP$73,Base_Mensuelle!$PE$67:$QE$680,614,0))</f>
        <v>0</v>
      </c>
      <c r="KQ91" s="1526">
        <f>VLOOKUP($IW91,Base_Mensuelle!$OF$68:$RM$679,HLOOKUP(KQ$73,Base_Mensuelle!$PE$67:$QE$680,614,0))</f>
        <v>6.778468975</v>
      </c>
      <c r="KR91" s="1526">
        <f>VLOOKUP($IW91,Base_Mensuelle!$OF$68:$RM$679,HLOOKUP(KR$73,Base_Mensuelle!$PE$67:$QE$680,614,0))</f>
        <v>0</v>
      </c>
      <c r="KS91" s="1526">
        <f>VLOOKUP($IW91,Base_Mensuelle!$OF$68:$RM$679,HLOOKUP(KS$73,Base_Mensuelle!$PE$67:$QE$680,614,0))</f>
        <v>0</v>
      </c>
      <c r="KT91" s="1526">
        <f>VLOOKUP($IW91,Base_Mensuelle!$OF$68:$RM$679,HLOOKUP(KT$73,Base_Mensuelle!$PE$67:$QE$680,614,0))</f>
        <v>0</v>
      </c>
      <c r="KU91" s="1526">
        <f>VLOOKUP($IW91,Base_Mensuelle!$OF$68:$RM$679,HLOOKUP(KU$73,Base_Mensuelle!$PE$67:$QE$680,614,0))</f>
        <v>-1.6885485660000001</v>
      </c>
      <c r="KV91" s="1526">
        <f>VLOOKUP($IW91,Base_Mensuelle!$OF$68:$RM$679,HLOOKUP(KV$73,Base_Mensuelle!$PE$67:$QE$680,614,0))</f>
        <v>0.58579203099999988</v>
      </c>
      <c r="KW91" s="1036"/>
      <c r="KX91" s="29">
        <v>18</v>
      </c>
      <c r="KY91" s="1037"/>
      <c r="KZ91" s="182">
        <f>VLOOKUP($IW91,Base_Mensuelle!$OF$68:$RM$679,HLOOKUP(KZ$73,Base_Mensuelle!$QG$67:$RM$680,614,0))</f>
        <v>75.107655150411489</v>
      </c>
      <c r="LA91" s="182">
        <f>VLOOKUP($IW91,Base_Mensuelle!$OF$68:$RM$679,HLOOKUP(LA$73,Base_Mensuelle!$QG$67:$RM$680,614,0))</f>
        <v>141.74338612706282</v>
      </c>
      <c r="LB91" s="182">
        <f>VLOOKUP($IW91,Base_Mensuelle!$OF$68:$RM$679,HLOOKUP(LB$73,Base_Mensuelle!$QG$67:$RM$680,614,0))</f>
        <v>-66.635730976651331</v>
      </c>
      <c r="LC91" s="182">
        <f>VLOOKUP($IW91,Base_Mensuelle!$OF$68:$RM$679,HLOOKUP(LC$73,Base_Mensuelle!$QG$67:$RM$680,614,0))</f>
        <v>77.441999999999993</v>
      </c>
      <c r="LD91" s="182">
        <f>VLOOKUP($IW91,Base_Mensuelle!$OF$68:$RM$679,HLOOKUP(LD$73,Base_Mensuelle!$QG$67:$RM$680,614,0))</f>
        <v>12.83</v>
      </c>
      <c r="LE91" s="182">
        <f>VLOOKUP($IW91,Base_Mensuelle!$OF$68:$RM$679,HLOOKUP(LE$73,Base_Mensuelle!$QG$67:$RM$680,614,0))</f>
        <v>64.611999999999995</v>
      </c>
      <c r="LF91" s="182">
        <f>VLOOKUP($IW91,Base_Mensuelle!$OF$68:$RM$679,HLOOKUP(LF$73,Base_Mensuelle!$QG$67:$RM$680,614,0))</f>
        <v>0</v>
      </c>
      <c r="LG91" s="182">
        <f>VLOOKUP($IW91,Base_Mensuelle!$OF$68:$RM$679,HLOOKUP(LG$73,Base_Mensuelle!$QG$67:$RM$680,614,0))</f>
        <v>-66.661000000000001</v>
      </c>
      <c r="LH91" s="182">
        <f>VLOOKUP($IW91,Base_Mensuelle!$OF$68:$RM$679,HLOOKUP(LH$73,Base_Mensuelle!$QG$67:$RM$680,614,0))</f>
        <v>19.456000000000003</v>
      </c>
      <c r="LI91" s="182">
        <f>VLOOKUP($IW91,Base_Mensuelle!$OF$68:$RM$679,HLOOKUP(LI$73,Base_Mensuelle!$QG$67:$RM$680,614,0))</f>
        <v>-86.117000000000004</v>
      </c>
      <c r="LJ91" s="182">
        <f>VLOOKUP($IW91,Base_Mensuelle!$OF$68:$RM$679,HLOOKUP(LJ$73,Base_Mensuelle!$QG$67:$RM$680,614,0))</f>
        <v>377.59561387293718</v>
      </c>
      <c r="LK91" s="182">
        <f>VLOOKUP($IW91,Base_Mensuelle!$OF$68:$RM$679,HLOOKUP(LK$73,Base_Mensuelle!$QG$67:$RM$680,614,0))</f>
        <v>5.8617008007902864</v>
      </c>
      <c r="LL91" s="182">
        <f>VLOOKUP($IW91,Base_Mensuelle!$OF$68:$RM$679,HLOOKUP(LL$73,Base_Mensuelle!$QG$67:$RM$680,614,0))</f>
        <v>0</v>
      </c>
      <c r="LM91" s="182">
        <f>VLOOKUP($IW91,Base_Mensuelle!$OF$68:$RM$679,HLOOKUP(LM$73,Base_Mensuelle!$QG$67:$RM$680,614,0))</f>
        <v>59.853000000000002</v>
      </c>
      <c r="LN91" s="182">
        <f>VLOOKUP($IW91,Base_Mensuelle!$OF$68:$RM$679,HLOOKUP(LN$73,Base_Mensuelle!$QG$67:$RM$680,614,0))</f>
        <v>311.88091307214688</v>
      </c>
      <c r="LO91" s="182">
        <f>VLOOKUP($IW91,Base_Mensuelle!$OF$68:$RM$679,HLOOKUP(LO$73,Base_Mensuelle!$QG$67:$RM$680,614,0))</f>
        <v>0</v>
      </c>
      <c r="LP91" s="182">
        <f>VLOOKUP($IW91,Base_Mensuelle!$OF$68:$RM$679,HLOOKUP(LP$73,Base_Mensuelle!$QG$67:$RM$680,614,0))</f>
        <v>0.184</v>
      </c>
      <c r="LQ91" s="182">
        <f>VLOOKUP($IW91,Base_Mensuelle!$OF$68:$RM$679,HLOOKUP(LQ$73,Base_Mensuelle!$QG$67:$RM$680,614,0))</f>
        <v>184.17478364178064</v>
      </c>
      <c r="LR91" s="182">
        <f>VLOOKUP($IW91,Base_Mensuelle!$OF$68:$RM$679,HLOOKUP(LR$73,Base_Mensuelle!$QG$67:$RM$680,614,0))</f>
        <v>189.32148538156804</v>
      </c>
      <c r="LS91" s="182">
        <f>VLOOKUP($IW91,Base_Mensuelle!$OF$68:$RM$679,HLOOKUP(LS$73,Base_Mensuelle!$QG$67:$RM$680,614,0))</f>
        <v>0</v>
      </c>
      <c r="LT91" s="182">
        <f>VLOOKUP($IW91,Base_Mensuelle!$OF$68:$RM$679,HLOOKUP(LT$73,Base_Mensuelle!$QG$67:$RM$680,614,0))</f>
        <v>16.439999999999998</v>
      </c>
      <c r="LU91" s="182">
        <f>VLOOKUP($IW91,Base_Mensuelle!$OF$68:$RM$679,HLOOKUP(LU$73,Base_Mensuelle!$QG$67:$RM$680,614,0))</f>
        <v>0</v>
      </c>
      <c r="LV91" s="182">
        <f>VLOOKUP($IW91,Base_Mensuelle!$OF$68:$RM$679,HLOOKUP(LV$73,Base_Mensuelle!$QG$67:$RM$680,614,0))</f>
        <v>4.5170000000000003</v>
      </c>
      <c r="LW91" s="182">
        <f>VLOOKUP($IW91,Base_Mensuelle!$OF$68:$RM$679,HLOOKUP(LW$73,Base_Mensuelle!$QG$67:$RM$680,614,0))</f>
        <v>0</v>
      </c>
      <c r="LX91" s="182">
        <f>VLOOKUP($IW91,Base_Mensuelle!$OF$68:$RM$679,HLOOKUP(LX$73,Base_Mensuelle!$QG$67:$RM$680,614,0))</f>
        <v>0</v>
      </c>
      <c r="LY91" s="182">
        <f>VLOOKUP($IW91,Base_Mensuelle!$OF$68:$RM$679,HLOOKUP(LY$73,Base_Mensuelle!$QG$67:$RM$680,614,0))</f>
        <v>63.957999999999998</v>
      </c>
      <c r="LZ91" s="182">
        <f>VLOOKUP($IW91,Base_Mensuelle!$OF$68:$RM$679,HLOOKUP(LZ$73,Base_Mensuelle!$QG$67:$RM$680,614,0))</f>
        <v>4.8889999999999887</v>
      </c>
      <c r="MA91" s="182">
        <f>VLOOKUP($IW91,Base_Mensuelle!$OF$68:$RM$679,HLOOKUP(MA$73,Base_Mensuelle!$QG$67:$RM$680,614,0))</f>
        <v>0</v>
      </c>
      <c r="MB91" s="182">
        <f>VLOOKUP($IW91,Base_Mensuelle!$OF$68:$RM$679,HLOOKUP(MB$73,Base_Mensuelle!$QG$67:$RM$680,614,0))</f>
        <v>0</v>
      </c>
      <c r="MC91" s="182">
        <f>VLOOKUP($IW91,Base_Mensuelle!$OF$68:$RM$679,HLOOKUP(MC$73,Base_Mensuelle!$QG$67:$RM$680,614,0))</f>
        <v>0</v>
      </c>
      <c r="MD91" s="182">
        <f>VLOOKUP($IW91,Base_Mensuelle!$OF$68:$RM$679,HLOOKUP(MD$73,Base_Mensuelle!$QG$67:$RM$680,614,0))</f>
        <v>0</v>
      </c>
      <c r="ME91" s="182">
        <f>VLOOKUP($IW91,Base_Mensuelle!$OF$68:$RM$679,HLOOKUP(ME$73,Base_Mensuelle!$QG$67:$RM$680,614,0))</f>
        <v>0</v>
      </c>
      <c r="MF91" s="182"/>
      <c r="MG91" s="182"/>
      <c r="MH91" s="290"/>
      <c r="MI91" s="29">
        <v>18</v>
      </c>
      <c r="MJ91" s="29" t="str">
        <f t="shared" si="82"/>
        <v>Trimestre 22004</v>
      </c>
      <c r="MK91" s="848">
        <v>38139</v>
      </c>
      <c r="ML91" s="29"/>
      <c r="MM91" s="29"/>
      <c r="MN91" s="29"/>
      <c r="MO91" s="29"/>
      <c r="MP91" s="29"/>
      <c r="MQ91" s="29"/>
      <c r="MR91" s="29"/>
      <c r="MS91" s="29"/>
      <c r="MT91" s="29"/>
      <c r="MU91" s="29"/>
      <c r="MV91" s="29"/>
      <c r="MW91" s="29"/>
      <c r="MX91" s="29"/>
      <c r="MY91" s="29"/>
      <c r="MZ91" s="29"/>
      <c r="NA91" s="29"/>
      <c r="NB91" s="29"/>
      <c r="NC91" s="29"/>
      <c r="ND91" s="29"/>
      <c r="NE91" s="29"/>
      <c r="NF91" s="29"/>
      <c r="NG91" s="29"/>
      <c r="NH91" s="29"/>
      <c r="NI91" s="29"/>
      <c r="NJ91" s="29"/>
      <c r="NK91" s="29"/>
      <c r="NL91" s="29">
        <v>18</v>
      </c>
    </row>
    <row r="92" spans="1:376">
      <c r="A92" s="41">
        <f t="shared" si="80"/>
        <v>2004</v>
      </c>
      <c r="B92" s="785">
        <v>38231</v>
      </c>
      <c r="C92" s="19"/>
      <c r="D92" s="93"/>
      <c r="E92" s="93"/>
      <c r="F92" s="93"/>
      <c r="G92" s="93"/>
      <c r="H92" s="93"/>
      <c r="I92" s="93"/>
      <c r="J92" s="93"/>
      <c r="K92" s="93"/>
      <c r="L92" s="93"/>
      <c r="M92" s="20"/>
      <c r="N92" s="25">
        <v>19</v>
      </c>
      <c r="O92" s="889">
        <f t="shared" si="79"/>
        <v>2004</v>
      </c>
      <c r="P92" s="29" t="str">
        <f t="shared" si="81"/>
        <v>Trimestre 32004</v>
      </c>
      <c r="Q92" s="848">
        <v>38231</v>
      </c>
      <c r="R92" s="733"/>
      <c r="S92" s="570"/>
      <c r="T92" s="570"/>
      <c r="U92" s="734"/>
      <c r="V92" s="25">
        <v>19</v>
      </c>
      <c r="W92" s="19"/>
      <c r="X92" s="93"/>
      <c r="Y92" s="93"/>
      <c r="Z92" s="93"/>
      <c r="AA92" s="93"/>
      <c r="AB92" s="93"/>
      <c r="AC92" s="93"/>
      <c r="AD92" s="93"/>
      <c r="AE92" s="20"/>
      <c r="AF92" s="25">
        <v>19</v>
      </c>
      <c r="AG92" s="19"/>
      <c r="AH92" s="93"/>
      <c r="AI92" s="93"/>
      <c r="AJ92" s="93"/>
      <c r="AK92" s="93"/>
      <c r="AL92" s="93"/>
      <c r="AM92" s="93"/>
      <c r="AN92" s="20"/>
      <c r="AO92" s="19"/>
      <c r="AP92" s="93"/>
      <c r="AQ92" s="93"/>
      <c r="AR92" s="93"/>
      <c r="AS92" s="20"/>
      <c r="AT92" s="19"/>
      <c r="AU92" s="93"/>
      <c r="AV92" s="20"/>
      <c r="AW92" s="19"/>
      <c r="AX92" s="93"/>
      <c r="AY92" s="93"/>
      <c r="AZ92" s="93"/>
      <c r="BA92" s="93"/>
      <c r="BB92" s="93"/>
      <c r="BC92" s="20"/>
      <c r="BD92" s="19"/>
      <c r="BE92" s="93"/>
      <c r="BF92" s="93"/>
      <c r="BG92" s="93"/>
      <c r="BH92" s="93"/>
      <c r="BI92" s="93"/>
      <c r="BJ92" s="93"/>
      <c r="BK92" s="20"/>
      <c r="BL92" s="19"/>
      <c r="BM92" s="93"/>
      <c r="BN92" s="93"/>
      <c r="BO92" s="93"/>
      <c r="BP92" s="93"/>
      <c r="BQ92" s="20"/>
      <c r="BR92" s="19"/>
      <c r="BS92" s="93"/>
      <c r="BT92" s="93"/>
      <c r="BU92" s="20"/>
      <c r="BV92" s="19"/>
      <c r="BW92" s="93"/>
      <c r="BX92" s="93"/>
      <c r="BY92" s="93"/>
      <c r="BZ92" s="93"/>
      <c r="CA92" s="93"/>
      <c r="CB92" s="20"/>
      <c r="CC92" s="25">
        <v>19</v>
      </c>
      <c r="CD92" s="19"/>
      <c r="CE92" s="93"/>
      <c r="CF92" s="20"/>
      <c r="CG92" s="25">
        <v>19</v>
      </c>
      <c r="CH92" s="19"/>
      <c r="CI92" s="93"/>
      <c r="CJ92" s="93"/>
      <c r="CK92" s="93"/>
      <c r="CL92" s="93"/>
      <c r="CM92" s="93"/>
      <c r="CN92" s="93"/>
      <c r="CO92" s="93"/>
      <c r="CP92" s="93"/>
      <c r="CQ92" s="93"/>
      <c r="CR92" s="214"/>
      <c r="CS92" s="20"/>
      <c r="CT92" s="25">
        <v>19</v>
      </c>
      <c r="CU92" s="19"/>
      <c r="CV92" s="93"/>
      <c r="CW92" s="93"/>
      <c r="CX92" s="93"/>
      <c r="CY92" s="93"/>
      <c r="CZ92" s="93"/>
      <c r="DA92" s="93"/>
      <c r="DB92" s="20"/>
      <c r="DC92" s="25">
        <v>19</v>
      </c>
      <c r="DD92" s="785">
        <v>38231</v>
      </c>
      <c r="DE92" s="19"/>
      <c r="DF92" s="20"/>
      <c r="DG92" s="25">
        <v>19</v>
      </c>
      <c r="DH92" s="19"/>
      <c r="DI92" s="20"/>
      <c r="DJ92" s="25">
        <v>19</v>
      </c>
      <c r="DK92" s="19"/>
      <c r="DL92" s="20"/>
      <c r="DM92" s="19"/>
      <c r="DN92" s="20"/>
      <c r="DO92" s="25">
        <v>19</v>
      </c>
      <c r="DP92" s="19"/>
      <c r="DQ92" s="93"/>
      <c r="DR92" s="20"/>
      <c r="DS92" s="25">
        <v>19</v>
      </c>
      <c r="DT92" s="19"/>
      <c r="DU92" s="93"/>
      <c r="DV92" s="20"/>
      <c r="DW92" s="25">
        <v>19</v>
      </c>
      <c r="DX92" s="19"/>
      <c r="DY92" s="20"/>
      <c r="DZ92" s="25">
        <v>19</v>
      </c>
      <c r="EA92" s="19"/>
      <c r="EB92" s="93"/>
      <c r="EC92" s="93"/>
      <c r="ED92" s="93"/>
      <c r="EE92" s="20"/>
      <c r="EF92" s="25">
        <v>19</v>
      </c>
      <c r="EG92" s="19"/>
      <c r="EH92" s="93"/>
      <c r="EI92" s="93"/>
      <c r="EJ92" s="93"/>
      <c r="EK92" s="20"/>
      <c r="EL92" s="25">
        <v>19</v>
      </c>
      <c r="EM92" s="19"/>
      <c r="EN92" s="93"/>
      <c r="EO92" s="93"/>
      <c r="EP92" s="93"/>
      <c r="EQ92" s="93"/>
      <c r="ER92" s="93"/>
      <c r="ES92" s="93"/>
      <c r="ET92" s="93"/>
      <c r="EU92" s="93"/>
      <c r="EV92" s="20"/>
      <c r="EW92" s="25">
        <v>19</v>
      </c>
      <c r="EX92" s="915"/>
      <c r="EY92" s="916"/>
      <c r="EZ92" s="916"/>
      <c r="FA92" s="916"/>
      <c r="FB92" s="916"/>
      <c r="FC92" s="916"/>
      <c r="FD92" s="916"/>
      <c r="FE92" s="916"/>
      <c r="FF92" s="916"/>
      <c r="FG92" s="917"/>
      <c r="FH92" s="25">
        <v>19</v>
      </c>
      <c r="FI92" s="848">
        <v>38231</v>
      </c>
      <c r="FJ92" s="19"/>
      <c r="FK92" s="93"/>
      <c r="FL92" s="20"/>
      <c r="FM92" s="25">
        <v>19</v>
      </c>
      <c r="FN92" s="19"/>
      <c r="FO92" s="93"/>
      <c r="FP92" s="93"/>
      <c r="FQ92" s="93"/>
      <c r="FR92" s="93"/>
      <c r="FS92" s="93"/>
      <c r="FT92" s="93"/>
      <c r="FU92" s="93"/>
      <c r="FV92" s="93"/>
      <c r="FW92" s="917"/>
      <c r="FX92" s="25">
        <v>19</v>
      </c>
      <c r="FY92" s="916"/>
      <c r="FZ92" s="916"/>
      <c r="GA92" s="916"/>
      <c r="GB92" s="916"/>
      <c r="GC92" s="916"/>
      <c r="GD92" s="916"/>
      <c r="GE92" s="916"/>
      <c r="GF92" s="916"/>
      <c r="GG92" s="916"/>
      <c r="GH92" s="916"/>
      <c r="GI92" s="917"/>
      <c r="GJ92" s="25">
        <v>19</v>
      </c>
      <c r="GK92" s="19"/>
      <c r="GL92" s="20"/>
      <c r="GM92" s="25">
        <v>19</v>
      </c>
      <c r="GN92" s="19"/>
      <c r="GO92" s="20"/>
      <c r="GP92" s="25">
        <v>19</v>
      </c>
      <c r="GQ92" s="19"/>
      <c r="GR92" s="20"/>
      <c r="GS92" s="25">
        <v>19</v>
      </c>
      <c r="GT92" s="848">
        <v>38231</v>
      </c>
      <c r="GU92" s="19"/>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v>19</v>
      </c>
      <c r="IW92" s="848">
        <v>38231</v>
      </c>
      <c r="IX92" s="1035"/>
      <c r="IY92" s="1035">
        <v>172.12860000000001</v>
      </c>
      <c r="IZ92" s="1035">
        <v>186.9736</v>
      </c>
      <c r="JA92" s="1035">
        <v>0.32210677300000001</v>
      </c>
      <c r="JB92" s="1035">
        <v>168.32951642361417</v>
      </c>
      <c r="JC92" s="1035">
        <v>44.930200000000006</v>
      </c>
      <c r="JD92" s="1035">
        <v>385.71042319661422</v>
      </c>
      <c r="JE92" s="1035">
        <v>169.10755957372123</v>
      </c>
      <c r="JF92" s="1035">
        <v>554.81798277033545</v>
      </c>
      <c r="JG92" s="1035"/>
      <c r="JH92" s="1035">
        <v>318.53494438806592</v>
      </c>
      <c r="JI92" s="1035">
        <v>252.46628997199994</v>
      </c>
      <c r="JJ92" s="1035">
        <v>66.068654416065954</v>
      </c>
      <c r="JK92" s="1035">
        <v>291.59162936026939</v>
      </c>
      <c r="JL92" s="1035">
        <v>-33.61135504100001</v>
      </c>
      <c r="JM92" s="1035">
        <v>12.570644958999992</v>
      </c>
      <c r="JN92" s="1035">
        <v>-46.182000000000002</v>
      </c>
      <c r="JO92" s="1035">
        <v>325.20298440126942</v>
      </c>
      <c r="JP92" s="1035">
        <v>3.32956282</v>
      </c>
      <c r="JQ92" s="1035">
        <v>321.87342158126944</v>
      </c>
      <c r="JR92" s="1035">
        <v>82.899548347999996</v>
      </c>
      <c r="JS92" s="1035">
        <v>-27.590957370000005</v>
      </c>
      <c r="JT92" s="1036">
        <v>554.81798277033533</v>
      </c>
      <c r="JU92" s="29">
        <v>19</v>
      </c>
      <c r="JV92" s="1037"/>
      <c r="JW92" s="1526">
        <f>VLOOKUP($IW92,Base_Mensuelle!$OF$68:$RM$679,HLOOKUP(JW$73,Base_Mensuelle!$PE$67:$QE$680,614,0))</f>
        <v>252.46628997199994</v>
      </c>
      <c r="JX92" s="1526">
        <f>VLOOKUP($IW92,Base_Mensuelle!$OF$68:$RM$679,HLOOKUP(JX$73,Base_Mensuelle!$PE$67:$QE$680,614,0))</f>
        <v>467.36421245799994</v>
      </c>
      <c r="JY92" s="1526">
        <f>VLOOKUP($IW92,Base_Mensuelle!$OF$68:$RM$679,HLOOKUP(JY$73,Base_Mensuelle!$PE$67:$QE$680,614,0))</f>
        <v>214.897922486</v>
      </c>
      <c r="JZ92" s="1526">
        <f>VLOOKUP($IW92,Base_Mensuelle!$OF$68:$RM$679,HLOOKUP(JZ$73,Base_Mensuelle!$PE$67:$QE$680,614,0))</f>
        <v>1.2470000000000001</v>
      </c>
      <c r="KA92" s="1526">
        <f>VLOOKUP($IW92,Base_Mensuelle!$OF$68:$RM$679,HLOOKUP(KA$73,Base_Mensuelle!$PE$67:$QE$680,614,0))</f>
        <v>12.570644958999992</v>
      </c>
      <c r="KB92" s="1526">
        <f>VLOOKUP($IW92,Base_Mensuelle!$OF$68:$RM$679,HLOOKUP(KB$73,Base_Mensuelle!$PE$67:$QE$680,614,0))</f>
        <v>97.636532620999986</v>
      </c>
      <c r="KC92" s="1526">
        <f>VLOOKUP($IW92,Base_Mensuelle!$OF$68:$RM$679,HLOOKUP(KC$73,Base_Mensuelle!$PE$67:$QE$680,614,0))</f>
        <v>85.065887661999994</v>
      </c>
      <c r="KD92" s="1526">
        <f>VLOOKUP($IW92,Base_Mensuelle!$OF$68:$RM$679,HLOOKUP(KD$73,Base_Mensuelle!$PE$67:$QE$680,614,0))</f>
        <v>3.32956282</v>
      </c>
      <c r="KE92" s="1526">
        <f>VLOOKUP($IW92,Base_Mensuelle!$OF$68:$RM$679,HLOOKUP(KE$73,Base_Mensuelle!$PE$67:$QE$680,614,0))</f>
        <v>0</v>
      </c>
      <c r="KF92" s="1526">
        <f>VLOOKUP($IW92,Base_Mensuelle!$OF$68:$RM$679,HLOOKUP(KF$73,Base_Mensuelle!$PE$67:$QE$680,614,0))</f>
        <v>0</v>
      </c>
      <c r="KG92" s="1526">
        <f>VLOOKUP($IW92,Base_Mensuelle!$OF$68:$RM$679,HLOOKUP(KG$73,Base_Mensuelle!$PE$67:$QE$680,614,0))</f>
        <v>0.78056914700000002</v>
      </c>
      <c r="KH92" s="1526">
        <f>VLOOKUP($IW92,Base_Mensuelle!$OF$68:$RM$679,HLOOKUP(KH$73,Base_Mensuelle!$PE$67:$QE$680,614,0))</f>
        <v>2.548993673</v>
      </c>
      <c r="KI92" s="1526">
        <f>VLOOKUP($IW92,Base_Mensuelle!$OF$68:$RM$679,HLOOKUP(KI$73,Base_Mensuelle!$PE$67:$QE$680,614,0))</f>
        <v>265.45683498400001</v>
      </c>
      <c r="KJ92" s="1526">
        <f>VLOOKUP($IW92,Base_Mensuelle!$OF$68:$RM$679,HLOOKUP(KJ$73,Base_Mensuelle!$PE$67:$QE$680,614,0))</f>
        <v>186.9736</v>
      </c>
      <c r="KK92" s="1526">
        <f>VLOOKUP($IW92,Base_Mensuelle!$OF$68:$RM$679,HLOOKUP(KK$73,Base_Mensuelle!$PE$67:$QE$680,614,0))</f>
        <v>78.161128211000005</v>
      </c>
      <c r="KL92" s="1526">
        <f>VLOOKUP($IW92,Base_Mensuelle!$OF$68:$RM$679,HLOOKUP(KL$73,Base_Mensuelle!$PE$67:$QE$680,614,0))</f>
        <v>0.32210677300000001</v>
      </c>
      <c r="KM92" s="1526">
        <f>VLOOKUP($IW92,Base_Mensuelle!$OF$68:$RM$679,HLOOKUP(KM$73,Base_Mensuelle!$PE$67:$QE$680,614,0))</f>
        <v>0</v>
      </c>
      <c r="KN92" s="1526">
        <f>VLOOKUP($IW92,Base_Mensuelle!$OF$68:$RM$679,HLOOKUP(KN$73,Base_Mensuelle!$PE$67:$QE$680,614,0))</f>
        <v>4.2664338290000003</v>
      </c>
      <c r="KO92" s="1526">
        <f>VLOOKUP($IW92,Base_Mensuelle!$OF$68:$RM$679,HLOOKUP(KO$73,Base_Mensuelle!$PE$67:$QE$680,614,0))</f>
        <v>0</v>
      </c>
      <c r="KP92" s="1526">
        <f>VLOOKUP($IW92,Base_Mensuelle!$OF$68:$RM$679,HLOOKUP(KP$73,Base_Mensuelle!$PE$67:$QE$680,614,0))</f>
        <v>0</v>
      </c>
      <c r="KQ92" s="1526">
        <f>VLOOKUP($IW92,Base_Mensuelle!$OF$68:$RM$679,HLOOKUP(KQ$73,Base_Mensuelle!$PE$67:$QE$680,614,0))</f>
        <v>4.2664338290000003</v>
      </c>
      <c r="KR92" s="1526">
        <f>VLOOKUP($IW92,Base_Mensuelle!$OF$68:$RM$679,HLOOKUP(KR$73,Base_Mensuelle!$PE$67:$QE$680,614,0))</f>
        <v>0</v>
      </c>
      <c r="KS92" s="1526">
        <f>VLOOKUP($IW92,Base_Mensuelle!$OF$68:$RM$679,HLOOKUP(KS$73,Base_Mensuelle!$PE$67:$QE$680,614,0))</f>
        <v>0</v>
      </c>
      <c r="KT92" s="1526">
        <f>VLOOKUP($IW92,Base_Mensuelle!$OF$68:$RM$679,HLOOKUP(KT$73,Base_Mensuelle!$PE$67:$QE$680,614,0))</f>
        <v>0</v>
      </c>
      <c r="KU92" s="1526">
        <f>VLOOKUP($IW92,Base_Mensuelle!$OF$68:$RM$679,HLOOKUP(KU$73,Base_Mensuelle!$PE$67:$QE$680,614,0))</f>
        <v>-2.6938854810000001</v>
      </c>
      <c r="KV92" s="1526">
        <f>VLOOKUP($IW92,Base_Mensuelle!$OF$68:$RM$679,HLOOKUP(KV$73,Base_Mensuelle!$PE$67:$QE$680,614,0))</f>
        <v>2.5841144189999925</v>
      </c>
      <c r="KW92" s="1036"/>
      <c r="KX92" s="29">
        <v>19</v>
      </c>
      <c r="KY92" s="1037"/>
      <c r="KZ92" s="182">
        <f>VLOOKUP($IW92,Base_Mensuelle!$OF$68:$RM$679,HLOOKUP(KZ$73,Base_Mensuelle!$QG$67:$RM$680,614,0))</f>
        <v>66.068654416065954</v>
      </c>
      <c r="LA92" s="182">
        <f>VLOOKUP($IW92,Base_Mensuelle!$OF$68:$RM$679,HLOOKUP(LA$73,Base_Mensuelle!$QG$67:$RM$680,614,0))</f>
        <v>133.20657841873052</v>
      </c>
      <c r="LB92" s="182">
        <f>VLOOKUP($IW92,Base_Mensuelle!$OF$68:$RM$679,HLOOKUP(LB$73,Base_Mensuelle!$QG$67:$RM$680,614,0))</f>
        <v>-67.137924002664562</v>
      </c>
      <c r="LC92" s="182">
        <f>VLOOKUP($IW92,Base_Mensuelle!$OF$68:$RM$679,HLOOKUP(LC$73,Base_Mensuelle!$QG$67:$RM$680,614,0))</f>
        <v>82.304999999999993</v>
      </c>
      <c r="LD92" s="182">
        <f>VLOOKUP($IW92,Base_Mensuelle!$OF$68:$RM$679,HLOOKUP(LD$73,Base_Mensuelle!$QG$67:$RM$680,614,0))</f>
        <v>14.845000000000001</v>
      </c>
      <c r="LE92" s="182">
        <f>VLOOKUP($IW92,Base_Mensuelle!$OF$68:$RM$679,HLOOKUP(LE$73,Base_Mensuelle!$QG$67:$RM$680,614,0))</f>
        <v>67.459999999999994</v>
      </c>
      <c r="LF92" s="182">
        <f>VLOOKUP($IW92,Base_Mensuelle!$OF$68:$RM$679,HLOOKUP(LF$73,Base_Mensuelle!$QG$67:$RM$680,614,0))</f>
        <v>0</v>
      </c>
      <c r="LG92" s="182">
        <f>VLOOKUP($IW92,Base_Mensuelle!$OF$68:$RM$679,HLOOKUP(LG$73,Base_Mensuelle!$QG$67:$RM$680,614,0))</f>
        <v>-46.182000000000002</v>
      </c>
      <c r="LH92" s="182">
        <f>VLOOKUP($IW92,Base_Mensuelle!$OF$68:$RM$679,HLOOKUP(LH$73,Base_Mensuelle!$QG$67:$RM$680,614,0))</f>
        <v>15.288</v>
      </c>
      <c r="LI92" s="182">
        <f>VLOOKUP($IW92,Base_Mensuelle!$OF$68:$RM$679,HLOOKUP(LI$73,Base_Mensuelle!$QG$67:$RM$680,614,0))</f>
        <v>-61.47</v>
      </c>
      <c r="LJ92" s="182">
        <f>VLOOKUP($IW92,Base_Mensuelle!$OF$68:$RM$679,HLOOKUP(LJ$73,Base_Mensuelle!$QG$67:$RM$680,614,0))</f>
        <v>321.87342158126944</v>
      </c>
      <c r="LK92" s="182">
        <f>VLOOKUP($IW92,Base_Mensuelle!$OF$68:$RM$679,HLOOKUP(LK$73,Base_Mensuelle!$QG$67:$RM$680,614,0))</f>
        <v>4.6498492777641793</v>
      </c>
      <c r="LL92" s="182">
        <f>VLOOKUP($IW92,Base_Mensuelle!$OF$68:$RM$679,HLOOKUP(LL$73,Base_Mensuelle!$QG$67:$RM$680,614,0))</f>
        <v>0</v>
      </c>
      <c r="LM92" s="182">
        <f>VLOOKUP($IW92,Base_Mensuelle!$OF$68:$RM$679,HLOOKUP(LM$73,Base_Mensuelle!$QG$67:$RM$680,614,0))</f>
        <v>27.489000000000001</v>
      </c>
      <c r="LN92" s="182">
        <f>VLOOKUP($IW92,Base_Mensuelle!$OF$68:$RM$679,HLOOKUP(LN$73,Base_Mensuelle!$QG$67:$RM$680,614,0))</f>
        <v>289.73457230350527</v>
      </c>
      <c r="LO92" s="182">
        <f>VLOOKUP($IW92,Base_Mensuelle!$OF$68:$RM$679,HLOOKUP(LO$73,Base_Mensuelle!$QG$67:$RM$680,614,0))</f>
        <v>0</v>
      </c>
      <c r="LP92" s="182">
        <f>VLOOKUP($IW92,Base_Mensuelle!$OF$68:$RM$679,HLOOKUP(LP$73,Base_Mensuelle!$QG$67:$RM$680,614,0))</f>
        <v>9.6000000000000002E-2</v>
      </c>
      <c r="LQ92" s="182">
        <f>VLOOKUP($IW92,Base_Mensuelle!$OF$68:$RM$679,HLOOKUP(LQ$73,Base_Mensuelle!$QG$67:$RM$680,614,0))</f>
        <v>168.32951642361417</v>
      </c>
      <c r="LR92" s="182">
        <f>VLOOKUP($IW92,Base_Mensuelle!$OF$68:$RM$679,HLOOKUP(LR$73,Base_Mensuelle!$QG$67:$RM$680,614,0))</f>
        <v>169.10755957372123</v>
      </c>
      <c r="LS92" s="182">
        <f>VLOOKUP($IW92,Base_Mensuelle!$OF$68:$RM$679,HLOOKUP(LS$73,Base_Mensuelle!$QG$67:$RM$680,614,0))</f>
        <v>0</v>
      </c>
      <c r="LT92" s="182">
        <f>VLOOKUP($IW92,Base_Mensuelle!$OF$68:$RM$679,HLOOKUP(LT$73,Base_Mensuelle!$QG$67:$RM$680,614,0))</f>
        <v>14.958</v>
      </c>
      <c r="LU92" s="182">
        <f>VLOOKUP($IW92,Base_Mensuelle!$OF$68:$RM$679,HLOOKUP(LU$73,Base_Mensuelle!$QG$67:$RM$680,614,0))</f>
        <v>0</v>
      </c>
      <c r="LV92" s="182">
        <f>VLOOKUP($IW92,Base_Mensuelle!$OF$68:$RM$679,HLOOKUP(LV$73,Base_Mensuelle!$QG$67:$RM$680,614,0))</f>
        <v>3.7469999999999999</v>
      </c>
      <c r="LW92" s="182">
        <f>VLOOKUP($IW92,Base_Mensuelle!$OF$68:$RM$679,HLOOKUP(LW$73,Base_Mensuelle!$QG$67:$RM$680,614,0))</f>
        <v>0</v>
      </c>
      <c r="LX92" s="182">
        <f>VLOOKUP($IW92,Base_Mensuelle!$OF$68:$RM$679,HLOOKUP(LX$73,Base_Mensuelle!$QG$67:$RM$680,614,0))</f>
        <v>0</v>
      </c>
      <c r="LY92" s="182">
        <f>VLOOKUP($IW92,Base_Mensuelle!$OF$68:$RM$679,HLOOKUP(LY$73,Base_Mensuelle!$QG$67:$RM$680,614,0))</f>
        <v>62.622000000000007</v>
      </c>
      <c r="LZ92" s="182">
        <f>VLOOKUP($IW92,Base_Mensuelle!$OF$68:$RM$679,HLOOKUP(LZ$73,Base_Mensuelle!$QG$67:$RM$680,614,0))</f>
        <v>5.2049999999999983</v>
      </c>
      <c r="MA92" s="182">
        <f>VLOOKUP($IW92,Base_Mensuelle!$OF$68:$RM$679,HLOOKUP(MA$73,Base_Mensuelle!$QG$67:$RM$680,614,0))</f>
        <v>0</v>
      </c>
      <c r="MB92" s="182">
        <f>VLOOKUP($IW92,Base_Mensuelle!$OF$68:$RM$679,HLOOKUP(MB$73,Base_Mensuelle!$QG$67:$RM$680,614,0))</f>
        <v>0</v>
      </c>
      <c r="MC92" s="182">
        <f>VLOOKUP($IW92,Base_Mensuelle!$OF$68:$RM$679,HLOOKUP(MC$73,Base_Mensuelle!$QG$67:$RM$680,614,0))</f>
        <v>0</v>
      </c>
      <c r="MD92" s="182">
        <f>VLOOKUP($IW92,Base_Mensuelle!$OF$68:$RM$679,HLOOKUP(MD$73,Base_Mensuelle!$QG$67:$RM$680,614,0))</f>
        <v>0</v>
      </c>
      <c r="ME92" s="182">
        <f>VLOOKUP($IW92,Base_Mensuelle!$OF$68:$RM$679,HLOOKUP(ME$73,Base_Mensuelle!$QG$67:$RM$680,614,0))</f>
        <v>0</v>
      </c>
      <c r="MF92" s="182"/>
      <c r="MG92" s="182"/>
      <c r="MH92" s="290"/>
      <c r="MI92" s="29">
        <v>19</v>
      </c>
      <c r="MJ92" s="29" t="str">
        <f t="shared" si="82"/>
        <v>Trimestre 32004</v>
      </c>
      <c r="MK92" s="848">
        <v>38231</v>
      </c>
      <c r="ML92" s="29"/>
      <c r="MM92" s="29"/>
      <c r="MN92" s="29"/>
      <c r="MO92" s="29"/>
      <c r="MP92" s="29"/>
      <c r="MQ92" s="29"/>
      <c r="MR92" s="29"/>
      <c r="MS92" s="29"/>
      <c r="MT92" s="29"/>
      <c r="MU92" s="29"/>
      <c r="MV92" s="29"/>
      <c r="MW92" s="29"/>
      <c r="MX92" s="29"/>
      <c r="MY92" s="29"/>
      <c r="MZ92" s="29"/>
      <c r="NA92" s="29"/>
      <c r="NB92" s="29"/>
      <c r="NC92" s="29"/>
      <c r="ND92" s="29"/>
      <c r="NE92" s="29"/>
      <c r="NF92" s="29"/>
      <c r="NG92" s="29"/>
      <c r="NH92" s="29"/>
      <c r="NI92" s="29"/>
      <c r="NJ92" s="29"/>
      <c r="NK92" s="29"/>
      <c r="NL92" s="29">
        <v>19</v>
      </c>
    </row>
    <row r="93" spans="1:376">
      <c r="A93" s="41">
        <f t="shared" si="80"/>
        <v>2004</v>
      </c>
      <c r="B93" s="785">
        <v>38322</v>
      </c>
      <c r="C93" s="19"/>
      <c r="D93" s="93"/>
      <c r="E93" s="93"/>
      <c r="F93" s="93"/>
      <c r="G93" s="93"/>
      <c r="H93" s="93"/>
      <c r="I93" s="93"/>
      <c r="J93" s="93"/>
      <c r="K93" s="93"/>
      <c r="L93" s="93"/>
      <c r="M93" s="20"/>
      <c r="N93" s="25">
        <v>20</v>
      </c>
      <c r="O93" s="889">
        <f t="shared" si="79"/>
        <v>2004</v>
      </c>
      <c r="P93" s="29" t="str">
        <f t="shared" si="81"/>
        <v>Trimestre 42004</v>
      </c>
      <c r="Q93" s="848">
        <v>38322</v>
      </c>
      <c r="R93" s="733"/>
      <c r="S93" s="570"/>
      <c r="T93" s="570"/>
      <c r="U93" s="734"/>
      <c r="V93" s="25">
        <v>20</v>
      </c>
      <c r="W93" s="19"/>
      <c r="X93" s="93"/>
      <c r="Y93" s="93"/>
      <c r="Z93" s="93"/>
      <c r="AA93" s="93"/>
      <c r="AB93" s="93"/>
      <c r="AC93" s="93"/>
      <c r="AD93" s="93"/>
      <c r="AE93" s="20"/>
      <c r="AF93" s="25">
        <v>20</v>
      </c>
      <c r="AG93" s="19"/>
      <c r="AH93" s="93"/>
      <c r="AI93" s="93"/>
      <c r="AJ93" s="93"/>
      <c r="AK93" s="93"/>
      <c r="AL93" s="93"/>
      <c r="AM93" s="93"/>
      <c r="AN93" s="20"/>
      <c r="AO93" s="19"/>
      <c r="AP93" s="93"/>
      <c r="AQ93" s="93"/>
      <c r="AR93" s="93"/>
      <c r="AS93" s="20"/>
      <c r="AT93" s="19"/>
      <c r="AU93" s="93"/>
      <c r="AV93" s="20"/>
      <c r="AW93" s="19"/>
      <c r="AX93" s="93"/>
      <c r="AY93" s="93"/>
      <c r="AZ93" s="93"/>
      <c r="BA93" s="93"/>
      <c r="BB93" s="93"/>
      <c r="BC93" s="20"/>
      <c r="BD93" s="19"/>
      <c r="BE93" s="93"/>
      <c r="BF93" s="93"/>
      <c r="BG93" s="93"/>
      <c r="BH93" s="93"/>
      <c r="BI93" s="93"/>
      <c r="BJ93" s="93"/>
      <c r="BK93" s="20"/>
      <c r="BL93" s="19"/>
      <c r="BM93" s="93"/>
      <c r="BN93" s="93"/>
      <c r="BO93" s="93"/>
      <c r="BP93" s="93"/>
      <c r="BQ93" s="20"/>
      <c r="BR93" s="19"/>
      <c r="BS93" s="93"/>
      <c r="BT93" s="93"/>
      <c r="BU93" s="20"/>
      <c r="BV93" s="19"/>
      <c r="BW93" s="93"/>
      <c r="BX93" s="93"/>
      <c r="BY93" s="93"/>
      <c r="BZ93" s="93"/>
      <c r="CA93" s="93"/>
      <c r="CB93" s="20"/>
      <c r="CC93" s="25">
        <v>20</v>
      </c>
      <c r="CD93" s="19"/>
      <c r="CE93" s="93"/>
      <c r="CF93" s="20"/>
      <c r="CG93" s="25">
        <v>20</v>
      </c>
      <c r="CH93" s="19"/>
      <c r="CI93" s="93"/>
      <c r="CJ93" s="93"/>
      <c r="CK93" s="93"/>
      <c r="CL93" s="93"/>
      <c r="CM93" s="93"/>
      <c r="CN93" s="93"/>
      <c r="CO93" s="93"/>
      <c r="CP93" s="93"/>
      <c r="CQ93" s="93"/>
      <c r="CR93" s="214"/>
      <c r="CS93" s="20"/>
      <c r="CT93" s="25">
        <v>20</v>
      </c>
      <c r="CU93" s="19"/>
      <c r="CV93" s="93"/>
      <c r="CW93" s="93"/>
      <c r="CX93" s="93"/>
      <c r="CY93" s="93"/>
      <c r="CZ93" s="93"/>
      <c r="DA93" s="93"/>
      <c r="DB93" s="20"/>
      <c r="DC93" s="25">
        <v>20</v>
      </c>
      <c r="DD93" s="785">
        <v>38322</v>
      </c>
      <c r="DE93" s="19"/>
      <c r="DF93" s="20"/>
      <c r="DG93" s="25">
        <v>20</v>
      </c>
      <c r="DH93" s="19"/>
      <c r="DI93" s="20"/>
      <c r="DJ93" s="25">
        <v>20</v>
      </c>
      <c r="DK93" s="19"/>
      <c r="DL93" s="20"/>
      <c r="DM93" s="19"/>
      <c r="DN93" s="20"/>
      <c r="DO93" s="25">
        <v>20</v>
      </c>
      <c r="DP93" s="19"/>
      <c r="DQ93" s="93"/>
      <c r="DR93" s="20"/>
      <c r="DS93" s="25">
        <v>20</v>
      </c>
      <c r="DT93" s="19"/>
      <c r="DU93" s="93"/>
      <c r="DV93" s="20"/>
      <c r="DW93" s="25">
        <v>20</v>
      </c>
      <c r="DX93" s="19"/>
      <c r="DY93" s="20"/>
      <c r="DZ93" s="25">
        <v>20</v>
      </c>
      <c r="EA93" s="19"/>
      <c r="EB93" s="93"/>
      <c r="EC93" s="93"/>
      <c r="ED93" s="93"/>
      <c r="EE93" s="20"/>
      <c r="EF93" s="25">
        <v>20</v>
      </c>
      <c r="EG93" s="19"/>
      <c r="EH93" s="93"/>
      <c r="EI93" s="93"/>
      <c r="EJ93" s="93"/>
      <c r="EK93" s="20"/>
      <c r="EL93" s="25">
        <v>20</v>
      </c>
      <c r="EM93" s="19"/>
      <c r="EN93" s="93"/>
      <c r="EO93" s="93"/>
      <c r="EP93" s="93"/>
      <c r="EQ93" s="93"/>
      <c r="ER93" s="93"/>
      <c r="ES93" s="93"/>
      <c r="ET93" s="93"/>
      <c r="EU93" s="93"/>
      <c r="EV93" s="20"/>
      <c r="EW93" s="25">
        <v>20</v>
      </c>
      <c r="EX93" s="915"/>
      <c r="EY93" s="916"/>
      <c r="EZ93" s="916"/>
      <c r="FA93" s="916"/>
      <c r="FB93" s="916"/>
      <c r="FC93" s="916"/>
      <c r="FD93" s="916"/>
      <c r="FE93" s="916"/>
      <c r="FF93" s="916"/>
      <c r="FG93" s="917"/>
      <c r="FH93" s="25">
        <v>20</v>
      </c>
      <c r="FI93" s="848">
        <v>38322</v>
      </c>
      <c r="FJ93" s="19"/>
      <c r="FK93" s="93"/>
      <c r="FL93" s="20"/>
      <c r="FM93" s="25">
        <v>20</v>
      </c>
      <c r="FN93" s="19"/>
      <c r="FO93" s="93"/>
      <c r="FP93" s="93"/>
      <c r="FQ93" s="93"/>
      <c r="FR93" s="93"/>
      <c r="FS93" s="93"/>
      <c r="FT93" s="93"/>
      <c r="FU93" s="93"/>
      <c r="FV93" s="93"/>
      <c r="FW93" s="917"/>
      <c r="FX93" s="25">
        <v>20</v>
      </c>
      <c r="FY93" s="916"/>
      <c r="FZ93" s="916"/>
      <c r="GA93" s="916"/>
      <c r="GB93" s="916"/>
      <c r="GC93" s="916"/>
      <c r="GD93" s="916"/>
      <c r="GE93" s="916"/>
      <c r="GF93" s="916"/>
      <c r="GG93" s="916"/>
      <c r="GH93" s="916"/>
      <c r="GI93" s="917"/>
      <c r="GJ93" s="25">
        <v>20</v>
      </c>
      <c r="GK93" s="19"/>
      <c r="GL93" s="20"/>
      <c r="GM93" s="25">
        <v>20</v>
      </c>
      <c r="GN93" s="19"/>
      <c r="GO93" s="20"/>
      <c r="GP93" s="25">
        <v>20</v>
      </c>
      <c r="GQ93" s="19"/>
      <c r="GR93" s="20"/>
      <c r="GS93" s="25">
        <v>20</v>
      </c>
      <c r="GT93" s="848">
        <v>38322</v>
      </c>
      <c r="GU93" s="19"/>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v>20</v>
      </c>
      <c r="IW93" s="848">
        <v>38322</v>
      </c>
      <c r="IX93" s="1035"/>
      <c r="IY93" s="1035">
        <v>176.3552</v>
      </c>
      <c r="IZ93" s="1035">
        <v>192.2002</v>
      </c>
      <c r="JA93" s="1035">
        <v>0.300513476</v>
      </c>
      <c r="JB93" s="1035">
        <v>192.44113528873737</v>
      </c>
      <c r="JC93" s="1035">
        <v>45.0837</v>
      </c>
      <c r="JD93" s="1035">
        <v>414.18054876473735</v>
      </c>
      <c r="JE93" s="1035">
        <v>182.64604960417302</v>
      </c>
      <c r="JF93" s="1035">
        <v>596.82659836891037</v>
      </c>
      <c r="JG93" s="1035"/>
      <c r="JH93" s="1035">
        <v>285.3507117462409</v>
      </c>
      <c r="JI93" s="1035">
        <v>223.29061859999993</v>
      </c>
      <c r="JJ93" s="1035">
        <v>62.060093146241002</v>
      </c>
      <c r="JK93" s="1035">
        <v>369.12995252266938</v>
      </c>
      <c r="JL93" s="1035">
        <v>-44.864719090999984</v>
      </c>
      <c r="JM93" s="1035">
        <v>10.056280909000009</v>
      </c>
      <c r="JN93" s="1035">
        <v>-54.920999999999992</v>
      </c>
      <c r="JO93" s="1035">
        <v>413.99467161366937</v>
      </c>
      <c r="JP93" s="1035">
        <v>2.4055798670000006</v>
      </c>
      <c r="JQ93" s="1035">
        <v>411.5890917466694</v>
      </c>
      <c r="JR93" s="1035">
        <v>92.373954184000013</v>
      </c>
      <c r="JS93" s="1035">
        <v>-34.719888283999992</v>
      </c>
      <c r="JT93" s="1036">
        <v>596.82659836891025</v>
      </c>
      <c r="JU93" s="29">
        <v>20</v>
      </c>
      <c r="JV93" s="1037"/>
      <c r="JW93" s="1526">
        <f>VLOOKUP($IW93,Base_Mensuelle!$OF$68:$RM$679,HLOOKUP(JW$73,Base_Mensuelle!$PE$67:$QE$680,614,0))</f>
        <v>223.29061859999993</v>
      </c>
      <c r="JX93" s="1526">
        <f>VLOOKUP($IW93,Base_Mensuelle!$OF$68:$RM$679,HLOOKUP(JX$73,Base_Mensuelle!$PE$67:$QE$680,614,0))</f>
        <v>432.80139287399993</v>
      </c>
      <c r="JY93" s="1526">
        <f>VLOOKUP($IW93,Base_Mensuelle!$OF$68:$RM$679,HLOOKUP(JY$73,Base_Mensuelle!$PE$67:$QE$680,614,0))</f>
        <v>209.510774274</v>
      </c>
      <c r="JZ93" s="1526">
        <f>VLOOKUP($IW93,Base_Mensuelle!$OF$68:$RM$679,HLOOKUP(JZ$73,Base_Mensuelle!$PE$67:$QE$680,614,0))</f>
        <v>1.2471785550000001</v>
      </c>
      <c r="KA93" s="1526">
        <f>VLOOKUP($IW93,Base_Mensuelle!$OF$68:$RM$679,HLOOKUP(KA$73,Base_Mensuelle!$PE$67:$QE$680,614,0))</f>
        <v>10.056280909000009</v>
      </c>
      <c r="KB93" s="1526">
        <f>VLOOKUP($IW93,Base_Mensuelle!$OF$68:$RM$679,HLOOKUP(KB$73,Base_Mensuelle!$PE$67:$QE$680,614,0))</f>
        <v>93.001884715000003</v>
      </c>
      <c r="KC93" s="1526">
        <f>VLOOKUP($IW93,Base_Mensuelle!$OF$68:$RM$679,HLOOKUP(KC$73,Base_Mensuelle!$PE$67:$QE$680,614,0))</f>
        <v>82.945603805999994</v>
      </c>
      <c r="KD93" s="1526">
        <f>VLOOKUP($IW93,Base_Mensuelle!$OF$68:$RM$679,HLOOKUP(KD$73,Base_Mensuelle!$PE$67:$QE$680,614,0))</f>
        <v>2.4055798670000006</v>
      </c>
      <c r="KE93" s="1526">
        <f>VLOOKUP($IW93,Base_Mensuelle!$OF$68:$RM$679,HLOOKUP(KE$73,Base_Mensuelle!$PE$67:$QE$680,614,0))</f>
        <v>0</v>
      </c>
      <c r="KF93" s="1526">
        <f>VLOOKUP($IW93,Base_Mensuelle!$OF$68:$RM$679,HLOOKUP(KF$73,Base_Mensuelle!$PE$67:$QE$680,614,0))</f>
        <v>0</v>
      </c>
      <c r="KG93" s="1526">
        <f>VLOOKUP($IW93,Base_Mensuelle!$OF$68:$RM$679,HLOOKUP(KG$73,Base_Mensuelle!$PE$67:$QE$680,614,0))</f>
        <v>6.5881100000000003E-4</v>
      </c>
      <c r="KH93" s="1526">
        <f>VLOOKUP($IW93,Base_Mensuelle!$OF$68:$RM$679,HLOOKUP(KH$73,Base_Mensuelle!$PE$67:$QE$680,614,0))</f>
        <v>2.4049210560000005</v>
      </c>
      <c r="KI93" s="1526">
        <f>VLOOKUP($IW93,Base_Mensuelle!$OF$68:$RM$679,HLOOKUP(KI$73,Base_Mensuelle!$PE$67:$QE$680,614,0))</f>
        <v>239.021033934</v>
      </c>
      <c r="KJ93" s="1526">
        <f>VLOOKUP($IW93,Base_Mensuelle!$OF$68:$RM$679,HLOOKUP(KJ$73,Base_Mensuelle!$PE$67:$QE$680,614,0))</f>
        <v>192.2002</v>
      </c>
      <c r="KK93" s="1526">
        <f>VLOOKUP($IW93,Base_Mensuelle!$OF$68:$RM$679,HLOOKUP(KK$73,Base_Mensuelle!$PE$67:$QE$680,614,0))</f>
        <v>46.520320458</v>
      </c>
      <c r="KL93" s="1526">
        <f>VLOOKUP($IW93,Base_Mensuelle!$OF$68:$RM$679,HLOOKUP(KL$73,Base_Mensuelle!$PE$67:$QE$680,614,0))</f>
        <v>0.300513476</v>
      </c>
      <c r="KM93" s="1526">
        <f>VLOOKUP($IW93,Base_Mensuelle!$OF$68:$RM$679,HLOOKUP(KM$73,Base_Mensuelle!$PE$67:$QE$680,614,0))</f>
        <v>0</v>
      </c>
      <c r="KN93" s="1526">
        <f>VLOOKUP($IW93,Base_Mensuelle!$OF$68:$RM$679,HLOOKUP(KN$73,Base_Mensuelle!$PE$67:$QE$680,614,0))</f>
        <v>3.7906612169999998</v>
      </c>
      <c r="KO93" s="1526">
        <f>VLOOKUP($IW93,Base_Mensuelle!$OF$68:$RM$679,HLOOKUP(KO$73,Base_Mensuelle!$PE$67:$QE$680,614,0))</f>
        <v>0</v>
      </c>
      <c r="KP93" s="1526">
        <f>VLOOKUP($IW93,Base_Mensuelle!$OF$68:$RM$679,HLOOKUP(KP$73,Base_Mensuelle!$PE$67:$QE$680,614,0))</f>
        <v>0</v>
      </c>
      <c r="KQ93" s="1526">
        <f>VLOOKUP($IW93,Base_Mensuelle!$OF$68:$RM$679,HLOOKUP(KQ$73,Base_Mensuelle!$PE$67:$QE$680,614,0))</f>
        <v>3.7906612169999998</v>
      </c>
      <c r="KR93" s="1526">
        <f>VLOOKUP($IW93,Base_Mensuelle!$OF$68:$RM$679,HLOOKUP(KR$73,Base_Mensuelle!$PE$67:$QE$680,614,0))</f>
        <v>0</v>
      </c>
      <c r="KS93" s="1526">
        <f>VLOOKUP($IW93,Base_Mensuelle!$OF$68:$RM$679,HLOOKUP(KS$73,Base_Mensuelle!$PE$67:$QE$680,614,0))</f>
        <v>0</v>
      </c>
      <c r="KT93" s="1526">
        <f>VLOOKUP($IW93,Base_Mensuelle!$OF$68:$RM$679,HLOOKUP(KT$73,Base_Mensuelle!$PE$67:$QE$680,614,0))</f>
        <v>0</v>
      </c>
      <c r="KU93" s="1526">
        <f>VLOOKUP($IW93,Base_Mensuelle!$OF$68:$RM$679,HLOOKUP(KU$73,Base_Mensuelle!$PE$67:$QE$680,614,0))</f>
        <v>-4.1297070330000007</v>
      </c>
      <c r="KV93" s="1526">
        <f>VLOOKUP($IW93,Base_Mensuelle!$OF$68:$RM$679,HLOOKUP(KV$73,Base_Mensuelle!$PE$67:$QE$680,614,0))</f>
        <v>-1.6823301869999989</v>
      </c>
      <c r="KW93" s="1036"/>
      <c r="KX93" s="29">
        <v>20</v>
      </c>
      <c r="KY93" s="1037"/>
      <c r="KZ93" s="182">
        <f>VLOOKUP($IW93,Base_Mensuelle!$OF$68:$RM$679,HLOOKUP(KZ$73,Base_Mensuelle!$QG$67:$RM$680,614,0))</f>
        <v>62.060093146241002</v>
      </c>
      <c r="LA93" s="182">
        <f>VLOOKUP($IW93,Base_Mensuelle!$OF$68:$RM$679,HLOOKUP(LA$73,Base_Mensuelle!$QG$67:$RM$680,614,0))</f>
        <v>146.87790825333062</v>
      </c>
      <c r="LB93" s="182">
        <f>VLOOKUP($IW93,Base_Mensuelle!$OF$68:$RM$679,HLOOKUP(LB$73,Base_Mensuelle!$QG$67:$RM$680,614,0))</f>
        <v>-84.817815107089615</v>
      </c>
      <c r="LC93" s="182">
        <f>VLOOKUP($IW93,Base_Mensuelle!$OF$68:$RM$679,HLOOKUP(LC$73,Base_Mensuelle!$QG$67:$RM$680,614,0))</f>
        <v>66.423000000000002</v>
      </c>
      <c r="LD93" s="182">
        <f>VLOOKUP($IW93,Base_Mensuelle!$OF$68:$RM$679,HLOOKUP(LD$73,Base_Mensuelle!$QG$67:$RM$680,614,0))</f>
        <v>15.845000000000001</v>
      </c>
      <c r="LE93" s="182">
        <f>VLOOKUP($IW93,Base_Mensuelle!$OF$68:$RM$679,HLOOKUP(LE$73,Base_Mensuelle!$QG$67:$RM$680,614,0))</f>
        <v>50.578000000000003</v>
      </c>
      <c r="LF93" s="182">
        <f>VLOOKUP($IW93,Base_Mensuelle!$OF$68:$RM$679,HLOOKUP(LF$73,Base_Mensuelle!$QG$67:$RM$680,614,0))</f>
        <v>0</v>
      </c>
      <c r="LG93" s="182">
        <f>VLOOKUP($IW93,Base_Mensuelle!$OF$68:$RM$679,HLOOKUP(LG$73,Base_Mensuelle!$QG$67:$RM$680,614,0))</f>
        <v>-54.920999999999992</v>
      </c>
      <c r="LH93" s="182">
        <f>VLOOKUP($IW93,Base_Mensuelle!$OF$68:$RM$679,HLOOKUP(LH$73,Base_Mensuelle!$QG$67:$RM$680,614,0))</f>
        <v>32.03</v>
      </c>
      <c r="LI93" s="182">
        <f>VLOOKUP($IW93,Base_Mensuelle!$OF$68:$RM$679,HLOOKUP(LI$73,Base_Mensuelle!$QG$67:$RM$680,614,0))</f>
        <v>-86.950999999999993</v>
      </c>
      <c r="LJ93" s="182">
        <f>VLOOKUP($IW93,Base_Mensuelle!$OF$68:$RM$679,HLOOKUP(LJ$73,Base_Mensuelle!$QG$67:$RM$680,614,0))</f>
        <v>411.5890917466694</v>
      </c>
      <c r="LK93" s="182">
        <f>VLOOKUP($IW93,Base_Mensuelle!$OF$68:$RM$679,HLOOKUP(LK$73,Base_Mensuelle!$QG$67:$RM$680,614,0))</f>
        <v>6.2851096068741672</v>
      </c>
      <c r="LL93" s="182">
        <f>VLOOKUP($IW93,Base_Mensuelle!$OF$68:$RM$679,HLOOKUP(LL$73,Base_Mensuelle!$QG$67:$RM$680,614,0))</f>
        <v>0</v>
      </c>
      <c r="LM93" s="182">
        <f>VLOOKUP($IW93,Base_Mensuelle!$OF$68:$RM$679,HLOOKUP(LM$73,Base_Mensuelle!$QG$67:$RM$680,614,0))</f>
        <v>35.313000000000002</v>
      </c>
      <c r="LN93" s="182">
        <f>VLOOKUP($IW93,Base_Mensuelle!$OF$68:$RM$679,HLOOKUP(LN$73,Base_Mensuelle!$QG$67:$RM$680,614,0))</f>
        <v>369.99098213979522</v>
      </c>
      <c r="LO93" s="182">
        <f>VLOOKUP($IW93,Base_Mensuelle!$OF$68:$RM$679,HLOOKUP(LO$73,Base_Mensuelle!$QG$67:$RM$680,614,0))</f>
        <v>0</v>
      </c>
      <c r="LP93" s="182">
        <f>VLOOKUP($IW93,Base_Mensuelle!$OF$68:$RM$679,HLOOKUP(LP$73,Base_Mensuelle!$QG$67:$RM$680,614,0))</f>
        <v>0.28899999999999998</v>
      </c>
      <c r="LQ93" s="182">
        <f>VLOOKUP($IW93,Base_Mensuelle!$OF$68:$RM$679,HLOOKUP(LQ$73,Base_Mensuelle!$QG$67:$RM$680,614,0))</f>
        <v>192.44113528873737</v>
      </c>
      <c r="LR93" s="182">
        <f>VLOOKUP($IW93,Base_Mensuelle!$OF$68:$RM$679,HLOOKUP(LR$73,Base_Mensuelle!$QG$67:$RM$680,614,0))</f>
        <v>182.64604960417304</v>
      </c>
      <c r="LS93" s="182">
        <f>VLOOKUP($IW93,Base_Mensuelle!$OF$68:$RM$679,HLOOKUP(LS$73,Base_Mensuelle!$QG$67:$RM$680,614,0))</f>
        <v>0</v>
      </c>
      <c r="LT93" s="182">
        <f>VLOOKUP($IW93,Base_Mensuelle!$OF$68:$RM$679,HLOOKUP(LT$73,Base_Mensuelle!$QG$67:$RM$680,614,0))</f>
        <v>21.777999999999999</v>
      </c>
      <c r="LU93" s="182">
        <f>VLOOKUP($IW93,Base_Mensuelle!$OF$68:$RM$679,HLOOKUP(LU$73,Base_Mensuelle!$QG$67:$RM$680,614,0))</f>
        <v>0</v>
      </c>
      <c r="LV93" s="182">
        <f>VLOOKUP($IW93,Base_Mensuelle!$OF$68:$RM$679,HLOOKUP(LV$73,Base_Mensuelle!$QG$67:$RM$680,614,0))</f>
        <v>4.1890000000000001</v>
      </c>
      <c r="LW93" s="182">
        <f>VLOOKUP($IW93,Base_Mensuelle!$OF$68:$RM$679,HLOOKUP(LW$73,Base_Mensuelle!$QG$67:$RM$680,614,0))</f>
        <v>0</v>
      </c>
      <c r="LX93" s="182">
        <f>VLOOKUP($IW93,Base_Mensuelle!$OF$68:$RM$679,HLOOKUP(LX$73,Base_Mensuelle!$QG$67:$RM$680,614,0))</f>
        <v>0</v>
      </c>
      <c r="LY93" s="182">
        <f>VLOOKUP($IW93,Base_Mensuelle!$OF$68:$RM$679,HLOOKUP(LY$73,Base_Mensuelle!$QG$67:$RM$680,614,0))</f>
        <v>66.746000000000009</v>
      </c>
      <c r="LZ93" s="182">
        <f>VLOOKUP($IW93,Base_Mensuelle!$OF$68:$RM$679,HLOOKUP(LZ$73,Base_Mensuelle!$QG$67:$RM$680,614,0))</f>
        <v>17.062000000000012</v>
      </c>
      <c r="MA93" s="182">
        <f>VLOOKUP($IW93,Base_Mensuelle!$OF$68:$RM$679,HLOOKUP(MA$73,Base_Mensuelle!$QG$67:$RM$680,614,0))</f>
        <v>0</v>
      </c>
      <c r="MB93" s="182">
        <f>VLOOKUP($IW93,Base_Mensuelle!$OF$68:$RM$679,HLOOKUP(MB$73,Base_Mensuelle!$QG$67:$RM$680,614,0))</f>
        <v>0</v>
      </c>
      <c r="MC93" s="182">
        <f>VLOOKUP($IW93,Base_Mensuelle!$OF$68:$RM$679,HLOOKUP(MC$73,Base_Mensuelle!$QG$67:$RM$680,614,0))</f>
        <v>0</v>
      </c>
      <c r="MD93" s="182">
        <f>VLOOKUP($IW93,Base_Mensuelle!$OF$68:$RM$679,HLOOKUP(MD$73,Base_Mensuelle!$QG$67:$RM$680,614,0))</f>
        <v>0</v>
      </c>
      <c r="ME93" s="182">
        <f>VLOOKUP($IW93,Base_Mensuelle!$OF$68:$RM$679,HLOOKUP(ME$73,Base_Mensuelle!$QG$67:$RM$680,614,0))</f>
        <v>0</v>
      </c>
      <c r="MF93" s="182"/>
      <c r="MG93" s="182"/>
      <c r="MH93" s="290"/>
      <c r="MI93" s="29">
        <v>20</v>
      </c>
      <c r="MJ93" s="29" t="str">
        <f t="shared" si="82"/>
        <v>Trimestre 42004</v>
      </c>
      <c r="MK93" s="848">
        <v>38322</v>
      </c>
      <c r="ML93" s="29"/>
      <c r="MM93" s="29"/>
      <c r="MN93" s="29"/>
      <c r="MO93" s="29"/>
      <c r="MP93" s="29"/>
      <c r="MQ93" s="29"/>
      <c r="MR93" s="29"/>
      <c r="MS93" s="29"/>
      <c r="MT93" s="29"/>
      <c r="MU93" s="29"/>
      <c r="MV93" s="29"/>
      <c r="MW93" s="29"/>
      <c r="MX93" s="29"/>
      <c r="MY93" s="29"/>
      <c r="MZ93" s="29"/>
      <c r="NA93" s="29"/>
      <c r="NB93" s="29"/>
      <c r="NC93" s="29"/>
      <c r="ND93" s="29"/>
      <c r="NE93" s="29"/>
      <c r="NF93" s="29"/>
      <c r="NG93" s="29"/>
      <c r="NH93" s="29"/>
      <c r="NI93" s="29"/>
      <c r="NJ93" s="29"/>
      <c r="NK93" s="29"/>
      <c r="NL93" s="29">
        <v>20</v>
      </c>
    </row>
    <row r="94" spans="1:376">
      <c r="A94" s="41">
        <f t="shared" si="80"/>
        <v>2005</v>
      </c>
      <c r="B94" s="785">
        <v>38412</v>
      </c>
      <c r="C94" s="19"/>
      <c r="D94" s="93"/>
      <c r="E94" s="93"/>
      <c r="F94" s="93"/>
      <c r="G94" s="93"/>
      <c r="H94" s="93"/>
      <c r="I94" s="93"/>
      <c r="J94" s="93"/>
      <c r="K94" s="93"/>
      <c r="L94" s="93"/>
      <c r="M94" s="20"/>
      <c r="N94" s="25">
        <v>21</v>
      </c>
      <c r="O94" s="889">
        <f t="shared" si="79"/>
        <v>2005</v>
      </c>
      <c r="P94" s="29" t="str">
        <f t="shared" si="81"/>
        <v>Trimestre 12005</v>
      </c>
      <c r="Q94" s="848">
        <v>38412</v>
      </c>
      <c r="R94" s="733"/>
      <c r="S94" s="570"/>
      <c r="T94" s="570"/>
      <c r="U94" s="734"/>
      <c r="V94" s="25">
        <v>21</v>
      </c>
      <c r="W94" s="19"/>
      <c r="X94" s="93"/>
      <c r="Y94" s="93"/>
      <c r="Z94" s="93"/>
      <c r="AA94" s="93"/>
      <c r="AB94" s="93"/>
      <c r="AC94" s="93"/>
      <c r="AD94" s="93"/>
      <c r="AE94" s="20"/>
      <c r="AF94" s="25">
        <v>21</v>
      </c>
      <c r="AG94" s="19"/>
      <c r="AH94" s="93"/>
      <c r="AI94" s="93"/>
      <c r="AJ94" s="93"/>
      <c r="AK94" s="93"/>
      <c r="AL94" s="93"/>
      <c r="AM94" s="93"/>
      <c r="AN94" s="20"/>
      <c r="AO94" s="19"/>
      <c r="AP94" s="93"/>
      <c r="AQ94" s="93"/>
      <c r="AR94" s="93"/>
      <c r="AS94" s="20"/>
      <c r="AT94" s="19"/>
      <c r="AU94" s="93"/>
      <c r="AV94" s="20"/>
      <c r="AW94" s="19"/>
      <c r="AX94" s="93"/>
      <c r="AY94" s="93"/>
      <c r="AZ94" s="93"/>
      <c r="BA94" s="93"/>
      <c r="BB94" s="93"/>
      <c r="BC94" s="20"/>
      <c r="BD94" s="19"/>
      <c r="BE94" s="93"/>
      <c r="BF94" s="93"/>
      <c r="BG94" s="93"/>
      <c r="BH94" s="93"/>
      <c r="BI94" s="93"/>
      <c r="BJ94" s="93"/>
      <c r="BK94" s="20"/>
      <c r="BL94" s="19"/>
      <c r="BM94" s="93"/>
      <c r="BN94" s="93"/>
      <c r="BO94" s="93"/>
      <c r="BP94" s="93"/>
      <c r="BQ94" s="20"/>
      <c r="BR94" s="19"/>
      <c r="BS94" s="93"/>
      <c r="BT94" s="93"/>
      <c r="BU94" s="20"/>
      <c r="BV94" s="19"/>
      <c r="BW94" s="93"/>
      <c r="BX94" s="93"/>
      <c r="BY94" s="93"/>
      <c r="BZ94" s="93"/>
      <c r="CA94" s="93"/>
      <c r="CB94" s="20"/>
      <c r="CC94" s="25">
        <v>21</v>
      </c>
      <c r="CD94" s="19"/>
      <c r="CE94" s="93"/>
      <c r="CF94" s="20"/>
      <c r="CG94" s="25">
        <v>21</v>
      </c>
      <c r="CH94" s="19"/>
      <c r="CI94" s="93"/>
      <c r="CJ94" s="93"/>
      <c r="CK94" s="93"/>
      <c r="CL94" s="93"/>
      <c r="CM94" s="93"/>
      <c r="CN94" s="93"/>
      <c r="CO94" s="93"/>
      <c r="CP94" s="93"/>
      <c r="CQ94" s="93"/>
      <c r="CR94" s="214"/>
      <c r="CS94" s="20"/>
      <c r="CT94" s="25">
        <v>21</v>
      </c>
      <c r="CU94" s="19"/>
      <c r="CV94" s="93"/>
      <c r="CW94" s="93"/>
      <c r="CX94" s="93"/>
      <c r="CY94" s="93"/>
      <c r="CZ94" s="93"/>
      <c r="DA94" s="93"/>
      <c r="DB94" s="20"/>
      <c r="DC94" s="25">
        <v>21</v>
      </c>
      <c r="DD94" s="785">
        <v>38412</v>
      </c>
      <c r="DE94" s="19"/>
      <c r="DF94" s="20"/>
      <c r="DG94" s="25">
        <v>21</v>
      </c>
      <c r="DH94" s="19"/>
      <c r="DI94" s="20"/>
      <c r="DJ94" s="25">
        <v>21</v>
      </c>
      <c r="DK94" s="19"/>
      <c r="DL94" s="20"/>
      <c r="DM94" s="19"/>
      <c r="DN94" s="20"/>
      <c r="DO94" s="25">
        <v>21</v>
      </c>
      <c r="DP94" s="19"/>
      <c r="DQ94" s="93"/>
      <c r="DR94" s="20"/>
      <c r="DS94" s="25">
        <v>21</v>
      </c>
      <c r="DT94" s="19"/>
      <c r="DU94" s="93"/>
      <c r="DV94" s="20"/>
      <c r="DW94" s="25">
        <v>21</v>
      </c>
      <c r="DX94" s="19"/>
      <c r="DY94" s="20"/>
      <c r="DZ94" s="25">
        <v>21</v>
      </c>
      <c r="EA94" s="19"/>
      <c r="EB94" s="93"/>
      <c r="EC94" s="93"/>
      <c r="ED94" s="93"/>
      <c r="EE94" s="20"/>
      <c r="EF94" s="25">
        <v>21</v>
      </c>
      <c r="EG94" s="19"/>
      <c r="EH94" s="93"/>
      <c r="EI94" s="93"/>
      <c r="EJ94" s="93"/>
      <c r="EK94" s="20"/>
      <c r="EL94" s="25">
        <v>21</v>
      </c>
      <c r="EM94" s="19"/>
      <c r="EN94" s="93"/>
      <c r="EO94" s="93"/>
      <c r="EP94" s="93"/>
      <c r="EQ94" s="93"/>
      <c r="ER94" s="93"/>
      <c r="ES94" s="93"/>
      <c r="ET94" s="93"/>
      <c r="EU94" s="93"/>
      <c r="EV94" s="20"/>
      <c r="EW94" s="25">
        <v>21</v>
      </c>
      <c r="EX94" s="915"/>
      <c r="EY94" s="916"/>
      <c r="EZ94" s="916"/>
      <c r="FA94" s="916"/>
      <c r="FB94" s="916"/>
      <c r="FC94" s="916"/>
      <c r="FD94" s="916"/>
      <c r="FE94" s="916"/>
      <c r="FF94" s="916"/>
      <c r="FG94" s="917"/>
      <c r="FH94" s="25">
        <v>21</v>
      </c>
      <c r="FI94" s="848">
        <v>38412</v>
      </c>
      <c r="FJ94" s="19"/>
      <c r="FK94" s="93"/>
      <c r="FL94" s="20"/>
      <c r="FM94" s="25">
        <v>21</v>
      </c>
      <c r="FN94" s="19"/>
      <c r="FO94" s="93"/>
      <c r="FP94" s="93"/>
      <c r="FQ94" s="93"/>
      <c r="FR94" s="93"/>
      <c r="FS94" s="93"/>
      <c r="FT94" s="93"/>
      <c r="FU94" s="93"/>
      <c r="FV94" s="93"/>
      <c r="FW94" s="917"/>
      <c r="FX94" s="25">
        <v>21</v>
      </c>
      <c r="FY94" s="916"/>
      <c r="FZ94" s="916"/>
      <c r="GA94" s="916"/>
      <c r="GB94" s="916"/>
      <c r="GC94" s="916"/>
      <c r="GD94" s="916"/>
      <c r="GE94" s="916"/>
      <c r="GF94" s="916"/>
      <c r="GG94" s="916"/>
      <c r="GH94" s="916"/>
      <c r="GI94" s="917"/>
      <c r="GJ94" s="25">
        <v>21</v>
      </c>
      <c r="GK94" s="19"/>
      <c r="GL94" s="20"/>
      <c r="GM94" s="25">
        <v>21</v>
      </c>
      <c r="GN94" s="19"/>
      <c r="GO94" s="20"/>
      <c r="GP94" s="25">
        <v>21</v>
      </c>
      <c r="GQ94" s="19"/>
      <c r="GR94" s="20"/>
      <c r="GS94" s="25">
        <v>21</v>
      </c>
      <c r="GT94" s="848">
        <v>38412</v>
      </c>
      <c r="GU94" s="19"/>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v>21</v>
      </c>
      <c r="IW94" s="848">
        <v>38412</v>
      </c>
      <c r="IX94" s="1035"/>
      <c r="IY94" s="1035">
        <v>187.72390000000001</v>
      </c>
      <c r="IZ94" s="1035">
        <v>205.0719</v>
      </c>
      <c r="JA94" s="1035">
        <v>0.30515341699999998</v>
      </c>
      <c r="JB94" s="1035">
        <v>204.27314367369328</v>
      </c>
      <c r="JC94" s="1035">
        <v>46.907399999999996</v>
      </c>
      <c r="JD94" s="1035">
        <v>439.20959709069331</v>
      </c>
      <c r="JE94" s="1035">
        <v>194.69778529910843</v>
      </c>
      <c r="JF94" s="1035">
        <v>633.9073823898018</v>
      </c>
      <c r="JG94" s="1035"/>
      <c r="JH94" s="1035">
        <v>236.62622574889053</v>
      </c>
      <c r="JI94" s="1035">
        <v>185.30053666700002</v>
      </c>
      <c r="JJ94" s="1035">
        <v>51.32568908189053</v>
      </c>
      <c r="JK94" s="1035">
        <v>459.29595622091119</v>
      </c>
      <c r="JL94" s="1035">
        <v>-9.8285911339999927</v>
      </c>
      <c r="JM94" s="1035">
        <v>60.910408866000012</v>
      </c>
      <c r="JN94" s="1035">
        <v>-70.739000000000004</v>
      </c>
      <c r="JO94" s="1035">
        <v>469.12454735491121</v>
      </c>
      <c r="JP94" s="1035">
        <v>2.3383074640000001</v>
      </c>
      <c r="JQ94" s="1035">
        <v>466.78623989091125</v>
      </c>
      <c r="JR94" s="1035">
        <v>101.224349937</v>
      </c>
      <c r="JS94" s="1035">
        <v>-39.209550357000005</v>
      </c>
      <c r="JT94" s="1036">
        <v>633.90738238980168</v>
      </c>
      <c r="JU94" s="29">
        <v>21</v>
      </c>
      <c r="JV94" s="1037"/>
      <c r="JW94" s="1526">
        <f>VLOOKUP($IW94,Base_Mensuelle!$OF$68:$RM$679,HLOOKUP(JW$73,Base_Mensuelle!$PE$67:$QE$680,614,0))</f>
        <v>185.30053666700002</v>
      </c>
      <c r="JX94" s="1526">
        <f>VLOOKUP($IW94,Base_Mensuelle!$OF$68:$RM$679,HLOOKUP(JX$73,Base_Mensuelle!$PE$67:$QE$680,614,0))</f>
        <v>397.440343681</v>
      </c>
      <c r="JY94" s="1526">
        <f>VLOOKUP($IW94,Base_Mensuelle!$OF$68:$RM$679,HLOOKUP(JY$73,Base_Mensuelle!$PE$67:$QE$680,614,0))</f>
        <v>212.13980701399998</v>
      </c>
      <c r="JZ94" s="1526">
        <f>VLOOKUP($IW94,Base_Mensuelle!$OF$68:$RM$679,HLOOKUP(JZ$73,Base_Mensuelle!$PE$67:$QE$680,614,0))</f>
        <v>2.2469999999999999</v>
      </c>
      <c r="KA94" s="1526">
        <f>VLOOKUP($IW94,Base_Mensuelle!$OF$68:$RM$679,HLOOKUP(KA$73,Base_Mensuelle!$PE$67:$QE$680,614,0))</f>
        <v>60.910408866000012</v>
      </c>
      <c r="KB94" s="1526">
        <f>VLOOKUP($IW94,Base_Mensuelle!$OF$68:$RM$679,HLOOKUP(KB$73,Base_Mensuelle!$PE$67:$QE$680,614,0))</f>
        <v>95.515723442000009</v>
      </c>
      <c r="KC94" s="1526">
        <f>VLOOKUP($IW94,Base_Mensuelle!$OF$68:$RM$679,HLOOKUP(KC$73,Base_Mensuelle!$PE$67:$QE$680,614,0))</f>
        <v>34.605314575999998</v>
      </c>
      <c r="KD94" s="1526">
        <f>VLOOKUP($IW94,Base_Mensuelle!$OF$68:$RM$679,HLOOKUP(KD$73,Base_Mensuelle!$PE$67:$QE$680,614,0))</f>
        <v>2.3383074640000001</v>
      </c>
      <c r="KE94" s="1526">
        <f>VLOOKUP($IW94,Base_Mensuelle!$OF$68:$RM$679,HLOOKUP(KE$73,Base_Mensuelle!$PE$67:$QE$680,614,0))</f>
        <v>0</v>
      </c>
      <c r="KF94" s="1526">
        <f>VLOOKUP($IW94,Base_Mensuelle!$OF$68:$RM$679,HLOOKUP(KF$73,Base_Mensuelle!$PE$67:$QE$680,614,0))</f>
        <v>0</v>
      </c>
      <c r="KG94" s="1526">
        <f>VLOOKUP($IW94,Base_Mensuelle!$OF$68:$RM$679,HLOOKUP(KG$73,Base_Mensuelle!$PE$67:$QE$680,614,0))</f>
        <v>7.5920000000000005E-5</v>
      </c>
      <c r="KH94" s="1526">
        <f>VLOOKUP($IW94,Base_Mensuelle!$OF$68:$RM$679,HLOOKUP(KH$73,Base_Mensuelle!$PE$67:$QE$680,614,0))</f>
        <v>2.3382315440000001</v>
      </c>
      <c r="KI94" s="1526">
        <f>VLOOKUP($IW94,Base_Mensuelle!$OF$68:$RM$679,HLOOKUP(KI$73,Base_Mensuelle!$PE$67:$QE$680,614,0))</f>
        <v>254.72675342000002</v>
      </c>
      <c r="KJ94" s="1526">
        <f>VLOOKUP($IW94,Base_Mensuelle!$OF$68:$RM$679,HLOOKUP(KJ$73,Base_Mensuelle!$PE$67:$QE$680,614,0))</f>
        <v>205.0719</v>
      </c>
      <c r="KK94" s="1526">
        <f>VLOOKUP($IW94,Base_Mensuelle!$OF$68:$RM$679,HLOOKUP(KK$73,Base_Mensuelle!$PE$67:$QE$680,614,0))</f>
        <v>49.349700003000002</v>
      </c>
      <c r="KL94" s="1526">
        <f>VLOOKUP($IW94,Base_Mensuelle!$OF$68:$RM$679,HLOOKUP(KL$73,Base_Mensuelle!$PE$67:$QE$680,614,0))</f>
        <v>0.30515341699999998</v>
      </c>
      <c r="KM94" s="1526">
        <f>VLOOKUP($IW94,Base_Mensuelle!$OF$68:$RM$679,HLOOKUP(KM$73,Base_Mensuelle!$PE$67:$QE$680,614,0))</f>
        <v>0</v>
      </c>
      <c r="KN94" s="1526">
        <f>VLOOKUP($IW94,Base_Mensuelle!$OF$68:$RM$679,HLOOKUP(KN$73,Base_Mensuelle!$PE$67:$QE$680,614,0))</f>
        <v>2.2527245439999999</v>
      </c>
      <c r="KO94" s="1526">
        <f>VLOOKUP($IW94,Base_Mensuelle!$OF$68:$RM$679,HLOOKUP(KO$73,Base_Mensuelle!$PE$67:$QE$680,614,0))</f>
        <v>0</v>
      </c>
      <c r="KP94" s="1526">
        <f>VLOOKUP($IW94,Base_Mensuelle!$OF$68:$RM$679,HLOOKUP(KP$73,Base_Mensuelle!$PE$67:$QE$680,614,0))</f>
        <v>0</v>
      </c>
      <c r="KQ94" s="1526">
        <f>VLOOKUP($IW94,Base_Mensuelle!$OF$68:$RM$679,HLOOKUP(KQ$73,Base_Mensuelle!$PE$67:$QE$680,614,0))</f>
        <v>2.2527245439999999</v>
      </c>
      <c r="KR94" s="1526">
        <f>VLOOKUP($IW94,Base_Mensuelle!$OF$68:$RM$679,HLOOKUP(KR$73,Base_Mensuelle!$PE$67:$QE$680,614,0))</f>
        <v>0</v>
      </c>
      <c r="KS94" s="1526">
        <f>VLOOKUP($IW94,Base_Mensuelle!$OF$68:$RM$679,HLOOKUP(KS$73,Base_Mensuelle!$PE$67:$QE$680,614,0))</f>
        <v>0</v>
      </c>
      <c r="KT94" s="1526">
        <f>VLOOKUP($IW94,Base_Mensuelle!$OF$68:$RM$679,HLOOKUP(KT$73,Base_Mensuelle!$PE$67:$QE$680,614,0))</f>
        <v>0</v>
      </c>
      <c r="KU94" s="1526">
        <f>VLOOKUP($IW94,Base_Mensuelle!$OF$68:$RM$679,HLOOKUP(KU$73,Base_Mensuelle!$PE$67:$QE$680,614,0))</f>
        <v>-0.62537460700000003</v>
      </c>
      <c r="KV94" s="1526">
        <f>VLOOKUP($IW94,Base_Mensuelle!$OF$68:$RM$679,HLOOKUP(KV$73,Base_Mensuelle!$PE$67:$QE$680,614,0))</f>
        <v>-5.5578503600000015</v>
      </c>
      <c r="KW94" s="1036"/>
      <c r="KX94" s="29">
        <v>21</v>
      </c>
      <c r="KY94" s="1037"/>
      <c r="KZ94" s="182">
        <f>VLOOKUP($IW94,Base_Mensuelle!$OF$68:$RM$679,HLOOKUP(KZ$73,Base_Mensuelle!$QG$67:$RM$680,614,0))</f>
        <v>51.32568908189053</v>
      </c>
      <c r="LA94" s="182">
        <f>VLOOKUP($IW94,Base_Mensuelle!$OF$68:$RM$679,HLOOKUP(LA$73,Base_Mensuelle!$QG$67:$RM$680,614,0))</f>
        <v>141.88976010908877</v>
      </c>
      <c r="LB94" s="182">
        <f>VLOOKUP($IW94,Base_Mensuelle!$OF$68:$RM$679,HLOOKUP(LB$73,Base_Mensuelle!$QG$67:$RM$680,614,0))</f>
        <v>-90.564071027198239</v>
      </c>
      <c r="LC94" s="182">
        <f>VLOOKUP($IW94,Base_Mensuelle!$OF$68:$RM$679,HLOOKUP(LC$73,Base_Mensuelle!$QG$67:$RM$680,614,0))</f>
        <v>65.545999999999992</v>
      </c>
      <c r="LD94" s="182">
        <f>VLOOKUP($IW94,Base_Mensuelle!$OF$68:$RM$679,HLOOKUP(LD$73,Base_Mensuelle!$QG$67:$RM$680,614,0))</f>
        <v>17.347999999999999</v>
      </c>
      <c r="LE94" s="182">
        <f>VLOOKUP($IW94,Base_Mensuelle!$OF$68:$RM$679,HLOOKUP(LE$73,Base_Mensuelle!$QG$67:$RM$680,614,0))</f>
        <v>48.198</v>
      </c>
      <c r="LF94" s="182">
        <f>VLOOKUP($IW94,Base_Mensuelle!$OF$68:$RM$679,HLOOKUP(LF$73,Base_Mensuelle!$QG$67:$RM$680,614,0))</f>
        <v>0</v>
      </c>
      <c r="LG94" s="182">
        <f>VLOOKUP($IW94,Base_Mensuelle!$OF$68:$RM$679,HLOOKUP(LG$73,Base_Mensuelle!$QG$67:$RM$680,614,0))</f>
        <v>-70.739000000000004</v>
      </c>
      <c r="LH94" s="182">
        <f>VLOOKUP($IW94,Base_Mensuelle!$OF$68:$RM$679,HLOOKUP(LH$73,Base_Mensuelle!$QG$67:$RM$680,614,0))</f>
        <v>20.225999999999999</v>
      </c>
      <c r="LI94" s="182">
        <f>VLOOKUP($IW94,Base_Mensuelle!$OF$68:$RM$679,HLOOKUP(LI$73,Base_Mensuelle!$QG$67:$RM$680,614,0))</f>
        <v>-90.965000000000003</v>
      </c>
      <c r="LJ94" s="182">
        <f>VLOOKUP($IW94,Base_Mensuelle!$OF$68:$RM$679,HLOOKUP(LJ$73,Base_Mensuelle!$QG$67:$RM$680,614,0))</f>
        <v>466.78623989091125</v>
      </c>
      <c r="LK94" s="182">
        <f>VLOOKUP($IW94,Base_Mensuelle!$OF$68:$RM$679,HLOOKUP(LK$73,Base_Mensuelle!$QG$67:$RM$680,614,0))</f>
        <v>6.2652431266420328</v>
      </c>
      <c r="LL94" s="182">
        <f>VLOOKUP($IW94,Base_Mensuelle!$OF$68:$RM$679,HLOOKUP(LL$73,Base_Mensuelle!$QG$67:$RM$680,614,0))</f>
        <v>0</v>
      </c>
      <c r="LM94" s="182">
        <f>VLOOKUP($IW94,Base_Mensuelle!$OF$68:$RM$679,HLOOKUP(LM$73,Base_Mensuelle!$QG$67:$RM$680,614,0))</f>
        <v>81.777999999999992</v>
      </c>
      <c r="LN94" s="182">
        <f>VLOOKUP($IW94,Base_Mensuelle!$OF$68:$RM$679,HLOOKUP(LN$73,Base_Mensuelle!$QG$67:$RM$680,614,0))</f>
        <v>378.74299676426921</v>
      </c>
      <c r="LO94" s="182">
        <f>VLOOKUP($IW94,Base_Mensuelle!$OF$68:$RM$679,HLOOKUP(LO$73,Base_Mensuelle!$QG$67:$RM$680,614,0))</f>
        <v>0</v>
      </c>
      <c r="LP94" s="182">
        <f>VLOOKUP($IW94,Base_Mensuelle!$OF$68:$RM$679,HLOOKUP(LP$73,Base_Mensuelle!$QG$67:$RM$680,614,0))</f>
        <v>1.2589999999999999</v>
      </c>
      <c r="LQ94" s="182">
        <f>VLOOKUP($IW94,Base_Mensuelle!$OF$68:$RM$679,HLOOKUP(LQ$73,Base_Mensuelle!$QG$67:$RM$680,614,0))</f>
        <v>204.27314367369328</v>
      </c>
      <c r="LR94" s="182">
        <f>VLOOKUP($IW94,Base_Mensuelle!$OF$68:$RM$679,HLOOKUP(LR$73,Base_Mensuelle!$QG$67:$RM$680,614,0))</f>
        <v>194.69778529910843</v>
      </c>
      <c r="LS94" s="182">
        <f>VLOOKUP($IW94,Base_Mensuelle!$OF$68:$RM$679,HLOOKUP(LS$73,Base_Mensuelle!$QG$67:$RM$680,614,0))</f>
        <v>0</v>
      </c>
      <c r="LT94" s="182">
        <f>VLOOKUP($IW94,Base_Mensuelle!$OF$68:$RM$679,HLOOKUP(LT$73,Base_Mensuelle!$QG$67:$RM$680,614,0))</f>
        <v>22.301000000000002</v>
      </c>
      <c r="LU94" s="182">
        <f>VLOOKUP($IW94,Base_Mensuelle!$OF$68:$RM$679,HLOOKUP(LU$73,Base_Mensuelle!$QG$67:$RM$680,614,0))</f>
        <v>0</v>
      </c>
      <c r="LV94" s="182">
        <f>VLOOKUP($IW94,Base_Mensuelle!$OF$68:$RM$679,HLOOKUP(LV$73,Base_Mensuelle!$QG$67:$RM$680,614,0))</f>
        <v>5.6800000000000006</v>
      </c>
      <c r="LW94" s="182">
        <f>VLOOKUP($IW94,Base_Mensuelle!$OF$68:$RM$679,HLOOKUP(LW$73,Base_Mensuelle!$QG$67:$RM$680,614,0))</f>
        <v>0</v>
      </c>
      <c r="LX94" s="182">
        <f>VLOOKUP($IW94,Base_Mensuelle!$OF$68:$RM$679,HLOOKUP(LX$73,Base_Mensuelle!$QG$67:$RM$680,614,0))</f>
        <v>0</v>
      </c>
      <c r="LY94" s="182">
        <f>VLOOKUP($IW94,Base_Mensuelle!$OF$68:$RM$679,HLOOKUP(LY$73,Base_Mensuelle!$QG$67:$RM$680,614,0))</f>
        <v>71.616</v>
      </c>
      <c r="LZ94" s="182">
        <f>VLOOKUP($IW94,Base_Mensuelle!$OF$68:$RM$679,HLOOKUP(LZ$73,Base_Mensuelle!$QG$67:$RM$680,614,0))</f>
        <v>13.091999999999992</v>
      </c>
      <c r="MA94" s="182">
        <f>VLOOKUP($IW94,Base_Mensuelle!$OF$68:$RM$679,HLOOKUP(MA$73,Base_Mensuelle!$QG$67:$RM$680,614,0))</f>
        <v>0</v>
      </c>
      <c r="MB94" s="182">
        <f>VLOOKUP($IW94,Base_Mensuelle!$OF$68:$RM$679,HLOOKUP(MB$73,Base_Mensuelle!$QG$67:$RM$680,614,0))</f>
        <v>0</v>
      </c>
      <c r="MC94" s="182">
        <f>VLOOKUP($IW94,Base_Mensuelle!$OF$68:$RM$679,HLOOKUP(MC$73,Base_Mensuelle!$QG$67:$RM$680,614,0))</f>
        <v>0</v>
      </c>
      <c r="MD94" s="182">
        <f>VLOOKUP($IW94,Base_Mensuelle!$OF$68:$RM$679,HLOOKUP(MD$73,Base_Mensuelle!$QG$67:$RM$680,614,0))</f>
        <v>0</v>
      </c>
      <c r="ME94" s="182">
        <f>VLOOKUP($IW94,Base_Mensuelle!$OF$68:$RM$679,HLOOKUP(ME$73,Base_Mensuelle!$QG$67:$RM$680,614,0))</f>
        <v>0</v>
      </c>
      <c r="MF94" s="182"/>
      <c r="MG94" s="182"/>
      <c r="MH94" s="290"/>
      <c r="MI94" s="29">
        <v>21</v>
      </c>
      <c r="MJ94" s="29" t="str">
        <f t="shared" si="82"/>
        <v>Trimestre 12005</v>
      </c>
      <c r="MK94" s="848">
        <v>38412</v>
      </c>
      <c r="ML94" s="29"/>
      <c r="MM94" s="29"/>
      <c r="MN94" s="29"/>
      <c r="MO94" s="29"/>
      <c r="MP94" s="29"/>
      <c r="MQ94" s="29"/>
      <c r="MR94" s="29"/>
      <c r="MS94" s="29"/>
      <c r="MT94" s="29"/>
      <c r="MU94" s="29"/>
      <c r="MV94" s="29"/>
      <c r="MW94" s="29"/>
      <c r="MX94" s="29"/>
      <c r="MY94" s="29"/>
      <c r="MZ94" s="29"/>
      <c r="NA94" s="29"/>
      <c r="NB94" s="29"/>
      <c r="NC94" s="29"/>
      <c r="ND94" s="29"/>
      <c r="NE94" s="29"/>
      <c r="NF94" s="29"/>
      <c r="NG94" s="29"/>
      <c r="NH94" s="29"/>
      <c r="NI94" s="29"/>
      <c r="NJ94" s="29"/>
      <c r="NK94" s="29"/>
      <c r="NL94" s="29">
        <v>21</v>
      </c>
    </row>
    <row r="95" spans="1:376">
      <c r="A95" s="41">
        <f t="shared" si="80"/>
        <v>2005</v>
      </c>
      <c r="B95" s="785">
        <v>38504</v>
      </c>
      <c r="C95" s="19"/>
      <c r="D95" s="93"/>
      <c r="E95" s="93"/>
      <c r="F95" s="93"/>
      <c r="G95" s="93"/>
      <c r="H95" s="93"/>
      <c r="I95" s="93"/>
      <c r="J95" s="93"/>
      <c r="K95" s="93"/>
      <c r="L95" s="93"/>
      <c r="M95" s="20"/>
      <c r="N95" s="25">
        <v>22</v>
      </c>
      <c r="O95" s="889">
        <f t="shared" si="79"/>
        <v>2005</v>
      </c>
      <c r="P95" s="29" t="str">
        <f t="shared" si="81"/>
        <v>Trimestre 22005</v>
      </c>
      <c r="Q95" s="848">
        <v>38504</v>
      </c>
      <c r="R95" s="733"/>
      <c r="S95" s="570"/>
      <c r="T95" s="570"/>
      <c r="U95" s="734"/>
      <c r="V95" s="25">
        <v>22</v>
      </c>
      <c r="W95" s="19"/>
      <c r="X95" s="93"/>
      <c r="Y95" s="93"/>
      <c r="Z95" s="93"/>
      <c r="AA95" s="93"/>
      <c r="AB95" s="93"/>
      <c r="AC95" s="93"/>
      <c r="AD95" s="93"/>
      <c r="AE95" s="20"/>
      <c r="AF95" s="25">
        <v>22</v>
      </c>
      <c r="AG95" s="19"/>
      <c r="AH95" s="93"/>
      <c r="AI95" s="93"/>
      <c r="AJ95" s="93"/>
      <c r="AK95" s="93"/>
      <c r="AL95" s="93"/>
      <c r="AM95" s="93"/>
      <c r="AN95" s="20"/>
      <c r="AO95" s="19"/>
      <c r="AP95" s="93"/>
      <c r="AQ95" s="93"/>
      <c r="AR95" s="93"/>
      <c r="AS95" s="20"/>
      <c r="AT95" s="19"/>
      <c r="AU95" s="93"/>
      <c r="AV95" s="20"/>
      <c r="AW95" s="19"/>
      <c r="AX95" s="93"/>
      <c r="AY95" s="93"/>
      <c r="AZ95" s="93"/>
      <c r="BA95" s="93"/>
      <c r="BB95" s="93"/>
      <c r="BC95" s="20"/>
      <c r="BD95" s="19"/>
      <c r="BE95" s="93"/>
      <c r="BF95" s="93"/>
      <c r="BG95" s="93"/>
      <c r="BH95" s="93"/>
      <c r="BI95" s="93"/>
      <c r="BJ95" s="93"/>
      <c r="BK95" s="20"/>
      <c r="BL95" s="19"/>
      <c r="BM95" s="93"/>
      <c r="BN95" s="93"/>
      <c r="BO95" s="93"/>
      <c r="BP95" s="93"/>
      <c r="BQ95" s="20"/>
      <c r="BR95" s="19"/>
      <c r="BS95" s="93"/>
      <c r="BT95" s="93"/>
      <c r="BU95" s="20"/>
      <c r="BV95" s="19"/>
      <c r="BW95" s="93"/>
      <c r="BX95" s="93"/>
      <c r="BY95" s="93"/>
      <c r="BZ95" s="93"/>
      <c r="CA95" s="93"/>
      <c r="CB95" s="20"/>
      <c r="CC95" s="25">
        <v>22</v>
      </c>
      <c r="CD95" s="19"/>
      <c r="CE95" s="93"/>
      <c r="CF95" s="20"/>
      <c r="CG95" s="25">
        <v>22</v>
      </c>
      <c r="CH95" s="19"/>
      <c r="CI95" s="93"/>
      <c r="CJ95" s="93"/>
      <c r="CK95" s="93"/>
      <c r="CL95" s="93"/>
      <c r="CM95" s="93"/>
      <c r="CN95" s="93"/>
      <c r="CO95" s="93"/>
      <c r="CP95" s="93"/>
      <c r="CQ95" s="93"/>
      <c r="CR95" s="214"/>
      <c r="CS95" s="20"/>
      <c r="CT95" s="25">
        <v>22</v>
      </c>
      <c r="CU95" s="19"/>
      <c r="CV95" s="93"/>
      <c r="CW95" s="93"/>
      <c r="CX95" s="93"/>
      <c r="CY95" s="93"/>
      <c r="CZ95" s="93"/>
      <c r="DA95" s="93"/>
      <c r="DB95" s="20"/>
      <c r="DC95" s="25">
        <v>22</v>
      </c>
      <c r="DD95" s="785">
        <v>38504</v>
      </c>
      <c r="DE95" s="19"/>
      <c r="DF95" s="20"/>
      <c r="DG95" s="25">
        <v>22</v>
      </c>
      <c r="DH95" s="19"/>
      <c r="DI95" s="20"/>
      <c r="DJ95" s="25">
        <v>22</v>
      </c>
      <c r="DK95" s="19"/>
      <c r="DL95" s="20"/>
      <c r="DM95" s="19"/>
      <c r="DN95" s="20"/>
      <c r="DO95" s="25">
        <v>22</v>
      </c>
      <c r="DP95" s="19"/>
      <c r="DQ95" s="93"/>
      <c r="DR95" s="20"/>
      <c r="DS95" s="25">
        <v>22</v>
      </c>
      <c r="DT95" s="19"/>
      <c r="DU95" s="93"/>
      <c r="DV95" s="20"/>
      <c r="DW95" s="25">
        <v>22</v>
      </c>
      <c r="DX95" s="19"/>
      <c r="DY95" s="20"/>
      <c r="DZ95" s="25">
        <v>22</v>
      </c>
      <c r="EA95" s="19"/>
      <c r="EB95" s="93"/>
      <c r="EC95" s="93"/>
      <c r="ED95" s="93"/>
      <c r="EE95" s="20"/>
      <c r="EF95" s="25">
        <v>22</v>
      </c>
      <c r="EG95" s="19"/>
      <c r="EH95" s="93"/>
      <c r="EI95" s="93"/>
      <c r="EJ95" s="93"/>
      <c r="EK95" s="20"/>
      <c r="EL95" s="25">
        <v>22</v>
      </c>
      <c r="EM95" s="19"/>
      <c r="EN95" s="93"/>
      <c r="EO95" s="93"/>
      <c r="EP95" s="93"/>
      <c r="EQ95" s="93"/>
      <c r="ER95" s="93"/>
      <c r="ES95" s="93"/>
      <c r="ET95" s="93"/>
      <c r="EU95" s="93"/>
      <c r="EV95" s="20"/>
      <c r="EW95" s="25">
        <v>22</v>
      </c>
      <c r="EX95" s="915"/>
      <c r="EY95" s="916"/>
      <c r="EZ95" s="916"/>
      <c r="FA95" s="916"/>
      <c r="FB95" s="916"/>
      <c r="FC95" s="916"/>
      <c r="FD95" s="916"/>
      <c r="FE95" s="916"/>
      <c r="FF95" s="916"/>
      <c r="FG95" s="917"/>
      <c r="FH95" s="25">
        <v>22</v>
      </c>
      <c r="FI95" s="848">
        <v>38504</v>
      </c>
      <c r="FJ95" s="19"/>
      <c r="FK95" s="93"/>
      <c r="FL95" s="20"/>
      <c r="FM95" s="25">
        <v>22</v>
      </c>
      <c r="FN95" s="19"/>
      <c r="FO95" s="93"/>
      <c r="FP95" s="93"/>
      <c r="FQ95" s="93"/>
      <c r="FR95" s="93"/>
      <c r="FS95" s="93"/>
      <c r="FT95" s="93"/>
      <c r="FU95" s="93"/>
      <c r="FV95" s="93"/>
      <c r="FW95" s="917"/>
      <c r="FX95" s="25">
        <v>22</v>
      </c>
      <c r="FY95" s="916"/>
      <c r="FZ95" s="916"/>
      <c r="GA95" s="916"/>
      <c r="GB95" s="916"/>
      <c r="GC95" s="916"/>
      <c r="GD95" s="916"/>
      <c r="GE95" s="916"/>
      <c r="GF95" s="916"/>
      <c r="GG95" s="916"/>
      <c r="GH95" s="916"/>
      <c r="GI95" s="917"/>
      <c r="GJ95" s="25">
        <v>22</v>
      </c>
      <c r="GK95" s="19"/>
      <c r="GL95" s="20"/>
      <c r="GM95" s="25">
        <v>22</v>
      </c>
      <c r="GN95" s="19"/>
      <c r="GO95" s="20"/>
      <c r="GP95" s="25">
        <v>22</v>
      </c>
      <c r="GQ95" s="19"/>
      <c r="GR95" s="20"/>
      <c r="GS95" s="25">
        <v>22</v>
      </c>
      <c r="GT95" s="848">
        <v>38504</v>
      </c>
      <c r="GU95" s="19"/>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v>22</v>
      </c>
      <c r="IW95" s="848">
        <v>38504</v>
      </c>
      <c r="IX95" s="1035"/>
      <c r="IY95" s="1035">
        <v>172.7765</v>
      </c>
      <c r="IZ95" s="1035">
        <v>188.70150000000001</v>
      </c>
      <c r="JA95" s="1035">
        <v>0.26882238999999997</v>
      </c>
      <c r="JB95" s="1035">
        <v>197.22167396440631</v>
      </c>
      <c r="JC95" s="1035">
        <v>47.814999999999998</v>
      </c>
      <c r="JD95" s="1035">
        <v>418.08199635440633</v>
      </c>
      <c r="JE95" s="1035">
        <v>201.65944151035745</v>
      </c>
      <c r="JF95" s="1035">
        <v>619.74143786476384</v>
      </c>
      <c r="JG95" s="1035"/>
      <c r="JH95" s="1035">
        <v>230.85450780764944</v>
      </c>
      <c r="JI95" s="1035">
        <v>202.07991721500002</v>
      </c>
      <c r="JJ95" s="1035">
        <v>28.774590592649403</v>
      </c>
      <c r="JK95" s="1035">
        <v>449.92228351611425</v>
      </c>
      <c r="JL95" s="1035">
        <v>-13.540804172999998</v>
      </c>
      <c r="JM95" s="1035">
        <v>52.278195827000005</v>
      </c>
      <c r="JN95" s="1035">
        <v>-65.819000000000003</v>
      </c>
      <c r="JO95" s="1035">
        <v>463.46308768911427</v>
      </c>
      <c r="JP95" s="1035">
        <v>2.4255628069999999</v>
      </c>
      <c r="JQ95" s="1035">
        <v>461.03752488211427</v>
      </c>
      <c r="JR95" s="1035">
        <v>85.845221233000018</v>
      </c>
      <c r="JS95" s="1035">
        <v>-24.809867774000001</v>
      </c>
      <c r="JT95" s="1036">
        <v>619.74143786476372</v>
      </c>
      <c r="JU95" s="29">
        <v>22</v>
      </c>
      <c r="JV95" s="1037"/>
      <c r="JW95" s="1526">
        <f>VLOOKUP($IW95,Base_Mensuelle!$OF$68:$RM$679,HLOOKUP(JW$73,Base_Mensuelle!$PE$67:$QE$680,614,0))</f>
        <v>202.07991721500002</v>
      </c>
      <c r="JX95" s="1526">
        <f>VLOOKUP($IW95,Base_Mensuelle!$OF$68:$RM$679,HLOOKUP(JX$73,Base_Mensuelle!$PE$67:$QE$680,614,0))</f>
        <v>285.17872311400004</v>
      </c>
      <c r="JY95" s="1526">
        <f>VLOOKUP($IW95,Base_Mensuelle!$OF$68:$RM$679,HLOOKUP(JY$73,Base_Mensuelle!$PE$67:$QE$680,614,0))</f>
        <v>83.098805898999998</v>
      </c>
      <c r="JZ95" s="1526">
        <f>VLOOKUP($IW95,Base_Mensuelle!$OF$68:$RM$679,HLOOKUP(JZ$73,Base_Mensuelle!$PE$67:$QE$680,614,0))</f>
        <v>1.1100000000000001</v>
      </c>
      <c r="KA95" s="1526">
        <f>VLOOKUP($IW95,Base_Mensuelle!$OF$68:$RM$679,HLOOKUP(KA$73,Base_Mensuelle!$PE$67:$QE$680,614,0))</f>
        <v>52.278195827000005</v>
      </c>
      <c r="KB95" s="1526">
        <f>VLOOKUP($IW95,Base_Mensuelle!$OF$68:$RM$679,HLOOKUP(KB$73,Base_Mensuelle!$PE$67:$QE$680,614,0))</f>
        <v>92.564173683000007</v>
      </c>
      <c r="KC95" s="1526">
        <f>VLOOKUP($IW95,Base_Mensuelle!$OF$68:$RM$679,HLOOKUP(KC$73,Base_Mensuelle!$PE$67:$QE$680,614,0))</f>
        <v>40.285977856000002</v>
      </c>
      <c r="KD95" s="1526">
        <f>VLOOKUP($IW95,Base_Mensuelle!$OF$68:$RM$679,HLOOKUP(KD$73,Base_Mensuelle!$PE$67:$QE$680,614,0))</f>
        <v>2.4255628069999999</v>
      </c>
      <c r="KE95" s="1526">
        <f>VLOOKUP($IW95,Base_Mensuelle!$OF$68:$RM$679,HLOOKUP(KE$73,Base_Mensuelle!$PE$67:$QE$680,614,0))</f>
        <v>0</v>
      </c>
      <c r="KF95" s="1526">
        <f>VLOOKUP($IW95,Base_Mensuelle!$OF$68:$RM$679,HLOOKUP(KF$73,Base_Mensuelle!$PE$67:$QE$680,614,0))</f>
        <v>0</v>
      </c>
      <c r="KG95" s="1526">
        <f>VLOOKUP($IW95,Base_Mensuelle!$OF$68:$RM$679,HLOOKUP(KG$73,Base_Mensuelle!$PE$67:$QE$680,614,0))</f>
        <v>1.6509700000000001E-4</v>
      </c>
      <c r="KH95" s="1526">
        <f>VLOOKUP($IW95,Base_Mensuelle!$OF$68:$RM$679,HLOOKUP(KH$73,Base_Mensuelle!$PE$67:$QE$680,614,0))</f>
        <v>2.4253977099999999</v>
      </c>
      <c r="KI95" s="1526">
        <f>VLOOKUP($IW95,Base_Mensuelle!$OF$68:$RM$679,HLOOKUP(KI$73,Base_Mensuelle!$PE$67:$QE$680,614,0))</f>
        <v>259.44322598000002</v>
      </c>
      <c r="KJ95" s="1526">
        <f>VLOOKUP($IW95,Base_Mensuelle!$OF$68:$RM$679,HLOOKUP(KJ$73,Base_Mensuelle!$PE$67:$QE$680,614,0))</f>
        <v>188.70150000000001</v>
      </c>
      <c r="KK95" s="1526">
        <f>VLOOKUP($IW95,Base_Mensuelle!$OF$68:$RM$679,HLOOKUP(KK$73,Base_Mensuelle!$PE$67:$QE$680,614,0))</f>
        <v>70.472903590000001</v>
      </c>
      <c r="KL95" s="1526">
        <f>VLOOKUP($IW95,Base_Mensuelle!$OF$68:$RM$679,HLOOKUP(KL$73,Base_Mensuelle!$PE$67:$QE$680,614,0))</f>
        <v>0.26882238999999997</v>
      </c>
      <c r="KM95" s="1526">
        <f>VLOOKUP($IW95,Base_Mensuelle!$OF$68:$RM$679,HLOOKUP(KM$73,Base_Mensuelle!$PE$67:$QE$680,614,0))</f>
        <v>0</v>
      </c>
      <c r="KN95" s="1526">
        <f>VLOOKUP($IW95,Base_Mensuelle!$OF$68:$RM$679,HLOOKUP(KN$73,Base_Mensuelle!$PE$67:$QE$680,614,0))</f>
        <v>0.31546233000000001</v>
      </c>
      <c r="KO95" s="1526">
        <f>VLOOKUP($IW95,Base_Mensuelle!$OF$68:$RM$679,HLOOKUP(KO$73,Base_Mensuelle!$PE$67:$QE$680,614,0))</f>
        <v>0</v>
      </c>
      <c r="KP95" s="1526">
        <f>VLOOKUP($IW95,Base_Mensuelle!$OF$68:$RM$679,HLOOKUP(KP$73,Base_Mensuelle!$PE$67:$QE$680,614,0))</f>
        <v>0</v>
      </c>
      <c r="KQ95" s="1526">
        <f>VLOOKUP($IW95,Base_Mensuelle!$OF$68:$RM$679,HLOOKUP(KQ$73,Base_Mensuelle!$PE$67:$QE$680,614,0))</f>
        <v>0.31546233000000001</v>
      </c>
      <c r="KR95" s="1526">
        <f>VLOOKUP($IW95,Base_Mensuelle!$OF$68:$RM$679,HLOOKUP(KR$73,Base_Mensuelle!$PE$67:$QE$680,614,0))</f>
        <v>0</v>
      </c>
      <c r="KS95" s="1526">
        <f>VLOOKUP($IW95,Base_Mensuelle!$OF$68:$RM$679,HLOOKUP(KS$73,Base_Mensuelle!$PE$67:$QE$680,614,0))</f>
        <v>0</v>
      </c>
      <c r="KT95" s="1526">
        <f>VLOOKUP($IW95,Base_Mensuelle!$OF$68:$RM$679,HLOOKUP(KT$73,Base_Mensuelle!$PE$67:$QE$680,614,0))</f>
        <v>0</v>
      </c>
      <c r="KU95" s="1526">
        <f>VLOOKUP($IW95,Base_Mensuelle!$OF$68:$RM$679,HLOOKUP(KU$73,Base_Mensuelle!$PE$67:$QE$680,614,0))</f>
        <v>-4.3722410969999999</v>
      </c>
      <c r="KV95" s="1526">
        <f>VLOOKUP($IW95,Base_Mensuelle!$OF$68:$RM$679,HLOOKUP(KV$73,Base_Mensuelle!$PE$67:$QE$680,614,0))</f>
        <v>2.5072286359999998</v>
      </c>
      <c r="KW95" s="1036"/>
      <c r="KX95" s="29">
        <v>22</v>
      </c>
      <c r="KY95" s="1037"/>
      <c r="KZ95" s="182">
        <f>VLOOKUP($IW95,Base_Mensuelle!$OF$68:$RM$679,HLOOKUP(KZ$73,Base_Mensuelle!$QG$67:$RM$680,614,0))</f>
        <v>28.774590592649403</v>
      </c>
      <c r="LA95" s="182">
        <f>VLOOKUP($IW95,Base_Mensuelle!$OF$68:$RM$679,HLOOKUP(LA$73,Base_Mensuelle!$QG$67:$RM$680,614,0))</f>
        <v>123.33847511788566</v>
      </c>
      <c r="LB95" s="182">
        <f>VLOOKUP($IW95,Base_Mensuelle!$OF$68:$RM$679,HLOOKUP(LB$73,Base_Mensuelle!$QG$67:$RM$680,614,0))</f>
        <v>-94.563884525236261</v>
      </c>
      <c r="LC95" s="182">
        <f>VLOOKUP($IW95,Base_Mensuelle!$OF$68:$RM$679,HLOOKUP(LC$73,Base_Mensuelle!$QG$67:$RM$680,614,0))</f>
        <v>83.471000000000004</v>
      </c>
      <c r="LD95" s="182">
        <f>VLOOKUP($IW95,Base_Mensuelle!$OF$68:$RM$679,HLOOKUP(LD$73,Base_Mensuelle!$QG$67:$RM$680,614,0))</f>
        <v>15.925000000000001</v>
      </c>
      <c r="LE95" s="182">
        <f>VLOOKUP($IW95,Base_Mensuelle!$OF$68:$RM$679,HLOOKUP(LE$73,Base_Mensuelle!$QG$67:$RM$680,614,0))</f>
        <v>67.546000000000006</v>
      </c>
      <c r="LF95" s="182">
        <f>VLOOKUP($IW95,Base_Mensuelle!$OF$68:$RM$679,HLOOKUP(LF$73,Base_Mensuelle!$QG$67:$RM$680,614,0))</f>
        <v>0</v>
      </c>
      <c r="LG95" s="182">
        <f>VLOOKUP($IW95,Base_Mensuelle!$OF$68:$RM$679,HLOOKUP(LG$73,Base_Mensuelle!$QG$67:$RM$680,614,0))</f>
        <v>-65.819000000000003</v>
      </c>
      <c r="LH95" s="182">
        <f>VLOOKUP($IW95,Base_Mensuelle!$OF$68:$RM$679,HLOOKUP(LH$73,Base_Mensuelle!$QG$67:$RM$680,614,0))</f>
        <v>21.366</v>
      </c>
      <c r="LI95" s="182">
        <f>VLOOKUP($IW95,Base_Mensuelle!$OF$68:$RM$679,HLOOKUP(LI$73,Base_Mensuelle!$QG$67:$RM$680,614,0))</f>
        <v>-87.185000000000002</v>
      </c>
      <c r="LJ95" s="182">
        <f>VLOOKUP($IW95,Base_Mensuelle!$OF$68:$RM$679,HLOOKUP(LJ$73,Base_Mensuelle!$QG$67:$RM$680,614,0))</f>
        <v>461.03752488211427</v>
      </c>
      <c r="LK95" s="182">
        <f>VLOOKUP($IW95,Base_Mensuelle!$OF$68:$RM$679,HLOOKUP(LK$73,Base_Mensuelle!$QG$67:$RM$680,614,0))</f>
        <v>5.8384330519399779</v>
      </c>
      <c r="LL95" s="182">
        <f>VLOOKUP($IW95,Base_Mensuelle!$OF$68:$RM$679,HLOOKUP(LL$73,Base_Mensuelle!$QG$67:$RM$680,614,0))</f>
        <v>0</v>
      </c>
      <c r="LM95" s="182">
        <f>VLOOKUP($IW95,Base_Mensuelle!$OF$68:$RM$679,HLOOKUP(LM$73,Base_Mensuelle!$QG$67:$RM$680,614,0))</f>
        <v>79.637999999999991</v>
      </c>
      <c r="LN95" s="182">
        <f>VLOOKUP($IW95,Base_Mensuelle!$OF$68:$RM$679,HLOOKUP(LN$73,Base_Mensuelle!$QG$67:$RM$680,614,0))</f>
        <v>375.56109183017429</v>
      </c>
      <c r="LO95" s="182">
        <f>VLOOKUP($IW95,Base_Mensuelle!$OF$68:$RM$679,HLOOKUP(LO$73,Base_Mensuelle!$QG$67:$RM$680,614,0))</f>
        <v>0</v>
      </c>
      <c r="LP95" s="182">
        <f>VLOOKUP($IW95,Base_Mensuelle!$OF$68:$RM$679,HLOOKUP(LP$73,Base_Mensuelle!$QG$67:$RM$680,614,0))</f>
        <v>0.34899999999999998</v>
      </c>
      <c r="LQ95" s="182">
        <f>VLOOKUP($IW95,Base_Mensuelle!$OF$68:$RM$679,HLOOKUP(LQ$73,Base_Mensuelle!$QG$67:$RM$680,614,0))</f>
        <v>197.22167396440631</v>
      </c>
      <c r="LR95" s="182">
        <f>VLOOKUP($IW95,Base_Mensuelle!$OF$68:$RM$679,HLOOKUP(LR$73,Base_Mensuelle!$QG$67:$RM$680,614,0))</f>
        <v>201.65944151035742</v>
      </c>
      <c r="LS95" s="182">
        <f>VLOOKUP($IW95,Base_Mensuelle!$OF$68:$RM$679,HLOOKUP(LS$73,Base_Mensuelle!$QG$67:$RM$680,614,0))</f>
        <v>0</v>
      </c>
      <c r="LT95" s="182">
        <f>VLOOKUP($IW95,Base_Mensuelle!$OF$68:$RM$679,HLOOKUP(LT$73,Base_Mensuelle!$QG$67:$RM$680,614,0))</f>
        <v>14.741999999999999</v>
      </c>
      <c r="LU95" s="182">
        <f>VLOOKUP($IW95,Base_Mensuelle!$OF$68:$RM$679,HLOOKUP(LU$73,Base_Mensuelle!$QG$67:$RM$680,614,0))</f>
        <v>0</v>
      </c>
      <c r="LV95" s="182">
        <f>VLOOKUP($IW95,Base_Mensuelle!$OF$68:$RM$679,HLOOKUP(LV$73,Base_Mensuelle!$QG$67:$RM$680,614,0))</f>
        <v>4.5540000000000003</v>
      </c>
      <c r="LW95" s="182">
        <f>VLOOKUP($IW95,Base_Mensuelle!$OF$68:$RM$679,HLOOKUP(LW$73,Base_Mensuelle!$QG$67:$RM$680,614,0))</f>
        <v>0</v>
      </c>
      <c r="LX95" s="182">
        <f>VLOOKUP($IW95,Base_Mensuelle!$OF$68:$RM$679,HLOOKUP(LX$73,Base_Mensuelle!$QG$67:$RM$680,614,0))</f>
        <v>0</v>
      </c>
      <c r="LY95" s="182">
        <f>VLOOKUP($IW95,Base_Mensuelle!$OF$68:$RM$679,HLOOKUP(LY$73,Base_Mensuelle!$QG$67:$RM$680,614,0))</f>
        <v>70.606000000000009</v>
      </c>
      <c r="LZ95" s="182">
        <f>VLOOKUP($IW95,Base_Mensuelle!$OF$68:$RM$679,HLOOKUP(LZ$73,Base_Mensuelle!$QG$67:$RM$680,614,0))</f>
        <v>18.332000000000001</v>
      </c>
      <c r="MA95" s="182">
        <f>VLOOKUP($IW95,Base_Mensuelle!$OF$68:$RM$679,HLOOKUP(MA$73,Base_Mensuelle!$QG$67:$RM$680,614,0))</f>
        <v>0</v>
      </c>
      <c r="MB95" s="182">
        <f>VLOOKUP($IW95,Base_Mensuelle!$OF$68:$RM$679,HLOOKUP(MB$73,Base_Mensuelle!$QG$67:$RM$680,614,0))</f>
        <v>0</v>
      </c>
      <c r="MC95" s="182">
        <f>VLOOKUP($IW95,Base_Mensuelle!$OF$68:$RM$679,HLOOKUP(MC$73,Base_Mensuelle!$QG$67:$RM$680,614,0))</f>
        <v>0</v>
      </c>
      <c r="MD95" s="182">
        <f>VLOOKUP($IW95,Base_Mensuelle!$OF$68:$RM$679,HLOOKUP(MD$73,Base_Mensuelle!$QG$67:$RM$680,614,0))</f>
        <v>0</v>
      </c>
      <c r="ME95" s="182">
        <f>VLOOKUP($IW95,Base_Mensuelle!$OF$68:$RM$679,HLOOKUP(ME$73,Base_Mensuelle!$QG$67:$RM$680,614,0))</f>
        <v>0</v>
      </c>
      <c r="MF95" s="182"/>
      <c r="MG95" s="182"/>
      <c r="MH95" s="290"/>
      <c r="MI95" s="29">
        <v>22</v>
      </c>
      <c r="MJ95" s="29" t="str">
        <f t="shared" si="82"/>
        <v>Trimestre 22005</v>
      </c>
      <c r="MK95" s="848">
        <v>38504</v>
      </c>
      <c r="ML95" s="29"/>
      <c r="MM95" s="29"/>
      <c r="MN95" s="29"/>
      <c r="MO95" s="29"/>
      <c r="MP95" s="29"/>
      <c r="MQ95" s="29"/>
      <c r="MR95" s="29"/>
      <c r="MS95" s="29"/>
      <c r="MT95" s="29"/>
      <c r="MU95" s="29"/>
      <c r="MV95" s="29"/>
      <c r="MW95" s="29"/>
      <c r="MX95" s="29"/>
      <c r="MY95" s="29"/>
      <c r="MZ95" s="29"/>
      <c r="NA95" s="29"/>
      <c r="NB95" s="29"/>
      <c r="NC95" s="29"/>
      <c r="ND95" s="29"/>
      <c r="NE95" s="29"/>
      <c r="NF95" s="29"/>
      <c r="NG95" s="29"/>
      <c r="NH95" s="29"/>
      <c r="NI95" s="29"/>
      <c r="NJ95" s="29"/>
      <c r="NK95" s="29"/>
      <c r="NL95" s="29">
        <v>22</v>
      </c>
    </row>
    <row r="96" spans="1:376">
      <c r="A96" s="41">
        <f t="shared" si="80"/>
        <v>2005</v>
      </c>
      <c r="B96" s="785">
        <v>38596</v>
      </c>
      <c r="C96" s="19"/>
      <c r="D96" s="93"/>
      <c r="E96" s="93"/>
      <c r="F96" s="93"/>
      <c r="G96" s="93"/>
      <c r="H96" s="93"/>
      <c r="I96" s="93"/>
      <c r="J96" s="93"/>
      <c r="K96" s="93"/>
      <c r="L96" s="93"/>
      <c r="M96" s="20"/>
      <c r="N96" s="25">
        <v>23</v>
      </c>
      <c r="O96" s="889">
        <f t="shared" si="79"/>
        <v>2005</v>
      </c>
      <c r="P96" s="29" t="str">
        <f t="shared" si="81"/>
        <v>Trimestre 32005</v>
      </c>
      <c r="Q96" s="848">
        <v>38596</v>
      </c>
      <c r="R96" s="733"/>
      <c r="S96" s="570"/>
      <c r="T96" s="570"/>
      <c r="U96" s="734"/>
      <c r="V96" s="25">
        <v>23</v>
      </c>
      <c r="W96" s="19"/>
      <c r="X96" s="93"/>
      <c r="Y96" s="93"/>
      <c r="Z96" s="93"/>
      <c r="AA96" s="93"/>
      <c r="AB96" s="93"/>
      <c r="AC96" s="93"/>
      <c r="AD96" s="93"/>
      <c r="AE96" s="20"/>
      <c r="AF96" s="25">
        <v>23</v>
      </c>
      <c r="AG96" s="19"/>
      <c r="AH96" s="93"/>
      <c r="AI96" s="93"/>
      <c r="AJ96" s="93"/>
      <c r="AK96" s="93"/>
      <c r="AL96" s="93"/>
      <c r="AM96" s="93"/>
      <c r="AN96" s="20"/>
      <c r="AO96" s="19"/>
      <c r="AP96" s="93"/>
      <c r="AQ96" s="93"/>
      <c r="AR96" s="93"/>
      <c r="AS96" s="20"/>
      <c r="AT96" s="19"/>
      <c r="AU96" s="93"/>
      <c r="AV96" s="20"/>
      <c r="AW96" s="19"/>
      <c r="AX96" s="93"/>
      <c r="AY96" s="93"/>
      <c r="AZ96" s="93"/>
      <c r="BA96" s="93"/>
      <c r="BB96" s="93"/>
      <c r="BC96" s="20"/>
      <c r="BD96" s="19"/>
      <c r="BE96" s="93"/>
      <c r="BF96" s="93"/>
      <c r="BG96" s="93"/>
      <c r="BH96" s="93"/>
      <c r="BI96" s="93"/>
      <c r="BJ96" s="93"/>
      <c r="BK96" s="20"/>
      <c r="BL96" s="19"/>
      <c r="BM96" s="93"/>
      <c r="BN96" s="93"/>
      <c r="BO96" s="93"/>
      <c r="BP96" s="93"/>
      <c r="BQ96" s="20"/>
      <c r="BR96" s="19"/>
      <c r="BS96" s="93"/>
      <c r="BT96" s="93"/>
      <c r="BU96" s="20"/>
      <c r="BV96" s="19"/>
      <c r="BW96" s="93"/>
      <c r="BX96" s="93"/>
      <c r="BY96" s="93"/>
      <c r="BZ96" s="93"/>
      <c r="CA96" s="93"/>
      <c r="CB96" s="20"/>
      <c r="CC96" s="25">
        <v>23</v>
      </c>
      <c r="CD96" s="19"/>
      <c r="CE96" s="93"/>
      <c r="CF96" s="20"/>
      <c r="CG96" s="25">
        <v>23</v>
      </c>
      <c r="CH96" s="19"/>
      <c r="CI96" s="93"/>
      <c r="CJ96" s="93"/>
      <c r="CK96" s="93"/>
      <c r="CL96" s="93"/>
      <c r="CM96" s="93"/>
      <c r="CN96" s="93"/>
      <c r="CO96" s="93"/>
      <c r="CP96" s="93"/>
      <c r="CQ96" s="93"/>
      <c r="CR96" s="214"/>
      <c r="CS96" s="20"/>
      <c r="CT96" s="25">
        <v>23</v>
      </c>
      <c r="CU96" s="19"/>
      <c r="CV96" s="93"/>
      <c r="CW96" s="93"/>
      <c r="CX96" s="93"/>
      <c r="CY96" s="93"/>
      <c r="CZ96" s="93"/>
      <c r="DA96" s="93"/>
      <c r="DB96" s="20"/>
      <c r="DC96" s="25">
        <v>23</v>
      </c>
      <c r="DD96" s="785">
        <v>38596</v>
      </c>
      <c r="DE96" s="19"/>
      <c r="DF96" s="20"/>
      <c r="DG96" s="25">
        <v>23</v>
      </c>
      <c r="DH96" s="19"/>
      <c r="DI96" s="20"/>
      <c r="DJ96" s="25">
        <v>23</v>
      </c>
      <c r="DK96" s="19"/>
      <c r="DL96" s="20"/>
      <c r="DM96" s="19"/>
      <c r="DN96" s="20"/>
      <c r="DO96" s="25">
        <v>23</v>
      </c>
      <c r="DP96" s="19"/>
      <c r="DQ96" s="93"/>
      <c r="DR96" s="20"/>
      <c r="DS96" s="25">
        <v>23</v>
      </c>
      <c r="DT96" s="19"/>
      <c r="DU96" s="93"/>
      <c r="DV96" s="20"/>
      <c r="DW96" s="25">
        <v>23</v>
      </c>
      <c r="DX96" s="19"/>
      <c r="DY96" s="20"/>
      <c r="DZ96" s="25">
        <v>23</v>
      </c>
      <c r="EA96" s="19"/>
      <c r="EB96" s="93"/>
      <c r="EC96" s="93"/>
      <c r="ED96" s="93"/>
      <c r="EE96" s="20"/>
      <c r="EF96" s="25">
        <v>23</v>
      </c>
      <c r="EG96" s="19"/>
      <c r="EH96" s="93"/>
      <c r="EI96" s="93"/>
      <c r="EJ96" s="93"/>
      <c r="EK96" s="20"/>
      <c r="EL96" s="25">
        <v>23</v>
      </c>
      <c r="EM96" s="19"/>
      <c r="EN96" s="93"/>
      <c r="EO96" s="93"/>
      <c r="EP96" s="93"/>
      <c r="EQ96" s="93"/>
      <c r="ER96" s="93"/>
      <c r="ES96" s="93"/>
      <c r="ET96" s="93"/>
      <c r="EU96" s="93"/>
      <c r="EV96" s="20"/>
      <c r="EW96" s="25">
        <v>23</v>
      </c>
      <c r="EX96" s="915"/>
      <c r="EY96" s="916"/>
      <c r="EZ96" s="916"/>
      <c r="FA96" s="916"/>
      <c r="FB96" s="916"/>
      <c r="FC96" s="916"/>
      <c r="FD96" s="916"/>
      <c r="FE96" s="916"/>
      <c r="FF96" s="916"/>
      <c r="FG96" s="917"/>
      <c r="FH96" s="25">
        <v>23</v>
      </c>
      <c r="FI96" s="848">
        <v>38596</v>
      </c>
      <c r="FJ96" s="19"/>
      <c r="FK96" s="93"/>
      <c r="FL96" s="20"/>
      <c r="FM96" s="25">
        <v>23</v>
      </c>
      <c r="FN96" s="19"/>
      <c r="FO96" s="93"/>
      <c r="FP96" s="93"/>
      <c r="FQ96" s="93"/>
      <c r="FR96" s="93"/>
      <c r="FS96" s="93"/>
      <c r="FT96" s="93"/>
      <c r="FU96" s="93"/>
      <c r="FV96" s="93"/>
      <c r="FW96" s="917"/>
      <c r="FX96" s="25">
        <v>23</v>
      </c>
      <c r="FY96" s="916"/>
      <c r="FZ96" s="916"/>
      <c r="GA96" s="916"/>
      <c r="GB96" s="916"/>
      <c r="GC96" s="916"/>
      <c r="GD96" s="916"/>
      <c r="GE96" s="916"/>
      <c r="GF96" s="916"/>
      <c r="GG96" s="916"/>
      <c r="GH96" s="916"/>
      <c r="GI96" s="917"/>
      <c r="GJ96" s="25">
        <v>23</v>
      </c>
      <c r="GK96" s="19"/>
      <c r="GL96" s="20"/>
      <c r="GM96" s="25">
        <v>23</v>
      </c>
      <c r="GN96" s="19"/>
      <c r="GO96" s="20"/>
      <c r="GP96" s="25">
        <v>23</v>
      </c>
      <c r="GQ96" s="19"/>
      <c r="GR96" s="20"/>
      <c r="GS96" s="25">
        <v>23</v>
      </c>
      <c r="GT96" s="848">
        <v>38596</v>
      </c>
      <c r="GU96" s="19"/>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v>23</v>
      </c>
      <c r="IW96" s="848">
        <v>38596</v>
      </c>
      <c r="IX96" s="1035"/>
      <c r="IY96" s="1035">
        <v>133.71690000000001</v>
      </c>
      <c r="IZ96" s="1035">
        <v>149.7389</v>
      </c>
      <c r="JA96" s="1035">
        <v>0.23319585300000001</v>
      </c>
      <c r="JB96" s="1035">
        <v>194.42001799216598</v>
      </c>
      <c r="JC96" s="1035">
        <v>46.449200000000005</v>
      </c>
      <c r="JD96" s="1035">
        <v>374.81931384516599</v>
      </c>
      <c r="JE96" s="1035">
        <v>191.43730298849101</v>
      </c>
      <c r="JF96" s="1035">
        <v>566.25661683365706</v>
      </c>
      <c r="JG96" s="1035"/>
      <c r="JH96" s="1035">
        <v>185.56409397347343</v>
      </c>
      <c r="JI96" s="1035">
        <v>159.46532180299999</v>
      </c>
      <c r="JJ96" s="1035">
        <v>26.098772170473467</v>
      </c>
      <c r="JK96" s="1035">
        <v>441.08868791018335</v>
      </c>
      <c r="JL96" s="1035">
        <v>-38.833814898999997</v>
      </c>
      <c r="JM96" s="1035">
        <v>37.955185101000005</v>
      </c>
      <c r="JN96" s="1035">
        <v>-76.789000000000001</v>
      </c>
      <c r="JO96" s="1035">
        <v>479.92250280918336</v>
      </c>
      <c r="JP96" s="1035">
        <v>2.3379539989999998</v>
      </c>
      <c r="JQ96" s="1035">
        <v>477.58454881018338</v>
      </c>
      <c r="JR96" s="1035">
        <v>86.806716455</v>
      </c>
      <c r="JS96" s="1035">
        <v>-26.410551404999985</v>
      </c>
      <c r="JT96" s="1036">
        <v>566.25661683365672</v>
      </c>
      <c r="JU96" s="29">
        <v>23</v>
      </c>
      <c r="JV96" s="1037"/>
      <c r="JW96" s="1526">
        <f>VLOOKUP($IW96,Base_Mensuelle!$OF$68:$RM$679,HLOOKUP(JW$73,Base_Mensuelle!$PE$67:$QE$680,614,0))</f>
        <v>159.46532180299999</v>
      </c>
      <c r="JX96" s="1526">
        <f>VLOOKUP($IW96,Base_Mensuelle!$OF$68:$RM$679,HLOOKUP(JX$73,Base_Mensuelle!$PE$67:$QE$680,614,0))</f>
        <v>247.47864441799999</v>
      </c>
      <c r="JY96" s="1526">
        <f>VLOOKUP($IW96,Base_Mensuelle!$OF$68:$RM$679,HLOOKUP(JY$73,Base_Mensuelle!$PE$67:$QE$680,614,0))</f>
        <v>88.013322615000007</v>
      </c>
      <c r="JZ96" s="1526">
        <f>VLOOKUP($IW96,Base_Mensuelle!$OF$68:$RM$679,HLOOKUP(JZ$73,Base_Mensuelle!$PE$67:$QE$680,614,0))</f>
        <v>1.1100000000000001</v>
      </c>
      <c r="KA96" s="1526">
        <f>VLOOKUP($IW96,Base_Mensuelle!$OF$68:$RM$679,HLOOKUP(KA$73,Base_Mensuelle!$PE$67:$QE$680,614,0))</f>
        <v>37.955185101000005</v>
      </c>
      <c r="KB96" s="1526">
        <f>VLOOKUP($IW96,Base_Mensuelle!$OF$68:$RM$679,HLOOKUP(KB$73,Base_Mensuelle!$PE$67:$QE$680,614,0))</f>
        <v>89.720213072000007</v>
      </c>
      <c r="KC96" s="1526">
        <f>VLOOKUP($IW96,Base_Mensuelle!$OF$68:$RM$679,HLOOKUP(KC$73,Base_Mensuelle!$PE$67:$QE$680,614,0))</f>
        <v>51.765027971000002</v>
      </c>
      <c r="KD96" s="1526">
        <f>VLOOKUP($IW96,Base_Mensuelle!$OF$68:$RM$679,HLOOKUP(KD$73,Base_Mensuelle!$PE$67:$QE$680,614,0))</f>
        <v>2.3379539989999998</v>
      </c>
      <c r="KE96" s="1526">
        <f>VLOOKUP($IW96,Base_Mensuelle!$OF$68:$RM$679,HLOOKUP(KE$73,Base_Mensuelle!$PE$67:$QE$680,614,0))</f>
        <v>0</v>
      </c>
      <c r="KF96" s="1526">
        <f>VLOOKUP($IW96,Base_Mensuelle!$OF$68:$RM$679,HLOOKUP(KF$73,Base_Mensuelle!$PE$67:$QE$680,614,0))</f>
        <v>0</v>
      </c>
      <c r="KG96" s="1526">
        <f>VLOOKUP($IW96,Base_Mensuelle!$OF$68:$RM$679,HLOOKUP(KG$73,Base_Mensuelle!$PE$67:$QE$680,614,0))</f>
        <v>9.4821399999999996E-4</v>
      </c>
      <c r="KH96" s="1526">
        <f>VLOOKUP($IW96,Base_Mensuelle!$OF$68:$RM$679,HLOOKUP(KH$73,Base_Mensuelle!$PE$67:$QE$680,614,0))</f>
        <v>2.3370057849999997</v>
      </c>
      <c r="KI96" s="1526">
        <f>VLOOKUP($IW96,Base_Mensuelle!$OF$68:$RM$679,HLOOKUP(KI$73,Base_Mensuelle!$PE$67:$QE$680,614,0))</f>
        <v>207.40583760500002</v>
      </c>
      <c r="KJ96" s="1526">
        <f>VLOOKUP($IW96,Base_Mensuelle!$OF$68:$RM$679,HLOOKUP(KJ$73,Base_Mensuelle!$PE$67:$QE$680,614,0))</f>
        <v>149.7389</v>
      </c>
      <c r="KK96" s="1526">
        <f>VLOOKUP($IW96,Base_Mensuelle!$OF$68:$RM$679,HLOOKUP(KK$73,Base_Mensuelle!$PE$67:$QE$680,614,0))</f>
        <v>57.433741752000003</v>
      </c>
      <c r="KL96" s="1526">
        <f>VLOOKUP($IW96,Base_Mensuelle!$OF$68:$RM$679,HLOOKUP(KL$73,Base_Mensuelle!$PE$67:$QE$680,614,0))</f>
        <v>0.23319585300000001</v>
      </c>
      <c r="KM96" s="1526">
        <f>VLOOKUP($IW96,Base_Mensuelle!$OF$68:$RM$679,HLOOKUP(KM$73,Base_Mensuelle!$PE$67:$QE$680,614,0))</f>
        <v>0</v>
      </c>
      <c r="KN96" s="1526">
        <f>VLOOKUP($IW96,Base_Mensuelle!$OF$68:$RM$679,HLOOKUP(KN$73,Base_Mensuelle!$PE$67:$QE$680,614,0))</f>
        <v>0.32095052600000001</v>
      </c>
      <c r="KO96" s="1526">
        <f>VLOOKUP($IW96,Base_Mensuelle!$OF$68:$RM$679,HLOOKUP(KO$73,Base_Mensuelle!$PE$67:$QE$680,614,0))</f>
        <v>0</v>
      </c>
      <c r="KP96" s="1526">
        <f>VLOOKUP($IW96,Base_Mensuelle!$OF$68:$RM$679,HLOOKUP(KP$73,Base_Mensuelle!$PE$67:$QE$680,614,0))</f>
        <v>0</v>
      </c>
      <c r="KQ96" s="1526">
        <f>VLOOKUP($IW96,Base_Mensuelle!$OF$68:$RM$679,HLOOKUP(KQ$73,Base_Mensuelle!$PE$67:$QE$680,614,0))</f>
        <v>0.32095052600000001</v>
      </c>
      <c r="KR96" s="1526">
        <f>VLOOKUP($IW96,Base_Mensuelle!$OF$68:$RM$679,HLOOKUP(KR$73,Base_Mensuelle!$PE$67:$QE$680,614,0))</f>
        <v>0</v>
      </c>
      <c r="KS96" s="1526">
        <f>VLOOKUP($IW96,Base_Mensuelle!$OF$68:$RM$679,HLOOKUP(KS$73,Base_Mensuelle!$PE$67:$QE$680,614,0))</f>
        <v>0</v>
      </c>
      <c r="KT96" s="1526">
        <f>VLOOKUP($IW96,Base_Mensuelle!$OF$68:$RM$679,HLOOKUP(KT$73,Base_Mensuelle!$PE$67:$QE$680,614,0))</f>
        <v>0</v>
      </c>
      <c r="KU96" s="1526">
        <f>VLOOKUP($IW96,Base_Mensuelle!$OF$68:$RM$679,HLOOKUP(KU$73,Base_Mensuelle!$PE$67:$QE$680,614,0))</f>
        <v>-5.2672340710000007</v>
      </c>
      <c r="KV96" s="1526">
        <f>VLOOKUP($IW96,Base_Mensuelle!$OF$68:$RM$679,HLOOKUP(KV$73,Base_Mensuelle!$PE$67:$QE$680,614,0))</f>
        <v>-1.5910931569999929</v>
      </c>
      <c r="KW96" s="1036"/>
      <c r="KX96" s="29">
        <v>23</v>
      </c>
      <c r="KY96" s="1037"/>
      <c r="KZ96" s="182">
        <f>VLOOKUP($IW96,Base_Mensuelle!$OF$68:$RM$679,HLOOKUP(KZ$73,Base_Mensuelle!$QG$67:$RM$680,614,0))</f>
        <v>26.098772170473467</v>
      </c>
      <c r="LA96" s="182">
        <f>VLOOKUP($IW96,Base_Mensuelle!$OF$68:$RM$679,HLOOKUP(LA$73,Base_Mensuelle!$QG$67:$RM$680,614,0))</f>
        <v>125.3274511898165</v>
      </c>
      <c r="LB96" s="182">
        <f>VLOOKUP($IW96,Base_Mensuelle!$OF$68:$RM$679,HLOOKUP(LB$73,Base_Mensuelle!$QG$67:$RM$680,614,0))</f>
        <v>-99.228679019343033</v>
      </c>
      <c r="LC96" s="182">
        <f>VLOOKUP($IW96,Base_Mensuelle!$OF$68:$RM$679,HLOOKUP(LC$73,Base_Mensuelle!$QG$67:$RM$680,614,0))</f>
        <v>72.126999999999995</v>
      </c>
      <c r="LD96" s="182">
        <f>VLOOKUP($IW96,Base_Mensuelle!$OF$68:$RM$679,HLOOKUP(LD$73,Base_Mensuelle!$QG$67:$RM$680,614,0))</f>
        <v>16.021999999999998</v>
      </c>
      <c r="LE96" s="182">
        <f>VLOOKUP($IW96,Base_Mensuelle!$OF$68:$RM$679,HLOOKUP(LE$73,Base_Mensuelle!$QG$67:$RM$680,614,0))</f>
        <v>56.104999999999997</v>
      </c>
      <c r="LF96" s="182">
        <f>VLOOKUP($IW96,Base_Mensuelle!$OF$68:$RM$679,HLOOKUP(LF$73,Base_Mensuelle!$QG$67:$RM$680,614,0))</f>
        <v>0</v>
      </c>
      <c r="LG96" s="182">
        <f>VLOOKUP($IW96,Base_Mensuelle!$OF$68:$RM$679,HLOOKUP(LG$73,Base_Mensuelle!$QG$67:$RM$680,614,0))</f>
        <v>-76.789000000000001</v>
      </c>
      <c r="LH96" s="182">
        <f>VLOOKUP($IW96,Base_Mensuelle!$OF$68:$RM$679,HLOOKUP(LH$73,Base_Mensuelle!$QG$67:$RM$680,614,0))</f>
        <v>17.577000000000002</v>
      </c>
      <c r="LI96" s="182">
        <f>VLOOKUP($IW96,Base_Mensuelle!$OF$68:$RM$679,HLOOKUP(LI$73,Base_Mensuelle!$QG$67:$RM$680,614,0))</f>
        <v>-94.366</v>
      </c>
      <c r="LJ96" s="182">
        <f>VLOOKUP($IW96,Base_Mensuelle!$OF$68:$RM$679,HLOOKUP(LJ$73,Base_Mensuelle!$QG$67:$RM$680,614,0))</f>
        <v>477.58454881018338</v>
      </c>
      <c r="LK96" s="182">
        <f>VLOOKUP($IW96,Base_Mensuelle!$OF$68:$RM$679,HLOOKUP(LK$73,Base_Mensuelle!$QG$67:$RM$680,614,0))</f>
        <v>8.8049857152742383</v>
      </c>
      <c r="LL96" s="182">
        <f>VLOOKUP($IW96,Base_Mensuelle!$OF$68:$RM$679,HLOOKUP(LL$73,Base_Mensuelle!$QG$67:$RM$680,614,0))</f>
        <v>0</v>
      </c>
      <c r="LM96" s="182">
        <f>VLOOKUP($IW96,Base_Mensuelle!$OF$68:$RM$679,HLOOKUP(LM$73,Base_Mensuelle!$QG$67:$RM$680,614,0))</f>
        <v>70.143999999999991</v>
      </c>
      <c r="LN96" s="182">
        <f>VLOOKUP($IW96,Base_Mensuelle!$OF$68:$RM$679,HLOOKUP(LN$73,Base_Mensuelle!$QG$67:$RM$680,614,0))</f>
        <v>398.63556309490917</v>
      </c>
      <c r="LO96" s="182">
        <f>VLOOKUP($IW96,Base_Mensuelle!$OF$68:$RM$679,HLOOKUP(LO$73,Base_Mensuelle!$QG$67:$RM$680,614,0))</f>
        <v>0</v>
      </c>
      <c r="LP96" s="182">
        <f>VLOOKUP($IW96,Base_Mensuelle!$OF$68:$RM$679,HLOOKUP(LP$73,Base_Mensuelle!$QG$67:$RM$680,614,0))</f>
        <v>0.41</v>
      </c>
      <c r="LQ96" s="182">
        <f>VLOOKUP($IW96,Base_Mensuelle!$OF$68:$RM$679,HLOOKUP(LQ$73,Base_Mensuelle!$QG$67:$RM$680,614,0))</f>
        <v>194.42001799216598</v>
      </c>
      <c r="LR96" s="182">
        <f>VLOOKUP($IW96,Base_Mensuelle!$OF$68:$RM$679,HLOOKUP(LR$73,Base_Mensuelle!$QG$67:$RM$680,614,0))</f>
        <v>191.43730298849101</v>
      </c>
      <c r="LS96" s="182">
        <f>VLOOKUP($IW96,Base_Mensuelle!$OF$68:$RM$679,HLOOKUP(LS$73,Base_Mensuelle!$QG$67:$RM$680,614,0))</f>
        <v>0</v>
      </c>
      <c r="LT96" s="182">
        <f>VLOOKUP($IW96,Base_Mensuelle!$OF$68:$RM$679,HLOOKUP(LT$73,Base_Mensuelle!$QG$67:$RM$680,614,0))</f>
        <v>14.508000000000001</v>
      </c>
      <c r="LU96" s="182">
        <f>VLOOKUP($IW96,Base_Mensuelle!$OF$68:$RM$679,HLOOKUP(LU$73,Base_Mensuelle!$QG$67:$RM$680,614,0))</f>
        <v>0</v>
      </c>
      <c r="LV96" s="182">
        <f>VLOOKUP($IW96,Base_Mensuelle!$OF$68:$RM$679,HLOOKUP(LV$73,Base_Mensuelle!$QG$67:$RM$680,614,0))</f>
        <v>3.379</v>
      </c>
      <c r="LW96" s="182">
        <f>VLOOKUP($IW96,Base_Mensuelle!$OF$68:$RM$679,HLOOKUP(LW$73,Base_Mensuelle!$QG$67:$RM$680,614,0))</f>
        <v>0</v>
      </c>
      <c r="LX96" s="182">
        <f>VLOOKUP($IW96,Base_Mensuelle!$OF$68:$RM$679,HLOOKUP(LX$73,Base_Mensuelle!$QG$67:$RM$680,614,0))</f>
        <v>0</v>
      </c>
      <c r="LY96" s="182">
        <f>VLOOKUP($IW96,Base_Mensuelle!$OF$68:$RM$679,HLOOKUP(LY$73,Base_Mensuelle!$QG$67:$RM$680,614,0))</f>
        <v>73.866</v>
      </c>
      <c r="LZ96" s="182">
        <f>VLOOKUP($IW96,Base_Mensuelle!$OF$68:$RM$679,HLOOKUP(LZ$73,Base_Mensuelle!$QG$67:$RM$680,614,0))</f>
        <v>21.001000000000005</v>
      </c>
      <c r="MA96" s="182">
        <f>VLOOKUP($IW96,Base_Mensuelle!$OF$68:$RM$679,HLOOKUP(MA$73,Base_Mensuelle!$QG$67:$RM$680,614,0))</f>
        <v>0</v>
      </c>
      <c r="MB96" s="182">
        <f>VLOOKUP($IW96,Base_Mensuelle!$OF$68:$RM$679,HLOOKUP(MB$73,Base_Mensuelle!$QG$67:$RM$680,614,0))</f>
        <v>0</v>
      </c>
      <c r="MC96" s="182">
        <f>VLOOKUP($IW96,Base_Mensuelle!$OF$68:$RM$679,HLOOKUP(MC$73,Base_Mensuelle!$QG$67:$RM$680,614,0))</f>
        <v>0</v>
      </c>
      <c r="MD96" s="182">
        <f>VLOOKUP($IW96,Base_Mensuelle!$OF$68:$RM$679,HLOOKUP(MD$73,Base_Mensuelle!$QG$67:$RM$680,614,0))</f>
        <v>0</v>
      </c>
      <c r="ME96" s="182">
        <f>VLOOKUP($IW96,Base_Mensuelle!$OF$68:$RM$679,HLOOKUP(ME$73,Base_Mensuelle!$QG$67:$RM$680,614,0))</f>
        <v>0</v>
      </c>
      <c r="MF96" s="182"/>
      <c r="MG96" s="182"/>
      <c r="MH96" s="290"/>
      <c r="MI96" s="29">
        <v>23</v>
      </c>
      <c r="MJ96" s="29" t="str">
        <f t="shared" si="82"/>
        <v>Trimestre 32005</v>
      </c>
      <c r="MK96" s="848">
        <v>38596</v>
      </c>
      <c r="ML96" s="29"/>
      <c r="MM96" s="29"/>
      <c r="MN96" s="29"/>
      <c r="MO96" s="29"/>
      <c r="MP96" s="29"/>
      <c r="MQ96" s="29"/>
      <c r="MR96" s="29"/>
      <c r="MS96" s="29"/>
      <c r="MT96" s="29"/>
      <c r="MU96" s="29"/>
      <c r="MV96" s="29"/>
      <c r="MW96" s="29"/>
      <c r="MX96" s="29"/>
      <c r="MY96" s="29"/>
      <c r="MZ96" s="29"/>
      <c r="NA96" s="29"/>
      <c r="NB96" s="29"/>
      <c r="NC96" s="29"/>
      <c r="ND96" s="29"/>
      <c r="NE96" s="29"/>
      <c r="NF96" s="29"/>
      <c r="NG96" s="29"/>
      <c r="NH96" s="29"/>
      <c r="NI96" s="29"/>
      <c r="NJ96" s="29"/>
      <c r="NK96" s="29"/>
      <c r="NL96" s="29">
        <v>23</v>
      </c>
    </row>
    <row r="97" spans="1:376">
      <c r="A97" s="41">
        <f t="shared" si="80"/>
        <v>2005</v>
      </c>
      <c r="B97" s="785">
        <v>38687</v>
      </c>
      <c r="C97" s="19"/>
      <c r="D97" s="93"/>
      <c r="E97" s="93"/>
      <c r="F97" s="93"/>
      <c r="G97" s="93"/>
      <c r="H97" s="93"/>
      <c r="I97" s="93"/>
      <c r="J97" s="93"/>
      <c r="K97" s="93"/>
      <c r="L97" s="93"/>
      <c r="M97" s="20"/>
      <c r="N97" s="25">
        <v>24</v>
      </c>
      <c r="O97" s="889">
        <f t="shared" si="79"/>
        <v>2005</v>
      </c>
      <c r="P97" s="29" t="str">
        <f t="shared" si="81"/>
        <v>Trimestre 42005</v>
      </c>
      <c r="Q97" s="848">
        <v>38687</v>
      </c>
      <c r="R97" s="733"/>
      <c r="S97" s="570"/>
      <c r="T97" s="570"/>
      <c r="U97" s="734"/>
      <c r="V97" s="25">
        <v>24</v>
      </c>
      <c r="W97" s="19"/>
      <c r="X97" s="93"/>
      <c r="Y97" s="93"/>
      <c r="Z97" s="93"/>
      <c r="AA97" s="93"/>
      <c r="AB97" s="93"/>
      <c r="AC97" s="93"/>
      <c r="AD97" s="93"/>
      <c r="AE97" s="20"/>
      <c r="AF97" s="25">
        <v>24</v>
      </c>
      <c r="AG97" s="19"/>
      <c r="AH97" s="93"/>
      <c r="AI97" s="93"/>
      <c r="AJ97" s="93"/>
      <c r="AK97" s="93"/>
      <c r="AL97" s="93"/>
      <c r="AM97" s="93"/>
      <c r="AN97" s="20"/>
      <c r="AO97" s="19"/>
      <c r="AP97" s="93"/>
      <c r="AQ97" s="93"/>
      <c r="AR97" s="93"/>
      <c r="AS97" s="20"/>
      <c r="AT97" s="19"/>
      <c r="AU97" s="93"/>
      <c r="AV97" s="20"/>
      <c r="AW97" s="19"/>
      <c r="AX97" s="93"/>
      <c r="AY97" s="93"/>
      <c r="AZ97" s="93"/>
      <c r="BA97" s="93"/>
      <c r="BB97" s="93"/>
      <c r="BC97" s="20"/>
      <c r="BD97" s="19"/>
      <c r="BE97" s="93"/>
      <c r="BF97" s="93"/>
      <c r="BG97" s="93"/>
      <c r="BH97" s="93"/>
      <c r="BI97" s="93"/>
      <c r="BJ97" s="93"/>
      <c r="BK97" s="20"/>
      <c r="BL97" s="19"/>
      <c r="BM97" s="93"/>
      <c r="BN97" s="93"/>
      <c r="BO97" s="93"/>
      <c r="BP97" s="93"/>
      <c r="BQ97" s="20"/>
      <c r="BR97" s="19"/>
      <c r="BS97" s="93"/>
      <c r="BT97" s="93"/>
      <c r="BU97" s="20"/>
      <c r="BV97" s="19"/>
      <c r="BW97" s="93"/>
      <c r="BX97" s="93"/>
      <c r="BY97" s="93"/>
      <c r="BZ97" s="93"/>
      <c r="CA97" s="93"/>
      <c r="CB97" s="20"/>
      <c r="CC97" s="25">
        <v>24</v>
      </c>
      <c r="CD97" s="19"/>
      <c r="CE97" s="93"/>
      <c r="CF97" s="20"/>
      <c r="CG97" s="25">
        <v>24</v>
      </c>
      <c r="CH97" s="19"/>
      <c r="CI97" s="93"/>
      <c r="CJ97" s="93"/>
      <c r="CK97" s="93"/>
      <c r="CL97" s="93"/>
      <c r="CM97" s="93"/>
      <c r="CN97" s="93"/>
      <c r="CO97" s="93"/>
      <c r="CP97" s="93"/>
      <c r="CQ97" s="93"/>
      <c r="CR97" s="214"/>
      <c r="CS97" s="20"/>
      <c r="CT97" s="25">
        <v>24</v>
      </c>
      <c r="CU97" s="19"/>
      <c r="CV97" s="93"/>
      <c r="CW97" s="93"/>
      <c r="CX97" s="93"/>
      <c r="CY97" s="93"/>
      <c r="CZ97" s="93"/>
      <c r="DA97" s="93"/>
      <c r="DB97" s="20"/>
      <c r="DC97" s="25">
        <v>24</v>
      </c>
      <c r="DD97" s="785">
        <v>38687</v>
      </c>
      <c r="DE97" s="19"/>
      <c r="DF97" s="20"/>
      <c r="DG97" s="25">
        <v>24</v>
      </c>
      <c r="DH97" s="19"/>
      <c r="DI97" s="20"/>
      <c r="DJ97" s="25">
        <v>24</v>
      </c>
      <c r="DK97" s="19"/>
      <c r="DL97" s="20"/>
      <c r="DM97" s="19"/>
      <c r="DN97" s="20"/>
      <c r="DO97" s="25">
        <v>24</v>
      </c>
      <c r="DP97" s="19"/>
      <c r="DQ97" s="93"/>
      <c r="DR97" s="20"/>
      <c r="DS97" s="25">
        <v>24</v>
      </c>
      <c r="DT97" s="19"/>
      <c r="DU97" s="93"/>
      <c r="DV97" s="20"/>
      <c r="DW97" s="25">
        <v>24</v>
      </c>
      <c r="DX97" s="19"/>
      <c r="DY97" s="20"/>
      <c r="DZ97" s="25">
        <v>24</v>
      </c>
      <c r="EA97" s="19"/>
      <c r="EB97" s="93"/>
      <c r="EC97" s="93"/>
      <c r="ED97" s="93"/>
      <c r="EE97" s="20"/>
      <c r="EF97" s="25">
        <v>24</v>
      </c>
      <c r="EG97" s="19"/>
      <c r="EH97" s="93"/>
      <c r="EI97" s="93"/>
      <c r="EJ97" s="93"/>
      <c r="EK97" s="20"/>
      <c r="EL97" s="25">
        <v>24</v>
      </c>
      <c r="EM97" s="19"/>
      <c r="EN97" s="93"/>
      <c r="EO97" s="93"/>
      <c r="EP97" s="93"/>
      <c r="EQ97" s="93"/>
      <c r="ER97" s="93"/>
      <c r="ES97" s="93"/>
      <c r="ET97" s="93"/>
      <c r="EU97" s="93"/>
      <c r="EV97" s="20"/>
      <c r="EW97" s="25">
        <v>24</v>
      </c>
      <c r="EX97" s="915"/>
      <c r="EY97" s="916"/>
      <c r="EZ97" s="916"/>
      <c r="FA97" s="916"/>
      <c r="FB97" s="916"/>
      <c r="FC97" s="916"/>
      <c r="FD97" s="916"/>
      <c r="FE97" s="916"/>
      <c r="FF97" s="916"/>
      <c r="FG97" s="917"/>
      <c r="FH97" s="25">
        <v>24</v>
      </c>
      <c r="FI97" s="848">
        <v>38687</v>
      </c>
      <c r="FJ97" s="19"/>
      <c r="FK97" s="93"/>
      <c r="FL97" s="20"/>
      <c r="FM97" s="25">
        <v>24</v>
      </c>
      <c r="FN97" s="19"/>
      <c r="FO97" s="93"/>
      <c r="FP97" s="93"/>
      <c r="FQ97" s="93"/>
      <c r="FR97" s="93"/>
      <c r="FS97" s="93"/>
      <c r="FT97" s="93"/>
      <c r="FU97" s="93"/>
      <c r="FV97" s="93"/>
      <c r="FW97" s="917"/>
      <c r="FX97" s="25">
        <v>24</v>
      </c>
      <c r="FY97" s="916"/>
      <c r="FZ97" s="916"/>
      <c r="GA97" s="916"/>
      <c r="GB97" s="916"/>
      <c r="GC97" s="916"/>
      <c r="GD97" s="916"/>
      <c r="GE97" s="916"/>
      <c r="GF97" s="916"/>
      <c r="GG97" s="916"/>
      <c r="GH97" s="916"/>
      <c r="GI97" s="917"/>
      <c r="GJ97" s="25">
        <v>24</v>
      </c>
      <c r="GK97" s="19"/>
      <c r="GL97" s="20"/>
      <c r="GM97" s="25">
        <v>24</v>
      </c>
      <c r="GN97" s="19"/>
      <c r="GO97" s="20"/>
      <c r="GP97" s="25">
        <v>24</v>
      </c>
      <c r="GQ97" s="19"/>
      <c r="GR97" s="20"/>
      <c r="GS97" s="25">
        <v>24</v>
      </c>
      <c r="GT97" s="848">
        <v>38687</v>
      </c>
      <c r="GU97" s="19"/>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v>24</v>
      </c>
      <c r="IW97" s="848">
        <v>38687</v>
      </c>
      <c r="IX97" s="1035"/>
      <c r="IY97" s="1035">
        <v>154.95230000000001</v>
      </c>
      <c r="IZ97" s="1035">
        <v>169.99930000000001</v>
      </c>
      <c r="JA97" s="1035">
        <v>0.29480402099999997</v>
      </c>
      <c r="JB97" s="1035">
        <v>191.55552799253178</v>
      </c>
      <c r="JC97" s="1035">
        <v>45.051300000000005</v>
      </c>
      <c r="JD97" s="1035">
        <v>391.85393201353179</v>
      </c>
      <c r="JE97" s="1035">
        <v>190.31342795359132</v>
      </c>
      <c r="JF97" s="1035">
        <v>582.16735996712305</v>
      </c>
      <c r="JG97" s="1035"/>
      <c r="JH97" s="1035">
        <v>183.07515582600104</v>
      </c>
      <c r="JI97" s="1035">
        <v>155.69303998300006</v>
      </c>
      <c r="JJ97" s="1035">
        <v>27.382115843000975</v>
      </c>
      <c r="JK97" s="1035">
        <v>476.78580873712212</v>
      </c>
      <c r="JL97" s="1035">
        <v>-36.558504461000005</v>
      </c>
      <c r="JM97" s="1035">
        <v>37.696495539000004</v>
      </c>
      <c r="JN97" s="1035">
        <v>-74.25500000000001</v>
      </c>
      <c r="JO97" s="1035">
        <v>513.34431319812211</v>
      </c>
      <c r="JP97" s="1035">
        <v>2.297473095</v>
      </c>
      <c r="JQ97" s="1035">
        <v>511.04684010312212</v>
      </c>
      <c r="JR97" s="1035">
        <v>91.315109753000002</v>
      </c>
      <c r="JS97" s="1035">
        <v>-13.621505157000009</v>
      </c>
      <c r="JT97" s="1036">
        <v>582.16735996712316</v>
      </c>
      <c r="JU97" s="29">
        <v>24</v>
      </c>
      <c r="JV97" s="1037"/>
      <c r="JW97" s="1526">
        <f>VLOOKUP($IW97,Base_Mensuelle!$OF$68:$RM$679,HLOOKUP(JW$73,Base_Mensuelle!$PE$67:$QE$680,614,0))</f>
        <v>155.69303998300006</v>
      </c>
      <c r="JX97" s="1526">
        <f>VLOOKUP($IW97,Base_Mensuelle!$OF$68:$RM$679,HLOOKUP(JX$73,Base_Mensuelle!$PE$67:$QE$680,614,0))</f>
        <v>522.28373829700001</v>
      </c>
      <c r="JY97" s="1526">
        <f>VLOOKUP($IW97,Base_Mensuelle!$OF$68:$RM$679,HLOOKUP(JY$73,Base_Mensuelle!$PE$67:$QE$680,614,0))</f>
        <v>366.59069831399995</v>
      </c>
      <c r="JZ97" s="1526">
        <f>VLOOKUP($IW97,Base_Mensuelle!$OF$68:$RM$679,HLOOKUP(JZ$73,Base_Mensuelle!$PE$67:$QE$680,614,0))</f>
        <v>1.110246667</v>
      </c>
      <c r="KA97" s="1526">
        <f>VLOOKUP($IW97,Base_Mensuelle!$OF$68:$RM$679,HLOOKUP(KA$73,Base_Mensuelle!$PE$67:$QE$680,614,0))</f>
        <v>37.696495539000004</v>
      </c>
      <c r="KB97" s="1526">
        <f>VLOOKUP($IW97,Base_Mensuelle!$OF$68:$RM$679,HLOOKUP(KB$73,Base_Mensuelle!$PE$67:$QE$680,614,0))</f>
        <v>88.243640869000004</v>
      </c>
      <c r="KC97" s="1526">
        <f>VLOOKUP($IW97,Base_Mensuelle!$OF$68:$RM$679,HLOOKUP(KC$73,Base_Mensuelle!$PE$67:$QE$680,614,0))</f>
        <v>50.547145329999999</v>
      </c>
      <c r="KD97" s="1526">
        <f>VLOOKUP($IW97,Base_Mensuelle!$OF$68:$RM$679,HLOOKUP(KD$73,Base_Mensuelle!$PE$67:$QE$680,614,0))</f>
        <v>2.297473095</v>
      </c>
      <c r="KE97" s="1526">
        <f>VLOOKUP($IW97,Base_Mensuelle!$OF$68:$RM$679,HLOOKUP(KE$73,Base_Mensuelle!$PE$67:$QE$680,614,0))</f>
        <v>0</v>
      </c>
      <c r="KF97" s="1526">
        <f>VLOOKUP($IW97,Base_Mensuelle!$OF$68:$RM$679,HLOOKUP(KF$73,Base_Mensuelle!$PE$67:$QE$680,614,0))</f>
        <v>0</v>
      </c>
      <c r="KG97" s="1526">
        <f>VLOOKUP($IW97,Base_Mensuelle!$OF$68:$RM$679,HLOOKUP(KG$73,Base_Mensuelle!$PE$67:$QE$680,614,0))</f>
        <v>7.3298099999999995E-4</v>
      </c>
      <c r="KH97" s="1526">
        <f>VLOOKUP($IW97,Base_Mensuelle!$OF$68:$RM$679,HLOOKUP(KH$73,Base_Mensuelle!$PE$67:$QE$680,614,0))</f>
        <v>2.2967401139999999</v>
      </c>
      <c r="KI97" s="1526">
        <f>VLOOKUP($IW97,Base_Mensuelle!$OF$68:$RM$679,HLOOKUP(KI$73,Base_Mensuelle!$PE$67:$QE$680,614,0))</f>
        <v>202.897076591</v>
      </c>
      <c r="KJ97" s="1526">
        <f>VLOOKUP($IW97,Base_Mensuelle!$OF$68:$RM$679,HLOOKUP(KJ$73,Base_Mensuelle!$PE$67:$QE$680,614,0))</f>
        <v>169.99930000000001</v>
      </c>
      <c r="KK97" s="1526">
        <f>VLOOKUP($IW97,Base_Mensuelle!$OF$68:$RM$679,HLOOKUP(KK$73,Base_Mensuelle!$PE$67:$QE$680,614,0))</f>
        <v>32.602972569999999</v>
      </c>
      <c r="KL97" s="1526">
        <f>VLOOKUP($IW97,Base_Mensuelle!$OF$68:$RM$679,HLOOKUP(KL$73,Base_Mensuelle!$PE$67:$QE$680,614,0))</f>
        <v>0.29480402099999997</v>
      </c>
      <c r="KM97" s="1526">
        <f>VLOOKUP($IW97,Base_Mensuelle!$OF$68:$RM$679,HLOOKUP(KM$73,Base_Mensuelle!$PE$67:$QE$680,614,0))</f>
        <v>0</v>
      </c>
      <c r="KN97" s="1526">
        <f>VLOOKUP($IW97,Base_Mensuelle!$OF$68:$RM$679,HLOOKUP(KN$73,Base_Mensuelle!$PE$67:$QE$680,614,0))</f>
        <v>0.39770642099999998</v>
      </c>
      <c r="KO97" s="1526">
        <f>VLOOKUP($IW97,Base_Mensuelle!$OF$68:$RM$679,HLOOKUP(KO$73,Base_Mensuelle!$PE$67:$QE$680,614,0))</f>
        <v>0</v>
      </c>
      <c r="KP97" s="1526">
        <f>VLOOKUP($IW97,Base_Mensuelle!$OF$68:$RM$679,HLOOKUP(KP$73,Base_Mensuelle!$PE$67:$QE$680,614,0))</f>
        <v>0</v>
      </c>
      <c r="KQ97" s="1526">
        <f>VLOOKUP($IW97,Base_Mensuelle!$OF$68:$RM$679,HLOOKUP(KQ$73,Base_Mensuelle!$PE$67:$QE$680,614,0))</f>
        <v>0.39770642099999998</v>
      </c>
      <c r="KR97" s="1526">
        <f>VLOOKUP($IW97,Base_Mensuelle!$OF$68:$RM$679,HLOOKUP(KR$73,Base_Mensuelle!$PE$67:$QE$680,614,0))</f>
        <v>0</v>
      </c>
      <c r="KS97" s="1526">
        <f>VLOOKUP($IW97,Base_Mensuelle!$OF$68:$RM$679,HLOOKUP(KS$73,Base_Mensuelle!$PE$67:$QE$680,614,0))</f>
        <v>0</v>
      </c>
      <c r="KT97" s="1526">
        <f>VLOOKUP($IW97,Base_Mensuelle!$OF$68:$RM$679,HLOOKUP(KT$73,Base_Mensuelle!$PE$67:$QE$680,614,0))</f>
        <v>0</v>
      </c>
      <c r="KU97" s="1526">
        <f>VLOOKUP($IW97,Base_Mensuelle!$OF$68:$RM$679,HLOOKUP(KU$73,Base_Mensuelle!$PE$67:$QE$680,614,0))</f>
        <v>-6.7125966679999998</v>
      </c>
      <c r="KV97" s="1526">
        <f>VLOOKUP($IW97,Base_Mensuelle!$OF$68:$RM$679,HLOOKUP(KV$73,Base_Mensuelle!$PE$67:$QE$680,614,0))</f>
        <v>0.21506893999999996</v>
      </c>
      <c r="KW97" s="1036"/>
      <c r="KX97" s="29">
        <v>24</v>
      </c>
      <c r="KY97" s="1037"/>
      <c r="KZ97" s="182">
        <f>VLOOKUP($IW97,Base_Mensuelle!$OF$68:$RM$679,HLOOKUP(KZ$73,Base_Mensuelle!$QG$67:$RM$680,614,0))</f>
        <v>27.382115843000975</v>
      </c>
      <c r="LA97" s="182">
        <f>VLOOKUP($IW97,Base_Mensuelle!$OF$68:$RM$679,HLOOKUP(LA$73,Base_Mensuelle!$QG$67:$RM$680,614,0))</f>
        <v>128.40515989687785</v>
      </c>
      <c r="LB97" s="182">
        <f>VLOOKUP($IW97,Base_Mensuelle!$OF$68:$RM$679,HLOOKUP(LB$73,Base_Mensuelle!$QG$67:$RM$680,614,0))</f>
        <v>-101.02304405387687</v>
      </c>
      <c r="LC97" s="182">
        <f>VLOOKUP($IW97,Base_Mensuelle!$OF$68:$RM$679,HLOOKUP(LC$73,Base_Mensuelle!$QG$67:$RM$680,614,0))</f>
        <v>45.368000000000002</v>
      </c>
      <c r="LD97" s="182">
        <f>VLOOKUP($IW97,Base_Mensuelle!$OF$68:$RM$679,HLOOKUP(LD$73,Base_Mensuelle!$QG$67:$RM$680,614,0))</f>
        <v>15.047000000000001</v>
      </c>
      <c r="LE97" s="182">
        <f>VLOOKUP($IW97,Base_Mensuelle!$OF$68:$RM$679,HLOOKUP(LE$73,Base_Mensuelle!$QG$67:$RM$680,614,0))</f>
        <v>30.321000000000002</v>
      </c>
      <c r="LF97" s="182">
        <f>VLOOKUP($IW97,Base_Mensuelle!$OF$68:$RM$679,HLOOKUP(LF$73,Base_Mensuelle!$QG$67:$RM$680,614,0))</f>
        <v>0</v>
      </c>
      <c r="LG97" s="182">
        <f>VLOOKUP($IW97,Base_Mensuelle!$OF$68:$RM$679,HLOOKUP(LG$73,Base_Mensuelle!$QG$67:$RM$680,614,0))</f>
        <v>-74.25500000000001</v>
      </c>
      <c r="LH97" s="182">
        <f>VLOOKUP($IW97,Base_Mensuelle!$OF$68:$RM$679,HLOOKUP(LH$73,Base_Mensuelle!$QG$67:$RM$680,614,0))</f>
        <v>16.681000000000001</v>
      </c>
      <c r="LI97" s="182">
        <f>VLOOKUP($IW97,Base_Mensuelle!$OF$68:$RM$679,HLOOKUP(LI$73,Base_Mensuelle!$QG$67:$RM$680,614,0))</f>
        <v>-90.936000000000007</v>
      </c>
      <c r="LJ97" s="182">
        <f>VLOOKUP($IW97,Base_Mensuelle!$OF$68:$RM$679,HLOOKUP(LJ$73,Base_Mensuelle!$QG$67:$RM$680,614,0))</f>
        <v>511.04684010312212</v>
      </c>
      <c r="LK97" s="182">
        <f>VLOOKUP($IW97,Base_Mensuelle!$OF$68:$RM$679,HLOOKUP(LK$73,Base_Mensuelle!$QG$67:$RM$680,614,0))</f>
        <v>8.7193641331181819</v>
      </c>
      <c r="LL97" s="182">
        <f>VLOOKUP($IW97,Base_Mensuelle!$OF$68:$RM$679,HLOOKUP(LL$73,Base_Mensuelle!$QG$67:$RM$680,614,0))</f>
        <v>0</v>
      </c>
      <c r="LM97" s="182">
        <f>VLOOKUP($IW97,Base_Mensuelle!$OF$68:$RM$679,HLOOKUP(LM$73,Base_Mensuelle!$QG$67:$RM$680,614,0))</f>
        <v>73.731999999999999</v>
      </c>
      <c r="LN97" s="182">
        <f>VLOOKUP($IW97,Base_Mensuelle!$OF$68:$RM$679,HLOOKUP(LN$73,Base_Mensuelle!$QG$67:$RM$680,614,0))</f>
        <v>428.59547597000397</v>
      </c>
      <c r="LO97" s="182">
        <f>VLOOKUP($IW97,Base_Mensuelle!$OF$68:$RM$679,HLOOKUP(LO$73,Base_Mensuelle!$QG$67:$RM$680,614,0))</f>
        <v>0</v>
      </c>
      <c r="LP97" s="182">
        <f>VLOOKUP($IW97,Base_Mensuelle!$OF$68:$RM$679,HLOOKUP(LP$73,Base_Mensuelle!$QG$67:$RM$680,614,0))</f>
        <v>0.44800000000000001</v>
      </c>
      <c r="LQ97" s="182">
        <f>VLOOKUP($IW97,Base_Mensuelle!$OF$68:$RM$679,HLOOKUP(LQ$73,Base_Mensuelle!$QG$67:$RM$680,614,0))</f>
        <v>191.55552799253181</v>
      </c>
      <c r="LR97" s="182">
        <f>VLOOKUP($IW97,Base_Mensuelle!$OF$68:$RM$679,HLOOKUP(LR$73,Base_Mensuelle!$QG$67:$RM$680,614,0))</f>
        <v>190.31342795359132</v>
      </c>
      <c r="LS97" s="182">
        <f>VLOOKUP($IW97,Base_Mensuelle!$OF$68:$RM$679,HLOOKUP(LS$73,Base_Mensuelle!$QG$67:$RM$680,614,0))</f>
        <v>0</v>
      </c>
      <c r="LT97" s="182">
        <f>VLOOKUP($IW97,Base_Mensuelle!$OF$68:$RM$679,HLOOKUP(LT$73,Base_Mensuelle!$QG$67:$RM$680,614,0))</f>
        <v>13.145</v>
      </c>
      <c r="LU97" s="182">
        <f>VLOOKUP($IW97,Base_Mensuelle!$OF$68:$RM$679,HLOOKUP(LU$73,Base_Mensuelle!$QG$67:$RM$680,614,0))</f>
        <v>0</v>
      </c>
      <c r="LV97" s="182">
        <f>VLOOKUP($IW97,Base_Mensuelle!$OF$68:$RM$679,HLOOKUP(LV$73,Base_Mensuelle!$QG$67:$RM$680,614,0))</f>
        <v>8.4649999999999999</v>
      </c>
      <c r="LW97" s="182">
        <f>VLOOKUP($IW97,Base_Mensuelle!$OF$68:$RM$679,HLOOKUP(LW$73,Base_Mensuelle!$QG$67:$RM$680,614,0))</f>
        <v>0</v>
      </c>
      <c r="LX97" s="182">
        <f>VLOOKUP($IW97,Base_Mensuelle!$OF$68:$RM$679,HLOOKUP(LX$73,Base_Mensuelle!$QG$67:$RM$680,614,0))</f>
        <v>0</v>
      </c>
      <c r="LY97" s="182">
        <f>VLOOKUP($IW97,Base_Mensuelle!$OF$68:$RM$679,HLOOKUP(LY$73,Base_Mensuelle!$QG$67:$RM$680,614,0))</f>
        <v>76.02</v>
      </c>
      <c r="LZ97" s="182">
        <f>VLOOKUP($IW97,Base_Mensuelle!$OF$68:$RM$679,HLOOKUP(LZ$73,Base_Mensuelle!$QG$67:$RM$680,614,0))</f>
        <v>29.594999999999999</v>
      </c>
      <c r="MA97" s="182">
        <f>VLOOKUP($IW97,Base_Mensuelle!$OF$68:$RM$679,HLOOKUP(MA$73,Base_Mensuelle!$QG$67:$RM$680,614,0))</f>
        <v>0</v>
      </c>
      <c r="MB97" s="182">
        <f>VLOOKUP($IW97,Base_Mensuelle!$OF$68:$RM$679,HLOOKUP(MB$73,Base_Mensuelle!$QG$67:$RM$680,614,0))</f>
        <v>0</v>
      </c>
      <c r="MC97" s="182">
        <f>VLOOKUP($IW97,Base_Mensuelle!$OF$68:$RM$679,HLOOKUP(MC$73,Base_Mensuelle!$QG$67:$RM$680,614,0))</f>
        <v>0</v>
      </c>
      <c r="MD97" s="182">
        <f>VLOOKUP($IW97,Base_Mensuelle!$OF$68:$RM$679,HLOOKUP(MD$73,Base_Mensuelle!$QG$67:$RM$680,614,0))</f>
        <v>0</v>
      </c>
      <c r="ME97" s="182">
        <f>VLOOKUP($IW97,Base_Mensuelle!$OF$68:$RM$679,HLOOKUP(ME$73,Base_Mensuelle!$QG$67:$RM$680,614,0))</f>
        <v>0</v>
      </c>
      <c r="MF97" s="182"/>
      <c r="MG97" s="182"/>
      <c r="MH97" s="290"/>
      <c r="MI97" s="29">
        <v>24</v>
      </c>
      <c r="MJ97" s="29" t="str">
        <f t="shared" si="82"/>
        <v>Trimestre 42005</v>
      </c>
      <c r="MK97" s="848">
        <v>38687</v>
      </c>
      <c r="ML97" s="29"/>
      <c r="MM97" s="29"/>
      <c r="MN97" s="29"/>
      <c r="MO97" s="29"/>
      <c r="MP97" s="29"/>
      <c r="MQ97" s="29"/>
      <c r="MR97" s="29"/>
      <c r="MS97" s="29"/>
      <c r="MT97" s="29"/>
      <c r="MU97" s="29"/>
      <c r="MV97" s="29"/>
      <c r="MW97" s="29"/>
      <c r="MX97" s="29"/>
      <c r="MY97" s="29"/>
      <c r="MZ97" s="29"/>
      <c r="NA97" s="29"/>
      <c r="NB97" s="29"/>
      <c r="NC97" s="29"/>
      <c r="ND97" s="29"/>
      <c r="NE97" s="29"/>
      <c r="NF97" s="29"/>
      <c r="NG97" s="29"/>
      <c r="NH97" s="29"/>
      <c r="NI97" s="29"/>
      <c r="NJ97" s="29"/>
      <c r="NK97" s="29"/>
      <c r="NL97" s="29">
        <v>24</v>
      </c>
    </row>
    <row r="98" spans="1:376">
      <c r="A98" s="41">
        <f t="shared" si="80"/>
        <v>2006</v>
      </c>
      <c r="B98" s="785">
        <v>38777</v>
      </c>
      <c r="C98" s="19"/>
      <c r="D98" s="93"/>
      <c r="E98" s="93"/>
      <c r="F98" s="93"/>
      <c r="G98" s="93"/>
      <c r="H98" s="93"/>
      <c r="I98" s="93"/>
      <c r="J98" s="93"/>
      <c r="K98" s="93"/>
      <c r="L98" s="93"/>
      <c r="M98" s="20"/>
      <c r="N98" s="25">
        <v>25</v>
      </c>
      <c r="O98" s="889">
        <f t="shared" si="79"/>
        <v>2006</v>
      </c>
      <c r="P98" s="29" t="str">
        <f t="shared" si="81"/>
        <v>Trimestre 12006</v>
      </c>
      <c r="Q98" s="848">
        <v>38777</v>
      </c>
      <c r="R98" s="733"/>
      <c r="S98" s="570"/>
      <c r="T98" s="570"/>
      <c r="U98" s="734"/>
      <c r="V98" s="25">
        <v>25</v>
      </c>
      <c r="W98" s="19"/>
      <c r="X98" s="93"/>
      <c r="Y98" s="93"/>
      <c r="Z98" s="93"/>
      <c r="AA98" s="93"/>
      <c r="AB98" s="93"/>
      <c r="AC98" s="93"/>
      <c r="AD98" s="93"/>
      <c r="AE98" s="20"/>
      <c r="AF98" s="25">
        <v>25</v>
      </c>
      <c r="AG98" s="19"/>
      <c r="AH98" s="93"/>
      <c r="AI98" s="93"/>
      <c r="AJ98" s="93"/>
      <c r="AK98" s="93"/>
      <c r="AL98" s="93"/>
      <c r="AM98" s="93"/>
      <c r="AN98" s="20"/>
      <c r="AO98" s="19"/>
      <c r="AP98" s="93"/>
      <c r="AQ98" s="93"/>
      <c r="AR98" s="93"/>
      <c r="AS98" s="20"/>
      <c r="AT98" s="19"/>
      <c r="AU98" s="93"/>
      <c r="AV98" s="20"/>
      <c r="AW98" s="19"/>
      <c r="AX98" s="93"/>
      <c r="AY98" s="93"/>
      <c r="AZ98" s="93"/>
      <c r="BA98" s="93"/>
      <c r="BB98" s="93"/>
      <c r="BC98" s="20"/>
      <c r="BD98" s="19"/>
      <c r="BE98" s="93"/>
      <c r="BF98" s="93"/>
      <c r="BG98" s="93"/>
      <c r="BH98" s="93"/>
      <c r="BI98" s="93"/>
      <c r="BJ98" s="93"/>
      <c r="BK98" s="20"/>
      <c r="BL98" s="19"/>
      <c r="BM98" s="93"/>
      <c r="BN98" s="93"/>
      <c r="BO98" s="93"/>
      <c r="BP98" s="93"/>
      <c r="BQ98" s="20"/>
      <c r="BR98" s="19"/>
      <c r="BS98" s="93"/>
      <c r="BT98" s="93"/>
      <c r="BU98" s="20"/>
      <c r="BV98" s="19"/>
      <c r="BW98" s="93"/>
      <c r="BX98" s="93"/>
      <c r="BY98" s="93"/>
      <c r="BZ98" s="93"/>
      <c r="CA98" s="93"/>
      <c r="CB98" s="20"/>
      <c r="CC98" s="25">
        <v>25</v>
      </c>
      <c r="CD98" s="19"/>
      <c r="CE98" s="93"/>
      <c r="CF98" s="20"/>
      <c r="CG98" s="25">
        <v>25</v>
      </c>
      <c r="CH98" s="19"/>
      <c r="CI98" s="93"/>
      <c r="CJ98" s="93"/>
      <c r="CK98" s="93"/>
      <c r="CL98" s="93"/>
      <c r="CM98" s="93"/>
      <c r="CN98" s="93"/>
      <c r="CO98" s="93"/>
      <c r="CP98" s="93"/>
      <c r="CQ98" s="93"/>
      <c r="CR98" s="214"/>
      <c r="CS98" s="20"/>
      <c r="CT98" s="25">
        <v>25</v>
      </c>
      <c r="CU98" s="19"/>
      <c r="CV98" s="93"/>
      <c r="CW98" s="93"/>
      <c r="CX98" s="93"/>
      <c r="CY98" s="93"/>
      <c r="CZ98" s="93"/>
      <c r="DA98" s="93"/>
      <c r="DB98" s="20"/>
      <c r="DC98" s="25">
        <v>25</v>
      </c>
      <c r="DD98" s="785">
        <v>38777</v>
      </c>
      <c r="DE98" s="19"/>
      <c r="DF98" s="20"/>
      <c r="DG98" s="25">
        <v>25</v>
      </c>
      <c r="DH98" s="19"/>
      <c r="DI98" s="20"/>
      <c r="DJ98" s="25">
        <v>25</v>
      </c>
      <c r="DK98" s="19"/>
      <c r="DL98" s="20"/>
      <c r="DM98" s="19"/>
      <c r="DN98" s="20"/>
      <c r="DO98" s="25">
        <v>25</v>
      </c>
      <c r="DP98" s="19"/>
      <c r="DQ98" s="93"/>
      <c r="DR98" s="20"/>
      <c r="DS98" s="25">
        <v>25</v>
      </c>
      <c r="DT98" s="19"/>
      <c r="DU98" s="93"/>
      <c r="DV98" s="20"/>
      <c r="DW98" s="25">
        <v>25</v>
      </c>
      <c r="DX98" s="19"/>
      <c r="DY98" s="20"/>
      <c r="DZ98" s="25">
        <v>25</v>
      </c>
      <c r="EA98" s="19"/>
      <c r="EB98" s="93"/>
      <c r="EC98" s="93"/>
      <c r="ED98" s="93"/>
      <c r="EE98" s="20"/>
      <c r="EF98" s="25">
        <v>25</v>
      </c>
      <c r="EG98" s="19"/>
      <c r="EH98" s="93"/>
      <c r="EI98" s="93"/>
      <c r="EJ98" s="93"/>
      <c r="EK98" s="20"/>
      <c r="EL98" s="25">
        <v>25</v>
      </c>
      <c r="EM98" s="19"/>
      <c r="EN98" s="93"/>
      <c r="EO98" s="93"/>
      <c r="EP98" s="93"/>
      <c r="EQ98" s="93"/>
      <c r="ER98" s="93"/>
      <c r="ES98" s="93"/>
      <c r="ET98" s="93"/>
      <c r="EU98" s="93"/>
      <c r="EV98" s="20"/>
      <c r="EW98" s="25">
        <v>25</v>
      </c>
      <c r="EX98" s="915"/>
      <c r="EY98" s="916"/>
      <c r="EZ98" s="916"/>
      <c r="FA98" s="916"/>
      <c r="FB98" s="916"/>
      <c r="FC98" s="916"/>
      <c r="FD98" s="916"/>
      <c r="FE98" s="916"/>
      <c r="FF98" s="916"/>
      <c r="FG98" s="917"/>
      <c r="FH98" s="25">
        <v>25</v>
      </c>
      <c r="FI98" s="848">
        <v>38777</v>
      </c>
      <c r="FJ98" s="19"/>
      <c r="FK98" s="93"/>
      <c r="FL98" s="20"/>
      <c r="FM98" s="25">
        <v>25</v>
      </c>
      <c r="FN98" s="19"/>
      <c r="FO98" s="93"/>
      <c r="FP98" s="93"/>
      <c r="FQ98" s="93"/>
      <c r="FR98" s="93"/>
      <c r="FS98" s="93"/>
      <c r="FT98" s="93"/>
      <c r="FU98" s="93"/>
      <c r="FV98" s="93"/>
      <c r="FW98" s="917"/>
      <c r="FX98" s="25">
        <v>25</v>
      </c>
      <c r="FY98" s="916"/>
      <c r="FZ98" s="916"/>
      <c r="GA98" s="916"/>
      <c r="GB98" s="916"/>
      <c r="GC98" s="916"/>
      <c r="GD98" s="916"/>
      <c r="GE98" s="916"/>
      <c r="GF98" s="916"/>
      <c r="GG98" s="916"/>
      <c r="GH98" s="916"/>
      <c r="GI98" s="917"/>
      <c r="GJ98" s="25">
        <v>25</v>
      </c>
      <c r="GK98" s="19"/>
      <c r="GL98" s="20"/>
      <c r="GM98" s="25">
        <v>25</v>
      </c>
      <c r="GN98" s="19"/>
      <c r="GO98" s="20"/>
      <c r="GP98" s="25">
        <v>25</v>
      </c>
      <c r="GQ98" s="19"/>
      <c r="GR98" s="20"/>
      <c r="GS98" s="25">
        <v>25</v>
      </c>
      <c r="GT98" s="848">
        <v>38777</v>
      </c>
      <c r="GU98" s="19"/>
      <c r="GV98" s="93"/>
      <c r="GW98" s="93"/>
      <c r="GX98" s="93"/>
      <c r="GY98" s="93"/>
      <c r="GZ98" s="93"/>
      <c r="HA98" s="93"/>
      <c r="HB98" s="93"/>
      <c r="HC98" s="93"/>
      <c r="HD98" s="93"/>
      <c r="HE98" s="93"/>
      <c r="HF98" s="93"/>
      <c r="HG98" s="93"/>
      <c r="HH98" s="93"/>
      <c r="HI98" s="93"/>
      <c r="HJ98" s="93"/>
      <c r="HK98" s="93"/>
      <c r="HL98" s="93"/>
      <c r="HM98" s="93"/>
      <c r="HN98" s="93"/>
      <c r="HO98" s="93"/>
      <c r="HP98" s="93"/>
      <c r="HQ98" s="93"/>
      <c r="HR98" s="93"/>
      <c r="HS98" s="93"/>
      <c r="HT98" s="93"/>
      <c r="HU98" s="93"/>
      <c r="HV98" s="93"/>
      <c r="HW98" s="93"/>
      <c r="HX98" s="93"/>
      <c r="HY98" s="93"/>
      <c r="HZ98" s="93"/>
      <c r="IA98" s="93"/>
      <c r="IB98" s="93"/>
      <c r="IC98" s="93"/>
      <c r="ID98" s="93"/>
      <c r="IE98" s="93"/>
      <c r="IF98" s="93"/>
      <c r="IG98" s="93"/>
      <c r="IH98" s="93"/>
      <c r="II98" s="93"/>
      <c r="IJ98" s="93"/>
      <c r="IK98" s="93"/>
      <c r="IL98" s="93"/>
      <c r="IM98" s="93"/>
      <c r="IN98" s="93"/>
      <c r="IO98" s="93"/>
      <c r="IP98" s="93"/>
      <c r="IQ98" s="93"/>
      <c r="IR98" s="93"/>
      <c r="IS98" s="93"/>
      <c r="IT98" s="93"/>
      <c r="IU98" s="93"/>
      <c r="IV98" s="93">
        <v>25</v>
      </c>
      <c r="IW98" s="848">
        <v>38777</v>
      </c>
      <c r="IX98" s="1035"/>
      <c r="IY98" s="1035">
        <v>163.12460000000002</v>
      </c>
      <c r="IZ98" s="1035">
        <v>181.2176</v>
      </c>
      <c r="JA98" s="1035">
        <v>0.30600684499999997</v>
      </c>
      <c r="JB98" s="1035">
        <v>213.99141806302842</v>
      </c>
      <c r="JC98" s="1035">
        <v>47.261699999999998</v>
      </c>
      <c r="JD98" s="1035">
        <v>424.68372490802847</v>
      </c>
      <c r="JE98" s="1035">
        <v>203.86759518619709</v>
      </c>
      <c r="JF98" s="1035">
        <v>628.5513200942255</v>
      </c>
      <c r="JG98" s="1035"/>
      <c r="JH98" s="1035">
        <v>248.31169784106919</v>
      </c>
      <c r="JI98" s="1035">
        <v>222.38057764000001</v>
      </c>
      <c r="JJ98" s="1035">
        <v>25.931120201069149</v>
      </c>
      <c r="JK98" s="1035">
        <v>465.62465617715657</v>
      </c>
      <c r="JL98" s="1035">
        <v>-71.590607269000003</v>
      </c>
      <c r="JM98" s="1035">
        <v>5.1083927310000021</v>
      </c>
      <c r="JN98" s="1035">
        <v>-76.699000000000012</v>
      </c>
      <c r="JO98" s="1035">
        <v>537.21526344615654</v>
      </c>
      <c r="JP98" s="1035">
        <v>2.3753703980000003</v>
      </c>
      <c r="JQ98" s="1035">
        <v>534.83989304815645</v>
      </c>
      <c r="JR98" s="1035">
        <v>103.19798316200001</v>
      </c>
      <c r="JS98" s="1035">
        <v>-17.812949238000023</v>
      </c>
      <c r="JT98" s="1036">
        <v>628.55132009422573</v>
      </c>
      <c r="JU98" s="29">
        <v>25</v>
      </c>
      <c r="JV98" s="1037"/>
      <c r="JW98" s="1526">
        <f>VLOOKUP($IW98,Base_Mensuelle!$OF$68:$RM$679,HLOOKUP(JW$73,Base_Mensuelle!$PE$67:$QE$680,614,0))</f>
        <v>222.38057764000001</v>
      </c>
      <c r="JX98" s="1526">
        <f>VLOOKUP($IW98,Base_Mensuelle!$OF$68:$RM$679,HLOOKUP(JX$73,Base_Mensuelle!$PE$67:$QE$680,614,0))</f>
        <v>542.88500459400007</v>
      </c>
      <c r="JY98" s="1526">
        <f>VLOOKUP($IW98,Base_Mensuelle!$OF$68:$RM$679,HLOOKUP(JY$73,Base_Mensuelle!$PE$67:$QE$680,614,0))</f>
        <v>320.50442695400005</v>
      </c>
      <c r="JZ98" s="1526">
        <f>VLOOKUP($IW98,Base_Mensuelle!$OF$68:$RM$679,HLOOKUP(JZ$73,Base_Mensuelle!$PE$67:$QE$680,614,0))</f>
        <v>1.1100000000000001</v>
      </c>
      <c r="KA98" s="1526">
        <f>VLOOKUP($IW98,Base_Mensuelle!$OF$68:$RM$679,HLOOKUP(KA$73,Base_Mensuelle!$PE$67:$QE$680,614,0))</f>
        <v>5.1083927310000021</v>
      </c>
      <c r="KB98" s="1526">
        <f>VLOOKUP($IW98,Base_Mensuelle!$OF$68:$RM$679,HLOOKUP(KB$73,Base_Mensuelle!$PE$67:$QE$680,614,0))</f>
        <v>35.885044346000001</v>
      </c>
      <c r="KC98" s="1526">
        <f>VLOOKUP($IW98,Base_Mensuelle!$OF$68:$RM$679,HLOOKUP(KC$73,Base_Mensuelle!$PE$67:$QE$680,614,0))</f>
        <v>30.776651614999999</v>
      </c>
      <c r="KD98" s="1526">
        <f>VLOOKUP($IW98,Base_Mensuelle!$OF$68:$RM$679,HLOOKUP(KD$73,Base_Mensuelle!$PE$67:$QE$680,614,0))</f>
        <v>2.3753703980000003</v>
      </c>
      <c r="KE98" s="1526">
        <f>VLOOKUP($IW98,Base_Mensuelle!$OF$68:$RM$679,HLOOKUP(KE$73,Base_Mensuelle!$PE$67:$QE$680,614,0))</f>
        <v>0</v>
      </c>
      <c r="KF98" s="1526">
        <f>VLOOKUP($IW98,Base_Mensuelle!$OF$68:$RM$679,HLOOKUP(KF$73,Base_Mensuelle!$PE$67:$QE$680,614,0))</f>
        <v>0</v>
      </c>
      <c r="KG98" s="1526">
        <f>VLOOKUP($IW98,Base_Mensuelle!$OF$68:$RM$679,HLOOKUP(KG$73,Base_Mensuelle!$PE$67:$QE$680,614,0))</f>
        <v>2.4687899999999998E-4</v>
      </c>
      <c r="KH98" s="1526">
        <f>VLOOKUP($IW98,Base_Mensuelle!$OF$68:$RM$679,HLOOKUP(KH$73,Base_Mensuelle!$PE$67:$QE$680,614,0))</f>
        <v>2.3751235190000002</v>
      </c>
      <c r="KI98" s="1526">
        <f>VLOOKUP($IW98,Base_Mensuelle!$OF$68:$RM$679,HLOOKUP(KI$73,Base_Mensuelle!$PE$67:$QE$680,614,0))</f>
        <v>230.92711400300001</v>
      </c>
      <c r="KJ98" s="1526">
        <f>VLOOKUP($IW98,Base_Mensuelle!$OF$68:$RM$679,HLOOKUP(KJ$73,Base_Mensuelle!$PE$67:$QE$680,614,0))</f>
        <v>181.2176</v>
      </c>
      <c r="KK98" s="1526">
        <f>VLOOKUP($IW98,Base_Mensuelle!$OF$68:$RM$679,HLOOKUP(KK$73,Base_Mensuelle!$PE$67:$QE$680,614,0))</f>
        <v>49.403507157999996</v>
      </c>
      <c r="KL98" s="1526">
        <f>VLOOKUP($IW98,Base_Mensuelle!$OF$68:$RM$679,HLOOKUP(KL$73,Base_Mensuelle!$PE$67:$QE$680,614,0))</f>
        <v>0.30600684499999997</v>
      </c>
      <c r="KM98" s="1526">
        <f>VLOOKUP($IW98,Base_Mensuelle!$OF$68:$RM$679,HLOOKUP(KM$73,Base_Mensuelle!$PE$67:$QE$680,614,0))</f>
        <v>0</v>
      </c>
      <c r="KN98" s="1526">
        <f>VLOOKUP($IW98,Base_Mensuelle!$OF$68:$RM$679,HLOOKUP(KN$73,Base_Mensuelle!$PE$67:$QE$680,614,0))</f>
        <v>0.26992814399999998</v>
      </c>
      <c r="KO98" s="1526">
        <f>VLOOKUP($IW98,Base_Mensuelle!$OF$68:$RM$679,HLOOKUP(KO$73,Base_Mensuelle!$PE$67:$QE$680,614,0))</f>
        <v>0</v>
      </c>
      <c r="KP98" s="1526">
        <f>VLOOKUP($IW98,Base_Mensuelle!$OF$68:$RM$679,HLOOKUP(KP$73,Base_Mensuelle!$PE$67:$QE$680,614,0))</f>
        <v>0</v>
      </c>
      <c r="KQ98" s="1526">
        <f>VLOOKUP($IW98,Base_Mensuelle!$OF$68:$RM$679,HLOOKUP(KQ$73,Base_Mensuelle!$PE$67:$QE$680,614,0))</f>
        <v>0.26992814399999998</v>
      </c>
      <c r="KR98" s="1526">
        <f>VLOOKUP($IW98,Base_Mensuelle!$OF$68:$RM$679,HLOOKUP(KR$73,Base_Mensuelle!$PE$67:$QE$680,614,0))</f>
        <v>0</v>
      </c>
      <c r="KS98" s="1526">
        <f>VLOOKUP($IW98,Base_Mensuelle!$OF$68:$RM$679,HLOOKUP(KS$73,Base_Mensuelle!$PE$67:$QE$680,614,0))</f>
        <v>0</v>
      </c>
      <c r="KT98" s="1526">
        <f>VLOOKUP($IW98,Base_Mensuelle!$OF$68:$RM$679,HLOOKUP(KT$73,Base_Mensuelle!$PE$67:$QE$680,614,0))</f>
        <v>0</v>
      </c>
      <c r="KU98" s="1526">
        <f>VLOOKUP($IW98,Base_Mensuelle!$OF$68:$RM$679,HLOOKUP(KU$73,Base_Mensuelle!$PE$67:$QE$680,614,0))</f>
        <v>-0.41794498199999996</v>
      </c>
      <c r="KV98" s="1526">
        <f>VLOOKUP($IW98,Base_Mensuelle!$OF$68:$RM$679,HLOOKUP(KV$73,Base_Mensuelle!$PE$67:$QE$680,614,0))</f>
        <v>0.1952436039999928</v>
      </c>
      <c r="KW98" s="1036"/>
      <c r="KX98" s="29">
        <v>25</v>
      </c>
      <c r="KY98" s="1037"/>
      <c r="KZ98" s="182">
        <f>VLOOKUP($IW98,Base_Mensuelle!$OF$68:$RM$679,HLOOKUP(KZ$73,Base_Mensuelle!$QG$67:$RM$680,614,0))</f>
        <v>25.931120201069149</v>
      </c>
      <c r="LA98" s="182">
        <f>VLOOKUP($IW98,Base_Mensuelle!$OF$68:$RM$679,HLOOKUP(LA$73,Base_Mensuelle!$QG$67:$RM$680,614,0))</f>
        <v>127.91510695184365</v>
      </c>
      <c r="LB98" s="182">
        <f>VLOOKUP($IW98,Base_Mensuelle!$OF$68:$RM$679,HLOOKUP(LB$73,Base_Mensuelle!$QG$67:$RM$680,614,0))</f>
        <v>-101.98398675077451</v>
      </c>
      <c r="LC98" s="182">
        <f>VLOOKUP($IW98,Base_Mensuelle!$OF$68:$RM$679,HLOOKUP(LC$73,Base_Mensuelle!$QG$67:$RM$680,614,0))</f>
        <v>66.98</v>
      </c>
      <c r="LD98" s="182">
        <f>VLOOKUP($IW98,Base_Mensuelle!$OF$68:$RM$679,HLOOKUP(LD$73,Base_Mensuelle!$QG$67:$RM$680,614,0))</f>
        <v>18.093</v>
      </c>
      <c r="LE98" s="182">
        <f>VLOOKUP($IW98,Base_Mensuelle!$OF$68:$RM$679,HLOOKUP(LE$73,Base_Mensuelle!$QG$67:$RM$680,614,0))</f>
        <v>48.887</v>
      </c>
      <c r="LF98" s="182">
        <f>VLOOKUP($IW98,Base_Mensuelle!$OF$68:$RM$679,HLOOKUP(LF$73,Base_Mensuelle!$QG$67:$RM$680,614,0))</f>
        <v>0</v>
      </c>
      <c r="LG98" s="182">
        <f>VLOOKUP($IW98,Base_Mensuelle!$OF$68:$RM$679,HLOOKUP(LG$73,Base_Mensuelle!$QG$67:$RM$680,614,0))</f>
        <v>-76.699000000000012</v>
      </c>
      <c r="LH98" s="182">
        <f>VLOOKUP($IW98,Base_Mensuelle!$OF$68:$RM$679,HLOOKUP(LH$73,Base_Mensuelle!$QG$67:$RM$680,614,0))</f>
        <v>12.683999999999999</v>
      </c>
      <c r="LI98" s="182">
        <f>VLOOKUP($IW98,Base_Mensuelle!$OF$68:$RM$679,HLOOKUP(LI$73,Base_Mensuelle!$QG$67:$RM$680,614,0))</f>
        <v>-89.38300000000001</v>
      </c>
      <c r="LJ98" s="182">
        <f>VLOOKUP($IW98,Base_Mensuelle!$OF$68:$RM$679,HLOOKUP(LJ$73,Base_Mensuelle!$QG$67:$RM$680,614,0))</f>
        <v>534.83989304815645</v>
      </c>
      <c r="LK98" s="182">
        <f>VLOOKUP($IW98,Base_Mensuelle!$OF$68:$RM$679,HLOOKUP(LK$73,Base_Mensuelle!$QG$67:$RM$680,614,0))</f>
        <v>9.1559845464788747</v>
      </c>
      <c r="LL98" s="182">
        <f>VLOOKUP($IW98,Base_Mensuelle!$OF$68:$RM$679,HLOOKUP(LL$73,Base_Mensuelle!$QG$67:$RM$680,614,0))</f>
        <v>0</v>
      </c>
      <c r="LM98" s="182">
        <f>VLOOKUP($IW98,Base_Mensuelle!$OF$68:$RM$679,HLOOKUP(LM$73,Base_Mensuelle!$QG$67:$RM$680,614,0))</f>
        <v>95.52</v>
      </c>
      <c r="LN98" s="182">
        <f>VLOOKUP($IW98,Base_Mensuelle!$OF$68:$RM$679,HLOOKUP(LN$73,Base_Mensuelle!$QG$67:$RM$680,614,0))</f>
        <v>430.16390850167761</v>
      </c>
      <c r="LO98" s="182">
        <f>VLOOKUP($IW98,Base_Mensuelle!$OF$68:$RM$679,HLOOKUP(LO$73,Base_Mensuelle!$QG$67:$RM$680,614,0))</f>
        <v>0</v>
      </c>
      <c r="LP98" s="182">
        <f>VLOOKUP($IW98,Base_Mensuelle!$OF$68:$RM$679,HLOOKUP(LP$73,Base_Mensuelle!$QG$67:$RM$680,614,0))</f>
        <v>0.58499999999999996</v>
      </c>
      <c r="LQ98" s="182">
        <f>VLOOKUP($IW98,Base_Mensuelle!$OF$68:$RM$679,HLOOKUP(LQ$73,Base_Mensuelle!$QG$67:$RM$680,614,0))</f>
        <v>213.99141806302842</v>
      </c>
      <c r="LR98" s="182">
        <f>VLOOKUP($IW98,Base_Mensuelle!$OF$68:$RM$679,HLOOKUP(LR$73,Base_Mensuelle!$QG$67:$RM$680,614,0))</f>
        <v>203.86759518619709</v>
      </c>
      <c r="LS98" s="182">
        <f>VLOOKUP($IW98,Base_Mensuelle!$OF$68:$RM$679,HLOOKUP(LS$73,Base_Mensuelle!$QG$67:$RM$680,614,0))</f>
        <v>0</v>
      </c>
      <c r="LT98" s="182">
        <f>VLOOKUP($IW98,Base_Mensuelle!$OF$68:$RM$679,HLOOKUP(LT$73,Base_Mensuelle!$QG$67:$RM$680,614,0))</f>
        <v>16.433</v>
      </c>
      <c r="LU98" s="182">
        <f>VLOOKUP($IW98,Base_Mensuelle!$OF$68:$RM$679,HLOOKUP(LU$73,Base_Mensuelle!$QG$67:$RM$680,614,0))</f>
        <v>0</v>
      </c>
      <c r="LV98" s="182">
        <f>VLOOKUP($IW98,Base_Mensuelle!$OF$68:$RM$679,HLOOKUP(LV$73,Base_Mensuelle!$QG$67:$RM$680,614,0))</f>
        <v>3.8119999999999998</v>
      </c>
      <c r="LW98" s="182">
        <f>VLOOKUP($IW98,Base_Mensuelle!$OF$68:$RM$679,HLOOKUP(LW$73,Base_Mensuelle!$QG$67:$RM$680,614,0))</f>
        <v>0</v>
      </c>
      <c r="LX98" s="182">
        <f>VLOOKUP($IW98,Base_Mensuelle!$OF$68:$RM$679,HLOOKUP(LX$73,Base_Mensuelle!$QG$67:$RM$680,614,0))</f>
        <v>0</v>
      </c>
      <c r="LY98" s="182">
        <f>VLOOKUP($IW98,Base_Mensuelle!$OF$68:$RM$679,HLOOKUP(LY$73,Base_Mensuelle!$QG$67:$RM$680,614,0))</f>
        <v>83.100999999999999</v>
      </c>
      <c r="LZ98" s="182">
        <f>VLOOKUP($IW98,Base_Mensuelle!$OF$68:$RM$679,HLOOKUP(LZ$73,Base_Mensuelle!$QG$67:$RM$680,614,0))</f>
        <v>29.261999999999986</v>
      </c>
      <c r="MA98" s="182">
        <f>VLOOKUP($IW98,Base_Mensuelle!$OF$68:$RM$679,HLOOKUP(MA$73,Base_Mensuelle!$QG$67:$RM$680,614,0))</f>
        <v>0</v>
      </c>
      <c r="MB98" s="182">
        <f>VLOOKUP($IW98,Base_Mensuelle!$OF$68:$RM$679,HLOOKUP(MB$73,Base_Mensuelle!$QG$67:$RM$680,614,0))</f>
        <v>0</v>
      </c>
      <c r="MC98" s="182">
        <f>VLOOKUP($IW98,Base_Mensuelle!$OF$68:$RM$679,HLOOKUP(MC$73,Base_Mensuelle!$QG$67:$RM$680,614,0))</f>
        <v>0</v>
      </c>
      <c r="MD98" s="182">
        <f>VLOOKUP($IW98,Base_Mensuelle!$OF$68:$RM$679,HLOOKUP(MD$73,Base_Mensuelle!$QG$67:$RM$680,614,0))</f>
        <v>0</v>
      </c>
      <c r="ME98" s="182">
        <f>VLOOKUP($IW98,Base_Mensuelle!$OF$68:$RM$679,HLOOKUP(ME$73,Base_Mensuelle!$QG$67:$RM$680,614,0))</f>
        <v>0</v>
      </c>
      <c r="MF98" s="182"/>
      <c r="MG98" s="182"/>
      <c r="MH98" s="290"/>
      <c r="MI98" s="29">
        <v>25</v>
      </c>
      <c r="MJ98" s="29" t="str">
        <f t="shared" si="82"/>
        <v>Trimestre 12006</v>
      </c>
      <c r="MK98" s="848">
        <v>38777</v>
      </c>
      <c r="ML98" s="29"/>
      <c r="MM98" s="29"/>
      <c r="MN98" s="29"/>
      <c r="MO98" s="29"/>
      <c r="MP98" s="29"/>
      <c r="MQ98" s="29"/>
      <c r="MR98" s="29"/>
      <c r="MS98" s="29"/>
      <c r="MT98" s="29"/>
      <c r="MU98" s="29"/>
      <c r="MV98" s="29"/>
      <c r="MW98" s="29"/>
      <c r="MX98" s="29"/>
      <c r="MY98" s="29"/>
      <c r="MZ98" s="29"/>
      <c r="NA98" s="29"/>
      <c r="NB98" s="29"/>
      <c r="NC98" s="29"/>
      <c r="ND98" s="29"/>
      <c r="NE98" s="29"/>
      <c r="NF98" s="29"/>
      <c r="NG98" s="29"/>
      <c r="NH98" s="29"/>
      <c r="NI98" s="29"/>
      <c r="NJ98" s="29"/>
      <c r="NK98" s="29"/>
      <c r="NL98" s="29">
        <v>25</v>
      </c>
    </row>
    <row r="99" spans="1:376">
      <c r="A99" s="41">
        <f t="shared" si="80"/>
        <v>2006</v>
      </c>
      <c r="B99" s="785">
        <v>38869</v>
      </c>
      <c r="C99" s="19"/>
      <c r="D99" s="93"/>
      <c r="E99" s="93"/>
      <c r="F99" s="93"/>
      <c r="G99" s="93"/>
      <c r="H99" s="93"/>
      <c r="I99" s="93"/>
      <c r="J99" s="93"/>
      <c r="K99" s="93"/>
      <c r="L99" s="93"/>
      <c r="M99" s="20"/>
      <c r="N99" s="25">
        <v>26</v>
      </c>
      <c r="O99" s="889">
        <f t="shared" si="79"/>
        <v>2006</v>
      </c>
      <c r="P99" s="29" t="str">
        <f t="shared" si="81"/>
        <v>Trimestre 22006</v>
      </c>
      <c r="Q99" s="848">
        <v>38869</v>
      </c>
      <c r="R99" s="733"/>
      <c r="S99" s="570"/>
      <c r="T99" s="570"/>
      <c r="U99" s="734"/>
      <c r="V99" s="25">
        <v>26</v>
      </c>
      <c r="W99" s="19"/>
      <c r="X99" s="93"/>
      <c r="Y99" s="93"/>
      <c r="Z99" s="93"/>
      <c r="AA99" s="93"/>
      <c r="AB99" s="93"/>
      <c r="AC99" s="93"/>
      <c r="AD99" s="93"/>
      <c r="AE99" s="20"/>
      <c r="AF99" s="25">
        <v>26</v>
      </c>
      <c r="AG99" s="19"/>
      <c r="AH99" s="93"/>
      <c r="AI99" s="93"/>
      <c r="AJ99" s="93"/>
      <c r="AK99" s="93"/>
      <c r="AL99" s="93"/>
      <c r="AM99" s="93"/>
      <c r="AN99" s="20"/>
      <c r="AO99" s="19"/>
      <c r="AP99" s="93"/>
      <c r="AQ99" s="93"/>
      <c r="AR99" s="93"/>
      <c r="AS99" s="20"/>
      <c r="AT99" s="19"/>
      <c r="AU99" s="93"/>
      <c r="AV99" s="20"/>
      <c r="AW99" s="19"/>
      <c r="AX99" s="93"/>
      <c r="AY99" s="93"/>
      <c r="AZ99" s="93"/>
      <c r="BA99" s="93"/>
      <c r="BB99" s="93"/>
      <c r="BC99" s="20"/>
      <c r="BD99" s="19"/>
      <c r="BE99" s="93"/>
      <c r="BF99" s="93"/>
      <c r="BG99" s="93"/>
      <c r="BH99" s="93"/>
      <c r="BI99" s="93"/>
      <c r="BJ99" s="93"/>
      <c r="BK99" s="20"/>
      <c r="BL99" s="19"/>
      <c r="BM99" s="93"/>
      <c r="BN99" s="93"/>
      <c r="BO99" s="93"/>
      <c r="BP99" s="93"/>
      <c r="BQ99" s="20"/>
      <c r="BR99" s="19"/>
      <c r="BS99" s="93"/>
      <c r="BT99" s="93"/>
      <c r="BU99" s="20"/>
      <c r="BV99" s="19"/>
      <c r="BW99" s="93"/>
      <c r="BX99" s="93"/>
      <c r="BY99" s="93"/>
      <c r="BZ99" s="93"/>
      <c r="CA99" s="93"/>
      <c r="CB99" s="20"/>
      <c r="CC99" s="25">
        <v>26</v>
      </c>
      <c r="CD99" s="19"/>
      <c r="CE99" s="93"/>
      <c r="CF99" s="20"/>
      <c r="CG99" s="25">
        <v>26</v>
      </c>
      <c r="CH99" s="19"/>
      <c r="CI99" s="93"/>
      <c r="CJ99" s="93"/>
      <c r="CK99" s="93"/>
      <c r="CL99" s="93"/>
      <c r="CM99" s="93"/>
      <c r="CN99" s="93"/>
      <c r="CO99" s="93"/>
      <c r="CP99" s="93"/>
      <c r="CQ99" s="93"/>
      <c r="CR99" s="214"/>
      <c r="CS99" s="20"/>
      <c r="CT99" s="25">
        <v>26</v>
      </c>
      <c r="CU99" s="19"/>
      <c r="CV99" s="93"/>
      <c r="CW99" s="93"/>
      <c r="CX99" s="93"/>
      <c r="CY99" s="93"/>
      <c r="CZ99" s="93"/>
      <c r="DA99" s="93"/>
      <c r="DB99" s="20"/>
      <c r="DC99" s="25">
        <v>26</v>
      </c>
      <c r="DD99" s="785">
        <v>38869</v>
      </c>
      <c r="DE99" s="19"/>
      <c r="DF99" s="20"/>
      <c r="DG99" s="25">
        <v>26</v>
      </c>
      <c r="DH99" s="19"/>
      <c r="DI99" s="20"/>
      <c r="DJ99" s="25">
        <v>26</v>
      </c>
      <c r="DK99" s="19"/>
      <c r="DL99" s="20"/>
      <c r="DM99" s="19"/>
      <c r="DN99" s="20"/>
      <c r="DO99" s="25">
        <v>26</v>
      </c>
      <c r="DP99" s="19"/>
      <c r="DQ99" s="93"/>
      <c r="DR99" s="20"/>
      <c r="DS99" s="25">
        <v>26</v>
      </c>
      <c r="DT99" s="19"/>
      <c r="DU99" s="93"/>
      <c r="DV99" s="20"/>
      <c r="DW99" s="25">
        <v>26</v>
      </c>
      <c r="DX99" s="19"/>
      <c r="DY99" s="20"/>
      <c r="DZ99" s="25">
        <v>26</v>
      </c>
      <c r="EA99" s="19"/>
      <c r="EB99" s="93"/>
      <c r="EC99" s="93"/>
      <c r="ED99" s="93"/>
      <c r="EE99" s="20"/>
      <c r="EF99" s="25">
        <v>26</v>
      </c>
      <c r="EG99" s="19"/>
      <c r="EH99" s="93"/>
      <c r="EI99" s="93"/>
      <c r="EJ99" s="93"/>
      <c r="EK99" s="20"/>
      <c r="EL99" s="25">
        <v>26</v>
      </c>
      <c r="EM99" s="19"/>
      <c r="EN99" s="93"/>
      <c r="EO99" s="93"/>
      <c r="EP99" s="93"/>
      <c r="EQ99" s="93"/>
      <c r="ER99" s="93"/>
      <c r="ES99" s="93"/>
      <c r="ET99" s="93"/>
      <c r="EU99" s="93"/>
      <c r="EV99" s="20"/>
      <c r="EW99" s="25">
        <v>26</v>
      </c>
      <c r="EX99" s="915"/>
      <c r="EY99" s="916"/>
      <c r="EZ99" s="916"/>
      <c r="FA99" s="916"/>
      <c r="FB99" s="916"/>
      <c r="FC99" s="916"/>
      <c r="FD99" s="916"/>
      <c r="FE99" s="916"/>
      <c r="FF99" s="916"/>
      <c r="FG99" s="917"/>
      <c r="FH99" s="25">
        <v>26</v>
      </c>
      <c r="FI99" s="848">
        <v>38869</v>
      </c>
      <c r="FJ99" s="19"/>
      <c r="FK99" s="93"/>
      <c r="FL99" s="20"/>
      <c r="FM99" s="25">
        <v>26</v>
      </c>
      <c r="FN99" s="19"/>
      <c r="FO99" s="93"/>
      <c r="FP99" s="93"/>
      <c r="FQ99" s="93"/>
      <c r="FR99" s="93"/>
      <c r="FS99" s="93"/>
      <c r="FT99" s="93"/>
      <c r="FU99" s="93"/>
      <c r="FV99" s="93"/>
      <c r="FW99" s="917"/>
      <c r="FX99" s="25">
        <v>26</v>
      </c>
      <c r="FY99" s="916"/>
      <c r="FZ99" s="916"/>
      <c r="GA99" s="916"/>
      <c r="GB99" s="916"/>
      <c r="GC99" s="916"/>
      <c r="GD99" s="916"/>
      <c r="GE99" s="916"/>
      <c r="GF99" s="916"/>
      <c r="GG99" s="916"/>
      <c r="GH99" s="916"/>
      <c r="GI99" s="917"/>
      <c r="GJ99" s="25">
        <v>26</v>
      </c>
      <c r="GK99" s="19"/>
      <c r="GL99" s="20"/>
      <c r="GM99" s="25">
        <v>26</v>
      </c>
      <c r="GN99" s="19"/>
      <c r="GO99" s="20"/>
      <c r="GP99" s="25">
        <v>26</v>
      </c>
      <c r="GQ99" s="19"/>
      <c r="GR99" s="20"/>
      <c r="GS99" s="25">
        <v>26</v>
      </c>
      <c r="GT99" s="848">
        <v>38869</v>
      </c>
      <c r="GU99" s="19"/>
      <c r="GV99" s="93"/>
      <c r="GW99" s="93"/>
      <c r="GX99" s="93"/>
      <c r="GY99" s="93"/>
      <c r="GZ99" s="93"/>
      <c r="HA99" s="93"/>
      <c r="HB99" s="93"/>
      <c r="HC99" s="93"/>
      <c r="HD99" s="93"/>
      <c r="HE99" s="93"/>
      <c r="HF99" s="93"/>
      <c r="HG99" s="93"/>
      <c r="HH99" s="93"/>
      <c r="HI99" s="93"/>
      <c r="HJ99" s="93"/>
      <c r="HK99" s="93"/>
      <c r="HL99" s="93"/>
      <c r="HM99" s="93"/>
      <c r="HN99" s="93"/>
      <c r="HO99" s="93"/>
      <c r="HP99" s="93"/>
      <c r="HQ99" s="93"/>
      <c r="HR99" s="93"/>
      <c r="HS99" s="93"/>
      <c r="HT99" s="93"/>
      <c r="HU99" s="93"/>
      <c r="HV99" s="93"/>
      <c r="HW99" s="93"/>
      <c r="HX99" s="93"/>
      <c r="HY99" s="93"/>
      <c r="HZ99" s="93"/>
      <c r="IA99" s="93"/>
      <c r="IB99" s="93"/>
      <c r="IC99" s="93"/>
      <c r="ID99" s="93"/>
      <c r="IE99" s="93"/>
      <c r="IF99" s="93"/>
      <c r="IG99" s="93"/>
      <c r="IH99" s="93"/>
      <c r="II99" s="93"/>
      <c r="IJ99" s="93"/>
      <c r="IK99" s="93"/>
      <c r="IL99" s="93"/>
      <c r="IM99" s="93"/>
      <c r="IN99" s="93"/>
      <c r="IO99" s="93"/>
      <c r="IP99" s="93"/>
      <c r="IQ99" s="93"/>
      <c r="IR99" s="93"/>
      <c r="IS99" s="93"/>
      <c r="IT99" s="93"/>
      <c r="IU99" s="93"/>
      <c r="IV99" s="93">
        <v>26</v>
      </c>
      <c r="IW99" s="848">
        <v>38869</v>
      </c>
      <c r="IX99" s="1035"/>
      <c r="IY99" s="1035">
        <v>150.78389999999999</v>
      </c>
      <c r="IZ99" s="1035">
        <v>165.75389999999999</v>
      </c>
      <c r="JA99" s="1035">
        <v>0.31553114599999998</v>
      </c>
      <c r="JB99" s="1035">
        <v>188.44021583340856</v>
      </c>
      <c r="JC99" s="1035">
        <v>46.366999999999997</v>
      </c>
      <c r="JD99" s="1035">
        <v>385.90664697940855</v>
      </c>
      <c r="JE99" s="1035">
        <v>210.10045082090076</v>
      </c>
      <c r="JF99" s="1035">
        <v>596.00709780030934</v>
      </c>
      <c r="JG99" s="1035"/>
      <c r="JH99" s="1035">
        <v>252.85521985552941</v>
      </c>
      <c r="JI99" s="1035">
        <v>223.97610285500008</v>
      </c>
      <c r="JJ99" s="1035">
        <v>28.879117000529405</v>
      </c>
      <c r="JK99" s="1035">
        <v>405.65033612377988</v>
      </c>
      <c r="JL99" s="1035">
        <v>-74.539909587000011</v>
      </c>
      <c r="JM99" s="1035">
        <v>-9.5139095870000077</v>
      </c>
      <c r="JN99" s="1035">
        <v>-65.025999999999996</v>
      </c>
      <c r="JO99" s="1035">
        <v>480.19024571077989</v>
      </c>
      <c r="JP99" s="1035">
        <v>2.394696057</v>
      </c>
      <c r="JQ99" s="1035">
        <v>477.79554965377991</v>
      </c>
      <c r="JR99" s="1035">
        <v>86.511224900000002</v>
      </c>
      <c r="JS99" s="1035">
        <v>-24.012766720999984</v>
      </c>
      <c r="JT99" s="1036">
        <v>596.00709780030923</v>
      </c>
      <c r="JU99" s="29">
        <v>26</v>
      </c>
      <c r="JV99" s="1037"/>
      <c r="JW99" s="1526">
        <f>VLOOKUP($IW99,Base_Mensuelle!$OF$68:$RM$679,HLOOKUP(JW$73,Base_Mensuelle!$PE$67:$QE$680,614,0))</f>
        <v>223.97610285500008</v>
      </c>
      <c r="JX99" s="1526">
        <f>VLOOKUP($IW99,Base_Mensuelle!$OF$68:$RM$679,HLOOKUP(JX$73,Base_Mensuelle!$PE$67:$QE$680,614,0))</f>
        <v>499.24788037500002</v>
      </c>
      <c r="JY99" s="1526">
        <f>VLOOKUP($IW99,Base_Mensuelle!$OF$68:$RM$679,HLOOKUP(JY$73,Base_Mensuelle!$PE$67:$QE$680,614,0))</f>
        <v>275.27177751999994</v>
      </c>
      <c r="JZ99" s="1526">
        <f>VLOOKUP($IW99,Base_Mensuelle!$OF$68:$RM$679,HLOOKUP(JZ$73,Base_Mensuelle!$PE$67:$QE$680,614,0))</f>
        <v>1.1100000000000001</v>
      </c>
      <c r="KA99" s="1526">
        <f>VLOOKUP($IW99,Base_Mensuelle!$OF$68:$RM$679,HLOOKUP(KA$73,Base_Mensuelle!$PE$67:$QE$680,614,0))</f>
        <v>-9.5139095870000077</v>
      </c>
      <c r="KB99" s="1526">
        <f>VLOOKUP($IW99,Base_Mensuelle!$OF$68:$RM$679,HLOOKUP(KB$73,Base_Mensuelle!$PE$67:$QE$680,614,0))</f>
        <v>35.130407481999995</v>
      </c>
      <c r="KC99" s="1526">
        <f>VLOOKUP($IW99,Base_Mensuelle!$OF$68:$RM$679,HLOOKUP(KC$73,Base_Mensuelle!$PE$67:$QE$680,614,0))</f>
        <v>44.644317069000003</v>
      </c>
      <c r="KD99" s="1526">
        <f>VLOOKUP($IW99,Base_Mensuelle!$OF$68:$RM$679,HLOOKUP(KD$73,Base_Mensuelle!$PE$67:$QE$680,614,0))</f>
        <v>2.394696057</v>
      </c>
      <c r="KE99" s="1526">
        <f>VLOOKUP($IW99,Base_Mensuelle!$OF$68:$RM$679,HLOOKUP(KE$73,Base_Mensuelle!$PE$67:$QE$680,614,0))</f>
        <v>0</v>
      </c>
      <c r="KF99" s="1526">
        <f>VLOOKUP($IW99,Base_Mensuelle!$OF$68:$RM$679,HLOOKUP(KF$73,Base_Mensuelle!$PE$67:$QE$680,614,0))</f>
        <v>0</v>
      </c>
      <c r="KG99" s="1526">
        <f>VLOOKUP($IW99,Base_Mensuelle!$OF$68:$RM$679,HLOOKUP(KG$73,Base_Mensuelle!$PE$67:$QE$680,614,0))</f>
        <v>7.0830800000000005E-4</v>
      </c>
      <c r="KH99" s="1526">
        <f>VLOOKUP($IW99,Base_Mensuelle!$OF$68:$RM$679,HLOOKUP(KH$73,Base_Mensuelle!$PE$67:$QE$680,614,0))</f>
        <v>2.3939877489999999</v>
      </c>
      <c r="KI99" s="1526">
        <f>VLOOKUP($IW99,Base_Mensuelle!$OF$68:$RM$679,HLOOKUP(KI$73,Base_Mensuelle!$PE$67:$QE$680,614,0))</f>
        <v>219.37172838699999</v>
      </c>
      <c r="KJ99" s="1526">
        <f>VLOOKUP($IW99,Base_Mensuelle!$OF$68:$RM$679,HLOOKUP(KJ$73,Base_Mensuelle!$PE$67:$QE$680,614,0))</f>
        <v>165.75389999999999</v>
      </c>
      <c r="KK99" s="1526">
        <f>VLOOKUP($IW99,Base_Mensuelle!$OF$68:$RM$679,HLOOKUP(KK$73,Base_Mensuelle!$PE$67:$QE$680,614,0))</f>
        <v>53.302297240999998</v>
      </c>
      <c r="KL99" s="1526">
        <f>VLOOKUP($IW99,Base_Mensuelle!$OF$68:$RM$679,HLOOKUP(KL$73,Base_Mensuelle!$PE$67:$QE$680,614,0))</f>
        <v>0.31553114599999998</v>
      </c>
      <c r="KM99" s="1526">
        <f>VLOOKUP($IW99,Base_Mensuelle!$OF$68:$RM$679,HLOOKUP(KM$73,Base_Mensuelle!$PE$67:$QE$680,614,0))</f>
        <v>0</v>
      </c>
      <c r="KN99" s="1526">
        <f>VLOOKUP($IW99,Base_Mensuelle!$OF$68:$RM$679,HLOOKUP(KN$73,Base_Mensuelle!$PE$67:$QE$680,614,0))</f>
        <v>0.33933605700000002</v>
      </c>
      <c r="KO99" s="1526">
        <f>VLOOKUP($IW99,Base_Mensuelle!$OF$68:$RM$679,HLOOKUP(KO$73,Base_Mensuelle!$PE$67:$QE$680,614,0))</f>
        <v>0</v>
      </c>
      <c r="KP99" s="1526">
        <f>VLOOKUP($IW99,Base_Mensuelle!$OF$68:$RM$679,HLOOKUP(KP$73,Base_Mensuelle!$PE$67:$QE$680,614,0))</f>
        <v>0</v>
      </c>
      <c r="KQ99" s="1526">
        <f>VLOOKUP($IW99,Base_Mensuelle!$OF$68:$RM$679,HLOOKUP(KQ$73,Base_Mensuelle!$PE$67:$QE$680,614,0))</f>
        <v>0.33933605700000002</v>
      </c>
      <c r="KR99" s="1526">
        <f>VLOOKUP($IW99,Base_Mensuelle!$OF$68:$RM$679,HLOOKUP(KR$73,Base_Mensuelle!$PE$67:$QE$680,614,0))</f>
        <v>0</v>
      </c>
      <c r="KS99" s="1526">
        <f>VLOOKUP($IW99,Base_Mensuelle!$OF$68:$RM$679,HLOOKUP(KS$73,Base_Mensuelle!$PE$67:$QE$680,614,0))</f>
        <v>0</v>
      </c>
      <c r="KT99" s="1526">
        <f>VLOOKUP($IW99,Base_Mensuelle!$OF$68:$RM$679,HLOOKUP(KT$73,Base_Mensuelle!$PE$67:$QE$680,614,0))</f>
        <v>0</v>
      </c>
      <c r="KU99" s="1526">
        <f>VLOOKUP($IW99,Base_Mensuelle!$OF$68:$RM$679,HLOOKUP(KU$73,Base_Mensuelle!$PE$67:$QE$680,614,0))</f>
        <v>-1.6951111569999999</v>
      </c>
      <c r="KV99" s="1526">
        <f>VLOOKUP($IW99,Base_Mensuelle!$OF$68:$RM$679,HLOOKUP(KV$73,Base_Mensuelle!$PE$67:$QE$680,614,0))</f>
        <v>-4.9063961999999919E-2</v>
      </c>
      <c r="KW99" s="1036"/>
      <c r="KX99" s="29">
        <v>26</v>
      </c>
      <c r="KY99" s="1037"/>
      <c r="KZ99" s="182">
        <f>VLOOKUP($IW99,Base_Mensuelle!$OF$68:$RM$679,HLOOKUP(KZ$73,Base_Mensuelle!$QG$67:$RM$680,614,0))</f>
        <v>28.879117000529405</v>
      </c>
      <c r="LA99" s="182">
        <f>VLOOKUP($IW99,Base_Mensuelle!$OF$68:$RM$679,HLOOKUP(LA$73,Base_Mensuelle!$QG$67:$RM$680,614,0))</f>
        <v>118.52145034622009</v>
      </c>
      <c r="LB99" s="182">
        <f>VLOOKUP($IW99,Base_Mensuelle!$OF$68:$RM$679,HLOOKUP(LB$73,Base_Mensuelle!$QG$67:$RM$680,614,0))</f>
        <v>-89.642333345690687</v>
      </c>
      <c r="LC99" s="182">
        <f>VLOOKUP($IW99,Base_Mensuelle!$OF$68:$RM$679,HLOOKUP(LC$73,Base_Mensuelle!$QG$67:$RM$680,614,0))</f>
        <v>61.476999999999997</v>
      </c>
      <c r="LD99" s="182">
        <f>VLOOKUP($IW99,Base_Mensuelle!$OF$68:$RM$679,HLOOKUP(LD$73,Base_Mensuelle!$QG$67:$RM$680,614,0))</f>
        <v>14.97</v>
      </c>
      <c r="LE99" s="182">
        <f>VLOOKUP($IW99,Base_Mensuelle!$OF$68:$RM$679,HLOOKUP(LE$73,Base_Mensuelle!$QG$67:$RM$680,614,0))</f>
        <v>46.506999999999998</v>
      </c>
      <c r="LF99" s="182">
        <f>VLOOKUP($IW99,Base_Mensuelle!$OF$68:$RM$679,HLOOKUP(LF$73,Base_Mensuelle!$QG$67:$RM$680,614,0))</f>
        <v>0</v>
      </c>
      <c r="LG99" s="182">
        <f>VLOOKUP($IW99,Base_Mensuelle!$OF$68:$RM$679,HLOOKUP(LG$73,Base_Mensuelle!$QG$67:$RM$680,614,0))</f>
        <v>-65.025999999999996</v>
      </c>
      <c r="LH99" s="182">
        <f>VLOOKUP($IW99,Base_Mensuelle!$OF$68:$RM$679,HLOOKUP(LH$73,Base_Mensuelle!$QG$67:$RM$680,614,0))</f>
        <v>16.521000000000001</v>
      </c>
      <c r="LI99" s="182">
        <f>VLOOKUP($IW99,Base_Mensuelle!$OF$68:$RM$679,HLOOKUP(LI$73,Base_Mensuelle!$QG$67:$RM$680,614,0))</f>
        <v>-81.546999999999997</v>
      </c>
      <c r="LJ99" s="182">
        <f>VLOOKUP($IW99,Base_Mensuelle!$OF$68:$RM$679,HLOOKUP(LJ$73,Base_Mensuelle!$QG$67:$RM$680,614,0))</f>
        <v>477.79554965377991</v>
      </c>
      <c r="LK99" s="182">
        <f>VLOOKUP($IW99,Base_Mensuelle!$OF$68:$RM$679,HLOOKUP(LK$73,Base_Mensuelle!$QG$67:$RM$680,614,0))</f>
        <v>6.8694557135440553</v>
      </c>
      <c r="LL99" s="182">
        <f>VLOOKUP($IW99,Base_Mensuelle!$OF$68:$RM$679,HLOOKUP(LL$73,Base_Mensuelle!$QG$67:$RM$680,614,0))</f>
        <v>0</v>
      </c>
      <c r="LM99" s="182">
        <f>VLOOKUP($IW99,Base_Mensuelle!$OF$68:$RM$679,HLOOKUP(LM$73,Base_Mensuelle!$QG$67:$RM$680,614,0))</f>
        <v>79.567999999999998</v>
      </c>
      <c r="LN99" s="182">
        <f>VLOOKUP($IW99,Base_Mensuelle!$OF$68:$RM$679,HLOOKUP(LN$73,Base_Mensuelle!$QG$67:$RM$680,614,0))</f>
        <v>391.35809394023585</v>
      </c>
      <c r="LO99" s="182">
        <f>VLOOKUP($IW99,Base_Mensuelle!$OF$68:$RM$679,HLOOKUP(LO$73,Base_Mensuelle!$QG$67:$RM$680,614,0))</f>
        <v>0</v>
      </c>
      <c r="LP99" s="182">
        <f>VLOOKUP($IW99,Base_Mensuelle!$OF$68:$RM$679,HLOOKUP(LP$73,Base_Mensuelle!$QG$67:$RM$680,614,0))</f>
        <v>0.57299999999999995</v>
      </c>
      <c r="LQ99" s="182">
        <f>VLOOKUP($IW99,Base_Mensuelle!$OF$68:$RM$679,HLOOKUP(LQ$73,Base_Mensuelle!$QG$67:$RM$680,614,0))</f>
        <v>188.44021583340853</v>
      </c>
      <c r="LR99" s="182">
        <f>VLOOKUP($IW99,Base_Mensuelle!$OF$68:$RM$679,HLOOKUP(LR$73,Base_Mensuelle!$QG$67:$RM$680,614,0))</f>
        <v>210.10045082090076</v>
      </c>
      <c r="LS99" s="182">
        <f>VLOOKUP($IW99,Base_Mensuelle!$OF$68:$RM$679,HLOOKUP(LS$73,Base_Mensuelle!$QG$67:$RM$680,614,0))</f>
        <v>0</v>
      </c>
      <c r="LT99" s="182">
        <f>VLOOKUP($IW99,Base_Mensuelle!$OF$68:$RM$679,HLOOKUP(LT$73,Base_Mensuelle!$QG$67:$RM$680,614,0))</f>
        <v>15.01</v>
      </c>
      <c r="LU99" s="182">
        <f>VLOOKUP($IW99,Base_Mensuelle!$OF$68:$RM$679,HLOOKUP(LU$73,Base_Mensuelle!$QG$67:$RM$680,614,0))</f>
        <v>0</v>
      </c>
      <c r="LV99" s="182">
        <f>VLOOKUP($IW99,Base_Mensuelle!$OF$68:$RM$679,HLOOKUP(LV$73,Base_Mensuelle!$QG$67:$RM$680,614,0))</f>
        <v>4.673</v>
      </c>
      <c r="LW99" s="182">
        <f>VLOOKUP($IW99,Base_Mensuelle!$OF$68:$RM$679,HLOOKUP(LW$73,Base_Mensuelle!$QG$67:$RM$680,614,0))</f>
        <v>0</v>
      </c>
      <c r="LX99" s="182">
        <f>VLOOKUP($IW99,Base_Mensuelle!$OF$68:$RM$679,HLOOKUP(LX$73,Base_Mensuelle!$QG$67:$RM$680,614,0))</f>
        <v>0</v>
      </c>
      <c r="LY99" s="182">
        <f>VLOOKUP($IW99,Base_Mensuelle!$OF$68:$RM$679,HLOOKUP(LY$73,Base_Mensuelle!$QG$67:$RM$680,614,0))</f>
        <v>68.183999999999997</v>
      </c>
      <c r="LZ99" s="182">
        <f>VLOOKUP($IW99,Base_Mensuelle!$OF$68:$RM$679,HLOOKUP(LZ$73,Base_Mensuelle!$QG$67:$RM$680,614,0))</f>
        <v>16.14500000000001</v>
      </c>
      <c r="MA99" s="182">
        <f>VLOOKUP($IW99,Base_Mensuelle!$OF$68:$RM$679,HLOOKUP(MA$73,Base_Mensuelle!$QG$67:$RM$680,614,0))</f>
        <v>0</v>
      </c>
      <c r="MB99" s="182">
        <f>VLOOKUP($IW99,Base_Mensuelle!$OF$68:$RM$679,HLOOKUP(MB$73,Base_Mensuelle!$QG$67:$RM$680,614,0))</f>
        <v>0</v>
      </c>
      <c r="MC99" s="182">
        <f>VLOOKUP($IW99,Base_Mensuelle!$OF$68:$RM$679,HLOOKUP(MC$73,Base_Mensuelle!$QG$67:$RM$680,614,0))</f>
        <v>0</v>
      </c>
      <c r="MD99" s="182">
        <f>VLOOKUP($IW99,Base_Mensuelle!$OF$68:$RM$679,HLOOKUP(MD$73,Base_Mensuelle!$QG$67:$RM$680,614,0))</f>
        <v>0</v>
      </c>
      <c r="ME99" s="182">
        <f>VLOOKUP($IW99,Base_Mensuelle!$OF$68:$RM$679,HLOOKUP(ME$73,Base_Mensuelle!$QG$67:$RM$680,614,0))</f>
        <v>0</v>
      </c>
      <c r="MF99" s="182"/>
      <c r="MG99" s="182"/>
      <c r="MH99" s="290"/>
      <c r="MI99" s="29">
        <v>26</v>
      </c>
      <c r="MJ99" s="29" t="str">
        <f t="shared" si="82"/>
        <v>Trimestre 22006</v>
      </c>
      <c r="MK99" s="848">
        <v>38869</v>
      </c>
      <c r="ML99" s="29"/>
      <c r="MM99" s="29"/>
      <c r="MN99" s="29"/>
      <c r="MO99" s="29"/>
      <c r="MP99" s="29"/>
      <c r="MQ99" s="29"/>
      <c r="MR99" s="29"/>
      <c r="MS99" s="29"/>
      <c r="MT99" s="29"/>
      <c r="MU99" s="29"/>
      <c r="MV99" s="29"/>
      <c r="MW99" s="29"/>
      <c r="MX99" s="29"/>
      <c r="MY99" s="29"/>
      <c r="MZ99" s="29"/>
      <c r="NA99" s="29"/>
      <c r="NB99" s="29"/>
      <c r="NC99" s="29"/>
      <c r="ND99" s="29"/>
      <c r="NE99" s="29"/>
      <c r="NF99" s="29"/>
      <c r="NG99" s="29"/>
      <c r="NH99" s="29"/>
      <c r="NI99" s="29"/>
      <c r="NJ99" s="29"/>
      <c r="NK99" s="29"/>
      <c r="NL99" s="29">
        <v>26</v>
      </c>
    </row>
    <row r="100" spans="1:376">
      <c r="A100" s="41">
        <f t="shared" si="80"/>
        <v>2006</v>
      </c>
      <c r="B100" s="785">
        <v>38961</v>
      </c>
      <c r="C100" s="19"/>
      <c r="D100" s="93"/>
      <c r="E100" s="93"/>
      <c r="F100" s="93"/>
      <c r="G100" s="93"/>
      <c r="H100" s="93"/>
      <c r="I100" s="93"/>
      <c r="J100" s="93"/>
      <c r="K100" s="93"/>
      <c r="L100" s="93"/>
      <c r="M100" s="20"/>
      <c r="N100" s="25">
        <v>27</v>
      </c>
      <c r="O100" s="889">
        <f t="shared" si="79"/>
        <v>2006</v>
      </c>
      <c r="P100" s="29" t="str">
        <f t="shared" si="81"/>
        <v>Trimestre 32006</v>
      </c>
      <c r="Q100" s="848">
        <v>38961</v>
      </c>
      <c r="R100" s="733"/>
      <c r="S100" s="570"/>
      <c r="T100" s="570"/>
      <c r="U100" s="734"/>
      <c r="V100" s="25">
        <v>27</v>
      </c>
      <c r="W100" s="19"/>
      <c r="X100" s="93"/>
      <c r="Y100" s="93"/>
      <c r="Z100" s="93"/>
      <c r="AA100" s="93"/>
      <c r="AB100" s="93"/>
      <c r="AC100" s="93"/>
      <c r="AD100" s="93"/>
      <c r="AE100" s="20"/>
      <c r="AF100" s="25">
        <v>27</v>
      </c>
      <c r="AG100" s="19"/>
      <c r="AH100" s="93"/>
      <c r="AI100" s="93"/>
      <c r="AJ100" s="93"/>
      <c r="AK100" s="93"/>
      <c r="AL100" s="93"/>
      <c r="AM100" s="93"/>
      <c r="AN100" s="20"/>
      <c r="AO100" s="19"/>
      <c r="AP100" s="93"/>
      <c r="AQ100" s="93"/>
      <c r="AR100" s="93"/>
      <c r="AS100" s="20"/>
      <c r="AT100" s="19"/>
      <c r="AU100" s="93"/>
      <c r="AV100" s="20"/>
      <c r="AW100" s="19"/>
      <c r="AX100" s="93"/>
      <c r="AY100" s="93"/>
      <c r="AZ100" s="93"/>
      <c r="BA100" s="93"/>
      <c r="BB100" s="93"/>
      <c r="BC100" s="20"/>
      <c r="BD100" s="19"/>
      <c r="BE100" s="93"/>
      <c r="BF100" s="93"/>
      <c r="BG100" s="93"/>
      <c r="BH100" s="93"/>
      <c r="BI100" s="93"/>
      <c r="BJ100" s="93"/>
      <c r="BK100" s="20"/>
      <c r="BL100" s="19"/>
      <c r="BM100" s="93"/>
      <c r="BN100" s="93"/>
      <c r="BO100" s="93"/>
      <c r="BP100" s="93"/>
      <c r="BQ100" s="20"/>
      <c r="BR100" s="19"/>
      <c r="BS100" s="93"/>
      <c r="BT100" s="93"/>
      <c r="BU100" s="20"/>
      <c r="BV100" s="19"/>
      <c r="BW100" s="93"/>
      <c r="BX100" s="93"/>
      <c r="BY100" s="93"/>
      <c r="BZ100" s="93"/>
      <c r="CA100" s="93"/>
      <c r="CB100" s="20"/>
      <c r="CC100" s="25">
        <v>27</v>
      </c>
      <c r="CD100" s="19"/>
      <c r="CE100" s="93"/>
      <c r="CF100" s="20"/>
      <c r="CG100" s="25">
        <v>27</v>
      </c>
      <c r="CH100" s="19"/>
      <c r="CI100" s="93"/>
      <c r="CJ100" s="93"/>
      <c r="CK100" s="93"/>
      <c r="CL100" s="93"/>
      <c r="CM100" s="93"/>
      <c r="CN100" s="93"/>
      <c r="CO100" s="93"/>
      <c r="CP100" s="93"/>
      <c r="CQ100" s="93"/>
      <c r="CR100" s="214"/>
      <c r="CS100" s="20"/>
      <c r="CT100" s="25">
        <v>27</v>
      </c>
      <c r="CU100" s="19"/>
      <c r="CV100" s="93"/>
      <c r="CW100" s="93"/>
      <c r="CX100" s="93"/>
      <c r="CY100" s="93"/>
      <c r="CZ100" s="93"/>
      <c r="DA100" s="93"/>
      <c r="DB100" s="20"/>
      <c r="DC100" s="25">
        <v>27</v>
      </c>
      <c r="DD100" s="785">
        <v>38961</v>
      </c>
      <c r="DE100" s="19"/>
      <c r="DF100" s="20"/>
      <c r="DG100" s="25">
        <v>27</v>
      </c>
      <c r="DH100" s="19"/>
      <c r="DI100" s="20"/>
      <c r="DJ100" s="25">
        <v>27</v>
      </c>
      <c r="DK100" s="19"/>
      <c r="DL100" s="20"/>
      <c r="DM100" s="19"/>
      <c r="DN100" s="20"/>
      <c r="DO100" s="25">
        <v>27</v>
      </c>
      <c r="DP100" s="19"/>
      <c r="DQ100" s="93"/>
      <c r="DR100" s="20"/>
      <c r="DS100" s="25">
        <v>27</v>
      </c>
      <c r="DT100" s="19"/>
      <c r="DU100" s="93"/>
      <c r="DV100" s="20"/>
      <c r="DW100" s="25">
        <v>27</v>
      </c>
      <c r="DX100" s="19"/>
      <c r="DY100" s="20"/>
      <c r="DZ100" s="25">
        <v>27</v>
      </c>
      <c r="EA100" s="19"/>
      <c r="EB100" s="93"/>
      <c r="EC100" s="93"/>
      <c r="ED100" s="93"/>
      <c r="EE100" s="20"/>
      <c r="EF100" s="25">
        <v>27</v>
      </c>
      <c r="EG100" s="19"/>
      <c r="EH100" s="93"/>
      <c r="EI100" s="93"/>
      <c r="EJ100" s="93"/>
      <c r="EK100" s="20"/>
      <c r="EL100" s="25">
        <v>27</v>
      </c>
      <c r="EM100" s="19"/>
      <c r="EN100" s="93"/>
      <c r="EO100" s="93"/>
      <c r="EP100" s="93"/>
      <c r="EQ100" s="93"/>
      <c r="ER100" s="93"/>
      <c r="ES100" s="93"/>
      <c r="ET100" s="93"/>
      <c r="EU100" s="93"/>
      <c r="EV100" s="20"/>
      <c r="EW100" s="25">
        <v>27</v>
      </c>
      <c r="EX100" s="915"/>
      <c r="EY100" s="916"/>
      <c r="EZ100" s="916"/>
      <c r="FA100" s="916"/>
      <c r="FB100" s="916"/>
      <c r="FC100" s="916"/>
      <c r="FD100" s="916"/>
      <c r="FE100" s="916"/>
      <c r="FF100" s="916"/>
      <c r="FG100" s="917"/>
      <c r="FH100" s="25">
        <v>27</v>
      </c>
      <c r="FI100" s="848">
        <v>38961</v>
      </c>
      <c r="FJ100" s="19"/>
      <c r="FK100" s="93"/>
      <c r="FL100" s="20"/>
      <c r="FM100" s="25">
        <v>27</v>
      </c>
      <c r="FN100" s="19"/>
      <c r="FO100" s="93"/>
      <c r="FP100" s="93"/>
      <c r="FQ100" s="93"/>
      <c r="FR100" s="93"/>
      <c r="FS100" s="93"/>
      <c r="FT100" s="93"/>
      <c r="FU100" s="93"/>
      <c r="FV100" s="93"/>
      <c r="FW100" s="917"/>
      <c r="FX100" s="25">
        <v>27</v>
      </c>
      <c r="FY100" s="916"/>
      <c r="FZ100" s="916"/>
      <c r="GA100" s="916"/>
      <c r="GB100" s="916"/>
      <c r="GC100" s="916"/>
      <c r="GD100" s="916"/>
      <c r="GE100" s="916"/>
      <c r="GF100" s="916"/>
      <c r="GG100" s="916"/>
      <c r="GH100" s="916"/>
      <c r="GI100" s="917"/>
      <c r="GJ100" s="25">
        <v>27</v>
      </c>
      <c r="GK100" s="19"/>
      <c r="GL100" s="20"/>
      <c r="GM100" s="25">
        <v>27</v>
      </c>
      <c r="GN100" s="19"/>
      <c r="GO100" s="20"/>
      <c r="GP100" s="25">
        <v>27</v>
      </c>
      <c r="GQ100" s="19"/>
      <c r="GR100" s="20"/>
      <c r="GS100" s="25">
        <v>27</v>
      </c>
      <c r="GT100" s="848">
        <v>38961</v>
      </c>
      <c r="GU100" s="19"/>
      <c r="GV100" s="93"/>
      <c r="GW100" s="93"/>
      <c r="GX100" s="93"/>
      <c r="GY100" s="93"/>
      <c r="GZ100" s="93"/>
      <c r="HA100" s="93"/>
      <c r="HB100" s="93"/>
      <c r="HC100" s="93"/>
      <c r="HD100" s="93"/>
      <c r="HE100" s="93"/>
      <c r="HF100" s="93"/>
      <c r="HG100" s="93"/>
      <c r="HH100" s="93"/>
      <c r="HI100" s="93"/>
      <c r="HJ100" s="93"/>
      <c r="HK100" s="93"/>
      <c r="HL100" s="93"/>
      <c r="HM100" s="93"/>
      <c r="HN100" s="93"/>
      <c r="HO100" s="93"/>
      <c r="HP100" s="93"/>
      <c r="HQ100" s="93"/>
      <c r="HR100" s="93"/>
      <c r="HS100" s="93"/>
      <c r="HT100" s="93"/>
      <c r="HU100" s="93"/>
      <c r="HV100" s="93"/>
      <c r="HW100" s="93"/>
      <c r="HX100" s="93"/>
      <c r="HY100" s="93"/>
      <c r="HZ100" s="93"/>
      <c r="IA100" s="93"/>
      <c r="IB100" s="93"/>
      <c r="IC100" s="93"/>
      <c r="ID100" s="93"/>
      <c r="IE100" s="93"/>
      <c r="IF100" s="93"/>
      <c r="IG100" s="93"/>
      <c r="IH100" s="93"/>
      <c r="II100" s="93"/>
      <c r="IJ100" s="93"/>
      <c r="IK100" s="93"/>
      <c r="IL100" s="93"/>
      <c r="IM100" s="93"/>
      <c r="IN100" s="93"/>
      <c r="IO100" s="93"/>
      <c r="IP100" s="93"/>
      <c r="IQ100" s="93"/>
      <c r="IR100" s="93"/>
      <c r="IS100" s="93"/>
      <c r="IT100" s="93"/>
      <c r="IU100" s="93"/>
      <c r="IV100" s="93">
        <v>27</v>
      </c>
      <c r="IW100" s="848">
        <v>38961</v>
      </c>
      <c r="IX100" s="1035"/>
      <c r="IY100" s="1035">
        <v>133.0951</v>
      </c>
      <c r="IZ100" s="1035">
        <v>148.84110000000001</v>
      </c>
      <c r="JA100" s="1035">
        <v>0.308445364</v>
      </c>
      <c r="JB100" s="1035">
        <v>197.63767618670983</v>
      </c>
      <c r="JC100" s="1035">
        <v>48.4039</v>
      </c>
      <c r="JD100" s="1035">
        <v>379.44512155070981</v>
      </c>
      <c r="JE100" s="1035">
        <v>233.92120166980939</v>
      </c>
      <c r="JF100" s="1035">
        <v>613.36632322051923</v>
      </c>
      <c r="JG100" s="1035"/>
      <c r="JH100" s="1035">
        <v>248.43609880402812</v>
      </c>
      <c r="JI100" s="1035">
        <v>221.22046911500001</v>
      </c>
      <c r="JJ100" s="1035">
        <v>27.215629689028106</v>
      </c>
      <c r="JK100" s="1035">
        <v>458.84836192149118</v>
      </c>
      <c r="JL100" s="1035">
        <v>-106.914753276</v>
      </c>
      <c r="JM100" s="1035">
        <v>-29.956753276000008</v>
      </c>
      <c r="JN100" s="1035">
        <v>-76.957999999999998</v>
      </c>
      <c r="JO100" s="1035">
        <v>565.76311519749117</v>
      </c>
      <c r="JP100" s="1035">
        <v>2.4438670300000003</v>
      </c>
      <c r="JQ100" s="1035">
        <v>563.3192481674912</v>
      </c>
      <c r="JR100" s="1035">
        <v>103.72845494399998</v>
      </c>
      <c r="JS100" s="1035">
        <v>-9.8103174390000092</v>
      </c>
      <c r="JT100" s="1036">
        <v>613.36632322051923</v>
      </c>
      <c r="JU100" s="29">
        <v>27</v>
      </c>
      <c r="JV100" s="1037"/>
      <c r="JW100" s="1526">
        <f>VLOOKUP($IW100,Base_Mensuelle!$OF$68:$RM$679,HLOOKUP(JW$73,Base_Mensuelle!$PE$67:$QE$680,614,0))</f>
        <v>221.22046911500001</v>
      </c>
      <c r="JX100" s="1526">
        <f>VLOOKUP($IW100,Base_Mensuelle!$OF$68:$RM$679,HLOOKUP(JX$73,Base_Mensuelle!$PE$67:$QE$680,614,0))</f>
        <v>503.85066398300006</v>
      </c>
      <c r="JY100" s="1526">
        <f>VLOOKUP($IW100,Base_Mensuelle!$OF$68:$RM$679,HLOOKUP(JY$73,Base_Mensuelle!$PE$67:$QE$680,614,0))</f>
        <v>282.63019486800005</v>
      </c>
      <c r="JZ100" s="1526">
        <f>VLOOKUP($IW100,Base_Mensuelle!$OF$68:$RM$679,HLOOKUP(JZ$73,Base_Mensuelle!$PE$67:$QE$680,614,0))</f>
        <v>1.1100000000000001</v>
      </c>
      <c r="KA100" s="1526">
        <f>VLOOKUP($IW100,Base_Mensuelle!$OF$68:$RM$679,HLOOKUP(KA$73,Base_Mensuelle!$PE$67:$QE$680,614,0))</f>
        <v>-29.956753276000008</v>
      </c>
      <c r="KB100" s="1526">
        <f>VLOOKUP($IW100,Base_Mensuelle!$OF$68:$RM$679,HLOOKUP(KB$73,Base_Mensuelle!$PE$67:$QE$680,614,0))</f>
        <v>41.600312017</v>
      </c>
      <c r="KC100" s="1526">
        <f>VLOOKUP($IW100,Base_Mensuelle!$OF$68:$RM$679,HLOOKUP(KC$73,Base_Mensuelle!$PE$67:$QE$680,614,0))</f>
        <v>71.557065293000008</v>
      </c>
      <c r="KD100" s="1526">
        <f>VLOOKUP($IW100,Base_Mensuelle!$OF$68:$RM$679,HLOOKUP(KD$73,Base_Mensuelle!$PE$67:$QE$680,614,0))</f>
        <v>2.4438670300000003</v>
      </c>
      <c r="KE100" s="1526">
        <f>VLOOKUP($IW100,Base_Mensuelle!$OF$68:$RM$679,HLOOKUP(KE$73,Base_Mensuelle!$PE$67:$QE$680,614,0))</f>
        <v>0</v>
      </c>
      <c r="KF100" s="1526">
        <f>VLOOKUP($IW100,Base_Mensuelle!$OF$68:$RM$679,HLOOKUP(KF$73,Base_Mensuelle!$PE$67:$QE$680,614,0))</f>
        <v>0</v>
      </c>
      <c r="KG100" s="1526">
        <f>VLOOKUP($IW100,Base_Mensuelle!$OF$68:$RM$679,HLOOKUP(KG$73,Base_Mensuelle!$PE$67:$QE$680,614,0))</f>
        <v>1.8220500000000001E-4</v>
      </c>
      <c r="KH100" s="1526">
        <f>VLOOKUP($IW100,Base_Mensuelle!$OF$68:$RM$679,HLOOKUP(KH$73,Base_Mensuelle!$PE$67:$QE$680,614,0))</f>
        <v>2.4436848250000001</v>
      </c>
      <c r="KI100" s="1526">
        <f>VLOOKUP($IW100,Base_Mensuelle!$OF$68:$RM$679,HLOOKUP(KI$73,Base_Mensuelle!$PE$67:$QE$680,614,0))</f>
        <v>196.84448415900002</v>
      </c>
      <c r="KJ100" s="1526">
        <f>VLOOKUP($IW100,Base_Mensuelle!$OF$68:$RM$679,HLOOKUP(KJ$73,Base_Mensuelle!$PE$67:$QE$680,614,0))</f>
        <v>148.84110000000001</v>
      </c>
      <c r="KK100" s="1526">
        <f>VLOOKUP($IW100,Base_Mensuelle!$OF$68:$RM$679,HLOOKUP(KK$73,Base_Mensuelle!$PE$67:$QE$680,614,0))</f>
        <v>47.694938794999999</v>
      </c>
      <c r="KL100" s="1526">
        <f>VLOOKUP($IW100,Base_Mensuelle!$OF$68:$RM$679,HLOOKUP(KL$73,Base_Mensuelle!$PE$67:$QE$680,614,0))</f>
        <v>0.308445364</v>
      </c>
      <c r="KM100" s="1526">
        <f>VLOOKUP($IW100,Base_Mensuelle!$OF$68:$RM$679,HLOOKUP(KM$73,Base_Mensuelle!$PE$67:$QE$680,614,0))</f>
        <v>0</v>
      </c>
      <c r="KN100" s="1526">
        <f>VLOOKUP($IW100,Base_Mensuelle!$OF$68:$RM$679,HLOOKUP(KN$73,Base_Mensuelle!$PE$67:$QE$680,614,0))</f>
        <v>0.34865487000000001</v>
      </c>
      <c r="KO100" s="1526">
        <f>VLOOKUP($IW100,Base_Mensuelle!$OF$68:$RM$679,HLOOKUP(KO$73,Base_Mensuelle!$PE$67:$QE$680,614,0))</f>
        <v>0</v>
      </c>
      <c r="KP100" s="1526">
        <f>VLOOKUP($IW100,Base_Mensuelle!$OF$68:$RM$679,HLOOKUP(KP$73,Base_Mensuelle!$PE$67:$QE$680,614,0))</f>
        <v>0</v>
      </c>
      <c r="KQ100" s="1526">
        <f>VLOOKUP($IW100,Base_Mensuelle!$OF$68:$RM$679,HLOOKUP(KQ$73,Base_Mensuelle!$PE$67:$QE$680,614,0))</f>
        <v>0.34865487000000001</v>
      </c>
      <c r="KR100" s="1526">
        <f>VLOOKUP($IW100,Base_Mensuelle!$OF$68:$RM$679,HLOOKUP(KR$73,Base_Mensuelle!$PE$67:$QE$680,614,0))</f>
        <v>0</v>
      </c>
      <c r="KS100" s="1526">
        <f>VLOOKUP($IW100,Base_Mensuelle!$OF$68:$RM$679,HLOOKUP(KS$73,Base_Mensuelle!$PE$67:$QE$680,614,0))</f>
        <v>0</v>
      </c>
      <c r="KT100" s="1526">
        <f>VLOOKUP($IW100,Base_Mensuelle!$OF$68:$RM$679,HLOOKUP(KT$73,Base_Mensuelle!$PE$67:$QE$680,614,0))</f>
        <v>0</v>
      </c>
      <c r="KU100" s="1526">
        <f>VLOOKUP($IW100,Base_Mensuelle!$OF$68:$RM$679,HLOOKUP(KU$73,Base_Mensuelle!$PE$67:$QE$680,614,0))</f>
        <v>-2.517199926</v>
      </c>
      <c r="KV100" s="1526">
        <f>VLOOKUP($IW100,Base_Mensuelle!$OF$68:$RM$679,HLOOKUP(KV$73,Base_Mensuelle!$PE$67:$QE$680,614,0))</f>
        <v>0.1416437659999929</v>
      </c>
      <c r="KW100" s="1036"/>
      <c r="KX100" s="29">
        <v>27</v>
      </c>
      <c r="KY100" s="1037"/>
      <c r="KZ100" s="182">
        <f>VLOOKUP($IW100,Base_Mensuelle!$OF$68:$RM$679,HLOOKUP(KZ$73,Base_Mensuelle!$QG$67:$RM$680,614,0))</f>
        <v>27.215629689028106</v>
      </c>
      <c r="LA100" s="182">
        <f>VLOOKUP($IW100,Base_Mensuelle!$OF$68:$RM$679,HLOOKUP(LA$73,Base_Mensuelle!$QG$67:$RM$680,614,0))</f>
        <v>126.66975183250887</v>
      </c>
      <c r="LB100" s="182">
        <f>VLOOKUP($IW100,Base_Mensuelle!$OF$68:$RM$679,HLOOKUP(LB$73,Base_Mensuelle!$QG$67:$RM$680,614,0))</f>
        <v>-99.45412214348076</v>
      </c>
      <c r="LC100" s="182">
        <f>VLOOKUP($IW100,Base_Mensuelle!$OF$68:$RM$679,HLOOKUP(LC$73,Base_Mensuelle!$QG$67:$RM$680,614,0))</f>
        <v>61.673000000000002</v>
      </c>
      <c r="LD100" s="182">
        <f>VLOOKUP($IW100,Base_Mensuelle!$OF$68:$RM$679,HLOOKUP(LD$73,Base_Mensuelle!$QG$67:$RM$680,614,0))</f>
        <v>15.746</v>
      </c>
      <c r="LE100" s="182">
        <f>VLOOKUP($IW100,Base_Mensuelle!$OF$68:$RM$679,HLOOKUP(LE$73,Base_Mensuelle!$QG$67:$RM$680,614,0))</f>
        <v>45.927</v>
      </c>
      <c r="LF100" s="182">
        <f>VLOOKUP($IW100,Base_Mensuelle!$OF$68:$RM$679,HLOOKUP(LF$73,Base_Mensuelle!$QG$67:$RM$680,614,0))</f>
        <v>0</v>
      </c>
      <c r="LG100" s="182">
        <f>VLOOKUP($IW100,Base_Mensuelle!$OF$68:$RM$679,HLOOKUP(LG$73,Base_Mensuelle!$QG$67:$RM$680,614,0))</f>
        <v>-76.957999999999998</v>
      </c>
      <c r="LH100" s="182">
        <f>VLOOKUP($IW100,Base_Mensuelle!$OF$68:$RM$679,HLOOKUP(LH$73,Base_Mensuelle!$QG$67:$RM$680,614,0))</f>
        <v>16.390999999999998</v>
      </c>
      <c r="LI100" s="182">
        <f>VLOOKUP($IW100,Base_Mensuelle!$OF$68:$RM$679,HLOOKUP(LI$73,Base_Mensuelle!$QG$67:$RM$680,614,0))</f>
        <v>-93.349000000000004</v>
      </c>
      <c r="LJ100" s="182">
        <f>VLOOKUP($IW100,Base_Mensuelle!$OF$68:$RM$679,HLOOKUP(LJ$73,Base_Mensuelle!$QG$67:$RM$680,614,0))</f>
        <v>563.3192481674912</v>
      </c>
      <c r="LK100" s="182">
        <f>VLOOKUP($IW100,Base_Mensuelle!$OF$68:$RM$679,HLOOKUP(LK$73,Base_Mensuelle!$QG$67:$RM$680,614,0))</f>
        <v>8.9049165924938425</v>
      </c>
      <c r="LL100" s="182">
        <f>VLOOKUP($IW100,Base_Mensuelle!$OF$68:$RM$679,HLOOKUP(LL$73,Base_Mensuelle!$QG$67:$RM$680,614,0))</f>
        <v>0</v>
      </c>
      <c r="LM100" s="182">
        <f>VLOOKUP($IW100,Base_Mensuelle!$OF$68:$RM$679,HLOOKUP(LM$73,Base_Mensuelle!$QG$67:$RM$680,614,0))</f>
        <v>77.188000000000002</v>
      </c>
      <c r="LN100" s="182">
        <f>VLOOKUP($IW100,Base_Mensuelle!$OF$68:$RM$679,HLOOKUP(LN$73,Base_Mensuelle!$QG$67:$RM$680,614,0))</f>
        <v>477.22633157499729</v>
      </c>
      <c r="LO100" s="182">
        <f>VLOOKUP($IW100,Base_Mensuelle!$OF$68:$RM$679,HLOOKUP(LO$73,Base_Mensuelle!$QG$67:$RM$680,614,0))</f>
        <v>0</v>
      </c>
      <c r="LP100" s="182">
        <f>VLOOKUP($IW100,Base_Mensuelle!$OF$68:$RM$679,HLOOKUP(LP$73,Base_Mensuelle!$QG$67:$RM$680,614,0))</f>
        <v>0.48699999999999999</v>
      </c>
      <c r="LQ100" s="182">
        <f>VLOOKUP($IW100,Base_Mensuelle!$OF$68:$RM$679,HLOOKUP(LQ$73,Base_Mensuelle!$QG$67:$RM$680,614,0))</f>
        <v>197.63767618670983</v>
      </c>
      <c r="LR100" s="182">
        <f>VLOOKUP($IW100,Base_Mensuelle!$OF$68:$RM$679,HLOOKUP(LR$73,Base_Mensuelle!$QG$67:$RM$680,614,0))</f>
        <v>233.92120166980942</v>
      </c>
      <c r="LS100" s="182">
        <f>VLOOKUP($IW100,Base_Mensuelle!$OF$68:$RM$679,HLOOKUP(LS$73,Base_Mensuelle!$QG$67:$RM$680,614,0))</f>
        <v>0</v>
      </c>
      <c r="LT100" s="182">
        <f>VLOOKUP($IW100,Base_Mensuelle!$OF$68:$RM$679,HLOOKUP(LT$73,Base_Mensuelle!$QG$67:$RM$680,614,0))</f>
        <v>16.977999999999998</v>
      </c>
      <c r="LU100" s="182">
        <f>VLOOKUP($IW100,Base_Mensuelle!$OF$68:$RM$679,HLOOKUP(LU$73,Base_Mensuelle!$QG$67:$RM$680,614,0))</f>
        <v>0</v>
      </c>
      <c r="LV100" s="182">
        <f>VLOOKUP($IW100,Base_Mensuelle!$OF$68:$RM$679,HLOOKUP(LV$73,Base_Mensuelle!$QG$67:$RM$680,614,0))</f>
        <v>3.5649999999999999</v>
      </c>
      <c r="LW100" s="182">
        <f>VLOOKUP($IW100,Base_Mensuelle!$OF$68:$RM$679,HLOOKUP(LW$73,Base_Mensuelle!$QG$67:$RM$680,614,0))</f>
        <v>0</v>
      </c>
      <c r="LX100" s="182">
        <f>VLOOKUP($IW100,Base_Mensuelle!$OF$68:$RM$679,HLOOKUP(LX$73,Base_Mensuelle!$QG$67:$RM$680,614,0))</f>
        <v>0</v>
      </c>
      <c r="LY100" s="182">
        <f>VLOOKUP($IW100,Base_Mensuelle!$OF$68:$RM$679,HLOOKUP(LY$73,Base_Mensuelle!$QG$67:$RM$680,614,0))</f>
        <v>85.353999999999985</v>
      </c>
      <c r="LZ100" s="182">
        <f>VLOOKUP($IW100,Base_Mensuelle!$OF$68:$RM$679,HLOOKUP(LZ$73,Base_Mensuelle!$QG$67:$RM$680,614,0))</f>
        <v>37.306999999999995</v>
      </c>
      <c r="MA100" s="182">
        <f>VLOOKUP($IW100,Base_Mensuelle!$OF$68:$RM$679,HLOOKUP(MA$73,Base_Mensuelle!$QG$67:$RM$680,614,0))</f>
        <v>0</v>
      </c>
      <c r="MB100" s="182">
        <f>VLOOKUP($IW100,Base_Mensuelle!$OF$68:$RM$679,HLOOKUP(MB$73,Base_Mensuelle!$QG$67:$RM$680,614,0))</f>
        <v>0</v>
      </c>
      <c r="MC100" s="182">
        <f>VLOOKUP($IW100,Base_Mensuelle!$OF$68:$RM$679,HLOOKUP(MC$73,Base_Mensuelle!$QG$67:$RM$680,614,0))</f>
        <v>0</v>
      </c>
      <c r="MD100" s="182">
        <f>VLOOKUP($IW100,Base_Mensuelle!$OF$68:$RM$679,HLOOKUP(MD$73,Base_Mensuelle!$QG$67:$RM$680,614,0))</f>
        <v>0</v>
      </c>
      <c r="ME100" s="182">
        <f>VLOOKUP($IW100,Base_Mensuelle!$OF$68:$RM$679,HLOOKUP(ME$73,Base_Mensuelle!$QG$67:$RM$680,614,0))</f>
        <v>0</v>
      </c>
      <c r="MF100" s="182"/>
      <c r="MG100" s="182"/>
      <c r="MH100" s="290"/>
      <c r="MI100" s="29">
        <v>27</v>
      </c>
      <c r="MJ100" s="29" t="str">
        <f t="shared" si="82"/>
        <v>Trimestre 32006</v>
      </c>
      <c r="MK100" s="848">
        <v>38961</v>
      </c>
      <c r="ML100" s="29"/>
      <c r="MM100" s="29"/>
      <c r="MN100" s="29"/>
      <c r="MO100" s="29"/>
      <c r="MP100" s="29"/>
      <c r="MQ100" s="29"/>
      <c r="MR100" s="29"/>
      <c r="MS100" s="29"/>
      <c r="MT100" s="29"/>
      <c r="MU100" s="29"/>
      <c r="MV100" s="29"/>
      <c r="MW100" s="29"/>
      <c r="MX100" s="29"/>
      <c r="MY100" s="29"/>
      <c r="MZ100" s="29"/>
      <c r="NA100" s="29"/>
      <c r="NB100" s="29"/>
      <c r="NC100" s="29"/>
      <c r="ND100" s="29"/>
      <c r="NE100" s="29"/>
      <c r="NF100" s="29"/>
      <c r="NG100" s="29"/>
      <c r="NH100" s="29"/>
      <c r="NI100" s="29"/>
      <c r="NJ100" s="29"/>
      <c r="NK100" s="29"/>
      <c r="NL100" s="29">
        <v>27</v>
      </c>
    </row>
    <row r="101" spans="1:376">
      <c r="A101" s="41">
        <f t="shared" si="80"/>
        <v>2006</v>
      </c>
      <c r="B101" s="785">
        <v>39052</v>
      </c>
      <c r="C101" s="19"/>
      <c r="D101" s="93"/>
      <c r="E101" s="93"/>
      <c r="F101" s="93"/>
      <c r="G101" s="93"/>
      <c r="H101" s="93"/>
      <c r="I101" s="93"/>
      <c r="J101" s="93"/>
      <c r="K101" s="93"/>
      <c r="L101" s="93"/>
      <c r="M101" s="20"/>
      <c r="N101" s="25">
        <v>28</v>
      </c>
      <c r="O101" s="889">
        <f t="shared" si="79"/>
        <v>2006</v>
      </c>
      <c r="P101" s="29" t="str">
        <f t="shared" si="81"/>
        <v>Trimestre 42006</v>
      </c>
      <c r="Q101" s="848">
        <v>39052</v>
      </c>
      <c r="R101" s="733"/>
      <c r="S101" s="570"/>
      <c r="T101" s="570"/>
      <c r="U101" s="734"/>
      <c r="V101" s="25">
        <v>28</v>
      </c>
      <c r="W101" s="19"/>
      <c r="X101" s="93"/>
      <c r="Y101" s="93"/>
      <c r="Z101" s="93"/>
      <c r="AA101" s="93"/>
      <c r="AB101" s="93"/>
      <c r="AC101" s="93"/>
      <c r="AD101" s="93"/>
      <c r="AE101" s="20"/>
      <c r="AF101" s="25">
        <v>28</v>
      </c>
      <c r="AG101" s="19"/>
      <c r="AH101" s="93"/>
      <c r="AI101" s="93"/>
      <c r="AJ101" s="93"/>
      <c r="AK101" s="93"/>
      <c r="AL101" s="93"/>
      <c r="AM101" s="93"/>
      <c r="AN101" s="20"/>
      <c r="AO101" s="19"/>
      <c r="AP101" s="93"/>
      <c r="AQ101" s="93"/>
      <c r="AR101" s="93"/>
      <c r="AS101" s="20"/>
      <c r="AT101" s="19"/>
      <c r="AU101" s="93"/>
      <c r="AV101" s="20"/>
      <c r="AW101" s="19"/>
      <c r="AX101" s="93"/>
      <c r="AY101" s="93"/>
      <c r="AZ101" s="93"/>
      <c r="BA101" s="93"/>
      <c r="BB101" s="93"/>
      <c r="BC101" s="20"/>
      <c r="BD101" s="19"/>
      <c r="BE101" s="93"/>
      <c r="BF101" s="93"/>
      <c r="BG101" s="93"/>
      <c r="BH101" s="93"/>
      <c r="BI101" s="93"/>
      <c r="BJ101" s="93"/>
      <c r="BK101" s="20"/>
      <c r="BL101" s="19"/>
      <c r="BM101" s="93"/>
      <c r="BN101" s="93"/>
      <c r="BO101" s="93"/>
      <c r="BP101" s="93"/>
      <c r="BQ101" s="20"/>
      <c r="BR101" s="19"/>
      <c r="BS101" s="93"/>
      <c r="BT101" s="93"/>
      <c r="BU101" s="20"/>
      <c r="BV101" s="19"/>
      <c r="BW101" s="93"/>
      <c r="BX101" s="93"/>
      <c r="BY101" s="93"/>
      <c r="BZ101" s="93"/>
      <c r="CA101" s="93"/>
      <c r="CB101" s="20"/>
      <c r="CC101" s="25">
        <v>28</v>
      </c>
      <c r="CD101" s="19"/>
      <c r="CE101" s="93"/>
      <c r="CF101" s="20"/>
      <c r="CG101" s="25">
        <v>28</v>
      </c>
      <c r="CH101" s="19"/>
      <c r="CI101" s="93"/>
      <c r="CJ101" s="93"/>
      <c r="CK101" s="93"/>
      <c r="CL101" s="93"/>
      <c r="CM101" s="93"/>
      <c r="CN101" s="93"/>
      <c r="CO101" s="93"/>
      <c r="CP101" s="93"/>
      <c r="CQ101" s="93"/>
      <c r="CR101" s="214"/>
      <c r="CS101" s="20"/>
      <c r="CT101" s="25">
        <v>28</v>
      </c>
      <c r="CU101" s="19"/>
      <c r="CV101" s="93"/>
      <c r="CW101" s="93"/>
      <c r="CX101" s="93"/>
      <c r="CY101" s="93"/>
      <c r="CZ101" s="93"/>
      <c r="DA101" s="93"/>
      <c r="DB101" s="20"/>
      <c r="DC101" s="25">
        <v>28</v>
      </c>
      <c r="DD101" s="785">
        <v>39052</v>
      </c>
      <c r="DE101" s="19"/>
      <c r="DF101" s="20"/>
      <c r="DG101" s="25">
        <v>28</v>
      </c>
      <c r="DH101" s="19"/>
      <c r="DI101" s="20"/>
      <c r="DJ101" s="25">
        <v>28</v>
      </c>
      <c r="DK101" s="19"/>
      <c r="DL101" s="20"/>
      <c r="DM101" s="19"/>
      <c r="DN101" s="20"/>
      <c r="DO101" s="25">
        <v>28</v>
      </c>
      <c r="DP101" s="19"/>
      <c r="DQ101" s="93"/>
      <c r="DR101" s="20"/>
      <c r="DS101" s="25">
        <v>28</v>
      </c>
      <c r="DT101" s="19"/>
      <c r="DU101" s="93"/>
      <c r="DV101" s="20"/>
      <c r="DW101" s="25">
        <v>28</v>
      </c>
      <c r="DX101" s="19"/>
      <c r="DY101" s="20"/>
      <c r="DZ101" s="25">
        <v>28</v>
      </c>
      <c r="EA101" s="19"/>
      <c r="EB101" s="93"/>
      <c r="EC101" s="93"/>
      <c r="ED101" s="93"/>
      <c r="EE101" s="20"/>
      <c r="EF101" s="25">
        <v>28</v>
      </c>
      <c r="EG101" s="19"/>
      <c r="EH101" s="93"/>
      <c r="EI101" s="93"/>
      <c r="EJ101" s="93"/>
      <c r="EK101" s="20"/>
      <c r="EL101" s="25">
        <v>28</v>
      </c>
      <c r="EM101" s="19"/>
      <c r="EN101" s="93"/>
      <c r="EO101" s="93"/>
      <c r="EP101" s="93"/>
      <c r="EQ101" s="93"/>
      <c r="ER101" s="93"/>
      <c r="ES101" s="93"/>
      <c r="ET101" s="93"/>
      <c r="EU101" s="93"/>
      <c r="EV101" s="20"/>
      <c r="EW101" s="25">
        <v>28</v>
      </c>
      <c r="EX101" s="915"/>
      <c r="EY101" s="916"/>
      <c r="EZ101" s="916"/>
      <c r="FA101" s="916"/>
      <c r="FB101" s="916"/>
      <c r="FC101" s="916"/>
      <c r="FD101" s="916"/>
      <c r="FE101" s="916"/>
      <c r="FF101" s="916"/>
      <c r="FG101" s="917"/>
      <c r="FH101" s="25">
        <v>28</v>
      </c>
      <c r="FI101" s="848">
        <v>39052</v>
      </c>
      <c r="FJ101" s="19"/>
      <c r="FK101" s="93"/>
      <c r="FL101" s="20"/>
      <c r="FM101" s="25">
        <v>28</v>
      </c>
      <c r="FN101" s="19"/>
      <c r="FO101" s="93"/>
      <c r="FP101" s="93"/>
      <c r="FQ101" s="93"/>
      <c r="FR101" s="93"/>
      <c r="FS101" s="93"/>
      <c r="FT101" s="93"/>
      <c r="FU101" s="93"/>
      <c r="FV101" s="93"/>
      <c r="FW101" s="917"/>
      <c r="FX101" s="25">
        <v>28</v>
      </c>
      <c r="FY101" s="916"/>
      <c r="FZ101" s="916"/>
      <c r="GA101" s="916"/>
      <c r="GB101" s="916"/>
      <c r="GC101" s="916"/>
      <c r="GD101" s="916"/>
      <c r="GE101" s="916"/>
      <c r="GF101" s="916"/>
      <c r="GG101" s="916"/>
      <c r="GH101" s="916"/>
      <c r="GI101" s="917"/>
      <c r="GJ101" s="25">
        <v>28</v>
      </c>
      <c r="GK101" s="19"/>
      <c r="GL101" s="20"/>
      <c r="GM101" s="25">
        <v>28</v>
      </c>
      <c r="GN101" s="19"/>
      <c r="GO101" s="20"/>
      <c r="GP101" s="25">
        <v>28</v>
      </c>
      <c r="GQ101" s="19"/>
      <c r="GR101" s="20"/>
      <c r="GS101" s="25">
        <v>28</v>
      </c>
      <c r="GT101" s="848">
        <v>39052</v>
      </c>
      <c r="GU101" s="19"/>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v>28</v>
      </c>
      <c r="IW101" s="848">
        <v>39052</v>
      </c>
      <c r="IX101" s="1035"/>
      <c r="IY101" s="1035">
        <v>143.5521</v>
      </c>
      <c r="IZ101" s="1035">
        <v>158.44909999999999</v>
      </c>
      <c r="JA101" s="1035">
        <v>0.46468014899999999</v>
      </c>
      <c r="JB101" s="1035">
        <v>219.65017306789713</v>
      </c>
      <c r="JC101" s="1035">
        <v>48.8962</v>
      </c>
      <c r="JD101" s="1035">
        <v>412.56315321689715</v>
      </c>
      <c r="JE101" s="1035">
        <v>229.63623545136738</v>
      </c>
      <c r="JF101" s="1035">
        <v>642.19938866826453</v>
      </c>
      <c r="JG101" s="1035"/>
      <c r="JH101" s="1035">
        <v>246.56617012467524</v>
      </c>
      <c r="JI101" s="1035">
        <v>200.46004027100005</v>
      </c>
      <c r="JJ101" s="1035">
        <v>46.106129853675171</v>
      </c>
      <c r="JK101" s="1035">
        <v>505.32901539058935</v>
      </c>
      <c r="JL101" s="1035">
        <v>-77.621652855000008</v>
      </c>
      <c r="JM101" s="1035">
        <v>1.3923471450000022</v>
      </c>
      <c r="JN101" s="1035">
        <v>-79.01400000000001</v>
      </c>
      <c r="JO101" s="1035">
        <v>582.95066824558933</v>
      </c>
      <c r="JP101" s="1035">
        <v>2.3323895800000001</v>
      </c>
      <c r="JQ101" s="1035">
        <v>580.61827866558929</v>
      </c>
      <c r="JR101" s="1035">
        <v>100.943137564</v>
      </c>
      <c r="JS101" s="1035">
        <v>8.752659283000007</v>
      </c>
      <c r="JT101" s="1036">
        <v>642.19938866826453</v>
      </c>
      <c r="JU101" s="29">
        <v>28</v>
      </c>
      <c r="JV101" s="1037"/>
      <c r="JW101" s="1526">
        <f>VLOOKUP($IW101,Base_Mensuelle!$OF$68:$RM$679,HLOOKUP(JW$73,Base_Mensuelle!$PE$67:$QE$680,614,0))</f>
        <v>200.46004027100005</v>
      </c>
      <c r="JX101" s="1526">
        <f>VLOOKUP($IW101,Base_Mensuelle!$OF$68:$RM$679,HLOOKUP(JX$73,Base_Mensuelle!$PE$67:$QE$680,614,0))</f>
        <v>272.82068146500006</v>
      </c>
      <c r="JY101" s="1526">
        <f>VLOOKUP($IW101,Base_Mensuelle!$OF$68:$RM$679,HLOOKUP(JY$73,Base_Mensuelle!$PE$67:$QE$680,614,0))</f>
        <v>72.36064119400001</v>
      </c>
      <c r="JZ101" s="1526">
        <f>VLOOKUP($IW101,Base_Mensuelle!$OF$68:$RM$679,HLOOKUP(JZ$73,Base_Mensuelle!$PE$67:$QE$680,614,0))</f>
        <v>0.99035062500000004</v>
      </c>
      <c r="KA101" s="1526">
        <f>VLOOKUP($IW101,Base_Mensuelle!$OF$68:$RM$679,HLOOKUP(KA$73,Base_Mensuelle!$PE$67:$QE$680,614,0))</f>
        <v>1.3923471450000022</v>
      </c>
      <c r="KB101" s="1526">
        <f>VLOOKUP($IW101,Base_Mensuelle!$OF$68:$RM$679,HLOOKUP(KB$73,Base_Mensuelle!$PE$67:$QE$680,614,0))</f>
        <v>40.767568959000002</v>
      </c>
      <c r="KC101" s="1526">
        <f>VLOOKUP($IW101,Base_Mensuelle!$OF$68:$RM$679,HLOOKUP(KC$73,Base_Mensuelle!$PE$67:$QE$680,614,0))</f>
        <v>39.375221814</v>
      </c>
      <c r="KD101" s="1526">
        <f>VLOOKUP($IW101,Base_Mensuelle!$OF$68:$RM$679,HLOOKUP(KD$73,Base_Mensuelle!$PE$67:$QE$680,614,0))</f>
        <v>2.3323895800000001</v>
      </c>
      <c r="KE101" s="1526">
        <f>VLOOKUP($IW101,Base_Mensuelle!$OF$68:$RM$679,HLOOKUP(KE$73,Base_Mensuelle!$PE$67:$QE$680,614,0))</f>
        <v>0</v>
      </c>
      <c r="KF101" s="1526">
        <f>VLOOKUP($IW101,Base_Mensuelle!$OF$68:$RM$679,HLOOKUP(KF$73,Base_Mensuelle!$PE$67:$QE$680,614,0))</f>
        <v>0</v>
      </c>
      <c r="KG101" s="1526">
        <f>VLOOKUP($IW101,Base_Mensuelle!$OF$68:$RM$679,HLOOKUP(KG$73,Base_Mensuelle!$PE$67:$QE$680,614,0))</f>
        <v>8.9982999999999995E-5</v>
      </c>
      <c r="KH101" s="1526">
        <f>VLOOKUP($IW101,Base_Mensuelle!$OF$68:$RM$679,HLOOKUP(KH$73,Base_Mensuelle!$PE$67:$QE$680,614,0))</f>
        <v>2.332299597</v>
      </c>
      <c r="KI101" s="1526">
        <f>VLOOKUP($IW101,Base_Mensuelle!$OF$68:$RM$679,HLOOKUP(KI$73,Base_Mensuelle!$PE$67:$QE$680,614,0))</f>
        <v>204.62132094699999</v>
      </c>
      <c r="KJ101" s="1526">
        <f>VLOOKUP($IW101,Base_Mensuelle!$OF$68:$RM$679,HLOOKUP(KJ$73,Base_Mensuelle!$PE$67:$QE$680,614,0))</f>
        <v>158.44909999999999</v>
      </c>
      <c r="KK101" s="1526">
        <f>VLOOKUP($IW101,Base_Mensuelle!$OF$68:$RM$679,HLOOKUP(KK$73,Base_Mensuelle!$PE$67:$QE$680,614,0))</f>
        <v>45.707540797999997</v>
      </c>
      <c r="KL101" s="1526">
        <f>VLOOKUP($IW101,Base_Mensuelle!$OF$68:$RM$679,HLOOKUP(KL$73,Base_Mensuelle!$PE$67:$QE$680,614,0))</f>
        <v>0.46468014899999999</v>
      </c>
      <c r="KM101" s="1526">
        <f>VLOOKUP($IW101,Base_Mensuelle!$OF$68:$RM$679,HLOOKUP(KM$73,Base_Mensuelle!$PE$67:$QE$680,614,0))</f>
        <v>0</v>
      </c>
      <c r="KN101" s="1526">
        <f>VLOOKUP($IW101,Base_Mensuelle!$OF$68:$RM$679,HLOOKUP(KN$73,Base_Mensuelle!$PE$67:$QE$680,614,0))</f>
        <v>0.67193645899999999</v>
      </c>
      <c r="KO101" s="1526">
        <f>VLOOKUP($IW101,Base_Mensuelle!$OF$68:$RM$679,HLOOKUP(KO$73,Base_Mensuelle!$PE$67:$QE$680,614,0))</f>
        <v>0</v>
      </c>
      <c r="KP101" s="1526">
        <f>VLOOKUP($IW101,Base_Mensuelle!$OF$68:$RM$679,HLOOKUP(KP$73,Base_Mensuelle!$PE$67:$QE$680,614,0))</f>
        <v>0</v>
      </c>
      <c r="KQ101" s="1526">
        <f>VLOOKUP($IW101,Base_Mensuelle!$OF$68:$RM$679,HLOOKUP(KQ$73,Base_Mensuelle!$PE$67:$QE$680,614,0))</f>
        <v>0.67193645899999999</v>
      </c>
      <c r="KR101" s="1526">
        <f>VLOOKUP($IW101,Base_Mensuelle!$OF$68:$RM$679,HLOOKUP(KR$73,Base_Mensuelle!$PE$67:$QE$680,614,0))</f>
        <v>0</v>
      </c>
      <c r="KS101" s="1526">
        <f>VLOOKUP($IW101,Base_Mensuelle!$OF$68:$RM$679,HLOOKUP(KS$73,Base_Mensuelle!$PE$67:$QE$680,614,0))</f>
        <v>0</v>
      </c>
      <c r="KT101" s="1526">
        <f>VLOOKUP($IW101,Base_Mensuelle!$OF$68:$RM$679,HLOOKUP(KT$73,Base_Mensuelle!$PE$67:$QE$680,614,0))</f>
        <v>0</v>
      </c>
      <c r="KU101" s="1526">
        <f>VLOOKUP($IW101,Base_Mensuelle!$OF$68:$RM$679,HLOOKUP(KU$73,Base_Mensuelle!$PE$67:$QE$680,614,0))</f>
        <v>-4.9227988949999997</v>
      </c>
      <c r="KV101" s="1526">
        <f>VLOOKUP($IW101,Base_Mensuelle!$OF$68:$RM$679,HLOOKUP(KV$73,Base_Mensuelle!$PE$67:$QE$680,614,0))</f>
        <v>4.8046691099999927</v>
      </c>
      <c r="KW101" s="1036"/>
      <c r="KX101" s="29">
        <v>28</v>
      </c>
      <c r="KY101" s="1037"/>
      <c r="KZ101" s="182">
        <f>VLOOKUP($IW101,Base_Mensuelle!$OF$68:$RM$679,HLOOKUP(KZ$73,Base_Mensuelle!$QG$67:$RM$680,614,0))</f>
        <v>46.106129853675171</v>
      </c>
      <c r="LA101" s="182">
        <f>VLOOKUP($IW101,Base_Mensuelle!$OF$68:$RM$679,HLOOKUP(LA$73,Base_Mensuelle!$QG$67:$RM$680,614,0))</f>
        <v>143.14072133441064</v>
      </c>
      <c r="LB101" s="182">
        <f>VLOOKUP($IW101,Base_Mensuelle!$OF$68:$RM$679,HLOOKUP(LB$73,Base_Mensuelle!$QG$67:$RM$680,614,0))</f>
        <v>-97.034591480735472</v>
      </c>
      <c r="LC101" s="182">
        <f>VLOOKUP($IW101,Base_Mensuelle!$OF$68:$RM$679,HLOOKUP(LC$73,Base_Mensuelle!$QG$67:$RM$680,614,0))</f>
        <v>60.089999999999996</v>
      </c>
      <c r="LD101" s="182">
        <f>VLOOKUP($IW101,Base_Mensuelle!$OF$68:$RM$679,HLOOKUP(LD$73,Base_Mensuelle!$QG$67:$RM$680,614,0))</f>
        <v>14.897</v>
      </c>
      <c r="LE101" s="182">
        <f>VLOOKUP($IW101,Base_Mensuelle!$OF$68:$RM$679,HLOOKUP(LE$73,Base_Mensuelle!$QG$67:$RM$680,614,0))</f>
        <v>45.192999999999998</v>
      </c>
      <c r="LF101" s="182">
        <f>VLOOKUP($IW101,Base_Mensuelle!$OF$68:$RM$679,HLOOKUP(LF$73,Base_Mensuelle!$QG$67:$RM$680,614,0))</f>
        <v>0</v>
      </c>
      <c r="LG101" s="182">
        <f>VLOOKUP($IW101,Base_Mensuelle!$OF$68:$RM$679,HLOOKUP(LG$73,Base_Mensuelle!$QG$67:$RM$680,614,0))</f>
        <v>-79.01400000000001</v>
      </c>
      <c r="LH101" s="182">
        <f>VLOOKUP($IW101,Base_Mensuelle!$OF$68:$RM$679,HLOOKUP(LH$73,Base_Mensuelle!$QG$67:$RM$680,614,0))</f>
        <v>21.597999999999999</v>
      </c>
      <c r="LI101" s="182">
        <f>VLOOKUP($IW101,Base_Mensuelle!$OF$68:$RM$679,HLOOKUP(LI$73,Base_Mensuelle!$QG$67:$RM$680,614,0))</f>
        <v>-100.61200000000001</v>
      </c>
      <c r="LJ101" s="182">
        <f>VLOOKUP($IW101,Base_Mensuelle!$OF$68:$RM$679,HLOOKUP(LJ$73,Base_Mensuelle!$QG$67:$RM$680,614,0))</f>
        <v>580.61827866558929</v>
      </c>
      <c r="LK101" s="182">
        <f>VLOOKUP($IW101,Base_Mensuelle!$OF$68:$RM$679,HLOOKUP(LK$73,Base_Mensuelle!$QG$67:$RM$680,614,0))</f>
        <v>12.74768593546675</v>
      </c>
      <c r="LL101" s="182">
        <f>VLOOKUP($IW101,Base_Mensuelle!$OF$68:$RM$679,HLOOKUP(LL$73,Base_Mensuelle!$QG$67:$RM$680,614,0))</f>
        <v>0</v>
      </c>
      <c r="LM101" s="182">
        <f>VLOOKUP($IW101,Base_Mensuelle!$OF$68:$RM$679,HLOOKUP(LM$73,Base_Mensuelle!$QG$67:$RM$680,614,0))</f>
        <v>68.14</v>
      </c>
      <c r="LN101" s="182">
        <f>VLOOKUP($IW101,Base_Mensuelle!$OF$68:$RM$679,HLOOKUP(LN$73,Base_Mensuelle!$QG$67:$RM$680,614,0))</f>
        <v>499.73059273012257</v>
      </c>
      <c r="LO101" s="182">
        <f>VLOOKUP($IW101,Base_Mensuelle!$OF$68:$RM$679,HLOOKUP(LO$73,Base_Mensuelle!$QG$67:$RM$680,614,0))</f>
        <v>0</v>
      </c>
      <c r="LP101" s="182">
        <f>VLOOKUP($IW101,Base_Mensuelle!$OF$68:$RM$679,HLOOKUP(LP$73,Base_Mensuelle!$QG$67:$RM$680,614,0))</f>
        <v>0.24299999999999999</v>
      </c>
      <c r="LQ101" s="182">
        <f>VLOOKUP($IW101,Base_Mensuelle!$OF$68:$RM$679,HLOOKUP(LQ$73,Base_Mensuelle!$QG$67:$RM$680,614,0))</f>
        <v>219.65017306789713</v>
      </c>
      <c r="LR101" s="182">
        <f>VLOOKUP($IW101,Base_Mensuelle!$OF$68:$RM$679,HLOOKUP(LR$73,Base_Mensuelle!$QG$67:$RM$680,614,0))</f>
        <v>229.63623545136738</v>
      </c>
      <c r="LS101" s="182">
        <f>VLOOKUP($IW101,Base_Mensuelle!$OF$68:$RM$679,HLOOKUP(LS$73,Base_Mensuelle!$QG$67:$RM$680,614,0))</f>
        <v>0</v>
      </c>
      <c r="LT101" s="182">
        <f>VLOOKUP($IW101,Base_Mensuelle!$OF$68:$RM$679,HLOOKUP(LT$73,Base_Mensuelle!$QG$67:$RM$680,614,0))</f>
        <v>16.259</v>
      </c>
      <c r="LU101" s="182">
        <f>VLOOKUP($IW101,Base_Mensuelle!$OF$68:$RM$679,HLOOKUP(LU$73,Base_Mensuelle!$QG$67:$RM$680,614,0))</f>
        <v>1.35</v>
      </c>
      <c r="LV101" s="182">
        <f>VLOOKUP($IW101,Base_Mensuelle!$OF$68:$RM$679,HLOOKUP(LV$73,Base_Mensuelle!$QG$67:$RM$680,614,0))</f>
        <v>7.2139999999999995</v>
      </c>
      <c r="LW101" s="182">
        <f>VLOOKUP($IW101,Base_Mensuelle!$OF$68:$RM$679,HLOOKUP(LW$73,Base_Mensuelle!$QG$67:$RM$680,614,0))</f>
        <v>0</v>
      </c>
      <c r="LX101" s="182">
        <f>VLOOKUP($IW101,Base_Mensuelle!$OF$68:$RM$679,HLOOKUP(LX$73,Base_Mensuelle!$QG$67:$RM$680,614,0))</f>
        <v>0</v>
      </c>
      <c r="LY101" s="182">
        <f>VLOOKUP($IW101,Base_Mensuelle!$OF$68:$RM$679,HLOOKUP(LY$73,Base_Mensuelle!$QG$67:$RM$680,614,0))</f>
        <v>80.370999999999995</v>
      </c>
      <c r="LZ101" s="182">
        <f>VLOOKUP($IW101,Base_Mensuelle!$OF$68:$RM$679,HLOOKUP(LZ$73,Base_Mensuelle!$QG$67:$RM$680,614,0))</f>
        <v>53.077000000000012</v>
      </c>
      <c r="MA101" s="182">
        <f>VLOOKUP($IW101,Base_Mensuelle!$OF$68:$RM$679,HLOOKUP(MA$73,Base_Mensuelle!$QG$67:$RM$680,614,0))</f>
        <v>0</v>
      </c>
      <c r="MB101" s="182">
        <f>VLOOKUP($IW101,Base_Mensuelle!$OF$68:$RM$679,HLOOKUP(MB$73,Base_Mensuelle!$QG$67:$RM$680,614,0))</f>
        <v>0</v>
      </c>
      <c r="MC101" s="182">
        <f>VLOOKUP($IW101,Base_Mensuelle!$OF$68:$RM$679,HLOOKUP(MC$73,Base_Mensuelle!$QG$67:$RM$680,614,0))</f>
        <v>0</v>
      </c>
      <c r="MD101" s="182">
        <f>VLOOKUP($IW101,Base_Mensuelle!$OF$68:$RM$679,HLOOKUP(MD$73,Base_Mensuelle!$QG$67:$RM$680,614,0))</f>
        <v>0</v>
      </c>
      <c r="ME101" s="182">
        <f>VLOOKUP($IW101,Base_Mensuelle!$OF$68:$RM$679,HLOOKUP(ME$73,Base_Mensuelle!$QG$67:$RM$680,614,0))</f>
        <v>0</v>
      </c>
      <c r="MF101" s="182"/>
      <c r="MG101" s="182"/>
      <c r="MH101" s="290"/>
      <c r="MI101" s="29">
        <v>28</v>
      </c>
      <c r="MJ101" s="29" t="str">
        <f t="shared" si="82"/>
        <v>Trimestre 42006</v>
      </c>
      <c r="MK101" s="848">
        <v>39052</v>
      </c>
      <c r="ML101" s="29"/>
      <c r="MM101" s="29"/>
      <c r="MN101" s="29"/>
      <c r="MO101" s="29"/>
      <c r="MP101" s="29"/>
      <c r="MQ101" s="29"/>
      <c r="MR101" s="29"/>
      <c r="MS101" s="29"/>
      <c r="MT101" s="29"/>
      <c r="MU101" s="29"/>
      <c r="MV101" s="29"/>
      <c r="MW101" s="29"/>
      <c r="MX101" s="29"/>
      <c r="MY101" s="29"/>
      <c r="MZ101" s="29"/>
      <c r="NA101" s="29"/>
      <c r="NB101" s="29"/>
      <c r="NC101" s="29"/>
      <c r="ND101" s="29"/>
      <c r="NE101" s="29"/>
      <c r="NF101" s="29"/>
      <c r="NG101" s="29"/>
      <c r="NH101" s="29"/>
      <c r="NI101" s="29"/>
      <c r="NJ101" s="29"/>
      <c r="NK101" s="29"/>
      <c r="NL101" s="29">
        <v>28</v>
      </c>
    </row>
    <row r="102" spans="1:376">
      <c r="A102" s="41">
        <f t="shared" si="80"/>
        <v>2007</v>
      </c>
      <c r="B102" s="785">
        <v>39142</v>
      </c>
      <c r="C102" s="19">
        <v>0</v>
      </c>
      <c r="D102" s="93">
        <v>118.21074499208414</v>
      </c>
      <c r="E102" s="93">
        <v>108.03911437702126</v>
      </c>
      <c r="F102" s="93">
        <v>86.095343987990603</v>
      </c>
      <c r="G102" s="93">
        <v>59.677355214595742</v>
      </c>
      <c r="H102" s="93">
        <v>70.579236973895632</v>
      </c>
      <c r="I102" s="93">
        <v>86.519290155818382</v>
      </c>
      <c r="J102" s="93">
        <v>196.12992778489624</v>
      </c>
      <c r="K102" s="93">
        <v>92.000000013056706</v>
      </c>
      <c r="L102" s="93">
        <v>102.78370754355302</v>
      </c>
      <c r="M102" s="20">
        <v>109.36552658959607</v>
      </c>
      <c r="N102" s="25">
        <v>29</v>
      </c>
      <c r="O102" s="889">
        <f t="shared" si="79"/>
        <v>2007</v>
      </c>
      <c r="P102" s="29" t="str">
        <f t="shared" si="81"/>
        <v>Trimestre 12007</v>
      </c>
      <c r="Q102" s="848">
        <v>39142</v>
      </c>
      <c r="R102" s="733"/>
      <c r="S102" s="570"/>
      <c r="T102" s="570"/>
      <c r="U102" s="734"/>
      <c r="V102" s="25">
        <v>29</v>
      </c>
      <c r="W102" s="19"/>
      <c r="X102" s="93"/>
      <c r="Y102" s="93"/>
      <c r="Z102" s="93"/>
      <c r="AA102" s="93"/>
      <c r="AB102" s="93"/>
      <c r="AC102" s="93"/>
      <c r="AD102" s="93"/>
      <c r="AE102" s="20"/>
      <c r="AF102" s="25">
        <v>29</v>
      </c>
      <c r="AG102" s="19"/>
      <c r="AH102" s="93"/>
      <c r="AI102" s="93"/>
      <c r="AJ102" s="93"/>
      <c r="AK102" s="93"/>
      <c r="AL102" s="93"/>
      <c r="AM102" s="93"/>
      <c r="AN102" s="20"/>
      <c r="AO102" s="19"/>
      <c r="AP102" s="93"/>
      <c r="AQ102" s="93"/>
      <c r="AR102" s="93"/>
      <c r="AS102" s="20"/>
      <c r="AT102" s="19"/>
      <c r="AU102" s="93"/>
      <c r="AV102" s="20"/>
      <c r="AW102" s="19"/>
      <c r="AX102" s="93"/>
      <c r="AY102" s="93"/>
      <c r="AZ102" s="93"/>
      <c r="BA102" s="93"/>
      <c r="BB102" s="93"/>
      <c r="BC102" s="20"/>
      <c r="BD102" s="19"/>
      <c r="BE102" s="93"/>
      <c r="BF102" s="93"/>
      <c r="BG102" s="93"/>
      <c r="BH102" s="93"/>
      <c r="BI102" s="93"/>
      <c r="BJ102" s="93"/>
      <c r="BK102" s="20"/>
      <c r="BL102" s="19"/>
      <c r="BM102" s="93"/>
      <c r="BN102" s="93"/>
      <c r="BO102" s="93"/>
      <c r="BP102" s="93"/>
      <c r="BQ102" s="20"/>
      <c r="BR102" s="19"/>
      <c r="BS102" s="93"/>
      <c r="BT102" s="93"/>
      <c r="BU102" s="20"/>
      <c r="BV102" s="19"/>
      <c r="BW102" s="93"/>
      <c r="BX102" s="93"/>
      <c r="BY102" s="93"/>
      <c r="BZ102" s="93"/>
      <c r="CA102" s="93"/>
      <c r="CB102" s="20"/>
      <c r="CC102" s="25">
        <v>29</v>
      </c>
      <c r="CD102" s="19"/>
      <c r="CE102" s="93"/>
      <c r="CF102" s="20"/>
      <c r="CG102" s="25">
        <v>29</v>
      </c>
      <c r="CH102" s="19"/>
      <c r="CI102" s="93"/>
      <c r="CJ102" s="93"/>
      <c r="CK102" s="93"/>
      <c r="CL102" s="93"/>
      <c r="CM102" s="93"/>
      <c r="CN102" s="93"/>
      <c r="CO102" s="93"/>
      <c r="CP102" s="93"/>
      <c r="CQ102" s="93"/>
      <c r="CR102" s="214"/>
      <c r="CS102" s="20"/>
      <c r="CT102" s="25">
        <v>29</v>
      </c>
      <c r="CU102" s="19"/>
      <c r="CV102" s="93"/>
      <c r="CW102" s="93"/>
      <c r="CX102" s="93"/>
      <c r="CY102" s="93"/>
      <c r="CZ102" s="93"/>
      <c r="DA102" s="93"/>
      <c r="DB102" s="20"/>
      <c r="DC102" s="25">
        <v>29</v>
      </c>
      <c r="DD102" s="785">
        <v>39142</v>
      </c>
      <c r="DE102" s="19"/>
      <c r="DF102" s="20"/>
      <c r="DG102" s="25">
        <v>29</v>
      </c>
      <c r="DH102" s="19"/>
      <c r="DI102" s="20"/>
      <c r="DJ102" s="25">
        <v>29</v>
      </c>
      <c r="DK102" s="19"/>
      <c r="DL102" s="20"/>
      <c r="DM102" s="19"/>
      <c r="DN102" s="20"/>
      <c r="DO102" s="25">
        <v>29</v>
      </c>
      <c r="DP102" s="19"/>
      <c r="DQ102" s="93"/>
      <c r="DR102" s="20"/>
      <c r="DS102" s="25">
        <v>29</v>
      </c>
      <c r="DT102" s="19"/>
      <c r="DU102" s="93"/>
      <c r="DV102" s="20"/>
      <c r="DW102" s="25">
        <v>29</v>
      </c>
      <c r="DX102" s="19"/>
      <c r="DY102" s="20"/>
      <c r="DZ102" s="25">
        <v>29</v>
      </c>
      <c r="EA102" s="19"/>
      <c r="EB102" s="93"/>
      <c r="EC102" s="93"/>
      <c r="ED102" s="93"/>
      <c r="EE102" s="20"/>
      <c r="EF102" s="25">
        <v>29</v>
      </c>
      <c r="EG102" s="19"/>
      <c r="EH102" s="93"/>
      <c r="EI102" s="93"/>
      <c r="EJ102" s="93"/>
      <c r="EK102" s="20"/>
      <c r="EL102" s="25">
        <v>29</v>
      </c>
      <c r="EM102" s="19"/>
      <c r="EN102" s="93"/>
      <c r="EO102" s="93"/>
      <c r="EP102" s="93"/>
      <c r="EQ102" s="93"/>
      <c r="ER102" s="93"/>
      <c r="ES102" s="93"/>
      <c r="ET102" s="93"/>
      <c r="EU102" s="93"/>
      <c r="EV102" s="20"/>
      <c r="EW102" s="25">
        <v>29</v>
      </c>
      <c r="EX102" s="915"/>
      <c r="EY102" s="916"/>
      <c r="EZ102" s="916"/>
      <c r="FA102" s="916"/>
      <c r="FB102" s="916"/>
      <c r="FC102" s="916"/>
      <c r="FD102" s="916"/>
      <c r="FE102" s="916"/>
      <c r="FF102" s="916"/>
      <c r="FG102" s="917"/>
      <c r="FH102" s="25">
        <v>29</v>
      </c>
      <c r="FI102" s="848">
        <v>39142</v>
      </c>
      <c r="FJ102" s="19"/>
      <c r="FK102" s="93"/>
      <c r="FL102" s="20"/>
      <c r="FM102" s="25">
        <v>29</v>
      </c>
      <c r="FN102" s="19"/>
      <c r="FO102" s="93"/>
      <c r="FP102" s="93"/>
      <c r="FQ102" s="93"/>
      <c r="FR102" s="93"/>
      <c r="FS102" s="93"/>
      <c r="FT102" s="93"/>
      <c r="FU102" s="93"/>
      <c r="FV102" s="93"/>
      <c r="FW102" s="917"/>
      <c r="FX102" s="25">
        <v>29</v>
      </c>
      <c r="FY102" s="916"/>
      <c r="FZ102" s="916"/>
      <c r="GA102" s="916"/>
      <c r="GB102" s="916"/>
      <c r="GC102" s="916"/>
      <c r="GD102" s="916"/>
      <c r="GE102" s="916"/>
      <c r="GF102" s="916"/>
      <c r="GG102" s="916"/>
      <c r="GH102" s="916"/>
      <c r="GI102" s="917"/>
      <c r="GJ102" s="25">
        <v>29</v>
      </c>
      <c r="GK102" s="19"/>
      <c r="GL102" s="20"/>
      <c r="GM102" s="25">
        <v>29</v>
      </c>
      <c r="GN102" s="19"/>
      <c r="GO102" s="20"/>
      <c r="GP102" s="25">
        <v>29</v>
      </c>
      <c r="GQ102" s="19"/>
      <c r="GR102" s="20"/>
      <c r="GS102" s="25">
        <v>29</v>
      </c>
      <c r="GT102" s="848">
        <v>39142</v>
      </c>
      <c r="GU102" s="19"/>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v>29</v>
      </c>
      <c r="IW102" s="848">
        <v>39142</v>
      </c>
      <c r="IX102" s="1035"/>
      <c r="IY102" s="1035">
        <v>190.2886</v>
      </c>
      <c r="IZ102" s="1035">
        <v>209.7116</v>
      </c>
      <c r="JA102" s="1035">
        <v>0.39408871899999998</v>
      </c>
      <c r="JB102" s="1035">
        <v>242.74387149729009</v>
      </c>
      <c r="JC102" s="1035">
        <v>51.662300000000002</v>
      </c>
      <c r="JD102" s="1035">
        <v>485.08886021629007</v>
      </c>
      <c r="JE102" s="1035">
        <v>242.35284990801904</v>
      </c>
      <c r="JF102" s="1035">
        <v>727.44171012430911</v>
      </c>
      <c r="JG102" s="1035"/>
      <c r="JH102" s="1035">
        <v>406.1534801577875</v>
      </c>
      <c r="JI102" s="1035">
        <v>345.73001670500003</v>
      </c>
      <c r="JJ102" s="1035">
        <v>60.423463452787544</v>
      </c>
      <c r="JK102" s="1035">
        <v>441.94509309652159</v>
      </c>
      <c r="JL102" s="1035">
        <v>-157.45398725000001</v>
      </c>
      <c r="JM102" s="1035">
        <v>-61.422987250000006</v>
      </c>
      <c r="JN102" s="1035">
        <v>-96.030999999999992</v>
      </c>
      <c r="JO102" s="1035">
        <v>599.3990803465216</v>
      </c>
      <c r="JP102" s="1035">
        <v>2.8028223940000001</v>
      </c>
      <c r="JQ102" s="1035">
        <v>596.59625795252168</v>
      </c>
      <c r="JR102" s="1035">
        <v>128.80293894199997</v>
      </c>
      <c r="JS102" s="1035">
        <v>-8.1460758120000136</v>
      </c>
      <c r="JT102" s="1036">
        <v>727.44171012430911</v>
      </c>
      <c r="JU102" s="29">
        <v>29</v>
      </c>
      <c r="JV102" s="1037"/>
      <c r="JW102" s="1526">
        <f>VLOOKUP($IW102,Base_Mensuelle!$OF$68:$RM$679,HLOOKUP(JW$73,Base_Mensuelle!$PE$67:$QE$680,614,0))</f>
        <v>345.73001670500003</v>
      </c>
      <c r="JX102" s="1526">
        <f>VLOOKUP($IW102,Base_Mensuelle!$OF$68:$RM$679,HLOOKUP(JX$73,Base_Mensuelle!$PE$67:$QE$680,614,0))</f>
        <v>421.96111113699999</v>
      </c>
      <c r="JY102" s="1526">
        <f>VLOOKUP($IW102,Base_Mensuelle!$OF$68:$RM$679,HLOOKUP(JY$73,Base_Mensuelle!$PE$67:$QE$680,614,0))</f>
        <v>76.231094431999992</v>
      </c>
      <c r="JZ102" s="1526">
        <f>VLOOKUP($IW102,Base_Mensuelle!$OF$68:$RM$679,HLOOKUP(JZ$73,Base_Mensuelle!$PE$67:$QE$680,614,0))</f>
        <v>13.24</v>
      </c>
      <c r="KA102" s="1526">
        <f>VLOOKUP($IW102,Base_Mensuelle!$OF$68:$RM$679,HLOOKUP(KA$73,Base_Mensuelle!$PE$67:$QE$680,614,0))</f>
        <v>-61.422987250000006</v>
      </c>
      <c r="KB102" s="1526">
        <f>VLOOKUP($IW102,Base_Mensuelle!$OF$68:$RM$679,HLOOKUP(KB$73,Base_Mensuelle!$PE$67:$QE$680,614,0))</f>
        <v>39.80606908</v>
      </c>
      <c r="KC102" s="1526">
        <f>VLOOKUP($IW102,Base_Mensuelle!$OF$68:$RM$679,HLOOKUP(KC$73,Base_Mensuelle!$PE$67:$QE$680,614,0))</f>
        <v>101.22905633000001</v>
      </c>
      <c r="KD102" s="1526">
        <f>VLOOKUP($IW102,Base_Mensuelle!$OF$68:$RM$679,HLOOKUP(KD$73,Base_Mensuelle!$PE$67:$QE$680,614,0))</f>
        <v>2.8028223940000001</v>
      </c>
      <c r="KE102" s="1526">
        <f>VLOOKUP($IW102,Base_Mensuelle!$OF$68:$RM$679,HLOOKUP(KE$73,Base_Mensuelle!$PE$67:$QE$680,614,0))</f>
        <v>0</v>
      </c>
      <c r="KF102" s="1526">
        <f>VLOOKUP($IW102,Base_Mensuelle!$OF$68:$RM$679,HLOOKUP(KF$73,Base_Mensuelle!$PE$67:$QE$680,614,0))</f>
        <v>0</v>
      </c>
      <c r="KG102" s="1526">
        <f>VLOOKUP($IW102,Base_Mensuelle!$OF$68:$RM$679,HLOOKUP(KG$73,Base_Mensuelle!$PE$67:$QE$680,614,0))</f>
        <v>0.52198440000000002</v>
      </c>
      <c r="KH102" s="1526">
        <f>VLOOKUP($IW102,Base_Mensuelle!$OF$68:$RM$679,HLOOKUP(KH$73,Base_Mensuelle!$PE$67:$QE$680,614,0))</f>
        <v>2.2808379940000001</v>
      </c>
      <c r="KI102" s="1526">
        <f>VLOOKUP($IW102,Base_Mensuelle!$OF$68:$RM$679,HLOOKUP(KI$73,Base_Mensuelle!$PE$67:$QE$680,614,0))</f>
        <v>302.54743147000005</v>
      </c>
      <c r="KJ102" s="1526">
        <f>VLOOKUP($IW102,Base_Mensuelle!$OF$68:$RM$679,HLOOKUP(KJ$73,Base_Mensuelle!$PE$67:$QE$680,614,0))</f>
        <v>209.7116</v>
      </c>
      <c r="KK102" s="1526">
        <f>VLOOKUP($IW102,Base_Mensuelle!$OF$68:$RM$679,HLOOKUP(KK$73,Base_Mensuelle!$PE$67:$QE$680,614,0))</f>
        <v>92.441742751000007</v>
      </c>
      <c r="KL102" s="1526">
        <f>VLOOKUP($IW102,Base_Mensuelle!$OF$68:$RM$679,HLOOKUP(KL$73,Base_Mensuelle!$PE$67:$QE$680,614,0))</f>
        <v>0.39408871899999998</v>
      </c>
      <c r="KM102" s="1526">
        <f>VLOOKUP($IW102,Base_Mensuelle!$OF$68:$RM$679,HLOOKUP(KM$73,Base_Mensuelle!$PE$67:$QE$680,614,0))</f>
        <v>0</v>
      </c>
      <c r="KN102" s="1526">
        <f>VLOOKUP($IW102,Base_Mensuelle!$OF$68:$RM$679,HLOOKUP(KN$73,Base_Mensuelle!$PE$67:$QE$680,614,0))</f>
        <v>0.487984998</v>
      </c>
      <c r="KO102" s="1526">
        <f>VLOOKUP($IW102,Base_Mensuelle!$OF$68:$RM$679,HLOOKUP(KO$73,Base_Mensuelle!$PE$67:$QE$680,614,0))</f>
        <v>0</v>
      </c>
      <c r="KP102" s="1526">
        <f>VLOOKUP($IW102,Base_Mensuelle!$OF$68:$RM$679,HLOOKUP(KP$73,Base_Mensuelle!$PE$67:$QE$680,614,0))</f>
        <v>0</v>
      </c>
      <c r="KQ102" s="1526">
        <f>VLOOKUP($IW102,Base_Mensuelle!$OF$68:$RM$679,HLOOKUP(KQ$73,Base_Mensuelle!$PE$67:$QE$680,614,0))</f>
        <v>0.487984998</v>
      </c>
      <c r="KR102" s="1526">
        <f>VLOOKUP($IW102,Base_Mensuelle!$OF$68:$RM$679,HLOOKUP(KR$73,Base_Mensuelle!$PE$67:$QE$680,614,0))</f>
        <v>0</v>
      </c>
      <c r="KS102" s="1526">
        <f>VLOOKUP($IW102,Base_Mensuelle!$OF$68:$RM$679,HLOOKUP(KS$73,Base_Mensuelle!$PE$67:$QE$680,614,0))</f>
        <v>0</v>
      </c>
      <c r="KT102" s="1526">
        <f>VLOOKUP($IW102,Base_Mensuelle!$OF$68:$RM$679,HLOOKUP(KT$73,Base_Mensuelle!$PE$67:$QE$680,614,0))</f>
        <v>0</v>
      </c>
      <c r="KU102" s="1526">
        <f>VLOOKUP($IW102,Base_Mensuelle!$OF$68:$RM$679,HLOOKUP(KU$73,Base_Mensuelle!$PE$67:$QE$680,614,0))</f>
        <v>-0.59004605599999993</v>
      </c>
      <c r="KV102" s="1526">
        <f>VLOOKUP($IW102,Base_Mensuelle!$OF$68:$RM$679,HLOOKUP(KV$73,Base_Mensuelle!$PE$67:$QE$680,614,0))</f>
        <v>-2.0955185629999997</v>
      </c>
      <c r="KW102" s="1036"/>
      <c r="KX102" s="29">
        <v>29</v>
      </c>
      <c r="KY102" s="1037"/>
      <c r="KZ102" s="182">
        <f>VLOOKUP($IW102,Base_Mensuelle!$OF$68:$RM$679,HLOOKUP(KZ$73,Base_Mensuelle!$QG$67:$RM$680,614,0))</f>
        <v>60.423463452787544</v>
      </c>
      <c r="LA102" s="182">
        <f>VLOOKUP($IW102,Base_Mensuelle!$OF$68:$RM$679,HLOOKUP(LA$73,Base_Mensuelle!$QG$67:$RM$680,614,0))</f>
        <v>152.95974204747841</v>
      </c>
      <c r="LB102" s="182">
        <f>VLOOKUP($IW102,Base_Mensuelle!$OF$68:$RM$679,HLOOKUP(LB$73,Base_Mensuelle!$QG$67:$RM$680,614,0))</f>
        <v>-92.53627859469087</v>
      </c>
      <c r="LC102" s="182">
        <f>VLOOKUP($IW102,Base_Mensuelle!$OF$68:$RM$679,HLOOKUP(LC$73,Base_Mensuelle!$QG$67:$RM$680,614,0))</f>
        <v>107.78100000000001</v>
      </c>
      <c r="LD102" s="182">
        <f>VLOOKUP($IW102,Base_Mensuelle!$OF$68:$RM$679,HLOOKUP(LD$73,Base_Mensuelle!$QG$67:$RM$680,614,0))</f>
        <v>19.422999999999998</v>
      </c>
      <c r="LE102" s="182">
        <f>VLOOKUP($IW102,Base_Mensuelle!$OF$68:$RM$679,HLOOKUP(LE$73,Base_Mensuelle!$QG$67:$RM$680,614,0))</f>
        <v>88.358000000000004</v>
      </c>
      <c r="LF102" s="182">
        <f>VLOOKUP($IW102,Base_Mensuelle!$OF$68:$RM$679,HLOOKUP(LF$73,Base_Mensuelle!$QG$67:$RM$680,614,0))</f>
        <v>0</v>
      </c>
      <c r="LG102" s="182">
        <f>VLOOKUP($IW102,Base_Mensuelle!$OF$68:$RM$679,HLOOKUP(LG$73,Base_Mensuelle!$QG$67:$RM$680,614,0))</f>
        <v>-96.030999999999992</v>
      </c>
      <c r="LH102" s="182">
        <f>VLOOKUP($IW102,Base_Mensuelle!$OF$68:$RM$679,HLOOKUP(LH$73,Base_Mensuelle!$QG$67:$RM$680,614,0))</f>
        <v>5.65</v>
      </c>
      <c r="LI102" s="182">
        <f>VLOOKUP($IW102,Base_Mensuelle!$OF$68:$RM$679,HLOOKUP(LI$73,Base_Mensuelle!$QG$67:$RM$680,614,0))</f>
        <v>-101.681</v>
      </c>
      <c r="LJ102" s="182">
        <f>VLOOKUP($IW102,Base_Mensuelle!$OF$68:$RM$679,HLOOKUP(LJ$73,Base_Mensuelle!$QG$67:$RM$680,614,0))</f>
        <v>596.59625795252168</v>
      </c>
      <c r="LK102" s="182">
        <f>VLOOKUP($IW102,Base_Mensuelle!$OF$68:$RM$679,HLOOKUP(LK$73,Base_Mensuelle!$QG$67:$RM$680,614,0))</f>
        <v>11.724737560823304</v>
      </c>
      <c r="LL102" s="182">
        <f>VLOOKUP($IW102,Base_Mensuelle!$OF$68:$RM$679,HLOOKUP(LL$73,Base_Mensuelle!$QG$67:$RM$680,614,0))</f>
        <v>0</v>
      </c>
      <c r="LM102" s="182">
        <f>VLOOKUP($IW102,Base_Mensuelle!$OF$68:$RM$679,HLOOKUP(LM$73,Base_Mensuelle!$QG$67:$RM$680,614,0))</f>
        <v>74.719000000000008</v>
      </c>
      <c r="LN102" s="182">
        <f>VLOOKUP($IW102,Base_Mensuelle!$OF$68:$RM$679,HLOOKUP(LN$73,Base_Mensuelle!$QG$67:$RM$680,614,0))</f>
        <v>510.15252039169832</v>
      </c>
      <c r="LO102" s="182">
        <f>VLOOKUP($IW102,Base_Mensuelle!$OF$68:$RM$679,HLOOKUP(LO$73,Base_Mensuelle!$QG$67:$RM$680,614,0))</f>
        <v>0</v>
      </c>
      <c r="LP102" s="182">
        <f>VLOOKUP($IW102,Base_Mensuelle!$OF$68:$RM$679,HLOOKUP(LP$73,Base_Mensuelle!$QG$67:$RM$680,614,0))</f>
        <v>12.682</v>
      </c>
      <c r="LQ102" s="182">
        <f>VLOOKUP($IW102,Base_Mensuelle!$OF$68:$RM$679,HLOOKUP(LQ$73,Base_Mensuelle!$QG$67:$RM$680,614,0))</f>
        <v>242.74387149729006</v>
      </c>
      <c r="LR102" s="182">
        <f>VLOOKUP($IW102,Base_Mensuelle!$OF$68:$RM$679,HLOOKUP(LR$73,Base_Mensuelle!$QG$67:$RM$680,614,0))</f>
        <v>242.35284990801904</v>
      </c>
      <c r="LS102" s="182">
        <f>VLOOKUP($IW102,Base_Mensuelle!$OF$68:$RM$679,HLOOKUP(LS$73,Base_Mensuelle!$QG$67:$RM$680,614,0))</f>
        <v>0</v>
      </c>
      <c r="LT102" s="182">
        <f>VLOOKUP($IW102,Base_Mensuelle!$OF$68:$RM$679,HLOOKUP(LT$73,Base_Mensuelle!$QG$67:$RM$680,614,0))</f>
        <v>19.837999999999997</v>
      </c>
      <c r="LU102" s="182">
        <f>VLOOKUP($IW102,Base_Mensuelle!$OF$68:$RM$679,HLOOKUP(LU$73,Base_Mensuelle!$QG$67:$RM$680,614,0))</f>
        <v>2</v>
      </c>
      <c r="LV102" s="182">
        <f>VLOOKUP($IW102,Base_Mensuelle!$OF$68:$RM$679,HLOOKUP(LV$73,Base_Mensuelle!$QG$67:$RM$680,614,0))</f>
        <v>17.710999999999999</v>
      </c>
      <c r="LW102" s="182">
        <f>VLOOKUP($IW102,Base_Mensuelle!$OF$68:$RM$679,HLOOKUP(LW$73,Base_Mensuelle!$QG$67:$RM$680,614,0))</f>
        <v>0</v>
      </c>
      <c r="LX102" s="182">
        <f>VLOOKUP($IW102,Base_Mensuelle!$OF$68:$RM$679,HLOOKUP(LX$73,Base_Mensuelle!$QG$67:$RM$680,614,0))</f>
        <v>0</v>
      </c>
      <c r="LY102" s="182">
        <f>VLOOKUP($IW102,Base_Mensuelle!$OF$68:$RM$679,HLOOKUP(LY$73,Base_Mensuelle!$QG$67:$RM$680,614,0))</f>
        <v>89.355999999999995</v>
      </c>
      <c r="LZ102" s="182">
        <f>VLOOKUP($IW102,Base_Mensuelle!$OF$68:$RM$679,HLOOKUP(LZ$73,Base_Mensuelle!$QG$67:$RM$680,614,0))</f>
        <v>42.085999999999977</v>
      </c>
      <c r="MA102" s="182">
        <f>VLOOKUP($IW102,Base_Mensuelle!$OF$68:$RM$679,HLOOKUP(MA$73,Base_Mensuelle!$QG$67:$RM$680,614,0))</f>
        <v>0</v>
      </c>
      <c r="MB102" s="182">
        <f>VLOOKUP($IW102,Base_Mensuelle!$OF$68:$RM$679,HLOOKUP(MB$73,Base_Mensuelle!$QG$67:$RM$680,614,0))</f>
        <v>0</v>
      </c>
      <c r="MC102" s="182">
        <f>VLOOKUP($IW102,Base_Mensuelle!$OF$68:$RM$679,HLOOKUP(MC$73,Base_Mensuelle!$QG$67:$RM$680,614,0))</f>
        <v>0</v>
      </c>
      <c r="MD102" s="182">
        <f>VLOOKUP($IW102,Base_Mensuelle!$OF$68:$RM$679,HLOOKUP(MD$73,Base_Mensuelle!$QG$67:$RM$680,614,0))</f>
        <v>0</v>
      </c>
      <c r="ME102" s="182">
        <f>VLOOKUP($IW102,Base_Mensuelle!$OF$68:$RM$679,HLOOKUP(ME$73,Base_Mensuelle!$QG$67:$RM$680,614,0))</f>
        <v>0</v>
      </c>
      <c r="MF102" s="182"/>
      <c r="MG102" s="182"/>
      <c r="MH102" s="290"/>
      <c r="MI102" s="29">
        <v>29</v>
      </c>
      <c r="MJ102" s="29" t="str">
        <f t="shared" si="82"/>
        <v>Trimestre 12007</v>
      </c>
      <c r="MK102" s="848">
        <v>39142</v>
      </c>
      <c r="ML102" s="29"/>
      <c r="MM102" s="29"/>
      <c r="MN102" s="29"/>
      <c r="MO102" s="29"/>
      <c r="MP102" s="29"/>
      <c r="MQ102" s="29"/>
      <c r="MR102" s="29"/>
      <c r="MS102" s="29"/>
      <c r="MT102" s="29"/>
      <c r="MU102" s="29"/>
      <c r="MV102" s="29"/>
      <c r="MW102" s="29"/>
      <c r="MX102" s="29"/>
      <c r="MY102" s="29"/>
      <c r="MZ102" s="29"/>
      <c r="NA102" s="29"/>
      <c r="NB102" s="29"/>
      <c r="NC102" s="29"/>
      <c r="ND102" s="29"/>
      <c r="NE102" s="29"/>
      <c r="NF102" s="29"/>
      <c r="NG102" s="29"/>
      <c r="NH102" s="29"/>
      <c r="NI102" s="29"/>
      <c r="NJ102" s="29"/>
      <c r="NK102" s="29"/>
      <c r="NL102" s="29">
        <v>29</v>
      </c>
    </row>
    <row r="103" spans="1:376">
      <c r="A103" s="41">
        <f t="shared" si="80"/>
        <v>2007</v>
      </c>
      <c r="B103" s="785">
        <v>39234</v>
      </c>
      <c r="C103" s="19">
        <v>0</v>
      </c>
      <c r="D103" s="93">
        <v>95.472753153850675</v>
      </c>
      <c r="E103" s="93">
        <v>108.03911437702126</v>
      </c>
      <c r="F103" s="93">
        <v>87.099697188001187</v>
      </c>
      <c r="G103" s="93">
        <v>32.429659688973231</v>
      </c>
      <c r="H103" s="93">
        <v>142.95496104125175</v>
      </c>
      <c r="I103" s="93">
        <v>107.09430768866289</v>
      </c>
      <c r="J103" s="93">
        <v>41.779528866029054</v>
      </c>
      <c r="K103" s="93">
        <v>116.00000030030425</v>
      </c>
      <c r="L103" s="93">
        <v>106.1171911434233</v>
      </c>
      <c r="M103" s="20">
        <v>95.423661571952636</v>
      </c>
      <c r="N103" s="25">
        <v>30</v>
      </c>
      <c r="O103" s="889">
        <f t="shared" si="79"/>
        <v>2007</v>
      </c>
      <c r="P103" s="29" t="str">
        <f t="shared" si="81"/>
        <v>Trimestre 22007</v>
      </c>
      <c r="Q103" s="848">
        <v>39234</v>
      </c>
      <c r="R103" s="733"/>
      <c r="S103" s="570"/>
      <c r="T103" s="570"/>
      <c r="U103" s="734"/>
      <c r="V103" s="25">
        <v>30</v>
      </c>
      <c r="W103" s="19"/>
      <c r="X103" s="93"/>
      <c r="Y103" s="93"/>
      <c r="Z103" s="93"/>
      <c r="AA103" s="93"/>
      <c r="AB103" s="93"/>
      <c r="AC103" s="93"/>
      <c r="AD103" s="93"/>
      <c r="AE103" s="20"/>
      <c r="AF103" s="25">
        <v>30</v>
      </c>
      <c r="AG103" s="19"/>
      <c r="AH103" s="93"/>
      <c r="AI103" s="93"/>
      <c r="AJ103" s="93"/>
      <c r="AK103" s="93"/>
      <c r="AL103" s="93"/>
      <c r="AM103" s="93"/>
      <c r="AN103" s="20"/>
      <c r="AO103" s="19"/>
      <c r="AP103" s="93"/>
      <c r="AQ103" s="93"/>
      <c r="AR103" s="93"/>
      <c r="AS103" s="20"/>
      <c r="AT103" s="19"/>
      <c r="AU103" s="93"/>
      <c r="AV103" s="20"/>
      <c r="AW103" s="19"/>
      <c r="AX103" s="93"/>
      <c r="AY103" s="93"/>
      <c r="AZ103" s="93"/>
      <c r="BA103" s="93"/>
      <c r="BB103" s="93"/>
      <c r="BC103" s="20"/>
      <c r="BD103" s="19"/>
      <c r="BE103" s="93"/>
      <c r="BF103" s="93"/>
      <c r="BG103" s="93"/>
      <c r="BH103" s="93"/>
      <c r="BI103" s="93"/>
      <c r="BJ103" s="93"/>
      <c r="BK103" s="20"/>
      <c r="BL103" s="19"/>
      <c r="BM103" s="93"/>
      <c r="BN103" s="93"/>
      <c r="BO103" s="93"/>
      <c r="BP103" s="93"/>
      <c r="BQ103" s="20"/>
      <c r="BR103" s="19"/>
      <c r="BS103" s="93"/>
      <c r="BT103" s="93"/>
      <c r="BU103" s="20"/>
      <c r="BV103" s="19"/>
      <c r="BW103" s="93"/>
      <c r="BX103" s="93"/>
      <c r="BY103" s="93"/>
      <c r="BZ103" s="93"/>
      <c r="CA103" s="93"/>
      <c r="CB103" s="20"/>
      <c r="CC103" s="25">
        <v>30</v>
      </c>
      <c r="CD103" s="19"/>
      <c r="CE103" s="93"/>
      <c r="CF103" s="20"/>
      <c r="CG103" s="25">
        <v>30</v>
      </c>
      <c r="CH103" s="19"/>
      <c r="CI103" s="93"/>
      <c r="CJ103" s="93"/>
      <c r="CK103" s="93"/>
      <c r="CL103" s="93"/>
      <c r="CM103" s="93"/>
      <c r="CN103" s="93"/>
      <c r="CO103" s="93"/>
      <c r="CP103" s="93"/>
      <c r="CQ103" s="93"/>
      <c r="CR103" s="214"/>
      <c r="CS103" s="20"/>
      <c r="CT103" s="25">
        <v>30</v>
      </c>
      <c r="CU103" s="19"/>
      <c r="CV103" s="93"/>
      <c r="CW103" s="93"/>
      <c r="CX103" s="93"/>
      <c r="CY103" s="93"/>
      <c r="CZ103" s="93"/>
      <c r="DA103" s="93"/>
      <c r="DB103" s="20"/>
      <c r="DC103" s="25">
        <v>30</v>
      </c>
      <c r="DD103" s="785">
        <v>39234</v>
      </c>
      <c r="DE103" s="19"/>
      <c r="DF103" s="20"/>
      <c r="DG103" s="25">
        <v>30</v>
      </c>
      <c r="DH103" s="19"/>
      <c r="DI103" s="20"/>
      <c r="DJ103" s="25">
        <v>30</v>
      </c>
      <c r="DK103" s="19"/>
      <c r="DL103" s="20"/>
      <c r="DM103" s="19"/>
      <c r="DN103" s="20"/>
      <c r="DO103" s="25">
        <v>30</v>
      </c>
      <c r="DP103" s="19"/>
      <c r="DQ103" s="93"/>
      <c r="DR103" s="20"/>
      <c r="DS103" s="25">
        <v>30</v>
      </c>
      <c r="DT103" s="19"/>
      <c r="DU103" s="93"/>
      <c r="DV103" s="20"/>
      <c r="DW103" s="25">
        <v>30</v>
      </c>
      <c r="DX103" s="19"/>
      <c r="DY103" s="20"/>
      <c r="DZ103" s="25">
        <v>30</v>
      </c>
      <c r="EA103" s="19"/>
      <c r="EB103" s="93"/>
      <c r="EC103" s="93"/>
      <c r="ED103" s="93"/>
      <c r="EE103" s="20"/>
      <c r="EF103" s="25">
        <v>30</v>
      </c>
      <c r="EG103" s="19"/>
      <c r="EH103" s="93"/>
      <c r="EI103" s="93"/>
      <c r="EJ103" s="93"/>
      <c r="EK103" s="20"/>
      <c r="EL103" s="25">
        <v>30</v>
      </c>
      <c r="EM103" s="19"/>
      <c r="EN103" s="93"/>
      <c r="EO103" s="93"/>
      <c r="EP103" s="93"/>
      <c r="EQ103" s="93"/>
      <c r="ER103" s="93"/>
      <c r="ES103" s="93"/>
      <c r="ET103" s="93"/>
      <c r="EU103" s="93"/>
      <c r="EV103" s="20"/>
      <c r="EW103" s="25">
        <v>30</v>
      </c>
      <c r="EX103" s="915"/>
      <c r="EY103" s="916"/>
      <c r="EZ103" s="916"/>
      <c r="FA103" s="916"/>
      <c r="FB103" s="916"/>
      <c r="FC103" s="916"/>
      <c r="FD103" s="916"/>
      <c r="FE103" s="916"/>
      <c r="FF103" s="916"/>
      <c r="FG103" s="917"/>
      <c r="FH103" s="25">
        <v>30</v>
      </c>
      <c r="FI103" s="848">
        <v>39234</v>
      </c>
      <c r="FJ103" s="19"/>
      <c r="FK103" s="93"/>
      <c r="FL103" s="20"/>
      <c r="FM103" s="25">
        <v>30</v>
      </c>
      <c r="FN103" s="19"/>
      <c r="FO103" s="93"/>
      <c r="FP103" s="93"/>
      <c r="FQ103" s="93"/>
      <c r="FR103" s="93"/>
      <c r="FS103" s="93"/>
      <c r="FT103" s="93"/>
      <c r="FU103" s="93"/>
      <c r="FV103" s="93"/>
      <c r="FW103" s="917"/>
      <c r="FX103" s="25">
        <v>30</v>
      </c>
      <c r="FY103" s="916"/>
      <c r="FZ103" s="916"/>
      <c r="GA103" s="916"/>
      <c r="GB103" s="916"/>
      <c r="GC103" s="916"/>
      <c r="GD103" s="916"/>
      <c r="GE103" s="916"/>
      <c r="GF103" s="916"/>
      <c r="GG103" s="916"/>
      <c r="GH103" s="916"/>
      <c r="GI103" s="917"/>
      <c r="GJ103" s="25">
        <v>30</v>
      </c>
      <c r="GK103" s="19"/>
      <c r="GL103" s="20"/>
      <c r="GM103" s="25">
        <v>30</v>
      </c>
      <c r="GN103" s="19"/>
      <c r="GO103" s="20"/>
      <c r="GP103" s="25">
        <v>30</v>
      </c>
      <c r="GQ103" s="19"/>
      <c r="GR103" s="20"/>
      <c r="GS103" s="25">
        <v>30</v>
      </c>
      <c r="GT103" s="848">
        <v>39234</v>
      </c>
      <c r="GU103" s="19"/>
      <c r="GV103" s="93"/>
      <c r="GW103" s="93"/>
      <c r="GX103" s="93"/>
      <c r="GY103" s="93"/>
      <c r="GZ103" s="93"/>
      <c r="HA103" s="93"/>
      <c r="HB103" s="93"/>
      <c r="HC103" s="93"/>
      <c r="HD103" s="93"/>
      <c r="HE103" s="93"/>
      <c r="HF103" s="93"/>
      <c r="HG103" s="93"/>
      <c r="HH103" s="93"/>
      <c r="HI103" s="93"/>
      <c r="HJ103" s="93"/>
      <c r="HK103" s="93"/>
      <c r="HL103" s="93"/>
      <c r="HM103" s="93"/>
      <c r="HN103" s="93"/>
      <c r="HO103" s="93"/>
      <c r="HP103" s="93"/>
      <c r="HQ103" s="93"/>
      <c r="HR103" s="93"/>
      <c r="HS103" s="93"/>
      <c r="HT103" s="93"/>
      <c r="HU103" s="93"/>
      <c r="HV103" s="93"/>
      <c r="HW103" s="93"/>
      <c r="HX103" s="93"/>
      <c r="HY103" s="93"/>
      <c r="HZ103" s="93"/>
      <c r="IA103" s="93"/>
      <c r="IB103" s="93"/>
      <c r="IC103" s="93"/>
      <c r="ID103" s="93"/>
      <c r="IE103" s="93"/>
      <c r="IF103" s="93"/>
      <c r="IG103" s="93"/>
      <c r="IH103" s="93"/>
      <c r="II103" s="93"/>
      <c r="IJ103" s="93"/>
      <c r="IK103" s="93"/>
      <c r="IL103" s="93"/>
      <c r="IM103" s="93"/>
      <c r="IN103" s="93"/>
      <c r="IO103" s="93"/>
      <c r="IP103" s="93"/>
      <c r="IQ103" s="93"/>
      <c r="IR103" s="93"/>
      <c r="IS103" s="93"/>
      <c r="IT103" s="93"/>
      <c r="IU103" s="93"/>
      <c r="IV103" s="93">
        <v>30</v>
      </c>
      <c r="IW103" s="848">
        <v>39234</v>
      </c>
      <c r="IX103" s="1035"/>
      <c r="IY103" s="1035">
        <v>197.90710000000001</v>
      </c>
      <c r="IZ103" s="1035">
        <v>215.63310000000001</v>
      </c>
      <c r="JA103" s="1035">
        <v>0.37045149799999999</v>
      </c>
      <c r="JB103" s="1035">
        <v>253.34735588538808</v>
      </c>
      <c r="JC103" s="1035">
        <v>53.047399999999996</v>
      </c>
      <c r="JD103" s="1035">
        <v>504.6723073833881</v>
      </c>
      <c r="JE103" s="1035">
        <v>263.66158614185491</v>
      </c>
      <c r="JF103" s="1035">
        <v>768.33389352524296</v>
      </c>
      <c r="JG103" s="1035"/>
      <c r="JH103" s="1035">
        <v>459.498835316775</v>
      </c>
      <c r="JI103" s="1035">
        <v>385.62513886400001</v>
      </c>
      <c r="JJ103" s="1035">
        <v>73.873696452775022</v>
      </c>
      <c r="JK103" s="1035">
        <v>389.71592628146811</v>
      </c>
      <c r="JL103" s="1035">
        <v>-169.26929519000001</v>
      </c>
      <c r="JM103" s="1035">
        <v>-83.713295189999997</v>
      </c>
      <c r="JN103" s="1035">
        <v>-85.556000000000012</v>
      </c>
      <c r="JO103" s="1035">
        <v>558.98522147146809</v>
      </c>
      <c r="JP103" s="1035">
        <v>2.4069758969999997</v>
      </c>
      <c r="JQ103" s="1035">
        <v>556.57824557446804</v>
      </c>
      <c r="JR103" s="1035">
        <v>111.92254496699989</v>
      </c>
      <c r="JS103" s="1035">
        <v>-31.041676894000002</v>
      </c>
      <c r="JT103" s="1036">
        <v>768.33389352524318</v>
      </c>
      <c r="JU103" s="29">
        <v>30</v>
      </c>
      <c r="JV103" s="1037"/>
      <c r="JW103" s="1526">
        <f>VLOOKUP($IW103,Base_Mensuelle!$OF$68:$RM$679,HLOOKUP(JW$73,Base_Mensuelle!$PE$67:$QE$680,614,0))</f>
        <v>385.62513886400001</v>
      </c>
      <c r="JX103" s="1526">
        <f>VLOOKUP($IW103,Base_Mensuelle!$OF$68:$RM$679,HLOOKUP(JX$73,Base_Mensuelle!$PE$67:$QE$680,614,0))</f>
        <v>458.22634375199999</v>
      </c>
      <c r="JY103" s="1526">
        <f>VLOOKUP($IW103,Base_Mensuelle!$OF$68:$RM$679,HLOOKUP(JY$73,Base_Mensuelle!$PE$67:$QE$680,614,0))</f>
        <v>72.601204887999998</v>
      </c>
      <c r="JZ103" s="1526">
        <f>VLOOKUP($IW103,Base_Mensuelle!$OF$68:$RM$679,HLOOKUP(JZ$73,Base_Mensuelle!$PE$67:$QE$680,614,0))</f>
        <v>8.99</v>
      </c>
      <c r="KA103" s="1526">
        <f>VLOOKUP($IW103,Base_Mensuelle!$OF$68:$RM$679,HLOOKUP(KA$73,Base_Mensuelle!$PE$67:$QE$680,614,0))</f>
        <v>-83.713295189999997</v>
      </c>
      <c r="KB103" s="1526">
        <f>VLOOKUP($IW103,Base_Mensuelle!$OF$68:$RM$679,HLOOKUP(KB$73,Base_Mensuelle!$PE$67:$QE$680,614,0))</f>
        <v>39.391933236</v>
      </c>
      <c r="KC103" s="1526">
        <f>VLOOKUP($IW103,Base_Mensuelle!$OF$68:$RM$679,HLOOKUP(KC$73,Base_Mensuelle!$PE$67:$QE$680,614,0))</f>
        <v>123.105228426</v>
      </c>
      <c r="KD103" s="1526">
        <f>VLOOKUP($IW103,Base_Mensuelle!$OF$68:$RM$679,HLOOKUP(KD$73,Base_Mensuelle!$PE$67:$QE$680,614,0))</f>
        <v>2.4069758969999997</v>
      </c>
      <c r="KE103" s="1526">
        <f>VLOOKUP($IW103,Base_Mensuelle!$OF$68:$RM$679,HLOOKUP(KE$73,Base_Mensuelle!$PE$67:$QE$680,614,0))</f>
        <v>0</v>
      </c>
      <c r="KF103" s="1526">
        <f>VLOOKUP($IW103,Base_Mensuelle!$OF$68:$RM$679,HLOOKUP(KF$73,Base_Mensuelle!$PE$67:$QE$680,614,0))</f>
        <v>0</v>
      </c>
      <c r="KG103" s="1526">
        <f>VLOOKUP($IW103,Base_Mensuelle!$OF$68:$RM$679,HLOOKUP(KG$73,Base_Mensuelle!$PE$67:$QE$680,614,0))</f>
        <v>3.7005000000000002E-5</v>
      </c>
      <c r="KH103" s="1526">
        <f>VLOOKUP($IW103,Base_Mensuelle!$OF$68:$RM$679,HLOOKUP(KH$73,Base_Mensuelle!$PE$67:$QE$680,614,0))</f>
        <v>2.4069388919999999</v>
      </c>
      <c r="KI103" s="1526">
        <f>VLOOKUP($IW103,Base_Mensuelle!$OF$68:$RM$679,HLOOKUP(KI$73,Base_Mensuelle!$PE$67:$QE$680,614,0))</f>
        <v>317.80350266600004</v>
      </c>
      <c r="KJ103" s="1526">
        <f>VLOOKUP($IW103,Base_Mensuelle!$OF$68:$RM$679,HLOOKUP(KJ$73,Base_Mensuelle!$PE$67:$QE$680,614,0))</f>
        <v>215.63310000000001</v>
      </c>
      <c r="KK103" s="1526">
        <f>VLOOKUP($IW103,Base_Mensuelle!$OF$68:$RM$679,HLOOKUP(KK$73,Base_Mensuelle!$PE$67:$QE$680,614,0))</f>
        <v>101.79995116800001</v>
      </c>
      <c r="KL103" s="1526">
        <f>VLOOKUP($IW103,Base_Mensuelle!$OF$68:$RM$679,HLOOKUP(KL$73,Base_Mensuelle!$PE$67:$QE$680,614,0))</f>
        <v>0.37045149799999999</v>
      </c>
      <c r="KM103" s="1526">
        <f>VLOOKUP($IW103,Base_Mensuelle!$OF$68:$RM$679,HLOOKUP(KM$73,Base_Mensuelle!$PE$67:$QE$680,614,0))</f>
        <v>0</v>
      </c>
      <c r="KN103" s="1526">
        <f>VLOOKUP($IW103,Base_Mensuelle!$OF$68:$RM$679,HLOOKUP(KN$73,Base_Mensuelle!$PE$67:$QE$680,614,0))</f>
        <v>0.27254021099999998</v>
      </c>
      <c r="KO103" s="1526">
        <f>VLOOKUP($IW103,Base_Mensuelle!$OF$68:$RM$679,HLOOKUP(KO$73,Base_Mensuelle!$PE$67:$QE$680,614,0))</f>
        <v>0</v>
      </c>
      <c r="KP103" s="1526">
        <f>VLOOKUP($IW103,Base_Mensuelle!$OF$68:$RM$679,HLOOKUP(KP$73,Base_Mensuelle!$PE$67:$QE$680,614,0))</f>
        <v>0</v>
      </c>
      <c r="KQ103" s="1526">
        <f>VLOOKUP($IW103,Base_Mensuelle!$OF$68:$RM$679,HLOOKUP(KQ$73,Base_Mensuelle!$PE$67:$QE$680,614,0))</f>
        <v>0.27254021099999998</v>
      </c>
      <c r="KR103" s="1526">
        <f>VLOOKUP($IW103,Base_Mensuelle!$OF$68:$RM$679,HLOOKUP(KR$73,Base_Mensuelle!$PE$67:$QE$680,614,0))</f>
        <v>0</v>
      </c>
      <c r="KS103" s="1526">
        <f>VLOOKUP($IW103,Base_Mensuelle!$OF$68:$RM$679,HLOOKUP(KS$73,Base_Mensuelle!$PE$67:$QE$680,614,0))</f>
        <v>0</v>
      </c>
      <c r="KT103" s="1526">
        <f>VLOOKUP($IW103,Base_Mensuelle!$OF$68:$RM$679,HLOOKUP(KT$73,Base_Mensuelle!$PE$67:$QE$680,614,0))</f>
        <v>0</v>
      </c>
      <c r="KU103" s="1526">
        <f>VLOOKUP($IW103,Base_Mensuelle!$OF$68:$RM$679,HLOOKUP(KU$73,Base_Mensuelle!$PE$67:$QE$680,614,0))</f>
        <v>-2.3329952440000001</v>
      </c>
      <c r="KV103" s="1526">
        <f>VLOOKUP($IW103,Base_Mensuelle!$OF$68:$RM$679,HLOOKUP(KV$73,Base_Mensuelle!$PE$67:$QE$680,614,0))</f>
        <v>-2.434228062000007</v>
      </c>
      <c r="KW103" s="1036"/>
      <c r="KX103" s="29">
        <v>30</v>
      </c>
      <c r="KY103" s="1037"/>
      <c r="KZ103" s="182">
        <f>VLOOKUP($IW103,Base_Mensuelle!$OF$68:$RM$679,HLOOKUP(KZ$73,Base_Mensuelle!$QG$67:$RM$680,614,0))</f>
        <v>73.873696452775022</v>
      </c>
      <c r="LA103" s="182">
        <f>VLOOKUP($IW103,Base_Mensuelle!$OF$68:$RM$679,HLOOKUP(LA$73,Base_Mensuelle!$QG$67:$RM$680,614,0))</f>
        <v>160.22675442553199</v>
      </c>
      <c r="LB103" s="182">
        <f>VLOOKUP($IW103,Base_Mensuelle!$OF$68:$RM$679,HLOOKUP(LB$73,Base_Mensuelle!$QG$67:$RM$680,614,0))</f>
        <v>-86.353057972756972</v>
      </c>
      <c r="LC103" s="182">
        <f>VLOOKUP($IW103,Base_Mensuelle!$OF$68:$RM$679,HLOOKUP(LC$73,Base_Mensuelle!$QG$67:$RM$680,614,0))</f>
        <v>119.752</v>
      </c>
      <c r="LD103" s="182">
        <f>VLOOKUP($IW103,Base_Mensuelle!$OF$68:$RM$679,HLOOKUP(LD$73,Base_Mensuelle!$QG$67:$RM$680,614,0))</f>
        <v>17.725999999999999</v>
      </c>
      <c r="LE103" s="182">
        <f>VLOOKUP($IW103,Base_Mensuelle!$OF$68:$RM$679,HLOOKUP(LE$73,Base_Mensuelle!$QG$67:$RM$680,614,0))</f>
        <v>102.026</v>
      </c>
      <c r="LF103" s="182">
        <f>VLOOKUP($IW103,Base_Mensuelle!$OF$68:$RM$679,HLOOKUP(LF$73,Base_Mensuelle!$QG$67:$RM$680,614,0))</f>
        <v>0</v>
      </c>
      <c r="LG103" s="182">
        <f>VLOOKUP($IW103,Base_Mensuelle!$OF$68:$RM$679,HLOOKUP(LG$73,Base_Mensuelle!$QG$67:$RM$680,614,0))</f>
        <v>-85.556000000000012</v>
      </c>
      <c r="LH103" s="182">
        <f>VLOOKUP($IW103,Base_Mensuelle!$OF$68:$RM$679,HLOOKUP(LH$73,Base_Mensuelle!$QG$67:$RM$680,614,0))</f>
        <v>12.704000000000001</v>
      </c>
      <c r="LI103" s="182">
        <f>VLOOKUP($IW103,Base_Mensuelle!$OF$68:$RM$679,HLOOKUP(LI$73,Base_Mensuelle!$QG$67:$RM$680,614,0))</f>
        <v>-98.260000000000019</v>
      </c>
      <c r="LJ103" s="182">
        <f>VLOOKUP($IW103,Base_Mensuelle!$OF$68:$RM$679,HLOOKUP(LJ$73,Base_Mensuelle!$QG$67:$RM$680,614,0))</f>
        <v>556.57824557446804</v>
      </c>
      <c r="LK103" s="182">
        <f>VLOOKUP($IW103,Base_Mensuelle!$OF$68:$RM$679,HLOOKUP(LK$73,Base_Mensuelle!$QG$67:$RM$680,614,0))</f>
        <v>10.09694619130809</v>
      </c>
      <c r="LL103" s="182">
        <f>VLOOKUP($IW103,Base_Mensuelle!$OF$68:$RM$679,HLOOKUP(LL$73,Base_Mensuelle!$QG$67:$RM$680,614,0))</f>
        <v>0</v>
      </c>
      <c r="LM103" s="182">
        <f>VLOOKUP($IW103,Base_Mensuelle!$OF$68:$RM$679,HLOOKUP(LM$73,Base_Mensuelle!$QG$67:$RM$680,614,0))</f>
        <v>50.069000000000003</v>
      </c>
      <c r="LN103" s="182">
        <f>VLOOKUP($IW103,Base_Mensuelle!$OF$68:$RM$679,HLOOKUP(LN$73,Base_Mensuelle!$QG$67:$RM$680,614,0))</f>
        <v>496.41229938315996</v>
      </c>
      <c r="LO103" s="182">
        <f>VLOOKUP($IW103,Base_Mensuelle!$OF$68:$RM$679,HLOOKUP(LO$73,Base_Mensuelle!$QG$67:$RM$680,614,0))</f>
        <v>0</v>
      </c>
      <c r="LP103" s="182">
        <f>VLOOKUP($IW103,Base_Mensuelle!$OF$68:$RM$679,HLOOKUP(LP$73,Base_Mensuelle!$QG$67:$RM$680,614,0))</f>
        <v>8.6890000000000001</v>
      </c>
      <c r="LQ103" s="182">
        <f>VLOOKUP($IW103,Base_Mensuelle!$OF$68:$RM$679,HLOOKUP(LQ$73,Base_Mensuelle!$QG$67:$RM$680,614,0))</f>
        <v>253.34735588538808</v>
      </c>
      <c r="LR103" s="182">
        <f>VLOOKUP($IW103,Base_Mensuelle!$OF$68:$RM$679,HLOOKUP(LR$73,Base_Mensuelle!$QG$67:$RM$680,614,0))</f>
        <v>263.66158614185491</v>
      </c>
      <c r="LS103" s="182">
        <f>VLOOKUP($IW103,Base_Mensuelle!$OF$68:$RM$679,HLOOKUP(LS$73,Base_Mensuelle!$QG$67:$RM$680,614,0))</f>
        <v>0</v>
      </c>
      <c r="LT103" s="182">
        <f>VLOOKUP($IW103,Base_Mensuelle!$OF$68:$RM$679,HLOOKUP(LT$73,Base_Mensuelle!$QG$67:$RM$680,614,0))</f>
        <v>21.667000000000002</v>
      </c>
      <c r="LU103" s="182">
        <f>VLOOKUP($IW103,Base_Mensuelle!$OF$68:$RM$679,HLOOKUP(LU$73,Base_Mensuelle!$QG$67:$RM$680,614,0))</f>
        <v>2.0739999999999998</v>
      </c>
      <c r="LV103" s="182">
        <f>VLOOKUP($IW103,Base_Mensuelle!$OF$68:$RM$679,HLOOKUP(LV$73,Base_Mensuelle!$QG$67:$RM$680,614,0))</f>
        <v>3.6889999999999996</v>
      </c>
      <c r="LW103" s="182">
        <f>VLOOKUP($IW103,Base_Mensuelle!$OF$68:$RM$679,HLOOKUP(LW$73,Base_Mensuelle!$QG$67:$RM$680,614,0))</f>
        <v>0</v>
      </c>
      <c r="LX103" s="182">
        <f>VLOOKUP($IW103,Base_Mensuelle!$OF$68:$RM$679,HLOOKUP(LX$73,Base_Mensuelle!$QG$67:$RM$680,614,0))</f>
        <v>0</v>
      </c>
      <c r="LY103" s="182">
        <f>VLOOKUP($IW103,Base_Mensuelle!$OF$68:$RM$679,HLOOKUP(LY$73,Base_Mensuelle!$QG$67:$RM$680,614,0))</f>
        <v>86.552999999999898</v>
      </c>
      <c r="LZ103" s="182">
        <f>VLOOKUP($IW103,Base_Mensuelle!$OF$68:$RM$679,HLOOKUP(LZ$73,Base_Mensuelle!$QG$67:$RM$680,614,0))</f>
        <v>24.966999999999985</v>
      </c>
      <c r="MA103" s="182">
        <f>VLOOKUP($IW103,Base_Mensuelle!$OF$68:$RM$679,HLOOKUP(MA$73,Base_Mensuelle!$QG$67:$RM$680,614,0))</f>
        <v>0</v>
      </c>
      <c r="MB103" s="182">
        <f>VLOOKUP($IW103,Base_Mensuelle!$OF$68:$RM$679,HLOOKUP(MB$73,Base_Mensuelle!$QG$67:$RM$680,614,0))</f>
        <v>0</v>
      </c>
      <c r="MC103" s="182">
        <f>VLOOKUP($IW103,Base_Mensuelle!$OF$68:$RM$679,HLOOKUP(MC$73,Base_Mensuelle!$QG$67:$RM$680,614,0))</f>
        <v>0</v>
      </c>
      <c r="MD103" s="182">
        <f>VLOOKUP($IW103,Base_Mensuelle!$OF$68:$RM$679,HLOOKUP(MD$73,Base_Mensuelle!$QG$67:$RM$680,614,0))</f>
        <v>0</v>
      </c>
      <c r="ME103" s="182">
        <f>VLOOKUP($IW103,Base_Mensuelle!$OF$68:$RM$679,HLOOKUP(ME$73,Base_Mensuelle!$QG$67:$RM$680,614,0))</f>
        <v>0</v>
      </c>
      <c r="MF103" s="182"/>
      <c r="MG103" s="182"/>
      <c r="MH103" s="290"/>
      <c r="MI103" s="29">
        <v>30</v>
      </c>
      <c r="MJ103" s="29" t="str">
        <f t="shared" si="82"/>
        <v>Trimestre 22007</v>
      </c>
      <c r="MK103" s="848">
        <v>39234</v>
      </c>
      <c r="ML103" s="29"/>
      <c r="MM103" s="29"/>
      <c r="MN103" s="29"/>
      <c r="MO103" s="29"/>
      <c r="MP103" s="29"/>
      <c r="MQ103" s="29"/>
      <c r="MR103" s="29"/>
      <c r="MS103" s="29"/>
      <c r="MT103" s="29"/>
      <c r="MU103" s="29"/>
      <c r="MV103" s="29"/>
      <c r="MW103" s="29"/>
      <c r="MX103" s="29"/>
      <c r="MY103" s="29"/>
      <c r="MZ103" s="29"/>
      <c r="NA103" s="29"/>
      <c r="NB103" s="29"/>
      <c r="NC103" s="29"/>
      <c r="ND103" s="29"/>
      <c r="NE103" s="29"/>
      <c r="NF103" s="29"/>
      <c r="NG103" s="29"/>
      <c r="NH103" s="29"/>
      <c r="NI103" s="29"/>
      <c r="NJ103" s="29"/>
      <c r="NK103" s="29"/>
      <c r="NL103" s="29">
        <v>30</v>
      </c>
    </row>
    <row r="104" spans="1:376">
      <c r="A104" s="41">
        <f t="shared" si="80"/>
        <v>2007</v>
      </c>
      <c r="B104" s="785">
        <v>39326</v>
      </c>
      <c r="C104" s="19">
        <v>108.82868410873874</v>
      </c>
      <c r="D104" s="93">
        <v>95.498904353694527</v>
      </c>
      <c r="E104" s="93">
        <v>91.960885622978736</v>
      </c>
      <c r="F104" s="93">
        <v>174.2722739853705</v>
      </c>
      <c r="G104" s="93">
        <v>145.28364190924728</v>
      </c>
      <c r="H104" s="93">
        <v>108.4759982911103</v>
      </c>
      <c r="I104" s="93">
        <v>94.617963359320001</v>
      </c>
      <c r="J104" s="93">
        <v>40.880054503747729</v>
      </c>
      <c r="K104" s="93">
        <v>92.000000013056706</v>
      </c>
      <c r="L104" s="93">
        <v>85.287257091815917</v>
      </c>
      <c r="M104" s="20">
        <v>97.550835177892836</v>
      </c>
      <c r="N104" s="25">
        <v>31</v>
      </c>
      <c r="O104" s="889">
        <f t="shared" si="79"/>
        <v>2007</v>
      </c>
      <c r="P104" s="29" t="str">
        <f t="shared" si="81"/>
        <v>Trimestre 32007</v>
      </c>
      <c r="Q104" s="848">
        <v>39326</v>
      </c>
      <c r="R104" s="733"/>
      <c r="S104" s="570"/>
      <c r="T104" s="570"/>
      <c r="U104" s="734"/>
      <c r="V104" s="25">
        <v>31</v>
      </c>
      <c r="W104" s="19"/>
      <c r="X104" s="93"/>
      <c r="Y104" s="93"/>
      <c r="Z104" s="93"/>
      <c r="AA104" s="93"/>
      <c r="AB104" s="93"/>
      <c r="AC104" s="93"/>
      <c r="AD104" s="93"/>
      <c r="AE104" s="20"/>
      <c r="AF104" s="25">
        <v>31</v>
      </c>
      <c r="AG104" s="19"/>
      <c r="AH104" s="93"/>
      <c r="AI104" s="93"/>
      <c r="AJ104" s="93"/>
      <c r="AK104" s="93"/>
      <c r="AL104" s="93"/>
      <c r="AM104" s="93"/>
      <c r="AN104" s="20"/>
      <c r="AO104" s="19"/>
      <c r="AP104" s="93"/>
      <c r="AQ104" s="93"/>
      <c r="AR104" s="93"/>
      <c r="AS104" s="20"/>
      <c r="AT104" s="19"/>
      <c r="AU104" s="93"/>
      <c r="AV104" s="20"/>
      <c r="AW104" s="19"/>
      <c r="AX104" s="93"/>
      <c r="AY104" s="93"/>
      <c r="AZ104" s="93"/>
      <c r="BA104" s="93"/>
      <c r="BB104" s="93"/>
      <c r="BC104" s="20"/>
      <c r="BD104" s="19"/>
      <c r="BE104" s="93"/>
      <c r="BF104" s="93"/>
      <c r="BG104" s="93"/>
      <c r="BH104" s="93"/>
      <c r="BI104" s="93"/>
      <c r="BJ104" s="93"/>
      <c r="BK104" s="20"/>
      <c r="BL104" s="19"/>
      <c r="BM104" s="93"/>
      <c r="BN104" s="93"/>
      <c r="BO104" s="93"/>
      <c r="BP104" s="93"/>
      <c r="BQ104" s="20"/>
      <c r="BR104" s="19"/>
      <c r="BS104" s="93"/>
      <c r="BT104" s="93"/>
      <c r="BU104" s="20"/>
      <c r="BV104" s="19"/>
      <c r="BW104" s="93"/>
      <c r="BX104" s="93"/>
      <c r="BY104" s="93"/>
      <c r="BZ104" s="93"/>
      <c r="CA104" s="93"/>
      <c r="CB104" s="20"/>
      <c r="CC104" s="25">
        <v>31</v>
      </c>
      <c r="CD104" s="19"/>
      <c r="CE104" s="93"/>
      <c r="CF104" s="20"/>
      <c r="CG104" s="25">
        <v>31</v>
      </c>
      <c r="CH104" s="19"/>
      <c r="CI104" s="93"/>
      <c r="CJ104" s="93"/>
      <c r="CK104" s="93"/>
      <c r="CL104" s="93"/>
      <c r="CM104" s="93"/>
      <c r="CN104" s="93"/>
      <c r="CO104" s="93"/>
      <c r="CP104" s="93"/>
      <c r="CQ104" s="93"/>
      <c r="CR104" s="214"/>
      <c r="CS104" s="20"/>
      <c r="CT104" s="25">
        <v>31</v>
      </c>
      <c r="CU104" s="19"/>
      <c r="CV104" s="93"/>
      <c r="CW104" s="93"/>
      <c r="CX104" s="93"/>
      <c r="CY104" s="93"/>
      <c r="CZ104" s="93"/>
      <c r="DA104" s="93"/>
      <c r="DB104" s="20"/>
      <c r="DC104" s="25">
        <v>31</v>
      </c>
      <c r="DD104" s="785">
        <v>39326</v>
      </c>
      <c r="DE104" s="19"/>
      <c r="DF104" s="20"/>
      <c r="DG104" s="25">
        <v>31</v>
      </c>
      <c r="DH104" s="19"/>
      <c r="DI104" s="20"/>
      <c r="DJ104" s="25">
        <v>31</v>
      </c>
      <c r="DK104" s="19"/>
      <c r="DL104" s="20"/>
      <c r="DM104" s="19"/>
      <c r="DN104" s="20"/>
      <c r="DO104" s="25">
        <v>31</v>
      </c>
      <c r="DP104" s="19"/>
      <c r="DQ104" s="93"/>
      <c r="DR104" s="20"/>
      <c r="DS104" s="25">
        <v>31</v>
      </c>
      <c r="DT104" s="19"/>
      <c r="DU104" s="93"/>
      <c r="DV104" s="20"/>
      <c r="DW104" s="25">
        <v>31</v>
      </c>
      <c r="DX104" s="19"/>
      <c r="DY104" s="20"/>
      <c r="DZ104" s="25">
        <v>31</v>
      </c>
      <c r="EA104" s="19"/>
      <c r="EB104" s="93"/>
      <c r="EC104" s="93"/>
      <c r="ED104" s="93"/>
      <c r="EE104" s="20"/>
      <c r="EF104" s="25">
        <v>31</v>
      </c>
      <c r="EG104" s="19"/>
      <c r="EH104" s="93"/>
      <c r="EI104" s="93"/>
      <c r="EJ104" s="93"/>
      <c r="EK104" s="20"/>
      <c r="EL104" s="25">
        <v>31</v>
      </c>
      <c r="EM104" s="19"/>
      <c r="EN104" s="93"/>
      <c r="EO104" s="93"/>
      <c r="EP104" s="93"/>
      <c r="EQ104" s="93"/>
      <c r="ER104" s="93"/>
      <c r="ES104" s="93"/>
      <c r="ET104" s="93"/>
      <c r="EU104" s="93"/>
      <c r="EV104" s="20"/>
      <c r="EW104" s="25">
        <v>31</v>
      </c>
      <c r="EX104" s="915"/>
      <c r="EY104" s="916"/>
      <c r="EZ104" s="916"/>
      <c r="FA104" s="916"/>
      <c r="FB104" s="916"/>
      <c r="FC104" s="916"/>
      <c r="FD104" s="916"/>
      <c r="FE104" s="916"/>
      <c r="FF104" s="916"/>
      <c r="FG104" s="917"/>
      <c r="FH104" s="25">
        <v>31</v>
      </c>
      <c r="FI104" s="848">
        <v>39326</v>
      </c>
      <c r="FJ104" s="19"/>
      <c r="FK104" s="93"/>
      <c r="FL104" s="20"/>
      <c r="FM104" s="25">
        <v>31</v>
      </c>
      <c r="FN104" s="19"/>
      <c r="FO104" s="93"/>
      <c r="FP104" s="93"/>
      <c r="FQ104" s="93"/>
      <c r="FR104" s="93"/>
      <c r="FS104" s="93"/>
      <c r="FT104" s="93"/>
      <c r="FU104" s="93"/>
      <c r="FV104" s="93"/>
      <c r="FW104" s="917"/>
      <c r="FX104" s="25">
        <v>31</v>
      </c>
      <c r="FY104" s="916"/>
      <c r="FZ104" s="916"/>
      <c r="GA104" s="916"/>
      <c r="GB104" s="916"/>
      <c r="GC104" s="916"/>
      <c r="GD104" s="916"/>
      <c r="GE104" s="916"/>
      <c r="GF104" s="916"/>
      <c r="GG104" s="916"/>
      <c r="GH104" s="916"/>
      <c r="GI104" s="917"/>
      <c r="GJ104" s="25">
        <v>31</v>
      </c>
      <c r="GK104" s="19"/>
      <c r="GL104" s="20"/>
      <c r="GM104" s="25">
        <v>31</v>
      </c>
      <c r="GN104" s="19"/>
      <c r="GO104" s="20"/>
      <c r="GP104" s="25">
        <v>31</v>
      </c>
      <c r="GQ104" s="19"/>
      <c r="GR104" s="20"/>
      <c r="GS104" s="25">
        <v>31</v>
      </c>
      <c r="GT104" s="848">
        <v>39326</v>
      </c>
      <c r="GU104" s="19"/>
      <c r="GV104" s="93"/>
      <c r="GW104" s="93"/>
      <c r="GX104" s="93"/>
      <c r="GY104" s="93"/>
      <c r="GZ104" s="93"/>
      <c r="HA104" s="93"/>
      <c r="HB104" s="93"/>
      <c r="HC104" s="93"/>
      <c r="HD104" s="93"/>
      <c r="HE104" s="93"/>
      <c r="HF104" s="93"/>
      <c r="HG104" s="93"/>
      <c r="HH104" s="93"/>
      <c r="HI104" s="93"/>
      <c r="HJ104" s="93"/>
      <c r="HK104" s="93"/>
      <c r="HL104" s="93"/>
      <c r="HM104" s="93"/>
      <c r="HN104" s="93"/>
      <c r="HO104" s="93"/>
      <c r="HP104" s="93"/>
      <c r="HQ104" s="93"/>
      <c r="HR104" s="93"/>
      <c r="HS104" s="93"/>
      <c r="HT104" s="93"/>
      <c r="HU104" s="93"/>
      <c r="HV104" s="93"/>
      <c r="HW104" s="93"/>
      <c r="HX104" s="93"/>
      <c r="HY104" s="93"/>
      <c r="HZ104" s="93"/>
      <c r="IA104" s="93"/>
      <c r="IB104" s="93"/>
      <c r="IC104" s="93"/>
      <c r="ID104" s="93"/>
      <c r="IE104" s="93"/>
      <c r="IF104" s="93"/>
      <c r="IG104" s="93"/>
      <c r="IH104" s="93"/>
      <c r="II104" s="93"/>
      <c r="IJ104" s="93"/>
      <c r="IK104" s="93"/>
      <c r="IL104" s="93"/>
      <c r="IM104" s="93"/>
      <c r="IN104" s="93"/>
      <c r="IO104" s="93"/>
      <c r="IP104" s="93"/>
      <c r="IQ104" s="93"/>
      <c r="IR104" s="93"/>
      <c r="IS104" s="93"/>
      <c r="IT104" s="93"/>
      <c r="IU104" s="93"/>
      <c r="IV104" s="93">
        <v>31</v>
      </c>
      <c r="IW104" s="848">
        <v>39326</v>
      </c>
      <c r="IX104" s="1035"/>
      <c r="IY104" s="1035">
        <v>210.85040000000001</v>
      </c>
      <c r="IZ104" s="1035">
        <v>230.7354</v>
      </c>
      <c r="JA104" s="1035">
        <v>0.27192888300000001</v>
      </c>
      <c r="JB104" s="1035">
        <v>239.99999224869546</v>
      </c>
      <c r="JC104" s="1035">
        <v>53.931100000000001</v>
      </c>
      <c r="JD104" s="1035">
        <v>505.05342113169547</v>
      </c>
      <c r="JE104" s="1035">
        <v>278.41684855102079</v>
      </c>
      <c r="JF104" s="1035">
        <v>783.47026968271621</v>
      </c>
      <c r="JG104" s="1035"/>
      <c r="JH104" s="1035">
        <v>478.97792825814088</v>
      </c>
      <c r="JI104" s="1035">
        <v>424.76317450099998</v>
      </c>
      <c r="JJ104" s="1035">
        <v>54.214753757140841</v>
      </c>
      <c r="JK104" s="1035">
        <v>399.58859077857528</v>
      </c>
      <c r="JL104" s="1035">
        <v>-186.65597318399998</v>
      </c>
      <c r="JM104" s="1035">
        <v>-123.14697318399999</v>
      </c>
      <c r="JN104" s="1035">
        <v>-63.508999999999993</v>
      </c>
      <c r="JO104" s="1035">
        <v>586.24456396257528</v>
      </c>
      <c r="JP104" s="1035">
        <v>2.41247692</v>
      </c>
      <c r="JQ104" s="1035">
        <v>583.83208704257527</v>
      </c>
      <c r="JR104" s="1035">
        <v>126.92736004299996</v>
      </c>
      <c r="JS104" s="1035">
        <v>-31.831110689000038</v>
      </c>
      <c r="JT104" s="1036">
        <v>783.47026968271621</v>
      </c>
      <c r="JU104" s="29">
        <v>31</v>
      </c>
      <c r="JV104" s="1037"/>
      <c r="JW104" s="1526">
        <f>VLOOKUP($IW104,Base_Mensuelle!$OF$68:$RM$679,HLOOKUP(JW$73,Base_Mensuelle!$PE$67:$QE$680,614,0))</f>
        <v>424.76317450099998</v>
      </c>
      <c r="JX104" s="1526">
        <f>VLOOKUP($IW104,Base_Mensuelle!$OF$68:$RM$679,HLOOKUP(JX$73,Base_Mensuelle!$PE$67:$QE$680,614,0))</f>
        <v>506.898133836</v>
      </c>
      <c r="JY104" s="1526">
        <f>VLOOKUP($IW104,Base_Mensuelle!$OF$68:$RM$679,HLOOKUP(JY$73,Base_Mensuelle!$PE$67:$QE$680,614,0))</f>
        <v>82.134959334999991</v>
      </c>
      <c r="JZ104" s="1526">
        <f>VLOOKUP($IW104,Base_Mensuelle!$OF$68:$RM$679,HLOOKUP(JZ$73,Base_Mensuelle!$PE$67:$QE$680,614,0))</f>
        <v>1.89</v>
      </c>
      <c r="KA104" s="1526">
        <f>VLOOKUP($IW104,Base_Mensuelle!$OF$68:$RM$679,HLOOKUP(KA$73,Base_Mensuelle!$PE$67:$QE$680,614,0))</f>
        <v>-123.14697318399999</v>
      </c>
      <c r="KB104" s="1526">
        <f>VLOOKUP($IW104,Base_Mensuelle!$OF$68:$RM$679,HLOOKUP(KB$73,Base_Mensuelle!$PE$67:$QE$680,614,0))</f>
        <v>38.608425052000001</v>
      </c>
      <c r="KC104" s="1526">
        <f>VLOOKUP($IW104,Base_Mensuelle!$OF$68:$RM$679,HLOOKUP(KC$73,Base_Mensuelle!$PE$67:$QE$680,614,0))</f>
        <v>161.75539823599999</v>
      </c>
      <c r="KD104" s="1526">
        <f>VLOOKUP($IW104,Base_Mensuelle!$OF$68:$RM$679,HLOOKUP(KD$73,Base_Mensuelle!$PE$67:$QE$680,614,0))</f>
        <v>2.41247692</v>
      </c>
      <c r="KE104" s="1526">
        <f>VLOOKUP($IW104,Base_Mensuelle!$OF$68:$RM$679,HLOOKUP(KE$73,Base_Mensuelle!$PE$67:$QE$680,614,0))</f>
        <v>0</v>
      </c>
      <c r="KF104" s="1526">
        <f>VLOOKUP($IW104,Base_Mensuelle!$OF$68:$RM$679,HLOOKUP(KF$73,Base_Mensuelle!$PE$67:$QE$680,614,0))</f>
        <v>0</v>
      </c>
      <c r="KG104" s="1526">
        <f>VLOOKUP($IW104,Base_Mensuelle!$OF$68:$RM$679,HLOOKUP(KG$73,Base_Mensuelle!$PE$67:$QE$680,614,0))</f>
        <v>4.2422100000000002E-4</v>
      </c>
      <c r="KH104" s="1526">
        <f>VLOOKUP($IW104,Base_Mensuelle!$OF$68:$RM$679,HLOOKUP(KH$73,Base_Mensuelle!$PE$67:$QE$680,614,0))</f>
        <v>2.4120526990000002</v>
      </c>
      <c r="KI104" s="1526">
        <f>VLOOKUP($IW104,Base_Mensuelle!$OF$68:$RM$679,HLOOKUP(KI$73,Base_Mensuelle!$PE$67:$QE$680,614,0))</f>
        <v>311.05267871399997</v>
      </c>
      <c r="KJ104" s="1526">
        <f>VLOOKUP($IW104,Base_Mensuelle!$OF$68:$RM$679,HLOOKUP(KJ$73,Base_Mensuelle!$PE$67:$QE$680,614,0))</f>
        <v>230.7354</v>
      </c>
      <c r="KK104" s="1526">
        <f>VLOOKUP($IW104,Base_Mensuelle!$OF$68:$RM$679,HLOOKUP(KK$73,Base_Mensuelle!$PE$67:$QE$680,614,0))</f>
        <v>80.045349830999996</v>
      </c>
      <c r="KL104" s="1526">
        <f>VLOOKUP($IW104,Base_Mensuelle!$OF$68:$RM$679,HLOOKUP(KL$73,Base_Mensuelle!$PE$67:$QE$680,614,0))</f>
        <v>0.27192888300000001</v>
      </c>
      <c r="KM104" s="1526">
        <f>VLOOKUP($IW104,Base_Mensuelle!$OF$68:$RM$679,HLOOKUP(KM$73,Base_Mensuelle!$PE$67:$QE$680,614,0))</f>
        <v>0</v>
      </c>
      <c r="KN104" s="1526">
        <f>VLOOKUP($IW104,Base_Mensuelle!$OF$68:$RM$679,HLOOKUP(KN$73,Base_Mensuelle!$PE$67:$QE$680,614,0))</f>
        <v>0.36731710899999997</v>
      </c>
      <c r="KO104" s="1526">
        <f>VLOOKUP($IW104,Base_Mensuelle!$OF$68:$RM$679,HLOOKUP(KO$73,Base_Mensuelle!$PE$67:$QE$680,614,0))</f>
        <v>0</v>
      </c>
      <c r="KP104" s="1526">
        <f>VLOOKUP($IW104,Base_Mensuelle!$OF$68:$RM$679,HLOOKUP(KP$73,Base_Mensuelle!$PE$67:$QE$680,614,0))</f>
        <v>0</v>
      </c>
      <c r="KQ104" s="1526">
        <f>VLOOKUP($IW104,Base_Mensuelle!$OF$68:$RM$679,HLOOKUP(KQ$73,Base_Mensuelle!$PE$67:$QE$680,614,0))</f>
        <v>0.36731710899999997</v>
      </c>
      <c r="KR104" s="1526">
        <f>VLOOKUP($IW104,Base_Mensuelle!$OF$68:$RM$679,HLOOKUP(KR$73,Base_Mensuelle!$PE$67:$QE$680,614,0))</f>
        <v>0</v>
      </c>
      <c r="KS104" s="1526">
        <f>VLOOKUP($IW104,Base_Mensuelle!$OF$68:$RM$679,HLOOKUP(KS$73,Base_Mensuelle!$PE$67:$QE$680,614,0))</f>
        <v>0</v>
      </c>
      <c r="KT104" s="1526">
        <f>VLOOKUP($IW104,Base_Mensuelle!$OF$68:$RM$679,HLOOKUP(KT$73,Base_Mensuelle!$PE$67:$QE$680,614,0))</f>
        <v>0</v>
      </c>
      <c r="KU104" s="1526">
        <f>VLOOKUP($IW104,Base_Mensuelle!$OF$68:$RM$679,HLOOKUP(KU$73,Base_Mensuelle!$PE$67:$QE$680,614,0))</f>
        <v>-4.4269570660000008</v>
      </c>
      <c r="KV104" s="1526">
        <f>VLOOKUP($IW104,Base_Mensuelle!$OF$68:$RM$679,HLOOKUP(KV$73,Base_Mensuelle!$PE$67:$QE$680,614,0))</f>
        <v>-1.0743605199999928</v>
      </c>
      <c r="KW104" s="1036"/>
      <c r="KX104" s="29">
        <v>31</v>
      </c>
      <c r="KY104" s="1037"/>
      <c r="KZ104" s="182">
        <f>VLOOKUP($IW104,Base_Mensuelle!$OF$68:$RM$679,HLOOKUP(KZ$73,Base_Mensuelle!$QG$67:$RM$680,614,0))</f>
        <v>54.214753757140841</v>
      </c>
      <c r="LA104" s="182">
        <f>VLOOKUP($IW104,Base_Mensuelle!$OF$68:$RM$679,HLOOKUP(LA$73,Base_Mensuelle!$QG$67:$RM$680,614,0))</f>
        <v>184.7709129574246</v>
      </c>
      <c r="LB104" s="182">
        <f>VLOOKUP($IW104,Base_Mensuelle!$OF$68:$RM$679,HLOOKUP(LB$73,Base_Mensuelle!$QG$67:$RM$680,614,0))</f>
        <v>-130.55615920028376</v>
      </c>
      <c r="LC104" s="182">
        <f>VLOOKUP($IW104,Base_Mensuelle!$OF$68:$RM$679,HLOOKUP(LC$73,Base_Mensuelle!$QG$67:$RM$680,614,0))</f>
        <v>98.094000000000008</v>
      </c>
      <c r="LD104" s="182">
        <f>VLOOKUP($IW104,Base_Mensuelle!$OF$68:$RM$679,HLOOKUP(LD$73,Base_Mensuelle!$QG$67:$RM$680,614,0))</f>
        <v>19.885000000000002</v>
      </c>
      <c r="LE104" s="182">
        <f>VLOOKUP($IW104,Base_Mensuelle!$OF$68:$RM$679,HLOOKUP(LE$73,Base_Mensuelle!$QG$67:$RM$680,614,0))</f>
        <v>78.209000000000003</v>
      </c>
      <c r="LF104" s="182">
        <f>VLOOKUP($IW104,Base_Mensuelle!$OF$68:$RM$679,HLOOKUP(LF$73,Base_Mensuelle!$QG$67:$RM$680,614,0))</f>
        <v>0</v>
      </c>
      <c r="LG104" s="182">
        <f>VLOOKUP($IW104,Base_Mensuelle!$OF$68:$RM$679,HLOOKUP(LG$73,Base_Mensuelle!$QG$67:$RM$680,614,0))</f>
        <v>-63.508999999999993</v>
      </c>
      <c r="LH104" s="182">
        <f>VLOOKUP($IW104,Base_Mensuelle!$OF$68:$RM$679,HLOOKUP(LH$73,Base_Mensuelle!$QG$67:$RM$680,614,0))</f>
        <v>52.457000000000001</v>
      </c>
      <c r="LI104" s="182">
        <f>VLOOKUP($IW104,Base_Mensuelle!$OF$68:$RM$679,HLOOKUP(LI$73,Base_Mensuelle!$QG$67:$RM$680,614,0))</f>
        <v>-115.96599999999999</v>
      </c>
      <c r="LJ104" s="182">
        <f>VLOOKUP($IW104,Base_Mensuelle!$OF$68:$RM$679,HLOOKUP(LJ$73,Base_Mensuelle!$QG$67:$RM$680,614,0))</f>
        <v>583.83208704257527</v>
      </c>
      <c r="LK104" s="182">
        <f>VLOOKUP($IW104,Base_Mensuelle!$OF$68:$RM$679,HLOOKUP(LK$73,Base_Mensuelle!$QG$67:$RM$680,614,0))</f>
        <v>9.8371140699317596</v>
      </c>
      <c r="LL104" s="182">
        <f>VLOOKUP($IW104,Base_Mensuelle!$OF$68:$RM$679,HLOOKUP(LL$73,Base_Mensuelle!$QG$67:$RM$680,614,0))</f>
        <v>0</v>
      </c>
      <c r="LM104" s="182">
        <f>VLOOKUP($IW104,Base_Mensuelle!$OF$68:$RM$679,HLOOKUP(LM$73,Base_Mensuelle!$QG$67:$RM$680,614,0))</f>
        <v>62.695</v>
      </c>
      <c r="LN104" s="182">
        <f>VLOOKUP($IW104,Base_Mensuelle!$OF$68:$RM$679,HLOOKUP(LN$73,Base_Mensuelle!$QG$67:$RM$680,614,0))</f>
        <v>511.29997297264356</v>
      </c>
      <c r="LO104" s="182">
        <f>VLOOKUP($IW104,Base_Mensuelle!$OF$68:$RM$679,HLOOKUP(LO$73,Base_Mensuelle!$QG$67:$RM$680,614,0))</f>
        <v>0</v>
      </c>
      <c r="LP104" s="182">
        <f>VLOOKUP($IW104,Base_Mensuelle!$OF$68:$RM$679,HLOOKUP(LP$73,Base_Mensuelle!$QG$67:$RM$680,614,0))</f>
        <v>0.69399999999999995</v>
      </c>
      <c r="LQ104" s="182">
        <f>VLOOKUP($IW104,Base_Mensuelle!$OF$68:$RM$679,HLOOKUP(LQ$73,Base_Mensuelle!$QG$67:$RM$680,614,0))</f>
        <v>239.99999224869546</v>
      </c>
      <c r="LR104" s="182">
        <f>VLOOKUP($IW104,Base_Mensuelle!$OF$68:$RM$679,HLOOKUP(LR$73,Base_Mensuelle!$QG$67:$RM$680,614,0))</f>
        <v>278.41684855102079</v>
      </c>
      <c r="LS104" s="182">
        <f>VLOOKUP($IW104,Base_Mensuelle!$OF$68:$RM$679,HLOOKUP(LS$73,Base_Mensuelle!$QG$67:$RM$680,614,0))</f>
        <v>0</v>
      </c>
      <c r="LT104" s="182">
        <f>VLOOKUP($IW104,Base_Mensuelle!$OF$68:$RM$679,HLOOKUP(LT$73,Base_Mensuelle!$QG$67:$RM$680,614,0))</f>
        <v>26.507000000000001</v>
      </c>
      <c r="LU104" s="182">
        <f>VLOOKUP($IW104,Base_Mensuelle!$OF$68:$RM$679,HLOOKUP(LU$73,Base_Mensuelle!$QG$67:$RM$680,614,0))</f>
        <v>2.004</v>
      </c>
      <c r="LV104" s="182">
        <f>VLOOKUP($IW104,Base_Mensuelle!$OF$68:$RM$679,HLOOKUP(LV$73,Base_Mensuelle!$QG$67:$RM$680,614,0))</f>
        <v>14.080000000000002</v>
      </c>
      <c r="LW104" s="182">
        <f>VLOOKUP($IW104,Base_Mensuelle!$OF$68:$RM$679,HLOOKUP(LW$73,Base_Mensuelle!$QG$67:$RM$680,614,0))</f>
        <v>0</v>
      </c>
      <c r="LX104" s="182">
        <f>VLOOKUP($IW104,Base_Mensuelle!$OF$68:$RM$679,HLOOKUP(LX$73,Base_Mensuelle!$QG$67:$RM$680,614,0))</f>
        <v>0</v>
      </c>
      <c r="LY104" s="182">
        <f>VLOOKUP($IW104,Base_Mensuelle!$OF$68:$RM$679,HLOOKUP(LY$73,Base_Mensuelle!$QG$67:$RM$680,614,0))</f>
        <v>88.395999999999972</v>
      </c>
      <c r="LZ104" s="182">
        <f>VLOOKUP($IW104,Base_Mensuelle!$OF$68:$RM$679,HLOOKUP(LZ$73,Base_Mensuelle!$QG$67:$RM$680,614,0))</f>
        <v>22.533999999999963</v>
      </c>
      <c r="MA104" s="182">
        <f>VLOOKUP($IW104,Base_Mensuelle!$OF$68:$RM$679,HLOOKUP(MA$73,Base_Mensuelle!$QG$67:$RM$680,614,0))</f>
        <v>0</v>
      </c>
      <c r="MB104" s="182">
        <f>VLOOKUP($IW104,Base_Mensuelle!$OF$68:$RM$679,HLOOKUP(MB$73,Base_Mensuelle!$QG$67:$RM$680,614,0))</f>
        <v>0</v>
      </c>
      <c r="MC104" s="182">
        <f>VLOOKUP($IW104,Base_Mensuelle!$OF$68:$RM$679,HLOOKUP(MC$73,Base_Mensuelle!$QG$67:$RM$680,614,0))</f>
        <v>0</v>
      </c>
      <c r="MD104" s="182">
        <f>VLOOKUP($IW104,Base_Mensuelle!$OF$68:$RM$679,HLOOKUP(MD$73,Base_Mensuelle!$QG$67:$RM$680,614,0))</f>
        <v>0</v>
      </c>
      <c r="ME104" s="182">
        <f>VLOOKUP($IW104,Base_Mensuelle!$OF$68:$RM$679,HLOOKUP(ME$73,Base_Mensuelle!$QG$67:$RM$680,614,0))</f>
        <v>0</v>
      </c>
      <c r="MF104" s="182"/>
      <c r="MG104" s="182"/>
      <c r="MH104" s="290"/>
      <c r="MI104" s="29">
        <v>31</v>
      </c>
      <c r="MJ104" s="29" t="str">
        <f t="shared" si="82"/>
        <v>Trimestre 32007</v>
      </c>
      <c r="MK104" s="848">
        <v>39326</v>
      </c>
      <c r="ML104" s="29"/>
      <c r="MM104" s="29"/>
      <c r="MN104" s="29"/>
      <c r="MO104" s="29"/>
      <c r="MP104" s="29"/>
      <c r="MQ104" s="29"/>
      <c r="MR104" s="29"/>
      <c r="MS104" s="29"/>
      <c r="MT104" s="29"/>
      <c r="MU104" s="29"/>
      <c r="MV104" s="29"/>
      <c r="MW104" s="29"/>
      <c r="MX104" s="29"/>
      <c r="MY104" s="29"/>
      <c r="MZ104" s="29"/>
      <c r="NA104" s="29"/>
      <c r="NB104" s="29"/>
      <c r="NC104" s="29"/>
      <c r="ND104" s="29"/>
      <c r="NE104" s="29"/>
      <c r="NF104" s="29"/>
      <c r="NG104" s="29"/>
      <c r="NH104" s="29"/>
      <c r="NI104" s="29"/>
      <c r="NJ104" s="29"/>
      <c r="NK104" s="29"/>
      <c r="NL104" s="29">
        <v>31</v>
      </c>
    </row>
    <row r="105" spans="1:376">
      <c r="A105" s="41">
        <f t="shared" si="80"/>
        <v>2007</v>
      </c>
      <c r="B105" s="785">
        <v>39417</v>
      </c>
      <c r="C105" s="19">
        <v>291.17131589126126</v>
      </c>
      <c r="D105" s="93">
        <v>90.817597500370695</v>
      </c>
      <c r="E105" s="93">
        <v>91.960885622978736</v>
      </c>
      <c r="F105" s="93">
        <v>52.532684838637707</v>
      </c>
      <c r="G105" s="93">
        <v>162.60934318718373</v>
      </c>
      <c r="H105" s="93">
        <v>77.98980369374226</v>
      </c>
      <c r="I105" s="93">
        <v>111.76843879619875</v>
      </c>
      <c r="J105" s="93">
        <v>121.21048884532694</v>
      </c>
      <c r="K105" s="93">
        <v>99.999999673582323</v>
      </c>
      <c r="L105" s="93">
        <v>105.81184422120776</v>
      </c>
      <c r="M105" s="20">
        <v>97.699582080991007</v>
      </c>
      <c r="N105" s="25">
        <v>32</v>
      </c>
      <c r="O105" s="889">
        <f t="shared" si="79"/>
        <v>2007</v>
      </c>
      <c r="P105" s="29" t="str">
        <f t="shared" si="81"/>
        <v>Trimestre 42007</v>
      </c>
      <c r="Q105" s="848">
        <v>39417</v>
      </c>
      <c r="R105" s="733"/>
      <c r="S105" s="570"/>
      <c r="T105" s="570"/>
      <c r="U105" s="734"/>
      <c r="V105" s="25">
        <v>32</v>
      </c>
      <c r="W105" s="19"/>
      <c r="X105" s="93"/>
      <c r="Y105" s="93"/>
      <c r="Z105" s="93"/>
      <c r="AA105" s="93"/>
      <c r="AB105" s="93"/>
      <c r="AC105" s="93"/>
      <c r="AD105" s="93"/>
      <c r="AE105" s="20"/>
      <c r="AF105" s="25">
        <v>32</v>
      </c>
      <c r="AG105" s="19"/>
      <c r="AH105" s="93"/>
      <c r="AI105" s="93"/>
      <c r="AJ105" s="93"/>
      <c r="AK105" s="93"/>
      <c r="AL105" s="93"/>
      <c r="AM105" s="93"/>
      <c r="AN105" s="20"/>
      <c r="AO105" s="19"/>
      <c r="AP105" s="93"/>
      <c r="AQ105" s="93"/>
      <c r="AR105" s="93"/>
      <c r="AS105" s="20"/>
      <c r="AT105" s="19"/>
      <c r="AU105" s="93"/>
      <c r="AV105" s="20"/>
      <c r="AW105" s="19"/>
      <c r="AX105" s="93"/>
      <c r="AY105" s="93"/>
      <c r="AZ105" s="93"/>
      <c r="BA105" s="93"/>
      <c r="BB105" s="93"/>
      <c r="BC105" s="20"/>
      <c r="BD105" s="19"/>
      <c r="BE105" s="93"/>
      <c r="BF105" s="93"/>
      <c r="BG105" s="93"/>
      <c r="BH105" s="93"/>
      <c r="BI105" s="93"/>
      <c r="BJ105" s="93"/>
      <c r="BK105" s="20"/>
      <c r="BL105" s="19"/>
      <c r="BM105" s="93"/>
      <c r="BN105" s="93"/>
      <c r="BO105" s="93"/>
      <c r="BP105" s="93"/>
      <c r="BQ105" s="20"/>
      <c r="BR105" s="19"/>
      <c r="BS105" s="93"/>
      <c r="BT105" s="93"/>
      <c r="BU105" s="20"/>
      <c r="BV105" s="19"/>
      <c r="BW105" s="93"/>
      <c r="BX105" s="93"/>
      <c r="BY105" s="93"/>
      <c r="BZ105" s="93"/>
      <c r="CA105" s="93"/>
      <c r="CB105" s="20"/>
      <c r="CC105" s="25">
        <v>32</v>
      </c>
      <c r="CD105" s="19"/>
      <c r="CE105" s="93"/>
      <c r="CF105" s="20"/>
      <c r="CG105" s="25">
        <v>32</v>
      </c>
      <c r="CH105" s="19"/>
      <c r="CI105" s="93"/>
      <c r="CJ105" s="93"/>
      <c r="CK105" s="93"/>
      <c r="CL105" s="93"/>
      <c r="CM105" s="93"/>
      <c r="CN105" s="93"/>
      <c r="CO105" s="93"/>
      <c r="CP105" s="93"/>
      <c r="CQ105" s="93"/>
      <c r="CR105" s="214"/>
      <c r="CS105" s="20"/>
      <c r="CT105" s="25">
        <v>32</v>
      </c>
      <c r="CU105" s="19"/>
      <c r="CV105" s="93"/>
      <c r="CW105" s="93"/>
      <c r="CX105" s="93"/>
      <c r="CY105" s="93"/>
      <c r="CZ105" s="93"/>
      <c r="DA105" s="93"/>
      <c r="DB105" s="20"/>
      <c r="DC105" s="25">
        <v>32</v>
      </c>
      <c r="DD105" s="785">
        <v>39417</v>
      </c>
      <c r="DE105" s="19"/>
      <c r="DF105" s="20"/>
      <c r="DG105" s="25">
        <v>32</v>
      </c>
      <c r="DH105" s="19"/>
      <c r="DI105" s="20"/>
      <c r="DJ105" s="25">
        <v>32</v>
      </c>
      <c r="DK105" s="19"/>
      <c r="DL105" s="20"/>
      <c r="DM105" s="19"/>
      <c r="DN105" s="20"/>
      <c r="DO105" s="25">
        <v>32</v>
      </c>
      <c r="DP105" s="19"/>
      <c r="DQ105" s="93"/>
      <c r="DR105" s="20"/>
      <c r="DS105" s="25">
        <v>32</v>
      </c>
      <c r="DT105" s="19"/>
      <c r="DU105" s="93"/>
      <c r="DV105" s="20"/>
      <c r="DW105" s="25">
        <v>32</v>
      </c>
      <c r="DX105" s="19"/>
      <c r="DY105" s="20"/>
      <c r="DZ105" s="25">
        <v>32</v>
      </c>
      <c r="EA105" s="19"/>
      <c r="EB105" s="93"/>
      <c r="EC105" s="93"/>
      <c r="ED105" s="93"/>
      <c r="EE105" s="20"/>
      <c r="EF105" s="25">
        <v>32</v>
      </c>
      <c r="EG105" s="19"/>
      <c r="EH105" s="93"/>
      <c r="EI105" s="93"/>
      <c r="EJ105" s="93"/>
      <c r="EK105" s="20"/>
      <c r="EL105" s="25">
        <v>32</v>
      </c>
      <c r="EM105" s="19"/>
      <c r="EN105" s="93"/>
      <c r="EO105" s="93"/>
      <c r="EP105" s="93"/>
      <c r="EQ105" s="93"/>
      <c r="ER105" s="93"/>
      <c r="ES105" s="93"/>
      <c r="ET105" s="93"/>
      <c r="EU105" s="93"/>
      <c r="EV105" s="20"/>
      <c r="EW105" s="25">
        <v>32</v>
      </c>
      <c r="EX105" s="915"/>
      <c r="EY105" s="916"/>
      <c r="EZ105" s="916"/>
      <c r="FA105" s="916"/>
      <c r="FB105" s="916"/>
      <c r="FC105" s="916"/>
      <c r="FD105" s="916"/>
      <c r="FE105" s="916"/>
      <c r="FF105" s="916"/>
      <c r="FG105" s="917"/>
      <c r="FH105" s="25">
        <v>32</v>
      </c>
      <c r="FI105" s="848">
        <v>39417</v>
      </c>
      <c r="FJ105" s="19"/>
      <c r="FK105" s="93"/>
      <c r="FL105" s="20"/>
      <c r="FM105" s="25">
        <v>32</v>
      </c>
      <c r="FN105" s="19"/>
      <c r="FO105" s="93"/>
      <c r="FP105" s="93"/>
      <c r="FQ105" s="93"/>
      <c r="FR105" s="93"/>
      <c r="FS105" s="93"/>
      <c r="FT105" s="93"/>
      <c r="FU105" s="93"/>
      <c r="FV105" s="93"/>
      <c r="FW105" s="917"/>
      <c r="FX105" s="25">
        <v>32</v>
      </c>
      <c r="FY105" s="916"/>
      <c r="FZ105" s="916"/>
      <c r="GA105" s="916"/>
      <c r="GB105" s="916"/>
      <c r="GC105" s="916"/>
      <c r="GD105" s="916"/>
      <c r="GE105" s="916"/>
      <c r="GF105" s="916"/>
      <c r="GG105" s="916"/>
      <c r="GH105" s="916"/>
      <c r="GI105" s="917"/>
      <c r="GJ105" s="25">
        <v>32</v>
      </c>
      <c r="GK105" s="19"/>
      <c r="GL105" s="20"/>
      <c r="GM105" s="25">
        <v>32</v>
      </c>
      <c r="GN105" s="19"/>
      <c r="GO105" s="20"/>
      <c r="GP105" s="25">
        <v>32</v>
      </c>
      <c r="GQ105" s="19"/>
      <c r="GR105" s="20"/>
      <c r="GS105" s="25">
        <v>32</v>
      </c>
      <c r="GT105" s="848">
        <v>39417</v>
      </c>
      <c r="GU105" s="19"/>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v>32</v>
      </c>
      <c r="IW105" s="848">
        <v>39417</v>
      </c>
      <c r="IX105" s="1035"/>
      <c r="IY105" s="1035">
        <v>208.30500000000001</v>
      </c>
      <c r="IZ105" s="1035">
        <v>228.43899999999999</v>
      </c>
      <c r="JA105" s="1035">
        <v>0.38180552700000003</v>
      </c>
      <c r="JB105" s="1035">
        <v>220.81081389455477</v>
      </c>
      <c r="JC105" s="1035">
        <v>52.948399999999999</v>
      </c>
      <c r="JD105" s="1035">
        <v>482.44601942155481</v>
      </c>
      <c r="JE105" s="1035">
        <v>210.86858400574738</v>
      </c>
      <c r="JF105" s="1035">
        <v>693.31460342730225</v>
      </c>
      <c r="JG105" s="1035"/>
      <c r="JH105" s="1035">
        <v>409.79345903788351</v>
      </c>
      <c r="JI105" s="1035">
        <v>349.53683607700003</v>
      </c>
      <c r="JJ105" s="1035">
        <v>60.256622960883547</v>
      </c>
      <c r="JK105" s="1035">
        <v>384.4363353174187</v>
      </c>
      <c r="JL105" s="1035">
        <v>-146.07659673699999</v>
      </c>
      <c r="JM105" s="1035">
        <v>-71.482596736999994</v>
      </c>
      <c r="JN105" s="1035">
        <v>-74.593999999999994</v>
      </c>
      <c r="JO105" s="1035">
        <v>530.51293205441868</v>
      </c>
      <c r="JP105" s="1035">
        <v>2.1241571149999996</v>
      </c>
      <c r="JQ105" s="1035">
        <v>528.38877493941868</v>
      </c>
      <c r="JR105" s="1035">
        <v>106.41103735199999</v>
      </c>
      <c r="JS105" s="1035">
        <v>-5.4958464239999998</v>
      </c>
      <c r="JT105" s="1036">
        <v>693.31460342730213</v>
      </c>
      <c r="JU105" s="29">
        <v>32</v>
      </c>
      <c r="JV105" s="1037"/>
      <c r="JW105" s="1526">
        <f>VLOOKUP($IW105,Base_Mensuelle!$OF$68:$RM$679,HLOOKUP(JW$73,Base_Mensuelle!$PE$67:$QE$680,614,0))</f>
        <v>349.53683607700003</v>
      </c>
      <c r="JX105" s="1526">
        <f>VLOOKUP($IW105,Base_Mensuelle!$OF$68:$RM$679,HLOOKUP(JX$73,Base_Mensuelle!$PE$67:$QE$680,614,0))</f>
        <v>451.58487719800002</v>
      </c>
      <c r="JY105" s="1526">
        <f>VLOOKUP($IW105,Base_Mensuelle!$OF$68:$RM$679,HLOOKUP(JY$73,Base_Mensuelle!$PE$67:$QE$680,614,0))</f>
        <v>102.048041121</v>
      </c>
      <c r="JZ105" s="1526">
        <f>VLOOKUP($IW105,Base_Mensuelle!$OF$68:$RM$679,HLOOKUP(JZ$73,Base_Mensuelle!$PE$67:$QE$680,614,0))</f>
        <v>6.4000300000000001</v>
      </c>
      <c r="KA105" s="1526">
        <f>VLOOKUP($IW105,Base_Mensuelle!$OF$68:$RM$679,HLOOKUP(KA$73,Base_Mensuelle!$PE$67:$QE$680,614,0))</f>
        <v>-71.482596736999994</v>
      </c>
      <c r="KB105" s="1526">
        <f>VLOOKUP($IW105,Base_Mensuelle!$OF$68:$RM$679,HLOOKUP(KB$73,Base_Mensuelle!$PE$67:$QE$680,614,0))</f>
        <v>37.754107863999998</v>
      </c>
      <c r="KC105" s="1526">
        <f>VLOOKUP($IW105,Base_Mensuelle!$OF$68:$RM$679,HLOOKUP(KC$73,Base_Mensuelle!$PE$67:$QE$680,614,0))</f>
        <v>109.236704601</v>
      </c>
      <c r="KD105" s="1526">
        <f>VLOOKUP($IW105,Base_Mensuelle!$OF$68:$RM$679,HLOOKUP(KD$73,Base_Mensuelle!$PE$67:$QE$680,614,0))</f>
        <v>2.1241571149999996</v>
      </c>
      <c r="KE105" s="1526">
        <f>VLOOKUP($IW105,Base_Mensuelle!$OF$68:$RM$679,HLOOKUP(KE$73,Base_Mensuelle!$PE$67:$QE$680,614,0))</f>
        <v>0</v>
      </c>
      <c r="KF105" s="1526">
        <f>VLOOKUP($IW105,Base_Mensuelle!$OF$68:$RM$679,HLOOKUP(KF$73,Base_Mensuelle!$PE$67:$QE$680,614,0))</f>
        <v>0</v>
      </c>
      <c r="KG105" s="1526">
        <f>VLOOKUP($IW105,Base_Mensuelle!$OF$68:$RM$679,HLOOKUP(KG$73,Base_Mensuelle!$PE$67:$QE$680,614,0))</f>
        <v>8.4165499999999996E-4</v>
      </c>
      <c r="KH105" s="1526">
        <f>VLOOKUP($IW105,Base_Mensuelle!$OF$68:$RM$679,HLOOKUP(KH$73,Base_Mensuelle!$PE$67:$QE$680,614,0))</f>
        <v>2.1233154599999997</v>
      </c>
      <c r="KI105" s="1526">
        <f>VLOOKUP($IW105,Base_Mensuelle!$OF$68:$RM$679,HLOOKUP(KI$73,Base_Mensuelle!$PE$67:$QE$680,614,0))</f>
        <v>291.30526093599997</v>
      </c>
      <c r="KJ105" s="1526">
        <f>VLOOKUP($IW105,Base_Mensuelle!$OF$68:$RM$679,HLOOKUP(KJ$73,Base_Mensuelle!$PE$67:$QE$680,614,0))</f>
        <v>228.43899999999999</v>
      </c>
      <c r="KK105" s="1526">
        <f>VLOOKUP($IW105,Base_Mensuelle!$OF$68:$RM$679,HLOOKUP(KK$73,Base_Mensuelle!$PE$67:$QE$680,614,0))</f>
        <v>62.484455408999999</v>
      </c>
      <c r="KL105" s="1526">
        <f>VLOOKUP($IW105,Base_Mensuelle!$OF$68:$RM$679,HLOOKUP(KL$73,Base_Mensuelle!$PE$67:$QE$680,614,0))</f>
        <v>0.38180552700000003</v>
      </c>
      <c r="KM105" s="1526">
        <f>VLOOKUP($IW105,Base_Mensuelle!$OF$68:$RM$679,HLOOKUP(KM$73,Base_Mensuelle!$PE$67:$QE$680,614,0))</f>
        <v>0</v>
      </c>
      <c r="KN105" s="1526">
        <f>VLOOKUP($IW105,Base_Mensuelle!$OF$68:$RM$679,HLOOKUP(KN$73,Base_Mensuelle!$PE$67:$QE$680,614,0))</f>
        <v>7.6730208999999994E-2</v>
      </c>
      <c r="KO105" s="1526">
        <f>VLOOKUP($IW105,Base_Mensuelle!$OF$68:$RM$679,HLOOKUP(KO$73,Base_Mensuelle!$PE$67:$QE$680,614,0))</f>
        <v>0</v>
      </c>
      <c r="KP105" s="1526">
        <f>VLOOKUP($IW105,Base_Mensuelle!$OF$68:$RM$679,HLOOKUP(KP$73,Base_Mensuelle!$PE$67:$QE$680,614,0))</f>
        <v>0</v>
      </c>
      <c r="KQ105" s="1526">
        <f>VLOOKUP($IW105,Base_Mensuelle!$OF$68:$RM$679,HLOOKUP(KQ$73,Base_Mensuelle!$PE$67:$QE$680,614,0))</f>
        <v>7.6730208999999994E-2</v>
      </c>
      <c r="KR105" s="1526">
        <f>VLOOKUP($IW105,Base_Mensuelle!$OF$68:$RM$679,HLOOKUP(KR$73,Base_Mensuelle!$PE$67:$QE$680,614,0))</f>
        <v>0</v>
      </c>
      <c r="KS105" s="1526">
        <f>VLOOKUP($IW105,Base_Mensuelle!$OF$68:$RM$679,HLOOKUP(KS$73,Base_Mensuelle!$PE$67:$QE$680,614,0))</f>
        <v>0</v>
      </c>
      <c r="KT105" s="1526">
        <f>VLOOKUP($IW105,Base_Mensuelle!$OF$68:$RM$679,HLOOKUP(KT$73,Base_Mensuelle!$PE$67:$QE$680,614,0))</f>
        <v>0</v>
      </c>
      <c r="KU105" s="1526">
        <f>VLOOKUP($IW105,Base_Mensuelle!$OF$68:$RM$679,HLOOKUP(KU$73,Base_Mensuelle!$PE$67:$QE$680,614,0))</f>
        <v>-8.535692856999999</v>
      </c>
      <c r="KV105" s="1526">
        <f>VLOOKUP($IW105,Base_Mensuelle!$OF$68:$RM$679,HLOOKUP(KV$73,Base_Mensuelle!$PE$67:$QE$680,614,0))</f>
        <v>3.7321281669999999</v>
      </c>
      <c r="KW105" s="1036"/>
      <c r="KX105" s="29">
        <v>32</v>
      </c>
      <c r="KY105" s="1037"/>
      <c r="KZ105" s="182">
        <f>VLOOKUP($IW105,Base_Mensuelle!$OF$68:$RM$679,HLOOKUP(KZ$73,Base_Mensuelle!$QG$67:$RM$680,614,0))</f>
        <v>60.256622960883547</v>
      </c>
      <c r="LA105" s="182">
        <f>VLOOKUP($IW105,Base_Mensuelle!$OF$68:$RM$679,HLOOKUP(LA$73,Base_Mensuelle!$QG$67:$RM$680,614,0))</f>
        <v>167.2942250605814</v>
      </c>
      <c r="LB105" s="182">
        <f>VLOOKUP($IW105,Base_Mensuelle!$OF$68:$RM$679,HLOOKUP(LB$73,Base_Mensuelle!$QG$67:$RM$680,614,0))</f>
        <v>-107.03760209969785</v>
      </c>
      <c r="LC105" s="182">
        <f>VLOOKUP($IW105,Base_Mensuelle!$OF$68:$RM$679,HLOOKUP(LC$73,Base_Mensuelle!$QG$67:$RM$680,614,0))</f>
        <v>83.334000000000003</v>
      </c>
      <c r="LD105" s="182">
        <f>VLOOKUP($IW105,Base_Mensuelle!$OF$68:$RM$679,HLOOKUP(LD$73,Base_Mensuelle!$QG$67:$RM$680,614,0))</f>
        <v>20.134</v>
      </c>
      <c r="LE105" s="182">
        <f>VLOOKUP($IW105,Base_Mensuelle!$OF$68:$RM$679,HLOOKUP(LE$73,Base_Mensuelle!$QG$67:$RM$680,614,0))</f>
        <v>63.2</v>
      </c>
      <c r="LF105" s="182">
        <f>VLOOKUP($IW105,Base_Mensuelle!$OF$68:$RM$679,HLOOKUP(LF$73,Base_Mensuelle!$QG$67:$RM$680,614,0))</f>
        <v>0</v>
      </c>
      <c r="LG105" s="182">
        <f>VLOOKUP($IW105,Base_Mensuelle!$OF$68:$RM$679,HLOOKUP(LG$73,Base_Mensuelle!$QG$67:$RM$680,614,0))</f>
        <v>-74.593999999999994</v>
      </c>
      <c r="LH105" s="182">
        <f>VLOOKUP($IW105,Base_Mensuelle!$OF$68:$RM$679,HLOOKUP(LH$73,Base_Mensuelle!$QG$67:$RM$680,614,0))</f>
        <v>47.544000000000004</v>
      </c>
      <c r="LI105" s="182">
        <f>VLOOKUP($IW105,Base_Mensuelle!$OF$68:$RM$679,HLOOKUP(LI$73,Base_Mensuelle!$QG$67:$RM$680,614,0))</f>
        <v>-122.13799999999999</v>
      </c>
      <c r="LJ105" s="182">
        <f>VLOOKUP($IW105,Base_Mensuelle!$OF$68:$RM$679,HLOOKUP(LJ$73,Base_Mensuelle!$QG$67:$RM$680,614,0))</f>
        <v>528.38877493941868</v>
      </c>
      <c r="LK105" s="182">
        <f>VLOOKUP($IW105,Base_Mensuelle!$OF$68:$RM$679,HLOOKUP(LK$73,Base_Mensuelle!$QG$67:$RM$680,614,0))</f>
        <v>10.913912380224991</v>
      </c>
      <c r="LL105" s="182">
        <f>VLOOKUP($IW105,Base_Mensuelle!$OF$68:$RM$679,HLOOKUP(LL$73,Base_Mensuelle!$QG$67:$RM$680,614,0))</f>
        <v>0</v>
      </c>
      <c r="LM105" s="182">
        <f>VLOOKUP($IW105,Base_Mensuelle!$OF$68:$RM$679,HLOOKUP(LM$73,Base_Mensuelle!$QG$67:$RM$680,614,0))</f>
        <v>52.970999999999997</v>
      </c>
      <c r="LN105" s="182">
        <f>VLOOKUP($IW105,Base_Mensuelle!$OF$68:$RM$679,HLOOKUP(LN$73,Base_Mensuelle!$QG$67:$RM$680,614,0))</f>
        <v>464.50386255919369</v>
      </c>
      <c r="LO105" s="182">
        <f>VLOOKUP($IW105,Base_Mensuelle!$OF$68:$RM$679,HLOOKUP(LO$73,Base_Mensuelle!$QG$67:$RM$680,614,0))</f>
        <v>0</v>
      </c>
      <c r="LP105" s="182">
        <f>VLOOKUP($IW105,Base_Mensuelle!$OF$68:$RM$679,HLOOKUP(LP$73,Base_Mensuelle!$QG$67:$RM$680,614,0))</f>
        <v>5.5910000000000002</v>
      </c>
      <c r="LQ105" s="182">
        <f>VLOOKUP($IW105,Base_Mensuelle!$OF$68:$RM$679,HLOOKUP(LQ$73,Base_Mensuelle!$QG$67:$RM$680,614,0))</f>
        <v>220.81081389455477</v>
      </c>
      <c r="LR105" s="182">
        <f>VLOOKUP($IW105,Base_Mensuelle!$OF$68:$RM$679,HLOOKUP(LR$73,Base_Mensuelle!$QG$67:$RM$680,614,0))</f>
        <v>210.86858400574738</v>
      </c>
      <c r="LS105" s="182">
        <f>VLOOKUP($IW105,Base_Mensuelle!$OF$68:$RM$679,HLOOKUP(LS$73,Base_Mensuelle!$QG$67:$RM$680,614,0))</f>
        <v>0</v>
      </c>
      <c r="LT105" s="182">
        <f>VLOOKUP($IW105,Base_Mensuelle!$OF$68:$RM$679,HLOOKUP(LT$73,Base_Mensuelle!$QG$67:$RM$680,614,0))</f>
        <v>22.226999999999997</v>
      </c>
      <c r="LU105" s="182">
        <f>VLOOKUP($IW105,Base_Mensuelle!$OF$68:$RM$679,HLOOKUP(LU$73,Base_Mensuelle!$QG$67:$RM$680,614,0))</f>
        <v>0</v>
      </c>
      <c r="LV105" s="182">
        <f>VLOOKUP($IW105,Base_Mensuelle!$OF$68:$RM$679,HLOOKUP(LV$73,Base_Mensuelle!$QG$67:$RM$680,614,0))</f>
        <v>7.9059999999999997</v>
      </c>
      <c r="LW105" s="182">
        <f>VLOOKUP($IW105,Base_Mensuelle!$OF$68:$RM$679,HLOOKUP(LW$73,Base_Mensuelle!$QG$67:$RM$680,614,0))</f>
        <v>0</v>
      </c>
      <c r="LX105" s="182">
        <f>VLOOKUP($IW105,Base_Mensuelle!$OF$68:$RM$679,HLOOKUP(LX$73,Base_Mensuelle!$QG$67:$RM$680,614,0))</f>
        <v>0</v>
      </c>
      <c r="LY105" s="182">
        <f>VLOOKUP($IW105,Base_Mensuelle!$OF$68:$RM$679,HLOOKUP(LY$73,Base_Mensuelle!$QG$67:$RM$680,614,0))</f>
        <v>84.736999999999995</v>
      </c>
      <c r="LZ105" s="182">
        <f>VLOOKUP($IW105,Base_Mensuelle!$OF$68:$RM$679,HLOOKUP(LZ$73,Base_Mensuelle!$QG$67:$RM$680,614,0))</f>
        <v>45.245000000000005</v>
      </c>
      <c r="MA105" s="182">
        <f>VLOOKUP($IW105,Base_Mensuelle!$OF$68:$RM$679,HLOOKUP(MA$73,Base_Mensuelle!$QG$67:$RM$680,614,0))</f>
        <v>0</v>
      </c>
      <c r="MB105" s="182">
        <f>VLOOKUP($IW105,Base_Mensuelle!$OF$68:$RM$679,HLOOKUP(MB$73,Base_Mensuelle!$QG$67:$RM$680,614,0))</f>
        <v>0</v>
      </c>
      <c r="MC105" s="182">
        <f>VLOOKUP($IW105,Base_Mensuelle!$OF$68:$RM$679,HLOOKUP(MC$73,Base_Mensuelle!$QG$67:$RM$680,614,0))</f>
        <v>0</v>
      </c>
      <c r="MD105" s="182">
        <f>VLOOKUP($IW105,Base_Mensuelle!$OF$68:$RM$679,HLOOKUP(MD$73,Base_Mensuelle!$QG$67:$RM$680,614,0))</f>
        <v>0</v>
      </c>
      <c r="ME105" s="182">
        <f>VLOOKUP($IW105,Base_Mensuelle!$OF$68:$RM$679,HLOOKUP(ME$73,Base_Mensuelle!$QG$67:$RM$680,614,0))</f>
        <v>0</v>
      </c>
      <c r="MF105" s="182"/>
      <c r="MG105" s="182"/>
      <c r="MH105" s="290"/>
      <c r="MI105" s="29">
        <v>32</v>
      </c>
      <c r="MJ105" s="29" t="str">
        <f t="shared" si="82"/>
        <v>Trimestre 42007</v>
      </c>
      <c r="MK105" s="848">
        <v>39417</v>
      </c>
      <c r="ML105" s="29"/>
      <c r="MM105" s="29"/>
      <c r="MN105" s="29"/>
      <c r="MO105" s="29"/>
      <c r="MP105" s="29"/>
      <c r="MQ105" s="29"/>
      <c r="MR105" s="29"/>
      <c r="MS105" s="29"/>
      <c r="MT105" s="29"/>
      <c r="MU105" s="29"/>
      <c r="MV105" s="29"/>
      <c r="MW105" s="29"/>
      <c r="MX105" s="29"/>
      <c r="MY105" s="29"/>
      <c r="MZ105" s="29"/>
      <c r="NA105" s="29"/>
      <c r="NB105" s="29"/>
      <c r="NC105" s="29"/>
      <c r="ND105" s="29"/>
      <c r="NE105" s="29"/>
      <c r="NF105" s="29"/>
      <c r="NG105" s="29"/>
      <c r="NH105" s="29"/>
      <c r="NI105" s="29"/>
      <c r="NJ105" s="29"/>
      <c r="NK105" s="29"/>
      <c r="NL105" s="29">
        <v>32</v>
      </c>
    </row>
    <row r="106" spans="1:376">
      <c r="A106" s="41">
        <f t="shared" si="80"/>
        <v>2008</v>
      </c>
      <c r="B106" s="785">
        <v>39508</v>
      </c>
      <c r="C106" s="19">
        <v>468.29687179022136</v>
      </c>
      <c r="D106" s="93">
        <v>116.73450419060272</v>
      </c>
      <c r="E106" s="93">
        <v>96.88510695839679</v>
      </c>
      <c r="F106" s="93">
        <v>194.53416743111183</v>
      </c>
      <c r="G106" s="93">
        <v>106.411135388733</v>
      </c>
      <c r="H106" s="93">
        <v>53.92782499902701</v>
      </c>
      <c r="I106" s="93">
        <v>348.92729831260186</v>
      </c>
      <c r="J106" s="93">
        <v>108.7806032141357</v>
      </c>
      <c r="K106" s="93">
        <v>93.004308847091053</v>
      </c>
      <c r="L106" s="93">
        <v>102.09306658230464</v>
      </c>
      <c r="M106" s="20">
        <v>151.44023875423349</v>
      </c>
      <c r="N106" s="25">
        <v>33</v>
      </c>
      <c r="O106" s="889">
        <f t="shared" si="79"/>
        <v>2008</v>
      </c>
      <c r="P106" s="29" t="str">
        <f t="shared" si="81"/>
        <v>Trimestre 12008</v>
      </c>
      <c r="Q106" s="848">
        <v>39508</v>
      </c>
      <c r="R106" s="733"/>
      <c r="S106" s="570"/>
      <c r="T106" s="570"/>
      <c r="U106" s="734"/>
      <c r="V106" s="25">
        <v>33</v>
      </c>
      <c r="W106" s="19"/>
      <c r="X106" s="93"/>
      <c r="Y106" s="93"/>
      <c r="Z106" s="93"/>
      <c r="AA106" s="93"/>
      <c r="AB106" s="93"/>
      <c r="AC106" s="93"/>
      <c r="AD106" s="93"/>
      <c r="AE106" s="20"/>
      <c r="AF106" s="25">
        <v>33</v>
      </c>
      <c r="AG106" s="19"/>
      <c r="AH106" s="93"/>
      <c r="AI106" s="93"/>
      <c r="AJ106" s="93"/>
      <c r="AK106" s="93"/>
      <c r="AL106" s="93"/>
      <c r="AM106" s="93"/>
      <c r="AN106" s="20"/>
      <c r="AO106" s="19"/>
      <c r="AP106" s="93"/>
      <c r="AQ106" s="93"/>
      <c r="AR106" s="93"/>
      <c r="AS106" s="20"/>
      <c r="AT106" s="19"/>
      <c r="AU106" s="93"/>
      <c r="AV106" s="20"/>
      <c r="AW106" s="19"/>
      <c r="AX106" s="93"/>
      <c r="AY106" s="93"/>
      <c r="AZ106" s="93"/>
      <c r="BA106" s="93"/>
      <c r="BB106" s="93"/>
      <c r="BC106" s="20"/>
      <c r="BD106" s="19"/>
      <c r="BE106" s="93"/>
      <c r="BF106" s="93"/>
      <c r="BG106" s="93"/>
      <c r="BH106" s="93"/>
      <c r="BI106" s="93"/>
      <c r="BJ106" s="93"/>
      <c r="BK106" s="20"/>
      <c r="BL106" s="19"/>
      <c r="BM106" s="93"/>
      <c r="BN106" s="93"/>
      <c r="BO106" s="93"/>
      <c r="BP106" s="93"/>
      <c r="BQ106" s="20"/>
      <c r="BR106" s="19"/>
      <c r="BS106" s="93"/>
      <c r="BT106" s="93"/>
      <c r="BU106" s="20"/>
      <c r="BV106" s="19"/>
      <c r="BW106" s="93"/>
      <c r="BX106" s="93"/>
      <c r="BY106" s="93"/>
      <c r="BZ106" s="93"/>
      <c r="CA106" s="93"/>
      <c r="CB106" s="20"/>
      <c r="CC106" s="25">
        <v>33</v>
      </c>
      <c r="CD106" s="19"/>
      <c r="CE106" s="93"/>
      <c r="CF106" s="20"/>
      <c r="CG106" s="25">
        <v>33</v>
      </c>
      <c r="CH106" s="19"/>
      <c r="CI106" s="93"/>
      <c r="CJ106" s="93"/>
      <c r="CK106" s="93"/>
      <c r="CL106" s="93"/>
      <c r="CM106" s="93"/>
      <c r="CN106" s="93"/>
      <c r="CO106" s="93"/>
      <c r="CP106" s="93"/>
      <c r="CQ106" s="93"/>
      <c r="CR106" s="214"/>
      <c r="CS106" s="20"/>
      <c r="CT106" s="25">
        <v>33</v>
      </c>
      <c r="CU106" s="19"/>
      <c r="CV106" s="93"/>
      <c r="CW106" s="93"/>
      <c r="CX106" s="93"/>
      <c r="CY106" s="93"/>
      <c r="CZ106" s="93"/>
      <c r="DA106" s="93"/>
      <c r="DB106" s="20"/>
      <c r="DC106" s="25">
        <v>33</v>
      </c>
      <c r="DD106" s="785">
        <v>39508</v>
      </c>
      <c r="DE106" s="19"/>
      <c r="DF106" s="20"/>
      <c r="DG106" s="25">
        <v>33</v>
      </c>
      <c r="DH106" s="19"/>
      <c r="DI106" s="20"/>
      <c r="DJ106" s="25">
        <v>33</v>
      </c>
      <c r="DK106" s="19"/>
      <c r="DL106" s="20"/>
      <c r="DM106" s="19"/>
      <c r="DN106" s="20"/>
      <c r="DO106" s="25">
        <v>33</v>
      </c>
      <c r="DP106" s="19"/>
      <c r="DQ106" s="93"/>
      <c r="DR106" s="20"/>
      <c r="DS106" s="25">
        <v>33</v>
      </c>
      <c r="DT106" s="19"/>
      <c r="DU106" s="93"/>
      <c r="DV106" s="20"/>
      <c r="DW106" s="25">
        <v>33</v>
      </c>
      <c r="DX106" s="19"/>
      <c r="DY106" s="20"/>
      <c r="DZ106" s="25">
        <v>33</v>
      </c>
      <c r="EA106" s="19"/>
      <c r="EB106" s="93"/>
      <c r="EC106" s="93"/>
      <c r="ED106" s="93"/>
      <c r="EE106" s="20"/>
      <c r="EF106" s="25">
        <v>33</v>
      </c>
      <c r="EG106" s="19"/>
      <c r="EH106" s="93"/>
      <c r="EI106" s="93"/>
      <c r="EJ106" s="93"/>
      <c r="EK106" s="20"/>
      <c r="EL106" s="25">
        <v>33</v>
      </c>
      <c r="EM106" s="19"/>
      <c r="EN106" s="93"/>
      <c r="EO106" s="93"/>
      <c r="EP106" s="93"/>
      <c r="EQ106" s="93"/>
      <c r="ER106" s="93"/>
      <c r="ES106" s="93"/>
      <c r="ET106" s="93"/>
      <c r="EU106" s="93"/>
      <c r="EV106" s="20"/>
      <c r="EW106" s="25">
        <v>33</v>
      </c>
      <c r="EX106" s="915"/>
      <c r="EY106" s="916"/>
      <c r="EZ106" s="916"/>
      <c r="FA106" s="916"/>
      <c r="FB106" s="916"/>
      <c r="FC106" s="916"/>
      <c r="FD106" s="916"/>
      <c r="FE106" s="916"/>
      <c r="FF106" s="916"/>
      <c r="FG106" s="917"/>
      <c r="FH106" s="25">
        <v>33</v>
      </c>
      <c r="FI106" s="848">
        <v>39508</v>
      </c>
      <c r="FJ106" s="19"/>
      <c r="FK106" s="93"/>
      <c r="FL106" s="20"/>
      <c r="FM106" s="25">
        <v>33</v>
      </c>
      <c r="FN106" s="19"/>
      <c r="FO106" s="93"/>
      <c r="FP106" s="93"/>
      <c r="FQ106" s="93"/>
      <c r="FR106" s="93"/>
      <c r="FS106" s="93"/>
      <c r="FT106" s="93"/>
      <c r="FU106" s="93"/>
      <c r="FV106" s="93"/>
      <c r="FW106" s="917"/>
      <c r="FX106" s="25">
        <v>33</v>
      </c>
      <c r="FY106" s="916"/>
      <c r="FZ106" s="916"/>
      <c r="GA106" s="916"/>
      <c r="GB106" s="916"/>
      <c r="GC106" s="916"/>
      <c r="GD106" s="916"/>
      <c r="GE106" s="916"/>
      <c r="GF106" s="916"/>
      <c r="GG106" s="916"/>
      <c r="GH106" s="916"/>
      <c r="GI106" s="917"/>
      <c r="GJ106" s="25">
        <v>33</v>
      </c>
      <c r="GK106" s="19"/>
      <c r="GL106" s="20"/>
      <c r="GM106" s="25">
        <v>33</v>
      </c>
      <c r="GN106" s="19"/>
      <c r="GO106" s="20"/>
      <c r="GP106" s="25">
        <v>33</v>
      </c>
      <c r="GQ106" s="19"/>
      <c r="GR106" s="20"/>
      <c r="GS106" s="25">
        <v>33</v>
      </c>
      <c r="GT106" s="848">
        <v>39508</v>
      </c>
      <c r="GU106" s="19"/>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v>33</v>
      </c>
      <c r="IW106" s="848">
        <v>39508</v>
      </c>
      <c r="IX106" s="1035"/>
      <c r="IY106" s="1035">
        <v>168.6</v>
      </c>
      <c r="IZ106" s="1035">
        <v>191.964</v>
      </c>
      <c r="JA106" s="1035">
        <v>0.47155092600000004</v>
      </c>
      <c r="JB106" s="1035">
        <v>193.5076281920893</v>
      </c>
      <c r="JC106" s="1035">
        <v>54.945500000000003</v>
      </c>
      <c r="JD106" s="1035">
        <v>417.5246791180893</v>
      </c>
      <c r="JE106" s="1035">
        <v>242.69408067823258</v>
      </c>
      <c r="JF106" s="1035">
        <v>660.21875979632182</v>
      </c>
      <c r="JG106" s="1035"/>
      <c r="JH106" s="1035">
        <v>393.74988613008912</v>
      </c>
      <c r="JI106" s="1035">
        <v>319.60149868500002</v>
      </c>
      <c r="JJ106" s="1035">
        <v>74.148387445089099</v>
      </c>
      <c r="JK106" s="1035">
        <v>379.71627580623272</v>
      </c>
      <c r="JL106" s="1035">
        <v>-187.46975526699998</v>
      </c>
      <c r="JM106" s="1035">
        <v>-74.257755266999993</v>
      </c>
      <c r="JN106" s="1035">
        <v>-113.21199999999999</v>
      </c>
      <c r="JO106" s="1035">
        <v>567.1860310732327</v>
      </c>
      <c r="JP106" s="1035">
        <v>2.3517096479999999</v>
      </c>
      <c r="JQ106" s="1035">
        <v>564.8343214252327</v>
      </c>
      <c r="JR106" s="1035">
        <v>111.24121060099992</v>
      </c>
      <c r="JS106" s="1035">
        <v>2.0061915389999783</v>
      </c>
      <c r="JT106" s="1036">
        <v>660.21875979632205</v>
      </c>
      <c r="JU106" s="29">
        <v>33</v>
      </c>
      <c r="JV106" s="1037"/>
      <c r="JW106" s="1526">
        <f>VLOOKUP($IW106,Base_Mensuelle!$OF$68:$RM$679,HLOOKUP(JW$73,Base_Mensuelle!$PE$67:$QE$680,614,0))</f>
        <v>319.60149868500002</v>
      </c>
      <c r="JX106" s="1526">
        <f>VLOOKUP($IW106,Base_Mensuelle!$OF$68:$RM$679,HLOOKUP(JX$73,Base_Mensuelle!$PE$67:$QE$680,614,0))</f>
        <v>430.18696942500003</v>
      </c>
      <c r="JY106" s="1526">
        <f>VLOOKUP($IW106,Base_Mensuelle!$OF$68:$RM$679,HLOOKUP(JY$73,Base_Mensuelle!$PE$67:$QE$680,614,0))</f>
        <v>110.58547074000002</v>
      </c>
      <c r="JZ106" s="1526">
        <f>VLOOKUP($IW106,Base_Mensuelle!$OF$68:$RM$679,HLOOKUP(JZ$73,Base_Mensuelle!$PE$67:$QE$680,614,0))</f>
        <v>12.59</v>
      </c>
      <c r="KA106" s="1526">
        <f>VLOOKUP($IW106,Base_Mensuelle!$OF$68:$RM$679,HLOOKUP(KA$73,Base_Mensuelle!$PE$67:$QE$680,614,0))</f>
        <v>-74.257755266999993</v>
      </c>
      <c r="KB106" s="1526">
        <f>VLOOKUP($IW106,Base_Mensuelle!$OF$68:$RM$679,HLOOKUP(KB$73,Base_Mensuelle!$PE$67:$QE$680,614,0))</f>
        <v>39.301216287999999</v>
      </c>
      <c r="KC106" s="1526">
        <f>VLOOKUP($IW106,Base_Mensuelle!$OF$68:$RM$679,HLOOKUP(KC$73,Base_Mensuelle!$PE$67:$QE$680,614,0))</f>
        <v>113.558971555</v>
      </c>
      <c r="KD106" s="1526">
        <f>VLOOKUP($IW106,Base_Mensuelle!$OF$68:$RM$679,HLOOKUP(KD$73,Base_Mensuelle!$PE$67:$QE$680,614,0))</f>
        <v>2.3517096479999999</v>
      </c>
      <c r="KE106" s="1526">
        <f>VLOOKUP($IW106,Base_Mensuelle!$OF$68:$RM$679,HLOOKUP(KE$73,Base_Mensuelle!$PE$67:$QE$680,614,0))</f>
        <v>0</v>
      </c>
      <c r="KF106" s="1526">
        <f>VLOOKUP($IW106,Base_Mensuelle!$OF$68:$RM$679,HLOOKUP(KF$73,Base_Mensuelle!$PE$67:$QE$680,614,0))</f>
        <v>0</v>
      </c>
      <c r="KG106" s="1526">
        <f>VLOOKUP($IW106,Base_Mensuelle!$OF$68:$RM$679,HLOOKUP(KG$73,Base_Mensuelle!$PE$67:$QE$680,614,0))</f>
        <v>2.6700900000000002E-4</v>
      </c>
      <c r="KH106" s="1526">
        <f>VLOOKUP($IW106,Base_Mensuelle!$OF$68:$RM$679,HLOOKUP(KH$73,Base_Mensuelle!$PE$67:$QE$680,614,0))</f>
        <v>2.3514426390000001</v>
      </c>
      <c r="KI106" s="1526">
        <f>VLOOKUP($IW106,Base_Mensuelle!$OF$68:$RM$679,HLOOKUP(KI$73,Base_Mensuelle!$PE$67:$QE$680,614,0))</f>
        <v>257.40717991100001</v>
      </c>
      <c r="KJ106" s="1526">
        <f>VLOOKUP($IW106,Base_Mensuelle!$OF$68:$RM$679,HLOOKUP(KJ$73,Base_Mensuelle!$PE$67:$QE$680,614,0))</f>
        <v>191.964</v>
      </c>
      <c r="KK106" s="1526">
        <f>VLOOKUP($IW106,Base_Mensuelle!$OF$68:$RM$679,HLOOKUP(KK$73,Base_Mensuelle!$PE$67:$QE$680,614,0))</f>
        <v>64.971628984999995</v>
      </c>
      <c r="KL106" s="1526">
        <f>VLOOKUP($IW106,Base_Mensuelle!$OF$68:$RM$679,HLOOKUP(KL$73,Base_Mensuelle!$PE$67:$QE$680,614,0))</f>
        <v>0.47155092600000004</v>
      </c>
      <c r="KM106" s="1526">
        <f>VLOOKUP($IW106,Base_Mensuelle!$OF$68:$RM$679,HLOOKUP(KM$73,Base_Mensuelle!$PE$67:$QE$680,614,0))</f>
        <v>0</v>
      </c>
      <c r="KN106" s="1526">
        <f>VLOOKUP($IW106,Base_Mensuelle!$OF$68:$RM$679,HLOOKUP(KN$73,Base_Mensuelle!$PE$67:$QE$680,614,0))</f>
        <v>0.29352607400000003</v>
      </c>
      <c r="KO106" s="1526">
        <f>VLOOKUP($IW106,Base_Mensuelle!$OF$68:$RM$679,HLOOKUP(KO$73,Base_Mensuelle!$PE$67:$QE$680,614,0))</f>
        <v>0</v>
      </c>
      <c r="KP106" s="1526">
        <f>VLOOKUP($IW106,Base_Mensuelle!$OF$68:$RM$679,HLOOKUP(KP$73,Base_Mensuelle!$PE$67:$QE$680,614,0))</f>
        <v>0</v>
      </c>
      <c r="KQ106" s="1526">
        <f>VLOOKUP($IW106,Base_Mensuelle!$OF$68:$RM$679,HLOOKUP(KQ$73,Base_Mensuelle!$PE$67:$QE$680,614,0))</f>
        <v>0.29352607400000003</v>
      </c>
      <c r="KR106" s="1526">
        <f>VLOOKUP($IW106,Base_Mensuelle!$OF$68:$RM$679,HLOOKUP(KR$73,Base_Mensuelle!$PE$67:$QE$680,614,0))</f>
        <v>0</v>
      </c>
      <c r="KS106" s="1526">
        <f>VLOOKUP($IW106,Base_Mensuelle!$OF$68:$RM$679,HLOOKUP(KS$73,Base_Mensuelle!$PE$67:$QE$680,614,0))</f>
        <v>0</v>
      </c>
      <c r="KT106" s="1526">
        <f>VLOOKUP($IW106,Base_Mensuelle!$OF$68:$RM$679,HLOOKUP(KT$73,Base_Mensuelle!$PE$67:$QE$680,614,0))</f>
        <v>0</v>
      </c>
      <c r="KU106" s="1526">
        <f>VLOOKUP($IW106,Base_Mensuelle!$OF$68:$RM$679,HLOOKUP(KU$73,Base_Mensuelle!$PE$67:$QE$680,614,0))</f>
        <v>-0.34831547299999993</v>
      </c>
      <c r="KV106" s="1526">
        <f>VLOOKUP($IW106,Base_Mensuelle!$OF$68:$RM$679,HLOOKUP(KV$73,Base_Mensuelle!$PE$67:$QE$680,614,0))</f>
        <v>2.9330625539999997</v>
      </c>
      <c r="KW106" s="1036"/>
      <c r="KX106" s="29">
        <v>33</v>
      </c>
      <c r="KY106" s="1037"/>
      <c r="KZ106" s="182">
        <f>VLOOKUP($IW106,Base_Mensuelle!$OF$68:$RM$679,HLOOKUP(KZ$73,Base_Mensuelle!$QG$67:$RM$680,614,0))</f>
        <v>74.148387445089099</v>
      </c>
      <c r="LA106" s="182">
        <f>VLOOKUP($IW106,Base_Mensuelle!$OF$68:$RM$679,HLOOKUP(LA$73,Base_Mensuelle!$QG$67:$RM$680,614,0))</f>
        <v>173.35567857476721</v>
      </c>
      <c r="LB106" s="182">
        <f>VLOOKUP($IW106,Base_Mensuelle!$OF$68:$RM$679,HLOOKUP(LB$73,Base_Mensuelle!$QG$67:$RM$680,614,0))</f>
        <v>-99.207291129678111</v>
      </c>
      <c r="LC106" s="182">
        <f>VLOOKUP($IW106,Base_Mensuelle!$OF$68:$RM$679,HLOOKUP(LC$73,Base_Mensuelle!$QG$67:$RM$680,614,0))</f>
        <v>68.292000000000002</v>
      </c>
      <c r="LD106" s="182">
        <f>VLOOKUP($IW106,Base_Mensuelle!$OF$68:$RM$679,HLOOKUP(LD$73,Base_Mensuelle!$QG$67:$RM$680,614,0))</f>
        <v>23.364000000000001</v>
      </c>
      <c r="LE106" s="182">
        <f>VLOOKUP($IW106,Base_Mensuelle!$OF$68:$RM$679,HLOOKUP(LE$73,Base_Mensuelle!$QG$67:$RM$680,614,0))</f>
        <v>44.927999999999997</v>
      </c>
      <c r="LF106" s="182">
        <f>VLOOKUP($IW106,Base_Mensuelle!$OF$68:$RM$679,HLOOKUP(LF$73,Base_Mensuelle!$QG$67:$RM$680,614,0))</f>
        <v>0</v>
      </c>
      <c r="LG106" s="182">
        <f>VLOOKUP($IW106,Base_Mensuelle!$OF$68:$RM$679,HLOOKUP(LG$73,Base_Mensuelle!$QG$67:$RM$680,614,0))</f>
        <v>-113.21199999999999</v>
      </c>
      <c r="LH106" s="182">
        <f>VLOOKUP($IW106,Base_Mensuelle!$OF$68:$RM$679,HLOOKUP(LH$73,Base_Mensuelle!$QG$67:$RM$680,614,0))</f>
        <v>38.231000000000002</v>
      </c>
      <c r="LI106" s="182">
        <f>VLOOKUP($IW106,Base_Mensuelle!$OF$68:$RM$679,HLOOKUP(LI$73,Base_Mensuelle!$QG$67:$RM$680,614,0))</f>
        <v>-151.44299999999998</v>
      </c>
      <c r="LJ106" s="182">
        <f>VLOOKUP($IW106,Base_Mensuelle!$OF$68:$RM$679,HLOOKUP(LJ$73,Base_Mensuelle!$QG$67:$RM$680,614,0))</f>
        <v>564.8343214252327</v>
      </c>
      <c r="LK106" s="182">
        <f>VLOOKUP($IW106,Base_Mensuelle!$OF$68:$RM$679,HLOOKUP(LK$73,Base_Mensuelle!$QG$67:$RM$680,614,0))</f>
        <v>10.120765872387</v>
      </c>
      <c r="LL106" s="182">
        <f>VLOOKUP($IW106,Base_Mensuelle!$OF$68:$RM$679,HLOOKUP(LL$73,Base_Mensuelle!$QG$67:$RM$680,614,0))</f>
        <v>0</v>
      </c>
      <c r="LM106" s="182">
        <f>VLOOKUP($IW106,Base_Mensuelle!$OF$68:$RM$679,HLOOKUP(LM$73,Base_Mensuelle!$QG$67:$RM$680,614,0))</f>
        <v>77.003</v>
      </c>
      <c r="LN106" s="182">
        <f>VLOOKUP($IW106,Base_Mensuelle!$OF$68:$RM$679,HLOOKUP(LN$73,Base_Mensuelle!$QG$67:$RM$680,614,0))</f>
        <v>477.71055555284573</v>
      </c>
      <c r="LO106" s="182">
        <f>VLOOKUP($IW106,Base_Mensuelle!$OF$68:$RM$679,HLOOKUP(LO$73,Base_Mensuelle!$QG$67:$RM$680,614,0))</f>
        <v>0</v>
      </c>
      <c r="LP106" s="182">
        <f>VLOOKUP($IW106,Base_Mensuelle!$OF$68:$RM$679,HLOOKUP(LP$73,Base_Mensuelle!$QG$67:$RM$680,614,0))</f>
        <v>1.0169999999999999</v>
      </c>
      <c r="LQ106" s="182">
        <f>VLOOKUP($IW106,Base_Mensuelle!$OF$68:$RM$679,HLOOKUP(LQ$73,Base_Mensuelle!$QG$67:$RM$680,614,0))</f>
        <v>193.5076281920893</v>
      </c>
      <c r="LR106" s="182">
        <f>VLOOKUP($IW106,Base_Mensuelle!$OF$68:$RM$679,HLOOKUP(LR$73,Base_Mensuelle!$QG$67:$RM$680,614,0))</f>
        <v>242.69408067823258</v>
      </c>
      <c r="LS106" s="182">
        <f>VLOOKUP($IW106,Base_Mensuelle!$OF$68:$RM$679,HLOOKUP(LS$73,Base_Mensuelle!$QG$67:$RM$680,614,0))</f>
        <v>0</v>
      </c>
      <c r="LT106" s="182">
        <f>VLOOKUP($IW106,Base_Mensuelle!$OF$68:$RM$679,HLOOKUP(LT$73,Base_Mensuelle!$QG$67:$RM$680,614,0))</f>
        <v>21.545000000000002</v>
      </c>
      <c r="LU106" s="182">
        <f>VLOOKUP($IW106,Base_Mensuelle!$OF$68:$RM$679,HLOOKUP(LU$73,Base_Mensuelle!$QG$67:$RM$680,614,0))</f>
        <v>1.603</v>
      </c>
      <c r="LV106" s="182">
        <f>VLOOKUP($IW106,Base_Mensuelle!$OF$68:$RM$679,HLOOKUP(LV$73,Base_Mensuelle!$QG$67:$RM$680,614,0))</f>
        <v>7.7469999999999999</v>
      </c>
      <c r="LW106" s="182">
        <f>VLOOKUP($IW106,Base_Mensuelle!$OF$68:$RM$679,HLOOKUP(LW$73,Base_Mensuelle!$QG$67:$RM$680,614,0))</f>
        <v>0</v>
      </c>
      <c r="LX106" s="182">
        <f>VLOOKUP($IW106,Base_Mensuelle!$OF$68:$RM$679,HLOOKUP(LX$73,Base_Mensuelle!$QG$67:$RM$680,614,0))</f>
        <v>0</v>
      </c>
      <c r="LY106" s="182">
        <f>VLOOKUP($IW106,Base_Mensuelle!$OF$68:$RM$679,HLOOKUP(LY$73,Base_Mensuelle!$QG$67:$RM$680,614,0))</f>
        <v>80.400999999999911</v>
      </c>
      <c r="LZ106" s="182">
        <f>VLOOKUP($IW106,Base_Mensuelle!$OF$68:$RM$679,HLOOKUP(LZ$73,Base_Mensuelle!$QG$67:$RM$680,614,0))</f>
        <v>45.547999999999988</v>
      </c>
      <c r="MA106" s="182">
        <f>VLOOKUP($IW106,Base_Mensuelle!$OF$68:$RM$679,HLOOKUP(MA$73,Base_Mensuelle!$QG$67:$RM$680,614,0))</f>
        <v>0</v>
      </c>
      <c r="MB106" s="182">
        <f>VLOOKUP($IW106,Base_Mensuelle!$OF$68:$RM$679,HLOOKUP(MB$73,Base_Mensuelle!$QG$67:$RM$680,614,0))</f>
        <v>0</v>
      </c>
      <c r="MC106" s="182">
        <f>VLOOKUP($IW106,Base_Mensuelle!$OF$68:$RM$679,HLOOKUP(MC$73,Base_Mensuelle!$QG$67:$RM$680,614,0))</f>
        <v>0</v>
      </c>
      <c r="MD106" s="182">
        <f>VLOOKUP($IW106,Base_Mensuelle!$OF$68:$RM$679,HLOOKUP(MD$73,Base_Mensuelle!$QG$67:$RM$680,614,0))</f>
        <v>0</v>
      </c>
      <c r="ME106" s="182">
        <f>VLOOKUP($IW106,Base_Mensuelle!$OF$68:$RM$679,HLOOKUP(ME$73,Base_Mensuelle!$QG$67:$RM$680,614,0))</f>
        <v>0</v>
      </c>
      <c r="MF106" s="182"/>
      <c r="MG106" s="182"/>
      <c r="MH106" s="290"/>
      <c r="MI106" s="29">
        <v>33</v>
      </c>
      <c r="MJ106" s="29" t="str">
        <f t="shared" si="82"/>
        <v>Trimestre 12008</v>
      </c>
      <c r="MK106" s="848">
        <v>39508</v>
      </c>
      <c r="ML106" s="29"/>
      <c r="MM106" s="29"/>
      <c r="MN106" s="29"/>
      <c r="MO106" s="29"/>
      <c r="MP106" s="29"/>
      <c r="MQ106" s="29"/>
      <c r="MR106" s="29"/>
      <c r="MS106" s="29"/>
      <c r="MT106" s="29"/>
      <c r="MU106" s="29"/>
      <c r="MV106" s="29"/>
      <c r="MW106" s="29"/>
      <c r="MX106" s="29"/>
      <c r="MY106" s="29"/>
      <c r="MZ106" s="29"/>
      <c r="NA106" s="29"/>
      <c r="NB106" s="29"/>
      <c r="NC106" s="29"/>
      <c r="ND106" s="29"/>
      <c r="NE106" s="29"/>
      <c r="NF106" s="29"/>
      <c r="NG106" s="29"/>
      <c r="NH106" s="29"/>
      <c r="NI106" s="29"/>
      <c r="NJ106" s="29"/>
      <c r="NK106" s="29"/>
      <c r="NL106" s="29">
        <v>33</v>
      </c>
    </row>
    <row r="107" spans="1:376">
      <c r="A107" s="41">
        <f t="shared" si="80"/>
        <v>2008</v>
      </c>
      <c r="B107" s="785">
        <v>39600</v>
      </c>
      <c r="C107" s="19">
        <v>382.79530888827611</v>
      </c>
      <c r="D107" s="93">
        <v>97.716266510945744</v>
      </c>
      <c r="E107" s="93">
        <v>91.960885622978708</v>
      </c>
      <c r="F107" s="93">
        <v>33.588111911149241</v>
      </c>
      <c r="G107" s="93">
        <v>144.24015463469453</v>
      </c>
      <c r="H107" s="93">
        <v>90.784436242971182</v>
      </c>
      <c r="I107" s="93">
        <v>467.23655973692894</v>
      </c>
      <c r="J107" s="93">
        <v>79.799988456308739</v>
      </c>
      <c r="K107" s="93">
        <v>117.266562883909</v>
      </c>
      <c r="L107" s="93">
        <v>115.28526838733819</v>
      </c>
      <c r="M107" s="20">
        <v>145.69022779472996</v>
      </c>
      <c r="N107" s="25">
        <v>34</v>
      </c>
      <c r="O107" s="889">
        <f t="shared" si="79"/>
        <v>2008</v>
      </c>
      <c r="P107" s="29" t="str">
        <f t="shared" si="81"/>
        <v>Trimestre 22008</v>
      </c>
      <c r="Q107" s="848">
        <v>39600</v>
      </c>
      <c r="R107" s="733"/>
      <c r="S107" s="570"/>
      <c r="T107" s="570"/>
      <c r="U107" s="734"/>
      <c r="V107" s="25">
        <v>34</v>
      </c>
      <c r="W107" s="19"/>
      <c r="X107" s="93"/>
      <c r="Y107" s="93"/>
      <c r="Z107" s="93"/>
      <c r="AA107" s="93"/>
      <c r="AB107" s="93"/>
      <c r="AC107" s="93"/>
      <c r="AD107" s="93"/>
      <c r="AE107" s="20"/>
      <c r="AF107" s="25">
        <v>34</v>
      </c>
      <c r="AG107" s="19"/>
      <c r="AH107" s="93"/>
      <c r="AI107" s="93"/>
      <c r="AJ107" s="93"/>
      <c r="AK107" s="93"/>
      <c r="AL107" s="93"/>
      <c r="AM107" s="93"/>
      <c r="AN107" s="20"/>
      <c r="AO107" s="19"/>
      <c r="AP107" s="93"/>
      <c r="AQ107" s="93"/>
      <c r="AR107" s="93"/>
      <c r="AS107" s="20"/>
      <c r="AT107" s="19"/>
      <c r="AU107" s="93"/>
      <c r="AV107" s="20"/>
      <c r="AW107" s="19"/>
      <c r="AX107" s="93"/>
      <c r="AY107" s="93"/>
      <c r="AZ107" s="93"/>
      <c r="BA107" s="93"/>
      <c r="BB107" s="93"/>
      <c r="BC107" s="20"/>
      <c r="BD107" s="19"/>
      <c r="BE107" s="93"/>
      <c r="BF107" s="93"/>
      <c r="BG107" s="93"/>
      <c r="BH107" s="93"/>
      <c r="BI107" s="93"/>
      <c r="BJ107" s="93"/>
      <c r="BK107" s="20"/>
      <c r="BL107" s="19"/>
      <c r="BM107" s="93"/>
      <c r="BN107" s="93"/>
      <c r="BO107" s="93"/>
      <c r="BP107" s="93"/>
      <c r="BQ107" s="20"/>
      <c r="BR107" s="19"/>
      <c r="BS107" s="93"/>
      <c r="BT107" s="93"/>
      <c r="BU107" s="20"/>
      <c r="BV107" s="19"/>
      <c r="BW107" s="93"/>
      <c r="BX107" s="93"/>
      <c r="BY107" s="93"/>
      <c r="BZ107" s="93"/>
      <c r="CA107" s="93"/>
      <c r="CB107" s="20"/>
      <c r="CC107" s="25">
        <v>34</v>
      </c>
      <c r="CD107" s="19"/>
      <c r="CE107" s="93"/>
      <c r="CF107" s="20"/>
      <c r="CG107" s="25">
        <v>34</v>
      </c>
      <c r="CH107" s="19"/>
      <c r="CI107" s="93"/>
      <c r="CJ107" s="93"/>
      <c r="CK107" s="93"/>
      <c r="CL107" s="93"/>
      <c r="CM107" s="93"/>
      <c r="CN107" s="93"/>
      <c r="CO107" s="93"/>
      <c r="CP107" s="93"/>
      <c r="CQ107" s="93"/>
      <c r="CR107" s="214"/>
      <c r="CS107" s="20"/>
      <c r="CT107" s="25">
        <v>34</v>
      </c>
      <c r="CU107" s="19"/>
      <c r="CV107" s="93"/>
      <c r="CW107" s="93"/>
      <c r="CX107" s="93"/>
      <c r="CY107" s="93"/>
      <c r="CZ107" s="93"/>
      <c r="DA107" s="93"/>
      <c r="DB107" s="20"/>
      <c r="DC107" s="25">
        <v>34</v>
      </c>
      <c r="DD107" s="785">
        <v>39600</v>
      </c>
      <c r="DE107" s="19"/>
      <c r="DF107" s="20"/>
      <c r="DG107" s="25">
        <v>34</v>
      </c>
      <c r="DH107" s="19"/>
      <c r="DI107" s="20"/>
      <c r="DJ107" s="25">
        <v>34</v>
      </c>
      <c r="DK107" s="19"/>
      <c r="DL107" s="20"/>
      <c r="DM107" s="19"/>
      <c r="DN107" s="20"/>
      <c r="DO107" s="25">
        <v>34</v>
      </c>
      <c r="DP107" s="19"/>
      <c r="DQ107" s="93"/>
      <c r="DR107" s="20"/>
      <c r="DS107" s="25">
        <v>34</v>
      </c>
      <c r="DT107" s="19"/>
      <c r="DU107" s="93"/>
      <c r="DV107" s="20"/>
      <c r="DW107" s="25">
        <v>34</v>
      </c>
      <c r="DX107" s="19"/>
      <c r="DY107" s="20"/>
      <c r="DZ107" s="25">
        <v>34</v>
      </c>
      <c r="EA107" s="19"/>
      <c r="EB107" s="93"/>
      <c r="EC107" s="93"/>
      <c r="ED107" s="93"/>
      <c r="EE107" s="20"/>
      <c r="EF107" s="25">
        <v>34</v>
      </c>
      <c r="EG107" s="19"/>
      <c r="EH107" s="93"/>
      <c r="EI107" s="93"/>
      <c r="EJ107" s="93"/>
      <c r="EK107" s="20"/>
      <c r="EL107" s="25">
        <v>34</v>
      </c>
      <c r="EM107" s="19"/>
      <c r="EN107" s="93"/>
      <c r="EO107" s="93"/>
      <c r="EP107" s="93"/>
      <c r="EQ107" s="93"/>
      <c r="ER107" s="93"/>
      <c r="ES107" s="93"/>
      <c r="ET107" s="93"/>
      <c r="EU107" s="93"/>
      <c r="EV107" s="20"/>
      <c r="EW107" s="25">
        <v>34</v>
      </c>
      <c r="EX107" s="915"/>
      <c r="EY107" s="916"/>
      <c r="EZ107" s="916"/>
      <c r="FA107" s="916"/>
      <c r="FB107" s="916"/>
      <c r="FC107" s="916"/>
      <c r="FD107" s="916"/>
      <c r="FE107" s="916"/>
      <c r="FF107" s="916"/>
      <c r="FG107" s="917"/>
      <c r="FH107" s="25">
        <v>34</v>
      </c>
      <c r="FI107" s="848">
        <v>39600</v>
      </c>
      <c r="FJ107" s="19"/>
      <c r="FK107" s="93"/>
      <c r="FL107" s="20"/>
      <c r="FM107" s="25">
        <v>34</v>
      </c>
      <c r="FN107" s="19"/>
      <c r="FO107" s="93"/>
      <c r="FP107" s="93"/>
      <c r="FQ107" s="93"/>
      <c r="FR107" s="93"/>
      <c r="FS107" s="93"/>
      <c r="FT107" s="93"/>
      <c r="FU107" s="93"/>
      <c r="FV107" s="93"/>
      <c r="FW107" s="917"/>
      <c r="FX107" s="25">
        <v>34</v>
      </c>
      <c r="FY107" s="916"/>
      <c r="FZ107" s="916"/>
      <c r="GA107" s="916"/>
      <c r="GB107" s="916"/>
      <c r="GC107" s="916"/>
      <c r="GD107" s="916"/>
      <c r="GE107" s="916"/>
      <c r="GF107" s="916"/>
      <c r="GG107" s="916"/>
      <c r="GH107" s="916"/>
      <c r="GI107" s="917"/>
      <c r="GJ107" s="25">
        <v>34</v>
      </c>
      <c r="GK107" s="19"/>
      <c r="GL107" s="20"/>
      <c r="GM107" s="25">
        <v>34</v>
      </c>
      <c r="GN107" s="19"/>
      <c r="GO107" s="20"/>
      <c r="GP107" s="25">
        <v>34</v>
      </c>
      <c r="GQ107" s="19"/>
      <c r="GR107" s="20"/>
      <c r="GS107" s="25">
        <v>34</v>
      </c>
      <c r="GT107" s="848">
        <v>39600</v>
      </c>
      <c r="GU107" s="19"/>
      <c r="GV107" s="93"/>
      <c r="GW107" s="93"/>
      <c r="GX107" s="93"/>
      <c r="GY107" s="93"/>
      <c r="GZ107" s="93"/>
      <c r="HA107" s="93"/>
      <c r="HB107" s="93"/>
      <c r="HC107" s="93"/>
      <c r="HD107" s="93"/>
      <c r="HE107" s="93"/>
      <c r="HF107" s="93"/>
      <c r="HG107" s="93"/>
      <c r="HH107" s="93"/>
      <c r="HI107" s="93"/>
      <c r="HJ107" s="93"/>
      <c r="HK107" s="93"/>
      <c r="HL107" s="93"/>
      <c r="HM107" s="93"/>
      <c r="HN107" s="93"/>
      <c r="HO107" s="93"/>
      <c r="HP107" s="93"/>
      <c r="HQ107" s="93"/>
      <c r="HR107" s="93"/>
      <c r="HS107" s="93"/>
      <c r="HT107" s="93"/>
      <c r="HU107" s="93"/>
      <c r="HV107" s="93"/>
      <c r="HW107" s="93"/>
      <c r="HX107" s="93"/>
      <c r="HY107" s="93"/>
      <c r="HZ107" s="93"/>
      <c r="IA107" s="93"/>
      <c r="IB107" s="93"/>
      <c r="IC107" s="93"/>
      <c r="ID107" s="93"/>
      <c r="IE107" s="93"/>
      <c r="IF107" s="93"/>
      <c r="IG107" s="93"/>
      <c r="IH107" s="93"/>
      <c r="II107" s="93"/>
      <c r="IJ107" s="93"/>
      <c r="IK107" s="93"/>
      <c r="IL107" s="93"/>
      <c r="IM107" s="93"/>
      <c r="IN107" s="93"/>
      <c r="IO107" s="93"/>
      <c r="IP107" s="93"/>
      <c r="IQ107" s="93"/>
      <c r="IR107" s="93"/>
      <c r="IS107" s="93"/>
      <c r="IT107" s="93"/>
      <c r="IU107" s="93"/>
      <c r="IV107" s="93">
        <v>34</v>
      </c>
      <c r="IW107" s="848">
        <v>39600</v>
      </c>
      <c r="IX107" s="1035"/>
      <c r="IY107" s="1035">
        <v>163.04319999999998</v>
      </c>
      <c r="IZ107" s="1035">
        <v>186.63919999999999</v>
      </c>
      <c r="JA107" s="1035">
        <v>0.31797314199999999</v>
      </c>
      <c r="JB107" s="1035">
        <v>264.06127153066603</v>
      </c>
      <c r="JC107" s="1035">
        <v>57.3568</v>
      </c>
      <c r="JD107" s="1035">
        <v>484.7792446726661</v>
      </c>
      <c r="JE107" s="1035">
        <v>321.40239679505669</v>
      </c>
      <c r="JF107" s="1035">
        <v>806.18164146772278</v>
      </c>
      <c r="JG107" s="1035"/>
      <c r="JH107" s="1035">
        <v>372.89645531163234</v>
      </c>
      <c r="JI107" s="1035">
        <v>285.04015385299999</v>
      </c>
      <c r="JJ107" s="1035">
        <v>87.856301458632402</v>
      </c>
      <c r="JK107" s="1035">
        <v>547.27237017509037</v>
      </c>
      <c r="JL107" s="1035">
        <v>-134.41117869200002</v>
      </c>
      <c r="JM107" s="1035">
        <v>-45.380178692000001</v>
      </c>
      <c r="JN107" s="1035">
        <v>-89.031000000000006</v>
      </c>
      <c r="JO107" s="1035">
        <v>681.68354886709039</v>
      </c>
      <c r="JP107" s="1035">
        <v>2.437182</v>
      </c>
      <c r="JQ107" s="1035">
        <v>679.24636686709027</v>
      </c>
      <c r="JR107" s="1035">
        <v>125.11817264800013</v>
      </c>
      <c r="JS107" s="1035">
        <v>-11.130988629000036</v>
      </c>
      <c r="JT107" s="1036">
        <v>806.18164146772256</v>
      </c>
      <c r="JU107" s="29">
        <v>34</v>
      </c>
      <c r="JV107" s="1037"/>
      <c r="JW107" s="1526">
        <f>VLOOKUP($IW107,Base_Mensuelle!$OF$68:$RM$679,HLOOKUP(JW$73,Base_Mensuelle!$PE$67:$QE$680,614,0))</f>
        <v>285.04015385299999</v>
      </c>
      <c r="JX107" s="1526">
        <f>VLOOKUP($IW107,Base_Mensuelle!$OF$68:$RM$679,HLOOKUP(JX$73,Base_Mensuelle!$PE$67:$QE$680,614,0))</f>
        <v>404.44053908899997</v>
      </c>
      <c r="JY107" s="1526">
        <f>VLOOKUP($IW107,Base_Mensuelle!$OF$68:$RM$679,HLOOKUP(JY$73,Base_Mensuelle!$PE$67:$QE$680,614,0))</f>
        <v>119.40038523600001</v>
      </c>
      <c r="JZ107" s="1526">
        <f>VLOOKUP($IW107,Base_Mensuelle!$OF$68:$RM$679,HLOOKUP(JZ$73,Base_Mensuelle!$PE$67:$QE$680,614,0))</f>
        <v>14.64</v>
      </c>
      <c r="KA107" s="1526">
        <f>VLOOKUP($IW107,Base_Mensuelle!$OF$68:$RM$679,HLOOKUP(KA$73,Base_Mensuelle!$PE$67:$QE$680,614,0))</f>
        <v>-45.380178692000001</v>
      </c>
      <c r="KB107" s="1526">
        <f>VLOOKUP($IW107,Base_Mensuelle!$OF$68:$RM$679,HLOOKUP(KB$73,Base_Mensuelle!$PE$67:$QE$680,614,0))</f>
        <v>38.497612253</v>
      </c>
      <c r="KC107" s="1526">
        <f>VLOOKUP($IW107,Base_Mensuelle!$OF$68:$RM$679,HLOOKUP(KC$73,Base_Mensuelle!$PE$67:$QE$680,614,0))</f>
        <v>83.877790945000001</v>
      </c>
      <c r="KD107" s="1526">
        <f>VLOOKUP($IW107,Base_Mensuelle!$OF$68:$RM$679,HLOOKUP(KD$73,Base_Mensuelle!$PE$67:$QE$680,614,0))</f>
        <v>2.437182</v>
      </c>
      <c r="KE107" s="1526">
        <f>VLOOKUP($IW107,Base_Mensuelle!$OF$68:$RM$679,HLOOKUP(KE$73,Base_Mensuelle!$PE$67:$QE$680,614,0))</f>
        <v>0</v>
      </c>
      <c r="KF107" s="1526">
        <f>VLOOKUP($IW107,Base_Mensuelle!$OF$68:$RM$679,HLOOKUP(KF$73,Base_Mensuelle!$PE$67:$QE$680,614,0))</f>
        <v>0</v>
      </c>
      <c r="KG107" s="1526">
        <f>VLOOKUP($IW107,Base_Mensuelle!$OF$68:$RM$679,HLOOKUP(KG$73,Base_Mensuelle!$PE$67:$QE$680,614,0))</f>
        <v>6.1858799999999999E-4</v>
      </c>
      <c r="KH107" s="1526">
        <f>VLOOKUP($IW107,Base_Mensuelle!$OF$68:$RM$679,HLOOKUP(KH$73,Base_Mensuelle!$PE$67:$QE$680,614,0))</f>
        <v>2.4365634119999999</v>
      </c>
      <c r="KI107" s="1526">
        <f>VLOOKUP($IW107,Base_Mensuelle!$OF$68:$RM$679,HLOOKUP(KI$73,Base_Mensuelle!$PE$67:$QE$680,614,0))</f>
        <v>261.63490099500001</v>
      </c>
      <c r="KJ107" s="1526">
        <f>VLOOKUP($IW107,Base_Mensuelle!$OF$68:$RM$679,HLOOKUP(KJ$73,Base_Mensuelle!$PE$67:$QE$680,614,0))</f>
        <v>186.63919999999999</v>
      </c>
      <c r="KK107" s="1526">
        <f>VLOOKUP($IW107,Base_Mensuelle!$OF$68:$RM$679,HLOOKUP(KK$73,Base_Mensuelle!$PE$67:$QE$680,614,0))</f>
        <v>74.677727852999993</v>
      </c>
      <c r="KL107" s="1526">
        <f>VLOOKUP($IW107,Base_Mensuelle!$OF$68:$RM$679,HLOOKUP(KL$73,Base_Mensuelle!$PE$67:$QE$680,614,0))</f>
        <v>0.31797314199999999</v>
      </c>
      <c r="KM107" s="1526">
        <f>VLOOKUP($IW107,Base_Mensuelle!$OF$68:$RM$679,HLOOKUP(KM$73,Base_Mensuelle!$PE$67:$QE$680,614,0))</f>
        <v>0</v>
      </c>
      <c r="KN107" s="1526">
        <f>VLOOKUP($IW107,Base_Mensuelle!$OF$68:$RM$679,HLOOKUP(KN$73,Base_Mensuelle!$PE$67:$QE$680,614,0))</f>
        <v>0.144361551</v>
      </c>
      <c r="KO107" s="1526">
        <f>VLOOKUP($IW107,Base_Mensuelle!$OF$68:$RM$679,HLOOKUP(KO$73,Base_Mensuelle!$PE$67:$QE$680,614,0))</f>
        <v>0</v>
      </c>
      <c r="KP107" s="1526">
        <f>VLOOKUP($IW107,Base_Mensuelle!$OF$68:$RM$679,HLOOKUP(KP$73,Base_Mensuelle!$PE$67:$QE$680,614,0))</f>
        <v>0</v>
      </c>
      <c r="KQ107" s="1526">
        <f>VLOOKUP($IW107,Base_Mensuelle!$OF$68:$RM$679,HLOOKUP(KQ$73,Base_Mensuelle!$PE$67:$QE$680,614,0))</f>
        <v>0.144361551</v>
      </c>
      <c r="KR107" s="1526">
        <f>VLOOKUP($IW107,Base_Mensuelle!$OF$68:$RM$679,HLOOKUP(KR$73,Base_Mensuelle!$PE$67:$QE$680,614,0))</f>
        <v>0</v>
      </c>
      <c r="KS107" s="1526">
        <f>VLOOKUP($IW107,Base_Mensuelle!$OF$68:$RM$679,HLOOKUP(KS$73,Base_Mensuelle!$PE$67:$QE$680,614,0))</f>
        <v>0</v>
      </c>
      <c r="KT107" s="1526">
        <f>VLOOKUP($IW107,Base_Mensuelle!$OF$68:$RM$679,HLOOKUP(KT$73,Base_Mensuelle!$PE$67:$QE$680,614,0))</f>
        <v>0</v>
      </c>
      <c r="KU107" s="1526">
        <f>VLOOKUP($IW107,Base_Mensuelle!$OF$68:$RM$679,HLOOKUP(KU$73,Base_Mensuelle!$PE$67:$QE$680,614,0))</f>
        <v>-1.9971889030000001</v>
      </c>
      <c r="KV107" s="1526">
        <f>VLOOKUP($IW107,Base_Mensuelle!$OF$68:$RM$679,HLOOKUP(KV$73,Base_Mensuelle!$PE$67:$QE$680,614,0))</f>
        <v>-3.0449164820000005</v>
      </c>
      <c r="KW107" s="1036"/>
      <c r="KX107" s="29">
        <v>34</v>
      </c>
      <c r="KY107" s="1037"/>
      <c r="KZ107" s="182">
        <f>VLOOKUP($IW107,Base_Mensuelle!$OF$68:$RM$679,HLOOKUP(KZ$73,Base_Mensuelle!$QG$67:$RM$680,614,0))</f>
        <v>87.856301458632402</v>
      </c>
      <c r="LA107" s="182">
        <f>VLOOKUP($IW107,Base_Mensuelle!$OF$68:$RM$679,HLOOKUP(LA$73,Base_Mensuelle!$QG$67:$RM$680,614,0))</f>
        <v>192.1766331329097</v>
      </c>
      <c r="LB107" s="182">
        <f>VLOOKUP($IW107,Base_Mensuelle!$OF$68:$RM$679,HLOOKUP(LB$73,Base_Mensuelle!$QG$67:$RM$680,614,0))</f>
        <v>-104.3203316742773</v>
      </c>
      <c r="LC107" s="182">
        <f>VLOOKUP($IW107,Base_Mensuelle!$OF$68:$RM$679,HLOOKUP(LC$73,Base_Mensuelle!$QG$67:$RM$680,614,0))</f>
        <v>91.897000000000006</v>
      </c>
      <c r="LD107" s="182">
        <f>VLOOKUP($IW107,Base_Mensuelle!$OF$68:$RM$679,HLOOKUP(LD$73,Base_Mensuelle!$QG$67:$RM$680,614,0))</f>
        <v>23.596</v>
      </c>
      <c r="LE107" s="182">
        <f>VLOOKUP($IW107,Base_Mensuelle!$OF$68:$RM$679,HLOOKUP(LE$73,Base_Mensuelle!$QG$67:$RM$680,614,0))</f>
        <v>68.301000000000002</v>
      </c>
      <c r="LF107" s="182">
        <f>VLOOKUP($IW107,Base_Mensuelle!$OF$68:$RM$679,HLOOKUP(LF$73,Base_Mensuelle!$QG$67:$RM$680,614,0))</f>
        <v>0</v>
      </c>
      <c r="LG107" s="182">
        <f>VLOOKUP($IW107,Base_Mensuelle!$OF$68:$RM$679,HLOOKUP(LG$73,Base_Mensuelle!$QG$67:$RM$680,614,0))</f>
        <v>-89.031000000000006</v>
      </c>
      <c r="LH107" s="182">
        <f>VLOOKUP($IW107,Base_Mensuelle!$OF$68:$RM$679,HLOOKUP(LH$73,Base_Mensuelle!$QG$67:$RM$680,614,0))</f>
        <v>36.562999999999995</v>
      </c>
      <c r="LI107" s="182">
        <f>VLOOKUP($IW107,Base_Mensuelle!$OF$68:$RM$679,HLOOKUP(LI$73,Base_Mensuelle!$QG$67:$RM$680,614,0))</f>
        <v>-125.59399999999999</v>
      </c>
      <c r="LJ107" s="182">
        <f>VLOOKUP($IW107,Base_Mensuelle!$OF$68:$RM$679,HLOOKUP(LJ$73,Base_Mensuelle!$QG$67:$RM$680,614,0))</f>
        <v>679.24636686709027</v>
      </c>
      <c r="LK107" s="182">
        <f>VLOOKUP($IW107,Base_Mensuelle!$OF$68:$RM$679,HLOOKUP(LK$73,Base_Mensuelle!$QG$67:$RM$680,614,0))</f>
        <v>10.513937313675783</v>
      </c>
      <c r="LL107" s="182">
        <f>VLOOKUP($IW107,Base_Mensuelle!$OF$68:$RM$679,HLOOKUP(LL$73,Base_Mensuelle!$QG$67:$RM$680,614,0))</f>
        <v>0</v>
      </c>
      <c r="LM107" s="182">
        <f>VLOOKUP($IW107,Base_Mensuelle!$OF$68:$RM$679,HLOOKUP(LM$73,Base_Mensuelle!$QG$67:$RM$680,614,0))</f>
        <v>70.771000000000001</v>
      </c>
      <c r="LN107" s="182">
        <f>VLOOKUP($IW107,Base_Mensuelle!$OF$68:$RM$679,HLOOKUP(LN$73,Base_Mensuelle!$QG$67:$RM$680,614,0))</f>
        <v>597.96142955341452</v>
      </c>
      <c r="LO107" s="182">
        <f>VLOOKUP($IW107,Base_Mensuelle!$OF$68:$RM$679,HLOOKUP(LO$73,Base_Mensuelle!$QG$67:$RM$680,614,0))</f>
        <v>0</v>
      </c>
      <c r="LP107" s="182">
        <f>VLOOKUP($IW107,Base_Mensuelle!$OF$68:$RM$679,HLOOKUP(LP$73,Base_Mensuelle!$QG$67:$RM$680,614,0))</f>
        <v>8.8219999999999992</v>
      </c>
      <c r="LQ107" s="182">
        <f>VLOOKUP($IW107,Base_Mensuelle!$OF$68:$RM$679,HLOOKUP(LQ$73,Base_Mensuelle!$QG$67:$RM$680,614,0))</f>
        <v>264.06127153066598</v>
      </c>
      <c r="LR107" s="182">
        <f>VLOOKUP($IW107,Base_Mensuelle!$OF$68:$RM$679,HLOOKUP(LR$73,Base_Mensuelle!$QG$67:$RM$680,614,0))</f>
        <v>321.40239679505669</v>
      </c>
      <c r="LS107" s="182">
        <f>VLOOKUP($IW107,Base_Mensuelle!$OF$68:$RM$679,HLOOKUP(LS$73,Base_Mensuelle!$QG$67:$RM$680,614,0))</f>
        <v>0</v>
      </c>
      <c r="LT107" s="182">
        <f>VLOOKUP($IW107,Base_Mensuelle!$OF$68:$RM$679,HLOOKUP(LT$73,Base_Mensuelle!$QG$67:$RM$680,614,0))</f>
        <v>22.06</v>
      </c>
      <c r="LU107" s="182">
        <f>VLOOKUP($IW107,Base_Mensuelle!$OF$68:$RM$679,HLOOKUP(LU$73,Base_Mensuelle!$QG$67:$RM$680,614,0))</f>
        <v>1.339</v>
      </c>
      <c r="LV107" s="182">
        <f>VLOOKUP($IW107,Base_Mensuelle!$OF$68:$RM$679,HLOOKUP(LV$73,Base_Mensuelle!$QG$67:$RM$680,614,0))</f>
        <v>6.5670000000000002</v>
      </c>
      <c r="LW107" s="182">
        <f>VLOOKUP($IW107,Base_Mensuelle!$OF$68:$RM$679,HLOOKUP(LW$73,Base_Mensuelle!$QG$67:$RM$680,614,0))</f>
        <v>0</v>
      </c>
      <c r="LX107" s="182">
        <f>VLOOKUP($IW107,Base_Mensuelle!$OF$68:$RM$679,HLOOKUP(LX$73,Base_Mensuelle!$QG$67:$RM$680,614,0))</f>
        <v>0</v>
      </c>
      <c r="LY107" s="182">
        <f>VLOOKUP($IW107,Base_Mensuelle!$OF$68:$RM$679,HLOOKUP(LY$73,Base_Mensuelle!$QG$67:$RM$680,614,0))</f>
        <v>97.005000000000123</v>
      </c>
      <c r="LZ107" s="182">
        <f>VLOOKUP($IW107,Base_Mensuelle!$OF$68:$RM$679,HLOOKUP(LZ$73,Base_Mensuelle!$QG$67:$RM$680,614,0))</f>
        <v>48.711999999999975</v>
      </c>
      <c r="MA107" s="182">
        <f>VLOOKUP($IW107,Base_Mensuelle!$OF$68:$RM$679,HLOOKUP(MA$73,Base_Mensuelle!$QG$67:$RM$680,614,0))</f>
        <v>0</v>
      </c>
      <c r="MB107" s="182">
        <f>VLOOKUP($IW107,Base_Mensuelle!$OF$68:$RM$679,HLOOKUP(MB$73,Base_Mensuelle!$QG$67:$RM$680,614,0))</f>
        <v>0</v>
      </c>
      <c r="MC107" s="182">
        <f>VLOOKUP($IW107,Base_Mensuelle!$OF$68:$RM$679,HLOOKUP(MC$73,Base_Mensuelle!$QG$67:$RM$680,614,0))</f>
        <v>0</v>
      </c>
      <c r="MD107" s="182">
        <f>VLOOKUP($IW107,Base_Mensuelle!$OF$68:$RM$679,HLOOKUP(MD$73,Base_Mensuelle!$QG$67:$RM$680,614,0))</f>
        <v>0</v>
      </c>
      <c r="ME107" s="182">
        <f>VLOOKUP($IW107,Base_Mensuelle!$OF$68:$RM$679,HLOOKUP(ME$73,Base_Mensuelle!$QG$67:$RM$680,614,0))</f>
        <v>0</v>
      </c>
      <c r="MF107" s="182"/>
      <c r="MG107" s="182"/>
      <c r="MH107" s="290"/>
      <c r="MI107" s="29">
        <v>34</v>
      </c>
      <c r="MJ107" s="29" t="str">
        <f t="shared" si="82"/>
        <v>Trimestre 22008</v>
      </c>
      <c r="MK107" s="848">
        <v>39600</v>
      </c>
      <c r="ML107" s="29"/>
      <c r="MM107" s="29"/>
      <c r="MN107" s="29"/>
      <c r="MO107" s="29"/>
      <c r="MP107" s="29"/>
      <c r="MQ107" s="29"/>
      <c r="MR107" s="29"/>
      <c r="MS107" s="29"/>
      <c r="MT107" s="29"/>
      <c r="MU107" s="29"/>
      <c r="MV107" s="29"/>
      <c r="MW107" s="29"/>
      <c r="MX107" s="29"/>
      <c r="MY107" s="29"/>
      <c r="MZ107" s="29"/>
      <c r="NA107" s="29"/>
      <c r="NB107" s="29"/>
      <c r="NC107" s="29"/>
      <c r="ND107" s="29"/>
      <c r="NE107" s="29"/>
      <c r="NF107" s="29"/>
      <c r="NG107" s="29"/>
      <c r="NH107" s="29"/>
      <c r="NI107" s="29"/>
      <c r="NJ107" s="29"/>
      <c r="NK107" s="29"/>
      <c r="NL107" s="29">
        <v>34</v>
      </c>
    </row>
    <row r="108" spans="1:376">
      <c r="A108" s="41">
        <f t="shared" si="80"/>
        <v>2008</v>
      </c>
      <c r="B108" s="785">
        <v>39692</v>
      </c>
      <c r="C108" s="19">
        <v>21.171815575719776</v>
      </c>
      <c r="D108" s="93">
        <v>94.976163419525392</v>
      </c>
      <c r="E108" s="93">
        <v>67.844827287982454</v>
      </c>
      <c r="F108" s="93">
        <v>7.1955432275002762</v>
      </c>
      <c r="G108" s="93">
        <v>37.558486262415855</v>
      </c>
      <c r="H108" s="93">
        <v>65.424896425370108</v>
      </c>
      <c r="I108" s="93">
        <v>140.64838327792162</v>
      </c>
      <c r="J108" s="93">
        <v>90.954473142959927</v>
      </c>
      <c r="K108" s="93">
        <v>93.004308847091053</v>
      </c>
      <c r="L108" s="93">
        <v>90.638547675250337</v>
      </c>
      <c r="M108" s="20">
        <v>83.624856878555789</v>
      </c>
      <c r="N108" s="25">
        <v>35</v>
      </c>
      <c r="O108" s="889">
        <f t="shared" si="79"/>
        <v>2008</v>
      </c>
      <c r="P108" s="29" t="str">
        <f t="shared" si="81"/>
        <v>Trimestre 32008</v>
      </c>
      <c r="Q108" s="848">
        <v>39692</v>
      </c>
      <c r="R108" s="733"/>
      <c r="S108" s="570"/>
      <c r="T108" s="570"/>
      <c r="U108" s="734"/>
      <c r="V108" s="25">
        <v>35</v>
      </c>
      <c r="W108" s="19"/>
      <c r="X108" s="93"/>
      <c r="Y108" s="93"/>
      <c r="Z108" s="93"/>
      <c r="AA108" s="93"/>
      <c r="AB108" s="93"/>
      <c r="AC108" s="93"/>
      <c r="AD108" s="93"/>
      <c r="AE108" s="20"/>
      <c r="AF108" s="25">
        <v>35</v>
      </c>
      <c r="AG108" s="19"/>
      <c r="AH108" s="93"/>
      <c r="AI108" s="93"/>
      <c r="AJ108" s="93"/>
      <c r="AK108" s="93"/>
      <c r="AL108" s="93"/>
      <c r="AM108" s="93"/>
      <c r="AN108" s="20"/>
      <c r="AO108" s="19"/>
      <c r="AP108" s="93"/>
      <c r="AQ108" s="93"/>
      <c r="AR108" s="93"/>
      <c r="AS108" s="20"/>
      <c r="AT108" s="19"/>
      <c r="AU108" s="93"/>
      <c r="AV108" s="20"/>
      <c r="AW108" s="19"/>
      <c r="AX108" s="93"/>
      <c r="AY108" s="93"/>
      <c r="AZ108" s="93"/>
      <c r="BA108" s="93"/>
      <c r="BB108" s="93"/>
      <c r="BC108" s="20"/>
      <c r="BD108" s="19"/>
      <c r="BE108" s="93"/>
      <c r="BF108" s="93"/>
      <c r="BG108" s="93"/>
      <c r="BH108" s="93"/>
      <c r="BI108" s="93"/>
      <c r="BJ108" s="93"/>
      <c r="BK108" s="20"/>
      <c r="BL108" s="19"/>
      <c r="BM108" s="93"/>
      <c r="BN108" s="93"/>
      <c r="BO108" s="93"/>
      <c r="BP108" s="93"/>
      <c r="BQ108" s="20"/>
      <c r="BR108" s="19"/>
      <c r="BS108" s="93"/>
      <c r="BT108" s="93"/>
      <c r="BU108" s="20"/>
      <c r="BV108" s="19"/>
      <c r="BW108" s="93"/>
      <c r="BX108" s="93"/>
      <c r="BY108" s="93"/>
      <c r="BZ108" s="93"/>
      <c r="CA108" s="93"/>
      <c r="CB108" s="20"/>
      <c r="CC108" s="25">
        <v>35</v>
      </c>
      <c r="CD108" s="19"/>
      <c r="CE108" s="93"/>
      <c r="CF108" s="20"/>
      <c r="CG108" s="25">
        <v>35</v>
      </c>
      <c r="CH108" s="19"/>
      <c r="CI108" s="93"/>
      <c r="CJ108" s="93"/>
      <c r="CK108" s="93"/>
      <c r="CL108" s="93"/>
      <c r="CM108" s="93"/>
      <c r="CN108" s="93"/>
      <c r="CO108" s="93"/>
      <c r="CP108" s="93"/>
      <c r="CQ108" s="93"/>
      <c r="CR108" s="214"/>
      <c r="CS108" s="20"/>
      <c r="CT108" s="25">
        <v>35</v>
      </c>
      <c r="CU108" s="19"/>
      <c r="CV108" s="93"/>
      <c r="CW108" s="93"/>
      <c r="CX108" s="93"/>
      <c r="CY108" s="93"/>
      <c r="CZ108" s="93"/>
      <c r="DA108" s="93"/>
      <c r="DB108" s="20"/>
      <c r="DC108" s="25">
        <v>35</v>
      </c>
      <c r="DD108" s="785">
        <v>39692</v>
      </c>
      <c r="DE108" s="19"/>
      <c r="DF108" s="20"/>
      <c r="DG108" s="25">
        <v>35</v>
      </c>
      <c r="DH108" s="19"/>
      <c r="DI108" s="20"/>
      <c r="DJ108" s="25">
        <v>35</v>
      </c>
      <c r="DK108" s="19"/>
      <c r="DL108" s="20"/>
      <c r="DM108" s="19"/>
      <c r="DN108" s="20"/>
      <c r="DO108" s="25">
        <v>35</v>
      </c>
      <c r="DP108" s="19"/>
      <c r="DQ108" s="93"/>
      <c r="DR108" s="20"/>
      <c r="DS108" s="25">
        <v>35</v>
      </c>
      <c r="DT108" s="19"/>
      <c r="DU108" s="93"/>
      <c r="DV108" s="20"/>
      <c r="DW108" s="25">
        <v>35</v>
      </c>
      <c r="DX108" s="19"/>
      <c r="DY108" s="20"/>
      <c r="DZ108" s="25">
        <v>35</v>
      </c>
      <c r="EA108" s="19"/>
      <c r="EB108" s="93"/>
      <c r="EC108" s="93"/>
      <c r="ED108" s="93"/>
      <c r="EE108" s="20"/>
      <c r="EF108" s="25">
        <v>35</v>
      </c>
      <c r="EG108" s="19"/>
      <c r="EH108" s="93"/>
      <c r="EI108" s="93"/>
      <c r="EJ108" s="93"/>
      <c r="EK108" s="20"/>
      <c r="EL108" s="25">
        <v>35</v>
      </c>
      <c r="EM108" s="19"/>
      <c r="EN108" s="93"/>
      <c r="EO108" s="93"/>
      <c r="EP108" s="93"/>
      <c r="EQ108" s="93"/>
      <c r="ER108" s="93"/>
      <c r="ES108" s="93"/>
      <c r="ET108" s="93"/>
      <c r="EU108" s="93"/>
      <c r="EV108" s="20"/>
      <c r="EW108" s="25">
        <v>35</v>
      </c>
      <c r="EX108" s="915"/>
      <c r="EY108" s="916"/>
      <c r="EZ108" s="916"/>
      <c r="FA108" s="916"/>
      <c r="FB108" s="916"/>
      <c r="FC108" s="916"/>
      <c r="FD108" s="916"/>
      <c r="FE108" s="916"/>
      <c r="FF108" s="916"/>
      <c r="FG108" s="917"/>
      <c r="FH108" s="25">
        <v>35</v>
      </c>
      <c r="FI108" s="848">
        <v>39692</v>
      </c>
      <c r="FJ108" s="19"/>
      <c r="FK108" s="93"/>
      <c r="FL108" s="20"/>
      <c r="FM108" s="25">
        <v>35</v>
      </c>
      <c r="FN108" s="19"/>
      <c r="FO108" s="93"/>
      <c r="FP108" s="93"/>
      <c r="FQ108" s="93"/>
      <c r="FR108" s="93"/>
      <c r="FS108" s="93"/>
      <c r="FT108" s="93"/>
      <c r="FU108" s="93"/>
      <c r="FV108" s="93"/>
      <c r="FW108" s="917"/>
      <c r="FX108" s="25">
        <v>35</v>
      </c>
      <c r="FY108" s="916"/>
      <c r="FZ108" s="916"/>
      <c r="GA108" s="916"/>
      <c r="GB108" s="916"/>
      <c r="GC108" s="916"/>
      <c r="GD108" s="916"/>
      <c r="GE108" s="916"/>
      <c r="GF108" s="916"/>
      <c r="GG108" s="916"/>
      <c r="GH108" s="916"/>
      <c r="GI108" s="917"/>
      <c r="GJ108" s="25">
        <v>35</v>
      </c>
      <c r="GK108" s="19"/>
      <c r="GL108" s="20"/>
      <c r="GM108" s="25">
        <v>35</v>
      </c>
      <c r="GN108" s="19"/>
      <c r="GO108" s="20"/>
      <c r="GP108" s="25">
        <v>35</v>
      </c>
      <c r="GQ108" s="19"/>
      <c r="GR108" s="20"/>
      <c r="GS108" s="25">
        <v>35</v>
      </c>
      <c r="GT108" s="848">
        <v>39692</v>
      </c>
      <c r="GU108" s="19"/>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v>35</v>
      </c>
      <c r="IW108" s="848">
        <v>39692</v>
      </c>
      <c r="IX108" s="1035"/>
      <c r="IY108" s="1035">
        <v>176.6456</v>
      </c>
      <c r="IZ108" s="1035">
        <v>200.60059999999999</v>
      </c>
      <c r="JA108" s="1035">
        <v>0.32509043999999998</v>
      </c>
      <c r="JB108" s="1035">
        <v>266.02421473117602</v>
      </c>
      <c r="JC108" s="1035">
        <v>61.048099999999998</v>
      </c>
      <c r="JD108" s="1035">
        <v>504.04300517117599</v>
      </c>
      <c r="JE108" s="1035">
        <v>316.98163263608888</v>
      </c>
      <c r="JF108" s="1035">
        <v>821.02463780726487</v>
      </c>
      <c r="JG108" s="1035"/>
      <c r="JH108" s="1035">
        <v>355.92169584287643</v>
      </c>
      <c r="JI108" s="1035">
        <v>292.07772383899999</v>
      </c>
      <c r="JJ108" s="1035">
        <v>63.843972003876473</v>
      </c>
      <c r="JK108" s="1035">
        <v>591.96198463038843</v>
      </c>
      <c r="JL108" s="1035">
        <v>-112.147885727</v>
      </c>
      <c r="JM108" s="1035">
        <v>-28.576885727000004</v>
      </c>
      <c r="JN108" s="1035">
        <v>-83.570999999999998</v>
      </c>
      <c r="JO108" s="1035">
        <v>704.10987035738844</v>
      </c>
      <c r="JP108" s="1035">
        <v>2.4299949939999999</v>
      </c>
      <c r="JQ108" s="1035">
        <v>701.67987536338842</v>
      </c>
      <c r="JR108" s="1035">
        <v>135.43702271700002</v>
      </c>
      <c r="JS108" s="1035">
        <v>-8.5779800510000044</v>
      </c>
      <c r="JT108" s="1036">
        <v>821.02463780726487</v>
      </c>
      <c r="JU108" s="29">
        <v>35</v>
      </c>
      <c r="JV108" s="1037"/>
      <c r="JW108" s="1526">
        <f>VLOOKUP($IW108,Base_Mensuelle!$OF$68:$RM$679,HLOOKUP(JW$73,Base_Mensuelle!$PE$67:$QE$680,614,0))</f>
        <v>292.07772383899999</v>
      </c>
      <c r="JX108" s="1526">
        <f>VLOOKUP($IW108,Base_Mensuelle!$OF$68:$RM$679,HLOOKUP(JX$73,Base_Mensuelle!$PE$67:$QE$680,614,0))</f>
        <v>403.22441149599996</v>
      </c>
      <c r="JY108" s="1526">
        <f>VLOOKUP($IW108,Base_Mensuelle!$OF$68:$RM$679,HLOOKUP(JY$73,Base_Mensuelle!$PE$67:$QE$680,614,0))</f>
        <v>111.146687657</v>
      </c>
      <c r="JZ108" s="1526">
        <f>VLOOKUP($IW108,Base_Mensuelle!$OF$68:$RM$679,HLOOKUP(JZ$73,Base_Mensuelle!$PE$67:$QE$680,614,0))</f>
        <v>11.097186580000001</v>
      </c>
      <c r="KA108" s="1526">
        <f>VLOOKUP($IW108,Base_Mensuelle!$OF$68:$RM$679,HLOOKUP(KA$73,Base_Mensuelle!$PE$67:$QE$680,614,0))</f>
        <v>-28.576885727000004</v>
      </c>
      <c r="KB108" s="1526">
        <f>VLOOKUP($IW108,Base_Mensuelle!$OF$68:$RM$679,HLOOKUP(KB$73,Base_Mensuelle!$PE$67:$QE$680,614,0))</f>
        <v>40.428970430999996</v>
      </c>
      <c r="KC108" s="1526">
        <f>VLOOKUP($IW108,Base_Mensuelle!$OF$68:$RM$679,HLOOKUP(KC$73,Base_Mensuelle!$PE$67:$QE$680,614,0))</f>
        <v>69.005856158</v>
      </c>
      <c r="KD108" s="1526">
        <f>VLOOKUP($IW108,Base_Mensuelle!$OF$68:$RM$679,HLOOKUP(KD$73,Base_Mensuelle!$PE$67:$QE$680,614,0))</f>
        <v>2.4299949939999999</v>
      </c>
      <c r="KE108" s="1526">
        <f>VLOOKUP($IW108,Base_Mensuelle!$OF$68:$RM$679,HLOOKUP(KE$73,Base_Mensuelle!$PE$67:$QE$680,614,0))</f>
        <v>0</v>
      </c>
      <c r="KF108" s="1526">
        <f>VLOOKUP($IW108,Base_Mensuelle!$OF$68:$RM$679,HLOOKUP(KF$73,Base_Mensuelle!$PE$67:$QE$680,614,0))</f>
        <v>0</v>
      </c>
      <c r="KG108" s="1526">
        <f>VLOOKUP($IW108,Base_Mensuelle!$OF$68:$RM$679,HLOOKUP(KG$73,Base_Mensuelle!$PE$67:$QE$680,614,0))</f>
        <v>3.4890399999999998E-4</v>
      </c>
      <c r="KH108" s="1526">
        <f>VLOOKUP($IW108,Base_Mensuelle!$OF$68:$RM$679,HLOOKUP(KH$73,Base_Mensuelle!$PE$67:$QE$680,614,0))</f>
        <v>2.4296460899999999</v>
      </c>
      <c r="KI108" s="1526">
        <f>VLOOKUP($IW108,Base_Mensuelle!$OF$68:$RM$679,HLOOKUP(KI$73,Base_Mensuelle!$PE$67:$QE$680,614,0))</f>
        <v>281.55879701499998</v>
      </c>
      <c r="KJ108" s="1526">
        <f>VLOOKUP($IW108,Base_Mensuelle!$OF$68:$RM$679,HLOOKUP(KJ$73,Base_Mensuelle!$PE$67:$QE$680,614,0))</f>
        <v>200.60059999999999</v>
      </c>
      <c r="KK108" s="1526">
        <f>VLOOKUP($IW108,Base_Mensuelle!$OF$68:$RM$679,HLOOKUP(KK$73,Base_Mensuelle!$PE$67:$QE$680,614,0))</f>
        <v>80.633106574999999</v>
      </c>
      <c r="KL108" s="1526">
        <f>VLOOKUP($IW108,Base_Mensuelle!$OF$68:$RM$679,HLOOKUP(KL$73,Base_Mensuelle!$PE$67:$QE$680,614,0))</f>
        <v>0.32509043999999998</v>
      </c>
      <c r="KM108" s="1526">
        <f>VLOOKUP($IW108,Base_Mensuelle!$OF$68:$RM$679,HLOOKUP(KM$73,Base_Mensuelle!$PE$67:$QE$680,614,0))</f>
        <v>0</v>
      </c>
      <c r="KN108" s="1526">
        <f>VLOOKUP($IW108,Base_Mensuelle!$OF$68:$RM$679,HLOOKUP(KN$73,Base_Mensuelle!$PE$67:$QE$680,614,0))</f>
        <v>4.1111045999999998E-2</v>
      </c>
      <c r="KO108" s="1526">
        <f>VLOOKUP($IW108,Base_Mensuelle!$OF$68:$RM$679,HLOOKUP(KO$73,Base_Mensuelle!$PE$67:$QE$680,614,0))</f>
        <v>0</v>
      </c>
      <c r="KP108" s="1526">
        <f>VLOOKUP($IW108,Base_Mensuelle!$OF$68:$RM$679,HLOOKUP(KP$73,Base_Mensuelle!$PE$67:$QE$680,614,0))</f>
        <v>0</v>
      </c>
      <c r="KQ108" s="1526">
        <f>VLOOKUP($IW108,Base_Mensuelle!$OF$68:$RM$679,HLOOKUP(KQ$73,Base_Mensuelle!$PE$67:$QE$680,614,0))</f>
        <v>4.1111045999999998E-2</v>
      </c>
      <c r="KR108" s="1526">
        <f>VLOOKUP($IW108,Base_Mensuelle!$OF$68:$RM$679,HLOOKUP(KR$73,Base_Mensuelle!$PE$67:$QE$680,614,0))</f>
        <v>0</v>
      </c>
      <c r="KS108" s="1526">
        <f>VLOOKUP($IW108,Base_Mensuelle!$OF$68:$RM$679,HLOOKUP(KS$73,Base_Mensuelle!$PE$67:$QE$680,614,0))</f>
        <v>0</v>
      </c>
      <c r="KT108" s="1526">
        <f>VLOOKUP($IW108,Base_Mensuelle!$OF$68:$RM$679,HLOOKUP(KT$73,Base_Mensuelle!$PE$67:$QE$680,614,0))</f>
        <v>0</v>
      </c>
      <c r="KU108" s="1526">
        <f>VLOOKUP($IW108,Base_Mensuelle!$OF$68:$RM$679,HLOOKUP(KU$73,Base_Mensuelle!$PE$67:$QE$680,614,0))</f>
        <v>-3.8190883289999999</v>
      </c>
      <c r="KV108" s="1526">
        <f>VLOOKUP($IW108,Base_Mensuelle!$OF$68:$RM$679,HLOOKUP(KV$73,Base_Mensuelle!$PE$67:$QE$680,614,0))</f>
        <v>-0.75280004600000017</v>
      </c>
      <c r="KW108" s="1036"/>
      <c r="KX108" s="29">
        <v>35</v>
      </c>
      <c r="KY108" s="1037"/>
      <c r="KZ108" s="182">
        <f>VLOOKUP($IW108,Base_Mensuelle!$OF$68:$RM$679,HLOOKUP(KZ$73,Base_Mensuelle!$QG$67:$RM$680,614,0))</f>
        <v>63.843972003876473</v>
      </c>
      <c r="LA108" s="182">
        <f>VLOOKUP($IW108,Base_Mensuelle!$OF$68:$RM$679,HLOOKUP(LA$73,Base_Mensuelle!$QG$67:$RM$680,614,0))</f>
        <v>195.73112463661158</v>
      </c>
      <c r="LB108" s="182">
        <f>VLOOKUP($IW108,Base_Mensuelle!$OF$68:$RM$679,HLOOKUP(LB$73,Base_Mensuelle!$QG$67:$RM$680,614,0))</f>
        <v>-131.88715263273511</v>
      </c>
      <c r="LC108" s="182">
        <f>VLOOKUP($IW108,Base_Mensuelle!$OF$68:$RM$679,HLOOKUP(LC$73,Base_Mensuelle!$QG$67:$RM$680,614,0))</f>
        <v>92.652000000000001</v>
      </c>
      <c r="LD108" s="182">
        <f>VLOOKUP($IW108,Base_Mensuelle!$OF$68:$RM$679,HLOOKUP(LD$73,Base_Mensuelle!$QG$67:$RM$680,614,0))</f>
        <v>23.954999999999998</v>
      </c>
      <c r="LE108" s="182">
        <f>VLOOKUP($IW108,Base_Mensuelle!$OF$68:$RM$679,HLOOKUP(LE$73,Base_Mensuelle!$QG$67:$RM$680,614,0))</f>
        <v>68.697000000000003</v>
      </c>
      <c r="LF108" s="182">
        <f>VLOOKUP($IW108,Base_Mensuelle!$OF$68:$RM$679,HLOOKUP(LF$73,Base_Mensuelle!$QG$67:$RM$680,614,0))</f>
        <v>0</v>
      </c>
      <c r="LG108" s="182">
        <f>VLOOKUP($IW108,Base_Mensuelle!$OF$68:$RM$679,HLOOKUP(LG$73,Base_Mensuelle!$QG$67:$RM$680,614,0))</f>
        <v>-83.570999999999998</v>
      </c>
      <c r="LH108" s="182">
        <f>VLOOKUP($IW108,Base_Mensuelle!$OF$68:$RM$679,HLOOKUP(LH$73,Base_Mensuelle!$QG$67:$RM$680,614,0))</f>
        <v>43.503999999999998</v>
      </c>
      <c r="LI108" s="182">
        <f>VLOOKUP($IW108,Base_Mensuelle!$OF$68:$RM$679,HLOOKUP(LI$73,Base_Mensuelle!$QG$67:$RM$680,614,0))</f>
        <v>-127.075</v>
      </c>
      <c r="LJ108" s="182">
        <f>VLOOKUP($IW108,Base_Mensuelle!$OF$68:$RM$679,HLOOKUP(LJ$73,Base_Mensuelle!$QG$67:$RM$680,614,0))</f>
        <v>701.67987536338842</v>
      </c>
      <c r="LK108" s="182">
        <f>VLOOKUP($IW108,Base_Mensuelle!$OF$68:$RM$679,HLOOKUP(LK$73,Base_Mensuelle!$QG$67:$RM$680,614,0))</f>
        <v>11.200235734488691</v>
      </c>
      <c r="LL108" s="182">
        <f>VLOOKUP($IW108,Base_Mensuelle!$OF$68:$RM$679,HLOOKUP(LL$73,Base_Mensuelle!$QG$67:$RM$680,614,0))</f>
        <v>0</v>
      </c>
      <c r="LM108" s="182">
        <f>VLOOKUP($IW108,Base_Mensuelle!$OF$68:$RM$679,HLOOKUP(LM$73,Base_Mensuelle!$QG$67:$RM$680,614,0))</f>
        <v>73.793000000000006</v>
      </c>
      <c r="LN108" s="182">
        <f>VLOOKUP($IW108,Base_Mensuelle!$OF$68:$RM$679,HLOOKUP(LN$73,Base_Mensuelle!$QG$67:$RM$680,614,0))</f>
        <v>616.68663962889968</v>
      </c>
      <c r="LO108" s="182">
        <f>VLOOKUP($IW108,Base_Mensuelle!$OF$68:$RM$679,HLOOKUP(LO$73,Base_Mensuelle!$QG$67:$RM$680,614,0))</f>
        <v>0</v>
      </c>
      <c r="LP108" s="182">
        <f>VLOOKUP($IW108,Base_Mensuelle!$OF$68:$RM$679,HLOOKUP(LP$73,Base_Mensuelle!$QG$67:$RM$680,614,0))</f>
        <v>10.978999999999999</v>
      </c>
      <c r="LQ108" s="182">
        <f>VLOOKUP($IW108,Base_Mensuelle!$OF$68:$RM$679,HLOOKUP(LQ$73,Base_Mensuelle!$QG$67:$RM$680,614,0))</f>
        <v>266.02421473117602</v>
      </c>
      <c r="LR108" s="182">
        <f>VLOOKUP($IW108,Base_Mensuelle!$OF$68:$RM$679,HLOOKUP(LR$73,Base_Mensuelle!$QG$67:$RM$680,614,0))</f>
        <v>316.98163263608888</v>
      </c>
      <c r="LS108" s="182">
        <f>VLOOKUP($IW108,Base_Mensuelle!$OF$68:$RM$679,HLOOKUP(LS$73,Base_Mensuelle!$QG$67:$RM$680,614,0))</f>
        <v>0</v>
      </c>
      <c r="LT108" s="182">
        <f>VLOOKUP($IW108,Base_Mensuelle!$OF$68:$RM$679,HLOOKUP(LT$73,Base_Mensuelle!$QG$67:$RM$680,614,0))</f>
        <v>23.189999999999998</v>
      </c>
      <c r="LU108" s="182">
        <f>VLOOKUP($IW108,Base_Mensuelle!$OF$68:$RM$679,HLOOKUP(LU$73,Base_Mensuelle!$QG$67:$RM$680,614,0))</f>
        <v>1.347</v>
      </c>
      <c r="LV108" s="182">
        <f>VLOOKUP($IW108,Base_Mensuelle!$OF$68:$RM$679,HLOOKUP(LV$73,Base_Mensuelle!$QG$67:$RM$680,614,0))</f>
        <v>11.025</v>
      </c>
      <c r="LW108" s="182">
        <f>VLOOKUP($IW108,Base_Mensuelle!$OF$68:$RM$679,HLOOKUP(LW$73,Base_Mensuelle!$QG$67:$RM$680,614,0))</f>
        <v>0</v>
      </c>
      <c r="LX108" s="182">
        <f>VLOOKUP($IW108,Base_Mensuelle!$OF$68:$RM$679,HLOOKUP(LX$73,Base_Mensuelle!$QG$67:$RM$680,614,0))</f>
        <v>0</v>
      </c>
      <c r="LY108" s="182">
        <f>VLOOKUP($IW108,Base_Mensuelle!$OF$68:$RM$679,HLOOKUP(LY$73,Base_Mensuelle!$QG$67:$RM$680,614,0))</f>
        <v>103.65300000000001</v>
      </c>
      <c r="LZ108" s="182">
        <f>VLOOKUP($IW108,Base_Mensuelle!$OF$68:$RM$679,HLOOKUP(LZ$73,Base_Mensuelle!$QG$67:$RM$680,614,0))</f>
        <v>41.405000000000001</v>
      </c>
      <c r="MA108" s="182">
        <f>VLOOKUP($IW108,Base_Mensuelle!$OF$68:$RM$679,HLOOKUP(MA$73,Base_Mensuelle!$QG$67:$RM$680,614,0))</f>
        <v>0</v>
      </c>
      <c r="MB108" s="182">
        <f>VLOOKUP($IW108,Base_Mensuelle!$OF$68:$RM$679,HLOOKUP(MB$73,Base_Mensuelle!$QG$67:$RM$680,614,0))</f>
        <v>0</v>
      </c>
      <c r="MC108" s="182">
        <f>VLOOKUP($IW108,Base_Mensuelle!$OF$68:$RM$679,HLOOKUP(MC$73,Base_Mensuelle!$QG$67:$RM$680,614,0))</f>
        <v>0</v>
      </c>
      <c r="MD108" s="182">
        <f>VLOOKUP($IW108,Base_Mensuelle!$OF$68:$RM$679,HLOOKUP(MD$73,Base_Mensuelle!$QG$67:$RM$680,614,0))</f>
        <v>0</v>
      </c>
      <c r="ME108" s="182">
        <f>VLOOKUP($IW108,Base_Mensuelle!$OF$68:$RM$679,HLOOKUP(ME$73,Base_Mensuelle!$QG$67:$RM$680,614,0))</f>
        <v>0</v>
      </c>
      <c r="MF108" s="182"/>
      <c r="MG108" s="182"/>
      <c r="MH108" s="290"/>
      <c r="MI108" s="29">
        <v>35</v>
      </c>
      <c r="MJ108" s="29" t="str">
        <f t="shared" si="82"/>
        <v>Trimestre 32008</v>
      </c>
      <c r="MK108" s="848">
        <v>39692</v>
      </c>
      <c r="ML108" s="29"/>
      <c r="MM108" s="29"/>
      <c r="MN108" s="29"/>
      <c r="MO108" s="29"/>
      <c r="MP108" s="29"/>
      <c r="MQ108" s="29"/>
      <c r="MR108" s="29"/>
      <c r="MS108" s="29"/>
      <c r="MT108" s="29"/>
      <c r="MU108" s="29"/>
      <c r="MV108" s="29"/>
      <c r="MW108" s="29"/>
      <c r="MX108" s="29"/>
      <c r="MY108" s="29"/>
      <c r="MZ108" s="29"/>
      <c r="NA108" s="29"/>
      <c r="NB108" s="29"/>
      <c r="NC108" s="29"/>
      <c r="ND108" s="29"/>
      <c r="NE108" s="29"/>
      <c r="NF108" s="29"/>
      <c r="NG108" s="29"/>
      <c r="NH108" s="29"/>
      <c r="NI108" s="29"/>
      <c r="NJ108" s="29"/>
      <c r="NK108" s="29"/>
      <c r="NL108" s="29">
        <v>35</v>
      </c>
    </row>
    <row r="109" spans="1:376">
      <c r="A109" s="41">
        <f t="shared" si="80"/>
        <v>2008</v>
      </c>
      <c r="B109" s="785">
        <v>39783</v>
      </c>
      <c r="C109" s="19">
        <v>277.97261359030688</v>
      </c>
      <c r="D109" s="93">
        <v>106.30394146507179</v>
      </c>
      <c r="E109" s="93">
        <v>93.286637520975887</v>
      </c>
      <c r="F109" s="93">
        <v>67.845602339406057</v>
      </c>
      <c r="G109" s="93">
        <v>37.558486262415855</v>
      </c>
      <c r="H109" s="93">
        <v>46.098674624915525</v>
      </c>
      <c r="I109" s="93">
        <v>122.70751356437555</v>
      </c>
      <c r="J109" s="93">
        <v>117.67368753373346</v>
      </c>
      <c r="K109" s="93">
        <v>101.09164024987494</v>
      </c>
      <c r="L109" s="93">
        <v>112.14494045256292</v>
      </c>
      <c r="M109" s="20">
        <v>102.50978934656794</v>
      </c>
      <c r="N109" s="25">
        <v>36</v>
      </c>
      <c r="O109" s="889">
        <f t="shared" si="79"/>
        <v>2008</v>
      </c>
      <c r="P109" s="29" t="str">
        <f t="shared" si="81"/>
        <v>Trimestre 42008</v>
      </c>
      <c r="Q109" s="848">
        <v>39783</v>
      </c>
      <c r="R109" s="733"/>
      <c r="S109" s="570"/>
      <c r="T109" s="570"/>
      <c r="U109" s="734"/>
      <c r="V109" s="25">
        <v>36</v>
      </c>
      <c r="W109" s="19"/>
      <c r="X109" s="93"/>
      <c r="Y109" s="93"/>
      <c r="Z109" s="93"/>
      <c r="AA109" s="93"/>
      <c r="AB109" s="93"/>
      <c r="AC109" s="93"/>
      <c r="AD109" s="93"/>
      <c r="AE109" s="20"/>
      <c r="AF109" s="25">
        <v>36</v>
      </c>
      <c r="AG109" s="19"/>
      <c r="AH109" s="93"/>
      <c r="AI109" s="93"/>
      <c r="AJ109" s="93"/>
      <c r="AK109" s="93"/>
      <c r="AL109" s="93"/>
      <c r="AM109" s="93"/>
      <c r="AN109" s="20"/>
      <c r="AO109" s="19"/>
      <c r="AP109" s="93"/>
      <c r="AQ109" s="93"/>
      <c r="AR109" s="93"/>
      <c r="AS109" s="20"/>
      <c r="AT109" s="19"/>
      <c r="AU109" s="93"/>
      <c r="AV109" s="20"/>
      <c r="AW109" s="19"/>
      <c r="AX109" s="93"/>
      <c r="AY109" s="93"/>
      <c r="AZ109" s="93"/>
      <c r="BA109" s="93"/>
      <c r="BB109" s="93"/>
      <c r="BC109" s="20"/>
      <c r="BD109" s="19"/>
      <c r="BE109" s="93"/>
      <c r="BF109" s="93"/>
      <c r="BG109" s="93"/>
      <c r="BH109" s="93"/>
      <c r="BI109" s="93"/>
      <c r="BJ109" s="93"/>
      <c r="BK109" s="20"/>
      <c r="BL109" s="19"/>
      <c r="BM109" s="93"/>
      <c r="BN109" s="93"/>
      <c r="BO109" s="93"/>
      <c r="BP109" s="93"/>
      <c r="BQ109" s="20"/>
      <c r="BR109" s="19"/>
      <c r="BS109" s="93"/>
      <c r="BT109" s="93"/>
      <c r="BU109" s="20"/>
      <c r="BV109" s="19"/>
      <c r="BW109" s="93"/>
      <c r="BX109" s="93"/>
      <c r="BY109" s="93"/>
      <c r="BZ109" s="93"/>
      <c r="CA109" s="93"/>
      <c r="CB109" s="20"/>
      <c r="CC109" s="25">
        <v>36</v>
      </c>
      <c r="CD109" s="19"/>
      <c r="CE109" s="93"/>
      <c r="CF109" s="20"/>
      <c r="CG109" s="25">
        <v>36</v>
      </c>
      <c r="CH109" s="19"/>
      <c r="CI109" s="93"/>
      <c r="CJ109" s="93"/>
      <c r="CK109" s="93"/>
      <c r="CL109" s="93"/>
      <c r="CM109" s="93"/>
      <c r="CN109" s="93"/>
      <c r="CO109" s="93"/>
      <c r="CP109" s="93"/>
      <c r="CQ109" s="93"/>
      <c r="CR109" s="214"/>
      <c r="CS109" s="20"/>
      <c r="CT109" s="25">
        <v>36</v>
      </c>
      <c r="CU109" s="19"/>
      <c r="CV109" s="93"/>
      <c r="CW109" s="93"/>
      <c r="CX109" s="93"/>
      <c r="CY109" s="93"/>
      <c r="CZ109" s="93"/>
      <c r="DA109" s="93"/>
      <c r="DB109" s="20"/>
      <c r="DC109" s="25">
        <v>36</v>
      </c>
      <c r="DD109" s="785">
        <v>39783</v>
      </c>
      <c r="DE109" s="19"/>
      <c r="DF109" s="20"/>
      <c r="DG109" s="25">
        <v>36</v>
      </c>
      <c r="DH109" s="19"/>
      <c r="DI109" s="20"/>
      <c r="DJ109" s="25">
        <v>36</v>
      </c>
      <c r="DK109" s="19"/>
      <c r="DL109" s="20"/>
      <c r="DM109" s="19"/>
      <c r="DN109" s="20"/>
      <c r="DO109" s="25">
        <v>36</v>
      </c>
      <c r="DP109" s="19"/>
      <c r="DQ109" s="93"/>
      <c r="DR109" s="20"/>
      <c r="DS109" s="25">
        <v>36</v>
      </c>
      <c r="DT109" s="19"/>
      <c r="DU109" s="93"/>
      <c r="DV109" s="20"/>
      <c r="DW109" s="25">
        <v>36</v>
      </c>
      <c r="DX109" s="19"/>
      <c r="DY109" s="20"/>
      <c r="DZ109" s="25">
        <v>36</v>
      </c>
      <c r="EA109" s="19"/>
      <c r="EB109" s="93"/>
      <c r="EC109" s="93"/>
      <c r="ED109" s="93"/>
      <c r="EE109" s="20"/>
      <c r="EF109" s="25">
        <v>36</v>
      </c>
      <c r="EG109" s="19"/>
      <c r="EH109" s="93"/>
      <c r="EI109" s="93"/>
      <c r="EJ109" s="93"/>
      <c r="EK109" s="20"/>
      <c r="EL109" s="25">
        <v>36</v>
      </c>
      <c r="EM109" s="19"/>
      <c r="EN109" s="93"/>
      <c r="EO109" s="93"/>
      <c r="EP109" s="93"/>
      <c r="EQ109" s="93"/>
      <c r="ER109" s="93"/>
      <c r="ES109" s="93"/>
      <c r="ET109" s="93"/>
      <c r="EU109" s="93"/>
      <c r="EV109" s="20"/>
      <c r="EW109" s="25">
        <v>36</v>
      </c>
      <c r="EX109" s="915"/>
      <c r="EY109" s="916"/>
      <c r="EZ109" s="916"/>
      <c r="FA109" s="916"/>
      <c r="FB109" s="916"/>
      <c r="FC109" s="916"/>
      <c r="FD109" s="916"/>
      <c r="FE109" s="916"/>
      <c r="FF109" s="916"/>
      <c r="FG109" s="917"/>
      <c r="FH109" s="25">
        <v>36</v>
      </c>
      <c r="FI109" s="848">
        <v>39783</v>
      </c>
      <c r="FJ109" s="19"/>
      <c r="FK109" s="93"/>
      <c r="FL109" s="20"/>
      <c r="FM109" s="25">
        <v>36</v>
      </c>
      <c r="FN109" s="19"/>
      <c r="FO109" s="93"/>
      <c r="FP109" s="93"/>
      <c r="FQ109" s="93"/>
      <c r="FR109" s="93"/>
      <c r="FS109" s="93"/>
      <c r="FT109" s="93"/>
      <c r="FU109" s="93"/>
      <c r="FV109" s="93"/>
      <c r="FW109" s="917"/>
      <c r="FX109" s="25">
        <v>36</v>
      </c>
      <c r="FY109" s="916"/>
      <c r="FZ109" s="916"/>
      <c r="GA109" s="916"/>
      <c r="GB109" s="916"/>
      <c r="GC109" s="916"/>
      <c r="GD109" s="916"/>
      <c r="GE109" s="916"/>
      <c r="GF109" s="916"/>
      <c r="GG109" s="916"/>
      <c r="GH109" s="916"/>
      <c r="GI109" s="917"/>
      <c r="GJ109" s="25">
        <v>36</v>
      </c>
      <c r="GK109" s="19"/>
      <c r="GL109" s="20"/>
      <c r="GM109" s="25">
        <v>36</v>
      </c>
      <c r="GN109" s="19"/>
      <c r="GO109" s="20"/>
      <c r="GP109" s="25">
        <v>36</v>
      </c>
      <c r="GQ109" s="19"/>
      <c r="GR109" s="20"/>
      <c r="GS109" s="25">
        <v>36</v>
      </c>
      <c r="GT109" s="848">
        <v>39783</v>
      </c>
      <c r="GU109" s="19"/>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v>36</v>
      </c>
      <c r="IW109" s="848">
        <v>39783</v>
      </c>
      <c r="IX109" s="1035"/>
      <c r="IY109" s="1035">
        <v>215.62430000000001</v>
      </c>
      <c r="IZ109" s="1035">
        <v>238.3443</v>
      </c>
      <c r="JA109" s="1035">
        <v>0.39757178700000001</v>
      </c>
      <c r="JB109" s="1035">
        <v>280.87205465972158</v>
      </c>
      <c r="JC109" s="1035">
        <v>56.914199999999994</v>
      </c>
      <c r="JD109" s="1035">
        <v>553.80812644672164</v>
      </c>
      <c r="JE109" s="1035">
        <v>326.46710933698722</v>
      </c>
      <c r="JF109" s="1035">
        <v>880.27523578370892</v>
      </c>
      <c r="JG109" s="1035"/>
      <c r="JH109" s="1035">
        <v>398.38978220044947</v>
      </c>
      <c r="JI109" s="1035">
        <v>307.86884327500002</v>
      </c>
      <c r="JJ109" s="1035">
        <v>90.520938925449386</v>
      </c>
      <c r="JK109" s="1035">
        <v>620.64001975225938</v>
      </c>
      <c r="JL109" s="1035">
        <v>-108.41408542099998</v>
      </c>
      <c r="JM109" s="1035">
        <v>-22.202085420999992</v>
      </c>
      <c r="JN109" s="1035">
        <v>-86.211999999999989</v>
      </c>
      <c r="JO109" s="1035">
        <v>729.05410517325936</v>
      </c>
      <c r="JP109" s="1035">
        <v>2.2938801019999997</v>
      </c>
      <c r="JQ109" s="1035">
        <v>726.76022507125936</v>
      </c>
      <c r="JR109" s="1035">
        <v>143.42713140599955</v>
      </c>
      <c r="JS109" s="1035">
        <v>-4.6725652369999864</v>
      </c>
      <c r="JT109" s="1036">
        <v>880.27523578370926</v>
      </c>
      <c r="JU109" s="29">
        <v>36</v>
      </c>
      <c r="JV109" s="1037"/>
      <c r="JW109" s="1526">
        <f>VLOOKUP($IW109,Base_Mensuelle!$OF$68:$RM$679,HLOOKUP(JW$73,Base_Mensuelle!$PE$67:$QE$680,614,0))</f>
        <v>307.86884327500002</v>
      </c>
      <c r="JX109" s="1526">
        <f>VLOOKUP($IW109,Base_Mensuelle!$OF$68:$RM$679,HLOOKUP(JX$73,Base_Mensuelle!$PE$67:$QE$680,614,0))</f>
        <v>431.69087636300003</v>
      </c>
      <c r="JY109" s="1526">
        <f>VLOOKUP($IW109,Base_Mensuelle!$OF$68:$RM$679,HLOOKUP(JY$73,Base_Mensuelle!$PE$67:$QE$680,614,0))</f>
        <v>123.82203308799998</v>
      </c>
      <c r="JZ109" s="1526">
        <f>VLOOKUP($IW109,Base_Mensuelle!$OF$68:$RM$679,HLOOKUP(JZ$73,Base_Mensuelle!$PE$67:$QE$680,614,0))</f>
        <v>45.591155985999997</v>
      </c>
      <c r="KA109" s="1526">
        <f>VLOOKUP($IW109,Base_Mensuelle!$OF$68:$RM$679,HLOOKUP(KA$73,Base_Mensuelle!$PE$67:$QE$680,614,0))</f>
        <v>-22.202085420999992</v>
      </c>
      <c r="KB109" s="1526">
        <f>VLOOKUP($IW109,Base_Mensuelle!$OF$68:$RM$679,HLOOKUP(KB$73,Base_Mensuelle!$PE$67:$QE$680,614,0))</f>
        <v>42.408044637000003</v>
      </c>
      <c r="KC109" s="1526">
        <f>VLOOKUP($IW109,Base_Mensuelle!$OF$68:$RM$679,HLOOKUP(KC$73,Base_Mensuelle!$PE$67:$QE$680,614,0))</f>
        <v>64.610130057999996</v>
      </c>
      <c r="KD109" s="1526">
        <f>VLOOKUP($IW109,Base_Mensuelle!$OF$68:$RM$679,HLOOKUP(KD$73,Base_Mensuelle!$PE$67:$QE$680,614,0))</f>
        <v>2.2938801019999997</v>
      </c>
      <c r="KE109" s="1526">
        <f>VLOOKUP($IW109,Base_Mensuelle!$OF$68:$RM$679,HLOOKUP(KE$73,Base_Mensuelle!$PE$67:$QE$680,614,0))</f>
        <v>0</v>
      </c>
      <c r="KF109" s="1526">
        <f>VLOOKUP($IW109,Base_Mensuelle!$OF$68:$RM$679,HLOOKUP(KF$73,Base_Mensuelle!$PE$67:$QE$680,614,0))</f>
        <v>0</v>
      </c>
      <c r="KG109" s="1526">
        <f>VLOOKUP($IW109,Base_Mensuelle!$OF$68:$RM$679,HLOOKUP(KG$73,Base_Mensuelle!$PE$67:$QE$680,614,0))</f>
        <v>7.7218800000000004E-4</v>
      </c>
      <c r="KH109" s="1526">
        <f>VLOOKUP($IW109,Base_Mensuelle!$OF$68:$RM$679,HLOOKUP(KH$73,Base_Mensuelle!$PE$67:$QE$680,614,0))</f>
        <v>2.2931079139999997</v>
      </c>
      <c r="KI109" s="1526">
        <f>VLOOKUP($IW109,Base_Mensuelle!$OF$68:$RM$679,HLOOKUP(KI$73,Base_Mensuelle!$PE$67:$QE$680,614,0))</f>
        <v>335.90736985300003</v>
      </c>
      <c r="KJ109" s="1526">
        <f>VLOOKUP($IW109,Base_Mensuelle!$OF$68:$RM$679,HLOOKUP(KJ$73,Base_Mensuelle!$PE$67:$QE$680,614,0))</f>
        <v>238.3443</v>
      </c>
      <c r="KK109" s="1526">
        <f>VLOOKUP($IW109,Base_Mensuelle!$OF$68:$RM$679,HLOOKUP(KK$73,Base_Mensuelle!$PE$67:$QE$680,614,0))</f>
        <v>97.165498065999998</v>
      </c>
      <c r="KL109" s="1526">
        <f>VLOOKUP($IW109,Base_Mensuelle!$OF$68:$RM$679,HLOOKUP(KL$73,Base_Mensuelle!$PE$67:$QE$680,614,0))</f>
        <v>0.39757178700000001</v>
      </c>
      <c r="KM109" s="1526">
        <f>VLOOKUP($IW109,Base_Mensuelle!$OF$68:$RM$679,HLOOKUP(KM$73,Base_Mensuelle!$PE$67:$QE$680,614,0))</f>
        <v>0</v>
      </c>
      <c r="KN109" s="1526">
        <f>VLOOKUP($IW109,Base_Mensuelle!$OF$68:$RM$679,HLOOKUP(KN$73,Base_Mensuelle!$PE$67:$QE$680,614,0))</f>
        <v>0.13572896100000001</v>
      </c>
      <c r="KO109" s="1526">
        <f>VLOOKUP($IW109,Base_Mensuelle!$OF$68:$RM$679,HLOOKUP(KO$73,Base_Mensuelle!$PE$67:$QE$680,614,0))</f>
        <v>0</v>
      </c>
      <c r="KP109" s="1526">
        <f>VLOOKUP($IW109,Base_Mensuelle!$OF$68:$RM$679,HLOOKUP(KP$73,Base_Mensuelle!$PE$67:$QE$680,614,0))</f>
        <v>0</v>
      </c>
      <c r="KQ109" s="1526">
        <f>VLOOKUP($IW109,Base_Mensuelle!$OF$68:$RM$679,HLOOKUP(KQ$73,Base_Mensuelle!$PE$67:$QE$680,614,0))</f>
        <v>0.13572896100000001</v>
      </c>
      <c r="KR109" s="1526">
        <f>VLOOKUP($IW109,Base_Mensuelle!$OF$68:$RM$679,HLOOKUP(KR$73,Base_Mensuelle!$PE$67:$QE$680,614,0))</f>
        <v>0</v>
      </c>
      <c r="KS109" s="1526">
        <f>VLOOKUP($IW109,Base_Mensuelle!$OF$68:$RM$679,HLOOKUP(KS$73,Base_Mensuelle!$PE$67:$QE$680,614,0))</f>
        <v>0</v>
      </c>
      <c r="KT109" s="1526">
        <f>VLOOKUP($IW109,Base_Mensuelle!$OF$68:$RM$679,HLOOKUP(KT$73,Base_Mensuelle!$PE$67:$QE$680,614,0))</f>
        <v>0</v>
      </c>
      <c r="KU109" s="1526">
        <f>VLOOKUP($IW109,Base_Mensuelle!$OF$68:$RM$679,HLOOKUP(KU$73,Base_Mensuelle!$PE$67:$QE$680,614,0))</f>
        <v>-6.3535975550000003</v>
      </c>
      <c r="KV109" s="1526">
        <f>VLOOKUP($IW109,Base_Mensuelle!$OF$68:$RM$679,HLOOKUP(KV$73,Base_Mensuelle!$PE$67:$QE$680,614,0))</f>
        <v>3.8622926830000073</v>
      </c>
      <c r="KW109" s="1036"/>
      <c r="KX109" s="29">
        <v>36</v>
      </c>
      <c r="KY109" s="1037"/>
      <c r="KZ109" s="182">
        <f>VLOOKUP($IW109,Base_Mensuelle!$OF$68:$RM$679,HLOOKUP(KZ$73,Base_Mensuelle!$QG$67:$RM$680,614,0))</f>
        <v>90.520938925449386</v>
      </c>
      <c r="LA109" s="182">
        <f>VLOOKUP($IW109,Base_Mensuelle!$OF$68:$RM$679,HLOOKUP(LA$73,Base_Mensuelle!$QG$67:$RM$680,614,0))</f>
        <v>200.80877492874058</v>
      </c>
      <c r="LB109" s="182">
        <f>VLOOKUP($IW109,Base_Mensuelle!$OF$68:$RM$679,HLOOKUP(LB$73,Base_Mensuelle!$QG$67:$RM$680,614,0))</f>
        <v>-110.28783600329119</v>
      </c>
      <c r="LC109" s="182">
        <f>VLOOKUP($IW109,Base_Mensuelle!$OF$68:$RM$679,HLOOKUP(LC$73,Base_Mensuelle!$QG$67:$RM$680,614,0))</f>
        <v>110.471</v>
      </c>
      <c r="LD109" s="182">
        <f>VLOOKUP($IW109,Base_Mensuelle!$OF$68:$RM$679,HLOOKUP(LD$73,Base_Mensuelle!$QG$67:$RM$680,614,0))</f>
        <v>22.72</v>
      </c>
      <c r="LE109" s="182">
        <f>VLOOKUP($IW109,Base_Mensuelle!$OF$68:$RM$679,HLOOKUP(LE$73,Base_Mensuelle!$QG$67:$RM$680,614,0))</f>
        <v>87.751000000000005</v>
      </c>
      <c r="LF109" s="182">
        <f>VLOOKUP($IW109,Base_Mensuelle!$OF$68:$RM$679,HLOOKUP(LF$73,Base_Mensuelle!$QG$67:$RM$680,614,0))</f>
        <v>0</v>
      </c>
      <c r="LG109" s="182">
        <f>VLOOKUP($IW109,Base_Mensuelle!$OF$68:$RM$679,HLOOKUP(LG$73,Base_Mensuelle!$QG$67:$RM$680,614,0))</f>
        <v>-86.211999999999989</v>
      </c>
      <c r="LH109" s="182">
        <f>VLOOKUP($IW109,Base_Mensuelle!$OF$68:$RM$679,HLOOKUP(LH$73,Base_Mensuelle!$QG$67:$RM$680,614,0))</f>
        <v>53.582000000000001</v>
      </c>
      <c r="LI109" s="182">
        <f>VLOOKUP($IW109,Base_Mensuelle!$OF$68:$RM$679,HLOOKUP(LI$73,Base_Mensuelle!$QG$67:$RM$680,614,0))</f>
        <v>-139.79399999999998</v>
      </c>
      <c r="LJ109" s="182">
        <f>VLOOKUP($IW109,Base_Mensuelle!$OF$68:$RM$679,HLOOKUP(LJ$73,Base_Mensuelle!$QG$67:$RM$680,614,0))</f>
        <v>726.76022507125936</v>
      </c>
      <c r="LK109" s="182">
        <f>VLOOKUP($IW109,Base_Mensuelle!$OF$68:$RM$679,HLOOKUP(LK$73,Base_Mensuelle!$QG$67:$RM$680,614,0))</f>
        <v>9.2340972164626791</v>
      </c>
      <c r="LL109" s="182">
        <f>VLOOKUP($IW109,Base_Mensuelle!$OF$68:$RM$679,HLOOKUP(LL$73,Base_Mensuelle!$QG$67:$RM$680,614,0))</f>
        <v>0</v>
      </c>
      <c r="LM109" s="182">
        <f>VLOOKUP($IW109,Base_Mensuelle!$OF$68:$RM$679,HLOOKUP(LM$73,Base_Mensuelle!$QG$67:$RM$680,614,0))</f>
        <v>83.683999999999997</v>
      </c>
      <c r="LN109" s="182">
        <f>VLOOKUP($IW109,Base_Mensuelle!$OF$68:$RM$679,HLOOKUP(LN$73,Base_Mensuelle!$QG$67:$RM$680,614,0))</f>
        <v>633.84212785479667</v>
      </c>
      <c r="LO109" s="182">
        <f>VLOOKUP($IW109,Base_Mensuelle!$OF$68:$RM$679,HLOOKUP(LO$73,Base_Mensuelle!$QG$67:$RM$680,614,0))</f>
        <v>0</v>
      </c>
      <c r="LP109" s="182">
        <f>VLOOKUP($IW109,Base_Mensuelle!$OF$68:$RM$679,HLOOKUP(LP$73,Base_Mensuelle!$QG$67:$RM$680,614,0))</f>
        <v>34.228000000000002</v>
      </c>
      <c r="LQ109" s="182">
        <f>VLOOKUP($IW109,Base_Mensuelle!$OF$68:$RM$679,HLOOKUP(LQ$73,Base_Mensuelle!$QG$67:$RM$680,614,0))</f>
        <v>280.87205465972164</v>
      </c>
      <c r="LR109" s="182">
        <f>VLOOKUP($IW109,Base_Mensuelle!$OF$68:$RM$679,HLOOKUP(LR$73,Base_Mensuelle!$QG$67:$RM$680,614,0))</f>
        <v>326.46710933698722</v>
      </c>
      <c r="LS109" s="182">
        <f>VLOOKUP($IW109,Base_Mensuelle!$OF$68:$RM$679,HLOOKUP(LS$73,Base_Mensuelle!$QG$67:$RM$680,614,0))</f>
        <v>0</v>
      </c>
      <c r="LT109" s="182">
        <f>VLOOKUP($IW109,Base_Mensuelle!$OF$68:$RM$679,HLOOKUP(LT$73,Base_Mensuelle!$QG$67:$RM$680,614,0))</f>
        <v>26.435000000000002</v>
      </c>
      <c r="LU109" s="182">
        <f>VLOOKUP($IW109,Base_Mensuelle!$OF$68:$RM$679,HLOOKUP(LU$73,Base_Mensuelle!$QG$67:$RM$680,614,0))</f>
        <v>1.202</v>
      </c>
      <c r="LV109" s="182">
        <f>VLOOKUP($IW109,Base_Mensuelle!$OF$68:$RM$679,HLOOKUP(LV$73,Base_Mensuelle!$QG$67:$RM$680,614,0))</f>
        <v>12.340999999999999</v>
      </c>
      <c r="LW109" s="182">
        <f>VLOOKUP($IW109,Base_Mensuelle!$OF$68:$RM$679,HLOOKUP(LW$73,Base_Mensuelle!$QG$67:$RM$680,614,0))</f>
        <v>0</v>
      </c>
      <c r="LX109" s="182">
        <f>VLOOKUP($IW109,Base_Mensuelle!$OF$68:$RM$679,HLOOKUP(LX$73,Base_Mensuelle!$QG$67:$RM$680,614,0))</f>
        <v>0</v>
      </c>
      <c r="LY109" s="182">
        <f>VLOOKUP($IW109,Base_Mensuelle!$OF$68:$RM$679,HLOOKUP(LY$73,Base_Mensuelle!$QG$67:$RM$680,614,0))</f>
        <v>109.66699999999955</v>
      </c>
      <c r="LZ109" s="182">
        <f>VLOOKUP($IW109,Base_Mensuelle!$OF$68:$RM$679,HLOOKUP(LZ$73,Base_Mensuelle!$QG$67:$RM$680,614,0))</f>
        <v>50.328000000000003</v>
      </c>
      <c r="MA109" s="182">
        <f>VLOOKUP($IW109,Base_Mensuelle!$OF$68:$RM$679,HLOOKUP(MA$73,Base_Mensuelle!$QG$67:$RM$680,614,0))</f>
        <v>0</v>
      </c>
      <c r="MB109" s="182">
        <f>VLOOKUP($IW109,Base_Mensuelle!$OF$68:$RM$679,HLOOKUP(MB$73,Base_Mensuelle!$QG$67:$RM$680,614,0))</f>
        <v>0</v>
      </c>
      <c r="MC109" s="182">
        <f>VLOOKUP($IW109,Base_Mensuelle!$OF$68:$RM$679,HLOOKUP(MC$73,Base_Mensuelle!$QG$67:$RM$680,614,0))</f>
        <v>0</v>
      </c>
      <c r="MD109" s="182">
        <f>VLOOKUP($IW109,Base_Mensuelle!$OF$68:$RM$679,HLOOKUP(MD$73,Base_Mensuelle!$QG$67:$RM$680,614,0))</f>
        <v>0</v>
      </c>
      <c r="ME109" s="182">
        <f>VLOOKUP($IW109,Base_Mensuelle!$OF$68:$RM$679,HLOOKUP(ME$73,Base_Mensuelle!$QG$67:$RM$680,614,0))</f>
        <v>0</v>
      </c>
      <c r="MF109" s="182"/>
      <c r="MG109" s="182"/>
      <c r="MH109" s="290"/>
      <c r="MI109" s="29">
        <v>36</v>
      </c>
      <c r="MJ109" s="29" t="str">
        <f t="shared" si="82"/>
        <v>Trimestre 42008</v>
      </c>
      <c r="MK109" s="848">
        <v>39783</v>
      </c>
      <c r="ML109" s="29"/>
      <c r="MM109" s="29"/>
      <c r="MN109" s="29"/>
      <c r="MO109" s="29"/>
      <c r="MP109" s="29"/>
      <c r="MQ109" s="29"/>
      <c r="MR109" s="29"/>
      <c r="MS109" s="29"/>
      <c r="MT109" s="29"/>
      <c r="MU109" s="29"/>
      <c r="MV109" s="29"/>
      <c r="MW109" s="29"/>
      <c r="MX109" s="29"/>
      <c r="MY109" s="29"/>
      <c r="MZ109" s="29"/>
      <c r="NA109" s="29"/>
      <c r="NB109" s="29"/>
      <c r="NC109" s="29"/>
      <c r="ND109" s="29"/>
      <c r="NE109" s="29"/>
      <c r="NF109" s="29"/>
      <c r="NG109" s="29"/>
      <c r="NH109" s="29"/>
      <c r="NI109" s="29"/>
      <c r="NJ109" s="29"/>
      <c r="NK109" s="29"/>
      <c r="NL109" s="29">
        <v>36</v>
      </c>
    </row>
    <row r="110" spans="1:376">
      <c r="A110" s="41">
        <f t="shared" si="80"/>
        <v>2009</v>
      </c>
      <c r="B110" s="785">
        <v>39873</v>
      </c>
      <c r="C110" s="19">
        <v>829.66126945762028</v>
      </c>
      <c r="D110" s="93">
        <v>122.58892911038154</v>
      </c>
      <c r="E110" s="93">
        <v>65.655000116128562</v>
      </c>
      <c r="F110" s="93">
        <v>156.67356536617277</v>
      </c>
      <c r="G110" s="93">
        <v>53.222389360546849</v>
      </c>
      <c r="H110" s="93">
        <v>74.810190801671709</v>
      </c>
      <c r="I110" s="93">
        <v>132.20132756361556</v>
      </c>
      <c r="J110" s="93">
        <v>202.20207771464754</v>
      </c>
      <c r="K110" s="93">
        <v>94.019641729501231</v>
      </c>
      <c r="L110" s="93">
        <v>107.23894223646916</v>
      </c>
      <c r="M110" s="20">
        <v>129.9201718907029</v>
      </c>
      <c r="N110" s="25">
        <v>37</v>
      </c>
      <c r="O110" s="889">
        <f t="shared" si="79"/>
        <v>2009</v>
      </c>
      <c r="P110" s="29" t="str">
        <f t="shared" si="81"/>
        <v>Trimestre 12009</v>
      </c>
      <c r="Q110" s="848">
        <v>39873</v>
      </c>
      <c r="R110" s="733"/>
      <c r="S110" s="570"/>
      <c r="T110" s="570"/>
      <c r="U110" s="734"/>
      <c r="V110" s="25">
        <v>37</v>
      </c>
      <c r="W110" s="19"/>
      <c r="X110" s="93"/>
      <c r="Y110" s="93"/>
      <c r="Z110" s="93"/>
      <c r="AA110" s="93"/>
      <c r="AB110" s="93"/>
      <c r="AC110" s="93"/>
      <c r="AD110" s="93"/>
      <c r="AE110" s="20"/>
      <c r="AF110" s="25">
        <v>37</v>
      </c>
      <c r="AG110" s="19"/>
      <c r="AH110" s="93"/>
      <c r="AI110" s="93"/>
      <c r="AJ110" s="93"/>
      <c r="AK110" s="93"/>
      <c r="AL110" s="93"/>
      <c r="AM110" s="93"/>
      <c r="AN110" s="20"/>
      <c r="AO110" s="19"/>
      <c r="AP110" s="93"/>
      <c r="AQ110" s="93"/>
      <c r="AR110" s="93"/>
      <c r="AS110" s="20"/>
      <c r="AT110" s="19"/>
      <c r="AU110" s="93"/>
      <c r="AV110" s="20"/>
      <c r="AW110" s="19"/>
      <c r="AX110" s="93"/>
      <c r="AY110" s="93"/>
      <c r="AZ110" s="93"/>
      <c r="BA110" s="93"/>
      <c r="BB110" s="93"/>
      <c r="BC110" s="20"/>
      <c r="BD110" s="19"/>
      <c r="BE110" s="93"/>
      <c r="BF110" s="93"/>
      <c r="BG110" s="93"/>
      <c r="BH110" s="93"/>
      <c r="BI110" s="93"/>
      <c r="BJ110" s="93"/>
      <c r="BK110" s="20"/>
      <c r="BL110" s="19"/>
      <c r="BM110" s="93"/>
      <c r="BN110" s="93"/>
      <c r="BO110" s="93"/>
      <c r="BP110" s="93"/>
      <c r="BQ110" s="20"/>
      <c r="BR110" s="19"/>
      <c r="BS110" s="93"/>
      <c r="BT110" s="93"/>
      <c r="BU110" s="20"/>
      <c r="BV110" s="19"/>
      <c r="BW110" s="93"/>
      <c r="BX110" s="93"/>
      <c r="BY110" s="93"/>
      <c r="BZ110" s="93"/>
      <c r="CA110" s="93"/>
      <c r="CB110" s="20"/>
      <c r="CC110" s="25">
        <v>37</v>
      </c>
      <c r="CD110" s="19"/>
      <c r="CE110" s="93"/>
      <c r="CF110" s="20"/>
      <c r="CG110" s="25">
        <v>37</v>
      </c>
      <c r="CH110" s="19"/>
      <c r="CI110" s="93"/>
      <c r="CJ110" s="93"/>
      <c r="CK110" s="93"/>
      <c r="CL110" s="93"/>
      <c r="CM110" s="93"/>
      <c r="CN110" s="93"/>
      <c r="CO110" s="93"/>
      <c r="CP110" s="93"/>
      <c r="CQ110" s="93"/>
      <c r="CR110" s="214"/>
      <c r="CS110" s="20"/>
      <c r="CT110" s="25">
        <v>37</v>
      </c>
      <c r="CU110" s="19"/>
      <c r="CV110" s="93"/>
      <c r="CW110" s="93"/>
      <c r="CX110" s="93"/>
      <c r="CY110" s="93"/>
      <c r="CZ110" s="93"/>
      <c r="DA110" s="93"/>
      <c r="DB110" s="20"/>
      <c r="DC110" s="25">
        <v>37</v>
      </c>
      <c r="DD110" s="785">
        <v>39873</v>
      </c>
      <c r="DE110" s="19"/>
      <c r="DF110" s="20"/>
      <c r="DG110" s="25">
        <v>37</v>
      </c>
      <c r="DH110" s="19"/>
      <c r="DI110" s="20"/>
      <c r="DJ110" s="25">
        <v>37</v>
      </c>
      <c r="DK110" s="19"/>
      <c r="DL110" s="20"/>
      <c r="DM110" s="19"/>
      <c r="DN110" s="20"/>
      <c r="DO110" s="25">
        <v>37</v>
      </c>
      <c r="DP110" s="19"/>
      <c r="DQ110" s="93"/>
      <c r="DR110" s="20"/>
      <c r="DS110" s="25">
        <v>37</v>
      </c>
      <c r="DT110" s="19"/>
      <c r="DU110" s="93"/>
      <c r="DV110" s="20"/>
      <c r="DW110" s="25">
        <v>37</v>
      </c>
      <c r="DX110" s="19"/>
      <c r="DY110" s="20"/>
      <c r="DZ110" s="25">
        <v>37</v>
      </c>
      <c r="EA110" s="19"/>
      <c r="EB110" s="93"/>
      <c r="EC110" s="93"/>
      <c r="ED110" s="93"/>
      <c r="EE110" s="20"/>
      <c r="EF110" s="25">
        <v>37</v>
      </c>
      <c r="EG110" s="19"/>
      <c r="EH110" s="93"/>
      <c r="EI110" s="93"/>
      <c r="EJ110" s="93"/>
      <c r="EK110" s="20"/>
      <c r="EL110" s="25">
        <v>37</v>
      </c>
      <c r="EM110" s="19"/>
      <c r="EN110" s="93"/>
      <c r="EO110" s="93"/>
      <c r="EP110" s="93"/>
      <c r="EQ110" s="93"/>
      <c r="ER110" s="93"/>
      <c r="ES110" s="93"/>
      <c r="ET110" s="93"/>
      <c r="EU110" s="93"/>
      <c r="EV110" s="20"/>
      <c r="EW110" s="25">
        <v>37</v>
      </c>
      <c r="EX110" s="915"/>
      <c r="EY110" s="916"/>
      <c r="EZ110" s="916"/>
      <c r="FA110" s="916"/>
      <c r="FB110" s="916"/>
      <c r="FC110" s="916"/>
      <c r="FD110" s="916"/>
      <c r="FE110" s="916"/>
      <c r="FF110" s="916"/>
      <c r="FG110" s="917"/>
      <c r="FH110" s="25">
        <v>37</v>
      </c>
      <c r="FI110" s="848">
        <v>39873</v>
      </c>
      <c r="FJ110" s="19"/>
      <c r="FK110" s="93"/>
      <c r="FL110" s="20"/>
      <c r="FM110" s="25">
        <v>37</v>
      </c>
      <c r="FN110" s="19"/>
      <c r="FO110" s="93"/>
      <c r="FP110" s="93"/>
      <c r="FQ110" s="93"/>
      <c r="FR110" s="93"/>
      <c r="FS110" s="93"/>
      <c r="FT110" s="93"/>
      <c r="FU110" s="93"/>
      <c r="FV110" s="93"/>
      <c r="FW110" s="917"/>
      <c r="FX110" s="25">
        <v>37</v>
      </c>
      <c r="FY110" s="916"/>
      <c r="FZ110" s="916"/>
      <c r="GA110" s="916"/>
      <c r="GB110" s="916"/>
      <c r="GC110" s="916"/>
      <c r="GD110" s="916"/>
      <c r="GE110" s="916"/>
      <c r="GF110" s="916"/>
      <c r="GG110" s="916"/>
      <c r="GH110" s="916"/>
      <c r="GI110" s="917"/>
      <c r="GJ110" s="25">
        <v>37</v>
      </c>
      <c r="GK110" s="19"/>
      <c r="GL110" s="20"/>
      <c r="GM110" s="25">
        <v>37</v>
      </c>
      <c r="GN110" s="19"/>
      <c r="GO110" s="20"/>
      <c r="GP110" s="25">
        <v>37</v>
      </c>
      <c r="GQ110" s="19"/>
      <c r="GR110" s="20"/>
      <c r="GS110" s="25">
        <v>37</v>
      </c>
      <c r="GT110" s="848">
        <v>39873</v>
      </c>
      <c r="GU110" s="19"/>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v>37</v>
      </c>
      <c r="IW110" s="848">
        <v>39873</v>
      </c>
      <c r="IX110" s="1035"/>
      <c r="IY110" s="1035">
        <v>224.82769999999999</v>
      </c>
      <c r="IZ110" s="1035">
        <v>251.45169999999999</v>
      </c>
      <c r="JA110" s="1035">
        <v>0.420116816</v>
      </c>
      <c r="JB110" s="1035">
        <v>277.03165716728432</v>
      </c>
      <c r="JC110" s="1035">
        <v>59.719900000000003</v>
      </c>
      <c r="JD110" s="1035">
        <v>561.99937398328439</v>
      </c>
      <c r="JE110" s="1035">
        <v>346.01185878363128</v>
      </c>
      <c r="JF110" s="1035">
        <v>908.01123276691567</v>
      </c>
      <c r="JG110" s="1035"/>
      <c r="JH110" s="1035">
        <v>444.68312447405958</v>
      </c>
      <c r="JI110" s="1035">
        <v>329.90813520100011</v>
      </c>
      <c r="JJ110" s="1035">
        <v>114.77498927305952</v>
      </c>
      <c r="JK110" s="1035">
        <v>606.29355222685604</v>
      </c>
      <c r="JL110" s="1035">
        <v>-126.86268204800001</v>
      </c>
      <c r="JM110" s="1035">
        <v>-35.223682047999993</v>
      </c>
      <c r="JN110" s="1035">
        <v>-91.63900000000001</v>
      </c>
      <c r="JO110" s="1035">
        <v>733.15623427485605</v>
      </c>
      <c r="JP110" s="1035">
        <v>2.406707597</v>
      </c>
      <c r="JQ110" s="1035">
        <v>730.74952667785601</v>
      </c>
      <c r="JR110" s="1035">
        <v>156.09767772800012</v>
      </c>
      <c r="JS110" s="1035">
        <v>-13.132233794000001</v>
      </c>
      <c r="JT110" s="1036">
        <v>908.01123276691533</v>
      </c>
      <c r="JU110" s="29">
        <v>37</v>
      </c>
      <c r="JV110" s="1037"/>
      <c r="JW110" s="1526">
        <f>VLOOKUP($IW110,Base_Mensuelle!$OF$68:$RM$679,HLOOKUP(JW$73,Base_Mensuelle!$PE$67:$QE$680,614,0))</f>
        <v>329.90813520100011</v>
      </c>
      <c r="JX110" s="1526">
        <f>VLOOKUP($IW110,Base_Mensuelle!$OF$68:$RM$679,HLOOKUP(JX$73,Base_Mensuelle!$PE$67:$QE$680,614,0))</f>
        <v>466.63964205500008</v>
      </c>
      <c r="JY110" s="1526">
        <f>VLOOKUP($IW110,Base_Mensuelle!$OF$68:$RM$679,HLOOKUP(JY$73,Base_Mensuelle!$PE$67:$QE$680,614,0))</f>
        <v>136.73150685399997</v>
      </c>
      <c r="JZ110" s="1526">
        <f>VLOOKUP($IW110,Base_Mensuelle!$OF$68:$RM$679,HLOOKUP(JZ$73,Base_Mensuelle!$PE$67:$QE$680,614,0))</f>
        <v>31.49</v>
      </c>
      <c r="KA110" s="1526">
        <f>VLOOKUP($IW110,Base_Mensuelle!$OF$68:$RM$679,HLOOKUP(KA$73,Base_Mensuelle!$PE$67:$QE$680,614,0))</f>
        <v>-35.223682047999993</v>
      </c>
      <c r="KB110" s="1526">
        <f>VLOOKUP($IW110,Base_Mensuelle!$OF$68:$RM$679,HLOOKUP(KB$73,Base_Mensuelle!$PE$67:$QE$680,614,0))</f>
        <v>41.437438999000001</v>
      </c>
      <c r="KC110" s="1526">
        <f>VLOOKUP($IW110,Base_Mensuelle!$OF$68:$RM$679,HLOOKUP(KC$73,Base_Mensuelle!$PE$67:$QE$680,614,0))</f>
        <v>76.661121046999995</v>
      </c>
      <c r="KD110" s="1526">
        <f>VLOOKUP($IW110,Base_Mensuelle!$OF$68:$RM$679,HLOOKUP(KD$73,Base_Mensuelle!$PE$67:$QE$680,614,0))</f>
        <v>2.406707597</v>
      </c>
      <c r="KE110" s="1526">
        <f>VLOOKUP($IW110,Base_Mensuelle!$OF$68:$RM$679,HLOOKUP(KE$73,Base_Mensuelle!$PE$67:$QE$680,614,0))</f>
        <v>0</v>
      </c>
      <c r="KF110" s="1526">
        <f>VLOOKUP($IW110,Base_Mensuelle!$OF$68:$RM$679,HLOOKUP(KF$73,Base_Mensuelle!$PE$67:$QE$680,614,0))</f>
        <v>0</v>
      </c>
      <c r="KG110" s="1526">
        <f>VLOOKUP($IW110,Base_Mensuelle!$OF$68:$RM$679,HLOOKUP(KG$73,Base_Mensuelle!$PE$67:$QE$680,614,0))</f>
        <v>5.6739900000000001E-4</v>
      </c>
      <c r="KH110" s="1526">
        <f>VLOOKUP($IW110,Base_Mensuelle!$OF$68:$RM$679,HLOOKUP(KH$73,Base_Mensuelle!$PE$67:$QE$680,614,0))</f>
        <v>2.4061401980000001</v>
      </c>
      <c r="KI110" s="1526">
        <f>VLOOKUP($IW110,Base_Mensuelle!$OF$68:$RM$679,HLOOKUP(KI$73,Base_Mensuelle!$PE$67:$QE$680,614,0))</f>
        <v>328.08007516700002</v>
      </c>
      <c r="KJ110" s="1526">
        <f>VLOOKUP($IW110,Base_Mensuelle!$OF$68:$RM$679,HLOOKUP(KJ$73,Base_Mensuelle!$PE$67:$QE$680,614,0))</f>
        <v>251.45169999999999</v>
      </c>
      <c r="KK110" s="1526">
        <f>VLOOKUP($IW110,Base_Mensuelle!$OF$68:$RM$679,HLOOKUP(KK$73,Base_Mensuelle!$PE$67:$QE$680,614,0))</f>
        <v>76.208258350999998</v>
      </c>
      <c r="KL110" s="1526">
        <f>VLOOKUP($IW110,Base_Mensuelle!$OF$68:$RM$679,HLOOKUP(KL$73,Base_Mensuelle!$PE$67:$QE$680,614,0))</f>
        <v>0.420116816</v>
      </c>
      <c r="KM110" s="1526">
        <f>VLOOKUP($IW110,Base_Mensuelle!$OF$68:$RM$679,HLOOKUP(KM$73,Base_Mensuelle!$PE$67:$QE$680,614,0))</f>
        <v>0</v>
      </c>
      <c r="KN110" s="1526">
        <f>VLOOKUP($IW110,Base_Mensuelle!$OF$68:$RM$679,HLOOKUP(KN$73,Base_Mensuelle!$PE$67:$QE$680,614,0))</f>
        <v>0.77366896900000004</v>
      </c>
      <c r="KO110" s="1526">
        <f>VLOOKUP($IW110,Base_Mensuelle!$OF$68:$RM$679,HLOOKUP(KO$73,Base_Mensuelle!$PE$67:$QE$680,614,0))</f>
        <v>0</v>
      </c>
      <c r="KP110" s="1526">
        <f>VLOOKUP($IW110,Base_Mensuelle!$OF$68:$RM$679,HLOOKUP(KP$73,Base_Mensuelle!$PE$67:$QE$680,614,0))</f>
        <v>0</v>
      </c>
      <c r="KQ110" s="1526">
        <f>VLOOKUP($IW110,Base_Mensuelle!$OF$68:$RM$679,HLOOKUP(KQ$73,Base_Mensuelle!$PE$67:$QE$680,614,0))</f>
        <v>0.77366896900000004</v>
      </c>
      <c r="KR110" s="1526">
        <f>VLOOKUP($IW110,Base_Mensuelle!$OF$68:$RM$679,HLOOKUP(KR$73,Base_Mensuelle!$PE$67:$QE$680,614,0))</f>
        <v>0</v>
      </c>
      <c r="KS110" s="1526">
        <f>VLOOKUP($IW110,Base_Mensuelle!$OF$68:$RM$679,HLOOKUP(KS$73,Base_Mensuelle!$PE$67:$QE$680,614,0))</f>
        <v>0</v>
      </c>
      <c r="KT110" s="1526">
        <f>VLOOKUP($IW110,Base_Mensuelle!$OF$68:$RM$679,HLOOKUP(KT$73,Base_Mensuelle!$PE$67:$QE$680,614,0))</f>
        <v>0</v>
      </c>
      <c r="KU110" s="1526">
        <f>VLOOKUP($IW110,Base_Mensuelle!$OF$68:$RM$679,HLOOKUP(KU$73,Base_Mensuelle!$PE$67:$QE$680,614,0))</f>
        <v>2.300875899999999E-2</v>
      </c>
      <c r="KV110" s="1526">
        <f>VLOOKUP($IW110,Base_Mensuelle!$OF$68:$RM$679,HLOOKUP(KV$73,Base_Mensuelle!$PE$67:$QE$680,614,0))</f>
        <v>-0.29559214500000008</v>
      </c>
      <c r="KW110" s="1036"/>
      <c r="KX110" s="29">
        <v>37</v>
      </c>
      <c r="KY110" s="1037"/>
      <c r="KZ110" s="182">
        <f>VLOOKUP($IW110,Base_Mensuelle!$OF$68:$RM$679,HLOOKUP(KZ$73,Base_Mensuelle!$QG$67:$RM$680,614,0))</f>
        <v>114.77498927305952</v>
      </c>
      <c r="LA110" s="182">
        <f>VLOOKUP($IW110,Base_Mensuelle!$OF$68:$RM$679,HLOOKUP(LA$73,Base_Mensuelle!$QG$67:$RM$680,614,0))</f>
        <v>226.01047332214389</v>
      </c>
      <c r="LB110" s="182">
        <f>VLOOKUP($IW110,Base_Mensuelle!$OF$68:$RM$679,HLOOKUP(LB$73,Base_Mensuelle!$QG$67:$RM$680,614,0))</f>
        <v>-111.23548404908438</v>
      </c>
      <c r="LC110" s="182">
        <f>VLOOKUP($IW110,Base_Mensuelle!$OF$68:$RM$679,HLOOKUP(LC$73,Base_Mensuelle!$QG$67:$RM$680,614,0))</f>
        <v>55.802</v>
      </c>
      <c r="LD110" s="182">
        <f>VLOOKUP($IW110,Base_Mensuelle!$OF$68:$RM$679,HLOOKUP(LD$73,Base_Mensuelle!$QG$67:$RM$680,614,0))</f>
        <v>26.623999999999999</v>
      </c>
      <c r="LE110" s="182">
        <f>VLOOKUP($IW110,Base_Mensuelle!$OF$68:$RM$679,HLOOKUP(LE$73,Base_Mensuelle!$QG$67:$RM$680,614,0))</f>
        <v>29.178000000000001</v>
      </c>
      <c r="LF110" s="182">
        <f>VLOOKUP($IW110,Base_Mensuelle!$OF$68:$RM$679,HLOOKUP(LF$73,Base_Mensuelle!$QG$67:$RM$680,614,0))</f>
        <v>0</v>
      </c>
      <c r="LG110" s="182">
        <f>VLOOKUP($IW110,Base_Mensuelle!$OF$68:$RM$679,HLOOKUP(LG$73,Base_Mensuelle!$QG$67:$RM$680,614,0))</f>
        <v>-91.63900000000001</v>
      </c>
      <c r="LH110" s="182">
        <f>VLOOKUP($IW110,Base_Mensuelle!$OF$68:$RM$679,HLOOKUP(LH$73,Base_Mensuelle!$QG$67:$RM$680,614,0))</f>
        <v>40.248999999999995</v>
      </c>
      <c r="LI110" s="182">
        <f>VLOOKUP($IW110,Base_Mensuelle!$OF$68:$RM$679,HLOOKUP(LI$73,Base_Mensuelle!$QG$67:$RM$680,614,0))</f>
        <v>-131.88800000000001</v>
      </c>
      <c r="LJ110" s="182">
        <f>VLOOKUP($IW110,Base_Mensuelle!$OF$68:$RM$679,HLOOKUP(LJ$73,Base_Mensuelle!$QG$67:$RM$680,614,0))</f>
        <v>730.74952667785601</v>
      </c>
      <c r="LK110" s="182">
        <f>VLOOKUP($IW110,Base_Mensuelle!$OF$68:$RM$679,HLOOKUP(LK$73,Base_Mensuelle!$QG$67:$RM$680,614,0))</f>
        <v>6.4315052288782244</v>
      </c>
      <c r="LL110" s="182">
        <f>VLOOKUP($IW110,Base_Mensuelle!$OF$68:$RM$679,HLOOKUP(LL$73,Base_Mensuelle!$QG$67:$RM$680,614,0))</f>
        <v>0</v>
      </c>
      <c r="LM110" s="182">
        <f>VLOOKUP($IW110,Base_Mensuelle!$OF$68:$RM$679,HLOOKUP(LM$73,Base_Mensuelle!$QG$67:$RM$680,614,0))</f>
        <v>0</v>
      </c>
      <c r="LN110" s="182">
        <f>VLOOKUP($IW110,Base_Mensuelle!$OF$68:$RM$679,HLOOKUP(LN$73,Base_Mensuelle!$QG$67:$RM$680,614,0))</f>
        <v>724.31802144897779</v>
      </c>
      <c r="LO110" s="182">
        <f>VLOOKUP($IW110,Base_Mensuelle!$OF$68:$RM$679,HLOOKUP(LO$73,Base_Mensuelle!$QG$67:$RM$680,614,0))</f>
        <v>0</v>
      </c>
      <c r="LP110" s="182">
        <f>VLOOKUP($IW110,Base_Mensuelle!$OF$68:$RM$679,HLOOKUP(LP$73,Base_Mensuelle!$QG$67:$RM$680,614,0))</f>
        <v>8.98</v>
      </c>
      <c r="LQ110" s="182">
        <f>VLOOKUP($IW110,Base_Mensuelle!$OF$68:$RM$679,HLOOKUP(LQ$73,Base_Mensuelle!$QG$67:$RM$680,614,0))</f>
        <v>277.03165716728432</v>
      </c>
      <c r="LR110" s="182">
        <f>VLOOKUP($IW110,Base_Mensuelle!$OF$68:$RM$679,HLOOKUP(LR$73,Base_Mensuelle!$QG$67:$RM$680,614,0))</f>
        <v>346.01185878363128</v>
      </c>
      <c r="LS110" s="182">
        <f>VLOOKUP($IW110,Base_Mensuelle!$OF$68:$RM$679,HLOOKUP(LS$73,Base_Mensuelle!$QG$67:$RM$680,614,0))</f>
        <v>0</v>
      </c>
      <c r="LT110" s="182">
        <f>VLOOKUP($IW110,Base_Mensuelle!$OF$68:$RM$679,HLOOKUP(LT$73,Base_Mensuelle!$QG$67:$RM$680,614,0))</f>
        <v>23.774999999999999</v>
      </c>
      <c r="LU110" s="182">
        <f>VLOOKUP($IW110,Base_Mensuelle!$OF$68:$RM$679,HLOOKUP(LU$73,Base_Mensuelle!$QG$67:$RM$680,614,0))</f>
        <v>1.202</v>
      </c>
      <c r="LV110" s="182">
        <f>VLOOKUP($IW110,Base_Mensuelle!$OF$68:$RM$679,HLOOKUP(LV$73,Base_Mensuelle!$QG$67:$RM$680,614,0))</f>
        <v>10.472999999999999</v>
      </c>
      <c r="LW110" s="182">
        <f>VLOOKUP($IW110,Base_Mensuelle!$OF$68:$RM$679,HLOOKUP(LW$73,Base_Mensuelle!$QG$67:$RM$680,614,0))</f>
        <v>0</v>
      </c>
      <c r="LX110" s="182">
        <f>VLOOKUP($IW110,Base_Mensuelle!$OF$68:$RM$679,HLOOKUP(LX$73,Base_Mensuelle!$QG$67:$RM$680,614,0))</f>
        <v>0</v>
      </c>
      <c r="LY110" s="182">
        <f>VLOOKUP($IW110,Base_Mensuelle!$OF$68:$RM$679,HLOOKUP(LY$73,Base_Mensuelle!$QG$67:$RM$680,614,0))</f>
        <v>119.85100000000011</v>
      </c>
      <c r="LZ110" s="182">
        <f>VLOOKUP($IW110,Base_Mensuelle!$OF$68:$RM$679,HLOOKUP(LZ$73,Base_Mensuelle!$QG$67:$RM$680,614,0))</f>
        <v>22.363</v>
      </c>
      <c r="MA110" s="182">
        <f>VLOOKUP($IW110,Base_Mensuelle!$OF$68:$RM$679,HLOOKUP(MA$73,Base_Mensuelle!$QG$67:$RM$680,614,0))</f>
        <v>0</v>
      </c>
      <c r="MB110" s="182">
        <f>VLOOKUP($IW110,Base_Mensuelle!$OF$68:$RM$679,HLOOKUP(MB$73,Base_Mensuelle!$QG$67:$RM$680,614,0))</f>
        <v>0</v>
      </c>
      <c r="MC110" s="182">
        <f>VLOOKUP($IW110,Base_Mensuelle!$OF$68:$RM$679,HLOOKUP(MC$73,Base_Mensuelle!$QG$67:$RM$680,614,0))</f>
        <v>0</v>
      </c>
      <c r="MD110" s="182">
        <f>VLOOKUP($IW110,Base_Mensuelle!$OF$68:$RM$679,HLOOKUP(MD$73,Base_Mensuelle!$QG$67:$RM$680,614,0))</f>
        <v>0</v>
      </c>
      <c r="ME110" s="182">
        <f>VLOOKUP($IW110,Base_Mensuelle!$OF$68:$RM$679,HLOOKUP(ME$73,Base_Mensuelle!$QG$67:$RM$680,614,0))</f>
        <v>0</v>
      </c>
      <c r="MF110" s="182"/>
      <c r="MG110" s="182"/>
      <c r="MH110" s="290"/>
      <c r="MI110" s="29">
        <v>37</v>
      </c>
      <c r="MJ110" s="29" t="str">
        <f t="shared" si="82"/>
        <v>Trimestre 12009</v>
      </c>
      <c r="MK110" s="848">
        <v>39873</v>
      </c>
      <c r="ML110" s="29"/>
      <c r="MM110" s="29"/>
      <c r="MN110" s="29"/>
      <c r="MO110" s="29"/>
      <c r="MP110" s="29"/>
      <c r="MQ110" s="29"/>
      <c r="MR110" s="29"/>
      <c r="MS110" s="29"/>
      <c r="MT110" s="29"/>
      <c r="MU110" s="29"/>
      <c r="MV110" s="29"/>
      <c r="MW110" s="29"/>
      <c r="MX110" s="29"/>
      <c r="MY110" s="29"/>
      <c r="MZ110" s="29"/>
      <c r="NA110" s="29"/>
      <c r="NB110" s="29"/>
      <c r="NC110" s="29"/>
      <c r="ND110" s="29"/>
      <c r="NE110" s="29"/>
      <c r="NF110" s="29"/>
      <c r="NG110" s="29"/>
      <c r="NH110" s="29"/>
      <c r="NI110" s="29"/>
      <c r="NJ110" s="29"/>
      <c r="NK110" s="29"/>
      <c r="NL110" s="29">
        <v>37</v>
      </c>
    </row>
    <row r="111" spans="1:376">
      <c r="A111" s="41">
        <f t="shared" si="80"/>
        <v>2009</v>
      </c>
      <c r="B111" s="785">
        <v>39965</v>
      </c>
      <c r="C111" s="19">
        <v>745.45518478146209</v>
      </c>
      <c r="D111" s="93">
        <v>95.341310664829024</v>
      </c>
      <c r="E111" s="93">
        <v>67.844827287982454</v>
      </c>
      <c r="F111" s="93">
        <v>13.65803892361415</v>
      </c>
      <c r="G111" s="93">
        <v>74.39306804625663</v>
      </c>
      <c r="H111" s="93">
        <v>44.46842376875091</v>
      </c>
      <c r="I111" s="93">
        <v>128.07666264219583</v>
      </c>
      <c r="J111" s="93">
        <v>199.55228871292462</v>
      </c>
      <c r="K111" s="93">
        <v>118.54676805697262</v>
      </c>
      <c r="L111" s="93">
        <v>121.09608077389697</v>
      </c>
      <c r="M111" s="20">
        <v>108.11009997959836</v>
      </c>
      <c r="N111" s="25">
        <v>38</v>
      </c>
      <c r="O111" s="889">
        <f t="shared" si="79"/>
        <v>2009</v>
      </c>
      <c r="P111" s="29" t="str">
        <f t="shared" si="81"/>
        <v>Trimestre 22009</v>
      </c>
      <c r="Q111" s="848">
        <v>39965</v>
      </c>
      <c r="R111" s="733"/>
      <c r="S111" s="570"/>
      <c r="T111" s="570"/>
      <c r="U111" s="734"/>
      <c r="V111" s="25">
        <v>38</v>
      </c>
      <c r="W111" s="19"/>
      <c r="X111" s="93"/>
      <c r="Y111" s="93"/>
      <c r="Z111" s="93"/>
      <c r="AA111" s="93"/>
      <c r="AB111" s="93"/>
      <c r="AC111" s="93"/>
      <c r="AD111" s="93"/>
      <c r="AE111" s="20"/>
      <c r="AF111" s="25">
        <v>38</v>
      </c>
      <c r="AG111" s="19"/>
      <c r="AH111" s="93"/>
      <c r="AI111" s="93"/>
      <c r="AJ111" s="93"/>
      <c r="AK111" s="93"/>
      <c r="AL111" s="93"/>
      <c r="AM111" s="93"/>
      <c r="AN111" s="20"/>
      <c r="AO111" s="19"/>
      <c r="AP111" s="93"/>
      <c r="AQ111" s="93"/>
      <c r="AR111" s="93"/>
      <c r="AS111" s="20"/>
      <c r="AT111" s="19"/>
      <c r="AU111" s="93"/>
      <c r="AV111" s="20"/>
      <c r="AW111" s="19"/>
      <c r="AX111" s="93"/>
      <c r="AY111" s="93"/>
      <c r="AZ111" s="93"/>
      <c r="BA111" s="93"/>
      <c r="BB111" s="93"/>
      <c r="BC111" s="20"/>
      <c r="BD111" s="19"/>
      <c r="BE111" s="93"/>
      <c r="BF111" s="93"/>
      <c r="BG111" s="93"/>
      <c r="BH111" s="93"/>
      <c r="BI111" s="93"/>
      <c r="BJ111" s="93"/>
      <c r="BK111" s="20"/>
      <c r="BL111" s="19"/>
      <c r="BM111" s="93"/>
      <c r="BN111" s="93"/>
      <c r="BO111" s="93"/>
      <c r="BP111" s="93"/>
      <c r="BQ111" s="20"/>
      <c r="BR111" s="19"/>
      <c r="BS111" s="93"/>
      <c r="BT111" s="93"/>
      <c r="BU111" s="20"/>
      <c r="BV111" s="19"/>
      <c r="BW111" s="93"/>
      <c r="BX111" s="93"/>
      <c r="BY111" s="93"/>
      <c r="BZ111" s="93"/>
      <c r="CA111" s="93"/>
      <c r="CB111" s="20"/>
      <c r="CC111" s="25">
        <v>38</v>
      </c>
      <c r="CD111" s="19"/>
      <c r="CE111" s="93"/>
      <c r="CF111" s="20"/>
      <c r="CG111" s="25">
        <v>38</v>
      </c>
      <c r="CH111" s="19"/>
      <c r="CI111" s="93"/>
      <c r="CJ111" s="93"/>
      <c r="CK111" s="93"/>
      <c r="CL111" s="93"/>
      <c r="CM111" s="93"/>
      <c r="CN111" s="93"/>
      <c r="CO111" s="93"/>
      <c r="CP111" s="93"/>
      <c r="CQ111" s="93"/>
      <c r="CR111" s="214"/>
      <c r="CS111" s="20"/>
      <c r="CT111" s="25">
        <v>38</v>
      </c>
      <c r="CU111" s="19"/>
      <c r="CV111" s="93"/>
      <c r="CW111" s="93"/>
      <c r="CX111" s="93"/>
      <c r="CY111" s="93"/>
      <c r="CZ111" s="93"/>
      <c r="DA111" s="93"/>
      <c r="DB111" s="20"/>
      <c r="DC111" s="25">
        <v>38</v>
      </c>
      <c r="DD111" s="785">
        <v>39965</v>
      </c>
      <c r="DE111" s="19"/>
      <c r="DF111" s="20"/>
      <c r="DG111" s="25">
        <v>38</v>
      </c>
      <c r="DH111" s="19"/>
      <c r="DI111" s="20"/>
      <c r="DJ111" s="25">
        <v>38</v>
      </c>
      <c r="DK111" s="19"/>
      <c r="DL111" s="20"/>
      <c r="DM111" s="19"/>
      <c r="DN111" s="20"/>
      <c r="DO111" s="25">
        <v>38</v>
      </c>
      <c r="DP111" s="19"/>
      <c r="DQ111" s="93"/>
      <c r="DR111" s="20"/>
      <c r="DS111" s="25">
        <v>38</v>
      </c>
      <c r="DT111" s="19"/>
      <c r="DU111" s="93"/>
      <c r="DV111" s="20"/>
      <c r="DW111" s="25">
        <v>38</v>
      </c>
      <c r="DX111" s="19"/>
      <c r="DY111" s="20"/>
      <c r="DZ111" s="25">
        <v>38</v>
      </c>
      <c r="EA111" s="19"/>
      <c r="EB111" s="93"/>
      <c r="EC111" s="93"/>
      <c r="ED111" s="93"/>
      <c r="EE111" s="20"/>
      <c r="EF111" s="25">
        <v>38</v>
      </c>
      <c r="EG111" s="19"/>
      <c r="EH111" s="93"/>
      <c r="EI111" s="93"/>
      <c r="EJ111" s="93"/>
      <c r="EK111" s="20"/>
      <c r="EL111" s="25">
        <v>38</v>
      </c>
      <c r="EM111" s="19"/>
      <c r="EN111" s="93"/>
      <c r="EO111" s="93"/>
      <c r="EP111" s="93"/>
      <c r="EQ111" s="93"/>
      <c r="ER111" s="93"/>
      <c r="ES111" s="93"/>
      <c r="ET111" s="93"/>
      <c r="EU111" s="93"/>
      <c r="EV111" s="20"/>
      <c r="EW111" s="25">
        <v>38</v>
      </c>
      <c r="EX111" s="915"/>
      <c r="EY111" s="916"/>
      <c r="EZ111" s="916"/>
      <c r="FA111" s="916"/>
      <c r="FB111" s="916"/>
      <c r="FC111" s="916"/>
      <c r="FD111" s="916"/>
      <c r="FE111" s="916"/>
      <c r="FF111" s="916"/>
      <c r="FG111" s="917"/>
      <c r="FH111" s="25">
        <v>38</v>
      </c>
      <c r="FI111" s="848">
        <v>39965</v>
      </c>
      <c r="FJ111" s="19"/>
      <c r="FK111" s="93"/>
      <c r="FL111" s="20"/>
      <c r="FM111" s="25">
        <v>38</v>
      </c>
      <c r="FN111" s="19"/>
      <c r="FO111" s="93"/>
      <c r="FP111" s="93"/>
      <c r="FQ111" s="93"/>
      <c r="FR111" s="93"/>
      <c r="FS111" s="93"/>
      <c r="FT111" s="93"/>
      <c r="FU111" s="93"/>
      <c r="FV111" s="93"/>
      <c r="FW111" s="917"/>
      <c r="FX111" s="25">
        <v>38</v>
      </c>
      <c r="FY111" s="916"/>
      <c r="FZ111" s="916"/>
      <c r="GA111" s="916"/>
      <c r="GB111" s="916"/>
      <c r="GC111" s="916"/>
      <c r="GD111" s="916"/>
      <c r="GE111" s="916"/>
      <c r="GF111" s="916"/>
      <c r="GG111" s="916"/>
      <c r="GH111" s="916"/>
      <c r="GI111" s="917"/>
      <c r="GJ111" s="25">
        <v>38</v>
      </c>
      <c r="GK111" s="19"/>
      <c r="GL111" s="20"/>
      <c r="GM111" s="25">
        <v>38</v>
      </c>
      <c r="GN111" s="19"/>
      <c r="GO111" s="20"/>
      <c r="GP111" s="25">
        <v>38</v>
      </c>
      <c r="GQ111" s="19"/>
      <c r="GR111" s="20"/>
      <c r="GS111" s="25">
        <v>38</v>
      </c>
      <c r="GT111" s="848">
        <v>39965</v>
      </c>
      <c r="GU111" s="19"/>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v>38</v>
      </c>
      <c r="IW111" s="848">
        <v>39965</v>
      </c>
      <c r="IX111" s="1035"/>
      <c r="IY111" s="1035">
        <v>241.67569999999998</v>
      </c>
      <c r="IZ111" s="1035">
        <v>268.88369999999998</v>
      </c>
      <c r="JA111" s="1035">
        <v>0.342752212</v>
      </c>
      <c r="JB111" s="1035">
        <v>290.02227930071376</v>
      </c>
      <c r="JC111" s="1035">
        <v>60.363</v>
      </c>
      <c r="JD111" s="1035">
        <v>592.40373151271376</v>
      </c>
      <c r="JE111" s="1035">
        <v>384.97646101452278</v>
      </c>
      <c r="JF111" s="1035">
        <v>977.38019252723655</v>
      </c>
      <c r="JG111" s="1035"/>
      <c r="JH111" s="1035">
        <v>529.8672956049918</v>
      </c>
      <c r="JI111" s="1035">
        <v>380.42508288900012</v>
      </c>
      <c r="JJ111" s="1035">
        <v>149.44221271599173</v>
      </c>
      <c r="JK111" s="1035">
        <v>585.0402549532447</v>
      </c>
      <c r="JL111" s="1035">
        <v>-135.77198628600001</v>
      </c>
      <c r="JM111" s="1035">
        <v>-58.470986286000006</v>
      </c>
      <c r="JN111" s="1035">
        <v>-77.301000000000016</v>
      </c>
      <c r="JO111" s="1035">
        <v>720.81224123924471</v>
      </c>
      <c r="JP111" s="1035">
        <v>2.5687136399999999</v>
      </c>
      <c r="JQ111" s="1035">
        <v>718.24352759924477</v>
      </c>
      <c r="JR111" s="1035">
        <v>159.39240218999996</v>
      </c>
      <c r="JS111" s="1035">
        <v>-21.865044159000028</v>
      </c>
      <c r="JT111" s="1036">
        <v>977.38019252723643</v>
      </c>
      <c r="JU111" s="29">
        <v>38</v>
      </c>
      <c r="JV111" s="1037"/>
      <c r="JW111" s="1526">
        <f>VLOOKUP($IW111,Base_Mensuelle!$OF$68:$RM$679,HLOOKUP(JW$73,Base_Mensuelle!$PE$67:$QE$680,614,0))</f>
        <v>380.42508288900012</v>
      </c>
      <c r="JX111" s="1526">
        <f>VLOOKUP($IW111,Base_Mensuelle!$OF$68:$RM$679,HLOOKUP(JX$73,Base_Mensuelle!$PE$67:$QE$680,614,0))</f>
        <v>521.44252839100011</v>
      </c>
      <c r="JY111" s="1526">
        <f>VLOOKUP($IW111,Base_Mensuelle!$OF$68:$RM$679,HLOOKUP(JY$73,Base_Mensuelle!$PE$67:$QE$680,614,0))</f>
        <v>141.01744550200002</v>
      </c>
      <c r="JZ111" s="1526">
        <f>VLOOKUP($IW111,Base_Mensuelle!$OF$68:$RM$679,HLOOKUP(JZ$73,Base_Mensuelle!$PE$67:$QE$680,614,0))</f>
        <v>13.59</v>
      </c>
      <c r="KA111" s="1526">
        <f>VLOOKUP($IW111,Base_Mensuelle!$OF$68:$RM$679,HLOOKUP(KA$73,Base_Mensuelle!$PE$67:$QE$680,614,0))</f>
        <v>-58.470986286000006</v>
      </c>
      <c r="KB111" s="1526">
        <f>VLOOKUP($IW111,Base_Mensuelle!$OF$68:$RM$679,HLOOKUP(KB$73,Base_Mensuelle!$PE$67:$QE$680,614,0))</f>
        <v>41.339577829</v>
      </c>
      <c r="KC111" s="1526">
        <f>VLOOKUP($IW111,Base_Mensuelle!$OF$68:$RM$679,HLOOKUP(KC$73,Base_Mensuelle!$PE$67:$QE$680,614,0))</f>
        <v>99.810564115000005</v>
      </c>
      <c r="KD111" s="1526">
        <f>VLOOKUP($IW111,Base_Mensuelle!$OF$68:$RM$679,HLOOKUP(KD$73,Base_Mensuelle!$PE$67:$QE$680,614,0))</f>
        <v>2.5687136399999999</v>
      </c>
      <c r="KE111" s="1526">
        <f>VLOOKUP($IW111,Base_Mensuelle!$OF$68:$RM$679,HLOOKUP(KE$73,Base_Mensuelle!$PE$67:$QE$680,614,0))</f>
        <v>0</v>
      </c>
      <c r="KF111" s="1526">
        <f>VLOOKUP($IW111,Base_Mensuelle!$OF$68:$RM$679,HLOOKUP(KF$73,Base_Mensuelle!$PE$67:$QE$680,614,0))</f>
        <v>0</v>
      </c>
      <c r="KG111" s="1526">
        <f>VLOOKUP($IW111,Base_Mensuelle!$OF$68:$RM$679,HLOOKUP(KG$73,Base_Mensuelle!$PE$67:$QE$680,614,0))</f>
        <v>6.2956199999999996E-4</v>
      </c>
      <c r="KH111" s="1526">
        <f>VLOOKUP($IW111,Base_Mensuelle!$OF$68:$RM$679,HLOOKUP(KH$73,Base_Mensuelle!$PE$67:$QE$680,614,0))</f>
        <v>2.568084078</v>
      </c>
      <c r="KI111" s="1526">
        <f>VLOOKUP($IW111,Base_Mensuelle!$OF$68:$RM$679,HLOOKUP(KI$73,Base_Mensuelle!$PE$67:$QE$680,614,0))</f>
        <v>340.03653606299997</v>
      </c>
      <c r="KJ111" s="1526">
        <f>VLOOKUP($IW111,Base_Mensuelle!$OF$68:$RM$679,HLOOKUP(KJ$73,Base_Mensuelle!$PE$67:$QE$680,614,0))</f>
        <v>268.88369999999998</v>
      </c>
      <c r="KK111" s="1526">
        <f>VLOOKUP($IW111,Base_Mensuelle!$OF$68:$RM$679,HLOOKUP(KK$73,Base_Mensuelle!$PE$67:$QE$680,614,0))</f>
        <v>70.810083851000002</v>
      </c>
      <c r="KL111" s="1526">
        <f>VLOOKUP($IW111,Base_Mensuelle!$OF$68:$RM$679,HLOOKUP(KL$73,Base_Mensuelle!$PE$67:$QE$680,614,0))</f>
        <v>0.342752212</v>
      </c>
      <c r="KM111" s="1526">
        <f>VLOOKUP($IW111,Base_Mensuelle!$OF$68:$RM$679,HLOOKUP(KM$73,Base_Mensuelle!$PE$67:$QE$680,614,0))</f>
        <v>0</v>
      </c>
      <c r="KN111" s="1526">
        <f>VLOOKUP($IW111,Base_Mensuelle!$OF$68:$RM$679,HLOOKUP(KN$73,Base_Mensuelle!$PE$67:$QE$680,614,0))</f>
        <v>0.70553370199999998</v>
      </c>
      <c r="KO111" s="1526">
        <f>VLOOKUP($IW111,Base_Mensuelle!$OF$68:$RM$679,HLOOKUP(KO$73,Base_Mensuelle!$PE$67:$QE$680,614,0))</f>
        <v>0</v>
      </c>
      <c r="KP111" s="1526">
        <f>VLOOKUP($IW111,Base_Mensuelle!$OF$68:$RM$679,HLOOKUP(KP$73,Base_Mensuelle!$PE$67:$QE$680,614,0))</f>
        <v>0</v>
      </c>
      <c r="KQ111" s="1526">
        <f>VLOOKUP($IW111,Base_Mensuelle!$OF$68:$RM$679,HLOOKUP(KQ$73,Base_Mensuelle!$PE$67:$QE$680,614,0))</f>
        <v>0.70553370199999998</v>
      </c>
      <c r="KR111" s="1526">
        <f>VLOOKUP($IW111,Base_Mensuelle!$OF$68:$RM$679,HLOOKUP(KR$73,Base_Mensuelle!$PE$67:$QE$680,614,0))</f>
        <v>0</v>
      </c>
      <c r="KS111" s="1526">
        <f>VLOOKUP($IW111,Base_Mensuelle!$OF$68:$RM$679,HLOOKUP(KS$73,Base_Mensuelle!$PE$67:$QE$680,614,0))</f>
        <v>0</v>
      </c>
      <c r="KT111" s="1526">
        <f>VLOOKUP($IW111,Base_Mensuelle!$OF$68:$RM$679,HLOOKUP(KT$73,Base_Mensuelle!$PE$67:$QE$680,614,0))</f>
        <v>0</v>
      </c>
      <c r="KU111" s="1526">
        <f>VLOOKUP($IW111,Base_Mensuelle!$OF$68:$RM$679,HLOOKUP(KU$73,Base_Mensuelle!$PE$67:$QE$680,614,0))</f>
        <v>-0.73513151199999993</v>
      </c>
      <c r="KV111" s="1526">
        <f>VLOOKUP($IW111,Base_Mensuelle!$OF$68:$RM$679,HLOOKUP(KV$73,Base_Mensuelle!$PE$67:$QE$680,614,0))</f>
        <v>-1.89412801</v>
      </c>
      <c r="KW111" s="1036"/>
      <c r="KX111" s="29">
        <v>38</v>
      </c>
      <c r="KY111" s="1037"/>
      <c r="KZ111" s="182">
        <f>VLOOKUP($IW111,Base_Mensuelle!$OF$68:$RM$679,HLOOKUP(KZ$73,Base_Mensuelle!$QG$67:$RM$680,614,0))</f>
        <v>149.44221271599173</v>
      </c>
      <c r="LA111" s="182">
        <f>VLOOKUP($IW111,Base_Mensuelle!$OF$68:$RM$679,HLOOKUP(LA$73,Base_Mensuelle!$QG$67:$RM$680,614,0))</f>
        <v>226.51747240075517</v>
      </c>
      <c r="LB111" s="182">
        <f>VLOOKUP($IW111,Base_Mensuelle!$OF$68:$RM$679,HLOOKUP(LB$73,Base_Mensuelle!$QG$67:$RM$680,614,0))</f>
        <v>-77.075259684763424</v>
      </c>
      <c r="LC111" s="182">
        <f>VLOOKUP($IW111,Base_Mensuelle!$OF$68:$RM$679,HLOOKUP(LC$73,Base_Mensuelle!$QG$67:$RM$680,614,0))</f>
        <v>51.772999999999996</v>
      </c>
      <c r="LD111" s="182">
        <f>VLOOKUP($IW111,Base_Mensuelle!$OF$68:$RM$679,HLOOKUP(LD$73,Base_Mensuelle!$QG$67:$RM$680,614,0))</f>
        <v>27.207999999999998</v>
      </c>
      <c r="LE111" s="182">
        <f>VLOOKUP($IW111,Base_Mensuelle!$OF$68:$RM$679,HLOOKUP(LE$73,Base_Mensuelle!$QG$67:$RM$680,614,0))</f>
        <v>24.565000000000001</v>
      </c>
      <c r="LF111" s="182">
        <f>VLOOKUP($IW111,Base_Mensuelle!$OF$68:$RM$679,HLOOKUP(LF$73,Base_Mensuelle!$QG$67:$RM$680,614,0))</f>
        <v>0</v>
      </c>
      <c r="LG111" s="182">
        <f>VLOOKUP($IW111,Base_Mensuelle!$OF$68:$RM$679,HLOOKUP(LG$73,Base_Mensuelle!$QG$67:$RM$680,614,0))</f>
        <v>-77.301000000000016</v>
      </c>
      <c r="LH111" s="182">
        <f>VLOOKUP($IW111,Base_Mensuelle!$OF$68:$RM$679,HLOOKUP(LH$73,Base_Mensuelle!$QG$67:$RM$680,614,0))</f>
        <v>55.533999999999999</v>
      </c>
      <c r="LI111" s="182">
        <f>VLOOKUP($IW111,Base_Mensuelle!$OF$68:$RM$679,HLOOKUP(LI$73,Base_Mensuelle!$QG$67:$RM$680,614,0))</f>
        <v>-132.83500000000001</v>
      </c>
      <c r="LJ111" s="182">
        <f>VLOOKUP($IW111,Base_Mensuelle!$OF$68:$RM$679,HLOOKUP(LJ$73,Base_Mensuelle!$QG$67:$RM$680,614,0))</f>
        <v>718.24352759924477</v>
      </c>
      <c r="LK111" s="182">
        <f>VLOOKUP($IW111,Base_Mensuelle!$OF$68:$RM$679,HLOOKUP(LK$73,Base_Mensuelle!$QG$67:$RM$680,614,0))</f>
        <v>6.1526696873550017</v>
      </c>
      <c r="LL111" s="182">
        <f>VLOOKUP($IW111,Base_Mensuelle!$OF$68:$RM$679,HLOOKUP(LL$73,Base_Mensuelle!$QG$67:$RM$680,614,0))</f>
        <v>0</v>
      </c>
      <c r="LM111" s="182">
        <f>VLOOKUP($IW111,Base_Mensuelle!$OF$68:$RM$679,HLOOKUP(LM$73,Base_Mensuelle!$QG$67:$RM$680,614,0))</f>
        <v>0</v>
      </c>
      <c r="LN111" s="182">
        <f>VLOOKUP($IW111,Base_Mensuelle!$OF$68:$RM$679,HLOOKUP(LN$73,Base_Mensuelle!$QG$67:$RM$680,614,0))</f>
        <v>712.09085791188977</v>
      </c>
      <c r="LO111" s="182">
        <f>VLOOKUP($IW111,Base_Mensuelle!$OF$68:$RM$679,HLOOKUP(LO$73,Base_Mensuelle!$QG$67:$RM$680,614,0))</f>
        <v>0</v>
      </c>
      <c r="LP111" s="182">
        <f>VLOOKUP($IW111,Base_Mensuelle!$OF$68:$RM$679,HLOOKUP(LP$73,Base_Mensuelle!$QG$67:$RM$680,614,0))</f>
        <v>2.5579999999999998</v>
      </c>
      <c r="LQ111" s="182">
        <f>VLOOKUP($IW111,Base_Mensuelle!$OF$68:$RM$679,HLOOKUP(LQ$73,Base_Mensuelle!$QG$67:$RM$680,614,0))</f>
        <v>290.02227930071382</v>
      </c>
      <c r="LR111" s="182">
        <f>VLOOKUP($IW111,Base_Mensuelle!$OF$68:$RM$679,HLOOKUP(LR$73,Base_Mensuelle!$QG$67:$RM$680,614,0))</f>
        <v>384.97646101452278</v>
      </c>
      <c r="LS111" s="182">
        <f>VLOOKUP($IW111,Base_Mensuelle!$OF$68:$RM$679,HLOOKUP(LS$73,Base_Mensuelle!$QG$67:$RM$680,614,0))</f>
        <v>0</v>
      </c>
      <c r="LT111" s="182">
        <f>VLOOKUP($IW111,Base_Mensuelle!$OF$68:$RM$679,HLOOKUP(LT$73,Base_Mensuelle!$QG$67:$RM$680,614,0))</f>
        <v>20.608000000000001</v>
      </c>
      <c r="LU111" s="182">
        <f>VLOOKUP($IW111,Base_Mensuelle!$OF$68:$RM$679,HLOOKUP(LU$73,Base_Mensuelle!$QG$67:$RM$680,614,0))</f>
        <v>1.6559999999999999</v>
      </c>
      <c r="LV111" s="182">
        <f>VLOOKUP($IW111,Base_Mensuelle!$OF$68:$RM$679,HLOOKUP(LV$73,Base_Mensuelle!$QG$67:$RM$680,614,0))</f>
        <v>17.108999999999998</v>
      </c>
      <c r="LW111" s="182">
        <f>VLOOKUP($IW111,Base_Mensuelle!$OF$68:$RM$679,HLOOKUP(LW$73,Base_Mensuelle!$QG$67:$RM$680,614,0))</f>
        <v>0</v>
      </c>
      <c r="LX111" s="182">
        <f>VLOOKUP($IW111,Base_Mensuelle!$OF$68:$RM$679,HLOOKUP(LX$73,Base_Mensuelle!$QG$67:$RM$680,614,0))</f>
        <v>0</v>
      </c>
      <c r="LY111" s="182">
        <f>VLOOKUP($IW111,Base_Mensuelle!$OF$68:$RM$679,HLOOKUP(LY$73,Base_Mensuelle!$QG$67:$RM$680,614,0))</f>
        <v>120.04899999999996</v>
      </c>
      <c r="LZ111" s="182">
        <f>VLOOKUP($IW111,Base_Mensuelle!$OF$68:$RM$679,HLOOKUP(LZ$73,Base_Mensuelle!$QG$67:$RM$680,614,0))</f>
        <v>5.1789999999999736</v>
      </c>
      <c r="MA111" s="182">
        <f>VLOOKUP($IW111,Base_Mensuelle!$OF$68:$RM$679,HLOOKUP(MA$73,Base_Mensuelle!$QG$67:$RM$680,614,0))</f>
        <v>0</v>
      </c>
      <c r="MB111" s="182">
        <f>VLOOKUP($IW111,Base_Mensuelle!$OF$68:$RM$679,HLOOKUP(MB$73,Base_Mensuelle!$QG$67:$RM$680,614,0))</f>
        <v>0</v>
      </c>
      <c r="MC111" s="182">
        <f>VLOOKUP($IW111,Base_Mensuelle!$OF$68:$RM$679,HLOOKUP(MC$73,Base_Mensuelle!$QG$67:$RM$680,614,0))</f>
        <v>0</v>
      </c>
      <c r="MD111" s="182">
        <f>VLOOKUP($IW111,Base_Mensuelle!$OF$68:$RM$679,HLOOKUP(MD$73,Base_Mensuelle!$QG$67:$RM$680,614,0))</f>
        <v>0</v>
      </c>
      <c r="ME111" s="182">
        <f>VLOOKUP($IW111,Base_Mensuelle!$OF$68:$RM$679,HLOOKUP(ME$73,Base_Mensuelle!$QG$67:$RM$680,614,0))</f>
        <v>0</v>
      </c>
      <c r="MF111" s="182"/>
      <c r="MG111" s="182"/>
      <c r="MH111" s="290"/>
      <c r="MI111" s="29">
        <v>38</v>
      </c>
      <c r="MJ111" s="29" t="str">
        <f t="shared" si="82"/>
        <v>Trimestre 22009</v>
      </c>
      <c r="MK111" s="848">
        <v>39965</v>
      </c>
      <c r="ML111" s="29"/>
      <c r="MM111" s="29"/>
      <c r="MN111" s="29"/>
      <c r="MO111" s="29"/>
      <c r="MP111" s="29"/>
      <c r="MQ111" s="29"/>
      <c r="MR111" s="29"/>
      <c r="MS111" s="29"/>
      <c r="MT111" s="29"/>
      <c r="MU111" s="29"/>
      <c r="MV111" s="29"/>
      <c r="MW111" s="29"/>
      <c r="MX111" s="29"/>
      <c r="MY111" s="29"/>
      <c r="MZ111" s="29"/>
      <c r="NA111" s="29"/>
      <c r="NB111" s="29"/>
      <c r="NC111" s="29"/>
      <c r="ND111" s="29"/>
      <c r="NE111" s="29"/>
      <c r="NF111" s="29"/>
      <c r="NG111" s="29"/>
      <c r="NH111" s="29"/>
      <c r="NI111" s="29"/>
      <c r="NJ111" s="29"/>
      <c r="NK111" s="29"/>
      <c r="NL111" s="29">
        <v>38</v>
      </c>
    </row>
    <row r="112" spans="1:376">
      <c r="A112" s="41">
        <f t="shared" si="80"/>
        <v>2009</v>
      </c>
      <c r="B112" s="785">
        <v>40057</v>
      </c>
      <c r="C112" s="19">
        <v>916.29791804311242</v>
      </c>
      <c r="D112" s="93">
        <v>76.315943481333349</v>
      </c>
      <c r="E112" s="93">
        <v>70.107692964658654</v>
      </c>
      <c r="F112" s="93">
        <v>10.735867638650458</v>
      </c>
      <c r="G112" s="93">
        <v>58.884263591018531</v>
      </c>
      <c r="H112" s="93">
        <v>39.729321853101418</v>
      </c>
      <c r="I112" s="93">
        <v>101.26403899204527</v>
      </c>
      <c r="J112" s="93">
        <v>159.2746335189743</v>
      </c>
      <c r="K112" s="93">
        <v>94.019641729501231</v>
      </c>
      <c r="L112" s="93">
        <v>95.207072369675984</v>
      </c>
      <c r="M112" s="20">
        <v>92.844510176057824</v>
      </c>
      <c r="N112" s="25">
        <v>39</v>
      </c>
      <c r="O112" s="889">
        <f t="shared" si="79"/>
        <v>2009</v>
      </c>
      <c r="P112" s="29" t="str">
        <f t="shared" si="81"/>
        <v>Trimestre 32009</v>
      </c>
      <c r="Q112" s="848">
        <v>40057</v>
      </c>
      <c r="R112" s="733"/>
      <c r="S112" s="570"/>
      <c r="T112" s="570"/>
      <c r="U112" s="734"/>
      <c r="V112" s="25">
        <v>39</v>
      </c>
      <c r="W112" s="19"/>
      <c r="X112" s="93"/>
      <c r="Y112" s="93"/>
      <c r="Z112" s="93"/>
      <c r="AA112" s="93"/>
      <c r="AB112" s="93"/>
      <c r="AC112" s="93"/>
      <c r="AD112" s="93"/>
      <c r="AE112" s="20"/>
      <c r="AF112" s="25">
        <v>39</v>
      </c>
      <c r="AG112" s="19"/>
      <c r="AH112" s="93"/>
      <c r="AI112" s="93"/>
      <c r="AJ112" s="93"/>
      <c r="AK112" s="93"/>
      <c r="AL112" s="93"/>
      <c r="AM112" s="93"/>
      <c r="AN112" s="20"/>
      <c r="AO112" s="19"/>
      <c r="AP112" s="93"/>
      <c r="AQ112" s="93"/>
      <c r="AR112" s="93"/>
      <c r="AS112" s="20"/>
      <c r="AT112" s="19"/>
      <c r="AU112" s="93"/>
      <c r="AV112" s="20"/>
      <c r="AW112" s="19"/>
      <c r="AX112" s="93"/>
      <c r="AY112" s="93"/>
      <c r="AZ112" s="93"/>
      <c r="BA112" s="93"/>
      <c r="BB112" s="93"/>
      <c r="BC112" s="20"/>
      <c r="BD112" s="19"/>
      <c r="BE112" s="93"/>
      <c r="BF112" s="93"/>
      <c r="BG112" s="93"/>
      <c r="BH112" s="93"/>
      <c r="BI112" s="93"/>
      <c r="BJ112" s="93"/>
      <c r="BK112" s="20"/>
      <c r="BL112" s="19"/>
      <c r="BM112" s="93"/>
      <c r="BN112" s="93"/>
      <c r="BO112" s="93"/>
      <c r="BP112" s="93"/>
      <c r="BQ112" s="20"/>
      <c r="BR112" s="19"/>
      <c r="BS112" s="93"/>
      <c r="BT112" s="93"/>
      <c r="BU112" s="20"/>
      <c r="BV112" s="19"/>
      <c r="BW112" s="93"/>
      <c r="BX112" s="93"/>
      <c r="BY112" s="93"/>
      <c r="BZ112" s="93"/>
      <c r="CA112" s="93"/>
      <c r="CB112" s="20"/>
      <c r="CC112" s="25">
        <v>39</v>
      </c>
      <c r="CD112" s="19"/>
      <c r="CE112" s="93"/>
      <c r="CF112" s="20"/>
      <c r="CG112" s="25">
        <v>39</v>
      </c>
      <c r="CH112" s="19"/>
      <c r="CI112" s="93"/>
      <c r="CJ112" s="93"/>
      <c r="CK112" s="93"/>
      <c r="CL112" s="93"/>
      <c r="CM112" s="93"/>
      <c r="CN112" s="93"/>
      <c r="CO112" s="93"/>
      <c r="CP112" s="93"/>
      <c r="CQ112" s="93"/>
      <c r="CR112" s="214"/>
      <c r="CS112" s="20"/>
      <c r="CT112" s="25">
        <v>39</v>
      </c>
      <c r="CU112" s="19"/>
      <c r="CV112" s="93"/>
      <c r="CW112" s="93"/>
      <c r="CX112" s="93"/>
      <c r="CY112" s="93"/>
      <c r="CZ112" s="93"/>
      <c r="DA112" s="93"/>
      <c r="DB112" s="20"/>
      <c r="DC112" s="25">
        <v>39</v>
      </c>
      <c r="DD112" s="785">
        <v>40057</v>
      </c>
      <c r="DE112" s="19"/>
      <c r="DF112" s="20"/>
      <c r="DG112" s="25">
        <v>39</v>
      </c>
      <c r="DH112" s="19"/>
      <c r="DI112" s="20"/>
      <c r="DJ112" s="25">
        <v>39</v>
      </c>
      <c r="DK112" s="19"/>
      <c r="DL112" s="20"/>
      <c r="DM112" s="19"/>
      <c r="DN112" s="20"/>
      <c r="DO112" s="25">
        <v>39</v>
      </c>
      <c r="DP112" s="19"/>
      <c r="DQ112" s="93"/>
      <c r="DR112" s="20"/>
      <c r="DS112" s="25">
        <v>39</v>
      </c>
      <c r="DT112" s="19"/>
      <c r="DU112" s="93"/>
      <c r="DV112" s="20"/>
      <c r="DW112" s="25">
        <v>39</v>
      </c>
      <c r="DX112" s="19"/>
      <c r="DY112" s="20"/>
      <c r="DZ112" s="25">
        <v>39</v>
      </c>
      <c r="EA112" s="19"/>
      <c r="EB112" s="93"/>
      <c r="EC112" s="93"/>
      <c r="ED112" s="93"/>
      <c r="EE112" s="20"/>
      <c r="EF112" s="25">
        <v>39</v>
      </c>
      <c r="EG112" s="19"/>
      <c r="EH112" s="93"/>
      <c r="EI112" s="93"/>
      <c r="EJ112" s="93"/>
      <c r="EK112" s="20"/>
      <c r="EL112" s="25">
        <v>39</v>
      </c>
      <c r="EM112" s="19"/>
      <c r="EN112" s="93"/>
      <c r="EO112" s="93"/>
      <c r="EP112" s="93"/>
      <c r="EQ112" s="93"/>
      <c r="ER112" s="93"/>
      <c r="ES112" s="93"/>
      <c r="ET112" s="93"/>
      <c r="EU112" s="93"/>
      <c r="EV112" s="20"/>
      <c r="EW112" s="25">
        <v>39</v>
      </c>
      <c r="EX112" s="915"/>
      <c r="EY112" s="916"/>
      <c r="EZ112" s="916"/>
      <c r="FA112" s="916"/>
      <c r="FB112" s="916"/>
      <c r="FC112" s="916"/>
      <c r="FD112" s="916"/>
      <c r="FE112" s="916"/>
      <c r="FF112" s="916"/>
      <c r="FG112" s="917"/>
      <c r="FH112" s="25">
        <v>39</v>
      </c>
      <c r="FI112" s="848">
        <v>40057</v>
      </c>
      <c r="FJ112" s="19"/>
      <c r="FK112" s="93"/>
      <c r="FL112" s="20"/>
      <c r="FM112" s="25">
        <v>39</v>
      </c>
      <c r="FN112" s="19"/>
      <c r="FO112" s="93"/>
      <c r="FP112" s="93"/>
      <c r="FQ112" s="93"/>
      <c r="FR112" s="93"/>
      <c r="FS112" s="93"/>
      <c r="FT112" s="93"/>
      <c r="FU112" s="93"/>
      <c r="FV112" s="93"/>
      <c r="FW112" s="917"/>
      <c r="FX112" s="25">
        <v>39</v>
      </c>
      <c r="FY112" s="916"/>
      <c r="FZ112" s="916"/>
      <c r="GA112" s="916"/>
      <c r="GB112" s="916"/>
      <c r="GC112" s="916"/>
      <c r="GD112" s="916"/>
      <c r="GE112" s="916"/>
      <c r="GF112" s="916"/>
      <c r="GG112" s="916"/>
      <c r="GH112" s="916"/>
      <c r="GI112" s="917"/>
      <c r="GJ112" s="25">
        <v>39</v>
      </c>
      <c r="GK112" s="19"/>
      <c r="GL112" s="20"/>
      <c r="GM112" s="25">
        <v>39</v>
      </c>
      <c r="GN112" s="19"/>
      <c r="GO112" s="20"/>
      <c r="GP112" s="25">
        <v>39</v>
      </c>
      <c r="GQ112" s="19"/>
      <c r="GR112" s="20"/>
      <c r="GS112" s="25">
        <v>39</v>
      </c>
      <c r="GT112" s="848">
        <v>40057</v>
      </c>
      <c r="GU112" s="19"/>
      <c r="GV112" s="93"/>
      <c r="GW112" s="93"/>
      <c r="GX112" s="93"/>
      <c r="GY112" s="93"/>
      <c r="GZ112" s="93"/>
      <c r="HA112" s="93"/>
      <c r="HB112" s="93"/>
      <c r="HC112" s="93"/>
      <c r="HD112" s="93"/>
      <c r="HE112" s="93"/>
      <c r="HF112" s="93"/>
      <c r="HG112" s="93"/>
      <c r="HH112" s="93"/>
      <c r="HI112" s="93"/>
      <c r="HJ112" s="93"/>
      <c r="HK112" s="93"/>
      <c r="HL112" s="93"/>
      <c r="HM112" s="93"/>
      <c r="HN112" s="93"/>
      <c r="HO112" s="93"/>
      <c r="HP112" s="93"/>
      <c r="HQ112" s="93"/>
      <c r="HR112" s="93"/>
      <c r="HS112" s="93"/>
      <c r="HT112" s="93"/>
      <c r="HU112" s="93"/>
      <c r="HV112" s="93"/>
      <c r="HW112" s="93"/>
      <c r="HX112" s="93"/>
      <c r="HY112" s="93"/>
      <c r="HZ112" s="93"/>
      <c r="IA112" s="93"/>
      <c r="IB112" s="93"/>
      <c r="IC112" s="93"/>
      <c r="ID112" s="93"/>
      <c r="IE112" s="93"/>
      <c r="IF112" s="93"/>
      <c r="IG112" s="93"/>
      <c r="IH112" s="93"/>
      <c r="II112" s="93"/>
      <c r="IJ112" s="93"/>
      <c r="IK112" s="93"/>
      <c r="IL112" s="93"/>
      <c r="IM112" s="93"/>
      <c r="IN112" s="93"/>
      <c r="IO112" s="93"/>
      <c r="IP112" s="93"/>
      <c r="IQ112" s="93"/>
      <c r="IR112" s="93"/>
      <c r="IS112" s="93"/>
      <c r="IT112" s="93"/>
      <c r="IU112" s="93"/>
      <c r="IV112" s="93">
        <v>39</v>
      </c>
      <c r="IW112" s="848">
        <v>40057</v>
      </c>
      <c r="IX112" s="1035"/>
      <c r="IY112" s="1035">
        <v>252.51670000000001</v>
      </c>
      <c r="IZ112" s="1035">
        <v>276.6567</v>
      </c>
      <c r="JA112" s="1035">
        <v>0.34343056</v>
      </c>
      <c r="JB112" s="1035">
        <v>287.95629089774621</v>
      </c>
      <c r="JC112" s="1035">
        <v>60.363</v>
      </c>
      <c r="JD112" s="1035">
        <v>601.17942145774623</v>
      </c>
      <c r="JE112" s="1035">
        <v>383.51903080785831</v>
      </c>
      <c r="JF112" s="1035">
        <v>984.6984522656046</v>
      </c>
      <c r="JG112" s="1035"/>
      <c r="JH112" s="1035">
        <v>543.77942268965649</v>
      </c>
      <c r="JI112" s="1035">
        <v>404.81734615399989</v>
      </c>
      <c r="JJ112" s="1035">
        <v>138.96207653565671</v>
      </c>
      <c r="JK112" s="1035">
        <v>593.38727057294773</v>
      </c>
      <c r="JL112" s="1035">
        <v>-175.20974357300003</v>
      </c>
      <c r="JM112" s="1035">
        <v>-101.98774357300002</v>
      </c>
      <c r="JN112" s="1035">
        <v>-73.222000000000008</v>
      </c>
      <c r="JO112" s="1035">
        <v>768.59701414594781</v>
      </c>
      <c r="JP112" s="1035">
        <v>2.5457689759999997</v>
      </c>
      <c r="JQ112" s="1035">
        <v>766.05124516994783</v>
      </c>
      <c r="JR112" s="1035">
        <v>159.15623187699993</v>
      </c>
      <c r="JS112" s="1035">
        <v>-6.6879908800000152</v>
      </c>
      <c r="JT112" s="1036">
        <v>984.69845226560426</v>
      </c>
      <c r="JU112" s="29">
        <v>39</v>
      </c>
      <c r="JV112" s="1037"/>
      <c r="JW112" s="1526">
        <f>VLOOKUP($IW112,Base_Mensuelle!$OF$68:$RM$679,HLOOKUP(JW$73,Base_Mensuelle!$PE$67:$QE$680,614,0))</f>
        <v>404.81734615399989</v>
      </c>
      <c r="JX112" s="1526">
        <f>VLOOKUP($IW112,Base_Mensuelle!$OF$68:$RM$679,HLOOKUP(JX$73,Base_Mensuelle!$PE$67:$QE$680,614,0))</f>
        <v>574.71394576099988</v>
      </c>
      <c r="JY112" s="1526">
        <f>VLOOKUP($IW112,Base_Mensuelle!$OF$68:$RM$679,HLOOKUP(JY$73,Base_Mensuelle!$PE$67:$QE$680,614,0))</f>
        <v>169.89659960700001</v>
      </c>
      <c r="JZ112" s="1526">
        <f>VLOOKUP($IW112,Base_Mensuelle!$OF$68:$RM$679,HLOOKUP(JZ$73,Base_Mensuelle!$PE$67:$QE$680,614,0))</f>
        <v>50.39</v>
      </c>
      <c r="KA112" s="1526">
        <f>VLOOKUP($IW112,Base_Mensuelle!$OF$68:$RM$679,HLOOKUP(KA$73,Base_Mensuelle!$PE$67:$QE$680,614,0))</f>
        <v>-101.98774357300002</v>
      </c>
      <c r="KB112" s="1526">
        <f>VLOOKUP($IW112,Base_Mensuelle!$OF$68:$RM$679,HLOOKUP(KB$73,Base_Mensuelle!$PE$67:$QE$680,614,0))</f>
        <v>72.372942499000004</v>
      </c>
      <c r="KC112" s="1526">
        <f>VLOOKUP($IW112,Base_Mensuelle!$OF$68:$RM$679,HLOOKUP(KC$73,Base_Mensuelle!$PE$67:$QE$680,614,0))</f>
        <v>174.36068607200002</v>
      </c>
      <c r="KD112" s="1526">
        <f>VLOOKUP($IW112,Base_Mensuelle!$OF$68:$RM$679,HLOOKUP(KD$73,Base_Mensuelle!$PE$67:$QE$680,614,0))</f>
        <v>2.5457689759999997</v>
      </c>
      <c r="KE112" s="1526">
        <f>VLOOKUP($IW112,Base_Mensuelle!$OF$68:$RM$679,HLOOKUP(KE$73,Base_Mensuelle!$PE$67:$QE$680,614,0))</f>
        <v>0</v>
      </c>
      <c r="KF112" s="1526">
        <f>VLOOKUP($IW112,Base_Mensuelle!$OF$68:$RM$679,HLOOKUP(KF$73,Base_Mensuelle!$PE$67:$QE$680,614,0))</f>
        <v>0</v>
      </c>
      <c r="KG112" s="1526">
        <f>VLOOKUP($IW112,Base_Mensuelle!$OF$68:$RM$679,HLOOKUP(KG$73,Base_Mensuelle!$PE$67:$QE$680,614,0))</f>
        <v>6.0618800000000002E-4</v>
      </c>
      <c r="KH112" s="1526">
        <f>VLOOKUP($IW112,Base_Mensuelle!$OF$68:$RM$679,HLOOKUP(KH$73,Base_Mensuelle!$PE$67:$QE$680,614,0))</f>
        <v>2.5451627879999998</v>
      </c>
      <c r="KI112" s="1526">
        <f>VLOOKUP($IW112,Base_Mensuelle!$OF$68:$RM$679,HLOOKUP(KI$73,Base_Mensuelle!$PE$67:$QE$680,614,0))</f>
        <v>354.26883833400001</v>
      </c>
      <c r="KJ112" s="1526">
        <f>VLOOKUP($IW112,Base_Mensuelle!$OF$68:$RM$679,HLOOKUP(KJ$73,Base_Mensuelle!$PE$67:$QE$680,614,0))</f>
        <v>276.6567</v>
      </c>
      <c r="KK112" s="1526">
        <f>VLOOKUP($IW112,Base_Mensuelle!$OF$68:$RM$679,HLOOKUP(KK$73,Base_Mensuelle!$PE$67:$QE$680,614,0))</f>
        <v>77.268707774000006</v>
      </c>
      <c r="KL112" s="1526">
        <f>VLOOKUP($IW112,Base_Mensuelle!$OF$68:$RM$679,HLOOKUP(KL$73,Base_Mensuelle!$PE$67:$QE$680,614,0))</f>
        <v>0.34343056</v>
      </c>
      <c r="KM112" s="1526">
        <f>VLOOKUP($IW112,Base_Mensuelle!$OF$68:$RM$679,HLOOKUP(KM$73,Base_Mensuelle!$PE$67:$QE$680,614,0))</f>
        <v>0</v>
      </c>
      <c r="KN112" s="1526">
        <f>VLOOKUP($IW112,Base_Mensuelle!$OF$68:$RM$679,HLOOKUP(KN$73,Base_Mensuelle!$PE$67:$QE$680,614,0))</f>
        <v>0.21854762899999999</v>
      </c>
      <c r="KO112" s="1526">
        <f>VLOOKUP($IW112,Base_Mensuelle!$OF$68:$RM$679,HLOOKUP(KO$73,Base_Mensuelle!$PE$67:$QE$680,614,0))</f>
        <v>0</v>
      </c>
      <c r="KP112" s="1526">
        <f>VLOOKUP($IW112,Base_Mensuelle!$OF$68:$RM$679,HLOOKUP(KP$73,Base_Mensuelle!$PE$67:$QE$680,614,0))</f>
        <v>0</v>
      </c>
      <c r="KQ112" s="1526">
        <f>VLOOKUP($IW112,Base_Mensuelle!$OF$68:$RM$679,HLOOKUP(KQ$73,Base_Mensuelle!$PE$67:$QE$680,614,0))</f>
        <v>0.21854762899999999</v>
      </c>
      <c r="KR112" s="1526">
        <f>VLOOKUP($IW112,Base_Mensuelle!$OF$68:$RM$679,HLOOKUP(KR$73,Base_Mensuelle!$PE$67:$QE$680,614,0))</f>
        <v>0</v>
      </c>
      <c r="KS112" s="1526">
        <f>VLOOKUP($IW112,Base_Mensuelle!$OF$68:$RM$679,HLOOKUP(KS$73,Base_Mensuelle!$PE$67:$QE$680,614,0))</f>
        <v>0</v>
      </c>
      <c r="KT112" s="1526">
        <f>VLOOKUP($IW112,Base_Mensuelle!$OF$68:$RM$679,HLOOKUP(KT$73,Base_Mensuelle!$PE$67:$QE$680,614,0))</f>
        <v>0</v>
      </c>
      <c r="KU112" s="1526">
        <f>VLOOKUP($IW112,Base_Mensuelle!$OF$68:$RM$679,HLOOKUP(KU$73,Base_Mensuelle!$PE$67:$QE$680,614,0))</f>
        <v>-1.5773157520000001</v>
      </c>
      <c r="KV112" s="1526">
        <f>VLOOKUP($IW112,Base_Mensuelle!$OF$68:$RM$679,HLOOKUP(KV$73,Base_Mensuelle!$PE$67:$QE$680,614,0))</f>
        <v>2.8553013460000001</v>
      </c>
      <c r="KW112" s="1036"/>
      <c r="KX112" s="29">
        <v>39</v>
      </c>
      <c r="KY112" s="1037"/>
      <c r="KZ112" s="182">
        <f>VLOOKUP($IW112,Base_Mensuelle!$OF$68:$RM$679,HLOOKUP(KZ$73,Base_Mensuelle!$QG$67:$RM$680,614,0))</f>
        <v>138.96207653565671</v>
      </c>
      <c r="LA112" s="182">
        <f>VLOOKUP($IW112,Base_Mensuelle!$OF$68:$RM$679,HLOOKUP(LA$73,Base_Mensuelle!$QG$67:$RM$680,614,0))</f>
        <v>236.74575483005211</v>
      </c>
      <c r="LB112" s="182">
        <f>VLOOKUP($IW112,Base_Mensuelle!$OF$68:$RM$679,HLOOKUP(LB$73,Base_Mensuelle!$QG$67:$RM$680,614,0))</f>
        <v>-97.783678294395386</v>
      </c>
      <c r="LC112" s="182">
        <f>VLOOKUP($IW112,Base_Mensuelle!$OF$68:$RM$679,HLOOKUP(LC$73,Base_Mensuelle!$QG$67:$RM$680,614,0))</f>
        <v>46.009</v>
      </c>
      <c r="LD112" s="182">
        <f>VLOOKUP($IW112,Base_Mensuelle!$OF$68:$RM$679,HLOOKUP(LD$73,Base_Mensuelle!$QG$67:$RM$680,614,0))</f>
        <v>24.14</v>
      </c>
      <c r="LE112" s="182">
        <f>VLOOKUP($IW112,Base_Mensuelle!$OF$68:$RM$679,HLOOKUP(LE$73,Base_Mensuelle!$QG$67:$RM$680,614,0))</f>
        <v>21.869</v>
      </c>
      <c r="LF112" s="182">
        <f>VLOOKUP($IW112,Base_Mensuelle!$OF$68:$RM$679,HLOOKUP(LF$73,Base_Mensuelle!$QG$67:$RM$680,614,0))</f>
        <v>0</v>
      </c>
      <c r="LG112" s="182">
        <f>VLOOKUP($IW112,Base_Mensuelle!$OF$68:$RM$679,HLOOKUP(LG$73,Base_Mensuelle!$QG$67:$RM$680,614,0))</f>
        <v>-73.222000000000008</v>
      </c>
      <c r="LH112" s="182">
        <f>VLOOKUP($IW112,Base_Mensuelle!$OF$68:$RM$679,HLOOKUP(LH$73,Base_Mensuelle!$QG$67:$RM$680,614,0))</f>
        <v>66.215000000000003</v>
      </c>
      <c r="LI112" s="182">
        <f>VLOOKUP($IW112,Base_Mensuelle!$OF$68:$RM$679,HLOOKUP(LI$73,Base_Mensuelle!$QG$67:$RM$680,614,0))</f>
        <v>-139.43700000000001</v>
      </c>
      <c r="LJ112" s="182">
        <f>VLOOKUP($IW112,Base_Mensuelle!$OF$68:$RM$679,HLOOKUP(LJ$73,Base_Mensuelle!$QG$67:$RM$680,614,0))</f>
        <v>766.05124516994783</v>
      </c>
      <c r="LK112" s="182">
        <f>VLOOKUP($IW112,Base_Mensuelle!$OF$68:$RM$679,HLOOKUP(LK$73,Base_Mensuelle!$QG$67:$RM$680,614,0))</f>
        <v>6.3523178093749113</v>
      </c>
      <c r="LL112" s="182">
        <f>VLOOKUP($IW112,Base_Mensuelle!$OF$68:$RM$679,HLOOKUP(LL$73,Base_Mensuelle!$QG$67:$RM$680,614,0))</f>
        <v>0</v>
      </c>
      <c r="LM112" s="182">
        <f>VLOOKUP($IW112,Base_Mensuelle!$OF$68:$RM$679,HLOOKUP(LM$73,Base_Mensuelle!$QG$67:$RM$680,614,0))</f>
        <v>0</v>
      </c>
      <c r="LN112" s="182">
        <f>VLOOKUP($IW112,Base_Mensuelle!$OF$68:$RM$679,HLOOKUP(LN$73,Base_Mensuelle!$QG$67:$RM$680,614,0))</f>
        <v>759.69892736057295</v>
      </c>
      <c r="LO112" s="182">
        <f>VLOOKUP($IW112,Base_Mensuelle!$OF$68:$RM$679,HLOOKUP(LO$73,Base_Mensuelle!$QG$67:$RM$680,614,0))</f>
        <v>0</v>
      </c>
      <c r="LP112" s="182">
        <f>VLOOKUP($IW112,Base_Mensuelle!$OF$68:$RM$679,HLOOKUP(LP$73,Base_Mensuelle!$QG$67:$RM$680,614,0))</f>
        <v>13.577</v>
      </c>
      <c r="LQ112" s="182">
        <f>VLOOKUP($IW112,Base_Mensuelle!$OF$68:$RM$679,HLOOKUP(LQ$73,Base_Mensuelle!$QG$67:$RM$680,614,0))</f>
        <v>287.95629089774621</v>
      </c>
      <c r="LR112" s="182">
        <f>VLOOKUP($IW112,Base_Mensuelle!$OF$68:$RM$679,HLOOKUP(LR$73,Base_Mensuelle!$QG$67:$RM$680,614,0))</f>
        <v>383.51903080785831</v>
      </c>
      <c r="LS112" s="182">
        <f>VLOOKUP($IW112,Base_Mensuelle!$OF$68:$RM$679,HLOOKUP(LS$73,Base_Mensuelle!$QG$67:$RM$680,614,0))</f>
        <v>0</v>
      </c>
      <c r="LT112" s="182">
        <f>VLOOKUP($IW112,Base_Mensuelle!$OF$68:$RM$679,HLOOKUP(LT$73,Base_Mensuelle!$QG$67:$RM$680,614,0))</f>
        <v>21.14</v>
      </c>
      <c r="LU112" s="182">
        <f>VLOOKUP($IW112,Base_Mensuelle!$OF$68:$RM$679,HLOOKUP(LU$73,Base_Mensuelle!$QG$67:$RM$680,614,0))</f>
        <v>4.18</v>
      </c>
      <c r="LV112" s="182">
        <f>VLOOKUP($IW112,Base_Mensuelle!$OF$68:$RM$679,HLOOKUP(LV$73,Base_Mensuelle!$QG$67:$RM$680,614,0))</f>
        <v>13.274000000000001</v>
      </c>
      <c r="LW112" s="182">
        <f>VLOOKUP($IW112,Base_Mensuelle!$OF$68:$RM$679,HLOOKUP(LW$73,Base_Mensuelle!$QG$67:$RM$680,614,0))</f>
        <v>0</v>
      </c>
      <c r="LX112" s="182">
        <f>VLOOKUP($IW112,Base_Mensuelle!$OF$68:$RM$679,HLOOKUP(LX$73,Base_Mensuelle!$QG$67:$RM$680,614,0))</f>
        <v>0</v>
      </c>
      <c r="LY112" s="182">
        <f>VLOOKUP($IW112,Base_Mensuelle!$OF$68:$RM$679,HLOOKUP(LY$73,Base_Mensuelle!$QG$67:$RM$680,614,0))</f>
        <v>121.92099999999994</v>
      </c>
      <c r="LZ112" s="182">
        <f>VLOOKUP($IW112,Base_Mensuelle!$OF$68:$RM$679,HLOOKUP(LZ$73,Base_Mensuelle!$QG$67:$RM$680,614,0))</f>
        <v>32.232999999999976</v>
      </c>
      <c r="MA112" s="182">
        <f>VLOOKUP($IW112,Base_Mensuelle!$OF$68:$RM$679,HLOOKUP(MA$73,Base_Mensuelle!$QG$67:$RM$680,614,0))</f>
        <v>0</v>
      </c>
      <c r="MB112" s="182">
        <f>VLOOKUP($IW112,Base_Mensuelle!$OF$68:$RM$679,HLOOKUP(MB$73,Base_Mensuelle!$QG$67:$RM$680,614,0))</f>
        <v>0</v>
      </c>
      <c r="MC112" s="182">
        <f>VLOOKUP($IW112,Base_Mensuelle!$OF$68:$RM$679,HLOOKUP(MC$73,Base_Mensuelle!$QG$67:$RM$680,614,0))</f>
        <v>0</v>
      </c>
      <c r="MD112" s="182">
        <f>VLOOKUP($IW112,Base_Mensuelle!$OF$68:$RM$679,HLOOKUP(MD$73,Base_Mensuelle!$QG$67:$RM$680,614,0))</f>
        <v>0</v>
      </c>
      <c r="ME112" s="182">
        <f>VLOOKUP($IW112,Base_Mensuelle!$OF$68:$RM$679,HLOOKUP(ME$73,Base_Mensuelle!$QG$67:$RM$680,614,0))</f>
        <v>0</v>
      </c>
      <c r="MF112" s="182"/>
      <c r="MG112" s="182"/>
      <c r="MH112" s="290"/>
      <c r="MI112" s="29">
        <v>39</v>
      </c>
      <c r="MJ112" s="29" t="str">
        <f t="shared" si="82"/>
        <v>Trimestre 32009</v>
      </c>
      <c r="MK112" s="848">
        <v>40057</v>
      </c>
      <c r="ML112" s="29"/>
      <c r="MM112" s="29"/>
      <c r="MN112" s="29"/>
      <c r="MO112" s="29"/>
      <c r="MP112" s="29"/>
      <c r="MQ112" s="29"/>
      <c r="MR112" s="29"/>
      <c r="MS112" s="29"/>
      <c r="MT112" s="29"/>
      <c r="MU112" s="29"/>
      <c r="MV112" s="29"/>
      <c r="MW112" s="29"/>
      <c r="MX112" s="29"/>
      <c r="MY112" s="29"/>
      <c r="MZ112" s="29"/>
      <c r="NA112" s="29"/>
      <c r="NB112" s="29"/>
      <c r="NC112" s="29"/>
      <c r="ND112" s="29"/>
      <c r="NE112" s="29"/>
      <c r="NF112" s="29"/>
      <c r="NG112" s="29"/>
      <c r="NH112" s="29"/>
      <c r="NI112" s="29"/>
      <c r="NJ112" s="29"/>
      <c r="NK112" s="29"/>
      <c r="NL112" s="29">
        <v>39</v>
      </c>
    </row>
    <row r="113" spans="1:376">
      <c r="A113" s="41">
        <f t="shared" si="80"/>
        <v>2009</v>
      </c>
      <c r="B113" s="785">
        <v>40148</v>
      </c>
      <c r="C113" s="19">
        <v>1173.7772998902544</v>
      </c>
      <c r="D113" s="93">
        <v>111.74856755710624</v>
      </c>
      <c r="E113" s="93">
        <v>96.398077826405668</v>
      </c>
      <c r="F113" s="93">
        <v>33.923132596086198</v>
      </c>
      <c r="G113" s="93">
        <v>58.884263591018531</v>
      </c>
      <c r="H113" s="93">
        <v>82.201602494672642</v>
      </c>
      <c r="I113" s="93">
        <v>152.97251782396469</v>
      </c>
      <c r="J113" s="93">
        <v>196.88276711822647</v>
      </c>
      <c r="K113" s="93">
        <v>102.19526295031596</v>
      </c>
      <c r="L113" s="93">
        <v>117.79746846578844</v>
      </c>
      <c r="M113" s="734">
        <v>123.88632033043609</v>
      </c>
      <c r="N113" s="25">
        <v>40</v>
      </c>
      <c r="O113" s="889">
        <f t="shared" si="79"/>
        <v>2009</v>
      </c>
      <c r="P113" s="29" t="str">
        <f t="shared" si="81"/>
        <v>Trimestre 42009</v>
      </c>
      <c r="Q113" s="848">
        <v>40148</v>
      </c>
      <c r="R113" s="733"/>
      <c r="S113" s="570"/>
      <c r="T113" s="570"/>
      <c r="U113" s="734"/>
      <c r="V113" s="25">
        <v>40</v>
      </c>
      <c r="W113" s="19"/>
      <c r="X113" s="93"/>
      <c r="Y113" s="93"/>
      <c r="Z113" s="93"/>
      <c r="AA113" s="93"/>
      <c r="AB113" s="93"/>
      <c r="AC113" s="93"/>
      <c r="AD113" s="93"/>
      <c r="AE113" s="20"/>
      <c r="AF113" s="25">
        <v>40</v>
      </c>
      <c r="AG113" s="19"/>
      <c r="AH113" s="93"/>
      <c r="AI113" s="93"/>
      <c r="AJ113" s="93"/>
      <c r="AK113" s="93"/>
      <c r="AL113" s="93"/>
      <c r="AM113" s="93"/>
      <c r="AN113" s="20"/>
      <c r="AO113" s="19"/>
      <c r="AP113" s="93"/>
      <c r="AQ113" s="93"/>
      <c r="AR113" s="93"/>
      <c r="AS113" s="20"/>
      <c r="AT113" s="19"/>
      <c r="AU113" s="93"/>
      <c r="AV113" s="20"/>
      <c r="AW113" s="19"/>
      <c r="AX113" s="93"/>
      <c r="AY113" s="93"/>
      <c r="AZ113" s="93"/>
      <c r="BA113" s="93"/>
      <c r="BB113" s="93"/>
      <c r="BC113" s="20"/>
      <c r="BD113" s="19"/>
      <c r="BE113" s="93"/>
      <c r="BF113" s="93"/>
      <c r="BG113" s="93"/>
      <c r="BH113" s="93"/>
      <c r="BI113" s="93"/>
      <c r="BJ113" s="93"/>
      <c r="BK113" s="20"/>
      <c r="BL113" s="19"/>
      <c r="BM113" s="93"/>
      <c r="BN113" s="93"/>
      <c r="BO113" s="93"/>
      <c r="BP113" s="93"/>
      <c r="BQ113" s="20"/>
      <c r="BR113" s="19"/>
      <c r="BS113" s="93"/>
      <c r="BT113" s="93"/>
      <c r="BU113" s="20"/>
      <c r="BV113" s="19"/>
      <c r="BW113" s="93"/>
      <c r="BX113" s="93"/>
      <c r="BY113" s="93"/>
      <c r="BZ113" s="93"/>
      <c r="CA113" s="93"/>
      <c r="CB113" s="20"/>
      <c r="CC113" s="25">
        <v>40</v>
      </c>
      <c r="CD113" s="19"/>
      <c r="CE113" s="93"/>
      <c r="CF113" s="20"/>
      <c r="CG113" s="25">
        <v>40</v>
      </c>
      <c r="CH113" s="19"/>
      <c r="CI113" s="93"/>
      <c r="CJ113" s="93"/>
      <c r="CK113" s="93"/>
      <c r="CL113" s="93"/>
      <c r="CM113" s="93"/>
      <c r="CN113" s="93"/>
      <c r="CO113" s="93"/>
      <c r="CP113" s="93"/>
      <c r="CQ113" s="93"/>
      <c r="CR113" s="214"/>
      <c r="CS113" s="20"/>
      <c r="CT113" s="25">
        <v>40</v>
      </c>
      <c r="CU113" s="19"/>
      <c r="CV113" s="93"/>
      <c r="CW113" s="93"/>
      <c r="CX113" s="93"/>
      <c r="CY113" s="93"/>
      <c r="CZ113" s="93"/>
      <c r="DA113" s="93"/>
      <c r="DB113" s="20"/>
      <c r="DC113" s="25">
        <v>40</v>
      </c>
      <c r="DD113" s="785">
        <v>40148</v>
      </c>
      <c r="DE113" s="19"/>
      <c r="DF113" s="20"/>
      <c r="DG113" s="25">
        <v>40</v>
      </c>
      <c r="DH113" s="19"/>
      <c r="DI113" s="20"/>
      <c r="DJ113" s="25">
        <v>40</v>
      </c>
      <c r="DK113" s="19"/>
      <c r="DL113" s="20"/>
      <c r="DM113" s="19"/>
      <c r="DN113" s="20"/>
      <c r="DO113" s="25">
        <v>40</v>
      </c>
      <c r="DP113" s="19"/>
      <c r="DQ113" s="93"/>
      <c r="DR113" s="20"/>
      <c r="DS113" s="25">
        <v>40</v>
      </c>
      <c r="DT113" s="19"/>
      <c r="DU113" s="93"/>
      <c r="DV113" s="20"/>
      <c r="DW113" s="25">
        <v>40</v>
      </c>
      <c r="DX113" s="19"/>
      <c r="DY113" s="20"/>
      <c r="DZ113" s="25">
        <v>40</v>
      </c>
      <c r="EA113" s="19"/>
      <c r="EB113" s="93"/>
      <c r="EC113" s="93"/>
      <c r="ED113" s="93"/>
      <c r="EE113" s="20"/>
      <c r="EF113" s="25">
        <v>40</v>
      </c>
      <c r="EG113" s="19"/>
      <c r="EH113" s="93"/>
      <c r="EI113" s="93"/>
      <c r="EJ113" s="93"/>
      <c r="EK113" s="20"/>
      <c r="EL113" s="25">
        <v>40</v>
      </c>
      <c r="EM113" s="19"/>
      <c r="EN113" s="93"/>
      <c r="EO113" s="93"/>
      <c r="EP113" s="93"/>
      <c r="EQ113" s="93"/>
      <c r="ER113" s="93"/>
      <c r="ES113" s="93"/>
      <c r="ET113" s="93"/>
      <c r="EU113" s="93"/>
      <c r="EV113" s="20"/>
      <c r="EW113" s="25">
        <v>40</v>
      </c>
      <c r="EX113" s="915"/>
      <c r="EY113" s="916"/>
      <c r="EZ113" s="916"/>
      <c r="FA113" s="916"/>
      <c r="FB113" s="916"/>
      <c r="FC113" s="916"/>
      <c r="FD113" s="916"/>
      <c r="FE113" s="916"/>
      <c r="FF113" s="916"/>
      <c r="FG113" s="917"/>
      <c r="FH113" s="25">
        <v>40</v>
      </c>
      <c r="FI113" s="848">
        <v>40148</v>
      </c>
      <c r="FJ113" s="19"/>
      <c r="FK113" s="93"/>
      <c r="FL113" s="20"/>
      <c r="FM113" s="25">
        <v>40</v>
      </c>
      <c r="FN113" s="19"/>
      <c r="FO113" s="93"/>
      <c r="FP113" s="93"/>
      <c r="FQ113" s="93"/>
      <c r="FR113" s="93"/>
      <c r="FS113" s="93"/>
      <c r="FT113" s="93"/>
      <c r="FU113" s="93"/>
      <c r="FV113" s="93"/>
      <c r="FW113" s="917"/>
      <c r="FX113" s="25">
        <v>40</v>
      </c>
      <c r="FY113" s="916"/>
      <c r="FZ113" s="916"/>
      <c r="GA113" s="916"/>
      <c r="GB113" s="916"/>
      <c r="GC113" s="916"/>
      <c r="GD113" s="916"/>
      <c r="GE113" s="916"/>
      <c r="GF113" s="916"/>
      <c r="GG113" s="916"/>
      <c r="GH113" s="916"/>
      <c r="GI113" s="917"/>
      <c r="GJ113" s="25">
        <v>40</v>
      </c>
      <c r="GK113" s="19"/>
      <c r="GL113" s="20"/>
      <c r="GM113" s="25">
        <v>40</v>
      </c>
      <c r="GN113" s="19"/>
      <c r="GO113" s="20"/>
      <c r="GP113" s="25">
        <v>40</v>
      </c>
      <c r="GQ113" s="19"/>
      <c r="GR113" s="20"/>
      <c r="GS113" s="25">
        <v>40</v>
      </c>
      <c r="GT113" s="848">
        <v>40148</v>
      </c>
      <c r="GU113" s="19"/>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v>40</v>
      </c>
      <c r="IW113" s="848">
        <v>40148</v>
      </c>
      <c r="IX113" s="1035"/>
      <c r="IY113" s="1035">
        <v>255.43409999999997</v>
      </c>
      <c r="IZ113" s="1035">
        <v>284.67809999999997</v>
      </c>
      <c r="JA113" s="1035">
        <v>0.44526644300000001</v>
      </c>
      <c r="JB113" s="1035">
        <v>356.04831251343546</v>
      </c>
      <c r="JC113" s="1035">
        <v>64.520399999999995</v>
      </c>
      <c r="JD113" s="1035">
        <v>676.44807895643544</v>
      </c>
      <c r="JE113" s="1035">
        <v>410.28256735853643</v>
      </c>
      <c r="JF113" s="1035">
        <v>1086.7306463149719</v>
      </c>
      <c r="JG113" s="1035"/>
      <c r="JH113" s="1035">
        <v>575.46560521535594</v>
      </c>
      <c r="JI113" s="1035">
        <v>358.37888423999999</v>
      </c>
      <c r="JJ113" s="1035">
        <v>217.08672097535595</v>
      </c>
      <c r="JK113" s="1035">
        <v>654.5405763906158</v>
      </c>
      <c r="JL113" s="1035">
        <v>-80.586776880999992</v>
      </c>
      <c r="JM113" s="1035">
        <v>-40.674776881</v>
      </c>
      <c r="JN113" s="1035">
        <v>-39.911999999999992</v>
      </c>
      <c r="JO113" s="1035">
        <v>735.12735327161579</v>
      </c>
      <c r="JP113" s="1035">
        <v>2.6206943749999998</v>
      </c>
      <c r="JQ113" s="1035">
        <v>732.50665889661582</v>
      </c>
      <c r="JR113" s="1035">
        <v>148.76195463500017</v>
      </c>
      <c r="JS113" s="1035">
        <v>-5.4864193439999909</v>
      </c>
      <c r="JT113" s="1036">
        <v>1086.7306463149716</v>
      </c>
      <c r="JU113" s="29">
        <v>40</v>
      </c>
      <c r="JV113" s="1037"/>
      <c r="JW113" s="1526">
        <f>VLOOKUP($IW113,Base_Mensuelle!$OF$68:$RM$679,HLOOKUP(JW$73,Base_Mensuelle!$PE$67:$QE$680,614,0))</f>
        <v>358.37888423999999</v>
      </c>
      <c r="JX113" s="1526">
        <f>VLOOKUP($IW113,Base_Mensuelle!$OF$68:$RM$679,HLOOKUP(JX$73,Base_Mensuelle!$PE$67:$QE$680,614,0))</f>
        <v>561.24182478299997</v>
      </c>
      <c r="JY113" s="1526">
        <f>VLOOKUP($IW113,Base_Mensuelle!$OF$68:$RM$679,HLOOKUP(JY$73,Base_Mensuelle!$PE$67:$QE$680,614,0))</f>
        <v>202.86294054299998</v>
      </c>
      <c r="JZ113" s="1526">
        <f>VLOOKUP($IW113,Base_Mensuelle!$OF$68:$RM$679,HLOOKUP(JZ$73,Base_Mensuelle!$PE$67:$QE$680,614,0))</f>
        <v>72.507673026999996</v>
      </c>
      <c r="KA113" s="1526">
        <f>VLOOKUP($IW113,Base_Mensuelle!$OF$68:$RM$679,HLOOKUP(KA$73,Base_Mensuelle!$PE$67:$QE$680,614,0))</f>
        <v>-40.674776881</v>
      </c>
      <c r="KB113" s="1526">
        <f>VLOOKUP($IW113,Base_Mensuelle!$OF$68:$RM$679,HLOOKUP(KB$73,Base_Mensuelle!$PE$67:$QE$680,614,0))</f>
        <v>95.792890912999994</v>
      </c>
      <c r="KC113" s="1526">
        <f>VLOOKUP($IW113,Base_Mensuelle!$OF$68:$RM$679,HLOOKUP(KC$73,Base_Mensuelle!$PE$67:$QE$680,614,0))</f>
        <v>136.46766779399999</v>
      </c>
      <c r="KD113" s="1526">
        <f>VLOOKUP($IW113,Base_Mensuelle!$OF$68:$RM$679,HLOOKUP(KD$73,Base_Mensuelle!$PE$67:$QE$680,614,0))</f>
        <v>2.6206943749999998</v>
      </c>
      <c r="KE113" s="1526">
        <f>VLOOKUP($IW113,Base_Mensuelle!$OF$68:$RM$679,HLOOKUP(KE$73,Base_Mensuelle!$PE$67:$QE$680,614,0))</f>
        <v>0</v>
      </c>
      <c r="KF113" s="1526">
        <f>VLOOKUP($IW113,Base_Mensuelle!$OF$68:$RM$679,HLOOKUP(KF$73,Base_Mensuelle!$PE$67:$QE$680,614,0))</f>
        <v>0</v>
      </c>
      <c r="KG113" s="1526">
        <f>VLOOKUP($IW113,Base_Mensuelle!$OF$68:$RM$679,HLOOKUP(KG$73,Base_Mensuelle!$PE$67:$QE$680,614,0))</f>
        <v>9.1518000000000003E-4</v>
      </c>
      <c r="KH113" s="1526">
        <f>VLOOKUP($IW113,Base_Mensuelle!$OF$68:$RM$679,HLOOKUP(KH$73,Base_Mensuelle!$PE$67:$QE$680,614,0))</f>
        <v>2.619779195</v>
      </c>
      <c r="KI113" s="1526">
        <f>VLOOKUP($IW113,Base_Mensuelle!$OF$68:$RM$679,HLOOKUP(KI$73,Base_Mensuelle!$PE$67:$QE$680,614,0))</f>
        <v>393.36740811599992</v>
      </c>
      <c r="KJ113" s="1526">
        <f>VLOOKUP($IW113,Base_Mensuelle!$OF$68:$RM$679,HLOOKUP(KJ$73,Base_Mensuelle!$PE$67:$QE$680,614,0))</f>
        <v>284.67809999999997</v>
      </c>
      <c r="KK113" s="1526">
        <f>VLOOKUP($IW113,Base_Mensuelle!$OF$68:$RM$679,HLOOKUP(KK$73,Base_Mensuelle!$PE$67:$QE$680,614,0))</f>
        <v>108.244041673</v>
      </c>
      <c r="KL113" s="1526">
        <f>VLOOKUP($IW113,Base_Mensuelle!$OF$68:$RM$679,HLOOKUP(KL$73,Base_Mensuelle!$PE$67:$QE$680,614,0))</f>
        <v>0.44526644300000001</v>
      </c>
      <c r="KM113" s="1526">
        <f>VLOOKUP($IW113,Base_Mensuelle!$OF$68:$RM$679,HLOOKUP(KM$73,Base_Mensuelle!$PE$67:$QE$680,614,0))</f>
        <v>0</v>
      </c>
      <c r="KN113" s="1526">
        <f>VLOOKUP($IW113,Base_Mensuelle!$OF$68:$RM$679,HLOOKUP(KN$73,Base_Mensuelle!$PE$67:$QE$680,614,0))</f>
        <v>0.39516346099999999</v>
      </c>
      <c r="KO113" s="1526">
        <f>VLOOKUP($IW113,Base_Mensuelle!$OF$68:$RM$679,HLOOKUP(KO$73,Base_Mensuelle!$PE$67:$QE$680,614,0))</f>
        <v>0</v>
      </c>
      <c r="KP113" s="1526">
        <f>VLOOKUP($IW113,Base_Mensuelle!$OF$68:$RM$679,HLOOKUP(KP$73,Base_Mensuelle!$PE$67:$QE$680,614,0))</f>
        <v>0</v>
      </c>
      <c r="KQ113" s="1526">
        <f>VLOOKUP($IW113,Base_Mensuelle!$OF$68:$RM$679,HLOOKUP(KQ$73,Base_Mensuelle!$PE$67:$QE$680,614,0))</f>
        <v>0.39516346099999999</v>
      </c>
      <c r="KR113" s="1526">
        <f>VLOOKUP($IW113,Base_Mensuelle!$OF$68:$RM$679,HLOOKUP(KR$73,Base_Mensuelle!$PE$67:$QE$680,614,0))</f>
        <v>0</v>
      </c>
      <c r="KS113" s="1526">
        <f>VLOOKUP($IW113,Base_Mensuelle!$OF$68:$RM$679,HLOOKUP(KS$73,Base_Mensuelle!$PE$67:$QE$680,614,0))</f>
        <v>0</v>
      </c>
      <c r="KT113" s="1526">
        <f>VLOOKUP($IW113,Base_Mensuelle!$OF$68:$RM$679,HLOOKUP(KT$73,Base_Mensuelle!$PE$67:$QE$680,614,0))</f>
        <v>0</v>
      </c>
      <c r="KU113" s="1526">
        <f>VLOOKUP($IW113,Base_Mensuelle!$OF$68:$RM$679,HLOOKUP(KU$73,Base_Mensuelle!$PE$67:$QE$680,614,0))</f>
        <v>-2.9892088259999996</v>
      </c>
      <c r="KV113" s="1526">
        <f>VLOOKUP($IW113,Base_Mensuelle!$OF$68:$RM$679,HLOOKUP(KV$73,Base_Mensuelle!$PE$67:$QE$680,614,0))</f>
        <v>2.0591120099999998</v>
      </c>
      <c r="KW113" s="1036"/>
      <c r="KX113" s="29">
        <v>40</v>
      </c>
      <c r="KY113" s="1037"/>
      <c r="KZ113" s="182">
        <f>VLOOKUP($IW113,Base_Mensuelle!$OF$68:$RM$679,HLOOKUP(KZ$73,Base_Mensuelle!$QG$67:$RM$680,614,0))</f>
        <v>217.08672097535595</v>
      </c>
      <c r="LA113" s="182">
        <f>VLOOKUP($IW113,Base_Mensuelle!$OF$68:$RM$679,HLOOKUP(LA$73,Base_Mensuelle!$QG$67:$RM$680,614,0))</f>
        <v>308.7708411033841</v>
      </c>
      <c r="LB113" s="182">
        <f>VLOOKUP($IW113,Base_Mensuelle!$OF$68:$RM$679,HLOOKUP(LB$73,Base_Mensuelle!$QG$67:$RM$680,614,0))</f>
        <v>-91.684120128028141</v>
      </c>
      <c r="LC113" s="182">
        <f>VLOOKUP($IW113,Base_Mensuelle!$OF$68:$RM$679,HLOOKUP(LC$73,Base_Mensuelle!$QG$67:$RM$680,614,0))</f>
        <v>82.492000000000004</v>
      </c>
      <c r="LD113" s="182">
        <f>VLOOKUP($IW113,Base_Mensuelle!$OF$68:$RM$679,HLOOKUP(LD$73,Base_Mensuelle!$QG$67:$RM$680,614,0))</f>
        <v>29.244</v>
      </c>
      <c r="LE113" s="182">
        <f>VLOOKUP($IW113,Base_Mensuelle!$OF$68:$RM$679,HLOOKUP(LE$73,Base_Mensuelle!$QG$67:$RM$680,614,0))</f>
        <v>53.248000000000005</v>
      </c>
      <c r="LF113" s="182">
        <f>VLOOKUP($IW113,Base_Mensuelle!$OF$68:$RM$679,HLOOKUP(LF$73,Base_Mensuelle!$QG$67:$RM$680,614,0))</f>
        <v>0</v>
      </c>
      <c r="LG113" s="182">
        <f>VLOOKUP($IW113,Base_Mensuelle!$OF$68:$RM$679,HLOOKUP(LG$73,Base_Mensuelle!$QG$67:$RM$680,614,0))</f>
        <v>-39.911999999999992</v>
      </c>
      <c r="LH113" s="182">
        <f>VLOOKUP($IW113,Base_Mensuelle!$OF$68:$RM$679,HLOOKUP(LH$73,Base_Mensuelle!$QG$67:$RM$680,614,0))</f>
        <v>72.540000000000006</v>
      </c>
      <c r="LI113" s="182">
        <f>VLOOKUP($IW113,Base_Mensuelle!$OF$68:$RM$679,HLOOKUP(LI$73,Base_Mensuelle!$QG$67:$RM$680,614,0))</f>
        <v>-112.452</v>
      </c>
      <c r="LJ113" s="182">
        <f>VLOOKUP($IW113,Base_Mensuelle!$OF$68:$RM$679,HLOOKUP(LJ$73,Base_Mensuelle!$QG$67:$RM$680,614,0))</f>
        <v>732.50665889661582</v>
      </c>
      <c r="LK113" s="182">
        <f>VLOOKUP($IW113,Base_Mensuelle!$OF$68:$RM$679,HLOOKUP(LK$73,Base_Mensuelle!$QG$67:$RM$680,614,0))</f>
        <v>8.4118019218581317</v>
      </c>
      <c r="LL113" s="182">
        <f>VLOOKUP($IW113,Base_Mensuelle!$OF$68:$RM$679,HLOOKUP(LL$73,Base_Mensuelle!$QG$67:$RM$680,614,0))</f>
        <v>0</v>
      </c>
      <c r="LM113" s="182">
        <f>VLOOKUP($IW113,Base_Mensuelle!$OF$68:$RM$679,HLOOKUP(LM$73,Base_Mensuelle!$QG$67:$RM$680,614,0))</f>
        <v>11.885</v>
      </c>
      <c r="LN113" s="182">
        <f>VLOOKUP($IW113,Base_Mensuelle!$OF$68:$RM$679,HLOOKUP(LN$73,Base_Mensuelle!$QG$67:$RM$680,614,0))</f>
        <v>712.20985697475771</v>
      </c>
      <c r="LO113" s="182">
        <f>VLOOKUP($IW113,Base_Mensuelle!$OF$68:$RM$679,HLOOKUP(LO$73,Base_Mensuelle!$QG$67:$RM$680,614,0))</f>
        <v>0</v>
      </c>
      <c r="LP113" s="182">
        <f>VLOOKUP($IW113,Base_Mensuelle!$OF$68:$RM$679,HLOOKUP(LP$73,Base_Mensuelle!$QG$67:$RM$680,614,0))</f>
        <v>65.727999999999994</v>
      </c>
      <c r="LQ113" s="182">
        <f>VLOOKUP($IW113,Base_Mensuelle!$OF$68:$RM$679,HLOOKUP(LQ$73,Base_Mensuelle!$QG$67:$RM$680,614,0))</f>
        <v>356.04831251343546</v>
      </c>
      <c r="LR113" s="182">
        <f>VLOOKUP($IW113,Base_Mensuelle!$OF$68:$RM$679,HLOOKUP(LR$73,Base_Mensuelle!$QG$67:$RM$680,614,0))</f>
        <v>410.28256735853648</v>
      </c>
      <c r="LS113" s="182">
        <f>VLOOKUP($IW113,Base_Mensuelle!$OF$68:$RM$679,HLOOKUP(LS$73,Base_Mensuelle!$QG$67:$RM$680,614,0))</f>
        <v>0</v>
      </c>
      <c r="LT113" s="182">
        <f>VLOOKUP($IW113,Base_Mensuelle!$OF$68:$RM$679,HLOOKUP(LT$73,Base_Mensuelle!$QG$67:$RM$680,614,0))</f>
        <v>23.06</v>
      </c>
      <c r="LU113" s="182">
        <f>VLOOKUP($IW113,Base_Mensuelle!$OF$68:$RM$679,HLOOKUP(LU$73,Base_Mensuelle!$QG$67:$RM$680,614,0))</f>
        <v>3.9059999999999997</v>
      </c>
      <c r="LV113" s="182">
        <f>VLOOKUP($IW113,Base_Mensuelle!$OF$68:$RM$679,HLOOKUP(LV$73,Base_Mensuelle!$QG$67:$RM$680,614,0))</f>
        <v>9.7350000000000012</v>
      </c>
      <c r="LW113" s="182">
        <f>VLOOKUP($IW113,Base_Mensuelle!$OF$68:$RM$679,HLOOKUP(LW$73,Base_Mensuelle!$QG$67:$RM$680,614,0))</f>
        <v>0</v>
      </c>
      <c r="LX113" s="182">
        <f>VLOOKUP($IW113,Base_Mensuelle!$OF$68:$RM$679,HLOOKUP(LX$73,Base_Mensuelle!$QG$67:$RM$680,614,0))</f>
        <v>0</v>
      </c>
      <c r="LY113" s="182">
        <f>VLOOKUP($IW113,Base_Mensuelle!$OF$68:$RM$679,HLOOKUP(LY$73,Base_Mensuelle!$QG$67:$RM$680,614,0))</f>
        <v>114.65500000000016</v>
      </c>
      <c r="LZ113" s="182">
        <f>VLOOKUP($IW113,Base_Mensuelle!$OF$68:$RM$679,HLOOKUP(LZ$73,Base_Mensuelle!$QG$67:$RM$680,614,0))</f>
        <v>8.7585000000000122</v>
      </c>
      <c r="MA113" s="182">
        <f>VLOOKUP($IW113,Base_Mensuelle!$OF$68:$RM$679,HLOOKUP(MA$73,Base_Mensuelle!$QG$67:$RM$680,614,0))</f>
        <v>0</v>
      </c>
      <c r="MB113" s="182">
        <f>VLOOKUP($IW113,Base_Mensuelle!$OF$68:$RM$679,HLOOKUP(MB$73,Base_Mensuelle!$QG$67:$RM$680,614,0))</f>
        <v>0</v>
      </c>
      <c r="MC113" s="182">
        <f>VLOOKUP($IW113,Base_Mensuelle!$OF$68:$RM$679,HLOOKUP(MC$73,Base_Mensuelle!$QG$67:$RM$680,614,0))</f>
        <v>0</v>
      </c>
      <c r="MD113" s="182">
        <f>VLOOKUP($IW113,Base_Mensuelle!$OF$68:$RM$679,HLOOKUP(MD$73,Base_Mensuelle!$QG$67:$RM$680,614,0))</f>
        <v>0</v>
      </c>
      <c r="ME113" s="182">
        <f>VLOOKUP($IW113,Base_Mensuelle!$OF$68:$RM$679,HLOOKUP(ME$73,Base_Mensuelle!$QG$67:$RM$680,614,0))</f>
        <v>0</v>
      </c>
      <c r="MF113" s="182"/>
      <c r="MG113" s="182"/>
      <c r="MH113" s="290"/>
      <c r="MI113" s="29">
        <v>40</v>
      </c>
      <c r="MJ113" s="29" t="str">
        <f t="shared" si="82"/>
        <v>Trimestre 42009</v>
      </c>
      <c r="MK113" s="848">
        <v>40148</v>
      </c>
      <c r="ML113" s="29"/>
      <c r="MM113" s="29"/>
      <c r="MN113" s="29"/>
      <c r="MO113" s="29"/>
      <c r="MP113" s="29"/>
      <c r="MQ113" s="29"/>
      <c r="MR113" s="29"/>
      <c r="MS113" s="29"/>
      <c r="MT113" s="29"/>
      <c r="MU113" s="29"/>
      <c r="MV113" s="29"/>
      <c r="MW113" s="29"/>
      <c r="MX113" s="29"/>
      <c r="MY113" s="29"/>
      <c r="MZ113" s="29"/>
      <c r="NA113" s="29"/>
      <c r="NB113" s="29"/>
      <c r="NC113" s="29"/>
      <c r="ND113" s="29"/>
      <c r="NE113" s="29"/>
      <c r="NF113" s="29"/>
      <c r="NG113" s="29"/>
      <c r="NH113" s="29"/>
      <c r="NI113" s="29"/>
      <c r="NJ113" s="29"/>
      <c r="NK113" s="29"/>
      <c r="NL113" s="29">
        <v>40</v>
      </c>
    </row>
    <row r="114" spans="1:376">
      <c r="A114" s="41">
        <f t="shared" si="80"/>
        <v>2010</v>
      </c>
      <c r="B114" s="785">
        <v>40238</v>
      </c>
      <c r="C114" s="19">
        <v>1126.1777285084788</v>
      </c>
      <c r="D114" s="93">
        <v>112.00868897749581</v>
      </c>
      <c r="E114" s="93">
        <v>67.844827287982454</v>
      </c>
      <c r="F114" s="93">
        <v>145.24446150129506</v>
      </c>
      <c r="G114" s="93">
        <v>53.188314169017012</v>
      </c>
      <c r="H114" s="93">
        <v>86.389518283547559</v>
      </c>
      <c r="I114" s="93">
        <v>131.4129648619201</v>
      </c>
      <c r="J114" s="93">
        <v>275.9865982944487</v>
      </c>
      <c r="K114" s="93">
        <v>95.046059053856951</v>
      </c>
      <c r="L114" s="93">
        <v>112.64418943401633</v>
      </c>
      <c r="M114" s="734">
        <v>137.81234160416179</v>
      </c>
      <c r="N114" s="25">
        <v>41</v>
      </c>
      <c r="O114" s="889">
        <f t="shared" si="79"/>
        <v>2010</v>
      </c>
      <c r="P114" s="29" t="str">
        <f t="shared" si="81"/>
        <v>Trimestre 12010</v>
      </c>
      <c r="Q114" s="848">
        <v>40238</v>
      </c>
      <c r="R114" s="733"/>
      <c r="S114" s="570">
        <v>244.74780000000001</v>
      </c>
      <c r="T114" s="570"/>
      <c r="U114" s="734"/>
      <c r="V114" s="25">
        <v>41</v>
      </c>
      <c r="W114" s="19"/>
      <c r="X114" s="93"/>
      <c r="Y114" s="93"/>
      <c r="Z114" s="93"/>
      <c r="AA114" s="93"/>
      <c r="AB114" s="93"/>
      <c r="AC114" s="93"/>
      <c r="AD114" s="93"/>
      <c r="AE114" s="20"/>
      <c r="AF114" s="25">
        <v>41</v>
      </c>
      <c r="AG114" s="19"/>
      <c r="AH114" s="93"/>
      <c r="AI114" s="93"/>
      <c r="AJ114" s="93"/>
      <c r="AK114" s="93"/>
      <c r="AL114" s="93"/>
      <c r="AM114" s="93"/>
      <c r="AN114" s="20"/>
      <c r="AO114" s="19"/>
      <c r="AP114" s="93"/>
      <c r="AQ114" s="93"/>
      <c r="AR114" s="93"/>
      <c r="AS114" s="20"/>
      <c r="AT114" s="19"/>
      <c r="AU114" s="93"/>
      <c r="AV114" s="20"/>
      <c r="AW114" s="19"/>
      <c r="AX114" s="93"/>
      <c r="AY114" s="93"/>
      <c r="AZ114" s="93"/>
      <c r="BA114" s="93"/>
      <c r="BB114" s="93"/>
      <c r="BC114" s="20"/>
      <c r="BD114" s="19"/>
      <c r="BE114" s="93"/>
      <c r="BF114" s="93"/>
      <c r="BG114" s="93"/>
      <c r="BH114" s="93"/>
      <c r="BI114" s="93"/>
      <c r="BJ114" s="93"/>
      <c r="BK114" s="20"/>
      <c r="BL114" s="19"/>
      <c r="BM114" s="93"/>
      <c r="BN114" s="93"/>
      <c r="BO114" s="93"/>
      <c r="BP114" s="93"/>
      <c r="BQ114" s="20"/>
      <c r="BR114" s="19"/>
      <c r="BS114" s="93"/>
      <c r="BT114" s="93"/>
      <c r="BU114" s="20"/>
      <c r="BV114" s="19"/>
      <c r="BW114" s="93"/>
      <c r="BX114" s="93"/>
      <c r="BY114" s="93"/>
      <c r="BZ114" s="93"/>
      <c r="CA114" s="93"/>
      <c r="CB114" s="20"/>
      <c r="CC114" s="25">
        <v>41</v>
      </c>
      <c r="CD114" s="19"/>
      <c r="CE114" s="93"/>
      <c r="CF114" s="20"/>
      <c r="CG114" s="25">
        <v>41</v>
      </c>
      <c r="CH114" s="19"/>
      <c r="CI114" s="93"/>
      <c r="CJ114" s="93"/>
      <c r="CK114" s="93"/>
      <c r="CL114" s="93"/>
      <c r="CM114" s="93"/>
      <c r="CN114" s="93"/>
      <c r="CO114" s="93"/>
      <c r="CP114" s="93"/>
      <c r="CQ114" s="93"/>
      <c r="CR114" s="214"/>
      <c r="CS114" s="20"/>
      <c r="CT114" s="25">
        <v>41</v>
      </c>
      <c r="CU114" s="19"/>
      <c r="CV114" s="93"/>
      <c r="CW114" s="93"/>
      <c r="CX114" s="93"/>
      <c r="CY114" s="93"/>
      <c r="CZ114" s="93"/>
      <c r="DA114" s="93"/>
      <c r="DB114" s="20"/>
      <c r="DC114" s="25">
        <v>41</v>
      </c>
      <c r="DD114" s="785">
        <v>40238</v>
      </c>
      <c r="DE114" s="19"/>
      <c r="DF114" s="20"/>
      <c r="DG114" s="25">
        <v>41</v>
      </c>
      <c r="DH114" s="19"/>
      <c r="DI114" s="20"/>
      <c r="DJ114" s="25">
        <v>41</v>
      </c>
      <c r="DK114" s="19"/>
      <c r="DL114" s="20"/>
      <c r="DM114" s="19"/>
      <c r="DN114" s="20"/>
      <c r="DO114" s="25">
        <v>41</v>
      </c>
      <c r="DP114" s="19"/>
      <c r="DQ114" s="93"/>
      <c r="DR114" s="20"/>
      <c r="DS114" s="25">
        <v>41</v>
      </c>
      <c r="DT114" s="19"/>
      <c r="DU114" s="93"/>
      <c r="DV114" s="20"/>
      <c r="DW114" s="25">
        <v>41</v>
      </c>
      <c r="DX114" s="19"/>
      <c r="DY114" s="20"/>
      <c r="DZ114" s="25">
        <v>41</v>
      </c>
      <c r="EA114" s="19"/>
      <c r="EB114" s="93"/>
      <c r="EC114" s="93"/>
      <c r="ED114" s="93"/>
      <c r="EE114" s="20"/>
      <c r="EF114" s="25">
        <v>41</v>
      </c>
      <c r="EG114" s="19"/>
      <c r="EH114" s="93"/>
      <c r="EI114" s="93"/>
      <c r="EJ114" s="93"/>
      <c r="EK114" s="20"/>
      <c r="EL114" s="25">
        <v>41</v>
      </c>
      <c r="EM114" s="19"/>
      <c r="EN114" s="93"/>
      <c r="EO114" s="93"/>
      <c r="EP114" s="93"/>
      <c r="EQ114" s="93"/>
      <c r="ER114" s="93"/>
      <c r="ES114" s="93"/>
      <c r="ET114" s="93"/>
      <c r="EU114" s="93"/>
      <c r="EV114" s="20"/>
      <c r="EW114" s="25">
        <v>41</v>
      </c>
      <c r="EX114" s="915"/>
      <c r="EY114" s="916"/>
      <c r="EZ114" s="916"/>
      <c r="FA114" s="916"/>
      <c r="FB114" s="916"/>
      <c r="FC114" s="916"/>
      <c r="FD114" s="916"/>
      <c r="FE114" s="916"/>
      <c r="FF114" s="916"/>
      <c r="FG114" s="917"/>
      <c r="FH114" s="25">
        <v>41</v>
      </c>
      <c r="FI114" s="848">
        <v>40238</v>
      </c>
      <c r="FJ114" s="19"/>
      <c r="FK114" s="93"/>
      <c r="FL114" s="20"/>
      <c r="FM114" s="25">
        <v>41</v>
      </c>
      <c r="FN114" s="19"/>
      <c r="FO114" s="93"/>
      <c r="FP114" s="93"/>
      <c r="FQ114" s="93"/>
      <c r="FR114" s="93"/>
      <c r="FS114" s="93"/>
      <c r="FT114" s="93"/>
      <c r="FU114" s="93"/>
      <c r="FV114" s="93"/>
      <c r="FW114" s="917"/>
      <c r="FX114" s="25">
        <v>41</v>
      </c>
      <c r="FY114" s="916"/>
      <c r="FZ114" s="916"/>
      <c r="GA114" s="916"/>
      <c r="GB114" s="916"/>
      <c r="GC114" s="916"/>
      <c r="GD114" s="916"/>
      <c r="GE114" s="916"/>
      <c r="GF114" s="916"/>
      <c r="GG114" s="916"/>
      <c r="GH114" s="916"/>
      <c r="GI114" s="917"/>
      <c r="GJ114" s="25">
        <v>41</v>
      </c>
      <c r="GK114" s="19"/>
      <c r="GL114" s="20"/>
      <c r="GM114" s="25">
        <v>41</v>
      </c>
      <c r="GN114" s="19"/>
      <c r="GO114" s="20"/>
      <c r="GP114" s="25">
        <v>41</v>
      </c>
      <c r="GQ114" s="19"/>
      <c r="GR114" s="20"/>
      <c r="GS114" s="25">
        <v>41</v>
      </c>
      <c r="GT114" s="848">
        <v>40238</v>
      </c>
      <c r="GU114" s="19"/>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v>41</v>
      </c>
      <c r="IW114" s="848">
        <v>40238</v>
      </c>
      <c r="IX114" s="1035"/>
      <c r="IY114" s="1035">
        <v>227.83680000000001</v>
      </c>
      <c r="IZ114" s="1035">
        <v>258.83390000000003</v>
      </c>
      <c r="JA114" s="1035">
        <v>0.47125742999999998</v>
      </c>
      <c r="JB114" s="1035">
        <v>409.88147276023648</v>
      </c>
      <c r="JC114" s="1035">
        <v>64.520399999999995</v>
      </c>
      <c r="JD114" s="1035">
        <v>702.70993019023649</v>
      </c>
      <c r="JE114" s="1035">
        <v>448.19520072824798</v>
      </c>
      <c r="JF114" s="1035">
        <v>1150.9051309184845</v>
      </c>
      <c r="JG114" s="1035"/>
      <c r="JH114" s="1035">
        <v>630.36913885029276</v>
      </c>
      <c r="JI114" s="1035">
        <v>392.477439602</v>
      </c>
      <c r="JJ114" s="1035">
        <v>237.89169924829275</v>
      </c>
      <c r="JK114" s="1035">
        <v>687.94287515219162</v>
      </c>
      <c r="JL114" s="1035">
        <v>-100.03664333399999</v>
      </c>
      <c r="JM114" s="1035">
        <v>-65.187643334000001</v>
      </c>
      <c r="JN114" s="1035">
        <v>-34.84899999999999</v>
      </c>
      <c r="JO114" s="1035">
        <v>787.97951848619164</v>
      </c>
      <c r="JP114" s="1035">
        <v>3.6315442460000003</v>
      </c>
      <c r="JQ114" s="1035">
        <v>784.34797424019166</v>
      </c>
      <c r="JR114" s="1035">
        <v>165.56334542499999</v>
      </c>
      <c r="JS114" s="1035">
        <v>1.8435376590000061</v>
      </c>
      <c r="JT114" s="1036">
        <v>1150.9051309184842</v>
      </c>
      <c r="JU114" s="29">
        <v>41</v>
      </c>
      <c r="JV114" s="1037"/>
      <c r="JW114" s="1526">
        <f>VLOOKUP($IW114,Base_Mensuelle!$OF$68:$RM$679,HLOOKUP(JW$73,Base_Mensuelle!$PE$67:$QE$680,614,0))</f>
        <v>392.477439602</v>
      </c>
      <c r="JX114" s="1526">
        <f>VLOOKUP($IW114,Base_Mensuelle!$OF$68:$RM$679,HLOOKUP(JX$73,Base_Mensuelle!$PE$67:$QE$680,614,0))</f>
        <v>601.08877291800002</v>
      </c>
      <c r="JY114" s="1526">
        <f>VLOOKUP($IW114,Base_Mensuelle!$OF$68:$RM$679,HLOOKUP(JY$73,Base_Mensuelle!$PE$67:$QE$680,614,0))</f>
        <v>208.61133331600001</v>
      </c>
      <c r="JZ114" s="1526">
        <f>VLOOKUP($IW114,Base_Mensuelle!$OF$68:$RM$679,HLOOKUP(JZ$73,Base_Mensuelle!$PE$67:$QE$680,614,0))</f>
        <v>56.5</v>
      </c>
      <c r="KA114" s="1526">
        <f>VLOOKUP($IW114,Base_Mensuelle!$OF$68:$RM$679,HLOOKUP(KA$73,Base_Mensuelle!$PE$67:$QE$680,614,0))</f>
        <v>-62.346543334000003</v>
      </c>
      <c r="KB114" s="1526">
        <f>VLOOKUP($IW114,Base_Mensuelle!$OF$68:$RM$679,HLOOKUP(KB$73,Base_Mensuelle!$PE$67:$QE$680,614,0))</f>
        <v>43.337395333000003</v>
      </c>
      <c r="KC114" s="1526">
        <f>VLOOKUP($IW114,Base_Mensuelle!$OF$68:$RM$679,HLOOKUP(KC$73,Base_Mensuelle!$PE$67:$QE$680,614,0))</f>
        <v>105.68393866700001</v>
      </c>
      <c r="KD114" s="1526">
        <f>VLOOKUP($IW114,Base_Mensuelle!$OF$68:$RM$679,HLOOKUP(KD$73,Base_Mensuelle!$PE$67:$QE$680,614,0))</f>
        <v>3.6315442460000003</v>
      </c>
      <c r="KE114" s="1526">
        <f>VLOOKUP($IW114,Base_Mensuelle!$OF$68:$RM$679,HLOOKUP(KE$73,Base_Mensuelle!$PE$67:$QE$680,614,0))</f>
        <v>0.96</v>
      </c>
      <c r="KF114" s="1526">
        <f>VLOOKUP($IW114,Base_Mensuelle!$OF$68:$RM$679,HLOOKUP(KF$73,Base_Mensuelle!$PE$67:$QE$680,614,0))</f>
        <v>0</v>
      </c>
      <c r="KG114" s="1526">
        <f>VLOOKUP($IW114,Base_Mensuelle!$OF$68:$RM$679,HLOOKUP(KG$73,Base_Mensuelle!$PE$67:$QE$680,614,0))</f>
        <v>5.6532999999999996E-4</v>
      </c>
      <c r="KH114" s="1526">
        <f>VLOOKUP($IW114,Base_Mensuelle!$OF$68:$RM$679,HLOOKUP(KH$73,Base_Mensuelle!$PE$67:$QE$680,614,0))</f>
        <v>2.6709789160000001</v>
      </c>
      <c r="KI114" s="1526">
        <f>VLOOKUP($IW114,Base_Mensuelle!$OF$68:$RM$679,HLOOKUP(KI$73,Base_Mensuelle!$PE$67:$QE$680,614,0))</f>
        <v>390.94976018200003</v>
      </c>
      <c r="KJ114" s="1526">
        <f>VLOOKUP($IW114,Base_Mensuelle!$OF$68:$RM$679,HLOOKUP(KJ$73,Base_Mensuelle!$PE$67:$QE$680,614,0))</f>
        <v>258.83390000000003</v>
      </c>
      <c r="KK114" s="1526">
        <f>VLOOKUP($IW114,Base_Mensuelle!$OF$68:$RM$679,HLOOKUP(KK$73,Base_Mensuelle!$PE$67:$QE$680,614,0))</f>
        <v>131.644602752</v>
      </c>
      <c r="KL114" s="1526">
        <f>VLOOKUP($IW114,Base_Mensuelle!$OF$68:$RM$679,HLOOKUP(KL$73,Base_Mensuelle!$PE$67:$QE$680,614,0))</f>
        <v>0.47125742999999998</v>
      </c>
      <c r="KM114" s="1526">
        <f>VLOOKUP($IW114,Base_Mensuelle!$OF$68:$RM$679,HLOOKUP(KM$73,Base_Mensuelle!$PE$67:$QE$680,614,0))</f>
        <v>0</v>
      </c>
      <c r="KN114" s="1526">
        <f>VLOOKUP($IW114,Base_Mensuelle!$OF$68:$RM$679,HLOOKUP(KN$73,Base_Mensuelle!$PE$67:$QE$680,614,0))</f>
        <v>0.65678602600000002</v>
      </c>
      <c r="KO114" s="1526">
        <f>VLOOKUP($IW114,Base_Mensuelle!$OF$68:$RM$679,HLOOKUP(KO$73,Base_Mensuelle!$PE$67:$QE$680,614,0))</f>
        <v>0</v>
      </c>
      <c r="KP114" s="1526">
        <f>VLOOKUP($IW114,Base_Mensuelle!$OF$68:$RM$679,HLOOKUP(KP$73,Base_Mensuelle!$PE$67:$QE$680,614,0))</f>
        <v>0</v>
      </c>
      <c r="KQ114" s="1526">
        <f>VLOOKUP($IW114,Base_Mensuelle!$OF$68:$RM$679,HLOOKUP(KQ$73,Base_Mensuelle!$PE$67:$QE$680,614,0))</f>
        <v>0.65678602600000002</v>
      </c>
      <c r="KR114" s="1526">
        <f>VLOOKUP($IW114,Base_Mensuelle!$OF$68:$RM$679,HLOOKUP(KR$73,Base_Mensuelle!$PE$67:$QE$680,614,0))</f>
        <v>0</v>
      </c>
      <c r="KS114" s="1526">
        <f>VLOOKUP($IW114,Base_Mensuelle!$OF$68:$RM$679,HLOOKUP(KS$73,Base_Mensuelle!$PE$67:$QE$680,614,0))</f>
        <v>0</v>
      </c>
      <c r="KT114" s="1526">
        <f>VLOOKUP($IW114,Base_Mensuelle!$OF$68:$RM$679,HLOOKUP(KT$73,Base_Mensuelle!$PE$67:$QE$680,614,0))</f>
        <v>0</v>
      </c>
      <c r="KU114" s="1526">
        <f>VLOOKUP($IW114,Base_Mensuelle!$OF$68:$RM$679,HLOOKUP(KU$73,Base_Mensuelle!$PE$67:$QE$680,614,0))</f>
        <v>0.52555939900000004</v>
      </c>
      <c r="KV114" s="1526">
        <f>VLOOKUP($IW114,Base_Mensuelle!$OF$68:$RM$679,HLOOKUP(KV$73,Base_Mensuelle!$PE$67:$QE$680,614,0))</f>
        <v>-1.8696650930000005</v>
      </c>
      <c r="KW114" s="1036"/>
      <c r="KX114" s="29">
        <v>41</v>
      </c>
      <c r="KY114" s="1037"/>
      <c r="KZ114" s="182">
        <f>VLOOKUP($IW114,Base_Mensuelle!$OF$68:$RM$679,HLOOKUP(KZ$73,Base_Mensuelle!$QG$67:$RM$680,614,0))</f>
        <v>237.89169924829275</v>
      </c>
      <c r="LA114" s="182">
        <f>VLOOKUP($IW114,Base_Mensuelle!$OF$68:$RM$679,HLOOKUP(LA$73,Base_Mensuelle!$QG$67:$RM$680,614,0))</f>
        <v>336.23502575980825</v>
      </c>
      <c r="LB114" s="182">
        <f>VLOOKUP($IW114,Base_Mensuelle!$OF$68:$RM$679,HLOOKUP(LB$73,Base_Mensuelle!$QG$67:$RM$680,614,0))</f>
        <v>-98.3433265115155</v>
      </c>
      <c r="LC114" s="182">
        <f>VLOOKUP($IW114,Base_Mensuelle!$OF$68:$RM$679,HLOOKUP(LC$73,Base_Mensuelle!$QG$67:$RM$680,614,0))</f>
        <v>154.011</v>
      </c>
      <c r="LD114" s="182">
        <f>VLOOKUP($IW114,Base_Mensuelle!$OF$68:$RM$679,HLOOKUP(LD$73,Base_Mensuelle!$QG$67:$RM$680,614,0))</f>
        <v>28.155999999999999</v>
      </c>
      <c r="LE114" s="182">
        <f>VLOOKUP($IW114,Base_Mensuelle!$OF$68:$RM$679,HLOOKUP(LE$73,Base_Mensuelle!$QG$67:$RM$680,614,0))</f>
        <v>125.855</v>
      </c>
      <c r="LF114" s="182">
        <f>VLOOKUP($IW114,Base_Mensuelle!$OF$68:$RM$679,HLOOKUP(LF$73,Base_Mensuelle!$QG$67:$RM$680,614,0))</f>
        <v>0</v>
      </c>
      <c r="LG114" s="182">
        <f>VLOOKUP($IW114,Base_Mensuelle!$OF$68:$RM$679,HLOOKUP(LG$73,Base_Mensuelle!$QG$67:$RM$680,614,0))</f>
        <v>-34.84899999999999</v>
      </c>
      <c r="LH114" s="182">
        <f>VLOOKUP($IW114,Base_Mensuelle!$OF$68:$RM$679,HLOOKUP(LH$73,Base_Mensuelle!$QG$67:$RM$680,614,0))</f>
        <v>85.994</v>
      </c>
      <c r="LI114" s="182">
        <f>VLOOKUP($IW114,Base_Mensuelle!$OF$68:$RM$679,HLOOKUP(LI$73,Base_Mensuelle!$QG$67:$RM$680,614,0))</f>
        <v>-120.84299999999999</v>
      </c>
      <c r="LJ114" s="182">
        <f>VLOOKUP($IW114,Base_Mensuelle!$OF$68:$RM$679,HLOOKUP(LJ$73,Base_Mensuelle!$QG$67:$RM$680,614,0))</f>
        <v>784.34797424019166</v>
      </c>
      <c r="LK114" s="182">
        <f>VLOOKUP($IW114,Base_Mensuelle!$OF$68:$RM$679,HLOOKUP(LK$73,Base_Mensuelle!$QG$67:$RM$680,614,0))</f>
        <v>11.638202207720223</v>
      </c>
      <c r="LL114" s="182">
        <f>VLOOKUP($IW114,Base_Mensuelle!$OF$68:$RM$679,HLOOKUP(LL$73,Base_Mensuelle!$QG$67:$RM$680,614,0))</f>
        <v>0</v>
      </c>
      <c r="LM114" s="182">
        <f>VLOOKUP($IW114,Base_Mensuelle!$OF$68:$RM$679,HLOOKUP(LM$73,Base_Mensuelle!$QG$67:$RM$680,614,0))</f>
        <v>76.47</v>
      </c>
      <c r="LN114" s="182">
        <f>VLOOKUP($IW114,Base_Mensuelle!$OF$68:$RM$679,HLOOKUP(LN$73,Base_Mensuelle!$QG$67:$RM$680,614,0))</f>
        <v>696.23977203247148</v>
      </c>
      <c r="LO114" s="182">
        <f>VLOOKUP($IW114,Base_Mensuelle!$OF$68:$RM$679,HLOOKUP(LO$73,Base_Mensuelle!$QG$67:$RM$680,614,0))</f>
        <v>0</v>
      </c>
      <c r="LP114" s="182">
        <f>VLOOKUP($IW114,Base_Mensuelle!$OF$68:$RM$679,HLOOKUP(LP$73,Base_Mensuelle!$QG$67:$RM$680,614,0))</f>
        <v>56.896000000000001</v>
      </c>
      <c r="LQ114" s="182">
        <f>VLOOKUP($IW114,Base_Mensuelle!$OF$68:$RM$679,HLOOKUP(LQ$73,Base_Mensuelle!$QG$67:$RM$680,614,0))</f>
        <v>409.88147276023653</v>
      </c>
      <c r="LR114" s="182">
        <f>VLOOKUP($IW114,Base_Mensuelle!$OF$68:$RM$679,HLOOKUP(LR$73,Base_Mensuelle!$QG$67:$RM$680,614,0))</f>
        <v>448.19520072824798</v>
      </c>
      <c r="LS114" s="182">
        <f>VLOOKUP($IW114,Base_Mensuelle!$OF$68:$RM$679,HLOOKUP(LS$73,Base_Mensuelle!$QG$67:$RM$680,614,0))</f>
        <v>0</v>
      </c>
      <c r="LT114" s="182">
        <f>VLOOKUP($IW114,Base_Mensuelle!$OF$68:$RM$679,HLOOKUP(LT$73,Base_Mensuelle!$QG$67:$RM$680,614,0))</f>
        <v>31.106000000000002</v>
      </c>
      <c r="LU114" s="182">
        <f>VLOOKUP($IW114,Base_Mensuelle!$OF$68:$RM$679,HLOOKUP(LU$73,Base_Mensuelle!$QG$67:$RM$680,614,0))</f>
        <v>3.9060000000000001</v>
      </c>
      <c r="LV114" s="182">
        <f>VLOOKUP($IW114,Base_Mensuelle!$OF$68:$RM$679,HLOOKUP(LV$73,Base_Mensuelle!$QG$67:$RM$680,614,0))</f>
        <v>15.785</v>
      </c>
      <c r="LW114" s="182">
        <f>VLOOKUP($IW114,Base_Mensuelle!$OF$68:$RM$679,HLOOKUP(LW$73,Base_Mensuelle!$QG$67:$RM$680,614,0))</f>
        <v>0</v>
      </c>
      <c r="LX114" s="182">
        <f>VLOOKUP($IW114,Base_Mensuelle!$OF$68:$RM$679,HLOOKUP(LX$73,Base_Mensuelle!$QG$67:$RM$680,614,0))</f>
        <v>0</v>
      </c>
      <c r="LY114" s="182">
        <f>VLOOKUP($IW114,Base_Mensuelle!$OF$68:$RM$679,HLOOKUP(LY$73,Base_Mensuelle!$QG$67:$RM$680,614,0))</f>
        <v>113.584</v>
      </c>
      <c r="LZ114" s="182">
        <f>VLOOKUP($IW114,Base_Mensuelle!$OF$68:$RM$679,HLOOKUP(LZ$73,Base_Mensuelle!$QG$67:$RM$680,614,0))</f>
        <v>62.048000000000002</v>
      </c>
      <c r="MA114" s="182">
        <f>VLOOKUP($IW114,Base_Mensuelle!$OF$68:$RM$679,HLOOKUP(MA$73,Base_Mensuelle!$QG$67:$RM$680,614,0))</f>
        <v>0</v>
      </c>
      <c r="MB114" s="182">
        <f>VLOOKUP($IW114,Base_Mensuelle!$OF$68:$RM$679,HLOOKUP(MB$73,Base_Mensuelle!$QG$67:$RM$680,614,0))</f>
        <v>0</v>
      </c>
      <c r="MC114" s="182">
        <f>VLOOKUP($IW114,Base_Mensuelle!$OF$68:$RM$679,HLOOKUP(MC$73,Base_Mensuelle!$QG$67:$RM$680,614,0))</f>
        <v>0</v>
      </c>
      <c r="MD114" s="182">
        <f>VLOOKUP($IW114,Base_Mensuelle!$OF$68:$RM$679,HLOOKUP(MD$73,Base_Mensuelle!$QG$67:$RM$680,614,0))</f>
        <v>0</v>
      </c>
      <c r="ME114" s="182">
        <f>VLOOKUP($IW114,Base_Mensuelle!$OF$68:$RM$679,HLOOKUP(ME$73,Base_Mensuelle!$QG$67:$RM$680,614,0))</f>
        <v>0</v>
      </c>
      <c r="MF114" s="182"/>
      <c r="MG114" s="182"/>
      <c r="MH114" s="290"/>
      <c r="MI114" s="29">
        <v>41</v>
      </c>
      <c r="MJ114" s="29" t="str">
        <f t="shared" si="82"/>
        <v>Trimestre 12010</v>
      </c>
      <c r="MK114" s="848">
        <v>40238</v>
      </c>
      <c r="ML114" s="29"/>
      <c r="MM114" s="29"/>
      <c r="MN114" s="29"/>
      <c r="MO114" s="29"/>
      <c r="MP114" s="29"/>
      <c r="MQ114" s="29"/>
      <c r="MR114" s="29"/>
      <c r="MS114" s="29"/>
      <c r="MT114" s="29"/>
      <c r="MU114" s="29"/>
      <c r="MV114" s="29"/>
      <c r="MW114" s="29"/>
      <c r="MX114" s="29"/>
      <c r="MY114" s="29"/>
      <c r="MZ114" s="29"/>
      <c r="NA114" s="29"/>
      <c r="NB114" s="29"/>
      <c r="NC114" s="29"/>
      <c r="ND114" s="29"/>
      <c r="NE114" s="29"/>
      <c r="NF114" s="29"/>
      <c r="NG114" s="29"/>
      <c r="NH114" s="29"/>
      <c r="NI114" s="29"/>
      <c r="NJ114" s="29"/>
      <c r="NK114" s="29"/>
      <c r="NL114" s="29">
        <v>41</v>
      </c>
    </row>
    <row r="115" spans="1:376">
      <c r="A115" s="41">
        <f t="shared" si="80"/>
        <v>2010</v>
      </c>
      <c r="B115" s="785">
        <v>40330</v>
      </c>
      <c r="C115" s="19">
        <v>1110.8170581170039</v>
      </c>
      <c r="D115" s="93">
        <v>104.8300098793008</v>
      </c>
      <c r="E115" s="93">
        <v>122.00375069368697</v>
      </c>
      <c r="F115" s="93">
        <v>10.916444954487082</v>
      </c>
      <c r="G115" s="93">
        <v>30.617546196128615</v>
      </c>
      <c r="H115" s="93">
        <v>77.015113078456537</v>
      </c>
      <c r="I115" s="93">
        <v>131.82573284696426</v>
      </c>
      <c r="J115" s="93">
        <v>267.8904535053955</v>
      </c>
      <c r="K115" s="93">
        <v>121.97297625311768</v>
      </c>
      <c r="L115" s="93">
        <v>118.19067458061755</v>
      </c>
      <c r="M115" s="734">
        <v>134.56184900389135</v>
      </c>
      <c r="N115" s="25">
        <v>42</v>
      </c>
      <c r="O115" s="889">
        <f t="shared" si="79"/>
        <v>2010</v>
      </c>
      <c r="P115" s="29" t="str">
        <f t="shared" si="81"/>
        <v>Trimestre 22010</v>
      </c>
      <c r="Q115" s="848">
        <v>40330</v>
      </c>
      <c r="R115" s="733"/>
      <c r="S115" s="570">
        <v>2.1579999999999999</v>
      </c>
      <c r="T115" s="570"/>
      <c r="U115" s="734"/>
      <c r="V115" s="25">
        <v>42</v>
      </c>
      <c r="W115" s="19"/>
      <c r="X115" s="93"/>
      <c r="Y115" s="93"/>
      <c r="Z115" s="93"/>
      <c r="AA115" s="93"/>
      <c r="AB115" s="93"/>
      <c r="AC115" s="93"/>
      <c r="AD115" s="93"/>
      <c r="AE115" s="20"/>
      <c r="AF115" s="25">
        <v>42</v>
      </c>
      <c r="AG115" s="19"/>
      <c r="AH115" s="93"/>
      <c r="AI115" s="93"/>
      <c r="AJ115" s="93"/>
      <c r="AK115" s="93"/>
      <c r="AL115" s="93"/>
      <c r="AM115" s="93"/>
      <c r="AN115" s="20"/>
      <c r="AO115" s="19"/>
      <c r="AP115" s="93"/>
      <c r="AQ115" s="93"/>
      <c r="AR115" s="93"/>
      <c r="AS115" s="20"/>
      <c r="AT115" s="19"/>
      <c r="AU115" s="93"/>
      <c r="AV115" s="20"/>
      <c r="AW115" s="19"/>
      <c r="AX115" s="93"/>
      <c r="AY115" s="93"/>
      <c r="AZ115" s="93"/>
      <c r="BA115" s="93"/>
      <c r="BB115" s="93"/>
      <c r="BC115" s="20"/>
      <c r="BD115" s="19"/>
      <c r="BE115" s="93"/>
      <c r="BF115" s="93"/>
      <c r="BG115" s="93"/>
      <c r="BH115" s="93"/>
      <c r="BI115" s="93"/>
      <c r="BJ115" s="93"/>
      <c r="BK115" s="20"/>
      <c r="BL115" s="19"/>
      <c r="BM115" s="93"/>
      <c r="BN115" s="93"/>
      <c r="BO115" s="93"/>
      <c r="BP115" s="93"/>
      <c r="BQ115" s="20"/>
      <c r="BR115" s="19"/>
      <c r="BS115" s="93"/>
      <c r="BT115" s="93"/>
      <c r="BU115" s="20"/>
      <c r="BV115" s="19"/>
      <c r="BW115" s="93"/>
      <c r="BX115" s="93"/>
      <c r="BY115" s="93"/>
      <c r="BZ115" s="93"/>
      <c r="CA115" s="93"/>
      <c r="CB115" s="20"/>
      <c r="CC115" s="25">
        <v>42</v>
      </c>
      <c r="CD115" s="19"/>
      <c r="CE115" s="93"/>
      <c r="CF115" s="20"/>
      <c r="CG115" s="25">
        <v>42</v>
      </c>
      <c r="CH115" s="19"/>
      <c r="CI115" s="93"/>
      <c r="CJ115" s="93"/>
      <c r="CK115" s="93"/>
      <c r="CL115" s="93"/>
      <c r="CM115" s="93"/>
      <c r="CN115" s="93"/>
      <c r="CO115" s="93"/>
      <c r="CP115" s="93"/>
      <c r="CQ115" s="93"/>
      <c r="CR115" s="214"/>
      <c r="CS115" s="20"/>
      <c r="CT115" s="25">
        <v>42</v>
      </c>
      <c r="CU115" s="19"/>
      <c r="CV115" s="93"/>
      <c r="CW115" s="93"/>
      <c r="CX115" s="93"/>
      <c r="CY115" s="93"/>
      <c r="CZ115" s="93"/>
      <c r="DA115" s="93"/>
      <c r="DB115" s="20"/>
      <c r="DC115" s="25">
        <v>42</v>
      </c>
      <c r="DD115" s="785">
        <v>40330</v>
      </c>
      <c r="DE115" s="19"/>
      <c r="DF115" s="20"/>
      <c r="DG115" s="25">
        <v>42</v>
      </c>
      <c r="DH115" s="19"/>
      <c r="DI115" s="20"/>
      <c r="DJ115" s="25">
        <v>42</v>
      </c>
      <c r="DK115" s="19"/>
      <c r="DL115" s="20"/>
      <c r="DM115" s="19"/>
      <c r="DN115" s="20"/>
      <c r="DO115" s="25">
        <v>42</v>
      </c>
      <c r="DP115" s="19"/>
      <c r="DQ115" s="93"/>
      <c r="DR115" s="20"/>
      <c r="DS115" s="25">
        <v>42</v>
      </c>
      <c r="DT115" s="19"/>
      <c r="DU115" s="93"/>
      <c r="DV115" s="20"/>
      <c r="DW115" s="25">
        <v>42</v>
      </c>
      <c r="DX115" s="19"/>
      <c r="DY115" s="20"/>
      <c r="DZ115" s="25">
        <v>42</v>
      </c>
      <c r="EA115" s="19"/>
      <c r="EB115" s="93"/>
      <c r="EC115" s="93"/>
      <c r="ED115" s="93"/>
      <c r="EE115" s="20"/>
      <c r="EF115" s="25">
        <v>42</v>
      </c>
      <c r="EG115" s="19"/>
      <c r="EH115" s="93"/>
      <c r="EI115" s="93"/>
      <c r="EJ115" s="93"/>
      <c r="EK115" s="20"/>
      <c r="EL115" s="25">
        <v>42</v>
      </c>
      <c r="EM115" s="19"/>
      <c r="EN115" s="93"/>
      <c r="EO115" s="93"/>
      <c r="EP115" s="93"/>
      <c r="EQ115" s="93"/>
      <c r="ER115" s="93"/>
      <c r="ES115" s="93"/>
      <c r="ET115" s="93"/>
      <c r="EU115" s="93"/>
      <c r="EV115" s="20"/>
      <c r="EW115" s="25">
        <v>42</v>
      </c>
      <c r="EX115" s="915"/>
      <c r="EY115" s="916"/>
      <c r="EZ115" s="916"/>
      <c r="FA115" s="916"/>
      <c r="FB115" s="916"/>
      <c r="FC115" s="916"/>
      <c r="FD115" s="916"/>
      <c r="FE115" s="916"/>
      <c r="FF115" s="916"/>
      <c r="FG115" s="917"/>
      <c r="FH115" s="25">
        <v>42</v>
      </c>
      <c r="FI115" s="848">
        <v>40330</v>
      </c>
      <c r="FJ115" s="19"/>
      <c r="FK115" s="93"/>
      <c r="FL115" s="20"/>
      <c r="FM115" s="25">
        <v>42</v>
      </c>
      <c r="FN115" s="19"/>
      <c r="FO115" s="93"/>
      <c r="FP115" s="93"/>
      <c r="FQ115" s="93"/>
      <c r="FR115" s="93"/>
      <c r="FS115" s="93"/>
      <c r="FT115" s="93"/>
      <c r="FU115" s="93"/>
      <c r="FV115" s="93"/>
      <c r="FW115" s="917"/>
      <c r="FX115" s="25">
        <v>42</v>
      </c>
      <c r="FY115" s="916"/>
      <c r="FZ115" s="916"/>
      <c r="GA115" s="916"/>
      <c r="GB115" s="916"/>
      <c r="GC115" s="916"/>
      <c r="GD115" s="916"/>
      <c r="GE115" s="916"/>
      <c r="GF115" s="916"/>
      <c r="GG115" s="916"/>
      <c r="GH115" s="916"/>
      <c r="GI115" s="917"/>
      <c r="GJ115" s="25">
        <v>42</v>
      </c>
      <c r="GK115" s="19"/>
      <c r="GL115" s="20"/>
      <c r="GM115" s="25">
        <v>42</v>
      </c>
      <c r="GN115" s="19"/>
      <c r="GO115" s="20"/>
      <c r="GP115" s="25">
        <v>42</v>
      </c>
      <c r="GQ115" s="19"/>
      <c r="GR115" s="20"/>
      <c r="GS115" s="25">
        <v>42</v>
      </c>
      <c r="GT115" s="848">
        <v>40330</v>
      </c>
      <c r="GU115" s="19"/>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v>42</v>
      </c>
      <c r="IW115" s="848">
        <v>40330</v>
      </c>
      <c r="IX115" s="1035"/>
      <c r="IY115" s="1035">
        <v>191.12720000000002</v>
      </c>
      <c r="IZ115" s="1035">
        <v>225.07560000000001</v>
      </c>
      <c r="JA115" s="1035">
        <v>0.36831753500000003</v>
      </c>
      <c r="JB115" s="1035">
        <v>453.10300527325307</v>
      </c>
      <c r="JC115" s="1035">
        <v>66.63069999999999</v>
      </c>
      <c r="JD115" s="1035">
        <v>711.2292228082531</v>
      </c>
      <c r="JE115" s="1035">
        <v>519.17823099070779</v>
      </c>
      <c r="JF115" s="1035">
        <v>1230.4074537989609</v>
      </c>
      <c r="JG115" s="1035"/>
      <c r="JH115" s="1035">
        <v>652.13698632954618</v>
      </c>
      <c r="JI115" s="1035">
        <v>380.06518874800008</v>
      </c>
      <c r="JJ115" s="1035">
        <v>272.07179758154609</v>
      </c>
      <c r="JK115" s="1035">
        <v>736.15423361841488</v>
      </c>
      <c r="JL115" s="1035">
        <v>-30.860740796999984</v>
      </c>
      <c r="JM115" s="1035">
        <v>-24.108740797000003</v>
      </c>
      <c r="JN115" s="1035">
        <v>-6.7519999999999811</v>
      </c>
      <c r="JO115" s="1035">
        <v>767.01497441541483</v>
      </c>
      <c r="JP115" s="1035">
        <v>3.9675357330000001</v>
      </c>
      <c r="JQ115" s="1035">
        <v>763.04743868241474</v>
      </c>
      <c r="JR115" s="1035">
        <v>163.05878187199988</v>
      </c>
      <c r="JS115" s="1035">
        <v>-5.1750157230000511</v>
      </c>
      <c r="JT115" s="1036">
        <v>1230.4074537989613</v>
      </c>
      <c r="JU115" s="29">
        <v>42</v>
      </c>
      <c r="JV115" s="1037"/>
      <c r="JW115" s="1526">
        <f>VLOOKUP($IW115,Base_Mensuelle!$OF$68:$RM$679,HLOOKUP(JW$73,Base_Mensuelle!$PE$67:$QE$680,614,0))</f>
        <v>380.06518874800008</v>
      </c>
      <c r="JX115" s="1526">
        <f>VLOOKUP($IW115,Base_Mensuelle!$OF$68:$RM$679,HLOOKUP(JX$73,Base_Mensuelle!$PE$67:$QE$680,614,0))</f>
        <v>591.67517784100005</v>
      </c>
      <c r="JY115" s="1526">
        <f>VLOOKUP($IW115,Base_Mensuelle!$OF$68:$RM$679,HLOOKUP(JY$73,Base_Mensuelle!$PE$67:$QE$680,614,0))</f>
        <v>211.609989093</v>
      </c>
      <c r="JZ115" s="1526">
        <f>VLOOKUP($IW115,Base_Mensuelle!$OF$68:$RM$679,HLOOKUP(JZ$73,Base_Mensuelle!$PE$67:$QE$680,614,0))</f>
        <v>47.843000000000004</v>
      </c>
      <c r="KA115" s="1526">
        <f>VLOOKUP($IW115,Base_Mensuelle!$OF$68:$RM$679,HLOOKUP(KA$73,Base_Mensuelle!$PE$67:$QE$680,614,0))</f>
        <v>-19.642340797000003</v>
      </c>
      <c r="KB115" s="1526">
        <f>VLOOKUP($IW115,Base_Mensuelle!$OF$68:$RM$679,HLOOKUP(KB$73,Base_Mensuelle!$PE$67:$QE$680,614,0))</f>
        <v>99.837772013999995</v>
      </c>
      <c r="KC115" s="1526">
        <f>VLOOKUP($IW115,Base_Mensuelle!$OF$68:$RM$679,HLOOKUP(KC$73,Base_Mensuelle!$PE$67:$QE$680,614,0))</f>
        <v>119.480112811</v>
      </c>
      <c r="KD115" s="1526">
        <f>VLOOKUP($IW115,Base_Mensuelle!$OF$68:$RM$679,HLOOKUP(KD$73,Base_Mensuelle!$PE$67:$QE$680,614,0))</f>
        <v>3.9675357330000001</v>
      </c>
      <c r="KE115" s="1526">
        <f>VLOOKUP($IW115,Base_Mensuelle!$OF$68:$RM$679,HLOOKUP(KE$73,Base_Mensuelle!$PE$67:$QE$680,614,0))</f>
        <v>1.21</v>
      </c>
      <c r="KF115" s="1526">
        <f>VLOOKUP($IW115,Base_Mensuelle!$OF$68:$RM$679,HLOOKUP(KF$73,Base_Mensuelle!$PE$67:$QE$680,614,0))</f>
        <v>0</v>
      </c>
      <c r="KG115" s="1526">
        <f>VLOOKUP($IW115,Base_Mensuelle!$OF$68:$RM$679,HLOOKUP(KG$73,Base_Mensuelle!$PE$67:$QE$680,614,0))</f>
        <v>5.2826000000000001E-4</v>
      </c>
      <c r="KH115" s="1526">
        <f>VLOOKUP($IW115,Base_Mensuelle!$OF$68:$RM$679,HLOOKUP(KH$73,Base_Mensuelle!$PE$67:$QE$680,614,0))</f>
        <v>2.7570074730000003</v>
      </c>
      <c r="KI115" s="1526">
        <f>VLOOKUP($IW115,Base_Mensuelle!$OF$68:$RM$679,HLOOKUP(KI$73,Base_Mensuelle!$PE$67:$QE$680,614,0))</f>
        <v>411.23137231200002</v>
      </c>
      <c r="KJ115" s="1526">
        <f>VLOOKUP($IW115,Base_Mensuelle!$OF$68:$RM$679,HLOOKUP(KJ$73,Base_Mensuelle!$PE$67:$QE$680,614,0))</f>
        <v>225.07560000000001</v>
      </c>
      <c r="KK115" s="1526">
        <f>VLOOKUP($IW115,Base_Mensuelle!$OF$68:$RM$679,HLOOKUP(KK$73,Base_Mensuelle!$PE$67:$QE$680,614,0))</f>
        <v>185.78745477699999</v>
      </c>
      <c r="KL115" s="1526">
        <f>VLOOKUP($IW115,Base_Mensuelle!$OF$68:$RM$679,HLOOKUP(KL$73,Base_Mensuelle!$PE$67:$QE$680,614,0))</f>
        <v>0.36831753500000003</v>
      </c>
      <c r="KM115" s="1526">
        <f>VLOOKUP($IW115,Base_Mensuelle!$OF$68:$RM$679,HLOOKUP(KM$73,Base_Mensuelle!$PE$67:$QE$680,614,0))</f>
        <v>0</v>
      </c>
      <c r="KN115" s="1526">
        <f>VLOOKUP($IW115,Base_Mensuelle!$OF$68:$RM$679,HLOOKUP(KN$73,Base_Mensuelle!$PE$67:$QE$680,614,0))</f>
        <v>0.47541054999999999</v>
      </c>
      <c r="KO115" s="1526">
        <f>VLOOKUP($IW115,Base_Mensuelle!$OF$68:$RM$679,HLOOKUP(KO$73,Base_Mensuelle!$PE$67:$QE$680,614,0))</f>
        <v>0</v>
      </c>
      <c r="KP115" s="1526">
        <f>VLOOKUP($IW115,Base_Mensuelle!$OF$68:$RM$679,HLOOKUP(KP$73,Base_Mensuelle!$PE$67:$QE$680,614,0))</f>
        <v>0</v>
      </c>
      <c r="KQ115" s="1526">
        <f>VLOOKUP($IW115,Base_Mensuelle!$OF$68:$RM$679,HLOOKUP(KQ$73,Base_Mensuelle!$PE$67:$QE$680,614,0))</f>
        <v>0.47541054999999999</v>
      </c>
      <c r="KR115" s="1526">
        <f>VLOOKUP($IW115,Base_Mensuelle!$OF$68:$RM$679,HLOOKUP(KR$73,Base_Mensuelle!$PE$67:$QE$680,614,0))</f>
        <v>0</v>
      </c>
      <c r="KS115" s="1526">
        <f>VLOOKUP($IW115,Base_Mensuelle!$OF$68:$RM$679,HLOOKUP(KS$73,Base_Mensuelle!$PE$67:$QE$680,614,0))</f>
        <v>0</v>
      </c>
      <c r="KT115" s="1526">
        <f>VLOOKUP($IW115,Base_Mensuelle!$OF$68:$RM$679,HLOOKUP(KT$73,Base_Mensuelle!$PE$67:$QE$680,614,0))</f>
        <v>0</v>
      </c>
      <c r="KU115" s="1526">
        <f>VLOOKUP($IW115,Base_Mensuelle!$OF$68:$RM$679,HLOOKUP(KU$73,Base_Mensuelle!$PE$67:$QE$680,614,0))</f>
        <v>2.1371322000000026E-2</v>
      </c>
      <c r="KV115" s="1526">
        <f>VLOOKUP($IW115,Base_Mensuelle!$OF$68:$RM$679,HLOOKUP(KV$73,Base_Mensuelle!$PE$67:$QE$680,614,0))</f>
        <v>0.50522949999999978</v>
      </c>
      <c r="KW115" s="1036"/>
      <c r="KX115" s="29">
        <v>42</v>
      </c>
      <c r="KY115" s="1037"/>
      <c r="KZ115" s="182">
        <f>VLOOKUP($IW115,Base_Mensuelle!$OF$68:$RM$679,HLOOKUP(KZ$73,Base_Mensuelle!$QG$67:$RM$680,614,0))</f>
        <v>272.07179758154609</v>
      </c>
      <c r="LA115" s="182">
        <f>VLOOKUP($IW115,Base_Mensuelle!$OF$68:$RM$679,HLOOKUP(LA$73,Base_Mensuelle!$QG$67:$RM$680,614,0))</f>
        <v>363.14956131758527</v>
      </c>
      <c r="LB115" s="182">
        <f>VLOOKUP($IW115,Base_Mensuelle!$OF$68:$RM$679,HLOOKUP(LB$73,Base_Mensuelle!$QG$67:$RM$680,614,0))</f>
        <v>-91.077763736039159</v>
      </c>
      <c r="LC115" s="182">
        <f>VLOOKUP($IW115,Base_Mensuelle!$OF$68:$RM$679,HLOOKUP(LC$73,Base_Mensuelle!$QG$67:$RM$680,614,0))</f>
        <v>211.892</v>
      </c>
      <c r="LD115" s="182">
        <f>VLOOKUP($IW115,Base_Mensuelle!$OF$68:$RM$679,HLOOKUP(LD$73,Base_Mensuelle!$QG$67:$RM$680,614,0))</f>
        <v>29.481999999999999</v>
      </c>
      <c r="LE115" s="182">
        <f>VLOOKUP($IW115,Base_Mensuelle!$OF$68:$RM$679,HLOOKUP(LE$73,Base_Mensuelle!$QG$67:$RM$680,614,0))</f>
        <v>182.41</v>
      </c>
      <c r="LF115" s="182">
        <f>VLOOKUP($IW115,Base_Mensuelle!$OF$68:$RM$679,HLOOKUP(LF$73,Base_Mensuelle!$QG$67:$RM$680,614,0))</f>
        <v>0</v>
      </c>
      <c r="LG115" s="182">
        <f>VLOOKUP($IW115,Base_Mensuelle!$OF$68:$RM$679,HLOOKUP(LG$73,Base_Mensuelle!$QG$67:$RM$680,614,0))</f>
        <v>-6.7519999999999811</v>
      </c>
      <c r="LH115" s="182">
        <f>VLOOKUP($IW115,Base_Mensuelle!$OF$68:$RM$679,HLOOKUP(LH$73,Base_Mensuelle!$QG$67:$RM$680,614,0))</f>
        <v>93.326000000000008</v>
      </c>
      <c r="LI115" s="182">
        <f>VLOOKUP($IW115,Base_Mensuelle!$OF$68:$RM$679,HLOOKUP(LI$73,Base_Mensuelle!$QG$67:$RM$680,614,0))</f>
        <v>-100.07799999999999</v>
      </c>
      <c r="LJ115" s="182">
        <f>VLOOKUP($IW115,Base_Mensuelle!$OF$68:$RM$679,HLOOKUP(LJ$73,Base_Mensuelle!$QG$67:$RM$680,614,0))</f>
        <v>763.04743868241474</v>
      </c>
      <c r="LK115" s="182">
        <f>VLOOKUP($IW115,Base_Mensuelle!$OF$68:$RM$679,HLOOKUP(LK$73,Base_Mensuelle!$QG$67:$RM$680,614,0))</f>
        <v>10.856192633310402</v>
      </c>
      <c r="LL115" s="182">
        <f>VLOOKUP($IW115,Base_Mensuelle!$OF$68:$RM$679,HLOOKUP(LL$73,Base_Mensuelle!$QG$67:$RM$680,614,0))</f>
        <v>0</v>
      </c>
      <c r="LM115" s="182">
        <f>VLOOKUP($IW115,Base_Mensuelle!$OF$68:$RM$679,HLOOKUP(LM$73,Base_Mensuelle!$QG$67:$RM$680,614,0))</f>
        <v>61.194000000000003</v>
      </c>
      <c r="LN115" s="182">
        <f>VLOOKUP($IW115,Base_Mensuelle!$OF$68:$RM$679,HLOOKUP(LN$73,Base_Mensuelle!$QG$67:$RM$680,614,0))</f>
        <v>690.99724604910432</v>
      </c>
      <c r="LO115" s="182">
        <f>VLOOKUP($IW115,Base_Mensuelle!$OF$68:$RM$679,HLOOKUP(LO$73,Base_Mensuelle!$QG$67:$RM$680,614,0))</f>
        <v>0</v>
      </c>
      <c r="LP115" s="182">
        <f>VLOOKUP($IW115,Base_Mensuelle!$OF$68:$RM$679,HLOOKUP(LP$73,Base_Mensuelle!$QG$67:$RM$680,614,0))</f>
        <v>42.545999999999999</v>
      </c>
      <c r="LQ115" s="182">
        <f>VLOOKUP($IW115,Base_Mensuelle!$OF$68:$RM$679,HLOOKUP(LQ$73,Base_Mensuelle!$QG$67:$RM$680,614,0))</f>
        <v>453.10300527325302</v>
      </c>
      <c r="LR115" s="182">
        <f>VLOOKUP($IW115,Base_Mensuelle!$OF$68:$RM$679,HLOOKUP(LR$73,Base_Mensuelle!$QG$67:$RM$680,614,0))</f>
        <v>519.17823099070779</v>
      </c>
      <c r="LS115" s="182">
        <f>VLOOKUP($IW115,Base_Mensuelle!$OF$68:$RM$679,HLOOKUP(LS$73,Base_Mensuelle!$QG$67:$RM$680,614,0))</f>
        <v>0</v>
      </c>
      <c r="LT115" s="182">
        <f>VLOOKUP($IW115,Base_Mensuelle!$OF$68:$RM$679,HLOOKUP(LT$73,Base_Mensuelle!$QG$67:$RM$680,614,0))</f>
        <v>31.196000000000002</v>
      </c>
      <c r="LU115" s="182">
        <f>VLOOKUP($IW115,Base_Mensuelle!$OF$68:$RM$679,HLOOKUP(LU$73,Base_Mensuelle!$QG$67:$RM$680,614,0))</f>
        <v>3.306</v>
      </c>
      <c r="LV115" s="182">
        <f>VLOOKUP($IW115,Base_Mensuelle!$OF$68:$RM$679,HLOOKUP(LV$73,Base_Mensuelle!$QG$67:$RM$680,614,0))</f>
        <v>7.7969999999999997</v>
      </c>
      <c r="LW115" s="182">
        <f>VLOOKUP($IW115,Base_Mensuelle!$OF$68:$RM$679,HLOOKUP(LW$73,Base_Mensuelle!$QG$67:$RM$680,614,0))</f>
        <v>0</v>
      </c>
      <c r="LX115" s="182">
        <f>VLOOKUP($IW115,Base_Mensuelle!$OF$68:$RM$679,HLOOKUP(LX$73,Base_Mensuelle!$QG$67:$RM$680,614,0))</f>
        <v>0</v>
      </c>
      <c r="LY115" s="182">
        <f>VLOOKUP($IW115,Base_Mensuelle!$OF$68:$RM$679,HLOOKUP(LY$73,Base_Mensuelle!$QG$67:$RM$680,614,0))</f>
        <v>120.26299999999988</v>
      </c>
      <c r="LZ115" s="182">
        <f>VLOOKUP($IW115,Base_Mensuelle!$OF$68:$RM$679,HLOOKUP(LZ$73,Base_Mensuelle!$QG$67:$RM$680,614,0))</f>
        <v>62.869999999999962</v>
      </c>
      <c r="MA115" s="182">
        <f>VLOOKUP($IW115,Base_Mensuelle!$OF$68:$RM$679,HLOOKUP(MA$73,Base_Mensuelle!$QG$67:$RM$680,614,0))</f>
        <v>0</v>
      </c>
      <c r="MB115" s="182">
        <f>VLOOKUP($IW115,Base_Mensuelle!$OF$68:$RM$679,HLOOKUP(MB$73,Base_Mensuelle!$QG$67:$RM$680,614,0))</f>
        <v>0</v>
      </c>
      <c r="MC115" s="182">
        <f>VLOOKUP($IW115,Base_Mensuelle!$OF$68:$RM$679,HLOOKUP(MC$73,Base_Mensuelle!$QG$67:$RM$680,614,0))</f>
        <v>0</v>
      </c>
      <c r="MD115" s="182">
        <f>VLOOKUP($IW115,Base_Mensuelle!$OF$68:$RM$679,HLOOKUP(MD$73,Base_Mensuelle!$QG$67:$RM$680,614,0))</f>
        <v>0</v>
      </c>
      <c r="ME115" s="182">
        <f>VLOOKUP($IW115,Base_Mensuelle!$OF$68:$RM$679,HLOOKUP(ME$73,Base_Mensuelle!$QG$67:$RM$680,614,0))</f>
        <v>0</v>
      </c>
      <c r="MF115" s="182"/>
      <c r="MG115" s="182"/>
      <c r="MH115" s="290"/>
      <c r="MI115" s="29">
        <v>42</v>
      </c>
      <c r="MJ115" s="29" t="str">
        <f t="shared" si="82"/>
        <v>Trimestre 22010</v>
      </c>
      <c r="MK115" s="848">
        <v>40330</v>
      </c>
      <c r="ML115" s="29"/>
      <c r="MM115" s="29"/>
      <c r="MN115" s="29"/>
      <c r="MO115" s="29"/>
      <c r="MP115" s="29"/>
      <c r="MQ115" s="29"/>
      <c r="MR115" s="29"/>
      <c r="MS115" s="29"/>
      <c r="MT115" s="29"/>
      <c r="MU115" s="29"/>
      <c r="MV115" s="29"/>
      <c r="MW115" s="29"/>
      <c r="MX115" s="29"/>
      <c r="MY115" s="29"/>
      <c r="MZ115" s="29"/>
      <c r="NA115" s="29"/>
      <c r="NB115" s="29"/>
      <c r="NC115" s="29"/>
      <c r="ND115" s="29"/>
      <c r="NE115" s="29"/>
      <c r="NF115" s="29"/>
      <c r="NG115" s="29"/>
      <c r="NH115" s="29"/>
      <c r="NI115" s="29"/>
      <c r="NJ115" s="29"/>
      <c r="NK115" s="29"/>
      <c r="NL115" s="29">
        <v>42</v>
      </c>
    </row>
    <row r="116" spans="1:376">
      <c r="A116" s="41">
        <f t="shared" si="80"/>
        <v>2010</v>
      </c>
      <c r="B116" s="785">
        <v>40422</v>
      </c>
      <c r="C116" s="19">
        <v>1095.0122237624018</v>
      </c>
      <c r="D116" s="93">
        <v>93.638639097401182</v>
      </c>
      <c r="E116" s="93">
        <v>131.59385345503952</v>
      </c>
      <c r="F116" s="93">
        <v>8.5545653586388948</v>
      </c>
      <c r="G116" s="93">
        <v>27.193822965900392</v>
      </c>
      <c r="H116" s="93">
        <v>72.043580473493492</v>
      </c>
      <c r="I116" s="93">
        <v>135.02799046115774</v>
      </c>
      <c r="J116" s="93">
        <v>323.96799393892934</v>
      </c>
      <c r="K116" s="93">
        <v>67.00700452825852</v>
      </c>
      <c r="L116" s="93">
        <v>92.922810022463167</v>
      </c>
      <c r="M116" s="734">
        <v>122.51185138581731</v>
      </c>
      <c r="N116" s="25">
        <v>43</v>
      </c>
      <c r="O116" s="889">
        <f t="shared" si="79"/>
        <v>2010</v>
      </c>
      <c r="P116" s="29" t="str">
        <f t="shared" si="81"/>
        <v>Trimestre 32010</v>
      </c>
      <c r="Q116" s="848">
        <v>40422</v>
      </c>
      <c r="R116" s="733"/>
      <c r="S116" s="570">
        <v>0</v>
      </c>
      <c r="T116" s="570"/>
      <c r="U116" s="734"/>
      <c r="V116" s="25">
        <v>43</v>
      </c>
      <c r="W116" s="19"/>
      <c r="X116" s="93"/>
      <c r="Y116" s="93"/>
      <c r="Z116" s="93"/>
      <c r="AA116" s="93"/>
      <c r="AB116" s="93"/>
      <c r="AC116" s="93"/>
      <c r="AD116" s="93"/>
      <c r="AE116" s="20"/>
      <c r="AF116" s="25">
        <v>43</v>
      </c>
      <c r="AG116" s="19"/>
      <c r="AH116" s="93"/>
      <c r="AI116" s="93"/>
      <c r="AJ116" s="93"/>
      <c r="AK116" s="93"/>
      <c r="AL116" s="93"/>
      <c r="AM116" s="93"/>
      <c r="AN116" s="20"/>
      <c r="AO116" s="19"/>
      <c r="AP116" s="93"/>
      <c r="AQ116" s="93"/>
      <c r="AR116" s="93"/>
      <c r="AS116" s="20"/>
      <c r="AT116" s="19"/>
      <c r="AU116" s="93"/>
      <c r="AV116" s="20"/>
      <c r="AW116" s="19"/>
      <c r="AX116" s="93"/>
      <c r="AY116" s="93"/>
      <c r="AZ116" s="93"/>
      <c r="BA116" s="93"/>
      <c r="BB116" s="93"/>
      <c r="BC116" s="20"/>
      <c r="BD116" s="19"/>
      <c r="BE116" s="93"/>
      <c r="BF116" s="93"/>
      <c r="BG116" s="93"/>
      <c r="BH116" s="93"/>
      <c r="BI116" s="93"/>
      <c r="BJ116" s="93"/>
      <c r="BK116" s="20"/>
      <c r="BL116" s="19"/>
      <c r="BM116" s="93"/>
      <c r="BN116" s="93"/>
      <c r="BO116" s="93"/>
      <c r="BP116" s="93"/>
      <c r="BQ116" s="20"/>
      <c r="BR116" s="19"/>
      <c r="BS116" s="93"/>
      <c r="BT116" s="93"/>
      <c r="BU116" s="20"/>
      <c r="BV116" s="19"/>
      <c r="BW116" s="93"/>
      <c r="BX116" s="93"/>
      <c r="BY116" s="93"/>
      <c r="BZ116" s="93"/>
      <c r="CA116" s="93"/>
      <c r="CB116" s="20"/>
      <c r="CC116" s="25">
        <v>43</v>
      </c>
      <c r="CD116" s="19"/>
      <c r="CE116" s="93"/>
      <c r="CF116" s="20"/>
      <c r="CG116" s="25">
        <v>43</v>
      </c>
      <c r="CH116" s="19"/>
      <c r="CI116" s="93"/>
      <c r="CJ116" s="93"/>
      <c r="CK116" s="93"/>
      <c r="CL116" s="93"/>
      <c r="CM116" s="93"/>
      <c r="CN116" s="93"/>
      <c r="CO116" s="93"/>
      <c r="CP116" s="93"/>
      <c r="CQ116" s="93"/>
      <c r="CR116" s="214"/>
      <c r="CS116" s="20"/>
      <c r="CT116" s="25">
        <v>43</v>
      </c>
      <c r="CU116" s="19"/>
      <c r="CV116" s="93"/>
      <c r="CW116" s="93"/>
      <c r="CX116" s="93"/>
      <c r="CY116" s="93"/>
      <c r="CZ116" s="93"/>
      <c r="DA116" s="93"/>
      <c r="DB116" s="20"/>
      <c r="DC116" s="25">
        <v>43</v>
      </c>
      <c r="DD116" s="785">
        <v>40422</v>
      </c>
      <c r="DE116" s="19"/>
      <c r="DF116" s="20"/>
      <c r="DG116" s="25">
        <v>43</v>
      </c>
      <c r="DH116" s="19"/>
      <c r="DI116" s="20"/>
      <c r="DJ116" s="25">
        <v>43</v>
      </c>
      <c r="DK116" s="19"/>
      <c r="DL116" s="20"/>
      <c r="DM116" s="19"/>
      <c r="DN116" s="20"/>
      <c r="DO116" s="25">
        <v>43</v>
      </c>
      <c r="DP116" s="19"/>
      <c r="DQ116" s="93"/>
      <c r="DR116" s="20"/>
      <c r="DS116" s="25">
        <v>43</v>
      </c>
      <c r="DT116" s="19"/>
      <c r="DU116" s="93"/>
      <c r="DV116" s="20"/>
      <c r="DW116" s="25">
        <v>43</v>
      </c>
      <c r="DX116" s="19"/>
      <c r="DY116" s="20"/>
      <c r="DZ116" s="25">
        <v>43</v>
      </c>
      <c r="EA116" s="19"/>
      <c r="EB116" s="93"/>
      <c r="EC116" s="93"/>
      <c r="ED116" s="93"/>
      <c r="EE116" s="20"/>
      <c r="EF116" s="25">
        <v>43</v>
      </c>
      <c r="EG116" s="19"/>
      <c r="EH116" s="93"/>
      <c r="EI116" s="93"/>
      <c r="EJ116" s="93"/>
      <c r="EK116" s="20"/>
      <c r="EL116" s="25">
        <v>43</v>
      </c>
      <c r="EM116" s="19"/>
      <c r="EN116" s="93"/>
      <c r="EO116" s="93"/>
      <c r="EP116" s="93"/>
      <c r="EQ116" s="93"/>
      <c r="ER116" s="93"/>
      <c r="ES116" s="93"/>
      <c r="ET116" s="93"/>
      <c r="EU116" s="93"/>
      <c r="EV116" s="20"/>
      <c r="EW116" s="25">
        <v>43</v>
      </c>
      <c r="EX116" s="915"/>
      <c r="EY116" s="916"/>
      <c r="EZ116" s="916"/>
      <c r="FA116" s="916"/>
      <c r="FB116" s="916"/>
      <c r="FC116" s="916"/>
      <c r="FD116" s="916"/>
      <c r="FE116" s="916"/>
      <c r="FF116" s="916"/>
      <c r="FG116" s="917"/>
      <c r="FH116" s="25">
        <v>43</v>
      </c>
      <c r="FI116" s="848">
        <v>40422</v>
      </c>
      <c r="FJ116" s="19"/>
      <c r="FK116" s="93"/>
      <c r="FL116" s="20"/>
      <c r="FM116" s="25">
        <v>43</v>
      </c>
      <c r="FN116" s="19"/>
      <c r="FO116" s="93"/>
      <c r="FP116" s="93"/>
      <c r="FQ116" s="93"/>
      <c r="FR116" s="93"/>
      <c r="FS116" s="93"/>
      <c r="FT116" s="93"/>
      <c r="FU116" s="93"/>
      <c r="FV116" s="93"/>
      <c r="FW116" s="917"/>
      <c r="FX116" s="25">
        <v>43</v>
      </c>
      <c r="FY116" s="916"/>
      <c r="FZ116" s="916"/>
      <c r="GA116" s="916"/>
      <c r="GB116" s="916"/>
      <c r="GC116" s="916"/>
      <c r="GD116" s="916"/>
      <c r="GE116" s="916"/>
      <c r="GF116" s="916"/>
      <c r="GG116" s="916"/>
      <c r="GH116" s="916"/>
      <c r="GI116" s="917"/>
      <c r="GJ116" s="25">
        <v>43</v>
      </c>
      <c r="GK116" s="19"/>
      <c r="GL116" s="20"/>
      <c r="GM116" s="25">
        <v>43</v>
      </c>
      <c r="GN116" s="19"/>
      <c r="GO116" s="20"/>
      <c r="GP116" s="25">
        <v>43</v>
      </c>
      <c r="GQ116" s="19"/>
      <c r="GR116" s="20"/>
      <c r="GS116" s="25">
        <v>43</v>
      </c>
      <c r="GT116" s="848">
        <v>40422</v>
      </c>
      <c r="GU116" s="19"/>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v>43</v>
      </c>
      <c r="IW116" s="848">
        <v>40422</v>
      </c>
      <c r="IX116" s="1035"/>
      <c r="IY116" s="1035">
        <v>186.10531</v>
      </c>
      <c r="IZ116" s="1035">
        <v>216.97470000000001</v>
      </c>
      <c r="JA116" s="1035">
        <v>0.46216093499999999</v>
      </c>
      <c r="JB116" s="1035">
        <v>417.01000672979774</v>
      </c>
      <c r="JC116" s="1035">
        <v>70.712000000000003</v>
      </c>
      <c r="JD116" s="1035">
        <v>674.28947766479769</v>
      </c>
      <c r="JE116" s="1035">
        <v>533.09178721428111</v>
      </c>
      <c r="JF116" s="1035">
        <v>1207.3812648790788</v>
      </c>
      <c r="JG116" s="1035"/>
      <c r="JH116" s="1035">
        <v>692.32835012564612</v>
      </c>
      <c r="JI116" s="1035">
        <v>386.53360953800006</v>
      </c>
      <c r="JJ116" s="1035">
        <v>305.79474058764606</v>
      </c>
      <c r="JK116" s="1035">
        <v>693.90566620043285</v>
      </c>
      <c r="JL116" s="1035">
        <v>-130.572329126</v>
      </c>
      <c r="JM116" s="1035">
        <v>-109.01432912599999</v>
      </c>
      <c r="JN116" s="1035">
        <v>-21.557999999999993</v>
      </c>
      <c r="JO116" s="1035">
        <v>824.47799532643285</v>
      </c>
      <c r="JP116" s="1035">
        <v>3.90794197</v>
      </c>
      <c r="JQ116" s="1035">
        <v>820.57005335643271</v>
      </c>
      <c r="JR116" s="1035">
        <v>163.23872146899998</v>
      </c>
      <c r="JS116" s="1035">
        <v>15.614029978000019</v>
      </c>
      <c r="JT116" s="1036">
        <v>1207.381264879079</v>
      </c>
      <c r="JU116" s="29">
        <v>43</v>
      </c>
      <c r="JV116" s="1037"/>
      <c r="JW116" s="1526">
        <f>VLOOKUP($IW116,Base_Mensuelle!$OF$68:$RM$679,HLOOKUP(JW$73,Base_Mensuelle!$PE$67:$QE$680,614,0))</f>
        <v>386.53360953800006</v>
      </c>
      <c r="JX116" s="1526">
        <f>VLOOKUP($IW116,Base_Mensuelle!$OF$68:$RM$679,HLOOKUP(JX$73,Base_Mensuelle!$PE$67:$QE$680,614,0))</f>
        <v>601.89268840600005</v>
      </c>
      <c r="JY116" s="1526">
        <f>VLOOKUP($IW116,Base_Mensuelle!$OF$68:$RM$679,HLOOKUP(JY$73,Base_Mensuelle!$PE$67:$QE$680,614,0))</f>
        <v>215.35907886800001</v>
      </c>
      <c r="JZ116" s="1526">
        <f>VLOOKUP($IW116,Base_Mensuelle!$OF$68:$RM$679,HLOOKUP(JZ$73,Base_Mensuelle!$PE$67:$QE$680,614,0))</f>
        <v>71.3</v>
      </c>
      <c r="KA116" s="1526">
        <f>VLOOKUP($IW116,Base_Mensuelle!$OF$68:$RM$679,HLOOKUP(KA$73,Base_Mensuelle!$PE$67:$QE$680,614,0))</f>
        <v>-106.930939126</v>
      </c>
      <c r="KB116" s="1526">
        <f>VLOOKUP($IW116,Base_Mensuelle!$OF$68:$RM$679,HLOOKUP(KB$73,Base_Mensuelle!$PE$67:$QE$680,614,0))</f>
        <v>98.431930316000006</v>
      </c>
      <c r="KC116" s="1526">
        <f>VLOOKUP($IW116,Base_Mensuelle!$OF$68:$RM$679,HLOOKUP(KC$73,Base_Mensuelle!$PE$67:$QE$680,614,0))</f>
        <v>205.362869442</v>
      </c>
      <c r="KD116" s="1526">
        <f>VLOOKUP($IW116,Base_Mensuelle!$OF$68:$RM$679,HLOOKUP(KD$73,Base_Mensuelle!$PE$67:$QE$680,614,0))</f>
        <v>3.90794197</v>
      </c>
      <c r="KE116" s="1526">
        <f>VLOOKUP($IW116,Base_Mensuelle!$OF$68:$RM$679,HLOOKUP(KE$73,Base_Mensuelle!$PE$67:$QE$680,614,0))</f>
        <v>1.21</v>
      </c>
      <c r="KF116" s="1526">
        <f>VLOOKUP($IW116,Base_Mensuelle!$OF$68:$RM$679,HLOOKUP(KF$73,Base_Mensuelle!$PE$67:$QE$680,614,0))</f>
        <v>0</v>
      </c>
      <c r="KG116" s="1526">
        <f>VLOOKUP($IW116,Base_Mensuelle!$OF$68:$RM$679,HLOOKUP(KG$73,Base_Mensuelle!$PE$67:$QE$680,614,0))</f>
        <v>7.7765699999999996E-4</v>
      </c>
      <c r="KH116" s="1526">
        <f>VLOOKUP($IW116,Base_Mensuelle!$OF$68:$RM$679,HLOOKUP(KH$73,Base_Mensuelle!$PE$67:$QE$680,614,0))</f>
        <v>2.697164313</v>
      </c>
      <c r="KI116" s="1526">
        <f>VLOOKUP($IW116,Base_Mensuelle!$OF$68:$RM$679,HLOOKUP(KI$73,Base_Mensuelle!$PE$67:$QE$680,614,0))</f>
        <v>356.176279464</v>
      </c>
      <c r="KJ116" s="1526">
        <f>VLOOKUP($IW116,Base_Mensuelle!$OF$68:$RM$679,HLOOKUP(KJ$73,Base_Mensuelle!$PE$67:$QE$680,614,0))</f>
        <v>216.97470000000001</v>
      </c>
      <c r="KK116" s="1526">
        <f>VLOOKUP($IW116,Base_Mensuelle!$OF$68:$RM$679,HLOOKUP(KK$73,Base_Mensuelle!$PE$67:$QE$680,614,0))</f>
        <v>138.73941852900001</v>
      </c>
      <c r="KL116" s="1526">
        <f>VLOOKUP($IW116,Base_Mensuelle!$OF$68:$RM$679,HLOOKUP(KL$73,Base_Mensuelle!$PE$67:$QE$680,614,0))</f>
        <v>0.46216093499999999</v>
      </c>
      <c r="KM116" s="1526">
        <f>VLOOKUP($IW116,Base_Mensuelle!$OF$68:$RM$679,HLOOKUP(KM$73,Base_Mensuelle!$PE$67:$QE$680,614,0))</f>
        <v>0</v>
      </c>
      <c r="KN116" s="1526">
        <f>VLOOKUP($IW116,Base_Mensuelle!$OF$68:$RM$679,HLOOKUP(KN$73,Base_Mensuelle!$PE$67:$QE$680,614,0))</f>
        <v>7.3198426999999996E-2</v>
      </c>
      <c r="KO116" s="1526">
        <f>VLOOKUP($IW116,Base_Mensuelle!$OF$68:$RM$679,HLOOKUP(KO$73,Base_Mensuelle!$PE$67:$QE$680,614,0))</f>
        <v>0</v>
      </c>
      <c r="KP116" s="1526">
        <f>VLOOKUP($IW116,Base_Mensuelle!$OF$68:$RM$679,HLOOKUP(KP$73,Base_Mensuelle!$PE$67:$QE$680,614,0))</f>
        <v>0</v>
      </c>
      <c r="KQ116" s="1526">
        <f>VLOOKUP($IW116,Base_Mensuelle!$OF$68:$RM$679,HLOOKUP(KQ$73,Base_Mensuelle!$PE$67:$QE$680,614,0))</f>
        <v>7.3198426999999996E-2</v>
      </c>
      <c r="KR116" s="1526">
        <f>VLOOKUP($IW116,Base_Mensuelle!$OF$68:$RM$679,HLOOKUP(KR$73,Base_Mensuelle!$PE$67:$QE$680,614,0))</f>
        <v>0</v>
      </c>
      <c r="KS116" s="1526">
        <f>VLOOKUP($IW116,Base_Mensuelle!$OF$68:$RM$679,HLOOKUP(KS$73,Base_Mensuelle!$PE$67:$QE$680,614,0))</f>
        <v>0</v>
      </c>
      <c r="KT116" s="1526">
        <f>VLOOKUP($IW116,Base_Mensuelle!$OF$68:$RM$679,HLOOKUP(KT$73,Base_Mensuelle!$PE$67:$QE$680,614,0))</f>
        <v>0</v>
      </c>
      <c r="KU116" s="1526">
        <f>VLOOKUP($IW116,Base_Mensuelle!$OF$68:$RM$679,HLOOKUP(KU$73,Base_Mensuelle!$PE$67:$QE$680,614,0))</f>
        <v>-0.94747695799999998</v>
      </c>
      <c r="KV116" s="1526">
        <f>VLOOKUP($IW116,Base_Mensuelle!$OF$68:$RM$679,HLOOKUP(KV$73,Base_Mensuelle!$PE$67:$QE$680,614,0))</f>
        <v>-0.49138855099999951</v>
      </c>
      <c r="KW116" s="1036"/>
      <c r="KX116" s="29">
        <v>43</v>
      </c>
      <c r="KY116" s="1037"/>
      <c r="KZ116" s="182">
        <f>VLOOKUP($IW116,Base_Mensuelle!$OF$68:$RM$679,HLOOKUP(KZ$73,Base_Mensuelle!$QG$67:$RM$680,614,0))</f>
        <v>305.79474058764606</v>
      </c>
      <c r="LA116" s="182">
        <f>VLOOKUP($IW116,Base_Mensuelle!$OF$68:$RM$679,HLOOKUP(LA$73,Base_Mensuelle!$QG$67:$RM$680,614,0))</f>
        <v>383.30194664356719</v>
      </c>
      <c r="LB116" s="182">
        <f>VLOOKUP($IW116,Base_Mensuelle!$OF$68:$RM$679,HLOOKUP(LB$73,Base_Mensuelle!$QG$67:$RM$680,614,0))</f>
        <v>-77.507206055921159</v>
      </c>
      <c r="LC116" s="182">
        <f>VLOOKUP($IW116,Base_Mensuelle!$OF$68:$RM$679,HLOOKUP(LC$73,Base_Mensuelle!$QG$67:$RM$680,614,0))</f>
        <v>155.072</v>
      </c>
      <c r="LD116" s="182">
        <f>VLOOKUP($IW116,Base_Mensuelle!$OF$68:$RM$679,HLOOKUP(LD$73,Base_Mensuelle!$QG$67:$RM$680,614,0))</f>
        <v>28.786000000000001</v>
      </c>
      <c r="LE116" s="182">
        <f>VLOOKUP($IW116,Base_Mensuelle!$OF$68:$RM$679,HLOOKUP(LE$73,Base_Mensuelle!$QG$67:$RM$680,614,0))</f>
        <v>126.286</v>
      </c>
      <c r="LF116" s="182">
        <f>VLOOKUP($IW116,Base_Mensuelle!$OF$68:$RM$679,HLOOKUP(LF$73,Base_Mensuelle!$QG$67:$RM$680,614,0))</f>
        <v>0</v>
      </c>
      <c r="LG116" s="182">
        <f>VLOOKUP($IW116,Base_Mensuelle!$OF$68:$RM$679,HLOOKUP(LG$73,Base_Mensuelle!$QG$67:$RM$680,614,0))</f>
        <v>-21.557999999999993</v>
      </c>
      <c r="LH116" s="182">
        <f>VLOOKUP($IW116,Base_Mensuelle!$OF$68:$RM$679,HLOOKUP(LH$73,Base_Mensuelle!$QG$67:$RM$680,614,0))</f>
        <v>108.755</v>
      </c>
      <c r="LI116" s="182">
        <f>VLOOKUP($IW116,Base_Mensuelle!$OF$68:$RM$679,HLOOKUP(LI$73,Base_Mensuelle!$QG$67:$RM$680,614,0))</f>
        <v>-130.31299999999999</v>
      </c>
      <c r="LJ116" s="182">
        <f>VLOOKUP($IW116,Base_Mensuelle!$OF$68:$RM$679,HLOOKUP(LJ$73,Base_Mensuelle!$QG$67:$RM$680,614,0))</f>
        <v>820.57005335643271</v>
      </c>
      <c r="LK116" s="182">
        <f>VLOOKUP($IW116,Base_Mensuelle!$OF$68:$RM$679,HLOOKUP(LK$73,Base_Mensuelle!$QG$67:$RM$680,614,0))</f>
        <v>12.542399860329093</v>
      </c>
      <c r="LL116" s="182">
        <f>VLOOKUP($IW116,Base_Mensuelle!$OF$68:$RM$679,HLOOKUP(LL$73,Base_Mensuelle!$QG$67:$RM$680,614,0))</f>
        <v>0</v>
      </c>
      <c r="LM116" s="182">
        <f>VLOOKUP($IW116,Base_Mensuelle!$OF$68:$RM$679,HLOOKUP(LM$73,Base_Mensuelle!$QG$67:$RM$680,614,0))</f>
        <v>60.178000000000004</v>
      </c>
      <c r="LN116" s="182">
        <f>VLOOKUP($IW116,Base_Mensuelle!$OF$68:$RM$679,HLOOKUP(LN$73,Base_Mensuelle!$QG$67:$RM$680,614,0))</f>
        <v>747.84965349610366</v>
      </c>
      <c r="LO116" s="182">
        <f>VLOOKUP($IW116,Base_Mensuelle!$OF$68:$RM$679,HLOOKUP(LO$73,Base_Mensuelle!$QG$67:$RM$680,614,0))</f>
        <v>0</v>
      </c>
      <c r="LP116" s="182">
        <f>VLOOKUP($IW116,Base_Mensuelle!$OF$68:$RM$679,HLOOKUP(LP$73,Base_Mensuelle!$QG$67:$RM$680,614,0))</f>
        <v>65.197000000000003</v>
      </c>
      <c r="LQ116" s="182">
        <f>VLOOKUP($IW116,Base_Mensuelle!$OF$68:$RM$679,HLOOKUP(LQ$73,Base_Mensuelle!$QG$67:$RM$680,614,0))</f>
        <v>417.01000672979774</v>
      </c>
      <c r="LR116" s="182">
        <f>VLOOKUP($IW116,Base_Mensuelle!$OF$68:$RM$679,HLOOKUP(LR$73,Base_Mensuelle!$QG$67:$RM$680,614,0))</f>
        <v>533.09178721428111</v>
      </c>
      <c r="LS116" s="182">
        <f>VLOOKUP($IW116,Base_Mensuelle!$OF$68:$RM$679,HLOOKUP(LS$73,Base_Mensuelle!$QG$67:$RM$680,614,0))</f>
        <v>0</v>
      </c>
      <c r="LT116" s="182">
        <f>VLOOKUP($IW116,Base_Mensuelle!$OF$68:$RM$679,HLOOKUP(LT$73,Base_Mensuelle!$QG$67:$RM$680,614,0))</f>
        <v>27.760999999999999</v>
      </c>
      <c r="LU116" s="182">
        <f>VLOOKUP($IW116,Base_Mensuelle!$OF$68:$RM$679,HLOOKUP(LU$73,Base_Mensuelle!$QG$67:$RM$680,614,0))</f>
        <v>3.2040000000000002</v>
      </c>
      <c r="LV116" s="182">
        <f>VLOOKUP($IW116,Base_Mensuelle!$OF$68:$RM$679,HLOOKUP(LV$73,Base_Mensuelle!$QG$67:$RM$680,614,0))</f>
        <v>6.2149999999999999</v>
      </c>
      <c r="LW116" s="182">
        <f>VLOOKUP($IW116,Base_Mensuelle!$OF$68:$RM$679,HLOOKUP(LW$73,Base_Mensuelle!$QG$67:$RM$680,614,0))</f>
        <v>0</v>
      </c>
      <c r="LX116" s="182">
        <f>VLOOKUP($IW116,Base_Mensuelle!$OF$68:$RM$679,HLOOKUP(LX$73,Base_Mensuelle!$QG$67:$RM$680,614,0))</f>
        <v>0</v>
      </c>
      <c r="LY116" s="182">
        <f>VLOOKUP($IW116,Base_Mensuelle!$OF$68:$RM$679,HLOOKUP(LY$73,Base_Mensuelle!$QG$67:$RM$680,614,0))</f>
        <v>126.93299999999999</v>
      </c>
      <c r="LZ116" s="182">
        <f>VLOOKUP($IW116,Base_Mensuelle!$OF$68:$RM$679,HLOOKUP(LZ$73,Base_Mensuelle!$QG$67:$RM$680,614,0))</f>
        <v>80.467000000000013</v>
      </c>
      <c r="MA116" s="182">
        <f>VLOOKUP($IW116,Base_Mensuelle!$OF$68:$RM$679,HLOOKUP(MA$73,Base_Mensuelle!$QG$67:$RM$680,614,0))</f>
        <v>0</v>
      </c>
      <c r="MB116" s="182">
        <f>VLOOKUP($IW116,Base_Mensuelle!$OF$68:$RM$679,HLOOKUP(MB$73,Base_Mensuelle!$QG$67:$RM$680,614,0))</f>
        <v>0</v>
      </c>
      <c r="MC116" s="182">
        <f>VLOOKUP($IW116,Base_Mensuelle!$OF$68:$RM$679,HLOOKUP(MC$73,Base_Mensuelle!$QG$67:$RM$680,614,0))</f>
        <v>0</v>
      </c>
      <c r="MD116" s="182">
        <f>VLOOKUP($IW116,Base_Mensuelle!$OF$68:$RM$679,HLOOKUP(MD$73,Base_Mensuelle!$QG$67:$RM$680,614,0))</f>
        <v>0</v>
      </c>
      <c r="ME116" s="182">
        <f>VLOOKUP($IW116,Base_Mensuelle!$OF$68:$RM$679,HLOOKUP(ME$73,Base_Mensuelle!$QG$67:$RM$680,614,0))</f>
        <v>0</v>
      </c>
      <c r="MF116" s="182"/>
      <c r="MG116" s="182"/>
      <c r="MH116" s="290"/>
      <c r="MI116" s="29">
        <v>43</v>
      </c>
      <c r="MJ116" s="29" t="str">
        <f t="shared" si="82"/>
        <v>Trimestre 32010</v>
      </c>
      <c r="MK116" s="848">
        <v>40422</v>
      </c>
      <c r="ML116" s="29"/>
      <c r="MM116" s="29"/>
      <c r="MN116" s="29"/>
      <c r="MO116" s="29"/>
      <c r="MP116" s="29"/>
      <c r="MQ116" s="29"/>
      <c r="MR116" s="29"/>
      <c r="MS116" s="29"/>
      <c r="MT116" s="29"/>
      <c r="MU116" s="29"/>
      <c r="MV116" s="29"/>
      <c r="MW116" s="29"/>
      <c r="MX116" s="29"/>
      <c r="MY116" s="29"/>
      <c r="MZ116" s="29"/>
      <c r="NA116" s="29"/>
      <c r="NB116" s="29"/>
      <c r="NC116" s="29"/>
      <c r="ND116" s="29"/>
      <c r="NE116" s="29"/>
      <c r="NF116" s="29"/>
      <c r="NG116" s="29"/>
      <c r="NH116" s="29"/>
      <c r="NI116" s="29"/>
      <c r="NJ116" s="29"/>
      <c r="NK116" s="29"/>
      <c r="NL116" s="29">
        <v>43</v>
      </c>
    </row>
    <row r="117" spans="1:376">
      <c r="A117" s="41">
        <f t="shared" si="80"/>
        <v>2010</v>
      </c>
      <c r="B117" s="785">
        <v>40513</v>
      </c>
      <c r="C117" s="19">
        <v>1394.3047075828042</v>
      </c>
      <c r="D117" s="93">
        <v>134.7492433224011</v>
      </c>
      <c r="E117" s="93">
        <v>115.39410988001607</v>
      </c>
      <c r="F117" s="93">
        <v>36.770408595079978</v>
      </c>
      <c r="G117" s="93">
        <v>21.558597709283347</v>
      </c>
      <c r="H117" s="93">
        <v>51.505363847904107</v>
      </c>
      <c r="I117" s="93">
        <v>153.58631796728409</v>
      </c>
      <c r="J117" s="93">
        <v>354.72273708735588</v>
      </c>
      <c r="K117" s="93">
        <v>55.688503115573432</v>
      </c>
      <c r="L117" s="93">
        <v>114.97120445917567</v>
      </c>
      <c r="M117" s="734">
        <v>141.47713797091268</v>
      </c>
      <c r="N117" s="25">
        <v>44</v>
      </c>
      <c r="O117" s="889">
        <f t="shared" si="79"/>
        <v>2010</v>
      </c>
      <c r="P117" s="29" t="str">
        <f t="shared" si="81"/>
        <v>Trimestre 42010</v>
      </c>
      <c r="Q117" s="848">
        <v>40513</v>
      </c>
      <c r="R117" s="733"/>
      <c r="S117" s="570">
        <v>39.981000000000002</v>
      </c>
      <c r="T117" s="570"/>
      <c r="U117" s="734"/>
      <c r="V117" s="25">
        <v>44</v>
      </c>
      <c r="W117" s="19"/>
      <c r="X117" s="93"/>
      <c r="Y117" s="93"/>
      <c r="Z117" s="93"/>
      <c r="AA117" s="93"/>
      <c r="AB117" s="93"/>
      <c r="AC117" s="93"/>
      <c r="AD117" s="93"/>
      <c r="AE117" s="20"/>
      <c r="AF117" s="25">
        <v>44</v>
      </c>
      <c r="AG117" s="19"/>
      <c r="AH117" s="93"/>
      <c r="AI117" s="93"/>
      <c r="AJ117" s="93"/>
      <c r="AK117" s="93"/>
      <c r="AL117" s="93"/>
      <c r="AM117" s="93"/>
      <c r="AN117" s="20"/>
      <c r="AO117" s="19"/>
      <c r="AP117" s="93"/>
      <c r="AQ117" s="93"/>
      <c r="AR117" s="93"/>
      <c r="AS117" s="20"/>
      <c r="AT117" s="19"/>
      <c r="AU117" s="93"/>
      <c r="AV117" s="20"/>
      <c r="AW117" s="19"/>
      <c r="AX117" s="93"/>
      <c r="AY117" s="93"/>
      <c r="AZ117" s="93"/>
      <c r="BA117" s="93"/>
      <c r="BB117" s="93"/>
      <c r="BC117" s="20"/>
      <c r="BD117" s="19"/>
      <c r="BE117" s="93"/>
      <c r="BF117" s="93"/>
      <c r="BG117" s="93"/>
      <c r="BH117" s="93"/>
      <c r="BI117" s="93"/>
      <c r="BJ117" s="93"/>
      <c r="BK117" s="20"/>
      <c r="BL117" s="19"/>
      <c r="BM117" s="93"/>
      <c r="BN117" s="93"/>
      <c r="BO117" s="93"/>
      <c r="BP117" s="93"/>
      <c r="BQ117" s="20"/>
      <c r="BR117" s="19"/>
      <c r="BS117" s="93"/>
      <c r="BT117" s="93"/>
      <c r="BU117" s="20"/>
      <c r="BV117" s="19"/>
      <c r="BW117" s="93"/>
      <c r="BX117" s="93"/>
      <c r="BY117" s="93"/>
      <c r="BZ117" s="93"/>
      <c r="CA117" s="93"/>
      <c r="CB117" s="20"/>
      <c r="CC117" s="25">
        <v>44</v>
      </c>
      <c r="CD117" s="19"/>
      <c r="CE117" s="93"/>
      <c r="CF117" s="20"/>
      <c r="CG117" s="25">
        <v>44</v>
      </c>
      <c r="CH117" s="19"/>
      <c r="CI117" s="93"/>
      <c r="CJ117" s="93"/>
      <c r="CK117" s="93"/>
      <c r="CL117" s="93"/>
      <c r="CM117" s="93"/>
      <c r="CN117" s="93"/>
      <c r="CO117" s="93"/>
      <c r="CP117" s="93"/>
      <c r="CQ117" s="93"/>
      <c r="CR117" s="214"/>
      <c r="CS117" s="20"/>
      <c r="CT117" s="25">
        <v>44</v>
      </c>
      <c r="CU117" s="19"/>
      <c r="CV117" s="93"/>
      <c r="CW117" s="93"/>
      <c r="CX117" s="93"/>
      <c r="CY117" s="93"/>
      <c r="CZ117" s="93"/>
      <c r="DA117" s="93"/>
      <c r="DB117" s="20"/>
      <c r="DC117" s="25">
        <v>44</v>
      </c>
      <c r="DD117" s="785">
        <v>40513</v>
      </c>
      <c r="DE117" s="19"/>
      <c r="DF117" s="20"/>
      <c r="DG117" s="25">
        <v>44</v>
      </c>
      <c r="DH117" s="19"/>
      <c r="DI117" s="20"/>
      <c r="DJ117" s="25">
        <v>44</v>
      </c>
      <c r="DK117" s="19"/>
      <c r="DL117" s="20"/>
      <c r="DM117" s="19"/>
      <c r="DN117" s="20"/>
      <c r="DO117" s="25">
        <v>44</v>
      </c>
      <c r="DP117" s="19"/>
      <c r="DQ117" s="93"/>
      <c r="DR117" s="20"/>
      <c r="DS117" s="25">
        <v>44</v>
      </c>
      <c r="DT117" s="19"/>
      <c r="DU117" s="93"/>
      <c r="DV117" s="20"/>
      <c r="DW117" s="25">
        <v>44</v>
      </c>
      <c r="DX117" s="19"/>
      <c r="DY117" s="20"/>
      <c r="DZ117" s="25">
        <v>44</v>
      </c>
      <c r="EA117" s="19"/>
      <c r="EB117" s="93"/>
      <c r="EC117" s="93"/>
      <c r="ED117" s="93"/>
      <c r="EE117" s="20"/>
      <c r="EF117" s="25">
        <v>44</v>
      </c>
      <c r="EG117" s="19"/>
      <c r="EH117" s="93"/>
      <c r="EI117" s="93"/>
      <c r="EJ117" s="93"/>
      <c r="EK117" s="20"/>
      <c r="EL117" s="25">
        <v>44</v>
      </c>
      <c r="EM117" s="19"/>
      <c r="EN117" s="93"/>
      <c r="EO117" s="93"/>
      <c r="EP117" s="93"/>
      <c r="EQ117" s="93"/>
      <c r="ER117" s="93"/>
      <c r="ES117" s="93"/>
      <c r="ET117" s="93"/>
      <c r="EU117" s="93"/>
      <c r="EV117" s="20"/>
      <c r="EW117" s="25">
        <v>44</v>
      </c>
      <c r="EX117" s="915"/>
      <c r="EY117" s="916"/>
      <c r="EZ117" s="916"/>
      <c r="FA117" s="916"/>
      <c r="FB117" s="916"/>
      <c r="FC117" s="916"/>
      <c r="FD117" s="916"/>
      <c r="FE117" s="916"/>
      <c r="FF117" s="916"/>
      <c r="FG117" s="917"/>
      <c r="FH117" s="25">
        <v>44</v>
      </c>
      <c r="FI117" s="848">
        <v>40513</v>
      </c>
      <c r="FJ117" s="19"/>
      <c r="FK117" s="93"/>
      <c r="FL117" s="20"/>
      <c r="FM117" s="25">
        <v>44</v>
      </c>
      <c r="FN117" s="19"/>
      <c r="FO117" s="93"/>
      <c r="FP117" s="93"/>
      <c r="FQ117" s="93"/>
      <c r="FR117" s="93"/>
      <c r="FS117" s="93"/>
      <c r="FT117" s="93"/>
      <c r="FU117" s="93"/>
      <c r="FV117" s="93"/>
      <c r="FW117" s="917"/>
      <c r="FX117" s="25">
        <v>44</v>
      </c>
      <c r="FY117" s="916"/>
      <c r="FZ117" s="916"/>
      <c r="GA117" s="916"/>
      <c r="GB117" s="916"/>
      <c r="GC117" s="916"/>
      <c r="GD117" s="916"/>
      <c r="GE117" s="916"/>
      <c r="GF117" s="916"/>
      <c r="GG117" s="916"/>
      <c r="GH117" s="916"/>
      <c r="GI117" s="917"/>
      <c r="GJ117" s="25">
        <v>44</v>
      </c>
      <c r="GK117" s="19"/>
      <c r="GL117" s="20"/>
      <c r="GM117" s="25">
        <v>44</v>
      </c>
      <c r="GN117" s="19"/>
      <c r="GO117" s="20"/>
      <c r="GP117" s="25">
        <v>44</v>
      </c>
      <c r="GQ117" s="19"/>
      <c r="GR117" s="20"/>
      <c r="GS117" s="25">
        <v>44</v>
      </c>
      <c r="GT117" s="848">
        <v>40513</v>
      </c>
      <c r="GU117" s="19"/>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v>44</v>
      </c>
      <c r="IW117" s="848">
        <v>40513</v>
      </c>
      <c r="IX117" s="1035"/>
      <c r="IY117" s="1035">
        <v>215.07769999999999</v>
      </c>
      <c r="IZ117" s="1035">
        <v>250.37360000000001</v>
      </c>
      <c r="JA117" s="1035">
        <v>0.43558226999999999</v>
      </c>
      <c r="JB117" s="1035">
        <v>438.72121438442605</v>
      </c>
      <c r="JC117" s="1035">
        <v>72.927999999999997</v>
      </c>
      <c r="JD117" s="1035">
        <v>727.16249665442615</v>
      </c>
      <c r="JE117" s="1035">
        <v>554.70857607797439</v>
      </c>
      <c r="JF117" s="1035">
        <v>1281.8710727324005</v>
      </c>
      <c r="JG117" s="1035"/>
      <c r="JH117" s="1035">
        <v>676.30092064267785</v>
      </c>
      <c r="JI117" s="1035">
        <v>299.32895009100002</v>
      </c>
      <c r="JJ117" s="1035">
        <v>376.97197055167783</v>
      </c>
      <c r="JK117" s="1035">
        <v>814.14593202572269</v>
      </c>
      <c r="JL117" s="1035">
        <v>-52.252535863000006</v>
      </c>
      <c r="JM117" s="1035">
        <v>-49.493535862999991</v>
      </c>
      <c r="JN117" s="1035">
        <v>-2.7590000000000146</v>
      </c>
      <c r="JO117" s="1035">
        <v>866.39846788872273</v>
      </c>
      <c r="JP117" s="1035">
        <v>3.7306479780000004</v>
      </c>
      <c r="JQ117" s="1035">
        <v>862.66781991072264</v>
      </c>
      <c r="JR117" s="1035">
        <v>179.335338283</v>
      </c>
      <c r="JS117" s="1035">
        <v>29.240441653000019</v>
      </c>
      <c r="JT117" s="1036">
        <v>1281.8710727324003</v>
      </c>
      <c r="JU117" s="29">
        <v>44</v>
      </c>
      <c r="JV117" s="1037"/>
      <c r="JW117" s="1526">
        <f>VLOOKUP($IW117,Base_Mensuelle!$OF$68:$RM$679,HLOOKUP(JW$73,Base_Mensuelle!$PE$67:$QE$680,614,0))</f>
        <v>299.32895009100002</v>
      </c>
      <c r="JX117" s="1526">
        <f>VLOOKUP($IW117,Base_Mensuelle!$OF$68:$RM$679,HLOOKUP(JX$73,Base_Mensuelle!$PE$67:$QE$680,614,0))</f>
        <v>524.09896568600004</v>
      </c>
      <c r="JY117" s="1526">
        <f>VLOOKUP($IW117,Base_Mensuelle!$OF$68:$RM$679,HLOOKUP(JY$73,Base_Mensuelle!$PE$67:$QE$680,614,0))</f>
        <v>224.77001559499999</v>
      </c>
      <c r="JZ117" s="1526">
        <f>VLOOKUP($IW117,Base_Mensuelle!$OF$68:$RM$679,HLOOKUP(JZ$73,Base_Mensuelle!$PE$67:$QE$680,614,0))</f>
        <v>102.382535492</v>
      </c>
      <c r="KA117" s="1526">
        <f>VLOOKUP($IW117,Base_Mensuelle!$OF$68:$RM$679,HLOOKUP(KA$73,Base_Mensuelle!$PE$67:$QE$680,614,0))</f>
        <v>-46.555635862999992</v>
      </c>
      <c r="KB117" s="1526">
        <f>VLOOKUP($IW117,Base_Mensuelle!$OF$68:$RM$679,HLOOKUP(KB$73,Base_Mensuelle!$PE$67:$QE$680,614,0))</f>
        <v>102.30780467</v>
      </c>
      <c r="KC117" s="1526">
        <f>VLOOKUP($IW117,Base_Mensuelle!$OF$68:$RM$679,HLOOKUP(KC$73,Base_Mensuelle!$PE$67:$QE$680,614,0))</f>
        <v>148.86344053299999</v>
      </c>
      <c r="KD117" s="1526">
        <f>VLOOKUP($IW117,Base_Mensuelle!$OF$68:$RM$679,HLOOKUP(KD$73,Base_Mensuelle!$PE$67:$QE$680,614,0))</f>
        <v>3.7306479780000004</v>
      </c>
      <c r="KE117" s="1526">
        <f>VLOOKUP($IW117,Base_Mensuelle!$OF$68:$RM$679,HLOOKUP(KE$73,Base_Mensuelle!$PE$67:$QE$680,614,0))</f>
        <v>1.21</v>
      </c>
      <c r="KF117" s="1526">
        <f>VLOOKUP($IW117,Base_Mensuelle!$OF$68:$RM$679,HLOOKUP(KF$73,Base_Mensuelle!$PE$67:$QE$680,614,0))</f>
        <v>0</v>
      </c>
      <c r="KG117" s="1526">
        <f>VLOOKUP($IW117,Base_Mensuelle!$OF$68:$RM$679,HLOOKUP(KG$73,Base_Mensuelle!$PE$67:$QE$680,614,0))</f>
        <v>0</v>
      </c>
      <c r="KH117" s="1526">
        <f>VLOOKUP($IW117,Base_Mensuelle!$OF$68:$RM$679,HLOOKUP(KH$73,Base_Mensuelle!$PE$67:$QE$680,614,0))</f>
        <v>2.5206479780000004</v>
      </c>
      <c r="KI117" s="1526">
        <f>VLOOKUP($IW117,Base_Mensuelle!$OF$68:$RM$679,HLOOKUP(KI$73,Base_Mensuelle!$PE$67:$QE$680,614,0))</f>
        <v>357.18546525400001</v>
      </c>
      <c r="KJ117" s="1526">
        <f>VLOOKUP($IW117,Base_Mensuelle!$OF$68:$RM$679,HLOOKUP(KJ$73,Base_Mensuelle!$PE$67:$QE$680,614,0))</f>
        <v>250.37360000000001</v>
      </c>
      <c r="KK117" s="1526">
        <f>VLOOKUP($IW117,Base_Mensuelle!$OF$68:$RM$679,HLOOKUP(KK$73,Base_Mensuelle!$PE$67:$QE$680,614,0))</f>
        <v>106.376282984</v>
      </c>
      <c r="KL117" s="1526">
        <f>VLOOKUP($IW117,Base_Mensuelle!$OF$68:$RM$679,HLOOKUP(KL$73,Base_Mensuelle!$PE$67:$QE$680,614,0))</f>
        <v>0.43558226999999999</v>
      </c>
      <c r="KM117" s="1526">
        <f>VLOOKUP($IW117,Base_Mensuelle!$OF$68:$RM$679,HLOOKUP(KM$73,Base_Mensuelle!$PE$67:$QE$680,614,0))</f>
        <v>0</v>
      </c>
      <c r="KN117" s="1526">
        <f>VLOOKUP($IW117,Base_Mensuelle!$OF$68:$RM$679,HLOOKUP(KN$73,Base_Mensuelle!$PE$67:$QE$680,614,0))</f>
        <v>0.586358241</v>
      </c>
      <c r="KO117" s="1526">
        <f>VLOOKUP($IW117,Base_Mensuelle!$OF$68:$RM$679,HLOOKUP(KO$73,Base_Mensuelle!$PE$67:$QE$680,614,0))</f>
        <v>0</v>
      </c>
      <c r="KP117" s="1526">
        <f>VLOOKUP($IW117,Base_Mensuelle!$OF$68:$RM$679,HLOOKUP(KP$73,Base_Mensuelle!$PE$67:$QE$680,614,0))</f>
        <v>0</v>
      </c>
      <c r="KQ117" s="1526">
        <f>VLOOKUP($IW117,Base_Mensuelle!$OF$68:$RM$679,HLOOKUP(KQ$73,Base_Mensuelle!$PE$67:$QE$680,614,0))</f>
        <v>0.586358241</v>
      </c>
      <c r="KR117" s="1526">
        <f>VLOOKUP($IW117,Base_Mensuelle!$OF$68:$RM$679,HLOOKUP(KR$73,Base_Mensuelle!$PE$67:$QE$680,614,0))</f>
        <v>0</v>
      </c>
      <c r="KS117" s="1526">
        <f>VLOOKUP($IW117,Base_Mensuelle!$OF$68:$RM$679,HLOOKUP(KS$73,Base_Mensuelle!$PE$67:$QE$680,614,0))</f>
        <v>0</v>
      </c>
      <c r="KT117" s="1526">
        <f>VLOOKUP($IW117,Base_Mensuelle!$OF$68:$RM$679,HLOOKUP(KT$73,Base_Mensuelle!$PE$67:$QE$680,614,0))</f>
        <v>0</v>
      </c>
      <c r="KU117" s="1526">
        <f>VLOOKUP($IW117,Base_Mensuelle!$OF$68:$RM$679,HLOOKUP(KU$73,Base_Mensuelle!$PE$67:$QE$680,614,0))</f>
        <v>-1.869019958</v>
      </c>
      <c r="KV117" s="1526">
        <f>VLOOKUP($IW117,Base_Mensuelle!$OF$68:$RM$679,HLOOKUP(KV$73,Base_Mensuelle!$PE$67:$QE$680,614,0))</f>
        <v>2.9836941610000003</v>
      </c>
      <c r="KW117" s="1036"/>
      <c r="KX117" s="29">
        <v>44</v>
      </c>
      <c r="KY117" s="1037"/>
      <c r="KZ117" s="182">
        <f>VLOOKUP($IW117,Base_Mensuelle!$OF$68:$RM$679,HLOOKUP(KZ$73,Base_Mensuelle!$QG$67:$RM$680,614,0))</f>
        <v>376.97197055167783</v>
      </c>
      <c r="LA117" s="182">
        <f>VLOOKUP($IW117,Base_Mensuelle!$OF$68:$RM$679,HLOOKUP(LA$73,Base_Mensuelle!$QG$67:$RM$680,614,0))</f>
        <v>477.87118008927746</v>
      </c>
      <c r="LB117" s="182">
        <f>VLOOKUP($IW117,Base_Mensuelle!$OF$68:$RM$679,HLOOKUP(LB$73,Base_Mensuelle!$QG$67:$RM$680,614,0))</f>
        <v>-100.89920953759965</v>
      </c>
      <c r="LC117" s="182">
        <f>VLOOKUP($IW117,Base_Mensuelle!$OF$68:$RM$679,HLOOKUP(LC$73,Base_Mensuelle!$QG$67:$RM$680,614,0))</f>
        <v>128.30500000000001</v>
      </c>
      <c r="LD117" s="182">
        <f>VLOOKUP($IW117,Base_Mensuelle!$OF$68:$RM$679,HLOOKUP(LD$73,Base_Mensuelle!$QG$67:$RM$680,614,0))</f>
        <v>32.357999999999997</v>
      </c>
      <c r="LE117" s="182">
        <f>VLOOKUP($IW117,Base_Mensuelle!$OF$68:$RM$679,HLOOKUP(LE$73,Base_Mensuelle!$QG$67:$RM$680,614,0))</f>
        <v>95.947000000000003</v>
      </c>
      <c r="LF117" s="182">
        <f>VLOOKUP($IW117,Base_Mensuelle!$OF$68:$RM$679,HLOOKUP(LF$73,Base_Mensuelle!$QG$67:$RM$680,614,0))</f>
        <v>0</v>
      </c>
      <c r="LG117" s="182">
        <f>VLOOKUP($IW117,Base_Mensuelle!$OF$68:$RM$679,HLOOKUP(LG$73,Base_Mensuelle!$QG$67:$RM$680,614,0))</f>
        <v>-2.7590000000000146</v>
      </c>
      <c r="LH117" s="182">
        <f>VLOOKUP($IW117,Base_Mensuelle!$OF$68:$RM$679,HLOOKUP(LH$73,Base_Mensuelle!$QG$67:$RM$680,614,0))</f>
        <v>104.58099999999999</v>
      </c>
      <c r="LI117" s="182">
        <f>VLOOKUP($IW117,Base_Mensuelle!$OF$68:$RM$679,HLOOKUP(LI$73,Base_Mensuelle!$QG$67:$RM$680,614,0))</f>
        <v>-107.34</v>
      </c>
      <c r="LJ117" s="182">
        <f>VLOOKUP($IW117,Base_Mensuelle!$OF$68:$RM$679,HLOOKUP(LJ$73,Base_Mensuelle!$QG$67:$RM$680,614,0))</f>
        <v>862.66781991072264</v>
      </c>
      <c r="LK117" s="182">
        <f>VLOOKUP($IW117,Base_Mensuelle!$OF$68:$RM$679,HLOOKUP(LK$73,Base_Mensuelle!$QG$67:$RM$680,614,0))</f>
        <v>10.463032808459998</v>
      </c>
      <c r="LL117" s="182">
        <f>VLOOKUP($IW117,Base_Mensuelle!$OF$68:$RM$679,HLOOKUP(LL$73,Base_Mensuelle!$QG$67:$RM$680,614,0))</f>
        <v>0</v>
      </c>
      <c r="LM117" s="182">
        <f>VLOOKUP($IW117,Base_Mensuelle!$OF$68:$RM$679,HLOOKUP(LM$73,Base_Mensuelle!$QG$67:$RM$680,614,0))</f>
        <v>72.658000000000001</v>
      </c>
      <c r="LN117" s="182">
        <f>VLOOKUP($IW117,Base_Mensuelle!$OF$68:$RM$679,HLOOKUP(LN$73,Base_Mensuelle!$QG$67:$RM$680,614,0))</f>
        <v>779.54678710226267</v>
      </c>
      <c r="LO117" s="182">
        <f>VLOOKUP($IW117,Base_Mensuelle!$OF$68:$RM$679,HLOOKUP(LO$73,Base_Mensuelle!$QG$67:$RM$680,614,0))</f>
        <v>0</v>
      </c>
      <c r="LP117" s="182">
        <f>VLOOKUP($IW117,Base_Mensuelle!$OF$68:$RM$679,HLOOKUP(LP$73,Base_Mensuelle!$QG$67:$RM$680,614,0))</f>
        <v>101.34399999999999</v>
      </c>
      <c r="LQ117" s="182">
        <f>VLOOKUP($IW117,Base_Mensuelle!$OF$68:$RM$679,HLOOKUP(LQ$73,Base_Mensuelle!$QG$67:$RM$680,614,0))</f>
        <v>438.72121438442605</v>
      </c>
      <c r="LR117" s="182">
        <f>VLOOKUP($IW117,Base_Mensuelle!$OF$68:$RM$679,HLOOKUP(LR$73,Base_Mensuelle!$QG$67:$RM$680,614,0))</f>
        <v>554.70857607797439</v>
      </c>
      <c r="LS117" s="182">
        <f>VLOOKUP($IW117,Base_Mensuelle!$OF$68:$RM$679,HLOOKUP(LS$73,Base_Mensuelle!$QG$67:$RM$680,614,0))</f>
        <v>0</v>
      </c>
      <c r="LT117" s="182">
        <f>VLOOKUP($IW117,Base_Mensuelle!$OF$68:$RM$679,HLOOKUP(LT$73,Base_Mensuelle!$QG$67:$RM$680,614,0))</f>
        <v>33.082000000000001</v>
      </c>
      <c r="LU117" s="182">
        <f>VLOOKUP($IW117,Base_Mensuelle!$OF$68:$RM$679,HLOOKUP(LU$73,Base_Mensuelle!$QG$67:$RM$680,614,0))</f>
        <v>2.879</v>
      </c>
      <c r="LV117" s="182">
        <f>VLOOKUP($IW117,Base_Mensuelle!$OF$68:$RM$679,HLOOKUP(LV$73,Base_Mensuelle!$QG$67:$RM$680,614,0))</f>
        <v>6.4080000000000004</v>
      </c>
      <c r="LW117" s="182">
        <f>VLOOKUP($IW117,Base_Mensuelle!$OF$68:$RM$679,HLOOKUP(LW$73,Base_Mensuelle!$QG$67:$RM$680,614,0))</f>
        <v>0</v>
      </c>
      <c r="LX117" s="182">
        <f>VLOOKUP($IW117,Base_Mensuelle!$OF$68:$RM$679,HLOOKUP(LX$73,Base_Mensuelle!$QG$67:$RM$680,614,0))</f>
        <v>0</v>
      </c>
      <c r="LY117" s="182">
        <f>VLOOKUP($IW117,Base_Mensuelle!$OF$68:$RM$679,HLOOKUP(LY$73,Base_Mensuelle!$QG$67:$RM$680,614,0))</f>
        <v>138.249</v>
      </c>
      <c r="LZ117" s="182">
        <f>VLOOKUP($IW117,Base_Mensuelle!$OF$68:$RM$679,HLOOKUP(LZ$73,Base_Mensuelle!$QG$67:$RM$680,614,0))</f>
        <v>89.794000000000025</v>
      </c>
      <c r="MA117" s="182">
        <f>VLOOKUP($IW117,Base_Mensuelle!$OF$68:$RM$679,HLOOKUP(MA$73,Base_Mensuelle!$QG$67:$RM$680,614,0))</f>
        <v>0</v>
      </c>
      <c r="MB117" s="182">
        <f>VLOOKUP($IW117,Base_Mensuelle!$OF$68:$RM$679,HLOOKUP(MB$73,Base_Mensuelle!$QG$67:$RM$680,614,0))</f>
        <v>0</v>
      </c>
      <c r="MC117" s="182">
        <f>VLOOKUP($IW117,Base_Mensuelle!$OF$68:$RM$679,HLOOKUP(MC$73,Base_Mensuelle!$QG$67:$RM$680,614,0))</f>
        <v>0</v>
      </c>
      <c r="MD117" s="182">
        <f>VLOOKUP($IW117,Base_Mensuelle!$OF$68:$RM$679,HLOOKUP(MD$73,Base_Mensuelle!$QG$67:$RM$680,614,0))</f>
        <v>0</v>
      </c>
      <c r="ME117" s="182">
        <f>VLOOKUP($IW117,Base_Mensuelle!$OF$68:$RM$679,HLOOKUP(ME$73,Base_Mensuelle!$QG$67:$RM$680,614,0))</f>
        <v>0</v>
      </c>
      <c r="MF117" s="182"/>
      <c r="MG117" s="182"/>
      <c r="MH117" s="290"/>
      <c r="MI117" s="29">
        <v>44</v>
      </c>
      <c r="MJ117" s="29" t="str">
        <f t="shared" si="82"/>
        <v>Trimestre 42010</v>
      </c>
      <c r="MK117" s="848">
        <v>40513</v>
      </c>
      <c r="ML117" s="29"/>
      <c r="MM117" s="29"/>
      <c r="MN117" s="29"/>
      <c r="MO117" s="29"/>
      <c r="MP117" s="29"/>
      <c r="MQ117" s="29"/>
      <c r="MR117" s="29"/>
      <c r="MS117" s="29"/>
      <c r="MT117" s="29"/>
      <c r="MU117" s="29"/>
      <c r="MV117" s="29"/>
      <c r="MW117" s="29"/>
      <c r="MX117" s="29"/>
      <c r="MY117" s="29"/>
      <c r="MZ117" s="29"/>
      <c r="NA117" s="29"/>
      <c r="NB117" s="29"/>
      <c r="NC117" s="29"/>
      <c r="ND117" s="29"/>
      <c r="NE117" s="29"/>
      <c r="NF117" s="29"/>
      <c r="NG117" s="29"/>
      <c r="NH117" s="29"/>
      <c r="NI117" s="29"/>
      <c r="NJ117" s="29"/>
      <c r="NK117" s="29"/>
      <c r="NL117" s="29">
        <v>44</v>
      </c>
    </row>
    <row r="118" spans="1:376">
      <c r="A118" s="41">
        <f t="shared" si="80"/>
        <v>2011</v>
      </c>
      <c r="B118" s="785">
        <v>40603</v>
      </c>
      <c r="C118" s="19">
        <v>1350.3694888968264</v>
      </c>
      <c r="D118" s="93">
        <v>180.31821943924442</v>
      </c>
      <c r="E118" s="93">
        <v>128.06131236006658</v>
      </c>
      <c r="F118" s="93">
        <v>95.875027814834411</v>
      </c>
      <c r="G118" s="93">
        <v>14.507834665782692</v>
      </c>
      <c r="H118" s="93">
        <v>62.82326273562699</v>
      </c>
      <c r="I118" s="93">
        <v>147.79511229851929</v>
      </c>
      <c r="J118" s="93">
        <v>95.333935174401532</v>
      </c>
      <c r="K118" s="93">
        <v>51.792740709683983</v>
      </c>
      <c r="L118" s="93">
        <v>114.97120445917567</v>
      </c>
      <c r="M118" s="734">
        <v>131.03450877912783</v>
      </c>
      <c r="N118" s="25">
        <v>45</v>
      </c>
      <c r="O118" s="889">
        <f t="shared" si="79"/>
        <v>2011</v>
      </c>
      <c r="P118" s="29" t="str">
        <f t="shared" si="81"/>
        <v>Trimestre 12011</v>
      </c>
      <c r="Q118" s="848">
        <v>40603</v>
      </c>
      <c r="R118" s="733"/>
      <c r="S118" s="570">
        <v>138.39906199999999</v>
      </c>
      <c r="T118" s="570"/>
      <c r="U118" s="734"/>
      <c r="V118" s="25">
        <v>45</v>
      </c>
      <c r="W118" s="19"/>
      <c r="X118" s="93"/>
      <c r="Y118" s="93"/>
      <c r="Z118" s="93"/>
      <c r="AA118" s="93"/>
      <c r="AB118" s="93"/>
      <c r="AC118" s="93"/>
      <c r="AD118" s="93"/>
      <c r="AE118" s="20"/>
      <c r="AF118" s="25">
        <v>45</v>
      </c>
      <c r="AG118" s="19"/>
      <c r="AH118" s="93"/>
      <c r="AI118" s="93"/>
      <c r="AJ118" s="93"/>
      <c r="AK118" s="93"/>
      <c r="AL118" s="93"/>
      <c r="AM118" s="93"/>
      <c r="AN118" s="20"/>
      <c r="AO118" s="19"/>
      <c r="AP118" s="93"/>
      <c r="AQ118" s="93"/>
      <c r="AR118" s="93"/>
      <c r="AS118" s="20"/>
      <c r="AT118" s="19"/>
      <c r="AU118" s="93"/>
      <c r="AV118" s="20"/>
      <c r="AW118" s="19"/>
      <c r="AX118" s="93"/>
      <c r="AY118" s="93"/>
      <c r="AZ118" s="93"/>
      <c r="BA118" s="93"/>
      <c r="BB118" s="93"/>
      <c r="BC118" s="20"/>
      <c r="BD118" s="19"/>
      <c r="BE118" s="93"/>
      <c r="BF118" s="93"/>
      <c r="BG118" s="93"/>
      <c r="BH118" s="93"/>
      <c r="BI118" s="93"/>
      <c r="BJ118" s="93"/>
      <c r="BK118" s="20"/>
      <c r="BL118" s="19"/>
      <c r="BM118" s="93"/>
      <c r="BN118" s="93"/>
      <c r="BO118" s="93"/>
      <c r="BP118" s="93"/>
      <c r="BQ118" s="20"/>
      <c r="BR118" s="19"/>
      <c r="BS118" s="93"/>
      <c r="BT118" s="93"/>
      <c r="BU118" s="20"/>
      <c r="BV118" s="19"/>
      <c r="BW118" s="93"/>
      <c r="BX118" s="93"/>
      <c r="BY118" s="93"/>
      <c r="BZ118" s="93"/>
      <c r="CA118" s="93"/>
      <c r="CB118" s="20"/>
      <c r="CC118" s="25">
        <v>45</v>
      </c>
      <c r="CD118" s="19"/>
      <c r="CE118" s="93"/>
      <c r="CF118" s="20"/>
      <c r="CG118" s="25">
        <v>45</v>
      </c>
      <c r="CH118" s="19"/>
      <c r="CI118" s="93"/>
      <c r="CJ118" s="93"/>
      <c r="CK118" s="93"/>
      <c r="CL118" s="93"/>
      <c r="CM118" s="93"/>
      <c r="CN118" s="93"/>
      <c r="CO118" s="93"/>
      <c r="CP118" s="93"/>
      <c r="CQ118" s="93"/>
      <c r="CR118" s="214"/>
      <c r="CS118" s="20"/>
      <c r="CT118" s="25">
        <v>45</v>
      </c>
      <c r="CU118" s="19"/>
      <c r="CV118" s="93"/>
      <c r="CW118" s="93"/>
      <c r="CX118" s="93"/>
      <c r="CY118" s="93"/>
      <c r="CZ118" s="93"/>
      <c r="DA118" s="93"/>
      <c r="DB118" s="20"/>
      <c r="DC118" s="25">
        <v>45</v>
      </c>
      <c r="DD118" s="785">
        <v>40603</v>
      </c>
      <c r="DE118" s="19"/>
      <c r="DF118" s="20"/>
      <c r="DG118" s="25">
        <v>45</v>
      </c>
      <c r="DH118" s="19"/>
      <c r="DI118" s="20"/>
      <c r="DJ118" s="25">
        <v>45</v>
      </c>
      <c r="DK118" s="19"/>
      <c r="DL118" s="20"/>
      <c r="DM118" s="19"/>
      <c r="DN118" s="20"/>
      <c r="DO118" s="25">
        <v>45</v>
      </c>
      <c r="DP118" s="19"/>
      <c r="DQ118" s="93"/>
      <c r="DR118" s="20"/>
      <c r="DS118" s="25">
        <v>45</v>
      </c>
      <c r="DT118" s="19"/>
      <c r="DU118" s="93"/>
      <c r="DV118" s="20"/>
      <c r="DW118" s="25">
        <v>45</v>
      </c>
      <c r="DX118" s="19"/>
      <c r="DY118" s="20"/>
      <c r="DZ118" s="25">
        <v>45</v>
      </c>
      <c r="EA118" s="19"/>
      <c r="EB118" s="93"/>
      <c r="EC118" s="93"/>
      <c r="ED118" s="93"/>
      <c r="EE118" s="20"/>
      <c r="EF118" s="25">
        <v>45</v>
      </c>
      <c r="EG118" s="19"/>
      <c r="EH118" s="93"/>
      <c r="EI118" s="93"/>
      <c r="EJ118" s="93"/>
      <c r="EK118" s="20"/>
      <c r="EL118" s="25">
        <v>45</v>
      </c>
      <c r="EM118" s="19"/>
      <c r="EN118" s="93"/>
      <c r="EO118" s="93"/>
      <c r="EP118" s="93"/>
      <c r="EQ118" s="93"/>
      <c r="ER118" s="93"/>
      <c r="ES118" s="93"/>
      <c r="ET118" s="93"/>
      <c r="EU118" s="93"/>
      <c r="EV118" s="20"/>
      <c r="EW118" s="25">
        <v>45</v>
      </c>
      <c r="EX118" s="915"/>
      <c r="EY118" s="916"/>
      <c r="EZ118" s="916"/>
      <c r="FA118" s="916"/>
      <c r="FB118" s="916"/>
      <c r="FC118" s="916"/>
      <c r="FD118" s="916"/>
      <c r="FE118" s="916"/>
      <c r="FF118" s="916"/>
      <c r="FG118" s="917"/>
      <c r="FH118" s="25">
        <v>45</v>
      </c>
      <c r="FI118" s="848">
        <v>40603</v>
      </c>
      <c r="FJ118" s="19"/>
      <c r="FK118" s="93"/>
      <c r="FL118" s="20"/>
      <c r="FM118" s="25">
        <v>45</v>
      </c>
      <c r="FN118" s="19"/>
      <c r="FO118" s="93"/>
      <c r="FP118" s="93"/>
      <c r="FQ118" s="93"/>
      <c r="FR118" s="93"/>
      <c r="FS118" s="93"/>
      <c r="FT118" s="93"/>
      <c r="FU118" s="93"/>
      <c r="FV118" s="93"/>
      <c r="FW118" s="917"/>
      <c r="FX118" s="25">
        <v>45</v>
      </c>
      <c r="FY118" s="916"/>
      <c r="FZ118" s="916"/>
      <c r="GA118" s="916"/>
      <c r="GB118" s="916"/>
      <c r="GC118" s="916"/>
      <c r="GD118" s="916"/>
      <c r="GE118" s="916"/>
      <c r="GF118" s="916"/>
      <c r="GG118" s="916"/>
      <c r="GH118" s="916"/>
      <c r="GI118" s="917"/>
      <c r="GJ118" s="25">
        <v>45</v>
      </c>
      <c r="GK118" s="19"/>
      <c r="GL118" s="20"/>
      <c r="GM118" s="25">
        <v>45</v>
      </c>
      <c r="GN118" s="19">
        <v>3230</v>
      </c>
      <c r="GO118" s="20">
        <v>1127</v>
      </c>
      <c r="GP118" s="25">
        <v>45</v>
      </c>
      <c r="GQ118" s="19"/>
      <c r="GR118" s="20"/>
      <c r="GS118" s="25">
        <v>45</v>
      </c>
      <c r="GT118" s="848">
        <v>40603</v>
      </c>
      <c r="GU118" s="19"/>
      <c r="GV118" s="93"/>
      <c r="GW118" s="93"/>
      <c r="GX118" s="93"/>
      <c r="GY118" s="93"/>
      <c r="GZ118" s="93"/>
      <c r="HA118" s="93"/>
      <c r="HB118" s="93"/>
      <c r="HC118" s="93"/>
      <c r="HD118" s="93"/>
      <c r="HE118" s="93"/>
      <c r="HF118" s="93"/>
      <c r="HG118" s="93"/>
      <c r="HH118" s="93"/>
      <c r="HI118" s="93"/>
      <c r="HJ118" s="93"/>
      <c r="HK118" s="93"/>
      <c r="HL118" s="93"/>
      <c r="HM118" s="93"/>
      <c r="HN118" s="93"/>
      <c r="HO118" s="93"/>
      <c r="HP118" s="93"/>
      <c r="HQ118" s="93"/>
      <c r="HR118" s="93"/>
      <c r="HS118" s="93"/>
      <c r="HT118" s="93"/>
      <c r="HU118" s="93"/>
      <c r="HV118" s="93"/>
      <c r="HW118" s="93"/>
      <c r="HX118" s="93"/>
      <c r="HY118" s="93"/>
      <c r="HZ118" s="93"/>
      <c r="IA118" s="93"/>
      <c r="IB118" s="93"/>
      <c r="IC118" s="93"/>
      <c r="ID118" s="93"/>
      <c r="IE118" s="93"/>
      <c r="IF118" s="93"/>
      <c r="IG118" s="93"/>
      <c r="IH118" s="93"/>
      <c r="II118" s="93"/>
      <c r="IJ118" s="93"/>
      <c r="IK118" s="93"/>
      <c r="IL118" s="93"/>
      <c r="IM118" s="93"/>
      <c r="IN118" s="93"/>
      <c r="IO118" s="93"/>
      <c r="IP118" s="93"/>
      <c r="IQ118" s="93"/>
      <c r="IR118" s="93"/>
      <c r="IS118" s="93"/>
      <c r="IT118" s="93"/>
      <c r="IU118" s="93"/>
      <c r="IV118" s="93">
        <v>45</v>
      </c>
      <c r="IW118" s="848">
        <v>40603</v>
      </c>
      <c r="IX118" s="1035"/>
      <c r="IY118" s="1035">
        <v>194.30518999999998</v>
      </c>
      <c r="IZ118" s="1035">
        <v>231.6223</v>
      </c>
      <c r="JA118" s="1035">
        <v>0.56337792099999995</v>
      </c>
      <c r="JB118" s="1035">
        <v>500.17604632918597</v>
      </c>
      <c r="JC118" s="1035">
        <v>76.987800000000007</v>
      </c>
      <c r="JD118" s="1035">
        <v>772.03241425018587</v>
      </c>
      <c r="JE118" s="1035">
        <v>571.01815785686131</v>
      </c>
      <c r="JF118" s="1035">
        <v>1343.0505721070472</v>
      </c>
      <c r="JG118" s="1035"/>
      <c r="JH118" s="1035">
        <v>639.6850041186417</v>
      </c>
      <c r="JI118" s="1035">
        <v>279.34715796300009</v>
      </c>
      <c r="JJ118" s="1035">
        <v>360.33784615564161</v>
      </c>
      <c r="JK118" s="1035">
        <v>898.03133966540554</v>
      </c>
      <c r="JL118" s="1035">
        <v>-46.798633434999999</v>
      </c>
      <c r="JM118" s="1035">
        <v>-40.645633435000008</v>
      </c>
      <c r="JN118" s="1035">
        <v>-6.1529999999999916</v>
      </c>
      <c r="JO118" s="1035">
        <v>944.8299731004056</v>
      </c>
      <c r="JP118" s="1035">
        <v>4.0196150700000004</v>
      </c>
      <c r="JQ118" s="1035">
        <v>940.81035803040561</v>
      </c>
      <c r="JR118" s="1035">
        <v>182.323996596</v>
      </c>
      <c r="JS118" s="1035">
        <v>12.34177508099998</v>
      </c>
      <c r="JT118" s="1036">
        <v>1343.0505721070474</v>
      </c>
      <c r="JU118" s="29">
        <v>45</v>
      </c>
      <c r="JV118" s="1037"/>
      <c r="JW118" s="1526">
        <f>VLOOKUP($IW118,Base_Mensuelle!$OF$68:$RM$679,HLOOKUP(JW$73,Base_Mensuelle!$PE$67:$QE$680,614,0))</f>
        <v>279.34715796300009</v>
      </c>
      <c r="JX118" s="1526">
        <f>VLOOKUP($IW118,Base_Mensuelle!$OF$68:$RM$679,HLOOKUP(JX$73,Base_Mensuelle!$PE$67:$QE$680,614,0))</f>
        <v>509.43874842600007</v>
      </c>
      <c r="JY118" s="1526">
        <f>VLOOKUP($IW118,Base_Mensuelle!$OF$68:$RM$679,HLOOKUP(JY$73,Base_Mensuelle!$PE$67:$QE$680,614,0))</f>
        <v>230.09159046299999</v>
      </c>
      <c r="JZ118" s="1526">
        <f>VLOOKUP($IW118,Base_Mensuelle!$OF$68:$RM$679,HLOOKUP(JZ$73,Base_Mensuelle!$PE$67:$QE$680,614,0))</f>
        <v>114.1</v>
      </c>
      <c r="KA118" s="1526">
        <f>VLOOKUP($IW118,Base_Mensuelle!$OF$68:$RM$679,HLOOKUP(KA$73,Base_Mensuelle!$PE$67:$QE$680,614,0))</f>
        <v>-38.325523435000008</v>
      </c>
      <c r="KB118" s="1526">
        <f>VLOOKUP($IW118,Base_Mensuelle!$OF$68:$RM$679,HLOOKUP(KB$73,Base_Mensuelle!$PE$67:$QE$680,614,0))</f>
        <v>100.54520066000001</v>
      </c>
      <c r="KC118" s="1526">
        <f>VLOOKUP($IW118,Base_Mensuelle!$OF$68:$RM$679,HLOOKUP(KC$73,Base_Mensuelle!$PE$67:$QE$680,614,0))</f>
        <v>138.87072409500001</v>
      </c>
      <c r="KD118" s="1526">
        <f>VLOOKUP($IW118,Base_Mensuelle!$OF$68:$RM$679,HLOOKUP(KD$73,Base_Mensuelle!$PE$67:$QE$680,614,0))</f>
        <v>4.0196150700000004</v>
      </c>
      <c r="KE118" s="1526">
        <f>VLOOKUP($IW118,Base_Mensuelle!$OF$68:$RM$679,HLOOKUP(KE$73,Base_Mensuelle!$PE$67:$QE$680,614,0))</f>
        <v>1.21</v>
      </c>
      <c r="KF118" s="1526">
        <f>VLOOKUP($IW118,Base_Mensuelle!$OF$68:$RM$679,HLOOKUP(KF$73,Base_Mensuelle!$PE$67:$QE$680,614,0))</f>
        <v>0</v>
      </c>
      <c r="KG118" s="1526">
        <f>VLOOKUP($IW118,Base_Mensuelle!$OF$68:$RM$679,HLOOKUP(KG$73,Base_Mensuelle!$PE$67:$QE$680,614,0))</f>
        <v>4.2588100000000002E-4</v>
      </c>
      <c r="KH118" s="1526">
        <f>VLOOKUP($IW118,Base_Mensuelle!$OF$68:$RM$679,HLOOKUP(KH$73,Base_Mensuelle!$PE$67:$QE$680,614,0))</f>
        <v>2.809189189</v>
      </c>
      <c r="KI118" s="1526">
        <f>VLOOKUP($IW118,Base_Mensuelle!$OF$68:$RM$679,HLOOKUP(KI$73,Base_Mensuelle!$PE$67:$QE$680,614,0))</f>
        <v>352.45251140400001</v>
      </c>
      <c r="KJ118" s="1526">
        <f>VLOOKUP($IW118,Base_Mensuelle!$OF$68:$RM$679,HLOOKUP(KJ$73,Base_Mensuelle!$PE$67:$QE$680,614,0))</f>
        <v>231.6223</v>
      </c>
      <c r="KK118" s="1526">
        <f>VLOOKUP($IW118,Base_Mensuelle!$OF$68:$RM$679,HLOOKUP(KK$73,Base_Mensuelle!$PE$67:$QE$680,614,0))</f>
        <v>120.266833483</v>
      </c>
      <c r="KL118" s="1526">
        <f>VLOOKUP($IW118,Base_Mensuelle!$OF$68:$RM$679,HLOOKUP(KL$73,Base_Mensuelle!$PE$67:$QE$680,614,0))</f>
        <v>0.56337792099999995</v>
      </c>
      <c r="KM118" s="1526">
        <f>VLOOKUP($IW118,Base_Mensuelle!$OF$68:$RM$679,HLOOKUP(KM$73,Base_Mensuelle!$PE$67:$QE$680,614,0))</f>
        <v>0</v>
      </c>
      <c r="KN118" s="1526">
        <f>VLOOKUP($IW118,Base_Mensuelle!$OF$68:$RM$679,HLOOKUP(KN$73,Base_Mensuelle!$PE$67:$QE$680,614,0))</f>
        <v>1.889262129</v>
      </c>
      <c r="KO118" s="1526">
        <f>VLOOKUP($IW118,Base_Mensuelle!$OF$68:$RM$679,HLOOKUP(KO$73,Base_Mensuelle!$PE$67:$QE$680,614,0))</f>
        <v>0</v>
      </c>
      <c r="KP118" s="1526">
        <f>VLOOKUP($IW118,Base_Mensuelle!$OF$68:$RM$679,HLOOKUP(KP$73,Base_Mensuelle!$PE$67:$QE$680,614,0))</f>
        <v>0</v>
      </c>
      <c r="KQ118" s="1526">
        <f>VLOOKUP($IW118,Base_Mensuelle!$OF$68:$RM$679,HLOOKUP(KQ$73,Base_Mensuelle!$PE$67:$QE$680,614,0))</f>
        <v>1.889262129</v>
      </c>
      <c r="KR118" s="1526">
        <f>VLOOKUP($IW118,Base_Mensuelle!$OF$68:$RM$679,HLOOKUP(KR$73,Base_Mensuelle!$PE$67:$QE$680,614,0))</f>
        <v>0</v>
      </c>
      <c r="KS118" s="1526">
        <f>VLOOKUP($IW118,Base_Mensuelle!$OF$68:$RM$679,HLOOKUP(KS$73,Base_Mensuelle!$PE$67:$QE$680,614,0))</f>
        <v>0</v>
      </c>
      <c r="KT118" s="1526">
        <f>VLOOKUP($IW118,Base_Mensuelle!$OF$68:$RM$679,HLOOKUP(KT$73,Base_Mensuelle!$PE$67:$QE$680,614,0))</f>
        <v>0</v>
      </c>
      <c r="KU118" s="1526">
        <f>VLOOKUP($IW118,Base_Mensuelle!$OF$68:$RM$679,HLOOKUP(KU$73,Base_Mensuelle!$PE$67:$QE$680,614,0))</f>
        <v>0.44773446700000002</v>
      </c>
      <c r="KV118" s="1526">
        <f>VLOOKUP($IW118,Base_Mensuelle!$OF$68:$RM$679,HLOOKUP(KV$73,Base_Mensuelle!$PE$67:$QE$680,614,0))</f>
        <v>4.3517415980000003</v>
      </c>
      <c r="KW118" s="1036"/>
      <c r="KX118" s="29">
        <v>45</v>
      </c>
      <c r="KY118" s="1037"/>
      <c r="KZ118" s="182">
        <f>VLOOKUP($IW118,Base_Mensuelle!$OF$68:$RM$679,HLOOKUP(KZ$73,Base_Mensuelle!$QG$67:$RM$680,614,0))</f>
        <v>360.33784615564161</v>
      </c>
      <c r="LA118" s="182">
        <f>VLOOKUP($IW118,Base_Mensuelle!$OF$68:$RM$679,HLOOKUP(LA$73,Base_Mensuelle!$QG$67:$RM$680,614,0))</f>
        <v>476.3406419695944</v>
      </c>
      <c r="LB118" s="182">
        <f>VLOOKUP($IW118,Base_Mensuelle!$OF$68:$RM$679,HLOOKUP(LB$73,Base_Mensuelle!$QG$67:$RM$680,614,0))</f>
        <v>-116.00279581395279</v>
      </c>
      <c r="LC118" s="182">
        <f>VLOOKUP($IW118,Base_Mensuelle!$OF$68:$RM$679,HLOOKUP(LC$73,Base_Mensuelle!$QG$67:$RM$680,614,0))</f>
        <v>144.26999999999998</v>
      </c>
      <c r="LD118" s="182">
        <f>VLOOKUP($IW118,Base_Mensuelle!$OF$68:$RM$679,HLOOKUP(LD$73,Base_Mensuelle!$QG$67:$RM$680,614,0))</f>
        <v>34.997</v>
      </c>
      <c r="LE118" s="182">
        <f>VLOOKUP($IW118,Base_Mensuelle!$OF$68:$RM$679,HLOOKUP(LE$73,Base_Mensuelle!$QG$67:$RM$680,614,0))</f>
        <v>109.273</v>
      </c>
      <c r="LF118" s="182">
        <f>VLOOKUP($IW118,Base_Mensuelle!$OF$68:$RM$679,HLOOKUP(LF$73,Base_Mensuelle!$QG$67:$RM$680,614,0))</f>
        <v>0</v>
      </c>
      <c r="LG118" s="182">
        <f>VLOOKUP($IW118,Base_Mensuelle!$OF$68:$RM$679,HLOOKUP(LG$73,Base_Mensuelle!$QG$67:$RM$680,614,0))</f>
        <v>-6.1529999999999916</v>
      </c>
      <c r="LH118" s="182">
        <f>VLOOKUP($IW118,Base_Mensuelle!$OF$68:$RM$679,HLOOKUP(LH$73,Base_Mensuelle!$QG$67:$RM$680,614,0))</f>
        <v>99.024000000000001</v>
      </c>
      <c r="LI118" s="182">
        <f>VLOOKUP($IW118,Base_Mensuelle!$OF$68:$RM$679,HLOOKUP(LI$73,Base_Mensuelle!$QG$67:$RM$680,614,0))</f>
        <v>-105.17699999999999</v>
      </c>
      <c r="LJ118" s="182">
        <f>VLOOKUP($IW118,Base_Mensuelle!$OF$68:$RM$679,HLOOKUP(LJ$73,Base_Mensuelle!$QG$67:$RM$680,614,0))</f>
        <v>940.81035803040561</v>
      </c>
      <c r="LK118" s="182">
        <f>VLOOKUP($IW118,Base_Mensuelle!$OF$68:$RM$679,HLOOKUP(LK$73,Base_Mensuelle!$QG$67:$RM$680,614,0))</f>
        <v>10.397653171977055</v>
      </c>
      <c r="LL118" s="182">
        <f>VLOOKUP($IW118,Base_Mensuelle!$OF$68:$RM$679,HLOOKUP(LL$73,Base_Mensuelle!$QG$67:$RM$680,614,0))</f>
        <v>0</v>
      </c>
      <c r="LM118" s="182">
        <f>VLOOKUP($IW118,Base_Mensuelle!$OF$68:$RM$679,HLOOKUP(LM$73,Base_Mensuelle!$QG$67:$RM$680,614,0))</f>
        <v>111.027</v>
      </c>
      <c r="LN118" s="182">
        <f>VLOOKUP($IW118,Base_Mensuelle!$OF$68:$RM$679,HLOOKUP(LN$73,Base_Mensuelle!$QG$67:$RM$680,614,0))</f>
        <v>819.38570485842854</v>
      </c>
      <c r="LO118" s="182">
        <f>VLOOKUP($IW118,Base_Mensuelle!$OF$68:$RM$679,HLOOKUP(LO$73,Base_Mensuelle!$QG$67:$RM$680,614,0))</f>
        <v>0</v>
      </c>
      <c r="LP118" s="182">
        <f>VLOOKUP($IW118,Base_Mensuelle!$OF$68:$RM$679,HLOOKUP(LP$73,Base_Mensuelle!$QG$67:$RM$680,614,0))</f>
        <v>129.88</v>
      </c>
      <c r="LQ118" s="182">
        <f>VLOOKUP($IW118,Base_Mensuelle!$OF$68:$RM$679,HLOOKUP(LQ$73,Base_Mensuelle!$QG$67:$RM$680,614,0))</f>
        <v>500.17604632918597</v>
      </c>
      <c r="LR118" s="182">
        <f>VLOOKUP($IW118,Base_Mensuelle!$OF$68:$RM$679,HLOOKUP(LR$73,Base_Mensuelle!$QG$67:$RM$680,614,0))</f>
        <v>571.01815785686131</v>
      </c>
      <c r="LS118" s="182">
        <f>VLOOKUP($IW118,Base_Mensuelle!$OF$68:$RM$679,HLOOKUP(LS$73,Base_Mensuelle!$QG$67:$RM$680,614,0))</f>
        <v>0</v>
      </c>
      <c r="LT118" s="182">
        <f>VLOOKUP($IW118,Base_Mensuelle!$OF$68:$RM$679,HLOOKUP(LT$73,Base_Mensuelle!$QG$67:$RM$680,614,0))</f>
        <v>30.443999999999999</v>
      </c>
      <c r="LU118" s="182">
        <f>VLOOKUP($IW118,Base_Mensuelle!$OF$68:$RM$679,HLOOKUP(LU$73,Base_Mensuelle!$QG$67:$RM$680,614,0))</f>
        <v>7.1790000000000003</v>
      </c>
      <c r="LV118" s="182">
        <f>VLOOKUP($IW118,Base_Mensuelle!$OF$68:$RM$679,HLOOKUP(LV$73,Base_Mensuelle!$QG$67:$RM$680,614,0))</f>
        <v>8.5060000000000002</v>
      </c>
      <c r="LW118" s="182">
        <f>VLOOKUP($IW118,Base_Mensuelle!$OF$68:$RM$679,HLOOKUP(LW$73,Base_Mensuelle!$QG$67:$RM$680,614,0))</f>
        <v>0</v>
      </c>
      <c r="LX118" s="182">
        <f>VLOOKUP($IW118,Base_Mensuelle!$OF$68:$RM$679,HLOOKUP(LX$73,Base_Mensuelle!$QG$67:$RM$680,614,0))</f>
        <v>0</v>
      </c>
      <c r="LY118" s="182">
        <f>VLOOKUP($IW118,Base_Mensuelle!$OF$68:$RM$679,HLOOKUP(LY$73,Base_Mensuelle!$QG$67:$RM$680,614,0))</f>
        <v>133.858</v>
      </c>
      <c r="LZ118" s="182">
        <f>VLOOKUP($IW118,Base_Mensuelle!$OF$68:$RM$679,HLOOKUP(LZ$73,Base_Mensuelle!$QG$67:$RM$680,614,0))</f>
        <v>58.203999999999979</v>
      </c>
      <c r="MA118" s="182">
        <f>VLOOKUP($IW118,Base_Mensuelle!$OF$68:$RM$679,HLOOKUP(MA$73,Base_Mensuelle!$QG$67:$RM$680,614,0))</f>
        <v>0</v>
      </c>
      <c r="MB118" s="182">
        <f>VLOOKUP($IW118,Base_Mensuelle!$OF$68:$RM$679,HLOOKUP(MB$73,Base_Mensuelle!$QG$67:$RM$680,614,0))</f>
        <v>0</v>
      </c>
      <c r="MC118" s="182">
        <f>VLOOKUP($IW118,Base_Mensuelle!$OF$68:$RM$679,HLOOKUP(MC$73,Base_Mensuelle!$QG$67:$RM$680,614,0))</f>
        <v>0</v>
      </c>
      <c r="MD118" s="182">
        <f>VLOOKUP($IW118,Base_Mensuelle!$OF$68:$RM$679,HLOOKUP(MD$73,Base_Mensuelle!$QG$67:$RM$680,614,0))</f>
        <v>0</v>
      </c>
      <c r="ME118" s="182">
        <f>VLOOKUP($IW118,Base_Mensuelle!$OF$68:$RM$679,HLOOKUP(ME$73,Base_Mensuelle!$QG$67:$RM$680,614,0))</f>
        <v>0</v>
      </c>
      <c r="MF118" s="182"/>
      <c r="MG118" s="182"/>
      <c r="MH118" s="290"/>
      <c r="MI118" s="29">
        <v>45</v>
      </c>
      <c r="MJ118" s="29" t="str">
        <f t="shared" si="82"/>
        <v>Trimestre 12011</v>
      </c>
      <c r="MK118" s="848">
        <v>40603</v>
      </c>
      <c r="ML118" s="29"/>
      <c r="MM118" s="29"/>
      <c r="MN118" s="29"/>
      <c r="MO118" s="29"/>
      <c r="MP118" s="29"/>
      <c r="MQ118" s="29"/>
      <c r="MR118" s="29"/>
      <c r="MS118" s="29"/>
      <c r="MT118" s="29"/>
      <c r="MU118" s="29"/>
      <c r="MV118" s="29"/>
      <c r="MW118" s="29"/>
      <c r="MX118" s="29"/>
      <c r="MY118" s="29"/>
      <c r="MZ118" s="29"/>
      <c r="NA118" s="29"/>
      <c r="NB118" s="29"/>
      <c r="NC118" s="29"/>
      <c r="ND118" s="29"/>
      <c r="NE118" s="29"/>
      <c r="NF118" s="29"/>
      <c r="NG118" s="29"/>
      <c r="NH118" s="29"/>
      <c r="NI118" s="29"/>
      <c r="NJ118" s="29"/>
      <c r="NK118" s="29"/>
      <c r="NL118" s="29">
        <v>45</v>
      </c>
    </row>
    <row r="119" spans="1:376">
      <c r="A119" s="41">
        <f t="shared" si="80"/>
        <v>2011</v>
      </c>
      <c r="B119" s="785">
        <v>40695</v>
      </c>
      <c r="C119" s="19">
        <v>1249.5442692670001</v>
      </c>
      <c r="D119" s="93">
        <v>123.07310629353493</v>
      </c>
      <c r="E119" s="93">
        <v>119.69114185659338</v>
      </c>
      <c r="F119" s="93">
        <v>12.592192505094232</v>
      </c>
      <c r="G119" s="93">
        <v>26.357805259435917</v>
      </c>
      <c r="H119" s="93">
        <v>67.749935944769831</v>
      </c>
      <c r="I119" s="93">
        <v>119.60287290401175</v>
      </c>
      <c r="J119" s="93">
        <v>105.21084869929537</v>
      </c>
      <c r="K119" s="93">
        <v>160.16190290377995</v>
      </c>
      <c r="L119" s="93">
        <v>166.26436125883995</v>
      </c>
      <c r="M119" s="734">
        <v>126.38621201073276</v>
      </c>
      <c r="N119" s="25">
        <v>46</v>
      </c>
      <c r="O119" s="889">
        <f t="shared" si="79"/>
        <v>2011</v>
      </c>
      <c r="P119" s="29" t="str">
        <f t="shared" si="81"/>
        <v>Trimestre 22011</v>
      </c>
      <c r="Q119" s="848">
        <v>40695</v>
      </c>
      <c r="R119" s="733"/>
      <c r="S119" s="570">
        <v>2.1579999999999999</v>
      </c>
      <c r="T119" s="570"/>
      <c r="U119" s="734"/>
      <c r="V119" s="25">
        <v>46</v>
      </c>
      <c r="W119" s="19"/>
      <c r="X119" s="93"/>
      <c r="Y119" s="93"/>
      <c r="Z119" s="93"/>
      <c r="AA119" s="93"/>
      <c r="AB119" s="93"/>
      <c r="AC119" s="93"/>
      <c r="AD119" s="93"/>
      <c r="AE119" s="20"/>
      <c r="AF119" s="25">
        <v>46</v>
      </c>
      <c r="AG119" s="19"/>
      <c r="AH119" s="93"/>
      <c r="AI119" s="93"/>
      <c r="AJ119" s="93"/>
      <c r="AK119" s="93"/>
      <c r="AL119" s="93"/>
      <c r="AM119" s="93"/>
      <c r="AN119" s="20"/>
      <c r="AO119" s="19"/>
      <c r="AP119" s="93"/>
      <c r="AQ119" s="93"/>
      <c r="AR119" s="93"/>
      <c r="AS119" s="20"/>
      <c r="AT119" s="19"/>
      <c r="AU119" s="93"/>
      <c r="AV119" s="20"/>
      <c r="AW119" s="19"/>
      <c r="AX119" s="93"/>
      <c r="AY119" s="93"/>
      <c r="AZ119" s="93"/>
      <c r="BA119" s="93"/>
      <c r="BB119" s="93"/>
      <c r="BC119" s="20"/>
      <c r="BD119" s="19"/>
      <c r="BE119" s="93"/>
      <c r="BF119" s="93"/>
      <c r="BG119" s="93"/>
      <c r="BH119" s="93"/>
      <c r="BI119" s="93"/>
      <c r="BJ119" s="93"/>
      <c r="BK119" s="20"/>
      <c r="BL119" s="19"/>
      <c r="BM119" s="93"/>
      <c r="BN119" s="93"/>
      <c r="BO119" s="93"/>
      <c r="BP119" s="93"/>
      <c r="BQ119" s="20"/>
      <c r="BR119" s="19"/>
      <c r="BS119" s="93"/>
      <c r="BT119" s="93"/>
      <c r="BU119" s="20"/>
      <c r="BV119" s="19"/>
      <c r="BW119" s="93"/>
      <c r="BX119" s="93"/>
      <c r="BY119" s="93"/>
      <c r="BZ119" s="93"/>
      <c r="CA119" s="93"/>
      <c r="CB119" s="20"/>
      <c r="CC119" s="25">
        <v>46</v>
      </c>
      <c r="CD119" s="19"/>
      <c r="CE119" s="93"/>
      <c r="CF119" s="20"/>
      <c r="CG119" s="25">
        <v>46</v>
      </c>
      <c r="CH119" s="19"/>
      <c r="CI119" s="93"/>
      <c r="CJ119" s="93"/>
      <c r="CK119" s="93"/>
      <c r="CL119" s="93"/>
      <c r="CM119" s="93"/>
      <c r="CN119" s="93"/>
      <c r="CO119" s="93"/>
      <c r="CP119" s="93"/>
      <c r="CQ119" s="93"/>
      <c r="CR119" s="214"/>
      <c r="CS119" s="20"/>
      <c r="CT119" s="25">
        <v>46</v>
      </c>
      <c r="CU119" s="19"/>
      <c r="CV119" s="93"/>
      <c r="CW119" s="93"/>
      <c r="CX119" s="93"/>
      <c r="CY119" s="93"/>
      <c r="CZ119" s="93"/>
      <c r="DA119" s="93"/>
      <c r="DB119" s="20"/>
      <c r="DC119" s="25">
        <v>46</v>
      </c>
      <c r="DD119" s="785">
        <v>40695</v>
      </c>
      <c r="DE119" s="19"/>
      <c r="DF119" s="20"/>
      <c r="DG119" s="25">
        <v>46</v>
      </c>
      <c r="DH119" s="19"/>
      <c r="DI119" s="20"/>
      <c r="DJ119" s="25">
        <v>46</v>
      </c>
      <c r="DK119" s="19"/>
      <c r="DL119" s="20"/>
      <c r="DM119" s="19"/>
      <c r="DN119" s="20"/>
      <c r="DO119" s="25">
        <v>46</v>
      </c>
      <c r="DP119" s="19"/>
      <c r="DQ119" s="93"/>
      <c r="DR119" s="20"/>
      <c r="DS119" s="25">
        <v>46</v>
      </c>
      <c r="DT119" s="19"/>
      <c r="DU119" s="93"/>
      <c r="DV119" s="20"/>
      <c r="DW119" s="25">
        <v>46</v>
      </c>
      <c r="DX119" s="19"/>
      <c r="DY119" s="20"/>
      <c r="DZ119" s="25">
        <v>46</v>
      </c>
      <c r="EA119" s="19"/>
      <c r="EB119" s="93"/>
      <c r="EC119" s="93"/>
      <c r="ED119" s="93"/>
      <c r="EE119" s="20"/>
      <c r="EF119" s="25">
        <v>46</v>
      </c>
      <c r="EG119" s="19"/>
      <c r="EH119" s="93"/>
      <c r="EI119" s="93"/>
      <c r="EJ119" s="93"/>
      <c r="EK119" s="20"/>
      <c r="EL119" s="25">
        <v>46</v>
      </c>
      <c r="EM119" s="19"/>
      <c r="EN119" s="93"/>
      <c r="EO119" s="93"/>
      <c r="EP119" s="93"/>
      <c r="EQ119" s="93"/>
      <c r="ER119" s="93"/>
      <c r="ES119" s="93"/>
      <c r="ET119" s="93"/>
      <c r="EU119" s="93"/>
      <c r="EV119" s="20"/>
      <c r="EW119" s="25">
        <v>46</v>
      </c>
      <c r="EX119" s="915"/>
      <c r="EY119" s="916"/>
      <c r="EZ119" s="916"/>
      <c r="FA119" s="916"/>
      <c r="FB119" s="916"/>
      <c r="FC119" s="916"/>
      <c r="FD119" s="916"/>
      <c r="FE119" s="916"/>
      <c r="FF119" s="916"/>
      <c r="FG119" s="917"/>
      <c r="FH119" s="25">
        <v>46</v>
      </c>
      <c r="FI119" s="848">
        <v>40695</v>
      </c>
      <c r="FJ119" s="19"/>
      <c r="FK119" s="93"/>
      <c r="FL119" s="20"/>
      <c r="FM119" s="25">
        <v>46</v>
      </c>
      <c r="FN119" s="19"/>
      <c r="FO119" s="93"/>
      <c r="FP119" s="93"/>
      <c r="FQ119" s="93"/>
      <c r="FR119" s="93"/>
      <c r="FS119" s="93"/>
      <c r="FT119" s="93"/>
      <c r="FU119" s="93"/>
      <c r="FV119" s="93"/>
      <c r="FW119" s="917"/>
      <c r="FX119" s="25">
        <v>46</v>
      </c>
      <c r="FY119" s="916"/>
      <c r="FZ119" s="916"/>
      <c r="GA119" s="916"/>
      <c r="GB119" s="916"/>
      <c r="GC119" s="916"/>
      <c r="GD119" s="916"/>
      <c r="GE119" s="916"/>
      <c r="GF119" s="916"/>
      <c r="GG119" s="916"/>
      <c r="GH119" s="916"/>
      <c r="GI119" s="917"/>
      <c r="GJ119" s="25">
        <v>46</v>
      </c>
      <c r="GK119" s="19"/>
      <c r="GL119" s="20"/>
      <c r="GM119" s="25">
        <v>46</v>
      </c>
      <c r="GN119" s="19">
        <v>3223</v>
      </c>
      <c r="GO119" s="20">
        <v>1188</v>
      </c>
      <c r="GP119" s="25">
        <v>46</v>
      </c>
      <c r="GQ119" s="19"/>
      <c r="GR119" s="20"/>
      <c r="GS119" s="25">
        <v>46</v>
      </c>
      <c r="GT119" s="848">
        <v>40695</v>
      </c>
      <c r="GU119" s="19"/>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v>46</v>
      </c>
      <c r="IW119" s="848">
        <v>40695</v>
      </c>
      <c r="IX119" s="1035"/>
      <c r="IY119" s="1035">
        <v>181.58459999999999</v>
      </c>
      <c r="IZ119" s="1035">
        <v>222.34819999999999</v>
      </c>
      <c r="JA119" s="1035">
        <v>0.81703133900000002</v>
      </c>
      <c r="JB119" s="1035">
        <v>495.5709895859257</v>
      </c>
      <c r="JC119" s="1035">
        <v>79.391000000000005</v>
      </c>
      <c r="JD119" s="1035">
        <v>757.36362092492573</v>
      </c>
      <c r="JE119" s="1035">
        <v>605.3634101828726</v>
      </c>
      <c r="JF119" s="1035">
        <v>1362.7270311077982</v>
      </c>
      <c r="JG119" s="1035"/>
      <c r="JH119" s="1035">
        <v>595.96936210529122</v>
      </c>
      <c r="JI119" s="1035">
        <v>248.68278401600006</v>
      </c>
      <c r="JJ119" s="1035">
        <v>347.28657808929108</v>
      </c>
      <c r="JK119" s="1035">
        <v>954.35864958350737</v>
      </c>
      <c r="JL119" s="1035">
        <v>-4.5387171319999862</v>
      </c>
      <c r="JM119" s="1035">
        <v>-10.310717131999992</v>
      </c>
      <c r="JN119" s="1035">
        <v>5.7720000000000056</v>
      </c>
      <c r="JO119" s="1035">
        <v>958.89736671550736</v>
      </c>
      <c r="JP119" s="1035">
        <v>4.0045450360000006</v>
      </c>
      <c r="JQ119" s="1035">
        <v>954.89282167950739</v>
      </c>
      <c r="JR119" s="1035">
        <v>186.91176917899998</v>
      </c>
      <c r="JS119" s="1035">
        <v>0.68921140199999797</v>
      </c>
      <c r="JT119" s="1036">
        <v>1362.7270311077987</v>
      </c>
      <c r="JU119" s="29">
        <v>46</v>
      </c>
      <c r="JV119" s="1037"/>
      <c r="JW119" s="1526">
        <f>VLOOKUP($IW119,Base_Mensuelle!$OF$68:$RM$679,HLOOKUP(JW$73,Base_Mensuelle!$PE$67:$QE$680,614,0))</f>
        <v>248.68278401600006</v>
      </c>
      <c r="JX119" s="1526">
        <f>VLOOKUP($IW119,Base_Mensuelle!$OF$68:$RM$679,HLOOKUP(JX$73,Base_Mensuelle!$PE$67:$QE$680,614,0))</f>
        <v>500.01709243400006</v>
      </c>
      <c r="JY119" s="1526">
        <f>VLOOKUP($IW119,Base_Mensuelle!$OF$68:$RM$679,HLOOKUP(JY$73,Base_Mensuelle!$PE$67:$QE$680,614,0))</f>
        <v>251.33430841800001</v>
      </c>
      <c r="JZ119" s="1526">
        <f>VLOOKUP($IW119,Base_Mensuelle!$OF$68:$RM$679,HLOOKUP(JZ$73,Base_Mensuelle!$PE$67:$QE$680,614,0))</f>
        <v>106.11</v>
      </c>
      <c r="KA119" s="1526">
        <f>VLOOKUP($IW119,Base_Mensuelle!$OF$68:$RM$679,HLOOKUP(KA$73,Base_Mensuelle!$PE$67:$QE$680,614,0))</f>
        <v>-2.2901171319999918</v>
      </c>
      <c r="KB119" s="1526">
        <f>VLOOKUP($IW119,Base_Mensuelle!$OF$68:$RM$679,HLOOKUP(KB$73,Base_Mensuelle!$PE$67:$QE$680,614,0))</f>
        <v>102.176840603</v>
      </c>
      <c r="KC119" s="1526">
        <f>VLOOKUP($IW119,Base_Mensuelle!$OF$68:$RM$679,HLOOKUP(KC$73,Base_Mensuelle!$PE$67:$QE$680,614,0))</f>
        <v>104.46695773499999</v>
      </c>
      <c r="KD119" s="1526">
        <f>VLOOKUP($IW119,Base_Mensuelle!$OF$68:$RM$679,HLOOKUP(KD$73,Base_Mensuelle!$PE$67:$QE$680,614,0))</f>
        <v>4.0045450360000006</v>
      </c>
      <c r="KE119" s="1526">
        <f>VLOOKUP($IW119,Base_Mensuelle!$OF$68:$RM$679,HLOOKUP(KE$73,Base_Mensuelle!$PE$67:$QE$680,614,0))</f>
        <v>0.85</v>
      </c>
      <c r="KF119" s="1526">
        <f>VLOOKUP($IW119,Base_Mensuelle!$OF$68:$RM$679,HLOOKUP(KF$73,Base_Mensuelle!$PE$67:$QE$680,614,0))</f>
        <v>0</v>
      </c>
      <c r="KG119" s="1526">
        <f>VLOOKUP($IW119,Base_Mensuelle!$OF$68:$RM$679,HLOOKUP(KG$73,Base_Mensuelle!$PE$67:$QE$680,614,0))</f>
        <v>4.4983300000000001E-4</v>
      </c>
      <c r="KH119" s="1526">
        <f>VLOOKUP($IW119,Base_Mensuelle!$OF$68:$RM$679,HLOOKUP(KH$73,Base_Mensuelle!$PE$67:$QE$680,614,0))</f>
        <v>3.1540952030000002</v>
      </c>
      <c r="KI119" s="1526">
        <f>VLOOKUP($IW119,Base_Mensuelle!$OF$68:$RM$679,HLOOKUP(KI$73,Base_Mensuelle!$PE$67:$QE$680,614,0))</f>
        <v>359.64881432799996</v>
      </c>
      <c r="KJ119" s="1526">
        <f>VLOOKUP($IW119,Base_Mensuelle!$OF$68:$RM$679,HLOOKUP(KJ$73,Base_Mensuelle!$PE$67:$QE$680,614,0))</f>
        <v>222.34819999999999</v>
      </c>
      <c r="KK119" s="1526">
        <f>VLOOKUP($IW119,Base_Mensuelle!$OF$68:$RM$679,HLOOKUP(KK$73,Base_Mensuelle!$PE$67:$QE$680,614,0))</f>
        <v>136.48358298900001</v>
      </c>
      <c r="KL119" s="1526">
        <f>VLOOKUP($IW119,Base_Mensuelle!$OF$68:$RM$679,HLOOKUP(KL$73,Base_Mensuelle!$PE$67:$QE$680,614,0))</f>
        <v>0.81703133900000002</v>
      </c>
      <c r="KM119" s="1526">
        <f>VLOOKUP($IW119,Base_Mensuelle!$OF$68:$RM$679,HLOOKUP(KM$73,Base_Mensuelle!$PE$67:$QE$680,614,0))</f>
        <v>0</v>
      </c>
      <c r="KN119" s="1526">
        <f>VLOOKUP($IW119,Base_Mensuelle!$OF$68:$RM$679,HLOOKUP(KN$73,Base_Mensuelle!$PE$67:$QE$680,614,0))</f>
        <v>1.009505039</v>
      </c>
      <c r="KO119" s="1526">
        <f>VLOOKUP($IW119,Base_Mensuelle!$OF$68:$RM$679,HLOOKUP(KO$73,Base_Mensuelle!$PE$67:$QE$680,614,0))</f>
        <v>0</v>
      </c>
      <c r="KP119" s="1526">
        <f>VLOOKUP($IW119,Base_Mensuelle!$OF$68:$RM$679,HLOOKUP(KP$73,Base_Mensuelle!$PE$67:$QE$680,614,0))</f>
        <v>0</v>
      </c>
      <c r="KQ119" s="1526">
        <f>VLOOKUP($IW119,Base_Mensuelle!$OF$68:$RM$679,HLOOKUP(KQ$73,Base_Mensuelle!$PE$67:$QE$680,614,0))</f>
        <v>1.009505039</v>
      </c>
      <c r="KR119" s="1526">
        <f>VLOOKUP($IW119,Base_Mensuelle!$OF$68:$RM$679,HLOOKUP(KR$73,Base_Mensuelle!$PE$67:$QE$680,614,0))</f>
        <v>0</v>
      </c>
      <c r="KS119" s="1526">
        <f>VLOOKUP($IW119,Base_Mensuelle!$OF$68:$RM$679,HLOOKUP(KS$73,Base_Mensuelle!$PE$67:$QE$680,614,0))</f>
        <v>0</v>
      </c>
      <c r="KT119" s="1526">
        <f>VLOOKUP($IW119,Base_Mensuelle!$OF$68:$RM$679,HLOOKUP(KT$73,Base_Mensuelle!$PE$67:$QE$680,614,0))</f>
        <v>0</v>
      </c>
      <c r="KU119" s="1526">
        <f>VLOOKUP($IW119,Base_Mensuelle!$OF$68:$RM$679,HLOOKUP(KU$73,Base_Mensuelle!$PE$67:$QE$680,614,0))</f>
        <v>0.44426413999999997</v>
      </c>
      <c r="KV119" s="1526">
        <f>VLOOKUP($IW119,Base_Mensuelle!$OF$68:$RM$679,HLOOKUP(KV$73,Base_Mensuelle!$PE$67:$QE$680,614,0))</f>
        <v>-4.5953715869999954</v>
      </c>
      <c r="KW119" s="1036"/>
      <c r="KX119" s="29">
        <v>46</v>
      </c>
      <c r="KY119" s="1037"/>
      <c r="KZ119" s="182">
        <f>VLOOKUP($IW119,Base_Mensuelle!$OF$68:$RM$679,HLOOKUP(KZ$73,Base_Mensuelle!$QG$67:$RM$680,614,0))</f>
        <v>347.28657808929108</v>
      </c>
      <c r="LA119" s="182">
        <f>VLOOKUP($IW119,Base_Mensuelle!$OF$68:$RM$679,HLOOKUP(LA$73,Base_Mensuelle!$QG$67:$RM$680,614,0))</f>
        <v>455.1471783204928</v>
      </c>
      <c r="LB119" s="182">
        <f>VLOOKUP($IW119,Base_Mensuelle!$OF$68:$RM$679,HLOOKUP(LB$73,Base_Mensuelle!$QG$67:$RM$680,614,0))</f>
        <v>-107.86060023120172</v>
      </c>
      <c r="LC119" s="182">
        <f>VLOOKUP($IW119,Base_Mensuelle!$OF$68:$RM$679,HLOOKUP(LC$73,Base_Mensuelle!$QG$67:$RM$680,614,0))</f>
        <v>163.017</v>
      </c>
      <c r="LD119" s="182">
        <f>VLOOKUP($IW119,Base_Mensuelle!$OF$68:$RM$679,HLOOKUP(LD$73,Base_Mensuelle!$QG$67:$RM$680,614,0))</f>
        <v>32.743000000000002</v>
      </c>
      <c r="LE119" s="182">
        <f>VLOOKUP($IW119,Base_Mensuelle!$OF$68:$RM$679,HLOOKUP(LE$73,Base_Mensuelle!$QG$67:$RM$680,614,0))</f>
        <v>130.274</v>
      </c>
      <c r="LF119" s="182">
        <f>VLOOKUP($IW119,Base_Mensuelle!$OF$68:$RM$679,HLOOKUP(LF$73,Base_Mensuelle!$QG$67:$RM$680,614,0))</f>
        <v>0</v>
      </c>
      <c r="LG119" s="182">
        <f>VLOOKUP($IW119,Base_Mensuelle!$OF$68:$RM$679,HLOOKUP(LG$73,Base_Mensuelle!$QG$67:$RM$680,614,0))</f>
        <v>5.7720000000000056</v>
      </c>
      <c r="LH119" s="182">
        <f>VLOOKUP($IW119,Base_Mensuelle!$OF$68:$RM$679,HLOOKUP(LH$73,Base_Mensuelle!$QG$67:$RM$680,614,0))</f>
        <v>114.116</v>
      </c>
      <c r="LI119" s="182">
        <f>VLOOKUP($IW119,Base_Mensuelle!$OF$68:$RM$679,HLOOKUP(LI$73,Base_Mensuelle!$QG$67:$RM$680,614,0))</f>
        <v>-108.34399999999999</v>
      </c>
      <c r="LJ119" s="182">
        <f>VLOOKUP($IW119,Base_Mensuelle!$OF$68:$RM$679,HLOOKUP(LJ$73,Base_Mensuelle!$QG$67:$RM$680,614,0))</f>
        <v>954.89282167950739</v>
      </c>
      <c r="LK119" s="182">
        <f>VLOOKUP($IW119,Base_Mensuelle!$OF$68:$RM$679,HLOOKUP(LK$73,Base_Mensuelle!$QG$67:$RM$680,614,0))</f>
        <v>10.824473496292908</v>
      </c>
      <c r="LL119" s="182">
        <f>VLOOKUP($IW119,Base_Mensuelle!$OF$68:$RM$679,HLOOKUP(LL$73,Base_Mensuelle!$QG$67:$RM$680,614,0))</f>
        <v>0</v>
      </c>
      <c r="LM119" s="182">
        <f>VLOOKUP($IW119,Base_Mensuelle!$OF$68:$RM$679,HLOOKUP(LM$73,Base_Mensuelle!$QG$67:$RM$680,614,0))</f>
        <v>72.352000000000004</v>
      </c>
      <c r="LN119" s="182">
        <f>VLOOKUP($IW119,Base_Mensuelle!$OF$68:$RM$679,HLOOKUP(LN$73,Base_Mensuelle!$QG$67:$RM$680,614,0))</f>
        <v>871.71634818321445</v>
      </c>
      <c r="LO119" s="182">
        <f>VLOOKUP($IW119,Base_Mensuelle!$OF$68:$RM$679,HLOOKUP(LO$73,Base_Mensuelle!$QG$67:$RM$680,614,0))</f>
        <v>0</v>
      </c>
      <c r="LP119" s="182">
        <f>VLOOKUP($IW119,Base_Mensuelle!$OF$68:$RM$679,HLOOKUP(LP$73,Base_Mensuelle!$QG$67:$RM$680,614,0))</f>
        <v>106.21</v>
      </c>
      <c r="LQ119" s="182">
        <f>VLOOKUP($IW119,Base_Mensuelle!$OF$68:$RM$679,HLOOKUP(LQ$73,Base_Mensuelle!$QG$67:$RM$680,614,0))</f>
        <v>495.5709895859257</v>
      </c>
      <c r="LR119" s="182">
        <f>VLOOKUP($IW119,Base_Mensuelle!$OF$68:$RM$679,HLOOKUP(LR$73,Base_Mensuelle!$QG$67:$RM$680,614,0))</f>
        <v>605.3634101828726</v>
      </c>
      <c r="LS119" s="182">
        <f>VLOOKUP($IW119,Base_Mensuelle!$OF$68:$RM$679,HLOOKUP(LS$73,Base_Mensuelle!$QG$67:$RM$680,614,0))</f>
        <v>0</v>
      </c>
      <c r="LT119" s="182">
        <f>VLOOKUP($IW119,Base_Mensuelle!$OF$68:$RM$679,HLOOKUP(LT$73,Base_Mensuelle!$QG$67:$RM$680,614,0))</f>
        <v>27.562000000000001</v>
      </c>
      <c r="LU119" s="182">
        <f>VLOOKUP($IW119,Base_Mensuelle!$OF$68:$RM$679,HLOOKUP(LU$73,Base_Mensuelle!$QG$67:$RM$680,614,0))</f>
        <v>7.3330000000000002</v>
      </c>
      <c r="LV119" s="182">
        <f>VLOOKUP($IW119,Base_Mensuelle!$OF$68:$RM$679,HLOOKUP(LV$73,Base_Mensuelle!$QG$67:$RM$680,614,0))</f>
        <v>11.656000000000001</v>
      </c>
      <c r="LW119" s="182">
        <f>VLOOKUP($IW119,Base_Mensuelle!$OF$68:$RM$679,HLOOKUP(LW$73,Base_Mensuelle!$QG$67:$RM$680,614,0))</f>
        <v>0</v>
      </c>
      <c r="LX119" s="182">
        <f>VLOOKUP($IW119,Base_Mensuelle!$OF$68:$RM$679,HLOOKUP(LX$73,Base_Mensuelle!$QG$67:$RM$680,614,0))</f>
        <v>0</v>
      </c>
      <c r="LY119" s="182">
        <f>VLOOKUP($IW119,Base_Mensuelle!$OF$68:$RM$679,HLOOKUP(LY$73,Base_Mensuelle!$QG$67:$RM$680,614,0))</f>
        <v>138.90699999999998</v>
      </c>
      <c r="LZ119" s="182">
        <f>VLOOKUP($IW119,Base_Mensuelle!$OF$68:$RM$679,HLOOKUP(LZ$73,Base_Mensuelle!$QG$67:$RM$680,614,0))</f>
        <v>78.366</v>
      </c>
      <c r="MA119" s="182">
        <f>VLOOKUP($IW119,Base_Mensuelle!$OF$68:$RM$679,HLOOKUP(MA$73,Base_Mensuelle!$QG$67:$RM$680,614,0))</f>
        <v>0</v>
      </c>
      <c r="MB119" s="182">
        <f>VLOOKUP($IW119,Base_Mensuelle!$OF$68:$RM$679,HLOOKUP(MB$73,Base_Mensuelle!$QG$67:$RM$680,614,0))</f>
        <v>0</v>
      </c>
      <c r="MC119" s="182">
        <f>VLOOKUP($IW119,Base_Mensuelle!$OF$68:$RM$679,HLOOKUP(MC$73,Base_Mensuelle!$QG$67:$RM$680,614,0))</f>
        <v>0</v>
      </c>
      <c r="MD119" s="182">
        <f>VLOOKUP($IW119,Base_Mensuelle!$OF$68:$RM$679,HLOOKUP(MD$73,Base_Mensuelle!$QG$67:$RM$680,614,0))</f>
        <v>0</v>
      </c>
      <c r="ME119" s="182">
        <f>VLOOKUP($IW119,Base_Mensuelle!$OF$68:$RM$679,HLOOKUP(ME$73,Base_Mensuelle!$QG$67:$RM$680,614,0))</f>
        <v>0</v>
      </c>
      <c r="MF119" s="182"/>
      <c r="MG119" s="182"/>
      <c r="MH119" s="290"/>
      <c r="MI119" s="29">
        <v>46</v>
      </c>
      <c r="MJ119" s="29" t="str">
        <f t="shared" si="82"/>
        <v>Trimestre 22011</v>
      </c>
      <c r="MK119" s="848">
        <v>40695</v>
      </c>
      <c r="ML119" s="29"/>
      <c r="MM119" s="29"/>
      <c r="MN119" s="29"/>
      <c r="MO119" s="29"/>
      <c r="MP119" s="29"/>
      <c r="MQ119" s="29"/>
      <c r="MR119" s="29"/>
      <c r="MS119" s="29"/>
      <c r="MT119" s="29"/>
      <c r="MU119" s="29"/>
      <c r="MV119" s="29"/>
      <c r="MW119" s="29"/>
      <c r="MX119" s="29"/>
      <c r="MY119" s="29"/>
      <c r="MZ119" s="29"/>
      <c r="NA119" s="29"/>
      <c r="NB119" s="29"/>
      <c r="NC119" s="29"/>
      <c r="ND119" s="29"/>
      <c r="NE119" s="29"/>
      <c r="NF119" s="29"/>
      <c r="NG119" s="29"/>
      <c r="NH119" s="29"/>
      <c r="NI119" s="29"/>
      <c r="NJ119" s="29"/>
      <c r="NK119" s="29"/>
      <c r="NL119" s="29">
        <v>46</v>
      </c>
    </row>
    <row r="120" spans="1:376">
      <c r="A120" s="41">
        <f t="shared" si="80"/>
        <v>2011</v>
      </c>
      <c r="B120" s="785">
        <v>40787</v>
      </c>
      <c r="C120" s="19">
        <v>1162.0069548673894</v>
      </c>
      <c r="D120" s="93">
        <v>106.46251522602117</v>
      </c>
      <c r="E120" s="93">
        <v>123.07059341332261</v>
      </c>
      <c r="F120" s="93">
        <v>13.906336221115341</v>
      </c>
      <c r="G120" s="93">
        <v>29.584971807592616</v>
      </c>
      <c r="H120" s="93">
        <v>61.434617947251695</v>
      </c>
      <c r="I120" s="93">
        <v>143.48477107313334</v>
      </c>
      <c r="J120" s="93">
        <v>130.70658286024204</v>
      </c>
      <c r="K120" s="93">
        <v>56.666035908039433</v>
      </c>
      <c r="L120" s="93">
        <v>130.71887193793054</v>
      </c>
      <c r="M120" s="734">
        <v>109.94745040911573</v>
      </c>
      <c r="N120" s="25">
        <v>47</v>
      </c>
      <c r="O120" s="889">
        <f t="shared" si="79"/>
        <v>2011</v>
      </c>
      <c r="P120" s="29" t="str">
        <f t="shared" si="81"/>
        <v>Trimestre 32011</v>
      </c>
      <c r="Q120" s="848">
        <v>40787</v>
      </c>
      <c r="R120" s="733"/>
      <c r="S120" s="570">
        <v>0</v>
      </c>
      <c r="T120" s="570"/>
      <c r="U120" s="734"/>
      <c r="V120" s="25">
        <v>47</v>
      </c>
      <c r="W120" s="19"/>
      <c r="X120" s="93"/>
      <c r="Y120" s="93"/>
      <c r="Z120" s="93"/>
      <c r="AA120" s="93"/>
      <c r="AB120" s="93"/>
      <c r="AC120" s="93"/>
      <c r="AD120" s="93"/>
      <c r="AE120" s="20"/>
      <c r="AF120" s="25">
        <v>47</v>
      </c>
      <c r="AG120" s="19"/>
      <c r="AH120" s="93"/>
      <c r="AI120" s="93"/>
      <c r="AJ120" s="93"/>
      <c r="AK120" s="93"/>
      <c r="AL120" s="93"/>
      <c r="AM120" s="93"/>
      <c r="AN120" s="20"/>
      <c r="AO120" s="19"/>
      <c r="AP120" s="93"/>
      <c r="AQ120" s="93"/>
      <c r="AR120" s="93"/>
      <c r="AS120" s="20"/>
      <c r="AT120" s="19"/>
      <c r="AU120" s="93"/>
      <c r="AV120" s="20"/>
      <c r="AW120" s="19"/>
      <c r="AX120" s="93"/>
      <c r="AY120" s="93"/>
      <c r="AZ120" s="93"/>
      <c r="BA120" s="93"/>
      <c r="BB120" s="93"/>
      <c r="BC120" s="20"/>
      <c r="BD120" s="19"/>
      <c r="BE120" s="93"/>
      <c r="BF120" s="93"/>
      <c r="BG120" s="93"/>
      <c r="BH120" s="93"/>
      <c r="BI120" s="93"/>
      <c r="BJ120" s="93"/>
      <c r="BK120" s="20"/>
      <c r="BL120" s="19"/>
      <c r="BM120" s="93"/>
      <c r="BN120" s="93"/>
      <c r="BO120" s="93"/>
      <c r="BP120" s="93"/>
      <c r="BQ120" s="20"/>
      <c r="BR120" s="19"/>
      <c r="BS120" s="93"/>
      <c r="BT120" s="93"/>
      <c r="BU120" s="20"/>
      <c r="BV120" s="19"/>
      <c r="BW120" s="93"/>
      <c r="BX120" s="93"/>
      <c r="BY120" s="93"/>
      <c r="BZ120" s="93"/>
      <c r="CA120" s="93"/>
      <c r="CB120" s="20"/>
      <c r="CC120" s="25">
        <v>47</v>
      </c>
      <c r="CD120" s="19"/>
      <c r="CE120" s="93"/>
      <c r="CF120" s="20"/>
      <c r="CG120" s="25">
        <v>47</v>
      </c>
      <c r="CH120" s="19"/>
      <c r="CI120" s="93"/>
      <c r="CJ120" s="93"/>
      <c r="CK120" s="93"/>
      <c r="CL120" s="93"/>
      <c r="CM120" s="93"/>
      <c r="CN120" s="93"/>
      <c r="CO120" s="93"/>
      <c r="CP120" s="93"/>
      <c r="CQ120" s="93"/>
      <c r="CR120" s="214"/>
      <c r="CS120" s="20"/>
      <c r="CT120" s="25">
        <v>47</v>
      </c>
      <c r="CU120" s="19"/>
      <c r="CV120" s="93"/>
      <c r="CW120" s="93"/>
      <c r="CX120" s="93"/>
      <c r="CY120" s="93"/>
      <c r="CZ120" s="93"/>
      <c r="DA120" s="93"/>
      <c r="DB120" s="20"/>
      <c r="DC120" s="25">
        <v>47</v>
      </c>
      <c r="DD120" s="785">
        <v>40787</v>
      </c>
      <c r="DE120" s="19"/>
      <c r="DF120" s="20"/>
      <c r="DG120" s="25">
        <v>47</v>
      </c>
      <c r="DH120" s="19"/>
      <c r="DI120" s="20"/>
      <c r="DJ120" s="25">
        <v>47</v>
      </c>
      <c r="DK120" s="19"/>
      <c r="DL120" s="20"/>
      <c r="DM120" s="19"/>
      <c r="DN120" s="20"/>
      <c r="DO120" s="25">
        <v>47</v>
      </c>
      <c r="DP120" s="19"/>
      <c r="DQ120" s="93"/>
      <c r="DR120" s="20"/>
      <c r="DS120" s="25">
        <v>47</v>
      </c>
      <c r="DT120" s="19"/>
      <c r="DU120" s="93"/>
      <c r="DV120" s="20"/>
      <c r="DW120" s="25">
        <v>47</v>
      </c>
      <c r="DX120" s="19"/>
      <c r="DY120" s="20"/>
      <c r="DZ120" s="25">
        <v>47</v>
      </c>
      <c r="EA120" s="19"/>
      <c r="EB120" s="93"/>
      <c r="EC120" s="93"/>
      <c r="ED120" s="93"/>
      <c r="EE120" s="20"/>
      <c r="EF120" s="25">
        <v>47</v>
      </c>
      <c r="EG120" s="19"/>
      <c r="EH120" s="93"/>
      <c r="EI120" s="93"/>
      <c r="EJ120" s="93"/>
      <c r="EK120" s="20"/>
      <c r="EL120" s="25">
        <v>47</v>
      </c>
      <c r="EM120" s="19"/>
      <c r="EN120" s="93"/>
      <c r="EO120" s="93"/>
      <c r="EP120" s="93"/>
      <c r="EQ120" s="93"/>
      <c r="ER120" s="93"/>
      <c r="ES120" s="93"/>
      <c r="ET120" s="93"/>
      <c r="EU120" s="93"/>
      <c r="EV120" s="20"/>
      <c r="EW120" s="25">
        <v>47</v>
      </c>
      <c r="EX120" s="915"/>
      <c r="EY120" s="916"/>
      <c r="EZ120" s="916"/>
      <c r="FA120" s="916"/>
      <c r="FB120" s="916"/>
      <c r="FC120" s="916"/>
      <c r="FD120" s="916"/>
      <c r="FE120" s="916"/>
      <c r="FF120" s="916"/>
      <c r="FG120" s="917"/>
      <c r="FH120" s="25">
        <v>47</v>
      </c>
      <c r="FI120" s="848">
        <v>40787</v>
      </c>
      <c r="FJ120" s="19"/>
      <c r="FK120" s="93"/>
      <c r="FL120" s="20"/>
      <c r="FM120" s="25">
        <v>47</v>
      </c>
      <c r="FN120" s="19"/>
      <c r="FO120" s="93"/>
      <c r="FP120" s="93"/>
      <c r="FQ120" s="93"/>
      <c r="FR120" s="93"/>
      <c r="FS120" s="93"/>
      <c r="FT120" s="93"/>
      <c r="FU120" s="93"/>
      <c r="FV120" s="93"/>
      <c r="FW120" s="917"/>
      <c r="FX120" s="25">
        <v>47</v>
      </c>
      <c r="FY120" s="916"/>
      <c r="FZ120" s="916"/>
      <c r="GA120" s="916"/>
      <c r="GB120" s="916"/>
      <c r="GC120" s="916"/>
      <c r="GD120" s="916"/>
      <c r="GE120" s="916"/>
      <c r="GF120" s="916"/>
      <c r="GG120" s="916"/>
      <c r="GH120" s="916"/>
      <c r="GI120" s="917"/>
      <c r="GJ120" s="25">
        <v>47</v>
      </c>
      <c r="GK120" s="19"/>
      <c r="GL120" s="20"/>
      <c r="GM120" s="25">
        <v>47</v>
      </c>
      <c r="GN120" s="19">
        <v>3540</v>
      </c>
      <c r="GO120" s="20">
        <v>1258</v>
      </c>
      <c r="GP120" s="25">
        <v>47</v>
      </c>
      <c r="GQ120" s="19"/>
      <c r="GR120" s="20"/>
      <c r="GS120" s="25">
        <v>47</v>
      </c>
      <c r="GT120" s="848">
        <v>40787</v>
      </c>
      <c r="GU120" s="19"/>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v>47</v>
      </c>
      <c r="IW120" s="848">
        <v>40787</v>
      </c>
      <c r="IX120" s="1035"/>
      <c r="IY120" s="1035">
        <v>173.66510000000002</v>
      </c>
      <c r="IZ120" s="1035">
        <v>210.7697</v>
      </c>
      <c r="JA120" s="1035">
        <v>0.89785057099999999</v>
      </c>
      <c r="JB120" s="1035">
        <v>522.45922264755086</v>
      </c>
      <c r="JC120" s="1035">
        <v>87.087100000000007</v>
      </c>
      <c r="JD120" s="1035">
        <v>784.10927321855092</v>
      </c>
      <c r="JE120" s="1035">
        <v>596.47281778842876</v>
      </c>
      <c r="JF120" s="1035">
        <v>1380.5820910069797</v>
      </c>
      <c r="JG120" s="1035"/>
      <c r="JH120" s="1035">
        <v>691.40724442464193</v>
      </c>
      <c r="JI120" s="1035">
        <v>239.35801042499997</v>
      </c>
      <c r="JJ120" s="1035">
        <v>452.0492339996419</v>
      </c>
      <c r="JK120" s="1035">
        <v>883.06697881333764</v>
      </c>
      <c r="JL120" s="1035">
        <v>-82.726576354000017</v>
      </c>
      <c r="JM120" s="1035">
        <v>-85.44457635400002</v>
      </c>
      <c r="JN120" s="1035">
        <v>2.7180000000000035</v>
      </c>
      <c r="JO120" s="1035">
        <v>965.79355516733767</v>
      </c>
      <c r="JP120" s="1035">
        <v>4.301748731</v>
      </c>
      <c r="JQ120" s="1035">
        <v>961.4918064363377</v>
      </c>
      <c r="JR120" s="1035">
        <v>194.251203</v>
      </c>
      <c r="JS120" s="1035">
        <v>-0.35907076900004142</v>
      </c>
      <c r="JT120" s="1036">
        <v>1380.5820910069795</v>
      </c>
      <c r="JU120" s="29">
        <v>47</v>
      </c>
      <c r="JV120" s="1037"/>
      <c r="JW120" s="1526">
        <f>VLOOKUP($IW120,Base_Mensuelle!$OF$68:$RM$679,HLOOKUP(JW$73,Base_Mensuelle!$PE$67:$QE$680,614,0))</f>
        <v>239.35801042499997</v>
      </c>
      <c r="JX120" s="1526">
        <f>VLOOKUP($IW120,Base_Mensuelle!$OF$68:$RM$679,HLOOKUP(JX$73,Base_Mensuelle!$PE$67:$QE$680,614,0))</f>
        <v>565.40946915699999</v>
      </c>
      <c r="JY120" s="1526">
        <f>VLOOKUP($IW120,Base_Mensuelle!$OF$68:$RM$679,HLOOKUP(JY$73,Base_Mensuelle!$PE$67:$QE$680,614,0))</f>
        <v>326.05145873200001</v>
      </c>
      <c r="JZ120" s="1526">
        <f>VLOOKUP($IW120,Base_Mensuelle!$OF$68:$RM$679,HLOOKUP(JZ$73,Base_Mensuelle!$PE$67:$QE$680,614,0))</f>
        <v>146.36600000000001</v>
      </c>
      <c r="KA120" s="1526">
        <f>VLOOKUP($IW120,Base_Mensuelle!$OF$68:$RM$679,HLOOKUP(KA$73,Base_Mensuelle!$PE$67:$QE$680,614,0))</f>
        <v>-82.890976354000017</v>
      </c>
      <c r="KB120" s="1526">
        <f>VLOOKUP($IW120,Base_Mensuelle!$OF$68:$RM$679,HLOOKUP(KB$73,Base_Mensuelle!$PE$67:$QE$680,614,0))</f>
        <v>104.9212232</v>
      </c>
      <c r="KC120" s="1526">
        <f>VLOOKUP($IW120,Base_Mensuelle!$OF$68:$RM$679,HLOOKUP(KC$73,Base_Mensuelle!$PE$67:$QE$680,614,0))</f>
        <v>187.81219955400002</v>
      </c>
      <c r="KD120" s="1526">
        <f>VLOOKUP($IW120,Base_Mensuelle!$OF$68:$RM$679,HLOOKUP(KD$73,Base_Mensuelle!$PE$67:$QE$680,614,0))</f>
        <v>4.301748731</v>
      </c>
      <c r="KE120" s="1526">
        <f>VLOOKUP($IW120,Base_Mensuelle!$OF$68:$RM$679,HLOOKUP(KE$73,Base_Mensuelle!$PE$67:$QE$680,614,0))</f>
        <v>1.1100000000000001</v>
      </c>
      <c r="KF120" s="1526">
        <f>VLOOKUP($IW120,Base_Mensuelle!$OF$68:$RM$679,HLOOKUP(KF$73,Base_Mensuelle!$PE$67:$QE$680,614,0))</f>
        <v>0</v>
      </c>
      <c r="KG120" s="1526">
        <f>VLOOKUP($IW120,Base_Mensuelle!$OF$68:$RM$679,HLOOKUP(KG$73,Base_Mensuelle!$PE$67:$QE$680,614,0))</f>
        <v>2.2492700000000001E-4</v>
      </c>
      <c r="KH120" s="1526">
        <f>VLOOKUP($IW120,Base_Mensuelle!$OF$68:$RM$679,HLOOKUP(KH$73,Base_Mensuelle!$PE$67:$QE$680,614,0))</f>
        <v>3.191523804</v>
      </c>
      <c r="KI120" s="1526">
        <f>VLOOKUP($IW120,Base_Mensuelle!$OF$68:$RM$679,HLOOKUP(KI$73,Base_Mensuelle!$PE$67:$QE$680,614,0))</f>
        <v>308.086804933</v>
      </c>
      <c r="KJ120" s="1526">
        <f>VLOOKUP($IW120,Base_Mensuelle!$OF$68:$RM$679,HLOOKUP(KJ$73,Base_Mensuelle!$PE$67:$QE$680,614,0))</f>
        <v>210.7697</v>
      </c>
      <c r="KK120" s="1526">
        <f>VLOOKUP($IW120,Base_Mensuelle!$OF$68:$RM$679,HLOOKUP(KK$73,Base_Mensuelle!$PE$67:$QE$680,614,0))</f>
        <v>96.419254362000004</v>
      </c>
      <c r="KL120" s="1526">
        <f>VLOOKUP($IW120,Base_Mensuelle!$OF$68:$RM$679,HLOOKUP(KL$73,Base_Mensuelle!$PE$67:$QE$680,614,0))</f>
        <v>0.89785057099999999</v>
      </c>
      <c r="KM120" s="1526">
        <f>VLOOKUP($IW120,Base_Mensuelle!$OF$68:$RM$679,HLOOKUP(KM$73,Base_Mensuelle!$PE$67:$QE$680,614,0))</f>
        <v>0</v>
      </c>
      <c r="KN120" s="1526">
        <f>VLOOKUP($IW120,Base_Mensuelle!$OF$68:$RM$679,HLOOKUP(KN$73,Base_Mensuelle!$PE$67:$QE$680,614,0))</f>
        <v>0.564220265</v>
      </c>
      <c r="KO120" s="1526">
        <f>VLOOKUP($IW120,Base_Mensuelle!$OF$68:$RM$679,HLOOKUP(KO$73,Base_Mensuelle!$PE$67:$QE$680,614,0))</f>
        <v>0</v>
      </c>
      <c r="KP120" s="1526">
        <f>VLOOKUP($IW120,Base_Mensuelle!$OF$68:$RM$679,HLOOKUP(KP$73,Base_Mensuelle!$PE$67:$QE$680,614,0))</f>
        <v>0</v>
      </c>
      <c r="KQ120" s="1526">
        <f>VLOOKUP($IW120,Base_Mensuelle!$OF$68:$RM$679,HLOOKUP(KQ$73,Base_Mensuelle!$PE$67:$QE$680,614,0))</f>
        <v>0.564220265</v>
      </c>
      <c r="KR120" s="1526">
        <f>VLOOKUP($IW120,Base_Mensuelle!$OF$68:$RM$679,HLOOKUP(KR$73,Base_Mensuelle!$PE$67:$QE$680,614,0))</f>
        <v>0</v>
      </c>
      <c r="KS120" s="1526">
        <f>VLOOKUP($IW120,Base_Mensuelle!$OF$68:$RM$679,HLOOKUP(KS$73,Base_Mensuelle!$PE$67:$QE$680,614,0))</f>
        <v>0</v>
      </c>
      <c r="KT120" s="1526">
        <f>VLOOKUP($IW120,Base_Mensuelle!$OF$68:$RM$679,HLOOKUP(KT$73,Base_Mensuelle!$PE$67:$QE$680,614,0))</f>
        <v>0</v>
      </c>
      <c r="KU120" s="1526">
        <f>VLOOKUP($IW120,Base_Mensuelle!$OF$68:$RM$679,HLOOKUP(KU$73,Base_Mensuelle!$PE$67:$QE$680,614,0))</f>
        <v>0.46398273499999998</v>
      </c>
      <c r="KV120" s="1526">
        <f>VLOOKUP($IW120,Base_Mensuelle!$OF$68:$RM$679,HLOOKUP(KV$73,Base_Mensuelle!$PE$67:$QE$680,614,0))</f>
        <v>-1.9802251309999996</v>
      </c>
      <c r="KW120" s="1036"/>
      <c r="KX120" s="29">
        <v>47</v>
      </c>
      <c r="KY120" s="1037"/>
      <c r="KZ120" s="182">
        <f>VLOOKUP($IW120,Base_Mensuelle!$OF$68:$RM$679,HLOOKUP(KZ$73,Base_Mensuelle!$QG$67:$RM$680,614,0))</f>
        <v>452.0492339996419</v>
      </c>
      <c r="LA120" s="182">
        <f>VLOOKUP($IW120,Base_Mensuelle!$OF$68:$RM$679,HLOOKUP(LA$73,Base_Mensuelle!$QG$67:$RM$680,614,0))</f>
        <v>558.07019356366231</v>
      </c>
      <c r="LB120" s="182">
        <f>VLOOKUP($IW120,Base_Mensuelle!$OF$68:$RM$679,HLOOKUP(LB$73,Base_Mensuelle!$QG$67:$RM$680,614,0))</f>
        <v>-106.02095956402042</v>
      </c>
      <c r="LC120" s="182">
        <f>VLOOKUP($IW120,Base_Mensuelle!$OF$68:$RM$679,HLOOKUP(LC$73,Base_Mensuelle!$QG$67:$RM$680,614,0))</f>
        <v>119.71900000000001</v>
      </c>
      <c r="LD120" s="182">
        <f>VLOOKUP($IW120,Base_Mensuelle!$OF$68:$RM$679,HLOOKUP(LD$73,Base_Mensuelle!$QG$67:$RM$680,614,0))</f>
        <v>34.551000000000002</v>
      </c>
      <c r="LE120" s="182">
        <f>VLOOKUP($IW120,Base_Mensuelle!$OF$68:$RM$679,HLOOKUP(LE$73,Base_Mensuelle!$QG$67:$RM$680,614,0))</f>
        <v>85.168000000000006</v>
      </c>
      <c r="LF120" s="182">
        <f>VLOOKUP($IW120,Base_Mensuelle!$OF$68:$RM$679,HLOOKUP(LF$73,Base_Mensuelle!$QG$67:$RM$680,614,0))</f>
        <v>0</v>
      </c>
      <c r="LG120" s="182">
        <f>VLOOKUP($IW120,Base_Mensuelle!$OF$68:$RM$679,HLOOKUP(LG$73,Base_Mensuelle!$QG$67:$RM$680,614,0))</f>
        <v>2.7180000000000035</v>
      </c>
      <c r="LH120" s="182">
        <f>VLOOKUP($IW120,Base_Mensuelle!$OF$68:$RM$679,HLOOKUP(LH$73,Base_Mensuelle!$QG$67:$RM$680,614,0))</f>
        <v>119.023</v>
      </c>
      <c r="LI120" s="182">
        <f>VLOOKUP($IW120,Base_Mensuelle!$OF$68:$RM$679,HLOOKUP(LI$73,Base_Mensuelle!$QG$67:$RM$680,614,0))</f>
        <v>-116.30499999999999</v>
      </c>
      <c r="LJ120" s="182">
        <f>VLOOKUP($IW120,Base_Mensuelle!$OF$68:$RM$679,HLOOKUP(LJ$73,Base_Mensuelle!$QG$67:$RM$680,614,0))</f>
        <v>961.4918064363377</v>
      </c>
      <c r="LK120" s="182">
        <f>VLOOKUP($IW120,Base_Mensuelle!$OF$68:$RM$679,HLOOKUP(LK$73,Base_Mensuelle!$QG$67:$RM$680,614,0))</f>
        <v>11.013792430289662</v>
      </c>
      <c r="LL120" s="182">
        <f>VLOOKUP($IW120,Base_Mensuelle!$OF$68:$RM$679,HLOOKUP(LL$73,Base_Mensuelle!$QG$67:$RM$680,614,0))</f>
        <v>0</v>
      </c>
      <c r="LM120" s="182">
        <f>VLOOKUP($IW120,Base_Mensuelle!$OF$68:$RM$679,HLOOKUP(LM$73,Base_Mensuelle!$QG$67:$RM$680,614,0))</f>
        <v>134.43600000000001</v>
      </c>
      <c r="LN120" s="182">
        <f>VLOOKUP($IW120,Base_Mensuelle!$OF$68:$RM$679,HLOOKUP(LN$73,Base_Mensuelle!$QG$67:$RM$680,614,0))</f>
        <v>816.04201400604802</v>
      </c>
      <c r="LO120" s="182">
        <f>VLOOKUP($IW120,Base_Mensuelle!$OF$68:$RM$679,HLOOKUP(LO$73,Base_Mensuelle!$QG$67:$RM$680,614,0))</f>
        <v>0</v>
      </c>
      <c r="LP120" s="182">
        <f>VLOOKUP($IW120,Base_Mensuelle!$OF$68:$RM$679,HLOOKUP(LP$73,Base_Mensuelle!$QG$67:$RM$680,614,0))</f>
        <v>157.619</v>
      </c>
      <c r="LQ120" s="182">
        <f>VLOOKUP($IW120,Base_Mensuelle!$OF$68:$RM$679,HLOOKUP(LQ$73,Base_Mensuelle!$QG$67:$RM$680,614,0))</f>
        <v>522.45922264755086</v>
      </c>
      <c r="LR120" s="182">
        <f>VLOOKUP($IW120,Base_Mensuelle!$OF$68:$RM$679,HLOOKUP(LR$73,Base_Mensuelle!$QG$67:$RM$680,614,0))</f>
        <v>596.47281778842876</v>
      </c>
      <c r="LS120" s="182">
        <f>VLOOKUP($IW120,Base_Mensuelle!$OF$68:$RM$679,HLOOKUP(LS$73,Base_Mensuelle!$QG$67:$RM$680,614,0))</f>
        <v>0</v>
      </c>
      <c r="LT120" s="182">
        <f>VLOOKUP($IW120,Base_Mensuelle!$OF$68:$RM$679,HLOOKUP(LT$73,Base_Mensuelle!$QG$67:$RM$680,614,0))</f>
        <v>28.816000000000003</v>
      </c>
      <c r="LU120" s="182">
        <f>VLOOKUP($IW120,Base_Mensuelle!$OF$68:$RM$679,HLOOKUP(LU$73,Base_Mensuelle!$QG$67:$RM$680,614,0))</f>
        <v>7.4139999999999997</v>
      </c>
      <c r="LV120" s="182">
        <f>VLOOKUP($IW120,Base_Mensuelle!$OF$68:$RM$679,HLOOKUP(LV$73,Base_Mensuelle!$QG$67:$RM$680,614,0))</f>
        <v>11.923</v>
      </c>
      <c r="LW120" s="182">
        <f>VLOOKUP($IW120,Base_Mensuelle!$OF$68:$RM$679,HLOOKUP(LW$73,Base_Mensuelle!$QG$67:$RM$680,614,0))</f>
        <v>0</v>
      </c>
      <c r="LX120" s="182">
        <f>VLOOKUP($IW120,Base_Mensuelle!$OF$68:$RM$679,HLOOKUP(LX$73,Base_Mensuelle!$QG$67:$RM$680,614,0))</f>
        <v>0</v>
      </c>
      <c r="LY120" s="182">
        <f>VLOOKUP($IW120,Base_Mensuelle!$OF$68:$RM$679,HLOOKUP(LY$73,Base_Mensuelle!$QG$67:$RM$680,614,0))</f>
        <v>145.07</v>
      </c>
      <c r="LZ120" s="182">
        <f>VLOOKUP($IW120,Base_Mensuelle!$OF$68:$RM$679,HLOOKUP(LZ$73,Base_Mensuelle!$QG$67:$RM$680,614,0))</f>
        <v>66.203999999999979</v>
      </c>
      <c r="MA120" s="182">
        <f>VLOOKUP($IW120,Base_Mensuelle!$OF$68:$RM$679,HLOOKUP(MA$73,Base_Mensuelle!$QG$67:$RM$680,614,0))</f>
        <v>0</v>
      </c>
      <c r="MB120" s="182">
        <f>VLOOKUP($IW120,Base_Mensuelle!$OF$68:$RM$679,HLOOKUP(MB$73,Base_Mensuelle!$QG$67:$RM$680,614,0))</f>
        <v>0</v>
      </c>
      <c r="MC120" s="182">
        <f>VLOOKUP($IW120,Base_Mensuelle!$OF$68:$RM$679,HLOOKUP(MC$73,Base_Mensuelle!$QG$67:$RM$680,614,0))</f>
        <v>0</v>
      </c>
      <c r="MD120" s="182">
        <f>VLOOKUP($IW120,Base_Mensuelle!$OF$68:$RM$679,HLOOKUP(MD$73,Base_Mensuelle!$QG$67:$RM$680,614,0))</f>
        <v>0</v>
      </c>
      <c r="ME120" s="182">
        <f>VLOOKUP($IW120,Base_Mensuelle!$OF$68:$RM$679,HLOOKUP(ME$73,Base_Mensuelle!$QG$67:$RM$680,614,0))</f>
        <v>0</v>
      </c>
      <c r="MF120" s="182"/>
      <c r="MG120" s="182"/>
      <c r="MH120" s="290"/>
      <c r="MI120" s="29">
        <v>47</v>
      </c>
      <c r="MJ120" s="29" t="str">
        <f t="shared" si="82"/>
        <v>Trimestre 32011</v>
      </c>
      <c r="MK120" s="848">
        <v>40787</v>
      </c>
      <c r="ML120" s="29"/>
      <c r="MM120" s="29"/>
      <c r="MN120" s="29"/>
      <c r="MO120" s="29"/>
      <c r="MP120" s="29"/>
      <c r="MQ120" s="29"/>
      <c r="MR120" s="29"/>
      <c r="MS120" s="29"/>
      <c r="MT120" s="29"/>
      <c r="MU120" s="29"/>
      <c r="MV120" s="29"/>
      <c r="MW120" s="29"/>
      <c r="MX120" s="29"/>
      <c r="MY120" s="29"/>
      <c r="MZ120" s="29"/>
      <c r="NA120" s="29"/>
      <c r="NB120" s="29"/>
      <c r="NC120" s="29"/>
      <c r="ND120" s="29"/>
      <c r="NE120" s="29"/>
      <c r="NF120" s="29"/>
      <c r="NG120" s="29"/>
      <c r="NH120" s="29"/>
      <c r="NI120" s="29"/>
      <c r="NJ120" s="29"/>
      <c r="NK120" s="29"/>
      <c r="NL120" s="29">
        <v>47</v>
      </c>
    </row>
    <row r="121" spans="1:376">
      <c r="A121" s="41">
        <f t="shared" si="80"/>
        <v>2011</v>
      </c>
      <c r="B121" s="785">
        <v>40878</v>
      </c>
      <c r="C121" s="19">
        <v>1031.9039273347757</v>
      </c>
      <c r="D121" s="93">
        <v>132.64276903062961</v>
      </c>
      <c r="E121" s="93">
        <v>122.92994240006122</v>
      </c>
      <c r="F121" s="93">
        <v>32.785569884883778</v>
      </c>
      <c r="G121" s="93">
        <v>28.485584412233312</v>
      </c>
      <c r="H121" s="93">
        <v>66.315029946944009</v>
      </c>
      <c r="I121" s="93">
        <v>174.55792008437277</v>
      </c>
      <c r="J121" s="93">
        <v>139.962146254207</v>
      </c>
      <c r="K121" s="93">
        <v>88.639299637200125</v>
      </c>
      <c r="L121" s="93">
        <v>161.73538174981493</v>
      </c>
      <c r="M121" s="734">
        <v>129.09442309345209</v>
      </c>
      <c r="N121" s="25">
        <v>48</v>
      </c>
      <c r="O121" s="889">
        <f t="shared" si="79"/>
        <v>2011</v>
      </c>
      <c r="P121" s="29" t="str">
        <f t="shared" si="81"/>
        <v>Trimestre 42011</v>
      </c>
      <c r="Q121" s="848">
        <v>40878</v>
      </c>
      <c r="R121" s="733"/>
      <c r="S121" s="570">
        <v>40.838000000000001</v>
      </c>
      <c r="T121" s="570"/>
      <c r="U121" s="734"/>
      <c r="V121" s="25">
        <v>48</v>
      </c>
      <c r="W121" s="19"/>
      <c r="X121" s="93"/>
      <c r="Y121" s="93"/>
      <c r="Z121" s="93"/>
      <c r="AA121" s="93"/>
      <c r="AB121" s="93"/>
      <c r="AC121" s="93"/>
      <c r="AD121" s="93"/>
      <c r="AE121" s="20"/>
      <c r="AF121" s="25">
        <v>48</v>
      </c>
      <c r="AG121" s="19"/>
      <c r="AH121" s="93"/>
      <c r="AI121" s="93"/>
      <c r="AJ121" s="93"/>
      <c r="AK121" s="93"/>
      <c r="AL121" s="93"/>
      <c r="AM121" s="93"/>
      <c r="AN121" s="20"/>
      <c r="AO121" s="19"/>
      <c r="AP121" s="93"/>
      <c r="AQ121" s="93"/>
      <c r="AR121" s="93"/>
      <c r="AS121" s="20"/>
      <c r="AT121" s="19"/>
      <c r="AU121" s="93"/>
      <c r="AV121" s="20"/>
      <c r="AW121" s="19"/>
      <c r="AX121" s="93"/>
      <c r="AY121" s="93"/>
      <c r="AZ121" s="93"/>
      <c r="BA121" s="93"/>
      <c r="BB121" s="93"/>
      <c r="BC121" s="20"/>
      <c r="BD121" s="19"/>
      <c r="BE121" s="93"/>
      <c r="BF121" s="93"/>
      <c r="BG121" s="93"/>
      <c r="BH121" s="93"/>
      <c r="BI121" s="93"/>
      <c r="BJ121" s="93"/>
      <c r="BK121" s="20"/>
      <c r="BL121" s="19"/>
      <c r="BM121" s="93"/>
      <c r="BN121" s="93"/>
      <c r="BO121" s="93"/>
      <c r="BP121" s="93"/>
      <c r="BQ121" s="20"/>
      <c r="BR121" s="19"/>
      <c r="BS121" s="93"/>
      <c r="BT121" s="93"/>
      <c r="BU121" s="20"/>
      <c r="BV121" s="19"/>
      <c r="BW121" s="93"/>
      <c r="BX121" s="93"/>
      <c r="BY121" s="93"/>
      <c r="BZ121" s="93"/>
      <c r="CA121" s="93"/>
      <c r="CB121" s="20"/>
      <c r="CC121" s="25">
        <v>48</v>
      </c>
      <c r="CD121" s="19"/>
      <c r="CE121" s="93"/>
      <c r="CF121" s="20"/>
      <c r="CG121" s="25">
        <v>48</v>
      </c>
      <c r="CH121" s="19"/>
      <c r="CI121" s="93"/>
      <c r="CJ121" s="93"/>
      <c r="CK121" s="93"/>
      <c r="CL121" s="93"/>
      <c r="CM121" s="93"/>
      <c r="CN121" s="93"/>
      <c r="CO121" s="93"/>
      <c r="CP121" s="93"/>
      <c r="CQ121" s="93"/>
      <c r="CR121" s="214"/>
      <c r="CS121" s="20"/>
      <c r="CT121" s="25">
        <v>48</v>
      </c>
      <c r="CU121" s="19"/>
      <c r="CV121" s="93"/>
      <c r="CW121" s="93"/>
      <c r="CX121" s="93"/>
      <c r="CY121" s="93"/>
      <c r="CZ121" s="93"/>
      <c r="DA121" s="93"/>
      <c r="DB121" s="20"/>
      <c r="DC121" s="25">
        <v>48</v>
      </c>
      <c r="DD121" s="785">
        <v>40878</v>
      </c>
      <c r="DE121" s="19"/>
      <c r="DF121" s="20"/>
      <c r="DG121" s="25">
        <v>48</v>
      </c>
      <c r="DH121" s="19"/>
      <c r="DI121" s="20"/>
      <c r="DJ121" s="25">
        <v>48</v>
      </c>
      <c r="DK121" s="19"/>
      <c r="DL121" s="20"/>
      <c r="DM121" s="19"/>
      <c r="DN121" s="20"/>
      <c r="DO121" s="25">
        <v>48</v>
      </c>
      <c r="DP121" s="19"/>
      <c r="DQ121" s="93"/>
      <c r="DR121" s="20"/>
      <c r="DS121" s="25">
        <v>48</v>
      </c>
      <c r="DT121" s="19"/>
      <c r="DU121" s="93"/>
      <c r="DV121" s="20"/>
      <c r="DW121" s="25">
        <v>48</v>
      </c>
      <c r="DX121" s="19"/>
      <c r="DY121" s="20"/>
      <c r="DZ121" s="25">
        <v>48</v>
      </c>
      <c r="EA121" s="19"/>
      <c r="EB121" s="93"/>
      <c r="EC121" s="93"/>
      <c r="ED121" s="93"/>
      <c r="EE121" s="20"/>
      <c r="EF121" s="25">
        <v>48</v>
      </c>
      <c r="EG121" s="19"/>
      <c r="EH121" s="93"/>
      <c r="EI121" s="93"/>
      <c r="EJ121" s="93"/>
      <c r="EK121" s="20"/>
      <c r="EL121" s="25">
        <v>48</v>
      </c>
      <c r="EM121" s="19"/>
      <c r="EN121" s="93"/>
      <c r="EO121" s="93"/>
      <c r="EP121" s="93"/>
      <c r="EQ121" s="93"/>
      <c r="ER121" s="93"/>
      <c r="ES121" s="93"/>
      <c r="ET121" s="93"/>
      <c r="EU121" s="93"/>
      <c r="EV121" s="20"/>
      <c r="EW121" s="25">
        <v>48</v>
      </c>
      <c r="EX121" s="915"/>
      <c r="EY121" s="916"/>
      <c r="EZ121" s="916"/>
      <c r="FA121" s="916"/>
      <c r="FB121" s="916"/>
      <c r="FC121" s="916"/>
      <c r="FD121" s="916"/>
      <c r="FE121" s="916"/>
      <c r="FF121" s="916"/>
      <c r="FG121" s="917"/>
      <c r="FH121" s="25">
        <v>48</v>
      </c>
      <c r="FI121" s="848">
        <v>40878</v>
      </c>
      <c r="FJ121" s="19"/>
      <c r="FK121" s="93"/>
      <c r="FL121" s="20"/>
      <c r="FM121" s="25">
        <v>48</v>
      </c>
      <c r="FN121" s="19"/>
      <c r="FO121" s="93"/>
      <c r="FP121" s="93"/>
      <c r="FQ121" s="93"/>
      <c r="FR121" s="93"/>
      <c r="FS121" s="93"/>
      <c r="FT121" s="93"/>
      <c r="FU121" s="93"/>
      <c r="FV121" s="93"/>
      <c r="FW121" s="917"/>
      <c r="FX121" s="25">
        <v>48</v>
      </c>
      <c r="FY121" s="916"/>
      <c r="FZ121" s="916"/>
      <c r="GA121" s="916"/>
      <c r="GB121" s="916"/>
      <c r="GC121" s="916"/>
      <c r="GD121" s="916"/>
      <c r="GE121" s="916"/>
      <c r="GF121" s="916"/>
      <c r="GG121" s="916"/>
      <c r="GH121" s="916"/>
      <c r="GI121" s="917"/>
      <c r="GJ121" s="25">
        <v>48</v>
      </c>
      <c r="GK121" s="19"/>
      <c r="GL121" s="20"/>
      <c r="GM121" s="25">
        <v>48</v>
      </c>
      <c r="GN121" s="19">
        <v>3367</v>
      </c>
      <c r="GO121" s="20">
        <v>1338</v>
      </c>
      <c r="GP121" s="25">
        <v>48</v>
      </c>
      <c r="GQ121" s="19"/>
      <c r="GR121" s="20"/>
      <c r="GS121" s="25">
        <v>48</v>
      </c>
      <c r="GT121" s="848">
        <v>40878</v>
      </c>
      <c r="GU121" s="19"/>
      <c r="GV121" s="93"/>
      <c r="GW121" s="93"/>
      <c r="GX121" s="93"/>
      <c r="GY121" s="93"/>
      <c r="GZ121" s="93"/>
      <c r="HA121" s="93"/>
      <c r="HB121" s="93"/>
      <c r="HC121" s="93"/>
      <c r="HD121" s="93"/>
      <c r="HE121" s="93"/>
      <c r="HF121" s="93"/>
      <c r="HG121" s="93"/>
      <c r="HH121" s="93"/>
      <c r="HI121" s="93"/>
      <c r="HJ121" s="93"/>
      <c r="HK121" s="93"/>
      <c r="HL121" s="93"/>
      <c r="HM121" s="93"/>
      <c r="HN121" s="93"/>
      <c r="HO121" s="93"/>
      <c r="HP121" s="93"/>
      <c r="HQ121" s="93"/>
      <c r="HR121" s="93"/>
      <c r="HS121" s="93"/>
      <c r="HT121" s="93"/>
      <c r="HU121" s="93"/>
      <c r="HV121" s="93"/>
      <c r="HW121" s="93"/>
      <c r="HX121" s="93"/>
      <c r="HY121" s="93"/>
      <c r="HZ121" s="93"/>
      <c r="IA121" s="93"/>
      <c r="IB121" s="93"/>
      <c r="IC121" s="93"/>
      <c r="ID121" s="93"/>
      <c r="IE121" s="93"/>
      <c r="IF121" s="93"/>
      <c r="IG121" s="93"/>
      <c r="IH121" s="93"/>
      <c r="II121" s="93"/>
      <c r="IJ121" s="93"/>
      <c r="IK121" s="93"/>
      <c r="IL121" s="93"/>
      <c r="IM121" s="93"/>
      <c r="IN121" s="93"/>
      <c r="IO121" s="93"/>
      <c r="IP121" s="93"/>
      <c r="IQ121" s="93"/>
      <c r="IR121" s="93"/>
      <c r="IS121" s="93"/>
      <c r="IT121" s="93"/>
      <c r="IU121" s="93"/>
      <c r="IV121" s="93">
        <v>48</v>
      </c>
      <c r="IW121" s="848">
        <v>40878</v>
      </c>
      <c r="IX121" s="1035"/>
      <c r="IY121" s="1035">
        <v>189.53030000000001</v>
      </c>
      <c r="IZ121" s="1035">
        <v>228.67400000000001</v>
      </c>
      <c r="JA121" s="1035">
        <v>0.56292497200000002</v>
      </c>
      <c r="JB121" s="1035">
        <v>593.58800068716687</v>
      </c>
      <c r="JC121" s="1035">
        <v>84.876899999999992</v>
      </c>
      <c r="JD121" s="1035">
        <v>868.55812565916688</v>
      </c>
      <c r="JE121" s="1035">
        <v>597.71116451189084</v>
      </c>
      <c r="JF121" s="1035">
        <v>1466.2692901710577</v>
      </c>
      <c r="JG121" s="1035"/>
      <c r="JH121" s="1035">
        <v>720.66271644558333</v>
      </c>
      <c r="JI121" s="1035">
        <v>271.05454604799996</v>
      </c>
      <c r="JJ121" s="1035">
        <v>449.60817039758342</v>
      </c>
      <c r="JK121" s="1035">
        <v>938.60491853847429</v>
      </c>
      <c r="JL121" s="1035">
        <v>-91.668534701000027</v>
      </c>
      <c r="JM121" s="1035">
        <v>-80.240534701000016</v>
      </c>
      <c r="JN121" s="1035">
        <v>-11.428000000000011</v>
      </c>
      <c r="JO121" s="1035">
        <v>1030.2734532394743</v>
      </c>
      <c r="JP121" s="1035">
        <v>4.2484584380000001</v>
      </c>
      <c r="JQ121" s="1035">
        <v>1026.0249948014743</v>
      </c>
      <c r="JR121" s="1035">
        <v>226.56002313400001</v>
      </c>
      <c r="JS121" s="1035">
        <v>-33.561678320999967</v>
      </c>
      <c r="JT121" s="1036">
        <v>1466.2692901710577</v>
      </c>
      <c r="JU121" s="29">
        <v>48</v>
      </c>
      <c r="JV121" s="1037"/>
      <c r="JW121" s="1526">
        <f>VLOOKUP($IW121,Base_Mensuelle!$OF$68:$RM$679,HLOOKUP(JW$73,Base_Mensuelle!$PE$67:$QE$680,614,0))</f>
        <v>271.05454604799996</v>
      </c>
      <c r="JX121" s="1526">
        <f>VLOOKUP($IW121,Base_Mensuelle!$OF$68:$RM$679,HLOOKUP(JX$73,Base_Mensuelle!$PE$67:$QE$680,614,0))</f>
        <v>566.20959244599999</v>
      </c>
      <c r="JY121" s="1526">
        <f>VLOOKUP($IW121,Base_Mensuelle!$OF$68:$RM$679,HLOOKUP(JY$73,Base_Mensuelle!$PE$67:$QE$680,614,0))</f>
        <v>295.15504639800002</v>
      </c>
      <c r="JZ121" s="1526">
        <f>VLOOKUP($IW121,Base_Mensuelle!$OF$68:$RM$679,HLOOKUP(JZ$73,Base_Mensuelle!$PE$67:$QE$680,614,0))</f>
        <v>153.31090740100001</v>
      </c>
      <c r="KA121" s="1526">
        <f>VLOOKUP($IW121,Base_Mensuelle!$OF$68:$RM$679,HLOOKUP(KA$73,Base_Mensuelle!$PE$67:$QE$680,614,0))</f>
        <v>-76.952834701000015</v>
      </c>
      <c r="KB121" s="1526">
        <f>VLOOKUP($IW121,Base_Mensuelle!$OF$68:$RM$679,HLOOKUP(KB$73,Base_Mensuelle!$PE$67:$QE$680,614,0))</f>
        <v>108.88339007899999</v>
      </c>
      <c r="KC121" s="1526">
        <f>VLOOKUP($IW121,Base_Mensuelle!$OF$68:$RM$679,HLOOKUP(KC$73,Base_Mensuelle!$PE$67:$QE$680,614,0))</f>
        <v>185.83622478000001</v>
      </c>
      <c r="KD121" s="1526">
        <f>VLOOKUP($IW121,Base_Mensuelle!$OF$68:$RM$679,HLOOKUP(KD$73,Base_Mensuelle!$PE$67:$QE$680,614,0))</f>
        <v>4.2484584380000001</v>
      </c>
      <c r="KE121" s="1526">
        <f>VLOOKUP($IW121,Base_Mensuelle!$OF$68:$RM$679,HLOOKUP(KE$73,Base_Mensuelle!$PE$67:$QE$680,614,0))</f>
        <v>1.06</v>
      </c>
      <c r="KF121" s="1526">
        <f>VLOOKUP($IW121,Base_Mensuelle!$OF$68:$RM$679,HLOOKUP(KF$73,Base_Mensuelle!$PE$67:$QE$680,614,0))</f>
        <v>0</v>
      </c>
      <c r="KG121" s="1526">
        <f>VLOOKUP($IW121,Base_Mensuelle!$OF$68:$RM$679,HLOOKUP(KG$73,Base_Mensuelle!$PE$67:$QE$680,614,0))</f>
        <v>0</v>
      </c>
      <c r="KH121" s="1526">
        <f>VLOOKUP($IW121,Base_Mensuelle!$OF$68:$RM$679,HLOOKUP(KH$73,Base_Mensuelle!$PE$67:$QE$680,614,0))</f>
        <v>3.1884584379999996</v>
      </c>
      <c r="KI121" s="1526">
        <f>VLOOKUP($IW121,Base_Mensuelle!$OF$68:$RM$679,HLOOKUP(KI$73,Base_Mensuelle!$PE$67:$QE$680,614,0))</f>
        <v>351.61618278400005</v>
      </c>
      <c r="KJ121" s="1526">
        <f>VLOOKUP($IW121,Base_Mensuelle!$OF$68:$RM$679,HLOOKUP(KJ$73,Base_Mensuelle!$PE$67:$QE$680,614,0))</f>
        <v>228.67400000000001</v>
      </c>
      <c r="KK121" s="1526">
        <f>VLOOKUP($IW121,Base_Mensuelle!$OF$68:$RM$679,HLOOKUP(KK$73,Base_Mensuelle!$PE$67:$QE$680,614,0))</f>
        <v>122.37925781200001</v>
      </c>
      <c r="KL121" s="1526">
        <f>VLOOKUP($IW121,Base_Mensuelle!$OF$68:$RM$679,HLOOKUP(KL$73,Base_Mensuelle!$PE$67:$QE$680,614,0))</f>
        <v>0.56292497200000002</v>
      </c>
      <c r="KM121" s="1526">
        <f>VLOOKUP($IW121,Base_Mensuelle!$OF$68:$RM$679,HLOOKUP(KM$73,Base_Mensuelle!$PE$67:$QE$680,614,0))</f>
        <v>0</v>
      </c>
      <c r="KN121" s="1526">
        <f>VLOOKUP($IW121,Base_Mensuelle!$OF$68:$RM$679,HLOOKUP(KN$73,Base_Mensuelle!$PE$67:$QE$680,614,0))</f>
        <v>1.055540524</v>
      </c>
      <c r="KO121" s="1526">
        <f>VLOOKUP($IW121,Base_Mensuelle!$OF$68:$RM$679,HLOOKUP(KO$73,Base_Mensuelle!$PE$67:$QE$680,614,0))</f>
        <v>0</v>
      </c>
      <c r="KP121" s="1526">
        <f>VLOOKUP($IW121,Base_Mensuelle!$OF$68:$RM$679,HLOOKUP(KP$73,Base_Mensuelle!$PE$67:$QE$680,614,0))</f>
        <v>0</v>
      </c>
      <c r="KQ121" s="1526">
        <f>VLOOKUP($IW121,Base_Mensuelle!$OF$68:$RM$679,HLOOKUP(KQ$73,Base_Mensuelle!$PE$67:$QE$680,614,0))</f>
        <v>1.055540524</v>
      </c>
      <c r="KR121" s="1526">
        <f>VLOOKUP($IW121,Base_Mensuelle!$OF$68:$RM$679,HLOOKUP(KR$73,Base_Mensuelle!$PE$67:$QE$680,614,0))</f>
        <v>0</v>
      </c>
      <c r="KS121" s="1526">
        <f>VLOOKUP($IW121,Base_Mensuelle!$OF$68:$RM$679,HLOOKUP(KS$73,Base_Mensuelle!$PE$67:$QE$680,614,0))</f>
        <v>0</v>
      </c>
      <c r="KT121" s="1526">
        <f>VLOOKUP($IW121,Base_Mensuelle!$OF$68:$RM$679,HLOOKUP(KT$73,Base_Mensuelle!$PE$67:$QE$680,614,0))</f>
        <v>0</v>
      </c>
      <c r="KU121" s="1526">
        <f>VLOOKUP($IW121,Base_Mensuelle!$OF$68:$RM$679,HLOOKUP(KU$73,Base_Mensuelle!$PE$67:$QE$680,614,0))</f>
        <v>0.49948260999999999</v>
      </c>
      <c r="KV121" s="1526">
        <f>VLOOKUP($IW121,Base_Mensuelle!$OF$68:$RM$679,HLOOKUP(KV$73,Base_Mensuelle!$PE$67:$QE$680,614,0))</f>
        <v>-1.510128731999993</v>
      </c>
      <c r="KW121" s="1036"/>
      <c r="KX121" s="29">
        <v>48</v>
      </c>
      <c r="KY121" s="1037"/>
      <c r="KZ121" s="182">
        <f>VLOOKUP($IW121,Base_Mensuelle!$OF$68:$RM$679,HLOOKUP(KZ$73,Base_Mensuelle!$QG$67:$RM$680,614,0))</f>
        <v>449.60817039758342</v>
      </c>
      <c r="LA121" s="182">
        <f>VLOOKUP($IW121,Base_Mensuelle!$OF$68:$RM$679,HLOOKUP(LA$73,Base_Mensuelle!$QG$67:$RM$680,614,0))</f>
        <v>588.01400519852564</v>
      </c>
      <c r="LB121" s="182">
        <f>VLOOKUP($IW121,Base_Mensuelle!$OF$68:$RM$679,HLOOKUP(LB$73,Base_Mensuelle!$QG$67:$RM$680,614,0))</f>
        <v>-138.40583480094222</v>
      </c>
      <c r="LC121" s="182">
        <f>VLOOKUP($IW121,Base_Mensuelle!$OF$68:$RM$679,HLOOKUP(LC$73,Base_Mensuelle!$QG$67:$RM$680,614,0))</f>
        <v>155.75800000000001</v>
      </c>
      <c r="LD121" s="182">
        <f>VLOOKUP($IW121,Base_Mensuelle!$OF$68:$RM$679,HLOOKUP(LD$73,Base_Mensuelle!$QG$67:$RM$680,614,0))</f>
        <v>35.856000000000002</v>
      </c>
      <c r="LE121" s="182">
        <f>VLOOKUP($IW121,Base_Mensuelle!$OF$68:$RM$679,HLOOKUP(LE$73,Base_Mensuelle!$QG$67:$RM$680,614,0))</f>
        <v>119.902</v>
      </c>
      <c r="LF121" s="182">
        <f>VLOOKUP($IW121,Base_Mensuelle!$OF$68:$RM$679,HLOOKUP(LF$73,Base_Mensuelle!$QG$67:$RM$680,614,0))</f>
        <v>0</v>
      </c>
      <c r="LG121" s="182">
        <f>VLOOKUP($IW121,Base_Mensuelle!$OF$68:$RM$679,HLOOKUP(LG$73,Base_Mensuelle!$QG$67:$RM$680,614,0))</f>
        <v>-11.428000000000011</v>
      </c>
      <c r="LH121" s="182">
        <f>VLOOKUP($IW121,Base_Mensuelle!$OF$68:$RM$679,HLOOKUP(LH$73,Base_Mensuelle!$QG$67:$RM$680,614,0))</f>
        <v>115.559</v>
      </c>
      <c r="LI121" s="182">
        <f>VLOOKUP($IW121,Base_Mensuelle!$OF$68:$RM$679,HLOOKUP(LI$73,Base_Mensuelle!$QG$67:$RM$680,614,0))</f>
        <v>-126.98700000000001</v>
      </c>
      <c r="LJ121" s="182">
        <f>VLOOKUP($IW121,Base_Mensuelle!$OF$68:$RM$679,HLOOKUP(LJ$73,Base_Mensuelle!$QG$67:$RM$680,614,0))</f>
        <v>1026.0249948014743</v>
      </c>
      <c r="LK121" s="182">
        <f>VLOOKUP($IW121,Base_Mensuelle!$OF$68:$RM$679,HLOOKUP(LK$73,Base_Mensuelle!$QG$67:$RM$680,614,0))</f>
        <v>13.469099141507126</v>
      </c>
      <c r="LL121" s="182">
        <f>VLOOKUP($IW121,Base_Mensuelle!$OF$68:$RM$679,HLOOKUP(LL$73,Base_Mensuelle!$QG$67:$RM$680,614,0))</f>
        <v>0</v>
      </c>
      <c r="LM121" s="182">
        <f>VLOOKUP($IW121,Base_Mensuelle!$OF$68:$RM$679,HLOOKUP(LM$73,Base_Mensuelle!$QG$67:$RM$680,614,0))</f>
        <v>140.738</v>
      </c>
      <c r="LN121" s="182">
        <f>VLOOKUP($IW121,Base_Mensuelle!$OF$68:$RM$679,HLOOKUP(LN$73,Base_Mensuelle!$QG$67:$RM$680,614,0))</f>
        <v>871.81789565996723</v>
      </c>
      <c r="LO121" s="182">
        <f>VLOOKUP($IW121,Base_Mensuelle!$OF$68:$RM$679,HLOOKUP(LO$73,Base_Mensuelle!$QG$67:$RM$680,614,0))</f>
        <v>0</v>
      </c>
      <c r="LP121" s="182">
        <f>VLOOKUP($IW121,Base_Mensuelle!$OF$68:$RM$679,HLOOKUP(LP$73,Base_Mensuelle!$QG$67:$RM$680,614,0))</f>
        <v>153.60400000000001</v>
      </c>
      <c r="LQ121" s="182">
        <f>VLOOKUP($IW121,Base_Mensuelle!$OF$68:$RM$679,HLOOKUP(LQ$73,Base_Mensuelle!$QG$67:$RM$680,614,0))</f>
        <v>593.58800068716687</v>
      </c>
      <c r="LR121" s="182">
        <f>VLOOKUP($IW121,Base_Mensuelle!$OF$68:$RM$679,HLOOKUP(LR$73,Base_Mensuelle!$QG$67:$RM$680,614,0))</f>
        <v>597.71116451189084</v>
      </c>
      <c r="LS121" s="182">
        <f>VLOOKUP($IW121,Base_Mensuelle!$OF$68:$RM$679,HLOOKUP(LS$73,Base_Mensuelle!$QG$67:$RM$680,614,0))</f>
        <v>0</v>
      </c>
      <c r="LT121" s="182">
        <f>VLOOKUP($IW121,Base_Mensuelle!$OF$68:$RM$679,HLOOKUP(LT$73,Base_Mensuelle!$QG$67:$RM$680,614,0))</f>
        <v>29.885000000000002</v>
      </c>
      <c r="LU121" s="182">
        <f>VLOOKUP($IW121,Base_Mensuelle!$OF$68:$RM$679,HLOOKUP(LU$73,Base_Mensuelle!$QG$67:$RM$680,614,0))</f>
        <v>7.1429999999999998</v>
      </c>
      <c r="LV121" s="182">
        <f>VLOOKUP($IW121,Base_Mensuelle!$OF$68:$RM$679,HLOOKUP(LV$73,Base_Mensuelle!$QG$67:$RM$680,614,0))</f>
        <v>8.9509999999999987</v>
      </c>
      <c r="LW121" s="182">
        <f>VLOOKUP($IW121,Base_Mensuelle!$OF$68:$RM$679,HLOOKUP(LW$73,Base_Mensuelle!$QG$67:$RM$680,614,0))</f>
        <v>0</v>
      </c>
      <c r="LX121" s="182">
        <f>VLOOKUP($IW121,Base_Mensuelle!$OF$68:$RM$679,HLOOKUP(LX$73,Base_Mensuelle!$QG$67:$RM$680,614,0))</f>
        <v>0</v>
      </c>
      <c r="LY121" s="182">
        <f>VLOOKUP($IW121,Base_Mensuelle!$OF$68:$RM$679,HLOOKUP(LY$73,Base_Mensuelle!$QG$67:$RM$680,614,0))</f>
        <v>179.02600000000001</v>
      </c>
      <c r="LZ121" s="182">
        <f>VLOOKUP($IW121,Base_Mensuelle!$OF$68:$RM$679,HLOOKUP(LZ$73,Base_Mensuelle!$QG$67:$RM$680,614,0))</f>
        <v>50.055000000000007</v>
      </c>
      <c r="MA121" s="182">
        <f>VLOOKUP($IW121,Base_Mensuelle!$OF$68:$RM$679,HLOOKUP(MA$73,Base_Mensuelle!$QG$67:$RM$680,614,0))</f>
        <v>0</v>
      </c>
      <c r="MB121" s="182">
        <f>VLOOKUP($IW121,Base_Mensuelle!$OF$68:$RM$679,HLOOKUP(MB$73,Base_Mensuelle!$QG$67:$RM$680,614,0))</f>
        <v>0</v>
      </c>
      <c r="MC121" s="182">
        <f>VLOOKUP($IW121,Base_Mensuelle!$OF$68:$RM$679,HLOOKUP(MC$73,Base_Mensuelle!$QG$67:$RM$680,614,0))</f>
        <v>0</v>
      </c>
      <c r="MD121" s="182">
        <f>VLOOKUP($IW121,Base_Mensuelle!$OF$68:$RM$679,HLOOKUP(MD$73,Base_Mensuelle!$QG$67:$RM$680,614,0))</f>
        <v>0</v>
      </c>
      <c r="ME121" s="182">
        <f>VLOOKUP($IW121,Base_Mensuelle!$OF$68:$RM$679,HLOOKUP(ME$73,Base_Mensuelle!$QG$67:$RM$680,614,0))</f>
        <v>0</v>
      </c>
      <c r="MF121" s="182"/>
      <c r="MG121" s="182"/>
      <c r="MH121" s="290"/>
      <c r="MI121" s="29">
        <v>48</v>
      </c>
      <c r="MJ121" s="29" t="str">
        <f t="shared" si="82"/>
        <v>Trimestre 42011</v>
      </c>
      <c r="MK121" s="848">
        <v>40878</v>
      </c>
      <c r="ML121" s="29"/>
      <c r="MM121" s="29"/>
      <c r="MN121" s="29"/>
      <c r="MO121" s="29"/>
      <c r="MP121" s="29"/>
      <c r="MQ121" s="29"/>
      <c r="MR121" s="29"/>
      <c r="MS121" s="29"/>
      <c r="MT121" s="29"/>
      <c r="MU121" s="29"/>
      <c r="MV121" s="29"/>
      <c r="MW121" s="29"/>
      <c r="MX121" s="29"/>
      <c r="MY121" s="29"/>
      <c r="MZ121" s="29"/>
      <c r="NA121" s="29"/>
      <c r="NB121" s="29"/>
      <c r="NC121" s="29"/>
      <c r="ND121" s="29"/>
      <c r="NE121" s="29"/>
      <c r="NF121" s="29"/>
      <c r="NG121" s="29"/>
      <c r="NH121" s="29"/>
      <c r="NI121" s="29"/>
      <c r="NJ121" s="29"/>
      <c r="NK121" s="29"/>
      <c r="NL121" s="29">
        <v>48</v>
      </c>
    </row>
    <row r="122" spans="1:376">
      <c r="A122" s="41">
        <f t="shared" si="80"/>
        <v>2012</v>
      </c>
      <c r="B122" s="785">
        <v>40969</v>
      </c>
      <c r="C122" s="19">
        <v>1248.6929550043399</v>
      </c>
      <c r="D122" s="93">
        <v>165.4530522102535</v>
      </c>
      <c r="E122" s="93">
        <v>144.88872304188914</v>
      </c>
      <c r="F122" s="93">
        <v>84.408572469069512</v>
      </c>
      <c r="G122" s="93">
        <v>16.847991962270441</v>
      </c>
      <c r="H122" s="93">
        <v>66.557052422103013</v>
      </c>
      <c r="I122" s="93">
        <v>178.68826222281029</v>
      </c>
      <c r="J122" s="93">
        <v>134.87287100482803</v>
      </c>
      <c r="K122" s="93">
        <v>113.07233344108272</v>
      </c>
      <c r="L122" s="93">
        <v>181.37106512777774</v>
      </c>
      <c r="M122" s="734">
        <v>148.63119564659459</v>
      </c>
      <c r="N122" s="25">
        <v>49</v>
      </c>
      <c r="O122" s="889">
        <f t="shared" si="79"/>
        <v>2012</v>
      </c>
      <c r="P122" s="29" t="str">
        <f t="shared" si="81"/>
        <v>Trimestre 12012</v>
      </c>
      <c r="Q122" s="848">
        <v>40969</v>
      </c>
      <c r="R122" s="733"/>
      <c r="S122" s="570">
        <v>106.97923800000001</v>
      </c>
      <c r="T122" s="570"/>
      <c r="U122" s="734"/>
      <c r="V122" s="25">
        <v>49</v>
      </c>
      <c r="W122" s="19"/>
      <c r="X122" s="93"/>
      <c r="Y122" s="93"/>
      <c r="Z122" s="93"/>
      <c r="AA122" s="93"/>
      <c r="AB122" s="93"/>
      <c r="AC122" s="93"/>
      <c r="AD122" s="93"/>
      <c r="AE122" s="20"/>
      <c r="AF122" s="25">
        <v>49</v>
      </c>
      <c r="AG122" s="19"/>
      <c r="AH122" s="93"/>
      <c r="AI122" s="93"/>
      <c r="AJ122" s="93"/>
      <c r="AK122" s="93"/>
      <c r="AL122" s="93"/>
      <c r="AM122" s="93"/>
      <c r="AN122" s="20"/>
      <c r="AO122" s="19"/>
      <c r="AP122" s="93"/>
      <c r="AQ122" s="93"/>
      <c r="AR122" s="93"/>
      <c r="AS122" s="20"/>
      <c r="AT122" s="19"/>
      <c r="AU122" s="93"/>
      <c r="AV122" s="20"/>
      <c r="AW122" s="19"/>
      <c r="AX122" s="93"/>
      <c r="AY122" s="93"/>
      <c r="AZ122" s="93"/>
      <c r="BA122" s="93"/>
      <c r="BB122" s="93"/>
      <c r="BC122" s="20"/>
      <c r="BD122" s="19"/>
      <c r="BE122" s="93"/>
      <c r="BF122" s="93"/>
      <c r="BG122" s="93"/>
      <c r="BH122" s="93"/>
      <c r="BI122" s="93"/>
      <c r="BJ122" s="93"/>
      <c r="BK122" s="20"/>
      <c r="BL122" s="19"/>
      <c r="BM122" s="93"/>
      <c r="BN122" s="93"/>
      <c r="BO122" s="93"/>
      <c r="BP122" s="93"/>
      <c r="BQ122" s="20"/>
      <c r="BR122" s="19"/>
      <c r="BS122" s="93"/>
      <c r="BT122" s="93"/>
      <c r="BU122" s="20"/>
      <c r="BV122" s="19"/>
      <c r="BW122" s="93"/>
      <c r="BX122" s="93"/>
      <c r="BY122" s="93"/>
      <c r="BZ122" s="93"/>
      <c r="CA122" s="93"/>
      <c r="CB122" s="20"/>
      <c r="CC122" s="25">
        <v>49</v>
      </c>
      <c r="CD122" s="19"/>
      <c r="CE122" s="93"/>
      <c r="CF122" s="20"/>
      <c r="CG122" s="25">
        <v>49</v>
      </c>
      <c r="CH122" s="19"/>
      <c r="CI122" s="93"/>
      <c r="CJ122" s="93"/>
      <c r="CK122" s="93"/>
      <c r="CL122" s="93"/>
      <c r="CM122" s="93"/>
      <c r="CN122" s="93"/>
      <c r="CO122" s="93"/>
      <c r="CP122" s="93"/>
      <c r="CQ122" s="93"/>
      <c r="CR122" s="214"/>
      <c r="CS122" s="20"/>
      <c r="CT122" s="25">
        <v>49</v>
      </c>
      <c r="CU122" s="19"/>
      <c r="CV122" s="93"/>
      <c r="CW122" s="93"/>
      <c r="CX122" s="93"/>
      <c r="CY122" s="93"/>
      <c r="CZ122" s="93"/>
      <c r="DA122" s="93"/>
      <c r="DB122" s="20"/>
      <c r="DC122" s="25">
        <v>49</v>
      </c>
      <c r="DD122" s="785">
        <v>40969</v>
      </c>
      <c r="DE122" s="19"/>
      <c r="DF122" s="20"/>
      <c r="DG122" s="25">
        <v>49</v>
      </c>
      <c r="DH122" s="19"/>
      <c r="DI122" s="20"/>
      <c r="DJ122" s="25">
        <v>49</v>
      </c>
      <c r="DK122" s="19"/>
      <c r="DL122" s="20"/>
      <c r="DM122" s="19"/>
      <c r="DN122" s="20"/>
      <c r="DO122" s="25">
        <v>49</v>
      </c>
      <c r="DP122" s="19"/>
      <c r="DQ122" s="93"/>
      <c r="DR122" s="20"/>
      <c r="DS122" s="25">
        <v>49</v>
      </c>
      <c r="DT122" s="19"/>
      <c r="DU122" s="93"/>
      <c r="DV122" s="20"/>
      <c r="DW122" s="25">
        <v>49</v>
      </c>
      <c r="DX122" s="19"/>
      <c r="DY122" s="20"/>
      <c r="DZ122" s="25">
        <v>49</v>
      </c>
      <c r="EA122" s="19"/>
      <c r="EB122" s="93"/>
      <c r="EC122" s="93"/>
      <c r="ED122" s="93"/>
      <c r="EE122" s="20"/>
      <c r="EF122" s="25">
        <v>49</v>
      </c>
      <c r="EG122" s="19"/>
      <c r="EH122" s="93"/>
      <c r="EI122" s="93"/>
      <c r="EJ122" s="93"/>
      <c r="EK122" s="20"/>
      <c r="EL122" s="25">
        <v>49</v>
      </c>
      <c r="EM122" s="19"/>
      <c r="EN122" s="93"/>
      <c r="EO122" s="93"/>
      <c r="EP122" s="93"/>
      <c r="EQ122" s="93"/>
      <c r="ER122" s="93"/>
      <c r="ES122" s="93"/>
      <c r="ET122" s="93"/>
      <c r="EU122" s="93"/>
      <c r="EV122" s="20"/>
      <c r="EW122" s="25">
        <v>49</v>
      </c>
      <c r="EX122" s="915"/>
      <c r="EY122" s="916"/>
      <c r="EZ122" s="916"/>
      <c r="FA122" s="916"/>
      <c r="FB122" s="916"/>
      <c r="FC122" s="916"/>
      <c r="FD122" s="916"/>
      <c r="FE122" s="916"/>
      <c r="FF122" s="916"/>
      <c r="FG122" s="917"/>
      <c r="FH122" s="25">
        <v>49</v>
      </c>
      <c r="FI122" s="848">
        <v>40969</v>
      </c>
      <c r="FJ122" s="19">
        <v>3394</v>
      </c>
      <c r="FK122" s="93">
        <v>1119</v>
      </c>
      <c r="FL122" s="20">
        <v>0</v>
      </c>
      <c r="FM122" s="25">
        <v>49</v>
      </c>
      <c r="FN122" s="19"/>
      <c r="FO122" s="93"/>
      <c r="FP122" s="93"/>
      <c r="FQ122" s="93"/>
      <c r="FR122" s="93"/>
      <c r="FS122" s="93"/>
      <c r="FT122" s="93"/>
      <c r="FU122" s="93"/>
      <c r="FV122" s="93"/>
      <c r="FW122" s="917"/>
      <c r="FX122" s="25">
        <v>49</v>
      </c>
      <c r="FY122" s="916"/>
      <c r="FZ122" s="916"/>
      <c r="GA122" s="916"/>
      <c r="GB122" s="916"/>
      <c r="GC122" s="916"/>
      <c r="GD122" s="916"/>
      <c r="GE122" s="916"/>
      <c r="GF122" s="916"/>
      <c r="GG122" s="916"/>
      <c r="GH122" s="916"/>
      <c r="GI122" s="917"/>
      <c r="GJ122" s="25">
        <v>49</v>
      </c>
      <c r="GK122" s="19"/>
      <c r="GL122" s="20"/>
      <c r="GM122" s="25">
        <v>49</v>
      </c>
      <c r="GN122" s="19">
        <v>4337</v>
      </c>
      <c r="GO122" s="20">
        <v>1525</v>
      </c>
      <c r="GP122" s="25">
        <v>49</v>
      </c>
      <c r="GQ122" s="19"/>
      <c r="GR122" s="20"/>
      <c r="GS122" s="25">
        <v>49</v>
      </c>
      <c r="GT122" s="848">
        <v>40969</v>
      </c>
      <c r="GU122" s="19"/>
      <c r="GV122" s="93"/>
      <c r="GW122" s="93"/>
      <c r="GX122" s="93"/>
      <c r="GY122" s="93"/>
      <c r="GZ122" s="93"/>
      <c r="HA122" s="93"/>
      <c r="HB122" s="93"/>
      <c r="HC122" s="93"/>
      <c r="HD122" s="93"/>
      <c r="HE122" s="93"/>
      <c r="HF122" s="93"/>
      <c r="HG122" s="93"/>
      <c r="HH122" s="93"/>
      <c r="HI122" s="93"/>
      <c r="HJ122" s="93"/>
      <c r="HK122" s="93"/>
      <c r="HL122" s="93"/>
      <c r="HM122" s="93"/>
      <c r="HN122" s="93"/>
      <c r="HO122" s="93"/>
      <c r="HP122" s="93"/>
      <c r="HQ122" s="93"/>
      <c r="HR122" s="93"/>
      <c r="HS122" s="93"/>
      <c r="HT122" s="93"/>
      <c r="HU122" s="93"/>
      <c r="HV122" s="93"/>
      <c r="HW122" s="93"/>
      <c r="HX122" s="93"/>
      <c r="HY122" s="93"/>
      <c r="HZ122" s="93"/>
      <c r="IA122" s="93"/>
      <c r="IB122" s="93"/>
      <c r="IC122" s="93"/>
      <c r="ID122" s="93"/>
      <c r="IE122" s="93"/>
      <c r="IF122" s="93"/>
      <c r="IG122" s="93"/>
      <c r="IH122" s="93"/>
      <c r="II122" s="93"/>
      <c r="IJ122" s="93"/>
      <c r="IK122" s="93"/>
      <c r="IL122" s="93"/>
      <c r="IM122" s="93"/>
      <c r="IN122" s="93"/>
      <c r="IO122" s="93"/>
      <c r="IP122" s="93"/>
      <c r="IQ122" s="93"/>
      <c r="IR122" s="93"/>
      <c r="IS122" s="93"/>
      <c r="IT122" s="93"/>
      <c r="IU122" s="93"/>
      <c r="IV122" s="93">
        <v>49</v>
      </c>
      <c r="IW122" s="848">
        <v>40969</v>
      </c>
      <c r="IX122" s="1035"/>
      <c r="IY122" s="1035">
        <v>129.46217999999999</v>
      </c>
      <c r="IZ122" s="1035">
        <v>168.16507999999999</v>
      </c>
      <c r="JA122" s="1035">
        <v>0.52804410599999996</v>
      </c>
      <c r="JB122" s="1035">
        <v>614.28704692625558</v>
      </c>
      <c r="JC122" s="1035">
        <v>84.898899999999998</v>
      </c>
      <c r="JD122" s="1035">
        <v>829.17617103225564</v>
      </c>
      <c r="JE122" s="1035">
        <v>634.65922163467781</v>
      </c>
      <c r="JF122" s="1035">
        <v>1463.8353926669333</v>
      </c>
      <c r="JG122" s="1035"/>
      <c r="JH122" s="1035">
        <v>683.20616738130389</v>
      </c>
      <c r="JI122" s="1035">
        <v>150.75440921299992</v>
      </c>
      <c r="JJ122" s="1035">
        <v>532.45175816830397</v>
      </c>
      <c r="JK122" s="1035">
        <v>1004.4485533536293</v>
      </c>
      <c r="JL122" s="1035">
        <v>-61.956284683000021</v>
      </c>
      <c r="JM122" s="1035">
        <v>-57.089284683000002</v>
      </c>
      <c r="JN122" s="1035">
        <v>-4.8670000000000186</v>
      </c>
      <c r="JO122" s="1035">
        <v>1066.4048380366294</v>
      </c>
      <c r="JP122" s="1035">
        <v>4.536327644</v>
      </c>
      <c r="JQ122" s="1035">
        <v>1061.8685103926293</v>
      </c>
      <c r="JR122" s="1035">
        <v>242.19034691899998</v>
      </c>
      <c r="JS122" s="1035">
        <v>-18.371018851000017</v>
      </c>
      <c r="JT122" s="1036">
        <v>1463.8353926669331</v>
      </c>
      <c r="JU122" s="29">
        <v>49</v>
      </c>
      <c r="JV122" s="1037"/>
      <c r="JW122" s="1526">
        <f>VLOOKUP($IW122,Base_Mensuelle!$OF$68:$RM$679,HLOOKUP(JW$73,Base_Mensuelle!$PE$67:$QE$680,614,0))</f>
        <v>150.75440921299992</v>
      </c>
      <c r="JX122" s="1526">
        <f>VLOOKUP($IW122,Base_Mensuelle!$OF$68:$RM$679,HLOOKUP(JX$73,Base_Mensuelle!$PE$67:$QE$680,614,0))</f>
        <v>558.12870425599988</v>
      </c>
      <c r="JY122" s="1526">
        <f>VLOOKUP($IW122,Base_Mensuelle!$OF$68:$RM$679,HLOOKUP(JY$73,Base_Mensuelle!$PE$67:$QE$680,614,0))</f>
        <v>407.37429504299996</v>
      </c>
      <c r="JZ122" s="1526">
        <f>VLOOKUP($IW122,Base_Mensuelle!$OF$68:$RM$679,HLOOKUP(JZ$73,Base_Mensuelle!$PE$67:$QE$680,614,0))</f>
        <v>166.1</v>
      </c>
      <c r="KA122" s="1526">
        <f>VLOOKUP($IW122,Base_Mensuelle!$OF$68:$RM$679,HLOOKUP(KA$73,Base_Mensuelle!$PE$67:$QE$680,614,0))</f>
        <v>-53.487384683000002</v>
      </c>
      <c r="KB122" s="1526">
        <f>VLOOKUP($IW122,Base_Mensuelle!$OF$68:$RM$679,HLOOKUP(KB$73,Base_Mensuelle!$PE$67:$QE$680,614,0))</f>
        <v>106.13407171199999</v>
      </c>
      <c r="KC122" s="1526">
        <f>VLOOKUP($IW122,Base_Mensuelle!$OF$68:$RM$679,HLOOKUP(KC$73,Base_Mensuelle!$PE$67:$QE$680,614,0))</f>
        <v>159.621456395</v>
      </c>
      <c r="KD122" s="1526">
        <f>VLOOKUP($IW122,Base_Mensuelle!$OF$68:$RM$679,HLOOKUP(KD$73,Base_Mensuelle!$PE$67:$QE$680,614,0))</f>
        <v>4.536327644</v>
      </c>
      <c r="KE122" s="1526">
        <f>VLOOKUP($IW122,Base_Mensuelle!$OF$68:$RM$679,HLOOKUP(KE$73,Base_Mensuelle!$PE$67:$QE$680,614,0))</f>
        <v>1.06</v>
      </c>
      <c r="KF122" s="1526">
        <f>VLOOKUP($IW122,Base_Mensuelle!$OF$68:$RM$679,HLOOKUP(KF$73,Base_Mensuelle!$PE$67:$QE$680,614,0))</f>
        <v>0</v>
      </c>
      <c r="KG122" s="1526">
        <f>VLOOKUP($IW122,Base_Mensuelle!$OF$68:$RM$679,HLOOKUP(KG$73,Base_Mensuelle!$PE$67:$QE$680,614,0))</f>
        <v>4.50631E-4</v>
      </c>
      <c r="KH122" s="1526">
        <f>VLOOKUP($IW122,Base_Mensuelle!$OF$68:$RM$679,HLOOKUP(KH$73,Base_Mensuelle!$PE$67:$QE$680,614,0))</f>
        <v>3.4758770129999998</v>
      </c>
      <c r="KI122" s="1526">
        <f>VLOOKUP($IW122,Base_Mensuelle!$OF$68:$RM$679,HLOOKUP(KI$73,Base_Mensuelle!$PE$67:$QE$680,614,0))</f>
        <v>257.05164189599998</v>
      </c>
      <c r="KJ122" s="1526">
        <f>VLOOKUP($IW122,Base_Mensuelle!$OF$68:$RM$679,HLOOKUP(KJ$73,Base_Mensuelle!$PE$67:$QE$680,614,0))</f>
        <v>168.16507999999999</v>
      </c>
      <c r="KK122" s="1526">
        <f>VLOOKUP($IW122,Base_Mensuelle!$OF$68:$RM$679,HLOOKUP(KK$73,Base_Mensuelle!$PE$67:$QE$680,614,0))</f>
        <v>88.358517789999993</v>
      </c>
      <c r="KL122" s="1526">
        <f>VLOOKUP($IW122,Base_Mensuelle!$OF$68:$RM$679,HLOOKUP(KL$73,Base_Mensuelle!$PE$67:$QE$680,614,0))</f>
        <v>0.52804410599999996</v>
      </c>
      <c r="KM122" s="1526">
        <f>VLOOKUP($IW122,Base_Mensuelle!$OF$68:$RM$679,HLOOKUP(KM$73,Base_Mensuelle!$PE$67:$QE$680,614,0))</f>
        <v>0</v>
      </c>
      <c r="KN122" s="1526">
        <f>VLOOKUP($IW122,Base_Mensuelle!$OF$68:$RM$679,HLOOKUP(KN$73,Base_Mensuelle!$PE$67:$QE$680,614,0))</f>
        <v>2.1560241269999998</v>
      </c>
      <c r="KO122" s="1526">
        <f>VLOOKUP($IW122,Base_Mensuelle!$OF$68:$RM$679,HLOOKUP(KO$73,Base_Mensuelle!$PE$67:$QE$680,614,0))</f>
        <v>0</v>
      </c>
      <c r="KP122" s="1526">
        <f>VLOOKUP($IW122,Base_Mensuelle!$OF$68:$RM$679,HLOOKUP(KP$73,Base_Mensuelle!$PE$67:$QE$680,614,0))</f>
        <v>0</v>
      </c>
      <c r="KQ122" s="1526">
        <f>VLOOKUP($IW122,Base_Mensuelle!$OF$68:$RM$679,HLOOKUP(KQ$73,Base_Mensuelle!$PE$67:$QE$680,614,0))</f>
        <v>2.1560241269999998</v>
      </c>
      <c r="KR122" s="1526">
        <f>VLOOKUP($IW122,Base_Mensuelle!$OF$68:$RM$679,HLOOKUP(KR$73,Base_Mensuelle!$PE$67:$QE$680,614,0))</f>
        <v>0</v>
      </c>
      <c r="KS122" s="1526">
        <f>VLOOKUP($IW122,Base_Mensuelle!$OF$68:$RM$679,HLOOKUP(KS$73,Base_Mensuelle!$PE$67:$QE$680,614,0))</f>
        <v>0</v>
      </c>
      <c r="KT122" s="1526">
        <f>VLOOKUP($IW122,Base_Mensuelle!$OF$68:$RM$679,HLOOKUP(KT$73,Base_Mensuelle!$PE$67:$QE$680,614,0))</f>
        <v>0</v>
      </c>
      <c r="KU122" s="1526">
        <f>VLOOKUP($IW122,Base_Mensuelle!$OF$68:$RM$679,HLOOKUP(KU$73,Base_Mensuelle!$PE$67:$QE$680,614,0))</f>
        <v>0.46532279199999999</v>
      </c>
      <c r="KV122" s="1526">
        <f>VLOOKUP($IW122,Base_Mensuelle!$OF$68:$RM$679,HLOOKUP(KV$73,Base_Mensuelle!$PE$67:$QE$680,614,0))</f>
        <v>8.2303633589999912</v>
      </c>
      <c r="KW122" s="1036"/>
      <c r="KX122" s="29">
        <v>49</v>
      </c>
      <c r="KY122" s="1037"/>
      <c r="KZ122" s="182">
        <f>VLOOKUP($IW122,Base_Mensuelle!$OF$68:$RM$679,HLOOKUP(KZ$73,Base_Mensuelle!$QG$67:$RM$680,614,0))</f>
        <v>532.45175816830397</v>
      </c>
      <c r="LA122" s="182">
        <f>VLOOKUP($IW122,Base_Mensuelle!$OF$68:$RM$679,HLOOKUP(LA$73,Base_Mensuelle!$QG$67:$RM$680,614,0))</f>
        <v>635.57848960737044</v>
      </c>
      <c r="LB122" s="182">
        <f>VLOOKUP($IW122,Base_Mensuelle!$OF$68:$RM$679,HLOOKUP(LB$73,Base_Mensuelle!$QG$67:$RM$680,614,0))</f>
        <v>-103.12673143906653</v>
      </c>
      <c r="LC122" s="182">
        <f>VLOOKUP($IW122,Base_Mensuelle!$OF$68:$RM$679,HLOOKUP(LC$73,Base_Mensuelle!$QG$67:$RM$680,614,0))</f>
        <v>115.666</v>
      </c>
      <c r="LD122" s="182">
        <f>VLOOKUP($IW122,Base_Mensuelle!$OF$68:$RM$679,HLOOKUP(LD$73,Base_Mensuelle!$QG$67:$RM$680,614,0))</f>
        <v>35.100999999999999</v>
      </c>
      <c r="LE122" s="182">
        <f>VLOOKUP($IW122,Base_Mensuelle!$OF$68:$RM$679,HLOOKUP(LE$73,Base_Mensuelle!$QG$67:$RM$680,614,0))</f>
        <v>80.564999999999998</v>
      </c>
      <c r="LF122" s="182">
        <f>VLOOKUP($IW122,Base_Mensuelle!$OF$68:$RM$679,HLOOKUP(LF$73,Base_Mensuelle!$QG$67:$RM$680,614,0))</f>
        <v>0</v>
      </c>
      <c r="LG122" s="182">
        <f>VLOOKUP($IW122,Base_Mensuelle!$OF$68:$RM$679,HLOOKUP(LG$73,Base_Mensuelle!$QG$67:$RM$680,614,0))</f>
        <v>-4.8670000000000186</v>
      </c>
      <c r="LH122" s="182">
        <f>VLOOKUP($IW122,Base_Mensuelle!$OF$68:$RM$679,HLOOKUP(LH$73,Base_Mensuelle!$QG$67:$RM$680,614,0))</f>
        <v>124.429</v>
      </c>
      <c r="LI122" s="182">
        <f>VLOOKUP($IW122,Base_Mensuelle!$OF$68:$RM$679,HLOOKUP(LI$73,Base_Mensuelle!$QG$67:$RM$680,614,0))</f>
        <v>-129.29600000000002</v>
      </c>
      <c r="LJ122" s="182">
        <f>VLOOKUP($IW122,Base_Mensuelle!$OF$68:$RM$679,HLOOKUP(LJ$73,Base_Mensuelle!$QG$67:$RM$680,614,0))</f>
        <v>1061.8685103926293</v>
      </c>
      <c r="LK122" s="182">
        <f>VLOOKUP($IW122,Base_Mensuelle!$OF$68:$RM$679,HLOOKUP(LK$73,Base_Mensuelle!$QG$67:$RM$680,614,0))</f>
        <v>16.982038758065805</v>
      </c>
      <c r="LL122" s="182">
        <f>VLOOKUP($IW122,Base_Mensuelle!$OF$68:$RM$679,HLOOKUP(LL$73,Base_Mensuelle!$QG$67:$RM$680,614,0))</f>
        <v>0</v>
      </c>
      <c r="LM122" s="182">
        <f>VLOOKUP($IW122,Base_Mensuelle!$OF$68:$RM$679,HLOOKUP(LM$73,Base_Mensuelle!$QG$67:$RM$680,614,0))</f>
        <v>164.76</v>
      </c>
      <c r="LN122" s="182">
        <f>VLOOKUP($IW122,Base_Mensuelle!$OF$68:$RM$679,HLOOKUP(LN$73,Base_Mensuelle!$QG$67:$RM$680,614,0))</f>
        <v>880.12647163456359</v>
      </c>
      <c r="LO122" s="182">
        <f>VLOOKUP($IW122,Base_Mensuelle!$OF$68:$RM$679,HLOOKUP(LO$73,Base_Mensuelle!$QG$67:$RM$680,614,0))</f>
        <v>0</v>
      </c>
      <c r="LP122" s="182">
        <f>VLOOKUP($IW122,Base_Mensuelle!$OF$68:$RM$679,HLOOKUP(LP$73,Base_Mensuelle!$QG$67:$RM$680,614,0))</f>
        <v>166.72300000000001</v>
      </c>
      <c r="LQ122" s="182">
        <f>VLOOKUP($IW122,Base_Mensuelle!$OF$68:$RM$679,HLOOKUP(LQ$73,Base_Mensuelle!$QG$67:$RM$680,614,0))</f>
        <v>614.28704692625558</v>
      </c>
      <c r="LR122" s="182">
        <f>VLOOKUP($IW122,Base_Mensuelle!$OF$68:$RM$679,HLOOKUP(LR$73,Base_Mensuelle!$QG$67:$RM$680,614,0))</f>
        <v>634.65922163467781</v>
      </c>
      <c r="LS122" s="182">
        <f>VLOOKUP($IW122,Base_Mensuelle!$OF$68:$RM$679,HLOOKUP(LS$73,Base_Mensuelle!$QG$67:$RM$680,614,0))</f>
        <v>0</v>
      </c>
      <c r="LT122" s="182">
        <f>VLOOKUP($IW122,Base_Mensuelle!$OF$68:$RM$679,HLOOKUP(LT$73,Base_Mensuelle!$QG$67:$RM$680,614,0))</f>
        <v>34.545999999999999</v>
      </c>
      <c r="LU122" s="182">
        <f>VLOOKUP($IW122,Base_Mensuelle!$OF$68:$RM$679,HLOOKUP(LU$73,Base_Mensuelle!$QG$67:$RM$680,614,0))</f>
        <v>6.2279999999999998</v>
      </c>
      <c r="LV122" s="182">
        <f>VLOOKUP($IW122,Base_Mensuelle!$OF$68:$RM$679,HLOOKUP(LV$73,Base_Mensuelle!$QG$67:$RM$680,614,0))</f>
        <v>14.194000000000001</v>
      </c>
      <c r="LW122" s="182">
        <f>VLOOKUP($IW122,Base_Mensuelle!$OF$68:$RM$679,HLOOKUP(LW$73,Base_Mensuelle!$QG$67:$RM$680,614,0))</f>
        <v>0</v>
      </c>
      <c r="LX122" s="182">
        <f>VLOOKUP($IW122,Base_Mensuelle!$OF$68:$RM$679,HLOOKUP(LX$73,Base_Mensuelle!$QG$67:$RM$680,614,0))</f>
        <v>0</v>
      </c>
      <c r="LY122" s="182">
        <f>VLOOKUP($IW122,Base_Mensuelle!$OF$68:$RM$679,HLOOKUP(LY$73,Base_Mensuelle!$QG$67:$RM$680,614,0))</f>
        <v>184.60099999999997</v>
      </c>
      <c r="LZ122" s="182">
        <f>VLOOKUP($IW122,Base_Mensuelle!$OF$68:$RM$679,HLOOKUP(LZ$73,Base_Mensuelle!$QG$67:$RM$680,614,0))</f>
        <v>49.880999999999986</v>
      </c>
      <c r="MA122" s="182">
        <f>VLOOKUP($IW122,Base_Mensuelle!$OF$68:$RM$679,HLOOKUP(MA$73,Base_Mensuelle!$QG$67:$RM$680,614,0))</f>
        <v>0</v>
      </c>
      <c r="MB122" s="182">
        <f>VLOOKUP($IW122,Base_Mensuelle!$OF$68:$RM$679,HLOOKUP(MB$73,Base_Mensuelle!$QG$67:$RM$680,614,0))</f>
        <v>0</v>
      </c>
      <c r="MC122" s="182">
        <f>VLOOKUP($IW122,Base_Mensuelle!$OF$68:$RM$679,HLOOKUP(MC$73,Base_Mensuelle!$QG$67:$RM$680,614,0))</f>
        <v>0</v>
      </c>
      <c r="MD122" s="182">
        <f>VLOOKUP($IW122,Base_Mensuelle!$OF$68:$RM$679,HLOOKUP(MD$73,Base_Mensuelle!$QG$67:$RM$680,614,0))</f>
        <v>0</v>
      </c>
      <c r="ME122" s="182">
        <f>VLOOKUP($IW122,Base_Mensuelle!$OF$68:$RM$679,HLOOKUP(ME$73,Base_Mensuelle!$QG$67:$RM$680,614,0))</f>
        <v>0</v>
      </c>
      <c r="MF122" s="182"/>
      <c r="MG122" s="182"/>
      <c r="MH122" s="290"/>
      <c r="MI122" s="29">
        <v>49</v>
      </c>
      <c r="MJ122" s="29" t="str">
        <f t="shared" si="82"/>
        <v>Trimestre 12012</v>
      </c>
      <c r="MK122" s="848">
        <v>40969</v>
      </c>
      <c r="ML122" s="29"/>
      <c r="MM122" s="29"/>
      <c r="MN122" s="29"/>
      <c r="MO122" s="29"/>
      <c r="MP122" s="29"/>
      <c r="MQ122" s="29"/>
      <c r="MR122" s="29"/>
      <c r="MS122" s="29"/>
      <c r="MT122" s="29"/>
      <c r="MU122" s="29"/>
      <c r="MV122" s="29"/>
      <c r="MW122" s="29"/>
      <c r="MX122" s="29"/>
      <c r="MY122" s="29"/>
      <c r="MZ122" s="29"/>
      <c r="NA122" s="29"/>
      <c r="NB122" s="29"/>
      <c r="NC122" s="29"/>
      <c r="ND122" s="29"/>
      <c r="NE122" s="29"/>
      <c r="NF122" s="29"/>
      <c r="NG122" s="29"/>
      <c r="NH122" s="29"/>
      <c r="NI122" s="29"/>
      <c r="NJ122" s="29"/>
      <c r="NK122" s="29"/>
      <c r="NL122" s="29">
        <v>49</v>
      </c>
    </row>
    <row r="123" spans="1:376">
      <c r="A123" s="41">
        <f t="shared" si="80"/>
        <v>2012</v>
      </c>
      <c r="B123" s="785">
        <v>41061</v>
      </c>
      <c r="C123" s="19">
        <v>1066.1785798227415</v>
      </c>
      <c r="D123" s="93">
        <v>142.89073052555534</v>
      </c>
      <c r="E123" s="93">
        <v>143.48795376695946</v>
      </c>
      <c r="F123" s="93">
        <v>11.589491580028188</v>
      </c>
      <c r="G123" s="93">
        <v>17.719330038164522</v>
      </c>
      <c r="H123" s="93">
        <v>73.880537376265863</v>
      </c>
      <c r="I123" s="93">
        <v>167.30477797664079</v>
      </c>
      <c r="J123" s="93">
        <v>175.5418427888971</v>
      </c>
      <c r="K123" s="93">
        <v>132.93560863380355</v>
      </c>
      <c r="L123" s="93">
        <v>183.96370145576358</v>
      </c>
      <c r="M123" s="734">
        <v>140.03857894752207</v>
      </c>
      <c r="N123" s="25">
        <v>50</v>
      </c>
      <c r="O123" s="889">
        <f t="shared" si="79"/>
        <v>2012</v>
      </c>
      <c r="P123" s="29" t="str">
        <f t="shared" si="81"/>
        <v>Trimestre 22012</v>
      </c>
      <c r="Q123" s="848">
        <v>41061</v>
      </c>
      <c r="R123" s="733"/>
      <c r="S123" s="570">
        <v>2.1579999999999999</v>
      </c>
      <c r="T123" s="570"/>
      <c r="U123" s="734"/>
      <c r="V123" s="25">
        <v>50</v>
      </c>
      <c r="W123" s="19"/>
      <c r="X123" s="93"/>
      <c r="Y123" s="93"/>
      <c r="Z123" s="93"/>
      <c r="AA123" s="93"/>
      <c r="AB123" s="93"/>
      <c r="AC123" s="93"/>
      <c r="AD123" s="93"/>
      <c r="AE123" s="20"/>
      <c r="AF123" s="25">
        <v>50</v>
      </c>
      <c r="AG123" s="19"/>
      <c r="AH123" s="93"/>
      <c r="AI123" s="93"/>
      <c r="AJ123" s="93"/>
      <c r="AK123" s="93"/>
      <c r="AL123" s="93"/>
      <c r="AM123" s="93"/>
      <c r="AN123" s="20"/>
      <c r="AO123" s="19"/>
      <c r="AP123" s="93"/>
      <c r="AQ123" s="93"/>
      <c r="AR123" s="93"/>
      <c r="AS123" s="20"/>
      <c r="AT123" s="19"/>
      <c r="AU123" s="93"/>
      <c r="AV123" s="20"/>
      <c r="AW123" s="19"/>
      <c r="AX123" s="93"/>
      <c r="AY123" s="93"/>
      <c r="AZ123" s="93"/>
      <c r="BA123" s="93"/>
      <c r="BB123" s="93"/>
      <c r="BC123" s="20"/>
      <c r="BD123" s="19"/>
      <c r="BE123" s="93"/>
      <c r="BF123" s="93"/>
      <c r="BG123" s="93"/>
      <c r="BH123" s="93"/>
      <c r="BI123" s="93"/>
      <c r="BJ123" s="93"/>
      <c r="BK123" s="20"/>
      <c r="BL123" s="19"/>
      <c r="BM123" s="93"/>
      <c r="BN123" s="93"/>
      <c r="BO123" s="93"/>
      <c r="BP123" s="93"/>
      <c r="BQ123" s="20"/>
      <c r="BR123" s="19"/>
      <c r="BS123" s="93"/>
      <c r="BT123" s="93"/>
      <c r="BU123" s="20"/>
      <c r="BV123" s="19"/>
      <c r="BW123" s="93"/>
      <c r="BX123" s="93"/>
      <c r="BY123" s="93"/>
      <c r="BZ123" s="93"/>
      <c r="CA123" s="93"/>
      <c r="CB123" s="20"/>
      <c r="CC123" s="25">
        <v>50</v>
      </c>
      <c r="CD123" s="19"/>
      <c r="CE123" s="93"/>
      <c r="CF123" s="20"/>
      <c r="CG123" s="25">
        <v>50</v>
      </c>
      <c r="CH123" s="19"/>
      <c r="CI123" s="93"/>
      <c r="CJ123" s="93"/>
      <c r="CK123" s="93"/>
      <c r="CL123" s="93"/>
      <c r="CM123" s="93"/>
      <c r="CN123" s="93"/>
      <c r="CO123" s="93"/>
      <c r="CP123" s="93"/>
      <c r="CQ123" s="93"/>
      <c r="CR123" s="214"/>
      <c r="CS123" s="20"/>
      <c r="CT123" s="25">
        <v>50</v>
      </c>
      <c r="CU123" s="19"/>
      <c r="CV123" s="93"/>
      <c r="CW123" s="93"/>
      <c r="CX123" s="93"/>
      <c r="CY123" s="93"/>
      <c r="CZ123" s="93"/>
      <c r="DA123" s="93"/>
      <c r="DB123" s="20"/>
      <c r="DC123" s="25">
        <v>50</v>
      </c>
      <c r="DD123" s="785">
        <v>41061</v>
      </c>
      <c r="DE123" s="19"/>
      <c r="DF123" s="20"/>
      <c r="DG123" s="25">
        <v>50</v>
      </c>
      <c r="DH123" s="19"/>
      <c r="DI123" s="20"/>
      <c r="DJ123" s="25">
        <v>50</v>
      </c>
      <c r="DK123" s="19"/>
      <c r="DL123" s="20"/>
      <c r="DM123" s="19"/>
      <c r="DN123" s="20"/>
      <c r="DO123" s="25">
        <v>50</v>
      </c>
      <c r="DP123" s="19"/>
      <c r="DQ123" s="93"/>
      <c r="DR123" s="20"/>
      <c r="DS123" s="25">
        <v>50</v>
      </c>
      <c r="DT123" s="19"/>
      <c r="DU123" s="93"/>
      <c r="DV123" s="20"/>
      <c r="DW123" s="25">
        <v>50</v>
      </c>
      <c r="DX123" s="19"/>
      <c r="DY123" s="20"/>
      <c r="DZ123" s="25">
        <v>50</v>
      </c>
      <c r="EA123" s="19"/>
      <c r="EB123" s="93"/>
      <c r="EC123" s="93"/>
      <c r="ED123" s="93"/>
      <c r="EE123" s="20"/>
      <c r="EF123" s="25">
        <v>50</v>
      </c>
      <c r="EG123" s="19"/>
      <c r="EH123" s="93"/>
      <c r="EI123" s="93"/>
      <c r="EJ123" s="93"/>
      <c r="EK123" s="20"/>
      <c r="EL123" s="25">
        <v>50</v>
      </c>
      <c r="EM123" s="19"/>
      <c r="EN123" s="93"/>
      <c r="EO123" s="93"/>
      <c r="EP123" s="93"/>
      <c r="EQ123" s="93"/>
      <c r="ER123" s="93"/>
      <c r="ES123" s="93"/>
      <c r="ET123" s="93"/>
      <c r="EU123" s="93"/>
      <c r="EV123" s="20"/>
      <c r="EW123" s="25">
        <v>50</v>
      </c>
      <c r="EX123" s="915"/>
      <c r="EY123" s="916"/>
      <c r="EZ123" s="916"/>
      <c r="FA123" s="916"/>
      <c r="FB123" s="916"/>
      <c r="FC123" s="916"/>
      <c r="FD123" s="916"/>
      <c r="FE123" s="916"/>
      <c r="FF123" s="916"/>
      <c r="FG123" s="917"/>
      <c r="FH123" s="25">
        <v>50</v>
      </c>
      <c r="FI123" s="848">
        <v>41061</v>
      </c>
      <c r="FJ123" s="19">
        <v>2476</v>
      </c>
      <c r="FK123" s="93">
        <v>1321</v>
      </c>
      <c r="FL123" s="20">
        <v>0</v>
      </c>
      <c r="FM123" s="25">
        <v>50</v>
      </c>
      <c r="FN123" s="19"/>
      <c r="FO123" s="93"/>
      <c r="FP123" s="93"/>
      <c r="FQ123" s="93"/>
      <c r="FR123" s="93"/>
      <c r="FS123" s="93"/>
      <c r="FT123" s="93"/>
      <c r="FU123" s="93"/>
      <c r="FV123" s="93"/>
      <c r="FW123" s="917"/>
      <c r="FX123" s="25">
        <v>50</v>
      </c>
      <c r="FY123" s="916"/>
      <c r="FZ123" s="916"/>
      <c r="GA123" s="916"/>
      <c r="GB123" s="916"/>
      <c r="GC123" s="916"/>
      <c r="GD123" s="916"/>
      <c r="GE123" s="916"/>
      <c r="GF123" s="916"/>
      <c r="GG123" s="916"/>
      <c r="GH123" s="916"/>
      <c r="GI123" s="917"/>
      <c r="GJ123" s="25">
        <v>50</v>
      </c>
      <c r="GK123" s="19"/>
      <c r="GL123" s="20"/>
      <c r="GM123" s="25">
        <v>50</v>
      </c>
      <c r="GN123" s="19">
        <v>4213</v>
      </c>
      <c r="GO123" s="20">
        <v>1372</v>
      </c>
      <c r="GP123" s="25">
        <v>50</v>
      </c>
      <c r="GQ123" s="19"/>
      <c r="GR123" s="20"/>
      <c r="GS123" s="25">
        <v>50</v>
      </c>
      <c r="GT123" s="848">
        <v>41061</v>
      </c>
      <c r="GU123" s="19"/>
      <c r="GV123" s="93"/>
      <c r="GW123" s="93"/>
      <c r="GX123" s="93"/>
      <c r="GY123" s="93"/>
      <c r="GZ123" s="93"/>
      <c r="HA123" s="93"/>
      <c r="HB123" s="93"/>
      <c r="HC123" s="93"/>
      <c r="HD123" s="93"/>
      <c r="HE123" s="93"/>
      <c r="HF123" s="93"/>
      <c r="HG123" s="93"/>
      <c r="HH123" s="93"/>
      <c r="HI123" s="93"/>
      <c r="HJ123" s="93"/>
      <c r="HK123" s="93"/>
      <c r="HL123" s="93"/>
      <c r="HM123" s="93"/>
      <c r="HN123" s="93"/>
      <c r="HO123" s="93"/>
      <c r="HP123" s="93"/>
      <c r="HQ123" s="93"/>
      <c r="HR123" s="93"/>
      <c r="HS123" s="93"/>
      <c r="HT123" s="93"/>
      <c r="HU123" s="93"/>
      <c r="HV123" s="93"/>
      <c r="HW123" s="93"/>
      <c r="HX123" s="93"/>
      <c r="HY123" s="93"/>
      <c r="HZ123" s="93"/>
      <c r="IA123" s="93"/>
      <c r="IB123" s="93"/>
      <c r="IC123" s="93"/>
      <c r="ID123" s="93"/>
      <c r="IE123" s="93"/>
      <c r="IF123" s="93"/>
      <c r="IG123" s="93"/>
      <c r="IH123" s="93"/>
      <c r="II123" s="93"/>
      <c r="IJ123" s="93"/>
      <c r="IK123" s="93"/>
      <c r="IL123" s="93"/>
      <c r="IM123" s="93"/>
      <c r="IN123" s="93"/>
      <c r="IO123" s="93"/>
      <c r="IP123" s="93"/>
      <c r="IQ123" s="93"/>
      <c r="IR123" s="93"/>
      <c r="IS123" s="93"/>
      <c r="IT123" s="93"/>
      <c r="IU123" s="93"/>
      <c r="IV123" s="93">
        <v>50</v>
      </c>
      <c r="IW123" s="848">
        <v>41061</v>
      </c>
      <c r="IX123" s="1035"/>
      <c r="IY123" s="1035">
        <v>169.68235000000001</v>
      </c>
      <c r="IZ123" s="1035">
        <v>211.29275000000001</v>
      </c>
      <c r="JA123" s="1035">
        <v>0.48041099799999998</v>
      </c>
      <c r="JB123" s="1035">
        <v>619.37632330450845</v>
      </c>
      <c r="JC123" s="1035">
        <v>84.898899999999998</v>
      </c>
      <c r="JD123" s="1035">
        <v>874.43798430250854</v>
      </c>
      <c r="JE123" s="1035">
        <v>661.16987224920388</v>
      </c>
      <c r="JF123" s="1035">
        <v>1535.6078565517123</v>
      </c>
      <c r="JG123" s="1035"/>
      <c r="JH123" s="1035">
        <v>787.35873818620757</v>
      </c>
      <c r="JI123" s="1035">
        <v>186.456507655</v>
      </c>
      <c r="JJ123" s="1035">
        <v>600.90223053120746</v>
      </c>
      <c r="JK123" s="1035">
        <v>967.57563668350474</v>
      </c>
      <c r="JL123" s="1035">
        <v>-102.07558823900001</v>
      </c>
      <c r="JM123" s="1035">
        <v>-92.380588238999991</v>
      </c>
      <c r="JN123" s="1035">
        <v>-9.6950000000000216</v>
      </c>
      <c r="JO123" s="1035">
        <v>1069.6512249225048</v>
      </c>
      <c r="JP123" s="1035">
        <v>4.7042599000000003</v>
      </c>
      <c r="JQ123" s="1035">
        <v>1064.9469650225049</v>
      </c>
      <c r="JR123" s="1035">
        <v>246.50643745799999</v>
      </c>
      <c r="JS123" s="1035">
        <v>-27.179919139999974</v>
      </c>
      <c r="JT123" s="1036">
        <v>1535.6078565517125</v>
      </c>
      <c r="JU123" s="29">
        <v>50</v>
      </c>
      <c r="JV123" s="1037"/>
      <c r="JW123" s="1526">
        <f>VLOOKUP($IW123,Base_Mensuelle!$OF$68:$RM$679,HLOOKUP(JW$73,Base_Mensuelle!$PE$67:$QE$680,614,0))</f>
        <v>186.456507655</v>
      </c>
      <c r="JX123" s="1526">
        <f>VLOOKUP($IW123,Base_Mensuelle!$OF$68:$RM$679,HLOOKUP(JX$73,Base_Mensuelle!$PE$67:$QE$680,614,0))</f>
        <v>428.657245617</v>
      </c>
      <c r="JY123" s="1526">
        <f>VLOOKUP($IW123,Base_Mensuelle!$OF$68:$RM$679,HLOOKUP(JY$73,Base_Mensuelle!$PE$67:$QE$680,614,0))</f>
        <v>242.20073796200001</v>
      </c>
      <c r="JZ123" s="1526">
        <f>VLOOKUP($IW123,Base_Mensuelle!$OF$68:$RM$679,HLOOKUP(JZ$73,Base_Mensuelle!$PE$67:$QE$680,614,0))</f>
        <v>231.2</v>
      </c>
      <c r="KA123" s="1526">
        <f>VLOOKUP($IW123,Base_Mensuelle!$OF$68:$RM$679,HLOOKUP(KA$73,Base_Mensuelle!$PE$67:$QE$680,614,0))</f>
        <v>-87.352188238999986</v>
      </c>
      <c r="KB123" s="1526">
        <f>VLOOKUP($IW123,Base_Mensuelle!$OF$68:$RM$679,HLOOKUP(KB$73,Base_Mensuelle!$PE$67:$QE$680,614,0))</f>
        <v>129.34564714200002</v>
      </c>
      <c r="KC123" s="1526">
        <f>VLOOKUP($IW123,Base_Mensuelle!$OF$68:$RM$679,HLOOKUP(KC$73,Base_Mensuelle!$PE$67:$QE$680,614,0))</f>
        <v>216.697835381</v>
      </c>
      <c r="KD123" s="1526">
        <f>VLOOKUP($IW123,Base_Mensuelle!$OF$68:$RM$679,HLOOKUP(KD$73,Base_Mensuelle!$PE$67:$QE$680,614,0))</f>
        <v>4.7042599000000003</v>
      </c>
      <c r="KE123" s="1526">
        <f>VLOOKUP($IW123,Base_Mensuelle!$OF$68:$RM$679,HLOOKUP(KE$73,Base_Mensuelle!$PE$67:$QE$680,614,0))</f>
        <v>1.06</v>
      </c>
      <c r="KF123" s="1526">
        <f>VLOOKUP($IW123,Base_Mensuelle!$OF$68:$RM$679,HLOOKUP(KF$73,Base_Mensuelle!$PE$67:$QE$680,614,0))</f>
        <v>0</v>
      </c>
      <c r="KG123" s="1526">
        <f>VLOOKUP($IW123,Base_Mensuelle!$OF$68:$RM$679,HLOOKUP(KG$73,Base_Mensuelle!$PE$67:$QE$680,614,0))</f>
        <v>5.6102799999999998E-4</v>
      </c>
      <c r="KH123" s="1526">
        <f>VLOOKUP($IW123,Base_Mensuelle!$OF$68:$RM$679,HLOOKUP(KH$73,Base_Mensuelle!$PE$67:$QE$680,614,0))</f>
        <v>3.6436988719999999</v>
      </c>
      <c r="KI123" s="1526">
        <f>VLOOKUP($IW123,Base_Mensuelle!$OF$68:$RM$679,HLOOKUP(KI$73,Base_Mensuelle!$PE$67:$QE$680,614,0))</f>
        <v>330.58712165500003</v>
      </c>
      <c r="KJ123" s="1526">
        <f>VLOOKUP($IW123,Base_Mensuelle!$OF$68:$RM$679,HLOOKUP(KJ$73,Base_Mensuelle!$PE$67:$QE$680,614,0))</f>
        <v>211.29275000000001</v>
      </c>
      <c r="KK123" s="1526">
        <f>VLOOKUP($IW123,Base_Mensuelle!$OF$68:$RM$679,HLOOKUP(KK$73,Base_Mensuelle!$PE$67:$QE$680,614,0))</f>
        <v>118.813960657</v>
      </c>
      <c r="KL123" s="1526">
        <f>VLOOKUP($IW123,Base_Mensuelle!$OF$68:$RM$679,HLOOKUP(KL$73,Base_Mensuelle!$PE$67:$QE$680,614,0))</f>
        <v>0.48041099799999998</v>
      </c>
      <c r="KM123" s="1526">
        <f>VLOOKUP($IW123,Base_Mensuelle!$OF$68:$RM$679,HLOOKUP(KM$73,Base_Mensuelle!$PE$67:$QE$680,614,0))</f>
        <v>0</v>
      </c>
      <c r="KN123" s="1526">
        <f>VLOOKUP($IW123,Base_Mensuelle!$OF$68:$RM$679,HLOOKUP(KN$73,Base_Mensuelle!$PE$67:$QE$680,614,0))</f>
        <v>1.184852333</v>
      </c>
      <c r="KO123" s="1526">
        <f>VLOOKUP($IW123,Base_Mensuelle!$OF$68:$RM$679,HLOOKUP(KO$73,Base_Mensuelle!$PE$67:$QE$680,614,0))</f>
        <v>0</v>
      </c>
      <c r="KP123" s="1526">
        <f>VLOOKUP($IW123,Base_Mensuelle!$OF$68:$RM$679,HLOOKUP(KP$73,Base_Mensuelle!$PE$67:$QE$680,614,0))</f>
        <v>0</v>
      </c>
      <c r="KQ123" s="1526">
        <f>VLOOKUP($IW123,Base_Mensuelle!$OF$68:$RM$679,HLOOKUP(KQ$73,Base_Mensuelle!$PE$67:$QE$680,614,0))</f>
        <v>1.184852333</v>
      </c>
      <c r="KR123" s="1526">
        <f>VLOOKUP($IW123,Base_Mensuelle!$OF$68:$RM$679,HLOOKUP(KR$73,Base_Mensuelle!$PE$67:$QE$680,614,0))</f>
        <v>0</v>
      </c>
      <c r="KS123" s="1526">
        <f>VLOOKUP($IW123,Base_Mensuelle!$OF$68:$RM$679,HLOOKUP(KS$73,Base_Mensuelle!$PE$67:$QE$680,614,0))</f>
        <v>0</v>
      </c>
      <c r="KT123" s="1526">
        <f>VLOOKUP($IW123,Base_Mensuelle!$OF$68:$RM$679,HLOOKUP(KT$73,Base_Mensuelle!$PE$67:$QE$680,614,0))</f>
        <v>0</v>
      </c>
      <c r="KU123" s="1526">
        <f>VLOOKUP($IW123,Base_Mensuelle!$OF$68:$RM$679,HLOOKUP(KU$73,Base_Mensuelle!$PE$67:$QE$680,614,0))</f>
        <v>0.483585125</v>
      </c>
      <c r="KV123" s="1526">
        <f>VLOOKUP($IW123,Base_Mensuelle!$OF$68:$RM$679,HLOOKUP(KV$73,Base_Mensuelle!$PE$67:$QE$680,614,0))</f>
        <v>2.7530202029999988</v>
      </c>
      <c r="KW123" s="1036"/>
      <c r="KX123" s="29">
        <v>50</v>
      </c>
      <c r="KY123" s="1037"/>
      <c r="KZ123" s="182">
        <f>VLOOKUP($IW123,Base_Mensuelle!$OF$68:$RM$679,HLOOKUP(KZ$73,Base_Mensuelle!$QG$67:$RM$680,614,0))</f>
        <v>600.90223053120746</v>
      </c>
      <c r="LA123" s="182">
        <f>VLOOKUP($IW123,Base_Mensuelle!$OF$68:$RM$679,HLOOKUP(LA$73,Base_Mensuelle!$QG$67:$RM$680,614,0))</f>
        <v>703.41103497749521</v>
      </c>
      <c r="LB123" s="182">
        <f>VLOOKUP($IW123,Base_Mensuelle!$OF$68:$RM$679,HLOOKUP(LB$73,Base_Mensuelle!$QG$67:$RM$680,614,0))</f>
        <v>-102.5088044462877</v>
      </c>
      <c r="LC123" s="182">
        <f>VLOOKUP($IW123,Base_Mensuelle!$OF$68:$RM$679,HLOOKUP(LC$73,Base_Mensuelle!$QG$67:$RM$680,614,0))</f>
        <v>132.05600000000001</v>
      </c>
      <c r="LD123" s="182">
        <f>VLOOKUP($IW123,Base_Mensuelle!$OF$68:$RM$679,HLOOKUP(LD$73,Base_Mensuelle!$QG$67:$RM$680,614,0))</f>
        <v>36.582000000000001</v>
      </c>
      <c r="LE123" s="182">
        <f>VLOOKUP($IW123,Base_Mensuelle!$OF$68:$RM$679,HLOOKUP(LE$73,Base_Mensuelle!$QG$67:$RM$680,614,0))</f>
        <v>95.474000000000004</v>
      </c>
      <c r="LF123" s="182">
        <f>VLOOKUP($IW123,Base_Mensuelle!$OF$68:$RM$679,HLOOKUP(LF$73,Base_Mensuelle!$QG$67:$RM$680,614,0))</f>
        <v>0</v>
      </c>
      <c r="LG123" s="182">
        <f>VLOOKUP($IW123,Base_Mensuelle!$OF$68:$RM$679,HLOOKUP(LG$73,Base_Mensuelle!$QG$67:$RM$680,614,0))</f>
        <v>-9.6950000000000216</v>
      </c>
      <c r="LH123" s="182">
        <f>VLOOKUP($IW123,Base_Mensuelle!$OF$68:$RM$679,HLOOKUP(LH$73,Base_Mensuelle!$QG$67:$RM$680,614,0))</f>
        <v>134.947</v>
      </c>
      <c r="LI123" s="182">
        <f>VLOOKUP($IW123,Base_Mensuelle!$OF$68:$RM$679,HLOOKUP(LI$73,Base_Mensuelle!$QG$67:$RM$680,614,0))</f>
        <v>-144.64200000000002</v>
      </c>
      <c r="LJ123" s="182">
        <f>VLOOKUP($IW123,Base_Mensuelle!$OF$68:$RM$679,HLOOKUP(LJ$73,Base_Mensuelle!$QG$67:$RM$680,614,0))</f>
        <v>1064.9469650225049</v>
      </c>
      <c r="LK123" s="182">
        <f>VLOOKUP($IW123,Base_Mensuelle!$OF$68:$RM$679,HLOOKUP(LK$73,Base_Mensuelle!$QG$67:$RM$680,614,0))</f>
        <v>16.597101096735411</v>
      </c>
      <c r="LL123" s="182">
        <f>VLOOKUP($IW123,Base_Mensuelle!$OF$68:$RM$679,HLOOKUP(LL$73,Base_Mensuelle!$QG$67:$RM$680,614,0))</f>
        <v>0</v>
      </c>
      <c r="LM123" s="182">
        <f>VLOOKUP($IW123,Base_Mensuelle!$OF$68:$RM$679,HLOOKUP(LM$73,Base_Mensuelle!$QG$67:$RM$680,614,0))</f>
        <v>123.997</v>
      </c>
      <c r="LN123" s="182">
        <f>VLOOKUP($IW123,Base_Mensuelle!$OF$68:$RM$679,HLOOKUP(LN$73,Base_Mensuelle!$QG$67:$RM$680,614,0))</f>
        <v>924.35286392576938</v>
      </c>
      <c r="LO123" s="182">
        <f>VLOOKUP($IW123,Base_Mensuelle!$OF$68:$RM$679,HLOOKUP(LO$73,Base_Mensuelle!$QG$67:$RM$680,614,0))</f>
        <v>0</v>
      </c>
      <c r="LP123" s="182">
        <f>VLOOKUP($IW123,Base_Mensuelle!$OF$68:$RM$679,HLOOKUP(LP$73,Base_Mensuelle!$QG$67:$RM$680,614,0))</f>
        <v>231.49</v>
      </c>
      <c r="LQ123" s="182">
        <f>VLOOKUP($IW123,Base_Mensuelle!$OF$68:$RM$679,HLOOKUP(LQ$73,Base_Mensuelle!$QG$67:$RM$680,614,0))</f>
        <v>619.37632330450833</v>
      </c>
      <c r="LR123" s="182">
        <f>VLOOKUP($IW123,Base_Mensuelle!$OF$68:$RM$679,HLOOKUP(LR$73,Base_Mensuelle!$QG$67:$RM$680,614,0))</f>
        <v>661.16987224920388</v>
      </c>
      <c r="LS123" s="182">
        <f>VLOOKUP($IW123,Base_Mensuelle!$OF$68:$RM$679,HLOOKUP(LS$73,Base_Mensuelle!$QG$67:$RM$680,614,0))</f>
        <v>0</v>
      </c>
      <c r="LT123" s="182">
        <f>VLOOKUP($IW123,Base_Mensuelle!$OF$68:$RM$679,HLOOKUP(LT$73,Base_Mensuelle!$QG$67:$RM$680,614,0))</f>
        <v>38.432000000000002</v>
      </c>
      <c r="LU123" s="182">
        <f>VLOOKUP($IW123,Base_Mensuelle!$OF$68:$RM$679,HLOOKUP(LU$73,Base_Mensuelle!$QG$67:$RM$680,614,0))</f>
        <v>5.5889999999999995</v>
      </c>
      <c r="LV123" s="182">
        <f>VLOOKUP($IW123,Base_Mensuelle!$OF$68:$RM$679,HLOOKUP(LV$73,Base_Mensuelle!$QG$67:$RM$680,614,0))</f>
        <v>9.0850000000000009</v>
      </c>
      <c r="LW123" s="182">
        <f>VLOOKUP($IW123,Base_Mensuelle!$OF$68:$RM$679,HLOOKUP(LW$73,Base_Mensuelle!$QG$67:$RM$680,614,0))</f>
        <v>0</v>
      </c>
      <c r="LX123" s="182">
        <f>VLOOKUP($IW123,Base_Mensuelle!$OF$68:$RM$679,HLOOKUP(LX$73,Base_Mensuelle!$QG$67:$RM$680,614,0))</f>
        <v>0</v>
      </c>
      <c r="LY123" s="182">
        <f>VLOOKUP($IW123,Base_Mensuelle!$OF$68:$RM$679,HLOOKUP(LY$73,Base_Mensuelle!$QG$67:$RM$680,614,0))</f>
        <v>191.732</v>
      </c>
      <c r="LZ123" s="182">
        <f>VLOOKUP($IW123,Base_Mensuelle!$OF$68:$RM$679,HLOOKUP(LZ$73,Base_Mensuelle!$QG$67:$RM$680,614,0))</f>
        <v>31.335999999999999</v>
      </c>
      <c r="MA123" s="182">
        <f>VLOOKUP($IW123,Base_Mensuelle!$OF$68:$RM$679,HLOOKUP(MA$73,Base_Mensuelle!$QG$67:$RM$680,614,0))</f>
        <v>0</v>
      </c>
      <c r="MB123" s="182">
        <f>VLOOKUP($IW123,Base_Mensuelle!$OF$68:$RM$679,HLOOKUP(MB$73,Base_Mensuelle!$QG$67:$RM$680,614,0))</f>
        <v>0</v>
      </c>
      <c r="MC123" s="182">
        <f>VLOOKUP($IW123,Base_Mensuelle!$OF$68:$RM$679,HLOOKUP(MC$73,Base_Mensuelle!$QG$67:$RM$680,614,0))</f>
        <v>0</v>
      </c>
      <c r="MD123" s="182">
        <f>VLOOKUP($IW123,Base_Mensuelle!$OF$68:$RM$679,HLOOKUP(MD$73,Base_Mensuelle!$QG$67:$RM$680,614,0))</f>
        <v>0</v>
      </c>
      <c r="ME123" s="182">
        <f>VLOOKUP($IW123,Base_Mensuelle!$OF$68:$RM$679,HLOOKUP(ME$73,Base_Mensuelle!$QG$67:$RM$680,614,0))</f>
        <v>0</v>
      </c>
      <c r="MF123" s="182"/>
      <c r="MG123" s="182"/>
      <c r="MH123" s="290"/>
      <c r="MI123" s="29">
        <v>50</v>
      </c>
      <c r="MJ123" s="29" t="str">
        <f t="shared" si="82"/>
        <v>Trimestre 22012</v>
      </c>
      <c r="MK123" s="848">
        <v>41061</v>
      </c>
      <c r="ML123" s="29"/>
      <c r="MM123" s="29"/>
      <c r="MN123" s="29"/>
      <c r="MO123" s="29"/>
      <c r="MP123" s="29"/>
      <c r="MQ123" s="29"/>
      <c r="MR123" s="29"/>
      <c r="MS123" s="29"/>
      <c r="MT123" s="29"/>
      <c r="MU123" s="29"/>
      <c r="MV123" s="29"/>
      <c r="MW123" s="29"/>
      <c r="MX123" s="29"/>
      <c r="MY123" s="29"/>
      <c r="MZ123" s="29"/>
      <c r="NA123" s="29"/>
      <c r="NB123" s="29"/>
      <c r="NC123" s="29"/>
      <c r="ND123" s="29"/>
      <c r="NE123" s="29"/>
      <c r="NF123" s="29"/>
      <c r="NG123" s="29"/>
      <c r="NH123" s="29"/>
      <c r="NI123" s="29"/>
      <c r="NJ123" s="29"/>
      <c r="NK123" s="29"/>
      <c r="NL123" s="29">
        <v>50</v>
      </c>
    </row>
    <row r="124" spans="1:376">
      <c r="A124" s="41">
        <f t="shared" si="80"/>
        <v>2012</v>
      </c>
      <c r="B124" s="785">
        <v>41153</v>
      </c>
      <c r="C124" s="19">
        <v>1102.0448198452459</v>
      </c>
      <c r="D124" s="93">
        <v>94.825434336929675</v>
      </c>
      <c r="E124" s="93">
        <v>149.11973515509885</v>
      </c>
      <c r="F124" s="93">
        <v>8.7330928292748879</v>
      </c>
      <c r="G124" s="93">
        <v>29.04508745706649</v>
      </c>
      <c r="H124" s="93">
        <v>64.277492413771526</v>
      </c>
      <c r="I124" s="93">
        <v>126.07035823190932</v>
      </c>
      <c r="J124" s="93">
        <v>140.37469406443105</v>
      </c>
      <c r="K124" s="93">
        <v>56.690431059114069</v>
      </c>
      <c r="L124" s="93">
        <v>144.88956933102628</v>
      </c>
      <c r="M124" s="734">
        <v>105.68148689800438</v>
      </c>
      <c r="N124" s="25">
        <v>51</v>
      </c>
      <c r="O124" s="889">
        <f t="shared" si="79"/>
        <v>2012</v>
      </c>
      <c r="P124" s="29" t="str">
        <f t="shared" si="81"/>
        <v>Trimestre 32012</v>
      </c>
      <c r="Q124" s="848">
        <v>41153</v>
      </c>
      <c r="R124" s="733"/>
      <c r="S124" s="570">
        <v>0</v>
      </c>
      <c r="T124" s="570"/>
      <c r="U124" s="734"/>
      <c r="V124" s="25">
        <v>51</v>
      </c>
      <c r="W124" s="19"/>
      <c r="X124" s="93"/>
      <c r="Y124" s="93"/>
      <c r="Z124" s="93"/>
      <c r="AA124" s="93"/>
      <c r="AB124" s="93"/>
      <c r="AC124" s="93"/>
      <c r="AD124" s="93"/>
      <c r="AE124" s="20"/>
      <c r="AF124" s="25">
        <v>51</v>
      </c>
      <c r="AG124" s="19"/>
      <c r="AH124" s="93"/>
      <c r="AI124" s="93"/>
      <c r="AJ124" s="93"/>
      <c r="AK124" s="93"/>
      <c r="AL124" s="93"/>
      <c r="AM124" s="93"/>
      <c r="AN124" s="20"/>
      <c r="AO124" s="19"/>
      <c r="AP124" s="93"/>
      <c r="AQ124" s="93"/>
      <c r="AR124" s="93"/>
      <c r="AS124" s="20"/>
      <c r="AT124" s="19"/>
      <c r="AU124" s="93"/>
      <c r="AV124" s="20"/>
      <c r="AW124" s="19"/>
      <c r="AX124" s="93"/>
      <c r="AY124" s="93"/>
      <c r="AZ124" s="93"/>
      <c r="BA124" s="93"/>
      <c r="BB124" s="93"/>
      <c r="BC124" s="20"/>
      <c r="BD124" s="19"/>
      <c r="BE124" s="93"/>
      <c r="BF124" s="93"/>
      <c r="BG124" s="93"/>
      <c r="BH124" s="93"/>
      <c r="BI124" s="93"/>
      <c r="BJ124" s="93"/>
      <c r="BK124" s="20"/>
      <c r="BL124" s="19"/>
      <c r="BM124" s="93"/>
      <c r="BN124" s="93"/>
      <c r="BO124" s="93"/>
      <c r="BP124" s="93"/>
      <c r="BQ124" s="20"/>
      <c r="BR124" s="19"/>
      <c r="BS124" s="93"/>
      <c r="BT124" s="93"/>
      <c r="BU124" s="20"/>
      <c r="BV124" s="19"/>
      <c r="BW124" s="93"/>
      <c r="BX124" s="93"/>
      <c r="BY124" s="93"/>
      <c r="BZ124" s="93"/>
      <c r="CA124" s="93"/>
      <c r="CB124" s="20"/>
      <c r="CC124" s="25">
        <v>51</v>
      </c>
      <c r="CD124" s="19"/>
      <c r="CE124" s="93"/>
      <c r="CF124" s="20"/>
      <c r="CG124" s="25">
        <v>51</v>
      </c>
      <c r="CH124" s="19"/>
      <c r="CI124" s="93"/>
      <c r="CJ124" s="93"/>
      <c r="CK124" s="93"/>
      <c r="CL124" s="93"/>
      <c r="CM124" s="93"/>
      <c r="CN124" s="93"/>
      <c r="CO124" s="93"/>
      <c r="CP124" s="93"/>
      <c r="CQ124" s="93"/>
      <c r="CR124" s="214"/>
      <c r="CS124" s="20"/>
      <c r="CT124" s="25">
        <v>51</v>
      </c>
      <c r="CU124" s="19"/>
      <c r="CV124" s="93"/>
      <c r="CW124" s="93"/>
      <c r="CX124" s="93"/>
      <c r="CY124" s="93"/>
      <c r="CZ124" s="93"/>
      <c r="DA124" s="93"/>
      <c r="DB124" s="20"/>
      <c r="DC124" s="25">
        <v>51</v>
      </c>
      <c r="DD124" s="785">
        <v>41153</v>
      </c>
      <c r="DE124" s="19"/>
      <c r="DF124" s="20"/>
      <c r="DG124" s="25">
        <v>51</v>
      </c>
      <c r="DH124" s="19"/>
      <c r="DI124" s="20"/>
      <c r="DJ124" s="25">
        <v>51</v>
      </c>
      <c r="DK124" s="19"/>
      <c r="DL124" s="20"/>
      <c r="DM124" s="19"/>
      <c r="DN124" s="20"/>
      <c r="DO124" s="25">
        <v>51</v>
      </c>
      <c r="DP124" s="19"/>
      <c r="DQ124" s="93"/>
      <c r="DR124" s="20"/>
      <c r="DS124" s="25">
        <v>51</v>
      </c>
      <c r="DT124" s="19"/>
      <c r="DU124" s="93"/>
      <c r="DV124" s="20"/>
      <c r="DW124" s="25">
        <v>51</v>
      </c>
      <c r="DX124" s="19"/>
      <c r="DY124" s="20"/>
      <c r="DZ124" s="25">
        <v>51</v>
      </c>
      <c r="EA124" s="19"/>
      <c r="EB124" s="93"/>
      <c r="EC124" s="93"/>
      <c r="ED124" s="93"/>
      <c r="EE124" s="20"/>
      <c r="EF124" s="25">
        <v>51</v>
      </c>
      <c r="EG124" s="19"/>
      <c r="EH124" s="93"/>
      <c r="EI124" s="93"/>
      <c r="EJ124" s="93"/>
      <c r="EK124" s="20"/>
      <c r="EL124" s="25">
        <v>51</v>
      </c>
      <c r="EM124" s="19"/>
      <c r="EN124" s="93"/>
      <c r="EO124" s="93"/>
      <c r="EP124" s="93"/>
      <c r="EQ124" s="93"/>
      <c r="ER124" s="93"/>
      <c r="ES124" s="93"/>
      <c r="ET124" s="93"/>
      <c r="EU124" s="93"/>
      <c r="EV124" s="20"/>
      <c r="EW124" s="25">
        <v>51</v>
      </c>
      <c r="EX124" s="915"/>
      <c r="EY124" s="916"/>
      <c r="EZ124" s="916"/>
      <c r="FA124" s="916"/>
      <c r="FB124" s="916"/>
      <c r="FC124" s="916"/>
      <c r="FD124" s="916"/>
      <c r="FE124" s="916"/>
      <c r="FF124" s="916"/>
      <c r="FG124" s="917"/>
      <c r="FH124" s="25">
        <v>51</v>
      </c>
      <c r="FI124" s="848">
        <v>41153</v>
      </c>
      <c r="FJ124" s="19">
        <v>5770</v>
      </c>
      <c r="FK124" s="93">
        <v>3752</v>
      </c>
      <c r="FL124" s="20">
        <v>0</v>
      </c>
      <c r="FM124" s="25">
        <v>51</v>
      </c>
      <c r="FN124" s="19"/>
      <c r="FO124" s="93"/>
      <c r="FP124" s="93"/>
      <c r="FQ124" s="93"/>
      <c r="FR124" s="93"/>
      <c r="FS124" s="93"/>
      <c r="FT124" s="93"/>
      <c r="FU124" s="93"/>
      <c r="FV124" s="93"/>
      <c r="FW124" s="917"/>
      <c r="FX124" s="25">
        <v>51</v>
      </c>
      <c r="FY124" s="916"/>
      <c r="FZ124" s="916"/>
      <c r="GA124" s="916"/>
      <c r="GB124" s="916"/>
      <c r="GC124" s="916"/>
      <c r="GD124" s="916"/>
      <c r="GE124" s="916"/>
      <c r="GF124" s="916"/>
      <c r="GG124" s="916"/>
      <c r="GH124" s="916"/>
      <c r="GI124" s="917"/>
      <c r="GJ124" s="25">
        <v>51</v>
      </c>
      <c r="GK124" s="19"/>
      <c r="GL124" s="20"/>
      <c r="GM124" s="25">
        <v>51</v>
      </c>
      <c r="GN124" s="19">
        <v>3997</v>
      </c>
      <c r="GO124" s="20">
        <v>1444</v>
      </c>
      <c r="GP124" s="25">
        <v>51</v>
      </c>
      <c r="GQ124" s="19"/>
      <c r="GR124" s="20"/>
      <c r="GS124" s="25">
        <v>51</v>
      </c>
      <c r="GT124" s="848">
        <v>41153</v>
      </c>
      <c r="GU124" s="19"/>
      <c r="GV124" s="93"/>
      <c r="GW124" s="93"/>
      <c r="GX124" s="93"/>
      <c r="GY124" s="93"/>
      <c r="GZ124" s="93"/>
      <c r="HA124" s="93"/>
      <c r="HB124" s="93"/>
      <c r="HC124" s="93"/>
      <c r="HD124" s="93"/>
      <c r="HE124" s="93"/>
      <c r="HF124" s="93"/>
      <c r="HG124" s="93"/>
      <c r="HH124" s="93"/>
      <c r="HI124" s="93"/>
      <c r="HJ124" s="93"/>
      <c r="HK124" s="93"/>
      <c r="HL124" s="93"/>
      <c r="HM124" s="93"/>
      <c r="HN124" s="93"/>
      <c r="HO124" s="93"/>
      <c r="HP124" s="93"/>
      <c r="HQ124" s="93"/>
      <c r="HR124" s="93"/>
      <c r="HS124" s="93"/>
      <c r="HT124" s="93"/>
      <c r="HU124" s="93"/>
      <c r="HV124" s="93"/>
      <c r="HW124" s="93"/>
      <c r="HX124" s="93"/>
      <c r="HY124" s="93"/>
      <c r="HZ124" s="93"/>
      <c r="IA124" s="93"/>
      <c r="IB124" s="93"/>
      <c r="IC124" s="93"/>
      <c r="ID124" s="93"/>
      <c r="IE124" s="93"/>
      <c r="IF124" s="93"/>
      <c r="IG124" s="93"/>
      <c r="IH124" s="93"/>
      <c r="II124" s="93"/>
      <c r="IJ124" s="93"/>
      <c r="IK124" s="93"/>
      <c r="IL124" s="93"/>
      <c r="IM124" s="93"/>
      <c r="IN124" s="93"/>
      <c r="IO124" s="93"/>
      <c r="IP124" s="93"/>
      <c r="IQ124" s="93"/>
      <c r="IR124" s="93"/>
      <c r="IS124" s="93"/>
      <c r="IT124" s="93"/>
      <c r="IU124" s="93"/>
      <c r="IV124" s="93">
        <v>51</v>
      </c>
      <c r="IW124" s="848">
        <v>41153</v>
      </c>
      <c r="IX124" s="1035"/>
      <c r="IY124" s="1035">
        <v>197.16140000000001</v>
      </c>
      <c r="IZ124" s="1035">
        <v>237.5163</v>
      </c>
      <c r="JA124" s="1035">
        <v>0.59321761200000001</v>
      </c>
      <c r="JB124" s="1035">
        <v>632.32071054580786</v>
      </c>
      <c r="JC124" s="1035">
        <v>81.975499999999997</v>
      </c>
      <c r="JD124" s="1035">
        <v>912.05082815780793</v>
      </c>
      <c r="JE124" s="1035">
        <v>671.32275579604334</v>
      </c>
      <c r="JF124" s="1035">
        <v>1583.3735839538513</v>
      </c>
      <c r="JG124" s="1035"/>
      <c r="JH124" s="1035">
        <v>730.1870679494051</v>
      </c>
      <c r="JI124" s="1035">
        <v>212.49327775899997</v>
      </c>
      <c r="JJ124" s="1035">
        <v>517.69379019040514</v>
      </c>
      <c r="JK124" s="1035">
        <v>1068.1324989844461</v>
      </c>
      <c r="JL124" s="1035">
        <v>-100.73073798800002</v>
      </c>
      <c r="JM124" s="1035">
        <v>-54.889737988000007</v>
      </c>
      <c r="JN124" s="1035">
        <v>-45.841000000000008</v>
      </c>
      <c r="JO124" s="1035">
        <v>1168.8632369724462</v>
      </c>
      <c r="JP124" s="1035">
        <v>4.7545608210000001</v>
      </c>
      <c r="JQ124" s="1035">
        <v>1164.1086761514462</v>
      </c>
      <c r="JR124" s="1035">
        <v>256.479317627</v>
      </c>
      <c r="JS124" s="1035">
        <v>-41.533334646999911</v>
      </c>
      <c r="JT124" s="1036">
        <v>1583.373583953851</v>
      </c>
      <c r="JU124" s="29">
        <v>51</v>
      </c>
      <c r="JV124" s="1037"/>
      <c r="JW124" s="1526">
        <f>VLOOKUP($IW124,Base_Mensuelle!$OF$68:$RM$679,HLOOKUP(JW$73,Base_Mensuelle!$PE$67:$QE$680,614,0))</f>
        <v>212.49327775899997</v>
      </c>
      <c r="JX124" s="1526">
        <f>VLOOKUP($IW124,Base_Mensuelle!$OF$68:$RM$679,HLOOKUP(JX$73,Base_Mensuelle!$PE$67:$QE$680,614,0))</f>
        <v>465.62314536599996</v>
      </c>
      <c r="JY124" s="1526">
        <f>VLOOKUP($IW124,Base_Mensuelle!$OF$68:$RM$679,HLOOKUP(JY$73,Base_Mensuelle!$PE$67:$QE$680,614,0))</f>
        <v>253.12986760699999</v>
      </c>
      <c r="JZ124" s="1526">
        <f>VLOOKUP($IW124,Base_Mensuelle!$OF$68:$RM$679,HLOOKUP(JZ$73,Base_Mensuelle!$PE$67:$QE$680,614,0))</f>
        <v>183.15799999999999</v>
      </c>
      <c r="KA124" s="1526">
        <f>VLOOKUP($IW124,Base_Mensuelle!$OF$68:$RM$679,HLOOKUP(KA$73,Base_Mensuelle!$PE$67:$QE$680,614,0))</f>
        <v>-50.614837988000005</v>
      </c>
      <c r="KB124" s="1526">
        <f>VLOOKUP($IW124,Base_Mensuelle!$OF$68:$RM$679,HLOOKUP(KB$73,Base_Mensuelle!$PE$67:$QE$680,614,0))</f>
        <v>126.64131326099999</v>
      </c>
      <c r="KC124" s="1526">
        <f>VLOOKUP($IW124,Base_Mensuelle!$OF$68:$RM$679,HLOOKUP(KC$73,Base_Mensuelle!$PE$67:$QE$680,614,0))</f>
        <v>177.256151249</v>
      </c>
      <c r="KD124" s="1526">
        <f>VLOOKUP($IW124,Base_Mensuelle!$OF$68:$RM$679,HLOOKUP(KD$73,Base_Mensuelle!$PE$67:$QE$680,614,0))</f>
        <v>4.7545608210000001</v>
      </c>
      <c r="KE124" s="1526">
        <f>VLOOKUP($IW124,Base_Mensuelle!$OF$68:$RM$679,HLOOKUP(KE$73,Base_Mensuelle!$PE$67:$QE$680,614,0))</f>
        <v>1.06</v>
      </c>
      <c r="KF124" s="1526">
        <f>VLOOKUP($IW124,Base_Mensuelle!$OF$68:$RM$679,HLOOKUP(KF$73,Base_Mensuelle!$PE$67:$QE$680,614,0))</f>
        <v>0</v>
      </c>
      <c r="KG124" s="1526">
        <f>VLOOKUP($IW124,Base_Mensuelle!$OF$68:$RM$679,HLOOKUP(KG$73,Base_Mensuelle!$PE$67:$QE$680,614,0))</f>
        <v>9.54552E-4</v>
      </c>
      <c r="KH124" s="1526">
        <f>VLOOKUP($IW124,Base_Mensuelle!$OF$68:$RM$679,HLOOKUP(KH$73,Base_Mensuelle!$PE$67:$QE$680,614,0))</f>
        <v>3.693606269</v>
      </c>
      <c r="KI124" s="1526">
        <f>VLOOKUP($IW124,Base_Mensuelle!$OF$68:$RM$679,HLOOKUP(KI$73,Base_Mensuelle!$PE$67:$QE$680,614,0))</f>
        <v>346.08073190900001</v>
      </c>
      <c r="KJ124" s="1526">
        <f>VLOOKUP($IW124,Base_Mensuelle!$OF$68:$RM$679,HLOOKUP(KJ$73,Base_Mensuelle!$PE$67:$QE$680,614,0))</f>
        <v>237.5163</v>
      </c>
      <c r="KK124" s="1526">
        <f>VLOOKUP($IW124,Base_Mensuelle!$OF$68:$RM$679,HLOOKUP(KK$73,Base_Mensuelle!$PE$67:$QE$680,614,0))</f>
        <v>107.971214297</v>
      </c>
      <c r="KL124" s="1526">
        <f>VLOOKUP($IW124,Base_Mensuelle!$OF$68:$RM$679,HLOOKUP(KL$73,Base_Mensuelle!$PE$67:$QE$680,614,0))</f>
        <v>0.59321761200000001</v>
      </c>
      <c r="KM124" s="1526">
        <f>VLOOKUP($IW124,Base_Mensuelle!$OF$68:$RM$679,HLOOKUP(KM$73,Base_Mensuelle!$PE$67:$QE$680,614,0))</f>
        <v>0</v>
      </c>
      <c r="KN124" s="1526">
        <f>VLOOKUP($IW124,Base_Mensuelle!$OF$68:$RM$679,HLOOKUP(KN$73,Base_Mensuelle!$PE$67:$QE$680,614,0))</f>
        <v>0.35480282299999999</v>
      </c>
      <c r="KO124" s="1526">
        <f>VLOOKUP($IW124,Base_Mensuelle!$OF$68:$RM$679,HLOOKUP(KO$73,Base_Mensuelle!$PE$67:$QE$680,614,0))</f>
        <v>0</v>
      </c>
      <c r="KP124" s="1526">
        <f>VLOOKUP($IW124,Base_Mensuelle!$OF$68:$RM$679,HLOOKUP(KP$73,Base_Mensuelle!$PE$67:$QE$680,614,0))</f>
        <v>0</v>
      </c>
      <c r="KQ124" s="1526">
        <f>VLOOKUP($IW124,Base_Mensuelle!$OF$68:$RM$679,HLOOKUP(KQ$73,Base_Mensuelle!$PE$67:$QE$680,614,0))</f>
        <v>0.35480282299999999</v>
      </c>
      <c r="KR124" s="1526">
        <f>VLOOKUP($IW124,Base_Mensuelle!$OF$68:$RM$679,HLOOKUP(KR$73,Base_Mensuelle!$PE$67:$QE$680,614,0))</f>
        <v>0</v>
      </c>
      <c r="KS124" s="1526">
        <f>VLOOKUP($IW124,Base_Mensuelle!$OF$68:$RM$679,HLOOKUP(KS$73,Base_Mensuelle!$PE$67:$QE$680,614,0))</f>
        <v>0</v>
      </c>
      <c r="KT124" s="1526">
        <f>VLOOKUP($IW124,Base_Mensuelle!$OF$68:$RM$679,HLOOKUP(KT$73,Base_Mensuelle!$PE$67:$QE$680,614,0))</f>
        <v>0</v>
      </c>
      <c r="KU124" s="1526">
        <f>VLOOKUP($IW124,Base_Mensuelle!$OF$68:$RM$679,HLOOKUP(KU$73,Base_Mensuelle!$PE$67:$QE$680,614,0))</f>
        <v>0.47851480400000002</v>
      </c>
      <c r="KV124" s="1526">
        <f>VLOOKUP($IW124,Base_Mensuelle!$OF$68:$RM$679,HLOOKUP(KV$73,Base_Mensuelle!$PE$67:$QE$680,614,0))</f>
        <v>2.8769510560000304</v>
      </c>
      <c r="KW124" s="1036"/>
      <c r="KX124" s="29">
        <v>51</v>
      </c>
      <c r="KY124" s="1037"/>
      <c r="KZ124" s="182">
        <f>VLOOKUP($IW124,Base_Mensuelle!$OF$68:$RM$679,HLOOKUP(KZ$73,Base_Mensuelle!$QG$67:$RM$680,614,0))</f>
        <v>517.69379019040514</v>
      </c>
      <c r="LA124" s="182">
        <f>VLOOKUP($IW124,Base_Mensuelle!$OF$68:$RM$679,HLOOKUP(LA$73,Base_Mensuelle!$QG$67:$RM$680,614,0))</f>
        <v>629.75532384855387</v>
      </c>
      <c r="LB124" s="182">
        <f>VLOOKUP($IW124,Base_Mensuelle!$OF$68:$RM$679,HLOOKUP(LB$73,Base_Mensuelle!$QG$67:$RM$680,614,0))</f>
        <v>-112.06153365814876</v>
      </c>
      <c r="LC124" s="182">
        <f>VLOOKUP($IW124,Base_Mensuelle!$OF$68:$RM$679,HLOOKUP(LC$73,Base_Mensuelle!$QG$67:$RM$680,614,0))</f>
        <v>141.38900000000001</v>
      </c>
      <c r="LD124" s="182">
        <f>VLOOKUP($IW124,Base_Mensuelle!$OF$68:$RM$679,HLOOKUP(LD$73,Base_Mensuelle!$QG$67:$RM$680,614,0))</f>
        <v>36.08</v>
      </c>
      <c r="LE124" s="182">
        <f>VLOOKUP($IW124,Base_Mensuelle!$OF$68:$RM$679,HLOOKUP(LE$73,Base_Mensuelle!$QG$67:$RM$680,614,0))</f>
        <v>105.309</v>
      </c>
      <c r="LF124" s="182">
        <f>VLOOKUP($IW124,Base_Mensuelle!$OF$68:$RM$679,HLOOKUP(LF$73,Base_Mensuelle!$QG$67:$RM$680,614,0))</f>
        <v>0</v>
      </c>
      <c r="LG124" s="182">
        <f>VLOOKUP($IW124,Base_Mensuelle!$OF$68:$RM$679,HLOOKUP(LG$73,Base_Mensuelle!$QG$67:$RM$680,614,0))</f>
        <v>-45.841000000000008</v>
      </c>
      <c r="LH124" s="182">
        <f>VLOOKUP($IW124,Base_Mensuelle!$OF$68:$RM$679,HLOOKUP(LH$73,Base_Mensuelle!$QG$67:$RM$680,614,0))</f>
        <v>114.369</v>
      </c>
      <c r="LI124" s="182">
        <f>VLOOKUP($IW124,Base_Mensuelle!$OF$68:$RM$679,HLOOKUP(LI$73,Base_Mensuelle!$QG$67:$RM$680,614,0))</f>
        <v>-160.21</v>
      </c>
      <c r="LJ124" s="182">
        <f>VLOOKUP($IW124,Base_Mensuelle!$OF$68:$RM$679,HLOOKUP(LJ$73,Base_Mensuelle!$QG$67:$RM$680,614,0))</f>
        <v>1164.1086761514462</v>
      </c>
      <c r="LK124" s="182">
        <f>VLOOKUP($IW124,Base_Mensuelle!$OF$68:$RM$679,HLOOKUP(LK$73,Base_Mensuelle!$QG$67:$RM$680,614,0))</f>
        <v>13.638482913646421</v>
      </c>
      <c r="LL124" s="182">
        <f>VLOOKUP($IW124,Base_Mensuelle!$OF$68:$RM$679,HLOOKUP(LL$73,Base_Mensuelle!$QG$67:$RM$680,614,0))</f>
        <v>0</v>
      </c>
      <c r="LM124" s="182">
        <f>VLOOKUP($IW124,Base_Mensuelle!$OF$68:$RM$679,HLOOKUP(LM$73,Base_Mensuelle!$QG$67:$RM$680,614,0))</f>
        <v>158.26499999999999</v>
      </c>
      <c r="LN124" s="182">
        <f>VLOOKUP($IW124,Base_Mensuelle!$OF$68:$RM$679,HLOOKUP(LN$73,Base_Mensuelle!$QG$67:$RM$680,614,0))</f>
        <v>992.20519323779968</v>
      </c>
      <c r="LO124" s="182">
        <f>VLOOKUP($IW124,Base_Mensuelle!$OF$68:$RM$679,HLOOKUP(LO$73,Base_Mensuelle!$QG$67:$RM$680,614,0))</f>
        <v>0</v>
      </c>
      <c r="LP124" s="182">
        <f>VLOOKUP($IW124,Base_Mensuelle!$OF$68:$RM$679,HLOOKUP(LP$73,Base_Mensuelle!$QG$67:$RM$680,614,0))</f>
        <v>183.39</v>
      </c>
      <c r="LQ124" s="182">
        <f>VLOOKUP($IW124,Base_Mensuelle!$OF$68:$RM$679,HLOOKUP(LQ$73,Base_Mensuelle!$QG$67:$RM$680,614,0))</f>
        <v>632.32071054580786</v>
      </c>
      <c r="LR124" s="182">
        <f>VLOOKUP($IW124,Base_Mensuelle!$OF$68:$RM$679,HLOOKUP(LR$73,Base_Mensuelle!$QG$67:$RM$680,614,0))</f>
        <v>671.32275579604334</v>
      </c>
      <c r="LS124" s="182">
        <f>VLOOKUP($IW124,Base_Mensuelle!$OF$68:$RM$679,HLOOKUP(LS$73,Base_Mensuelle!$QG$67:$RM$680,614,0))</f>
        <v>0</v>
      </c>
      <c r="LT124" s="182">
        <f>VLOOKUP($IW124,Base_Mensuelle!$OF$68:$RM$679,HLOOKUP(LT$73,Base_Mensuelle!$QG$67:$RM$680,614,0))</f>
        <v>36.670999999999999</v>
      </c>
      <c r="LU124" s="182">
        <f>VLOOKUP($IW124,Base_Mensuelle!$OF$68:$RM$679,HLOOKUP(LU$73,Base_Mensuelle!$QG$67:$RM$680,614,0))</f>
        <v>5.6579999999999995</v>
      </c>
      <c r="LV124" s="182">
        <f>VLOOKUP($IW124,Base_Mensuelle!$OF$68:$RM$679,HLOOKUP(LV$73,Base_Mensuelle!$QG$67:$RM$680,614,0))</f>
        <v>8.6589999999999989</v>
      </c>
      <c r="LW124" s="182">
        <f>VLOOKUP($IW124,Base_Mensuelle!$OF$68:$RM$679,HLOOKUP(LW$73,Base_Mensuelle!$QG$67:$RM$680,614,0))</f>
        <v>0</v>
      </c>
      <c r="LX124" s="182">
        <f>VLOOKUP($IW124,Base_Mensuelle!$OF$68:$RM$679,HLOOKUP(LX$73,Base_Mensuelle!$QG$67:$RM$680,614,0))</f>
        <v>0</v>
      </c>
      <c r="LY124" s="182">
        <f>VLOOKUP($IW124,Base_Mensuelle!$OF$68:$RM$679,HLOOKUP(LY$73,Base_Mensuelle!$QG$67:$RM$680,614,0))</f>
        <v>204.65799999999999</v>
      </c>
      <c r="LZ124" s="182">
        <f>VLOOKUP($IW124,Base_Mensuelle!$OF$68:$RM$679,HLOOKUP(LZ$73,Base_Mensuelle!$QG$67:$RM$680,614,0))</f>
        <v>34.671000000000035</v>
      </c>
      <c r="MA124" s="182">
        <f>VLOOKUP($IW124,Base_Mensuelle!$OF$68:$RM$679,HLOOKUP(MA$73,Base_Mensuelle!$QG$67:$RM$680,614,0))</f>
        <v>0</v>
      </c>
      <c r="MB124" s="182">
        <f>VLOOKUP($IW124,Base_Mensuelle!$OF$68:$RM$679,HLOOKUP(MB$73,Base_Mensuelle!$QG$67:$RM$680,614,0))</f>
        <v>0</v>
      </c>
      <c r="MC124" s="182">
        <f>VLOOKUP($IW124,Base_Mensuelle!$OF$68:$RM$679,HLOOKUP(MC$73,Base_Mensuelle!$QG$67:$RM$680,614,0))</f>
        <v>0</v>
      </c>
      <c r="MD124" s="182">
        <f>VLOOKUP($IW124,Base_Mensuelle!$OF$68:$RM$679,HLOOKUP(MD$73,Base_Mensuelle!$QG$67:$RM$680,614,0))</f>
        <v>0</v>
      </c>
      <c r="ME124" s="182">
        <f>VLOOKUP($IW124,Base_Mensuelle!$OF$68:$RM$679,HLOOKUP(ME$73,Base_Mensuelle!$QG$67:$RM$680,614,0))</f>
        <v>0</v>
      </c>
      <c r="MF124" s="182"/>
      <c r="MG124" s="182"/>
      <c r="MH124" s="290"/>
      <c r="MI124" s="29">
        <v>51</v>
      </c>
      <c r="MJ124" s="29" t="str">
        <f t="shared" si="82"/>
        <v>Trimestre 32012</v>
      </c>
      <c r="MK124" s="848">
        <v>41153</v>
      </c>
      <c r="ML124" s="29"/>
      <c r="MM124" s="29"/>
      <c r="MN124" s="29"/>
      <c r="MO124" s="29"/>
      <c r="MP124" s="29"/>
      <c r="MQ124" s="29"/>
      <c r="MR124" s="29"/>
      <c r="MS124" s="29"/>
      <c r="MT124" s="29"/>
      <c r="MU124" s="29"/>
      <c r="MV124" s="29"/>
      <c r="MW124" s="29"/>
      <c r="MX124" s="29"/>
      <c r="MY124" s="29"/>
      <c r="MZ124" s="29"/>
      <c r="NA124" s="29"/>
      <c r="NB124" s="29"/>
      <c r="NC124" s="29"/>
      <c r="ND124" s="29"/>
      <c r="NE124" s="29"/>
      <c r="NF124" s="29"/>
      <c r="NG124" s="29"/>
      <c r="NH124" s="29"/>
      <c r="NI124" s="29"/>
      <c r="NJ124" s="29"/>
      <c r="NK124" s="29"/>
      <c r="NL124" s="29">
        <v>51</v>
      </c>
    </row>
    <row r="125" spans="1:376">
      <c r="A125" s="41">
        <f t="shared" si="80"/>
        <v>2012</v>
      </c>
      <c r="B125" s="785">
        <v>41244</v>
      </c>
      <c r="C125" s="19">
        <v>1288.2975750498297</v>
      </c>
      <c r="D125" s="93">
        <v>121.38951060190217</v>
      </c>
      <c r="E125" s="93">
        <v>149.36563522590274</v>
      </c>
      <c r="F125" s="93">
        <v>34.833593617201714</v>
      </c>
      <c r="G125" s="93">
        <v>19.351836294453495</v>
      </c>
      <c r="H125" s="93">
        <v>74.215218709631301</v>
      </c>
      <c r="I125" s="93">
        <v>154.97710958966621</v>
      </c>
      <c r="J125" s="93">
        <v>103.16528052731043</v>
      </c>
      <c r="K125" s="93">
        <v>85.864866942381013</v>
      </c>
      <c r="L125" s="93">
        <v>179.26845190682883</v>
      </c>
      <c r="M125" s="734">
        <v>123.52763592970418</v>
      </c>
      <c r="N125" s="25">
        <v>52</v>
      </c>
      <c r="O125" s="889">
        <f t="shared" si="79"/>
        <v>2012</v>
      </c>
      <c r="P125" s="29" t="str">
        <f t="shared" si="81"/>
        <v>Trimestre 42012</v>
      </c>
      <c r="Q125" s="848">
        <v>41244</v>
      </c>
      <c r="R125" s="733"/>
      <c r="S125" s="570">
        <v>50.246000000000002</v>
      </c>
      <c r="T125" s="570"/>
      <c r="U125" s="734"/>
      <c r="V125" s="25">
        <v>52</v>
      </c>
      <c r="W125" s="19"/>
      <c r="X125" s="93"/>
      <c r="Y125" s="93"/>
      <c r="Z125" s="93"/>
      <c r="AA125" s="93"/>
      <c r="AB125" s="93"/>
      <c r="AC125" s="93"/>
      <c r="AD125" s="93"/>
      <c r="AE125" s="20"/>
      <c r="AF125" s="25">
        <v>52</v>
      </c>
      <c r="AG125" s="19"/>
      <c r="AH125" s="93"/>
      <c r="AI125" s="93"/>
      <c r="AJ125" s="93"/>
      <c r="AK125" s="93"/>
      <c r="AL125" s="93"/>
      <c r="AM125" s="93"/>
      <c r="AN125" s="20"/>
      <c r="AO125" s="19"/>
      <c r="AP125" s="93"/>
      <c r="AQ125" s="93"/>
      <c r="AR125" s="93"/>
      <c r="AS125" s="20"/>
      <c r="AT125" s="19"/>
      <c r="AU125" s="93"/>
      <c r="AV125" s="20"/>
      <c r="AW125" s="19"/>
      <c r="AX125" s="93"/>
      <c r="AY125" s="93"/>
      <c r="AZ125" s="93"/>
      <c r="BA125" s="93"/>
      <c r="BB125" s="93"/>
      <c r="BC125" s="20"/>
      <c r="BD125" s="19"/>
      <c r="BE125" s="93"/>
      <c r="BF125" s="93"/>
      <c r="BG125" s="93"/>
      <c r="BH125" s="93"/>
      <c r="BI125" s="93"/>
      <c r="BJ125" s="93"/>
      <c r="BK125" s="20"/>
      <c r="BL125" s="19"/>
      <c r="BM125" s="93"/>
      <c r="BN125" s="93"/>
      <c r="BO125" s="93"/>
      <c r="BP125" s="93"/>
      <c r="BQ125" s="20"/>
      <c r="BR125" s="19"/>
      <c r="BS125" s="93"/>
      <c r="BT125" s="93"/>
      <c r="BU125" s="20"/>
      <c r="BV125" s="19"/>
      <c r="BW125" s="93"/>
      <c r="BX125" s="93"/>
      <c r="BY125" s="93"/>
      <c r="BZ125" s="93"/>
      <c r="CA125" s="93"/>
      <c r="CB125" s="20"/>
      <c r="CC125" s="25">
        <v>52</v>
      </c>
      <c r="CD125" s="19"/>
      <c r="CE125" s="93"/>
      <c r="CF125" s="20"/>
      <c r="CG125" s="25">
        <v>52</v>
      </c>
      <c r="CH125" s="19">
        <v>27684</v>
      </c>
      <c r="CI125" s="93">
        <v>4628</v>
      </c>
      <c r="CJ125" s="93">
        <v>4098</v>
      </c>
      <c r="CK125" s="93">
        <v>19223</v>
      </c>
      <c r="CL125" s="93">
        <v>10493</v>
      </c>
      <c r="CM125" s="93">
        <v>1261</v>
      </c>
      <c r="CN125" s="93">
        <v>4027</v>
      </c>
      <c r="CO125" s="93">
        <v>2393</v>
      </c>
      <c r="CP125" s="93">
        <v>1711</v>
      </c>
      <c r="CQ125" s="93">
        <v>2082</v>
      </c>
      <c r="CR125" s="214">
        <v>72930</v>
      </c>
      <c r="CS125" s="20">
        <v>130050</v>
      </c>
      <c r="CT125" s="25">
        <v>52</v>
      </c>
      <c r="CU125" s="19">
        <v>21326</v>
      </c>
      <c r="CV125" s="93">
        <v>83776</v>
      </c>
      <c r="CW125" s="93">
        <v>13976</v>
      </c>
      <c r="CX125" s="93">
        <v>1518</v>
      </c>
      <c r="CY125" s="93">
        <v>768</v>
      </c>
      <c r="CZ125" s="93">
        <v>1412</v>
      </c>
      <c r="DA125" s="93">
        <v>7274</v>
      </c>
      <c r="DB125" s="20">
        <v>130050</v>
      </c>
      <c r="DC125" s="25">
        <v>52</v>
      </c>
      <c r="DD125" s="785">
        <v>41244</v>
      </c>
      <c r="DE125" s="19"/>
      <c r="DF125" s="20"/>
      <c r="DG125" s="25">
        <v>52</v>
      </c>
      <c r="DH125" s="19"/>
      <c r="DI125" s="20"/>
      <c r="DJ125" s="25">
        <v>52</v>
      </c>
      <c r="DK125" s="19"/>
      <c r="DL125" s="20"/>
      <c r="DM125" s="19"/>
      <c r="DN125" s="20"/>
      <c r="DO125" s="25">
        <v>52</v>
      </c>
      <c r="DP125" s="19"/>
      <c r="DQ125" s="93"/>
      <c r="DR125" s="20"/>
      <c r="DS125" s="25">
        <v>52</v>
      </c>
      <c r="DT125" s="19"/>
      <c r="DU125" s="93"/>
      <c r="DV125" s="20"/>
      <c r="DW125" s="25">
        <v>52</v>
      </c>
      <c r="DX125" s="19"/>
      <c r="DY125" s="20"/>
      <c r="DZ125" s="25">
        <v>52</v>
      </c>
      <c r="EA125" s="19"/>
      <c r="EB125" s="93"/>
      <c r="EC125" s="93"/>
      <c r="ED125" s="93"/>
      <c r="EE125" s="20"/>
      <c r="EF125" s="25">
        <v>52</v>
      </c>
      <c r="EG125" s="19"/>
      <c r="EH125" s="93"/>
      <c r="EI125" s="93"/>
      <c r="EJ125" s="93"/>
      <c r="EK125" s="20"/>
      <c r="EL125" s="25">
        <v>52</v>
      </c>
      <c r="EM125" s="19"/>
      <c r="EN125" s="93"/>
      <c r="EO125" s="93"/>
      <c r="EP125" s="93"/>
      <c r="EQ125" s="93"/>
      <c r="ER125" s="93"/>
      <c r="ES125" s="93"/>
      <c r="ET125" s="93"/>
      <c r="EU125" s="93"/>
      <c r="EV125" s="20"/>
      <c r="EW125" s="25">
        <v>52</v>
      </c>
      <c r="EX125" s="915"/>
      <c r="EY125" s="916"/>
      <c r="EZ125" s="916"/>
      <c r="FA125" s="916"/>
      <c r="FB125" s="916"/>
      <c r="FC125" s="916"/>
      <c r="FD125" s="916"/>
      <c r="FE125" s="916"/>
      <c r="FF125" s="916"/>
      <c r="FG125" s="917"/>
      <c r="FH125" s="25">
        <v>52</v>
      </c>
      <c r="FI125" s="848">
        <v>41244</v>
      </c>
      <c r="FJ125" s="19">
        <v>14862</v>
      </c>
      <c r="FK125" s="93">
        <v>9582</v>
      </c>
      <c r="FL125" s="20">
        <v>1</v>
      </c>
      <c r="FM125" s="25">
        <v>52</v>
      </c>
      <c r="FN125" s="19"/>
      <c r="FO125" s="93"/>
      <c r="FP125" s="93"/>
      <c r="FQ125" s="93"/>
      <c r="FR125" s="93"/>
      <c r="FS125" s="93"/>
      <c r="FT125" s="93"/>
      <c r="FU125" s="93"/>
      <c r="FV125" s="93"/>
      <c r="FW125" s="917"/>
      <c r="FX125" s="25">
        <v>52</v>
      </c>
      <c r="FY125" s="916"/>
      <c r="FZ125" s="916"/>
      <c r="GA125" s="916"/>
      <c r="GB125" s="916"/>
      <c r="GC125" s="916"/>
      <c r="GD125" s="916"/>
      <c r="GE125" s="916"/>
      <c r="GF125" s="916"/>
      <c r="GG125" s="916"/>
      <c r="GH125" s="916"/>
      <c r="GI125" s="917"/>
      <c r="GJ125" s="25">
        <v>52</v>
      </c>
      <c r="GK125" s="19"/>
      <c r="GL125" s="20"/>
      <c r="GM125" s="25">
        <v>52</v>
      </c>
      <c r="GN125" s="19">
        <v>3200</v>
      </c>
      <c r="GO125" s="20">
        <v>1411</v>
      </c>
      <c r="GP125" s="25">
        <v>52</v>
      </c>
      <c r="GQ125" s="19"/>
      <c r="GR125" s="20"/>
      <c r="GS125" s="25">
        <v>52</v>
      </c>
      <c r="GT125" s="848">
        <v>41244</v>
      </c>
      <c r="GU125" s="19"/>
      <c r="GV125" s="93"/>
      <c r="GW125" s="93"/>
      <c r="GX125" s="93"/>
      <c r="GY125" s="93"/>
      <c r="GZ125" s="93"/>
      <c r="HA125" s="93"/>
      <c r="HB125" s="93"/>
      <c r="HC125" s="93"/>
      <c r="HD125" s="93"/>
      <c r="HE125" s="93"/>
      <c r="HF125" s="93"/>
      <c r="HG125" s="93"/>
      <c r="HH125" s="93"/>
      <c r="HI125" s="93"/>
      <c r="HJ125" s="93"/>
      <c r="HK125" s="93"/>
      <c r="HL125" s="93"/>
      <c r="HM125" s="93"/>
      <c r="HN125" s="93"/>
      <c r="HO125" s="93"/>
      <c r="HP125" s="93"/>
      <c r="HQ125" s="93"/>
      <c r="HR125" s="93"/>
      <c r="HS125" s="93"/>
      <c r="HT125" s="93"/>
      <c r="HU125" s="93"/>
      <c r="HV125" s="93"/>
      <c r="HW125" s="93"/>
      <c r="HX125" s="93"/>
      <c r="HY125" s="93"/>
      <c r="HZ125" s="93"/>
      <c r="IA125" s="93"/>
      <c r="IB125" s="93"/>
      <c r="IC125" s="93"/>
      <c r="ID125" s="93"/>
      <c r="IE125" s="93"/>
      <c r="IF125" s="93"/>
      <c r="IG125" s="93"/>
      <c r="IH125" s="93"/>
      <c r="II125" s="93"/>
      <c r="IJ125" s="93"/>
      <c r="IK125" s="93"/>
      <c r="IL125" s="93"/>
      <c r="IM125" s="93"/>
      <c r="IN125" s="93"/>
      <c r="IO125" s="93"/>
      <c r="IP125" s="93"/>
      <c r="IQ125" s="93"/>
      <c r="IR125" s="93"/>
      <c r="IS125" s="93"/>
      <c r="IT125" s="93"/>
      <c r="IU125" s="93"/>
      <c r="IV125" s="93">
        <v>52</v>
      </c>
      <c r="IW125" s="848">
        <v>41244</v>
      </c>
      <c r="IX125" s="1035"/>
      <c r="IY125" s="1035">
        <v>230.10340000000002</v>
      </c>
      <c r="IZ125" s="1035">
        <v>282.90890000000002</v>
      </c>
      <c r="JA125" s="1035">
        <v>0.58480052900000001</v>
      </c>
      <c r="JB125" s="1035">
        <v>674.30338200857148</v>
      </c>
      <c r="JC125" s="1035">
        <v>83.971999999999994</v>
      </c>
      <c r="JD125" s="1035">
        <v>988.96358253757148</v>
      </c>
      <c r="JE125" s="1035">
        <v>705.45571828117068</v>
      </c>
      <c r="JF125" s="1035">
        <v>1694.4193008187422</v>
      </c>
      <c r="JG125" s="1035"/>
      <c r="JH125" s="1035">
        <v>773.58323551400599</v>
      </c>
      <c r="JI125" s="1035">
        <v>229.93110881099994</v>
      </c>
      <c r="JJ125" s="1035">
        <v>543.65212670300605</v>
      </c>
      <c r="JK125" s="1035">
        <v>1161.2051007597361</v>
      </c>
      <c r="JL125" s="1035">
        <v>-101.104218059</v>
      </c>
      <c r="JM125" s="1035">
        <v>-84.570218059000013</v>
      </c>
      <c r="JN125" s="1035">
        <v>-16.533999999999992</v>
      </c>
      <c r="JO125" s="1035">
        <v>1262.3093188187361</v>
      </c>
      <c r="JP125" s="1035">
        <v>4.6383452320000007</v>
      </c>
      <c r="JQ125" s="1035">
        <v>1257.6709735867362</v>
      </c>
      <c r="JR125" s="1035">
        <v>271.73460710500001</v>
      </c>
      <c r="JS125" s="1035">
        <v>-31.365571650000021</v>
      </c>
      <c r="JT125" s="1036">
        <v>1694.4193008187419</v>
      </c>
      <c r="JU125" s="29">
        <v>52</v>
      </c>
      <c r="JV125" s="1037"/>
      <c r="JW125" s="1526">
        <f>VLOOKUP($IW125,Base_Mensuelle!$OF$68:$RM$679,HLOOKUP(JW$73,Base_Mensuelle!$PE$67:$QE$680,614,0))</f>
        <v>229.93110881099994</v>
      </c>
      <c r="JX125" s="1526">
        <f>VLOOKUP($IW125,Base_Mensuelle!$OF$68:$RM$679,HLOOKUP(JX$73,Base_Mensuelle!$PE$67:$QE$680,614,0))</f>
        <v>505.16337952699996</v>
      </c>
      <c r="JY125" s="1526">
        <f>VLOOKUP($IW125,Base_Mensuelle!$OF$68:$RM$679,HLOOKUP(JY$73,Base_Mensuelle!$PE$67:$QE$680,614,0))</f>
        <v>275.23227071600002</v>
      </c>
      <c r="JZ125" s="1526">
        <f>VLOOKUP($IW125,Base_Mensuelle!$OF$68:$RM$679,HLOOKUP(JZ$73,Base_Mensuelle!$PE$67:$QE$680,614,0))</f>
        <v>219.775346278</v>
      </c>
      <c r="KA125" s="1526">
        <f>VLOOKUP($IW125,Base_Mensuelle!$OF$68:$RM$679,HLOOKUP(KA$73,Base_Mensuelle!$PE$67:$QE$680,614,0))</f>
        <v>-79.994718059000007</v>
      </c>
      <c r="KB125" s="1526">
        <f>VLOOKUP($IW125,Base_Mensuelle!$OF$68:$RM$679,HLOOKUP(KB$73,Base_Mensuelle!$PE$67:$QE$680,614,0))</f>
        <v>138.60447900299999</v>
      </c>
      <c r="KC125" s="1526">
        <f>VLOOKUP($IW125,Base_Mensuelle!$OF$68:$RM$679,HLOOKUP(KC$73,Base_Mensuelle!$PE$67:$QE$680,614,0))</f>
        <v>218.599197062</v>
      </c>
      <c r="KD125" s="1526">
        <f>VLOOKUP($IW125,Base_Mensuelle!$OF$68:$RM$679,HLOOKUP(KD$73,Base_Mensuelle!$PE$67:$QE$680,614,0))</f>
        <v>4.6383452320000007</v>
      </c>
      <c r="KE125" s="1526">
        <f>VLOOKUP($IW125,Base_Mensuelle!$OF$68:$RM$679,HLOOKUP(KE$73,Base_Mensuelle!$PE$67:$QE$680,614,0))</f>
        <v>1.06</v>
      </c>
      <c r="KF125" s="1526">
        <f>VLOOKUP($IW125,Base_Mensuelle!$OF$68:$RM$679,HLOOKUP(KF$73,Base_Mensuelle!$PE$67:$QE$680,614,0))</f>
        <v>0</v>
      </c>
      <c r="KG125" s="1526">
        <f>VLOOKUP($IW125,Base_Mensuelle!$OF$68:$RM$679,HLOOKUP(KG$73,Base_Mensuelle!$PE$67:$QE$680,614,0))</f>
        <v>0</v>
      </c>
      <c r="KH125" s="1526">
        <f>VLOOKUP($IW125,Base_Mensuelle!$OF$68:$RM$679,HLOOKUP(KH$73,Base_Mensuelle!$PE$67:$QE$680,614,0))</f>
        <v>3.5783452320000002</v>
      </c>
      <c r="KI125" s="1526">
        <f>VLOOKUP($IW125,Base_Mensuelle!$OF$68:$RM$679,HLOOKUP(KI$73,Base_Mensuelle!$PE$67:$QE$680,614,0))</f>
        <v>371.85621340800003</v>
      </c>
      <c r="KJ125" s="1526">
        <f>VLOOKUP($IW125,Base_Mensuelle!$OF$68:$RM$679,HLOOKUP(KJ$73,Base_Mensuelle!$PE$67:$QE$680,614,0))</f>
        <v>282.90890000000002</v>
      </c>
      <c r="KK125" s="1526">
        <f>VLOOKUP($IW125,Base_Mensuelle!$OF$68:$RM$679,HLOOKUP(KK$73,Base_Mensuelle!$PE$67:$QE$680,614,0))</f>
        <v>88.362512878999993</v>
      </c>
      <c r="KL125" s="1526">
        <f>VLOOKUP($IW125,Base_Mensuelle!$OF$68:$RM$679,HLOOKUP(KL$73,Base_Mensuelle!$PE$67:$QE$680,614,0))</f>
        <v>0.58480052900000001</v>
      </c>
      <c r="KM125" s="1526">
        <f>VLOOKUP($IW125,Base_Mensuelle!$OF$68:$RM$679,HLOOKUP(KM$73,Base_Mensuelle!$PE$67:$QE$680,614,0))</f>
        <v>0</v>
      </c>
      <c r="KN125" s="1526">
        <f>VLOOKUP($IW125,Base_Mensuelle!$OF$68:$RM$679,HLOOKUP(KN$73,Base_Mensuelle!$PE$67:$QE$680,614,0))</f>
        <v>0.27290745700000002</v>
      </c>
      <c r="KO125" s="1526">
        <f>VLOOKUP($IW125,Base_Mensuelle!$OF$68:$RM$679,HLOOKUP(KO$73,Base_Mensuelle!$PE$67:$QE$680,614,0))</f>
        <v>0</v>
      </c>
      <c r="KP125" s="1526">
        <f>VLOOKUP($IW125,Base_Mensuelle!$OF$68:$RM$679,HLOOKUP(KP$73,Base_Mensuelle!$PE$67:$QE$680,614,0))</f>
        <v>0</v>
      </c>
      <c r="KQ125" s="1526">
        <f>VLOOKUP($IW125,Base_Mensuelle!$OF$68:$RM$679,HLOOKUP(KQ$73,Base_Mensuelle!$PE$67:$QE$680,614,0))</f>
        <v>0.27290745700000002</v>
      </c>
      <c r="KR125" s="1526">
        <f>VLOOKUP($IW125,Base_Mensuelle!$OF$68:$RM$679,HLOOKUP(KR$73,Base_Mensuelle!$PE$67:$QE$680,614,0))</f>
        <v>0</v>
      </c>
      <c r="KS125" s="1526">
        <f>VLOOKUP($IW125,Base_Mensuelle!$OF$68:$RM$679,HLOOKUP(KS$73,Base_Mensuelle!$PE$67:$QE$680,614,0))</f>
        <v>0</v>
      </c>
      <c r="KT125" s="1526">
        <f>VLOOKUP($IW125,Base_Mensuelle!$OF$68:$RM$679,HLOOKUP(KT$73,Base_Mensuelle!$PE$67:$QE$680,614,0))</f>
        <v>0</v>
      </c>
      <c r="KU125" s="1526">
        <f>VLOOKUP($IW125,Base_Mensuelle!$OF$68:$RM$679,HLOOKUP(KU$73,Base_Mensuelle!$PE$67:$QE$680,614,0))</f>
        <v>0.46769964800000002</v>
      </c>
      <c r="KV125" s="1526">
        <f>VLOOKUP($IW125,Base_Mensuelle!$OF$68:$RM$679,HLOOKUP(KV$73,Base_Mensuelle!$PE$67:$QE$680,614,0))</f>
        <v>1.7532617489999931</v>
      </c>
      <c r="KW125" s="1036"/>
      <c r="KX125" s="29">
        <v>52</v>
      </c>
      <c r="KY125" s="1037"/>
      <c r="KZ125" s="182">
        <f>VLOOKUP($IW125,Base_Mensuelle!$OF$68:$RM$679,HLOOKUP(KZ$73,Base_Mensuelle!$QG$67:$RM$680,614,0))</f>
        <v>543.65212670300605</v>
      </c>
      <c r="LA125" s="182">
        <f>VLOOKUP($IW125,Base_Mensuelle!$OF$68:$RM$679,HLOOKUP(LA$73,Base_Mensuelle!$QG$67:$RM$680,614,0))</f>
        <v>696.2680264132639</v>
      </c>
      <c r="LB125" s="182">
        <f>VLOOKUP($IW125,Base_Mensuelle!$OF$68:$RM$679,HLOOKUP(LB$73,Base_Mensuelle!$QG$67:$RM$680,614,0))</f>
        <v>-152.61589971025782</v>
      </c>
      <c r="LC125" s="182">
        <f>VLOOKUP($IW125,Base_Mensuelle!$OF$68:$RM$679,HLOOKUP(LC$73,Base_Mensuelle!$QG$67:$RM$680,614,0))</f>
        <v>147.36199999999999</v>
      </c>
      <c r="LD125" s="182">
        <f>VLOOKUP($IW125,Base_Mensuelle!$OF$68:$RM$679,HLOOKUP(LD$73,Base_Mensuelle!$QG$67:$RM$680,614,0))</f>
        <v>48.23</v>
      </c>
      <c r="LE125" s="182">
        <f>VLOOKUP($IW125,Base_Mensuelle!$OF$68:$RM$679,HLOOKUP(LE$73,Base_Mensuelle!$QG$67:$RM$680,614,0))</f>
        <v>99.132000000000005</v>
      </c>
      <c r="LF125" s="182">
        <f>VLOOKUP($IW125,Base_Mensuelle!$OF$68:$RM$679,HLOOKUP(LF$73,Base_Mensuelle!$QG$67:$RM$680,614,0))</f>
        <v>0</v>
      </c>
      <c r="LG125" s="182">
        <f>VLOOKUP($IW125,Base_Mensuelle!$OF$68:$RM$679,HLOOKUP(LG$73,Base_Mensuelle!$QG$67:$RM$680,614,0))</f>
        <v>-16.533999999999992</v>
      </c>
      <c r="LH125" s="182">
        <f>VLOOKUP($IW125,Base_Mensuelle!$OF$68:$RM$679,HLOOKUP(LH$73,Base_Mensuelle!$QG$67:$RM$680,614,0))</f>
        <v>139.137</v>
      </c>
      <c r="LI125" s="182">
        <f>VLOOKUP($IW125,Base_Mensuelle!$OF$68:$RM$679,HLOOKUP(LI$73,Base_Mensuelle!$QG$67:$RM$680,614,0))</f>
        <v>-155.67099999999999</v>
      </c>
      <c r="LJ125" s="182">
        <f>VLOOKUP($IW125,Base_Mensuelle!$OF$68:$RM$679,HLOOKUP(LJ$73,Base_Mensuelle!$QG$67:$RM$680,614,0))</f>
        <v>1257.6709735867362</v>
      </c>
      <c r="LK125" s="182">
        <f>VLOOKUP($IW125,Base_Mensuelle!$OF$68:$RM$679,HLOOKUP(LK$73,Base_Mensuelle!$QG$67:$RM$680,614,0))</f>
        <v>16.619787813759121</v>
      </c>
      <c r="LL125" s="182">
        <f>VLOOKUP($IW125,Base_Mensuelle!$OF$68:$RM$679,HLOOKUP(LL$73,Base_Mensuelle!$QG$67:$RM$680,614,0))</f>
        <v>0</v>
      </c>
      <c r="LM125" s="182">
        <f>VLOOKUP($IW125,Base_Mensuelle!$OF$68:$RM$679,HLOOKUP(LM$73,Base_Mensuelle!$QG$67:$RM$680,614,0))</f>
        <v>177.33099999999999</v>
      </c>
      <c r="LN125" s="182">
        <f>VLOOKUP($IW125,Base_Mensuelle!$OF$68:$RM$679,HLOOKUP(LN$73,Base_Mensuelle!$QG$67:$RM$680,614,0))</f>
        <v>1063.7201857729769</v>
      </c>
      <c r="LO125" s="182">
        <f>VLOOKUP($IW125,Base_Mensuelle!$OF$68:$RM$679,HLOOKUP(LO$73,Base_Mensuelle!$QG$67:$RM$680,614,0))</f>
        <v>0</v>
      </c>
      <c r="LP125" s="182">
        <f>VLOOKUP($IW125,Base_Mensuelle!$OF$68:$RM$679,HLOOKUP(LP$73,Base_Mensuelle!$QG$67:$RM$680,614,0))</f>
        <v>219.947</v>
      </c>
      <c r="LQ125" s="182">
        <f>VLOOKUP($IW125,Base_Mensuelle!$OF$68:$RM$679,HLOOKUP(LQ$73,Base_Mensuelle!$QG$67:$RM$680,614,0))</f>
        <v>674.30338200857136</v>
      </c>
      <c r="LR125" s="182">
        <f>VLOOKUP($IW125,Base_Mensuelle!$OF$68:$RM$679,HLOOKUP(LR$73,Base_Mensuelle!$QG$67:$RM$680,614,0))</f>
        <v>705.45571828117068</v>
      </c>
      <c r="LS125" s="182">
        <f>VLOOKUP($IW125,Base_Mensuelle!$OF$68:$RM$679,HLOOKUP(LS$73,Base_Mensuelle!$QG$67:$RM$680,614,0))</f>
        <v>0</v>
      </c>
      <c r="LT125" s="182">
        <f>VLOOKUP($IW125,Base_Mensuelle!$OF$68:$RM$679,HLOOKUP(LT$73,Base_Mensuelle!$QG$67:$RM$680,614,0))</f>
        <v>35.346000000000004</v>
      </c>
      <c r="LU125" s="182">
        <f>VLOOKUP($IW125,Base_Mensuelle!$OF$68:$RM$679,HLOOKUP(LU$73,Base_Mensuelle!$QG$67:$RM$680,614,0))</f>
        <v>9.8179999999999996</v>
      </c>
      <c r="LV125" s="182">
        <f>VLOOKUP($IW125,Base_Mensuelle!$OF$68:$RM$679,HLOOKUP(LV$73,Base_Mensuelle!$QG$67:$RM$680,614,0))</f>
        <v>17.266999999999999</v>
      </c>
      <c r="LW125" s="182">
        <f>VLOOKUP($IW125,Base_Mensuelle!$OF$68:$RM$679,HLOOKUP(LW$73,Base_Mensuelle!$QG$67:$RM$680,614,0))</f>
        <v>0</v>
      </c>
      <c r="LX125" s="182">
        <f>VLOOKUP($IW125,Base_Mensuelle!$OF$68:$RM$679,HLOOKUP(LX$73,Base_Mensuelle!$QG$67:$RM$680,614,0))</f>
        <v>0</v>
      </c>
      <c r="LY125" s="182">
        <f>VLOOKUP($IW125,Base_Mensuelle!$OF$68:$RM$679,HLOOKUP(LY$73,Base_Mensuelle!$QG$67:$RM$680,614,0))</f>
        <v>208.56300000000002</v>
      </c>
      <c r="LZ125" s="182">
        <f>VLOOKUP($IW125,Base_Mensuelle!$OF$68:$RM$679,HLOOKUP(LZ$73,Base_Mensuelle!$QG$67:$RM$680,614,0))</f>
        <v>61.451000000000008</v>
      </c>
      <c r="MA125" s="182">
        <f>VLOOKUP($IW125,Base_Mensuelle!$OF$68:$RM$679,HLOOKUP(MA$73,Base_Mensuelle!$QG$67:$RM$680,614,0))</f>
        <v>0</v>
      </c>
      <c r="MB125" s="182">
        <f>VLOOKUP($IW125,Base_Mensuelle!$OF$68:$RM$679,HLOOKUP(MB$73,Base_Mensuelle!$QG$67:$RM$680,614,0))</f>
        <v>0</v>
      </c>
      <c r="MC125" s="182">
        <f>VLOOKUP($IW125,Base_Mensuelle!$OF$68:$RM$679,HLOOKUP(MC$73,Base_Mensuelle!$QG$67:$RM$680,614,0))</f>
        <v>0</v>
      </c>
      <c r="MD125" s="182">
        <f>VLOOKUP($IW125,Base_Mensuelle!$OF$68:$RM$679,HLOOKUP(MD$73,Base_Mensuelle!$QG$67:$RM$680,614,0))</f>
        <v>0</v>
      </c>
      <c r="ME125" s="182">
        <f>VLOOKUP($IW125,Base_Mensuelle!$OF$68:$RM$679,HLOOKUP(ME$73,Base_Mensuelle!$QG$67:$RM$680,614,0))</f>
        <v>0</v>
      </c>
      <c r="MF125" s="182"/>
      <c r="MG125" s="182"/>
      <c r="MH125" s="290"/>
      <c r="MI125" s="29">
        <v>52</v>
      </c>
      <c r="MJ125" s="29" t="str">
        <f t="shared" si="82"/>
        <v>Trimestre 42012</v>
      </c>
      <c r="MK125" s="848">
        <v>41244</v>
      </c>
      <c r="ML125" s="29"/>
      <c r="MM125" s="29"/>
      <c r="MN125" s="29"/>
      <c r="MO125" s="29"/>
      <c r="MP125" s="29"/>
      <c r="MQ125" s="29"/>
      <c r="MR125" s="29"/>
      <c r="MS125" s="29"/>
      <c r="MT125" s="29"/>
      <c r="MU125" s="29"/>
      <c r="MV125" s="29"/>
      <c r="MW125" s="29"/>
      <c r="MX125" s="29"/>
      <c r="MY125" s="29"/>
      <c r="MZ125" s="29"/>
      <c r="NA125" s="29"/>
      <c r="NB125" s="29"/>
      <c r="NC125" s="29"/>
      <c r="ND125" s="29"/>
      <c r="NE125" s="29"/>
      <c r="NF125" s="29"/>
      <c r="NG125" s="29"/>
      <c r="NH125" s="29"/>
      <c r="NI125" s="29"/>
      <c r="NJ125" s="29"/>
      <c r="NK125" s="29"/>
      <c r="NL125" s="29">
        <v>52</v>
      </c>
    </row>
    <row r="126" spans="1:376">
      <c r="A126" s="41">
        <f t="shared" si="80"/>
        <v>2013</v>
      </c>
      <c r="B126" s="785">
        <v>41334</v>
      </c>
      <c r="C126" s="19">
        <v>1051.3361007215815</v>
      </c>
      <c r="D126" s="93">
        <v>171.95563699132225</v>
      </c>
      <c r="E126" s="93">
        <v>161.41665231452245</v>
      </c>
      <c r="F126" s="93">
        <v>101.98907152721834</v>
      </c>
      <c r="G126" s="93">
        <v>19.351836294453495</v>
      </c>
      <c r="H126" s="93">
        <v>81.003366422335901</v>
      </c>
      <c r="I126" s="93">
        <v>150.69642403936749</v>
      </c>
      <c r="J126" s="93">
        <v>249.16287083618184</v>
      </c>
      <c r="K126" s="93">
        <v>96.470126660548189</v>
      </c>
      <c r="L126" s="93">
        <v>201.03275927863908</v>
      </c>
      <c r="M126" s="734">
        <v>159.66587780759903</v>
      </c>
      <c r="N126" s="25">
        <v>53</v>
      </c>
      <c r="O126" s="889">
        <f t="shared" si="79"/>
        <v>2013</v>
      </c>
      <c r="P126" s="29" t="str">
        <f t="shared" si="81"/>
        <v>Trimestre 12013</v>
      </c>
      <c r="Q126" s="848">
        <v>41334</v>
      </c>
      <c r="R126" s="733"/>
      <c r="S126" s="570">
        <v>144.235679</v>
      </c>
      <c r="T126" s="570"/>
      <c r="U126" s="734"/>
      <c r="V126" s="25">
        <v>53</v>
      </c>
      <c r="W126" s="19"/>
      <c r="X126" s="93"/>
      <c r="Y126" s="93"/>
      <c r="Z126" s="93"/>
      <c r="AA126" s="93"/>
      <c r="AB126" s="93"/>
      <c r="AC126" s="93"/>
      <c r="AD126" s="93"/>
      <c r="AE126" s="20"/>
      <c r="AF126" s="25">
        <v>53</v>
      </c>
      <c r="AG126" s="19"/>
      <c r="AH126" s="93"/>
      <c r="AI126" s="93"/>
      <c r="AJ126" s="93"/>
      <c r="AK126" s="93"/>
      <c r="AL126" s="93"/>
      <c r="AM126" s="93"/>
      <c r="AN126" s="20"/>
      <c r="AO126" s="19"/>
      <c r="AP126" s="93"/>
      <c r="AQ126" s="93"/>
      <c r="AR126" s="93"/>
      <c r="AS126" s="20"/>
      <c r="AT126" s="19"/>
      <c r="AU126" s="93"/>
      <c r="AV126" s="20"/>
      <c r="AW126" s="19"/>
      <c r="AX126" s="93"/>
      <c r="AY126" s="93"/>
      <c r="AZ126" s="93"/>
      <c r="BA126" s="93"/>
      <c r="BB126" s="93"/>
      <c r="BC126" s="20"/>
      <c r="BD126" s="19"/>
      <c r="BE126" s="93"/>
      <c r="BF126" s="93"/>
      <c r="BG126" s="93"/>
      <c r="BH126" s="93"/>
      <c r="BI126" s="93"/>
      <c r="BJ126" s="93"/>
      <c r="BK126" s="20"/>
      <c r="BL126" s="19"/>
      <c r="BM126" s="93"/>
      <c r="BN126" s="93"/>
      <c r="BO126" s="93"/>
      <c r="BP126" s="93"/>
      <c r="BQ126" s="20"/>
      <c r="BR126" s="19"/>
      <c r="BS126" s="93"/>
      <c r="BT126" s="93"/>
      <c r="BU126" s="20"/>
      <c r="BV126" s="19"/>
      <c r="BW126" s="93"/>
      <c r="BX126" s="93"/>
      <c r="BY126" s="93"/>
      <c r="BZ126" s="93"/>
      <c r="CA126" s="93"/>
      <c r="CB126" s="20"/>
      <c r="CC126" s="25">
        <v>53</v>
      </c>
      <c r="CD126" s="19"/>
      <c r="CE126" s="93"/>
      <c r="CF126" s="20"/>
      <c r="CG126" s="25">
        <v>53</v>
      </c>
      <c r="CH126" s="19">
        <v>26440</v>
      </c>
      <c r="CI126" s="93">
        <v>4686</v>
      </c>
      <c r="CJ126" s="93">
        <v>3830</v>
      </c>
      <c r="CK126" s="93">
        <v>19355</v>
      </c>
      <c r="CL126" s="93">
        <v>11016</v>
      </c>
      <c r="CM126" s="93">
        <v>1731</v>
      </c>
      <c r="CN126" s="93">
        <v>5440</v>
      </c>
      <c r="CO126" s="93">
        <v>2471</v>
      </c>
      <c r="CP126" s="93">
        <v>1705</v>
      </c>
      <c r="CQ126" s="93">
        <v>4677</v>
      </c>
      <c r="CR126" s="214">
        <v>66748</v>
      </c>
      <c r="CS126" s="20">
        <v>126836</v>
      </c>
      <c r="CT126" s="25">
        <v>53</v>
      </c>
      <c r="CU126" s="19">
        <v>21701</v>
      </c>
      <c r="CV126" s="93">
        <v>74825</v>
      </c>
      <c r="CW126" s="93">
        <v>14732</v>
      </c>
      <c r="CX126" s="93">
        <v>1185</v>
      </c>
      <c r="CY126" s="93">
        <v>895</v>
      </c>
      <c r="CZ126" s="93">
        <v>2377</v>
      </c>
      <c r="DA126" s="93">
        <v>11121</v>
      </c>
      <c r="DB126" s="20">
        <v>126836</v>
      </c>
      <c r="DC126" s="25">
        <v>53</v>
      </c>
      <c r="DD126" s="785">
        <v>41334</v>
      </c>
      <c r="DE126" s="19"/>
      <c r="DF126" s="20"/>
      <c r="DG126" s="25">
        <v>53</v>
      </c>
      <c r="DH126" s="19"/>
      <c r="DI126" s="20"/>
      <c r="DJ126" s="25">
        <v>53</v>
      </c>
      <c r="DK126" s="19"/>
      <c r="DL126" s="20"/>
      <c r="DM126" s="19"/>
      <c r="DN126" s="20"/>
      <c r="DO126" s="25">
        <v>53</v>
      </c>
      <c r="DP126" s="19"/>
      <c r="DQ126" s="93"/>
      <c r="DR126" s="20"/>
      <c r="DS126" s="25">
        <v>53</v>
      </c>
      <c r="DT126" s="19"/>
      <c r="DU126" s="93"/>
      <c r="DV126" s="20"/>
      <c r="DW126" s="25">
        <v>53</v>
      </c>
      <c r="DX126" s="19"/>
      <c r="DY126" s="20"/>
      <c r="DZ126" s="25">
        <v>53</v>
      </c>
      <c r="EA126" s="19"/>
      <c r="EB126" s="93"/>
      <c r="EC126" s="93"/>
      <c r="ED126" s="93"/>
      <c r="EE126" s="20"/>
      <c r="EF126" s="25">
        <v>53</v>
      </c>
      <c r="EG126" s="1566"/>
      <c r="EH126" s="1567"/>
      <c r="EI126" s="1567"/>
      <c r="EJ126" s="1567"/>
      <c r="EK126" s="1568"/>
      <c r="EL126" s="25">
        <v>53</v>
      </c>
      <c r="EM126" s="19"/>
      <c r="EN126" s="93"/>
      <c r="EO126" s="93"/>
      <c r="EP126" s="93"/>
      <c r="EQ126" s="93"/>
      <c r="ER126" s="93"/>
      <c r="ES126" s="93"/>
      <c r="ET126" s="93"/>
      <c r="EU126" s="93"/>
      <c r="EV126" s="20"/>
      <c r="EW126" s="25">
        <v>53</v>
      </c>
      <c r="EX126" s="915"/>
      <c r="EY126" s="916"/>
      <c r="EZ126" s="916"/>
      <c r="FA126" s="916"/>
      <c r="FB126" s="916"/>
      <c r="FC126" s="916"/>
      <c r="FD126" s="916"/>
      <c r="FE126" s="916"/>
      <c r="FF126" s="916"/>
      <c r="FG126" s="917"/>
      <c r="FH126" s="25">
        <v>53</v>
      </c>
      <c r="FI126" s="848">
        <v>41334</v>
      </c>
      <c r="FJ126" s="19">
        <v>4047</v>
      </c>
      <c r="FK126" s="93">
        <v>3047</v>
      </c>
      <c r="FL126" s="20">
        <v>10</v>
      </c>
      <c r="FM126" s="25">
        <v>53</v>
      </c>
      <c r="FN126" s="19"/>
      <c r="FO126" s="93"/>
      <c r="FP126" s="93"/>
      <c r="FQ126" s="93"/>
      <c r="FR126" s="93"/>
      <c r="FS126" s="93"/>
      <c r="FT126" s="93"/>
      <c r="FU126" s="93"/>
      <c r="FV126" s="93"/>
      <c r="FW126" s="917"/>
      <c r="FX126" s="25">
        <v>53</v>
      </c>
      <c r="FY126" s="916"/>
      <c r="FZ126" s="916"/>
      <c r="GA126" s="916"/>
      <c r="GB126" s="916"/>
      <c r="GC126" s="916"/>
      <c r="GD126" s="916"/>
      <c r="GE126" s="916"/>
      <c r="GF126" s="916"/>
      <c r="GG126" s="916"/>
      <c r="GH126" s="916"/>
      <c r="GI126" s="917"/>
      <c r="GJ126" s="25">
        <v>53</v>
      </c>
      <c r="GK126" s="19"/>
      <c r="GL126" s="20"/>
      <c r="GM126" s="25">
        <v>53</v>
      </c>
      <c r="GN126" s="19">
        <v>4414</v>
      </c>
      <c r="GO126" s="20">
        <v>1644</v>
      </c>
      <c r="GP126" s="25">
        <v>53</v>
      </c>
      <c r="GQ126" s="19"/>
      <c r="GR126" s="20"/>
      <c r="GS126" s="25">
        <v>53</v>
      </c>
      <c r="GT126" s="848">
        <v>41334</v>
      </c>
      <c r="GU126" s="19"/>
      <c r="GV126" s="93"/>
      <c r="GW126" s="93"/>
      <c r="GX126" s="93"/>
      <c r="GY126" s="93"/>
      <c r="GZ126" s="93"/>
      <c r="HA126" s="93"/>
      <c r="HB126" s="93"/>
      <c r="HC126" s="93"/>
      <c r="HD126" s="93"/>
      <c r="HE126" s="93"/>
      <c r="HF126" s="93"/>
      <c r="HG126" s="93"/>
      <c r="HH126" s="93"/>
      <c r="HI126" s="93"/>
      <c r="HJ126" s="93"/>
      <c r="HK126" s="93"/>
      <c r="HL126" s="93"/>
      <c r="HM126" s="93"/>
      <c r="HN126" s="93"/>
      <c r="HO126" s="93"/>
      <c r="HP126" s="93"/>
      <c r="HQ126" s="93"/>
      <c r="HR126" s="93"/>
      <c r="HS126" s="93"/>
      <c r="HT126" s="93"/>
      <c r="HU126" s="93"/>
      <c r="HV126" s="93"/>
      <c r="HW126" s="93"/>
      <c r="HX126" s="93"/>
      <c r="HY126" s="93"/>
      <c r="HZ126" s="93"/>
      <c r="IA126" s="93"/>
      <c r="IB126" s="93"/>
      <c r="IC126" s="93"/>
      <c r="ID126" s="93"/>
      <c r="IE126" s="93"/>
      <c r="IF126" s="93"/>
      <c r="IG126" s="93"/>
      <c r="IH126" s="93"/>
      <c r="II126" s="93"/>
      <c r="IJ126" s="93"/>
      <c r="IK126" s="93"/>
      <c r="IL126" s="93"/>
      <c r="IM126" s="93"/>
      <c r="IN126" s="93"/>
      <c r="IO126" s="93"/>
      <c r="IP126" s="93"/>
      <c r="IQ126" s="93"/>
      <c r="IR126" s="93"/>
      <c r="IS126" s="93"/>
      <c r="IT126" s="93"/>
      <c r="IU126" s="93"/>
      <c r="IV126" s="93">
        <v>53</v>
      </c>
      <c r="IW126" s="848">
        <v>41334</v>
      </c>
      <c r="IX126" s="1035"/>
      <c r="IY126" s="1035">
        <v>199.97210000000001</v>
      </c>
      <c r="IZ126" s="1035">
        <v>249.3485</v>
      </c>
      <c r="JA126" s="1035">
        <v>0.58194410900000004</v>
      </c>
      <c r="JB126" s="1035">
        <v>775.95225681165425</v>
      </c>
      <c r="JC126" s="1035">
        <v>85.096099999999993</v>
      </c>
      <c r="JD126" s="1035">
        <v>1061.6024009206542</v>
      </c>
      <c r="JE126" s="1035">
        <v>754.43108915746154</v>
      </c>
      <c r="JF126" s="1035">
        <v>1816.0334900781158</v>
      </c>
      <c r="JG126" s="1035"/>
      <c r="JH126" s="1035">
        <v>681.75370020865171</v>
      </c>
      <c r="JI126" s="1035">
        <v>104.816359234</v>
      </c>
      <c r="JJ126" s="1035">
        <v>576.93734097465176</v>
      </c>
      <c r="JK126" s="1035">
        <v>1341.2920145444641</v>
      </c>
      <c r="JL126" s="1035">
        <v>-5.1560627059999788</v>
      </c>
      <c r="JM126" s="1035">
        <v>-18.48406270600001</v>
      </c>
      <c r="JN126" s="1035">
        <v>13.328000000000031</v>
      </c>
      <c r="JO126" s="1035">
        <v>1346.4480772504642</v>
      </c>
      <c r="JP126" s="1035">
        <v>4.6310722559999995</v>
      </c>
      <c r="JQ126" s="1035">
        <v>1341.8170049944642</v>
      </c>
      <c r="JR126" s="1035">
        <v>281.55588868200005</v>
      </c>
      <c r="JS126" s="1035">
        <v>-74.54366400699999</v>
      </c>
      <c r="JT126" s="1036">
        <v>1816.0334900781156</v>
      </c>
      <c r="JU126" s="29">
        <v>53</v>
      </c>
      <c r="JV126" s="1037"/>
      <c r="JW126" s="1526">
        <f>VLOOKUP($IW126,Base_Mensuelle!$OF$68:$RM$679,HLOOKUP(JW$73,Base_Mensuelle!$PE$67:$QE$680,614,0))</f>
        <v>104.816359234</v>
      </c>
      <c r="JX126" s="1526">
        <f>VLOOKUP($IW126,Base_Mensuelle!$OF$68:$RM$679,HLOOKUP(JX$73,Base_Mensuelle!$PE$67:$QE$680,614,0))</f>
        <v>348.90515025100001</v>
      </c>
      <c r="JY126" s="1526">
        <f>VLOOKUP($IW126,Base_Mensuelle!$OF$68:$RM$679,HLOOKUP(JY$73,Base_Mensuelle!$PE$67:$QE$680,614,0))</f>
        <v>244.08879101700001</v>
      </c>
      <c r="JZ126" s="1526">
        <f>VLOOKUP($IW126,Base_Mensuelle!$OF$68:$RM$679,HLOOKUP(JZ$73,Base_Mensuelle!$PE$67:$QE$680,614,0))</f>
        <v>247</v>
      </c>
      <c r="KA126" s="1526">
        <f>VLOOKUP($IW126,Base_Mensuelle!$OF$68:$RM$679,HLOOKUP(KA$73,Base_Mensuelle!$PE$67:$QE$680,614,0))</f>
        <v>-13.874662706000009</v>
      </c>
      <c r="KB126" s="1526">
        <f>VLOOKUP($IW126,Base_Mensuelle!$OF$68:$RM$679,HLOOKUP(KB$73,Base_Mensuelle!$PE$67:$QE$680,614,0))</f>
        <v>134.83485913300001</v>
      </c>
      <c r="KC126" s="1526">
        <f>VLOOKUP($IW126,Base_Mensuelle!$OF$68:$RM$679,HLOOKUP(KC$73,Base_Mensuelle!$PE$67:$QE$680,614,0))</f>
        <v>148.70952183900002</v>
      </c>
      <c r="KD126" s="1526">
        <f>VLOOKUP($IW126,Base_Mensuelle!$OF$68:$RM$679,HLOOKUP(KD$73,Base_Mensuelle!$PE$67:$QE$680,614,0))</f>
        <v>4.6310722559999995</v>
      </c>
      <c r="KE126" s="1526">
        <f>VLOOKUP($IW126,Base_Mensuelle!$OF$68:$RM$679,HLOOKUP(KE$73,Base_Mensuelle!$PE$67:$QE$680,614,0))</f>
        <v>1.06</v>
      </c>
      <c r="KF126" s="1526">
        <f>VLOOKUP($IW126,Base_Mensuelle!$OF$68:$RM$679,HLOOKUP(KF$73,Base_Mensuelle!$PE$67:$QE$680,614,0))</f>
        <v>0</v>
      </c>
      <c r="KG126" s="1526">
        <f>VLOOKUP($IW126,Base_Mensuelle!$OF$68:$RM$679,HLOOKUP(KG$73,Base_Mensuelle!$PE$67:$QE$680,614,0))</f>
        <v>7.0043600000000003E-4</v>
      </c>
      <c r="KH126" s="1526">
        <f>VLOOKUP($IW126,Base_Mensuelle!$OF$68:$RM$679,HLOOKUP(KH$73,Base_Mensuelle!$PE$67:$QE$680,614,0))</f>
        <v>3.5703718199999996</v>
      </c>
      <c r="KI126" s="1526">
        <f>VLOOKUP($IW126,Base_Mensuelle!$OF$68:$RM$679,HLOOKUP(KI$73,Base_Mensuelle!$PE$67:$QE$680,614,0))</f>
        <v>341.38724751199999</v>
      </c>
      <c r="KJ126" s="1526">
        <f>VLOOKUP($IW126,Base_Mensuelle!$OF$68:$RM$679,HLOOKUP(KJ$73,Base_Mensuelle!$PE$67:$QE$680,614,0))</f>
        <v>249.3485</v>
      </c>
      <c r="KK126" s="1526">
        <f>VLOOKUP($IW126,Base_Mensuelle!$OF$68:$RM$679,HLOOKUP(KK$73,Base_Mensuelle!$PE$67:$QE$680,614,0))</f>
        <v>91.456803402999995</v>
      </c>
      <c r="KL126" s="1526">
        <f>VLOOKUP($IW126,Base_Mensuelle!$OF$68:$RM$679,HLOOKUP(KL$73,Base_Mensuelle!$PE$67:$QE$680,614,0))</f>
        <v>0.58194410900000004</v>
      </c>
      <c r="KM126" s="1526">
        <f>VLOOKUP($IW126,Base_Mensuelle!$OF$68:$RM$679,HLOOKUP(KM$73,Base_Mensuelle!$PE$67:$QE$680,614,0))</f>
        <v>0</v>
      </c>
      <c r="KN126" s="1526">
        <f>VLOOKUP($IW126,Base_Mensuelle!$OF$68:$RM$679,HLOOKUP(KN$73,Base_Mensuelle!$PE$67:$QE$680,614,0))</f>
        <v>1.777161392</v>
      </c>
      <c r="KO126" s="1526">
        <f>VLOOKUP($IW126,Base_Mensuelle!$OF$68:$RM$679,HLOOKUP(KO$73,Base_Mensuelle!$PE$67:$QE$680,614,0))</f>
        <v>0</v>
      </c>
      <c r="KP126" s="1526">
        <f>VLOOKUP($IW126,Base_Mensuelle!$OF$68:$RM$679,HLOOKUP(KP$73,Base_Mensuelle!$PE$67:$QE$680,614,0))</f>
        <v>0</v>
      </c>
      <c r="KQ126" s="1526">
        <f>VLOOKUP($IW126,Base_Mensuelle!$OF$68:$RM$679,HLOOKUP(KQ$73,Base_Mensuelle!$PE$67:$QE$680,614,0))</f>
        <v>1.777161392</v>
      </c>
      <c r="KR126" s="1526">
        <f>VLOOKUP($IW126,Base_Mensuelle!$OF$68:$RM$679,HLOOKUP(KR$73,Base_Mensuelle!$PE$67:$QE$680,614,0))</f>
        <v>0</v>
      </c>
      <c r="KS126" s="1526">
        <f>VLOOKUP($IW126,Base_Mensuelle!$OF$68:$RM$679,HLOOKUP(KS$73,Base_Mensuelle!$PE$67:$QE$680,614,0))</f>
        <v>0</v>
      </c>
      <c r="KT126" s="1526">
        <f>VLOOKUP($IW126,Base_Mensuelle!$OF$68:$RM$679,HLOOKUP(KT$73,Base_Mensuelle!$PE$67:$QE$680,614,0))</f>
        <v>0</v>
      </c>
      <c r="KU126" s="1526">
        <f>VLOOKUP($IW126,Base_Mensuelle!$OF$68:$RM$679,HLOOKUP(KU$73,Base_Mensuelle!$PE$67:$QE$680,614,0))</f>
        <v>1.2997272900000001</v>
      </c>
      <c r="KV126" s="1526">
        <f>VLOOKUP($IW126,Base_Mensuelle!$OF$68:$RM$679,HLOOKUP(KV$73,Base_Mensuelle!$PE$67:$QE$680,614,0))</f>
        <v>-1.8913674099999929</v>
      </c>
      <c r="KW126" s="1036"/>
      <c r="KX126" s="29">
        <v>53</v>
      </c>
      <c r="KY126" s="1037"/>
      <c r="KZ126" s="182">
        <f>VLOOKUP($IW126,Base_Mensuelle!$OF$68:$RM$679,HLOOKUP(KZ$73,Base_Mensuelle!$QG$67:$RM$680,614,0))</f>
        <v>576.93734097465176</v>
      </c>
      <c r="LA126" s="182">
        <f>VLOOKUP($IW126,Base_Mensuelle!$OF$68:$RM$679,HLOOKUP(LA$73,Base_Mensuelle!$QG$67:$RM$680,614,0))</f>
        <v>711.46399500553582</v>
      </c>
      <c r="LB126" s="182">
        <f>VLOOKUP($IW126,Base_Mensuelle!$OF$68:$RM$679,HLOOKUP(LB$73,Base_Mensuelle!$QG$67:$RM$680,614,0))</f>
        <v>-134.52665403088406</v>
      </c>
      <c r="LC126" s="182">
        <f>VLOOKUP($IW126,Base_Mensuelle!$OF$68:$RM$679,HLOOKUP(LC$73,Base_Mensuelle!$QG$67:$RM$680,614,0))</f>
        <v>177.72499999999999</v>
      </c>
      <c r="LD126" s="182">
        <f>VLOOKUP($IW126,Base_Mensuelle!$OF$68:$RM$679,HLOOKUP(LD$73,Base_Mensuelle!$QG$67:$RM$680,614,0))</f>
        <v>44.767000000000003</v>
      </c>
      <c r="LE126" s="182">
        <f>VLOOKUP($IW126,Base_Mensuelle!$OF$68:$RM$679,HLOOKUP(LE$73,Base_Mensuelle!$QG$67:$RM$680,614,0))</f>
        <v>132.958</v>
      </c>
      <c r="LF126" s="182">
        <f>VLOOKUP($IW126,Base_Mensuelle!$OF$68:$RM$679,HLOOKUP(LF$73,Base_Mensuelle!$QG$67:$RM$680,614,0))</f>
        <v>0</v>
      </c>
      <c r="LG126" s="182">
        <f>VLOOKUP($IW126,Base_Mensuelle!$OF$68:$RM$679,HLOOKUP(LG$73,Base_Mensuelle!$QG$67:$RM$680,614,0))</f>
        <v>13.328000000000031</v>
      </c>
      <c r="LH126" s="182">
        <f>VLOOKUP($IW126,Base_Mensuelle!$OF$68:$RM$679,HLOOKUP(LH$73,Base_Mensuelle!$QG$67:$RM$680,614,0))</f>
        <v>161.43700000000001</v>
      </c>
      <c r="LI126" s="182">
        <f>VLOOKUP($IW126,Base_Mensuelle!$OF$68:$RM$679,HLOOKUP(LI$73,Base_Mensuelle!$QG$67:$RM$680,614,0))</f>
        <v>-148.10899999999998</v>
      </c>
      <c r="LJ126" s="182">
        <f>VLOOKUP($IW126,Base_Mensuelle!$OF$68:$RM$679,HLOOKUP(LJ$73,Base_Mensuelle!$QG$67:$RM$680,614,0))</f>
        <v>1341.8170049944642</v>
      </c>
      <c r="LK126" s="182">
        <f>VLOOKUP($IW126,Base_Mensuelle!$OF$68:$RM$679,HLOOKUP(LK$73,Base_Mensuelle!$QG$67:$RM$680,614,0))</f>
        <v>15.653524335386422</v>
      </c>
      <c r="LL126" s="182">
        <f>VLOOKUP($IW126,Base_Mensuelle!$OF$68:$RM$679,HLOOKUP(LL$73,Base_Mensuelle!$QG$67:$RM$680,614,0))</f>
        <v>0</v>
      </c>
      <c r="LM126" s="182">
        <f>VLOOKUP($IW126,Base_Mensuelle!$OF$68:$RM$679,HLOOKUP(LM$73,Base_Mensuelle!$QG$67:$RM$680,614,0))</f>
        <v>203.417</v>
      </c>
      <c r="LN126" s="182">
        <f>VLOOKUP($IW126,Base_Mensuelle!$OF$68:$RM$679,HLOOKUP(LN$73,Base_Mensuelle!$QG$67:$RM$680,614,0))</f>
        <v>1122.7464806590779</v>
      </c>
      <c r="LO126" s="182">
        <f>VLOOKUP($IW126,Base_Mensuelle!$OF$68:$RM$679,HLOOKUP(LO$73,Base_Mensuelle!$QG$67:$RM$680,614,0))</f>
        <v>0</v>
      </c>
      <c r="LP126" s="182">
        <f>VLOOKUP($IW126,Base_Mensuelle!$OF$68:$RM$679,HLOOKUP(LP$73,Base_Mensuelle!$QG$67:$RM$680,614,0))</f>
        <v>247.27699999999999</v>
      </c>
      <c r="LQ126" s="182">
        <f>VLOOKUP($IW126,Base_Mensuelle!$OF$68:$RM$679,HLOOKUP(LQ$73,Base_Mensuelle!$QG$67:$RM$680,614,0))</f>
        <v>775.95225681165425</v>
      </c>
      <c r="LR126" s="182">
        <f>VLOOKUP($IW126,Base_Mensuelle!$OF$68:$RM$679,HLOOKUP(LR$73,Base_Mensuelle!$QG$67:$RM$680,614,0))</f>
        <v>754.43108915746166</v>
      </c>
      <c r="LS126" s="182">
        <f>VLOOKUP($IW126,Base_Mensuelle!$OF$68:$RM$679,HLOOKUP(LS$73,Base_Mensuelle!$QG$67:$RM$680,614,0))</f>
        <v>0</v>
      </c>
      <c r="LT126" s="182">
        <f>VLOOKUP($IW126,Base_Mensuelle!$OF$68:$RM$679,HLOOKUP(LT$73,Base_Mensuelle!$QG$67:$RM$680,614,0))</f>
        <v>34.231999999999999</v>
      </c>
      <c r="LU126" s="182">
        <f>VLOOKUP($IW126,Base_Mensuelle!$OF$68:$RM$679,HLOOKUP(LU$73,Base_Mensuelle!$QG$67:$RM$680,614,0))</f>
        <v>8.9730000000000008</v>
      </c>
      <c r="LV126" s="182">
        <f>VLOOKUP($IW126,Base_Mensuelle!$OF$68:$RM$679,HLOOKUP(LV$73,Base_Mensuelle!$QG$67:$RM$680,614,0))</f>
        <v>10.78</v>
      </c>
      <c r="LW126" s="182">
        <f>VLOOKUP($IW126,Base_Mensuelle!$OF$68:$RM$679,HLOOKUP(LW$73,Base_Mensuelle!$QG$67:$RM$680,614,0))</f>
        <v>0</v>
      </c>
      <c r="LX126" s="182">
        <f>VLOOKUP($IW126,Base_Mensuelle!$OF$68:$RM$679,HLOOKUP(LX$73,Base_Mensuelle!$QG$67:$RM$680,614,0))</f>
        <v>0</v>
      </c>
      <c r="LY126" s="182">
        <f>VLOOKUP($IW126,Base_Mensuelle!$OF$68:$RM$679,HLOOKUP(LY$73,Base_Mensuelle!$QG$67:$RM$680,614,0))</f>
        <v>224.49400000000003</v>
      </c>
      <c r="LZ126" s="182">
        <f>VLOOKUP($IW126,Base_Mensuelle!$OF$68:$RM$679,HLOOKUP(LZ$73,Base_Mensuelle!$QG$67:$RM$680,614,0))</f>
        <v>53.667999999999992</v>
      </c>
      <c r="MA126" s="182">
        <f>VLOOKUP($IW126,Base_Mensuelle!$OF$68:$RM$679,HLOOKUP(MA$73,Base_Mensuelle!$QG$67:$RM$680,614,0))</f>
        <v>0</v>
      </c>
      <c r="MB126" s="182">
        <f>VLOOKUP($IW126,Base_Mensuelle!$OF$68:$RM$679,HLOOKUP(MB$73,Base_Mensuelle!$QG$67:$RM$680,614,0))</f>
        <v>0</v>
      </c>
      <c r="MC126" s="182">
        <f>VLOOKUP($IW126,Base_Mensuelle!$OF$68:$RM$679,HLOOKUP(MC$73,Base_Mensuelle!$QG$67:$RM$680,614,0))</f>
        <v>0</v>
      </c>
      <c r="MD126" s="182">
        <f>VLOOKUP($IW126,Base_Mensuelle!$OF$68:$RM$679,HLOOKUP(MD$73,Base_Mensuelle!$QG$67:$RM$680,614,0))</f>
        <v>0</v>
      </c>
      <c r="ME126" s="182">
        <f>VLOOKUP($IW126,Base_Mensuelle!$OF$68:$RM$679,HLOOKUP(ME$73,Base_Mensuelle!$QG$67:$RM$680,614,0))</f>
        <v>0</v>
      </c>
      <c r="MF126" s="182"/>
      <c r="MG126" s="182"/>
      <c r="MH126" s="290"/>
      <c r="MI126" s="29">
        <v>53</v>
      </c>
      <c r="MJ126" s="29" t="str">
        <f t="shared" si="82"/>
        <v>Trimestre 12013</v>
      </c>
      <c r="MK126" s="848">
        <v>41334</v>
      </c>
      <c r="ML126" s="29"/>
      <c r="MM126" s="29"/>
      <c r="MN126" s="29"/>
      <c r="MO126" s="29"/>
      <c r="MP126" s="29"/>
      <c r="MQ126" s="29"/>
      <c r="MR126" s="29"/>
      <c r="MS126" s="29"/>
      <c r="MT126" s="29"/>
      <c r="MU126" s="29"/>
      <c r="MV126" s="29"/>
      <c r="MW126" s="29"/>
      <c r="MX126" s="29"/>
      <c r="MY126" s="29"/>
      <c r="MZ126" s="29"/>
      <c r="NA126" s="29"/>
      <c r="NB126" s="29"/>
      <c r="NC126" s="29"/>
      <c r="ND126" s="29"/>
      <c r="NE126" s="29"/>
      <c r="NF126" s="29"/>
      <c r="NG126" s="29"/>
      <c r="NH126" s="29"/>
      <c r="NI126" s="29"/>
      <c r="NJ126" s="29"/>
      <c r="NK126" s="29"/>
      <c r="NL126" s="29">
        <v>53</v>
      </c>
    </row>
    <row r="127" spans="1:376">
      <c r="A127" s="41">
        <f t="shared" si="80"/>
        <v>2013</v>
      </c>
      <c r="B127" s="785">
        <v>41426</v>
      </c>
      <c r="C127" s="19">
        <v>935.15021070028001</v>
      </c>
      <c r="D127" s="93">
        <v>171.33714450486039</v>
      </c>
      <c r="E127" s="93">
        <v>169.37635149357982</v>
      </c>
      <c r="F127" s="93">
        <v>27.114425235805335</v>
      </c>
      <c r="G127" s="93">
        <v>10.891532286463569</v>
      </c>
      <c r="H127" s="93">
        <v>75.001147335888021</v>
      </c>
      <c r="I127" s="93">
        <v>154.53704911023087</v>
      </c>
      <c r="J127" s="93">
        <v>101.81875961249254</v>
      </c>
      <c r="K127" s="93">
        <v>160.43320233985457</v>
      </c>
      <c r="L127" s="93">
        <v>225.43938921382386</v>
      </c>
      <c r="M127" s="734">
        <v>145.44656141084286</v>
      </c>
      <c r="N127" s="25">
        <v>54</v>
      </c>
      <c r="O127" s="889">
        <f t="shared" si="79"/>
        <v>2013</v>
      </c>
      <c r="P127" s="29" t="str">
        <f t="shared" si="81"/>
        <v>Trimestre 22013</v>
      </c>
      <c r="Q127" s="848">
        <v>41426</v>
      </c>
      <c r="R127" s="733"/>
      <c r="S127" s="570">
        <v>15.313863999999999</v>
      </c>
      <c r="T127" s="570"/>
      <c r="U127" s="734"/>
      <c r="V127" s="25">
        <v>54</v>
      </c>
      <c r="W127" s="19"/>
      <c r="X127" s="93"/>
      <c r="Y127" s="93"/>
      <c r="Z127" s="93"/>
      <c r="AA127" s="93"/>
      <c r="AB127" s="93"/>
      <c r="AC127" s="93"/>
      <c r="AD127" s="93"/>
      <c r="AE127" s="20"/>
      <c r="AF127" s="25">
        <v>54</v>
      </c>
      <c r="AG127" s="19"/>
      <c r="AH127" s="93"/>
      <c r="AI127" s="93"/>
      <c r="AJ127" s="93"/>
      <c r="AK127" s="93"/>
      <c r="AL127" s="93"/>
      <c r="AM127" s="93"/>
      <c r="AN127" s="20"/>
      <c r="AO127" s="19"/>
      <c r="AP127" s="93"/>
      <c r="AQ127" s="93"/>
      <c r="AR127" s="93"/>
      <c r="AS127" s="20"/>
      <c r="AT127" s="19"/>
      <c r="AU127" s="93"/>
      <c r="AV127" s="20"/>
      <c r="AW127" s="19"/>
      <c r="AX127" s="93"/>
      <c r="AY127" s="93"/>
      <c r="AZ127" s="93"/>
      <c r="BA127" s="93"/>
      <c r="BB127" s="93"/>
      <c r="BC127" s="20"/>
      <c r="BD127" s="19"/>
      <c r="BE127" s="93"/>
      <c r="BF127" s="93"/>
      <c r="BG127" s="93"/>
      <c r="BH127" s="93"/>
      <c r="BI127" s="93"/>
      <c r="BJ127" s="93"/>
      <c r="BK127" s="20"/>
      <c r="BL127" s="19"/>
      <c r="BM127" s="93"/>
      <c r="BN127" s="93"/>
      <c r="BO127" s="93"/>
      <c r="BP127" s="93"/>
      <c r="BQ127" s="20"/>
      <c r="BR127" s="19"/>
      <c r="BS127" s="93"/>
      <c r="BT127" s="93"/>
      <c r="BU127" s="20"/>
      <c r="BV127" s="19"/>
      <c r="BW127" s="93"/>
      <c r="BX127" s="93"/>
      <c r="BY127" s="93"/>
      <c r="BZ127" s="93"/>
      <c r="CA127" s="93"/>
      <c r="CB127" s="20"/>
      <c r="CC127" s="25">
        <v>54</v>
      </c>
      <c r="CD127" s="19"/>
      <c r="CE127" s="93"/>
      <c r="CF127" s="20"/>
      <c r="CG127" s="25">
        <v>54</v>
      </c>
      <c r="CH127" s="19">
        <v>27549</v>
      </c>
      <c r="CI127" s="93">
        <v>4583</v>
      </c>
      <c r="CJ127" s="93">
        <v>4376</v>
      </c>
      <c r="CK127" s="93">
        <v>15553</v>
      </c>
      <c r="CL127" s="93">
        <v>7289</v>
      </c>
      <c r="CM127" s="93">
        <v>1078</v>
      </c>
      <c r="CN127" s="93">
        <v>4963</v>
      </c>
      <c r="CO127" s="93">
        <v>2832</v>
      </c>
      <c r="CP127" s="93">
        <v>4273</v>
      </c>
      <c r="CQ127" s="93">
        <v>2368</v>
      </c>
      <c r="CR127" s="214">
        <v>82602</v>
      </c>
      <c r="CS127" s="20">
        <v>140140</v>
      </c>
      <c r="CT127" s="25">
        <v>54</v>
      </c>
      <c r="CU127" s="19">
        <v>18879</v>
      </c>
      <c r="CV127" s="93">
        <v>92547</v>
      </c>
      <c r="CW127" s="93">
        <v>14141</v>
      </c>
      <c r="CX127" s="93">
        <v>1437</v>
      </c>
      <c r="CY127" s="93">
        <v>642</v>
      </c>
      <c r="CZ127" s="93">
        <v>622</v>
      </c>
      <c r="DA127" s="93">
        <v>11872</v>
      </c>
      <c r="DB127" s="20">
        <v>140140</v>
      </c>
      <c r="DC127" s="25">
        <v>54</v>
      </c>
      <c r="DD127" s="785">
        <v>41426</v>
      </c>
      <c r="DE127" s="19"/>
      <c r="DF127" s="20"/>
      <c r="DG127" s="25">
        <v>54</v>
      </c>
      <c r="DH127" s="19"/>
      <c r="DI127" s="20"/>
      <c r="DJ127" s="25">
        <v>54</v>
      </c>
      <c r="DK127" s="19"/>
      <c r="DL127" s="20"/>
      <c r="DM127" s="19"/>
      <c r="DN127" s="20"/>
      <c r="DO127" s="25">
        <v>54</v>
      </c>
      <c r="DP127" s="19"/>
      <c r="DQ127" s="93"/>
      <c r="DR127" s="20"/>
      <c r="DS127" s="25">
        <v>54</v>
      </c>
      <c r="DT127" s="19"/>
      <c r="DU127" s="93"/>
      <c r="DV127" s="20"/>
      <c r="DW127" s="25">
        <v>54</v>
      </c>
      <c r="DX127" s="19"/>
      <c r="DY127" s="20"/>
      <c r="DZ127" s="25">
        <v>54</v>
      </c>
      <c r="EA127" s="19"/>
      <c r="EB127" s="93"/>
      <c r="EC127" s="93"/>
      <c r="ED127" s="93"/>
      <c r="EE127" s="20"/>
      <c r="EF127" s="25">
        <v>54</v>
      </c>
      <c r="EG127" s="1566"/>
      <c r="EH127" s="1567"/>
      <c r="EI127" s="1567"/>
      <c r="EJ127" s="1567"/>
      <c r="EK127" s="1568"/>
      <c r="EL127" s="25">
        <v>54</v>
      </c>
      <c r="EM127" s="19"/>
      <c r="EN127" s="93"/>
      <c r="EO127" s="93"/>
      <c r="EP127" s="93"/>
      <c r="EQ127" s="93"/>
      <c r="ER127" s="93"/>
      <c r="ES127" s="93"/>
      <c r="ET127" s="93"/>
      <c r="EU127" s="93"/>
      <c r="EV127" s="20"/>
      <c r="EW127" s="25">
        <v>54</v>
      </c>
      <c r="EX127" s="915"/>
      <c r="EY127" s="916"/>
      <c r="EZ127" s="916"/>
      <c r="FA127" s="916"/>
      <c r="FB127" s="916"/>
      <c r="FC127" s="916"/>
      <c r="FD127" s="916"/>
      <c r="FE127" s="916"/>
      <c r="FF127" s="916"/>
      <c r="FG127" s="917"/>
      <c r="FH127" s="25">
        <v>54</v>
      </c>
      <c r="FI127" s="848">
        <v>41426</v>
      </c>
      <c r="FJ127" s="19">
        <v>2156</v>
      </c>
      <c r="FK127" s="93">
        <v>1539</v>
      </c>
      <c r="FL127" s="20">
        <v>0</v>
      </c>
      <c r="FM127" s="25">
        <v>54</v>
      </c>
      <c r="FN127" s="19"/>
      <c r="FO127" s="93"/>
      <c r="FP127" s="93"/>
      <c r="FQ127" s="93"/>
      <c r="FR127" s="93"/>
      <c r="FS127" s="93"/>
      <c r="FT127" s="93"/>
      <c r="FU127" s="93"/>
      <c r="FV127" s="93"/>
      <c r="FW127" s="917"/>
      <c r="FX127" s="25">
        <v>54</v>
      </c>
      <c r="FY127" s="916"/>
      <c r="FZ127" s="916"/>
      <c r="GA127" s="916"/>
      <c r="GB127" s="916"/>
      <c r="GC127" s="916"/>
      <c r="GD127" s="916"/>
      <c r="GE127" s="916"/>
      <c r="GF127" s="916"/>
      <c r="GG127" s="916"/>
      <c r="GH127" s="916"/>
      <c r="GI127" s="917"/>
      <c r="GJ127" s="25">
        <v>54</v>
      </c>
      <c r="GK127" s="19"/>
      <c r="GL127" s="20"/>
      <c r="GM127" s="25">
        <v>54</v>
      </c>
      <c r="GN127" s="19">
        <v>4682</v>
      </c>
      <c r="GO127" s="20">
        <v>1684</v>
      </c>
      <c r="GP127" s="25">
        <v>54</v>
      </c>
      <c r="GQ127" s="19">
        <v>32</v>
      </c>
      <c r="GR127" s="20">
        <v>31</v>
      </c>
      <c r="GS127" s="25">
        <v>54</v>
      </c>
      <c r="GT127" s="848">
        <v>41426</v>
      </c>
      <c r="GU127" s="19"/>
      <c r="GV127" s="93"/>
      <c r="GW127" s="93"/>
      <c r="GX127" s="93"/>
      <c r="GY127" s="93"/>
      <c r="GZ127" s="93"/>
      <c r="HA127" s="93"/>
      <c r="HB127" s="93"/>
      <c r="HC127" s="93"/>
      <c r="HD127" s="93"/>
      <c r="HE127" s="93"/>
      <c r="HF127" s="93"/>
      <c r="HG127" s="93"/>
      <c r="HH127" s="93"/>
      <c r="HI127" s="93"/>
      <c r="HJ127" s="93"/>
      <c r="HK127" s="93"/>
      <c r="HL127" s="93"/>
      <c r="HM127" s="93"/>
      <c r="HN127" s="93"/>
      <c r="HO127" s="93"/>
      <c r="HP127" s="93"/>
      <c r="HQ127" s="93"/>
      <c r="HR127" s="93"/>
      <c r="HS127" s="93"/>
      <c r="HT127" s="93"/>
      <c r="HU127" s="93"/>
      <c r="HV127" s="93"/>
      <c r="HW127" s="93"/>
      <c r="HX127" s="93"/>
      <c r="HY127" s="93"/>
      <c r="HZ127" s="93"/>
      <c r="IA127" s="93"/>
      <c r="IB127" s="93"/>
      <c r="IC127" s="93"/>
      <c r="ID127" s="93"/>
      <c r="IE127" s="93"/>
      <c r="IF127" s="93"/>
      <c r="IG127" s="93"/>
      <c r="IH127" s="93"/>
      <c r="II127" s="93"/>
      <c r="IJ127" s="93"/>
      <c r="IK127" s="93"/>
      <c r="IL127" s="93"/>
      <c r="IM127" s="93"/>
      <c r="IN127" s="93"/>
      <c r="IO127" s="93"/>
      <c r="IP127" s="93"/>
      <c r="IQ127" s="93"/>
      <c r="IR127" s="93"/>
      <c r="IS127" s="93"/>
      <c r="IT127" s="93"/>
      <c r="IU127" s="93"/>
      <c r="IV127" s="93">
        <v>54</v>
      </c>
      <c r="IW127" s="848">
        <v>41426</v>
      </c>
      <c r="IX127" s="1035"/>
      <c r="IY127" s="1035">
        <v>168.79660000000001</v>
      </c>
      <c r="IZ127" s="1035">
        <v>218.0042</v>
      </c>
      <c r="JA127" s="1035">
        <v>0.51660572900000001</v>
      </c>
      <c r="JB127" s="1035">
        <v>792.18241042146906</v>
      </c>
      <c r="JC127" s="1035">
        <v>90.878600000000006</v>
      </c>
      <c r="JD127" s="1035">
        <v>1052.3742161504692</v>
      </c>
      <c r="JE127" s="1035">
        <v>759.82687247641661</v>
      </c>
      <c r="JF127" s="1035">
        <v>1812.2010886268858</v>
      </c>
      <c r="JG127" s="1035"/>
      <c r="JH127" s="1035">
        <v>686.59669212641325</v>
      </c>
      <c r="JI127" s="1035">
        <v>126.32820461199998</v>
      </c>
      <c r="JJ127" s="1035">
        <v>560.26848751441332</v>
      </c>
      <c r="JK127" s="1035">
        <v>1362.5887665744722</v>
      </c>
      <c r="JL127" s="1035">
        <v>-32.832683422000017</v>
      </c>
      <c r="JM127" s="1035">
        <v>-28.070683422000013</v>
      </c>
      <c r="JN127" s="1035">
        <v>-4.7620000000000005</v>
      </c>
      <c r="JO127" s="1035">
        <v>1395.4214499964721</v>
      </c>
      <c r="JP127" s="1035">
        <v>4.5566546130000001</v>
      </c>
      <c r="JQ127" s="1035">
        <v>1390.8647953834723</v>
      </c>
      <c r="JR127" s="1035">
        <v>271.55655397700002</v>
      </c>
      <c r="JS127" s="1035">
        <v>-34.572183902999981</v>
      </c>
      <c r="JT127" s="1036">
        <v>1812.2010886268856</v>
      </c>
      <c r="JU127" s="29">
        <v>54</v>
      </c>
      <c r="JV127" s="1037"/>
      <c r="JW127" s="1526">
        <f>VLOOKUP($IW127,Base_Mensuelle!$OF$68:$RM$679,HLOOKUP(JW$73,Base_Mensuelle!$PE$67:$QE$680,614,0))</f>
        <v>126.32820461199998</v>
      </c>
      <c r="JX127" s="1526">
        <f>VLOOKUP($IW127,Base_Mensuelle!$OF$68:$RM$679,HLOOKUP(JX$73,Base_Mensuelle!$PE$67:$QE$680,614,0))</f>
        <v>379.69433858399998</v>
      </c>
      <c r="JY127" s="1526">
        <f>VLOOKUP($IW127,Base_Mensuelle!$OF$68:$RM$679,HLOOKUP(JY$73,Base_Mensuelle!$PE$67:$QE$680,614,0))</f>
        <v>253.366133972</v>
      </c>
      <c r="JZ127" s="1526">
        <f>VLOOKUP($IW127,Base_Mensuelle!$OF$68:$RM$679,HLOOKUP(JZ$73,Base_Mensuelle!$PE$67:$QE$680,614,0))</f>
        <v>227.95</v>
      </c>
      <c r="KA127" s="1526">
        <f>VLOOKUP($IW127,Base_Mensuelle!$OF$68:$RM$679,HLOOKUP(KA$73,Base_Mensuelle!$PE$67:$QE$680,614,0))</f>
        <v>-23.505083422000013</v>
      </c>
      <c r="KB127" s="1526">
        <f>VLOOKUP($IW127,Base_Mensuelle!$OF$68:$RM$679,HLOOKUP(KB$73,Base_Mensuelle!$PE$67:$QE$680,614,0))</f>
        <v>133.80984112199999</v>
      </c>
      <c r="KC127" s="1526">
        <f>VLOOKUP($IW127,Base_Mensuelle!$OF$68:$RM$679,HLOOKUP(KC$73,Base_Mensuelle!$PE$67:$QE$680,614,0))</f>
        <v>157.31492454400001</v>
      </c>
      <c r="KD127" s="1526">
        <f>VLOOKUP($IW127,Base_Mensuelle!$OF$68:$RM$679,HLOOKUP(KD$73,Base_Mensuelle!$PE$67:$QE$680,614,0))</f>
        <v>4.5566546130000001</v>
      </c>
      <c r="KE127" s="1526">
        <f>VLOOKUP($IW127,Base_Mensuelle!$OF$68:$RM$679,HLOOKUP(KE$73,Base_Mensuelle!$PE$67:$QE$680,614,0))</f>
        <v>1.048</v>
      </c>
      <c r="KF127" s="1526">
        <f>VLOOKUP($IW127,Base_Mensuelle!$OF$68:$RM$679,HLOOKUP(KF$73,Base_Mensuelle!$PE$67:$QE$680,614,0))</f>
        <v>0</v>
      </c>
      <c r="KG127" s="1526">
        <f>VLOOKUP($IW127,Base_Mensuelle!$OF$68:$RM$679,HLOOKUP(KG$73,Base_Mensuelle!$PE$67:$QE$680,614,0))</f>
        <v>5.2318999999999998E-4</v>
      </c>
      <c r="KH127" s="1526">
        <f>VLOOKUP($IW127,Base_Mensuelle!$OF$68:$RM$679,HLOOKUP(KH$73,Base_Mensuelle!$PE$67:$QE$680,614,0))</f>
        <v>3.508131423</v>
      </c>
      <c r="KI127" s="1526">
        <f>VLOOKUP($IW127,Base_Mensuelle!$OF$68:$RM$679,HLOOKUP(KI$73,Base_Mensuelle!$PE$67:$QE$680,614,0))</f>
        <v>325.66107238299998</v>
      </c>
      <c r="KJ127" s="1526">
        <f>VLOOKUP($IW127,Base_Mensuelle!$OF$68:$RM$679,HLOOKUP(KJ$73,Base_Mensuelle!$PE$67:$QE$680,614,0))</f>
        <v>218.0042</v>
      </c>
      <c r="KK127" s="1526">
        <f>VLOOKUP($IW127,Base_Mensuelle!$OF$68:$RM$679,HLOOKUP(KK$73,Base_Mensuelle!$PE$67:$QE$680,614,0))</f>
        <v>107.140266654</v>
      </c>
      <c r="KL127" s="1526">
        <f>VLOOKUP($IW127,Base_Mensuelle!$OF$68:$RM$679,HLOOKUP(KL$73,Base_Mensuelle!$PE$67:$QE$680,614,0))</f>
        <v>0.51660572900000001</v>
      </c>
      <c r="KM127" s="1526">
        <f>VLOOKUP($IW127,Base_Mensuelle!$OF$68:$RM$679,HLOOKUP(KM$73,Base_Mensuelle!$PE$67:$QE$680,614,0))</f>
        <v>0</v>
      </c>
      <c r="KN127" s="1526">
        <f>VLOOKUP($IW127,Base_Mensuelle!$OF$68:$RM$679,HLOOKUP(KN$73,Base_Mensuelle!$PE$67:$QE$680,614,0))</f>
        <v>1.1089809690000001</v>
      </c>
      <c r="KO127" s="1526">
        <f>VLOOKUP($IW127,Base_Mensuelle!$OF$68:$RM$679,HLOOKUP(KO$73,Base_Mensuelle!$PE$67:$QE$680,614,0))</f>
        <v>0</v>
      </c>
      <c r="KP127" s="1526">
        <f>VLOOKUP($IW127,Base_Mensuelle!$OF$68:$RM$679,HLOOKUP(KP$73,Base_Mensuelle!$PE$67:$QE$680,614,0))</f>
        <v>0</v>
      </c>
      <c r="KQ127" s="1526">
        <f>VLOOKUP($IW127,Base_Mensuelle!$OF$68:$RM$679,HLOOKUP(KQ$73,Base_Mensuelle!$PE$67:$QE$680,614,0))</f>
        <v>1.1089809690000001</v>
      </c>
      <c r="KR127" s="1526">
        <f>VLOOKUP($IW127,Base_Mensuelle!$OF$68:$RM$679,HLOOKUP(KR$73,Base_Mensuelle!$PE$67:$QE$680,614,0))</f>
        <v>0</v>
      </c>
      <c r="KS127" s="1526">
        <f>VLOOKUP($IW127,Base_Mensuelle!$OF$68:$RM$679,HLOOKUP(KS$73,Base_Mensuelle!$PE$67:$QE$680,614,0))</f>
        <v>0</v>
      </c>
      <c r="KT127" s="1526">
        <f>VLOOKUP($IW127,Base_Mensuelle!$OF$68:$RM$679,HLOOKUP(KT$73,Base_Mensuelle!$PE$67:$QE$680,614,0))</f>
        <v>0</v>
      </c>
      <c r="KU127" s="1526">
        <f>VLOOKUP($IW127,Base_Mensuelle!$OF$68:$RM$679,HLOOKUP(KU$73,Base_Mensuelle!$PE$67:$QE$680,614,0))</f>
        <v>1.5185730080000002</v>
      </c>
      <c r="KV127" s="1526">
        <f>VLOOKUP($IW127,Base_Mensuelle!$OF$68:$RM$679,HLOOKUP(KV$73,Base_Mensuelle!$PE$67:$QE$680,614,0))</f>
        <v>7.0411494430000072</v>
      </c>
      <c r="KW127" s="1036"/>
      <c r="KX127" s="29">
        <v>54</v>
      </c>
      <c r="KY127" s="1037"/>
      <c r="KZ127" s="182">
        <f>VLOOKUP($IW127,Base_Mensuelle!$OF$68:$RM$679,HLOOKUP(KZ$73,Base_Mensuelle!$QG$67:$RM$680,614,0))</f>
        <v>560.26848751441332</v>
      </c>
      <c r="LA127" s="182">
        <f>VLOOKUP($IW127,Base_Mensuelle!$OF$68:$RM$679,HLOOKUP(LA$73,Base_Mensuelle!$QG$67:$RM$680,614,0))</f>
        <v>741.04720461652755</v>
      </c>
      <c r="LB127" s="182">
        <f>VLOOKUP($IW127,Base_Mensuelle!$OF$68:$RM$679,HLOOKUP(LB$73,Base_Mensuelle!$QG$67:$RM$680,614,0))</f>
        <v>-180.77871710211423</v>
      </c>
      <c r="LC127" s="182">
        <f>VLOOKUP($IW127,Base_Mensuelle!$OF$68:$RM$679,HLOOKUP(LC$73,Base_Mensuelle!$QG$67:$RM$680,614,0))</f>
        <v>144.60400000000001</v>
      </c>
      <c r="LD127" s="182">
        <f>VLOOKUP($IW127,Base_Mensuelle!$OF$68:$RM$679,HLOOKUP(LD$73,Base_Mensuelle!$QG$67:$RM$680,614,0))</f>
        <v>44.642000000000003</v>
      </c>
      <c r="LE127" s="182">
        <f>VLOOKUP($IW127,Base_Mensuelle!$OF$68:$RM$679,HLOOKUP(LE$73,Base_Mensuelle!$QG$67:$RM$680,614,0))</f>
        <v>99.962000000000003</v>
      </c>
      <c r="LF127" s="182">
        <f>VLOOKUP($IW127,Base_Mensuelle!$OF$68:$RM$679,HLOOKUP(LF$73,Base_Mensuelle!$QG$67:$RM$680,614,0))</f>
        <v>0</v>
      </c>
      <c r="LG127" s="182">
        <f>VLOOKUP($IW127,Base_Mensuelle!$OF$68:$RM$679,HLOOKUP(LG$73,Base_Mensuelle!$QG$67:$RM$680,614,0))</f>
        <v>-4.7620000000000005</v>
      </c>
      <c r="LH127" s="182">
        <f>VLOOKUP($IW127,Base_Mensuelle!$OF$68:$RM$679,HLOOKUP(LH$73,Base_Mensuelle!$QG$67:$RM$680,614,0))</f>
        <v>162.93</v>
      </c>
      <c r="LI127" s="182">
        <f>VLOOKUP($IW127,Base_Mensuelle!$OF$68:$RM$679,HLOOKUP(LI$73,Base_Mensuelle!$QG$67:$RM$680,614,0))</f>
        <v>-167.69200000000001</v>
      </c>
      <c r="LJ127" s="182">
        <f>VLOOKUP($IW127,Base_Mensuelle!$OF$68:$RM$679,HLOOKUP(LJ$73,Base_Mensuelle!$QG$67:$RM$680,614,0))</f>
        <v>1390.8647953834723</v>
      </c>
      <c r="LK127" s="182">
        <f>VLOOKUP($IW127,Base_Mensuelle!$OF$68:$RM$679,HLOOKUP(LK$73,Base_Mensuelle!$QG$67:$RM$680,614,0))</f>
        <v>13.153364573470656</v>
      </c>
      <c r="LL127" s="182">
        <f>VLOOKUP($IW127,Base_Mensuelle!$OF$68:$RM$679,HLOOKUP(LL$73,Base_Mensuelle!$QG$67:$RM$680,614,0))</f>
        <v>0</v>
      </c>
      <c r="LM127" s="182">
        <f>VLOOKUP($IW127,Base_Mensuelle!$OF$68:$RM$679,HLOOKUP(LM$73,Base_Mensuelle!$QG$67:$RM$680,614,0))</f>
        <v>163.637</v>
      </c>
      <c r="LN127" s="182">
        <f>VLOOKUP($IW127,Base_Mensuelle!$OF$68:$RM$679,HLOOKUP(LN$73,Base_Mensuelle!$QG$67:$RM$680,614,0))</f>
        <v>1214.0744308100016</v>
      </c>
      <c r="LO127" s="182">
        <f>VLOOKUP($IW127,Base_Mensuelle!$OF$68:$RM$679,HLOOKUP(LO$73,Base_Mensuelle!$QG$67:$RM$680,614,0))</f>
        <v>0</v>
      </c>
      <c r="LP127" s="182">
        <f>VLOOKUP($IW127,Base_Mensuelle!$OF$68:$RM$679,HLOOKUP(LP$73,Base_Mensuelle!$QG$67:$RM$680,614,0))</f>
        <v>228.399</v>
      </c>
      <c r="LQ127" s="182">
        <f>VLOOKUP($IW127,Base_Mensuelle!$OF$68:$RM$679,HLOOKUP(LQ$73,Base_Mensuelle!$QG$67:$RM$680,614,0))</f>
        <v>792.18241042146917</v>
      </c>
      <c r="LR127" s="182">
        <f>VLOOKUP($IW127,Base_Mensuelle!$OF$68:$RM$679,HLOOKUP(LR$73,Base_Mensuelle!$QG$67:$RM$680,614,0))</f>
        <v>759.82687247641661</v>
      </c>
      <c r="LS127" s="182">
        <f>VLOOKUP($IW127,Base_Mensuelle!$OF$68:$RM$679,HLOOKUP(LS$73,Base_Mensuelle!$QG$67:$RM$680,614,0))</f>
        <v>0</v>
      </c>
      <c r="LT127" s="182">
        <f>VLOOKUP($IW127,Base_Mensuelle!$OF$68:$RM$679,HLOOKUP(LT$73,Base_Mensuelle!$QG$67:$RM$680,614,0))</f>
        <v>33.469000000000001</v>
      </c>
      <c r="LU127" s="182">
        <f>VLOOKUP($IW127,Base_Mensuelle!$OF$68:$RM$679,HLOOKUP(LU$73,Base_Mensuelle!$QG$67:$RM$680,614,0))</f>
        <v>8.4350000000000005</v>
      </c>
      <c r="LV127" s="182">
        <f>VLOOKUP($IW127,Base_Mensuelle!$OF$68:$RM$679,HLOOKUP(LV$73,Base_Mensuelle!$QG$67:$RM$680,614,0))</f>
        <v>14.961</v>
      </c>
      <c r="LW127" s="182">
        <f>VLOOKUP($IW127,Base_Mensuelle!$OF$68:$RM$679,HLOOKUP(LW$73,Base_Mensuelle!$QG$67:$RM$680,614,0))</f>
        <v>0</v>
      </c>
      <c r="LX127" s="182">
        <f>VLOOKUP($IW127,Base_Mensuelle!$OF$68:$RM$679,HLOOKUP(LX$73,Base_Mensuelle!$QG$67:$RM$680,614,0))</f>
        <v>0</v>
      </c>
      <c r="LY127" s="182">
        <f>VLOOKUP($IW127,Base_Mensuelle!$OF$68:$RM$679,HLOOKUP(LY$73,Base_Mensuelle!$QG$67:$RM$680,614,0))</f>
        <v>212.06399999999999</v>
      </c>
      <c r="LZ127" s="182">
        <f>VLOOKUP($IW127,Base_Mensuelle!$OF$68:$RM$679,HLOOKUP(LZ$73,Base_Mensuelle!$QG$67:$RM$680,614,0))</f>
        <v>41.638000000000005</v>
      </c>
      <c r="MA127" s="182">
        <f>VLOOKUP($IW127,Base_Mensuelle!$OF$68:$RM$679,HLOOKUP(MA$73,Base_Mensuelle!$QG$67:$RM$680,614,0))</f>
        <v>0</v>
      </c>
      <c r="MB127" s="182">
        <f>VLOOKUP($IW127,Base_Mensuelle!$OF$68:$RM$679,HLOOKUP(MB$73,Base_Mensuelle!$QG$67:$RM$680,614,0))</f>
        <v>0</v>
      </c>
      <c r="MC127" s="182">
        <f>VLOOKUP($IW127,Base_Mensuelle!$OF$68:$RM$679,HLOOKUP(MC$73,Base_Mensuelle!$QG$67:$RM$680,614,0))</f>
        <v>0</v>
      </c>
      <c r="MD127" s="182">
        <f>VLOOKUP($IW127,Base_Mensuelle!$OF$68:$RM$679,HLOOKUP(MD$73,Base_Mensuelle!$QG$67:$RM$680,614,0))</f>
        <v>0</v>
      </c>
      <c r="ME127" s="182">
        <f>VLOOKUP($IW127,Base_Mensuelle!$OF$68:$RM$679,HLOOKUP(ME$73,Base_Mensuelle!$QG$67:$RM$680,614,0))</f>
        <v>0</v>
      </c>
      <c r="MF127" s="182"/>
      <c r="MG127" s="182"/>
      <c r="MH127" s="290"/>
      <c r="MI127" s="29">
        <v>54</v>
      </c>
      <c r="MJ127" s="29" t="str">
        <f t="shared" si="82"/>
        <v>Trimestre 22013</v>
      </c>
      <c r="MK127" s="848">
        <v>41426</v>
      </c>
      <c r="ML127" s="29"/>
      <c r="MM127" s="29"/>
      <c r="MN127" s="29"/>
      <c r="MO127" s="29"/>
      <c r="MP127" s="29"/>
      <c r="MQ127" s="29"/>
      <c r="MR127" s="29"/>
      <c r="MS127" s="29"/>
      <c r="MT127" s="29"/>
      <c r="MU127" s="29"/>
      <c r="MV127" s="29"/>
      <c r="MW127" s="29"/>
      <c r="MX127" s="29"/>
      <c r="MY127" s="29"/>
      <c r="MZ127" s="29"/>
      <c r="NA127" s="29"/>
      <c r="NB127" s="29"/>
      <c r="NC127" s="29"/>
      <c r="ND127" s="29"/>
      <c r="NE127" s="29"/>
      <c r="NF127" s="29"/>
      <c r="NG127" s="29"/>
      <c r="NH127" s="29"/>
      <c r="NI127" s="29"/>
      <c r="NJ127" s="29"/>
      <c r="NK127" s="29"/>
      <c r="NL127" s="29">
        <v>54</v>
      </c>
    </row>
    <row r="128" spans="1:376">
      <c r="A128" s="41">
        <f t="shared" si="80"/>
        <v>2013</v>
      </c>
      <c r="B128" s="785">
        <v>41518</v>
      </c>
      <c r="C128" s="19">
        <v>822.14749574805546</v>
      </c>
      <c r="D128" s="93">
        <v>144.81836393899582</v>
      </c>
      <c r="E128" s="93">
        <v>149.24124997607976</v>
      </c>
      <c r="F128" s="93">
        <v>6.5235435235200292</v>
      </c>
      <c r="G128" s="93">
        <v>14.575355406019703</v>
      </c>
      <c r="H128" s="93">
        <v>79.400295763297308</v>
      </c>
      <c r="I128" s="93">
        <v>131.74629201032894</v>
      </c>
      <c r="J128" s="93">
        <v>67.829764927117168</v>
      </c>
      <c r="K128" s="93">
        <v>108.65633256826797</v>
      </c>
      <c r="L128" s="93">
        <v>228.66196691563607</v>
      </c>
      <c r="M128" s="734">
        <v>117.59339955249327</v>
      </c>
      <c r="N128" s="25">
        <v>55</v>
      </c>
      <c r="O128" s="889">
        <f t="shared" si="79"/>
        <v>2013</v>
      </c>
      <c r="P128" s="29" t="str">
        <f t="shared" si="81"/>
        <v>Trimestre 32013</v>
      </c>
      <c r="Q128" s="848">
        <v>41518</v>
      </c>
      <c r="R128" s="733"/>
      <c r="S128" s="570">
        <v>0</v>
      </c>
      <c r="T128" s="570"/>
      <c r="U128" s="734"/>
      <c r="V128" s="25">
        <v>55</v>
      </c>
      <c r="W128" s="19"/>
      <c r="X128" s="93"/>
      <c r="Y128" s="93"/>
      <c r="Z128" s="93"/>
      <c r="AA128" s="93"/>
      <c r="AB128" s="93"/>
      <c r="AC128" s="93"/>
      <c r="AD128" s="93"/>
      <c r="AE128" s="20"/>
      <c r="AF128" s="25">
        <v>55</v>
      </c>
      <c r="AG128" s="19"/>
      <c r="AH128" s="93"/>
      <c r="AI128" s="93"/>
      <c r="AJ128" s="93"/>
      <c r="AK128" s="93"/>
      <c r="AL128" s="93"/>
      <c r="AM128" s="93"/>
      <c r="AN128" s="20"/>
      <c r="AO128" s="19"/>
      <c r="AP128" s="93"/>
      <c r="AQ128" s="93"/>
      <c r="AR128" s="93"/>
      <c r="AS128" s="20"/>
      <c r="AT128" s="19"/>
      <c r="AU128" s="93"/>
      <c r="AV128" s="20"/>
      <c r="AW128" s="19"/>
      <c r="AX128" s="93"/>
      <c r="AY128" s="93"/>
      <c r="AZ128" s="93"/>
      <c r="BA128" s="93"/>
      <c r="BB128" s="93"/>
      <c r="BC128" s="20"/>
      <c r="BD128" s="19"/>
      <c r="BE128" s="93"/>
      <c r="BF128" s="93"/>
      <c r="BG128" s="93"/>
      <c r="BH128" s="93"/>
      <c r="BI128" s="93"/>
      <c r="BJ128" s="93"/>
      <c r="BK128" s="20"/>
      <c r="BL128" s="19"/>
      <c r="BM128" s="93"/>
      <c r="BN128" s="93"/>
      <c r="BO128" s="93"/>
      <c r="BP128" s="93"/>
      <c r="BQ128" s="20"/>
      <c r="BR128" s="19"/>
      <c r="BS128" s="93"/>
      <c r="BT128" s="93"/>
      <c r="BU128" s="20"/>
      <c r="BV128" s="19"/>
      <c r="BW128" s="93"/>
      <c r="BX128" s="93"/>
      <c r="BY128" s="93"/>
      <c r="BZ128" s="93"/>
      <c r="CA128" s="93"/>
      <c r="CB128" s="20"/>
      <c r="CC128" s="25">
        <v>55</v>
      </c>
      <c r="CD128" s="181">
        <v>140324</v>
      </c>
      <c r="CE128" s="182">
        <v>11082708</v>
      </c>
      <c r="CF128" s="290">
        <v>387787</v>
      </c>
      <c r="CG128" s="25">
        <v>55</v>
      </c>
      <c r="CH128" s="19">
        <v>26547</v>
      </c>
      <c r="CI128" s="93">
        <v>4624</v>
      </c>
      <c r="CJ128" s="93">
        <v>3563</v>
      </c>
      <c r="CK128" s="93">
        <v>13133</v>
      </c>
      <c r="CL128" s="93">
        <v>6586</v>
      </c>
      <c r="CM128" s="93">
        <v>1315</v>
      </c>
      <c r="CN128" s="93">
        <v>4768</v>
      </c>
      <c r="CO128" s="93">
        <v>2776</v>
      </c>
      <c r="CP128" s="93">
        <v>2724</v>
      </c>
      <c r="CQ128" s="93">
        <v>1653</v>
      </c>
      <c r="CR128" s="214">
        <v>66332</v>
      </c>
      <c r="CS128" s="20">
        <v>117933</v>
      </c>
      <c r="CT128" s="25">
        <v>55</v>
      </c>
      <c r="CU128" s="19">
        <v>19386</v>
      </c>
      <c r="CV128" s="93">
        <v>72639</v>
      </c>
      <c r="CW128" s="93">
        <v>14960</v>
      </c>
      <c r="CX128" s="93">
        <v>640</v>
      </c>
      <c r="CY128" s="93">
        <v>576</v>
      </c>
      <c r="CZ128" s="93">
        <v>901</v>
      </c>
      <c r="DA128" s="93">
        <v>8831</v>
      </c>
      <c r="DB128" s="20">
        <v>117933</v>
      </c>
      <c r="DC128" s="25">
        <v>55</v>
      </c>
      <c r="DD128" s="785">
        <v>41518</v>
      </c>
      <c r="DE128" s="19"/>
      <c r="DF128" s="20"/>
      <c r="DG128" s="25">
        <v>55</v>
      </c>
      <c r="DH128" s="19"/>
      <c r="DI128" s="20"/>
      <c r="DJ128" s="25">
        <v>55</v>
      </c>
      <c r="DK128" s="19"/>
      <c r="DL128" s="20"/>
      <c r="DM128" s="19"/>
      <c r="DN128" s="20"/>
      <c r="DO128" s="25">
        <v>55</v>
      </c>
      <c r="DP128" s="19"/>
      <c r="DQ128" s="93"/>
      <c r="DR128" s="20"/>
      <c r="DS128" s="25">
        <v>55</v>
      </c>
      <c r="DT128" s="19"/>
      <c r="DU128" s="93"/>
      <c r="DV128" s="20"/>
      <c r="DW128" s="25">
        <v>55</v>
      </c>
      <c r="DX128" s="19"/>
      <c r="DY128" s="20"/>
      <c r="DZ128" s="25">
        <v>55</v>
      </c>
      <c r="EA128" s="19"/>
      <c r="EB128" s="93"/>
      <c r="EC128" s="93"/>
      <c r="ED128" s="93"/>
      <c r="EE128" s="20"/>
      <c r="EF128" s="25">
        <v>55</v>
      </c>
      <c r="EG128" s="1566"/>
      <c r="EH128" s="1567"/>
      <c r="EI128" s="1567"/>
      <c r="EJ128" s="1567"/>
      <c r="EK128" s="1568"/>
      <c r="EL128" s="25">
        <v>55</v>
      </c>
      <c r="EM128" s="19"/>
      <c r="EN128" s="93"/>
      <c r="EO128" s="93"/>
      <c r="EP128" s="93"/>
      <c r="EQ128" s="93"/>
      <c r="ER128" s="93"/>
      <c r="ES128" s="93"/>
      <c r="ET128" s="93"/>
      <c r="EU128" s="93"/>
      <c r="EV128" s="20"/>
      <c r="EW128" s="25">
        <v>55</v>
      </c>
      <c r="EX128" s="915"/>
      <c r="EY128" s="916"/>
      <c r="EZ128" s="916"/>
      <c r="FA128" s="916"/>
      <c r="FB128" s="916"/>
      <c r="FC128" s="916"/>
      <c r="FD128" s="916"/>
      <c r="FE128" s="916"/>
      <c r="FF128" s="916"/>
      <c r="FG128" s="917"/>
      <c r="FH128" s="25">
        <v>55</v>
      </c>
      <c r="FI128" s="848">
        <v>41518</v>
      </c>
      <c r="FJ128" s="19">
        <v>8216</v>
      </c>
      <c r="FK128" s="93">
        <v>6741</v>
      </c>
      <c r="FL128" s="20">
        <v>0</v>
      </c>
      <c r="FM128" s="25">
        <v>55</v>
      </c>
      <c r="FN128" s="19"/>
      <c r="FO128" s="93"/>
      <c r="FP128" s="93"/>
      <c r="FQ128" s="93"/>
      <c r="FR128" s="93"/>
      <c r="FS128" s="93"/>
      <c r="FT128" s="93"/>
      <c r="FU128" s="93"/>
      <c r="FV128" s="93"/>
      <c r="FW128" s="917"/>
      <c r="FX128" s="25">
        <v>55</v>
      </c>
      <c r="FY128" s="916"/>
      <c r="FZ128" s="916"/>
      <c r="GA128" s="916"/>
      <c r="GB128" s="916"/>
      <c r="GC128" s="916"/>
      <c r="GD128" s="916"/>
      <c r="GE128" s="916"/>
      <c r="GF128" s="916"/>
      <c r="GG128" s="916"/>
      <c r="GH128" s="916"/>
      <c r="GI128" s="917"/>
      <c r="GJ128" s="25">
        <v>55</v>
      </c>
      <c r="GK128" s="19"/>
      <c r="GL128" s="20"/>
      <c r="GM128" s="25">
        <v>55</v>
      </c>
      <c r="GN128" s="19">
        <v>3516</v>
      </c>
      <c r="GO128" s="20">
        <v>1862</v>
      </c>
      <c r="GP128" s="25">
        <v>55</v>
      </c>
      <c r="GQ128" s="19">
        <v>32</v>
      </c>
      <c r="GR128" s="20">
        <v>30</v>
      </c>
      <c r="GS128" s="25">
        <v>55</v>
      </c>
      <c r="GT128" s="848">
        <v>41518</v>
      </c>
      <c r="GU128" s="19"/>
      <c r="GV128" s="93"/>
      <c r="GW128" s="93"/>
      <c r="GX128" s="93"/>
      <c r="GY128" s="93"/>
      <c r="GZ128" s="93"/>
      <c r="HA128" s="93"/>
      <c r="HB128" s="93"/>
      <c r="HC128" s="93"/>
      <c r="HD128" s="93"/>
      <c r="HE128" s="93"/>
      <c r="HF128" s="93"/>
      <c r="HG128" s="93"/>
      <c r="HH128" s="93"/>
      <c r="HI128" s="93"/>
      <c r="HJ128" s="93"/>
      <c r="HK128" s="93"/>
      <c r="HL128" s="93"/>
      <c r="HM128" s="93"/>
      <c r="HN128" s="93"/>
      <c r="HO128" s="93"/>
      <c r="HP128" s="93"/>
      <c r="HQ128" s="93"/>
      <c r="HR128" s="93"/>
      <c r="HS128" s="93"/>
      <c r="HT128" s="93"/>
      <c r="HU128" s="93"/>
      <c r="HV128" s="93"/>
      <c r="HW128" s="93"/>
      <c r="HX128" s="93"/>
      <c r="HY128" s="93"/>
      <c r="HZ128" s="93"/>
      <c r="IA128" s="93"/>
      <c r="IB128" s="93"/>
      <c r="IC128" s="93"/>
      <c r="ID128" s="93"/>
      <c r="IE128" s="93"/>
      <c r="IF128" s="93"/>
      <c r="IG128" s="93"/>
      <c r="IH128" s="93"/>
      <c r="II128" s="93"/>
      <c r="IJ128" s="93"/>
      <c r="IK128" s="93"/>
      <c r="IL128" s="93"/>
      <c r="IM128" s="93"/>
      <c r="IN128" s="93"/>
      <c r="IO128" s="93"/>
      <c r="IP128" s="93"/>
      <c r="IQ128" s="93"/>
      <c r="IR128" s="93"/>
      <c r="IS128" s="93"/>
      <c r="IT128" s="93"/>
      <c r="IU128" s="93"/>
      <c r="IV128" s="93">
        <v>55</v>
      </c>
      <c r="IW128" s="848">
        <v>41518</v>
      </c>
      <c r="IX128" s="1035"/>
      <c r="IY128" s="1035">
        <v>149.90860000000001</v>
      </c>
      <c r="IZ128" s="1035">
        <v>195.49889999999999</v>
      </c>
      <c r="JA128" s="1035">
        <v>0.46758568300000003</v>
      </c>
      <c r="JB128" s="1035">
        <v>722.4856422420969</v>
      </c>
      <c r="JC128" s="1035">
        <v>93.511099999999999</v>
      </c>
      <c r="JD128" s="1035">
        <v>966.37292792509697</v>
      </c>
      <c r="JE128" s="1035">
        <v>808.26906308274181</v>
      </c>
      <c r="JF128" s="1035">
        <v>1774.6419910078389</v>
      </c>
      <c r="JG128" s="1035"/>
      <c r="JH128" s="1035">
        <v>632.72404798703565</v>
      </c>
      <c r="JI128" s="1035">
        <v>132.48248956900005</v>
      </c>
      <c r="JJ128" s="1035">
        <v>500.24155841803542</v>
      </c>
      <c r="JK128" s="1035">
        <v>1371.6879709718032</v>
      </c>
      <c r="JL128" s="1035">
        <v>-76.020713815000022</v>
      </c>
      <c r="JM128" s="1035">
        <v>-66.273713815000008</v>
      </c>
      <c r="JN128" s="1035">
        <v>-9.7470000000000141</v>
      </c>
      <c r="JO128" s="1035">
        <v>1447.7086847868034</v>
      </c>
      <c r="JP128" s="1035">
        <v>4.55253788</v>
      </c>
      <c r="JQ128" s="1035">
        <v>1443.1561469068033</v>
      </c>
      <c r="JR128" s="1035">
        <v>278.52153248799999</v>
      </c>
      <c r="JS128" s="1035">
        <v>-48.751504536999967</v>
      </c>
      <c r="JT128" s="1036">
        <v>1774.6419910078389</v>
      </c>
      <c r="JU128" s="29">
        <v>55</v>
      </c>
      <c r="JV128" s="1037"/>
      <c r="JW128" s="1526">
        <f>VLOOKUP($IW128,Base_Mensuelle!$OF$68:$RM$679,HLOOKUP(JW$73,Base_Mensuelle!$PE$67:$QE$680,614,0))</f>
        <v>132.48248956900005</v>
      </c>
      <c r="JX128" s="1526">
        <f>VLOOKUP($IW128,Base_Mensuelle!$OF$68:$RM$679,HLOOKUP(JX$73,Base_Mensuelle!$PE$67:$QE$680,614,0))</f>
        <v>396.76350512400006</v>
      </c>
      <c r="JY128" s="1526">
        <f>VLOOKUP($IW128,Base_Mensuelle!$OF$68:$RM$679,HLOOKUP(JY$73,Base_Mensuelle!$PE$67:$QE$680,614,0))</f>
        <v>264.28101555500001</v>
      </c>
      <c r="JZ128" s="1526">
        <f>VLOOKUP($IW128,Base_Mensuelle!$OF$68:$RM$679,HLOOKUP(JZ$73,Base_Mensuelle!$PE$67:$QE$680,614,0))</f>
        <v>225.92</v>
      </c>
      <c r="KA128" s="1526">
        <f>VLOOKUP($IW128,Base_Mensuelle!$OF$68:$RM$679,HLOOKUP(KA$73,Base_Mensuelle!$PE$67:$QE$680,614,0))</f>
        <v>-61.751413815000006</v>
      </c>
      <c r="KB128" s="1526">
        <f>VLOOKUP($IW128,Base_Mensuelle!$OF$68:$RM$679,HLOOKUP(KB$73,Base_Mensuelle!$PE$67:$QE$680,614,0))</f>
        <v>133.22490317399999</v>
      </c>
      <c r="KC128" s="1526">
        <f>VLOOKUP($IW128,Base_Mensuelle!$OF$68:$RM$679,HLOOKUP(KC$73,Base_Mensuelle!$PE$67:$QE$680,614,0))</f>
        <v>194.976316989</v>
      </c>
      <c r="KD128" s="1526">
        <f>VLOOKUP($IW128,Base_Mensuelle!$OF$68:$RM$679,HLOOKUP(KD$73,Base_Mensuelle!$PE$67:$QE$680,614,0))</f>
        <v>4.55253788</v>
      </c>
      <c r="KE128" s="1526">
        <f>VLOOKUP($IW128,Base_Mensuelle!$OF$68:$RM$679,HLOOKUP(KE$73,Base_Mensuelle!$PE$67:$QE$680,614,0))</f>
        <v>1.028</v>
      </c>
      <c r="KF128" s="1526">
        <f>VLOOKUP($IW128,Base_Mensuelle!$OF$68:$RM$679,HLOOKUP(KF$73,Base_Mensuelle!$PE$67:$QE$680,614,0))</f>
        <v>0</v>
      </c>
      <c r="KG128" s="1526">
        <f>VLOOKUP($IW128,Base_Mensuelle!$OF$68:$RM$679,HLOOKUP(KG$73,Base_Mensuelle!$PE$67:$QE$680,614,0))</f>
        <v>5.0844400000000004E-4</v>
      </c>
      <c r="KH128" s="1526">
        <f>VLOOKUP($IW128,Base_Mensuelle!$OF$68:$RM$679,HLOOKUP(KH$73,Base_Mensuelle!$PE$67:$QE$680,614,0))</f>
        <v>3.5240294360000002</v>
      </c>
      <c r="KI128" s="1526">
        <f>VLOOKUP($IW128,Base_Mensuelle!$OF$68:$RM$679,HLOOKUP(KI$73,Base_Mensuelle!$PE$67:$QE$680,614,0))</f>
        <v>301.10996476999998</v>
      </c>
      <c r="KJ128" s="1526">
        <f>VLOOKUP($IW128,Base_Mensuelle!$OF$68:$RM$679,HLOOKUP(KJ$73,Base_Mensuelle!$PE$67:$QE$680,614,0))</f>
        <v>195.49889999999999</v>
      </c>
      <c r="KK128" s="1526">
        <f>VLOOKUP($IW128,Base_Mensuelle!$OF$68:$RM$679,HLOOKUP(KK$73,Base_Mensuelle!$PE$67:$QE$680,614,0))</f>
        <v>105.143479087</v>
      </c>
      <c r="KL128" s="1526">
        <f>VLOOKUP($IW128,Base_Mensuelle!$OF$68:$RM$679,HLOOKUP(KL$73,Base_Mensuelle!$PE$67:$QE$680,614,0))</f>
        <v>0.46758568300000003</v>
      </c>
      <c r="KM128" s="1526">
        <f>VLOOKUP($IW128,Base_Mensuelle!$OF$68:$RM$679,HLOOKUP(KM$73,Base_Mensuelle!$PE$67:$QE$680,614,0))</f>
        <v>0</v>
      </c>
      <c r="KN128" s="1526">
        <f>VLOOKUP($IW128,Base_Mensuelle!$OF$68:$RM$679,HLOOKUP(KN$73,Base_Mensuelle!$PE$67:$QE$680,614,0))</f>
        <v>1.4417992690000001</v>
      </c>
      <c r="KO128" s="1526">
        <f>VLOOKUP($IW128,Base_Mensuelle!$OF$68:$RM$679,HLOOKUP(KO$73,Base_Mensuelle!$PE$67:$QE$680,614,0))</f>
        <v>0</v>
      </c>
      <c r="KP128" s="1526">
        <f>VLOOKUP($IW128,Base_Mensuelle!$OF$68:$RM$679,HLOOKUP(KP$73,Base_Mensuelle!$PE$67:$QE$680,614,0))</f>
        <v>0</v>
      </c>
      <c r="KQ128" s="1526">
        <f>VLOOKUP($IW128,Base_Mensuelle!$OF$68:$RM$679,HLOOKUP(KQ$73,Base_Mensuelle!$PE$67:$QE$680,614,0))</f>
        <v>1.4417992690000001</v>
      </c>
      <c r="KR128" s="1526">
        <f>VLOOKUP($IW128,Base_Mensuelle!$OF$68:$RM$679,HLOOKUP(KR$73,Base_Mensuelle!$PE$67:$QE$680,614,0))</f>
        <v>0</v>
      </c>
      <c r="KS128" s="1526">
        <f>VLOOKUP($IW128,Base_Mensuelle!$OF$68:$RM$679,HLOOKUP(KS$73,Base_Mensuelle!$PE$67:$QE$680,614,0))</f>
        <v>0</v>
      </c>
      <c r="KT128" s="1526">
        <f>VLOOKUP($IW128,Base_Mensuelle!$OF$68:$RM$679,HLOOKUP(KT$73,Base_Mensuelle!$PE$67:$QE$680,614,0))</f>
        <v>0</v>
      </c>
      <c r="KU128" s="1526">
        <f>VLOOKUP($IW128,Base_Mensuelle!$OF$68:$RM$679,HLOOKUP(KU$73,Base_Mensuelle!$PE$67:$QE$680,614,0))</f>
        <v>0.45573321900000002</v>
      </c>
      <c r="KV128" s="1526">
        <f>VLOOKUP($IW128,Base_Mensuelle!$OF$68:$RM$679,HLOOKUP(KV$73,Base_Mensuelle!$PE$67:$QE$680,614,0))</f>
        <v>-1.8038836239999991</v>
      </c>
      <c r="KW128" s="1036"/>
      <c r="KX128" s="29">
        <v>55</v>
      </c>
      <c r="KY128" s="1037"/>
      <c r="KZ128" s="182">
        <f>VLOOKUP($IW128,Base_Mensuelle!$OF$68:$RM$679,HLOOKUP(KZ$73,Base_Mensuelle!$QG$67:$RM$680,614,0))</f>
        <v>500.24155841803542</v>
      </c>
      <c r="LA128" s="182">
        <f>VLOOKUP($IW128,Base_Mensuelle!$OF$68:$RM$679,HLOOKUP(LA$73,Base_Mensuelle!$QG$67:$RM$680,614,0))</f>
        <v>690.81585309319667</v>
      </c>
      <c r="LB128" s="182">
        <f>VLOOKUP($IW128,Base_Mensuelle!$OF$68:$RM$679,HLOOKUP(LB$73,Base_Mensuelle!$QG$67:$RM$680,614,0))</f>
        <v>-190.57429467516124</v>
      </c>
      <c r="LC128" s="182">
        <f>VLOOKUP($IW128,Base_Mensuelle!$OF$68:$RM$679,HLOOKUP(LC$73,Base_Mensuelle!$QG$67:$RM$680,614,0))</f>
        <v>129.13799999999998</v>
      </c>
      <c r="LD128" s="182">
        <f>VLOOKUP($IW128,Base_Mensuelle!$OF$68:$RM$679,HLOOKUP(LD$73,Base_Mensuelle!$QG$67:$RM$680,614,0))</f>
        <v>41.067999999999998</v>
      </c>
      <c r="LE128" s="182">
        <f>VLOOKUP($IW128,Base_Mensuelle!$OF$68:$RM$679,HLOOKUP(LE$73,Base_Mensuelle!$QG$67:$RM$680,614,0))</f>
        <v>88.07</v>
      </c>
      <c r="LF128" s="182">
        <f>VLOOKUP($IW128,Base_Mensuelle!$OF$68:$RM$679,HLOOKUP(LF$73,Base_Mensuelle!$QG$67:$RM$680,614,0))</f>
        <v>0</v>
      </c>
      <c r="LG128" s="182">
        <f>VLOOKUP($IW128,Base_Mensuelle!$OF$68:$RM$679,HLOOKUP(LG$73,Base_Mensuelle!$QG$67:$RM$680,614,0))</f>
        <v>-9.7470000000000141</v>
      </c>
      <c r="LH128" s="182">
        <f>VLOOKUP($IW128,Base_Mensuelle!$OF$68:$RM$679,HLOOKUP(LH$73,Base_Mensuelle!$QG$67:$RM$680,614,0))</f>
        <v>156.50799999999998</v>
      </c>
      <c r="LI128" s="182">
        <f>VLOOKUP($IW128,Base_Mensuelle!$OF$68:$RM$679,HLOOKUP(LI$73,Base_Mensuelle!$QG$67:$RM$680,614,0))</f>
        <v>-166.255</v>
      </c>
      <c r="LJ128" s="182">
        <f>VLOOKUP($IW128,Base_Mensuelle!$OF$68:$RM$679,HLOOKUP(LJ$73,Base_Mensuelle!$QG$67:$RM$680,614,0))</f>
        <v>1443.1561469068033</v>
      </c>
      <c r="LK128" s="182">
        <f>VLOOKUP($IW128,Base_Mensuelle!$OF$68:$RM$679,HLOOKUP(LK$73,Base_Mensuelle!$QG$67:$RM$680,614,0))</f>
        <v>17.645865341689472</v>
      </c>
      <c r="LL128" s="182">
        <f>VLOOKUP($IW128,Base_Mensuelle!$OF$68:$RM$679,HLOOKUP(LL$73,Base_Mensuelle!$QG$67:$RM$680,614,0))</f>
        <v>0</v>
      </c>
      <c r="LM128" s="182">
        <f>VLOOKUP($IW128,Base_Mensuelle!$OF$68:$RM$679,HLOOKUP(LM$73,Base_Mensuelle!$QG$67:$RM$680,614,0))</f>
        <v>153.83199999999999</v>
      </c>
      <c r="LN128" s="182">
        <f>VLOOKUP($IW128,Base_Mensuelle!$OF$68:$RM$679,HLOOKUP(LN$73,Base_Mensuelle!$QG$67:$RM$680,614,0))</f>
        <v>1271.6782815651138</v>
      </c>
      <c r="LO128" s="182">
        <f>VLOOKUP($IW128,Base_Mensuelle!$OF$68:$RM$679,HLOOKUP(LO$73,Base_Mensuelle!$QG$67:$RM$680,614,0))</f>
        <v>0</v>
      </c>
      <c r="LP128" s="182">
        <f>VLOOKUP($IW128,Base_Mensuelle!$OF$68:$RM$679,HLOOKUP(LP$73,Base_Mensuelle!$QG$67:$RM$680,614,0))</f>
        <v>207.37100000000001</v>
      </c>
      <c r="LQ128" s="182">
        <f>VLOOKUP($IW128,Base_Mensuelle!$OF$68:$RM$679,HLOOKUP(LQ$73,Base_Mensuelle!$QG$67:$RM$680,614,0))</f>
        <v>722.48564224209679</v>
      </c>
      <c r="LR128" s="182">
        <f>VLOOKUP($IW128,Base_Mensuelle!$OF$68:$RM$679,HLOOKUP(LR$73,Base_Mensuelle!$QG$67:$RM$680,614,0))</f>
        <v>808.2690630827417</v>
      </c>
      <c r="LS128" s="182">
        <f>VLOOKUP($IW128,Base_Mensuelle!$OF$68:$RM$679,HLOOKUP(LS$73,Base_Mensuelle!$QG$67:$RM$680,614,0))</f>
        <v>0</v>
      </c>
      <c r="LT128" s="182">
        <f>VLOOKUP($IW128,Base_Mensuelle!$OF$68:$RM$679,HLOOKUP(LT$73,Base_Mensuelle!$QG$67:$RM$680,614,0))</f>
        <v>31.383999999999997</v>
      </c>
      <c r="LU128" s="182">
        <f>VLOOKUP($IW128,Base_Mensuelle!$OF$68:$RM$679,HLOOKUP(LU$73,Base_Mensuelle!$QG$67:$RM$680,614,0))</f>
        <v>8.5579999999999998</v>
      </c>
      <c r="LV128" s="182">
        <f>VLOOKUP($IW128,Base_Mensuelle!$OF$68:$RM$679,HLOOKUP(LV$73,Base_Mensuelle!$QG$67:$RM$680,614,0))</f>
        <v>15.434000000000001</v>
      </c>
      <c r="LW128" s="182">
        <f>VLOOKUP($IW128,Base_Mensuelle!$OF$68:$RM$679,HLOOKUP(LW$73,Base_Mensuelle!$QG$67:$RM$680,614,0))</f>
        <v>0</v>
      </c>
      <c r="LX128" s="182">
        <f>VLOOKUP($IW128,Base_Mensuelle!$OF$68:$RM$679,HLOOKUP(LX$73,Base_Mensuelle!$QG$67:$RM$680,614,0))</f>
        <v>0</v>
      </c>
      <c r="LY128" s="182">
        <f>VLOOKUP($IW128,Base_Mensuelle!$OF$68:$RM$679,HLOOKUP(LY$73,Base_Mensuelle!$QG$67:$RM$680,614,0))</f>
        <v>221.24800000000002</v>
      </c>
      <c r="LZ128" s="182">
        <f>VLOOKUP($IW128,Base_Mensuelle!$OF$68:$RM$679,HLOOKUP(LZ$73,Base_Mensuelle!$QG$67:$RM$680,614,0))</f>
        <v>48.039000000000001</v>
      </c>
      <c r="MA128" s="182">
        <f>VLOOKUP($IW128,Base_Mensuelle!$OF$68:$RM$679,HLOOKUP(MA$73,Base_Mensuelle!$QG$67:$RM$680,614,0))</f>
        <v>0</v>
      </c>
      <c r="MB128" s="182">
        <f>VLOOKUP($IW128,Base_Mensuelle!$OF$68:$RM$679,HLOOKUP(MB$73,Base_Mensuelle!$QG$67:$RM$680,614,0))</f>
        <v>0</v>
      </c>
      <c r="MC128" s="182">
        <f>VLOOKUP($IW128,Base_Mensuelle!$OF$68:$RM$679,HLOOKUP(MC$73,Base_Mensuelle!$QG$67:$RM$680,614,0))</f>
        <v>0</v>
      </c>
      <c r="MD128" s="182">
        <f>VLOOKUP($IW128,Base_Mensuelle!$OF$68:$RM$679,HLOOKUP(MD$73,Base_Mensuelle!$QG$67:$RM$680,614,0))</f>
        <v>0</v>
      </c>
      <c r="ME128" s="182">
        <f>VLOOKUP($IW128,Base_Mensuelle!$OF$68:$RM$679,HLOOKUP(ME$73,Base_Mensuelle!$QG$67:$RM$680,614,0))</f>
        <v>0</v>
      </c>
      <c r="MF128" s="182"/>
      <c r="MG128" s="182"/>
      <c r="MH128" s="290"/>
      <c r="MI128" s="29">
        <v>55</v>
      </c>
      <c r="MJ128" s="29" t="str">
        <f t="shared" si="82"/>
        <v>Trimestre 32013</v>
      </c>
      <c r="MK128" s="848">
        <v>41518</v>
      </c>
      <c r="ML128" s="29"/>
      <c r="MM128" s="29"/>
      <c r="MN128" s="29"/>
      <c r="MO128" s="29"/>
      <c r="MP128" s="29"/>
      <c r="MQ128" s="29"/>
      <c r="MR128" s="29"/>
      <c r="MS128" s="29"/>
      <c r="MT128" s="29"/>
      <c r="MU128" s="29"/>
      <c r="MV128" s="29"/>
      <c r="MW128" s="29"/>
      <c r="MX128" s="29"/>
      <c r="MY128" s="29"/>
      <c r="MZ128" s="29"/>
      <c r="NA128" s="29"/>
      <c r="NB128" s="29"/>
      <c r="NC128" s="29"/>
      <c r="ND128" s="29"/>
      <c r="NE128" s="29"/>
      <c r="NF128" s="29"/>
      <c r="NG128" s="29"/>
      <c r="NH128" s="29"/>
      <c r="NI128" s="29"/>
      <c r="NJ128" s="29"/>
      <c r="NK128" s="29"/>
      <c r="NL128" s="29">
        <v>55</v>
      </c>
    </row>
    <row r="129" spans="1:376">
      <c r="A129" s="41">
        <f t="shared" si="80"/>
        <v>2013</v>
      </c>
      <c r="B129" s="785">
        <v>41609</v>
      </c>
      <c r="C129" s="733">
        <v>1130.8414501213124</v>
      </c>
      <c r="D129" s="1547">
        <v>164.97532311245291</v>
      </c>
      <c r="E129" s="570">
        <v>146.62533249134088</v>
      </c>
      <c r="F129" s="1547">
        <v>18.128558154865754</v>
      </c>
      <c r="G129" s="1547">
        <v>31.674430238588279</v>
      </c>
      <c r="H129" s="1547">
        <v>56.132510707481906</v>
      </c>
      <c r="I129" s="570">
        <v>111.21998135525129</v>
      </c>
      <c r="J129" s="570">
        <v>66.390766437955079</v>
      </c>
      <c r="K129" s="570">
        <v>112.44262348502092</v>
      </c>
      <c r="L129" s="570">
        <v>159.07458120516688</v>
      </c>
      <c r="M129" s="734">
        <v>121.91861245666929</v>
      </c>
      <c r="N129" s="25">
        <v>56</v>
      </c>
      <c r="O129" s="889">
        <f t="shared" si="79"/>
        <v>2013</v>
      </c>
      <c r="P129" s="29" t="str">
        <f t="shared" si="81"/>
        <v>Trimestre 42013</v>
      </c>
      <c r="Q129" s="848">
        <v>41609</v>
      </c>
      <c r="R129" s="733">
        <v>8.5</v>
      </c>
      <c r="S129" s="570">
        <v>14.621</v>
      </c>
      <c r="T129" s="570">
        <v>257.23747067866907</v>
      </c>
      <c r="U129" s="734">
        <v>115.41500000000001</v>
      </c>
      <c r="V129" s="25">
        <v>56</v>
      </c>
      <c r="W129" s="733">
        <v>598</v>
      </c>
      <c r="X129" s="570">
        <v>9311</v>
      </c>
      <c r="Y129" s="570">
        <v>375.05900000000003</v>
      </c>
      <c r="Z129" s="570">
        <v>175.86099999999999</v>
      </c>
      <c r="AA129" s="570">
        <v>38.311</v>
      </c>
      <c r="AB129" s="570">
        <v>96.331498523603656</v>
      </c>
      <c r="AC129" s="570">
        <v>656.76976957300622</v>
      </c>
      <c r="AD129" s="570">
        <v>172.23734099999999</v>
      </c>
      <c r="AE129" s="734">
        <v>15.949816500000001</v>
      </c>
      <c r="AF129" s="25">
        <v>56</v>
      </c>
      <c r="AG129" s="733">
        <v>69.230117641590837</v>
      </c>
      <c r="AH129" s="570">
        <v>59.918498453574472</v>
      </c>
      <c r="AI129" s="570">
        <v>25.337142972876084</v>
      </c>
      <c r="AJ129" s="570">
        <v>3.4519030473368719</v>
      </c>
      <c r="AK129" s="570">
        <v>47.890608268806361</v>
      </c>
      <c r="AL129" s="570">
        <v>20.757986719008802</v>
      </c>
      <c r="AM129" s="570">
        <v>22.181045083151854</v>
      </c>
      <c r="AN129" s="734">
        <v>12.192807356473491</v>
      </c>
      <c r="AO129" s="733">
        <v>67.224787119512925</v>
      </c>
      <c r="AP129" s="570">
        <v>48.781110743662452</v>
      </c>
      <c r="AQ129" s="570">
        <v>15.999887145009581</v>
      </c>
      <c r="AR129" s="570">
        <v>-1.7736155434933574</v>
      </c>
      <c r="AS129" s="734">
        <v>15.384615384615385</v>
      </c>
      <c r="AT129" s="733">
        <v>6.0457050982126166</v>
      </c>
      <c r="AU129" s="570">
        <v>-2.9411830990644114</v>
      </c>
      <c r="AV129" s="734">
        <v>-1.1797769607037365</v>
      </c>
      <c r="AW129" s="733">
        <v>1.5928839995757933</v>
      </c>
      <c r="AX129" s="570">
        <v>50.726887240670294</v>
      </c>
      <c r="AY129" s="570">
        <v>60.904063010367466</v>
      </c>
      <c r="AZ129" s="570">
        <v>27.206381807838557</v>
      </c>
      <c r="BA129" s="570">
        <v>0.12655656560870993</v>
      </c>
      <c r="BB129" s="570">
        <v>2.1847930771582398</v>
      </c>
      <c r="BC129" s="734">
        <v>17.307692307692307</v>
      </c>
      <c r="BD129" s="179">
        <v>73.884851233425238</v>
      </c>
      <c r="BE129" s="99">
        <v>47.787576628974733</v>
      </c>
      <c r="BF129" s="99">
        <v>-4.7821876415256881</v>
      </c>
      <c r="BG129" s="99">
        <v>0.61818894908097377</v>
      </c>
      <c r="BH129" s="99">
        <v>44.354714945949617</v>
      </c>
      <c r="BI129" s="99">
        <v>25.123470336812922</v>
      </c>
      <c r="BJ129" s="99">
        <v>14.271420328091972</v>
      </c>
      <c r="BK129" s="132">
        <v>2.4726086397452494</v>
      </c>
      <c r="BL129" s="179">
        <v>70.449954766485988</v>
      </c>
      <c r="BM129" s="99">
        <v>11.607241812114086</v>
      </c>
      <c r="BN129" s="99">
        <v>14.349218254066781</v>
      </c>
      <c r="BO129" s="99">
        <v>-2.4060425325043049</v>
      </c>
      <c r="BP129" s="99">
        <v>0</v>
      </c>
      <c r="BQ129" s="132">
        <v>-14.285714285714285</v>
      </c>
      <c r="BR129" s="179">
        <v>11.401467569280909</v>
      </c>
      <c r="BS129" s="99">
        <v>-7.3192684970708211</v>
      </c>
      <c r="BT129" s="99">
        <v>-3.3313080023996946</v>
      </c>
      <c r="BU129" s="132">
        <v>2.3121077613734045</v>
      </c>
      <c r="BV129" s="179">
        <v>60.025813804092493</v>
      </c>
      <c r="BW129" s="99">
        <v>81.538875424957752</v>
      </c>
      <c r="BX129" s="99">
        <v>15.98565177434023</v>
      </c>
      <c r="BY129" s="99">
        <v>0</v>
      </c>
      <c r="BZ129" s="99">
        <v>0.58932428615969457</v>
      </c>
      <c r="CA129" s="99">
        <v>-23.80952380952381</v>
      </c>
      <c r="CB129" s="132">
        <v>-19.047619047619047</v>
      </c>
      <c r="CC129" s="25">
        <v>56</v>
      </c>
      <c r="CD129" s="181">
        <v>138376</v>
      </c>
      <c r="CE129" s="182">
        <v>10997283</v>
      </c>
      <c r="CF129" s="290">
        <v>1463903</v>
      </c>
      <c r="CG129" s="25">
        <v>56</v>
      </c>
      <c r="CH129" s="19">
        <v>27172</v>
      </c>
      <c r="CI129" s="93">
        <v>4959</v>
      </c>
      <c r="CJ129" s="93">
        <v>4296</v>
      </c>
      <c r="CK129" s="93">
        <v>19885</v>
      </c>
      <c r="CL129" s="93">
        <v>10824</v>
      </c>
      <c r="CM129" s="93">
        <v>1858</v>
      </c>
      <c r="CN129" s="93">
        <v>5037</v>
      </c>
      <c r="CO129" s="93">
        <v>3033</v>
      </c>
      <c r="CP129" s="93">
        <v>2332</v>
      </c>
      <c r="CQ129" s="93">
        <v>1961</v>
      </c>
      <c r="CR129" s="214">
        <v>62307</v>
      </c>
      <c r="CS129" s="20">
        <v>121727</v>
      </c>
      <c r="CT129" s="25">
        <v>56</v>
      </c>
      <c r="CU129" s="19">
        <v>16052</v>
      </c>
      <c r="CV129" s="93">
        <v>79200</v>
      </c>
      <c r="CW129" s="93">
        <v>15126</v>
      </c>
      <c r="CX129" s="93">
        <v>648</v>
      </c>
      <c r="CY129" s="93">
        <v>523</v>
      </c>
      <c r="CZ129" s="93">
        <v>772</v>
      </c>
      <c r="DA129" s="93">
        <v>9406</v>
      </c>
      <c r="DB129" s="20">
        <v>121727</v>
      </c>
      <c r="DC129" s="25">
        <v>56</v>
      </c>
      <c r="DD129" s="785">
        <v>41609</v>
      </c>
      <c r="DE129" s="733">
        <v>327.39999999999998</v>
      </c>
      <c r="DF129" s="734">
        <v>289.10000000000002</v>
      </c>
      <c r="DG129" s="25">
        <v>56</v>
      </c>
      <c r="DH129" s="733">
        <v>505.9</v>
      </c>
      <c r="DI129" s="734">
        <v>1143.2</v>
      </c>
      <c r="DJ129" s="25">
        <v>56</v>
      </c>
      <c r="DK129" s="733">
        <v>327.39999999999998</v>
      </c>
      <c r="DL129" s="734">
        <v>505.9</v>
      </c>
      <c r="DM129" s="733">
        <v>-178.5</v>
      </c>
      <c r="DN129" s="734">
        <v>64.716347104170779</v>
      </c>
      <c r="DO129" s="25">
        <v>56</v>
      </c>
      <c r="DP129" s="733">
        <v>224.3</v>
      </c>
      <c r="DQ129" s="570">
        <v>246.3</v>
      </c>
      <c r="DR129" s="734">
        <v>552.5</v>
      </c>
      <c r="DS129" s="25">
        <v>56</v>
      </c>
      <c r="DT129" s="733">
        <v>104.1</v>
      </c>
      <c r="DU129" s="570">
        <v>254.3</v>
      </c>
      <c r="DV129" s="734">
        <v>264.7</v>
      </c>
      <c r="DW129" s="25">
        <v>56</v>
      </c>
      <c r="DX129" s="733">
        <v>154.6</v>
      </c>
      <c r="DY129" s="734">
        <v>43.9</v>
      </c>
      <c r="DZ129" s="25">
        <v>56</v>
      </c>
      <c r="EA129" s="733">
        <v>177.2</v>
      </c>
      <c r="EB129" s="570">
        <v>62.2</v>
      </c>
      <c r="EC129" s="570">
        <v>44.8</v>
      </c>
      <c r="ED129" s="570">
        <v>2.9</v>
      </c>
      <c r="EE129" s="734">
        <v>9.9</v>
      </c>
      <c r="EF129" s="25">
        <v>56</v>
      </c>
      <c r="EG129" s="1569">
        <v>121.1</v>
      </c>
      <c r="EH129" s="1570">
        <v>11.9</v>
      </c>
      <c r="EI129" s="1570">
        <v>5.6</v>
      </c>
      <c r="EJ129" s="1570">
        <v>16.7</v>
      </c>
      <c r="EK129" s="1571">
        <v>5.3</v>
      </c>
      <c r="EL129" s="25">
        <v>56</v>
      </c>
      <c r="EM129" s="733">
        <v>172</v>
      </c>
      <c r="EN129" s="570">
        <v>19</v>
      </c>
      <c r="EO129" s="570">
        <v>12.1</v>
      </c>
      <c r="EP129" s="570">
        <v>1.2</v>
      </c>
      <c r="EQ129" s="570">
        <v>6.1</v>
      </c>
      <c r="ER129" s="570">
        <v>6.4</v>
      </c>
      <c r="ES129" s="570">
        <v>36.700000000000003</v>
      </c>
      <c r="ET129" s="570">
        <v>19.5</v>
      </c>
      <c r="EU129" s="570">
        <v>0.9</v>
      </c>
      <c r="EV129" s="734">
        <v>5.3</v>
      </c>
      <c r="EW129" s="25">
        <v>56</v>
      </c>
      <c r="EX129" s="918">
        <v>41.2</v>
      </c>
      <c r="EY129" s="919">
        <v>58.5</v>
      </c>
      <c r="EZ129" s="919">
        <v>47.8</v>
      </c>
      <c r="FA129" s="919">
        <v>15.2</v>
      </c>
      <c r="FB129" s="919">
        <v>28.3</v>
      </c>
      <c r="FC129" s="919">
        <v>18.399999999999999</v>
      </c>
      <c r="FD129" s="919">
        <v>7.4</v>
      </c>
      <c r="FE129" s="919">
        <v>19.2</v>
      </c>
      <c r="FF129" s="919">
        <v>12.9</v>
      </c>
      <c r="FG129" s="920">
        <v>40.6</v>
      </c>
      <c r="FH129" s="25">
        <v>56</v>
      </c>
      <c r="FI129" s="848">
        <v>41609</v>
      </c>
      <c r="FJ129" s="19">
        <v>6427</v>
      </c>
      <c r="FK129" s="93">
        <v>3127</v>
      </c>
      <c r="FL129" s="20">
        <v>0</v>
      </c>
      <c r="FM129" s="25">
        <v>56</v>
      </c>
      <c r="FN129" s="19">
        <v>421</v>
      </c>
      <c r="FO129" s="93">
        <v>3179</v>
      </c>
      <c r="FP129" s="93">
        <v>3376</v>
      </c>
      <c r="FQ129" s="93">
        <v>1594</v>
      </c>
      <c r="FR129" s="93">
        <v>614</v>
      </c>
      <c r="FS129" s="93">
        <v>212</v>
      </c>
      <c r="FT129" s="93">
        <v>82</v>
      </c>
      <c r="FU129" s="93">
        <v>43</v>
      </c>
      <c r="FV129" s="93">
        <v>29</v>
      </c>
      <c r="FW129" s="917">
        <v>4</v>
      </c>
      <c r="FX129" s="25">
        <v>56</v>
      </c>
      <c r="FY129" s="975">
        <v>1197</v>
      </c>
      <c r="FZ129" s="975">
        <v>1070</v>
      </c>
      <c r="GA129" s="975">
        <v>2227</v>
      </c>
      <c r="GB129" s="975">
        <v>200</v>
      </c>
      <c r="GC129" s="975">
        <v>1457</v>
      </c>
      <c r="GD129" s="975">
        <v>440</v>
      </c>
      <c r="GE129" s="975">
        <v>1636</v>
      </c>
      <c r="GF129" s="975">
        <v>340</v>
      </c>
      <c r="GG129" s="975">
        <v>163</v>
      </c>
      <c r="GH129" s="975">
        <v>719</v>
      </c>
      <c r="GI129" s="976">
        <v>105</v>
      </c>
      <c r="GJ129" s="25">
        <v>56</v>
      </c>
      <c r="GK129" s="19"/>
      <c r="GL129" s="20"/>
      <c r="GM129" s="25">
        <v>56</v>
      </c>
      <c r="GN129" s="19">
        <v>4095</v>
      </c>
      <c r="GO129" s="20">
        <v>1621</v>
      </c>
      <c r="GP129" s="25">
        <v>56</v>
      </c>
      <c r="GQ129" s="19">
        <v>32</v>
      </c>
      <c r="GR129" s="20">
        <v>30</v>
      </c>
      <c r="GS129" s="25">
        <v>56</v>
      </c>
      <c r="GT129" s="848">
        <v>41609</v>
      </c>
      <c r="GU129" s="19"/>
      <c r="GV129" s="93"/>
      <c r="GW129" s="93"/>
      <c r="GX129" s="93"/>
      <c r="GY129" s="93"/>
      <c r="GZ129" s="93"/>
      <c r="HA129" s="93"/>
      <c r="HB129" s="93"/>
      <c r="HC129" s="93"/>
      <c r="HD129" s="93"/>
      <c r="HE129" s="93"/>
      <c r="HF129" s="93"/>
      <c r="HG129" s="93"/>
      <c r="HH129" s="93"/>
      <c r="HI129" s="93"/>
      <c r="HJ129" s="93"/>
      <c r="HK129" s="93"/>
      <c r="HL129" s="93"/>
      <c r="HM129" s="93"/>
      <c r="HN129" s="93"/>
      <c r="HO129" s="93"/>
      <c r="HP129" s="93"/>
      <c r="HQ129" s="93"/>
      <c r="HR129" s="93"/>
      <c r="HS129" s="93"/>
      <c r="HT129" s="93"/>
      <c r="HU129" s="93"/>
      <c r="HV129" s="93"/>
      <c r="HW129" s="93"/>
      <c r="HX129" s="93"/>
      <c r="HY129" s="93"/>
      <c r="HZ129" s="93"/>
      <c r="IA129" s="93"/>
      <c r="IB129" s="93"/>
      <c r="IC129" s="93"/>
      <c r="ID129" s="93"/>
      <c r="IE129" s="93"/>
      <c r="IF129" s="93"/>
      <c r="IG129" s="93"/>
      <c r="IH129" s="93"/>
      <c r="II129" s="93"/>
      <c r="IJ129" s="93"/>
      <c r="IK129" s="93"/>
      <c r="IL129" s="93"/>
      <c r="IM129" s="93"/>
      <c r="IN129" s="93"/>
      <c r="IO129" s="93"/>
      <c r="IP129" s="93"/>
      <c r="IQ129" s="93"/>
      <c r="IR129" s="93"/>
      <c r="IS129" s="93"/>
      <c r="IT129" s="93"/>
      <c r="IU129" s="93"/>
      <c r="IV129" s="93">
        <v>56</v>
      </c>
      <c r="IW129" s="848">
        <v>41609</v>
      </c>
      <c r="IX129" s="1035"/>
      <c r="IY129" s="1035">
        <v>204.72139999999999</v>
      </c>
      <c r="IZ129" s="1035">
        <v>260.96030000000002</v>
      </c>
      <c r="JA129" s="1035">
        <v>0.47072339400000002</v>
      </c>
      <c r="JB129" s="1035">
        <v>770.02791235460938</v>
      </c>
      <c r="JC129" s="1035">
        <v>93.354900000000015</v>
      </c>
      <c r="JD129" s="1035">
        <v>1068.5749357486093</v>
      </c>
      <c r="JE129" s="1035">
        <v>809.74230847452623</v>
      </c>
      <c r="JF129" s="1035">
        <v>1878.3172442231355</v>
      </c>
      <c r="JG129" s="1035"/>
      <c r="JH129" s="1035">
        <v>557.72343838965639</v>
      </c>
      <c r="JI129" s="1035">
        <v>39.097458574000029</v>
      </c>
      <c r="JJ129" s="1035">
        <v>518.62597981565659</v>
      </c>
      <c r="JK129" s="1035">
        <v>1528.0606794394789</v>
      </c>
      <c r="JL129" s="1035">
        <v>-34.778596777999994</v>
      </c>
      <c r="JM129" s="1035">
        <v>-7.2975967780000008</v>
      </c>
      <c r="JN129" s="1035">
        <v>-27.480999999999995</v>
      </c>
      <c r="JO129" s="1035">
        <v>1562.839276217479</v>
      </c>
      <c r="JP129" s="1035">
        <v>4.2310352040000003</v>
      </c>
      <c r="JQ129" s="1035">
        <v>1558.6082410134791</v>
      </c>
      <c r="JR129" s="1035">
        <v>283.19945366400003</v>
      </c>
      <c r="JS129" s="1035">
        <v>-75.732580057999996</v>
      </c>
      <c r="JT129" s="1036">
        <v>1878.3172442231355</v>
      </c>
      <c r="JU129" s="29">
        <v>56</v>
      </c>
      <c r="JV129" s="1037"/>
      <c r="JW129" s="1526">
        <f>VLOOKUP($IW129,Base_Mensuelle!$OF$68:$RM$679,HLOOKUP(JW$73,Base_Mensuelle!$PE$67:$QE$680,614,0))</f>
        <v>39.097458574000029</v>
      </c>
      <c r="JX129" s="1526">
        <f>VLOOKUP($IW129,Base_Mensuelle!$OF$68:$RM$679,HLOOKUP(JX$73,Base_Mensuelle!$PE$67:$QE$680,614,0))</f>
        <v>291.610149116</v>
      </c>
      <c r="JY129" s="1526">
        <f>VLOOKUP($IW129,Base_Mensuelle!$OF$68:$RM$679,HLOOKUP(JY$73,Base_Mensuelle!$PE$67:$QE$680,614,0))</f>
        <v>252.51269054199997</v>
      </c>
      <c r="JZ129" s="1526">
        <f>VLOOKUP($IW129,Base_Mensuelle!$OF$68:$RM$679,HLOOKUP(JZ$73,Base_Mensuelle!$PE$67:$QE$680,614,0))</f>
        <v>314.55831538199999</v>
      </c>
      <c r="KA129" s="1526">
        <f>VLOOKUP($IW129,Base_Mensuelle!$OF$68:$RM$679,HLOOKUP(KA$73,Base_Mensuelle!$PE$67:$QE$680,614,0))</f>
        <v>-1.0266967780000016</v>
      </c>
      <c r="KB129" s="1526">
        <f>VLOOKUP($IW129,Base_Mensuelle!$OF$68:$RM$679,HLOOKUP(KB$73,Base_Mensuelle!$PE$67:$QE$680,614,0))</f>
        <v>134.34783982299999</v>
      </c>
      <c r="KC129" s="1526">
        <f>VLOOKUP($IW129,Base_Mensuelle!$OF$68:$RM$679,HLOOKUP(KC$73,Base_Mensuelle!$PE$67:$QE$680,614,0))</f>
        <v>135.37453660099999</v>
      </c>
      <c r="KD129" s="1526">
        <f>VLOOKUP($IW129,Base_Mensuelle!$OF$68:$RM$679,HLOOKUP(KD$73,Base_Mensuelle!$PE$67:$QE$680,614,0))</f>
        <v>4.2310352040000003</v>
      </c>
      <c r="KE129" s="1526">
        <f>VLOOKUP($IW129,Base_Mensuelle!$OF$68:$RM$679,HLOOKUP(KE$73,Base_Mensuelle!$PE$67:$QE$680,614,0))</f>
        <v>0.83799999999999997</v>
      </c>
      <c r="KF129" s="1526">
        <f>VLOOKUP($IW129,Base_Mensuelle!$OF$68:$RM$679,HLOOKUP(KF$73,Base_Mensuelle!$PE$67:$QE$680,614,0))</f>
        <v>0</v>
      </c>
      <c r="KG129" s="1526">
        <f>VLOOKUP($IW129,Base_Mensuelle!$OF$68:$RM$679,HLOOKUP(KG$73,Base_Mensuelle!$PE$67:$QE$680,614,0))</f>
        <v>0</v>
      </c>
      <c r="KH129" s="1526">
        <f>VLOOKUP($IW129,Base_Mensuelle!$OF$68:$RM$679,HLOOKUP(KH$73,Base_Mensuelle!$PE$67:$QE$680,614,0))</f>
        <v>3.3930352040000002</v>
      </c>
      <c r="KI129" s="1526">
        <f>VLOOKUP($IW129,Base_Mensuelle!$OF$68:$RM$679,HLOOKUP(KI$73,Base_Mensuelle!$PE$67:$QE$680,614,0))</f>
        <v>357.83313872900004</v>
      </c>
      <c r="KJ129" s="1526">
        <f>VLOOKUP($IW129,Base_Mensuelle!$OF$68:$RM$679,HLOOKUP(KJ$73,Base_Mensuelle!$PE$67:$QE$680,614,0))</f>
        <v>260.96030000000002</v>
      </c>
      <c r="KK129" s="1526">
        <f>VLOOKUP($IW129,Base_Mensuelle!$OF$68:$RM$679,HLOOKUP(KK$73,Base_Mensuelle!$PE$67:$QE$680,614,0))</f>
        <v>96.402115335000005</v>
      </c>
      <c r="KL129" s="1526">
        <f>VLOOKUP($IW129,Base_Mensuelle!$OF$68:$RM$679,HLOOKUP(KL$73,Base_Mensuelle!$PE$67:$QE$680,614,0))</f>
        <v>0.47072339400000002</v>
      </c>
      <c r="KM129" s="1526">
        <f>VLOOKUP($IW129,Base_Mensuelle!$OF$68:$RM$679,HLOOKUP(KM$73,Base_Mensuelle!$PE$67:$QE$680,614,0))</f>
        <v>0</v>
      </c>
      <c r="KN129" s="1526">
        <f>VLOOKUP($IW129,Base_Mensuelle!$OF$68:$RM$679,HLOOKUP(KN$73,Base_Mensuelle!$PE$67:$QE$680,614,0))</f>
        <v>1.483355175</v>
      </c>
      <c r="KO129" s="1526">
        <f>VLOOKUP($IW129,Base_Mensuelle!$OF$68:$RM$679,HLOOKUP(KO$73,Base_Mensuelle!$PE$67:$QE$680,614,0))</f>
        <v>0</v>
      </c>
      <c r="KP129" s="1526">
        <f>VLOOKUP($IW129,Base_Mensuelle!$OF$68:$RM$679,HLOOKUP(KP$73,Base_Mensuelle!$PE$67:$QE$680,614,0))</f>
        <v>0</v>
      </c>
      <c r="KQ129" s="1526">
        <f>VLOOKUP($IW129,Base_Mensuelle!$OF$68:$RM$679,HLOOKUP(KQ$73,Base_Mensuelle!$PE$67:$QE$680,614,0))</f>
        <v>1.483355175</v>
      </c>
      <c r="KR129" s="1526">
        <f>VLOOKUP($IW129,Base_Mensuelle!$OF$68:$RM$679,HLOOKUP(KR$73,Base_Mensuelle!$PE$67:$QE$680,614,0))</f>
        <v>0</v>
      </c>
      <c r="KS129" s="1526">
        <f>VLOOKUP($IW129,Base_Mensuelle!$OF$68:$RM$679,HLOOKUP(KS$73,Base_Mensuelle!$PE$67:$QE$680,614,0))</f>
        <v>0</v>
      </c>
      <c r="KT129" s="1526">
        <f>VLOOKUP($IW129,Base_Mensuelle!$OF$68:$RM$679,HLOOKUP(KT$73,Base_Mensuelle!$PE$67:$QE$680,614,0))</f>
        <v>0</v>
      </c>
      <c r="KU129" s="1526">
        <f>VLOOKUP($IW129,Base_Mensuelle!$OF$68:$RM$679,HLOOKUP(KU$73,Base_Mensuelle!$PE$67:$QE$680,614,0))</f>
        <v>0.82209848900000004</v>
      </c>
      <c r="KV129" s="1526">
        <f>VLOOKUP($IW129,Base_Mensuelle!$OF$68:$RM$679,HLOOKUP(KV$73,Base_Mensuelle!$PE$67:$QE$680,614,0))</f>
        <v>-3.2784800110000001</v>
      </c>
      <c r="KW129" s="1036"/>
      <c r="KX129" s="29">
        <v>56</v>
      </c>
      <c r="KY129" s="1037"/>
      <c r="KZ129" s="182">
        <f>VLOOKUP($IW129,Base_Mensuelle!$OF$68:$RM$679,HLOOKUP(KZ$73,Base_Mensuelle!$QG$67:$RM$680,614,0))</f>
        <v>518.62597981565659</v>
      </c>
      <c r="LA129" s="182">
        <f>VLOOKUP($IW129,Base_Mensuelle!$OF$68:$RM$679,HLOOKUP(LA$73,Base_Mensuelle!$QG$67:$RM$680,614,0))</f>
        <v>735.23575898652086</v>
      </c>
      <c r="LB129" s="182">
        <f>VLOOKUP($IW129,Base_Mensuelle!$OF$68:$RM$679,HLOOKUP(LB$73,Base_Mensuelle!$QG$67:$RM$680,614,0))</f>
        <v>-216.60977917086433</v>
      </c>
      <c r="LC129" s="182">
        <f>VLOOKUP($IW129,Base_Mensuelle!$OF$68:$RM$679,HLOOKUP(LC$73,Base_Mensuelle!$QG$67:$RM$680,614,0))</f>
        <v>155.054</v>
      </c>
      <c r="LD129" s="182">
        <f>VLOOKUP($IW129,Base_Mensuelle!$OF$68:$RM$679,HLOOKUP(LD$73,Base_Mensuelle!$QG$67:$RM$680,614,0))</f>
        <v>49.968000000000004</v>
      </c>
      <c r="LE129" s="182">
        <f>VLOOKUP($IW129,Base_Mensuelle!$OF$68:$RM$679,HLOOKUP(LE$73,Base_Mensuelle!$QG$67:$RM$680,614,0))</f>
        <v>105.086</v>
      </c>
      <c r="LF129" s="182">
        <f>VLOOKUP($IW129,Base_Mensuelle!$OF$68:$RM$679,HLOOKUP(LF$73,Base_Mensuelle!$QG$67:$RM$680,614,0))</f>
        <v>0</v>
      </c>
      <c r="LG129" s="182">
        <f>VLOOKUP($IW129,Base_Mensuelle!$OF$68:$RM$679,HLOOKUP(LG$73,Base_Mensuelle!$QG$67:$RM$680,614,0))</f>
        <v>-27.480999999999995</v>
      </c>
      <c r="LH129" s="182">
        <f>VLOOKUP($IW129,Base_Mensuelle!$OF$68:$RM$679,HLOOKUP(LH$73,Base_Mensuelle!$QG$67:$RM$680,614,0))</f>
        <v>168.851</v>
      </c>
      <c r="LI129" s="182">
        <f>VLOOKUP($IW129,Base_Mensuelle!$OF$68:$RM$679,HLOOKUP(LI$73,Base_Mensuelle!$QG$67:$RM$680,614,0))</f>
        <v>-196.33199999999999</v>
      </c>
      <c r="LJ129" s="182">
        <f>VLOOKUP($IW129,Base_Mensuelle!$OF$68:$RM$679,HLOOKUP(LJ$73,Base_Mensuelle!$QG$67:$RM$680,614,0))</f>
        <v>1558.6082410134791</v>
      </c>
      <c r="LK129" s="182">
        <f>VLOOKUP($IW129,Base_Mensuelle!$OF$68:$RM$679,HLOOKUP(LK$73,Base_Mensuelle!$QG$67:$RM$680,614,0))</f>
        <v>17.822255080833557</v>
      </c>
      <c r="LL129" s="182">
        <f>VLOOKUP($IW129,Base_Mensuelle!$OF$68:$RM$679,HLOOKUP(LL$73,Base_Mensuelle!$QG$67:$RM$680,614,0))</f>
        <v>0</v>
      </c>
      <c r="LM129" s="182">
        <f>VLOOKUP($IW129,Base_Mensuelle!$OF$68:$RM$679,HLOOKUP(LM$73,Base_Mensuelle!$QG$67:$RM$680,614,0))</f>
        <v>161.63399999999999</v>
      </c>
      <c r="LN129" s="182">
        <f>VLOOKUP($IW129,Base_Mensuelle!$OF$68:$RM$679,HLOOKUP(LN$73,Base_Mensuelle!$QG$67:$RM$680,614,0))</f>
        <v>1379.1519859326454</v>
      </c>
      <c r="LO129" s="182">
        <f>VLOOKUP($IW129,Base_Mensuelle!$OF$68:$RM$679,HLOOKUP(LO$73,Base_Mensuelle!$QG$67:$RM$680,614,0))</f>
        <v>0</v>
      </c>
      <c r="LP129" s="182">
        <f>VLOOKUP($IW129,Base_Mensuelle!$OF$68:$RM$679,HLOOKUP(LP$73,Base_Mensuelle!$QG$67:$RM$680,614,0))</f>
        <v>309.36099999999999</v>
      </c>
      <c r="LQ129" s="182">
        <f>VLOOKUP($IW129,Base_Mensuelle!$OF$68:$RM$679,HLOOKUP(LQ$73,Base_Mensuelle!$QG$67:$RM$680,614,0))</f>
        <v>770.02791235460938</v>
      </c>
      <c r="LR129" s="182">
        <f>VLOOKUP($IW129,Base_Mensuelle!$OF$68:$RM$679,HLOOKUP(LR$73,Base_Mensuelle!$QG$67:$RM$680,614,0))</f>
        <v>809.74230847452623</v>
      </c>
      <c r="LS129" s="182">
        <f>VLOOKUP($IW129,Base_Mensuelle!$OF$68:$RM$679,HLOOKUP(LS$73,Base_Mensuelle!$QG$67:$RM$680,614,0))</f>
        <v>0</v>
      </c>
      <c r="LT129" s="182">
        <f>VLOOKUP($IW129,Base_Mensuelle!$OF$68:$RM$679,HLOOKUP(LT$73,Base_Mensuelle!$QG$67:$RM$680,614,0))</f>
        <v>34.290999999999997</v>
      </c>
      <c r="LU129" s="182">
        <f>VLOOKUP($IW129,Base_Mensuelle!$OF$68:$RM$679,HLOOKUP(LU$73,Base_Mensuelle!$QG$67:$RM$680,614,0))</f>
        <v>7.6890000000000001</v>
      </c>
      <c r="LV129" s="182">
        <f>VLOOKUP($IW129,Base_Mensuelle!$OF$68:$RM$679,HLOOKUP(LV$73,Base_Mensuelle!$QG$67:$RM$680,614,0))</f>
        <v>13.512</v>
      </c>
      <c r="LW129" s="182">
        <f>VLOOKUP($IW129,Base_Mensuelle!$OF$68:$RM$679,HLOOKUP(LW$73,Base_Mensuelle!$QG$67:$RM$680,614,0))</f>
        <v>0</v>
      </c>
      <c r="LX129" s="182">
        <f>VLOOKUP($IW129,Base_Mensuelle!$OF$68:$RM$679,HLOOKUP(LX$73,Base_Mensuelle!$QG$67:$RM$680,614,0))</f>
        <v>0</v>
      </c>
      <c r="LY129" s="182">
        <f>VLOOKUP($IW129,Base_Mensuelle!$OF$68:$RM$679,HLOOKUP(LY$73,Base_Mensuelle!$QG$67:$RM$680,614,0))</f>
        <v>225.40200000000002</v>
      </c>
      <c r="LZ129" s="182">
        <f>VLOOKUP($IW129,Base_Mensuelle!$OF$68:$RM$679,HLOOKUP(LZ$73,Base_Mensuelle!$QG$67:$RM$680,614,0))</f>
        <v>34.782000000000011</v>
      </c>
      <c r="MA129" s="182">
        <f>VLOOKUP($IW129,Base_Mensuelle!$OF$68:$RM$679,HLOOKUP(MA$73,Base_Mensuelle!$QG$67:$RM$680,614,0))</f>
        <v>0</v>
      </c>
      <c r="MB129" s="182">
        <f>VLOOKUP($IW129,Base_Mensuelle!$OF$68:$RM$679,HLOOKUP(MB$73,Base_Mensuelle!$QG$67:$RM$680,614,0))</f>
        <v>0</v>
      </c>
      <c r="MC129" s="182">
        <f>VLOOKUP($IW129,Base_Mensuelle!$OF$68:$RM$679,HLOOKUP(MC$73,Base_Mensuelle!$QG$67:$RM$680,614,0))</f>
        <v>0</v>
      </c>
      <c r="MD129" s="182">
        <f>VLOOKUP($IW129,Base_Mensuelle!$OF$68:$RM$679,HLOOKUP(MD$73,Base_Mensuelle!$QG$67:$RM$680,614,0))</f>
        <v>0</v>
      </c>
      <c r="ME129" s="182">
        <f>VLOOKUP($IW129,Base_Mensuelle!$OF$68:$RM$679,HLOOKUP(ME$73,Base_Mensuelle!$QG$67:$RM$680,614,0))</f>
        <v>0</v>
      </c>
      <c r="MF129" s="182"/>
      <c r="MG129" s="182"/>
      <c r="MH129" s="290"/>
      <c r="MI129" s="29">
        <v>56</v>
      </c>
      <c r="MJ129" s="29" t="str">
        <f t="shared" si="82"/>
        <v>Trimestre 42013</v>
      </c>
      <c r="MK129" s="848">
        <v>41609</v>
      </c>
      <c r="ML129" s="29"/>
      <c r="MM129" s="29"/>
      <c r="MN129" s="29"/>
      <c r="MO129" s="29"/>
      <c r="MP129" s="29"/>
      <c r="MQ129" s="29"/>
      <c r="MR129" s="29"/>
      <c r="MS129" s="29"/>
      <c r="MT129" s="29"/>
      <c r="MU129" s="29"/>
      <c r="MV129" s="29"/>
      <c r="MW129" s="29"/>
      <c r="MX129" s="29"/>
      <c r="MY129" s="29"/>
      <c r="MZ129" s="29"/>
      <c r="NA129" s="29"/>
      <c r="NB129" s="29"/>
      <c r="NC129" s="29"/>
      <c r="ND129" s="29"/>
      <c r="NE129" s="29"/>
      <c r="NF129" s="29"/>
      <c r="NG129" s="29"/>
      <c r="NH129" s="29"/>
      <c r="NI129" s="29"/>
      <c r="NJ129" s="29"/>
      <c r="NK129" s="29"/>
      <c r="NL129" s="29">
        <v>56</v>
      </c>
    </row>
    <row r="130" spans="1:376">
      <c r="A130" s="41">
        <f t="shared" si="80"/>
        <v>2014</v>
      </c>
      <c r="B130" s="785">
        <v>41699</v>
      </c>
      <c r="C130" s="733">
        <v>1157.750383554089</v>
      </c>
      <c r="D130" s="1547">
        <v>163.26499354426403</v>
      </c>
      <c r="E130" s="570">
        <v>168.78121591365749</v>
      </c>
      <c r="F130" s="1547">
        <v>107.06028595111272</v>
      </c>
      <c r="G130" s="1547">
        <v>9.7555600659116468</v>
      </c>
      <c r="H130" s="1547">
        <v>83.312122532925684</v>
      </c>
      <c r="I130" s="570">
        <v>106.51477683014117</v>
      </c>
      <c r="J130" s="570">
        <v>139.53115054901662</v>
      </c>
      <c r="K130" s="570">
        <v>94.258105235575243</v>
      </c>
      <c r="L130" s="570">
        <v>188.05392002176603</v>
      </c>
      <c r="M130" s="734">
        <v>140.74783108105981</v>
      </c>
      <c r="N130" s="25">
        <v>57</v>
      </c>
      <c r="O130" s="889">
        <f t="shared" si="79"/>
        <v>2014</v>
      </c>
      <c r="P130" s="29" t="str">
        <f t="shared" si="81"/>
        <v>Trimestre 12014</v>
      </c>
      <c r="Q130" s="848">
        <v>41699</v>
      </c>
      <c r="R130" s="733">
        <v>8.19961363</v>
      </c>
      <c r="S130" s="570">
        <v>169.756</v>
      </c>
      <c r="T130" s="570">
        <v>451</v>
      </c>
      <c r="U130" s="734">
        <v>112.68300000000001</v>
      </c>
      <c r="V130" s="25">
        <v>57</v>
      </c>
      <c r="W130" s="733">
        <v>3739</v>
      </c>
      <c r="X130" s="570">
        <v>10513</v>
      </c>
      <c r="Y130" s="570">
        <v>339.42700000000002</v>
      </c>
      <c r="Z130" s="570">
        <v>145.13499999999999</v>
      </c>
      <c r="AA130" s="570">
        <v>44.1</v>
      </c>
      <c r="AB130" s="570">
        <v>96.897000000000006</v>
      </c>
      <c r="AC130" s="570">
        <v>870.10199999999998</v>
      </c>
      <c r="AD130" s="570">
        <v>144.38266300000001</v>
      </c>
      <c r="AE130" s="734">
        <v>18.855467000000001</v>
      </c>
      <c r="AF130" s="25">
        <v>57</v>
      </c>
      <c r="AG130" s="733">
        <v>30.832933640301839</v>
      </c>
      <c r="AH130" s="570">
        <v>34.230820994284699</v>
      </c>
      <c r="AI130" s="570">
        <v>14.000807540898752</v>
      </c>
      <c r="AJ130" s="570">
        <v>-11.061873045764832</v>
      </c>
      <c r="AK130" s="570">
        <v>5.7058169886289338</v>
      </c>
      <c r="AL130" s="570">
        <v>12.339437412415995</v>
      </c>
      <c r="AM130" s="570">
        <v>31.549811706981476</v>
      </c>
      <c r="AN130" s="734">
        <v>1.5313610522123671</v>
      </c>
      <c r="AO130" s="733">
        <v>-6.5376963481826564</v>
      </c>
      <c r="AP130" s="570">
        <v>22.296900982340315</v>
      </c>
      <c r="AQ130" s="570">
        <v>24.426802412082331</v>
      </c>
      <c r="AR130" s="570">
        <v>3.381611664999622</v>
      </c>
      <c r="AS130" s="734">
        <v>2.631578947368423</v>
      </c>
      <c r="AT130" s="733">
        <v>-15.708611439070589</v>
      </c>
      <c r="AU130" s="570">
        <v>15.020312500464087</v>
      </c>
      <c r="AV130" s="734">
        <v>12.15093665429772</v>
      </c>
      <c r="AW130" s="733">
        <v>-14.49318974616066</v>
      </c>
      <c r="AX130" s="570">
        <v>32.839804254610257</v>
      </c>
      <c r="AY130" s="570">
        <v>21.495127682079712</v>
      </c>
      <c r="AZ130" s="570">
        <v>10.186777358100649</v>
      </c>
      <c r="BA130" s="570">
        <v>-3.0318315092853778</v>
      </c>
      <c r="BB130" s="570">
        <v>-18.888441682606505</v>
      </c>
      <c r="BC130" s="734">
        <v>12.280701754385966</v>
      </c>
      <c r="BD130" s="179">
        <v>32.86898950795824</v>
      </c>
      <c r="BE130" s="99">
        <v>36.85520154578014</v>
      </c>
      <c r="BF130" s="99">
        <v>-5.6687770887977944</v>
      </c>
      <c r="BG130" s="99">
        <v>-22.019072162999642</v>
      </c>
      <c r="BH130" s="99">
        <v>-3.8680815801618778</v>
      </c>
      <c r="BI130" s="99">
        <v>6.4812606626792437</v>
      </c>
      <c r="BJ130" s="99">
        <v>40.858745101491273</v>
      </c>
      <c r="BK130" s="132">
        <v>2.6061899416501069</v>
      </c>
      <c r="BL130" s="179">
        <v>-39.969912077395335</v>
      </c>
      <c r="BM130" s="99">
        <v>22.680794514458007</v>
      </c>
      <c r="BN130" s="99">
        <v>35.27841864046718</v>
      </c>
      <c r="BO130" s="99">
        <v>10.517966890684596</v>
      </c>
      <c r="BP130" s="99">
        <v>-7.6923076923076916</v>
      </c>
      <c r="BQ130" s="132">
        <v>-11.538461538461538</v>
      </c>
      <c r="BR130" s="179">
        <v>-15.20663566179914</v>
      </c>
      <c r="BS130" s="99">
        <v>32.598678041504236</v>
      </c>
      <c r="BT130" s="99">
        <v>25.723114246650638</v>
      </c>
      <c r="BU130" s="132">
        <v>-12.945105084315184</v>
      </c>
      <c r="BV130" s="179">
        <v>25.413482612938768</v>
      </c>
      <c r="BW130" s="99">
        <v>-2.8776364767820297</v>
      </c>
      <c r="BX130" s="99">
        <v>-3.5805626860292943</v>
      </c>
      <c r="BY130" s="99">
        <v>-5.7115330472685617</v>
      </c>
      <c r="BZ130" s="99">
        <v>-37.584479303347386</v>
      </c>
      <c r="CA130" s="99">
        <v>0</v>
      </c>
      <c r="CB130" s="132">
        <v>-11.538461538461538</v>
      </c>
      <c r="CC130" s="25">
        <v>57</v>
      </c>
      <c r="CD130" s="181">
        <v>137421</v>
      </c>
      <c r="CE130" s="182">
        <v>11237119</v>
      </c>
      <c r="CF130" s="290">
        <v>1516069</v>
      </c>
      <c r="CG130" s="25">
        <v>57</v>
      </c>
      <c r="CH130" s="419">
        <f t="shared" ref="CH130:CS132" si="83">(((CH129/CH128-1)+(CH128/CH127-1))/2+1)*CH129</f>
        <v>26997.713272670797</v>
      </c>
      <c r="CI130" s="100">
        <f t="shared" si="83"/>
        <v>5160.8169240005764</v>
      </c>
      <c r="CJ130" s="100">
        <f t="shared" si="83"/>
        <v>4338.8298444658467</v>
      </c>
      <c r="CK130" s="100">
        <f t="shared" si="83"/>
        <v>23449.661985785406</v>
      </c>
      <c r="CL130" s="100">
        <f t="shared" si="83"/>
        <v>13784.577678231473</v>
      </c>
      <c r="CM130" s="100">
        <f t="shared" si="83"/>
        <v>2445.8520009593881</v>
      </c>
      <c r="CN130" s="100">
        <f t="shared" si="83"/>
        <v>5080.1344343063156</v>
      </c>
      <c r="CO130" s="100">
        <f t="shared" si="83"/>
        <v>3143.4091455819857</v>
      </c>
      <c r="CP130" s="100">
        <f t="shared" si="83"/>
        <v>1741.5203471718914</v>
      </c>
      <c r="CQ130" s="100">
        <f t="shared" si="83"/>
        <v>1847.6398073578341</v>
      </c>
      <c r="CR130" s="420">
        <f t="shared" si="83"/>
        <v>54280.356550436147</v>
      </c>
      <c r="CS130" s="306">
        <f t="shared" si="83"/>
        <v>114040.41731723673</v>
      </c>
      <c r="CT130" s="25">
        <v>57</v>
      </c>
      <c r="CU130" s="419">
        <f t="shared" ref="CU130:DB132" si="84">(((CU129/CU128-1)+(CU128/CU127-1))/2+1)*CU129</f>
        <v>14887.230415910515</v>
      </c>
      <c r="CV130" s="100">
        <f t="shared" si="84"/>
        <v>74258.357924340467</v>
      </c>
      <c r="CW130" s="100">
        <f t="shared" si="84"/>
        <v>15647.944962149733</v>
      </c>
      <c r="CX130" s="100">
        <f t="shared" si="84"/>
        <v>472.35062630480166</v>
      </c>
      <c r="CY130" s="100">
        <f t="shared" si="84"/>
        <v>472.05519048546216</v>
      </c>
      <c r="CZ130" s="100">
        <f t="shared" si="84"/>
        <v>889.87621827836892</v>
      </c>
      <c r="DA130" s="100">
        <f t="shared" si="84"/>
        <v>8507.551188052852</v>
      </c>
      <c r="DB130" s="306">
        <f t="shared" si="84"/>
        <v>114040.41731723673</v>
      </c>
      <c r="DC130" s="25">
        <v>57</v>
      </c>
      <c r="DD130" s="785">
        <v>41699</v>
      </c>
      <c r="DE130" s="733">
        <v>292.75816718900001</v>
      </c>
      <c r="DF130" s="734">
        <v>448.18891499999995</v>
      </c>
      <c r="DG130" s="25">
        <v>57</v>
      </c>
      <c r="DH130" s="733">
        <v>397.33492780300003</v>
      </c>
      <c r="DI130" s="734">
        <v>1012.31534</v>
      </c>
      <c r="DJ130" s="25">
        <v>57</v>
      </c>
      <c r="DK130" s="733">
        <v>309.00960548799998</v>
      </c>
      <c r="DL130" s="734">
        <v>392.56515024700002</v>
      </c>
      <c r="DM130" s="733">
        <v>-83.555544759000043</v>
      </c>
      <c r="DN130" s="734">
        <v>78.71549608862955</v>
      </c>
      <c r="DO130" s="25">
        <v>57</v>
      </c>
      <c r="DP130" s="733">
        <v>193.6</v>
      </c>
      <c r="DQ130" s="570">
        <v>268</v>
      </c>
      <c r="DR130" s="734">
        <v>519</v>
      </c>
      <c r="DS130" s="25">
        <v>57</v>
      </c>
      <c r="DT130" s="733">
        <v>101.2</v>
      </c>
      <c r="DU130" s="570">
        <v>203.1</v>
      </c>
      <c r="DV130" s="734">
        <v>205.5</v>
      </c>
      <c r="DW130" s="25">
        <v>57</v>
      </c>
      <c r="DX130" s="733">
        <v>177.6</v>
      </c>
      <c r="DY130" s="734">
        <v>55.2</v>
      </c>
      <c r="DZ130" s="25">
        <v>57</v>
      </c>
      <c r="EA130" s="733">
        <v>127.6</v>
      </c>
      <c r="EB130" s="570">
        <v>99.8</v>
      </c>
      <c r="EC130" s="570">
        <v>39.799999999999997</v>
      </c>
      <c r="ED130" s="570">
        <v>5.3</v>
      </c>
      <c r="EE130" s="734">
        <v>4.5</v>
      </c>
      <c r="EF130" s="25">
        <v>57</v>
      </c>
      <c r="EG130" s="1569">
        <v>107.2</v>
      </c>
      <c r="EH130" s="1570">
        <v>24.5</v>
      </c>
      <c r="EI130" s="1570">
        <v>5.2</v>
      </c>
      <c r="EJ130" s="1570">
        <v>12.4</v>
      </c>
      <c r="EK130" s="1571">
        <v>1.7</v>
      </c>
      <c r="EL130" s="25">
        <v>57</v>
      </c>
      <c r="EM130" s="733">
        <v>132.4</v>
      </c>
      <c r="EN130" s="570">
        <v>15.7</v>
      </c>
      <c r="EO130" s="570">
        <v>15.3</v>
      </c>
      <c r="EP130" s="570">
        <v>11.6</v>
      </c>
      <c r="EQ130" s="570">
        <v>6.2</v>
      </c>
      <c r="ER130" s="570">
        <v>0.5</v>
      </c>
      <c r="ES130" s="570">
        <v>42.1</v>
      </c>
      <c r="ET130" s="570">
        <v>8.3000000000000007</v>
      </c>
      <c r="EU130" s="570">
        <v>1.1000000000000001</v>
      </c>
      <c r="EV130" s="734">
        <v>2.9</v>
      </c>
      <c r="EW130" s="25">
        <v>57</v>
      </c>
      <c r="EX130" s="918">
        <v>60.5</v>
      </c>
      <c r="EY130" s="919">
        <v>34.299999999999997</v>
      </c>
      <c r="EZ130" s="919">
        <v>40.700000000000003</v>
      </c>
      <c r="FA130" s="919">
        <v>1.6</v>
      </c>
      <c r="FB130" s="919">
        <v>12.1</v>
      </c>
      <c r="FC130" s="919">
        <v>48.1</v>
      </c>
      <c r="FD130" s="919">
        <v>8.8000000000000007</v>
      </c>
      <c r="FE130" s="919">
        <v>12.1</v>
      </c>
      <c r="FF130" s="919">
        <v>2.2999999999999998</v>
      </c>
      <c r="FG130" s="920">
        <v>4.9000000000000004</v>
      </c>
      <c r="FH130" s="25">
        <v>57</v>
      </c>
      <c r="FI130" s="848">
        <v>41699</v>
      </c>
      <c r="FJ130" s="19">
        <v>3148</v>
      </c>
      <c r="FK130" s="93">
        <v>1733</v>
      </c>
      <c r="FL130" s="20">
        <v>0</v>
      </c>
      <c r="FM130" s="25">
        <v>57</v>
      </c>
      <c r="FN130" s="19">
        <v>68</v>
      </c>
      <c r="FO130" s="93">
        <v>1290</v>
      </c>
      <c r="FP130" s="93">
        <v>1831</v>
      </c>
      <c r="FQ130" s="93">
        <v>884</v>
      </c>
      <c r="FR130" s="93">
        <v>429</v>
      </c>
      <c r="FS130" s="93">
        <v>208</v>
      </c>
      <c r="FT130" s="93">
        <v>93</v>
      </c>
      <c r="FU130" s="93">
        <v>54</v>
      </c>
      <c r="FV130" s="93">
        <v>22</v>
      </c>
      <c r="FW130" s="917">
        <v>2</v>
      </c>
      <c r="FX130" s="25">
        <v>57</v>
      </c>
      <c r="FY130" s="975">
        <v>751</v>
      </c>
      <c r="FZ130" s="975">
        <v>446</v>
      </c>
      <c r="GA130" s="975">
        <v>819</v>
      </c>
      <c r="GB130" s="975">
        <v>146</v>
      </c>
      <c r="GC130" s="975">
        <v>728</v>
      </c>
      <c r="GD130" s="975">
        <v>224</v>
      </c>
      <c r="GE130" s="975">
        <v>950</v>
      </c>
      <c r="GF130" s="975">
        <v>220</v>
      </c>
      <c r="GG130" s="975">
        <v>77</v>
      </c>
      <c r="GH130" s="975">
        <v>466</v>
      </c>
      <c r="GI130" s="976">
        <v>54</v>
      </c>
      <c r="GJ130" s="25">
        <v>57</v>
      </c>
      <c r="GK130" s="19"/>
      <c r="GL130" s="20"/>
      <c r="GM130" s="25">
        <v>57</v>
      </c>
      <c r="GN130" s="19">
        <v>4652</v>
      </c>
      <c r="GO130" s="20">
        <v>1959</v>
      </c>
      <c r="GP130" s="25">
        <v>57</v>
      </c>
      <c r="GQ130" s="19">
        <v>32</v>
      </c>
      <c r="GR130" s="20">
        <v>32</v>
      </c>
      <c r="GS130" s="25">
        <v>57</v>
      </c>
      <c r="GT130" s="848">
        <v>41699</v>
      </c>
      <c r="GU130" s="19"/>
      <c r="GV130" s="93"/>
      <c r="GW130" s="93"/>
      <c r="GX130" s="93"/>
      <c r="GY130" s="93"/>
      <c r="GZ130" s="93"/>
      <c r="HA130" s="93"/>
      <c r="HB130" s="93"/>
      <c r="HC130" s="93"/>
      <c r="HD130" s="93"/>
      <c r="HE130" s="93"/>
      <c r="HF130" s="93"/>
      <c r="HG130" s="93"/>
      <c r="HH130" s="93"/>
      <c r="HI130" s="93"/>
      <c r="HJ130" s="93"/>
      <c r="HK130" s="93"/>
      <c r="HL130" s="93"/>
      <c r="HM130" s="93"/>
      <c r="HN130" s="93"/>
      <c r="HO130" s="93"/>
      <c r="HP130" s="93"/>
      <c r="HQ130" s="93"/>
      <c r="HR130" s="93"/>
      <c r="HS130" s="93"/>
      <c r="HT130" s="93"/>
      <c r="HU130" s="93"/>
      <c r="HV130" s="93"/>
      <c r="HW130" s="93"/>
      <c r="HX130" s="93"/>
      <c r="HY130" s="93"/>
      <c r="HZ130" s="93"/>
      <c r="IA130" s="93"/>
      <c r="IB130" s="93"/>
      <c r="IC130" s="93"/>
      <c r="ID130" s="93"/>
      <c r="IE130" s="93"/>
      <c r="IF130" s="93"/>
      <c r="IG130" s="93"/>
      <c r="IH130" s="93"/>
      <c r="II130" s="93"/>
      <c r="IJ130" s="93"/>
      <c r="IK130" s="93"/>
      <c r="IL130" s="93"/>
      <c r="IM130" s="93"/>
      <c r="IN130" s="93"/>
      <c r="IO130" s="93"/>
      <c r="IP130" s="93"/>
      <c r="IQ130" s="93"/>
      <c r="IR130" s="93"/>
      <c r="IS130" s="93"/>
      <c r="IT130" s="93"/>
      <c r="IU130" s="93"/>
      <c r="IV130" s="93">
        <v>57</v>
      </c>
      <c r="IW130" s="848">
        <v>41699</v>
      </c>
      <c r="IX130" s="1035"/>
      <c r="IY130" s="1035">
        <v>100.07250000000001</v>
      </c>
      <c r="IZ130" s="1035">
        <v>151.71420000000001</v>
      </c>
      <c r="JA130" s="1035">
        <v>0.62872485099999997</v>
      </c>
      <c r="JB130" s="1035">
        <v>819.21212590101788</v>
      </c>
      <c r="JC130" s="1035">
        <v>134.5361</v>
      </c>
      <c r="JD130" s="1035">
        <v>1054.449450752018</v>
      </c>
      <c r="JE130" s="1035">
        <v>854.29795618033336</v>
      </c>
      <c r="JF130" s="1035">
        <v>1908.7474069323514</v>
      </c>
      <c r="JG130" s="1035"/>
      <c r="JH130" s="1035">
        <v>561.03619605891083</v>
      </c>
      <c r="JI130" s="1035">
        <v>-53.058112122000011</v>
      </c>
      <c r="JJ130" s="1035">
        <v>614.09430818091084</v>
      </c>
      <c r="JK130" s="1035">
        <v>1627.3891505914407</v>
      </c>
      <c r="JL130" s="1035">
        <v>-7.2698752129999527</v>
      </c>
      <c r="JM130" s="1035">
        <v>-8.7248752129999652</v>
      </c>
      <c r="JN130" s="1035">
        <v>1.4550000000000125</v>
      </c>
      <c r="JO130" s="1035">
        <v>1634.6590258044407</v>
      </c>
      <c r="JP130" s="1035">
        <v>4.264251904</v>
      </c>
      <c r="JQ130" s="1035">
        <v>1630.3947739004407</v>
      </c>
      <c r="JR130" s="1035">
        <v>309.38788858600003</v>
      </c>
      <c r="JS130" s="1035">
        <v>-29.709948867999941</v>
      </c>
      <c r="JT130" s="1036">
        <v>1908.7474069323514</v>
      </c>
      <c r="JU130" s="29">
        <v>57</v>
      </c>
      <c r="JV130" s="1037"/>
      <c r="JW130" s="1526">
        <f>VLOOKUP($IW130,Base_Mensuelle!$OF$68:$RM$679,HLOOKUP(JW$73,Base_Mensuelle!$PE$67:$QE$680,614,0))</f>
        <v>-53.058112122000011</v>
      </c>
      <c r="JX130" s="1526">
        <f>VLOOKUP($IW130,Base_Mensuelle!$OF$68:$RM$679,HLOOKUP(JX$73,Base_Mensuelle!$PE$67:$QE$680,614,0))</f>
        <v>187.89509635100001</v>
      </c>
      <c r="JY130" s="1526">
        <f>VLOOKUP($IW130,Base_Mensuelle!$OF$68:$RM$679,HLOOKUP(JY$73,Base_Mensuelle!$PE$67:$QE$680,614,0))</f>
        <v>240.95320847300002</v>
      </c>
      <c r="JZ130" s="1526">
        <f>VLOOKUP($IW130,Base_Mensuelle!$OF$68:$RM$679,HLOOKUP(JZ$73,Base_Mensuelle!$PE$67:$QE$680,614,0))</f>
        <v>351.83</v>
      </c>
      <c r="KA130" s="1526">
        <f>VLOOKUP($IW130,Base_Mensuelle!$OF$68:$RM$679,HLOOKUP(KA$73,Base_Mensuelle!$PE$67:$QE$680,614,0))</f>
        <v>-3.7951752129999647</v>
      </c>
      <c r="KB130" s="1526">
        <f>VLOOKUP($IW130,Base_Mensuelle!$OF$68:$RM$679,HLOOKUP(KB$73,Base_Mensuelle!$PE$67:$QE$680,614,0))</f>
        <v>132.88500161300001</v>
      </c>
      <c r="KC130" s="1526">
        <f>VLOOKUP($IW130,Base_Mensuelle!$OF$68:$RM$679,HLOOKUP(KC$73,Base_Mensuelle!$PE$67:$QE$680,614,0))</f>
        <v>136.68017682599998</v>
      </c>
      <c r="KD130" s="1526">
        <f>VLOOKUP($IW130,Base_Mensuelle!$OF$68:$RM$679,HLOOKUP(KD$73,Base_Mensuelle!$PE$67:$QE$680,614,0))</f>
        <v>4.264251904</v>
      </c>
      <c r="KE130" s="1526">
        <f>VLOOKUP($IW130,Base_Mensuelle!$OF$68:$RM$679,HLOOKUP(KE$73,Base_Mensuelle!$PE$67:$QE$680,614,0))</f>
        <v>0.81799999999999995</v>
      </c>
      <c r="KF130" s="1526">
        <f>VLOOKUP($IW130,Base_Mensuelle!$OF$68:$RM$679,HLOOKUP(KF$73,Base_Mensuelle!$PE$67:$QE$680,614,0))</f>
        <v>0</v>
      </c>
      <c r="KG130" s="1526">
        <f>VLOOKUP($IW130,Base_Mensuelle!$OF$68:$RM$679,HLOOKUP(KG$73,Base_Mensuelle!$PE$67:$QE$680,614,0))</f>
        <v>4.6567499999999998E-4</v>
      </c>
      <c r="KH130" s="1526">
        <f>VLOOKUP($IW130,Base_Mensuelle!$OF$68:$RM$679,HLOOKUP(KH$73,Base_Mensuelle!$PE$67:$QE$680,614,0))</f>
        <v>3.4457862290000003</v>
      </c>
      <c r="KI130" s="1526">
        <f>VLOOKUP($IW130,Base_Mensuelle!$OF$68:$RM$679,HLOOKUP(KI$73,Base_Mensuelle!$PE$67:$QE$680,614,0))</f>
        <v>290.65890362700003</v>
      </c>
      <c r="KJ130" s="1526">
        <f>VLOOKUP($IW130,Base_Mensuelle!$OF$68:$RM$679,HLOOKUP(KJ$73,Base_Mensuelle!$PE$67:$QE$680,614,0))</f>
        <v>151.71420000000001</v>
      </c>
      <c r="KK130" s="1526">
        <f>VLOOKUP($IW130,Base_Mensuelle!$OF$68:$RM$679,HLOOKUP(KK$73,Base_Mensuelle!$PE$67:$QE$680,614,0))</f>
        <v>138.31597877600001</v>
      </c>
      <c r="KL130" s="1526">
        <f>VLOOKUP($IW130,Base_Mensuelle!$OF$68:$RM$679,HLOOKUP(KL$73,Base_Mensuelle!$PE$67:$QE$680,614,0))</f>
        <v>0.62872485099999997</v>
      </c>
      <c r="KM130" s="1526">
        <f>VLOOKUP($IW130,Base_Mensuelle!$OF$68:$RM$679,HLOOKUP(KM$73,Base_Mensuelle!$PE$67:$QE$680,614,0))</f>
        <v>0</v>
      </c>
      <c r="KN130" s="1526">
        <f>VLOOKUP($IW130,Base_Mensuelle!$OF$68:$RM$679,HLOOKUP(KN$73,Base_Mensuelle!$PE$67:$QE$680,614,0))</f>
        <v>1.8403470820000001</v>
      </c>
      <c r="KO130" s="1526">
        <f>VLOOKUP($IW130,Base_Mensuelle!$OF$68:$RM$679,HLOOKUP(KO$73,Base_Mensuelle!$PE$67:$QE$680,614,0))</f>
        <v>0</v>
      </c>
      <c r="KP130" s="1526">
        <f>VLOOKUP($IW130,Base_Mensuelle!$OF$68:$RM$679,HLOOKUP(KP$73,Base_Mensuelle!$PE$67:$QE$680,614,0))</f>
        <v>0</v>
      </c>
      <c r="KQ130" s="1526">
        <f>VLOOKUP($IW130,Base_Mensuelle!$OF$68:$RM$679,HLOOKUP(KQ$73,Base_Mensuelle!$PE$67:$QE$680,614,0))</f>
        <v>1.8403470820000001</v>
      </c>
      <c r="KR130" s="1526">
        <f>VLOOKUP($IW130,Base_Mensuelle!$OF$68:$RM$679,HLOOKUP(KR$73,Base_Mensuelle!$PE$67:$QE$680,614,0))</f>
        <v>0</v>
      </c>
      <c r="KS130" s="1526">
        <f>VLOOKUP($IW130,Base_Mensuelle!$OF$68:$RM$679,HLOOKUP(KS$73,Base_Mensuelle!$PE$67:$QE$680,614,0))</f>
        <v>0</v>
      </c>
      <c r="KT130" s="1526">
        <f>VLOOKUP($IW130,Base_Mensuelle!$OF$68:$RM$679,HLOOKUP(KT$73,Base_Mensuelle!$PE$67:$QE$680,614,0))</f>
        <v>0</v>
      </c>
      <c r="KU130" s="1526">
        <f>VLOOKUP($IW130,Base_Mensuelle!$OF$68:$RM$679,HLOOKUP(KU$73,Base_Mensuelle!$PE$67:$QE$680,614,0))</f>
        <v>1.1495415039999999</v>
      </c>
      <c r="KV130" s="1526">
        <f>VLOOKUP($IW130,Base_Mensuelle!$OF$68:$RM$679,HLOOKUP(KV$73,Base_Mensuelle!$PE$67:$QE$680,614,0))</f>
        <v>5.5921723559999998</v>
      </c>
      <c r="KW130" s="1036"/>
      <c r="KX130" s="29">
        <v>57</v>
      </c>
      <c r="KY130" s="1037"/>
      <c r="KZ130" s="182">
        <f>VLOOKUP($IW130,Base_Mensuelle!$OF$68:$RM$679,HLOOKUP(KZ$73,Base_Mensuelle!$QG$67:$RM$680,614,0))</f>
        <v>614.09430818091084</v>
      </c>
      <c r="LA130" s="182">
        <f>VLOOKUP($IW130,Base_Mensuelle!$OF$68:$RM$679,HLOOKUP(LA$73,Base_Mensuelle!$QG$67:$RM$680,614,0))</f>
        <v>758.80422609955951</v>
      </c>
      <c r="LB130" s="182">
        <f>VLOOKUP($IW130,Base_Mensuelle!$OF$68:$RM$679,HLOOKUP(LB$73,Base_Mensuelle!$QG$67:$RM$680,614,0))</f>
        <v>-144.70991791864864</v>
      </c>
      <c r="LC130" s="182">
        <f>VLOOKUP($IW130,Base_Mensuelle!$OF$68:$RM$679,HLOOKUP(LC$73,Base_Mensuelle!$QG$67:$RM$680,614,0))</f>
        <v>171.785</v>
      </c>
      <c r="LD130" s="182">
        <f>VLOOKUP($IW130,Base_Mensuelle!$OF$68:$RM$679,HLOOKUP(LD$73,Base_Mensuelle!$QG$67:$RM$680,614,0))</f>
        <v>46.712000000000003</v>
      </c>
      <c r="LE130" s="182">
        <f>VLOOKUP($IW130,Base_Mensuelle!$OF$68:$RM$679,HLOOKUP(LE$73,Base_Mensuelle!$QG$67:$RM$680,614,0))</f>
        <v>125.07299999999999</v>
      </c>
      <c r="LF130" s="182">
        <f>VLOOKUP($IW130,Base_Mensuelle!$OF$68:$RM$679,HLOOKUP(LF$73,Base_Mensuelle!$QG$67:$RM$680,614,0))</f>
        <v>0</v>
      </c>
      <c r="LG130" s="182">
        <f>VLOOKUP($IW130,Base_Mensuelle!$OF$68:$RM$679,HLOOKUP(LG$73,Base_Mensuelle!$QG$67:$RM$680,614,0))</f>
        <v>1.4550000000000125</v>
      </c>
      <c r="LH130" s="182">
        <f>VLOOKUP($IW130,Base_Mensuelle!$OF$68:$RM$679,HLOOKUP(LH$73,Base_Mensuelle!$QG$67:$RM$680,614,0))</f>
        <v>201.35300000000001</v>
      </c>
      <c r="LI130" s="182">
        <f>VLOOKUP($IW130,Base_Mensuelle!$OF$68:$RM$679,HLOOKUP(LI$73,Base_Mensuelle!$QG$67:$RM$680,614,0))</f>
        <v>-199.898</v>
      </c>
      <c r="LJ130" s="182">
        <f>VLOOKUP($IW130,Base_Mensuelle!$OF$68:$RM$679,HLOOKUP(LJ$73,Base_Mensuelle!$QG$67:$RM$680,614,0))</f>
        <v>1630.3947739004407</v>
      </c>
      <c r="LK130" s="182">
        <f>VLOOKUP($IW130,Base_Mensuelle!$OF$68:$RM$679,HLOOKUP(LK$73,Base_Mensuelle!$QG$67:$RM$680,614,0))</f>
        <v>20.610248473465539</v>
      </c>
      <c r="LL130" s="182">
        <f>VLOOKUP($IW130,Base_Mensuelle!$OF$68:$RM$679,HLOOKUP(LL$73,Base_Mensuelle!$QG$67:$RM$680,614,0))</f>
        <v>0</v>
      </c>
      <c r="LM130" s="182">
        <f>VLOOKUP($IW130,Base_Mensuelle!$OF$68:$RM$679,HLOOKUP(LM$73,Base_Mensuelle!$QG$67:$RM$680,614,0))</f>
        <v>162.79</v>
      </c>
      <c r="LN130" s="182">
        <f>VLOOKUP($IW130,Base_Mensuelle!$OF$68:$RM$679,HLOOKUP(LN$73,Base_Mensuelle!$QG$67:$RM$680,614,0))</f>
        <v>1446.9945254269751</v>
      </c>
      <c r="LO130" s="182">
        <f>VLOOKUP($IW130,Base_Mensuelle!$OF$68:$RM$679,HLOOKUP(LO$73,Base_Mensuelle!$QG$67:$RM$680,614,0))</f>
        <v>0</v>
      </c>
      <c r="LP130" s="182">
        <f>VLOOKUP($IW130,Base_Mensuelle!$OF$68:$RM$679,HLOOKUP(LP$73,Base_Mensuelle!$QG$67:$RM$680,614,0))</f>
        <v>352.726</v>
      </c>
      <c r="LQ130" s="182">
        <f>VLOOKUP($IW130,Base_Mensuelle!$OF$68:$RM$679,HLOOKUP(LQ$73,Base_Mensuelle!$QG$67:$RM$680,614,0))</f>
        <v>819.21212590101788</v>
      </c>
      <c r="LR130" s="182">
        <f>VLOOKUP($IW130,Base_Mensuelle!$OF$68:$RM$679,HLOOKUP(LR$73,Base_Mensuelle!$QG$67:$RM$680,614,0))</f>
        <v>854.29795618033336</v>
      </c>
      <c r="LS130" s="182">
        <f>VLOOKUP($IW130,Base_Mensuelle!$OF$68:$RM$679,HLOOKUP(LS$73,Base_Mensuelle!$QG$67:$RM$680,614,0))</f>
        <v>0</v>
      </c>
      <c r="LT130" s="182">
        <f>VLOOKUP($IW130,Base_Mensuelle!$OF$68:$RM$679,HLOOKUP(LT$73,Base_Mensuelle!$QG$67:$RM$680,614,0))</f>
        <v>40.752999999999993</v>
      </c>
      <c r="LU130" s="182">
        <f>VLOOKUP($IW130,Base_Mensuelle!$OF$68:$RM$679,HLOOKUP(LU$73,Base_Mensuelle!$QG$67:$RM$680,614,0))</f>
        <v>6.8540000000000001</v>
      </c>
      <c r="LV130" s="182">
        <f>VLOOKUP($IW130,Base_Mensuelle!$OF$68:$RM$679,HLOOKUP(LV$73,Base_Mensuelle!$QG$67:$RM$680,614,0))</f>
        <v>10.885999999999999</v>
      </c>
      <c r="LW130" s="182">
        <f>VLOOKUP($IW130,Base_Mensuelle!$OF$68:$RM$679,HLOOKUP(LW$73,Base_Mensuelle!$QG$67:$RM$680,614,0))</f>
        <v>0</v>
      </c>
      <c r="LX130" s="182">
        <f>VLOOKUP($IW130,Base_Mensuelle!$OF$68:$RM$679,HLOOKUP(LX$73,Base_Mensuelle!$QG$67:$RM$680,614,0))</f>
        <v>0</v>
      </c>
      <c r="LY130" s="182">
        <f>VLOOKUP($IW130,Base_Mensuelle!$OF$68:$RM$679,HLOOKUP(LY$73,Base_Mensuelle!$QG$67:$RM$680,614,0))</f>
        <v>247.905</v>
      </c>
      <c r="LZ130" s="182">
        <f>VLOOKUP($IW130,Base_Mensuelle!$OF$68:$RM$679,HLOOKUP(LZ$73,Base_Mensuelle!$QG$67:$RM$680,614,0))</f>
        <v>85.095000000000013</v>
      </c>
      <c r="MA130" s="182">
        <f>VLOOKUP($IW130,Base_Mensuelle!$OF$68:$RM$679,HLOOKUP(MA$73,Base_Mensuelle!$QG$67:$RM$680,614,0))</f>
        <v>0</v>
      </c>
      <c r="MB130" s="182">
        <f>VLOOKUP($IW130,Base_Mensuelle!$OF$68:$RM$679,HLOOKUP(MB$73,Base_Mensuelle!$QG$67:$RM$680,614,0))</f>
        <v>0</v>
      </c>
      <c r="MC130" s="182">
        <f>VLOOKUP($IW130,Base_Mensuelle!$OF$68:$RM$679,HLOOKUP(MC$73,Base_Mensuelle!$QG$67:$RM$680,614,0))</f>
        <v>0</v>
      </c>
      <c r="MD130" s="182">
        <f>VLOOKUP($IW130,Base_Mensuelle!$OF$68:$RM$679,HLOOKUP(MD$73,Base_Mensuelle!$QG$67:$RM$680,614,0))</f>
        <v>0</v>
      </c>
      <c r="ME130" s="182">
        <f>VLOOKUP($IW130,Base_Mensuelle!$OF$68:$RM$679,HLOOKUP(ME$73,Base_Mensuelle!$QG$67:$RM$680,614,0))</f>
        <v>0</v>
      </c>
      <c r="MF130" s="182"/>
      <c r="MG130" s="182"/>
      <c r="MH130" s="290"/>
      <c r="MI130" s="29">
        <v>57</v>
      </c>
      <c r="MJ130" s="29" t="str">
        <f t="shared" si="82"/>
        <v>Trimestre 12014</v>
      </c>
      <c r="MK130" s="848">
        <v>41699</v>
      </c>
      <c r="ML130" s="29"/>
      <c r="MM130" s="29"/>
      <c r="MN130" s="29"/>
      <c r="MO130" s="29"/>
      <c r="MP130" s="29"/>
      <c r="MQ130" s="29"/>
      <c r="MR130" s="29"/>
      <c r="MS130" s="29"/>
      <c r="MT130" s="29"/>
      <c r="MU130" s="29"/>
      <c r="MV130" s="29"/>
      <c r="MW130" s="29"/>
      <c r="MX130" s="29"/>
      <c r="MY130" s="29"/>
      <c r="MZ130" s="29"/>
      <c r="NA130" s="29"/>
      <c r="NB130" s="29"/>
      <c r="NC130" s="29"/>
      <c r="ND130" s="29"/>
      <c r="NE130" s="29"/>
      <c r="NF130" s="29"/>
      <c r="NG130" s="29"/>
      <c r="NH130" s="29"/>
      <c r="NI130" s="29"/>
      <c r="NJ130" s="29"/>
      <c r="NK130" s="29"/>
      <c r="NL130" s="29">
        <v>57</v>
      </c>
    </row>
    <row r="131" spans="1:376">
      <c r="A131" s="41">
        <f t="shared" si="80"/>
        <v>2014</v>
      </c>
      <c r="B131" s="785">
        <v>41791</v>
      </c>
      <c r="C131" s="733">
        <v>1029.8043740492205</v>
      </c>
      <c r="D131" s="1547">
        <v>170.21886395038803</v>
      </c>
      <c r="E131" s="570">
        <v>164.4009415006602</v>
      </c>
      <c r="F131" s="1547">
        <v>36.73192068033125</v>
      </c>
      <c r="G131" s="1547">
        <v>22.274384772633113</v>
      </c>
      <c r="H131" s="1547">
        <v>84.700338902397888</v>
      </c>
      <c r="I131" s="570">
        <v>122.2104400851882</v>
      </c>
      <c r="J131" s="570">
        <v>167.70597169296735</v>
      </c>
      <c r="K131" s="570">
        <v>159.3926108759959</v>
      </c>
      <c r="L131" s="570">
        <v>202.31979285558415</v>
      </c>
      <c r="M131" s="734">
        <v>149.77982712103767</v>
      </c>
      <c r="N131" s="25">
        <v>58</v>
      </c>
      <c r="O131" s="889">
        <f t="shared" si="79"/>
        <v>2014</v>
      </c>
      <c r="P131" s="29" t="str">
        <f t="shared" si="81"/>
        <v>Trimestre 22014</v>
      </c>
      <c r="Q131" s="848">
        <v>41791</v>
      </c>
      <c r="R131" s="733">
        <v>9.7840683899999998</v>
      </c>
      <c r="S131" s="570">
        <v>18.058</v>
      </c>
      <c r="T131" s="570">
        <v>1028</v>
      </c>
      <c r="U131" s="734">
        <v>129.44499999999999</v>
      </c>
      <c r="V131" s="25">
        <v>58</v>
      </c>
      <c r="W131" s="733">
        <v>1080</v>
      </c>
      <c r="X131" s="570">
        <v>0</v>
      </c>
      <c r="Y131" s="570">
        <v>412.90300000000002</v>
      </c>
      <c r="Z131" s="570">
        <v>189.36600000000001</v>
      </c>
      <c r="AA131" s="570">
        <v>42.955500000000001</v>
      </c>
      <c r="AB131" s="570">
        <v>96.518000000000001</v>
      </c>
      <c r="AC131" s="570">
        <v>717.54300000000001</v>
      </c>
      <c r="AD131" s="570">
        <v>244.15438399999999</v>
      </c>
      <c r="AE131" s="734">
        <v>20.285852999999999</v>
      </c>
      <c r="AF131" s="25">
        <v>58</v>
      </c>
      <c r="AG131" s="733">
        <v>34.826561089602926</v>
      </c>
      <c r="AH131" s="570">
        <v>16.0903868371824</v>
      </c>
      <c r="AI131" s="570">
        <v>27.528199645475109</v>
      </c>
      <c r="AJ131" s="570">
        <v>-10.690413949422704</v>
      </c>
      <c r="AK131" s="570">
        <v>25.095390924240149</v>
      </c>
      <c r="AL131" s="570">
        <v>31.998299466536746</v>
      </c>
      <c r="AM131" s="570">
        <v>26.640954124248474</v>
      </c>
      <c r="AN131" s="734">
        <v>8.3190245453842984</v>
      </c>
      <c r="AO131" s="733">
        <v>34.232776702165154</v>
      </c>
      <c r="AP131" s="570">
        <v>18.720484293698568</v>
      </c>
      <c r="AQ131" s="570">
        <v>17.926633687240813</v>
      </c>
      <c r="AR131" s="570">
        <v>-6.6745298840208296</v>
      </c>
      <c r="AS131" s="734">
        <v>1.7543859649122808</v>
      </c>
      <c r="AT131" s="733">
        <v>-10.441929852161698</v>
      </c>
      <c r="AU131" s="570">
        <v>-5.0970774031516752</v>
      </c>
      <c r="AV131" s="734">
        <v>-0.26456591794022621</v>
      </c>
      <c r="AW131" s="733">
        <v>-17.50676549625501</v>
      </c>
      <c r="AX131" s="570">
        <v>7.2324019587945401</v>
      </c>
      <c r="AY131" s="570">
        <v>14.45736920649928</v>
      </c>
      <c r="AZ131" s="570">
        <v>17.413895126519307</v>
      </c>
      <c r="BA131" s="570">
        <v>3.7794791510053809</v>
      </c>
      <c r="BB131" s="570">
        <v>-16.412117466494358</v>
      </c>
      <c r="BC131" s="734">
        <v>7.8947368421052637</v>
      </c>
      <c r="BD131" s="179">
        <v>22.980782636214837</v>
      </c>
      <c r="BE131" s="99">
        <v>-7.9581660354612609</v>
      </c>
      <c r="BF131" s="99">
        <v>4.8310946465167053</v>
      </c>
      <c r="BG131" s="99">
        <v>-6.7181432771805794</v>
      </c>
      <c r="BH131" s="99">
        <v>22.398231189224767</v>
      </c>
      <c r="BI131" s="99">
        <v>7.5808702149855769</v>
      </c>
      <c r="BJ131" s="99">
        <v>32.862182336364121</v>
      </c>
      <c r="BK131" s="132">
        <v>4.6219757639571553</v>
      </c>
      <c r="BL131" s="179">
        <v>2.3452147227382625</v>
      </c>
      <c r="BM131" s="99">
        <v>-13.238108564886964</v>
      </c>
      <c r="BN131" s="99">
        <v>-3.3384433455844871</v>
      </c>
      <c r="BO131" s="99">
        <v>4.3396249015540072</v>
      </c>
      <c r="BP131" s="99">
        <v>0</v>
      </c>
      <c r="BQ131" s="132">
        <v>-4</v>
      </c>
      <c r="BR131" s="179">
        <v>32.622311165199427</v>
      </c>
      <c r="BS131" s="99">
        <v>-2.2891642479792278</v>
      </c>
      <c r="BT131" s="99">
        <v>-1.0221501018082435</v>
      </c>
      <c r="BU131" s="132">
        <v>20.615365168248651</v>
      </c>
      <c r="BV131" s="179">
        <v>-13.895671615002254</v>
      </c>
      <c r="BW131" s="99">
        <v>2.4312470812941385</v>
      </c>
      <c r="BX131" s="99">
        <v>-8.8913918221602408</v>
      </c>
      <c r="BY131" s="99">
        <v>6.683860148180508</v>
      </c>
      <c r="BZ131" s="99">
        <v>3.4077641206390208</v>
      </c>
      <c r="CA131" s="99">
        <v>-8</v>
      </c>
      <c r="CB131" s="132">
        <v>-12</v>
      </c>
      <c r="CC131" s="25">
        <v>58</v>
      </c>
      <c r="CD131" s="181">
        <v>130796</v>
      </c>
      <c r="CE131" s="182">
        <v>11899833</v>
      </c>
      <c r="CF131" s="290">
        <v>2170864</v>
      </c>
      <c r="CG131" s="25">
        <v>58</v>
      </c>
      <c r="CH131" s="419">
        <f t="shared" si="83"/>
        <v>27228.934469308639</v>
      </c>
      <c r="CI131" s="100">
        <f t="shared" si="83"/>
        <v>5452.7777501334949</v>
      </c>
      <c r="CJ131" s="100">
        <f t="shared" si="83"/>
        <v>4806.7622631848935</v>
      </c>
      <c r="CK131" s="100">
        <f t="shared" si="83"/>
        <v>31579.526021792557</v>
      </c>
      <c r="CL131" s="100">
        <f t="shared" si="83"/>
        <v>20104.847373373155</v>
      </c>
      <c r="CM131" s="100">
        <f t="shared" si="83"/>
        <v>3337.7532407337453</v>
      </c>
      <c r="CN131" s="100">
        <f t="shared" si="83"/>
        <v>5245.1913094262391</v>
      </c>
      <c r="CO131" s="100">
        <f t="shared" si="83"/>
        <v>3346.1305411454828</v>
      </c>
      <c r="CP131" s="100">
        <f t="shared" si="83"/>
        <v>1395.7297976365858</v>
      </c>
      <c r="CQ131" s="100">
        <f t="shared" si="83"/>
        <v>1966.369648784023</v>
      </c>
      <c r="CR131" s="420">
        <f t="shared" si="83"/>
        <v>49137.191923153179</v>
      </c>
      <c r="CS131" s="306">
        <f t="shared" si="83"/>
        <v>112274.20098542064</v>
      </c>
      <c r="CT131" s="25">
        <v>58</v>
      </c>
      <c r="CU131" s="419">
        <f t="shared" si="84"/>
        <v>13066.953487256569</v>
      </c>
      <c r="CV131" s="100">
        <f t="shared" si="84"/>
        <v>75295.335397822695</v>
      </c>
      <c r="CW131" s="100">
        <f t="shared" si="84"/>
        <v>16004.739490928396</v>
      </c>
      <c r="CX131" s="100">
        <f t="shared" si="84"/>
        <v>411.2842284638262</v>
      </c>
      <c r="CY131" s="100">
        <f t="shared" si="84"/>
        <v>427.34620553184612</v>
      </c>
      <c r="CZ131" s="100">
        <f t="shared" si="84"/>
        <v>894.10987160922446</v>
      </c>
      <c r="DA131" s="100">
        <f t="shared" si="84"/>
        <v>8378.2059845631684</v>
      </c>
      <c r="DB131" s="306">
        <f t="shared" si="84"/>
        <v>112274.20098542064</v>
      </c>
      <c r="DC131" s="25">
        <v>58</v>
      </c>
      <c r="DD131" s="785">
        <v>41791</v>
      </c>
      <c r="DE131" s="733">
        <v>354.3</v>
      </c>
      <c r="DF131" s="734">
        <v>272.39999999999998</v>
      </c>
      <c r="DG131" s="25">
        <v>58</v>
      </c>
      <c r="DH131" s="733">
        <v>436.4</v>
      </c>
      <c r="DI131" s="734">
        <v>1080.7</v>
      </c>
      <c r="DJ131" s="25">
        <v>58</v>
      </c>
      <c r="DK131" s="733">
        <v>350</v>
      </c>
      <c r="DL131" s="734">
        <v>422.7</v>
      </c>
      <c r="DM131" s="733">
        <v>-72.699999999999989</v>
      </c>
      <c r="DN131" s="734">
        <v>82.801040927371659</v>
      </c>
      <c r="DO131" s="25">
        <v>58</v>
      </c>
      <c r="DP131" s="733">
        <v>207.9</v>
      </c>
      <c r="DQ131" s="570">
        <v>282.2</v>
      </c>
      <c r="DR131" s="734">
        <v>586.6</v>
      </c>
      <c r="DS131" s="25">
        <v>58</v>
      </c>
      <c r="DT131" s="733">
        <v>97</v>
      </c>
      <c r="DU131" s="570">
        <v>236.3</v>
      </c>
      <c r="DV131" s="734">
        <v>229.1</v>
      </c>
      <c r="DW131" s="25">
        <v>58</v>
      </c>
      <c r="DX131" s="733">
        <v>186.6</v>
      </c>
      <c r="DY131" s="734">
        <v>51.2</v>
      </c>
      <c r="DZ131" s="25">
        <v>58</v>
      </c>
      <c r="EA131" s="733">
        <v>213</v>
      </c>
      <c r="EB131" s="570">
        <v>76.3</v>
      </c>
      <c r="EC131" s="570">
        <v>3.6</v>
      </c>
      <c r="ED131" s="570">
        <v>14.6</v>
      </c>
      <c r="EE131" s="734">
        <v>2.4</v>
      </c>
      <c r="EF131" s="25">
        <v>58</v>
      </c>
      <c r="EG131" s="1569">
        <v>129.80000000000001</v>
      </c>
      <c r="EH131" s="1570">
        <v>12.4</v>
      </c>
      <c r="EI131" s="1570">
        <v>4.2</v>
      </c>
      <c r="EJ131" s="1570">
        <v>13.9</v>
      </c>
      <c r="EK131" s="1571">
        <v>1.3</v>
      </c>
      <c r="EL131" s="25">
        <v>58</v>
      </c>
      <c r="EM131" s="733">
        <v>214.3</v>
      </c>
      <c r="EN131" s="570">
        <v>12.1</v>
      </c>
      <c r="EO131" s="570">
        <v>22</v>
      </c>
      <c r="EP131" s="570">
        <v>0.1</v>
      </c>
      <c r="EQ131" s="570">
        <v>5.6</v>
      </c>
      <c r="ER131" s="570">
        <v>1.3</v>
      </c>
      <c r="ES131" s="570">
        <v>20.399999999999999</v>
      </c>
      <c r="ET131" s="570">
        <v>0.5</v>
      </c>
      <c r="EU131" s="570">
        <v>0.1</v>
      </c>
      <c r="EV131" s="734">
        <v>0.8</v>
      </c>
      <c r="EW131" s="25">
        <v>58</v>
      </c>
      <c r="EX131" s="918">
        <v>45.2</v>
      </c>
      <c r="EY131" s="919">
        <v>48.2</v>
      </c>
      <c r="EZ131" s="919">
        <v>52.9</v>
      </c>
      <c r="FA131" s="919">
        <v>1.2</v>
      </c>
      <c r="FB131" s="919">
        <v>16.7</v>
      </c>
      <c r="FC131" s="919">
        <v>21.4</v>
      </c>
      <c r="FD131" s="919">
        <v>3.3</v>
      </c>
      <c r="FE131" s="919">
        <v>14.2</v>
      </c>
      <c r="FF131" s="919">
        <v>2.8</v>
      </c>
      <c r="FG131" s="920">
        <v>5.8</v>
      </c>
      <c r="FH131" s="25">
        <v>58</v>
      </c>
      <c r="FI131" s="848">
        <v>41791</v>
      </c>
      <c r="FJ131" s="19">
        <v>3197</v>
      </c>
      <c r="FK131" s="93">
        <v>2585</v>
      </c>
      <c r="FL131" s="20">
        <v>1</v>
      </c>
      <c r="FM131" s="25">
        <v>58</v>
      </c>
      <c r="FN131" s="19">
        <v>247</v>
      </c>
      <c r="FO131" s="93">
        <v>1984</v>
      </c>
      <c r="FP131" s="93">
        <v>2049</v>
      </c>
      <c r="FQ131" s="93">
        <v>930</v>
      </c>
      <c r="FR131" s="93">
        <v>355</v>
      </c>
      <c r="FS131" s="93">
        <v>147</v>
      </c>
      <c r="FT131" s="93">
        <v>52</v>
      </c>
      <c r="FU131" s="93">
        <v>11</v>
      </c>
      <c r="FV131" s="93">
        <v>5</v>
      </c>
      <c r="FW131" s="917">
        <v>3</v>
      </c>
      <c r="FX131" s="25">
        <v>58</v>
      </c>
      <c r="FY131" s="975">
        <v>206</v>
      </c>
      <c r="FZ131" s="975">
        <v>393</v>
      </c>
      <c r="GA131" s="975">
        <v>934</v>
      </c>
      <c r="GB131" s="975">
        <v>520</v>
      </c>
      <c r="GC131" s="975">
        <v>1103</v>
      </c>
      <c r="GD131" s="975">
        <v>423</v>
      </c>
      <c r="GE131" s="975">
        <v>1129</v>
      </c>
      <c r="GF131" s="975">
        <v>369</v>
      </c>
      <c r="GG131" s="975">
        <v>83</v>
      </c>
      <c r="GH131" s="975">
        <v>548</v>
      </c>
      <c r="GI131" s="976">
        <v>76</v>
      </c>
      <c r="GJ131" s="25">
        <v>58</v>
      </c>
      <c r="GK131" s="19"/>
      <c r="GL131" s="20"/>
      <c r="GM131" s="25">
        <v>58</v>
      </c>
      <c r="GN131" s="19">
        <v>5821</v>
      </c>
      <c r="GO131" s="20">
        <v>1909</v>
      </c>
      <c r="GP131" s="25">
        <v>58</v>
      </c>
      <c r="GQ131" s="19">
        <v>33</v>
      </c>
      <c r="GR131" s="20">
        <v>32</v>
      </c>
      <c r="GS131" s="25">
        <v>58</v>
      </c>
      <c r="GT131" s="848">
        <v>41791</v>
      </c>
      <c r="GU131" s="733">
        <v>688.38621205862341</v>
      </c>
      <c r="GV131" s="570">
        <v>537.37413075534994</v>
      </c>
      <c r="GW131" s="570">
        <v>537.36250837135003</v>
      </c>
      <c r="GX131" s="570">
        <v>478.63951502299994</v>
      </c>
      <c r="GY131" s="570">
        <v>143.04163154600002</v>
      </c>
      <c r="GZ131" s="570">
        <v>3.8932994220000001</v>
      </c>
      <c r="HA131" s="570">
        <v>3.8542949109999998</v>
      </c>
      <c r="HB131" s="570">
        <v>252.892742312</v>
      </c>
      <c r="HC131" s="570">
        <v>71.382978385000001</v>
      </c>
      <c r="HD131" s="570">
        <v>3.5745684469999994</v>
      </c>
      <c r="HE131" s="570">
        <v>58.722993348350016</v>
      </c>
      <c r="HF131" s="570">
        <v>2.9013152529999995</v>
      </c>
      <c r="HG131" s="570">
        <v>13.42946095235</v>
      </c>
      <c r="HH131" s="570">
        <v>0.84735381300000001</v>
      </c>
      <c r="HI131" s="570">
        <v>17.730438288999999</v>
      </c>
      <c r="HJ131" s="570">
        <v>23.814425041</v>
      </c>
      <c r="HK131" s="570">
        <v>1.1622383999999999E-2</v>
      </c>
      <c r="HL131" s="570">
        <v>151.01208130327342</v>
      </c>
      <c r="HM131" s="570">
        <v>102.48180678927339</v>
      </c>
      <c r="HN131" s="570">
        <v>48.530274513999998</v>
      </c>
      <c r="HO131" s="570">
        <v>755.20849988659529</v>
      </c>
      <c r="HP131" s="570">
        <v>759.43139443859536</v>
      </c>
      <c r="HQ131" s="570">
        <v>455.60836280099994</v>
      </c>
      <c r="HR131" s="570">
        <v>209.405870142</v>
      </c>
      <c r="HS131" s="570">
        <v>59.522471977999999</v>
      </c>
      <c r="HT131" s="570">
        <v>17.484060375999999</v>
      </c>
      <c r="HU131" s="570">
        <v>10.400046510999999</v>
      </c>
      <c r="HV131" s="570">
        <v>7.0840138650000011</v>
      </c>
      <c r="HW131" s="570">
        <v>169.195960305</v>
      </c>
      <c r="HX131" s="570">
        <v>9.2651415480000008</v>
      </c>
      <c r="HY131" s="570">
        <v>34.594821451999998</v>
      </c>
      <c r="HZ131" s="570">
        <v>10.89263253</v>
      </c>
      <c r="IA131" s="570">
        <v>23.630862604000001</v>
      </c>
      <c r="IB131" s="570">
        <v>303.82303163759531</v>
      </c>
      <c r="IC131" s="570">
        <v>165.29960962200002</v>
      </c>
      <c r="ID131" s="570">
        <v>4.745674105</v>
      </c>
      <c r="IE131" s="570">
        <v>133.77774791059531</v>
      </c>
      <c r="IF131" s="570">
        <v>-4.2228945519999961</v>
      </c>
      <c r="IG131" s="570">
        <v>-66.822287827971905</v>
      </c>
      <c r="IH131" s="570">
        <v>-217.83436913124535</v>
      </c>
      <c r="II131" s="570">
        <v>-66.572560844649999</v>
      </c>
      <c r="IJ131" s="570">
        <v>-84.056621220649987</v>
      </c>
      <c r="IK131" s="570">
        <v>-24.194068279971958</v>
      </c>
      <c r="IL131" s="570">
        <v>-175.20614958324538</v>
      </c>
      <c r="IM131" s="570">
        <v>28.65141730432191</v>
      </c>
      <c r="IN131" s="570">
        <v>40.647607925321907</v>
      </c>
      <c r="IO131" s="570">
        <v>55.315515306321913</v>
      </c>
      <c r="IP131" s="570">
        <v>-14.667907381000001</v>
      </c>
      <c r="IQ131" s="570">
        <v>0</v>
      </c>
      <c r="IR131" s="570">
        <v>-11.996190621000002</v>
      </c>
      <c r="IS131" s="570">
        <v>-21.943818112000006</v>
      </c>
      <c r="IT131" s="570">
        <v>9.9476274910000004</v>
      </c>
      <c r="IU131" s="570">
        <v>-1.4901161193847656E-14</v>
      </c>
      <c r="IV131" s="93">
        <v>58</v>
      </c>
      <c r="IW131" s="848">
        <v>41791</v>
      </c>
      <c r="IX131" s="1035"/>
      <c r="IY131" s="1035">
        <v>162.61359999999999</v>
      </c>
      <c r="IZ131" s="1035">
        <v>207.9676</v>
      </c>
      <c r="JA131" s="1035">
        <v>0.48956427000000002</v>
      </c>
      <c r="JB131" s="1035">
        <v>854.54462847808588</v>
      </c>
      <c r="JC131" s="1035">
        <v>137.89610000000002</v>
      </c>
      <c r="JD131" s="1035">
        <v>1155.5438927480859</v>
      </c>
      <c r="JE131" s="1035">
        <v>888.65944913899818</v>
      </c>
      <c r="JF131" s="1035">
        <v>2044.2033418870842</v>
      </c>
      <c r="JG131" s="1035"/>
      <c r="JH131" s="1035">
        <v>545.29945271062672</v>
      </c>
      <c r="JI131" s="1035">
        <v>-42.337501962999966</v>
      </c>
      <c r="JJ131" s="1035">
        <v>587.63695467362675</v>
      </c>
      <c r="JK131" s="1035">
        <v>1729.9872925934576</v>
      </c>
      <c r="JL131" s="1035">
        <v>41.252803796999977</v>
      </c>
      <c r="JM131" s="1035">
        <v>40.149803796999997</v>
      </c>
      <c r="JN131" s="1035">
        <v>1.1029999999999802</v>
      </c>
      <c r="JO131" s="1035">
        <v>1688.7344887964575</v>
      </c>
      <c r="JP131" s="1035">
        <v>3.4333658530000002</v>
      </c>
      <c r="JQ131" s="1035">
        <v>1685.3011229434574</v>
      </c>
      <c r="JR131" s="1035">
        <v>291.01658923799999</v>
      </c>
      <c r="JS131" s="1035">
        <v>-59.933185821000038</v>
      </c>
      <c r="JT131" s="1036">
        <v>2044.2033418870844</v>
      </c>
      <c r="JU131" s="29">
        <v>58</v>
      </c>
      <c r="JV131" s="1037"/>
      <c r="JW131" s="1526">
        <f>VLOOKUP($IW131,Base_Mensuelle!$OF$68:$RM$679,HLOOKUP(JW$73,Base_Mensuelle!$PE$67:$QE$680,614,0))</f>
        <v>-42.337501962999966</v>
      </c>
      <c r="JX131" s="1526">
        <f>VLOOKUP($IW131,Base_Mensuelle!$OF$68:$RM$679,HLOOKUP(JX$73,Base_Mensuelle!$PE$67:$QE$680,614,0))</f>
        <v>242.225886054</v>
      </c>
      <c r="JY131" s="1526">
        <f>VLOOKUP($IW131,Base_Mensuelle!$OF$68:$RM$679,HLOOKUP(JY$73,Base_Mensuelle!$PE$67:$QE$680,614,0))</f>
        <v>284.56338801699997</v>
      </c>
      <c r="JZ131" s="1526">
        <f>VLOOKUP($IW131,Base_Mensuelle!$OF$68:$RM$679,HLOOKUP(JZ$73,Base_Mensuelle!$PE$67:$QE$680,614,0))</f>
        <v>343.38799999999998</v>
      </c>
      <c r="KA131" s="1526">
        <f>VLOOKUP($IW131,Base_Mensuelle!$OF$68:$RM$679,HLOOKUP(KA$73,Base_Mensuelle!$PE$67:$QE$680,614,0))</f>
        <v>44.138803796999994</v>
      </c>
      <c r="KB131" s="1526">
        <f>VLOOKUP($IW131,Base_Mensuelle!$OF$68:$RM$679,HLOOKUP(KB$73,Base_Mensuelle!$PE$67:$QE$680,614,0))</f>
        <v>131.55155098899999</v>
      </c>
      <c r="KC131" s="1526">
        <f>VLOOKUP($IW131,Base_Mensuelle!$OF$68:$RM$679,HLOOKUP(KC$73,Base_Mensuelle!$PE$67:$QE$680,614,0))</f>
        <v>87.412747191999998</v>
      </c>
      <c r="KD131" s="1526">
        <f>VLOOKUP($IW131,Base_Mensuelle!$OF$68:$RM$679,HLOOKUP(KD$73,Base_Mensuelle!$PE$67:$QE$680,614,0))</f>
        <v>3.4333658530000002</v>
      </c>
      <c r="KE131" s="1526">
        <f>VLOOKUP($IW131,Base_Mensuelle!$OF$68:$RM$679,HLOOKUP(KE$73,Base_Mensuelle!$PE$67:$QE$680,614,0))</f>
        <v>0</v>
      </c>
      <c r="KF131" s="1526">
        <f>VLOOKUP($IW131,Base_Mensuelle!$OF$68:$RM$679,HLOOKUP(KF$73,Base_Mensuelle!$PE$67:$QE$680,614,0))</f>
        <v>0</v>
      </c>
      <c r="KG131" s="1526">
        <f>VLOOKUP($IW131,Base_Mensuelle!$OF$68:$RM$679,HLOOKUP(KG$73,Base_Mensuelle!$PE$67:$QE$680,614,0))</f>
        <v>5.2221199999999998E-4</v>
      </c>
      <c r="KH131" s="1526">
        <f>VLOOKUP($IW131,Base_Mensuelle!$OF$68:$RM$679,HLOOKUP(KH$73,Base_Mensuelle!$PE$67:$QE$680,614,0))</f>
        <v>3.4328436410000003</v>
      </c>
      <c r="KI131" s="1526">
        <f>VLOOKUP($IW131,Base_Mensuelle!$OF$68:$RM$679,HLOOKUP(KI$73,Base_Mensuelle!$PE$67:$QE$680,614,0))</f>
        <v>339.99214592300001</v>
      </c>
      <c r="KJ131" s="1526">
        <f>VLOOKUP($IW131,Base_Mensuelle!$OF$68:$RM$679,HLOOKUP(KJ$73,Base_Mensuelle!$PE$67:$QE$680,614,0))</f>
        <v>207.9676</v>
      </c>
      <c r="KK131" s="1526">
        <f>VLOOKUP($IW131,Base_Mensuelle!$OF$68:$RM$679,HLOOKUP(KK$73,Base_Mensuelle!$PE$67:$QE$680,614,0))</f>
        <v>131.53498165299999</v>
      </c>
      <c r="KL131" s="1526">
        <f>VLOOKUP($IW131,Base_Mensuelle!$OF$68:$RM$679,HLOOKUP(KL$73,Base_Mensuelle!$PE$67:$QE$680,614,0))</f>
        <v>0.48956427000000002</v>
      </c>
      <c r="KM131" s="1526">
        <f>VLOOKUP($IW131,Base_Mensuelle!$OF$68:$RM$679,HLOOKUP(KM$73,Base_Mensuelle!$PE$67:$QE$680,614,0))</f>
        <v>0</v>
      </c>
      <c r="KN131" s="1526">
        <f>VLOOKUP($IW131,Base_Mensuelle!$OF$68:$RM$679,HLOOKUP(KN$73,Base_Mensuelle!$PE$67:$QE$680,614,0))</f>
        <v>1.0530311210000001</v>
      </c>
      <c r="KO131" s="1526">
        <f>VLOOKUP($IW131,Base_Mensuelle!$OF$68:$RM$679,HLOOKUP(KO$73,Base_Mensuelle!$PE$67:$QE$680,614,0))</f>
        <v>0</v>
      </c>
      <c r="KP131" s="1526">
        <f>VLOOKUP($IW131,Base_Mensuelle!$OF$68:$RM$679,HLOOKUP(KP$73,Base_Mensuelle!$PE$67:$QE$680,614,0))</f>
        <v>0</v>
      </c>
      <c r="KQ131" s="1526">
        <f>VLOOKUP($IW131,Base_Mensuelle!$OF$68:$RM$679,HLOOKUP(KQ$73,Base_Mensuelle!$PE$67:$QE$680,614,0))</f>
        <v>1.0530311210000001</v>
      </c>
      <c r="KR131" s="1526">
        <f>VLOOKUP($IW131,Base_Mensuelle!$OF$68:$RM$679,HLOOKUP(KR$73,Base_Mensuelle!$PE$67:$QE$680,614,0))</f>
        <v>0</v>
      </c>
      <c r="KS131" s="1526">
        <f>VLOOKUP($IW131,Base_Mensuelle!$OF$68:$RM$679,HLOOKUP(KS$73,Base_Mensuelle!$PE$67:$QE$680,614,0))</f>
        <v>0</v>
      </c>
      <c r="KT131" s="1526">
        <f>VLOOKUP($IW131,Base_Mensuelle!$OF$68:$RM$679,HLOOKUP(KT$73,Base_Mensuelle!$PE$67:$QE$680,614,0))</f>
        <v>0</v>
      </c>
      <c r="KU131" s="1526">
        <f>VLOOKUP($IW131,Base_Mensuelle!$OF$68:$RM$679,HLOOKUP(KU$73,Base_Mensuelle!$PE$67:$QE$680,614,0))</f>
        <v>2.8545581169999998</v>
      </c>
      <c r="KV131" s="1526">
        <f>VLOOKUP($IW131,Base_Mensuelle!$OF$68:$RM$679,HLOOKUP(KV$73,Base_Mensuelle!$PE$67:$QE$680,614,0))</f>
        <v>4.7229325260000001</v>
      </c>
      <c r="KW131" s="1036"/>
      <c r="KX131" s="29">
        <v>58</v>
      </c>
      <c r="KY131" s="1037"/>
      <c r="KZ131" s="182">
        <f>VLOOKUP($IW131,Base_Mensuelle!$OF$68:$RM$679,HLOOKUP(KZ$73,Base_Mensuelle!$QG$67:$RM$680,614,0))</f>
        <v>587.63695467362675</v>
      </c>
      <c r="LA131" s="182">
        <f>VLOOKUP($IW131,Base_Mensuelle!$OF$68:$RM$679,HLOOKUP(LA$73,Base_Mensuelle!$QG$67:$RM$680,614,0))</f>
        <v>795.56087705654261</v>
      </c>
      <c r="LB131" s="182">
        <f>VLOOKUP($IW131,Base_Mensuelle!$OF$68:$RM$679,HLOOKUP(LB$73,Base_Mensuelle!$QG$67:$RM$680,614,0))</f>
        <v>-207.92392238291583</v>
      </c>
      <c r="LC131" s="182">
        <f>VLOOKUP($IW131,Base_Mensuelle!$OF$68:$RM$679,HLOOKUP(LC$73,Base_Mensuelle!$QG$67:$RM$680,614,0))</f>
        <v>166.684</v>
      </c>
      <c r="LD131" s="182">
        <f>VLOOKUP($IW131,Base_Mensuelle!$OF$68:$RM$679,HLOOKUP(LD$73,Base_Mensuelle!$QG$67:$RM$680,614,0))</f>
        <v>41.365000000000002</v>
      </c>
      <c r="LE131" s="182">
        <f>VLOOKUP($IW131,Base_Mensuelle!$OF$68:$RM$679,HLOOKUP(LE$73,Base_Mensuelle!$QG$67:$RM$680,614,0))</f>
        <v>125.319</v>
      </c>
      <c r="LF131" s="182">
        <f>VLOOKUP($IW131,Base_Mensuelle!$OF$68:$RM$679,HLOOKUP(LF$73,Base_Mensuelle!$QG$67:$RM$680,614,0))</f>
        <v>0</v>
      </c>
      <c r="LG131" s="182">
        <f>VLOOKUP($IW131,Base_Mensuelle!$OF$68:$RM$679,HLOOKUP(LG$73,Base_Mensuelle!$QG$67:$RM$680,614,0))</f>
        <v>1.1029999999999802</v>
      </c>
      <c r="LH131" s="182">
        <f>VLOOKUP($IW131,Base_Mensuelle!$OF$68:$RM$679,HLOOKUP(LH$73,Base_Mensuelle!$QG$67:$RM$680,614,0))</f>
        <v>218.58799999999999</v>
      </c>
      <c r="LI131" s="182">
        <f>VLOOKUP($IW131,Base_Mensuelle!$OF$68:$RM$679,HLOOKUP(LI$73,Base_Mensuelle!$QG$67:$RM$680,614,0))</f>
        <v>-217.48500000000001</v>
      </c>
      <c r="LJ131" s="182">
        <f>VLOOKUP($IW131,Base_Mensuelle!$OF$68:$RM$679,HLOOKUP(LJ$73,Base_Mensuelle!$QG$67:$RM$680,614,0))</f>
        <v>1685.3011229434574</v>
      </c>
      <c r="LK131" s="182">
        <f>VLOOKUP($IW131,Base_Mensuelle!$OF$68:$RM$679,HLOOKUP(LK$73,Base_Mensuelle!$QG$67:$RM$680,614,0))</f>
        <v>25.856578570484224</v>
      </c>
      <c r="LL131" s="182">
        <f>VLOOKUP($IW131,Base_Mensuelle!$OF$68:$RM$679,HLOOKUP(LL$73,Base_Mensuelle!$QG$67:$RM$680,614,0))</f>
        <v>0</v>
      </c>
      <c r="LM131" s="182">
        <f>VLOOKUP($IW131,Base_Mensuelle!$OF$68:$RM$679,HLOOKUP(LM$73,Base_Mensuelle!$QG$67:$RM$680,614,0))</f>
        <v>161.9</v>
      </c>
      <c r="LN131" s="182">
        <f>VLOOKUP($IW131,Base_Mensuelle!$OF$68:$RM$679,HLOOKUP(LN$73,Base_Mensuelle!$QG$67:$RM$680,614,0))</f>
        <v>1497.5445443729732</v>
      </c>
      <c r="LO131" s="182">
        <f>VLOOKUP($IW131,Base_Mensuelle!$OF$68:$RM$679,HLOOKUP(LO$73,Base_Mensuelle!$QG$67:$RM$680,614,0))</f>
        <v>0</v>
      </c>
      <c r="LP131" s="182">
        <f>VLOOKUP($IW131,Base_Mensuelle!$OF$68:$RM$679,HLOOKUP(LP$73,Base_Mensuelle!$QG$67:$RM$680,614,0))</f>
        <v>326.52499999999998</v>
      </c>
      <c r="LQ131" s="182">
        <f>VLOOKUP($IW131,Base_Mensuelle!$OF$68:$RM$679,HLOOKUP(LQ$73,Base_Mensuelle!$QG$67:$RM$680,614,0))</f>
        <v>854.54462847808588</v>
      </c>
      <c r="LR131" s="182">
        <f>VLOOKUP($IW131,Base_Mensuelle!$OF$68:$RM$679,HLOOKUP(LR$73,Base_Mensuelle!$QG$67:$RM$680,614,0))</f>
        <v>888.65944913899818</v>
      </c>
      <c r="LS131" s="182">
        <f>VLOOKUP($IW131,Base_Mensuelle!$OF$68:$RM$679,HLOOKUP(LS$73,Base_Mensuelle!$QG$67:$RM$680,614,0))</f>
        <v>0</v>
      </c>
      <c r="LT131" s="182">
        <f>VLOOKUP($IW131,Base_Mensuelle!$OF$68:$RM$679,HLOOKUP(LT$73,Base_Mensuelle!$QG$67:$RM$680,614,0))</f>
        <v>35.902000000000001</v>
      </c>
      <c r="LU131" s="182">
        <f>VLOOKUP($IW131,Base_Mensuelle!$OF$68:$RM$679,HLOOKUP(LU$73,Base_Mensuelle!$QG$67:$RM$680,614,0))</f>
        <v>6.3279999999999994</v>
      </c>
      <c r="LV131" s="182">
        <f>VLOOKUP($IW131,Base_Mensuelle!$OF$68:$RM$679,HLOOKUP(LV$73,Base_Mensuelle!$QG$67:$RM$680,614,0))</f>
        <v>15.200000000000001</v>
      </c>
      <c r="LW131" s="182">
        <f>VLOOKUP($IW131,Base_Mensuelle!$OF$68:$RM$679,HLOOKUP(LW$73,Base_Mensuelle!$QG$67:$RM$680,614,0))</f>
        <v>0</v>
      </c>
      <c r="LX131" s="182">
        <f>VLOOKUP($IW131,Base_Mensuelle!$OF$68:$RM$679,HLOOKUP(LX$73,Base_Mensuelle!$QG$67:$RM$680,614,0))</f>
        <v>0</v>
      </c>
      <c r="LY131" s="182">
        <f>VLOOKUP($IW131,Base_Mensuelle!$OF$68:$RM$679,HLOOKUP(LY$73,Base_Mensuelle!$QG$67:$RM$680,614,0))</f>
        <v>229.67899999999997</v>
      </c>
      <c r="LZ131" s="182">
        <f>VLOOKUP($IW131,Base_Mensuelle!$OF$68:$RM$679,HLOOKUP(LZ$73,Base_Mensuelle!$QG$67:$RM$680,614,0))</f>
        <v>83.887000000000015</v>
      </c>
      <c r="MA131" s="182">
        <f>VLOOKUP($IW131,Base_Mensuelle!$OF$68:$RM$679,HLOOKUP(MA$73,Base_Mensuelle!$QG$67:$RM$680,614,0))</f>
        <v>0</v>
      </c>
      <c r="MB131" s="182">
        <f>VLOOKUP($IW131,Base_Mensuelle!$OF$68:$RM$679,HLOOKUP(MB$73,Base_Mensuelle!$QG$67:$RM$680,614,0))</f>
        <v>0</v>
      </c>
      <c r="MC131" s="182">
        <f>VLOOKUP($IW131,Base_Mensuelle!$OF$68:$RM$679,HLOOKUP(MC$73,Base_Mensuelle!$QG$67:$RM$680,614,0))</f>
        <v>0</v>
      </c>
      <c r="MD131" s="182">
        <f>VLOOKUP($IW131,Base_Mensuelle!$OF$68:$RM$679,HLOOKUP(MD$73,Base_Mensuelle!$QG$67:$RM$680,614,0))</f>
        <v>0</v>
      </c>
      <c r="ME131" s="182">
        <f>VLOOKUP($IW131,Base_Mensuelle!$OF$68:$RM$679,HLOOKUP(ME$73,Base_Mensuelle!$QG$67:$RM$680,614,0))</f>
        <v>0</v>
      </c>
      <c r="MF131" s="182"/>
      <c r="MG131" s="182"/>
      <c r="MH131" s="290"/>
      <c r="MI131" s="29">
        <v>58</v>
      </c>
      <c r="MJ131" s="29" t="str">
        <f t="shared" si="82"/>
        <v>Trimestre 22014</v>
      </c>
      <c r="MK131" s="848">
        <v>41791</v>
      </c>
      <c r="ML131" s="29"/>
      <c r="MM131" s="29"/>
      <c r="MN131" s="29"/>
      <c r="MO131" s="29"/>
      <c r="MP131" s="29"/>
      <c r="MQ131" s="29"/>
      <c r="MR131" s="29"/>
      <c r="MS131" s="29"/>
      <c r="MT131" s="29"/>
      <c r="MU131" s="29"/>
      <c r="MV131" s="29"/>
      <c r="MW131" s="29"/>
      <c r="MX131" s="29"/>
      <c r="MY131" s="29"/>
      <c r="MZ131" s="29"/>
      <c r="NA131" s="29"/>
      <c r="NB131" s="29"/>
      <c r="NC131" s="29"/>
      <c r="ND131" s="29"/>
      <c r="NE131" s="29"/>
      <c r="NF131" s="29"/>
      <c r="NG131" s="29"/>
      <c r="NH131" s="29"/>
      <c r="NI131" s="29"/>
      <c r="NJ131" s="29"/>
      <c r="NK131" s="29"/>
      <c r="NL131" s="29">
        <v>58</v>
      </c>
    </row>
    <row r="132" spans="1:376">
      <c r="A132" s="41">
        <f t="shared" si="80"/>
        <v>2014</v>
      </c>
      <c r="B132" s="785">
        <v>41883</v>
      </c>
      <c r="C132" s="733">
        <v>905.36373466777309</v>
      </c>
      <c r="D132" s="1547">
        <v>148.13336957898929</v>
      </c>
      <c r="E132" s="570">
        <v>167.44168245402531</v>
      </c>
      <c r="F132" s="1547">
        <v>11.595747687224055</v>
      </c>
      <c r="G132" s="1547">
        <v>22.274384772633113</v>
      </c>
      <c r="H132" s="1547">
        <v>85.390284992434502</v>
      </c>
      <c r="I132" s="570">
        <v>74.381635030491452</v>
      </c>
      <c r="J132" s="570">
        <v>83.778948416941262</v>
      </c>
      <c r="K132" s="570">
        <v>129.65766493012575</v>
      </c>
      <c r="L132" s="570">
        <v>152.47739319739398</v>
      </c>
      <c r="M132" s="734">
        <v>118.05221287279905</v>
      </c>
      <c r="N132" s="25">
        <v>59</v>
      </c>
      <c r="O132" s="889">
        <f t="shared" si="79"/>
        <v>2014</v>
      </c>
      <c r="P132" s="29" t="str">
        <f t="shared" si="81"/>
        <v>Trimestre 32014</v>
      </c>
      <c r="Q132" s="848">
        <v>41883</v>
      </c>
      <c r="R132" s="733">
        <v>9.5307601899999987</v>
      </c>
      <c r="S132" s="1547">
        <v>0</v>
      </c>
      <c r="T132" s="570">
        <v>878.5985908016354</v>
      </c>
      <c r="U132" s="734">
        <v>78.31</v>
      </c>
      <c r="V132" s="25">
        <v>59</v>
      </c>
      <c r="W132" s="733">
        <v>4197</v>
      </c>
      <c r="X132" s="570">
        <v>0</v>
      </c>
      <c r="Y132" s="570">
        <v>355.33861492885751</v>
      </c>
      <c r="Z132" s="570">
        <v>138.12385299227441</v>
      </c>
      <c r="AA132" s="570">
        <v>43.75</v>
      </c>
      <c r="AB132" s="570">
        <v>96.518000000000001</v>
      </c>
      <c r="AC132" s="570">
        <v>717.54300000000001</v>
      </c>
      <c r="AD132" s="570">
        <v>198.60699399999999</v>
      </c>
      <c r="AE132" s="734">
        <v>15.288341000000001</v>
      </c>
      <c r="AF132" s="25">
        <v>59</v>
      </c>
      <c r="AG132" s="733">
        <v>10.923813967744188</v>
      </c>
      <c r="AH132" s="570">
        <v>12.546857452514296</v>
      </c>
      <c r="AI132" s="570">
        <v>-2.6008493928220169</v>
      </c>
      <c r="AJ132" s="570">
        <v>-26.04231061731797</v>
      </c>
      <c r="AK132" s="570">
        <v>12.438873926706417</v>
      </c>
      <c r="AL132" s="570">
        <v>-5.6920912346768606</v>
      </c>
      <c r="AM132" s="570">
        <v>-3.9489165128093102</v>
      </c>
      <c r="AN132" s="734">
        <v>10.538376923955237</v>
      </c>
      <c r="AO132" s="733">
        <v>-7.2013757244670558</v>
      </c>
      <c r="AP132" s="570">
        <v>-33.391362735136127</v>
      </c>
      <c r="AQ132" s="570">
        <v>1.4594000329873218</v>
      </c>
      <c r="AR132" s="570">
        <v>2.5148844778994963</v>
      </c>
      <c r="AS132" s="734">
        <v>-8.2568807339449553</v>
      </c>
      <c r="AT132" s="733">
        <v>-8.7665641491211481</v>
      </c>
      <c r="AU132" s="570">
        <v>-3.9614527243654631</v>
      </c>
      <c r="AV132" s="734">
        <v>-4.4840853445226205</v>
      </c>
      <c r="AW132" s="733">
        <v>-41.158307125879183</v>
      </c>
      <c r="AX132" s="570">
        <v>11.359736921009198</v>
      </c>
      <c r="AY132" s="570">
        <v>11.274721478689788</v>
      </c>
      <c r="AZ132" s="570">
        <v>9.4867000210713428</v>
      </c>
      <c r="BA132" s="570">
        <v>-21.4928147492733</v>
      </c>
      <c r="BB132" s="570">
        <v>-26.408675294472452</v>
      </c>
      <c r="BC132" s="734">
        <v>11.009174311926605</v>
      </c>
      <c r="BD132" s="179">
        <v>13.172568084183659</v>
      </c>
      <c r="BE132" s="99">
        <v>21.26678486167112</v>
      </c>
      <c r="BF132" s="99">
        <v>-58.514712774863284</v>
      </c>
      <c r="BG132" s="99">
        <v>-66.99606232862844</v>
      </c>
      <c r="BH132" s="99">
        <v>-39.331949550748298</v>
      </c>
      <c r="BI132" s="99">
        <v>-32.736349243439136</v>
      </c>
      <c r="BJ132" s="99">
        <v>7.2296473216473913</v>
      </c>
      <c r="BK132" s="132">
        <v>1.2637276956253254</v>
      </c>
      <c r="BL132" s="179">
        <v>64.877790703456853</v>
      </c>
      <c r="BM132" s="99">
        <v>-25.262861707210597</v>
      </c>
      <c r="BN132" s="99">
        <v>-29.549659947519554</v>
      </c>
      <c r="BO132" s="99">
        <v>34.190280410386237</v>
      </c>
      <c r="BP132" s="99">
        <v>-23.80952380952381</v>
      </c>
      <c r="BQ132" s="132">
        <v>-19.047619047619047</v>
      </c>
      <c r="BR132" s="179">
        <v>18.625815081665074</v>
      </c>
      <c r="BS132" s="99">
        <v>-10.46864368902566</v>
      </c>
      <c r="BT132" s="99">
        <v>-16.628403012058182</v>
      </c>
      <c r="BU132" s="132">
        <v>-61.313424451789402</v>
      </c>
      <c r="BV132" s="179">
        <v>5.1864591855149023</v>
      </c>
      <c r="BW132" s="99">
        <v>11.902949212234263</v>
      </c>
      <c r="BX132" s="99">
        <v>11.170598856713038</v>
      </c>
      <c r="BY132" s="99">
        <v>-60.009933241528415</v>
      </c>
      <c r="BZ132" s="99">
        <v>-53.305482514020284</v>
      </c>
      <c r="CA132" s="99">
        <v>4.7619047619047628</v>
      </c>
      <c r="CB132" s="132">
        <v>14.285714285714285</v>
      </c>
      <c r="CC132" s="25">
        <v>59</v>
      </c>
      <c r="CD132" s="181">
        <v>127856</v>
      </c>
      <c r="CE132" s="182">
        <v>12350893</v>
      </c>
      <c r="CF132" s="290">
        <v>1590371</v>
      </c>
      <c r="CG132" s="25">
        <v>59</v>
      </c>
      <c r="CH132" s="419">
        <f t="shared" si="83"/>
        <v>27258.209253229179</v>
      </c>
      <c r="CI132" s="100">
        <f t="shared" si="83"/>
        <v>5717.9727780556705</v>
      </c>
      <c r="CJ132" s="100">
        <f t="shared" si="83"/>
        <v>5089.9221647835675</v>
      </c>
      <c r="CK132" s="100">
        <f t="shared" si="83"/>
        <v>39884.280749811798</v>
      </c>
      <c r="CL132" s="100">
        <f t="shared" si="83"/>
        <v>27463.449733552941</v>
      </c>
      <c r="CM132" s="100">
        <f t="shared" si="83"/>
        <v>4474.3389570568306</v>
      </c>
      <c r="CN132" s="100">
        <f t="shared" si="83"/>
        <v>5352.8597916964081</v>
      </c>
      <c r="CO132" s="100">
        <f t="shared" si="83"/>
        <v>3514.9320439167964</v>
      </c>
      <c r="CP132" s="100">
        <f t="shared" si="83"/>
        <v>1080.4594843099126</v>
      </c>
      <c r="CQ132" s="100">
        <f t="shared" si="83"/>
        <v>1972.7140767290962</v>
      </c>
      <c r="CR132" s="420">
        <f t="shared" si="83"/>
        <v>43644.244449380356</v>
      </c>
      <c r="CS132" s="306">
        <f t="shared" si="83"/>
        <v>107859.93232859699</v>
      </c>
      <c r="CT132" s="25">
        <v>59</v>
      </c>
      <c r="CU132" s="419">
        <f t="shared" si="84"/>
        <v>11794.014672126761</v>
      </c>
      <c r="CV132" s="100">
        <f t="shared" si="84"/>
        <v>73472.058249661568</v>
      </c>
      <c r="CW132" s="100">
        <f t="shared" si="84"/>
        <v>16463.338039565115</v>
      </c>
      <c r="CX132" s="100">
        <f t="shared" si="84"/>
        <v>328.95627739492386</v>
      </c>
      <c r="CY132" s="100">
        <f t="shared" si="84"/>
        <v>386.29529380456802</v>
      </c>
      <c r="CZ132" s="100">
        <f t="shared" si="84"/>
        <v>964.49732000856943</v>
      </c>
      <c r="DA132" s="100">
        <f t="shared" si="84"/>
        <v>7914.3790014054939</v>
      </c>
      <c r="DB132" s="306">
        <f t="shared" si="84"/>
        <v>107859.93232859699</v>
      </c>
      <c r="DC132" s="25">
        <v>59</v>
      </c>
      <c r="DD132" s="785">
        <v>41883</v>
      </c>
      <c r="DE132" s="733">
        <v>252.3</v>
      </c>
      <c r="DF132" s="734">
        <v>145.69999999999999</v>
      </c>
      <c r="DG132" s="25">
        <v>59</v>
      </c>
      <c r="DH132" s="733">
        <v>410.6</v>
      </c>
      <c r="DI132" s="734">
        <v>1083.8</v>
      </c>
      <c r="DJ132" s="25">
        <v>59</v>
      </c>
      <c r="DK132" s="733">
        <v>257.336354691</v>
      </c>
      <c r="DL132" s="734">
        <v>429.35965792799999</v>
      </c>
      <c r="DM132" s="733">
        <v>-172.02330323699999</v>
      </c>
      <c r="DN132" s="734">
        <v>59.934917018718401</v>
      </c>
      <c r="DO132" s="25">
        <v>59</v>
      </c>
      <c r="DP132" s="733">
        <v>233</v>
      </c>
      <c r="DQ132" s="570">
        <v>183.8</v>
      </c>
      <c r="DR132" s="734">
        <v>428.4</v>
      </c>
      <c r="DS132" s="25">
        <v>59</v>
      </c>
      <c r="DT132" s="733">
        <v>85.3</v>
      </c>
      <c r="DU132" s="570">
        <v>252.1</v>
      </c>
      <c r="DV132" s="734">
        <v>215.1</v>
      </c>
      <c r="DW132" s="25">
        <v>59</v>
      </c>
      <c r="DX132" s="733">
        <v>133.4</v>
      </c>
      <c r="DY132" s="734">
        <v>50</v>
      </c>
      <c r="DZ132" s="25">
        <v>59</v>
      </c>
      <c r="EA132" s="733">
        <v>202.8</v>
      </c>
      <c r="EB132" s="570">
        <v>7.7</v>
      </c>
      <c r="EC132" s="570">
        <v>0.9</v>
      </c>
      <c r="ED132" s="570">
        <v>5.5</v>
      </c>
      <c r="EE132" s="734">
        <v>8.1999999999999993</v>
      </c>
      <c r="EF132" s="25">
        <v>59</v>
      </c>
      <c r="EG132" s="1569">
        <v>109.4</v>
      </c>
      <c r="EH132" s="1570">
        <v>9.6999999999999993</v>
      </c>
      <c r="EI132" s="1570">
        <v>6.9</v>
      </c>
      <c r="EJ132" s="1570">
        <v>13.8</v>
      </c>
      <c r="EK132" s="1571">
        <v>4.7</v>
      </c>
      <c r="EL132" s="25">
        <v>59</v>
      </c>
      <c r="EM132" s="733">
        <v>191.2</v>
      </c>
      <c r="EN132" s="570">
        <v>15.1</v>
      </c>
      <c r="EO132" s="570">
        <v>11.1</v>
      </c>
      <c r="EP132" s="570">
        <v>0</v>
      </c>
      <c r="EQ132" s="570">
        <v>5.9</v>
      </c>
      <c r="ER132" s="570">
        <v>0.22583045600000001</v>
      </c>
      <c r="ES132" s="570">
        <v>5.9</v>
      </c>
      <c r="ET132" s="570">
        <v>0.246957647</v>
      </c>
      <c r="EU132" s="570">
        <v>0</v>
      </c>
      <c r="EV132" s="734">
        <v>1.29079196</v>
      </c>
      <c r="EW132" s="25">
        <v>59</v>
      </c>
      <c r="EX132" s="918">
        <v>37.1</v>
      </c>
      <c r="EY132" s="919">
        <v>45.6</v>
      </c>
      <c r="EZ132" s="919">
        <v>47.2</v>
      </c>
      <c r="FA132" s="919">
        <v>1.1000000000000001</v>
      </c>
      <c r="FB132" s="919">
        <v>17.600000000000001</v>
      </c>
      <c r="FC132" s="919">
        <v>17.7</v>
      </c>
      <c r="FD132" s="919">
        <v>3.7</v>
      </c>
      <c r="FE132" s="919">
        <v>16.600000000000001</v>
      </c>
      <c r="FF132" s="919">
        <v>1.4</v>
      </c>
      <c r="FG132" s="920">
        <v>6.4</v>
      </c>
      <c r="FH132" s="25">
        <v>59</v>
      </c>
      <c r="FI132" s="848">
        <v>41883</v>
      </c>
      <c r="FJ132" s="19">
        <v>2821</v>
      </c>
      <c r="FK132" s="93">
        <v>2556</v>
      </c>
      <c r="FL132" s="20">
        <v>0</v>
      </c>
      <c r="FM132" s="25">
        <v>59</v>
      </c>
      <c r="FN132" s="19">
        <v>153</v>
      </c>
      <c r="FO132" s="93">
        <v>1602</v>
      </c>
      <c r="FP132" s="93">
        <v>1875</v>
      </c>
      <c r="FQ132" s="93">
        <v>972</v>
      </c>
      <c r="FR132" s="93">
        <v>444</v>
      </c>
      <c r="FS132" s="93">
        <v>192</v>
      </c>
      <c r="FT132" s="93">
        <v>68</v>
      </c>
      <c r="FU132" s="93">
        <v>38</v>
      </c>
      <c r="FV132" s="93">
        <v>33</v>
      </c>
      <c r="FW132" s="917">
        <v>0</v>
      </c>
      <c r="FX132" s="25">
        <v>59</v>
      </c>
      <c r="FY132" s="975">
        <v>234</v>
      </c>
      <c r="FZ132" s="975">
        <v>822</v>
      </c>
      <c r="GA132" s="975">
        <v>1110</v>
      </c>
      <c r="GB132" s="975">
        <v>182</v>
      </c>
      <c r="GC132" s="975">
        <v>691</v>
      </c>
      <c r="GD132" s="975">
        <v>430</v>
      </c>
      <c r="GE132" s="975">
        <v>986</v>
      </c>
      <c r="GF132" s="975">
        <v>238</v>
      </c>
      <c r="GG132" s="975">
        <v>57</v>
      </c>
      <c r="GH132" s="975">
        <v>492</v>
      </c>
      <c r="GI132" s="976">
        <v>135</v>
      </c>
      <c r="GJ132" s="25">
        <v>59</v>
      </c>
      <c r="GK132" s="19"/>
      <c r="GL132" s="20"/>
      <c r="GM132" s="25">
        <v>59</v>
      </c>
      <c r="GN132" s="19">
        <v>3986</v>
      </c>
      <c r="GO132" s="20">
        <v>1544</v>
      </c>
      <c r="GP132" s="25">
        <v>59</v>
      </c>
      <c r="GQ132" s="19">
        <v>32</v>
      </c>
      <c r="GR132" s="20">
        <v>31</v>
      </c>
      <c r="GS132" s="25">
        <v>59</v>
      </c>
      <c r="GT132" s="848">
        <v>41883</v>
      </c>
      <c r="GU132" s="733">
        <v>1050.155758415882</v>
      </c>
      <c r="GV132" s="570">
        <v>820.65113280100002</v>
      </c>
      <c r="GW132" s="570">
        <v>820.63956241999995</v>
      </c>
      <c r="GX132" s="570">
        <v>720.95856806999996</v>
      </c>
      <c r="GY132" s="570">
        <v>207.81928964599999</v>
      </c>
      <c r="GZ132" s="570">
        <v>5.6484104030000006</v>
      </c>
      <c r="HA132" s="570">
        <v>6.7662608759999996</v>
      </c>
      <c r="HB132" s="570">
        <v>385.76396932800003</v>
      </c>
      <c r="HC132" s="570">
        <v>108.79981686400001</v>
      </c>
      <c r="HD132" s="570">
        <v>6.160820953</v>
      </c>
      <c r="HE132" s="570">
        <v>99.680994350000006</v>
      </c>
      <c r="HF132" s="570">
        <v>4.2226702850000004</v>
      </c>
      <c r="HG132" s="570">
        <v>20.834944475</v>
      </c>
      <c r="HH132" s="570">
        <v>3.4711710949999999</v>
      </c>
      <c r="HI132" s="570">
        <v>29.845442239</v>
      </c>
      <c r="HJ132" s="570">
        <v>41.306766255999996</v>
      </c>
      <c r="HK132" s="570">
        <v>1.1570380999999999E-2</v>
      </c>
      <c r="HL132" s="570">
        <v>229.50462561488206</v>
      </c>
      <c r="HM132" s="570">
        <v>131.69494925826905</v>
      </c>
      <c r="HN132" s="570">
        <v>97.809676356613011</v>
      </c>
      <c r="HO132" s="570">
        <v>1130.9587383785019</v>
      </c>
      <c r="HP132" s="570">
        <v>1135.779318147502</v>
      </c>
      <c r="HQ132" s="570">
        <v>668.7894556903334</v>
      </c>
      <c r="HR132" s="570">
        <v>327.53775161999999</v>
      </c>
      <c r="HS132" s="570">
        <v>86.347136896333325</v>
      </c>
      <c r="HT132" s="570">
        <v>24.059479168999999</v>
      </c>
      <c r="HU132" s="570">
        <v>15.668082220000001</v>
      </c>
      <c r="HV132" s="570">
        <v>8.3913969490000007</v>
      </c>
      <c r="HW132" s="570">
        <v>230.84508800500001</v>
      </c>
      <c r="HX132" s="570">
        <v>10.692284703</v>
      </c>
      <c r="HY132" s="570">
        <v>64.427439749000001</v>
      </c>
      <c r="HZ132" s="570">
        <v>10.89263253</v>
      </c>
      <c r="IA132" s="570">
        <v>23.630862603999997</v>
      </c>
      <c r="IB132" s="570">
        <v>466.98986245716861</v>
      </c>
      <c r="IC132" s="570">
        <v>286.146611323</v>
      </c>
      <c r="ID132" s="570">
        <v>5.6198069779999988</v>
      </c>
      <c r="IE132" s="570">
        <v>175.2234441561686</v>
      </c>
      <c r="IF132" s="570">
        <v>-4.8205797690000018</v>
      </c>
      <c r="IG132" s="570">
        <v>-80.802979962619887</v>
      </c>
      <c r="IH132" s="570">
        <v>-310.30760557750193</v>
      </c>
      <c r="II132" s="570">
        <v>-111.02468225233333</v>
      </c>
      <c r="IJ132" s="570">
        <v>-135.08416142133333</v>
      </c>
      <c r="IK132" s="570">
        <v>-51.038801104619935</v>
      </c>
      <c r="IL132" s="570">
        <v>-280.54342671950201</v>
      </c>
      <c r="IM132" s="570">
        <v>56.416620828899546</v>
      </c>
      <c r="IN132" s="570">
        <v>51.061634371899558</v>
      </c>
      <c r="IO132" s="570">
        <v>67.548069082899545</v>
      </c>
      <c r="IP132" s="570">
        <v>-16.486434710999998</v>
      </c>
      <c r="IQ132" s="570">
        <v>0</v>
      </c>
      <c r="IR132" s="570">
        <v>5.3549864570000025</v>
      </c>
      <c r="IS132" s="570">
        <v>-4.5283408429999872</v>
      </c>
      <c r="IT132" s="570">
        <v>9.8833273000000013</v>
      </c>
      <c r="IU132" s="570">
        <v>0</v>
      </c>
      <c r="IV132" s="93">
        <v>59</v>
      </c>
      <c r="IW132" s="848">
        <v>41883</v>
      </c>
      <c r="IX132" s="1035"/>
      <c r="IY132" s="1035">
        <v>215.58470000000003</v>
      </c>
      <c r="IZ132" s="1035">
        <v>264.16640000000001</v>
      </c>
      <c r="JA132" s="1035">
        <v>0.46369438800000001</v>
      </c>
      <c r="JB132" s="1035">
        <v>802.00026651348526</v>
      </c>
      <c r="JC132" s="1035">
        <v>140.23390000000001</v>
      </c>
      <c r="JD132" s="1035">
        <v>1158.2825609014853</v>
      </c>
      <c r="JE132" s="1035">
        <v>914.62512869797433</v>
      </c>
      <c r="JF132" s="1035">
        <v>2072.9076895994594</v>
      </c>
      <c r="JG132" s="1035"/>
      <c r="JH132" s="1035">
        <v>538.0651431058252</v>
      </c>
      <c r="JI132" s="1035">
        <v>-71.376932322000016</v>
      </c>
      <c r="JJ132" s="1035">
        <v>609.44207542782522</v>
      </c>
      <c r="JK132" s="1035">
        <v>1801.2335254756347</v>
      </c>
      <c r="JL132" s="1035">
        <v>47.122463886000034</v>
      </c>
      <c r="JM132" s="1035">
        <v>20.902463886000007</v>
      </c>
      <c r="JN132" s="1035">
        <v>26.220000000000027</v>
      </c>
      <c r="JO132" s="1035">
        <v>1754.1110615896346</v>
      </c>
      <c r="JP132" s="1035">
        <v>4.0757418059999999</v>
      </c>
      <c r="JQ132" s="1035">
        <v>1750.0353197836346</v>
      </c>
      <c r="JR132" s="1035">
        <v>310.54352277300001</v>
      </c>
      <c r="JS132" s="1035">
        <v>-44.152543790999971</v>
      </c>
      <c r="JT132" s="1036">
        <v>2072.9076895994599</v>
      </c>
      <c r="JU132" s="29">
        <v>59</v>
      </c>
      <c r="JV132" s="1037"/>
      <c r="JW132" s="1526">
        <f>VLOOKUP($IW132,Base_Mensuelle!$OF$68:$RM$679,HLOOKUP(JW$73,Base_Mensuelle!$PE$67:$QE$680,614,0))</f>
        <v>-71.376932322000016</v>
      </c>
      <c r="JX132" s="1526">
        <f>VLOOKUP($IW132,Base_Mensuelle!$OF$68:$RM$679,HLOOKUP(JX$73,Base_Mensuelle!$PE$67:$QE$680,614,0))</f>
        <v>329.571767803</v>
      </c>
      <c r="JY132" s="1526">
        <f>VLOOKUP($IW132,Base_Mensuelle!$OF$68:$RM$679,HLOOKUP(JY$73,Base_Mensuelle!$PE$67:$QE$680,614,0))</f>
        <v>400.94870012500002</v>
      </c>
      <c r="JZ132" s="1526">
        <f>VLOOKUP($IW132,Base_Mensuelle!$OF$68:$RM$679,HLOOKUP(JZ$73,Base_Mensuelle!$PE$67:$QE$680,614,0))</f>
        <v>413.75</v>
      </c>
      <c r="KA132" s="1526">
        <f>VLOOKUP($IW132,Base_Mensuelle!$OF$68:$RM$679,HLOOKUP(KA$73,Base_Mensuelle!$PE$67:$QE$680,614,0))</f>
        <v>25.654163886000006</v>
      </c>
      <c r="KB132" s="1526">
        <f>VLOOKUP($IW132,Base_Mensuelle!$OF$68:$RM$679,HLOOKUP(KB$73,Base_Mensuelle!$PE$67:$QE$680,614,0))</f>
        <v>130.033857893</v>
      </c>
      <c r="KC132" s="1526">
        <f>VLOOKUP($IW132,Base_Mensuelle!$OF$68:$RM$679,HLOOKUP(KC$73,Base_Mensuelle!$PE$67:$QE$680,614,0))</f>
        <v>104.379694007</v>
      </c>
      <c r="KD132" s="1526">
        <f>VLOOKUP($IW132,Base_Mensuelle!$OF$68:$RM$679,HLOOKUP(KD$73,Base_Mensuelle!$PE$67:$QE$680,614,0))</f>
        <v>4.0757418059999999</v>
      </c>
      <c r="KE132" s="1526">
        <f>VLOOKUP($IW132,Base_Mensuelle!$OF$68:$RM$679,HLOOKUP(KE$73,Base_Mensuelle!$PE$67:$QE$680,614,0))</f>
        <v>0.6</v>
      </c>
      <c r="KF132" s="1526">
        <f>VLOOKUP($IW132,Base_Mensuelle!$OF$68:$RM$679,HLOOKUP(KF$73,Base_Mensuelle!$PE$67:$QE$680,614,0))</f>
        <v>0</v>
      </c>
      <c r="KG132" s="1526">
        <f>VLOOKUP($IW132,Base_Mensuelle!$OF$68:$RM$679,HLOOKUP(KG$73,Base_Mensuelle!$PE$67:$QE$680,614,0))</f>
        <v>3.5767399999999999E-4</v>
      </c>
      <c r="KH132" s="1526">
        <f>VLOOKUP($IW132,Base_Mensuelle!$OF$68:$RM$679,HLOOKUP(KH$73,Base_Mensuelle!$PE$67:$QE$680,614,0))</f>
        <v>3.4753841320000003</v>
      </c>
      <c r="KI132" s="1526">
        <f>VLOOKUP($IW132,Base_Mensuelle!$OF$68:$RM$679,HLOOKUP(KI$73,Base_Mensuelle!$PE$67:$QE$680,614,0))</f>
        <v>367.70882192700003</v>
      </c>
      <c r="KJ132" s="1526">
        <f>VLOOKUP($IW132,Base_Mensuelle!$OF$68:$RM$679,HLOOKUP(KJ$73,Base_Mensuelle!$PE$67:$QE$680,614,0))</f>
        <v>264.16640000000001</v>
      </c>
      <c r="KK132" s="1526">
        <f>VLOOKUP($IW132,Base_Mensuelle!$OF$68:$RM$679,HLOOKUP(KK$73,Base_Mensuelle!$PE$67:$QE$680,614,0))</f>
        <v>103.078727539</v>
      </c>
      <c r="KL132" s="1526">
        <f>VLOOKUP($IW132,Base_Mensuelle!$OF$68:$RM$679,HLOOKUP(KL$73,Base_Mensuelle!$PE$67:$QE$680,614,0))</f>
        <v>0.46369438800000001</v>
      </c>
      <c r="KM132" s="1526">
        <f>VLOOKUP($IW132,Base_Mensuelle!$OF$68:$RM$679,HLOOKUP(KM$73,Base_Mensuelle!$PE$67:$QE$680,614,0))</f>
        <v>0</v>
      </c>
      <c r="KN132" s="1526">
        <f>VLOOKUP($IW132,Base_Mensuelle!$OF$68:$RM$679,HLOOKUP(KN$73,Base_Mensuelle!$PE$67:$QE$680,614,0))</f>
        <v>0.46020925600000001</v>
      </c>
      <c r="KO132" s="1526">
        <f>VLOOKUP($IW132,Base_Mensuelle!$OF$68:$RM$679,HLOOKUP(KO$73,Base_Mensuelle!$PE$67:$QE$680,614,0))</f>
        <v>0</v>
      </c>
      <c r="KP132" s="1526">
        <f>VLOOKUP($IW132,Base_Mensuelle!$OF$68:$RM$679,HLOOKUP(KP$73,Base_Mensuelle!$PE$67:$QE$680,614,0))</f>
        <v>0</v>
      </c>
      <c r="KQ132" s="1526">
        <f>VLOOKUP($IW132,Base_Mensuelle!$OF$68:$RM$679,HLOOKUP(KQ$73,Base_Mensuelle!$PE$67:$QE$680,614,0))</f>
        <v>0.46020925600000001</v>
      </c>
      <c r="KR132" s="1526">
        <f>VLOOKUP($IW132,Base_Mensuelle!$OF$68:$RM$679,HLOOKUP(KR$73,Base_Mensuelle!$PE$67:$QE$680,614,0))</f>
        <v>0</v>
      </c>
      <c r="KS132" s="1526">
        <f>VLOOKUP($IW132,Base_Mensuelle!$OF$68:$RM$679,HLOOKUP(KS$73,Base_Mensuelle!$PE$67:$QE$680,614,0))</f>
        <v>0</v>
      </c>
      <c r="KT132" s="1526">
        <f>VLOOKUP($IW132,Base_Mensuelle!$OF$68:$RM$679,HLOOKUP(KT$73,Base_Mensuelle!$PE$67:$QE$680,614,0))</f>
        <v>0</v>
      </c>
      <c r="KU132" s="1526">
        <f>VLOOKUP($IW132,Base_Mensuelle!$OF$68:$RM$679,HLOOKUP(KU$73,Base_Mensuelle!$PE$67:$QE$680,614,0))</f>
        <v>4.1943135169999994</v>
      </c>
      <c r="KV132" s="1526">
        <f>VLOOKUP($IW132,Base_Mensuelle!$OF$68:$RM$679,HLOOKUP(KV$73,Base_Mensuelle!$PE$67:$QE$680,614,0))</f>
        <v>-0.26037133000000673</v>
      </c>
      <c r="KW132" s="1036"/>
      <c r="KX132" s="29">
        <v>59</v>
      </c>
      <c r="KY132" s="1037"/>
      <c r="KZ132" s="182">
        <f>VLOOKUP($IW132,Base_Mensuelle!$OF$68:$RM$679,HLOOKUP(KZ$73,Base_Mensuelle!$QG$67:$RM$680,614,0))</f>
        <v>609.44207542782522</v>
      </c>
      <c r="LA132" s="182">
        <f>VLOOKUP($IW132,Base_Mensuelle!$OF$68:$RM$679,HLOOKUP(LA$73,Base_Mensuelle!$QG$67:$RM$680,614,0))</f>
        <v>793.21468021636554</v>
      </c>
      <c r="LB132" s="182">
        <f>VLOOKUP($IW132,Base_Mensuelle!$OF$68:$RM$679,HLOOKUP(LB$73,Base_Mensuelle!$QG$67:$RM$680,614,0))</f>
        <v>-183.77260478854032</v>
      </c>
      <c r="LC132" s="182">
        <f>VLOOKUP($IW132,Base_Mensuelle!$OF$68:$RM$679,HLOOKUP(LC$73,Base_Mensuelle!$QG$67:$RM$680,614,0))</f>
        <v>157.93900000000002</v>
      </c>
      <c r="LD132" s="182">
        <f>VLOOKUP($IW132,Base_Mensuelle!$OF$68:$RM$679,HLOOKUP(LD$73,Base_Mensuelle!$QG$67:$RM$680,614,0))</f>
        <v>43.83</v>
      </c>
      <c r="LE132" s="182">
        <f>VLOOKUP($IW132,Base_Mensuelle!$OF$68:$RM$679,HLOOKUP(LE$73,Base_Mensuelle!$QG$67:$RM$680,614,0))</f>
        <v>114.10900000000001</v>
      </c>
      <c r="LF132" s="182">
        <f>VLOOKUP($IW132,Base_Mensuelle!$OF$68:$RM$679,HLOOKUP(LF$73,Base_Mensuelle!$QG$67:$RM$680,614,0))</f>
        <v>0</v>
      </c>
      <c r="LG132" s="182">
        <f>VLOOKUP($IW132,Base_Mensuelle!$OF$68:$RM$679,HLOOKUP(LG$73,Base_Mensuelle!$QG$67:$RM$680,614,0))</f>
        <v>26.220000000000027</v>
      </c>
      <c r="LH132" s="182">
        <f>VLOOKUP($IW132,Base_Mensuelle!$OF$68:$RM$679,HLOOKUP(LH$73,Base_Mensuelle!$QG$67:$RM$680,614,0))</f>
        <v>247.16300000000001</v>
      </c>
      <c r="LI132" s="182">
        <f>VLOOKUP($IW132,Base_Mensuelle!$OF$68:$RM$679,HLOOKUP(LI$73,Base_Mensuelle!$QG$67:$RM$680,614,0))</f>
        <v>-220.94299999999998</v>
      </c>
      <c r="LJ132" s="182">
        <f>VLOOKUP($IW132,Base_Mensuelle!$OF$68:$RM$679,HLOOKUP(LJ$73,Base_Mensuelle!$QG$67:$RM$680,614,0))</f>
        <v>1750.0353197836346</v>
      </c>
      <c r="LK132" s="182">
        <f>VLOOKUP($IW132,Base_Mensuelle!$OF$68:$RM$679,HLOOKUP(LK$73,Base_Mensuelle!$QG$67:$RM$680,614,0))</f>
        <v>25.025283327818634</v>
      </c>
      <c r="LL132" s="182">
        <f>VLOOKUP($IW132,Base_Mensuelle!$OF$68:$RM$679,HLOOKUP(LL$73,Base_Mensuelle!$QG$67:$RM$680,614,0))</f>
        <v>0</v>
      </c>
      <c r="LM132" s="182">
        <f>VLOOKUP($IW132,Base_Mensuelle!$OF$68:$RM$679,HLOOKUP(LM$73,Base_Mensuelle!$QG$67:$RM$680,614,0))</f>
        <v>164.99</v>
      </c>
      <c r="LN132" s="182">
        <f>VLOOKUP($IW132,Base_Mensuelle!$OF$68:$RM$679,HLOOKUP(LN$73,Base_Mensuelle!$QG$67:$RM$680,614,0))</f>
        <v>1560.0200364558159</v>
      </c>
      <c r="LO132" s="182">
        <f>VLOOKUP($IW132,Base_Mensuelle!$OF$68:$RM$679,HLOOKUP(LO$73,Base_Mensuelle!$QG$67:$RM$680,614,0))</f>
        <v>0</v>
      </c>
      <c r="LP132" s="182">
        <f>VLOOKUP($IW132,Base_Mensuelle!$OF$68:$RM$679,HLOOKUP(LP$73,Base_Mensuelle!$QG$67:$RM$680,614,0))</f>
        <v>414.33699999999999</v>
      </c>
      <c r="LQ132" s="182">
        <f>VLOOKUP($IW132,Base_Mensuelle!$OF$68:$RM$679,HLOOKUP(LQ$73,Base_Mensuelle!$QG$67:$RM$680,614,0))</f>
        <v>802.00026651348526</v>
      </c>
      <c r="LR132" s="182">
        <f>VLOOKUP($IW132,Base_Mensuelle!$OF$68:$RM$679,HLOOKUP(LR$73,Base_Mensuelle!$QG$67:$RM$680,614,0))</f>
        <v>914.62512869797433</v>
      </c>
      <c r="LS132" s="182">
        <f>VLOOKUP($IW132,Base_Mensuelle!$OF$68:$RM$679,HLOOKUP(LS$73,Base_Mensuelle!$QG$67:$RM$680,614,0))</f>
        <v>0</v>
      </c>
      <c r="LT132" s="182">
        <f>VLOOKUP($IW132,Base_Mensuelle!$OF$68:$RM$679,HLOOKUP(LT$73,Base_Mensuelle!$QG$67:$RM$680,614,0))</f>
        <v>39.670999999999999</v>
      </c>
      <c r="LU132" s="182">
        <f>VLOOKUP($IW132,Base_Mensuelle!$OF$68:$RM$679,HLOOKUP(LU$73,Base_Mensuelle!$QG$67:$RM$680,614,0))</f>
        <v>6.431</v>
      </c>
      <c r="LV132" s="182">
        <f>VLOOKUP($IW132,Base_Mensuelle!$OF$68:$RM$679,HLOOKUP(LV$73,Base_Mensuelle!$QG$67:$RM$680,614,0))</f>
        <v>13.655000000000001</v>
      </c>
      <c r="LW132" s="182">
        <f>VLOOKUP($IW132,Base_Mensuelle!$OF$68:$RM$679,HLOOKUP(LW$73,Base_Mensuelle!$QG$67:$RM$680,614,0))</f>
        <v>0</v>
      </c>
      <c r="LX132" s="182">
        <f>VLOOKUP($IW132,Base_Mensuelle!$OF$68:$RM$679,HLOOKUP(LX$73,Base_Mensuelle!$QG$67:$RM$680,614,0))</f>
        <v>0</v>
      </c>
      <c r="LY132" s="182">
        <f>VLOOKUP($IW132,Base_Mensuelle!$OF$68:$RM$679,HLOOKUP(LY$73,Base_Mensuelle!$QG$67:$RM$680,614,0))</f>
        <v>246.13200000000001</v>
      </c>
      <c r="LZ132" s="182">
        <f>VLOOKUP($IW132,Base_Mensuelle!$OF$68:$RM$679,HLOOKUP(LZ$73,Base_Mensuelle!$QG$67:$RM$680,614,0))</f>
        <v>106.78500000000004</v>
      </c>
      <c r="MA132" s="182">
        <f>VLOOKUP($IW132,Base_Mensuelle!$OF$68:$RM$679,HLOOKUP(MA$73,Base_Mensuelle!$QG$67:$RM$680,614,0))</f>
        <v>0</v>
      </c>
      <c r="MB132" s="182">
        <f>VLOOKUP($IW132,Base_Mensuelle!$OF$68:$RM$679,HLOOKUP(MB$73,Base_Mensuelle!$QG$67:$RM$680,614,0))</f>
        <v>0</v>
      </c>
      <c r="MC132" s="182">
        <f>VLOOKUP($IW132,Base_Mensuelle!$OF$68:$RM$679,HLOOKUP(MC$73,Base_Mensuelle!$QG$67:$RM$680,614,0))</f>
        <v>0</v>
      </c>
      <c r="MD132" s="182">
        <f>VLOOKUP($IW132,Base_Mensuelle!$OF$68:$RM$679,HLOOKUP(MD$73,Base_Mensuelle!$QG$67:$RM$680,614,0))</f>
        <v>0</v>
      </c>
      <c r="ME132" s="182">
        <f>VLOOKUP($IW132,Base_Mensuelle!$OF$68:$RM$679,HLOOKUP(ME$73,Base_Mensuelle!$QG$67:$RM$680,614,0))</f>
        <v>0</v>
      </c>
      <c r="MF132" s="182"/>
      <c r="MG132" s="182"/>
      <c r="MH132" s="290"/>
      <c r="MI132" s="29">
        <v>59</v>
      </c>
      <c r="MJ132" s="29" t="str">
        <f t="shared" si="82"/>
        <v>Trimestre 32014</v>
      </c>
      <c r="MK132" s="848">
        <v>41883</v>
      </c>
      <c r="ML132" s="29"/>
      <c r="MM132" s="29"/>
      <c r="MN132" s="29"/>
      <c r="MO132" s="29"/>
      <c r="MP132" s="29"/>
      <c r="MQ132" s="29"/>
      <c r="MR132" s="29"/>
      <c r="MS132" s="29"/>
      <c r="MT132" s="29"/>
      <c r="MU132" s="29"/>
      <c r="MV132" s="29"/>
      <c r="MW132" s="29"/>
      <c r="MX132" s="29"/>
      <c r="MY132" s="29"/>
      <c r="MZ132" s="29"/>
      <c r="NA132" s="29"/>
      <c r="NB132" s="29"/>
      <c r="NC132" s="29"/>
      <c r="ND132" s="29"/>
      <c r="NE132" s="29"/>
      <c r="NF132" s="29"/>
      <c r="NG132" s="29"/>
      <c r="NH132" s="29"/>
      <c r="NI132" s="29"/>
      <c r="NJ132" s="29"/>
      <c r="NK132" s="29"/>
      <c r="NL132" s="29">
        <v>59</v>
      </c>
    </row>
    <row r="133" spans="1:376">
      <c r="A133" s="41">
        <f t="shared" si="80"/>
        <v>2014</v>
      </c>
      <c r="B133" s="785">
        <v>41974</v>
      </c>
      <c r="C133" s="733">
        <v>994.63116809570261</v>
      </c>
      <c r="D133" s="1547">
        <v>199.98252522071789</v>
      </c>
      <c r="E133" s="570">
        <v>178.07279407543487</v>
      </c>
      <c r="F133" s="1547">
        <v>43.793221918159944</v>
      </c>
      <c r="G133" s="1547">
        <v>7.4247949242110378</v>
      </c>
      <c r="H133" s="1547">
        <v>65.092582328916194</v>
      </c>
      <c r="I133" s="570">
        <v>78.390695355691633</v>
      </c>
      <c r="J133" s="570">
        <v>89.424900713810914</v>
      </c>
      <c r="K133" s="570">
        <v>120.59972078950524</v>
      </c>
      <c r="L133" s="570">
        <v>165.22831005598292</v>
      </c>
      <c r="M133" s="734">
        <v>133.70797355395828</v>
      </c>
      <c r="N133" s="25">
        <v>60</v>
      </c>
      <c r="O133" s="889">
        <f t="shared" si="79"/>
        <v>2014</v>
      </c>
      <c r="P133" s="29" t="str">
        <f t="shared" si="81"/>
        <v>Trimestre 42014</v>
      </c>
      <c r="Q133" s="848">
        <v>41974</v>
      </c>
      <c r="R133" s="733">
        <v>8.7769278000000011</v>
      </c>
      <c r="S133" s="570">
        <v>53.823</v>
      </c>
      <c r="T133" s="570">
        <v>457.245</v>
      </c>
      <c r="U133" s="734">
        <v>82.614999999999995</v>
      </c>
      <c r="V133" s="25">
        <v>60</v>
      </c>
      <c r="W133" s="733">
        <v>6657</v>
      </c>
      <c r="X133" s="570">
        <v>13237</v>
      </c>
      <c r="Y133" s="570">
        <v>428.35682513387616</v>
      </c>
      <c r="Z133" s="570">
        <v>205.16574949173841</v>
      </c>
      <c r="AA133" s="570">
        <v>46.527749999999997</v>
      </c>
      <c r="AB133" s="570">
        <v>96.518000000000001</v>
      </c>
      <c r="AC133" s="570">
        <v>717.54300000000001</v>
      </c>
      <c r="AD133" s="570">
        <v>184.73221799999999</v>
      </c>
      <c r="AE133" s="734">
        <v>16.566828000000001</v>
      </c>
      <c r="AF133" s="25">
        <v>60</v>
      </c>
      <c r="AG133" s="733">
        <v>11.217932423267619</v>
      </c>
      <c r="AH133" s="570">
        <v>15.426510810385786</v>
      </c>
      <c r="AI133" s="570">
        <v>-0.87859543467628143</v>
      </c>
      <c r="AJ133" s="570">
        <v>-28.5179149136898</v>
      </c>
      <c r="AK133" s="570">
        <v>18.715883692107013</v>
      </c>
      <c r="AL133" s="570">
        <v>-4.6590941366124401</v>
      </c>
      <c r="AM133" s="570">
        <v>13.58201535428614</v>
      </c>
      <c r="AN133" s="734">
        <v>8.0519004867680319</v>
      </c>
      <c r="AO133" s="733">
        <v>4.4149621500402674</v>
      </c>
      <c r="AP133" s="570">
        <v>51.672589982499971</v>
      </c>
      <c r="AQ133" s="570">
        <v>28.861278592895076</v>
      </c>
      <c r="AR133" s="570">
        <v>-27.791743368759867</v>
      </c>
      <c r="AS133" s="734">
        <v>-19.811320754716981</v>
      </c>
      <c r="AT133" s="733">
        <v>5.6259822657891423</v>
      </c>
      <c r="AU133" s="570">
        <v>-0.34003476458412019</v>
      </c>
      <c r="AV133" s="734">
        <v>4.4367145145970577</v>
      </c>
      <c r="AW133" s="733">
        <v>-19.280031634972186</v>
      </c>
      <c r="AX133" s="570">
        <v>40.285869092832428</v>
      </c>
      <c r="AY133" s="570">
        <v>47.04627482455669</v>
      </c>
      <c r="AZ133" s="570">
        <v>7.6301298831835016</v>
      </c>
      <c r="BA133" s="570">
        <v>-10.707999577418477</v>
      </c>
      <c r="BB133" s="570">
        <v>-18.610624531609012</v>
      </c>
      <c r="BC133" s="734">
        <v>16.037735849056606</v>
      </c>
      <c r="BD133" s="179">
        <v>5.3586463066076604</v>
      </c>
      <c r="BE133" s="99">
        <v>10.375437496705608</v>
      </c>
      <c r="BF133" s="99">
        <v>-40.718991476283897</v>
      </c>
      <c r="BG133" s="99">
        <v>-69.912355746184005</v>
      </c>
      <c r="BH133" s="99">
        <v>22.101778516484266</v>
      </c>
      <c r="BI133" s="99">
        <v>-21.226235540232896</v>
      </c>
      <c r="BJ133" s="99">
        <v>6.2679747900352565</v>
      </c>
      <c r="BK133" s="132">
        <v>2.6225403228534589</v>
      </c>
      <c r="BL133" s="179">
        <v>-42.253337554565796</v>
      </c>
      <c r="BM133" s="99">
        <v>86.905424501115519</v>
      </c>
      <c r="BN133" s="99">
        <v>63.064477411465099</v>
      </c>
      <c r="BO133" s="99">
        <v>-67.116150369826343</v>
      </c>
      <c r="BP133" s="99">
        <v>-9.0909090909090899</v>
      </c>
      <c r="BQ133" s="132">
        <v>-27.272727272727273</v>
      </c>
      <c r="BR133" s="179">
        <v>36.965971521001762</v>
      </c>
      <c r="BS133" s="99">
        <v>4.4171597542218271</v>
      </c>
      <c r="BT133" s="99">
        <v>12.732597407444397</v>
      </c>
      <c r="BU133" s="132">
        <v>-36.888364957187214</v>
      </c>
      <c r="BV133" s="179">
        <v>72.150241000833802</v>
      </c>
      <c r="BW133" s="99">
        <v>87.625602548223767</v>
      </c>
      <c r="BX133" s="99">
        <v>7.6253215240746304</v>
      </c>
      <c r="BY133" s="99">
        <v>-14.169495392177289</v>
      </c>
      <c r="BZ133" s="99">
        <v>-36.593496812573335</v>
      </c>
      <c r="CA133" s="99">
        <v>0</v>
      </c>
      <c r="CB133" s="132">
        <v>4.5454545454545467</v>
      </c>
      <c r="CC133" s="25">
        <v>60</v>
      </c>
      <c r="CD133" s="181">
        <v>123669</v>
      </c>
      <c r="CE133" s="182">
        <v>13497951</v>
      </c>
      <c r="CF133" s="319">
        <f>(((CF132/CF131-1)+(CF131/CF130-1))/2+1)*CF132</f>
        <v>1721180.0789074909</v>
      </c>
      <c r="CG133" s="25">
        <v>60</v>
      </c>
      <c r="CH133" s="19">
        <v>16859</v>
      </c>
      <c r="CI133" s="93">
        <v>3504</v>
      </c>
      <c r="CJ133" s="93">
        <v>2428</v>
      </c>
      <c r="CK133" s="93">
        <v>16859</v>
      </c>
      <c r="CL133" s="93">
        <v>6786</v>
      </c>
      <c r="CM133" s="93">
        <v>836</v>
      </c>
      <c r="CN133" s="93">
        <v>2263</v>
      </c>
      <c r="CO133" s="93">
        <v>7851</v>
      </c>
      <c r="CP133" s="93">
        <v>2623</v>
      </c>
      <c r="CQ133" s="93">
        <v>4692</v>
      </c>
      <c r="CR133" s="214">
        <v>59937</v>
      </c>
      <c r="CS133" s="20">
        <v>111084</v>
      </c>
      <c r="CT133" s="25">
        <v>60</v>
      </c>
      <c r="CU133" s="19">
        <v>20892</v>
      </c>
      <c r="CV133" s="93">
        <v>57987</v>
      </c>
      <c r="CW133" s="93">
        <v>16925</v>
      </c>
      <c r="CX133" s="93">
        <v>1813</v>
      </c>
      <c r="CY133" s="93">
        <v>620</v>
      </c>
      <c r="CZ133" s="93">
        <v>783</v>
      </c>
      <c r="DA133" s="93">
        <v>7469</v>
      </c>
      <c r="DB133" s="20">
        <v>106489</v>
      </c>
      <c r="DC133" s="25">
        <v>60</v>
      </c>
      <c r="DD133" s="785">
        <v>41974</v>
      </c>
      <c r="DE133" s="733">
        <v>310.5</v>
      </c>
      <c r="DF133" s="734">
        <v>308.5</v>
      </c>
      <c r="DG133" s="25">
        <v>60</v>
      </c>
      <c r="DH133" s="733">
        <v>414.6</v>
      </c>
      <c r="DI133" s="734">
        <v>1028.7</v>
      </c>
      <c r="DJ133" s="25">
        <v>60</v>
      </c>
      <c r="DK133" s="733">
        <v>309.3</v>
      </c>
      <c r="DL133" s="734">
        <v>415.6</v>
      </c>
      <c r="DM133" s="733">
        <v>-106.30000000000001</v>
      </c>
      <c r="DN133" s="734">
        <v>74.422521655437919</v>
      </c>
      <c r="DO133" s="25">
        <v>60</v>
      </c>
      <c r="DP133" s="733">
        <v>197.8</v>
      </c>
      <c r="DQ133" s="570">
        <v>265.2</v>
      </c>
      <c r="DR133" s="734">
        <v>524.6</v>
      </c>
      <c r="DS133" s="25">
        <v>60</v>
      </c>
      <c r="DT133" s="733">
        <v>82.7</v>
      </c>
      <c r="DU133" s="570">
        <v>261.89999999999998</v>
      </c>
      <c r="DV133" s="734">
        <v>216.5</v>
      </c>
      <c r="DW133" s="25">
        <v>60</v>
      </c>
      <c r="DX133" s="733">
        <v>220.2</v>
      </c>
      <c r="DY133" s="734">
        <v>58</v>
      </c>
      <c r="DZ133" s="25">
        <v>60</v>
      </c>
      <c r="EA133" s="733">
        <v>178.3</v>
      </c>
      <c r="EB133" s="570">
        <v>61.4</v>
      </c>
      <c r="EC133" s="570">
        <v>29.2</v>
      </c>
      <c r="ED133" s="570">
        <v>0.5</v>
      </c>
      <c r="EE133" s="734">
        <v>9.1</v>
      </c>
      <c r="EF133" s="25">
        <v>60</v>
      </c>
      <c r="EG133" s="1569">
        <v>106.4</v>
      </c>
      <c r="EH133" s="1570">
        <v>4.0999999999999996</v>
      </c>
      <c r="EI133" s="1570">
        <v>7.3</v>
      </c>
      <c r="EJ133" s="1570">
        <v>13.2</v>
      </c>
      <c r="EK133" s="1571">
        <v>7.7</v>
      </c>
      <c r="EL133" s="25">
        <v>60</v>
      </c>
      <c r="EM133" s="733">
        <v>162.6</v>
      </c>
      <c r="EN133" s="570">
        <v>13.9</v>
      </c>
      <c r="EO133" s="570">
        <v>14.4</v>
      </c>
      <c r="EP133" s="570">
        <v>0.2</v>
      </c>
      <c r="EQ133" s="570">
        <v>9.9</v>
      </c>
      <c r="ER133" s="570">
        <v>12.9</v>
      </c>
      <c r="ES133" s="570">
        <v>27.2</v>
      </c>
      <c r="ET133" s="570">
        <v>4</v>
      </c>
      <c r="EU133" s="570">
        <v>0.1</v>
      </c>
      <c r="EV133" s="734">
        <v>2.9</v>
      </c>
      <c r="EW133" s="25">
        <v>60</v>
      </c>
      <c r="EX133" s="918">
        <v>38.700000000000003</v>
      </c>
      <c r="EY133" s="919">
        <v>51.1</v>
      </c>
      <c r="EZ133" s="919">
        <v>43.4</v>
      </c>
      <c r="FA133" s="919">
        <v>1.5</v>
      </c>
      <c r="FB133" s="919">
        <v>21.3</v>
      </c>
      <c r="FC133" s="919">
        <v>18.2</v>
      </c>
      <c r="FD133" s="919">
        <v>3.3</v>
      </c>
      <c r="FE133" s="919">
        <v>15.7</v>
      </c>
      <c r="FF133" s="919">
        <v>6</v>
      </c>
      <c r="FG133" s="920">
        <v>6.2</v>
      </c>
      <c r="FH133" s="25">
        <v>60</v>
      </c>
      <c r="FI133" s="848">
        <v>41974</v>
      </c>
      <c r="FJ133" s="19">
        <v>3543</v>
      </c>
      <c r="FK133" s="93">
        <v>1308</v>
      </c>
      <c r="FL133" s="20">
        <v>0</v>
      </c>
      <c r="FM133" s="25">
        <v>60</v>
      </c>
      <c r="FN133" s="19">
        <v>187</v>
      </c>
      <c r="FO133" s="93">
        <v>1575</v>
      </c>
      <c r="FP133" s="93">
        <v>1793</v>
      </c>
      <c r="FQ133" s="93">
        <v>840</v>
      </c>
      <c r="FR133" s="93">
        <v>295</v>
      </c>
      <c r="FS133" s="93">
        <v>107</v>
      </c>
      <c r="FT133" s="93">
        <v>37</v>
      </c>
      <c r="FU133" s="93">
        <v>12</v>
      </c>
      <c r="FV133" s="93">
        <v>5</v>
      </c>
      <c r="FW133" s="917">
        <v>0</v>
      </c>
      <c r="FX133" s="25">
        <v>60</v>
      </c>
      <c r="FY133" s="975">
        <v>416</v>
      </c>
      <c r="FZ133" s="975">
        <v>843</v>
      </c>
      <c r="GA133" s="975">
        <v>943</v>
      </c>
      <c r="GB133" s="975">
        <v>293</v>
      </c>
      <c r="GC133" s="975">
        <v>490</v>
      </c>
      <c r="GD133" s="975">
        <v>224</v>
      </c>
      <c r="GE133" s="975">
        <v>986</v>
      </c>
      <c r="GF133" s="975">
        <v>82</v>
      </c>
      <c r="GG133" s="975">
        <v>141</v>
      </c>
      <c r="GH133" s="975">
        <v>361</v>
      </c>
      <c r="GI133" s="976">
        <v>72</v>
      </c>
      <c r="GJ133" s="25">
        <v>60</v>
      </c>
      <c r="GK133" s="19"/>
      <c r="GL133" s="20"/>
      <c r="GM133" s="25">
        <v>60</v>
      </c>
      <c r="GN133" s="19">
        <v>2178</v>
      </c>
      <c r="GO133" s="20">
        <v>1403</v>
      </c>
      <c r="GP133" s="25">
        <v>60</v>
      </c>
      <c r="GQ133" s="19">
        <v>32</v>
      </c>
      <c r="GR133" s="20">
        <v>31</v>
      </c>
      <c r="GS133" s="25">
        <v>60</v>
      </c>
      <c r="GT133" s="848">
        <v>41974</v>
      </c>
      <c r="GU133" s="733">
        <v>1321.1502848990576</v>
      </c>
      <c r="GV133" s="570">
        <v>1064.7034622399999</v>
      </c>
      <c r="GW133" s="570">
        <v>1064.6918917009998</v>
      </c>
      <c r="GX133" s="570">
        <v>940.68161270199994</v>
      </c>
      <c r="GY133" s="570">
        <v>262.61398456399996</v>
      </c>
      <c r="GZ133" s="570">
        <v>7.4071293130000013</v>
      </c>
      <c r="HA133" s="570">
        <v>9.4240973189999977</v>
      </c>
      <c r="HB133" s="570">
        <v>509.61385328900002</v>
      </c>
      <c r="HC133" s="570">
        <v>143.73793661900001</v>
      </c>
      <c r="HD133" s="570">
        <v>7.8846115979999993</v>
      </c>
      <c r="HE133" s="570">
        <v>124.01027899900001</v>
      </c>
      <c r="HF133" s="570">
        <v>5.174744842</v>
      </c>
      <c r="HG133" s="570">
        <v>27.880988916</v>
      </c>
      <c r="HH133" s="570">
        <v>4.0965590619999999</v>
      </c>
      <c r="HI133" s="570">
        <v>29.960160069000001</v>
      </c>
      <c r="HJ133" s="570">
        <v>56.897826109999997</v>
      </c>
      <c r="HK133" s="570">
        <v>1.1570538999999999E-2</v>
      </c>
      <c r="HL133" s="570">
        <v>256.44682265905783</v>
      </c>
      <c r="HM133" s="570">
        <v>157.51043154844484</v>
      </c>
      <c r="HN133" s="570">
        <v>98.936391110613016</v>
      </c>
      <c r="HO133" s="570">
        <v>1432.2803327666015</v>
      </c>
      <c r="HP133" s="570">
        <v>1438.4144700376014</v>
      </c>
      <c r="HQ133" s="570">
        <v>883.46346036000011</v>
      </c>
      <c r="HR133" s="570">
        <v>437.290600396</v>
      </c>
      <c r="HS133" s="570">
        <v>101.37971481700001</v>
      </c>
      <c r="HT133" s="570">
        <v>44.011188207000004</v>
      </c>
      <c r="HU133" s="570">
        <v>29.312024150999999</v>
      </c>
      <c r="HV133" s="570">
        <v>14.699164056000003</v>
      </c>
      <c r="HW133" s="570">
        <v>300.78195693999999</v>
      </c>
      <c r="HX133" s="570">
        <v>12.345662808</v>
      </c>
      <c r="HY133" s="570">
        <v>76.824511697999995</v>
      </c>
      <c r="HZ133" s="570">
        <v>10.89263253</v>
      </c>
      <c r="IA133" s="570">
        <v>23.630862603999997</v>
      </c>
      <c r="IB133" s="570">
        <v>554.95100967760141</v>
      </c>
      <c r="IC133" s="570">
        <v>330.116741854</v>
      </c>
      <c r="ID133" s="570">
        <v>9.1223277599999992</v>
      </c>
      <c r="IE133" s="570">
        <v>215.7119400636015</v>
      </c>
      <c r="IF133" s="570">
        <v>-6.1341372709999966</v>
      </c>
      <c r="IG133" s="570">
        <v>-111.13004786754367</v>
      </c>
      <c r="IH133" s="570">
        <v>-367.57687052660157</v>
      </c>
      <c r="II133" s="570">
        <v>-107.85374225600003</v>
      </c>
      <c r="IJ133" s="570">
        <v>-151.86493046300006</v>
      </c>
      <c r="IK133" s="570">
        <v>-34.639061253543851</v>
      </c>
      <c r="IL133" s="570">
        <v>-291.08588391260173</v>
      </c>
      <c r="IM133" s="570">
        <v>38.307845258501047</v>
      </c>
      <c r="IN133" s="570">
        <v>51.414484691701055</v>
      </c>
      <c r="IO133" s="570">
        <v>82.221082700156629</v>
      </c>
      <c r="IP133" s="570">
        <v>-30.806598008455584</v>
      </c>
      <c r="IQ133" s="570">
        <v>0</v>
      </c>
      <c r="IR133" s="570">
        <v>-13.106639433200002</v>
      </c>
      <c r="IS133" s="570">
        <v>-24.918889540999995</v>
      </c>
      <c r="IT133" s="570">
        <v>11.812250107800001</v>
      </c>
      <c r="IU133" s="570">
        <v>0</v>
      </c>
      <c r="IV133" s="93">
        <v>60</v>
      </c>
      <c r="IW133" s="848">
        <v>41974</v>
      </c>
      <c r="IX133" s="1035"/>
      <c r="IY133" s="1035">
        <v>227.9272</v>
      </c>
      <c r="IZ133" s="1035">
        <v>285.19569999999999</v>
      </c>
      <c r="JA133" s="1035">
        <v>0.48905921399999996</v>
      </c>
      <c r="JB133" s="1035">
        <v>803.83694096431122</v>
      </c>
      <c r="JC133" s="1035">
        <v>133.22060000000002</v>
      </c>
      <c r="JD133" s="1035">
        <v>1165.4738001783112</v>
      </c>
      <c r="JE133" s="1035">
        <v>919.7915602161504</v>
      </c>
      <c r="JF133" s="1035">
        <v>2085.2653603944618</v>
      </c>
      <c r="JG133" s="1035"/>
      <c r="JH133" s="1035">
        <v>455.23366628848271</v>
      </c>
      <c r="JI133" s="1035">
        <v>-123.11441483199997</v>
      </c>
      <c r="JJ133" s="1035">
        <v>578.34808112048268</v>
      </c>
      <c r="JK133" s="1035">
        <v>1873.6026176049788</v>
      </c>
      <c r="JL133" s="1035">
        <v>44.345263255000049</v>
      </c>
      <c r="JM133" s="1035">
        <v>-17.222736744999992</v>
      </c>
      <c r="JN133" s="1035">
        <v>61.56800000000004</v>
      </c>
      <c r="JO133" s="1035">
        <v>1829.2573543499789</v>
      </c>
      <c r="JP133" s="1035">
        <v>3.2179342899999996</v>
      </c>
      <c r="JQ133" s="1035">
        <v>1826.039420059979</v>
      </c>
      <c r="JR133" s="1035">
        <v>345.16269059400003</v>
      </c>
      <c r="JS133" s="1035">
        <v>-101.59176709500019</v>
      </c>
      <c r="JT133" s="1036">
        <v>2085.2653603944618</v>
      </c>
      <c r="JU133" s="29">
        <v>60</v>
      </c>
      <c r="JV133" s="1037"/>
      <c r="JW133" s="1526">
        <f>VLOOKUP($IW133,Base_Mensuelle!$OF$68:$RM$679,HLOOKUP(JW$73,Base_Mensuelle!$PE$67:$QE$680,614,0))</f>
        <v>-123.11441483199997</v>
      </c>
      <c r="JX133" s="1526">
        <f>VLOOKUP($IW133,Base_Mensuelle!$OF$68:$RM$679,HLOOKUP(JX$73,Base_Mensuelle!$PE$67:$QE$680,614,0))</f>
        <v>349.85708326300005</v>
      </c>
      <c r="JY133" s="1526">
        <f>VLOOKUP($IW133,Base_Mensuelle!$OF$68:$RM$679,HLOOKUP(JY$73,Base_Mensuelle!$PE$67:$QE$680,614,0))</f>
        <v>472.97149809500002</v>
      </c>
      <c r="JZ133" s="1526">
        <f>VLOOKUP($IW133,Base_Mensuelle!$OF$68:$RM$679,HLOOKUP(JZ$73,Base_Mensuelle!$PE$67:$QE$680,614,0))</f>
        <v>519.89271555200003</v>
      </c>
      <c r="KA133" s="1526">
        <f>VLOOKUP($IW133,Base_Mensuelle!$OF$68:$RM$679,HLOOKUP(KA$73,Base_Mensuelle!$PE$67:$QE$680,614,0))</f>
        <v>-11.553236744999992</v>
      </c>
      <c r="KB133" s="1526">
        <f>VLOOKUP($IW133,Base_Mensuelle!$OF$68:$RM$679,HLOOKUP(KB$73,Base_Mensuelle!$PE$67:$QE$680,614,0))</f>
        <v>128.30774153300001</v>
      </c>
      <c r="KC133" s="1526">
        <f>VLOOKUP($IW133,Base_Mensuelle!$OF$68:$RM$679,HLOOKUP(KC$73,Base_Mensuelle!$PE$67:$QE$680,614,0))</f>
        <v>139.860978278</v>
      </c>
      <c r="KD133" s="1526">
        <f>VLOOKUP($IW133,Base_Mensuelle!$OF$68:$RM$679,HLOOKUP(KD$73,Base_Mensuelle!$PE$67:$QE$680,614,0))</f>
        <v>3.2179342899999996</v>
      </c>
      <c r="KE133" s="1526">
        <f>VLOOKUP($IW133,Base_Mensuelle!$OF$68:$RM$679,HLOOKUP(KE$73,Base_Mensuelle!$PE$67:$QE$680,614,0))</f>
        <v>0</v>
      </c>
      <c r="KF133" s="1526">
        <f>VLOOKUP($IW133,Base_Mensuelle!$OF$68:$RM$679,HLOOKUP(KF$73,Base_Mensuelle!$PE$67:$QE$680,614,0))</f>
        <v>0</v>
      </c>
      <c r="KG133" s="1526">
        <f>VLOOKUP($IW133,Base_Mensuelle!$OF$68:$RM$679,HLOOKUP(KG$73,Base_Mensuelle!$PE$67:$QE$680,614,0))</f>
        <v>0</v>
      </c>
      <c r="KH133" s="1526">
        <f>VLOOKUP($IW133,Base_Mensuelle!$OF$68:$RM$679,HLOOKUP(KH$73,Base_Mensuelle!$PE$67:$QE$680,614,0))</f>
        <v>3.2179342899999996</v>
      </c>
      <c r="KI133" s="1526">
        <f>VLOOKUP($IW133,Base_Mensuelle!$OF$68:$RM$679,HLOOKUP(KI$73,Base_Mensuelle!$PE$67:$QE$680,614,0))</f>
        <v>379.38267097400001</v>
      </c>
      <c r="KJ133" s="1526">
        <f>VLOOKUP($IW133,Base_Mensuelle!$OF$68:$RM$679,HLOOKUP(KJ$73,Base_Mensuelle!$PE$67:$QE$680,614,0))</f>
        <v>285.19569999999999</v>
      </c>
      <c r="KK133" s="1526">
        <f>VLOOKUP($IW133,Base_Mensuelle!$OF$68:$RM$679,HLOOKUP(KK$73,Base_Mensuelle!$PE$67:$QE$680,614,0))</f>
        <v>93.697911759999997</v>
      </c>
      <c r="KL133" s="1526">
        <f>VLOOKUP($IW133,Base_Mensuelle!$OF$68:$RM$679,HLOOKUP(KL$73,Base_Mensuelle!$PE$67:$QE$680,614,0))</f>
        <v>0.48905921399999996</v>
      </c>
      <c r="KM133" s="1526">
        <f>VLOOKUP($IW133,Base_Mensuelle!$OF$68:$RM$679,HLOOKUP(KM$73,Base_Mensuelle!$PE$67:$QE$680,614,0))</f>
        <v>0</v>
      </c>
      <c r="KN133" s="1526">
        <f>VLOOKUP($IW133,Base_Mensuelle!$OF$68:$RM$679,HLOOKUP(KN$73,Base_Mensuelle!$PE$67:$QE$680,614,0))</f>
        <v>0.88893658499999995</v>
      </c>
      <c r="KO133" s="1526">
        <f>VLOOKUP($IW133,Base_Mensuelle!$OF$68:$RM$679,HLOOKUP(KO$73,Base_Mensuelle!$PE$67:$QE$680,614,0))</f>
        <v>0</v>
      </c>
      <c r="KP133" s="1526">
        <f>VLOOKUP($IW133,Base_Mensuelle!$OF$68:$RM$679,HLOOKUP(KP$73,Base_Mensuelle!$PE$67:$QE$680,614,0))</f>
        <v>0</v>
      </c>
      <c r="KQ133" s="1526">
        <f>VLOOKUP($IW133,Base_Mensuelle!$OF$68:$RM$679,HLOOKUP(KQ$73,Base_Mensuelle!$PE$67:$QE$680,614,0))</f>
        <v>0.88893658499999995</v>
      </c>
      <c r="KR133" s="1526">
        <f>VLOOKUP($IW133,Base_Mensuelle!$OF$68:$RM$679,HLOOKUP(KR$73,Base_Mensuelle!$PE$67:$QE$680,614,0))</f>
        <v>0</v>
      </c>
      <c r="KS133" s="1526">
        <f>VLOOKUP($IW133,Base_Mensuelle!$OF$68:$RM$679,HLOOKUP(KS$73,Base_Mensuelle!$PE$67:$QE$680,614,0))</f>
        <v>0</v>
      </c>
      <c r="KT133" s="1526">
        <f>VLOOKUP($IW133,Base_Mensuelle!$OF$68:$RM$679,HLOOKUP(KT$73,Base_Mensuelle!$PE$67:$QE$680,614,0))</f>
        <v>0</v>
      </c>
      <c r="KU133" s="1526">
        <f>VLOOKUP($IW133,Base_Mensuelle!$OF$68:$RM$679,HLOOKUP(KU$73,Base_Mensuelle!$PE$67:$QE$680,614,0))</f>
        <v>5.2317540090000003</v>
      </c>
      <c r="KV133" s="1526">
        <f>VLOOKUP($IW133,Base_Mensuelle!$OF$68:$RM$679,HLOOKUP(KV$73,Base_Mensuelle!$PE$67:$QE$680,614,0))</f>
        <v>2.9396366970000001</v>
      </c>
      <c r="KW133" s="1036"/>
      <c r="KX133" s="29">
        <v>60</v>
      </c>
      <c r="KY133" s="1037"/>
      <c r="KZ133" s="182">
        <f>VLOOKUP($IW133,Base_Mensuelle!$OF$68:$RM$679,HLOOKUP(KZ$73,Base_Mensuelle!$QG$67:$RM$680,614,0))</f>
        <v>578.34808112048268</v>
      </c>
      <c r="LA133" s="182">
        <f>VLOOKUP($IW133,Base_Mensuelle!$OF$68:$RM$679,HLOOKUP(LA$73,Base_Mensuelle!$QG$67:$RM$680,614,0))</f>
        <v>897.57857994002097</v>
      </c>
      <c r="LB133" s="182">
        <f>VLOOKUP($IW133,Base_Mensuelle!$OF$68:$RM$679,HLOOKUP(LB$73,Base_Mensuelle!$QG$67:$RM$680,614,0))</f>
        <v>-319.23049881953835</v>
      </c>
      <c r="LC133" s="182">
        <f>VLOOKUP($IW133,Base_Mensuelle!$OF$68:$RM$679,HLOOKUP(LC$73,Base_Mensuelle!$QG$67:$RM$680,614,0))</f>
        <v>156.928</v>
      </c>
      <c r="LD133" s="182">
        <f>VLOOKUP($IW133,Base_Mensuelle!$OF$68:$RM$679,HLOOKUP(LD$73,Base_Mensuelle!$QG$67:$RM$680,614,0))</f>
        <v>51.598999999999997</v>
      </c>
      <c r="LE133" s="182">
        <f>VLOOKUP($IW133,Base_Mensuelle!$OF$68:$RM$679,HLOOKUP(LE$73,Base_Mensuelle!$QG$67:$RM$680,614,0))</f>
        <v>105.32900000000001</v>
      </c>
      <c r="LF133" s="182">
        <f>VLOOKUP($IW133,Base_Mensuelle!$OF$68:$RM$679,HLOOKUP(LF$73,Base_Mensuelle!$QG$67:$RM$680,614,0))</f>
        <v>0</v>
      </c>
      <c r="LG133" s="182">
        <f>VLOOKUP($IW133,Base_Mensuelle!$OF$68:$RM$679,HLOOKUP(LG$73,Base_Mensuelle!$QG$67:$RM$680,614,0))</f>
        <v>61.56800000000004</v>
      </c>
      <c r="LH133" s="182">
        <f>VLOOKUP($IW133,Base_Mensuelle!$OF$68:$RM$679,HLOOKUP(LH$73,Base_Mensuelle!$QG$67:$RM$680,614,0))</f>
        <v>263.58500000000004</v>
      </c>
      <c r="LI133" s="182">
        <f>VLOOKUP($IW133,Base_Mensuelle!$OF$68:$RM$679,HLOOKUP(LI$73,Base_Mensuelle!$QG$67:$RM$680,614,0))</f>
        <v>-202.017</v>
      </c>
      <c r="LJ133" s="182">
        <f>VLOOKUP($IW133,Base_Mensuelle!$OF$68:$RM$679,HLOOKUP(LJ$73,Base_Mensuelle!$QG$67:$RM$680,614,0))</f>
        <v>1826.039420059979</v>
      </c>
      <c r="LK133" s="182">
        <f>VLOOKUP($IW133,Base_Mensuelle!$OF$68:$RM$679,HLOOKUP(LK$73,Base_Mensuelle!$QG$67:$RM$680,614,0))</f>
        <v>19.525127420483809</v>
      </c>
      <c r="LL133" s="182">
        <f>VLOOKUP($IW133,Base_Mensuelle!$OF$68:$RM$679,HLOOKUP(LL$73,Base_Mensuelle!$QG$67:$RM$680,614,0))</f>
        <v>0</v>
      </c>
      <c r="LM133" s="182">
        <f>VLOOKUP($IW133,Base_Mensuelle!$OF$68:$RM$679,HLOOKUP(LM$73,Base_Mensuelle!$QG$67:$RM$680,614,0))</f>
        <v>198.381</v>
      </c>
      <c r="LN133" s="182">
        <f>VLOOKUP($IW133,Base_Mensuelle!$OF$68:$RM$679,HLOOKUP(LN$73,Base_Mensuelle!$QG$67:$RM$680,614,0))</f>
        <v>1608.1332926394953</v>
      </c>
      <c r="LO133" s="182">
        <f>VLOOKUP($IW133,Base_Mensuelle!$OF$68:$RM$679,HLOOKUP(LO$73,Base_Mensuelle!$QG$67:$RM$680,614,0))</f>
        <v>0</v>
      </c>
      <c r="LP133" s="182">
        <f>VLOOKUP($IW133,Base_Mensuelle!$OF$68:$RM$679,HLOOKUP(LP$73,Base_Mensuelle!$QG$67:$RM$680,614,0))</f>
        <v>520.10299999999995</v>
      </c>
      <c r="LQ133" s="182">
        <f>VLOOKUP($IW133,Base_Mensuelle!$OF$68:$RM$679,HLOOKUP(LQ$73,Base_Mensuelle!$QG$67:$RM$680,614,0))</f>
        <v>803.83694096431122</v>
      </c>
      <c r="LR133" s="182">
        <f>VLOOKUP($IW133,Base_Mensuelle!$OF$68:$RM$679,HLOOKUP(LR$73,Base_Mensuelle!$QG$67:$RM$680,614,0))</f>
        <v>919.7915602161504</v>
      </c>
      <c r="LS133" s="182">
        <f>VLOOKUP($IW133,Base_Mensuelle!$OF$68:$RM$679,HLOOKUP(LS$73,Base_Mensuelle!$QG$67:$RM$680,614,0))</f>
        <v>0</v>
      </c>
      <c r="LT133" s="182">
        <f>VLOOKUP($IW133,Base_Mensuelle!$OF$68:$RM$679,HLOOKUP(LT$73,Base_Mensuelle!$QG$67:$RM$680,614,0))</f>
        <v>44.791999999999994</v>
      </c>
      <c r="LU133" s="182">
        <f>VLOOKUP($IW133,Base_Mensuelle!$OF$68:$RM$679,HLOOKUP(LU$73,Base_Mensuelle!$QG$67:$RM$680,614,0))</f>
        <v>5.5250000000000004</v>
      </c>
      <c r="LV133" s="182">
        <f>VLOOKUP($IW133,Base_Mensuelle!$OF$68:$RM$679,HLOOKUP(LV$73,Base_Mensuelle!$QG$67:$RM$680,614,0))</f>
        <v>14.113</v>
      </c>
      <c r="LW133" s="182">
        <f>VLOOKUP($IW133,Base_Mensuelle!$OF$68:$RM$679,HLOOKUP(LW$73,Base_Mensuelle!$QG$67:$RM$680,614,0))</f>
        <v>0</v>
      </c>
      <c r="LX133" s="182">
        <f>VLOOKUP($IW133,Base_Mensuelle!$OF$68:$RM$679,HLOOKUP(LX$73,Base_Mensuelle!$QG$67:$RM$680,614,0))</f>
        <v>0</v>
      </c>
      <c r="LY133" s="182">
        <f>VLOOKUP($IW133,Base_Mensuelle!$OF$68:$RM$679,HLOOKUP(LY$73,Base_Mensuelle!$QG$67:$RM$680,614,0))</f>
        <v>274.61200000000002</v>
      </c>
      <c r="LZ133" s="182">
        <f>VLOOKUP($IW133,Base_Mensuelle!$OF$68:$RM$679,HLOOKUP(LZ$73,Base_Mensuelle!$QG$67:$RM$680,614,0))</f>
        <v>40.109999999999957</v>
      </c>
      <c r="MA133" s="182">
        <f>VLOOKUP($IW133,Base_Mensuelle!$OF$68:$RM$679,HLOOKUP(MA$73,Base_Mensuelle!$QG$67:$RM$680,614,0))</f>
        <v>0</v>
      </c>
      <c r="MB133" s="182">
        <f>VLOOKUP($IW133,Base_Mensuelle!$OF$68:$RM$679,HLOOKUP(MB$73,Base_Mensuelle!$QG$67:$RM$680,614,0))</f>
        <v>0</v>
      </c>
      <c r="MC133" s="182">
        <f>VLOOKUP($IW133,Base_Mensuelle!$OF$68:$RM$679,HLOOKUP(MC$73,Base_Mensuelle!$QG$67:$RM$680,614,0))</f>
        <v>0</v>
      </c>
      <c r="MD133" s="182">
        <f>VLOOKUP($IW133,Base_Mensuelle!$OF$68:$RM$679,HLOOKUP(MD$73,Base_Mensuelle!$QG$67:$RM$680,614,0))</f>
        <v>0</v>
      </c>
      <c r="ME133" s="182">
        <f>VLOOKUP($IW133,Base_Mensuelle!$OF$68:$RM$679,HLOOKUP(ME$73,Base_Mensuelle!$QG$67:$RM$680,614,0))</f>
        <v>0</v>
      </c>
      <c r="MF133" s="182"/>
      <c r="MG133" s="182"/>
      <c r="MH133" s="290"/>
      <c r="MI133" s="29">
        <v>60</v>
      </c>
      <c r="MJ133" s="29" t="str">
        <f t="shared" si="82"/>
        <v>Trimestre 42014</v>
      </c>
      <c r="MK133" s="848">
        <v>41974</v>
      </c>
      <c r="ML133" s="29"/>
      <c r="MM133" s="29"/>
      <c r="MN133" s="29"/>
      <c r="MO133" s="29"/>
      <c r="MP133" s="29"/>
      <c r="MQ133" s="29"/>
      <c r="MR133" s="29"/>
      <c r="MS133" s="29"/>
      <c r="MT133" s="29"/>
      <c r="MU133" s="29"/>
      <c r="MV133" s="29"/>
      <c r="MW133" s="29"/>
      <c r="MX133" s="29"/>
      <c r="MY133" s="29"/>
      <c r="MZ133" s="29"/>
      <c r="NA133" s="29"/>
      <c r="NB133" s="29"/>
      <c r="NC133" s="29"/>
      <c r="ND133" s="29"/>
      <c r="NE133" s="29"/>
      <c r="NF133" s="29"/>
      <c r="NG133" s="29"/>
      <c r="NH133" s="29"/>
      <c r="NI133" s="29"/>
      <c r="NJ133" s="29"/>
      <c r="NK133" s="29"/>
      <c r="NL133" s="29">
        <v>60</v>
      </c>
    </row>
    <row r="134" spans="1:376">
      <c r="A134" s="41">
        <f t="shared" si="80"/>
        <v>2015</v>
      </c>
      <c r="B134" s="1890">
        <v>42064</v>
      </c>
      <c r="C134" s="1891">
        <v>92.967988232180858</v>
      </c>
      <c r="D134" s="1892">
        <v>196.54765483143305</v>
      </c>
      <c r="E134" s="1892">
        <v>168.30089748741796</v>
      </c>
      <c r="F134" s="1892">
        <v>116.68059290450736</v>
      </c>
      <c r="G134" s="1892">
        <v>0</v>
      </c>
      <c r="H134" s="1892">
        <v>83.565064858510112</v>
      </c>
      <c r="I134" s="1892">
        <v>95.230256937157648</v>
      </c>
      <c r="J134" s="1892">
        <v>89.164834943957274</v>
      </c>
      <c r="K134" s="1892">
        <v>153.47144720013171</v>
      </c>
      <c r="L134" s="1892">
        <v>219.51921423633149</v>
      </c>
      <c r="M134" s="1893">
        <v>101.07653274003215</v>
      </c>
      <c r="N134" s="1894">
        <v>61</v>
      </c>
      <c r="O134" s="889">
        <f t="shared" si="79"/>
        <v>2015</v>
      </c>
      <c r="P134" s="29" t="str">
        <f t="shared" si="81"/>
        <v>Trimestre 12015</v>
      </c>
      <c r="Q134" s="848">
        <v>42064</v>
      </c>
      <c r="R134" s="733">
        <v>9.1975936699999998</v>
      </c>
      <c r="S134" s="570">
        <v>166.92</v>
      </c>
      <c r="T134" s="570">
        <v>801.13243708113305</v>
      </c>
      <c r="U134" s="734">
        <v>101.625</v>
      </c>
      <c r="V134" s="25">
        <v>61</v>
      </c>
      <c r="W134" s="733">
        <v>6778</v>
      </c>
      <c r="X134" s="570">
        <v>19884</v>
      </c>
      <c r="Y134" s="570">
        <v>387.66146649379493</v>
      </c>
      <c r="Z134" s="570">
        <v>169.31948575688045</v>
      </c>
      <c r="AA134" s="570">
        <v>43.974499999999999</v>
      </c>
      <c r="AB134" s="570">
        <v>96.518000000000001</v>
      </c>
      <c r="AC134" s="570">
        <v>717.54300000000001</v>
      </c>
      <c r="AD134" s="570">
        <v>235.08446499999999</v>
      </c>
      <c r="AE134" s="734">
        <v>22.010375</v>
      </c>
      <c r="AF134" s="25">
        <v>61</v>
      </c>
      <c r="AG134" s="733">
        <v>29.299463334148076</v>
      </c>
      <c r="AH134" s="570">
        <v>58.342974668098506</v>
      </c>
      <c r="AI134" s="570">
        <v>31.54003456404773</v>
      </c>
      <c r="AJ134" s="570">
        <v>-12.626060059765571</v>
      </c>
      <c r="AK134" s="570">
        <v>33.938838135073311</v>
      </c>
      <c r="AL134" s="570">
        <v>8.4340644476320339</v>
      </c>
      <c r="AM134" s="570">
        <v>-3.3006443722744407</v>
      </c>
      <c r="AN134" s="734">
        <v>0.5491291519250161</v>
      </c>
      <c r="AO134" s="733">
        <v>28.428026155702309</v>
      </c>
      <c r="AP134" s="570">
        <v>38.338692720303776</v>
      </c>
      <c r="AQ134" s="570">
        <v>44.250526890268731</v>
      </c>
      <c r="AR134" s="570">
        <v>-1.3296926472121622</v>
      </c>
      <c r="AS134" s="734">
        <v>-15.789473684210524</v>
      </c>
      <c r="AT134" s="733">
        <v>-10.785283622585109</v>
      </c>
      <c r="AU134" s="570">
        <v>15.436812930588292</v>
      </c>
      <c r="AV134" s="734">
        <v>17.458390682380504</v>
      </c>
      <c r="AW134" s="733">
        <v>-17.203141322376709</v>
      </c>
      <c r="AX134" s="570">
        <v>38.942163241976886</v>
      </c>
      <c r="AY134" s="570">
        <v>2.4983593772824619</v>
      </c>
      <c r="AZ134" s="570">
        <v>-3.3006044259897127</v>
      </c>
      <c r="BA134" s="570">
        <v>4.5656700252581874</v>
      </c>
      <c r="BB134" s="570">
        <v>-23.643985734991691</v>
      </c>
      <c r="BC134" s="734">
        <v>14.473684210526319</v>
      </c>
      <c r="BD134" s="179">
        <v>6.411298039686546</v>
      </c>
      <c r="BE134" s="99">
        <v>78.117026575838395</v>
      </c>
      <c r="BF134" s="99">
        <v>36.080762837052433</v>
      </c>
      <c r="BG134" s="99">
        <v>-32.366362697195612</v>
      </c>
      <c r="BH134" s="99">
        <v>85.937015165385844</v>
      </c>
      <c r="BI134" s="99">
        <v>7.1354357119535816</v>
      </c>
      <c r="BJ134" s="99">
        <v>7.717197353877622</v>
      </c>
      <c r="BK134" s="132">
        <v>0</v>
      </c>
      <c r="BL134" s="179">
        <v>18.853017930406509</v>
      </c>
      <c r="BM134" s="99">
        <v>44.032894260186069</v>
      </c>
      <c r="BN134" s="99">
        <v>43.816777045984857</v>
      </c>
      <c r="BO134" s="99">
        <v>0.27840525163681162</v>
      </c>
      <c r="BP134" s="99">
        <v>-5.882352941176471</v>
      </c>
      <c r="BQ134" s="132">
        <v>-11.764705882352942</v>
      </c>
      <c r="BR134" s="179">
        <v>-0.59288632954804799</v>
      </c>
      <c r="BS134" s="99">
        <v>38.184684243172825</v>
      </c>
      <c r="BT134" s="99">
        <v>41.83086164798398</v>
      </c>
      <c r="BU134" s="132">
        <v>-4.6336360777026862</v>
      </c>
      <c r="BV134" s="179">
        <v>35.021783951767631</v>
      </c>
      <c r="BW134" s="99">
        <v>-18.842148849418059</v>
      </c>
      <c r="BX134" s="99">
        <v>-42.948362986889997</v>
      </c>
      <c r="BY134" s="99">
        <v>0</v>
      </c>
      <c r="BZ134" s="99">
        <v>-12.068797189138937</v>
      </c>
      <c r="CA134" s="99">
        <v>11.764705882352942</v>
      </c>
      <c r="CB134" s="132">
        <v>0</v>
      </c>
      <c r="CC134" s="25">
        <v>61</v>
      </c>
      <c r="CD134" s="181">
        <v>79243</v>
      </c>
      <c r="CE134" s="182">
        <v>14019497</v>
      </c>
      <c r="CF134" s="319">
        <f>(((CF133/CF132-1)+(CF132/CF131-1))/2+1)*CF133</f>
        <v>1561840.8365554444</v>
      </c>
      <c r="CG134" s="25">
        <v>61</v>
      </c>
      <c r="CH134" s="19">
        <v>21395</v>
      </c>
      <c r="CI134" s="93">
        <v>4943</v>
      </c>
      <c r="CJ134" s="93">
        <v>3209</v>
      </c>
      <c r="CK134" s="93">
        <v>14270</v>
      </c>
      <c r="CL134" s="93">
        <v>7760</v>
      </c>
      <c r="CM134" s="93">
        <v>963</v>
      </c>
      <c r="CN134" s="93">
        <v>3402</v>
      </c>
      <c r="CO134" s="93">
        <v>2668</v>
      </c>
      <c r="CP134" s="93">
        <v>2814</v>
      </c>
      <c r="CQ134" s="93">
        <v>2038</v>
      </c>
      <c r="CR134" s="214">
        <v>73048</v>
      </c>
      <c r="CS134" s="20">
        <v>119635</v>
      </c>
      <c r="CT134" s="25">
        <v>61</v>
      </c>
      <c r="CU134" s="19">
        <v>21552</v>
      </c>
      <c r="CV134" s="93">
        <v>69548</v>
      </c>
      <c r="CW134" s="93">
        <v>13369</v>
      </c>
      <c r="CX134" s="93">
        <v>1184</v>
      </c>
      <c r="CY134" s="93">
        <v>550</v>
      </c>
      <c r="CZ134" s="93">
        <v>1797</v>
      </c>
      <c r="DA134" s="93">
        <v>11635</v>
      </c>
      <c r="DB134" s="20">
        <v>119635</v>
      </c>
      <c r="DC134" s="25">
        <v>61</v>
      </c>
      <c r="DD134" s="785">
        <v>42064</v>
      </c>
      <c r="DE134" s="733">
        <v>388.62823673999998</v>
      </c>
      <c r="DF134" s="734">
        <v>420.064303</v>
      </c>
      <c r="DG134" s="25">
        <v>61</v>
      </c>
      <c r="DH134" s="733">
        <v>386.61297430346997</v>
      </c>
      <c r="DI134" s="734">
        <v>1087.669341</v>
      </c>
      <c r="DJ134" s="25">
        <v>61</v>
      </c>
      <c r="DK134" s="733">
        <v>388.62823673999998</v>
      </c>
      <c r="DL134" s="734">
        <v>386.61297430346997</v>
      </c>
      <c r="DM134" s="733">
        <v>2.0152624365300085</v>
      </c>
      <c r="DN134" s="734">
        <v>100.52126094323677</v>
      </c>
      <c r="DO134" s="25">
        <v>61</v>
      </c>
      <c r="DP134" s="733">
        <v>202.3</v>
      </c>
      <c r="DQ134" s="570">
        <v>328.7</v>
      </c>
      <c r="DR134" s="734">
        <v>664.9</v>
      </c>
      <c r="DS134" s="25">
        <v>61</v>
      </c>
      <c r="DT134" s="733">
        <v>88.6</v>
      </c>
      <c r="DU134" s="570">
        <v>225</v>
      </c>
      <c r="DV134" s="734">
        <v>199.4</v>
      </c>
      <c r="DW134" s="25">
        <v>61</v>
      </c>
      <c r="DX134" s="733">
        <v>266.5</v>
      </c>
      <c r="DY134" s="734">
        <v>54.6</v>
      </c>
      <c r="DZ134" s="25">
        <v>61</v>
      </c>
      <c r="EA134" s="733">
        <v>211.4</v>
      </c>
      <c r="EB134" s="570">
        <v>72.7</v>
      </c>
      <c r="EC134" s="570">
        <v>58.5</v>
      </c>
      <c r="ED134" s="570">
        <v>10.1</v>
      </c>
      <c r="EE134" s="734">
        <v>0.8</v>
      </c>
      <c r="EF134" s="25">
        <v>61</v>
      </c>
      <c r="EG134" s="1569">
        <v>98.2</v>
      </c>
      <c r="EH134" s="1570">
        <v>20.2</v>
      </c>
      <c r="EI134" s="1570">
        <v>5.9</v>
      </c>
      <c r="EJ134" s="1570">
        <v>10.6</v>
      </c>
      <c r="EK134" s="1571">
        <v>5.7</v>
      </c>
      <c r="EL134" s="25">
        <v>61</v>
      </c>
      <c r="EM134" s="733">
        <v>190.9</v>
      </c>
      <c r="EN134" s="570">
        <v>10.3</v>
      </c>
      <c r="EO134" s="570">
        <v>14.2</v>
      </c>
      <c r="EP134" s="570">
        <v>13.4</v>
      </c>
      <c r="EQ134" s="570">
        <v>9.1</v>
      </c>
      <c r="ER134" s="570">
        <v>0.1</v>
      </c>
      <c r="ES134" s="570">
        <v>48</v>
      </c>
      <c r="ET134" s="570">
        <v>13.4</v>
      </c>
      <c r="EU134" s="570">
        <v>0.1</v>
      </c>
      <c r="EV134" s="734">
        <v>8.9</v>
      </c>
      <c r="EW134" s="25">
        <v>61</v>
      </c>
      <c r="EX134" s="918">
        <v>36</v>
      </c>
      <c r="EY134" s="919">
        <v>43.6</v>
      </c>
      <c r="EZ134" s="919">
        <v>37.9</v>
      </c>
      <c r="FA134" s="919">
        <v>0.3</v>
      </c>
      <c r="FB134" s="919">
        <v>18.899999999999999</v>
      </c>
      <c r="FC134" s="919">
        <v>13.5</v>
      </c>
      <c r="FD134" s="919">
        <v>14.9</v>
      </c>
      <c r="FE134" s="919">
        <v>13.5</v>
      </c>
      <c r="FF134" s="919">
        <v>2.9</v>
      </c>
      <c r="FG134" s="920">
        <v>9.6999999999999993</v>
      </c>
      <c r="FH134" s="25">
        <v>61</v>
      </c>
      <c r="FI134" s="848">
        <v>42064</v>
      </c>
      <c r="FJ134" s="19">
        <v>1433</v>
      </c>
      <c r="FK134" s="93">
        <v>658</v>
      </c>
      <c r="FL134" s="20">
        <v>0</v>
      </c>
      <c r="FM134" s="25">
        <v>61</v>
      </c>
      <c r="FN134" s="19">
        <v>38</v>
      </c>
      <c r="FO134" s="93">
        <v>534</v>
      </c>
      <c r="FP134" s="93">
        <v>851</v>
      </c>
      <c r="FQ134" s="93">
        <v>408</v>
      </c>
      <c r="FR134" s="93">
        <v>161</v>
      </c>
      <c r="FS134" s="93">
        <v>54</v>
      </c>
      <c r="FT134" s="93">
        <v>28</v>
      </c>
      <c r="FU134" s="93">
        <v>6</v>
      </c>
      <c r="FV134" s="93">
        <v>2</v>
      </c>
      <c r="FW134" s="917">
        <v>9</v>
      </c>
      <c r="FX134" s="25">
        <v>61</v>
      </c>
      <c r="FY134" s="975">
        <v>141</v>
      </c>
      <c r="FZ134" s="975">
        <v>271</v>
      </c>
      <c r="GA134" s="975">
        <v>360</v>
      </c>
      <c r="GB134" s="975">
        <v>78</v>
      </c>
      <c r="GC134" s="975">
        <v>288</v>
      </c>
      <c r="GD134" s="975">
        <v>104</v>
      </c>
      <c r="GE134" s="975">
        <v>483</v>
      </c>
      <c r="GF134" s="975">
        <v>108</v>
      </c>
      <c r="GG134" s="975">
        <v>20</v>
      </c>
      <c r="GH134" s="975">
        <v>198</v>
      </c>
      <c r="GI134" s="976">
        <v>40</v>
      </c>
      <c r="GJ134" s="25">
        <v>61</v>
      </c>
      <c r="GK134" s="19"/>
      <c r="GL134" s="20"/>
      <c r="GM134" s="25">
        <v>61</v>
      </c>
      <c r="GN134" s="19">
        <v>4514</v>
      </c>
      <c r="GO134" s="20">
        <v>1221</v>
      </c>
      <c r="GP134" s="25">
        <v>61</v>
      </c>
      <c r="GQ134" s="19">
        <v>32</v>
      </c>
      <c r="GR134" s="20">
        <v>31</v>
      </c>
      <c r="GS134" s="25">
        <v>61</v>
      </c>
      <c r="GT134" s="848">
        <v>42064</v>
      </c>
      <c r="GU134" s="733">
        <v>263.6469843716589</v>
      </c>
      <c r="GV134" s="570">
        <v>246.87617639299998</v>
      </c>
      <c r="GW134" s="570">
        <v>246.87615959299998</v>
      </c>
      <c r="GX134" s="570">
        <v>224.23619530799996</v>
      </c>
      <c r="GY134" s="570">
        <v>62.380302864000008</v>
      </c>
      <c r="GZ134" s="570">
        <v>2.0191451379999998</v>
      </c>
      <c r="HA134" s="570">
        <v>1.8537891809999998</v>
      </c>
      <c r="HB134" s="570">
        <v>124.28480594400001</v>
      </c>
      <c r="HC134" s="570">
        <v>31.945098477999998</v>
      </c>
      <c r="HD134" s="570">
        <v>1.753053703</v>
      </c>
      <c r="HE134" s="570">
        <v>22.639964285000005</v>
      </c>
      <c r="HF134" s="570">
        <v>1.2502409759999999</v>
      </c>
      <c r="HG134" s="570">
        <v>6.397474432000001</v>
      </c>
      <c r="HH134" s="570">
        <v>1.8287202549999999</v>
      </c>
      <c r="HI134" s="570">
        <v>9.2572573000000005E-2</v>
      </c>
      <c r="HJ134" s="570">
        <v>13.070956048999999</v>
      </c>
      <c r="HK134" s="570">
        <v>1.6800000000000002E-5</v>
      </c>
      <c r="HL134" s="570">
        <v>16.77080797865894</v>
      </c>
      <c r="HM134" s="570">
        <v>12.687475653658938</v>
      </c>
      <c r="HN134" s="570">
        <v>4.0833323249999998</v>
      </c>
      <c r="HO134" s="570">
        <v>272.52040332610989</v>
      </c>
      <c r="HP134" s="570">
        <v>275.35586309010984</v>
      </c>
      <c r="HQ134" s="570">
        <v>202.68204210900004</v>
      </c>
      <c r="HR134" s="570">
        <v>115.319159837</v>
      </c>
      <c r="HS134" s="570">
        <v>26.966467621</v>
      </c>
      <c r="HT134" s="570">
        <v>6.0486138209999991</v>
      </c>
      <c r="HU134" s="570">
        <v>3.910047949</v>
      </c>
      <c r="HV134" s="570">
        <v>2.138565872</v>
      </c>
      <c r="HW134" s="570">
        <v>54.347800830000004</v>
      </c>
      <c r="HX134" s="570">
        <v>0</v>
      </c>
      <c r="HY134" s="570">
        <v>17.957642103999998</v>
      </c>
      <c r="HZ134" s="570">
        <v>0</v>
      </c>
      <c r="IA134" s="570">
        <v>0</v>
      </c>
      <c r="IB134" s="570">
        <v>72.673820981109841</v>
      </c>
      <c r="IC134" s="570">
        <v>45.519057529999998</v>
      </c>
      <c r="ID134" s="570">
        <v>0.44390000000000002</v>
      </c>
      <c r="IE134" s="570">
        <v>26.710863451109837</v>
      </c>
      <c r="IF134" s="570">
        <v>-2.8354597640000003</v>
      </c>
      <c r="IG134" s="570">
        <v>-8.8734189544509423</v>
      </c>
      <c r="IH134" s="570">
        <v>-25.644226933109888</v>
      </c>
      <c r="II134" s="570">
        <v>7.1152503389999415</v>
      </c>
      <c r="IJ134" s="570">
        <v>1.0666365179999471</v>
      </c>
      <c r="IK134" s="570">
        <v>-98.657686004450994</v>
      </c>
      <c r="IL134" s="570">
        <v>-115.42849398310993</v>
      </c>
      <c r="IM134" s="570">
        <v>103.27384071245091</v>
      </c>
      <c r="IN134" s="570">
        <v>17.743516405450894</v>
      </c>
      <c r="IO134" s="570">
        <v>22.529377724450899</v>
      </c>
      <c r="IP134" s="570">
        <v>-4.7858613190000003</v>
      </c>
      <c r="IQ134" s="570">
        <v>0</v>
      </c>
      <c r="IR134" s="570">
        <v>85.530324307000015</v>
      </c>
      <c r="IS134" s="570">
        <v>66.014029133999998</v>
      </c>
      <c r="IT134" s="570">
        <v>19.516295173</v>
      </c>
      <c r="IU134" s="570">
        <v>5.5879354476928712E-15</v>
      </c>
      <c r="IV134" s="93">
        <v>61</v>
      </c>
      <c r="IW134" s="848">
        <v>42064</v>
      </c>
      <c r="IX134" s="1035"/>
      <c r="IY134" s="1035">
        <v>194.74387264699999</v>
      </c>
      <c r="IZ134" s="1035">
        <v>250.91569999999999</v>
      </c>
      <c r="JA134" s="1035">
        <v>0.45487632</v>
      </c>
      <c r="JB134" s="1035">
        <v>884.76612971953568</v>
      </c>
      <c r="JC134" s="1035">
        <v>147.34960890900001</v>
      </c>
      <c r="JD134" s="1035">
        <v>1227.3144875955356</v>
      </c>
      <c r="JE134" s="1035">
        <v>972.77785103736403</v>
      </c>
      <c r="JF134" s="1035">
        <v>2200.0923386328996</v>
      </c>
      <c r="JG134" s="1035"/>
      <c r="JH134" s="1035">
        <v>523.2044059549047</v>
      </c>
      <c r="JI134" s="1035">
        <v>-133.64913209300005</v>
      </c>
      <c r="JJ134" s="1035">
        <v>656.85353804790475</v>
      </c>
      <c r="JK134" s="1035">
        <v>1921.3418151199949</v>
      </c>
      <c r="JL134" s="1035">
        <v>41.523615687999957</v>
      </c>
      <c r="JM134" s="1035">
        <v>42.665615687999981</v>
      </c>
      <c r="JN134" s="1035">
        <v>-1.1420000000000243</v>
      </c>
      <c r="JO134" s="1035">
        <v>1879.8181994319948</v>
      </c>
      <c r="JP134" s="1035">
        <v>3.950756723</v>
      </c>
      <c r="JQ134" s="1035">
        <v>1875.867442708995</v>
      </c>
      <c r="JR134" s="1035">
        <v>360.04891642700005</v>
      </c>
      <c r="JS134" s="1035">
        <v>-115.59503398499999</v>
      </c>
      <c r="JT134" s="1036">
        <v>2200.0923386328996</v>
      </c>
      <c r="JU134" s="29">
        <v>61</v>
      </c>
      <c r="JV134" s="1037"/>
      <c r="JW134" s="1526">
        <f>VLOOKUP($IW134,Base_Mensuelle!$OF$68:$RM$679,HLOOKUP(JW$73,Base_Mensuelle!$PE$67:$QE$680,614,0))</f>
        <v>-133.64913209300005</v>
      </c>
      <c r="JX134" s="1526">
        <f>VLOOKUP($IW134,Base_Mensuelle!$OF$68:$RM$679,HLOOKUP(JX$73,Base_Mensuelle!$PE$67:$QE$680,614,0))</f>
        <v>371.07466033999998</v>
      </c>
      <c r="JY134" s="1526">
        <f>VLOOKUP($IW134,Base_Mensuelle!$OF$68:$RM$679,HLOOKUP(JY$73,Base_Mensuelle!$PE$67:$QE$680,614,0))</f>
        <v>504.72379243300003</v>
      </c>
      <c r="JZ134" s="1526">
        <f>VLOOKUP($IW134,Base_Mensuelle!$OF$68:$RM$679,HLOOKUP(JZ$73,Base_Mensuelle!$PE$67:$QE$680,614,0))</f>
        <v>457.36043749999999</v>
      </c>
      <c r="KA134" s="1526">
        <f>VLOOKUP($IW134,Base_Mensuelle!$OF$68:$RM$679,HLOOKUP(KA$73,Base_Mensuelle!$PE$67:$QE$680,614,0))</f>
        <v>47.768443040999983</v>
      </c>
      <c r="KB134" s="1526">
        <f>VLOOKUP($IW134,Base_Mensuelle!$OF$68:$RM$679,HLOOKUP(KB$73,Base_Mensuelle!$PE$67:$QE$680,614,0))</f>
        <v>124.86796321099999</v>
      </c>
      <c r="KC134" s="1526">
        <f>VLOOKUP($IW134,Base_Mensuelle!$OF$68:$RM$679,HLOOKUP(KC$73,Base_Mensuelle!$PE$67:$QE$680,614,0))</f>
        <v>77.099520170000005</v>
      </c>
      <c r="KD134" s="1526">
        <f>VLOOKUP($IW134,Base_Mensuelle!$OF$68:$RM$679,HLOOKUP(KD$73,Base_Mensuelle!$PE$67:$QE$680,614,0))</f>
        <v>3.950756723</v>
      </c>
      <c r="KE134" s="1526">
        <f>VLOOKUP($IW134,Base_Mensuelle!$OF$68:$RM$679,HLOOKUP(KE$73,Base_Mensuelle!$PE$67:$QE$680,614,0))</f>
        <v>0.6</v>
      </c>
      <c r="KF134" s="1526">
        <f>VLOOKUP($IW134,Base_Mensuelle!$OF$68:$RM$679,HLOOKUP(KF$73,Base_Mensuelle!$PE$67:$QE$680,614,0))</f>
        <v>0</v>
      </c>
      <c r="KG134" s="1526">
        <f>VLOOKUP($IW134,Base_Mensuelle!$OF$68:$RM$679,HLOOKUP(KG$73,Base_Mensuelle!$PE$67:$QE$680,614,0))</f>
        <v>6.6807800000000001E-4</v>
      </c>
      <c r="KH134" s="1526">
        <f>VLOOKUP($IW134,Base_Mensuelle!$OF$68:$RM$679,HLOOKUP(KH$73,Base_Mensuelle!$PE$67:$QE$680,614,0))</f>
        <v>3.350088645</v>
      </c>
      <c r="KI134" s="1526">
        <f>VLOOKUP($IW134,Base_Mensuelle!$OF$68:$RM$679,HLOOKUP(KI$73,Base_Mensuelle!$PE$67:$QE$680,614,0))</f>
        <v>380.40539997999997</v>
      </c>
      <c r="KJ134" s="1526">
        <f>VLOOKUP($IW134,Base_Mensuelle!$OF$68:$RM$679,HLOOKUP(KJ$73,Base_Mensuelle!$PE$67:$QE$680,614,0))</f>
        <v>250.91569999999999</v>
      </c>
      <c r="KK134" s="1526">
        <f>VLOOKUP($IW134,Base_Mensuelle!$OF$68:$RM$679,HLOOKUP(KK$73,Base_Mensuelle!$PE$67:$QE$680,614,0))</f>
        <v>129.03482366</v>
      </c>
      <c r="KL134" s="1526">
        <f>VLOOKUP($IW134,Base_Mensuelle!$OF$68:$RM$679,HLOOKUP(KL$73,Base_Mensuelle!$PE$67:$QE$680,614,0))</f>
        <v>0.45487632</v>
      </c>
      <c r="KM134" s="1526">
        <f>VLOOKUP($IW134,Base_Mensuelle!$OF$68:$RM$679,HLOOKUP(KM$73,Base_Mensuelle!$PE$67:$QE$680,614,0))</f>
        <v>0</v>
      </c>
      <c r="KN134" s="1526">
        <f>VLOOKUP($IW134,Base_Mensuelle!$OF$68:$RM$679,HLOOKUP(KN$73,Base_Mensuelle!$PE$67:$QE$680,614,0))</f>
        <v>1.57773992</v>
      </c>
      <c r="KO134" s="1526">
        <f>VLOOKUP($IW134,Base_Mensuelle!$OF$68:$RM$679,HLOOKUP(KO$73,Base_Mensuelle!$PE$67:$QE$680,614,0))</f>
        <v>0</v>
      </c>
      <c r="KP134" s="1526">
        <f>VLOOKUP($IW134,Base_Mensuelle!$OF$68:$RM$679,HLOOKUP(KP$73,Base_Mensuelle!$PE$67:$QE$680,614,0))</f>
        <v>0</v>
      </c>
      <c r="KQ134" s="1526">
        <f>VLOOKUP($IW134,Base_Mensuelle!$OF$68:$RM$679,HLOOKUP(KQ$73,Base_Mensuelle!$PE$67:$QE$680,614,0))</f>
        <v>1.57773992</v>
      </c>
      <c r="KR134" s="1526">
        <f>VLOOKUP($IW134,Base_Mensuelle!$OF$68:$RM$679,HLOOKUP(KR$73,Base_Mensuelle!$PE$67:$QE$680,614,0))</f>
        <v>0</v>
      </c>
      <c r="KS134" s="1526">
        <f>VLOOKUP($IW134,Base_Mensuelle!$OF$68:$RM$679,HLOOKUP(KS$73,Base_Mensuelle!$PE$67:$QE$680,614,0))</f>
        <v>0</v>
      </c>
      <c r="KT134" s="1526">
        <f>VLOOKUP($IW134,Base_Mensuelle!$OF$68:$RM$679,HLOOKUP(KT$73,Base_Mensuelle!$PE$67:$QE$680,614,0))</f>
        <v>0</v>
      </c>
      <c r="KU134" s="1526">
        <f>VLOOKUP($IW134,Base_Mensuelle!$OF$68:$RM$679,HLOOKUP(KU$73,Base_Mensuelle!$PE$67:$QE$680,614,0))</f>
        <v>2.9891765069999998</v>
      </c>
      <c r="KV134" s="1526">
        <f>VLOOKUP($IW134,Base_Mensuelle!$OF$68:$RM$679,HLOOKUP(KV$73,Base_Mensuelle!$PE$67:$QE$680,614,0))</f>
        <v>-9.5418112360000062</v>
      </c>
      <c r="KW134" s="1036"/>
      <c r="KX134" s="29">
        <v>61</v>
      </c>
      <c r="KY134" s="1037"/>
      <c r="KZ134" s="182">
        <f>VLOOKUP($IW134,Base_Mensuelle!$OF$68:$RM$679,HLOOKUP(KZ$73,Base_Mensuelle!$QG$67:$RM$680,614,0))</f>
        <v>656.85353804790475</v>
      </c>
      <c r="LA134" s="182">
        <f>VLOOKUP($IW134,Base_Mensuelle!$OF$68:$RM$679,HLOOKUP(LA$73,Base_Mensuelle!$QG$67:$RM$680,614,0))</f>
        <v>917.18955729100503</v>
      </c>
      <c r="LB134" s="182">
        <f>VLOOKUP($IW134,Base_Mensuelle!$OF$68:$RM$679,HLOOKUP(LB$73,Base_Mensuelle!$QG$67:$RM$680,614,0))</f>
        <v>-260.33601924310034</v>
      </c>
      <c r="LC134" s="182">
        <f>VLOOKUP($IW134,Base_Mensuelle!$OF$68:$RM$679,HLOOKUP(LC$73,Base_Mensuelle!$QG$67:$RM$680,614,0))</f>
        <v>188.85300000000001</v>
      </c>
      <c r="LD134" s="182">
        <f>VLOOKUP($IW134,Base_Mensuelle!$OF$68:$RM$679,HLOOKUP(LD$73,Base_Mensuelle!$QG$67:$RM$680,614,0))</f>
        <v>51.069000000000003</v>
      </c>
      <c r="LE134" s="182">
        <f>VLOOKUP($IW134,Base_Mensuelle!$OF$68:$RM$679,HLOOKUP(LE$73,Base_Mensuelle!$QG$67:$RM$680,614,0))</f>
        <v>137.78400000000002</v>
      </c>
      <c r="LF134" s="182">
        <f>VLOOKUP($IW134,Base_Mensuelle!$OF$68:$RM$679,HLOOKUP(LF$73,Base_Mensuelle!$QG$67:$RM$680,614,0))</f>
        <v>0</v>
      </c>
      <c r="LG134" s="182">
        <f>VLOOKUP($IW134,Base_Mensuelle!$OF$68:$RM$679,HLOOKUP(LG$73,Base_Mensuelle!$QG$67:$RM$680,614,0))</f>
        <v>-1.1420000000000243</v>
      </c>
      <c r="LH134" s="182">
        <f>VLOOKUP($IW134,Base_Mensuelle!$OF$68:$RM$679,HLOOKUP(LH$73,Base_Mensuelle!$QG$67:$RM$680,614,0))</f>
        <v>183.49199999999999</v>
      </c>
      <c r="LI134" s="182">
        <f>VLOOKUP($IW134,Base_Mensuelle!$OF$68:$RM$679,HLOOKUP(LI$73,Base_Mensuelle!$QG$67:$RM$680,614,0))</f>
        <v>-184.63400000000001</v>
      </c>
      <c r="LJ134" s="182">
        <f>VLOOKUP($IW134,Base_Mensuelle!$OF$68:$RM$679,HLOOKUP(LJ$73,Base_Mensuelle!$QG$67:$RM$680,614,0))</f>
        <v>1875.867442708995</v>
      </c>
      <c r="LK134" s="182">
        <f>VLOOKUP($IW134,Base_Mensuelle!$OF$68:$RM$679,HLOOKUP(LK$73,Base_Mensuelle!$QG$67:$RM$680,614,0))</f>
        <v>22.147354072870964</v>
      </c>
      <c r="LL134" s="182">
        <f>VLOOKUP($IW134,Base_Mensuelle!$OF$68:$RM$679,HLOOKUP(LL$73,Base_Mensuelle!$QG$67:$RM$680,614,0))</f>
        <v>0</v>
      </c>
      <c r="LM134" s="182">
        <f>VLOOKUP($IW134,Base_Mensuelle!$OF$68:$RM$679,HLOOKUP(LM$73,Base_Mensuelle!$QG$67:$RM$680,614,0))</f>
        <v>192.23599999999999</v>
      </c>
      <c r="LN134" s="182">
        <f>VLOOKUP($IW134,Base_Mensuelle!$OF$68:$RM$679,HLOOKUP(LN$73,Base_Mensuelle!$QG$67:$RM$680,614,0))</f>
        <v>1661.4840886361239</v>
      </c>
      <c r="LO134" s="182">
        <f>VLOOKUP($IW134,Base_Mensuelle!$OF$68:$RM$679,HLOOKUP(LO$73,Base_Mensuelle!$QG$67:$RM$680,614,0))</f>
        <v>0</v>
      </c>
      <c r="LP134" s="182">
        <f>VLOOKUP($IW134,Base_Mensuelle!$OF$68:$RM$679,HLOOKUP(LP$73,Base_Mensuelle!$QG$67:$RM$680,614,0))</f>
        <v>458.17099999999999</v>
      </c>
      <c r="LQ134" s="182">
        <f>VLOOKUP($IW134,Base_Mensuelle!$OF$68:$RM$679,HLOOKUP(LQ$73,Base_Mensuelle!$QG$67:$RM$680,614,0))</f>
        <v>884.76612971953568</v>
      </c>
      <c r="LR134" s="182">
        <f>VLOOKUP($IW134,Base_Mensuelle!$OF$68:$RM$679,HLOOKUP(LR$73,Base_Mensuelle!$QG$67:$RM$680,614,0))</f>
        <v>972.77785103736403</v>
      </c>
      <c r="LS134" s="182">
        <f>VLOOKUP($IW134,Base_Mensuelle!$OF$68:$RM$679,HLOOKUP(LS$73,Base_Mensuelle!$QG$67:$RM$680,614,0))</f>
        <v>0</v>
      </c>
      <c r="LT134" s="182">
        <f>VLOOKUP($IW134,Base_Mensuelle!$OF$68:$RM$679,HLOOKUP(LT$73,Base_Mensuelle!$QG$67:$RM$680,614,0))</f>
        <v>44.427</v>
      </c>
      <c r="LU134" s="182">
        <f>VLOOKUP($IW134,Base_Mensuelle!$OF$68:$RM$679,HLOOKUP(LU$73,Base_Mensuelle!$QG$67:$RM$680,614,0))</f>
        <v>4.7119999999999997</v>
      </c>
      <c r="LV134" s="182">
        <f>VLOOKUP($IW134,Base_Mensuelle!$OF$68:$RM$679,HLOOKUP(LV$73,Base_Mensuelle!$QG$67:$RM$680,614,0))</f>
        <v>16.724</v>
      </c>
      <c r="LW134" s="182">
        <f>VLOOKUP($IW134,Base_Mensuelle!$OF$68:$RM$679,HLOOKUP(LW$73,Base_Mensuelle!$QG$67:$RM$680,614,0))</f>
        <v>0</v>
      </c>
      <c r="LX134" s="182">
        <f>VLOOKUP($IW134,Base_Mensuelle!$OF$68:$RM$679,HLOOKUP(LX$73,Base_Mensuelle!$QG$67:$RM$680,614,0))</f>
        <v>0</v>
      </c>
      <c r="LY134" s="182">
        <f>VLOOKUP($IW134,Base_Mensuelle!$OF$68:$RM$679,HLOOKUP(LY$73,Base_Mensuelle!$QG$67:$RM$680,614,0))</f>
        <v>289.61900000000003</v>
      </c>
      <c r="LZ134" s="182">
        <f>VLOOKUP($IW134,Base_Mensuelle!$OF$68:$RM$679,HLOOKUP(LZ$73,Base_Mensuelle!$QG$67:$RM$680,614,0))</f>
        <v>49.234999999999985</v>
      </c>
      <c r="MA134" s="182">
        <f>VLOOKUP($IW134,Base_Mensuelle!$OF$68:$RM$679,HLOOKUP(MA$73,Base_Mensuelle!$QG$67:$RM$680,614,0))</f>
        <v>0</v>
      </c>
      <c r="MB134" s="182">
        <f>VLOOKUP($IW134,Base_Mensuelle!$OF$68:$RM$679,HLOOKUP(MB$73,Base_Mensuelle!$QG$67:$RM$680,614,0))</f>
        <v>0</v>
      </c>
      <c r="MC134" s="182">
        <f>VLOOKUP($IW134,Base_Mensuelle!$OF$68:$RM$679,HLOOKUP(MC$73,Base_Mensuelle!$QG$67:$RM$680,614,0))</f>
        <v>0</v>
      </c>
      <c r="MD134" s="182">
        <f>VLOOKUP($IW134,Base_Mensuelle!$OF$68:$RM$679,HLOOKUP(MD$73,Base_Mensuelle!$QG$67:$RM$680,614,0))</f>
        <v>0</v>
      </c>
      <c r="ME134" s="182">
        <f>VLOOKUP($IW134,Base_Mensuelle!$OF$68:$RM$679,HLOOKUP(ME$73,Base_Mensuelle!$QG$67:$RM$680,614,0))</f>
        <v>0</v>
      </c>
      <c r="MF134" s="182"/>
      <c r="MG134" s="182"/>
      <c r="MH134" s="290"/>
      <c r="MI134" s="29">
        <v>61</v>
      </c>
      <c r="MJ134" s="29" t="str">
        <f t="shared" si="82"/>
        <v>Trimestre 12015</v>
      </c>
      <c r="MK134" s="848">
        <v>42064</v>
      </c>
      <c r="ML134" s="1991">
        <v>99.513139711290023</v>
      </c>
      <c r="MM134" s="1991">
        <v>100.91711477378692</v>
      </c>
      <c r="MN134" s="1991">
        <v>99.997769548599095</v>
      </c>
      <c r="MO134" s="1991">
        <v>100</v>
      </c>
      <c r="MP134" s="1991">
        <v>99.513139711290023</v>
      </c>
      <c r="MQ134" s="1991">
        <v>100.92761225536037</v>
      </c>
      <c r="MR134" s="1991">
        <v>100.00000000000004</v>
      </c>
      <c r="MS134" s="1991">
        <v>100.04650525480263</v>
      </c>
      <c r="MT134" s="1991">
        <v>100.00000000000004</v>
      </c>
      <c r="MU134" s="1991">
        <v>100</v>
      </c>
      <c r="MV134" s="1991">
        <v>100.24701084341227</v>
      </c>
      <c r="MW134" s="1991">
        <v>100</v>
      </c>
      <c r="MX134" s="1991">
        <v>101.58730158730161</v>
      </c>
      <c r="MY134" s="1991">
        <v>100.00000000000009</v>
      </c>
      <c r="MZ134" s="1991">
        <v>99.944524418701221</v>
      </c>
      <c r="NA134" s="1991">
        <v>100.00000000000009</v>
      </c>
      <c r="NB134" s="1991">
        <v>100.25679493643226</v>
      </c>
      <c r="NC134" s="1991">
        <v>97.710602422521646</v>
      </c>
      <c r="ND134" s="1991">
        <v>98.966471026795418</v>
      </c>
      <c r="NE134" s="1991">
        <v>100.00000000000007</v>
      </c>
      <c r="NF134" s="1991">
        <v>100.00000000000003</v>
      </c>
      <c r="NG134" s="1991">
        <v>100.00000000000009</v>
      </c>
      <c r="NH134" s="1991">
        <v>100.00000000000006</v>
      </c>
      <c r="NI134" s="1991">
        <v>100</v>
      </c>
      <c r="NJ134" s="1991">
        <v>100</v>
      </c>
      <c r="NK134" s="1991">
        <v>100.36952912177125</v>
      </c>
      <c r="NL134" s="29">
        <v>61</v>
      </c>
    </row>
    <row r="135" spans="1:376">
      <c r="A135" s="41">
        <f t="shared" si="80"/>
        <v>2015</v>
      </c>
      <c r="B135" s="785">
        <v>42156</v>
      </c>
      <c r="C135" s="733">
        <v>110.80002538864512</v>
      </c>
      <c r="D135" s="1547">
        <v>212.46276939926366</v>
      </c>
      <c r="E135" s="570">
        <v>171.7722027670934</v>
      </c>
      <c r="F135" s="1547">
        <v>61.362607698694717</v>
      </c>
      <c r="G135" s="1547">
        <v>0</v>
      </c>
      <c r="H135" s="1547">
        <v>90.461215030656788</v>
      </c>
      <c r="I135" s="570">
        <v>66.289614954790196</v>
      </c>
      <c r="J135" s="570">
        <v>108.95803140248582</v>
      </c>
      <c r="K135" s="570">
        <v>199.84224690935753</v>
      </c>
      <c r="L135" s="570">
        <v>219.51921423633149</v>
      </c>
      <c r="M135" s="734">
        <v>102.35814045117277</v>
      </c>
      <c r="N135" s="25">
        <v>62</v>
      </c>
      <c r="O135" s="889">
        <f t="shared" si="79"/>
        <v>2015</v>
      </c>
      <c r="P135" s="29" t="str">
        <f t="shared" si="81"/>
        <v>Trimestre 22015</v>
      </c>
      <c r="Q135" s="848">
        <v>42156</v>
      </c>
      <c r="R135" s="733">
        <v>8.8548241000000001</v>
      </c>
      <c r="S135" s="570">
        <v>42.845374999999997</v>
      </c>
      <c r="T135" s="570">
        <v>814.755</v>
      </c>
      <c r="U135" s="734">
        <v>70.349999999999994</v>
      </c>
      <c r="V135" s="25">
        <v>62</v>
      </c>
      <c r="W135" s="733">
        <v>6972</v>
      </c>
      <c r="X135" s="570">
        <v>0</v>
      </c>
      <c r="Y135" s="570">
        <v>471.57865340720497</v>
      </c>
      <c r="Z135" s="570">
        <v>220.9211668206853</v>
      </c>
      <c r="AA135" s="570">
        <v>44.881500000000003</v>
      </c>
      <c r="AB135" s="570">
        <v>96.518000000000001</v>
      </c>
      <c r="AC135" s="570">
        <v>717.54300000000001</v>
      </c>
      <c r="AD135" s="570">
        <v>306.11432000000002</v>
      </c>
      <c r="AE135" s="734">
        <v>22.010375</v>
      </c>
      <c r="AF135" s="25">
        <v>62</v>
      </c>
      <c r="AG135" s="733">
        <v>31.927974814789263</v>
      </c>
      <c r="AH135" s="570">
        <v>35.470020976349844</v>
      </c>
      <c r="AI135" s="570">
        <v>29.441237203497295</v>
      </c>
      <c r="AJ135" s="570">
        <v>-1.2933871635448004</v>
      </c>
      <c r="AK135" s="570">
        <v>15.847491065218723</v>
      </c>
      <c r="AL135" s="570">
        <v>7.7219372961701902</v>
      </c>
      <c r="AM135" s="570">
        <v>11.892992121157775</v>
      </c>
      <c r="AN135" s="734">
        <v>1.3923410034683912</v>
      </c>
      <c r="AO135" s="733">
        <v>17.973773809836818</v>
      </c>
      <c r="AP135" s="570">
        <v>10.152584964940235</v>
      </c>
      <c r="AQ135" s="570">
        <v>2.9146056134945262</v>
      </c>
      <c r="AR135" s="570">
        <v>-0.92488333885951235</v>
      </c>
      <c r="AS135" s="734">
        <v>-6.3157894736842106</v>
      </c>
      <c r="AT135" s="733">
        <v>-9.2689797483308762</v>
      </c>
      <c r="AU135" s="570">
        <v>-1.6196667176845629</v>
      </c>
      <c r="AV135" s="734">
        <v>-1.4133114628481795</v>
      </c>
      <c r="AW135" s="733">
        <v>-25.779743313984731</v>
      </c>
      <c r="AX135" s="570">
        <v>5.5400978029839223</v>
      </c>
      <c r="AY135" s="570">
        <v>-0.83521411322218597</v>
      </c>
      <c r="AZ135" s="570">
        <v>17.135042763815619</v>
      </c>
      <c r="BA135" s="570">
        <v>3.0609836749534391</v>
      </c>
      <c r="BB135" s="570">
        <v>-29.443407347607621</v>
      </c>
      <c r="BC135" s="734">
        <v>6.3157894736842106</v>
      </c>
      <c r="BD135" s="179">
        <v>32.061863421747319</v>
      </c>
      <c r="BE135" s="99">
        <v>43.671861512075296</v>
      </c>
      <c r="BF135" s="99">
        <v>-27.495952068466654</v>
      </c>
      <c r="BG135" s="99">
        <v>-12.712283894859565</v>
      </c>
      <c r="BH135" s="99">
        <v>33.237512959391971</v>
      </c>
      <c r="BI135" s="99">
        <v>-1.0907937464124926</v>
      </c>
      <c r="BJ135" s="99">
        <v>4.3069041594416237</v>
      </c>
      <c r="BK135" s="132">
        <v>2.7093760311731252</v>
      </c>
      <c r="BL135" s="179">
        <v>1.7020384730419593</v>
      </c>
      <c r="BM135" s="99">
        <v>-5.8025145076232434</v>
      </c>
      <c r="BN135" s="99">
        <v>-1.061741048651955</v>
      </c>
      <c r="BO135" s="99">
        <v>-8.5435230400765754</v>
      </c>
      <c r="BP135" s="99">
        <v>-26.315789473684209</v>
      </c>
      <c r="BQ135" s="132">
        <v>-26.315789473684209</v>
      </c>
      <c r="BR135" s="179">
        <v>19.84648001553521</v>
      </c>
      <c r="BS135" s="99">
        <v>-3.0000370533544305</v>
      </c>
      <c r="BT135" s="99">
        <v>-6.8819501555304221</v>
      </c>
      <c r="BU135" s="132">
        <v>-26.616993314954481</v>
      </c>
      <c r="BV135" s="179">
        <v>-36.532693711909616</v>
      </c>
      <c r="BW135" s="99">
        <v>-45.879557809897499</v>
      </c>
      <c r="BX135" s="99">
        <v>6.0153165917869522</v>
      </c>
      <c r="BY135" s="99">
        <v>0</v>
      </c>
      <c r="BZ135" s="99">
        <v>-60.13464421480861</v>
      </c>
      <c r="CA135" s="99">
        <v>-5.2631578947368407</v>
      </c>
      <c r="CB135" s="132">
        <v>0</v>
      </c>
      <c r="CC135" s="25">
        <v>62</v>
      </c>
      <c r="CD135" s="181">
        <v>82011</v>
      </c>
      <c r="CE135" s="182">
        <v>14091633</v>
      </c>
      <c r="CF135" s="319">
        <f>(((CF134/CF133-1)+(CF133/CF132-1))/2+1)*CF134</f>
        <v>1553777.9036247185</v>
      </c>
      <c r="CG135" s="25">
        <v>62</v>
      </c>
      <c r="CH135" s="19">
        <v>22369</v>
      </c>
      <c r="CI135" s="93">
        <v>3978</v>
      </c>
      <c r="CJ135" s="93">
        <v>3511</v>
      </c>
      <c r="CK135" s="93">
        <v>11591</v>
      </c>
      <c r="CL135" s="93">
        <v>6150</v>
      </c>
      <c r="CM135" s="93">
        <v>886</v>
      </c>
      <c r="CN135" s="93">
        <v>3076</v>
      </c>
      <c r="CO135" s="93">
        <v>2520</v>
      </c>
      <c r="CP135" s="93">
        <v>1830</v>
      </c>
      <c r="CQ135" s="93">
        <v>2083</v>
      </c>
      <c r="CR135" s="214">
        <v>77718</v>
      </c>
      <c r="CS135" s="20">
        <v>121187</v>
      </c>
      <c r="CT135" s="25">
        <v>62</v>
      </c>
      <c r="CU135" s="19">
        <v>18719</v>
      </c>
      <c r="CV135" s="93">
        <v>75029</v>
      </c>
      <c r="CW135" s="93">
        <v>13878</v>
      </c>
      <c r="CX135" s="93">
        <v>893</v>
      </c>
      <c r="CY135" s="93">
        <v>598</v>
      </c>
      <c r="CZ135" s="93">
        <v>513</v>
      </c>
      <c r="DA135" s="93">
        <v>11557</v>
      </c>
      <c r="DB135" s="20">
        <v>121187</v>
      </c>
      <c r="DC135" s="25">
        <v>62</v>
      </c>
      <c r="DD135" s="785">
        <v>42156</v>
      </c>
      <c r="DE135" s="733">
        <v>376.97935179856</v>
      </c>
      <c r="DF135" s="734">
        <v>401.08826799999997</v>
      </c>
      <c r="DG135" s="25">
        <v>62</v>
      </c>
      <c r="DH135" s="733">
        <v>445.35519471934992</v>
      </c>
      <c r="DI135" s="734">
        <v>1306.38239</v>
      </c>
      <c r="DJ135" s="25">
        <v>62</v>
      </c>
      <c r="DK135" s="733">
        <v>376.97935179856</v>
      </c>
      <c r="DL135" s="734">
        <v>445.35519471934992</v>
      </c>
      <c r="DM135" s="733">
        <v>-68.375842920789921</v>
      </c>
      <c r="DN135" s="734">
        <v>84.646896739606149</v>
      </c>
      <c r="DO135" s="25">
        <v>62</v>
      </c>
      <c r="DP135" s="733">
        <v>239.2</v>
      </c>
      <c r="DQ135" s="570">
        <v>268.7</v>
      </c>
      <c r="DR135" s="734">
        <v>642.6</v>
      </c>
      <c r="DS135" s="25">
        <v>62</v>
      </c>
      <c r="DT135" s="733">
        <v>97.6</v>
      </c>
      <c r="DU135" s="570">
        <v>235.7</v>
      </c>
      <c r="DV135" s="734">
        <v>230.1</v>
      </c>
      <c r="DW135" s="25">
        <v>62</v>
      </c>
      <c r="DX135" s="733">
        <v>199.3</v>
      </c>
      <c r="DY135" s="734">
        <v>48.8</v>
      </c>
      <c r="DZ135" s="25">
        <v>62</v>
      </c>
      <c r="EA135" s="733">
        <v>199.5</v>
      </c>
      <c r="EB135" s="570">
        <v>74.599999999999994</v>
      </c>
      <c r="EC135" s="570">
        <v>30.5</v>
      </c>
      <c r="ED135" s="570">
        <v>38.200000000000003</v>
      </c>
      <c r="EE135" s="734">
        <v>1.5</v>
      </c>
      <c r="EF135" s="25">
        <v>62</v>
      </c>
      <c r="EG135" s="1569">
        <v>101.3</v>
      </c>
      <c r="EH135" s="1570">
        <v>20.7</v>
      </c>
      <c r="EI135" s="1570">
        <v>12.7</v>
      </c>
      <c r="EJ135" s="1570">
        <v>16.3</v>
      </c>
      <c r="EK135" s="1571">
        <v>7.4</v>
      </c>
      <c r="EL135" s="25">
        <v>62</v>
      </c>
      <c r="EM135" s="733">
        <v>148.6</v>
      </c>
      <c r="EN135" s="570">
        <v>15.9</v>
      </c>
      <c r="EO135" s="570">
        <v>11.3</v>
      </c>
      <c r="EP135" s="570">
        <v>4.0999999999999996</v>
      </c>
      <c r="EQ135" s="570">
        <v>7.8</v>
      </c>
      <c r="ER135" s="570">
        <v>7.8</v>
      </c>
      <c r="ES135" s="570">
        <v>69.7</v>
      </c>
      <c r="ET135" s="570">
        <v>12.4</v>
      </c>
      <c r="EU135" s="570">
        <v>0.3</v>
      </c>
      <c r="EV135" s="734">
        <v>3.2</v>
      </c>
      <c r="EW135" s="25">
        <v>62</v>
      </c>
      <c r="EX135" s="918">
        <v>34.200000000000003</v>
      </c>
      <c r="EY135" s="919">
        <v>47.7</v>
      </c>
      <c r="EZ135" s="919">
        <v>34.6</v>
      </c>
      <c r="FA135" s="919">
        <v>0.6</v>
      </c>
      <c r="FB135" s="919">
        <v>23.4</v>
      </c>
      <c r="FC135" s="919">
        <v>11</v>
      </c>
      <c r="FD135" s="919">
        <v>18.5</v>
      </c>
      <c r="FE135" s="919">
        <v>13.7</v>
      </c>
      <c r="FF135" s="919">
        <v>6.2</v>
      </c>
      <c r="FG135" s="920">
        <v>10.3</v>
      </c>
      <c r="FH135" s="25">
        <v>62</v>
      </c>
      <c r="FI135" s="848">
        <v>42156</v>
      </c>
      <c r="FJ135" s="19">
        <v>1913</v>
      </c>
      <c r="FK135" s="93">
        <v>1279</v>
      </c>
      <c r="FL135" s="20">
        <v>0</v>
      </c>
      <c r="FM135" s="25">
        <v>62</v>
      </c>
      <c r="FN135" s="19">
        <v>96</v>
      </c>
      <c r="FO135" s="93">
        <v>819</v>
      </c>
      <c r="FP135" s="93">
        <v>1433</v>
      </c>
      <c r="FQ135" s="93">
        <v>565</v>
      </c>
      <c r="FR135" s="93">
        <v>175</v>
      </c>
      <c r="FS135" s="93">
        <v>55</v>
      </c>
      <c r="FT135" s="93">
        <v>24</v>
      </c>
      <c r="FU135" s="93">
        <v>19</v>
      </c>
      <c r="FV135" s="93">
        <v>5</v>
      </c>
      <c r="FW135" s="917">
        <v>1</v>
      </c>
      <c r="FX135" s="25">
        <v>62</v>
      </c>
      <c r="FY135" s="975">
        <v>39</v>
      </c>
      <c r="FZ135" s="975">
        <v>359</v>
      </c>
      <c r="GA135" s="975">
        <v>384</v>
      </c>
      <c r="GB135" s="975">
        <v>108</v>
      </c>
      <c r="GC135" s="975">
        <v>307</v>
      </c>
      <c r="GD135" s="975">
        <v>162</v>
      </c>
      <c r="GE135" s="975">
        <v>695</v>
      </c>
      <c r="GF135" s="975">
        <v>259</v>
      </c>
      <c r="GG135" s="975">
        <v>66</v>
      </c>
      <c r="GH135" s="975">
        <v>742</v>
      </c>
      <c r="GI135" s="976">
        <v>71</v>
      </c>
      <c r="GJ135" s="25">
        <v>62</v>
      </c>
      <c r="GK135" s="19"/>
      <c r="GL135" s="20"/>
      <c r="GM135" s="25">
        <v>62</v>
      </c>
      <c r="GN135" s="19">
        <v>4199</v>
      </c>
      <c r="GO135" s="20">
        <v>1596</v>
      </c>
      <c r="GP135" s="25">
        <v>62</v>
      </c>
      <c r="GQ135" s="19">
        <v>32</v>
      </c>
      <c r="GR135" s="20">
        <v>30</v>
      </c>
      <c r="GS135" s="25">
        <v>62</v>
      </c>
      <c r="GT135" s="848">
        <v>42156</v>
      </c>
      <c r="GU135" s="733">
        <v>600.41875370017078</v>
      </c>
      <c r="GV135" s="570">
        <v>520.93439968610096</v>
      </c>
      <c r="GW135" s="570">
        <v>520.93432708610101</v>
      </c>
      <c r="GX135" s="570">
        <v>460.76968552410091</v>
      </c>
      <c r="GY135" s="570">
        <v>118.530314563</v>
      </c>
      <c r="GZ135" s="570">
        <v>4.2273960729999995</v>
      </c>
      <c r="HA135" s="570">
        <v>3.5505074050000003</v>
      </c>
      <c r="HB135" s="570">
        <v>262.424898188101</v>
      </c>
      <c r="HC135" s="570">
        <v>68.237805820999995</v>
      </c>
      <c r="HD135" s="570">
        <v>3.7987634740000003</v>
      </c>
      <c r="HE135" s="570">
        <v>60.164641562000007</v>
      </c>
      <c r="HF135" s="570">
        <v>2.4496773000000003</v>
      </c>
      <c r="HG135" s="570">
        <v>14.334157296000003</v>
      </c>
      <c r="HH135" s="570">
        <v>3.4637900319999995</v>
      </c>
      <c r="HI135" s="570">
        <v>10.426667839</v>
      </c>
      <c r="HJ135" s="570">
        <v>29.490349094999999</v>
      </c>
      <c r="HK135" s="570">
        <v>7.2599999999999989E-5</v>
      </c>
      <c r="HL135" s="570">
        <v>79.484354014069822</v>
      </c>
      <c r="HM135" s="570">
        <v>54.82969355106983</v>
      </c>
      <c r="HN135" s="570">
        <v>24.654660463000003</v>
      </c>
      <c r="HO135" s="570">
        <v>680.35550589393961</v>
      </c>
      <c r="HP135" s="570">
        <v>689.47604876593959</v>
      </c>
      <c r="HQ135" s="570">
        <v>463.54401139800001</v>
      </c>
      <c r="HR135" s="570">
        <v>233.68530584799998</v>
      </c>
      <c r="HS135" s="570">
        <v>62.886249810000002</v>
      </c>
      <c r="HT135" s="570">
        <v>19.256324307999993</v>
      </c>
      <c r="HU135" s="570">
        <v>12.352532151999998</v>
      </c>
      <c r="HV135" s="570">
        <v>6.9037921560000006</v>
      </c>
      <c r="HW135" s="570">
        <v>147.716131432</v>
      </c>
      <c r="HX135" s="570">
        <v>3.2379143725000001</v>
      </c>
      <c r="HY135" s="570">
        <v>27.726334127000001</v>
      </c>
      <c r="HZ135" s="570">
        <v>16.626666708000002</v>
      </c>
      <c r="IA135" s="570">
        <v>11.664736276999999</v>
      </c>
      <c r="IB135" s="570">
        <v>225.93203736793959</v>
      </c>
      <c r="IC135" s="570">
        <v>144.394759319</v>
      </c>
      <c r="ID135" s="570">
        <v>0.44516559700000002</v>
      </c>
      <c r="IE135" s="570">
        <v>81.092112451939556</v>
      </c>
      <c r="IF135" s="570">
        <v>-9.1205428719999979</v>
      </c>
      <c r="IG135" s="570">
        <v>-79.936752193768768</v>
      </c>
      <c r="IH135" s="570">
        <v>-159.42110620783859</v>
      </c>
      <c r="II135" s="570">
        <v>-59.072669447899059</v>
      </c>
      <c r="IJ135" s="570">
        <v>-78.328993755899049</v>
      </c>
      <c r="IK135" s="570">
        <v>-94.986364700768789</v>
      </c>
      <c r="IL135" s="570">
        <v>-174.4707187148386</v>
      </c>
      <c r="IM135" s="570">
        <v>98.065512959869736</v>
      </c>
      <c r="IN135" s="570">
        <v>21.981542473869712</v>
      </c>
      <c r="IO135" s="570">
        <v>34.76840882786972</v>
      </c>
      <c r="IP135" s="570">
        <v>-12.786866354000001</v>
      </c>
      <c r="IQ135" s="570">
        <v>0</v>
      </c>
      <c r="IR135" s="570">
        <v>76.083970486000027</v>
      </c>
      <c r="IS135" s="570">
        <v>26.232826454999991</v>
      </c>
      <c r="IT135" s="570">
        <v>49.851144031000011</v>
      </c>
      <c r="IU135" s="570">
        <v>-9.3132257461547859E-15</v>
      </c>
      <c r="IV135" s="93">
        <v>62</v>
      </c>
      <c r="IW135" s="848">
        <v>42156</v>
      </c>
      <c r="IX135" s="1035"/>
      <c r="IY135" s="1035">
        <v>209.87679320699999</v>
      </c>
      <c r="IZ135" s="1035">
        <v>266.7901</v>
      </c>
      <c r="JA135" s="1035">
        <v>0.46757948199999999</v>
      </c>
      <c r="JB135" s="1035">
        <v>881.76574291689292</v>
      </c>
      <c r="JC135" s="1035">
        <v>155.271760153</v>
      </c>
      <c r="JD135" s="1035">
        <v>1247.3818757588929</v>
      </c>
      <c r="JE135" s="1035">
        <v>1014.1649874426172</v>
      </c>
      <c r="JF135" s="1035">
        <v>2261.54686320151</v>
      </c>
      <c r="JG135" s="1035"/>
      <c r="JH135" s="1035">
        <v>491.08956981790129</v>
      </c>
      <c r="JI135" s="1035">
        <v>-81.893259354000008</v>
      </c>
      <c r="JJ135" s="1035">
        <v>572.98282917190136</v>
      </c>
      <c r="JK135" s="1035">
        <v>1961.0121917116089</v>
      </c>
      <c r="JL135" s="1035">
        <v>14.844508336000015</v>
      </c>
      <c r="JM135" s="1035">
        <v>9.8215083360000186</v>
      </c>
      <c r="JN135" s="1035">
        <v>5.0229999999999961</v>
      </c>
      <c r="JO135" s="1035">
        <v>1946.1676833756089</v>
      </c>
      <c r="JP135" s="1035">
        <v>4.0307821879999999</v>
      </c>
      <c r="JQ135" s="1035">
        <v>1942.1369011876088</v>
      </c>
      <c r="JR135" s="1035">
        <v>358.77724268899999</v>
      </c>
      <c r="JS135" s="1035">
        <v>-168.22234436100001</v>
      </c>
      <c r="JT135" s="1036">
        <v>2261.5468632015104</v>
      </c>
      <c r="JU135" s="29">
        <v>62</v>
      </c>
      <c r="JV135" s="1037"/>
      <c r="JW135" s="1526">
        <f>VLOOKUP($IW135,Base_Mensuelle!$OF$68:$RM$679,HLOOKUP(JW$73,Base_Mensuelle!$PE$67:$QE$680,614,0))</f>
        <v>-81.893259354000008</v>
      </c>
      <c r="JX135" s="1526">
        <f>VLOOKUP($IW135,Base_Mensuelle!$OF$68:$RM$679,HLOOKUP(JX$73,Base_Mensuelle!$PE$67:$QE$680,614,0))</f>
        <v>411.38872086499998</v>
      </c>
      <c r="JY135" s="1526">
        <f>VLOOKUP($IW135,Base_Mensuelle!$OF$68:$RM$679,HLOOKUP(JY$73,Base_Mensuelle!$PE$67:$QE$680,614,0))</f>
        <v>493.28198021899999</v>
      </c>
      <c r="JZ135" s="1526">
        <f>VLOOKUP($IW135,Base_Mensuelle!$OF$68:$RM$679,HLOOKUP(JZ$73,Base_Mensuelle!$PE$67:$QE$680,614,0))</f>
        <v>461.6004375</v>
      </c>
      <c r="KA135" s="1526">
        <f>VLOOKUP($IW135,Base_Mensuelle!$OF$68:$RM$679,HLOOKUP(KA$73,Base_Mensuelle!$PE$67:$QE$680,614,0))</f>
        <v>15.143815129000018</v>
      </c>
      <c r="KB135" s="1526">
        <f>VLOOKUP($IW135,Base_Mensuelle!$OF$68:$RM$679,HLOOKUP(KB$73,Base_Mensuelle!$PE$67:$QE$680,614,0))</f>
        <v>139.82739178100002</v>
      </c>
      <c r="KC135" s="1526">
        <f>VLOOKUP($IW135,Base_Mensuelle!$OF$68:$RM$679,HLOOKUP(KC$73,Base_Mensuelle!$PE$67:$QE$680,614,0))</f>
        <v>124.683576652</v>
      </c>
      <c r="KD135" s="1526">
        <f>VLOOKUP($IW135,Base_Mensuelle!$OF$68:$RM$679,HLOOKUP(KD$73,Base_Mensuelle!$PE$67:$QE$680,614,0))</f>
        <v>4.0307821879999999</v>
      </c>
      <c r="KE135" s="1526">
        <f>VLOOKUP($IW135,Base_Mensuelle!$OF$68:$RM$679,HLOOKUP(KE$73,Base_Mensuelle!$PE$67:$QE$680,614,0))</f>
        <v>0.6</v>
      </c>
      <c r="KF135" s="1526">
        <f>VLOOKUP($IW135,Base_Mensuelle!$OF$68:$RM$679,HLOOKUP(KF$73,Base_Mensuelle!$PE$67:$QE$680,614,0))</f>
        <v>0</v>
      </c>
      <c r="KG135" s="1526">
        <f>VLOOKUP($IW135,Base_Mensuelle!$OF$68:$RM$679,HLOOKUP(KG$73,Base_Mensuelle!$PE$67:$QE$680,614,0))</f>
        <v>2.7611699999999999E-4</v>
      </c>
      <c r="KH135" s="1526">
        <f>VLOOKUP($IW135,Base_Mensuelle!$OF$68:$RM$679,HLOOKUP(KH$73,Base_Mensuelle!$PE$67:$QE$680,614,0))</f>
        <v>3.4305060710000004</v>
      </c>
      <c r="KI135" s="1526">
        <f>VLOOKUP($IW135,Base_Mensuelle!$OF$68:$RM$679,HLOOKUP(KI$73,Base_Mensuelle!$PE$67:$QE$680,614,0))</f>
        <v>398.08502293599997</v>
      </c>
      <c r="KJ135" s="1526">
        <f>VLOOKUP($IW135,Base_Mensuelle!$OF$68:$RM$679,HLOOKUP(KJ$73,Base_Mensuelle!$PE$67:$QE$680,614,0))</f>
        <v>266.7901</v>
      </c>
      <c r="KK135" s="1526">
        <f>VLOOKUP($IW135,Base_Mensuelle!$OF$68:$RM$679,HLOOKUP(KK$73,Base_Mensuelle!$PE$67:$QE$680,614,0))</f>
        <v>130.82734345399999</v>
      </c>
      <c r="KL135" s="1526">
        <f>VLOOKUP($IW135,Base_Mensuelle!$OF$68:$RM$679,HLOOKUP(KL$73,Base_Mensuelle!$PE$67:$QE$680,614,0))</f>
        <v>0.46757948199999999</v>
      </c>
      <c r="KM135" s="1526">
        <f>VLOOKUP($IW135,Base_Mensuelle!$OF$68:$RM$679,HLOOKUP(KM$73,Base_Mensuelle!$PE$67:$QE$680,614,0))</f>
        <v>0</v>
      </c>
      <c r="KN135" s="1526">
        <f>VLOOKUP($IW135,Base_Mensuelle!$OF$68:$RM$679,HLOOKUP(KN$73,Base_Mensuelle!$PE$67:$QE$680,614,0))</f>
        <v>1.1028457030000001</v>
      </c>
      <c r="KO135" s="1526">
        <f>VLOOKUP($IW135,Base_Mensuelle!$OF$68:$RM$679,HLOOKUP(KO$73,Base_Mensuelle!$PE$67:$QE$680,614,0))</f>
        <v>0</v>
      </c>
      <c r="KP135" s="1526">
        <f>VLOOKUP($IW135,Base_Mensuelle!$OF$68:$RM$679,HLOOKUP(KP$73,Base_Mensuelle!$PE$67:$QE$680,614,0))</f>
        <v>0</v>
      </c>
      <c r="KQ135" s="1526">
        <f>VLOOKUP($IW135,Base_Mensuelle!$OF$68:$RM$679,HLOOKUP(KQ$73,Base_Mensuelle!$PE$67:$QE$680,614,0))</f>
        <v>1.1028457030000001</v>
      </c>
      <c r="KR135" s="1526">
        <f>VLOOKUP($IW135,Base_Mensuelle!$OF$68:$RM$679,HLOOKUP(KR$73,Base_Mensuelle!$PE$67:$QE$680,614,0))</f>
        <v>0</v>
      </c>
      <c r="KS135" s="1526">
        <f>VLOOKUP($IW135,Base_Mensuelle!$OF$68:$RM$679,HLOOKUP(KS$73,Base_Mensuelle!$PE$67:$QE$680,614,0))</f>
        <v>0</v>
      </c>
      <c r="KT135" s="1526">
        <f>VLOOKUP($IW135,Base_Mensuelle!$OF$68:$RM$679,HLOOKUP(KT$73,Base_Mensuelle!$PE$67:$QE$680,614,0))</f>
        <v>0</v>
      </c>
      <c r="KU135" s="1526">
        <f>VLOOKUP($IW135,Base_Mensuelle!$OF$68:$RM$679,HLOOKUP(KU$73,Base_Mensuelle!$PE$67:$QE$680,614,0))</f>
        <v>5.2033969860000004</v>
      </c>
      <c r="KV135" s="1526">
        <f>VLOOKUP($IW135,Base_Mensuelle!$OF$68:$RM$679,HLOOKUP(KV$73,Base_Mensuelle!$PE$67:$QE$680,614,0))</f>
        <v>-5.5094901620000067</v>
      </c>
      <c r="KW135" s="1036"/>
      <c r="KX135" s="29">
        <v>62</v>
      </c>
      <c r="KY135" s="1037"/>
      <c r="KZ135" s="182">
        <f>VLOOKUP($IW135,Base_Mensuelle!$OF$68:$RM$679,HLOOKUP(KZ$73,Base_Mensuelle!$QG$67:$RM$680,614,0))</f>
        <v>572.98282917190136</v>
      </c>
      <c r="LA135" s="182">
        <f>VLOOKUP($IW135,Base_Mensuelle!$OF$68:$RM$679,HLOOKUP(LA$73,Base_Mensuelle!$QG$67:$RM$680,614,0))</f>
        <v>974.56309881239122</v>
      </c>
      <c r="LB135" s="182">
        <f>VLOOKUP($IW135,Base_Mensuelle!$OF$68:$RM$679,HLOOKUP(LB$73,Base_Mensuelle!$QG$67:$RM$680,614,0))</f>
        <v>-401.5802696404898</v>
      </c>
      <c r="LC135" s="182">
        <f>VLOOKUP($IW135,Base_Mensuelle!$OF$68:$RM$679,HLOOKUP(LC$73,Base_Mensuelle!$QG$67:$RM$680,614,0))</f>
        <v>192.10599999999999</v>
      </c>
      <c r="LD135" s="182">
        <f>VLOOKUP($IW135,Base_Mensuelle!$OF$68:$RM$679,HLOOKUP(LD$73,Base_Mensuelle!$QG$67:$RM$680,614,0))</f>
        <v>51.591000000000001</v>
      </c>
      <c r="LE135" s="182">
        <f>VLOOKUP($IW135,Base_Mensuelle!$OF$68:$RM$679,HLOOKUP(LE$73,Base_Mensuelle!$QG$67:$RM$680,614,0))</f>
        <v>140.51499999999999</v>
      </c>
      <c r="LF135" s="182">
        <f>VLOOKUP($IW135,Base_Mensuelle!$OF$68:$RM$679,HLOOKUP(LF$73,Base_Mensuelle!$QG$67:$RM$680,614,0))</f>
        <v>0</v>
      </c>
      <c r="LG135" s="182">
        <f>VLOOKUP($IW135,Base_Mensuelle!$OF$68:$RM$679,HLOOKUP(LG$73,Base_Mensuelle!$QG$67:$RM$680,614,0))</f>
        <v>5.0229999999999961</v>
      </c>
      <c r="LH135" s="182">
        <f>VLOOKUP($IW135,Base_Mensuelle!$OF$68:$RM$679,HLOOKUP(LH$73,Base_Mensuelle!$QG$67:$RM$680,614,0))</f>
        <v>220.81399999999999</v>
      </c>
      <c r="LI135" s="182">
        <f>VLOOKUP($IW135,Base_Mensuelle!$OF$68:$RM$679,HLOOKUP(LI$73,Base_Mensuelle!$QG$67:$RM$680,614,0))</f>
        <v>-215.791</v>
      </c>
      <c r="LJ135" s="182">
        <f>VLOOKUP($IW135,Base_Mensuelle!$OF$68:$RM$679,HLOOKUP(LJ$73,Base_Mensuelle!$QG$67:$RM$680,614,0))</f>
        <v>1942.1369011876088</v>
      </c>
      <c r="LK135" s="182">
        <f>VLOOKUP($IW135,Base_Mensuelle!$OF$68:$RM$679,HLOOKUP(LK$73,Base_Mensuelle!$QG$67:$RM$680,614,0))</f>
        <v>22.664830133583973</v>
      </c>
      <c r="LL135" s="182">
        <f>VLOOKUP($IW135,Base_Mensuelle!$OF$68:$RM$679,HLOOKUP(LL$73,Base_Mensuelle!$QG$67:$RM$680,614,0))</f>
        <v>0</v>
      </c>
      <c r="LM135" s="182">
        <f>VLOOKUP($IW135,Base_Mensuelle!$OF$68:$RM$679,HLOOKUP(LM$73,Base_Mensuelle!$QG$67:$RM$680,614,0))</f>
        <v>211.56200000000001</v>
      </c>
      <c r="LN135" s="182">
        <f>VLOOKUP($IW135,Base_Mensuelle!$OF$68:$RM$679,HLOOKUP(LN$73,Base_Mensuelle!$QG$67:$RM$680,614,0))</f>
        <v>1707.9100710540249</v>
      </c>
      <c r="LO135" s="182">
        <f>VLOOKUP($IW135,Base_Mensuelle!$OF$68:$RM$679,HLOOKUP(LO$73,Base_Mensuelle!$QG$67:$RM$680,614,0))</f>
        <v>0</v>
      </c>
      <c r="LP135" s="182">
        <f>VLOOKUP($IW135,Base_Mensuelle!$OF$68:$RM$679,HLOOKUP(LP$73,Base_Mensuelle!$QG$67:$RM$680,614,0))</f>
        <v>397.01900000000001</v>
      </c>
      <c r="LQ135" s="182">
        <f>VLOOKUP($IW135,Base_Mensuelle!$OF$68:$RM$679,HLOOKUP(LQ$73,Base_Mensuelle!$QG$67:$RM$680,614,0))</f>
        <v>881.76574291689292</v>
      </c>
      <c r="LR135" s="182">
        <f>VLOOKUP($IW135,Base_Mensuelle!$OF$68:$RM$679,HLOOKUP(LR$73,Base_Mensuelle!$QG$67:$RM$680,614,0))</f>
        <v>1014.1649874426172</v>
      </c>
      <c r="LS135" s="182">
        <f>VLOOKUP($IW135,Base_Mensuelle!$OF$68:$RM$679,HLOOKUP(LS$73,Base_Mensuelle!$QG$67:$RM$680,614,0))</f>
        <v>0</v>
      </c>
      <c r="LT135" s="182">
        <f>VLOOKUP($IW135,Base_Mensuelle!$OF$68:$RM$679,HLOOKUP(LT$73,Base_Mensuelle!$QG$67:$RM$680,614,0))</f>
        <v>54.036999999999999</v>
      </c>
      <c r="LU135" s="182">
        <f>VLOOKUP($IW135,Base_Mensuelle!$OF$68:$RM$679,HLOOKUP(LU$73,Base_Mensuelle!$QG$67:$RM$680,614,0))</f>
        <v>4.7940000000000005</v>
      </c>
      <c r="LV135" s="182">
        <f>VLOOKUP($IW135,Base_Mensuelle!$OF$68:$RM$679,HLOOKUP(LV$73,Base_Mensuelle!$QG$67:$RM$680,614,0))</f>
        <v>16.914999999999999</v>
      </c>
      <c r="LW135" s="182">
        <f>VLOOKUP($IW135,Base_Mensuelle!$OF$68:$RM$679,HLOOKUP(LW$73,Base_Mensuelle!$QG$67:$RM$680,614,0))</f>
        <v>0</v>
      </c>
      <c r="LX135" s="182">
        <f>VLOOKUP($IW135,Base_Mensuelle!$OF$68:$RM$679,HLOOKUP(LX$73,Base_Mensuelle!$QG$67:$RM$680,614,0))</f>
        <v>0</v>
      </c>
      <c r="LY135" s="182">
        <f>VLOOKUP($IW135,Base_Mensuelle!$OF$68:$RM$679,HLOOKUP(LY$73,Base_Mensuelle!$QG$67:$RM$680,614,0))</f>
        <v>276.72500000000002</v>
      </c>
      <c r="LZ135" s="182">
        <f>VLOOKUP($IW135,Base_Mensuelle!$OF$68:$RM$679,HLOOKUP(LZ$73,Base_Mensuelle!$QG$67:$RM$680,614,0))</f>
        <v>66.827999999999975</v>
      </c>
      <c r="MA135" s="182">
        <f>VLOOKUP($IW135,Base_Mensuelle!$OF$68:$RM$679,HLOOKUP(MA$73,Base_Mensuelle!$QG$67:$RM$680,614,0))</f>
        <v>0</v>
      </c>
      <c r="MB135" s="182">
        <f>VLOOKUP($IW135,Base_Mensuelle!$OF$68:$RM$679,HLOOKUP(MB$73,Base_Mensuelle!$QG$67:$RM$680,614,0))</f>
        <v>0</v>
      </c>
      <c r="MC135" s="182">
        <f>VLOOKUP($IW135,Base_Mensuelle!$OF$68:$RM$679,HLOOKUP(MC$73,Base_Mensuelle!$QG$67:$RM$680,614,0))</f>
        <v>0</v>
      </c>
      <c r="MD135" s="182">
        <f>VLOOKUP($IW135,Base_Mensuelle!$OF$68:$RM$679,HLOOKUP(MD$73,Base_Mensuelle!$QG$67:$RM$680,614,0))</f>
        <v>0</v>
      </c>
      <c r="ME135" s="182">
        <f>VLOOKUP($IW135,Base_Mensuelle!$OF$68:$RM$679,HLOOKUP(ME$73,Base_Mensuelle!$QG$67:$RM$680,614,0))</f>
        <v>0</v>
      </c>
      <c r="MF135" s="182"/>
      <c r="MG135" s="182"/>
      <c r="MH135" s="290"/>
      <c r="MI135" s="29">
        <v>62</v>
      </c>
      <c r="MJ135" s="29" t="str">
        <f t="shared" si="82"/>
        <v>Trimestre 22015</v>
      </c>
      <c r="MK135" s="848">
        <v>42156</v>
      </c>
      <c r="ML135" s="1991">
        <v>100.16228676290331</v>
      </c>
      <c r="MM135" s="1991">
        <v>97.221640939843198</v>
      </c>
      <c r="MN135" s="1991">
        <v>100.01883974242641</v>
      </c>
      <c r="MO135" s="1991">
        <v>100</v>
      </c>
      <c r="MP135" s="1991">
        <v>100.16228676290331</v>
      </c>
      <c r="MQ135" s="1991">
        <v>97.18983927894746</v>
      </c>
      <c r="MR135" s="1991">
        <v>100.00000000000004</v>
      </c>
      <c r="MS135" s="1991">
        <v>100.03986455535876</v>
      </c>
      <c r="MT135" s="1991">
        <v>100.00000000000004</v>
      </c>
      <c r="MU135" s="1991">
        <v>100</v>
      </c>
      <c r="MV135" s="1991">
        <v>99.869933375310282</v>
      </c>
      <c r="MW135" s="1991">
        <v>100</v>
      </c>
      <c r="MX135" s="1991">
        <v>101.58730158730161</v>
      </c>
      <c r="MY135" s="1991">
        <v>100.00000000000009</v>
      </c>
      <c r="MZ135" s="1991">
        <v>99.944524418701221</v>
      </c>
      <c r="NA135" s="1991">
        <v>100.00000000000009</v>
      </c>
      <c r="NB135" s="1991">
        <v>99.808846475484273</v>
      </c>
      <c r="NC135" s="1991">
        <v>99.239047586159629</v>
      </c>
      <c r="ND135" s="1991">
        <v>100.34450965773489</v>
      </c>
      <c r="NE135" s="1991">
        <v>100.00000000000007</v>
      </c>
      <c r="NF135" s="1991">
        <v>100.00000000000003</v>
      </c>
      <c r="NG135" s="1991">
        <v>100.00000000000009</v>
      </c>
      <c r="NH135" s="1991">
        <v>100.00000000000006</v>
      </c>
      <c r="NI135" s="1991">
        <v>100</v>
      </c>
      <c r="NJ135" s="1991">
        <v>100</v>
      </c>
      <c r="NK135" s="1991">
        <v>98.858487447667088</v>
      </c>
      <c r="NL135" s="29">
        <v>62</v>
      </c>
    </row>
    <row r="136" spans="1:376">
      <c r="A136" s="41">
        <f t="shared" si="80"/>
        <v>2015</v>
      </c>
      <c r="B136" s="785">
        <v>42248</v>
      </c>
      <c r="C136" s="733">
        <v>100.13293245555687</v>
      </c>
      <c r="D136" s="1547">
        <v>167.68426454375947</v>
      </c>
      <c r="E136" s="570">
        <v>144.84183937080201</v>
      </c>
      <c r="F136" s="1547">
        <v>9.190935434603162</v>
      </c>
      <c r="G136" s="1547">
        <v>0</v>
      </c>
      <c r="H136" s="1547">
        <v>91.083351386674536</v>
      </c>
      <c r="I136" s="570">
        <v>46.775816984831316</v>
      </c>
      <c r="J136" s="570">
        <v>100.43077399627418</v>
      </c>
      <c r="K136" s="570">
        <v>158.88049549732446</v>
      </c>
      <c r="L136" s="570">
        <v>194.63932440696911</v>
      </c>
      <c r="M136" s="734">
        <v>96.86038171943602</v>
      </c>
      <c r="N136" s="25">
        <v>63</v>
      </c>
      <c r="O136" s="889">
        <f t="shared" si="79"/>
        <v>2015</v>
      </c>
      <c r="P136" s="29" t="str">
        <f t="shared" si="81"/>
        <v>Trimestre 32015</v>
      </c>
      <c r="Q136" s="848">
        <v>42248</v>
      </c>
      <c r="R136" s="733">
        <v>8.3050206200000005</v>
      </c>
      <c r="S136" s="1547">
        <v>0</v>
      </c>
      <c r="T136" s="570">
        <v>696.38829153623033</v>
      </c>
      <c r="U136" s="734">
        <v>49.110999999999997</v>
      </c>
      <c r="V136" s="25">
        <v>63</v>
      </c>
      <c r="W136" s="733">
        <v>4348</v>
      </c>
      <c r="X136" s="570">
        <v>0</v>
      </c>
      <c r="Y136" s="570">
        <v>405.83407127517108</v>
      </c>
      <c r="Z136" s="570">
        <v>161.14024042764842</v>
      </c>
      <c r="AA136" s="570">
        <v>37.844999999999999</v>
      </c>
      <c r="AB136" s="570">
        <v>96.518000000000001</v>
      </c>
      <c r="AC136" s="570">
        <v>717.54300000000001</v>
      </c>
      <c r="AD136" s="570">
        <v>243.369936</v>
      </c>
      <c r="AE136" s="734">
        <v>19.515760999999998</v>
      </c>
      <c r="AF136" s="25">
        <v>63</v>
      </c>
      <c r="AG136" s="733">
        <v>22.940484403944261</v>
      </c>
      <c r="AH136" s="570">
        <v>22.070955942456607</v>
      </c>
      <c r="AI136" s="570">
        <v>18.20957132817222</v>
      </c>
      <c r="AJ136" s="570">
        <v>11.153819776204514</v>
      </c>
      <c r="AK136" s="570">
        <v>0.85243812959188148</v>
      </c>
      <c r="AL136" s="570">
        <v>15.820459183934931</v>
      </c>
      <c r="AM136" s="570">
        <v>18.827766744231283</v>
      </c>
      <c r="AN136" s="734">
        <v>13.8792722937271</v>
      </c>
      <c r="AO136" s="733">
        <v>7.038436320640244</v>
      </c>
      <c r="AP136" s="570">
        <v>8.9342490330986735</v>
      </c>
      <c r="AQ136" s="570">
        <v>24.640292946957047</v>
      </c>
      <c r="AR136" s="570">
        <v>10.495223673661318</v>
      </c>
      <c r="AS136" s="734">
        <v>-36.36363636363636</v>
      </c>
      <c r="AT136" s="733">
        <v>-4.4436437039875614</v>
      </c>
      <c r="AU136" s="570">
        <v>-10.133041223705712</v>
      </c>
      <c r="AV136" s="734">
        <v>-1.8299440728401297</v>
      </c>
      <c r="AW136" s="733">
        <v>-10.130365218916705</v>
      </c>
      <c r="AX136" s="570">
        <v>42.182920264951839</v>
      </c>
      <c r="AY136" s="570">
        <v>36.889773308907294</v>
      </c>
      <c r="AZ136" s="570">
        <v>-10.43958977738135</v>
      </c>
      <c r="BA136" s="570">
        <v>-2.610542320190171</v>
      </c>
      <c r="BB136" s="570">
        <v>-7.8313879019585464</v>
      </c>
      <c r="BC136" s="734">
        <v>17.171717171717173</v>
      </c>
      <c r="BD136" s="179">
        <v>12.925936054600108</v>
      </c>
      <c r="BE136" s="99">
        <v>13.808361723718328</v>
      </c>
      <c r="BF136" s="99">
        <v>21.230422460645656</v>
      </c>
      <c r="BG136" s="99">
        <v>32.885994032072233</v>
      </c>
      <c r="BH136" s="99">
        <v>-10.496453589732791</v>
      </c>
      <c r="BI136" s="99">
        <v>31.672250139598709</v>
      </c>
      <c r="BJ136" s="99">
        <v>44.517202567625546</v>
      </c>
      <c r="BK136" s="132">
        <v>3.0504982317455456</v>
      </c>
      <c r="BL136" s="179">
        <v>26.342331158832359</v>
      </c>
      <c r="BM136" s="99">
        <v>27.224756827950578</v>
      </c>
      <c r="BN136" s="99">
        <v>11.057004015271691</v>
      </c>
      <c r="BO136" s="99">
        <v>32.885994032072233</v>
      </c>
      <c r="BP136" s="99">
        <v>-16.666666666666664</v>
      </c>
      <c r="BQ136" s="132">
        <v>-16.666666666666664</v>
      </c>
      <c r="BR136" s="179">
        <v>-18.295989068974336</v>
      </c>
      <c r="BS136" s="99">
        <v>-21.395220678384732</v>
      </c>
      <c r="BT136" s="99">
        <v>-4.7144065887816531</v>
      </c>
      <c r="BU136" s="132">
        <v>-51.304355863228402</v>
      </c>
      <c r="BV136" s="179">
        <v>41.077097971748742</v>
      </c>
      <c r="BW136" s="99">
        <v>29.256731409009774</v>
      </c>
      <c r="BX136" s="99">
        <v>-48.050034207210466</v>
      </c>
      <c r="BY136" s="99">
        <v>1.433633370355949</v>
      </c>
      <c r="BZ136" s="99">
        <v>-43.039660775824402</v>
      </c>
      <c r="CA136" s="99">
        <v>16.666666666666664</v>
      </c>
      <c r="CB136" s="132">
        <v>11.111111111111112</v>
      </c>
      <c r="CC136" s="25">
        <v>63</v>
      </c>
      <c r="CD136" s="181">
        <v>75075</v>
      </c>
      <c r="CE136" s="182">
        <v>14446897</v>
      </c>
      <c r="CF136" s="319">
        <f>(((CF135/CF134-1)+(CF134/CF133-1))/2+1)*CF135</f>
        <v>1477846.3048978215</v>
      </c>
      <c r="CG136" s="25">
        <v>63</v>
      </c>
      <c r="CH136" s="19">
        <v>19318</v>
      </c>
      <c r="CI136" s="93">
        <v>4120</v>
      </c>
      <c r="CJ136" s="93">
        <v>3159</v>
      </c>
      <c r="CK136" s="93">
        <v>9820</v>
      </c>
      <c r="CL136" s="93">
        <v>4608</v>
      </c>
      <c r="CM136" s="93">
        <v>793</v>
      </c>
      <c r="CN136" s="93">
        <v>2443</v>
      </c>
      <c r="CO136" s="93">
        <v>2728</v>
      </c>
      <c r="CP136" s="93">
        <v>1285</v>
      </c>
      <c r="CQ136" s="93">
        <v>1675</v>
      </c>
      <c r="CR136" s="214">
        <v>74527</v>
      </c>
      <c r="CS136" s="20">
        <v>111796</v>
      </c>
      <c r="CT136" s="25">
        <v>63</v>
      </c>
      <c r="CU136" s="19">
        <v>18586</v>
      </c>
      <c r="CV136" s="93">
        <v>64340</v>
      </c>
      <c r="CW136" s="93">
        <v>13491</v>
      </c>
      <c r="CX136" s="93">
        <v>922</v>
      </c>
      <c r="CY136" s="93">
        <v>621</v>
      </c>
      <c r="CZ136" s="93">
        <v>700</v>
      </c>
      <c r="DA136" s="93">
        <v>13136</v>
      </c>
      <c r="DB136" s="20">
        <v>111796</v>
      </c>
      <c r="DC136" s="25">
        <v>63</v>
      </c>
      <c r="DD136" s="785">
        <v>42248</v>
      </c>
      <c r="DE136" s="733">
        <v>221.67535373800001</v>
      </c>
      <c r="DF136" s="734">
        <v>185.780644</v>
      </c>
      <c r="DG136" s="25">
        <v>63</v>
      </c>
      <c r="DH136" s="733">
        <v>438.00468821792003</v>
      </c>
      <c r="DI136" s="734">
        <v>1201.1477790000001</v>
      </c>
      <c r="DJ136" s="25">
        <v>63</v>
      </c>
      <c r="DK136" s="733">
        <v>221.67535373800001</v>
      </c>
      <c r="DL136" s="734">
        <v>438.00468821792003</v>
      </c>
      <c r="DM136" s="733">
        <v>-216.32933447992002</v>
      </c>
      <c r="DN136" s="734">
        <v>50.610269638874293</v>
      </c>
      <c r="DO136" s="25">
        <v>63</v>
      </c>
      <c r="DP136" s="733">
        <v>273.7</v>
      </c>
      <c r="DQ136" s="570">
        <v>134.5</v>
      </c>
      <c r="DR136" s="734">
        <v>368</v>
      </c>
      <c r="DS136" s="25">
        <v>63</v>
      </c>
      <c r="DT136" s="733">
        <v>86.5</v>
      </c>
      <c r="DU136" s="570">
        <v>256.3</v>
      </c>
      <c r="DV136" s="734">
        <v>221.6</v>
      </c>
      <c r="DW136" s="25">
        <v>63</v>
      </c>
      <c r="DX136" s="733">
        <v>143.9</v>
      </c>
      <c r="DY136" s="734">
        <v>50.7</v>
      </c>
      <c r="DZ136" s="25">
        <v>63</v>
      </c>
      <c r="EA136" s="733">
        <v>173.2</v>
      </c>
      <c r="EB136" s="570">
        <v>0.3</v>
      </c>
      <c r="EC136" s="570">
        <v>3.5</v>
      </c>
      <c r="ED136" s="570">
        <v>8.4</v>
      </c>
      <c r="EE136" s="734">
        <v>8.8000000000000007</v>
      </c>
      <c r="EF136" s="25">
        <v>63</v>
      </c>
      <c r="EG136" s="1569">
        <v>109.9</v>
      </c>
      <c r="EH136" s="1570">
        <v>12</v>
      </c>
      <c r="EI136" s="1570">
        <v>8.6999999999999993</v>
      </c>
      <c r="EJ136" s="1570">
        <v>17.899999999999999</v>
      </c>
      <c r="EK136" s="1571">
        <v>6.6</v>
      </c>
      <c r="EL136" s="25">
        <v>63</v>
      </c>
      <c r="EM136" s="733">
        <v>135.1</v>
      </c>
      <c r="EN136" s="570">
        <v>11.6</v>
      </c>
      <c r="EO136" s="570">
        <v>8.6999999999999993</v>
      </c>
      <c r="EP136" s="570">
        <v>2.1</v>
      </c>
      <c r="EQ136" s="570">
        <v>5.8</v>
      </c>
      <c r="ER136" s="570">
        <v>0.6</v>
      </c>
      <c r="ES136" s="570">
        <v>8</v>
      </c>
      <c r="ET136" s="570">
        <v>3.1</v>
      </c>
      <c r="EU136" s="570">
        <v>0.3</v>
      </c>
      <c r="EV136" s="734">
        <v>2.5</v>
      </c>
      <c r="EW136" s="25">
        <v>63</v>
      </c>
      <c r="EX136" s="918">
        <v>33.799999999999997</v>
      </c>
      <c r="EY136" s="919">
        <v>51</v>
      </c>
      <c r="EZ136" s="919">
        <v>39.799999999999997</v>
      </c>
      <c r="FA136" s="919">
        <v>0.3</v>
      </c>
      <c r="FB136" s="919">
        <v>37.799999999999997</v>
      </c>
      <c r="FC136" s="919">
        <v>17.600000000000001</v>
      </c>
      <c r="FD136" s="919">
        <v>20.3</v>
      </c>
      <c r="FE136" s="919">
        <v>12.9</v>
      </c>
      <c r="FF136" s="919">
        <v>2.5</v>
      </c>
      <c r="FG136" s="920">
        <v>9.1999999999999993</v>
      </c>
      <c r="FH136" s="25">
        <v>63</v>
      </c>
      <c r="FI136" s="848">
        <v>42248</v>
      </c>
      <c r="FJ136" s="19">
        <v>2248</v>
      </c>
      <c r="FK136" s="93">
        <v>1138</v>
      </c>
      <c r="FL136" s="20">
        <v>0</v>
      </c>
      <c r="FM136" s="25">
        <v>63</v>
      </c>
      <c r="FN136" s="19">
        <v>63</v>
      </c>
      <c r="FO136" s="93">
        <v>1081</v>
      </c>
      <c r="FP136" s="93">
        <v>1458</v>
      </c>
      <c r="FQ136" s="93">
        <v>518</v>
      </c>
      <c r="FR136" s="93">
        <v>133</v>
      </c>
      <c r="FS136" s="93">
        <v>91</v>
      </c>
      <c r="FT136" s="93">
        <v>31</v>
      </c>
      <c r="FU136" s="93">
        <v>7</v>
      </c>
      <c r="FV136" s="93">
        <v>4</v>
      </c>
      <c r="FW136" s="917">
        <v>0</v>
      </c>
      <c r="FX136" s="25">
        <v>63</v>
      </c>
      <c r="FY136" s="975">
        <v>26</v>
      </c>
      <c r="FZ136" s="975">
        <v>314</v>
      </c>
      <c r="GA136" s="975">
        <v>351</v>
      </c>
      <c r="GB136" s="975">
        <v>150</v>
      </c>
      <c r="GC136" s="975">
        <v>446</v>
      </c>
      <c r="GD136" s="975">
        <v>236</v>
      </c>
      <c r="GE136" s="975">
        <v>907</v>
      </c>
      <c r="GF136" s="975">
        <v>226</v>
      </c>
      <c r="GG136" s="975">
        <v>53</v>
      </c>
      <c r="GH136" s="975">
        <v>564</v>
      </c>
      <c r="GI136" s="976">
        <v>113</v>
      </c>
      <c r="GJ136" s="25">
        <v>63</v>
      </c>
      <c r="GK136" s="19"/>
      <c r="GL136" s="20"/>
      <c r="GM136" s="25">
        <v>63</v>
      </c>
      <c r="GN136" s="19">
        <v>3827</v>
      </c>
      <c r="GO136" s="20">
        <v>1241</v>
      </c>
      <c r="GP136" s="25">
        <v>63</v>
      </c>
      <c r="GQ136" s="19">
        <v>32</v>
      </c>
      <c r="GR136" s="20">
        <v>30</v>
      </c>
      <c r="GS136" s="25">
        <v>63</v>
      </c>
      <c r="GT136" s="848">
        <v>42248</v>
      </c>
      <c r="GU136" s="733">
        <v>964.22334985215787</v>
      </c>
      <c r="GV136" s="570">
        <v>772.71785442099997</v>
      </c>
      <c r="GW136" s="570">
        <v>772.71778142100015</v>
      </c>
      <c r="GX136" s="570">
        <v>682.32187289299986</v>
      </c>
      <c r="GY136" s="570">
        <v>175.22780016600001</v>
      </c>
      <c r="GZ136" s="570">
        <v>6.0472388290000003</v>
      </c>
      <c r="HA136" s="570">
        <v>5.2803356939999997</v>
      </c>
      <c r="HB136" s="570">
        <v>385.85040389200009</v>
      </c>
      <c r="HC136" s="570">
        <v>104.26284058399997</v>
      </c>
      <c r="HD136" s="570">
        <v>5.6532537280000001</v>
      </c>
      <c r="HE136" s="570">
        <v>90.395908527999993</v>
      </c>
      <c r="HF136" s="570">
        <v>3.870703674</v>
      </c>
      <c r="HG136" s="570">
        <v>20.722216680000002</v>
      </c>
      <c r="HH136" s="570">
        <v>5.4020714389999993</v>
      </c>
      <c r="HI136" s="570">
        <v>19.563668667000002</v>
      </c>
      <c r="HJ136" s="570">
        <v>40.837248067999994</v>
      </c>
      <c r="HK136" s="570">
        <v>7.2999999999999999E-5</v>
      </c>
      <c r="HL136" s="570">
        <v>191.50549543115787</v>
      </c>
      <c r="HM136" s="570">
        <v>76.116182011157889</v>
      </c>
      <c r="HN136" s="570">
        <v>115.38931342000001</v>
      </c>
      <c r="HO136" s="570">
        <v>1018.2533572497508</v>
      </c>
      <c r="HP136" s="570">
        <v>1028.444433957751</v>
      </c>
      <c r="HQ136" s="570">
        <v>678.31966598883321</v>
      </c>
      <c r="HR136" s="570">
        <v>346.56886314033329</v>
      </c>
      <c r="HS136" s="570">
        <v>85.459580470000006</v>
      </c>
      <c r="HT136" s="570">
        <v>25.579746011000001</v>
      </c>
      <c r="HU136" s="570">
        <v>16.837005951000002</v>
      </c>
      <c r="HV136" s="570">
        <v>8.7427400600000009</v>
      </c>
      <c r="HW136" s="570">
        <v>220.71147636750001</v>
      </c>
      <c r="HX136" s="570">
        <v>4.6897018894999993</v>
      </c>
      <c r="HY136" s="570">
        <v>54.565347971000001</v>
      </c>
      <c r="HZ136" s="570">
        <v>17.412218284000001</v>
      </c>
      <c r="IA136" s="570">
        <v>11.664736276999999</v>
      </c>
      <c r="IB136" s="570">
        <v>350.12476796891758</v>
      </c>
      <c r="IC136" s="570">
        <v>235.85535456600002</v>
      </c>
      <c r="ID136" s="570">
        <v>4.2318390729999997</v>
      </c>
      <c r="IE136" s="570">
        <v>110.03757432991755</v>
      </c>
      <c r="IF136" s="570">
        <v>-10.191076708000002</v>
      </c>
      <c r="IG136" s="570">
        <v>-54.030007397593039</v>
      </c>
      <c r="IH136" s="570">
        <v>-245.53550282875091</v>
      </c>
      <c r="II136" s="570">
        <v>-109.91818248783338</v>
      </c>
      <c r="IJ136" s="570">
        <v>-135.49792849883335</v>
      </c>
      <c r="IK136" s="570">
        <v>-110.43548634059303</v>
      </c>
      <c r="IL136" s="570">
        <v>-301.9409817717509</v>
      </c>
      <c r="IM136" s="570">
        <v>113.93510559875971</v>
      </c>
      <c r="IN136" s="570">
        <v>55.103204820759672</v>
      </c>
      <c r="IO136" s="570">
        <v>71.924778195759686</v>
      </c>
      <c r="IP136" s="570">
        <v>-16.821573375</v>
      </c>
      <c r="IQ136" s="570">
        <v>0</v>
      </c>
      <c r="IR136" s="570">
        <v>58.831900778000026</v>
      </c>
      <c r="IS136" s="570">
        <v>-20.055916928999974</v>
      </c>
      <c r="IT136" s="570">
        <v>78.887817707000011</v>
      </c>
      <c r="IU136" s="570">
        <v>0</v>
      </c>
      <c r="IV136" s="93">
        <v>63</v>
      </c>
      <c r="IW136" s="848">
        <v>42248</v>
      </c>
      <c r="IX136" s="1035"/>
      <c r="IY136" s="1035">
        <v>251.59141227000001</v>
      </c>
      <c r="IZ136" s="1035">
        <v>309.73590000000002</v>
      </c>
      <c r="JA136" s="1035">
        <v>0.63726771399999993</v>
      </c>
      <c r="JB136" s="1035">
        <v>875.20752999566912</v>
      </c>
      <c r="JC136" s="1035">
        <v>157.62392100900001</v>
      </c>
      <c r="JD136" s="1035">
        <v>1285.0601309886692</v>
      </c>
      <c r="JE136" s="1035">
        <v>1029.8828701366033</v>
      </c>
      <c r="JF136" s="1035">
        <v>2314.9430011252725</v>
      </c>
      <c r="JG136" s="1035"/>
      <c r="JH136" s="1035">
        <v>650.98189194319286</v>
      </c>
      <c r="JI136" s="1035">
        <v>2.259052975999964</v>
      </c>
      <c r="JJ136" s="1035">
        <v>648.72283896719296</v>
      </c>
      <c r="JK136" s="1035">
        <v>1870.5762354640799</v>
      </c>
      <c r="JL136" s="1035">
        <v>-33.00151539899997</v>
      </c>
      <c r="JM136" s="1035">
        <v>-58.853515399000003</v>
      </c>
      <c r="JN136" s="1035">
        <v>25.852000000000032</v>
      </c>
      <c r="JO136" s="1035">
        <v>1903.5777508630799</v>
      </c>
      <c r="JP136" s="1035">
        <v>4.1242837749999994</v>
      </c>
      <c r="JQ136" s="1035">
        <v>1899.4534670880798</v>
      </c>
      <c r="JR136" s="1035">
        <v>379.979883282</v>
      </c>
      <c r="JS136" s="1035">
        <v>-173.36475700000003</v>
      </c>
      <c r="JT136" s="1036">
        <v>2314.9430011252725</v>
      </c>
      <c r="JU136" s="29">
        <v>63</v>
      </c>
      <c r="JV136" s="1037"/>
      <c r="JW136" s="1526">
        <f>VLOOKUP($IW136,Base_Mensuelle!$OF$68:$RM$679,HLOOKUP(JW$73,Base_Mensuelle!$PE$67:$QE$680,614,0))</f>
        <v>2.259052975999964</v>
      </c>
      <c r="JX136" s="1526">
        <f>VLOOKUP($IW136,Base_Mensuelle!$OF$68:$RM$679,HLOOKUP(JX$73,Base_Mensuelle!$PE$67:$QE$680,614,0))</f>
        <v>509.57278858299998</v>
      </c>
      <c r="JY136" s="1526">
        <f>VLOOKUP($IW136,Base_Mensuelle!$OF$68:$RM$679,HLOOKUP(JY$73,Base_Mensuelle!$PE$67:$QE$680,614,0))</f>
        <v>507.31373560700001</v>
      </c>
      <c r="JZ136" s="1526">
        <f>VLOOKUP($IW136,Base_Mensuelle!$OF$68:$RM$679,HLOOKUP(JZ$73,Base_Mensuelle!$PE$67:$QE$680,614,0))</f>
        <v>487.11043849999999</v>
      </c>
      <c r="KA136" s="1526">
        <f>VLOOKUP($IW136,Base_Mensuelle!$OF$68:$RM$679,HLOOKUP(KA$73,Base_Mensuelle!$PE$67:$QE$680,614,0))</f>
        <v>-54.783027669000006</v>
      </c>
      <c r="KB136" s="1526">
        <f>VLOOKUP($IW136,Base_Mensuelle!$OF$68:$RM$679,HLOOKUP(KB$73,Base_Mensuelle!$PE$67:$QE$680,614,0))</f>
        <v>136.89675141199999</v>
      </c>
      <c r="KC136" s="1526">
        <f>VLOOKUP($IW136,Base_Mensuelle!$OF$68:$RM$679,HLOOKUP(KC$73,Base_Mensuelle!$PE$67:$QE$680,614,0))</f>
        <v>191.67977908099999</v>
      </c>
      <c r="KD136" s="1526">
        <f>VLOOKUP($IW136,Base_Mensuelle!$OF$68:$RM$679,HLOOKUP(KD$73,Base_Mensuelle!$PE$67:$QE$680,614,0))</f>
        <v>4.1242837749999994</v>
      </c>
      <c r="KE136" s="1526">
        <f>VLOOKUP($IW136,Base_Mensuelle!$OF$68:$RM$679,HLOOKUP(KE$73,Base_Mensuelle!$PE$67:$QE$680,614,0))</f>
        <v>0.6</v>
      </c>
      <c r="KF136" s="1526">
        <f>VLOOKUP($IW136,Base_Mensuelle!$OF$68:$RM$679,HLOOKUP(KF$73,Base_Mensuelle!$PE$67:$QE$680,614,0))</f>
        <v>0</v>
      </c>
      <c r="KG136" s="1526">
        <f>VLOOKUP($IW136,Base_Mensuelle!$OF$68:$RM$679,HLOOKUP(KG$73,Base_Mensuelle!$PE$67:$QE$680,614,0))</f>
        <v>1.8461199999999999E-4</v>
      </c>
      <c r="KH136" s="1526">
        <f>VLOOKUP($IW136,Base_Mensuelle!$OF$68:$RM$679,HLOOKUP(KH$73,Base_Mensuelle!$PE$67:$QE$680,614,0))</f>
        <v>3.5240991629999998</v>
      </c>
      <c r="KI136" s="1526">
        <f>VLOOKUP($IW136,Base_Mensuelle!$OF$68:$RM$679,HLOOKUP(KI$73,Base_Mensuelle!$PE$67:$QE$680,614,0))</f>
        <v>432.83701739700001</v>
      </c>
      <c r="KJ136" s="1526">
        <f>VLOOKUP($IW136,Base_Mensuelle!$OF$68:$RM$679,HLOOKUP(KJ$73,Base_Mensuelle!$PE$67:$QE$680,614,0))</f>
        <v>309.73590000000002</v>
      </c>
      <c r="KK136" s="1526">
        <f>VLOOKUP($IW136,Base_Mensuelle!$OF$68:$RM$679,HLOOKUP(KK$73,Base_Mensuelle!$PE$67:$QE$680,614,0))</f>
        <v>122.197755606</v>
      </c>
      <c r="KL136" s="1526">
        <f>VLOOKUP($IW136,Base_Mensuelle!$OF$68:$RM$679,HLOOKUP(KL$73,Base_Mensuelle!$PE$67:$QE$680,614,0))</f>
        <v>0.90336179099999991</v>
      </c>
      <c r="KM136" s="1526">
        <f>VLOOKUP($IW136,Base_Mensuelle!$OF$68:$RM$679,HLOOKUP(KM$73,Base_Mensuelle!$PE$67:$QE$680,614,0))</f>
        <v>0</v>
      </c>
      <c r="KN136" s="1526">
        <f>VLOOKUP($IW136,Base_Mensuelle!$OF$68:$RM$679,HLOOKUP(KN$73,Base_Mensuelle!$PE$67:$QE$680,614,0))</f>
        <v>0.34577327200000002</v>
      </c>
      <c r="KO136" s="1526">
        <f>VLOOKUP($IW136,Base_Mensuelle!$OF$68:$RM$679,HLOOKUP(KO$73,Base_Mensuelle!$PE$67:$QE$680,614,0))</f>
        <v>0</v>
      </c>
      <c r="KP136" s="1526">
        <f>VLOOKUP($IW136,Base_Mensuelle!$OF$68:$RM$679,HLOOKUP(KP$73,Base_Mensuelle!$PE$67:$QE$680,614,0))</f>
        <v>0</v>
      </c>
      <c r="KQ136" s="1526">
        <f>VLOOKUP($IW136,Base_Mensuelle!$OF$68:$RM$679,HLOOKUP(KQ$73,Base_Mensuelle!$PE$67:$QE$680,614,0))</f>
        <v>0.34577327200000002</v>
      </c>
      <c r="KR136" s="1526">
        <f>VLOOKUP($IW136,Base_Mensuelle!$OF$68:$RM$679,HLOOKUP(KR$73,Base_Mensuelle!$PE$67:$QE$680,614,0))</f>
        <v>0</v>
      </c>
      <c r="KS136" s="1526">
        <f>VLOOKUP($IW136,Base_Mensuelle!$OF$68:$RM$679,HLOOKUP(KS$73,Base_Mensuelle!$PE$67:$QE$680,614,0))</f>
        <v>0</v>
      </c>
      <c r="KT136" s="1526">
        <f>VLOOKUP($IW136,Base_Mensuelle!$OF$68:$RM$679,HLOOKUP(KT$73,Base_Mensuelle!$PE$67:$QE$680,614,0))</f>
        <v>0</v>
      </c>
      <c r="KU136" s="1526">
        <f>VLOOKUP($IW136,Base_Mensuelle!$OF$68:$RM$679,HLOOKUP(KU$73,Base_Mensuelle!$PE$67:$QE$680,614,0))</f>
        <v>7.2511100099999997</v>
      </c>
      <c r="KV136" s="1526">
        <f>VLOOKUP($IW136,Base_Mensuelle!$OF$68:$RM$679,HLOOKUP(KV$73,Base_Mensuelle!$PE$67:$QE$680,614,0))</f>
        <v>-1.7231530970000137</v>
      </c>
      <c r="KW136" s="1036"/>
      <c r="KX136" s="29">
        <v>63</v>
      </c>
      <c r="KY136" s="1037"/>
      <c r="KZ136" s="182">
        <f>VLOOKUP($IW136,Base_Mensuelle!$OF$68:$RM$679,HLOOKUP(KZ$73,Base_Mensuelle!$QG$67:$RM$680,614,0))</f>
        <v>648.72283896719296</v>
      </c>
      <c r="LA136" s="182">
        <f>VLOOKUP($IW136,Base_Mensuelle!$OF$68:$RM$679,HLOOKUP(LA$73,Base_Mensuelle!$QG$67:$RM$680,614,0))</f>
        <v>1044.4765329119205</v>
      </c>
      <c r="LB136" s="182">
        <f>VLOOKUP($IW136,Base_Mensuelle!$OF$68:$RM$679,HLOOKUP(LB$73,Base_Mensuelle!$QG$67:$RM$680,614,0))</f>
        <v>-395.7536939447275</v>
      </c>
      <c r="LC136" s="182">
        <f>VLOOKUP($IW136,Base_Mensuelle!$OF$68:$RM$679,HLOOKUP(LC$73,Base_Mensuelle!$QG$67:$RM$680,614,0))</f>
        <v>188.87799999999999</v>
      </c>
      <c r="LD136" s="182">
        <f>VLOOKUP($IW136,Base_Mensuelle!$OF$68:$RM$679,HLOOKUP(LD$73,Base_Mensuelle!$QG$67:$RM$680,614,0))</f>
        <v>54.073999999999998</v>
      </c>
      <c r="LE136" s="182">
        <f>VLOOKUP($IW136,Base_Mensuelle!$OF$68:$RM$679,HLOOKUP(LE$73,Base_Mensuelle!$QG$67:$RM$680,614,0))</f>
        <v>134.804</v>
      </c>
      <c r="LF136" s="182">
        <f>VLOOKUP($IW136,Base_Mensuelle!$OF$68:$RM$679,HLOOKUP(LF$73,Base_Mensuelle!$QG$67:$RM$680,614,0))</f>
        <v>0</v>
      </c>
      <c r="LG136" s="182">
        <f>VLOOKUP($IW136,Base_Mensuelle!$OF$68:$RM$679,HLOOKUP(LG$73,Base_Mensuelle!$QG$67:$RM$680,614,0))</f>
        <v>25.852000000000032</v>
      </c>
      <c r="LH136" s="182">
        <f>VLOOKUP($IW136,Base_Mensuelle!$OF$68:$RM$679,HLOOKUP(LH$73,Base_Mensuelle!$QG$67:$RM$680,614,0))</f>
        <v>250.07500000000002</v>
      </c>
      <c r="LI136" s="182">
        <f>VLOOKUP($IW136,Base_Mensuelle!$OF$68:$RM$679,HLOOKUP(LI$73,Base_Mensuelle!$QG$67:$RM$680,614,0))</f>
        <v>-224.22299999999998</v>
      </c>
      <c r="LJ136" s="182">
        <f>VLOOKUP($IW136,Base_Mensuelle!$OF$68:$RM$679,HLOOKUP(LJ$73,Base_Mensuelle!$QG$67:$RM$680,614,0))</f>
        <v>1899.4534670880798</v>
      </c>
      <c r="LK136" s="182">
        <f>VLOOKUP($IW136,Base_Mensuelle!$OF$68:$RM$679,HLOOKUP(LK$73,Base_Mensuelle!$QG$67:$RM$680,614,0))</f>
        <v>21.947745735555891</v>
      </c>
      <c r="LL136" s="182">
        <f>VLOOKUP($IW136,Base_Mensuelle!$OF$68:$RM$679,HLOOKUP(LL$73,Base_Mensuelle!$QG$67:$RM$680,614,0))</f>
        <v>0</v>
      </c>
      <c r="LM136" s="182">
        <f>VLOOKUP($IW136,Base_Mensuelle!$OF$68:$RM$679,HLOOKUP(LM$73,Base_Mensuelle!$QG$67:$RM$680,614,0))</f>
        <v>204.084</v>
      </c>
      <c r="LN136" s="182">
        <f>VLOOKUP($IW136,Base_Mensuelle!$OF$68:$RM$679,HLOOKUP(LN$73,Base_Mensuelle!$QG$67:$RM$680,614,0))</f>
        <v>1673.4217213525239</v>
      </c>
      <c r="LO136" s="182">
        <f>VLOOKUP($IW136,Base_Mensuelle!$OF$68:$RM$679,HLOOKUP(LO$73,Base_Mensuelle!$QG$67:$RM$680,614,0))</f>
        <v>0</v>
      </c>
      <c r="LP136" s="182">
        <f>VLOOKUP($IW136,Base_Mensuelle!$OF$68:$RM$679,HLOOKUP(LP$73,Base_Mensuelle!$QG$67:$RM$680,614,0))</f>
        <v>488.642</v>
      </c>
      <c r="LQ136" s="182">
        <f>VLOOKUP($IW136,Base_Mensuelle!$OF$68:$RM$679,HLOOKUP(LQ$73,Base_Mensuelle!$QG$67:$RM$680,614,0))</f>
        <v>875.20752999566901</v>
      </c>
      <c r="LR136" s="182">
        <f>VLOOKUP($IW136,Base_Mensuelle!$OF$68:$RM$679,HLOOKUP(LR$73,Base_Mensuelle!$QG$67:$RM$680,614,0))</f>
        <v>1029.6167760596034</v>
      </c>
      <c r="LS136" s="182">
        <f>VLOOKUP($IW136,Base_Mensuelle!$OF$68:$RM$679,HLOOKUP(LS$73,Base_Mensuelle!$QG$67:$RM$680,614,0))</f>
        <v>0</v>
      </c>
      <c r="LT136" s="182">
        <f>VLOOKUP($IW136,Base_Mensuelle!$OF$68:$RM$679,HLOOKUP(LT$73,Base_Mensuelle!$QG$67:$RM$680,614,0))</f>
        <v>50.774999999999999</v>
      </c>
      <c r="LU136" s="182">
        <f>VLOOKUP($IW136,Base_Mensuelle!$OF$68:$RM$679,HLOOKUP(LU$73,Base_Mensuelle!$QG$67:$RM$680,614,0))</f>
        <v>4.8920000000000003</v>
      </c>
      <c r="LV136" s="182">
        <f>VLOOKUP($IW136,Base_Mensuelle!$OF$68:$RM$679,HLOOKUP(LV$73,Base_Mensuelle!$QG$67:$RM$680,614,0))</f>
        <v>18.791999999999998</v>
      </c>
      <c r="LW136" s="182">
        <f>VLOOKUP($IW136,Base_Mensuelle!$OF$68:$RM$679,HLOOKUP(LW$73,Base_Mensuelle!$QG$67:$RM$680,614,0))</f>
        <v>0</v>
      </c>
      <c r="LX136" s="182">
        <f>VLOOKUP($IW136,Base_Mensuelle!$OF$68:$RM$679,HLOOKUP(LX$73,Base_Mensuelle!$QG$67:$RM$680,614,0))</f>
        <v>0</v>
      </c>
      <c r="LY136" s="182">
        <f>VLOOKUP($IW136,Base_Mensuelle!$OF$68:$RM$679,HLOOKUP(LY$73,Base_Mensuelle!$QG$67:$RM$680,614,0))</f>
        <v>297.92400000000004</v>
      </c>
      <c r="LZ136" s="182">
        <f>VLOOKUP($IW136,Base_Mensuelle!$OF$68:$RM$679,HLOOKUP(LZ$73,Base_Mensuelle!$QG$67:$RM$680,614,0))</f>
        <v>-2.9430000000000121</v>
      </c>
      <c r="MA136" s="182">
        <f>VLOOKUP($IW136,Base_Mensuelle!$OF$68:$RM$679,HLOOKUP(MA$73,Base_Mensuelle!$QG$67:$RM$680,614,0))</f>
        <v>0</v>
      </c>
      <c r="MB136" s="182">
        <f>VLOOKUP($IW136,Base_Mensuelle!$OF$68:$RM$679,HLOOKUP(MB$73,Base_Mensuelle!$QG$67:$RM$680,614,0))</f>
        <v>0</v>
      </c>
      <c r="MC136" s="182">
        <f>VLOOKUP($IW136,Base_Mensuelle!$OF$68:$RM$679,HLOOKUP(MC$73,Base_Mensuelle!$QG$67:$RM$680,614,0))</f>
        <v>0</v>
      </c>
      <c r="MD136" s="182">
        <f>VLOOKUP($IW136,Base_Mensuelle!$OF$68:$RM$679,HLOOKUP(MD$73,Base_Mensuelle!$QG$67:$RM$680,614,0))</f>
        <v>0</v>
      </c>
      <c r="ME136" s="182">
        <f>VLOOKUP($IW136,Base_Mensuelle!$OF$68:$RM$679,HLOOKUP(ME$73,Base_Mensuelle!$QG$67:$RM$680,614,0))</f>
        <v>0</v>
      </c>
      <c r="MF136" s="182"/>
      <c r="MG136" s="182"/>
      <c r="MH136" s="290"/>
      <c r="MI136" s="29">
        <v>63</v>
      </c>
      <c r="MJ136" s="29" t="str">
        <f t="shared" si="82"/>
        <v>Trimestre 32015</v>
      </c>
      <c r="MK136" s="848">
        <v>42248</v>
      </c>
      <c r="ML136" s="1991">
        <v>100.16228676290331</v>
      </c>
      <c r="MM136" s="1991">
        <v>96.396727028025282</v>
      </c>
      <c r="MN136" s="1991">
        <v>99.996832842824531</v>
      </c>
      <c r="MO136" s="1991">
        <v>100</v>
      </c>
      <c r="MP136" s="1991">
        <v>100.16228676290331</v>
      </c>
      <c r="MQ136" s="1991">
        <v>96.35548323530864</v>
      </c>
      <c r="MR136" s="1991">
        <v>100.00000000000004</v>
      </c>
      <c r="MS136" s="1991">
        <v>99.978864376818635</v>
      </c>
      <c r="MT136" s="1991">
        <v>100.00000000000004</v>
      </c>
      <c r="MU136" s="1991">
        <v>100</v>
      </c>
      <c r="MV136" s="1991">
        <v>99.869933375310282</v>
      </c>
      <c r="MW136" s="1991">
        <v>100</v>
      </c>
      <c r="MX136" s="1991">
        <v>98.41269841269839</v>
      </c>
      <c r="MY136" s="1991">
        <v>100.00000000000009</v>
      </c>
      <c r="MZ136" s="1991">
        <v>99.989016001380833</v>
      </c>
      <c r="NA136" s="1991">
        <v>100.00000000000009</v>
      </c>
      <c r="NB136" s="1991">
        <v>99.96717929404187</v>
      </c>
      <c r="NC136" s="1991">
        <v>100.76421923805826</v>
      </c>
      <c r="ND136" s="1991">
        <v>100.34450965773489</v>
      </c>
      <c r="NE136" s="1991">
        <v>100.00000000000007</v>
      </c>
      <c r="NF136" s="1991">
        <v>100.00000000000003</v>
      </c>
      <c r="NG136" s="1991">
        <v>100.00000000000009</v>
      </c>
      <c r="NH136" s="1991">
        <v>100.00000000000006</v>
      </c>
      <c r="NI136" s="1991">
        <v>100</v>
      </c>
      <c r="NJ136" s="1991">
        <v>100</v>
      </c>
      <c r="NK136" s="1991">
        <v>98.50404775632451</v>
      </c>
      <c r="NL136" s="29">
        <v>63</v>
      </c>
    </row>
    <row r="137" spans="1:376">
      <c r="A137" s="41">
        <f t="shared" si="80"/>
        <v>2015</v>
      </c>
      <c r="B137" s="785">
        <v>42339</v>
      </c>
      <c r="C137" s="733">
        <v>96.099053923617319</v>
      </c>
      <c r="D137" s="1547">
        <v>208.52546502521841</v>
      </c>
      <c r="E137" s="570">
        <v>166.74321143578851</v>
      </c>
      <c r="F137" s="1547">
        <v>53.137888970178487</v>
      </c>
      <c r="G137" s="1547">
        <v>0</v>
      </c>
      <c r="H137" s="1547">
        <v>63.825231755987872</v>
      </c>
      <c r="I137" s="570">
        <v>45.351383382302494</v>
      </c>
      <c r="J137" s="570">
        <v>98.553140076476069</v>
      </c>
      <c r="K137" s="570">
        <v>138.43373435496014</v>
      </c>
      <c r="L137" s="570">
        <v>213.07357767736073</v>
      </c>
      <c r="M137" s="734">
        <v>99.704945089359242</v>
      </c>
      <c r="N137" s="25">
        <v>64</v>
      </c>
      <c r="O137" s="889">
        <f t="shared" si="79"/>
        <v>2015</v>
      </c>
      <c r="P137" s="29" t="str">
        <f t="shared" si="81"/>
        <v>Trimestre 42015</v>
      </c>
      <c r="Q137" s="848">
        <v>42339</v>
      </c>
      <c r="R137" s="733">
        <v>9.8157427299999984</v>
      </c>
      <c r="S137" s="570">
        <v>53.823050000000002</v>
      </c>
      <c r="T137" s="570">
        <v>1165.28187</v>
      </c>
      <c r="U137" s="734">
        <v>41.914999999999999</v>
      </c>
      <c r="V137" s="25">
        <v>64</v>
      </c>
      <c r="W137" s="733">
        <v>1286</v>
      </c>
      <c r="X137" s="570">
        <v>3411</v>
      </c>
      <c r="Y137" s="570">
        <v>489.22854707865747</v>
      </c>
      <c r="Z137" s="570">
        <v>239.35372120314776</v>
      </c>
      <c r="AA137" s="570">
        <v>43.567500000000003</v>
      </c>
      <c r="AB137" s="570">
        <v>96.518000000000001</v>
      </c>
      <c r="AC137" s="570">
        <v>717.54300000000001</v>
      </c>
      <c r="AD137" s="570">
        <v>212.05</v>
      </c>
      <c r="AE137" s="734">
        <v>21.364095000000002</v>
      </c>
      <c r="AF137" s="25">
        <v>64</v>
      </c>
      <c r="AG137" s="733">
        <v>15.997182544591201</v>
      </c>
      <c r="AH137" s="570">
        <v>2.3722569789356385E-2</v>
      </c>
      <c r="AI137" s="570">
        <v>22.719723355592773</v>
      </c>
      <c r="AJ137" s="570">
        <v>-22.947599044807571</v>
      </c>
      <c r="AK137" s="570">
        <v>5.2703556263328011</v>
      </c>
      <c r="AL137" s="570">
        <v>9.8879337742361102</v>
      </c>
      <c r="AM137" s="570">
        <v>8.6504059034935086</v>
      </c>
      <c r="AN137" s="734">
        <v>1.0755790093457531</v>
      </c>
      <c r="AO137" s="733">
        <v>36.374137868494401</v>
      </c>
      <c r="AP137" s="570">
        <v>24.816469968127958</v>
      </c>
      <c r="AQ137" s="570">
        <v>13.434904157270944</v>
      </c>
      <c r="AR137" s="570">
        <v>-24.868000494414375</v>
      </c>
      <c r="AS137" s="734">
        <v>-13.636363636363637</v>
      </c>
      <c r="AT137" s="733">
        <v>6.9086255908307876</v>
      </c>
      <c r="AU137" s="570">
        <v>-17.512094968853706</v>
      </c>
      <c r="AV137" s="734">
        <v>-12.505176597733296</v>
      </c>
      <c r="AW137" s="733">
        <v>-33.849484096322747</v>
      </c>
      <c r="AX137" s="570">
        <v>31.025270696564959</v>
      </c>
      <c r="AY137" s="570">
        <v>35.647683355117884</v>
      </c>
      <c r="AZ137" s="570">
        <v>13.826383378147568</v>
      </c>
      <c r="BA137" s="570">
        <v>-15.608585797685919</v>
      </c>
      <c r="BB137" s="570">
        <v>-25.883169057079471</v>
      </c>
      <c r="BC137" s="734">
        <v>20</v>
      </c>
      <c r="BD137" s="179">
        <v>-19.129342506171771</v>
      </c>
      <c r="BE137" s="99">
        <v>-79.122280015995699</v>
      </c>
      <c r="BF137" s="99">
        <v>9.5825923883277042</v>
      </c>
      <c r="BG137" s="99">
        <v>-35.589391476898726</v>
      </c>
      <c r="BH137" s="99">
        <v>48.827705481468449</v>
      </c>
      <c r="BI137" s="99">
        <v>21.794502131236804</v>
      </c>
      <c r="BJ137" s="99">
        <v>20.065361380577496</v>
      </c>
      <c r="BK137" s="132">
        <v>4.4803938602538897</v>
      </c>
      <c r="BL137" s="179">
        <v>18.182721550958803</v>
      </c>
      <c r="BM137" s="99">
        <v>-32.387623965650505</v>
      </c>
      <c r="BN137" s="99">
        <v>13.548037426957034</v>
      </c>
      <c r="BO137" s="99">
        <v>-43.098475589128704</v>
      </c>
      <c r="BP137" s="99">
        <v>9.5238095238095219</v>
      </c>
      <c r="BQ137" s="132">
        <v>-4.7619047619047628</v>
      </c>
      <c r="BR137" s="179">
        <v>20.905469196243057</v>
      </c>
      <c r="BS137" s="99">
        <v>-52.318305869153832</v>
      </c>
      <c r="BT137" s="99">
        <v>-46.833059091925236</v>
      </c>
      <c r="BU137" s="132">
        <v>-42.260468704149915</v>
      </c>
      <c r="BV137" s="179">
        <v>-29.855732585935211</v>
      </c>
      <c r="BW137" s="99">
        <v>-5.7553614588103628</v>
      </c>
      <c r="BX137" s="99">
        <v>-5.9604178283649762</v>
      </c>
      <c r="BY137" s="99">
        <v>-7.4132519977235178</v>
      </c>
      <c r="BZ137" s="99">
        <v>-41.361839084860037</v>
      </c>
      <c r="CA137" s="99">
        <v>23.80952380952381</v>
      </c>
      <c r="CB137" s="132">
        <v>23.80952380952381</v>
      </c>
      <c r="CC137" s="25">
        <v>64</v>
      </c>
      <c r="CD137" s="181">
        <v>76420</v>
      </c>
      <c r="CE137" s="182">
        <v>15167769</v>
      </c>
      <c r="CF137" s="319">
        <f>(((CF136/CF135-1)+(CF135/CF134-1))/2+1)*CF136</f>
        <v>1437921.1993542023</v>
      </c>
      <c r="CG137" s="25">
        <v>64</v>
      </c>
      <c r="CH137" s="19">
        <v>22018</v>
      </c>
      <c r="CI137" s="93">
        <v>3624</v>
      </c>
      <c r="CJ137" s="93">
        <v>2808</v>
      </c>
      <c r="CK137" s="93">
        <v>11791</v>
      </c>
      <c r="CL137" s="93">
        <v>5322</v>
      </c>
      <c r="CM137" s="93">
        <v>863</v>
      </c>
      <c r="CN137" s="93">
        <v>4213</v>
      </c>
      <c r="CO137" s="93">
        <v>2414</v>
      </c>
      <c r="CP137" s="93">
        <v>1527</v>
      </c>
      <c r="CQ137" s="93">
        <v>2347</v>
      </c>
      <c r="CR137" s="214">
        <v>77657</v>
      </c>
      <c r="CS137" s="20">
        <v>121967</v>
      </c>
      <c r="CT137" s="25">
        <v>64</v>
      </c>
      <c r="CU137" s="19">
        <v>24599</v>
      </c>
      <c r="CV137" s="93">
        <v>66315</v>
      </c>
      <c r="CW137" s="93">
        <v>13453</v>
      </c>
      <c r="CX137" s="93">
        <v>1488</v>
      </c>
      <c r="CY137" s="93">
        <v>570</v>
      </c>
      <c r="CZ137" s="93">
        <v>1044</v>
      </c>
      <c r="DA137" s="93">
        <v>14498</v>
      </c>
      <c r="DB137" s="20">
        <v>121967</v>
      </c>
      <c r="DC137" s="25">
        <v>64</v>
      </c>
      <c r="DD137" s="785">
        <v>42339</v>
      </c>
      <c r="DE137" s="733">
        <v>300.28515263899999</v>
      </c>
      <c r="DF137" s="734">
        <v>237.13993400000001</v>
      </c>
      <c r="DG137" s="25">
        <v>64</v>
      </c>
      <c r="DH137" s="733">
        <v>493.21610224618001</v>
      </c>
      <c r="DI137" s="734">
        <v>1391.6104560000001</v>
      </c>
      <c r="DJ137" s="25">
        <v>64</v>
      </c>
      <c r="DK137" s="733">
        <v>300.28515263899999</v>
      </c>
      <c r="DL137" s="734">
        <v>493.21610224618001</v>
      </c>
      <c r="DM137" s="733">
        <v>-192.93094960718003</v>
      </c>
      <c r="DN137" s="734">
        <v>60.883079703086828</v>
      </c>
      <c r="DO137" s="25">
        <v>64</v>
      </c>
      <c r="DP137" s="733">
        <v>245.70615191176293</v>
      </c>
      <c r="DQ137" s="570">
        <v>201.97849551920331</v>
      </c>
      <c r="DR137" s="734">
        <v>496.27358902950704</v>
      </c>
      <c r="DS137" s="25">
        <v>64</v>
      </c>
      <c r="DT137" s="733">
        <v>94.401584037968405</v>
      </c>
      <c r="DU137" s="570">
        <v>274.83902358106991</v>
      </c>
      <c r="DV137" s="734">
        <v>259.45239181501523</v>
      </c>
      <c r="DW137" s="25">
        <v>64</v>
      </c>
      <c r="DX137" s="733">
        <v>165.54010300867549</v>
      </c>
      <c r="DY137" s="734">
        <v>43.046555288284821</v>
      </c>
      <c r="DZ137" s="25">
        <v>64</v>
      </c>
      <c r="EA137" s="733">
        <v>210.37183818300002</v>
      </c>
      <c r="EB137" s="570">
        <v>28.701089229000001</v>
      </c>
      <c r="EC137" s="570">
        <v>14.425497597</v>
      </c>
      <c r="ED137" s="570">
        <v>10.220112859</v>
      </c>
      <c r="EE137" s="734">
        <v>1.557540715</v>
      </c>
      <c r="EF137" s="25">
        <v>64</v>
      </c>
      <c r="EG137" s="1569">
        <v>114.080867363</v>
      </c>
      <c r="EH137" s="1570">
        <v>5.9055721610000003</v>
      </c>
      <c r="EI137" s="1570">
        <v>5.6092125839999998</v>
      </c>
      <c r="EJ137" s="1570">
        <v>21.6132159183</v>
      </c>
      <c r="EK137" s="1571">
        <v>4.0064972469999995</v>
      </c>
      <c r="EL137" s="25">
        <v>64</v>
      </c>
      <c r="EM137" s="733">
        <v>176.80818022299999</v>
      </c>
      <c r="EN137" s="570">
        <v>3.291093</v>
      </c>
      <c r="EO137" s="570">
        <v>11.40035904</v>
      </c>
      <c r="EP137" s="570">
        <v>12.516402642999999</v>
      </c>
      <c r="EQ137" s="570">
        <v>15.650739513</v>
      </c>
      <c r="ER137" s="570">
        <v>8.1754234790000009</v>
      </c>
      <c r="ES137" s="570">
        <v>9.9512869380000009</v>
      </c>
      <c r="ET137" s="570">
        <v>3.77013789</v>
      </c>
      <c r="EU137" s="570">
        <v>0.46480537500000002</v>
      </c>
      <c r="EV137" s="734">
        <v>1.9685030489999999</v>
      </c>
      <c r="EW137" s="25">
        <v>64</v>
      </c>
      <c r="EX137" s="918">
        <v>43.487605666210001</v>
      </c>
      <c r="EY137" s="919">
        <v>15.6232055764</v>
      </c>
      <c r="EZ137" s="919">
        <v>46.036519465920001</v>
      </c>
      <c r="FA137" s="919">
        <v>0.53386446060000003</v>
      </c>
      <c r="FB137" s="919">
        <v>53.697981658000003</v>
      </c>
      <c r="FC137" s="919">
        <v>16.043083311410001</v>
      </c>
      <c r="FD137" s="919">
        <v>0.54616914970000008</v>
      </c>
      <c r="FE137" s="919">
        <v>16.971995642</v>
      </c>
      <c r="FF137" s="919">
        <v>22.092669973740001</v>
      </c>
      <c r="FG137" s="920">
        <v>32.763584702430002</v>
      </c>
      <c r="FH137" s="25">
        <v>64</v>
      </c>
      <c r="FI137" s="848">
        <v>42339</v>
      </c>
      <c r="FJ137" s="19">
        <v>1982</v>
      </c>
      <c r="FK137" s="93">
        <v>956</v>
      </c>
      <c r="FL137" s="20">
        <v>0</v>
      </c>
      <c r="FM137" s="25">
        <v>64</v>
      </c>
      <c r="FN137" s="19">
        <v>48</v>
      </c>
      <c r="FO137" s="93">
        <v>949</v>
      </c>
      <c r="FP137" s="93">
        <v>1155</v>
      </c>
      <c r="FQ137" s="93">
        <v>484</v>
      </c>
      <c r="FR137" s="93">
        <v>203</v>
      </c>
      <c r="FS137" s="93">
        <v>57</v>
      </c>
      <c r="FT137" s="93">
        <v>20</v>
      </c>
      <c r="FU137" s="93">
        <v>11</v>
      </c>
      <c r="FV137" s="93">
        <v>2</v>
      </c>
      <c r="FW137" s="917">
        <v>9</v>
      </c>
      <c r="FX137" s="25">
        <v>64</v>
      </c>
      <c r="FY137" s="975">
        <v>28</v>
      </c>
      <c r="FZ137" s="975">
        <v>223</v>
      </c>
      <c r="GA137" s="975">
        <v>460</v>
      </c>
      <c r="GB137" s="975">
        <v>120</v>
      </c>
      <c r="GC137" s="975">
        <v>359</v>
      </c>
      <c r="GD137" s="975">
        <v>187</v>
      </c>
      <c r="GE137" s="975">
        <v>866</v>
      </c>
      <c r="GF137" s="975">
        <v>189</v>
      </c>
      <c r="GG137" s="975">
        <v>37</v>
      </c>
      <c r="GH137" s="975">
        <v>398</v>
      </c>
      <c r="GI137" s="976">
        <v>71</v>
      </c>
      <c r="GJ137" s="25">
        <v>64</v>
      </c>
      <c r="GK137" s="19"/>
      <c r="GL137" s="20"/>
      <c r="GM137" s="25">
        <v>64</v>
      </c>
      <c r="GN137" s="19">
        <v>4278</v>
      </c>
      <c r="GO137" s="20">
        <v>1726</v>
      </c>
      <c r="GP137" s="25">
        <v>64</v>
      </c>
      <c r="GQ137" s="19">
        <v>31</v>
      </c>
      <c r="GR137" s="20">
        <v>30</v>
      </c>
      <c r="GS137" s="25">
        <v>64</v>
      </c>
      <c r="GT137" s="848">
        <v>42339</v>
      </c>
      <c r="GU137" s="733">
        <v>1286.2236266417967</v>
      </c>
      <c r="GV137" s="570">
        <v>1056.1821369238476</v>
      </c>
      <c r="GW137" s="570">
        <v>1056.1820541218478</v>
      </c>
      <c r="GX137" s="570">
        <v>937.66403056884758</v>
      </c>
      <c r="GY137" s="570">
        <v>234.43809384400004</v>
      </c>
      <c r="GZ137" s="570">
        <v>7.8865433359999999</v>
      </c>
      <c r="HA137" s="570">
        <v>7.4804441090476192</v>
      </c>
      <c r="HB137" s="570">
        <v>535.3436588958001</v>
      </c>
      <c r="HC137" s="570">
        <v>145.02004015999998</v>
      </c>
      <c r="HD137" s="570">
        <v>7.4952502240000003</v>
      </c>
      <c r="HE137" s="570">
        <v>118.51802355300001</v>
      </c>
      <c r="HF137" s="570">
        <v>5.1195693030000005</v>
      </c>
      <c r="HG137" s="570">
        <v>29.126015485000003</v>
      </c>
      <c r="HH137" s="570">
        <v>6.8932887909999989</v>
      </c>
      <c r="HI137" s="570">
        <v>19.757423476</v>
      </c>
      <c r="HJ137" s="570">
        <v>57.621726497999994</v>
      </c>
      <c r="HK137" s="570">
        <v>8.2802000000000011E-5</v>
      </c>
      <c r="HL137" s="570">
        <v>230.04148971794933</v>
      </c>
      <c r="HM137" s="570">
        <v>105.21138131594935</v>
      </c>
      <c r="HN137" s="570">
        <v>124.83010840200001</v>
      </c>
      <c r="HO137" s="570">
        <v>1371.5724958095959</v>
      </c>
      <c r="HP137" s="570">
        <v>1384.133719698596</v>
      </c>
      <c r="HQ137" s="570">
        <v>926.90707921399996</v>
      </c>
      <c r="HR137" s="570">
        <v>472.04962936100003</v>
      </c>
      <c r="HS137" s="570">
        <v>110.316920211</v>
      </c>
      <c r="HT137" s="570">
        <v>44.110018254999993</v>
      </c>
      <c r="HU137" s="570">
        <v>28.597964015999999</v>
      </c>
      <c r="HV137" s="570">
        <v>15.512054238999999</v>
      </c>
      <c r="HW137" s="570">
        <v>300.43051138700002</v>
      </c>
      <c r="HX137" s="570">
        <v>13.593303520999999</v>
      </c>
      <c r="HY137" s="570">
        <v>74.738813581000002</v>
      </c>
      <c r="HZ137" s="570">
        <v>18.131814541000001</v>
      </c>
      <c r="IA137" s="570">
        <v>11.865140803999999</v>
      </c>
      <c r="IB137" s="570">
        <v>457.22664048459615</v>
      </c>
      <c r="IC137" s="570">
        <v>300.9787053</v>
      </c>
      <c r="ID137" s="570">
        <v>4.6788390729999998</v>
      </c>
      <c r="IE137" s="570">
        <v>151.56909611159605</v>
      </c>
      <c r="IF137" s="570">
        <v>-12.561223889000006</v>
      </c>
      <c r="IG137" s="570">
        <v>-129.8348076483465</v>
      </c>
      <c r="IH137" s="570">
        <v>-356.26910772442517</v>
      </c>
      <c r="II137" s="570">
        <v>-164.91157546615244</v>
      </c>
      <c r="IJ137" s="570">
        <v>-208.61371427915239</v>
      </c>
      <c r="IK137" s="570">
        <v>-188.35833551779913</v>
      </c>
      <c r="IL137" s="570">
        <v>-418.39982523574855</v>
      </c>
      <c r="IM137" s="570">
        <v>191.17461075864674</v>
      </c>
      <c r="IN137" s="570">
        <v>90.369215673646693</v>
      </c>
      <c r="IO137" s="570">
        <v>122.08084101064671</v>
      </c>
      <c r="IP137" s="570">
        <v>-31.711625336999997</v>
      </c>
      <c r="IQ137" s="570">
        <v>0</v>
      </c>
      <c r="IR137" s="570">
        <v>100.80539508500001</v>
      </c>
      <c r="IS137" s="570">
        <v>9.73970347200002</v>
      </c>
      <c r="IT137" s="570">
        <v>91.065691613000027</v>
      </c>
      <c r="IU137" s="570">
        <v>0</v>
      </c>
      <c r="IV137" s="93">
        <v>64</v>
      </c>
      <c r="IW137" s="848">
        <v>42339</v>
      </c>
      <c r="IX137" s="1035"/>
      <c r="IY137" s="1035">
        <v>299.16585148599995</v>
      </c>
      <c r="IZ137" s="1035">
        <v>366.91550191099998</v>
      </c>
      <c r="JA137" s="1035">
        <v>0.5645789200000001</v>
      </c>
      <c r="JB137" s="1035">
        <v>968.7470627599098</v>
      </c>
      <c r="JC137" s="1035">
        <v>161.379753212</v>
      </c>
      <c r="JD137" s="1035">
        <v>1429.8572463779096</v>
      </c>
      <c r="JE137" s="1035">
        <v>1060.2708073716069</v>
      </c>
      <c r="JF137" s="1035">
        <v>2490.1280537495168</v>
      </c>
      <c r="JG137" s="1035"/>
      <c r="JH137" s="1035">
        <v>737.75407879126396</v>
      </c>
      <c r="JI137" s="1035">
        <v>-136.05306034600005</v>
      </c>
      <c r="JJ137" s="1035">
        <v>873.8071391372639</v>
      </c>
      <c r="JK137" s="1035">
        <v>2036.1243578712526</v>
      </c>
      <c r="JL137" s="1035">
        <v>17.871258429999983</v>
      </c>
      <c r="JM137" s="1035">
        <v>-14.083741570000001</v>
      </c>
      <c r="JN137" s="1035">
        <v>31.954999999999984</v>
      </c>
      <c r="JO137" s="1035">
        <v>2018.2530994412527</v>
      </c>
      <c r="JP137" s="1035">
        <v>3.5684625240000001</v>
      </c>
      <c r="JQ137" s="1035">
        <v>2014.6846369172526</v>
      </c>
      <c r="JR137" s="1035">
        <v>394.72472733499995</v>
      </c>
      <c r="JS137" s="1035">
        <v>-110.97434442200013</v>
      </c>
      <c r="JT137" s="1036">
        <v>2490.1280537495172</v>
      </c>
      <c r="JU137" s="29">
        <v>64</v>
      </c>
      <c r="JV137" s="1037"/>
      <c r="JW137" s="1526">
        <f>VLOOKUP($IW137,Base_Mensuelle!$OF$68:$RM$679,HLOOKUP(JW$73,Base_Mensuelle!$PE$67:$QE$680,614,0))</f>
        <v>-136.05306034600005</v>
      </c>
      <c r="JX137" s="1526">
        <f>VLOOKUP($IW137,Base_Mensuelle!$OF$68:$RM$679,HLOOKUP(JX$73,Base_Mensuelle!$PE$67:$QE$680,614,0))</f>
        <v>558.52934947799997</v>
      </c>
      <c r="JY137" s="1526">
        <f>VLOOKUP($IW137,Base_Mensuelle!$OF$68:$RM$679,HLOOKUP(JY$73,Base_Mensuelle!$PE$67:$QE$680,614,0))</f>
        <v>694.58240982400002</v>
      </c>
      <c r="JZ137" s="1526">
        <f>VLOOKUP($IW137,Base_Mensuelle!$OF$68:$RM$679,HLOOKUP(JZ$73,Base_Mensuelle!$PE$67:$QE$680,614,0))</f>
        <v>657.17446041100004</v>
      </c>
      <c r="KA137" s="1526">
        <f>VLOOKUP($IW137,Base_Mensuelle!$OF$68:$RM$679,HLOOKUP(KA$73,Base_Mensuelle!$PE$67:$QE$680,614,0))</f>
        <v>-7.8990911449999999</v>
      </c>
      <c r="KB137" s="1526">
        <f>VLOOKUP($IW137,Base_Mensuelle!$OF$68:$RM$679,HLOOKUP(KB$73,Base_Mensuelle!$PE$67:$QE$680,614,0))</f>
        <v>132.08268386099999</v>
      </c>
      <c r="KC137" s="1526">
        <f>VLOOKUP($IW137,Base_Mensuelle!$OF$68:$RM$679,HLOOKUP(KC$73,Base_Mensuelle!$PE$67:$QE$680,614,0))</f>
        <v>139.98177500599999</v>
      </c>
      <c r="KD137" s="1526">
        <f>VLOOKUP($IW137,Base_Mensuelle!$OF$68:$RM$679,HLOOKUP(KD$73,Base_Mensuelle!$PE$67:$QE$680,614,0))</f>
        <v>3.5684625240000001</v>
      </c>
      <c r="KE137" s="1526">
        <f>VLOOKUP($IW137,Base_Mensuelle!$OF$68:$RM$679,HLOOKUP(KE$73,Base_Mensuelle!$PE$67:$QE$680,614,0))</f>
        <v>0</v>
      </c>
      <c r="KF137" s="1526">
        <f>VLOOKUP($IW137,Base_Mensuelle!$OF$68:$RM$679,HLOOKUP(KF$73,Base_Mensuelle!$PE$67:$QE$680,614,0))</f>
        <v>0</v>
      </c>
      <c r="KG137" s="1526">
        <f>VLOOKUP($IW137,Base_Mensuelle!$OF$68:$RM$679,HLOOKUP(KG$73,Base_Mensuelle!$PE$67:$QE$680,614,0))</f>
        <v>0</v>
      </c>
      <c r="KH137" s="1526">
        <f>VLOOKUP($IW137,Base_Mensuelle!$OF$68:$RM$679,HLOOKUP(KH$73,Base_Mensuelle!$PE$67:$QE$680,614,0))</f>
        <v>3.5684625240000001</v>
      </c>
      <c r="KI137" s="1526">
        <f>VLOOKUP($IW137,Base_Mensuelle!$OF$68:$RM$679,HLOOKUP(KI$73,Base_Mensuelle!$PE$67:$QE$680,614,0))</f>
        <v>504.36069793500002</v>
      </c>
      <c r="KJ137" s="1526">
        <f>VLOOKUP($IW137,Base_Mensuelle!$OF$68:$RM$679,HLOOKUP(KJ$73,Base_Mensuelle!$PE$67:$QE$680,614,0))</f>
        <v>366.91550191099998</v>
      </c>
      <c r="KK137" s="1526">
        <f>VLOOKUP($IW137,Base_Mensuelle!$OF$68:$RM$679,HLOOKUP(KK$73,Base_Mensuelle!$PE$67:$QE$680,614,0))</f>
        <v>136.61452302699999</v>
      </c>
      <c r="KL137" s="1526">
        <f>VLOOKUP($IW137,Base_Mensuelle!$OF$68:$RM$679,HLOOKUP(KL$73,Base_Mensuelle!$PE$67:$QE$680,614,0))</f>
        <v>0.83067299700000008</v>
      </c>
      <c r="KM137" s="1526">
        <f>VLOOKUP($IW137,Base_Mensuelle!$OF$68:$RM$679,HLOOKUP(KM$73,Base_Mensuelle!$PE$67:$QE$680,614,0))</f>
        <v>0</v>
      </c>
      <c r="KN137" s="1526">
        <f>VLOOKUP($IW137,Base_Mensuelle!$OF$68:$RM$679,HLOOKUP(KN$73,Base_Mensuelle!$PE$67:$QE$680,614,0))</f>
        <v>0.61894960099999996</v>
      </c>
      <c r="KO137" s="1526">
        <f>VLOOKUP($IW137,Base_Mensuelle!$OF$68:$RM$679,HLOOKUP(KO$73,Base_Mensuelle!$PE$67:$QE$680,614,0))</f>
        <v>0</v>
      </c>
      <c r="KP137" s="1526">
        <f>VLOOKUP($IW137,Base_Mensuelle!$OF$68:$RM$679,HLOOKUP(KP$73,Base_Mensuelle!$PE$67:$QE$680,614,0))</f>
        <v>0</v>
      </c>
      <c r="KQ137" s="1526">
        <f>VLOOKUP($IW137,Base_Mensuelle!$OF$68:$RM$679,HLOOKUP(KQ$73,Base_Mensuelle!$PE$67:$QE$680,614,0))</f>
        <v>0.61894960099999996</v>
      </c>
      <c r="KR137" s="1526">
        <f>VLOOKUP($IW137,Base_Mensuelle!$OF$68:$RM$679,HLOOKUP(KR$73,Base_Mensuelle!$PE$67:$QE$680,614,0))</f>
        <v>0</v>
      </c>
      <c r="KS137" s="1526">
        <f>VLOOKUP($IW137,Base_Mensuelle!$OF$68:$RM$679,HLOOKUP(KS$73,Base_Mensuelle!$PE$67:$QE$680,614,0))</f>
        <v>0</v>
      </c>
      <c r="KT137" s="1526">
        <f>VLOOKUP($IW137,Base_Mensuelle!$OF$68:$RM$679,HLOOKUP(KT$73,Base_Mensuelle!$PE$67:$QE$680,614,0))</f>
        <v>0</v>
      </c>
      <c r="KU137" s="1526">
        <f>VLOOKUP($IW137,Base_Mensuelle!$OF$68:$RM$679,HLOOKUP(KU$73,Base_Mensuelle!$PE$67:$QE$680,614,0))</f>
        <v>8.7337777340000002</v>
      </c>
      <c r="KV137" s="1526">
        <f>VLOOKUP($IW137,Base_Mensuelle!$OF$68:$RM$679,HLOOKUP(KV$73,Base_Mensuelle!$PE$67:$QE$680,614,0))</f>
        <v>3.0773461739999997</v>
      </c>
      <c r="KW137" s="1036"/>
      <c r="KX137" s="29">
        <v>64</v>
      </c>
      <c r="KY137" s="1037"/>
      <c r="KZ137" s="182">
        <f>VLOOKUP($IW137,Base_Mensuelle!$OF$68:$RM$679,HLOOKUP(KZ$73,Base_Mensuelle!$QG$67:$RM$680,614,0))</f>
        <v>873.8071391372639</v>
      </c>
      <c r="LA137" s="182">
        <f>VLOOKUP($IW137,Base_Mensuelle!$OF$68:$RM$679,HLOOKUP(LA$73,Base_Mensuelle!$QG$67:$RM$680,614,0))</f>
        <v>1204.2573630827471</v>
      </c>
      <c r="LB137" s="182">
        <f>VLOOKUP($IW137,Base_Mensuelle!$OF$68:$RM$679,HLOOKUP(LB$73,Base_Mensuelle!$QG$67:$RM$680,614,0))</f>
        <v>-330.45022394548317</v>
      </c>
      <c r="LC137" s="182">
        <f>VLOOKUP($IW137,Base_Mensuelle!$OF$68:$RM$679,HLOOKUP(LC$73,Base_Mensuelle!$QG$67:$RM$680,614,0))</f>
        <v>186.19299999999998</v>
      </c>
      <c r="LD137" s="182">
        <f>VLOOKUP($IW137,Base_Mensuelle!$OF$68:$RM$679,HLOOKUP(LD$73,Base_Mensuelle!$QG$67:$RM$680,614,0))</f>
        <v>61.564999999999998</v>
      </c>
      <c r="LE137" s="182">
        <f>VLOOKUP($IW137,Base_Mensuelle!$OF$68:$RM$679,HLOOKUP(LE$73,Base_Mensuelle!$QG$67:$RM$680,614,0))</f>
        <v>124.628</v>
      </c>
      <c r="LF137" s="182">
        <f>VLOOKUP($IW137,Base_Mensuelle!$OF$68:$RM$679,HLOOKUP(LF$73,Base_Mensuelle!$QG$67:$RM$680,614,0))</f>
        <v>0</v>
      </c>
      <c r="LG137" s="182">
        <f>VLOOKUP($IW137,Base_Mensuelle!$OF$68:$RM$679,HLOOKUP(LG$73,Base_Mensuelle!$QG$67:$RM$680,614,0))</f>
        <v>31.954999999999984</v>
      </c>
      <c r="LH137" s="182">
        <f>VLOOKUP($IW137,Base_Mensuelle!$OF$68:$RM$679,HLOOKUP(LH$73,Base_Mensuelle!$QG$67:$RM$680,614,0))</f>
        <v>270.68</v>
      </c>
      <c r="LI137" s="182">
        <f>VLOOKUP($IW137,Base_Mensuelle!$OF$68:$RM$679,HLOOKUP(LI$73,Base_Mensuelle!$QG$67:$RM$680,614,0))</f>
        <v>-238.72500000000002</v>
      </c>
      <c r="LJ137" s="182">
        <f>VLOOKUP($IW137,Base_Mensuelle!$OF$68:$RM$679,HLOOKUP(LJ$73,Base_Mensuelle!$QG$67:$RM$680,614,0))</f>
        <v>2014.6846369172526</v>
      </c>
      <c r="LK137" s="182">
        <f>VLOOKUP($IW137,Base_Mensuelle!$OF$68:$RM$679,HLOOKUP(LK$73,Base_Mensuelle!$QG$67:$RM$680,614,0))</f>
        <v>20.02918114398976</v>
      </c>
      <c r="LL137" s="182">
        <f>VLOOKUP($IW137,Base_Mensuelle!$OF$68:$RM$679,HLOOKUP(LL$73,Base_Mensuelle!$QG$67:$RM$680,614,0))</f>
        <v>0</v>
      </c>
      <c r="LM137" s="182">
        <f>VLOOKUP($IW137,Base_Mensuelle!$OF$68:$RM$679,HLOOKUP(LM$73,Base_Mensuelle!$QG$67:$RM$680,614,0))</f>
        <v>246.75399999999999</v>
      </c>
      <c r="LN137" s="182">
        <f>VLOOKUP($IW137,Base_Mensuelle!$OF$68:$RM$679,HLOOKUP(LN$73,Base_Mensuelle!$QG$67:$RM$680,614,0))</f>
        <v>1747.901455773263</v>
      </c>
      <c r="LO137" s="182">
        <f>VLOOKUP($IW137,Base_Mensuelle!$OF$68:$RM$679,HLOOKUP(LO$73,Base_Mensuelle!$QG$67:$RM$680,614,0))</f>
        <v>0</v>
      </c>
      <c r="LP137" s="182">
        <f>VLOOKUP($IW137,Base_Mensuelle!$OF$68:$RM$679,HLOOKUP(LP$73,Base_Mensuelle!$QG$67:$RM$680,614,0))</f>
        <v>656.52099999999996</v>
      </c>
      <c r="LQ137" s="182">
        <f>VLOOKUP($IW137,Base_Mensuelle!$OF$68:$RM$679,HLOOKUP(LQ$73,Base_Mensuelle!$QG$67:$RM$680,614,0))</f>
        <v>968.7470627599098</v>
      </c>
      <c r="LR137" s="182">
        <f>VLOOKUP($IW137,Base_Mensuelle!$OF$68:$RM$679,HLOOKUP(LR$73,Base_Mensuelle!$QG$67:$RM$680,614,0))</f>
        <v>1060.0047132946067</v>
      </c>
      <c r="LS137" s="182">
        <f>VLOOKUP($IW137,Base_Mensuelle!$OF$68:$RM$679,HLOOKUP(LS$73,Base_Mensuelle!$QG$67:$RM$680,614,0))</f>
        <v>0</v>
      </c>
      <c r="LT137" s="182">
        <f>VLOOKUP($IW137,Base_Mensuelle!$OF$68:$RM$679,HLOOKUP(LT$73,Base_Mensuelle!$QG$67:$RM$680,614,0))</f>
        <v>61.584999999999994</v>
      </c>
      <c r="LU137" s="182">
        <f>VLOOKUP($IW137,Base_Mensuelle!$OF$68:$RM$679,HLOOKUP(LU$73,Base_Mensuelle!$QG$67:$RM$680,614,0))</f>
        <v>4.0819999999999999</v>
      </c>
      <c r="LV137" s="182">
        <f>VLOOKUP($IW137,Base_Mensuelle!$OF$68:$RM$679,HLOOKUP(LV$73,Base_Mensuelle!$QG$67:$RM$680,614,0))</f>
        <v>15.237</v>
      </c>
      <c r="LW137" s="182">
        <f>VLOOKUP($IW137,Base_Mensuelle!$OF$68:$RM$679,HLOOKUP(LW$73,Base_Mensuelle!$QG$67:$RM$680,614,0))</f>
        <v>0</v>
      </c>
      <c r="LX137" s="182">
        <f>VLOOKUP($IW137,Base_Mensuelle!$OF$68:$RM$679,HLOOKUP(LX$73,Base_Mensuelle!$QG$67:$RM$680,614,0))</f>
        <v>0</v>
      </c>
      <c r="LY137" s="182">
        <f>VLOOKUP($IW137,Base_Mensuelle!$OF$68:$RM$679,HLOOKUP(LY$73,Base_Mensuelle!$QG$67:$RM$680,614,0))</f>
        <v>304.46799999999996</v>
      </c>
      <c r="LZ137" s="182">
        <f>VLOOKUP($IW137,Base_Mensuelle!$OF$68:$RM$679,HLOOKUP(LZ$73,Base_Mensuelle!$QG$67:$RM$680,614,0))</f>
        <v>35.994999999999976</v>
      </c>
      <c r="MA137" s="182">
        <f>VLOOKUP($IW137,Base_Mensuelle!$OF$68:$RM$679,HLOOKUP(MA$73,Base_Mensuelle!$QG$67:$RM$680,614,0))</f>
        <v>0</v>
      </c>
      <c r="MB137" s="182">
        <f>VLOOKUP($IW137,Base_Mensuelle!$OF$68:$RM$679,HLOOKUP(MB$73,Base_Mensuelle!$QG$67:$RM$680,614,0))</f>
        <v>0</v>
      </c>
      <c r="MC137" s="182">
        <f>VLOOKUP($IW137,Base_Mensuelle!$OF$68:$RM$679,HLOOKUP(MC$73,Base_Mensuelle!$QG$67:$RM$680,614,0))</f>
        <v>0</v>
      </c>
      <c r="MD137" s="182">
        <f>VLOOKUP($IW137,Base_Mensuelle!$OF$68:$RM$679,HLOOKUP(MD$73,Base_Mensuelle!$QG$67:$RM$680,614,0))</f>
        <v>0</v>
      </c>
      <c r="ME137" s="182">
        <f>VLOOKUP($IW137,Base_Mensuelle!$OF$68:$RM$679,HLOOKUP(ME$73,Base_Mensuelle!$QG$67:$RM$680,614,0))</f>
        <v>0</v>
      </c>
      <c r="MF137" s="182"/>
      <c r="MG137" s="182"/>
      <c r="MH137" s="290"/>
      <c r="MI137" s="29">
        <v>64</v>
      </c>
      <c r="MJ137" s="29" t="str">
        <f t="shared" si="82"/>
        <v>Trimestre 42015</v>
      </c>
      <c r="MK137" s="848">
        <v>42339</v>
      </c>
      <c r="ML137" s="1991">
        <v>100.16228676290331</v>
      </c>
      <c r="MM137" s="1991">
        <v>105.46451725834466</v>
      </c>
      <c r="MN137" s="1991">
        <v>99.986557866150406</v>
      </c>
      <c r="MO137" s="1991">
        <v>100</v>
      </c>
      <c r="MP137" s="1991">
        <v>100.16228676290331</v>
      </c>
      <c r="MQ137" s="1991">
        <v>105.52706523038357</v>
      </c>
      <c r="MR137" s="1991">
        <v>100.00000000000004</v>
      </c>
      <c r="MS137" s="1991">
        <v>99.934765813020206</v>
      </c>
      <c r="MT137" s="1991">
        <v>100.00000000000004</v>
      </c>
      <c r="MU137" s="1991">
        <v>100</v>
      </c>
      <c r="MV137" s="1991">
        <v>100.01312240596739</v>
      </c>
      <c r="MW137" s="1991">
        <v>100</v>
      </c>
      <c r="MX137" s="1991">
        <v>98.41269841269839</v>
      </c>
      <c r="MY137" s="1991">
        <v>100.00000000000009</v>
      </c>
      <c r="MZ137" s="1991">
        <v>100.12193516121695</v>
      </c>
      <c r="NA137" s="1991">
        <v>100.00000000000009</v>
      </c>
      <c r="NB137" s="1991">
        <v>99.96717929404187</v>
      </c>
      <c r="NC137" s="1991">
        <v>102.28613075326044</v>
      </c>
      <c r="ND137" s="1991">
        <v>100.34450965773489</v>
      </c>
      <c r="NE137" s="1991">
        <v>100.00000000000007</v>
      </c>
      <c r="NF137" s="1991">
        <v>100.00000000000003</v>
      </c>
      <c r="NG137" s="1991">
        <v>100.00000000000009</v>
      </c>
      <c r="NH137" s="1991">
        <v>100.00000000000006</v>
      </c>
      <c r="NI137" s="1991">
        <v>100</v>
      </c>
      <c r="NJ137" s="1991">
        <v>100</v>
      </c>
      <c r="NK137" s="1991">
        <v>102.26793567423725</v>
      </c>
      <c r="NL137" s="29">
        <v>64</v>
      </c>
    </row>
    <row r="138" spans="1:376">
      <c r="A138" s="41">
        <f t="shared" si="80"/>
        <v>2016</v>
      </c>
      <c r="B138" s="785">
        <v>42430</v>
      </c>
      <c r="C138" s="733">
        <v>93.05660880533793</v>
      </c>
      <c r="D138" s="1547">
        <v>208.20594151779994</v>
      </c>
      <c r="E138" s="570">
        <v>172.44771035459365</v>
      </c>
      <c r="F138" s="1547">
        <v>122.99015643025884</v>
      </c>
      <c r="G138" s="1547">
        <v>0</v>
      </c>
      <c r="H138" s="1547">
        <v>69.10530808360528</v>
      </c>
      <c r="I138" s="570">
        <v>38.658892412620233</v>
      </c>
      <c r="J138" s="570">
        <v>169.37994796253227</v>
      </c>
      <c r="K138" s="570">
        <v>154.90995877889929</v>
      </c>
      <c r="L138" s="570">
        <v>222.2549196000889</v>
      </c>
      <c r="M138" s="734">
        <v>103.88624739693536</v>
      </c>
      <c r="N138" s="25">
        <v>65</v>
      </c>
      <c r="O138" s="889">
        <f t="shared" si="79"/>
        <v>2016</v>
      </c>
      <c r="P138" s="29" t="str">
        <f t="shared" si="81"/>
        <v>Trimestre 12016</v>
      </c>
      <c r="Q138" s="848">
        <v>42430</v>
      </c>
      <c r="R138" s="733">
        <v>8.0501411899999997</v>
      </c>
      <c r="S138" s="570">
        <v>169.904</v>
      </c>
      <c r="T138" s="570">
        <v>1165.28187</v>
      </c>
      <c r="U138" s="734">
        <v>34.704999999999998</v>
      </c>
      <c r="V138" s="25">
        <v>65</v>
      </c>
      <c r="W138" s="733">
        <v>648</v>
      </c>
      <c r="X138" s="570">
        <v>21321</v>
      </c>
      <c r="Y138" s="570">
        <v>442.75016734440322</v>
      </c>
      <c r="Z138" s="570">
        <v>197.53418437781036</v>
      </c>
      <c r="AA138" s="570">
        <v>45.058</v>
      </c>
      <c r="AB138" s="570">
        <v>98.638999999999996</v>
      </c>
      <c r="AC138" s="570">
        <v>708.86500000000001</v>
      </c>
      <c r="AD138" s="570">
        <v>237.287948</v>
      </c>
      <c r="AE138" s="734">
        <v>22.284673999999999</v>
      </c>
      <c r="AF138" s="25">
        <v>65</v>
      </c>
      <c r="AG138" s="733">
        <v>37.579350300987898</v>
      </c>
      <c r="AH138" s="570">
        <v>9.8372245981143394</v>
      </c>
      <c r="AI138" s="570">
        <v>13.223406047178877</v>
      </c>
      <c r="AJ138" s="570">
        <v>3.7592762989635204</v>
      </c>
      <c r="AK138" s="570">
        <v>12.905577511348671</v>
      </c>
      <c r="AL138" s="570">
        <v>13.537933319103132</v>
      </c>
      <c r="AM138" s="570">
        <v>5.7385452099825383</v>
      </c>
      <c r="AN138" s="734">
        <v>8.5027308654556464</v>
      </c>
      <c r="AO138" s="733">
        <v>14.548639449191519</v>
      </c>
      <c r="AP138" s="570">
        <v>20.10828187683185</v>
      </c>
      <c r="AQ138" s="570">
        <v>13.194056046690234</v>
      </c>
      <c r="AR138" s="570">
        <v>14.275320314959469</v>
      </c>
      <c r="AS138" s="734">
        <v>-16</v>
      </c>
      <c r="AT138" s="733">
        <v>-1.9294384966655009</v>
      </c>
      <c r="AU138" s="570">
        <v>2.149252007096504</v>
      </c>
      <c r="AV138" s="734">
        <v>5.4785226841568173</v>
      </c>
      <c r="AW138" s="733">
        <v>-40.465829331479128</v>
      </c>
      <c r="AX138" s="570">
        <v>48.922361081828676</v>
      </c>
      <c r="AY138" s="570">
        <v>30.124743625666618</v>
      </c>
      <c r="AZ138" s="570">
        <v>4.7667189601234545</v>
      </c>
      <c r="BA138" s="570">
        <v>-0.73175882629088851</v>
      </c>
      <c r="BB138" s="570">
        <v>-18.469001022193293</v>
      </c>
      <c r="BC138" s="734">
        <v>20</v>
      </c>
      <c r="BD138" s="179">
        <v>48.492147575260532</v>
      </c>
      <c r="BE138" s="99">
        <v>-10.459128721227671</v>
      </c>
      <c r="BF138" s="99">
        <v>25.009447769146398</v>
      </c>
      <c r="BG138" s="99">
        <v>7.9336695180552468</v>
      </c>
      <c r="BH138" s="99">
        <v>47.216896182704374</v>
      </c>
      <c r="BI138" s="99">
        <v>29.767675455722159</v>
      </c>
      <c r="BJ138" s="99">
        <v>14.895672566752502</v>
      </c>
      <c r="BK138" s="132">
        <v>17.717879140156825</v>
      </c>
      <c r="BL138" s="179">
        <v>-27.331147455254829</v>
      </c>
      <c r="BM138" s="99">
        <v>-1.5069867779866541</v>
      </c>
      <c r="BN138" s="99">
        <v>33.117007953813427</v>
      </c>
      <c r="BO138" s="99">
        <v>47.618378860232703</v>
      </c>
      <c r="BP138" s="99">
        <v>33.333333333333329</v>
      </c>
      <c r="BQ138" s="132">
        <v>14.285714285714286</v>
      </c>
      <c r="BR138" s="179">
        <v>18.02779931306387</v>
      </c>
      <c r="BS138" s="99">
        <v>15.764369191908187</v>
      </c>
      <c r="BT138" s="99">
        <v>16.415649231901085</v>
      </c>
      <c r="BU138" s="132">
        <v>-3.4896574297227883</v>
      </c>
      <c r="BV138" s="179">
        <v>60.455516362360854</v>
      </c>
      <c r="BW138" s="99">
        <v>36.074187406960505</v>
      </c>
      <c r="BX138" s="99">
        <v>4.2389929215028808</v>
      </c>
      <c r="BY138" s="99">
        <v>0</v>
      </c>
      <c r="BZ138" s="99">
        <v>-7.2448531497711244E-2</v>
      </c>
      <c r="CA138" s="99">
        <v>19.047619047619047</v>
      </c>
      <c r="CB138" s="132">
        <v>14.285714285714285</v>
      </c>
      <c r="CC138" s="25">
        <v>65</v>
      </c>
      <c r="CD138" s="181">
        <v>76201</v>
      </c>
      <c r="CE138" s="182">
        <v>15045561</v>
      </c>
      <c r="CF138" s="290">
        <v>3344078</v>
      </c>
      <c r="CG138" s="25">
        <v>65</v>
      </c>
      <c r="CH138" s="19">
        <v>20226</v>
      </c>
      <c r="CI138" s="93">
        <v>3666</v>
      </c>
      <c r="CJ138" s="93">
        <v>3212</v>
      </c>
      <c r="CK138" s="93">
        <v>12320</v>
      </c>
      <c r="CL138" s="93">
        <v>3727</v>
      </c>
      <c r="CM138" s="93">
        <v>1014</v>
      </c>
      <c r="CN138" s="93">
        <v>2592</v>
      </c>
      <c r="CO138" s="93">
        <v>2021</v>
      </c>
      <c r="CP138" s="93">
        <v>2152</v>
      </c>
      <c r="CQ138" s="93">
        <v>1788</v>
      </c>
      <c r="CR138" s="214">
        <v>77110</v>
      </c>
      <c r="CS138" s="20">
        <v>118209</v>
      </c>
      <c r="CT138" s="25">
        <v>65</v>
      </c>
      <c r="CU138" s="19">
        <v>16852</v>
      </c>
      <c r="CV138" s="93">
        <v>71651</v>
      </c>
      <c r="CW138" s="93">
        <v>14998</v>
      </c>
      <c r="CX138" s="93">
        <v>994</v>
      </c>
      <c r="CY138" s="93">
        <v>532</v>
      </c>
      <c r="CZ138" s="93">
        <v>1053</v>
      </c>
      <c r="DA138" s="93">
        <v>12129</v>
      </c>
      <c r="DB138" s="20">
        <v>118209</v>
      </c>
      <c r="DC138" s="25">
        <v>65</v>
      </c>
      <c r="DD138" s="785">
        <v>42430</v>
      </c>
      <c r="DE138" s="733">
        <v>384.095522432</v>
      </c>
      <c r="DF138" s="734">
        <v>516.64008200000001</v>
      </c>
      <c r="DG138" s="25">
        <v>65</v>
      </c>
      <c r="DH138" s="733">
        <v>493.80702351129003</v>
      </c>
      <c r="DI138" s="734">
        <v>1304.602026</v>
      </c>
      <c r="DJ138" s="25">
        <v>65</v>
      </c>
      <c r="DK138" s="733">
        <v>384.095522432</v>
      </c>
      <c r="DL138" s="734">
        <v>502.72184898083009</v>
      </c>
      <c r="DM138" s="733">
        <v>-118.62632654883009</v>
      </c>
      <c r="DN138" s="734">
        <v>76.403188604330268</v>
      </c>
      <c r="DO138" s="25">
        <v>65</v>
      </c>
      <c r="DP138" s="733">
        <v>152.51729929395532</v>
      </c>
      <c r="DQ138" s="570">
        <v>432.29718327976224</v>
      </c>
      <c r="DR138" s="734">
        <v>659.32798886213379</v>
      </c>
      <c r="DS138" s="25">
        <v>65</v>
      </c>
      <c r="DT138" s="733">
        <v>102.55168349836644</v>
      </c>
      <c r="DU138" s="570">
        <v>256.34476108148954</v>
      </c>
      <c r="DV138" s="734">
        <v>262.88586804893282</v>
      </c>
      <c r="DW138" s="25">
        <v>65</v>
      </c>
      <c r="DX138" s="733">
        <v>162.89683576999249</v>
      </c>
      <c r="DY138" s="734">
        <v>43.809277690350058</v>
      </c>
      <c r="DZ138" s="25">
        <v>65</v>
      </c>
      <c r="EA138" s="733">
        <v>183.03275015099999</v>
      </c>
      <c r="EB138" s="570">
        <v>128.27381353000001</v>
      </c>
      <c r="EC138" s="570">
        <v>36.465126305999995</v>
      </c>
      <c r="ED138" s="570">
        <v>5.373185951</v>
      </c>
      <c r="EE138" s="734">
        <v>1.6636454000000001</v>
      </c>
      <c r="EF138" s="25">
        <v>65</v>
      </c>
      <c r="EG138" s="1569">
        <v>93.93365811244999</v>
      </c>
      <c r="EH138" s="1570">
        <v>22.533016657979999</v>
      </c>
      <c r="EI138" s="1570">
        <v>9.2412065774999999</v>
      </c>
      <c r="EJ138" s="1570">
        <v>17.552385739000002</v>
      </c>
      <c r="EK138" s="1571">
        <v>31.992497615000001</v>
      </c>
      <c r="EL138" s="25">
        <v>65</v>
      </c>
      <c r="EM138" s="733">
        <v>197.92829272200001</v>
      </c>
      <c r="EN138" s="570">
        <v>69.475635108000006</v>
      </c>
      <c r="EO138" s="570">
        <v>11.119198976</v>
      </c>
      <c r="EP138" s="570">
        <v>13.611430057</v>
      </c>
      <c r="EQ138" s="570">
        <v>11.344169759</v>
      </c>
      <c r="ER138" s="570">
        <v>5.3625677170000001</v>
      </c>
      <c r="ES138" s="570">
        <v>0.108225668</v>
      </c>
      <c r="ET138" s="570">
        <v>5.0471603829999996</v>
      </c>
      <c r="EU138" s="570">
        <v>1.03457289</v>
      </c>
      <c r="EV138" s="734">
        <v>1.6182349279999999</v>
      </c>
      <c r="EW138" s="25">
        <v>65</v>
      </c>
      <c r="EX138" s="918">
        <v>38.410382088980001</v>
      </c>
      <c r="EY138" s="919">
        <v>15.03442079058</v>
      </c>
      <c r="EZ138" s="919">
        <v>41.782620593430003</v>
      </c>
      <c r="FA138" s="919">
        <v>0.53926606305999991</v>
      </c>
      <c r="FB138" s="919">
        <v>55.057032668630001</v>
      </c>
      <c r="FC138" s="919">
        <v>15.10009428577</v>
      </c>
      <c r="FD138" s="919">
        <v>7.4157420059499994</v>
      </c>
      <c r="FE138" s="919">
        <v>21.6397201684</v>
      </c>
      <c r="FF138" s="919">
        <v>9.0335330091900001</v>
      </c>
      <c r="FG138" s="920">
        <v>78.243929302859996</v>
      </c>
      <c r="FH138" s="25">
        <v>65</v>
      </c>
      <c r="FI138" s="848">
        <v>42430</v>
      </c>
      <c r="FJ138" s="19">
        <v>2409</v>
      </c>
      <c r="FK138" s="93">
        <v>1435</v>
      </c>
      <c r="FL138" s="20">
        <v>0</v>
      </c>
      <c r="FM138" s="25">
        <v>65</v>
      </c>
      <c r="FN138" s="19">
        <v>51</v>
      </c>
      <c r="FO138" s="93">
        <v>838</v>
      </c>
      <c r="FP138" s="93">
        <v>1544</v>
      </c>
      <c r="FQ138" s="93">
        <v>882</v>
      </c>
      <c r="FR138" s="93">
        <v>399</v>
      </c>
      <c r="FS138" s="93">
        <v>66</v>
      </c>
      <c r="FT138" s="93">
        <v>40</v>
      </c>
      <c r="FU138" s="93">
        <v>19</v>
      </c>
      <c r="FV138" s="93">
        <v>5</v>
      </c>
      <c r="FW138" s="917">
        <v>0</v>
      </c>
      <c r="FX138" s="25">
        <v>65</v>
      </c>
      <c r="FY138" s="975">
        <v>50</v>
      </c>
      <c r="FZ138" s="975">
        <v>811</v>
      </c>
      <c r="GA138" s="975">
        <v>581</v>
      </c>
      <c r="GB138" s="975">
        <v>157</v>
      </c>
      <c r="GC138" s="975">
        <v>517</v>
      </c>
      <c r="GD138" s="975">
        <v>177</v>
      </c>
      <c r="GE138" s="975">
        <v>875</v>
      </c>
      <c r="GF138" s="975">
        <v>166</v>
      </c>
      <c r="GG138" s="975">
        <v>54</v>
      </c>
      <c r="GH138" s="975">
        <v>391</v>
      </c>
      <c r="GI138" s="976">
        <v>65</v>
      </c>
      <c r="GJ138" s="25">
        <v>65</v>
      </c>
      <c r="GK138" s="19"/>
      <c r="GL138" s="20"/>
      <c r="GM138" s="25">
        <v>65</v>
      </c>
      <c r="GN138" s="19">
        <v>4711</v>
      </c>
      <c r="GO138" s="20">
        <v>1932</v>
      </c>
      <c r="GP138" s="25">
        <v>65</v>
      </c>
      <c r="GQ138" s="19">
        <v>32</v>
      </c>
      <c r="GR138" s="20">
        <v>31</v>
      </c>
      <c r="GS138" s="25">
        <v>65</v>
      </c>
      <c r="GT138" s="848">
        <v>42430</v>
      </c>
      <c r="GU138" s="733">
        <v>287.44500669108396</v>
      </c>
      <c r="GV138" s="570">
        <v>271.65567297400003</v>
      </c>
      <c r="GW138" s="570">
        <v>271.62549997400004</v>
      </c>
      <c r="GX138" s="570">
        <v>249.31344811800003</v>
      </c>
      <c r="GY138" s="570">
        <v>58.600646271999999</v>
      </c>
      <c r="GZ138" s="570">
        <v>2.2464346449999999</v>
      </c>
      <c r="HA138" s="570">
        <v>2.1706451820000003</v>
      </c>
      <c r="HB138" s="570">
        <v>147.51069768300005</v>
      </c>
      <c r="HC138" s="570">
        <v>36.668083215999999</v>
      </c>
      <c r="HD138" s="570">
        <v>2.1169411199999999</v>
      </c>
      <c r="HE138" s="570">
        <v>22.312051855999997</v>
      </c>
      <c r="HF138" s="570">
        <v>1.3462833289999998</v>
      </c>
      <c r="HG138" s="570">
        <v>6.8784816610000004</v>
      </c>
      <c r="HH138" s="570">
        <v>0.64074221900000006</v>
      </c>
      <c r="HI138" s="570">
        <v>5.7525392999999994E-2</v>
      </c>
      <c r="HJ138" s="570">
        <v>13.389019254000001</v>
      </c>
      <c r="HK138" s="570">
        <v>3.0172999999999998E-2</v>
      </c>
      <c r="HL138" s="570">
        <v>15.789333717083931</v>
      </c>
      <c r="HM138" s="570">
        <v>15.789333717083931</v>
      </c>
      <c r="HN138" s="570">
        <v>0</v>
      </c>
      <c r="HO138" s="570">
        <v>237.75830526536603</v>
      </c>
      <c r="HP138" s="570">
        <v>238.38036441236602</v>
      </c>
      <c r="HQ138" s="570">
        <v>190.07449047549997</v>
      </c>
      <c r="HR138" s="570">
        <v>125.622822617</v>
      </c>
      <c r="HS138" s="570">
        <v>7.463770351</v>
      </c>
      <c r="HT138" s="570">
        <v>4.0529130359999996</v>
      </c>
      <c r="HU138" s="570">
        <v>1.9553845400000001</v>
      </c>
      <c r="HV138" s="570">
        <v>2.0975284959999998</v>
      </c>
      <c r="HW138" s="570">
        <v>52.934984471500002</v>
      </c>
      <c r="HX138" s="570">
        <v>1.7588385325</v>
      </c>
      <c r="HY138" s="570">
        <v>9.0984958910000007</v>
      </c>
      <c r="HZ138" s="570">
        <v>0</v>
      </c>
      <c r="IA138" s="570">
        <v>0</v>
      </c>
      <c r="IB138" s="570">
        <v>48.305873936866064</v>
      </c>
      <c r="IC138" s="570">
        <v>10.286951928999999</v>
      </c>
      <c r="ID138" s="570">
        <v>1.8626669669999998</v>
      </c>
      <c r="IE138" s="570">
        <v>36.156255040866043</v>
      </c>
      <c r="IF138" s="570">
        <v>-0.62205914700000442</v>
      </c>
      <c r="IG138" s="570">
        <v>49.686701425717921</v>
      </c>
      <c r="IH138" s="570">
        <v>33.897367708633986</v>
      </c>
      <c r="II138" s="570">
        <v>74.106535785500029</v>
      </c>
      <c r="IJ138" s="570">
        <v>70.053622749500036</v>
      </c>
      <c r="IK138" s="570">
        <v>-45.218466470282067</v>
      </c>
      <c r="IL138" s="570">
        <v>-61.007800187365994</v>
      </c>
      <c r="IM138" s="570">
        <v>50.935784504782127</v>
      </c>
      <c r="IN138" s="570">
        <v>16.112390050782121</v>
      </c>
      <c r="IO138" s="570">
        <v>20.366921323782119</v>
      </c>
      <c r="IP138" s="570">
        <v>-4.2545312729999996</v>
      </c>
      <c r="IQ138" s="570">
        <v>0</v>
      </c>
      <c r="IR138" s="570">
        <v>34.823394454000002</v>
      </c>
      <c r="IS138" s="570">
        <v>23.225437094000004</v>
      </c>
      <c r="IT138" s="570">
        <v>11.597957359999999</v>
      </c>
      <c r="IU138" s="570">
        <v>0</v>
      </c>
      <c r="IV138" s="93">
        <v>65</v>
      </c>
      <c r="IW138" s="848">
        <v>42430</v>
      </c>
      <c r="IX138" s="1035"/>
      <c r="IY138" s="1035">
        <v>323.85781388900006</v>
      </c>
      <c r="IZ138" s="1035">
        <v>388.101821911</v>
      </c>
      <c r="JA138" s="1035">
        <v>0.31157468999999999</v>
      </c>
      <c r="JB138" s="1035">
        <v>1007.6974373394308</v>
      </c>
      <c r="JC138" s="1035">
        <v>168.24221014099999</v>
      </c>
      <c r="JD138" s="1035">
        <v>1500.109036059431</v>
      </c>
      <c r="JE138" s="1035">
        <v>1105.7701335845816</v>
      </c>
      <c r="JF138" s="1035">
        <v>2605.8791696440126</v>
      </c>
      <c r="JG138" s="1035"/>
      <c r="JH138" s="1035">
        <v>823.58451706976825</v>
      </c>
      <c r="JI138" s="1035">
        <v>-135.50939624600016</v>
      </c>
      <c r="JJ138" s="1035">
        <v>959.09391331576853</v>
      </c>
      <c r="JK138" s="1035">
        <v>2033.6743651472434</v>
      </c>
      <c r="JL138" s="1035">
        <v>35.218995739999997</v>
      </c>
      <c r="JM138" s="1035">
        <v>-22.365004260000006</v>
      </c>
      <c r="JN138" s="1035">
        <v>57.584000000000003</v>
      </c>
      <c r="JO138" s="1035">
        <v>1998.4553694072433</v>
      </c>
      <c r="JP138" s="1035">
        <v>3.543805876</v>
      </c>
      <c r="JQ138" s="1035">
        <v>1994.9115635312435</v>
      </c>
      <c r="JR138" s="1035">
        <v>379.99496468500001</v>
      </c>
      <c r="JS138" s="1035">
        <v>-128.61525211199998</v>
      </c>
      <c r="JT138" s="1036">
        <v>2605.8791696440117</v>
      </c>
      <c r="JU138" s="29">
        <v>65</v>
      </c>
      <c r="JV138" s="1037"/>
      <c r="JW138" s="1526">
        <f>VLOOKUP($IW138,Base_Mensuelle!$OF$68:$RM$679,HLOOKUP(JW$73,Base_Mensuelle!$PE$67:$QE$680,614,0))</f>
        <v>-135.50939624600016</v>
      </c>
      <c r="JX138" s="1526">
        <f>VLOOKUP($IW138,Base_Mensuelle!$OF$68:$RM$679,HLOOKUP(JX$73,Base_Mensuelle!$PE$67:$QE$680,614,0))</f>
        <v>665.75329952799996</v>
      </c>
      <c r="JY138" s="1526">
        <f>VLOOKUP($IW138,Base_Mensuelle!$OF$68:$RM$679,HLOOKUP(JY$73,Base_Mensuelle!$PE$67:$QE$680,614,0))</f>
        <v>801.26269577400012</v>
      </c>
      <c r="JZ138" s="1526">
        <f>VLOOKUP($IW138,Base_Mensuelle!$OF$68:$RM$679,HLOOKUP(JZ$73,Base_Mensuelle!$PE$67:$QE$680,614,0))</f>
        <v>679.73005384500004</v>
      </c>
      <c r="KA138" s="1526">
        <f>VLOOKUP($IW138,Base_Mensuelle!$OF$68:$RM$679,HLOOKUP(KA$73,Base_Mensuelle!$PE$67:$QE$680,614,0))</f>
        <v>-18.299996238000006</v>
      </c>
      <c r="KB138" s="1526">
        <f>VLOOKUP($IW138,Base_Mensuelle!$OF$68:$RM$679,HLOOKUP(KB$73,Base_Mensuelle!$PE$67:$QE$680,614,0))</f>
        <v>129.399907826</v>
      </c>
      <c r="KC138" s="1526">
        <f>VLOOKUP($IW138,Base_Mensuelle!$OF$68:$RM$679,HLOOKUP(KC$73,Base_Mensuelle!$PE$67:$QE$680,614,0))</f>
        <v>147.69990406400001</v>
      </c>
      <c r="KD138" s="1526">
        <f>VLOOKUP($IW138,Base_Mensuelle!$OF$68:$RM$679,HLOOKUP(KD$73,Base_Mensuelle!$PE$67:$QE$680,614,0))</f>
        <v>3.543805876</v>
      </c>
      <c r="KE138" s="1526">
        <f>VLOOKUP($IW138,Base_Mensuelle!$OF$68:$RM$679,HLOOKUP(KE$73,Base_Mensuelle!$PE$67:$QE$680,614,0))</f>
        <v>0</v>
      </c>
      <c r="KF138" s="1526">
        <f>VLOOKUP($IW138,Base_Mensuelle!$OF$68:$RM$679,HLOOKUP(KF$73,Base_Mensuelle!$PE$67:$QE$680,614,0))</f>
        <v>0</v>
      </c>
      <c r="KG138" s="1526">
        <f>VLOOKUP($IW138,Base_Mensuelle!$OF$68:$RM$679,HLOOKUP(KG$73,Base_Mensuelle!$PE$67:$QE$680,614,0))</f>
        <v>1.00733E-4</v>
      </c>
      <c r="KH138" s="1526">
        <f>VLOOKUP($IW138,Base_Mensuelle!$OF$68:$RM$679,HLOOKUP(KH$73,Base_Mensuelle!$PE$67:$QE$680,614,0))</f>
        <v>3.5437051429999999</v>
      </c>
      <c r="KI138" s="1526">
        <f>VLOOKUP($IW138,Base_Mensuelle!$OF$68:$RM$679,HLOOKUP(KI$73,Base_Mensuelle!$PE$67:$QE$680,614,0))</f>
        <v>524.88540785099997</v>
      </c>
      <c r="KJ138" s="1526">
        <f>VLOOKUP($IW138,Base_Mensuelle!$OF$68:$RM$679,HLOOKUP(KJ$73,Base_Mensuelle!$PE$67:$QE$680,614,0))</f>
        <v>388.101821911</v>
      </c>
      <c r="KK138" s="1526">
        <f>VLOOKUP($IW138,Base_Mensuelle!$OF$68:$RM$679,HLOOKUP(KK$73,Base_Mensuelle!$PE$67:$QE$680,614,0))</f>
        <v>136.20591717299999</v>
      </c>
      <c r="KL138" s="1526">
        <f>VLOOKUP($IW138,Base_Mensuelle!$OF$68:$RM$679,HLOOKUP(KL$73,Base_Mensuelle!$PE$67:$QE$680,614,0))</f>
        <v>0.57766876700000003</v>
      </c>
      <c r="KM138" s="1526">
        <f>VLOOKUP($IW138,Base_Mensuelle!$OF$68:$RM$679,HLOOKUP(KM$73,Base_Mensuelle!$PE$67:$QE$680,614,0))</f>
        <v>0</v>
      </c>
      <c r="KN138" s="1526">
        <f>VLOOKUP($IW138,Base_Mensuelle!$OF$68:$RM$679,HLOOKUP(KN$73,Base_Mensuelle!$PE$67:$QE$680,614,0))</f>
        <v>0.22365547899999999</v>
      </c>
      <c r="KO138" s="1526">
        <f>VLOOKUP($IW138,Base_Mensuelle!$OF$68:$RM$679,HLOOKUP(KO$73,Base_Mensuelle!$PE$67:$QE$680,614,0))</f>
        <v>0</v>
      </c>
      <c r="KP138" s="1526">
        <f>VLOOKUP($IW138,Base_Mensuelle!$OF$68:$RM$679,HLOOKUP(KP$73,Base_Mensuelle!$PE$67:$QE$680,614,0))</f>
        <v>0</v>
      </c>
      <c r="KQ138" s="1526">
        <f>VLOOKUP($IW138,Base_Mensuelle!$OF$68:$RM$679,HLOOKUP(KQ$73,Base_Mensuelle!$PE$67:$QE$680,614,0))</f>
        <v>0.22365547899999999</v>
      </c>
      <c r="KR138" s="1526">
        <f>VLOOKUP($IW138,Base_Mensuelle!$OF$68:$RM$679,HLOOKUP(KR$73,Base_Mensuelle!$PE$67:$QE$680,614,0))</f>
        <v>0</v>
      </c>
      <c r="KS138" s="1526">
        <f>VLOOKUP($IW138,Base_Mensuelle!$OF$68:$RM$679,HLOOKUP(KS$73,Base_Mensuelle!$PE$67:$QE$680,614,0))</f>
        <v>0</v>
      </c>
      <c r="KT138" s="1526">
        <f>VLOOKUP($IW138,Base_Mensuelle!$OF$68:$RM$679,HLOOKUP(KT$73,Base_Mensuelle!$PE$67:$QE$680,614,0))</f>
        <v>0</v>
      </c>
      <c r="KU138" s="1526">
        <f>VLOOKUP($IW138,Base_Mensuelle!$OF$68:$RM$679,HLOOKUP(KU$73,Base_Mensuelle!$PE$67:$QE$680,614,0))</f>
        <v>4.2393092059999997</v>
      </c>
      <c r="KV138" s="1526">
        <f>VLOOKUP($IW138,Base_Mensuelle!$OF$68:$RM$679,HLOOKUP(KV$73,Base_Mensuelle!$PE$67:$QE$680,614,0))</f>
        <v>0.11609470099999976</v>
      </c>
      <c r="KW138" s="1036"/>
      <c r="KX138" s="29">
        <v>65</v>
      </c>
      <c r="KY138" s="1037"/>
      <c r="KZ138" s="182">
        <f>VLOOKUP($IW138,Base_Mensuelle!$OF$68:$RM$679,HLOOKUP(KZ$73,Base_Mensuelle!$QG$67:$RM$680,614,0))</f>
        <v>959.09391331576853</v>
      </c>
      <c r="LA138" s="182">
        <f>VLOOKUP($IW138,Base_Mensuelle!$OF$68:$RM$679,HLOOKUP(LA$73,Base_Mensuelle!$QG$67:$RM$680,614,0))</f>
        <v>1224.6824364687559</v>
      </c>
      <c r="LB138" s="182">
        <f>VLOOKUP($IW138,Base_Mensuelle!$OF$68:$RM$679,HLOOKUP(LB$73,Base_Mensuelle!$QG$67:$RM$680,614,0))</f>
        <v>-265.58852315298736</v>
      </c>
      <c r="LC138" s="182">
        <f>VLOOKUP($IW138,Base_Mensuelle!$OF$68:$RM$679,HLOOKUP(LC$73,Base_Mensuelle!$QG$67:$RM$680,614,0))</f>
        <v>198.69899999999998</v>
      </c>
      <c r="LD138" s="182">
        <f>VLOOKUP($IW138,Base_Mensuelle!$OF$68:$RM$679,HLOOKUP(LD$73,Base_Mensuelle!$QG$67:$RM$680,614,0))</f>
        <v>60.179000000000002</v>
      </c>
      <c r="LE138" s="182">
        <f>VLOOKUP($IW138,Base_Mensuelle!$OF$68:$RM$679,HLOOKUP(LE$73,Base_Mensuelle!$QG$67:$RM$680,614,0))</f>
        <v>138.51999999999998</v>
      </c>
      <c r="LF138" s="182">
        <f>VLOOKUP($IW138,Base_Mensuelle!$OF$68:$RM$679,HLOOKUP(LF$73,Base_Mensuelle!$QG$67:$RM$680,614,0))</f>
        <v>0</v>
      </c>
      <c r="LG138" s="182">
        <f>VLOOKUP($IW138,Base_Mensuelle!$OF$68:$RM$679,HLOOKUP(LG$73,Base_Mensuelle!$QG$67:$RM$680,614,0))</f>
        <v>57.584000000000003</v>
      </c>
      <c r="LH138" s="182">
        <f>VLOOKUP($IW138,Base_Mensuelle!$OF$68:$RM$679,HLOOKUP(LH$73,Base_Mensuelle!$QG$67:$RM$680,614,0))</f>
        <v>317.56200000000001</v>
      </c>
      <c r="LI138" s="182">
        <f>VLOOKUP($IW138,Base_Mensuelle!$OF$68:$RM$679,HLOOKUP(LI$73,Base_Mensuelle!$QG$67:$RM$680,614,0))</f>
        <v>-259.97800000000001</v>
      </c>
      <c r="LJ138" s="182">
        <f>VLOOKUP($IW138,Base_Mensuelle!$OF$68:$RM$679,HLOOKUP(LJ$73,Base_Mensuelle!$QG$67:$RM$680,614,0))</f>
        <v>1994.9115635312435</v>
      </c>
      <c r="LK138" s="182">
        <f>VLOOKUP($IW138,Base_Mensuelle!$OF$68:$RM$679,HLOOKUP(LK$73,Base_Mensuelle!$QG$67:$RM$680,614,0))</f>
        <v>19.123682414141911</v>
      </c>
      <c r="LL138" s="182">
        <f>VLOOKUP($IW138,Base_Mensuelle!$OF$68:$RM$679,HLOOKUP(LL$73,Base_Mensuelle!$QG$67:$RM$680,614,0))</f>
        <v>0</v>
      </c>
      <c r="LM138" s="182">
        <f>VLOOKUP($IW138,Base_Mensuelle!$OF$68:$RM$679,HLOOKUP(LM$73,Base_Mensuelle!$QG$67:$RM$680,614,0))</f>
        <v>187.15700000000001</v>
      </c>
      <c r="LN138" s="182">
        <f>VLOOKUP($IW138,Base_Mensuelle!$OF$68:$RM$679,HLOOKUP(LN$73,Base_Mensuelle!$QG$67:$RM$680,614,0))</f>
        <v>1788.6308811171016</v>
      </c>
      <c r="LO138" s="182">
        <f>VLOOKUP($IW138,Base_Mensuelle!$OF$68:$RM$679,HLOOKUP(LO$73,Base_Mensuelle!$QG$67:$RM$680,614,0))</f>
        <v>0</v>
      </c>
      <c r="LP138" s="182">
        <f>VLOOKUP($IW138,Base_Mensuelle!$OF$68:$RM$679,HLOOKUP(LP$73,Base_Mensuelle!$QG$67:$RM$680,614,0))</f>
        <v>669.16700000000003</v>
      </c>
      <c r="LQ138" s="182">
        <f>VLOOKUP($IW138,Base_Mensuelle!$OF$68:$RM$679,HLOOKUP(LQ$73,Base_Mensuelle!$QG$67:$RM$680,614,0))</f>
        <v>1007.6974373394308</v>
      </c>
      <c r="LR138" s="182">
        <f>VLOOKUP($IW138,Base_Mensuelle!$OF$68:$RM$679,HLOOKUP(LR$73,Base_Mensuelle!$QG$67:$RM$680,614,0))</f>
        <v>1105.5040395075816</v>
      </c>
      <c r="LS138" s="182">
        <f>VLOOKUP($IW138,Base_Mensuelle!$OF$68:$RM$679,HLOOKUP(LS$73,Base_Mensuelle!$QG$67:$RM$680,614,0))</f>
        <v>0</v>
      </c>
      <c r="LT138" s="182">
        <f>VLOOKUP($IW138,Base_Mensuelle!$OF$68:$RM$679,HLOOKUP(LT$73,Base_Mensuelle!$QG$67:$RM$680,614,0))</f>
        <v>57.475999999999999</v>
      </c>
      <c r="LU138" s="182">
        <f>VLOOKUP($IW138,Base_Mensuelle!$OF$68:$RM$679,HLOOKUP(LU$73,Base_Mensuelle!$QG$67:$RM$680,614,0))</f>
        <v>3.2050000000000001</v>
      </c>
      <c r="LV138" s="182">
        <f>VLOOKUP($IW138,Base_Mensuelle!$OF$68:$RM$679,HLOOKUP(LV$73,Base_Mensuelle!$QG$67:$RM$680,614,0))</f>
        <v>15.167</v>
      </c>
      <c r="LW138" s="182">
        <f>VLOOKUP($IW138,Base_Mensuelle!$OF$68:$RM$679,HLOOKUP(LW$73,Base_Mensuelle!$QG$67:$RM$680,614,0))</f>
        <v>0</v>
      </c>
      <c r="LX138" s="182">
        <f>VLOOKUP($IW138,Base_Mensuelle!$OF$68:$RM$679,HLOOKUP(LX$73,Base_Mensuelle!$QG$67:$RM$680,614,0))</f>
        <v>0</v>
      </c>
      <c r="LY138" s="182">
        <f>VLOOKUP($IW138,Base_Mensuelle!$OF$68:$RM$679,HLOOKUP(LY$73,Base_Mensuelle!$QG$67:$RM$680,614,0))</f>
        <v>299.68400000000003</v>
      </c>
      <c r="LZ138" s="182">
        <f>VLOOKUP($IW138,Base_Mensuelle!$OF$68:$RM$679,HLOOKUP(LZ$73,Base_Mensuelle!$QG$67:$RM$680,614,0))</f>
        <v>52.388000000000005</v>
      </c>
      <c r="MA138" s="182">
        <f>VLOOKUP($IW138,Base_Mensuelle!$OF$68:$RM$679,HLOOKUP(MA$73,Base_Mensuelle!$QG$67:$RM$680,614,0))</f>
        <v>0</v>
      </c>
      <c r="MB138" s="182">
        <f>VLOOKUP($IW138,Base_Mensuelle!$OF$68:$RM$679,HLOOKUP(MB$73,Base_Mensuelle!$QG$67:$RM$680,614,0))</f>
        <v>0</v>
      </c>
      <c r="MC138" s="182">
        <f>VLOOKUP($IW138,Base_Mensuelle!$OF$68:$RM$679,HLOOKUP(MC$73,Base_Mensuelle!$QG$67:$RM$680,614,0))</f>
        <v>0</v>
      </c>
      <c r="MD138" s="182">
        <f>VLOOKUP($IW138,Base_Mensuelle!$OF$68:$RM$679,HLOOKUP(MD$73,Base_Mensuelle!$QG$67:$RM$680,614,0))</f>
        <v>0</v>
      </c>
      <c r="ME138" s="182">
        <f>VLOOKUP($IW138,Base_Mensuelle!$OF$68:$RM$679,HLOOKUP(ME$73,Base_Mensuelle!$QG$67:$RM$680,614,0))</f>
        <v>0</v>
      </c>
      <c r="MF138" s="182"/>
      <c r="MG138" s="182"/>
      <c r="MH138" s="290"/>
      <c r="MI138" s="29">
        <v>65</v>
      </c>
      <c r="MJ138" s="29" t="str">
        <f t="shared" si="82"/>
        <v>Trimestre 12016</v>
      </c>
      <c r="MK138" s="848">
        <v>42430</v>
      </c>
      <c r="ML138" s="1991">
        <v>104.61394395236577</v>
      </c>
      <c r="MM138" s="1991">
        <v>110.65471952286067</v>
      </c>
      <c r="MN138" s="1991">
        <v>100.03064874999934</v>
      </c>
      <c r="MO138" s="1991">
        <v>100</v>
      </c>
      <c r="MP138" s="1991">
        <v>104.61394395236577</v>
      </c>
      <c r="MQ138" s="1991">
        <v>110.65992433467785</v>
      </c>
      <c r="MR138" s="1991">
        <v>110.2</v>
      </c>
      <c r="MS138" s="1991">
        <v>100.02883027292383</v>
      </c>
      <c r="MT138" s="1991">
        <v>100.00000000000004</v>
      </c>
      <c r="MU138" s="1991">
        <v>100</v>
      </c>
      <c r="MV138" s="1991">
        <v>100.29950046728167</v>
      </c>
      <c r="MW138" s="1991">
        <v>100</v>
      </c>
      <c r="MX138" s="1991">
        <v>98.41269841269839</v>
      </c>
      <c r="MY138" s="1991">
        <v>100.00000000000009</v>
      </c>
      <c r="MZ138" s="1991">
        <v>100.16605741605126</v>
      </c>
      <c r="NA138" s="1991">
        <v>100.00000000000009</v>
      </c>
      <c r="NB138" s="1991">
        <v>98.82907354341387</v>
      </c>
      <c r="NC138" s="1991">
        <v>127.11178056107441</v>
      </c>
      <c r="ND138" s="1991">
        <v>97.826203786503086</v>
      </c>
      <c r="NE138" s="1991">
        <v>100.00000000000007</v>
      </c>
      <c r="NF138" s="1991">
        <v>100.00000000000003</v>
      </c>
      <c r="NG138" s="1991">
        <v>100.00000000000009</v>
      </c>
      <c r="NH138" s="1991">
        <v>100.00000000000006</v>
      </c>
      <c r="NI138" s="1991">
        <v>100</v>
      </c>
      <c r="NJ138" s="1991">
        <v>100</v>
      </c>
      <c r="NK138" s="1991">
        <v>104.5447471024868</v>
      </c>
      <c r="NL138" s="29">
        <v>65</v>
      </c>
    </row>
    <row r="139" spans="1:376">
      <c r="A139" s="41">
        <f t="shared" si="80"/>
        <v>2016</v>
      </c>
      <c r="B139" s="785">
        <v>42522</v>
      </c>
      <c r="C139" s="733">
        <v>105.77127332967264</v>
      </c>
      <c r="D139" s="1547">
        <v>246.71188194288419</v>
      </c>
      <c r="E139" s="570">
        <v>156.530225615707</v>
      </c>
      <c r="F139" s="1547">
        <v>33.126823968441798</v>
      </c>
      <c r="G139" s="1547">
        <v>0</v>
      </c>
      <c r="H139" s="1547">
        <v>87.841440241306287</v>
      </c>
      <c r="I139" s="570">
        <v>31.631231786938653</v>
      </c>
      <c r="J139" s="570">
        <v>113.4538504172009</v>
      </c>
      <c r="K139" s="570">
        <v>188.53427703641597</v>
      </c>
      <c r="L139" s="570">
        <v>221.02722869542981</v>
      </c>
      <c r="M139" s="734">
        <v>103.89454776945522</v>
      </c>
      <c r="N139" s="25">
        <v>66</v>
      </c>
      <c r="O139" s="889">
        <f t="shared" ref="O139:O202" si="85">YEAR(Q139)</f>
        <v>2016</v>
      </c>
      <c r="P139" s="29" t="str">
        <f t="shared" si="81"/>
        <v>Trimestre 22016</v>
      </c>
      <c r="Q139" s="848">
        <v>42522</v>
      </c>
      <c r="R139" s="733">
        <v>8.5210355900000003</v>
      </c>
      <c r="S139" s="570">
        <v>18.773</v>
      </c>
      <c r="T139" s="570">
        <v>1185.0964784936048</v>
      </c>
      <c r="U139" s="734">
        <v>27.315000000000001</v>
      </c>
      <c r="V139" s="25">
        <v>66</v>
      </c>
      <c r="W139" s="733">
        <v>6654</v>
      </c>
      <c r="X139" s="570">
        <v>5630</v>
      </c>
      <c r="Y139" s="570">
        <v>538.59242085756887</v>
      </c>
      <c r="Z139" s="570">
        <v>257.73455609461604</v>
      </c>
      <c r="AA139" s="570">
        <v>40.899000000000001</v>
      </c>
      <c r="AB139" s="570">
        <v>110.746</v>
      </c>
      <c r="AC139" s="570">
        <v>679.524</v>
      </c>
      <c r="AD139" s="570">
        <v>288.79300000000001</v>
      </c>
      <c r="AE139" s="734">
        <v>22.161578000000002</v>
      </c>
      <c r="AF139" s="25">
        <v>66</v>
      </c>
      <c r="AG139" s="733">
        <v>76.676020557460873</v>
      </c>
      <c r="AH139" s="570">
        <v>26.652312574858783</v>
      </c>
      <c r="AI139" s="570">
        <v>19.348673884062197</v>
      </c>
      <c r="AJ139" s="570">
        <v>8.3009514402158118</v>
      </c>
      <c r="AK139" s="570">
        <v>12.051830710015246</v>
      </c>
      <c r="AL139" s="570">
        <v>5.6051992975403282</v>
      </c>
      <c r="AM139" s="570">
        <v>1.1256410741866318</v>
      </c>
      <c r="AN139" s="734">
        <v>4.0218854913703588</v>
      </c>
      <c r="AO139" s="733">
        <v>59.127516460795306</v>
      </c>
      <c r="AP139" s="570">
        <v>17.51908287951909</v>
      </c>
      <c r="AQ139" s="570">
        <v>1.5428077272763261</v>
      </c>
      <c r="AR139" s="570">
        <v>7.8185410884912194</v>
      </c>
      <c r="AS139" s="734">
        <v>0</v>
      </c>
      <c r="AT139" s="733">
        <v>6.6454847070641687</v>
      </c>
      <c r="AU139" s="570">
        <v>-13.994330742423234</v>
      </c>
      <c r="AV139" s="734">
        <v>-11.176106624113451</v>
      </c>
      <c r="AW139" s="733">
        <v>-29.491752400387497</v>
      </c>
      <c r="AX139" s="570">
        <v>28.083039840571491</v>
      </c>
      <c r="AY139" s="570">
        <v>2.4031817841091581</v>
      </c>
      <c r="AZ139" s="570">
        <v>3.2201859727674638</v>
      </c>
      <c r="BA139" s="570">
        <v>1.7071188524954151</v>
      </c>
      <c r="BB139" s="570">
        <v>1.9785798596000017</v>
      </c>
      <c r="BC139" s="734">
        <v>14.130434782608695</v>
      </c>
      <c r="BD139" s="179">
        <v>88.689688298651305</v>
      </c>
      <c r="BE139" s="99">
        <v>-13.202711185572134</v>
      </c>
      <c r="BF139" s="99">
        <v>6.3509394499807748</v>
      </c>
      <c r="BG139" s="99">
        <v>46.956174715557381</v>
      </c>
      <c r="BH139" s="99">
        <v>23.392754043492577</v>
      </c>
      <c r="BI139" s="99">
        <v>5.8196815276273037</v>
      </c>
      <c r="BJ139" s="99">
        <v>14.499352326381537</v>
      </c>
      <c r="BK139" s="132">
        <v>3.2916068916575196</v>
      </c>
      <c r="BL139" s="179">
        <v>63.484188418606657</v>
      </c>
      <c r="BM139" s="99">
        <v>-29.311141153251938</v>
      </c>
      <c r="BN139" s="99">
        <v>-7.4044163196177077</v>
      </c>
      <c r="BO139" s="99">
        <v>20.071372200172469</v>
      </c>
      <c r="BP139" s="99">
        <v>30</v>
      </c>
      <c r="BQ139" s="132">
        <v>20</v>
      </c>
      <c r="BR139" s="179">
        <v>35.714654988552319</v>
      </c>
      <c r="BS139" s="99">
        <v>-29.476752004753582</v>
      </c>
      <c r="BT139" s="99">
        <v>-25.235175627442025</v>
      </c>
      <c r="BU139" s="132">
        <v>-32.063730544854238</v>
      </c>
      <c r="BV139" s="179">
        <v>19.87500286605237</v>
      </c>
      <c r="BW139" s="99">
        <v>-38.109029493160612</v>
      </c>
      <c r="BX139" s="99">
        <v>-5.2012063933565127</v>
      </c>
      <c r="BY139" s="99">
        <v>1.1871723704209742</v>
      </c>
      <c r="BZ139" s="99">
        <v>-4.9837873676070998</v>
      </c>
      <c r="CA139" s="99">
        <v>20</v>
      </c>
      <c r="CB139" s="132">
        <v>20</v>
      </c>
      <c r="CC139" s="25">
        <v>66</v>
      </c>
      <c r="CD139" s="181">
        <v>75615</v>
      </c>
      <c r="CE139" s="182">
        <v>14943956</v>
      </c>
      <c r="CF139" s="290">
        <v>3375367</v>
      </c>
      <c r="CG139" s="25">
        <v>66</v>
      </c>
      <c r="CH139" s="19">
        <v>20731</v>
      </c>
      <c r="CI139" s="93">
        <v>3647</v>
      </c>
      <c r="CJ139" s="93">
        <v>10263</v>
      </c>
      <c r="CK139" s="93">
        <v>10263</v>
      </c>
      <c r="CL139" s="93">
        <v>5729</v>
      </c>
      <c r="CM139" s="93">
        <v>821</v>
      </c>
      <c r="CN139" s="93">
        <v>2421</v>
      </c>
      <c r="CO139" s="93">
        <v>2305</v>
      </c>
      <c r="CP139" s="93">
        <v>1785</v>
      </c>
      <c r="CQ139" s="93">
        <v>1081</v>
      </c>
      <c r="CR139" s="214">
        <v>85189</v>
      </c>
      <c r="CS139" s="20">
        <v>123775</v>
      </c>
      <c r="CT139" s="25">
        <v>66</v>
      </c>
      <c r="CU139" s="19">
        <v>14803</v>
      </c>
      <c r="CV139" s="93">
        <v>80779</v>
      </c>
      <c r="CW139" s="93">
        <v>14683</v>
      </c>
      <c r="CX139" s="93">
        <v>792</v>
      </c>
      <c r="CY139" s="93">
        <v>743</v>
      </c>
      <c r="CZ139" s="93">
        <v>830</v>
      </c>
      <c r="DA139" s="93">
        <v>11145</v>
      </c>
      <c r="DB139" s="20">
        <v>123775</v>
      </c>
      <c r="DC139" s="25">
        <v>66</v>
      </c>
      <c r="DD139" s="785">
        <v>42522</v>
      </c>
      <c r="DE139" s="733">
        <v>338.77463013300002</v>
      </c>
      <c r="DF139" s="734">
        <v>288.12609800000001</v>
      </c>
      <c r="DG139" s="25">
        <v>66</v>
      </c>
      <c r="DH139" s="733">
        <v>546.65741734029996</v>
      </c>
      <c r="DI139" s="734">
        <v>1419.5543270000001</v>
      </c>
      <c r="DJ139" s="25">
        <v>66</v>
      </c>
      <c r="DK139" s="733">
        <v>338.77463013300002</v>
      </c>
      <c r="DL139" s="734">
        <v>546.65741734029996</v>
      </c>
      <c r="DM139" s="733">
        <v>-207.88278720729994</v>
      </c>
      <c r="DN139" s="734">
        <v>61.972017462283745</v>
      </c>
      <c r="DO139" s="25">
        <v>66</v>
      </c>
      <c r="DP139" s="733">
        <v>278.01536757023177</v>
      </c>
      <c r="DQ139" s="570">
        <v>206.1716051542769</v>
      </c>
      <c r="DR139" s="734">
        <v>573.18874589511006</v>
      </c>
      <c r="DS139" s="25">
        <v>66</v>
      </c>
      <c r="DT139" s="733">
        <v>96.920113093304863</v>
      </c>
      <c r="DU139" s="570">
        <v>290.69710596209075</v>
      </c>
      <c r="DV139" s="734">
        <v>281.74396385742256</v>
      </c>
      <c r="DW139" s="25">
        <v>66</v>
      </c>
      <c r="DX139" s="733">
        <v>149.38769701701142</v>
      </c>
      <c r="DY139" s="734">
        <v>39.232488279484237</v>
      </c>
      <c r="DZ139" s="25">
        <v>66</v>
      </c>
      <c r="EA139" s="733">
        <v>201.02390523599999</v>
      </c>
      <c r="EB139" s="570">
        <v>29.530590531999998</v>
      </c>
      <c r="EC139" s="570">
        <v>14.210675085</v>
      </c>
      <c r="ED139" s="570">
        <v>2.7847862610000003</v>
      </c>
      <c r="EE139" s="734">
        <v>57.392680886000001</v>
      </c>
      <c r="EF139" s="25">
        <v>66</v>
      </c>
      <c r="EG139" s="1569">
        <v>103.08707701179</v>
      </c>
      <c r="EH139" s="1570">
        <v>37.109589390000004</v>
      </c>
      <c r="EI139" s="1570">
        <v>6.4707926010000003</v>
      </c>
      <c r="EJ139" s="1570">
        <v>14.448756599000001</v>
      </c>
      <c r="EK139" s="1571">
        <v>7.7467892449999995</v>
      </c>
      <c r="EL139" s="25">
        <v>66</v>
      </c>
      <c r="EM139" s="733">
        <v>198.36904660799999</v>
      </c>
      <c r="EN139" s="570">
        <v>30.000346927999999</v>
      </c>
      <c r="EO139" s="570">
        <v>10.957035693</v>
      </c>
      <c r="EP139" s="570">
        <v>14.955317603999999</v>
      </c>
      <c r="EQ139" s="570">
        <v>3.4341261099999998</v>
      </c>
      <c r="ER139" s="570">
        <v>15.301798221</v>
      </c>
      <c r="ES139" s="570">
        <v>12.602753968</v>
      </c>
      <c r="ET139" s="570">
        <v>6.3893729749999997</v>
      </c>
      <c r="EU139" s="570">
        <v>0.43949959100000002</v>
      </c>
      <c r="EV139" s="734">
        <v>3.836856069</v>
      </c>
      <c r="EW139" s="25">
        <v>66</v>
      </c>
      <c r="EX139" s="918">
        <v>49.055095917980005</v>
      </c>
      <c r="EY139" s="919">
        <v>16.103288070729999</v>
      </c>
      <c r="EZ139" s="919">
        <v>42.639764397769994</v>
      </c>
      <c r="FA139" s="919">
        <v>0.25690156854000001</v>
      </c>
      <c r="FB139" s="919">
        <v>74.520125253179998</v>
      </c>
      <c r="FC139" s="919">
        <v>28.013541144089999</v>
      </c>
      <c r="FD139" s="919">
        <v>4.4226738462700004</v>
      </c>
      <c r="FE139" s="919">
        <v>23.904338110729999</v>
      </c>
      <c r="FF139" s="919">
        <v>13.078559526709999</v>
      </c>
      <c r="FG139" s="920">
        <v>33.17631944667</v>
      </c>
      <c r="FH139" s="25">
        <v>66</v>
      </c>
      <c r="FI139" s="848">
        <v>42522</v>
      </c>
      <c r="FJ139" s="19">
        <v>2285</v>
      </c>
      <c r="FK139" s="93">
        <v>1620</v>
      </c>
      <c r="FL139" s="20">
        <v>0</v>
      </c>
      <c r="FM139" s="25">
        <v>66</v>
      </c>
      <c r="FN139" s="19">
        <v>49</v>
      </c>
      <c r="FO139" s="93">
        <v>980</v>
      </c>
      <c r="FP139" s="93">
        <v>1520</v>
      </c>
      <c r="FQ139" s="93">
        <v>820</v>
      </c>
      <c r="FR139" s="93">
        <v>380</v>
      </c>
      <c r="FS139" s="93">
        <v>103</v>
      </c>
      <c r="FT139" s="93">
        <v>26</v>
      </c>
      <c r="FU139" s="93">
        <v>10</v>
      </c>
      <c r="FV139" s="93">
        <v>16</v>
      </c>
      <c r="FW139" s="917">
        <v>1</v>
      </c>
      <c r="FX139" s="25">
        <v>66</v>
      </c>
      <c r="FY139" s="975">
        <v>25</v>
      </c>
      <c r="FZ139" s="975">
        <v>574</v>
      </c>
      <c r="GA139" s="975">
        <v>661</v>
      </c>
      <c r="GB139" s="975">
        <v>111</v>
      </c>
      <c r="GC139" s="975">
        <v>662</v>
      </c>
      <c r="GD139" s="975">
        <v>122</v>
      </c>
      <c r="GE139" s="975">
        <v>1002</v>
      </c>
      <c r="GF139" s="975">
        <v>199</v>
      </c>
      <c r="GG139" s="975">
        <v>64</v>
      </c>
      <c r="GH139" s="975">
        <v>423</v>
      </c>
      <c r="GI139" s="976">
        <v>62</v>
      </c>
      <c r="GJ139" s="25">
        <v>66</v>
      </c>
      <c r="GK139" s="19"/>
      <c r="GL139" s="20"/>
      <c r="GM139" s="25">
        <v>66</v>
      </c>
      <c r="GN139" s="19">
        <v>4468</v>
      </c>
      <c r="GO139" s="20">
        <v>1851</v>
      </c>
      <c r="GP139" s="25">
        <v>66</v>
      </c>
      <c r="GQ139" s="19">
        <v>31</v>
      </c>
      <c r="GR139" s="20">
        <v>31</v>
      </c>
      <c r="GS139" s="25">
        <v>66</v>
      </c>
      <c r="GT139" s="848">
        <v>42522</v>
      </c>
      <c r="GU139" s="733">
        <v>652.96037375645574</v>
      </c>
      <c r="GV139" s="570">
        <v>609.51516099376204</v>
      </c>
      <c r="GW139" s="570">
        <v>609.48498799376205</v>
      </c>
      <c r="GX139" s="570">
        <v>541.29754788876198</v>
      </c>
      <c r="GY139" s="570">
        <v>144.66035413499998</v>
      </c>
      <c r="GZ139" s="570">
        <v>4.476341799000001</v>
      </c>
      <c r="HA139" s="570">
        <v>4.7339612047619051</v>
      </c>
      <c r="HB139" s="570">
        <v>301.82073640099998</v>
      </c>
      <c r="HC139" s="570">
        <v>81.103623539000012</v>
      </c>
      <c r="HD139" s="570">
        <v>4.5025308100000005</v>
      </c>
      <c r="HE139" s="570">
        <v>68.187440104999993</v>
      </c>
      <c r="HF139" s="570">
        <v>2.6803910039999996</v>
      </c>
      <c r="HG139" s="570">
        <v>15.355790890999998</v>
      </c>
      <c r="HH139" s="570">
        <v>1.4621447650000001</v>
      </c>
      <c r="HI139" s="570">
        <v>19.025589172</v>
      </c>
      <c r="HJ139" s="570">
        <v>29.663524273</v>
      </c>
      <c r="HK139" s="570">
        <v>3.0172999999999998E-2</v>
      </c>
      <c r="HL139" s="570">
        <v>43.445212762693806</v>
      </c>
      <c r="HM139" s="570">
        <v>43.445212762693806</v>
      </c>
      <c r="HN139" s="570">
        <v>0</v>
      </c>
      <c r="HO139" s="570">
        <v>716.57792541184097</v>
      </c>
      <c r="HP139" s="570">
        <v>717.53195295584078</v>
      </c>
      <c r="HQ139" s="570">
        <v>516.75403174836504</v>
      </c>
      <c r="HR139" s="570">
        <v>256.88404556299997</v>
      </c>
      <c r="HS139" s="570">
        <v>61.916794244000002</v>
      </c>
      <c r="HT139" s="570">
        <v>26.840648456864955</v>
      </c>
      <c r="HU139" s="570">
        <v>19.676487499</v>
      </c>
      <c r="HV139" s="570">
        <v>7.1641609578649534</v>
      </c>
      <c r="HW139" s="570">
        <v>171.11254348449998</v>
      </c>
      <c r="HX139" s="570">
        <v>4.7779930000000004</v>
      </c>
      <c r="HY139" s="570">
        <v>58.002018081999999</v>
      </c>
      <c r="HZ139" s="570">
        <v>3.1691390000000001E-3</v>
      </c>
      <c r="IA139" s="570">
        <v>0</v>
      </c>
      <c r="IB139" s="570">
        <v>200.77792120747597</v>
      </c>
      <c r="IC139" s="570">
        <v>109.661099448</v>
      </c>
      <c r="ID139" s="570">
        <v>5.4387939279999999</v>
      </c>
      <c r="IE139" s="570">
        <v>85.678027831475916</v>
      </c>
      <c r="IF139" s="570">
        <v>-0.95402754400001011</v>
      </c>
      <c r="IG139" s="570">
        <v>-63.617551655385164</v>
      </c>
      <c r="IH139" s="570">
        <v>-107.06276441807897</v>
      </c>
      <c r="II139" s="570">
        <v>5.4559118702618923</v>
      </c>
      <c r="IJ139" s="570">
        <v>-21.384736586603047</v>
      </c>
      <c r="IK139" s="570">
        <v>-74.81258851938513</v>
      </c>
      <c r="IL139" s="570">
        <v>-118.25780128207893</v>
      </c>
      <c r="IM139" s="570">
        <v>73.684235162488434</v>
      </c>
      <c r="IN139" s="570">
        <v>28.410691348488427</v>
      </c>
      <c r="IO139" s="570">
        <v>42.232815068782124</v>
      </c>
      <c r="IP139" s="570">
        <v>-13.822123720293696</v>
      </c>
      <c r="IQ139" s="570">
        <v>0</v>
      </c>
      <c r="IR139" s="570">
        <v>45.273543813999986</v>
      </c>
      <c r="IS139" s="570">
        <v>5.7776631639999918</v>
      </c>
      <c r="IT139" s="570">
        <v>39.495880649999997</v>
      </c>
      <c r="IU139" s="570">
        <v>0</v>
      </c>
      <c r="IV139" s="93">
        <v>66</v>
      </c>
      <c r="IW139" s="848">
        <v>42522</v>
      </c>
      <c r="IX139" s="1035"/>
      <c r="IY139" s="1035">
        <v>304.71336664399996</v>
      </c>
      <c r="IZ139" s="1035">
        <v>363.06281886699998</v>
      </c>
      <c r="JA139" s="1035">
        <v>0.288446588</v>
      </c>
      <c r="JB139" s="1035">
        <v>993.62203762378545</v>
      </c>
      <c r="JC139" s="1035">
        <v>171.31020567799999</v>
      </c>
      <c r="JD139" s="1035">
        <v>1469.9340565337855</v>
      </c>
      <c r="JE139" s="1035">
        <v>1138.9443694321119</v>
      </c>
      <c r="JF139" s="1035">
        <v>2608.8784259658973</v>
      </c>
      <c r="JG139" s="1035"/>
      <c r="JH139" s="1035">
        <v>830.54150418713607</v>
      </c>
      <c r="JI139" s="1035">
        <v>-108.78433889700011</v>
      </c>
      <c r="JJ139" s="1035">
        <v>939.3258430841363</v>
      </c>
      <c r="JK139" s="1035">
        <v>2079.0300702707614</v>
      </c>
      <c r="JL139" s="1035">
        <v>-3.4380817659999536</v>
      </c>
      <c r="JM139" s="1035">
        <v>-63.27108176599998</v>
      </c>
      <c r="JN139" s="1035">
        <v>59.833000000000027</v>
      </c>
      <c r="JO139" s="1035">
        <v>2082.4681520367612</v>
      </c>
      <c r="JP139" s="1035">
        <v>4.2576821420000002</v>
      </c>
      <c r="JQ139" s="1035">
        <v>2078.2104698947614</v>
      </c>
      <c r="JR139" s="1035">
        <v>394.607343077</v>
      </c>
      <c r="JS139" s="1035">
        <v>-93.91419458499999</v>
      </c>
      <c r="JT139" s="1036">
        <v>2608.8784259658973</v>
      </c>
      <c r="JU139" s="29">
        <v>66</v>
      </c>
      <c r="JV139" s="1037"/>
      <c r="JW139" s="1526">
        <f>VLOOKUP($IW139,Base_Mensuelle!$OF$68:$RM$679,HLOOKUP(JW$73,Base_Mensuelle!$PE$67:$QE$680,614,0))</f>
        <v>-108.78433889700011</v>
      </c>
      <c r="JX139" s="1526">
        <f>VLOOKUP($IW139,Base_Mensuelle!$OF$68:$RM$679,HLOOKUP(JX$73,Base_Mensuelle!$PE$67:$QE$680,614,0))</f>
        <v>712.74095502399996</v>
      </c>
      <c r="JY139" s="1526">
        <f>VLOOKUP($IW139,Base_Mensuelle!$OF$68:$RM$679,HLOOKUP(JY$73,Base_Mensuelle!$PE$67:$QE$680,614,0))</f>
        <v>821.52529392100007</v>
      </c>
      <c r="JZ139" s="1526">
        <f>VLOOKUP($IW139,Base_Mensuelle!$OF$68:$RM$679,HLOOKUP(JZ$73,Base_Mensuelle!$PE$67:$QE$680,614,0))</f>
        <v>706.66005384499999</v>
      </c>
      <c r="KA139" s="1526">
        <f>VLOOKUP($IW139,Base_Mensuelle!$OF$68:$RM$679,HLOOKUP(KA$73,Base_Mensuelle!$PE$67:$QE$680,614,0))</f>
        <v>-58.055629542999981</v>
      </c>
      <c r="KB139" s="1526">
        <f>VLOOKUP($IW139,Base_Mensuelle!$OF$68:$RM$679,HLOOKUP(KB$73,Base_Mensuelle!$PE$67:$QE$680,614,0))</f>
        <v>139.57482808600002</v>
      </c>
      <c r="KC139" s="1526">
        <f>VLOOKUP($IW139,Base_Mensuelle!$OF$68:$RM$679,HLOOKUP(KC$73,Base_Mensuelle!$PE$67:$QE$680,614,0))</f>
        <v>197.63045762900001</v>
      </c>
      <c r="KD139" s="1526">
        <f>VLOOKUP($IW139,Base_Mensuelle!$OF$68:$RM$679,HLOOKUP(KD$73,Base_Mensuelle!$PE$67:$QE$680,614,0))</f>
        <v>4.2576821420000002</v>
      </c>
      <c r="KE139" s="1526">
        <f>VLOOKUP($IW139,Base_Mensuelle!$OF$68:$RM$679,HLOOKUP(KE$73,Base_Mensuelle!$PE$67:$QE$680,614,0))</f>
        <v>0.6</v>
      </c>
      <c r="KF139" s="1526">
        <f>VLOOKUP($IW139,Base_Mensuelle!$OF$68:$RM$679,HLOOKUP(KF$73,Base_Mensuelle!$PE$67:$QE$680,614,0))</f>
        <v>0</v>
      </c>
      <c r="KG139" s="1526">
        <f>VLOOKUP($IW139,Base_Mensuelle!$OF$68:$RM$679,HLOOKUP(KG$73,Base_Mensuelle!$PE$67:$QE$680,614,0))</f>
        <v>6.1885200000000003E-4</v>
      </c>
      <c r="KH139" s="1526">
        <f>VLOOKUP($IW139,Base_Mensuelle!$OF$68:$RM$679,HLOOKUP(KH$73,Base_Mensuelle!$PE$67:$QE$680,614,0))</f>
        <v>3.65706329</v>
      </c>
      <c r="KI139" s="1526">
        <f>VLOOKUP($IW139,Base_Mensuelle!$OF$68:$RM$679,HLOOKUP(KI$73,Base_Mensuelle!$PE$67:$QE$680,614,0))</f>
        <v>531.3466275479999</v>
      </c>
      <c r="KJ139" s="1526">
        <f>VLOOKUP($IW139,Base_Mensuelle!$OF$68:$RM$679,HLOOKUP(KJ$73,Base_Mensuelle!$PE$67:$QE$680,614,0))</f>
        <v>363.06281886699998</v>
      </c>
      <c r="KK139" s="1526">
        <f>VLOOKUP($IW139,Base_Mensuelle!$OF$68:$RM$679,HLOOKUP(KK$73,Base_Mensuelle!$PE$67:$QE$680,614,0))</f>
        <v>167.72926801599999</v>
      </c>
      <c r="KL139" s="1526">
        <f>VLOOKUP($IW139,Base_Mensuelle!$OF$68:$RM$679,HLOOKUP(KL$73,Base_Mensuelle!$PE$67:$QE$680,614,0))</f>
        <v>0.55454066499999999</v>
      </c>
      <c r="KM139" s="1526">
        <f>VLOOKUP($IW139,Base_Mensuelle!$OF$68:$RM$679,HLOOKUP(KM$73,Base_Mensuelle!$PE$67:$QE$680,614,0))</f>
        <v>0</v>
      </c>
      <c r="KN139" s="1526">
        <f>VLOOKUP($IW139,Base_Mensuelle!$OF$68:$RM$679,HLOOKUP(KN$73,Base_Mensuelle!$PE$67:$QE$680,614,0))</f>
        <v>0.65777567199999998</v>
      </c>
      <c r="KO139" s="1526">
        <f>VLOOKUP($IW139,Base_Mensuelle!$OF$68:$RM$679,HLOOKUP(KO$73,Base_Mensuelle!$PE$67:$QE$680,614,0))</f>
        <v>0</v>
      </c>
      <c r="KP139" s="1526">
        <f>VLOOKUP($IW139,Base_Mensuelle!$OF$68:$RM$679,HLOOKUP(KP$73,Base_Mensuelle!$PE$67:$QE$680,614,0))</f>
        <v>0</v>
      </c>
      <c r="KQ139" s="1526">
        <f>VLOOKUP($IW139,Base_Mensuelle!$OF$68:$RM$679,HLOOKUP(KQ$73,Base_Mensuelle!$PE$67:$QE$680,614,0))</f>
        <v>0.65777567199999998</v>
      </c>
      <c r="KR139" s="1526">
        <f>VLOOKUP($IW139,Base_Mensuelle!$OF$68:$RM$679,HLOOKUP(KR$73,Base_Mensuelle!$PE$67:$QE$680,614,0))</f>
        <v>0</v>
      </c>
      <c r="KS139" s="1526">
        <f>VLOOKUP($IW139,Base_Mensuelle!$OF$68:$RM$679,HLOOKUP(KS$73,Base_Mensuelle!$PE$67:$QE$680,614,0))</f>
        <v>0</v>
      </c>
      <c r="KT139" s="1526">
        <f>VLOOKUP($IW139,Base_Mensuelle!$OF$68:$RM$679,HLOOKUP(KT$73,Base_Mensuelle!$PE$67:$QE$680,614,0))</f>
        <v>0</v>
      </c>
      <c r="KU139" s="1526">
        <f>VLOOKUP($IW139,Base_Mensuelle!$OF$68:$RM$679,HLOOKUP(KU$73,Base_Mensuelle!$PE$67:$QE$680,614,0))</f>
        <v>8.5795674049999988</v>
      </c>
      <c r="KV139" s="1526">
        <f>VLOOKUP($IW139,Base_Mensuelle!$OF$68:$RM$679,HLOOKUP(KV$73,Base_Mensuelle!$PE$67:$QE$680,614,0))</f>
        <v>3.493796922</v>
      </c>
      <c r="KW139" s="1036"/>
      <c r="KX139" s="29">
        <v>66</v>
      </c>
      <c r="KY139" s="1037"/>
      <c r="KZ139" s="182">
        <f>VLOOKUP($IW139,Base_Mensuelle!$OF$68:$RM$679,HLOOKUP(KZ$73,Base_Mensuelle!$QG$67:$RM$680,614,0))</f>
        <v>939.3258430841363</v>
      </c>
      <c r="LA139" s="182">
        <f>VLOOKUP($IW139,Base_Mensuelle!$OF$68:$RM$679,HLOOKUP(LA$73,Base_Mensuelle!$QG$67:$RM$680,614,0))</f>
        <v>1291.8365301052388</v>
      </c>
      <c r="LB139" s="182">
        <f>VLOOKUP($IW139,Base_Mensuelle!$OF$68:$RM$679,HLOOKUP(LB$73,Base_Mensuelle!$QG$67:$RM$680,614,0))</f>
        <v>-352.51068702110257</v>
      </c>
      <c r="LC139" s="182">
        <f>VLOOKUP($IW139,Base_Mensuelle!$OF$68:$RM$679,HLOOKUP(LC$73,Base_Mensuelle!$QG$67:$RM$680,614,0))</f>
        <v>201.30500000000001</v>
      </c>
      <c r="LD139" s="182">
        <f>VLOOKUP($IW139,Base_Mensuelle!$OF$68:$RM$679,HLOOKUP(LD$73,Base_Mensuelle!$QG$67:$RM$680,614,0))</f>
        <v>53.134</v>
      </c>
      <c r="LE139" s="182">
        <f>VLOOKUP($IW139,Base_Mensuelle!$OF$68:$RM$679,HLOOKUP(LE$73,Base_Mensuelle!$QG$67:$RM$680,614,0))</f>
        <v>148.17100000000002</v>
      </c>
      <c r="LF139" s="182">
        <f>VLOOKUP($IW139,Base_Mensuelle!$OF$68:$RM$679,HLOOKUP(LF$73,Base_Mensuelle!$QG$67:$RM$680,614,0))</f>
        <v>0</v>
      </c>
      <c r="LG139" s="182">
        <f>VLOOKUP($IW139,Base_Mensuelle!$OF$68:$RM$679,HLOOKUP(LG$73,Base_Mensuelle!$QG$67:$RM$680,614,0))</f>
        <v>59.833000000000027</v>
      </c>
      <c r="LH139" s="182">
        <f>VLOOKUP($IW139,Base_Mensuelle!$OF$68:$RM$679,HLOOKUP(LH$73,Base_Mensuelle!$QG$67:$RM$680,614,0))</f>
        <v>313.85200000000003</v>
      </c>
      <c r="LI139" s="182">
        <f>VLOOKUP($IW139,Base_Mensuelle!$OF$68:$RM$679,HLOOKUP(LI$73,Base_Mensuelle!$QG$67:$RM$680,614,0))</f>
        <v>-254.01900000000001</v>
      </c>
      <c r="LJ139" s="182">
        <f>VLOOKUP($IW139,Base_Mensuelle!$OF$68:$RM$679,HLOOKUP(LJ$73,Base_Mensuelle!$QG$67:$RM$680,614,0))</f>
        <v>2078.2104698947614</v>
      </c>
      <c r="LK139" s="182">
        <f>VLOOKUP($IW139,Base_Mensuelle!$OF$68:$RM$679,HLOOKUP(LK$73,Base_Mensuelle!$QG$67:$RM$680,614,0))</f>
        <v>22.153529331499048</v>
      </c>
      <c r="LL139" s="182">
        <f>VLOOKUP($IW139,Base_Mensuelle!$OF$68:$RM$679,HLOOKUP(LL$73,Base_Mensuelle!$QG$67:$RM$680,614,0))</f>
        <v>0</v>
      </c>
      <c r="LM139" s="182">
        <f>VLOOKUP($IW139,Base_Mensuelle!$OF$68:$RM$679,HLOOKUP(LM$73,Base_Mensuelle!$QG$67:$RM$680,614,0))</f>
        <v>194.149</v>
      </c>
      <c r="LN139" s="182">
        <f>VLOOKUP($IW139,Base_Mensuelle!$OF$68:$RM$679,HLOOKUP(LN$73,Base_Mensuelle!$QG$67:$RM$680,614,0))</f>
        <v>1861.9079405632622</v>
      </c>
      <c r="LO139" s="182">
        <f>VLOOKUP($IW139,Base_Mensuelle!$OF$68:$RM$679,HLOOKUP(LO$73,Base_Mensuelle!$QG$67:$RM$680,614,0))</f>
        <v>0</v>
      </c>
      <c r="LP139" s="182">
        <f>VLOOKUP($IW139,Base_Mensuelle!$OF$68:$RM$679,HLOOKUP(LP$73,Base_Mensuelle!$QG$67:$RM$680,614,0))</f>
        <v>709.52700000000004</v>
      </c>
      <c r="LQ139" s="182">
        <f>VLOOKUP($IW139,Base_Mensuelle!$OF$68:$RM$679,HLOOKUP(LQ$73,Base_Mensuelle!$QG$67:$RM$680,614,0))</f>
        <v>993.62203762378545</v>
      </c>
      <c r="LR139" s="182">
        <f>VLOOKUP($IW139,Base_Mensuelle!$OF$68:$RM$679,HLOOKUP(LR$73,Base_Mensuelle!$QG$67:$RM$680,614,0))</f>
        <v>1138.678275355112</v>
      </c>
      <c r="LS139" s="182">
        <f>VLOOKUP($IW139,Base_Mensuelle!$OF$68:$RM$679,HLOOKUP(LS$73,Base_Mensuelle!$QG$67:$RM$680,614,0))</f>
        <v>0</v>
      </c>
      <c r="LT139" s="182">
        <f>VLOOKUP($IW139,Base_Mensuelle!$OF$68:$RM$679,HLOOKUP(LT$73,Base_Mensuelle!$QG$67:$RM$680,614,0))</f>
        <v>60.092999999999996</v>
      </c>
      <c r="LU139" s="182">
        <f>VLOOKUP($IW139,Base_Mensuelle!$OF$68:$RM$679,HLOOKUP(LU$73,Base_Mensuelle!$QG$67:$RM$680,614,0))</f>
        <v>3.26</v>
      </c>
      <c r="LV139" s="182">
        <f>VLOOKUP($IW139,Base_Mensuelle!$OF$68:$RM$679,HLOOKUP(LV$73,Base_Mensuelle!$QG$67:$RM$680,614,0))</f>
        <v>21.01</v>
      </c>
      <c r="LW139" s="182">
        <f>VLOOKUP($IW139,Base_Mensuelle!$OF$68:$RM$679,HLOOKUP(LW$73,Base_Mensuelle!$QG$67:$RM$680,614,0))</f>
        <v>0</v>
      </c>
      <c r="LX139" s="182">
        <f>VLOOKUP($IW139,Base_Mensuelle!$OF$68:$RM$679,HLOOKUP(LX$73,Base_Mensuelle!$QG$67:$RM$680,614,0))</f>
        <v>0</v>
      </c>
      <c r="LY139" s="182">
        <f>VLOOKUP($IW139,Base_Mensuelle!$OF$68:$RM$679,HLOOKUP(LY$73,Base_Mensuelle!$QG$67:$RM$680,614,0))</f>
        <v>301.00700000000001</v>
      </c>
      <c r="LZ139" s="182">
        <f>VLOOKUP($IW139,Base_Mensuelle!$OF$68:$RM$679,HLOOKUP(LZ$73,Base_Mensuelle!$QG$67:$RM$680,614,0))</f>
        <v>51.477000000000004</v>
      </c>
      <c r="MA139" s="182">
        <f>VLOOKUP($IW139,Base_Mensuelle!$OF$68:$RM$679,HLOOKUP(MA$73,Base_Mensuelle!$QG$67:$RM$680,614,0))</f>
        <v>0</v>
      </c>
      <c r="MB139" s="182">
        <f>VLOOKUP($IW139,Base_Mensuelle!$OF$68:$RM$679,HLOOKUP(MB$73,Base_Mensuelle!$QG$67:$RM$680,614,0))</f>
        <v>0</v>
      </c>
      <c r="MC139" s="182">
        <f>VLOOKUP($IW139,Base_Mensuelle!$OF$68:$RM$679,HLOOKUP(MC$73,Base_Mensuelle!$QG$67:$RM$680,614,0))</f>
        <v>0</v>
      </c>
      <c r="MD139" s="182">
        <f>VLOOKUP($IW139,Base_Mensuelle!$OF$68:$RM$679,HLOOKUP(MD$73,Base_Mensuelle!$QG$67:$RM$680,614,0))</f>
        <v>0</v>
      </c>
      <c r="ME139" s="182">
        <f>VLOOKUP($IW139,Base_Mensuelle!$OF$68:$RM$679,HLOOKUP(ME$73,Base_Mensuelle!$QG$67:$RM$680,614,0))</f>
        <v>0</v>
      </c>
      <c r="MF139" s="182"/>
      <c r="MG139" s="182"/>
      <c r="MH139" s="290"/>
      <c r="MI139" s="29">
        <v>66</v>
      </c>
      <c r="MJ139" s="29" t="str">
        <f t="shared" si="82"/>
        <v>Trimestre 22016</v>
      </c>
      <c r="MK139" s="848">
        <v>42522</v>
      </c>
      <c r="ML139" s="1991">
        <v>104.61394395236577</v>
      </c>
      <c r="MM139" s="1991">
        <v>112.80958873396928</v>
      </c>
      <c r="MN139" s="1991">
        <v>100.02908887556129</v>
      </c>
      <c r="MO139" s="1991">
        <v>100</v>
      </c>
      <c r="MP139" s="1991">
        <v>104.61394395236577</v>
      </c>
      <c r="MQ139" s="1991">
        <v>112.8394586155066</v>
      </c>
      <c r="MR139" s="1991">
        <v>110.2</v>
      </c>
      <c r="MS139" s="1991">
        <v>100.0410751609195</v>
      </c>
      <c r="MT139" s="1991">
        <v>100.00000000000004</v>
      </c>
      <c r="MU139" s="1991">
        <v>100</v>
      </c>
      <c r="MV139" s="1991">
        <v>100.29950046728167</v>
      </c>
      <c r="MW139" s="1991">
        <v>100</v>
      </c>
      <c r="MX139" s="1991">
        <v>98.41269841269839</v>
      </c>
      <c r="MY139" s="1991">
        <v>100.00000000000009</v>
      </c>
      <c r="MZ139" s="1991">
        <v>100.16605741605126</v>
      </c>
      <c r="NA139" s="1991">
        <v>100.00000000000009</v>
      </c>
      <c r="NB139" s="1991">
        <v>98.82907354341387</v>
      </c>
      <c r="NC139" s="1991">
        <v>127.11178056107441</v>
      </c>
      <c r="ND139" s="1991">
        <v>97.595053313059807</v>
      </c>
      <c r="NE139" s="1991">
        <v>100.00000000000007</v>
      </c>
      <c r="NF139" s="1991">
        <v>100.00000000000003</v>
      </c>
      <c r="NG139" s="1991">
        <v>100.00000000000009</v>
      </c>
      <c r="NH139" s="1991">
        <v>100.00000000000006</v>
      </c>
      <c r="NI139" s="1991">
        <v>100</v>
      </c>
      <c r="NJ139" s="1991">
        <v>100</v>
      </c>
      <c r="NK139" s="1991">
        <v>105.43965973355002</v>
      </c>
      <c r="NL139" s="29">
        <v>66</v>
      </c>
    </row>
    <row r="140" spans="1:376">
      <c r="A140" s="41">
        <f t="shared" ref="A140:A203" si="86">YEAR(B140)</f>
        <v>2016</v>
      </c>
      <c r="B140" s="785">
        <v>42614</v>
      </c>
      <c r="C140" s="733">
        <v>109.04601957121926</v>
      </c>
      <c r="D140" s="1547">
        <v>196.5451807562234</v>
      </c>
      <c r="E140" s="570">
        <v>174.89140210880839</v>
      </c>
      <c r="F140" s="1547">
        <v>13.368614144878272</v>
      </c>
      <c r="G140" s="1547">
        <v>0</v>
      </c>
      <c r="H140" s="1547">
        <v>86.835881362349056</v>
      </c>
      <c r="I140" s="570">
        <v>31.175377806659036</v>
      </c>
      <c r="J140" s="570">
        <v>169.40398812102353</v>
      </c>
      <c r="K140" s="570">
        <v>132.27986621562837</v>
      </c>
      <c r="L140" s="570">
        <v>202.79301276560773</v>
      </c>
      <c r="M140" s="734">
        <v>101.8104581165062</v>
      </c>
      <c r="N140" s="25">
        <v>67</v>
      </c>
      <c r="O140" s="889">
        <f t="shared" si="85"/>
        <v>2016</v>
      </c>
      <c r="P140" s="29" t="str">
        <f t="shared" ref="P140:P203" si="87">CONCATENATE(IF(MONTH(Q140)&lt;4,"Trimestre 1",IF(MONTH(Q140)&lt;7,"Trimestre 2",IF(MONTH(Q140)&lt;10,"Trimestre 3","Trimestre 4"))),YEAR(Q140))</f>
        <v>Trimestre 32016</v>
      </c>
      <c r="Q140" s="848">
        <v>42614</v>
      </c>
      <c r="R140" s="733">
        <v>10.538199499999999</v>
      </c>
      <c r="S140" s="1547">
        <v>0</v>
      </c>
      <c r="T140" s="570">
        <v>1012.926968185239</v>
      </c>
      <c r="U140" s="734">
        <v>26.835000000000001</v>
      </c>
      <c r="V140" s="25">
        <v>67</v>
      </c>
      <c r="W140" s="733">
        <v>5063</v>
      </c>
      <c r="X140" s="570">
        <v>0</v>
      </c>
      <c r="Y140" s="570">
        <v>463.50519332315054</v>
      </c>
      <c r="Z140" s="570">
        <v>187.99198344497879</v>
      </c>
      <c r="AA140" s="570">
        <v>45.6965</v>
      </c>
      <c r="AB140" s="570">
        <v>69.968999999999994</v>
      </c>
      <c r="AC140" s="570">
        <v>573.90700000000004</v>
      </c>
      <c r="AD140" s="570">
        <v>202.62362899999999</v>
      </c>
      <c r="AE140" s="734">
        <v>20.333300999999999</v>
      </c>
      <c r="AF140" s="25">
        <v>67</v>
      </c>
      <c r="AG140" s="733">
        <v>34.064813796017091</v>
      </c>
      <c r="AH140" s="570">
        <v>21.499640430130405</v>
      </c>
      <c r="AI140" s="570">
        <v>25.235087909889938</v>
      </c>
      <c r="AJ140" s="570">
        <v>-4.1386808881339761</v>
      </c>
      <c r="AK140" s="570">
        <v>18.354653782197062</v>
      </c>
      <c r="AL140" s="570">
        <v>11.22570571383104</v>
      </c>
      <c r="AM140" s="570">
        <v>17.854117163411601</v>
      </c>
      <c r="AN140" s="734">
        <v>5.9246906488212217</v>
      </c>
      <c r="AO140" s="733">
        <v>23.893020256650239</v>
      </c>
      <c r="AP140" s="570">
        <v>13.499444351487959</v>
      </c>
      <c r="AQ140" s="570">
        <v>14.653847208400709</v>
      </c>
      <c r="AR140" s="570">
        <v>8.3017934669838134</v>
      </c>
      <c r="AS140" s="734">
        <v>-8.6021505376344098</v>
      </c>
      <c r="AT140" s="733">
        <v>22.094511566921405</v>
      </c>
      <c r="AU140" s="570">
        <v>-3.4848310415408328</v>
      </c>
      <c r="AV140" s="734">
        <v>2.9483836921886128</v>
      </c>
      <c r="AW140" s="733">
        <v>10.243217955504974</v>
      </c>
      <c r="AX140" s="570">
        <v>53.184370062824442</v>
      </c>
      <c r="AY140" s="570">
        <v>53.141077420986775</v>
      </c>
      <c r="AZ140" s="570">
        <v>31.112318489235676</v>
      </c>
      <c r="BA140" s="570">
        <v>1.4895603138774458</v>
      </c>
      <c r="BB140" s="570">
        <v>22.034512220909043</v>
      </c>
      <c r="BC140" s="734">
        <v>20.43010752688172</v>
      </c>
      <c r="BD140" s="179">
        <v>14.309930210641227</v>
      </c>
      <c r="BE140" s="99">
        <v>-10.437971094041654</v>
      </c>
      <c r="BF140" s="99">
        <v>14.629528900674977</v>
      </c>
      <c r="BG140" s="99">
        <v>15.106366728994729</v>
      </c>
      <c r="BH140" s="99">
        <v>33.712299905911607</v>
      </c>
      <c r="BI140" s="99">
        <v>17.869920756028932</v>
      </c>
      <c r="BJ140" s="99">
        <v>27.240376477249328</v>
      </c>
      <c r="BK140" s="132">
        <v>4.1994277629889867</v>
      </c>
      <c r="BL140" s="179">
        <v>36.113773413884871</v>
      </c>
      <c r="BM140" s="99">
        <v>19.105421775477062</v>
      </c>
      <c r="BN140" s="99">
        <v>10.835945027628263</v>
      </c>
      <c r="BO140" s="99">
        <v>18.093997874146179</v>
      </c>
      <c r="BP140" s="99">
        <v>0</v>
      </c>
      <c r="BQ140" s="132">
        <v>-5.2631578947368425</v>
      </c>
      <c r="BR140" s="179">
        <v>45.568713903455411</v>
      </c>
      <c r="BS140" s="99">
        <v>-7.6849106893887189</v>
      </c>
      <c r="BT140" s="99">
        <v>6.4899246983340912</v>
      </c>
      <c r="BU140" s="132">
        <v>-33.158523902610668</v>
      </c>
      <c r="BV140" s="179">
        <v>31.450496672538129</v>
      </c>
      <c r="BW140" s="99">
        <v>31.355201753405741</v>
      </c>
      <c r="BX140" s="99">
        <v>35.243909665916256</v>
      </c>
      <c r="BY140" s="99">
        <v>1.7134424649829907</v>
      </c>
      <c r="BZ140" s="99">
        <v>-11.621527889732235</v>
      </c>
      <c r="CA140" s="99">
        <v>5.2631578947368425</v>
      </c>
      <c r="CB140" s="132">
        <v>0</v>
      </c>
      <c r="CC140" s="25">
        <v>67</v>
      </c>
      <c r="CD140" s="181">
        <v>75727</v>
      </c>
      <c r="CE140" s="182">
        <v>15404040</v>
      </c>
      <c r="CF140" s="290">
        <v>3675132</v>
      </c>
      <c r="CG140" s="25">
        <v>67</v>
      </c>
      <c r="CH140" s="19">
        <v>20260</v>
      </c>
      <c r="CI140" s="93">
        <v>3922</v>
      </c>
      <c r="CJ140" s="93">
        <v>2769</v>
      </c>
      <c r="CK140" s="93">
        <v>10168</v>
      </c>
      <c r="CL140" s="93">
        <v>5341</v>
      </c>
      <c r="CM140" s="93">
        <v>915</v>
      </c>
      <c r="CN140" s="93">
        <v>2253</v>
      </c>
      <c r="CO140" s="93">
        <v>1923</v>
      </c>
      <c r="CP140" s="93">
        <v>1591</v>
      </c>
      <c r="CQ140" s="93">
        <v>1162</v>
      </c>
      <c r="CR140" s="214">
        <v>81655</v>
      </c>
      <c r="CS140" s="20">
        <v>119012</v>
      </c>
      <c r="CT140" s="25">
        <v>67</v>
      </c>
      <c r="CU140" s="19">
        <v>15113</v>
      </c>
      <c r="CV140" s="93">
        <v>75127</v>
      </c>
      <c r="CW140" s="93">
        <v>16174</v>
      </c>
      <c r="CX140" s="93">
        <v>1613</v>
      </c>
      <c r="CY140" s="93">
        <v>734</v>
      </c>
      <c r="CZ140" s="93">
        <v>778</v>
      </c>
      <c r="DA140" s="93">
        <v>9473</v>
      </c>
      <c r="DB140" s="20">
        <v>119012</v>
      </c>
      <c r="DC140" s="25">
        <v>67</v>
      </c>
      <c r="DD140" s="785">
        <v>42614</v>
      </c>
      <c r="DE140" s="733">
        <v>328.49684321026001</v>
      </c>
      <c r="DF140" s="734">
        <v>134.99095300000002</v>
      </c>
      <c r="DG140" s="25">
        <v>67</v>
      </c>
      <c r="DH140" s="733">
        <v>417.40155546021003</v>
      </c>
      <c r="DI140" s="734">
        <v>1187.6868359999999</v>
      </c>
      <c r="DJ140" s="25">
        <v>67</v>
      </c>
      <c r="DK140" s="733">
        <v>328.49684321026001</v>
      </c>
      <c r="DL140" s="734">
        <v>417.40155546021003</v>
      </c>
      <c r="DM140" s="733">
        <v>-88.904712249950023</v>
      </c>
      <c r="DN140" s="734">
        <v>78.700435806491598</v>
      </c>
      <c r="DO140" s="25">
        <v>67</v>
      </c>
      <c r="DP140" s="733">
        <v>329.23617370938615</v>
      </c>
      <c r="DQ140" s="570">
        <v>162.34086660990297</v>
      </c>
      <c r="DR140" s="734">
        <v>534.48485759310324</v>
      </c>
      <c r="DS140" s="25">
        <v>67</v>
      </c>
      <c r="DT140" s="733">
        <v>87.059841647297887</v>
      </c>
      <c r="DU140" s="570">
        <v>252.79296225779598</v>
      </c>
      <c r="DV140" s="734">
        <v>220.08115263715055</v>
      </c>
      <c r="DW140" s="25">
        <v>67</v>
      </c>
      <c r="DX140" s="733">
        <v>378.17226344519179</v>
      </c>
      <c r="DY140" s="734">
        <v>98.958668374249854</v>
      </c>
      <c r="DZ140" s="25">
        <v>67</v>
      </c>
      <c r="EA140" s="733">
        <v>265.27883477199998</v>
      </c>
      <c r="EB140" s="570">
        <v>0.36292178000000003</v>
      </c>
      <c r="EC140" s="570">
        <v>3.6107447370000001</v>
      </c>
      <c r="ED140" s="570">
        <v>8.5321142190299994</v>
      </c>
      <c r="EE140" s="734">
        <v>14.065535910259999</v>
      </c>
      <c r="EF140" s="25">
        <v>67</v>
      </c>
      <c r="EG140" s="1569">
        <v>84.710265289310001</v>
      </c>
      <c r="EH140" s="1570">
        <v>7.7118230959999998</v>
      </c>
      <c r="EI140" s="1570">
        <v>9.1892227369999997</v>
      </c>
      <c r="EJ140" s="1570">
        <v>17.746344240999999</v>
      </c>
      <c r="EK140" s="1571">
        <v>7.3988522569999997</v>
      </c>
      <c r="EL140" s="25">
        <v>67</v>
      </c>
      <c r="EM140" s="733">
        <v>236.51242230599999</v>
      </c>
      <c r="EN140" s="570">
        <v>6.3910099999999996</v>
      </c>
      <c r="EO140" s="570">
        <v>18.838582233</v>
      </c>
      <c r="EP140" s="570">
        <v>15.662880673</v>
      </c>
      <c r="EQ140" s="570">
        <v>1.9755017530000001</v>
      </c>
      <c r="ER140" s="570">
        <v>2.5876969380000001</v>
      </c>
      <c r="ES140" s="570">
        <v>0.59465007199999997</v>
      </c>
      <c r="ET140" s="570">
        <v>1.4548793760000001</v>
      </c>
      <c r="EU140" s="570">
        <v>0.27492085599999999</v>
      </c>
      <c r="EV140" s="734">
        <v>3.1840506290000001</v>
      </c>
      <c r="EW140" s="25">
        <v>67</v>
      </c>
      <c r="EX140" s="918">
        <v>36.37356017367</v>
      </c>
      <c r="EY140" s="919">
        <v>19.175873825310003</v>
      </c>
      <c r="EZ140" s="919">
        <v>36.814755233370001</v>
      </c>
      <c r="FA140" s="919">
        <v>0.16573685376</v>
      </c>
      <c r="FB140" s="919">
        <v>69.307863813840001</v>
      </c>
      <c r="FC140" s="919">
        <v>24.452694889380002</v>
      </c>
      <c r="FD140" s="919">
        <v>0.51268379898000005</v>
      </c>
      <c r="FE140" s="919">
        <v>14.94604786439</v>
      </c>
      <c r="FF140" s="919">
        <v>5.3291630791499998</v>
      </c>
      <c r="FG140" s="920">
        <v>20.137145905000001</v>
      </c>
      <c r="FH140" s="25">
        <v>67</v>
      </c>
      <c r="FI140" s="848">
        <v>42614</v>
      </c>
      <c r="FJ140" s="19">
        <v>4047</v>
      </c>
      <c r="FK140" s="93">
        <v>1483</v>
      </c>
      <c r="FL140" s="20">
        <v>0</v>
      </c>
      <c r="FM140" s="25">
        <v>67</v>
      </c>
      <c r="FN140" s="19">
        <v>95</v>
      </c>
      <c r="FO140" s="93">
        <v>1630</v>
      </c>
      <c r="FP140" s="93">
        <v>2274</v>
      </c>
      <c r="FQ140" s="93">
        <v>888</v>
      </c>
      <c r="FR140" s="93">
        <v>383</v>
      </c>
      <c r="FS140" s="93">
        <v>136</v>
      </c>
      <c r="FT140" s="93">
        <v>39</v>
      </c>
      <c r="FU140" s="93">
        <v>45</v>
      </c>
      <c r="FV140" s="93">
        <v>25</v>
      </c>
      <c r="FW140" s="917">
        <v>15</v>
      </c>
      <c r="FX140" s="25">
        <v>67</v>
      </c>
      <c r="FY140" s="975">
        <v>121</v>
      </c>
      <c r="FZ140" s="975">
        <v>1206.0566036999999</v>
      </c>
      <c r="GA140" s="975">
        <v>642</v>
      </c>
      <c r="GB140" s="975">
        <v>211</v>
      </c>
      <c r="GC140" s="975">
        <v>663.6981131</v>
      </c>
      <c r="GD140" s="975">
        <v>190</v>
      </c>
      <c r="GE140" s="975">
        <v>1293.1320754999999</v>
      </c>
      <c r="GF140" s="975">
        <v>220</v>
      </c>
      <c r="GG140" s="975">
        <v>98.226415099999997</v>
      </c>
      <c r="GH140" s="975">
        <v>807.88679260000004</v>
      </c>
      <c r="GI140" s="976">
        <v>77</v>
      </c>
      <c r="GJ140" s="25">
        <v>67</v>
      </c>
      <c r="GK140" s="19"/>
      <c r="GL140" s="20"/>
      <c r="GM140" s="25">
        <v>67</v>
      </c>
      <c r="GN140" s="19">
        <v>3385</v>
      </c>
      <c r="GO140" s="20">
        <v>1321</v>
      </c>
      <c r="GP140" s="25">
        <v>67</v>
      </c>
      <c r="GQ140" s="19">
        <v>31</v>
      </c>
      <c r="GR140" s="20">
        <v>30</v>
      </c>
      <c r="GS140" s="25">
        <v>67</v>
      </c>
      <c r="GT140" s="848">
        <v>42614</v>
      </c>
      <c r="GU140" s="733">
        <v>1014.3019300109778</v>
      </c>
      <c r="GV140" s="570">
        <v>899.77282607536199</v>
      </c>
      <c r="GW140" s="570">
        <v>899.742653075362</v>
      </c>
      <c r="GX140" s="570">
        <v>791.82860694836199</v>
      </c>
      <c r="GY140" s="570">
        <v>212.84649112399998</v>
      </c>
      <c r="GZ140" s="570">
        <v>6.5905723310000015</v>
      </c>
      <c r="HA140" s="570">
        <v>7.2827865907619058</v>
      </c>
      <c r="HB140" s="570">
        <v>440.25740142259991</v>
      </c>
      <c r="HC140" s="570">
        <v>118.45677266400001</v>
      </c>
      <c r="HD140" s="570">
        <v>6.3945828160000007</v>
      </c>
      <c r="HE140" s="570">
        <v>107.91404612699999</v>
      </c>
      <c r="HF140" s="570">
        <v>3.8950107849999993</v>
      </c>
      <c r="HG140" s="570">
        <v>24.333087331000002</v>
      </c>
      <c r="HH140" s="570">
        <v>1.9937099930000002</v>
      </c>
      <c r="HI140" s="570">
        <v>28.855475170999995</v>
      </c>
      <c r="HJ140" s="570">
        <v>48.836762846999996</v>
      </c>
      <c r="HK140" s="570">
        <v>3.0172999999999998E-2</v>
      </c>
      <c r="HL140" s="570">
        <v>114.52910393561582</v>
      </c>
      <c r="HM140" s="570">
        <v>76.237265301615821</v>
      </c>
      <c r="HN140" s="570">
        <v>38.291838634000001</v>
      </c>
      <c r="HO140" s="570">
        <v>1184.3532366035984</v>
      </c>
      <c r="HP140" s="570">
        <v>1191.9794056495982</v>
      </c>
      <c r="HQ140" s="570">
        <v>847.63631860191845</v>
      </c>
      <c r="HR140" s="570">
        <v>408.64225085500004</v>
      </c>
      <c r="HS140" s="570">
        <v>100.175060524</v>
      </c>
      <c r="HT140" s="570">
        <v>37.307781616918504</v>
      </c>
      <c r="HU140" s="570">
        <v>27.678325615999999</v>
      </c>
      <c r="HV140" s="570">
        <v>9.6294560009185055</v>
      </c>
      <c r="HW140" s="570">
        <v>301.51122560599998</v>
      </c>
      <c r="HX140" s="570">
        <v>10.092064799000001</v>
      </c>
      <c r="HY140" s="570">
        <v>94.163818173999999</v>
      </c>
      <c r="HZ140" s="570">
        <v>1.7130019399999998</v>
      </c>
      <c r="IA140" s="570">
        <v>26.588370694000002</v>
      </c>
      <c r="IB140" s="570">
        <v>344.34308704767972</v>
      </c>
      <c r="IC140" s="570">
        <v>195.126281366</v>
      </c>
      <c r="ID140" s="570">
        <v>6.050535848</v>
      </c>
      <c r="IE140" s="570">
        <v>143.16626983367968</v>
      </c>
      <c r="IF140" s="570">
        <v>-7.6261690460000038</v>
      </c>
      <c r="IG140" s="570">
        <v>-170.05130659262051</v>
      </c>
      <c r="IH140" s="570">
        <v>-284.58041052823631</v>
      </c>
      <c r="II140" s="570">
        <v>-104.10635907763817</v>
      </c>
      <c r="IJ140" s="570">
        <v>-141.41414069455666</v>
      </c>
      <c r="IK140" s="570">
        <v>-120.5722971126205</v>
      </c>
      <c r="IL140" s="570">
        <v>-235.10140104823631</v>
      </c>
      <c r="IM140" s="570">
        <v>125.94898012152187</v>
      </c>
      <c r="IN140" s="570">
        <v>45.676980899521894</v>
      </c>
      <c r="IO140" s="570">
        <v>66.929004532063843</v>
      </c>
      <c r="IP140" s="570">
        <v>-21.252023632541963</v>
      </c>
      <c r="IQ140" s="570">
        <v>0</v>
      </c>
      <c r="IR140" s="570">
        <v>80.271999221999977</v>
      </c>
      <c r="IS140" s="570">
        <v>1.2099761919999727</v>
      </c>
      <c r="IT140" s="570">
        <v>79.062023030000006</v>
      </c>
      <c r="IU140" s="570">
        <v>0</v>
      </c>
      <c r="IV140" s="93">
        <v>67</v>
      </c>
      <c r="IW140" s="848">
        <v>42614</v>
      </c>
      <c r="IX140" s="1035"/>
      <c r="IY140" s="1035">
        <v>252.16774623000001</v>
      </c>
      <c r="IZ140" s="1035">
        <v>307.35772046900001</v>
      </c>
      <c r="JA140" s="1035">
        <v>0.37074391000000001</v>
      </c>
      <c r="JB140" s="1035">
        <v>1011.2225902959464</v>
      </c>
      <c r="JC140" s="1035">
        <v>171.800899074</v>
      </c>
      <c r="JD140" s="1035">
        <v>1435.5619795099462</v>
      </c>
      <c r="JE140" s="1035">
        <v>1148.2170314737946</v>
      </c>
      <c r="JF140" s="1035">
        <v>2583.7790109837406</v>
      </c>
      <c r="JG140" s="1035"/>
      <c r="JH140" s="1035">
        <v>925.42490973062309</v>
      </c>
      <c r="JI140" s="1035">
        <v>-133.28973059099997</v>
      </c>
      <c r="JJ140" s="1035">
        <v>1058.7146403216232</v>
      </c>
      <c r="JK140" s="1035">
        <v>1999.0192095841178</v>
      </c>
      <c r="JL140" s="1035">
        <v>-12.477470770000068</v>
      </c>
      <c r="JM140" s="1035">
        <v>-85.72947077000002</v>
      </c>
      <c r="JN140" s="1035">
        <v>73.251999999999953</v>
      </c>
      <c r="JO140" s="1035">
        <v>2011.4966803541179</v>
      </c>
      <c r="JP140" s="1035">
        <v>4.3587929829999998</v>
      </c>
      <c r="JQ140" s="1035">
        <v>2007.1378873711176</v>
      </c>
      <c r="JR140" s="1035">
        <v>420.71912774500004</v>
      </c>
      <c r="JS140" s="1035">
        <v>-80.05401941400001</v>
      </c>
      <c r="JT140" s="1036">
        <v>2583.7790109837406</v>
      </c>
      <c r="JU140" s="29">
        <v>67</v>
      </c>
      <c r="JV140" s="1037"/>
      <c r="JW140" s="1526">
        <f>VLOOKUP($IW140,Base_Mensuelle!$OF$68:$RM$679,HLOOKUP(JW$73,Base_Mensuelle!$PE$67:$QE$680,614,0))</f>
        <v>-133.28973059099997</v>
      </c>
      <c r="JX140" s="1526">
        <f>VLOOKUP($IW140,Base_Mensuelle!$OF$68:$RM$679,HLOOKUP(JX$73,Base_Mensuelle!$PE$67:$QE$680,614,0))</f>
        <v>568.94784906799998</v>
      </c>
      <c r="JY140" s="1526">
        <f>VLOOKUP($IW140,Base_Mensuelle!$OF$68:$RM$679,HLOOKUP(JY$73,Base_Mensuelle!$PE$67:$QE$680,614,0))</f>
        <v>702.23757965899995</v>
      </c>
      <c r="JZ140" s="1526">
        <f>VLOOKUP($IW140,Base_Mensuelle!$OF$68:$RM$679,HLOOKUP(JZ$73,Base_Mensuelle!$PE$67:$QE$680,614,0))</f>
        <v>676.37305384499996</v>
      </c>
      <c r="KA140" s="1526">
        <f>VLOOKUP($IW140,Base_Mensuelle!$OF$68:$RM$679,HLOOKUP(KA$73,Base_Mensuelle!$PE$67:$QE$680,614,0))</f>
        <v>-81.467496531000023</v>
      </c>
      <c r="KB140" s="1526">
        <f>VLOOKUP($IW140,Base_Mensuelle!$OF$68:$RM$679,HLOOKUP(KB$73,Base_Mensuelle!$PE$67:$QE$680,614,0))</f>
        <v>137.16424110299999</v>
      </c>
      <c r="KC140" s="1526">
        <f>VLOOKUP($IW140,Base_Mensuelle!$OF$68:$RM$679,HLOOKUP(KC$73,Base_Mensuelle!$PE$67:$QE$680,614,0))</f>
        <v>218.63173763400002</v>
      </c>
      <c r="KD140" s="1526">
        <f>VLOOKUP($IW140,Base_Mensuelle!$OF$68:$RM$679,HLOOKUP(KD$73,Base_Mensuelle!$PE$67:$QE$680,614,0))</f>
        <v>4.3587929829999998</v>
      </c>
      <c r="KE140" s="1526">
        <f>VLOOKUP($IW140,Base_Mensuelle!$OF$68:$RM$679,HLOOKUP(KE$73,Base_Mensuelle!$PE$67:$QE$680,614,0))</f>
        <v>0.6</v>
      </c>
      <c r="KF140" s="1526">
        <f>VLOOKUP($IW140,Base_Mensuelle!$OF$68:$RM$679,HLOOKUP(KF$73,Base_Mensuelle!$PE$67:$QE$680,614,0))</f>
        <v>0</v>
      </c>
      <c r="KG140" s="1526">
        <f>VLOOKUP($IW140,Base_Mensuelle!$OF$68:$RM$679,HLOOKUP(KG$73,Base_Mensuelle!$PE$67:$QE$680,614,0))</f>
        <v>5.4354399999999997E-4</v>
      </c>
      <c r="KH140" s="1526">
        <f>VLOOKUP($IW140,Base_Mensuelle!$OF$68:$RM$679,HLOOKUP(KH$73,Base_Mensuelle!$PE$67:$QE$680,614,0))</f>
        <v>3.7582494389999996</v>
      </c>
      <c r="KI140" s="1526">
        <f>VLOOKUP($IW140,Base_Mensuelle!$OF$68:$RM$679,HLOOKUP(KI$73,Base_Mensuelle!$PE$67:$QE$680,614,0))</f>
        <v>447.77387410599999</v>
      </c>
      <c r="KJ140" s="1526">
        <f>VLOOKUP($IW140,Base_Mensuelle!$OF$68:$RM$679,HLOOKUP(KJ$73,Base_Mensuelle!$PE$67:$QE$680,614,0))</f>
        <v>307.35772046900001</v>
      </c>
      <c r="KK140" s="1526">
        <f>VLOOKUP($IW140,Base_Mensuelle!$OF$68:$RM$679,HLOOKUP(KK$73,Base_Mensuelle!$PE$67:$QE$680,614,0))</f>
        <v>139.77931565</v>
      </c>
      <c r="KL140" s="1526">
        <f>VLOOKUP($IW140,Base_Mensuelle!$OF$68:$RM$679,HLOOKUP(KL$73,Base_Mensuelle!$PE$67:$QE$680,614,0))</f>
        <v>0.63683798700000005</v>
      </c>
      <c r="KM140" s="1526">
        <f>VLOOKUP($IW140,Base_Mensuelle!$OF$68:$RM$679,HLOOKUP(KM$73,Base_Mensuelle!$PE$67:$QE$680,614,0))</f>
        <v>0</v>
      </c>
      <c r="KN140" s="1526">
        <f>VLOOKUP($IW140,Base_Mensuelle!$OF$68:$RM$679,HLOOKUP(KN$73,Base_Mensuelle!$PE$67:$QE$680,614,0))</f>
        <v>0.47821258999999999</v>
      </c>
      <c r="KO140" s="1526">
        <f>VLOOKUP($IW140,Base_Mensuelle!$OF$68:$RM$679,HLOOKUP(KO$73,Base_Mensuelle!$PE$67:$QE$680,614,0))</f>
        <v>0</v>
      </c>
      <c r="KP140" s="1526">
        <f>VLOOKUP($IW140,Base_Mensuelle!$OF$68:$RM$679,HLOOKUP(KP$73,Base_Mensuelle!$PE$67:$QE$680,614,0))</f>
        <v>0</v>
      </c>
      <c r="KQ140" s="1526">
        <f>VLOOKUP($IW140,Base_Mensuelle!$OF$68:$RM$679,HLOOKUP(KQ$73,Base_Mensuelle!$PE$67:$QE$680,614,0))</f>
        <v>0.47821258999999999</v>
      </c>
      <c r="KR140" s="1526">
        <f>VLOOKUP($IW140,Base_Mensuelle!$OF$68:$RM$679,HLOOKUP(KR$73,Base_Mensuelle!$PE$67:$QE$680,614,0))</f>
        <v>0</v>
      </c>
      <c r="KS140" s="1526">
        <f>VLOOKUP($IW140,Base_Mensuelle!$OF$68:$RM$679,HLOOKUP(KS$73,Base_Mensuelle!$PE$67:$QE$680,614,0))</f>
        <v>0</v>
      </c>
      <c r="KT140" s="1526">
        <f>VLOOKUP($IW140,Base_Mensuelle!$OF$68:$RM$679,HLOOKUP(KT$73,Base_Mensuelle!$PE$67:$QE$680,614,0))</f>
        <v>0</v>
      </c>
      <c r="KU140" s="1526">
        <f>VLOOKUP($IW140,Base_Mensuelle!$OF$68:$RM$679,HLOOKUP(KU$73,Base_Mensuelle!$PE$67:$QE$680,614,0))</f>
        <v>13.058915154999999</v>
      </c>
      <c r="KV140" s="1526">
        <f>VLOOKUP($IW140,Base_Mensuelle!$OF$68:$RM$679,HLOOKUP(KV$73,Base_Mensuelle!$PE$67:$QE$680,614,0))</f>
        <v>4.6636178550000142</v>
      </c>
      <c r="KW140" s="1036"/>
      <c r="KX140" s="29">
        <v>67</v>
      </c>
      <c r="KY140" s="1037"/>
      <c r="KZ140" s="182">
        <f>VLOOKUP($IW140,Base_Mensuelle!$OF$68:$RM$679,HLOOKUP(KZ$73,Base_Mensuelle!$QG$67:$RM$680,614,0))</f>
        <v>1058.7146403216232</v>
      </c>
      <c r="LA140" s="182">
        <f>VLOOKUP($IW140,Base_Mensuelle!$OF$68:$RM$679,HLOOKUP(LA$73,Base_Mensuelle!$QG$67:$RM$680,614,0))</f>
        <v>1408.8531126288822</v>
      </c>
      <c r="LB140" s="182">
        <f>VLOOKUP($IW140,Base_Mensuelle!$OF$68:$RM$679,HLOOKUP(LB$73,Base_Mensuelle!$QG$67:$RM$680,614,0))</f>
        <v>-350.13847230725895</v>
      </c>
      <c r="LC140" s="182">
        <f>VLOOKUP($IW140,Base_Mensuelle!$OF$68:$RM$679,HLOOKUP(LC$73,Base_Mensuelle!$QG$67:$RM$680,614,0))</f>
        <v>176.559</v>
      </c>
      <c r="LD140" s="182">
        <f>VLOOKUP($IW140,Base_Mensuelle!$OF$68:$RM$679,HLOOKUP(LD$73,Base_Mensuelle!$QG$67:$RM$680,614,0))</f>
        <v>50.927999999999997</v>
      </c>
      <c r="LE140" s="182">
        <f>VLOOKUP($IW140,Base_Mensuelle!$OF$68:$RM$679,HLOOKUP(LE$73,Base_Mensuelle!$QG$67:$RM$680,614,0))</f>
        <v>125.631</v>
      </c>
      <c r="LF140" s="182">
        <f>VLOOKUP($IW140,Base_Mensuelle!$OF$68:$RM$679,HLOOKUP(LF$73,Base_Mensuelle!$QG$67:$RM$680,614,0))</f>
        <v>0</v>
      </c>
      <c r="LG140" s="182">
        <f>VLOOKUP($IW140,Base_Mensuelle!$OF$68:$RM$679,HLOOKUP(LG$73,Base_Mensuelle!$QG$67:$RM$680,614,0))</f>
        <v>73.251999999999953</v>
      </c>
      <c r="LH140" s="182">
        <f>VLOOKUP($IW140,Base_Mensuelle!$OF$68:$RM$679,HLOOKUP(LH$73,Base_Mensuelle!$QG$67:$RM$680,614,0))</f>
        <v>330.93799999999999</v>
      </c>
      <c r="LI140" s="182">
        <f>VLOOKUP($IW140,Base_Mensuelle!$OF$68:$RM$679,HLOOKUP(LI$73,Base_Mensuelle!$QG$67:$RM$680,614,0))</f>
        <v>-257.68600000000004</v>
      </c>
      <c r="LJ140" s="182">
        <f>VLOOKUP($IW140,Base_Mensuelle!$OF$68:$RM$679,HLOOKUP(LJ$73,Base_Mensuelle!$QG$67:$RM$680,614,0))</f>
        <v>2007.1378873711176</v>
      </c>
      <c r="LK140" s="182">
        <f>VLOOKUP($IW140,Base_Mensuelle!$OF$68:$RM$679,HLOOKUP(LK$73,Base_Mensuelle!$QG$67:$RM$680,614,0))</f>
        <v>21.199385225290293</v>
      </c>
      <c r="LL140" s="182">
        <f>VLOOKUP($IW140,Base_Mensuelle!$OF$68:$RM$679,HLOOKUP(LL$73,Base_Mensuelle!$QG$67:$RM$680,614,0))</f>
        <v>0</v>
      </c>
      <c r="LM140" s="182">
        <f>VLOOKUP($IW140,Base_Mensuelle!$OF$68:$RM$679,HLOOKUP(LM$73,Base_Mensuelle!$QG$67:$RM$680,614,0))</f>
        <v>130.80500000000001</v>
      </c>
      <c r="LN140" s="182">
        <f>VLOOKUP($IW140,Base_Mensuelle!$OF$68:$RM$679,HLOOKUP(LN$73,Base_Mensuelle!$QG$67:$RM$680,614,0))</f>
        <v>1855.1335021458274</v>
      </c>
      <c r="LO140" s="182">
        <f>VLOOKUP($IW140,Base_Mensuelle!$OF$68:$RM$679,HLOOKUP(LO$73,Base_Mensuelle!$QG$67:$RM$680,614,0))</f>
        <v>0</v>
      </c>
      <c r="LP140" s="182">
        <f>VLOOKUP($IW140,Base_Mensuelle!$OF$68:$RM$679,HLOOKUP(LP$73,Base_Mensuelle!$QG$67:$RM$680,614,0))</f>
        <v>671.08699999999999</v>
      </c>
      <c r="LQ140" s="182">
        <f>VLOOKUP($IW140,Base_Mensuelle!$OF$68:$RM$679,HLOOKUP(LQ$73,Base_Mensuelle!$QG$67:$RM$680,614,0))</f>
        <v>1011.2225902959464</v>
      </c>
      <c r="LR140" s="182">
        <f>VLOOKUP($IW140,Base_Mensuelle!$OF$68:$RM$679,HLOOKUP(LR$73,Base_Mensuelle!$QG$67:$RM$680,614,0))</f>
        <v>1147.9509373967946</v>
      </c>
      <c r="LS140" s="182">
        <f>VLOOKUP($IW140,Base_Mensuelle!$OF$68:$RM$679,HLOOKUP(LS$73,Base_Mensuelle!$QG$67:$RM$680,614,0))</f>
        <v>0</v>
      </c>
      <c r="LT140" s="182">
        <f>VLOOKUP($IW140,Base_Mensuelle!$OF$68:$RM$679,HLOOKUP(LT$73,Base_Mensuelle!$QG$67:$RM$680,614,0))</f>
        <v>59.843999999999994</v>
      </c>
      <c r="LU140" s="182">
        <f>VLOOKUP($IW140,Base_Mensuelle!$OF$68:$RM$679,HLOOKUP(LU$73,Base_Mensuelle!$QG$67:$RM$680,614,0))</f>
        <v>3.3109999999999999</v>
      </c>
      <c r="LV140" s="182">
        <f>VLOOKUP($IW140,Base_Mensuelle!$OF$68:$RM$679,HLOOKUP(LV$73,Base_Mensuelle!$QG$67:$RM$680,614,0))</f>
        <v>27.397000000000002</v>
      </c>
      <c r="LW140" s="182">
        <f>VLOOKUP($IW140,Base_Mensuelle!$OF$68:$RM$679,HLOOKUP(LW$73,Base_Mensuelle!$QG$67:$RM$680,614,0))</f>
        <v>0</v>
      </c>
      <c r="LX140" s="182">
        <f>VLOOKUP($IW140,Base_Mensuelle!$OF$68:$RM$679,HLOOKUP(LX$73,Base_Mensuelle!$QG$67:$RM$680,614,0))</f>
        <v>0</v>
      </c>
      <c r="LY140" s="182">
        <f>VLOOKUP($IW140,Base_Mensuelle!$OF$68:$RM$679,HLOOKUP(LY$73,Base_Mensuelle!$QG$67:$RM$680,614,0))</f>
        <v>316.63</v>
      </c>
      <c r="LZ140" s="182">
        <f>VLOOKUP($IW140,Base_Mensuelle!$OF$68:$RM$679,HLOOKUP(LZ$73,Base_Mensuelle!$QG$67:$RM$680,614,0))</f>
        <v>78.220999999999975</v>
      </c>
      <c r="MA140" s="182">
        <f>VLOOKUP($IW140,Base_Mensuelle!$OF$68:$RM$679,HLOOKUP(MA$73,Base_Mensuelle!$QG$67:$RM$680,614,0))</f>
        <v>0</v>
      </c>
      <c r="MB140" s="182">
        <f>VLOOKUP($IW140,Base_Mensuelle!$OF$68:$RM$679,HLOOKUP(MB$73,Base_Mensuelle!$QG$67:$RM$680,614,0))</f>
        <v>0</v>
      </c>
      <c r="MC140" s="182">
        <f>VLOOKUP($IW140,Base_Mensuelle!$OF$68:$RM$679,HLOOKUP(MC$73,Base_Mensuelle!$QG$67:$RM$680,614,0))</f>
        <v>0</v>
      </c>
      <c r="MD140" s="182">
        <f>VLOOKUP($IW140,Base_Mensuelle!$OF$68:$RM$679,HLOOKUP(MD$73,Base_Mensuelle!$QG$67:$RM$680,614,0))</f>
        <v>0</v>
      </c>
      <c r="ME140" s="182">
        <f>VLOOKUP($IW140,Base_Mensuelle!$OF$68:$RM$679,HLOOKUP(ME$73,Base_Mensuelle!$QG$67:$RM$680,614,0))</f>
        <v>0</v>
      </c>
      <c r="MF140" s="182"/>
      <c r="MG140" s="182"/>
      <c r="MH140" s="290"/>
      <c r="MI140" s="29">
        <v>67</v>
      </c>
      <c r="MJ140" s="29" t="str">
        <f t="shared" ref="MJ140:MJ203" si="88">CONCATENATE(IF(MONTH(MK140)&lt;4,"Trimestre 1",IF(MONTH(MK140)&lt;7,"Trimestre 2",IF(MONTH(MK140)&lt;10,"Trimestre 3","Trimestre 4"))),YEAR(MK140))</f>
        <v>Trimestre 32016</v>
      </c>
      <c r="MK140" s="848">
        <v>42614</v>
      </c>
      <c r="ML140" s="1991">
        <v>104.61394395236577</v>
      </c>
      <c r="MM140" s="1991">
        <v>107.76215948004311</v>
      </c>
      <c r="MN140" s="1991">
        <v>99.956001203077463</v>
      </c>
      <c r="MO140" s="1991">
        <v>100</v>
      </c>
      <c r="MP140" s="1991">
        <v>104.61394395236577</v>
      </c>
      <c r="MQ140" s="1991">
        <v>107.73425546337178</v>
      </c>
      <c r="MR140" s="1991">
        <v>110.2</v>
      </c>
      <c r="MS140" s="1991">
        <v>100.04480681332333</v>
      </c>
      <c r="MT140" s="1991">
        <v>100.00000000000004</v>
      </c>
      <c r="MU140" s="1991">
        <v>100</v>
      </c>
      <c r="MV140" s="1991">
        <v>100.29950046728167</v>
      </c>
      <c r="MW140" s="1991">
        <v>100</v>
      </c>
      <c r="MX140" s="1991">
        <v>98.41269841269839</v>
      </c>
      <c r="MY140" s="1991">
        <v>100.00000000000009</v>
      </c>
      <c r="MZ140" s="1991">
        <v>100.16605741605126</v>
      </c>
      <c r="NA140" s="1991">
        <v>100.00000000000009</v>
      </c>
      <c r="NB140" s="1991">
        <v>98.82907354341387</v>
      </c>
      <c r="NC140" s="1991">
        <v>127.11178056107441</v>
      </c>
      <c r="ND140" s="1991">
        <v>95.400386158682252</v>
      </c>
      <c r="NE140" s="1991">
        <v>100.00000000000007</v>
      </c>
      <c r="NF140" s="1991">
        <v>100.00000000000003</v>
      </c>
      <c r="NG140" s="1991">
        <v>100.00000000000009</v>
      </c>
      <c r="NH140" s="1991">
        <v>100.00000000000006</v>
      </c>
      <c r="NI140" s="1991">
        <v>100</v>
      </c>
      <c r="NJ140" s="1991">
        <v>100</v>
      </c>
      <c r="NK140" s="1991">
        <v>103.30322599790865</v>
      </c>
      <c r="NL140" s="29">
        <v>67</v>
      </c>
    </row>
    <row r="141" spans="1:376">
      <c r="A141" s="41">
        <f t="shared" si="86"/>
        <v>2016</v>
      </c>
      <c r="B141" s="785">
        <v>42705</v>
      </c>
      <c r="C141" s="733">
        <v>113.92118604782087</v>
      </c>
      <c r="D141" s="1547">
        <v>230.9766723508173</v>
      </c>
      <c r="E141" s="570">
        <v>153.0321296668389</v>
      </c>
      <c r="F141" s="1547">
        <v>74.70667811291284</v>
      </c>
      <c r="G141" s="1547">
        <v>0</v>
      </c>
      <c r="H141" s="1547">
        <v>80.759954951706959</v>
      </c>
      <c r="I141" s="570">
        <v>35.719672172571499</v>
      </c>
      <c r="J141" s="570">
        <v>159.79569473910121</v>
      </c>
      <c r="K141" s="570">
        <v>153.83803709412373</v>
      </c>
      <c r="L141" s="570">
        <v>227.47404212064114</v>
      </c>
      <c r="M141" s="734">
        <v>108.23695103128776</v>
      </c>
      <c r="N141" s="25">
        <v>68</v>
      </c>
      <c r="O141" s="889">
        <f t="shared" si="85"/>
        <v>2016</v>
      </c>
      <c r="P141" s="29" t="str">
        <f t="shared" si="87"/>
        <v>Trimestre 42016</v>
      </c>
      <c r="Q141" s="848">
        <v>42705</v>
      </c>
      <c r="R141" s="733">
        <v>11.216684070000001</v>
      </c>
      <c r="S141" s="570">
        <v>82.756068999999997</v>
      </c>
      <c r="T141" s="570">
        <v>1694.9530111376337</v>
      </c>
      <c r="U141" s="734">
        <v>31.62</v>
      </c>
      <c r="V141" s="25">
        <v>68</v>
      </c>
      <c r="W141" s="733">
        <v>0</v>
      </c>
      <c r="X141" s="570">
        <v>9295</v>
      </c>
      <c r="Y141" s="570">
        <v>558.75045577221931</v>
      </c>
      <c r="Z141" s="570">
        <v>279.23863508270966</v>
      </c>
      <c r="AA141" s="570">
        <v>39.984999999999999</v>
      </c>
      <c r="AB141" s="570">
        <v>69.968999999999994</v>
      </c>
      <c r="AC141" s="570">
        <v>573.90700000000004</v>
      </c>
      <c r="AD141" s="570">
        <v>235.64599999999999</v>
      </c>
      <c r="AE141" s="734">
        <v>22.807976</v>
      </c>
      <c r="AF141" s="25">
        <v>68</v>
      </c>
      <c r="AG141" s="733">
        <v>25.444128711295367</v>
      </c>
      <c r="AH141" s="570">
        <v>66.912070141601248</v>
      </c>
      <c r="AI141" s="570">
        <v>11.209736881083286</v>
      </c>
      <c r="AJ141" s="570">
        <v>4.8021722432330298</v>
      </c>
      <c r="AK141" s="570">
        <v>19.515802517229954</v>
      </c>
      <c r="AL141" s="570">
        <v>5.2450425381791934</v>
      </c>
      <c r="AM141" s="570">
        <v>15.313015140301273</v>
      </c>
      <c r="AN141" s="734">
        <v>4.9310313613270456</v>
      </c>
      <c r="AO141" s="733">
        <v>21.792256308005825</v>
      </c>
      <c r="AP141" s="570">
        <v>51.581692028614505</v>
      </c>
      <c r="AQ141" s="570">
        <v>15.930580475566483</v>
      </c>
      <c r="AR141" s="570">
        <v>10.06644270277485</v>
      </c>
      <c r="AS141" s="734">
        <v>7.865168539325845</v>
      </c>
      <c r="AT141" s="733">
        <v>11.215058662144639</v>
      </c>
      <c r="AU141" s="570">
        <v>-25.780111733716375</v>
      </c>
      <c r="AV141" s="734">
        <v>-10.576084896203465</v>
      </c>
      <c r="AW141" s="733">
        <v>30.00364885309839</v>
      </c>
      <c r="AX141" s="570">
        <v>58.020717699127189</v>
      </c>
      <c r="AY141" s="570">
        <v>58.321836351247065</v>
      </c>
      <c r="AZ141" s="570">
        <v>0.5515818278672775</v>
      </c>
      <c r="BA141" s="570">
        <v>2.3921318159192477</v>
      </c>
      <c r="BB141" s="570">
        <v>26.562947893576009</v>
      </c>
      <c r="BC141" s="734">
        <v>30.337078651685395</v>
      </c>
      <c r="BD141" s="179">
        <v>-45.231334251289226</v>
      </c>
      <c r="BE141" s="99">
        <v>80.838414742679419</v>
      </c>
      <c r="BF141" s="99">
        <v>-4.0616405381053813</v>
      </c>
      <c r="BG141" s="99">
        <v>12.062093347190634</v>
      </c>
      <c r="BH141" s="99">
        <v>7.0812897638595942</v>
      </c>
      <c r="BI141" s="99">
        <v>9.4834208784476814</v>
      </c>
      <c r="BJ141" s="99">
        <v>25.005315776709345</v>
      </c>
      <c r="BK141" s="132">
        <v>8.2281666462084573</v>
      </c>
      <c r="BL141" s="179">
        <v>-47.627878495570855</v>
      </c>
      <c r="BM141" s="99">
        <v>54.913636223792679</v>
      </c>
      <c r="BN141" s="99">
        <v>65.764223881208892</v>
      </c>
      <c r="BO141" s="99">
        <v>26.365793149034182</v>
      </c>
      <c r="BP141" s="99">
        <v>15.789473684210524</v>
      </c>
      <c r="BQ141" s="132">
        <v>10.526315789473685</v>
      </c>
      <c r="BR141" s="179">
        <v>59.845390162019228</v>
      </c>
      <c r="BS141" s="99">
        <v>-72.030223361738592</v>
      </c>
      <c r="BT141" s="99">
        <v>-29.549823725935699</v>
      </c>
      <c r="BU141" s="132">
        <v>-1.7339737510526856</v>
      </c>
      <c r="BV141" s="179">
        <v>69.000863386329613</v>
      </c>
      <c r="BW141" s="99">
        <v>69.000863386329613</v>
      </c>
      <c r="BX141" s="99">
        <v>11.108191488107257</v>
      </c>
      <c r="BY141" s="99">
        <v>3.3502829071748321</v>
      </c>
      <c r="BZ141" s="99">
        <v>9.6249728144182196</v>
      </c>
      <c r="CA141" s="99">
        <v>15.789473684210527</v>
      </c>
      <c r="CB141" s="132">
        <v>15.789473684210527</v>
      </c>
      <c r="CC141" s="25">
        <v>68</v>
      </c>
      <c r="CD141" s="181">
        <v>76015</v>
      </c>
      <c r="CE141" s="182">
        <v>16387414</v>
      </c>
      <c r="CF141" s="290">
        <v>3724707</v>
      </c>
      <c r="CG141" s="25">
        <v>68</v>
      </c>
      <c r="CH141" s="19">
        <v>21490</v>
      </c>
      <c r="CI141" s="93">
        <v>3679</v>
      </c>
      <c r="CJ141" s="93">
        <v>11096</v>
      </c>
      <c r="CK141" s="93">
        <v>11096</v>
      </c>
      <c r="CL141" s="93">
        <v>6196</v>
      </c>
      <c r="CM141" s="93">
        <v>1033</v>
      </c>
      <c r="CN141" s="93">
        <v>2389</v>
      </c>
      <c r="CO141" s="93">
        <v>2100</v>
      </c>
      <c r="CP141" s="93">
        <v>1697</v>
      </c>
      <c r="CQ141" s="93">
        <v>1220</v>
      </c>
      <c r="CR141" s="214">
        <v>87363</v>
      </c>
      <c r="CS141" s="20">
        <v>127355</v>
      </c>
      <c r="CT141" s="25">
        <v>68</v>
      </c>
      <c r="CU141" s="19">
        <v>16892</v>
      </c>
      <c r="CV141" s="93">
        <v>78824</v>
      </c>
      <c r="CW141" s="93">
        <v>15987</v>
      </c>
      <c r="CX141" s="93">
        <v>810</v>
      </c>
      <c r="CY141" s="93">
        <v>970</v>
      </c>
      <c r="CZ141" s="93">
        <v>1092</v>
      </c>
      <c r="DA141" s="93">
        <v>12780</v>
      </c>
      <c r="DB141" s="20">
        <v>127355</v>
      </c>
      <c r="DC141" s="25">
        <v>68</v>
      </c>
      <c r="DD141" s="785">
        <v>42705</v>
      </c>
      <c r="DE141" s="733">
        <v>431.71036142675001</v>
      </c>
      <c r="DF141" s="734">
        <v>281.46392200000003</v>
      </c>
      <c r="DG141" s="25">
        <v>68</v>
      </c>
      <c r="DH141" s="733">
        <v>482.59973600225999</v>
      </c>
      <c r="DI141" s="734">
        <v>1437.1024420000001</v>
      </c>
      <c r="DJ141" s="25">
        <v>68</v>
      </c>
      <c r="DK141" s="733">
        <v>431.71036142675001</v>
      </c>
      <c r="DL141" s="734">
        <v>482.59973600225999</v>
      </c>
      <c r="DM141" s="733">
        <v>-50.889374575509976</v>
      </c>
      <c r="DN141" s="734">
        <v>89.455159052289318</v>
      </c>
      <c r="DO141" s="25">
        <v>68</v>
      </c>
      <c r="DP141" s="733">
        <v>141.57385705278628</v>
      </c>
      <c r="DQ141" s="570">
        <v>511.79178016029329</v>
      </c>
      <c r="DR141" s="734">
        <v>724.5633632520437</v>
      </c>
      <c r="DS141" s="25">
        <v>68</v>
      </c>
      <c r="DT141" s="733">
        <v>89.24816457025257</v>
      </c>
      <c r="DU141" s="570">
        <v>280.67509646038798</v>
      </c>
      <c r="DV141" s="734">
        <v>250.49737199668232</v>
      </c>
      <c r="DW141" s="25">
        <v>68</v>
      </c>
      <c r="DX141" s="733">
        <v>158.62943258776488</v>
      </c>
      <c r="DY141" s="734">
        <v>33.274191389370905</v>
      </c>
      <c r="DZ141" s="25">
        <v>68</v>
      </c>
      <c r="EA141" s="733">
        <v>271.04519878600001</v>
      </c>
      <c r="EB141" s="570">
        <v>94.194466480000003</v>
      </c>
      <c r="EC141" s="570">
        <v>15.231606931</v>
      </c>
      <c r="ED141" s="570">
        <v>5.9507750176799998</v>
      </c>
      <c r="EE141" s="734">
        <v>2.5153057850700002</v>
      </c>
      <c r="EF141" s="25">
        <v>68</v>
      </c>
      <c r="EG141" s="1569">
        <v>92.263194797850005</v>
      </c>
      <c r="EH141" s="1570">
        <v>11.129155465</v>
      </c>
      <c r="EI141" s="1570">
        <v>18.456650129</v>
      </c>
      <c r="EJ141" s="1570">
        <v>21.676187915</v>
      </c>
      <c r="EK141" s="1571">
        <v>9.4263552859999997</v>
      </c>
      <c r="EL141" s="25">
        <v>68</v>
      </c>
      <c r="EM141" s="733">
        <v>256.64982243499998</v>
      </c>
      <c r="EN141" s="570">
        <v>30.954449404999998</v>
      </c>
      <c r="EO141" s="570">
        <v>21.879504014999998</v>
      </c>
      <c r="EP141" s="570">
        <v>9.8374932350000002</v>
      </c>
      <c r="EQ141" s="570">
        <v>19.627076447</v>
      </c>
      <c r="ER141" s="570">
        <v>11.618672003</v>
      </c>
      <c r="ES141" s="570">
        <v>8.9613806989999993</v>
      </c>
      <c r="ET141" s="570">
        <v>3.8545904150000001</v>
      </c>
      <c r="EU141" s="570">
        <v>0.15876786700000001</v>
      </c>
      <c r="EV141" s="734">
        <v>1.659404911</v>
      </c>
      <c r="EW141" s="25">
        <v>68</v>
      </c>
      <c r="EX141" s="918">
        <v>45.738433044800004</v>
      </c>
      <c r="EY141" s="919">
        <v>17.961357249900001</v>
      </c>
      <c r="EZ141" s="919">
        <v>37.84280819152</v>
      </c>
      <c r="FA141" s="919">
        <v>0.21770429382000001</v>
      </c>
      <c r="FB141" s="919">
        <v>67.691338289239994</v>
      </c>
      <c r="FC141" s="919">
        <v>27.76293760691</v>
      </c>
      <c r="FD141" s="919">
        <v>6.5844660161599995</v>
      </c>
      <c r="FE141" s="919">
        <v>30.257856769730001</v>
      </c>
      <c r="FF141" s="919">
        <v>7.4919206333199995</v>
      </c>
      <c r="FG141" s="920">
        <v>26.690103131650002</v>
      </c>
      <c r="FH141" s="25">
        <v>68</v>
      </c>
      <c r="FI141" s="848">
        <v>42705</v>
      </c>
      <c r="FJ141" s="19">
        <v>6052</v>
      </c>
      <c r="FK141" s="93">
        <v>2108</v>
      </c>
      <c r="FL141" s="20">
        <v>0</v>
      </c>
      <c r="FM141" s="25">
        <v>68</v>
      </c>
      <c r="FN141" s="19">
        <v>206</v>
      </c>
      <c r="FO141" s="93">
        <v>2750</v>
      </c>
      <c r="FP141" s="93">
        <v>3299</v>
      </c>
      <c r="FQ141" s="93">
        <v>1253</v>
      </c>
      <c r="FR141" s="93">
        <v>421</v>
      </c>
      <c r="FS141" s="93">
        <v>165</v>
      </c>
      <c r="FT141" s="93">
        <v>54</v>
      </c>
      <c r="FU141" s="93">
        <v>7</v>
      </c>
      <c r="FV141" s="93">
        <v>4</v>
      </c>
      <c r="FW141" s="917">
        <v>1</v>
      </c>
      <c r="FX141" s="25">
        <v>68</v>
      </c>
      <c r="FY141" s="975">
        <v>82</v>
      </c>
      <c r="FZ141" s="975">
        <v>1822</v>
      </c>
      <c r="GA141" s="975">
        <v>1124</v>
      </c>
      <c r="GB141" s="975">
        <v>261</v>
      </c>
      <c r="GC141" s="975">
        <v>999</v>
      </c>
      <c r="GD141" s="975">
        <v>144</v>
      </c>
      <c r="GE141" s="975">
        <v>2571</v>
      </c>
      <c r="GF141" s="975">
        <v>139</v>
      </c>
      <c r="GG141" s="975">
        <v>99</v>
      </c>
      <c r="GH141" s="975">
        <v>816</v>
      </c>
      <c r="GI141" s="976">
        <v>103</v>
      </c>
      <c r="GJ141" s="25">
        <v>68</v>
      </c>
      <c r="GK141" s="19"/>
      <c r="GL141" s="20"/>
      <c r="GM141" s="25">
        <v>68</v>
      </c>
      <c r="GN141" s="19">
        <v>4605</v>
      </c>
      <c r="GO141" s="20">
        <v>2061</v>
      </c>
      <c r="GP141" s="25">
        <v>68</v>
      </c>
      <c r="GQ141" s="19">
        <v>31</v>
      </c>
      <c r="GR141" s="20">
        <v>30</v>
      </c>
      <c r="GS141" s="25">
        <v>68</v>
      </c>
      <c r="GT141" s="848">
        <v>42705</v>
      </c>
      <c r="GU141" s="733">
        <v>1409.881659055726</v>
      </c>
      <c r="GV141" s="570">
        <v>1229.691274869562</v>
      </c>
      <c r="GW141" s="570">
        <v>1229.6609757695619</v>
      </c>
      <c r="GX141" s="570">
        <v>1074.593566698562</v>
      </c>
      <c r="GY141" s="570">
        <v>285.74247886099994</v>
      </c>
      <c r="GZ141" s="570">
        <v>8.7437921580000015</v>
      </c>
      <c r="HA141" s="570">
        <v>10.692974986761905</v>
      </c>
      <c r="HB141" s="570">
        <v>600.94279121379998</v>
      </c>
      <c r="HC141" s="570">
        <v>159.130301678</v>
      </c>
      <c r="HD141" s="570">
        <v>9.3412278010000005</v>
      </c>
      <c r="HE141" s="570">
        <v>155.06740907099999</v>
      </c>
      <c r="HF141" s="570">
        <v>5.6439949719999989</v>
      </c>
      <c r="HG141" s="570">
        <v>34.725720416999998</v>
      </c>
      <c r="HH141" s="570">
        <v>17.449939349000001</v>
      </c>
      <c r="HI141" s="570">
        <v>29.521969102999996</v>
      </c>
      <c r="HJ141" s="570">
        <v>67.725785229999985</v>
      </c>
      <c r="HK141" s="570">
        <v>3.0299099999999999E-2</v>
      </c>
      <c r="HL141" s="570">
        <v>180.19038418616421</v>
      </c>
      <c r="HM141" s="570">
        <v>98.992300082164206</v>
      </c>
      <c r="HN141" s="570">
        <v>81.198084104000003</v>
      </c>
      <c r="HO141" s="570">
        <v>1629.8379944582464</v>
      </c>
      <c r="HP141" s="570">
        <v>1638.5012851802464</v>
      </c>
      <c r="HQ141" s="570">
        <v>1112.3010970874384</v>
      </c>
      <c r="HR141" s="570">
        <v>554.47440868799993</v>
      </c>
      <c r="HS141" s="570">
        <v>128.515666157</v>
      </c>
      <c r="HT141" s="570">
        <v>59.793390518238631</v>
      </c>
      <c r="HU141" s="570">
        <v>43.226332941000003</v>
      </c>
      <c r="HV141" s="570">
        <v>16.567057577238639</v>
      </c>
      <c r="HW141" s="570">
        <v>369.51763172419999</v>
      </c>
      <c r="HX141" s="570">
        <v>11.967411566200001</v>
      </c>
      <c r="HY141" s="570">
        <v>111.673743985</v>
      </c>
      <c r="HZ141" s="570">
        <v>9.7593073910000001</v>
      </c>
      <c r="IA141" s="570">
        <v>27.421256767000003</v>
      </c>
      <c r="IB141" s="570">
        <v>526.20018809280805</v>
      </c>
      <c r="IC141" s="570">
        <v>338.38998894000002</v>
      </c>
      <c r="ID141" s="570">
        <v>6.9884356480000003</v>
      </c>
      <c r="IE141" s="570">
        <v>180.82176350480799</v>
      </c>
      <c r="IF141" s="570">
        <v>-8.6632907220000028</v>
      </c>
      <c r="IG141" s="570">
        <v>-219.95633540252044</v>
      </c>
      <c r="IH141" s="570">
        <v>-400.14671958868468</v>
      </c>
      <c r="II141" s="570">
        <v>-159.53156556563812</v>
      </c>
      <c r="IJ141" s="570">
        <v>-219.32495608387674</v>
      </c>
      <c r="IK141" s="570">
        <v>-134.35076391352032</v>
      </c>
      <c r="IL141" s="570">
        <v>-314.54114809968462</v>
      </c>
      <c r="IM141" s="570">
        <v>136.69919326464316</v>
      </c>
      <c r="IN141" s="570">
        <v>102.88724661064323</v>
      </c>
      <c r="IO141" s="570">
        <v>144.80133542264372</v>
      </c>
      <c r="IP141" s="570">
        <v>-41.914088812000522</v>
      </c>
      <c r="IQ141" s="570">
        <v>0</v>
      </c>
      <c r="IR141" s="570">
        <v>33.811946653999954</v>
      </c>
      <c r="IS141" s="570">
        <v>-67.276676758000065</v>
      </c>
      <c r="IT141" s="570">
        <v>101.088623412</v>
      </c>
      <c r="IU141" s="570">
        <v>0</v>
      </c>
      <c r="IV141" s="93">
        <v>68</v>
      </c>
      <c r="IW141" s="848">
        <v>42705</v>
      </c>
      <c r="IX141" s="1035"/>
      <c r="IY141" s="1035">
        <v>280.60299587099996</v>
      </c>
      <c r="IZ141" s="1035">
        <v>351.19464741199999</v>
      </c>
      <c r="JA141" s="1035">
        <v>0.55865610099999996</v>
      </c>
      <c r="JB141" s="1035">
        <v>1153.7245386403163</v>
      </c>
      <c r="JC141" s="1035">
        <v>178.92699477100001</v>
      </c>
      <c r="JD141" s="1035">
        <v>1613.8131853833161</v>
      </c>
      <c r="JE141" s="1035">
        <v>1166.8155620798632</v>
      </c>
      <c r="JF141" s="1035">
        <v>2780.628747463179</v>
      </c>
      <c r="JG141" s="1035"/>
      <c r="JH141" s="1035">
        <v>1052.7629037723555</v>
      </c>
      <c r="JI141" s="1035">
        <v>-136.60231978799993</v>
      </c>
      <c r="JJ141" s="1035">
        <v>1189.3652235603556</v>
      </c>
      <c r="JK141" s="1035">
        <v>2055.8370954678235</v>
      </c>
      <c r="JL141" s="1035">
        <v>-88.478374844000058</v>
      </c>
      <c r="JM141" s="1035">
        <v>-149.77337484400002</v>
      </c>
      <c r="JN141" s="1035">
        <v>61.294999999999959</v>
      </c>
      <c r="JO141" s="1035">
        <v>2144.3154703118234</v>
      </c>
      <c r="JP141" s="1035">
        <v>4.2281609199999997</v>
      </c>
      <c r="JQ141" s="1035">
        <v>2140.0873093918235</v>
      </c>
      <c r="JR141" s="1035">
        <v>487.006033011</v>
      </c>
      <c r="JS141" s="1035">
        <v>-159.03478123400004</v>
      </c>
      <c r="JT141" s="1036">
        <v>2780.628747463179</v>
      </c>
      <c r="JU141" s="29">
        <v>68</v>
      </c>
      <c r="JV141" s="1037"/>
      <c r="JW141" s="1526">
        <f>VLOOKUP($IW141,Base_Mensuelle!$OF$68:$RM$679,HLOOKUP(JW$73,Base_Mensuelle!$PE$67:$QE$680,614,0))</f>
        <v>-136.60231978799993</v>
      </c>
      <c r="JX141" s="1526">
        <f>VLOOKUP($IW141,Base_Mensuelle!$OF$68:$RM$679,HLOOKUP(JX$73,Base_Mensuelle!$PE$67:$QE$680,614,0))</f>
        <v>621.80969339500007</v>
      </c>
      <c r="JY141" s="1526">
        <f>VLOOKUP($IW141,Base_Mensuelle!$OF$68:$RM$679,HLOOKUP(JY$73,Base_Mensuelle!$PE$67:$QE$680,614,0))</f>
        <v>758.412013183</v>
      </c>
      <c r="JZ141" s="1526">
        <f>VLOOKUP($IW141,Base_Mensuelle!$OF$68:$RM$679,HLOOKUP(JZ$73,Base_Mensuelle!$PE$67:$QE$680,614,0))</f>
        <v>776.14123295299999</v>
      </c>
      <c r="KA141" s="1526">
        <f>VLOOKUP($IW141,Base_Mensuelle!$OF$68:$RM$679,HLOOKUP(KA$73,Base_Mensuelle!$PE$67:$QE$680,614,0))</f>
        <v>-141.78972330300002</v>
      </c>
      <c r="KB141" s="1526">
        <f>VLOOKUP($IW141,Base_Mensuelle!$OF$68:$RM$679,HLOOKUP(KB$73,Base_Mensuelle!$PE$67:$QE$680,614,0))</f>
        <v>135.58372971</v>
      </c>
      <c r="KC141" s="1526">
        <f>VLOOKUP($IW141,Base_Mensuelle!$OF$68:$RM$679,HLOOKUP(KC$73,Base_Mensuelle!$PE$67:$QE$680,614,0))</f>
        <v>277.37345301300002</v>
      </c>
      <c r="KD141" s="1526">
        <f>VLOOKUP($IW141,Base_Mensuelle!$OF$68:$RM$679,HLOOKUP(KD$73,Base_Mensuelle!$PE$67:$QE$680,614,0))</f>
        <v>4.2281609199999997</v>
      </c>
      <c r="KE141" s="1526">
        <f>VLOOKUP($IW141,Base_Mensuelle!$OF$68:$RM$679,HLOOKUP(KE$73,Base_Mensuelle!$PE$67:$QE$680,614,0))</f>
        <v>0.6</v>
      </c>
      <c r="KF141" s="1526">
        <f>VLOOKUP($IW141,Base_Mensuelle!$OF$68:$RM$679,HLOOKUP(KF$73,Base_Mensuelle!$PE$67:$QE$680,614,0))</f>
        <v>0</v>
      </c>
      <c r="KG141" s="1526">
        <f>VLOOKUP($IW141,Base_Mensuelle!$OF$68:$RM$679,HLOOKUP(KG$73,Base_Mensuelle!$PE$67:$QE$680,614,0))</f>
        <v>0</v>
      </c>
      <c r="KH141" s="1526">
        <f>VLOOKUP($IW141,Base_Mensuelle!$OF$68:$RM$679,HLOOKUP(KH$73,Base_Mensuelle!$PE$67:$QE$680,614,0))</f>
        <v>3.62816092</v>
      </c>
      <c r="KI141" s="1526">
        <f>VLOOKUP($IW141,Base_Mensuelle!$OF$68:$RM$679,HLOOKUP(KI$73,Base_Mensuelle!$PE$67:$QE$680,614,0))</f>
        <v>478.16496640500003</v>
      </c>
      <c r="KJ141" s="1526">
        <f>VLOOKUP($IW141,Base_Mensuelle!$OF$68:$RM$679,HLOOKUP(KJ$73,Base_Mensuelle!$PE$67:$QE$680,614,0))</f>
        <v>351.19464741199999</v>
      </c>
      <c r="KK141" s="1526">
        <f>VLOOKUP($IW141,Base_Mensuelle!$OF$68:$RM$679,HLOOKUP(KK$73,Base_Mensuelle!$PE$67:$QE$680,614,0))</f>
        <v>126.08509512400001</v>
      </c>
      <c r="KL141" s="1526">
        <f>VLOOKUP($IW141,Base_Mensuelle!$OF$68:$RM$679,HLOOKUP(KL$73,Base_Mensuelle!$PE$67:$QE$680,614,0))</f>
        <v>0.88522386899999994</v>
      </c>
      <c r="KM141" s="1526">
        <f>VLOOKUP($IW141,Base_Mensuelle!$OF$68:$RM$679,HLOOKUP(KM$73,Base_Mensuelle!$PE$67:$QE$680,614,0))</f>
        <v>0</v>
      </c>
      <c r="KN141" s="1526">
        <f>VLOOKUP($IW141,Base_Mensuelle!$OF$68:$RM$679,HLOOKUP(KN$73,Base_Mensuelle!$PE$67:$QE$680,614,0))</f>
        <v>0.22724683300000001</v>
      </c>
      <c r="KO141" s="1526">
        <f>VLOOKUP($IW141,Base_Mensuelle!$OF$68:$RM$679,HLOOKUP(KO$73,Base_Mensuelle!$PE$67:$QE$680,614,0))</f>
        <v>0</v>
      </c>
      <c r="KP141" s="1526">
        <f>VLOOKUP($IW141,Base_Mensuelle!$OF$68:$RM$679,HLOOKUP(KP$73,Base_Mensuelle!$PE$67:$QE$680,614,0))</f>
        <v>0</v>
      </c>
      <c r="KQ141" s="1526">
        <f>VLOOKUP($IW141,Base_Mensuelle!$OF$68:$RM$679,HLOOKUP(KQ$73,Base_Mensuelle!$PE$67:$QE$680,614,0))</f>
        <v>0.22724683300000001</v>
      </c>
      <c r="KR141" s="1526">
        <f>VLOOKUP($IW141,Base_Mensuelle!$OF$68:$RM$679,HLOOKUP(KR$73,Base_Mensuelle!$PE$67:$QE$680,614,0))</f>
        <v>0</v>
      </c>
      <c r="KS141" s="1526">
        <f>VLOOKUP($IW141,Base_Mensuelle!$OF$68:$RM$679,HLOOKUP(KS$73,Base_Mensuelle!$PE$67:$QE$680,614,0))</f>
        <v>0</v>
      </c>
      <c r="KT141" s="1526">
        <f>VLOOKUP($IW141,Base_Mensuelle!$OF$68:$RM$679,HLOOKUP(KT$73,Base_Mensuelle!$PE$67:$QE$680,614,0))</f>
        <v>0</v>
      </c>
      <c r="KU141" s="1526">
        <f>VLOOKUP($IW141,Base_Mensuelle!$OF$68:$RM$679,HLOOKUP(KU$73,Base_Mensuelle!$PE$67:$QE$680,614,0))</f>
        <v>17.945786177999999</v>
      </c>
      <c r="KV141" s="1526">
        <f>VLOOKUP($IW141,Base_Mensuelle!$OF$68:$RM$679,HLOOKUP(KV$73,Base_Mensuelle!$PE$67:$QE$680,614,0))</f>
        <v>5.6393513659999863</v>
      </c>
      <c r="KW141" s="1036"/>
      <c r="KX141" s="29">
        <v>68</v>
      </c>
      <c r="KY141" s="1037"/>
      <c r="KZ141" s="182">
        <f>VLOOKUP($IW141,Base_Mensuelle!$OF$68:$RM$679,HLOOKUP(KZ$73,Base_Mensuelle!$QG$67:$RM$680,614,0))</f>
        <v>1189.3652235603556</v>
      </c>
      <c r="LA141" s="182">
        <f>VLOOKUP($IW141,Base_Mensuelle!$OF$68:$RM$679,HLOOKUP(LA$73,Base_Mensuelle!$QG$67:$RM$680,614,0))</f>
        <v>1645.4276906081761</v>
      </c>
      <c r="LB141" s="182">
        <f>VLOOKUP($IW141,Base_Mensuelle!$OF$68:$RM$679,HLOOKUP(LB$73,Base_Mensuelle!$QG$67:$RM$680,614,0))</f>
        <v>-456.06246704782046</v>
      </c>
      <c r="LC141" s="182">
        <f>VLOOKUP($IW141,Base_Mensuelle!$OF$68:$RM$679,HLOOKUP(LC$73,Base_Mensuelle!$QG$67:$RM$680,614,0))</f>
        <v>186.167</v>
      </c>
      <c r="LD141" s="182">
        <f>VLOOKUP($IW141,Base_Mensuelle!$OF$68:$RM$679,HLOOKUP(LD$73,Base_Mensuelle!$QG$67:$RM$680,614,0))</f>
        <v>62.607999999999997</v>
      </c>
      <c r="LE141" s="182">
        <f>VLOOKUP($IW141,Base_Mensuelle!$OF$68:$RM$679,HLOOKUP(LE$73,Base_Mensuelle!$QG$67:$RM$680,614,0))</f>
        <v>123.559</v>
      </c>
      <c r="LF141" s="182">
        <f>VLOOKUP($IW141,Base_Mensuelle!$OF$68:$RM$679,HLOOKUP(LF$73,Base_Mensuelle!$QG$67:$RM$680,614,0))</f>
        <v>0</v>
      </c>
      <c r="LG141" s="182">
        <f>VLOOKUP($IW141,Base_Mensuelle!$OF$68:$RM$679,HLOOKUP(LG$73,Base_Mensuelle!$QG$67:$RM$680,614,0))</f>
        <v>61.294999999999959</v>
      </c>
      <c r="LH141" s="182">
        <f>VLOOKUP($IW141,Base_Mensuelle!$OF$68:$RM$679,HLOOKUP(LH$73,Base_Mensuelle!$QG$67:$RM$680,614,0))</f>
        <v>345.82799999999997</v>
      </c>
      <c r="LI141" s="182">
        <f>VLOOKUP($IW141,Base_Mensuelle!$OF$68:$RM$679,HLOOKUP(LI$73,Base_Mensuelle!$QG$67:$RM$680,614,0))</f>
        <v>-284.53300000000002</v>
      </c>
      <c r="LJ141" s="182">
        <f>VLOOKUP($IW141,Base_Mensuelle!$OF$68:$RM$679,HLOOKUP(LJ$73,Base_Mensuelle!$QG$67:$RM$680,614,0))</f>
        <v>2140.0873093918235</v>
      </c>
      <c r="LK141" s="182">
        <f>VLOOKUP($IW141,Base_Mensuelle!$OF$68:$RM$679,HLOOKUP(LK$73,Base_Mensuelle!$QG$67:$RM$680,614,0))</f>
        <v>22.105360997008503</v>
      </c>
      <c r="LL141" s="182">
        <f>VLOOKUP($IW141,Base_Mensuelle!$OF$68:$RM$679,HLOOKUP(LL$73,Base_Mensuelle!$QG$67:$RM$680,614,0))</f>
        <v>0</v>
      </c>
      <c r="LM141" s="182">
        <f>VLOOKUP($IW141,Base_Mensuelle!$OF$68:$RM$679,HLOOKUP(LM$73,Base_Mensuelle!$QG$67:$RM$680,614,0))</f>
        <v>158.732</v>
      </c>
      <c r="LN141" s="182">
        <f>VLOOKUP($IW141,Base_Mensuelle!$OF$68:$RM$679,HLOOKUP(LN$73,Base_Mensuelle!$QG$67:$RM$680,614,0))</f>
        <v>1959.249948394815</v>
      </c>
      <c r="LO141" s="182">
        <f>VLOOKUP($IW141,Base_Mensuelle!$OF$68:$RM$679,HLOOKUP(LO$73,Base_Mensuelle!$QG$67:$RM$680,614,0))</f>
        <v>0</v>
      </c>
      <c r="LP141" s="182">
        <f>VLOOKUP($IW141,Base_Mensuelle!$OF$68:$RM$679,HLOOKUP(LP$73,Base_Mensuelle!$QG$67:$RM$680,614,0))</f>
        <v>778.36699999999996</v>
      </c>
      <c r="LQ141" s="182">
        <f>VLOOKUP($IW141,Base_Mensuelle!$OF$68:$RM$679,HLOOKUP(LQ$73,Base_Mensuelle!$QG$67:$RM$680,614,0))</f>
        <v>1153.724538640316</v>
      </c>
      <c r="LR141" s="182">
        <f>VLOOKUP($IW141,Base_Mensuelle!$OF$68:$RM$679,HLOOKUP(LR$73,Base_Mensuelle!$QG$67:$RM$680,614,0))</f>
        <v>1166.4889943118633</v>
      </c>
      <c r="LS141" s="182">
        <f>VLOOKUP($IW141,Base_Mensuelle!$OF$68:$RM$679,HLOOKUP(LS$73,Base_Mensuelle!$QG$67:$RM$680,614,0))</f>
        <v>0</v>
      </c>
      <c r="LT141" s="182">
        <f>VLOOKUP($IW141,Base_Mensuelle!$OF$68:$RM$679,HLOOKUP(LT$73,Base_Mensuelle!$QG$67:$RM$680,614,0))</f>
        <v>61.149000000000001</v>
      </c>
      <c r="LU141" s="182">
        <f>VLOOKUP($IW141,Base_Mensuelle!$OF$68:$RM$679,HLOOKUP(LU$73,Base_Mensuelle!$QG$67:$RM$680,614,0))</f>
        <v>2.4500000000000002</v>
      </c>
      <c r="LV141" s="182">
        <f>VLOOKUP($IW141,Base_Mensuelle!$OF$68:$RM$679,HLOOKUP(LV$73,Base_Mensuelle!$QG$67:$RM$680,614,0))</f>
        <v>26.687999999999999</v>
      </c>
      <c r="LW141" s="182">
        <f>VLOOKUP($IW141,Base_Mensuelle!$OF$68:$RM$679,HLOOKUP(LW$73,Base_Mensuelle!$QG$67:$RM$680,614,0))</f>
        <v>0</v>
      </c>
      <c r="LX141" s="182">
        <f>VLOOKUP($IW141,Base_Mensuelle!$OF$68:$RM$679,HLOOKUP(LX$73,Base_Mensuelle!$QG$67:$RM$680,614,0))</f>
        <v>0</v>
      </c>
      <c r="LY141" s="182">
        <f>VLOOKUP($IW141,Base_Mensuelle!$OF$68:$RM$679,HLOOKUP(LY$73,Base_Mensuelle!$QG$67:$RM$680,614,0))</f>
        <v>378.54599999999999</v>
      </c>
      <c r="LZ141" s="182">
        <f>VLOOKUP($IW141,Base_Mensuelle!$OF$68:$RM$679,HLOOKUP(LZ$73,Base_Mensuelle!$QG$67:$RM$680,614,0))</f>
        <v>9.5010000000000048</v>
      </c>
      <c r="MA141" s="182">
        <f>VLOOKUP($IW141,Base_Mensuelle!$OF$68:$RM$679,HLOOKUP(MA$73,Base_Mensuelle!$QG$67:$RM$680,614,0))</f>
        <v>0</v>
      </c>
      <c r="MB141" s="182">
        <f>VLOOKUP($IW141,Base_Mensuelle!$OF$68:$RM$679,HLOOKUP(MB$73,Base_Mensuelle!$QG$67:$RM$680,614,0))</f>
        <v>0</v>
      </c>
      <c r="MC141" s="182">
        <f>VLOOKUP($IW141,Base_Mensuelle!$OF$68:$RM$679,HLOOKUP(MC$73,Base_Mensuelle!$QG$67:$RM$680,614,0))</f>
        <v>0</v>
      </c>
      <c r="MD141" s="182">
        <f>VLOOKUP($IW141,Base_Mensuelle!$OF$68:$RM$679,HLOOKUP(MD$73,Base_Mensuelle!$QG$67:$RM$680,614,0))</f>
        <v>0</v>
      </c>
      <c r="ME141" s="182">
        <f>VLOOKUP($IW141,Base_Mensuelle!$OF$68:$RM$679,HLOOKUP(ME$73,Base_Mensuelle!$QG$67:$RM$680,614,0))</f>
        <v>0</v>
      </c>
      <c r="MF141" s="182"/>
      <c r="MG141" s="182"/>
      <c r="MH141" s="290"/>
      <c r="MI141" s="29">
        <v>68</v>
      </c>
      <c r="MJ141" s="29" t="str">
        <f t="shared" si="88"/>
        <v>Trimestre 42016</v>
      </c>
      <c r="MK141" s="848">
        <v>42705</v>
      </c>
      <c r="ML141" s="1991">
        <v>104.61394395236577</v>
      </c>
      <c r="MM141" s="1991">
        <v>111.74596566564013</v>
      </c>
      <c r="MN141" s="1991">
        <v>99.819716538040737</v>
      </c>
      <c r="MO141" s="1991">
        <v>100</v>
      </c>
      <c r="MP141" s="1991">
        <v>104.61394395236577</v>
      </c>
      <c r="MQ141" s="1991">
        <v>111.76366110197166</v>
      </c>
      <c r="MR141" s="1991">
        <v>110.2</v>
      </c>
      <c r="MS141" s="1991">
        <v>100.04480681332333</v>
      </c>
      <c r="MT141" s="1991">
        <v>100.00000000000004</v>
      </c>
      <c r="MU141" s="1991">
        <v>100</v>
      </c>
      <c r="MV141" s="1991">
        <v>100.29950046728167</v>
      </c>
      <c r="MW141" s="1991">
        <v>100</v>
      </c>
      <c r="MX141" s="1991">
        <v>98.41269841269839</v>
      </c>
      <c r="MY141" s="1991">
        <v>100.00000000000009</v>
      </c>
      <c r="MZ141" s="1991">
        <v>100.16605741605126</v>
      </c>
      <c r="NA141" s="1991">
        <v>100.00000000000009</v>
      </c>
      <c r="NB141" s="1991">
        <v>98.82907354341387</v>
      </c>
      <c r="NC141" s="1991">
        <v>127.11178056107441</v>
      </c>
      <c r="ND141" s="1991">
        <v>91.413470543099976</v>
      </c>
      <c r="NE141" s="1991">
        <v>100.00000000000007</v>
      </c>
      <c r="NF141" s="1991">
        <v>100.00000000000003</v>
      </c>
      <c r="NG141" s="1991">
        <v>100.00000000000009</v>
      </c>
      <c r="NH141" s="1991">
        <v>100.00000000000006</v>
      </c>
      <c r="NI141" s="1991">
        <v>100</v>
      </c>
      <c r="NJ141" s="1991">
        <v>100</v>
      </c>
      <c r="NK141" s="1991">
        <v>104.88773023083908</v>
      </c>
      <c r="NL141" s="29">
        <v>68</v>
      </c>
    </row>
    <row r="142" spans="1:376">
      <c r="A142" s="41">
        <f t="shared" si="86"/>
        <v>2017</v>
      </c>
      <c r="B142" s="785">
        <v>42795</v>
      </c>
      <c r="C142" s="733">
        <v>70.718344678610165</v>
      </c>
      <c r="D142" s="1547">
        <v>229.36979980976946</v>
      </c>
      <c r="E142" s="570">
        <v>170.85519643301376</v>
      </c>
      <c r="F142" s="1547">
        <v>120.5223006894475</v>
      </c>
      <c r="G142" s="1547">
        <v>0</v>
      </c>
      <c r="H142" s="1547">
        <v>89.982178003836097</v>
      </c>
      <c r="I142" s="570">
        <v>24.910520630696741</v>
      </c>
      <c r="J142" s="570">
        <v>148.14656664474359</v>
      </c>
      <c r="K142" s="570">
        <v>175.00622307129697</v>
      </c>
      <c r="L142" s="570">
        <v>227.58010968393359</v>
      </c>
      <c r="M142" s="734">
        <v>94.360219509190586</v>
      </c>
      <c r="N142" s="25">
        <v>69</v>
      </c>
      <c r="O142" s="889">
        <f t="shared" si="85"/>
        <v>2017</v>
      </c>
      <c r="P142" s="29" t="str">
        <f t="shared" si="87"/>
        <v>Trimestre 12017</v>
      </c>
      <c r="Q142" s="848">
        <v>42795</v>
      </c>
      <c r="R142" s="733">
        <v>11.40969879</v>
      </c>
      <c r="S142" s="570">
        <v>151.13200000000001</v>
      </c>
      <c r="T142" s="570">
        <v>1694.9530111376337</v>
      </c>
      <c r="U142" s="734">
        <v>26.23</v>
      </c>
      <c r="V142" s="25">
        <v>69</v>
      </c>
      <c r="W142" s="733">
        <v>2074</v>
      </c>
      <c r="X142" s="570">
        <v>15511</v>
      </c>
      <c r="Y142" s="570">
        <v>505.66725771449546</v>
      </c>
      <c r="Z142" s="570">
        <v>230.45046365091011</v>
      </c>
      <c r="AA142" s="570">
        <v>44.6419</v>
      </c>
      <c r="AB142" s="570">
        <v>89.506</v>
      </c>
      <c r="AC142" s="570">
        <v>1029.33</v>
      </c>
      <c r="AD142" s="570">
        <v>268.07100000000003</v>
      </c>
      <c r="AE142" s="734">
        <v>22.818611000000001</v>
      </c>
      <c r="AF142" s="25">
        <v>69</v>
      </c>
      <c r="AG142" s="733">
        <v>19.110746590367128</v>
      </c>
      <c r="AH142" s="570">
        <v>9.558424143186393</v>
      </c>
      <c r="AI142" s="570">
        <v>26.504564605504648</v>
      </c>
      <c r="AJ142" s="570">
        <v>18.981088427670169</v>
      </c>
      <c r="AK142" s="570">
        <v>18.762116575999077</v>
      </c>
      <c r="AL142" s="570">
        <v>23.350018204358264</v>
      </c>
      <c r="AM142" s="570">
        <v>14.863785364171271</v>
      </c>
      <c r="AN142" s="734">
        <v>5.0147871285421211</v>
      </c>
      <c r="AO142" s="733">
        <v>13.996655935847762</v>
      </c>
      <c r="AP142" s="570">
        <v>16.951265563383437</v>
      </c>
      <c r="AQ142" s="570">
        <v>14.117344941244816</v>
      </c>
      <c r="AR142" s="570">
        <v>-13.205212100145978</v>
      </c>
      <c r="AS142" s="734">
        <v>2.2988505747126418</v>
      </c>
      <c r="AT142" s="733">
        <v>-0.810514688042975</v>
      </c>
      <c r="AU142" s="570">
        <v>-14.511737030554961</v>
      </c>
      <c r="AV142" s="734">
        <v>5.2956491305287434</v>
      </c>
      <c r="AW142" s="733">
        <v>-1.1000296174560944</v>
      </c>
      <c r="AX142" s="570">
        <v>42.359719947414291</v>
      </c>
      <c r="AY142" s="570">
        <v>0.93088431481984912</v>
      </c>
      <c r="AZ142" s="570">
        <v>-0.20490302274494177</v>
      </c>
      <c r="BA142" s="570">
        <v>-0.20689511010012573</v>
      </c>
      <c r="BB142" s="570">
        <v>1.7836896697655931</v>
      </c>
      <c r="BC142" s="734">
        <v>24.137931034482758</v>
      </c>
      <c r="BD142" s="179">
        <v>1.3265431540266732</v>
      </c>
      <c r="BE142" s="99">
        <v>-14.389560834166986</v>
      </c>
      <c r="BF142" s="99">
        <v>34.312005429630979</v>
      </c>
      <c r="BG142" s="99">
        <v>45.602767025134192</v>
      </c>
      <c r="BH142" s="99">
        <v>32.423521624998983</v>
      </c>
      <c r="BI142" s="99">
        <v>44.185731960905301</v>
      </c>
      <c r="BJ142" s="99">
        <v>10.592009326395756</v>
      </c>
      <c r="BK142" s="132">
        <v>5.9714511381885158</v>
      </c>
      <c r="BL142" s="179">
        <v>27.807871013598728</v>
      </c>
      <c r="BM142" s="99">
        <v>31.177847080621948</v>
      </c>
      <c r="BN142" s="99">
        <v>-4.3669023846557566</v>
      </c>
      <c r="BO142" s="99">
        <v>-26.38109864411738</v>
      </c>
      <c r="BP142" s="99">
        <v>-5.2631578947368443</v>
      </c>
      <c r="BQ142" s="132">
        <v>-15.789473684210524</v>
      </c>
      <c r="BR142" s="179">
        <v>14.248401650999856</v>
      </c>
      <c r="BS142" s="99">
        <v>-27.621654075197682</v>
      </c>
      <c r="BT142" s="99">
        <v>12.024126350319994</v>
      </c>
      <c r="BU142" s="132">
        <v>-7.949125973949327</v>
      </c>
      <c r="BV142" s="179">
        <v>47.477365076683206</v>
      </c>
      <c r="BW142" s="99">
        <v>-53.360079259823408</v>
      </c>
      <c r="BX142" s="99">
        <v>-22.93457227646925</v>
      </c>
      <c r="BY142" s="99">
        <v>-2.7540154343828496</v>
      </c>
      <c r="BZ142" s="99">
        <v>-14.712601718651131</v>
      </c>
      <c r="CA142" s="99">
        <v>0</v>
      </c>
      <c r="CB142" s="132">
        <v>0</v>
      </c>
      <c r="CC142" s="25">
        <v>69</v>
      </c>
      <c r="CD142" s="181">
        <v>75938</v>
      </c>
      <c r="CE142" s="182">
        <v>16882527</v>
      </c>
      <c r="CF142" s="290">
        <v>4315334</v>
      </c>
      <c r="CG142" s="25">
        <v>69</v>
      </c>
      <c r="CH142" s="419">
        <f t="shared" ref="CH142:CS143" si="89">(((CH141/CH140-1)+(CH140/CH139-1))/2+1)*CH141</f>
        <v>21898.215029778097</v>
      </c>
      <c r="CI142" s="100">
        <f t="shared" si="89"/>
        <v>3703.7343905009766</v>
      </c>
      <c r="CJ142" s="100">
        <f t="shared" si="89"/>
        <v>23728.945657063225</v>
      </c>
      <c r="CK142" s="100">
        <f t="shared" si="89"/>
        <v>11550.992403486191</v>
      </c>
      <c r="CL142" s="100">
        <f t="shared" si="89"/>
        <v>6482.1212889914632</v>
      </c>
      <c r="CM142" s="100">
        <f t="shared" si="89"/>
        <v>1158.745162170617</v>
      </c>
      <c r="CN142" s="100">
        <f t="shared" si="89"/>
        <v>2378.2150342294535</v>
      </c>
      <c r="CO142" s="100">
        <f t="shared" si="89"/>
        <v>2022.6328506502516</v>
      </c>
      <c r="CP142" s="100">
        <f t="shared" si="89"/>
        <v>1661.3131853369885</v>
      </c>
      <c r="CQ142" s="100">
        <f t="shared" si="89"/>
        <v>1296.1551823787818</v>
      </c>
      <c r="CR142" s="420">
        <f t="shared" si="89"/>
        <v>88604.412270210945</v>
      </c>
      <c r="CS142" s="306">
        <f t="shared" si="89"/>
        <v>129368.55002550337</v>
      </c>
      <c r="CT142" s="25">
        <v>69</v>
      </c>
      <c r="CU142" s="419">
        <f t="shared" ref="CU142:DB143" si="90">(((CU141/CU140-1)+(CU140/CU139-1))/2+1)*CU141</f>
        <v>18063.079522138385</v>
      </c>
      <c r="CV142" s="100">
        <f t="shared" si="90"/>
        <v>78005.859077798828</v>
      </c>
      <c r="CW142" s="100">
        <f t="shared" si="90"/>
        <v>16706.289020743232</v>
      </c>
      <c r="CX142" s="100">
        <f t="shared" si="90"/>
        <v>1028.2083427267091</v>
      </c>
      <c r="CY142" s="100">
        <f t="shared" si="90"/>
        <v>1120.0652227327903</v>
      </c>
      <c r="CZ142" s="100">
        <f t="shared" si="90"/>
        <v>1278.1578096447488</v>
      </c>
      <c r="DA142" s="100">
        <f t="shared" si="90"/>
        <v>14052.089270646517</v>
      </c>
      <c r="DB142" s="306">
        <f t="shared" si="90"/>
        <v>129368.55002550337</v>
      </c>
      <c r="DC142" s="25">
        <v>69</v>
      </c>
      <c r="DD142" s="785">
        <v>42795</v>
      </c>
      <c r="DE142" s="733">
        <v>453.24885320700002</v>
      </c>
      <c r="DF142" s="734">
        <v>324.58949099999995</v>
      </c>
      <c r="DG142" s="25">
        <v>69</v>
      </c>
      <c r="DH142" s="733">
        <v>490.21206867911997</v>
      </c>
      <c r="DI142" s="734">
        <v>1287.2955379999999</v>
      </c>
      <c r="DJ142" s="25">
        <v>69</v>
      </c>
      <c r="DK142" s="733">
        <v>453.24885320700002</v>
      </c>
      <c r="DL142" s="734">
        <v>490.21206867911997</v>
      </c>
      <c r="DM142" s="733">
        <v>-36.963215472119941</v>
      </c>
      <c r="DN142" s="734">
        <v>92.459750007437066</v>
      </c>
      <c r="DO142" s="25">
        <v>69</v>
      </c>
      <c r="DP142" s="733">
        <v>145.93985163228882</v>
      </c>
      <c r="DQ142" s="570">
        <v>525.52699551706496</v>
      </c>
      <c r="DR142" s="734">
        <v>766.95331754522942</v>
      </c>
      <c r="DS142" s="25">
        <v>69</v>
      </c>
      <c r="DT142" s="733">
        <v>84.789277070779548</v>
      </c>
      <c r="DU142" s="570">
        <v>75.492297814834089</v>
      </c>
      <c r="DV142" s="734">
        <v>64.009373561317744</v>
      </c>
      <c r="DW142" s="25">
        <v>69</v>
      </c>
      <c r="DX142" s="733">
        <v>172.12064623509244</v>
      </c>
      <c r="DY142" s="734">
        <v>38.15115628872946</v>
      </c>
      <c r="DZ142" s="25">
        <v>69</v>
      </c>
      <c r="EA142" s="733">
        <v>275.41929856000002</v>
      </c>
      <c r="EB142" s="570">
        <v>70.998230548000009</v>
      </c>
      <c r="EC142" s="570">
        <v>26.633627583000003</v>
      </c>
      <c r="ED142" s="570">
        <v>4.834457907</v>
      </c>
      <c r="EE142" s="734">
        <v>34.412696089999997</v>
      </c>
      <c r="EF142" s="25">
        <v>69</v>
      </c>
      <c r="EG142" s="1569">
        <v>94.561276788399994</v>
      </c>
      <c r="EH142" s="1570">
        <v>14.74762589</v>
      </c>
      <c r="EI142" s="1570">
        <v>14.777937662000001</v>
      </c>
      <c r="EJ142" s="1570">
        <v>18.56320869</v>
      </c>
      <c r="EK142" s="1571">
        <v>11.012170077</v>
      </c>
      <c r="EL142" s="25">
        <v>69</v>
      </c>
      <c r="EM142" s="733">
        <v>240.69807138799999</v>
      </c>
      <c r="EN142" s="570">
        <v>68.538191460999997</v>
      </c>
      <c r="EO142" s="570">
        <v>24.366334016</v>
      </c>
      <c r="EP142" s="570">
        <v>11.930576941</v>
      </c>
      <c r="EQ142" s="570">
        <v>3.3941503079999999</v>
      </c>
      <c r="ER142" s="570">
        <v>10.613206094000001</v>
      </c>
      <c r="ES142" s="570">
        <v>5.064457537</v>
      </c>
      <c r="ET142" s="570">
        <v>7.6635259280000003</v>
      </c>
      <c r="EU142" s="570">
        <v>0.61158353799999998</v>
      </c>
      <c r="EV142" s="734">
        <v>2.137211771</v>
      </c>
      <c r="EW142" s="25">
        <v>69</v>
      </c>
      <c r="EX142" s="918">
        <v>42.991712691959997</v>
      </c>
      <c r="EY142" s="919">
        <v>19.68316554886</v>
      </c>
      <c r="EZ142" s="919">
        <v>46.875264877749999</v>
      </c>
      <c r="FA142" s="919">
        <v>0.1721760242</v>
      </c>
      <c r="FB142" s="919">
        <v>72.088278127309991</v>
      </c>
      <c r="FC142" s="919">
        <v>30.96316867857</v>
      </c>
      <c r="FD142" s="919">
        <v>2.9763469627199997</v>
      </c>
      <c r="FE142" s="919">
        <v>24.770268705980001</v>
      </c>
      <c r="FF142" s="919">
        <v>4.8918641197900001</v>
      </c>
      <c r="FG142" s="920">
        <v>41.936969270910005</v>
      </c>
      <c r="FH142" s="25">
        <v>69</v>
      </c>
      <c r="FI142" s="848">
        <v>42795</v>
      </c>
      <c r="FJ142" s="19">
        <v>3112</v>
      </c>
      <c r="FK142" s="93">
        <v>1892</v>
      </c>
      <c r="FL142" s="20">
        <v>0</v>
      </c>
      <c r="FM142" s="25">
        <v>69</v>
      </c>
      <c r="FN142" s="19">
        <v>101</v>
      </c>
      <c r="FO142" s="93">
        <v>1168</v>
      </c>
      <c r="FP142" s="93">
        <v>2025</v>
      </c>
      <c r="FQ142" s="93">
        <v>1073</v>
      </c>
      <c r="FR142" s="93">
        <v>425</v>
      </c>
      <c r="FS142" s="93">
        <v>126</v>
      </c>
      <c r="FT142" s="93">
        <v>58</v>
      </c>
      <c r="FU142" s="93">
        <v>18</v>
      </c>
      <c r="FV142" s="93">
        <v>9</v>
      </c>
      <c r="FW142" s="917">
        <v>1</v>
      </c>
      <c r="FX142" s="25">
        <v>69</v>
      </c>
      <c r="FY142" s="975">
        <v>56</v>
      </c>
      <c r="FZ142" s="975">
        <v>533</v>
      </c>
      <c r="GA142" s="975">
        <v>845</v>
      </c>
      <c r="GB142" s="975">
        <v>161</v>
      </c>
      <c r="GC142" s="975">
        <v>718</v>
      </c>
      <c r="GD142" s="975">
        <v>244</v>
      </c>
      <c r="GE142" s="975">
        <v>1449</v>
      </c>
      <c r="GF142" s="975">
        <v>238</v>
      </c>
      <c r="GG142" s="975">
        <v>29</v>
      </c>
      <c r="GH142" s="975">
        <v>611</v>
      </c>
      <c r="GI142" s="976">
        <v>120</v>
      </c>
      <c r="GJ142" s="25">
        <v>69</v>
      </c>
      <c r="GK142" s="19"/>
      <c r="GL142" s="20"/>
      <c r="GM142" s="25">
        <v>69</v>
      </c>
      <c r="GN142" s="19">
        <v>5347</v>
      </c>
      <c r="GO142" s="20">
        <v>1680</v>
      </c>
      <c r="GP142" s="25">
        <v>69</v>
      </c>
      <c r="GQ142" s="19">
        <v>32</v>
      </c>
      <c r="GR142" s="20">
        <v>31</v>
      </c>
      <c r="GS142" s="25">
        <v>69</v>
      </c>
      <c r="GT142" s="848">
        <v>42795</v>
      </c>
      <c r="GU142" s="733">
        <v>308.39441585221778</v>
      </c>
      <c r="GV142" s="570">
        <v>284.40561355900002</v>
      </c>
      <c r="GW142" s="570">
        <v>284.40561355900002</v>
      </c>
      <c r="GX142" s="570">
        <v>258.025806031</v>
      </c>
      <c r="GY142" s="570">
        <v>60.906842228000002</v>
      </c>
      <c r="GZ142" s="570">
        <v>2.2874320539999999</v>
      </c>
      <c r="HA142" s="570">
        <v>2.0291121409999997</v>
      </c>
      <c r="HB142" s="570">
        <v>149.09496692299999</v>
      </c>
      <c r="HC142" s="570">
        <v>40.504784438999998</v>
      </c>
      <c r="HD142" s="570">
        <v>3.2026682459999996</v>
      </c>
      <c r="HE142" s="570">
        <v>26.379807527999997</v>
      </c>
      <c r="HF142" s="570">
        <v>1.3472251579999999</v>
      </c>
      <c r="HG142" s="570">
        <v>8.7774084299999995</v>
      </c>
      <c r="HH142" s="570">
        <v>0.26678957000000003</v>
      </c>
      <c r="HI142" s="570">
        <v>2.6849340999999999E-2</v>
      </c>
      <c r="HJ142" s="570">
        <v>15.961535028999998</v>
      </c>
      <c r="HK142" s="570">
        <v>0</v>
      </c>
      <c r="HL142" s="570">
        <v>23.988802293217702</v>
      </c>
      <c r="HM142" s="570">
        <v>23.988802293217702</v>
      </c>
      <c r="HN142" s="570">
        <v>0</v>
      </c>
      <c r="HO142" s="570">
        <v>343.2921249656597</v>
      </c>
      <c r="HP142" s="570">
        <v>343.45085087065968</v>
      </c>
      <c r="HQ142" s="570">
        <v>244.92196803244201</v>
      </c>
      <c r="HR142" s="570">
        <v>144.36999767099999</v>
      </c>
      <c r="HS142" s="570">
        <v>22.177488456999999</v>
      </c>
      <c r="HT142" s="570">
        <v>4.4414941964419992</v>
      </c>
      <c r="HU142" s="570">
        <v>0.69239566200000002</v>
      </c>
      <c r="HV142" s="570">
        <v>3.7490985344419996</v>
      </c>
      <c r="HW142" s="570">
        <v>73.932987707999999</v>
      </c>
      <c r="HX142" s="570">
        <v>0</v>
      </c>
      <c r="HY142" s="570">
        <v>27.374852964999999</v>
      </c>
      <c r="HZ142" s="570">
        <v>0</v>
      </c>
      <c r="IA142" s="570">
        <v>0</v>
      </c>
      <c r="IB142" s="570">
        <v>98.528882838217683</v>
      </c>
      <c r="IC142" s="570">
        <v>56.254017224000002</v>
      </c>
      <c r="ID142" s="570">
        <v>0</v>
      </c>
      <c r="IE142" s="570">
        <v>42.274865614217696</v>
      </c>
      <c r="IF142" s="570">
        <v>-0.15872590500000119</v>
      </c>
      <c r="IG142" s="570">
        <v>-34.897709113441977</v>
      </c>
      <c r="IH142" s="570">
        <v>-58.886511406659679</v>
      </c>
      <c r="II142" s="570">
        <v>-12.17015159599997</v>
      </c>
      <c r="IJ142" s="570">
        <v>-16.611645792441976</v>
      </c>
      <c r="IK142" s="570">
        <v>-96.535181189108727</v>
      </c>
      <c r="IL142" s="570">
        <v>-120.52398348232644</v>
      </c>
      <c r="IM142" s="570">
        <v>98.920047789239916</v>
      </c>
      <c r="IN142" s="570">
        <v>8.9609963092399187</v>
      </c>
      <c r="IO142" s="570">
        <v>18.286063320999997</v>
      </c>
      <c r="IP142" s="570">
        <v>-9.3250670117600798</v>
      </c>
      <c r="IQ142" s="570">
        <v>0</v>
      </c>
      <c r="IR142" s="570">
        <v>89.959051479999999</v>
      </c>
      <c r="IS142" s="570">
        <v>88.610051267000017</v>
      </c>
      <c r="IT142" s="570">
        <v>1.349000212999995</v>
      </c>
      <c r="IU142" s="570">
        <v>-2.3848666001311969</v>
      </c>
      <c r="IV142" s="93">
        <v>69</v>
      </c>
      <c r="IW142" s="848">
        <v>42795</v>
      </c>
      <c r="IX142" s="1035"/>
      <c r="IY142" s="1035">
        <v>282.88850064899998</v>
      </c>
      <c r="IZ142" s="1035">
        <v>347.17516612399999</v>
      </c>
      <c r="JA142" s="1035">
        <v>0.38604696700000002</v>
      </c>
      <c r="JB142" s="1035">
        <v>1204.2277096639707</v>
      </c>
      <c r="JC142" s="1035">
        <v>189.52119962900002</v>
      </c>
      <c r="JD142" s="1035">
        <v>1677.0234569089707</v>
      </c>
      <c r="JE142" s="1035">
        <v>1255.2819100108675</v>
      </c>
      <c r="JF142" s="1035">
        <v>2932.305366919838</v>
      </c>
      <c r="JG142" s="1035"/>
      <c r="JH142" s="1035">
        <v>1125.4047199810218</v>
      </c>
      <c r="JI142" s="1035">
        <v>-232.63005314100008</v>
      </c>
      <c r="JJ142" s="1035">
        <v>1358.0347731220222</v>
      </c>
      <c r="JK142" s="1035">
        <v>2153.1102394728164</v>
      </c>
      <c r="JL142" s="1035">
        <v>-19.762168720000062</v>
      </c>
      <c r="JM142" s="1035">
        <v>-98.188168719999993</v>
      </c>
      <c r="JN142" s="1035">
        <v>78.425999999999931</v>
      </c>
      <c r="JO142" s="1035">
        <v>2172.8724081928162</v>
      </c>
      <c r="JP142" s="1035">
        <v>4.4581294080000005</v>
      </c>
      <c r="JQ142" s="1035">
        <v>2168.4142787848164</v>
      </c>
      <c r="JR142" s="1035">
        <v>481.59625178599998</v>
      </c>
      <c r="JS142" s="1035">
        <v>-135.38665925199999</v>
      </c>
      <c r="JT142" s="1036">
        <v>2932.305366919838</v>
      </c>
      <c r="JU142" s="29">
        <v>69</v>
      </c>
      <c r="JV142" s="1037"/>
      <c r="JW142" s="1526">
        <f>VLOOKUP($IW142,Base_Mensuelle!$OF$68:$RM$679,HLOOKUP(JW$73,Base_Mensuelle!$PE$67:$QE$680,614,0))</f>
        <v>-232.63005314100008</v>
      </c>
      <c r="JX142" s="1526">
        <f>VLOOKUP($IW142,Base_Mensuelle!$OF$68:$RM$679,HLOOKUP(JX$73,Base_Mensuelle!$PE$67:$QE$680,614,0))</f>
        <v>611.14843351099989</v>
      </c>
      <c r="JY142" s="1526">
        <f>VLOOKUP($IW142,Base_Mensuelle!$OF$68:$RM$679,HLOOKUP(JY$73,Base_Mensuelle!$PE$67:$QE$680,614,0))</f>
        <v>843.77848665199997</v>
      </c>
      <c r="JZ142" s="1526">
        <f>VLOOKUP($IW142,Base_Mensuelle!$OF$68:$RM$679,HLOOKUP(JZ$73,Base_Mensuelle!$PE$67:$QE$680,614,0))</f>
        <v>799.28296001599995</v>
      </c>
      <c r="KA142" s="1526">
        <f>VLOOKUP($IW142,Base_Mensuelle!$OF$68:$RM$679,HLOOKUP(KA$73,Base_Mensuelle!$PE$67:$QE$680,614,0))</f>
        <v>-93.37250324499999</v>
      </c>
      <c r="KB142" s="1526">
        <f>VLOOKUP($IW142,Base_Mensuelle!$OF$68:$RM$679,HLOOKUP(KB$73,Base_Mensuelle!$PE$67:$QE$680,614,0))</f>
        <v>133.38271163900001</v>
      </c>
      <c r="KC142" s="1526">
        <f>VLOOKUP($IW142,Base_Mensuelle!$OF$68:$RM$679,HLOOKUP(KC$73,Base_Mensuelle!$PE$67:$QE$680,614,0))</f>
        <v>226.755214884</v>
      </c>
      <c r="KD142" s="1526">
        <f>VLOOKUP($IW142,Base_Mensuelle!$OF$68:$RM$679,HLOOKUP(KD$73,Base_Mensuelle!$PE$67:$QE$680,614,0))</f>
        <v>4.4581294080000005</v>
      </c>
      <c r="KE142" s="1526">
        <f>VLOOKUP($IW142,Base_Mensuelle!$OF$68:$RM$679,HLOOKUP(KE$73,Base_Mensuelle!$PE$67:$QE$680,614,0))</f>
        <v>0.6</v>
      </c>
      <c r="KF142" s="1526">
        <f>VLOOKUP($IW142,Base_Mensuelle!$OF$68:$RM$679,HLOOKUP(KF$73,Base_Mensuelle!$PE$67:$QE$680,614,0))</f>
        <v>0</v>
      </c>
      <c r="KG142" s="1526">
        <f>VLOOKUP($IW142,Base_Mensuelle!$OF$68:$RM$679,HLOOKUP(KG$73,Base_Mensuelle!$PE$67:$QE$680,614,0))</f>
        <v>1.18585E-4</v>
      </c>
      <c r="KH142" s="1526">
        <f>VLOOKUP($IW142,Base_Mensuelle!$OF$68:$RM$679,HLOOKUP(KH$73,Base_Mensuelle!$PE$67:$QE$680,614,0))</f>
        <v>3.8580108230000003</v>
      </c>
      <c r="KI142" s="1526">
        <f>VLOOKUP($IW142,Base_Mensuelle!$OF$68:$RM$679,HLOOKUP(KI$73,Base_Mensuelle!$PE$67:$QE$680,614,0))</f>
        <v>453.40094893799994</v>
      </c>
      <c r="KJ142" s="1526">
        <f>VLOOKUP($IW142,Base_Mensuelle!$OF$68:$RM$679,HLOOKUP(KJ$73,Base_Mensuelle!$PE$67:$QE$680,614,0))</f>
        <v>347.17516612399999</v>
      </c>
      <c r="KK142" s="1526">
        <f>VLOOKUP($IW142,Base_Mensuelle!$OF$68:$RM$679,HLOOKUP(KK$73,Base_Mensuelle!$PE$67:$QE$680,614,0))</f>
        <v>105.513168079</v>
      </c>
      <c r="KL142" s="1526">
        <f>VLOOKUP($IW142,Base_Mensuelle!$OF$68:$RM$679,HLOOKUP(KL$73,Base_Mensuelle!$PE$67:$QE$680,614,0))</f>
        <v>0.71261473500000005</v>
      </c>
      <c r="KM142" s="1526">
        <f>VLOOKUP($IW142,Base_Mensuelle!$OF$68:$RM$679,HLOOKUP(KM$73,Base_Mensuelle!$PE$67:$QE$680,614,0))</f>
        <v>0</v>
      </c>
      <c r="KN142" s="1526">
        <f>VLOOKUP($IW142,Base_Mensuelle!$OF$68:$RM$679,HLOOKUP(KN$73,Base_Mensuelle!$PE$67:$QE$680,614,0))</f>
        <v>1.0171007889999999</v>
      </c>
      <c r="KO142" s="1526">
        <f>VLOOKUP($IW142,Base_Mensuelle!$OF$68:$RM$679,HLOOKUP(KO$73,Base_Mensuelle!$PE$67:$QE$680,614,0))</f>
        <v>0</v>
      </c>
      <c r="KP142" s="1526">
        <f>VLOOKUP($IW142,Base_Mensuelle!$OF$68:$RM$679,HLOOKUP(KP$73,Base_Mensuelle!$PE$67:$QE$680,614,0))</f>
        <v>0</v>
      </c>
      <c r="KQ142" s="1526">
        <f>VLOOKUP($IW142,Base_Mensuelle!$OF$68:$RM$679,HLOOKUP(KQ$73,Base_Mensuelle!$PE$67:$QE$680,614,0))</f>
        <v>1.0171007889999999</v>
      </c>
      <c r="KR142" s="1526">
        <f>VLOOKUP($IW142,Base_Mensuelle!$OF$68:$RM$679,HLOOKUP(KR$73,Base_Mensuelle!$PE$67:$QE$680,614,0))</f>
        <v>0</v>
      </c>
      <c r="KS142" s="1526">
        <f>VLOOKUP($IW142,Base_Mensuelle!$OF$68:$RM$679,HLOOKUP(KS$73,Base_Mensuelle!$PE$67:$QE$680,614,0))</f>
        <v>0</v>
      </c>
      <c r="KT142" s="1526">
        <f>VLOOKUP($IW142,Base_Mensuelle!$OF$68:$RM$679,HLOOKUP(KT$73,Base_Mensuelle!$PE$67:$QE$680,614,0))</f>
        <v>0</v>
      </c>
      <c r="KU142" s="1526">
        <f>VLOOKUP($IW142,Base_Mensuelle!$OF$68:$RM$679,HLOOKUP(KU$73,Base_Mensuelle!$PE$67:$QE$680,614,0))</f>
        <v>7.0651509969999999</v>
      </c>
      <c r="KV142" s="1526">
        <f>VLOOKUP($IW142,Base_Mensuelle!$OF$68:$RM$679,HLOOKUP(KV$73,Base_Mensuelle!$PE$67:$QE$680,614,0))</f>
        <v>16.255332313999983</v>
      </c>
      <c r="KW142" s="1036"/>
      <c r="KX142" s="29">
        <v>69</v>
      </c>
      <c r="KY142" s="1037"/>
      <c r="KZ142" s="182">
        <f>VLOOKUP($IW142,Base_Mensuelle!$OF$68:$RM$679,HLOOKUP(KZ$73,Base_Mensuelle!$QG$67:$RM$680,614,0))</f>
        <v>1358.0347731220222</v>
      </c>
      <c r="LA142" s="182">
        <f>VLOOKUP($IW142,Base_Mensuelle!$OF$68:$RM$679,HLOOKUP(LA$73,Base_Mensuelle!$QG$67:$RM$680,614,0))</f>
        <v>1795.8777212151838</v>
      </c>
      <c r="LB142" s="182">
        <f>VLOOKUP($IW142,Base_Mensuelle!$OF$68:$RM$679,HLOOKUP(LB$73,Base_Mensuelle!$QG$67:$RM$680,614,0))</f>
        <v>-437.84294809316162</v>
      </c>
      <c r="LC142" s="182">
        <f>VLOOKUP($IW142,Base_Mensuelle!$OF$68:$RM$679,HLOOKUP(LC$73,Base_Mensuelle!$QG$67:$RM$680,614,0))</f>
        <v>175.47300000000001</v>
      </c>
      <c r="LD142" s="182">
        <f>VLOOKUP($IW142,Base_Mensuelle!$OF$68:$RM$679,HLOOKUP(LD$73,Base_Mensuelle!$QG$67:$RM$680,614,0))</f>
        <v>59.470999999999997</v>
      </c>
      <c r="LE142" s="182">
        <f>VLOOKUP($IW142,Base_Mensuelle!$OF$68:$RM$679,HLOOKUP(LE$73,Base_Mensuelle!$QG$67:$RM$680,614,0))</f>
        <v>116.00200000000001</v>
      </c>
      <c r="LF142" s="182">
        <f>VLOOKUP($IW142,Base_Mensuelle!$OF$68:$RM$679,HLOOKUP(LF$73,Base_Mensuelle!$QG$67:$RM$680,614,0))</f>
        <v>0</v>
      </c>
      <c r="LG142" s="182">
        <f>VLOOKUP($IW142,Base_Mensuelle!$OF$68:$RM$679,HLOOKUP(LG$73,Base_Mensuelle!$QG$67:$RM$680,614,0))</f>
        <v>78.425999999999931</v>
      </c>
      <c r="LH142" s="182">
        <f>VLOOKUP($IW142,Base_Mensuelle!$OF$68:$RM$679,HLOOKUP(LH$73,Base_Mensuelle!$QG$67:$RM$680,614,0))</f>
        <v>371.66499999999996</v>
      </c>
      <c r="LI142" s="182">
        <f>VLOOKUP($IW142,Base_Mensuelle!$OF$68:$RM$679,HLOOKUP(LI$73,Base_Mensuelle!$QG$67:$RM$680,614,0))</f>
        <v>-293.23900000000003</v>
      </c>
      <c r="LJ142" s="182">
        <f>VLOOKUP($IW142,Base_Mensuelle!$OF$68:$RM$679,HLOOKUP(LJ$73,Base_Mensuelle!$QG$67:$RM$680,614,0))</f>
        <v>2168.4142787848164</v>
      </c>
      <c r="LK142" s="182">
        <f>VLOOKUP($IW142,Base_Mensuelle!$OF$68:$RM$679,HLOOKUP(LK$73,Base_Mensuelle!$QG$67:$RM$680,614,0))</f>
        <v>22.807691305079658</v>
      </c>
      <c r="LL142" s="182">
        <f>VLOOKUP($IW142,Base_Mensuelle!$OF$68:$RM$679,HLOOKUP(LL$73,Base_Mensuelle!$QG$67:$RM$680,614,0))</f>
        <v>0</v>
      </c>
      <c r="LM142" s="182">
        <f>VLOOKUP($IW142,Base_Mensuelle!$OF$68:$RM$679,HLOOKUP(LM$73,Base_Mensuelle!$QG$67:$RM$680,614,0))</f>
        <v>154.13999999999999</v>
      </c>
      <c r="LN142" s="182">
        <f>VLOOKUP($IW142,Base_Mensuelle!$OF$68:$RM$679,HLOOKUP(LN$73,Base_Mensuelle!$QG$67:$RM$680,614,0))</f>
        <v>1991.4665874797365</v>
      </c>
      <c r="LO142" s="182">
        <f>VLOOKUP($IW142,Base_Mensuelle!$OF$68:$RM$679,HLOOKUP(LO$73,Base_Mensuelle!$QG$67:$RM$680,614,0))</f>
        <v>0</v>
      </c>
      <c r="LP142" s="182">
        <f>VLOOKUP($IW142,Base_Mensuelle!$OF$68:$RM$679,HLOOKUP(LP$73,Base_Mensuelle!$QG$67:$RM$680,614,0))</f>
        <v>797.51400000000001</v>
      </c>
      <c r="LQ142" s="182">
        <f>VLOOKUP($IW142,Base_Mensuelle!$OF$68:$RM$679,HLOOKUP(LQ$73,Base_Mensuelle!$QG$67:$RM$680,614,0))</f>
        <v>1204.2277096639705</v>
      </c>
      <c r="LR142" s="182">
        <f>VLOOKUP($IW142,Base_Mensuelle!$OF$68:$RM$679,HLOOKUP(LR$73,Base_Mensuelle!$QG$67:$RM$680,614,0))</f>
        <v>1254.9553422428676</v>
      </c>
      <c r="LS142" s="182">
        <f>VLOOKUP($IW142,Base_Mensuelle!$OF$68:$RM$679,HLOOKUP(LS$73,Base_Mensuelle!$QG$67:$RM$680,614,0))</f>
        <v>0</v>
      </c>
      <c r="LT142" s="182">
        <f>VLOOKUP($IW142,Base_Mensuelle!$OF$68:$RM$679,HLOOKUP(LT$73,Base_Mensuelle!$QG$67:$RM$680,614,0))</f>
        <v>73.02</v>
      </c>
      <c r="LU142" s="182">
        <f>VLOOKUP($IW142,Base_Mensuelle!$OF$68:$RM$679,HLOOKUP(LU$73,Base_Mensuelle!$QG$67:$RM$680,614,0))</f>
        <v>1.6970000000000001</v>
      </c>
      <c r="LV142" s="182">
        <f>VLOOKUP($IW142,Base_Mensuelle!$OF$68:$RM$679,HLOOKUP(LV$73,Base_Mensuelle!$QG$67:$RM$680,614,0))</f>
        <v>17.450999999999997</v>
      </c>
      <c r="LW142" s="182">
        <f>VLOOKUP($IW142,Base_Mensuelle!$OF$68:$RM$679,HLOOKUP(LW$73,Base_Mensuelle!$QG$67:$RM$680,614,0))</f>
        <v>0</v>
      </c>
      <c r="LX142" s="182">
        <f>VLOOKUP($IW142,Base_Mensuelle!$OF$68:$RM$679,HLOOKUP(LX$73,Base_Mensuelle!$QG$67:$RM$680,614,0))</f>
        <v>0</v>
      </c>
      <c r="LY142" s="182">
        <f>VLOOKUP($IW142,Base_Mensuelle!$OF$68:$RM$679,HLOOKUP(LY$73,Base_Mensuelle!$QG$67:$RM$680,614,0))</f>
        <v>381.346</v>
      </c>
      <c r="LZ142" s="182">
        <f>VLOOKUP($IW142,Base_Mensuelle!$OF$68:$RM$679,HLOOKUP(LZ$73,Base_Mensuelle!$QG$67:$RM$680,614,0))</f>
        <v>50.137000000000029</v>
      </c>
      <c r="MA142" s="182">
        <f>VLOOKUP($IW142,Base_Mensuelle!$OF$68:$RM$679,HLOOKUP(MA$73,Base_Mensuelle!$QG$67:$RM$680,614,0))</f>
        <v>0</v>
      </c>
      <c r="MB142" s="182">
        <f>VLOOKUP($IW142,Base_Mensuelle!$OF$68:$RM$679,HLOOKUP(MB$73,Base_Mensuelle!$QG$67:$RM$680,614,0))</f>
        <v>0</v>
      </c>
      <c r="MC142" s="182">
        <f>VLOOKUP($IW142,Base_Mensuelle!$OF$68:$RM$679,HLOOKUP(MC$73,Base_Mensuelle!$QG$67:$RM$680,614,0))</f>
        <v>0</v>
      </c>
      <c r="MD142" s="182">
        <f>VLOOKUP($IW142,Base_Mensuelle!$OF$68:$RM$679,HLOOKUP(MD$73,Base_Mensuelle!$QG$67:$RM$680,614,0))</f>
        <v>0</v>
      </c>
      <c r="ME142" s="182">
        <f>VLOOKUP($IW142,Base_Mensuelle!$OF$68:$RM$679,HLOOKUP(ME$73,Base_Mensuelle!$QG$67:$RM$680,614,0))</f>
        <v>0</v>
      </c>
      <c r="MF142" s="182"/>
      <c r="MG142" s="182"/>
      <c r="MH142" s="290"/>
      <c r="MI142" s="29">
        <v>69</v>
      </c>
      <c r="MJ142" s="29" t="str">
        <f t="shared" si="88"/>
        <v>Trimestre 12017</v>
      </c>
      <c r="MK142" s="848">
        <v>42795</v>
      </c>
      <c r="ML142" s="1991">
        <v>158.17557118627346</v>
      </c>
      <c r="MM142" s="1991">
        <v>106.29488783822366</v>
      </c>
      <c r="MN142" s="1991">
        <v>99.856125404958718</v>
      </c>
      <c r="MO142" s="1991">
        <v>100.00000000000001</v>
      </c>
      <c r="MP142" s="1991">
        <v>158.17557118627346</v>
      </c>
      <c r="MQ142" s="1991">
        <v>106.3271447541504</v>
      </c>
      <c r="MR142" s="1991">
        <v>103.59999999999997</v>
      </c>
      <c r="MS142" s="1991">
        <v>100.18271964304505</v>
      </c>
      <c r="MT142" s="1991">
        <v>100.00000000000004</v>
      </c>
      <c r="MU142" s="1991">
        <v>100</v>
      </c>
      <c r="MV142" s="1991">
        <v>100.29950046728165</v>
      </c>
      <c r="MW142" s="1991">
        <v>100</v>
      </c>
      <c r="MX142" s="1991">
        <v>98.412698412698433</v>
      </c>
      <c r="MY142" s="1991">
        <v>100.00000000000009</v>
      </c>
      <c r="MZ142" s="1991">
        <v>100.16605741605122</v>
      </c>
      <c r="NA142" s="1991">
        <v>100.00000000000007</v>
      </c>
      <c r="NB142" s="1991">
        <v>98.829073543413912</v>
      </c>
      <c r="NC142" s="1991">
        <v>127.11178056107441</v>
      </c>
      <c r="ND142" s="1991">
        <v>91.986369776390134</v>
      </c>
      <c r="NE142" s="1991">
        <v>100.00000000000013</v>
      </c>
      <c r="NF142" s="1991">
        <v>100.00000000000003</v>
      </c>
      <c r="NG142" s="1991">
        <v>100.00000000000006</v>
      </c>
      <c r="NH142" s="1991">
        <v>100.00000000000009</v>
      </c>
      <c r="NI142" s="1991">
        <v>100</v>
      </c>
      <c r="NJ142" s="1991">
        <v>100</v>
      </c>
      <c r="NK142" s="1991">
        <v>104.09278392476027</v>
      </c>
      <c r="NL142" s="29">
        <v>69</v>
      </c>
    </row>
    <row r="143" spans="1:376">
      <c r="A143" s="41">
        <f t="shared" si="86"/>
        <v>2017</v>
      </c>
      <c r="B143" s="785">
        <v>42887</v>
      </c>
      <c r="C143" s="733">
        <v>68.764916712366258</v>
      </c>
      <c r="D143" s="1547">
        <v>260.78188820623785</v>
      </c>
      <c r="E143" s="570">
        <v>170.72449623973822</v>
      </c>
      <c r="F143" s="1547">
        <v>32.323676566255045</v>
      </c>
      <c r="G143" s="1547">
        <v>0</v>
      </c>
      <c r="H143" s="1547">
        <v>73.553802757691386</v>
      </c>
      <c r="I143" s="570">
        <v>29.014819879292087</v>
      </c>
      <c r="J143" s="570">
        <v>159.78785482075739</v>
      </c>
      <c r="K143" s="570">
        <v>214.0781140923965</v>
      </c>
      <c r="L143" s="570">
        <v>248.19814797158128</v>
      </c>
      <c r="M143" s="734">
        <v>88.812262490000251</v>
      </c>
      <c r="N143" s="25">
        <v>70</v>
      </c>
      <c r="O143" s="889">
        <f t="shared" si="85"/>
        <v>2017</v>
      </c>
      <c r="P143" s="29" t="str">
        <f t="shared" si="87"/>
        <v>Trimestre 22017</v>
      </c>
      <c r="Q143" s="848">
        <v>42887</v>
      </c>
      <c r="R143" s="733">
        <v>11.44648555</v>
      </c>
      <c r="S143" s="570">
        <v>3.069</v>
      </c>
      <c r="T143" s="570">
        <v>1723.7739999999999</v>
      </c>
      <c r="U143" s="734">
        <v>24.56</v>
      </c>
      <c r="V143" s="25">
        <v>70</v>
      </c>
      <c r="W143" s="733">
        <v>2133</v>
      </c>
      <c r="X143" s="570">
        <v>4096</v>
      </c>
      <c r="Y143" s="570">
        <v>615.12919151311314</v>
      </c>
      <c r="Z143" s="570">
        <v>300.6823762577967</v>
      </c>
      <c r="AA143" s="570">
        <v>44.607750000000003</v>
      </c>
      <c r="AB143" s="570">
        <v>89.506</v>
      </c>
      <c r="AC143" s="570">
        <v>1029.33</v>
      </c>
      <c r="AD143" s="570">
        <v>327.92053399999998</v>
      </c>
      <c r="AE143" s="734">
        <v>24.885904999999998</v>
      </c>
      <c r="AF143" s="25">
        <v>70</v>
      </c>
      <c r="AG143" s="733">
        <v>16.938696933904794</v>
      </c>
      <c r="AH143" s="570">
        <v>16.247243622497226</v>
      </c>
      <c r="AI143" s="570">
        <v>6.6911759554813894</v>
      </c>
      <c r="AJ143" s="570">
        <v>3.6191111922477455</v>
      </c>
      <c r="AK143" s="570">
        <v>18.882060047991001</v>
      </c>
      <c r="AL143" s="570">
        <v>11.408838773561424</v>
      </c>
      <c r="AM143" s="570">
        <v>13.040020798450525</v>
      </c>
      <c r="AN143" s="734">
        <v>23.993838184653015</v>
      </c>
      <c r="AO143" s="733">
        <v>22.744140822003025</v>
      </c>
      <c r="AP143" s="570">
        <v>5.7796334202283219</v>
      </c>
      <c r="AQ143" s="570">
        <v>4.9310884368191079</v>
      </c>
      <c r="AR143" s="570">
        <v>-0.45384066116572996</v>
      </c>
      <c r="AS143" s="734">
        <v>6.5789473684210549</v>
      </c>
      <c r="AT143" s="733">
        <v>10.703010946270977</v>
      </c>
      <c r="AU143" s="570">
        <v>-18.099396475910684</v>
      </c>
      <c r="AV143" s="734">
        <v>-1.1959641311445659</v>
      </c>
      <c r="AW143" s="733">
        <v>-1.8741891233937551</v>
      </c>
      <c r="AX143" s="570">
        <v>29.831073723420879</v>
      </c>
      <c r="AY143" s="570">
        <v>-5.8546927559104915</v>
      </c>
      <c r="AZ143" s="570">
        <v>4.0640941713188585</v>
      </c>
      <c r="BA143" s="570">
        <v>-2.9555326108894837</v>
      </c>
      <c r="BB143" s="570">
        <v>2.7123187878104069</v>
      </c>
      <c r="BC143" s="734">
        <v>23.684210526315791</v>
      </c>
      <c r="BD143" s="179">
        <v>-27.760586259473335</v>
      </c>
      <c r="BE143" s="99">
        <v>-32.49195630218756</v>
      </c>
      <c r="BF143" s="99">
        <v>6.4089017357436857</v>
      </c>
      <c r="BG143" s="99">
        <v>10.582459642645002</v>
      </c>
      <c r="BH143" s="99">
        <v>33.137888169099021</v>
      </c>
      <c r="BI143" s="99">
        <v>55.072791522587231</v>
      </c>
      <c r="BJ143" s="99">
        <v>0</v>
      </c>
      <c r="BK143" s="132">
        <v>0</v>
      </c>
      <c r="BL143" s="179">
        <v>-28.569211440971614</v>
      </c>
      <c r="BM143" s="99">
        <v>-89.743817053990682</v>
      </c>
      <c r="BN143" s="99">
        <v>0.84186184450662949</v>
      </c>
      <c r="BO143" s="99">
        <v>4.3342073354710244</v>
      </c>
      <c r="BP143" s="99">
        <v>-6.666666666666667</v>
      </c>
      <c r="BQ143" s="132">
        <v>-6.666666666666667</v>
      </c>
      <c r="BR143" s="179">
        <v>64.006557676060467</v>
      </c>
      <c r="BS143" s="99">
        <v>-57.718321604713985</v>
      </c>
      <c r="BT143" s="99">
        <v>-3.8848305881793879</v>
      </c>
      <c r="BU143" s="132">
        <v>13.397260905212294</v>
      </c>
      <c r="BV143" s="179">
        <v>60.615458779411178</v>
      </c>
      <c r="BW143" s="99">
        <v>-54.213626258815246</v>
      </c>
      <c r="BX143" s="99">
        <v>-5.998096579889844</v>
      </c>
      <c r="BY143" s="99">
        <v>0</v>
      </c>
      <c r="BZ143" s="99">
        <v>24.122303479290121</v>
      </c>
      <c r="CA143" s="99">
        <v>13.333333333333332</v>
      </c>
      <c r="CB143" s="132">
        <v>13.333333333333334</v>
      </c>
      <c r="CC143" s="25">
        <v>70</v>
      </c>
      <c r="CD143" s="181">
        <v>75576</v>
      </c>
      <c r="CE143" s="182">
        <v>17287391</v>
      </c>
      <c r="CF143" s="290">
        <v>4906807</v>
      </c>
      <c r="CG143" s="25">
        <v>70</v>
      </c>
      <c r="CH143" s="419">
        <f t="shared" si="89"/>
        <v>22770.928325290435</v>
      </c>
      <c r="CI143" s="100">
        <f t="shared" si="89"/>
        <v>3601.4464024593908</v>
      </c>
      <c r="CJ143" s="100">
        <f t="shared" si="89"/>
        <v>72915.921480332632</v>
      </c>
      <c r="CK143" s="100">
        <f t="shared" si="89"/>
        <v>12314.927695531784</v>
      </c>
      <c r="CL143" s="100">
        <f t="shared" si="89"/>
        <v>7150.624950170366</v>
      </c>
      <c r="CM143" s="100">
        <f t="shared" si="89"/>
        <v>1303.9880063831893</v>
      </c>
      <c r="CN143" s="100">
        <f t="shared" si="89"/>
        <v>2444.6261329203344</v>
      </c>
      <c r="CO143" s="100">
        <f t="shared" si="89"/>
        <v>2078.4597240781964</v>
      </c>
      <c r="CP143" s="100">
        <f t="shared" si="89"/>
        <v>1699.18731304465</v>
      </c>
      <c r="CQ143" s="100">
        <f t="shared" si="89"/>
        <v>1368.9577706126893</v>
      </c>
      <c r="CR143" s="420">
        <f t="shared" si="89"/>
        <v>92330.833910576897</v>
      </c>
      <c r="CS143" s="306">
        <f t="shared" si="89"/>
        <v>134925.75102353704</v>
      </c>
      <c r="CT143" s="25">
        <v>70</v>
      </c>
      <c r="CU143" s="419">
        <f t="shared" si="90"/>
        <v>19752.344960185175</v>
      </c>
      <c r="CV143" s="100">
        <f t="shared" si="90"/>
        <v>79520.368831127198</v>
      </c>
      <c r="CW143" s="100">
        <f t="shared" si="90"/>
        <v>16985.537599547599</v>
      </c>
      <c r="CX143" s="100">
        <f t="shared" si="90"/>
        <v>910.76786927822923</v>
      </c>
      <c r="CY143" s="100">
        <f t="shared" si="90"/>
        <v>1386.7708417371741</v>
      </c>
      <c r="CZ143" s="100">
        <f t="shared" si="90"/>
        <v>1645.0358537111902</v>
      </c>
      <c r="DA143" s="100">
        <f t="shared" si="90"/>
        <v>17204.218358971008</v>
      </c>
      <c r="DB143" s="306">
        <f t="shared" si="90"/>
        <v>134925.75102353704</v>
      </c>
      <c r="DC143" s="25">
        <v>70</v>
      </c>
      <c r="DD143" s="785">
        <v>42887</v>
      </c>
      <c r="DE143" s="733">
        <v>444.22918042987999</v>
      </c>
      <c r="DF143" s="734">
        <v>453.78694000000002</v>
      </c>
      <c r="DG143" s="25">
        <v>70</v>
      </c>
      <c r="DH143" s="733">
        <v>540.89732213145999</v>
      </c>
      <c r="DI143" s="734">
        <v>1476.3644139999999</v>
      </c>
      <c r="DJ143" s="25">
        <v>70</v>
      </c>
      <c r="DK143" s="733">
        <v>444.22918042987999</v>
      </c>
      <c r="DL143" s="734">
        <v>540.89732213145999</v>
      </c>
      <c r="DM143" s="733">
        <v>-96.668141701579998</v>
      </c>
      <c r="DN143" s="734">
        <v>82.128190000895259</v>
      </c>
      <c r="DO143" s="25">
        <v>70</v>
      </c>
      <c r="DP143" s="733">
        <v>150.94021196201817</v>
      </c>
      <c r="DQ143" s="570">
        <v>498.38658718328827</v>
      </c>
      <c r="DR143" s="734">
        <v>752.26577108472361</v>
      </c>
      <c r="DS143" s="25">
        <v>70</v>
      </c>
      <c r="DT143" s="733">
        <v>79.758187916770098</v>
      </c>
      <c r="DU143" s="570">
        <v>90.117013753100537</v>
      </c>
      <c r="DV143" s="734">
        <v>71.87569717417945</v>
      </c>
      <c r="DW143" s="25">
        <v>70</v>
      </c>
      <c r="DX143" s="733">
        <v>189.24729348105114</v>
      </c>
      <c r="DY143" s="734">
        <v>39.738059827461129</v>
      </c>
      <c r="DZ143" s="25">
        <v>70</v>
      </c>
      <c r="EA143" s="733">
        <v>274.04141093999999</v>
      </c>
      <c r="EB143" s="570">
        <v>61.286363591000004</v>
      </c>
      <c r="EC143" s="570">
        <v>11.500947585</v>
      </c>
      <c r="ED143" s="570">
        <v>3.3677926839999999</v>
      </c>
      <c r="EE143" s="734">
        <v>60.101161387879998</v>
      </c>
      <c r="EF143" s="25">
        <v>70</v>
      </c>
      <c r="EG143" s="1569">
        <v>121.22042900232999</v>
      </c>
      <c r="EH143" s="1570">
        <v>24.301845362000002</v>
      </c>
      <c r="EI143" s="1570">
        <v>17.718194511999997</v>
      </c>
      <c r="EJ143" s="1570">
        <v>21.089161881999999</v>
      </c>
      <c r="EK143" s="1571">
        <v>13.785908109079999</v>
      </c>
      <c r="EL143" s="25">
        <v>70</v>
      </c>
      <c r="EM143" s="733">
        <v>245.74969594300001</v>
      </c>
      <c r="EN143" s="570">
        <v>67.595615104000004</v>
      </c>
      <c r="EO143" s="570">
        <v>18.870908052000001</v>
      </c>
      <c r="EP143" s="570">
        <v>4.4218820289999998</v>
      </c>
      <c r="EQ143" s="570">
        <v>3.543793108</v>
      </c>
      <c r="ER143" s="570">
        <v>4.8487814550000001</v>
      </c>
      <c r="ES143" s="570">
        <v>2.3747908838200003</v>
      </c>
      <c r="ET143" s="570">
        <v>2.5364005230000002</v>
      </c>
      <c r="EU143" s="570">
        <v>0.236291538</v>
      </c>
      <c r="EV143" s="734">
        <v>2.655525081</v>
      </c>
      <c r="EW143" s="25">
        <v>70</v>
      </c>
      <c r="EX143" s="918">
        <v>50.757000103839999</v>
      </c>
      <c r="EY143" s="919">
        <v>17.703122917849999</v>
      </c>
      <c r="EZ143" s="919">
        <v>49.544146874089996</v>
      </c>
      <c r="FA143" s="919">
        <v>0.15222856465000001</v>
      </c>
      <c r="FB143" s="919">
        <v>67.573974983599996</v>
      </c>
      <c r="FC143" s="919">
        <v>25.757585707889998</v>
      </c>
      <c r="FD143" s="919">
        <v>4.7752610681299998</v>
      </c>
      <c r="FE143" s="919">
        <v>21.62353373957</v>
      </c>
      <c r="FF143" s="919">
        <v>11.39068286118</v>
      </c>
      <c r="FG143" s="920">
        <v>42.622366064169995</v>
      </c>
      <c r="FH143" s="25">
        <v>70</v>
      </c>
      <c r="FI143" s="848">
        <v>42887</v>
      </c>
      <c r="FJ143" s="19">
        <v>3086</v>
      </c>
      <c r="FK143" s="93">
        <v>2159</v>
      </c>
      <c r="FL143" s="20">
        <v>0</v>
      </c>
      <c r="FM143" s="25">
        <v>70</v>
      </c>
      <c r="FN143" s="19">
        <v>120</v>
      </c>
      <c r="FO143" s="93">
        <v>1451</v>
      </c>
      <c r="FP143" s="93">
        <v>2332</v>
      </c>
      <c r="FQ143" s="93">
        <v>953</v>
      </c>
      <c r="FR143" s="93">
        <v>295</v>
      </c>
      <c r="FS143" s="93">
        <v>60</v>
      </c>
      <c r="FT143" s="93">
        <v>19</v>
      </c>
      <c r="FU143" s="93">
        <v>10</v>
      </c>
      <c r="FV143" s="93">
        <v>3</v>
      </c>
      <c r="FW143" s="917">
        <v>2</v>
      </c>
      <c r="FX143" s="25">
        <v>70</v>
      </c>
      <c r="FY143" s="975">
        <v>11</v>
      </c>
      <c r="FZ143" s="975">
        <v>270</v>
      </c>
      <c r="GA143" s="975">
        <v>834</v>
      </c>
      <c r="GB143" s="975">
        <v>114</v>
      </c>
      <c r="GC143" s="975">
        <v>1566</v>
      </c>
      <c r="GD143" s="975">
        <v>159</v>
      </c>
      <c r="GE143" s="975">
        <v>1494</v>
      </c>
      <c r="GF143" s="975">
        <v>155</v>
      </c>
      <c r="GG143" s="975">
        <v>20</v>
      </c>
      <c r="GH143" s="975">
        <v>529</v>
      </c>
      <c r="GI143" s="976">
        <v>93</v>
      </c>
      <c r="GJ143" s="25">
        <v>70</v>
      </c>
      <c r="GK143" s="19"/>
      <c r="GL143" s="20"/>
      <c r="GM143" s="25">
        <v>70</v>
      </c>
      <c r="GN143" s="19">
        <v>5159</v>
      </c>
      <c r="GO143" s="20">
        <v>1847</v>
      </c>
      <c r="GP143" s="25">
        <v>70</v>
      </c>
      <c r="GQ143" s="19">
        <v>32</v>
      </c>
      <c r="GR143" s="20">
        <v>30</v>
      </c>
      <c r="GS143" s="25">
        <v>70</v>
      </c>
      <c r="GT143" s="848">
        <v>42887</v>
      </c>
      <c r="GU143" s="733">
        <v>719.22881663126088</v>
      </c>
      <c r="GV143" s="570">
        <v>667.39997718819995</v>
      </c>
      <c r="GW143" s="570">
        <v>667.39997718819995</v>
      </c>
      <c r="GX143" s="570">
        <v>588.52742336520009</v>
      </c>
      <c r="GY143" s="570">
        <v>149.55123942699998</v>
      </c>
      <c r="GZ143" s="570">
        <v>5.0021537069999997</v>
      </c>
      <c r="HA143" s="570">
        <v>3.5176490909999996</v>
      </c>
      <c r="HB143" s="570">
        <v>338.83518700719998</v>
      </c>
      <c r="HC143" s="570">
        <v>85.481081830999997</v>
      </c>
      <c r="HD143" s="570">
        <v>6.1401123019999995</v>
      </c>
      <c r="HE143" s="570">
        <v>78.872553823000004</v>
      </c>
      <c r="HF143" s="570">
        <v>2.6842291010000001</v>
      </c>
      <c r="HG143" s="570">
        <v>17.768576418999999</v>
      </c>
      <c r="HH143" s="570">
        <v>0.82586642200000004</v>
      </c>
      <c r="HI143" s="570">
        <v>21.481355044000001</v>
      </c>
      <c r="HJ143" s="570">
        <v>36.112526836999997</v>
      </c>
      <c r="HK143" s="570">
        <v>0</v>
      </c>
      <c r="HL143" s="570">
        <v>51.828839443060751</v>
      </c>
      <c r="HM143" s="570">
        <v>40.372136796060751</v>
      </c>
      <c r="HN143" s="570">
        <v>11.456702647</v>
      </c>
      <c r="HO143" s="570">
        <v>968.07121467094248</v>
      </c>
      <c r="HP143" s="570">
        <v>969.3377665219424</v>
      </c>
      <c r="HQ143" s="570">
        <v>623.07765473197264</v>
      </c>
      <c r="HR143" s="570">
        <v>292.520071583</v>
      </c>
      <c r="HS143" s="570">
        <v>64.774189092</v>
      </c>
      <c r="HT143" s="570">
        <v>27.122088336972691</v>
      </c>
      <c r="HU143" s="570">
        <v>16.850797857</v>
      </c>
      <c r="HV143" s="570">
        <v>10.271290479972695</v>
      </c>
      <c r="HW143" s="570">
        <v>238.66130571999997</v>
      </c>
      <c r="HX143" s="570">
        <v>0</v>
      </c>
      <c r="HY143" s="570">
        <v>43.122533885999999</v>
      </c>
      <c r="HZ143" s="570">
        <v>0</v>
      </c>
      <c r="IA143" s="570">
        <v>50</v>
      </c>
      <c r="IB143" s="570">
        <v>346.26011178996976</v>
      </c>
      <c r="IC143" s="570">
        <v>263.26915212</v>
      </c>
      <c r="ID143" s="570">
        <v>10.814505447</v>
      </c>
      <c r="IE143" s="570">
        <v>72.176454222969767</v>
      </c>
      <c r="IF143" s="570">
        <v>-1.2665518510000002</v>
      </c>
      <c r="IG143" s="570">
        <v>-248.84239803968168</v>
      </c>
      <c r="IH143" s="570">
        <v>-300.67123748274241</v>
      </c>
      <c r="II143" s="570">
        <v>-201.37269492279995</v>
      </c>
      <c r="IJ143" s="570">
        <v>-228.49478325977265</v>
      </c>
      <c r="IK143" s="570">
        <v>-129.08992146268176</v>
      </c>
      <c r="IL143" s="570">
        <v>-180.91876090574252</v>
      </c>
      <c r="IM143" s="570">
        <v>123.0295933343771</v>
      </c>
      <c r="IN143" s="570">
        <v>6.2502431703770469</v>
      </c>
      <c r="IO143" s="570">
        <v>31.80431742690903</v>
      </c>
      <c r="IP143" s="570">
        <v>-25.554074256531983</v>
      </c>
      <c r="IQ143" s="570">
        <v>0</v>
      </c>
      <c r="IR143" s="570">
        <v>116.77935016400006</v>
      </c>
      <c r="IS143" s="570">
        <v>98.072015750000062</v>
      </c>
      <c r="IT143" s="570">
        <v>18.707334413999998</v>
      </c>
      <c r="IU143" s="570">
        <v>0</v>
      </c>
      <c r="IV143" s="93">
        <v>70</v>
      </c>
      <c r="IW143" s="848">
        <v>42887</v>
      </c>
      <c r="IX143" s="1035"/>
      <c r="IY143" s="1035">
        <v>332.20080301199999</v>
      </c>
      <c r="IZ143" s="1035">
        <v>403.57118624700001</v>
      </c>
      <c r="JA143" s="1035">
        <v>0.45726683700000004</v>
      </c>
      <c r="JB143" s="1035">
        <v>1264.517122284152</v>
      </c>
      <c r="JC143" s="1035">
        <v>191.91280853199999</v>
      </c>
      <c r="JD143" s="1035">
        <v>1789.0880006651519</v>
      </c>
      <c r="JE143" s="1035">
        <v>1278.0264498339368</v>
      </c>
      <c r="JF143" s="1035">
        <v>3067.1144504990889</v>
      </c>
      <c r="JG143" s="1035"/>
      <c r="JH143" s="1035">
        <v>1182.612644385099</v>
      </c>
      <c r="JI143" s="1035">
        <v>-146.20323957999994</v>
      </c>
      <c r="JJ143" s="1035">
        <v>1328.8158839650989</v>
      </c>
      <c r="JK143" s="1035">
        <v>2269.3503666219904</v>
      </c>
      <c r="JL143" s="1035">
        <v>-19.947977449000007</v>
      </c>
      <c r="JM143" s="1035">
        <v>-112.58497744900001</v>
      </c>
      <c r="JN143" s="1035">
        <v>92.637</v>
      </c>
      <c r="JO143" s="1035">
        <v>2289.2983440709904</v>
      </c>
      <c r="JP143" s="1035">
        <v>4.5032236860000001</v>
      </c>
      <c r="JQ143" s="1035">
        <v>2284.7951203849907</v>
      </c>
      <c r="JR143" s="1035">
        <v>503.6404388200001</v>
      </c>
      <c r="JS143" s="1035">
        <v>-118.79187831200012</v>
      </c>
      <c r="JT143" s="1036">
        <v>3067.1144504990898</v>
      </c>
      <c r="JU143" s="29">
        <v>70</v>
      </c>
      <c r="JV143" s="1037"/>
      <c r="JW143" s="1526">
        <f>VLOOKUP($IW143,Base_Mensuelle!$OF$68:$RM$679,HLOOKUP(JW$73,Base_Mensuelle!$PE$67:$QE$680,614,0))</f>
        <v>-146.20323957999994</v>
      </c>
      <c r="JX143" s="1526">
        <f>VLOOKUP($IW143,Base_Mensuelle!$OF$68:$RM$679,HLOOKUP(JX$73,Base_Mensuelle!$PE$67:$QE$680,614,0))</f>
        <v>824.87900812400005</v>
      </c>
      <c r="JY143" s="1526">
        <f>VLOOKUP($IW143,Base_Mensuelle!$OF$68:$RM$679,HLOOKUP(JY$73,Base_Mensuelle!$PE$67:$QE$680,614,0))</f>
        <v>971.082247704</v>
      </c>
      <c r="JZ143" s="1526">
        <f>VLOOKUP($IW143,Base_Mensuelle!$OF$68:$RM$679,HLOOKUP(JZ$73,Base_Mensuelle!$PE$67:$QE$680,614,0))</f>
        <v>859.67796001600004</v>
      </c>
      <c r="KA143" s="1526">
        <f>VLOOKUP($IW143,Base_Mensuelle!$OF$68:$RM$679,HLOOKUP(KA$73,Base_Mensuelle!$PE$67:$QE$680,614,0))</f>
        <v>-103.880594214</v>
      </c>
      <c r="KB143" s="1526">
        <f>VLOOKUP($IW143,Base_Mensuelle!$OF$68:$RM$679,HLOOKUP(KB$73,Base_Mensuelle!$PE$67:$QE$680,614,0))</f>
        <v>127.766280436</v>
      </c>
      <c r="KC143" s="1526">
        <f>VLOOKUP($IW143,Base_Mensuelle!$OF$68:$RM$679,HLOOKUP(KC$73,Base_Mensuelle!$PE$67:$QE$680,614,0))</f>
        <v>231.64687465</v>
      </c>
      <c r="KD143" s="1526">
        <f>VLOOKUP($IW143,Base_Mensuelle!$OF$68:$RM$679,HLOOKUP(KD$73,Base_Mensuelle!$PE$67:$QE$680,614,0))</f>
        <v>4.5032236860000001</v>
      </c>
      <c r="KE143" s="1526">
        <f>VLOOKUP($IW143,Base_Mensuelle!$OF$68:$RM$679,HLOOKUP(KE$73,Base_Mensuelle!$PE$67:$QE$680,614,0))</f>
        <v>0.6</v>
      </c>
      <c r="KF143" s="1526">
        <f>VLOOKUP($IW143,Base_Mensuelle!$OF$68:$RM$679,HLOOKUP(KF$73,Base_Mensuelle!$PE$67:$QE$680,614,0))</f>
        <v>0</v>
      </c>
      <c r="KG143" s="1526">
        <f>VLOOKUP($IW143,Base_Mensuelle!$OF$68:$RM$679,HLOOKUP(KG$73,Base_Mensuelle!$PE$67:$QE$680,614,0))</f>
        <v>6.4814199999999999E-4</v>
      </c>
      <c r="KH143" s="1526">
        <f>VLOOKUP($IW143,Base_Mensuelle!$OF$68:$RM$679,HLOOKUP(KH$73,Base_Mensuelle!$PE$67:$QE$680,614,0))</f>
        <v>3.9025755440000003</v>
      </c>
      <c r="KI143" s="1526">
        <f>VLOOKUP($IW143,Base_Mensuelle!$OF$68:$RM$679,HLOOKUP(KI$73,Base_Mensuelle!$PE$67:$QE$680,614,0))</f>
        <v>596.18975868300004</v>
      </c>
      <c r="KJ143" s="1526">
        <f>VLOOKUP($IW143,Base_Mensuelle!$OF$68:$RM$679,HLOOKUP(KJ$73,Base_Mensuelle!$PE$67:$QE$680,614,0))</f>
        <v>403.57118624700001</v>
      </c>
      <c r="KK143" s="1526">
        <f>VLOOKUP($IW143,Base_Mensuelle!$OF$68:$RM$679,HLOOKUP(KK$73,Base_Mensuelle!$PE$67:$QE$680,614,0))</f>
        <v>191.83473783100001</v>
      </c>
      <c r="KL143" s="1526">
        <f>VLOOKUP($IW143,Base_Mensuelle!$OF$68:$RM$679,HLOOKUP(KL$73,Base_Mensuelle!$PE$67:$QE$680,614,0))</f>
        <v>0.78383460500000002</v>
      </c>
      <c r="KM143" s="1526">
        <f>VLOOKUP($IW143,Base_Mensuelle!$OF$68:$RM$679,HLOOKUP(KM$73,Base_Mensuelle!$PE$67:$QE$680,614,0))</f>
        <v>0</v>
      </c>
      <c r="KN143" s="1526">
        <f>VLOOKUP($IW143,Base_Mensuelle!$OF$68:$RM$679,HLOOKUP(KN$73,Base_Mensuelle!$PE$67:$QE$680,614,0))</f>
        <v>2.68105576</v>
      </c>
      <c r="KO143" s="1526">
        <f>VLOOKUP($IW143,Base_Mensuelle!$OF$68:$RM$679,HLOOKUP(KO$73,Base_Mensuelle!$PE$67:$QE$680,614,0))</f>
        <v>0</v>
      </c>
      <c r="KP143" s="1526">
        <f>VLOOKUP($IW143,Base_Mensuelle!$OF$68:$RM$679,HLOOKUP(KP$73,Base_Mensuelle!$PE$67:$QE$680,614,0))</f>
        <v>0</v>
      </c>
      <c r="KQ143" s="1526">
        <f>VLOOKUP($IW143,Base_Mensuelle!$OF$68:$RM$679,HLOOKUP(KQ$73,Base_Mensuelle!$PE$67:$QE$680,614,0))</f>
        <v>2.68105576</v>
      </c>
      <c r="KR143" s="1526">
        <f>VLOOKUP($IW143,Base_Mensuelle!$OF$68:$RM$679,HLOOKUP(KR$73,Base_Mensuelle!$PE$67:$QE$680,614,0))</f>
        <v>0</v>
      </c>
      <c r="KS143" s="1526">
        <f>VLOOKUP($IW143,Base_Mensuelle!$OF$68:$RM$679,HLOOKUP(KS$73,Base_Mensuelle!$PE$67:$QE$680,614,0))</f>
        <v>0</v>
      </c>
      <c r="KT143" s="1526">
        <f>VLOOKUP($IW143,Base_Mensuelle!$OF$68:$RM$679,HLOOKUP(KT$73,Base_Mensuelle!$PE$67:$QE$680,614,0))</f>
        <v>0</v>
      </c>
      <c r="KU143" s="1526">
        <f>VLOOKUP($IW143,Base_Mensuelle!$OF$68:$RM$679,HLOOKUP(KU$73,Base_Mensuelle!$PE$67:$QE$680,614,0))</f>
        <v>11.823383059999999</v>
      </c>
      <c r="KV143" s="1526">
        <f>VLOOKUP($IW143,Base_Mensuelle!$OF$68:$RM$679,HLOOKUP(KV$73,Base_Mensuelle!$PE$67:$QE$680,614,0))</f>
        <v>3.4031524050000002</v>
      </c>
      <c r="KW143" s="1036"/>
      <c r="KX143" s="29">
        <v>70</v>
      </c>
      <c r="KY143" s="1037"/>
      <c r="KZ143" s="182">
        <f>VLOOKUP($IW143,Base_Mensuelle!$OF$68:$RM$679,HLOOKUP(KZ$73,Base_Mensuelle!$QG$67:$RM$680,614,0))</f>
        <v>1328.8158839650989</v>
      </c>
      <c r="LA143" s="182">
        <f>VLOOKUP($IW143,Base_Mensuelle!$OF$68:$RM$679,HLOOKUP(LA$73,Base_Mensuelle!$QG$67:$RM$680,614,0))</f>
        <v>1863.3678796150098</v>
      </c>
      <c r="LB143" s="182">
        <f>VLOOKUP($IW143,Base_Mensuelle!$OF$68:$RM$679,HLOOKUP(LB$73,Base_Mensuelle!$QG$67:$RM$680,614,0))</f>
        <v>-534.55199564991085</v>
      </c>
      <c r="LC143" s="182">
        <f>VLOOKUP($IW143,Base_Mensuelle!$OF$68:$RM$679,HLOOKUP(LC$73,Base_Mensuelle!$QG$67:$RM$680,614,0))</f>
        <v>258.529</v>
      </c>
      <c r="LD143" s="182">
        <f>VLOOKUP($IW143,Base_Mensuelle!$OF$68:$RM$679,HLOOKUP(LD$73,Base_Mensuelle!$QG$67:$RM$680,614,0))</f>
        <v>62.665999999999997</v>
      </c>
      <c r="LE143" s="182">
        <f>VLOOKUP($IW143,Base_Mensuelle!$OF$68:$RM$679,HLOOKUP(LE$73,Base_Mensuelle!$QG$67:$RM$680,614,0))</f>
        <v>195.863</v>
      </c>
      <c r="LF143" s="182">
        <f>VLOOKUP($IW143,Base_Mensuelle!$OF$68:$RM$679,HLOOKUP(LF$73,Base_Mensuelle!$QG$67:$RM$680,614,0))</f>
        <v>0</v>
      </c>
      <c r="LG143" s="182">
        <f>VLOOKUP($IW143,Base_Mensuelle!$OF$68:$RM$679,HLOOKUP(LG$73,Base_Mensuelle!$QG$67:$RM$680,614,0))</f>
        <v>92.637</v>
      </c>
      <c r="LH143" s="182">
        <f>VLOOKUP($IW143,Base_Mensuelle!$OF$68:$RM$679,HLOOKUP(LH$73,Base_Mensuelle!$QG$67:$RM$680,614,0))</f>
        <v>392.084</v>
      </c>
      <c r="LI143" s="182">
        <f>VLOOKUP($IW143,Base_Mensuelle!$OF$68:$RM$679,HLOOKUP(LI$73,Base_Mensuelle!$QG$67:$RM$680,614,0))</f>
        <v>-299.447</v>
      </c>
      <c r="LJ143" s="182">
        <f>VLOOKUP($IW143,Base_Mensuelle!$OF$68:$RM$679,HLOOKUP(LJ$73,Base_Mensuelle!$QG$67:$RM$680,614,0))</f>
        <v>2284.7951203849907</v>
      </c>
      <c r="LK143" s="182">
        <f>VLOOKUP($IW143,Base_Mensuelle!$OF$68:$RM$679,HLOOKUP(LK$73,Base_Mensuelle!$QG$67:$RM$680,614,0))</f>
        <v>25.500979639149595</v>
      </c>
      <c r="LL143" s="182">
        <f>VLOOKUP($IW143,Base_Mensuelle!$OF$68:$RM$679,HLOOKUP(LL$73,Base_Mensuelle!$QG$67:$RM$680,614,0))</f>
        <v>0</v>
      </c>
      <c r="LM143" s="182">
        <f>VLOOKUP($IW143,Base_Mensuelle!$OF$68:$RM$679,HLOOKUP(LM$73,Base_Mensuelle!$QG$67:$RM$680,614,0))</f>
        <v>159.179</v>
      </c>
      <c r="LN143" s="182">
        <f>VLOOKUP($IW143,Base_Mensuelle!$OF$68:$RM$679,HLOOKUP(LN$73,Base_Mensuelle!$QG$67:$RM$680,614,0))</f>
        <v>2100.115140745841</v>
      </c>
      <c r="LO143" s="182">
        <f>VLOOKUP($IW143,Base_Mensuelle!$OF$68:$RM$679,HLOOKUP(LO$73,Base_Mensuelle!$QG$67:$RM$680,614,0))</f>
        <v>0</v>
      </c>
      <c r="LP143" s="182">
        <f>VLOOKUP($IW143,Base_Mensuelle!$OF$68:$RM$679,HLOOKUP(LP$73,Base_Mensuelle!$QG$67:$RM$680,614,0))</f>
        <v>866.75</v>
      </c>
      <c r="LQ143" s="182">
        <f>VLOOKUP($IW143,Base_Mensuelle!$OF$68:$RM$679,HLOOKUP(LQ$73,Base_Mensuelle!$QG$67:$RM$680,614,0))</f>
        <v>1264.517122284152</v>
      </c>
      <c r="LR143" s="182">
        <f>VLOOKUP($IW143,Base_Mensuelle!$OF$68:$RM$679,HLOOKUP(LR$73,Base_Mensuelle!$QG$67:$RM$680,614,0))</f>
        <v>1277.6998820659369</v>
      </c>
      <c r="LS143" s="182">
        <f>VLOOKUP($IW143,Base_Mensuelle!$OF$68:$RM$679,HLOOKUP(LS$73,Base_Mensuelle!$QG$67:$RM$680,614,0))</f>
        <v>0</v>
      </c>
      <c r="LT143" s="182">
        <f>VLOOKUP($IW143,Base_Mensuelle!$OF$68:$RM$679,HLOOKUP(LT$73,Base_Mensuelle!$QG$67:$RM$680,614,0))</f>
        <v>67.581000000000003</v>
      </c>
      <c r="LU143" s="182">
        <f>VLOOKUP($IW143,Base_Mensuelle!$OF$68:$RM$679,HLOOKUP(LU$73,Base_Mensuelle!$QG$67:$RM$680,614,0))</f>
        <v>1.7080000000000002</v>
      </c>
      <c r="LV143" s="182">
        <f>VLOOKUP($IW143,Base_Mensuelle!$OF$68:$RM$679,HLOOKUP(LV$73,Base_Mensuelle!$QG$67:$RM$680,614,0))</f>
        <v>26.559000000000001</v>
      </c>
      <c r="LW143" s="182">
        <f>VLOOKUP($IW143,Base_Mensuelle!$OF$68:$RM$679,HLOOKUP(LW$73,Base_Mensuelle!$QG$67:$RM$680,614,0))</f>
        <v>0</v>
      </c>
      <c r="LX143" s="182">
        <f>VLOOKUP($IW143,Base_Mensuelle!$OF$68:$RM$679,HLOOKUP(LX$73,Base_Mensuelle!$QG$67:$RM$680,614,0))</f>
        <v>0</v>
      </c>
      <c r="LY143" s="182">
        <f>VLOOKUP($IW143,Base_Mensuelle!$OF$68:$RM$679,HLOOKUP(LY$73,Base_Mensuelle!$QG$67:$RM$680,614,0))</f>
        <v>393.28800000000007</v>
      </c>
      <c r="LZ143" s="182">
        <f>VLOOKUP($IW143,Base_Mensuelle!$OF$68:$RM$679,HLOOKUP(LZ$73,Base_Mensuelle!$QG$67:$RM$680,614,0))</f>
        <v>66.673999999999978</v>
      </c>
      <c r="MA143" s="182">
        <f>VLOOKUP($IW143,Base_Mensuelle!$OF$68:$RM$679,HLOOKUP(MA$73,Base_Mensuelle!$QG$67:$RM$680,614,0))</f>
        <v>0</v>
      </c>
      <c r="MB143" s="182">
        <f>VLOOKUP($IW143,Base_Mensuelle!$OF$68:$RM$679,HLOOKUP(MB$73,Base_Mensuelle!$QG$67:$RM$680,614,0))</f>
        <v>0</v>
      </c>
      <c r="MC143" s="182">
        <f>VLOOKUP($IW143,Base_Mensuelle!$OF$68:$RM$679,HLOOKUP(MC$73,Base_Mensuelle!$QG$67:$RM$680,614,0))</f>
        <v>0</v>
      </c>
      <c r="MD143" s="182">
        <f>VLOOKUP($IW143,Base_Mensuelle!$OF$68:$RM$679,HLOOKUP(MD$73,Base_Mensuelle!$QG$67:$RM$680,614,0))</f>
        <v>0</v>
      </c>
      <c r="ME143" s="182">
        <f>VLOOKUP($IW143,Base_Mensuelle!$OF$68:$RM$679,HLOOKUP(ME$73,Base_Mensuelle!$QG$67:$RM$680,614,0))</f>
        <v>0</v>
      </c>
      <c r="MF143" s="182"/>
      <c r="MG143" s="182"/>
      <c r="MH143" s="290"/>
      <c r="MI143" s="29">
        <v>70</v>
      </c>
      <c r="MJ143" s="29" t="str">
        <f t="shared" si="88"/>
        <v>Trimestre 22017</v>
      </c>
      <c r="MK143" s="848">
        <v>42887</v>
      </c>
      <c r="ML143" s="1991">
        <v>158.17557118627346</v>
      </c>
      <c r="MM143" s="1991">
        <v>104.85086115826098</v>
      </c>
      <c r="MN143" s="1991">
        <v>99.863113221765431</v>
      </c>
      <c r="MO143" s="1991">
        <v>100.00000000000001</v>
      </c>
      <c r="MP143" s="1991">
        <v>158.17557118627346</v>
      </c>
      <c r="MQ143" s="1991">
        <v>104.86565686124619</v>
      </c>
      <c r="MR143" s="1991">
        <v>103.59999999999997</v>
      </c>
      <c r="MS143" s="1991">
        <v>100.19655535284802</v>
      </c>
      <c r="MT143" s="1991">
        <v>100.00000000000004</v>
      </c>
      <c r="MU143" s="1991">
        <v>100</v>
      </c>
      <c r="MV143" s="1991">
        <v>100.29950046728165</v>
      </c>
      <c r="MW143" s="1991">
        <v>100</v>
      </c>
      <c r="MX143" s="1991">
        <v>98.412698412698433</v>
      </c>
      <c r="MY143" s="1991">
        <v>100.00000000000009</v>
      </c>
      <c r="MZ143" s="1991">
        <v>100.16605741605122</v>
      </c>
      <c r="NA143" s="1991">
        <v>100.00000000000007</v>
      </c>
      <c r="NB143" s="1991">
        <v>98.829073543413912</v>
      </c>
      <c r="NC143" s="1991">
        <v>127.11178056107441</v>
      </c>
      <c r="ND143" s="1991">
        <v>91.986369776390134</v>
      </c>
      <c r="NE143" s="1991">
        <v>100.00000000000013</v>
      </c>
      <c r="NF143" s="1991">
        <v>100.00000000000003</v>
      </c>
      <c r="NG143" s="1991">
        <v>100.00000000000006</v>
      </c>
      <c r="NH143" s="1991">
        <v>100.00000000000009</v>
      </c>
      <c r="NI143" s="1991">
        <v>100</v>
      </c>
      <c r="NJ143" s="1991">
        <v>100</v>
      </c>
      <c r="NK143" s="1991">
        <v>103.50433464061715</v>
      </c>
      <c r="NL143" s="29">
        <v>70</v>
      </c>
    </row>
    <row r="144" spans="1:376">
      <c r="A144" s="41">
        <f t="shared" si="86"/>
        <v>2017</v>
      </c>
      <c r="B144" s="785">
        <v>42979</v>
      </c>
      <c r="C144" s="733">
        <v>68.165349094000788</v>
      </c>
      <c r="D144" s="1547">
        <v>188.24862378818227</v>
      </c>
      <c r="E144" s="570">
        <v>170.72449623973822</v>
      </c>
      <c r="F144" s="1547">
        <v>15.259858969780895</v>
      </c>
      <c r="G144" s="1547">
        <v>0</v>
      </c>
      <c r="H144" s="1547">
        <v>129.16521009728223</v>
      </c>
      <c r="I144" s="570">
        <v>33.017787643622505</v>
      </c>
      <c r="J144" s="570">
        <v>145.91621302596874</v>
      </c>
      <c r="K144" s="570">
        <v>149.01097257245161</v>
      </c>
      <c r="L144" s="570">
        <v>225.62123577338264</v>
      </c>
      <c r="M144" s="734">
        <v>87.116719456645328</v>
      </c>
      <c r="N144" s="25">
        <v>71</v>
      </c>
      <c r="O144" s="889">
        <f t="shared" si="85"/>
        <v>2017</v>
      </c>
      <c r="P144" s="29" t="str">
        <f t="shared" si="87"/>
        <v>Trimestre 32017</v>
      </c>
      <c r="Q144" s="848">
        <v>42979</v>
      </c>
      <c r="R144" s="733">
        <v>10.410826499999999</v>
      </c>
      <c r="S144" s="1547">
        <v>0</v>
      </c>
      <c r="T144" s="570">
        <v>1156.2247600000001</v>
      </c>
      <c r="U144" s="734">
        <v>28.774999999999999</v>
      </c>
      <c r="V144" s="25">
        <v>71</v>
      </c>
      <c r="W144" s="733">
        <v>2086.5500000000002</v>
      </c>
      <c r="X144" s="570">
        <v>0</v>
      </c>
      <c r="Y144" s="570">
        <v>529.37168030888017</v>
      </c>
      <c r="Z144" s="570">
        <v>219.31818983133013</v>
      </c>
      <c r="AA144" s="570">
        <v>44.607750000000003</v>
      </c>
      <c r="AB144" s="570">
        <v>89.506</v>
      </c>
      <c r="AC144" s="570">
        <v>1029.33</v>
      </c>
      <c r="AD144" s="570">
        <v>228.25200000000001</v>
      </c>
      <c r="AE144" s="734">
        <v>22.622202000000001</v>
      </c>
      <c r="AF144" s="25">
        <v>71</v>
      </c>
      <c r="AG144" s="733">
        <v>34.618358193844685</v>
      </c>
      <c r="AH144" s="570">
        <v>45.811857997060244</v>
      </c>
      <c r="AI144" s="570">
        <v>9.1385079806938627</v>
      </c>
      <c r="AJ144" s="570">
        <v>-17.880636738308915</v>
      </c>
      <c r="AK144" s="570">
        <v>57.935032772269587</v>
      </c>
      <c r="AL144" s="570">
        <v>21.50293101438875</v>
      </c>
      <c r="AM144" s="570">
        <v>26.860141642286877</v>
      </c>
      <c r="AN144" s="734">
        <v>16.695617808321444</v>
      </c>
      <c r="AO144" s="733">
        <v>6.9972507863746642</v>
      </c>
      <c r="AP144" s="570">
        <v>10.111629693507282</v>
      </c>
      <c r="AQ144" s="570">
        <v>-10.974762850602453</v>
      </c>
      <c r="AR144" s="570">
        <v>-1.231947771329402</v>
      </c>
      <c r="AS144" s="734">
        <v>4.7058823529411775</v>
      </c>
      <c r="AT144" s="733">
        <v>2.7720777933712188</v>
      </c>
      <c r="AU144" s="570">
        <v>-4.4038444061836417</v>
      </c>
      <c r="AV144" s="734">
        <v>0.36135696116539462</v>
      </c>
      <c r="AW144" s="733">
        <v>26.048619217532618</v>
      </c>
      <c r="AX144" s="570">
        <v>36.507610404396864</v>
      </c>
      <c r="AY144" s="570">
        <v>38.8456950489375</v>
      </c>
      <c r="AZ144" s="570">
        <v>18.558527350427404</v>
      </c>
      <c r="BA144" s="570">
        <v>1.640282663514067</v>
      </c>
      <c r="BB144" s="570">
        <v>20.952136474795687</v>
      </c>
      <c r="BC144" s="734">
        <v>18.823529411764703</v>
      </c>
      <c r="BD144" s="179">
        <v>-39.442092512096337</v>
      </c>
      <c r="BE144" s="99">
        <v>-18.365974261394129</v>
      </c>
      <c r="BF144" s="99">
        <v>23.707562600638617</v>
      </c>
      <c r="BG144" s="99">
        <v>-0.11549419560023466</v>
      </c>
      <c r="BH144" s="99">
        <v>49.804913548072314</v>
      </c>
      <c r="BI144" s="99">
        <v>8.7920078973221543</v>
      </c>
      <c r="BJ144" s="99">
        <v>18.293870301929324</v>
      </c>
      <c r="BK144" s="132">
        <v>2.8404156903440172</v>
      </c>
      <c r="BL144" s="179">
        <v>-68.016368885416767</v>
      </c>
      <c r="BM144" s="99">
        <v>-39.246656235394241</v>
      </c>
      <c r="BN144" s="99">
        <v>-17.887743327385088</v>
      </c>
      <c r="BO144" s="99">
        <v>42.269771505600033</v>
      </c>
      <c r="BP144" s="99">
        <v>9.0909090909090899</v>
      </c>
      <c r="BQ144" s="132">
        <v>13.636363636363637</v>
      </c>
      <c r="BR144" s="179">
        <v>11.627026946861601</v>
      </c>
      <c r="BS144" s="99">
        <v>-9.0265626714904599</v>
      </c>
      <c r="BT144" s="99">
        <v>4.4496753172674097E-2</v>
      </c>
      <c r="BU144" s="132">
        <v>33.425137431245133</v>
      </c>
      <c r="BV144" s="179">
        <v>16.002775057243444</v>
      </c>
      <c r="BW144" s="99">
        <v>16.002775057243444</v>
      </c>
      <c r="BX144" s="99">
        <v>40.598779754727381</v>
      </c>
      <c r="BY144" s="99">
        <v>0.80771971387996178</v>
      </c>
      <c r="BZ144" s="99">
        <v>26.603672943021582</v>
      </c>
      <c r="CA144" s="99">
        <v>18.18181818181818</v>
      </c>
      <c r="CB144" s="132">
        <v>18.181818181818183</v>
      </c>
      <c r="CC144" s="25">
        <v>71</v>
      </c>
      <c r="CD144" s="181">
        <v>75996</v>
      </c>
      <c r="CE144" s="182">
        <v>17287391</v>
      </c>
      <c r="CF144" s="290">
        <v>4906807</v>
      </c>
      <c r="CG144" s="25">
        <v>71</v>
      </c>
      <c r="CH144" s="19">
        <v>20096</v>
      </c>
      <c r="CI144" s="93">
        <v>4670</v>
      </c>
      <c r="CJ144" s="93">
        <v>2534</v>
      </c>
      <c r="CK144" s="93">
        <v>8574</v>
      </c>
      <c r="CL144" s="93">
        <v>4359</v>
      </c>
      <c r="CM144" s="93">
        <v>640</v>
      </c>
      <c r="CN144" s="93">
        <v>1803</v>
      </c>
      <c r="CO144" s="93">
        <v>2157</v>
      </c>
      <c r="CP144" s="93">
        <v>921</v>
      </c>
      <c r="CQ144" s="93">
        <v>941</v>
      </c>
      <c r="CR144" s="214">
        <v>94336</v>
      </c>
      <c r="CS144" s="20">
        <v>128828</v>
      </c>
      <c r="CT144" s="25">
        <v>71</v>
      </c>
      <c r="CU144" s="19">
        <v>18421</v>
      </c>
      <c r="CV144" s="93">
        <v>78729</v>
      </c>
      <c r="CW144" s="93">
        <v>15776</v>
      </c>
      <c r="CX144" s="93">
        <v>1519</v>
      </c>
      <c r="CY144" s="93">
        <v>866</v>
      </c>
      <c r="CZ144" s="93">
        <v>157</v>
      </c>
      <c r="DA144" s="93">
        <v>13360</v>
      </c>
      <c r="DB144" s="20">
        <v>128828</v>
      </c>
      <c r="DC144" s="25">
        <v>71</v>
      </c>
      <c r="DD144" s="785">
        <v>42979</v>
      </c>
      <c r="DE144" s="733">
        <v>310.08487329122994</v>
      </c>
      <c r="DF144" s="734">
        <v>148.52972</v>
      </c>
      <c r="DG144" s="25">
        <v>71</v>
      </c>
      <c r="DH144" s="733">
        <v>583.72986863806011</v>
      </c>
      <c r="DI144" s="734">
        <v>1603.4338149999999</v>
      </c>
      <c r="DJ144" s="25">
        <v>71</v>
      </c>
      <c r="DK144" s="733">
        <v>310.08487329122994</v>
      </c>
      <c r="DL144" s="734">
        <v>583.72986863806011</v>
      </c>
      <c r="DM144" s="733">
        <v>-273.64499534683017</v>
      </c>
      <c r="DN144" s="734">
        <v>53.121296330905608</v>
      </c>
      <c r="DO144" s="25">
        <v>71</v>
      </c>
      <c r="DP144" s="733">
        <v>247.07416667128584</v>
      </c>
      <c r="DQ144" s="570">
        <v>202.09436327732806</v>
      </c>
      <c r="DR144" s="734">
        <v>499.32296395709932</v>
      </c>
      <c r="DS144" s="25">
        <v>71</v>
      </c>
      <c r="DT144" s="733">
        <v>84.939698292065927</v>
      </c>
      <c r="DU144" s="570">
        <v>90.197215719838795</v>
      </c>
      <c r="DV144" s="734">
        <v>76.613242900275026</v>
      </c>
      <c r="DW144" s="25">
        <v>71</v>
      </c>
      <c r="DX144" s="733">
        <v>290.88185105357809</v>
      </c>
      <c r="DY144" s="734">
        <v>75.032481057224061</v>
      </c>
      <c r="DZ144" s="25">
        <v>71</v>
      </c>
      <c r="EA144" s="733">
        <v>238.82587937</v>
      </c>
      <c r="EB144" s="570">
        <v>5.1514271169999999</v>
      </c>
      <c r="EC144" s="570">
        <v>5.267896382</v>
      </c>
      <c r="ED144" s="570">
        <v>4.8590994719999996</v>
      </c>
      <c r="EE144" s="734">
        <v>10.643223738229999</v>
      </c>
      <c r="EF144" s="25">
        <v>71</v>
      </c>
      <c r="EG144" s="1569">
        <v>117.54878792167999</v>
      </c>
      <c r="EH144" s="1570">
        <v>12.810823929</v>
      </c>
      <c r="EI144" s="1570">
        <v>14.657135222000001</v>
      </c>
      <c r="EJ144" s="1570">
        <v>27.590062239999998</v>
      </c>
      <c r="EK144" s="1571">
        <v>9.3890461589999994</v>
      </c>
      <c r="EL144" s="25">
        <v>71</v>
      </c>
      <c r="EM144" s="733">
        <v>200.74948647400001</v>
      </c>
      <c r="EN144" s="570">
        <v>10.54874991</v>
      </c>
      <c r="EO144" s="570">
        <v>26.987825923999999</v>
      </c>
      <c r="EP144" s="570">
        <v>0.11872818</v>
      </c>
      <c r="EQ144" s="570">
        <v>7.925971691</v>
      </c>
      <c r="ER144" s="570">
        <v>4.7118377730000001</v>
      </c>
      <c r="ES144" s="570">
        <v>0.59425636800000003</v>
      </c>
      <c r="ET144" s="570">
        <v>0.55697175399999999</v>
      </c>
      <c r="EU144" s="570">
        <v>0.150211971</v>
      </c>
      <c r="EV144" s="734">
        <v>4.769685666</v>
      </c>
      <c r="EW144" s="25">
        <v>71</v>
      </c>
      <c r="EX144" s="918">
        <v>46.689397742230007</v>
      </c>
      <c r="EY144" s="919">
        <v>19.659228163790001</v>
      </c>
      <c r="EZ144" s="919">
        <v>46.101187491080005</v>
      </c>
      <c r="FA144" s="919">
        <v>0.28607003467000003</v>
      </c>
      <c r="FB144" s="919">
        <v>105.11664617130999</v>
      </c>
      <c r="FC144" s="919">
        <v>28.421001224040001</v>
      </c>
      <c r="FD144" s="919">
        <v>3.5633925790799998</v>
      </c>
      <c r="FE144" s="919">
        <v>21.343295738259997</v>
      </c>
      <c r="FF144" s="919">
        <v>13.44189522368</v>
      </c>
      <c r="FG144" s="920">
        <v>40.621335280209998</v>
      </c>
      <c r="FH144" s="25">
        <v>71</v>
      </c>
      <c r="FI144" s="848">
        <v>42979</v>
      </c>
      <c r="FJ144" s="19">
        <v>2443</v>
      </c>
      <c r="FK144" s="93">
        <v>1220</v>
      </c>
      <c r="FL144" s="20">
        <v>0</v>
      </c>
      <c r="FM144" s="25">
        <v>71</v>
      </c>
      <c r="FN144" s="19">
        <v>98</v>
      </c>
      <c r="FO144" s="93">
        <v>1041</v>
      </c>
      <c r="FP144" s="93">
        <v>1440</v>
      </c>
      <c r="FQ144" s="93">
        <v>716</v>
      </c>
      <c r="FR144" s="93">
        <v>246</v>
      </c>
      <c r="FS144" s="93">
        <v>71</v>
      </c>
      <c r="FT144" s="93">
        <v>34</v>
      </c>
      <c r="FU144" s="93">
        <v>13</v>
      </c>
      <c r="FV144" s="93">
        <v>3</v>
      </c>
      <c r="FW144" s="917">
        <v>1</v>
      </c>
      <c r="FX144" s="25">
        <v>71</v>
      </c>
      <c r="FY144" s="975">
        <v>19</v>
      </c>
      <c r="FZ144" s="975">
        <v>447</v>
      </c>
      <c r="GA144" s="975">
        <v>452</v>
      </c>
      <c r="GB144" s="975">
        <v>71</v>
      </c>
      <c r="GC144" s="975">
        <v>639</v>
      </c>
      <c r="GD144" s="975">
        <v>94</v>
      </c>
      <c r="GE144" s="975">
        <v>1087</v>
      </c>
      <c r="GF144" s="975">
        <v>101</v>
      </c>
      <c r="GG144" s="975">
        <v>76</v>
      </c>
      <c r="GH144" s="975">
        <v>561</v>
      </c>
      <c r="GI144" s="976">
        <v>116</v>
      </c>
      <c r="GJ144" s="25">
        <v>71</v>
      </c>
      <c r="GK144" s="19"/>
      <c r="GL144" s="20"/>
      <c r="GM144" s="25">
        <v>71</v>
      </c>
      <c r="GN144" s="19">
        <v>5191</v>
      </c>
      <c r="GO144" s="20">
        <v>1983</v>
      </c>
      <c r="GP144" s="25">
        <v>71</v>
      </c>
      <c r="GQ144" s="19">
        <v>32</v>
      </c>
      <c r="GR144" s="20">
        <v>30</v>
      </c>
      <c r="GS144" s="25">
        <v>71</v>
      </c>
      <c r="GT144" s="848">
        <v>42979</v>
      </c>
      <c r="GU144" s="733">
        <v>1096.4421527718134</v>
      </c>
      <c r="GV144" s="570">
        <v>1021.6179088078001</v>
      </c>
      <c r="GW144" s="570">
        <v>1021.6178040078001</v>
      </c>
      <c r="GX144" s="570">
        <v>906.87795381180013</v>
      </c>
      <c r="GY144" s="570">
        <v>240.62388298899998</v>
      </c>
      <c r="GZ144" s="570">
        <v>7.5049846409999992</v>
      </c>
      <c r="HA144" s="570">
        <v>5.7305884579999997</v>
      </c>
      <c r="HB144" s="570">
        <v>510.7630832378</v>
      </c>
      <c r="HC144" s="570">
        <v>133.51259016699998</v>
      </c>
      <c r="HD144" s="570">
        <v>8.7428243190000003</v>
      </c>
      <c r="HE144" s="570">
        <v>114.73985019600001</v>
      </c>
      <c r="HF144" s="570">
        <v>3.9454489440000002</v>
      </c>
      <c r="HG144" s="570">
        <v>26.653952773</v>
      </c>
      <c r="HH144" s="570">
        <v>1.4774881360000001</v>
      </c>
      <c r="HI144" s="570">
        <v>31.208835528999995</v>
      </c>
      <c r="HJ144" s="570">
        <v>51.454124813999996</v>
      </c>
      <c r="HK144" s="570">
        <v>1.048E-4</v>
      </c>
      <c r="HL144" s="570">
        <v>74.824243964013448</v>
      </c>
      <c r="HM144" s="570">
        <v>63.367541317013448</v>
      </c>
      <c r="HN144" s="570">
        <v>11.456702647</v>
      </c>
      <c r="HO144" s="570">
        <v>1472.4962316483486</v>
      </c>
      <c r="HP144" s="570">
        <v>1473.7708965393485</v>
      </c>
      <c r="HQ144" s="570">
        <v>921.28363555999988</v>
      </c>
      <c r="HR144" s="570">
        <v>451.448410352</v>
      </c>
      <c r="HS144" s="570">
        <v>96.474000674999999</v>
      </c>
      <c r="HT144" s="570">
        <v>34.541588561999994</v>
      </c>
      <c r="HU144" s="570">
        <v>21.987054167</v>
      </c>
      <c r="HV144" s="570">
        <v>12.554534394999999</v>
      </c>
      <c r="HW144" s="570">
        <v>338.81963597099997</v>
      </c>
      <c r="HX144" s="570">
        <v>0</v>
      </c>
      <c r="HY144" s="570">
        <v>77.521545097000001</v>
      </c>
      <c r="HZ144" s="570">
        <v>0</v>
      </c>
      <c r="IA144" s="570">
        <v>50</v>
      </c>
      <c r="IB144" s="570">
        <v>552.48726097934843</v>
      </c>
      <c r="IC144" s="570">
        <v>422.36468331199995</v>
      </c>
      <c r="ID144" s="570">
        <v>11.114505447000001</v>
      </c>
      <c r="IE144" s="570">
        <v>119.00807222034857</v>
      </c>
      <c r="IF144" s="570">
        <v>-1.2746648909999994</v>
      </c>
      <c r="IG144" s="570">
        <v>-376.05407887653507</v>
      </c>
      <c r="IH144" s="570">
        <v>-450.87832284054849</v>
      </c>
      <c r="II144" s="570">
        <v>-297.32866205819988</v>
      </c>
      <c r="IJ144" s="570">
        <v>-331.87025062019995</v>
      </c>
      <c r="IK144" s="570">
        <v>-270.72109067153514</v>
      </c>
      <c r="IL144" s="570">
        <v>-345.54533463554861</v>
      </c>
      <c r="IM144" s="570">
        <v>270.50334749697851</v>
      </c>
      <c r="IN144" s="570">
        <v>23.659983343978531</v>
      </c>
      <c r="IO144" s="570">
        <v>55.640530903335119</v>
      </c>
      <c r="IP144" s="570">
        <v>-31.980547559356584</v>
      </c>
      <c r="IQ144" s="570">
        <v>0</v>
      </c>
      <c r="IR144" s="570">
        <v>246.84336415300004</v>
      </c>
      <c r="IS144" s="570">
        <v>212.84375882400002</v>
      </c>
      <c r="IT144" s="570">
        <v>33.999605328999998</v>
      </c>
      <c r="IU144" s="570">
        <v>0</v>
      </c>
      <c r="IV144" s="93">
        <v>71</v>
      </c>
      <c r="IW144" s="848">
        <v>42979</v>
      </c>
      <c r="IX144" s="1035"/>
      <c r="IY144" s="1035">
        <v>389.288254832956</v>
      </c>
      <c r="IZ144" s="1035">
        <v>454.03088963395601</v>
      </c>
      <c r="JA144" s="1035">
        <v>1.679586923</v>
      </c>
      <c r="JB144" s="1035">
        <v>1213.5813881582335</v>
      </c>
      <c r="JC144" s="1035">
        <v>193.67252200199999</v>
      </c>
      <c r="JD144" s="1035">
        <v>1798.2217519161895</v>
      </c>
      <c r="JE144" s="1035">
        <v>1305.674200390652</v>
      </c>
      <c r="JF144" s="1035">
        <v>3103.8959523068415</v>
      </c>
      <c r="JG144" s="1035"/>
      <c r="JH144" s="1035">
        <v>1260.3277636730809</v>
      </c>
      <c r="JI144" s="1035">
        <v>36.945802214956075</v>
      </c>
      <c r="JJ144" s="1035">
        <v>1223.3819614581248</v>
      </c>
      <c r="JK144" s="1035">
        <v>2268.2651970117604</v>
      </c>
      <c r="JL144" s="1035">
        <v>-6.9064918540000235</v>
      </c>
      <c r="JM144" s="1035">
        <v>-119.15849185399998</v>
      </c>
      <c r="JN144" s="1035">
        <v>112.25199999999995</v>
      </c>
      <c r="JO144" s="1035">
        <v>2275.1716888657602</v>
      </c>
      <c r="JP144" s="1035">
        <v>5.1626295429999995</v>
      </c>
      <c r="JQ144" s="1035">
        <v>2270.0090593227601</v>
      </c>
      <c r="JR144" s="1035">
        <v>529.239709855</v>
      </c>
      <c r="JS144" s="1035">
        <v>-104.54270147699985</v>
      </c>
      <c r="JT144" s="1036">
        <v>3103.8959523068411</v>
      </c>
      <c r="JU144" s="29">
        <v>71</v>
      </c>
      <c r="JV144" s="1037"/>
      <c r="JW144" s="1526">
        <f>VLOOKUP($IW144,Base_Mensuelle!$OF$68:$RM$679,HLOOKUP(JW$73,Base_Mensuelle!$PE$67:$QE$680,614,0))</f>
        <v>36.945802214956075</v>
      </c>
      <c r="JX144" s="1526">
        <f>VLOOKUP($IW144,Base_Mensuelle!$OF$68:$RM$679,HLOOKUP(JX$73,Base_Mensuelle!$PE$67:$QE$680,614,0))</f>
        <v>954.57921707295611</v>
      </c>
      <c r="JY144" s="1526">
        <f>VLOOKUP($IW144,Base_Mensuelle!$OF$68:$RM$679,HLOOKUP(JY$73,Base_Mensuelle!$PE$67:$QE$680,614,0))</f>
        <v>917.63341485800004</v>
      </c>
      <c r="JZ144" s="1526">
        <f>VLOOKUP($IW144,Base_Mensuelle!$OF$68:$RM$679,HLOOKUP(JZ$73,Base_Mensuelle!$PE$67:$QE$680,614,0))</f>
        <v>669.86896001599996</v>
      </c>
      <c r="KA144" s="1526">
        <f>VLOOKUP($IW144,Base_Mensuelle!$OF$68:$RM$679,HLOOKUP(KA$73,Base_Mensuelle!$PE$67:$QE$680,614,0))</f>
        <v>-112.03585705299997</v>
      </c>
      <c r="KB144" s="1526">
        <f>VLOOKUP($IW144,Base_Mensuelle!$OF$68:$RM$679,HLOOKUP(KB$73,Base_Mensuelle!$PE$67:$QE$680,614,0))</f>
        <v>129.10011928100002</v>
      </c>
      <c r="KC144" s="1526">
        <f>VLOOKUP($IW144,Base_Mensuelle!$OF$68:$RM$679,HLOOKUP(KC$73,Base_Mensuelle!$PE$67:$QE$680,614,0))</f>
        <v>241.13597633399999</v>
      </c>
      <c r="KD144" s="1526">
        <f>VLOOKUP($IW144,Base_Mensuelle!$OF$68:$RM$679,HLOOKUP(KD$73,Base_Mensuelle!$PE$67:$QE$680,614,0))</f>
        <v>5.1626295429999995</v>
      </c>
      <c r="KE144" s="1526">
        <f>VLOOKUP($IW144,Base_Mensuelle!$OF$68:$RM$679,HLOOKUP(KE$73,Base_Mensuelle!$PE$67:$QE$680,614,0))</f>
        <v>1.175</v>
      </c>
      <c r="KF144" s="1526">
        <f>VLOOKUP($IW144,Base_Mensuelle!$OF$68:$RM$679,HLOOKUP(KF$73,Base_Mensuelle!$PE$67:$QE$680,614,0))</f>
        <v>0</v>
      </c>
      <c r="KG144" s="1526">
        <f>VLOOKUP($IW144,Base_Mensuelle!$OF$68:$RM$679,HLOOKUP(KG$73,Base_Mensuelle!$PE$67:$QE$680,614,0))</f>
        <v>4.2653400000000001E-4</v>
      </c>
      <c r="KH144" s="1526">
        <f>VLOOKUP($IW144,Base_Mensuelle!$OF$68:$RM$679,HLOOKUP(KH$73,Base_Mensuelle!$PE$67:$QE$680,614,0))</f>
        <v>3.9872030089999999</v>
      </c>
      <c r="KI144" s="1526">
        <f>VLOOKUP($IW144,Base_Mensuelle!$OF$68:$RM$679,HLOOKUP(KI$73,Base_Mensuelle!$PE$67:$QE$680,614,0))</f>
        <v>566.44677755395605</v>
      </c>
      <c r="KJ144" s="1526">
        <f>VLOOKUP($IW144,Base_Mensuelle!$OF$68:$RM$679,HLOOKUP(KJ$73,Base_Mensuelle!$PE$67:$QE$680,614,0))</f>
        <v>454.03088963395601</v>
      </c>
      <c r="KK144" s="1526">
        <f>VLOOKUP($IW144,Base_Mensuelle!$OF$68:$RM$679,HLOOKUP(KK$73,Base_Mensuelle!$PE$67:$QE$680,614,0))</f>
        <v>110.409733229</v>
      </c>
      <c r="KL144" s="1526">
        <f>VLOOKUP($IW144,Base_Mensuelle!$OF$68:$RM$679,HLOOKUP(KL$73,Base_Mensuelle!$PE$67:$QE$680,614,0))</f>
        <v>2.0061546909999999</v>
      </c>
      <c r="KM144" s="1526">
        <f>VLOOKUP($IW144,Base_Mensuelle!$OF$68:$RM$679,HLOOKUP(KM$73,Base_Mensuelle!$PE$67:$QE$680,614,0))</f>
        <v>0</v>
      </c>
      <c r="KN144" s="1526">
        <f>VLOOKUP($IW144,Base_Mensuelle!$OF$68:$RM$679,HLOOKUP(KN$73,Base_Mensuelle!$PE$67:$QE$680,614,0))</f>
        <v>0.93046941100000002</v>
      </c>
      <c r="KO144" s="1526">
        <f>VLOOKUP($IW144,Base_Mensuelle!$OF$68:$RM$679,HLOOKUP(KO$73,Base_Mensuelle!$PE$67:$QE$680,614,0))</f>
        <v>0</v>
      </c>
      <c r="KP144" s="1526">
        <f>VLOOKUP($IW144,Base_Mensuelle!$OF$68:$RM$679,HLOOKUP(KP$73,Base_Mensuelle!$PE$67:$QE$680,614,0))</f>
        <v>0</v>
      </c>
      <c r="KQ144" s="1526">
        <f>VLOOKUP($IW144,Base_Mensuelle!$OF$68:$RM$679,HLOOKUP(KQ$73,Base_Mensuelle!$PE$67:$QE$680,614,0))</f>
        <v>0.93046941100000002</v>
      </c>
      <c r="KR144" s="1526">
        <f>VLOOKUP($IW144,Base_Mensuelle!$OF$68:$RM$679,HLOOKUP(KR$73,Base_Mensuelle!$PE$67:$QE$680,614,0))</f>
        <v>0</v>
      </c>
      <c r="KS144" s="1526">
        <f>VLOOKUP($IW144,Base_Mensuelle!$OF$68:$RM$679,HLOOKUP(KS$73,Base_Mensuelle!$PE$67:$QE$680,614,0))</f>
        <v>0</v>
      </c>
      <c r="KT144" s="1526">
        <f>VLOOKUP($IW144,Base_Mensuelle!$OF$68:$RM$679,HLOOKUP(KT$73,Base_Mensuelle!$PE$67:$QE$680,614,0))</f>
        <v>0</v>
      </c>
      <c r="KU144" s="1526">
        <f>VLOOKUP($IW144,Base_Mensuelle!$OF$68:$RM$679,HLOOKUP(KU$73,Base_Mensuelle!$PE$67:$QE$680,614,0))</f>
        <v>15.974240444000001</v>
      </c>
      <c r="KV144" s="1526">
        <f>VLOOKUP($IW144,Base_Mensuelle!$OF$68:$RM$679,HLOOKUP(KV$73,Base_Mensuelle!$PE$67:$QE$680,614,0))</f>
        <v>16.590047312000014</v>
      </c>
      <c r="KW144" s="1036"/>
      <c r="KX144" s="29">
        <v>71</v>
      </c>
      <c r="KY144" s="1037"/>
      <c r="KZ144" s="182">
        <f>VLOOKUP($IW144,Base_Mensuelle!$OF$68:$RM$679,HLOOKUP(KZ$73,Base_Mensuelle!$QG$67:$RM$680,614,0))</f>
        <v>1223.3819614581248</v>
      </c>
      <c r="LA144" s="182">
        <f>VLOOKUP($IW144,Base_Mensuelle!$OF$68:$RM$679,HLOOKUP(LA$73,Base_Mensuelle!$QG$67:$RM$680,614,0))</f>
        <v>1770.2399406772395</v>
      </c>
      <c r="LB144" s="182">
        <f>VLOOKUP($IW144,Base_Mensuelle!$OF$68:$RM$679,HLOOKUP(LB$73,Base_Mensuelle!$QG$67:$RM$680,614,0))</f>
        <v>-546.85797921911467</v>
      </c>
      <c r="LC144" s="182">
        <f>VLOOKUP($IW144,Base_Mensuelle!$OF$68:$RM$679,HLOOKUP(LC$73,Base_Mensuelle!$QG$67:$RM$680,614,0))</f>
        <v>177.42</v>
      </c>
      <c r="LD144" s="182">
        <f>VLOOKUP($IW144,Base_Mensuelle!$OF$68:$RM$679,HLOOKUP(LD$73,Base_Mensuelle!$QG$67:$RM$680,614,0))</f>
        <v>57.62</v>
      </c>
      <c r="LE144" s="182">
        <f>VLOOKUP($IW144,Base_Mensuelle!$OF$68:$RM$679,HLOOKUP(LE$73,Base_Mensuelle!$QG$67:$RM$680,614,0))</f>
        <v>119.8</v>
      </c>
      <c r="LF144" s="182">
        <f>VLOOKUP($IW144,Base_Mensuelle!$OF$68:$RM$679,HLOOKUP(LF$73,Base_Mensuelle!$QG$67:$RM$680,614,0))</f>
        <v>0</v>
      </c>
      <c r="LG144" s="182">
        <f>VLOOKUP($IW144,Base_Mensuelle!$OF$68:$RM$679,HLOOKUP(LG$73,Base_Mensuelle!$QG$67:$RM$680,614,0))</f>
        <v>112.25199999999995</v>
      </c>
      <c r="LH144" s="182">
        <f>VLOOKUP($IW144,Base_Mensuelle!$OF$68:$RM$679,HLOOKUP(LH$73,Base_Mensuelle!$QG$67:$RM$680,614,0))</f>
        <v>434.60499999999996</v>
      </c>
      <c r="LI144" s="182">
        <f>VLOOKUP($IW144,Base_Mensuelle!$OF$68:$RM$679,HLOOKUP(LI$73,Base_Mensuelle!$QG$67:$RM$680,614,0))</f>
        <v>-322.35300000000001</v>
      </c>
      <c r="LJ144" s="182">
        <f>VLOOKUP($IW144,Base_Mensuelle!$OF$68:$RM$679,HLOOKUP(LJ$73,Base_Mensuelle!$QG$67:$RM$680,614,0))</f>
        <v>2270.0090593227601</v>
      </c>
      <c r="LK144" s="182">
        <f>VLOOKUP($IW144,Base_Mensuelle!$OF$68:$RM$679,HLOOKUP(LK$73,Base_Mensuelle!$QG$67:$RM$680,614,0))</f>
        <v>30.848236293090853</v>
      </c>
      <c r="LL144" s="182">
        <f>VLOOKUP($IW144,Base_Mensuelle!$OF$68:$RM$679,HLOOKUP(LL$73,Base_Mensuelle!$QG$67:$RM$680,614,0))</f>
        <v>0</v>
      </c>
      <c r="LM144" s="182">
        <f>VLOOKUP($IW144,Base_Mensuelle!$OF$68:$RM$679,HLOOKUP(LM$73,Base_Mensuelle!$QG$67:$RM$680,614,0))</f>
        <v>141.97499999999999</v>
      </c>
      <c r="LN144" s="182">
        <f>VLOOKUP($IW144,Base_Mensuelle!$OF$68:$RM$679,HLOOKUP(LN$73,Base_Mensuelle!$QG$67:$RM$680,614,0))</f>
        <v>2097.1858230296693</v>
      </c>
      <c r="LO144" s="182">
        <f>VLOOKUP($IW144,Base_Mensuelle!$OF$68:$RM$679,HLOOKUP(LO$73,Base_Mensuelle!$QG$67:$RM$680,614,0))</f>
        <v>0</v>
      </c>
      <c r="LP144" s="182">
        <f>VLOOKUP($IW144,Base_Mensuelle!$OF$68:$RM$679,HLOOKUP(LP$73,Base_Mensuelle!$QG$67:$RM$680,614,0))</f>
        <v>673.21600000000001</v>
      </c>
      <c r="LQ144" s="182">
        <f>VLOOKUP($IW144,Base_Mensuelle!$OF$68:$RM$679,HLOOKUP(LQ$73,Base_Mensuelle!$QG$67:$RM$680,614,0))</f>
        <v>1213.5813881582335</v>
      </c>
      <c r="LR144" s="182">
        <f>VLOOKUP($IW144,Base_Mensuelle!$OF$68:$RM$679,HLOOKUP(LR$73,Base_Mensuelle!$QG$67:$RM$680,614,0))</f>
        <v>1305.3476326226521</v>
      </c>
      <c r="LS144" s="182">
        <f>VLOOKUP($IW144,Base_Mensuelle!$OF$68:$RM$679,HLOOKUP(LS$73,Base_Mensuelle!$QG$67:$RM$680,614,0))</f>
        <v>0</v>
      </c>
      <c r="LT144" s="182">
        <f>VLOOKUP($IW144,Base_Mensuelle!$OF$68:$RM$679,HLOOKUP(LT$73,Base_Mensuelle!$QG$67:$RM$680,614,0))</f>
        <v>71.61999999999999</v>
      </c>
      <c r="LU144" s="182">
        <f>VLOOKUP($IW144,Base_Mensuelle!$OF$68:$RM$679,HLOOKUP(LU$73,Base_Mensuelle!$QG$67:$RM$680,614,0))</f>
        <v>1.726</v>
      </c>
      <c r="LV144" s="182">
        <f>VLOOKUP($IW144,Base_Mensuelle!$OF$68:$RM$679,HLOOKUP(LV$73,Base_Mensuelle!$QG$67:$RM$680,614,0))</f>
        <v>18.382000000000001</v>
      </c>
      <c r="LW144" s="182">
        <f>VLOOKUP($IW144,Base_Mensuelle!$OF$68:$RM$679,HLOOKUP(LW$73,Base_Mensuelle!$QG$67:$RM$680,614,0))</f>
        <v>0</v>
      </c>
      <c r="LX144" s="182">
        <f>VLOOKUP($IW144,Base_Mensuelle!$OF$68:$RM$679,HLOOKUP(LX$73,Base_Mensuelle!$QG$67:$RM$680,614,0))</f>
        <v>0</v>
      </c>
      <c r="LY144" s="182">
        <f>VLOOKUP($IW144,Base_Mensuelle!$OF$68:$RM$679,HLOOKUP(LY$73,Base_Mensuelle!$QG$67:$RM$680,614,0))</f>
        <v>420.60700000000003</v>
      </c>
      <c r="LZ144" s="182">
        <f>VLOOKUP($IW144,Base_Mensuelle!$OF$68:$RM$679,HLOOKUP(LZ$73,Base_Mensuelle!$QG$67:$RM$680,614,0))</f>
        <v>78.582999999999998</v>
      </c>
      <c r="MA144" s="182">
        <f>VLOOKUP($IW144,Base_Mensuelle!$OF$68:$RM$679,HLOOKUP(MA$73,Base_Mensuelle!$QG$67:$RM$680,614,0))</f>
        <v>0</v>
      </c>
      <c r="MB144" s="182">
        <f>VLOOKUP($IW144,Base_Mensuelle!$OF$68:$RM$679,HLOOKUP(MB$73,Base_Mensuelle!$QG$67:$RM$680,614,0))</f>
        <v>0</v>
      </c>
      <c r="MC144" s="182">
        <f>VLOOKUP($IW144,Base_Mensuelle!$OF$68:$RM$679,HLOOKUP(MC$73,Base_Mensuelle!$QG$67:$RM$680,614,0))</f>
        <v>0</v>
      </c>
      <c r="MD144" s="182">
        <f>VLOOKUP($IW144,Base_Mensuelle!$OF$68:$RM$679,HLOOKUP(MD$73,Base_Mensuelle!$QG$67:$RM$680,614,0))</f>
        <v>0</v>
      </c>
      <c r="ME144" s="182">
        <f>VLOOKUP($IW144,Base_Mensuelle!$OF$68:$RM$679,HLOOKUP(ME$73,Base_Mensuelle!$QG$67:$RM$680,614,0))</f>
        <v>0</v>
      </c>
      <c r="MF144" s="182"/>
      <c r="MG144" s="182"/>
      <c r="MH144" s="290"/>
      <c r="MI144" s="29">
        <v>71</v>
      </c>
      <c r="MJ144" s="29" t="str">
        <f t="shared" si="88"/>
        <v>Trimestre 32017</v>
      </c>
      <c r="MK144" s="848">
        <v>42979</v>
      </c>
      <c r="ML144" s="1991">
        <v>158.17557118627346</v>
      </c>
      <c r="MM144" s="1991">
        <v>104.01841324940588</v>
      </c>
      <c r="MN144" s="1991">
        <v>99.867681874028889</v>
      </c>
      <c r="MO144" s="1991">
        <v>100.00000000000001</v>
      </c>
      <c r="MP144" s="1991">
        <v>158.17557118627346</v>
      </c>
      <c r="MQ144" s="1991">
        <v>104.02314296787642</v>
      </c>
      <c r="MR144" s="1991">
        <v>103.59999999999997</v>
      </c>
      <c r="MS144" s="1991">
        <v>100.20560117483457</v>
      </c>
      <c r="MT144" s="1991">
        <v>100.00000000000004</v>
      </c>
      <c r="MU144" s="1991">
        <v>100</v>
      </c>
      <c r="MV144" s="1991">
        <v>100.29950046728165</v>
      </c>
      <c r="MW144" s="1991">
        <v>100</v>
      </c>
      <c r="MX144" s="1991">
        <v>98.412698412698433</v>
      </c>
      <c r="MY144" s="1991">
        <v>100.00000000000009</v>
      </c>
      <c r="MZ144" s="1991">
        <v>100.16605741605122</v>
      </c>
      <c r="NA144" s="1991">
        <v>100.00000000000007</v>
      </c>
      <c r="NB144" s="1991">
        <v>98.829073543413912</v>
      </c>
      <c r="NC144" s="1991">
        <v>127.11178056107441</v>
      </c>
      <c r="ND144" s="1991">
        <v>91.986369776390134</v>
      </c>
      <c r="NE144" s="1991">
        <v>100.00000000000013</v>
      </c>
      <c r="NF144" s="1991">
        <v>100.00000000000003</v>
      </c>
      <c r="NG144" s="1991">
        <v>100.00000000000006</v>
      </c>
      <c r="NH144" s="1991">
        <v>100.00000000000009</v>
      </c>
      <c r="NI144" s="1991">
        <v>100</v>
      </c>
      <c r="NJ144" s="1991">
        <v>100</v>
      </c>
      <c r="NK144" s="1991">
        <v>103.16538654530569</v>
      </c>
      <c r="NL144" s="29">
        <v>71</v>
      </c>
    </row>
    <row r="145" spans="1:376">
      <c r="A145" s="41">
        <f t="shared" si="86"/>
        <v>2017</v>
      </c>
      <c r="B145" s="785">
        <v>43070</v>
      </c>
      <c r="C145" s="733">
        <v>234.14258909259866</v>
      </c>
      <c r="D145" s="1547">
        <v>236.29370704780763</v>
      </c>
      <c r="E145" s="570">
        <v>174.82346862621276</v>
      </c>
      <c r="F145" s="1547">
        <v>61.474433638224596</v>
      </c>
      <c r="G145" s="1547">
        <v>0</v>
      </c>
      <c r="H145" s="1547">
        <v>86.789707072785149</v>
      </c>
      <c r="I145" s="570">
        <v>24.997606678077936</v>
      </c>
      <c r="J145" s="570">
        <v>100.58462146073551</v>
      </c>
      <c r="K145" s="570">
        <v>176.65006246344876</v>
      </c>
      <c r="L145" s="570">
        <v>253.08058591222607</v>
      </c>
      <c r="M145" s="734">
        <v>161.52582786496797</v>
      </c>
      <c r="N145" s="25">
        <v>72</v>
      </c>
      <c r="O145" s="889">
        <f t="shared" si="85"/>
        <v>2017</v>
      </c>
      <c r="P145" s="29" t="str">
        <f t="shared" si="87"/>
        <v>Trimestre 42017</v>
      </c>
      <c r="Q145" s="848">
        <v>43070</v>
      </c>
      <c r="R145" s="733">
        <v>13.2</v>
      </c>
      <c r="S145" s="570">
        <v>74.298068999999998</v>
      </c>
      <c r="T145" s="570">
        <v>1015.2595</v>
      </c>
      <c r="U145" s="734"/>
      <c r="V145" s="25">
        <v>72</v>
      </c>
      <c r="W145" s="733">
        <v>2086.5500000000002</v>
      </c>
      <c r="X145" s="570">
        <v>0</v>
      </c>
      <c r="Y145" s="570">
        <v>638.15178752328097</v>
      </c>
      <c r="Z145" s="570">
        <v>325.76980600470921</v>
      </c>
      <c r="AA145" s="570">
        <v>45.678750000000001</v>
      </c>
      <c r="AB145" s="570">
        <v>89.506</v>
      </c>
      <c r="AC145" s="570">
        <v>1029.33</v>
      </c>
      <c r="AD145" s="570">
        <v>270.589</v>
      </c>
      <c r="AE145" s="734">
        <v>25.375448889639316</v>
      </c>
      <c r="AF145" s="25">
        <v>72</v>
      </c>
      <c r="AG145" s="733">
        <v>37.080899939059051</v>
      </c>
      <c r="AH145" s="570">
        <v>37.124923302664484</v>
      </c>
      <c r="AI145" s="570">
        <v>26.812922739433475</v>
      </c>
      <c r="AJ145" s="570">
        <v>0.49192337298694966</v>
      </c>
      <c r="AK145" s="570">
        <v>43.747705753441863</v>
      </c>
      <c r="AL145" s="570">
        <v>14.668177378115532</v>
      </c>
      <c r="AM145" s="570">
        <v>14.873570809965747</v>
      </c>
      <c r="AN145" s="734">
        <v>11.649943824988849</v>
      </c>
      <c r="AO145" s="733">
        <v>35.432723204722024</v>
      </c>
      <c r="AP145" s="570">
        <v>63.975587542831441</v>
      </c>
      <c r="AQ145" s="570">
        <v>-2.4514821509631162</v>
      </c>
      <c r="AR145" s="570">
        <v>-11.294238748872655</v>
      </c>
      <c r="AS145" s="734">
        <v>7.6923076923076934</v>
      </c>
      <c r="AT145" s="733">
        <v>18.451635425373901</v>
      </c>
      <c r="AU145" s="570">
        <v>4.6602448593872676</v>
      </c>
      <c r="AV145" s="734">
        <v>0.59450121377551979</v>
      </c>
      <c r="AW145" s="733">
        <v>13.674046006876953</v>
      </c>
      <c r="AX145" s="570">
        <v>52.986720473212998</v>
      </c>
      <c r="AY145" s="570">
        <v>56.268152594323531</v>
      </c>
      <c r="AZ145" s="570">
        <v>29.966884800238923</v>
      </c>
      <c r="BA145" s="570">
        <v>14.942284826058769</v>
      </c>
      <c r="BB145" s="570">
        <v>14.118874184408581</v>
      </c>
      <c r="BC145" s="734">
        <v>26.373626373626372</v>
      </c>
      <c r="BD145" s="179">
        <v>1.181315191006135</v>
      </c>
      <c r="BE145" s="99">
        <v>7.2970377998892673</v>
      </c>
      <c r="BF145" s="99">
        <v>45.842186236040845</v>
      </c>
      <c r="BG145" s="99">
        <v>32.50869691304716</v>
      </c>
      <c r="BH145" s="99">
        <v>27.54017521955538</v>
      </c>
      <c r="BI145" s="99">
        <v>12.216376590761218</v>
      </c>
      <c r="BJ145" s="99">
        <v>16.436598216719666</v>
      </c>
      <c r="BK145" s="132">
        <v>12.809543766743984</v>
      </c>
      <c r="BL145" s="179">
        <v>3.9561137645964024</v>
      </c>
      <c r="BM145" s="99">
        <v>80.595057953411313</v>
      </c>
      <c r="BN145" s="99">
        <v>38.773470817672177</v>
      </c>
      <c r="BO145" s="99">
        <v>4.7057909404295897</v>
      </c>
      <c r="BP145" s="99">
        <v>-5.2631578947368407</v>
      </c>
      <c r="BQ145" s="132">
        <v>-5.2631578947368425</v>
      </c>
      <c r="BR145" s="179">
        <v>43.595237099978476</v>
      </c>
      <c r="BS145" s="99">
        <v>11.992547165353677</v>
      </c>
      <c r="BT145" s="99">
        <v>1.5298732279488707</v>
      </c>
      <c r="BU145" s="132">
        <v>32.629585785187317</v>
      </c>
      <c r="BV145" s="179">
        <v>52.527731041051261</v>
      </c>
      <c r="BW145" s="99">
        <v>59.595676568488173</v>
      </c>
      <c r="BX145" s="99">
        <v>73.837076595113587</v>
      </c>
      <c r="BY145" s="99">
        <v>41.707928261029018</v>
      </c>
      <c r="BZ145" s="99">
        <v>35.329817158992171</v>
      </c>
      <c r="CA145" s="99">
        <v>15.789473684210527</v>
      </c>
      <c r="CB145" s="132">
        <v>15.789473684210526</v>
      </c>
      <c r="CC145" s="25">
        <v>72</v>
      </c>
      <c r="CD145" s="181">
        <v>76000</v>
      </c>
      <c r="CE145" s="182">
        <v>17946375</v>
      </c>
      <c r="CF145" s="290">
        <v>5544898</v>
      </c>
      <c r="CG145" s="25">
        <v>72</v>
      </c>
      <c r="CH145" s="19">
        <v>20633</v>
      </c>
      <c r="CI145" s="93">
        <v>5005</v>
      </c>
      <c r="CJ145" s="93">
        <v>2672</v>
      </c>
      <c r="CK145" s="93">
        <v>12063</v>
      </c>
      <c r="CL145" s="93">
        <v>7177</v>
      </c>
      <c r="CM145" s="93">
        <v>778</v>
      </c>
      <c r="CN145" s="93">
        <v>1905</v>
      </c>
      <c r="CO145" s="93">
        <v>2277</v>
      </c>
      <c r="CP145" s="93">
        <v>671</v>
      </c>
      <c r="CQ145" s="93">
        <v>1588</v>
      </c>
      <c r="CR145" s="214">
        <v>95983</v>
      </c>
      <c r="CS145" s="20">
        <v>135120</v>
      </c>
      <c r="CT145" s="25">
        <v>72</v>
      </c>
      <c r="CU145" s="19">
        <v>17497</v>
      </c>
      <c r="CV145" s="93">
        <v>87137</v>
      </c>
      <c r="CW145" s="93">
        <v>14979</v>
      </c>
      <c r="CX145" s="93">
        <v>1474</v>
      </c>
      <c r="CY145" s="93">
        <v>877</v>
      </c>
      <c r="CZ145" s="93">
        <v>344</v>
      </c>
      <c r="DA145" s="93">
        <v>12812</v>
      </c>
      <c r="DB145" s="20">
        <v>135120</v>
      </c>
      <c r="DC145" s="25">
        <v>72</v>
      </c>
      <c r="DD145" s="785">
        <v>43070</v>
      </c>
      <c r="DE145" s="733">
        <v>461.48105043045001</v>
      </c>
      <c r="DF145" s="734">
        <v>283.7</v>
      </c>
      <c r="DG145" s="25">
        <v>72</v>
      </c>
      <c r="DH145" s="733">
        <v>596.4</v>
      </c>
      <c r="DI145" s="734">
        <v>1595.3</v>
      </c>
      <c r="DJ145" s="25">
        <v>72</v>
      </c>
      <c r="DK145" s="733">
        <v>461.48105043045001</v>
      </c>
      <c r="DL145" s="734">
        <v>596.4</v>
      </c>
      <c r="DM145" s="733">
        <v>-134.91894956954997</v>
      </c>
      <c r="DN145" s="734">
        <v>77.377775055407454</v>
      </c>
      <c r="DO145" s="25">
        <v>72</v>
      </c>
      <c r="DP145" s="733">
        <v>229.5639662035565</v>
      </c>
      <c r="DQ145" s="570">
        <v>327.18339228014059</v>
      </c>
      <c r="DR145" s="734">
        <v>751.09517207763167</v>
      </c>
      <c r="DS145" s="25">
        <v>72</v>
      </c>
      <c r="DT145" s="733">
        <v>81.175589030649803</v>
      </c>
      <c r="DU145" s="570">
        <v>90.993097849821609</v>
      </c>
      <c r="DV145" s="734">
        <v>73.864183156828261</v>
      </c>
      <c r="DW145" s="25">
        <v>72</v>
      </c>
      <c r="DX145" s="733">
        <v>282.79926138494551</v>
      </c>
      <c r="DY145" s="734">
        <v>61.675548972185268</v>
      </c>
      <c r="DZ145" s="25">
        <v>72</v>
      </c>
      <c r="EA145" s="733">
        <v>297.08679319800001</v>
      </c>
      <c r="EB145" s="570">
        <v>75.860018275000002</v>
      </c>
      <c r="EC145" s="570">
        <v>20.270793867449999</v>
      </c>
      <c r="ED145" s="570">
        <v>4.94849198</v>
      </c>
      <c r="EE145" s="734">
        <v>3.7424939450000001</v>
      </c>
      <c r="EF145" s="25">
        <v>72</v>
      </c>
      <c r="EG145" s="1569">
        <v>297.08679319800001</v>
      </c>
      <c r="EH145" s="1570">
        <v>75.860018275000002</v>
      </c>
      <c r="EI145" s="1570">
        <v>20.270793867449999</v>
      </c>
      <c r="EJ145" s="1570">
        <v>4.94849198</v>
      </c>
      <c r="EK145" s="1571">
        <v>3.7424939450000001</v>
      </c>
      <c r="EL145" s="25">
        <v>72</v>
      </c>
      <c r="EM145" s="733">
        <v>312.718843585</v>
      </c>
      <c r="EN145" s="570">
        <v>6.5057527159999999</v>
      </c>
      <c r="EO145" s="570">
        <v>37.119957693000003</v>
      </c>
      <c r="EP145" s="570">
        <v>5.8141389000000002E-2</v>
      </c>
      <c r="EQ145" s="570">
        <v>28.214333025999998</v>
      </c>
      <c r="ER145" s="570">
        <v>5.9638807910000002</v>
      </c>
      <c r="ES145" s="570">
        <v>0.648646155</v>
      </c>
      <c r="ET145" s="570">
        <v>9.7303822459999996</v>
      </c>
      <c r="EU145" s="570">
        <v>0.241751877</v>
      </c>
      <c r="EV145" s="734">
        <v>4.4156362759999999</v>
      </c>
      <c r="EW145" s="25">
        <v>72</v>
      </c>
      <c r="EX145" s="918">
        <v>87.411310212520007</v>
      </c>
      <c r="EY145" s="919">
        <v>14.809743448959999</v>
      </c>
      <c r="EZ145" s="919">
        <v>48.890630373500002</v>
      </c>
      <c r="FA145" s="919">
        <v>0.56085551875999995</v>
      </c>
      <c r="FB145" s="919">
        <v>64.599999999999994</v>
      </c>
      <c r="FC145" s="919">
        <v>22.355029497369998</v>
      </c>
      <c r="FD145" s="919">
        <v>4.9232916626099996</v>
      </c>
      <c r="FE145" s="919">
        <v>23.685005498999999</v>
      </c>
      <c r="FF145" s="919">
        <v>12.707422190780001</v>
      </c>
      <c r="FG145" s="920">
        <v>32.050817617569997</v>
      </c>
      <c r="FH145" s="25">
        <v>72</v>
      </c>
      <c r="FI145" s="848">
        <v>43070</v>
      </c>
      <c r="FJ145" s="19">
        <v>2496</v>
      </c>
      <c r="FK145" s="93">
        <v>1084</v>
      </c>
      <c r="FL145" s="20">
        <v>0</v>
      </c>
      <c r="FM145" s="25">
        <v>72</v>
      </c>
      <c r="FN145" s="19">
        <v>106</v>
      </c>
      <c r="FO145" s="93">
        <v>1145</v>
      </c>
      <c r="FP145" s="93">
        <v>1423</v>
      </c>
      <c r="FQ145" s="93">
        <v>549</v>
      </c>
      <c r="FR145" s="93">
        <v>224</v>
      </c>
      <c r="FS145" s="93">
        <v>67</v>
      </c>
      <c r="FT145" s="93">
        <v>34</v>
      </c>
      <c r="FU145" s="93">
        <v>16</v>
      </c>
      <c r="FV145" s="93">
        <v>10</v>
      </c>
      <c r="FW145" s="917">
        <v>6</v>
      </c>
      <c r="FX145" s="25">
        <v>72</v>
      </c>
      <c r="FY145" s="975">
        <v>72</v>
      </c>
      <c r="FZ145" s="975">
        <v>533</v>
      </c>
      <c r="GA145" s="975">
        <v>530</v>
      </c>
      <c r="GB145" s="975">
        <v>62</v>
      </c>
      <c r="GC145" s="975">
        <v>589</v>
      </c>
      <c r="GD145" s="975">
        <v>98</v>
      </c>
      <c r="GE145" s="975">
        <v>1043</v>
      </c>
      <c r="GF145" s="975">
        <v>95</v>
      </c>
      <c r="GG145" s="975">
        <v>18</v>
      </c>
      <c r="GH145" s="975">
        <v>414</v>
      </c>
      <c r="GI145" s="976">
        <v>126</v>
      </c>
      <c r="GJ145" s="25">
        <v>72</v>
      </c>
      <c r="GK145" s="19"/>
      <c r="GL145" s="20"/>
      <c r="GM145" s="25">
        <v>72</v>
      </c>
      <c r="GN145" s="19">
        <v>4733</v>
      </c>
      <c r="GO145" s="20">
        <v>1718</v>
      </c>
      <c r="GP145" s="25">
        <v>72</v>
      </c>
      <c r="GQ145" s="19">
        <v>31</v>
      </c>
      <c r="GR145" s="20">
        <v>30</v>
      </c>
      <c r="GS145" s="25">
        <v>72</v>
      </c>
      <c r="GT145" s="848">
        <v>43070</v>
      </c>
      <c r="GU145" s="733">
        <v>1583.5928459876773</v>
      </c>
      <c r="GV145" s="570">
        <v>1389.2893899466003</v>
      </c>
      <c r="GW145" s="570">
        <v>1389.2891217466001</v>
      </c>
      <c r="GX145" s="570">
        <v>1238.1864583556001</v>
      </c>
      <c r="GY145" s="570">
        <v>323.30924299200001</v>
      </c>
      <c r="GZ145" s="570">
        <v>10.813410376999999</v>
      </c>
      <c r="HA145" s="570">
        <v>8.521585022</v>
      </c>
      <c r="HB145" s="570">
        <v>702.93787562860007</v>
      </c>
      <c r="HC145" s="570">
        <v>181.028827393</v>
      </c>
      <c r="HD145" s="570">
        <v>11.575516943</v>
      </c>
      <c r="HE145" s="570">
        <v>151.10266339099999</v>
      </c>
      <c r="HF145" s="570">
        <v>6.3355671440000005</v>
      </c>
      <c r="HG145" s="570">
        <v>35.307478325000005</v>
      </c>
      <c r="HH145" s="570">
        <v>1.9909786170000001</v>
      </c>
      <c r="HI145" s="570">
        <v>33.438367692999989</v>
      </c>
      <c r="HJ145" s="570">
        <v>74.030271612000007</v>
      </c>
      <c r="HK145" s="570">
        <v>2.6820000000000001E-4</v>
      </c>
      <c r="HL145" s="570">
        <v>194.30345604107708</v>
      </c>
      <c r="HM145" s="570">
        <v>119.9469813200771</v>
      </c>
      <c r="HN145" s="570">
        <v>74.356474720999998</v>
      </c>
      <c r="HO145" s="570">
        <v>2180.0535352043489</v>
      </c>
      <c r="HP145" s="570">
        <v>2183.0798619333491</v>
      </c>
      <c r="HQ145" s="570">
        <v>1263.9120390369997</v>
      </c>
      <c r="HR145" s="570">
        <v>617.66243380499998</v>
      </c>
      <c r="HS145" s="570">
        <v>139.16138330000001</v>
      </c>
      <c r="HT145" s="570">
        <v>69.515113977999988</v>
      </c>
      <c r="HU145" s="570">
        <v>49.351286598999991</v>
      </c>
      <c r="HV145" s="570">
        <v>20.163827379000001</v>
      </c>
      <c r="HW145" s="570">
        <v>437.57310795399991</v>
      </c>
      <c r="HX145" s="570">
        <v>0</v>
      </c>
      <c r="HY145" s="570">
        <v>87.82009571799999</v>
      </c>
      <c r="HZ145" s="570">
        <v>35.479999999999997</v>
      </c>
      <c r="IA145" s="570">
        <v>50</v>
      </c>
      <c r="IB145" s="570">
        <v>919.16782289634898</v>
      </c>
      <c r="IC145" s="570">
        <v>658.21225061899997</v>
      </c>
      <c r="ID145" s="570">
        <v>16.519421043000001</v>
      </c>
      <c r="IE145" s="570">
        <v>244.43615123434913</v>
      </c>
      <c r="IF145" s="570">
        <v>-3.0263267290000009</v>
      </c>
      <c r="IG145" s="570">
        <v>-596.46068921667188</v>
      </c>
      <c r="IH145" s="570">
        <v>-790.76414525774885</v>
      </c>
      <c r="II145" s="570">
        <v>-476.81288004539977</v>
      </c>
      <c r="IJ145" s="570">
        <v>-546.32799402339981</v>
      </c>
      <c r="IK145" s="570">
        <v>-441.32531676567203</v>
      </c>
      <c r="IL145" s="570">
        <v>-635.62877280674911</v>
      </c>
      <c r="IM145" s="570">
        <v>440.29403935827207</v>
      </c>
      <c r="IN145" s="570">
        <v>74.281772059272029</v>
      </c>
      <c r="IO145" s="570">
        <v>124.48916991427204</v>
      </c>
      <c r="IP145" s="570">
        <v>-50.207397855000004</v>
      </c>
      <c r="IQ145" s="570">
        <v>0</v>
      </c>
      <c r="IR145" s="570">
        <v>366.01226729899997</v>
      </c>
      <c r="IS145" s="570">
        <v>323.72396189800003</v>
      </c>
      <c r="IT145" s="570">
        <v>42.288305401000002</v>
      </c>
      <c r="IU145" s="570">
        <v>0</v>
      </c>
      <c r="IV145" s="93">
        <v>72</v>
      </c>
      <c r="IW145" s="848">
        <v>43070</v>
      </c>
      <c r="IX145" s="1035"/>
      <c r="IY145" s="1035">
        <v>447.88524436486398</v>
      </c>
      <c r="IZ145" s="1035">
        <v>521.52453824986401</v>
      </c>
      <c r="JA145" s="1035">
        <v>0.38193575400000002</v>
      </c>
      <c r="JB145" s="1035">
        <v>1377.2429933615285</v>
      </c>
      <c r="JC145" s="1035">
        <v>200.12180336</v>
      </c>
      <c r="JD145" s="1035">
        <v>2025.6319768403928</v>
      </c>
      <c r="JE145" s="1035">
        <v>1341.0855441282247</v>
      </c>
      <c r="JF145" s="1035">
        <v>3366.7175209686175</v>
      </c>
      <c r="JG145" s="1035"/>
      <c r="JH145" s="1035">
        <v>1330.1164299021225</v>
      </c>
      <c r="JI145" s="1035">
        <v>-0.97584279913587579</v>
      </c>
      <c r="JJ145" s="1035">
        <v>1331.0922727012585</v>
      </c>
      <c r="JK145" s="1035">
        <v>2436.3076982104953</v>
      </c>
      <c r="JL145" s="1035">
        <v>66.063862190000023</v>
      </c>
      <c r="JM145" s="1035">
        <v>-55.738137809999998</v>
      </c>
      <c r="JN145" s="1035">
        <v>121.80200000000002</v>
      </c>
      <c r="JO145" s="1035">
        <v>2370.2438360204951</v>
      </c>
      <c r="JP145" s="1035">
        <v>5.1866795510000001</v>
      </c>
      <c r="JQ145" s="1035">
        <v>2365.0571564694951</v>
      </c>
      <c r="JR145" s="1035">
        <v>571.34283875799997</v>
      </c>
      <c r="JS145" s="1035">
        <v>-171.63623161400011</v>
      </c>
      <c r="JT145" s="1036">
        <v>3366.7175209686184</v>
      </c>
      <c r="JU145" s="29">
        <v>72</v>
      </c>
      <c r="JV145" s="1037"/>
      <c r="JW145" s="1526">
        <f>VLOOKUP($IW145,Base_Mensuelle!$OF$68:$RM$679,HLOOKUP(JW$73,Base_Mensuelle!$PE$67:$QE$680,614,0))</f>
        <v>-0.97584279913587579</v>
      </c>
      <c r="JX145" s="1526">
        <f>VLOOKUP($IW145,Base_Mensuelle!$OF$68:$RM$679,HLOOKUP(JX$73,Base_Mensuelle!$PE$67:$QE$680,614,0))</f>
        <v>897.76085079386405</v>
      </c>
      <c r="JY145" s="1526">
        <f>VLOOKUP($IW145,Base_Mensuelle!$OF$68:$RM$679,HLOOKUP(JY$73,Base_Mensuelle!$PE$67:$QE$680,614,0))</f>
        <v>898.73669359299993</v>
      </c>
      <c r="JZ145" s="1526">
        <f>VLOOKUP($IW145,Base_Mensuelle!$OF$68:$RM$679,HLOOKUP(JZ$73,Base_Mensuelle!$PE$67:$QE$680,614,0))</f>
        <v>762.03553137500001</v>
      </c>
      <c r="KA145" s="1526">
        <f>VLOOKUP($IW145,Base_Mensuelle!$OF$68:$RM$679,HLOOKUP(KA$73,Base_Mensuelle!$PE$67:$QE$680,614,0))</f>
        <v>-48.107843924999997</v>
      </c>
      <c r="KB145" s="1526">
        <f>VLOOKUP($IW145,Base_Mensuelle!$OF$68:$RM$679,HLOOKUP(KB$73,Base_Mensuelle!$PE$67:$QE$680,614,0))</f>
        <v>120.852452634</v>
      </c>
      <c r="KC145" s="1526">
        <f>VLOOKUP($IW145,Base_Mensuelle!$OF$68:$RM$679,HLOOKUP(KC$73,Base_Mensuelle!$PE$67:$QE$680,614,0))</f>
        <v>168.960296559</v>
      </c>
      <c r="KD145" s="1526">
        <f>VLOOKUP($IW145,Base_Mensuelle!$OF$68:$RM$679,HLOOKUP(KD$73,Base_Mensuelle!$PE$67:$QE$680,614,0))</f>
        <v>5.1866795510000001</v>
      </c>
      <c r="KE145" s="1526">
        <f>VLOOKUP($IW145,Base_Mensuelle!$OF$68:$RM$679,HLOOKUP(KE$73,Base_Mensuelle!$PE$67:$QE$680,614,0))</f>
        <v>1.101</v>
      </c>
      <c r="KF145" s="1526">
        <f>VLOOKUP($IW145,Base_Mensuelle!$OF$68:$RM$679,HLOOKUP(KF$73,Base_Mensuelle!$PE$67:$QE$680,614,0))</f>
        <v>0</v>
      </c>
      <c r="KG145" s="1526">
        <f>VLOOKUP($IW145,Base_Mensuelle!$OF$68:$RM$679,HLOOKUP(KG$73,Base_Mensuelle!$PE$67:$QE$680,614,0))</f>
        <v>0</v>
      </c>
      <c r="KH145" s="1526">
        <f>VLOOKUP($IW145,Base_Mensuelle!$OF$68:$RM$679,HLOOKUP(KH$73,Base_Mensuelle!$PE$67:$QE$680,614,0))</f>
        <v>4.0856795510000001</v>
      </c>
      <c r="KI145" s="1526">
        <f>VLOOKUP($IW145,Base_Mensuelle!$OF$68:$RM$679,HLOOKUP(KI$73,Base_Mensuelle!$PE$67:$QE$680,614,0))</f>
        <v>684.11210546686402</v>
      </c>
      <c r="KJ145" s="1526">
        <f>VLOOKUP($IW145,Base_Mensuelle!$OF$68:$RM$679,HLOOKUP(KJ$73,Base_Mensuelle!$PE$67:$QE$680,614,0))</f>
        <v>521.52453824986401</v>
      </c>
      <c r="KK145" s="1526">
        <f>VLOOKUP($IW145,Base_Mensuelle!$OF$68:$RM$679,HLOOKUP(KK$73,Base_Mensuelle!$PE$67:$QE$680,614,0))</f>
        <v>161.87252314400001</v>
      </c>
      <c r="KL145" s="1526">
        <f>VLOOKUP($IW145,Base_Mensuelle!$OF$68:$RM$679,HLOOKUP(KL$73,Base_Mensuelle!$PE$67:$QE$680,614,0))</f>
        <v>0.71504407300000006</v>
      </c>
      <c r="KM145" s="1526">
        <f>VLOOKUP($IW145,Base_Mensuelle!$OF$68:$RM$679,HLOOKUP(KM$73,Base_Mensuelle!$PE$67:$QE$680,614,0))</f>
        <v>0</v>
      </c>
      <c r="KN145" s="1526">
        <f>VLOOKUP($IW145,Base_Mensuelle!$OF$68:$RM$679,HLOOKUP(KN$73,Base_Mensuelle!$PE$67:$QE$680,614,0))</f>
        <v>8.2959058629999998</v>
      </c>
      <c r="KO145" s="1526">
        <f>VLOOKUP($IW145,Base_Mensuelle!$OF$68:$RM$679,HLOOKUP(KO$73,Base_Mensuelle!$PE$67:$QE$680,614,0))</f>
        <v>0</v>
      </c>
      <c r="KP145" s="1526">
        <f>VLOOKUP($IW145,Base_Mensuelle!$OF$68:$RM$679,HLOOKUP(KP$73,Base_Mensuelle!$PE$67:$QE$680,614,0))</f>
        <v>0</v>
      </c>
      <c r="KQ145" s="1526">
        <f>VLOOKUP($IW145,Base_Mensuelle!$OF$68:$RM$679,HLOOKUP(KQ$73,Base_Mensuelle!$PE$67:$QE$680,614,0))</f>
        <v>8.2959058629999998</v>
      </c>
      <c r="KR145" s="1526">
        <f>VLOOKUP($IW145,Base_Mensuelle!$OF$68:$RM$679,HLOOKUP(KR$73,Base_Mensuelle!$PE$67:$QE$680,614,0))</f>
        <v>0</v>
      </c>
      <c r="KS145" s="1526">
        <f>VLOOKUP($IW145,Base_Mensuelle!$OF$68:$RM$679,HLOOKUP(KS$73,Base_Mensuelle!$PE$67:$QE$680,614,0))</f>
        <v>0</v>
      </c>
      <c r="KT145" s="1526">
        <f>VLOOKUP($IW145,Base_Mensuelle!$OF$68:$RM$679,HLOOKUP(KT$73,Base_Mensuelle!$PE$67:$QE$680,614,0))</f>
        <v>0</v>
      </c>
      <c r="KU145" s="1526">
        <f>VLOOKUP($IW145,Base_Mensuelle!$OF$68:$RM$679,HLOOKUP(KU$73,Base_Mensuelle!$PE$67:$QE$680,614,0))</f>
        <v>22.699932895</v>
      </c>
      <c r="KV145" s="1526">
        <f>VLOOKUP($IW145,Base_Mensuelle!$OF$68:$RM$679,HLOOKUP(KV$73,Base_Mensuelle!$PE$67:$QE$680,614,0))</f>
        <v>3.0305799770000004</v>
      </c>
      <c r="KW145" s="1036"/>
      <c r="KX145" s="29">
        <v>72</v>
      </c>
      <c r="KY145" s="1037"/>
      <c r="KZ145" s="182">
        <f>VLOOKUP($IW145,Base_Mensuelle!$OF$68:$RM$679,HLOOKUP(KZ$73,Base_Mensuelle!$QG$67:$RM$680,614,0))</f>
        <v>1331.0922727012585</v>
      </c>
      <c r="LA145" s="182">
        <f>VLOOKUP($IW145,Base_Mensuelle!$OF$68:$RM$679,HLOOKUP(LA$73,Base_Mensuelle!$QG$67:$RM$680,614,0))</f>
        <v>1975.6258435305053</v>
      </c>
      <c r="LB145" s="182">
        <f>VLOOKUP($IW145,Base_Mensuelle!$OF$68:$RM$679,HLOOKUP(LB$73,Base_Mensuelle!$QG$67:$RM$680,614,0))</f>
        <v>-644.53357082924697</v>
      </c>
      <c r="LC145" s="182">
        <f>VLOOKUP($IW145,Base_Mensuelle!$OF$68:$RM$679,HLOOKUP(LC$73,Base_Mensuelle!$QG$67:$RM$680,614,0))</f>
        <v>215.67900000000003</v>
      </c>
      <c r="LD145" s="182">
        <f>VLOOKUP($IW145,Base_Mensuelle!$OF$68:$RM$679,HLOOKUP(LD$73,Base_Mensuelle!$QG$67:$RM$680,614,0))</f>
        <v>66.009</v>
      </c>
      <c r="LE145" s="182">
        <f>VLOOKUP($IW145,Base_Mensuelle!$OF$68:$RM$679,HLOOKUP(LE$73,Base_Mensuelle!$QG$67:$RM$680,614,0))</f>
        <v>149.67000000000002</v>
      </c>
      <c r="LF145" s="182">
        <f>VLOOKUP($IW145,Base_Mensuelle!$OF$68:$RM$679,HLOOKUP(LF$73,Base_Mensuelle!$QG$67:$RM$680,614,0))</f>
        <v>0</v>
      </c>
      <c r="LG145" s="182">
        <f>VLOOKUP($IW145,Base_Mensuelle!$OF$68:$RM$679,HLOOKUP(LG$73,Base_Mensuelle!$QG$67:$RM$680,614,0))</f>
        <v>121.80200000000002</v>
      </c>
      <c r="LH145" s="182">
        <f>VLOOKUP($IW145,Base_Mensuelle!$OF$68:$RM$679,HLOOKUP(LH$73,Base_Mensuelle!$QG$67:$RM$680,614,0))</f>
        <v>465.072</v>
      </c>
      <c r="LI145" s="182">
        <f>VLOOKUP($IW145,Base_Mensuelle!$OF$68:$RM$679,HLOOKUP(LI$73,Base_Mensuelle!$QG$67:$RM$680,614,0))</f>
        <v>-343.27</v>
      </c>
      <c r="LJ145" s="182">
        <f>VLOOKUP($IW145,Base_Mensuelle!$OF$68:$RM$679,HLOOKUP(LJ$73,Base_Mensuelle!$QG$67:$RM$680,614,0))</f>
        <v>2365.0571564694951</v>
      </c>
      <c r="LK145" s="182">
        <f>VLOOKUP($IW145,Base_Mensuelle!$OF$68:$RM$679,HLOOKUP(LK$73,Base_Mensuelle!$QG$67:$RM$680,614,0))</f>
        <v>33.215434591925145</v>
      </c>
      <c r="LL145" s="182">
        <f>VLOOKUP($IW145,Base_Mensuelle!$OF$68:$RM$679,HLOOKUP(LL$73,Base_Mensuelle!$QG$67:$RM$680,614,0))</f>
        <v>0</v>
      </c>
      <c r="LM145" s="182">
        <f>VLOOKUP($IW145,Base_Mensuelle!$OF$68:$RM$679,HLOOKUP(LM$73,Base_Mensuelle!$QG$67:$RM$680,614,0))</f>
        <v>89.742000000000004</v>
      </c>
      <c r="LN145" s="182">
        <f>VLOOKUP($IW145,Base_Mensuelle!$OF$68:$RM$679,HLOOKUP(LN$73,Base_Mensuelle!$QG$67:$RM$680,614,0))</f>
        <v>2242.0997218775701</v>
      </c>
      <c r="LO145" s="182">
        <f>VLOOKUP($IW145,Base_Mensuelle!$OF$68:$RM$679,HLOOKUP(LO$73,Base_Mensuelle!$QG$67:$RM$680,614,0))</f>
        <v>0</v>
      </c>
      <c r="LP145" s="182">
        <f>VLOOKUP($IW145,Base_Mensuelle!$OF$68:$RM$679,HLOOKUP(LP$73,Base_Mensuelle!$QG$67:$RM$680,614,0))</f>
        <v>765.41800000000001</v>
      </c>
      <c r="LQ145" s="182">
        <f>VLOOKUP($IW145,Base_Mensuelle!$OF$68:$RM$679,HLOOKUP(LQ$73,Base_Mensuelle!$QG$67:$RM$680,614,0))</f>
        <v>1377.2429933615285</v>
      </c>
      <c r="LR145" s="182">
        <f>VLOOKUP($IW145,Base_Mensuelle!$OF$68:$RM$679,HLOOKUP(LR$73,Base_Mensuelle!$QG$67:$RM$680,614,0))</f>
        <v>1340.7524358092246</v>
      </c>
      <c r="LS145" s="182">
        <f>VLOOKUP($IW145,Base_Mensuelle!$OF$68:$RM$679,HLOOKUP(LS$73,Base_Mensuelle!$QG$67:$RM$680,614,0))</f>
        <v>0</v>
      </c>
      <c r="LT145" s="182">
        <f>VLOOKUP($IW145,Base_Mensuelle!$OF$68:$RM$679,HLOOKUP(LT$73,Base_Mensuelle!$QG$67:$RM$680,614,0))</f>
        <v>81.284999999999997</v>
      </c>
      <c r="LU145" s="182">
        <f>VLOOKUP($IW145,Base_Mensuelle!$OF$68:$RM$679,HLOOKUP(LU$73,Base_Mensuelle!$QG$67:$RM$680,614,0))</f>
        <v>0.85400000000000009</v>
      </c>
      <c r="LV145" s="182">
        <f>VLOOKUP($IW145,Base_Mensuelle!$OF$68:$RM$679,HLOOKUP(LV$73,Base_Mensuelle!$QG$67:$RM$680,614,0))</f>
        <v>17.099999999999998</v>
      </c>
      <c r="LW145" s="182">
        <f>VLOOKUP($IW145,Base_Mensuelle!$OF$68:$RM$679,HLOOKUP(LW$73,Base_Mensuelle!$QG$67:$RM$680,614,0))</f>
        <v>0</v>
      </c>
      <c r="LX145" s="182">
        <f>VLOOKUP($IW145,Base_Mensuelle!$OF$68:$RM$679,HLOOKUP(LX$73,Base_Mensuelle!$QG$67:$RM$680,614,0))</f>
        <v>0</v>
      </c>
      <c r="LY145" s="182">
        <f>VLOOKUP($IW145,Base_Mensuelle!$OF$68:$RM$679,HLOOKUP(LY$73,Base_Mensuelle!$QG$67:$RM$680,614,0))</f>
        <v>441.108</v>
      </c>
      <c r="LZ145" s="182">
        <f>VLOOKUP($IW145,Base_Mensuelle!$OF$68:$RM$679,HLOOKUP(LZ$73,Base_Mensuelle!$QG$67:$RM$680,614,0))</f>
        <v>9.8700000000000045</v>
      </c>
      <c r="MA145" s="182">
        <f>VLOOKUP($IW145,Base_Mensuelle!$OF$68:$RM$679,HLOOKUP(MA$73,Base_Mensuelle!$QG$67:$RM$680,614,0))</f>
        <v>0</v>
      </c>
      <c r="MB145" s="182">
        <f>VLOOKUP($IW145,Base_Mensuelle!$OF$68:$RM$679,HLOOKUP(MB$73,Base_Mensuelle!$QG$67:$RM$680,614,0))</f>
        <v>0</v>
      </c>
      <c r="MC145" s="182">
        <f>VLOOKUP($IW145,Base_Mensuelle!$OF$68:$RM$679,HLOOKUP(MC$73,Base_Mensuelle!$QG$67:$RM$680,614,0))</f>
        <v>0</v>
      </c>
      <c r="MD145" s="182">
        <f>VLOOKUP($IW145,Base_Mensuelle!$OF$68:$RM$679,HLOOKUP(MD$73,Base_Mensuelle!$QG$67:$RM$680,614,0))</f>
        <v>0</v>
      </c>
      <c r="ME145" s="182">
        <f>VLOOKUP($IW145,Base_Mensuelle!$OF$68:$RM$679,HLOOKUP(ME$73,Base_Mensuelle!$QG$67:$RM$680,614,0))</f>
        <v>0</v>
      </c>
      <c r="MF145" s="182"/>
      <c r="MG145" s="182"/>
      <c r="MH145" s="290"/>
      <c r="MI145" s="29">
        <v>72</v>
      </c>
      <c r="MJ145" s="29" t="str">
        <f t="shared" si="88"/>
        <v>Trimestre 42017</v>
      </c>
      <c r="MK145" s="848">
        <v>43070</v>
      </c>
      <c r="ML145" s="1991">
        <v>158.17557118627346</v>
      </c>
      <c r="MM145" s="1991">
        <v>103.61327792786298</v>
      </c>
      <c r="MN145" s="1991">
        <v>99.855279455685391</v>
      </c>
      <c r="MO145" s="1991">
        <v>100.00000000000001</v>
      </c>
      <c r="MP145" s="1991">
        <v>158.17557118627346</v>
      </c>
      <c r="MQ145" s="1991">
        <v>103.61310873815006</v>
      </c>
      <c r="MR145" s="1991">
        <v>103.59999999999997</v>
      </c>
      <c r="MS145" s="1991">
        <v>100.18104468375837</v>
      </c>
      <c r="MT145" s="1991">
        <v>100.00000000000004</v>
      </c>
      <c r="MU145" s="1991">
        <v>100</v>
      </c>
      <c r="MV145" s="1991">
        <v>100.29950046728165</v>
      </c>
      <c r="MW145" s="1991">
        <v>100</v>
      </c>
      <c r="MX145" s="1991">
        <v>98.412698412698433</v>
      </c>
      <c r="MY145" s="1991">
        <v>100.00000000000009</v>
      </c>
      <c r="MZ145" s="1991">
        <v>100.16605741605122</v>
      </c>
      <c r="NA145" s="1991">
        <v>100.00000000000007</v>
      </c>
      <c r="NB145" s="1991">
        <v>98.829073543413912</v>
      </c>
      <c r="NC145" s="1991">
        <v>127.11178056107441</v>
      </c>
      <c r="ND145" s="1991">
        <v>91.986369776390134</v>
      </c>
      <c r="NE145" s="1991">
        <v>100.00000000000013</v>
      </c>
      <c r="NF145" s="1991">
        <v>100.00000000000003</v>
      </c>
      <c r="NG145" s="1991">
        <v>100.00000000000006</v>
      </c>
      <c r="NH145" s="1991">
        <v>100.00000000000009</v>
      </c>
      <c r="NI145" s="1991">
        <v>100</v>
      </c>
      <c r="NJ145" s="1991">
        <v>100</v>
      </c>
      <c r="NK145" s="1991">
        <v>102.99286798104329</v>
      </c>
      <c r="NL145" s="29">
        <v>72</v>
      </c>
    </row>
    <row r="146" spans="1:376">
      <c r="A146" s="41">
        <f t="shared" si="86"/>
        <v>2018</v>
      </c>
      <c r="B146" s="785">
        <v>43160</v>
      </c>
      <c r="C146" s="733">
        <v>233.72620540923802</v>
      </c>
      <c r="D146" s="1547">
        <v>248.22580122952709</v>
      </c>
      <c r="E146" s="570">
        <v>174.82346862621276</v>
      </c>
      <c r="F146" s="1547">
        <v>99.512475192887933</v>
      </c>
      <c r="G146" s="1547">
        <v>0</v>
      </c>
      <c r="H146" s="1547">
        <v>84.817585582218854</v>
      </c>
      <c r="I146" s="570">
        <v>27.64345915528423</v>
      </c>
      <c r="J146" s="570">
        <v>100.31784805737425</v>
      </c>
      <c r="K146" s="570">
        <v>186.77394374726109</v>
      </c>
      <c r="L146" s="570">
        <v>253.81697615589212</v>
      </c>
      <c r="M146" s="734">
        <v>176.77375459825723</v>
      </c>
      <c r="N146" s="25">
        <v>73</v>
      </c>
      <c r="O146" s="889">
        <f t="shared" si="85"/>
        <v>2018</v>
      </c>
      <c r="P146" s="29" t="str">
        <f t="shared" si="87"/>
        <v>Trimestre 12018</v>
      </c>
      <c r="Q146" s="848">
        <v>43160</v>
      </c>
      <c r="R146" s="733">
        <v>14.121542980000001</v>
      </c>
      <c r="S146" s="570">
        <v>127.238</v>
      </c>
      <c r="T146" s="570">
        <v>1015.2595</v>
      </c>
      <c r="U146" s="734">
        <v>23.116</v>
      </c>
      <c r="V146" s="25">
        <v>73</v>
      </c>
      <c r="W146" s="733">
        <v>7214</v>
      </c>
      <c r="X146" s="570">
        <v>18593</v>
      </c>
      <c r="Y146" s="570">
        <v>577.52519227304208</v>
      </c>
      <c r="Z146" s="570">
        <v>268.85177552531593</v>
      </c>
      <c r="AA146" s="570">
        <v>45.678750000000001</v>
      </c>
      <c r="AB146" s="570">
        <v>89.506</v>
      </c>
      <c r="AC146" s="570">
        <v>1029.33</v>
      </c>
      <c r="AD146" s="570">
        <v>286.09655700000002</v>
      </c>
      <c r="AE146" s="734">
        <v>25.449283999999999</v>
      </c>
      <c r="AF146" s="25">
        <v>73</v>
      </c>
      <c r="AG146" s="733">
        <v>36.506156039441656</v>
      </c>
      <c r="AH146" s="570">
        <v>34.404672755028102</v>
      </c>
      <c r="AI146" s="570">
        <v>17.243523745419978</v>
      </c>
      <c r="AJ146" s="570">
        <v>-13.985541495768755</v>
      </c>
      <c r="AK146" s="570">
        <v>40.57544844501416</v>
      </c>
      <c r="AL146" s="570">
        <v>13.898431047434153</v>
      </c>
      <c r="AM146" s="570">
        <v>18.075316281846113</v>
      </c>
      <c r="AN146" s="734">
        <v>12.44454694979453</v>
      </c>
      <c r="AO146" s="733">
        <v>52.743213191526479</v>
      </c>
      <c r="AP146" s="570">
        <v>58.282508423718809</v>
      </c>
      <c r="AQ146" s="570">
        <v>9.70876414557695</v>
      </c>
      <c r="AR146" s="570">
        <v>-22.424988481570022</v>
      </c>
      <c r="AS146" s="734">
        <v>14.285714285714286</v>
      </c>
      <c r="AT146" s="733">
        <v>7.3719667204300414</v>
      </c>
      <c r="AU146" s="570">
        <v>-18.1369387474004</v>
      </c>
      <c r="AV146" s="734">
        <v>11.84417339091916</v>
      </c>
      <c r="AW146" s="733">
        <v>-4.8172634145497089</v>
      </c>
      <c r="AX146" s="570">
        <v>46.323964913573974</v>
      </c>
      <c r="AY146" s="570">
        <v>26.362331001575747</v>
      </c>
      <c r="AZ146" s="570">
        <v>-17.957526123502731</v>
      </c>
      <c r="BA146" s="570">
        <v>-16.731191567455848</v>
      </c>
      <c r="BB146" s="570">
        <v>5.4135003987100205</v>
      </c>
      <c r="BC146" s="734">
        <v>21.428571428571431</v>
      </c>
      <c r="BD146" s="179">
        <v>-11.474725318508074</v>
      </c>
      <c r="BE146" s="99">
        <v>-20.134713549829577</v>
      </c>
      <c r="BF146" s="99">
        <v>2.9485701198045682</v>
      </c>
      <c r="BG146" s="99">
        <v>9.5927011913382589</v>
      </c>
      <c r="BH146" s="99">
        <v>-2.3825944055290122</v>
      </c>
      <c r="BI146" s="99">
        <v>5.7021249906437195</v>
      </c>
      <c r="BJ146" s="99">
        <v>15.914806365182812</v>
      </c>
      <c r="BK146" s="132">
        <v>2.9975735813875155</v>
      </c>
      <c r="BL146" s="179">
        <v>67.811968122838294</v>
      </c>
      <c r="BM146" s="99">
        <v>87.734518129104984</v>
      </c>
      <c r="BN146" s="99">
        <v>5.2553997562673711</v>
      </c>
      <c r="BO146" s="99">
        <v>-16.241764376252334</v>
      </c>
      <c r="BP146" s="99">
        <v>-6.666666666666667</v>
      </c>
      <c r="BQ146" s="132">
        <v>0</v>
      </c>
      <c r="BR146" s="179">
        <v>51.899759415550839</v>
      </c>
      <c r="BS146" s="99">
        <v>-50.317131737850801</v>
      </c>
      <c r="BT146" s="99">
        <v>32.357376912333862</v>
      </c>
      <c r="BU146" s="132">
        <v>-17.287341599324563</v>
      </c>
      <c r="BV146" s="179">
        <v>12.927723362582858</v>
      </c>
      <c r="BW146" s="99">
        <v>-49.314450609207803</v>
      </c>
      <c r="BX146" s="99">
        <v>-42.35920661010654</v>
      </c>
      <c r="BY146" s="99">
        <v>1.488220270495511</v>
      </c>
      <c r="BZ146" s="99">
        <v>-14.21870878590647</v>
      </c>
      <c r="CA146" s="99">
        <v>6.666666666666667</v>
      </c>
      <c r="CB146" s="132">
        <v>13.333333333333334</v>
      </c>
      <c r="CC146" s="25">
        <v>73</v>
      </c>
      <c r="CD146" s="181">
        <v>76667</v>
      </c>
      <c r="CE146" s="182">
        <v>18870103</v>
      </c>
      <c r="CF146" s="290">
        <v>6133728</v>
      </c>
      <c r="CG146" s="25">
        <v>73</v>
      </c>
      <c r="CH146" s="19">
        <v>19725</v>
      </c>
      <c r="CI146" s="93">
        <v>12425</v>
      </c>
      <c r="CJ146" s="93">
        <v>2084</v>
      </c>
      <c r="CK146" s="93">
        <v>11895</v>
      </c>
      <c r="CL146" s="93">
        <v>7464</v>
      </c>
      <c r="CM146" s="93">
        <v>928</v>
      </c>
      <c r="CN146" s="93">
        <v>2183</v>
      </c>
      <c r="CO146" s="93">
        <v>2555</v>
      </c>
      <c r="CP146" s="93">
        <v>2137</v>
      </c>
      <c r="CQ146" s="93">
        <v>881</v>
      </c>
      <c r="CR146" s="214">
        <v>89836</v>
      </c>
      <c r="CS146" s="20">
        <v>129212</v>
      </c>
      <c r="CT146" s="25">
        <v>73</v>
      </c>
      <c r="CU146" s="19">
        <v>20477</v>
      </c>
      <c r="CV146" s="93">
        <v>78765</v>
      </c>
      <c r="CW146" s="93">
        <v>15840</v>
      </c>
      <c r="CX146" s="93">
        <v>1177</v>
      </c>
      <c r="CY146" s="93">
        <v>1308</v>
      </c>
      <c r="CZ146" s="93">
        <v>621</v>
      </c>
      <c r="DA146" s="93">
        <v>11024</v>
      </c>
      <c r="DB146" s="20">
        <v>129212</v>
      </c>
      <c r="DC146" s="25">
        <v>73</v>
      </c>
      <c r="DD146" s="785">
        <v>43160</v>
      </c>
      <c r="DE146" s="733">
        <v>602</v>
      </c>
      <c r="DF146" s="734">
        <v>446.6</v>
      </c>
      <c r="DG146" s="25">
        <v>73</v>
      </c>
      <c r="DH146" s="733">
        <v>543.79999999999995</v>
      </c>
      <c r="DI146" s="734">
        <v>1408.4</v>
      </c>
      <c r="DJ146" s="25">
        <v>73</v>
      </c>
      <c r="DK146" s="733">
        <v>602</v>
      </c>
      <c r="DL146" s="734">
        <v>543.79999999999995</v>
      </c>
      <c r="DM146" s="733">
        <v>58.200000000000045</v>
      </c>
      <c r="DN146" s="734">
        <v>110.70246414122839</v>
      </c>
      <c r="DO146" s="25">
        <v>73</v>
      </c>
      <c r="DP146" s="733">
        <v>279.2911708043614</v>
      </c>
      <c r="DQ146" s="570">
        <v>357.8</v>
      </c>
      <c r="DR146" s="734">
        <v>999.3</v>
      </c>
      <c r="DS146" s="25">
        <v>73</v>
      </c>
      <c r="DT146" s="733">
        <v>83.04847347493704</v>
      </c>
      <c r="DU146" s="570">
        <v>83.7</v>
      </c>
      <c r="DV146" s="734">
        <v>69.444146835082691</v>
      </c>
      <c r="DW146" s="25">
        <v>73</v>
      </c>
      <c r="DX146" s="733">
        <v>336.4</v>
      </c>
      <c r="DY146" s="734">
        <v>62.5</v>
      </c>
      <c r="DZ146" s="25">
        <v>73</v>
      </c>
      <c r="EA146" s="733">
        <v>322.86605718499999</v>
      </c>
      <c r="EB146" s="570">
        <v>132.10901477499999</v>
      </c>
      <c r="EC146" s="570">
        <v>36.091104227000002</v>
      </c>
      <c r="ED146" s="570">
        <v>7.2999716559999994</v>
      </c>
      <c r="EE146" s="734">
        <v>44.739601428029999</v>
      </c>
      <c r="EF146" s="25">
        <v>73</v>
      </c>
      <c r="EG146" s="1569">
        <v>322.86605718499999</v>
      </c>
      <c r="EH146" s="1570">
        <v>132.10901477499999</v>
      </c>
      <c r="EI146" s="1570">
        <v>36.091104227000002</v>
      </c>
      <c r="EJ146" s="1570">
        <v>7.2999716559999994</v>
      </c>
      <c r="EK146" s="1571">
        <v>44.739601428029999</v>
      </c>
      <c r="EL146" s="25">
        <v>73</v>
      </c>
      <c r="EM146" s="733">
        <v>298.450118127</v>
      </c>
      <c r="EN146" s="570">
        <v>110.37975145599999</v>
      </c>
      <c r="EO146" s="570">
        <v>36.737731920000002</v>
      </c>
      <c r="EP146" s="570">
        <v>2.221737E-2</v>
      </c>
      <c r="EQ146" s="570">
        <v>30.175527574</v>
      </c>
      <c r="ER146" s="570">
        <v>22.802831291</v>
      </c>
      <c r="ES146" s="570">
        <v>8.1941059060000008</v>
      </c>
      <c r="ET146" s="570">
        <v>14.008855336</v>
      </c>
      <c r="EU146" s="570">
        <v>0.16906897300000001</v>
      </c>
      <c r="EV146" s="734">
        <v>1.6104257399999999</v>
      </c>
      <c r="EW146" s="25">
        <v>73</v>
      </c>
      <c r="EX146" s="918">
        <v>64.436302135440002</v>
      </c>
      <c r="EY146" s="919">
        <v>14.69468217112</v>
      </c>
      <c r="EZ146" s="919">
        <v>42.216660224080002</v>
      </c>
      <c r="FA146" s="919">
        <v>0.37847460723999998</v>
      </c>
      <c r="FB146" s="919">
        <v>65.733822857699991</v>
      </c>
      <c r="FC146" s="919">
        <v>20.007398342289999</v>
      </c>
      <c r="FD146" s="919">
        <v>1.27606490074</v>
      </c>
      <c r="FE146" s="919">
        <v>26.219461991999999</v>
      </c>
      <c r="FF146" s="919">
        <v>8.6857271552499995</v>
      </c>
      <c r="FG146" s="920">
        <v>32.935486761130001</v>
      </c>
      <c r="FH146" s="25">
        <v>73</v>
      </c>
      <c r="FI146" s="848">
        <v>43160</v>
      </c>
      <c r="FJ146" s="19">
        <v>4069</v>
      </c>
      <c r="FK146" s="93">
        <v>4205</v>
      </c>
      <c r="FL146" s="20">
        <v>0</v>
      </c>
      <c r="FM146" s="25">
        <v>73</v>
      </c>
      <c r="FN146" s="19">
        <v>92</v>
      </c>
      <c r="FO146" s="93">
        <v>1591</v>
      </c>
      <c r="FP146" s="93">
        <v>3186</v>
      </c>
      <c r="FQ146" s="93">
        <v>2133</v>
      </c>
      <c r="FR146" s="93">
        <v>993</v>
      </c>
      <c r="FS146" s="93">
        <v>181</v>
      </c>
      <c r="FT146" s="93">
        <v>67</v>
      </c>
      <c r="FU146" s="93">
        <v>21</v>
      </c>
      <c r="FV146" s="93">
        <v>6</v>
      </c>
      <c r="FW146" s="917">
        <v>4</v>
      </c>
      <c r="FX146" s="25">
        <v>73</v>
      </c>
      <c r="FY146" s="975">
        <v>15</v>
      </c>
      <c r="FZ146" s="975">
        <v>352</v>
      </c>
      <c r="GA146" s="975">
        <v>1379</v>
      </c>
      <c r="GB146" s="975">
        <v>194</v>
      </c>
      <c r="GC146" s="975">
        <v>1861</v>
      </c>
      <c r="GD146" s="975">
        <v>216</v>
      </c>
      <c r="GE146" s="975">
        <v>2579</v>
      </c>
      <c r="GF146" s="975">
        <v>337</v>
      </c>
      <c r="GG146" s="975">
        <v>53</v>
      </c>
      <c r="GH146" s="975">
        <v>1159</v>
      </c>
      <c r="GI146" s="976">
        <v>129</v>
      </c>
      <c r="GJ146" s="25">
        <v>73</v>
      </c>
      <c r="GK146" s="19"/>
      <c r="GL146" s="20"/>
      <c r="GM146" s="25">
        <v>73</v>
      </c>
      <c r="GN146" s="19">
        <v>5252</v>
      </c>
      <c r="GO146" s="20">
        <v>2083</v>
      </c>
      <c r="GP146" s="25">
        <v>73</v>
      </c>
      <c r="GQ146" s="19">
        <v>31.79</v>
      </c>
      <c r="GR146" s="20">
        <v>30.55</v>
      </c>
      <c r="GS146" s="25">
        <v>73</v>
      </c>
      <c r="GT146" s="848">
        <v>43160</v>
      </c>
      <c r="GU146" s="733">
        <v>553.06215773596671</v>
      </c>
      <c r="GV146" s="570">
        <v>505.96654465519998</v>
      </c>
      <c r="GW146" s="570">
        <v>505.96654465519998</v>
      </c>
      <c r="GX146" s="570">
        <v>455.37078709619999</v>
      </c>
      <c r="GY146" s="570">
        <v>140.0101590317513</v>
      </c>
      <c r="GZ146" s="570">
        <v>4.1535137802792432</v>
      </c>
      <c r="HA146" s="570">
        <v>2.3970028120186644</v>
      </c>
      <c r="HB146" s="570">
        <v>240.97117389504604</v>
      </c>
      <c r="HC146" s="570">
        <v>64.127922546999997</v>
      </c>
      <c r="HD146" s="570">
        <v>3.7110150301047531</v>
      </c>
      <c r="HE146" s="570">
        <v>50.595757559000006</v>
      </c>
      <c r="HF146" s="570">
        <v>2.1586698920000007</v>
      </c>
      <c r="HG146" s="570">
        <v>9.7407858259999998</v>
      </c>
      <c r="HH146" s="570">
        <v>0.39480072500000002</v>
      </c>
      <c r="HI146" s="570">
        <v>8.2970802090000007</v>
      </c>
      <c r="HJ146" s="570">
        <v>30.004420907</v>
      </c>
      <c r="HK146" s="570">
        <v>0</v>
      </c>
      <c r="HL146" s="570">
        <v>47.09561308076669</v>
      </c>
      <c r="HM146" s="570">
        <v>33.37045779976669</v>
      </c>
      <c r="HN146" s="570">
        <v>13.725155280999999</v>
      </c>
      <c r="HO146" s="570">
        <v>646.12847433826232</v>
      </c>
      <c r="HP146" s="570">
        <v>651.44271517626237</v>
      </c>
      <c r="HQ146" s="570">
        <v>472.60111769399998</v>
      </c>
      <c r="HR146" s="570">
        <v>217.25579978000002</v>
      </c>
      <c r="HS146" s="570">
        <v>65.670917974000005</v>
      </c>
      <c r="HT146" s="570">
        <v>32.860073498999995</v>
      </c>
      <c r="HU146" s="570">
        <v>26.857219447999999</v>
      </c>
      <c r="HV146" s="570">
        <v>6.0028540509999999</v>
      </c>
      <c r="HW146" s="570">
        <v>156.81432644099999</v>
      </c>
      <c r="HX146" s="570">
        <v>0</v>
      </c>
      <c r="HY146" s="570">
        <v>45.059186681999989</v>
      </c>
      <c r="HZ146" s="570">
        <v>0</v>
      </c>
      <c r="IA146" s="570">
        <v>0</v>
      </c>
      <c r="IB146" s="570">
        <v>178.84159748226233</v>
      </c>
      <c r="IC146" s="570">
        <v>102.251690432</v>
      </c>
      <c r="ID146" s="570">
        <v>8.3547106210000006</v>
      </c>
      <c r="IE146" s="570">
        <v>0.91275891399999998</v>
      </c>
      <c r="IF146" s="570">
        <v>-5.3142408379999999</v>
      </c>
      <c r="IG146" s="570">
        <v>-93.066316602295686</v>
      </c>
      <c r="IH146" s="570">
        <v>-140.16192968306237</v>
      </c>
      <c r="II146" s="570">
        <v>-31.624708047800052</v>
      </c>
      <c r="IJ146" s="570">
        <v>-64.484781546800036</v>
      </c>
      <c r="IK146" s="570">
        <v>-145.20857183329571</v>
      </c>
      <c r="IL146" s="570">
        <v>-192.30418491406238</v>
      </c>
      <c r="IM146" s="570">
        <v>150.52234647649564</v>
      </c>
      <c r="IN146" s="570">
        <v>57.557448075495643</v>
      </c>
      <c r="IO146" s="570">
        <v>70.512841336495654</v>
      </c>
      <c r="IP146" s="570">
        <v>-12.955393261000001</v>
      </c>
      <c r="IQ146" s="570">
        <v>0</v>
      </c>
      <c r="IR146" s="570">
        <v>92.964898400999985</v>
      </c>
      <c r="IS146" s="570">
        <v>82.959594303799989</v>
      </c>
      <c r="IT146" s="570">
        <v>10.005304097200005</v>
      </c>
      <c r="IU146" s="570">
        <v>-5.3137746431999346</v>
      </c>
      <c r="IV146" s="93">
        <v>73</v>
      </c>
      <c r="IW146" s="848">
        <v>43160</v>
      </c>
      <c r="IX146" s="1035"/>
      <c r="IY146" s="1035">
        <v>494.75071774899993</v>
      </c>
      <c r="IZ146" s="1035">
        <v>565.70425263699997</v>
      </c>
      <c r="JA146" s="1035">
        <v>0.33940256799999996</v>
      </c>
      <c r="JB146" s="1035">
        <v>1453.74</v>
      </c>
      <c r="JC146" s="1035">
        <v>212.01064584000002</v>
      </c>
      <c r="JD146" s="1035">
        <v>2160.840766157</v>
      </c>
      <c r="JE146" s="1035">
        <v>1373.8711083190001</v>
      </c>
      <c r="JF146" s="1035">
        <v>3534.711874476</v>
      </c>
      <c r="JG146" s="1035"/>
      <c r="JH146" s="1035">
        <v>1374.9749899349999</v>
      </c>
      <c r="JI146" s="1035">
        <v>175.4779899350001</v>
      </c>
      <c r="JJ146" s="1035">
        <v>1199.4969999999998</v>
      </c>
      <c r="JK146" s="1035">
        <v>2594.6044734740008</v>
      </c>
      <c r="JL146" s="1035">
        <v>123.27655343700005</v>
      </c>
      <c r="JM146" s="1035">
        <v>-12.915446563000019</v>
      </c>
      <c r="JN146" s="1035">
        <v>136.19200000000006</v>
      </c>
      <c r="JO146" s="1035">
        <v>2471.3279200370007</v>
      </c>
      <c r="JP146" s="1035">
        <v>5.5909200370000001</v>
      </c>
      <c r="JQ146" s="1035">
        <v>2465.7370000000005</v>
      </c>
      <c r="JR146" s="1035">
        <v>652.16133164500002</v>
      </c>
      <c r="JS146" s="1035">
        <v>-217.29374271200012</v>
      </c>
      <c r="JT146" s="1036">
        <v>3534.7118744760005</v>
      </c>
      <c r="JU146" s="29">
        <v>73</v>
      </c>
      <c r="JV146" s="1037"/>
      <c r="JW146" s="1526">
        <f>VLOOKUP($IW146,Base_Mensuelle!$OF$68:$RM$679,HLOOKUP(JW$73,Base_Mensuelle!$PE$67:$QE$680,614,0))</f>
        <v>175.4779899350001</v>
      </c>
      <c r="JX146" s="1526">
        <f>VLOOKUP($IW146,Base_Mensuelle!$OF$68:$RM$679,HLOOKUP(JX$73,Base_Mensuelle!$PE$67:$QE$680,614,0))</f>
        <v>944.58743882299996</v>
      </c>
      <c r="JY146" s="1526">
        <f>VLOOKUP($IW146,Base_Mensuelle!$OF$68:$RM$679,HLOOKUP(JY$73,Base_Mensuelle!$PE$67:$QE$680,614,0))</f>
        <v>769.10944888799986</v>
      </c>
      <c r="JZ146" s="1526">
        <f>VLOOKUP($IW146,Base_Mensuelle!$OF$68:$RM$679,HLOOKUP(JZ$73,Base_Mensuelle!$PE$67:$QE$680,614,0))</f>
        <v>593.02200000000005</v>
      </c>
      <c r="KA146" s="1526">
        <f>VLOOKUP($IW146,Base_Mensuelle!$OF$68:$RM$679,HLOOKUP(KA$73,Base_Mensuelle!$PE$67:$QE$680,614,0))</f>
        <v>-5.8269116750000194</v>
      </c>
      <c r="KB146" s="1526">
        <f>VLOOKUP($IW146,Base_Mensuelle!$OF$68:$RM$679,HLOOKUP(KB$73,Base_Mensuelle!$PE$67:$QE$680,614,0))</f>
        <v>132.61958604699998</v>
      </c>
      <c r="KC146" s="1526">
        <f>VLOOKUP($IW146,Base_Mensuelle!$OF$68:$RM$679,HLOOKUP(KC$73,Base_Mensuelle!$PE$67:$QE$680,614,0))</f>
        <v>138.446497722</v>
      </c>
      <c r="KD146" s="1526">
        <f>VLOOKUP($IW146,Base_Mensuelle!$OF$68:$RM$679,HLOOKUP(KD$73,Base_Mensuelle!$PE$67:$QE$680,614,0))</f>
        <v>5.5909200370000001</v>
      </c>
      <c r="KE146" s="1526">
        <f>VLOOKUP($IW146,Base_Mensuelle!$OF$68:$RM$679,HLOOKUP(KE$73,Base_Mensuelle!$PE$67:$QE$680,614,0))</f>
        <v>1.2769999999999999</v>
      </c>
      <c r="KF146" s="1526">
        <f>VLOOKUP($IW146,Base_Mensuelle!$OF$68:$RM$679,HLOOKUP(KF$73,Base_Mensuelle!$PE$67:$QE$680,614,0))</f>
        <v>0</v>
      </c>
      <c r="KG146" s="1526">
        <f>VLOOKUP($IW146,Base_Mensuelle!$OF$68:$RM$679,HLOOKUP(KG$73,Base_Mensuelle!$PE$67:$QE$680,614,0))</f>
        <v>2.7649800000000002E-4</v>
      </c>
      <c r="KH146" s="1526">
        <f>VLOOKUP($IW146,Base_Mensuelle!$OF$68:$RM$679,HLOOKUP(KH$73,Base_Mensuelle!$PE$67:$QE$680,614,0))</f>
        <v>4.3136435390000001</v>
      </c>
      <c r="KI146" s="1526">
        <f>VLOOKUP($IW146,Base_Mensuelle!$OF$68:$RM$679,HLOOKUP(KI$73,Base_Mensuelle!$PE$67:$QE$680,614,0))</f>
        <v>757.761260171</v>
      </c>
      <c r="KJ146" s="1526">
        <f>VLOOKUP($IW146,Base_Mensuelle!$OF$68:$RM$679,HLOOKUP(KJ$73,Base_Mensuelle!$PE$67:$QE$680,614,0))</f>
        <v>565.70425263699997</v>
      </c>
      <c r="KK146" s="1526">
        <f>VLOOKUP($IW146,Base_Mensuelle!$OF$68:$RM$679,HLOOKUP(KK$73,Base_Mensuelle!$PE$67:$QE$680,614,0))</f>
        <v>191.38449664699999</v>
      </c>
      <c r="KL146" s="1526">
        <f>VLOOKUP($IW146,Base_Mensuelle!$OF$68:$RM$679,HLOOKUP(KL$73,Base_Mensuelle!$PE$67:$QE$680,614,0))</f>
        <v>0.67251088699999995</v>
      </c>
      <c r="KM146" s="1526">
        <f>VLOOKUP($IW146,Base_Mensuelle!$OF$68:$RM$679,HLOOKUP(KM$73,Base_Mensuelle!$PE$67:$QE$680,614,0))</f>
        <v>0</v>
      </c>
      <c r="KN146" s="1526">
        <f>VLOOKUP($IW146,Base_Mensuelle!$OF$68:$RM$679,HLOOKUP(KN$73,Base_Mensuelle!$PE$67:$QE$680,614,0))</f>
        <v>0.32063389799999997</v>
      </c>
      <c r="KO146" s="1526">
        <f>VLOOKUP($IW146,Base_Mensuelle!$OF$68:$RM$679,HLOOKUP(KO$73,Base_Mensuelle!$PE$67:$QE$680,614,0))</f>
        <v>0</v>
      </c>
      <c r="KP146" s="1526">
        <f>VLOOKUP($IW146,Base_Mensuelle!$OF$68:$RM$679,HLOOKUP(KP$73,Base_Mensuelle!$PE$67:$QE$680,614,0))</f>
        <v>0</v>
      </c>
      <c r="KQ146" s="1526">
        <f>VLOOKUP($IW146,Base_Mensuelle!$OF$68:$RM$679,HLOOKUP(KQ$73,Base_Mensuelle!$PE$67:$QE$680,614,0))</f>
        <v>0.32063389799999997</v>
      </c>
      <c r="KR146" s="1526">
        <f>VLOOKUP($IW146,Base_Mensuelle!$OF$68:$RM$679,HLOOKUP(KR$73,Base_Mensuelle!$PE$67:$QE$680,614,0))</f>
        <v>0</v>
      </c>
      <c r="KS146" s="1526">
        <f>VLOOKUP($IW146,Base_Mensuelle!$OF$68:$RM$679,HLOOKUP(KS$73,Base_Mensuelle!$PE$67:$QE$680,614,0))</f>
        <v>0</v>
      </c>
      <c r="KT146" s="1526">
        <f>VLOOKUP($IW146,Base_Mensuelle!$OF$68:$RM$679,HLOOKUP(KT$73,Base_Mensuelle!$PE$67:$QE$680,614,0))</f>
        <v>0</v>
      </c>
      <c r="KU146" s="1526">
        <f>VLOOKUP($IW146,Base_Mensuelle!$OF$68:$RM$679,HLOOKUP(KU$73,Base_Mensuelle!$PE$67:$QE$680,614,0))</f>
        <v>6.422697747</v>
      </c>
      <c r="KV146" s="1526">
        <f>VLOOKUP($IW146,Base_Mensuelle!$OF$68:$RM$679,HLOOKUP(KV$73,Base_Mensuelle!$PE$67:$QE$680,614,0))</f>
        <v>3.7594064809999859</v>
      </c>
      <c r="KW146" s="1036"/>
      <c r="KX146" s="29">
        <v>73</v>
      </c>
      <c r="KY146" s="1037"/>
      <c r="KZ146" s="182">
        <f>VLOOKUP($IW146,Base_Mensuelle!$OF$68:$RM$679,HLOOKUP(KZ$73,Base_Mensuelle!$QG$67:$RM$680,614,0))</f>
        <v>1199.4969999999998</v>
      </c>
      <c r="LA146" s="182">
        <f>VLOOKUP($IW146,Base_Mensuelle!$OF$68:$RM$679,HLOOKUP(LA$73,Base_Mensuelle!$QG$67:$RM$680,614,0))</f>
        <v>1615.586</v>
      </c>
      <c r="LB146" s="182">
        <f>VLOOKUP($IW146,Base_Mensuelle!$OF$68:$RM$679,HLOOKUP(LB$73,Base_Mensuelle!$QG$67:$RM$680,614,0))</f>
        <v>-416.08900000000006</v>
      </c>
      <c r="LC146" s="182">
        <f>VLOOKUP($IW146,Base_Mensuelle!$OF$68:$RM$679,HLOOKUP(LC$73,Base_Mensuelle!$QG$67:$RM$680,614,0))</f>
        <v>260.12900000000002</v>
      </c>
      <c r="LD146" s="182">
        <f>VLOOKUP($IW146,Base_Mensuelle!$OF$68:$RM$679,HLOOKUP(LD$73,Base_Mensuelle!$QG$67:$RM$680,614,0))</f>
        <v>63.865000000000002</v>
      </c>
      <c r="LE146" s="182">
        <f>VLOOKUP($IW146,Base_Mensuelle!$OF$68:$RM$679,HLOOKUP(LE$73,Base_Mensuelle!$QG$67:$RM$680,614,0))</f>
        <v>196.26400000000001</v>
      </c>
      <c r="LF146" s="182">
        <f>VLOOKUP($IW146,Base_Mensuelle!$OF$68:$RM$679,HLOOKUP(LF$73,Base_Mensuelle!$QG$67:$RM$680,614,0))</f>
        <v>0</v>
      </c>
      <c r="LG146" s="182">
        <f>VLOOKUP($IW146,Base_Mensuelle!$OF$68:$RM$679,HLOOKUP(LG$73,Base_Mensuelle!$QG$67:$RM$680,614,0))</f>
        <v>136.19200000000006</v>
      </c>
      <c r="LH146" s="182">
        <f>VLOOKUP($IW146,Base_Mensuelle!$OF$68:$RM$679,HLOOKUP(LH$73,Base_Mensuelle!$QG$67:$RM$680,614,0))</f>
        <v>505.12100000000004</v>
      </c>
      <c r="LI146" s="182">
        <f>VLOOKUP($IW146,Base_Mensuelle!$OF$68:$RM$679,HLOOKUP(LI$73,Base_Mensuelle!$QG$67:$RM$680,614,0))</f>
        <v>-368.92899999999997</v>
      </c>
      <c r="LJ146" s="182">
        <f>VLOOKUP($IW146,Base_Mensuelle!$OF$68:$RM$679,HLOOKUP(LJ$73,Base_Mensuelle!$QG$67:$RM$680,614,0))</f>
        <v>2465.7370000000005</v>
      </c>
      <c r="LK146" s="182">
        <f>VLOOKUP($IW146,Base_Mensuelle!$OF$68:$RM$679,HLOOKUP(LK$73,Base_Mensuelle!$QG$67:$RM$680,614,0))</f>
        <v>16.186</v>
      </c>
      <c r="LL146" s="182">
        <f>VLOOKUP($IW146,Base_Mensuelle!$OF$68:$RM$679,HLOOKUP(LL$73,Base_Mensuelle!$QG$67:$RM$680,614,0))</f>
        <v>1.732</v>
      </c>
      <c r="LM146" s="182">
        <f>VLOOKUP($IW146,Base_Mensuelle!$OF$68:$RM$679,HLOOKUP(LM$73,Base_Mensuelle!$QG$67:$RM$680,614,0))</f>
        <v>130.11199999999999</v>
      </c>
      <c r="LN146" s="182">
        <f>VLOOKUP($IW146,Base_Mensuelle!$OF$68:$RM$679,HLOOKUP(LN$73,Base_Mensuelle!$QG$67:$RM$680,614,0))</f>
        <v>2317.7070000000003</v>
      </c>
      <c r="LO146" s="182">
        <f>VLOOKUP($IW146,Base_Mensuelle!$OF$68:$RM$679,HLOOKUP(LO$73,Base_Mensuelle!$QG$67:$RM$680,614,0))</f>
        <v>0</v>
      </c>
      <c r="LP146" s="182">
        <f>VLOOKUP($IW146,Base_Mensuelle!$OF$68:$RM$679,HLOOKUP(LP$73,Base_Mensuelle!$QG$67:$RM$680,614,0))</f>
        <v>538.63799999999992</v>
      </c>
      <c r="LQ146" s="182">
        <f>VLOOKUP($IW146,Base_Mensuelle!$OF$68:$RM$679,HLOOKUP(LQ$73,Base_Mensuelle!$QG$67:$RM$680,614,0))</f>
        <v>1453.74</v>
      </c>
      <c r="LR146" s="182">
        <f>VLOOKUP($IW146,Base_Mensuelle!$OF$68:$RM$679,HLOOKUP(LR$73,Base_Mensuelle!$QG$67:$RM$680,614,0))</f>
        <v>1373.538</v>
      </c>
      <c r="LS146" s="182">
        <f>VLOOKUP($IW146,Base_Mensuelle!$OF$68:$RM$679,HLOOKUP(LS$73,Base_Mensuelle!$QG$67:$RM$680,614,0))</f>
        <v>0</v>
      </c>
      <c r="LT146" s="182">
        <f>VLOOKUP($IW146,Base_Mensuelle!$OF$68:$RM$679,HLOOKUP(LT$73,Base_Mensuelle!$QG$67:$RM$680,614,0))</f>
        <v>116.441</v>
      </c>
      <c r="LU146" s="182">
        <f>VLOOKUP($IW146,Base_Mensuelle!$OF$68:$RM$679,HLOOKUP(LU$73,Base_Mensuelle!$QG$67:$RM$680,614,0))</f>
        <v>0</v>
      </c>
      <c r="LV146" s="182">
        <f>VLOOKUP($IW146,Base_Mensuelle!$OF$68:$RM$679,HLOOKUP(LV$73,Base_Mensuelle!$QG$67:$RM$680,614,0))</f>
        <v>101.10899999999999</v>
      </c>
      <c r="LW146" s="182">
        <f>VLOOKUP($IW146,Base_Mensuelle!$OF$68:$RM$679,HLOOKUP(LW$73,Base_Mensuelle!$QG$67:$RM$680,614,0))</f>
        <v>0</v>
      </c>
      <c r="LX146" s="182">
        <f>VLOOKUP($IW146,Base_Mensuelle!$OF$68:$RM$679,HLOOKUP(LX$73,Base_Mensuelle!$QG$67:$RM$680,614,0))</f>
        <v>0</v>
      </c>
      <c r="LY146" s="182">
        <f>VLOOKUP($IW146,Base_Mensuelle!$OF$68:$RM$679,HLOOKUP(LY$73,Base_Mensuelle!$QG$67:$RM$680,614,0))</f>
        <v>427.86799999999999</v>
      </c>
      <c r="LZ146" s="182">
        <f>VLOOKUP($IW146,Base_Mensuelle!$OF$68:$RM$679,HLOOKUP(LZ$73,Base_Mensuelle!$QG$67:$RM$680,614,0))</f>
        <v>50.22100000000006</v>
      </c>
      <c r="MA146" s="182">
        <f>VLOOKUP($IW146,Base_Mensuelle!$OF$68:$RM$679,HLOOKUP(MA$73,Base_Mensuelle!$QG$67:$RM$680,614,0))</f>
        <v>0</v>
      </c>
      <c r="MB146" s="182">
        <f>VLOOKUP($IW146,Base_Mensuelle!$OF$68:$RM$679,HLOOKUP(MB$73,Base_Mensuelle!$QG$67:$RM$680,614,0))</f>
        <v>0</v>
      </c>
      <c r="MC146" s="182">
        <f>VLOOKUP($IW146,Base_Mensuelle!$OF$68:$RM$679,HLOOKUP(MC$73,Base_Mensuelle!$QG$67:$RM$680,614,0))</f>
        <v>0</v>
      </c>
      <c r="MD146" s="182">
        <f>VLOOKUP($IW146,Base_Mensuelle!$OF$68:$RM$679,HLOOKUP(MD$73,Base_Mensuelle!$QG$67:$RM$680,614,0))</f>
        <v>0</v>
      </c>
      <c r="ME146" s="182">
        <f>VLOOKUP($IW146,Base_Mensuelle!$OF$68:$RM$679,HLOOKUP(ME$73,Base_Mensuelle!$QG$67:$RM$680,614,0))</f>
        <v>0</v>
      </c>
      <c r="MF146" s="182"/>
      <c r="MG146" s="182"/>
      <c r="MH146" s="290"/>
      <c r="MI146" s="29">
        <v>73</v>
      </c>
      <c r="MJ146" s="29" t="str">
        <f t="shared" si="88"/>
        <v>Trimestre 12018</v>
      </c>
      <c r="MK146" s="848">
        <v>43160</v>
      </c>
      <c r="ML146" s="1991">
        <v>161.55323241191454</v>
      </c>
      <c r="MM146" s="1991">
        <v>104.4002698085975</v>
      </c>
      <c r="MN146" s="1991">
        <v>100.0975280690795</v>
      </c>
      <c r="MO146" s="1991">
        <v>100.00000000000003</v>
      </c>
      <c r="MP146" s="1991">
        <v>161.55323241191454</v>
      </c>
      <c r="MQ146" s="1991">
        <v>104.14890184217947</v>
      </c>
      <c r="MR146" s="1991">
        <v>110.79999999999993</v>
      </c>
      <c r="MS146" s="1991">
        <v>100.62708970389504</v>
      </c>
      <c r="MT146" s="1991">
        <v>100.00000000000006</v>
      </c>
      <c r="MU146" s="1991">
        <v>100</v>
      </c>
      <c r="MV146" s="1991">
        <v>100.29950046728165</v>
      </c>
      <c r="MW146" s="1991">
        <v>100.00000000000003</v>
      </c>
      <c r="MX146" s="1991">
        <v>98.412698412698447</v>
      </c>
      <c r="MY146" s="1991">
        <v>100.00000000000011</v>
      </c>
      <c r="MZ146" s="1991">
        <v>100.16605741605122</v>
      </c>
      <c r="NA146" s="1991">
        <v>100.00000000000009</v>
      </c>
      <c r="NB146" s="1991">
        <v>98.829073543413912</v>
      </c>
      <c r="NC146" s="1991">
        <v>126.70878635248677</v>
      </c>
      <c r="ND146" s="1991">
        <v>92.286353306538345</v>
      </c>
      <c r="NE146" s="1991">
        <v>100.0000000000001</v>
      </c>
      <c r="NF146" s="1991">
        <v>100.00000000000007</v>
      </c>
      <c r="NG146" s="1991">
        <v>100.0000000000001</v>
      </c>
      <c r="NH146" s="1991">
        <v>100.00000000000007</v>
      </c>
      <c r="NI146" s="1991">
        <v>99.999999999999986</v>
      </c>
      <c r="NJ146" s="1991">
        <v>100</v>
      </c>
      <c r="NK146" s="1991">
        <v>103.51453988779019</v>
      </c>
      <c r="NL146" s="29">
        <v>73</v>
      </c>
    </row>
    <row r="147" spans="1:376">
      <c r="A147" s="41">
        <f t="shared" si="86"/>
        <v>2018</v>
      </c>
      <c r="B147" s="785">
        <v>43252</v>
      </c>
      <c r="C147" s="733">
        <v>303.67239627480302</v>
      </c>
      <c r="D147" s="1547">
        <v>281.16384229835921</v>
      </c>
      <c r="E147" s="570">
        <v>142.83349599096772</v>
      </c>
      <c r="F147" s="1547">
        <v>22.804410186173239</v>
      </c>
      <c r="G147" s="1547">
        <v>0</v>
      </c>
      <c r="H147" s="1547">
        <v>89.102763380361139</v>
      </c>
      <c r="I147" s="570">
        <v>28.639690041353649</v>
      </c>
      <c r="J147" s="570">
        <v>115.65658698207146</v>
      </c>
      <c r="K147" s="570">
        <v>211.18861329296209</v>
      </c>
      <c r="L147" s="570">
        <v>245.05088849411783</v>
      </c>
      <c r="M147" s="734">
        <v>204.61931708942245</v>
      </c>
      <c r="N147" s="25">
        <v>74</v>
      </c>
      <c r="O147" s="889">
        <f t="shared" si="85"/>
        <v>2018</v>
      </c>
      <c r="P147" s="29" t="str">
        <f t="shared" si="87"/>
        <v>Trimestre 22018</v>
      </c>
      <c r="Q147" s="848">
        <v>43252</v>
      </c>
      <c r="R147" s="733">
        <v>12.50496931</v>
      </c>
      <c r="S147" s="570">
        <v>7.4969999999999999</v>
      </c>
      <c r="T147" s="570">
        <v>1015.2595</v>
      </c>
      <c r="U147" s="734">
        <v>24.164999999999999</v>
      </c>
      <c r="V147" s="25">
        <v>74</v>
      </c>
      <c r="W147" s="733">
        <v>6588</v>
      </c>
      <c r="X147" s="570">
        <v>0</v>
      </c>
      <c r="Y147" s="570">
        <v>577.52519227304208</v>
      </c>
      <c r="Z147" s="570">
        <v>268.85177552531593</v>
      </c>
      <c r="AA147" s="570">
        <v>37.320250000000001</v>
      </c>
      <c r="AB147" s="570">
        <v>94.483000000000004</v>
      </c>
      <c r="AC147" s="570">
        <v>655.52200000000005</v>
      </c>
      <c r="AD147" s="570">
        <v>323.49445500000002</v>
      </c>
      <c r="AE147" s="734">
        <v>24.570340999999999</v>
      </c>
      <c r="AF147" s="25">
        <v>74</v>
      </c>
      <c r="AG147" s="733">
        <v>-22.305179754094898</v>
      </c>
      <c r="AH147" s="570">
        <v>-25.394566306472427</v>
      </c>
      <c r="AI147" s="570">
        <v>-0.48356757015997687</v>
      </c>
      <c r="AJ147" s="570">
        <v>-14.225813392629878</v>
      </c>
      <c r="AK147" s="570">
        <v>13.495634088880497</v>
      </c>
      <c r="AL147" s="570">
        <v>18.891566228427394</v>
      </c>
      <c r="AM147" s="570">
        <v>26.15927768835234</v>
      </c>
      <c r="AN147" s="734">
        <v>0.72386211537765721</v>
      </c>
      <c r="AO147" s="733">
        <v>1.1818170113095938</v>
      </c>
      <c r="AP147" s="570">
        <v>-2.622519070288071</v>
      </c>
      <c r="AQ147" s="570">
        <v>-12.368383261340517</v>
      </c>
      <c r="AR147" s="570">
        <v>-6.1949447172378411</v>
      </c>
      <c r="AS147" s="734">
        <v>7.5</v>
      </c>
      <c r="AT147" s="733">
        <v>13.572290411523712</v>
      </c>
      <c r="AU147" s="570">
        <v>-5.6249785964360406</v>
      </c>
      <c r="AV147" s="734">
        <v>9.1977755869483353</v>
      </c>
      <c r="AW147" s="733">
        <v>7.8713023691140833</v>
      </c>
      <c r="AX147" s="570">
        <v>3.8526349038339482</v>
      </c>
      <c r="AY147" s="570">
        <v>3.1003125827914531</v>
      </c>
      <c r="AZ147" s="570">
        <v>6.3021372898908474</v>
      </c>
      <c r="BA147" s="570">
        <v>-2.714721895787565</v>
      </c>
      <c r="BB147" s="570">
        <v>10.574576828290555</v>
      </c>
      <c r="BC147" s="734">
        <v>16.25</v>
      </c>
      <c r="BD147" s="733">
        <v>-58.91883528953548</v>
      </c>
      <c r="BE147" s="570">
        <v>-56.567399310897912</v>
      </c>
      <c r="BF147" s="570">
        <v>21.928060195047127</v>
      </c>
      <c r="BG147" s="570">
        <v>-5.004467615871528</v>
      </c>
      <c r="BH147" s="570">
        <v>20.018660557729632</v>
      </c>
      <c r="BI147" s="570">
        <v>-0.39010381538098882</v>
      </c>
      <c r="BJ147" s="570">
        <v>16.339482219970417</v>
      </c>
      <c r="BK147" s="734">
        <v>0</v>
      </c>
      <c r="BL147" s="733">
        <v>-19.570472924723735</v>
      </c>
      <c r="BM147" s="570">
        <v>-44.455965283335949</v>
      </c>
      <c r="BN147" s="570">
        <v>-41.241741212483149</v>
      </c>
      <c r="BO147" s="570">
        <v>-13.28625391925523</v>
      </c>
      <c r="BP147" s="570">
        <v>10</v>
      </c>
      <c r="BQ147" s="734">
        <v>5</v>
      </c>
      <c r="BR147" s="733">
        <v>50.510592524226304</v>
      </c>
      <c r="BS147" s="570">
        <v>-5.891202949103981</v>
      </c>
      <c r="BT147" s="570">
        <v>19.929183832568786</v>
      </c>
      <c r="BU147" s="734">
        <v>-9.6266437041338424</v>
      </c>
      <c r="BV147" s="733">
        <v>-33.765809170568978</v>
      </c>
      <c r="BW147" s="570">
        <v>-44.347044875623297</v>
      </c>
      <c r="BX147" s="570">
        <v>7.4337588808037438</v>
      </c>
      <c r="BY147" s="570">
        <v>-6.9323994258674801</v>
      </c>
      <c r="BZ147" s="570">
        <v>-7.502607293207987</v>
      </c>
      <c r="CA147" s="93">
        <v>10</v>
      </c>
      <c r="CB147" s="20">
        <v>15</v>
      </c>
      <c r="CC147" s="25">
        <v>74</v>
      </c>
      <c r="CD147" s="181">
        <v>77021</v>
      </c>
      <c r="CE147" s="182">
        <v>19230852</v>
      </c>
      <c r="CF147" s="290">
        <v>6634238</v>
      </c>
      <c r="CG147" s="25">
        <v>74</v>
      </c>
      <c r="CH147" s="19">
        <v>19169</v>
      </c>
      <c r="CI147" s="93">
        <v>11410</v>
      </c>
      <c r="CJ147" s="93">
        <v>2149</v>
      </c>
      <c r="CK147" s="93">
        <v>9036</v>
      </c>
      <c r="CL147" s="93">
        <v>5570</v>
      </c>
      <c r="CM147" s="93">
        <v>421</v>
      </c>
      <c r="CN147" s="93">
        <v>2058</v>
      </c>
      <c r="CO147" s="93">
        <v>2118</v>
      </c>
      <c r="CP147" s="93">
        <v>2120</v>
      </c>
      <c r="CQ147" s="93">
        <v>802</v>
      </c>
      <c r="CR147" s="214">
        <v>95926</v>
      </c>
      <c r="CS147" s="20">
        <v>131229</v>
      </c>
      <c r="CT147" s="25">
        <v>74</v>
      </c>
      <c r="CU147" s="19">
        <v>21382</v>
      </c>
      <c r="CV147" s="93">
        <v>83761</v>
      </c>
      <c r="CW147" s="93">
        <v>14939</v>
      </c>
      <c r="CX147" s="93">
        <v>473</v>
      </c>
      <c r="CY147" s="93">
        <v>1144</v>
      </c>
      <c r="CZ147" s="93">
        <v>306</v>
      </c>
      <c r="DA147" s="93">
        <v>9224</v>
      </c>
      <c r="DB147" s="20">
        <v>131229</v>
      </c>
      <c r="DC147" s="25">
        <v>74</v>
      </c>
      <c r="DD147" s="785">
        <v>43252</v>
      </c>
      <c r="DE147" s="733">
        <v>438.05917716252003</v>
      </c>
      <c r="DF147" s="734">
        <v>233.061759</v>
      </c>
      <c r="DG147" s="25">
        <v>74</v>
      </c>
      <c r="DH147" s="733">
        <v>559.1</v>
      </c>
      <c r="DI147" s="734">
        <v>1529.1</v>
      </c>
      <c r="DJ147" s="25">
        <v>74</v>
      </c>
      <c r="DK147" s="733">
        <v>438.05917716252003</v>
      </c>
      <c r="DL147" s="734">
        <v>559.1</v>
      </c>
      <c r="DM147" s="733">
        <v>-121.04082283747999</v>
      </c>
      <c r="DN147" s="734">
        <v>78.350773951443401</v>
      </c>
      <c r="DO147" s="25">
        <v>74</v>
      </c>
      <c r="DP147" s="733">
        <v>262.72822007672266</v>
      </c>
      <c r="DQ147" s="570">
        <v>278.05477960299487</v>
      </c>
      <c r="DR147" s="734">
        <v>730.52837328920225</v>
      </c>
      <c r="DS147" s="25">
        <v>74</v>
      </c>
      <c r="DT147" s="733">
        <v>84.938308187237126</v>
      </c>
      <c r="DU147" s="570">
        <v>84.098997472049021</v>
      </c>
      <c r="DV147" s="734">
        <v>71.5</v>
      </c>
      <c r="DW147" s="25">
        <v>74</v>
      </c>
      <c r="DX147" s="733">
        <v>309.31652123040561</v>
      </c>
      <c r="DY147" s="734">
        <v>59.739205589460532</v>
      </c>
      <c r="DZ147" s="25">
        <v>74</v>
      </c>
      <c r="EA147" s="733">
        <v>290.23399403000002</v>
      </c>
      <c r="EB147" s="570">
        <v>23.056968313000002</v>
      </c>
      <c r="EC147" s="570">
        <v>5.8573285070000001</v>
      </c>
      <c r="ED147" s="570">
        <v>0.41025267599999998</v>
      </c>
      <c r="EE147" s="734">
        <v>74.642287068999991</v>
      </c>
      <c r="EF147" s="25">
        <v>74</v>
      </c>
      <c r="EG147" s="1569">
        <v>290.23399403000002</v>
      </c>
      <c r="EH147" s="1570">
        <v>23.056968313000002</v>
      </c>
      <c r="EI147" s="1570">
        <v>5.8573285070000001</v>
      </c>
      <c r="EJ147" s="1570">
        <v>0.41025267599999998</v>
      </c>
      <c r="EK147" s="1571">
        <v>74.642287068999991</v>
      </c>
      <c r="EL147" s="25">
        <v>74</v>
      </c>
      <c r="EM147" s="733">
        <v>241.21063743400001</v>
      </c>
      <c r="EN147" s="570">
        <v>18.912845088000001</v>
      </c>
      <c r="EO147" s="570">
        <v>23.416611308</v>
      </c>
      <c r="EP147" s="570">
        <v>8.6229833000000006E-2</v>
      </c>
      <c r="EQ147" s="570">
        <v>12.014835489520001</v>
      </c>
      <c r="ER147" s="570">
        <v>21.334118790000002</v>
      </c>
      <c r="ES147" s="570">
        <v>5.8294864439999996</v>
      </c>
      <c r="ET147" s="570">
        <v>5.6639307739999998</v>
      </c>
      <c r="EU147" s="570">
        <v>8.3335103999999993E-2</v>
      </c>
      <c r="EV147" s="734">
        <v>2.1475652909999998</v>
      </c>
      <c r="EW147" s="25">
        <v>74</v>
      </c>
      <c r="EX147" s="918">
        <v>73.099999999999994</v>
      </c>
      <c r="EY147" s="919">
        <v>16.056419817769999</v>
      </c>
      <c r="EZ147" s="919">
        <v>36.233079936370004</v>
      </c>
      <c r="FA147" s="919">
        <v>0.7520110644500001</v>
      </c>
      <c r="FB147" s="919">
        <v>73.426828626350002</v>
      </c>
      <c r="FC147" s="919">
        <v>24.406001071230001</v>
      </c>
      <c r="FD147" s="919">
        <v>0.18029109817</v>
      </c>
      <c r="FE147" s="919">
        <v>26.539904677999999</v>
      </c>
      <c r="FF147" s="919">
        <v>5.8256294927000001</v>
      </c>
      <c r="FG147" s="920">
        <v>29.8</v>
      </c>
      <c r="FH147" s="25">
        <v>74</v>
      </c>
      <c r="FI147" s="848">
        <v>43252</v>
      </c>
      <c r="FJ147" s="19">
        <v>1352</v>
      </c>
      <c r="FK147" s="93">
        <v>1353</v>
      </c>
      <c r="FL147" s="20">
        <v>6</v>
      </c>
      <c r="FM147" s="25">
        <v>74</v>
      </c>
      <c r="FN147" s="19">
        <v>55</v>
      </c>
      <c r="FO147" s="93">
        <v>654</v>
      </c>
      <c r="FP147" s="93">
        <v>1071</v>
      </c>
      <c r="FQ147" s="93">
        <v>585</v>
      </c>
      <c r="FR147" s="93">
        <v>258</v>
      </c>
      <c r="FS147" s="93">
        <v>67</v>
      </c>
      <c r="FT147" s="93">
        <v>12</v>
      </c>
      <c r="FU147" s="93">
        <v>3</v>
      </c>
      <c r="FV147" s="93">
        <v>4</v>
      </c>
      <c r="FW147" s="917">
        <v>2</v>
      </c>
      <c r="FX147" s="25">
        <v>74</v>
      </c>
      <c r="FY147" s="975">
        <v>8</v>
      </c>
      <c r="FZ147" s="975">
        <v>172</v>
      </c>
      <c r="GA147" s="975">
        <v>497</v>
      </c>
      <c r="GB147" s="975">
        <v>92</v>
      </c>
      <c r="GC147" s="975">
        <v>507</v>
      </c>
      <c r="GD147" s="975">
        <v>77</v>
      </c>
      <c r="GE147" s="975">
        <v>826</v>
      </c>
      <c r="GF147" s="975">
        <v>103</v>
      </c>
      <c r="GG147" s="975">
        <v>11</v>
      </c>
      <c r="GH147" s="975">
        <v>352</v>
      </c>
      <c r="GI147" s="976">
        <v>66</v>
      </c>
      <c r="GJ147" s="25">
        <v>74</v>
      </c>
      <c r="GK147" s="19"/>
      <c r="GL147" s="20"/>
      <c r="GM147" s="25">
        <v>74</v>
      </c>
      <c r="GN147" s="19">
        <v>4274</v>
      </c>
      <c r="GO147" s="20">
        <v>1894</v>
      </c>
      <c r="GP147" s="25">
        <v>74</v>
      </c>
      <c r="GQ147" s="19">
        <v>31.47</v>
      </c>
      <c r="GR147" s="20">
        <v>29.97</v>
      </c>
      <c r="GS147" s="25">
        <v>74</v>
      </c>
      <c r="GT147" s="848">
        <v>43252</v>
      </c>
      <c r="GU147" s="733">
        <v>803.04033068241552</v>
      </c>
      <c r="GV147" s="570">
        <v>733.23018595379995</v>
      </c>
      <c r="GW147" s="570">
        <v>733.23018595379995</v>
      </c>
      <c r="GX147" s="570">
        <v>650.86852411279995</v>
      </c>
      <c r="GY147" s="570">
        <v>184.65877828685419</v>
      </c>
      <c r="GZ147" s="570">
        <v>6.0548086252802689</v>
      </c>
      <c r="HA147" s="570">
        <v>3.1072380241996722</v>
      </c>
      <c r="HB147" s="570">
        <v>356.27931953643497</v>
      </c>
      <c r="HC147" s="570">
        <v>95.157639758000002</v>
      </c>
      <c r="HD147" s="570">
        <v>5.6107398820308729</v>
      </c>
      <c r="HE147" s="570">
        <v>82.361661841</v>
      </c>
      <c r="HF147" s="570">
        <v>3.2792478320000007</v>
      </c>
      <c r="HG147" s="570">
        <v>13.361796399999999</v>
      </c>
      <c r="HH147" s="570">
        <v>0.63684006699999995</v>
      </c>
      <c r="HI147" s="570">
        <v>16.359535480000002</v>
      </c>
      <c r="HJ147" s="570">
        <v>48.724242062000002</v>
      </c>
      <c r="HK147" s="570">
        <v>0</v>
      </c>
      <c r="HL147" s="570">
        <v>69.810144728615498</v>
      </c>
      <c r="HM147" s="570">
        <v>49.477059932615504</v>
      </c>
      <c r="HN147" s="570">
        <v>20.333084796000001</v>
      </c>
      <c r="HO147" s="570">
        <v>895.6443740874729</v>
      </c>
      <c r="HP147" s="570">
        <v>901.70628153247287</v>
      </c>
      <c r="HQ147" s="570">
        <v>660.45833384766661</v>
      </c>
      <c r="HR147" s="570">
        <v>328.058000397</v>
      </c>
      <c r="HS147" s="570">
        <v>84.916513033666675</v>
      </c>
      <c r="HT147" s="570">
        <v>50.987754244999991</v>
      </c>
      <c r="HU147" s="570">
        <v>37.924567765000006</v>
      </c>
      <c r="HV147" s="570">
        <v>13.063186479999999</v>
      </c>
      <c r="HW147" s="570">
        <v>196.49606617199998</v>
      </c>
      <c r="HX147" s="570">
        <v>0</v>
      </c>
      <c r="HY147" s="570">
        <v>57.384324689999993</v>
      </c>
      <c r="HZ147" s="570">
        <v>0</v>
      </c>
      <c r="IA147" s="570">
        <v>0</v>
      </c>
      <c r="IB147" s="570">
        <v>241.24794768480626</v>
      </c>
      <c r="IC147" s="570">
        <v>136.269367045</v>
      </c>
      <c r="ID147" s="570">
        <v>8.3547106210000006</v>
      </c>
      <c r="IE147" s="570">
        <v>1.3308962450000001</v>
      </c>
      <c r="IF147" s="570">
        <v>-6.0619074450000001</v>
      </c>
      <c r="IG147" s="570">
        <v>-92.604043405057467</v>
      </c>
      <c r="IH147" s="570">
        <v>-162.41418813367295</v>
      </c>
      <c r="II147" s="570">
        <v>-7.7787494938667008</v>
      </c>
      <c r="IJ147" s="570">
        <v>-58.76650373886671</v>
      </c>
      <c r="IK147" s="570">
        <v>-169.67719030605753</v>
      </c>
      <c r="IL147" s="570">
        <v>-239.48733503467301</v>
      </c>
      <c r="IM147" s="570">
        <v>178.57126178719079</v>
      </c>
      <c r="IN147" s="570">
        <v>58.635309617190764</v>
      </c>
      <c r="IO147" s="570">
        <v>82.376775462190778</v>
      </c>
      <c r="IP147" s="570">
        <v>-23.741465844999997</v>
      </c>
      <c r="IQ147" s="570">
        <v>0</v>
      </c>
      <c r="IR147" s="570">
        <v>119.93595217000001</v>
      </c>
      <c r="IS147" s="570">
        <v>3.324596676800013</v>
      </c>
      <c r="IT147" s="570">
        <v>116.61135549319999</v>
      </c>
      <c r="IU147" s="570">
        <v>-8.894071481133258</v>
      </c>
      <c r="IV147" s="93">
        <v>74</v>
      </c>
      <c r="IW147" s="848">
        <v>43252</v>
      </c>
      <c r="IX147" s="1035"/>
      <c r="IY147" s="1035">
        <v>513.30257099599999</v>
      </c>
      <c r="IZ147" s="1035">
        <v>588.15019797900004</v>
      </c>
      <c r="JA147" s="1035">
        <v>1.150241066</v>
      </c>
      <c r="JB147" s="1035">
        <v>1452.44</v>
      </c>
      <c r="JC147" s="1035">
        <v>219.07456099199999</v>
      </c>
      <c r="JD147" s="1035">
        <v>2185.9673730539998</v>
      </c>
      <c r="JE147" s="1035">
        <v>1464.998108319</v>
      </c>
      <c r="JF147" s="1035">
        <v>3650.9654813729999</v>
      </c>
      <c r="JG147" s="1035"/>
      <c r="JH147" s="1035">
        <v>1482.1249953999998</v>
      </c>
      <c r="JI147" s="1035">
        <v>415.36299539999982</v>
      </c>
      <c r="JJ147" s="1035">
        <v>1066.7619999999999</v>
      </c>
      <c r="JK147" s="1035">
        <v>2540.1024509100002</v>
      </c>
      <c r="JL147" s="1035">
        <v>-9.0647325489999986</v>
      </c>
      <c r="JM147" s="1035">
        <v>-107.78373254899999</v>
      </c>
      <c r="JN147" s="1035">
        <v>98.718999999999994</v>
      </c>
      <c r="JO147" s="1035">
        <v>2549.1671834590002</v>
      </c>
      <c r="JP147" s="1035">
        <v>6.3291834590000002</v>
      </c>
      <c r="JQ147" s="1035">
        <v>2542.8380000000002</v>
      </c>
      <c r="JR147" s="1035">
        <v>582.11624254200001</v>
      </c>
      <c r="JS147" s="1035">
        <v>-210.85427760500005</v>
      </c>
      <c r="JT147" s="1036">
        <v>3650.9654813730003</v>
      </c>
      <c r="JU147" s="29">
        <v>74</v>
      </c>
      <c r="JV147" s="1037"/>
      <c r="JW147" s="1526">
        <f>VLOOKUP($IW147,Base_Mensuelle!$OF$68:$RM$679,HLOOKUP(JW$73,Base_Mensuelle!$PE$67:$QE$680,614,0))</f>
        <v>415.36299539999982</v>
      </c>
      <c r="JX147" s="1526">
        <f>VLOOKUP($IW147,Base_Mensuelle!$OF$68:$RM$679,HLOOKUP(JX$73,Base_Mensuelle!$PE$67:$QE$680,614,0))</f>
        <v>1103.1637702489998</v>
      </c>
      <c r="JY147" s="1526">
        <f>VLOOKUP($IW147,Base_Mensuelle!$OF$68:$RM$679,HLOOKUP(JY$73,Base_Mensuelle!$PE$67:$QE$680,614,0))</f>
        <v>687.80077484899994</v>
      </c>
      <c r="JZ147" s="1526">
        <f>VLOOKUP($IW147,Base_Mensuelle!$OF$68:$RM$679,HLOOKUP(JZ$73,Base_Mensuelle!$PE$67:$QE$680,614,0))</f>
        <v>500.74599999999998</v>
      </c>
      <c r="KA147" s="1526">
        <f>VLOOKUP($IW147,Base_Mensuelle!$OF$68:$RM$679,HLOOKUP(KA$73,Base_Mensuelle!$PE$67:$QE$680,614,0))</f>
        <v>-99.645105565999998</v>
      </c>
      <c r="KB147" s="1526">
        <f>VLOOKUP($IW147,Base_Mensuelle!$OF$68:$RM$679,HLOOKUP(KB$73,Base_Mensuelle!$PE$67:$QE$680,614,0))</f>
        <v>123.18084369</v>
      </c>
      <c r="KC147" s="1526">
        <f>VLOOKUP($IW147,Base_Mensuelle!$OF$68:$RM$679,HLOOKUP(KC$73,Base_Mensuelle!$PE$67:$QE$680,614,0))</f>
        <v>222.825949256</v>
      </c>
      <c r="KD147" s="1526">
        <f>VLOOKUP($IW147,Base_Mensuelle!$OF$68:$RM$679,HLOOKUP(KD$73,Base_Mensuelle!$PE$67:$QE$680,614,0))</f>
        <v>6.3291834590000002</v>
      </c>
      <c r="KE147" s="1526">
        <f>VLOOKUP($IW147,Base_Mensuelle!$OF$68:$RM$679,HLOOKUP(KE$73,Base_Mensuelle!$PE$67:$QE$680,614,0))</f>
        <v>1.9219999999999999</v>
      </c>
      <c r="KF147" s="1526">
        <f>VLOOKUP($IW147,Base_Mensuelle!$OF$68:$RM$679,HLOOKUP(KF$73,Base_Mensuelle!$PE$67:$QE$680,614,0))</f>
        <v>0</v>
      </c>
      <c r="KG147" s="1526">
        <f>VLOOKUP($IW147,Base_Mensuelle!$OF$68:$RM$679,HLOOKUP(KG$73,Base_Mensuelle!$PE$67:$QE$680,614,0))</f>
        <v>0</v>
      </c>
      <c r="KH147" s="1526">
        <f>VLOOKUP($IW147,Base_Mensuelle!$OF$68:$RM$679,HLOOKUP(KH$73,Base_Mensuelle!$PE$67:$QE$680,614,0))</f>
        <v>4.4071834590000005</v>
      </c>
      <c r="KI147" s="1526">
        <f>VLOOKUP($IW147,Base_Mensuelle!$OF$68:$RM$679,HLOOKUP(KI$73,Base_Mensuelle!$PE$67:$QE$680,614,0))</f>
        <v>807.59245625799997</v>
      </c>
      <c r="KJ147" s="1526">
        <f>VLOOKUP($IW147,Base_Mensuelle!$OF$68:$RM$679,HLOOKUP(KJ$73,Base_Mensuelle!$PE$67:$QE$680,614,0))</f>
        <v>588.15019797900004</v>
      </c>
      <c r="KK147" s="1526">
        <f>VLOOKUP($IW147,Base_Mensuelle!$OF$68:$RM$679,HLOOKUP(KK$73,Base_Mensuelle!$PE$67:$QE$680,614,0))</f>
        <v>217.95890889399999</v>
      </c>
      <c r="KL147" s="1526">
        <f>VLOOKUP($IW147,Base_Mensuelle!$OF$68:$RM$679,HLOOKUP(KL$73,Base_Mensuelle!$PE$67:$QE$680,614,0))</f>
        <v>1.4833493849999999</v>
      </c>
      <c r="KM147" s="1526">
        <f>VLOOKUP($IW147,Base_Mensuelle!$OF$68:$RM$679,HLOOKUP(KM$73,Base_Mensuelle!$PE$67:$QE$680,614,0))</f>
        <v>0</v>
      </c>
      <c r="KN147" s="1526">
        <f>VLOOKUP($IW147,Base_Mensuelle!$OF$68:$RM$679,HLOOKUP(KN$73,Base_Mensuelle!$PE$67:$QE$680,614,0))</f>
        <v>3.0517315150000002</v>
      </c>
      <c r="KO147" s="1526">
        <f>VLOOKUP($IW147,Base_Mensuelle!$OF$68:$RM$679,HLOOKUP(KO$73,Base_Mensuelle!$PE$67:$QE$680,614,0))</f>
        <v>0</v>
      </c>
      <c r="KP147" s="1526">
        <f>VLOOKUP($IW147,Base_Mensuelle!$OF$68:$RM$679,HLOOKUP(KP$73,Base_Mensuelle!$PE$67:$QE$680,614,0))</f>
        <v>0</v>
      </c>
      <c r="KQ147" s="1526">
        <f>VLOOKUP($IW147,Base_Mensuelle!$OF$68:$RM$679,HLOOKUP(KQ$73,Base_Mensuelle!$PE$67:$QE$680,614,0))</f>
        <v>3.0517315150000002</v>
      </c>
      <c r="KR147" s="1526">
        <f>VLOOKUP($IW147,Base_Mensuelle!$OF$68:$RM$679,HLOOKUP(KR$73,Base_Mensuelle!$PE$67:$QE$680,614,0))</f>
        <v>0</v>
      </c>
      <c r="KS147" s="1526">
        <f>VLOOKUP($IW147,Base_Mensuelle!$OF$68:$RM$679,HLOOKUP(KS$73,Base_Mensuelle!$PE$67:$QE$680,614,0))</f>
        <v>0</v>
      </c>
      <c r="KT147" s="1526">
        <f>VLOOKUP($IW147,Base_Mensuelle!$OF$68:$RM$679,HLOOKUP(KT$73,Base_Mensuelle!$PE$67:$QE$680,614,0))</f>
        <v>0</v>
      </c>
      <c r="KU147" s="1526">
        <f>VLOOKUP($IW147,Base_Mensuelle!$OF$68:$RM$679,HLOOKUP(KU$73,Base_Mensuelle!$PE$67:$QE$680,614,0))</f>
        <v>10.568511027</v>
      </c>
      <c r="KV147" s="1526">
        <f>VLOOKUP($IW147,Base_Mensuelle!$OF$68:$RM$679,HLOOKUP(KV$73,Base_Mensuelle!$PE$67:$QE$680,614,0))</f>
        <v>1.5803744929999866</v>
      </c>
      <c r="KW147" s="1036"/>
      <c r="KX147" s="29">
        <v>74</v>
      </c>
      <c r="KY147" s="1037"/>
      <c r="KZ147" s="182">
        <f>VLOOKUP($IW147,Base_Mensuelle!$OF$68:$RM$679,HLOOKUP(KZ$73,Base_Mensuelle!$QG$67:$RM$680,614,0))</f>
        <v>1066.7619999999999</v>
      </c>
      <c r="LA147" s="182">
        <f>VLOOKUP($IW147,Base_Mensuelle!$OF$68:$RM$679,HLOOKUP(LA$73,Base_Mensuelle!$QG$67:$RM$680,614,0))</f>
        <v>1547.3209999999999</v>
      </c>
      <c r="LB147" s="182">
        <f>VLOOKUP($IW147,Base_Mensuelle!$OF$68:$RM$679,HLOOKUP(LB$73,Base_Mensuelle!$QG$67:$RM$680,614,0))</f>
        <v>-480.55899999999997</v>
      </c>
      <c r="LC147" s="182">
        <f>VLOOKUP($IW147,Base_Mensuelle!$OF$68:$RM$679,HLOOKUP(LC$73,Base_Mensuelle!$QG$67:$RM$680,614,0))</f>
        <v>277.05900000000003</v>
      </c>
      <c r="LD147" s="182">
        <f>VLOOKUP($IW147,Base_Mensuelle!$OF$68:$RM$679,HLOOKUP(LD$73,Base_Mensuelle!$QG$67:$RM$680,614,0))</f>
        <v>66.709000000000003</v>
      </c>
      <c r="LE147" s="182">
        <f>VLOOKUP($IW147,Base_Mensuelle!$OF$68:$RM$679,HLOOKUP(LE$73,Base_Mensuelle!$QG$67:$RM$680,614,0))</f>
        <v>210.35000000000002</v>
      </c>
      <c r="LF147" s="182">
        <f>VLOOKUP($IW147,Base_Mensuelle!$OF$68:$RM$679,HLOOKUP(LF$73,Base_Mensuelle!$QG$67:$RM$680,614,0))</f>
        <v>0</v>
      </c>
      <c r="LG147" s="182">
        <f>VLOOKUP($IW147,Base_Mensuelle!$OF$68:$RM$679,HLOOKUP(LG$73,Base_Mensuelle!$QG$67:$RM$680,614,0))</f>
        <v>98.718999999999994</v>
      </c>
      <c r="LH147" s="182">
        <f>VLOOKUP($IW147,Base_Mensuelle!$OF$68:$RM$679,HLOOKUP(LH$73,Base_Mensuelle!$QG$67:$RM$680,614,0))</f>
        <v>433.15699999999998</v>
      </c>
      <c r="LI147" s="182">
        <f>VLOOKUP($IW147,Base_Mensuelle!$OF$68:$RM$679,HLOOKUP(LI$73,Base_Mensuelle!$QG$67:$RM$680,614,0))</f>
        <v>-334.43799999999999</v>
      </c>
      <c r="LJ147" s="182">
        <f>VLOOKUP($IW147,Base_Mensuelle!$OF$68:$RM$679,HLOOKUP(LJ$73,Base_Mensuelle!$QG$67:$RM$680,614,0))</f>
        <v>2542.8380000000002</v>
      </c>
      <c r="LK147" s="182">
        <f>VLOOKUP($IW147,Base_Mensuelle!$OF$68:$RM$679,HLOOKUP(LK$73,Base_Mensuelle!$QG$67:$RM$680,614,0))</f>
        <v>14.702</v>
      </c>
      <c r="LL147" s="182">
        <f>VLOOKUP($IW147,Base_Mensuelle!$OF$68:$RM$679,HLOOKUP(LL$73,Base_Mensuelle!$QG$67:$RM$680,614,0))</f>
        <v>9.8000000000000004E-2</v>
      </c>
      <c r="LM147" s="182">
        <f>VLOOKUP($IW147,Base_Mensuelle!$OF$68:$RM$679,HLOOKUP(LM$73,Base_Mensuelle!$QG$67:$RM$680,614,0))</f>
        <v>155.43799999999999</v>
      </c>
      <c r="LN147" s="182">
        <f>VLOOKUP($IW147,Base_Mensuelle!$OF$68:$RM$679,HLOOKUP(LN$73,Base_Mensuelle!$QG$67:$RM$680,614,0))</f>
        <v>2372.6000000000004</v>
      </c>
      <c r="LO147" s="182">
        <f>VLOOKUP($IW147,Base_Mensuelle!$OF$68:$RM$679,HLOOKUP(LO$73,Base_Mensuelle!$QG$67:$RM$680,614,0))</f>
        <v>0</v>
      </c>
      <c r="LP147" s="182">
        <f>VLOOKUP($IW147,Base_Mensuelle!$OF$68:$RM$679,HLOOKUP(LP$73,Base_Mensuelle!$QG$67:$RM$680,614,0))</f>
        <v>420.91399999999999</v>
      </c>
      <c r="LQ147" s="182">
        <f>VLOOKUP($IW147,Base_Mensuelle!$OF$68:$RM$679,HLOOKUP(LQ$73,Base_Mensuelle!$QG$67:$RM$680,614,0))</f>
        <v>1452.44</v>
      </c>
      <c r="LR147" s="182">
        <f>VLOOKUP($IW147,Base_Mensuelle!$OF$68:$RM$679,HLOOKUP(LR$73,Base_Mensuelle!$QG$67:$RM$680,614,0))</f>
        <v>1464.665</v>
      </c>
      <c r="LS147" s="182">
        <f>VLOOKUP($IW147,Base_Mensuelle!$OF$68:$RM$679,HLOOKUP(LS$73,Base_Mensuelle!$QG$67:$RM$680,614,0))</f>
        <v>0</v>
      </c>
      <c r="LT147" s="182">
        <f>VLOOKUP($IW147,Base_Mensuelle!$OF$68:$RM$679,HLOOKUP(LT$73,Base_Mensuelle!$QG$67:$RM$680,614,0))</f>
        <v>75.974000000000004</v>
      </c>
      <c r="LU147" s="182">
        <f>VLOOKUP($IW147,Base_Mensuelle!$OF$68:$RM$679,HLOOKUP(LU$73,Base_Mensuelle!$QG$67:$RM$680,614,0))</f>
        <v>0</v>
      </c>
      <c r="LV147" s="182">
        <f>VLOOKUP($IW147,Base_Mensuelle!$OF$68:$RM$679,HLOOKUP(LV$73,Base_Mensuelle!$QG$67:$RM$680,614,0))</f>
        <v>79.489000000000004</v>
      </c>
      <c r="LW147" s="182">
        <f>VLOOKUP($IW147,Base_Mensuelle!$OF$68:$RM$679,HLOOKUP(LW$73,Base_Mensuelle!$QG$67:$RM$680,614,0))</f>
        <v>0</v>
      </c>
      <c r="LX147" s="182">
        <f>VLOOKUP($IW147,Base_Mensuelle!$OF$68:$RM$679,HLOOKUP(LX$73,Base_Mensuelle!$QG$67:$RM$680,614,0))</f>
        <v>0</v>
      </c>
      <c r="LY147" s="182">
        <f>VLOOKUP($IW147,Base_Mensuelle!$OF$68:$RM$679,HLOOKUP(LY$73,Base_Mensuelle!$QG$67:$RM$680,614,0))</f>
        <v>413.03300000000002</v>
      </c>
      <c r="LZ147" s="182">
        <f>VLOOKUP($IW147,Base_Mensuelle!$OF$68:$RM$679,HLOOKUP(LZ$73,Base_Mensuelle!$QG$67:$RM$680,614,0))</f>
        <v>78.862999999999971</v>
      </c>
      <c r="MA147" s="182">
        <f>VLOOKUP($IW147,Base_Mensuelle!$OF$68:$RM$679,HLOOKUP(MA$73,Base_Mensuelle!$QG$67:$RM$680,614,0))</f>
        <v>0</v>
      </c>
      <c r="MB147" s="182">
        <f>VLOOKUP($IW147,Base_Mensuelle!$OF$68:$RM$679,HLOOKUP(MB$73,Base_Mensuelle!$QG$67:$RM$680,614,0))</f>
        <v>0</v>
      </c>
      <c r="MC147" s="182">
        <f>VLOOKUP($IW147,Base_Mensuelle!$OF$68:$RM$679,HLOOKUP(MC$73,Base_Mensuelle!$QG$67:$RM$680,614,0))</f>
        <v>0</v>
      </c>
      <c r="MD147" s="182">
        <f>VLOOKUP($IW147,Base_Mensuelle!$OF$68:$RM$679,HLOOKUP(MD$73,Base_Mensuelle!$QG$67:$RM$680,614,0))</f>
        <v>0</v>
      </c>
      <c r="ME147" s="182">
        <f>VLOOKUP($IW147,Base_Mensuelle!$OF$68:$RM$679,HLOOKUP(ME$73,Base_Mensuelle!$QG$67:$RM$680,614,0))</f>
        <v>0</v>
      </c>
      <c r="MF147" s="182"/>
      <c r="MG147" s="182"/>
      <c r="MH147" s="290"/>
      <c r="MI147" s="29">
        <v>74</v>
      </c>
      <c r="MJ147" s="29" t="str">
        <f t="shared" si="88"/>
        <v>Trimestre 22018</v>
      </c>
      <c r="MK147" s="848">
        <v>43252</v>
      </c>
      <c r="ML147" s="1991">
        <v>161.62802658405877</v>
      </c>
      <c r="MM147" s="1991">
        <v>100.13730915103899</v>
      </c>
      <c r="MN147" s="1991">
        <v>100.14824470702193</v>
      </c>
      <c r="MO147" s="1991">
        <v>100.00000000000003</v>
      </c>
      <c r="MP147" s="1991">
        <v>161.62802658405877</v>
      </c>
      <c r="MQ147" s="1991">
        <v>99.736617676298508</v>
      </c>
      <c r="MR147" s="1991">
        <v>110.79999999999993</v>
      </c>
      <c r="MS147" s="1991">
        <v>100.65010452930203</v>
      </c>
      <c r="MT147" s="1991">
        <v>100.00000000000006</v>
      </c>
      <c r="MU147" s="1991">
        <v>100</v>
      </c>
      <c r="MV147" s="1991">
        <v>100.29950046728165</v>
      </c>
      <c r="MW147" s="1991">
        <v>100.00000000000003</v>
      </c>
      <c r="MX147" s="1991">
        <v>98.412698412698447</v>
      </c>
      <c r="MY147" s="1991">
        <v>100.00000000000011</v>
      </c>
      <c r="MZ147" s="1991">
        <v>100.16605741605122</v>
      </c>
      <c r="NA147" s="1991">
        <v>100.00000000000009</v>
      </c>
      <c r="NB147" s="1991">
        <v>98.829073543413912</v>
      </c>
      <c r="NC147" s="1991">
        <v>126.70878635248677</v>
      </c>
      <c r="ND147" s="1991">
        <v>92.882005152312672</v>
      </c>
      <c r="NE147" s="1991">
        <v>100.0000000000001</v>
      </c>
      <c r="NF147" s="1991">
        <v>100.00000000000007</v>
      </c>
      <c r="NG147" s="1991">
        <v>100.0000000000001</v>
      </c>
      <c r="NH147" s="1991">
        <v>100.00000000000007</v>
      </c>
      <c r="NI147" s="1991">
        <v>99.999999999999986</v>
      </c>
      <c r="NJ147" s="1991">
        <v>100</v>
      </c>
      <c r="NK147" s="1991">
        <v>101.56248223692144</v>
      </c>
      <c r="NL147" s="29">
        <v>74</v>
      </c>
    </row>
    <row r="148" spans="1:376">
      <c r="A148" s="41">
        <f t="shared" si="86"/>
        <v>2018</v>
      </c>
      <c r="B148" s="785">
        <v>43344</v>
      </c>
      <c r="C148" s="733">
        <v>241.45667262006293</v>
      </c>
      <c r="D148" s="1547">
        <v>206.05695374197032</v>
      </c>
      <c r="E148" s="570">
        <v>148.24234073903975</v>
      </c>
      <c r="F148" s="1547">
        <v>13.399398909023768</v>
      </c>
      <c r="G148" s="1547">
        <v>0</v>
      </c>
      <c r="H148" s="1547">
        <v>39.760780785167256</v>
      </c>
      <c r="I148" s="570">
        <v>26.186625809973947</v>
      </c>
      <c r="J148" s="570">
        <v>141.78744772142517</v>
      </c>
      <c r="K148" s="570">
        <v>111.67131876587628</v>
      </c>
      <c r="L148" s="570">
        <v>242.83216650702511</v>
      </c>
      <c r="M148" s="734">
        <v>169.6970901379074</v>
      </c>
      <c r="N148" s="25">
        <v>75</v>
      </c>
      <c r="O148" s="889">
        <f t="shared" si="85"/>
        <v>2018</v>
      </c>
      <c r="P148" s="29" t="str">
        <f t="shared" si="87"/>
        <v>Trimestre 32018</v>
      </c>
      <c r="Q148" s="848">
        <v>43344</v>
      </c>
      <c r="R148" s="733">
        <v>12.07275085</v>
      </c>
      <c r="S148" s="570">
        <v>0</v>
      </c>
      <c r="T148" s="570">
        <v>1015.2595</v>
      </c>
      <c r="U148" s="734">
        <v>21.582000000000001</v>
      </c>
      <c r="V148" s="25">
        <v>75</v>
      </c>
      <c r="W148" s="733">
        <v>5137</v>
      </c>
      <c r="X148" s="570">
        <v>0</v>
      </c>
      <c r="Y148" s="570">
        <v>604.59813600766063</v>
      </c>
      <c r="Z148" s="570">
        <v>255.86446565137356</v>
      </c>
      <c r="AA148" s="570">
        <v>38.733499999999999</v>
      </c>
      <c r="AB148" s="570">
        <v>32.640999999999998</v>
      </c>
      <c r="AC148" s="570">
        <v>363.42099999999999</v>
      </c>
      <c r="AD148" s="570">
        <v>171.05587199999999</v>
      </c>
      <c r="AE148" s="734">
        <v>24.347878000000001</v>
      </c>
      <c r="AF148" s="25">
        <v>75</v>
      </c>
      <c r="AG148" s="733">
        <v>-12.871468319860476</v>
      </c>
      <c r="AH148" s="570">
        <v>-12.42263422460546</v>
      </c>
      <c r="AI148" s="570">
        <v>-4.5279375400577599</v>
      </c>
      <c r="AJ148" s="570">
        <v>1.3796994796145796</v>
      </c>
      <c r="AK148" s="570">
        <v>13.882256444016456</v>
      </c>
      <c r="AL148" s="570">
        <v>20.599416936769849</v>
      </c>
      <c r="AM148" s="570">
        <v>27.336631932079253</v>
      </c>
      <c r="AN148" s="734">
        <v>1.1229749579457482</v>
      </c>
      <c r="AO148" s="733">
        <v>-29.243979429788432</v>
      </c>
      <c r="AP148" s="570">
        <v>-32.019105142563511</v>
      </c>
      <c r="AQ148" s="570">
        <v>-20.214813829253465</v>
      </c>
      <c r="AR148" s="570">
        <v>-0.32644414127935084</v>
      </c>
      <c r="AS148" s="734">
        <v>-1.3513513513513526</v>
      </c>
      <c r="AT148" s="733">
        <v>21.267677894526379</v>
      </c>
      <c r="AU148" s="570">
        <v>-6.3713979446958167</v>
      </c>
      <c r="AV148" s="734">
        <v>3.676964358702898</v>
      </c>
      <c r="AW148" s="733">
        <v>17.670767980483319</v>
      </c>
      <c r="AX148" s="570">
        <v>26.115351635394589</v>
      </c>
      <c r="AY148" s="570">
        <v>24.552696456471452</v>
      </c>
      <c r="AZ148" s="570">
        <v>14.858139423499866</v>
      </c>
      <c r="BA148" s="570">
        <v>2.2264037998696096</v>
      </c>
      <c r="BB148" s="570">
        <v>14.356016655258806</v>
      </c>
      <c r="BC148" s="734">
        <v>21.621621621621621</v>
      </c>
      <c r="BD148" s="733">
        <v>-63.161207396657183</v>
      </c>
      <c r="BE148" s="570">
        <v>-58.914819396915682</v>
      </c>
      <c r="BF148" s="570">
        <v>-44.80265244123639</v>
      </c>
      <c r="BG148" s="570">
        <v>3.7783650030290712</v>
      </c>
      <c r="BH148" s="570">
        <v>4.6976045272902329</v>
      </c>
      <c r="BI148" s="570">
        <v>26.171749086561778</v>
      </c>
      <c r="BJ148" s="570">
        <v>49.624045214623749</v>
      </c>
      <c r="BK148" s="734">
        <v>0</v>
      </c>
      <c r="BL148" s="733">
        <v>-37.177978736819654</v>
      </c>
      <c r="BM148" s="570">
        <v>-42.934900612552383</v>
      </c>
      <c r="BN148" s="570">
        <v>-37.379419774418977</v>
      </c>
      <c r="BO148" s="570">
        <v>-6.1189803272841203</v>
      </c>
      <c r="BP148" s="570">
        <v>-12.5</v>
      </c>
      <c r="BQ148" s="734">
        <v>-12.5</v>
      </c>
      <c r="BR148" s="733">
        <v>50.942925078980657</v>
      </c>
      <c r="BS148" s="570">
        <v>-10.4758252900439</v>
      </c>
      <c r="BT148" s="570">
        <v>9.3444627418640955</v>
      </c>
      <c r="BU148" s="734">
        <v>21.890837013316503</v>
      </c>
      <c r="BV148" s="733">
        <v>38.114566533061861</v>
      </c>
      <c r="BW148" s="570">
        <v>36.734610663323942</v>
      </c>
      <c r="BX148" s="570">
        <v>31.077310212674387</v>
      </c>
      <c r="BY148" s="570">
        <v>0</v>
      </c>
      <c r="BZ148" s="570">
        <v>11.99349168300331</v>
      </c>
      <c r="CA148" s="93">
        <v>0</v>
      </c>
      <c r="CB148" s="20">
        <v>-6.25</v>
      </c>
      <c r="CC148" s="25">
        <v>75</v>
      </c>
      <c r="CD148" s="181">
        <v>77076</v>
      </c>
      <c r="CE148" s="182">
        <v>19112726</v>
      </c>
      <c r="CF148" s="290">
        <v>6277204</v>
      </c>
      <c r="CG148" s="25">
        <v>75</v>
      </c>
      <c r="CH148" s="19">
        <v>20552</v>
      </c>
      <c r="CI148" s="93">
        <v>11248</v>
      </c>
      <c r="CJ148" s="93">
        <v>2407</v>
      </c>
      <c r="CK148" s="93">
        <v>8141</v>
      </c>
      <c r="CL148" s="93">
        <v>7613</v>
      </c>
      <c r="CM148" s="93">
        <v>418</v>
      </c>
      <c r="CN148" s="93">
        <v>1791</v>
      </c>
      <c r="CO148" s="93">
        <v>2188</v>
      </c>
      <c r="CP148" s="93">
        <v>1358</v>
      </c>
      <c r="CQ148" s="93">
        <v>1082</v>
      </c>
      <c r="CR148" s="214">
        <v>100878</v>
      </c>
      <c r="CS148" s="20">
        <v>135990</v>
      </c>
      <c r="CT148" s="25">
        <v>75</v>
      </c>
      <c r="CU148" s="19">
        <v>19816</v>
      </c>
      <c r="CV148" s="93">
        <v>86484</v>
      </c>
      <c r="CW148" s="93">
        <v>18449</v>
      </c>
      <c r="CX148" s="93">
        <v>747</v>
      </c>
      <c r="CY148" s="93">
        <v>1391</v>
      </c>
      <c r="CZ148" s="93">
        <v>252</v>
      </c>
      <c r="DA148" s="93">
        <v>8851</v>
      </c>
      <c r="DB148" s="20">
        <v>135990</v>
      </c>
      <c r="DC148" s="25">
        <v>75</v>
      </c>
      <c r="DD148" s="785">
        <v>43344</v>
      </c>
      <c r="DE148" s="733">
        <v>315.10000000000002</v>
      </c>
      <c r="DF148" s="734">
        <v>119.2</v>
      </c>
      <c r="DG148" s="25">
        <v>75</v>
      </c>
      <c r="DH148" s="733">
        <v>580.5</v>
      </c>
      <c r="DI148" s="734">
        <v>1463.7</v>
      </c>
      <c r="DJ148" s="25">
        <v>75</v>
      </c>
      <c r="DK148" s="733">
        <v>315.10000000000002</v>
      </c>
      <c r="DL148" s="734">
        <v>580.5</v>
      </c>
      <c r="DM148" s="733">
        <v>-265.39999999999998</v>
      </c>
      <c r="DN148" s="734">
        <v>54.280792420327309</v>
      </c>
      <c r="DO148" s="25">
        <v>75</v>
      </c>
      <c r="DP148" s="733">
        <v>264.89999999999998</v>
      </c>
      <c r="DQ148" s="570">
        <v>196.2</v>
      </c>
      <c r="DR148" s="734">
        <v>519.79999999999995</v>
      </c>
      <c r="DS148" s="25">
        <v>75</v>
      </c>
      <c r="DT148" s="733">
        <v>87.4</v>
      </c>
      <c r="DU148" s="570">
        <v>86.9</v>
      </c>
      <c r="DV148" s="734">
        <v>76</v>
      </c>
      <c r="DW148" s="25">
        <v>75</v>
      </c>
      <c r="DX148" s="733">
        <v>303.10000000000002</v>
      </c>
      <c r="DY148" s="734">
        <v>108.7</v>
      </c>
      <c r="DZ148" s="25">
        <v>75</v>
      </c>
      <c r="EA148" s="733">
        <v>266.10396977300002</v>
      </c>
      <c r="EB148" s="570">
        <v>0.20678996599999999</v>
      </c>
      <c r="EC148" s="570">
        <v>1.7504669100000001</v>
      </c>
      <c r="ED148" s="570">
        <v>4.2</v>
      </c>
      <c r="EE148" s="734">
        <v>8.1999999999999993</v>
      </c>
      <c r="EF148" s="25">
        <v>75</v>
      </c>
      <c r="EG148" s="1569">
        <v>266.10396977300002</v>
      </c>
      <c r="EH148" s="1570">
        <v>0.20678996599999999</v>
      </c>
      <c r="EI148" s="1570">
        <v>1.7504669100000001</v>
      </c>
      <c r="EJ148" s="1570">
        <v>4.2</v>
      </c>
      <c r="EK148" s="1571">
        <v>8.1999999999999993</v>
      </c>
      <c r="EL148" s="25">
        <v>75</v>
      </c>
      <c r="EM148" s="733">
        <v>200.31495160899999</v>
      </c>
      <c r="EN148" s="570">
        <v>0.34630107500000001</v>
      </c>
      <c r="EO148" s="570">
        <v>21.539600089</v>
      </c>
      <c r="EP148" s="570">
        <v>0.16700164000000001</v>
      </c>
      <c r="EQ148" s="570">
        <v>2.4862067909999999</v>
      </c>
      <c r="ER148" s="570">
        <v>2.3955901270000002</v>
      </c>
      <c r="ES148" s="570">
        <v>1.640520591</v>
      </c>
      <c r="ET148" s="570">
        <v>0.95113360199999997</v>
      </c>
      <c r="EU148" s="570">
        <v>0.69580891199999995</v>
      </c>
      <c r="EV148" s="734">
        <v>2.2213498500000002</v>
      </c>
      <c r="EW148" s="25">
        <v>75</v>
      </c>
      <c r="EX148" s="918">
        <v>54.3</v>
      </c>
      <c r="EY148" s="919">
        <v>12.8</v>
      </c>
      <c r="EZ148" s="919">
        <v>39.9</v>
      </c>
      <c r="FA148" s="919">
        <v>0.41866079899999997</v>
      </c>
      <c r="FB148" s="919">
        <v>64.599999999999994</v>
      </c>
      <c r="FC148" s="919">
        <v>29.7</v>
      </c>
      <c r="FD148" s="919">
        <v>3.5729394384600002</v>
      </c>
      <c r="FE148" s="919">
        <v>37.6</v>
      </c>
      <c r="FF148" s="919">
        <v>10.8</v>
      </c>
      <c r="FG148" s="920">
        <v>37.6</v>
      </c>
      <c r="FH148" s="25">
        <v>75</v>
      </c>
      <c r="FI148" s="848">
        <v>43344</v>
      </c>
      <c r="FJ148" s="19">
        <v>1792</v>
      </c>
      <c r="FK148" s="93">
        <v>1268</v>
      </c>
      <c r="FL148" s="20">
        <v>0</v>
      </c>
      <c r="FM148" s="25">
        <v>75</v>
      </c>
      <c r="FN148" s="19">
        <v>84</v>
      </c>
      <c r="FO148" s="93">
        <v>708</v>
      </c>
      <c r="FP148" s="93">
        <v>1161</v>
      </c>
      <c r="FQ148" s="93">
        <v>577</v>
      </c>
      <c r="FR148" s="93">
        <v>368</v>
      </c>
      <c r="FS148" s="93">
        <v>83</v>
      </c>
      <c r="FT148" s="93">
        <v>53</v>
      </c>
      <c r="FU148" s="93">
        <v>16</v>
      </c>
      <c r="FV148" s="93">
        <v>8</v>
      </c>
      <c r="FW148" s="917">
        <v>2</v>
      </c>
      <c r="FX148" s="25">
        <v>75</v>
      </c>
      <c r="FY148" s="975">
        <v>36</v>
      </c>
      <c r="FZ148" s="975">
        <v>257</v>
      </c>
      <c r="GA148" s="975">
        <v>325</v>
      </c>
      <c r="GB148" s="975">
        <v>80</v>
      </c>
      <c r="GC148" s="975">
        <v>553</v>
      </c>
      <c r="GD148" s="975">
        <v>195</v>
      </c>
      <c r="GE148" s="975">
        <v>668</v>
      </c>
      <c r="GF148" s="975">
        <v>120</v>
      </c>
      <c r="GG148" s="975">
        <v>25</v>
      </c>
      <c r="GH148" s="975">
        <v>692</v>
      </c>
      <c r="GI148" s="976">
        <v>109</v>
      </c>
      <c r="GJ148" s="25">
        <v>75</v>
      </c>
      <c r="GK148" s="19"/>
      <c r="GL148" s="20"/>
      <c r="GM148" s="25">
        <v>75</v>
      </c>
      <c r="GN148" s="19">
        <v>4791</v>
      </c>
      <c r="GO148" s="20">
        <v>1815</v>
      </c>
      <c r="GP148" s="25">
        <v>75</v>
      </c>
      <c r="GQ148" s="19"/>
      <c r="GR148" s="20"/>
      <c r="GS148" s="25">
        <v>75</v>
      </c>
      <c r="GT148" s="848">
        <v>43344</v>
      </c>
      <c r="GU148" s="733">
        <v>1198.5404794939914</v>
      </c>
      <c r="GV148" s="570">
        <v>1105.1402452467999</v>
      </c>
      <c r="GW148" s="570">
        <v>1105.1402452467999</v>
      </c>
      <c r="GX148" s="570">
        <v>992.2855067708</v>
      </c>
      <c r="GY148" s="570">
        <v>281.35328386775939</v>
      </c>
      <c r="GZ148" s="570">
        <v>9.2382006163197303</v>
      </c>
      <c r="HA148" s="570">
        <v>4.9647175580511016</v>
      </c>
      <c r="HB148" s="570">
        <v>542.74497412947017</v>
      </c>
      <c r="HC148" s="570">
        <v>145.643206101</v>
      </c>
      <c r="HD148" s="570">
        <v>8.3411244981994948</v>
      </c>
      <c r="HE148" s="570">
        <v>112.85473847599999</v>
      </c>
      <c r="HF148" s="570">
        <v>4.8410518160000011</v>
      </c>
      <c r="HG148" s="570">
        <v>20.167184030000001</v>
      </c>
      <c r="HH148" s="570">
        <v>1.4753931649999998</v>
      </c>
      <c r="HI148" s="570">
        <v>21.392748418</v>
      </c>
      <c r="HJ148" s="570">
        <v>64.978361047000007</v>
      </c>
      <c r="HK148" s="570">
        <v>0</v>
      </c>
      <c r="HL148" s="570">
        <v>93.400234247191293</v>
      </c>
      <c r="HM148" s="570">
        <v>64.044958519191297</v>
      </c>
      <c r="HN148" s="570">
        <v>29.355275728000002</v>
      </c>
      <c r="HO148" s="570">
        <v>1410.3707599892932</v>
      </c>
      <c r="HP148" s="570">
        <v>1416.9405841532932</v>
      </c>
      <c r="HQ148" s="570">
        <v>1011.292381706</v>
      </c>
      <c r="HR148" s="570">
        <v>511.74306704100002</v>
      </c>
      <c r="HS148" s="570">
        <v>117.83533005900003</v>
      </c>
      <c r="HT148" s="570">
        <v>65.335352626000002</v>
      </c>
      <c r="HU148" s="570">
        <v>49.445460091000015</v>
      </c>
      <c r="HV148" s="570">
        <v>15.889892535</v>
      </c>
      <c r="HW148" s="570">
        <v>316.37863198000002</v>
      </c>
      <c r="HX148" s="570">
        <v>0</v>
      </c>
      <c r="HY148" s="570">
        <v>97.152809043999994</v>
      </c>
      <c r="HZ148" s="570">
        <v>0</v>
      </c>
      <c r="IA148" s="570">
        <v>21</v>
      </c>
      <c r="IB148" s="570">
        <v>405.64820244729327</v>
      </c>
      <c r="IC148" s="570">
        <v>264.80681871900003</v>
      </c>
      <c r="ID148" s="570">
        <v>8.3547106210000006</v>
      </c>
      <c r="IE148" s="570">
        <v>1.3308962450000001</v>
      </c>
      <c r="IF148" s="570">
        <v>-6.5698241639999999</v>
      </c>
      <c r="IG148" s="570">
        <v>-211.83028049530205</v>
      </c>
      <c r="IH148" s="570">
        <v>-305.23051474249331</v>
      </c>
      <c r="II148" s="570">
        <v>-100.38467463320011</v>
      </c>
      <c r="IJ148" s="570">
        <v>-165.72002725920012</v>
      </c>
      <c r="IK148" s="570">
        <v>-315.93935729730208</v>
      </c>
      <c r="IL148" s="570">
        <v>-409.33959154449337</v>
      </c>
      <c r="IM148" s="570">
        <v>317.68249848310194</v>
      </c>
      <c r="IN148" s="570">
        <v>70.219607388101949</v>
      </c>
      <c r="IO148" s="570">
        <v>103.67167996410197</v>
      </c>
      <c r="IP148" s="570">
        <v>-33.452072575999999</v>
      </c>
      <c r="IQ148" s="570">
        <v>0</v>
      </c>
      <c r="IR148" s="570">
        <v>247.462891095</v>
      </c>
      <c r="IS148" s="570">
        <v>94.350841087999996</v>
      </c>
      <c r="IT148" s="570">
        <v>153.11205000699999</v>
      </c>
      <c r="IU148" s="570">
        <v>-1.743141185799872</v>
      </c>
      <c r="IV148" s="93">
        <v>75</v>
      </c>
      <c r="IW148" s="848">
        <v>43344</v>
      </c>
      <c r="IX148" s="1035"/>
      <c r="IY148" s="1035">
        <v>498.427988094</v>
      </c>
      <c r="IZ148" s="1035">
        <v>564.54466985099998</v>
      </c>
      <c r="JA148" s="1035">
        <v>0.41814021599999995</v>
      </c>
      <c r="JB148" s="1035">
        <v>1328.0900000000001</v>
      </c>
      <c r="JC148" s="1035">
        <v>218.26807915500001</v>
      </c>
      <c r="JD148" s="1035">
        <v>2045.2042074650001</v>
      </c>
      <c r="JE148" s="1035">
        <v>1451.3511083190001</v>
      </c>
      <c r="JF148" s="1035">
        <v>3496.5553157840004</v>
      </c>
      <c r="JG148" s="1035"/>
      <c r="JH148" s="1035">
        <v>1246.5533834439998</v>
      </c>
      <c r="JI148" s="1035">
        <v>216.10138344399991</v>
      </c>
      <c r="JJ148" s="1035">
        <v>1030.4520000000002</v>
      </c>
      <c r="JK148" s="1035">
        <v>2683.7665308769997</v>
      </c>
      <c r="JL148" s="1035">
        <v>78.548184442000021</v>
      </c>
      <c r="JM148" s="1035">
        <v>-34.821815557999983</v>
      </c>
      <c r="JN148" s="1035">
        <v>113.37</v>
      </c>
      <c r="JO148" s="1035">
        <v>2605.2183464349996</v>
      </c>
      <c r="JP148" s="1035">
        <v>6.4483464350000013</v>
      </c>
      <c r="JQ148" s="1035">
        <v>2598.77</v>
      </c>
      <c r="JR148" s="1035">
        <v>578.66076109499932</v>
      </c>
      <c r="JS148" s="1035">
        <v>-144.89616255799993</v>
      </c>
      <c r="JT148" s="1036">
        <v>3496.555315784</v>
      </c>
      <c r="JU148" s="29">
        <v>75</v>
      </c>
      <c r="JV148" s="1037"/>
      <c r="JW148" s="1526">
        <f>VLOOKUP($IW148,Base_Mensuelle!$OF$68:$RM$679,HLOOKUP(JW$73,Base_Mensuelle!$PE$67:$QE$680,614,0))</f>
        <v>216.10138344399991</v>
      </c>
      <c r="JX148" s="1526">
        <f>VLOOKUP($IW148,Base_Mensuelle!$OF$68:$RM$679,HLOOKUP(JX$73,Base_Mensuelle!$PE$67:$QE$680,614,0))</f>
        <v>1198.022983655</v>
      </c>
      <c r="JY148" s="1526">
        <f>VLOOKUP($IW148,Base_Mensuelle!$OF$68:$RM$679,HLOOKUP(JY$73,Base_Mensuelle!$PE$67:$QE$680,614,0))</f>
        <v>981.92160021100005</v>
      </c>
      <c r="JZ148" s="1526">
        <f>VLOOKUP($IW148,Base_Mensuelle!$OF$68:$RM$679,HLOOKUP(JZ$73,Base_Mensuelle!$PE$67:$QE$680,614,0))</f>
        <v>569.04</v>
      </c>
      <c r="KA148" s="1526">
        <f>VLOOKUP($IW148,Base_Mensuelle!$OF$68:$RM$679,HLOOKUP(KA$73,Base_Mensuelle!$PE$67:$QE$680,614,0))</f>
        <v>-27.99813380099998</v>
      </c>
      <c r="KB148" s="1526">
        <f>VLOOKUP($IW148,Base_Mensuelle!$OF$68:$RM$679,HLOOKUP(KB$73,Base_Mensuelle!$PE$67:$QE$680,614,0))</f>
        <v>121.190524548</v>
      </c>
      <c r="KC148" s="1526">
        <f>VLOOKUP($IW148,Base_Mensuelle!$OF$68:$RM$679,HLOOKUP(KC$73,Base_Mensuelle!$PE$67:$QE$680,614,0))</f>
        <v>149.18865834899998</v>
      </c>
      <c r="KD148" s="1526">
        <f>VLOOKUP($IW148,Base_Mensuelle!$OF$68:$RM$679,HLOOKUP(KD$73,Base_Mensuelle!$PE$67:$QE$680,614,0))</f>
        <v>6.4483464350000013</v>
      </c>
      <c r="KE148" s="1526">
        <f>VLOOKUP($IW148,Base_Mensuelle!$OF$68:$RM$679,HLOOKUP(KE$73,Base_Mensuelle!$PE$67:$QE$680,614,0))</f>
        <v>2.1640000000000001</v>
      </c>
      <c r="KF148" s="1526">
        <f>VLOOKUP($IW148,Base_Mensuelle!$OF$68:$RM$679,HLOOKUP(KF$73,Base_Mensuelle!$PE$67:$QE$680,614,0))</f>
        <v>0</v>
      </c>
      <c r="KG148" s="1526">
        <f>VLOOKUP($IW148,Base_Mensuelle!$OF$68:$RM$679,HLOOKUP(KG$73,Base_Mensuelle!$PE$67:$QE$680,614,0))</f>
        <v>0</v>
      </c>
      <c r="KH148" s="1526">
        <f>VLOOKUP($IW148,Base_Mensuelle!$OF$68:$RM$679,HLOOKUP(KH$73,Base_Mensuelle!$PE$67:$QE$680,614,0))</f>
        <v>4.2843464350000007</v>
      </c>
      <c r="KI148" s="1526">
        <f>VLOOKUP($IW148,Base_Mensuelle!$OF$68:$RM$679,HLOOKUP(KI$73,Base_Mensuelle!$PE$67:$QE$680,614,0))</f>
        <v>751.65964767199989</v>
      </c>
      <c r="KJ148" s="1526">
        <f>VLOOKUP($IW148,Base_Mensuelle!$OF$68:$RM$679,HLOOKUP(KJ$73,Base_Mensuelle!$PE$67:$QE$680,614,0))</f>
        <v>564.54466985099998</v>
      </c>
      <c r="KK148" s="1526">
        <f>VLOOKUP($IW148,Base_Mensuelle!$OF$68:$RM$679,HLOOKUP(KK$73,Base_Mensuelle!$PE$67:$QE$680,614,0))</f>
        <v>186.36372928599999</v>
      </c>
      <c r="KL148" s="1526">
        <f>VLOOKUP($IW148,Base_Mensuelle!$OF$68:$RM$679,HLOOKUP(KL$73,Base_Mensuelle!$PE$67:$QE$680,614,0))</f>
        <v>0.751248535</v>
      </c>
      <c r="KM148" s="1526">
        <f>VLOOKUP($IW148,Base_Mensuelle!$OF$68:$RM$679,HLOOKUP(KM$73,Base_Mensuelle!$PE$67:$QE$680,614,0))</f>
        <v>0</v>
      </c>
      <c r="KN148" s="1526">
        <f>VLOOKUP($IW148,Base_Mensuelle!$OF$68:$RM$679,HLOOKUP(KN$73,Base_Mensuelle!$PE$67:$QE$680,614,0))</f>
        <v>0.42422653599999999</v>
      </c>
      <c r="KO148" s="1526">
        <f>VLOOKUP($IW148,Base_Mensuelle!$OF$68:$RM$679,HLOOKUP(KO$73,Base_Mensuelle!$PE$67:$QE$680,614,0))</f>
        <v>0</v>
      </c>
      <c r="KP148" s="1526">
        <f>VLOOKUP($IW148,Base_Mensuelle!$OF$68:$RM$679,HLOOKUP(KP$73,Base_Mensuelle!$PE$67:$QE$680,614,0))</f>
        <v>0</v>
      </c>
      <c r="KQ148" s="1526">
        <f>VLOOKUP($IW148,Base_Mensuelle!$OF$68:$RM$679,HLOOKUP(KQ$73,Base_Mensuelle!$PE$67:$QE$680,614,0))</f>
        <v>0.42422653599999999</v>
      </c>
      <c r="KR148" s="1526">
        <f>VLOOKUP($IW148,Base_Mensuelle!$OF$68:$RM$679,HLOOKUP(KR$73,Base_Mensuelle!$PE$67:$QE$680,614,0))</f>
        <v>0</v>
      </c>
      <c r="KS148" s="1526">
        <f>VLOOKUP($IW148,Base_Mensuelle!$OF$68:$RM$679,HLOOKUP(KS$73,Base_Mensuelle!$PE$67:$QE$680,614,0))</f>
        <v>0</v>
      </c>
      <c r="KT148" s="1526">
        <f>VLOOKUP($IW148,Base_Mensuelle!$OF$68:$RM$679,HLOOKUP(KT$73,Base_Mensuelle!$PE$67:$QE$680,614,0))</f>
        <v>0</v>
      </c>
      <c r="KU148" s="1526">
        <f>VLOOKUP($IW148,Base_Mensuelle!$OF$68:$RM$679,HLOOKUP(KU$73,Base_Mensuelle!$PE$67:$QE$680,614,0))</f>
        <v>12.738534559</v>
      </c>
      <c r="KV148" s="1526">
        <f>VLOOKUP($IW148,Base_Mensuelle!$OF$68:$RM$679,HLOOKUP(KV$73,Base_Mensuelle!$PE$67:$QE$680,614,0))</f>
        <v>-1.2308126889999857</v>
      </c>
      <c r="KW148" s="1036"/>
      <c r="KX148" s="29">
        <v>75</v>
      </c>
      <c r="KY148" s="1037"/>
      <c r="KZ148" s="182">
        <f>VLOOKUP($IW148,Base_Mensuelle!$OF$68:$RM$679,HLOOKUP(KZ$73,Base_Mensuelle!$QG$67:$RM$680,614,0))</f>
        <v>1030.4520000000002</v>
      </c>
      <c r="LA148" s="182">
        <f>VLOOKUP($IW148,Base_Mensuelle!$OF$68:$RM$679,HLOOKUP(LA$73,Base_Mensuelle!$QG$67:$RM$680,614,0))</f>
        <v>1457.9160000000002</v>
      </c>
      <c r="LB148" s="182">
        <f>VLOOKUP($IW148,Base_Mensuelle!$OF$68:$RM$679,HLOOKUP(LB$73,Base_Mensuelle!$QG$67:$RM$680,614,0))</f>
        <v>-427.464</v>
      </c>
      <c r="LC148" s="182">
        <f>VLOOKUP($IW148,Base_Mensuelle!$OF$68:$RM$679,HLOOKUP(LC$73,Base_Mensuelle!$QG$67:$RM$680,614,0))</f>
        <v>242.22399999999999</v>
      </c>
      <c r="LD148" s="182">
        <f>VLOOKUP($IW148,Base_Mensuelle!$OF$68:$RM$679,HLOOKUP(LD$73,Base_Mensuelle!$QG$67:$RM$680,614,0))</f>
        <v>59.292999999999999</v>
      </c>
      <c r="LE148" s="182">
        <f>VLOOKUP($IW148,Base_Mensuelle!$OF$68:$RM$679,HLOOKUP(LE$73,Base_Mensuelle!$QG$67:$RM$680,614,0))</f>
        <v>182.93099999999998</v>
      </c>
      <c r="LF148" s="182">
        <f>VLOOKUP($IW148,Base_Mensuelle!$OF$68:$RM$679,HLOOKUP(LF$73,Base_Mensuelle!$QG$67:$RM$680,614,0))</f>
        <v>0</v>
      </c>
      <c r="LG148" s="182">
        <f>VLOOKUP($IW148,Base_Mensuelle!$OF$68:$RM$679,HLOOKUP(LG$73,Base_Mensuelle!$QG$67:$RM$680,614,0))</f>
        <v>113.37</v>
      </c>
      <c r="LH148" s="182">
        <f>VLOOKUP($IW148,Base_Mensuelle!$OF$68:$RM$679,HLOOKUP(LH$73,Base_Mensuelle!$QG$67:$RM$680,614,0))</f>
        <v>459.27199999999999</v>
      </c>
      <c r="LI148" s="182">
        <f>VLOOKUP($IW148,Base_Mensuelle!$OF$68:$RM$679,HLOOKUP(LI$73,Base_Mensuelle!$QG$67:$RM$680,614,0))</f>
        <v>-345.90199999999999</v>
      </c>
      <c r="LJ148" s="182">
        <f>VLOOKUP($IW148,Base_Mensuelle!$OF$68:$RM$679,HLOOKUP(LJ$73,Base_Mensuelle!$QG$67:$RM$680,614,0))</f>
        <v>2598.77</v>
      </c>
      <c r="LK148" s="182">
        <f>VLOOKUP($IW148,Base_Mensuelle!$OF$68:$RM$679,HLOOKUP(LK$73,Base_Mensuelle!$QG$67:$RM$680,614,0))</f>
        <v>18.402999999999999</v>
      </c>
      <c r="LL148" s="182">
        <f>VLOOKUP($IW148,Base_Mensuelle!$OF$68:$RM$679,HLOOKUP(LL$73,Base_Mensuelle!$QG$67:$RM$680,614,0))</f>
        <v>0.31900000000000001</v>
      </c>
      <c r="LM148" s="182">
        <f>VLOOKUP($IW148,Base_Mensuelle!$OF$68:$RM$679,HLOOKUP(LM$73,Base_Mensuelle!$QG$67:$RM$680,614,0))</f>
        <v>165.93700000000001</v>
      </c>
      <c r="LN148" s="182">
        <f>VLOOKUP($IW148,Base_Mensuelle!$OF$68:$RM$679,HLOOKUP(LN$73,Base_Mensuelle!$QG$67:$RM$680,614,0))</f>
        <v>2414.1109999999999</v>
      </c>
      <c r="LO148" s="182">
        <f>VLOOKUP($IW148,Base_Mensuelle!$OF$68:$RM$679,HLOOKUP(LO$73,Base_Mensuelle!$QG$67:$RM$680,614,0))</f>
        <v>0</v>
      </c>
      <c r="LP148" s="182">
        <f>VLOOKUP($IW148,Base_Mensuelle!$OF$68:$RM$679,HLOOKUP(LP$73,Base_Mensuelle!$QG$67:$RM$680,614,0))</f>
        <v>521.601</v>
      </c>
      <c r="LQ148" s="182">
        <f>VLOOKUP($IW148,Base_Mensuelle!$OF$68:$RM$679,HLOOKUP(LQ$73,Base_Mensuelle!$QG$67:$RM$680,614,0))</f>
        <v>1328.0900000000001</v>
      </c>
      <c r="LR148" s="182">
        <f>VLOOKUP($IW148,Base_Mensuelle!$OF$68:$RM$679,HLOOKUP(LR$73,Base_Mensuelle!$QG$67:$RM$680,614,0))</f>
        <v>1451.018</v>
      </c>
      <c r="LS148" s="182">
        <f>VLOOKUP($IW148,Base_Mensuelle!$OF$68:$RM$679,HLOOKUP(LS$73,Base_Mensuelle!$QG$67:$RM$680,614,0))</f>
        <v>0</v>
      </c>
      <c r="LT148" s="182">
        <f>VLOOKUP($IW148,Base_Mensuelle!$OF$68:$RM$679,HLOOKUP(LT$73,Base_Mensuelle!$QG$67:$RM$680,614,0))</f>
        <v>113.69599999999998</v>
      </c>
      <c r="LU148" s="182">
        <f>VLOOKUP($IW148,Base_Mensuelle!$OF$68:$RM$679,HLOOKUP(LU$73,Base_Mensuelle!$QG$67:$RM$680,614,0))</f>
        <v>0</v>
      </c>
      <c r="LV148" s="182">
        <f>VLOOKUP($IW148,Base_Mensuelle!$OF$68:$RM$679,HLOOKUP(LV$73,Base_Mensuelle!$QG$67:$RM$680,614,0))</f>
        <v>20.198</v>
      </c>
      <c r="LW148" s="182">
        <f>VLOOKUP($IW148,Base_Mensuelle!$OF$68:$RM$679,HLOOKUP(LW$73,Base_Mensuelle!$QG$67:$RM$680,614,0))</f>
        <v>0</v>
      </c>
      <c r="LX148" s="182">
        <f>VLOOKUP($IW148,Base_Mensuelle!$OF$68:$RM$679,HLOOKUP(LX$73,Base_Mensuelle!$QG$67:$RM$680,614,0))</f>
        <v>0</v>
      </c>
      <c r="LY148" s="182">
        <f>VLOOKUP($IW148,Base_Mensuelle!$OF$68:$RM$679,HLOOKUP(LY$73,Base_Mensuelle!$QG$67:$RM$680,614,0))</f>
        <v>431.6039999999993</v>
      </c>
      <c r="LZ148" s="182">
        <f>VLOOKUP($IW148,Base_Mensuelle!$OF$68:$RM$679,HLOOKUP(LZ$73,Base_Mensuelle!$QG$67:$RM$680,614,0))</f>
        <v>118.60899999999998</v>
      </c>
      <c r="MA148" s="182">
        <f>VLOOKUP($IW148,Base_Mensuelle!$OF$68:$RM$679,HLOOKUP(MA$73,Base_Mensuelle!$QG$67:$RM$680,614,0))</f>
        <v>0</v>
      </c>
      <c r="MB148" s="182">
        <f>VLOOKUP($IW148,Base_Mensuelle!$OF$68:$RM$679,HLOOKUP(MB$73,Base_Mensuelle!$QG$67:$RM$680,614,0))</f>
        <v>0</v>
      </c>
      <c r="MC148" s="182">
        <f>VLOOKUP($IW148,Base_Mensuelle!$OF$68:$RM$679,HLOOKUP(MC$73,Base_Mensuelle!$QG$67:$RM$680,614,0))</f>
        <v>0</v>
      </c>
      <c r="MD148" s="182">
        <f>VLOOKUP($IW148,Base_Mensuelle!$OF$68:$RM$679,HLOOKUP(MD$73,Base_Mensuelle!$QG$67:$RM$680,614,0))</f>
        <v>0</v>
      </c>
      <c r="ME148" s="182">
        <f>VLOOKUP($IW148,Base_Mensuelle!$OF$68:$RM$679,HLOOKUP(ME$73,Base_Mensuelle!$QG$67:$RM$680,614,0))</f>
        <v>0</v>
      </c>
      <c r="MF148" s="182"/>
      <c r="MG148" s="182"/>
      <c r="MH148" s="290"/>
      <c r="MI148" s="29">
        <v>75</v>
      </c>
      <c r="MJ148" s="29" t="str">
        <f t="shared" si="88"/>
        <v>Trimestre 32018</v>
      </c>
      <c r="MK148" s="848">
        <v>43344</v>
      </c>
      <c r="ML148" s="1991">
        <v>161.62802658405877</v>
      </c>
      <c r="MM148" s="1991">
        <v>105.89018828088579</v>
      </c>
      <c r="MN148" s="1991">
        <v>100.18556733680083</v>
      </c>
      <c r="MO148" s="1991">
        <v>100.00000000000003</v>
      </c>
      <c r="MP148" s="1991">
        <v>161.62802658405877</v>
      </c>
      <c r="MQ148" s="1991">
        <v>105.6910093612989</v>
      </c>
      <c r="MR148" s="1991">
        <v>110.79999999999993</v>
      </c>
      <c r="MS148" s="1991">
        <v>100.66617710126165</v>
      </c>
      <c r="MT148" s="1991">
        <v>100.00000000000006</v>
      </c>
      <c r="MU148" s="1991">
        <v>100</v>
      </c>
      <c r="MV148" s="1991">
        <v>100.29950046728165</v>
      </c>
      <c r="MW148" s="1991">
        <v>100.00000000000003</v>
      </c>
      <c r="MX148" s="1991">
        <v>98.412698412698447</v>
      </c>
      <c r="MY148" s="1991">
        <v>100.00000000000011</v>
      </c>
      <c r="MZ148" s="1991">
        <v>100.16605741605122</v>
      </c>
      <c r="NA148" s="1991">
        <v>100.00000000000009</v>
      </c>
      <c r="NB148" s="1991">
        <v>98.829073543413912</v>
      </c>
      <c r="NC148" s="1991">
        <v>126.70878635248677</v>
      </c>
      <c r="ND148" s="1991">
        <v>93.326907796806125</v>
      </c>
      <c r="NE148" s="1991">
        <v>100.0000000000001</v>
      </c>
      <c r="NF148" s="1991">
        <v>100.00000000000007</v>
      </c>
      <c r="NG148" s="1991">
        <v>100.0000000000001</v>
      </c>
      <c r="NH148" s="1991">
        <v>100.00000000000007</v>
      </c>
      <c r="NI148" s="1991">
        <v>99.999999999999986</v>
      </c>
      <c r="NJ148" s="1991">
        <v>100</v>
      </c>
      <c r="NK148" s="1991">
        <v>104.24873485273743</v>
      </c>
      <c r="NL148" s="29">
        <v>75</v>
      </c>
    </row>
    <row r="149" spans="1:376">
      <c r="A149" s="41">
        <f t="shared" si="86"/>
        <v>2018</v>
      </c>
      <c r="B149" s="785">
        <v>43435</v>
      </c>
      <c r="C149" s="733">
        <v>248.04394908135083</v>
      </c>
      <c r="D149" s="1547">
        <v>296.663130990387</v>
      </c>
      <c r="E149" s="570">
        <v>138.60057025852996</v>
      </c>
      <c r="F149" s="1547">
        <v>42.576161327565877</v>
      </c>
      <c r="G149" s="1547">
        <v>0</v>
      </c>
      <c r="H149" s="1547">
        <v>59.675757249883809</v>
      </c>
      <c r="I149" s="570">
        <v>24.454380684911388</v>
      </c>
      <c r="J149" s="570">
        <v>145.52401217956526</v>
      </c>
      <c r="K149" s="570">
        <v>150.38779316986887</v>
      </c>
      <c r="L149" s="570">
        <v>262.6400919631206</v>
      </c>
      <c r="M149" s="734">
        <v>175.41586970470971</v>
      </c>
      <c r="N149" s="25">
        <v>76</v>
      </c>
      <c r="O149" s="889">
        <f t="shared" si="85"/>
        <v>2018</v>
      </c>
      <c r="P149" s="29" t="str">
        <f t="shared" si="87"/>
        <v>Trimestre 42018</v>
      </c>
      <c r="Q149" s="848">
        <v>43435</v>
      </c>
      <c r="R149" s="733">
        <v>13.27234346</v>
      </c>
      <c r="S149" s="570">
        <v>36.791069</v>
      </c>
      <c r="T149" s="570">
        <v>1015.2595</v>
      </c>
      <c r="U149" s="734">
        <v>19.757999999999999</v>
      </c>
      <c r="V149" s="25">
        <v>76</v>
      </c>
      <c r="W149" s="733">
        <v>3686</v>
      </c>
      <c r="X149" s="570">
        <v>11853</v>
      </c>
      <c r="Y149" s="570">
        <v>728.83645948232288</v>
      </c>
      <c r="Z149" s="570">
        <v>380.05473874670554</v>
      </c>
      <c r="AA149" s="570">
        <v>36.21425</v>
      </c>
      <c r="AB149" s="570">
        <v>78.468999999999994</v>
      </c>
      <c r="AC149" s="570">
        <v>706.81500000000005</v>
      </c>
      <c r="AD149" s="570">
        <v>230.360986</v>
      </c>
      <c r="AE149" s="734">
        <v>26.333945</v>
      </c>
      <c r="AF149" s="25">
        <v>76</v>
      </c>
      <c r="AG149" s="733">
        <v>-11.472906448131699</v>
      </c>
      <c r="AH149" s="570">
        <v>-4.5618021827569279</v>
      </c>
      <c r="AI149" s="570">
        <v>-10.897128852050113</v>
      </c>
      <c r="AJ149" s="570">
        <v>-9.5224918496798683</v>
      </c>
      <c r="AK149" s="570">
        <v>4.7561056392024081</v>
      </c>
      <c r="AL149" s="570">
        <v>11.379738659717102</v>
      </c>
      <c r="AM149" s="570">
        <v>10.225036154496074</v>
      </c>
      <c r="AN149" s="734">
        <v>8.4194690515023449</v>
      </c>
      <c r="AO149" s="733">
        <v>8.4482740471581437</v>
      </c>
      <c r="AP149" s="570">
        <v>5.9862520641476671</v>
      </c>
      <c r="AQ149" s="570">
        <v>12.367378127853193</v>
      </c>
      <c r="AR149" s="570">
        <v>-0.86279405591689073</v>
      </c>
      <c r="AS149" s="734">
        <v>-11.764705882352942</v>
      </c>
      <c r="AT149" s="733">
        <v>4.9961574154633803</v>
      </c>
      <c r="AU149" s="570">
        <v>0.30051418642999717</v>
      </c>
      <c r="AV149" s="734">
        <v>11.196256275694184</v>
      </c>
      <c r="AW149" s="733">
        <v>0.9069087264819693</v>
      </c>
      <c r="AX149" s="570">
        <v>28.796843787784539</v>
      </c>
      <c r="AY149" s="570">
        <v>33.511277938506915</v>
      </c>
      <c r="AZ149" s="570">
        <v>6.538638187532694</v>
      </c>
      <c r="BA149" s="570">
        <v>0.62594800671651596</v>
      </c>
      <c r="BB149" s="570">
        <v>1.8282314708714544</v>
      </c>
      <c r="BC149" s="734">
        <v>2.9411764705882373</v>
      </c>
      <c r="BD149" s="733">
        <v>-74.280978328007109</v>
      </c>
      <c r="BE149" s="570">
        <v>-61.963807864572217</v>
      </c>
      <c r="BF149" s="570">
        <v>-5.9870363435640686</v>
      </c>
      <c r="BG149" s="570">
        <v>-28.794923997074171</v>
      </c>
      <c r="BH149" s="570">
        <v>-7.1618410772469048</v>
      </c>
      <c r="BI149" s="570">
        <v>19.501476956776234</v>
      </c>
      <c r="BJ149" s="570">
        <v>18.807424866564887</v>
      </c>
      <c r="BK149" s="734">
        <v>19.496202434958921</v>
      </c>
      <c r="BL149" s="733">
        <v>62.193779174279655</v>
      </c>
      <c r="BM149" s="570">
        <v>51.457823920436184</v>
      </c>
      <c r="BN149" s="570">
        <v>44.802864020523884</v>
      </c>
      <c r="BO149" s="570">
        <v>-6.7534072983573843</v>
      </c>
      <c r="BP149" s="570">
        <v>-6.25</v>
      </c>
      <c r="BQ149" s="734">
        <v>-12.5</v>
      </c>
      <c r="BR149" s="733">
        <v>2.3626624419070463</v>
      </c>
      <c r="BS149" s="570">
        <v>3.6123699846142152</v>
      </c>
      <c r="BT149" s="570">
        <v>29.263313769643354</v>
      </c>
      <c r="BU149" s="734">
        <v>-34.884954607977846</v>
      </c>
      <c r="BV149" s="733">
        <v>62.082069855553875</v>
      </c>
      <c r="BW149" s="570">
        <v>76.915535259334533</v>
      </c>
      <c r="BX149" s="570">
        <v>34.549482970735447</v>
      </c>
      <c r="BY149" s="570">
        <v>4.954798763729606</v>
      </c>
      <c r="BZ149" s="570">
        <v>-26.850747905937936</v>
      </c>
      <c r="CA149" s="93">
        <v>-6.25</v>
      </c>
      <c r="CB149" s="20">
        <v>-6.25</v>
      </c>
      <c r="CC149" s="25">
        <v>76</v>
      </c>
      <c r="CD149" s="181">
        <v>76760</v>
      </c>
      <c r="CE149" s="182">
        <v>19339109</v>
      </c>
      <c r="CF149" s="290">
        <v>5922725</v>
      </c>
      <c r="CG149" s="25">
        <v>76</v>
      </c>
      <c r="CH149" s="19">
        <v>22548</v>
      </c>
      <c r="CI149" s="93">
        <v>13736</v>
      </c>
      <c r="CJ149" s="93">
        <v>2563</v>
      </c>
      <c r="CK149" s="93">
        <v>10076</v>
      </c>
      <c r="CL149" s="93">
        <v>5565</v>
      </c>
      <c r="CM149" s="93">
        <v>525</v>
      </c>
      <c r="CN149" s="93">
        <v>1808</v>
      </c>
      <c r="CO149" s="93">
        <v>2134</v>
      </c>
      <c r="CP149" s="93">
        <v>900</v>
      </c>
      <c r="CQ149" s="93">
        <v>1215</v>
      </c>
      <c r="CR149" s="214">
        <v>105278</v>
      </c>
      <c r="CS149" s="20">
        <v>143959</v>
      </c>
      <c r="CT149" s="25">
        <v>76</v>
      </c>
      <c r="CU149" s="19">
        <v>21186</v>
      </c>
      <c r="CV149" s="93">
        <v>94501</v>
      </c>
      <c r="CW149" s="93">
        <v>16349</v>
      </c>
      <c r="CX149" s="93">
        <v>752</v>
      </c>
      <c r="CY149" s="93">
        <v>993</v>
      </c>
      <c r="CZ149" s="93">
        <v>157</v>
      </c>
      <c r="DA149" s="93">
        <v>10021</v>
      </c>
      <c r="DB149" s="20">
        <v>143959</v>
      </c>
      <c r="DC149" s="25">
        <v>76</v>
      </c>
      <c r="DD149" s="785">
        <v>43435</v>
      </c>
      <c r="DE149" s="19">
        <v>442.57047935554999</v>
      </c>
      <c r="DF149" s="20">
        <v>259.89633700000002</v>
      </c>
      <c r="DG149" s="25">
        <v>76</v>
      </c>
      <c r="DH149" s="19">
        <v>665.01257364836999</v>
      </c>
      <c r="DI149" s="20">
        <v>1722.5806090000001</v>
      </c>
      <c r="DJ149" s="25">
        <v>76</v>
      </c>
      <c r="DK149" s="19">
        <v>442.57047935554999</v>
      </c>
      <c r="DL149" s="20">
        <v>665.01257364836999</v>
      </c>
      <c r="DM149" s="19">
        <v>-222.44209429282</v>
      </c>
      <c r="DN149" s="20">
        <v>66.550693459453626</v>
      </c>
      <c r="DO149" s="25">
        <v>76</v>
      </c>
      <c r="DP149" s="19">
        <v>242.51455149850938</v>
      </c>
      <c r="DQ149" s="93">
        <v>288.73501092453444</v>
      </c>
      <c r="DR149" s="20">
        <v>700.22441676280687</v>
      </c>
      <c r="DS149" s="25">
        <v>76</v>
      </c>
      <c r="DT149" s="19">
        <v>88.373630232350564</v>
      </c>
      <c r="DU149" s="93">
        <v>93.892279894010656</v>
      </c>
      <c r="DV149" s="20">
        <v>82.976016250256677</v>
      </c>
      <c r="DW149" s="25">
        <v>76</v>
      </c>
      <c r="DX149" s="19">
        <v>274.41958745034458</v>
      </c>
      <c r="DY149" s="20">
        <v>60.259498372368739</v>
      </c>
      <c r="DZ149" s="25">
        <v>76</v>
      </c>
      <c r="EA149" s="19">
        <v>311.44609477</v>
      </c>
      <c r="EB149" s="93">
        <v>21.631711341999999</v>
      </c>
      <c r="EC149" s="93">
        <v>28.362362473040001</v>
      </c>
      <c r="ED149" s="93">
        <v>11.345833653</v>
      </c>
      <c r="EE149" s="20">
        <v>3.4706667435100003</v>
      </c>
      <c r="EF149" s="25">
        <v>76</v>
      </c>
      <c r="EG149" s="19">
        <v>144.76970671848002</v>
      </c>
      <c r="EH149" s="93">
        <v>4.7093955669999996</v>
      </c>
      <c r="EI149" s="93">
        <v>14.509065436</v>
      </c>
      <c r="EJ149" s="93">
        <v>28.289231297999997</v>
      </c>
      <c r="EK149" s="20">
        <v>5.4221880570000005</v>
      </c>
      <c r="EL149" s="25">
        <v>76</v>
      </c>
      <c r="EM149" s="733">
        <v>217.055105607</v>
      </c>
      <c r="EN149" s="570">
        <v>10.075431320040002</v>
      </c>
      <c r="EO149" s="570">
        <v>32.532266890999999</v>
      </c>
      <c r="EP149" s="570">
        <v>0.113693604</v>
      </c>
      <c r="EQ149" s="570">
        <v>27.185424527999999</v>
      </c>
      <c r="ER149" s="570">
        <v>9.178343216</v>
      </c>
      <c r="ES149" s="570">
        <v>1.6877206600000001</v>
      </c>
      <c r="ET149" s="570">
        <v>13.379165295</v>
      </c>
      <c r="EU149" s="570">
        <v>0.81830388099999996</v>
      </c>
      <c r="EV149" s="734">
        <v>2.8959266769999998</v>
      </c>
      <c r="EW149" s="25">
        <v>76</v>
      </c>
      <c r="EX149" s="918">
        <v>79.182656811149997</v>
      </c>
      <c r="EY149" s="919">
        <v>28.599071029139999</v>
      </c>
      <c r="EZ149" s="919">
        <v>53.806020649040001</v>
      </c>
      <c r="FA149" s="919">
        <v>0.24048883099999999</v>
      </c>
      <c r="FB149" s="919">
        <v>79.458201240329998</v>
      </c>
      <c r="FC149" s="919">
        <v>36.708533246569999</v>
      </c>
      <c r="FD149" s="919">
        <v>3.8541004467600004</v>
      </c>
      <c r="FE149" s="919">
        <v>32.83840209804</v>
      </c>
      <c r="FF149" s="919">
        <v>14.755221121649999</v>
      </c>
      <c r="FG149" s="920">
        <v>36.164850610359998</v>
      </c>
      <c r="FH149" s="25">
        <v>76</v>
      </c>
      <c r="FI149" s="848">
        <v>43435</v>
      </c>
      <c r="FJ149" s="19">
        <v>2017</v>
      </c>
      <c r="FK149" s="93">
        <v>1306</v>
      </c>
      <c r="FL149" s="20">
        <v>0</v>
      </c>
      <c r="FM149" s="25">
        <v>76</v>
      </c>
      <c r="FN149" s="19">
        <v>142</v>
      </c>
      <c r="FO149" s="93">
        <v>1041</v>
      </c>
      <c r="FP149" s="93">
        <v>1311</v>
      </c>
      <c r="FQ149" s="93">
        <v>591</v>
      </c>
      <c r="FR149" s="93">
        <v>161</v>
      </c>
      <c r="FS149" s="93">
        <v>51</v>
      </c>
      <c r="FT149" s="93">
        <v>14</v>
      </c>
      <c r="FU149" s="93">
        <v>11</v>
      </c>
      <c r="FV149" s="93">
        <v>1</v>
      </c>
      <c r="FW149" s="917">
        <v>0</v>
      </c>
      <c r="FX149" s="25">
        <v>76</v>
      </c>
      <c r="FY149" s="975">
        <v>6</v>
      </c>
      <c r="FZ149" s="975">
        <v>153</v>
      </c>
      <c r="GA149" s="975">
        <v>357</v>
      </c>
      <c r="GB149" s="975">
        <v>78</v>
      </c>
      <c r="GC149" s="975">
        <v>552</v>
      </c>
      <c r="GD149" s="975">
        <v>301</v>
      </c>
      <c r="GE149" s="975">
        <v>1091</v>
      </c>
      <c r="GF149" s="975">
        <v>144</v>
      </c>
      <c r="GG149" s="975">
        <v>13</v>
      </c>
      <c r="GH149" s="975">
        <v>568</v>
      </c>
      <c r="GI149" s="976">
        <v>60</v>
      </c>
      <c r="GJ149" s="25">
        <v>76</v>
      </c>
      <c r="GK149" s="19"/>
      <c r="GL149" s="20"/>
      <c r="GM149" s="25">
        <v>76</v>
      </c>
      <c r="GN149" s="19">
        <v>5429</v>
      </c>
      <c r="GO149" s="20">
        <v>1930</v>
      </c>
      <c r="GP149" s="25">
        <v>76</v>
      </c>
      <c r="GQ149" s="19"/>
      <c r="GR149" s="20"/>
      <c r="GS149" s="25">
        <v>76</v>
      </c>
      <c r="GT149" s="848">
        <v>43435</v>
      </c>
      <c r="GU149" s="733">
        <v>1745.9521593177492</v>
      </c>
      <c r="GV149" s="570">
        <v>1530.8611227107997</v>
      </c>
      <c r="GW149" s="570">
        <v>1530.8611227107997</v>
      </c>
      <c r="GX149" s="570">
        <v>1354.2650551408001</v>
      </c>
      <c r="GY149" s="570">
        <v>375.28198885848468</v>
      </c>
      <c r="GZ149" s="570">
        <v>12.42648187717022</v>
      </c>
      <c r="HA149" s="570">
        <v>7.8051295696380816</v>
      </c>
      <c r="HB149" s="570">
        <v>744.88504396495375</v>
      </c>
      <c r="HC149" s="570">
        <v>202.46770272799998</v>
      </c>
      <c r="HD149" s="570">
        <v>11.39870814255316</v>
      </c>
      <c r="HE149" s="570">
        <v>176.59606757</v>
      </c>
      <c r="HF149" s="570">
        <v>6.5550918400000002</v>
      </c>
      <c r="HG149" s="570">
        <v>29.962953691999999</v>
      </c>
      <c r="HH149" s="570">
        <v>2.6228765750000003</v>
      </c>
      <c r="HI149" s="570">
        <v>39.012587489000005</v>
      </c>
      <c r="HJ149" s="570">
        <v>98.44255797400001</v>
      </c>
      <c r="HK149" s="570">
        <v>0</v>
      </c>
      <c r="HL149" s="570">
        <v>215.09103660694905</v>
      </c>
      <c r="HM149" s="570">
        <v>122.39013551694907</v>
      </c>
      <c r="HN149" s="570">
        <v>92.700901090000002</v>
      </c>
      <c r="HO149" s="570">
        <v>2127.6062039299482</v>
      </c>
      <c r="HP149" s="570">
        <v>2137.7049808939482</v>
      </c>
      <c r="HQ149" s="570">
        <v>1383.3640960260827</v>
      </c>
      <c r="HR149" s="570">
        <v>705.10688247100006</v>
      </c>
      <c r="HS149" s="570">
        <v>196.22458875500001</v>
      </c>
      <c r="HT149" s="570">
        <v>97.240452243082629</v>
      </c>
      <c r="HU149" s="570">
        <v>74.138343724082631</v>
      </c>
      <c r="HV149" s="570">
        <v>23.102108519000002</v>
      </c>
      <c r="HW149" s="570">
        <v>384.79217255700001</v>
      </c>
      <c r="HX149" s="570">
        <v>0</v>
      </c>
      <c r="HY149" s="570">
        <v>104.39866901800001</v>
      </c>
      <c r="HZ149" s="570">
        <v>0</v>
      </c>
      <c r="IA149" s="570">
        <v>51</v>
      </c>
      <c r="IB149" s="570">
        <v>754.34088486786561</v>
      </c>
      <c r="IC149" s="570">
        <v>446.95107002200007</v>
      </c>
      <c r="ID149" s="570">
        <v>10</v>
      </c>
      <c r="IE149" s="570">
        <v>82.230896245000011</v>
      </c>
      <c r="IF149" s="570">
        <v>-10.098776963999997</v>
      </c>
      <c r="IG149" s="570">
        <v>-381.65404461219924</v>
      </c>
      <c r="IH149" s="570">
        <v>-596.74508121914823</v>
      </c>
      <c r="II149" s="570">
        <v>-274.34571037520016</v>
      </c>
      <c r="IJ149" s="570">
        <v>-371.58616261828274</v>
      </c>
      <c r="IK149" s="570">
        <v>-478.30181671119942</v>
      </c>
      <c r="IL149" s="570">
        <v>-693.39285331814847</v>
      </c>
      <c r="IM149" s="570">
        <v>470.48018011597151</v>
      </c>
      <c r="IN149" s="570">
        <v>75.891089166916487</v>
      </c>
      <c r="IO149" s="570">
        <v>130.97493408391651</v>
      </c>
      <c r="IP149" s="570">
        <v>-55.083844917</v>
      </c>
      <c r="IQ149" s="570">
        <v>0</v>
      </c>
      <c r="IR149" s="570">
        <v>394.58909094905499</v>
      </c>
      <c r="IS149" s="570">
        <v>142.32193750300002</v>
      </c>
      <c r="IT149" s="570">
        <v>252.267153446055</v>
      </c>
      <c r="IU149" s="570">
        <v>7.8216365952279023</v>
      </c>
      <c r="IV149" s="93">
        <v>76</v>
      </c>
      <c r="IW149" s="848">
        <v>43435</v>
      </c>
      <c r="IX149" s="1035"/>
      <c r="IY149" s="1035">
        <v>577.81096395400016</v>
      </c>
      <c r="IZ149" s="1035">
        <v>665.86361347800005</v>
      </c>
      <c r="JA149" s="1035">
        <v>0.37287757199999999</v>
      </c>
      <c r="JB149" s="1035">
        <v>1486.229</v>
      </c>
      <c r="JC149" s="1035">
        <v>224.36601649000002</v>
      </c>
      <c r="JD149" s="1035">
        <v>2288.7788580160004</v>
      </c>
      <c r="JE149" s="1035">
        <v>1429.4871083190001</v>
      </c>
      <c r="JF149" s="1035">
        <v>3718.2659663350005</v>
      </c>
      <c r="JG149" s="1035"/>
      <c r="JH149" s="1035">
        <v>1443.5011101120001</v>
      </c>
      <c r="JI149" s="1035">
        <v>310.50211011199997</v>
      </c>
      <c r="JJ149" s="1035">
        <v>1132.999</v>
      </c>
      <c r="JK149" s="1035">
        <v>2721.8996238999998</v>
      </c>
      <c r="JL149" s="1035">
        <v>57.226900240000049</v>
      </c>
      <c r="JM149" s="1035">
        <v>-66.737099760000007</v>
      </c>
      <c r="JN149" s="1035">
        <v>123.96400000000006</v>
      </c>
      <c r="JO149" s="1035">
        <v>2664.67272366</v>
      </c>
      <c r="JP149" s="1035">
        <v>5.6977236600000003</v>
      </c>
      <c r="JQ149" s="1035">
        <v>2658.9750000000004</v>
      </c>
      <c r="JR149" s="1035">
        <v>630.06899696300002</v>
      </c>
      <c r="JS149" s="1035">
        <v>-182.93422928600012</v>
      </c>
      <c r="JT149" s="1036">
        <v>3718.2659663349996</v>
      </c>
      <c r="JU149" s="29">
        <v>76</v>
      </c>
      <c r="JV149" s="1037"/>
      <c r="JW149" s="1526">
        <f>VLOOKUP($IW149,Base_Mensuelle!$OF$68:$RM$679,HLOOKUP(JW$73,Base_Mensuelle!$PE$67:$QE$680,614,0))</f>
        <v>310.50211011199997</v>
      </c>
      <c r="JX149" s="1526">
        <f>VLOOKUP($IW149,Base_Mensuelle!$OF$68:$RM$679,HLOOKUP(JX$73,Base_Mensuelle!$PE$67:$QE$680,614,0))</f>
        <v>929.51227112599997</v>
      </c>
      <c r="JY149" s="1526">
        <f>VLOOKUP($IW149,Base_Mensuelle!$OF$68:$RM$679,HLOOKUP(JY$73,Base_Mensuelle!$PE$67:$QE$680,614,0))</f>
        <v>619.010161014</v>
      </c>
      <c r="JZ149" s="1526">
        <f>VLOOKUP($IW149,Base_Mensuelle!$OF$68:$RM$679,HLOOKUP(JZ$73,Base_Mensuelle!$PE$67:$QE$680,614,0))</f>
        <v>645.72031100000004</v>
      </c>
      <c r="KA149" s="1526">
        <f>VLOOKUP($IW149,Base_Mensuelle!$OF$68:$RM$679,HLOOKUP(KA$73,Base_Mensuelle!$PE$67:$QE$680,614,0))</f>
        <v>-57.326450235999999</v>
      </c>
      <c r="KB149" s="1526">
        <f>VLOOKUP($IW149,Base_Mensuelle!$OF$68:$RM$679,HLOOKUP(KB$73,Base_Mensuelle!$PE$67:$QE$680,614,0))</f>
        <v>111.467534903</v>
      </c>
      <c r="KC149" s="1526">
        <f>VLOOKUP($IW149,Base_Mensuelle!$OF$68:$RM$679,HLOOKUP(KC$73,Base_Mensuelle!$PE$67:$QE$680,614,0))</f>
        <v>168.793985139</v>
      </c>
      <c r="KD149" s="1526">
        <f>VLOOKUP($IW149,Base_Mensuelle!$OF$68:$RM$679,HLOOKUP(KD$73,Base_Mensuelle!$PE$67:$QE$680,614,0))</f>
        <v>5.6977236600000003</v>
      </c>
      <c r="KE149" s="1526">
        <f>VLOOKUP($IW149,Base_Mensuelle!$OF$68:$RM$679,HLOOKUP(KE$73,Base_Mensuelle!$PE$67:$QE$680,614,0))</f>
        <v>1.671</v>
      </c>
      <c r="KF149" s="1526">
        <f>VLOOKUP($IW149,Base_Mensuelle!$OF$68:$RM$679,HLOOKUP(KF$73,Base_Mensuelle!$PE$67:$QE$680,614,0))</f>
        <v>0</v>
      </c>
      <c r="KG149" s="1526">
        <f>VLOOKUP($IW149,Base_Mensuelle!$OF$68:$RM$679,HLOOKUP(KG$73,Base_Mensuelle!$PE$67:$QE$680,614,0))</f>
        <v>0</v>
      </c>
      <c r="KH149" s="1526">
        <f>VLOOKUP($IW149,Base_Mensuelle!$OF$68:$RM$679,HLOOKUP(KH$73,Base_Mensuelle!$PE$67:$QE$680,614,0))</f>
        <v>4.02672366</v>
      </c>
      <c r="KI149" s="1526">
        <f>VLOOKUP($IW149,Base_Mensuelle!$OF$68:$RM$679,HLOOKUP(KI$73,Base_Mensuelle!$PE$67:$QE$680,614,0))</f>
        <v>869.05638110799998</v>
      </c>
      <c r="KJ149" s="1526">
        <f>VLOOKUP($IW149,Base_Mensuelle!$OF$68:$RM$679,HLOOKUP(KJ$73,Base_Mensuelle!$PE$67:$QE$680,614,0))</f>
        <v>665.86361347800005</v>
      </c>
      <c r="KK149" s="1526">
        <f>VLOOKUP($IW149,Base_Mensuelle!$OF$68:$RM$679,HLOOKUP(KK$73,Base_Mensuelle!$PE$67:$QE$680,614,0))</f>
        <v>202.48678173900001</v>
      </c>
      <c r="KL149" s="1526">
        <f>VLOOKUP($IW149,Base_Mensuelle!$OF$68:$RM$679,HLOOKUP(KL$73,Base_Mensuelle!$PE$67:$QE$680,614,0))</f>
        <v>0.70598589099999998</v>
      </c>
      <c r="KM149" s="1526">
        <f>VLOOKUP($IW149,Base_Mensuelle!$OF$68:$RM$679,HLOOKUP(KM$73,Base_Mensuelle!$PE$67:$QE$680,614,0))</f>
        <v>0</v>
      </c>
      <c r="KN149" s="1526">
        <f>VLOOKUP($IW149,Base_Mensuelle!$OF$68:$RM$679,HLOOKUP(KN$73,Base_Mensuelle!$PE$67:$QE$680,614,0))</f>
        <v>0.35860645899999999</v>
      </c>
      <c r="KO149" s="1526">
        <f>VLOOKUP($IW149,Base_Mensuelle!$OF$68:$RM$679,HLOOKUP(KO$73,Base_Mensuelle!$PE$67:$QE$680,614,0))</f>
        <v>0</v>
      </c>
      <c r="KP149" s="1526">
        <f>VLOOKUP($IW149,Base_Mensuelle!$OF$68:$RM$679,HLOOKUP(KP$73,Base_Mensuelle!$PE$67:$QE$680,614,0))</f>
        <v>0</v>
      </c>
      <c r="KQ149" s="1526">
        <f>VLOOKUP($IW149,Base_Mensuelle!$OF$68:$RM$679,HLOOKUP(KQ$73,Base_Mensuelle!$PE$67:$QE$680,614,0))</f>
        <v>0.35860645899999999</v>
      </c>
      <c r="KR149" s="1526">
        <f>VLOOKUP($IW149,Base_Mensuelle!$OF$68:$RM$679,HLOOKUP(KR$73,Base_Mensuelle!$PE$67:$QE$680,614,0))</f>
        <v>0</v>
      </c>
      <c r="KS149" s="1526">
        <f>VLOOKUP($IW149,Base_Mensuelle!$OF$68:$RM$679,HLOOKUP(KS$73,Base_Mensuelle!$PE$67:$QE$680,614,0))</f>
        <v>0</v>
      </c>
      <c r="KT149" s="1526">
        <f>VLOOKUP($IW149,Base_Mensuelle!$OF$68:$RM$679,HLOOKUP(KT$73,Base_Mensuelle!$PE$67:$QE$680,614,0))</f>
        <v>0</v>
      </c>
      <c r="KU149" s="1526">
        <f>VLOOKUP($IW149,Base_Mensuelle!$OF$68:$RM$679,HLOOKUP(KU$73,Base_Mensuelle!$PE$67:$QE$680,614,0))</f>
        <v>16.510390504</v>
      </c>
      <c r="KV149" s="1526">
        <f>VLOOKUP($IW149,Base_Mensuelle!$OF$68:$RM$679,HLOOKUP(KV$73,Base_Mensuelle!$PE$67:$QE$680,614,0))</f>
        <v>18.668316465000014</v>
      </c>
      <c r="KW149" s="1036"/>
      <c r="KX149" s="29">
        <v>76</v>
      </c>
      <c r="KY149" s="1037"/>
      <c r="KZ149" s="182">
        <f>VLOOKUP($IW149,Base_Mensuelle!$OF$68:$RM$679,HLOOKUP(KZ$73,Base_Mensuelle!$QG$67:$RM$680,614,0))</f>
        <v>1132.999</v>
      </c>
      <c r="LA149" s="182">
        <f>VLOOKUP($IW149,Base_Mensuelle!$OF$68:$RM$679,HLOOKUP(LA$73,Base_Mensuelle!$QG$67:$RM$680,614,0))</f>
        <v>1604.192</v>
      </c>
      <c r="LB149" s="182">
        <f>VLOOKUP($IW149,Base_Mensuelle!$OF$68:$RM$679,HLOOKUP(LB$73,Base_Mensuelle!$QG$67:$RM$680,614,0))</f>
        <v>-471.19300000000004</v>
      </c>
      <c r="LC149" s="182">
        <f>VLOOKUP($IW149,Base_Mensuelle!$OF$68:$RM$679,HLOOKUP(LC$73,Base_Mensuelle!$QG$67:$RM$680,614,0))</f>
        <v>245.18799999999999</v>
      </c>
      <c r="LD149" s="182">
        <f>VLOOKUP($IW149,Base_Mensuelle!$OF$68:$RM$679,HLOOKUP(LD$73,Base_Mensuelle!$QG$67:$RM$680,614,0))</f>
        <v>78.641999999999996</v>
      </c>
      <c r="LE149" s="182">
        <f>VLOOKUP($IW149,Base_Mensuelle!$OF$68:$RM$679,HLOOKUP(LE$73,Base_Mensuelle!$QG$67:$RM$680,614,0))</f>
        <v>166.54599999999999</v>
      </c>
      <c r="LF149" s="182">
        <f>VLOOKUP($IW149,Base_Mensuelle!$OF$68:$RM$679,HLOOKUP(LF$73,Base_Mensuelle!$QG$67:$RM$680,614,0))</f>
        <v>0</v>
      </c>
      <c r="LG149" s="182">
        <f>VLOOKUP($IW149,Base_Mensuelle!$OF$68:$RM$679,HLOOKUP(LG$73,Base_Mensuelle!$QG$67:$RM$680,614,0))</f>
        <v>123.96400000000006</v>
      </c>
      <c r="LH149" s="182">
        <f>VLOOKUP($IW149,Base_Mensuelle!$OF$68:$RM$679,HLOOKUP(LH$73,Base_Mensuelle!$QG$67:$RM$680,614,0))</f>
        <v>464.274</v>
      </c>
      <c r="LI149" s="182">
        <f>VLOOKUP($IW149,Base_Mensuelle!$OF$68:$RM$679,HLOOKUP(LI$73,Base_Mensuelle!$QG$67:$RM$680,614,0))</f>
        <v>-340.30999999999995</v>
      </c>
      <c r="LJ149" s="182">
        <f>VLOOKUP($IW149,Base_Mensuelle!$OF$68:$RM$679,HLOOKUP(LJ$73,Base_Mensuelle!$QG$67:$RM$680,614,0))</f>
        <v>2658.9750000000004</v>
      </c>
      <c r="LK149" s="182">
        <f>VLOOKUP($IW149,Base_Mensuelle!$OF$68:$RM$679,HLOOKUP(LK$73,Base_Mensuelle!$QG$67:$RM$680,614,0))</f>
        <v>13.327999999999999</v>
      </c>
      <c r="LL149" s="182">
        <f>VLOOKUP($IW149,Base_Mensuelle!$OF$68:$RM$679,HLOOKUP(LL$73,Base_Mensuelle!$QG$67:$RM$680,614,0))</f>
        <v>1.0409999999999999</v>
      </c>
      <c r="LM149" s="182">
        <f>VLOOKUP($IW149,Base_Mensuelle!$OF$68:$RM$679,HLOOKUP(LM$73,Base_Mensuelle!$QG$67:$RM$680,614,0))</f>
        <v>252.37700000000001</v>
      </c>
      <c r="LN149" s="182">
        <f>VLOOKUP($IW149,Base_Mensuelle!$OF$68:$RM$679,HLOOKUP(LN$73,Base_Mensuelle!$QG$67:$RM$680,614,0))</f>
        <v>2392.2290000000003</v>
      </c>
      <c r="LO149" s="182">
        <f>VLOOKUP($IW149,Base_Mensuelle!$OF$68:$RM$679,HLOOKUP(LO$73,Base_Mensuelle!$QG$67:$RM$680,614,0))</f>
        <v>0</v>
      </c>
      <c r="LP149" s="182">
        <f>VLOOKUP($IW149,Base_Mensuelle!$OF$68:$RM$679,HLOOKUP(LP$73,Base_Mensuelle!$QG$67:$RM$680,614,0))</f>
        <v>548.62599999999998</v>
      </c>
      <c r="LQ149" s="182">
        <f>VLOOKUP($IW149,Base_Mensuelle!$OF$68:$RM$679,HLOOKUP(LQ$73,Base_Mensuelle!$QG$67:$RM$680,614,0))</f>
        <v>1486.2289999999998</v>
      </c>
      <c r="LR149" s="182">
        <f>VLOOKUP($IW149,Base_Mensuelle!$OF$68:$RM$679,HLOOKUP(LR$73,Base_Mensuelle!$QG$67:$RM$680,614,0))</f>
        <v>1429.154</v>
      </c>
      <c r="LS149" s="182">
        <f>VLOOKUP($IW149,Base_Mensuelle!$OF$68:$RM$679,HLOOKUP(LS$73,Base_Mensuelle!$QG$67:$RM$680,614,0))</f>
        <v>0</v>
      </c>
      <c r="LT149" s="182">
        <f>VLOOKUP($IW149,Base_Mensuelle!$OF$68:$RM$679,HLOOKUP(LT$73,Base_Mensuelle!$QG$67:$RM$680,614,0))</f>
        <v>133.72199999999998</v>
      </c>
      <c r="LU149" s="182">
        <f>VLOOKUP($IW149,Base_Mensuelle!$OF$68:$RM$679,HLOOKUP(LU$73,Base_Mensuelle!$QG$67:$RM$680,614,0))</f>
        <v>0</v>
      </c>
      <c r="LV149" s="182">
        <f>VLOOKUP($IW149,Base_Mensuelle!$OF$68:$RM$679,HLOOKUP(LV$73,Base_Mensuelle!$QG$67:$RM$680,614,0))</f>
        <v>25.045000000000002</v>
      </c>
      <c r="LW149" s="182">
        <f>VLOOKUP($IW149,Base_Mensuelle!$OF$68:$RM$679,HLOOKUP(LW$73,Base_Mensuelle!$QG$67:$RM$680,614,0))</f>
        <v>0</v>
      </c>
      <c r="LX149" s="182">
        <f>VLOOKUP($IW149,Base_Mensuelle!$OF$68:$RM$679,HLOOKUP(LX$73,Base_Mensuelle!$QG$67:$RM$680,614,0))</f>
        <v>0</v>
      </c>
      <c r="LY149" s="182">
        <f>VLOOKUP($IW149,Base_Mensuelle!$OF$68:$RM$679,HLOOKUP(LY$73,Base_Mensuelle!$QG$67:$RM$680,614,0))</f>
        <v>454.43300000000005</v>
      </c>
      <c r="LZ149" s="182">
        <f>VLOOKUP($IW149,Base_Mensuelle!$OF$68:$RM$679,HLOOKUP(LZ$73,Base_Mensuelle!$QG$67:$RM$680,614,0))</f>
        <v>83.91700000000003</v>
      </c>
      <c r="MA149" s="182">
        <f>VLOOKUP($IW149,Base_Mensuelle!$OF$68:$RM$679,HLOOKUP(MA$73,Base_Mensuelle!$QG$67:$RM$680,614,0))</f>
        <v>0</v>
      </c>
      <c r="MB149" s="182">
        <f>VLOOKUP($IW149,Base_Mensuelle!$OF$68:$RM$679,HLOOKUP(MB$73,Base_Mensuelle!$QG$67:$RM$680,614,0))</f>
        <v>0</v>
      </c>
      <c r="MC149" s="182">
        <f>VLOOKUP($IW149,Base_Mensuelle!$OF$68:$RM$679,HLOOKUP(MC$73,Base_Mensuelle!$QG$67:$RM$680,614,0))</f>
        <v>0</v>
      </c>
      <c r="MD149" s="182">
        <f>VLOOKUP($IW149,Base_Mensuelle!$OF$68:$RM$679,HLOOKUP(MD$73,Base_Mensuelle!$QG$67:$RM$680,614,0))</f>
        <v>0</v>
      </c>
      <c r="ME149" s="182">
        <f>VLOOKUP($IW149,Base_Mensuelle!$OF$68:$RM$679,HLOOKUP(ME$73,Base_Mensuelle!$QG$67:$RM$680,614,0))</f>
        <v>0</v>
      </c>
      <c r="MF149" s="182"/>
      <c r="MG149" s="182"/>
      <c r="MH149" s="290"/>
      <c r="MI149" s="29">
        <v>76</v>
      </c>
      <c r="MJ149" s="29" t="str">
        <f t="shared" si="88"/>
        <v>Trimestre 42018</v>
      </c>
      <c r="MK149" s="848">
        <v>43435</v>
      </c>
      <c r="ML149" s="1991">
        <v>161.62802658405877</v>
      </c>
      <c r="MM149" s="1991">
        <v>103.88260937758294</v>
      </c>
      <c r="MN149" s="1991">
        <v>100.14536418158281</v>
      </c>
      <c r="MO149" s="1991">
        <v>100.00000000000003</v>
      </c>
      <c r="MP149" s="1991">
        <v>161.62802658405877</v>
      </c>
      <c r="MQ149" s="1991">
        <v>103.61310873815003</v>
      </c>
      <c r="MR149" s="1991">
        <v>110.79999999999993</v>
      </c>
      <c r="MS149" s="1991">
        <v>100.62440504928502</v>
      </c>
      <c r="MT149" s="1991">
        <v>100.00000000000006</v>
      </c>
      <c r="MU149" s="1991">
        <v>100</v>
      </c>
      <c r="MV149" s="1991">
        <v>100.29950046728165</v>
      </c>
      <c r="MW149" s="1991">
        <v>100.00000000000003</v>
      </c>
      <c r="MX149" s="1991">
        <v>98.412698412698447</v>
      </c>
      <c r="MY149" s="1991">
        <v>100.00000000000011</v>
      </c>
      <c r="MZ149" s="1991">
        <v>100.16605741605122</v>
      </c>
      <c r="NA149" s="1991">
        <v>100.00000000000009</v>
      </c>
      <c r="NB149" s="1991">
        <v>98.829073543413912</v>
      </c>
      <c r="NC149" s="1991">
        <v>126.70878635248677</v>
      </c>
      <c r="ND149" s="1991">
        <v>93.033326484061035</v>
      </c>
      <c r="NE149" s="1991">
        <v>100.0000000000001</v>
      </c>
      <c r="NF149" s="1991">
        <v>100.00000000000007</v>
      </c>
      <c r="NG149" s="1991">
        <v>100.0000000000001</v>
      </c>
      <c r="NH149" s="1991">
        <v>100.00000000000007</v>
      </c>
      <c r="NI149" s="1991">
        <v>99.999999999999986</v>
      </c>
      <c r="NJ149" s="1991">
        <v>100</v>
      </c>
      <c r="NK149" s="1991">
        <v>103.2987545425769</v>
      </c>
      <c r="NL149" s="29">
        <v>76</v>
      </c>
    </row>
    <row r="150" spans="1:376">
      <c r="A150" s="41">
        <f t="shared" si="86"/>
        <v>2019</v>
      </c>
      <c r="B150" s="785">
        <v>43525</v>
      </c>
      <c r="C150" s="733">
        <v>222.48166308903774</v>
      </c>
      <c r="D150" s="1547">
        <v>293.04868230999614</v>
      </c>
      <c r="E150" s="570">
        <v>145.34703484700614</v>
      </c>
      <c r="F150" s="1547">
        <v>92.740598480400848</v>
      </c>
      <c r="G150" s="1547">
        <v>0</v>
      </c>
      <c r="H150" s="1547">
        <v>85.805638872929336</v>
      </c>
      <c r="I150" s="570">
        <v>20.584370331495865</v>
      </c>
      <c r="J150" s="570">
        <v>173.48389403548688</v>
      </c>
      <c r="K150" s="570">
        <v>129.27230928421653</v>
      </c>
      <c r="L150" s="570">
        <v>268.61635836095644</v>
      </c>
      <c r="M150" s="734">
        <v>177.01595803269882</v>
      </c>
      <c r="N150" s="25">
        <v>77</v>
      </c>
      <c r="O150" s="889">
        <f t="shared" si="85"/>
        <v>2019</v>
      </c>
      <c r="P150" s="29" t="str">
        <f t="shared" si="87"/>
        <v>Trimestre 12019</v>
      </c>
      <c r="Q150" s="848">
        <v>43525</v>
      </c>
      <c r="R150" s="733">
        <v>13.0872739</v>
      </c>
      <c r="S150" s="570">
        <v>101.36580483108855</v>
      </c>
      <c r="T150" s="570">
        <v>1015.2595</v>
      </c>
      <c r="U150" s="734">
        <v>15.683</v>
      </c>
      <c r="V150" s="25">
        <v>77</v>
      </c>
      <c r="W150" s="733">
        <v>7214</v>
      </c>
      <c r="X150" s="570">
        <v>18593</v>
      </c>
      <c r="Y150" s="570">
        <v>659.59451125532689</v>
      </c>
      <c r="Z150" s="570">
        <v>313.65212314177705</v>
      </c>
      <c r="AA150" s="570">
        <v>37.976999999999997</v>
      </c>
      <c r="AB150" s="570">
        <v>78.468999999999994</v>
      </c>
      <c r="AC150" s="570">
        <v>706.81500000000005</v>
      </c>
      <c r="AD150" s="570">
        <v>198.01671400000001</v>
      </c>
      <c r="AE150" s="734">
        <v>26.933163</v>
      </c>
      <c r="AF150" s="25">
        <v>77</v>
      </c>
      <c r="AG150" s="733">
        <v>1.9323991811330359</v>
      </c>
      <c r="AH150" s="570">
        <v>2.1865174065872495</v>
      </c>
      <c r="AI150" s="570">
        <v>0.22201873767159697</v>
      </c>
      <c r="AJ150" s="570">
        <v>1.7662470273044297</v>
      </c>
      <c r="AK150" s="570">
        <v>1.9201014591798717</v>
      </c>
      <c r="AL150" s="570">
        <v>13.213603278203724</v>
      </c>
      <c r="AM150" s="570">
        <v>13.011305257981332</v>
      </c>
      <c r="AN150" s="734">
        <v>0.4603846543243213</v>
      </c>
      <c r="AO150" s="733">
        <v>34.629801601240516</v>
      </c>
      <c r="AP150" s="570">
        <v>-6.3757642273260871</v>
      </c>
      <c r="AQ150" s="570">
        <v>-3.4687758330526748</v>
      </c>
      <c r="AR150" s="570">
        <v>0.86401901112570223</v>
      </c>
      <c r="AS150" s="734">
        <v>-4</v>
      </c>
      <c r="AT150" s="733">
        <v>8.2559144575486307</v>
      </c>
      <c r="AU150" s="570">
        <v>-35.757970430356089</v>
      </c>
      <c r="AV150" s="734">
        <v>-26.5397656409977</v>
      </c>
      <c r="AW150" s="733">
        <v>-1.0684675238755812</v>
      </c>
      <c r="AX150" s="570">
        <v>38.343291651496273</v>
      </c>
      <c r="AY150" s="570">
        <v>-6.8640721149821786</v>
      </c>
      <c r="AZ150" s="570">
        <v>-8.5194303058545415</v>
      </c>
      <c r="BA150" s="570">
        <v>4.5021895505460536</v>
      </c>
      <c r="BB150" s="570">
        <v>7.3373006737100255</v>
      </c>
      <c r="BC150" s="734">
        <v>14.666666666666664</v>
      </c>
      <c r="BD150" s="733">
        <v>-47.402868872743745</v>
      </c>
      <c r="BE150" s="570">
        <v>-44.697898759993734</v>
      </c>
      <c r="BF150" s="570">
        <v>0.12243076721524604</v>
      </c>
      <c r="BG150" s="570">
        <v>-4.2394736775464494</v>
      </c>
      <c r="BH150" s="570">
        <v>-6.942123850751849</v>
      </c>
      <c r="BI150" s="570">
        <v>4.850726581065155</v>
      </c>
      <c r="BJ150" s="570">
        <v>20.805710877200003</v>
      </c>
      <c r="BK150" s="734">
        <v>3.8232577719982928</v>
      </c>
      <c r="BL150" s="733">
        <v>59.749637413508985</v>
      </c>
      <c r="BM150" s="570">
        <v>-32.304541563417345</v>
      </c>
      <c r="BN150" s="570">
        <v>0.12243076721524604</v>
      </c>
      <c r="BO150" s="570">
        <v>0</v>
      </c>
      <c r="BP150" s="570">
        <v>16.666666666666664</v>
      </c>
      <c r="BQ150" s="734">
        <v>5.5555555555555554</v>
      </c>
      <c r="BR150" s="733">
        <v>56.104345607235956</v>
      </c>
      <c r="BS150" s="570">
        <v>-81.526378208849039</v>
      </c>
      <c r="BT150" s="570">
        <v>-62.736531494448428</v>
      </c>
      <c r="BU150" s="734">
        <v>12.265601189962352</v>
      </c>
      <c r="BV150" s="733">
        <v>49.915524103506556</v>
      </c>
      <c r="BW150" s="570">
        <v>-72.047660905442456</v>
      </c>
      <c r="BX150" s="570">
        <v>-58.550281362496136</v>
      </c>
      <c r="BY150" s="570">
        <v>6.5241928386386272</v>
      </c>
      <c r="BZ150" s="570">
        <v>18.140203065490461</v>
      </c>
      <c r="CA150" s="570">
        <v>-5.5555555555555571</v>
      </c>
      <c r="CB150" s="734">
        <v>0</v>
      </c>
      <c r="CC150" s="25">
        <v>77</v>
      </c>
      <c r="CD150" s="19">
        <v>76555</v>
      </c>
      <c r="CE150" s="93">
        <v>19731861</v>
      </c>
      <c r="CF150" s="20">
        <v>6250849</v>
      </c>
      <c r="CG150" s="25">
        <v>77</v>
      </c>
      <c r="CH150" s="1772">
        <v>22660</v>
      </c>
      <c r="CI150" s="1773">
        <v>5033</v>
      </c>
      <c r="CJ150" s="1773">
        <v>2327</v>
      </c>
      <c r="CK150" s="1773">
        <v>9934</v>
      </c>
      <c r="CL150" s="1773">
        <v>6069</v>
      </c>
      <c r="CM150" s="1773">
        <v>633</v>
      </c>
      <c r="CN150" s="1773">
        <v>2897</v>
      </c>
      <c r="CO150" s="1773">
        <v>2934</v>
      </c>
      <c r="CP150" s="1773">
        <v>1798</v>
      </c>
      <c r="CQ150" s="1773">
        <v>1395</v>
      </c>
      <c r="CR150" s="1802">
        <v>103691</v>
      </c>
      <c r="CS150" s="1774">
        <v>145309</v>
      </c>
      <c r="CT150" s="25">
        <v>77</v>
      </c>
      <c r="CU150" s="19">
        <v>20153</v>
      </c>
      <c r="CV150" s="93">
        <v>92958</v>
      </c>
      <c r="CW150" s="93">
        <v>18425</v>
      </c>
      <c r="CX150" s="93">
        <v>1533</v>
      </c>
      <c r="CY150" s="93">
        <v>968</v>
      </c>
      <c r="CZ150" s="93">
        <v>345</v>
      </c>
      <c r="DA150" s="93">
        <v>10927</v>
      </c>
      <c r="DB150" s="20">
        <v>145309</v>
      </c>
      <c r="DC150" s="25">
        <v>77</v>
      </c>
      <c r="DD150" s="785">
        <v>43525</v>
      </c>
      <c r="DE150" s="19">
        <v>547.38578048700003</v>
      </c>
      <c r="DF150" s="20">
        <v>362.48394500000001</v>
      </c>
      <c r="DG150" s="25">
        <v>77</v>
      </c>
      <c r="DH150" s="19">
        <v>585.83825790499998</v>
      </c>
      <c r="DI150" s="20">
        <v>1356.271798</v>
      </c>
      <c r="DJ150" s="25">
        <v>77</v>
      </c>
      <c r="DK150" s="19">
        <v>547.38578048700003</v>
      </c>
      <c r="DL150" s="20">
        <v>585.83825790499998</v>
      </c>
      <c r="DM150" s="19">
        <v>-38.452477417999944</v>
      </c>
      <c r="DN150" s="20">
        <v>93.436332144727317</v>
      </c>
      <c r="DO150" s="25">
        <v>77</v>
      </c>
      <c r="DP150" s="19">
        <v>251.33289998728179</v>
      </c>
      <c r="DQ150" s="93">
        <v>363.86161827547431</v>
      </c>
      <c r="DR150" s="20">
        <v>131.97315680923481</v>
      </c>
      <c r="DS150" s="25">
        <v>77</v>
      </c>
      <c r="DT150" s="19">
        <v>70.836216649590042</v>
      </c>
      <c r="DU150" s="93">
        <v>71.000435059511844</v>
      </c>
      <c r="DV150" s="20">
        <v>71.21853177018501</v>
      </c>
      <c r="DW150" s="25">
        <v>77</v>
      </c>
      <c r="DX150" s="19">
        <v>354.8210939337298</v>
      </c>
      <c r="DY150" s="20">
        <v>526.39384785977063</v>
      </c>
      <c r="DZ150" s="25">
        <v>77</v>
      </c>
      <c r="EA150" s="19">
        <v>1190.6501157579999</v>
      </c>
      <c r="EB150" s="93">
        <v>177.00448439600001</v>
      </c>
      <c r="EC150" s="93">
        <v>72.061262117040002</v>
      </c>
      <c r="ED150" s="93">
        <v>23.209003943999999</v>
      </c>
      <c r="EE150" s="20">
        <v>131.07075548696997</v>
      </c>
      <c r="EF150" s="25">
        <v>77</v>
      </c>
      <c r="EG150" s="19">
        <v>540.66845806589004</v>
      </c>
      <c r="EH150" s="93">
        <v>50.308577037000006</v>
      </c>
      <c r="EI150" s="93">
        <v>53.465780926000001</v>
      </c>
      <c r="EJ150" s="93">
        <v>78.300806374000004</v>
      </c>
      <c r="EK150" s="20">
        <v>37.286178568000004</v>
      </c>
      <c r="EL150" s="25">
        <v>77</v>
      </c>
      <c r="EM150" s="19">
        <v>212.802844948</v>
      </c>
      <c r="EN150" s="93">
        <v>78.000708900999996</v>
      </c>
      <c r="EO150" s="93">
        <v>29.353555287999999</v>
      </c>
      <c r="EP150" s="93">
        <v>0.18432299499999999</v>
      </c>
      <c r="EQ150" s="93">
        <v>8.2445375530000007</v>
      </c>
      <c r="ER150" s="93">
        <v>16.122199906999999</v>
      </c>
      <c r="ES150" s="93">
        <v>9.6170930660000007</v>
      </c>
      <c r="ET150" s="93">
        <v>7.7067503830000001</v>
      </c>
      <c r="EU150" s="93">
        <v>1.593052546</v>
      </c>
      <c r="EV150" s="20">
        <v>2.47713757</v>
      </c>
      <c r="EW150" s="25">
        <v>77</v>
      </c>
      <c r="EX150" s="1803">
        <v>58.268389567</v>
      </c>
      <c r="EY150" s="975">
        <v>8.4824084529999997</v>
      </c>
      <c r="EZ150" s="975">
        <v>51.290542068000001</v>
      </c>
      <c r="FA150" s="975">
        <v>0.69564974499999999</v>
      </c>
      <c r="FB150" s="975">
        <v>67.627443744000004</v>
      </c>
      <c r="FC150" s="975">
        <v>39.770128643</v>
      </c>
      <c r="FD150" s="975">
        <v>1.613155068</v>
      </c>
      <c r="FE150" s="975">
        <v>35.653875212000003</v>
      </c>
      <c r="FF150" s="975">
        <v>10.413024910000001</v>
      </c>
      <c r="FG150" s="976">
        <v>47.531296427000001</v>
      </c>
      <c r="FH150" s="25">
        <v>77</v>
      </c>
      <c r="FI150" s="848">
        <v>43525</v>
      </c>
      <c r="FJ150" s="1532">
        <v>1652</v>
      </c>
      <c r="FK150" s="1533">
        <v>1119</v>
      </c>
      <c r="FL150" s="1534">
        <v>0</v>
      </c>
      <c r="FM150" s="25">
        <v>77</v>
      </c>
      <c r="FN150" s="1532">
        <v>61</v>
      </c>
      <c r="FO150" s="1533">
        <v>627</v>
      </c>
      <c r="FP150" s="1533">
        <v>1125</v>
      </c>
      <c r="FQ150" s="1533">
        <v>639</v>
      </c>
      <c r="FR150" s="1533">
        <v>241</v>
      </c>
      <c r="FS150" s="1533">
        <v>57</v>
      </c>
      <c r="FT150" s="1533">
        <v>12</v>
      </c>
      <c r="FU150" s="1533">
        <v>5</v>
      </c>
      <c r="FV150" s="1533">
        <v>4</v>
      </c>
      <c r="FW150" s="1531">
        <v>0</v>
      </c>
      <c r="FX150" s="25">
        <v>77</v>
      </c>
      <c r="FY150" s="1530">
        <v>25</v>
      </c>
      <c r="FZ150" s="1530">
        <v>159</v>
      </c>
      <c r="GA150" s="1530">
        <v>416</v>
      </c>
      <c r="GB150" s="1530">
        <v>71</v>
      </c>
      <c r="GC150" s="1530">
        <v>553</v>
      </c>
      <c r="GD150" s="1530">
        <v>180</v>
      </c>
      <c r="GE150" s="1530">
        <v>790</v>
      </c>
      <c r="GF150" s="1530">
        <v>102</v>
      </c>
      <c r="GG150" s="1530">
        <v>19</v>
      </c>
      <c r="GH150" s="1530">
        <v>401</v>
      </c>
      <c r="GI150" s="1531">
        <v>55</v>
      </c>
      <c r="GJ150" s="25">
        <v>77</v>
      </c>
      <c r="GK150" s="19"/>
      <c r="GL150" s="20"/>
      <c r="GM150" s="25"/>
      <c r="GN150" s="19">
        <v>5385</v>
      </c>
      <c r="GO150" s="20">
        <v>2062</v>
      </c>
      <c r="GP150" s="25">
        <v>77</v>
      </c>
      <c r="GQ150" s="19">
        <v>31</v>
      </c>
      <c r="GR150" s="20">
        <v>31</v>
      </c>
      <c r="GS150" s="25">
        <v>77</v>
      </c>
      <c r="GT150" s="848">
        <v>43525</v>
      </c>
      <c r="GU150" s="733">
        <v>431.78310282414753</v>
      </c>
      <c r="GV150" s="570">
        <v>408.284526911</v>
      </c>
      <c r="GW150" s="570">
        <v>408.284526911</v>
      </c>
      <c r="GX150" s="570">
        <v>335.99242663899997</v>
      </c>
      <c r="GY150" s="570">
        <v>89.293684661840103</v>
      </c>
      <c r="GZ150" s="570">
        <v>3.2004035370174404</v>
      </c>
      <c r="HA150" s="570">
        <v>1.9021327342619965</v>
      </c>
      <c r="HB150" s="570">
        <v>190.22185100421538</v>
      </c>
      <c r="HC150" s="570">
        <v>48.703826723999995</v>
      </c>
      <c r="HD150" s="570">
        <v>2.6705279776650661</v>
      </c>
      <c r="HE150" s="570">
        <v>72.292100272000013</v>
      </c>
      <c r="HF150" s="570">
        <v>1.5766145250000001</v>
      </c>
      <c r="HG150" s="570">
        <v>46.466239377000008</v>
      </c>
      <c r="HH150" s="570">
        <v>0.29512803600000004</v>
      </c>
      <c r="HI150" s="570">
        <v>0.43907436800000005</v>
      </c>
      <c r="HJ150" s="570">
        <v>23.515043966</v>
      </c>
      <c r="HK150" s="570">
        <v>0</v>
      </c>
      <c r="HL150" s="570">
        <v>23.498575913147576</v>
      </c>
      <c r="HM150" s="570">
        <v>17.190250433147572</v>
      </c>
      <c r="HN150" s="570">
        <v>6.3083254800000006</v>
      </c>
      <c r="HO150" s="570">
        <v>437.23626744876458</v>
      </c>
      <c r="HP150" s="570">
        <v>437.74331463576448</v>
      </c>
      <c r="HQ150" s="570">
        <v>320.11007095149807</v>
      </c>
      <c r="HR150" s="570">
        <v>187.21656192500001</v>
      </c>
      <c r="HS150" s="570">
        <v>25.535860954</v>
      </c>
      <c r="HT150" s="570">
        <v>12.241571949498034</v>
      </c>
      <c r="HU150" s="570">
        <v>7.8814572100000007</v>
      </c>
      <c r="HV150" s="570">
        <v>4.3601147394980355</v>
      </c>
      <c r="HW150" s="570">
        <v>95.116076122999999</v>
      </c>
      <c r="HX150" s="570">
        <v>0</v>
      </c>
      <c r="HY150" s="570">
        <v>38.523457163000003</v>
      </c>
      <c r="HZ150" s="570">
        <v>0</v>
      </c>
      <c r="IA150" s="570">
        <v>0</v>
      </c>
      <c r="IB150" s="570">
        <v>117.63324368426646</v>
      </c>
      <c r="IC150" s="570">
        <v>63.928058909000001</v>
      </c>
      <c r="ID150" s="570">
        <v>0</v>
      </c>
      <c r="IE150" s="570">
        <v>0</v>
      </c>
      <c r="IF150" s="570">
        <v>-0.50704718699999796</v>
      </c>
      <c r="IG150" s="570">
        <v>-5.4531646246170276</v>
      </c>
      <c r="IH150" s="570">
        <v>-28.951740537764582</v>
      </c>
      <c r="II150" s="570">
        <v>36.995016186999919</v>
      </c>
      <c r="IJ150" s="570">
        <v>24.753444237501874</v>
      </c>
      <c r="IK150" s="570">
        <v>-96.957570602616983</v>
      </c>
      <c r="IL150" s="570">
        <v>-120.45614651576453</v>
      </c>
      <c r="IM150" s="570">
        <v>105.33025297733747</v>
      </c>
      <c r="IN150" s="570">
        <v>34.15805264733747</v>
      </c>
      <c r="IO150" s="570">
        <v>44.549064848118888</v>
      </c>
      <c r="IP150" s="570">
        <v>-10.39101220078142</v>
      </c>
      <c r="IQ150" s="570">
        <v>0</v>
      </c>
      <c r="IR150" s="570">
        <v>71.17220033000001</v>
      </c>
      <c r="IS150" s="570">
        <v>47.478746052999995</v>
      </c>
      <c r="IT150" s="570">
        <v>23.693454277000004</v>
      </c>
      <c r="IU150" s="570">
        <v>-8.3726823747204904</v>
      </c>
      <c r="IV150" s="93">
        <v>77</v>
      </c>
      <c r="IW150" s="848">
        <v>43525</v>
      </c>
      <c r="IX150" s="1035"/>
      <c r="IY150" s="1035">
        <v>596.91050461700002</v>
      </c>
      <c r="IZ150" s="1035">
        <v>672.12421788500001</v>
      </c>
      <c r="JA150" s="1035">
        <v>0.30471630100000002</v>
      </c>
      <c r="JB150" s="1035">
        <v>1603.8090000000002</v>
      </c>
      <c r="JC150" s="1035">
        <v>231.41199106899998</v>
      </c>
      <c r="JD150" s="1035">
        <v>2432.4362119870002</v>
      </c>
      <c r="JE150" s="1035">
        <v>1473.0801083189999</v>
      </c>
      <c r="JF150" s="1035">
        <v>3905.5163203060001</v>
      </c>
      <c r="JG150" s="1035"/>
      <c r="JH150" s="1035">
        <v>1512.5554275150002</v>
      </c>
      <c r="JI150" s="1035">
        <v>259.85342751500013</v>
      </c>
      <c r="JJ150" s="1035">
        <v>1252.702</v>
      </c>
      <c r="JK150" s="1035">
        <v>2805.8215981940002</v>
      </c>
      <c r="JL150" s="1035">
        <v>90.646441041999964</v>
      </c>
      <c r="JM150" s="1035">
        <v>-27.083558958000005</v>
      </c>
      <c r="JN150" s="1035">
        <v>117.72999999999996</v>
      </c>
      <c r="JO150" s="1035">
        <v>2715.1751571520003</v>
      </c>
      <c r="JP150" s="1035">
        <v>6.5231571519999996</v>
      </c>
      <c r="JQ150" s="1035">
        <v>2708.6520000000005</v>
      </c>
      <c r="JR150" s="1035">
        <v>649.07341690999999</v>
      </c>
      <c r="JS150" s="1035">
        <v>-236.21271150700005</v>
      </c>
      <c r="JT150" s="1036">
        <v>3905.5163203060001</v>
      </c>
      <c r="JU150" s="29">
        <v>77</v>
      </c>
      <c r="JV150" s="1037"/>
      <c r="JW150" s="1526">
        <f>VLOOKUP($IW150,Base_Mensuelle!$OF$68:$RM$679,HLOOKUP(JW$73,Base_Mensuelle!$PE$67:$QE$680,614,0))</f>
        <v>259.85342751500013</v>
      </c>
      <c r="JX150" s="1526">
        <f>VLOOKUP($IW150,Base_Mensuelle!$OF$68:$RM$679,HLOOKUP(JX$73,Base_Mensuelle!$PE$67:$QE$680,614,0))</f>
        <v>1062.9453454300001</v>
      </c>
      <c r="JY150" s="1526">
        <f>VLOOKUP($IW150,Base_Mensuelle!$OF$68:$RM$679,HLOOKUP(JY$73,Base_Mensuelle!$PE$67:$QE$680,614,0))</f>
        <v>803.09191791499995</v>
      </c>
      <c r="JZ150" s="1526">
        <f>VLOOKUP($IW150,Base_Mensuelle!$OF$68:$RM$679,HLOOKUP(JZ$73,Base_Mensuelle!$PE$67:$QE$680,614,0))</f>
        <v>690.75300000000004</v>
      </c>
      <c r="KA150" s="1526">
        <f>VLOOKUP($IW150,Base_Mensuelle!$OF$68:$RM$679,HLOOKUP(KA$73,Base_Mensuelle!$PE$67:$QE$680,614,0))</f>
        <v>-21.479845690000005</v>
      </c>
      <c r="KB150" s="1526">
        <f>VLOOKUP($IW150,Base_Mensuelle!$OF$68:$RM$679,HLOOKUP(KB$73,Base_Mensuelle!$PE$67:$QE$680,614,0))</f>
        <v>123.933087284</v>
      </c>
      <c r="KC150" s="1526">
        <f>VLOOKUP($IW150,Base_Mensuelle!$OF$68:$RM$679,HLOOKUP(KC$73,Base_Mensuelle!$PE$67:$QE$680,614,0))</f>
        <v>145.412932974</v>
      </c>
      <c r="KD150" s="1526">
        <f>VLOOKUP($IW150,Base_Mensuelle!$OF$68:$RM$679,HLOOKUP(KD$73,Base_Mensuelle!$PE$67:$QE$680,614,0))</f>
        <v>6.5231571519999996</v>
      </c>
      <c r="KE150" s="1526">
        <f>VLOOKUP($IW150,Base_Mensuelle!$OF$68:$RM$679,HLOOKUP(KE$73,Base_Mensuelle!$PE$67:$QE$680,614,0))</f>
        <v>2.2959999999999998</v>
      </c>
      <c r="KF150" s="1526">
        <f>VLOOKUP($IW150,Base_Mensuelle!$OF$68:$RM$679,HLOOKUP(KF$73,Base_Mensuelle!$PE$67:$QE$680,614,0))</f>
        <v>0</v>
      </c>
      <c r="KG150" s="1526">
        <f>VLOOKUP($IW150,Base_Mensuelle!$OF$68:$RM$679,HLOOKUP(KG$73,Base_Mensuelle!$PE$67:$QE$680,614,0))</f>
        <v>0</v>
      </c>
      <c r="KH150" s="1526">
        <f>VLOOKUP($IW150,Base_Mensuelle!$OF$68:$RM$679,HLOOKUP(KH$73,Base_Mensuelle!$PE$67:$QE$680,614,0))</f>
        <v>4.2271571520000002</v>
      </c>
      <c r="KI150" s="1526">
        <f>VLOOKUP($IW150,Base_Mensuelle!$OF$68:$RM$679,HLOOKUP(KI$73,Base_Mensuelle!$PE$67:$QE$680,614,0))</f>
        <v>921.12590065399991</v>
      </c>
      <c r="KJ150" s="1526">
        <f>VLOOKUP($IW150,Base_Mensuelle!$OF$68:$RM$679,HLOOKUP(KJ$73,Base_Mensuelle!$PE$67:$QE$680,614,0))</f>
        <v>672.12421788500001</v>
      </c>
      <c r="KK150" s="1526">
        <f>VLOOKUP($IW150,Base_Mensuelle!$OF$68:$RM$679,HLOOKUP(KK$73,Base_Mensuelle!$PE$67:$QE$680,614,0))</f>
        <v>248.36385814900001</v>
      </c>
      <c r="KL150" s="1526">
        <f>VLOOKUP($IW150,Base_Mensuelle!$OF$68:$RM$679,HLOOKUP(KL$73,Base_Mensuelle!$PE$67:$QE$680,614,0))</f>
        <v>0.63782461999999995</v>
      </c>
      <c r="KM150" s="1526">
        <f>VLOOKUP($IW150,Base_Mensuelle!$OF$68:$RM$679,HLOOKUP(KM$73,Base_Mensuelle!$PE$67:$QE$680,614,0))</f>
        <v>0</v>
      </c>
      <c r="KN150" s="1526">
        <f>VLOOKUP($IW150,Base_Mensuelle!$OF$68:$RM$679,HLOOKUP(KN$73,Base_Mensuelle!$PE$67:$QE$680,614,0))</f>
        <v>6.8375867069999998</v>
      </c>
      <c r="KO150" s="1526">
        <f>VLOOKUP($IW150,Base_Mensuelle!$OF$68:$RM$679,HLOOKUP(KO$73,Base_Mensuelle!$PE$67:$QE$680,614,0))</f>
        <v>0</v>
      </c>
      <c r="KP150" s="1526">
        <f>VLOOKUP($IW150,Base_Mensuelle!$OF$68:$RM$679,HLOOKUP(KP$73,Base_Mensuelle!$PE$67:$QE$680,614,0))</f>
        <v>0</v>
      </c>
      <c r="KQ150" s="1526">
        <f>VLOOKUP($IW150,Base_Mensuelle!$OF$68:$RM$679,HLOOKUP(KQ$73,Base_Mensuelle!$PE$67:$QE$680,614,0))</f>
        <v>6.8375867069999998</v>
      </c>
      <c r="KR150" s="1526">
        <f>VLOOKUP($IW150,Base_Mensuelle!$OF$68:$RM$679,HLOOKUP(KR$73,Base_Mensuelle!$PE$67:$QE$680,614,0))</f>
        <v>0</v>
      </c>
      <c r="KS150" s="1526">
        <f>VLOOKUP($IW150,Base_Mensuelle!$OF$68:$RM$679,HLOOKUP(KS$73,Base_Mensuelle!$PE$67:$QE$680,614,0))</f>
        <v>0</v>
      </c>
      <c r="KT150" s="1526">
        <f>VLOOKUP($IW150,Base_Mensuelle!$OF$68:$RM$679,HLOOKUP(KT$73,Base_Mensuelle!$PE$67:$QE$680,614,0))</f>
        <v>0</v>
      </c>
      <c r="KU150" s="1526">
        <f>VLOOKUP($IW150,Base_Mensuelle!$OF$68:$RM$679,HLOOKUP(KU$73,Base_Mensuelle!$PE$67:$QE$680,614,0))</f>
        <v>6.174830203</v>
      </c>
      <c r="KV150" s="1526">
        <f>VLOOKUP($IW150,Base_Mensuelle!$OF$68:$RM$679,HLOOKUP(KV$73,Base_Mensuelle!$PE$67:$QE$680,614,0))</f>
        <v>1.5114214129999861</v>
      </c>
      <c r="KW150" s="1036"/>
      <c r="KX150" s="29">
        <v>77</v>
      </c>
      <c r="KY150" s="1037"/>
      <c r="KZ150" s="182">
        <f>VLOOKUP($IW150,Base_Mensuelle!$OF$68:$RM$679,HLOOKUP(KZ$73,Base_Mensuelle!$QG$67:$RM$680,614,0))</f>
        <v>1252.702</v>
      </c>
      <c r="LA150" s="182">
        <f>VLOOKUP($IW150,Base_Mensuelle!$OF$68:$RM$679,HLOOKUP(LA$73,Base_Mensuelle!$QG$67:$RM$680,614,0))</f>
        <v>1569.55</v>
      </c>
      <c r="LB150" s="182">
        <f>VLOOKUP($IW150,Base_Mensuelle!$OF$68:$RM$679,HLOOKUP(LB$73,Base_Mensuelle!$QG$67:$RM$680,614,0))</f>
        <v>-316.84799999999996</v>
      </c>
      <c r="LC150" s="182">
        <f>VLOOKUP($IW150,Base_Mensuelle!$OF$68:$RM$679,HLOOKUP(LC$73,Base_Mensuelle!$QG$67:$RM$680,614,0))</f>
        <v>343.19300000000004</v>
      </c>
      <c r="LD150" s="182">
        <f>VLOOKUP($IW150,Base_Mensuelle!$OF$68:$RM$679,HLOOKUP(LD$73,Base_Mensuelle!$QG$67:$RM$680,614,0))</f>
        <v>69.61</v>
      </c>
      <c r="LE150" s="182">
        <f>VLOOKUP($IW150,Base_Mensuelle!$OF$68:$RM$679,HLOOKUP(LE$73,Base_Mensuelle!$QG$67:$RM$680,614,0))</f>
        <v>273.58300000000003</v>
      </c>
      <c r="LF150" s="182">
        <f>VLOOKUP($IW150,Base_Mensuelle!$OF$68:$RM$679,HLOOKUP(LF$73,Base_Mensuelle!$QG$67:$RM$680,614,0))</f>
        <v>0</v>
      </c>
      <c r="LG150" s="182">
        <f>VLOOKUP($IW150,Base_Mensuelle!$OF$68:$RM$679,HLOOKUP(LG$73,Base_Mensuelle!$QG$67:$RM$680,614,0))</f>
        <v>117.72999999999996</v>
      </c>
      <c r="LH150" s="182">
        <f>VLOOKUP($IW150,Base_Mensuelle!$OF$68:$RM$679,HLOOKUP(LH$73,Base_Mensuelle!$QG$67:$RM$680,614,0))</f>
        <v>472.54499999999996</v>
      </c>
      <c r="LI150" s="182">
        <f>VLOOKUP($IW150,Base_Mensuelle!$OF$68:$RM$679,HLOOKUP(LI$73,Base_Mensuelle!$QG$67:$RM$680,614,0))</f>
        <v>-354.815</v>
      </c>
      <c r="LJ150" s="182">
        <f>VLOOKUP($IW150,Base_Mensuelle!$OF$68:$RM$679,HLOOKUP(LJ$73,Base_Mensuelle!$QG$67:$RM$680,614,0))</f>
        <v>2708.6520000000005</v>
      </c>
      <c r="LK150" s="182">
        <f>VLOOKUP($IW150,Base_Mensuelle!$OF$68:$RM$679,HLOOKUP(LK$73,Base_Mensuelle!$QG$67:$RM$680,614,0))</f>
        <v>12.387</v>
      </c>
      <c r="LL150" s="182">
        <f>VLOOKUP($IW150,Base_Mensuelle!$OF$68:$RM$679,HLOOKUP(LL$73,Base_Mensuelle!$QG$67:$RM$680,614,0))</f>
        <v>15.166</v>
      </c>
      <c r="LM150" s="182">
        <f>VLOOKUP($IW150,Base_Mensuelle!$OF$68:$RM$679,HLOOKUP(LM$73,Base_Mensuelle!$QG$67:$RM$680,614,0))</f>
        <v>255.70899999999997</v>
      </c>
      <c r="LN150" s="182">
        <f>VLOOKUP($IW150,Base_Mensuelle!$OF$68:$RM$679,HLOOKUP(LN$73,Base_Mensuelle!$QG$67:$RM$680,614,0))</f>
        <v>2425.3900000000003</v>
      </c>
      <c r="LO150" s="182">
        <f>VLOOKUP($IW150,Base_Mensuelle!$OF$68:$RM$679,HLOOKUP(LO$73,Base_Mensuelle!$QG$67:$RM$680,614,0))</f>
        <v>0</v>
      </c>
      <c r="LP150" s="182">
        <f>VLOOKUP($IW150,Base_Mensuelle!$OF$68:$RM$679,HLOOKUP(LP$73,Base_Mensuelle!$QG$67:$RM$680,614,0))</f>
        <v>599.11699999999996</v>
      </c>
      <c r="LQ150" s="182">
        <f>VLOOKUP($IW150,Base_Mensuelle!$OF$68:$RM$679,HLOOKUP(LQ$73,Base_Mensuelle!$QG$67:$RM$680,614,0))</f>
        <v>1603.809</v>
      </c>
      <c r="LR150" s="182">
        <f>VLOOKUP($IW150,Base_Mensuelle!$OF$68:$RM$679,HLOOKUP(LR$73,Base_Mensuelle!$QG$67:$RM$680,614,0))</f>
        <v>1472.7470000000001</v>
      </c>
      <c r="LS150" s="182">
        <f>VLOOKUP($IW150,Base_Mensuelle!$OF$68:$RM$679,HLOOKUP(LS$73,Base_Mensuelle!$QG$67:$RM$680,614,0))</f>
        <v>0</v>
      </c>
      <c r="LT150" s="182">
        <f>VLOOKUP($IW150,Base_Mensuelle!$OF$68:$RM$679,HLOOKUP(LT$73,Base_Mensuelle!$QG$67:$RM$680,614,0))</f>
        <v>143.583</v>
      </c>
      <c r="LU150" s="182">
        <f>VLOOKUP($IW150,Base_Mensuelle!$OF$68:$RM$679,HLOOKUP(LU$73,Base_Mensuelle!$QG$67:$RM$680,614,0))</f>
        <v>0</v>
      </c>
      <c r="LV150" s="182">
        <f>VLOOKUP($IW150,Base_Mensuelle!$OF$68:$RM$679,HLOOKUP(LV$73,Base_Mensuelle!$QG$67:$RM$680,614,0))</f>
        <v>22.567</v>
      </c>
      <c r="LW150" s="182">
        <f>VLOOKUP($IW150,Base_Mensuelle!$OF$68:$RM$679,HLOOKUP(LW$73,Base_Mensuelle!$QG$67:$RM$680,614,0))</f>
        <v>0</v>
      </c>
      <c r="LX150" s="182">
        <f>VLOOKUP($IW150,Base_Mensuelle!$OF$68:$RM$679,HLOOKUP(LX$73,Base_Mensuelle!$QG$67:$RM$680,614,0))</f>
        <v>0</v>
      </c>
      <c r="LY150" s="182">
        <f>VLOOKUP($IW150,Base_Mensuelle!$OF$68:$RM$679,HLOOKUP(LY$73,Base_Mensuelle!$QG$67:$RM$680,614,0))</f>
        <v>469.911</v>
      </c>
      <c r="LZ150" s="182">
        <f>VLOOKUP($IW150,Base_Mensuelle!$OF$68:$RM$679,HLOOKUP(LZ$73,Base_Mensuelle!$QG$67:$RM$680,614,0))</f>
        <v>110.54300000000003</v>
      </c>
      <c r="MA150" s="182">
        <f>VLOOKUP($IW150,Base_Mensuelle!$OF$68:$RM$679,HLOOKUP(MA$73,Base_Mensuelle!$QG$67:$RM$680,614,0))</f>
        <v>0</v>
      </c>
      <c r="MB150" s="182">
        <f>VLOOKUP($IW150,Base_Mensuelle!$OF$68:$RM$679,HLOOKUP(MB$73,Base_Mensuelle!$QG$67:$RM$680,614,0))</f>
        <v>0</v>
      </c>
      <c r="MC150" s="182">
        <f>VLOOKUP($IW150,Base_Mensuelle!$OF$68:$RM$679,HLOOKUP(MC$73,Base_Mensuelle!$QG$67:$RM$680,614,0))</f>
        <v>0</v>
      </c>
      <c r="MD150" s="182">
        <f>VLOOKUP($IW150,Base_Mensuelle!$OF$68:$RM$679,HLOOKUP(MD$73,Base_Mensuelle!$QG$67:$RM$680,614,0))</f>
        <v>0</v>
      </c>
      <c r="ME150" s="182">
        <f>VLOOKUP($IW150,Base_Mensuelle!$OF$68:$RM$679,HLOOKUP(ME$73,Base_Mensuelle!$QG$67:$RM$680,614,0))</f>
        <v>0</v>
      </c>
      <c r="MF150" s="182"/>
      <c r="MG150" s="182"/>
      <c r="MH150" s="290"/>
      <c r="MI150" s="29">
        <v>77</v>
      </c>
      <c r="MJ150" s="29" t="str">
        <f t="shared" si="88"/>
        <v>Trimestre 12019</v>
      </c>
      <c r="MK150" s="848">
        <v>43525</v>
      </c>
      <c r="ML150" s="1991">
        <v>145.66300885197396</v>
      </c>
      <c r="MM150" s="1991">
        <v>110.00994257172236</v>
      </c>
      <c r="MN150" s="1991">
        <v>99.321201851304991</v>
      </c>
      <c r="MO150" s="1991">
        <v>100.00000000000001</v>
      </c>
      <c r="MP150" s="1991">
        <v>145.66300885197396</v>
      </c>
      <c r="MQ150" s="1991">
        <v>110.22536602961291</v>
      </c>
      <c r="MR150" s="1991">
        <v>109.78399999999992</v>
      </c>
      <c r="MS150" s="1991">
        <v>99.279006610455752</v>
      </c>
      <c r="MT150" s="1991">
        <v>100.00000000000006</v>
      </c>
      <c r="MU150" s="1991">
        <v>100</v>
      </c>
      <c r="MV150" s="1991">
        <v>100.29950046728163</v>
      </c>
      <c r="MW150" s="1991">
        <v>100.00000000000003</v>
      </c>
      <c r="MX150" s="1991">
        <v>98.412698412698447</v>
      </c>
      <c r="MY150" s="1991">
        <v>100.00000000000013</v>
      </c>
      <c r="MZ150" s="1991">
        <v>92.058648168295008</v>
      </c>
      <c r="NA150" s="1991">
        <v>100.0000000000001</v>
      </c>
      <c r="NB150" s="1991">
        <v>99.619875565070728</v>
      </c>
      <c r="NC150" s="1991">
        <v>126.70878635248681</v>
      </c>
      <c r="ND150" s="1991">
        <v>90.553930235903337</v>
      </c>
      <c r="NE150" s="1991">
        <v>100.11250961352654</v>
      </c>
      <c r="NF150" s="1991">
        <v>100.132769453073</v>
      </c>
      <c r="NG150" s="1991">
        <v>100.00000000000016</v>
      </c>
      <c r="NH150" s="1991">
        <v>100.00000000000011</v>
      </c>
      <c r="NI150" s="1991">
        <v>99.999999999999986</v>
      </c>
      <c r="NJ150" s="1991">
        <v>100</v>
      </c>
      <c r="NK150" s="1991">
        <v>105.42382200914311</v>
      </c>
      <c r="NL150" s="29">
        <v>77</v>
      </c>
    </row>
    <row r="151" spans="1:376">
      <c r="A151" s="41">
        <f t="shared" si="86"/>
        <v>2019</v>
      </c>
      <c r="B151" s="785">
        <v>43617</v>
      </c>
      <c r="C151" s="733">
        <v>156.90379242936058</v>
      </c>
      <c r="D151" s="1547">
        <v>333.44343969843209</v>
      </c>
      <c r="E151" s="570">
        <v>124.56034598235641</v>
      </c>
      <c r="F151" s="1547">
        <v>22.804410186173239</v>
      </c>
      <c r="G151" s="1547">
        <v>0</v>
      </c>
      <c r="H151" s="1547">
        <v>83.687156501808275</v>
      </c>
      <c r="I151" s="570">
        <v>23.404017138683766</v>
      </c>
      <c r="J151" s="570">
        <v>115.65658698207146</v>
      </c>
      <c r="K151" s="570">
        <v>149.6815134621682</v>
      </c>
      <c r="L151" s="570">
        <v>278.11701002570356</v>
      </c>
      <c r="M151" s="734">
        <v>150.94223407591491</v>
      </c>
      <c r="N151" s="25">
        <v>78</v>
      </c>
      <c r="O151" s="889">
        <f t="shared" si="85"/>
        <v>2019</v>
      </c>
      <c r="P151" s="29" t="str">
        <f t="shared" si="87"/>
        <v>Trimestre 22019</v>
      </c>
      <c r="Q151" s="848">
        <v>43617</v>
      </c>
      <c r="R151" s="733">
        <v>12.530537169999999</v>
      </c>
      <c r="S151" s="570">
        <v>0.3423068939190792</v>
      </c>
      <c r="T151" s="570">
        <v>1015.2595</v>
      </c>
      <c r="U151" s="734">
        <v>18.652000000000001</v>
      </c>
      <c r="V151" s="25">
        <v>78</v>
      </c>
      <c r="W151" s="733">
        <v>6588</v>
      </c>
      <c r="X151" s="570">
        <v>0</v>
      </c>
      <c r="Y151" s="570">
        <v>802.37712101197292</v>
      </c>
      <c r="Z151" s="570">
        <v>409.24051186737609</v>
      </c>
      <c r="AA151" s="570">
        <v>32.545749999999998</v>
      </c>
      <c r="AB151" s="570">
        <v>94.483000000000004</v>
      </c>
      <c r="AC151" s="570">
        <v>655.52200000000005</v>
      </c>
      <c r="AD151" s="570">
        <v>229.279121</v>
      </c>
      <c r="AE151" s="734">
        <v>27.885757999999999</v>
      </c>
      <c r="AF151" s="25">
        <v>78</v>
      </c>
      <c r="AG151" s="733">
        <v>16.950413497553107</v>
      </c>
      <c r="AH151" s="570">
        <v>5.085823426439287</v>
      </c>
      <c r="AI151" s="570">
        <v>18.175332696968258</v>
      </c>
      <c r="AJ151" s="570">
        <v>2.9237779550676954</v>
      </c>
      <c r="AK151" s="570">
        <v>14.671882391962164</v>
      </c>
      <c r="AL151" s="570">
        <v>26.153418349423113</v>
      </c>
      <c r="AM151" s="570">
        <v>31.919714594273362</v>
      </c>
      <c r="AN151" s="734">
        <v>10.265839967231758</v>
      </c>
      <c r="AO151" s="733">
        <v>2.1748095041291151</v>
      </c>
      <c r="AP151" s="570">
        <v>4.8598022083346422</v>
      </c>
      <c r="AQ151" s="570">
        <v>-4.8065834672405536</v>
      </c>
      <c r="AR151" s="570">
        <v>-1.4308836382135155</v>
      </c>
      <c r="AS151" s="734">
        <v>-9.7560975609756113</v>
      </c>
      <c r="AT151" s="733">
        <v>5.8689899091648847</v>
      </c>
      <c r="AU151" s="570">
        <v>-1.8889288178720003</v>
      </c>
      <c r="AV151" s="734">
        <v>12.270939144116596</v>
      </c>
      <c r="AW151" s="733">
        <v>4.013098106360367</v>
      </c>
      <c r="AX151" s="570">
        <v>-16.126676025168869</v>
      </c>
      <c r="AY151" s="570">
        <v>1.5718532954506621</v>
      </c>
      <c r="AZ151" s="570">
        <v>-5.7331777921176723</v>
      </c>
      <c r="BA151" s="570">
        <v>-2.5691493469492417</v>
      </c>
      <c r="BB151" s="570">
        <v>12.307100836216204</v>
      </c>
      <c r="BC151" s="734">
        <v>6.0975609756097562</v>
      </c>
      <c r="BD151" s="733">
        <v>-6.2893976951484305</v>
      </c>
      <c r="BE151" s="570">
        <v>-38.270048940116013</v>
      </c>
      <c r="BF151" s="570">
        <v>-1.6722392284836574</v>
      </c>
      <c r="BG151" s="570">
        <v>-2.2044759400860605</v>
      </c>
      <c r="BH151" s="570">
        <v>-13.335281226841948</v>
      </c>
      <c r="BI151" s="570">
        <v>6.7616504823865604</v>
      </c>
      <c r="BJ151" s="570">
        <v>30.011015775724303</v>
      </c>
      <c r="BK151" s="734">
        <v>7.3639700001223023</v>
      </c>
      <c r="BL151" s="733">
        <v>-23.463646105617702</v>
      </c>
      <c r="BM151" s="570">
        <v>-41.757627218931901</v>
      </c>
      <c r="BN151" s="570">
        <v>-7.9195009229817019</v>
      </c>
      <c r="BO151" s="570">
        <v>-1.1088428060110085</v>
      </c>
      <c r="BP151" s="570">
        <v>-5.2631578947368443</v>
      </c>
      <c r="BQ151" s="734">
        <v>-5.2631578947368407</v>
      </c>
      <c r="BR151" s="733">
        <v>11.746230435565613</v>
      </c>
      <c r="BS151" s="570">
        <v>-24.297400475650239</v>
      </c>
      <c r="BT151" s="570">
        <v>20.70700645313935</v>
      </c>
      <c r="BU151" s="734">
        <v>-7.2102959603050643</v>
      </c>
      <c r="BV151" s="733">
        <v>-41.770350611226725</v>
      </c>
      <c r="BW151" s="570">
        <v>-5.8868278776500844</v>
      </c>
      <c r="BX151" s="570">
        <v>-6.2388447648267711</v>
      </c>
      <c r="BY151" s="570">
        <v>-0.73625864364431559</v>
      </c>
      <c r="BZ151" s="570">
        <v>3.6815352050724108</v>
      </c>
      <c r="CA151" s="570">
        <v>0</v>
      </c>
      <c r="CB151" s="734">
        <v>5.2631578947368443</v>
      </c>
      <c r="CC151" s="25">
        <v>78</v>
      </c>
      <c r="CD151" s="19">
        <v>76576</v>
      </c>
      <c r="CE151" s="93">
        <v>20024123</v>
      </c>
      <c r="CF151" s="20">
        <v>6361830</v>
      </c>
      <c r="CG151" s="25">
        <v>78</v>
      </c>
      <c r="CH151" s="1772">
        <v>21208</v>
      </c>
      <c r="CI151" s="1773">
        <v>4644</v>
      </c>
      <c r="CJ151" s="1773">
        <v>2558</v>
      </c>
      <c r="CK151" s="1773">
        <v>7149</v>
      </c>
      <c r="CL151" s="1773">
        <v>4140</v>
      </c>
      <c r="CM151" s="1773">
        <v>481</v>
      </c>
      <c r="CN151" s="1773">
        <v>2334</v>
      </c>
      <c r="CO151" s="1773">
        <v>2602</v>
      </c>
      <c r="CP151" s="1773">
        <v>1615</v>
      </c>
      <c r="CQ151" s="1773">
        <v>1256</v>
      </c>
      <c r="CR151" s="1802">
        <v>106214</v>
      </c>
      <c r="CS151" s="1774">
        <v>142378</v>
      </c>
      <c r="CT151" s="25">
        <v>78</v>
      </c>
      <c r="CU151" s="19">
        <v>16966</v>
      </c>
      <c r="CV151" s="93">
        <v>94228</v>
      </c>
      <c r="CW151" s="93">
        <v>17532</v>
      </c>
      <c r="CX151" s="93">
        <v>1557</v>
      </c>
      <c r="CY151" s="93">
        <v>1072</v>
      </c>
      <c r="CZ151" s="93">
        <v>110</v>
      </c>
      <c r="DA151" s="93">
        <v>10913</v>
      </c>
      <c r="DB151" s="20">
        <v>142378</v>
      </c>
      <c r="DC151" s="25">
        <v>78</v>
      </c>
      <c r="DD151" s="785">
        <v>43617</v>
      </c>
      <c r="DE151" s="19">
        <v>424.00195839499997</v>
      </c>
      <c r="DF151" s="20">
        <v>292.54197799999997</v>
      </c>
      <c r="DG151" s="25">
        <v>78</v>
      </c>
      <c r="DH151" s="19">
        <v>593.44132361100003</v>
      </c>
      <c r="DI151" s="20">
        <v>1373.335278</v>
      </c>
      <c r="DJ151" s="25">
        <v>78</v>
      </c>
      <c r="DK151" s="19">
        <v>424.00195839499997</v>
      </c>
      <c r="DL151" s="20">
        <v>593.44132361100003</v>
      </c>
      <c r="DM151" s="19">
        <v>-169.43936521600006</v>
      </c>
      <c r="DN151" s="20">
        <v>71.448000253001041</v>
      </c>
      <c r="DO151" s="25">
        <v>78</v>
      </c>
      <c r="DP151" s="19">
        <v>269.28616095209554</v>
      </c>
      <c r="DQ151" s="93">
        <v>257.45300761708023</v>
      </c>
      <c r="DR151" s="20">
        <v>693.28532046774137</v>
      </c>
      <c r="DS151" s="25">
        <v>78</v>
      </c>
      <c r="DT151" s="19">
        <v>72.553587849332047</v>
      </c>
      <c r="DU151" s="93">
        <v>416.53366141871078</v>
      </c>
      <c r="DV151" s="20">
        <v>302.21011595946362</v>
      </c>
      <c r="DW151" s="25">
        <v>78</v>
      </c>
      <c r="DX151" s="19">
        <v>371.15485110303155</v>
      </c>
      <c r="DY151" s="20">
        <v>93.389754656424202</v>
      </c>
      <c r="DZ151" s="25">
        <v>78</v>
      </c>
      <c r="EA151" s="19">
        <v>307.880261975</v>
      </c>
      <c r="EB151" s="93">
        <v>24.622404941999999</v>
      </c>
      <c r="EC151" s="93">
        <v>2.0232436040000001</v>
      </c>
      <c r="ED151" s="93">
        <v>1.6376284320000001</v>
      </c>
      <c r="EE151" s="20">
        <v>35.743373939999998</v>
      </c>
      <c r="EF151" s="25">
        <v>78</v>
      </c>
      <c r="EG151" s="19">
        <v>146.26845709599999</v>
      </c>
      <c r="EH151" s="93">
        <v>8.9280010149999995</v>
      </c>
      <c r="EI151" s="93">
        <v>12.886090422999999</v>
      </c>
      <c r="EJ151" s="93">
        <v>13.108298167999999</v>
      </c>
      <c r="EK151" s="20">
        <v>8.7624985089999985</v>
      </c>
      <c r="EL151" s="25">
        <v>78</v>
      </c>
      <c r="EM151" s="19">
        <v>191.019939513</v>
      </c>
      <c r="EN151" s="93">
        <v>18.708162562999998</v>
      </c>
      <c r="EO151" s="93">
        <v>28.733605319999999</v>
      </c>
      <c r="EP151" s="93">
        <v>0.64143412499999997</v>
      </c>
      <c r="EQ151" s="93">
        <v>14.129584642999999</v>
      </c>
      <c r="ER151" s="93">
        <v>10.084074223</v>
      </c>
      <c r="ES151" s="93">
        <v>0.54584940800000004</v>
      </c>
      <c r="ET151" s="93">
        <v>1.4063446319999999</v>
      </c>
      <c r="EU151" s="93">
        <v>1.3331971979999999</v>
      </c>
      <c r="EV151" s="20">
        <v>4.7856276510000004</v>
      </c>
      <c r="EW151" s="25">
        <v>78</v>
      </c>
      <c r="EX151" s="1803">
        <v>69.309907392</v>
      </c>
      <c r="EY151" s="975">
        <v>7.3543748510000002</v>
      </c>
      <c r="EZ151" s="975">
        <v>42.848132446000001</v>
      </c>
      <c r="FA151" s="975">
        <v>1.885379379</v>
      </c>
      <c r="FB151" s="975">
        <v>70.922200211000003</v>
      </c>
      <c r="FC151" s="975">
        <v>42.240760942999998</v>
      </c>
      <c r="FD151" s="975">
        <v>2.5807538380000001</v>
      </c>
      <c r="FE151" s="975">
        <v>29.365084516</v>
      </c>
      <c r="FF151" s="975">
        <v>7.8149347440000003</v>
      </c>
      <c r="FG151" s="976">
        <v>29.665008710999999</v>
      </c>
      <c r="FH151" s="25">
        <v>78</v>
      </c>
      <c r="FI151" s="848">
        <v>43617</v>
      </c>
      <c r="FJ151" s="1532">
        <v>1452</v>
      </c>
      <c r="FK151" s="1533">
        <v>1204</v>
      </c>
      <c r="FL151" s="1534">
        <v>0</v>
      </c>
      <c r="FM151" s="25">
        <v>78</v>
      </c>
      <c r="FN151" s="1532">
        <v>58</v>
      </c>
      <c r="FO151" s="1533">
        <v>625</v>
      </c>
      <c r="FP151" s="1533">
        <v>1038</v>
      </c>
      <c r="FQ151" s="1533">
        <v>574</v>
      </c>
      <c r="FR151" s="1533">
        <v>239</v>
      </c>
      <c r="FS151" s="1533">
        <v>85</v>
      </c>
      <c r="FT151" s="1533">
        <v>24</v>
      </c>
      <c r="FU151" s="1533">
        <v>8</v>
      </c>
      <c r="FV151" s="1533">
        <v>4</v>
      </c>
      <c r="FW151" s="1531">
        <v>1</v>
      </c>
      <c r="FX151" s="25">
        <v>78</v>
      </c>
      <c r="FY151" s="1530">
        <v>31</v>
      </c>
      <c r="FZ151" s="1530">
        <v>153</v>
      </c>
      <c r="GA151" s="1530">
        <v>308</v>
      </c>
      <c r="GB151" s="1530">
        <v>63</v>
      </c>
      <c r="GC151" s="1530">
        <v>519</v>
      </c>
      <c r="GD151" s="1530">
        <v>198</v>
      </c>
      <c r="GE151" s="1530">
        <v>775</v>
      </c>
      <c r="GF151" s="1530">
        <v>88</v>
      </c>
      <c r="GG151" s="1530">
        <v>8</v>
      </c>
      <c r="GH151" s="1530">
        <v>409</v>
      </c>
      <c r="GI151" s="1531">
        <v>104</v>
      </c>
      <c r="GJ151" s="25">
        <v>78</v>
      </c>
      <c r="GK151" s="19"/>
      <c r="GL151" s="20"/>
      <c r="GM151" s="25"/>
      <c r="GN151" s="19">
        <v>5053</v>
      </c>
      <c r="GO151" s="20">
        <v>2128</v>
      </c>
      <c r="GP151" s="25">
        <v>78</v>
      </c>
      <c r="GQ151" s="19">
        <v>31</v>
      </c>
      <c r="GR151" s="20">
        <v>31</v>
      </c>
      <c r="GS151" s="25">
        <v>78</v>
      </c>
      <c r="GT151" s="848">
        <v>43617</v>
      </c>
      <c r="GU151" s="733">
        <f>VLOOKUP($GT151,Base_Mensuelle!$MC$67:$OD$680,HLOOKUP(GU$73,Base_Mensuelle!$MD$67:$OD$680,614,0))</f>
        <v>962.73361597306041</v>
      </c>
      <c r="GV151" s="570">
        <f>VLOOKUP($GT151,Base_Mensuelle!$MC$67:$OD$680,HLOOKUP(GV$73,Base_Mensuelle!$MD$67:$OD$680,614,0))</f>
        <v>929.83099728999991</v>
      </c>
      <c r="GW151" s="570">
        <f>VLOOKUP($GT151,Base_Mensuelle!$MC$67:$OD$680,HLOOKUP(GW$73,Base_Mensuelle!$MD$67:$OD$680,614,0))</f>
        <v>929.83099728999991</v>
      </c>
      <c r="GX151" s="570">
        <f>VLOOKUP($GT151,Base_Mensuelle!$MC$67:$OD$680,HLOOKUP(GX$73,Base_Mensuelle!$MD$67:$OD$680,614,0))</f>
        <v>720.31894905900003</v>
      </c>
      <c r="GY151" s="570">
        <f>VLOOKUP($GT151,Base_Mensuelle!$MC$67:$OD$680,HLOOKUP(GY$73,Base_Mensuelle!$MD$67:$OD$680,614,0))</f>
        <v>226.60100739084012</v>
      </c>
      <c r="GZ151" s="570">
        <f>VLOOKUP($GT151,Base_Mensuelle!$MC$67:$OD$680,HLOOKUP(GZ$73,Base_Mensuelle!$MD$67:$OD$680,614,0))</f>
        <v>6.4503987200174393</v>
      </c>
      <c r="HA151" s="570">
        <f>VLOOKUP($GT151,Base_Mensuelle!$MC$67:$OD$680,HLOOKUP(HA$73,Base_Mensuelle!$MD$67:$OD$680,614,0))</f>
        <v>3.3031668312619962</v>
      </c>
      <c r="HB151" s="570">
        <f>VLOOKUP($GT151,Base_Mensuelle!$MC$67:$OD$680,HLOOKUP(HB$73,Base_Mensuelle!$MD$67:$OD$680,614,0))</f>
        <v>379.20660382721536</v>
      </c>
      <c r="HC151" s="570">
        <f>VLOOKUP($GT151,Base_Mensuelle!$MC$67:$OD$680,HLOOKUP(HC$73,Base_Mensuelle!$MD$67:$OD$680,614,0))</f>
        <v>99.436609455999999</v>
      </c>
      <c r="HD151" s="570">
        <f>VLOOKUP($GT151,Base_Mensuelle!$MC$67:$OD$680,HLOOKUP(HD$73,Base_Mensuelle!$MD$67:$OD$680,614,0))</f>
        <v>5.3211628336650652</v>
      </c>
      <c r="HE151" s="570">
        <f>VLOOKUP($GT151,Base_Mensuelle!$MC$67:$OD$680,HLOOKUP(HE$73,Base_Mensuelle!$MD$67:$OD$680,614,0))</f>
        <v>209.51204823100002</v>
      </c>
      <c r="HF151" s="570">
        <f>VLOOKUP($GT151,Base_Mensuelle!$MC$67:$OD$680,HLOOKUP(HF$73,Base_Mensuelle!$MD$67:$OD$680,614,0))</f>
        <v>3.486776329</v>
      </c>
      <c r="HG151" s="570">
        <f>VLOOKUP($GT151,Base_Mensuelle!$MC$67:$OD$680,HLOOKUP(HG$73,Base_Mensuelle!$MD$67:$OD$680,614,0))</f>
        <v>134.535960512</v>
      </c>
      <c r="HH151" s="570">
        <f>VLOOKUP($GT151,Base_Mensuelle!$MC$67:$OD$680,HLOOKUP(HH$73,Base_Mensuelle!$MD$67:$OD$680,614,0))</f>
        <v>0.71243109500000001</v>
      </c>
      <c r="HI151" s="570">
        <f>VLOOKUP($GT151,Base_Mensuelle!$MC$67:$OD$680,HLOOKUP(HI$73,Base_Mensuelle!$MD$67:$OD$680,614,0))</f>
        <v>13.127447159000001</v>
      </c>
      <c r="HJ151" s="570">
        <f>VLOOKUP($GT151,Base_Mensuelle!$MC$67:$OD$680,HLOOKUP(HJ$73,Base_Mensuelle!$MD$67:$OD$680,614,0))</f>
        <v>57.649433135999992</v>
      </c>
      <c r="HK151" s="570">
        <f>VLOOKUP($GT151,Base_Mensuelle!$MC$67:$OD$680,HLOOKUP(HK$73,Base_Mensuelle!$MD$67:$OD$680,614,0))</f>
        <v>0</v>
      </c>
      <c r="HL151" s="570">
        <f>VLOOKUP($GT151,Base_Mensuelle!$MC$67:$OD$680,HLOOKUP(HL$73,Base_Mensuelle!$MD$67:$OD$680,614,0))</f>
        <v>32.90261868306051</v>
      </c>
      <c r="HM151" s="570">
        <f>VLOOKUP($GT151,Base_Mensuelle!$MC$67:$OD$680,HLOOKUP(HM$73,Base_Mensuelle!$MD$67:$OD$680,614,0))</f>
        <v>26.594293203060509</v>
      </c>
      <c r="HN151" s="570">
        <f>VLOOKUP($GT151,Base_Mensuelle!$MC$67:$OD$680,HLOOKUP(HN$73,Base_Mensuelle!$MD$67:$OD$680,614,0))</f>
        <v>6.3083254800000006</v>
      </c>
      <c r="HO151" s="570">
        <f>VLOOKUP($GT151,Base_Mensuelle!$MC$67:$OD$680,HLOOKUP(HO$73,Base_Mensuelle!$MD$67:$OD$680,614,0))</f>
        <v>1053.3415331443719</v>
      </c>
      <c r="HP151" s="570">
        <f>VLOOKUP($GT151,Base_Mensuelle!$MC$67:$OD$680,HLOOKUP(HP$73,Base_Mensuelle!$MD$67:$OD$680,614,0))</f>
        <v>1057.6069871633717</v>
      </c>
      <c r="HQ151" s="570">
        <f>VLOOKUP($GT151,Base_Mensuelle!$MC$67:$OD$680,HLOOKUP(HQ$73,Base_Mensuelle!$MD$67:$OD$680,614,0))</f>
        <v>812.62255333442135</v>
      </c>
      <c r="HR151" s="570">
        <f>VLOOKUP($GT151,Base_Mensuelle!$MC$67:$OD$680,HLOOKUP(HR$73,Base_Mensuelle!$MD$67:$OD$680,614,0))</f>
        <v>410.57603279299997</v>
      </c>
      <c r="HS151" s="570">
        <f>VLOOKUP($GT151,Base_Mensuelle!$MC$67:$OD$680,HLOOKUP(HS$73,Base_Mensuelle!$MD$67:$OD$680,614,0))</f>
        <v>82.52043965899999</v>
      </c>
      <c r="HT151" s="570">
        <f>VLOOKUP($GT151,Base_Mensuelle!$MC$67:$OD$680,HLOOKUP(HT$73,Base_Mensuelle!$MD$67:$OD$680,614,0))</f>
        <v>42.791569973021367</v>
      </c>
      <c r="HU151" s="570">
        <f>VLOOKUP($GT151,Base_Mensuelle!$MC$67:$OD$680,HLOOKUP(HU$73,Base_Mensuelle!$MD$67:$OD$680,614,0))</f>
        <v>31.445993041999998</v>
      </c>
      <c r="HV151" s="570">
        <f>VLOOKUP($GT151,Base_Mensuelle!$MC$67:$OD$680,HLOOKUP(HV$73,Base_Mensuelle!$MD$67:$OD$680,614,0))</f>
        <v>11.345576931021364</v>
      </c>
      <c r="HW151" s="570">
        <f>VLOOKUP($GT151,Base_Mensuelle!$MC$67:$OD$680,HLOOKUP(HW$73,Base_Mensuelle!$MD$67:$OD$680,614,0))</f>
        <v>276.7345109094</v>
      </c>
      <c r="HX151" s="570">
        <f>VLOOKUP($GT151,Base_Mensuelle!$MC$67:$OD$680,HLOOKUP(HX$73,Base_Mensuelle!$MD$67:$OD$680,614,0))</f>
        <v>5.5562104088000002</v>
      </c>
      <c r="HY151" s="570">
        <f>VLOOKUP($GT151,Base_Mensuelle!$MC$67:$OD$680,HLOOKUP(HY$73,Base_Mensuelle!$MD$67:$OD$680,614,0))</f>
        <v>57.012518387</v>
      </c>
      <c r="HZ151" s="570">
        <f>VLOOKUP($GT151,Base_Mensuelle!$MC$67:$OD$680,HLOOKUP(HZ$73,Base_Mensuelle!$MD$67:$OD$680,614,0))</f>
        <v>0</v>
      </c>
      <c r="IA151" s="570">
        <f>VLOOKUP($GT151,Base_Mensuelle!$MC$67:$OD$680,HLOOKUP(IA$73,Base_Mensuelle!$MD$67:$OD$680,614,0))</f>
        <v>0</v>
      </c>
      <c r="IB151" s="570">
        <f>VLOOKUP($GT151,Base_Mensuelle!$MC$67:$OD$680,HLOOKUP(IB$73,Base_Mensuelle!$MD$67:$OD$680,614,0))</f>
        <v>244.98443382895042</v>
      </c>
      <c r="IC151" s="570">
        <f>VLOOKUP($GT151,Base_Mensuelle!$MC$67:$OD$680,HLOOKUP(IC$73,Base_Mensuelle!$MD$67:$OD$680,614,0))</f>
        <v>176.816106789</v>
      </c>
      <c r="ID151" s="570">
        <f>VLOOKUP($GT151,Base_Mensuelle!$MC$67:$OD$680,HLOOKUP(ID$73,Base_Mensuelle!$MD$67:$OD$680,614,0))</f>
        <v>0.88775871400000006</v>
      </c>
      <c r="IE151" s="570">
        <f>VLOOKUP($GT151,Base_Mensuelle!$MC$67:$OD$680,HLOOKUP(IE$73,Base_Mensuelle!$MD$67:$OD$680,614,0))</f>
        <v>67.280568325950398</v>
      </c>
      <c r="IF151" s="570">
        <f>VLOOKUP($GT151,Base_Mensuelle!$MC$67:$OD$680,HLOOKUP(IF$73,Base_Mensuelle!$MD$67:$OD$680,614,0))</f>
        <v>-4.2654540189999972</v>
      </c>
      <c r="IG151" s="570">
        <f>VLOOKUP($GT151,Base_Mensuelle!$MC$67:$OD$680,HLOOKUP(IG$73,Base_Mensuelle!$MD$67:$OD$680,614,0))</f>
        <v>-90.607917171311314</v>
      </c>
      <c r="IH151" s="570">
        <f>VLOOKUP($GT151,Base_Mensuelle!$MC$67:$OD$680,HLOOKUP(IH$73,Base_Mensuelle!$MD$67:$OD$680,614,0))</f>
        <v>-123.51053585437181</v>
      </c>
      <c r="II151" s="570">
        <f>VLOOKUP($GT151,Base_Mensuelle!$MC$67:$OD$680,HLOOKUP(II$73,Base_Mensuelle!$MD$67:$OD$680,614,0))</f>
        <v>-13.438397555400044</v>
      </c>
      <c r="IJ151" s="570">
        <f>VLOOKUP($GT151,Base_Mensuelle!$MC$67:$OD$680,HLOOKUP(IJ$73,Base_Mensuelle!$MD$67:$OD$680,614,0))</f>
        <v>-56.229967528421419</v>
      </c>
      <c r="IK151" s="570">
        <f>VLOOKUP($GT151,Base_Mensuelle!$MC$67:$OD$680,HLOOKUP(IK$73,Base_Mensuelle!$MD$67:$OD$680,614,0))</f>
        <v>-106.59150196858126</v>
      </c>
      <c r="IL151" s="570">
        <f>VLOOKUP($GT151,Base_Mensuelle!$MC$67:$OD$680,HLOOKUP(IL$73,Base_Mensuelle!$MD$67:$OD$680,614,0))</f>
        <v>-139.49412065164177</v>
      </c>
      <c r="IM151" s="570">
        <f>VLOOKUP($GT151,Base_Mensuelle!$MC$67:$OD$680,HLOOKUP(IM$73,Base_Mensuelle!$MD$67:$OD$680,614,0))</f>
        <v>104.18913039104044</v>
      </c>
      <c r="IN151" s="570">
        <f>VLOOKUP($GT151,Base_Mensuelle!$MC$67:$OD$680,HLOOKUP(IN$73,Base_Mensuelle!$MD$67:$OD$680,614,0))</f>
        <v>24.889344975630422</v>
      </c>
      <c r="IO151" s="570">
        <f>VLOOKUP($GT151,Base_Mensuelle!$MC$67:$OD$680,HLOOKUP(IO$73,Base_Mensuelle!$MD$67:$OD$680,614,0))</f>
        <v>48.720405628889893</v>
      </c>
      <c r="IP151" s="570">
        <f>VLOOKUP($GT151,Base_Mensuelle!$MC$67:$OD$680,HLOOKUP(IP$73,Base_Mensuelle!$MD$67:$OD$680,614,0))</f>
        <v>-23.831060653259474</v>
      </c>
      <c r="IQ151" s="570">
        <f>VLOOKUP($GT151,Base_Mensuelle!$MC$67:$OD$680,HLOOKUP(IQ$73,Base_Mensuelle!$MD$67:$OD$680,614,0))</f>
        <v>0</v>
      </c>
      <c r="IR151" s="570">
        <f>VLOOKUP($GT151,Base_Mensuelle!$MC$67:$OD$680,HLOOKUP(IR$73,Base_Mensuelle!$MD$67:$OD$680,614,0))</f>
        <v>79.29978541541</v>
      </c>
      <c r="IS151" s="570">
        <f>VLOOKUP($GT151,Base_Mensuelle!$MC$67:$OD$680,HLOOKUP(IS$73,Base_Mensuelle!$MD$67:$OD$680,614,0))</f>
        <v>-48.629303448590001</v>
      </c>
      <c r="IT151" s="570">
        <f>VLOOKUP($GT151,Base_Mensuelle!$MC$67:$OD$680,HLOOKUP(IT$73,Base_Mensuelle!$MD$67:$OD$680,614,0))</f>
        <v>127.92908886399999</v>
      </c>
      <c r="IU151" s="570">
        <f>VLOOKUP($GT151,Base_Mensuelle!$MC$67:$OD$680,HLOOKUP(IU$73,Base_Mensuelle!$MD$67:$OD$680,614,0))</f>
        <v>2.4023715775408334</v>
      </c>
      <c r="IV151" s="93">
        <v>78</v>
      </c>
      <c r="IW151" s="848">
        <v>43617</v>
      </c>
      <c r="IX151" s="1035"/>
      <c r="IY151" s="93">
        <v>569.20912067417839</v>
      </c>
      <c r="IZ151" s="93">
        <v>1775.4477557080002</v>
      </c>
      <c r="JA151" s="93">
        <v>0.37876463900000001</v>
      </c>
      <c r="JB151" s="93">
        <v>1543.6570000000002</v>
      </c>
      <c r="JC151" s="93">
        <v>231.41199106899998</v>
      </c>
      <c r="JD151" s="93">
        <v>2344.6568763821788</v>
      </c>
      <c r="JE151" s="93">
        <v>1541.2351083190001</v>
      </c>
      <c r="JF151" s="93">
        <v>3885.8919847011789</v>
      </c>
      <c r="JG151" s="93"/>
      <c r="JH151" s="93">
        <v>1466.6964526651784</v>
      </c>
      <c r="JI151" s="93">
        <v>320.36845266517844</v>
      </c>
      <c r="JJ151" s="93">
        <v>1146.3279999999997</v>
      </c>
      <c r="JK151" s="93">
        <v>2911.9150151310005</v>
      </c>
      <c r="JL151" s="93">
        <v>27.193173197000078</v>
      </c>
      <c r="JM151" s="93">
        <v>-155.45282680299999</v>
      </c>
      <c r="JN151" s="93">
        <v>182.64600000000007</v>
      </c>
      <c r="JO151" s="93">
        <v>2884.7218419340002</v>
      </c>
      <c r="JP151" s="93">
        <v>7.188841934</v>
      </c>
      <c r="JQ151" s="93">
        <v>2877.5329999999999</v>
      </c>
      <c r="JR151" s="93">
        <v>686.61569364699994</v>
      </c>
      <c r="JS151" s="93">
        <v>-193.89621055199996</v>
      </c>
      <c r="JT151" s="20">
        <v>3885.8919847011789</v>
      </c>
      <c r="JU151" s="29">
        <v>78</v>
      </c>
      <c r="JV151" s="1037"/>
      <c r="JW151" s="1526">
        <v>320.36845266517844</v>
      </c>
      <c r="JX151" s="1526">
        <v>1115.2618145141785</v>
      </c>
      <c r="JY151" s="1526">
        <v>794.89336184900003</v>
      </c>
      <c r="JZ151" s="1526">
        <v>664.21500000000003</v>
      </c>
      <c r="KA151" s="1526">
        <v>-145.88860571000001</v>
      </c>
      <c r="KB151" s="1526">
        <v>114.507520906</v>
      </c>
      <c r="KC151" s="1526">
        <v>260.396126616</v>
      </c>
      <c r="KD151" s="1526">
        <v>7.188841934</v>
      </c>
      <c r="KE151" s="1526">
        <v>2.7480000000000002</v>
      </c>
      <c r="KF151" s="1526">
        <v>0</v>
      </c>
      <c r="KG151" s="1526">
        <v>0</v>
      </c>
      <c r="KH151" s="1526">
        <v>4.4408419339999998</v>
      </c>
      <c r="KI151" s="1526">
        <v>837.97206144917845</v>
      </c>
      <c r="KJ151" s="1526">
        <v>648.14734176717843</v>
      </c>
      <c r="KK151" s="1526">
        <v>189.11284672400001</v>
      </c>
      <c r="KL151" s="1526">
        <v>0.71187295800000006</v>
      </c>
      <c r="KM151" s="1526">
        <v>0</v>
      </c>
      <c r="KN151" s="1526">
        <v>1.577902076</v>
      </c>
      <c r="KO151" s="1526">
        <v>0</v>
      </c>
      <c r="KP151" s="1526">
        <v>0</v>
      </c>
      <c r="KQ151" s="1526">
        <v>1.577902076</v>
      </c>
      <c r="KR151" s="1526">
        <v>0</v>
      </c>
      <c r="KS151" s="1526">
        <v>0</v>
      </c>
      <c r="KT151" s="1526">
        <v>0</v>
      </c>
      <c r="KU151" s="1526">
        <v>10.381791571000001</v>
      </c>
      <c r="KV151" s="1526">
        <v>-4.0480662069999997</v>
      </c>
      <c r="KW151" s="1036"/>
      <c r="KX151" s="29">
        <v>78</v>
      </c>
      <c r="KY151" s="1037"/>
      <c r="KZ151" s="182">
        <v>1146.3279999999997</v>
      </c>
      <c r="LA151" s="182">
        <v>1539.4499999999998</v>
      </c>
      <c r="LB151" s="182">
        <v>-393.12200000000007</v>
      </c>
      <c r="LC151" s="182">
        <v>245.55399999999997</v>
      </c>
      <c r="LD151" s="182">
        <v>69.373999999999995</v>
      </c>
      <c r="LE151" s="182">
        <v>176.15199999999999</v>
      </c>
      <c r="LF151" s="182">
        <v>2.8000000000000001E-2</v>
      </c>
      <c r="LG151" s="182">
        <v>182.64600000000007</v>
      </c>
      <c r="LH151" s="182">
        <v>533.01100000000008</v>
      </c>
      <c r="LI151" s="182">
        <v>-350.36500000000001</v>
      </c>
      <c r="LJ151" s="182">
        <v>2877.5329999999999</v>
      </c>
      <c r="LK151" s="182">
        <v>20.335999999999999</v>
      </c>
      <c r="LL151" s="182">
        <v>38.774000000000001</v>
      </c>
      <c r="LM151" s="182">
        <v>280.65500000000003</v>
      </c>
      <c r="LN151" s="182">
        <v>2537.768</v>
      </c>
      <c r="LO151" s="182"/>
      <c r="LP151" s="182">
        <v>626.75500000000011</v>
      </c>
      <c r="LQ151" s="182">
        <v>1543.6570000000002</v>
      </c>
      <c r="LR151" s="182">
        <v>1540.902</v>
      </c>
      <c r="LS151" s="182">
        <v>0</v>
      </c>
      <c r="LT151" s="182">
        <v>146.98200000000003</v>
      </c>
      <c r="LU151" s="182">
        <v>0</v>
      </c>
      <c r="LV151" s="182">
        <v>47.430999999999997</v>
      </c>
      <c r="LW151" s="182">
        <v>0</v>
      </c>
      <c r="LX151" s="182">
        <v>0</v>
      </c>
      <c r="LY151" s="182">
        <v>480.24299999999999</v>
      </c>
      <c r="LZ151" s="182">
        <v>66.090999999999951</v>
      </c>
      <c r="MA151" s="182">
        <f>VLOOKUP($IW151,Base_Mensuelle!$OF$68:$RM$679,HLOOKUP(MA$73,Base_Mensuelle!$QG$67:$RM$680,614,0))</f>
        <v>0</v>
      </c>
      <c r="MB151" s="182">
        <f>VLOOKUP($IW151,Base_Mensuelle!$OF$68:$RM$679,HLOOKUP(MB$73,Base_Mensuelle!$QG$67:$RM$680,614,0))</f>
        <v>0</v>
      </c>
      <c r="MC151" s="182">
        <f>VLOOKUP($IW151,Base_Mensuelle!$OF$68:$RM$679,HLOOKUP(MC$73,Base_Mensuelle!$QG$67:$RM$680,614,0))</f>
        <v>0</v>
      </c>
      <c r="MD151" s="182">
        <f>VLOOKUP($IW151,Base_Mensuelle!$OF$68:$RM$679,HLOOKUP(MD$73,Base_Mensuelle!$QG$67:$RM$680,614,0))</f>
        <v>0</v>
      </c>
      <c r="ME151" s="182">
        <f>VLOOKUP($IW151,Base_Mensuelle!$OF$68:$RM$679,HLOOKUP(ME$73,Base_Mensuelle!$QG$67:$RM$680,614,0))</f>
        <v>0</v>
      </c>
      <c r="MF151" s="182"/>
      <c r="MG151" s="182"/>
      <c r="MH151" s="290"/>
      <c r="MI151" s="29">
        <v>78</v>
      </c>
      <c r="MJ151" s="29" t="str">
        <f t="shared" si="88"/>
        <v>Trimestre 22019</v>
      </c>
      <c r="MK151" s="848">
        <v>43617</v>
      </c>
      <c r="ML151" s="1991">
        <v>145.66300885197396</v>
      </c>
      <c r="MM151" s="1991">
        <v>111.55188134194881</v>
      </c>
      <c r="MN151" s="1991">
        <v>99.31642080404103</v>
      </c>
      <c r="MO151" s="1991">
        <v>100.00000000000001</v>
      </c>
      <c r="MP151" s="1991">
        <v>145.66300885197396</v>
      </c>
      <c r="MQ151" s="1991">
        <v>111.82316803619936</v>
      </c>
      <c r="MR151" s="1991">
        <v>110.50933333333326</v>
      </c>
      <c r="MS151" s="1991">
        <v>99.270832849849484</v>
      </c>
      <c r="MT151" s="1991">
        <v>100.00000000000006</v>
      </c>
      <c r="MU151" s="1991">
        <v>100</v>
      </c>
      <c r="MV151" s="1991">
        <v>100.29950046728163</v>
      </c>
      <c r="MW151" s="1991">
        <v>100.00000000000003</v>
      </c>
      <c r="MX151" s="1991">
        <v>98.412698412698447</v>
      </c>
      <c r="MY151" s="1991">
        <v>100.00000000000013</v>
      </c>
      <c r="MZ151" s="1991">
        <v>92.058648168295008</v>
      </c>
      <c r="NA151" s="1991">
        <v>100.0000000000001</v>
      </c>
      <c r="NB151" s="1991">
        <v>99.595072909889183</v>
      </c>
      <c r="NC151" s="1991">
        <v>126.70878635248681</v>
      </c>
      <c r="ND151" s="1991">
        <v>90.553930235903337</v>
      </c>
      <c r="NE151" s="1991">
        <v>100.11250961352654</v>
      </c>
      <c r="NF151" s="1991">
        <v>100.132769453073</v>
      </c>
      <c r="NG151" s="1991">
        <v>100.00000000000016</v>
      </c>
      <c r="NH151" s="1991">
        <v>100.00000000000011</v>
      </c>
      <c r="NI151" s="1991">
        <v>99.999999999999986</v>
      </c>
      <c r="NJ151" s="1991">
        <v>100</v>
      </c>
      <c r="NK151" s="1991">
        <v>106.15442347934165</v>
      </c>
      <c r="NL151" s="29">
        <v>78</v>
      </c>
    </row>
    <row r="152" spans="1:376">
      <c r="A152" s="41">
        <f t="shared" si="86"/>
        <v>2019</v>
      </c>
      <c r="B152" s="785">
        <v>43709</v>
      </c>
      <c r="C152" s="733">
        <v>168.41108523312209</v>
      </c>
      <c r="D152" s="570">
        <v>272.08805187762709</v>
      </c>
      <c r="E152" s="570">
        <v>163.84981916298295</v>
      </c>
      <c r="F152" s="570">
        <v>13.399398909023768</v>
      </c>
      <c r="G152" s="570">
        <v>0</v>
      </c>
      <c r="H152" s="570">
        <v>84.455682431897856</v>
      </c>
      <c r="I152" s="570">
        <v>25.717476088602837</v>
      </c>
      <c r="J152" s="570">
        <v>141.78731768854024</v>
      </c>
      <c r="K152" s="570">
        <v>95.750998651199765</v>
      </c>
      <c r="L152" s="570">
        <v>260.84184034752263</v>
      </c>
      <c r="M152" s="734">
        <v>149.34889777876936</v>
      </c>
      <c r="N152" s="25">
        <v>79</v>
      </c>
      <c r="O152" s="889">
        <f t="shared" si="85"/>
        <v>2019</v>
      </c>
      <c r="P152" s="29" t="str">
        <f t="shared" si="87"/>
        <v>Trimestre 32019</v>
      </c>
      <c r="Q152" s="848">
        <v>43709</v>
      </c>
      <c r="R152" s="733">
        <v>11.5</v>
      </c>
      <c r="S152" s="570">
        <v>0</v>
      </c>
      <c r="T152" s="570">
        <v>1015.2595</v>
      </c>
      <c r="U152" s="734">
        <v>21.088000000000001</v>
      </c>
      <c r="V152" s="25">
        <v>79</v>
      </c>
      <c r="W152" s="19">
        <v>0</v>
      </c>
      <c r="X152" s="93">
        <v>0</v>
      </c>
      <c r="Y152" s="570">
        <v>690.51466041902995</v>
      </c>
      <c r="Z152" s="570">
        <v>298.50066167977667</v>
      </c>
      <c r="AA152" s="570">
        <v>26.128499999999999</v>
      </c>
      <c r="AB152" s="570">
        <v>32.640999999999998</v>
      </c>
      <c r="AC152" s="570">
        <v>363.42099999999999</v>
      </c>
      <c r="AD152" s="570">
        <v>130.34160499999999</v>
      </c>
      <c r="AE152" s="734">
        <v>26.153641</v>
      </c>
      <c r="AF152" s="25">
        <v>79</v>
      </c>
      <c r="AG152" s="733">
        <v>34.686469062848403</v>
      </c>
      <c r="AH152" s="570">
        <v>38.962959109032468</v>
      </c>
      <c r="AI152" s="570">
        <v>1.1699720777825178</v>
      </c>
      <c r="AJ152" s="570">
        <v>-8.6193701722151257</v>
      </c>
      <c r="AK152" s="570">
        <v>18.10915056303244</v>
      </c>
      <c r="AL152" s="570">
        <v>9.7766552220017289E-2</v>
      </c>
      <c r="AM152" s="570">
        <v>3.9972475292489635</v>
      </c>
      <c r="AN152" s="734">
        <v>13.002414489794726</v>
      </c>
      <c r="AO152" s="733">
        <v>-17.059760997284677</v>
      </c>
      <c r="AP152" s="570">
        <v>-31.049344118365539</v>
      </c>
      <c r="AQ152" s="570">
        <v>-15.847229615819117</v>
      </c>
      <c r="AR152" s="570">
        <v>-0.6922179349832196</v>
      </c>
      <c r="AS152" s="734">
        <v>-5.882352941176471</v>
      </c>
      <c r="AT152" s="733">
        <v>2.7256023086438708</v>
      </c>
      <c r="AU152" s="570">
        <v>-8.4846355219936669</v>
      </c>
      <c r="AV152" s="734">
        <v>1.9848006513924208</v>
      </c>
      <c r="AW152" s="733">
        <v>-16.146391853567287</v>
      </c>
      <c r="AX152" s="570">
        <v>45.846619828632761</v>
      </c>
      <c r="AY152" s="570">
        <v>35.914327618671422</v>
      </c>
      <c r="AZ152" s="570">
        <v>1.5857880164058553</v>
      </c>
      <c r="BA152" s="570">
        <v>4.6173200518520545</v>
      </c>
      <c r="BB152" s="570">
        <v>-2.2253359868950326</v>
      </c>
      <c r="BC152" s="734">
        <v>19.117647058823529</v>
      </c>
      <c r="BD152" s="733">
        <v>-23.567167140433884</v>
      </c>
      <c r="BE152" s="570">
        <v>4.020845489994878</v>
      </c>
      <c r="BF152" s="570">
        <v>3.7755422797767597</v>
      </c>
      <c r="BG152" s="570">
        <v>-40.348306719320952</v>
      </c>
      <c r="BH152" s="570">
        <v>24.028569858177004</v>
      </c>
      <c r="BI152" s="570">
        <v>-9.6229569622506315</v>
      </c>
      <c r="BJ152" s="570">
        <v>2.0895182162542256</v>
      </c>
      <c r="BK152" s="734">
        <v>0</v>
      </c>
      <c r="BL152" s="733">
        <v>1.1525527267652151</v>
      </c>
      <c r="BM152" s="570">
        <v>-56.112990750346533</v>
      </c>
      <c r="BN152" s="570">
        <v>-55.262623626173514</v>
      </c>
      <c r="BO152" s="570">
        <v>-10.670775872637964</v>
      </c>
      <c r="BP152" s="570">
        <v>-5.882352941176471</v>
      </c>
      <c r="BQ152" s="734">
        <v>0</v>
      </c>
      <c r="BR152" s="733">
        <v>23.729434778589269</v>
      </c>
      <c r="BS152" s="570">
        <v>-15.654113228838115</v>
      </c>
      <c r="BT152" s="570">
        <v>7.9852771481851761</v>
      </c>
      <c r="BU152" s="734">
        <v>-64.508712866337305</v>
      </c>
      <c r="BV152" s="733">
        <v>30.039077215245019</v>
      </c>
      <c r="BW152" s="570">
        <v>-1.7279718476921957</v>
      </c>
      <c r="BX152" s="570">
        <v>10.172531337857329</v>
      </c>
      <c r="BY152" s="570">
        <v>2.3469180602428583</v>
      </c>
      <c r="BZ152" s="570">
        <v>-47.184554780322493</v>
      </c>
      <c r="CA152" s="570">
        <v>29.411764705882355</v>
      </c>
      <c r="CB152" s="734">
        <v>11.764705882352942</v>
      </c>
      <c r="CC152" s="25">
        <v>79</v>
      </c>
      <c r="CD152" s="897">
        <v>76741</v>
      </c>
      <c r="CE152" s="75">
        <v>19720253</v>
      </c>
      <c r="CF152" s="20">
        <f>6133350+14895</f>
        <v>6148245</v>
      </c>
      <c r="CG152" s="25">
        <v>79</v>
      </c>
      <c r="CH152" s="1772">
        <v>21681</v>
      </c>
      <c r="CI152" s="1773">
        <v>4587</v>
      </c>
      <c r="CJ152" s="1773">
        <v>2973</v>
      </c>
      <c r="CK152" s="1773">
        <v>7157</v>
      </c>
      <c r="CL152" s="1773">
        <v>4454</v>
      </c>
      <c r="CM152" s="1773">
        <v>432</v>
      </c>
      <c r="CN152" s="1773">
        <v>2052</v>
      </c>
      <c r="CO152" s="1773">
        <v>2043</v>
      </c>
      <c r="CP152" s="1773">
        <v>1720</v>
      </c>
      <c r="CQ152" s="1773">
        <v>1558</v>
      </c>
      <c r="CR152" s="1802">
        <v>104170</v>
      </c>
      <c r="CS152" s="1774">
        <v>140381</v>
      </c>
      <c r="CT152" s="25">
        <v>79</v>
      </c>
      <c r="CU152" s="19">
        <v>19568</v>
      </c>
      <c r="CV152" s="93">
        <v>93523</v>
      </c>
      <c r="CW152" s="93">
        <v>15121</v>
      </c>
      <c r="CX152" s="93">
        <v>1722</v>
      </c>
      <c r="CY152" s="93">
        <v>782</v>
      </c>
      <c r="CZ152" s="93">
        <v>83</v>
      </c>
      <c r="DA152" s="93">
        <v>9582</v>
      </c>
      <c r="DB152" s="20">
        <v>140381</v>
      </c>
      <c r="DC152" s="25">
        <v>79</v>
      </c>
      <c r="DD152" s="785">
        <v>43709</v>
      </c>
      <c r="DE152" s="19">
        <v>401.19193285799997</v>
      </c>
      <c r="DF152" s="20">
        <v>217.32782</v>
      </c>
      <c r="DG152" s="25">
        <v>79</v>
      </c>
      <c r="DH152" s="19">
        <v>573.87954052700002</v>
      </c>
      <c r="DI152" s="20">
        <v>1509.5025209999999</v>
      </c>
      <c r="DJ152" s="25">
        <v>79</v>
      </c>
      <c r="DK152" s="19">
        <v>401.19193285799997</v>
      </c>
      <c r="DL152" s="20">
        <v>573.87954052700002</v>
      </c>
      <c r="DM152" s="19">
        <v>-172.68760766900004</v>
      </c>
      <c r="DN152" s="20">
        <v>69.908735984834195</v>
      </c>
      <c r="DO152" s="25">
        <v>79</v>
      </c>
      <c r="DP152" s="19">
        <v>307.89546507655086</v>
      </c>
      <c r="DQ152" s="93">
        <v>216.78921025089022</v>
      </c>
      <c r="DR152" s="20">
        <v>667.48414713776026</v>
      </c>
      <c r="DS152" s="25">
        <v>79</v>
      </c>
      <c r="DT152" s="19">
        <v>75.06116086556213</v>
      </c>
      <c r="DU152" s="93">
        <v>389.13330407920682</v>
      </c>
      <c r="DV152" s="20">
        <v>292.08797535637069</v>
      </c>
      <c r="DW152" s="25">
        <v>79</v>
      </c>
      <c r="DX152" s="19">
        <v>410.19278349292432</v>
      </c>
      <c r="DY152" s="20">
        <v>129.05870523688844</v>
      </c>
      <c r="DZ152" s="25">
        <v>79</v>
      </c>
      <c r="EA152" s="19">
        <v>331.23095808100004</v>
      </c>
      <c r="EB152" s="93">
        <v>0.42970466099999999</v>
      </c>
      <c r="EC152" s="93">
        <v>0.52892210299999998</v>
      </c>
      <c r="ED152" s="93">
        <v>18.009336297000001</v>
      </c>
      <c r="EE152" s="20">
        <v>10.153730202</v>
      </c>
      <c r="EF152" s="25">
        <v>79</v>
      </c>
      <c r="EG152" s="19">
        <v>142.687390161</v>
      </c>
      <c r="EH152" s="93">
        <v>5.2906164259999997</v>
      </c>
      <c r="EI152" s="93">
        <v>12.328771046</v>
      </c>
      <c r="EJ152" s="93">
        <v>17.755260634999999</v>
      </c>
      <c r="EK152" s="20">
        <v>8.1163228140000001</v>
      </c>
      <c r="EL152" s="25">
        <v>79</v>
      </c>
      <c r="EM152" s="19">
        <v>318.08234667900001</v>
      </c>
      <c r="EN152" s="93">
        <v>0.25803967</v>
      </c>
      <c r="EO152" s="93">
        <v>22.709194475</v>
      </c>
      <c r="EP152" s="93">
        <v>0.210057137</v>
      </c>
      <c r="EQ152" s="93">
        <v>3.383991891</v>
      </c>
      <c r="ER152" s="93">
        <v>9.8301567639999998</v>
      </c>
      <c r="ES152" s="93">
        <v>1.1159009959999999</v>
      </c>
      <c r="ET152" s="93">
        <v>2.3216476570000002</v>
      </c>
      <c r="EU152" s="93">
        <v>0.392538887</v>
      </c>
      <c r="EV152" s="20">
        <v>2.842190338</v>
      </c>
      <c r="EW152" s="25">
        <v>79</v>
      </c>
      <c r="EX152" s="1803">
        <v>63.845431714999997</v>
      </c>
      <c r="EY152" s="975">
        <v>12.264648192999999</v>
      </c>
      <c r="EZ152" s="975">
        <v>43.275934186999997</v>
      </c>
      <c r="FA152" s="975">
        <v>3.024550756</v>
      </c>
      <c r="FB152" s="975">
        <v>61.881929827999997</v>
      </c>
      <c r="FC152" s="975">
        <v>48.223064432000001</v>
      </c>
      <c r="FD152" s="975">
        <v>1.7396545269999999</v>
      </c>
      <c r="FE152" s="975">
        <v>18.639582263000001</v>
      </c>
      <c r="FF152" s="975">
        <v>11.774596781</v>
      </c>
      <c r="FG152" s="976">
        <v>25.941654138000001</v>
      </c>
      <c r="FH152" s="25">
        <v>79</v>
      </c>
      <c r="FI152" s="848">
        <v>43709</v>
      </c>
      <c r="FJ152" s="1532">
        <v>2564</v>
      </c>
      <c r="FK152" s="1533">
        <v>2002</v>
      </c>
      <c r="FL152" s="1534">
        <v>0</v>
      </c>
      <c r="FM152" s="25">
        <v>79</v>
      </c>
      <c r="FN152" s="1532">
        <v>112</v>
      </c>
      <c r="FO152" s="1533">
        <v>1344</v>
      </c>
      <c r="FP152" s="1533">
        <v>1712</v>
      </c>
      <c r="FQ152" s="1533">
        <v>928</v>
      </c>
      <c r="FR152" s="1533">
        <v>338</v>
      </c>
      <c r="FS152" s="1533">
        <v>109</v>
      </c>
      <c r="FT152" s="1533">
        <v>16</v>
      </c>
      <c r="FU152" s="1533">
        <v>6</v>
      </c>
      <c r="FV152" s="1533">
        <v>1</v>
      </c>
      <c r="FW152" s="1531">
        <v>0</v>
      </c>
      <c r="FX152" s="25">
        <v>79</v>
      </c>
      <c r="FY152" s="1530">
        <v>26</v>
      </c>
      <c r="FZ152" s="1530">
        <v>110</v>
      </c>
      <c r="GA152" s="1530">
        <v>400</v>
      </c>
      <c r="GB152" s="1530">
        <v>161</v>
      </c>
      <c r="GC152" s="1530">
        <v>1097</v>
      </c>
      <c r="GD152" s="1530">
        <v>569</v>
      </c>
      <c r="GE152" s="1530">
        <v>1097</v>
      </c>
      <c r="GF152" s="1530">
        <v>250</v>
      </c>
      <c r="GG152" s="1530">
        <v>9</v>
      </c>
      <c r="GH152" s="1530">
        <v>748</v>
      </c>
      <c r="GI152" s="1531">
        <v>99</v>
      </c>
      <c r="GJ152" s="25">
        <v>79</v>
      </c>
      <c r="GK152" s="19"/>
      <c r="GL152" s="20"/>
      <c r="GM152" s="25"/>
      <c r="GN152" s="19">
        <v>4752</v>
      </c>
      <c r="GO152" s="20">
        <v>1985</v>
      </c>
      <c r="GP152" s="25">
        <v>79</v>
      </c>
      <c r="GQ152" s="19">
        <v>31</v>
      </c>
      <c r="GR152" s="20">
        <v>30</v>
      </c>
      <c r="GS152" s="25">
        <v>79</v>
      </c>
      <c r="GT152" s="848">
        <v>43709</v>
      </c>
      <c r="GU152" s="733">
        <f>VLOOKUP($GT152,Base_Mensuelle!$MC$67:$OD$680,HLOOKUP(GU$73,Base_Mensuelle!$MD$67:$OD$680,614,0))</f>
        <v>1406.2819492592855</v>
      </c>
      <c r="GV152" s="570">
        <f>VLOOKUP($GT152,Base_Mensuelle!$MC$67:$OD$680,HLOOKUP(GV$73,Base_Mensuelle!$MD$67:$OD$680,614,0))</f>
        <v>1360.6440124794285</v>
      </c>
      <c r="GW152" s="570">
        <f>VLOOKUP($GT152,Base_Mensuelle!$MC$67:$OD$680,HLOOKUP(GW$73,Base_Mensuelle!$MD$67:$OD$680,614,0))</f>
        <v>1360.6440124794285</v>
      </c>
      <c r="GX152" s="570">
        <f>VLOOKUP($GT152,Base_Mensuelle!$MC$67:$OD$680,HLOOKUP(GX$73,Base_Mensuelle!$MD$67:$OD$680,614,0))</f>
        <v>1080.8988036744288</v>
      </c>
      <c r="GY152" s="570">
        <f>VLOOKUP($GT152,Base_Mensuelle!$MC$67:$OD$680,HLOOKUP(GY$73,Base_Mensuelle!$MD$67:$OD$680,614,0))</f>
        <v>337.9587908028401</v>
      </c>
      <c r="GZ152" s="570">
        <f>VLOOKUP($GT152,Base_Mensuelle!$MC$67:$OD$680,HLOOKUP(GZ$73,Base_Mensuelle!$MD$67:$OD$680,614,0))</f>
        <v>9.7774150080174387</v>
      </c>
      <c r="HA152" s="570">
        <f>VLOOKUP($GT152,Base_Mensuelle!$MC$67:$OD$680,HLOOKUP(HA$73,Base_Mensuelle!$MD$67:$OD$680,614,0))</f>
        <v>6.1767715226905677</v>
      </c>
      <c r="HB152" s="570">
        <f>VLOOKUP($GT152,Base_Mensuelle!$MC$67:$OD$680,HLOOKUP(HB$73,Base_Mensuelle!$MD$67:$OD$680,614,0))</f>
        <v>572.62863778721533</v>
      </c>
      <c r="HC152" s="570">
        <f>VLOOKUP($GT152,Base_Mensuelle!$MC$67:$OD$680,HLOOKUP(HC$73,Base_Mensuelle!$MD$67:$OD$680,614,0))</f>
        <v>146.16969171900001</v>
      </c>
      <c r="HD152" s="570">
        <f>VLOOKUP($GT152,Base_Mensuelle!$MC$67:$OD$680,HLOOKUP(HD$73,Base_Mensuelle!$MD$67:$OD$680,614,0))</f>
        <v>8.1874968346650672</v>
      </c>
      <c r="HE152" s="570">
        <f>VLOOKUP($GT152,Base_Mensuelle!$MC$67:$OD$680,HLOOKUP(HE$73,Base_Mensuelle!$MD$67:$OD$680,614,0))</f>
        <v>279.745208805</v>
      </c>
      <c r="HF152" s="570">
        <f>VLOOKUP($GT152,Base_Mensuelle!$MC$67:$OD$680,HLOOKUP(HF$73,Base_Mensuelle!$MD$67:$OD$680,614,0))</f>
        <v>4.9282246489999997</v>
      </c>
      <c r="HG152" s="570">
        <f>VLOOKUP($GT152,Base_Mensuelle!$MC$67:$OD$680,HLOOKUP(HG$73,Base_Mensuelle!$MD$67:$OD$680,614,0))</f>
        <v>142.21699114799998</v>
      </c>
      <c r="HH152" s="570">
        <f>VLOOKUP($GT152,Base_Mensuelle!$MC$67:$OD$680,HLOOKUP(HH$73,Base_Mensuelle!$MD$67:$OD$680,614,0))</f>
        <v>1.6970597450000005</v>
      </c>
      <c r="HI152" s="570">
        <f>VLOOKUP($GT152,Base_Mensuelle!$MC$67:$OD$680,HLOOKUP(HI$73,Base_Mensuelle!$MD$67:$OD$680,614,0))</f>
        <v>43.195117928000002</v>
      </c>
      <c r="HJ152" s="570">
        <f>VLOOKUP($GT152,Base_Mensuelle!$MC$67:$OD$680,HLOOKUP(HJ$73,Base_Mensuelle!$MD$67:$OD$680,614,0))</f>
        <v>87.707815334999978</v>
      </c>
      <c r="HK152" s="570">
        <f>VLOOKUP($GT152,Base_Mensuelle!$MC$67:$OD$680,HLOOKUP(HK$73,Base_Mensuelle!$MD$67:$OD$680,614,0))</f>
        <v>0</v>
      </c>
      <c r="HL152" s="570">
        <f>VLOOKUP($GT152,Base_Mensuelle!$MC$67:$OD$680,HLOOKUP(HL$73,Base_Mensuelle!$MD$67:$OD$680,614,0))</f>
        <v>45.637936779856979</v>
      </c>
      <c r="HM152" s="570">
        <f>VLOOKUP($GT152,Base_Mensuelle!$MC$67:$OD$680,HLOOKUP(HM$73,Base_Mensuelle!$MD$67:$OD$680,614,0))</f>
        <v>32.770041299856985</v>
      </c>
      <c r="HN152" s="570">
        <f>VLOOKUP($GT152,Base_Mensuelle!$MC$67:$OD$680,HLOOKUP(HN$73,Base_Mensuelle!$MD$67:$OD$680,614,0))</f>
        <v>12.86789548</v>
      </c>
      <c r="HO152" s="570">
        <f>VLOOKUP($GT152,Base_Mensuelle!$MC$67:$OD$680,HLOOKUP(HO$73,Base_Mensuelle!$MD$67:$OD$680,614,0))</f>
        <v>1579.626642406927</v>
      </c>
      <c r="HP152" s="570">
        <f>VLOOKUP($GT152,Base_Mensuelle!$MC$67:$OD$680,HLOOKUP(HP$73,Base_Mensuelle!$MD$67:$OD$680,614,0))</f>
        <v>1591.4871095169269</v>
      </c>
      <c r="HQ152" s="570">
        <f>VLOOKUP($GT152,Base_Mensuelle!$MC$67:$OD$680,HLOOKUP(HQ$73,Base_Mensuelle!$MD$67:$OD$680,614,0))</f>
        <v>1263.4690515774616</v>
      </c>
      <c r="HR152" s="570">
        <f>VLOOKUP($GT152,Base_Mensuelle!$MC$67:$OD$680,HLOOKUP(HR$73,Base_Mensuelle!$MD$67:$OD$680,614,0))</f>
        <v>632.32031799499998</v>
      </c>
      <c r="HS152" s="570">
        <f>VLOOKUP($GT152,Base_Mensuelle!$MC$67:$OD$680,HLOOKUP(HS$73,Base_Mensuelle!$MD$67:$OD$680,614,0))</f>
        <v>117.99084950300001</v>
      </c>
      <c r="HT152" s="570">
        <f>VLOOKUP($GT152,Base_Mensuelle!$MC$67:$OD$680,HLOOKUP(HT$73,Base_Mensuelle!$MD$67:$OD$680,614,0))</f>
        <v>70.644402530561578</v>
      </c>
      <c r="HU152" s="570">
        <f>VLOOKUP($GT152,Base_Mensuelle!$MC$67:$OD$680,HLOOKUP(HU$73,Base_Mensuelle!$MD$67:$OD$680,614,0))</f>
        <v>55.794117601000004</v>
      </c>
      <c r="HV152" s="570">
        <f>VLOOKUP($GT152,Base_Mensuelle!$MC$67:$OD$680,HLOOKUP(HV$73,Base_Mensuelle!$MD$67:$OD$680,614,0))</f>
        <v>14.850284929561578</v>
      </c>
      <c r="HW152" s="570">
        <f>VLOOKUP($GT152,Base_Mensuelle!$MC$67:$OD$680,HLOOKUP(HW$73,Base_Mensuelle!$MD$67:$OD$680,614,0))</f>
        <v>442.51348154890002</v>
      </c>
      <c r="HX152" s="570">
        <f>VLOOKUP($GT152,Base_Mensuelle!$MC$67:$OD$680,HLOOKUP(HX$73,Base_Mensuelle!$MD$67:$OD$680,614,0))</f>
        <v>8.0057770638000001</v>
      </c>
      <c r="HY152" s="570">
        <f>VLOOKUP($GT152,Base_Mensuelle!$MC$67:$OD$680,HLOOKUP(HY$73,Base_Mensuelle!$MD$67:$OD$680,614,0))</f>
        <v>94.53412445299999</v>
      </c>
      <c r="HZ152" s="570">
        <f>VLOOKUP($GT152,Base_Mensuelle!$MC$67:$OD$680,HLOOKUP(HZ$73,Base_Mensuelle!$MD$67:$OD$680,614,0))</f>
        <v>0</v>
      </c>
      <c r="IA152" s="570">
        <f>VLOOKUP($GT152,Base_Mensuelle!$MC$67:$OD$680,HLOOKUP(IA$73,Base_Mensuelle!$MD$67:$OD$680,614,0))</f>
        <v>76</v>
      </c>
      <c r="IB152" s="570">
        <f>VLOOKUP($GT152,Base_Mensuelle!$MC$67:$OD$680,HLOOKUP(IB$73,Base_Mensuelle!$MD$67:$OD$680,614,0))</f>
        <v>328.01805793946528</v>
      </c>
      <c r="IC152" s="570">
        <f>VLOOKUP($GT152,Base_Mensuelle!$MC$67:$OD$680,HLOOKUP(IC$73,Base_Mensuelle!$MD$67:$OD$680,614,0))</f>
        <v>232.85694697400001</v>
      </c>
      <c r="ID152" s="570">
        <f>VLOOKUP($GT152,Base_Mensuelle!$MC$67:$OD$680,HLOOKUP(ID$73,Base_Mensuelle!$MD$67:$OD$680,614,0))</f>
        <v>1.3071919590000001</v>
      </c>
      <c r="IE152" s="570">
        <f>VLOOKUP($GT152,Base_Mensuelle!$MC$67:$OD$680,HLOOKUP(IE$73,Base_Mensuelle!$MD$67:$OD$680,614,0))</f>
        <v>93.853919006465318</v>
      </c>
      <c r="IF152" s="570">
        <f>VLOOKUP($GT152,Base_Mensuelle!$MC$67:$OD$680,HLOOKUP(IF$73,Base_Mensuelle!$MD$67:$OD$680,614,0))</f>
        <v>-11.86046711</v>
      </c>
      <c r="IG152" s="570">
        <f>VLOOKUP($GT152,Base_Mensuelle!$MC$67:$OD$680,HLOOKUP(IG$73,Base_Mensuelle!$MD$67:$OD$680,614,0))</f>
        <v>-173.34469314764141</v>
      </c>
      <c r="IH152" s="570">
        <f>VLOOKUP($GT152,Base_Mensuelle!$MC$67:$OD$680,HLOOKUP(IH$73,Base_Mensuelle!$MD$67:$OD$680,614,0))</f>
        <v>-218.98262992749841</v>
      </c>
      <c r="II152" s="570">
        <f>VLOOKUP($GT152,Base_Mensuelle!$MC$67:$OD$680,HLOOKUP(II$73,Base_Mensuelle!$MD$67:$OD$680,614,0))</f>
        <v>-54.484308390471476</v>
      </c>
      <c r="IJ152" s="570">
        <f>VLOOKUP($GT152,Base_Mensuelle!$MC$67:$OD$680,HLOOKUP(IJ$73,Base_Mensuelle!$MD$67:$OD$680,614,0))</f>
        <v>-125.12871092103309</v>
      </c>
      <c r="IK152" s="570">
        <f>VLOOKUP($GT152,Base_Mensuelle!$MC$67:$OD$680,HLOOKUP(IK$73,Base_Mensuelle!$MD$67:$OD$680,614,0))</f>
        <v>-230.50430910164133</v>
      </c>
      <c r="IL152" s="570">
        <f>VLOOKUP($GT152,Base_Mensuelle!$MC$67:$OD$680,HLOOKUP(IL$73,Base_Mensuelle!$MD$67:$OD$680,614,0))</f>
        <v>-276.14224588149835</v>
      </c>
      <c r="IM152" s="570">
        <f>VLOOKUP($GT152,Base_Mensuelle!$MC$67:$OD$680,HLOOKUP(IM$73,Base_Mensuelle!$MD$67:$OD$680,614,0))</f>
        <v>226.05230705706836</v>
      </c>
      <c r="IN152" s="570">
        <f>VLOOKUP($GT152,Base_Mensuelle!$MC$67:$OD$680,HLOOKUP(IN$73,Base_Mensuelle!$MD$67:$OD$680,614,0))</f>
        <v>92.36017377524837</v>
      </c>
      <c r="IO152" s="570">
        <f>VLOOKUP($GT152,Base_Mensuelle!$MC$67:$OD$680,HLOOKUP(IO$73,Base_Mensuelle!$MD$67:$OD$680,614,0))</f>
        <v>126.57984141260833</v>
      </c>
      <c r="IP152" s="570">
        <f>VLOOKUP($GT152,Base_Mensuelle!$MC$67:$OD$680,HLOOKUP(IP$73,Base_Mensuelle!$MD$67:$OD$680,614,0))</f>
        <v>-34.219667637359976</v>
      </c>
      <c r="IQ152" s="570">
        <f>VLOOKUP($GT152,Base_Mensuelle!$MC$67:$OD$680,HLOOKUP(IQ$73,Base_Mensuelle!$MD$67:$OD$680,614,0))</f>
        <v>0</v>
      </c>
      <c r="IR152" s="570">
        <f>VLOOKUP($GT152,Base_Mensuelle!$MC$67:$OD$680,HLOOKUP(IR$73,Base_Mensuelle!$MD$67:$OD$680,614,0))</f>
        <v>133.69213328181999</v>
      </c>
      <c r="IS152" s="570">
        <f>VLOOKUP($GT152,Base_Mensuelle!$MC$67:$OD$680,HLOOKUP(IS$73,Base_Mensuelle!$MD$67:$OD$680,614,0))</f>
        <v>-3.621931755180007</v>
      </c>
      <c r="IT152" s="570">
        <f>VLOOKUP($GT152,Base_Mensuelle!$MC$67:$OD$680,HLOOKUP(IT$73,Base_Mensuelle!$MD$67:$OD$680,614,0))</f>
        <v>137.31406503700001</v>
      </c>
      <c r="IU152" s="570">
        <f>VLOOKUP($GT152,Base_Mensuelle!$MC$67:$OD$680,HLOOKUP(IU$73,Base_Mensuelle!$MD$67:$OD$680,614,0))</f>
        <v>4.4520020445729607</v>
      </c>
      <c r="IV152" s="93">
        <v>79</v>
      </c>
      <c r="IW152" s="848">
        <v>43709</v>
      </c>
      <c r="IX152" s="93"/>
      <c r="IY152" s="93">
        <v>551.21624763900002</v>
      </c>
      <c r="IZ152" s="93">
        <v>1647.4617635460002</v>
      </c>
      <c r="JA152" s="93">
        <v>0.58877247700000002</v>
      </c>
      <c r="JB152" s="93">
        <v>1415.4610000000002</v>
      </c>
      <c r="JC152" s="93">
        <v>231.41199106899998</v>
      </c>
      <c r="JD152" s="93">
        <v>2198.6780111850003</v>
      </c>
      <c r="JE152" s="93">
        <v>1559.998108319</v>
      </c>
      <c r="JF152" s="93">
        <v>3758.6761195040003</v>
      </c>
      <c r="JG152" s="93"/>
      <c r="JH152" s="93">
        <v>1306.5900266479998</v>
      </c>
      <c r="JI152" s="93">
        <v>161.52302664799981</v>
      </c>
      <c r="JJ152" s="93">
        <v>1145.0670000000002</v>
      </c>
      <c r="JK152" s="93">
        <v>2988.6796773680003</v>
      </c>
      <c r="JL152" s="93">
        <v>64.570710509000023</v>
      </c>
      <c r="JM152" s="93">
        <v>-73.596289491000007</v>
      </c>
      <c r="JN152" s="93">
        <v>138.16700000000003</v>
      </c>
      <c r="JO152" s="93">
        <v>2924.1089668590002</v>
      </c>
      <c r="JP152" s="93">
        <v>7.3519668590000009</v>
      </c>
      <c r="JQ152" s="93">
        <v>2916.7570000000001</v>
      </c>
      <c r="JR152" s="93">
        <v>717.61284506899995</v>
      </c>
      <c r="JS152" s="93">
        <v>-181.01926055699991</v>
      </c>
      <c r="JT152" s="20">
        <v>3758.6761195040003</v>
      </c>
      <c r="JU152" s="29">
        <v>79</v>
      </c>
      <c r="JV152" s="19"/>
      <c r="JW152" s="570">
        <v>161.52302664799981</v>
      </c>
      <c r="JX152" s="570">
        <v>1198.3572932449997</v>
      </c>
      <c r="JY152" s="570">
        <v>1036.8342665969999</v>
      </c>
      <c r="JZ152" s="570">
        <v>741.87699999999995</v>
      </c>
      <c r="KA152" s="570">
        <v>-64.032068398000007</v>
      </c>
      <c r="KB152" s="570">
        <v>126.951896178</v>
      </c>
      <c r="KC152" s="570">
        <v>190.98396457600001</v>
      </c>
      <c r="KD152" s="570">
        <v>7.3519668590000009</v>
      </c>
      <c r="KE152" s="570">
        <v>2.7679999999999998</v>
      </c>
      <c r="KF152" s="570">
        <v>0</v>
      </c>
      <c r="KG152" s="570">
        <v>0</v>
      </c>
      <c r="KH152" s="570">
        <v>4.5839668590000011</v>
      </c>
      <c r="KI152" s="570">
        <v>825.72287555000003</v>
      </c>
      <c r="KJ152" s="570">
        <v>632.28046873200003</v>
      </c>
      <c r="KK152" s="570">
        <v>192.52052602200001</v>
      </c>
      <c r="KL152" s="570">
        <v>0.92188079599999995</v>
      </c>
      <c r="KM152" s="570">
        <v>0</v>
      </c>
      <c r="KN152" s="570">
        <v>0.35873296100000002</v>
      </c>
      <c r="KO152" s="570">
        <v>0</v>
      </c>
      <c r="KP152" s="570">
        <v>0</v>
      </c>
      <c r="KQ152" s="570">
        <v>0.35873296100000002</v>
      </c>
      <c r="KR152" s="570">
        <v>0</v>
      </c>
      <c r="KS152" s="570">
        <v>0</v>
      </c>
      <c r="KT152" s="570">
        <v>0</v>
      </c>
      <c r="KU152" s="570">
        <v>16.360112107999999</v>
      </c>
      <c r="KV152" s="570">
        <v>4.2782044899999994</v>
      </c>
      <c r="KW152" s="20"/>
      <c r="KX152" s="29">
        <v>79</v>
      </c>
      <c r="KY152" s="19"/>
      <c r="KZ152" s="1527">
        <v>1145.0670000000002</v>
      </c>
      <c r="LA152" s="1527">
        <v>1498.0400000000002</v>
      </c>
      <c r="LB152" s="1527">
        <v>-352.97300000000001</v>
      </c>
      <c r="LC152" s="1527">
        <v>300.71199999999999</v>
      </c>
      <c r="LD152" s="1527">
        <v>71.5</v>
      </c>
      <c r="LE152" s="1527">
        <v>229.21199999999999</v>
      </c>
      <c r="LF152" s="1527">
        <v>0</v>
      </c>
      <c r="LG152" s="1527">
        <v>138.16700000000003</v>
      </c>
      <c r="LH152" s="1527">
        <v>501.15500000000003</v>
      </c>
      <c r="LI152" s="1527">
        <v>-362.988</v>
      </c>
      <c r="LJ152" s="1527">
        <v>2916.7570000000001</v>
      </c>
      <c r="LK152" s="1527">
        <v>14.045999999999999</v>
      </c>
      <c r="LL152" s="1527">
        <v>37.873000000000005</v>
      </c>
      <c r="LM152" s="1527">
        <v>266.71199999999999</v>
      </c>
      <c r="LN152" s="1527">
        <v>2598.1260000000002</v>
      </c>
      <c r="LO152" s="1527"/>
      <c r="LP152" s="1527">
        <v>742.51900000000001</v>
      </c>
      <c r="LQ152" s="1527">
        <v>1415.461</v>
      </c>
      <c r="LR152" s="1527">
        <v>1559.665</v>
      </c>
      <c r="LS152" s="1527">
        <v>0</v>
      </c>
      <c r="LT152" s="1527">
        <v>144.214</v>
      </c>
      <c r="LU152" s="1527">
        <v>0</v>
      </c>
      <c r="LV152" s="1527">
        <v>35.137</v>
      </c>
      <c r="LW152" s="1527">
        <v>0</v>
      </c>
      <c r="LX152" s="1527">
        <v>0</v>
      </c>
      <c r="LY152" s="1527">
        <v>521.54300000000001</v>
      </c>
      <c r="LZ152" s="1527">
        <v>82.163999999999987</v>
      </c>
      <c r="MA152" s="1527">
        <f>VLOOKUP($IW152,Base_Mensuelle!$OF$68:$RM$679,HLOOKUP(MA$73,Base_Mensuelle!$QG$67:$RM$680,614,0))</f>
        <v>0</v>
      </c>
      <c r="MB152" s="1527">
        <f>VLOOKUP($IW152,Base_Mensuelle!$OF$68:$RM$679,HLOOKUP(MB$73,Base_Mensuelle!$QG$67:$RM$680,614,0))</f>
        <v>0</v>
      </c>
      <c r="MC152" s="1527">
        <f>VLOOKUP($IW152,Base_Mensuelle!$OF$68:$RM$679,HLOOKUP(MC$73,Base_Mensuelle!$QG$67:$RM$680,614,0))</f>
        <v>0</v>
      </c>
      <c r="MD152" s="1527">
        <f>VLOOKUP($IW152,Base_Mensuelle!$OF$68:$RM$679,HLOOKUP(MD$73,Base_Mensuelle!$QG$67:$RM$680,614,0))</f>
        <v>0</v>
      </c>
      <c r="ME152" s="1527">
        <f>VLOOKUP($IW152,Base_Mensuelle!$OF$68:$RM$679,HLOOKUP(ME$73,Base_Mensuelle!$QG$67:$RM$680,614,0))</f>
        <v>0</v>
      </c>
      <c r="MF152" s="1527"/>
      <c r="MG152" s="1527"/>
      <c r="MH152" s="1528"/>
      <c r="MI152" s="29">
        <v>79</v>
      </c>
      <c r="MJ152" s="29" t="str">
        <f t="shared" si="88"/>
        <v>Trimestre 32019</v>
      </c>
      <c r="MK152" s="848">
        <v>43709</v>
      </c>
      <c r="ML152" s="1991">
        <v>145.66300885197396</v>
      </c>
      <c r="MM152" s="1991">
        <v>126.90065598638252</v>
      </c>
      <c r="MN152" s="1991">
        <v>99.253904857525015</v>
      </c>
      <c r="MO152" s="1991">
        <v>100.00000000000001</v>
      </c>
      <c r="MP152" s="1991">
        <v>145.66300885197396</v>
      </c>
      <c r="MQ152" s="1991">
        <v>127.35218908790165</v>
      </c>
      <c r="MR152" s="1991">
        <v>123.51466666666651</v>
      </c>
      <c r="MS152" s="1991">
        <v>99.155061197637153</v>
      </c>
      <c r="MT152" s="1991">
        <v>100.00000000000006</v>
      </c>
      <c r="MU152" s="1991">
        <v>100</v>
      </c>
      <c r="MV152" s="1991">
        <v>100.29950046728163</v>
      </c>
      <c r="MW152" s="1991">
        <v>100.00000000000003</v>
      </c>
      <c r="MX152" s="1991">
        <v>98.412698412698447</v>
      </c>
      <c r="MY152" s="1991">
        <v>100.00000000000013</v>
      </c>
      <c r="MZ152" s="1991">
        <v>92.058648168295008</v>
      </c>
      <c r="NA152" s="1991">
        <v>100.0000000000001</v>
      </c>
      <c r="NB152" s="1991">
        <v>99.520059986082757</v>
      </c>
      <c r="NC152" s="1991">
        <v>126.70878635248681</v>
      </c>
      <c r="ND152" s="1991">
        <v>90.553930235903337</v>
      </c>
      <c r="NE152" s="1991">
        <v>100.11250961352654</v>
      </c>
      <c r="NF152" s="1991">
        <v>100.132769453073</v>
      </c>
      <c r="NG152" s="1991">
        <v>100.00000000000016</v>
      </c>
      <c r="NH152" s="1991">
        <v>100.00000000000011</v>
      </c>
      <c r="NI152" s="1991">
        <v>99.999999999999986</v>
      </c>
      <c r="NJ152" s="1991">
        <v>100</v>
      </c>
      <c r="NK152" s="1991">
        <v>113.42016020188099</v>
      </c>
      <c r="NL152" s="29">
        <v>79</v>
      </c>
    </row>
    <row r="153" spans="1:376">
      <c r="A153" s="41">
        <f t="shared" si="86"/>
        <v>2019</v>
      </c>
      <c r="B153" s="785">
        <v>43800</v>
      </c>
      <c r="C153" s="733">
        <v>203.06449665204465</v>
      </c>
      <c r="D153" s="570">
        <v>392.40192226683422</v>
      </c>
      <c r="E153" s="570">
        <v>98.499722525211936</v>
      </c>
      <c r="F153" s="570">
        <v>45.198248114156861</v>
      </c>
      <c r="G153" s="570">
        <v>0</v>
      </c>
      <c r="H153" s="570">
        <v>79.712022380655313</v>
      </c>
      <c r="I153" s="570">
        <v>28.639690041353649</v>
      </c>
      <c r="J153" s="570">
        <v>136.90087104643058</v>
      </c>
      <c r="K153" s="570">
        <v>80.685625172570909</v>
      </c>
      <c r="L153" s="570">
        <v>282.11882273315325</v>
      </c>
      <c r="M153" s="734">
        <v>167.45553957970557</v>
      </c>
      <c r="N153" s="25">
        <v>80</v>
      </c>
      <c r="O153" s="889">
        <f t="shared" si="85"/>
        <v>2019</v>
      </c>
      <c r="P153" s="29" t="str">
        <f t="shared" si="87"/>
        <v>Trimestre 42019</v>
      </c>
      <c r="Q153" s="848">
        <v>43800</v>
      </c>
      <c r="R153" s="733">
        <v>13.2</v>
      </c>
      <c r="S153" s="570">
        <v>41.995069000000001</v>
      </c>
      <c r="T153" s="570">
        <v>1015.2595</v>
      </c>
      <c r="U153" s="734">
        <v>24.164999999999999</v>
      </c>
      <c r="V153" s="25">
        <v>80</v>
      </c>
      <c r="W153" s="19">
        <v>3686</v>
      </c>
      <c r="X153" s="19">
        <v>11853</v>
      </c>
      <c r="Y153" s="570">
        <v>832.40789269331719</v>
      </c>
      <c r="Z153" s="570">
        <v>443.38548810057188</v>
      </c>
      <c r="AA153" s="570">
        <v>25.736499999999999</v>
      </c>
      <c r="AB153" s="570">
        <v>78.468999999999994</v>
      </c>
      <c r="AC153" s="570">
        <v>706.81500000000005</v>
      </c>
      <c r="AD153" s="570">
        <v>123.592612</v>
      </c>
      <c r="AE153" s="734">
        <v>28.287004873432707</v>
      </c>
      <c r="AF153" s="25">
        <v>80</v>
      </c>
      <c r="AG153" s="733">
        <v>13.408479576521888</v>
      </c>
      <c r="AH153" s="570">
        <v>9.9536269316788797</v>
      </c>
      <c r="AI153" s="570">
        <v>21.093777609270457</v>
      </c>
      <c r="AJ153" s="570">
        <v>-4.2356587045074825</v>
      </c>
      <c r="AK153" s="570">
        <v>15.521260100889569</v>
      </c>
      <c r="AL153" s="570">
        <v>6.5880174405587084</v>
      </c>
      <c r="AM153" s="570">
        <v>12.723578524034778</v>
      </c>
      <c r="AN153" s="734">
        <v>2.7810800157442337</v>
      </c>
      <c r="AO153" s="733">
        <v>27.583717650134808</v>
      </c>
      <c r="AP153" s="570">
        <v>30.25385747684561</v>
      </c>
      <c r="AQ153" s="570">
        <v>0.55027810427199597</v>
      </c>
      <c r="AR153" s="570">
        <v>-6.6465070887509974</v>
      </c>
      <c r="AS153" s="734">
        <v>-12.162162162162161</v>
      </c>
      <c r="AT153" s="733">
        <v>17.816341334973387</v>
      </c>
      <c r="AU153" s="570">
        <v>-23.899262444767817</v>
      </c>
      <c r="AV153" s="734">
        <v>-0.91806755953792751</v>
      </c>
      <c r="AW153" s="733">
        <v>-14.191821356920189</v>
      </c>
      <c r="AX153" s="570">
        <v>44.41191575038895</v>
      </c>
      <c r="AY153" s="570">
        <v>44.825785584736742</v>
      </c>
      <c r="AZ153" s="570">
        <v>23.402120660783474</v>
      </c>
      <c r="BA153" s="570">
        <v>-3.6079262820317233</v>
      </c>
      <c r="BB153" s="570">
        <v>1.958302237154868</v>
      </c>
      <c r="BC153" s="734">
        <v>5.4054054054054053</v>
      </c>
      <c r="BD153" s="19">
        <v>40.613690328959507</v>
      </c>
      <c r="BE153" s="93">
        <v>40.613690328959507</v>
      </c>
      <c r="BF153" s="93">
        <v>42.916089404251096</v>
      </c>
      <c r="BG153" s="93">
        <v>-5.258750070249703</v>
      </c>
      <c r="BH153" s="93">
        <v>-0.70037447374673656</v>
      </c>
      <c r="BI153" s="93">
        <v>-3.559797870984589</v>
      </c>
      <c r="BJ153" s="93">
        <v>14.823602345328849</v>
      </c>
      <c r="BK153" s="20">
        <v>0</v>
      </c>
      <c r="BL153" s="19">
        <v>32.662387886175523</v>
      </c>
      <c r="BM153" s="93">
        <v>32.662387886175523</v>
      </c>
      <c r="BN153" s="93">
        <v>-8.0328202181958641</v>
      </c>
      <c r="BO153" s="93">
        <v>-5.258750070249703</v>
      </c>
      <c r="BP153" s="93">
        <v>-9.0909090909090917</v>
      </c>
      <c r="BQ153" s="20">
        <v>-18.18181818181818</v>
      </c>
      <c r="BR153" s="19">
        <v>47.492744071233467</v>
      </c>
      <c r="BS153" s="93">
        <v>-64.510908151260992</v>
      </c>
      <c r="BT153" s="93">
        <v>-2.7109457197411881</v>
      </c>
      <c r="BU153" s="20">
        <v>-27.417635070914741</v>
      </c>
      <c r="BV153" s="19">
        <v>80.148354762788955</v>
      </c>
      <c r="BW153" s="93">
        <v>80.148354762788955</v>
      </c>
      <c r="BX153" s="93">
        <v>64.77645710920018</v>
      </c>
      <c r="BY153" s="93">
        <v>-5.8989694720161454</v>
      </c>
      <c r="BZ153" s="93">
        <v>4.9117587802479488</v>
      </c>
      <c r="CA153" s="93">
        <v>27.272727272727273</v>
      </c>
      <c r="CB153" s="20">
        <v>27.272727272727273</v>
      </c>
      <c r="CC153" s="25">
        <v>80</v>
      </c>
      <c r="CD153" s="897">
        <v>75291</v>
      </c>
      <c r="CE153" s="75">
        <v>20364508</v>
      </c>
      <c r="CF153" s="20">
        <f>13124+6441178</f>
        <v>6454302</v>
      </c>
      <c r="CG153" s="25">
        <v>80</v>
      </c>
      <c r="CH153" s="1772">
        <v>20021</v>
      </c>
      <c r="CI153" s="1773">
        <v>4527</v>
      </c>
      <c r="CJ153" s="1773">
        <v>2024</v>
      </c>
      <c r="CK153" s="1773">
        <v>7637</v>
      </c>
      <c r="CL153" s="1773">
        <v>4704</v>
      </c>
      <c r="CM153" s="1773">
        <v>439</v>
      </c>
      <c r="CN153" s="1773">
        <v>2057</v>
      </c>
      <c r="CO153" s="1773">
        <v>1876</v>
      </c>
      <c r="CP153" s="1773">
        <v>1956</v>
      </c>
      <c r="CQ153" s="1773">
        <v>1648</v>
      </c>
      <c r="CR153" s="1802">
        <v>106076</v>
      </c>
      <c r="CS153" s="1774">
        <v>141271</v>
      </c>
      <c r="CT153" s="25">
        <v>80</v>
      </c>
      <c r="CU153" s="19">
        <v>19842</v>
      </c>
      <c r="CV153" s="93">
        <v>92050</v>
      </c>
      <c r="CW153" s="93">
        <v>18272</v>
      </c>
      <c r="CX153" s="93">
        <v>1330</v>
      </c>
      <c r="CY153" s="93">
        <v>880</v>
      </c>
      <c r="CZ153" s="93">
        <v>134</v>
      </c>
      <c r="DA153" s="93">
        <v>8763</v>
      </c>
      <c r="DB153" s="20">
        <v>141271</v>
      </c>
      <c r="DC153" s="25">
        <v>80</v>
      </c>
      <c r="DD153" s="785">
        <v>43800</v>
      </c>
      <c r="DE153" s="19">
        <v>523.762109474</v>
      </c>
      <c r="DF153" s="20">
        <v>331.51745299999999</v>
      </c>
      <c r="DG153" s="25">
        <v>80</v>
      </c>
      <c r="DH153" s="19">
        <v>651.01221416717794</v>
      </c>
      <c r="DI153" s="20">
        <v>1411.4379650000001</v>
      </c>
      <c r="DJ153" s="25">
        <v>80</v>
      </c>
      <c r="DK153" s="19">
        <v>523.762109474</v>
      </c>
      <c r="DL153" s="20">
        <v>651.01221416717794</v>
      </c>
      <c r="DM153" s="19">
        <v>-127.25010469317797</v>
      </c>
      <c r="DN153" s="20">
        <v>80.453499654232218</v>
      </c>
      <c r="DO153" s="25">
        <v>80</v>
      </c>
      <c r="DP153" s="19">
        <v>244.86870621987504</v>
      </c>
      <c r="DQ153" s="93">
        <v>349.4719911755202</v>
      </c>
      <c r="DR153" s="20">
        <v>855.74754339233232</v>
      </c>
      <c r="DS153" s="25">
        <v>80</v>
      </c>
      <c r="DT153" s="19">
        <v>84.202776858534321</v>
      </c>
      <c r="DU153" s="93">
        <v>397.05507774098146</v>
      </c>
      <c r="DV153" s="20">
        <v>334.33140111571851</v>
      </c>
      <c r="DW153" s="25">
        <v>80</v>
      </c>
      <c r="DX153" s="19">
        <v>290.80835021779512</v>
      </c>
      <c r="DY153" s="20">
        <v>61.008053721658797</v>
      </c>
      <c r="DZ153" s="25">
        <v>80</v>
      </c>
      <c r="EA153" s="19">
        <v>366.94773023400001</v>
      </c>
      <c r="EB153" s="93">
        <v>64.676856549999997</v>
      </c>
      <c r="EC153" s="93">
        <v>13.4480638</v>
      </c>
      <c r="ED153" s="93">
        <v>14.936668513000001</v>
      </c>
      <c r="EE153" s="20">
        <v>2.4253706419999999</v>
      </c>
      <c r="EF153" s="25">
        <v>80</v>
      </c>
      <c r="EG153" s="19">
        <v>155.65789226782999</v>
      </c>
      <c r="EH153" s="93">
        <v>1.9247458039999998</v>
      </c>
      <c r="EI153" s="93">
        <v>26.562767397999998</v>
      </c>
      <c r="EJ153" s="93">
        <v>13.999834918000001</v>
      </c>
      <c r="EK153" s="20">
        <v>34.091137200999995</v>
      </c>
      <c r="EL153" s="25">
        <v>80</v>
      </c>
      <c r="EM153" s="19">
        <v>326.95828775000001</v>
      </c>
      <c r="EN153" s="93">
        <v>26.817173294</v>
      </c>
      <c r="EO153" s="93">
        <v>22.647957859000002</v>
      </c>
      <c r="EP153" s="93">
        <v>0.24323603999999999</v>
      </c>
      <c r="EQ153" s="93">
        <v>32.775450628999998</v>
      </c>
      <c r="ER153" s="93">
        <v>15.5098444</v>
      </c>
      <c r="ES153" s="93">
        <v>0.72805299099999998</v>
      </c>
      <c r="ET153" s="93">
        <v>4.326055631</v>
      </c>
      <c r="EU153" s="93">
        <v>0</v>
      </c>
      <c r="EV153" s="20">
        <v>3.235028732</v>
      </c>
      <c r="EW153" s="25">
        <v>80</v>
      </c>
      <c r="EX153" s="1803">
        <v>63.857244340419996</v>
      </c>
      <c r="EY153" s="975">
        <v>12.914170231309999</v>
      </c>
      <c r="EZ153" s="975">
        <v>42.873437856499997</v>
      </c>
      <c r="FA153" s="975">
        <v>0.81871633399999999</v>
      </c>
      <c r="FB153" s="975">
        <v>73.435014476717996</v>
      </c>
      <c r="FC153" s="975">
        <v>35.642292036980002</v>
      </c>
      <c r="FD153" s="975">
        <v>6.7258236843399999</v>
      </c>
      <c r="FE153" s="975">
        <v>42.359848932309994</v>
      </c>
      <c r="FF153" s="975">
        <v>19.423768559639999</v>
      </c>
      <c r="FG153" s="976">
        <v>49.648803322220004</v>
      </c>
      <c r="FH153" s="25">
        <v>80</v>
      </c>
      <c r="FI153" s="848">
        <v>43800</v>
      </c>
      <c r="FJ153" s="19">
        <v>2230</v>
      </c>
      <c r="FK153" s="93">
        <v>1455</v>
      </c>
      <c r="FL153" s="20">
        <v>0</v>
      </c>
      <c r="FM153" s="25">
        <v>80</v>
      </c>
      <c r="FN153" s="19">
        <v>98</v>
      </c>
      <c r="FO153" s="93">
        <v>1074</v>
      </c>
      <c r="FP153" s="93">
        <v>1533</v>
      </c>
      <c r="FQ153" s="93">
        <v>691</v>
      </c>
      <c r="FR153" s="93">
        <v>196</v>
      </c>
      <c r="FS153" s="93">
        <v>71</v>
      </c>
      <c r="FT153" s="93">
        <v>18</v>
      </c>
      <c r="FU153" s="93">
        <v>4</v>
      </c>
      <c r="FV153" s="93">
        <v>0</v>
      </c>
      <c r="FW153" s="917">
        <v>0</v>
      </c>
      <c r="FX153" s="25">
        <v>80</v>
      </c>
      <c r="FY153" s="916">
        <v>4</v>
      </c>
      <c r="FZ153" s="916">
        <v>190</v>
      </c>
      <c r="GA153" s="916">
        <v>411</v>
      </c>
      <c r="GB153" s="916">
        <v>97</v>
      </c>
      <c r="GC153" s="916">
        <v>792</v>
      </c>
      <c r="GD153" s="916">
        <v>214</v>
      </c>
      <c r="GE153" s="916">
        <v>1011</v>
      </c>
      <c r="GF153" s="916">
        <v>166</v>
      </c>
      <c r="GG153" s="916">
        <v>18</v>
      </c>
      <c r="GH153" s="916">
        <v>630</v>
      </c>
      <c r="GI153" s="917">
        <v>152</v>
      </c>
      <c r="GJ153" s="25">
        <v>80</v>
      </c>
      <c r="GK153" s="19"/>
      <c r="GL153" s="20"/>
      <c r="GM153" s="25"/>
      <c r="GN153" s="19">
        <v>4678</v>
      </c>
      <c r="GO153" s="20">
        <v>2041</v>
      </c>
      <c r="GP153" s="25">
        <v>80</v>
      </c>
      <c r="GQ153" s="19">
        <v>32</v>
      </c>
      <c r="GR153" s="20">
        <v>32</v>
      </c>
      <c r="GS153" s="25">
        <v>80</v>
      </c>
      <c r="GT153" s="848">
        <v>43800</v>
      </c>
      <c r="GU153" s="733">
        <v>1931.8994893758322</v>
      </c>
      <c r="GV153" s="570">
        <v>1797.6947365538285</v>
      </c>
      <c r="GW153" s="570">
        <v>1797.6947365538285</v>
      </c>
      <c r="GX153" s="570">
        <v>1474.8638866378287</v>
      </c>
      <c r="GY153" s="570">
        <v>448.63692028584018</v>
      </c>
      <c r="GZ153" s="570">
        <v>13.220351489017443</v>
      </c>
      <c r="HA153" s="570">
        <v>8.6481005526905683</v>
      </c>
      <c r="HB153" s="570">
        <v>796.8479282786152</v>
      </c>
      <c r="HC153" s="570">
        <v>195.88554201700001</v>
      </c>
      <c r="HD153" s="570">
        <v>11.625044014665066</v>
      </c>
      <c r="HE153" s="570">
        <v>322.83084991600003</v>
      </c>
      <c r="HF153" s="570">
        <v>6.6096334309999989</v>
      </c>
      <c r="HG153" s="570">
        <v>151.70286078399997</v>
      </c>
      <c r="HH153" s="570">
        <v>2.3915787560000004</v>
      </c>
      <c r="HI153" s="570">
        <v>45.347187747000007</v>
      </c>
      <c r="HJ153" s="570">
        <v>116.77958919799998</v>
      </c>
      <c r="HK153" s="570">
        <v>0</v>
      </c>
      <c r="HL153" s="570">
        <v>134.20475282200385</v>
      </c>
      <c r="HM153" s="570">
        <v>45.823155233003824</v>
      </c>
      <c r="HN153" s="570">
        <v>88.381597589000023</v>
      </c>
      <c r="HO153" s="570">
        <v>2184.6206139885016</v>
      </c>
      <c r="HP153" s="570">
        <v>2208.4699565015017</v>
      </c>
      <c r="HQ153" s="570">
        <v>1651.859569860653</v>
      </c>
      <c r="HR153" s="570">
        <v>845.9</v>
      </c>
      <c r="HS153" s="570">
        <v>201.643707315</v>
      </c>
      <c r="HT153" s="570">
        <v>117.854457616503</v>
      </c>
      <c r="HU153" s="570">
        <v>94.805942346000492</v>
      </c>
      <c r="HV153" s="570">
        <v>23.048515270502502</v>
      </c>
      <c r="HW153" s="570">
        <v>486.46140492914992</v>
      </c>
      <c r="HX153" s="570">
        <v>10.786799131299999</v>
      </c>
      <c r="HY153" s="570">
        <v>109.97057084000001</v>
      </c>
      <c r="HZ153" s="570">
        <v>0</v>
      </c>
      <c r="IA153" s="570">
        <v>76</v>
      </c>
      <c r="IB153" s="570">
        <v>556.61038664084856</v>
      </c>
      <c r="IC153" s="570">
        <v>418.87658417599999</v>
      </c>
      <c r="ID153" s="570">
        <v>1.3071919590000001</v>
      </c>
      <c r="IE153" s="570">
        <v>136.42661050584852</v>
      </c>
      <c r="IF153" s="570">
        <v>-23.849342512999993</v>
      </c>
      <c r="IG153" s="570">
        <v>-252.72112461266912</v>
      </c>
      <c r="IH153" s="570">
        <v>-386.92587743467294</v>
      </c>
      <c r="II153" s="570">
        <v>-132.6448093123214</v>
      </c>
      <c r="IJ153" s="570">
        <v>-250.49926692882443</v>
      </c>
      <c r="IK153" s="570">
        <v>-302.0878502321641</v>
      </c>
      <c r="IL153" s="570">
        <v>-436.29260305416784</v>
      </c>
      <c r="IM153" s="570">
        <v>297.29379557188861</v>
      </c>
      <c r="IN153" s="570">
        <v>98.473001220068625</v>
      </c>
      <c r="IO153" s="570">
        <v>156.09941897884468</v>
      </c>
      <c r="IP153" s="570">
        <v>-57.626417758776071</v>
      </c>
      <c r="IQ153" s="570">
        <v>0</v>
      </c>
      <c r="IR153" s="570">
        <v>198.82079435181996</v>
      </c>
      <c r="IS153" s="570">
        <v>21.718548872819984</v>
      </c>
      <c r="IT153" s="570">
        <v>177.10224547899998</v>
      </c>
      <c r="IU153" s="734">
        <v>4.7940546602754406</v>
      </c>
      <c r="IV153" s="93">
        <v>80</v>
      </c>
      <c r="IW153" s="848">
        <v>43800</v>
      </c>
      <c r="IX153" s="93"/>
      <c r="IY153" s="93">
        <v>655.88045644454292</v>
      </c>
      <c r="IZ153" s="93">
        <v>1828.6421499549999</v>
      </c>
      <c r="JA153" s="93">
        <v>2.1746091679999999</v>
      </c>
      <c r="JB153" s="93">
        <v>1576.25</v>
      </c>
      <c r="JC153" s="93">
        <v>250.21754078700002</v>
      </c>
      <c r="JD153" s="93">
        <v>2484.5226063995428</v>
      </c>
      <c r="JE153" s="93">
        <v>1571.8871083190002</v>
      </c>
      <c r="JF153" s="93">
        <v>4056.409714718543</v>
      </c>
      <c r="JG153" s="93"/>
      <c r="JH153" s="93">
        <v>1508.5330278715433</v>
      </c>
      <c r="JI153" s="93">
        <v>76.720027871543039</v>
      </c>
      <c r="JJ153" s="93">
        <v>1431.8130000000001</v>
      </c>
      <c r="JK153" s="93">
        <v>3068.0108933849997</v>
      </c>
      <c r="JL153" s="93">
        <v>151.84025188999999</v>
      </c>
      <c r="JM153" s="93">
        <v>-41.731748109999998</v>
      </c>
      <c r="JN153" s="93">
        <v>193.572</v>
      </c>
      <c r="JO153" s="1700">
        <v>2916.1706414949995</v>
      </c>
      <c r="JP153" s="1700">
        <v>6.3276414949999999</v>
      </c>
      <c r="JQ153" s="1700">
        <v>2909.8429999999998</v>
      </c>
      <c r="JR153" s="93">
        <v>719.81468277199997</v>
      </c>
      <c r="JS153" s="93">
        <v>-199.68047623400014</v>
      </c>
      <c r="JT153" s="20">
        <v>4056.4097147185435</v>
      </c>
      <c r="JU153" s="29">
        <v>80</v>
      </c>
      <c r="JV153" s="19"/>
      <c r="JW153" s="570">
        <v>76.720027871543039</v>
      </c>
      <c r="JX153" s="570">
        <v>1031.9666904795431</v>
      </c>
      <c r="JY153" s="570">
        <v>955.24666260800007</v>
      </c>
      <c r="JZ153" s="570">
        <v>864.22526025000002</v>
      </c>
      <c r="KA153" s="570">
        <v>-35.447673709</v>
      </c>
      <c r="KB153" s="570">
        <v>118.586065143</v>
      </c>
      <c r="KC153" s="570">
        <v>154.033738852</v>
      </c>
      <c r="KD153" s="570">
        <v>6.3276414949999999</v>
      </c>
      <c r="KE153" s="570">
        <v>1.9650000000000001</v>
      </c>
      <c r="KF153" s="570">
        <v>0</v>
      </c>
      <c r="KG153" s="570">
        <v>0</v>
      </c>
      <c r="KH153" s="570">
        <v>4.3626414950000001</v>
      </c>
      <c r="KI153" s="570">
        <v>902.21040746954304</v>
      </c>
      <c r="KJ153" s="570">
        <v>752.75453084554294</v>
      </c>
      <c r="KK153" s="570">
        <v>146.948159137</v>
      </c>
      <c r="KL153" s="570">
        <v>2.5077174869999999</v>
      </c>
      <c r="KM153" s="570">
        <v>0</v>
      </c>
      <c r="KN153" s="570">
        <v>0.78697454099999997</v>
      </c>
      <c r="KO153" s="570">
        <v>0</v>
      </c>
      <c r="KP153" s="570">
        <v>0</v>
      </c>
      <c r="KQ153" s="570">
        <v>0.78697454099999997</v>
      </c>
      <c r="KR153" s="570">
        <v>0</v>
      </c>
      <c r="KS153" s="570">
        <v>0</v>
      </c>
      <c r="KT153" s="570">
        <v>0</v>
      </c>
      <c r="KU153" s="570">
        <v>1.5537082310000001</v>
      </c>
      <c r="KV153" s="734">
        <v>7.2741656659999858</v>
      </c>
      <c r="KW153" s="20"/>
      <c r="KX153" s="29">
        <v>80</v>
      </c>
      <c r="KY153" s="19"/>
      <c r="KZ153" s="99">
        <v>1431.8130000000001</v>
      </c>
      <c r="LA153" s="99">
        <v>1775.4560000000001</v>
      </c>
      <c r="LB153" s="99">
        <v>-343.64300000000003</v>
      </c>
      <c r="LC153" s="99">
        <v>253.32400000000001</v>
      </c>
      <c r="LD153" s="99">
        <v>90.59</v>
      </c>
      <c r="LE153" s="99">
        <v>162.73400000000001</v>
      </c>
      <c r="LF153" s="99">
        <v>0</v>
      </c>
      <c r="LG153" s="99">
        <v>193.572</v>
      </c>
      <c r="LH153" s="99">
        <v>556.59299999999996</v>
      </c>
      <c r="LI153" s="99">
        <v>-363.02099999999996</v>
      </c>
      <c r="LJ153" s="99">
        <v>2909.8429999999998</v>
      </c>
      <c r="LK153" s="99">
        <v>18.459</v>
      </c>
      <c r="LL153" s="99">
        <v>21.832000000000001</v>
      </c>
      <c r="LM153" s="99">
        <v>210.97299999999998</v>
      </c>
      <c r="LN153" s="99">
        <v>2658.5789999999997</v>
      </c>
      <c r="LO153" s="99"/>
      <c r="LP153" s="99">
        <v>814.98</v>
      </c>
      <c r="LQ153" s="99">
        <v>1576.25</v>
      </c>
      <c r="LR153" s="99">
        <v>1571.5540000000001</v>
      </c>
      <c r="LS153" s="99"/>
      <c r="LT153" s="99">
        <v>149.78700000000001</v>
      </c>
      <c r="LU153" s="99">
        <v>0</v>
      </c>
      <c r="LV153" s="99">
        <v>33.391999999999996</v>
      </c>
      <c r="LW153" s="99"/>
      <c r="LX153" s="99"/>
      <c r="LY153" s="99">
        <v>534.29499999999996</v>
      </c>
      <c r="LZ153" s="99">
        <v>108.29399999999998</v>
      </c>
      <c r="MA153" s="93"/>
      <c r="MB153" s="93"/>
      <c r="MC153" s="93"/>
      <c r="MD153" s="93"/>
      <c r="ME153" s="93"/>
      <c r="MF153" s="93"/>
      <c r="MG153" s="93"/>
      <c r="MH153" s="20"/>
      <c r="MI153" s="29">
        <v>80</v>
      </c>
      <c r="MJ153" s="29" t="str">
        <f t="shared" si="88"/>
        <v>Trimestre 42019</v>
      </c>
      <c r="MK153" s="848">
        <v>43800</v>
      </c>
      <c r="ML153" s="1991">
        <v>145.66300885197396</v>
      </c>
      <c r="MM153" s="1991">
        <v>127.7865049510963</v>
      </c>
      <c r="MN153" s="1991">
        <v>99.251268291156038</v>
      </c>
      <c r="MO153" s="1991">
        <v>100.00000000000001</v>
      </c>
      <c r="MP153" s="1991">
        <v>145.66300885197396</v>
      </c>
      <c r="MQ153" s="1991">
        <v>128.40149037072575</v>
      </c>
      <c r="MR153" s="1991">
        <v>121.90933333333325</v>
      </c>
      <c r="MS153" s="1991">
        <v>99.152772817773922</v>
      </c>
      <c r="MT153" s="1991">
        <v>100.00000000000006</v>
      </c>
      <c r="MU153" s="1991">
        <v>100</v>
      </c>
      <c r="MV153" s="1991">
        <v>100.29950046728163</v>
      </c>
      <c r="MW153" s="1991">
        <v>100.00000000000003</v>
      </c>
      <c r="MX153" s="1991">
        <v>98.412698412698447</v>
      </c>
      <c r="MY153" s="1991">
        <v>100.00000000000013</v>
      </c>
      <c r="MZ153" s="1991">
        <v>92.058648168295008</v>
      </c>
      <c r="NA153" s="1991">
        <v>100.0000000000001</v>
      </c>
      <c r="NB153" s="1991">
        <v>99.444174386237023</v>
      </c>
      <c r="NC153" s="1991">
        <v>126.70878635248681</v>
      </c>
      <c r="ND153" s="1991">
        <v>90.553930235903337</v>
      </c>
      <c r="NE153" s="1991">
        <v>100.11250961352654</v>
      </c>
      <c r="NF153" s="1991">
        <v>100.132769453073</v>
      </c>
      <c r="NG153" s="1991">
        <v>100.00000000000016</v>
      </c>
      <c r="NH153" s="1991">
        <v>100.00000000000011</v>
      </c>
      <c r="NI153" s="1991">
        <v>99.999999999999986</v>
      </c>
      <c r="NJ153" s="1991">
        <v>100</v>
      </c>
      <c r="NK153" s="1991">
        <v>113.83994352352801</v>
      </c>
      <c r="NL153" s="29">
        <v>80</v>
      </c>
    </row>
    <row r="154" spans="1:376">
      <c r="A154" s="41">
        <f t="shared" si="86"/>
        <v>2020</v>
      </c>
      <c r="B154" s="785">
        <v>43891</v>
      </c>
      <c r="C154" s="733">
        <v>145.7489933082754</v>
      </c>
      <c r="D154" s="570">
        <v>392.53019972078198</v>
      </c>
      <c r="E154" s="570">
        <v>145.52787186405649</v>
      </c>
      <c r="F154" s="570">
        <v>39.179789967447753</v>
      </c>
      <c r="G154" s="570">
        <v>0</v>
      </c>
      <c r="H154" s="570">
        <v>99.057675103599777</v>
      </c>
      <c r="I154" s="570">
        <v>20.584370331495865</v>
      </c>
      <c r="J154" s="570">
        <v>100.31784805737425</v>
      </c>
      <c r="K154" s="570">
        <v>66.831037984398563</v>
      </c>
      <c r="L154" s="570">
        <v>288.53831957346767</v>
      </c>
      <c r="M154" s="734">
        <v>146.12013294691096</v>
      </c>
      <c r="N154" s="25">
        <v>81</v>
      </c>
      <c r="O154" s="889">
        <f t="shared" si="85"/>
        <v>2020</v>
      </c>
      <c r="P154" s="29" t="str">
        <f t="shared" si="87"/>
        <v>Trimestre 12020</v>
      </c>
      <c r="Q154" s="848">
        <v>43891</v>
      </c>
      <c r="R154" s="733">
        <v>13.36441349</v>
      </c>
      <c r="S154" s="570">
        <v>1.13798E-4</v>
      </c>
      <c r="T154" s="570">
        <v>1015.2595</v>
      </c>
      <c r="U154" s="734">
        <v>15.683</v>
      </c>
      <c r="V154" s="25">
        <v>81</v>
      </c>
      <c r="W154" s="733">
        <v>5356</v>
      </c>
      <c r="X154" s="570">
        <v>14482</v>
      </c>
      <c r="Y154" s="570">
        <v>753.32630524014246</v>
      </c>
      <c r="Z154" s="570">
        <v>365.9178153431273</v>
      </c>
      <c r="AA154" s="570">
        <v>38.024250000000002</v>
      </c>
      <c r="AB154" s="570">
        <v>78.468999999999994</v>
      </c>
      <c r="AC154" s="570">
        <v>706.81500000000005</v>
      </c>
      <c r="AD154" s="570">
        <v>176.49008399999997</v>
      </c>
      <c r="AE154" s="734">
        <v>28.930663941082791</v>
      </c>
      <c r="AF154" s="25">
        <v>81</v>
      </c>
      <c r="AG154" s="733">
        <v>5.7663310208430616</v>
      </c>
      <c r="AH154" s="570">
        <v>-39.730307841118481</v>
      </c>
      <c r="AI154" s="570">
        <v>-15.740221680740738</v>
      </c>
      <c r="AJ154" s="570">
        <v>8.8777529236794983</v>
      </c>
      <c r="AK154" s="570">
        <v>5.8249008677258765</v>
      </c>
      <c r="AL154" s="570">
        <v>34.062525955590509</v>
      </c>
      <c r="AM154" s="570">
        <v>39.290526336162557</v>
      </c>
      <c r="AN154" s="734">
        <v>1.62743457784964</v>
      </c>
      <c r="AO154" s="733">
        <v>-18.321548014275887</v>
      </c>
      <c r="AP154" s="570">
        <v>-19.581017714958278</v>
      </c>
      <c r="AQ154" s="570">
        <v>16.36562782762342</v>
      </c>
      <c r="AR154" s="570">
        <v>4.8043924898337451</v>
      </c>
      <c r="AS154" s="734">
        <v>-35.526315789473685</v>
      </c>
      <c r="AT154" s="733">
        <v>6.6534997828335198</v>
      </c>
      <c r="AU154" s="570">
        <v>-2.8260458067096583</v>
      </c>
      <c r="AV154" s="734">
        <v>-1.1044806324166521</v>
      </c>
      <c r="AW154" s="733">
        <v>-9.4315025892835855</v>
      </c>
      <c r="AX154" s="570">
        <v>-18.992795053609999</v>
      </c>
      <c r="AY154" s="570">
        <v>-37.424736057811131</v>
      </c>
      <c r="AZ154" s="570">
        <v>10.713822778385932</v>
      </c>
      <c r="BA154" s="570">
        <v>-12.860354385625499</v>
      </c>
      <c r="BB154" s="570">
        <v>-32.007710844458934</v>
      </c>
      <c r="BC154" s="734">
        <v>-28.94736842105263</v>
      </c>
      <c r="BD154" s="733">
        <v>42.83953061791582</v>
      </c>
      <c r="BE154" s="570">
        <v>-55.236526276091404</v>
      </c>
      <c r="BF154" s="570">
        <v>-50.631507448802303</v>
      </c>
      <c r="BG154" s="570">
        <v>36.210909197304808</v>
      </c>
      <c r="BH154" s="570">
        <v>-18.676197067194714</v>
      </c>
      <c r="BI154" s="570">
        <v>52.051616936401558</v>
      </c>
      <c r="BJ154" s="570">
        <v>74.076931499357045</v>
      </c>
      <c r="BK154" s="734">
        <v>3.2532374909258146</v>
      </c>
      <c r="BL154" s="733">
        <v>-15.146470737030263</v>
      </c>
      <c r="BM154" s="570">
        <v>-14.056447736206472</v>
      </c>
      <c r="BN154" s="570">
        <v>67.698472967532069</v>
      </c>
      <c r="BO154" s="570">
        <v>36.4726905141667</v>
      </c>
      <c r="BP154" s="570">
        <v>-6.25</v>
      </c>
      <c r="BQ154" s="734">
        <v>-6.25</v>
      </c>
      <c r="BR154" s="733">
        <v>12.665215970070982</v>
      </c>
      <c r="BS154" s="570">
        <v>-3.1358296952150573</v>
      </c>
      <c r="BT154" s="570">
        <v>-2.6142225243063555</v>
      </c>
      <c r="BU154" s="734">
        <v>-8.4110173038269629</v>
      </c>
      <c r="BV154" s="733">
        <v>-13.531080350046576</v>
      </c>
      <c r="BW154" s="570">
        <v>-68.605387127466969</v>
      </c>
      <c r="BX154" s="570">
        <v>33.413069112727229</v>
      </c>
      <c r="BY154" s="570">
        <v>-11.810775343971645</v>
      </c>
      <c r="BZ154" s="570">
        <v>-63.049542205791383</v>
      </c>
      <c r="CA154" s="570">
        <v>-6.25</v>
      </c>
      <c r="CB154" s="734">
        <v>-6.25</v>
      </c>
      <c r="CC154" s="25">
        <v>81</v>
      </c>
      <c r="CD154" s="897">
        <v>74507</v>
      </c>
      <c r="CE154" s="1797">
        <v>20771246</v>
      </c>
      <c r="CF154" s="20">
        <v>7931511</v>
      </c>
      <c r="CG154" s="25">
        <v>81</v>
      </c>
      <c r="CH154" s="1772">
        <v>17940</v>
      </c>
      <c r="CI154" s="1773">
        <v>4235</v>
      </c>
      <c r="CJ154" s="1773">
        <v>2281</v>
      </c>
      <c r="CK154" s="1773">
        <v>9926</v>
      </c>
      <c r="CL154" s="1773">
        <v>5696</v>
      </c>
      <c r="CM154" s="1773">
        <v>415</v>
      </c>
      <c r="CN154" s="1773">
        <v>1587</v>
      </c>
      <c r="CO154" s="1773">
        <v>2201</v>
      </c>
      <c r="CP154" s="1773">
        <v>1676</v>
      </c>
      <c r="CQ154" s="1773">
        <v>1291</v>
      </c>
      <c r="CR154" s="1802">
        <v>102294</v>
      </c>
      <c r="CS154" s="1774">
        <v>136916</v>
      </c>
      <c r="CT154" s="25">
        <v>81</v>
      </c>
      <c r="CU154" s="1772">
        <v>15602</v>
      </c>
      <c r="CV154" s="1773">
        <v>86815</v>
      </c>
      <c r="CW154" s="1773">
        <v>16696</v>
      </c>
      <c r="CX154" s="1773">
        <v>1194</v>
      </c>
      <c r="CY154" s="1773">
        <v>1160</v>
      </c>
      <c r="CZ154" s="1773">
        <v>820</v>
      </c>
      <c r="DA154" s="1773">
        <v>14629</v>
      </c>
      <c r="DB154" s="1774">
        <v>136916</v>
      </c>
      <c r="DC154" s="25">
        <v>81</v>
      </c>
      <c r="DD154" s="785">
        <v>43891</v>
      </c>
      <c r="DE154" s="19">
        <v>577.74371242699999</v>
      </c>
      <c r="DF154" s="20">
        <v>449.86784899999998</v>
      </c>
      <c r="DG154" s="25">
        <v>81</v>
      </c>
      <c r="DH154" s="19">
        <v>616.40448347329698</v>
      </c>
      <c r="DI154" s="20">
        <v>1629.845513</v>
      </c>
      <c r="DJ154" s="25">
        <v>81</v>
      </c>
      <c r="DK154" s="19">
        <v>577.74371242699999</v>
      </c>
      <c r="DL154" s="20">
        <v>616.40448347329698</v>
      </c>
      <c r="DM154" s="19">
        <v>-38.660771046297</v>
      </c>
      <c r="DN154" s="20">
        <v>93.728019168768455</v>
      </c>
      <c r="DO154" s="25">
        <v>81</v>
      </c>
      <c r="DP154" s="19">
        <v>279.94995530097174</v>
      </c>
      <c r="DQ154" s="93">
        <v>351.90495730710376</v>
      </c>
      <c r="DR154" s="20">
        <v>985.15777068314071</v>
      </c>
      <c r="DS154" s="25">
        <v>81</v>
      </c>
      <c r="DT154" s="19">
        <v>76.86722491312679</v>
      </c>
      <c r="DU154" s="93">
        <v>406.1922380732222</v>
      </c>
      <c r="DV154" s="20">
        <v>312.22870121940707</v>
      </c>
      <c r="DW154" s="25">
        <v>81</v>
      </c>
      <c r="DX154" s="19">
        <v>364.19937836621972</v>
      </c>
      <c r="DY154" s="20">
        <v>67.237414389338596</v>
      </c>
      <c r="DZ154" s="25">
        <v>81</v>
      </c>
      <c r="EA154" s="19">
        <v>399.511573962</v>
      </c>
      <c r="EB154" s="93">
        <v>85.21804883099999</v>
      </c>
      <c r="EC154" s="93">
        <v>24.466237612</v>
      </c>
      <c r="ED154" s="93">
        <v>9.0661723569999992</v>
      </c>
      <c r="EE154" s="20">
        <v>13.588475882999999</v>
      </c>
      <c r="EF154" s="25">
        <v>81</v>
      </c>
      <c r="EG154" s="19">
        <v>149.59107592478099</v>
      </c>
      <c r="EH154" s="93">
        <v>18.798489019000002</v>
      </c>
      <c r="EI154" s="93">
        <v>10.598973432000001</v>
      </c>
      <c r="EJ154" s="93">
        <v>27.102645171999999</v>
      </c>
      <c r="EK154" s="20">
        <v>16.01244732</v>
      </c>
      <c r="EL154" s="25">
        <v>81</v>
      </c>
      <c r="EM154" s="19">
        <v>359.86298142999999</v>
      </c>
      <c r="EN154" s="93">
        <v>48.616862079999997</v>
      </c>
      <c r="EO154" s="93">
        <v>17.785767745000001</v>
      </c>
      <c r="EP154" s="93">
        <v>1.0472114210000001</v>
      </c>
      <c r="EQ154" s="93">
        <v>6.6783943910000003</v>
      </c>
      <c r="ER154" s="93">
        <v>11.604525346999999</v>
      </c>
      <c r="ES154" s="93">
        <v>0.33972553799999999</v>
      </c>
      <c r="ET154" s="93">
        <v>8.3120931500000008</v>
      </c>
      <c r="EU154" s="93">
        <v>0.73773233599999999</v>
      </c>
      <c r="EV154" s="20">
        <v>4.2952943360000004</v>
      </c>
      <c r="EW154" s="25">
        <v>81</v>
      </c>
      <c r="EX154" s="1803">
        <v>41.955531306047</v>
      </c>
      <c r="EY154" s="975">
        <v>26.237740391500001</v>
      </c>
      <c r="EZ154" s="975">
        <v>44.253830116499998</v>
      </c>
      <c r="FA154" s="975">
        <v>2.8976057869999998</v>
      </c>
      <c r="FB154" s="975">
        <v>68.94505255702299</v>
      </c>
      <c r="FC154" s="975">
        <v>33.129640952000003</v>
      </c>
      <c r="FD154" s="975">
        <v>12.820718618297001</v>
      </c>
      <c r="FE154" s="975">
        <v>33.431193546999999</v>
      </c>
      <c r="FF154" s="975">
        <v>10.056592643948999</v>
      </c>
      <c r="FG154" s="976">
        <v>39.871787805953005</v>
      </c>
      <c r="FH154" s="25">
        <v>81</v>
      </c>
      <c r="FI154" s="848">
        <v>43891</v>
      </c>
      <c r="FJ154" s="19">
        <v>1238</v>
      </c>
      <c r="FK154" s="93">
        <v>1012</v>
      </c>
      <c r="FL154" s="20">
        <v>0</v>
      </c>
      <c r="FM154" s="25">
        <v>81</v>
      </c>
      <c r="FN154" s="19">
        <v>11</v>
      </c>
      <c r="FO154" s="93">
        <v>446</v>
      </c>
      <c r="FP154" s="93">
        <v>944</v>
      </c>
      <c r="FQ154" s="93">
        <v>564</v>
      </c>
      <c r="FR154" s="93">
        <v>211</v>
      </c>
      <c r="FS154" s="93">
        <v>50</v>
      </c>
      <c r="FT154" s="93">
        <v>16</v>
      </c>
      <c r="FU154" s="93">
        <v>6</v>
      </c>
      <c r="FV154" s="93">
        <v>2</v>
      </c>
      <c r="FW154" s="917">
        <v>0</v>
      </c>
      <c r="FX154" s="25">
        <v>81</v>
      </c>
      <c r="FY154" s="916">
        <v>5</v>
      </c>
      <c r="FZ154" s="916">
        <v>115</v>
      </c>
      <c r="GA154" s="916">
        <v>179</v>
      </c>
      <c r="GB154" s="916">
        <v>43</v>
      </c>
      <c r="GC154" s="916">
        <v>403</v>
      </c>
      <c r="GD154" s="916">
        <v>283</v>
      </c>
      <c r="GE154" s="916">
        <v>630</v>
      </c>
      <c r="GF154" s="916">
        <v>121</v>
      </c>
      <c r="GG154" s="916">
        <v>10</v>
      </c>
      <c r="GH154" s="916">
        <v>416</v>
      </c>
      <c r="GI154" s="917">
        <v>45</v>
      </c>
      <c r="GJ154" s="25">
        <v>81</v>
      </c>
      <c r="GK154" s="19"/>
      <c r="GL154" s="20"/>
      <c r="GM154" s="25"/>
      <c r="GN154" s="19">
        <v>6033</v>
      </c>
      <c r="GO154" s="20">
        <v>2481</v>
      </c>
      <c r="GP154" s="25">
        <v>81</v>
      </c>
      <c r="GQ154" s="19">
        <v>32</v>
      </c>
      <c r="GR154" s="20">
        <v>31</v>
      </c>
      <c r="GS154" s="25">
        <v>81</v>
      </c>
      <c r="GT154" s="848">
        <v>43891</v>
      </c>
      <c r="GU154" s="19"/>
      <c r="GV154" s="93"/>
      <c r="GW154" s="93"/>
      <c r="GX154" s="93"/>
      <c r="GY154" s="93"/>
      <c r="GZ154" s="93"/>
      <c r="HA154" s="93"/>
      <c r="HB154" s="93"/>
      <c r="HC154" s="93"/>
      <c r="HD154" s="93"/>
      <c r="HE154" s="93"/>
      <c r="HF154" s="93"/>
      <c r="HG154" s="93"/>
      <c r="HH154" s="93"/>
      <c r="HI154" s="93"/>
      <c r="HJ154" s="93"/>
      <c r="HK154" s="93"/>
      <c r="HL154" s="93"/>
      <c r="HM154" s="93"/>
      <c r="HN154" s="93"/>
      <c r="HO154" s="93"/>
      <c r="HP154" s="93"/>
      <c r="HQ154" s="93"/>
      <c r="HR154" s="93"/>
      <c r="HS154" s="93"/>
      <c r="HT154" s="93"/>
      <c r="HU154" s="93"/>
      <c r="HV154" s="93"/>
      <c r="HW154" s="93"/>
      <c r="HX154" s="93"/>
      <c r="HY154" s="93"/>
      <c r="HZ154" s="93"/>
      <c r="IA154" s="93"/>
      <c r="IB154" s="93"/>
      <c r="IC154" s="93"/>
      <c r="ID154" s="93"/>
      <c r="IE154" s="93"/>
      <c r="IF154" s="93"/>
      <c r="IG154" s="93"/>
      <c r="IH154" s="93"/>
      <c r="II154" s="93"/>
      <c r="IJ154" s="93"/>
      <c r="IK154" s="93"/>
      <c r="IL154" s="93"/>
      <c r="IM154" s="93"/>
      <c r="IN154" s="93"/>
      <c r="IO154" s="93"/>
      <c r="IP154" s="93"/>
      <c r="IQ154" s="93"/>
      <c r="IR154" s="93"/>
      <c r="IS154" s="93"/>
      <c r="IT154" s="93"/>
      <c r="IU154" s="93"/>
      <c r="IV154" s="93"/>
      <c r="IW154" s="848">
        <v>43891</v>
      </c>
      <c r="IX154" s="93"/>
      <c r="IY154" s="93">
        <v>652.34408846298891</v>
      </c>
      <c r="IZ154" s="93">
        <v>1876.3803354489999</v>
      </c>
      <c r="JA154" s="93">
        <v>0.35379466200000004</v>
      </c>
      <c r="JB154" s="93">
        <v>1625.809</v>
      </c>
      <c r="JC154" s="93">
        <v>250.21754078700002</v>
      </c>
      <c r="JD154" s="93">
        <v>2528.7244239119887</v>
      </c>
      <c r="JE154" s="93">
        <v>1720.5211083190002</v>
      </c>
      <c r="JF154" s="93">
        <v>4249.2455322309888</v>
      </c>
      <c r="JG154" s="93"/>
      <c r="JH154" s="93">
        <v>1570.9718822869881</v>
      </c>
      <c r="JI154" s="93">
        <v>324.47388228698867</v>
      </c>
      <c r="JJ154" s="93">
        <v>1246.4979999999996</v>
      </c>
      <c r="JK154" s="93">
        <v>3176.0553000539999</v>
      </c>
      <c r="JL154" s="93">
        <v>198.15003639800003</v>
      </c>
      <c r="JM154" s="93">
        <v>-221.52496360199999</v>
      </c>
      <c r="JN154" s="93">
        <v>419.67500000000001</v>
      </c>
      <c r="JO154" s="93">
        <v>2977.905263656</v>
      </c>
      <c r="JP154" s="93">
        <v>6.9262636559999997</v>
      </c>
      <c r="JQ154" s="93">
        <v>2970.9789999999998</v>
      </c>
      <c r="JR154" s="93">
        <v>709.31704002000151</v>
      </c>
      <c r="JS154" s="93">
        <v>-211.53538991000005</v>
      </c>
      <c r="JT154" s="20">
        <v>4249.2455322309861</v>
      </c>
      <c r="JU154" s="29">
        <v>81</v>
      </c>
      <c r="JV154" s="19"/>
      <c r="JW154" s="93">
        <v>324.47388228698867</v>
      </c>
      <c r="JX154" s="93">
        <v>1150.7934870079887</v>
      </c>
      <c r="JY154" s="93">
        <v>826.31960472100002</v>
      </c>
      <c r="JZ154" s="93">
        <v>841.41899999999998</v>
      </c>
      <c r="KA154" s="93">
        <v>-211.546548003</v>
      </c>
      <c r="KB154" s="93">
        <v>132.097202423</v>
      </c>
      <c r="KC154" s="93">
        <v>343.643750426</v>
      </c>
      <c r="KD154" s="93">
        <v>6.9262636559999997</v>
      </c>
      <c r="KE154" s="93">
        <v>2.4990000000000001</v>
      </c>
      <c r="KF154" s="93">
        <v>0</v>
      </c>
      <c r="KG154" s="93">
        <v>0</v>
      </c>
      <c r="KH154" s="93">
        <v>4.427263656</v>
      </c>
      <c r="KI154" s="93">
        <v>949.93498222398875</v>
      </c>
      <c r="KJ154" s="93">
        <v>746.50250406198882</v>
      </c>
      <c r="KK154" s="93">
        <v>202.74557518099999</v>
      </c>
      <c r="KL154" s="93">
        <v>0.68690298100000002</v>
      </c>
      <c r="KM154" s="93">
        <v>0</v>
      </c>
      <c r="KN154" s="93">
        <v>1.504253869</v>
      </c>
      <c r="KO154" s="93">
        <v>0</v>
      </c>
      <c r="KP154" s="93">
        <v>0</v>
      </c>
      <c r="KQ154" s="93">
        <v>1.504253869</v>
      </c>
      <c r="KR154" s="93">
        <v>0</v>
      </c>
      <c r="KS154" s="93"/>
      <c r="KT154" s="93"/>
      <c r="KU154" s="93">
        <v>6.9327861510000002</v>
      </c>
      <c r="KV154" s="93">
        <v>2.900575695999986</v>
      </c>
      <c r="KW154" s="20"/>
      <c r="KX154" s="29">
        <v>81</v>
      </c>
      <c r="KY154" s="19"/>
      <c r="KZ154" s="93">
        <v>1246.4979999999996</v>
      </c>
      <c r="LA154" s="93">
        <v>1604.3409999999997</v>
      </c>
      <c r="LB154" s="93">
        <v>-357.84300000000007</v>
      </c>
      <c r="LC154" s="93">
        <v>299.15300000000002</v>
      </c>
      <c r="LD154" s="93">
        <v>84.18</v>
      </c>
      <c r="LE154" s="93">
        <v>214.97299999999998</v>
      </c>
      <c r="LF154" s="93">
        <v>0</v>
      </c>
      <c r="LG154" s="93">
        <v>419.67500000000001</v>
      </c>
      <c r="LH154" s="93">
        <v>730.30200000000002</v>
      </c>
      <c r="LI154" s="93">
        <v>-310.62700000000001</v>
      </c>
      <c r="LJ154" s="93">
        <v>2970.9789999999998</v>
      </c>
      <c r="LK154" s="93">
        <v>20.923000000000002</v>
      </c>
      <c r="LL154" s="93">
        <v>1.175</v>
      </c>
      <c r="LM154" s="93">
        <v>259.40800000000002</v>
      </c>
      <c r="LN154" s="93">
        <v>2689.473</v>
      </c>
      <c r="LO154" s="93"/>
      <c r="LP154" s="93">
        <v>784.44399999999996</v>
      </c>
      <c r="LQ154" s="93">
        <v>1625.809</v>
      </c>
      <c r="LR154" s="93">
        <v>1720.1879999999999</v>
      </c>
      <c r="LS154" s="93">
        <v>0</v>
      </c>
      <c r="LT154" s="93">
        <v>124.505</v>
      </c>
      <c r="LU154" s="93">
        <v>0</v>
      </c>
      <c r="LV154" s="93">
        <v>23.154000000000003</v>
      </c>
      <c r="LW154" s="93">
        <v>0</v>
      </c>
      <c r="LX154" s="93">
        <v>0</v>
      </c>
      <c r="LY154" s="93">
        <v>553.2210000000016</v>
      </c>
      <c r="LZ154" s="93">
        <v>104.98400000000004</v>
      </c>
      <c r="MA154" s="93"/>
      <c r="MB154" s="93"/>
      <c r="MC154" s="93"/>
      <c r="MD154" s="93"/>
      <c r="ME154" s="93"/>
      <c r="MF154" s="93"/>
      <c r="MG154" s="93"/>
      <c r="MH154" s="20"/>
      <c r="MI154" s="29">
        <v>81</v>
      </c>
      <c r="MJ154" s="29" t="str">
        <f t="shared" si="88"/>
        <v>Trimestre 12020</v>
      </c>
      <c r="MK154" s="848">
        <v>43891</v>
      </c>
      <c r="ML154" s="1991">
        <v>145.66300885197401</v>
      </c>
      <c r="MM154" s="1991">
        <v>127.73924455010344</v>
      </c>
      <c r="MN154" s="1991">
        <v>100.38072378173332</v>
      </c>
      <c r="MO154" s="1991">
        <v>100.00000000000004</v>
      </c>
      <c r="MP154" s="1991">
        <v>145.66300885197401</v>
      </c>
      <c r="MQ154" s="1991">
        <v>127.80379972364152</v>
      </c>
      <c r="MR154" s="1991">
        <v>131.99999999999991</v>
      </c>
      <c r="MS154" s="1991">
        <v>101.34134590821901</v>
      </c>
      <c r="MT154" s="1991">
        <v>100.00000000000009</v>
      </c>
      <c r="MU154" s="1991">
        <v>100</v>
      </c>
      <c r="MV154" s="1991">
        <v>100.29950046728163</v>
      </c>
      <c r="MW154" s="1991">
        <v>100.00000000000004</v>
      </c>
      <c r="MX154" s="1991">
        <v>89.339144173347577</v>
      </c>
      <c r="MY154" s="1991">
        <v>100.00000000000016</v>
      </c>
      <c r="MZ154" s="1991">
        <v>99.527938786623963</v>
      </c>
      <c r="NA154" s="1991">
        <v>100.00000000000011</v>
      </c>
      <c r="NB154" s="1991">
        <v>100.55207499114596</v>
      </c>
      <c r="NC154" s="1991">
        <v>124.23048429877998</v>
      </c>
      <c r="ND154" s="1991">
        <v>90.265645975458199</v>
      </c>
      <c r="NE154" s="1991">
        <v>101.30317898445293</v>
      </c>
      <c r="NF154" s="1991">
        <v>100.13276945307304</v>
      </c>
      <c r="NG154" s="1991">
        <v>100.00000000000014</v>
      </c>
      <c r="NH154" s="1991">
        <v>100.00000000000013</v>
      </c>
      <c r="NI154" s="1991">
        <v>99.999999999999986</v>
      </c>
      <c r="NJ154" s="1991">
        <v>100.00000000000001</v>
      </c>
      <c r="NK154" s="1991">
        <v>114.44001048255852</v>
      </c>
      <c r="NL154" s="29">
        <v>81</v>
      </c>
    </row>
    <row r="155" spans="1:376">
      <c r="A155" s="41">
        <f t="shared" si="86"/>
        <v>2020</v>
      </c>
      <c r="B155" s="785">
        <v>43983</v>
      </c>
      <c r="C155" s="733">
        <v>164.04819269777664</v>
      </c>
      <c r="D155" s="570">
        <v>371.43926541931273</v>
      </c>
      <c r="E155" s="570">
        <v>142.21156974185277</v>
      </c>
      <c r="F155" s="570">
        <v>22.804410186173239</v>
      </c>
      <c r="G155" s="570">
        <v>0</v>
      </c>
      <c r="H155" s="570">
        <v>104.62286287321395</v>
      </c>
      <c r="I155" s="570">
        <v>20.584370331495865</v>
      </c>
      <c r="J155" s="570">
        <v>106.44551297226384</v>
      </c>
      <c r="K155" s="570">
        <v>132.88063402245578</v>
      </c>
      <c r="L155" s="570">
        <v>278.11701002570356</v>
      </c>
      <c r="M155" s="734">
        <v>149.9042128372781</v>
      </c>
      <c r="N155" s="25">
        <v>82</v>
      </c>
      <c r="O155" s="889">
        <f t="shared" si="85"/>
        <v>2020</v>
      </c>
      <c r="P155" s="29" t="str">
        <f t="shared" si="87"/>
        <v>Trimestre 22020</v>
      </c>
      <c r="Q155" s="848">
        <v>43983</v>
      </c>
      <c r="R155" s="733">
        <v>14.485435170000001</v>
      </c>
      <c r="S155" s="570">
        <v>2.7350000000000001E-6</v>
      </c>
      <c r="T155" s="570">
        <v>1015.2595</v>
      </c>
      <c r="U155" s="734">
        <v>15.683</v>
      </c>
      <c r="V155" s="25">
        <v>82</v>
      </c>
      <c r="W155" s="733">
        <v>5370</v>
      </c>
      <c r="X155" s="570"/>
      <c r="Y155" s="570">
        <v>802.37712101197292</v>
      </c>
      <c r="Z155" s="570">
        <v>409.24051186737609</v>
      </c>
      <c r="AA155" s="570">
        <v>37.15775</v>
      </c>
      <c r="AB155" s="570">
        <v>78.97</v>
      </c>
      <c r="AC155" s="570">
        <v>483.66899999999998</v>
      </c>
      <c r="AD155" s="570">
        <v>244.48575</v>
      </c>
      <c r="AE155" s="734">
        <v>27.885757999999999</v>
      </c>
      <c r="AF155" s="25">
        <v>82</v>
      </c>
      <c r="AG155" s="733">
        <v>-7.953437031284416</v>
      </c>
      <c r="AH155" s="570">
        <v>20.380642052192812</v>
      </c>
      <c r="AI155" s="570">
        <v>-16.049673549051832</v>
      </c>
      <c r="AJ155" s="570">
        <v>-31.466837535909768</v>
      </c>
      <c r="AK155" s="570">
        <v>16.892706392613626</v>
      </c>
      <c r="AL155" s="570">
        <v>26.30511811547553</v>
      </c>
      <c r="AM155" s="570">
        <v>34.730403084557281</v>
      </c>
      <c r="AN155" s="734">
        <v>-1.3099428120116936</v>
      </c>
      <c r="AO155" s="733">
        <v>-49.700788227047873</v>
      </c>
      <c r="AP155" s="570">
        <v>-62.922945914720138</v>
      </c>
      <c r="AQ155" s="570">
        <v>-34.526317654024446</v>
      </c>
      <c r="AR155" s="570">
        <v>-27.106282475325209</v>
      </c>
      <c r="AS155" s="734">
        <v>-48.31460674157303</v>
      </c>
      <c r="AT155" s="733">
        <v>18.174228449155322</v>
      </c>
      <c r="AU155" s="570">
        <v>-22.192303775663117</v>
      </c>
      <c r="AV155" s="734">
        <v>7.7523674756099199</v>
      </c>
      <c r="AW155" s="733">
        <v>-52.308959432017183</v>
      </c>
      <c r="AX155" s="570">
        <v>-13.676028638299293</v>
      </c>
      <c r="AY155" s="570">
        <v>-43.913416154338776</v>
      </c>
      <c r="AZ155" s="570">
        <v>-4.0584398013684622</v>
      </c>
      <c r="BA155" s="570">
        <v>-3.4444589601409263</v>
      </c>
      <c r="BB155" s="570">
        <v>-21.182219366170244</v>
      </c>
      <c r="BC155" s="734">
        <v>14.606741573033709</v>
      </c>
      <c r="BD155" s="733">
        <v>-45.096129687643014</v>
      </c>
      <c r="BE155" s="570">
        <v>61.443996935367672</v>
      </c>
      <c r="BF155" s="570">
        <v>-3.9955053910969625</v>
      </c>
      <c r="BG155" s="570">
        <v>-56.813735185104257</v>
      </c>
      <c r="BH155" s="570">
        <v>13.480050343069049</v>
      </c>
      <c r="BI155" s="570">
        <v>18.463566301615472</v>
      </c>
      <c r="BJ155" s="570">
        <v>40.495367892768385</v>
      </c>
      <c r="BK155" s="734">
        <v>-0.61462112961013904</v>
      </c>
      <c r="BL155" s="733">
        <v>-57.731315895384924</v>
      </c>
      <c r="BM155" s="570">
        <v>-82.941141387579876</v>
      </c>
      <c r="BN155" s="570">
        <v>-75.028890363315639</v>
      </c>
      <c r="BO155" s="570">
        <v>-17.1960110239357</v>
      </c>
      <c r="BP155" s="570">
        <v>-38.095238095238095</v>
      </c>
      <c r="BQ155" s="734">
        <v>-47.61904761904762</v>
      </c>
      <c r="BR155" s="733">
        <v>46.2773680497397</v>
      </c>
      <c r="BS155" s="570">
        <v>-50.036114477792182</v>
      </c>
      <c r="BT155" s="570">
        <v>19.391703810988172</v>
      </c>
      <c r="BU155" s="734">
        <v>-61.406405025829926</v>
      </c>
      <c r="BV155" s="733">
        <v>7.0092383875774331</v>
      </c>
      <c r="BW155" s="570">
        <v>-74.10181574201809</v>
      </c>
      <c r="BX155" s="570">
        <v>-15.239991384426617</v>
      </c>
      <c r="BY155" s="570">
        <v>-5.9530569584188022</v>
      </c>
      <c r="BZ155" s="570">
        <v>-21.290297753486151</v>
      </c>
      <c r="CA155" s="570">
        <v>-9.5238095238095237</v>
      </c>
      <c r="CB155" s="734">
        <v>-19.047619047619051</v>
      </c>
      <c r="CC155" s="25">
        <v>82</v>
      </c>
      <c r="CD155" s="19">
        <v>74562</v>
      </c>
      <c r="CE155" s="93">
        <v>21009043</v>
      </c>
      <c r="CF155" s="20">
        <v>8501841</v>
      </c>
      <c r="CG155" s="25">
        <v>82</v>
      </c>
      <c r="CH155" s="1772">
        <v>2454</v>
      </c>
      <c r="CI155" s="1773">
        <v>564</v>
      </c>
      <c r="CJ155" s="1773">
        <v>368</v>
      </c>
      <c r="CK155" s="1773">
        <v>1079</v>
      </c>
      <c r="CL155" s="1773">
        <v>539</v>
      </c>
      <c r="CM155" s="1773">
        <v>108</v>
      </c>
      <c r="CN155" s="1773">
        <v>270</v>
      </c>
      <c r="CO155" s="1773">
        <v>1348</v>
      </c>
      <c r="CP155" s="1773">
        <v>243</v>
      </c>
      <c r="CQ155" s="1773">
        <v>265</v>
      </c>
      <c r="CR155" s="1802">
        <v>37657</v>
      </c>
      <c r="CS155" s="1774">
        <v>43316</v>
      </c>
      <c r="CT155" s="25">
        <v>82</v>
      </c>
      <c r="CU155" s="19">
        <v>2853</v>
      </c>
      <c r="CV155" s="93">
        <v>32647</v>
      </c>
      <c r="CW155" s="93">
        <v>5067</v>
      </c>
      <c r="CX155" s="93">
        <v>327</v>
      </c>
      <c r="CY155" s="93">
        <v>378</v>
      </c>
      <c r="CZ155" s="93">
        <v>160</v>
      </c>
      <c r="DA155" s="93">
        <v>1869</v>
      </c>
      <c r="DB155" s="20">
        <v>43316</v>
      </c>
      <c r="DC155" s="25">
        <v>82</v>
      </c>
      <c r="DD155" s="785">
        <v>43983</v>
      </c>
      <c r="DE155" s="19">
        <v>599.01129101599997</v>
      </c>
      <c r="DF155" s="20">
        <v>479.01862399999999</v>
      </c>
      <c r="DG155" s="25">
        <v>82</v>
      </c>
      <c r="DH155" s="19">
        <v>561.16539316246894</v>
      </c>
      <c r="DI155" s="20">
        <v>1684.732039</v>
      </c>
      <c r="DJ155" s="25">
        <v>82</v>
      </c>
      <c r="DK155" s="19">
        <v>599.01129101599997</v>
      </c>
      <c r="DL155" s="20">
        <v>561.16539316246894</v>
      </c>
      <c r="DM155" s="19">
        <v>37.845897853531007</v>
      </c>
      <c r="DN155" s="20">
        <v>106.74416104675468</v>
      </c>
      <c r="DO155" s="25">
        <v>82</v>
      </c>
      <c r="DP155" s="19">
        <v>297.90224006564273</v>
      </c>
      <c r="DQ155" s="93">
        <v>343.2856844269408</v>
      </c>
      <c r="DR155" s="20">
        <v>1022.6557437325299</v>
      </c>
      <c r="DS155" s="25">
        <v>82</v>
      </c>
      <c r="DT155" s="19">
        <v>84.291130949831086</v>
      </c>
      <c r="DU155" s="93">
        <v>348.63000456221221</v>
      </c>
      <c r="DV155" s="20">
        <v>293.86417367593623</v>
      </c>
      <c r="DW155" s="25">
        <v>82</v>
      </c>
      <c r="DX155" s="19">
        <v>353.4206229157727</v>
      </c>
      <c r="DY155" s="20">
        <v>65.653945419643549</v>
      </c>
      <c r="DZ155" s="25">
        <v>82</v>
      </c>
      <c r="EA155" s="19">
        <v>481.87031654200001</v>
      </c>
      <c r="EB155" s="93">
        <v>37.183470743999997</v>
      </c>
      <c r="EC155" s="93">
        <v>4.2055134609999998</v>
      </c>
      <c r="ED155" s="93">
        <v>5.1905795159999997</v>
      </c>
      <c r="EE155" s="20">
        <v>22.609161574000002</v>
      </c>
      <c r="EF155" s="25">
        <v>82</v>
      </c>
      <c r="EG155" s="19">
        <v>119.00248599928899</v>
      </c>
      <c r="EH155" s="93">
        <v>9.5621395079999996</v>
      </c>
      <c r="EI155" s="93">
        <v>18.925496287999998</v>
      </c>
      <c r="EJ155" s="93">
        <v>27.250455056</v>
      </c>
      <c r="EK155" s="20">
        <v>12.673689823999998</v>
      </c>
      <c r="EL155" s="25">
        <v>82</v>
      </c>
      <c r="EM155" s="19">
        <v>494.83997281799998</v>
      </c>
      <c r="EN155" s="93">
        <v>11.589091311000001</v>
      </c>
      <c r="EO155" s="93">
        <v>14.599243859</v>
      </c>
      <c r="EP155" s="93">
        <v>0.234230352</v>
      </c>
      <c r="EQ155" s="93">
        <v>4.4233764080000002</v>
      </c>
      <c r="ER155" s="93">
        <v>10.356694667999999</v>
      </c>
      <c r="ES155" s="93">
        <v>0.63048646200000003</v>
      </c>
      <c r="ET155" s="93">
        <v>6.6537188780000003</v>
      </c>
      <c r="EU155" s="93">
        <v>1.7492222239999999</v>
      </c>
      <c r="EV155" s="20">
        <v>5.0587335580000001</v>
      </c>
      <c r="EW155" s="25">
        <v>82</v>
      </c>
      <c r="EX155" s="1803">
        <v>38.827098750219001</v>
      </c>
      <c r="EY155" s="975">
        <v>20.133776482999998</v>
      </c>
      <c r="EZ155" s="975">
        <v>48.028445451000003</v>
      </c>
      <c r="FA155" s="975">
        <v>3.0519295359999998</v>
      </c>
      <c r="FB155" s="975">
        <v>65.971140720999998</v>
      </c>
      <c r="FC155" s="975">
        <v>26.932362516062998</v>
      </c>
      <c r="FD155" s="975">
        <v>17.375820866234001</v>
      </c>
      <c r="FE155" s="975">
        <v>24.039976506999999</v>
      </c>
      <c r="FF155" s="975">
        <v>9.593725344688</v>
      </c>
      <c r="FG155" s="976">
        <v>39.581951305672</v>
      </c>
      <c r="FH155" s="25">
        <v>82</v>
      </c>
      <c r="FI155" s="848">
        <v>43983</v>
      </c>
      <c r="FJ155" s="19">
        <v>961</v>
      </c>
      <c r="FK155" s="93">
        <v>893</v>
      </c>
      <c r="FL155" s="20">
        <v>0</v>
      </c>
      <c r="FM155" s="25">
        <v>82</v>
      </c>
      <c r="FN155" s="19">
        <v>78</v>
      </c>
      <c r="FO155" s="93">
        <v>237</v>
      </c>
      <c r="FP155" s="93">
        <v>530</v>
      </c>
      <c r="FQ155" s="93">
        <v>569</v>
      </c>
      <c r="FR155" s="93">
        <v>321</v>
      </c>
      <c r="FS155" s="93">
        <v>91</v>
      </c>
      <c r="FT155" s="93">
        <v>19</v>
      </c>
      <c r="FU155" s="93">
        <v>7</v>
      </c>
      <c r="FV155" s="93">
        <v>2</v>
      </c>
      <c r="FW155" s="917">
        <v>0</v>
      </c>
      <c r="FX155" s="25">
        <v>82</v>
      </c>
      <c r="FY155" s="916">
        <v>0</v>
      </c>
      <c r="FZ155" s="916">
        <v>68</v>
      </c>
      <c r="GA155" s="916">
        <v>242</v>
      </c>
      <c r="GB155" s="916">
        <v>21</v>
      </c>
      <c r="GC155" s="916">
        <v>371</v>
      </c>
      <c r="GD155" s="916">
        <v>86</v>
      </c>
      <c r="GE155" s="916">
        <v>624</v>
      </c>
      <c r="GF155" s="916">
        <v>72</v>
      </c>
      <c r="GG155" s="916">
        <v>1</v>
      </c>
      <c r="GH155" s="916">
        <v>290</v>
      </c>
      <c r="GI155" s="917">
        <v>79</v>
      </c>
      <c r="GJ155" s="25">
        <v>82</v>
      </c>
      <c r="GK155" s="19"/>
      <c r="GL155" s="20"/>
      <c r="GM155" s="25"/>
      <c r="GN155" s="19">
        <v>4511</v>
      </c>
      <c r="GO155" s="20">
        <v>1886</v>
      </c>
      <c r="GP155" s="25">
        <v>82</v>
      </c>
      <c r="GQ155" s="19">
        <v>31</v>
      </c>
      <c r="GR155" s="20">
        <v>30</v>
      </c>
      <c r="GS155" s="25">
        <v>82</v>
      </c>
      <c r="GT155" s="848">
        <v>43983</v>
      </c>
      <c r="GU155" s="19"/>
      <c r="GV155" s="93"/>
      <c r="GW155" s="93"/>
      <c r="GX155" s="93"/>
      <c r="GY155" s="93"/>
      <c r="GZ155" s="93"/>
      <c r="HA155" s="93"/>
      <c r="HB155" s="93"/>
      <c r="HC155" s="93"/>
      <c r="HD155" s="93"/>
      <c r="HE155" s="93"/>
      <c r="HF155" s="93"/>
      <c r="HG155" s="93"/>
      <c r="HH155" s="93"/>
      <c r="HI155" s="93"/>
      <c r="HJ155" s="93"/>
      <c r="HK155" s="93"/>
      <c r="HL155" s="93"/>
      <c r="HM155" s="93"/>
      <c r="HN155" s="93"/>
      <c r="HO155" s="93"/>
      <c r="HP155" s="93"/>
      <c r="HQ155" s="93"/>
      <c r="HR155" s="93"/>
      <c r="HS155" s="93"/>
      <c r="HT155" s="93"/>
      <c r="HU155" s="93"/>
      <c r="HV155" s="93"/>
      <c r="HW155" s="93"/>
      <c r="HX155" s="93"/>
      <c r="HY155" s="93"/>
      <c r="HZ155" s="93"/>
      <c r="IA155" s="93"/>
      <c r="IB155" s="93"/>
      <c r="IC155" s="93"/>
      <c r="ID155" s="93"/>
      <c r="IE155" s="93"/>
      <c r="IF155" s="93"/>
      <c r="IG155" s="93"/>
      <c r="IH155" s="93"/>
      <c r="II155" s="93"/>
      <c r="IJ155" s="93"/>
      <c r="IK155" s="93"/>
      <c r="IL155" s="93"/>
      <c r="IM155" s="93"/>
      <c r="IN155" s="93"/>
      <c r="IO155" s="93"/>
      <c r="IP155" s="93"/>
      <c r="IQ155" s="93"/>
      <c r="IR155" s="93"/>
      <c r="IS155" s="93"/>
      <c r="IT155" s="93"/>
      <c r="IU155" s="93"/>
      <c r="IV155" s="93"/>
      <c r="IW155" s="848">
        <v>43983</v>
      </c>
      <c r="IX155" s="93"/>
      <c r="IY155" s="93">
        <v>659.89342730999999</v>
      </c>
      <c r="IZ155" s="93">
        <v>2104.3922072290002</v>
      </c>
      <c r="JA155" s="93">
        <v>2.9516664420000001</v>
      </c>
      <c r="JB155" s="93">
        <v>1851.223</v>
      </c>
      <c r="JC155" s="93">
        <v>250.21754078700002</v>
      </c>
      <c r="JD155" s="93">
        <v>2764.2856345390001</v>
      </c>
      <c r="JE155" s="93">
        <v>1715.5551083189998</v>
      </c>
      <c r="JF155" s="93">
        <v>4479.8407428579994</v>
      </c>
      <c r="JG155" s="93"/>
      <c r="JH155" s="93">
        <v>1962.799560616</v>
      </c>
      <c r="JI155" s="93">
        <v>301.81956061599999</v>
      </c>
      <c r="JJ155" s="93">
        <v>1660.98</v>
      </c>
      <c r="JK155" s="93">
        <v>3107.3741030189999</v>
      </c>
      <c r="JL155" s="93">
        <v>16.743145256000048</v>
      </c>
      <c r="JM155" s="93">
        <v>-263.45285474400004</v>
      </c>
      <c r="JN155" s="93">
        <v>280.19600000000008</v>
      </c>
      <c r="JO155" s="93">
        <v>3090.630957763</v>
      </c>
      <c r="JP155" s="93">
        <v>7.0609577630000002</v>
      </c>
      <c r="JQ155" s="93">
        <v>3083.5699999999997</v>
      </c>
      <c r="JR155" s="93">
        <v>790.32951198399996</v>
      </c>
      <c r="JS155" s="93">
        <v>-199.99659120699999</v>
      </c>
      <c r="JT155" s="20">
        <v>4479.8407428579994</v>
      </c>
      <c r="JU155" s="29">
        <v>82</v>
      </c>
      <c r="JV155" s="19"/>
      <c r="JW155" s="93">
        <v>301.81956061599999</v>
      </c>
      <c r="JX155" s="93">
        <v>1299.0294933709999</v>
      </c>
      <c r="JY155" s="93">
        <v>997.20993275499995</v>
      </c>
      <c r="JZ155" s="93">
        <v>930.17830000000004</v>
      </c>
      <c r="KA155" s="93">
        <v>-253.47443914500002</v>
      </c>
      <c r="KB155" s="93">
        <v>201.37968412700002</v>
      </c>
      <c r="KC155" s="93">
        <v>454.85412327200004</v>
      </c>
      <c r="KD155" s="93">
        <v>7.0609577630000002</v>
      </c>
      <c r="KE155" s="93">
        <v>2.617</v>
      </c>
      <c r="KF155" s="93">
        <v>0</v>
      </c>
      <c r="KG155" s="93">
        <v>0</v>
      </c>
      <c r="KH155" s="93">
        <v>4.4439577630000002</v>
      </c>
      <c r="KI155" s="93">
        <v>983.03702592799993</v>
      </c>
      <c r="KJ155" s="93">
        <v>752.31784290899998</v>
      </c>
      <c r="KK155" s="93">
        <v>227.43440825799999</v>
      </c>
      <c r="KL155" s="93">
        <v>3.284774761</v>
      </c>
      <c r="KM155" s="93">
        <v>0</v>
      </c>
      <c r="KN155" s="93">
        <v>0.87018042600000001</v>
      </c>
      <c r="KO155" s="93">
        <v>0</v>
      </c>
      <c r="KP155" s="93">
        <v>0</v>
      </c>
      <c r="KQ155" s="93">
        <v>0.87018042600000001</v>
      </c>
      <c r="KR155" s="93">
        <v>0</v>
      </c>
      <c r="KS155" s="93"/>
      <c r="KT155" s="93"/>
      <c r="KU155" s="93">
        <v>8.8093315580000002</v>
      </c>
      <c r="KV155" s="93">
        <v>-7.1321586779999988</v>
      </c>
      <c r="KW155" s="20"/>
      <c r="KX155" s="29">
        <v>82</v>
      </c>
      <c r="KY155" s="19"/>
      <c r="KZ155" s="93">
        <v>1660.98</v>
      </c>
      <c r="LA155" s="93">
        <v>1975.704</v>
      </c>
      <c r="LB155" s="93">
        <v>-314.72399999999999</v>
      </c>
      <c r="LC155" s="93">
        <v>323.79700000000003</v>
      </c>
      <c r="LD155" s="93">
        <v>82.445999999999998</v>
      </c>
      <c r="LE155" s="93">
        <v>241.35100000000003</v>
      </c>
      <c r="LF155" s="93">
        <v>0</v>
      </c>
      <c r="LG155" s="93">
        <v>280.19600000000008</v>
      </c>
      <c r="LH155" s="93">
        <v>765.89100000000008</v>
      </c>
      <c r="LI155" s="93">
        <v>-485.69499999999999</v>
      </c>
      <c r="LJ155" s="93">
        <v>3083.5699999999997</v>
      </c>
      <c r="LK155" s="93">
        <v>21.063000000000002</v>
      </c>
      <c r="LL155" s="93">
        <v>1.284</v>
      </c>
      <c r="LM155" s="93">
        <v>253.54299999999998</v>
      </c>
      <c r="LN155" s="93">
        <v>2807.68</v>
      </c>
      <c r="LO155" s="93"/>
      <c r="LP155" s="93">
        <v>893.91000000000008</v>
      </c>
      <c r="LQ155" s="93">
        <v>1851.223</v>
      </c>
      <c r="LR155" s="93">
        <v>1715.222</v>
      </c>
      <c r="LS155" s="93">
        <v>0</v>
      </c>
      <c r="LT155" s="93">
        <v>171.41200000000001</v>
      </c>
      <c r="LU155" s="93">
        <v>0</v>
      </c>
      <c r="LV155" s="93">
        <v>30.134999999999998</v>
      </c>
      <c r="LW155" s="93">
        <v>0</v>
      </c>
      <c r="LX155" s="93">
        <v>0</v>
      </c>
      <c r="LY155" s="93">
        <v>579.10299999999995</v>
      </c>
      <c r="LZ155" s="93">
        <v>107.53800000000001</v>
      </c>
      <c r="MA155" s="93"/>
      <c r="MB155" s="93"/>
      <c r="MC155" s="93"/>
      <c r="MD155" s="93"/>
      <c r="ME155" s="93"/>
      <c r="MF155" s="93"/>
      <c r="MG155" s="93"/>
      <c r="MH155" s="20"/>
      <c r="MI155" s="29">
        <v>82</v>
      </c>
      <c r="MJ155" s="29" t="str">
        <f t="shared" si="88"/>
        <v>Trimestre 22020</v>
      </c>
      <c r="MK155" s="848">
        <v>43983</v>
      </c>
      <c r="ML155" s="1991">
        <v>145.66300885197401</v>
      </c>
      <c r="MM155" s="1991">
        <v>127.73924455010344</v>
      </c>
      <c r="MN155" s="1991">
        <v>100.38388931388663</v>
      </c>
      <c r="MO155" s="1991">
        <v>100.00000000000004</v>
      </c>
      <c r="MP155" s="1991">
        <v>145.66300885197401</v>
      </c>
      <c r="MQ155" s="1991">
        <v>127.80379972364152</v>
      </c>
      <c r="MR155" s="1991">
        <v>131.99999999999991</v>
      </c>
      <c r="MS155" s="1991">
        <v>101.35519711262042</v>
      </c>
      <c r="MT155" s="1991">
        <v>100.00000000000009</v>
      </c>
      <c r="MU155" s="1991">
        <v>100</v>
      </c>
      <c r="MV155" s="1991">
        <v>100.29950046728163</v>
      </c>
      <c r="MW155" s="1991">
        <v>100.00000000000004</v>
      </c>
      <c r="MX155" s="1991">
        <v>89.339144173347577</v>
      </c>
      <c r="MY155" s="1991">
        <v>100.00000000000016</v>
      </c>
      <c r="MZ155" s="1991">
        <v>99.527938786623963</v>
      </c>
      <c r="NA155" s="1991">
        <v>100.00000000000011</v>
      </c>
      <c r="NB155" s="1991">
        <v>100.55207499114596</v>
      </c>
      <c r="NC155" s="1991">
        <v>124.19163735970476</v>
      </c>
      <c r="ND155" s="1991">
        <v>90.197003246239817</v>
      </c>
      <c r="NE155" s="1991">
        <v>101.30317898445293</v>
      </c>
      <c r="NF155" s="1991">
        <v>100.13276945307304</v>
      </c>
      <c r="NG155" s="1991">
        <v>100.00000000000014</v>
      </c>
      <c r="NH155" s="1991">
        <v>100.00000000000013</v>
      </c>
      <c r="NI155" s="1991">
        <v>99.999999999999986</v>
      </c>
      <c r="NJ155" s="1991">
        <v>100.00000000000001</v>
      </c>
      <c r="NK155" s="1991">
        <v>114.44139127642272</v>
      </c>
      <c r="NL155" s="29">
        <v>82</v>
      </c>
    </row>
    <row r="156" spans="1:376">
      <c r="A156" s="41">
        <f t="shared" si="86"/>
        <v>2020</v>
      </c>
      <c r="B156" s="785">
        <v>44075</v>
      </c>
      <c r="C156" s="733">
        <v>148.26152448577926</v>
      </c>
      <c r="D156" s="570">
        <v>307.58650834964709</v>
      </c>
      <c r="E156" s="570">
        <v>115.91939835811471</v>
      </c>
      <c r="F156" s="570">
        <v>13.399398909023768</v>
      </c>
      <c r="G156" s="570">
        <v>0</v>
      </c>
      <c r="H156" s="570">
        <v>113.44766062217353</v>
      </c>
      <c r="I156" s="570">
        <v>22.529576031237493</v>
      </c>
      <c r="J156" s="570">
        <v>97.299757224999766</v>
      </c>
      <c r="K156" s="570">
        <v>84.907096781400014</v>
      </c>
      <c r="L156" s="570">
        <v>275.59890315851163</v>
      </c>
      <c r="M156" s="734">
        <v>152.10210142328859</v>
      </c>
      <c r="N156" s="25">
        <v>83</v>
      </c>
      <c r="O156" s="889">
        <f t="shared" si="85"/>
        <v>2020</v>
      </c>
      <c r="P156" s="29" t="str">
        <f t="shared" si="87"/>
        <v>Trimestre 32020</v>
      </c>
      <c r="Q156" s="848">
        <v>44075</v>
      </c>
      <c r="R156" s="733">
        <v>15.497176720000004</v>
      </c>
      <c r="S156" s="570">
        <v>0</v>
      </c>
      <c r="T156" s="570">
        <v>1015.2595</v>
      </c>
      <c r="U156" s="734">
        <v>17.731240832082353</v>
      </c>
      <c r="V156" s="25">
        <v>83</v>
      </c>
      <c r="W156" s="733">
        <v>4416</v>
      </c>
      <c r="X156" s="93">
        <v>0</v>
      </c>
      <c r="Y156" s="570">
        <v>690.51466041902995</v>
      </c>
      <c r="Z156" s="570">
        <v>298.50066167977667</v>
      </c>
      <c r="AA156" s="93">
        <v>30.288</v>
      </c>
      <c r="AB156" s="93">
        <v>78.97</v>
      </c>
      <c r="AC156" s="570">
        <v>483.66899999999998</v>
      </c>
      <c r="AD156" s="570">
        <v>130.45487499999999</v>
      </c>
      <c r="AE156" s="734">
        <v>27.633276791784208</v>
      </c>
      <c r="AF156" s="25">
        <v>83</v>
      </c>
      <c r="AG156" s="733">
        <v>-22.977814828923641</v>
      </c>
      <c r="AH156" s="570">
        <v>-31.66109809712631</v>
      </c>
      <c r="AI156" s="570">
        <v>3.7466120313342266</v>
      </c>
      <c r="AJ156" s="570">
        <v>-7.7914774710072168</v>
      </c>
      <c r="AK156" s="570">
        <v>-5.782826862451321</v>
      </c>
      <c r="AL156" s="570">
        <v>9.1451709733648894</v>
      </c>
      <c r="AM156" s="570">
        <v>39.258424363815251</v>
      </c>
      <c r="AN156" s="734">
        <v>8.4570402117461185</v>
      </c>
      <c r="AO156" s="733">
        <v>3.4363379499239386</v>
      </c>
      <c r="AP156" s="570">
        <v>-58.224746587226022</v>
      </c>
      <c r="AQ156" s="570">
        <v>-13.050965574152443</v>
      </c>
      <c r="AR156" s="570">
        <v>-6.442425736925891</v>
      </c>
      <c r="AS156" s="734">
        <v>-2.816901408450704</v>
      </c>
      <c r="AT156" s="733">
        <v>25.555220786957506</v>
      </c>
      <c r="AU156" s="570">
        <v>-3.2527776939978921</v>
      </c>
      <c r="AV156" s="734">
        <v>14.382748903538701</v>
      </c>
      <c r="AW156" s="733">
        <v>-37.86930967887703</v>
      </c>
      <c r="AX156" s="570">
        <v>48.003590876566015</v>
      </c>
      <c r="AY156" s="570">
        <v>57.323952856547997</v>
      </c>
      <c r="AZ156" s="570">
        <v>25.366169079068218</v>
      </c>
      <c r="BA156" s="570">
        <v>-8.3682971812920304</v>
      </c>
      <c r="BB156" s="570">
        <v>-17.938050636236358</v>
      </c>
      <c r="BC156" s="734">
        <v>22.535211267605632</v>
      </c>
      <c r="BD156" s="733">
        <v>-66.458119698813775</v>
      </c>
      <c r="BE156" s="570">
        <v>-70.718563974056181</v>
      </c>
      <c r="BF156" s="570">
        <v>-7.8590891893525683</v>
      </c>
      <c r="BG156" s="570">
        <v>-7.4618363747887315</v>
      </c>
      <c r="BH156" s="570">
        <v>-5.473461187370944</v>
      </c>
      <c r="BI156" s="570">
        <v>10.701993612965687</v>
      </c>
      <c r="BJ156" s="570">
        <v>67.884379868879151</v>
      </c>
      <c r="BK156" s="734">
        <v>13.338411208533444</v>
      </c>
      <c r="BL156" s="733">
        <v>20.685588028120783</v>
      </c>
      <c r="BM156" s="570">
        <v>-71.016476050004812</v>
      </c>
      <c r="BN156" s="570">
        <v>-17.907837116071526</v>
      </c>
      <c r="BO156" s="570">
        <v>-3.6932413796321244</v>
      </c>
      <c r="BP156" s="570">
        <v>-17.647058823529413</v>
      </c>
      <c r="BQ156" s="734">
        <v>-11.764705882352942</v>
      </c>
      <c r="BR156" s="733">
        <v>52.151525038292611</v>
      </c>
      <c r="BS156" s="570">
        <v>-4.4212947663204591</v>
      </c>
      <c r="BT156" s="570">
        <v>29.624191678203189</v>
      </c>
      <c r="BU156" s="734">
        <v>-69.207997046625167</v>
      </c>
      <c r="BV156" s="733">
        <v>37.795919452793655</v>
      </c>
      <c r="BW156" s="570">
        <v>58.507510825295114</v>
      </c>
      <c r="BX156" s="570">
        <v>42.626630081358641</v>
      </c>
      <c r="BY156" s="570">
        <v>-19.836058077893203</v>
      </c>
      <c r="BZ156" s="570">
        <v>-18.768024552005393</v>
      </c>
      <c r="CA156" s="570">
        <v>0</v>
      </c>
      <c r="CB156" s="734">
        <v>11.764705882352938</v>
      </c>
      <c r="CC156" s="25">
        <v>83</v>
      </c>
      <c r="CD156" s="19">
        <v>74449</v>
      </c>
      <c r="CE156" s="93">
        <v>21436545</v>
      </c>
      <c r="CF156" s="20">
        <v>10059048</v>
      </c>
      <c r="CG156" s="25">
        <v>83</v>
      </c>
      <c r="CH156" s="1772">
        <v>2391</v>
      </c>
      <c r="CI156" s="1773">
        <v>717</v>
      </c>
      <c r="CJ156" s="1773">
        <v>478</v>
      </c>
      <c r="CK156" s="1773">
        <v>1615</v>
      </c>
      <c r="CL156" s="1773">
        <v>969</v>
      </c>
      <c r="CM156" s="1773">
        <v>194</v>
      </c>
      <c r="CN156" s="1773">
        <v>194</v>
      </c>
      <c r="CO156" s="1773">
        <v>1939</v>
      </c>
      <c r="CP156" s="1773">
        <v>323</v>
      </c>
      <c r="CQ156" s="1773">
        <v>714</v>
      </c>
      <c r="CR156" s="1802">
        <v>101253</v>
      </c>
      <c r="CS156" s="1774">
        <v>108428</v>
      </c>
      <c r="CT156" s="25">
        <v>83</v>
      </c>
      <c r="CU156" s="19">
        <v>4932</v>
      </c>
      <c r="CV156" s="93">
        <v>82781</v>
      </c>
      <c r="CW156" s="93">
        <v>8531</v>
      </c>
      <c r="CX156" s="93">
        <v>1059</v>
      </c>
      <c r="CY156" s="93">
        <v>777</v>
      </c>
      <c r="CZ156" s="93">
        <v>430</v>
      </c>
      <c r="DA156" s="93">
        <v>9918</v>
      </c>
      <c r="DB156" s="20">
        <v>108428</v>
      </c>
      <c r="DC156" s="25">
        <v>83</v>
      </c>
      <c r="DD156" s="785">
        <v>44075</v>
      </c>
      <c r="DE156" s="19">
        <v>612.31807940800002</v>
      </c>
      <c r="DF156" s="20">
        <v>281.509885</v>
      </c>
      <c r="DG156" s="25">
        <v>83</v>
      </c>
      <c r="DH156" s="19">
        <v>542.42214986937097</v>
      </c>
      <c r="DI156" s="20">
        <v>1746.3351439999999</v>
      </c>
      <c r="DJ156" s="25">
        <v>83</v>
      </c>
      <c r="DK156" s="19">
        <v>612.31807940800002</v>
      </c>
      <c r="DL156" s="20">
        <v>542.42214986937097</v>
      </c>
      <c r="DM156" s="19">
        <v>69.895929538629034</v>
      </c>
      <c r="DN156" s="20">
        <v>112.88589146948769</v>
      </c>
      <c r="DO156" s="25">
        <v>83</v>
      </c>
      <c r="DP156" s="19">
        <v>350.07251851139671</v>
      </c>
      <c r="DQ156" s="93">
        <v>297.08012817231361</v>
      </c>
      <c r="DR156" s="20">
        <v>1039.9958866897036</v>
      </c>
      <c r="DS156" s="25">
        <v>83</v>
      </c>
      <c r="DT156" s="19">
        <v>67.627458535798127</v>
      </c>
      <c r="DU156" s="93">
        <v>409.25323427709316</v>
      </c>
      <c r="DV156" s="20">
        <v>276.76756131715405</v>
      </c>
      <c r="DW156" s="25">
        <v>83</v>
      </c>
      <c r="DX156" s="19">
        <v>517.64849085092897</v>
      </c>
      <c r="DY156" s="20">
        <v>89.508130067034656</v>
      </c>
      <c r="DZ156" s="25">
        <v>83</v>
      </c>
      <c r="EA156" s="19">
        <v>543.67884423700002</v>
      </c>
      <c r="EB156" s="93">
        <v>6.0154733419999999</v>
      </c>
      <c r="EC156" s="93">
        <v>0.98459425199999995</v>
      </c>
      <c r="ED156" s="93">
        <v>1.7655982509999999</v>
      </c>
      <c r="EE156" s="20">
        <v>14.102096608</v>
      </c>
      <c r="EF156" s="25">
        <v>83</v>
      </c>
      <c r="EG156" s="19">
        <v>113.26062516467599</v>
      </c>
      <c r="EH156" s="93">
        <v>11.676640042000001</v>
      </c>
      <c r="EI156" s="93">
        <v>10.372545376</v>
      </c>
      <c r="EJ156" s="93">
        <v>24.620640577</v>
      </c>
      <c r="EK156" s="20">
        <v>7.9121113550000004</v>
      </c>
      <c r="EL156" s="25">
        <v>83</v>
      </c>
      <c r="EM156" s="19">
        <v>499.77831787299999</v>
      </c>
      <c r="EN156" s="93">
        <v>1.89025</v>
      </c>
      <c r="EO156" s="93">
        <v>18.293759537</v>
      </c>
      <c r="EP156" s="93">
        <v>0.21881816600000001</v>
      </c>
      <c r="EQ156" s="93">
        <v>5.1822721469999999</v>
      </c>
      <c r="ER156" s="93">
        <v>2.6388082480000001</v>
      </c>
      <c r="ES156" s="93">
        <v>0.67128241499999997</v>
      </c>
      <c r="ET156" s="93">
        <v>1.461002565</v>
      </c>
      <c r="EU156" s="93">
        <v>1.6986594559999999</v>
      </c>
      <c r="EV156" s="20">
        <v>6.8084133570000001</v>
      </c>
      <c r="EW156" s="25">
        <v>83</v>
      </c>
      <c r="EX156" s="1803">
        <v>49.531118783275005</v>
      </c>
      <c r="EY156" s="975">
        <v>17.813620640500002</v>
      </c>
      <c r="EZ156" s="975">
        <v>35.979537810780997</v>
      </c>
      <c r="FA156" s="975">
        <v>3.8868126461880004</v>
      </c>
      <c r="FB156" s="975">
        <v>72.638182231000002</v>
      </c>
      <c r="FC156" s="975">
        <v>36.505382374874998</v>
      </c>
      <c r="FD156" s="975">
        <v>9.4667471109379999</v>
      </c>
      <c r="FE156" s="975">
        <v>29.747921261750001</v>
      </c>
      <c r="FF156" s="975">
        <v>5.7465690087599999</v>
      </c>
      <c r="FG156" s="976">
        <v>37.218042463905995</v>
      </c>
      <c r="FH156" s="25">
        <v>83</v>
      </c>
      <c r="FI156" s="848">
        <v>44075</v>
      </c>
      <c r="FJ156" s="19">
        <v>1191</v>
      </c>
      <c r="FK156" s="93">
        <v>874</v>
      </c>
      <c r="FL156" s="20">
        <v>0</v>
      </c>
      <c r="FM156" s="25">
        <v>83</v>
      </c>
      <c r="FN156" s="19">
        <v>58</v>
      </c>
      <c r="FO156" s="93">
        <v>635</v>
      </c>
      <c r="FP156" s="93">
        <v>790</v>
      </c>
      <c r="FQ156" s="93">
        <v>398</v>
      </c>
      <c r="FR156" s="93">
        <v>133</v>
      </c>
      <c r="FS156" s="93">
        <v>33</v>
      </c>
      <c r="FT156" s="93">
        <v>10</v>
      </c>
      <c r="FU156" s="93">
        <v>4</v>
      </c>
      <c r="FV156" s="93">
        <v>4</v>
      </c>
      <c r="FW156" s="917">
        <v>0</v>
      </c>
      <c r="FX156" s="25">
        <v>83</v>
      </c>
      <c r="FY156" s="916">
        <v>4</v>
      </c>
      <c r="FZ156" s="916">
        <v>85</v>
      </c>
      <c r="GA156" s="916">
        <v>263</v>
      </c>
      <c r="GB156" s="916">
        <v>90</v>
      </c>
      <c r="GC156" s="916">
        <v>451</v>
      </c>
      <c r="GD156" s="916">
        <v>209</v>
      </c>
      <c r="GE156" s="916">
        <v>557</v>
      </c>
      <c r="GF156" s="916">
        <v>48</v>
      </c>
      <c r="GG156" s="916">
        <v>8</v>
      </c>
      <c r="GH156" s="916">
        <v>260</v>
      </c>
      <c r="GI156" s="917">
        <v>90</v>
      </c>
      <c r="GJ156" s="25">
        <v>83</v>
      </c>
      <c r="GK156" s="19"/>
      <c r="GL156" s="20"/>
      <c r="GM156" s="25"/>
      <c r="GN156" s="19">
        <v>4750</v>
      </c>
      <c r="GO156" s="20">
        <v>1966</v>
      </c>
      <c r="GP156" s="25">
        <v>83</v>
      </c>
      <c r="GQ156" s="19">
        <v>32</v>
      </c>
      <c r="GR156" s="20">
        <v>30</v>
      </c>
      <c r="GS156" s="25">
        <v>83</v>
      </c>
      <c r="GT156" s="848">
        <v>44075</v>
      </c>
      <c r="GU156" s="19"/>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848">
        <v>44075</v>
      </c>
      <c r="IX156" s="93"/>
      <c r="IY156" s="93">
        <v>624.56745381100006</v>
      </c>
      <c r="IZ156" s="93">
        <v>2025.1650834270001</v>
      </c>
      <c r="JA156" s="93">
        <v>0.78154264000000007</v>
      </c>
      <c r="JB156" s="93">
        <v>1774.1660000000002</v>
      </c>
      <c r="JC156" s="93">
        <v>250.21754078700002</v>
      </c>
      <c r="JD156" s="93">
        <v>2649.7325372380001</v>
      </c>
      <c r="JE156" s="93">
        <v>1701.8591083189999</v>
      </c>
      <c r="JF156" s="93">
        <v>4351.5916455570004</v>
      </c>
      <c r="JG156" s="93"/>
      <c r="JH156" s="93">
        <v>1859.1540356920004</v>
      </c>
      <c r="JI156" s="93">
        <v>180.97903569200025</v>
      </c>
      <c r="JJ156" s="93">
        <v>1678.175</v>
      </c>
      <c r="JK156" s="93">
        <v>3105.3006282079996</v>
      </c>
      <c r="JL156" s="93">
        <v>77.154046679999865</v>
      </c>
      <c r="JM156" s="93">
        <v>-116.61495332000003</v>
      </c>
      <c r="JN156" s="93">
        <v>193.76899999999989</v>
      </c>
      <c r="JO156" s="93">
        <v>3028.1465815279998</v>
      </c>
      <c r="JP156" s="93">
        <v>7.9495815280000004</v>
      </c>
      <c r="JQ156" s="93">
        <v>3020.1969999999997</v>
      </c>
      <c r="JR156" s="93">
        <v>837.18193674899999</v>
      </c>
      <c r="JS156" s="93">
        <v>-224.31891840599994</v>
      </c>
      <c r="JT156" s="20">
        <v>4351.5916455570004</v>
      </c>
      <c r="JU156" s="29">
        <v>83</v>
      </c>
      <c r="JV156" s="19"/>
      <c r="JW156" s="93">
        <v>190.60465125116366</v>
      </c>
      <c r="JX156" s="93">
        <v>1337.0044771191635</v>
      </c>
      <c r="JY156" s="93">
        <v>1146.3998258679999</v>
      </c>
      <c r="JZ156" s="93">
        <v>911.93799999999999</v>
      </c>
      <c r="KA156" s="93">
        <v>-106.63653772100002</v>
      </c>
      <c r="KB156" s="93">
        <v>201.343308718</v>
      </c>
      <c r="KC156" s="93">
        <v>307.97984643900003</v>
      </c>
      <c r="KD156" s="93">
        <v>7.9495815280000004</v>
      </c>
      <c r="KE156" s="93">
        <v>3.51</v>
      </c>
      <c r="KF156" s="93">
        <v>0</v>
      </c>
      <c r="KG156" s="93">
        <v>0</v>
      </c>
      <c r="KH156" s="93">
        <v>4.4395815280000006</v>
      </c>
      <c r="KI156" s="93">
        <v>1017.4569520471633</v>
      </c>
      <c r="KJ156" s="93">
        <v>726.74848496916331</v>
      </c>
      <c r="KK156" s="93">
        <v>289.593816119</v>
      </c>
      <c r="KL156" s="93">
        <v>1.114650959</v>
      </c>
      <c r="KM156" s="93">
        <v>0</v>
      </c>
      <c r="KN156" s="93">
        <v>0.235446669</v>
      </c>
      <c r="KO156" s="93">
        <v>0</v>
      </c>
      <c r="KP156" s="93">
        <v>0</v>
      </c>
      <c r="KQ156" s="93">
        <v>0.235446669</v>
      </c>
      <c r="KR156" s="93">
        <v>0</v>
      </c>
      <c r="KS156" s="93"/>
      <c r="KT156" s="93"/>
      <c r="KU156" s="93">
        <v>11.785490080000001</v>
      </c>
      <c r="KV156" s="93">
        <v>-25.622193738</v>
      </c>
      <c r="KW156" s="20"/>
      <c r="KX156" s="29">
        <v>83</v>
      </c>
      <c r="KY156" s="19"/>
      <c r="KZ156" s="93">
        <v>1678.175</v>
      </c>
      <c r="LA156" s="93">
        <v>2023.74</v>
      </c>
      <c r="LB156" s="93">
        <v>-345.565</v>
      </c>
      <c r="LC156" s="93">
        <v>401.952</v>
      </c>
      <c r="LD156" s="93">
        <v>82.576999999999998</v>
      </c>
      <c r="LE156" s="93">
        <v>319.375</v>
      </c>
      <c r="LF156" s="93">
        <v>0</v>
      </c>
      <c r="LG156" s="93">
        <v>193.76899999999989</v>
      </c>
      <c r="LH156" s="93">
        <v>800.88199999999995</v>
      </c>
      <c r="LI156" s="93">
        <v>-607.11300000000006</v>
      </c>
      <c r="LJ156" s="93">
        <v>3020.1969999999997</v>
      </c>
      <c r="LK156" s="93">
        <v>23.484999999999999</v>
      </c>
      <c r="LL156" s="93">
        <v>1.103</v>
      </c>
      <c r="LM156" s="93">
        <v>185.71899999999999</v>
      </c>
      <c r="LN156" s="93">
        <v>2809.89</v>
      </c>
      <c r="LO156" s="93"/>
      <c r="LP156" s="93">
        <v>903.08699999999999</v>
      </c>
      <c r="LQ156" s="93">
        <v>1774.1659999999999</v>
      </c>
      <c r="LR156" s="93">
        <v>1701.5259999999998</v>
      </c>
      <c r="LS156" s="93">
        <v>0</v>
      </c>
      <c r="LT156" s="93">
        <v>182.37700000000001</v>
      </c>
      <c r="LU156" s="93">
        <v>0</v>
      </c>
      <c r="LV156" s="93">
        <v>29.991999999999997</v>
      </c>
      <c r="LW156" s="93">
        <v>0</v>
      </c>
      <c r="LX156" s="93">
        <v>0</v>
      </c>
      <c r="LY156" s="93">
        <v>612.79199999999992</v>
      </c>
      <c r="LZ156" s="93">
        <v>90.15300000000002</v>
      </c>
      <c r="MA156" s="93"/>
      <c r="MB156" s="93"/>
      <c r="MC156" s="93"/>
      <c r="MD156" s="93"/>
      <c r="ME156" s="93"/>
      <c r="MF156" s="93"/>
      <c r="MG156" s="93"/>
      <c r="MH156" s="20"/>
      <c r="MI156" s="29">
        <v>83</v>
      </c>
      <c r="MJ156" s="29" t="str">
        <f t="shared" si="88"/>
        <v>Trimestre 32020</v>
      </c>
      <c r="MK156" s="848">
        <v>44075</v>
      </c>
      <c r="ML156" s="1991">
        <v>145.66300885197401</v>
      </c>
      <c r="MM156" s="1991">
        <v>127.73924455010344</v>
      </c>
      <c r="MN156" s="1991">
        <v>100.38837544775018</v>
      </c>
      <c r="MO156" s="1991">
        <v>100.00000000000004</v>
      </c>
      <c r="MP156" s="1991">
        <v>145.66300885197401</v>
      </c>
      <c r="MQ156" s="1991">
        <v>127.80379972364152</v>
      </c>
      <c r="MR156" s="1991">
        <v>131.99999999999991</v>
      </c>
      <c r="MS156" s="1991">
        <v>101.35519711262042</v>
      </c>
      <c r="MT156" s="1991">
        <v>100.00000000000009</v>
      </c>
      <c r="MU156" s="1991">
        <v>100</v>
      </c>
      <c r="MV156" s="1991">
        <v>100.29950046728163</v>
      </c>
      <c r="MW156" s="1991">
        <v>100.00000000000004</v>
      </c>
      <c r="MX156" s="1991">
        <v>89.339144173347577</v>
      </c>
      <c r="MY156" s="1991">
        <v>100.00000000000016</v>
      </c>
      <c r="MZ156" s="1991">
        <v>99.527938786623963</v>
      </c>
      <c r="NA156" s="1991">
        <v>100.00000000000011</v>
      </c>
      <c r="NB156" s="1991">
        <v>100.55207499114596</v>
      </c>
      <c r="NC156" s="1991">
        <v>124.17221389016716</v>
      </c>
      <c r="ND156" s="1991">
        <v>90.28109863779396</v>
      </c>
      <c r="NE156" s="1991">
        <v>101.30317898445293</v>
      </c>
      <c r="NF156" s="1991">
        <v>100.13276945307304</v>
      </c>
      <c r="NG156" s="1991">
        <v>100.00000000000014</v>
      </c>
      <c r="NH156" s="1991">
        <v>100.00000000000013</v>
      </c>
      <c r="NI156" s="1991">
        <v>99.999999999999986</v>
      </c>
      <c r="NJ156" s="1991">
        <v>100.00000000000001</v>
      </c>
      <c r="NK156" s="1991">
        <v>114.44334811205503</v>
      </c>
      <c r="NL156" s="29">
        <v>83</v>
      </c>
    </row>
    <row r="157" spans="1:376">
      <c r="A157" s="41">
        <f t="shared" si="86"/>
        <v>2020</v>
      </c>
      <c r="B157" s="785">
        <v>44166</v>
      </c>
      <c r="C157" s="733">
        <v>150.46579911263126</v>
      </c>
      <c r="D157" s="570">
        <v>317.42269517722053</v>
      </c>
      <c r="E157" s="570">
        <v>158.99496718143024</v>
      </c>
      <c r="F157" s="570">
        <v>43.887204720861369</v>
      </c>
      <c r="G157" s="570">
        <v>0</v>
      </c>
      <c r="H157" s="570">
        <v>81.063567981847328</v>
      </c>
      <c r="I157" s="570">
        <v>21.106406005628894</v>
      </c>
      <c r="J157" s="570">
        <v>139.41918047409035</v>
      </c>
      <c r="K157" s="570">
        <v>91.763567206948721</v>
      </c>
      <c r="L157" s="570">
        <v>298.07962557708612</v>
      </c>
      <c r="M157" s="734">
        <v>151.88329089303903</v>
      </c>
      <c r="N157" s="25">
        <v>84</v>
      </c>
      <c r="O157" s="889">
        <f t="shared" si="85"/>
        <v>2020</v>
      </c>
      <c r="P157" s="29" t="str">
        <f t="shared" si="87"/>
        <v>Trimestre 42020</v>
      </c>
      <c r="Q157" s="848">
        <v>44166</v>
      </c>
      <c r="R157" s="733">
        <v>18.791036349999999</v>
      </c>
      <c r="S157" s="570">
        <v>88.124755504000007</v>
      </c>
      <c r="T157" s="570"/>
      <c r="U157" s="1547">
        <f>U153</f>
        <v>24.164999999999999</v>
      </c>
      <c r="V157" s="25">
        <v>84</v>
      </c>
      <c r="W157" s="19">
        <v>1087.7701380000001</v>
      </c>
      <c r="X157" s="93">
        <v>3907.03514</v>
      </c>
      <c r="Y157" s="93">
        <v>3185.0531259999998</v>
      </c>
      <c r="Z157" s="93">
        <v>978.46941700000002</v>
      </c>
      <c r="AA157" s="93">
        <v>13.683682632</v>
      </c>
      <c r="AB157" s="93">
        <v>3664.9049890000001</v>
      </c>
      <c r="AC157" s="93">
        <v>323.05201099999999</v>
      </c>
      <c r="AD157" s="570">
        <v>140.56158000000002</v>
      </c>
      <c r="AE157" s="20">
        <v>14.374343626</v>
      </c>
      <c r="AF157" s="25">
        <v>84</v>
      </c>
      <c r="AG157" s="733">
        <v>32.891421859158683</v>
      </c>
      <c r="AH157" s="570">
        <v>26.09307935785165</v>
      </c>
      <c r="AI157" s="570">
        <v>-21.503845358837019</v>
      </c>
      <c r="AJ157" s="570">
        <v>-8.1010638320100199</v>
      </c>
      <c r="AK157" s="570">
        <v>-0.72170526065722918</v>
      </c>
      <c r="AL157" s="570">
        <v>21.021921252769307</v>
      </c>
      <c r="AM157" s="570">
        <v>38.645100211756578</v>
      </c>
      <c r="AN157" s="734">
        <v>6.4817434843078665</v>
      </c>
      <c r="AO157" s="733">
        <v>4.128609238988755</v>
      </c>
      <c r="AP157" s="570">
        <v>4.128609238988755</v>
      </c>
      <c r="AQ157" s="570">
        <v>-16.290192750731862</v>
      </c>
      <c r="AR157" s="570">
        <v>-2.3133263731274742</v>
      </c>
      <c r="AS157" s="734">
        <v>-6.25</v>
      </c>
      <c r="AT157" s="733">
        <v>3.6175240563674955</v>
      </c>
      <c r="AU157" s="570">
        <v>-9.2501996622871037</v>
      </c>
      <c r="AV157" s="734">
        <v>-5.0610412855273283</v>
      </c>
      <c r="AW157" s="733">
        <v>-34.464319859709349</v>
      </c>
      <c r="AX157" s="570">
        <v>0.97882931192341083</v>
      </c>
      <c r="AY157" s="570">
        <v>1.7457791551411592</v>
      </c>
      <c r="AZ157" s="570">
        <v>-1.5318050123877587</v>
      </c>
      <c r="BA157" s="570">
        <v>-5.6916462586823897</v>
      </c>
      <c r="BB157" s="570">
        <v>-10.445930008097386</v>
      </c>
      <c r="BC157" s="734">
        <v>11.25</v>
      </c>
      <c r="BD157" s="733">
        <v>-19.550538519655714</v>
      </c>
      <c r="BE157" s="570">
        <v>-45.70616720706095</v>
      </c>
      <c r="BF157" s="570">
        <v>-25.231011396566807</v>
      </c>
      <c r="BG157" s="570">
        <v>-32.927870523010952</v>
      </c>
      <c r="BH157" s="570">
        <v>3.652630169835426</v>
      </c>
      <c r="BI157" s="570">
        <v>-14.597871138355938</v>
      </c>
      <c r="BJ157" s="570">
        <v>52.18648694877735</v>
      </c>
      <c r="BK157" s="734">
        <v>18.217605775430474</v>
      </c>
      <c r="BL157" s="733">
        <v>12.151169480995797</v>
      </c>
      <c r="BM157" s="570">
        <v>12.151169480995797</v>
      </c>
      <c r="BN157" s="570">
        <v>11.483863464133865</v>
      </c>
      <c r="BO157" s="570">
        <v>-4.1678531149845108</v>
      </c>
      <c r="BP157" s="570">
        <v>-5.882352941176471</v>
      </c>
      <c r="BQ157" s="734">
        <v>-29.411764705882355</v>
      </c>
      <c r="BR157" s="733">
        <v>20.274098159676928</v>
      </c>
      <c r="BS157" s="570">
        <v>-40.552247968550212</v>
      </c>
      <c r="BT157" s="570">
        <v>-34.984051922723864</v>
      </c>
      <c r="BU157" s="734">
        <v>-60.38616562999902</v>
      </c>
      <c r="BV157" s="733">
        <v>21.791949129051972</v>
      </c>
      <c r="BW157" s="570">
        <v>21.791949129051972</v>
      </c>
      <c r="BX157" s="570">
        <v>31.476911322174715</v>
      </c>
      <c r="BY157" s="570">
        <v>-5.4503231042502822</v>
      </c>
      <c r="BZ157" s="570">
        <v>-55.610889191248432</v>
      </c>
      <c r="CA157" s="570">
        <v>0</v>
      </c>
      <c r="CB157" s="734">
        <v>5.8823529411764675</v>
      </c>
      <c r="CC157" s="25">
        <v>84</v>
      </c>
      <c r="CD157" s="19">
        <v>75039</v>
      </c>
      <c r="CE157" s="93">
        <v>22117218</v>
      </c>
      <c r="CF157" s="20">
        <v>10917688</v>
      </c>
      <c r="CG157" s="25">
        <v>84</v>
      </c>
      <c r="CH157" s="19">
        <v>20021</v>
      </c>
      <c r="CI157" s="93">
        <v>4527</v>
      </c>
      <c r="CJ157" s="93">
        <v>2024</v>
      </c>
      <c r="CK157" s="93">
        <v>7637</v>
      </c>
      <c r="CL157" s="93">
        <v>4704</v>
      </c>
      <c r="CM157" s="93">
        <v>439</v>
      </c>
      <c r="CN157" s="93">
        <v>2057</v>
      </c>
      <c r="CO157" s="93">
        <v>1876</v>
      </c>
      <c r="CP157" s="93">
        <v>1956</v>
      </c>
      <c r="CQ157" s="93">
        <v>1648</v>
      </c>
      <c r="CR157" s="214">
        <v>106076</v>
      </c>
      <c r="CS157" s="20">
        <v>141271</v>
      </c>
      <c r="CT157" s="25">
        <v>84</v>
      </c>
      <c r="CU157" s="19">
        <v>19842</v>
      </c>
      <c r="CV157" s="93">
        <v>92050</v>
      </c>
      <c r="CW157" s="93">
        <v>18272</v>
      </c>
      <c r="CX157" s="93">
        <v>1330</v>
      </c>
      <c r="CY157" s="93">
        <v>880</v>
      </c>
      <c r="CZ157" s="93">
        <v>134</v>
      </c>
      <c r="DA157" s="93">
        <v>8763</v>
      </c>
      <c r="DB157" s="20">
        <v>141271</v>
      </c>
      <c r="DC157" s="25">
        <v>84</v>
      </c>
      <c r="DD157" s="785">
        <v>44166</v>
      </c>
      <c r="DE157" s="19">
        <v>718.118584629</v>
      </c>
      <c r="DF157" s="20">
        <v>303.07967600000001</v>
      </c>
      <c r="DG157" s="25">
        <v>84</v>
      </c>
      <c r="DH157" s="19">
        <v>650.17078857766398</v>
      </c>
      <c r="DI157" s="20">
        <v>1895.2130079999999</v>
      </c>
      <c r="DJ157" s="25">
        <v>84</v>
      </c>
      <c r="DK157" s="19">
        <v>718.118584629</v>
      </c>
      <c r="DL157" s="20">
        <v>650.17078857766398</v>
      </c>
      <c r="DM157" s="19">
        <v>67.947796051336056</v>
      </c>
      <c r="DN157" s="20">
        <v>110.45076113000724</v>
      </c>
      <c r="DO157" s="25">
        <v>84</v>
      </c>
      <c r="DP157" s="19">
        <v>332.37962736970888</v>
      </c>
      <c r="DQ157" s="93">
        <v>369.20426365251296</v>
      </c>
      <c r="DR157" s="20">
        <v>1227.1597557613002</v>
      </c>
      <c r="DS157" s="25">
        <v>84</v>
      </c>
      <c r="DT157" s="19">
        <v>77.027736830703034</v>
      </c>
      <c r="DU157" s="93">
        <v>407.96900241434224</v>
      </c>
      <c r="DV157" s="20">
        <v>314.24928953056371</v>
      </c>
      <c r="DW157" s="25">
        <v>84</v>
      </c>
      <c r="DX157" s="19">
        <v>431.50641709782559</v>
      </c>
      <c r="DY157" s="20">
        <v>51.377489316169346</v>
      </c>
      <c r="DZ157" s="25">
        <v>84</v>
      </c>
      <c r="EA157" s="19">
        <v>625.70069469599991</v>
      </c>
      <c r="EB157" s="93">
        <v>22.309568858999999</v>
      </c>
      <c r="EC157" s="93">
        <v>10.98249854</v>
      </c>
      <c r="ED157" s="93">
        <v>10.186619781999999</v>
      </c>
      <c r="EE157" s="20">
        <v>4.787702854</v>
      </c>
      <c r="EF157" s="25">
        <v>84</v>
      </c>
      <c r="EG157" s="19">
        <v>116.285982338281</v>
      </c>
      <c r="EH157" s="93">
        <v>4.7314968749999995</v>
      </c>
      <c r="EI157" s="93">
        <v>15.681713104</v>
      </c>
      <c r="EJ157" s="93">
        <v>26.722871209000001</v>
      </c>
      <c r="EK157" s="20">
        <v>11.855182443</v>
      </c>
      <c r="EL157" s="25">
        <v>84</v>
      </c>
      <c r="EM157" s="19">
        <v>566.81743419500003</v>
      </c>
      <c r="EN157" s="93">
        <v>6.9093610239999999</v>
      </c>
      <c r="EO157" s="93">
        <v>20.165818223999999</v>
      </c>
      <c r="EP157" s="93">
        <v>2.8115522E-2</v>
      </c>
      <c r="EQ157" s="93">
        <v>13.051937692999999</v>
      </c>
      <c r="ER157" s="93">
        <v>9.1751221229999995</v>
      </c>
      <c r="ES157" s="93">
        <v>0.74971177300000003</v>
      </c>
      <c r="ET157" s="93">
        <v>3.5937104620000002</v>
      </c>
      <c r="EU157" s="93">
        <v>0.40274582799999997</v>
      </c>
      <c r="EV157" s="20">
        <v>6.8707862149999999</v>
      </c>
      <c r="EW157" s="25">
        <v>84</v>
      </c>
      <c r="EX157" s="1803">
        <v>65.065101318155996</v>
      </c>
      <c r="EY157" s="975">
        <v>17.446131309999998</v>
      </c>
      <c r="EZ157" s="975">
        <v>47.411011559999999</v>
      </c>
      <c r="FA157" s="975">
        <v>3.4013041617810003</v>
      </c>
      <c r="FB157" s="975">
        <v>75.154914817999995</v>
      </c>
      <c r="FC157" s="975">
        <v>54.541462753499999</v>
      </c>
      <c r="FD157" s="975">
        <v>17.616646689969002</v>
      </c>
      <c r="FE157" s="975">
        <v>42.705449577000003</v>
      </c>
      <c r="FF157" s="975">
        <v>12.274013037</v>
      </c>
      <c r="FG157" s="976">
        <v>55.245350363930001</v>
      </c>
      <c r="FH157" s="25">
        <v>84</v>
      </c>
      <c r="FI157" s="848">
        <v>44166</v>
      </c>
      <c r="FJ157" s="19">
        <v>1068</v>
      </c>
      <c r="FK157" s="93">
        <v>828</v>
      </c>
      <c r="FL157" s="20">
        <v>0</v>
      </c>
      <c r="FM157" s="25">
        <v>84</v>
      </c>
      <c r="FN157" s="19">
        <v>38</v>
      </c>
      <c r="FO157" s="93">
        <v>483</v>
      </c>
      <c r="FP157" s="93">
        <v>704</v>
      </c>
      <c r="FQ157" s="93">
        <v>446</v>
      </c>
      <c r="FR157" s="93">
        <v>177</v>
      </c>
      <c r="FS157" s="93">
        <v>37</v>
      </c>
      <c r="FT157" s="93">
        <v>8</v>
      </c>
      <c r="FU157" s="93">
        <v>3</v>
      </c>
      <c r="FV157" s="93">
        <v>0</v>
      </c>
      <c r="FW157" s="917">
        <v>0</v>
      </c>
      <c r="FX157" s="25">
        <v>84</v>
      </c>
      <c r="FY157" s="916">
        <v>13</v>
      </c>
      <c r="FZ157" s="916">
        <v>89</v>
      </c>
      <c r="GA157" s="916">
        <v>310</v>
      </c>
      <c r="GB157" s="916">
        <v>35</v>
      </c>
      <c r="GC157" s="916">
        <v>366</v>
      </c>
      <c r="GD157" s="916">
        <v>140</v>
      </c>
      <c r="GE157" s="916">
        <v>495</v>
      </c>
      <c r="GF157" s="916">
        <v>75</v>
      </c>
      <c r="GG157" s="916">
        <v>12</v>
      </c>
      <c r="GH157" s="916">
        <v>299</v>
      </c>
      <c r="GI157" s="917">
        <v>62</v>
      </c>
      <c r="GJ157" s="25">
        <v>84</v>
      </c>
      <c r="GK157" s="19"/>
      <c r="GL157" s="20"/>
      <c r="GM157" s="25"/>
      <c r="GN157" s="19">
        <v>5074</v>
      </c>
      <c r="GO157" s="20">
        <v>1957</v>
      </c>
      <c r="GP157" s="25">
        <v>84</v>
      </c>
      <c r="GQ157" s="19">
        <v>31</v>
      </c>
      <c r="GR157" s="20">
        <v>30</v>
      </c>
      <c r="GS157" s="25">
        <v>84</v>
      </c>
      <c r="GT157" s="848">
        <v>44166</v>
      </c>
      <c r="GU157" s="19"/>
      <c r="GV157" s="93"/>
      <c r="GW157" s="93"/>
      <c r="GX157" s="93"/>
      <c r="GY157" s="93"/>
      <c r="GZ157" s="93"/>
      <c r="HA157" s="93"/>
      <c r="HB157" s="93"/>
      <c r="HC157" s="93"/>
      <c r="HD157" s="93"/>
      <c r="HE157" s="93"/>
      <c r="HF157" s="93"/>
      <c r="HG157" s="93"/>
      <c r="HH157" s="93"/>
      <c r="HI157" s="93"/>
      <c r="HJ157" s="93"/>
      <c r="HK157" s="93"/>
      <c r="HL157" s="93"/>
      <c r="HM157" s="93"/>
      <c r="HN157" s="93"/>
      <c r="HO157" s="93"/>
      <c r="HP157" s="93"/>
      <c r="HQ157" s="93"/>
      <c r="HR157" s="93"/>
      <c r="HS157" s="93"/>
      <c r="HT157" s="93"/>
      <c r="HU157" s="93"/>
      <c r="HV157" s="93"/>
      <c r="HW157" s="93"/>
      <c r="HX157" s="93"/>
      <c r="HY157" s="93"/>
      <c r="HZ157" s="93"/>
      <c r="IA157" s="93"/>
      <c r="IB157" s="93"/>
      <c r="IC157" s="93"/>
      <c r="ID157" s="93"/>
      <c r="IE157" s="93"/>
      <c r="IF157" s="93"/>
      <c r="IG157" s="93"/>
      <c r="IH157" s="93"/>
      <c r="II157" s="93"/>
      <c r="IJ157" s="93"/>
      <c r="IK157" s="93"/>
      <c r="IL157" s="93"/>
      <c r="IM157" s="93"/>
      <c r="IN157" s="93"/>
      <c r="IO157" s="93"/>
      <c r="IP157" s="93"/>
      <c r="IQ157" s="93"/>
      <c r="IR157" s="93"/>
      <c r="IS157" s="93"/>
      <c r="IT157" s="93"/>
      <c r="IU157" s="93"/>
      <c r="IV157" s="93"/>
      <c r="IW157" s="848">
        <v>44166</v>
      </c>
      <c r="IX157" s="93"/>
      <c r="IY157" s="93">
        <v>697.68567470958476</v>
      </c>
      <c r="IZ157" s="93">
        <v>2300.480586912</v>
      </c>
      <c r="JA157" s="93">
        <v>2.8889125240000002</v>
      </c>
      <c r="JB157" s="93">
        <v>2007.9059999999999</v>
      </c>
      <c r="JC157" s="93">
        <v>289.685674388</v>
      </c>
      <c r="JD157" s="93">
        <v>2998.1662616215849</v>
      </c>
      <c r="JE157" s="93">
        <v>1781.047108319</v>
      </c>
      <c r="JF157" s="93">
        <v>4779.2133699405849</v>
      </c>
      <c r="JG157" s="93"/>
      <c r="JH157" s="93">
        <v>1983.664176386488</v>
      </c>
      <c r="JI157" s="93">
        <v>205.46217638648807</v>
      </c>
      <c r="JJ157" s="93">
        <v>1778.202</v>
      </c>
      <c r="JK157" s="93">
        <v>3380.8458239050969</v>
      </c>
      <c r="JL157" s="93">
        <v>192.37966617509667</v>
      </c>
      <c r="JM157" s="93">
        <v>21.44766617509676</v>
      </c>
      <c r="JN157" s="93">
        <v>170.9319999999999</v>
      </c>
      <c r="JO157" s="93">
        <v>3188.4661577300003</v>
      </c>
      <c r="JP157" s="93">
        <v>7.8881577300000005</v>
      </c>
      <c r="JQ157" s="93">
        <v>3180.578</v>
      </c>
      <c r="JR157" s="93">
        <v>842.29544964599984</v>
      </c>
      <c r="JS157" s="93">
        <v>-256.99881929500003</v>
      </c>
      <c r="JT157" s="20">
        <v>4779.2133699405858</v>
      </c>
      <c r="JU157" s="29">
        <v>84</v>
      </c>
      <c r="JV157" s="19"/>
      <c r="JW157" s="93">
        <v>205.46217638648807</v>
      </c>
      <c r="JX157" s="93">
        <v>970.17655491548805</v>
      </c>
      <c r="JY157" s="93">
        <v>764.71437852899999</v>
      </c>
      <c r="JZ157" s="93">
        <v>886.14823233200002</v>
      </c>
      <c r="KA157" s="93">
        <v>30.196911073000024</v>
      </c>
      <c r="KB157" s="93">
        <v>214.71070557300001</v>
      </c>
      <c r="KC157" s="93">
        <v>184.51379449999999</v>
      </c>
      <c r="KD157" s="93">
        <v>7.8881577300000005</v>
      </c>
      <c r="KE157" s="93">
        <v>3.3940000000000001</v>
      </c>
      <c r="KF157" s="93">
        <v>0</v>
      </c>
      <c r="KG157" s="93">
        <v>0</v>
      </c>
      <c r="KH157" s="93">
        <v>4.4941577300000004</v>
      </c>
      <c r="KI157" s="93">
        <v>1120.9013633744883</v>
      </c>
      <c r="KJ157" s="93">
        <v>809.80891960748806</v>
      </c>
      <c r="KK157" s="93">
        <v>307.87042292400002</v>
      </c>
      <c r="KL157" s="93">
        <v>3.2220208430000001</v>
      </c>
      <c r="KM157" s="93">
        <v>0</v>
      </c>
      <c r="KN157" s="93">
        <v>0.61249568799999998</v>
      </c>
      <c r="KO157" s="93">
        <v>0</v>
      </c>
      <c r="KP157" s="93">
        <v>0</v>
      </c>
      <c r="KQ157" s="93">
        <v>0.61249568799999998</v>
      </c>
      <c r="KR157" s="93">
        <v>0</v>
      </c>
      <c r="KS157" s="93">
        <v>0</v>
      </c>
      <c r="KT157" s="93">
        <v>0</v>
      </c>
      <c r="KU157" s="93">
        <v>0.47495395800000001</v>
      </c>
      <c r="KV157" s="93">
        <v>7.7066645009999863</v>
      </c>
      <c r="KW157" s="20"/>
      <c r="KX157" s="29">
        <v>84</v>
      </c>
      <c r="KY157" s="19"/>
      <c r="KZ157" s="93">
        <v>1778.202</v>
      </c>
      <c r="LA157" s="93">
        <v>2089.88</v>
      </c>
      <c r="LB157" s="93">
        <v>-311.67800000000005</v>
      </c>
      <c r="LC157" s="93">
        <v>451.83199999999999</v>
      </c>
      <c r="LD157" s="93">
        <v>103.374</v>
      </c>
      <c r="LE157" s="93">
        <v>348.45800000000003</v>
      </c>
      <c r="LF157" s="93">
        <v>0</v>
      </c>
      <c r="LG157" s="93">
        <v>170.9319999999999</v>
      </c>
      <c r="LH157" s="93">
        <v>744.93999999999994</v>
      </c>
      <c r="LI157" s="93">
        <v>-574.00800000000004</v>
      </c>
      <c r="LJ157" s="93">
        <v>3180.578</v>
      </c>
      <c r="LK157" s="93">
        <v>17.655999999999999</v>
      </c>
      <c r="LL157" s="93">
        <v>4.88</v>
      </c>
      <c r="LM157" s="93">
        <v>237.14900000000003</v>
      </c>
      <c r="LN157" s="93">
        <v>2920.893</v>
      </c>
      <c r="LO157" s="93"/>
      <c r="LP157" s="93">
        <v>903.97900000000004</v>
      </c>
      <c r="LQ157" s="93">
        <v>2007.9059999999999</v>
      </c>
      <c r="LR157" s="93">
        <v>1780.7140000000002</v>
      </c>
      <c r="LS157" s="93">
        <v>0</v>
      </c>
      <c r="LT157" s="93">
        <v>181.81599999999997</v>
      </c>
      <c r="LU157" s="93">
        <v>0</v>
      </c>
      <c r="LV157" s="93">
        <v>26.684999999999999</v>
      </c>
      <c r="LW157" s="93">
        <v>0</v>
      </c>
      <c r="LX157" s="93">
        <v>0</v>
      </c>
      <c r="LY157" s="93">
        <v>632.70699999999988</v>
      </c>
      <c r="LZ157" s="93">
        <v>47.736999999999966</v>
      </c>
      <c r="MA157" s="93"/>
      <c r="MB157" s="93"/>
      <c r="MC157" s="93"/>
      <c r="MD157" s="93"/>
      <c r="ME157" s="93"/>
      <c r="MF157" s="93"/>
      <c r="MG157" s="93"/>
      <c r="MH157" s="20"/>
      <c r="MI157" s="29">
        <v>84</v>
      </c>
      <c r="MJ157" s="29" t="str">
        <f t="shared" si="88"/>
        <v>Trimestre 42020</v>
      </c>
      <c r="MK157" s="848">
        <v>44166</v>
      </c>
      <c r="ML157" s="1991">
        <v>145.66300885197401</v>
      </c>
      <c r="MM157" s="1991">
        <v>127.73924455010344</v>
      </c>
      <c r="MN157" s="1991">
        <v>100.3927201615536</v>
      </c>
      <c r="MO157" s="1991">
        <v>100.00000000000004</v>
      </c>
      <c r="MP157" s="1991">
        <v>145.66300885197401</v>
      </c>
      <c r="MQ157" s="1991">
        <v>127.80379972364152</v>
      </c>
      <c r="MR157" s="1991">
        <v>131.99999999999991</v>
      </c>
      <c r="MS157" s="1991">
        <v>101.3688401586146</v>
      </c>
      <c r="MT157" s="1991">
        <v>100.00000000000009</v>
      </c>
      <c r="MU157" s="1991">
        <v>100</v>
      </c>
      <c r="MV157" s="1991">
        <v>100.29950046728163</v>
      </c>
      <c r="MW157" s="1991">
        <v>100.00000000000004</v>
      </c>
      <c r="MX157" s="1991">
        <v>89.999039027118542</v>
      </c>
      <c r="MY157" s="1991">
        <v>100.00000000000016</v>
      </c>
      <c r="MZ157" s="1991">
        <v>99.624644815162753</v>
      </c>
      <c r="NA157" s="1991">
        <v>100.00000000000011</v>
      </c>
      <c r="NB157" s="1991">
        <v>100.55207499114596</v>
      </c>
      <c r="NC157" s="1991">
        <v>124.68958987290431</v>
      </c>
      <c r="ND157" s="1991">
        <v>90.231467691055826</v>
      </c>
      <c r="NE157" s="1991">
        <v>101.30317898445293</v>
      </c>
      <c r="NF157" s="1991">
        <v>100.13276945307304</v>
      </c>
      <c r="NG157" s="1991">
        <v>100.00000000000014</v>
      </c>
      <c r="NH157" s="1991">
        <v>100.00000000000013</v>
      </c>
      <c r="NI157" s="1991">
        <v>99.999999999999986</v>
      </c>
      <c r="NJ157" s="1991">
        <v>100.00000000000001</v>
      </c>
      <c r="NK157" s="1991">
        <v>114.44524326076019</v>
      </c>
      <c r="NL157" s="29">
        <v>84</v>
      </c>
    </row>
    <row r="158" spans="1:376">
      <c r="A158" s="41">
        <f t="shared" si="86"/>
        <v>2021</v>
      </c>
      <c r="B158" s="785">
        <v>44256</v>
      </c>
      <c r="C158" s="19">
        <v>169.07641858825713</v>
      </c>
      <c r="D158" s="93"/>
      <c r="E158" s="93"/>
      <c r="F158" s="93"/>
      <c r="G158" s="93"/>
      <c r="H158" s="93"/>
      <c r="I158" s="93"/>
      <c r="J158" s="93"/>
      <c r="K158" s="93"/>
      <c r="L158" s="93"/>
      <c r="M158" s="20">
        <v>168.76078453601565</v>
      </c>
      <c r="N158" s="25"/>
      <c r="O158" s="889">
        <f t="shared" si="85"/>
        <v>2021</v>
      </c>
      <c r="P158" s="29" t="str">
        <f t="shared" si="87"/>
        <v>Trimestre 12021</v>
      </c>
      <c r="Q158" s="848">
        <v>44256</v>
      </c>
      <c r="R158" s="733">
        <v>17.174126599999997</v>
      </c>
      <c r="S158" s="570">
        <v>112.96202704299999</v>
      </c>
      <c r="T158" s="570"/>
      <c r="U158" s="1547">
        <f>U154</f>
        <v>15.683</v>
      </c>
      <c r="V158" s="25">
        <v>85</v>
      </c>
      <c r="W158" s="19">
        <v>2968.5742</v>
      </c>
      <c r="X158" s="93">
        <v>5224.5645599999998</v>
      </c>
      <c r="Y158" s="93">
        <v>2618.6605949999998</v>
      </c>
      <c r="Z158" s="93">
        <v>750.28861500000005</v>
      </c>
      <c r="AA158" s="93">
        <v>15.587952550000001</v>
      </c>
      <c r="AB158" s="93">
        <v>3440.2851660000001</v>
      </c>
      <c r="AC158" s="93">
        <v>292.67018400000001</v>
      </c>
      <c r="AD158" s="570">
        <v>219.69128699999999</v>
      </c>
      <c r="AE158" s="20">
        <v>13.090845484000001</v>
      </c>
      <c r="AF158" s="25">
        <v>85</v>
      </c>
      <c r="AG158" s="1889">
        <v>23.777799287418468</v>
      </c>
      <c r="AH158" s="570">
        <v>18.034804660082546</v>
      </c>
      <c r="AI158" s="570">
        <v>19.357765027147941</v>
      </c>
      <c r="AJ158" s="570">
        <v>-3.2899125574603891</v>
      </c>
      <c r="AK158" s="570">
        <v>11.280756588875141</v>
      </c>
      <c r="AL158" s="570">
        <v>18.558386202740071</v>
      </c>
      <c r="AM158" s="570">
        <v>24.183137279721581</v>
      </c>
      <c r="AN158" s="734">
        <v>27.079580801989341</v>
      </c>
      <c r="AO158" s="733">
        <v>33.274308740573183</v>
      </c>
      <c r="AP158" s="570">
        <v>26.547263144912137</v>
      </c>
      <c r="AQ158" s="570">
        <v>3.7074132928463897</v>
      </c>
      <c r="AR158" s="570">
        <v>4.4820238115432502</v>
      </c>
      <c r="AS158" s="734">
        <v>-3.5714285714285712</v>
      </c>
      <c r="AT158" s="733">
        <v>-9.7949222609372022</v>
      </c>
      <c r="AU158" s="570">
        <v>-15.832375228410367</v>
      </c>
      <c r="AV158" s="734">
        <v>0.18007213923073162</v>
      </c>
      <c r="AW158" s="733">
        <v>-21.013180191157502</v>
      </c>
      <c r="AX158" s="570">
        <v>14.773330060046753</v>
      </c>
      <c r="AY158" s="570">
        <v>-6.6896453439268235</v>
      </c>
      <c r="AZ158" s="570">
        <v>-23.774472960405937</v>
      </c>
      <c r="BA158" s="570">
        <v>3.3540929646683111</v>
      </c>
      <c r="BB158" s="570">
        <v>-2.8403234296922726</v>
      </c>
      <c r="BC158" s="734">
        <v>7.1428571428571423</v>
      </c>
      <c r="BD158" s="733">
        <v>43.609881678782031</v>
      </c>
      <c r="BE158" s="570">
        <v>36.006579536356028</v>
      </c>
      <c r="BF158" s="570">
        <v>63.538904222162344</v>
      </c>
      <c r="BG158" s="570">
        <v>-7.3962532891187127</v>
      </c>
      <c r="BH158" s="570">
        <v>8.776969763781814</v>
      </c>
      <c r="BI158" s="570">
        <v>25.585495997739454</v>
      </c>
      <c r="BJ158" s="570">
        <v>91.50797840208935</v>
      </c>
      <c r="BK158" s="734">
        <v>65.158606575223487</v>
      </c>
      <c r="BL158" s="733">
        <v>53.832468095675281</v>
      </c>
      <c r="BM158" s="570">
        <v>53.657775296308742</v>
      </c>
      <c r="BN158" s="570">
        <v>44.836189671627835</v>
      </c>
      <c r="BO158" s="570">
        <v>7.2890071433088961</v>
      </c>
      <c r="BP158" s="570">
        <v>0</v>
      </c>
      <c r="BQ158" s="734">
        <v>-4.5454545454545467</v>
      </c>
      <c r="BR158" s="733">
        <v>3.2406297534189239</v>
      </c>
      <c r="BS158" s="570">
        <v>-28.998820197673616</v>
      </c>
      <c r="BT158" s="570">
        <v>0.43515508636168576</v>
      </c>
      <c r="BU158" s="734">
        <v>7.5436449051901846</v>
      </c>
      <c r="BV158" s="733">
        <v>-13.524083111958344</v>
      </c>
      <c r="BW158" s="570">
        <v>-55.850236635411015</v>
      </c>
      <c r="BX158" s="570">
        <v>-60.838510789271005</v>
      </c>
      <c r="BY158" s="570">
        <v>10.149530374971633</v>
      </c>
      <c r="BZ158" s="570">
        <v>-3.6585692269616015</v>
      </c>
      <c r="CA158" s="570">
        <v>13.636363636363635</v>
      </c>
      <c r="CB158" s="734">
        <v>-4.5454545454545432</v>
      </c>
      <c r="CC158" s="25">
        <v>85</v>
      </c>
      <c r="CD158" s="19">
        <v>75390</v>
      </c>
      <c r="CE158" s="93">
        <v>23466416</v>
      </c>
      <c r="CF158" s="20">
        <v>12522781</v>
      </c>
      <c r="CG158" s="25">
        <v>85</v>
      </c>
      <c r="CH158" s="19">
        <v>7767</v>
      </c>
      <c r="CI158" s="93">
        <v>1916</v>
      </c>
      <c r="CJ158" s="93">
        <v>1331</v>
      </c>
      <c r="CK158" s="93">
        <v>5268</v>
      </c>
      <c r="CL158" s="93">
        <v>3628</v>
      </c>
      <c r="CM158" s="93">
        <v>252</v>
      </c>
      <c r="CN158" s="93">
        <v>1261</v>
      </c>
      <c r="CO158" s="93">
        <v>2877</v>
      </c>
      <c r="CP158" s="93">
        <v>1813</v>
      </c>
      <c r="CQ158" s="93">
        <v>853</v>
      </c>
      <c r="CR158" s="214">
        <v>100835</v>
      </c>
      <c r="CS158" s="20">
        <v>120674</v>
      </c>
      <c r="CT158" s="25">
        <v>85</v>
      </c>
      <c r="CU158" s="19">
        <v>17792</v>
      </c>
      <c r="CV158" s="93">
        <v>78684</v>
      </c>
      <c r="CW158" s="93">
        <v>14639</v>
      </c>
      <c r="CX158" s="93">
        <v>1092</v>
      </c>
      <c r="CY158" s="93">
        <v>981</v>
      </c>
      <c r="CZ158" s="93">
        <v>282</v>
      </c>
      <c r="DA158" s="93">
        <v>7205</v>
      </c>
      <c r="DB158" s="20">
        <v>120674</v>
      </c>
      <c r="DC158" s="25">
        <v>85</v>
      </c>
      <c r="DD158" s="785">
        <v>44256</v>
      </c>
      <c r="DE158" s="19">
        <v>748.87779127600004</v>
      </c>
      <c r="DF158" s="20">
        <v>519.15264999999999</v>
      </c>
      <c r="DG158" s="25">
        <v>85</v>
      </c>
      <c r="DH158" s="19">
        <v>548.03113596415506</v>
      </c>
      <c r="DI158" s="20">
        <v>1633.2445869999999</v>
      </c>
      <c r="DJ158" s="25">
        <v>85</v>
      </c>
      <c r="DK158" s="19">
        <v>748.87779127600004</v>
      </c>
      <c r="DL158" s="20">
        <v>548.03113596415506</v>
      </c>
      <c r="DM158" s="19">
        <v>200.84665531184498</v>
      </c>
      <c r="DN158" s="20">
        <v>136.64876721985769</v>
      </c>
      <c r="DO158" s="25">
        <v>85</v>
      </c>
      <c r="DP158" s="19">
        <v>293.86778584349406</v>
      </c>
      <c r="DQ158" s="93">
        <v>430.93133449046854</v>
      </c>
      <c r="DR158" s="20">
        <v>1266.3683711729611</v>
      </c>
      <c r="DS158" s="25">
        <v>85</v>
      </c>
      <c r="DT158" s="19">
        <v>72.112541629953355</v>
      </c>
      <c r="DU158" s="93">
        <v>380.89986725879106</v>
      </c>
      <c r="DV158" s="20">
        <v>274.67657534543275</v>
      </c>
      <c r="DW158" s="25">
        <v>85</v>
      </c>
      <c r="DX158" s="19">
        <v>407.51272830110634</v>
      </c>
      <c r="DY158" s="20">
        <v>57.158017850771273</v>
      </c>
      <c r="DZ158" s="25">
        <v>85</v>
      </c>
      <c r="EA158" s="19">
        <v>540.34656796400009</v>
      </c>
      <c r="EB158" s="93">
        <v>106.91525126800001</v>
      </c>
      <c r="EC158" s="93">
        <v>18.962422811</v>
      </c>
      <c r="ED158" s="93">
        <v>4.87146305</v>
      </c>
      <c r="EE158" s="20">
        <v>16.754334246999999</v>
      </c>
      <c r="EF158" s="25">
        <v>85</v>
      </c>
      <c r="EG158" s="19">
        <v>97.499404808438996</v>
      </c>
      <c r="EH158" s="93">
        <v>10.724820161</v>
      </c>
      <c r="EI158" s="93">
        <v>13.182762813</v>
      </c>
      <c r="EJ158" s="93">
        <v>23.400775061000001</v>
      </c>
      <c r="EK158" s="20">
        <v>10.237324420999999</v>
      </c>
      <c r="EL158" s="25">
        <v>85</v>
      </c>
      <c r="EM158" s="19">
        <v>514.19148629200004</v>
      </c>
      <c r="EN158" s="93">
        <v>43.244327808000001</v>
      </c>
      <c r="EO158" s="93">
        <v>27.327686038</v>
      </c>
      <c r="EP158" s="93">
        <v>3.4164754999999998E-2</v>
      </c>
      <c r="EQ158" s="93">
        <v>4.3478588389999997</v>
      </c>
      <c r="ER158" s="93">
        <v>3.9214271690000002</v>
      </c>
      <c r="ES158" s="93">
        <v>0.44587785800000002</v>
      </c>
      <c r="ET158" s="93">
        <v>9.1059204329999996</v>
      </c>
      <c r="EU158" s="93">
        <v>1.27804428</v>
      </c>
      <c r="EV158" s="20">
        <v>11.266198227</v>
      </c>
      <c r="EW158" s="25">
        <v>85</v>
      </c>
      <c r="EX158" s="1803">
        <v>48.706145901554997</v>
      </c>
      <c r="EY158" s="975">
        <v>17.063832856219999</v>
      </c>
      <c r="EZ158" s="975">
        <v>41.605282994421998</v>
      </c>
      <c r="FA158" s="975">
        <v>2.0288882577499998</v>
      </c>
      <c r="FB158" s="975">
        <v>79.890193099000001</v>
      </c>
      <c r="FC158" s="975">
        <v>37.450927041461</v>
      </c>
      <c r="FD158" s="975">
        <v>22.211006865325</v>
      </c>
      <c r="FE158" s="975">
        <v>40.266163751000001</v>
      </c>
      <c r="FF158" s="975">
        <v>10.076060258587999</v>
      </c>
      <c r="FG158" s="976">
        <v>35.116041491555002</v>
      </c>
      <c r="FH158" s="25">
        <v>85</v>
      </c>
      <c r="FI158" s="848">
        <v>44256</v>
      </c>
      <c r="FJ158" s="19">
        <v>1978</v>
      </c>
      <c r="FK158" s="93">
        <v>2067</v>
      </c>
      <c r="FL158" s="20">
        <v>0</v>
      </c>
      <c r="FM158" s="25">
        <v>85</v>
      </c>
      <c r="FN158" s="19">
        <v>31</v>
      </c>
      <c r="FO158" s="93">
        <v>977</v>
      </c>
      <c r="FP158" s="93">
        <v>1723</v>
      </c>
      <c r="FQ158" s="93">
        <v>905</v>
      </c>
      <c r="FR158" s="93">
        <v>303</v>
      </c>
      <c r="FS158" s="93">
        <v>66</v>
      </c>
      <c r="FT158" s="93">
        <v>29</v>
      </c>
      <c r="FU158" s="93">
        <v>8</v>
      </c>
      <c r="FV158" s="93">
        <v>3</v>
      </c>
      <c r="FW158" s="917">
        <v>0</v>
      </c>
      <c r="FX158" s="25">
        <v>85</v>
      </c>
      <c r="FY158" s="916">
        <v>20</v>
      </c>
      <c r="FZ158" s="916">
        <v>110</v>
      </c>
      <c r="GA158" s="916">
        <v>239</v>
      </c>
      <c r="GB158" s="916">
        <v>114</v>
      </c>
      <c r="GC158" s="916">
        <v>1018</v>
      </c>
      <c r="GD158" s="916">
        <v>334</v>
      </c>
      <c r="GE158" s="916">
        <v>1473</v>
      </c>
      <c r="GF158" s="916">
        <v>166</v>
      </c>
      <c r="GG158" s="916">
        <v>7</v>
      </c>
      <c r="GH158" s="916">
        <v>435</v>
      </c>
      <c r="GI158" s="917">
        <v>150</v>
      </c>
      <c r="GJ158" s="25">
        <v>85</v>
      </c>
      <c r="GK158" s="19"/>
      <c r="GL158" s="20"/>
      <c r="GM158" s="25"/>
      <c r="GN158" s="19">
        <v>4579</v>
      </c>
      <c r="GO158" s="20">
        <v>1951</v>
      </c>
      <c r="GP158" s="25">
        <v>85</v>
      </c>
      <c r="GQ158" s="19">
        <v>31.4</v>
      </c>
      <c r="GR158" s="20">
        <v>30.91</v>
      </c>
      <c r="GS158" s="25">
        <v>85</v>
      </c>
      <c r="GT158" s="848">
        <v>44256</v>
      </c>
      <c r="GU158" s="19"/>
      <c r="GV158" s="93"/>
      <c r="GW158" s="93"/>
      <c r="GX158" s="93"/>
      <c r="GY158" s="93"/>
      <c r="GZ158" s="93"/>
      <c r="HA158" s="93"/>
      <c r="HB158" s="93"/>
      <c r="HC158" s="93"/>
      <c r="HD158" s="93"/>
      <c r="HE158" s="93"/>
      <c r="HF158" s="93"/>
      <c r="HG158" s="93"/>
      <c r="HH158" s="93"/>
      <c r="HI158" s="93"/>
      <c r="HJ158" s="93"/>
      <c r="HK158" s="93"/>
      <c r="HL158" s="93"/>
      <c r="HM158" s="93"/>
      <c r="HN158" s="93"/>
      <c r="HO158" s="93"/>
      <c r="HP158" s="93"/>
      <c r="HQ158" s="93"/>
      <c r="HR158" s="93"/>
      <c r="HS158" s="93"/>
      <c r="HT158" s="93"/>
      <c r="HU158" s="93"/>
      <c r="HV158" s="93"/>
      <c r="HW158" s="93"/>
      <c r="HX158" s="93"/>
      <c r="HY158" s="93"/>
      <c r="HZ158" s="93"/>
      <c r="IA158" s="93"/>
      <c r="IB158" s="93"/>
      <c r="IC158" s="93"/>
      <c r="ID158" s="93"/>
      <c r="IE158" s="93"/>
      <c r="IF158" s="93"/>
      <c r="IG158" s="93"/>
      <c r="IH158" s="93"/>
      <c r="II158" s="93"/>
      <c r="IJ158" s="93"/>
      <c r="IK158" s="93"/>
      <c r="IL158" s="93"/>
      <c r="IM158" s="93"/>
      <c r="IN158" s="93"/>
      <c r="IO158" s="93"/>
      <c r="IP158" s="93"/>
      <c r="IQ158" s="93"/>
      <c r="IR158" s="93"/>
      <c r="IS158" s="93"/>
      <c r="IT158" s="93"/>
      <c r="IU158" s="93"/>
      <c r="IV158" s="93"/>
      <c r="IW158" s="848">
        <v>44256</v>
      </c>
      <c r="IX158" s="93"/>
      <c r="IY158" s="93">
        <v>681.38280337900005</v>
      </c>
      <c r="IZ158" s="93">
        <v>2453.5429812570001</v>
      </c>
      <c r="JA158" s="93">
        <v>0.48147002700000002</v>
      </c>
      <c r="JB158" s="93">
        <v>2151.4610000000002</v>
      </c>
      <c r="JC158" s="93">
        <v>301.60051123</v>
      </c>
      <c r="JD158" s="93">
        <v>3134.9257846360001</v>
      </c>
      <c r="JE158" s="93">
        <v>1762.0371083190003</v>
      </c>
      <c r="JF158" s="93">
        <v>4896.9628929549999</v>
      </c>
      <c r="JG158" s="93"/>
      <c r="JH158" s="93">
        <v>2326.5949514840004</v>
      </c>
      <c r="JI158" s="93">
        <v>539.54095148400006</v>
      </c>
      <c r="JJ158" s="93">
        <v>1787.0540000000003</v>
      </c>
      <c r="JK158" s="93">
        <v>3216.7188229919998</v>
      </c>
      <c r="JL158" s="93">
        <v>136.16543067900002</v>
      </c>
      <c r="JM158" s="93">
        <v>-175.88356932099995</v>
      </c>
      <c r="JN158" s="93">
        <v>312.04899999999998</v>
      </c>
      <c r="JO158" s="93">
        <v>3080.5533923129997</v>
      </c>
      <c r="JP158" s="93">
        <v>7.1163923130000004</v>
      </c>
      <c r="JQ158" s="93">
        <v>3073.4369999999999</v>
      </c>
      <c r="JR158" s="93">
        <v>863.43405237999991</v>
      </c>
      <c r="JS158" s="93">
        <v>-217.05717085899994</v>
      </c>
      <c r="JT158" s="20">
        <v>4896.9368929550001</v>
      </c>
      <c r="JU158" s="29">
        <v>85</v>
      </c>
      <c r="JV158" s="19"/>
      <c r="JW158" s="93">
        <v>539.54095148400006</v>
      </c>
      <c r="JX158" s="93">
        <v>1005.2361606870001</v>
      </c>
      <c r="JY158" s="93">
        <v>465.69520920299999</v>
      </c>
      <c r="JZ158" s="93">
        <v>697.2</v>
      </c>
      <c r="KA158" s="93">
        <v>-169.31836698299995</v>
      </c>
      <c r="KB158" s="93">
        <v>214.65690882200002</v>
      </c>
      <c r="KC158" s="93">
        <v>383.97527580499997</v>
      </c>
      <c r="KD158" s="93">
        <v>7.1163923130000004</v>
      </c>
      <c r="KE158" s="93">
        <v>2.58</v>
      </c>
      <c r="KF158" s="93">
        <v>0</v>
      </c>
      <c r="KG158" s="93">
        <v>0</v>
      </c>
      <c r="KH158" s="93">
        <v>4.5363923130000003</v>
      </c>
      <c r="KI158" s="93">
        <v>1070.7016604299999</v>
      </c>
      <c r="KJ158" s="93">
        <v>777.48000571700004</v>
      </c>
      <c r="KK158" s="93">
        <v>292.407076367</v>
      </c>
      <c r="KL158" s="93">
        <v>0.81457834600000001</v>
      </c>
      <c r="KM158" s="93">
        <v>0</v>
      </c>
      <c r="KN158" s="93">
        <v>7.4579295000000004E-2</v>
      </c>
      <c r="KO158" s="93">
        <v>0</v>
      </c>
      <c r="KP158" s="93">
        <v>0</v>
      </c>
      <c r="KQ158" s="93">
        <v>7.4579295000000004E-2</v>
      </c>
      <c r="KR158" s="93">
        <v>0</v>
      </c>
      <c r="KS158" s="93">
        <v>0</v>
      </c>
      <c r="KT158" s="93">
        <v>0</v>
      </c>
      <c r="KU158" s="93">
        <v>2.4274730849999999</v>
      </c>
      <c r="KV158" s="93">
        <v>1.3352640040000003</v>
      </c>
      <c r="KW158" s="20"/>
      <c r="KX158" s="29">
        <v>85</v>
      </c>
      <c r="KY158" s="19"/>
      <c r="KZ158" s="93">
        <v>1787.0540000000003</v>
      </c>
      <c r="LA158" s="93">
        <v>2105.7050000000004</v>
      </c>
      <c r="LB158" s="93">
        <v>-318.65100000000001</v>
      </c>
      <c r="LC158" s="93">
        <v>384.95</v>
      </c>
      <c r="LD158" s="93">
        <v>89.531999999999996</v>
      </c>
      <c r="LE158" s="93">
        <v>295.41800000000001</v>
      </c>
      <c r="LF158" s="93">
        <v>0</v>
      </c>
      <c r="LG158" s="93">
        <v>312.04899999999998</v>
      </c>
      <c r="LH158" s="93">
        <v>1008.967</v>
      </c>
      <c r="LI158" s="93">
        <v>-696.91800000000001</v>
      </c>
      <c r="LJ158" s="93">
        <v>3073.4369999999999</v>
      </c>
      <c r="LK158" s="93">
        <v>24.734999999999999</v>
      </c>
      <c r="LL158" s="93">
        <v>5.484</v>
      </c>
      <c r="LM158" s="93">
        <v>241.50500000000002</v>
      </c>
      <c r="LN158" s="93">
        <v>2801.7129999999997</v>
      </c>
      <c r="LO158" s="93"/>
      <c r="LP158" s="93">
        <v>696.255</v>
      </c>
      <c r="LQ158" s="93">
        <v>2151.4610000000002</v>
      </c>
      <c r="LR158" s="93">
        <v>1761.704</v>
      </c>
      <c r="LS158" s="93">
        <v>0</v>
      </c>
      <c r="LT158" s="93">
        <v>177.43700000000001</v>
      </c>
      <c r="LU158" s="93">
        <v>0</v>
      </c>
      <c r="LV158" s="93">
        <v>29.001999999999995</v>
      </c>
      <c r="LW158" s="93">
        <v>0</v>
      </c>
      <c r="LX158" s="93">
        <v>0</v>
      </c>
      <c r="LY158" s="93">
        <v>654.49299999999994</v>
      </c>
      <c r="LZ158" s="93">
        <v>87.164000000000044</v>
      </c>
      <c r="MA158" s="93"/>
      <c r="MB158" s="93"/>
      <c r="MC158" s="93"/>
      <c r="MD158" s="93"/>
      <c r="ME158" s="93"/>
      <c r="MF158" s="93"/>
      <c r="MG158" s="93"/>
      <c r="MH158" s="20"/>
      <c r="MI158" s="29">
        <v>85</v>
      </c>
      <c r="MJ158" s="29" t="str">
        <f t="shared" si="88"/>
        <v>Trimestre 12021</v>
      </c>
      <c r="MK158" s="848">
        <v>44256</v>
      </c>
      <c r="ML158" s="1991">
        <v>145.6630088519741</v>
      </c>
      <c r="MM158" s="1991">
        <v>127.73924455010351</v>
      </c>
      <c r="MN158" s="1991">
        <v>103.76106680424434</v>
      </c>
      <c r="MO158" s="1991">
        <v>100.00000000000007</v>
      </c>
      <c r="MP158" s="1991">
        <v>145.6630088519741</v>
      </c>
      <c r="MQ158" s="1991">
        <v>127.8037997236416</v>
      </c>
      <c r="MR158" s="1991">
        <v>131.99999999999997</v>
      </c>
      <c r="MS158" s="1991">
        <v>107.36925149114543</v>
      </c>
      <c r="MT158" s="1991">
        <v>100.00000000000011</v>
      </c>
      <c r="MU158" s="1991">
        <v>134.56975965235952</v>
      </c>
      <c r="MV158" s="1991">
        <v>100.29950046728163</v>
      </c>
      <c r="MW158" s="1991">
        <v>100.0000000000001</v>
      </c>
      <c r="MX158" s="1991">
        <v>91.318828734660471</v>
      </c>
      <c r="MY158" s="1991">
        <v>100.00000000000017</v>
      </c>
      <c r="MZ158" s="1991">
        <v>114.46209234184185</v>
      </c>
      <c r="NA158" s="1991">
        <v>101.37165638468015</v>
      </c>
      <c r="NB158" s="1991">
        <v>108.56735196986415</v>
      </c>
      <c r="NC158" s="1991">
        <v>123.54718829486238</v>
      </c>
      <c r="ND158" s="1991">
        <v>90.268429380786927</v>
      </c>
      <c r="NE158" s="1991">
        <v>100.85903640531889</v>
      </c>
      <c r="NF158" s="1991">
        <v>100.13276945307307</v>
      </c>
      <c r="NG158" s="1991">
        <v>99.964548028355907</v>
      </c>
      <c r="NH158" s="1991">
        <v>129.51162015428059</v>
      </c>
      <c r="NI158" s="1991">
        <v>100</v>
      </c>
      <c r="NJ158" s="1991">
        <v>100.00000000000001</v>
      </c>
      <c r="NK158" s="1991">
        <v>115.96144991186266</v>
      </c>
      <c r="NL158" s="29">
        <v>85</v>
      </c>
    </row>
    <row r="159" spans="1:376">
      <c r="A159" s="41">
        <f t="shared" si="86"/>
        <v>2021</v>
      </c>
      <c r="B159" s="785">
        <v>44348</v>
      </c>
      <c r="C159" s="19">
        <v>109.25111685603937</v>
      </c>
      <c r="D159" s="93"/>
      <c r="E159" s="93"/>
      <c r="F159" s="93"/>
      <c r="G159" s="93"/>
      <c r="H159" s="93"/>
      <c r="I159" s="93"/>
      <c r="J159" s="93"/>
      <c r="K159" s="93"/>
      <c r="L159" s="93"/>
      <c r="M159" s="20">
        <v>122.26887667548411</v>
      </c>
      <c r="N159" s="25"/>
      <c r="O159" s="889">
        <f t="shared" si="85"/>
        <v>2021</v>
      </c>
      <c r="P159" s="29" t="str">
        <f t="shared" si="87"/>
        <v>Trimestre 22021</v>
      </c>
      <c r="Q159" s="848">
        <v>44348</v>
      </c>
      <c r="R159" s="733">
        <v>16.185500699999999</v>
      </c>
      <c r="S159" s="570">
        <v>99.071045419000001</v>
      </c>
      <c r="T159" s="570"/>
      <c r="U159" s="1547">
        <f t="shared" ref="U159:U161" si="91">U155</f>
        <v>15.683</v>
      </c>
      <c r="V159" s="25">
        <v>86</v>
      </c>
      <c r="W159" s="19">
        <v>3005.5985599999999</v>
      </c>
      <c r="X159" s="93">
        <v>0</v>
      </c>
      <c r="Y159" s="93">
        <v>3185.5227920000002</v>
      </c>
      <c r="Z159" s="93">
        <v>978.94601899999998</v>
      </c>
      <c r="AA159" s="93">
        <v>15.889475014</v>
      </c>
      <c r="AB159" s="93">
        <v>3579.8587419999999</v>
      </c>
      <c r="AC159" s="93">
        <v>309.40369700000002</v>
      </c>
      <c r="AD159" s="570">
        <v>368.56259599999998</v>
      </c>
      <c r="AE159" s="20">
        <v>14.215133877</v>
      </c>
      <c r="AF159" s="25">
        <v>86</v>
      </c>
      <c r="AG159" s="733">
        <v>25.013128053206838</v>
      </c>
      <c r="AH159" s="570">
        <v>33.091633422377065</v>
      </c>
      <c r="AI159" s="570">
        <v>-8.3360743520451095</v>
      </c>
      <c r="AJ159" s="570">
        <v>11.710926093952299</v>
      </c>
      <c r="AK159" s="570">
        <v>24.752728722415263</v>
      </c>
      <c r="AL159" s="570">
        <v>26.380160594756632</v>
      </c>
      <c r="AM159" s="570">
        <v>2.7742341184901171</v>
      </c>
      <c r="AN159" s="734">
        <v>10.104798456280857</v>
      </c>
      <c r="AO159" s="733">
        <v>38.490589355960054</v>
      </c>
      <c r="AP159" s="570">
        <v>32.955885581940777</v>
      </c>
      <c r="AQ159" s="570">
        <v>-10.208906349111979</v>
      </c>
      <c r="AR159" s="570">
        <v>9.1179585425376182</v>
      </c>
      <c r="AS159" s="734">
        <v>-10</v>
      </c>
      <c r="AT159" s="733">
        <v>3.8003725951795904</v>
      </c>
      <c r="AU159" s="570">
        <v>-14.753488301197851</v>
      </c>
      <c r="AV159" s="734">
        <v>-11.717736697565334</v>
      </c>
      <c r="AW159" s="733">
        <v>-39.918144369631271</v>
      </c>
      <c r="AX159" s="570">
        <v>-0.11222912309908395</v>
      </c>
      <c r="AY159" s="570">
        <v>1.8290650881668018</v>
      </c>
      <c r="AZ159" s="570">
        <v>-10.929023221868412</v>
      </c>
      <c r="BA159" s="570">
        <v>1.1629551094296717</v>
      </c>
      <c r="BB159" s="570">
        <v>-8.5839601863837522</v>
      </c>
      <c r="BC159" s="734">
        <v>13.75</v>
      </c>
      <c r="BD159" s="733">
        <v>23.67064063731798</v>
      </c>
      <c r="BE159" s="570">
        <v>-6.4066369245524299</v>
      </c>
      <c r="BF159" s="570">
        <v>-9.415170198772298</v>
      </c>
      <c r="BG159" s="570">
        <v>38.393953294433381</v>
      </c>
      <c r="BH159" s="570">
        <v>14.867631596734281</v>
      </c>
      <c r="BI159" s="570">
        <v>69.560327475762037</v>
      </c>
      <c r="BJ159" s="570">
        <v>64.171645523348943</v>
      </c>
      <c r="BK159" s="734">
        <v>42.960564415058322</v>
      </c>
      <c r="BL159" s="733">
        <v>-11.042471457244247</v>
      </c>
      <c r="BM159" s="570">
        <v>-45.482542505464409</v>
      </c>
      <c r="BN159" s="570">
        <v>-13.142549526156108</v>
      </c>
      <c r="BO159" s="570">
        <v>39.391928733116167</v>
      </c>
      <c r="BP159" s="570">
        <v>-10.526315789473685</v>
      </c>
      <c r="BQ159" s="734">
        <v>-26.315789473684209</v>
      </c>
      <c r="BR159" s="733">
        <v>19.112893110226558</v>
      </c>
      <c r="BS159" s="570">
        <v>-63.264008838531289</v>
      </c>
      <c r="BT159" s="570">
        <v>-58.931024099694078</v>
      </c>
      <c r="BU159" s="734">
        <v>-31.339593078749477</v>
      </c>
      <c r="BV159" s="733">
        <v>-39.772337804645417</v>
      </c>
      <c r="BW159" s="570">
        <v>-48.937542403098092</v>
      </c>
      <c r="BX159" s="570">
        <v>-2.8827800054046318</v>
      </c>
      <c r="BY159" s="570">
        <v>12.988806625413869</v>
      </c>
      <c r="BZ159" s="570">
        <v>-54.448191038856848</v>
      </c>
      <c r="CA159" s="570">
        <v>-10.526315789473683</v>
      </c>
      <c r="CB159" s="734">
        <v>-5.2631578947368389</v>
      </c>
      <c r="CC159" s="25">
        <v>86</v>
      </c>
      <c r="CD159" s="19">
        <v>75511</v>
      </c>
      <c r="CE159" s="93">
        <v>24017391</v>
      </c>
      <c r="CF159" s="20">
        <v>12932660</v>
      </c>
      <c r="CG159" s="25">
        <v>86</v>
      </c>
      <c r="CH159" s="19">
        <v>8343</v>
      </c>
      <c r="CI159" s="93">
        <v>1877</v>
      </c>
      <c r="CJ159" s="93">
        <v>1454</v>
      </c>
      <c r="CK159" s="93">
        <v>5200</v>
      </c>
      <c r="CL159" s="93">
        <v>3449</v>
      </c>
      <c r="CM159" s="93">
        <v>250</v>
      </c>
      <c r="CN159" s="93">
        <v>1381</v>
      </c>
      <c r="CO159" s="93">
        <v>3583</v>
      </c>
      <c r="CP159" s="93">
        <v>1995</v>
      </c>
      <c r="CQ159" s="93">
        <v>867</v>
      </c>
      <c r="CR159" s="214">
        <v>112845</v>
      </c>
      <c r="CS159" s="20">
        <v>134214</v>
      </c>
      <c r="CT159" s="25">
        <v>86</v>
      </c>
      <c r="CU159" s="19">
        <v>18365</v>
      </c>
      <c r="CV159" s="93">
        <v>85379</v>
      </c>
      <c r="CW159" s="93">
        <v>15755</v>
      </c>
      <c r="CX159" s="93">
        <v>1412</v>
      </c>
      <c r="CY159" s="93">
        <v>927</v>
      </c>
      <c r="CZ159" s="93">
        <v>201</v>
      </c>
      <c r="DA159" s="93">
        <v>12175</v>
      </c>
      <c r="DB159" s="20">
        <v>134214</v>
      </c>
      <c r="DC159" s="25">
        <v>86</v>
      </c>
      <c r="DD159" s="785">
        <v>44348</v>
      </c>
      <c r="DE159" s="19">
        <v>705.03057560800005</v>
      </c>
      <c r="DF159" s="20">
        <v>470.24258700000001</v>
      </c>
      <c r="DG159" s="25">
        <v>86</v>
      </c>
      <c r="DH159" s="19">
        <v>605.67457456494799</v>
      </c>
      <c r="DI159" s="20">
        <v>1418.1346619999999</v>
      </c>
      <c r="DJ159" s="25">
        <v>86</v>
      </c>
      <c r="DK159" s="19">
        <v>705.03057560800005</v>
      </c>
      <c r="DL159" s="20">
        <v>605.67457456494799</v>
      </c>
      <c r="DM159" s="19">
        <v>99.356001043052004</v>
      </c>
      <c r="DN159" s="20">
        <v>116.40418885247391</v>
      </c>
      <c r="DO159" s="25">
        <v>86</v>
      </c>
      <c r="DP159" s="19">
        <v>275.44473628485707</v>
      </c>
      <c r="DQ159" s="93">
        <v>431.79684604492246</v>
      </c>
      <c r="DR159" s="20">
        <v>1189.3616838747676</v>
      </c>
      <c r="DS159" s="25">
        <v>86</v>
      </c>
      <c r="DT159" s="19">
        <v>82.335253404402692</v>
      </c>
      <c r="DU159" s="93">
        <v>375.80524783799694</v>
      </c>
      <c r="DV159" s="20">
        <v>309.42020311445833</v>
      </c>
      <c r="DW159" s="25">
        <v>86</v>
      </c>
      <c r="DX159" s="19">
        <v>334.54046097601287</v>
      </c>
      <c r="DY159" s="20">
        <v>48.437606950475079</v>
      </c>
      <c r="DZ159" s="25">
        <v>86</v>
      </c>
      <c r="EA159" s="19">
        <v>522.08787517600001</v>
      </c>
      <c r="EB159" s="93">
        <v>78.600254203000006</v>
      </c>
      <c r="EC159" s="93">
        <v>3.8765104830000001</v>
      </c>
      <c r="ED159" s="93">
        <v>3.09836</v>
      </c>
      <c r="EE159" s="20">
        <v>40.024282385999996</v>
      </c>
      <c r="EF159" s="25">
        <v>86</v>
      </c>
      <c r="EG159" s="19">
        <v>144.148942108011</v>
      </c>
      <c r="EH159" s="93">
        <v>9.1117559700000008</v>
      </c>
      <c r="EI159" s="93">
        <v>12.178006965</v>
      </c>
      <c r="EJ159" s="93">
        <v>16.210791722</v>
      </c>
      <c r="EK159" s="20">
        <v>9.4533250549999988</v>
      </c>
      <c r="EL159" s="25">
        <v>86</v>
      </c>
      <c r="EM159" s="19">
        <v>533.04162229999997</v>
      </c>
      <c r="EN159" s="93">
        <v>27.264024672000001</v>
      </c>
      <c r="EO159" s="93">
        <v>23.857734083</v>
      </c>
      <c r="EP159" s="93">
        <v>0.122854034</v>
      </c>
      <c r="EQ159" s="93">
        <v>9.652059801</v>
      </c>
      <c r="ER159" s="93">
        <v>5.0242321920000004</v>
      </c>
      <c r="ES159" s="93">
        <v>1.1215776070000001</v>
      </c>
      <c r="ET159" s="93">
        <v>1.280119682</v>
      </c>
      <c r="EU159" s="93">
        <v>0.78251399399999999</v>
      </c>
      <c r="EV159" s="20">
        <v>14.005416050999999</v>
      </c>
      <c r="EW159" s="25">
        <v>86</v>
      </c>
      <c r="EX159" s="1803">
        <v>55.457545993126999</v>
      </c>
      <c r="EY159" s="975">
        <v>14.101144564</v>
      </c>
      <c r="EZ159" s="975">
        <v>52.290639748148003</v>
      </c>
      <c r="FA159" s="975">
        <v>1.50788295375</v>
      </c>
      <c r="FB159" s="975">
        <v>73.304060823499995</v>
      </c>
      <c r="FC159" s="975">
        <v>33.275674352000003</v>
      </c>
      <c r="FD159" s="975">
        <v>15.944960035188</v>
      </c>
      <c r="FE159" s="975">
        <v>39.952116305750003</v>
      </c>
      <c r="FF159" s="975">
        <v>11.034283064</v>
      </c>
      <c r="FG159" s="976">
        <v>47.731005000476998</v>
      </c>
      <c r="FH159" s="25">
        <v>86</v>
      </c>
      <c r="FI159" s="848">
        <v>44348</v>
      </c>
      <c r="FJ159" s="19">
        <v>1151</v>
      </c>
      <c r="FK159" s="93">
        <v>1254</v>
      </c>
      <c r="FL159" s="20">
        <v>0</v>
      </c>
      <c r="FM159" s="25">
        <v>86</v>
      </c>
      <c r="FN159" s="19">
        <v>20</v>
      </c>
      <c r="FO159" s="93">
        <v>597</v>
      </c>
      <c r="FP159" s="93">
        <v>1110</v>
      </c>
      <c r="FQ159" s="93">
        <v>504</v>
      </c>
      <c r="FR159" s="93">
        <v>138</v>
      </c>
      <c r="FS159" s="93">
        <v>28</v>
      </c>
      <c r="FT159" s="93">
        <v>4</v>
      </c>
      <c r="FU159" s="93">
        <v>3</v>
      </c>
      <c r="FV159" s="93">
        <v>1</v>
      </c>
      <c r="FW159" s="917">
        <v>0</v>
      </c>
      <c r="FX159" s="25">
        <v>86</v>
      </c>
      <c r="FY159" s="916">
        <v>1</v>
      </c>
      <c r="FZ159" s="916">
        <v>55</v>
      </c>
      <c r="GA159" s="916">
        <v>198</v>
      </c>
      <c r="GB159" s="916">
        <v>60</v>
      </c>
      <c r="GC159" s="916">
        <v>450</v>
      </c>
      <c r="GD159" s="916">
        <v>179</v>
      </c>
      <c r="GE159" s="916">
        <v>791</v>
      </c>
      <c r="GF159" s="916">
        <v>102</v>
      </c>
      <c r="GG159" s="916">
        <v>5</v>
      </c>
      <c r="GH159" s="916">
        <v>462</v>
      </c>
      <c r="GI159" s="917">
        <v>102</v>
      </c>
      <c r="GJ159" s="25">
        <v>86</v>
      </c>
      <c r="GK159" s="19"/>
      <c r="GL159" s="20"/>
      <c r="GM159" s="25"/>
      <c r="GN159" s="19">
        <v>6965</v>
      </c>
      <c r="GO159" s="20">
        <v>9791</v>
      </c>
      <c r="GP159" s="25">
        <v>86</v>
      </c>
      <c r="GQ159" s="19">
        <v>31.13</v>
      </c>
      <c r="GR159" s="20">
        <v>30.97</v>
      </c>
      <c r="GS159" s="25">
        <v>86</v>
      </c>
      <c r="GT159" s="848">
        <v>44348</v>
      </c>
      <c r="GU159" s="19"/>
      <c r="GV159" s="93"/>
      <c r="GW159" s="93"/>
      <c r="GX159" s="93"/>
      <c r="GY159" s="93"/>
      <c r="GZ159" s="93"/>
      <c r="HA159" s="93"/>
      <c r="HB159" s="93"/>
      <c r="HC159" s="93"/>
      <c r="HD159" s="93"/>
      <c r="HE159" s="93"/>
      <c r="HF159" s="93"/>
      <c r="HG159" s="93"/>
      <c r="HH159" s="93"/>
      <c r="HI159" s="93"/>
      <c r="HJ159" s="93"/>
      <c r="HK159" s="93"/>
      <c r="HL159" s="93"/>
      <c r="HM159" s="93"/>
      <c r="HN159" s="93"/>
      <c r="HO159" s="93"/>
      <c r="HP159" s="93"/>
      <c r="HQ159" s="93"/>
      <c r="HR159" s="93"/>
      <c r="HS159" s="93"/>
      <c r="HT159" s="93"/>
      <c r="HU159" s="93"/>
      <c r="HV159" s="93"/>
      <c r="HW159" s="93"/>
      <c r="HX159" s="93"/>
      <c r="HY159" s="93"/>
      <c r="HZ159" s="93"/>
      <c r="IA159" s="93"/>
      <c r="IB159" s="93"/>
      <c r="IC159" s="93"/>
      <c r="ID159" s="93"/>
      <c r="IE159" s="93"/>
      <c r="IF159" s="93"/>
      <c r="IG159" s="93"/>
      <c r="IH159" s="93"/>
      <c r="II159" s="93"/>
      <c r="IJ159" s="93"/>
      <c r="IK159" s="93"/>
      <c r="IL159" s="93"/>
      <c r="IM159" s="93"/>
      <c r="IN159" s="93"/>
      <c r="IO159" s="93"/>
      <c r="IP159" s="93"/>
      <c r="IQ159" s="93"/>
      <c r="IR159" s="93"/>
      <c r="IS159" s="93"/>
      <c r="IT159" s="93"/>
      <c r="IU159" s="93"/>
      <c r="IV159" s="93"/>
      <c r="IW159" s="848">
        <v>44348</v>
      </c>
      <c r="IX159" s="93"/>
      <c r="IY159" s="93">
        <v>635.84013341812897</v>
      </c>
      <c r="IZ159" s="93">
        <v>2568.778376755</v>
      </c>
      <c r="JA159" s="93">
        <v>2.0968655250000001</v>
      </c>
      <c r="JB159" s="93">
        <v>2265.0810000000001</v>
      </c>
      <c r="JC159" s="93">
        <v>301.60051123</v>
      </c>
      <c r="JD159" s="93">
        <v>3204.6185101731289</v>
      </c>
      <c r="JE159" s="93">
        <v>1810.2651083190001</v>
      </c>
      <c r="JF159" s="93">
        <v>5014.8836184921292</v>
      </c>
      <c r="JG159" s="93"/>
      <c r="JH159" s="93">
        <v>2512.4441445041293</v>
      </c>
      <c r="JI159" s="93">
        <v>600.90114450412875</v>
      </c>
      <c r="JJ159" s="93">
        <v>1911.5430000000003</v>
      </c>
      <c r="JK159" s="93">
        <v>3200.42611493</v>
      </c>
      <c r="JL159" s="93">
        <v>-23.426340929999981</v>
      </c>
      <c r="JM159" s="93">
        <v>-322.00534093000005</v>
      </c>
      <c r="JN159" s="93">
        <v>298.57900000000006</v>
      </c>
      <c r="JO159" s="93">
        <v>3223.8524558600002</v>
      </c>
      <c r="JP159" s="93">
        <v>7.9184558599999999</v>
      </c>
      <c r="JQ159" s="93">
        <v>3215.9340000000002</v>
      </c>
      <c r="JR159" s="93">
        <v>875.24170235899987</v>
      </c>
      <c r="JS159" s="93">
        <v>-177.25506141700004</v>
      </c>
      <c r="JT159" s="20">
        <v>5014.8836184921302</v>
      </c>
      <c r="JU159" s="29">
        <v>86</v>
      </c>
      <c r="JV159" s="19"/>
      <c r="JW159" s="93">
        <v>600.90114450412875</v>
      </c>
      <c r="JX159" s="93">
        <v>1097.3208725261288</v>
      </c>
      <c r="JY159" s="93">
        <v>496.41972802200002</v>
      </c>
      <c r="JZ159" s="93">
        <v>710.3</v>
      </c>
      <c r="KA159" s="93">
        <v>-315.44013859200004</v>
      </c>
      <c r="KB159" s="93">
        <v>207.07420046600001</v>
      </c>
      <c r="KC159" s="93">
        <v>522.51433905800002</v>
      </c>
      <c r="KD159" s="93">
        <v>7.9184558599999999</v>
      </c>
      <c r="KE159" s="93">
        <v>3.48</v>
      </c>
      <c r="KF159" s="93">
        <v>0</v>
      </c>
      <c r="KG159" s="93">
        <v>0</v>
      </c>
      <c r="KH159" s="93">
        <v>4.4384558599999995</v>
      </c>
      <c r="KI159" s="93">
        <v>1012.5797583531289</v>
      </c>
      <c r="KJ159" s="93">
        <v>730.78633575612889</v>
      </c>
      <c r="KK159" s="93">
        <v>279.363448753</v>
      </c>
      <c r="KL159" s="93">
        <v>2.429973844</v>
      </c>
      <c r="KM159" s="93">
        <v>0</v>
      </c>
      <c r="KN159" s="93">
        <v>0.62896064399999996</v>
      </c>
      <c r="KO159" s="93">
        <v>0</v>
      </c>
      <c r="KP159" s="93">
        <v>0</v>
      </c>
      <c r="KQ159" s="93">
        <v>0.62896064399999996</v>
      </c>
      <c r="KR159" s="93">
        <v>0</v>
      </c>
      <c r="KS159" s="93">
        <v>0</v>
      </c>
      <c r="KT159" s="93">
        <v>0</v>
      </c>
      <c r="KU159" s="93">
        <v>4.0387417150000005</v>
      </c>
      <c r="KV159" s="93">
        <v>-13.567998940000001</v>
      </c>
      <c r="KW159" s="20"/>
      <c r="KX159" s="29">
        <v>86</v>
      </c>
      <c r="KY159" s="19"/>
      <c r="KZ159" s="93">
        <v>1911.5430000000003</v>
      </c>
      <c r="LA159" s="93">
        <v>2230.3210000000004</v>
      </c>
      <c r="LB159" s="93">
        <v>-318.77799999999996</v>
      </c>
      <c r="LC159" s="93">
        <v>337.50800000000004</v>
      </c>
      <c r="LD159" s="93">
        <v>88.381</v>
      </c>
      <c r="LE159" s="93">
        <v>249.12700000000001</v>
      </c>
      <c r="LF159" s="93">
        <v>0</v>
      </c>
      <c r="LG159" s="93">
        <v>298.57900000000006</v>
      </c>
      <c r="LH159" s="93">
        <v>1078.2270000000001</v>
      </c>
      <c r="LI159" s="93">
        <v>-779.64800000000002</v>
      </c>
      <c r="LJ159" s="93">
        <v>3215.9340000000002</v>
      </c>
      <c r="LK159" s="93">
        <v>29.606999999999999</v>
      </c>
      <c r="LL159" s="93">
        <v>0.11</v>
      </c>
      <c r="LM159" s="93">
        <v>255.95500000000001</v>
      </c>
      <c r="LN159" s="93">
        <v>2930.2620000000002</v>
      </c>
      <c r="LO159" s="93"/>
      <c r="LP159" s="93">
        <v>709.49</v>
      </c>
      <c r="LQ159" s="93">
        <v>2265.0810000000001</v>
      </c>
      <c r="LR159" s="93">
        <v>1809.9319999999998</v>
      </c>
      <c r="LS159" s="93">
        <v>0</v>
      </c>
      <c r="LT159" s="93">
        <v>183.08499999999998</v>
      </c>
      <c r="LU159" s="93">
        <v>0</v>
      </c>
      <c r="LV159" s="93">
        <v>32.707000000000001</v>
      </c>
      <c r="LW159" s="93">
        <v>0</v>
      </c>
      <c r="LX159" s="93">
        <v>0</v>
      </c>
      <c r="LY159" s="93">
        <v>654.78199999999993</v>
      </c>
      <c r="LZ159" s="93">
        <v>108.48699999999991</v>
      </c>
      <c r="MA159" s="93"/>
      <c r="MB159" s="93"/>
      <c r="MC159" s="93"/>
      <c r="MD159" s="93"/>
      <c r="ME159" s="93"/>
      <c r="MF159" s="93"/>
      <c r="MG159" s="93"/>
      <c r="MH159" s="20"/>
      <c r="MI159" s="29">
        <v>86</v>
      </c>
      <c r="MJ159" s="29" t="str">
        <f t="shared" si="88"/>
        <v>Trimestre 22021</v>
      </c>
      <c r="MK159" s="848">
        <v>44348</v>
      </c>
      <c r="ML159" s="1991">
        <v>145.6630088519741</v>
      </c>
      <c r="MM159" s="1991">
        <v>127.73924455010351</v>
      </c>
      <c r="MN159" s="1991">
        <v>105.0603462947124</v>
      </c>
      <c r="MO159" s="1991">
        <v>100.00000000000007</v>
      </c>
      <c r="MP159" s="1991">
        <v>145.6630088519741</v>
      </c>
      <c r="MQ159" s="1991">
        <v>127.8037997236416</v>
      </c>
      <c r="MR159" s="1991">
        <v>131.99999999999997</v>
      </c>
      <c r="MS159" s="1991">
        <v>110.03665035532106</v>
      </c>
      <c r="MT159" s="1991">
        <v>100.00000000000011</v>
      </c>
      <c r="MU159" s="1991">
        <v>134.56975965235952</v>
      </c>
      <c r="MV159" s="1991">
        <v>100.29950046728163</v>
      </c>
      <c r="MW159" s="1991">
        <v>100.0000000000001</v>
      </c>
      <c r="MX159" s="1991">
        <v>91.318828734660471</v>
      </c>
      <c r="MY159" s="1991">
        <v>100.00000000000017</v>
      </c>
      <c r="MZ159" s="1991">
        <v>114.46209234184185</v>
      </c>
      <c r="NA159" s="1991">
        <v>101.37165638468015</v>
      </c>
      <c r="NB159" s="1991">
        <v>108.56735196986415</v>
      </c>
      <c r="NC159" s="1991">
        <v>123.54718829486238</v>
      </c>
      <c r="ND159" s="1991">
        <v>90.181736908989251</v>
      </c>
      <c r="NE159" s="1991">
        <v>100.85903640531889</v>
      </c>
      <c r="NF159" s="1991">
        <v>100.13276945307307</v>
      </c>
      <c r="NG159" s="1991">
        <v>99.964548028355907</v>
      </c>
      <c r="NH159" s="1991">
        <v>129.51162015428059</v>
      </c>
      <c r="NI159" s="1991">
        <v>100</v>
      </c>
      <c r="NJ159" s="1991">
        <v>100.00000000000001</v>
      </c>
      <c r="NK159" s="1991">
        <v>116.5462657488124</v>
      </c>
      <c r="NL159" s="29">
        <v>86</v>
      </c>
    </row>
    <row r="160" spans="1:376">
      <c r="A160" s="41">
        <f t="shared" si="86"/>
        <v>2021</v>
      </c>
      <c r="B160" s="785">
        <v>44440</v>
      </c>
      <c r="C160" s="19"/>
      <c r="D160" s="93"/>
      <c r="E160" s="93"/>
      <c r="F160" s="93"/>
      <c r="G160" s="93"/>
      <c r="H160" s="93"/>
      <c r="I160" s="93"/>
      <c r="J160" s="93"/>
      <c r="K160" s="93"/>
      <c r="L160" s="93"/>
      <c r="M160" s="20"/>
      <c r="N160" s="25"/>
      <c r="O160" s="889">
        <f t="shared" si="85"/>
        <v>2021</v>
      </c>
      <c r="P160" s="29" t="str">
        <f t="shared" si="87"/>
        <v>Trimestre 32021</v>
      </c>
      <c r="Q160" s="848">
        <v>44440</v>
      </c>
      <c r="R160" s="733">
        <v>16.8</v>
      </c>
      <c r="S160" s="570">
        <v>0</v>
      </c>
      <c r="T160" s="570"/>
      <c r="U160" s="1547">
        <f t="shared" si="91"/>
        <v>17.731240832082353</v>
      </c>
      <c r="V160" s="25">
        <v>87</v>
      </c>
      <c r="W160" s="19">
        <v>231.77668800000001</v>
      </c>
      <c r="X160" s="93">
        <v>0</v>
      </c>
      <c r="Y160" s="93">
        <v>3185.5227920000002</v>
      </c>
      <c r="Z160" s="93">
        <v>978.94601899999998</v>
      </c>
      <c r="AA160" s="93">
        <v>16.690218636000001</v>
      </c>
      <c r="AB160" s="93">
        <v>4175.8355039999997</v>
      </c>
      <c r="AC160" s="93">
        <v>307.35720400000002</v>
      </c>
      <c r="AD160" s="570">
        <v>178.581648</v>
      </c>
      <c r="AE160" s="20">
        <v>13.914372589999999</v>
      </c>
      <c r="AF160" s="25">
        <v>87</v>
      </c>
      <c r="AG160" s="733">
        <v>26.946733283172474</v>
      </c>
      <c r="AH160" s="570">
        <v>14.281167154756062</v>
      </c>
      <c r="AI160" s="570">
        <v>3.9983606877415134</v>
      </c>
      <c r="AJ160" s="570">
        <v>5.697109311048318</v>
      </c>
      <c r="AK160" s="570">
        <v>6.063680122015727</v>
      </c>
      <c r="AL160" s="570">
        <v>45.607580745650111</v>
      </c>
      <c r="AM160" s="570">
        <v>46.224335199501716</v>
      </c>
      <c r="AN160" s="734">
        <v>-3.3901734772146828</v>
      </c>
      <c r="AO160" s="733">
        <v>-3.5496417472282751</v>
      </c>
      <c r="AP160" s="570">
        <v>-22.733773485151438</v>
      </c>
      <c r="AQ160" s="570">
        <v>-45.575406304573931</v>
      </c>
      <c r="AR160" s="570">
        <v>-0.87550506569206288</v>
      </c>
      <c r="AS160" s="734">
        <v>-17.948717948717949</v>
      </c>
      <c r="AT160" s="733">
        <v>24.460430470320869</v>
      </c>
      <c r="AU160" s="570">
        <v>-9.894786368516872</v>
      </c>
      <c r="AV160" s="734">
        <v>-9.8708334786234957</v>
      </c>
      <c r="AW160" s="733">
        <v>-20.454979088475234</v>
      </c>
      <c r="AX160" s="570">
        <v>6.4965025341715474</v>
      </c>
      <c r="AY160" s="570">
        <v>32.615484591658266</v>
      </c>
      <c r="AZ160" s="570">
        <v>-5.0518199580829375</v>
      </c>
      <c r="BA160" s="570">
        <v>-1.0444322566478266</v>
      </c>
      <c r="BB160" s="570">
        <v>-13.507054741789583</v>
      </c>
      <c r="BC160" s="734">
        <v>5.1282051282051295</v>
      </c>
      <c r="BD160" s="733">
        <v>27.570111496181834</v>
      </c>
      <c r="BE160" s="570">
        <v>-6.8001254438647081</v>
      </c>
      <c r="BF160" s="570">
        <v>28.514783298234534</v>
      </c>
      <c r="BG160" s="570">
        <v>9.0813852519557461</v>
      </c>
      <c r="BH160" s="570">
        <v>10.291503859805209</v>
      </c>
      <c r="BI160" s="570">
        <v>86.751867757011439</v>
      </c>
      <c r="BJ160" s="570">
        <v>87.1637445270634</v>
      </c>
      <c r="BK160" s="734">
        <v>12.211555632997436</v>
      </c>
      <c r="BL160" s="733">
        <v>8.3801097470818888</v>
      </c>
      <c r="BM160" s="570">
        <v>-73.293390932434875</v>
      </c>
      <c r="BN160" s="570">
        <v>-64.753783098207677</v>
      </c>
      <c r="BO160" s="570">
        <v>-2.4790399865705091</v>
      </c>
      <c r="BP160" s="570">
        <v>9.5238095238095237</v>
      </c>
      <c r="BQ160" s="734">
        <v>-19.047619047619051</v>
      </c>
      <c r="BR160" s="733">
        <v>62.550167911987785</v>
      </c>
      <c r="BS160" s="570">
        <v>-21.884796253644524</v>
      </c>
      <c r="BT160" s="570">
        <v>-25.275655541964149</v>
      </c>
      <c r="BU160" s="734">
        <v>-38.553084883814797</v>
      </c>
      <c r="BV160" s="733">
        <v>-27.334391928875341</v>
      </c>
      <c r="BW160" s="570">
        <v>34.712725231600672</v>
      </c>
      <c r="BX160" s="570">
        <v>16.927918531591708</v>
      </c>
      <c r="BY160" s="570">
        <v>3.7825929582581046</v>
      </c>
      <c r="BZ160" s="570">
        <v>-27.096477287434272</v>
      </c>
      <c r="CA160" s="570">
        <v>14.285714285714286</v>
      </c>
      <c r="CB160" s="734">
        <v>4.761904761904761</v>
      </c>
      <c r="CC160" s="25">
        <v>87</v>
      </c>
      <c r="CD160" s="19">
        <v>81095</v>
      </c>
      <c r="CE160" s="93">
        <v>24331145</v>
      </c>
      <c r="CF160" s="20">
        <v>13268242</v>
      </c>
      <c r="CG160" s="25">
        <v>87</v>
      </c>
      <c r="CH160" s="19">
        <v>11261</v>
      </c>
      <c r="CI160" s="93">
        <v>3807</v>
      </c>
      <c r="CJ160" s="93">
        <v>1740</v>
      </c>
      <c r="CK160" s="93">
        <v>6617</v>
      </c>
      <c r="CL160" s="93">
        <v>1849</v>
      </c>
      <c r="CM160" s="93">
        <v>89</v>
      </c>
      <c r="CN160" s="93">
        <v>954</v>
      </c>
      <c r="CO160" s="93">
        <v>1109</v>
      </c>
      <c r="CP160" s="93">
        <v>2046</v>
      </c>
      <c r="CQ160" s="93">
        <v>2765</v>
      </c>
      <c r="CR160" s="214">
        <v>108395</v>
      </c>
      <c r="CS160" s="20">
        <v>133148</v>
      </c>
      <c r="CT160" s="25">
        <v>87</v>
      </c>
      <c r="CU160" s="19">
        <v>17684</v>
      </c>
      <c r="CV160" s="93">
        <v>82577</v>
      </c>
      <c r="CW160" s="93">
        <v>17072</v>
      </c>
      <c r="CX160" s="93">
        <v>1963</v>
      </c>
      <c r="CY160" s="93">
        <v>859</v>
      </c>
      <c r="CZ160" s="93">
        <v>296</v>
      </c>
      <c r="DA160" s="93">
        <v>12697</v>
      </c>
      <c r="DB160" s="20">
        <v>133148</v>
      </c>
      <c r="DC160" s="25">
        <v>87</v>
      </c>
      <c r="DD160" s="785">
        <v>44440</v>
      </c>
      <c r="DE160" s="19">
        <v>615.1</v>
      </c>
      <c r="DF160" s="20">
        <v>267.8</v>
      </c>
      <c r="DG160" s="25">
        <v>87</v>
      </c>
      <c r="DH160" s="19">
        <v>628</v>
      </c>
      <c r="DI160" s="20">
        <v>1938.9</v>
      </c>
      <c r="DJ160" s="25">
        <v>87</v>
      </c>
      <c r="DK160" s="19">
        <v>615.1</v>
      </c>
      <c r="DL160" s="20">
        <v>628</v>
      </c>
      <c r="DM160" s="19">
        <v>-12.9</v>
      </c>
      <c r="DN160" s="20">
        <v>97.9</v>
      </c>
      <c r="DO160" s="25">
        <v>87</v>
      </c>
      <c r="DP160" s="19">
        <v>357.2</v>
      </c>
      <c r="DQ160" s="93">
        <v>289.3</v>
      </c>
      <c r="DR160" s="20">
        <v>1033.3</v>
      </c>
      <c r="DS160" s="25">
        <v>87</v>
      </c>
      <c r="DT160" s="19">
        <v>86</v>
      </c>
      <c r="DU160" s="93">
        <v>367.6</v>
      </c>
      <c r="DV160" s="20">
        <v>316.2</v>
      </c>
      <c r="DW160" s="25">
        <v>87</v>
      </c>
      <c r="DX160" s="19">
        <v>415.3</v>
      </c>
      <c r="DY160" s="20">
        <v>67.2</v>
      </c>
      <c r="DZ160" s="25">
        <v>87</v>
      </c>
      <c r="EA160" s="19">
        <v>538.5</v>
      </c>
      <c r="EB160" s="93">
        <v>4.4000000000000004</v>
      </c>
      <c r="EC160" s="93">
        <v>1</v>
      </c>
      <c r="ED160" s="93">
        <v>3</v>
      </c>
      <c r="EE160" s="20">
        <v>20.5</v>
      </c>
      <c r="EF160" s="25">
        <v>87</v>
      </c>
      <c r="EG160" s="19">
        <v>148.5</v>
      </c>
      <c r="EH160" s="93">
        <v>5.4</v>
      </c>
      <c r="EI160" s="93">
        <v>8.6999999999999993</v>
      </c>
      <c r="EJ160" s="93">
        <v>22.8</v>
      </c>
      <c r="EK160" s="20">
        <v>8.8000000000000007</v>
      </c>
      <c r="EL160" s="25">
        <v>87</v>
      </c>
      <c r="EM160" s="19">
        <v>482.24</v>
      </c>
      <c r="EN160" s="93">
        <v>9.02</v>
      </c>
      <c r="EO160" s="93">
        <v>24.72</v>
      </c>
      <c r="EP160" s="93">
        <v>0.21</v>
      </c>
      <c r="EQ160" s="93">
        <v>2.5099999999999998</v>
      </c>
      <c r="ER160" s="93">
        <v>6.17</v>
      </c>
      <c r="ES160" s="93">
        <v>1.18</v>
      </c>
      <c r="ET160" s="93">
        <v>0.93</v>
      </c>
      <c r="EU160" s="93" t="s">
        <v>1146</v>
      </c>
      <c r="EV160" s="20">
        <v>7.46</v>
      </c>
      <c r="EW160" s="25">
        <v>87</v>
      </c>
      <c r="EX160" s="915">
        <v>50.4</v>
      </c>
      <c r="EY160" s="916">
        <v>4.9000000000000004</v>
      </c>
      <c r="EZ160" s="916">
        <v>56.7</v>
      </c>
      <c r="FA160" s="916">
        <v>1.9</v>
      </c>
      <c r="FB160" s="916">
        <v>90.2</v>
      </c>
      <c r="FC160" s="916">
        <v>33.1</v>
      </c>
      <c r="FD160" s="916">
        <v>14.7</v>
      </c>
      <c r="FE160" s="916">
        <v>29.1</v>
      </c>
      <c r="FF160" s="916">
        <v>11.9</v>
      </c>
      <c r="FG160" s="917">
        <v>49.6</v>
      </c>
      <c r="FH160" s="25">
        <v>87</v>
      </c>
      <c r="FI160" s="848">
        <v>44440</v>
      </c>
      <c r="FJ160" s="19">
        <v>971</v>
      </c>
      <c r="FK160" s="93">
        <v>1470</v>
      </c>
      <c r="FL160" s="20">
        <v>0</v>
      </c>
      <c r="FM160" s="25">
        <v>87</v>
      </c>
      <c r="FN160" s="19">
        <v>51</v>
      </c>
      <c r="FO160" s="93">
        <v>815</v>
      </c>
      <c r="FP160" s="93">
        <v>982</v>
      </c>
      <c r="FQ160" s="93">
        <v>382</v>
      </c>
      <c r="FR160" s="93">
        <v>156</v>
      </c>
      <c r="FS160" s="93">
        <v>36</v>
      </c>
      <c r="FT160" s="93">
        <v>13</v>
      </c>
      <c r="FU160" s="93">
        <v>3</v>
      </c>
      <c r="FV160" s="93">
        <v>3</v>
      </c>
      <c r="FW160" s="917">
        <v>0</v>
      </c>
      <c r="FX160" s="25">
        <v>87</v>
      </c>
      <c r="FY160" s="916">
        <v>0</v>
      </c>
      <c r="FZ160" s="916">
        <v>77</v>
      </c>
      <c r="GA160" s="916">
        <v>200</v>
      </c>
      <c r="GB160" s="916">
        <v>76</v>
      </c>
      <c r="GC160" s="916">
        <v>515</v>
      </c>
      <c r="GD160" s="916">
        <v>92</v>
      </c>
      <c r="GE160" s="916">
        <v>858</v>
      </c>
      <c r="GF160" s="916">
        <v>100</v>
      </c>
      <c r="GG160" s="916">
        <v>23</v>
      </c>
      <c r="GH160" s="916">
        <v>414</v>
      </c>
      <c r="GI160" s="917">
        <v>86</v>
      </c>
      <c r="GJ160" s="25">
        <v>87</v>
      </c>
      <c r="GK160" s="19"/>
      <c r="GL160" s="20"/>
      <c r="GM160" s="25"/>
      <c r="GN160" s="19">
        <v>5017</v>
      </c>
      <c r="GO160" s="20">
        <v>2269</v>
      </c>
      <c r="GP160" s="25">
        <v>87</v>
      </c>
      <c r="GQ160" s="19">
        <v>30.81</v>
      </c>
      <c r="GR160" s="20">
        <v>30.36</v>
      </c>
      <c r="GS160" s="25">
        <v>87</v>
      </c>
      <c r="GT160" s="848">
        <v>44440</v>
      </c>
      <c r="GU160" s="19"/>
      <c r="GV160" s="93"/>
      <c r="GW160" s="93"/>
      <c r="GX160" s="93"/>
      <c r="GY160" s="93"/>
      <c r="GZ160" s="93"/>
      <c r="HA160" s="93"/>
      <c r="HB160" s="93"/>
      <c r="HC160" s="93"/>
      <c r="HD160" s="93"/>
      <c r="HE160" s="93"/>
      <c r="HF160" s="93"/>
      <c r="HG160" s="93"/>
      <c r="HH160" s="93"/>
      <c r="HI160" s="93"/>
      <c r="HJ160" s="93"/>
      <c r="HK160" s="93"/>
      <c r="HL160" s="93"/>
      <c r="HM160" s="93"/>
      <c r="HN160" s="93"/>
      <c r="HO160" s="93"/>
      <c r="HP160" s="93"/>
      <c r="HQ160" s="93"/>
      <c r="HR160" s="93"/>
      <c r="HS160" s="93"/>
      <c r="HT160" s="93"/>
      <c r="HU160" s="93"/>
      <c r="HV160" s="93"/>
      <c r="HW160" s="93"/>
      <c r="HX160" s="93"/>
      <c r="HY160" s="93"/>
      <c r="HZ160" s="93"/>
      <c r="IA160" s="93"/>
      <c r="IB160" s="93"/>
      <c r="IC160" s="93"/>
      <c r="ID160" s="93"/>
      <c r="IE160" s="93"/>
      <c r="IF160" s="93"/>
      <c r="IG160" s="93"/>
      <c r="IH160" s="93"/>
      <c r="II160" s="93"/>
      <c r="IJ160" s="93"/>
      <c r="IK160" s="93"/>
      <c r="IL160" s="93"/>
      <c r="IM160" s="93"/>
      <c r="IN160" s="93"/>
      <c r="IO160" s="93"/>
      <c r="IP160" s="93"/>
      <c r="IQ160" s="93"/>
      <c r="IR160" s="93"/>
      <c r="IS160" s="93"/>
      <c r="IT160" s="93"/>
      <c r="IU160" s="93"/>
      <c r="IV160" s="93"/>
      <c r="IW160" s="848">
        <v>44440</v>
      </c>
      <c r="IX160" s="93"/>
      <c r="IY160" s="93">
        <v>648.643576897</v>
      </c>
      <c r="IZ160" s="93">
        <v>2453.0367143889998</v>
      </c>
      <c r="JA160" s="93">
        <v>1.817203159</v>
      </c>
      <c r="JB160" s="93">
        <v>2149.6189999999997</v>
      </c>
      <c r="JC160" s="93">
        <v>301.60051123</v>
      </c>
      <c r="JD160" s="93">
        <v>3101.6802912859998</v>
      </c>
      <c r="JE160" s="93">
        <v>1921.0991083190002</v>
      </c>
      <c r="JF160" s="93">
        <v>5022.7793996050004</v>
      </c>
      <c r="JG160" s="93"/>
      <c r="JH160" s="93">
        <v>2431.22254079</v>
      </c>
      <c r="JI160" s="93">
        <v>595.84754078999981</v>
      </c>
      <c r="JJ160" s="93">
        <v>1835.375</v>
      </c>
      <c r="JK160" s="93">
        <v>3296.6871737959996</v>
      </c>
      <c r="JL160" s="93">
        <v>10.2352020350001</v>
      </c>
      <c r="JM160" s="93">
        <v>-241.13979796500001</v>
      </c>
      <c r="JN160" s="93">
        <v>251.37500000000011</v>
      </c>
      <c r="JO160" s="93">
        <v>3286.4519717609996</v>
      </c>
      <c r="JP160" s="93">
        <v>7.8159717610000001</v>
      </c>
      <c r="JQ160" s="93">
        <v>3278.636</v>
      </c>
      <c r="JR160" s="93">
        <v>932.78660454099997</v>
      </c>
      <c r="JS160" s="93">
        <v>-227.65628955999989</v>
      </c>
      <c r="JT160" s="20">
        <v>5022.7793996049995</v>
      </c>
      <c r="JU160" s="29">
        <v>87</v>
      </c>
      <c r="JV160" s="19"/>
      <c r="JW160" s="93">
        <v>595.84754078999981</v>
      </c>
      <c r="JX160" s="93">
        <v>1340.6984306129998</v>
      </c>
      <c r="JY160" s="93">
        <v>744.85088982299999</v>
      </c>
      <c r="JZ160" s="93">
        <v>816.8</v>
      </c>
      <c r="KA160" s="93">
        <v>-234.57459562700001</v>
      </c>
      <c r="KB160" s="93">
        <v>298.75035048699999</v>
      </c>
      <c r="KC160" s="93">
        <v>533.324946114</v>
      </c>
      <c r="KD160" s="93">
        <v>7.8159717610000001</v>
      </c>
      <c r="KE160" s="93">
        <v>3.18</v>
      </c>
      <c r="KF160" s="93">
        <v>0</v>
      </c>
      <c r="KG160" s="93">
        <v>0</v>
      </c>
      <c r="KH160" s="93">
        <v>4.6359717610000004</v>
      </c>
      <c r="KI160" s="93">
        <v>1184.2242966189999</v>
      </c>
      <c r="KJ160" s="93">
        <v>741.884779235</v>
      </c>
      <c r="KK160" s="93">
        <v>440.18920590599998</v>
      </c>
      <c r="KL160" s="93">
        <v>2.1503114779999999</v>
      </c>
      <c r="KM160" s="93">
        <v>0</v>
      </c>
      <c r="KN160" s="93">
        <v>0.24238831599999999</v>
      </c>
      <c r="KO160" s="93">
        <v>0</v>
      </c>
      <c r="KP160" s="93">
        <v>0</v>
      </c>
      <c r="KQ160" s="93">
        <v>0.24238831599999999</v>
      </c>
      <c r="KR160" s="93">
        <v>0</v>
      </c>
      <c r="KS160" s="93">
        <v>0</v>
      </c>
      <c r="KT160" s="93">
        <v>0</v>
      </c>
      <c r="KU160" s="93">
        <v>6.221216225</v>
      </c>
      <c r="KV160" s="93">
        <v>-4.7989842360000141</v>
      </c>
      <c r="KW160" s="20"/>
      <c r="KX160" s="29">
        <v>87</v>
      </c>
      <c r="KY160" s="19"/>
      <c r="KZ160" s="93">
        <v>1835.375</v>
      </c>
      <c r="LA160" s="93">
        <v>2179.9090000000001</v>
      </c>
      <c r="LB160" s="93">
        <v>-344.53399999999999</v>
      </c>
      <c r="LC160" s="93">
        <v>550.72199999999998</v>
      </c>
      <c r="LD160" s="93">
        <v>86.676000000000002</v>
      </c>
      <c r="LE160" s="93">
        <v>464.04599999999999</v>
      </c>
      <c r="LF160" s="93">
        <v>0</v>
      </c>
      <c r="LG160" s="93">
        <v>251.37500000000011</v>
      </c>
      <c r="LH160" s="93">
        <v>1026.8610000000001</v>
      </c>
      <c r="LI160" s="93">
        <v>-775.48599999999999</v>
      </c>
      <c r="LJ160" s="93">
        <v>3278.636</v>
      </c>
      <c r="LK160" s="93">
        <v>37.727999999999994</v>
      </c>
      <c r="LL160" s="93">
        <v>1.4999999999999999E-2</v>
      </c>
      <c r="LM160" s="93">
        <v>245.72800000000001</v>
      </c>
      <c r="LN160" s="93">
        <v>2995.165</v>
      </c>
      <c r="LO160" s="93"/>
      <c r="LP160" s="93">
        <v>795.99900000000002</v>
      </c>
      <c r="LQ160" s="93">
        <v>2149.6189999999997</v>
      </c>
      <c r="LR160" s="93">
        <v>1920.7660000000001</v>
      </c>
      <c r="LS160" s="93">
        <v>0</v>
      </c>
      <c r="LT160" s="93">
        <v>190.97699999999998</v>
      </c>
      <c r="LU160" s="93">
        <v>0</v>
      </c>
      <c r="LV160" s="93">
        <v>49.363</v>
      </c>
      <c r="LW160" s="93">
        <v>0</v>
      </c>
      <c r="LX160" s="93">
        <v>0</v>
      </c>
      <c r="LY160" s="93">
        <v>685.98299999999995</v>
      </c>
      <c r="LZ160" s="93">
        <v>123.40100000000001</v>
      </c>
      <c r="MA160" s="93"/>
      <c r="MB160" s="93"/>
      <c r="MC160" s="93"/>
      <c r="MD160" s="93"/>
      <c r="ME160" s="93"/>
      <c r="MF160" s="93"/>
      <c r="MG160" s="93"/>
      <c r="MH160" s="20"/>
      <c r="MI160" s="29">
        <v>87</v>
      </c>
      <c r="MJ160" s="29" t="str">
        <f t="shared" si="88"/>
        <v>Trimestre 32021</v>
      </c>
      <c r="MK160" s="848">
        <v>44440</v>
      </c>
      <c r="ML160" s="1991">
        <v>151.92782641516931</v>
      </c>
      <c r="MM160" s="1991">
        <v>134.33210988699639</v>
      </c>
      <c r="MN160" s="1991">
        <v>109.32823283616797</v>
      </c>
      <c r="MO160" s="1991">
        <v>100.00000000000007</v>
      </c>
      <c r="MP160" s="1991">
        <v>151.92782641516931</v>
      </c>
      <c r="MQ160" s="1991">
        <v>134.19428166157184</v>
      </c>
      <c r="MR160" s="1991">
        <v>143.19999999999987</v>
      </c>
      <c r="MS160" s="1991">
        <v>118.37893665677572</v>
      </c>
      <c r="MT160" s="1991">
        <v>100.00000000000011</v>
      </c>
      <c r="MU160" s="1991">
        <v>134.56975965235952</v>
      </c>
      <c r="MV160" s="1991">
        <v>100.29950046728163</v>
      </c>
      <c r="MW160" s="1991">
        <v>101.66666666221394</v>
      </c>
      <c r="MX160" s="1991">
        <v>105.17662066385091</v>
      </c>
      <c r="MY160" s="1991">
        <v>100.00000000000017</v>
      </c>
      <c r="MZ160" s="1991">
        <v>115.49877460662391</v>
      </c>
      <c r="NA160" s="1991">
        <v>108.8259123443099</v>
      </c>
      <c r="NB160" s="1991">
        <v>108.57954443860937</v>
      </c>
      <c r="NC160" s="1991">
        <v>112.09228706408749</v>
      </c>
      <c r="ND160" s="1991">
        <v>90.181736908989251</v>
      </c>
      <c r="NE160" s="1991">
        <v>100.86877474400202</v>
      </c>
      <c r="NF160" s="1991">
        <v>100.13276945307307</v>
      </c>
      <c r="NG160" s="1991">
        <v>99.377292683249181</v>
      </c>
      <c r="NH160" s="1991">
        <v>129.51162015428059</v>
      </c>
      <c r="NI160" s="1991">
        <v>100</v>
      </c>
      <c r="NJ160" s="1991">
        <v>100.00000000000001</v>
      </c>
      <c r="NK160" s="1991">
        <v>121.76332517178642</v>
      </c>
      <c r="NL160" s="29">
        <v>87</v>
      </c>
    </row>
    <row r="161" spans="1:376">
      <c r="A161" s="41">
        <f t="shared" si="86"/>
        <v>2021</v>
      </c>
      <c r="B161" s="785">
        <v>44531</v>
      </c>
      <c r="C161" s="19"/>
      <c r="D161" s="93"/>
      <c r="E161" s="93"/>
      <c r="F161" s="93"/>
      <c r="G161" s="93"/>
      <c r="H161" s="93"/>
      <c r="I161" s="93"/>
      <c r="J161" s="93"/>
      <c r="K161" s="93"/>
      <c r="L161" s="93"/>
      <c r="M161" s="20"/>
      <c r="N161" s="25"/>
      <c r="O161" s="889">
        <f t="shared" si="85"/>
        <v>2021</v>
      </c>
      <c r="P161" s="29" t="str">
        <f t="shared" si="87"/>
        <v>Trimestre 42021</v>
      </c>
      <c r="Q161" s="848">
        <v>44531</v>
      </c>
      <c r="R161" s="733">
        <v>16.7</v>
      </c>
      <c r="S161" s="570">
        <v>53.220118014000001</v>
      </c>
      <c r="T161" s="570"/>
      <c r="U161" s="1547">
        <f t="shared" si="91"/>
        <v>24.164999999999999</v>
      </c>
      <c r="V161" s="25">
        <v>88</v>
      </c>
      <c r="W161" s="19">
        <v>1618.94911</v>
      </c>
      <c r="X161" s="93">
        <v>4907.03514</v>
      </c>
      <c r="Y161" s="93">
        <v>6485.5227919999998</v>
      </c>
      <c r="Z161" s="93">
        <v>1000</v>
      </c>
      <c r="AA161" s="93">
        <v>16.609103000000001</v>
      </c>
      <c r="AB161" s="93">
        <v>5448.5740690000002</v>
      </c>
      <c r="AC161" s="93">
        <v>867.54335500000002</v>
      </c>
      <c r="AD161" s="570">
        <v>239.58186799999999</v>
      </c>
      <c r="AE161" s="20">
        <v>15.374811018000001</v>
      </c>
      <c r="AF161" s="25">
        <v>88</v>
      </c>
      <c r="AG161" s="733">
        <v>36.734627296784993</v>
      </c>
      <c r="AH161" s="570">
        <v>28.83278634687877</v>
      </c>
      <c r="AI161" s="570">
        <v>28.725932760741102</v>
      </c>
      <c r="AJ161" s="570">
        <v>5.406570044179384</v>
      </c>
      <c r="AK161" s="570">
        <v>15.21380433928576</v>
      </c>
      <c r="AL161" s="570">
        <v>17.147395626680066</v>
      </c>
      <c r="AM161" s="570">
        <v>29.464185904154739</v>
      </c>
      <c r="AN161" s="734">
        <v>9.7576165526275833</v>
      </c>
      <c r="AO161" s="733">
        <v>1.5973171894987743</v>
      </c>
      <c r="AP161" s="570">
        <v>43.830160741918981</v>
      </c>
      <c r="AQ161" s="570">
        <v>17.269854774740597</v>
      </c>
      <c r="AR161" s="570">
        <v>3.0161358096515829</v>
      </c>
      <c r="AS161" s="734">
        <v>-21.25</v>
      </c>
      <c r="AT161" s="733">
        <v>24.818485948565861</v>
      </c>
      <c r="AU161" s="570">
        <v>-28.06036711246594</v>
      </c>
      <c r="AV161" s="734">
        <v>-3.0021326184293118</v>
      </c>
      <c r="AW161" s="733">
        <v>-19.580570241719492</v>
      </c>
      <c r="AX161" s="570">
        <v>28.171446952699036</v>
      </c>
      <c r="AY161" s="570">
        <v>37.322865172357353</v>
      </c>
      <c r="AZ161" s="570">
        <v>11.698293255691839</v>
      </c>
      <c r="BA161" s="570">
        <v>3.3010855952181499</v>
      </c>
      <c r="BB161" s="570">
        <v>-3.6829507706289917</v>
      </c>
      <c r="BC161" s="734">
        <v>-1.25</v>
      </c>
      <c r="BD161" s="733">
        <v>35.429172483558602</v>
      </c>
      <c r="BE161" s="570">
        <v>2.2338737717781925</v>
      </c>
      <c r="BF161" s="570">
        <v>73.620008833866009</v>
      </c>
      <c r="BG161" s="570">
        <v>13.3642640940466</v>
      </c>
      <c r="BH161" s="570">
        <v>11.550684124934797</v>
      </c>
      <c r="BI161" s="570">
        <v>28.347726286201173</v>
      </c>
      <c r="BJ161" s="570">
        <v>52.014381357811793</v>
      </c>
      <c r="BK161" s="734">
        <v>18.553165889391792</v>
      </c>
      <c r="BL161" s="733">
        <v>-43.338686711366137</v>
      </c>
      <c r="BM161" s="570">
        <v>55.474009170093993</v>
      </c>
      <c r="BN161" s="570">
        <v>70.652817950155367</v>
      </c>
      <c r="BO161" s="570">
        <v>5.3089574967390458</v>
      </c>
      <c r="BP161" s="570">
        <v>-22.727272727272727</v>
      </c>
      <c r="BQ161" s="734">
        <v>-31.81818181818182</v>
      </c>
      <c r="BR161" s="733">
        <v>57.590693056792013</v>
      </c>
      <c r="BS161" s="570">
        <v>-62.330397244935696</v>
      </c>
      <c r="BT161" s="570">
        <v>-6.3145739943572572</v>
      </c>
      <c r="BU161" s="734">
        <v>-34.172325797699607</v>
      </c>
      <c r="BV161" s="733">
        <v>63.316621679728932</v>
      </c>
      <c r="BW161" s="570">
        <v>78.460250387708157</v>
      </c>
      <c r="BX161" s="570">
        <v>37.385671303197697</v>
      </c>
      <c r="BY161" s="570">
        <v>7.1165166942938978</v>
      </c>
      <c r="BZ161" s="570">
        <v>-12.705890237380043</v>
      </c>
      <c r="CA161" s="570">
        <v>-9.0909090909090899</v>
      </c>
      <c r="CB161" s="734">
        <v>-22.727272727272727</v>
      </c>
      <c r="CC161" s="25">
        <v>88</v>
      </c>
      <c r="CD161" s="19">
        <v>81374</v>
      </c>
      <c r="CE161" s="93">
        <v>24708389</v>
      </c>
      <c r="CF161" s="20">
        <v>13476695</v>
      </c>
      <c r="CG161" s="25">
        <v>88</v>
      </c>
      <c r="CH161" s="19">
        <v>11994</v>
      </c>
      <c r="CI161" s="93">
        <v>4408</v>
      </c>
      <c r="CJ161" s="93">
        <v>2174</v>
      </c>
      <c r="CK161" s="93">
        <v>7434</v>
      </c>
      <c r="CL161" s="93">
        <v>2663</v>
      </c>
      <c r="CM161" s="93">
        <v>170</v>
      </c>
      <c r="CN161" s="93">
        <v>910</v>
      </c>
      <c r="CO161" s="93">
        <v>1260</v>
      </c>
      <c r="CP161" s="93">
        <v>2279</v>
      </c>
      <c r="CQ161" s="93">
        <v>2514</v>
      </c>
      <c r="CR161" s="1802">
        <v>109709</v>
      </c>
      <c r="CS161" s="1774">
        <v>136100</v>
      </c>
      <c r="CT161" s="25">
        <v>88</v>
      </c>
      <c r="CU161" s="19">
        <v>16008</v>
      </c>
      <c r="CV161" s="93">
        <v>86444</v>
      </c>
      <c r="CW161" s="93">
        <v>19531</v>
      </c>
      <c r="CX161" s="93">
        <v>1895</v>
      </c>
      <c r="CY161" s="93">
        <v>921</v>
      </c>
      <c r="CZ161" s="93">
        <v>428</v>
      </c>
      <c r="DA161" s="93">
        <v>10873</v>
      </c>
      <c r="DB161" s="20">
        <v>136100</v>
      </c>
      <c r="DC161" s="25">
        <v>88</v>
      </c>
      <c r="DD161" s="785">
        <v>44531</v>
      </c>
      <c r="DE161" s="19">
        <v>725.7</v>
      </c>
      <c r="DF161" s="20">
        <v>416.6</v>
      </c>
      <c r="DG161" s="25">
        <v>88</v>
      </c>
      <c r="DH161" s="19">
        <v>782.8</v>
      </c>
      <c r="DI161" s="20">
        <v>2413.8000000000002</v>
      </c>
      <c r="DJ161" s="25">
        <v>88</v>
      </c>
      <c r="DK161" s="19">
        <v>725.7</v>
      </c>
      <c r="DL161" s="20">
        <v>782.8</v>
      </c>
      <c r="DM161" s="19">
        <v>-57.1</v>
      </c>
      <c r="DN161" s="20">
        <v>92.7</v>
      </c>
      <c r="DO161" s="25">
        <v>88</v>
      </c>
      <c r="DP161" s="19">
        <v>325.2</v>
      </c>
      <c r="DQ161" s="93">
        <v>378.6</v>
      </c>
      <c r="DR161" s="20">
        <v>1231.3</v>
      </c>
      <c r="DS161" s="25">
        <v>88</v>
      </c>
      <c r="DT161" s="19">
        <v>98.6</v>
      </c>
      <c r="DU161" s="93">
        <v>399.8</v>
      </c>
      <c r="DV161" s="20">
        <v>394.3</v>
      </c>
      <c r="DW161" s="25">
        <v>88</v>
      </c>
      <c r="DX161" s="19">
        <v>329.7</v>
      </c>
      <c r="DY161" s="20">
        <v>54.4</v>
      </c>
      <c r="DZ161" s="25">
        <v>88</v>
      </c>
      <c r="EA161" s="19">
        <v>571</v>
      </c>
      <c r="EB161" s="93">
        <v>62.2</v>
      </c>
      <c r="EC161" s="93">
        <v>17.3</v>
      </c>
      <c r="ED161" s="93">
        <v>12.6</v>
      </c>
      <c r="EE161" s="20">
        <v>5.2</v>
      </c>
      <c r="EF161" s="25">
        <v>88</v>
      </c>
      <c r="EG161" s="19">
        <v>191.8</v>
      </c>
      <c r="EH161" s="93">
        <v>4.4000000000000004</v>
      </c>
      <c r="EI161" s="93">
        <v>16.7</v>
      </c>
      <c r="EJ161" s="93">
        <v>51.6</v>
      </c>
      <c r="EK161" s="20">
        <v>7.2</v>
      </c>
      <c r="EL161" s="25">
        <v>88</v>
      </c>
      <c r="EM161" s="19">
        <v>510.39</v>
      </c>
      <c r="EN161" s="93">
        <v>28.43</v>
      </c>
      <c r="EO161" s="93">
        <v>24.42</v>
      </c>
      <c r="EP161" s="93">
        <v>0.09</v>
      </c>
      <c r="EQ161" s="93">
        <v>4.13</v>
      </c>
      <c r="ER161" s="93">
        <v>12.43</v>
      </c>
      <c r="ES161" s="93">
        <v>0.59</v>
      </c>
      <c r="ET161" s="93">
        <v>8.0399999999999991</v>
      </c>
      <c r="EU161" s="93">
        <v>0.06</v>
      </c>
      <c r="EV161" s="20">
        <v>9.81</v>
      </c>
      <c r="EW161" s="25">
        <v>88</v>
      </c>
      <c r="EX161" s="915">
        <v>62.6</v>
      </c>
      <c r="EY161" s="916">
        <v>36.700000000000003</v>
      </c>
      <c r="EZ161" s="916">
        <v>52.5</v>
      </c>
      <c r="FA161" s="916">
        <v>0.6</v>
      </c>
      <c r="FB161" s="916">
        <v>99.7</v>
      </c>
      <c r="FC161" s="916">
        <v>49.4</v>
      </c>
      <c r="FD161" s="916">
        <v>12.6</v>
      </c>
      <c r="FE161" s="916">
        <v>36</v>
      </c>
      <c r="FF161" s="916">
        <v>16</v>
      </c>
      <c r="FG161" s="917">
        <v>48</v>
      </c>
      <c r="FH161" s="25">
        <v>88</v>
      </c>
      <c r="FI161" s="848">
        <v>44531</v>
      </c>
      <c r="FJ161" s="19">
        <v>1328</v>
      </c>
      <c r="FK161" s="93">
        <v>1566</v>
      </c>
      <c r="FL161" s="20">
        <v>0</v>
      </c>
      <c r="FM161" s="25">
        <v>88</v>
      </c>
      <c r="FN161" s="19">
        <v>55</v>
      </c>
      <c r="FO161" s="93">
        <v>972</v>
      </c>
      <c r="FP161" s="93">
        <v>1068</v>
      </c>
      <c r="FQ161" s="93">
        <v>540</v>
      </c>
      <c r="FR161" s="93">
        <v>199</v>
      </c>
      <c r="FS161" s="93">
        <v>42</v>
      </c>
      <c r="FT161" s="93">
        <v>15</v>
      </c>
      <c r="FU161" s="93">
        <v>2</v>
      </c>
      <c r="FV161" s="93">
        <v>1</v>
      </c>
      <c r="FW161" s="917">
        <v>0</v>
      </c>
      <c r="FX161" s="25">
        <v>88</v>
      </c>
      <c r="FY161" s="916">
        <v>4</v>
      </c>
      <c r="FZ161" s="916">
        <v>110</v>
      </c>
      <c r="GA161" s="916">
        <v>277</v>
      </c>
      <c r="GB161" s="916">
        <v>81</v>
      </c>
      <c r="GC161" s="916">
        <v>573</v>
      </c>
      <c r="GD161" s="916">
        <v>123</v>
      </c>
      <c r="GE161" s="916">
        <v>1062</v>
      </c>
      <c r="GF161" s="916">
        <v>109</v>
      </c>
      <c r="GG161" s="916">
        <v>20</v>
      </c>
      <c r="GH161" s="916">
        <v>439</v>
      </c>
      <c r="GI161" s="917">
        <v>96</v>
      </c>
      <c r="GJ161" s="25">
        <v>88</v>
      </c>
      <c r="GK161" s="19"/>
      <c r="GL161" s="20"/>
      <c r="GM161" s="25"/>
      <c r="GN161" s="19">
        <v>5082</v>
      </c>
      <c r="GO161" s="20">
        <v>2567</v>
      </c>
      <c r="GP161" s="25">
        <v>88</v>
      </c>
      <c r="GQ161" s="19">
        <v>31.4</v>
      </c>
      <c r="GR161" s="20">
        <v>30.7</v>
      </c>
      <c r="GS161" s="25">
        <v>88</v>
      </c>
      <c r="GT161" s="848">
        <v>44531</v>
      </c>
      <c r="GU161" s="19"/>
      <c r="GV161" s="93"/>
      <c r="GW161" s="93"/>
      <c r="GX161" s="93"/>
      <c r="GY161" s="93"/>
      <c r="GZ161" s="93"/>
      <c r="HA161" s="93"/>
      <c r="HB161" s="93"/>
      <c r="HC161" s="93"/>
      <c r="HD161" s="93"/>
      <c r="HE161" s="93"/>
      <c r="HF161" s="93"/>
      <c r="HG161" s="93"/>
      <c r="HH161" s="93"/>
      <c r="HI161" s="93"/>
      <c r="HJ161" s="93"/>
      <c r="HK161" s="93"/>
      <c r="HL161" s="93"/>
      <c r="HM161" s="93"/>
      <c r="HN161" s="93"/>
      <c r="HO161" s="93"/>
      <c r="HP161" s="93"/>
      <c r="HQ161" s="93"/>
      <c r="HR161" s="93"/>
      <c r="HS161" s="93"/>
      <c r="HT161" s="93"/>
      <c r="HU161" s="93"/>
      <c r="HV161" s="93"/>
      <c r="HW161" s="93"/>
      <c r="HX161" s="93"/>
      <c r="HY161" s="93"/>
      <c r="HZ161" s="93"/>
      <c r="IA161" s="93"/>
      <c r="IB161" s="93"/>
      <c r="IC161" s="93"/>
      <c r="ID161" s="93"/>
      <c r="IE161" s="93"/>
      <c r="IF161" s="93"/>
      <c r="IG161" s="93"/>
      <c r="IH161" s="93"/>
      <c r="II161" s="93"/>
      <c r="IJ161" s="93"/>
      <c r="IK161" s="93"/>
      <c r="IL161" s="93"/>
      <c r="IM161" s="93"/>
      <c r="IN161" s="93"/>
      <c r="IO161" s="93"/>
      <c r="IP161" s="93"/>
      <c r="IQ161" s="93"/>
      <c r="IR161" s="93"/>
      <c r="IS161" s="93"/>
      <c r="IT161" s="93"/>
      <c r="IU161" s="93"/>
      <c r="IV161" s="93"/>
      <c r="IW161" s="848">
        <v>44531</v>
      </c>
      <c r="IX161" s="93"/>
      <c r="IY161" s="93">
        <v>901.77197676800006</v>
      </c>
      <c r="IZ161" s="93">
        <v>2783.6456819710002</v>
      </c>
      <c r="JA161" s="93">
        <v>1.857170741</v>
      </c>
      <c r="JB161" s="93">
        <v>2480.1880000000001</v>
      </c>
      <c r="JC161" s="93">
        <v>301.60051123</v>
      </c>
      <c r="JD161" s="93">
        <v>3685.4176587390002</v>
      </c>
      <c r="JE161" s="93">
        <v>1967.911108319</v>
      </c>
      <c r="JF161" s="93">
        <v>5653.3287670580003</v>
      </c>
      <c r="JG161" s="93"/>
      <c r="JH161" s="93">
        <v>2704.9815301039998</v>
      </c>
      <c r="JI161" s="93">
        <v>535.64553010400004</v>
      </c>
      <c r="JJ161" s="93">
        <v>2169.3359999999998</v>
      </c>
      <c r="JK161" s="93">
        <v>3487.3946488610004</v>
      </c>
      <c r="JL161" s="93">
        <v>-66.50763390100002</v>
      </c>
      <c r="JM161" s="93">
        <v>-95.401633901000025</v>
      </c>
      <c r="JN161" s="93">
        <v>28.894000000000005</v>
      </c>
      <c r="JO161" s="93">
        <v>3553.9022827620006</v>
      </c>
      <c r="JP161" s="93">
        <v>7.6532827619999999</v>
      </c>
      <c r="JQ161" s="93">
        <v>3546.2490000000003</v>
      </c>
      <c r="JR161" s="93">
        <v>1020.1041598080001</v>
      </c>
      <c r="JS161" s="93">
        <v>-481.05674790100011</v>
      </c>
      <c r="JT161" s="20">
        <v>5653.3287670579994</v>
      </c>
      <c r="JU161" s="29">
        <v>88</v>
      </c>
      <c r="JV161" s="19"/>
      <c r="JW161" s="93">
        <v>535.64553010400004</v>
      </c>
      <c r="JX161" s="93">
        <v>1112.328272385</v>
      </c>
      <c r="JY161" s="93">
        <v>576.68274228099995</v>
      </c>
      <c r="JZ161" s="93">
        <v>1088.818035928</v>
      </c>
      <c r="KA161" s="93">
        <v>-88.836431563000019</v>
      </c>
      <c r="KB161" s="93">
        <v>289.98205185500001</v>
      </c>
      <c r="KC161" s="93">
        <v>378.81848341800003</v>
      </c>
      <c r="KD161" s="93">
        <v>7.6532827619999999</v>
      </c>
      <c r="KE161" s="93">
        <v>2.76</v>
      </c>
      <c r="KF161" s="93">
        <v>0</v>
      </c>
      <c r="KG161" s="93">
        <v>0</v>
      </c>
      <c r="KH161" s="93">
        <v>4.8932827620000001</v>
      </c>
      <c r="KI161" s="93">
        <v>1541.7251113119999</v>
      </c>
      <c r="KJ161" s="93">
        <v>1021.619179106</v>
      </c>
      <c r="KK161" s="93">
        <v>517.91565314599995</v>
      </c>
      <c r="KL161" s="93">
        <v>2.1902790599999999</v>
      </c>
      <c r="KM161" s="93">
        <v>0</v>
      </c>
      <c r="KN161" s="93">
        <v>0.55468664700000003</v>
      </c>
      <c r="KO161" s="93">
        <v>0</v>
      </c>
      <c r="KP161" s="93">
        <v>0</v>
      </c>
      <c r="KQ161" s="93">
        <v>0.55468664700000003</v>
      </c>
      <c r="KR161" s="93">
        <v>0</v>
      </c>
      <c r="KS161" s="93">
        <v>0</v>
      </c>
      <c r="KT161" s="93">
        <v>0</v>
      </c>
      <c r="KU161" s="93">
        <v>0.496473161</v>
      </c>
      <c r="KV161" s="93">
        <v>0.50414611099998574</v>
      </c>
      <c r="KW161" s="20"/>
      <c r="KX161" s="29">
        <v>88</v>
      </c>
      <c r="KY161" s="19"/>
      <c r="KZ161" s="93">
        <v>2169.3359999999998</v>
      </c>
      <c r="LA161" s="93">
        <v>2455.9319999999998</v>
      </c>
      <c r="LB161" s="93">
        <v>-286.596</v>
      </c>
      <c r="LC161" s="93">
        <v>649.89900000000011</v>
      </c>
      <c r="LD161" s="93">
        <v>113.282</v>
      </c>
      <c r="LE161" s="93">
        <v>536.61700000000008</v>
      </c>
      <c r="LF161" s="93">
        <v>0</v>
      </c>
      <c r="LG161" s="93">
        <v>28.894000000000005</v>
      </c>
      <c r="LH161" s="93">
        <v>874.07600000000002</v>
      </c>
      <c r="LI161" s="93">
        <v>-845.18200000000002</v>
      </c>
      <c r="LJ161" s="93">
        <v>3546.2490000000003</v>
      </c>
      <c r="LK161" s="93">
        <v>41.431999999999995</v>
      </c>
      <c r="LL161" s="93">
        <v>1.6E-2</v>
      </c>
      <c r="LM161" s="93">
        <v>289.41499999999996</v>
      </c>
      <c r="LN161" s="93">
        <v>3215.3860000000004</v>
      </c>
      <c r="LO161" s="93"/>
      <c r="LP161" s="93">
        <v>1088.1970000000001</v>
      </c>
      <c r="LQ161" s="93">
        <v>2480.1880000000001</v>
      </c>
      <c r="LR161" s="93">
        <v>1967.578</v>
      </c>
      <c r="LS161" s="93">
        <v>0</v>
      </c>
      <c r="LT161" s="93">
        <v>228.33099999999999</v>
      </c>
      <c r="LU161" s="93">
        <v>0</v>
      </c>
      <c r="LV161" s="93">
        <v>67.106000000000009</v>
      </c>
      <c r="LW161" s="93">
        <v>0</v>
      </c>
      <c r="LX161" s="93">
        <v>0</v>
      </c>
      <c r="LY161" s="93">
        <v>723.61599999999999</v>
      </c>
      <c r="LZ161" s="93">
        <v>-160.63800000000015</v>
      </c>
      <c r="MA161" s="93"/>
      <c r="MB161" s="93"/>
      <c r="MC161" s="93"/>
      <c r="MD161" s="93"/>
      <c r="ME161" s="93"/>
      <c r="MF161" s="93"/>
      <c r="MG161" s="93"/>
      <c r="MH161" s="20"/>
      <c r="MI161" s="29">
        <v>88</v>
      </c>
      <c r="MJ161" s="29" t="str">
        <f t="shared" si="88"/>
        <v>Trimestre 42021</v>
      </c>
      <c r="MK161" s="848">
        <v>44531</v>
      </c>
      <c r="ML161" s="1991">
        <v>148.99060539962747</v>
      </c>
      <c r="MM161" s="1991">
        <v>139.50221981605392</v>
      </c>
      <c r="MN161" s="1991">
        <v>111.63243983894775</v>
      </c>
      <c r="MO161" s="1991">
        <v>100.00000000000007</v>
      </c>
      <c r="MP161" s="1991">
        <v>148.99060539962747</v>
      </c>
      <c r="MQ161" s="1991">
        <v>139.01732832451941</v>
      </c>
      <c r="MR161" s="1991">
        <v>155.99999999999991</v>
      </c>
      <c r="MS161" s="1991">
        <v>122.19817479588319</v>
      </c>
      <c r="MT161" s="1991">
        <v>100.00000000000011</v>
      </c>
      <c r="MU161" s="1991">
        <v>134.56975965235952</v>
      </c>
      <c r="MV161" s="1991">
        <v>100.29950046728163</v>
      </c>
      <c r="MW161" s="1991">
        <v>104.37005097956207</v>
      </c>
      <c r="MX161" s="1991">
        <v>105.17662066385091</v>
      </c>
      <c r="MY161" s="1991">
        <v>100.00000000000017</v>
      </c>
      <c r="MZ161" s="1991">
        <v>115.49877460662391</v>
      </c>
      <c r="NA161" s="1991">
        <v>109.07011196196162</v>
      </c>
      <c r="NB161" s="1991">
        <v>108.57954443860937</v>
      </c>
      <c r="NC161" s="1991">
        <v>113.72389189396689</v>
      </c>
      <c r="ND161" s="1991">
        <v>90.181736908989251</v>
      </c>
      <c r="NE161" s="1991">
        <v>107.81453380146387</v>
      </c>
      <c r="NF161" s="1991">
        <v>101.62750815011087</v>
      </c>
      <c r="NG161" s="1991">
        <v>103.88942465484942</v>
      </c>
      <c r="NH161" s="1991">
        <v>129.51162015428059</v>
      </c>
      <c r="NI161" s="1991">
        <v>100</v>
      </c>
      <c r="NJ161" s="1991">
        <v>100.00000000000001</v>
      </c>
      <c r="NK161" s="1991">
        <v>125.19138774583635</v>
      </c>
      <c r="NL161" s="29">
        <v>88</v>
      </c>
    </row>
    <row r="162" spans="1:376">
      <c r="A162" s="41">
        <f t="shared" si="86"/>
        <v>2022</v>
      </c>
      <c r="B162" s="785">
        <v>44621</v>
      </c>
      <c r="C162" s="19"/>
      <c r="D162" s="93"/>
      <c r="E162" s="93"/>
      <c r="F162" s="93"/>
      <c r="G162" s="93"/>
      <c r="H162" s="93"/>
      <c r="I162" s="93"/>
      <c r="J162" s="93"/>
      <c r="K162" s="93"/>
      <c r="L162" s="93"/>
      <c r="M162" s="20"/>
      <c r="N162" s="25"/>
      <c r="O162" s="889">
        <f t="shared" si="85"/>
        <v>2022</v>
      </c>
      <c r="P162" s="29" t="str">
        <f t="shared" si="87"/>
        <v>Trimestre 12022</v>
      </c>
      <c r="Q162" s="848">
        <v>44621</v>
      </c>
      <c r="R162" s="733">
        <v>15.002024</v>
      </c>
      <c r="S162" s="570">
        <v>35.594705486000002</v>
      </c>
      <c r="T162" s="570"/>
      <c r="U162" s="570">
        <v>73.364001229753924</v>
      </c>
      <c r="V162" s="25">
        <v>89</v>
      </c>
      <c r="W162" s="19">
        <v>2782.7358020000001</v>
      </c>
      <c r="X162" s="93">
        <v>2782.7358020000001</v>
      </c>
      <c r="Y162" s="93">
        <v>3618.6605</v>
      </c>
      <c r="Z162" s="93">
        <v>1266.7982278898351</v>
      </c>
      <c r="AA162" s="93">
        <v>15.920484815732799</v>
      </c>
      <c r="AB162" s="93">
        <v>178.54870099999999</v>
      </c>
      <c r="AC162" s="93">
        <v>537.22720800000002</v>
      </c>
      <c r="AD162" s="570">
        <v>260.89328799999998</v>
      </c>
      <c r="AE162" s="20">
        <v>15.652989680499999</v>
      </c>
      <c r="AF162" s="25">
        <v>89</v>
      </c>
      <c r="AG162" s="733">
        <v>12.24022835408941</v>
      </c>
      <c r="AH162" s="570">
        <v>25.605989587967322</v>
      </c>
      <c r="AI162" s="570">
        <v>-13.956502361682826</v>
      </c>
      <c r="AJ162" s="570">
        <v>16.966078526799276</v>
      </c>
      <c r="AK162" s="570">
        <v>7.5187738315651025</v>
      </c>
      <c r="AL162" s="570">
        <v>50.857230365342993</v>
      </c>
      <c r="AM162" s="570">
        <v>64.477100048321162</v>
      </c>
      <c r="AN162" s="734">
        <v>12.899353446311986</v>
      </c>
      <c r="AO162" s="733">
        <v>35.892268166232348</v>
      </c>
      <c r="AP162" s="570">
        <v>29.101802289197515</v>
      </c>
      <c r="AQ162" s="570">
        <v>6.133813082302094</v>
      </c>
      <c r="AR162" s="570">
        <v>10.575457943289631</v>
      </c>
      <c r="AS162" s="734">
        <v>-35.526315789473685</v>
      </c>
      <c r="AT162" s="733">
        <v>14.640661912926031</v>
      </c>
      <c r="AU162" s="570">
        <v>-12.135820923072014</v>
      </c>
      <c r="AV162" s="734">
        <v>0.24390082812679736</v>
      </c>
      <c r="AW162" s="733">
        <v>7.371965094432479</v>
      </c>
      <c r="AX162" s="570">
        <v>53.14614940826425</v>
      </c>
      <c r="AY162" s="570">
        <v>8.3131722104982018</v>
      </c>
      <c r="AZ162" s="570">
        <v>-41.530419650395352</v>
      </c>
      <c r="BA162" s="570">
        <v>1.203458803401247</v>
      </c>
      <c r="BB162" s="570">
        <v>10.068983738249564</v>
      </c>
      <c r="BC162" s="734">
        <v>-9.210526315789469</v>
      </c>
      <c r="BD162" s="733">
        <v>46.205171726761911</v>
      </c>
      <c r="BE162" s="570">
        <v>74.53713794679976</v>
      </c>
      <c r="BF162" s="570">
        <v>-28.691233277264548</v>
      </c>
      <c r="BG162" s="570">
        <v>37.606254371227621</v>
      </c>
      <c r="BH162" s="570">
        <v>-16.660767891317384</v>
      </c>
      <c r="BI162" s="570">
        <v>84.710947457358827</v>
      </c>
      <c r="BJ162" s="570">
        <v>88.273465105037701</v>
      </c>
      <c r="BK162" s="734">
        <v>22.243097392515939</v>
      </c>
      <c r="BL162" s="733">
        <v>63.400681134413993</v>
      </c>
      <c r="BM162" s="570">
        <v>47.475314863537221</v>
      </c>
      <c r="BN162" s="570">
        <v>27.775858968499982</v>
      </c>
      <c r="BO162" s="570">
        <v>28.733096063206339</v>
      </c>
      <c r="BP162" s="570">
        <v>-13.043478260869563</v>
      </c>
      <c r="BQ162" s="734">
        <v>-34.782608695652172</v>
      </c>
      <c r="BR162" s="733">
        <v>40.764439097616481</v>
      </c>
      <c r="BS162" s="570">
        <v>-21.202770954874882</v>
      </c>
      <c r="BT162" s="570">
        <v>-0.13215771823750266</v>
      </c>
      <c r="BU162" s="734">
        <v>-2.1618649776818124</v>
      </c>
      <c r="BV162" s="733">
        <v>49.095382533960802</v>
      </c>
      <c r="BW162" s="570">
        <v>-56.049330040614755</v>
      </c>
      <c r="BX162" s="570">
        <v>-64.352559948031299</v>
      </c>
      <c r="BY162" s="570">
        <v>3.2910938649995294</v>
      </c>
      <c r="BZ162" s="570">
        <v>-9.9222320939111643</v>
      </c>
      <c r="CA162" s="570">
        <v>-4.3478260869565197</v>
      </c>
      <c r="CB162" s="734">
        <v>-8.695652173913043</v>
      </c>
      <c r="CC162" s="25">
        <v>89</v>
      </c>
      <c r="CD162" s="19">
        <v>82209</v>
      </c>
      <c r="CE162" s="99">
        <v>25325673</v>
      </c>
      <c r="CF162" s="20">
        <v>14079142</v>
      </c>
      <c r="CG162" s="25">
        <v>89</v>
      </c>
      <c r="CH162" s="19">
        <v>11706</v>
      </c>
      <c r="CI162" s="93">
        <v>4278</v>
      </c>
      <c r="CJ162" s="93">
        <v>1986</v>
      </c>
      <c r="CK162" s="93">
        <v>7780</v>
      </c>
      <c r="CL162" s="93">
        <v>2545</v>
      </c>
      <c r="CM162" s="93">
        <v>178</v>
      </c>
      <c r="CN162" s="93">
        <v>904</v>
      </c>
      <c r="CO162" s="93">
        <v>1285</v>
      </c>
      <c r="CP162" s="93">
        <v>2488</v>
      </c>
      <c r="CQ162" s="93">
        <v>2229</v>
      </c>
      <c r="CR162" s="214">
        <v>96579</v>
      </c>
      <c r="CS162" s="20">
        <v>122971</v>
      </c>
      <c r="CT162" s="25">
        <v>89</v>
      </c>
      <c r="CU162" s="19">
        <v>12332</v>
      </c>
      <c r="CV162" s="93">
        <v>78581</v>
      </c>
      <c r="CW162" s="93">
        <v>17225</v>
      </c>
      <c r="CX162" s="93">
        <v>1122</v>
      </c>
      <c r="CY162" s="93">
        <v>507</v>
      </c>
      <c r="CZ162" s="93">
        <v>812</v>
      </c>
      <c r="DA162" s="93">
        <v>12391</v>
      </c>
      <c r="DB162" s="20">
        <v>122971</v>
      </c>
      <c r="DC162" s="25">
        <v>89</v>
      </c>
      <c r="DD162" s="785">
        <v>44621</v>
      </c>
      <c r="DE162" s="733">
        <v>791.398063385</v>
      </c>
      <c r="DF162" s="734">
        <v>706.67396499999995</v>
      </c>
      <c r="DG162" s="25">
        <v>89</v>
      </c>
      <c r="DH162" s="733">
        <v>769.53946962325006</v>
      </c>
      <c r="DI162" s="734">
        <v>1901.6928459999999</v>
      </c>
      <c r="DJ162" s="1768">
        <v>89</v>
      </c>
      <c r="DK162" s="733">
        <v>791.398063385</v>
      </c>
      <c r="DL162" s="734">
        <v>769.53946962325006</v>
      </c>
      <c r="DM162" s="733">
        <v>21.858593761750001</v>
      </c>
      <c r="DN162" s="734">
        <v>102.84047727564273</v>
      </c>
      <c r="DO162" s="25">
        <v>89</v>
      </c>
      <c r="DP162" s="733">
        <v>161.07571772751214</v>
      </c>
      <c r="DQ162" s="570">
        <v>145.35182622673454</v>
      </c>
      <c r="DR162" s="734">
        <v>234.12649732475901</v>
      </c>
      <c r="DS162" s="25">
        <v>89</v>
      </c>
      <c r="DT162" s="733">
        <v>101.79882488943767</v>
      </c>
      <c r="DU162" s="570">
        <v>162.45814600086965</v>
      </c>
      <c r="DV162" s="734">
        <v>165.38048356605228</v>
      </c>
      <c r="DW162" s="25">
        <v>89</v>
      </c>
      <c r="DX162" s="733">
        <v>158.22944705152963</v>
      </c>
      <c r="DY162" s="734">
        <v>112.79803703088515</v>
      </c>
      <c r="DZ162" s="25">
        <v>89</v>
      </c>
      <c r="EA162" s="733">
        <v>524.99143391600001</v>
      </c>
      <c r="EB162" s="570">
        <v>134.670331076</v>
      </c>
      <c r="EC162" s="570">
        <v>19.440513693</v>
      </c>
      <c r="ED162" s="570">
        <v>9.5653461220000011</v>
      </c>
      <c r="EE162" s="734">
        <v>18.737381291000002</v>
      </c>
      <c r="EF162" s="25">
        <v>89</v>
      </c>
      <c r="EG162" s="733">
        <v>198.67967174</v>
      </c>
      <c r="EH162" s="570">
        <v>8.5710570839999995</v>
      </c>
      <c r="EI162" s="570">
        <v>16.969091042999999</v>
      </c>
      <c r="EJ162" s="570">
        <v>34.017618472999999</v>
      </c>
      <c r="EK162" s="734">
        <v>12.598351044999999</v>
      </c>
      <c r="EL162" s="25">
        <v>89</v>
      </c>
      <c r="EM162" s="19">
        <v>554.03779066000004</v>
      </c>
      <c r="EN162" s="93">
        <v>19.824276856000001</v>
      </c>
      <c r="EO162" s="93">
        <v>23.748114164</v>
      </c>
      <c r="EP162" s="93">
        <v>0.1</v>
      </c>
      <c r="EQ162" s="570">
        <v>29.044168644999999</v>
      </c>
      <c r="ER162" s="93">
        <v>8.2732915499999997</v>
      </c>
      <c r="ES162" s="93">
        <v>0.1</v>
      </c>
      <c r="ET162" s="93">
        <v>6.3252136950000004</v>
      </c>
      <c r="EU162" s="93">
        <v>0.2</v>
      </c>
      <c r="EV162" s="20">
        <v>23.748114164</v>
      </c>
      <c r="EW162" s="25">
        <v>89</v>
      </c>
      <c r="EX162" s="1936">
        <v>64.823488162000004</v>
      </c>
      <c r="EY162" s="1937">
        <v>19.794148152000002</v>
      </c>
      <c r="EZ162" s="1937">
        <v>50.375993694000002</v>
      </c>
      <c r="FA162" s="916">
        <v>0.4</v>
      </c>
      <c r="FB162" s="1937">
        <v>100.428506623</v>
      </c>
      <c r="FC162" s="1937">
        <v>51.583781242999997</v>
      </c>
      <c r="FD162" s="916">
        <v>9.5</v>
      </c>
      <c r="FE162" s="1937">
        <v>46.339351763000003</v>
      </c>
      <c r="FF162" s="1937">
        <v>14.889930639999999</v>
      </c>
      <c r="FG162" s="1938">
        <v>49.080453818999999</v>
      </c>
      <c r="FH162" s="25">
        <v>89</v>
      </c>
      <c r="FI162" s="848">
        <v>44621</v>
      </c>
      <c r="FJ162" s="19">
        <v>2144</v>
      </c>
      <c r="FK162" s="93">
        <v>1702</v>
      </c>
      <c r="FL162" s="20">
        <v>0</v>
      </c>
      <c r="FM162" s="25">
        <v>89</v>
      </c>
      <c r="FN162" s="19">
        <v>26</v>
      </c>
      <c r="FO162" s="93">
        <v>897</v>
      </c>
      <c r="FP162" s="93">
        <v>1595</v>
      </c>
      <c r="FQ162" s="93">
        <v>885</v>
      </c>
      <c r="FR162" s="93">
        <v>334</v>
      </c>
      <c r="FS162" s="93">
        <v>85</v>
      </c>
      <c r="FT162" s="93">
        <v>15</v>
      </c>
      <c r="FU162" s="93">
        <v>3</v>
      </c>
      <c r="FV162" s="93">
        <v>6</v>
      </c>
      <c r="FW162" s="917">
        <v>0</v>
      </c>
      <c r="FX162" s="25">
        <v>89</v>
      </c>
      <c r="FY162" s="916">
        <v>6</v>
      </c>
      <c r="FZ162" s="916">
        <v>121</v>
      </c>
      <c r="GA162" s="916">
        <v>268</v>
      </c>
      <c r="GB162" s="916">
        <v>162</v>
      </c>
      <c r="GC162" s="916">
        <v>817</v>
      </c>
      <c r="GD162" s="916">
        <v>174</v>
      </c>
      <c r="GE162" s="916">
        <v>1187</v>
      </c>
      <c r="GF162" s="916">
        <v>161</v>
      </c>
      <c r="GG162" s="916">
        <v>16</v>
      </c>
      <c r="GH162" s="916">
        <v>731</v>
      </c>
      <c r="GI162" s="917">
        <v>203</v>
      </c>
      <c r="GJ162" s="25">
        <v>89</v>
      </c>
      <c r="GK162" s="19"/>
      <c r="GL162" s="20"/>
      <c r="GM162" s="25"/>
      <c r="GN162" s="19">
        <v>5076</v>
      </c>
      <c r="GO162" s="20">
        <v>2570</v>
      </c>
      <c r="GP162" s="25">
        <v>89</v>
      </c>
      <c r="GQ162" s="19">
        <v>30.77</v>
      </c>
      <c r="GR162" s="20">
        <v>31.05</v>
      </c>
      <c r="GS162" s="25">
        <v>89</v>
      </c>
      <c r="GT162" s="848">
        <v>44621</v>
      </c>
      <c r="GU162" s="19"/>
      <c r="GV162" s="93"/>
      <c r="GW162" s="93"/>
      <c r="GX162" s="93"/>
      <c r="GY162" s="93"/>
      <c r="GZ162" s="93"/>
      <c r="HA162" s="93"/>
      <c r="HB162" s="93"/>
      <c r="HC162" s="93"/>
      <c r="HD162" s="93"/>
      <c r="HE162" s="93"/>
      <c r="HF162" s="93"/>
      <c r="HG162" s="93"/>
      <c r="HH162" s="93"/>
      <c r="HI162" s="93"/>
      <c r="HJ162" s="93"/>
      <c r="HK162" s="93"/>
      <c r="HL162" s="93"/>
      <c r="HM162" s="93"/>
      <c r="HN162" s="93"/>
      <c r="HO162" s="93"/>
      <c r="HP162" s="93"/>
      <c r="HQ162" s="93"/>
      <c r="HR162" s="93"/>
      <c r="HS162" s="93"/>
      <c r="HT162" s="93"/>
      <c r="HU162" s="93"/>
      <c r="HV162" s="93"/>
      <c r="HW162" s="93"/>
      <c r="HX162" s="93"/>
      <c r="HY162" s="93"/>
      <c r="HZ162" s="93"/>
      <c r="IA162" s="93"/>
      <c r="IB162" s="93"/>
      <c r="IC162" s="93"/>
      <c r="ID162" s="93"/>
      <c r="IE162" s="93"/>
      <c r="IF162" s="93"/>
      <c r="IG162" s="93"/>
      <c r="IH162" s="93"/>
      <c r="II162" s="93"/>
      <c r="IJ162" s="93"/>
      <c r="IK162" s="93"/>
      <c r="IL162" s="93"/>
      <c r="IM162" s="93"/>
      <c r="IN162" s="93"/>
      <c r="IO162" s="93"/>
      <c r="IP162" s="93"/>
      <c r="IQ162" s="93"/>
      <c r="IR162" s="93"/>
      <c r="IS162" s="93"/>
      <c r="IT162" s="93"/>
      <c r="IU162" s="93"/>
      <c r="IV162" s="93"/>
      <c r="IW162" s="848">
        <v>44621</v>
      </c>
      <c r="IX162" s="93"/>
      <c r="IY162" s="93">
        <v>833.3663855210001</v>
      </c>
      <c r="IZ162" s="93">
        <v>2712.2345806119997</v>
      </c>
      <c r="JA162" s="93">
        <v>0.71906938200000003</v>
      </c>
      <c r="JB162" s="93">
        <v>2409.915</v>
      </c>
      <c r="JC162" s="93">
        <v>301.60051123</v>
      </c>
      <c r="JD162" s="93">
        <v>3545.6009661329999</v>
      </c>
      <c r="JE162" s="93">
        <v>2019.9411083190003</v>
      </c>
      <c r="JF162" s="93">
        <v>5565.5420744519997</v>
      </c>
      <c r="JG162" s="93"/>
      <c r="JH162" s="93">
        <v>2406.6066683119998</v>
      </c>
      <c r="JI162" s="93">
        <v>214.43066831200008</v>
      </c>
      <c r="JJ162" s="93">
        <v>2192.1759999999999</v>
      </c>
      <c r="JK162" s="93">
        <v>3741.5916782479999</v>
      </c>
      <c r="JL162" s="93">
        <v>135.87469418499995</v>
      </c>
      <c r="JM162" s="93">
        <v>66.088694185000008</v>
      </c>
      <c r="JN162" s="93">
        <v>69.785999999999945</v>
      </c>
      <c r="JO162" s="93">
        <v>3605.7169840629999</v>
      </c>
      <c r="JP162" s="93">
        <v>8.2349840630000006</v>
      </c>
      <c r="JQ162" s="93">
        <v>3597.482</v>
      </c>
      <c r="JR162" s="93">
        <v>1079.9953578300001</v>
      </c>
      <c r="JS162" s="93">
        <v>-497.33908572200011</v>
      </c>
      <c r="JT162" s="20">
        <v>5565.5420744519997</v>
      </c>
      <c r="JU162" s="29">
        <v>89</v>
      </c>
      <c r="JV162" s="19"/>
      <c r="JW162" s="93">
        <v>214.43066831200008</v>
      </c>
      <c r="JX162" s="93">
        <v>969.65497715700008</v>
      </c>
      <c r="JY162" s="93">
        <v>755.224308845</v>
      </c>
      <c r="JZ162" s="93">
        <v>933.54097815</v>
      </c>
      <c r="KA162" s="93">
        <v>72.653896523000014</v>
      </c>
      <c r="KB162" s="93">
        <v>290.03730961100001</v>
      </c>
      <c r="KC162" s="93">
        <v>217.383413088</v>
      </c>
      <c r="KD162" s="93">
        <v>8.2349840630000006</v>
      </c>
      <c r="KE162" s="93">
        <v>3.1</v>
      </c>
      <c r="KF162" s="93">
        <v>0</v>
      </c>
      <c r="KG162" s="93">
        <v>0</v>
      </c>
      <c r="KH162" s="93">
        <v>5.134984063000001</v>
      </c>
      <c r="KI162" s="93">
        <v>1232.928772282</v>
      </c>
      <c r="KJ162" s="93">
        <v>948.058587859</v>
      </c>
      <c r="KK162" s="93">
        <v>283.81800672200001</v>
      </c>
      <c r="KL162" s="93">
        <v>1.052177701</v>
      </c>
      <c r="KM162" s="93">
        <v>0</v>
      </c>
      <c r="KN162" s="93">
        <v>0.28715221200000002</v>
      </c>
      <c r="KO162" s="93">
        <v>0</v>
      </c>
      <c r="KP162" s="93">
        <v>0</v>
      </c>
      <c r="KQ162" s="93">
        <v>0.28715221200000002</v>
      </c>
      <c r="KR162" s="93">
        <v>0</v>
      </c>
      <c r="KS162" s="93">
        <v>0</v>
      </c>
      <c r="KT162" s="93">
        <v>0</v>
      </c>
      <c r="KU162" s="93">
        <v>2.9072056179999999</v>
      </c>
      <c r="KV162" s="93">
        <v>-7.2626030639999994</v>
      </c>
      <c r="KW162" s="20"/>
      <c r="KX162" s="29">
        <v>89</v>
      </c>
      <c r="KY162" s="19"/>
      <c r="KZ162" s="93">
        <v>2192.1759999999999</v>
      </c>
      <c r="LA162" s="93">
        <v>2518.87</v>
      </c>
      <c r="LB162" s="93">
        <v>-326.69400000000002</v>
      </c>
      <c r="LC162" s="93">
        <v>473.14600000000002</v>
      </c>
      <c r="LD162" s="93">
        <v>108.127</v>
      </c>
      <c r="LE162" s="93">
        <v>365.01900000000001</v>
      </c>
      <c r="LF162" s="93">
        <v>0</v>
      </c>
      <c r="LG162" s="93">
        <v>69.785999999999945</v>
      </c>
      <c r="LH162" s="93">
        <v>963.976</v>
      </c>
      <c r="LI162" s="93">
        <v>-894.19</v>
      </c>
      <c r="LJ162" s="93">
        <v>3597.482</v>
      </c>
      <c r="LK162" s="93">
        <v>39.418999999999997</v>
      </c>
      <c r="LL162" s="93">
        <v>2.7E-2</v>
      </c>
      <c r="LM162" s="93">
        <v>282.666</v>
      </c>
      <c r="LN162" s="93">
        <v>3275.37</v>
      </c>
      <c r="LO162" s="93"/>
      <c r="LP162" s="93">
        <v>944.92699999999991</v>
      </c>
      <c r="LQ162" s="93">
        <v>2409.915</v>
      </c>
      <c r="LR162" s="93">
        <v>2019.6079999999999</v>
      </c>
      <c r="LS162" s="93">
        <v>0</v>
      </c>
      <c r="LT162" s="93">
        <v>240.88499999999999</v>
      </c>
      <c r="LU162" s="93">
        <v>0</v>
      </c>
      <c r="LV162" s="93">
        <v>77.488</v>
      </c>
      <c r="LW162" s="93">
        <v>0</v>
      </c>
      <c r="LX162" s="93">
        <v>0</v>
      </c>
      <c r="LY162" s="93">
        <v>758.428</v>
      </c>
      <c r="LZ162" s="93">
        <v>-118.66100000000006</v>
      </c>
      <c r="MA162" s="93"/>
      <c r="MB162" s="93"/>
      <c r="MC162" s="93"/>
      <c r="MD162" s="93"/>
      <c r="ME162" s="93"/>
      <c r="MF162" s="93"/>
      <c r="MG162" s="93"/>
      <c r="MH162" s="20"/>
      <c r="MI162" s="29">
        <v>89</v>
      </c>
      <c r="MJ162" s="29" t="str">
        <f t="shared" si="88"/>
        <v>Trimestre 12022</v>
      </c>
      <c r="MK162" s="848">
        <v>44621</v>
      </c>
      <c r="ML162" s="1991">
        <v>163.08061693459916</v>
      </c>
      <c r="MM162" s="1991">
        <v>144.37652254652119</v>
      </c>
      <c r="MN162" s="1991">
        <v>117.10341401177817</v>
      </c>
      <c r="MO162" s="1991">
        <v>100.0000000000001</v>
      </c>
      <c r="MP162" s="1991">
        <v>163.08061693459916</v>
      </c>
      <c r="MQ162" s="1991">
        <v>144.07301397063281</v>
      </c>
      <c r="MR162" s="1991">
        <v>157.33333333333326</v>
      </c>
      <c r="MS162" s="1991">
        <v>132.05907206539132</v>
      </c>
      <c r="MT162" s="1991">
        <v>100.00065465091683</v>
      </c>
      <c r="MU162" s="1991">
        <v>134.56975965235958</v>
      </c>
      <c r="MV162" s="1991">
        <v>100.3627705304438</v>
      </c>
      <c r="MW162" s="1991">
        <v>104.35461790372415</v>
      </c>
      <c r="MX162" s="1991">
        <v>115.09799658584342</v>
      </c>
      <c r="MY162" s="1991">
        <v>101.21804768649631</v>
      </c>
      <c r="MZ162" s="1991">
        <v>115.87724161659708</v>
      </c>
      <c r="NA162" s="1991">
        <v>108.82991243413933</v>
      </c>
      <c r="NB162" s="1991">
        <v>130.17690541158541</v>
      </c>
      <c r="NC162" s="1991">
        <v>114.51417790939297</v>
      </c>
      <c r="ND162" s="1991">
        <v>93.731961884589097</v>
      </c>
      <c r="NE162" s="1991">
        <v>115.98754326110765</v>
      </c>
      <c r="NF162" s="1991">
        <v>102.60092434024683</v>
      </c>
      <c r="NG162" s="1991">
        <v>104.21933450980033</v>
      </c>
      <c r="NH162" s="1991">
        <v>148.33551693595305</v>
      </c>
      <c r="NI162" s="1991">
        <v>100.00000000000001</v>
      </c>
      <c r="NJ162" s="1991">
        <v>100.00000000000004</v>
      </c>
      <c r="NK162" s="1991">
        <v>130.30599520079269</v>
      </c>
      <c r="NL162" s="29">
        <v>89</v>
      </c>
    </row>
    <row r="163" spans="1:376">
      <c r="A163" s="41">
        <f t="shared" si="86"/>
        <v>2022</v>
      </c>
      <c r="B163" s="785">
        <v>44713</v>
      </c>
      <c r="C163" s="19"/>
      <c r="D163" s="93"/>
      <c r="E163" s="93"/>
      <c r="F163" s="93"/>
      <c r="G163" s="93"/>
      <c r="H163" s="93"/>
      <c r="I163" s="93"/>
      <c r="J163" s="93"/>
      <c r="K163" s="93"/>
      <c r="L163" s="93"/>
      <c r="M163" s="20"/>
      <c r="N163" s="25"/>
      <c r="O163" s="889">
        <f t="shared" si="85"/>
        <v>2022</v>
      </c>
      <c r="P163" s="29" t="str">
        <f t="shared" si="87"/>
        <v>Trimestre 22022</v>
      </c>
      <c r="Q163" s="848">
        <v>44713</v>
      </c>
      <c r="R163" s="733">
        <v>15.438846999999999</v>
      </c>
      <c r="S163" s="570">
        <v>23.486660526000001</v>
      </c>
      <c r="T163" s="570"/>
      <c r="U163" s="570">
        <v>74.50557552847107</v>
      </c>
      <c r="V163" s="25">
        <v>90</v>
      </c>
      <c r="W163" s="19">
        <v>1203.3457679999999</v>
      </c>
      <c r="X163" s="93">
        <v>1203.3457679999999</v>
      </c>
      <c r="Y163" s="93">
        <v>4100.0555549999999</v>
      </c>
      <c r="Z163" s="93">
        <v>1294.0429842943515</v>
      </c>
      <c r="AA163" s="93">
        <v>15.8285299292973</v>
      </c>
      <c r="AB163" s="93">
        <v>3579.8587419999999</v>
      </c>
      <c r="AC163" s="93">
        <v>309.40369700000002</v>
      </c>
      <c r="AD163" s="570">
        <v>353.30433599999998</v>
      </c>
      <c r="AE163" s="20">
        <v>16.14879074225</v>
      </c>
      <c r="AF163" s="25">
        <v>90</v>
      </c>
      <c r="AG163" s="733">
        <v>-15.084259740753623</v>
      </c>
      <c r="AH163" s="570">
        <v>-23.978881388770212</v>
      </c>
      <c r="AI163" s="570">
        <v>-19.619668132776397</v>
      </c>
      <c r="AJ163" s="570">
        <v>14.079992399638391</v>
      </c>
      <c r="AK163" s="570">
        <v>13.243214824903346</v>
      </c>
      <c r="AL163" s="570">
        <v>34.421892622820721</v>
      </c>
      <c r="AM163" s="570">
        <v>50.707687815490246</v>
      </c>
      <c r="AN163" s="734">
        <v>11.776557723983313</v>
      </c>
      <c r="AO163" s="733">
        <v>18.094573899904283</v>
      </c>
      <c r="AP163" s="570">
        <v>2.2711603156189604</v>
      </c>
      <c r="AQ163" s="570">
        <v>-9.8165379772327235</v>
      </c>
      <c r="AR163" s="570">
        <v>12.501945270874469</v>
      </c>
      <c r="AS163" s="734">
        <v>-31.578947368421048</v>
      </c>
      <c r="AT163" s="733">
        <v>7.1158914533211872</v>
      </c>
      <c r="AU163" s="570">
        <v>-8.574404441236009</v>
      </c>
      <c r="AV163" s="734">
        <v>-7.5533578460351167</v>
      </c>
      <c r="AW163" s="733">
        <v>-12.538195926954298</v>
      </c>
      <c r="AX163" s="570">
        <v>17.7745059198135</v>
      </c>
      <c r="AY163" s="570">
        <v>14.526559621559773</v>
      </c>
      <c r="AZ163" s="570">
        <v>-24.654707509580103</v>
      </c>
      <c r="BA163" s="570">
        <v>2.6242689804155366</v>
      </c>
      <c r="BB163" s="570">
        <v>23.860218389396099</v>
      </c>
      <c r="BC163" s="734">
        <v>-7.8947368421052602</v>
      </c>
      <c r="BD163" s="733">
        <v>-28.410564372842124</v>
      </c>
      <c r="BE163" s="570">
        <v>-19.861645793292801</v>
      </c>
      <c r="BF163" s="570">
        <v>-38.412273126190001</v>
      </c>
      <c r="BG163" s="570">
        <v>56.309652103438196</v>
      </c>
      <c r="BH163" s="570">
        <v>13.891950037327323</v>
      </c>
      <c r="BI163" s="570">
        <v>63.238748048708217</v>
      </c>
      <c r="BJ163" s="570">
        <v>75.558442670464387</v>
      </c>
      <c r="BK163" s="734">
        <v>19.221197940401758</v>
      </c>
      <c r="BL163" s="733">
        <v>-13.913709649028114</v>
      </c>
      <c r="BM163" s="570">
        <v>-34.671940380114137</v>
      </c>
      <c r="BN163" s="570">
        <v>-14.108019446667999</v>
      </c>
      <c r="BO163" s="570">
        <v>10.474235360268151</v>
      </c>
      <c r="BP163" s="570">
        <v>-15</v>
      </c>
      <c r="BQ163" s="734">
        <v>-30</v>
      </c>
      <c r="BR163" s="733">
        <v>47.874234241175152</v>
      </c>
      <c r="BS163" s="570">
        <v>-40.378401573258728</v>
      </c>
      <c r="BT163" s="570">
        <v>-37.68662475617942</v>
      </c>
      <c r="BU163" s="734">
        <v>-22.772447691548937</v>
      </c>
      <c r="BV163" s="733">
        <v>-69.519225188596067</v>
      </c>
      <c r="BW163" s="570">
        <v>-48.057623329322908</v>
      </c>
      <c r="BX163" s="570">
        <v>-18.777418831141702</v>
      </c>
      <c r="BY163" s="570">
        <v>-1.8036502574973656</v>
      </c>
      <c r="BZ163" s="570">
        <v>-43.603474974854613</v>
      </c>
      <c r="CA163" s="570">
        <v>-25</v>
      </c>
      <c r="CB163" s="734">
        <v>-20</v>
      </c>
      <c r="CC163" s="25">
        <v>90</v>
      </c>
      <c r="CD163" s="19">
        <v>82118</v>
      </c>
      <c r="CE163" s="99">
        <v>25501977</v>
      </c>
      <c r="CF163" s="20">
        <v>14955575</v>
      </c>
      <c r="CG163" s="25">
        <v>90</v>
      </c>
      <c r="CH163" s="19">
        <v>12615</v>
      </c>
      <c r="CI163" s="93">
        <v>4239</v>
      </c>
      <c r="CJ163" s="93">
        <v>2158</v>
      </c>
      <c r="CK163" s="93">
        <v>7297</v>
      </c>
      <c r="CL163" s="93">
        <v>2350</v>
      </c>
      <c r="CM163" s="93">
        <v>120</v>
      </c>
      <c r="CN163" s="93">
        <v>842</v>
      </c>
      <c r="CO163" s="93">
        <v>1394</v>
      </c>
      <c r="CP163" s="93">
        <v>2785</v>
      </c>
      <c r="CQ163" s="93">
        <v>2400</v>
      </c>
      <c r="CR163" s="214">
        <v>97894</v>
      </c>
      <c r="CS163" s="20">
        <v>125227</v>
      </c>
      <c r="CT163" s="25">
        <v>90</v>
      </c>
      <c r="CU163" s="19">
        <v>10444</v>
      </c>
      <c r="CV163" s="93">
        <v>86582</v>
      </c>
      <c r="CW163" s="93">
        <v>17153</v>
      </c>
      <c r="CX163" s="93">
        <v>1041</v>
      </c>
      <c r="CY163" s="93">
        <v>324</v>
      </c>
      <c r="CZ163" s="93">
        <v>406</v>
      </c>
      <c r="DA163" s="93">
        <v>9265</v>
      </c>
      <c r="DB163" s="20">
        <v>125227</v>
      </c>
      <c r="DC163" s="25">
        <v>90</v>
      </c>
      <c r="DD163" s="785">
        <v>44713</v>
      </c>
      <c r="DE163" s="1772">
        <v>780.8</v>
      </c>
      <c r="DF163" s="1774">
        <v>609.79999999999995</v>
      </c>
      <c r="DG163" s="25">
        <v>90</v>
      </c>
      <c r="DH163" s="733">
        <v>877.6</v>
      </c>
      <c r="DI163" s="734">
        <v>2040.2</v>
      </c>
      <c r="DJ163" s="1768">
        <v>90</v>
      </c>
      <c r="DK163" s="733">
        <v>780.8</v>
      </c>
      <c r="DL163" s="734">
        <v>877.6</v>
      </c>
      <c r="DM163" s="733">
        <v>-96.8</v>
      </c>
      <c r="DN163" s="734">
        <v>89</v>
      </c>
      <c r="DO163" s="25">
        <v>90</v>
      </c>
      <c r="DP163" s="19">
        <v>171.7</v>
      </c>
      <c r="DQ163" s="93">
        <v>138.19999999999999</v>
      </c>
      <c r="DR163" s="20">
        <v>237.4</v>
      </c>
      <c r="DS163" s="25">
        <v>90</v>
      </c>
      <c r="DT163" s="733">
        <v>114</v>
      </c>
      <c r="DU163" s="570">
        <v>168</v>
      </c>
      <c r="DV163" s="734">
        <v>191.6</v>
      </c>
      <c r="DW163" s="25">
        <v>90</v>
      </c>
      <c r="DX163" s="19">
        <v>150.6</v>
      </c>
      <c r="DY163" s="20">
        <v>111.5</v>
      </c>
      <c r="DZ163" s="25">
        <v>90</v>
      </c>
      <c r="EA163" s="19">
        <v>584.1</v>
      </c>
      <c r="EB163" s="93">
        <v>62.2</v>
      </c>
      <c r="EC163" s="93">
        <v>8.3000000000000007</v>
      </c>
      <c r="ED163" s="570">
        <v>0.52765657199999993</v>
      </c>
      <c r="EE163" s="20">
        <v>67.099999999999994</v>
      </c>
      <c r="EF163" s="25">
        <v>90</v>
      </c>
      <c r="EG163" s="19">
        <v>282.60000000000002</v>
      </c>
      <c r="EH163" s="93">
        <v>10</v>
      </c>
      <c r="EI163" s="93">
        <v>16.3</v>
      </c>
      <c r="EJ163" s="93">
        <v>24.8</v>
      </c>
      <c r="EK163" s="734">
        <v>9.7897822550000004</v>
      </c>
      <c r="EL163" s="25">
        <v>90</v>
      </c>
      <c r="EM163" s="19">
        <v>512.35</v>
      </c>
      <c r="EN163" s="93">
        <v>41.52</v>
      </c>
      <c r="EO163" s="93">
        <v>16.54</v>
      </c>
      <c r="EP163" s="93">
        <v>0</v>
      </c>
      <c r="EQ163" s="570">
        <v>6.8</v>
      </c>
      <c r="ER163" s="570">
        <v>5.0599999999999996</v>
      </c>
      <c r="ES163" s="570">
        <v>2</v>
      </c>
      <c r="ET163" s="570">
        <v>5.03</v>
      </c>
      <c r="EU163" s="570">
        <v>1.2</v>
      </c>
      <c r="EV163" s="734">
        <v>23.5</v>
      </c>
      <c r="EW163" s="25">
        <v>90</v>
      </c>
      <c r="EX163" s="915">
        <v>99.4</v>
      </c>
      <c r="EY163" s="916">
        <v>12.6</v>
      </c>
      <c r="EZ163" s="916">
        <v>93.4</v>
      </c>
      <c r="FA163" s="916">
        <v>0.6</v>
      </c>
      <c r="FB163" s="916">
        <v>120.5</v>
      </c>
      <c r="FC163" s="916">
        <v>52.5</v>
      </c>
      <c r="FD163" s="916">
        <v>5.6</v>
      </c>
      <c r="FE163" s="916">
        <v>50.9</v>
      </c>
      <c r="FF163" s="916">
        <v>23.5</v>
      </c>
      <c r="FG163" s="917">
        <v>41.5</v>
      </c>
      <c r="FH163" s="25">
        <v>90</v>
      </c>
      <c r="FI163" s="848">
        <v>44713</v>
      </c>
      <c r="FJ163" s="1767">
        <f>(((FJ162/FJ161-1)+(FJ161/FJ160-1))/2+1)*FJ162</f>
        <v>3196.8326777759853</v>
      </c>
      <c r="FK163" s="1927">
        <f>(((FK162/FK161-1)+(FK161/FK160-1))/2+1)*FK162</f>
        <v>1831.4810019026768</v>
      </c>
      <c r="FL163" s="1923">
        <v>0</v>
      </c>
      <c r="FM163" s="25">
        <v>90</v>
      </c>
      <c r="FN163" s="419">
        <f t="shared" ref="FN163:FV163" si="92">(((FN162/FN161-1)+(FN161/FN160-1))/2+1)*FN162</f>
        <v>20.165062388591799</v>
      </c>
      <c r="FO163" s="100">
        <f t="shared" si="92"/>
        <v>948.79167802772099</v>
      </c>
      <c r="FP163" s="100">
        <f t="shared" si="92"/>
        <v>2058.3650989343769</v>
      </c>
      <c r="FQ163" s="100">
        <f t="shared" si="92"/>
        <v>1350.7318935427572</v>
      </c>
      <c r="FR163" s="100">
        <f t="shared" si="92"/>
        <v>493.32350856848342</v>
      </c>
      <c r="FS163" s="100">
        <f t="shared" si="92"/>
        <v>135.5952380952381</v>
      </c>
      <c r="FT163" s="100">
        <f t="shared" si="92"/>
        <v>16.153846153846153</v>
      </c>
      <c r="FU163" s="100">
        <f t="shared" si="92"/>
        <v>3.25</v>
      </c>
      <c r="FV163" s="100">
        <f t="shared" si="92"/>
        <v>19</v>
      </c>
      <c r="FW163" s="1924">
        <v>0</v>
      </c>
      <c r="FX163" s="25">
        <v>90</v>
      </c>
      <c r="FY163" s="1925">
        <v>0</v>
      </c>
      <c r="FZ163" s="1925">
        <f t="shared" ref="FZ163:GI163" si="93">(((FZ162/FZ161-1)+(FZ161/FZ160-1))/2+1)*FZ162</f>
        <v>152.97857142857143</v>
      </c>
      <c r="GA163" s="1925">
        <f t="shared" si="93"/>
        <v>315.23620938628164</v>
      </c>
      <c r="GB163" s="1925">
        <f t="shared" si="93"/>
        <v>248.32894736842107</v>
      </c>
      <c r="GC163" s="1925">
        <f t="shared" si="93"/>
        <v>1036.9569596231722</v>
      </c>
      <c r="GD163" s="1925">
        <f t="shared" si="93"/>
        <v>239.38838812301165</v>
      </c>
      <c r="GE163" s="1925">
        <f t="shared" si="93"/>
        <v>1397.9682911250707</v>
      </c>
      <c r="GF163" s="1925">
        <f t="shared" si="93"/>
        <v>206.64866972477066</v>
      </c>
      <c r="GG163" s="1925">
        <f t="shared" si="93"/>
        <v>13.356521739130436</v>
      </c>
      <c r="GH163" s="1925">
        <f t="shared" si="93"/>
        <v>996.18287335072023</v>
      </c>
      <c r="GI163" s="1926">
        <f t="shared" si="93"/>
        <v>327.93253391472865</v>
      </c>
      <c r="GJ163" s="25">
        <v>90</v>
      </c>
      <c r="GK163" s="19"/>
      <c r="GL163" s="20"/>
      <c r="GM163" s="25"/>
      <c r="GN163" s="19">
        <v>2998</v>
      </c>
      <c r="GO163" s="20">
        <v>1623</v>
      </c>
      <c r="GP163" s="25">
        <v>90</v>
      </c>
      <c r="GQ163" s="19">
        <v>30.51</v>
      </c>
      <c r="GR163" s="20">
        <v>30.58</v>
      </c>
      <c r="GS163" s="25">
        <v>90</v>
      </c>
      <c r="GT163" s="848">
        <v>44713</v>
      </c>
      <c r="GU163" s="19"/>
      <c r="GV163" s="93"/>
      <c r="GW163" s="93"/>
      <c r="GX163" s="93"/>
      <c r="GY163" s="93"/>
      <c r="GZ163" s="93"/>
      <c r="HA163" s="93"/>
      <c r="HB163" s="93"/>
      <c r="HC163" s="93"/>
      <c r="HD163" s="93"/>
      <c r="HE163" s="93"/>
      <c r="HF163" s="93"/>
      <c r="HG163" s="93"/>
      <c r="HH163" s="93"/>
      <c r="HI163" s="93"/>
      <c r="HJ163" s="93"/>
      <c r="HK163" s="93"/>
      <c r="HL163" s="93"/>
      <c r="HM163" s="93"/>
      <c r="HN163" s="93"/>
      <c r="HO163" s="93"/>
      <c r="HP163" s="93"/>
      <c r="HQ163" s="93"/>
      <c r="HR163" s="93"/>
      <c r="HS163" s="93"/>
      <c r="HT163" s="93"/>
      <c r="HU163" s="93"/>
      <c r="HV163" s="93"/>
      <c r="HW163" s="93"/>
      <c r="HX163" s="93"/>
      <c r="HY163" s="93"/>
      <c r="HZ163" s="93"/>
      <c r="IA163" s="93"/>
      <c r="IB163" s="93"/>
      <c r="IC163" s="93"/>
      <c r="ID163" s="93"/>
      <c r="IE163" s="93"/>
      <c r="IF163" s="93"/>
      <c r="IG163" s="93"/>
      <c r="IH163" s="93"/>
      <c r="II163" s="93"/>
      <c r="IJ163" s="93"/>
      <c r="IK163" s="93"/>
      <c r="IL163" s="93"/>
      <c r="IM163" s="93"/>
      <c r="IN163" s="93"/>
      <c r="IO163" s="93"/>
      <c r="IP163" s="93"/>
      <c r="IQ163" s="93"/>
      <c r="IR163" s="93"/>
      <c r="IS163" s="93"/>
      <c r="IT163" s="93"/>
      <c r="IU163" s="93"/>
      <c r="IV163" s="93"/>
      <c r="IW163" s="848">
        <v>44713</v>
      </c>
      <c r="IX163" s="93"/>
      <c r="IY163" s="93">
        <v>825.13500047900004</v>
      </c>
      <c r="IZ163" s="93">
        <v>2726.0595514409997</v>
      </c>
      <c r="JA163" s="93">
        <v>0.366040211</v>
      </c>
      <c r="JB163" s="93">
        <v>2424.0929999999998</v>
      </c>
      <c r="JC163" s="93">
        <v>301.60051123</v>
      </c>
      <c r="JD163" s="93">
        <v>3551.1945519199999</v>
      </c>
      <c r="JE163" s="93">
        <v>2084.741108319</v>
      </c>
      <c r="JF163" s="93">
        <v>5635.9356602389998</v>
      </c>
      <c r="JG163" s="93"/>
      <c r="JH163" s="93">
        <v>2297.0984696430005</v>
      </c>
      <c r="JI163" s="93">
        <v>-2.0185303570000315</v>
      </c>
      <c r="JJ163" s="93">
        <v>2299.1170000000002</v>
      </c>
      <c r="JK163" s="93">
        <v>3954.5169609490003</v>
      </c>
      <c r="JL163" s="93">
        <v>79.667420164000049</v>
      </c>
      <c r="JM163" s="93">
        <v>36.669420164000009</v>
      </c>
      <c r="JN163" s="93">
        <v>42.998000000000047</v>
      </c>
      <c r="JO163" s="93">
        <v>3874.8495407850005</v>
      </c>
      <c r="JP163" s="93">
        <v>8.9005407850000005</v>
      </c>
      <c r="JQ163" s="93">
        <v>3865.9490000000001</v>
      </c>
      <c r="JR163" s="93">
        <v>1122.2492673640002</v>
      </c>
      <c r="JS163" s="93">
        <v>-506.56949701100007</v>
      </c>
      <c r="JT163" s="20">
        <v>5635.9356602390008</v>
      </c>
      <c r="JU163" s="29">
        <v>90</v>
      </c>
      <c r="JV163" s="19"/>
      <c r="JW163" s="93">
        <v>-2.0185303570000315</v>
      </c>
      <c r="JX163" s="93">
        <v>915.357323296</v>
      </c>
      <c r="JY163" s="93">
        <v>917.37585365300004</v>
      </c>
      <c r="JZ163" s="93">
        <v>1165.77277815</v>
      </c>
      <c r="KA163" s="93">
        <v>43.234622502000008</v>
      </c>
      <c r="KB163" s="93">
        <v>282.24740285000001</v>
      </c>
      <c r="KC163" s="93">
        <v>239.01278034800001</v>
      </c>
      <c r="KD163" s="93">
        <v>8.9005407850000005</v>
      </c>
      <c r="KE163" s="93">
        <v>3.68</v>
      </c>
      <c r="KF163" s="93">
        <v>0</v>
      </c>
      <c r="KG163" s="93">
        <v>0</v>
      </c>
      <c r="KH163" s="93">
        <v>5.2205407849999999</v>
      </c>
      <c r="KI163" s="93">
        <v>1228.7503124</v>
      </c>
      <c r="KJ163" s="93">
        <v>923.88820281699998</v>
      </c>
      <c r="KK163" s="93">
        <v>304.162961053</v>
      </c>
      <c r="KL163" s="93">
        <v>0.69914852999999999</v>
      </c>
      <c r="KM163" s="93">
        <v>0</v>
      </c>
      <c r="KN163" s="93">
        <v>0.49867977000000002</v>
      </c>
      <c r="KO163" s="93">
        <v>0</v>
      </c>
      <c r="KP163" s="93">
        <v>0</v>
      </c>
      <c r="KQ163" s="93">
        <v>0.49867977000000002</v>
      </c>
      <c r="KR163" s="93">
        <v>0</v>
      </c>
      <c r="KS163" s="93">
        <v>0</v>
      </c>
      <c r="KT163" s="93">
        <v>0</v>
      </c>
      <c r="KU163" s="93">
        <v>6.1035875940000004</v>
      </c>
      <c r="KV163" s="93">
        <v>-19.463168684000014</v>
      </c>
      <c r="KW163" s="20"/>
      <c r="KX163" s="29">
        <v>90</v>
      </c>
      <c r="KY163" s="19"/>
      <c r="KZ163" s="93">
        <v>2299.1170000000002</v>
      </c>
      <c r="LA163" s="93">
        <v>2664.2940000000003</v>
      </c>
      <c r="LB163" s="93">
        <v>-365.17700000000002</v>
      </c>
      <c r="LC163" s="93">
        <v>457.57600000000002</v>
      </c>
      <c r="LD163" s="93">
        <v>92.188000000000002</v>
      </c>
      <c r="LE163" s="93">
        <v>365.38800000000003</v>
      </c>
      <c r="LF163" s="93">
        <v>0</v>
      </c>
      <c r="LG163" s="93">
        <v>42.998000000000047</v>
      </c>
      <c r="LH163" s="93">
        <v>1116.202</v>
      </c>
      <c r="LI163" s="93">
        <v>-1073.204</v>
      </c>
      <c r="LJ163" s="93">
        <v>3865.9490000000001</v>
      </c>
      <c r="LK163" s="93">
        <v>43.966999999999999</v>
      </c>
      <c r="LL163" s="93">
        <v>1.7999999999999999E-2</v>
      </c>
      <c r="LM163" s="93">
        <v>285.07900000000001</v>
      </c>
      <c r="LN163" s="93">
        <v>3536.8850000000002</v>
      </c>
      <c r="LO163" s="93"/>
      <c r="LP163" s="93">
        <v>1165.6089999999999</v>
      </c>
      <c r="LQ163" s="93">
        <v>2424.0929999999998</v>
      </c>
      <c r="LR163" s="93">
        <v>2084.4079999999999</v>
      </c>
      <c r="LS163" s="93">
        <v>0</v>
      </c>
      <c r="LT163" s="93">
        <v>286.27500000000003</v>
      </c>
      <c r="LU163" s="93">
        <v>0</v>
      </c>
      <c r="LV163" s="93">
        <v>77.40100000000001</v>
      </c>
      <c r="LW163" s="93">
        <v>0</v>
      </c>
      <c r="LX163" s="93">
        <v>0</v>
      </c>
      <c r="LY163" s="93">
        <v>751.971</v>
      </c>
      <c r="LZ163" s="93">
        <v>-124.11699999999996</v>
      </c>
      <c r="MA163" s="93"/>
      <c r="MB163" s="93"/>
      <c r="MC163" s="93"/>
      <c r="MD163" s="93"/>
      <c r="ME163" s="93"/>
      <c r="MF163" s="93"/>
      <c r="MG163" s="93"/>
      <c r="MH163" s="20"/>
      <c r="MI163" s="29">
        <v>90</v>
      </c>
      <c r="MJ163" s="29" t="str">
        <f t="shared" si="88"/>
        <v>Trimestre 22022</v>
      </c>
      <c r="MK163" s="848">
        <v>44713</v>
      </c>
      <c r="ML163" s="1991">
        <v>184.91792373796059</v>
      </c>
      <c r="MM163" s="1991">
        <v>148.6623776276362</v>
      </c>
      <c r="MN163" s="1991">
        <v>118.90479379415491</v>
      </c>
      <c r="MO163" s="1991">
        <v>100.0000000000001</v>
      </c>
      <c r="MP163" s="1991">
        <v>184.91792373796059</v>
      </c>
      <c r="MQ163" s="1991">
        <v>148.4409782102511</v>
      </c>
      <c r="MR163" s="1991">
        <v>159.99999999999986</v>
      </c>
      <c r="MS163" s="1991">
        <v>134.94224473003592</v>
      </c>
      <c r="MT163" s="1991">
        <v>100.00065465091683</v>
      </c>
      <c r="MU163" s="1991">
        <v>134.56975965235958</v>
      </c>
      <c r="MV163" s="1991">
        <v>100.48931065676811</v>
      </c>
      <c r="MW163" s="1991">
        <v>104.35461790372415</v>
      </c>
      <c r="MX163" s="1991">
        <v>115.09799658584342</v>
      </c>
      <c r="MY163" s="1991">
        <v>103.65414305948853</v>
      </c>
      <c r="MZ163" s="1991">
        <v>116.28619644734303</v>
      </c>
      <c r="NA163" s="1991">
        <v>111.72982942654124</v>
      </c>
      <c r="NB163" s="1991">
        <v>140.74446660044615</v>
      </c>
      <c r="NC163" s="1991">
        <v>112.28991705295492</v>
      </c>
      <c r="ND163" s="1991">
        <v>94.717997189985084</v>
      </c>
      <c r="NE163" s="1991">
        <v>116.72472967568002</v>
      </c>
      <c r="NF163" s="1991">
        <v>102.68790412504296</v>
      </c>
      <c r="NG163" s="1991">
        <v>104.33110278992874</v>
      </c>
      <c r="NH163" s="1991">
        <v>148.33551693595305</v>
      </c>
      <c r="NI163" s="1991">
        <v>100.00000000000001</v>
      </c>
      <c r="NJ163" s="1991">
        <v>100.00000000000004</v>
      </c>
      <c r="NK163" s="1991">
        <v>133.71976441007652</v>
      </c>
      <c r="NL163" s="29">
        <v>90</v>
      </c>
    </row>
    <row r="164" spans="1:376">
      <c r="A164" s="41">
        <f t="shared" si="86"/>
        <v>2022</v>
      </c>
      <c r="B164" s="785">
        <v>44805</v>
      </c>
      <c r="C164" s="19"/>
      <c r="D164" s="93"/>
      <c r="E164" s="93"/>
      <c r="F164" s="93"/>
      <c r="G164" s="93"/>
      <c r="H164" s="93"/>
      <c r="I164" s="93"/>
      <c r="J164" s="93"/>
      <c r="K164" s="93"/>
      <c r="L164" s="93"/>
      <c r="M164" s="20"/>
      <c r="N164" s="25"/>
      <c r="O164" s="889">
        <f t="shared" si="85"/>
        <v>2022</v>
      </c>
      <c r="P164" s="29" t="str">
        <f t="shared" si="87"/>
        <v>Trimestre 32022</v>
      </c>
      <c r="Q164" s="848">
        <v>44805</v>
      </c>
      <c r="R164" s="733">
        <v>13.209701000000001</v>
      </c>
      <c r="S164" s="570">
        <v>0</v>
      </c>
      <c r="T164" s="570"/>
      <c r="U164" s="570">
        <v>70.451400562607674</v>
      </c>
      <c r="V164" s="25">
        <v>91</v>
      </c>
      <c r="W164" s="19">
        <v>149.79762700000001</v>
      </c>
      <c r="X164" s="93">
        <v>149.79762700000001</v>
      </c>
      <c r="Y164" s="93">
        <v>4987.5957364832575</v>
      </c>
      <c r="Z164" s="93">
        <v>1688.4145681589944</v>
      </c>
      <c r="AA164" s="93">
        <v>10.220456064</v>
      </c>
      <c r="AB164" s="93">
        <v>246.031114</v>
      </c>
      <c r="AC164" s="93">
        <v>384.32177999999999</v>
      </c>
      <c r="AD164" s="570">
        <v>170.20802599999999</v>
      </c>
      <c r="AE164" s="20">
        <v>15.807117485483049</v>
      </c>
      <c r="AF164" s="25">
        <v>91</v>
      </c>
      <c r="AG164" s="733">
        <v>13.098503293185129</v>
      </c>
      <c r="AH164" s="570">
        <v>-3.4120651212815432</v>
      </c>
      <c r="AI164" s="570">
        <v>-3.9615606503485647</v>
      </c>
      <c r="AJ164" s="570">
        <v>5.7770170481463659</v>
      </c>
      <c r="AK164" s="570">
        <v>-9.1159095347478107</v>
      </c>
      <c r="AL164" s="570">
        <v>48.076504390131461</v>
      </c>
      <c r="AM164" s="570">
        <v>45.36274198028655</v>
      </c>
      <c r="AN164" s="734">
        <v>35.691306980041105</v>
      </c>
      <c r="AO164" s="733">
        <v>-27.103591410718629</v>
      </c>
      <c r="AP164" s="570">
        <v>-28.567297169958294</v>
      </c>
      <c r="AQ164" s="570">
        <v>-30.760945108928571</v>
      </c>
      <c r="AR164" s="570">
        <v>9.8989974942684995</v>
      </c>
      <c r="AS164" s="734">
        <v>-36.111111111111107</v>
      </c>
      <c r="AT164" s="733">
        <v>36.439710878364828</v>
      </c>
      <c r="AU164" s="570">
        <v>-32.154073806809414</v>
      </c>
      <c r="AV164" s="734">
        <v>-5.8972436450130763</v>
      </c>
      <c r="AW164" s="733">
        <v>-34.994175479167481</v>
      </c>
      <c r="AX164" s="570">
        <v>10.740326163737244</v>
      </c>
      <c r="AY164" s="570">
        <v>18.523397160063347</v>
      </c>
      <c r="AZ164" s="570">
        <v>17.079262780838356</v>
      </c>
      <c r="BA164" s="570">
        <v>-2.8859740533256693</v>
      </c>
      <c r="BB164" s="570">
        <v>-9.8346410506860327</v>
      </c>
      <c r="BC164" s="734">
        <v>-25.000000000000004</v>
      </c>
      <c r="BD164" s="733">
        <v>40.873277908913593</v>
      </c>
      <c r="BE164" s="570">
        <v>-15.714600874337002</v>
      </c>
      <c r="BF164" s="570">
        <v>2.9125782753603335</v>
      </c>
      <c r="BG164" s="570">
        <v>11.865883503741596</v>
      </c>
      <c r="BH164" s="570">
        <v>-1.4485049112761104</v>
      </c>
      <c r="BI164" s="570">
        <v>87.379610886011051</v>
      </c>
      <c r="BJ164" s="570">
        <v>90.918830386756497</v>
      </c>
      <c r="BK164" s="734">
        <v>84.957431848735865</v>
      </c>
      <c r="BL164" s="733">
        <v>-65.361973737028649</v>
      </c>
      <c r="BM164" s="570">
        <v>-77.014585301125948</v>
      </c>
      <c r="BN164" s="570">
        <v>-56.688285487757931</v>
      </c>
      <c r="BO164" s="570">
        <v>4.9830427085661455</v>
      </c>
      <c r="BP164" s="570">
        <v>-36.842105263157897</v>
      </c>
      <c r="BQ164" s="734">
        <v>-42.105263157894733</v>
      </c>
      <c r="BR164" s="733">
        <v>81.687981467311872</v>
      </c>
      <c r="BS164" s="570">
        <v>-79.721024921761284</v>
      </c>
      <c r="BT164" s="570">
        <v>-17.137244482773013</v>
      </c>
      <c r="BU164" s="734">
        <v>-40.79267919930664</v>
      </c>
      <c r="BV164" s="733">
        <v>25.810754117566731</v>
      </c>
      <c r="BW164" s="570">
        <v>37.463365681664037</v>
      </c>
      <c r="BX164" s="570">
        <v>59.019500006524808</v>
      </c>
      <c r="BY164" s="570">
        <v>-0.77390420134523619</v>
      </c>
      <c r="BZ164" s="570">
        <v>-31.871912981440254</v>
      </c>
      <c r="CA164" s="570">
        <v>-21.052631578947366</v>
      </c>
      <c r="CB164" s="734">
        <v>-31.578947368421055</v>
      </c>
      <c r="CC164" s="25">
        <v>91</v>
      </c>
      <c r="CD164" s="19">
        <v>82323</v>
      </c>
      <c r="CE164" s="99">
        <v>25680876</v>
      </c>
      <c r="CF164" s="20">
        <f>16129282+35257</f>
        <v>16164539</v>
      </c>
      <c r="CG164" s="25">
        <v>91</v>
      </c>
      <c r="CH164" s="19">
        <v>11803</v>
      </c>
      <c r="CI164" s="93">
        <v>4441</v>
      </c>
      <c r="CJ164" s="93">
        <v>2238</v>
      </c>
      <c r="CK164" s="93">
        <v>6612</v>
      </c>
      <c r="CL164" s="93">
        <v>2447</v>
      </c>
      <c r="CM164" s="93">
        <v>111</v>
      </c>
      <c r="CN164" s="93">
        <v>815</v>
      </c>
      <c r="CO164" s="93">
        <v>1350</v>
      </c>
      <c r="CP164" s="93">
        <v>2558</v>
      </c>
      <c r="CQ164" s="93">
        <v>2611</v>
      </c>
      <c r="CR164" s="214">
        <v>98696</v>
      </c>
      <c r="CS164" s="20">
        <v>124445</v>
      </c>
      <c r="CT164" s="25">
        <v>91</v>
      </c>
      <c r="CU164" s="19">
        <v>15217</v>
      </c>
      <c r="CV164" s="93">
        <v>81420</v>
      </c>
      <c r="CW164" s="93">
        <v>14503</v>
      </c>
      <c r="CX164" s="93">
        <v>1160</v>
      </c>
      <c r="CY164" s="93">
        <v>947</v>
      </c>
      <c r="CZ164" s="93">
        <v>368</v>
      </c>
      <c r="DA164" s="93">
        <v>10830</v>
      </c>
      <c r="DB164" s="20">
        <v>124445</v>
      </c>
      <c r="DC164" s="25">
        <v>91</v>
      </c>
      <c r="DD164" s="785">
        <v>44805</v>
      </c>
      <c r="DE164" s="1947">
        <v>521.29219374499996</v>
      </c>
      <c r="DF164" s="1948">
        <v>386.54574100000002</v>
      </c>
      <c r="DG164" s="25">
        <v>91</v>
      </c>
      <c r="DH164" s="733">
        <v>925.67333578950002</v>
      </c>
      <c r="DI164" s="734">
        <v>1802.200969</v>
      </c>
      <c r="DJ164" s="1768">
        <v>91</v>
      </c>
      <c r="DK164" s="733">
        <v>521.29219374499996</v>
      </c>
      <c r="DL164" s="734">
        <v>925.67333578950002</v>
      </c>
      <c r="DM164" s="733">
        <v>-404.3811420445</v>
      </c>
      <c r="DN164" s="734">
        <v>56.314919485111204</v>
      </c>
      <c r="DO164" s="25">
        <v>91</v>
      </c>
      <c r="DP164" s="19">
        <v>174.39772066981044</v>
      </c>
      <c r="DQ164" s="93">
        <v>90.586864846813754</v>
      </c>
      <c r="DR164" s="20">
        <v>157.98142751908497</v>
      </c>
      <c r="DS164" s="25">
        <v>91</v>
      </c>
      <c r="DT164" s="733">
        <v>120.44802056117661</v>
      </c>
      <c r="DU164" s="570">
        <v>164.68216280275172</v>
      </c>
      <c r="DV164" s="734">
        <v>198.35640531324864</v>
      </c>
      <c r="DW164" s="25">
        <v>91</v>
      </c>
      <c r="DX164" s="19">
        <v>144.79085655146346</v>
      </c>
      <c r="DY164" s="20">
        <v>169.66413760980174</v>
      </c>
      <c r="DZ164" s="25">
        <v>91</v>
      </c>
      <c r="EA164" s="19">
        <v>438.50490526199997</v>
      </c>
      <c r="EB164" s="93">
        <v>4.0748202920000001</v>
      </c>
      <c r="EC164" s="93">
        <v>6.614305624</v>
      </c>
      <c r="ED164" s="570">
        <v>6.614305624</v>
      </c>
      <c r="EE164" s="20">
        <v>17.547387978</v>
      </c>
      <c r="EF164" s="25">
        <v>91</v>
      </c>
      <c r="EG164" s="19">
        <v>331.64737616799999</v>
      </c>
      <c r="EH164" s="93">
        <v>15.964904404999999</v>
      </c>
      <c r="EI164" s="93">
        <v>18.917863947999997</v>
      </c>
      <c r="EJ164" s="93">
        <v>0.601352334755902</v>
      </c>
      <c r="EK164" s="734">
        <v>2.657577582</v>
      </c>
      <c r="EL164" s="25">
        <v>91</v>
      </c>
      <c r="EM164" s="19">
        <v>415.32851616400001</v>
      </c>
      <c r="EN164" s="93">
        <v>3.79</v>
      </c>
      <c r="EO164" s="93">
        <v>6.9052733159999997</v>
      </c>
      <c r="EP164" s="93"/>
      <c r="EQ164" s="570">
        <v>4.1496361180000001</v>
      </c>
      <c r="ER164" s="570">
        <v>8.8066591429999992</v>
      </c>
      <c r="ES164" s="570">
        <v>0.9</v>
      </c>
      <c r="ET164" s="570">
        <v>1.930480483</v>
      </c>
      <c r="EU164" s="570">
        <v>0.5</v>
      </c>
      <c r="EV164" s="734">
        <v>40.483342424999996</v>
      </c>
      <c r="EW164" s="25">
        <v>91</v>
      </c>
      <c r="EX164" s="915">
        <v>112.51374748000001</v>
      </c>
      <c r="EY164" s="916">
        <v>35.672815735063004</v>
      </c>
      <c r="EZ164" s="916">
        <v>75.659734551</v>
      </c>
      <c r="FA164" s="916">
        <v>0.2</v>
      </c>
      <c r="FB164" s="916">
        <v>118.58349210999999</v>
      </c>
      <c r="FC164" s="916">
        <v>48.016808758000003</v>
      </c>
      <c r="FD164" s="916">
        <v>0.2</v>
      </c>
      <c r="FE164" s="916">
        <v>53.000805376999999</v>
      </c>
      <c r="FF164" s="916">
        <v>39.280487454999999</v>
      </c>
      <c r="FG164" s="917">
        <v>52.426727368000002</v>
      </c>
      <c r="FH164" s="25">
        <v>91</v>
      </c>
      <c r="FI164" s="848">
        <v>44805</v>
      </c>
      <c r="FJ164" s="19">
        <v>1434</v>
      </c>
      <c r="FK164" s="93">
        <v>1224</v>
      </c>
      <c r="FL164" s="20">
        <v>0</v>
      </c>
      <c r="FM164" s="25">
        <v>91</v>
      </c>
      <c r="FN164" s="19">
        <v>59</v>
      </c>
      <c r="FO164" s="93">
        <v>812</v>
      </c>
      <c r="FP164" s="93">
        <v>996</v>
      </c>
      <c r="FQ164" s="93">
        <v>520</v>
      </c>
      <c r="FR164" s="93">
        <v>194</v>
      </c>
      <c r="FS164" s="93">
        <v>42</v>
      </c>
      <c r="FT164" s="93">
        <v>17</v>
      </c>
      <c r="FU164" s="93">
        <v>14</v>
      </c>
      <c r="FV164" s="93">
        <v>4</v>
      </c>
      <c r="FW164" s="917">
        <v>0</v>
      </c>
      <c r="FX164" s="25">
        <v>91</v>
      </c>
      <c r="FY164" s="916">
        <v>4</v>
      </c>
      <c r="FZ164" s="916">
        <v>128</v>
      </c>
      <c r="GA164" s="916">
        <v>285</v>
      </c>
      <c r="GB164" s="916">
        <v>80</v>
      </c>
      <c r="GC164" s="916">
        <v>629</v>
      </c>
      <c r="GD164" s="916">
        <v>246</v>
      </c>
      <c r="GE164" s="916">
        <v>727</v>
      </c>
      <c r="GF164" s="916">
        <v>99</v>
      </c>
      <c r="GG164" s="916">
        <v>10</v>
      </c>
      <c r="GH164" s="916">
        <v>360</v>
      </c>
      <c r="GI164" s="917">
        <v>90</v>
      </c>
      <c r="GJ164" s="25">
        <v>91</v>
      </c>
      <c r="GK164" s="19"/>
      <c r="GL164" s="20"/>
      <c r="GM164" s="25"/>
      <c r="GN164" s="19">
        <v>3847</v>
      </c>
      <c r="GO164" s="20">
        <v>1955</v>
      </c>
      <c r="GP164" s="25">
        <v>91</v>
      </c>
      <c r="GQ164" s="19">
        <v>30.51</v>
      </c>
      <c r="GR164" s="20">
        <v>30.58</v>
      </c>
      <c r="GS164" s="25">
        <v>91</v>
      </c>
      <c r="GT164" s="848">
        <v>44805</v>
      </c>
      <c r="GU164" s="19"/>
      <c r="GV164" s="93"/>
      <c r="GW164" s="93"/>
      <c r="GX164" s="93"/>
      <c r="GY164" s="93"/>
      <c r="GZ164" s="93"/>
      <c r="HA164" s="93"/>
      <c r="HB164" s="93"/>
      <c r="HC164" s="93"/>
      <c r="HD164" s="93"/>
      <c r="HE164" s="93"/>
      <c r="HF164" s="93"/>
      <c r="HG164" s="93"/>
      <c r="HH164" s="93"/>
      <c r="HI164" s="93"/>
      <c r="HJ164" s="93"/>
      <c r="HK164" s="93"/>
      <c r="HL164" s="93"/>
      <c r="HM164" s="93"/>
      <c r="HN164" s="93"/>
      <c r="HO164" s="93"/>
      <c r="HP164" s="93"/>
      <c r="HQ164" s="93"/>
      <c r="HR164" s="93"/>
      <c r="HS164" s="93"/>
      <c r="HT164" s="93"/>
      <c r="HU164" s="93"/>
      <c r="HV164" s="93"/>
      <c r="HW164" s="93"/>
      <c r="HX164" s="93"/>
      <c r="HY164" s="93"/>
      <c r="HZ164" s="93"/>
      <c r="IA164" s="93"/>
      <c r="IB164" s="93"/>
      <c r="IC164" s="93"/>
      <c r="ID164" s="93"/>
      <c r="IE164" s="93"/>
      <c r="IF164" s="93"/>
      <c r="IG164" s="93"/>
      <c r="IH164" s="93"/>
      <c r="II164" s="93"/>
      <c r="IJ164" s="93"/>
      <c r="IK164" s="93"/>
      <c r="IL164" s="93"/>
      <c r="IM164" s="93"/>
      <c r="IN164" s="93"/>
      <c r="IO164" s="93"/>
      <c r="IP164" s="93"/>
      <c r="IQ164" s="93"/>
      <c r="IR164" s="93"/>
      <c r="IS164" s="93"/>
      <c r="IT164" s="93"/>
      <c r="IU164" s="93"/>
      <c r="IV164" s="93"/>
      <c r="IW164" s="848">
        <v>44805</v>
      </c>
      <c r="IX164" s="93"/>
      <c r="IY164" s="93">
        <v>738.004078241</v>
      </c>
      <c r="IZ164" s="93">
        <v>2682.8821712329996</v>
      </c>
      <c r="JA164" s="93">
        <v>0.77466000299999993</v>
      </c>
      <c r="JB164" s="93">
        <v>2380.5069999999996</v>
      </c>
      <c r="JC164" s="93">
        <v>301.60051123</v>
      </c>
      <c r="JD164" s="93">
        <v>3420.8862494739997</v>
      </c>
      <c r="JE164" s="93">
        <v>2118.1731083190002</v>
      </c>
      <c r="JF164" s="93">
        <v>5539.0593577929994</v>
      </c>
      <c r="JG164" s="93"/>
      <c r="JH164" s="93">
        <v>2259.3783468389993</v>
      </c>
      <c r="JI164" s="93">
        <v>-153.48265316100003</v>
      </c>
      <c r="JJ164" s="93">
        <v>2412.8609999999994</v>
      </c>
      <c r="JK164" s="93">
        <v>4014.8611862760004</v>
      </c>
      <c r="JL164" s="93">
        <v>126.00002436700009</v>
      </c>
      <c r="JM164" s="93">
        <v>-127.966975633</v>
      </c>
      <c r="JN164" s="93">
        <v>253.9670000000001</v>
      </c>
      <c r="JO164" s="93">
        <v>3888.8611619090002</v>
      </c>
      <c r="JP164" s="93">
        <v>9.2141619089999995</v>
      </c>
      <c r="JQ164" s="93">
        <v>3879.6470000000004</v>
      </c>
      <c r="JR164" s="93">
        <v>1237.963407407</v>
      </c>
      <c r="JS164" s="93">
        <v>-502.78323208499978</v>
      </c>
      <c r="JT164" s="20">
        <v>5539.0593577929994</v>
      </c>
      <c r="JU164" s="29">
        <v>91</v>
      </c>
      <c r="JV164" s="19"/>
      <c r="JW164" s="93">
        <v>-153.48265316100003</v>
      </c>
      <c r="JX164" s="93">
        <v>667.55366847100004</v>
      </c>
      <c r="JY164" s="93">
        <v>821.03632163200007</v>
      </c>
      <c r="JZ164" s="93">
        <v>1487.2965828819999</v>
      </c>
      <c r="KA164" s="93">
        <v>-121.401773295</v>
      </c>
      <c r="KB164" s="93">
        <v>281.68457943099997</v>
      </c>
      <c r="KC164" s="93">
        <v>403.08635272599997</v>
      </c>
      <c r="KD164" s="93">
        <v>9.2141619089999995</v>
      </c>
      <c r="KE164" s="93">
        <v>3.653</v>
      </c>
      <c r="KF164" s="93">
        <v>0</v>
      </c>
      <c r="KG164" s="93">
        <v>0</v>
      </c>
      <c r="KH164" s="93">
        <v>5.561161909</v>
      </c>
      <c r="KI164" s="93">
        <v>1224.6552565219999</v>
      </c>
      <c r="KJ164" s="93">
        <v>846.52528057899997</v>
      </c>
      <c r="KK164" s="93">
        <v>377.02220762100001</v>
      </c>
      <c r="KL164" s="93">
        <v>1.1077683219999999</v>
      </c>
      <c r="KM164" s="93">
        <v>0</v>
      </c>
      <c r="KN164" s="93">
        <v>0.70349266399999999</v>
      </c>
      <c r="KO164" s="93">
        <v>0</v>
      </c>
      <c r="KP164" s="93">
        <v>0</v>
      </c>
      <c r="KQ164" s="93">
        <v>0.70349266399999999</v>
      </c>
      <c r="KR164" s="93">
        <v>0</v>
      </c>
      <c r="KS164" s="93">
        <v>0</v>
      </c>
      <c r="KT164" s="93">
        <v>0</v>
      </c>
      <c r="KU164" s="93">
        <v>10.957914743</v>
      </c>
      <c r="KV164" s="93">
        <v>-14.690345594000012</v>
      </c>
      <c r="KW164" s="20"/>
      <c r="KX164" s="29">
        <v>91</v>
      </c>
      <c r="KY164" s="19"/>
      <c r="KZ164" s="93">
        <v>2412.8609999999994</v>
      </c>
      <c r="LA164" s="93">
        <v>2720.2339999999995</v>
      </c>
      <c r="LB164" s="93">
        <v>-307.37299999999999</v>
      </c>
      <c r="LC164" s="93">
        <v>470.65900000000005</v>
      </c>
      <c r="LD164" s="93">
        <v>101.956</v>
      </c>
      <c r="LE164" s="93">
        <v>368.70300000000003</v>
      </c>
      <c r="LF164" s="93">
        <v>0</v>
      </c>
      <c r="LG164" s="93">
        <v>253.9670000000001</v>
      </c>
      <c r="LH164" s="93">
        <v>1185.951</v>
      </c>
      <c r="LI164" s="93">
        <v>-931.98399999999992</v>
      </c>
      <c r="LJ164" s="93">
        <v>3879.6470000000004</v>
      </c>
      <c r="LK164" s="93">
        <v>40.76</v>
      </c>
      <c r="LL164" s="93">
        <v>1.4999999999999999E-2</v>
      </c>
      <c r="LM164" s="93">
        <v>324.98200000000003</v>
      </c>
      <c r="LN164" s="93">
        <v>3513.8900000000003</v>
      </c>
      <c r="LO164" s="93"/>
      <c r="LP164" s="93">
        <v>1449.6460000000002</v>
      </c>
      <c r="LQ164" s="93">
        <v>2380.5070000000001</v>
      </c>
      <c r="LR164" s="93">
        <v>2117.84</v>
      </c>
      <c r="LS164" s="93">
        <v>0</v>
      </c>
      <c r="LT164" s="93">
        <v>273.59399999999999</v>
      </c>
      <c r="LU164" s="93">
        <v>0</v>
      </c>
      <c r="LV164" s="93">
        <v>156.79400000000001</v>
      </c>
      <c r="LW164" s="93">
        <v>0</v>
      </c>
      <c r="LX164" s="93">
        <v>0</v>
      </c>
      <c r="LY164" s="93">
        <v>795.91399999999999</v>
      </c>
      <c r="LZ164" s="93">
        <v>-157.16100000000006</v>
      </c>
      <c r="MA164" s="93"/>
      <c r="MB164" s="93"/>
      <c r="MC164" s="93"/>
      <c r="MD164" s="93"/>
      <c r="ME164" s="93"/>
      <c r="MF164" s="93"/>
      <c r="MG164" s="93"/>
      <c r="MH164" s="20"/>
      <c r="MI164" s="29">
        <v>91</v>
      </c>
      <c r="MJ164" s="29" t="str">
        <f t="shared" si="88"/>
        <v>Trimestre 32022</v>
      </c>
      <c r="MK164" s="848">
        <v>44805</v>
      </c>
      <c r="ML164" s="1991">
        <v>191.20125615508783</v>
      </c>
      <c r="MM164" s="1991">
        <v>164.82898807898135</v>
      </c>
      <c r="MN164" s="1991">
        <v>120.59773086214763</v>
      </c>
      <c r="MO164" s="1991">
        <v>100.0000000000001</v>
      </c>
      <c r="MP164" s="1991">
        <v>191.20125615508783</v>
      </c>
      <c r="MQ164" s="1991">
        <v>165.37471658011734</v>
      </c>
      <c r="MR164" s="1991">
        <v>159.99999999999986</v>
      </c>
      <c r="MS164" s="1991">
        <v>138.62806110200322</v>
      </c>
      <c r="MT164" s="1991">
        <v>100.00065465091683</v>
      </c>
      <c r="MU164" s="1991">
        <v>181.34312248667365</v>
      </c>
      <c r="MV164" s="1991">
        <v>100.08999602021392</v>
      </c>
      <c r="MW164" s="1991">
        <v>104.35461790372415</v>
      </c>
      <c r="MX164" s="1991">
        <v>115.09799658584342</v>
      </c>
      <c r="MY164" s="1991">
        <v>103.65414305948853</v>
      </c>
      <c r="MZ164" s="1991">
        <v>113.34630183820379</v>
      </c>
      <c r="NA164" s="1991">
        <v>111.72982942654124</v>
      </c>
      <c r="NB164" s="1991">
        <v>135.92143888739156</v>
      </c>
      <c r="NC164" s="1991">
        <v>127.95425996125658</v>
      </c>
      <c r="ND164" s="1991">
        <v>94.717997189985084</v>
      </c>
      <c r="NE164" s="1991">
        <v>113.86646305321543</v>
      </c>
      <c r="NF164" s="1991">
        <v>103.27612425977642</v>
      </c>
      <c r="NG164" s="1991">
        <v>102.98512035867947</v>
      </c>
      <c r="NH164" s="1991">
        <v>148.33551693595305</v>
      </c>
      <c r="NI164" s="1991">
        <v>100.00000000000001</v>
      </c>
      <c r="NJ164" s="1991">
        <v>100.00000000000004</v>
      </c>
      <c r="NK164" s="1991">
        <v>142.41359103794704</v>
      </c>
      <c r="NL164" s="29">
        <v>91</v>
      </c>
    </row>
    <row r="165" spans="1:376">
      <c r="A165" s="41">
        <f t="shared" si="86"/>
        <v>2022</v>
      </c>
      <c r="B165" s="785">
        <v>44896</v>
      </c>
      <c r="C165" s="19"/>
      <c r="D165" s="93"/>
      <c r="E165" s="93"/>
      <c r="F165" s="93"/>
      <c r="G165" s="93"/>
      <c r="H165" s="93"/>
      <c r="I165" s="93"/>
      <c r="J165" s="93"/>
      <c r="K165" s="93"/>
      <c r="L165" s="93"/>
      <c r="M165" s="20"/>
      <c r="N165" s="25"/>
      <c r="O165" s="889">
        <f t="shared" si="85"/>
        <v>2022</v>
      </c>
      <c r="P165" s="29" t="str">
        <f t="shared" si="87"/>
        <v>Trimestre 42022</v>
      </c>
      <c r="Q165" s="848">
        <v>44896</v>
      </c>
      <c r="R165" s="733">
        <v>14.024369</v>
      </c>
      <c r="S165" s="570">
        <f>S161</f>
        <v>53.220118014000001</v>
      </c>
      <c r="T165" s="570"/>
      <c r="U165" s="570">
        <v>72.005413000456358</v>
      </c>
      <c r="V165" s="25">
        <v>92</v>
      </c>
      <c r="W165" s="19">
        <v>2561.8968340000001</v>
      </c>
      <c r="X165" s="93">
        <v>2561.8968340000001</v>
      </c>
      <c r="Y165" s="93">
        <v>10154.429253333119</v>
      </c>
      <c r="Z165" s="93">
        <v>1724.7269363061728</v>
      </c>
      <c r="AA165" s="93">
        <v>11.472883476</v>
      </c>
      <c r="AB165" s="93">
        <v>292.91305</v>
      </c>
      <c r="AC165" s="93">
        <v>591.29629399999999</v>
      </c>
      <c r="AD165" s="570">
        <v>217.875799</v>
      </c>
      <c r="AE165" s="20">
        <v>17.466216497126677</v>
      </c>
      <c r="AF165" s="25">
        <v>92</v>
      </c>
      <c r="AG165" s="733">
        <v>-7.9117280541837331</v>
      </c>
      <c r="AH165" s="570">
        <v>19.396443983997749</v>
      </c>
      <c r="AI165" s="570">
        <v>-34.423837988532874</v>
      </c>
      <c r="AJ165" s="570">
        <v>15.036334404097756</v>
      </c>
      <c r="AK165" s="570">
        <v>-20.015367894499157</v>
      </c>
      <c r="AL165" s="570">
        <v>47.71229610478283</v>
      </c>
      <c r="AM165" s="570">
        <v>50.365877293160253</v>
      </c>
      <c r="AN165" s="734">
        <v>12.4361482280675</v>
      </c>
      <c r="AO165" s="733">
        <v>20.453837537741109</v>
      </c>
      <c r="AP165" s="570">
        <v>24.463590233197902</v>
      </c>
      <c r="AQ165" s="570">
        <v>-6.8970931281872581</v>
      </c>
      <c r="AR165" s="570">
        <v>3.7333247693923397</v>
      </c>
      <c r="AS165" s="734">
        <v>-29.729729729729726</v>
      </c>
      <c r="AT165" s="733">
        <v>-7.5304629759203383</v>
      </c>
      <c r="AU165" s="570">
        <v>-13.199097188812653</v>
      </c>
      <c r="AV165" s="734">
        <v>-4.2597483814177046</v>
      </c>
      <c r="AW165" s="733">
        <v>-21.466920406433154</v>
      </c>
      <c r="AX165" s="570">
        <v>16.298481424129619</v>
      </c>
      <c r="AY165" s="570">
        <v>40.505539069428124</v>
      </c>
      <c r="AZ165" s="570">
        <v>-0.34816662942402843</v>
      </c>
      <c r="BA165" s="570">
        <v>-0.98784011051793907</v>
      </c>
      <c r="BB165" s="570">
        <v>-1.7957346174552562</v>
      </c>
      <c r="BC165" s="734">
        <v>-6.7567567567567579</v>
      </c>
      <c r="BD165" s="733">
        <v>-69.781696457898803</v>
      </c>
      <c r="BE165" s="570">
        <v>-6.4744640762096353</v>
      </c>
      <c r="BF165" s="570">
        <v>-48.794909387707705</v>
      </c>
      <c r="BG165" s="570">
        <v>41.499545420754394</v>
      </c>
      <c r="BH165" s="570">
        <v>-20.325427022514958</v>
      </c>
      <c r="BI165" s="570">
        <v>60.724679064327489</v>
      </c>
      <c r="BJ165" s="570">
        <v>66.857773883406097</v>
      </c>
      <c r="BK165" s="734">
        <v>37.116914108693052</v>
      </c>
      <c r="BL165" s="733">
        <v>-16.432763484448266</v>
      </c>
      <c r="BM165" s="570">
        <v>-1.8334609806570583</v>
      </c>
      <c r="BN165" s="570">
        <v>25.990653631908906</v>
      </c>
      <c r="BO165" s="570">
        <v>-9.6368434516817718</v>
      </c>
      <c r="BP165" s="570">
        <v>-28.571428571428569</v>
      </c>
      <c r="BQ165" s="734">
        <v>-42.857142857142861</v>
      </c>
      <c r="BR165" s="733">
        <v>42.500501881311997</v>
      </c>
      <c r="BS165" s="570">
        <v>-47.980317547981947</v>
      </c>
      <c r="BT165" s="570">
        <v>-16.992410178139643</v>
      </c>
      <c r="BU165" s="734">
        <v>-50.617622812829637</v>
      </c>
      <c r="BV165" s="733">
        <v>-5.3016429489891834</v>
      </c>
      <c r="BW165" s="570">
        <v>55.175369509788325</v>
      </c>
      <c r="BX165" s="570">
        <v>41.770391214622059</v>
      </c>
      <c r="BY165" s="570">
        <v>-8.5462659723434022</v>
      </c>
      <c r="BZ165" s="570">
        <v>-7.7763335500539235</v>
      </c>
      <c r="CA165" s="570">
        <v>-9.5238095238095237</v>
      </c>
      <c r="CB165" s="734">
        <v>-23.80952380952381</v>
      </c>
      <c r="CC165" s="25">
        <v>92</v>
      </c>
      <c r="CD165" s="19">
        <v>82473</v>
      </c>
      <c r="CE165" s="99">
        <v>25659436</v>
      </c>
      <c r="CF165" s="20">
        <f>48259+16310198</f>
        <v>16358457</v>
      </c>
      <c r="CG165" s="25">
        <v>92</v>
      </c>
      <c r="CH165" s="19">
        <v>13603</v>
      </c>
      <c r="CI165" s="93">
        <v>5056</v>
      </c>
      <c r="CJ165" s="93">
        <v>2535</v>
      </c>
      <c r="CK165" s="93">
        <v>8341</v>
      </c>
      <c r="CL165" s="93">
        <v>2932</v>
      </c>
      <c r="CM165" s="93">
        <v>136</v>
      </c>
      <c r="CN165" s="93">
        <v>987</v>
      </c>
      <c r="CO165" s="93">
        <v>1474</v>
      </c>
      <c r="CP165" s="93">
        <v>3074</v>
      </c>
      <c r="CQ165" s="93">
        <v>3035</v>
      </c>
      <c r="CR165" s="214">
        <v>103717</v>
      </c>
      <c r="CS165" s="20">
        <v>134231</v>
      </c>
      <c r="CT165" s="25">
        <v>92</v>
      </c>
      <c r="CU165" s="19">
        <v>16587</v>
      </c>
      <c r="CV165" s="93">
        <v>88788</v>
      </c>
      <c r="CW165" s="93">
        <v>14083</v>
      </c>
      <c r="CX165" s="93">
        <v>1473</v>
      </c>
      <c r="CY165" s="93">
        <v>945</v>
      </c>
      <c r="CZ165" s="93">
        <v>360</v>
      </c>
      <c r="DA165" s="93">
        <v>11995</v>
      </c>
      <c r="DB165" s="20">
        <v>134231</v>
      </c>
      <c r="DC165" s="25">
        <v>92</v>
      </c>
      <c r="DD165" s="785">
        <v>44896</v>
      </c>
      <c r="DE165" s="1947">
        <v>748.35125717899996</v>
      </c>
      <c r="DF165" s="1948">
        <v>494.26969100000002</v>
      </c>
      <c r="DG165" s="25">
        <v>92</v>
      </c>
      <c r="DH165" s="733">
        <v>949.471688352</v>
      </c>
      <c r="DI165" s="734">
        <v>2343.4935009999999</v>
      </c>
      <c r="DJ165" s="1768">
        <v>92</v>
      </c>
      <c r="DK165" s="733">
        <v>748.35125717899996</v>
      </c>
      <c r="DL165" s="734">
        <v>949.471688352</v>
      </c>
      <c r="DM165" s="733">
        <v>-201.12043117299999</v>
      </c>
      <c r="DN165" s="734">
        <v>78.817648420661683</v>
      </c>
      <c r="DO165" s="25">
        <v>92</v>
      </c>
      <c r="DP165" s="19">
        <v>172.69645755126868</v>
      </c>
      <c r="DQ165" s="93">
        <v>132.22383172907399</v>
      </c>
      <c r="DR165" s="20">
        <v>228.34587343466123</v>
      </c>
      <c r="DS165" s="25">
        <v>92</v>
      </c>
      <c r="DT165" s="733">
        <v>115.56436641191914</v>
      </c>
      <c r="DU165" s="570">
        <v>173.02500085540561</v>
      </c>
      <c r="DV165" s="734">
        <v>199.95524597276705</v>
      </c>
      <c r="DW165" s="25">
        <v>92</v>
      </c>
      <c r="DX165" s="19">
        <v>149.43746321916149</v>
      </c>
      <c r="DY165" s="20">
        <v>1653.6513180328334</v>
      </c>
      <c r="DZ165" s="25">
        <v>92</v>
      </c>
      <c r="EA165" s="19">
        <v>551.52482362000001</v>
      </c>
      <c r="EB165" s="93">
        <v>95.074188403999997</v>
      </c>
      <c r="EC165" s="93">
        <v>16.288630336000001</v>
      </c>
      <c r="ED165" s="570">
        <v>16.288630336000001</v>
      </c>
      <c r="EE165" s="20">
        <v>9.035467027000001</v>
      </c>
      <c r="EF165" s="25">
        <v>92</v>
      </c>
      <c r="EG165" s="19">
        <v>318.41540303900001</v>
      </c>
      <c r="EH165" s="93">
        <v>16.401443524999998</v>
      </c>
      <c r="EI165" s="93">
        <v>14.606818238000001</v>
      </c>
      <c r="EJ165" s="93">
        <v>0.46518418290096658</v>
      </c>
      <c r="EK165" s="734">
        <v>3.9774990859999999</v>
      </c>
      <c r="EL165" s="25">
        <v>92</v>
      </c>
      <c r="EM165" s="19">
        <v>475.14969001899999</v>
      </c>
      <c r="EN165" s="93">
        <v>42.08</v>
      </c>
      <c r="EO165" s="93">
        <v>45.440505635000001</v>
      </c>
      <c r="EP165" s="93"/>
      <c r="EQ165" s="570">
        <v>19.503293671000002</v>
      </c>
      <c r="ER165" s="570">
        <v>10.696339721999999</v>
      </c>
      <c r="ES165" s="570">
        <v>0.6</v>
      </c>
      <c r="ET165" s="570">
        <v>6.3906488990000003</v>
      </c>
      <c r="EU165" s="570">
        <v>0.4</v>
      </c>
      <c r="EV165" s="734">
        <v>100.586996054</v>
      </c>
      <c r="EW165" s="25">
        <v>92</v>
      </c>
      <c r="EX165" s="915">
        <v>95.245066007999995</v>
      </c>
      <c r="EY165" s="916">
        <v>55.202577695000002</v>
      </c>
      <c r="EZ165" s="916">
        <v>106.117880054</v>
      </c>
      <c r="FA165" s="916">
        <v>0.3</v>
      </c>
      <c r="FB165" s="916">
        <v>117.76732165999999</v>
      </c>
      <c r="FC165" s="916">
        <v>39.635081632999999</v>
      </c>
      <c r="FD165" s="916">
        <v>0.6</v>
      </c>
      <c r="FE165" s="916">
        <v>76.708057268999994</v>
      </c>
      <c r="FF165" s="916">
        <v>61.316834790999998</v>
      </c>
      <c r="FG165" s="917">
        <v>44.803299969999998</v>
      </c>
      <c r="FH165" s="25">
        <v>92</v>
      </c>
      <c r="FI165" s="848">
        <v>44896</v>
      </c>
      <c r="FJ165" s="19"/>
      <c r="FK165" s="93"/>
      <c r="FL165" s="20"/>
      <c r="FM165" s="25"/>
      <c r="FN165" s="19"/>
      <c r="FO165" s="93"/>
      <c r="FP165" s="93"/>
      <c r="FQ165" s="93"/>
      <c r="FR165" s="93"/>
      <c r="FS165" s="93"/>
      <c r="FT165" s="93"/>
      <c r="FU165" s="93"/>
      <c r="FV165" s="93"/>
      <c r="FW165" s="917"/>
      <c r="FX165" s="25"/>
      <c r="FY165" s="916"/>
      <c r="FZ165" s="916"/>
      <c r="GA165" s="916"/>
      <c r="GB165" s="916"/>
      <c r="GC165" s="916"/>
      <c r="GD165" s="916"/>
      <c r="GE165" s="916"/>
      <c r="GF165" s="916"/>
      <c r="GG165" s="916"/>
      <c r="GH165" s="916"/>
      <c r="GI165" s="917"/>
      <c r="GJ165" s="25"/>
      <c r="GK165" s="19"/>
      <c r="GL165" s="20"/>
      <c r="GM165" s="25"/>
      <c r="GN165" s="19">
        <v>4598</v>
      </c>
      <c r="GO165" s="20">
        <v>2406</v>
      </c>
      <c r="GP165" s="25">
        <v>92</v>
      </c>
      <c r="GQ165" s="19">
        <v>30.91</v>
      </c>
      <c r="GR165" s="20">
        <v>30.29</v>
      </c>
      <c r="GS165" s="25">
        <v>92</v>
      </c>
      <c r="GT165" s="848">
        <v>44896</v>
      </c>
      <c r="GU165" s="19"/>
      <c r="GV165" s="93"/>
      <c r="GW165" s="93"/>
      <c r="GX165" s="93"/>
      <c r="GY165" s="93"/>
      <c r="GZ165" s="93"/>
      <c r="HA165" s="93"/>
      <c r="HB165" s="93"/>
      <c r="HC165" s="93"/>
      <c r="HD165" s="93"/>
      <c r="HE165" s="93"/>
      <c r="HF165" s="93"/>
      <c r="HG165" s="93"/>
      <c r="HH165" s="93"/>
      <c r="HI165" s="93"/>
      <c r="HJ165" s="93"/>
      <c r="HK165" s="93"/>
      <c r="HL165" s="93"/>
      <c r="HM165" s="93"/>
      <c r="HN165" s="93"/>
      <c r="HO165" s="93"/>
      <c r="HP165" s="93"/>
      <c r="HQ165" s="93"/>
      <c r="HR165" s="93"/>
      <c r="HS165" s="93"/>
      <c r="HT165" s="93"/>
      <c r="HU165" s="93"/>
      <c r="HV165" s="93"/>
      <c r="HW165" s="93"/>
      <c r="HX165" s="93"/>
      <c r="HY165" s="93"/>
      <c r="HZ165" s="93"/>
      <c r="IA165" s="93"/>
      <c r="IB165" s="93"/>
      <c r="IC165" s="93"/>
      <c r="ID165" s="93"/>
      <c r="IE165" s="93"/>
      <c r="IF165" s="93"/>
      <c r="IG165" s="93"/>
      <c r="IH165" s="93"/>
      <c r="II165" s="93"/>
      <c r="IJ165" s="93"/>
      <c r="IK165" s="93"/>
      <c r="IL165" s="93"/>
      <c r="IM165" s="93"/>
      <c r="IN165" s="93"/>
      <c r="IO165" s="93"/>
      <c r="IP165" s="93"/>
      <c r="IQ165" s="93"/>
      <c r="IR165" s="93"/>
      <c r="IS165" s="93"/>
      <c r="IT165" s="93"/>
      <c r="IU165" s="93"/>
      <c r="IV165" s="93"/>
      <c r="IW165" s="848">
        <v>44896</v>
      </c>
      <c r="IX165" s="93"/>
      <c r="IY165" s="93">
        <v>828.74838173000012</v>
      </c>
      <c r="IZ165" s="93">
        <v>2813.9410329239995</v>
      </c>
      <c r="JA165" s="93">
        <v>0.42652169400000001</v>
      </c>
      <c r="JB165" s="93">
        <v>2511.9139999999998</v>
      </c>
      <c r="JC165" s="93">
        <v>301.60051123</v>
      </c>
      <c r="JD165" s="93">
        <v>3642.6894146539998</v>
      </c>
      <c r="JE165" s="93">
        <v>2074.1841083190002</v>
      </c>
      <c r="JF165" s="93">
        <v>5716.873522973</v>
      </c>
      <c r="JG165" s="93"/>
      <c r="JH165" s="93">
        <v>1972.0706759070001</v>
      </c>
      <c r="JI165" s="93">
        <v>-624.09032409300016</v>
      </c>
      <c r="JJ165" s="93">
        <v>2596.1610000000001</v>
      </c>
      <c r="JK165" s="93">
        <v>4396.1364443080001</v>
      </c>
      <c r="JL165" s="93">
        <v>142.06168322100001</v>
      </c>
      <c r="JM165" s="93">
        <v>60.571683221000008</v>
      </c>
      <c r="JN165" s="93">
        <v>81.490000000000009</v>
      </c>
      <c r="JO165" s="93">
        <v>4254.0747610870003</v>
      </c>
      <c r="JP165" s="93">
        <v>9.1537610869999995</v>
      </c>
      <c r="JQ165" s="93">
        <v>4244.9210000000003</v>
      </c>
      <c r="JR165" s="93">
        <v>1187.8806726909993</v>
      </c>
      <c r="JS165" s="93">
        <v>-536.54707544899986</v>
      </c>
      <c r="JT165" s="20">
        <v>5716.8735229730009</v>
      </c>
      <c r="JU165" s="29">
        <v>92</v>
      </c>
      <c r="JV165" s="19"/>
      <c r="JW165" s="93">
        <v>-624.09032409300016</v>
      </c>
      <c r="JX165" s="93">
        <v>168.74831944099998</v>
      </c>
      <c r="JY165" s="93">
        <v>792.83864353400008</v>
      </c>
      <c r="JZ165" s="93">
        <v>1812.489944057</v>
      </c>
      <c r="KA165" s="93">
        <v>67.136885559000007</v>
      </c>
      <c r="KB165" s="93">
        <v>276.05598233500001</v>
      </c>
      <c r="KC165" s="93">
        <v>208.919096776</v>
      </c>
      <c r="KD165" s="93">
        <v>9.1537610869999995</v>
      </c>
      <c r="KE165" s="93">
        <v>3.6619999999999999</v>
      </c>
      <c r="KF165" s="93">
        <v>0</v>
      </c>
      <c r="KG165" s="93">
        <v>0</v>
      </c>
      <c r="KH165" s="93">
        <v>5.4917610870000004</v>
      </c>
      <c r="KI165" s="93">
        <v>1262.7449119200003</v>
      </c>
      <c r="KJ165" s="93">
        <v>967.05458406800005</v>
      </c>
      <c r="KK165" s="93">
        <v>294.930697839</v>
      </c>
      <c r="KL165" s="93">
        <v>0.75963001299999999</v>
      </c>
      <c r="KM165" s="93">
        <v>0</v>
      </c>
      <c r="KN165" s="93">
        <v>0.77700933500000002</v>
      </c>
      <c r="KO165" s="93">
        <v>0</v>
      </c>
      <c r="KP165" s="93">
        <v>0</v>
      </c>
      <c r="KQ165" s="93">
        <v>0.77700933500000002</v>
      </c>
      <c r="KR165" s="93">
        <v>0</v>
      </c>
      <c r="KS165" s="93">
        <v>0</v>
      </c>
      <c r="KT165" s="93">
        <v>0</v>
      </c>
      <c r="KU165" s="93">
        <v>0.50266335600000001</v>
      </c>
      <c r="KV165" s="93">
        <v>0.66568199899998581</v>
      </c>
      <c r="KW165" s="20"/>
      <c r="KX165" s="29">
        <v>92</v>
      </c>
      <c r="KY165" s="19"/>
      <c r="KZ165" s="93">
        <v>2596.1610000000001</v>
      </c>
      <c r="LA165" s="93">
        <v>2968.3040000000001</v>
      </c>
      <c r="LB165" s="93">
        <v>-372.14300000000003</v>
      </c>
      <c r="LC165" s="93">
        <v>510.38700000000006</v>
      </c>
      <c r="LD165" s="93">
        <v>131.74100000000001</v>
      </c>
      <c r="LE165" s="93">
        <v>378.64600000000002</v>
      </c>
      <c r="LF165" s="93">
        <v>0</v>
      </c>
      <c r="LG165" s="93">
        <v>81.490000000000009</v>
      </c>
      <c r="LH165" s="93">
        <v>1019.239</v>
      </c>
      <c r="LI165" s="93">
        <v>-937.74900000000002</v>
      </c>
      <c r="LJ165" s="93">
        <v>4244.9210000000003</v>
      </c>
      <c r="LK165" s="93">
        <v>59.407000000000004</v>
      </c>
      <c r="LL165" s="93">
        <v>154.69300000000001</v>
      </c>
      <c r="LM165" s="93">
        <v>359.95600000000002</v>
      </c>
      <c r="LN165" s="93">
        <v>3670.8649999999998</v>
      </c>
      <c r="LO165" s="93"/>
      <c r="LP165" s="93">
        <v>1670.4850000000001</v>
      </c>
      <c r="LQ165" s="93">
        <v>2511.9140000000002</v>
      </c>
      <c r="LR165" s="93">
        <v>2073.8510000000001</v>
      </c>
      <c r="LS165" s="93">
        <v>0</v>
      </c>
      <c r="LT165" s="93">
        <v>289.28999999999996</v>
      </c>
      <c r="LU165" s="93">
        <v>0</v>
      </c>
      <c r="LV165" s="93">
        <v>59.491999999999997</v>
      </c>
      <c r="LW165" s="93">
        <v>0</v>
      </c>
      <c r="LX165" s="93">
        <v>0</v>
      </c>
      <c r="LY165" s="93">
        <v>837.81899999999928</v>
      </c>
      <c r="LZ165" s="93">
        <v>-9.8920000000000528</v>
      </c>
      <c r="MA165" s="93"/>
      <c r="MB165" s="93"/>
      <c r="MC165" s="93"/>
      <c r="MD165" s="93"/>
      <c r="ME165" s="93"/>
      <c r="MF165" s="93"/>
      <c r="MG165" s="93"/>
      <c r="MH165" s="20"/>
      <c r="MI165" s="29">
        <v>92</v>
      </c>
      <c r="MJ165" s="29" t="str">
        <f t="shared" si="88"/>
        <v>Trimestre 42022</v>
      </c>
      <c r="MK165" s="848">
        <v>44896</v>
      </c>
      <c r="ML165" s="1991">
        <v>184.83397273105629</v>
      </c>
      <c r="MM165" s="1991">
        <v>163.57040026055947</v>
      </c>
      <c r="MN165" s="1991">
        <v>117.00601803831762</v>
      </c>
      <c r="MO165" s="1991">
        <v>100.0000000000001</v>
      </c>
      <c r="MP165" s="1991">
        <v>184.83397273105629</v>
      </c>
      <c r="MQ165" s="1991">
        <v>164.05640703732243</v>
      </c>
      <c r="MR165" s="1991">
        <v>159.99999999999986</v>
      </c>
      <c r="MS165" s="1991">
        <v>132.65018373644946</v>
      </c>
      <c r="MT165" s="1991">
        <v>100.00065465091683</v>
      </c>
      <c r="MU165" s="1991">
        <v>101.26140661236944</v>
      </c>
      <c r="MV165" s="1991">
        <v>100.08999602021392</v>
      </c>
      <c r="MW165" s="1991">
        <v>100.01070944793751</v>
      </c>
      <c r="MX165" s="1991">
        <v>115.09799658584342</v>
      </c>
      <c r="MY165" s="1991">
        <v>103.65414305948853</v>
      </c>
      <c r="MZ165" s="1991">
        <v>113.34630183820379</v>
      </c>
      <c r="NA165" s="1991">
        <v>91.344419906738977</v>
      </c>
      <c r="NB165" s="1991">
        <v>135.71122341959449</v>
      </c>
      <c r="NC165" s="1991">
        <v>280.94503707816625</v>
      </c>
      <c r="ND165" s="1991">
        <v>94.717997189985084</v>
      </c>
      <c r="NE165" s="1991">
        <v>113.41871097281577</v>
      </c>
      <c r="NF165" s="1991">
        <v>103.27612425977642</v>
      </c>
      <c r="NG165" s="1991">
        <v>100.73355721093445</v>
      </c>
      <c r="NH165" s="1991">
        <v>148.33551693595305</v>
      </c>
      <c r="NI165" s="1991">
        <v>100.00000000000001</v>
      </c>
      <c r="NJ165" s="1991">
        <v>100.00000000000004</v>
      </c>
      <c r="NK165" s="1991">
        <v>140.06324054375355</v>
      </c>
      <c r="NL165" s="29">
        <v>92</v>
      </c>
    </row>
    <row r="166" spans="1:376">
      <c r="A166" s="41">
        <f t="shared" si="86"/>
        <v>2023</v>
      </c>
      <c r="B166" s="785">
        <v>44986</v>
      </c>
      <c r="C166" s="19"/>
      <c r="D166" s="93"/>
      <c r="E166" s="93"/>
      <c r="F166" s="93"/>
      <c r="G166" s="93"/>
      <c r="H166" s="93"/>
      <c r="I166" s="93"/>
      <c r="J166" s="93"/>
      <c r="K166" s="93"/>
      <c r="L166" s="93"/>
      <c r="M166" s="20"/>
      <c r="N166" s="25"/>
      <c r="O166" s="889">
        <f t="shared" si="85"/>
        <v>2023</v>
      </c>
      <c r="P166" s="29" t="str">
        <f t="shared" si="87"/>
        <v>Trimestre 12023</v>
      </c>
      <c r="Q166" s="848">
        <v>44986</v>
      </c>
      <c r="R166" s="733">
        <v>13.934317</v>
      </c>
      <c r="S166" s="570">
        <v>21.169567752216768</v>
      </c>
      <c r="T166" s="570"/>
      <c r="U166" s="570">
        <v>67.075686458922945</v>
      </c>
      <c r="V166" s="25">
        <v>93</v>
      </c>
      <c r="W166" s="19">
        <v>3975.101424</v>
      </c>
      <c r="X166" s="93">
        <v>3975.101424</v>
      </c>
      <c r="Y166" s="93">
        <v>5665.7625325759627</v>
      </c>
      <c r="Z166" s="93">
        <v>2184.881026506524</v>
      </c>
      <c r="AA166" s="93">
        <v>13.904306553</v>
      </c>
      <c r="AB166" s="93">
        <v>9.598703059027434</v>
      </c>
      <c r="AC166" s="93">
        <v>366.16090169507112</v>
      </c>
      <c r="AD166" s="570">
        <v>281.79192</v>
      </c>
      <c r="AE166" s="20">
        <v>17.782235259140588</v>
      </c>
      <c r="AF166" s="25">
        <v>93</v>
      </c>
      <c r="AG166" s="19"/>
      <c r="AH166" s="93"/>
      <c r="AI166" s="93"/>
      <c r="AJ166" s="93"/>
      <c r="AK166" s="93"/>
      <c r="AL166" s="93"/>
      <c r="AM166" s="93"/>
      <c r="AN166" s="20"/>
      <c r="AO166" s="19"/>
      <c r="AP166" s="93"/>
      <c r="AQ166" s="93"/>
      <c r="AR166" s="93"/>
      <c r="AS166" s="20"/>
      <c r="AT166" s="19"/>
      <c r="AU166" s="93"/>
      <c r="AV166" s="20"/>
      <c r="AW166" s="19"/>
      <c r="AX166" s="93"/>
      <c r="AY166" s="93"/>
      <c r="AZ166" s="93"/>
      <c r="BA166" s="93"/>
      <c r="BB166" s="93"/>
      <c r="BC166" s="20"/>
      <c r="BD166" s="19"/>
      <c r="BE166" s="93"/>
      <c r="BF166" s="93"/>
      <c r="BG166" s="93"/>
      <c r="BH166" s="93"/>
      <c r="BI166" s="93"/>
      <c r="BJ166" s="93"/>
      <c r="BK166" s="20"/>
      <c r="BL166" s="19"/>
      <c r="BM166" s="93"/>
      <c r="BN166" s="93"/>
      <c r="BO166" s="93"/>
      <c r="BP166" s="93"/>
      <c r="BQ166" s="20"/>
      <c r="BR166" s="19"/>
      <c r="BS166" s="93"/>
      <c r="BT166" s="93"/>
      <c r="BU166" s="20"/>
      <c r="BV166" s="19"/>
      <c r="BW166" s="93"/>
      <c r="BX166" s="93"/>
      <c r="BY166" s="93"/>
      <c r="BZ166" s="93"/>
      <c r="CA166" s="93"/>
      <c r="CB166" s="20"/>
      <c r="CC166" s="25"/>
      <c r="CD166" s="19">
        <v>82143</v>
      </c>
      <c r="CE166" s="99">
        <v>26044508</v>
      </c>
      <c r="CF166" s="20">
        <f>58868+17001473</f>
        <v>17060341</v>
      </c>
      <c r="CG166" s="25">
        <v>93</v>
      </c>
      <c r="CH166" s="19">
        <v>17606</v>
      </c>
      <c r="CI166" s="93">
        <v>7858</v>
      </c>
      <c r="CJ166" s="93">
        <v>3560</v>
      </c>
      <c r="CK166" s="93">
        <v>7949</v>
      </c>
      <c r="CL166" s="93">
        <v>5343</v>
      </c>
      <c r="CM166" s="93">
        <v>212</v>
      </c>
      <c r="CN166" s="93">
        <v>744</v>
      </c>
      <c r="CO166" s="93">
        <v>2362</v>
      </c>
      <c r="CP166" s="93">
        <v>4727</v>
      </c>
      <c r="CQ166" s="93">
        <v>3941</v>
      </c>
      <c r="CR166" s="214">
        <v>98110</v>
      </c>
      <c r="CS166" s="20">
        <v>135439</v>
      </c>
      <c r="CT166" s="25">
        <v>93</v>
      </c>
      <c r="CU166" s="19">
        <v>12214</v>
      </c>
      <c r="CV166" s="93">
        <v>73234</v>
      </c>
      <c r="CW166" s="93">
        <v>8630</v>
      </c>
      <c r="CX166" s="93">
        <v>2976</v>
      </c>
      <c r="CY166" s="93">
        <v>1637</v>
      </c>
      <c r="CZ166" s="93">
        <v>444</v>
      </c>
      <c r="DA166" s="93">
        <v>36304</v>
      </c>
      <c r="DB166" s="20">
        <v>135439</v>
      </c>
      <c r="DC166" s="25">
        <v>93</v>
      </c>
      <c r="DD166" s="785">
        <v>44986</v>
      </c>
      <c r="DE166" s="1947">
        <v>693.80107024899996</v>
      </c>
      <c r="DF166" s="1948">
        <v>611.25936300000001</v>
      </c>
      <c r="DG166" s="25">
        <v>93</v>
      </c>
      <c r="DH166" s="733">
        <v>864.46288067037494</v>
      </c>
      <c r="DI166" s="734">
        <v>2145.5227089999998</v>
      </c>
      <c r="DJ166" s="1768">
        <v>93</v>
      </c>
      <c r="DK166" s="733">
        <v>693.80107024899996</v>
      </c>
      <c r="DL166" s="734">
        <v>864.46288067037494</v>
      </c>
      <c r="DM166" s="733">
        <v>-170.66181042137501</v>
      </c>
      <c r="DN166" s="734">
        <v>80.258052226715634</v>
      </c>
      <c r="DO166" s="25">
        <v>93</v>
      </c>
      <c r="DP166" s="19">
        <v>170.65928250240501</v>
      </c>
      <c r="DQ166" s="93">
        <v>123.4253814211751</v>
      </c>
      <c r="DR166" s="20">
        <v>210.63687035923419</v>
      </c>
      <c r="DS166" s="25">
        <v>93</v>
      </c>
      <c r="DT166" s="733">
        <v>113.96721549633442</v>
      </c>
      <c r="DU166" s="570">
        <v>162.19222087380911</v>
      </c>
      <c r="DV166" s="734">
        <v>184.84595788154493</v>
      </c>
      <c r="DW166" s="25">
        <v>93</v>
      </c>
      <c r="DX166" s="19">
        <v>149.7441889399272</v>
      </c>
      <c r="DY166" s="20">
        <v>126.95925805770986</v>
      </c>
      <c r="DZ166" s="25">
        <v>93</v>
      </c>
      <c r="EA166" s="19">
        <v>512.98247863200004</v>
      </c>
      <c r="EB166" s="93">
        <v>60.942253847000003</v>
      </c>
      <c r="EC166" s="93">
        <v>15.552852553999999</v>
      </c>
      <c r="ED166" s="570">
        <v>6.5112855249999999</v>
      </c>
      <c r="EE166" s="20">
        <v>28.623481165000001</v>
      </c>
      <c r="EF166" s="25">
        <v>93</v>
      </c>
      <c r="EG166" s="19">
        <v>249.99553598124999</v>
      </c>
      <c r="EH166" s="93">
        <v>27.670532817999998</v>
      </c>
      <c r="EI166" s="93">
        <v>14.918264499000001</v>
      </c>
      <c r="EJ166" s="93">
        <v>0.79703719607106438</v>
      </c>
      <c r="EK166" s="734">
        <v>22.183304811999999</v>
      </c>
      <c r="EL166" s="25">
        <v>93</v>
      </c>
      <c r="EM166" s="19">
        <v>467.43536460899998</v>
      </c>
      <c r="EN166" s="93">
        <v>16.809999999999999</v>
      </c>
      <c r="EO166" s="93">
        <v>34.472707921999998</v>
      </c>
      <c r="EP166" s="93"/>
      <c r="EQ166" s="570">
        <v>6.8931190009999996</v>
      </c>
      <c r="ER166" s="570">
        <v>7.5932149390000001</v>
      </c>
      <c r="ES166" s="570">
        <v>0</v>
      </c>
      <c r="ET166" s="570">
        <v>14.251367655999999</v>
      </c>
      <c r="EU166" s="570">
        <v>0</v>
      </c>
      <c r="EV166" s="734">
        <v>76.992566671999995</v>
      </c>
      <c r="EW166" s="25">
        <v>93</v>
      </c>
      <c r="EX166" s="915">
        <v>113.00471533699999</v>
      </c>
      <c r="EY166" s="916">
        <v>47.296963978999997</v>
      </c>
      <c r="EZ166" s="916">
        <v>71.016905443374995</v>
      </c>
      <c r="FA166" s="916">
        <v>0</v>
      </c>
      <c r="FB166" s="916">
        <v>121.45026629175</v>
      </c>
      <c r="FC166" s="916">
        <v>38.404912664000001</v>
      </c>
      <c r="FD166" s="916">
        <v>0</v>
      </c>
      <c r="FE166" s="916">
        <v>41.741618447999997</v>
      </c>
      <c r="FF166" s="916">
        <v>35.373602697999999</v>
      </c>
      <c r="FG166" s="917">
        <v>32.571716901000002</v>
      </c>
      <c r="FH166" s="25">
        <v>93</v>
      </c>
      <c r="FI166" s="848">
        <v>44986</v>
      </c>
      <c r="FJ166" s="19"/>
      <c r="FK166" s="93"/>
      <c r="FL166" s="20"/>
      <c r="FM166" s="25"/>
      <c r="FN166" s="19"/>
      <c r="FO166" s="93"/>
      <c r="FP166" s="93"/>
      <c r="FQ166" s="93"/>
      <c r="FR166" s="93"/>
      <c r="FS166" s="93"/>
      <c r="FT166" s="93"/>
      <c r="FU166" s="93"/>
      <c r="FV166" s="93"/>
      <c r="FW166" s="917"/>
      <c r="FX166" s="25"/>
      <c r="FY166" s="916"/>
      <c r="FZ166" s="916"/>
      <c r="GA166" s="916"/>
      <c r="GB166" s="916"/>
      <c r="GC166" s="916"/>
      <c r="GD166" s="916"/>
      <c r="GE166" s="916"/>
      <c r="GF166" s="916"/>
      <c r="GG166" s="916"/>
      <c r="GH166" s="916"/>
      <c r="GI166" s="917"/>
      <c r="GJ166" s="25"/>
      <c r="GK166" s="19"/>
      <c r="GL166" s="20"/>
      <c r="GM166" s="25"/>
      <c r="GN166" s="19">
        <v>3945</v>
      </c>
      <c r="GO166" s="20">
        <v>2093</v>
      </c>
      <c r="GP166" s="25">
        <v>93</v>
      </c>
      <c r="GQ166" s="19">
        <v>31.17</v>
      </c>
      <c r="GR166" s="20">
        <v>30.56</v>
      </c>
      <c r="GS166" s="25">
        <v>93</v>
      </c>
      <c r="GT166" s="848">
        <v>44986</v>
      </c>
      <c r="GU166" s="19"/>
      <c r="GV166" s="93"/>
      <c r="GW166" s="93"/>
      <c r="GX166" s="93"/>
      <c r="GY166" s="93"/>
      <c r="GZ166" s="93"/>
      <c r="HA166" s="93"/>
      <c r="HB166" s="93"/>
      <c r="HC166" s="93"/>
      <c r="HD166" s="93"/>
      <c r="HE166" s="93"/>
      <c r="HF166" s="93"/>
      <c r="HG166" s="93"/>
      <c r="HH166" s="93"/>
      <c r="HI166" s="93"/>
      <c r="HJ166" s="93"/>
      <c r="HK166" s="93"/>
      <c r="HL166" s="93"/>
      <c r="HM166" s="93"/>
      <c r="HN166" s="93"/>
      <c r="HO166" s="93"/>
      <c r="HP166" s="93"/>
      <c r="HQ166" s="93"/>
      <c r="HR166" s="93"/>
      <c r="HS166" s="93"/>
      <c r="HT166" s="93"/>
      <c r="HU166" s="93"/>
      <c r="HV166" s="93"/>
      <c r="HW166" s="93"/>
      <c r="HX166" s="93"/>
      <c r="HY166" s="93"/>
      <c r="HZ166" s="93"/>
      <c r="IA166" s="93"/>
      <c r="IB166" s="93"/>
      <c r="IC166" s="93"/>
      <c r="ID166" s="93"/>
      <c r="IE166" s="93"/>
      <c r="IF166" s="93"/>
      <c r="IG166" s="93"/>
      <c r="IH166" s="93"/>
      <c r="II166" s="93"/>
      <c r="IJ166" s="93"/>
      <c r="IK166" s="93"/>
      <c r="IL166" s="93"/>
      <c r="IM166" s="93"/>
      <c r="IN166" s="93"/>
      <c r="IO166" s="93"/>
      <c r="IP166" s="93"/>
      <c r="IQ166" s="93"/>
      <c r="IR166" s="93"/>
      <c r="IS166" s="93"/>
      <c r="IT166" s="93"/>
      <c r="IU166" s="93"/>
      <c r="IV166" s="93"/>
      <c r="IW166" s="848">
        <v>44986</v>
      </c>
      <c r="IX166" s="93"/>
      <c r="IY166" s="93">
        <v>858.63758405400006</v>
      </c>
      <c r="IZ166" s="93">
        <v>2550.6226424810002</v>
      </c>
      <c r="JA166" s="93">
        <v>0.54813125100000004</v>
      </c>
      <c r="JB166" s="93">
        <v>2248.4740000000002</v>
      </c>
      <c r="JC166" s="93">
        <v>301.60051123</v>
      </c>
      <c r="JD166" s="93">
        <v>3409.2602265350001</v>
      </c>
      <c r="JE166" s="93">
        <v>1969.3901083190001</v>
      </c>
      <c r="JF166" s="93">
        <v>5378.650334854</v>
      </c>
      <c r="JG166" s="93"/>
      <c r="JH166" s="93">
        <v>1657.7496957499998</v>
      </c>
      <c r="JI166" s="93">
        <v>-391.68530425</v>
      </c>
      <c r="JJ166" s="93">
        <v>2049.4349999999999</v>
      </c>
      <c r="JK166" s="93">
        <v>4317.6425430890004</v>
      </c>
      <c r="JL166" s="93">
        <v>205.32350421300009</v>
      </c>
      <c r="JM166" s="93">
        <v>22.294504212999989</v>
      </c>
      <c r="JN166" s="93">
        <v>183.02900000000011</v>
      </c>
      <c r="JO166" s="93">
        <v>4112.3190388760004</v>
      </c>
      <c r="JP166" s="93">
        <v>9.2310388759999995</v>
      </c>
      <c r="JQ166" s="93">
        <v>4103.0879999999997</v>
      </c>
      <c r="JR166" s="93">
        <v>1185.428432729</v>
      </c>
      <c r="JS166" s="93">
        <v>-588.68652874400004</v>
      </c>
      <c r="JT166" s="20">
        <v>5378.6503348540009</v>
      </c>
      <c r="JU166" s="29">
        <v>93</v>
      </c>
      <c r="JV166" s="19"/>
      <c r="JW166" s="93">
        <v>-391.68530425</v>
      </c>
      <c r="JX166" s="93">
        <v>310.95002076400004</v>
      </c>
      <c r="JY166" s="93">
        <v>702.63532501400005</v>
      </c>
      <c r="JZ166" s="93">
        <v>1547.456031532</v>
      </c>
      <c r="KA166" s="93">
        <v>28.859706550999988</v>
      </c>
      <c r="KB166" s="93">
        <v>324.13975690299998</v>
      </c>
      <c r="KC166" s="93">
        <v>295.28005035199999</v>
      </c>
      <c r="KD166" s="93">
        <v>9.2310388759999995</v>
      </c>
      <c r="KE166" s="93">
        <v>3.5590000000000002</v>
      </c>
      <c r="KF166" s="93">
        <v>0</v>
      </c>
      <c r="KG166" s="93">
        <v>0</v>
      </c>
      <c r="KH166" s="93">
        <v>5.6720388760000002</v>
      </c>
      <c r="KI166" s="93">
        <v>1243.6039750799998</v>
      </c>
      <c r="KJ166" s="93">
        <v>983.01278639199995</v>
      </c>
      <c r="KK166" s="93">
        <v>259.709949118</v>
      </c>
      <c r="KL166" s="93">
        <v>0.88123956999999997</v>
      </c>
      <c r="KM166" s="93">
        <v>0</v>
      </c>
      <c r="KN166" s="93">
        <v>3.91654276</v>
      </c>
      <c r="KO166" s="93">
        <v>0</v>
      </c>
      <c r="KP166" s="93">
        <v>0</v>
      </c>
      <c r="KQ166" s="93">
        <v>3.91654276</v>
      </c>
      <c r="KR166" s="93">
        <v>0</v>
      </c>
      <c r="KS166" s="93">
        <v>0</v>
      </c>
      <c r="KT166" s="93">
        <v>0</v>
      </c>
      <c r="KU166" s="93">
        <v>9.1908899690000005</v>
      </c>
      <c r="KV166" s="93">
        <v>-62.84993510000001</v>
      </c>
      <c r="KW166" s="20"/>
      <c r="KX166" s="29">
        <v>93</v>
      </c>
      <c r="KY166" s="19"/>
      <c r="KZ166" s="93">
        <v>2049.4349999999999</v>
      </c>
      <c r="LA166" s="93">
        <v>2795.2429999999999</v>
      </c>
      <c r="LB166" s="93">
        <v>-745.80799999999999</v>
      </c>
      <c r="LC166" s="93">
        <v>379.733</v>
      </c>
      <c r="LD166" s="93">
        <v>117.81</v>
      </c>
      <c r="LE166" s="93">
        <v>261.923</v>
      </c>
      <c r="LF166" s="93">
        <v>0</v>
      </c>
      <c r="LG166" s="93">
        <v>310.81400000000008</v>
      </c>
      <c r="LH166" s="93">
        <v>1115.586</v>
      </c>
      <c r="LI166" s="93">
        <v>-804.77199999999993</v>
      </c>
      <c r="LJ166" s="93">
        <v>3975.3029999999999</v>
      </c>
      <c r="LK166" s="93">
        <v>43.541000000000004</v>
      </c>
      <c r="LL166" s="93">
        <v>15.304</v>
      </c>
      <c r="LM166" s="93">
        <v>343.779</v>
      </c>
      <c r="LN166" s="93">
        <v>3572.6790000000001</v>
      </c>
      <c r="LO166" s="93"/>
      <c r="LP166" s="93">
        <v>1544.69</v>
      </c>
      <c r="LQ166" s="93">
        <v>2248.4740000000002</v>
      </c>
      <c r="LR166" s="93">
        <v>1969.057</v>
      </c>
      <c r="LS166" s="93">
        <v>0</v>
      </c>
      <c r="LT166" s="93">
        <v>263.64299999999997</v>
      </c>
      <c r="LU166" s="93">
        <v>0</v>
      </c>
      <c r="LV166" s="93">
        <v>45.588999999999992</v>
      </c>
      <c r="LW166" s="93">
        <v>0</v>
      </c>
      <c r="LX166" s="93">
        <v>0</v>
      </c>
      <c r="LY166" s="93">
        <v>731.08899999999994</v>
      </c>
      <c r="LZ166" s="93">
        <v>-87.257000000000005</v>
      </c>
      <c r="MA166" s="93"/>
      <c r="MB166" s="93"/>
      <c r="MC166" s="93"/>
      <c r="MD166" s="93"/>
      <c r="ME166" s="93"/>
      <c r="MF166" s="93"/>
      <c r="MG166" s="93"/>
      <c r="MH166" s="20"/>
      <c r="MI166" s="29">
        <v>93</v>
      </c>
      <c r="MJ166" s="29" t="str">
        <f t="shared" si="88"/>
        <v>Trimestre 12023</v>
      </c>
      <c r="MK166" s="848">
        <v>44986</v>
      </c>
      <c r="ML166" s="1991">
        <v>185.44910196267048</v>
      </c>
      <c r="MM166" s="1991">
        <v>171.83233759008618</v>
      </c>
      <c r="MN166" s="1991">
        <v>118.58925328952803</v>
      </c>
      <c r="MO166" s="1991">
        <v>100.00000000000013</v>
      </c>
      <c r="MP166" s="1991">
        <v>185.44910196267048</v>
      </c>
      <c r="MQ166" s="1991">
        <v>172.33449359840873</v>
      </c>
      <c r="MR166" s="1991">
        <v>159.99999999999986</v>
      </c>
      <c r="MS166" s="1991">
        <v>136.47146675096886</v>
      </c>
      <c r="MT166" s="1991">
        <v>100.00065465091681</v>
      </c>
      <c r="MU166" s="1991">
        <v>101.2614066124502</v>
      </c>
      <c r="MV166" s="1991">
        <v>99.94720577109365</v>
      </c>
      <c r="MW166" s="1991">
        <v>99.624105419119161</v>
      </c>
      <c r="MX166" s="1991">
        <v>115.09799658584345</v>
      </c>
      <c r="MY166" s="1991">
        <v>103.65414305957231</v>
      </c>
      <c r="MZ166" s="1991">
        <v>113.25646998473957</v>
      </c>
      <c r="NA166" s="1991">
        <v>109.42678018724067</v>
      </c>
      <c r="NB166" s="1991">
        <v>126.56908947932352</v>
      </c>
      <c r="NC166" s="1991">
        <v>233.13534657913254</v>
      </c>
      <c r="ND166" s="1991">
        <v>94.677754704105354</v>
      </c>
      <c r="NE166" s="1991">
        <v>114.48096940358101</v>
      </c>
      <c r="NF166" s="1991">
        <v>104.35960355406276</v>
      </c>
      <c r="NG166" s="1991">
        <v>103.89082840607622</v>
      </c>
      <c r="NH166" s="1991">
        <v>148.33551693595314</v>
      </c>
      <c r="NI166" s="1991">
        <v>100.00000000000007</v>
      </c>
      <c r="NJ166" s="1991">
        <v>100.00000000000006</v>
      </c>
      <c r="NK166" s="1991">
        <v>145.21060880695899</v>
      </c>
      <c r="NL166" s="29">
        <v>93</v>
      </c>
    </row>
    <row r="167" spans="1:376">
      <c r="A167" s="41">
        <f t="shared" si="86"/>
        <v>2023</v>
      </c>
      <c r="B167" s="785">
        <v>45078</v>
      </c>
      <c r="C167" s="19"/>
      <c r="D167" s="93"/>
      <c r="E167" s="93"/>
      <c r="F167" s="93"/>
      <c r="G167" s="93"/>
      <c r="H167" s="93"/>
      <c r="I167" s="93"/>
      <c r="J167" s="93"/>
      <c r="K167" s="93"/>
      <c r="L167" s="93"/>
      <c r="M167" s="20"/>
      <c r="N167" s="25"/>
      <c r="O167" s="889">
        <f t="shared" si="85"/>
        <v>2023</v>
      </c>
      <c r="P167" s="29" t="str">
        <f t="shared" si="87"/>
        <v>Trimestre 22023</v>
      </c>
      <c r="Q167" s="848">
        <v>45078</v>
      </c>
      <c r="R167" s="733">
        <v>13.592885999999998</v>
      </c>
      <c r="S167" s="570">
        <v>2.2853293800575729</v>
      </c>
      <c r="T167" s="570"/>
      <c r="U167" s="570">
        <v>69.505189889514909</v>
      </c>
      <c r="V167" s="25">
        <v>94</v>
      </c>
      <c r="W167" s="19">
        <v>639.29997100000003</v>
      </c>
      <c r="X167" s="93">
        <v>639.29997100000003</v>
      </c>
      <c r="Y167" s="93">
        <v>6419.4862007637757</v>
      </c>
      <c r="Z167" s="93">
        <v>2231.8707917504935</v>
      </c>
      <c r="AA167" s="93">
        <v>9.7727789299999994</v>
      </c>
      <c r="AB167" s="93">
        <v>192.45170009789933</v>
      </c>
      <c r="AC167" s="93">
        <v>210.88197878709929</v>
      </c>
      <c r="AD167" s="570">
        <v>375.919397</v>
      </c>
      <c r="AE167" s="20">
        <v>14.428880681000001</v>
      </c>
      <c r="AF167" s="25">
        <v>94</v>
      </c>
      <c r="AG167" s="19"/>
      <c r="AH167" s="93"/>
      <c r="AI167" s="93"/>
      <c r="AJ167" s="93"/>
      <c r="AK167" s="93"/>
      <c r="AL167" s="93"/>
      <c r="AM167" s="93"/>
      <c r="AN167" s="20"/>
      <c r="AO167" s="19"/>
      <c r="AP167" s="93"/>
      <c r="AQ167" s="93"/>
      <c r="AR167" s="93"/>
      <c r="AS167" s="20"/>
      <c r="AT167" s="19"/>
      <c r="AU167" s="93"/>
      <c r="AV167" s="20"/>
      <c r="AW167" s="19"/>
      <c r="AX167" s="93"/>
      <c r="AY167" s="93"/>
      <c r="AZ167" s="93"/>
      <c r="BA167" s="93"/>
      <c r="BB167" s="93"/>
      <c r="BC167" s="20"/>
      <c r="BD167" s="19"/>
      <c r="BE167" s="93"/>
      <c r="BF167" s="93"/>
      <c r="BG167" s="93"/>
      <c r="BH167" s="93"/>
      <c r="BI167" s="93"/>
      <c r="BJ167" s="93"/>
      <c r="BK167" s="20"/>
      <c r="BL167" s="19"/>
      <c r="BM167" s="93"/>
      <c r="BN167" s="93"/>
      <c r="BO167" s="93"/>
      <c r="BP167" s="93"/>
      <c r="BQ167" s="20"/>
      <c r="BR167" s="19"/>
      <c r="BS167" s="93"/>
      <c r="BT167" s="93"/>
      <c r="BU167" s="20"/>
      <c r="BV167" s="19"/>
      <c r="BW167" s="93"/>
      <c r="BX167" s="93"/>
      <c r="BY167" s="93"/>
      <c r="BZ167" s="93"/>
      <c r="CA167" s="93"/>
      <c r="CB167" s="20"/>
      <c r="CC167" s="25"/>
      <c r="CD167" s="19">
        <v>81884</v>
      </c>
      <c r="CE167" s="99">
        <v>26308462</v>
      </c>
      <c r="CF167" s="20">
        <f>66931+17532119</f>
        <v>17599050</v>
      </c>
      <c r="CG167" s="25">
        <v>94</v>
      </c>
      <c r="CH167" s="19"/>
      <c r="CI167" s="93"/>
      <c r="CJ167" s="93"/>
      <c r="CK167" s="93"/>
      <c r="CL167" s="93"/>
      <c r="CM167" s="93"/>
      <c r="CN167" s="93"/>
      <c r="CO167" s="93"/>
      <c r="CP167" s="93"/>
      <c r="CQ167" s="93"/>
      <c r="CR167" s="214"/>
      <c r="CS167" s="20"/>
      <c r="CT167" s="25"/>
      <c r="CU167" s="19"/>
      <c r="CV167" s="93"/>
      <c r="CW167" s="93"/>
      <c r="CX167" s="93"/>
      <c r="CY167" s="93"/>
      <c r="CZ167" s="93"/>
      <c r="DA167" s="93"/>
      <c r="DB167" s="20"/>
      <c r="DC167" s="25"/>
      <c r="DD167" s="785">
        <v>45078</v>
      </c>
      <c r="DE167" s="1947">
        <v>686.813883519</v>
      </c>
      <c r="DF167" s="1948">
        <v>532.01099799999997</v>
      </c>
      <c r="DG167" s="25">
        <v>94</v>
      </c>
      <c r="DH167" s="733">
        <v>873.37362322499996</v>
      </c>
      <c r="DI167" s="734">
        <v>2182.2213379999998</v>
      </c>
      <c r="DJ167" s="25">
        <v>94</v>
      </c>
      <c r="DK167" s="733">
        <v>686.813883519</v>
      </c>
      <c r="DL167" s="734">
        <v>873.37362322499996</v>
      </c>
      <c r="DM167" s="733">
        <v>-186.55973970599999</v>
      </c>
      <c r="DN167" s="734">
        <v>78.639183192055455</v>
      </c>
      <c r="DO167" s="25">
        <v>94</v>
      </c>
      <c r="DP167" s="19">
        <v>173.99781314745474</v>
      </c>
      <c r="DQ167" s="93">
        <v>120.34024053937735</v>
      </c>
      <c r="DR167" s="20">
        <v>209.38938687490335</v>
      </c>
      <c r="DS167" s="25">
        <v>94</v>
      </c>
      <c r="DT167" s="733">
        <v>111.83640207380456</v>
      </c>
      <c r="DU167" s="570">
        <v>166.05956552674539</v>
      </c>
      <c r="DV167" s="734">
        <v>185.71504338450379</v>
      </c>
      <c r="DW167" s="25">
        <v>94</v>
      </c>
      <c r="DX167" s="19">
        <v>155.58244893521146</v>
      </c>
      <c r="DY167" s="20">
        <v>133.64522124700574</v>
      </c>
      <c r="DZ167" s="25">
        <v>94</v>
      </c>
      <c r="EA167" s="19">
        <v>522.10059471800002</v>
      </c>
      <c r="EB167" s="93">
        <v>47.054705376000001</v>
      </c>
      <c r="EC167" s="93">
        <v>8.1336953400000009</v>
      </c>
      <c r="ED167" s="93">
        <v>0.39523518699999999</v>
      </c>
      <c r="EE167" s="20">
        <v>42.655288841000001</v>
      </c>
      <c r="EF167" s="25">
        <v>94</v>
      </c>
      <c r="EG167" s="19">
        <v>278.66916553200002</v>
      </c>
      <c r="EH167" s="93">
        <v>21.972677128000001</v>
      </c>
      <c r="EI167" s="93">
        <v>13.65846936</v>
      </c>
      <c r="EJ167" s="93">
        <v>0.48266642367746676</v>
      </c>
      <c r="EK167" s="20"/>
      <c r="EL167" s="25">
        <v>94</v>
      </c>
      <c r="EM167" s="19">
        <v>452.18488259499998</v>
      </c>
      <c r="EN167" s="93">
        <v>14.55</v>
      </c>
      <c r="EO167" s="93">
        <v>24.952565916000001</v>
      </c>
      <c r="EP167" s="93"/>
      <c r="EQ167" s="570">
        <v>7.6297229849999999</v>
      </c>
      <c r="ER167" s="570">
        <v>8.7466752339999996</v>
      </c>
      <c r="ES167" s="570">
        <v>0</v>
      </c>
      <c r="ET167" s="570">
        <v>11.33547012</v>
      </c>
      <c r="EU167" s="570">
        <v>0</v>
      </c>
      <c r="EV167" s="734">
        <v>40.030505691999998</v>
      </c>
      <c r="EW167" s="25">
        <v>94</v>
      </c>
      <c r="EX167" s="915">
        <v>113.722828647</v>
      </c>
      <c r="EY167" s="916">
        <v>40.76470656</v>
      </c>
      <c r="EZ167" s="916">
        <v>63.866997503999997</v>
      </c>
      <c r="FA167" s="916">
        <v>0</v>
      </c>
      <c r="FB167" s="916">
        <v>122.98584519649999</v>
      </c>
      <c r="FC167" s="916">
        <v>45.776231367500003</v>
      </c>
      <c r="FD167" s="916">
        <v>0</v>
      </c>
      <c r="FE167" s="916">
        <v>70.107779722000004</v>
      </c>
      <c r="FF167" s="916">
        <v>29.920509418000002</v>
      </c>
      <c r="FG167" s="917">
        <v>28.230564516000001</v>
      </c>
      <c r="FH167" s="25">
        <v>94</v>
      </c>
      <c r="FI167" s="848">
        <v>45078</v>
      </c>
      <c r="FJ167" s="19"/>
      <c r="FK167" s="93"/>
      <c r="FL167" s="20"/>
      <c r="FM167" s="25"/>
      <c r="FN167" s="19"/>
      <c r="FO167" s="93"/>
      <c r="FP167" s="93"/>
      <c r="FQ167" s="93"/>
      <c r="FR167" s="93"/>
      <c r="FS167" s="93"/>
      <c r="FT167" s="93"/>
      <c r="FU167" s="93"/>
      <c r="FV167" s="93"/>
      <c r="FW167" s="917"/>
      <c r="FX167" s="25"/>
      <c r="FY167" s="916"/>
      <c r="FZ167" s="916"/>
      <c r="GA167" s="916"/>
      <c r="GB167" s="916"/>
      <c r="GC167" s="916"/>
      <c r="GD167" s="916"/>
      <c r="GE167" s="916"/>
      <c r="GF167" s="916"/>
      <c r="GG167" s="916"/>
      <c r="GH167" s="916"/>
      <c r="GI167" s="917"/>
      <c r="GJ167" s="25"/>
      <c r="GK167" s="19"/>
      <c r="GL167" s="20"/>
      <c r="GM167" s="25"/>
      <c r="GN167" s="19">
        <v>4810</v>
      </c>
      <c r="GO167" s="20">
        <v>2400</v>
      </c>
      <c r="GP167" s="25">
        <v>94</v>
      </c>
      <c r="GQ167" s="19">
        <v>30.52</v>
      </c>
      <c r="GR167" s="20">
        <v>29.98</v>
      </c>
      <c r="GS167" s="25">
        <v>94</v>
      </c>
      <c r="GT167" s="848">
        <v>45078</v>
      </c>
      <c r="GU167" s="19"/>
      <c r="GV167" s="93"/>
      <c r="GW167" s="93"/>
      <c r="GX167" s="93"/>
      <c r="GY167" s="93"/>
      <c r="GZ167" s="93"/>
      <c r="HA167" s="93"/>
      <c r="HB167" s="93"/>
      <c r="HC167" s="93"/>
      <c r="HD167" s="93"/>
      <c r="HE167" s="93"/>
      <c r="HF167" s="93"/>
      <c r="HG167" s="93"/>
      <c r="HH167" s="93"/>
      <c r="HI167" s="93"/>
      <c r="HJ167" s="93"/>
      <c r="HK167" s="93"/>
      <c r="HL167" s="93"/>
      <c r="HM167" s="93"/>
      <c r="HN167" s="93"/>
      <c r="HO167" s="93"/>
      <c r="HP167" s="93"/>
      <c r="HQ167" s="93"/>
      <c r="HR167" s="93"/>
      <c r="HS167" s="93"/>
      <c r="HT167" s="93"/>
      <c r="HU167" s="93"/>
      <c r="HV167" s="93"/>
      <c r="HW167" s="93"/>
      <c r="HX167" s="93"/>
      <c r="HY167" s="93"/>
      <c r="HZ167" s="93"/>
      <c r="IA167" s="93"/>
      <c r="IB167" s="93"/>
      <c r="IC167" s="93"/>
      <c r="ID167" s="93"/>
      <c r="IE167" s="93"/>
      <c r="IF167" s="93"/>
      <c r="IG167" s="93"/>
      <c r="IH167" s="93"/>
      <c r="II167" s="93"/>
      <c r="IJ167" s="93"/>
      <c r="IK167" s="93"/>
      <c r="IL167" s="93"/>
      <c r="IM167" s="93"/>
      <c r="IN167" s="93"/>
      <c r="IO167" s="93"/>
      <c r="IP167" s="93"/>
      <c r="IQ167" s="93"/>
      <c r="IR167" s="93"/>
      <c r="IS167" s="93"/>
      <c r="IT167" s="93"/>
      <c r="IU167" s="93"/>
      <c r="IV167" s="93"/>
      <c r="IW167" s="848">
        <v>45078</v>
      </c>
      <c r="IX167" s="93"/>
      <c r="IY167" s="93">
        <v>923.48333448599999</v>
      </c>
      <c r="IZ167" s="93">
        <v>2690.4704537129996</v>
      </c>
      <c r="JA167" s="93">
        <v>0.35494248299999998</v>
      </c>
      <c r="JB167" s="93">
        <v>2388.5149999999999</v>
      </c>
      <c r="JC167" s="93">
        <v>301.60051123</v>
      </c>
      <c r="JD167" s="93">
        <v>3613.9537881989995</v>
      </c>
      <c r="JE167" s="93">
        <v>2130.9751083189999</v>
      </c>
      <c r="JF167" s="93">
        <v>5744.9288965179994</v>
      </c>
      <c r="JG167" s="93"/>
      <c r="JH167" s="93">
        <v>1870.3018244580001</v>
      </c>
      <c r="JI167" s="93">
        <v>-404.02417554199997</v>
      </c>
      <c r="JJ167" s="93">
        <v>2274.326</v>
      </c>
      <c r="JK167" s="93">
        <v>4551.9022971499999</v>
      </c>
      <c r="JL167" s="93">
        <v>399.33740789299998</v>
      </c>
      <c r="JM167" s="93">
        <v>117.20440789299997</v>
      </c>
      <c r="JN167" s="93">
        <v>282.13300000000004</v>
      </c>
      <c r="JO167" s="93">
        <v>4152.5648892569998</v>
      </c>
      <c r="JP167" s="93">
        <v>9.3588892569999995</v>
      </c>
      <c r="JQ167" s="93">
        <v>4143.2060000000001</v>
      </c>
      <c r="JR167" s="93">
        <v>1262.5841128569991</v>
      </c>
      <c r="JS167" s="93">
        <v>-585.30888776700021</v>
      </c>
      <c r="JT167" s="20">
        <v>5744.9288965180003</v>
      </c>
      <c r="JU167" s="29">
        <v>94</v>
      </c>
      <c r="JV167" s="19"/>
      <c r="JW167" s="93">
        <v>-404.02417554199997</v>
      </c>
      <c r="JX167" s="93">
        <v>496.70488802700004</v>
      </c>
      <c r="JY167" s="93">
        <v>900.729063569</v>
      </c>
      <c r="JZ167" s="93">
        <v>1644.2957604129999</v>
      </c>
      <c r="KA167" s="93">
        <v>123.76961023099997</v>
      </c>
      <c r="KB167" s="93">
        <v>320.24977640499998</v>
      </c>
      <c r="KC167" s="93">
        <v>196.480166174</v>
      </c>
      <c r="KD167" s="93">
        <v>9.3588892569999995</v>
      </c>
      <c r="KE167" s="93">
        <v>3.3340000000000001</v>
      </c>
      <c r="KF167" s="93">
        <v>0</v>
      </c>
      <c r="KG167" s="93">
        <v>0</v>
      </c>
      <c r="KH167" s="93">
        <v>6.0248892569999999</v>
      </c>
      <c r="KI167" s="93">
        <v>1349.5134398269997</v>
      </c>
      <c r="KJ167" s="93">
        <v>1063.3675368239999</v>
      </c>
      <c r="KK167" s="93">
        <v>285.45785220099998</v>
      </c>
      <c r="KL167" s="93">
        <v>0.68805080200000002</v>
      </c>
      <c r="KM167" s="93">
        <v>0</v>
      </c>
      <c r="KN167" s="93">
        <v>4.2606470080000003</v>
      </c>
      <c r="KO167" s="93">
        <v>0</v>
      </c>
      <c r="KP167" s="93">
        <v>0</v>
      </c>
      <c r="KQ167" s="93">
        <v>4.2606470080000003</v>
      </c>
      <c r="KR167" s="93">
        <v>0</v>
      </c>
      <c r="KS167" s="93">
        <v>0</v>
      </c>
      <c r="KT167" s="93">
        <v>0</v>
      </c>
      <c r="KU167" s="93">
        <v>25.694465849</v>
      </c>
      <c r="KV167" s="93">
        <v>-6.0684683249999862</v>
      </c>
      <c r="KW167" s="20"/>
      <c r="KX167" s="29">
        <v>94</v>
      </c>
      <c r="KY167" s="19"/>
      <c r="KZ167" s="93">
        <v>2274.326</v>
      </c>
      <c r="LA167" s="93">
        <v>2699.6080000000002</v>
      </c>
      <c r="LB167" s="93">
        <v>-425.2820000000001</v>
      </c>
      <c r="LC167" s="93">
        <v>528.58299999999997</v>
      </c>
      <c r="LD167" s="93">
        <v>133.31899999999999</v>
      </c>
      <c r="LE167" s="93">
        <v>395.26400000000001</v>
      </c>
      <c r="LF167" s="93">
        <v>0</v>
      </c>
      <c r="LG167" s="93">
        <v>282.13300000000004</v>
      </c>
      <c r="LH167" s="93">
        <v>1184.596</v>
      </c>
      <c r="LI167" s="93">
        <v>-902.46299999999997</v>
      </c>
      <c r="LJ167" s="93">
        <v>4143.2060000000001</v>
      </c>
      <c r="LK167" s="93">
        <v>64.765000000000001</v>
      </c>
      <c r="LL167" s="93">
        <v>15.122999999999999</v>
      </c>
      <c r="LM167" s="93">
        <v>403.38900000000001</v>
      </c>
      <c r="LN167" s="93">
        <v>3659.9290000000001</v>
      </c>
      <c r="LO167" s="93"/>
      <c r="LP167" s="93">
        <v>1644.2049999999999</v>
      </c>
      <c r="LQ167" s="93">
        <v>2388.5149999999999</v>
      </c>
      <c r="LR167" s="93">
        <v>2130.6420000000003</v>
      </c>
      <c r="LS167" s="93">
        <v>0</v>
      </c>
      <c r="LT167" s="93">
        <v>285.96199999999999</v>
      </c>
      <c r="LU167" s="93">
        <v>0</v>
      </c>
      <c r="LV167" s="93">
        <v>101.01599999999999</v>
      </c>
      <c r="LW167" s="93">
        <v>0</v>
      </c>
      <c r="LX167" s="93">
        <v>0</v>
      </c>
      <c r="LY167" s="93">
        <v>845.65099999999916</v>
      </c>
      <c r="LZ167" s="93">
        <v>-167.74299999999999</v>
      </c>
      <c r="MA167" s="93"/>
      <c r="MB167" s="93"/>
      <c r="MC167" s="93"/>
      <c r="MD167" s="93"/>
      <c r="ME167" s="93"/>
      <c r="MF167" s="93"/>
      <c r="MG167" s="93"/>
      <c r="MH167" s="20"/>
      <c r="MI167" s="29">
        <v>94</v>
      </c>
      <c r="MJ167" s="29" t="str">
        <f t="shared" si="88"/>
        <v>Trimestre 22023</v>
      </c>
      <c r="MK167" s="848">
        <v>45078</v>
      </c>
      <c r="ML167" s="1991">
        <v>192.92951298081073</v>
      </c>
      <c r="MM167" s="1991">
        <v>180.18896630628549</v>
      </c>
      <c r="MN167" s="1991">
        <v>118.93824073436346</v>
      </c>
      <c r="MO167" s="1991">
        <v>100.00000000000013</v>
      </c>
      <c r="MP167" s="1991">
        <v>192.92951298081073</v>
      </c>
      <c r="MQ167" s="1991">
        <v>180.88913239674687</v>
      </c>
      <c r="MR167" s="1991">
        <v>159.99999999999986</v>
      </c>
      <c r="MS167" s="1991">
        <v>135.17309667885354</v>
      </c>
      <c r="MT167" s="1991">
        <v>100.00065465091681</v>
      </c>
      <c r="MU167" s="1991">
        <v>101.2614066124502</v>
      </c>
      <c r="MV167" s="1991">
        <v>99.94720577109365</v>
      </c>
      <c r="MW167" s="1991">
        <v>99.850548769862584</v>
      </c>
      <c r="MX167" s="1991">
        <v>115.09799658584345</v>
      </c>
      <c r="MY167" s="1991">
        <v>103.65414305957231</v>
      </c>
      <c r="MZ167" s="1991">
        <v>175.5956960708983</v>
      </c>
      <c r="NA167" s="1991">
        <v>111.08781966653486</v>
      </c>
      <c r="NB167" s="1991">
        <v>129.17693302246218</v>
      </c>
      <c r="NC167" s="1991">
        <v>249.92951759185877</v>
      </c>
      <c r="ND167" s="1991">
        <v>96.545261157095354</v>
      </c>
      <c r="NE167" s="1991">
        <v>114.459054908764</v>
      </c>
      <c r="NF167" s="1991">
        <v>104.35960355406276</v>
      </c>
      <c r="NG167" s="1991">
        <v>91.619567653981576</v>
      </c>
      <c r="NH167" s="1991">
        <v>141.7931376608401</v>
      </c>
      <c r="NI167" s="1991">
        <v>100.00000000000007</v>
      </c>
      <c r="NJ167" s="1991">
        <v>100.00000000000006</v>
      </c>
      <c r="NK167" s="1991">
        <v>149.83441534500247</v>
      </c>
      <c r="NL167" s="29">
        <v>94</v>
      </c>
    </row>
    <row r="168" spans="1:376">
      <c r="A168" s="41">
        <f t="shared" si="86"/>
        <v>2023</v>
      </c>
      <c r="B168" s="785">
        <v>45170</v>
      </c>
      <c r="C168" s="19"/>
      <c r="D168" s="93"/>
      <c r="E168" s="93"/>
      <c r="F168" s="93"/>
      <c r="G168" s="93"/>
      <c r="H168" s="93"/>
      <c r="I168" s="93"/>
      <c r="J168" s="93"/>
      <c r="K168" s="93"/>
      <c r="L168" s="93"/>
      <c r="M168" s="20"/>
      <c r="N168" s="25"/>
      <c r="O168" s="889">
        <f t="shared" si="85"/>
        <v>2023</v>
      </c>
      <c r="P168" s="29" t="str">
        <f t="shared" si="87"/>
        <v>Trimestre 32023</v>
      </c>
      <c r="Q168" s="848">
        <v>45170</v>
      </c>
      <c r="R168" s="733">
        <v>14.420201</v>
      </c>
      <c r="S168" s="570">
        <v>0</v>
      </c>
      <c r="T168" s="570"/>
      <c r="U168" s="570">
        <v>59.435713606733835</v>
      </c>
      <c r="V168" s="25">
        <v>95</v>
      </c>
      <c r="W168" s="1767">
        <f>W167</f>
        <v>639.29997100000003</v>
      </c>
      <c r="X168" s="1927">
        <f>X167</f>
        <v>639.29997100000003</v>
      </c>
      <c r="Y168" s="93">
        <v>7809.114187805807</v>
      </c>
      <c r="Z168" s="93">
        <v>2912.0540853555717</v>
      </c>
      <c r="AA168" s="93">
        <v>6.3102674805179557</v>
      </c>
      <c r="AB168" s="93">
        <v>90.031999999999996</v>
      </c>
      <c r="AC168" s="93">
        <v>426.17099999999999</v>
      </c>
      <c r="AD168" s="570">
        <v>234.13803999999999</v>
      </c>
      <c r="AE168" s="20">
        <v>14.123596976946496</v>
      </c>
      <c r="AF168" s="25">
        <v>95</v>
      </c>
      <c r="AG168" s="19"/>
      <c r="AH168" s="93"/>
      <c r="AI168" s="93"/>
      <c r="AJ168" s="93"/>
      <c r="AK168" s="93"/>
      <c r="AL168" s="93"/>
      <c r="AM168" s="93"/>
      <c r="AN168" s="20"/>
      <c r="AO168" s="19"/>
      <c r="AP168" s="93"/>
      <c r="AQ168" s="93"/>
      <c r="AR168" s="93"/>
      <c r="AS168" s="20"/>
      <c r="AT168" s="19"/>
      <c r="AU168" s="93"/>
      <c r="AV168" s="20"/>
      <c r="AW168" s="19"/>
      <c r="AX168" s="93"/>
      <c r="AY168" s="93"/>
      <c r="AZ168" s="93"/>
      <c r="BA168" s="93"/>
      <c r="BB168" s="93"/>
      <c r="BC168" s="20"/>
      <c r="BD168" s="19"/>
      <c r="BE168" s="93"/>
      <c r="BF168" s="93"/>
      <c r="BG168" s="93"/>
      <c r="BH168" s="93"/>
      <c r="BI168" s="93"/>
      <c r="BJ168" s="93"/>
      <c r="BK168" s="20"/>
      <c r="BL168" s="19"/>
      <c r="BM168" s="93"/>
      <c r="BN168" s="93"/>
      <c r="BO168" s="93"/>
      <c r="BP168" s="93"/>
      <c r="BQ168" s="20"/>
      <c r="BR168" s="19"/>
      <c r="BS168" s="93"/>
      <c r="BT168" s="93"/>
      <c r="BU168" s="20"/>
      <c r="BV168" s="19"/>
      <c r="BW168" s="93"/>
      <c r="BX168" s="93"/>
      <c r="BY168" s="93"/>
      <c r="BZ168" s="93"/>
      <c r="CA168" s="93"/>
      <c r="CB168" s="20"/>
      <c r="CC168" s="25"/>
      <c r="CD168" s="19">
        <v>81913</v>
      </c>
      <c r="CE168" s="1946">
        <v>26427599</v>
      </c>
      <c r="CF168" s="20">
        <f>84807+17720679</f>
        <v>17805486</v>
      </c>
      <c r="CG168" s="25">
        <v>95</v>
      </c>
      <c r="CH168" s="19"/>
      <c r="CI168" s="93"/>
      <c r="CJ168" s="93"/>
      <c r="CK168" s="93"/>
      <c r="CL168" s="93"/>
      <c r="CM168" s="93"/>
      <c r="CN168" s="93"/>
      <c r="CO168" s="93"/>
      <c r="CP168" s="93"/>
      <c r="CQ168" s="93"/>
      <c r="CR168" s="214"/>
      <c r="CS168" s="20"/>
      <c r="CT168" s="25"/>
      <c r="CU168" s="19"/>
      <c r="CV168" s="93"/>
      <c r="CW168" s="93"/>
      <c r="CX168" s="93"/>
      <c r="CY168" s="93"/>
      <c r="CZ168" s="93"/>
      <c r="DA168" s="93"/>
      <c r="DB168" s="20"/>
      <c r="DC168" s="25"/>
      <c r="DD168" s="785">
        <v>45170</v>
      </c>
      <c r="DE168" s="733">
        <v>624.37754000300004</v>
      </c>
      <c r="DF168" s="734">
        <v>464.98458599999998</v>
      </c>
      <c r="DG168" s="25">
        <v>95</v>
      </c>
      <c r="DH168" s="733">
        <v>867.56550407422799</v>
      </c>
      <c r="DI168" s="734">
        <v>2476.8817159999999</v>
      </c>
      <c r="DJ168" s="25">
        <v>95</v>
      </c>
      <c r="DK168" s="733">
        <v>624.37754000300004</v>
      </c>
      <c r="DL168" s="734">
        <v>867.56550407422799</v>
      </c>
      <c r="DM168" s="733">
        <v>-243.18796407122804</v>
      </c>
      <c r="DN168" s="734">
        <v>71.968921893600196</v>
      </c>
      <c r="DO168" s="25">
        <v>95</v>
      </c>
      <c r="DP168" s="19">
        <v>175.50144030498919</v>
      </c>
      <c r="DQ168" s="93">
        <v>107.92998726147185</v>
      </c>
      <c r="DR168" s="20">
        <v>189.4186821648745</v>
      </c>
      <c r="DS168" s="25">
        <v>95</v>
      </c>
      <c r="DT168" s="733">
        <v>106.90937458902822</v>
      </c>
      <c r="DU168" s="570">
        <v>173.49642784732646</v>
      </c>
      <c r="DV168" s="734">
        <v>185.48394594588135</v>
      </c>
      <c r="DW168" s="25">
        <v>95</v>
      </c>
      <c r="DX168" s="19">
        <v>164.15907489837693</v>
      </c>
      <c r="DY168" s="20">
        <v>152.77476617518283</v>
      </c>
      <c r="DZ168" s="25">
        <v>95</v>
      </c>
      <c r="EA168" s="19">
        <v>529.29129958400006</v>
      </c>
      <c r="EB168" s="93">
        <v>7.9614614560000003</v>
      </c>
      <c r="EC168" s="93">
        <v>0.365345484</v>
      </c>
      <c r="ED168" s="93">
        <v>18.047975321999999</v>
      </c>
      <c r="EE168" s="20">
        <v>11.583124305</v>
      </c>
      <c r="EF168" s="25">
        <v>95</v>
      </c>
      <c r="EG168" s="19">
        <v>276.50465876300001</v>
      </c>
      <c r="EH168" s="93">
        <v>16.311068414000001</v>
      </c>
      <c r="EI168" s="93">
        <v>13.876231970999999</v>
      </c>
      <c r="EJ168" s="93">
        <v>0.49458853898166716</v>
      </c>
      <c r="EK168" s="20"/>
      <c r="EL168" s="25">
        <v>95</v>
      </c>
      <c r="EM168" s="19">
        <v>456.53218923899999</v>
      </c>
      <c r="EN168" s="93"/>
      <c r="EO168" s="93">
        <v>4.0668122010000003</v>
      </c>
      <c r="EP168" s="93"/>
      <c r="EQ168" s="93">
        <v>4.1490566170000003</v>
      </c>
      <c r="ER168" s="93">
        <v>13.810923662</v>
      </c>
      <c r="ES168" s="93"/>
      <c r="ET168" s="93">
        <v>3.3670007759999998</v>
      </c>
      <c r="EU168" s="93"/>
      <c r="EV168" s="20">
        <v>22.825442548000002</v>
      </c>
      <c r="EW168" s="25">
        <v>95</v>
      </c>
      <c r="EX168" s="915">
        <v>99.895209113000007</v>
      </c>
      <c r="EY168" s="916">
        <v>21.700344121000001</v>
      </c>
      <c r="EZ168" s="916">
        <v>71.644265686871009</v>
      </c>
      <c r="FA168" s="916"/>
      <c r="FB168" s="916">
        <v>128.58089812927901</v>
      </c>
      <c r="FC168" s="916">
        <v>62.585279651999997</v>
      </c>
      <c r="FD168" s="916"/>
      <c r="FE168" s="916">
        <v>49.837418227000001</v>
      </c>
      <c r="FF168" s="916">
        <v>18.141679093</v>
      </c>
      <c r="FG168" s="917">
        <v>34.355511912762999</v>
      </c>
      <c r="FH168" s="25">
        <v>95</v>
      </c>
      <c r="FI168" s="848">
        <v>45170</v>
      </c>
      <c r="FJ168" s="19"/>
      <c r="FK168" s="93"/>
      <c r="FL168" s="20"/>
      <c r="FM168" s="25"/>
      <c r="FN168" s="19"/>
      <c r="FO168" s="93"/>
      <c r="FP168" s="93"/>
      <c r="FQ168" s="93"/>
      <c r="FR168" s="93"/>
      <c r="FS168" s="93"/>
      <c r="FT168" s="93"/>
      <c r="FU168" s="93"/>
      <c r="FV168" s="93"/>
      <c r="FW168" s="917"/>
      <c r="FX168" s="25"/>
      <c r="FY168" s="916"/>
      <c r="FZ168" s="916"/>
      <c r="GA168" s="916"/>
      <c r="GB168" s="916"/>
      <c r="GC168" s="916"/>
      <c r="GD168" s="916"/>
      <c r="GE168" s="916"/>
      <c r="GF168" s="916"/>
      <c r="GG168" s="916"/>
      <c r="GH168" s="916"/>
      <c r="GI168" s="917"/>
      <c r="GJ168" s="25"/>
      <c r="GK168" s="19"/>
      <c r="GL168" s="20"/>
      <c r="GM168" s="25"/>
      <c r="GN168" s="19">
        <v>5572</v>
      </c>
      <c r="GO168" s="20">
        <v>2803</v>
      </c>
      <c r="GP168" s="25">
        <v>95</v>
      </c>
      <c r="GQ168" s="19">
        <v>30</v>
      </c>
      <c r="GR168" s="20">
        <v>29</v>
      </c>
      <c r="GS168" s="25">
        <v>95</v>
      </c>
      <c r="GT168" s="848">
        <v>45170</v>
      </c>
      <c r="GU168" s="19"/>
      <c r="GV168" s="93"/>
      <c r="GW168" s="93"/>
      <c r="GX168" s="93"/>
      <c r="GY168" s="93"/>
      <c r="GZ168" s="93"/>
      <c r="HA168" s="93"/>
      <c r="HB168" s="93"/>
      <c r="HC168" s="93"/>
      <c r="HD168" s="93"/>
      <c r="HE168" s="93"/>
      <c r="HF168" s="93"/>
      <c r="HG168" s="93"/>
      <c r="HH168" s="93"/>
      <c r="HI168" s="93"/>
      <c r="HJ168" s="93"/>
      <c r="HK168" s="93"/>
      <c r="HL168" s="93"/>
      <c r="HM168" s="93"/>
      <c r="HN168" s="93"/>
      <c r="HO168" s="93"/>
      <c r="HP168" s="93"/>
      <c r="HQ168" s="93"/>
      <c r="HR168" s="93"/>
      <c r="HS168" s="93"/>
      <c r="HT168" s="93"/>
      <c r="HU168" s="93"/>
      <c r="HV168" s="93"/>
      <c r="HW168" s="93"/>
      <c r="HX168" s="93"/>
      <c r="HY168" s="93"/>
      <c r="HZ168" s="93"/>
      <c r="IA168" s="93"/>
      <c r="IB168" s="93"/>
      <c r="IC168" s="93"/>
      <c r="ID168" s="93"/>
      <c r="IE168" s="93"/>
      <c r="IF168" s="93"/>
      <c r="IG168" s="93"/>
      <c r="IH168" s="93"/>
      <c r="II168" s="93"/>
      <c r="IJ168" s="93"/>
      <c r="IK168" s="93"/>
      <c r="IL168" s="93"/>
      <c r="IM168" s="93"/>
      <c r="IN168" s="93"/>
      <c r="IO168" s="93"/>
      <c r="IP168" s="93"/>
      <c r="IQ168" s="93"/>
      <c r="IR168" s="93"/>
      <c r="IS168" s="93"/>
      <c r="IT168" s="93"/>
      <c r="IU168" s="93"/>
      <c r="IV168" s="93"/>
      <c r="IW168" s="848">
        <v>45170</v>
      </c>
      <c r="IX168" s="93"/>
      <c r="IY168" s="93">
        <v>933.14057847800018</v>
      </c>
      <c r="IZ168" s="93">
        <v>2693.1156919209998</v>
      </c>
      <c r="JA168" s="93">
        <v>0.51118069099999996</v>
      </c>
      <c r="JB168" s="93">
        <v>2391.0039999999999</v>
      </c>
      <c r="JC168" s="93">
        <v>301.60051123</v>
      </c>
      <c r="JD168" s="93">
        <v>3626.2562703989997</v>
      </c>
      <c r="JE168" s="93">
        <v>2153.0131083190004</v>
      </c>
      <c r="JF168" s="93">
        <v>5779.2693787179996</v>
      </c>
      <c r="JG168" s="93"/>
      <c r="JH168" s="93">
        <v>1900.7818864940004</v>
      </c>
      <c r="JI168" s="93">
        <v>-377.72911350600009</v>
      </c>
      <c r="JJ168" s="93">
        <v>2278.5110000000004</v>
      </c>
      <c r="JK168" s="93">
        <v>4686.3317924869998</v>
      </c>
      <c r="JL168" s="93">
        <v>341.3764939460001</v>
      </c>
      <c r="JM168" s="93">
        <v>84.521493945999964</v>
      </c>
      <c r="JN168" s="93">
        <v>256.85500000000013</v>
      </c>
      <c r="JO168" s="93">
        <v>4344.955298541</v>
      </c>
      <c r="JP168" s="93">
        <v>8.8982985410000008</v>
      </c>
      <c r="JQ168" s="93">
        <v>4336.0569999999998</v>
      </c>
      <c r="JR168" s="93">
        <v>1290.1788243949986</v>
      </c>
      <c r="JS168" s="93">
        <v>-482.3345241320003</v>
      </c>
      <c r="JT168" s="20">
        <v>5779.2693787180024</v>
      </c>
      <c r="JU168" s="29">
        <v>95</v>
      </c>
      <c r="JV168" s="19"/>
      <c r="JW168" s="93">
        <v>-377.72911350600009</v>
      </c>
      <c r="JX168" s="93">
        <v>657.57678681699997</v>
      </c>
      <c r="JY168" s="93">
        <v>1035.3059003230001</v>
      </c>
      <c r="JZ168" s="93">
        <v>1651.611206</v>
      </c>
      <c r="KA168" s="93">
        <v>91.08669628399997</v>
      </c>
      <c r="KB168" s="93">
        <v>337.52794514699997</v>
      </c>
      <c r="KC168" s="93">
        <v>246.441248863</v>
      </c>
      <c r="KD168" s="93">
        <v>8.8982985410000008</v>
      </c>
      <c r="KE168" s="93">
        <v>2.6890000000000001</v>
      </c>
      <c r="KF168" s="93">
        <v>0</v>
      </c>
      <c r="KG168" s="93">
        <v>0</v>
      </c>
      <c r="KH168" s="93">
        <v>6.2092985410000008</v>
      </c>
      <c r="KI168" s="93">
        <v>1335.9944169970001</v>
      </c>
      <c r="KJ168" s="93">
        <v>1063.2407808160001</v>
      </c>
      <c r="KK168" s="93">
        <v>271.90934717099998</v>
      </c>
      <c r="KL168" s="93">
        <v>0.84428901000000001</v>
      </c>
      <c r="KM168" s="93">
        <v>0</v>
      </c>
      <c r="KN168" s="93">
        <v>4.3275082450000006</v>
      </c>
      <c r="KO168" s="93">
        <v>0</v>
      </c>
      <c r="KP168" s="93">
        <v>0</v>
      </c>
      <c r="KQ168" s="93">
        <v>4.3275082450000006</v>
      </c>
      <c r="KR168" s="93">
        <v>0</v>
      </c>
      <c r="KS168" s="93">
        <v>0</v>
      </c>
      <c r="KT168" s="93">
        <v>0</v>
      </c>
      <c r="KU168" s="93">
        <v>37.880316149999999</v>
      </c>
      <c r="KV168" s="93">
        <v>-4.3351540729999725</v>
      </c>
      <c r="KW168" s="20"/>
      <c r="KX168" s="29">
        <v>95</v>
      </c>
      <c r="KY168" s="19"/>
      <c r="KZ168" s="93">
        <v>2278.5110000000004</v>
      </c>
      <c r="LA168" s="93">
        <v>2636.6230000000005</v>
      </c>
      <c r="LB168" s="93">
        <v>-358.11200000000002</v>
      </c>
      <c r="LC168" s="93">
        <v>393.78200000000004</v>
      </c>
      <c r="LD168" s="93">
        <v>123.535</v>
      </c>
      <c r="LE168" s="93">
        <v>270.24700000000001</v>
      </c>
      <c r="LF168" s="93">
        <v>0</v>
      </c>
      <c r="LG168" s="93">
        <v>256.85500000000013</v>
      </c>
      <c r="LH168" s="93">
        <v>1150.4490000000001</v>
      </c>
      <c r="LI168" s="93">
        <v>-893.59399999999994</v>
      </c>
      <c r="LJ168" s="93">
        <v>4336.0569999999998</v>
      </c>
      <c r="LK168" s="93">
        <v>68.712000000000003</v>
      </c>
      <c r="LL168" s="93">
        <v>5.29</v>
      </c>
      <c r="LM168" s="93">
        <v>353.37</v>
      </c>
      <c r="LN168" s="93">
        <v>3908.6849999999999</v>
      </c>
      <c r="LO168" s="93"/>
      <c r="LP168" s="93">
        <v>1647.8049999999998</v>
      </c>
      <c r="LQ168" s="93">
        <v>2391.0039999999999</v>
      </c>
      <c r="LR168" s="93">
        <v>2152.6800000000003</v>
      </c>
      <c r="LS168" s="93">
        <v>0</v>
      </c>
      <c r="LT168" s="93">
        <v>302.67899999999997</v>
      </c>
      <c r="LU168" s="93">
        <v>0</v>
      </c>
      <c r="LV168" s="93">
        <v>44.905000000000001</v>
      </c>
      <c r="LW168" s="93">
        <v>0</v>
      </c>
      <c r="LX168" s="93">
        <v>0</v>
      </c>
      <c r="LY168" s="93">
        <v>900.38699999999858</v>
      </c>
      <c r="LZ168" s="93">
        <v>-174.25500000000005</v>
      </c>
      <c r="MA168" s="93"/>
      <c r="MB168" s="93"/>
      <c r="MC168" s="93"/>
      <c r="MD168" s="93"/>
      <c r="ME168" s="93"/>
      <c r="MF168" s="93"/>
      <c r="MG168" s="93"/>
      <c r="MH168" s="20"/>
      <c r="MI168" s="29">
        <v>95</v>
      </c>
      <c r="MJ168" s="29" t="str">
        <f t="shared" si="88"/>
        <v>Trimestre 32023</v>
      </c>
      <c r="MK168" s="848">
        <v>45170</v>
      </c>
      <c r="ML168" s="1991">
        <v>181.15952713730914</v>
      </c>
      <c r="MM168" s="1991">
        <v>180.57516319194769</v>
      </c>
      <c r="MN168" s="1991">
        <v>145.32361035541837</v>
      </c>
      <c r="MO168" s="1991">
        <v>100.00000000000013</v>
      </c>
      <c r="MP168" s="1991">
        <v>181.15952713730914</v>
      </c>
      <c r="MQ168" s="1991">
        <v>181.28448020674099</v>
      </c>
      <c r="MR168" s="1991">
        <v>159.99999999999986</v>
      </c>
      <c r="MS168" s="1991">
        <v>239.55148475970464</v>
      </c>
      <c r="MT168" s="1991">
        <v>99.989210142220131</v>
      </c>
      <c r="MU168" s="1991">
        <v>101.2614066124502</v>
      </c>
      <c r="MV168" s="1991">
        <v>99.94720577109365</v>
      </c>
      <c r="MW168" s="1991">
        <v>99.860768180618436</v>
      </c>
      <c r="MX168" s="1991">
        <v>115.09799658584345</v>
      </c>
      <c r="MY168" s="1991">
        <v>103.65414305957231</v>
      </c>
      <c r="MZ168" s="1991">
        <v>200.13788742603765</v>
      </c>
      <c r="NA168" s="1991">
        <v>269.81702108253143</v>
      </c>
      <c r="NB168" s="1991">
        <v>129.2720630717989</v>
      </c>
      <c r="NC168" s="1991">
        <v>274.3734727451041</v>
      </c>
      <c r="ND168" s="1991">
        <v>96.569475537039551</v>
      </c>
      <c r="NE168" s="1991">
        <v>114.43568564900062</v>
      </c>
      <c r="NF168" s="1991">
        <v>104.35960355406276</v>
      </c>
      <c r="NG168" s="1991">
        <v>91.548679272845447</v>
      </c>
      <c r="NH168" s="1991">
        <v>131.01745414888916</v>
      </c>
      <c r="NI168" s="1991">
        <v>100.00000000000007</v>
      </c>
      <c r="NJ168" s="1991">
        <v>100.00000000000006</v>
      </c>
      <c r="NK168" s="1991">
        <v>160.21520815883616</v>
      </c>
      <c r="NL168" s="29">
        <v>95</v>
      </c>
    </row>
    <row r="169" spans="1:376">
      <c r="A169" s="41">
        <f t="shared" si="86"/>
        <v>2023</v>
      </c>
      <c r="B169" s="785">
        <v>45261</v>
      </c>
      <c r="C169" s="19"/>
      <c r="D169" s="93"/>
      <c r="E169" s="93"/>
      <c r="F169" s="93"/>
      <c r="G169" s="93"/>
      <c r="H169" s="93"/>
      <c r="I169" s="93"/>
      <c r="J169" s="93"/>
      <c r="K169" s="93"/>
      <c r="L169" s="93"/>
      <c r="M169" s="20"/>
      <c r="N169" s="25"/>
      <c r="O169" s="889">
        <f t="shared" si="85"/>
        <v>2023</v>
      </c>
      <c r="P169" s="29" t="str">
        <f t="shared" si="87"/>
        <v>Trimestre 42023</v>
      </c>
      <c r="Q169" s="848">
        <v>45261</v>
      </c>
      <c r="R169" s="733">
        <v>14.909767999999996</v>
      </c>
      <c r="S169" s="570">
        <f>S165</f>
        <v>53.220118014000001</v>
      </c>
      <c r="T169" s="570"/>
      <c r="U169" s="734"/>
      <c r="V169" s="25"/>
      <c r="W169" s="19"/>
      <c r="X169" s="93"/>
      <c r="Y169" s="93"/>
      <c r="Z169" s="93"/>
      <c r="AA169" s="93"/>
      <c r="AB169" s="93"/>
      <c r="AC169" s="93"/>
      <c r="AD169" s="93"/>
      <c r="AE169" s="20"/>
      <c r="AF169" s="25"/>
      <c r="AG169" s="19"/>
      <c r="AH169" s="93"/>
      <c r="AI169" s="93"/>
      <c r="AJ169" s="93"/>
      <c r="AK169" s="93"/>
      <c r="AL169" s="93"/>
      <c r="AM169" s="93"/>
      <c r="AN169" s="20"/>
      <c r="AO169" s="19"/>
      <c r="AP169" s="93"/>
      <c r="AQ169" s="93"/>
      <c r="AR169" s="93"/>
      <c r="AS169" s="20"/>
      <c r="AT169" s="19"/>
      <c r="AU169" s="93"/>
      <c r="AV169" s="20"/>
      <c r="AW169" s="19"/>
      <c r="AX169" s="93"/>
      <c r="AY169" s="93"/>
      <c r="AZ169" s="93"/>
      <c r="BA169" s="93"/>
      <c r="BB169" s="93"/>
      <c r="BC169" s="20"/>
      <c r="BD169" s="19"/>
      <c r="BE169" s="93"/>
      <c r="BF169" s="93"/>
      <c r="BG169" s="93"/>
      <c r="BH169" s="93"/>
      <c r="BI169" s="93"/>
      <c r="BJ169" s="93"/>
      <c r="BK169" s="20"/>
      <c r="BL169" s="19"/>
      <c r="BM169" s="93"/>
      <c r="BN169" s="93"/>
      <c r="BO169" s="93"/>
      <c r="BP169" s="93"/>
      <c r="BQ169" s="20"/>
      <c r="BR169" s="19"/>
      <c r="BS169" s="93"/>
      <c r="BT169" s="93"/>
      <c r="BU169" s="20"/>
      <c r="BV169" s="19"/>
      <c r="BW169" s="93"/>
      <c r="BX169" s="93"/>
      <c r="BY169" s="93"/>
      <c r="BZ169" s="93"/>
      <c r="CA169" s="93"/>
      <c r="CB169" s="20"/>
      <c r="CC169" s="25"/>
      <c r="CD169" s="19"/>
      <c r="CE169" s="93"/>
      <c r="CF169" s="20"/>
      <c r="CG169" s="25"/>
      <c r="CH169" s="19"/>
      <c r="CI169" s="93"/>
      <c r="CJ169" s="93"/>
      <c r="CK169" s="93"/>
      <c r="CL169" s="93"/>
      <c r="CM169" s="93"/>
      <c r="CN169" s="93"/>
      <c r="CO169" s="93"/>
      <c r="CP169" s="93"/>
      <c r="CQ169" s="93"/>
      <c r="CR169" s="214"/>
      <c r="CS169" s="20"/>
      <c r="CT169" s="25"/>
      <c r="CU169" s="19"/>
      <c r="CV169" s="93"/>
      <c r="CW169" s="93"/>
      <c r="CX169" s="93"/>
      <c r="CY169" s="93"/>
      <c r="CZ169" s="93"/>
      <c r="DA169" s="93"/>
      <c r="DB169" s="20"/>
      <c r="DC169" s="25"/>
      <c r="DD169" s="785">
        <v>45261</v>
      </c>
      <c r="DE169" s="733">
        <v>699.56294215200001</v>
      </c>
      <c r="DF169" s="734">
        <v>419.53811300000001</v>
      </c>
      <c r="DG169" s="25">
        <v>96</v>
      </c>
      <c r="DH169" s="733">
        <v>961.39779235289097</v>
      </c>
      <c r="DI169" s="734">
        <v>2424.744353</v>
      </c>
      <c r="DJ169" s="25">
        <v>96</v>
      </c>
      <c r="DK169" s="733">
        <v>699.56294215200001</v>
      </c>
      <c r="DL169" s="734">
        <v>961.39779235289097</v>
      </c>
      <c r="DM169" s="733">
        <v>-261.83485020089097</v>
      </c>
      <c r="DN169" s="734">
        <v>72.765191236804739</v>
      </c>
      <c r="DO169" s="25">
        <v>96</v>
      </c>
      <c r="DP169" s="19">
        <v>179.67492222203327</v>
      </c>
      <c r="DQ169" s="93">
        <v>118.97331927154251</v>
      </c>
      <c r="DR169" s="20">
        <v>213.76521886611533</v>
      </c>
      <c r="DS169" s="25">
        <v>96</v>
      </c>
      <c r="DT169" s="733">
        <v>113.83526706475433</v>
      </c>
      <c r="DU169" s="570">
        <v>178.53127903131099</v>
      </c>
      <c r="DV169" s="734">
        <v>203.23155827941449</v>
      </c>
      <c r="DW169" s="25">
        <v>96</v>
      </c>
      <c r="DX169" s="19">
        <v>157.83766037973677</v>
      </c>
      <c r="DY169" s="20">
        <v>140.15799612312031</v>
      </c>
      <c r="DZ169" s="25">
        <v>96</v>
      </c>
      <c r="EA169" s="19">
        <v>565.90447214400001</v>
      </c>
      <c r="EB169" s="93">
        <v>35.508889758999999</v>
      </c>
      <c r="EC169" s="93">
        <v>15.904607819999999</v>
      </c>
      <c r="ED169" s="93">
        <v>24.264326642</v>
      </c>
      <c r="EE169" s="20">
        <v>6.959132812</v>
      </c>
      <c r="EF169" s="25">
        <v>96</v>
      </c>
      <c r="EG169" s="19"/>
      <c r="EH169" s="93"/>
      <c r="EI169" s="93"/>
      <c r="EJ169" s="93"/>
      <c r="EK169" s="20"/>
      <c r="EL169" s="25">
        <v>96</v>
      </c>
      <c r="EM169" s="19"/>
      <c r="EN169" s="93"/>
      <c r="EO169" s="93"/>
      <c r="EP169" s="93"/>
      <c r="EQ169" s="93"/>
      <c r="ER169" s="93"/>
      <c r="ES169" s="93"/>
      <c r="ET169" s="93"/>
      <c r="EU169" s="93"/>
      <c r="EV169" s="20"/>
      <c r="EW169" s="25">
        <v>96</v>
      </c>
      <c r="EX169" s="915"/>
      <c r="EY169" s="916"/>
      <c r="EZ169" s="916"/>
      <c r="FA169" s="916"/>
      <c r="FB169" s="916"/>
      <c r="FC169" s="916"/>
      <c r="FD169" s="916"/>
      <c r="FE169" s="916"/>
      <c r="FF169" s="916"/>
      <c r="FG169" s="917"/>
      <c r="FH169" s="25">
        <v>96</v>
      </c>
      <c r="FI169" s="848">
        <v>45261</v>
      </c>
      <c r="FJ169" s="19"/>
      <c r="FK169" s="93"/>
      <c r="FL169" s="20"/>
      <c r="FM169" s="25"/>
      <c r="FN169" s="19"/>
      <c r="FO169" s="93"/>
      <c r="FP169" s="93"/>
      <c r="FQ169" s="93"/>
      <c r="FR169" s="93"/>
      <c r="FS169" s="93"/>
      <c r="FT169" s="93"/>
      <c r="FU169" s="93"/>
      <c r="FV169" s="93"/>
      <c r="FW169" s="917"/>
      <c r="FX169" s="25"/>
      <c r="FY169" s="916"/>
      <c r="FZ169" s="916"/>
      <c r="GA169" s="916"/>
      <c r="GB169" s="916"/>
      <c r="GC169" s="916"/>
      <c r="GD169" s="916"/>
      <c r="GE169" s="916"/>
      <c r="GF169" s="916"/>
      <c r="GG169" s="916"/>
      <c r="GH169" s="916"/>
      <c r="GI169" s="917"/>
      <c r="GJ169" s="25"/>
      <c r="GK169" s="19"/>
      <c r="GL169" s="20"/>
      <c r="GM169" s="25"/>
      <c r="GN169" s="19">
        <v>5847</v>
      </c>
      <c r="GO169" s="20">
        <v>2711</v>
      </c>
      <c r="GP169" s="25">
        <v>96</v>
      </c>
      <c r="GQ169" s="19">
        <v>31</v>
      </c>
      <c r="GR169" s="20">
        <v>30</v>
      </c>
      <c r="GS169" s="25">
        <v>96</v>
      </c>
      <c r="GT169" s="848">
        <v>45261</v>
      </c>
      <c r="GU169" s="19"/>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848">
        <v>45261</v>
      </c>
      <c r="IX169" s="93"/>
      <c r="IY169" s="93">
        <v>986.10114882400012</v>
      </c>
      <c r="IZ169" s="93">
        <v>2491.7672695840001</v>
      </c>
      <c r="JA169" s="93">
        <v>0.99675835400000001</v>
      </c>
      <c r="JB169" s="93">
        <v>2189.17</v>
      </c>
      <c r="JC169" s="93">
        <v>301.60051123</v>
      </c>
      <c r="JD169" s="93">
        <v>3477.8684184080003</v>
      </c>
      <c r="JE169" s="93">
        <v>2074.1401083189999</v>
      </c>
      <c r="JF169" s="93">
        <v>5552.0085267270006</v>
      </c>
      <c r="JG169" s="93"/>
      <c r="JH169" s="93">
        <v>1626.2842100790003</v>
      </c>
      <c r="JI169" s="93">
        <v>-372.52078992099985</v>
      </c>
      <c r="JJ169" s="93">
        <v>1998.8049999999998</v>
      </c>
      <c r="JK169" s="93">
        <v>4764.6858344120001</v>
      </c>
      <c r="JL169" s="93">
        <v>443.46075541800013</v>
      </c>
      <c r="JM169" s="93">
        <v>199.76375541800002</v>
      </c>
      <c r="JN169" s="93">
        <v>243.69700000000012</v>
      </c>
      <c r="JO169" s="93">
        <v>4321.2250789939999</v>
      </c>
      <c r="JP169" s="93">
        <v>9.0020789939999997</v>
      </c>
      <c r="JQ169" s="93">
        <v>4312.223</v>
      </c>
      <c r="JR169" s="93">
        <v>1370.4811924599999</v>
      </c>
      <c r="JS169" s="93">
        <v>-531.51967469599992</v>
      </c>
      <c r="JT169" s="20">
        <v>5552.0085267270006</v>
      </c>
      <c r="JU169" s="29">
        <v>96</v>
      </c>
      <c r="JV169" s="19"/>
      <c r="JW169" s="93">
        <v>-372.52078992099985</v>
      </c>
      <c r="JX169" s="93">
        <v>524.372294302</v>
      </c>
      <c r="JY169" s="93">
        <v>896.89308422299985</v>
      </c>
      <c r="JZ169" s="93">
        <v>1508.405847045</v>
      </c>
      <c r="KA169" s="93">
        <v>206.32895775600002</v>
      </c>
      <c r="KB169" s="93">
        <v>333.17791819000001</v>
      </c>
      <c r="KC169" s="93">
        <v>126.84896043400001</v>
      </c>
      <c r="KD169" s="93">
        <v>9.0020789939999997</v>
      </c>
      <c r="KE169" s="93">
        <v>2.6890000000000001</v>
      </c>
      <c r="KF169" s="93">
        <v>0</v>
      </c>
      <c r="KG169" s="93">
        <v>0</v>
      </c>
      <c r="KH169" s="93">
        <v>6.3130789939999996</v>
      </c>
      <c r="KI169" s="93">
        <v>1382.586212357</v>
      </c>
      <c r="KJ169" s="93">
        <v>1147.2083511620001</v>
      </c>
      <c r="KK169" s="93">
        <v>234.04799452200001</v>
      </c>
      <c r="KL169" s="93">
        <v>1.3298666729999999</v>
      </c>
      <c r="KM169" s="93">
        <v>0</v>
      </c>
      <c r="KN169" s="93">
        <v>3.6631229470000002</v>
      </c>
      <c r="KO169" s="93">
        <v>0</v>
      </c>
      <c r="KP169" s="93">
        <v>0</v>
      </c>
      <c r="KQ169" s="93">
        <v>3.6631229470000002</v>
      </c>
      <c r="KR169" s="93">
        <v>0</v>
      </c>
      <c r="KS169" s="93">
        <v>0</v>
      </c>
      <c r="KT169" s="93">
        <v>0</v>
      </c>
      <c r="KU169" s="93">
        <v>0.48906951300000001</v>
      </c>
      <c r="KV169" s="93">
        <v>-35.522310943000001</v>
      </c>
      <c r="KW169" s="20"/>
      <c r="KX169" s="29">
        <v>96</v>
      </c>
      <c r="KY169" s="19"/>
      <c r="KZ169" s="93">
        <v>1998.8049999999998</v>
      </c>
      <c r="LA169" s="93">
        <v>2624.3069999999998</v>
      </c>
      <c r="LB169" s="93">
        <v>-625.50199999999995</v>
      </c>
      <c r="LC169" s="93">
        <v>433.61</v>
      </c>
      <c r="LD169" s="93">
        <v>154.542</v>
      </c>
      <c r="LE169" s="93">
        <v>279.06800000000004</v>
      </c>
      <c r="LF169" s="93">
        <v>0</v>
      </c>
      <c r="LG169" s="93">
        <v>243.69700000000012</v>
      </c>
      <c r="LH169" s="93">
        <v>1154.7450000000001</v>
      </c>
      <c r="LI169" s="93">
        <v>-911.048</v>
      </c>
      <c r="LJ169" s="93">
        <v>4312.223</v>
      </c>
      <c r="LK169" s="93">
        <v>72.391000000000005</v>
      </c>
      <c r="LL169" s="93">
        <v>5.3620000000000001</v>
      </c>
      <c r="LM169" s="93">
        <v>347.82799999999997</v>
      </c>
      <c r="LN169" s="93">
        <v>3886.6419999999998</v>
      </c>
      <c r="LO169" s="93"/>
      <c r="LP169" s="93">
        <v>1508.2710000000002</v>
      </c>
      <c r="LQ169" s="93">
        <v>2189.17</v>
      </c>
      <c r="LR169" s="93">
        <v>2073.8069999999998</v>
      </c>
      <c r="LS169" s="93">
        <v>0</v>
      </c>
      <c r="LT169" s="93">
        <v>380.92499999999995</v>
      </c>
      <c r="LU169" s="93">
        <v>0</v>
      </c>
      <c r="LV169" s="93">
        <v>73.088999999999999</v>
      </c>
      <c r="LW169" s="93">
        <v>0</v>
      </c>
      <c r="LX169" s="93">
        <v>0</v>
      </c>
      <c r="LY169" s="93">
        <v>912.31500000000005</v>
      </c>
      <c r="LZ169" s="93">
        <v>-149.24200000000008</v>
      </c>
      <c r="MA169" s="93"/>
      <c r="MB169" s="93"/>
      <c r="MC169" s="93"/>
      <c r="MD169" s="93"/>
      <c r="ME169" s="93"/>
      <c r="MF169" s="93"/>
      <c r="MG169" s="93"/>
      <c r="MH169" s="20"/>
      <c r="MI169" s="29">
        <v>96</v>
      </c>
      <c r="MJ169" s="29" t="str">
        <f t="shared" si="88"/>
        <v>Trimestre 42023</v>
      </c>
      <c r="MK169" s="848">
        <v>45261</v>
      </c>
      <c r="ML169" s="1991"/>
      <c r="MM169" s="1991"/>
      <c r="MN169" s="1991"/>
      <c r="MO169" s="1991"/>
      <c r="MP169" s="1991"/>
      <c r="MQ169" s="1991"/>
      <c r="MR169" s="1991"/>
      <c r="MS169" s="1991"/>
      <c r="MT169" s="1991"/>
      <c r="MU169" s="1991"/>
      <c r="MV169" s="1991"/>
      <c r="MW169" s="1991"/>
      <c r="MX169" s="1991"/>
      <c r="MY169" s="1991"/>
      <c r="MZ169" s="1991"/>
      <c r="NA169" s="1991"/>
      <c r="NB169" s="1991"/>
      <c r="NC169" s="1991"/>
      <c r="ND169" s="1991"/>
      <c r="NE169" s="1991"/>
      <c r="NF169" s="1991"/>
      <c r="NG169" s="1991"/>
      <c r="NH169" s="1991"/>
      <c r="NI169" s="1991"/>
      <c r="NJ169" s="1991"/>
      <c r="NK169" s="1991"/>
      <c r="NL169" s="29"/>
    </row>
    <row r="170" spans="1:376">
      <c r="A170" s="41">
        <f t="shared" si="86"/>
        <v>2024</v>
      </c>
      <c r="B170" s="785">
        <v>45352</v>
      </c>
      <c r="C170" s="19"/>
      <c r="D170" s="93"/>
      <c r="E170" s="93"/>
      <c r="F170" s="93"/>
      <c r="G170" s="93"/>
      <c r="H170" s="93"/>
      <c r="I170" s="93"/>
      <c r="J170" s="93"/>
      <c r="K170" s="93"/>
      <c r="L170" s="93"/>
      <c r="M170" s="20"/>
      <c r="N170" s="25"/>
      <c r="O170" s="889">
        <f t="shared" si="85"/>
        <v>2024</v>
      </c>
      <c r="P170" s="29" t="str">
        <f t="shared" si="87"/>
        <v>Trimestre 12024</v>
      </c>
      <c r="Q170" s="848">
        <v>45352</v>
      </c>
      <c r="R170" s="733"/>
      <c r="S170" s="570"/>
      <c r="T170" s="570"/>
      <c r="U170" s="734"/>
      <c r="V170" s="25"/>
      <c r="W170" s="19"/>
      <c r="X170" s="93"/>
      <c r="Y170" s="93"/>
      <c r="Z170" s="93"/>
      <c r="AA170" s="93"/>
      <c r="AB170" s="93"/>
      <c r="AC170" s="93"/>
      <c r="AD170" s="93"/>
      <c r="AE170" s="20"/>
      <c r="AF170" s="25"/>
      <c r="AG170" s="19"/>
      <c r="AH170" s="93"/>
      <c r="AI170" s="93"/>
      <c r="AJ170" s="93"/>
      <c r="AK170" s="93"/>
      <c r="AL170" s="93"/>
      <c r="AM170" s="93"/>
      <c r="AN170" s="20"/>
      <c r="AO170" s="19"/>
      <c r="AP170" s="93"/>
      <c r="AQ170" s="93"/>
      <c r="AR170" s="93"/>
      <c r="AS170" s="20"/>
      <c r="AT170" s="19"/>
      <c r="AU170" s="93"/>
      <c r="AV170" s="20"/>
      <c r="AW170" s="19"/>
      <c r="AX170" s="93"/>
      <c r="AY170" s="93"/>
      <c r="AZ170" s="93"/>
      <c r="BA170" s="93"/>
      <c r="BB170" s="93"/>
      <c r="BC170" s="20"/>
      <c r="BD170" s="19"/>
      <c r="BE170" s="93"/>
      <c r="BF170" s="93"/>
      <c r="BG170" s="93"/>
      <c r="BH170" s="93"/>
      <c r="BI170" s="93"/>
      <c r="BJ170" s="93"/>
      <c r="BK170" s="20"/>
      <c r="BL170" s="19"/>
      <c r="BM170" s="93"/>
      <c r="BN170" s="93"/>
      <c r="BO170" s="93"/>
      <c r="BP170" s="93"/>
      <c r="BQ170" s="20"/>
      <c r="BR170" s="19"/>
      <c r="BS170" s="93"/>
      <c r="BT170" s="93"/>
      <c r="BU170" s="20"/>
      <c r="BV170" s="19"/>
      <c r="BW170" s="93"/>
      <c r="BX170" s="93"/>
      <c r="BY170" s="93"/>
      <c r="BZ170" s="93"/>
      <c r="CA170" s="93"/>
      <c r="CB170" s="20"/>
      <c r="CC170" s="25"/>
      <c r="CD170" s="19"/>
      <c r="CE170" s="93"/>
      <c r="CF170" s="20"/>
      <c r="CG170" s="25"/>
      <c r="CH170" s="19"/>
      <c r="CI170" s="93"/>
      <c r="CJ170" s="93"/>
      <c r="CK170" s="93"/>
      <c r="CL170" s="93"/>
      <c r="CM170" s="93"/>
      <c r="CN170" s="93"/>
      <c r="CO170" s="93"/>
      <c r="CP170" s="93"/>
      <c r="CQ170" s="93"/>
      <c r="CR170" s="214"/>
      <c r="CS170" s="20"/>
      <c r="CT170" s="25"/>
      <c r="CU170" s="19"/>
      <c r="CV170" s="93"/>
      <c r="CW170" s="93"/>
      <c r="CX170" s="93"/>
      <c r="CY170" s="93"/>
      <c r="CZ170" s="93"/>
      <c r="DA170" s="93"/>
      <c r="DB170" s="20"/>
      <c r="DC170" s="25"/>
      <c r="DD170" s="785">
        <v>45352</v>
      </c>
      <c r="DE170" s="19"/>
      <c r="DF170" s="20"/>
      <c r="DG170" s="25"/>
      <c r="DH170" s="19"/>
      <c r="DI170" s="20"/>
      <c r="DJ170" s="25"/>
      <c r="DK170" s="19"/>
      <c r="DL170" s="20"/>
      <c r="DM170" s="19"/>
      <c r="DN170" s="20"/>
      <c r="DO170" s="25"/>
      <c r="DP170" s="19"/>
      <c r="DQ170" s="93"/>
      <c r="DR170" s="20"/>
      <c r="DS170" s="25"/>
      <c r="DT170" s="19"/>
      <c r="DU170" s="93"/>
      <c r="DV170" s="20"/>
      <c r="DW170" s="25"/>
      <c r="DX170" s="19"/>
      <c r="DY170" s="20"/>
      <c r="DZ170" s="25"/>
      <c r="EA170" s="19"/>
      <c r="EB170" s="93"/>
      <c r="EC170" s="93"/>
      <c r="ED170" s="93"/>
      <c r="EE170" s="20"/>
      <c r="EF170" s="25"/>
      <c r="EG170" s="19"/>
      <c r="EH170" s="93"/>
      <c r="EI170" s="93"/>
      <c r="EJ170" s="93"/>
      <c r="EK170" s="20"/>
      <c r="EL170" s="25"/>
      <c r="EM170" s="19"/>
      <c r="EN170" s="93"/>
      <c r="EO170" s="93"/>
      <c r="EP170" s="93"/>
      <c r="EQ170" s="93"/>
      <c r="ER170" s="93"/>
      <c r="ES170" s="93"/>
      <c r="ET170" s="93"/>
      <c r="EU170" s="93"/>
      <c r="EV170" s="20"/>
      <c r="EW170" s="25"/>
      <c r="EX170" s="915"/>
      <c r="EY170" s="916"/>
      <c r="EZ170" s="916"/>
      <c r="FA170" s="916"/>
      <c r="FB170" s="916"/>
      <c r="FC170" s="916"/>
      <c r="FD170" s="916"/>
      <c r="FE170" s="916"/>
      <c r="FF170" s="916"/>
      <c r="FG170" s="917"/>
      <c r="FH170" s="25"/>
      <c r="FI170" s="848">
        <v>45352</v>
      </c>
      <c r="FJ170" s="19"/>
      <c r="FK170" s="93"/>
      <c r="FL170" s="20"/>
      <c r="FM170" s="25"/>
      <c r="FN170" s="19"/>
      <c r="FO170" s="93"/>
      <c r="FP170" s="93"/>
      <c r="FQ170" s="93"/>
      <c r="FR170" s="93"/>
      <c r="FS170" s="93"/>
      <c r="FT170" s="93"/>
      <c r="FU170" s="93"/>
      <c r="FV170" s="93"/>
      <c r="FW170" s="917"/>
      <c r="FX170" s="25"/>
      <c r="FY170" s="916"/>
      <c r="FZ170" s="916"/>
      <c r="GA170" s="916"/>
      <c r="GB170" s="916"/>
      <c r="GC170" s="916"/>
      <c r="GD170" s="916"/>
      <c r="GE170" s="916"/>
      <c r="GF170" s="916"/>
      <c r="GG170" s="916"/>
      <c r="GH170" s="916"/>
      <c r="GI170" s="917"/>
      <c r="GJ170" s="25"/>
      <c r="GK170" s="19"/>
      <c r="GL170" s="20"/>
      <c r="GM170" s="25"/>
      <c r="GN170" s="19"/>
      <c r="GO170" s="20"/>
      <c r="GP170" s="25"/>
      <c r="GQ170" s="19"/>
      <c r="GR170" s="20"/>
      <c r="GS170" s="25"/>
      <c r="GT170" s="848">
        <v>45352</v>
      </c>
      <c r="GU170" s="19"/>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848">
        <v>45352</v>
      </c>
      <c r="IX170" s="93"/>
      <c r="IY170" s="93"/>
      <c r="IZ170" s="93"/>
      <c r="JA170" s="93"/>
      <c r="JB170" s="93"/>
      <c r="JC170" s="93"/>
      <c r="JD170" s="93"/>
      <c r="JE170" s="93"/>
      <c r="JF170" s="93"/>
      <c r="JG170" s="93"/>
      <c r="JH170" s="93"/>
      <c r="JI170" s="93"/>
      <c r="JJ170" s="93"/>
      <c r="JK170" s="93"/>
      <c r="JL170" s="93"/>
      <c r="JM170" s="93"/>
      <c r="JN170" s="93"/>
      <c r="JO170" s="93"/>
      <c r="JP170" s="93"/>
      <c r="JQ170" s="93"/>
      <c r="JR170" s="93"/>
      <c r="JS170" s="93"/>
      <c r="JT170" s="20"/>
      <c r="JU170" s="29"/>
      <c r="JV170" s="19"/>
      <c r="JW170" s="93"/>
      <c r="JX170" s="93"/>
      <c r="JY170" s="93"/>
      <c r="JZ170" s="93"/>
      <c r="KA170" s="93"/>
      <c r="KB170" s="93"/>
      <c r="KC170" s="93"/>
      <c r="KD170" s="93"/>
      <c r="KE170" s="93"/>
      <c r="KF170" s="93"/>
      <c r="KG170" s="93"/>
      <c r="KH170" s="93"/>
      <c r="KI170" s="93"/>
      <c r="KJ170" s="93"/>
      <c r="KK170" s="93"/>
      <c r="KL170" s="93"/>
      <c r="KM170" s="93"/>
      <c r="KN170" s="93"/>
      <c r="KO170" s="93"/>
      <c r="KP170" s="93"/>
      <c r="KQ170" s="93"/>
      <c r="KR170" s="93"/>
      <c r="KS170" s="93"/>
      <c r="KT170" s="93"/>
      <c r="KU170" s="93"/>
      <c r="KV170" s="93"/>
      <c r="KW170" s="20"/>
      <c r="KX170" s="29"/>
      <c r="KY170" s="19"/>
      <c r="KZ170" s="93"/>
      <c r="LA170" s="93"/>
      <c r="LB170" s="93"/>
      <c r="LC170" s="93"/>
      <c r="LD170" s="93"/>
      <c r="LE170" s="93"/>
      <c r="LF170" s="93"/>
      <c r="LG170" s="93"/>
      <c r="LH170" s="93"/>
      <c r="LI170" s="93"/>
      <c r="LJ170" s="93"/>
      <c r="LK170" s="93"/>
      <c r="LL170" s="93"/>
      <c r="LM170" s="93"/>
      <c r="LN170" s="93"/>
      <c r="LO170" s="93"/>
      <c r="LP170" s="93"/>
      <c r="LQ170" s="93"/>
      <c r="LR170" s="93"/>
      <c r="LS170" s="93"/>
      <c r="LT170" s="93"/>
      <c r="LU170" s="93"/>
      <c r="LV170" s="93"/>
      <c r="LW170" s="93"/>
      <c r="LX170" s="93"/>
      <c r="LY170" s="93"/>
      <c r="LZ170" s="93"/>
      <c r="MA170" s="93"/>
      <c r="MB170" s="93"/>
      <c r="MC170" s="93"/>
      <c r="MD170" s="93"/>
      <c r="ME170" s="93"/>
      <c r="MF170" s="93"/>
      <c r="MG170" s="93"/>
      <c r="MH170" s="20"/>
      <c r="MI170" s="29"/>
      <c r="MJ170" s="29" t="str">
        <f t="shared" si="88"/>
        <v>Trimestre 12024</v>
      </c>
      <c r="MK170" s="848">
        <v>45352</v>
      </c>
      <c r="ML170" s="1991"/>
      <c r="MM170" s="1991"/>
      <c r="MN170" s="1991"/>
      <c r="MO170" s="1991"/>
      <c r="MP170" s="1991"/>
      <c r="MQ170" s="1991"/>
      <c r="MR170" s="1991"/>
      <c r="MS170" s="1991"/>
      <c r="MT170" s="1991"/>
      <c r="MU170" s="1991"/>
      <c r="MV170" s="1991"/>
      <c r="MW170" s="1991"/>
      <c r="MX170" s="1991"/>
      <c r="MY170" s="1991"/>
      <c r="MZ170" s="1991"/>
      <c r="NA170" s="1991"/>
      <c r="NB170" s="1991"/>
      <c r="NC170" s="1991"/>
      <c r="ND170" s="1991"/>
      <c r="NE170" s="1991"/>
      <c r="NF170" s="1991"/>
      <c r="NG170" s="1991"/>
      <c r="NH170" s="1991"/>
      <c r="NI170" s="1991"/>
      <c r="NJ170" s="1991"/>
      <c r="NK170" s="1991"/>
      <c r="NL170" s="29"/>
    </row>
    <row r="171" spans="1:376">
      <c r="A171" s="41">
        <f t="shared" si="86"/>
        <v>2024</v>
      </c>
      <c r="B171" s="785">
        <v>45444</v>
      </c>
      <c r="C171" s="19"/>
      <c r="D171" s="93"/>
      <c r="E171" s="93"/>
      <c r="F171" s="93"/>
      <c r="G171" s="93"/>
      <c r="H171" s="93"/>
      <c r="I171" s="93"/>
      <c r="J171" s="93"/>
      <c r="K171" s="93"/>
      <c r="L171" s="93"/>
      <c r="M171" s="20"/>
      <c r="N171" s="25"/>
      <c r="O171" s="889">
        <f t="shared" si="85"/>
        <v>2024</v>
      </c>
      <c r="P171" s="29" t="str">
        <f t="shared" si="87"/>
        <v>Trimestre 22024</v>
      </c>
      <c r="Q171" s="848">
        <v>45444</v>
      </c>
      <c r="R171" s="733"/>
      <c r="S171" s="570"/>
      <c r="T171" s="570"/>
      <c r="U171" s="734"/>
      <c r="V171" s="25"/>
      <c r="W171" s="19"/>
      <c r="X171" s="93"/>
      <c r="Y171" s="93"/>
      <c r="Z171" s="93"/>
      <c r="AA171" s="93"/>
      <c r="AB171" s="93"/>
      <c r="AC171" s="93"/>
      <c r="AD171" s="93"/>
      <c r="AE171" s="20"/>
      <c r="AF171" s="25"/>
      <c r="AG171" s="19"/>
      <c r="AH171" s="93"/>
      <c r="AI171" s="93"/>
      <c r="AJ171" s="93"/>
      <c r="AK171" s="93"/>
      <c r="AL171" s="93"/>
      <c r="AM171" s="93"/>
      <c r="AN171" s="20"/>
      <c r="AO171" s="19"/>
      <c r="AP171" s="93"/>
      <c r="AQ171" s="93"/>
      <c r="AR171" s="93"/>
      <c r="AS171" s="20"/>
      <c r="AT171" s="19"/>
      <c r="AU171" s="93"/>
      <c r="AV171" s="20"/>
      <c r="AW171" s="19"/>
      <c r="AX171" s="93"/>
      <c r="AY171" s="93"/>
      <c r="AZ171" s="93"/>
      <c r="BA171" s="93"/>
      <c r="BB171" s="93"/>
      <c r="BC171" s="20"/>
      <c r="BD171" s="19"/>
      <c r="BE171" s="93"/>
      <c r="BF171" s="93"/>
      <c r="BG171" s="93"/>
      <c r="BH171" s="93"/>
      <c r="BI171" s="93"/>
      <c r="BJ171" s="93"/>
      <c r="BK171" s="20"/>
      <c r="BL171" s="19"/>
      <c r="BM171" s="93"/>
      <c r="BN171" s="93"/>
      <c r="BO171" s="93"/>
      <c r="BP171" s="93"/>
      <c r="BQ171" s="20"/>
      <c r="BR171" s="19"/>
      <c r="BS171" s="93"/>
      <c r="BT171" s="93"/>
      <c r="BU171" s="20"/>
      <c r="BV171" s="19"/>
      <c r="BW171" s="93"/>
      <c r="BX171" s="93"/>
      <c r="BY171" s="93"/>
      <c r="BZ171" s="93"/>
      <c r="CA171" s="93"/>
      <c r="CB171" s="20"/>
      <c r="CC171" s="25"/>
      <c r="CD171" s="19"/>
      <c r="CE171" s="93"/>
      <c r="CF171" s="20"/>
      <c r="CG171" s="25"/>
      <c r="CH171" s="19"/>
      <c r="CI171" s="93"/>
      <c r="CJ171" s="93"/>
      <c r="CK171" s="93"/>
      <c r="CL171" s="93"/>
      <c r="CM171" s="93"/>
      <c r="CN171" s="93"/>
      <c r="CO171" s="93"/>
      <c r="CP171" s="93"/>
      <c r="CQ171" s="93"/>
      <c r="CR171" s="214"/>
      <c r="CS171" s="20"/>
      <c r="CT171" s="25"/>
      <c r="CU171" s="19"/>
      <c r="CV171" s="93"/>
      <c r="CW171" s="93"/>
      <c r="CX171" s="93"/>
      <c r="CY171" s="93"/>
      <c r="CZ171" s="93"/>
      <c r="DA171" s="93"/>
      <c r="DB171" s="20"/>
      <c r="DC171" s="25"/>
      <c r="DD171" s="785">
        <v>45444</v>
      </c>
      <c r="DE171" s="19"/>
      <c r="DF171" s="20"/>
      <c r="DG171" s="25"/>
      <c r="DH171" s="19"/>
      <c r="DI171" s="20"/>
      <c r="DJ171" s="25"/>
      <c r="DK171" s="19"/>
      <c r="DL171" s="20"/>
      <c r="DM171" s="19"/>
      <c r="DN171" s="20"/>
      <c r="DO171" s="25"/>
      <c r="DP171" s="19"/>
      <c r="DQ171" s="93"/>
      <c r="DR171" s="20"/>
      <c r="DS171" s="25"/>
      <c r="DT171" s="19"/>
      <c r="DU171" s="93"/>
      <c r="DV171" s="20"/>
      <c r="DW171" s="25"/>
      <c r="DX171" s="19"/>
      <c r="DY171" s="20"/>
      <c r="DZ171" s="25"/>
      <c r="EA171" s="19"/>
      <c r="EB171" s="93"/>
      <c r="EC171" s="93"/>
      <c r="ED171" s="93"/>
      <c r="EE171" s="20"/>
      <c r="EF171" s="25"/>
      <c r="EG171" s="19"/>
      <c r="EH171" s="93"/>
      <c r="EI171" s="93"/>
      <c r="EJ171" s="93"/>
      <c r="EK171" s="20"/>
      <c r="EL171" s="25"/>
      <c r="EM171" s="19"/>
      <c r="EN171" s="93"/>
      <c r="EO171" s="93"/>
      <c r="EP171" s="93"/>
      <c r="EQ171" s="93"/>
      <c r="ER171" s="93"/>
      <c r="ES171" s="93"/>
      <c r="ET171" s="93"/>
      <c r="EU171" s="93"/>
      <c r="EV171" s="20"/>
      <c r="EW171" s="25"/>
      <c r="EX171" s="915"/>
      <c r="EY171" s="916"/>
      <c r="EZ171" s="916"/>
      <c r="FA171" s="916"/>
      <c r="FB171" s="916"/>
      <c r="FC171" s="916"/>
      <c r="FD171" s="916"/>
      <c r="FE171" s="916"/>
      <c r="FF171" s="916"/>
      <c r="FG171" s="917"/>
      <c r="FH171" s="25"/>
      <c r="FI171" s="848">
        <v>45444</v>
      </c>
      <c r="FJ171" s="19"/>
      <c r="FK171" s="93"/>
      <c r="FL171" s="20"/>
      <c r="FM171" s="25"/>
      <c r="FN171" s="19"/>
      <c r="FO171" s="93"/>
      <c r="FP171" s="93"/>
      <c r="FQ171" s="93"/>
      <c r="FR171" s="93"/>
      <c r="FS171" s="93"/>
      <c r="FT171" s="93"/>
      <c r="FU171" s="93"/>
      <c r="FV171" s="93"/>
      <c r="FW171" s="917"/>
      <c r="FX171" s="25"/>
      <c r="FY171" s="916"/>
      <c r="FZ171" s="916"/>
      <c r="GA171" s="916"/>
      <c r="GB171" s="916"/>
      <c r="GC171" s="916"/>
      <c r="GD171" s="916"/>
      <c r="GE171" s="916"/>
      <c r="GF171" s="916"/>
      <c r="GG171" s="916"/>
      <c r="GH171" s="916"/>
      <c r="GI171" s="917"/>
      <c r="GJ171" s="25"/>
      <c r="GK171" s="19"/>
      <c r="GL171" s="20"/>
      <c r="GM171" s="25"/>
      <c r="GN171" s="19"/>
      <c r="GO171" s="20"/>
      <c r="GP171" s="25"/>
      <c r="GQ171" s="19"/>
      <c r="GR171" s="20"/>
      <c r="GS171" s="25"/>
      <c r="GT171" s="848">
        <v>45444</v>
      </c>
      <c r="GU171" s="19"/>
      <c r="GV171" s="93"/>
      <c r="GW171" s="93"/>
      <c r="GX171" s="93"/>
      <c r="GY171" s="93"/>
      <c r="GZ171" s="93"/>
      <c r="HA171" s="93"/>
      <c r="HB171" s="93"/>
      <c r="HC171" s="93"/>
      <c r="HD171" s="93"/>
      <c r="HE171" s="93"/>
      <c r="HF171" s="93"/>
      <c r="HG171" s="93"/>
      <c r="HH171" s="93"/>
      <c r="HI171" s="93"/>
      <c r="HJ171" s="93"/>
      <c r="HK171" s="93"/>
      <c r="HL171" s="93"/>
      <c r="HM171" s="93"/>
      <c r="HN171" s="93"/>
      <c r="HO171" s="93"/>
      <c r="HP171" s="93"/>
      <c r="HQ171" s="93"/>
      <c r="HR171" s="93"/>
      <c r="HS171" s="93"/>
      <c r="HT171" s="93"/>
      <c r="HU171" s="93"/>
      <c r="HV171" s="93"/>
      <c r="HW171" s="93"/>
      <c r="HX171" s="93"/>
      <c r="HY171" s="93"/>
      <c r="HZ171" s="93"/>
      <c r="IA171" s="93"/>
      <c r="IB171" s="93"/>
      <c r="IC171" s="93"/>
      <c r="ID171" s="93"/>
      <c r="IE171" s="93"/>
      <c r="IF171" s="93"/>
      <c r="IG171" s="93"/>
      <c r="IH171" s="93"/>
      <c r="II171" s="93"/>
      <c r="IJ171" s="93"/>
      <c r="IK171" s="93"/>
      <c r="IL171" s="93"/>
      <c r="IM171" s="93"/>
      <c r="IN171" s="93"/>
      <c r="IO171" s="93"/>
      <c r="IP171" s="93"/>
      <c r="IQ171" s="93"/>
      <c r="IR171" s="93"/>
      <c r="IS171" s="93"/>
      <c r="IT171" s="93"/>
      <c r="IU171" s="93"/>
      <c r="IV171" s="93"/>
      <c r="IW171" s="848">
        <v>45444</v>
      </c>
      <c r="IX171" s="93"/>
      <c r="IY171" s="93"/>
      <c r="IZ171" s="93"/>
      <c r="JA171" s="93"/>
      <c r="JB171" s="93"/>
      <c r="JC171" s="93"/>
      <c r="JD171" s="93"/>
      <c r="JE171" s="93"/>
      <c r="JF171" s="93"/>
      <c r="JG171" s="93"/>
      <c r="JH171" s="93"/>
      <c r="JI171" s="93"/>
      <c r="JJ171" s="93"/>
      <c r="JK171" s="93"/>
      <c r="JL171" s="93"/>
      <c r="JM171" s="93"/>
      <c r="JN171" s="93"/>
      <c r="JO171" s="93"/>
      <c r="JP171" s="93"/>
      <c r="JQ171" s="93"/>
      <c r="JR171" s="93"/>
      <c r="JS171" s="93"/>
      <c r="JT171" s="20"/>
      <c r="JU171" s="29"/>
      <c r="JV171" s="19"/>
      <c r="JW171" s="93"/>
      <c r="JX171" s="93"/>
      <c r="JY171" s="93"/>
      <c r="JZ171" s="93"/>
      <c r="KA171" s="93"/>
      <c r="KB171" s="93"/>
      <c r="KC171" s="93"/>
      <c r="KD171" s="93"/>
      <c r="KE171" s="93"/>
      <c r="KF171" s="93"/>
      <c r="KG171" s="93"/>
      <c r="KH171" s="93"/>
      <c r="KI171" s="93"/>
      <c r="KJ171" s="93"/>
      <c r="KK171" s="93"/>
      <c r="KL171" s="93"/>
      <c r="KM171" s="93"/>
      <c r="KN171" s="93"/>
      <c r="KO171" s="93"/>
      <c r="KP171" s="93"/>
      <c r="KQ171" s="93"/>
      <c r="KR171" s="93"/>
      <c r="KS171" s="93"/>
      <c r="KT171" s="93"/>
      <c r="KU171" s="93"/>
      <c r="KV171" s="93"/>
      <c r="KW171" s="20"/>
      <c r="KX171" s="29"/>
      <c r="KY171" s="19"/>
      <c r="KZ171" s="93"/>
      <c r="LA171" s="93"/>
      <c r="LB171" s="93"/>
      <c r="LC171" s="93"/>
      <c r="LD171" s="93"/>
      <c r="LE171" s="93"/>
      <c r="LF171" s="93"/>
      <c r="LG171" s="93"/>
      <c r="LH171" s="93"/>
      <c r="LI171" s="93"/>
      <c r="LJ171" s="93"/>
      <c r="LK171" s="93"/>
      <c r="LL171" s="93"/>
      <c r="LM171" s="93"/>
      <c r="LN171" s="93"/>
      <c r="LO171" s="93"/>
      <c r="LP171" s="93"/>
      <c r="LQ171" s="93"/>
      <c r="LR171" s="93"/>
      <c r="LS171" s="93"/>
      <c r="LT171" s="93"/>
      <c r="LU171" s="93"/>
      <c r="LV171" s="93"/>
      <c r="LW171" s="93"/>
      <c r="LX171" s="93"/>
      <c r="LY171" s="93"/>
      <c r="LZ171" s="93"/>
      <c r="MA171" s="93"/>
      <c r="MB171" s="93"/>
      <c r="MC171" s="93"/>
      <c r="MD171" s="93"/>
      <c r="ME171" s="93"/>
      <c r="MF171" s="93"/>
      <c r="MG171" s="93"/>
      <c r="MH171" s="20"/>
      <c r="MI171" s="29"/>
      <c r="MJ171" s="29" t="str">
        <f t="shared" si="88"/>
        <v>Trimestre 22024</v>
      </c>
      <c r="MK171" s="848">
        <v>45444</v>
      </c>
      <c r="ML171" s="1991"/>
      <c r="MM171" s="1991"/>
      <c r="MN171" s="1991"/>
      <c r="MO171" s="1991"/>
      <c r="MP171" s="1991"/>
      <c r="MQ171" s="1991"/>
      <c r="MR171" s="1991"/>
      <c r="MS171" s="1991"/>
      <c r="MT171" s="1991"/>
      <c r="MU171" s="1991"/>
      <c r="MV171" s="1991"/>
      <c r="MW171" s="1991"/>
      <c r="MX171" s="1991"/>
      <c r="MY171" s="1991"/>
      <c r="MZ171" s="1991"/>
      <c r="NA171" s="1991"/>
      <c r="NB171" s="1991"/>
      <c r="NC171" s="1991"/>
      <c r="ND171" s="1991"/>
      <c r="NE171" s="1991"/>
      <c r="NF171" s="1991"/>
      <c r="NG171" s="1991"/>
      <c r="NH171" s="1991"/>
      <c r="NI171" s="1991"/>
      <c r="NJ171" s="1991"/>
      <c r="NK171" s="1991"/>
      <c r="NL171" s="29"/>
    </row>
    <row r="172" spans="1:376">
      <c r="A172" s="41">
        <f t="shared" si="86"/>
        <v>2024</v>
      </c>
      <c r="B172" s="785">
        <v>45536</v>
      </c>
      <c r="C172" s="19"/>
      <c r="D172" s="93"/>
      <c r="E172" s="93"/>
      <c r="F172" s="93"/>
      <c r="G172" s="93"/>
      <c r="H172" s="93"/>
      <c r="I172" s="93"/>
      <c r="J172" s="93"/>
      <c r="K172" s="93"/>
      <c r="L172" s="93"/>
      <c r="M172" s="20"/>
      <c r="N172" s="25"/>
      <c r="O172" s="889">
        <f t="shared" si="85"/>
        <v>2024</v>
      </c>
      <c r="P172" s="29" t="str">
        <f t="shared" si="87"/>
        <v>Trimestre 32024</v>
      </c>
      <c r="Q172" s="848">
        <v>45536</v>
      </c>
      <c r="R172" s="733"/>
      <c r="S172" s="570"/>
      <c r="T172" s="570"/>
      <c r="U172" s="734"/>
      <c r="V172" s="25"/>
      <c r="W172" s="19"/>
      <c r="X172" s="93"/>
      <c r="Y172" s="93"/>
      <c r="Z172" s="93"/>
      <c r="AA172" s="93"/>
      <c r="AB172" s="93"/>
      <c r="AC172" s="93"/>
      <c r="AD172" s="93"/>
      <c r="AE172" s="20"/>
      <c r="AF172" s="25"/>
      <c r="AG172" s="19"/>
      <c r="AH172" s="93"/>
      <c r="AI172" s="93"/>
      <c r="AJ172" s="93"/>
      <c r="AK172" s="93"/>
      <c r="AL172" s="93"/>
      <c r="AM172" s="93"/>
      <c r="AN172" s="20"/>
      <c r="AO172" s="19"/>
      <c r="AP172" s="93"/>
      <c r="AQ172" s="93"/>
      <c r="AR172" s="93"/>
      <c r="AS172" s="20"/>
      <c r="AT172" s="19"/>
      <c r="AU172" s="93"/>
      <c r="AV172" s="20"/>
      <c r="AW172" s="19"/>
      <c r="AX172" s="93"/>
      <c r="AY172" s="93"/>
      <c r="AZ172" s="93"/>
      <c r="BA172" s="93"/>
      <c r="BB172" s="93"/>
      <c r="BC172" s="20"/>
      <c r="BD172" s="19"/>
      <c r="BE172" s="93"/>
      <c r="BF172" s="93"/>
      <c r="BG172" s="93"/>
      <c r="BH172" s="93"/>
      <c r="BI172" s="93"/>
      <c r="BJ172" s="93"/>
      <c r="BK172" s="20"/>
      <c r="BL172" s="19"/>
      <c r="BM172" s="93"/>
      <c r="BN172" s="93"/>
      <c r="BO172" s="93"/>
      <c r="BP172" s="93"/>
      <c r="BQ172" s="20"/>
      <c r="BR172" s="19"/>
      <c r="BS172" s="93"/>
      <c r="BT172" s="93"/>
      <c r="BU172" s="20"/>
      <c r="BV172" s="19"/>
      <c r="BW172" s="93"/>
      <c r="BX172" s="93"/>
      <c r="BY172" s="93"/>
      <c r="BZ172" s="93"/>
      <c r="CA172" s="93"/>
      <c r="CB172" s="20"/>
      <c r="CC172" s="25"/>
      <c r="CD172" s="19"/>
      <c r="CE172" s="93"/>
      <c r="CF172" s="20"/>
      <c r="CG172" s="25"/>
      <c r="CH172" s="19"/>
      <c r="CI172" s="93"/>
      <c r="CJ172" s="93"/>
      <c r="CK172" s="93"/>
      <c r="CL172" s="93"/>
      <c r="CM172" s="93"/>
      <c r="CN172" s="93"/>
      <c r="CO172" s="93"/>
      <c r="CP172" s="93"/>
      <c r="CQ172" s="93"/>
      <c r="CR172" s="214"/>
      <c r="CS172" s="20"/>
      <c r="CT172" s="25"/>
      <c r="CU172" s="19"/>
      <c r="CV172" s="93"/>
      <c r="CW172" s="93"/>
      <c r="CX172" s="93"/>
      <c r="CY172" s="93"/>
      <c r="CZ172" s="93"/>
      <c r="DA172" s="93"/>
      <c r="DB172" s="20"/>
      <c r="DC172" s="25"/>
      <c r="DD172" s="785">
        <v>45536</v>
      </c>
      <c r="DE172" s="19"/>
      <c r="DF172" s="20"/>
      <c r="DG172" s="25"/>
      <c r="DH172" s="19"/>
      <c r="DI172" s="20"/>
      <c r="DJ172" s="25"/>
      <c r="DK172" s="19"/>
      <c r="DL172" s="20"/>
      <c r="DM172" s="19"/>
      <c r="DN172" s="20"/>
      <c r="DO172" s="25"/>
      <c r="DP172" s="19"/>
      <c r="DQ172" s="93"/>
      <c r="DR172" s="20"/>
      <c r="DS172" s="25"/>
      <c r="DT172" s="19"/>
      <c r="DU172" s="93"/>
      <c r="DV172" s="20"/>
      <c r="DW172" s="25"/>
      <c r="DX172" s="19"/>
      <c r="DY172" s="20"/>
      <c r="DZ172" s="25"/>
      <c r="EA172" s="19"/>
      <c r="EB172" s="93"/>
      <c r="EC172" s="93"/>
      <c r="ED172" s="93"/>
      <c r="EE172" s="20"/>
      <c r="EF172" s="25"/>
      <c r="EG172" s="19"/>
      <c r="EH172" s="93"/>
      <c r="EI172" s="93"/>
      <c r="EJ172" s="93"/>
      <c r="EK172" s="20"/>
      <c r="EL172" s="25"/>
      <c r="EM172" s="19"/>
      <c r="EN172" s="93"/>
      <c r="EO172" s="93"/>
      <c r="EP172" s="93"/>
      <c r="EQ172" s="93"/>
      <c r="ER172" s="93"/>
      <c r="ES172" s="93"/>
      <c r="ET172" s="93"/>
      <c r="EU172" s="93"/>
      <c r="EV172" s="20"/>
      <c r="EW172" s="25"/>
      <c r="EX172" s="915"/>
      <c r="EY172" s="916"/>
      <c r="EZ172" s="916"/>
      <c r="FA172" s="916"/>
      <c r="FB172" s="916"/>
      <c r="FC172" s="916"/>
      <c r="FD172" s="916"/>
      <c r="FE172" s="916"/>
      <c r="FF172" s="916"/>
      <c r="FG172" s="917"/>
      <c r="FH172" s="25"/>
      <c r="FI172" s="848">
        <v>45536</v>
      </c>
      <c r="FJ172" s="19"/>
      <c r="FK172" s="93"/>
      <c r="FL172" s="20"/>
      <c r="FM172" s="25"/>
      <c r="FN172" s="19"/>
      <c r="FO172" s="93"/>
      <c r="FP172" s="93"/>
      <c r="FQ172" s="93"/>
      <c r="FR172" s="93"/>
      <c r="FS172" s="93"/>
      <c r="FT172" s="93"/>
      <c r="FU172" s="93"/>
      <c r="FV172" s="93"/>
      <c r="FW172" s="917"/>
      <c r="FX172" s="25"/>
      <c r="FY172" s="916"/>
      <c r="FZ172" s="916"/>
      <c r="GA172" s="916"/>
      <c r="GB172" s="916"/>
      <c r="GC172" s="916"/>
      <c r="GD172" s="916"/>
      <c r="GE172" s="916"/>
      <c r="GF172" s="916"/>
      <c r="GG172" s="916"/>
      <c r="GH172" s="916"/>
      <c r="GI172" s="917"/>
      <c r="GJ172" s="25"/>
      <c r="GK172" s="19"/>
      <c r="GL172" s="20"/>
      <c r="GM172" s="25"/>
      <c r="GN172" s="19"/>
      <c r="GO172" s="20"/>
      <c r="GP172" s="25"/>
      <c r="GQ172" s="19"/>
      <c r="GR172" s="20"/>
      <c r="GS172" s="25"/>
      <c r="GT172" s="848">
        <v>45536</v>
      </c>
      <c r="GU172" s="19"/>
      <c r="GV172" s="93"/>
      <c r="GW172" s="93"/>
      <c r="GX172" s="93"/>
      <c r="GY172" s="93"/>
      <c r="GZ172" s="93"/>
      <c r="HA172" s="93"/>
      <c r="HB172" s="93"/>
      <c r="HC172" s="93"/>
      <c r="HD172" s="93"/>
      <c r="HE172" s="93"/>
      <c r="HF172" s="93"/>
      <c r="HG172" s="93"/>
      <c r="HH172" s="93"/>
      <c r="HI172" s="93"/>
      <c r="HJ172" s="93"/>
      <c r="HK172" s="93"/>
      <c r="HL172" s="93"/>
      <c r="HM172" s="93"/>
      <c r="HN172" s="93"/>
      <c r="HO172" s="93"/>
      <c r="HP172" s="93"/>
      <c r="HQ172" s="93"/>
      <c r="HR172" s="93"/>
      <c r="HS172" s="93"/>
      <c r="HT172" s="93"/>
      <c r="HU172" s="93"/>
      <c r="HV172" s="93"/>
      <c r="HW172" s="93"/>
      <c r="HX172" s="93"/>
      <c r="HY172" s="93"/>
      <c r="HZ172" s="93"/>
      <c r="IA172" s="93"/>
      <c r="IB172" s="93"/>
      <c r="IC172" s="93"/>
      <c r="ID172" s="93"/>
      <c r="IE172" s="93"/>
      <c r="IF172" s="93"/>
      <c r="IG172" s="93"/>
      <c r="IH172" s="93"/>
      <c r="II172" s="93"/>
      <c r="IJ172" s="93"/>
      <c r="IK172" s="93"/>
      <c r="IL172" s="93"/>
      <c r="IM172" s="93"/>
      <c r="IN172" s="93"/>
      <c r="IO172" s="93"/>
      <c r="IP172" s="93"/>
      <c r="IQ172" s="93"/>
      <c r="IR172" s="93"/>
      <c r="IS172" s="93"/>
      <c r="IT172" s="93"/>
      <c r="IU172" s="93"/>
      <c r="IV172" s="93"/>
      <c r="IW172" s="848">
        <v>45536</v>
      </c>
      <c r="IX172" s="93"/>
      <c r="IY172" s="93"/>
      <c r="IZ172" s="93"/>
      <c r="JA172" s="93"/>
      <c r="JB172" s="93"/>
      <c r="JC172" s="93"/>
      <c r="JD172" s="93"/>
      <c r="JE172" s="93"/>
      <c r="JF172" s="93"/>
      <c r="JG172" s="93"/>
      <c r="JH172" s="93"/>
      <c r="JI172" s="93"/>
      <c r="JJ172" s="93"/>
      <c r="JK172" s="93"/>
      <c r="JL172" s="93"/>
      <c r="JM172" s="93"/>
      <c r="JN172" s="93"/>
      <c r="JO172" s="93"/>
      <c r="JP172" s="93"/>
      <c r="JQ172" s="93"/>
      <c r="JR172" s="93"/>
      <c r="JS172" s="93"/>
      <c r="JT172" s="20"/>
      <c r="JU172" s="29"/>
      <c r="JV172" s="19"/>
      <c r="JW172" s="93"/>
      <c r="JX172" s="93"/>
      <c r="JY172" s="93"/>
      <c r="JZ172" s="93"/>
      <c r="KA172" s="93"/>
      <c r="KB172" s="93"/>
      <c r="KC172" s="93"/>
      <c r="KD172" s="93"/>
      <c r="KE172" s="93"/>
      <c r="KF172" s="93"/>
      <c r="KG172" s="93"/>
      <c r="KH172" s="93"/>
      <c r="KI172" s="93"/>
      <c r="KJ172" s="93"/>
      <c r="KK172" s="93"/>
      <c r="KL172" s="93"/>
      <c r="KM172" s="93"/>
      <c r="KN172" s="93"/>
      <c r="KO172" s="93"/>
      <c r="KP172" s="93"/>
      <c r="KQ172" s="93"/>
      <c r="KR172" s="93"/>
      <c r="KS172" s="93"/>
      <c r="KT172" s="93"/>
      <c r="KU172" s="93"/>
      <c r="KV172" s="93"/>
      <c r="KW172" s="20"/>
      <c r="KX172" s="29"/>
      <c r="KY172" s="19"/>
      <c r="KZ172" s="93"/>
      <c r="LA172" s="93"/>
      <c r="LB172" s="93"/>
      <c r="LC172" s="93"/>
      <c r="LD172" s="93"/>
      <c r="LE172" s="93"/>
      <c r="LF172" s="93"/>
      <c r="LG172" s="93"/>
      <c r="LH172" s="93"/>
      <c r="LI172" s="93"/>
      <c r="LJ172" s="93"/>
      <c r="LK172" s="93"/>
      <c r="LL172" s="93"/>
      <c r="LM172" s="93"/>
      <c r="LN172" s="93"/>
      <c r="LO172" s="93"/>
      <c r="LP172" s="93"/>
      <c r="LQ172" s="93"/>
      <c r="LR172" s="93"/>
      <c r="LS172" s="93"/>
      <c r="LT172" s="93"/>
      <c r="LU172" s="93"/>
      <c r="LV172" s="93"/>
      <c r="LW172" s="93"/>
      <c r="LX172" s="93"/>
      <c r="LY172" s="93"/>
      <c r="LZ172" s="93"/>
      <c r="MA172" s="93"/>
      <c r="MB172" s="93"/>
      <c r="MC172" s="93"/>
      <c r="MD172" s="93"/>
      <c r="ME172" s="93"/>
      <c r="MF172" s="93"/>
      <c r="MG172" s="93"/>
      <c r="MH172" s="20"/>
      <c r="MI172" s="29"/>
      <c r="MJ172" s="29" t="str">
        <f t="shared" si="88"/>
        <v>Trimestre 32024</v>
      </c>
      <c r="MK172" s="848">
        <v>45536</v>
      </c>
      <c r="ML172" s="1991"/>
      <c r="MM172" s="1991"/>
      <c r="MN172" s="1991"/>
      <c r="MO172" s="1991"/>
      <c r="MP172" s="1991"/>
      <c r="MQ172" s="1991"/>
      <c r="MR172" s="1991"/>
      <c r="MS172" s="1991"/>
      <c r="MT172" s="1991"/>
      <c r="MU172" s="1991"/>
      <c r="MV172" s="1991"/>
      <c r="MW172" s="1991"/>
      <c r="MX172" s="1991"/>
      <c r="MY172" s="1991"/>
      <c r="MZ172" s="1991"/>
      <c r="NA172" s="1991"/>
      <c r="NB172" s="1991"/>
      <c r="NC172" s="1991"/>
      <c r="ND172" s="1991"/>
      <c r="NE172" s="1991"/>
      <c r="NF172" s="1991"/>
      <c r="NG172" s="1991"/>
      <c r="NH172" s="1991"/>
      <c r="NI172" s="1991"/>
      <c r="NJ172" s="1991"/>
      <c r="NK172" s="1991"/>
      <c r="NL172" s="29"/>
    </row>
    <row r="173" spans="1:376">
      <c r="A173" s="41">
        <f t="shared" si="86"/>
        <v>2024</v>
      </c>
      <c r="B173" s="785">
        <v>45627</v>
      </c>
      <c r="C173" s="19"/>
      <c r="D173" s="93"/>
      <c r="E173" s="93"/>
      <c r="F173" s="93"/>
      <c r="G173" s="93"/>
      <c r="H173" s="93"/>
      <c r="I173" s="93"/>
      <c r="J173" s="93"/>
      <c r="K173" s="93"/>
      <c r="L173" s="93"/>
      <c r="M173" s="20"/>
      <c r="N173" s="25"/>
      <c r="O173" s="889">
        <f t="shared" si="85"/>
        <v>2024</v>
      </c>
      <c r="P173" s="29" t="str">
        <f t="shared" si="87"/>
        <v>Trimestre 42024</v>
      </c>
      <c r="Q173" s="848">
        <v>45627</v>
      </c>
      <c r="R173" s="733"/>
      <c r="S173" s="570"/>
      <c r="T173" s="570"/>
      <c r="U173" s="734"/>
      <c r="V173" s="25"/>
      <c r="W173" s="19"/>
      <c r="X173" s="93"/>
      <c r="Y173" s="93"/>
      <c r="Z173" s="93"/>
      <c r="AA173" s="93"/>
      <c r="AB173" s="93"/>
      <c r="AC173" s="93"/>
      <c r="AD173" s="93"/>
      <c r="AE173" s="20"/>
      <c r="AF173" s="25"/>
      <c r="AG173" s="19"/>
      <c r="AH173" s="93"/>
      <c r="AI173" s="93"/>
      <c r="AJ173" s="93"/>
      <c r="AK173" s="93"/>
      <c r="AL173" s="93"/>
      <c r="AM173" s="93"/>
      <c r="AN173" s="20"/>
      <c r="AO173" s="19"/>
      <c r="AP173" s="93"/>
      <c r="AQ173" s="93"/>
      <c r="AR173" s="93"/>
      <c r="AS173" s="20"/>
      <c r="AT173" s="19"/>
      <c r="AU173" s="93"/>
      <c r="AV173" s="20"/>
      <c r="AW173" s="19"/>
      <c r="AX173" s="93"/>
      <c r="AY173" s="93"/>
      <c r="AZ173" s="93"/>
      <c r="BA173" s="93"/>
      <c r="BB173" s="93"/>
      <c r="BC173" s="20"/>
      <c r="BD173" s="19"/>
      <c r="BE173" s="93"/>
      <c r="BF173" s="93"/>
      <c r="BG173" s="93"/>
      <c r="BH173" s="93"/>
      <c r="BI173" s="93"/>
      <c r="BJ173" s="93"/>
      <c r="BK173" s="20"/>
      <c r="BL173" s="19"/>
      <c r="BM173" s="93"/>
      <c r="BN173" s="93"/>
      <c r="BO173" s="93"/>
      <c r="BP173" s="93"/>
      <c r="BQ173" s="20"/>
      <c r="BR173" s="19"/>
      <c r="BS173" s="93"/>
      <c r="BT173" s="93"/>
      <c r="BU173" s="20"/>
      <c r="BV173" s="19"/>
      <c r="BW173" s="93"/>
      <c r="BX173" s="93"/>
      <c r="BY173" s="93"/>
      <c r="BZ173" s="93"/>
      <c r="CA173" s="93"/>
      <c r="CB173" s="20"/>
      <c r="CC173" s="25"/>
      <c r="CD173" s="19"/>
      <c r="CE173" s="93"/>
      <c r="CF173" s="20"/>
      <c r="CG173" s="25"/>
      <c r="CH173" s="19"/>
      <c r="CI173" s="93"/>
      <c r="CJ173" s="93"/>
      <c r="CK173" s="93"/>
      <c r="CL173" s="93"/>
      <c r="CM173" s="93"/>
      <c r="CN173" s="93"/>
      <c r="CO173" s="93"/>
      <c r="CP173" s="93"/>
      <c r="CQ173" s="93"/>
      <c r="CR173" s="214"/>
      <c r="CS173" s="20"/>
      <c r="CT173" s="25"/>
      <c r="CU173" s="19"/>
      <c r="CV173" s="93"/>
      <c r="CW173" s="93"/>
      <c r="CX173" s="93"/>
      <c r="CY173" s="93"/>
      <c r="CZ173" s="93"/>
      <c r="DA173" s="93"/>
      <c r="DB173" s="20"/>
      <c r="DC173" s="25"/>
      <c r="DD173" s="785">
        <v>45627</v>
      </c>
      <c r="DE173" s="19"/>
      <c r="DF173" s="20"/>
      <c r="DG173" s="25"/>
      <c r="DH173" s="19"/>
      <c r="DI173" s="20"/>
      <c r="DJ173" s="25"/>
      <c r="DK173" s="19"/>
      <c r="DL173" s="20"/>
      <c r="DM173" s="19"/>
      <c r="DN173" s="20"/>
      <c r="DO173" s="25"/>
      <c r="DP173" s="19"/>
      <c r="DQ173" s="93"/>
      <c r="DR173" s="20"/>
      <c r="DS173" s="25"/>
      <c r="DT173" s="19"/>
      <c r="DU173" s="93"/>
      <c r="DV173" s="20"/>
      <c r="DW173" s="25"/>
      <c r="DX173" s="19"/>
      <c r="DY173" s="20"/>
      <c r="DZ173" s="25"/>
      <c r="EA173" s="19"/>
      <c r="EB173" s="93"/>
      <c r="EC173" s="93"/>
      <c r="ED173" s="93"/>
      <c r="EE173" s="20"/>
      <c r="EF173" s="25"/>
      <c r="EG173" s="19"/>
      <c r="EH173" s="93"/>
      <c r="EI173" s="93"/>
      <c r="EJ173" s="93"/>
      <c r="EK173" s="20"/>
      <c r="EL173" s="25"/>
      <c r="EM173" s="19"/>
      <c r="EN173" s="93"/>
      <c r="EO173" s="93"/>
      <c r="EP173" s="93"/>
      <c r="EQ173" s="93"/>
      <c r="ER173" s="93"/>
      <c r="ES173" s="93"/>
      <c r="ET173" s="93"/>
      <c r="EU173" s="93"/>
      <c r="EV173" s="20"/>
      <c r="EW173" s="25"/>
      <c r="EX173" s="915"/>
      <c r="EY173" s="916"/>
      <c r="EZ173" s="916"/>
      <c r="FA173" s="916"/>
      <c r="FB173" s="916"/>
      <c r="FC173" s="916"/>
      <c r="FD173" s="916"/>
      <c r="FE173" s="916"/>
      <c r="FF173" s="916"/>
      <c r="FG173" s="917"/>
      <c r="FH173" s="25"/>
      <c r="FI173" s="848">
        <v>45627</v>
      </c>
      <c r="FJ173" s="19"/>
      <c r="FK173" s="93"/>
      <c r="FL173" s="20"/>
      <c r="FM173" s="25"/>
      <c r="FN173" s="19"/>
      <c r="FO173" s="93"/>
      <c r="FP173" s="93"/>
      <c r="FQ173" s="93"/>
      <c r="FR173" s="93"/>
      <c r="FS173" s="93"/>
      <c r="FT173" s="93"/>
      <c r="FU173" s="93"/>
      <c r="FV173" s="93"/>
      <c r="FW173" s="917"/>
      <c r="FX173" s="25"/>
      <c r="FY173" s="916"/>
      <c r="FZ173" s="916"/>
      <c r="GA173" s="916"/>
      <c r="GB173" s="916"/>
      <c r="GC173" s="916"/>
      <c r="GD173" s="916"/>
      <c r="GE173" s="916"/>
      <c r="GF173" s="916"/>
      <c r="GG173" s="916"/>
      <c r="GH173" s="916"/>
      <c r="GI173" s="917"/>
      <c r="GJ173" s="25"/>
      <c r="GK173" s="19"/>
      <c r="GL173" s="20"/>
      <c r="GM173" s="25"/>
      <c r="GN173" s="19"/>
      <c r="GO173" s="20"/>
      <c r="GP173" s="25"/>
      <c r="GQ173" s="19"/>
      <c r="GR173" s="20"/>
      <c r="GS173" s="25"/>
      <c r="GT173" s="848">
        <v>45627</v>
      </c>
      <c r="GU173" s="19"/>
      <c r="GV173" s="93"/>
      <c r="GW173" s="93"/>
      <c r="GX173" s="93"/>
      <c r="GY173" s="93"/>
      <c r="GZ173" s="93"/>
      <c r="HA173" s="93"/>
      <c r="HB173" s="93"/>
      <c r="HC173" s="93"/>
      <c r="HD173" s="93"/>
      <c r="HE173" s="93"/>
      <c r="HF173" s="93"/>
      <c r="HG173" s="93"/>
      <c r="HH173" s="93"/>
      <c r="HI173" s="93"/>
      <c r="HJ173" s="93"/>
      <c r="HK173" s="93"/>
      <c r="HL173" s="93"/>
      <c r="HM173" s="93"/>
      <c r="HN173" s="93"/>
      <c r="HO173" s="93"/>
      <c r="HP173" s="93"/>
      <c r="HQ173" s="93"/>
      <c r="HR173" s="93"/>
      <c r="HS173" s="93"/>
      <c r="HT173" s="93"/>
      <c r="HU173" s="93"/>
      <c r="HV173" s="93"/>
      <c r="HW173" s="93"/>
      <c r="HX173" s="93"/>
      <c r="HY173" s="93"/>
      <c r="HZ173" s="93"/>
      <c r="IA173" s="93"/>
      <c r="IB173" s="93"/>
      <c r="IC173" s="93"/>
      <c r="ID173" s="93"/>
      <c r="IE173" s="93"/>
      <c r="IF173" s="93"/>
      <c r="IG173" s="93"/>
      <c r="IH173" s="93"/>
      <c r="II173" s="93"/>
      <c r="IJ173" s="93"/>
      <c r="IK173" s="93"/>
      <c r="IL173" s="93"/>
      <c r="IM173" s="93"/>
      <c r="IN173" s="93"/>
      <c r="IO173" s="93"/>
      <c r="IP173" s="93"/>
      <c r="IQ173" s="93"/>
      <c r="IR173" s="93"/>
      <c r="IS173" s="93"/>
      <c r="IT173" s="93"/>
      <c r="IU173" s="93"/>
      <c r="IV173" s="93"/>
      <c r="IW173" s="848">
        <v>45627</v>
      </c>
      <c r="IX173" s="93"/>
      <c r="IY173" s="93"/>
      <c r="IZ173" s="93"/>
      <c r="JA173" s="93"/>
      <c r="JB173" s="93"/>
      <c r="JC173" s="93"/>
      <c r="JD173" s="93"/>
      <c r="JE173" s="93"/>
      <c r="JF173" s="93"/>
      <c r="JG173" s="93"/>
      <c r="JH173" s="93"/>
      <c r="JI173" s="93"/>
      <c r="JJ173" s="93"/>
      <c r="JK173" s="93"/>
      <c r="JL173" s="93"/>
      <c r="JM173" s="93"/>
      <c r="JN173" s="93"/>
      <c r="JO173" s="93"/>
      <c r="JP173" s="93"/>
      <c r="JQ173" s="93"/>
      <c r="JR173" s="93"/>
      <c r="JS173" s="93"/>
      <c r="JT173" s="20"/>
      <c r="JU173" s="29"/>
      <c r="JV173" s="19"/>
      <c r="JW173" s="93"/>
      <c r="JX173" s="93"/>
      <c r="JY173" s="93"/>
      <c r="JZ173" s="93"/>
      <c r="KA173" s="93"/>
      <c r="KB173" s="93"/>
      <c r="KC173" s="93"/>
      <c r="KD173" s="93"/>
      <c r="KE173" s="93"/>
      <c r="KF173" s="93"/>
      <c r="KG173" s="93"/>
      <c r="KH173" s="93"/>
      <c r="KI173" s="93"/>
      <c r="KJ173" s="93"/>
      <c r="KK173" s="93"/>
      <c r="KL173" s="93"/>
      <c r="KM173" s="93"/>
      <c r="KN173" s="93"/>
      <c r="KO173" s="93"/>
      <c r="KP173" s="93"/>
      <c r="KQ173" s="93"/>
      <c r="KR173" s="93"/>
      <c r="KS173" s="93"/>
      <c r="KT173" s="93"/>
      <c r="KU173" s="93"/>
      <c r="KV173" s="93"/>
      <c r="KW173" s="20"/>
      <c r="KX173" s="29"/>
      <c r="KY173" s="19"/>
      <c r="KZ173" s="93"/>
      <c r="LA173" s="93"/>
      <c r="LB173" s="93"/>
      <c r="LC173" s="93"/>
      <c r="LD173" s="93"/>
      <c r="LE173" s="93"/>
      <c r="LF173" s="93"/>
      <c r="LG173" s="93"/>
      <c r="LH173" s="93"/>
      <c r="LI173" s="93"/>
      <c r="LJ173" s="93"/>
      <c r="LK173" s="93"/>
      <c r="LL173" s="93"/>
      <c r="LM173" s="93"/>
      <c r="LN173" s="93"/>
      <c r="LO173" s="93"/>
      <c r="LP173" s="93"/>
      <c r="LQ173" s="93"/>
      <c r="LR173" s="93"/>
      <c r="LS173" s="93"/>
      <c r="LT173" s="93"/>
      <c r="LU173" s="93"/>
      <c r="LV173" s="93"/>
      <c r="LW173" s="93"/>
      <c r="LX173" s="93"/>
      <c r="LY173" s="93"/>
      <c r="LZ173" s="93"/>
      <c r="MA173" s="93"/>
      <c r="MB173" s="93"/>
      <c r="MC173" s="93"/>
      <c r="MD173" s="93"/>
      <c r="ME173" s="93"/>
      <c r="MF173" s="93"/>
      <c r="MG173" s="93"/>
      <c r="MH173" s="20"/>
      <c r="MI173" s="29"/>
      <c r="MJ173" s="29" t="str">
        <f t="shared" si="88"/>
        <v>Trimestre 42024</v>
      </c>
      <c r="MK173" s="848">
        <v>45627</v>
      </c>
      <c r="ML173" s="1991"/>
      <c r="MM173" s="1991"/>
      <c r="MN173" s="1991"/>
      <c r="MO173" s="1991"/>
      <c r="MP173" s="1991"/>
      <c r="MQ173" s="1991"/>
      <c r="MR173" s="1991"/>
      <c r="MS173" s="1991"/>
      <c r="MT173" s="1991"/>
      <c r="MU173" s="1991"/>
      <c r="MV173" s="1991"/>
      <c r="MW173" s="1991"/>
      <c r="MX173" s="1991"/>
      <c r="MY173" s="1991"/>
      <c r="MZ173" s="1991"/>
      <c r="NA173" s="1991"/>
      <c r="NB173" s="1991"/>
      <c r="NC173" s="1991"/>
      <c r="ND173" s="1991"/>
      <c r="NE173" s="1991"/>
      <c r="NF173" s="1991"/>
      <c r="NG173" s="1991"/>
      <c r="NH173" s="1991"/>
      <c r="NI173" s="1991"/>
      <c r="NJ173" s="1991"/>
      <c r="NK173" s="1991"/>
      <c r="NL173" s="29"/>
    </row>
    <row r="174" spans="1:376">
      <c r="A174" s="41">
        <f t="shared" si="86"/>
        <v>2025</v>
      </c>
      <c r="B174" s="785">
        <v>45717</v>
      </c>
      <c r="C174" s="19"/>
      <c r="D174" s="93"/>
      <c r="E174" s="93"/>
      <c r="F174" s="93"/>
      <c r="G174" s="93"/>
      <c r="H174" s="93"/>
      <c r="I174" s="93"/>
      <c r="J174" s="93"/>
      <c r="K174" s="93"/>
      <c r="L174" s="93"/>
      <c r="M174" s="20"/>
      <c r="N174" s="25"/>
      <c r="O174" s="889">
        <f t="shared" si="85"/>
        <v>2025</v>
      </c>
      <c r="P174" s="29" t="str">
        <f t="shared" si="87"/>
        <v>Trimestre 12025</v>
      </c>
      <c r="Q174" s="848">
        <v>45717</v>
      </c>
      <c r="R174" s="733"/>
      <c r="S174" s="570"/>
      <c r="T174" s="570"/>
      <c r="U174" s="734"/>
      <c r="V174" s="25"/>
      <c r="W174" s="19"/>
      <c r="X174" s="93"/>
      <c r="Y174" s="93"/>
      <c r="Z174" s="93"/>
      <c r="AA174" s="93"/>
      <c r="AB174" s="93"/>
      <c r="AC174" s="93"/>
      <c r="AD174" s="93"/>
      <c r="AE174" s="20"/>
      <c r="AF174" s="25"/>
      <c r="AG174" s="19"/>
      <c r="AH174" s="93"/>
      <c r="AI174" s="93"/>
      <c r="AJ174" s="93"/>
      <c r="AK174" s="93"/>
      <c r="AL174" s="93"/>
      <c r="AM174" s="93"/>
      <c r="AN174" s="20"/>
      <c r="AO174" s="19"/>
      <c r="AP174" s="93"/>
      <c r="AQ174" s="93"/>
      <c r="AR174" s="93"/>
      <c r="AS174" s="20"/>
      <c r="AT174" s="19"/>
      <c r="AU174" s="93"/>
      <c r="AV174" s="20"/>
      <c r="AW174" s="19"/>
      <c r="AX174" s="93"/>
      <c r="AY174" s="93"/>
      <c r="AZ174" s="93"/>
      <c r="BA174" s="93"/>
      <c r="BB174" s="93"/>
      <c r="BC174" s="20"/>
      <c r="BD174" s="19"/>
      <c r="BE174" s="93"/>
      <c r="BF174" s="93"/>
      <c r="BG174" s="93"/>
      <c r="BH174" s="93"/>
      <c r="BI174" s="93"/>
      <c r="BJ174" s="93"/>
      <c r="BK174" s="20"/>
      <c r="BL174" s="19"/>
      <c r="BM174" s="93"/>
      <c r="BN174" s="93"/>
      <c r="BO174" s="93"/>
      <c r="BP174" s="93"/>
      <c r="BQ174" s="20"/>
      <c r="BR174" s="19"/>
      <c r="BS174" s="93"/>
      <c r="BT174" s="93"/>
      <c r="BU174" s="20"/>
      <c r="BV174" s="19"/>
      <c r="BW174" s="93"/>
      <c r="BX174" s="93"/>
      <c r="BY174" s="93"/>
      <c r="BZ174" s="93"/>
      <c r="CA174" s="93"/>
      <c r="CB174" s="20"/>
      <c r="CC174" s="25"/>
      <c r="CD174" s="19"/>
      <c r="CE174" s="93"/>
      <c r="CF174" s="20"/>
      <c r="CG174" s="25"/>
      <c r="CH174" s="19"/>
      <c r="CI174" s="93"/>
      <c r="CJ174" s="93"/>
      <c r="CK174" s="93"/>
      <c r="CL174" s="93"/>
      <c r="CM174" s="93"/>
      <c r="CN174" s="93"/>
      <c r="CO174" s="93"/>
      <c r="CP174" s="93"/>
      <c r="CQ174" s="93"/>
      <c r="CR174" s="214"/>
      <c r="CS174" s="20"/>
      <c r="CT174" s="25"/>
      <c r="CU174" s="19"/>
      <c r="CV174" s="93"/>
      <c r="CW174" s="93"/>
      <c r="CX174" s="93"/>
      <c r="CY174" s="93"/>
      <c r="CZ174" s="93"/>
      <c r="DA174" s="93"/>
      <c r="DB174" s="20"/>
      <c r="DC174" s="25"/>
      <c r="DD174" s="785">
        <v>45717</v>
      </c>
      <c r="DE174" s="19"/>
      <c r="DF174" s="20"/>
      <c r="DG174" s="25"/>
      <c r="DH174" s="19"/>
      <c r="DI174" s="20"/>
      <c r="DJ174" s="25"/>
      <c r="DK174" s="19"/>
      <c r="DL174" s="20"/>
      <c r="DM174" s="19"/>
      <c r="DN174" s="20"/>
      <c r="DO174" s="25"/>
      <c r="DP174" s="19"/>
      <c r="DQ174" s="93"/>
      <c r="DR174" s="20"/>
      <c r="DS174" s="25"/>
      <c r="DT174" s="19"/>
      <c r="DU174" s="93"/>
      <c r="DV174" s="20"/>
      <c r="DW174" s="25"/>
      <c r="DX174" s="19"/>
      <c r="DY174" s="20"/>
      <c r="DZ174" s="25"/>
      <c r="EA174" s="19"/>
      <c r="EB174" s="93"/>
      <c r="EC174" s="93"/>
      <c r="ED174" s="93"/>
      <c r="EE174" s="20"/>
      <c r="EF174" s="25"/>
      <c r="EG174" s="19"/>
      <c r="EH174" s="93"/>
      <c r="EI174" s="93"/>
      <c r="EJ174" s="93"/>
      <c r="EK174" s="20"/>
      <c r="EL174" s="25"/>
      <c r="EM174" s="19"/>
      <c r="EN174" s="93"/>
      <c r="EO174" s="93"/>
      <c r="EP174" s="93"/>
      <c r="EQ174" s="93"/>
      <c r="ER174" s="93"/>
      <c r="ES174" s="93"/>
      <c r="ET174" s="93"/>
      <c r="EU174" s="93"/>
      <c r="EV174" s="20"/>
      <c r="EW174" s="25"/>
      <c r="EX174" s="915"/>
      <c r="EY174" s="916"/>
      <c r="EZ174" s="916"/>
      <c r="FA174" s="916"/>
      <c r="FB174" s="916"/>
      <c r="FC174" s="916"/>
      <c r="FD174" s="916"/>
      <c r="FE174" s="916"/>
      <c r="FF174" s="916"/>
      <c r="FG174" s="917"/>
      <c r="FH174" s="25"/>
      <c r="FI174" s="848">
        <v>45717</v>
      </c>
      <c r="FJ174" s="19"/>
      <c r="FK174" s="93"/>
      <c r="FL174" s="20"/>
      <c r="FM174" s="25"/>
      <c r="FN174" s="19"/>
      <c r="FO174" s="93"/>
      <c r="FP174" s="93"/>
      <c r="FQ174" s="93"/>
      <c r="FR174" s="93"/>
      <c r="FS174" s="93"/>
      <c r="FT174" s="93"/>
      <c r="FU174" s="93"/>
      <c r="FV174" s="93"/>
      <c r="FW174" s="917"/>
      <c r="FX174" s="25"/>
      <c r="FY174" s="916"/>
      <c r="FZ174" s="916"/>
      <c r="GA174" s="916"/>
      <c r="GB174" s="916"/>
      <c r="GC174" s="916"/>
      <c r="GD174" s="916"/>
      <c r="GE174" s="916"/>
      <c r="GF174" s="916"/>
      <c r="GG174" s="916"/>
      <c r="GH174" s="916"/>
      <c r="GI174" s="917"/>
      <c r="GJ174" s="25"/>
      <c r="GK174" s="19"/>
      <c r="GL174" s="20"/>
      <c r="GM174" s="25"/>
      <c r="GN174" s="19"/>
      <c r="GO174" s="20"/>
      <c r="GP174" s="25"/>
      <c r="GQ174" s="19"/>
      <c r="GR174" s="20"/>
      <c r="GS174" s="25"/>
      <c r="GT174" s="848">
        <v>45717</v>
      </c>
      <c r="GU174" s="19"/>
      <c r="GV174" s="93"/>
      <c r="GW174" s="93"/>
      <c r="GX174" s="93"/>
      <c r="GY174" s="93"/>
      <c r="GZ174" s="93"/>
      <c r="HA174" s="93"/>
      <c r="HB174" s="93"/>
      <c r="HC174" s="93"/>
      <c r="HD174" s="93"/>
      <c r="HE174" s="93"/>
      <c r="HF174" s="93"/>
      <c r="HG174" s="93"/>
      <c r="HH174" s="93"/>
      <c r="HI174" s="93"/>
      <c r="HJ174" s="93"/>
      <c r="HK174" s="93"/>
      <c r="HL174" s="93"/>
      <c r="HM174" s="93"/>
      <c r="HN174" s="93"/>
      <c r="HO174" s="93"/>
      <c r="HP174" s="93"/>
      <c r="HQ174" s="93"/>
      <c r="HR174" s="93"/>
      <c r="HS174" s="93"/>
      <c r="HT174" s="93"/>
      <c r="HU174" s="93"/>
      <c r="HV174" s="93"/>
      <c r="HW174" s="93"/>
      <c r="HX174" s="93"/>
      <c r="HY174" s="93"/>
      <c r="HZ174" s="93"/>
      <c r="IA174" s="93"/>
      <c r="IB174" s="93"/>
      <c r="IC174" s="93"/>
      <c r="ID174" s="93"/>
      <c r="IE174" s="93"/>
      <c r="IF174" s="93"/>
      <c r="IG174" s="93"/>
      <c r="IH174" s="93"/>
      <c r="II174" s="93"/>
      <c r="IJ174" s="93"/>
      <c r="IK174" s="93"/>
      <c r="IL174" s="93"/>
      <c r="IM174" s="93"/>
      <c r="IN174" s="93"/>
      <c r="IO174" s="93"/>
      <c r="IP174" s="93"/>
      <c r="IQ174" s="93"/>
      <c r="IR174" s="93"/>
      <c r="IS174" s="93"/>
      <c r="IT174" s="93"/>
      <c r="IU174" s="93"/>
      <c r="IV174" s="93"/>
      <c r="IW174" s="848">
        <v>45717</v>
      </c>
      <c r="IX174" s="93"/>
      <c r="IY174" s="93"/>
      <c r="IZ174" s="93"/>
      <c r="JA174" s="93"/>
      <c r="JB174" s="93"/>
      <c r="JC174" s="93"/>
      <c r="JD174" s="93"/>
      <c r="JE174" s="93"/>
      <c r="JF174" s="93"/>
      <c r="JG174" s="93"/>
      <c r="JH174" s="93"/>
      <c r="JI174" s="93"/>
      <c r="JJ174" s="93"/>
      <c r="JK174" s="93"/>
      <c r="JL174" s="93"/>
      <c r="JM174" s="93"/>
      <c r="JN174" s="93"/>
      <c r="JO174" s="93"/>
      <c r="JP174" s="93"/>
      <c r="JQ174" s="93"/>
      <c r="JR174" s="93"/>
      <c r="JS174" s="93"/>
      <c r="JT174" s="20"/>
      <c r="JU174" s="29"/>
      <c r="JV174" s="19"/>
      <c r="JW174" s="93"/>
      <c r="JX174" s="93"/>
      <c r="JY174" s="93"/>
      <c r="JZ174" s="93"/>
      <c r="KA174" s="93"/>
      <c r="KB174" s="93"/>
      <c r="KC174" s="93"/>
      <c r="KD174" s="93"/>
      <c r="KE174" s="93"/>
      <c r="KF174" s="93"/>
      <c r="KG174" s="93"/>
      <c r="KH174" s="93"/>
      <c r="KI174" s="93"/>
      <c r="KJ174" s="93"/>
      <c r="KK174" s="93"/>
      <c r="KL174" s="93"/>
      <c r="KM174" s="93"/>
      <c r="KN174" s="93"/>
      <c r="KO174" s="93"/>
      <c r="KP174" s="93"/>
      <c r="KQ174" s="93"/>
      <c r="KR174" s="93"/>
      <c r="KS174" s="93"/>
      <c r="KT174" s="93"/>
      <c r="KU174" s="93"/>
      <c r="KV174" s="93"/>
      <c r="KW174" s="20"/>
      <c r="KX174" s="29"/>
      <c r="KY174" s="19"/>
      <c r="KZ174" s="93"/>
      <c r="LA174" s="93"/>
      <c r="LB174" s="93"/>
      <c r="LC174" s="93"/>
      <c r="LD174" s="93"/>
      <c r="LE174" s="93"/>
      <c r="LF174" s="93"/>
      <c r="LG174" s="93"/>
      <c r="LH174" s="93"/>
      <c r="LI174" s="93"/>
      <c r="LJ174" s="93"/>
      <c r="LK174" s="93"/>
      <c r="LL174" s="93"/>
      <c r="LM174" s="93"/>
      <c r="LN174" s="93"/>
      <c r="LO174" s="93"/>
      <c r="LP174" s="93"/>
      <c r="LQ174" s="93"/>
      <c r="LR174" s="93"/>
      <c r="LS174" s="93"/>
      <c r="LT174" s="93"/>
      <c r="LU174" s="93"/>
      <c r="LV174" s="93"/>
      <c r="LW174" s="93"/>
      <c r="LX174" s="93"/>
      <c r="LY174" s="93"/>
      <c r="LZ174" s="93"/>
      <c r="MA174" s="93"/>
      <c r="MB174" s="93"/>
      <c r="MC174" s="93"/>
      <c r="MD174" s="93"/>
      <c r="ME174" s="93"/>
      <c r="MF174" s="93"/>
      <c r="MG174" s="93"/>
      <c r="MH174" s="20"/>
      <c r="MI174" s="29"/>
      <c r="MJ174" s="29" t="str">
        <f t="shared" si="88"/>
        <v>Trimestre 12025</v>
      </c>
      <c r="MK174" s="848">
        <v>45717</v>
      </c>
      <c r="ML174" s="1991"/>
      <c r="MM174" s="1991"/>
      <c r="MN174" s="1991"/>
      <c r="MO174" s="1991"/>
      <c r="MP174" s="1991"/>
      <c r="MQ174" s="1991"/>
      <c r="MR174" s="1991"/>
      <c r="MS174" s="1991"/>
      <c r="MT174" s="1991"/>
      <c r="MU174" s="1991"/>
      <c r="MV174" s="1991"/>
      <c r="MW174" s="1991"/>
      <c r="MX174" s="1991"/>
      <c r="MY174" s="1991"/>
      <c r="MZ174" s="1991"/>
      <c r="NA174" s="1991"/>
      <c r="NB174" s="1991"/>
      <c r="NC174" s="1991"/>
      <c r="ND174" s="1991"/>
      <c r="NE174" s="1991"/>
      <c r="NF174" s="1991"/>
      <c r="NG174" s="1991"/>
      <c r="NH174" s="1991"/>
      <c r="NI174" s="1991"/>
      <c r="NJ174" s="1991"/>
      <c r="NK174" s="1991"/>
      <c r="NL174" s="29"/>
    </row>
    <row r="175" spans="1:376">
      <c r="A175" s="41">
        <f t="shared" si="86"/>
        <v>2025</v>
      </c>
      <c r="B175" s="785">
        <v>45809</v>
      </c>
      <c r="C175" s="19"/>
      <c r="D175" s="93"/>
      <c r="E175" s="93"/>
      <c r="F175" s="93"/>
      <c r="G175" s="93"/>
      <c r="H175" s="93"/>
      <c r="I175" s="93"/>
      <c r="J175" s="93"/>
      <c r="K175" s="93"/>
      <c r="L175" s="93"/>
      <c r="M175" s="20"/>
      <c r="N175" s="25"/>
      <c r="O175" s="889">
        <f t="shared" si="85"/>
        <v>2025</v>
      </c>
      <c r="P175" s="29" t="str">
        <f t="shared" si="87"/>
        <v>Trimestre 22025</v>
      </c>
      <c r="Q175" s="848">
        <v>45809</v>
      </c>
      <c r="R175" s="733"/>
      <c r="S175" s="570"/>
      <c r="T175" s="570"/>
      <c r="U175" s="734"/>
      <c r="V175" s="25"/>
      <c r="W175" s="19"/>
      <c r="X175" s="93"/>
      <c r="Y175" s="93"/>
      <c r="Z175" s="93"/>
      <c r="AA175" s="93"/>
      <c r="AB175" s="93"/>
      <c r="AC175" s="93"/>
      <c r="AD175" s="93"/>
      <c r="AE175" s="20"/>
      <c r="AF175" s="25"/>
      <c r="AG175" s="19"/>
      <c r="AH175" s="93"/>
      <c r="AI175" s="93"/>
      <c r="AJ175" s="93"/>
      <c r="AK175" s="93"/>
      <c r="AL175" s="93"/>
      <c r="AM175" s="93"/>
      <c r="AN175" s="20"/>
      <c r="AO175" s="19"/>
      <c r="AP175" s="93"/>
      <c r="AQ175" s="93"/>
      <c r="AR175" s="93"/>
      <c r="AS175" s="20"/>
      <c r="AT175" s="19"/>
      <c r="AU175" s="93"/>
      <c r="AV175" s="20"/>
      <c r="AW175" s="19"/>
      <c r="AX175" s="93"/>
      <c r="AY175" s="93"/>
      <c r="AZ175" s="93"/>
      <c r="BA175" s="93"/>
      <c r="BB175" s="93"/>
      <c r="BC175" s="20"/>
      <c r="BD175" s="19"/>
      <c r="BE175" s="93"/>
      <c r="BF175" s="93"/>
      <c r="BG175" s="93"/>
      <c r="BH175" s="93"/>
      <c r="BI175" s="93"/>
      <c r="BJ175" s="93"/>
      <c r="BK175" s="20"/>
      <c r="BL175" s="19"/>
      <c r="BM175" s="93"/>
      <c r="BN175" s="93"/>
      <c r="BO175" s="93"/>
      <c r="BP175" s="93"/>
      <c r="BQ175" s="20"/>
      <c r="BR175" s="19"/>
      <c r="BS175" s="93"/>
      <c r="BT175" s="93"/>
      <c r="BU175" s="20"/>
      <c r="BV175" s="19"/>
      <c r="BW175" s="93"/>
      <c r="BX175" s="93"/>
      <c r="BY175" s="93"/>
      <c r="BZ175" s="93"/>
      <c r="CA175" s="93"/>
      <c r="CB175" s="20"/>
      <c r="CC175" s="25"/>
      <c r="CD175" s="19"/>
      <c r="CE175" s="93"/>
      <c r="CF175" s="20"/>
      <c r="CG175" s="25"/>
      <c r="CH175" s="19"/>
      <c r="CI175" s="93"/>
      <c r="CJ175" s="93"/>
      <c r="CK175" s="93"/>
      <c r="CL175" s="93"/>
      <c r="CM175" s="93"/>
      <c r="CN175" s="93"/>
      <c r="CO175" s="93"/>
      <c r="CP175" s="93"/>
      <c r="CQ175" s="93"/>
      <c r="CR175" s="214"/>
      <c r="CS175" s="20"/>
      <c r="CT175" s="25"/>
      <c r="CU175" s="19"/>
      <c r="CV175" s="93"/>
      <c r="CW175" s="93"/>
      <c r="CX175" s="93"/>
      <c r="CY175" s="93"/>
      <c r="CZ175" s="93"/>
      <c r="DA175" s="93"/>
      <c r="DB175" s="20"/>
      <c r="DC175" s="25"/>
      <c r="DD175" s="785">
        <v>45809</v>
      </c>
      <c r="DE175" s="19"/>
      <c r="DF175" s="20"/>
      <c r="DG175" s="25"/>
      <c r="DH175" s="19"/>
      <c r="DI175" s="20"/>
      <c r="DJ175" s="25"/>
      <c r="DK175" s="19"/>
      <c r="DL175" s="20"/>
      <c r="DM175" s="19"/>
      <c r="DN175" s="20"/>
      <c r="DO175" s="25"/>
      <c r="DP175" s="19"/>
      <c r="DQ175" s="93"/>
      <c r="DR175" s="20"/>
      <c r="DS175" s="25"/>
      <c r="DT175" s="19"/>
      <c r="DU175" s="93"/>
      <c r="DV175" s="20"/>
      <c r="DW175" s="25"/>
      <c r="DX175" s="19"/>
      <c r="DY175" s="20"/>
      <c r="DZ175" s="25"/>
      <c r="EA175" s="19"/>
      <c r="EB175" s="93"/>
      <c r="EC175" s="93"/>
      <c r="ED175" s="93"/>
      <c r="EE175" s="20"/>
      <c r="EF175" s="25"/>
      <c r="EG175" s="19"/>
      <c r="EH175" s="93"/>
      <c r="EI175" s="93"/>
      <c r="EJ175" s="93"/>
      <c r="EK175" s="20"/>
      <c r="EL175" s="25"/>
      <c r="EM175" s="19"/>
      <c r="EN175" s="93"/>
      <c r="EO175" s="93"/>
      <c r="EP175" s="93"/>
      <c r="EQ175" s="93"/>
      <c r="ER175" s="93"/>
      <c r="ES175" s="93"/>
      <c r="ET175" s="93"/>
      <c r="EU175" s="93"/>
      <c r="EV175" s="20"/>
      <c r="EW175" s="25"/>
      <c r="EX175" s="915"/>
      <c r="EY175" s="916"/>
      <c r="EZ175" s="916"/>
      <c r="FA175" s="916"/>
      <c r="FB175" s="916"/>
      <c r="FC175" s="916"/>
      <c r="FD175" s="916"/>
      <c r="FE175" s="916"/>
      <c r="FF175" s="916"/>
      <c r="FG175" s="917"/>
      <c r="FH175" s="25"/>
      <c r="FI175" s="848">
        <v>45809</v>
      </c>
      <c r="FJ175" s="19"/>
      <c r="FK175" s="93"/>
      <c r="FL175" s="20"/>
      <c r="FM175" s="25"/>
      <c r="FN175" s="19"/>
      <c r="FO175" s="93"/>
      <c r="FP175" s="93"/>
      <c r="FQ175" s="93"/>
      <c r="FR175" s="93"/>
      <c r="FS175" s="93"/>
      <c r="FT175" s="93"/>
      <c r="FU175" s="93"/>
      <c r="FV175" s="93"/>
      <c r="FW175" s="917"/>
      <c r="FX175" s="25"/>
      <c r="FY175" s="916"/>
      <c r="FZ175" s="916"/>
      <c r="GA175" s="916"/>
      <c r="GB175" s="916"/>
      <c r="GC175" s="916"/>
      <c r="GD175" s="916"/>
      <c r="GE175" s="916"/>
      <c r="GF175" s="916"/>
      <c r="GG175" s="916"/>
      <c r="GH175" s="916"/>
      <c r="GI175" s="917"/>
      <c r="GJ175" s="25"/>
      <c r="GK175" s="19"/>
      <c r="GL175" s="20"/>
      <c r="GM175" s="25"/>
      <c r="GN175" s="19"/>
      <c r="GO175" s="20"/>
      <c r="GP175" s="25"/>
      <c r="GQ175" s="19"/>
      <c r="GR175" s="20"/>
      <c r="GS175" s="25"/>
      <c r="GT175" s="848">
        <v>45809</v>
      </c>
      <c r="GU175" s="19"/>
      <c r="GV175" s="93"/>
      <c r="GW175" s="93"/>
      <c r="GX175" s="93"/>
      <c r="GY175" s="93"/>
      <c r="GZ175" s="93"/>
      <c r="HA175" s="93"/>
      <c r="HB175" s="93"/>
      <c r="HC175" s="93"/>
      <c r="HD175" s="93"/>
      <c r="HE175" s="93"/>
      <c r="HF175" s="93"/>
      <c r="HG175" s="93"/>
      <c r="HH175" s="93"/>
      <c r="HI175" s="93"/>
      <c r="HJ175" s="93"/>
      <c r="HK175" s="93"/>
      <c r="HL175" s="93"/>
      <c r="HM175" s="93"/>
      <c r="HN175" s="93"/>
      <c r="HO175" s="93"/>
      <c r="HP175" s="93"/>
      <c r="HQ175" s="93"/>
      <c r="HR175" s="93"/>
      <c r="HS175" s="93"/>
      <c r="HT175" s="93"/>
      <c r="HU175" s="93"/>
      <c r="HV175" s="93"/>
      <c r="HW175" s="93"/>
      <c r="HX175" s="93"/>
      <c r="HY175" s="93"/>
      <c r="HZ175" s="93"/>
      <c r="IA175" s="93"/>
      <c r="IB175" s="93"/>
      <c r="IC175" s="93"/>
      <c r="ID175" s="93"/>
      <c r="IE175" s="93"/>
      <c r="IF175" s="93"/>
      <c r="IG175" s="93"/>
      <c r="IH175" s="93"/>
      <c r="II175" s="93"/>
      <c r="IJ175" s="93"/>
      <c r="IK175" s="93"/>
      <c r="IL175" s="93"/>
      <c r="IM175" s="93"/>
      <c r="IN175" s="93"/>
      <c r="IO175" s="93"/>
      <c r="IP175" s="93"/>
      <c r="IQ175" s="93"/>
      <c r="IR175" s="93"/>
      <c r="IS175" s="93"/>
      <c r="IT175" s="93"/>
      <c r="IU175" s="93"/>
      <c r="IV175" s="93"/>
      <c r="IW175" s="848">
        <v>45809</v>
      </c>
      <c r="IX175" s="93"/>
      <c r="IY175" s="93"/>
      <c r="IZ175" s="93"/>
      <c r="JA175" s="93"/>
      <c r="JB175" s="93"/>
      <c r="JC175" s="93"/>
      <c r="JD175" s="93"/>
      <c r="JE175" s="93"/>
      <c r="JF175" s="93"/>
      <c r="JG175" s="93"/>
      <c r="JH175" s="93"/>
      <c r="JI175" s="93"/>
      <c r="JJ175" s="93"/>
      <c r="JK175" s="93"/>
      <c r="JL175" s="93"/>
      <c r="JM175" s="93"/>
      <c r="JN175" s="93"/>
      <c r="JO175" s="93"/>
      <c r="JP175" s="93"/>
      <c r="JQ175" s="93"/>
      <c r="JR175" s="93"/>
      <c r="JS175" s="93"/>
      <c r="JT175" s="20"/>
      <c r="JU175" s="29"/>
      <c r="JV175" s="19"/>
      <c r="JW175" s="93"/>
      <c r="JX175" s="93"/>
      <c r="JY175" s="93"/>
      <c r="JZ175" s="93"/>
      <c r="KA175" s="93"/>
      <c r="KB175" s="93"/>
      <c r="KC175" s="93"/>
      <c r="KD175" s="93"/>
      <c r="KE175" s="93"/>
      <c r="KF175" s="93"/>
      <c r="KG175" s="93"/>
      <c r="KH175" s="93"/>
      <c r="KI175" s="93"/>
      <c r="KJ175" s="93"/>
      <c r="KK175" s="93"/>
      <c r="KL175" s="93"/>
      <c r="KM175" s="93"/>
      <c r="KN175" s="93"/>
      <c r="KO175" s="93"/>
      <c r="KP175" s="93"/>
      <c r="KQ175" s="93"/>
      <c r="KR175" s="93"/>
      <c r="KS175" s="93"/>
      <c r="KT175" s="93"/>
      <c r="KU175" s="93"/>
      <c r="KV175" s="93"/>
      <c r="KW175" s="20"/>
      <c r="KX175" s="29"/>
      <c r="KY175" s="19"/>
      <c r="KZ175" s="93"/>
      <c r="LA175" s="93"/>
      <c r="LB175" s="93"/>
      <c r="LC175" s="93"/>
      <c r="LD175" s="93"/>
      <c r="LE175" s="93"/>
      <c r="LF175" s="93"/>
      <c r="LG175" s="93"/>
      <c r="LH175" s="93"/>
      <c r="LI175" s="93"/>
      <c r="LJ175" s="93"/>
      <c r="LK175" s="93"/>
      <c r="LL175" s="93"/>
      <c r="LM175" s="93"/>
      <c r="LN175" s="93"/>
      <c r="LO175" s="93"/>
      <c r="LP175" s="93"/>
      <c r="LQ175" s="93"/>
      <c r="LR175" s="93"/>
      <c r="LS175" s="93"/>
      <c r="LT175" s="93"/>
      <c r="LU175" s="93"/>
      <c r="LV175" s="93"/>
      <c r="LW175" s="93"/>
      <c r="LX175" s="93"/>
      <c r="LY175" s="93"/>
      <c r="LZ175" s="93"/>
      <c r="MA175" s="93"/>
      <c r="MB175" s="93"/>
      <c r="MC175" s="93"/>
      <c r="MD175" s="93"/>
      <c r="ME175" s="93"/>
      <c r="MF175" s="93"/>
      <c r="MG175" s="93"/>
      <c r="MH175" s="20"/>
      <c r="MI175" s="29"/>
      <c r="MJ175" s="29" t="str">
        <f t="shared" si="88"/>
        <v>Trimestre 22025</v>
      </c>
      <c r="MK175" s="848">
        <v>45809</v>
      </c>
      <c r="ML175" s="1991"/>
      <c r="MM175" s="1991"/>
      <c r="MN175" s="1991"/>
      <c r="MO175" s="1991"/>
      <c r="MP175" s="1991"/>
      <c r="MQ175" s="1991"/>
      <c r="MR175" s="1991"/>
      <c r="MS175" s="1991"/>
      <c r="MT175" s="1991"/>
      <c r="MU175" s="1991"/>
      <c r="MV175" s="1991"/>
      <c r="MW175" s="1991"/>
      <c r="MX175" s="1991"/>
      <c r="MY175" s="1991"/>
      <c r="MZ175" s="1991"/>
      <c r="NA175" s="1991"/>
      <c r="NB175" s="1991"/>
      <c r="NC175" s="1991"/>
      <c r="ND175" s="1991"/>
      <c r="NE175" s="1991"/>
      <c r="NF175" s="1991"/>
      <c r="NG175" s="1991"/>
      <c r="NH175" s="1991"/>
      <c r="NI175" s="1991"/>
      <c r="NJ175" s="1991"/>
      <c r="NK175" s="1991"/>
      <c r="NL175" s="29"/>
    </row>
    <row r="176" spans="1:376">
      <c r="A176" s="41">
        <f t="shared" si="86"/>
        <v>2025</v>
      </c>
      <c r="B176" s="785">
        <v>45901</v>
      </c>
      <c r="C176" s="19"/>
      <c r="D176" s="93"/>
      <c r="E176" s="93"/>
      <c r="F176" s="93"/>
      <c r="G176" s="93"/>
      <c r="H176" s="93"/>
      <c r="I176" s="93"/>
      <c r="J176" s="93"/>
      <c r="K176" s="93"/>
      <c r="L176" s="93"/>
      <c r="M176" s="20"/>
      <c r="N176" s="25"/>
      <c r="O176" s="889">
        <f t="shared" si="85"/>
        <v>2025</v>
      </c>
      <c r="P176" s="29" t="str">
        <f t="shared" si="87"/>
        <v>Trimestre 32025</v>
      </c>
      <c r="Q176" s="848">
        <v>45901</v>
      </c>
      <c r="R176" s="733"/>
      <c r="S176" s="570"/>
      <c r="T176" s="570"/>
      <c r="U176" s="734"/>
      <c r="V176" s="25"/>
      <c r="W176" s="19"/>
      <c r="X176" s="93"/>
      <c r="Y176" s="93"/>
      <c r="Z176" s="93"/>
      <c r="AA176" s="93"/>
      <c r="AB176" s="93"/>
      <c r="AC176" s="93"/>
      <c r="AD176" s="93"/>
      <c r="AE176" s="20"/>
      <c r="AF176" s="25"/>
      <c r="AG176" s="19"/>
      <c r="AH176" s="93"/>
      <c r="AI176" s="93"/>
      <c r="AJ176" s="93"/>
      <c r="AK176" s="93"/>
      <c r="AL176" s="93"/>
      <c r="AM176" s="93"/>
      <c r="AN176" s="20"/>
      <c r="AO176" s="19"/>
      <c r="AP176" s="93"/>
      <c r="AQ176" s="93"/>
      <c r="AR176" s="93"/>
      <c r="AS176" s="20"/>
      <c r="AT176" s="19"/>
      <c r="AU176" s="93"/>
      <c r="AV176" s="20"/>
      <c r="AW176" s="19"/>
      <c r="AX176" s="93"/>
      <c r="AY176" s="93"/>
      <c r="AZ176" s="93"/>
      <c r="BA176" s="93"/>
      <c r="BB176" s="93"/>
      <c r="BC176" s="20"/>
      <c r="BD176" s="19"/>
      <c r="BE176" s="93"/>
      <c r="BF176" s="93"/>
      <c r="BG176" s="93"/>
      <c r="BH176" s="93"/>
      <c r="BI176" s="93"/>
      <c r="BJ176" s="93"/>
      <c r="BK176" s="20"/>
      <c r="BL176" s="19"/>
      <c r="BM176" s="93"/>
      <c r="BN176" s="93"/>
      <c r="BO176" s="93"/>
      <c r="BP176" s="93"/>
      <c r="BQ176" s="20"/>
      <c r="BR176" s="19"/>
      <c r="BS176" s="93"/>
      <c r="BT176" s="93"/>
      <c r="BU176" s="20"/>
      <c r="BV176" s="19"/>
      <c r="BW176" s="93"/>
      <c r="BX176" s="93"/>
      <c r="BY176" s="93"/>
      <c r="BZ176" s="93"/>
      <c r="CA176" s="93"/>
      <c r="CB176" s="20"/>
      <c r="CC176" s="25"/>
      <c r="CD176" s="19"/>
      <c r="CE176" s="93"/>
      <c r="CF176" s="20"/>
      <c r="CG176" s="25"/>
      <c r="CH176" s="19"/>
      <c r="CI176" s="93"/>
      <c r="CJ176" s="93"/>
      <c r="CK176" s="93"/>
      <c r="CL176" s="93"/>
      <c r="CM176" s="93"/>
      <c r="CN176" s="93"/>
      <c r="CO176" s="93"/>
      <c r="CP176" s="93"/>
      <c r="CQ176" s="93"/>
      <c r="CR176" s="214"/>
      <c r="CS176" s="20"/>
      <c r="CT176" s="25"/>
      <c r="CU176" s="19"/>
      <c r="CV176" s="93"/>
      <c r="CW176" s="93"/>
      <c r="CX176" s="93"/>
      <c r="CY176" s="93"/>
      <c r="CZ176" s="93"/>
      <c r="DA176" s="93"/>
      <c r="DB176" s="20"/>
      <c r="DC176" s="25"/>
      <c r="DD176" s="785">
        <v>45901</v>
      </c>
      <c r="DE176" s="19"/>
      <c r="DF176" s="20"/>
      <c r="DG176" s="25"/>
      <c r="DH176" s="19"/>
      <c r="DI176" s="20"/>
      <c r="DJ176" s="25"/>
      <c r="DK176" s="19"/>
      <c r="DL176" s="20"/>
      <c r="DM176" s="19"/>
      <c r="DN176" s="20"/>
      <c r="DO176" s="25"/>
      <c r="DP176" s="19"/>
      <c r="DQ176" s="93"/>
      <c r="DR176" s="20"/>
      <c r="DS176" s="25"/>
      <c r="DT176" s="19"/>
      <c r="DU176" s="93"/>
      <c r="DV176" s="20"/>
      <c r="DW176" s="25"/>
      <c r="DX176" s="19"/>
      <c r="DY176" s="20"/>
      <c r="DZ176" s="25"/>
      <c r="EA176" s="19"/>
      <c r="EB176" s="93"/>
      <c r="EC176" s="93"/>
      <c r="ED176" s="93"/>
      <c r="EE176" s="20"/>
      <c r="EF176" s="25"/>
      <c r="EG176" s="19"/>
      <c r="EH176" s="93"/>
      <c r="EI176" s="93"/>
      <c r="EJ176" s="93"/>
      <c r="EK176" s="20"/>
      <c r="EL176" s="25"/>
      <c r="EM176" s="19"/>
      <c r="EN176" s="93"/>
      <c r="EO176" s="93"/>
      <c r="EP176" s="93"/>
      <c r="EQ176" s="93"/>
      <c r="ER176" s="93"/>
      <c r="ES176" s="93"/>
      <c r="ET176" s="93"/>
      <c r="EU176" s="93"/>
      <c r="EV176" s="20"/>
      <c r="EW176" s="25"/>
      <c r="EX176" s="915"/>
      <c r="EY176" s="916"/>
      <c r="EZ176" s="916"/>
      <c r="FA176" s="916"/>
      <c r="FB176" s="916"/>
      <c r="FC176" s="916"/>
      <c r="FD176" s="916"/>
      <c r="FE176" s="916"/>
      <c r="FF176" s="916"/>
      <c r="FG176" s="917"/>
      <c r="FH176" s="25"/>
      <c r="FI176" s="848">
        <v>45901</v>
      </c>
      <c r="FJ176" s="19"/>
      <c r="FK176" s="93"/>
      <c r="FL176" s="20"/>
      <c r="FM176" s="25"/>
      <c r="FN176" s="19"/>
      <c r="FO176" s="93"/>
      <c r="FP176" s="93"/>
      <c r="FQ176" s="93"/>
      <c r="FR176" s="93"/>
      <c r="FS176" s="93"/>
      <c r="FT176" s="93"/>
      <c r="FU176" s="93"/>
      <c r="FV176" s="93"/>
      <c r="FW176" s="917"/>
      <c r="FX176" s="25"/>
      <c r="FY176" s="916"/>
      <c r="FZ176" s="916"/>
      <c r="GA176" s="916"/>
      <c r="GB176" s="916"/>
      <c r="GC176" s="916"/>
      <c r="GD176" s="916"/>
      <c r="GE176" s="916"/>
      <c r="GF176" s="916"/>
      <c r="GG176" s="916"/>
      <c r="GH176" s="916"/>
      <c r="GI176" s="917"/>
      <c r="GJ176" s="25"/>
      <c r="GK176" s="19"/>
      <c r="GL176" s="20"/>
      <c r="GM176" s="25"/>
      <c r="GN176" s="19"/>
      <c r="GO176" s="20"/>
      <c r="GP176" s="25"/>
      <c r="GQ176" s="19"/>
      <c r="GR176" s="20"/>
      <c r="GS176" s="25"/>
      <c r="GT176" s="848">
        <v>45901</v>
      </c>
      <c r="GU176" s="19"/>
      <c r="GV176" s="93"/>
      <c r="GW176" s="93"/>
      <c r="GX176" s="93"/>
      <c r="GY176" s="93"/>
      <c r="GZ176" s="93"/>
      <c r="HA176" s="93"/>
      <c r="HB176" s="93"/>
      <c r="HC176" s="93"/>
      <c r="HD176" s="93"/>
      <c r="HE176" s="93"/>
      <c r="HF176" s="93"/>
      <c r="HG176" s="93"/>
      <c r="HH176" s="93"/>
      <c r="HI176" s="93"/>
      <c r="HJ176" s="93"/>
      <c r="HK176" s="93"/>
      <c r="HL176" s="93"/>
      <c r="HM176" s="93"/>
      <c r="HN176" s="93"/>
      <c r="HO176" s="93"/>
      <c r="HP176" s="93"/>
      <c r="HQ176" s="93"/>
      <c r="HR176" s="93"/>
      <c r="HS176" s="93"/>
      <c r="HT176" s="93"/>
      <c r="HU176" s="93"/>
      <c r="HV176" s="93"/>
      <c r="HW176" s="93"/>
      <c r="HX176" s="93"/>
      <c r="HY176" s="93"/>
      <c r="HZ176" s="93"/>
      <c r="IA176" s="93"/>
      <c r="IB176" s="93"/>
      <c r="IC176" s="93"/>
      <c r="ID176" s="93"/>
      <c r="IE176" s="93"/>
      <c r="IF176" s="93"/>
      <c r="IG176" s="93"/>
      <c r="IH176" s="93"/>
      <c r="II176" s="93"/>
      <c r="IJ176" s="93"/>
      <c r="IK176" s="93"/>
      <c r="IL176" s="93"/>
      <c r="IM176" s="93"/>
      <c r="IN176" s="93"/>
      <c r="IO176" s="93"/>
      <c r="IP176" s="93"/>
      <c r="IQ176" s="93"/>
      <c r="IR176" s="93"/>
      <c r="IS176" s="93"/>
      <c r="IT176" s="93"/>
      <c r="IU176" s="93"/>
      <c r="IV176" s="93"/>
      <c r="IW176" s="848">
        <v>45901</v>
      </c>
      <c r="IX176" s="93"/>
      <c r="IY176" s="93"/>
      <c r="IZ176" s="93"/>
      <c r="JA176" s="93"/>
      <c r="JB176" s="93"/>
      <c r="JC176" s="93"/>
      <c r="JD176" s="93"/>
      <c r="JE176" s="93"/>
      <c r="JF176" s="93"/>
      <c r="JG176" s="93"/>
      <c r="JH176" s="93"/>
      <c r="JI176" s="93"/>
      <c r="JJ176" s="93"/>
      <c r="JK176" s="93"/>
      <c r="JL176" s="93"/>
      <c r="JM176" s="93"/>
      <c r="JN176" s="93"/>
      <c r="JO176" s="93"/>
      <c r="JP176" s="93"/>
      <c r="JQ176" s="93"/>
      <c r="JR176" s="93"/>
      <c r="JS176" s="93"/>
      <c r="JT176" s="20"/>
      <c r="JU176" s="29"/>
      <c r="JV176" s="19"/>
      <c r="JW176" s="93"/>
      <c r="JX176" s="93"/>
      <c r="JY176" s="93"/>
      <c r="JZ176" s="93"/>
      <c r="KA176" s="93"/>
      <c r="KB176" s="93"/>
      <c r="KC176" s="93"/>
      <c r="KD176" s="93"/>
      <c r="KE176" s="93"/>
      <c r="KF176" s="93"/>
      <c r="KG176" s="93"/>
      <c r="KH176" s="93"/>
      <c r="KI176" s="93"/>
      <c r="KJ176" s="93"/>
      <c r="KK176" s="93"/>
      <c r="KL176" s="93"/>
      <c r="KM176" s="93"/>
      <c r="KN176" s="93"/>
      <c r="KO176" s="93"/>
      <c r="KP176" s="93"/>
      <c r="KQ176" s="93"/>
      <c r="KR176" s="93"/>
      <c r="KS176" s="93"/>
      <c r="KT176" s="93"/>
      <c r="KU176" s="93"/>
      <c r="KV176" s="93"/>
      <c r="KW176" s="20"/>
      <c r="KX176" s="29"/>
      <c r="KY176" s="19"/>
      <c r="KZ176" s="93"/>
      <c r="LA176" s="93"/>
      <c r="LB176" s="93"/>
      <c r="LC176" s="93"/>
      <c r="LD176" s="93"/>
      <c r="LE176" s="93"/>
      <c r="LF176" s="93"/>
      <c r="LG176" s="93"/>
      <c r="LH176" s="93"/>
      <c r="LI176" s="93"/>
      <c r="LJ176" s="93"/>
      <c r="LK176" s="93"/>
      <c r="LL176" s="93"/>
      <c r="LM176" s="93"/>
      <c r="LN176" s="93"/>
      <c r="LO176" s="93"/>
      <c r="LP176" s="93"/>
      <c r="LQ176" s="93"/>
      <c r="LR176" s="93"/>
      <c r="LS176" s="93"/>
      <c r="LT176" s="93"/>
      <c r="LU176" s="93"/>
      <c r="LV176" s="93"/>
      <c r="LW176" s="93"/>
      <c r="LX176" s="93"/>
      <c r="LY176" s="93"/>
      <c r="LZ176" s="93"/>
      <c r="MA176" s="93"/>
      <c r="MB176" s="93"/>
      <c r="MC176" s="93"/>
      <c r="MD176" s="93"/>
      <c r="ME176" s="93"/>
      <c r="MF176" s="93"/>
      <c r="MG176" s="93"/>
      <c r="MH176" s="20"/>
      <c r="MI176" s="29"/>
      <c r="MJ176" s="29" t="str">
        <f t="shared" si="88"/>
        <v>Trimestre 32025</v>
      </c>
      <c r="MK176" s="848">
        <v>45901</v>
      </c>
      <c r="ML176" s="1991"/>
      <c r="MM176" s="1991"/>
      <c r="MN176" s="1991"/>
      <c r="MO176" s="1991"/>
      <c r="MP176" s="1991"/>
      <c r="MQ176" s="1991"/>
      <c r="MR176" s="1991"/>
      <c r="MS176" s="1991"/>
      <c r="MT176" s="1991"/>
      <c r="MU176" s="1991"/>
      <c r="MV176" s="1991"/>
      <c r="MW176" s="1991"/>
      <c r="MX176" s="1991"/>
      <c r="MY176" s="1991"/>
      <c r="MZ176" s="1991"/>
      <c r="NA176" s="1991"/>
      <c r="NB176" s="1991"/>
      <c r="NC176" s="1991"/>
      <c r="ND176" s="1991"/>
      <c r="NE176" s="1991"/>
      <c r="NF176" s="1991"/>
      <c r="NG176" s="1991"/>
      <c r="NH176" s="1991"/>
      <c r="NI176" s="1991"/>
      <c r="NJ176" s="1991"/>
      <c r="NK176" s="1991"/>
      <c r="NL176" s="29"/>
    </row>
    <row r="177" spans="1:376">
      <c r="A177" s="41">
        <f t="shared" si="86"/>
        <v>2025</v>
      </c>
      <c r="B177" s="785">
        <v>45992</v>
      </c>
      <c r="C177" s="19"/>
      <c r="D177" s="93"/>
      <c r="E177" s="93"/>
      <c r="F177" s="93"/>
      <c r="G177" s="93"/>
      <c r="H177" s="93"/>
      <c r="I177" s="93"/>
      <c r="J177" s="93"/>
      <c r="K177" s="93"/>
      <c r="L177" s="93"/>
      <c r="M177" s="20"/>
      <c r="N177" s="25"/>
      <c r="O177" s="889">
        <f t="shared" si="85"/>
        <v>2025</v>
      </c>
      <c r="P177" s="29" t="str">
        <f t="shared" si="87"/>
        <v>Trimestre 42025</v>
      </c>
      <c r="Q177" s="848">
        <v>45992</v>
      </c>
      <c r="R177" s="733"/>
      <c r="S177" s="570"/>
      <c r="T177" s="570"/>
      <c r="U177" s="734"/>
      <c r="V177" s="25"/>
      <c r="W177" s="19"/>
      <c r="X177" s="93"/>
      <c r="Y177" s="93"/>
      <c r="Z177" s="93"/>
      <c r="AA177" s="93"/>
      <c r="AB177" s="93"/>
      <c r="AC177" s="93"/>
      <c r="AD177" s="93"/>
      <c r="AE177" s="20"/>
      <c r="AF177" s="25"/>
      <c r="AG177" s="19"/>
      <c r="AH177" s="93"/>
      <c r="AI177" s="93"/>
      <c r="AJ177" s="93"/>
      <c r="AK177" s="93"/>
      <c r="AL177" s="93"/>
      <c r="AM177" s="93"/>
      <c r="AN177" s="20"/>
      <c r="AO177" s="19"/>
      <c r="AP177" s="93"/>
      <c r="AQ177" s="93"/>
      <c r="AR177" s="93"/>
      <c r="AS177" s="20"/>
      <c r="AT177" s="19"/>
      <c r="AU177" s="93"/>
      <c r="AV177" s="20"/>
      <c r="AW177" s="19"/>
      <c r="AX177" s="93"/>
      <c r="AY177" s="93"/>
      <c r="AZ177" s="93"/>
      <c r="BA177" s="93"/>
      <c r="BB177" s="93"/>
      <c r="BC177" s="20"/>
      <c r="BD177" s="19"/>
      <c r="BE177" s="93"/>
      <c r="BF177" s="93"/>
      <c r="BG177" s="93"/>
      <c r="BH177" s="93"/>
      <c r="BI177" s="93"/>
      <c r="BJ177" s="93"/>
      <c r="BK177" s="20"/>
      <c r="BL177" s="19"/>
      <c r="BM177" s="93"/>
      <c r="BN177" s="93"/>
      <c r="BO177" s="93"/>
      <c r="BP177" s="93"/>
      <c r="BQ177" s="20"/>
      <c r="BR177" s="19"/>
      <c r="BS177" s="93"/>
      <c r="BT177" s="93"/>
      <c r="BU177" s="20"/>
      <c r="BV177" s="19"/>
      <c r="BW177" s="93"/>
      <c r="BX177" s="93"/>
      <c r="BY177" s="93"/>
      <c r="BZ177" s="93"/>
      <c r="CA177" s="93"/>
      <c r="CB177" s="20"/>
      <c r="CC177" s="25"/>
      <c r="CD177" s="19"/>
      <c r="CE177" s="93"/>
      <c r="CF177" s="20"/>
      <c r="CG177" s="25"/>
      <c r="CH177" s="19"/>
      <c r="CI177" s="93"/>
      <c r="CJ177" s="93"/>
      <c r="CK177" s="93"/>
      <c r="CL177" s="93"/>
      <c r="CM177" s="93"/>
      <c r="CN177" s="93"/>
      <c r="CO177" s="93"/>
      <c r="CP177" s="93"/>
      <c r="CQ177" s="93"/>
      <c r="CR177" s="214"/>
      <c r="CS177" s="20"/>
      <c r="CT177" s="25"/>
      <c r="CU177" s="19"/>
      <c r="CV177" s="93"/>
      <c r="CW177" s="93"/>
      <c r="CX177" s="93"/>
      <c r="CY177" s="93"/>
      <c r="CZ177" s="93"/>
      <c r="DA177" s="93"/>
      <c r="DB177" s="20"/>
      <c r="DC177" s="25"/>
      <c r="DD177" s="785">
        <v>45992</v>
      </c>
      <c r="DE177" s="19"/>
      <c r="DF177" s="20"/>
      <c r="DG177" s="25"/>
      <c r="DH177" s="19"/>
      <c r="DI177" s="20"/>
      <c r="DJ177" s="25"/>
      <c r="DK177" s="19"/>
      <c r="DL177" s="20"/>
      <c r="DM177" s="19"/>
      <c r="DN177" s="20"/>
      <c r="DO177" s="25"/>
      <c r="DP177" s="19"/>
      <c r="DQ177" s="93"/>
      <c r="DR177" s="20"/>
      <c r="DS177" s="25"/>
      <c r="DT177" s="19"/>
      <c r="DU177" s="93"/>
      <c r="DV177" s="20"/>
      <c r="DW177" s="25"/>
      <c r="DX177" s="19"/>
      <c r="DY177" s="20"/>
      <c r="DZ177" s="25"/>
      <c r="EA177" s="19"/>
      <c r="EB177" s="93"/>
      <c r="EC177" s="93"/>
      <c r="ED177" s="93"/>
      <c r="EE177" s="20"/>
      <c r="EF177" s="25"/>
      <c r="EG177" s="19"/>
      <c r="EH177" s="93"/>
      <c r="EI177" s="93"/>
      <c r="EJ177" s="93"/>
      <c r="EK177" s="20"/>
      <c r="EL177" s="25"/>
      <c r="EM177" s="19"/>
      <c r="EN177" s="93"/>
      <c r="EO177" s="93"/>
      <c r="EP177" s="93"/>
      <c r="EQ177" s="93"/>
      <c r="ER177" s="93"/>
      <c r="ES177" s="93"/>
      <c r="ET177" s="93"/>
      <c r="EU177" s="93"/>
      <c r="EV177" s="20"/>
      <c r="EW177" s="25"/>
      <c r="EX177" s="915"/>
      <c r="EY177" s="916"/>
      <c r="EZ177" s="916"/>
      <c r="FA177" s="916"/>
      <c r="FB177" s="916"/>
      <c r="FC177" s="916"/>
      <c r="FD177" s="916"/>
      <c r="FE177" s="916"/>
      <c r="FF177" s="916"/>
      <c r="FG177" s="917"/>
      <c r="FH177" s="25"/>
      <c r="FI177" s="848">
        <v>45992</v>
      </c>
      <c r="FJ177" s="19"/>
      <c r="FK177" s="93"/>
      <c r="FL177" s="20"/>
      <c r="FM177" s="25"/>
      <c r="FN177" s="19"/>
      <c r="FO177" s="93"/>
      <c r="FP177" s="93"/>
      <c r="FQ177" s="93"/>
      <c r="FR177" s="93"/>
      <c r="FS177" s="93"/>
      <c r="FT177" s="93"/>
      <c r="FU177" s="93"/>
      <c r="FV177" s="93"/>
      <c r="FW177" s="917"/>
      <c r="FX177" s="25"/>
      <c r="FY177" s="916"/>
      <c r="FZ177" s="916"/>
      <c r="GA177" s="916"/>
      <c r="GB177" s="916"/>
      <c r="GC177" s="916"/>
      <c r="GD177" s="916"/>
      <c r="GE177" s="916"/>
      <c r="GF177" s="916"/>
      <c r="GG177" s="916"/>
      <c r="GH177" s="916"/>
      <c r="GI177" s="917"/>
      <c r="GJ177" s="25"/>
      <c r="GK177" s="19"/>
      <c r="GL177" s="20"/>
      <c r="GM177" s="25"/>
      <c r="GN177" s="19"/>
      <c r="GO177" s="20"/>
      <c r="GP177" s="25"/>
      <c r="GQ177" s="19"/>
      <c r="GR177" s="20"/>
      <c r="GS177" s="25"/>
      <c r="GT177" s="848">
        <v>45992</v>
      </c>
      <c r="GU177" s="19"/>
      <c r="GV177" s="93"/>
      <c r="GW177" s="93"/>
      <c r="GX177" s="93"/>
      <c r="GY177" s="93"/>
      <c r="GZ177" s="93"/>
      <c r="HA177" s="93"/>
      <c r="HB177" s="93"/>
      <c r="HC177" s="93"/>
      <c r="HD177" s="93"/>
      <c r="HE177" s="93"/>
      <c r="HF177" s="93"/>
      <c r="HG177" s="93"/>
      <c r="HH177" s="93"/>
      <c r="HI177" s="93"/>
      <c r="HJ177" s="93"/>
      <c r="HK177" s="93"/>
      <c r="HL177" s="93"/>
      <c r="HM177" s="93"/>
      <c r="HN177" s="93"/>
      <c r="HO177" s="93"/>
      <c r="HP177" s="93"/>
      <c r="HQ177" s="93"/>
      <c r="HR177" s="93"/>
      <c r="HS177" s="93"/>
      <c r="HT177" s="93"/>
      <c r="HU177" s="93"/>
      <c r="HV177" s="93"/>
      <c r="HW177" s="93"/>
      <c r="HX177" s="93"/>
      <c r="HY177" s="93"/>
      <c r="HZ177" s="93"/>
      <c r="IA177" s="93"/>
      <c r="IB177" s="93"/>
      <c r="IC177" s="93"/>
      <c r="ID177" s="93"/>
      <c r="IE177" s="93"/>
      <c r="IF177" s="93"/>
      <c r="IG177" s="93"/>
      <c r="IH177" s="93"/>
      <c r="II177" s="93"/>
      <c r="IJ177" s="93"/>
      <c r="IK177" s="93"/>
      <c r="IL177" s="93"/>
      <c r="IM177" s="93"/>
      <c r="IN177" s="93"/>
      <c r="IO177" s="93"/>
      <c r="IP177" s="93"/>
      <c r="IQ177" s="93"/>
      <c r="IR177" s="93"/>
      <c r="IS177" s="93"/>
      <c r="IT177" s="93"/>
      <c r="IU177" s="93"/>
      <c r="IV177" s="93"/>
      <c r="IW177" s="848">
        <v>45992</v>
      </c>
      <c r="IX177" s="93"/>
      <c r="IY177" s="93"/>
      <c r="IZ177" s="93"/>
      <c r="JA177" s="93"/>
      <c r="JB177" s="93"/>
      <c r="JC177" s="93"/>
      <c r="JD177" s="93"/>
      <c r="JE177" s="93"/>
      <c r="JF177" s="93"/>
      <c r="JG177" s="93"/>
      <c r="JH177" s="93"/>
      <c r="JI177" s="93"/>
      <c r="JJ177" s="93"/>
      <c r="JK177" s="93"/>
      <c r="JL177" s="93"/>
      <c r="JM177" s="93"/>
      <c r="JN177" s="93"/>
      <c r="JO177" s="93"/>
      <c r="JP177" s="93"/>
      <c r="JQ177" s="93"/>
      <c r="JR177" s="93"/>
      <c r="JS177" s="93"/>
      <c r="JT177" s="20"/>
      <c r="JU177" s="29"/>
      <c r="JV177" s="19"/>
      <c r="JW177" s="93"/>
      <c r="JX177" s="93"/>
      <c r="JY177" s="93"/>
      <c r="JZ177" s="93"/>
      <c r="KA177" s="93"/>
      <c r="KB177" s="93"/>
      <c r="KC177" s="93"/>
      <c r="KD177" s="93"/>
      <c r="KE177" s="93"/>
      <c r="KF177" s="93"/>
      <c r="KG177" s="93"/>
      <c r="KH177" s="93"/>
      <c r="KI177" s="93"/>
      <c r="KJ177" s="93"/>
      <c r="KK177" s="93"/>
      <c r="KL177" s="93"/>
      <c r="KM177" s="93"/>
      <c r="KN177" s="93"/>
      <c r="KO177" s="93"/>
      <c r="KP177" s="93"/>
      <c r="KQ177" s="93"/>
      <c r="KR177" s="93"/>
      <c r="KS177" s="93"/>
      <c r="KT177" s="93"/>
      <c r="KU177" s="93"/>
      <c r="KV177" s="93"/>
      <c r="KW177" s="20"/>
      <c r="KX177" s="29"/>
      <c r="KY177" s="19"/>
      <c r="KZ177" s="93"/>
      <c r="LA177" s="93"/>
      <c r="LB177" s="93"/>
      <c r="LC177" s="93"/>
      <c r="LD177" s="93"/>
      <c r="LE177" s="93"/>
      <c r="LF177" s="93"/>
      <c r="LG177" s="93"/>
      <c r="LH177" s="93"/>
      <c r="LI177" s="93"/>
      <c r="LJ177" s="93"/>
      <c r="LK177" s="93"/>
      <c r="LL177" s="93"/>
      <c r="LM177" s="93"/>
      <c r="LN177" s="93"/>
      <c r="LO177" s="93"/>
      <c r="LP177" s="93"/>
      <c r="LQ177" s="93"/>
      <c r="LR177" s="93"/>
      <c r="LS177" s="93"/>
      <c r="LT177" s="93"/>
      <c r="LU177" s="93"/>
      <c r="LV177" s="93"/>
      <c r="LW177" s="93"/>
      <c r="LX177" s="93"/>
      <c r="LY177" s="93"/>
      <c r="LZ177" s="93"/>
      <c r="MA177" s="93"/>
      <c r="MB177" s="93"/>
      <c r="MC177" s="93"/>
      <c r="MD177" s="93"/>
      <c r="ME177" s="93"/>
      <c r="MF177" s="93"/>
      <c r="MG177" s="93"/>
      <c r="MH177" s="20"/>
      <c r="MI177" s="29"/>
      <c r="MJ177" s="29" t="str">
        <f t="shared" si="88"/>
        <v>Trimestre 42025</v>
      </c>
      <c r="MK177" s="848">
        <v>45992</v>
      </c>
      <c r="ML177" s="1991"/>
      <c r="MM177" s="1991"/>
      <c r="MN177" s="1991"/>
      <c r="MO177" s="1991"/>
      <c r="MP177" s="1991"/>
      <c r="MQ177" s="1991"/>
      <c r="MR177" s="1991"/>
      <c r="MS177" s="1991"/>
      <c r="MT177" s="1991"/>
      <c r="MU177" s="1991"/>
      <c r="MV177" s="1991"/>
      <c r="MW177" s="1991"/>
      <c r="MX177" s="1991"/>
      <c r="MY177" s="1991"/>
      <c r="MZ177" s="1991"/>
      <c r="NA177" s="1991"/>
      <c r="NB177" s="1991"/>
      <c r="NC177" s="1991"/>
      <c r="ND177" s="1991"/>
      <c r="NE177" s="1991"/>
      <c r="NF177" s="1991"/>
      <c r="NG177" s="1991"/>
      <c r="NH177" s="1991"/>
      <c r="NI177" s="1991"/>
      <c r="NJ177" s="1991"/>
      <c r="NK177" s="1991"/>
      <c r="NL177" s="29"/>
    </row>
    <row r="178" spans="1:376">
      <c r="A178" s="41">
        <f t="shared" si="86"/>
        <v>2026</v>
      </c>
      <c r="B178" s="785">
        <v>46082</v>
      </c>
      <c r="C178" s="19"/>
      <c r="D178" s="93"/>
      <c r="E178" s="93"/>
      <c r="F178" s="93"/>
      <c r="G178" s="93"/>
      <c r="H178" s="93"/>
      <c r="I178" s="93"/>
      <c r="J178" s="93"/>
      <c r="K178" s="93"/>
      <c r="L178" s="93"/>
      <c r="M178" s="20"/>
      <c r="N178" s="25"/>
      <c r="O178" s="889">
        <f t="shared" si="85"/>
        <v>2026</v>
      </c>
      <c r="P178" s="29" t="str">
        <f t="shared" si="87"/>
        <v>Trimestre 12026</v>
      </c>
      <c r="Q178" s="848">
        <v>46082</v>
      </c>
      <c r="R178" s="733"/>
      <c r="S178" s="570"/>
      <c r="T178" s="570"/>
      <c r="U178" s="734"/>
      <c r="V178" s="25"/>
      <c r="W178" s="19"/>
      <c r="X178" s="93"/>
      <c r="Y178" s="93"/>
      <c r="Z178" s="93"/>
      <c r="AA178" s="93"/>
      <c r="AB178" s="93"/>
      <c r="AC178" s="93"/>
      <c r="AD178" s="93"/>
      <c r="AE178" s="20"/>
      <c r="AF178" s="25"/>
      <c r="AG178" s="19"/>
      <c r="AH178" s="93"/>
      <c r="AI178" s="93"/>
      <c r="AJ178" s="93"/>
      <c r="AK178" s="93"/>
      <c r="AL178" s="93"/>
      <c r="AM178" s="93"/>
      <c r="AN178" s="20"/>
      <c r="AO178" s="19"/>
      <c r="AP178" s="93"/>
      <c r="AQ178" s="93"/>
      <c r="AR178" s="93"/>
      <c r="AS178" s="20"/>
      <c r="AT178" s="19"/>
      <c r="AU178" s="93"/>
      <c r="AV178" s="20"/>
      <c r="AW178" s="19"/>
      <c r="AX178" s="93"/>
      <c r="AY178" s="93"/>
      <c r="AZ178" s="93"/>
      <c r="BA178" s="93"/>
      <c r="BB178" s="93"/>
      <c r="BC178" s="20"/>
      <c r="BD178" s="19"/>
      <c r="BE178" s="93"/>
      <c r="BF178" s="93"/>
      <c r="BG178" s="93"/>
      <c r="BH178" s="93"/>
      <c r="BI178" s="93"/>
      <c r="BJ178" s="93"/>
      <c r="BK178" s="20"/>
      <c r="BL178" s="19"/>
      <c r="BM178" s="93"/>
      <c r="BN178" s="93"/>
      <c r="BO178" s="93"/>
      <c r="BP178" s="93"/>
      <c r="BQ178" s="20"/>
      <c r="BR178" s="19"/>
      <c r="BS178" s="93"/>
      <c r="BT178" s="93"/>
      <c r="BU178" s="20"/>
      <c r="BV178" s="19"/>
      <c r="BW178" s="93"/>
      <c r="BX178" s="93"/>
      <c r="BY178" s="93"/>
      <c r="BZ178" s="93"/>
      <c r="CA178" s="93"/>
      <c r="CB178" s="20"/>
      <c r="CC178" s="25"/>
      <c r="CD178" s="19"/>
      <c r="CE178" s="93"/>
      <c r="CF178" s="20"/>
      <c r="CG178" s="25"/>
      <c r="CH178" s="19"/>
      <c r="CI178" s="93"/>
      <c r="CJ178" s="93"/>
      <c r="CK178" s="93"/>
      <c r="CL178" s="93"/>
      <c r="CM178" s="93"/>
      <c r="CN178" s="93"/>
      <c r="CO178" s="93"/>
      <c r="CP178" s="93"/>
      <c r="CQ178" s="93"/>
      <c r="CR178" s="214"/>
      <c r="CS178" s="20"/>
      <c r="CT178" s="25"/>
      <c r="CU178" s="19"/>
      <c r="CV178" s="93"/>
      <c r="CW178" s="93"/>
      <c r="CX178" s="93"/>
      <c r="CY178" s="93"/>
      <c r="CZ178" s="93"/>
      <c r="DA178" s="93"/>
      <c r="DB178" s="20"/>
      <c r="DC178" s="25"/>
      <c r="DD178" s="785">
        <v>46082</v>
      </c>
      <c r="DE178" s="19"/>
      <c r="DF178" s="20"/>
      <c r="DG178" s="25"/>
      <c r="DH178" s="19"/>
      <c r="DI178" s="20"/>
      <c r="DJ178" s="25"/>
      <c r="DK178" s="19"/>
      <c r="DL178" s="20"/>
      <c r="DM178" s="19"/>
      <c r="DN178" s="20"/>
      <c r="DO178" s="25"/>
      <c r="DP178" s="19"/>
      <c r="DQ178" s="93"/>
      <c r="DR178" s="20"/>
      <c r="DS178" s="25"/>
      <c r="DT178" s="19"/>
      <c r="DU178" s="93"/>
      <c r="DV178" s="20"/>
      <c r="DW178" s="25"/>
      <c r="DX178" s="19"/>
      <c r="DY178" s="20"/>
      <c r="DZ178" s="25"/>
      <c r="EA178" s="19"/>
      <c r="EB178" s="93"/>
      <c r="EC178" s="93"/>
      <c r="ED178" s="93"/>
      <c r="EE178" s="20"/>
      <c r="EF178" s="25"/>
      <c r="EG178" s="19"/>
      <c r="EH178" s="93"/>
      <c r="EI178" s="93"/>
      <c r="EJ178" s="93"/>
      <c r="EK178" s="20"/>
      <c r="EL178" s="25"/>
      <c r="EM178" s="19"/>
      <c r="EN178" s="93"/>
      <c r="EO178" s="93"/>
      <c r="EP178" s="93"/>
      <c r="EQ178" s="93"/>
      <c r="ER178" s="93"/>
      <c r="ES178" s="93"/>
      <c r="ET178" s="93"/>
      <c r="EU178" s="93"/>
      <c r="EV178" s="20"/>
      <c r="EW178" s="25"/>
      <c r="EX178" s="915"/>
      <c r="EY178" s="916"/>
      <c r="EZ178" s="916"/>
      <c r="FA178" s="916"/>
      <c r="FB178" s="916"/>
      <c r="FC178" s="916"/>
      <c r="FD178" s="916"/>
      <c r="FE178" s="916"/>
      <c r="FF178" s="916"/>
      <c r="FG178" s="917"/>
      <c r="FH178" s="25"/>
      <c r="FI178" s="848">
        <v>46082</v>
      </c>
      <c r="FJ178" s="19"/>
      <c r="FK178" s="93"/>
      <c r="FL178" s="20"/>
      <c r="FM178" s="25"/>
      <c r="FN178" s="19"/>
      <c r="FO178" s="93"/>
      <c r="FP178" s="93"/>
      <c r="FQ178" s="93"/>
      <c r="FR178" s="93"/>
      <c r="FS178" s="93"/>
      <c r="FT178" s="93"/>
      <c r="FU178" s="93"/>
      <c r="FV178" s="93"/>
      <c r="FW178" s="917"/>
      <c r="FX178" s="25"/>
      <c r="FY178" s="916"/>
      <c r="FZ178" s="916"/>
      <c r="GA178" s="916"/>
      <c r="GB178" s="916"/>
      <c r="GC178" s="916"/>
      <c r="GD178" s="916"/>
      <c r="GE178" s="916"/>
      <c r="GF178" s="916"/>
      <c r="GG178" s="916"/>
      <c r="GH178" s="916"/>
      <c r="GI178" s="917"/>
      <c r="GJ178" s="25"/>
      <c r="GK178" s="19"/>
      <c r="GL178" s="20"/>
      <c r="GM178" s="25"/>
      <c r="GN178" s="19"/>
      <c r="GO178" s="20"/>
      <c r="GP178" s="25"/>
      <c r="GQ178" s="19"/>
      <c r="GR178" s="20"/>
      <c r="GS178" s="25"/>
      <c r="GT178" s="848">
        <v>46082</v>
      </c>
      <c r="GU178" s="19"/>
      <c r="GV178" s="93"/>
      <c r="GW178" s="93"/>
      <c r="GX178" s="93"/>
      <c r="GY178" s="93"/>
      <c r="GZ178" s="93"/>
      <c r="HA178" s="93"/>
      <c r="HB178" s="93"/>
      <c r="HC178" s="93"/>
      <c r="HD178" s="93"/>
      <c r="HE178" s="93"/>
      <c r="HF178" s="93"/>
      <c r="HG178" s="93"/>
      <c r="HH178" s="93"/>
      <c r="HI178" s="93"/>
      <c r="HJ178" s="93"/>
      <c r="HK178" s="93"/>
      <c r="HL178" s="93"/>
      <c r="HM178" s="93"/>
      <c r="HN178" s="93"/>
      <c r="HO178" s="93"/>
      <c r="HP178" s="93"/>
      <c r="HQ178" s="93"/>
      <c r="HR178" s="93"/>
      <c r="HS178" s="93"/>
      <c r="HT178" s="93"/>
      <c r="HU178" s="93"/>
      <c r="HV178" s="93"/>
      <c r="HW178" s="93"/>
      <c r="HX178" s="93"/>
      <c r="HY178" s="93"/>
      <c r="HZ178" s="93"/>
      <c r="IA178" s="93"/>
      <c r="IB178" s="93"/>
      <c r="IC178" s="93"/>
      <c r="ID178" s="93"/>
      <c r="IE178" s="93"/>
      <c r="IF178" s="93"/>
      <c r="IG178" s="93"/>
      <c r="IH178" s="93"/>
      <c r="II178" s="93"/>
      <c r="IJ178" s="93"/>
      <c r="IK178" s="93"/>
      <c r="IL178" s="93"/>
      <c r="IM178" s="93"/>
      <c r="IN178" s="93"/>
      <c r="IO178" s="93"/>
      <c r="IP178" s="93"/>
      <c r="IQ178" s="93"/>
      <c r="IR178" s="93"/>
      <c r="IS178" s="93"/>
      <c r="IT178" s="93"/>
      <c r="IU178" s="93"/>
      <c r="IV178" s="93"/>
      <c r="IW178" s="848">
        <v>46082</v>
      </c>
      <c r="IX178" s="93"/>
      <c r="IY178" s="93"/>
      <c r="IZ178" s="93"/>
      <c r="JA178" s="93"/>
      <c r="JB178" s="93"/>
      <c r="JC178" s="93"/>
      <c r="JD178" s="93"/>
      <c r="JE178" s="93"/>
      <c r="JF178" s="93"/>
      <c r="JG178" s="93"/>
      <c r="JH178" s="93"/>
      <c r="JI178" s="93"/>
      <c r="JJ178" s="93"/>
      <c r="JK178" s="93"/>
      <c r="JL178" s="93"/>
      <c r="JM178" s="93"/>
      <c r="JN178" s="93"/>
      <c r="JO178" s="93"/>
      <c r="JP178" s="93"/>
      <c r="JQ178" s="93"/>
      <c r="JR178" s="93"/>
      <c r="JS178" s="93"/>
      <c r="JT178" s="20"/>
      <c r="JU178" s="29"/>
      <c r="JV178" s="19"/>
      <c r="JW178" s="93"/>
      <c r="JX178" s="93"/>
      <c r="JY178" s="93"/>
      <c r="JZ178" s="93"/>
      <c r="KA178" s="93"/>
      <c r="KB178" s="93"/>
      <c r="KC178" s="93"/>
      <c r="KD178" s="93"/>
      <c r="KE178" s="93"/>
      <c r="KF178" s="93"/>
      <c r="KG178" s="93"/>
      <c r="KH178" s="93"/>
      <c r="KI178" s="93"/>
      <c r="KJ178" s="93"/>
      <c r="KK178" s="93"/>
      <c r="KL178" s="93"/>
      <c r="KM178" s="93"/>
      <c r="KN178" s="93"/>
      <c r="KO178" s="93"/>
      <c r="KP178" s="93"/>
      <c r="KQ178" s="93"/>
      <c r="KR178" s="93"/>
      <c r="KS178" s="93"/>
      <c r="KT178" s="93"/>
      <c r="KU178" s="93"/>
      <c r="KV178" s="93"/>
      <c r="KW178" s="20"/>
      <c r="KX178" s="29"/>
      <c r="KY178" s="19"/>
      <c r="KZ178" s="93"/>
      <c r="LA178" s="93"/>
      <c r="LB178" s="93"/>
      <c r="LC178" s="93"/>
      <c r="LD178" s="93"/>
      <c r="LE178" s="93"/>
      <c r="LF178" s="93"/>
      <c r="LG178" s="93"/>
      <c r="LH178" s="93"/>
      <c r="LI178" s="93"/>
      <c r="LJ178" s="93"/>
      <c r="LK178" s="93"/>
      <c r="LL178" s="93"/>
      <c r="LM178" s="93"/>
      <c r="LN178" s="93"/>
      <c r="LO178" s="93"/>
      <c r="LP178" s="93"/>
      <c r="LQ178" s="93"/>
      <c r="LR178" s="93"/>
      <c r="LS178" s="93"/>
      <c r="LT178" s="93"/>
      <c r="LU178" s="93"/>
      <c r="LV178" s="93"/>
      <c r="LW178" s="93"/>
      <c r="LX178" s="93"/>
      <c r="LY178" s="93"/>
      <c r="LZ178" s="93"/>
      <c r="MA178" s="93"/>
      <c r="MB178" s="93"/>
      <c r="MC178" s="93"/>
      <c r="MD178" s="93"/>
      <c r="ME178" s="93"/>
      <c r="MF178" s="93"/>
      <c r="MG178" s="93"/>
      <c r="MH178" s="20"/>
      <c r="MI178" s="29"/>
      <c r="MJ178" s="29" t="str">
        <f t="shared" si="88"/>
        <v>Trimestre 12026</v>
      </c>
      <c r="MK178" s="848">
        <v>46082</v>
      </c>
      <c r="ML178" s="1991"/>
      <c r="MM178" s="1991"/>
      <c r="MN178" s="1991"/>
      <c r="MO178" s="1991"/>
      <c r="MP178" s="1991"/>
      <c r="MQ178" s="1991"/>
      <c r="MR178" s="1991"/>
      <c r="MS178" s="1991"/>
      <c r="MT178" s="1991"/>
      <c r="MU178" s="1991"/>
      <c r="MV178" s="1991"/>
      <c r="MW178" s="1991"/>
      <c r="MX178" s="1991"/>
      <c r="MY178" s="1991"/>
      <c r="MZ178" s="1991"/>
      <c r="NA178" s="1991"/>
      <c r="NB178" s="1991"/>
      <c r="NC178" s="1991"/>
      <c r="ND178" s="1991"/>
      <c r="NE178" s="1991"/>
      <c r="NF178" s="1991"/>
      <c r="NG178" s="1991"/>
      <c r="NH178" s="1991"/>
      <c r="NI178" s="1991"/>
      <c r="NJ178" s="1991"/>
      <c r="NK178" s="1991"/>
      <c r="NL178" s="29"/>
    </row>
    <row r="179" spans="1:376">
      <c r="A179" s="41">
        <f t="shared" si="86"/>
        <v>2026</v>
      </c>
      <c r="B179" s="785">
        <v>46174</v>
      </c>
      <c r="C179" s="19"/>
      <c r="D179" s="93"/>
      <c r="E179" s="93"/>
      <c r="F179" s="93"/>
      <c r="G179" s="93"/>
      <c r="H179" s="93"/>
      <c r="I179" s="93"/>
      <c r="J179" s="93"/>
      <c r="K179" s="93"/>
      <c r="L179" s="93"/>
      <c r="M179" s="20"/>
      <c r="N179" s="25"/>
      <c r="O179" s="889">
        <f t="shared" si="85"/>
        <v>2026</v>
      </c>
      <c r="P179" s="29" t="str">
        <f t="shared" si="87"/>
        <v>Trimestre 22026</v>
      </c>
      <c r="Q179" s="848">
        <v>46174</v>
      </c>
      <c r="R179" s="733"/>
      <c r="S179" s="570"/>
      <c r="T179" s="570"/>
      <c r="U179" s="734"/>
      <c r="V179" s="25"/>
      <c r="W179" s="19"/>
      <c r="X179" s="93"/>
      <c r="Y179" s="93"/>
      <c r="Z179" s="93"/>
      <c r="AA179" s="93"/>
      <c r="AB179" s="93"/>
      <c r="AC179" s="93"/>
      <c r="AD179" s="93"/>
      <c r="AE179" s="20"/>
      <c r="AF179" s="25"/>
      <c r="AG179" s="19"/>
      <c r="AH179" s="93"/>
      <c r="AI179" s="93"/>
      <c r="AJ179" s="93"/>
      <c r="AK179" s="93"/>
      <c r="AL179" s="93"/>
      <c r="AM179" s="93"/>
      <c r="AN179" s="20"/>
      <c r="AO179" s="19"/>
      <c r="AP179" s="93"/>
      <c r="AQ179" s="93"/>
      <c r="AR179" s="93"/>
      <c r="AS179" s="20"/>
      <c r="AT179" s="19"/>
      <c r="AU179" s="93"/>
      <c r="AV179" s="20"/>
      <c r="AW179" s="19"/>
      <c r="AX179" s="93"/>
      <c r="AY179" s="93"/>
      <c r="AZ179" s="93"/>
      <c r="BA179" s="93"/>
      <c r="BB179" s="93"/>
      <c r="BC179" s="20"/>
      <c r="BD179" s="19"/>
      <c r="BE179" s="93"/>
      <c r="BF179" s="93"/>
      <c r="BG179" s="93"/>
      <c r="BH179" s="93"/>
      <c r="BI179" s="93"/>
      <c r="BJ179" s="93"/>
      <c r="BK179" s="20"/>
      <c r="BL179" s="19"/>
      <c r="BM179" s="93"/>
      <c r="BN179" s="93"/>
      <c r="BO179" s="93"/>
      <c r="BP179" s="93"/>
      <c r="BQ179" s="20"/>
      <c r="BR179" s="19"/>
      <c r="BS179" s="93"/>
      <c r="BT179" s="93"/>
      <c r="BU179" s="20"/>
      <c r="BV179" s="19"/>
      <c r="BW179" s="93"/>
      <c r="BX179" s="93"/>
      <c r="BY179" s="93"/>
      <c r="BZ179" s="93"/>
      <c r="CA179" s="93"/>
      <c r="CB179" s="20"/>
      <c r="CC179" s="25"/>
      <c r="CD179" s="19"/>
      <c r="CE179" s="93"/>
      <c r="CF179" s="20"/>
      <c r="CG179" s="25"/>
      <c r="CH179" s="19"/>
      <c r="CI179" s="93"/>
      <c r="CJ179" s="93"/>
      <c r="CK179" s="93"/>
      <c r="CL179" s="93"/>
      <c r="CM179" s="93"/>
      <c r="CN179" s="93"/>
      <c r="CO179" s="93"/>
      <c r="CP179" s="93"/>
      <c r="CQ179" s="93"/>
      <c r="CR179" s="214"/>
      <c r="CS179" s="20"/>
      <c r="CT179" s="25"/>
      <c r="CU179" s="19"/>
      <c r="CV179" s="93"/>
      <c r="CW179" s="93"/>
      <c r="CX179" s="93"/>
      <c r="CY179" s="93"/>
      <c r="CZ179" s="93"/>
      <c r="DA179" s="93"/>
      <c r="DB179" s="20"/>
      <c r="DC179" s="25"/>
      <c r="DD179" s="785">
        <v>46174</v>
      </c>
      <c r="DE179" s="19"/>
      <c r="DF179" s="20"/>
      <c r="DG179" s="25"/>
      <c r="DH179" s="19"/>
      <c r="DI179" s="20"/>
      <c r="DJ179" s="25"/>
      <c r="DK179" s="19"/>
      <c r="DL179" s="20"/>
      <c r="DM179" s="19"/>
      <c r="DN179" s="20"/>
      <c r="DO179" s="25"/>
      <c r="DP179" s="19"/>
      <c r="DQ179" s="93"/>
      <c r="DR179" s="20"/>
      <c r="DS179" s="25"/>
      <c r="DT179" s="19"/>
      <c r="DU179" s="93"/>
      <c r="DV179" s="20"/>
      <c r="DW179" s="25"/>
      <c r="DX179" s="19"/>
      <c r="DY179" s="20"/>
      <c r="DZ179" s="25"/>
      <c r="EA179" s="19"/>
      <c r="EB179" s="93"/>
      <c r="EC179" s="93"/>
      <c r="ED179" s="93"/>
      <c r="EE179" s="20"/>
      <c r="EF179" s="25"/>
      <c r="EG179" s="19"/>
      <c r="EH179" s="93"/>
      <c r="EI179" s="93"/>
      <c r="EJ179" s="93"/>
      <c r="EK179" s="20"/>
      <c r="EL179" s="25"/>
      <c r="EM179" s="19"/>
      <c r="EN179" s="93"/>
      <c r="EO179" s="93"/>
      <c r="EP179" s="93"/>
      <c r="EQ179" s="93"/>
      <c r="ER179" s="93"/>
      <c r="ES179" s="93"/>
      <c r="ET179" s="93"/>
      <c r="EU179" s="93"/>
      <c r="EV179" s="20"/>
      <c r="EW179" s="25"/>
      <c r="EX179" s="915"/>
      <c r="EY179" s="916"/>
      <c r="EZ179" s="916"/>
      <c r="FA179" s="916"/>
      <c r="FB179" s="916"/>
      <c r="FC179" s="916"/>
      <c r="FD179" s="916"/>
      <c r="FE179" s="916"/>
      <c r="FF179" s="916"/>
      <c r="FG179" s="917"/>
      <c r="FH179" s="25"/>
      <c r="FI179" s="848">
        <v>46174</v>
      </c>
      <c r="FJ179" s="19"/>
      <c r="FK179" s="93"/>
      <c r="FL179" s="20"/>
      <c r="FM179" s="25"/>
      <c r="FN179" s="19"/>
      <c r="FO179" s="93"/>
      <c r="FP179" s="93"/>
      <c r="FQ179" s="93"/>
      <c r="FR179" s="93"/>
      <c r="FS179" s="93"/>
      <c r="FT179" s="93"/>
      <c r="FU179" s="93"/>
      <c r="FV179" s="93"/>
      <c r="FW179" s="917"/>
      <c r="FX179" s="25"/>
      <c r="FY179" s="916"/>
      <c r="FZ179" s="916"/>
      <c r="GA179" s="916"/>
      <c r="GB179" s="916"/>
      <c r="GC179" s="916"/>
      <c r="GD179" s="916"/>
      <c r="GE179" s="916"/>
      <c r="GF179" s="916"/>
      <c r="GG179" s="916"/>
      <c r="GH179" s="916"/>
      <c r="GI179" s="917"/>
      <c r="GJ179" s="25"/>
      <c r="GK179" s="19"/>
      <c r="GL179" s="20"/>
      <c r="GM179" s="25"/>
      <c r="GN179" s="19"/>
      <c r="GO179" s="20"/>
      <c r="GP179" s="25"/>
      <c r="GQ179" s="19"/>
      <c r="GR179" s="20"/>
      <c r="GS179" s="25"/>
      <c r="GT179" s="848">
        <v>46174</v>
      </c>
      <c r="GU179" s="19"/>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848">
        <v>46174</v>
      </c>
      <c r="IX179" s="93"/>
      <c r="IY179" s="93"/>
      <c r="IZ179" s="93"/>
      <c r="JA179" s="93"/>
      <c r="JB179" s="93"/>
      <c r="JC179" s="93"/>
      <c r="JD179" s="93"/>
      <c r="JE179" s="93"/>
      <c r="JF179" s="93"/>
      <c r="JG179" s="93"/>
      <c r="JH179" s="93"/>
      <c r="JI179" s="93"/>
      <c r="JJ179" s="93"/>
      <c r="JK179" s="93"/>
      <c r="JL179" s="93"/>
      <c r="JM179" s="93"/>
      <c r="JN179" s="93"/>
      <c r="JO179" s="93"/>
      <c r="JP179" s="93"/>
      <c r="JQ179" s="93"/>
      <c r="JR179" s="93"/>
      <c r="JS179" s="93"/>
      <c r="JT179" s="20"/>
      <c r="JU179" s="29"/>
      <c r="JV179" s="19"/>
      <c r="JW179" s="93"/>
      <c r="JX179" s="93"/>
      <c r="JY179" s="93"/>
      <c r="JZ179" s="93"/>
      <c r="KA179" s="93"/>
      <c r="KB179" s="93"/>
      <c r="KC179" s="93"/>
      <c r="KD179" s="93"/>
      <c r="KE179" s="93"/>
      <c r="KF179" s="93"/>
      <c r="KG179" s="93"/>
      <c r="KH179" s="93"/>
      <c r="KI179" s="93"/>
      <c r="KJ179" s="93"/>
      <c r="KK179" s="93"/>
      <c r="KL179" s="93"/>
      <c r="KM179" s="93"/>
      <c r="KN179" s="93"/>
      <c r="KO179" s="93"/>
      <c r="KP179" s="93"/>
      <c r="KQ179" s="93"/>
      <c r="KR179" s="93"/>
      <c r="KS179" s="93"/>
      <c r="KT179" s="93"/>
      <c r="KU179" s="93"/>
      <c r="KV179" s="93"/>
      <c r="KW179" s="20"/>
      <c r="KX179" s="29"/>
      <c r="KY179" s="19"/>
      <c r="KZ179" s="93"/>
      <c r="LA179" s="93"/>
      <c r="LB179" s="93"/>
      <c r="LC179" s="93"/>
      <c r="LD179" s="93"/>
      <c r="LE179" s="93"/>
      <c r="LF179" s="93"/>
      <c r="LG179" s="93"/>
      <c r="LH179" s="93"/>
      <c r="LI179" s="93"/>
      <c r="LJ179" s="93"/>
      <c r="LK179" s="93"/>
      <c r="LL179" s="93"/>
      <c r="LM179" s="93"/>
      <c r="LN179" s="93"/>
      <c r="LO179" s="93"/>
      <c r="LP179" s="93"/>
      <c r="LQ179" s="93"/>
      <c r="LR179" s="93"/>
      <c r="LS179" s="93"/>
      <c r="LT179" s="93"/>
      <c r="LU179" s="93"/>
      <c r="LV179" s="93"/>
      <c r="LW179" s="93"/>
      <c r="LX179" s="93"/>
      <c r="LY179" s="93"/>
      <c r="LZ179" s="93"/>
      <c r="MA179" s="93"/>
      <c r="MB179" s="93"/>
      <c r="MC179" s="93"/>
      <c r="MD179" s="93"/>
      <c r="ME179" s="93"/>
      <c r="MF179" s="93"/>
      <c r="MG179" s="93"/>
      <c r="MH179" s="20"/>
      <c r="MI179" s="29"/>
      <c r="MJ179" s="29" t="str">
        <f t="shared" si="88"/>
        <v>Trimestre 22026</v>
      </c>
      <c r="MK179" s="848">
        <v>46174</v>
      </c>
      <c r="ML179" s="1991"/>
      <c r="MM179" s="1991"/>
      <c r="MN179" s="1991"/>
      <c r="MO179" s="1991"/>
      <c r="MP179" s="1991"/>
      <c r="MQ179" s="1991"/>
      <c r="MR179" s="1991"/>
      <c r="MS179" s="1991"/>
      <c r="MT179" s="1991"/>
      <c r="MU179" s="1991"/>
      <c r="MV179" s="1991"/>
      <c r="MW179" s="1991"/>
      <c r="MX179" s="1991"/>
      <c r="MY179" s="1991"/>
      <c r="MZ179" s="1991"/>
      <c r="NA179" s="1991"/>
      <c r="NB179" s="1991"/>
      <c r="NC179" s="1991"/>
      <c r="ND179" s="1991"/>
      <c r="NE179" s="1991"/>
      <c r="NF179" s="1991"/>
      <c r="NG179" s="1991"/>
      <c r="NH179" s="1991"/>
      <c r="NI179" s="1991"/>
      <c r="NJ179" s="1991"/>
      <c r="NK179" s="1991"/>
      <c r="NL179" s="29"/>
    </row>
    <row r="180" spans="1:376">
      <c r="A180" s="41">
        <f t="shared" si="86"/>
        <v>2026</v>
      </c>
      <c r="B180" s="785">
        <v>46266</v>
      </c>
      <c r="C180" s="19"/>
      <c r="D180" s="93"/>
      <c r="E180" s="93"/>
      <c r="F180" s="93"/>
      <c r="G180" s="93"/>
      <c r="H180" s="93"/>
      <c r="I180" s="93"/>
      <c r="J180" s="93"/>
      <c r="K180" s="93"/>
      <c r="L180" s="93"/>
      <c r="M180" s="20"/>
      <c r="N180" s="25"/>
      <c r="O180" s="889">
        <f t="shared" si="85"/>
        <v>2026</v>
      </c>
      <c r="P180" s="29" t="str">
        <f t="shared" si="87"/>
        <v>Trimestre 32026</v>
      </c>
      <c r="Q180" s="848">
        <v>46266</v>
      </c>
      <c r="R180" s="733"/>
      <c r="S180" s="570"/>
      <c r="T180" s="570"/>
      <c r="U180" s="734"/>
      <c r="V180" s="25"/>
      <c r="W180" s="19"/>
      <c r="X180" s="93"/>
      <c r="Y180" s="93"/>
      <c r="Z180" s="93"/>
      <c r="AA180" s="93"/>
      <c r="AB180" s="93"/>
      <c r="AC180" s="93"/>
      <c r="AD180" s="93"/>
      <c r="AE180" s="20"/>
      <c r="AF180" s="25"/>
      <c r="AG180" s="19"/>
      <c r="AH180" s="93"/>
      <c r="AI180" s="93"/>
      <c r="AJ180" s="93"/>
      <c r="AK180" s="93"/>
      <c r="AL180" s="93"/>
      <c r="AM180" s="93"/>
      <c r="AN180" s="20"/>
      <c r="AO180" s="19"/>
      <c r="AP180" s="93"/>
      <c r="AQ180" s="93"/>
      <c r="AR180" s="93"/>
      <c r="AS180" s="20"/>
      <c r="AT180" s="19"/>
      <c r="AU180" s="93"/>
      <c r="AV180" s="20"/>
      <c r="AW180" s="19"/>
      <c r="AX180" s="93"/>
      <c r="AY180" s="93"/>
      <c r="AZ180" s="93"/>
      <c r="BA180" s="93"/>
      <c r="BB180" s="93"/>
      <c r="BC180" s="20"/>
      <c r="BD180" s="19"/>
      <c r="BE180" s="93"/>
      <c r="BF180" s="93"/>
      <c r="BG180" s="93"/>
      <c r="BH180" s="93"/>
      <c r="BI180" s="93"/>
      <c r="BJ180" s="93"/>
      <c r="BK180" s="20"/>
      <c r="BL180" s="19"/>
      <c r="BM180" s="93"/>
      <c r="BN180" s="93"/>
      <c r="BO180" s="93"/>
      <c r="BP180" s="93"/>
      <c r="BQ180" s="20"/>
      <c r="BR180" s="19"/>
      <c r="BS180" s="93"/>
      <c r="BT180" s="93"/>
      <c r="BU180" s="20"/>
      <c r="BV180" s="19"/>
      <c r="BW180" s="93"/>
      <c r="BX180" s="93"/>
      <c r="BY180" s="93"/>
      <c r="BZ180" s="93"/>
      <c r="CA180" s="93"/>
      <c r="CB180" s="20"/>
      <c r="CC180" s="25"/>
      <c r="CD180" s="19"/>
      <c r="CE180" s="93"/>
      <c r="CF180" s="20"/>
      <c r="CG180" s="25"/>
      <c r="CH180" s="19"/>
      <c r="CI180" s="93"/>
      <c r="CJ180" s="93"/>
      <c r="CK180" s="93"/>
      <c r="CL180" s="93"/>
      <c r="CM180" s="93"/>
      <c r="CN180" s="93"/>
      <c r="CO180" s="93"/>
      <c r="CP180" s="93"/>
      <c r="CQ180" s="93"/>
      <c r="CR180" s="214"/>
      <c r="CS180" s="20"/>
      <c r="CT180" s="25"/>
      <c r="CU180" s="19"/>
      <c r="CV180" s="93"/>
      <c r="CW180" s="93"/>
      <c r="CX180" s="93"/>
      <c r="CY180" s="93"/>
      <c r="CZ180" s="93"/>
      <c r="DA180" s="93"/>
      <c r="DB180" s="20"/>
      <c r="DC180" s="25"/>
      <c r="DD180" s="785">
        <v>46266</v>
      </c>
      <c r="DE180" s="19"/>
      <c r="DF180" s="20"/>
      <c r="DG180" s="25"/>
      <c r="DH180" s="19"/>
      <c r="DI180" s="20"/>
      <c r="DJ180" s="25"/>
      <c r="DK180" s="19"/>
      <c r="DL180" s="20"/>
      <c r="DM180" s="19"/>
      <c r="DN180" s="20"/>
      <c r="DO180" s="25"/>
      <c r="DP180" s="19"/>
      <c r="DQ180" s="93"/>
      <c r="DR180" s="20"/>
      <c r="DS180" s="25"/>
      <c r="DT180" s="19"/>
      <c r="DU180" s="93"/>
      <c r="DV180" s="20"/>
      <c r="DW180" s="25"/>
      <c r="DX180" s="19"/>
      <c r="DY180" s="20"/>
      <c r="DZ180" s="25"/>
      <c r="EA180" s="19"/>
      <c r="EB180" s="93"/>
      <c r="EC180" s="93"/>
      <c r="ED180" s="93"/>
      <c r="EE180" s="20"/>
      <c r="EF180" s="25"/>
      <c r="EG180" s="19"/>
      <c r="EH180" s="93"/>
      <c r="EI180" s="93"/>
      <c r="EJ180" s="93"/>
      <c r="EK180" s="20"/>
      <c r="EL180" s="25"/>
      <c r="EM180" s="19"/>
      <c r="EN180" s="93"/>
      <c r="EO180" s="93"/>
      <c r="EP180" s="93"/>
      <c r="EQ180" s="93"/>
      <c r="ER180" s="93"/>
      <c r="ES180" s="93"/>
      <c r="ET180" s="93"/>
      <c r="EU180" s="93"/>
      <c r="EV180" s="20"/>
      <c r="EW180" s="25"/>
      <c r="EX180" s="915"/>
      <c r="EY180" s="916"/>
      <c r="EZ180" s="916"/>
      <c r="FA180" s="916"/>
      <c r="FB180" s="916"/>
      <c r="FC180" s="916"/>
      <c r="FD180" s="916"/>
      <c r="FE180" s="916"/>
      <c r="FF180" s="916"/>
      <c r="FG180" s="917"/>
      <c r="FH180" s="25"/>
      <c r="FI180" s="848">
        <v>46266</v>
      </c>
      <c r="FJ180" s="19"/>
      <c r="FK180" s="93"/>
      <c r="FL180" s="20"/>
      <c r="FM180" s="25"/>
      <c r="FN180" s="19"/>
      <c r="FO180" s="93"/>
      <c r="FP180" s="93"/>
      <c r="FQ180" s="93"/>
      <c r="FR180" s="93"/>
      <c r="FS180" s="93"/>
      <c r="FT180" s="93"/>
      <c r="FU180" s="93"/>
      <c r="FV180" s="93"/>
      <c r="FW180" s="917"/>
      <c r="FX180" s="25"/>
      <c r="FY180" s="916"/>
      <c r="FZ180" s="916"/>
      <c r="GA180" s="916"/>
      <c r="GB180" s="916"/>
      <c r="GC180" s="916"/>
      <c r="GD180" s="916"/>
      <c r="GE180" s="916"/>
      <c r="GF180" s="916"/>
      <c r="GG180" s="916"/>
      <c r="GH180" s="916"/>
      <c r="GI180" s="917"/>
      <c r="GJ180" s="25"/>
      <c r="GK180" s="19"/>
      <c r="GL180" s="20"/>
      <c r="GM180" s="25"/>
      <c r="GN180" s="19"/>
      <c r="GO180" s="20"/>
      <c r="GP180" s="25"/>
      <c r="GQ180" s="19"/>
      <c r="GR180" s="20"/>
      <c r="GS180" s="25"/>
      <c r="GT180" s="848">
        <v>46266</v>
      </c>
      <c r="GU180" s="19"/>
      <c r="GV180" s="93"/>
      <c r="GW180" s="93"/>
      <c r="GX180" s="93"/>
      <c r="GY180" s="93"/>
      <c r="GZ180" s="93"/>
      <c r="HA180" s="93"/>
      <c r="HB180" s="93"/>
      <c r="HC180" s="93"/>
      <c r="HD180" s="93"/>
      <c r="HE180" s="93"/>
      <c r="HF180" s="93"/>
      <c r="HG180" s="93"/>
      <c r="HH180" s="93"/>
      <c r="HI180" s="93"/>
      <c r="HJ180" s="93"/>
      <c r="HK180" s="93"/>
      <c r="HL180" s="93"/>
      <c r="HM180" s="93"/>
      <c r="HN180" s="93"/>
      <c r="HO180" s="93"/>
      <c r="HP180" s="93"/>
      <c r="HQ180" s="93"/>
      <c r="HR180" s="93"/>
      <c r="HS180" s="93"/>
      <c r="HT180" s="93"/>
      <c r="HU180" s="93"/>
      <c r="HV180" s="93"/>
      <c r="HW180" s="93"/>
      <c r="HX180" s="93"/>
      <c r="HY180" s="93"/>
      <c r="HZ180" s="93"/>
      <c r="IA180" s="93"/>
      <c r="IB180" s="93"/>
      <c r="IC180" s="93"/>
      <c r="ID180" s="93"/>
      <c r="IE180" s="93"/>
      <c r="IF180" s="93"/>
      <c r="IG180" s="93"/>
      <c r="IH180" s="93"/>
      <c r="II180" s="93"/>
      <c r="IJ180" s="93"/>
      <c r="IK180" s="93"/>
      <c r="IL180" s="93"/>
      <c r="IM180" s="93"/>
      <c r="IN180" s="93"/>
      <c r="IO180" s="93"/>
      <c r="IP180" s="93"/>
      <c r="IQ180" s="93"/>
      <c r="IR180" s="93"/>
      <c r="IS180" s="93"/>
      <c r="IT180" s="93"/>
      <c r="IU180" s="93"/>
      <c r="IV180" s="93"/>
      <c r="IW180" s="848">
        <v>46266</v>
      </c>
      <c r="IX180" s="93"/>
      <c r="IY180" s="93"/>
      <c r="IZ180" s="93"/>
      <c r="JA180" s="93"/>
      <c r="JB180" s="93"/>
      <c r="JC180" s="93"/>
      <c r="JD180" s="93"/>
      <c r="JE180" s="93"/>
      <c r="JF180" s="93"/>
      <c r="JG180" s="93"/>
      <c r="JH180" s="93"/>
      <c r="JI180" s="93"/>
      <c r="JJ180" s="93"/>
      <c r="JK180" s="93"/>
      <c r="JL180" s="93"/>
      <c r="JM180" s="93"/>
      <c r="JN180" s="93"/>
      <c r="JO180" s="93"/>
      <c r="JP180" s="93"/>
      <c r="JQ180" s="93"/>
      <c r="JR180" s="93"/>
      <c r="JS180" s="93"/>
      <c r="JT180" s="20"/>
      <c r="JU180" s="29"/>
      <c r="JV180" s="19"/>
      <c r="JW180" s="93"/>
      <c r="JX180" s="93"/>
      <c r="JY180" s="93"/>
      <c r="JZ180" s="93"/>
      <c r="KA180" s="93"/>
      <c r="KB180" s="93"/>
      <c r="KC180" s="93"/>
      <c r="KD180" s="93"/>
      <c r="KE180" s="93"/>
      <c r="KF180" s="93"/>
      <c r="KG180" s="93"/>
      <c r="KH180" s="93"/>
      <c r="KI180" s="93"/>
      <c r="KJ180" s="93"/>
      <c r="KK180" s="93"/>
      <c r="KL180" s="93"/>
      <c r="KM180" s="93"/>
      <c r="KN180" s="93"/>
      <c r="KO180" s="93"/>
      <c r="KP180" s="93"/>
      <c r="KQ180" s="93"/>
      <c r="KR180" s="93"/>
      <c r="KS180" s="93"/>
      <c r="KT180" s="93"/>
      <c r="KU180" s="93"/>
      <c r="KV180" s="93"/>
      <c r="KW180" s="20"/>
      <c r="KX180" s="29"/>
      <c r="KY180" s="19"/>
      <c r="KZ180" s="93"/>
      <c r="LA180" s="93"/>
      <c r="LB180" s="93"/>
      <c r="LC180" s="93"/>
      <c r="LD180" s="93"/>
      <c r="LE180" s="93"/>
      <c r="LF180" s="93"/>
      <c r="LG180" s="93"/>
      <c r="LH180" s="93"/>
      <c r="LI180" s="93"/>
      <c r="LJ180" s="93"/>
      <c r="LK180" s="93"/>
      <c r="LL180" s="93"/>
      <c r="LM180" s="93"/>
      <c r="LN180" s="93"/>
      <c r="LO180" s="93"/>
      <c r="LP180" s="93"/>
      <c r="LQ180" s="93"/>
      <c r="LR180" s="93"/>
      <c r="LS180" s="93"/>
      <c r="LT180" s="93"/>
      <c r="LU180" s="93"/>
      <c r="LV180" s="93"/>
      <c r="LW180" s="93"/>
      <c r="LX180" s="93"/>
      <c r="LY180" s="93"/>
      <c r="LZ180" s="93"/>
      <c r="MA180" s="93"/>
      <c r="MB180" s="93"/>
      <c r="MC180" s="93"/>
      <c r="MD180" s="93"/>
      <c r="ME180" s="93"/>
      <c r="MF180" s="93"/>
      <c r="MG180" s="93"/>
      <c r="MH180" s="20"/>
      <c r="MI180" s="29"/>
      <c r="MJ180" s="29" t="str">
        <f t="shared" si="88"/>
        <v>Trimestre 32026</v>
      </c>
      <c r="MK180" s="848">
        <v>46266</v>
      </c>
      <c r="ML180" s="1991"/>
      <c r="MM180" s="1991"/>
      <c r="MN180" s="1991"/>
      <c r="MO180" s="1991"/>
      <c r="MP180" s="1991"/>
      <c r="MQ180" s="1991"/>
      <c r="MR180" s="1991"/>
      <c r="MS180" s="1991"/>
      <c r="MT180" s="1991"/>
      <c r="MU180" s="1991"/>
      <c r="MV180" s="1991"/>
      <c r="MW180" s="1991"/>
      <c r="MX180" s="1991"/>
      <c r="MY180" s="1991"/>
      <c r="MZ180" s="1991"/>
      <c r="NA180" s="1991"/>
      <c r="NB180" s="1991"/>
      <c r="NC180" s="1991"/>
      <c r="ND180" s="1991"/>
      <c r="NE180" s="1991"/>
      <c r="NF180" s="1991"/>
      <c r="NG180" s="1991"/>
      <c r="NH180" s="1991"/>
      <c r="NI180" s="1991"/>
      <c r="NJ180" s="1991"/>
      <c r="NK180" s="1991"/>
      <c r="NL180" s="29"/>
    </row>
    <row r="181" spans="1:376">
      <c r="A181" s="41">
        <f t="shared" si="86"/>
        <v>2026</v>
      </c>
      <c r="B181" s="785">
        <v>46357</v>
      </c>
      <c r="C181" s="19"/>
      <c r="D181" s="93"/>
      <c r="E181" s="93"/>
      <c r="F181" s="93"/>
      <c r="G181" s="93"/>
      <c r="H181" s="93"/>
      <c r="I181" s="93"/>
      <c r="J181" s="93"/>
      <c r="K181" s="93"/>
      <c r="L181" s="93"/>
      <c r="M181" s="20"/>
      <c r="N181" s="25"/>
      <c r="O181" s="889">
        <f t="shared" si="85"/>
        <v>2026</v>
      </c>
      <c r="P181" s="29" t="str">
        <f t="shared" si="87"/>
        <v>Trimestre 42026</v>
      </c>
      <c r="Q181" s="848">
        <v>46357</v>
      </c>
      <c r="R181" s="733"/>
      <c r="S181" s="570"/>
      <c r="T181" s="570"/>
      <c r="U181" s="734"/>
      <c r="V181" s="25"/>
      <c r="W181" s="19"/>
      <c r="X181" s="93"/>
      <c r="Y181" s="93"/>
      <c r="Z181" s="93"/>
      <c r="AA181" s="93"/>
      <c r="AB181" s="93"/>
      <c r="AC181" s="93"/>
      <c r="AD181" s="93"/>
      <c r="AE181" s="20"/>
      <c r="AF181" s="25"/>
      <c r="AG181" s="19"/>
      <c r="AH181" s="93"/>
      <c r="AI181" s="93"/>
      <c r="AJ181" s="93"/>
      <c r="AK181" s="93"/>
      <c r="AL181" s="93"/>
      <c r="AM181" s="93"/>
      <c r="AN181" s="20"/>
      <c r="AO181" s="19"/>
      <c r="AP181" s="93"/>
      <c r="AQ181" s="93"/>
      <c r="AR181" s="93"/>
      <c r="AS181" s="20"/>
      <c r="AT181" s="19"/>
      <c r="AU181" s="93"/>
      <c r="AV181" s="20"/>
      <c r="AW181" s="19"/>
      <c r="AX181" s="93"/>
      <c r="AY181" s="93"/>
      <c r="AZ181" s="93"/>
      <c r="BA181" s="93"/>
      <c r="BB181" s="93"/>
      <c r="BC181" s="20"/>
      <c r="BD181" s="19"/>
      <c r="BE181" s="93"/>
      <c r="BF181" s="93"/>
      <c r="BG181" s="93"/>
      <c r="BH181" s="93"/>
      <c r="BI181" s="93"/>
      <c r="BJ181" s="93"/>
      <c r="BK181" s="20"/>
      <c r="BL181" s="19"/>
      <c r="BM181" s="93"/>
      <c r="BN181" s="93"/>
      <c r="BO181" s="93"/>
      <c r="BP181" s="93"/>
      <c r="BQ181" s="20"/>
      <c r="BR181" s="19"/>
      <c r="BS181" s="93"/>
      <c r="BT181" s="93"/>
      <c r="BU181" s="20"/>
      <c r="BV181" s="19"/>
      <c r="BW181" s="93"/>
      <c r="BX181" s="93"/>
      <c r="BY181" s="93"/>
      <c r="BZ181" s="93"/>
      <c r="CA181" s="93"/>
      <c r="CB181" s="20"/>
      <c r="CC181" s="25"/>
      <c r="CD181" s="19"/>
      <c r="CE181" s="93"/>
      <c r="CF181" s="20"/>
      <c r="CG181" s="25"/>
      <c r="CH181" s="19"/>
      <c r="CI181" s="93"/>
      <c r="CJ181" s="93"/>
      <c r="CK181" s="93"/>
      <c r="CL181" s="93"/>
      <c r="CM181" s="93"/>
      <c r="CN181" s="93"/>
      <c r="CO181" s="93"/>
      <c r="CP181" s="93"/>
      <c r="CQ181" s="93"/>
      <c r="CR181" s="214"/>
      <c r="CS181" s="20"/>
      <c r="CT181" s="25"/>
      <c r="CU181" s="19"/>
      <c r="CV181" s="93"/>
      <c r="CW181" s="93"/>
      <c r="CX181" s="93"/>
      <c r="CY181" s="93"/>
      <c r="CZ181" s="93"/>
      <c r="DA181" s="93"/>
      <c r="DB181" s="20"/>
      <c r="DC181" s="25"/>
      <c r="DD181" s="785">
        <v>46357</v>
      </c>
      <c r="DE181" s="19"/>
      <c r="DF181" s="20"/>
      <c r="DG181" s="25"/>
      <c r="DH181" s="19"/>
      <c r="DI181" s="20"/>
      <c r="DJ181" s="25"/>
      <c r="DK181" s="19"/>
      <c r="DL181" s="20"/>
      <c r="DM181" s="19"/>
      <c r="DN181" s="20"/>
      <c r="DO181" s="25"/>
      <c r="DP181" s="19"/>
      <c r="DQ181" s="93"/>
      <c r="DR181" s="20"/>
      <c r="DS181" s="25"/>
      <c r="DT181" s="19"/>
      <c r="DU181" s="93"/>
      <c r="DV181" s="20"/>
      <c r="DW181" s="25"/>
      <c r="DX181" s="19"/>
      <c r="DY181" s="20"/>
      <c r="DZ181" s="25"/>
      <c r="EA181" s="19"/>
      <c r="EB181" s="93"/>
      <c r="EC181" s="93"/>
      <c r="ED181" s="93"/>
      <c r="EE181" s="20"/>
      <c r="EF181" s="25"/>
      <c r="EG181" s="19"/>
      <c r="EH181" s="93"/>
      <c r="EI181" s="93"/>
      <c r="EJ181" s="93"/>
      <c r="EK181" s="20"/>
      <c r="EL181" s="25"/>
      <c r="EM181" s="19"/>
      <c r="EN181" s="93"/>
      <c r="EO181" s="93"/>
      <c r="EP181" s="93"/>
      <c r="EQ181" s="93"/>
      <c r="ER181" s="93"/>
      <c r="ES181" s="93"/>
      <c r="ET181" s="93"/>
      <c r="EU181" s="93"/>
      <c r="EV181" s="20"/>
      <c r="EW181" s="25"/>
      <c r="EX181" s="915"/>
      <c r="EY181" s="916"/>
      <c r="EZ181" s="916"/>
      <c r="FA181" s="916"/>
      <c r="FB181" s="916"/>
      <c r="FC181" s="916"/>
      <c r="FD181" s="916"/>
      <c r="FE181" s="916"/>
      <c r="FF181" s="916"/>
      <c r="FG181" s="917"/>
      <c r="FH181" s="25"/>
      <c r="FI181" s="848">
        <v>46357</v>
      </c>
      <c r="FJ181" s="19"/>
      <c r="FK181" s="93"/>
      <c r="FL181" s="20"/>
      <c r="FM181" s="25"/>
      <c r="FN181" s="19"/>
      <c r="FO181" s="93"/>
      <c r="FP181" s="93"/>
      <c r="FQ181" s="93"/>
      <c r="FR181" s="93"/>
      <c r="FS181" s="93"/>
      <c r="FT181" s="93"/>
      <c r="FU181" s="93"/>
      <c r="FV181" s="93"/>
      <c r="FW181" s="917"/>
      <c r="FX181" s="25"/>
      <c r="FY181" s="916"/>
      <c r="FZ181" s="916"/>
      <c r="GA181" s="916"/>
      <c r="GB181" s="916"/>
      <c r="GC181" s="916"/>
      <c r="GD181" s="916"/>
      <c r="GE181" s="916"/>
      <c r="GF181" s="916"/>
      <c r="GG181" s="916"/>
      <c r="GH181" s="916"/>
      <c r="GI181" s="917"/>
      <c r="GJ181" s="25"/>
      <c r="GK181" s="19"/>
      <c r="GL181" s="20"/>
      <c r="GM181" s="25"/>
      <c r="GN181" s="19"/>
      <c r="GO181" s="20"/>
      <c r="GP181" s="25"/>
      <c r="GQ181" s="19"/>
      <c r="GR181" s="20"/>
      <c r="GS181" s="25"/>
      <c r="GT181" s="848">
        <v>46357</v>
      </c>
      <c r="GU181" s="19"/>
      <c r="GV181" s="93"/>
      <c r="GW181" s="93"/>
      <c r="GX181" s="93"/>
      <c r="GY181" s="93"/>
      <c r="GZ181" s="93"/>
      <c r="HA181" s="93"/>
      <c r="HB181" s="93"/>
      <c r="HC181" s="93"/>
      <c r="HD181" s="93"/>
      <c r="HE181" s="93"/>
      <c r="HF181" s="93"/>
      <c r="HG181" s="93"/>
      <c r="HH181" s="93"/>
      <c r="HI181" s="93"/>
      <c r="HJ181" s="93"/>
      <c r="HK181" s="93"/>
      <c r="HL181" s="93"/>
      <c r="HM181" s="93"/>
      <c r="HN181" s="93"/>
      <c r="HO181" s="93"/>
      <c r="HP181" s="93"/>
      <c r="HQ181" s="93"/>
      <c r="HR181" s="93"/>
      <c r="HS181" s="93"/>
      <c r="HT181" s="93"/>
      <c r="HU181" s="93"/>
      <c r="HV181" s="93"/>
      <c r="HW181" s="93"/>
      <c r="HX181" s="93"/>
      <c r="HY181" s="93"/>
      <c r="HZ181" s="93"/>
      <c r="IA181" s="93"/>
      <c r="IB181" s="93"/>
      <c r="IC181" s="93"/>
      <c r="ID181" s="93"/>
      <c r="IE181" s="93"/>
      <c r="IF181" s="93"/>
      <c r="IG181" s="93"/>
      <c r="IH181" s="93"/>
      <c r="II181" s="93"/>
      <c r="IJ181" s="93"/>
      <c r="IK181" s="93"/>
      <c r="IL181" s="93"/>
      <c r="IM181" s="93"/>
      <c r="IN181" s="93"/>
      <c r="IO181" s="93"/>
      <c r="IP181" s="93"/>
      <c r="IQ181" s="93"/>
      <c r="IR181" s="93"/>
      <c r="IS181" s="93"/>
      <c r="IT181" s="93"/>
      <c r="IU181" s="93"/>
      <c r="IV181" s="93"/>
      <c r="IW181" s="848">
        <v>46357</v>
      </c>
      <c r="IX181" s="93"/>
      <c r="IY181" s="93"/>
      <c r="IZ181" s="93"/>
      <c r="JA181" s="93"/>
      <c r="JB181" s="93"/>
      <c r="JC181" s="93"/>
      <c r="JD181" s="93"/>
      <c r="JE181" s="93"/>
      <c r="JF181" s="93"/>
      <c r="JG181" s="93"/>
      <c r="JH181" s="93"/>
      <c r="JI181" s="93"/>
      <c r="JJ181" s="93"/>
      <c r="JK181" s="93"/>
      <c r="JL181" s="93"/>
      <c r="JM181" s="93"/>
      <c r="JN181" s="93"/>
      <c r="JO181" s="93"/>
      <c r="JP181" s="93"/>
      <c r="JQ181" s="93"/>
      <c r="JR181" s="93"/>
      <c r="JS181" s="93"/>
      <c r="JT181" s="20"/>
      <c r="JU181" s="29"/>
      <c r="JV181" s="19"/>
      <c r="JW181" s="93"/>
      <c r="JX181" s="93"/>
      <c r="JY181" s="93"/>
      <c r="JZ181" s="93"/>
      <c r="KA181" s="93"/>
      <c r="KB181" s="93"/>
      <c r="KC181" s="93"/>
      <c r="KD181" s="93"/>
      <c r="KE181" s="93"/>
      <c r="KF181" s="93"/>
      <c r="KG181" s="93"/>
      <c r="KH181" s="93"/>
      <c r="KI181" s="93"/>
      <c r="KJ181" s="93"/>
      <c r="KK181" s="93"/>
      <c r="KL181" s="93"/>
      <c r="KM181" s="93"/>
      <c r="KN181" s="93"/>
      <c r="KO181" s="93"/>
      <c r="KP181" s="93"/>
      <c r="KQ181" s="93"/>
      <c r="KR181" s="93"/>
      <c r="KS181" s="93"/>
      <c r="KT181" s="93"/>
      <c r="KU181" s="93"/>
      <c r="KV181" s="93"/>
      <c r="KW181" s="20"/>
      <c r="KX181" s="29"/>
      <c r="KY181" s="19"/>
      <c r="KZ181" s="93"/>
      <c r="LA181" s="93"/>
      <c r="LB181" s="93"/>
      <c r="LC181" s="93"/>
      <c r="LD181" s="93"/>
      <c r="LE181" s="93"/>
      <c r="LF181" s="93"/>
      <c r="LG181" s="93"/>
      <c r="LH181" s="93"/>
      <c r="LI181" s="93"/>
      <c r="LJ181" s="93"/>
      <c r="LK181" s="93"/>
      <c r="LL181" s="93"/>
      <c r="LM181" s="93"/>
      <c r="LN181" s="93"/>
      <c r="LO181" s="93"/>
      <c r="LP181" s="93"/>
      <c r="LQ181" s="93"/>
      <c r="LR181" s="93"/>
      <c r="LS181" s="93"/>
      <c r="LT181" s="93"/>
      <c r="LU181" s="93"/>
      <c r="LV181" s="93"/>
      <c r="LW181" s="93"/>
      <c r="LX181" s="93"/>
      <c r="LY181" s="93"/>
      <c r="LZ181" s="93"/>
      <c r="MA181" s="93"/>
      <c r="MB181" s="93"/>
      <c r="MC181" s="93"/>
      <c r="MD181" s="93"/>
      <c r="ME181" s="93"/>
      <c r="MF181" s="93"/>
      <c r="MG181" s="93"/>
      <c r="MH181" s="20"/>
      <c r="MI181" s="29"/>
      <c r="MJ181" s="29" t="str">
        <f t="shared" si="88"/>
        <v>Trimestre 42026</v>
      </c>
      <c r="MK181" s="848">
        <v>46357</v>
      </c>
      <c r="ML181" s="1991"/>
      <c r="MM181" s="1991"/>
      <c r="MN181" s="1991"/>
      <c r="MO181" s="1991"/>
      <c r="MP181" s="1991"/>
      <c r="MQ181" s="1991"/>
      <c r="MR181" s="1991"/>
      <c r="MS181" s="1991"/>
      <c r="MT181" s="1991"/>
      <c r="MU181" s="1991"/>
      <c r="MV181" s="1991"/>
      <c r="MW181" s="1991"/>
      <c r="MX181" s="1991"/>
      <c r="MY181" s="1991"/>
      <c r="MZ181" s="1991"/>
      <c r="NA181" s="1991"/>
      <c r="NB181" s="1991"/>
      <c r="NC181" s="1991"/>
      <c r="ND181" s="1991"/>
      <c r="NE181" s="1991"/>
      <c r="NF181" s="1991"/>
      <c r="NG181" s="1991"/>
      <c r="NH181" s="1991"/>
      <c r="NI181" s="1991"/>
      <c r="NJ181" s="1991"/>
      <c r="NK181" s="1991"/>
      <c r="NL181" s="29"/>
    </row>
    <row r="182" spans="1:376">
      <c r="A182" s="41">
        <f t="shared" si="86"/>
        <v>2027</v>
      </c>
      <c r="B182" s="785">
        <v>46447</v>
      </c>
      <c r="C182" s="19"/>
      <c r="D182" s="93"/>
      <c r="E182" s="93"/>
      <c r="F182" s="93"/>
      <c r="G182" s="93"/>
      <c r="H182" s="93"/>
      <c r="I182" s="93"/>
      <c r="J182" s="93"/>
      <c r="K182" s="93"/>
      <c r="L182" s="93"/>
      <c r="M182" s="20"/>
      <c r="N182" s="25"/>
      <c r="O182" s="889">
        <f t="shared" si="85"/>
        <v>2027</v>
      </c>
      <c r="P182" s="29" t="str">
        <f t="shared" si="87"/>
        <v>Trimestre 12027</v>
      </c>
      <c r="Q182" s="848">
        <v>46447</v>
      </c>
      <c r="R182" s="733"/>
      <c r="S182" s="570"/>
      <c r="T182" s="570"/>
      <c r="U182" s="734"/>
      <c r="V182" s="25"/>
      <c r="W182" s="19"/>
      <c r="X182" s="93"/>
      <c r="Y182" s="93"/>
      <c r="Z182" s="93"/>
      <c r="AA182" s="93"/>
      <c r="AB182" s="93"/>
      <c r="AC182" s="93"/>
      <c r="AD182" s="93"/>
      <c r="AE182" s="20"/>
      <c r="AF182" s="25"/>
      <c r="AG182" s="19"/>
      <c r="AH182" s="93"/>
      <c r="AI182" s="93"/>
      <c r="AJ182" s="93"/>
      <c r="AK182" s="93"/>
      <c r="AL182" s="93"/>
      <c r="AM182" s="93"/>
      <c r="AN182" s="20"/>
      <c r="AO182" s="19"/>
      <c r="AP182" s="93"/>
      <c r="AQ182" s="93"/>
      <c r="AR182" s="93"/>
      <c r="AS182" s="20"/>
      <c r="AT182" s="19"/>
      <c r="AU182" s="93"/>
      <c r="AV182" s="20"/>
      <c r="AW182" s="19"/>
      <c r="AX182" s="93"/>
      <c r="AY182" s="93"/>
      <c r="AZ182" s="93"/>
      <c r="BA182" s="93"/>
      <c r="BB182" s="93"/>
      <c r="BC182" s="20"/>
      <c r="BD182" s="19"/>
      <c r="BE182" s="93"/>
      <c r="BF182" s="93"/>
      <c r="BG182" s="93"/>
      <c r="BH182" s="93"/>
      <c r="BI182" s="93"/>
      <c r="BJ182" s="93"/>
      <c r="BK182" s="20"/>
      <c r="BL182" s="19"/>
      <c r="BM182" s="93"/>
      <c r="BN182" s="93"/>
      <c r="BO182" s="93"/>
      <c r="BP182" s="93"/>
      <c r="BQ182" s="20"/>
      <c r="BR182" s="19"/>
      <c r="BS182" s="93"/>
      <c r="BT182" s="93"/>
      <c r="BU182" s="20"/>
      <c r="BV182" s="19"/>
      <c r="BW182" s="93"/>
      <c r="BX182" s="93"/>
      <c r="BY182" s="93"/>
      <c r="BZ182" s="93"/>
      <c r="CA182" s="93"/>
      <c r="CB182" s="20"/>
      <c r="CC182" s="25"/>
      <c r="CD182" s="19"/>
      <c r="CE182" s="93"/>
      <c r="CF182" s="20"/>
      <c r="CG182" s="25"/>
      <c r="CH182" s="19"/>
      <c r="CI182" s="93"/>
      <c r="CJ182" s="93"/>
      <c r="CK182" s="93"/>
      <c r="CL182" s="93"/>
      <c r="CM182" s="93"/>
      <c r="CN182" s="93"/>
      <c r="CO182" s="93"/>
      <c r="CP182" s="93"/>
      <c r="CQ182" s="93"/>
      <c r="CR182" s="214"/>
      <c r="CS182" s="20"/>
      <c r="CT182" s="25"/>
      <c r="CU182" s="19"/>
      <c r="CV182" s="93"/>
      <c r="CW182" s="93"/>
      <c r="CX182" s="93"/>
      <c r="CY182" s="93"/>
      <c r="CZ182" s="93"/>
      <c r="DA182" s="93"/>
      <c r="DB182" s="20"/>
      <c r="DC182" s="25"/>
      <c r="DD182" s="785">
        <v>46447</v>
      </c>
      <c r="DE182" s="19"/>
      <c r="DF182" s="20"/>
      <c r="DG182" s="25"/>
      <c r="DH182" s="19"/>
      <c r="DI182" s="20"/>
      <c r="DJ182" s="25"/>
      <c r="DK182" s="19"/>
      <c r="DL182" s="20"/>
      <c r="DM182" s="19"/>
      <c r="DN182" s="20"/>
      <c r="DO182" s="25"/>
      <c r="DP182" s="19"/>
      <c r="DQ182" s="93"/>
      <c r="DR182" s="20"/>
      <c r="DS182" s="25"/>
      <c r="DT182" s="19"/>
      <c r="DU182" s="93"/>
      <c r="DV182" s="20"/>
      <c r="DW182" s="25"/>
      <c r="DX182" s="19"/>
      <c r="DY182" s="20"/>
      <c r="DZ182" s="25"/>
      <c r="EA182" s="19"/>
      <c r="EB182" s="93"/>
      <c r="EC182" s="93"/>
      <c r="ED182" s="93"/>
      <c r="EE182" s="20"/>
      <c r="EF182" s="25"/>
      <c r="EG182" s="19"/>
      <c r="EH182" s="93"/>
      <c r="EI182" s="93"/>
      <c r="EJ182" s="93"/>
      <c r="EK182" s="20"/>
      <c r="EL182" s="25"/>
      <c r="EM182" s="19"/>
      <c r="EN182" s="93"/>
      <c r="EO182" s="93"/>
      <c r="EP182" s="93"/>
      <c r="EQ182" s="93"/>
      <c r="ER182" s="93"/>
      <c r="ES182" s="93"/>
      <c r="ET182" s="93"/>
      <c r="EU182" s="93"/>
      <c r="EV182" s="20"/>
      <c r="EW182" s="25"/>
      <c r="EX182" s="915"/>
      <c r="EY182" s="916"/>
      <c r="EZ182" s="916"/>
      <c r="FA182" s="916"/>
      <c r="FB182" s="916"/>
      <c r="FC182" s="916"/>
      <c r="FD182" s="916"/>
      <c r="FE182" s="916"/>
      <c r="FF182" s="916"/>
      <c r="FG182" s="917"/>
      <c r="FH182" s="25"/>
      <c r="FI182" s="848">
        <v>46447</v>
      </c>
      <c r="FJ182" s="19"/>
      <c r="FK182" s="93"/>
      <c r="FL182" s="20"/>
      <c r="FM182" s="25"/>
      <c r="FN182" s="19"/>
      <c r="FO182" s="93"/>
      <c r="FP182" s="93"/>
      <c r="FQ182" s="93"/>
      <c r="FR182" s="93"/>
      <c r="FS182" s="93"/>
      <c r="FT182" s="93"/>
      <c r="FU182" s="93"/>
      <c r="FV182" s="93"/>
      <c r="FW182" s="917"/>
      <c r="FX182" s="25"/>
      <c r="FY182" s="916"/>
      <c r="FZ182" s="916"/>
      <c r="GA182" s="916"/>
      <c r="GB182" s="916"/>
      <c r="GC182" s="916"/>
      <c r="GD182" s="916"/>
      <c r="GE182" s="916"/>
      <c r="GF182" s="916"/>
      <c r="GG182" s="916"/>
      <c r="GH182" s="916"/>
      <c r="GI182" s="917"/>
      <c r="GJ182" s="25"/>
      <c r="GK182" s="19"/>
      <c r="GL182" s="20"/>
      <c r="GM182" s="25"/>
      <c r="GN182" s="19"/>
      <c r="GO182" s="20"/>
      <c r="GP182" s="25"/>
      <c r="GQ182" s="19"/>
      <c r="GR182" s="20"/>
      <c r="GS182" s="25"/>
      <c r="GT182" s="848">
        <v>46447</v>
      </c>
      <c r="GU182" s="19"/>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848">
        <v>46447</v>
      </c>
      <c r="IX182" s="93"/>
      <c r="IY182" s="93"/>
      <c r="IZ182" s="93"/>
      <c r="JA182" s="93"/>
      <c r="JB182" s="93"/>
      <c r="JC182" s="93"/>
      <c r="JD182" s="93"/>
      <c r="JE182" s="93"/>
      <c r="JF182" s="93"/>
      <c r="JG182" s="93"/>
      <c r="JH182" s="93"/>
      <c r="JI182" s="93"/>
      <c r="JJ182" s="93"/>
      <c r="JK182" s="93"/>
      <c r="JL182" s="93"/>
      <c r="JM182" s="93"/>
      <c r="JN182" s="93"/>
      <c r="JO182" s="93"/>
      <c r="JP182" s="93"/>
      <c r="JQ182" s="93"/>
      <c r="JR182" s="93"/>
      <c r="JS182" s="93"/>
      <c r="JT182" s="20"/>
      <c r="JU182" s="29"/>
      <c r="JV182" s="19"/>
      <c r="JW182" s="93"/>
      <c r="JX182" s="93"/>
      <c r="JY182" s="93"/>
      <c r="JZ182" s="93"/>
      <c r="KA182" s="93"/>
      <c r="KB182" s="93"/>
      <c r="KC182" s="93"/>
      <c r="KD182" s="93"/>
      <c r="KE182" s="93"/>
      <c r="KF182" s="93"/>
      <c r="KG182" s="93"/>
      <c r="KH182" s="93"/>
      <c r="KI182" s="93"/>
      <c r="KJ182" s="93"/>
      <c r="KK182" s="93"/>
      <c r="KL182" s="93"/>
      <c r="KM182" s="93"/>
      <c r="KN182" s="93"/>
      <c r="KO182" s="93"/>
      <c r="KP182" s="93"/>
      <c r="KQ182" s="93"/>
      <c r="KR182" s="93"/>
      <c r="KS182" s="93"/>
      <c r="KT182" s="93"/>
      <c r="KU182" s="93"/>
      <c r="KV182" s="93"/>
      <c r="KW182" s="20"/>
      <c r="KX182" s="29"/>
      <c r="KY182" s="19"/>
      <c r="KZ182" s="93"/>
      <c r="LA182" s="93"/>
      <c r="LB182" s="93"/>
      <c r="LC182" s="93"/>
      <c r="LD182" s="93"/>
      <c r="LE182" s="93"/>
      <c r="LF182" s="93"/>
      <c r="LG182" s="93"/>
      <c r="LH182" s="93"/>
      <c r="LI182" s="93"/>
      <c r="LJ182" s="93"/>
      <c r="LK182" s="93"/>
      <c r="LL182" s="93"/>
      <c r="LM182" s="93"/>
      <c r="LN182" s="93"/>
      <c r="LO182" s="93"/>
      <c r="LP182" s="93"/>
      <c r="LQ182" s="93"/>
      <c r="LR182" s="93"/>
      <c r="LS182" s="93"/>
      <c r="LT182" s="93"/>
      <c r="LU182" s="93"/>
      <c r="LV182" s="93"/>
      <c r="LW182" s="93"/>
      <c r="LX182" s="93"/>
      <c r="LY182" s="93"/>
      <c r="LZ182" s="93"/>
      <c r="MA182" s="93"/>
      <c r="MB182" s="93"/>
      <c r="MC182" s="93"/>
      <c r="MD182" s="93"/>
      <c r="ME182" s="93"/>
      <c r="MF182" s="93"/>
      <c r="MG182" s="93"/>
      <c r="MH182" s="20"/>
      <c r="MI182" s="29"/>
      <c r="MJ182" s="29" t="str">
        <f t="shared" si="88"/>
        <v>Trimestre 12027</v>
      </c>
      <c r="MK182" s="848">
        <v>46447</v>
      </c>
      <c r="ML182" s="1991"/>
      <c r="MM182" s="1991"/>
      <c r="MN182" s="1991"/>
      <c r="MO182" s="1991"/>
      <c r="MP182" s="1991"/>
      <c r="MQ182" s="1991"/>
      <c r="MR182" s="1991"/>
      <c r="MS182" s="1991"/>
      <c r="MT182" s="1991"/>
      <c r="MU182" s="1991"/>
      <c r="MV182" s="1991"/>
      <c r="MW182" s="1991"/>
      <c r="MX182" s="1991"/>
      <c r="MY182" s="1991"/>
      <c r="MZ182" s="1991"/>
      <c r="NA182" s="1991"/>
      <c r="NB182" s="1991"/>
      <c r="NC182" s="1991"/>
      <c r="ND182" s="1991"/>
      <c r="NE182" s="1991"/>
      <c r="NF182" s="1991"/>
      <c r="NG182" s="1991"/>
      <c r="NH182" s="1991"/>
      <c r="NI182" s="1991"/>
      <c r="NJ182" s="1991"/>
      <c r="NK182" s="1991"/>
      <c r="NL182" s="29"/>
    </row>
    <row r="183" spans="1:376">
      <c r="A183" s="41">
        <f t="shared" si="86"/>
        <v>2027</v>
      </c>
      <c r="B183" s="785">
        <v>46539</v>
      </c>
      <c r="C183" s="19"/>
      <c r="D183" s="93"/>
      <c r="E183" s="93"/>
      <c r="F183" s="93"/>
      <c r="G183" s="93"/>
      <c r="H183" s="93"/>
      <c r="I183" s="93"/>
      <c r="J183" s="93"/>
      <c r="K183" s="93"/>
      <c r="L183" s="93"/>
      <c r="M183" s="20"/>
      <c r="N183" s="25"/>
      <c r="O183" s="889">
        <f t="shared" si="85"/>
        <v>2027</v>
      </c>
      <c r="P183" s="29" t="str">
        <f t="shared" si="87"/>
        <v>Trimestre 22027</v>
      </c>
      <c r="Q183" s="848">
        <v>46539</v>
      </c>
      <c r="R183" s="733"/>
      <c r="S183" s="570"/>
      <c r="T183" s="570"/>
      <c r="U183" s="734"/>
      <c r="V183" s="25"/>
      <c r="W183" s="19"/>
      <c r="X183" s="93"/>
      <c r="Y183" s="93"/>
      <c r="Z183" s="93"/>
      <c r="AA183" s="93"/>
      <c r="AB183" s="93"/>
      <c r="AC183" s="93"/>
      <c r="AD183" s="93"/>
      <c r="AE183" s="20"/>
      <c r="AF183" s="25"/>
      <c r="AG183" s="19"/>
      <c r="AH183" s="93"/>
      <c r="AI183" s="93"/>
      <c r="AJ183" s="93"/>
      <c r="AK183" s="93"/>
      <c r="AL183" s="93"/>
      <c r="AM183" s="93"/>
      <c r="AN183" s="20"/>
      <c r="AO183" s="19"/>
      <c r="AP183" s="93"/>
      <c r="AQ183" s="93"/>
      <c r="AR183" s="93"/>
      <c r="AS183" s="20"/>
      <c r="AT183" s="19"/>
      <c r="AU183" s="93"/>
      <c r="AV183" s="20"/>
      <c r="AW183" s="19"/>
      <c r="AX183" s="93"/>
      <c r="AY183" s="93"/>
      <c r="AZ183" s="93"/>
      <c r="BA183" s="93"/>
      <c r="BB183" s="93"/>
      <c r="BC183" s="20"/>
      <c r="BD183" s="19"/>
      <c r="BE183" s="93"/>
      <c r="BF183" s="93"/>
      <c r="BG183" s="93"/>
      <c r="BH183" s="93"/>
      <c r="BI183" s="93"/>
      <c r="BJ183" s="93"/>
      <c r="BK183" s="20"/>
      <c r="BL183" s="19"/>
      <c r="BM183" s="93"/>
      <c r="BN183" s="93"/>
      <c r="BO183" s="93"/>
      <c r="BP183" s="93"/>
      <c r="BQ183" s="20"/>
      <c r="BR183" s="19"/>
      <c r="BS183" s="93"/>
      <c r="BT183" s="93"/>
      <c r="BU183" s="20"/>
      <c r="BV183" s="19"/>
      <c r="BW183" s="93"/>
      <c r="BX183" s="93"/>
      <c r="BY183" s="93"/>
      <c r="BZ183" s="93"/>
      <c r="CA183" s="93"/>
      <c r="CB183" s="20"/>
      <c r="CC183" s="25"/>
      <c r="CD183" s="19"/>
      <c r="CE183" s="93"/>
      <c r="CF183" s="20"/>
      <c r="CG183" s="25"/>
      <c r="CH183" s="19"/>
      <c r="CI183" s="93"/>
      <c r="CJ183" s="93"/>
      <c r="CK183" s="93"/>
      <c r="CL183" s="93"/>
      <c r="CM183" s="93"/>
      <c r="CN183" s="93"/>
      <c r="CO183" s="93"/>
      <c r="CP183" s="93"/>
      <c r="CQ183" s="93"/>
      <c r="CR183" s="214"/>
      <c r="CS183" s="20"/>
      <c r="CT183" s="25"/>
      <c r="CU183" s="19"/>
      <c r="CV183" s="93"/>
      <c r="CW183" s="93"/>
      <c r="CX183" s="93"/>
      <c r="CY183" s="93"/>
      <c r="CZ183" s="93"/>
      <c r="DA183" s="93"/>
      <c r="DB183" s="20"/>
      <c r="DC183" s="25"/>
      <c r="DD183" s="785">
        <v>46539</v>
      </c>
      <c r="DE183" s="19"/>
      <c r="DF183" s="20"/>
      <c r="DG183" s="25"/>
      <c r="DH183" s="19"/>
      <c r="DI183" s="20"/>
      <c r="DJ183" s="25"/>
      <c r="DK183" s="19"/>
      <c r="DL183" s="20"/>
      <c r="DM183" s="19"/>
      <c r="DN183" s="20"/>
      <c r="DO183" s="25"/>
      <c r="DP183" s="19"/>
      <c r="DQ183" s="93"/>
      <c r="DR183" s="20"/>
      <c r="DS183" s="25"/>
      <c r="DT183" s="19"/>
      <c r="DU183" s="93"/>
      <c r="DV183" s="20"/>
      <c r="DW183" s="25"/>
      <c r="DX183" s="19"/>
      <c r="DY183" s="20"/>
      <c r="DZ183" s="25"/>
      <c r="EA183" s="19"/>
      <c r="EB183" s="93"/>
      <c r="EC183" s="93"/>
      <c r="ED183" s="93"/>
      <c r="EE183" s="20"/>
      <c r="EF183" s="25"/>
      <c r="EG183" s="19"/>
      <c r="EH183" s="93"/>
      <c r="EI183" s="93"/>
      <c r="EJ183" s="93"/>
      <c r="EK183" s="20"/>
      <c r="EL183" s="25"/>
      <c r="EM183" s="19"/>
      <c r="EN183" s="93"/>
      <c r="EO183" s="93"/>
      <c r="EP183" s="93"/>
      <c r="EQ183" s="93"/>
      <c r="ER183" s="93"/>
      <c r="ES183" s="93"/>
      <c r="ET183" s="93"/>
      <c r="EU183" s="93"/>
      <c r="EV183" s="20"/>
      <c r="EW183" s="25"/>
      <c r="EX183" s="915"/>
      <c r="EY183" s="916"/>
      <c r="EZ183" s="916"/>
      <c r="FA183" s="916"/>
      <c r="FB183" s="916"/>
      <c r="FC183" s="916"/>
      <c r="FD183" s="916"/>
      <c r="FE183" s="916"/>
      <c r="FF183" s="916"/>
      <c r="FG183" s="917"/>
      <c r="FH183" s="25"/>
      <c r="FI183" s="848">
        <v>46539</v>
      </c>
      <c r="FJ183" s="19"/>
      <c r="FK183" s="93"/>
      <c r="FL183" s="20"/>
      <c r="FM183" s="25"/>
      <c r="FN183" s="19"/>
      <c r="FO183" s="93"/>
      <c r="FP183" s="93"/>
      <c r="FQ183" s="93"/>
      <c r="FR183" s="93"/>
      <c r="FS183" s="93"/>
      <c r="FT183" s="93"/>
      <c r="FU183" s="93"/>
      <c r="FV183" s="93"/>
      <c r="FW183" s="917"/>
      <c r="FX183" s="25"/>
      <c r="FY183" s="916"/>
      <c r="FZ183" s="916"/>
      <c r="GA183" s="916"/>
      <c r="GB183" s="916"/>
      <c r="GC183" s="916"/>
      <c r="GD183" s="916"/>
      <c r="GE183" s="916"/>
      <c r="GF183" s="916"/>
      <c r="GG183" s="916"/>
      <c r="GH183" s="916"/>
      <c r="GI183" s="917"/>
      <c r="GJ183" s="25"/>
      <c r="GK183" s="19"/>
      <c r="GL183" s="20"/>
      <c r="GM183" s="25"/>
      <c r="GN183" s="19"/>
      <c r="GO183" s="20"/>
      <c r="GP183" s="25"/>
      <c r="GQ183" s="19"/>
      <c r="GR183" s="20"/>
      <c r="GS183" s="25"/>
      <c r="GT183" s="848">
        <v>46539</v>
      </c>
      <c r="GU183" s="19"/>
      <c r="GV183" s="93"/>
      <c r="GW183" s="93"/>
      <c r="GX183" s="93"/>
      <c r="GY183" s="93"/>
      <c r="GZ183" s="93"/>
      <c r="HA183" s="93"/>
      <c r="HB183" s="93"/>
      <c r="HC183" s="93"/>
      <c r="HD183" s="93"/>
      <c r="HE183" s="93"/>
      <c r="HF183" s="93"/>
      <c r="HG183" s="93"/>
      <c r="HH183" s="93"/>
      <c r="HI183" s="93"/>
      <c r="HJ183" s="93"/>
      <c r="HK183" s="93"/>
      <c r="HL183" s="93"/>
      <c r="HM183" s="93"/>
      <c r="HN183" s="93"/>
      <c r="HO183" s="93"/>
      <c r="HP183" s="93"/>
      <c r="HQ183" s="93"/>
      <c r="HR183" s="93"/>
      <c r="HS183" s="93"/>
      <c r="HT183" s="93"/>
      <c r="HU183" s="93"/>
      <c r="HV183" s="93"/>
      <c r="HW183" s="93"/>
      <c r="HX183" s="93"/>
      <c r="HY183" s="93"/>
      <c r="HZ183" s="93"/>
      <c r="IA183" s="93"/>
      <c r="IB183" s="93"/>
      <c r="IC183" s="93"/>
      <c r="ID183" s="93"/>
      <c r="IE183" s="93"/>
      <c r="IF183" s="93"/>
      <c r="IG183" s="93"/>
      <c r="IH183" s="93"/>
      <c r="II183" s="93"/>
      <c r="IJ183" s="93"/>
      <c r="IK183" s="93"/>
      <c r="IL183" s="93"/>
      <c r="IM183" s="93"/>
      <c r="IN183" s="93"/>
      <c r="IO183" s="93"/>
      <c r="IP183" s="93"/>
      <c r="IQ183" s="93"/>
      <c r="IR183" s="93"/>
      <c r="IS183" s="93"/>
      <c r="IT183" s="93"/>
      <c r="IU183" s="93"/>
      <c r="IV183" s="93"/>
      <c r="IW183" s="848">
        <v>46539</v>
      </c>
      <c r="IX183" s="93"/>
      <c r="IY183" s="93"/>
      <c r="IZ183" s="93"/>
      <c r="JA183" s="93"/>
      <c r="JB183" s="93"/>
      <c r="JC183" s="93"/>
      <c r="JD183" s="93"/>
      <c r="JE183" s="93"/>
      <c r="JF183" s="93"/>
      <c r="JG183" s="93"/>
      <c r="JH183" s="93"/>
      <c r="JI183" s="93"/>
      <c r="JJ183" s="93"/>
      <c r="JK183" s="93"/>
      <c r="JL183" s="93"/>
      <c r="JM183" s="93"/>
      <c r="JN183" s="93"/>
      <c r="JO183" s="93"/>
      <c r="JP183" s="93"/>
      <c r="JQ183" s="93"/>
      <c r="JR183" s="93"/>
      <c r="JS183" s="93"/>
      <c r="JT183" s="20"/>
      <c r="JU183" s="29"/>
      <c r="JV183" s="19"/>
      <c r="JW183" s="93"/>
      <c r="JX183" s="93"/>
      <c r="JY183" s="93"/>
      <c r="JZ183" s="93"/>
      <c r="KA183" s="93"/>
      <c r="KB183" s="93"/>
      <c r="KC183" s="93"/>
      <c r="KD183" s="93"/>
      <c r="KE183" s="93"/>
      <c r="KF183" s="93"/>
      <c r="KG183" s="93"/>
      <c r="KH183" s="93"/>
      <c r="KI183" s="93"/>
      <c r="KJ183" s="93"/>
      <c r="KK183" s="93"/>
      <c r="KL183" s="93"/>
      <c r="KM183" s="93"/>
      <c r="KN183" s="93"/>
      <c r="KO183" s="93"/>
      <c r="KP183" s="93"/>
      <c r="KQ183" s="93"/>
      <c r="KR183" s="93"/>
      <c r="KS183" s="93"/>
      <c r="KT183" s="93"/>
      <c r="KU183" s="93"/>
      <c r="KV183" s="93"/>
      <c r="KW183" s="20"/>
      <c r="KX183" s="29"/>
      <c r="KY183" s="19"/>
      <c r="KZ183" s="93"/>
      <c r="LA183" s="93"/>
      <c r="LB183" s="93"/>
      <c r="LC183" s="93"/>
      <c r="LD183" s="93"/>
      <c r="LE183" s="93"/>
      <c r="LF183" s="93"/>
      <c r="LG183" s="93"/>
      <c r="LH183" s="93"/>
      <c r="LI183" s="93"/>
      <c r="LJ183" s="93"/>
      <c r="LK183" s="93"/>
      <c r="LL183" s="93"/>
      <c r="LM183" s="93"/>
      <c r="LN183" s="93"/>
      <c r="LO183" s="93"/>
      <c r="LP183" s="93"/>
      <c r="LQ183" s="93"/>
      <c r="LR183" s="93"/>
      <c r="LS183" s="93"/>
      <c r="LT183" s="93"/>
      <c r="LU183" s="93"/>
      <c r="LV183" s="93"/>
      <c r="LW183" s="93"/>
      <c r="LX183" s="93"/>
      <c r="LY183" s="93"/>
      <c r="LZ183" s="93"/>
      <c r="MA183" s="93"/>
      <c r="MB183" s="93"/>
      <c r="MC183" s="93"/>
      <c r="MD183" s="93"/>
      <c r="ME183" s="93"/>
      <c r="MF183" s="93"/>
      <c r="MG183" s="93"/>
      <c r="MH183" s="20"/>
      <c r="MI183" s="29"/>
      <c r="MJ183" s="29" t="str">
        <f t="shared" si="88"/>
        <v>Trimestre 22027</v>
      </c>
      <c r="MK183" s="848">
        <v>46539</v>
      </c>
      <c r="ML183" s="1991"/>
      <c r="MM183" s="1991"/>
      <c r="MN183" s="1991"/>
      <c r="MO183" s="1991"/>
      <c r="MP183" s="1991"/>
      <c r="MQ183" s="1991"/>
      <c r="MR183" s="1991"/>
      <c r="MS183" s="1991"/>
      <c r="MT183" s="1991"/>
      <c r="MU183" s="1991"/>
      <c r="MV183" s="1991"/>
      <c r="MW183" s="1991"/>
      <c r="MX183" s="1991"/>
      <c r="MY183" s="1991"/>
      <c r="MZ183" s="1991"/>
      <c r="NA183" s="1991"/>
      <c r="NB183" s="1991"/>
      <c r="NC183" s="1991"/>
      <c r="ND183" s="1991"/>
      <c r="NE183" s="1991"/>
      <c r="NF183" s="1991"/>
      <c r="NG183" s="1991"/>
      <c r="NH183" s="1991"/>
      <c r="NI183" s="1991"/>
      <c r="NJ183" s="1991"/>
      <c r="NK183" s="1991"/>
      <c r="NL183" s="29"/>
    </row>
    <row r="184" spans="1:376">
      <c r="A184" s="41">
        <f t="shared" si="86"/>
        <v>2027</v>
      </c>
      <c r="B184" s="785">
        <v>46631</v>
      </c>
      <c r="C184" s="19"/>
      <c r="D184" s="93"/>
      <c r="E184" s="93"/>
      <c r="F184" s="93"/>
      <c r="G184" s="93"/>
      <c r="H184" s="93"/>
      <c r="I184" s="93"/>
      <c r="J184" s="93"/>
      <c r="K184" s="93"/>
      <c r="L184" s="93"/>
      <c r="M184" s="20"/>
      <c r="N184" s="25"/>
      <c r="O184" s="889">
        <f t="shared" si="85"/>
        <v>2027</v>
      </c>
      <c r="P184" s="29" t="str">
        <f t="shared" si="87"/>
        <v>Trimestre 32027</v>
      </c>
      <c r="Q184" s="848">
        <v>46631</v>
      </c>
      <c r="R184" s="733"/>
      <c r="S184" s="570"/>
      <c r="T184" s="570"/>
      <c r="U184" s="734"/>
      <c r="V184" s="25"/>
      <c r="W184" s="19"/>
      <c r="X184" s="93"/>
      <c r="Y184" s="93"/>
      <c r="Z184" s="93"/>
      <c r="AA184" s="93"/>
      <c r="AB184" s="93"/>
      <c r="AC184" s="93"/>
      <c r="AD184" s="93"/>
      <c r="AE184" s="20"/>
      <c r="AF184" s="25"/>
      <c r="AG184" s="19"/>
      <c r="AH184" s="93"/>
      <c r="AI184" s="93"/>
      <c r="AJ184" s="93"/>
      <c r="AK184" s="93"/>
      <c r="AL184" s="93"/>
      <c r="AM184" s="93"/>
      <c r="AN184" s="20"/>
      <c r="AO184" s="19"/>
      <c r="AP184" s="93"/>
      <c r="AQ184" s="93"/>
      <c r="AR184" s="93"/>
      <c r="AS184" s="20"/>
      <c r="AT184" s="19"/>
      <c r="AU184" s="93"/>
      <c r="AV184" s="20"/>
      <c r="AW184" s="19"/>
      <c r="AX184" s="93"/>
      <c r="AY184" s="93"/>
      <c r="AZ184" s="93"/>
      <c r="BA184" s="93"/>
      <c r="BB184" s="93"/>
      <c r="BC184" s="20"/>
      <c r="BD184" s="19"/>
      <c r="BE184" s="93"/>
      <c r="BF184" s="93"/>
      <c r="BG184" s="93"/>
      <c r="BH184" s="93"/>
      <c r="BI184" s="93"/>
      <c r="BJ184" s="93"/>
      <c r="BK184" s="20"/>
      <c r="BL184" s="19"/>
      <c r="BM184" s="93"/>
      <c r="BN184" s="93"/>
      <c r="BO184" s="93"/>
      <c r="BP184" s="93"/>
      <c r="BQ184" s="20"/>
      <c r="BR184" s="19"/>
      <c r="BS184" s="93"/>
      <c r="BT184" s="93"/>
      <c r="BU184" s="20"/>
      <c r="BV184" s="19"/>
      <c r="BW184" s="93"/>
      <c r="BX184" s="93"/>
      <c r="BY184" s="93"/>
      <c r="BZ184" s="93"/>
      <c r="CA184" s="93"/>
      <c r="CB184" s="20"/>
      <c r="CC184" s="25"/>
      <c r="CD184" s="19"/>
      <c r="CE184" s="93"/>
      <c r="CF184" s="20"/>
      <c r="CG184" s="25"/>
      <c r="CH184" s="19"/>
      <c r="CI184" s="93"/>
      <c r="CJ184" s="93"/>
      <c r="CK184" s="93"/>
      <c r="CL184" s="93"/>
      <c r="CM184" s="93"/>
      <c r="CN184" s="93"/>
      <c r="CO184" s="93"/>
      <c r="CP184" s="93"/>
      <c r="CQ184" s="93"/>
      <c r="CR184" s="214"/>
      <c r="CS184" s="20"/>
      <c r="CT184" s="25"/>
      <c r="CU184" s="19"/>
      <c r="CV184" s="93"/>
      <c r="CW184" s="93"/>
      <c r="CX184" s="93"/>
      <c r="CY184" s="93"/>
      <c r="CZ184" s="93"/>
      <c r="DA184" s="93"/>
      <c r="DB184" s="20"/>
      <c r="DC184" s="25"/>
      <c r="DD184" s="785">
        <v>46631</v>
      </c>
      <c r="DE184" s="19"/>
      <c r="DF184" s="20"/>
      <c r="DG184" s="25"/>
      <c r="DH184" s="19"/>
      <c r="DI184" s="20"/>
      <c r="DJ184" s="25"/>
      <c r="DK184" s="19"/>
      <c r="DL184" s="20"/>
      <c r="DM184" s="19"/>
      <c r="DN184" s="20"/>
      <c r="DO184" s="25"/>
      <c r="DP184" s="19"/>
      <c r="DQ184" s="93"/>
      <c r="DR184" s="20"/>
      <c r="DS184" s="25"/>
      <c r="DT184" s="19"/>
      <c r="DU184" s="93"/>
      <c r="DV184" s="20"/>
      <c r="DW184" s="25"/>
      <c r="DX184" s="19"/>
      <c r="DY184" s="20"/>
      <c r="DZ184" s="25"/>
      <c r="EA184" s="19"/>
      <c r="EB184" s="93"/>
      <c r="EC184" s="93"/>
      <c r="ED184" s="93"/>
      <c r="EE184" s="20"/>
      <c r="EF184" s="25"/>
      <c r="EG184" s="19"/>
      <c r="EH184" s="93"/>
      <c r="EI184" s="93"/>
      <c r="EJ184" s="93"/>
      <c r="EK184" s="20"/>
      <c r="EL184" s="25"/>
      <c r="EM184" s="19"/>
      <c r="EN184" s="93"/>
      <c r="EO184" s="93"/>
      <c r="EP184" s="93"/>
      <c r="EQ184" s="93"/>
      <c r="ER184" s="93"/>
      <c r="ES184" s="93"/>
      <c r="ET184" s="93"/>
      <c r="EU184" s="93"/>
      <c r="EV184" s="20"/>
      <c r="EW184" s="25"/>
      <c r="EX184" s="915"/>
      <c r="EY184" s="916"/>
      <c r="EZ184" s="916"/>
      <c r="FA184" s="916"/>
      <c r="FB184" s="916"/>
      <c r="FC184" s="916"/>
      <c r="FD184" s="916"/>
      <c r="FE184" s="916"/>
      <c r="FF184" s="916"/>
      <c r="FG184" s="917"/>
      <c r="FH184" s="25"/>
      <c r="FI184" s="848">
        <v>46631</v>
      </c>
      <c r="FJ184" s="19"/>
      <c r="FK184" s="93"/>
      <c r="FL184" s="20"/>
      <c r="FM184" s="25"/>
      <c r="FN184" s="19"/>
      <c r="FO184" s="93"/>
      <c r="FP184" s="93"/>
      <c r="FQ184" s="93"/>
      <c r="FR184" s="93"/>
      <c r="FS184" s="93"/>
      <c r="FT184" s="93"/>
      <c r="FU184" s="93"/>
      <c r="FV184" s="93"/>
      <c r="FW184" s="917"/>
      <c r="FX184" s="25"/>
      <c r="FY184" s="916"/>
      <c r="FZ184" s="916"/>
      <c r="GA184" s="916"/>
      <c r="GB184" s="916"/>
      <c r="GC184" s="916"/>
      <c r="GD184" s="916"/>
      <c r="GE184" s="916"/>
      <c r="GF184" s="916"/>
      <c r="GG184" s="916"/>
      <c r="GH184" s="916"/>
      <c r="GI184" s="917"/>
      <c r="GJ184" s="25"/>
      <c r="GK184" s="19"/>
      <c r="GL184" s="20"/>
      <c r="GM184" s="25"/>
      <c r="GN184" s="19"/>
      <c r="GO184" s="20"/>
      <c r="GP184" s="25"/>
      <c r="GQ184" s="19"/>
      <c r="GR184" s="20"/>
      <c r="GS184" s="25"/>
      <c r="GT184" s="848">
        <v>46631</v>
      </c>
      <c r="GU184" s="19"/>
      <c r="GV184" s="93"/>
      <c r="GW184" s="93"/>
      <c r="GX184" s="93"/>
      <c r="GY184" s="93"/>
      <c r="GZ184" s="93"/>
      <c r="HA184" s="93"/>
      <c r="HB184" s="93"/>
      <c r="HC184" s="93"/>
      <c r="HD184" s="93"/>
      <c r="HE184" s="93"/>
      <c r="HF184" s="93"/>
      <c r="HG184" s="93"/>
      <c r="HH184" s="93"/>
      <c r="HI184" s="93"/>
      <c r="HJ184" s="93"/>
      <c r="HK184" s="93"/>
      <c r="HL184" s="93"/>
      <c r="HM184" s="93"/>
      <c r="HN184" s="93"/>
      <c r="HO184" s="93"/>
      <c r="HP184" s="93"/>
      <c r="HQ184" s="93"/>
      <c r="HR184" s="93"/>
      <c r="HS184" s="93"/>
      <c r="HT184" s="93"/>
      <c r="HU184" s="93"/>
      <c r="HV184" s="93"/>
      <c r="HW184" s="93"/>
      <c r="HX184" s="93"/>
      <c r="HY184" s="93"/>
      <c r="HZ184" s="93"/>
      <c r="IA184" s="93"/>
      <c r="IB184" s="93"/>
      <c r="IC184" s="93"/>
      <c r="ID184" s="93"/>
      <c r="IE184" s="93"/>
      <c r="IF184" s="93"/>
      <c r="IG184" s="93"/>
      <c r="IH184" s="93"/>
      <c r="II184" s="93"/>
      <c r="IJ184" s="93"/>
      <c r="IK184" s="93"/>
      <c r="IL184" s="93"/>
      <c r="IM184" s="93"/>
      <c r="IN184" s="93"/>
      <c r="IO184" s="93"/>
      <c r="IP184" s="93"/>
      <c r="IQ184" s="93"/>
      <c r="IR184" s="93"/>
      <c r="IS184" s="93"/>
      <c r="IT184" s="93"/>
      <c r="IU184" s="93"/>
      <c r="IV184" s="93"/>
      <c r="IW184" s="848">
        <v>46631</v>
      </c>
      <c r="IX184" s="93"/>
      <c r="IY184" s="93"/>
      <c r="IZ184" s="93"/>
      <c r="JA184" s="93"/>
      <c r="JB184" s="93"/>
      <c r="JC184" s="93"/>
      <c r="JD184" s="93"/>
      <c r="JE184" s="93"/>
      <c r="JF184" s="93"/>
      <c r="JG184" s="93"/>
      <c r="JH184" s="93"/>
      <c r="JI184" s="93"/>
      <c r="JJ184" s="93"/>
      <c r="JK184" s="93"/>
      <c r="JL184" s="93"/>
      <c r="JM184" s="93"/>
      <c r="JN184" s="93"/>
      <c r="JO184" s="93"/>
      <c r="JP184" s="93"/>
      <c r="JQ184" s="93"/>
      <c r="JR184" s="93"/>
      <c r="JS184" s="93"/>
      <c r="JT184" s="20"/>
      <c r="JU184" s="29"/>
      <c r="JV184" s="19"/>
      <c r="JW184" s="93"/>
      <c r="JX184" s="93"/>
      <c r="JY184" s="93"/>
      <c r="JZ184" s="93"/>
      <c r="KA184" s="93"/>
      <c r="KB184" s="93"/>
      <c r="KC184" s="93"/>
      <c r="KD184" s="93"/>
      <c r="KE184" s="93"/>
      <c r="KF184" s="93"/>
      <c r="KG184" s="93"/>
      <c r="KH184" s="93"/>
      <c r="KI184" s="93"/>
      <c r="KJ184" s="93"/>
      <c r="KK184" s="93"/>
      <c r="KL184" s="93"/>
      <c r="KM184" s="93"/>
      <c r="KN184" s="93"/>
      <c r="KO184" s="93"/>
      <c r="KP184" s="93"/>
      <c r="KQ184" s="93"/>
      <c r="KR184" s="93"/>
      <c r="KS184" s="93"/>
      <c r="KT184" s="93"/>
      <c r="KU184" s="93"/>
      <c r="KV184" s="93"/>
      <c r="KW184" s="20"/>
      <c r="KX184" s="29"/>
      <c r="KY184" s="19"/>
      <c r="KZ184" s="93"/>
      <c r="LA184" s="93"/>
      <c r="LB184" s="93"/>
      <c r="LC184" s="93"/>
      <c r="LD184" s="93"/>
      <c r="LE184" s="93"/>
      <c r="LF184" s="93"/>
      <c r="LG184" s="93"/>
      <c r="LH184" s="93"/>
      <c r="LI184" s="93"/>
      <c r="LJ184" s="93"/>
      <c r="LK184" s="93"/>
      <c r="LL184" s="93"/>
      <c r="LM184" s="93"/>
      <c r="LN184" s="93"/>
      <c r="LO184" s="93"/>
      <c r="LP184" s="93"/>
      <c r="LQ184" s="93"/>
      <c r="LR184" s="93"/>
      <c r="LS184" s="93"/>
      <c r="LT184" s="93"/>
      <c r="LU184" s="93"/>
      <c r="LV184" s="93"/>
      <c r="LW184" s="93"/>
      <c r="LX184" s="93"/>
      <c r="LY184" s="93"/>
      <c r="LZ184" s="93"/>
      <c r="MA184" s="93"/>
      <c r="MB184" s="93"/>
      <c r="MC184" s="93"/>
      <c r="MD184" s="93"/>
      <c r="ME184" s="93"/>
      <c r="MF184" s="93"/>
      <c r="MG184" s="93"/>
      <c r="MH184" s="20"/>
      <c r="MI184" s="29"/>
      <c r="MJ184" s="29" t="str">
        <f t="shared" si="88"/>
        <v>Trimestre 32027</v>
      </c>
      <c r="MK184" s="848">
        <v>46631</v>
      </c>
      <c r="ML184" s="1991"/>
      <c r="MM184" s="1991"/>
      <c r="MN184" s="1991"/>
      <c r="MO184" s="1991"/>
      <c r="MP184" s="1991"/>
      <c r="MQ184" s="1991"/>
      <c r="MR184" s="1991"/>
      <c r="MS184" s="1991"/>
      <c r="MT184" s="1991"/>
      <c r="MU184" s="1991"/>
      <c r="MV184" s="1991"/>
      <c r="MW184" s="1991"/>
      <c r="MX184" s="1991"/>
      <c r="MY184" s="1991"/>
      <c r="MZ184" s="1991"/>
      <c r="NA184" s="1991"/>
      <c r="NB184" s="1991"/>
      <c r="NC184" s="1991"/>
      <c r="ND184" s="1991"/>
      <c r="NE184" s="1991"/>
      <c r="NF184" s="1991"/>
      <c r="NG184" s="1991"/>
      <c r="NH184" s="1991"/>
      <c r="NI184" s="1991"/>
      <c r="NJ184" s="1991"/>
      <c r="NK184" s="1991"/>
      <c r="NL184" s="29"/>
    </row>
    <row r="185" spans="1:376">
      <c r="A185" s="41">
        <f t="shared" si="86"/>
        <v>2027</v>
      </c>
      <c r="B185" s="785">
        <v>46722</v>
      </c>
      <c r="C185" s="19"/>
      <c r="D185" s="93"/>
      <c r="E185" s="93"/>
      <c r="F185" s="93"/>
      <c r="G185" s="93"/>
      <c r="H185" s="93"/>
      <c r="I185" s="93"/>
      <c r="J185" s="93"/>
      <c r="K185" s="93"/>
      <c r="L185" s="93"/>
      <c r="M185" s="20"/>
      <c r="N185" s="25"/>
      <c r="O185" s="889">
        <f t="shared" si="85"/>
        <v>2027</v>
      </c>
      <c r="P185" s="29" t="str">
        <f t="shared" si="87"/>
        <v>Trimestre 42027</v>
      </c>
      <c r="Q185" s="848">
        <v>46722</v>
      </c>
      <c r="R185" s="733"/>
      <c r="S185" s="570"/>
      <c r="T185" s="570"/>
      <c r="U185" s="734"/>
      <c r="V185" s="25"/>
      <c r="W185" s="19"/>
      <c r="X185" s="93"/>
      <c r="Y185" s="93"/>
      <c r="Z185" s="93"/>
      <c r="AA185" s="93"/>
      <c r="AB185" s="93"/>
      <c r="AC185" s="93"/>
      <c r="AD185" s="93"/>
      <c r="AE185" s="20"/>
      <c r="AF185" s="25"/>
      <c r="AG185" s="19"/>
      <c r="AH185" s="93"/>
      <c r="AI185" s="93"/>
      <c r="AJ185" s="93"/>
      <c r="AK185" s="93"/>
      <c r="AL185" s="93"/>
      <c r="AM185" s="93"/>
      <c r="AN185" s="20"/>
      <c r="AO185" s="19"/>
      <c r="AP185" s="93"/>
      <c r="AQ185" s="93"/>
      <c r="AR185" s="93"/>
      <c r="AS185" s="20"/>
      <c r="AT185" s="19"/>
      <c r="AU185" s="93"/>
      <c r="AV185" s="20"/>
      <c r="AW185" s="19"/>
      <c r="AX185" s="93"/>
      <c r="AY185" s="93"/>
      <c r="AZ185" s="93"/>
      <c r="BA185" s="93"/>
      <c r="BB185" s="93"/>
      <c r="BC185" s="20"/>
      <c r="BD185" s="19"/>
      <c r="BE185" s="93"/>
      <c r="BF185" s="93"/>
      <c r="BG185" s="93"/>
      <c r="BH185" s="93"/>
      <c r="BI185" s="93"/>
      <c r="BJ185" s="93"/>
      <c r="BK185" s="20"/>
      <c r="BL185" s="19"/>
      <c r="BM185" s="93"/>
      <c r="BN185" s="93"/>
      <c r="BO185" s="93"/>
      <c r="BP185" s="93"/>
      <c r="BQ185" s="20"/>
      <c r="BR185" s="19"/>
      <c r="BS185" s="93"/>
      <c r="BT185" s="93"/>
      <c r="BU185" s="20"/>
      <c r="BV185" s="19"/>
      <c r="BW185" s="93"/>
      <c r="BX185" s="93"/>
      <c r="BY185" s="93"/>
      <c r="BZ185" s="93"/>
      <c r="CA185" s="93"/>
      <c r="CB185" s="20"/>
      <c r="CC185" s="25"/>
      <c r="CD185" s="19"/>
      <c r="CE185" s="93"/>
      <c r="CF185" s="20"/>
      <c r="CG185" s="25"/>
      <c r="CH185" s="19"/>
      <c r="CI185" s="93"/>
      <c r="CJ185" s="93"/>
      <c r="CK185" s="93"/>
      <c r="CL185" s="93"/>
      <c r="CM185" s="93"/>
      <c r="CN185" s="93"/>
      <c r="CO185" s="93"/>
      <c r="CP185" s="93"/>
      <c r="CQ185" s="93"/>
      <c r="CR185" s="214"/>
      <c r="CS185" s="20"/>
      <c r="CT185" s="25"/>
      <c r="CU185" s="19"/>
      <c r="CV185" s="93"/>
      <c r="CW185" s="93"/>
      <c r="CX185" s="93"/>
      <c r="CY185" s="93"/>
      <c r="CZ185" s="93"/>
      <c r="DA185" s="93"/>
      <c r="DB185" s="20"/>
      <c r="DC185" s="25"/>
      <c r="DD185" s="785">
        <v>46722</v>
      </c>
      <c r="DE185" s="19"/>
      <c r="DF185" s="20"/>
      <c r="DG185" s="25"/>
      <c r="DH185" s="19"/>
      <c r="DI185" s="20"/>
      <c r="DJ185" s="25"/>
      <c r="DK185" s="19"/>
      <c r="DL185" s="20"/>
      <c r="DM185" s="19"/>
      <c r="DN185" s="20"/>
      <c r="DO185" s="25"/>
      <c r="DP185" s="19"/>
      <c r="DQ185" s="93"/>
      <c r="DR185" s="20"/>
      <c r="DS185" s="25"/>
      <c r="DT185" s="19"/>
      <c r="DU185" s="93"/>
      <c r="DV185" s="20"/>
      <c r="DW185" s="25"/>
      <c r="DX185" s="19"/>
      <c r="DY185" s="20"/>
      <c r="DZ185" s="25"/>
      <c r="EA185" s="19"/>
      <c r="EB185" s="93"/>
      <c r="EC185" s="93"/>
      <c r="ED185" s="93"/>
      <c r="EE185" s="20"/>
      <c r="EF185" s="25"/>
      <c r="EG185" s="19"/>
      <c r="EH185" s="93"/>
      <c r="EI185" s="93"/>
      <c r="EJ185" s="93"/>
      <c r="EK185" s="20"/>
      <c r="EL185" s="25"/>
      <c r="EM185" s="19"/>
      <c r="EN185" s="93"/>
      <c r="EO185" s="93"/>
      <c r="EP185" s="93"/>
      <c r="EQ185" s="93"/>
      <c r="ER185" s="93"/>
      <c r="ES185" s="93"/>
      <c r="ET185" s="93"/>
      <c r="EU185" s="93"/>
      <c r="EV185" s="20"/>
      <c r="EW185" s="25"/>
      <c r="EX185" s="915"/>
      <c r="EY185" s="916"/>
      <c r="EZ185" s="916"/>
      <c r="FA185" s="916"/>
      <c r="FB185" s="916"/>
      <c r="FC185" s="916"/>
      <c r="FD185" s="916"/>
      <c r="FE185" s="916"/>
      <c r="FF185" s="916"/>
      <c r="FG185" s="917"/>
      <c r="FH185" s="25"/>
      <c r="FI185" s="848">
        <v>46722</v>
      </c>
      <c r="FJ185" s="19"/>
      <c r="FK185" s="93"/>
      <c r="FL185" s="20"/>
      <c r="FM185" s="25"/>
      <c r="FN185" s="19"/>
      <c r="FO185" s="93"/>
      <c r="FP185" s="93"/>
      <c r="FQ185" s="93"/>
      <c r="FR185" s="93"/>
      <c r="FS185" s="93"/>
      <c r="FT185" s="93"/>
      <c r="FU185" s="93"/>
      <c r="FV185" s="93"/>
      <c r="FW185" s="917"/>
      <c r="FX185" s="25"/>
      <c r="FY185" s="916"/>
      <c r="FZ185" s="916"/>
      <c r="GA185" s="916"/>
      <c r="GB185" s="916"/>
      <c r="GC185" s="916"/>
      <c r="GD185" s="916"/>
      <c r="GE185" s="916"/>
      <c r="GF185" s="916"/>
      <c r="GG185" s="916"/>
      <c r="GH185" s="916"/>
      <c r="GI185" s="917"/>
      <c r="GJ185" s="25"/>
      <c r="GK185" s="19"/>
      <c r="GL185" s="20"/>
      <c r="GM185" s="25"/>
      <c r="GN185" s="19"/>
      <c r="GO185" s="20"/>
      <c r="GP185" s="25"/>
      <c r="GQ185" s="19"/>
      <c r="GR185" s="20"/>
      <c r="GS185" s="25"/>
      <c r="GT185" s="848">
        <v>46722</v>
      </c>
      <c r="GU185" s="19"/>
      <c r="GV185" s="93"/>
      <c r="GW185" s="93"/>
      <c r="GX185" s="93"/>
      <c r="GY185" s="93"/>
      <c r="GZ185" s="93"/>
      <c r="HA185" s="93"/>
      <c r="HB185" s="93"/>
      <c r="HC185" s="93"/>
      <c r="HD185" s="93"/>
      <c r="HE185" s="93"/>
      <c r="HF185" s="93"/>
      <c r="HG185" s="93"/>
      <c r="HH185" s="93"/>
      <c r="HI185" s="93"/>
      <c r="HJ185" s="93"/>
      <c r="HK185" s="93"/>
      <c r="HL185" s="93"/>
      <c r="HM185" s="93"/>
      <c r="HN185" s="93"/>
      <c r="HO185" s="93"/>
      <c r="HP185" s="93"/>
      <c r="HQ185" s="93"/>
      <c r="HR185" s="93"/>
      <c r="HS185" s="93"/>
      <c r="HT185" s="93"/>
      <c r="HU185" s="93"/>
      <c r="HV185" s="93"/>
      <c r="HW185" s="93"/>
      <c r="HX185" s="93"/>
      <c r="HY185" s="93"/>
      <c r="HZ185" s="93"/>
      <c r="IA185" s="93"/>
      <c r="IB185" s="93"/>
      <c r="IC185" s="93"/>
      <c r="ID185" s="93"/>
      <c r="IE185" s="93"/>
      <c r="IF185" s="93"/>
      <c r="IG185" s="93"/>
      <c r="IH185" s="93"/>
      <c r="II185" s="93"/>
      <c r="IJ185" s="93"/>
      <c r="IK185" s="93"/>
      <c r="IL185" s="93"/>
      <c r="IM185" s="93"/>
      <c r="IN185" s="93"/>
      <c r="IO185" s="93"/>
      <c r="IP185" s="93"/>
      <c r="IQ185" s="93"/>
      <c r="IR185" s="93"/>
      <c r="IS185" s="93"/>
      <c r="IT185" s="93"/>
      <c r="IU185" s="93"/>
      <c r="IV185" s="93"/>
      <c r="IW185" s="848">
        <v>46722</v>
      </c>
      <c r="IX185" s="93"/>
      <c r="IY185" s="93"/>
      <c r="IZ185" s="93"/>
      <c r="JA185" s="93"/>
      <c r="JB185" s="93"/>
      <c r="JC185" s="93"/>
      <c r="JD185" s="93"/>
      <c r="JE185" s="93"/>
      <c r="JF185" s="93"/>
      <c r="JG185" s="93"/>
      <c r="JH185" s="93"/>
      <c r="JI185" s="93"/>
      <c r="JJ185" s="93"/>
      <c r="JK185" s="93"/>
      <c r="JL185" s="93"/>
      <c r="JM185" s="93"/>
      <c r="JN185" s="93"/>
      <c r="JO185" s="93"/>
      <c r="JP185" s="93"/>
      <c r="JQ185" s="93"/>
      <c r="JR185" s="93"/>
      <c r="JS185" s="93"/>
      <c r="JT185" s="20"/>
      <c r="JU185" s="29"/>
      <c r="JV185" s="19"/>
      <c r="JW185" s="93"/>
      <c r="JX185" s="93"/>
      <c r="JY185" s="93"/>
      <c r="JZ185" s="93"/>
      <c r="KA185" s="93"/>
      <c r="KB185" s="93"/>
      <c r="KC185" s="93"/>
      <c r="KD185" s="93"/>
      <c r="KE185" s="93"/>
      <c r="KF185" s="93"/>
      <c r="KG185" s="93"/>
      <c r="KH185" s="93"/>
      <c r="KI185" s="93"/>
      <c r="KJ185" s="93"/>
      <c r="KK185" s="93"/>
      <c r="KL185" s="93"/>
      <c r="KM185" s="93"/>
      <c r="KN185" s="93"/>
      <c r="KO185" s="93"/>
      <c r="KP185" s="93"/>
      <c r="KQ185" s="93"/>
      <c r="KR185" s="93"/>
      <c r="KS185" s="93"/>
      <c r="KT185" s="93"/>
      <c r="KU185" s="93"/>
      <c r="KV185" s="93"/>
      <c r="KW185" s="20"/>
      <c r="KX185" s="29"/>
      <c r="KY185" s="19"/>
      <c r="KZ185" s="93"/>
      <c r="LA185" s="93"/>
      <c r="LB185" s="93"/>
      <c r="LC185" s="93"/>
      <c r="LD185" s="93"/>
      <c r="LE185" s="93"/>
      <c r="LF185" s="93"/>
      <c r="LG185" s="93"/>
      <c r="LH185" s="93"/>
      <c r="LI185" s="93"/>
      <c r="LJ185" s="93"/>
      <c r="LK185" s="93"/>
      <c r="LL185" s="93"/>
      <c r="LM185" s="93"/>
      <c r="LN185" s="93"/>
      <c r="LO185" s="93"/>
      <c r="LP185" s="93"/>
      <c r="LQ185" s="93"/>
      <c r="LR185" s="93"/>
      <c r="LS185" s="93"/>
      <c r="LT185" s="93"/>
      <c r="LU185" s="93"/>
      <c r="LV185" s="93"/>
      <c r="LW185" s="93"/>
      <c r="LX185" s="93"/>
      <c r="LY185" s="93"/>
      <c r="LZ185" s="93"/>
      <c r="MA185" s="93"/>
      <c r="MB185" s="93"/>
      <c r="MC185" s="93"/>
      <c r="MD185" s="93"/>
      <c r="ME185" s="93"/>
      <c r="MF185" s="93"/>
      <c r="MG185" s="93"/>
      <c r="MH185" s="20"/>
      <c r="MI185" s="29"/>
      <c r="MJ185" s="29" t="str">
        <f t="shared" si="88"/>
        <v>Trimestre 42027</v>
      </c>
      <c r="MK185" s="848">
        <v>46722</v>
      </c>
      <c r="ML185" s="1991"/>
      <c r="MM185" s="1991"/>
      <c r="MN185" s="1991"/>
      <c r="MO185" s="1991"/>
      <c r="MP185" s="1991"/>
      <c r="MQ185" s="1991"/>
      <c r="MR185" s="1991"/>
      <c r="MS185" s="1991"/>
      <c r="MT185" s="1991"/>
      <c r="MU185" s="1991"/>
      <c r="MV185" s="1991"/>
      <c r="MW185" s="1991"/>
      <c r="MX185" s="1991"/>
      <c r="MY185" s="1991"/>
      <c r="MZ185" s="1991"/>
      <c r="NA185" s="1991"/>
      <c r="NB185" s="1991"/>
      <c r="NC185" s="1991"/>
      <c r="ND185" s="1991"/>
      <c r="NE185" s="1991"/>
      <c r="NF185" s="1991"/>
      <c r="NG185" s="1991"/>
      <c r="NH185" s="1991"/>
      <c r="NI185" s="1991"/>
      <c r="NJ185" s="1991"/>
      <c r="NK185" s="1991"/>
      <c r="NL185" s="29"/>
    </row>
    <row r="186" spans="1:376">
      <c r="A186" s="41">
        <f t="shared" si="86"/>
        <v>2028</v>
      </c>
      <c r="B186" s="785">
        <v>46813</v>
      </c>
      <c r="C186" s="19"/>
      <c r="D186" s="93"/>
      <c r="E186" s="93"/>
      <c r="F186" s="93"/>
      <c r="G186" s="93"/>
      <c r="H186" s="93"/>
      <c r="I186" s="93"/>
      <c r="J186" s="93"/>
      <c r="K186" s="93"/>
      <c r="L186" s="93"/>
      <c r="M186" s="20"/>
      <c r="N186" s="25"/>
      <c r="O186" s="889">
        <f t="shared" si="85"/>
        <v>2028</v>
      </c>
      <c r="P186" s="29" t="str">
        <f t="shared" si="87"/>
        <v>Trimestre 12028</v>
      </c>
      <c r="Q186" s="848">
        <v>46813</v>
      </c>
      <c r="R186" s="733"/>
      <c r="S186" s="570"/>
      <c r="T186" s="570"/>
      <c r="U186" s="734"/>
      <c r="V186" s="25"/>
      <c r="W186" s="19"/>
      <c r="X186" s="93"/>
      <c r="Y186" s="93"/>
      <c r="Z186" s="93"/>
      <c r="AA186" s="93"/>
      <c r="AB186" s="93"/>
      <c r="AC186" s="93"/>
      <c r="AD186" s="93"/>
      <c r="AE186" s="20"/>
      <c r="AF186" s="25"/>
      <c r="AG186" s="19"/>
      <c r="AH186" s="93"/>
      <c r="AI186" s="93"/>
      <c r="AJ186" s="93"/>
      <c r="AK186" s="93"/>
      <c r="AL186" s="93"/>
      <c r="AM186" s="93"/>
      <c r="AN186" s="20"/>
      <c r="AO186" s="19"/>
      <c r="AP186" s="93"/>
      <c r="AQ186" s="93"/>
      <c r="AR186" s="93"/>
      <c r="AS186" s="20"/>
      <c r="AT186" s="19"/>
      <c r="AU186" s="93"/>
      <c r="AV186" s="20"/>
      <c r="AW186" s="19"/>
      <c r="AX186" s="93"/>
      <c r="AY186" s="93"/>
      <c r="AZ186" s="93"/>
      <c r="BA186" s="93"/>
      <c r="BB186" s="93"/>
      <c r="BC186" s="20"/>
      <c r="BD186" s="19"/>
      <c r="BE186" s="93"/>
      <c r="BF186" s="93"/>
      <c r="BG186" s="93"/>
      <c r="BH186" s="93"/>
      <c r="BI186" s="93"/>
      <c r="BJ186" s="93"/>
      <c r="BK186" s="20"/>
      <c r="BL186" s="19"/>
      <c r="BM186" s="93"/>
      <c r="BN186" s="93"/>
      <c r="BO186" s="93"/>
      <c r="BP186" s="93"/>
      <c r="BQ186" s="20"/>
      <c r="BR186" s="19"/>
      <c r="BS186" s="93"/>
      <c r="BT186" s="93"/>
      <c r="BU186" s="20"/>
      <c r="BV186" s="19"/>
      <c r="BW186" s="93"/>
      <c r="BX186" s="93"/>
      <c r="BY186" s="93"/>
      <c r="BZ186" s="93"/>
      <c r="CA186" s="93"/>
      <c r="CB186" s="20"/>
      <c r="CC186" s="25"/>
      <c r="CD186" s="19"/>
      <c r="CE186" s="93"/>
      <c r="CF186" s="20"/>
      <c r="CG186" s="25"/>
      <c r="CH186" s="19"/>
      <c r="CI186" s="93"/>
      <c r="CJ186" s="93"/>
      <c r="CK186" s="93"/>
      <c r="CL186" s="93"/>
      <c r="CM186" s="93"/>
      <c r="CN186" s="93"/>
      <c r="CO186" s="93"/>
      <c r="CP186" s="93"/>
      <c r="CQ186" s="93"/>
      <c r="CR186" s="214"/>
      <c r="CS186" s="20"/>
      <c r="CT186" s="25"/>
      <c r="CU186" s="19"/>
      <c r="CV186" s="93"/>
      <c r="CW186" s="93"/>
      <c r="CX186" s="93"/>
      <c r="CY186" s="93"/>
      <c r="CZ186" s="93"/>
      <c r="DA186" s="93"/>
      <c r="DB186" s="20"/>
      <c r="DC186" s="25"/>
      <c r="DD186" s="785">
        <v>46813</v>
      </c>
      <c r="DE186" s="19"/>
      <c r="DF186" s="20"/>
      <c r="DG186" s="25"/>
      <c r="DH186" s="19"/>
      <c r="DI186" s="20"/>
      <c r="DJ186" s="25"/>
      <c r="DK186" s="19"/>
      <c r="DL186" s="20"/>
      <c r="DM186" s="19"/>
      <c r="DN186" s="20"/>
      <c r="DO186" s="25"/>
      <c r="DP186" s="19"/>
      <c r="DQ186" s="93"/>
      <c r="DR186" s="20"/>
      <c r="DS186" s="25"/>
      <c r="DT186" s="19"/>
      <c r="DU186" s="93"/>
      <c r="DV186" s="20"/>
      <c r="DW186" s="25"/>
      <c r="DX186" s="19"/>
      <c r="DY186" s="20"/>
      <c r="DZ186" s="25"/>
      <c r="EA186" s="19"/>
      <c r="EB186" s="93"/>
      <c r="EC186" s="93"/>
      <c r="ED186" s="93"/>
      <c r="EE186" s="20"/>
      <c r="EF186" s="25"/>
      <c r="EG186" s="19"/>
      <c r="EH186" s="93"/>
      <c r="EI186" s="93"/>
      <c r="EJ186" s="93"/>
      <c r="EK186" s="20"/>
      <c r="EL186" s="25"/>
      <c r="EM186" s="19"/>
      <c r="EN186" s="93"/>
      <c r="EO186" s="93"/>
      <c r="EP186" s="93"/>
      <c r="EQ186" s="93"/>
      <c r="ER186" s="93"/>
      <c r="ES186" s="93"/>
      <c r="ET186" s="93"/>
      <c r="EU186" s="93"/>
      <c r="EV186" s="20"/>
      <c r="EW186" s="25"/>
      <c r="EX186" s="915"/>
      <c r="EY186" s="916"/>
      <c r="EZ186" s="916"/>
      <c r="FA186" s="916"/>
      <c r="FB186" s="916"/>
      <c r="FC186" s="916"/>
      <c r="FD186" s="916"/>
      <c r="FE186" s="916"/>
      <c r="FF186" s="916"/>
      <c r="FG186" s="917"/>
      <c r="FH186" s="25"/>
      <c r="FI186" s="848">
        <v>46813</v>
      </c>
      <c r="FJ186" s="19"/>
      <c r="FK186" s="93"/>
      <c r="FL186" s="20"/>
      <c r="FM186" s="25"/>
      <c r="FN186" s="19"/>
      <c r="FO186" s="93"/>
      <c r="FP186" s="93"/>
      <c r="FQ186" s="93"/>
      <c r="FR186" s="93"/>
      <c r="FS186" s="93"/>
      <c r="FT186" s="93"/>
      <c r="FU186" s="93"/>
      <c r="FV186" s="93"/>
      <c r="FW186" s="917"/>
      <c r="FX186" s="25"/>
      <c r="FY186" s="916"/>
      <c r="FZ186" s="916"/>
      <c r="GA186" s="916"/>
      <c r="GB186" s="916"/>
      <c r="GC186" s="916"/>
      <c r="GD186" s="916"/>
      <c r="GE186" s="916"/>
      <c r="GF186" s="916"/>
      <c r="GG186" s="916"/>
      <c r="GH186" s="916"/>
      <c r="GI186" s="917"/>
      <c r="GJ186" s="25"/>
      <c r="GK186" s="19"/>
      <c r="GL186" s="20"/>
      <c r="GM186" s="25"/>
      <c r="GN186" s="19"/>
      <c r="GO186" s="20"/>
      <c r="GP186" s="25"/>
      <c r="GQ186" s="19"/>
      <c r="GR186" s="20"/>
      <c r="GS186" s="25"/>
      <c r="GT186" s="848">
        <v>46813</v>
      </c>
      <c r="GU186" s="19"/>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848">
        <v>46813</v>
      </c>
      <c r="IX186" s="93"/>
      <c r="IY186" s="93"/>
      <c r="IZ186" s="93"/>
      <c r="JA186" s="93"/>
      <c r="JB186" s="93"/>
      <c r="JC186" s="93"/>
      <c r="JD186" s="93"/>
      <c r="JE186" s="93"/>
      <c r="JF186" s="93"/>
      <c r="JG186" s="93"/>
      <c r="JH186" s="93"/>
      <c r="JI186" s="93"/>
      <c r="JJ186" s="93"/>
      <c r="JK186" s="93"/>
      <c r="JL186" s="93"/>
      <c r="JM186" s="93"/>
      <c r="JN186" s="93"/>
      <c r="JO186" s="93"/>
      <c r="JP186" s="93"/>
      <c r="JQ186" s="93"/>
      <c r="JR186" s="93"/>
      <c r="JS186" s="93"/>
      <c r="JT186" s="20"/>
      <c r="JU186" s="29"/>
      <c r="JV186" s="19"/>
      <c r="JW186" s="93"/>
      <c r="JX186" s="93"/>
      <c r="JY186" s="93"/>
      <c r="JZ186" s="93"/>
      <c r="KA186" s="93"/>
      <c r="KB186" s="93"/>
      <c r="KC186" s="93"/>
      <c r="KD186" s="93"/>
      <c r="KE186" s="93"/>
      <c r="KF186" s="93"/>
      <c r="KG186" s="93"/>
      <c r="KH186" s="93"/>
      <c r="KI186" s="93"/>
      <c r="KJ186" s="93"/>
      <c r="KK186" s="93"/>
      <c r="KL186" s="93"/>
      <c r="KM186" s="93"/>
      <c r="KN186" s="93"/>
      <c r="KO186" s="93"/>
      <c r="KP186" s="93"/>
      <c r="KQ186" s="93"/>
      <c r="KR186" s="93"/>
      <c r="KS186" s="93"/>
      <c r="KT186" s="93"/>
      <c r="KU186" s="93"/>
      <c r="KV186" s="93"/>
      <c r="KW186" s="20"/>
      <c r="KX186" s="29"/>
      <c r="KY186" s="19"/>
      <c r="KZ186" s="93"/>
      <c r="LA186" s="93"/>
      <c r="LB186" s="93"/>
      <c r="LC186" s="93"/>
      <c r="LD186" s="93"/>
      <c r="LE186" s="93"/>
      <c r="LF186" s="93"/>
      <c r="LG186" s="93"/>
      <c r="LH186" s="93"/>
      <c r="LI186" s="93"/>
      <c r="LJ186" s="93"/>
      <c r="LK186" s="93"/>
      <c r="LL186" s="93"/>
      <c r="LM186" s="93"/>
      <c r="LN186" s="93"/>
      <c r="LO186" s="93"/>
      <c r="LP186" s="93"/>
      <c r="LQ186" s="93"/>
      <c r="LR186" s="93"/>
      <c r="LS186" s="93"/>
      <c r="LT186" s="93"/>
      <c r="LU186" s="93"/>
      <c r="LV186" s="93"/>
      <c r="LW186" s="93"/>
      <c r="LX186" s="93"/>
      <c r="LY186" s="93"/>
      <c r="LZ186" s="93"/>
      <c r="MA186" s="93"/>
      <c r="MB186" s="93"/>
      <c r="MC186" s="93"/>
      <c r="MD186" s="93"/>
      <c r="ME186" s="93"/>
      <c r="MF186" s="93"/>
      <c r="MG186" s="93"/>
      <c r="MH186" s="20"/>
      <c r="MI186" s="29"/>
      <c r="MJ186" s="29" t="str">
        <f t="shared" si="88"/>
        <v>Trimestre 12028</v>
      </c>
      <c r="MK186" s="848">
        <v>46813</v>
      </c>
      <c r="ML186" s="1991"/>
      <c r="MM186" s="1991"/>
      <c r="MN186" s="1991"/>
      <c r="MO186" s="1991"/>
      <c r="MP186" s="1991"/>
      <c r="MQ186" s="1991"/>
      <c r="MR186" s="1991"/>
      <c r="MS186" s="1991"/>
      <c r="MT186" s="1991"/>
      <c r="MU186" s="1991"/>
      <c r="MV186" s="1991"/>
      <c r="MW186" s="1991"/>
      <c r="MX186" s="1991"/>
      <c r="MY186" s="1991"/>
      <c r="MZ186" s="1991"/>
      <c r="NA186" s="1991"/>
      <c r="NB186" s="1991"/>
      <c r="NC186" s="1991"/>
      <c r="ND186" s="1991"/>
      <c r="NE186" s="1991"/>
      <c r="NF186" s="1991"/>
      <c r="NG186" s="1991"/>
      <c r="NH186" s="1991"/>
      <c r="NI186" s="1991"/>
      <c r="NJ186" s="1991"/>
      <c r="NK186" s="1991"/>
      <c r="NL186" s="29"/>
    </row>
    <row r="187" spans="1:376">
      <c r="A187" s="41">
        <f t="shared" si="86"/>
        <v>2028</v>
      </c>
      <c r="B187" s="785">
        <v>46905</v>
      </c>
      <c r="C187" s="19"/>
      <c r="D187" s="93"/>
      <c r="E187" s="93"/>
      <c r="F187" s="93"/>
      <c r="G187" s="93"/>
      <c r="H187" s="93"/>
      <c r="I187" s="93"/>
      <c r="J187" s="93"/>
      <c r="K187" s="93"/>
      <c r="L187" s="93"/>
      <c r="M187" s="20"/>
      <c r="N187" s="25"/>
      <c r="O187" s="889">
        <f t="shared" si="85"/>
        <v>2028</v>
      </c>
      <c r="P187" s="29" t="str">
        <f t="shared" si="87"/>
        <v>Trimestre 22028</v>
      </c>
      <c r="Q187" s="848">
        <v>46905</v>
      </c>
      <c r="R187" s="733"/>
      <c r="S187" s="570"/>
      <c r="T187" s="570"/>
      <c r="U187" s="734"/>
      <c r="V187" s="25"/>
      <c r="W187" s="19"/>
      <c r="X187" s="93"/>
      <c r="Y187" s="93"/>
      <c r="Z187" s="93"/>
      <c r="AA187" s="93"/>
      <c r="AB187" s="93"/>
      <c r="AC187" s="93"/>
      <c r="AD187" s="93"/>
      <c r="AE187" s="20"/>
      <c r="AF187" s="25"/>
      <c r="AG187" s="19"/>
      <c r="AH187" s="93"/>
      <c r="AI187" s="93"/>
      <c r="AJ187" s="93"/>
      <c r="AK187" s="93"/>
      <c r="AL187" s="93"/>
      <c r="AM187" s="93"/>
      <c r="AN187" s="20"/>
      <c r="AO187" s="19"/>
      <c r="AP187" s="93"/>
      <c r="AQ187" s="93"/>
      <c r="AR187" s="93"/>
      <c r="AS187" s="20"/>
      <c r="AT187" s="19"/>
      <c r="AU187" s="93"/>
      <c r="AV187" s="20"/>
      <c r="AW187" s="19"/>
      <c r="AX187" s="93"/>
      <c r="AY187" s="93"/>
      <c r="AZ187" s="93"/>
      <c r="BA187" s="93"/>
      <c r="BB187" s="93"/>
      <c r="BC187" s="20"/>
      <c r="BD187" s="19"/>
      <c r="BE187" s="93"/>
      <c r="BF187" s="93"/>
      <c r="BG187" s="93"/>
      <c r="BH187" s="93"/>
      <c r="BI187" s="93"/>
      <c r="BJ187" s="93"/>
      <c r="BK187" s="20"/>
      <c r="BL187" s="19"/>
      <c r="BM187" s="93"/>
      <c r="BN187" s="93"/>
      <c r="BO187" s="93"/>
      <c r="BP187" s="93"/>
      <c r="BQ187" s="20"/>
      <c r="BR187" s="19"/>
      <c r="BS187" s="93"/>
      <c r="BT187" s="93"/>
      <c r="BU187" s="20"/>
      <c r="BV187" s="19"/>
      <c r="BW187" s="93"/>
      <c r="BX187" s="93"/>
      <c r="BY187" s="93"/>
      <c r="BZ187" s="93"/>
      <c r="CA187" s="93"/>
      <c r="CB187" s="20"/>
      <c r="CC187" s="25"/>
      <c r="CD187" s="19"/>
      <c r="CE187" s="93"/>
      <c r="CF187" s="20"/>
      <c r="CG187" s="25"/>
      <c r="CH187" s="19"/>
      <c r="CI187" s="93"/>
      <c r="CJ187" s="93"/>
      <c r="CK187" s="93"/>
      <c r="CL187" s="93"/>
      <c r="CM187" s="93"/>
      <c r="CN187" s="93"/>
      <c r="CO187" s="93"/>
      <c r="CP187" s="93"/>
      <c r="CQ187" s="93"/>
      <c r="CR187" s="214"/>
      <c r="CS187" s="20"/>
      <c r="CT187" s="25"/>
      <c r="CU187" s="19"/>
      <c r="CV187" s="93"/>
      <c r="CW187" s="93"/>
      <c r="CX187" s="93"/>
      <c r="CY187" s="93"/>
      <c r="CZ187" s="93"/>
      <c r="DA187" s="93"/>
      <c r="DB187" s="20"/>
      <c r="DC187" s="25"/>
      <c r="DD187" s="785">
        <v>46905</v>
      </c>
      <c r="DE187" s="19"/>
      <c r="DF187" s="20"/>
      <c r="DG187" s="25"/>
      <c r="DH187" s="19"/>
      <c r="DI187" s="20"/>
      <c r="DJ187" s="25"/>
      <c r="DK187" s="19"/>
      <c r="DL187" s="20"/>
      <c r="DM187" s="19"/>
      <c r="DN187" s="20"/>
      <c r="DO187" s="25"/>
      <c r="DP187" s="19"/>
      <c r="DQ187" s="93"/>
      <c r="DR187" s="20"/>
      <c r="DS187" s="25"/>
      <c r="DT187" s="19"/>
      <c r="DU187" s="93"/>
      <c r="DV187" s="20"/>
      <c r="DW187" s="25"/>
      <c r="DX187" s="19"/>
      <c r="DY187" s="20"/>
      <c r="DZ187" s="25"/>
      <c r="EA187" s="19"/>
      <c r="EB187" s="93"/>
      <c r="EC187" s="93"/>
      <c r="ED187" s="93"/>
      <c r="EE187" s="20"/>
      <c r="EF187" s="25"/>
      <c r="EG187" s="19"/>
      <c r="EH187" s="93"/>
      <c r="EI187" s="93"/>
      <c r="EJ187" s="93"/>
      <c r="EK187" s="20"/>
      <c r="EL187" s="25"/>
      <c r="EM187" s="19"/>
      <c r="EN187" s="93"/>
      <c r="EO187" s="93"/>
      <c r="EP187" s="93"/>
      <c r="EQ187" s="93"/>
      <c r="ER187" s="93"/>
      <c r="ES187" s="93"/>
      <c r="ET187" s="93"/>
      <c r="EU187" s="93"/>
      <c r="EV187" s="20"/>
      <c r="EW187" s="25"/>
      <c r="EX187" s="915"/>
      <c r="EY187" s="916"/>
      <c r="EZ187" s="916"/>
      <c r="FA187" s="916"/>
      <c r="FB187" s="916"/>
      <c r="FC187" s="916"/>
      <c r="FD187" s="916"/>
      <c r="FE187" s="916"/>
      <c r="FF187" s="916"/>
      <c r="FG187" s="917"/>
      <c r="FH187" s="25"/>
      <c r="FI187" s="848">
        <v>46905</v>
      </c>
      <c r="FJ187" s="19"/>
      <c r="FK187" s="93"/>
      <c r="FL187" s="20"/>
      <c r="FM187" s="25"/>
      <c r="FN187" s="19"/>
      <c r="FO187" s="93"/>
      <c r="FP187" s="93"/>
      <c r="FQ187" s="93"/>
      <c r="FR187" s="93"/>
      <c r="FS187" s="93"/>
      <c r="FT187" s="93"/>
      <c r="FU187" s="93"/>
      <c r="FV187" s="93"/>
      <c r="FW187" s="917"/>
      <c r="FX187" s="25"/>
      <c r="FY187" s="916"/>
      <c r="FZ187" s="916"/>
      <c r="GA187" s="916"/>
      <c r="GB187" s="916"/>
      <c r="GC187" s="916"/>
      <c r="GD187" s="916"/>
      <c r="GE187" s="916"/>
      <c r="GF187" s="916"/>
      <c r="GG187" s="916"/>
      <c r="GH187" s="916"/>
      <c r="GI187" s="917"/>
      <c r="GJ187" s="25"/>
      <c r="GK187" s="19"/>
      <c r="GL187" s="20"/>
      <c r="GM187" s="25"/>
      <c r="GN187" s="19"/>
      <c r="GO187" s="20"/>
      <c r="GP187" s="25"/>
      <c r="GQ187" s="19"/>
      <c r="GR187" s="20"/>
      <c r="GS187" s="25"/>
      <c r="GT187" s="848">
        <v>46905</v>
      </c>
      <c r="GU187" s="19"/>
      <c r="GV187" s="93"/>
      <c r="GW187" s="93"/>
      <c r="GX187" s="93"/>
      <c r="GY187" s="93"/>
      <c r="GZ187" s="93"/>
      <c r="HA187" s="93"/>
      <c r="HB187" s="93"/>
      <c r="HC187" s="93"/>
      <c r="HD187" s="93"/>
      <c r="HE187" s="93"/>
      <c r="HF187" s="93"/>
      <c r="HG187" s="93"/>
      <c r="HH187" s="93"/>
      <c r="HI187" s="93"/>
      <c r="HJ187" s="93"/>
      <c r="HK187" s="93"/>
      <c r="HL187" s="93"/>
      <c r="HM187" s="93"/>
      <c r="HN187" s="93"/>
      <c r="HO187" s="93"/>
      <c r="HP187" s="93"/>
      <c r="HQ187" s="93"/>
      <c r="HR187" s="93"/>
      <c r="HS187" s="93"/>
      <c r="HT187" s="93"/>
      <c r="HU187" s="93"/>
      <c r="HV187" s="93"/>
      <c r="HW187" s="93"/>
      <c r="HX187" s="93"/>
      <c r="HY187" s="93"/>
      <c r="HZ187" s="93"/>
      <c r="IA187" s="93"/>
      <c r="IB187" s="93"/>
      <c r="IC187" s="93"/>
      <c r="ID187" s="93"/>
      <c r="IE187" s="93"/>
      <c r="IF187" s="93"/>
      <c r="IG187" s="93"/>
      <c r="IH187" s="93"/>
      <c r="II187" s="93"/>
      <c r="IJ187" s="93"/>
      <c r="IK187" s="93"/>
      <c r="IL187" s="93"/>
      <c r="IM187" s="93"/>
      <c r="IN187" s="93"/>
      <c r="IO187" s="93"/>
      <c r="IP187" s="93"/>
      <c r="IQ187" s="93"/>
      <c r="IR187" s="93"/>
      <c r="IS187" s="93"/>
      <c r="IT187" s="93"/>
      <c r="IU187" s="93"/>
      <c r="IV187" s="93"/>
      <c r="IW187" s="848">
        <v>46905</v>
      </c>
      <c r="IX187" s="93"/>
      <c r="IY187" s="93"/>
      <c r="IZ187" s="93"/>
      <c r="JA187" s="93"/>
      <c r="JB187" s="93"/>
      <c r="JC187" s="93"/>
      <c r="JD187" s="93"/>
      <c r="JE187" s="93"/>
      <c r="JF187" s="93"/>
      <c r="JG187" s="93"/>
      <c r="JH187" s="93"/>
      <c r="JI187" s="93"/>
      <c r="JJ187" s="93"/>
      <c r="JK187" s="93"/>
      <c r="JL187" s="93"/>
      <c r="JM187" s="93"/>
      <c r="JN187" s="93"/>
      <c r="JO187" s="93"/>
      <c r="JP187" s="93"/>
      <c r="JQ187" s="93"/>
      <c r="JR187" s="93"/>
      <c r="JS187" s="93"/>
      <c r="JT187" s="20"/>
      <c r="JU187" s="29"/>
      <c r="JV187" s="19"/>
      <c r="JW187" s="93"/>
      <c r="JX187" s="93"/>
      <c r="JY187" s="93"/>
      <c r="JZ187" s="93"/>
      <c r="KA187" s="93"/>
      <c r="KB187" s="93"/>
      <c r="KC187" s="93"/>
      <c r="KD187" s="93"/>
      <c r="KE187" s="93"/>
      <c r="KF187" s="93"/>
      <c r="KG187" s="93"/>
      <c r="KH187" s="93"/>
      <c r="KI187" s="93"/>
      <c r="KJ187" s="93"/>
      <c r="KK187" s="93"/>
      <c r="KL187" s="93"/>
      <c r="KM187" s="93"/>
      <c r="KN187" s="93"/>
      <c r="KO187" s="93"/>
      <c r="KP187" s="93"/>
      <c r="KQ187" s="93"/>
      <c r="KR187" s="93"/>
      <c r="KS187" s="93"/>
      <c r="KT187" s="93"/>
      <c r="KU187" s="93"/>
      <c r="KV187" s="93"/>
      <c r="KW187" s="20"/>
      <c r="KX187" s="29"/>
      <c r="KY187" s="19"/>
      <c r="KZ187" s="93"/>
      <c r="LA187" s="93"/>
      <c r="LB187" s="93"/>
      <c r="LC187" s="93"/>
      <c r="LD187" s="93"/>
      <c r="LE187" s="93"/>
      <c r="LF187" s="93"/>
      <c r="LG187" s="93"/>
      <c r="LH187" s="93"/>
      <c r="LI187" s="93"/>
      <c r="LJ187" s="93"/>
      <c r="LK187" s="93"/>
      <c r="LL187" s="93"/>
      <c r="LM187" s="93"/>
      <c r="LN187" s="93"/>
      <c r="LO187" s="93"/>
      <c r="LP187" s="93"/>
      <c r="LQ187" s="93"/>
      <c r="LR187" s="93"/>
      <c r="LS187" s="93"/>
      <c r="LT187" s="93"/>
      <c r="LU187" s="93"/>
      <c r="LV187" s="93"/>
      <c r="LW187" s="93"/>
      <c r="LX187" s="93"/>
      <c r="LY187" s="93"/>
      <c r="LZ187" s="93"/>
      <c r="MA187" s="93"/>
      <c r="MB187" s="93"/>
      <c r="MC187" s="93"/>
      <c r="MD187" s="93"/>
      <c r="ME187" s="93"/>
      <c r="MF187" s="93"/>
      <c r="MG187" s="93"/>
      <c r="MH187" s="20"/>
      <c r="MI187" s="29"/>
      <c r="MJ187" s="29" t="str">
        <f t="shared" si="88"/>
        <v>Trimestre 22028</v>
      </c>
      <c r="MK187" s="848">
        <v>46905</v>
      </c>
      <c r="ML187" s="1991"/>
      <c r="MM187" s="1991"/>
      <c r="MN187" s="1991"/>
      <c r="MO187" s="1991"/>
      <c r="MP187" s="1991"/>
      <c r="MQ187" s="1991"/>
      <c r="MR187" s="1991"/>
      <c r="MS187" s="1991"/>
      <c r="MT187" s="1991"/>
      <c r="MU187" s="1991"/>
      <c r="MV187" s="1991"/>
      <c r="MW187" s="1991"/>
      <c r="MX187" s="1991"/>
      <c r="MY187" s="1991"/>
      <c r="MZ187" s="1991"/>
      <c r="NA187" s="1991"/>
      <c r="NB187" s="1991"/>
      <c r="NC187" s="1991"/>
      <c r="ND187" s="1991"/>
      <c r="NE187" s="1991"/>
      <c r="NF187" s="1991"/>
      <c r="NG187" s="1991"/>
      <c r="NH187" s="1991"/>
      <c r="NI187" s="1991"/>
      <c r="NJ187" s="1991"/>
      <c r="NK187" s="1991"/>
      <c r="NL187" s="29"/>
    </row>
    <row r="188" spans="1:376">
      <c r="A188" s="41">
        <f t="shared" si="86"/>
        <v>2028</v>
      </c>
      <c r="B188" s="785">
        <v>46997</v>
      </c>
      <c r="C188" s="19"/>
      <c r="D188" s="93"/>
      <c r="E188" s="93"/>
      <c r="F188" s="93"/>
      <c r="G188" s="93"/>
      <c r="H188" s="93"/>
      <c r="I188" s="93"/>
      <c r="J188" s="93"/>
      <c r="K188" s="93"/>
      <c r="L188" s="93"/>
      <c r="M188" s="20"/>
      <c r="N188" s="25"/>
      <c r="O188" s="889">
        <f t="shared" si="85"/>
        <v>2028</v>
      </c>
      <c r="P188" s="29" t="str">
        <f t="shared" si="87"/>
        <v>Trimestre 32028</v>
      </c>
      <c r="Q188" s="848">
        <v>46997</v>
      </c>
      <c r="R188" s="733"/>
      <c r="S188" s="570"/>
      <c r="T188" s="570"/>
      <c r="U188" s="734"/>
      <c r="V188" s="25"/>
      <c r="W188" s="19"/>
      <c r="X188" s="93"/>
      <c r="Y188" s="93"/>
      <c r="Z188" s="93"/>
      <c r="AA188" s="93"/>
      <c r="AB188" s="93"/>
      <c r="AC188" s="93"/>
      <c r="AD188" s="93"/>
      <c r="AE188" s="20"/>
      <c r="AF188" s="25"/>
      <c r="AG188" s="19"/>
      <c r="AH188" s="93"/>
      <c r="AI188" s="93"/>
      <c r="AJ188" s="93"/>
      <c r="AK188" s="93"/>
      <c r="AL188" s="93"/>
      <c r="AM188" s="93"/>
      <c r="AN188" s="20"/>
      <c r="AO188" s="19"/>
      <c r="AP188" s="93"/>
      <c r="AQ188" s="93"/>
      <c r="AR188" s="93"/>
      <c r="AS188" s="20"/>
      <c r="AT188" s="19"/>
      <c r="AU188" s="93"/>
      <c r="AV188" s="20"/>
      <c r="AW188" s="19"/>
      <c r="AX188" s="93"/>
      <c r="AY188" s="93"/>
      <c r="AZ188" s="93"/>
      <c r="BA188" s="93"/>
      <c r="BB188" s="93"/>
      <c r="BC188" s="20"/>
      <c r="BD188" s="19"/>
      <c r="BE188" s="93"/>
      <c r="BF188" s="93"/>
      <c r="BG188" s="93"/>
      <c r="BH188" s="93"/>
      <c r="BI188" s="93"/>
      <c r="BJ188" s="93"/>
      <c r="BK188" s="20"/>
      <c r="BL188" s="19"/>
      <c r="BM188" s="93"/>
      <c r="BN188" s="93"/>
      <c r="BO188" s="93"/>
      <c r="BP188" s="93"/>
      <c r="BQ188" s="20"/>
      <c r="BR188" s="19"/>
      <c r="BS188" s="93"/>
      <c r="BT188" s="93"/>
      <c r="BU188" s="20"/>
      <c r="BV188" s="19"/>
      <c r="BW188" s="93"/>
      <c r="BX188" s="93"/>
      <c r="BY188" s="93"/>
      <c r="BZ188" s="93"/>
      <c r="CA188" s="93"/>
      <c r="CB188" s="20"/>
      <c r="CC188" s="25"/>
      <c r="CD188" s="19"/>
      <c r="CE188" s="93"/>
      <c r="CF188" s="20"/>
      <c r="CG188" s="25"/>
      <c r="CH188" s="19"/>
      <c r="CI188" s="93"/>
      <c r="CJ188" s="93"/>
      <c r="CK188" s="93"/>
      <c r="CL188" s="93"/>
      <c r="CM188" s="93"/>
      <c r="CN188" s="93"/>
      <c r="CO188" s="93"/>
      <c r="CP188" s="93"/>
      <c r="CQ188" s="93"/>
      <c r="CR188" s="214"/>
      <c r="CS188" s="20"/>
      <c r="CT188" s="25"/>
      <c r="CU188" s="19"/>
      <c r="CV188" s="93"/>
      <c r="CW188" s="93"/>
      <c r="CX188" s="93"/>
      <c r="CY188" s="93"/>
      <c r="CZ188" s="93"/>
      <c r="DA188" s="93"/>
      <c r="DB188" s="20"/>
      <c r="DC188" s="25"/>
      <c r="DD188" s="785">
        <v>46997</v>
      </c>
      <c r="DE188" s="19"/>
      <c r="DF188" s="20"/>
      <c r="DG188" s="25"/>
      <c r="DH188" s="19"/>
      <c r="DI188" s="20"/>
      <c r="DJ188" s="25"/>
      <c r="DK188" s="19"/>
      <c r="DL188" s="20"/>
      <c r="DM188" s="19"/>
      <c r="DN188" s="20"/>
      <c r="DO188" s="25"/>
      <c r="DP188" s="19"/>
      <c r="DQ188" s="93"/>
      <c r="DR188" s="20"/>
      <c r="DS188" s="25"/>
      <c r="DT188" s="19"/>
      <c r="DU188" s="93"/>
      <c r="DV188" s="20"/>
      <c r="DW188" s="25"/>
      <c r="DX188" s="19"/>
      <c r="DY188" s="20"/>
      <c r="DZ188" s="25"/>
      <c r="EA188" s="19"/>
      <c r="EB188" s="93"/>
      <c r="EC188" s="93"/>
      <c r="ED188" s="93"/>
      <c r="EE188" s="20"/>
      <c r="EF188" s="25"/>
      <c r="EG188" s="19"/>
      <c r="EH188" s="93"/>
      <c r="EI188" s="93"/>
      <c r="EJ188" s="93"/>
      <c r="EK188" s="20"/>
      <c r="EL188" s="25"/>
      <c r="EM188" s="19"/>
      <c r="EN188" s="93"/>
      <c r="EO188" s="93"/>
      <c r="EP188" s="93"/>
      <c r="EQ188" s="93"/>
      <c r="ER188" s="93"/>
      <c r="ES188" s="93"/>
      <c r="ET188" s="93"/>
      <c r="EU188" s="93"/>
      <c r="EV188" s="20"/>
      <c r="EW188" s="25"/>
      <c r="EX188" s="915"/>
      <c r="EY188" s="916"/>
      <c r="EZ188" s="916"/>
      <c r="FA188" s="916"/>
      <c r="FB188" s="916"/>
      <c r="FC188" s="916"/>
      <c r="FD188" s="916"/>
      <c r="FE188" s="916"/>
      <c r="FF188" s="916"/>
      <c r="FG188" s="917"/>
      <c r="FH188" s="25"/>
      <c r="FI188" s="848">
        <v>46997</v>
      </c>
      <c r="FJ188" s="19"/>
      <c r="FK188" s="93"/>
      <c r="FL188" s="20"/>
      <c r="FM188" s="25"/>
      <c r="FN188" s="19"/>
      <c r="FO188" s="93"/>
      <c r="FP188" s="93"/>
      <c r="FQ188" s="93"/>
      <c r="FR188" s="93"/>
      <c r="FS188" s="93"/>
      <c r="FT188" s="93"/>
      <c r="FU188" s="93"/>
      <c r="FV188" s="93"/>
      <c r="FW188" s="917"/>
      <c r="FX188" s="25"/>
      <c r="FY188" s="916"/>
      <c r="FZ188" s="916"/>
      <c r="GA188" s="916"/>
      <c r="GB188" s="916"/>
      <c r="GC188" s="916"/>
      <c r="GD188" s="916"/>
      <c r="GE188" s="916"/>
      <c r="GF188" s="916"/>
      <c r="GG188" s="916"/>
      <c r="GH188" s="916"/>
      <c r="GI188" s="917"/>
      <c r="GJ188" s="25"/>
      <c r="GK188" s="19"/>
      <c r="GL188" s="20"/>
      <c r="GM188" s="25"/>
      <c r="GN188" s="19"/>
      <c r="GO188" s="20"/>
      <c r="GP188" s="25"/>
      <c r="GQ188" s="19"/>
      <c r="GR188" s="20"/>
      <c r="GS188" s="25"/>
      <c r="GT188" s="848">
        <v>46997</v>
      </c>
      <c r="GU188" s="19"/>
      <c r="GV188" s="93"/>
      <c r="GW188" s="93"/>
      <c r="GX188" s="93"/>
      <c r="GY188" s="93"/>
      <c r="GZ188" s="93"/>
      <c r="HA188" s="93"/>
      <c r="HB188" s="93"/>
      <c r="HC188" s="93"/>
      <c r="HD188" s="93"/>
      <c r="HE188" s="93"/>
      <c r="HF188" s="93"/>
      <c r="HG188" s="93"/>
      <c r="HH188" s="93"/>
      <c r="HI188" s="93"/>
      <c r="HJ188" s="93"/>
      <c r="HK188" s="93"/>
      <c r="HL188" s="93"/>
      <c r="HM188" s="93"/>
      <c r="HN188" s="93"/>
      <c r="HO188" s="93"/>
      <c r="HP188" s="93"/>
      <c r="HQ188" s="93"/>
      <c r="HR188" s="93"/>
      <c r="HS188" s="93"/>
      <c r="HT188" s="93"/>
      <c r="HU188" s="93"/>
      <c r="HV188" s="93"/>
      <c r="HW188" s="93"/>
      <c r="HX188" s="93"/>
      <c r="HY188" s="93"/>
      <c r="HZ188" s="93"/>
      <c r="IA188" s="93"/>
      <c r="IB188" s="93"/>
      <c r="IC188" s="93"/>
      <c r="ID188" s="93"/>
      <c r="IE188" s="93"/>
      <c r="IF188" s="93"/>
      <c r="IG188" s="93"/>
      <c r="IH188" s="93"/>
      <c r="II188" s="93"/>
      <c r="IJ188" s="93"/>
      <c r="IK188" s="93"/>
      <c r="IL188" s="93"/>
      <c r="IM188" s="93"/>
      <c r="IN188" s="93"/>
      <c r="IO188" s="93"/>
      <c r="IP188" s="93"/>
      <c r="IQ188" s="93"/>
      <c r="IR188" s="93"/>
      <c r="IS188" s="93"/>
      <c r="IT188" s="93"/>
      <c r="IU188" s="93"/>
      <c r="IV188" s="93"/>
      <c r="IW188" s="848">
        <v>46997</v>
      </c>
      <c r="IX188" s="93"/>
      <c r="IY188" s="93"/>
      <c r="IZ188" s="93"/>
      <c r="JA188" s="93"/>
      <c r="JB188" s="93"/>
      <c r="JC188" s="93"/>
      <c r="JD188" s="93"/>
      <c r="JE188" s="93"/>
      <c r="JF188" s="93"/>
      <c r="JG188" s="93"/>
      <c r="JH188" s="93"/>
      <c r="JI188" s="93"/>
      <c r="JJ188" s="93"/>
      <c r="JK188" s="93"/>
      <c r="JL188" s="93"/>
      <c r="JM188" s="93"/>
      <c r="JN188" s="93"/>
      <c r="JO188" s="93"/>
      <c r="JP188" s="93"/>
      <c r="JQ188" s="93"/>
      <c r="JR188" s="93"/>
      <c r="JS188" s="93"/>
      <c r="JT188" s="20"/>
      <c r="JU188" s="29"/>
      <c r="JV188" s="19"/>
      <c r="JW188" s="93"/>
      <c r="JX188" s="93"/>
      <c r="JY188" s="93"/>
      <c r="JZ188" s="93"/>
      <c r="KA188" s="93"/>
      <c r="KB188" s="93"/>
      <c r="KC188" s="93"/>
      <c r="KD188" s="93"/>
      <c r="KE188" s="93"/>
      <c r="KF188" s="93"/>
      <c r="KG188" s="93"/>
      <c r="KH188" s="93"/>
      <c r="KI188" s="93"/>
      <c r="KJ188" s="93"/>
      <c r="KK188" s="93"/>
      <c r="KL188" s="93"/>
      <c r="KM188" s="93"/>
      <c r="KN188" s="93"/>
      <c r="KO188" s="93"/>
      <c r="KP188" s="93"/>
      <c r="KQ188" s="93"/>
      <c r="KR188" s="93"/>
      <c r="KS188" s="93"/>
      <c r="KT188" s="93"/>
      <c r="KU188" s="93"/>
      <c r="KV188" s="93"/>
      <c r="KW188" s="20"/>
      <c r="KX188" s="29"/>
      <c r="KY188" s="19"/>
      <c r="KZ188" s="93"/>
      <c r="LA188" s="93"/>
      <c r="LB188" s="93"/>
      <c r="LC188" s="93"/>
      <c r="LD188" s="93"/>
      <c r="LE188" s="93"/>
      <c r="LF188" s="93"/>
      <c r="LG188" s="93"/>
      <c r="LH188" s="93"/>
      <c r="LI188" s="93"/>
      <c r="LJ188" s="93"/>
      <c r="LK188" s="93"/>
      <c r="LL188" s="93"/>
      <c r="LM188" s="93"/>
      <c r="LN188" s="93"/>
      <c r="LO188" s="93"/>
      <c r="LP188" s="93"/>
      <c r="LQ188" s="93"/>
      <c r="LR188" s="93"/>
      <c r="LS188" s="93"/>
      <c r="LT188" s="93"/>
      <c r="LU188" s="93"/>
      <c r="LV188" s="93"/>
      <c r="LW188" s="93"/>
      <c r="LX188" s="93"/>
      <c r="LY188" s="93"/>
      <c r="LZ188" s="93"/>
      <c r="MA188" s="93"/>
      <c r="MB188" s="93"/>
      <c r="MC188" s="93"/>
      <c r="MD188" s="93"/>
      <c r="ME188" s="93"/>
      <c r="MF188" s="93"/>
      <c r="MG188" s="93"/>
      <c r="MH188" s="20"/>
      <c r="MI188" s="29"/>
      <c r="MJ188" s="29" t="str">
        <f t="shared" si="88"/>
        <v>Trimestre 32028</v>
      </c>
      <c r="MK188" s="848">
        <v>46997</v>
      </c>
      <c r="ML188" s="1991"/>
      <c r="MM188" s="1991"/>
      <c r="MN188" s="1991"/>
      <c r="MO188" s="1991"/>
      <c r="MP188" s="1991"/>
      <c r="MQ188" s="1991"/>
      <c r="MR188" s="1991"/>
      <c r="MS188" s="1991"/>
      <c r="MT188" s="1991"/>
      <c r="MU188" s="1991"/>
      <c r="MV188" s="1991"/>
      <c r="MW188" s="1991"/>
      <c r="MX188" s="1991"/>
      <c r="MY188" s="1991"/>
      <c r="MZ188" s="1991"/>
      <c r="NA188" s="1991"/>
      <c r="NB188" s="1991"/>
      <c r="NC188" s="1991"/>
      <c r="ND188" s="1991"/>
      <c r="NE188" s="1991"/>
      <c r="NF188" s="1991"/>
      <c r="NG188" s="1991"/>
      <c r="NH188" s="1991"/>
      <c r="NI188" s="1991"/>
      <c r="NJ188" s="1991"/>
      <c r="NK188" s="1991"/>
      <c r="NL188" s="29"/>
    </row>
    <row r="189" spans="1:376">
      <c r="A189" s="41">
        <f t="shared" si="86"/>
        <v>2028</v>
      </c>
      <c r="B189" s="785">
        <v>47088</v>
      </c>
      <c r="C189" s="19"/>
      <c r="D189" s="93"/>
      <c r="E189" s="93"/>
      <c r="F189" s="93"/>
      <c r="G189" s="93"/>
      <c r="H189" s="93"/>
      <c r="I189" s="93"/>
      <c r="J189" s="93"/>
      <c r="K189" s="93"/>
      <c r="L189" s="93"/>
      <c r="M189" s="20"/>
      <c r="N189" s="25"/>
      <c r="O189" s="889">
        <f t="shared" si="85"/>
        <v>2028</v>
      </c>
      <c r="P189" s="29" t="str">
        <f t="shared" si="87"/>
        <v>Trimestre 42028</v>
      </c>
      <c r="Q189" s="848">
        <v>47088</v>
      </c>
      <c r="R189" s="733"/>
      <c r="S189" s="570"/>
      <c r="T189" s="570"/>
      <c r="U189" s="734"/>
      <c r="V189" s="25"/>
      <c r="W189" s="19"/>
      <c r="X189" s="93"/>
      <c r="Y189" s="93"/>
      <c r="Z189" s="93"/>
      <c r="AA189" s="93"/>
      <c r="AB189" s="93"/>
      <c r="AC189" s="93"/>
      <c r="AD189" s="93"/>
      <c r="AE189" s="20"/>
      <c r="AF189" s="25"/>
      <c r="AG189" s="19"/>
      <c r="AH189" s="93"/>
      <c r="AI189" s="93"/>
      <c r="AJ189" s="93"/>
      <c r="AK189" s="93"/>
      <c r="AL189" s="93"/>
      <c r="AM189" s="93"/>
      <c r="AN189" s="20"/>
      <c r="AO189" s="19"/>
      <c r="AP189" s="93"/>
      <c r="AQ189" s="93"/>
      <c r="AR189" s="93"/>
      <c r="AS189" s="20"/>
      <c r="AT189" s="19"/>
      <c r="AU189" s="93"/>
      <c r="AV189" s="20"/>
      <c r="AW189" s="19"/>
      <c r="AX189" s="93"/>
      <c r="AY189" s="93"/>
      <c r="AZ189" s="93"/>
      <c r="BA189" s="93"/>
      <c r="BB189" s="93"/>
      <c r="BC189" s="20"/>
      <c r="BD189" s="19"/>
      <c r="BE189" s="93"/>
      <c r="BF189" s="93"/>
      <c r="BG189" s="93"/>
      <c r="BH189" s="93"/>
      <c r="BI189" s="93"/>
      <c r="BJ189" s="93"/>
      <c r="BK189" s="20"/>
      <c r="BL189" s="19"/>
      <c r="BM189" s="93"/>
      <c r="BN189" s="93"/>
      <c r="BO189" s="93"/>
      <c r="BP189" s="93"/>
      <c r="BQ189" s="20"/>
      <c r="BR189" s="19"/>
      <c r="BS189" s="93"/>
      <c r="BT189" s="93"/>
      <c r="BU189" s="20"/>
      <c r="BV189" s="19"/>
      <c r="BW189" s="93"/>
      <c r="BX189" s="93"/>
      <c r="BY189" s="93"/>
      <c r="BZ189" s="93"/>
      <c r="CA189" s="93"/>
      <c r="CB189" s="20"/>
      <c r="CC189" s="25"/>
      <c r="CD189" s="19"/>
      <c r="CE189" s="93"/>
      <c r="CF189" s="20"/>
      <c r="CG189" s="25"/>
      <c r="CH189" s="19"/>
      <c r="CI189" s="93"/>
      <c r="CJ189" s="93"/>
      <c r="CK189" s="93"/>
      <c r="CL189" s="93"/>
      <c r="CM189" s="93"/>
      <c r="CN189" s="93"/>
      <c r="CO189" s="93"/>
      <c r="CP189" s="93"/>
      <c r="CQ189" s="93"/>
      <c r="CR189" s="214"/>
      <c r="CS189" s="20"/>
      <c r="CT189" s="25"/>
      <c r="CU189" s="19"/>
      <c r="CV189" s="93"/>
      <c r="CW189" s="93"/>
      <c r="CX189" s="93"/>
      <c r="CY189" s="93"/>
      <c r="CZ189" s="93"/>
      <c r="DA189" s="93"/>
      <c r="DB189" s="20"/>
      <c r="DC189" s="25"/>
      <c r="DD189" s="785">
        <v>47088</v>
      </c>
      <c r="DE189" s="19"/>
      <c r="DF189" s="20"/>
      <c r="DG189" s="25"/>
      <c r="DH189" s="19"/>
      <c r="DI189" s="20"/>
      <c r="DJ189" s="25"/>
      <c r="DK189" s="19"/>
      <c r="DL189" s="20"/>
      <c r="DM189" s="19"/>
      <c r="DN189" s="20"/>
      <c r="DO189" s="25"/>
      <c r="DP189" s="19"/>
      <c r="DQ189" s="93"/>
      <c r="DR189" s="20"/>
      <c r="DS189" s="25"/>
      <c r="DT189" s="19"/>
      <c r="DU189" s="93"/>
      <c r="DV189" s="20"/>
      <c r="DW189" s="25"/>
      <c r="DX189" s="19"/>
      <c r="DY189" s="20"/>
      <c r="DZ189" s="25"/>
      <c r="EA189" s="19"/>
      <c r="EB189" s="93"/>
      <c r="EC189" s="93"/>
      <c r="ED189" s="93"/>
      <c r="EE189" s="20"/>
      <c r="EF189" s="25"/>
      <c r="EG189" s="19"/>
      <c r="EH189" s="93"/>
      <c r="EI189" s="93"/>
      <c r="EJ189" s="93"/>
      <c r="EK189" s="20"/>
      <c r="EL189" s="25"/>
      <c r="EM189" s="19"/>
      <c r="EN189" s="93"/>
      <c r="EO189" s="93"/>
      <c r="EP189" s="93"/>
      <c r="EQ189" s="93"/>
      <c r="ER189" s="93"/>
      <c r="ES189" s="93"/>
      <c r="ET189" s="93"/>
      <c r="EU189" s="93"/>
      <c r="EV189" s="20"/>
      <c r="EW189" s="25"/>
      <c r="EX189" s="915"/>
      <c r="EY189" s="916"/>
      <c r="EZ189" s="916"/>
      <c r="FA189" s="916"/>
      <c r="FB189" s="916"/>
      <c r="FC189" s="916"/>
      <c r="FD189" s="916"/>
      <c r="FE189" s="916"/>
      <c r="FF189" s="916"/>
      <c r="FG189" s="917"/>
      <c r="FH189" s="25"/>
      <c r="FI189" s="848">
        <v>47088</v>
      </c>
      <c r="FJ189" s="19"/>
      <c r="FK189" s="93"/>
      <c r="FL189" s="20"/>
      <c r="FM189" s="25"/>
      <c r="FN189" s="19"/>
      <c r="FO189" s="93"/>
      <c r="FP189" s="93"/>
      <c r="FQ189" s="93"/>
      <c r="FR189" s="93"/>
      <c r="FS189" s="93"/>
      <c r="FT189" s="93"/>
      <c r="FU189" s="93"/>
      <c r="FV189" s="93"/>
      <c r="FW189" s="917"/>
      <c r="FX189" s="25"/>
      <c r="FY189" s="916"/>
      <c r="FZ189" s="916"/>
      <c r="GA189" s="916"/>
      <c r="GB189" s="916"/>
      <c r="GC189" s="916"/>
      <c r="GD189" s="916"/>
      <c r="GE189" s="916"/>
      <c r="GF189" s="916"/>
      <c r="GG189" s="916"/>
      <c r="GH189" s="916"/>
      <c r="GI189" s="917"/>
      <c r="GJ189" s="25"/>
      <c r="GK189" s="19"/>
      <c r="GL189" s="20"/>
      <c r="GM189" s="25"/>
      <c r="GN189" s="19"/>
      <c r="GO189" s="20"/>
      <c r="GP189" s="25"/>
      <c r="GQ189" s="19"/>
      <c r="GR189" s="20"/>
      <c r="GS189" s="25"/>
      <c r="GT189" s="848">
        <v>47088</v>
      </c>
      <c r="GU189" s="19"/>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848">
        <v>47088</v>
      </c>
      <c r="IX189" s="93"/>
      <c r="IY189" s="93"/>
      <c r="IZ189" s="93"/>
      <c r="JA189" s="93"/>
      <c r="JB189" s="93"/>
      <c r="JC189" s="93"/>
      <c r="JD189" s="93"/>
      <c r="JE189" s="93"/>
      <c r="JF189" s="93"/>
      <c r="JG189" s="93"/>
      <c r="JH189" s="93"/>
      <c r="JI189" s="93"/>
      <c r="JJ189" s="93"/>
      <c r="JK189" s="93"/>
      <c r="JL189" s="93"/>
      <c r="JM189" s="93"/>
      <c r="JN189" s="93"/>
      <c r="JO189" s="93"/>
      <c r="JP189" s="93"/>
      <c r="JQ189" s="93"/>
      <c r="JR189" s="93"/>
      <c r="JS189" s="93"/>
      <c r="JT189" s="20"/>
      <c r="JU189" s="29"/>
      <c r="JV189" s="19"/>
      <c r="JW189" s="93"/>
      <c r="JX189" s="93"/>
      <c r="JY189" s="93"/>
      <c r="JZ189" s="93"/>
      <c r="KA189" s="93"/>
      <c r="KB189" s="93"/>
      <c r="KC189" s="93"/>
      <c r="KD189" s="93"/>
      <c r="KE189" s="93"/>
      <c r="KF189" s="93"/>
      <c r="KG189" s="93"/>
      <c r="KH189" s="93"/>
      <c r="KI189" s="93"/>
      <c r="KJ189" s="93"/>
      <c r="KK189" s="93"/>
      <c r="KL189" s="93"/>
      <c r="KM189" s="93"/>
      <c r="KN189" s="93"/>
      <c r="KO189" s="93"/>
      <c r="KP189" s="93"/>
      <c r="KQ189" s="93"/>
      <c r="KR189" s="93"/>
      <c r="KS189" s="93"/>
      <c r="KT189" s="93"/>
      <c r="KU189" s="93"/>
      <c r="KV189" s="93"/>
      <c r="KW189" s="20"/>
      <c r="KX189" s="29"/>
      <c r="KY189" s="19"/>
      <c r="KZ189" s="93"/>
      <c r="LA189" s="93"/>
      <c r="LB189" s="93"/>
      <c r="LC189" s="93"/>
      <c r="LD189" s="93"/>
      <c r="LE189" s="93"/>
      <c r="LF189" s="93"/>
      <c r="LG189" s="93"/>
      <c r="LH189" s="93"/>
      <c r="LI189" s="93"/>
      <c r="LJ189" s="93"/>
      <c r="LK189" s="93"/>
      <c r="LL189" s="93"/>
      <c r="LM189" s="93"/>
      <c r="LN189" s="93"/>
      <c r="LO189" s="93"/>
      <c r="LP189" s="93"/>
      <c r="LQ189" s="93"/>
      <c r="LR189" s="93"/>
      <c r="LS189" s="93"/>
      <c r="LT189" s="93"/>
      <c r="LU189" s="93"/>
      <c r="LV189" s="93"/>
      <c r="LW189" s="93"/>
      <c r="LX189" s="93"/>
      <c r="LY189" s="93"/>
      <c r="LZ189" s="93"/>
      <c r="MA189" s="93"/>
      <c r="MB189" s="93"/>
      <c r="MC189" s="93"/>
      <c r="MD189" s="93"/>
      <c r="ME189" s="93"/>
      <c r="MF189" s="93"/>
      <c r="MG189" s="93"/>
      <c r="MH189" s="20"/>
      <c r="MI189" s="29"/>
      <c r="MJ189" s="29" t="str">
        <f t="shared" si="88"/>
        <v>Trimestre 42028</v>
      </c>
      <c r="MK189" s="848">
        <v>47088</v>
      </c>
      <c r="ML189" s="1991"/>
      <c r="MM189" s="1991"/>
      <c r="MN189" s="1991"/>
      <c r="MO189" s="1991"/>
      <c r="MP189" s="1991"/>
      <c r="MQ189" s="1991"/>
      <c r="MR189" s="1991"/>
      <c r="MS189" s="1991"/>
      <c r="MT189" s="1991"/>
      <c r="MU189" s="1991"/>
      <c r="MV189" s="1991"/>
      <c r="MW189" s="1991"/>
      <c r="MX189" s="1991"/>
      <c r="MY189" s="1991"/>
      <c r="MZ189" s="1991"/>
      <c r="NA189" s="1991"/>
      <c r="NB189" s="1991"/>
      <c r="NC189" s="1991"/>
      <c r="ND189" s="1991"/>
      <c r="NE189" s="1991"/>
      <c r="NF189" s="1991"/>
      <c r="NG189" s="1991"/>
      <c r="NH189" s="1991"/>
      <c r="NI189" s="1991"/>
      <c r="NJ189" s="1991"/>
      <c r="NK189" s="1991"/>
      <c r="NL189" s="29"/>
    </row>
    <row r="190" spans="1:376">
      <c r="A190" s="41">
        <f t="shared" si="86"/>
        <v>2029</v>
      </c>
      <c r="B190" s="785">
        <v>47178</v>
      </c>
      <c r="C190" s="19"/>
      <c r="D190" s="93"/>
      <c r="E190" s="93"/>
      <c r="F190" s="93"/>
      <c r="G190" s="93"/>
      <c r="H190" s="93"/>
      <c r="I190" s="93"/>
      <c r="J190" s="93"/>
      <c r="K190" s="93"/>
      <c r="L190" s="93"/>
      <c r="M190" s="20"/>
      <c r="N190" s="25"/>
      <c r="O190" s="889">
        <f t="shared" si="85"/>
        <v>2029</v>
      </c>
      <c r="P190" s="29" t="str">
        <f t="shared" si="87"/>
        <v>Trimestre 12029</v>
      </c>
      <c r="Q190" s="848">
        <v>47178</v>
      </c>
      <c r="R190" s="733"/>
      <c r="S190" s="570"/>
      <c r="T190" s="570"/>
      <c r="U190" s="734"/>
      <c r="V190" s="25"/>
      <c r="W190" s="19"/>
      <c r="X190" s="93"/>
      <c r="Y190" s="93"/>
      <c r="Z190" s="93"/>
      <c r="AA190" s="93"/>
      <c r="AB190" s="93"/>
      <c r="AC190" s="93"/>
      <c r="AD190" s="93"/>
      <c r="AE190" s="20"/>
      <c r="AF190" s="25"/>
      <c r="AG190" s="19"/>
      <c r="AH190" s="93"/>
      <c r="AI190" s="93"/>
      <c r="AJ190" s="93"/>
      <c r="AK190" s="93"/>
      <c r="AL190" s="93"/>
      <c r="AM190" s="93"/>
      <c r="AN190" s="20"/>
      <c r="AO190" s="19"/>
      <c r="AP190" s="93"/>
      <c r="AQ190" s="93"/>
      <c r="AR190" s="93"/>
      <c r="AS190" s="20"/>
      <c r="AT190" s="19"/>
      <c r="AU190" s="93"/>
      <c r="AV190" s="20"/>
      <c r="AW190" s="19"/>
      <c r="AX190" s="93"/>
      <c r="AY190" s="93"/>
      <c r="AZ190" s="93"/>
      <c r="BA190" s="93"/>
      <c r="BB190" s="93"/>
      <c r="BC190" s="20"/>
      <c r="BD190" s="19"/>
      <c r="BE190" s="93"/>
      <c r="BF190" s="93"/>
      <c r="BG190" s="93"/>
      <c r="BH190" s="93"/>
      <c r="BI190" s="93"/>
      <c r="BJ190" s="93"/>
      <c r="BK190" s="20"/>
      <c r="BL190" s="19"/>
      <c r="BM190" s="93"/>
      <c r="BN190" s="93"/>
      <c r="BO190" s="93"/>
      <c r="BP190" s="93"/>
      <c r="BQ190" s="20"/>
      <c r="BR190" s="19"/>
      <c r="BS190" s="93"/>
      <c r="BT190" s="93"/>
      <c r="BU190" s="20"/>
      <c r="BV190" s="19"/>
      <c r="BW190" s="93"/>
      <c r="BX190" s="93"/>
      <c r="BY190" s="93"/>
      <c r="BZ190" s="93"/>
      <c r="CA190" s="93"/>
      <c r="CB190" s="20"/>
      <c r="CC190" s="25"/>
      <c r="CD190" s="19"/>
      <c r="CE190" s="93"/>
      <c r="CF190" s="20"/>
      <c r="CG190" s="25"/>
      <c r="CH190" s="19"/>
      <c r="CI190" s="93"/>
      <c r="CJ190" s="93"/>
      <c r="CK190" s="93"/>
      <c r="CL190" s="93"/>
      <c r="CM190" s="93"/>
      <c r="CN190" s="93"/>
      <c r="CO190" s="93"/>
      <c r="CP190" s="93"/>
      <c r="CQ190" s="93"/>
      <c r="CR190" s="214"/>
      <c r="CS190" s="20"/>
      <c r="CT190" s="25"/>
      <c r="CU190" s="19"/>
      <c r="CV190" s="93"/>
      <c r="CW190" s="93"/>
      <c r="CX190" s="93"/>
      <c r="CY190" s="93"/>
      <c r="CZ190" s="93"/>
      <c r="DA190" s="93"/>
      <c r="DB190" s="20"/>
      <c r="DC190" s="25"/>
      <c r="DD190" s="785">
        <v>47178</v>
      </c>
      <c r="DE190" s="19"/>
      <c r="DF190" s="20"/>
      <c r="DG190" s="25"/>
      <c r="DH190" s="19"/>
      <c r="DI190" s="20"/>
      <c r="DJ190" s="25"/>
      <c r="DK190" s="19"/>
      <c r="DL190" s="20"/>
      <c r="DM190" s="19"/>
      <c r="DN190" s="20"/>
      <c r="DO190" s="25"/>
      <c r="DP190" s="19"/>
      <c r="DQ190" s="93"/>
      <c r="DR190" s="20"/>
      <c r="DS190" s="25"/>
      <c r="DT190" s="19"/>
      <c r="DU190" s="93"/>
      <c r="DV190" s="20"/>
      <c r="DW190" s="25"/>
      <c r="DX190" s="19"/>
      <c r="DY190" s="20"/>
      <c r="DZ190" s="25"/>
      <c r="EA190" s="19"/>
      <c r="EB190" s="93"/>
      <c r="EC190" s="93"/>
      <c r="ED190" s="93"/>
      <c r="EE190" s="20"/>
      <c r="EF190" s="25"/>
      <c r="EG190" s="19"/>
      <c r="EH190" s="93"/>
      <c r="EI190" s="93"/>
      <c r="EJ190" s="93"/>
      <c r="EK190" s="20"/>
      <c r="EL190" s="25"/>
      <c r="EM190" s="19"/>
      <c r="EN190" s="93"/>
      <c r="EO190" s="93"/>
      <c r="EP190" s="93"/>
      <c r="EQ190" s="93"/>
      <c r="ER190" s="93"/>
      <c r="ES190" s="93"/>
      <c r="ET190" s="93"/>
      <c r="EU190" s="93"/>
      <c r="EV190" s="20"/>
      <c r="EW190" s="25"/>
      <c r="EX190" s="915"/>
      <c r="EY190" s="916"/>
      <c r="EZ190" s="916"/>
      <c r="FA190" s="916"/>
      <c r="FB190" s="916"/>
      <c r="FC190" s="916"/>
      <c r="FD190" s="916"/>
      <c r="FE190" s="916"/>
      <c r="FF190" s="916"/>
      <c r="FG190" s="917"/>
      <c r="FH190" s="25"/>
      <c r="FI190" s="848">
        <v>47178</v>
      </c>
      <c r="FJ190" s="19"/>
      <c r="FK190" s="93"/>
      <c r="FL190" s="20"/>
      <c r="FM190" s="25"/>
      <c r="FN190" s="19"/>
      <c r="FO190" s="93"/>
      <c r="FP190" s="93"/>
      <c r="FQ190" s="93"/>
      <c r="FR190" s="93"/>
      <c r="FS190" s="93"/>
      <c r="FT190" s="93"/>
      <c r="FU190" s="93"/>
      <c r="FV190" s="93"/>
      <c r="FW190" s="917"/>
      <c r="FX190" s="25"/>
      <c r="FY190" s="916"/>
      <c r="FZ190" s="916"/>
      <c r="GA190" s="916"/>
      <c r="GB190" s="916"/>
      <c r="GC190" s="916"/>
      <c r="GD190" s="916"/>
      <c r="GE190" s="916"/>
      <c r="GF190" s="916"/>
      <c r="GG190" s="916"/>
      <c r="GH190" s="916"/>
      <c r="GI190" s="917"/>
      <c r="GJ190" s="25"/>
      <c r="GK190" s="19"/>
      <c r="GL190" s="20"/>
      <c r="GM190" s="25"/>
      <c r="GN190" s="19"/>
      <c r="GO190" s="20"/>
      <c r="GP190" s="25"/>
      <c r="GQ190" s="19"/>
      <c r="GR190" s="20"/>
      <c r="GS190" s="25"/>
      <c r="GT190" s="848">
        <v>47178</v>
      </c>
      <c r="GU190" s="19"/>
      <c r="GV190" s="93"/>
      <c r="GW190" s="93"/>
      <c r="GX190" s="93"/>
      <c r="GY190" s="93"/>
      <c r="GZ190" s="93"/>
      <c r="HA190" s="93"/>
      <c r="HB190" s="93"/>
      <c r="HC190" s="93"/>
      <c r="HD190" s="93"/>
      <c r="HE190" s="93"/>
      <c r="HF190" s="93"/>
      <c r="HG190" s="93"/>
      <c r="HH190" s="93"/>
      <c r="HI190" s="93"/>
      <c r="HJ190" s="93"/>
      <c r="HK190" s="93"/>
      <c r="HL190" s="93"/>
      <c r="HM190" s="93"/>
      <c r="HN190" s="93"/>
      <c r="HO190" s="93"/>
      <c r="HP190" s="93"/>
      <c r="HQ190" s="93"/>
      <c r="HR190" s="93"/>
      <c r="HS190" s="93"/>
      <c r="HT190" s="93"/>
      <c r="HU190" s="93"/>
      <c r="HV190" s="93"/>
      <c r="HW190" s="93"/>
      <c r="HX190" s="93"/>
      <c r="HY190" s="93"/>
      <c r="HZ190" s="93"/>
      <c r="IA190" s="93"/>
      <c r="IB190" s="93"/>
      <c r="IC190" s="93"/>
      <c r="ID190" s="93"/>
      <c r="IE190" s="93"/>
      <c r="IF190" s="93"/>
      <c r="IG190" s="93"/>
      <c r="IH190" s="93"/>
      <c r="II190" s="93"/>
      <c r="IJ190" s="93"/>
      <c r="IK190" s="93"/>
      <c r="IL190" s="93"/>
      <c r="IM190" s="93"/>
      <c r="IN190" s="93"/>
      <c r="IO190" s="93"/>
      <c r="IP190" s="93"/>
      <c r="IQ190" s="93"/>
      <c r="IR190" s="93"/>
      <c r="IS190" s="93"/>
      <c r="IT190" s="93"/>
      <c r="IU190" s="93"/>
      <c r="IV190" s="93"/>
      <c r="IW190" s="848">
        <v>47178</v>
      </c>
      <c r="IX190" s="93"/>
      <c r="IY190" s="93"/>
      <c r="IZ190" s="93"/>
      <c r="JA190" s="93"/>
      <c r="JB190" s="93"/>
      <c r="JC190" s="93"/>
      <c r="JD190" s="93"/>
      <c r="JE190" s="93"/>
      <c r="JF190" s="93"/>
      <c r="JG190" s="93"/>
      <c r="JH190" s="93"/>
      <c r="JI190" s="93"/>
      <c r="JJ190" s="93"/>
      <c r="JK190" s="93"/>
      <c r="JL190" s="93"/>
      <c r="JM190" s="93"/>
      <c r="JN190" s="93"/>
      <c r="JO190" s="93"/>
      <c r="JP190" s="93"/>
      <c r="JQ190" s="93"/>
      <c r="JR190" s="93"/>
      <c r="JS190" s="93"/>
      <c r="JT190" s="20"/>
      <c r="JU190" s="29"/>
      <c r="JV190" s="19"/>
      <c r="JW190" s="93"/>
      <c r="JX190" s="93"/>
      <c r="JY190" s="93"/>
      <c r="JZ190" s="93"/>
      <c r="KA190" s="93"/>
      <c r="KB190" s="93"/>
      <c r="KC190" s="93"/>
      <c r="KD190" s="93"/>
      <c r="KE190" s="93"/>
      <c r="KF190" s="93"/>
      <c r="KG190" s="93"/>
      <c r="KH190" s="93"/>
      <c r="KI190" s="93"/>
      <c r="KJ190" s="93"/>
      <c r="KK190" s="93"/>
      <c r="KL190" s="93"/>
      <c r="KM190" s="93"/>
      <c r="KN190" s="93"/>
      <c r="KO190" s="93"/>
      <c r="KP190" s="93"/>
      <c r="KQ190" s="93"/>
      <c r="KR190" s="93"/>
      <c r="KS190" s="93"/>
      <c r="KT190" s="93"/>
      <c r="KU190" s="93"/>
      <c r="KV190" s="93"/>
      <c r="KW190" s="20"/>
      <c r="KX190" s="29"/>
      <c r="KY190" s="19"/>
      <c r="KZ190" s="93"/>
      <c r="LA190" s="93"/>
      <c r="LB190" s="93"/>
      <c r="LC190" s="93"/>
      <c r="LD190" s="93"/>
      <c r="LE190" s="93"/>
      <c r="LF190" s="93"/>
      <c r="LG190" s="93"/>
      <c r="LH190" s="93"/>
      <c r="LI190" s="93"/>
      <c r="LJ190" s="93"/>
      <c r="LK190" s="93"/>
      <c r="LL190" s="93"/>
      <c r="LM190" s="93"/>
      <c r="LN190" s="93"/>
      <c r="LO190" s="93"/>
      <c r="LP190" s="93"/>
      <c r="LQ190" s="93"/>
      <c r="LR190" s="93"/>
      <c r="LS190" s="93"/>
      <c r="LT190" s="93"/>
      <c r="LU190" s="93"/>
      <c r="LV190" s="93"/>
      <c r="LW190" s="93"/>
      <c r="LX190" s="93"/>
      <c r="LY190" s="93"/>
      <c r="LZ190" s="93"/>
      <c r="MA190" s="93"/>
      <c r="MB190" s="93"/>
      <c r="MC190" s="93"/>
      <c r="MD190" s="93"/>
      <c r="ME190" s="93"/>
      <c r="MF190" s="93"/>
      <c r="MG190" s="93"/>
      <c r="MH190" s="20"/>
      <c r="MI190" s="29"/>
      <c r="MJ190" s="29" t="str">
        <f t="shared" si="88"/>
        <v>Trimestre 12029</v>
      </c>
      <c r="MK190" s="848">
        <v>47178</v>
      </c>
      <c r="ML190" s="1991"/>
      <c r="MM190" s="1991"/>
      <c r="MN190" s="1991"/>
      <c r="MO190" s="1991"/>
      <c r="MP190" s="1991"/>
      <c r="MQ190" s="1991"/>
      <c r="MR190" s="1991"/>
      <c r="MS190" s="1991"/>
      <c r="MT190" s="1991"/>
      <c r="MU190" s="1991"/>
      <c r="MV190" s="1991"/>
      <c r="MW190" s="1991"/>
      <c r="MX190" s="1991"/>
      <c r="MY190" s="1991"/>
      <c r="MZ190" s="1991"/>
      <c r="NA190" s="1991"/>
      <c r="NB190" s="1991"/>
      <c r="NC190" s="1991"/>
      <c r="ND190" s="1991"/>
      <c r="NE190" s="1991"/>
      <c r="NF190" s="1991"/>
      <c r="NG190" s="1991"/>
      <c r="NH190" s="1991"/>
      <c r="NI190" s="1991"/>
      <c r="NJ190" s="1991"/>
      <c r="NK190" s="1991"/>
      <c r="NL190" s="29"/>
    </row>
    <row r="191" spans="1:376">
      <c r="A191" s="41">
        <f t="shared" si="86"/>
        <v>2029</v>
      </c>
      <c r="B191" s="785">
        <v>47270</v>
      </c>
      <c r="C191" s="19"/>
      <c r="D191" s="93"/>
      <c r="E191" s="93"/>
      <c r="F191" s="93"/>
      <c r="G191" s="93"/>
      <c r="H191" s="93"/>
      <c r="I191" s="93"/>
      <c r="J191" s="93"/>
      <c r="K191" s="93"/>
      <c r="L191" s="93"/>
      <c r="M191" s="20"/>
      <c r="N191" s="25"/>
      <c r="O191" s="889">
        <f t="shared" si="85"/>
        <v>2029</v>
      </c>
      <c r="P191" s="29" t="str">
        <f t="shared" si="87"/>
        <v>Trimestre 22029</v>
      </c>
      <c r="Q191" s="848">
        <v>47270</v>
      </c>
      <c r="R191" s="733"/>
      <c r="S191" s="570"/>
      <c r="T191" s="570"/>
      <c r="U191" s="734"/>
      <c r="V191" s="25"/>
      <c r="W191" s="19"/>
      <c r="X191" s="93"/>
      <c r="Y191" s="93"/>
      <c r="Z191" s="93"/>
      <c r="AA191" s="93"/>
      <c r="AB191" s="93"/>
      <c r="AC191" s="93"/>
      <c r="AD191" s="93"/>
      <c r="AE191" s="20"/>
      <c r="AF191" s="25"/>
      <c r="AG191" s="19"/>
      <c r="AH191" s="93"/>
      <c r="AI191" s="93"/>
      <c r="AJ191" s="93"/>
      <c r="AK191" s="93"/>
      <c r="AL191" s="93"/>
      <c r="AM191" s="93"/>
      <c r="AN191" s="20"/>
      <c r="AO191" s="19"/>
      <c r="AP191" s="93"/>
      <c r="AQ191" s="93"/>
      <c r="AR191" s="93"/>
      <c r="AS191" s="20"/>
      <c r="AT191" s="19"/>
      <c r="AU191" s="93"/>
      <c r="AV191" s="20"/>
      <c r="AW191" s="19"/>
      <c r="AX191" s="93"/>
      <c r="AY191" s="93"/>
      <c r="AZ191" s="93"/>
      <c r="BA191" s="93"/>
      <c r="BB191" s="93"/>
      <c r="BC191" s="20"/>
      <c r="BD191" s="19"/>
      <c r="BE191" s="93"/>
      <c r="BF191" s="93"/>
      <c r="BG191" s="93"/>
      <c r="BH191" s="93"/>
      <c r="BI191" s="93"/>
      <c r="BJ191" s="93"/>
      <c r="BK191" s="20"/>
      <c r="BL191" s="19"/>
      <c r="BM191" s="93"/>
      <c r="BN191" s="93"/>
      <c r="BO191" s="93"/>
      <c r="BP191" s="93"/>
      <c r="BQ191" s="20"/>
      <c r="BR191" s="19"/>
      <c r="BS191" s="93"/>
      <c r="BT191" s="93"/>
      <c r="BU191" s="20"/>
      <c r="BV191" s="19"/>
      <c r="BW191" s="93"/>
      <c r="BX191" s="93"/>
      <c r="BY191" s="93"/>
      <c r="BZ191" s="93"/>
      <c r="CA191" s="93"/>
      <c r="CB191" s="20"/>
      <c r="CC191" s="25"/>
      <c r="CD191" s="19"/>
      <c r="CE191" s="93"/>
      <c r="CF191" s="20"/>
      <c r="CG191" s="25"/>
      <c r="CH191" s="19"/>
      <c r="CI191" s="93"/>
      <c r="CJ191" s="93"/>
      <c r="CK191" s="93"/>
      <c r="CL191" s="93"/>
      <c r="CM191" s="93"/>
      <c r="CN191" s="93"/>
      <c r="CO191" s="93"/>
      <c r="CP191" s="93"/>
      <c r="CQ191" s="93"/>
      <c r="CR191" s="214"/>
      <c r="CS191" s="20"/>
      <c r="CT191" s="25"/>
      <c r="CU191" s="19"/>
      <c r="CV191" s="93"/>
      <c r="CW191" s="93"/>
      <c r="CX191" s="93"/>
      <c r="CY191" s="93"/>
      <c r="CZ191" s="93"/>
      <c r="DA191" s="93"/>
      <c r="DB191" s="20"/>
      <c r="DC191" s="25"/>
      <c r="DD191" s="785">
        <v>47270</v>
      </c>
      <c r="DE191" s="19"/>
      <c r="DF191" s="20"/>
      <c r="DG191" s="25"/>
      <c r="DH191" s="19"/>
      <c r="DI191" s="20"/>
      <c r="DJ191" s="25"/>
      <c r="DK191" s="19"/>
      <c r="DL191" s="20"/>
      <c r="DM191" s="19"/>
      <c r="DN191" s="20"/>
      <c r="DO191" s="25"/>
      <c r="DP191" s="19"/>
      <c r="DQ191" s="93"/>
      <c r="DR191" s="20"/>
      <c r="DS191" s="25"/>
      <c r="DT191" s="19"/>
      <c r="DU191" s="93"/>
      <c r="DV191" s="20"/>
      <c r="DW191" s="25"/>
      <c r="DX191" s="19"/>
      <c r="DY191" s="20"/>
      <c r="DZ191" s="25"/>
      <c r="EA191" s="19"/>
      <c r="EB191" s="93"/>
      <c r="EC191" s="93"/>
      <c r="ED191" s="93"/>
      <c r="EE191" s="20"/>
      <c r="EF191" s="25"/>
      <c r="EG191" s="19"/>
      <c r="EH191" s="93"/>
      <c r="EI191" s="93"/>
      <c r="EJ191" s="93"/>
      <c r="EK191" s="20"/>
      <c r="EL191" s="25"/>
      <c r="EM191" s="19"/>
      <c r="EN191" s="93"/>
      <c r="EO191" s="93"/>
      <c r="EP191" s="93"/>
      <c r="EQ191" s="93"/>
      <c r="ER191" s="93"/>
      <c r="ES191" s="93"/>
      <c r="ET191" s="93"/>
      <c r="EU191" s="93"/>
      <c r="EV191" s="20"/>
      <c r="EW191" s="25"/>
      <c r="EX191" s="915"/>
      <c r="EY191" s="916"/>
      <c r="EZ191" s="916"/>
      <c r="FA191" s="916"/>
      <c r="FB191" s="916"/>
      <c r="FC191" s="916"/>
      <c r="FD191" s="916"/>
      <c r="FE191" s="916"/>
      <c r="FF191" s="916"/>
      <c r="FG191" s="917"/>
      <c r="FH191" s="25"/>
      <c r="FI191" s="848">
        <v>47270</v>
      </c>
      <c r="FJ191" s="19"/>
      <c r="FK191" s="93"/>
      <c r="FL191" s="20"/>
      <c r="FM191" s="25"/>
      <c r="FN191" s="19"/>
      <c r="FO191" s="93"/>
      <c r="FP191" s="93"/>
      <c r="FQ191" s="93"/>
      <c r="FR191" s="93"/>
      <c r="FS191" s="93"/>
      <c r="FT191" s="93"/>
      <c r="FU191" s="93"/>
      <c r="FV191" s="93"/>
      <c r="FW191" s="917"/>
      <c r="FX191" s="25"/>
      <c r="FY191" s="916"/>
      <c r="FZ191" s="916"/>
      <c r="GA191" s="916"/>
      <c r="GB191" s="916"/>
      <c r="GC191" s="916"/>
      <c r="GD191" s="916"/>
      <c r="GE191" s="916"/>
      <c r="GF191" s="916"/>
      <c r="GG191" s="916"/>
      <c r="GH191" s="916"/>
      <c r="GI191" s="917"/>
      <c r="GJ191" s="25"/>
      <c r="GK191" s="19"/>
      <c r="GL191" s="20"/>
      <c r="GM191" s="25"/>
      <c r="GN191" s="19"/>
      <c r="GO191" s="20"/>
      <c r="GP191" s="25"/>
      <c r="GQ191" s="19"/>
      <c r="GR191" s="20"/>
      <c r="GS191" s="25"/>
      <c r="GT191" s="848">
        <v>47270</v>
      </c>
      <c r="GU191" s="19"/>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848">
        <v>47270</v>
      </c>
      <c r="IX191" s="93"/>
      <c r="IY191" s="93"/>
      <c r="IZ191" s="93"/>
      <c r="JA191" s="93"/>
      <c r="JB191" s="93"/>
      <c r="JC191" s="93"/>
      <c r="JD191" s="93"/>
      <c r="JE191" s="93"/>
      <c r="JF191" s="93"/>
      <c r="JG191" s="93"/>
      <c r="JH191" s="93"/>
      <c r="JI191" s="93"/>
      <c r="JJ191" s="93"/>
      <c r="JK191" s="93"/>
      <c r="JL191" s="93"/>
      <c r="JM191" s="93"/>
      <c r="JN191" s="93"/>
      <c r="JO191" s="93"/>
      <c r="JP191" s="93"/>
      <c r="JQ191" s="93"/>
      <c r="JR191" s="93"/>
      <c r="JS191" s="93"/>
      <c r="JT191" s="20"/>
      <c r="JU191" s="29"/>
      <c r="JV191" s="19"/>
      <c r="JW191" s="93"/>
      <c r="JX191" s="93"/>
      <c r="JY191" s="93"/>
      <c r="JZ191" s="93"/>
      <c r="KA191" s="93"/>
      <c r="KB191" s="93"/>
      <c r="KC191" s="93"/>
      <c r="KD191" s="93"/>
      <c r="KE191" s="93"/>
      <c r="KF191" s="93"/>
      <c r="KG191" s="93"/>
      <c r="KH191" s="93"/>
      <c r="KI191" s="93"/>
      <c r="KJ191" s="93"/>
      <c r="KK191" s="93"/>
      <c r="KL191" s="93"/>
      <c r="KM191" s="93"/>
      <c r="KN191" s="93"/>
      <c r="KO191" s="93"/>
      <c r="KP191" s="93"/>
      <c r="KQ191" s="93"/>
      <c r="KR191" s="93"/>
      <c r="KS191" s="93"/>
      <c r="KT191" s="93"/>
      <c r="KU191" s="93"/>
      <c r="KV191" s="93"/>
      <c r="KW191" s="20"/>
      <c r="KX191" s="29"/>
      <c r="KY191" s="19"/>
      <c r="KZ191" s="93"/>
      <c r="LA191" s="93"/>
      <c r="LB191" s="93"/>
      <c r="LC191" s="93"/>
      <c r="LD191" s="93"/>
      <c r="LE191" s="93"/>
      <c r="LF191" s="93"/>
      <c r="LG191" s="93"/>
      <c r="LH191" s="93"/>
      <c r="LI191" s="93"/>
      <c r="LJ191" s="93"/>
      <c r="LK191" s="93"/>
      <c r="LL191" s="93"/>
      <c r="LM191" s="93"/>
      <c r="LN191" s="93"/>
      <c r="LO191" s="93"/>
      <c r="LP191" s="93"/>
      <c r="LQ191" s="93"/>
      <c r="LR191" s="93"/>
      <c r="LS191" s="93"/>
      <c r="LT191" s="93"/>
      <c r="LU191" s="93"/>
      <c r="LV191" s="93"/>
      <c r="LW191" s="93"/>
      <c r="LX191" s="93"/>
      <c r="LY191" s="93"/>
      <c r="LZ191" s="93"/>
      <c r="MA191" s="93"/>
      <c r="MB191" s="93"/>
      <c r="MC191" s="93"/>
      <c r="MD191" s="93"/>
      <c r="ME191" s="93"/>
      <c r="MF191" s="93"/>
      <c r="MG191" s="93"/>
      <c r="MH191" s="20"/>
      <c r="MI191" s="29"/>
      <c r="MJ191" s="29" t="str">
        <f t="shared" si="88"/>
        <v>Trimestre 22029</v>
      </c>
      <c r="MK191" s="848">
        <v>47270</v>
      </c>
      <c r="ML191" s="1991"/>
      <c r="MM191" s="1991"/>
      <c r="MN191" s="1991"/>
      <c r="MO191" s="1991"/>
      <c r="MP191" s="1991"/>
      <c r="MQ191" s="1991"/>
      <c r="MR191" s="1991"/>
      <c r="MS191" s="1991"/>
      <c r="MT191" s="1991"/>
      <c r="MU191" s="1991"/>
      <c r="MV191" s="1991"/>
      <c r="MW191" s="1991"/>
      <c r="MX191" s="1991"/>
      <c r="MY191" s="1991"/>
      <c r="MZ191" s="1991"/>
      <c r="NA191" s="1991"/>
      <c r="NB191" s="1991"/>
      <c r="NC191" s="1991"/>
      <c r="ND191" s="1991"/>
      <c r="NE191" s="1991"/>
      <c r="NF191" s="1991"/>
      <c r="NG191" s="1991"/>
      <c r="NH191" s="1991"/>
      <c r="NI191" s="1991"/>
      <c r="NJ191" s="1991"/>
      <c r="NK191" s="1991"/>
      <c r="NL191" s="29"/>
    </row>
    <row r="192" spans="1:376">
      <c r="A192" s="41">
        <f t="shared" si="86"/>
        <v>2029</v>
      </c>
      <c r="B192" s="785">
        <v>47362</v>
      </c>
      <c r="C192" s="19"/>
      <c r="D192" s="93"/>
      <c r="E192" s="93"/>
      <c r="F192" s="93"/>
      <c r="G192" s="93"/>
      <c r="H192" s="93"/>
      <c r="I192" s="93"/>
      <c r="J192" s="93"/>
      <c r="K192" s="93"/>
      <c r="L192" s="93"/>
      <c r="M192" s="20"/>
      <c r="N192" s="25"/>
      <c r="O192" s="889">
        <f t="shared" si="85"/>
        <v>2029</v>
      </c>
      <c r="P192" s="29" t="str">
        <f t="shared" si="87"/>
        <v>Trimestre 32029</v>
      </c>
      <c r="Q192" s="848">
        <v>47362</v>
      </c>
      <c r="R192" s="733"/>
      <c r="S192" s="570"/>
      <c r="T192" s="570"/>
      <c r="U192" s="734"/>
      <c r="V192" s="25"/>
      <c r="W192" s="19"/>
      <c r="X192" s="93"/>
      <c r="Y192" s="93"/>
      <c r="Z192" s="93"/>
      <c r="AA192" s="93"/>
      <c r="AB192" s="93"/>
      <c r="AC192" s="93"/>
      <c r="AD192" s="93"/>
      <c r="AE192" s="20"/>
      <c r="AF192" s="25"/>
      <c r="AG192" s="19"/>
      <c r="AH192" s="93"/>
      <c r="AI192" s="93"/>
      <c r="AJ192" s="93"/>
      <c r="AK192" s="93"/>
      <c r="AL192" s="93"/>
      <c r="AM192" s="93"/>
      <c r="AN192" s="20"/>
      <c r="AO192" s="19"/>
      <c r="AP192" s="93"/>
      <c r="AQ192" s="93"/>
      <c r="AR192" s="93"/>
      <c r="AS192" s="20"/>
      <c r="AT192" s="19"/>
      <c r="AU192" s="93"/>
      <c r="AV192" s="20"/>
      <c r="AW192" s="19"/>
      <c r="AX192" s="93"/>
      <c r="AY192" s="93"/>
      <c r="AZ192" s="93"/>
      <c r="BA192" s="93"/>
      <c r="BB192" s="93"/>
      <c r="BC192" s="20"/>
      <c r="BD192" s="19"/>
      <c r="BE192" s="93"/>
      <c r="BF192" s="93"/>
      <c r="BG192" s="93"/>
      <c r="BH192" s="93"/>
      <c r="BI192" s="93"/>
      <c r="BJ192" s="93"/>
      <c r="BK192" s="20"/>
      <c r="BL192" s="19"/>
      <c r="BM192" s="93"/>
      <c r="BN192" s="93"/>
      <c r="BO192" s="93"/>
      <c r="BP192" s="93"/>
      <c r="BQ192" s="20"/>
      <c r="BR192" s="19"/>
      <c r="BS192" s="93"/>
      <c r="BT192" s="93"/>
      <c r="BU192" s="20"/>
      <c r="BV192" s="19"/>
      <c r="BW192" s="93"/>
      <c r="BX192" s="93"/>
      <c r="BY192" s="93"/>
      <c r="BZ192" s="93"/>
      <c r="CA192" s="93"/>
      <c r="CB192" s="20"/>
      <c r="CC192" s="25"/>
      <c r="CD192" s="19"/>
      <c r="CE192" s="93"/>
      <c r="CF192" s="20"/>
      <c r="CG192" s="25"/>
      <c r="CH192" s="19"/>
      <c r="CI192" s="93"/>
      <c r="CJ192" s="93"/>
      <c r="CK192" s="93"/>
      <c r="CL192" s="93"/>
      <c r="CM192" s="93"/>
      <c r="CN192" s="93"/>
      <c r="CO192" s="93"/>
      <c r="CP192" s="93"/>
      <c r="CQ192" s="93"/>
      <c r="CR192" s="214"/>
      <c r="CS192" s="20"/>
      <c r="CT192" s="25"/>
      <c r="CU192" s="19"/>
      <c r="CV192" s="93"/>
      <c r="CW192" s="93"/>
      <c r="CX192" s="93"/>
      <c r="CY192" s="93"/>
      <c r="CZ192" s="93"/>
      <c r="DA192" s="93"/>
      <c r="DB192" s="20"/>
      <c r="DC192" s="25"/>
      <c r="DD192" s="785">
        <v>47362</v>
      </c>
      <c r="DE192" s="19"/>
      <c r="DF192" s="20"/>
      <c r="DG192" s="25"/>
      <c r="DH192" s="19"/>
      <c r="DI192" s="20"/>
      <c r="DJ192" s="25"/>
      <c r="DK192" s="19"/>
      <c r="DL192" s="20"/>
      <c r="DM192" s="19"/>
      <c r="DN192" s="20"/>
      <c r="DO192" s="25"/>
      <c r="DP192" s="19"/>
      <c r="DQ192" s="93"/>
      <c r="DR192" s="20"/>
      <c r="DS192" s="25"/>
      <c r="DT192" s="19"/>
      <c r="DU192" s="93"/>
      <c r="DV192" s="20"/>
      <c r="DW192" s="25"/>
      <c r="DX192" s="19"/>
      <c r="DY192" s="20"/>
      <c r="DZ192" s="25"/>
      <c r="EA192" s="19"/>
      <c r="EB192" s="93"/>
      <c r="EC192" s="93"/>
      <c r="ED192" s="93"/>
      <c r="EE192" s="20"/>
      <c r="EF192" s="25"/>
      <c r="EG192" s="19"/>
      <c r="EH192" s="93"/>
      <c r="EI192" s="93"/>
      <c r="EJ192" s="93"/>
      <c r="EK192" s="20"/>
      <c r="EL192" s="25"/>
      <c r="EM192" s="19"/>
      <c r="EN192" s="93"/>
      <c r="EO192" s="93"/>
      <c r="EP192" s="93"/>
      <c r="EQ192" s="93"/>
      <c r="ER192" s="93"/>
      <c r="ES192" s="93"/>
      <c r="ET192" s="93"/>
      <c r="EU192" s="93"/>
      <c r="EV192" s="20"/>
      <c r="EW192" s="25"/>
      <c r="EX192" s="915"/>
      <c r="EY192" s="916"/>
      <c r="EZ192" s="916"/>
      <c r="FA192" s="916"/>
      <c r="FB192" s="916"/>
      <c r="FC192" s="916"/>
      <c r="FD192" s="916"/>
      <c r="FE192" s="916"/>
      <c r="FF192" s="916"/>
      <c r="FG192" s="917"/>
      <c r="FH192" s="25"/>
      <c r="FI192" s="848">
        <v>47362</v>
      </c>
      <c r="FJ192" s="19"/>
      <c r="FK192" s="93"/>
      <c r="FL192" s="20"/>
      <c r="FM192" s="25"/>
      <c r="FN192" s="19"/>
      <c r="FO192" s="93"/>
      <c r="FP192" s="93"/>
      <c r="FQ192" s="93"/>
      <c r="FR192" s="93"/>
      <c r="FS192" s="93"/>
      <c r="FT192" s="93"/>
      <c r="FU192" s="93"/>
      <c r="FV192" s="93"/>
      <c r="FW192" s="917"/>
      <c r="FX192" s="25"/>
      <c r="FY192" s="916"/>
      <c r="FZ192" s="916"/>
      <c r="GA192" s="916"/>
      <c r="GB192" s="916"/>
      <c r="GC192" s="916"/>
      <c r="GD192" s="916"/>
      <c r="GE192" s="916"/>
      <c r="GF192" s="916"/>
      <c r="GG192" s="916"/>
      <c r="GH192" s="916"/>
      <c r="GI192" s="917"/>
      <c r="GJ192" s="25"/>
      <c r="GK192" s="19"/>
      <c r="GL192" s="20"/>
      <c r="GM192" s="25"/>
      <c r="GN192" s="19"/>
      <c r="GO192" s="20"/>
      <c r="GP192" s="25"/>
      <c r="GQ192" s="19"/>
      <c r="GR192" s="20"/>
      <c r="GS192" s="25"/>
      <c r="GT192" s="848">
        <v>47362</v>
      </c>
      <c r="GU192" s="19"/>
      <c r="GV192" s="93"/>
      <c r="GW192" s="93"/>
      <c r="GX192" s="93"/>
      <c r="GY192" s="93"/>
      <c r="GZ192" s="93"/>
      <c r="HA192" s="93"/>
      <c r="HB192" s="93"/>
      <c r="HC192" s="93"/>
      <c r="HD192" s="93"/>
      <c r="HE192" s="93"/>
      <c r="HF192" s="93"/>
      <c r="HG192" s="93"/>
      <c r="HH192" s="93"/>
      <c r="HI192" s="93"/>
      <c r="HJ192" s="93"/>
      <c r="HK192" s="93"/>
      <c r="HL192" s="93"/>
      <c r="HM192" s="93"/>
      <c r="HN192" s="93"/>
      <c r="HO192" s="93"/>
      <c r="HP192" s="93"/>
      <c r="HQ192" s="93"/>
      <c r="HR192" s="93"/>
      <c r="HS192" s="93"/>
      <c r="HT192" s="93"/>
      <c r="HU192" s="93"/>
      <c r="HV192" s="93"/>
      <c r="HW192" s="93"/>
      <c r="HX192" s="93"/>
      <c r="HY192" s="93"/>
      <c r="HZ192" s="93"/>
      <c r="IA192" s="93"/>
      <c r="IB192" s="93"/>
      <c r="IC192" s="93"/>
      <c r="ID192" s="93"/>
      <c r="IE192" s="93"/>
      <c r="IF192" s="93"/>
      <c r="IG192" s="93"/>
      <c r="IH192" s="93"/>
      <c r="II192" s="93"/>
      <c r="IJ192" s="93"/>
      <c r="IK192" s="93"/>
      <c r="IL192" s="93"/>
      <c r="IM192" s="93"/>
      <c r="IN192" s="93"/>
      <c r="IO192" s="93"/>
      <c r="IP192" s="93"/>
      <c r="IQ192" s="93"/>
      <c r="IR192" s="93"/>
      <c r="IS192" s="93"/>
      <c r="IT192" s="93"/>
      <c r="IU192" s="93"/>
      <c r="IV192" s="93"/>
      <c r="IW192" s="848">
        <v>47362</v>
      </c>
      <c r="IX192" s="93"/>
      <c r="IY192" s="93"/>
      <c r="IZ192" s="93"/>
      <c r="JA192" s="93"/>
      <c r="JB192" s="93"/>
      <c r="JC192" s="93"/>
      <c r="JD192" s="93"/>
      <c r="JE192" s="93"/>
      <c r="JF192" s="93"/>
      <c r="JG192" s="93"/>
      <c r="JH192" s="93"/>
      <c r="JI192" s="93"/>
      <c r="JJ192" s="93"/>
      <c r="JK192" s="93"/>
      <c r="JL192" s="93"/>
      <c r="JM192" s="93"/>
      <c r="JN192" s="93"/>
      <c r="JO192" s="93"/>
      <c r="JP192" s="93"/>
      <c r="JQ192" s="93"/>
      <c r="JR192" s="93"/>
      <c r="JS192" s="93"/>
      <c r="JT192" s="20"/>
      <c r="JU192" s="29"/>
      <c r="JV192" s="19"/>
      <c r="JW192" s="93"/>
      <c r="JX192" s="93"/>
      <c r="JY192" s="93"/>
      <c r="JZ192" s="93"/>
      <c r="KA192" s="93"/>
      <c r="KB192" s="93"/>
      <c r="KC192" s="93"/>
      <c r="KD192" s="93"/>
      <c r="KE192" s="93"/>
      <c r="KF192" s="93"/>
      <c r="KG192" s="93"/>
      <c r="KH192" s="93"/>
      <c r="KI192" s="93"/>
      <c r="KJ192" s="93"/>
      <c r="KK192" s="93"/>
      <c r="KL192" s="93"/>
      <c r="KM192" s="93"/>
      <c r="KN192" s="93"/>
      <c r="KO192" s="93"/>
      <c r="KP192" s="93"/>
      <c r="KQ192" s="93"/>
      <c r="KR192" s="93"/>
      <c r="KS192" s="93"/>
      <c r="KT192" s="93"/>
      <c r="KU192" s="93"/>
      <c r="KV192" s="93"/>
      <c r="KW192" s="20"/>
      <c r="KX192" s="29"/>
      <c r="KY192" s="19"/>
      <c r="KZ192" s="93"/>
      <c r="LA192" s="93"/>
      <c r="LB192" s="93"/>
      <c r="LC192" s="93"/>
      <c r="LD192" s="93"/>
      <c r="LE192" s="93"/>
      <c r="LF192" s="93"/>
      <c r="LG192" s="93"/>
      <c r="LH192" s="93"/>
      <c r="LI192" s="93"/>
      <c r="LJ192" s="93"/>
      <c r="LK192" s="93"/>
      <c r="LL192" s="93"/>
      <c r="LM192" s="93"/>
      <c r="LN192" s="93"/>
      <c r="LO192" s="93"/>
      <c r="LP192" s="93"/>
      <c r="LQ192" s="93"/>
      <c r="LR192" s="93"/>
      <c r="LS192" s="93"/>
      <c r="LT192" s="93"/>
      <c r="LU192" s="93"/>
      <c r="LV192" s="93"/>
      <c r="LW192" s="93"/>
      <c r="LX192" s="93"/>
      <c r="LY192" s="93"/>
      <c r="LZ192" s="93"/>
      <c r="MA192" s="93"/>
      <c r="MB192" s="93"/>
      <c r="MC192" s="93"/>
      <c r="MD192" s="93"/>
      <c r="ME192" s="93"/>
      <c r="MF192" s="93"/>
      <c r="MG192" s="93"/>
      <c r="MH192" s="20"/>
      <c r="MI192" s="29"/>
      <c r="MJ192" s="29" t="str">
        <f t="shared" si="88"/>
        <v>Trimestre 32029</v>
      </c>
      <c r="MK192" s="848">
        <v>47362</v>
      </c>
      <c r="ML192" s="1991"/>
      <c r="MM192" s="1991"/>
      <c r="MN192" s="1991"/>
      <c r="MO192" s="1991"/>
      <c r="MP192" s="1991"/>
      <c r="MQ192" s="1991"/>
      <c r="MR192" s="1991"/>
      <c r="MS192" s="1991"/>
      <c r="MT192" s="1991"/>
      <c r="MU192" s="1991"/>
      <c r="MV192" s="1991"/>
      <c r="MW192" s="1991"/>
      <c r="MX192" s="1991"/>
      <c r="MY192" s="1991"/>
      <c r="MZ192" s="1991"/>
      <c r="NA192" s="1991"/>
      <c r="NB192" s="1991"/>
      <c r="NC192" s="1991"/>
      <c r="ND192" s="1991"/>
      <c r="NE192" s="1991"/>
      <c r="NF192" s="1991"/>
      <c r="NG192" s="1991"/>
      <c r="NH192" s="1991"/>
      <c r="NI192" s="1991"/>
      <c r="NJ192" s="1991"/>
      <c r="NK192" s="1991"/>
      <c r="NL192" s="29"/>
    </row>
    <row r="193" spans="1:376">
      <c r="A193" s="41">
        <f t="shared" si="86"/>
        <v>2029</v>
      </c>
      <c r="B193" s="785">
        <v>47453</v>
      </c>
      <c r="C193" s="19"/>
      <c r="D193" s="93"/>
      <c r="E193" s="93"/>
      <c r="F193" s="93"/>
      <c r="G193" s="93"/>
      <c r="H193" s="93"/>
      <c r="I193" s="93"/>
      <c r="J193" s="93"/>
      <c r="K193" s="93"/>
      <c r="L193" s="93"/>
      <c r="M193" s="20"/>
      <c r="N193" s="25"/>
      <c r="O193" s="889">
        <f t="shared" si="85"/>
        <v>2029</v>
      </c>
      <c r="P193" s="29" t="str">
        <f t="shared" si="87"/>
        <v>Trimestre 42029</v>
      </c>
      <c r="Q193" s="848">
        <v>47453</v>
      </c>
      <c r="R193" s="733"/>
      <c r="S193" s="570"/>
      <c r="T193" s="570"/>
      <c r="U193" s="734"/>
      <c r="V193" s="25"/>
      <c r="W193" s="19"/>
      <c r="X193" s="93"/>
      <c r="Y193" s="93"/>
      <c r="Z193" s="93"/>
      <c r="AA193" s="93"/>
      <c r="AB193" s="93"/>
      <c r="AC193" s="93"/>
      <c r="AD193" s="93"/>
      <c r="AE193" s="20"/>
      <c r="AF193" s="25"/>
      <c r="AG193" s="19"/>
      <c r="AH193" s="93"/>
      <c r="AI193" s="93"/>
      <c r="AJ193" s="93"/>
      <c r="AK193" s="93"/>
      <c r="AL193" s="93"/>
      <c r="AM193" s="93"/>
      <c r="AN193" s="20"/>
      <c r="AO193" s="19"/>
      <c r="AP193" s="93"/>
      <c r="AQ193" s="93"/>
      <c r="AR193" s="93"/>
      <c r="AS193" s="20"/>
      <c r="AT193" s="19"/>
      <c r="AU193" s="93"/>
      <c r="AV193" s="20"/>
      <c r="AW193" s="19"/>
      <c r="AX193" s="93"/>
      <c r="AY193" s="93"/>
      <c r="AZ193" s="93"/>
      <c r="BA193" s="93"/>
      <c r="BB193" s="93"/>
      <c r="BC193" s="20"/>
      <c r="BD193" s="19"/>
      <c r="BE193" s="93"/>
      <c r="BF193" s="93"/>
      <c r="BG193" s="93"/>
      <c r="BH193" s="93"/>
      <c r="BI193" s="93"/>
      <c r="BJ193" s="93"/>
      <c r="BK193" s="20"/>
      <c r="BL193" s="19"/>
      <c r="BM193" s="93"/>
      <c r="BN193" s="93"/>
      <c r="BO193" s="93"/>
      <c r="BP193" s="93"/>
      <c r="BQ193" s="20"/>
      <c r="BR193" s="19"/>
      <c r="BS193" s="93"/>
      <c r="BT193" s="93"/>
      <c r="BU193" s="20"/>
      <c r="BV193" s="19"/>
      <c r="BW193" s="93"/>
      <c r="BX193" s="93"/>
      <c r="BY193" s="93"/>
      <c r="BZ193" s="93"/>
      <c r="CA193" s="93"/>
      <c r="CB193" s="20"/>
      <c r="CC193" s="25"/>
      <c r="CD193" s="19"/>
      <c r="CE193" s="93"/>
      <c r="CF193" s="20"/>
      <c r="CG193" s="25"/>
      <c r="CH193" s="19"/>
      <c r="CI193" s="93"/>
      <c r="CJ193" s="93"/>
      <c r="CK193" s="93"/>
      <c r="CL193" s="93"/>
      <c r="CM193" s="93"/>
      <c r="CN193" s="93"/>
      <c r="CO193" s="93"/>
      <c r="CP193" s="93"/>
      <c r="CQ193" s="93"/>
      <c r="CR193" s="214"/>
      <c r="CS193" s="20"/>
      <c r="CT193" s="25"/>
      <c r="CU193" s="19"/>
      <c r="CV193" s="93"/>
      <c r="CW193" s="93"/>
      <c r="CX193" s="93"/>
      <c r="CY193" s="93"/>
      <c r="CZ193" s="93"/>
      <c r="DA193" s="93"/>
      <c r="DB193" s="20"/>
      <c r="DC193" s="25"/>
      <c r="DD193" s="785">
        <v>47453</v>
      </c>
      <c r="DE193" s="19"/>
      <c r="DF193" s="20"/>
      <c r="DG193" s="25"/>
      <c r="DH193" s="19"/>
      <c r="DI193" s="20"/>
      <c r="DJ193" s="25"/>
      <c r="DK193" s="19"/>
      <c r="DL193" s="20"/>
      <c r="DM193" s="19"/>
      <c r="DN193" s="20"/>
      <c r="DO193" s="25"/>
      <c r="DP193" s="19"/>
      <c r="DQ193" s="93"/>
      <c r="DR193" s="20"/>
      <c r="DS193" s="25"/>
      <c r="DT193" s="19"/>
      <c r="DU193" s="93"/>
      <c r="DV193" s="20"/>
      <c r="DW193" s="25"/>
      <c r="DX193" s="19"/>
      <c r="DY193" s="20"/>
      <c r="DZ193" s="25"/>
      <c r="EA193" s="19"/>
      <c r="EB193" s="93"/>
      <c r="EC193" s="93"/>
      <c r="ED193" s="93"/>
      <c r="EE193" s="20"/>
      <c r="EF193" s="25"/>
      <c r="EG193" s="19"/>
      <c r="EH193" s="93"/>
      <c r="EI193" s="93"/>
      <c r="EJ193" s="93"/>
      <c r="EK193" s="20"/>
      <c r="EL193" s="25"/>
      <c r="EM193" s="19"/>
      <c r="EN193" s="93"/>
      <c r="EO193" s="93"/>
      <c r="EP193" s="93"/>
      <c r="EQ193" s="93"/>
      <c r="ER193" s="93"/>
      <c r="ES193" s="93"/>
      <c r="ET193" s="93"/>
      <c r="EU193" s="93"/>
      <c r="EV193" s="20"/>
      <c r="EW193" s="25"/>
      <c r="EX193" s="915"/>
      <c r="EY193" s="916"/>
      <c r="EZ193" s="916"/>
      <c r="FA193" s="916"/>
      <c r="FB193" s="916"/>
      <c r="FC193" s="916"/>
      <c r="FD193" s="916"/>
      <c r="FE193" s="916"/>
      <c r="FF193" s="916"/>
      <c r="FG193" s="917"/>
      <c r="FH193" s="25"/>
      <c r="FI193" s="848">
        <v>47453</v>
      </c>
      <c r="FJ193" s="19"/>
      <c r="FK193" s="93"/>
      <c r="FL193" s="20"/>
      <c r="FM193" s="25"/>
      <c r="FN193" s="19"/>
      <c r="FO193" s="93"/>
      <c r="FP193" s="93"/>
      <c r="FQ193" s="93"/>
      <c r="FR193" s="93"/>
      <c r="FS193" s="93"/>
      <c r="FT193" s="93"/>
      <c r="FU193" s="93"/>
      <c r="FV193" s="93"/>
      <c r="FW193" s="917"/>
      <c r="FX193" s="25"/>
      <c r="FY193" s="916"/>
      <c r="FZ193" s="916"/>
      <c r="GA193" s="916"/>
      <c r="GB193" s="916"/>
      <c r="GC193" s="916"/>
      <c r="GD193" s="916"/>
      <c r="GE193" s="916"/>
      <c r="GF193" s="916"/>
      <c r="GG193" s="916"/>
      <c r="GH193" s="916"/>
      <c r="GI193" s="917"/>
      <c r="GJ193" s="25"/>
      <c r="GK193" s="19"/>
      <c r="GL193" s="20"/>
      <c r="GM193" s="25"/>
      <c r="GN193" s="19"/>
      <c r="GO193" s="20"/>
      <c r="GP193" s="25"/>
      <c r="GQ193" s="19"/>
      <c r="GR193" s="20"/>
      <c r="GS193" s="25"/>
      <c r="GT193" s="848">
        <v>47453</v>
      </c>
      <c r="GU193" s="19"/>
      <c r="GV193" s="93"/>
      <c r="GW193" s="93"/>
      <c r="GX193" s="93"/>
      <c r="GY193" s="93"/>
      <c r="GZ193" s="93"/>
      <c r="HA193" s="93"/>
      <c r="HB193" s="93"/>
      <c r="HC193" s="93"/>
      <c r="HD193" s="93"/>
      <c r="HE193" s="93"/>
      <c r="HF193" s="93"/>
      <c r="HG193" s="93"/>
      <c r="HH193" s="93"/>
      <c r="HI193" s="93"/>
      <c r="HJ193" s="93"/>
      <c r="HK193" s="93"/>
      <c r="HL193" s="93"/>
      <c r="HM193" s="93"/>
      <c r="HN193" s="93"/>
      <c r="HO193" s="93"/>
      <c r="HP193" s="93"/>
      <c r="HQ193" s="93"/>
      <c r="HR193" s="93"/>
      <c r="HS193" s="93"/>
      <c r="HT193" s="93"/>
      <c r="HU193" s="93"/>
      <c r="HV193" s="93"/>
      <c r="HW193" s="93"/>
      <c r="HX193" s="93"/>
      <c r="HY193" s="93"/>
      <c r="HZ193" s="93"/>
      <c r="IA193" s="93"/>
      <c r="IB193" s="93"/>
      <c r="IC193" s="93"/>
      <c r="ID193" s="93"/>
      <c r="IE193" s="93"/>
      <c r="IF193" s="93"/>
      <c r="IG193" s="93"/>
      <c r="IH193" s="93"/>
      <c r="II193" s="93"/>
      <c r="IJ193" s="93"/>
      <c r="IK193" s="93"/>
      <c r="IL193" s="93"/>
      <c r="IM193" s="93"/>
      <c r="IN193" s="93"/>
      <c r="IO193" s="93"/>
      <c r="IP193" s="93"/>
      <c r="IQ193" s="93"/>
      <c r="IR193" s="93"/>
      <c r="IS193" s="93"/>
      <c r="IT193" s="93"/>
      <c r="IU193" s="93"/>
      <c r="IV193" s="93"/>
      <c r="IW193" s="848">
        <v>47453</v>
      </c>
      <c r="IX193" s="93"/>
      <c r="IY193" s="93"/>
      <c r="IZ193" s="93"/>
      <c r="JA193" s="93"/>
      <c r="JB193" s="93"/>
      <c r="JC193" s="93"/>
      <c r="JD193" s="93"/>
      <c r="JE193" s="93"/>
      <c r="JF193" s="93"/>
      <c r="JG193" s="93"/>
      <c r="JH193" s="93"/>
      <c r="JI193" s="93"/>
      <c r="JJ193" s="93"/>
      <c r="JK193" s="93"/>
      <c r="JL193" s="93"/>
      <c r="JM193" s="93"/>
      <c r="JN193" s="93"/>
      <c r="JO193" s="93"/>
      <c r="JP193" s="93"/>
      <c r="JQ193" s="93"/>
      <c r="JR193" s="93"/>
      <c r="JS193" s="93"/>
      <c r="JT193" s="20"/>
      <c r="JU193" s="29"/>
      <c r="JV193" s="19"/>
      <c r="JW193" s="93"/>
      <c r="JX193" s="93"/>
      <c r="JY193" s="93"/>
      <c r="JZ193" s="93"/>
      <c r="KA193" s="93"/>
      <c r="KB193" s="93"/>
      <c r="KC193" s="93"/>
      <c r="KD193" s="93"/>
      <c r="KE193" s="93"/>
      <c r="KF193" s="93"/>
      <c r="KG193" s="93"/>
      <c r="KH193" s="93"/>
      <c r="KI193" s="93"/>
      <c r="KJ193" s="93"/>
      <c r="KK193" s="93"/>
      <c r="KL193" s="93"/>
      <c r="KM193" s="93"/>
      <c r="KN193" s="93"/>
      <c r="KO193" s="93"/>
      <c r="KP193" s="93"/>
      <c r="KQ193" s="93"/>
      <c r="KR193" s="93"/>
      <c r="KS193" s="93"/>
      <c r="KT193" s="93"/>
      <c r="KU193" s="93"/>
      <c r="KV193" s="93"/>
      <c r="KW193" s="20"/>
      <c r="KX193" s="29"/>
      <c r="KY193" s="19"/>
      <c r="KZ193" s="93"/>
      <c r="LA193" s="93"/>
      <c r="LB193" s="93"/>
      <c r="LC193" s="93"/>
      <c r="LD193" s="93"/>
      <c r="LE193" s="93"/>
      <c r="LF193" s="93"/>
      <c r="LG193" s="93"/>
      <c r="LH193" s="93"/>
      <c r="LI193" s="93"/>
      <c r="LJ193" s="93"/>
      <c r="LK193" s="93"/>
      <c r="LL193" s="93"/>
      <c r="LM193" s="93"/>
      <c r="LN193" s="93"/>
      <c r="LO193" s="93"/>
      <c r="LP193" s="93"/>
      <c r="LQ193" s="93"/>
      <c r="LR193" s="93"/>
      <c r="LS193" s="93"/>
      <c r="LT193" s="93"/>
      <c r="LU193" s="93"/>
      <c r="LV193" s="93"/>
      <c r="LW193" s="93"/>
      <c r="LX193" s="93"/>
      <c r="LY193" s="93"/>
      <c r="LZ193" s="93"/>
      <c r="MA193" s="93"/>
      <c r="MB193" s="93"/>
      <c r="MC193" s="93"/>
      <c r="MD193" s="93"/>
      <c r="ME193" s="93"/>
      <c r="MF193" s="93"/>
      <c r="MG193" s="93"/>
      <c r="MH193" s="20"/>
      <c r="MI193" s="29"/>
      <c r="MJ193" s="29" t="str">
        <f t="shared" si="88"/>
        <v>Trimestre 42029</v>
      </c>
      <c r="MK193" s="848">
        <v>47453</v>
      </c>
      <c r="ML193" s="1991"/>
      <c r="MM193" s="1991"/>
      <c r="MN193" s="1991"/>
      <c r="MO193" s="1991"/>
      <c r="MP193" s="1991"/>
      <c r="MQ193" s="1991"/>
      <c r="MR193" s="1991"/>
      <c r="MS193" s="1991"/>
      <c r="MT193" s="1991"/>
      <c r="MU193" s="1991"/>
      <c r="MV193" s="1991"/>
      <c r="MW193" s="1991"/>
      <c r="MX193" s="1991"/>
      <c r="MY193" s="1991"/>
      <c r="MZ193" s="1991"/>
      <c r="NA193" s="1991"/>
      <c r="NB193" s="1991"/>
      <c r="NC193" s="1991"/>
      <c r="ND193" s="1991"/>
      <c r="NE193" s="1991"/>
      <c r="NF193" s="1991"/>
      <c r="NG193" s="1991"/>
      <c r="NH193" s="1991"/>
      <c r="NI193" s="1991"/>
      <c r="NJ193" s="1991"/>
      <c r="NK193" s="1991"/>
      <c r="NL193" s="29"/>
    </row>
    <row r="194" spans="1:376">
      <c r="A194" s="41">
        <f t="shared" si="86"/>
        <v>2030</v>
      </c>
      <c r="B194" s="785">
        <v>47543</v>
      </c>
      <c r="C194" s="19"/>
      <c r="D194" s="93"/>
      <c r="E194" s="93"/>
      <c r="F194" s="93"/>
      <c r="G194" s="93"/>
      <c r="H194" s="93"/>
      <c r="I194" s="93"/>
      <c r="J194" s="93"/>
      <c r="K194" s="93"/>
      <c r="L194" s="93"/>
      <c r="M194" s="20"/>
      <c r="N194" s="25"/>
      <c r="O194" s="889">
        <f t="shared" si="85"/>
        <v>2030</v>
      </c>
      <c r="P194" s="29" t="str">
        <f t="shared" si="87"/>
        <v>Trimestre 12030</v>
      </c>
      <c r="Q194" s="848">
        <v>47543</v>
      </c>
      <c r="R194" s="733"/>
      <c r="S194" s="570"/>
      <c r="T194" s="570"/>
      <c r="U194" s="734"/>
      <c r="V194" s="25"/>
      <c r="W194" s="19"/>
      <c r="X194" s="93"/>
      <c r="Y194" s="93"/>
      <c r="Z194" s="93"/>
      <c r="AA194" s="93"/>
      <c r="AB194" s="93"/>
      <c r="AC194" s="93"/>
      <c r="AD194" s="93"/>
      <c r="AE194" s="20"/>
      <c r="AF194" s="25"/>
      <c r="AG194" s="19"/>
      <c r="AH194" s="93"/>
      <c r="AI194" s="93"/>
      <c r="AJ194" s="93"/>
      <c r="AK194" s="93"/>
      <c r="AL194" s="93"/>
      <c r="AM194" s="93"/>
      <c r="AN194" s="20"/>
      <c r="AO194" s="19"/>
      <c r="AP194" s="93"/>
      <c r="AQ194" s="93"/>
      <c r="AR194" s="93"/>
      <c r="AS194" s="20"/>
      <c r="AT194" s="19"/>
      <c r="AU194" s="93"/>
      <c r="AV194" s="20"/>
      <c r="AW194" s="19"/>
      <c r="AX194" s="93"/>
      <c r="AY194" s="93"/>
      <c r="AZ194" s="93"/>
      <c r="BA194" s="93"/>
      <c r="BB194" s="93"/>
      <c r="BC194" s="20"/>
      <c r="BD194" s="19"/>
      <c r="BE194" s="93"/>
      <c r="BF194" s="93"/>
      <c r="BG194" s="93"/>
      <c r="BH194" s="93"/>
      <c r="BI194" s="93"/>
      <c r="BJ194" s="93"/>
      <c r="BK194" s="20"/>
      <c r="BL194" s="19"/>
      <c r="BM194" s="93"/>
      <c r="BN194" s="93"/>
      <c r="BO194" s="93"/>
      <c r="BP194" s="93"/>
      <c r="BQ194" s="20"/>
      <c r="BR194" s="19"/>
      <c r="BS194" s="93"/>
      <c r="BT194" s="93"/>
      <c r="BU194" s="20"/>
      <c r="BV194" s="19"/>
      <c r="BW194" s="93"/>
      <c r="BX194" s="93"/>
      <c r="BY194" s="93"/>
      <c r="BZ194" s="93"/>
      <c r="CA194" s="93"/>
      <c r="CB194" s="20"/>
      <c r="CC194" s="25"/>
      <c r="CD194" s="19"/>
      <c r="CE194" s="93"/>
      <c r="CF194" s="20"/>
      <c r="CG194" s="25"/>
      <c r="CH194" s="19"/>
      <c r="CI194" s="93"/>
      <c r="CJ194" s="93"/>
      <c r="CK194" s="93"/>
      <c r="CL194" s="93"/>
      <c r="CM194" s="93"/>
      <c r="CN194" s="93"/>
      <c r="CO194" s="93"/>
      <c r="CP194" s="93"/>
      <c r="CQ194" s="93"/>
      <c r="CR194" s="214"/>
      <c r="CS194" s="20"/>
      <c r="CT194" s="25"/>
      <c r="CU194" s="19"/>
      <c r="CV194" s="93"/>
      <c r="CW194" s="93"/>
      <c r="CX194" s="93"/>
      <c r="CY194" s="93"/>
      <c r="CZ194" s="93"/>
      <c r="DA194" s="93"/>
      <c r="DB194" s="20"/>
      <c r="DC194" s="25"/>
      <c r="DD194" s="785">
        <v>47543</v>
      </c>
      <c r="DE194" s="19"/>
      <c r="DF194" s="20"/>
      <c r="DG194" s="25"/>
      <c r="DH194" s="19"/>
      <c r="DI194" s="20"/>
      <c r="DJ194" s="25"/>
      <c r="DK194" s="19"/>
      <c r="DL194" s="20"/>
      <c r="DM194" s="19"/>
      <c r="DN194" s="20"/>
      <c r="DO194" s="25"/>
      <c r="DP194" s="19"/>
      <c r="DQ194" s="93"/>
      <c r="DR194" s="20"/>
      <c r="DS194" s="25"/>
      <c r="DT194" s="19"/>
      <c r="DU194" s="93"/>
      <c r="DV194" s="20"/>
      <c r="DW194" s="25"/>
      <c r="DX194" s="19"/>
      <c r="DY194" s="20"/>
      <c r="DZ194" s="25"/>
      <c r="EA194" s="19"/>
      <c r="EB194" s="93"/>
      <c r="EC194" s="93"/>
      <c r="ED194" s="93"/>
      <c r="EE194" s="20"/>
      <c r="EF194" s="25"/>
      <c r="EG194" s="19"/>
      <c r="EH194" s="93"/>
      <c r="EI194" s="93"/>
      <c r="EJ194" s="93"/>
      <c r="EK194" s="20"/>
      <c r="EL194" s="25"/>
      <c r="EM194" s="19"/>
      <c r="EN194" s="93"/>
      <c r="EO194" s="93"/>
      <c r="EP194" s="93"/>
      <c r="EQ194" s="93"/>
      <c r="ER194" s="93"/>
      <c r="ES194" s="93"/>
      <c r="ET194" s="93"/>
      <c r="EU194" s="93"/>
      <c r="EV194" s="20"/>
      <c r="EW194" s="25"/>
      <c r="EX194" s="915"/>
      <c r="EY194" s="916"/>
      <c r="EZ194" s="916"/>
      <c r="FA194" s="916"/>
      <c r="FB194" s="916"/>
      <c r="FC194" s="916"/>
      <c r="FD194" s="916"/>
      <c r="FE194" s="916"/>
      <c r="FF194" s="916"/>
      <c r="FG194" s="917"/>
      <c r="FH194" s="25"/>
      <c r="FI194" s="848">
        <v>47543</v>
      </c>
      <c r="FJ194" s="19"/>
      <c r="FK194" s="93"/>
      <c r="FL194" s="20"/>
      <c r="FM194" s="25"/>
      <c r="FN194" s="19"/>
      <c r="FO194" s="93"/>
      <c r="FP194" s="93"/>
      <c r="FQ194" s="93"/>
      <c r="FR194" s="93"/>
      <c r="FS194" s="93"/>
      <c r="FT194" s="93"/>
      <c r="FU194" s="93"/>
      <c r="FV194" s="93"/>
      <c r="FW194" s="917"/>
      <c r="FX194" s="25"/>
      <c r="FY194" s="916"/>
      <c r="FZ194" s="916"/>
      <c r="GA194" s="916"/>
      <c r="GB194" s="916"/>
      <c r="GC194" s="916"/>
      <c r="GD194" s="916"/>
      <c r="GE194" s="916"/>
      <c r="GF194" s="916"/>
      <c r="GG194" s="916"/>
      <c r="GH194" s="916"/>
      <c r="GI194" s="917"/>
      <c r="GJ194" s="25"/>
      <c r="GK194" s="19"/>
      <c r="GL194" s="20"/>
      <c r="GM194" s="25"/>
      <c r="GN194" s="19"/>
      <c r="GO194" s="20"/>
      <c r="GP194" s="25"/>
      <c r="GQ194" s="19"/>
      <c r="GR194" s="20"/>
      <c r="GS194" s="25"/>
      <c r="GT194" s="848">
        <v>47543</v>
      </c>
      <c r="GU194" s="19"/>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848">
        <v>47543</v>
      </c>
      <c r="IX194" s="93"/>
      <c r="IY194" s="93"/>
      <c r="IZ194" s="93"/>
      <c r="JA194" s="93"/>
      <c r="JB194" s="93"/>
      <c r="JC194" s="93"/>
      <c r="JD194" s="93"/>
      <c r="JE194" s="93"/>
      <c r="JF194" s="93"/>
      <c r="JG194" s="93"/>
      <c r="JH194" s="93"/>
      <c r="JI194" s="93"/>
      <c r="JJ194" s="93"/>
      <c r="JK194" s="93"/>
      <c r="JL194" s="93"/>
      <c r="JM194" s="93"/>
      <c r="JN194" s="93"/>
      <c r="JO194" s="93"/>
      <c r="JP194" s="93"/>
      <c r="JQ194" s="93"/>
      <c r="JR194" s="93"/>
      <c r="JS194" s="93"/>
      <c r="JT194" s="20"/>
      <c r="JU194" s="29"/>
      <c r="JV194" s="19"/>
      <c r="JW194" s="93"/>
      <c r="JX194" s="93"/>
      <c r="JY194" s="93"/>
      <c r="JZ194" s="93"/>
      <c r="KA194" s="93"/>
      <c r="KB194" s="93"/>
      <c r="KC194" s="93"/>
      <c r="KD194" s="93"/>
      <c r="KE194" s="93"/>
      <c r="KF194" s="93"/>
      <c r="KG194" s="93"/>
      <c r="KH194" s="93"/>
      <c r="KI194" s="93"/>
      <c r="KJ194" s="93"/>
      <c r="KK194" s="93"/>
      <c r="KL194" s="93"/>
      <c r="KM194" s="93"/>
      <c r="KN194" s="93"/>
      <c r="KO194" s="93"/>
      <c r="KP194" s="93"/>
      <c r="KQ194" s="93"/>
      <c r="KR194" s="93"/>
      <c r="KS194" s="93"/>
      <c r="KT194" s="93"/>
      <c r="KU194" s="93"/>
      <c r="KV194" s="93"/>
      <c r="KW194" s="20"/>
      <c r="KX194" s="29"/>
      <c r="KY194" s="19"/>
      <c r="KZ194" s="93"/>
      <c r="LA194" s="93"/>
      <c r="LB194" s="93"/>
      <c r="LC194" s="93"/>
      <c r="LD194" s="93"/>
      <c r="LE194" s="93"/>
      <c r="LF194" s="93"/>
      <c r="LG194" s="93"/>
      <c r="LH194" s="93"/>
      <c r="LI194" s="93"/>
      <c r="LJ194" s="93"/>
      <c r="LK194" s="93"/>
      <c r="LL194" s="93"/>
      <c r="LM194" s="93"/>
      <c r="LN194" s="93"/>
      <c r="LO194" s="93"/>
      <c r="LP194" s="93"/>
      <c r="LQ194" s="93"/>
      <c r="LR194" s="93"/>
      <c r="LS194" s="93"/>
      <c r="LT194" s="93"/>
      <c r="LU194" s="93"/>
      <c r="LV194" s="93"/>
      <c r="LW194" s="93"/>
      <c r="LX194" s="93"/>
      <c r="LY194" s="93"/>
      <c r="LZ194" s="93"/>
      <c r="MA194" s="93"/>
      <c r="MB194" s="93"/>
      <c r="MC194" s="93"/>
      <c r="MD194" s="93"/>
      <c r="ME194" s="93"/>
      <c r="MF194" s="93"/>
      <c r="MG194" s="93"/>
      <c r="MH194" s="20"/>
      <c r="MI194" s="29"/>
      <c r="MJ194" s="29" t="str">
        <f t="shared" si="88"/>
        <v>Trimestre 12030</v>
      </c>
      <c r="MK194" s="848">
        <v>47543</v>
      </c>
      <c r="ML194" s="1991"/>
      <c r="MM194" s="1991"/>
      <c r="MN194" s="1991"/>
      <c r="MO194" s="1991"/>
      <c r="MP194" s="1991"/>
      <c r="MQ194" s="1991"/>
      <c r="MR194" s="1991"/>
      <c r="MS194" s="1991"/>
      <c r="MT194" s="1991"/>
      <c r="MU194" s="1991"/>
      <c r="MV194" s="1991"/>
      <c r="MW194" s="1991"/>
      <c r="MX194" s="1991"/>
      <c r="MY194" s="1991"/>
      <c r="MZ194" s="1991"/>
      <c r="NA194" s="1991"/>
      <c r="NB194" s="1991"/>
      <c r="NC194" s="1991"/>
      <c r="ND194" s="1991"/>
      <c r="NE194" s="1991"/>
      <c r="NF194" s="1991"/>
      <c r="NG194" s="1991"/>
      <c r="NH194" s="1991"/>
      <c r="NI194" s="1991"/>
      <c r="NJ194" s="1991"/>
      <c r="NK194" s="1991"/>
      <c r="NL194" s="29"/>
    </row>
    <row r="195" spans="1:376">
      <c r="A195" s="41">
        <f t="shared" si="86"/>
        <v>2030</v>
      </c>
      <c r="B195" s="785">
        <v>47635</v>
      </c>
      <c r="C195" s="19"/>
      <c r="D195" s="93"/>
      <c r="E195" s="93"/>
      <c r="F195" s="93"/>
      <c r="G195" s="93"/>
      <c r="H195" s="93"/>
      <c r="I195" s="93"/>
      <c r="J195" s="93"/>
      <c r="K195" s="93"/>
      <c r="L195" s="93"/>
      <c r="M195" s="20"/>
      <c r="N195" s="25"/>
      <c r="O195" s="889">
        <f t="shared" si="85"/>
        <v>2030</v>
      </c>
      <c r="P195" s="29" t="str">
        <f t="shared" si="87"/>
        <v>Trimestre 22030</v>
      </c>
      <c r="Q195" s="848">
        <v>47635</v>
      </c>
      <c r="R195" s="733"/>
      <c r="S195" s="570"/>
      <c r="T195" s="570"/>
      <c r="U195" s="734"/>
      <c r="V195" s="25"/>
      <c r="W195" s="19"/>
      <c r="X195" s="93"/>
      <c r="Y195" s="93"/>
      <c r="Z195" s="93"/>
      <c r="AA195" s="93"/>
      <c r="AB195" s="93"/>
      <c r="AC195" s="93"/>
      <c r="AD195" s="93"/>
      <c r="AE195" s="20"/>
      <c r="AF195" s="25"/>
      <c r="AG195" s="19"/>
      <c r="AH195" s="93"/>
      <c r="AI195" s="93"/>
      <c r="AJ195" s="93"/>
      <c r="AK195" s="93"/>
      <c r="AL195" s="93"/>
      <c r="AM195" s="93"/>
      <c r="AN195" s="20"/>
      <c r="AO195" s="19"/>
      <c r="AP195" s="93"/>
      <c r="AQ195" s="93"/>
      <c r="AR195" s="93"/>
      <c r="AS195" s="20"/>
      <c r="AT195" s="19"/>
      <c r="AU195" s="93"/>
      <c r="AV195" s="20"/>
      <c r="AW195" s="19"/>
      <c r="AX195" s="93"/>
      <c r="AY195" s="93"/>
      <c r="AZ195" s="93"/>
      <c r="BA195" s="93"/>
      <c r="BB195" s="93"/>
      <c r="BC195" s="20"/>
      <c r="BD195" s="19"/>
      <c r="BE195" s="93"/>
      <c r="BF195" s="93"/>
      <c r="BG195" s="93"/>
      <c r="BH195" s="93"/>
      <c r="BI195" s="93"/>
      <c r="BJ195" s="93"/>
      <c r="BK195" s="20"/>
      <c r="BL195" s="19"/>
      <c r="BM195" s="93"/>
      <c r="BN195" s="93"/>
      <c r="BO195" s="93"/>
      <c r="BP195" s="93"/>
      <c r="BQ195" s="20"/>
      <c r="BR195" s="19"/>
      <c r="BS195" s="93"/>
      <c r="BT195" s="93"/>
      <c r="BU195" s="20"/>
      <c r="BV195" s="19"/>
      <c r="BW195" s="93"/>
      <c r="BX195" s="93"/>
      <c r="BY195" s="93"/>
      <c r="BZ195" s="93"/>
      <c r="CA195" s="93"/>
      <c r="CB195" s="20"/>
      <c r="CC195" s="25"/>
      <c r="CD195" s="19"/>
      <c r="CE195" s="93"/>
      <c r="CF195" s="20"/>
      <c r="CG195" s="25"/>
      <c r="CH195" s="19"/>
      <c r="CI195" s="93"/>
      <c r="CJ195" s="93"/>
      <c r="CK195" s="93"/>
      <c r="CL195" s="93"/>
      <c r="CM195" s="93"/>
      <c r="CN195" s="93"/>
      <c r="CO195" s="93"/>
      <c r="CP195" s="93"/>
      <c r="CQ195" s="93"/>
      <c r="CR195" s="214"/>
      <c r="CS195" s="20"/>
      <c r="CT195" s="25"/>
      <c r="CU195" s="19"/>
      <c r="CV195" s="93"/>
      <c r="CW195" s="93"/>
      <c r="CX195" s="93"/>
      <c r="CY195" s="93"/>
      <c r="CZ195" s="93"/>
      <c r="DA195" s="93"/>
      <c r="DB195" s="20"/>
      <c r="DC195" s="25"/>
      <c r="DD195" s="785">
        <v>47635</v>
      </c>
      <c r="DE195" s="19"/>
      <c r="DF195" s="20"/>
      <c r="DG195" s="25"/>
      <c r="DH195" s="19"/>
      <c r="DI195" s="20"/>
      <c r="DJ195" s="25"/>
      <c r="DK195" s="19"/>
      <c r="DL195" s="20"/>
      <c r="DM195" s="19"/>
      <c r="DN195" s="20"/>
      <c r="DO195" s="25"/>
      <c r="DP195" s="19"/>
      <c r="DQ195" s="93"/>
      <c r="DR195" s="20"/>
      <c r="DS195" s="25"/>
      <c r="DT195" s="19"/>
      <c r="DU195" s="93"/>
      <c r="DV195" s="20"/>
      <c r="DW195" s="25"/>
      <c r="DX195" s="19"/>
      <c r="DY195" s="20"/>
      <c r="DZ195" s="25"/>
      <c r="EA195" s="19"/>
      <c r="EB195" s="93"/>
      <c r="EC195" s="93"/>
      <c r="ED195" s="93"/>
      <c r="EE195" s="20"/>
      <c r="EF195" s="25"/>
      <c r="EG195" s="19"/>
      <c r="EH195" s="93"/>
      <c r="EI195" s="93"/>
      <c r="EJ195" s="93"/>
      <c r="EK195" s="20"/>
      <c r="EL195" s="25"/>
      <c r="EM195" s="19"/>
      <c r="EN195" s="93"/>
      <c r="EO195" s="93"/>
      <c r="EP195" s="93"/>
      <c r="EQ195" s="93"/>
      <c r="ER195" s="93"/>
      <c r="ES195" s="93"/>
      <c r="ET195" s="93"/>
      <c r="EU195" s="93"/>
      <c r="EV195" s="20"/>
      <c r="EW195" s="25"/>
      <c r="EX195" s="915"/>
      <c r="EY195" s="916"/>
      <c r="EZ195" s="916"/>
      <c r="FA195" s="916"/>
      <c r="FB195" s="916"/>
      <c r="FC195" s="916"/>
      <c r="FD195" s="916"/>
      <c r="FE195" s="916"/>
      <c r="FF195" s="916"/>
      <c r="FG195" s="917"/>
      <c r="FH195" s="25"/>
      <c r="FI195" s="848">
        <v>47635</v>
      </c>
      <c r="FJ195" s="19"/>
      <c r="FK195" s="93"/>
      <c r="FL195" s="20"/>
      <c r="FM195" s="25"/>
      <c r="FN195" s="19"/>
      <c r="FO195" s="93"/>
      <c r="FP195" s="93"/>
      <c r="FQ195" s="93"/>
      <c r="FR195" s="93"/>
      <c r="FS195" s="93"/>
      <c r="FT195" s="93"/>
      <c r="FU195" s="93"/>
      <c r="FV195" s="93"/>
      <c r="FW195" s="917"/>
      <c r="FX195" s="25"/>
      <c r="FY195" s="916"/>
      <c r="FZ195" s="916"/>
      <c r="GA195" s="916"/>
      <c r="GB195" s="916"/>
      <c r="GC195" s="916"/>
      <c r="GD195" s="916"/>
      <c r="GE195" s="916"/>
      <c r="GF195" s="916"/>
      <c r="GG195" s="916"/>
      <c r="GH195" s="916"/>
      <c r="GI195" s="917"/>
      <c r="GJ195" s="25"/>
      <c r="GK195" s="19"/>
      <c r="GL195" s="20"/>
      <c r="GM195" s="25"/>
      <c r="GN195" s="19"/>
      <c r="GO195" s="20"/>
      <c r="GP195" s="25"/>
      <c r="GQ195" s="19"/>
      <c r="GR195" s="20"/>
      <c r="GS195" s="25"/>
      <c r="GT195" s="848">
        <v>47635</v>
      </c>
      <c r="GU195" s="19"/>
      <c r="GV195" s="93"/>
      <c r="GW195" s="93"/>
      <c r="GX195" s="93"/>
      <c r="GY195" s="93"/>
      <c r="GZ195" s="93"/>
      <c r="HA195" s="93"/>
      <c r="HB195" s="93"/>
      <c r="HC195" s="93"/>
      <c r="HD195" s="93"/>
      <c r="HE195" s="93"/>
      <c r="HF195" s="93"/>
      <c r="HG195" s="93"/>
      <c r="HH195" s="93"/>
      <c r="HI195" s="93"/>
      <c r="HJ195" s="93"/>
      <c r="HK195" s="93"/>
      <c r="HL195" s="93"/>
      <c r="HM195" s="93"/>
      <c r="HN195" s="93"/>
      <c r="HO195" s="93"/>
      <c r="HP195" s="93"/>
      <c r="HQ195" s="93"/>
      <c r="HR195" s="93"/>
      <c r="HS195" s="93"/>
      <c r="HT195" s="93"/>
      <c r="HU195" s="93"/>
      <c r="HV195" s="93"/>
      <c r="HW195" s="93"/>
      <c r="HX195" s="93"/>
      <c r="HY195" s="93"/>
      <c r="HZ195" s="93"/>
      <c r="IA195" s="93"/>
      <c r="IB195" s="93"/>
      <c r="IC195" s="93"/>
      <c r="ID195" s="93"/>
      <c r="IE195" s="93"/>
      <c r="IF195" s="93"/>
      <c r="IG195" s="93"/>
      <c r="IH195" s="93"/>
      <c r="II195" s="93"/>
      <c r="IJ195" s="93"/>
      <c r="IK195" s="93"/>
      <c r="IL195" s="93"/>
      <c r="IM195" s="93"/>
      <c r="IN195" s="93"/>
      <c r="IO195" s="93"/>
      <c r="IP195" s="93"/>
      <c r="IQ195" s="93"/>
      <c r="IR195" s="93"/>
      <c r="IS195" s="93"/>
      <c r="IT195" s="93"/>
      <c r="IU195" s="93"/>
      <c r="IV195" s="93"/>
      <c r="IW195" s="848">
        <v>47635</v>
      </c>
      <c r="IX195" s="93"/>
      <c r="IY195" s="93"/>
      <c r="IZ195" s="93"/>
      <c r="JA195" s="93"/>
      <c r="JB195" s="93"/>
      <c r="JC195" s="93"/>
      <c r="JD195" s="93"/>
      <c r="JE195" s="93"/>
      <c r="JF195" s="93"/>
      <c r="JG195" s="93"/>
      <c r="JH195" s="93"/>
      <c r="JI195" s="93"/>
      <c r="JJ195" s="93"/>
      <c r="JK195" s="93"/>
      <c r="JL195" s="93"/>
      <c r="JM195" s="93"/>
      <c r="JN195" s="93"/>
      <c r="JO195" s="93"/>
      <c r="JP195" s="93"/>
      <c r="JQ195" s="93"/>
      <c r="JR195" s="93"/>
      <c r="JS195" s="93"/>
      <c r="JT195" s="20"/>
      <c r="JU195" s="29"/>
      <c r="JV195" s="19"/>
      <c r="JW195" s="93"/>
      <c r="JX195" s="93"/>
      <c r="JY195" s="93"/>
      <c r="JZ195" s="93"/>
      <c r="KA195" s="93"/>
      <c r="KB195" s="93"/>
      <c r="KC195" s="93"/>
      <c r="KD195" s="93"/>
      <c r="KE195" s="93"/>
      <c r="KF195" s="93"/>
      <c r="KG195" s="93"/>
      <c r="KH195" s="93"/>
      <c r="KI195" s="93"/>
      <c r="KJ195" s="93"/>
      <c r="KK195" s="93"/>
      <c r="KL195" s="93"/>
      <c r="KM195" s="93"/>
      <c r="KN195" s="93"/>
      <c r="KO195" s="93"/>
      <c r="KP195" s="93"/>
      <c r="KQ195" s="93"/>
      <c r="KR195" s="93"/>
      <c r="KS195" s="93"/>
      <c r="KT195" s="93"/>
      <c r="KU195" s="93"/>
      <c r="KV195" s="93"/>
      <c r="KW195" s="20"/>
      <c r="KX195" s="29"/>
      <c r="KY195" s="19"/>
      <c r="KZ195" s="93"/>
      <c r="LA195" s="93"/>
      <c r="LB195" s="93"/>
      <c r="LC195" s="93"/>
      <c r="LD195" s="93"/>
      <c r="LE195" s="93"/>
      <c r="LF195" s="93"/>
      <c r="LG195" s="93"/>
      <c r="LH195" s="93"/>
      <c r="LI195" s="93"/>
      <c r="LJ195" s="93"/>
      <c r="LK195" s="93"/>
      <c r="LL195" s="93"/>
      <c r="LM195" s="93"/>
      <c r="LN195" s="93"/>
      <c r="LO195" s="93"/>
      <c r="LP195" s="93"/>
      <c r="LQ195" s="93"/>
      <c r="LR195" s="93"/>
      <c r="LS195" s="93"/>
      <c r="LT195" s="93"/>
      <c r="LU195" s="93"/>
      <c r="LV195" s="93"/>
      <c r="LW195" s="93"/>
      <c r="LX195" s="93"/>
      <c r="LY195" s="93"/>
      <c r="LZ195" s="93"/>
      <c r="MA195" s="93"/>
      <c r="MB195" s="93"/>
      <c r="MC195" s="93"/>
      <c r="MD195" s="93"/>
      <c r="ME195" s="93"/>
      <c r="MF195" s="93"/>
      <c r="MG195" s="93"/>
      <c r="MH195" s="20"/>
      <c r="MI195" s="29"/>
      <c r="MJ195" s="29" t="str">
        <f t="shared" si="88"/>
        <v>Trimestre 22030</v>
      </c>
      <c r="MK195" s="848">
        <v>47635</v>
      </c>
      <c r="ML195" s="1991"/>
      <c r="MM195" s="1991"/>
      <c r="MN195" s="1991"/>
      <c r="MO195" s="1991"/>
      <c r="MP195" s="1991"/>
      <c r="MQ195" s="1991"/>
      <c r="MR195" s="1991"/>
      <c r="MS195" s="1991"/>
      <c r="MT195" s="1991"/>
      <c r="MU195" s="1991"/>
      <c r="MV195" s="1991"/>
      <c r="MW195" s="1991"/>
      <c r="MX195" s="1991"/>
      <c r="MY195" s="1991"/>
      <c r="MZ195" s="1991"/>
      <c r="NA195" s="1991"/>
      <c r="NB195" s="1991"/>
      <c r="NC195" s="1991"/>
      <c r="ND195" s="1991"/>
      <c r="NE195" s="1991"/>
      <c r="NF195" s="1991"/>
      <c r="NG195" s="1991"/>
      <c r="NH195" s="1991"/>
      <c r="NI195" s="1991"/>
      <c r="NJ195" s="1991"/>
      <c r="NK195" s="1991"/>
      <c r="NL195" s="29"/>
    </row>
    <row r="196" spans="1:376">
      <c r="A196" s="41">
        <f t="shared" si="86"/>
        <v>2030</v>
      </c>
      <c r="B196" s="785">
        <v>47727</v>
      </c>
      <c r="C196" s="19"/>
      <c r="D196" s="93"/>
      <c r="E196" s="93"/>
      <c r="F196" s="93"/>
      <c r="G196" s="93"/>
      <c r="H196" s="93"/>
      <c r="I196" s="93"/>
      <c r="J196" s="93"/>
      <c r="K196" s="93"/>
      <c r="L196" s="93"/>
      <c r="M196" s="20"/>
      <c r="N196" s="25"/>
      <c r="O196" s="889">
        <f t="shared" si="85"/>
        <v>2030</v>
      </c>
      <c r="P196" s="29" t="str">
        <f t="shared" si="87"/>
        <v>Trimestre 32030</v>
      </c>
      <c r="Q196" s="848">
        <v>47727</v>
      </c>
      <c r="R196" s="733"/>
      <c r="S196" s="570"/>
      <c r="T196" s="570"/>
      <c r="U196" s="734"/>
      <c r="V196" s="25"/>
      <c r="W196" s="19"/>
      <c r="X196" s="93"/>
      <c r="Y196" s="93"/>
      <c r="Z196" s="93"/>
      <c r="AA196" s="93"/>
      <c r="AB196" s="93"/>
      <c r="AC196" s="93"/>
      <c r="AD196" s="93"/>
      <c r="AE196" s="20"/>
      <c r="AF196" s="25"/>
      <c r="AG196" s="19"/>
      <c r="AH196" s="93"/>
      <c r="AI196" s="93"/>
      <c r="AJ196" s="93"/>
      <c r="AK196" s="93"/>
      <c r="AL196" s="93"/>
      <c r="AM196" s="93"/>
      <c r="AN196" s="20"/>
      <c r="AO196" s="19"/>
      <c r="AP196" s="93"/>
      <c r="AQ196" s="93"/>
      <c r="AR196" s="93"/>
      <c r="AS196" s="20"/>
      <c r="AT196" s="19"/>
      <c r="AU196" s="93"/>
      <c r="AV196" s="20"/>
      <c r="AW196" s="19"/>
      <c r="AX196" s="93"/>
      <c r="AY196" s="93"/>
      <c r="AZ196" s="93"/>
      <c r="BA196" s="93"/>
      <c r="BB196" s="93"/>
      <c r="BC196" s="20"/>
      <c r="BD196" s="19"/>
      <c r="BE196" s="93"/>
      <c r="BF196" s="93"/>
      <c r="BG196" s="93"/>
      <c r="BH196" s="93"/>
      <c r="BI196" s="93"/>
      <c r="BJ196" s="93"/>
      <c r="BK196" s="20"/>
      <c r="BL196" s="19"/>
      <c r="BM196" s="93"/>
      <c r="BN196" s="93"/>
      <c r="BO196" s="93"/>
      <c r="BP196" s="93"/>
      <c r="BQ196" s="20"/>
      <c r="BR196" s="19"/>
      <c r="BS196" s="93"/>
      <c r="BT196" s="93"/>
      <c r="BU196" s="20"/>
      <c r="BV196" s="19"/>
      <c r="BW196" s="93"/>
      <c r="BX196" s="93"/>
      <c r="BY196" s="93"/>
      <c r="BZ196" s="93"/>
      <c r="CA196" s="93"/>
      <c r="CB196" s="20"/>
      <c r="CC196" s="25"/>
      <c r="CD196" s="19"/>
      <c r="CE196" s="93"/>
      <c r="CF196" s="20"/>
      <c r="CG196" s="25"/>
      <c r="CH196" s="19"/>
      <c r="CI196" s="93"/>
      <c r="CJ196" s="93"/>
      <c r="CK196" s="93"/>
      <c r="CL196" s="93"/>
      <c r="CM196" s="93"/>
      <c r="CN196" s="93"/>
      <c r="CO196" s="93"/>
      <c r="CP196" s="93"/>
      <c r="CQ196" s="93"/>
      <c r="CR196" s="214"/>
      <c r="CS196" s="20"/>
      <c r="CT196" s="25"/>
      <c r="CU196" s="19"/>
      <c r="CV196" s="93"/>
      <c r="CW196" s="93"/>
      <c r="CX196" s="93"/>
      <c r="CY196" s="93"/>
      <c r="CZ196" s="93"/>
      <c r="DA196" s="93"/>
      <c r="DB196" s="20"/>
      <c r="DC196" s="25"/>
      <c r="DD196" s="785">
        <v>47727</v>
      </c>
      <c r="DE196" s="19"/>
      <c r="DF196" s="20"/>
      <c r="DG196" s="25"/>
      <c r="DH196" s="19"/>
      <c r="DI196" s="20"/>
      <c r="DJ196" s="25"/>
      <c r="DK196" s="19"/>
      <c r="DL196" s="20"/>
      <c r="DM196" s="19"/>
      <c r="DN196" s="20"/>
      <c r="DO196" s="25"/>
      <c r="DP196" s="19"/>
      <c r="DQ196" s="93"/>
      <c r="DR196" s="20"/>
      <c r="DS196" s="25"/>
      <c r="DT196" s="19"/>
      <c r="DU196" s="93"/>
      <c r="DV196" s="20"/>
      <c r="DW196" s="25"/>
      <c r="DX196" s="19"/>
      <c r="DY196" s="20"/>
      <c r="DZ196" s="25"/>
      <c r="EA196" s="19"/>
      <c r="EB196" s="93"/>
      <c r="EC196" s="93"/>
      <c r="ED196" s="93"/>
      <c r="EE196" s="20"/>
      <c r="EF196" s="25"/>
      <c r="EG196" s="19"/>
      <c r="EH196" s="93"/>
      <c r="EI196" s="93"/>
      <c r="EJ196" s="93"/>
      <c r="EK196" s="20"/>
      <c r="EL196" s="25"/>
      <c r="EM196" s="19"/>
      <c r="EN196" s="93"/>
      <c r="EO196" s="93"/>
      <c r="EP196" s="93"/>
      <c r="EQ196" s="93"/>
      <c r="ER196" s="93"/>
      <c r="ES196" s="93"/>
      <c r="ET196" s="93"/>
      <c r="EU196" s="93"/>
      <c r="EV196" s="20"/>
      <c r="EW196" s="25"/>
      <c r="EX196" s="915"/>
      <c r="EY196" s="916"/>
      <c r="EZ196" s="916"/>
      <c r="FA196" s="916"/>
      <c r="FB196" s="916"/>
      <c r="FC196" s="916"/>
      <c r="FD196" s="916"/>
      <c r="FE196" s="916"/>
      <c r="FF196" s="916"/>
      <c r="FG196" s="917"/>
      <c r="FH196" s="25"/>
      <c r="FI196" s="848">
        <v>47727</v>
      </c>
      <c r="FJ196" s="19"/>
      <c r="FK196" s="93"/>
      <c r="FL196" s="20"/>
      <c r="FM196" s="25"/>
      <c r="FN196" s="19"/>
      <c r="FO196" s="93"/>
      <c r="FP196" s="93"/>
      <c r="FQ196" s="93"/>
      <c r="FR196" s="93"/>
      <c r="FS196" s="93"/>
      <c r="FT196" s="93"/>
      <c r="FU196" s="93"/>
      <c r="FV196" s="93"/>
      <c r="FW196" s="917"/>
      <c r="FX196" s="25"/>
      <c r="FY196" s="916"/>
      <c r="FZ196" s="916"/>
      <c r="GA196" s="916"/>
      <c r="GB196" s="916"/>
      <c r="GC196" s="916"/>
      <c r="GD196" s="916"/>
      <c r="GE196" s="916"/>
      <c r="GF196" s="916"/>
      <c r="GG196" s="916"/>
      <c r="GH196" s="916"/>
      <c r="GI196" s="917"/>
      <c r="GJ196" s="25"/>
      <c r="GK196" s="19"/>
      <c r="GL196" s="20"/>
      <c r="GM196" s="25"/>
      <c r="GN196" s="19"/>
      <c r="GO196" s="20"/>
      <c r="GP196" s="25"/>
      <c r="GQ196" s="19"/>
      <c r="GR196" s="20"/>
      <c r="GS196" s="25"/>
      <c r="GT196" s="848">
        <v>47727</v>
      </c>
      <c r="GU196" s="19"/>
      <c r="GV196" s="93"/>
      <c r="GW196" s="93"/>
      <c r="GX196" s="93"/>
      <c r="GY196" s="93"/>
      <c r="GZ196" s="93"/>
      <c r="HA196" s="93"/>
      <c r="HB196" s="93"/>
      <c r="HC196" s="93"/>
      <c r="HD196" s="93"/>
      <c r="HE196" s="93"/>
      <c r="HF196" s="93"/>
      <c r="HG196" s="93"/>
      <c r="HH196" s="93"/>
      <c r="HI196" s="93"/>
      <c r="HJ196" s="93"/>
      <c r="HK196" s="93"/>
      <c r="HL196" s="93"/>
      <c r="HM196" s="93"/>
      <c r="HN196" s="93"/>
      <c r="HO196" s="93"/>
      <c r="HP196" s="93"/>
      <c r="HQ196" s="93"/>
      <c r="HR196" s="93"/>
      <c r="HS196" s="93"/>
      <c r="HT196" s="93"/>
      <c r="HU196" s="93"/>
      <c r="HV196" s="93"/>
      <c r="HW196" s="93"/>
      <c r="HX196" s="93"/>
      <c r="HY196" s="93"/>
      <c r="HZ196" s="93"/>
      <c r="IA196" s="93"/>
      <c r="IB196" s="93"/>
      <c r="IC196" s="93"/>
      <c r="ID196" s="93"/>
      <c r="IE196" s="93"/>
      <c r="IF196" s="93"/>
      <c r="IG196" s="93"/>
      <c r="IH196" s="93"/>
      <c r="II196" s="93"/>
      <c r="IJ196" s="93"/>
      <c r="IK196" s="93"/>
      <c r="IL196" s="93"/>
      <c r="IM196" s="93"/>
      <c r="IN196" s="93"/>
      <c r="IO196" s="93"/>
      <c r="IP196" s="93"/>
      <c r="IQ196" s="93"/>
      <c r="IR196" s="93"/>
      <c r="IS196" s="93"/>
      <c r="IT196" s="93"/>
      <c r="IU196" s="93"/>
      <c r="IV196" s="93"/>
      <c r="IW196" s="848">
        <v>47727</v>
      </c>
      <c r="IX196" s="93"/>
      <c r="IY196" s="93"/>
      <c r="IZ196" s="93"/>
      <c r="JA196" s="93"/>
      <c r="JB196" s="93"/>
      <c r="JC196" s="93"/>
      <c r="JD196" s="93"/>
      <c r="JE196" s="93"/>
      <c r="JF196" s="93"/>
      <c r="JG196" s="93"/>
      <c r="JH196" s="93"/>
      <c r="JI196" s="93"/>
      <c r="JJ196" s="93"/>
      <c r="JK196" s="93"/>
      <c r="JL196" s="93"/>
      <c r="JM196" s="93"/>
      <c r="JN196" s="93"/>
      <c r="JO196" s="93"/>
      <c r="JP196" s="93"/>
      <c r="JQ196" s="93"/>
      <c r="JR196" s="93"/>
      <c r="JS196" s="93"/>
      <c r="JT196" s="20"/>
      <c r="JU196" s="29"/>
      <c r="JV196" s="19"/>
      <c r="JW196" s="93"/>
      <c r="JX196" s="93"/>
      <c r="JY196" s="93"/>
      <c r="JZ196" s="93"/>
      <c r="KA196" s="93"/>
      <c r="KB196" s="93"/>
      <c r="KC196" s="93"/>
      <c r="KD196" s="93"/>
      <c r="KE196" s="93"/>
      <c r="KF196" s="93"/>
      <c r="KG196" s="93"/>
      <c r="KH196" s="93"/>
      <c r="KI196" s="93"/>
      <c r="KJ196" s="93"/>
      <c r="KK196" s="93"/>
      <c r="KL196" s="93"/>
      <c r="KM196" s="93"/>
      <c r="KN196" s="93"/>
      <c r="KO196" s="93"/>
      <c r="KP196" s="93"/>
      <c r="KQ196" s="93"/>
      <c r="KR196" s="93"/>
      <c r="KS196" s="93"/>
      <c r="KT196" s="93"/>
      <c r="KU196" s="93"/>
      <c r="KV196" s="93"/>
      <c r="KW196" s="20"/>
      <c r="KX196" s="29"/>
      <c r="KY196" s="19"/>
      <c r="KZ196" s="93"/>
      <c r="LA196" s="93"/>
      <c r="LB196" s="93"/>
      <c r="LC196" s="93"/>
      <c r="LD196" s="93"/>
      <c r="LE196" s="93"/>
      <c r="LF196" s="93"/>
      <c r="LG196" s="93"/>
      <c r="LH196" s="93"/>
      <c r="LI196" s="93"/>
      <c r="LJ196" s="93"/>
      <c r="LK196" s="93"/>
      <c r="LL196" s="93"/>
      <c r="LM196" s="93"/>
      <c r="LN196" s="93"/>
      <c r="LO196" s="93"/>
      <c r="LP196" s="93"/>
      <c r="LQ196" s="93"/>
      <c r="LR196" s="93"/>
      <c r="LS196" s="93"/>
      <c r="LT196" s="93"/>
      <c r="LU196" s="93"/>
      <c r="LV196" s="93"/>
      <c r="LW196" s="93"/>
      <c r="LX196" s="93"/>
      <c r="LY196" s="93"/>
      <c r="LZ196" s="93"/>
      <c r="MA196" s="93"/>
      <c r="MB196" s="93"/>
      <c r="MC196" s="93"/>
      <c r="MD196" s="93"/>
      <c r="ME196" s="93"/>
      <c r="MF196" s="93"/>
      <c r="MG196" s="93"/>
      <c r="MH196" s="20"/>
      <c r="MI196" s="29"/>
      <c r="MJ196" s="29" t="str">
        <f t="shared" si="88"/>
        <v>Trimestre 32030</v>
      </c>
      <c r="MK196" s="848">
        <v>47727</v>
      </c>
      <c r="ML196" s="1991"/>
      <c r="MM196" s="1991"/>
      <c r="MN196" s="1991"/>
      <c r="MO196" s="1991"/>
      <c r="MP196" s="1991"/>
      <c r="MQ196" s="1991"/>
      <c r="MR196" s="1991"/>
      <c r="MS196" s="1991"/>
      <c r="MT196" s="1991"/>
      <c r="MU196" s="1991"/>
      <c r="MV196" s="1991"/>
      <c r="MW196" s="1991"/>
      <c r="MX196" s="1991"/>
      <c r="MY196" s="1991"/>
      <c r="MZ196" s="1991"/>
      <c r="NA196" s="1991"/>
      <c r="NB196" s="1991"/>
      <c r="NC196" s="1991"/>
      <c r="ND196" s="1991"/>
      <c r="NE196" s="1991"/>
      <c r="NF196" s="1991"/>
      <c r="NG196" s="1991"/>
      <c r="NH196" s="1991"/>
      <c r="NI196" s="1991"/>
      <c r="NJ196" s="1991"/>
      <c r="NK196" s="1991"/>
      <c r="NL196" s="29"/>
    </row>
    <row r="197" spans="1:376">
      <c r="A197" s="41">
        <f t="shared" si="86"/>
        <v>2030</v>
      </c>
      <c r="B197" s="785">
        <v>47818</v>
      </c>
      <c r="C197" s="19"/>
      <c r="D197" s="93"/>
      <c r="E197" s="93"/>
      <c r="F197" s="93"/>
      <c r="G197" s="93"/>
      <c r="H197" s="93"/>
      <c r="I197" s="93"/>
      <c r="J197" s="93"/>
      <c r="K197" s="93"/>
      <c r="L197" s="93"/>
      <c r="M197" s="20"/>
      <c r="N197" s="25"/>
      <c r="O197" s="889">
        <f t="shared" si="85"/>
        <v>2030</v>
      </c>
      <c r="P197" s="29" t="str">
        <f t="shared" si="87"/>
        <v>Trimestre 42030</v>
      </c>
      <c r="Q197" s="848">
        <v>47818</v>
      </c>
      <c r="R197" s="733"/>
      <c r="S197" s="570"/>
      <c r="T197" s="570"/>
      <c r="U197" s="734"/>
      <c r="V197" s="25"/>
      <c r="W197" s="19"/>
      <c r="X197" s="93"/>
      <c r="Y197" s="93"/>
      <c r="Z197" s="93"/>
      <c r="AA197" s="93"/>
      <c r="AB197" s="93"/>
      <c r="AC197" s="93"/>
      <c r="AD197" s="93"/>
      <c r="AE197" s="20"/>
      <c r="AF197" s="25"/>
      <c r="AG197" s="19"/>
      <c r="AH197" s="93"/>
      <c r="AI197" s="93"/>
      <c r="AJ197" s="93"/>
      <c r="AK197" s="93"/>
      <c r="AL197" s="93"/>
      <c r="AM197" s="93"/>
      <c r="AN197" s="20"/>
      <c r="AO197" s="19"/>
      <c r="AP197" s="93"/>
      <c r="AQ197" s="93"/>
      <c r="AR197" s="93"/>
      <c r="AS197" s="20"/>
      <c r="AT197" s="19"/>
      <c r="AU197" s="93"/>
      <c r="AV197" s="20"/>
      <c r="AW197" s="19"/>
      <c r="AX197" s="93"/>
      <c r="AY197" s="93"/>
      <c r="AZ197" s="93"/>
      <c r="BA197" s="93"/>
      <c r="BB197" s="93"/>
      <c r="BC197" s="20"/>
      <c r="BD197" s="19"/>
      <c r="BE197" s="93"/>
      <c r="BF197" s="93"/>
      <c r="BG197" s="93"/>
      <c r="BH197" s="93"/>
      <c r="BI197" s="93"/>
      <c r="BJ197" s="93"/>
      <c r="BK197" s="20"/>
      <c r="BL197" s="19"/>
      <c r="BM197" s="93"/>
      <c r="BN197" s="93"/>
      <c r="BO197" s="93"/>
      <c r="BP197" s="93"/>
      <c r="BQ197" s="20"/>
      <c r="BR197" s="19"/>
      <c r="BS197" s="93"/>
      <c r="BT197" s="93"/>
      <c r="BU197" s="20"/>
      <c r="BV197" s="19"/>
      <c r="BW197" s="93"/>
      <c r="BX197" s="93"/>
      <c r="BY197" s="93"/>
      <c r="BZ197" s="93"/>
      <c r="CA197" s="93"/>
      <c r="CB197" s="20"/>
      <c r="CC197" s="25"/>
      <c r="CD197" s="19"/>
      <c r="CE197" s="93"/>
      <c r="CF197" s="20"/>
      <c r="CG197" s="25"/>
      <c r="CH197" s="19"/>
      <c r="CI197" s="93"/>
      <c r="CJ197" s="93"/>
      <c r="CK197" s="93"/>
      <c r="CL197" s="93"/>
      <c r="CM197" s="93"/>
      <c r="CN197" s="93"/>
      <c r="CO197" s="93"/>
      <c r="CP197" s="93"/>
      <c r="CQ197" s="93"/>
      <c r="CR197" s="214"/>
      <c r="CS197" s="20"/>
      <c r="CT197" s="25"/>
      <c r="CU197" s="19"/>
      <c r="CV197" s="93"/>
      <c r="CW197" s="93"/>
      <c r="CX197" s="93"/>
      <c r="CY197" s="93"/>
      <c r="CZ197" s="93"/>
      <c r="DA197" s="93"/>
      <c r="DB197" s="20"/>
      <c r="DC197" s="25"/>
      <c r="DD197" s="785">
        <v>47818</v>
      </c>
      <c r="DE197" s="19"/>
      <c r="DF197" s="20"/>
      <c r="DG197" s="25"/>
      <c r="DH197" s="19"/>
      <c r="DI197" s="20"/>
      <c r="DJ197" s="25"/>
      <c r="DK197" s="19"/>
      <c r="DL197" s="20"/>
      <c r="DM197" s="19"/>
      <c r="DN197" s="20"/>
      <c r="DO197" s="25"/>
      <c r="DP197" s="19"/>
      <c r="DQ197" s="93"/>
      <c r="DR197" s="20"/>
      <c r="DS197" s="25"/>
      <c r="DT197" s="19"/>
      <c r="DU197" s="93"/>
      <c r="DV197" s="20"/>
      <c r="DW197" s="25"/>
      <c r="DX197" s="19"/>
      <c r="DY197" s="20"/>
      <c r="DZ197" s="25"/>
      <c r="EA197" s="19"/>
      <c r="EB197" s="93"/>
      <c r="EC197" s="93"/>
      <c r="ED197" s="93"/>
      <c r="EE197" s="20"/>
      <c r="EF197" s="25"/>
      <c r="EG197" s="19"/>
      <c r="EH197" s="93"/>
      <c r="EI197" s="93"/>
      <c r="EJ197" s="93"/>
      <c r="EK197" s="20"/>
      <c r="EL197" s="25"/>
      <c r="EM197" s="19"/>
      <c r="EN197" s="93"/>
      <c r="EO197" s="93"/>
      <c r="EP197" s="93"/>
      <c r="EQ197" s="93"/>
      <c r="ER197" s="93"/>
      <c r="ES197" s="93"/>
      <c r="ET197" s="93"/>
      <c r="EU197" s="93"/>
      <c r="EV197" s="20"/>
      <c r="EW197" s="25"/>
      <c r="EX197" s="915"/>
      <c r="EY197" s="916"/>
      <c r="EZ197" s="916"/>
      <c r="FA197" s="916"/>
      <c r="FB197" s="916"/>
      <c r="FC197" s="916"/>
      <c r="FD197" s="916"/>
      <c r="FE197" s="916"/>
      <c r="FF197" s="916"/>
      <c r="FG197" s="917"/>
      <c r="FH197" s="25"/>
      <c r="FI197" s="848">
        <v>47818</v>
      </c>
      <c r="FJ197" s="19"/>
      <c r="FK197" s="93"/>
      <c r="FL197" s="20"/>
      <c r="FM197" s="25"/>
      <c r="FN197" s="19"/>
      <c r="FO197" s="93"/>
      <c r="FP197" s="93"/>
      <c r="FQ197" s="93"/>
      <c r="FR197" s="93"/>
      <c r="FS197" s="93"/>
      <c r="FT197" s="93"/>
      <c r="FU197" s="93"/>
      <c r="FV197" s="93"/>
      <c r="FW197" s="917"/>
      <c r="FX197" s="25"/>
      <c r="FY197" s="916"/>
      <c r="FZ197" s="916"/>
      <c r="GA197" s="916"/>
      <c r="GB197" s="916"/>
      <c r="GC197" s="916"/>
      <c r="GD197" s="916"/>
      <c r="GE197" s="916"/>
      <c r="GF197" s="916"/>
      <c r="GG197" s="916"/>
      <c r="GH197" s="916"/>
      <c r="GI197" s="917"/>
      <c r="GJ197" s="25"/>
      <c r="GK197" s="19"/>
      <c r="GL197" s="20"/>
      <c r="GM197" s="25"/>
      <c r="GN197" s="19"/>
      <c r="GO197" s="20"/>
      <c r="GP197" s="25"/>
      <c r="GQ197" s="19"/>
      <c r="GR197" s="20"/>
      <c r="GS197" s="25"/>
      <c r="GT197" s="848">
        <v>47818</v>
      </c>
      <c r="GU197" s="19"/>
      <c r="GV197" s="93"/>
      <c r="GW197" s="93"/>
      <c r="GX197" s="93"/>
      <c r="GY197" s="93"/>
      <c r="GZ197" s="93"/>
      <c r="HA197" s="93"/>
      <c r="HB197" s="93"/>
      <c r="HC197" s="93"/>
      <c r="HD197" s="93"/>
      <c r="HE197" s="93"/>
      <c r="HF197" s="93"/>
      <c r="HG197" s="93"/>
      <c r="HH197" s="93"/>
      <c r="HI197" s="93"/>
      <c r="HJ197" s="93"/>
      <c r="HK197" s="93"/>
      <c r="HL197" s="93"/>
      <c r="HM197" s="93"/>
      <c r="HN197" s="93"/>
      <c r="HO197" s="93"/>
      <c r="HP197" s="93"/>
      <c r="HQ197" s="93"/>
      <c r="HR197" s="93"/>
      <c r="HS197" s="93"/>
      <c r="HT197" s="93"/>
      <c r="HU197" s="93"/>
      <c r="HV197" s="93"/>
      <c r="HW197" s="93"/>
      <c r="HX197" s="93"/>
      <c r="HY197" s="93"/>
      <c r="HZ197" s="93"/>
      <c r="IA197" s="93"/>
      <c r="IB197" s="93"/>
      <c r="IC197" s="93"/>
      <c r="ID197" s="93"/>
      <c r="IE197" s="93"/>
      <c r="IF197" s="93"/>
      <c r="IG197" s="93"/>
      <c r="IH197" s="93"/>
      <c r="II197" s="93"/>
      <c r="IJ197" s="93"/>
      <c r="IK197" s="93"/>
      <c r="IL197" s="93"/>
      <c r="IM197" s="93"/>
      <c r="IN197" s="93"/>
      <c r="IO197" s="93"/>
      <c r="IP197" s="93"/>
      <c r="IQ197" s="93"/>
      <c r="IR197" s="93"/>
      <c r="IS197" s="93"/>
      <c r="IT197" s="93"/>
      <c r="IU197" s="93"/>
      <c r="IV197" s="93"/>
      <c r="IW197" s="848">
        <v>47818</v>
      </c>
      <c r="IX197" s="93"/>
      <c r="IY197" s="93"/>
      <c r="IZ197" s="93"/>
      <c r="JA197" s="93"/>
      <c r="JB197" s="93"/>
      <c r="JC197" s="93"/>
      <c r="JD197" s="93"/>
      <c r="JE197" s="93"/>
      <c r="JF197" s="93"/>
      <c r="JG197" s="93"/>
      <c r="JH197" s="93"/>
      <c r="JI197" s="93"/>
      <c r="JJ197" s="93"/>
      <c r="JK197" s="93"/>
      <c r="JL197" s="93"/>
      <c r="JM197" s="93"/>
      <c r="JN197" s="93"/>
      <c r="JO197" s="93"/>
      <c r="JP197" s="93"/>
      <c r="JQ197" s="93"/>
      <c r="JR197" s="93"/>
      <c r="JS197" s="93"/>
      <c r="JT197" s="20"/>
      <c r="JU197" s="29"/>
      <c r="JV197" s="19"/>
      <c r="JW197" s="93"/>
      <c r="JX197" s="93"/>
      <c r="JY197" s="93"/>
      <c r="JZ197" s="93"/>
      <c r="KA197" s="93"/>
      <c r="KB197" s="93"/>
      <c r="KC197" s="93"/>
      <c r="KD197" s="93"/>
      <c r="KE197" s="93"/>
      <c r="KF197" s="93"/>
      <c r="KG197" s="93"/>
      <c r="KH197" s="93"/>
      <c r="KI197" s="93"/>
      <c r="KJ197" s="93"/>
      <c r="KK197" s="93"/>
      <c r="KL197" s="93"/>
      <c r="KM197" s="93"/>
      <c r="KN197" s="93"/>
      <c r="KO197" s="93"/>
      <c r="KP197" s="93"/>
      <c r="KQ197" s="93"/>
      <c r="KR197" s="93"/>
      <c r="KS197" s="93"/>
      <c r="KT197" s="93"/>
      <c r="KU197" s="93"/>
      <c r="KV197" s="93"/>
      <c r="KW197" s="20"/>
      <c r="KX197" s="29"/>
      <c r="KY197" s="19"/>
      <c r="KZ197" s="93"/>
      <c r="LA197" s="93"/>
      <c r="LB197" s="93"/>
      <c r="LC197" s="93"/>
      <c r="LD197" s="93"/>
      <c r="LE197" s="93"/>
      <c r="LF197" s="93"/>
      <c r="LG197" s="93"/>
      <c r="LH197" s="93"/>
      <c r="LI197" s="93"/>
      <c r="LJ197" s="93"/>
      <c r="LK197" s="93"/>
      <c r="LL197" s="93"/>
      <c r="LM197" s="93"/>
      <c r="LN197" s="93"/>
      <c r="LO197" s="93"/>
      <c r="LP197" s="93"/>
      <c r="LQ197" s="93"/>
      <c r="LR197" s="93"/>
      <c r="LS197" s="93"/>
      <c r="LT197" s="93"/>
      <c r="LU197" s="93"/>
      <c r="LV197" s="93"/>
      <c r="LW197" s="93"/>
      <c r="LX197" s="93"/>
      <c r="LY197" s="93"/>
      <c r="LZ197" s="93"/>
      <c r="MA197" s="93"/>
      <c r="MB197" s="93"/>
      <c r="MC197" s="93"/>
      <c r="MD197" s="93"/>
      <c r="ME197" s="93"/>
      <c r="MF197" s="93"/>
      <c r="MG197" s="93"/>
      <c r="MH197" s="20"/>
      <c r="MI197" s="29"/>
      <c r="MJ197" s="29" t="str">
        <f t="shared" si="88"/>
        <v>Trimestre 42030</v>
      </c>
      <c r="MK197" s="848">
        <v>47818</v>
      </c>
      <c r="ML197" s="1991"/>
      <c r="MM197" s="1991"/>
      <c r="MN197" s="1991"/>
      <c r="MO197" s="1991"/>
      <c r="MP197" s="1991"/>
      <c r="MQ197" s="1991"/>
      <c r="MR197" s="1991"/>
      <c r="MS197" s="1991"/>
      <c r="MT197" s="1991"/>
      <c r="MU197" s="1991"/>
      <c r="MV197" s="1991"/>
      <c r="MW197" s="1991"/>
      <c r="MX197" s="1991"/>
      <c r="MY197" s="1991"/>
      <c r="MZ197" s="1991"/>
      <c r="NA197" s="1991"/>
      <c r="NB197" s="1991"/>
      <c r="NC197" s="1991"/>
      <c r="ND197" s="1991"/>
      <c r="NE197" s="1991"/>
      <c r="NF197" s="1991"/>
      <c r="NG197" s="1991"/>
      <c r="NH197" s="1991"/>
      <c r="NI197" s="1991"/>
      <c r="NJ197" s="1991"/>
      <c r="NK197" s="1991"/>
      <c r="NL197" s="29"/>
    </row>
    <row r="198" spans="1:376">
      <c r="A198" s="41">
        <f t="shared" si="86"/>
        <v>2031</v>
      </c>
      <c r="B198" s="785">
        <v>47908</v>
      </c>
      <c r="C198" s="19"/>
      <c r="D198" s="93"/>
      <c r="E198" s="93"/>
      <c r="F198" s="93"/>
      <c r="G198" s="93"/>
      <c r="H198" s="93"/>
      <c r="I198" s="93"/>
      <c r="J198" s="93"/>
      <c r="K198" s="93"/>
      <c r="L198" s="93"/>
      <c r="M198" s="20"/>
      <c r="N198" s="25"/>
      <c r="O198" s="889">
        <f t="shared" si="85"/>
        <v>2031</v>
      </c>
      <c r="P198" s="29" t="str">
        <f t="shared" si="87"/>
        <v>Trimestre 12031</v>
      </c>
      <c r="Q198" s="848">
        <v>47908</v>
      </c>
      <c r="R198" s="733"/>
      <c r="S198" s="570"/>
      <c r="T198" s="570"/>
      <c r="U198" s="734"/>
      <c r="V198" s="25"/>
      <c r="W198" s="19"/>
      <c r="X198" s="93"/>
      <c r="Y198" s="93"/>
      <c r="Z198" s="93"/>
      <c r="AA198" s="93"/>
      <c r="AB198" s="93"/>
      <c r="AC198" s="93"/>
      <c r="AD198" s="93"/>
      <c r="AE198" s="20"/>
      <c r="AF198" s="25"/>
      <c r="AG198" s="19"/>
      <c r="AH198" s="93"/>
      <c r="AI198" s="93"/>
      <c r="AJ198" s="93"/>
      <c r="AK198" s="93"/>
      <c r="AL198" s="93"/>
      <c r="AM198" s="93"/>
      <c r="AN198" s="20"/>
      <c r="AO198" s="19"/>
      <c r="AP198" s="93"/>
      <c r="AQ198" s="93"/>
      <c r="AR198" s="93"/>
      <c r="AS198" s="20"/>
      <c r="AT198" s="19"/>
      <c r="AU198" s="93"/>
      <c r="AV198" s="20"/>
      <c r="AW198" s="19"/>
      <c r="AX198" s="93"/>
      <c r="AY198" s="93"/>
      <c r="AZ198" s="93"/>
      <c r="BA198" s="93"/>
      <c r="BB198" s="93"/>
      <c r="BC198" s="20"/>
      <c r="BD198" s="19"/>
      <c r="BE198" s="93"/>
      <c r="BF198" s="93"/>
      <c r="BG198" s="93"/>
      <c r="BH198" s="93"/>
      <c r="BI198" s="93"/>
      <c r="BJ198" s="93"/>
      <c r="BK198" s="20"/>
      <c r="BL198" s="19"/>
      <c r="BM198" s="93"/>
      <c r="BN198" s="93"/>
      <c r="BO198" s="93"/>
      <c r="BP198" s="93"/>
      <c r="BQ198" s="20"/>
      <c r="BR198" s="19"/>
      <c r="BS198" s="93"/>
      <c r="BT198" s="93"/>
      <c r="BU198" s="20"/>
      <c r="BV198" s="19"/>
      <c r="BW198" s="93"/>
      <c r="BX198" s="93"/>
      <c r="BY198" s="93"/>
      <c r="BZ198" s="93"/>
      <c r="CA198" s="93"/>
      <c r="CB198" s="20"/>
      <c r="CC198" s="25"/>
      <c r="CD198" s="19"/>
      <c r="CE198" s="93"/>
      <c r="CF198" s="20"/>
      <c r="CG198" s="25"/>
      <c r="CH198" s="19"/>
      <c r="CI198" s="93"/>
      <c r="CJ198" s="93"/>
      <c r="CK198" s="93"/>
      <c r="CL198" s="93"/>
      <c r="CM198" s="93"/>
      <c r="CN198" s="93"/>
      <c r="CO198" s="93"/>
      <c r="CP198" s="93"/>
      <c r="CQ198" s="93"/>
      <c r="CR198" s="214"/>
      <c r="CS198" s="20"/>
      <c r="CT198" s="25"/>
      <c r="CU198" s="19"/>
      <c r="CV198" s="93"/>
      <c r="CW198" s="93"/>
      <c r="CX198" s="93"/>
      <c r="CY198" s="93"/>
      <c r="CZ198" s="93"/>
      <c r="DA198" s="93"/>
      <c r="DB198" s="20"/>
      <c r="DC198" s="25"/>
      <c r="DD198" s="785">
        <v>47908</v>
      </c>
      <c r="DE198" s="19"/>
      <c r="DF198" s="20"/>
      <c r="DG198" s="25"/>
      <c r="DH198" s="19"/>
      <c r="DI198" s="20"/>
      <c r="DJ198" s="25"/>
      <c r="DK198" s="19"/>
      <c r="DL198" s="20"/>
      <c r="DM198" s="19"/>
      <c r="DN198" s="20"/>
      <c r="DO198" s="25"/>
      <c r="DP198" s="19"/>
      <c r="DQ198" s="93"/>
      <c r="DR198" s="20"/>
      <c r="DS198" s="25"/>
      <c r="DT198" s="19"/>
      <c r="DU198" s="93"/>
      <c r="DV198" s="20"/>
      <c r="DW198" s="25"/>
      <c r="DX198" s="19"/>
      <c r="DY198" s="20"/>
      <c r="DZ198" s="25"/>
      <c r="EA198" s="19"/>
      <c r="EB198" s="93"/>
      <c r="EC198" s="93"/>
      <c r="ED198" s="93"/>
      <c r="EE198" s="20"/>
      <c r="EF198" s="25"/>
      <c r="EG198" s="19"/>
      <c r="EH198" s="93"/>
      <c r="EI198" s="93"/>
      <c r="EJ198" s="93"/>
      <c r="EK198" s="20"/>
      <c r="EL198" s="25"/>
      <c r="EM198" s="19"/>
      <c r="EN198" s="93"/>
      <c r="EO198" s="93"/>
      <c r="EP198" s="93"/>
      <c r="EQ198" s="93"/>
      <c r="ER198" s="93"/>
      <c r="ES198" s="93"/>
      <c r="ET198" s="93"/>
      <c r="EU198" s="93"/>
      <c r="EV198" s="20"/>
      <c r="EW198" s="25"/>
      <c r="EX198" s="915"/>
      <c r="EY198" s="916"/>
      <c r="EZ198" s="916"/>
      <c r="FA198" s="916"/>
      <c r="FB198" s="916"/>
      <c r="FC198" s="916"/>
      <c r="FD198" s="916"/>
      <c r="FE198" s="916"/>
      <c r="FF198" s="916"/>
      <c r="FG198" s="917"/>
      <c r="FH198" s="25"/>
      <c r="FI198" s="848">
        <v>47908</v>
      </c>
      <c r="FJ198" s="19"/>
      <c r="FK198" s="93"/>
      <c r="FL198" s="20"/>
      <c r="FM198" s="25"/>
      <c r="FN198" s="19"/>
      <c r="FO198" s="93"/>
      <c r="FP198" s="93"/>
      <c r="FQ198" s="93"/>
      <c r="FR198" s="93"/>
      <c r="FS198" s="93"/>
      <c r="FT198" s="93"/>
      <c r="FU198" s="93"/>
      <c r="FV198" s="93"/>
      <c r="FW198" s="917"/>
      <c r="FX198" s="25"/>
      <c r="FY198" s="916"/>
      <c r="FZ198" s="916"/>
      <c r="GA198" s="916"/>
      <c r="GB198" s="916"/>
      <c r="GC198" s="916"/>
      <c r="GD198" s="916"/>
      <c r="GE198" s="916"/>
      <c r="GF198" s="916"/>
      <c r="GG198" s="916"/>
      <c r="GH198" s="916"/>
      <c r="GI198" s="917"/>
      <c r="GJ198" s="25"/>
      <c r="GK198" s="19"/>
      <c r="GL198" s="20"/>
      <c r="GM198" s="25"/>
      <c r="GN198" s="19"/>
      <c r="GO198" s="20"/>
      <c r="GP198" s="25"/>
      <c r="GQ198" s="19"/>
      <c r="GR198" s="20"/>
      <c r="GS198" s="25"/>
      <c r="GT198" s="848">
        <v>47908</v>
      </c>
      <c r="GU198" s="19"/>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848">
        <v>47908</v>
      </c>
      <c r="IX198" s="93"/>
      <c r="IY198" s="93"/>
      <c r="IZ198" s="93"/>
      <c r="JA198" s="93"/>
      <c r="JB198" s="93"/>
      <c r="JC198" s="93"/>
      <c r="JD198" s="93"/>
      <c r="JE198" s="93"/>
      <c r="JF198" s="93"/>
      <c r="JG198" s="93"/>
      <c r="JH198" s="93"/>
      <c r="JI198" s="93"/>
      <c r="JJ198" s="93"/>
      <c r="JK198" s="93"/>
      <c r="JL198" s="93"/>
      <c r="JM198" s="93"/>
      <c r="JN198" s="93"/>
      <c r="JO198" s="93"/>
      <c r="JP198" s="93"/>
      <c r="JQ198" s="93"/>
      <c r="JR198" s="93"/>
      <c r="JS198" s="93"/>
      <c r="JT198" s="20"/>
      <c r="JU198" s="29"/>
      <c r="JV198" s="19"/>
      <c r="JW198" s="93"/>
      <c r="JX198" s="93"/>
      <c r="JY198" s="93"/>
      <c r="JZ198" s="93"/>
      <c r="KA198" s="93"/>
      <c r="KB198" s="93"/>
      <c r="KC198" s="93"/>
      <c r="KD198" s="93"/>
      <c r="KE198" s="93"/>
      <c r="KF198" s="93"/>
      <c r="KG198" s="93"/>
      <c r="KH198" s="93"/>
      <c r="KI198" s="93"/>
      <c r="KJ198" s="93"/>
      <c r="KK198" s="93"/>
      <c r="KL198" s="93"/>
      <c r="KM198" s="93"/>
      <c r="KN198" s="93"/>
      <c r="KO198" s="93"/>
      <c r="KP198" s="93"/>
      <c r="KQ198" s="93"/>
      <c r="KR198" s="93"/>
      <c r="KS198" s="93"/>
      <c r="KT198" s="93"/>
      <c r="KU198" s="93"/>
      <c r="KV198" s="93"/>
      <c r="KW198" s="20"/>
      <c r="KX198" s="29"/>
      <c r="KY198" s="19"/>
      <c r="KZ198" s="93"/>
      <c r="LA198" s="93"/>
      <c r="LB198" s="93"/>
      <c r="LC198" s="93"/>
      <c r="LD198" s="93"/>
      <c r="LE198" s="93"/>
      <c r="LF198" s="93"/>
      <c r="LG198" s="93"/>
      <c r="LH198" s="93"/>
      <c r="LI198" s="93"/>
      <c r="LJ198" s="93"/>
      <c r="LK198" s="93"/>
      <c r="LL198" s="93"/>
      <c r="LM198" s="93"/>
      <c r="LN198" s="93"/>
      <c r="LO198" s="93"/>
      <c r="LP198" s="93"/>
      <c r="LQ198" s="93"/>
      <c r="LR198" s="93"/>
      <c r="LS198" s="93"/>
      <c r="LT198" s="93"/>
      <c r="LU198" s="93"/>
      <c r="LV198" s="93"/>
      <c r="LW198" s="93"/>
      <c r="LX198" s="93"/>
      <c r="LY198" s="93"/>
      <c r="LZ198" s="93"/>
      <c r="MA198" s="93"/>
      <c r="MB198" s="93"/>
      <c r="MC198" s="93"/>
      <c r="MD198" s="93"/>
      <c r="ME198" s="93"/>
      <c r="MF198" s="93"/>
      <c r="MG198" s="93"/>
      <c r="MH198" s="20"/>
      <c r="MI198" s="29"/>
      <c r="MJ198" s="29" t="str">
        <f t="shared" si="88"/>
        <v>Trimestre 12031</v>
      </c>
      <c r="MK198" s="848">
        <v>47908</v>
      </c>
      <c r="ML198" s="1991"/>
      <c r="MM198" s="1991"/>
      <c r="MN198" s="1991"/>
      <c r="MO198" s="1991"/>
      <c r="MP198" s="1991"/>
      <c r="MQ198" s="1991"/>
      <c r="MR198" s="1991"/>
      <c r="MS198" s="1991"/>
      <c r="MT198" s="1991"/>
      <c r="MU198" s="1991"/>
      <c r="MV198" s="1991"/>
      <c r="MW198" s="1991"/>
      <c r="MX198" s="1991"/>
      <c r="MY198" s="1991"/>
      <c r="MZ198" s="1991"/>
      <c r="NA198" s="1991"/>
      <c r="NB198" s="1991"/>
      <c r="NC198" s="1991"/>
      <c r="ND198" s="1991"/>
      <c r="NE198" s="1991"/>
      <c r="NF198" s="1991"/>
      <c r="NG198" s="1991"/>
      <c r="NH198" s="1991"/>
      <c r="NI198" s="1991"/>
      <c r="NJ198" s="1991"/>
      <c r="NK198" s="1991"/>
      <c r="NL198" s="29"/>
    </row>
    <row r="199" spans="1:376">
      <c r="A199" s="41">
        <f t="shared" si="86"/>
        <v>2031</v>
      </c>
      <c r="B199" s="785">
        <v>48000</v>
      </c>
      <c r="C199" s="19"/>
      <c r="D199" s="93"/>
      <c r="E199" s="93"/>
      <c r="F199" s="93"/>
      <c r="G199" s="93"/>
      <c r="H199" s="93"/>
      <c r="I199" s="93"/>
      <c r="J199" s="93"/>
      <c r="K199" s="93"/>
      <c r="L199" s="93"/>
      <c r="M199" s="20"/>
      <c r="N199" s="25"/>
      <c r="O199" s="889">
        <f t="shared" si="85"/>
        <v>2031</v>
      </c>
      <c r="P199" s="29" t="str">
        <f t="shared" si="87"/>
        <v>Trimestre 22031</v>
      </c>
      <c r="Q199" s="848">
        <v>48000</v>
      </c>
      <c r="R199" s="733"/>
      <c r="S199" s="570"/>
      <c r="T199" s="570"/>
      <c r="U199" s="734"/>
      <c r="V199" s="25"/>
      <c r="W199" s="19"/>
      <c r="X199" s="93"/>
      <c r="Y199" s="93"/>
      <c r="Z199" s="93"/>
      <c r="AA199" s="93"/>
      <c r="AB199" s="93"/>
      <c r="AC199" s="93"/>
      <c r="AD199" s="93"/>
      <c r="AE199" s="20"/>
      <c r="AF199" s="25"/>
      <c r="AG199" s="19"/>
      <c r="AH199" s="93"/>
      <c r="AI199" s="93"/>
      <c r="AJ199" s="93"/>
      <c r="AK199" s="93"/>
      <c r="AL199" s="93"/>
      <c r="AM199" s="93"/>
      <c r="AN199" s="20"/>
      <c r="AO199" s="19"/>
      <c r="AP199" s="93"/>
      <c r="AQ199" s="93"/>
      <c r="AR199" s="93"/>
      <c r="AS199" s="20"/>
      <c r="AT199" s="19"/>
      <c r="AU199" s="93"/>
      <c r="AV199" s="20"/>
      <c r="AW199" s="19"/>
      <c r="AX199" s="93"/>
      <c r="AY199" s="93"/>
      <c r="AZ199" s="93"/>
      <c r="BA199" s="93"/>
      <c r="BB199" s="93"/>
      <c r="BC199" s="20"/>
      <c r="BD199" s="19"/>
      <c r="BE199" s="93"/>
      <c r="BF199" s="93"/>
      <c r="BG199" s="93"/>
      <c r="BH199" s="93"/>
      <c r="BI199" s="93"/>
      <c r="BJ199" s="93"/>
      <c r="BK199" s="20"/>
      <c r="BL199" s="19"/>
      <c r="BM199" s="93"/>
      <c r="BN199" s="93"/>
      <c r="BO199" s="93"/>
      <c r="BP199" s="93"/>
      <c r="BQ199" s="20"/>
      <c r="BR199" s="19"/>
      <c r="BS199" s="93"/>
      <c r="BT199" s="93"/>
      <c r="BU199" s="20"/>
      <c r="BV199" s="19"/>
      <c r="BW199" s="93"/>
      <c r="BX199" s="93"/>
      <c r="BY199" s="93"/>
      <c r="BZ199" s="93"/>
      <c r="CA199" s="93"/>
      <c r="CB199" s="20"/>
      <c r="CC199" s="25"/>
      <c r="CD199" s="19"/>
      <c r="CE199" s="93"/>
      <c r="CF199" s="20"/>
      <c r="CG199" s="25"/>
      <c r="CH199" s="19"/>
      <c r="CI199" s="93"/>
      <c r="CJ199" s="93"/>
      <c r="CK199" s="93"/>
      <c r="CL199" s="93"/>
      <c r="CM199" s="93"/>
      <c r="CN199" s="93"/>
      <c r="CO199" s="93"/>
      <c r="CP199" s="93"/>
      <c r="CQ199" s="93"/>
      <c r="CR199" s="214"/>
      <c r="CS199" s="20"/>
      <c r="CT199" s="25"/>
      <c r="CU199" s="19"/>
      <c r="CV199" s="93"/>
      <c r="CW199" s="93"/>
      <c r="CX199" s="93"/>
      <c r="CY199" s="93"/>
      <c r="CZ199" s="93"/>
      <c r="DA199" s="93"/>
      <c r="DB199" s="20"/>
      <c r="DC199" s="25"/>
      <c r="DD199" s="785">
        <v>48000</v>
      </c>
      <c r="DE199" s="19"/>
      <c r="DF199" s="20"/>
      <c r="DG199" s="25"/>
      <c r="DH199" s="19"/>
      <c r="DI199" s="20"/>
      <c r="DJ199" s="25"/>
      <c r="DK199" s="19"/>
      <c r="DL199" s="20"/>
      <c r="DM199" s="19"/>
      <c r="DN199" s="20"/>
      <c r="DO199" s="25"/>
      <c r="DP199" s="19"/>
      <c r="DQ199" s="93"/>
      <c r="DR199" s="20"/>
      <c r="DS199" s="25"/>
      <c r="DT199" s="19"/>
      <c r="DU199" s="93"/>
      <c r="DV199" s="20"/>
      <c r="DW199" s="25"/>
      <c r="DX199" s="19"/>
      <c r="DY199" s="20"/>
      <c r="DZ199" s="25"/>
      <c r="EA199" s="19"/>
      <c r="EB199" s="93"/>
      <c r="EC199" s="93"/>
      <c r="ED199" s="93"/>
      <c r="EE199" s="20"/>
      <c r="EF199" s="25"/>
      <c r="EG199" s="19"/>
      <c r="EH199" s="93"/>
      <c r="EI199" s="93"/>
      <c r="EJ199" s="93"/>
      <c r="EK199" s="20"/>
      <c r="EL199" s="25"/>
      <c r="EM199" s="19"/>
      <c r="EN199" s="93"/>
      <c r="EO199" s="93"/>
      <c r="EP199" s="93"/>
      <c r="EQ199" s="93"/>
      <c r="ER199" s="93"/>
      <c r="ES199" s="93"/>
      <c r="ET199" s="93"/>
      <c r="EU199" s="93"/>
      <c r="EV199" s="20"/>
      <c r="EW199" s="25"/>
      <c r="EX199" s="915"/>
      <c r="EY199" s="916"/>
      <c r="EZ199" s="916"/>
      <c r="FA199" s="916"/>
      <c r="FB199" s="916"/>
      <c r="FC199" s="916"/>
      <c r="FD199" s="916"/>
      <c r="FE199" s="916"/>
      <c r="FF199" s="916"/>
      <c r="FG199" s="917"/>
      <c r="FH199" s="25"/>
      <c r="FI199" s="848">
        <v>48000</v>
      </c>
      <c r="FJ199" s="19"/>
      <c r="FK199" s="93"/>
      <c r="FL199" s="20"/>
      <c r="FM199" s="25"/>
      <c r="FN199" s="19"/>
      <c r="FO199" s="93"/>
      <c r="FP199" s="93"/>
      <c r="FQ199" s="93"/>
      <c r="FR199" s="93"/>
      <c r="FS199" s="93"/>
      <c r="FT199" s="93"/>
      <c r="FU199" s="93"/>
      <c r="FV199" s="93"/>
      <c r="FW199" s="917"/>
      <c r="FX199" s="25"/>
      <c r="FY199" s="916"/>
      <c r="FZ199" s="916"/>
      <c r="GA199" s="916"/>
      <c r="GB199" s="916"/>
      <c r="GC199" s="916"/>
      <c r="GD199" s="916"/>
      <c r="GE199" s="916"/>
      <c r="GF199" s="916"/>
      <c r="GG199" s="916"/>
      <c r="GH199" s="916"/>
      <c r="GI199" s="917"/>
      <c r="GJ199" s="25"/>
      <c r="GK199" s="19"/>
      <c r="GL199" s="20"/>
      <c r="GM199" s="25"/>
      <c r="GN199" s="19"/>
      <c r="GO199" s="20"/>
      <c r="GP199" s="25"/>
      <c r="GQ199" s="19"/>
      <c r="GR199" s="20"/>
      <c r="GS199" s="25"/>
      <c r="GT199" s="848">
        <v>48000</v>
      </c>
      <c r="GU199" s="19"/>
      <c r="GV199" s="93"/>
      <c r="GW199" s="93"/>
      <c r="GX199" s="93"/>
      <c r="GY199" s="93"/>
      <c r="GZ199" s="93"/>
      <c r="HA199" s="93"/>
      <c r="HB199" s="93"/>
      <c r="HC199" s="93"/>
      <c r="HD199" s="93"/>
      <c r="HE199" s="93"/>
      <c r="HF199" s="93"/>
      <c r="HG199" s="93"/>
      <c r="HH199" s="93"/>
      <c r="HI199" s="93"/>
      <c r="HJ199" s="93"/>
      <c r="HK199" s="93"/>
      <c r="HL199" s="93"/>
      <c r="HM199" s="93"/>
      <c r="HN199" s="93"/>
      <c r="HO199" s="93"/>
      <c r="HP199" s="93"/>
      <c r="HQ199" s="93"/>
      <c r="HR199" s="93"/>
      <c r="HS199" s="93"/>
      <c r="HT199" s="93"/>
      <c r="HU199" s="93"/>
      <c r="HV199" s="93"/>
      <c r="HW199" s="93"/>
      <c r="HX199" s="93"/>
      <c r="HY199" s="93"/>
      <c r="HZ199" s="93"/>
      <c r="IA199" s="93"/>
      <c r="IB199" s="93"/>
      <c r="IC199" s="93"/>
      <c r="ID199" s="93"/>
      <c r="IE199" s="93"/>
      <c r="IF199" s="93"/>
      <c r="IG199" s="93"/>
      <c r="IH199" s="93"/>
      <c r="II199" s="93"/>
      <c r="IJ199" s="93"/>
      <c r="IK199" s="93"/>
      <c r="IL199" s="93"/>
      <c r="IM199" s="93"/>
      <c r="IN199" s="93"/>
      <c r="IO199" s="93"/>
      <c r="IP199" s="93"/>
      <c r="IQ199" s="93"/>
      <c r="IR199" s="93"/>
      <c r="IS199" s="93"/>
      <c r="IT199" s="93"/>
      <c r="IU199" s="93"/>
      <c r="IV199" s="93"/>
      <c r="IW199" s="848">
        <v>48000</v>
      </c>
      <c r="IX199" s="93"/>
      <c r="IY199" s="93"/>
      <c r="IZ199" s="93"/>
      <c r="JA199" s="93"/>
      <c r="JB199" s="93"/>
      <c r="JC199" s="93"/>
      <c r="JD199" s="93"/>
      <c r="JE199" s="93"/>
      <c r="JF199" s="93"/>
      <c r="JG199" s="93"/>
      <c r="JH199" s="93"/>
      <c r="JI199" s="93"/>
      <c r="JJ199" s="93"/>
      <c r="JK199" s="93"/>
      <c r="JL199" s="93"/>
      <c r="JM199" s="93"/>
      <c r="JN199" s="93"/>
      <c r="JO199" s="93"/>
      <c r="JP199" s="93"/>
      <c r="JQ199" s="93"/>
      <c r="JR199" s="93"/>
      <c r="JS199" s="93"/>
      <c r="JT199" s="20"/>
      <c r="JU199" s="29"/>
      <c r="JV199" s="19"/>
      <c r="JW199" s="93"/>
      <c r="JX199" s="93"/>
      <c r="JY199" s="93"/>
      <c r="JZ199" s="93"/>
      <c r="KA199" s="93"/>
      <c r="KB199" s="93"/>
      <c r="KC199" s="93"/>
      <c r="KD199" s="93"/>
      <c r="KE199" s="93"/>
      <c r="KF199" s="93"/>
      <c r="KG199" s="93"/>
      <c r="KH199" s="93"/>
      <c r="KI199" s="93"/>
      <c r="KJ199" s="93"/>
      <c r="KK199" s="93"/>
      <c r="KL199" s="93"/>
      <c r="KM199" s="93"/>
      <c r="KN199" s="93"/>
      <c r="KO199" s="93"/>
      <c r="KP199" s="93"/>
      <c r="KQ199" s="93"/>
      <c r="KR199" s="93"/>
      <c r="KS199" s="93"/>
      <c r="KT199" s="93"/>
      <c r="KU199" s="93"/>
      <c r="KV199" s="93"/>
      <c r="KW199" s="20"/>
      <c r="KX199" s="29"/>
      <c r="KY199" s="19"/>
      <c r="KZ199" s="93"/>
      <c r="LA199" s="93"/>
      <c r="LB199" s="93"/>
      <c r="LC199" s="93"/>
      <c r="LD199" s="93"/>
      <c r="LE199" s="93"/>
      <c r="LF199" s="93"/>
      <c r="LG199" s="93"/>
      <c r="LH199" s="93"/>
      <c r="LI199" s="93"/>
      <c r="LJ199" s="93"/>
      <c r="LK199" s="93"/>
      <c r="LL199" s="93"/>
      <c r="LM199" s="93"/>
      <c r="LN199" s="93"/>
      <c r="LO199" s="93"/>
      <c r="LP199" s="93"/>
      <c r="LQ199" s="93"/>
      <c r="LR199" s="93"/>
      <c r="LS199" s="93"/>
      <c r="LT199" s="93"/>
      <c r="LU199" s="93"/>
      <c r="LV199" s="93"/>
      <c r="LW199" s="93"/>
      <c r="LX199" s="93"/>
      <c r="LY199" s="93"/>
      <c r="LZ199" s="93"/>
      <c r="MA199" s="93"/>
      <c r="MB199" s="93"/>
      <c r="MC199" s="93"/>
      <c r="MD199" s="93"/>
      <c r="ME199" s="93"/>
      <c r="MF199" s="93"/>
      <c r="MG199" s="93"/>
      <c r="MH199" s="20"/>
      <c r="MI199" s="29"/>
      <c r="MJ199" s="29" t="str">
        <f t="shared" si="88"/>
        <v>Trimestre 22031</v>
      </c>
      <c r="MK199" s="848">
        <v>48000</v>
      </c>
      <c r="ML199" s="1991"/>
      <c r="MM199" s="1991"/>
      <c r="MN199" s="1991"/>
      <c r="MO199" s="1991"/>
      <c r="MP199" s="1991"/>
      <c r="MQ199" s="1991"/>
      <c r="MR199" s="1991"/>
      <c r="MS199" s="1991"/>
      <c r="MT199" s="1991"/>
      <c r="MU199" s="1991"/>
      <c r="MV199" s="1991"/>
      <c r="MW199" s="1991"/>
      <c r="MX199" s="1991"/>
      <c r="MY199" s="1991"/>
      <c r="MZ199" s="1991"/>
      <c r="NA199" s="1991"/>
      <c r="NB199" s="1991"/>
      <c r="NC199" s="1991"/>
      <c r="ND199" s="1991"/>
      <c r="NE199" s="1991"/>
      <c r="NF199" s="1991"/>
      <c r="NG199" s="1991"/>
      <c r="NH199" s="1991"/>
      <c r="NI199" s="1991"/>
      <c r="NJ199" s="1991"/>
      <c r="NK199" s="1991"/>
      <c r="NL199" s="29"/>
    </row>
    <row r="200" spans="1:376">
      <c r="A200" s="41">
        <f t="shared" si="86"/>
        <v>2031</v>
      </c>
      <c r="B200" s="785">
        <v>48092</v>
      </c>
      <c r="C200" s="19"/>
      <c r="D200" s="93"/>
      <c r="E200" s="93"/>
      <c r="F200" s="93"/>
      <c r="G200" s="93"/>
      <c r="H200" s="93"/>
      <c r="I200" s="93"/>
      <c r="J200" s="93"/>
      <c r="K200" s="93"/>
      <c r="L200" s="93"/>
      <c r="M200" s="20"/>
      <c r="N200" s="25"/>
      <c r="O200" s="889">
        <f t="shared" si="85"/>
        <v>2031</v>
      </c>
      <c r="P200" s="29" t="str">
        <f t="shared" si="87"/>
        <v>Trimestre 32031</v>
      </c>
      <c r="Q200" s="848">
        <v>48092</v>
      </c>
      <c r="R200" s="733"/>
      <c r="S200" s="570"/>
      <c r="T200" s="570"/>
      <c r="U200" s="734"/>
      <c r="V200" s="25"/>
      <c r="W200" s="19"/>
      <c r="X200" s="93"/>
      <c r="Y200" s="93"/>
      <c r="Z200" s="93"/>
      <c r="AA200" s="93"/>
      <c r="AB200" s="93"/>
      <c r="AC200" s="93"/>
      <c r="AD200" s="93"/>
      <c r="AE200" s="20"/>
      <c r="AF200" s="25"/>
      <c r="AG200" s="19"/>
      <c r="AH200" s="93"/>
      <c r="AI200" s="93"/>
      <c r="AJ200" s="93"/>
      <c r="AK200" s="93"/>
      <c r="AL200" s="93"/>
      <c r="AM200" s="93"/>
      <c r="AN200" s="20"/>
      <c r="AO200" s="19"/>
      <c r="AP200" s="93"/>
      <c r="AQ200" s="93"/>
      <c r="AR200" s="93"/>
      <c r="AS200" s="20"/>
      <c r="AT200" s="19"/>
      <c r="AU200" s="93"/>
      <c r="AV200" s="20"/>
      <c r="AW200" s="19"/>
      <c r="AX200" s="93"/>
      <c r="AY200" s="93"/>
      <c r="AZ200" s="93"/>
      <c r="BA200" s="93"/>
      <c r="BB200" s="93"/>
      <c r="BC200" s="20"/>
      <c r="BD200" s="19"/>
      <c r="BE200" s="93"/>
      <c r="BF200" s="93"/>
      <c r="BG200" s="93"/>
      <c r="BH200" s="93"/>
      <c r="BI200" s="93"/>
      <c r="BJ200" s="93"/>
      <c r="BK200" s="20"/>
      <c r="BL200" s="19"/>
      <c r="BM200" s="93"/>
      <c r="BN200" s="93"/>
      <c r="BO200" s="93"/>
      <c r="BP200" s="93"/>
      <c r="BQ200" s="20"/>
      <c r="BR200" s="19"/>
      <c r="BS200" s="93"/>
      <c r="BT200" s="93"/>
      <c r="BU200" s="20"/>
      <c r="BV200" s="19"/>
      <c r="BW200" s="93"/>
      <c r="BX200" s="93"/>
      <c r="BY200" s="93"/>
      <c r="BZ200" s="93"/>
      <c r="CA200" s="93"/>
      <c r="CB200" s="20"/>
      <c r="CC200" s="25"/>
      <c r="CD200" s="19"/>
      <c r="CE200" s="93"/>
      <c r="CF200" s="20"/>
      <c r="CG200" s="25"/>
      <c r="CH200" s="19"/>
      <c r="CI200" s="93"/>
      <c r="CJ200" s="93"/>
      <c r="CK200" s="93"/>
      <c r="CL200" s="93"/>
      <c r="CM200" s="93"/>
      <c r="CN200" s="93"/>
      <c r="CO200" s="93"/>
      <c r="CP200" s="93"/>
      <c r="CQ200" s="93"/>
      <c r="CR200" s="214"/>
      <c r="CS200" s="20"/>
      <c r="CT200" s="25"/>
      <c r="CU200" s="19"/>
      <c r="CV200" s="93"/>
      <c r="CW200" s="93"/>
      <c r="CX200" s="93"/>
      <c r="CY200" s="93"/>
      <c r="CZ200" s="93"/>
      <c r="DA200" s="93"/>
      <c r="DB200" s="20"/>
      <c r="DC200" s="25"/>
      <c r="DD200" s="785">
        <v>48092</v>
      </c>
      <c r="DE200" s="19"/>
      <c r="DF200" s="20"/>
      <c r="DG200" s="25"/>
      <c r="DH200" s="19"/>
      <c r="DI200" s="20"/>
      <c r="DJ200" s="25"/>
      <c r="DK200" s="19"/>
      <c r="DL200" s="20"/>
      <c r="DM200" s="19"/>
      <c r="DN200" s="20"/>
      <c r="DO200" s="25"/>
      <c r="DP200" s="19"/>
      <c r="DQ200" s="93"/>
      <c r="DR200" s="20"/>
      <c r="DS200" s="25"/>
      <c r="DT200" s="19"/>
      <c r="DU200" s="93"/>
      <c r="DV200" s="20"/>
      <c r="DW200" s="25"/>
      <c r="DX200" s="19"/>
      <c r="DY200" s="20"/>
      <c r="DZ200" s="25"/>
      <c r="EA200" s="19"/>
      <c r="EB200" s="93"/>
      <c r="EC200" s="93"/>
      <c r="ED200" s="93"/>
      <c r="EE200" s="20"/>
      <c r="EF200" s="25"/>
      <c r="EG200" s="19"/>
      <c r="EH200" s="93"/>
      <c r="EI200" s="93"/>
      <c r="EJ200" s="93"/>
      <c r="EK200" s="20"/>
      <c r="EL200" s="25"/>
      <c r="EM200" s="19"/>
      <c r="EN200" s="93"/>
      <c r="EO200" s="93"/>
      <c r="EP200" s="93"/>
      <c r="EQ200" s="93"/>
      <c r="ER200" s="93"/>
      <c r="ES200" s="93"/>
      <c r="ET200" s="93"/>
      <c r="EU200" s="93"/>
      <c r="EV200" s="20"/>
      <c r="EW200" s="25"/>
      <c r="EX200" s="915"/>
      <c r="EY200" s="916"/>
      <c r="EZ200" s="916"/>
      <c r="FA200" s="916"/>
      <c r="FB200" s="916"/>
      <c r="FC200" s="916"/>
      <c r="FD200" s="916"/>
      <c r="FE200" s="916"/>
      <c r="FF200" s="916"/>
      <c r="FG200" s="917"/>
      <c r="FH200" s="25"/>
      <c r="FI200" s="848">
        <v>48092</v>
      </c>
      <c r="FJ200" s="19"/>
      <c r="FK200" s="93"/>
      <c r="FL200" s="20"/>
      <c r="FM200" s="25"/>
      <c r="FN200" s="19"/>
      <c r="FO200" s="93"/>
      <c r="FP200" s="93"/>
      <c r="FQ200" s="93"/>
      <c r="FR200" s="93"/>
      <c r="FS200" s="93"/>
      <c r="FT200" s="93"/>
      <c r="FU200" s="93"/>
      <c r="FV200" s="93"/>
      <c r="FW200" s="917"/>
      <c r="FX200" s="25"/>
      <c r="FY200" s="916"/>
      <c r="FZ200" s="916"/>
      <c r="GA200" s="916"/>
      <c r="GB200" s="916"/>
      <c r="GC200" s="916"/>
      <c r="GD200" s="916"/>
      <c r="GE200" s="916"/>
      <c r="GF200" s="916"/>
      <c r="GG200" s="916"/>
      <c r="GH200" s="916"/>
      <c r="GI200" s="917"/>
      <c r="GJ200" s="25"/>
      <c r="GK200" s="19"/>
      <c r="GL200" s="20"/>
      <c r="GM200" s="25"/>
      <c r="GN200" s="19"/>
      <c r="GO200" s="20"/>
      <c r="GP200" s="25"/>
      <c r="GQ200" s="19"/>
      <c r="GR200" s="20"/>
      <c r="GS200" s="25"/>
      <c r="GT200" s="848">
        <v>48092</v>
      </c>
      <c r="GU200" s="19"/>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848">
        <v>48092</v>
      </c>
      <c r="IX200" s="93"/>
      <c r="IY200" s="93"/>
      <c r="IZ200" s="93"/>
      <c r="JA200" s="93"/>
      <c r="JB200" s="93"/>
      <c r="JC200" s="93"/>
      <c r="JD200" s="93"/>
      <c r="JE200" s="93"/>
      <c r="JF200" s="93"/>
      <c r="JG200" s="93"/>
      <c r="JH200" s="93"/>
      <c r="JI200" s="93"/>
      <c r="JJ200" s="93"/>
      <c r="JK200" s="93"/>
      <c r="JL200" s="93"/>
      <c r="JM200" s="93"/>
      <c r="JN200" s="93"/>
      <c r="JO200" s="93"/>
      <c r="JP200" s="93"/>
      <c r="JQ200" s="93"/>
      <c r="JR200" s="93"/>
      <c r="JS200" s="93"/>
      <c r="JT200" s="20"/>
      <c r="JU200" s="29"/>
      <c r="JV200" s="19"/>
      <c r="JW200" s="93"/>
      <c r="JX200" s="93"/>
      <c r="JY200" s="93"/>
      <c r="JZ200" s="93"/>
      <c r="KA200" s="93"/>
      <c r="KB200" s="93"/>
      <c r="KC200" s="93"/>
      <c r="KD200" s="93"/>
      <c r="KE200" s="93"/>
      <c r="KF200" s="93"/>
      <c r="KG200" s="93"/>
      <c r="KH200" s="93"/>
      <c r="KI200" s="93"/>
      <c r="KJ200" s="93"/>
      <c r="KK200" s="93"/>
      <c r="KL200" s="93"/>
      <c r="KM200" s="93"/>
      <c r="KN200" s="93"/>
      <c r="KO200" s="93"/>
      <c r="KP200" s="93"/>
      <c r="KQ200" s="93"/>
      <c r="KR200" s="93"/>
      <c r="KS200" s="93"/>
      <c r="KT200" s="93"/>
      <c r="KU200" s="93"/>
      <c r="KV200" s="93"/>
      <c r="KW200" s="20"/>
      <c r="KX200" s="29"/>
      <c r="KY200" s="19"/>
      <c r="KZ200" s="93"/>
      <c r="LA200" s="93"/>
      <c r="LB200" s="93"/>
      <c r="LC200" s="93"/>
      <c r="LD200" s="93"/>
      <c r="LE200" s="93"/>
      <c r="LF200" s="93"/>
      <c r="LG200" s="93"/>
      <c r="LH200" s="93"/>
      <c r="LI200" s="93"/>
      <c r="LJ200" s="93"/>
      <c r="LK200" s="93"/>
      <c r="LL200" s="93"/>
      <c r="LM200" s="93"/>
      <c r="LN200" s="93"/>
      <c r="LO200" s="93"/>
      <c r="LP200" s="93"/>
      <c r="LQ200" s="93"/>
      <c r="LR200" s="93"/>
      <c r="LS200" s="93"/>
      <c r="LT200" s="93"/>
      <c r="LU200" s="93"/>
      <c r="LV200" s="93"/>
      <c r="LW200" s="93"/>
      <c r="LX200" s="93"/>
      <c r="LY200" s="93"/>
      <c r="LZ200" s="93"/>
      <c r="MA200" s="93"/>
      <c r="MB200" s="93"/>
      <c r="MC200" s="93"/>
      <c r="MD200" s="93"/>
      <c r="ME200" s="93"/>
      <c r="MF200" s="93"/>
      <c r="MG200" s="93"/>
      <c r="MH200" s="20"/>
      <c r="MI200" s="29"/>
      <c r="MJ200" s="29" t="str">
        <f t="shared" si="88"/>
        <v>Trimestre 32031</v>
      </c>
      <c r="MK200" s="848">
        <v>48092</v>
      </c>
      <c r="ML200" s="1991"/>
      <c r="MM200" s="1991"/>
      <c r="MN200" s="1991"/>
      <c r="MO200" s="1991"/>
      <c r="MP200" s="1991"/>
      <c r="MQ200" s="1991"/>
      <c r="MR200" s="1991"/>
      <c r="MS200" s="1991"/>
      <c r="MT200" s="1991"/>
      <c r="MU200" s="1991"/>
      <c r="MV200" s="1991"/>
      <c r="MW200" s="1991"/>
      <c r="MX200" s="1991"/>
      <c r="MY200" s="1991"/>
      <c r="MZ200" s="1991"/>
      <c r="NA200" s="1991"/>
      <c r="NB200" s="1991"/>
      <c r="NC200" s="1991"/>
      <c r="ND200" s="1991"/>
      <c r="NE200" s="1991"/>
      <c r="NF200" s="1991"/>
      <c r="NG200" s="1991"/>
      <c r="NH200" s="1991"/>
      <c r="NI200" s="1991"/>
      <c r="NJ200" s="1991"/>
      <c r="NK200" s="1991"/>
      <c r="NL200" s="29"/>
    </row>
    <row r="201" spans="1:376">
      <c r="A201" s="41">
        <f t="shared" si="86"/>
        <v>2031</v>
      </c>
      <c r="B201" s="785">
        <v>48183</v>
      </c>
      <c r="C201" s="19"/>
      <c r="D201" s="93"/>
      <c r="E201" s="93"/>
      <c r="F201" s="93"/>
      <c r="G201" s="93"/>
      <c r="H201" s="93"/>
      <c r="I201" s="93"/>
      <c r="J201" s="93"/>
      <c r="K201" s="93"/>
      <c r="L201" s="93"/>
      <c r="M201" s="20"/>
      <c r="N201" s="25"/>
      <c r="O201" s="889">
        <f t="shared" si="85"/>
        <v>2031</v>
      </c>
      <c r="P201" s="29" t="str">
        <f t="shared" si="87"/>
        <v>Trimestre 42031</v>
      </c>
      <c r="Q201" s="848">
        <v>48183</v>
      </c>
      <c r="R201" s="733"/>
      <c r="S201" s="570"/>
      <c r="T201" s="570"/>
      <c r="U201" s="734"/>
      <c r="V201" s="25"/>
      <c r="W201" s="19"/>
      <c r="X201" s="93"/>
      <c r="Y201" s="93"/>
      <c r="Z201" s="93"/>
      <c r="AA201" s="93"/>
      <c r="AB201" s="93"/>
      <c r="AC201" s="93"/>
      <c r="AD201" s="93"/>
      <c r="AE201" s="20"/>
      <c r="AF201" s="25"/>
      <c r="AG201" s="19"/>
      <c r="AH201" s="93"/>
      <c r="AI201" s="93"/>
      <c r="AJ201" s="93"/>
      <c r="AK201" s="93"/>
      <c r="AL201" s="93"/>
      <c r="AM201" s="93"/>
      <c r="AN201" s="20"/>
      <c r="AO201" s="19"/>
      <c r="AP201" s="93"/>
      <c r="AQ201" s="93"/>
      <c r="AR201" s="93"/>
      <c r="AS201" s="20"/>
      <c r="AT201" s="19"/>
      <c r="AU201" s="93"/>
      <c r="AV201" s="20"/>
      <c r="AW201" s="19"/>
      <c r="AX201" s="93"/>
      <c r="AY201" s="93"/>
      <c r="AZ201" s="93"/>
      <c r="BA201" s="93"/>
      <c r="BB201" s="93"/>
      <c r="BC201" s="20"/>
      <c r="BD201" s="19"/>
      <c r="BE201" s="93"/>
      <c r="BF201" s="93"/>
      <c r="BG201" s="93"/>
      <c r="BH201" s="93"/>
      <c r="BI201" s="93"/>
      <c r="BJ201" s="93"/>
      <c r="BK201" s="20"/>
      <c r="BL201" s="19"/>
      <c r="BM201" s="93"/>
      <c r="BN201" s="93"/>
      <c r="BO201" s="93"/>
      <c r="BP201" s="93"/>
      <c r="BQ201" s="20"/>
      <c r="BR201" s="19"/>
      <c r="BS201" s="93"/>
      <c r="BT201" s="93"/>
      <c r="BU201" s="20"/>
      <c r="BV201" s="19"/>
      <c r="BW201" s="93"/>
      <c r="BX201" s="93"/>
      <c r="BY201" s="93"/>
      <c r="BZ201" s="93"/>
      <c r="CA201" s="93"/>
      <c r="CB201" s="20"/>
      <c r="CC201" s="25"/>
      <c r="CD201" s="19"/>
      <c r="CE201" s="93"/>
      <c r="CF201" s="20"/>
      <c r="CG201" s="25"/>
      <c r="CH201" s="19"/>
      <c r="CI201" s="93"/>
      <c r="CJ201" s="93"/>
      <c r="CK201" s="93"/>
      <c r="CL201" s="93"/>
      <c r="CM201" s="93"/>
      <c r="CN201" s="93"/>
      <c r="CO201" s="93"/>
      <c r="CP201" s="93"/>
      <c r="CQ201" s="93"/>
      <c r="CR201" s="214"/>
      <c r="CS201" s="20"/>
      <c r="CT201" s="25"/>
      <c r="CU201" s="19"/>
      <c r="CV201" s="93"/>
      <c r="CW201" s="93"/>
      <c r="CX201" s="93"/>
      <c r="CY201" s="93"/>
      <c r="CZ201" s="93"/>
      <c r="DA201" s="93"/>
      <c r="DB201" s="20"/>
      <c r="DC201" s="25"/>
      <c r="DD201" s="785">
        <v>48183</v>
      </c>
      <c r="DE201" s="19"/>
      <c r="DF201" s="20"/>
      <c r="DG201" s="25"/>
      <c r="DH201" s="19"/>
      <c r="DI201" s="20"/>
      <c r="DJ201" s="25"/>
      <c r="DK201" s="19"/>
      <c r="DL201" s="20"/>
      <c r="DM201" s="19"/>
      <c r="DN201" s="20"/>
      <c r="DO201" s="25"/>
      <c r="DP201" s="19"/>
      <c r="DQ201" s="93"/>
      <c r="DR201" s="20"/>
      <c r="DS201" s="25"/>
      <c r="DT201" s="19"/>
      <c r="DU201" s="93"/>
      <c r="DV201" s="20"/>
      <c r="DW201" s="25"/>
      <c r="DX201" s="19"/>
      <c r="DY201" s="20"/>
      <c r="DZ201" s="25"/>
      <c r="EA201" s="19"/>
      <c r="EB201" s="93"/>
      <c r="EC201" s="93"/>
      <c r="ED201" s="93"/>
      <c r="EE201" s="20"/>
      <c r="EF201" s="25"/>
      <c r="EG201" s="19"/>
      <c r="EH201" s="93"/>
      <c r="EI201" s="93"/>
      <c r="EJ201" s="93"/>
      <c r="EK201" s="20"/>
      <c r="EL201" s="25"/>
      <c r="EM201" s="19"/>
      <c r="EN201" s="93"/>
      <c r="EO201" s="93"/>
      <c r="EP201" s="93"/>
      <c r="EQ201" s="93"/>
      <c r="ER201" s="93"/>
      <c r="ES201" s="93"/>
      <c r="ET201" s="93"/>
      <c r="EU201" s="93"/>
      <c r="EV201" s="20"/>
      <c r="EW201" s="25"/>
      <c r="EX201" s="915"/>
      <c r="EY201" s="916"/>
      <c r="EZ201" s="916"/>
      <c r="FA201" s="916"/>
      <c r="FB201" s="916"/>
      <c r="FC201" s="916"/>
      <c r="FD201" s="916"/>
      <c r="FE201" s="916"/>
      <c r="FF201" s="916"/>
      <c r="FG201" s="917"/>
      <c r="FH201" s="25"/>
      <c r="FI201" s="848">
        <v>48183</v>
      </c>
      <c r="FJ201" s="19"/>
      <c r="FK201" s="93"/>
      <c r="FL201" s="20"/>
      <c r="FM201" s="25"/>
      <c r="FN201" s="19"/>
      <c r="FO201" s="93"/>
      <c r="FP201" s="93"/>
      <c r="FQ201" s="93"/>
      <c r="FR201" s="93"/>
      <c r="FS201" s="93"/>
      <c r="FT201" s="93"/>
      <c r="FU201" s="93"/>
      <c r="FV201" s="93"/>
      <c r="FW201" s="917"/>
      <c r="FX201" s="25"/>
      <c r="FY201" s="916"/>
      <c r="FZ201" s="916"/>
      <c r="GA201" s="916"/>
      <c r="GB201" s="916"/>
      <c r="GC201" s="916"/>
      <c r="GD201" s="916"/>
      <c r="GE201" s="916"/>
      <c r="GF201" s="916"/>
      <c r="GG201" s="916"/>
      <c r="GH201" s="916"/>
      <c r="GI201" s="917"/>
      <c r="GJ201" s="25"/>
      <c r="GK201" s="19"/>
      <c r="GL201" s="20"/>
      <c r="GM201" s="25"/>
      <c r="GN201" s="19"/>
      <c r="GO201" s="20"/>
      <c r="GP201" s="25"/>
      <c r="GQ201" s="19"/>
      <c r="GR201" s="20"/>
      <c r="GS201" s="25"/>
      <c r="GT201" s="848">
        <v>48183</v>
      </c>
      <c r="GU201" s="19"/>
      <c r="GV201" s="93"/>
      <c r="GW201" s="93"/>
      <c r="GX201" s="93"/>
      <c r="GY201" s="93"/>
      <c r="GZ201" s="93"/>
      <c r="HA201" s="93"/>
      <c r="HB201" s="93"/>
      <c r="HC201" s="93"/>
      <c r="HD201" s="93"/>
      <c r="HE201" s="93"/>
      <c r="HF201" s="93"/>
      <c r="HG201" s="93"/>
      <c r="HH201" s="93"/>
      <c r="HI201" s="93"/>
      <c r="HJ201" s="93"/>
      <c r="HK201" s="93"/>
      <c r="HL201" s="93"/>
      <c r="HM201" s="93"/>
      <c r="HN201" s="93"/>
      <c r="HO201" s="93"/>
      <c r="HP201" s="93"/>
      <c r="HQ201" s="93"/>
      <c r="HR201" s="93"/>
      <c r="HS201" s="93"/>
      <c r="HT201" s="93"/>
      <c r="HU201" s="93"/>
      <c r="HV201" s="93"/>
      <c r="HW201" s="93"/>
      <c r="HX201" s="93"/>
      <c r="HY201" s="93"/>
      <c r="HZ201" s="93"/>
      <c r="IA201" s="93"/>
      <c r="IB201" s="93"/>
      <c r="IC201" s="93"/>
      <c r="ID201" s="93"/>
      <c r="IE201" s="93"/>
      <c r="IF201" s="93"/>
      <c r="IG201" s="93"/>
      <c r="IH201" s="93"/>
      <c r="II201" s="93"/>
      <c r="IJ201" s="93"/>
      <c r="IK201" s="93"/>
      <c r="IL201" s="93"/>
      <c r="IM201" s="93"/>
      <c r="IN201" s="93"/>
      <c r="IO201" s="93"/>
      <c r="IP201" s="93"/>
      <c r="IQ201" s="93"/>
      <c r="IR201" s="93"/>
      <c r="IS201" s="93"/>
      <c r="IT201" s="93"/>
      <c r="IU201" s="93"/>
      <c r="IV201" s="93"/>
      <c r="IW201" s="848">
        <v>48183</v>
      </c>
      <c r="IX201" s="93"/>
      <c r="IY201" s="93"/>
      <c r="IZ201" s="93"/>
      <c r="JA201" s="93"/>
      <c r="JB201" s="93"/>
      <c r="JC201" s="93"/>
      <c r="JD201" s="93"/>
      <c r="JE201" s="93"/>
      <c r="JF201" s="93"/>
      <c r="JG201" s="93"/>
      <c r="JH201" s="93"/>
      <c r="JI201" s="93"/>
      <c r="JJ201" s="93"/>
      <c r="JK201" s="93"/>
      <c r="JL201" s="93"/>
      <c r="JM201" s="93"/>
      <c r="JN201" s="93"/>
      <c r="JO201" s="93"/>
      <c r="JP201" s="93"/>
      <c r="JQ201" s="93"/>
      <c r="JR201" s="93"/>
      <c r="JS201" s="93"/>
      <c r="JT201" s="20"/>
      <c r="JU201" s="29"/>
      <c r="JV201" s="19"/>
      <c r="JW201" s="93"/>
      <c r="JX201" s="93"/>
      <c r="JY201" s="93"/>
      <c r="JZ201" s="93"/>
      <c r="KA201" s="93"/>
      <c r="KB201" s="93"/>
      <c r="KC201" s="93"/>
      <c r="KD201" s="93"/>
      <c r="KE201" s="93"/>
      <c r="KF201" s="93"/>
      <c r="KG201" s="93"/>
      <c r="KH201" s="93"/>
      <c r="KI201" s="93"/>
      <c r="KJ201" s="93"/>
      <c r="KK201" s="93"/>
      <c r="KL201" s="93"/>
      <c r="KM201" s="93"/>
      <c r="KN201" s="93"/>
      <c r="KO201" s="93"/>
      <c r="KP201" s="93"/>
      <c r="KQ201" s="93"/>
      <c r="KR201" s="93"/>
      <c r="KS201" s="93"/>
      <c r="KT201" s="93"/>
      <c r="KU201" s="93"/>
      <c r="KV201" s="93"/>
      <c r="KW201" s="20"/>
      <c r="KX201" s="29"/>
      <c r="KY201" s="19"/>
      <c r="KZ201" s="93"/>
      <c r="LA201" s="93"/>
      <c r="LB201" s="93"/>
      <c r="LC201" s="93"/>
      <c r="LD201" s="93"/>
      <c r="LE201" s="93"/>
      <c r="LF201" s="93"/>
      <c r="LG201" s="93"/>
      <c r="LH201" s="93"/>
      <c r="LI201" s="93"/>
      <c r="LJ201" s="93"/>
      <c r="LK201" s="93"/>
      <c r="LL201" s="93"/>
      <c r="LM201" s="93"/>
      <c r="LN201" s="93"/>
      <c r="LO201" s="93"/>
      <c r="LP201" s="93"/>
      <c r="LQ201" s="93"/>
      <c r="LR201" s="93"/>
      <c r="LS201" s="93"/>
      <c r="LT201" s="93"/>
      <c r="LU201" s="93"/>
      <c r="LV201" s="93"/>
      <c r="LW201" s="93"/>
      <c r="LX201" s="93"/>
      <c r="LY201" s="93"/>
      <c r="LZ201" s="93"/>
      <c r="MA201" s="93"/>
      <c r="MB201" s="93"/>
      <c r="MC201" s="93"/>
      <c r="MD201" s="93"/>
      <c r="ME201" s="93"/>
      <c r="MF201" s="93"/>
      <c r="MG201" s="93"/>
      <c r="MH201" s="20"/>
      <c r="MI201" s="29"/>
      <c r="MJ201" s="29" t="str">
        <f t="shared" si="88"/>
        <v>Trimestre 42031</v>
      </c>
      <c r="MK201" s="848">
        <v>48183</v>
      </c>
      <c r="ML201" s="1991"/>
      <c r="MM201" s="1991"/>
      <c r="MN201" s="1991"/>
      <c r="MO201" s="1991"/>
      <c r="MP201" s="1991"/>
      <c r="MQ201" s="1991"/>
      <c r="MR201" s="1991"/>
      <c r="MS201" s="1991"/>
      <c r="MT201" s="1991"/>
      <c r="MU201" s="1991"/>
      <c r="MV201" s="1991"/>
      <c r="MW201" s="1991"/>
      <c r="MX201" s="1991"/>
      <c r="MY201" s="1991"/>
      <c r="MZ201" s="1991"/>
      <c r="NA201" s="1991"/>
      <c r="NB201" s="1991"/>
      <c r="NC201" s="1991"/>
      <c r="ND201" s="1991"/>
      <c r="NE201" s="1991"/>
      <c r="NF201" s="1991"/>
      <c r="NG201" s="1991"/>
      <c r="NH201" s="1991"/>
      <c r="NI201" s="1991"/>
      <c r="NJ201" s="1991"/>
      <c r="NK201" s="1991"/>
      <c r="NL201" s="29"/>
    </row>
    <row r="202" spans="1:376">
      <c r="A202" s="41">
        <f t="shared" si="86"/>
        <v>2032</v>
      </c>
      <c r="B202" s="785">
        <v>48274</v>
      </c>
      <c r="C202" s="19"/>
      <c r="D202" s="93"/>
      <c r="E202" s="93"/>
      <c r="F202" s="93"/>
      <c r="G202" s="93"/>
      <c r="H202" s="93"/>
      <c r="I202" s="93"/>
      <c r="J202" s="93"/>
      <c r="K202" s="93"/>
      <c r="L202" s="93"/>
      <c r="M202" s="20"/>
      <c r="N202" s="25"/>
      <c r="O202" s="889">
        <f t="shared" si="85"/>
        <v>2032</v>
      </c>
      <c r="P202" s="29" t="str">
        <f t="shared" si="87"/>
        <v>Trimestre 12032</v>
      </c>
      <c r="Q202" s="848">
        <v>48274</v>
      </c>
      <c r="R202" s="733"/>
      <c r="S202" s="570"/>
      <c r="T202" s="570"/>
      <c r="U202" s="734"/>
      <c r="V202" s="25"/>
      <c r="W202" s="19"/>
      <c r="X202" s="93"/>
      <c r="Y202" s="93"/>
      <c r="Z202" s="93"/>
      <c r="AA202" s="93"/>
      <c r="AB202" s="93"/>
      <c r="AC202" s="93"/>
      <c r="AD202" s="93"/>
      <c r="AE202" s="20"/>
      <c r="AF202" s="25"/>
      <c r="AG202" s="19"/>
      <c r="AH202" s="93"/>
      <c r="AI202" s="93"/>
      <c r="AJ202" s="93"/>
      <c r="AK202" s="93"/>
      <c r="AL202" s="93"/>
      <c r="AM202" s="93"/>
      <c r="AN202" s="20"/>
      <c r="AO202" s="19"/>
      <c r="AP202" s="93"/>
      <c r="AQ202" s="93"/>
      <c r="AR202" s="93"/>
      <c r="AS202" s="20"/>
      <c r="AT202" s="19"/>
      <c r="AU202" s="93"/>
      <c r="AV202" s="20"/>
      <c r="AW202" s="19"/>
      <c r="AX202" s="93"/>
      <c r="AY202" s="93"/>
      <c r="AZ202" s="93"/>
      <c r="BA202" s="93"/>
      <c r="BB202" s="93"/>
      <c r="BC202" s="20"/>
      <c r="BD202" s="19"/>
      <c r="BE202" s="93"/>
      <c r="BF202" s="93"/>
      <c r="BG202" s="93"/>
      <c r="BH202" s="93"/>
      <c r="BI202" s="93"/>
      <c r="BJ202" s="93"/>
      <c r="BK202" s="20"/>
      <c r="BL202" s="19"/>
      <c r="BM202" s="93"/>
      <c r="BN202" s="93"/>
      <c r="BO202" s="93"/>
      <c r="BP202" s="93"/>
      <c r="BQ202" s="20"/>
      <c r="BR202" s="19"/>
      <c r="BS202" s="93"/>
      <c r="BT202" s="93"/>
      <c r="BU202" s="20"/>
      <c r="BV202" s="19"/>
      <c r="BW202" s="93"/>
      <c r="BX202" s="93"/>
      <c r="BY202" s="93"/>
      <c r="BZ202" s="93"/>
      <c r="CA202" s="93"/>
      <c r="CB202" s="20"/>
      <c r="CC202" s="25"/>
      <c r="CD202" s="19"/>
      <c r="CE202" s="93"/>
      <c r="CF202" s="20"/>
      <c r="CG202" s="25"/>
      <c r="CH202" s="19"/>
      <c r="CI202" s="93"/>
      <c r="CJ202" s="93"/>
      <c r="CK202" s="93"/>
      <c r="CL202" s="93"/>
      <c r="CM202" s="93"/>
      <c r="CN202" s="93"/>
      <c r="CO202" s="93"/>
      <c r="CP202" s="93"/>
      <c r="CQ202" s="93"/>
      <c r="CR202" s="214"/>
      <c r="CS202" s="20"/>
      <c r="CT202" s="25"/>
      <c r="CU202" s="19"/>
      <c r="CV202" s="93"/>
      <c r="CW202" s="93"/>
      <c r="CX202" s="93"/>
      <c r="CY202" s="93"/>
      <c r="CZ202" s="93"/>
      <c r="DA202" s="93"/>
      <c r="DB202" s="20"/>
      <c r="DC202" s="25"/>
      <c r="DD202" s="785">
        <v>48274</v>
      </c>
      <c r="DE202" s="19"/>
      <c r="DF202" s="20"/>
      <c r="DG202" s="25"/>
      <c r="DH202" s="19"/>
      <c r="DI202" s="20"/>
      <c r="DJ202" s="25"/>
      <c r="DK202" s="19"/>
      <c r="DL202" s="20"/>
      <c r="DM202" s="19"/>
      <c r="DN202" s="20"/>
      <c r="DO202" s="25"/>
      <c r="DP202" s="19"/>
      <c r="DQ202" s="93"/>
      <c r="DR202" s="20"/>
      <c r="DS202" s="25"/>
      <c r="DT202" s="19"/>
      <c r="DU202" s="93"/>
      <c r="DV202" s="20"/>
      <c r="DW202" s="25"/>
      <c r="DX202" s="19"/>
      <c r="DY202" s="20"/>
      <c r="DZ202" s="25"/>
      <c r="EA202" s="19"/>
      <c r="EB202" s="93"/>
      <c r="EC202" s="93"/>
      <c r="ED202" s="93"/>
      <c r="EE202" s="20"/>
      <c r="EF202" s="25"/>
      <c r="EG202" s="19"/>
      <c r="EH202" s="93"/>
      <c r="EI202" s="93"/>
      <c r="EJ202" s="93"/>
      <c r="EK202" s="20"/>
      <c r="EL202" s="25"/>
      <c r="EM202" s="19"/>
      <c r="EN202" s="93"/>
      <c r="EO202" s="93"/>
      <c r="EP202" s="93"/>
      <c r="EQ202" s="93"/>
      <c r="ER202" s="93"/>
      <c r="ES202" s="93"/>
      <c r="ET202" s="93"/>
      <c r="EU202" s="93"/>
      <c r="EV202" s="20"/>
      <c r="EW202" s="25"/>
      <c r="EX202" s="915"/>
      <c r="EY202" s="916"/>
      <c r="EZ202" s="916"/>
      <c r="FA202" s="916"/>
      <c r="FB202" s="916"/>
      <c r="FC202" s="916"/>
      <c r="FD202" s="916"/>
      <c r="FE202" s="916"/>
      <c r="FF202" s="916"/>
      <c r="FG202" s="917"/>
      <c r="FH202" s="25"/>
      <c r="FI202" s="848">
        <v>48274</v>
      </c>
      <c r="FJ202" s="19"/>
      <c r="FK202" s="93"/>
      <c r="FL202" s="20"/>
      <c r="FM202" s="25"/>
      <c r="FN202" s="19"/>
      <c r="FO202" s="93"/>
      <c r="FP202" s="93"/>
      <c r="FQ202" s="93"/>
      <c r="FR202" s="93"/>
      <c r="FS202" s="93"/>
      <c r="FT202" s="93"/>
      <c r="FU202" s="93"/>
      <c r="FV202" s="93"/>
      <c r="FW202" s="917"/>
      <c r="FX202" s="25"/>
      <c r="FY202" s="916"/>
      <c r="FZ202" s="916"/>
      <c r="GA202" s="916"/>
      <c r="GB202" s="916"/>
      <c r="GC202" s="916"/>
      <c r="GD202" s="916"/>
      <c r="GE202" s="916"/>
      <c r="GF202" s="916"/>
      <c r="GG202" s="916"/>
      <c r="GH202" s="916"/>
      <c r="GI202" s="917"/>
      <c r="GJ202" s="25"/>
      <c r="GK202" s="19"/>
      <c r="GL202" s="20"/>
      <c r="GM202" s="25"/>
      <c r="GN202" s="19"/>
      <c r="GO202" s="20"/>
      <c r="GP202" s="25"/>
      <c r="GQ202" s="19"/>
      <c r="GR202" s="20"/>
      <c r="GS202" s="25"/>
      <c r="GT202" s="848">
        <v>48274</v>
      </c>
      <c r="GU202" s="19"/>
      <c r="GV202" s="93"/>
      <c r="GW202" s="93"/>
      <c r="GX202" s="93"/>
      <c r="GY202" s="93"/>
      <c r="GZ202" s="93"/>
      <c r="HA202" s="93"/>
      <c r="HB202" s="93"/>
      <c r="HC202" s="93"/>
      <c r="HD202" s="93"/>
      <c r="HE202" s="93"/>
      <c r="HF202" s="93"/>
      <c r="HG202" s="93"/>
      <c r="HH202" s="93"/>
      <c r="HI202" s="93"/>
      <c r="HJ202" s="93"/>
      <c r="HK202" s="93"/>
      <c r="HL202" s="93"/>
      <c r="HM202" s="93"/>
      <c r="HN202" s="93"/>
      <c r="HO202" s="93"/>
      <c r="HP202" s="93"/>
      <c r="HQ202" s="93"/>
      <c r="HR202" s="93"/>
      <c r="HS202" s="93"/>
      <c r="HT202" s="93"/>
      <c r="HU202" s="93"/>
      <c r="HV202" s="93"/>
      <c r="HW202" s="93"/>
      <c r="HX202" s="93"/>
      <c r="HY202" s="93"/>
      <c r="HZ202" s="93"/>
      <c r="IA202" s="93"/>
      <c r="IB202" s="93"/>
      <c r="IC202" s="93"/>
      <c r="ID202" s="93"/>
      <c r="IE202" s="93"/>
      <c r="IF202" s="93"/>
      <c r="IG202" s="93"/>
      <c r="IH202" s="93"/>
      <c r="II202" s="93"/>
      <c r="IJ202" s="93"/>
      <c r="IK202" s="93"/>
      <c r="IL202" s="93"/>
      <c r="IM202" s="93"/>
      <c r="IN202" s="93"/>
      <c r="IO202" s="93"/>
      <c r="IP202" s="93"/>
      <c r="IQ202" s="93"/>
      <c r="IR202" s="93"/>
      <c r="IS202" s="93"/>
      <c r="IT202" s="93"/>
      <c r="IU202" s="93"/>
      <c r="IV202" s="93"/>
      <c r="IW202" s="848">
        <v>48274</v>
      </c>
      <c r="IX202" s="93"/>
      <c r="IY202" s="93"/>
      <c r="IZ202" s="93"/>
      <c r="JA202" s="93"/>
      <c r="JB202" s="93"/>
      <c r="JC202" s="93"/>
      <c r="JD202" s="93"/>
      <c r="JE202" s="93"/>
      <c r="JF202" s="93"/>
      <c r="JG202" s="93"/>
      <c r="JH202" s="93"/>
      <c r="JI202" s="93"/>
      <c r="JJ202" s="93"/>
      <c r="JK202" s="93"/>
      <c r="JL202" s="93"/>
      <c r="JM202" s="93"/>
      <c r="JN202" s="93"/>
      <c r="JO202" s="93"/>
      <c r="JP202" s="93"/>
      <c r="JQ202" s="93"/>
      <c r="JR202" s="93"/>
      <c r="JS202" s="93"/>
      <c r="JT202" s="20"/>
      <c r="JU202" s="29"/>
      <c r="JV202" s="19"/>
      <c r="JW202" s="93"/>
      <c r="JX202" s="93"/>
      <c r="JY202" s="93"/>
      <c r="JZ202" s="93"/>
      <c r="KA202" s="93"/>
      <c r="KB202" s="93"/>
      <c r="KC202" s="93"/>
      <c r="KD202" s="93"/>
      <c r="KE202" s="93"/>
      <c r="KF202" s="93"/>
      <c r="KG202" s="93"/>
      <c r="KH202" s="93"/>
      <c r="KI202" s="93"/>
      <c r="KJ202" s="93"/>
      <c r="KK202" s="93"/>
      <c r="KL202" s="93"/>
      <c r="KM202" s="93"/>
      <c r="KN202" s="93"/>
      <c r="KO202" s="93"/>
      <c r="KP202" s="93"/>
      <c r="KQ202" s="93"/>
      <c r="KR202" s="93"/>
      <c r="KS202" s="93"/>
      <c r="KT202" s="93"/>
      <c r="KU202" s="93"/>
      <c r="KV202" s="93"/>
      <c r="KW202" s="20"/>
      <c r="KX202" s="29"/>
      <c r="KY202" s="19"/>
      <c r="KZ202" s="93"/>
      <c r="LA202" s="93"/>
      <c r="LB202" s="93"/>
      <c r="LC202" s="93"/>
      <c r="LD202" s="93"/>
      <c r="LE202" s="93"/>
      <c r="LF202" s="93"/>
      <c r="LG202" s="93"/>
      <c r="LH202" s="93"/>
      <c r="LI202" s="93"/>
      <c r="LJ202" s="93"/>
      <c r="LK202" s="93"/>
      <c r="LL202" s="93"/>
      <c r="LM202" s="93"/>
      <c r="LN202" s="93"/>
      <c r="LO202" s="93"/>
      <c r="LP202" s="93"/>
      <c r="LQ202" s="93"/>
      <c r="LR202" s="93"/>
      <c r="LS202" s="93"/>
      <c r="LT202" s="93"/>
      <c r="LU202" s="93"/>
      <c r="LV202" s="93"/>
      <c r="LW202" s="93"/>
      <c r="LX202" s="93"/>
      <c r="LY202" s="93"/>
      <c r="LZ202" s="93"/>
      <c r="MA202" s="93"/>
      <c r="MB202" s="93"/>
      <c r="MC202" s="93"/>
      <c r="MD202" s="93"/>
      <c r="ME202" s="93"/>
      <c r="MF202" s="93"/>
      <c r="MG202" s="93"/>
      <c r="MH202" s="20"/>
      <c r="MI202" s="29"/>
      <c r="MJ202" s="29" t="str">
        <f t="shared" si="88"/>
        <v>Trimestre 12032</v>
      </c>
      <c r="MK202" s="848">
        <v>48274</v>
      </c>
      <c r="ML202" s="1991"/>
      <c r="MM202" s="1991"/>
      <c r="MN202" s="1991"/>
      <c r="MO202" s="1991"/>
      <c r="MP202" s="1991"/>
      <c r="MQ202" s="1991"/>
      <c r="MR202" s="1991"/>
      <c r="MS202" s="1991"/>
      <c r="MT202" s="1991"/>
      <c r="MU202" s="1991"/>
      <c r="MV202" s="1991"/>
      <c r="MW202" s="1991"/>
      <c r="MX202" s="1991"/>
      <c r="MY202" s="1991"/>
      <c r="MZ202" s="1991"/>
      <c r="NA202" s="1991"/>
      <c r="NB202" s="1991"/>
      <c r="NC202" s="1991"/>
      <c r="ND202" s="1991"/>
      <c r="NE202" s="1991"/>
      <c r="NF202" s="1991"/>
      <c r="NG202" s="1991"/>
      <c r="NH202" s="1991"/>
      <c r="NI202" s="1991"/>
      <c r="NJ202" s="1991"/>
      <c r="NK202" s="1991"/>
      <c r="NL202" s="29"/>
    </row>
    <row r="203" spans="1:376">
      <c r="A203" s="41">
        <f t="shared" si="86"/>
        <v>2032</v>
      </c>
      <c r="B203" s="785">
        <v>48366</v>
      </c>
      <c r="C203" s="19"/>
      <c r="D203" s="93"/>
      <c r="E203" s="93"/>
      <c r="F203" s="93"/>
      <c r="G203" s="93"/>
      <c r="H203" s="93"/>
      <c r="I203" s="93"/>
      <c r="J203" s="93"/>
      <c r="K203" s="93"/>
      <c r="L203" s="93"/>
      <c r="M203" s="20"/>
      <c r="N203" s="25"/>
      <c r="O203" s="889">
        <f t="shared" ref="O203:O266" si="94">YEAR(Q203)</f>
        <v>2032</v>
      </c>
      <c r="P203" s="29" t="str">
        <f t="shared" si="87"/>
        <v>Trimestre 22032</v>
      </c>
      <c r="Q203" s="848">
        <v>48366</v>
      </c>
      <c r="R203" s="733"/>
      <c r="S203" s="570"/>
      <c r="T203" s="570"/>
      <c r="U203" s="734"/>
      <c r="V203" s="25"/>
      <c r="W203" s="19"/>
      <c r="X203" s="93"/>
      <c r="Y203" s="93"/>
      <c r="Z203" s="93"/>
      <c r="AA203" s="93"/>
      <c r="AB203" s="93"/>
      <c r="AC203" s="93"/>
      <c r="AD203" s="93"/>
      <c r="AE203" s="20"/>
      <c r="AF203" s="25"/>
      <c r="AG203" s="19"/>
      <c r="AH203" s="93"/>
      <c r="AI203" s="93"/>
      <c r="AJ203" s="93"/>
      <c r="AK203" s="93"/>
      <c r="AL203" s="93"/>
      <c r="AM203" s="93"/>
      <c r="AN203" s="20"/>
      <c r="AO203" s="19"/>
      <c r="AP203" s="93"/>
      <c r="AQ203" s="93"/>
      <c r="AR203" s="93"/>
      <c r="AS203" s="20"/>
      <c r="AT203" s="19"/>
      <c r="AU203" s="93"/>
      <c r="AV203" s="20"/>
      <c r="AW203" s="19"/>
      <c r="AX203" s="93"/>
      <c r="AY203" s="93"/>
      <c r="AZ203" s="93"/>
      <c r="BA203" s="93"/>
      <c r="BB203" s="93"/>
      <c r="BC203" s="20"/>
      <c r="BD203" s="19"/>
      <c r="BE203" s="93"/>
      <c r="BF203" s="93"/>
      <c r="BG203" s="93"/>
      <c r="BH203" s="93"/>
      <c r="BI203" s="93"/>
      <c r="BJ203" s="93"/>
      <c r="BK203" s="20"/>
      <c r="BL203" s="19"/>
      <c r="BM203" s="93"/>
      <c r="BN203" s="93"/>
      <c r="BO203" s="93"/>
      <c r="BP203" s="93"/>
      <c r="BQ203" s="20"/>
      <c r="BR203" s="19"/>
      <c r="BS203" s="93"/>
      <c r="BT203" s="93"/>
      <c r="BU203" s="20"/>
      <c r="BV203" s="19"/>
      <c r="BW203" s="93"/>
      <c r="BX203" s="93"/>
      <c r="BY203" s="93"/>
      <c r="BZ203" s="93"/>
      <c r="CA203" s="93"/>
      <c r="CB203" s="20"/>
      <c r="CC203" s="25"/>
      <c r="CD203" s="19"/>
      <c r="CE203" s="93"/>
      <c r="CF203" s="20"/>
      <c r="CG203" s="25"/>
      <c r="CH203" s="19"/>
      <c r="CI203" s="93"/>
      <c r="CJ203" s="93"/>
      <c r="CK203" s="93"/>
      <c r="CL203" s="93"/>
      <c r="CM203" s="93"/>
      <c r="CN203" s="93"/>
      <c r="CO203" s="93"/>
      <c r="CP203" s="93"/>
      <c r="CQ203" s="93"/>
      <c r="CR203" s="214"/>
      <c r="CS203" s="20"/>
      <c r="CT203" s="25"/>
      <c r="CU203" s="19"/>
      <c r="CV203" s="93"/>
      <c r="CW203" s="93"/>
      <c r="CX203" s="93"/>
      <c r="CY203" s="93"/>
      <c r="CZ203" s="93"/>
      <c r="DA203" s="93"/>
      <c r="DB203" s="20"/>
      <c r="DC203" s="25"/>
      <c r="DD203" s="785">
        <v>48366</v>
      </c>
      <c r="DE203" s="19"/>
      <c r="DF203" s="20"/>
      <c r="DG203" s="25"/>
      <c r="DH203" s="19"/>
      <c r="DI203" s="20"/>
      <c r="DJ203" s="25"/>
      <c r="DK203" s="19"/>
      <c r="DL203" s="20"/>
      <c r="DM203" s="19"/>
      <c r="DN203" s="20"/>
      <c r="DO203" s="25"/>
      <c r="DP203" s="19"/>
      <c r="DQ203" s="93"/>
      <c r="DR203" s="20"/>
      <c r="DS203" s="25"/>
      <c r="DT203" s="19"/>
      <c r="DU203" s="93"/>
      <c r="DV203" s="20"/>
      <c r="DW203" s="25"/>
      <c r="DX203" s="19"/>
      <c r="DY203" s="20"/>
      <c r="DZ203" s="25"/>
      <c r="EA203" s="19"/>
      <c r="EB203" s="93"/>
      <c r="EC203" s="93"/>
      <c r="ED203" s="93"/>
      <c r="EE203" s="20"/>
      <c r="EF203" s="25"/>
      <c r="EG203" s="19"/>
      <c r="EH203" s="93"/>
      <c r="EI203" s="93"/>
      <c r="EJ203" s="93"/>
      <c r="EK203" s="20"/>
      <c r="EL203" s="25"/>
      <c r="EM203" s="19"/>
      <c r="EN203" s="93"/>
      <c r="EO203" s="93"/>
      <c r="EP203" s="93"/>
      <c r="EQ203" s="93"/>
      <c r="ER203" s="93"/>
      <c r="ES203" s="93"/>
      <c r="ET203" s="93"/>
      <c r="EU203" s="93"/>
      <c r="EV203" s="20"/>
      <c r="EW203" s="25"/>
      <c r="EX203" s="915"/>
      <c r="EY203" s="916"/>
      <c r="EZ203" s="916"/>
      <c r="FA203" s="916"/>
      <c r="FB203" s="916"/>
      <c r="FC203" s="916"/>
      <c r="FD203" s="916"/>
      <c r="FE203" s="916"/>
      <c r="FF203" s="916"/>
      <c r="FG203" s="917"/>
      <c r="FH203" s="25"/>
      <c r="FI203" s="848">
        <v>48366</v>
      </c>
      <c r="FJ203" s="19"/>
      <c r="FK203" s="93"/>
      <c r="FL203" s="20"/>
      <c r="FM203" s="25"/>
      <c r="FN203" s="19"/>
      <c r="FO203" s="93"/>
      <c r="FP203" s="93"/>
      <c r="FQ203" s="93"/>
      <c r="FR203" s="93"/>
      <c r="FS203" s="93"/>
      <c r="FT203" s="93"/>
      <c r="FU203" s="93"/>
      <c r="FV203" s="93"/>
      <c r="FW203" s="917"/>
      <c r="FX203" s="25"/>
      <c r="FY203" s="916"/>
      <c r="FZ203" s="916"/>
      <c r="GA203" s="916"/>
      <c r="GB203" s="916"/>
      <c r="GC203" s="916"/>
      <c r="GD203" s="916"/>
      <c r="GE203" s="916"/>
      <c r="GF203" s="916"/>
      <c r="GG203" s="916"/>
      <c r="GH203" s="916"/>
      <c r="GI203" s="917"/>
      <c r="GJ203" s="25"/>
      <c r="GK203" s="19"/>
      <c r="GL203" s="20"/>
      <c r="GM203" s="25"/>
      <c r="GN203" s="19"/>
      <c r="GO203" s="20"/>
      <c r="GP203" s="25"/>
      <c r="GQ203" s="19"/>
      <c r="GR203" s="20"/>
      <c r="GS203" s="25"/>
      <c r="GT203" s="848">
        <v>48366</v>
      </c>
      <c r="GU203" s="19"/>
      <c r="GV203" s="93"/>
      <c r="GW203" s="93"/>
      <c r="GX203" s="93"/>
      <c r="GY203" s="93"/>
      <c r="GZ203" s="93"/>
      <c r="HA203" s="93"/>
      <c r="HB203" s="93"/>
      <c r="HC203" s="93"/>
      <c r="HD203" s="93"/>
      <c r="HE203" s="93"/>
      <c r="HF203" s="93"/>
      <c r="HG203" s="93"/>
      <c r="HH203" s="93"/>
      <c r="HI203" s="93"/>
      <c r="HJ203" s="93"/>
      <c r="HK203" s="93"/>
      <c r="HL203" s="93"/>
      <c r="HM203" s="93"/>
      <c r="HN203" s="93"/>
      <c r="HO203" s="93"/>
      <c r="HP203" s="93"/>
      <c r="HQ203" s="93"/>
      <c r="HR203" s="93"/>
      <c r="HS203" s="93"/>
      <c r="HT203" s="93"/>
      <c r="HU203" s="93"/>
      <c r="HV203" s="93"/>
      <c r="HW203" s="93"/>
      <c r="HX203" s="93"/>
      <c r="HY203" s="93"/>
      <c r="HZ203" s="93"/>
      <c r="IA203" s="93"/>
      <c r="IB203" s="93"/>
      <c r="IC203" s="93"/>
      <c r="ID203" s="93"/>
      <c r="IE203" s="93"/>
      <c r="IF203" s="93"/>
      <c r="IG203" s="93"/>
      <c r="IH203" s="93"/>
      <c r="II203" s="93"/>
      <c r="IJ203" s="93"/>
      <c r="IK203" s="93"/>
      <c r="IL203" s="93"/>
      <c r="IM203" s="93"/>
      <c r="IN203" s="93"/>
      <c r="IO203" s="93"/>
      <c r="IP203" s="93"/>
      <c r="IQ203" s="93"/>
      <c r="IR203" s="93"/>
      <c r="IS203" s="93"/>
      <c r="IT203" s="93"/>
      <c r="IU203" s="93"/>
      <c r="IV203" s="93"/>
      <c r="IW203" s="848">
        <v>48366</v>
      </c>
      <c r="IX203" s="93"/>
      <c r="IY203" s="93"/>
      <c r="IZ203" s="93"/>
      <c r="JA203" s="93"/>
      <c r="JB203" s="93"/>
      <c r="JC203" s="93"/>
      <c r="JD203" s="93"/>
      <c r="JE203" s="93"/>
      <c r="JF203" s="93"/>
      <c r="JG203" s="93"/>
      <c r="JH203" s="93"/>
      <c r="JI203" s="93"/>
      <c r="JJ203" s="93"/>
      <c r="JK203" s="93"/>
      <c r="JL203" s="93"/>
      <c r="JM203" s="93"/>
      <c r="JN203" s="93"/>
      <c r="JO203" s="93"/>
      <c r="JP203" s="93"/>
      <c r="JQ203" s="93"/>
      <c r="JR203" s="93"/>
      <c r="JS203" s="93"/>
      <c r="JT203" s="20"/>
      <c r="JU203" s="29"/>
      <c r="JV203" s="19"/>
      <c r="JW203" s="93"/>
      <c r="JX203" s="93"/>
      <c r="JY203" s="93"/>
      <c r="JZ203" s="93"/>
      <c r="KA203" s="93"/>
      <c r="KB203" s="93"/>
      <c r="KC203" s="93"/>
      <c r="KD203" s="93"/>
      <c r="KE203" s="93"/>
      <c r="KF203" s="93"/>
      <c r="KG203" s="93"/>
      <c r="KH203" s="93"/>
      <c r="KI203" s="93"/>
      <c r="KJ203" s="93"/>
      <c r="KK203" s="93"/>
      <c r="KL203" s="93"/>
      <c r="KM203" s="93"/>
      <c r="KN203" s="93"/>
      <c r="KO203" s="93"/>
      <c r="KP203" s="93"/>
      <c r="KQ203" s="93"/>
      <c r="KR203" s="93"/>
      <c r="KS203" s="93"/>
      <c r="KT203" s="93"/>
      <c r="KU203" s="93"/>
      <c r="KV203" s="93"/>
      <c r="KW203" s="20"/>
      <c r="KX203" s="29"/>
      <c r="KY203" s="19"/>
      <c r="KZ203" s="93"/>
      <c r="LA203" s="93"/>
      <c r="LB203" s="93"/>
      <c r="LC203" s="93"/>
      <c r="LD203" s="93"/>
      <c r="LE203" s="93"/>
      <c r="LF203" s="93"/>
      <c r="LG203" s="93"/>
      <c r="LH203" s="93"/>
      <c r="LI203" s="93"/>
      <c r="LJ203" s="93"/>
      <c r="LK203" s="93"/>
      <c r="LL203" s="93"/>
      <c r="LM203" s="93"/>
      <c r="LN203" s="93"/>
      <c r="LO203" s="93"/>
      <c r="LP203" s="93"/>
      <c r="LQ203" s="93"/>
      <c r="LR203" s="93"/>
      <c r="LS203" s="93"/>
      <c r="LT203" s="93"/>
      <c r="LU203" s="93"/>
      <c r="LV203" s="93"/>
      <c r="LW203" s="93"/>
      <c r="LX203" s="93"/>
      <c r="LY203" s="93"/>
      <c r="LZ203" s="93"/>
      <c r="MA203" s="93"/>
      <c r="MB203" s="93"/>
      <c r="MC203" s="93"/>
      <c r="MD203" s="93"/>
      <c r="ME203" s="93"/>
      <c r="MF203" s="93"/>
      <c r="MG203" s="93"/>
      <c r="MH203" s="20"/>
      <c r="MI203" s="29"/>
      <c r="MJ203" s="29" t="str">
        <f t="shared" si="88"/>
        <v>Trimestre 22032</v>
      </c>
      <c r="MK203" s="848">
        <v>48366</v>
      </c>
      <c r="ML203" s="1991"/>
      <c r="MM203" s="1991"/>
      <c r="MN203" s="1991"/>
      <c r="MO203" s="1991"/>
      <c r="MP203" s="1991"/>
      <c r="MQ203" s="1991"/>
      <c r="MR203" s="1991"/>
      <c r="MS203" s="1991"/>
      <c r="MT203" s="1991"/>
      <c r="MU203" s="1991"/>
      <c r="MV203" s="1991"/>
      <c r="MW203" s="1991"/>
      <c r="MX203" s="1991"/>
      <c r="MY203" s="1991"/>
      <c r="MZ203" s="1991"/>
      <c r="NA203" s="1991"/>
      <c r="NB203" s="1991"/>
      <c r="NC203" s="1991"/>
      <c r="ND203" s="1991"/>
      <c r="NE203" s="1991"/>
      <c r="NF203" s="1991"/>
      <c r="NG203" s="1991"/>
      <c r="NH203" s="1991"/>
      <c r="NI203" s="1991"/>
      <c r="NJ203" s="1991"/>
      <c r="NK203" s="1991"/>
      <c r="NL203" s="29"/>
    </row>
    <row r="204" spans="1:376">
      <c r="A204" s="41">
        <f t="shared" ref="A204:A267" si="95">YEAR(B204)</f>
        <v>2032</v>
      </c>
      <c r="B204" s="785">
        <v>48458</v>
      </c>
      <c r="C204" s="19"/>
      <c r="D204" s="93"/>
      <c r="E204" s="93"/>
      <c r="F204" s="93"/>
      <c r="G204" s="93"/>
      <c r="H204" s="93"/>
      <c r="I204" s="93"/>
      <c r="J204" s="93"/>
      <c r="K204" s="93"/>
      <c r="L204" s="93"/>
      <c r="M204" s="20"/>
      <c r="N204" s="25"/>
      <c r="O204" s="889">
        <f t="shared" si="94"/>
        <v>2032</v>
      </c>
      <c r="P204" s="29" t="str">
        <f t="shared" ref="P204:P267" si="96">CONCATENATE(IF(MONTH(Q204)&lt;4,"Trimestre 1",IF(MONTH(Q204)&lt;7,"Trimestre 2",IF(MONTH(Q204)&lt;10,"Trimestre 3","Trimestre 4"))),YEAR(Q204))</f>
        <v>Trimestre 32032</v>
      </c>
      <c r="Q204" s="848">
        <v>48458</v>
      </c>
      <c r="R204" s="733"/>
      <c r="S204" s="570"/>
      <c r="T204" s="570"/>
      <c r="U204" s="734"/>
      <c r="V204" s="25"/>
      <c r="W204" s="19"/>
      <c r="X204" s="93"/>
      <c r="Y204" s="93"/>
      <c r="Z204" s="93"/>
      <c r="AA204" s="93"/>
      <c r="AB204" s="93"/>
      <c r="AC204" s="93"/>
      <c r="AD204" s="93"/>
      <c r="AE204" s="20"/>
      <c r="AF204" s="25"/>
      <c r="AG204" s="19"/>
      <c r="AH204" s="93"/>
      <c r="AI204" s="93"/>
      <c r="AJ204" s="93"/>
      <c r="AK204" s="93"/>
      <c r="AL204" s="93"/>
      <c r="AM204" s="93"/>
      <c r="AN204" s="20"/>
      <c r="AO204" s="19"/>
      <c r="AP204" s="93"/>
      <c r="AQ204" s="93"/>
      <c r="AR204" s="93"/>
      <c r="AS204" s="20"/>
      <c r="AT204" s="19"/>
      <c r="AU204" s="93"/>
      <c r="AV204" s="20"/>
      <c r="AW204" s="19"/>
      <c r="AX204" s="93"/>
      <c r="AY204" s="93"/>
      <c r="AZ204" s="93"/>
      <c r="BA204" s="93"/>
      <c r="BB204" s="93"/>
      <c r="BC204" s="20"/>
      <c r="BD204" s="19"/>
      <c r="BE204" s="93"/>
      <c r="BF204" s="93"/>
      <c r="BG204" s="93"/>
      <c r="BH204" s="93"/>
      <c r="BI204" s="93"/>
      <c r="BJ204" s="93"/>
      <c r="BK204" s="20"/>
      <c r="BL204" s="19"/>
      <c r="BM204" s="93"/>
      <c r="BN204" s="93"/>
      <c r="BO204" s="93"/>
      <c r="BP204" s="93"/>
      <c r="BQ204" s="20"/>
      <c r="BR204" s="19"/>
      <c r="BS204" s="93"/>
      <c r="BT204" s="93"/>
      <c r="BU204" s="20"/>
      <c r="BV204" s="19"/>
      <c r="BW204" s="93"/>
      <c r="BX204" s="93"/>
      <c r="BY204" s="93"/>
      <c r="BZ204" s="93"/>
      <c r="CA204" s="93"/>
      <c r="CB204" s="20"/>
      <c r="CC204" s="25"/>
      <c r="CD204" s="19"/>
      <c r="CE204" s="93"/>
      <c r="CF204" s="20"/>
      <c r="CG204" s="25"/>
      <c r="CH204" s="19"/>
      <c r="CI204" s="93"/>
      <c r="CJ204" s="93"/>
      <c r="CK204" s="93"/>
      <c r="CL204" s="93"/>
      <c r="CM204" s="93"/>
      <c r="CN204" s="93"/>
      <c r="CO204" s="93"/>
      <c r="CP204" s="93"/>
      <c r="CQ204" s="93"/>
      <c r="CR204" s="214"/>
      <c r="CS204" s="20"/>
      <c r="CT204" s="25"/>
      <c r="CU204" s="19"/>
      <c r="CV204" s="93"/>
      <c r="CW204" s="93"/>
      <c r="CX204" s="93"/>
      <c r="CY204" s="93"/>
      <c r="CZ204" s="93"/>
      <c r="DA204" s="93"/>
      <c r="DB204" s="20"/>
      <c r="DC204" s="25"/>
      <c r="DD204" s="785">
        <v>48458</v>
      </c>
      <c r="DE204" s="19"/>
      <c r="DF204" s="20"/>
      <c r="DG204" s="25"/>
      <c r="DH204" s="19"/>
      <c r="DI204" s="20"/>
      <c r="DJ204" s="25"/>
      <c r="DK204" s="19"/>
      <c r="DL204" s="20"/>
      <c r="DM204" s="19"/>
      <c r="DN204" s="20"/>
      <c r="DO204" s="25"/>
      <c r="DP204" s="19"/>
      <c r="DQ204" s="93"/>
      <c r="DR204" s="20"/>
      <c r="DS204" s="25"/>
      <c r="DT204" s="19"/>
      <c r="DU204" s="93"/>
      <c r="DV204" s="20"/>
      <c r="DW204" s="25"/>
      <c r="DX204" s="19"/>
      <c r="DY204" s="20"/>
      <c r="DZ204" s="25"/>
      <c r="EA204" s="19"/>
      <c r="EB204" s="93"/>
      <c r="EC204" s="93"/>
      <c r="ED204" s="93"/>
      <c r="EE204" s="20"/>
      <c r="EF204" s="25"/>
      <c r="EG204" s="19"/>
      <c r="EH204" s="93"/>
      <c r="EI204" s="93"/>
      <c r="EJ204" s="93"/>
      <c r="EK204" s="20"/>
      <c r="EL204" s="25"/>
      <c r="EM204" s="19"/>
      <c r="EN204" s="93"/>
      <c r="EO204" s="93"/>
      <c r="EP204" s="93"/>
      <c r="EQ204" s="93"/>
      <c r="ER204" s="93"/>
      <c r="ES204" s="93"/>
      <c r="ET204" s="93"/>
      <c r="EU204" s="93"/>
      <c r="EV204" s="20"/>
      <c r="EW204" s="25"/>
      <c r="EX204" s="915"/>
      <c r="EY204" s="916"/>
      <c r="EZ204" s="916"/>
      <c r="FA204" s="916"/>
      <c r="FB204" s="916"/>
      <c r="FC204" s="916"/>
      <c r="FD204" s="916"/>
      <c r="FE204" s="916"/>
      <c r="FF204" s="916"/>
      <c r="FG204" s="917"/>
      <c r="FH204" s="25"/>
      <c r="FI204" s="848">
        <v>48458</v>
      </c>
      <c r="FJ204" s="19"/>
      <c r="FK204" s="93"/>
      <c r="FL204" s="20"/>
      <c r="FM204" s="25"/>
      <c r="FN204" s="19"/>
      <c r="FO204" s="93"/>
      <c r="FP204" s="93"/>
      <c r="FQ204" s="93"/>
      <c r="FR204" s="93"/>
      <c r="FS204" s="93"/>
      <c r="FT204" s="93"/>
      <c r="FU204" s="93"/>
      <c r="FV204" s="93"/>
      <c r="FW204" s="917"/>
      <c r="FX204" s="25"/>
      <c r="FY204" s="916"/>
      <c r="FZ204" s="916"/>
      <c r="GA204" s="916"/>
      <c r="GB204" s="916"/>
      <c r="GC204" s="916"/>
      <c r="GD204" s="916"/>
      <c r="GE204" s="916"/>
      <c r="GF204" s="916"/>
      <c r="GG204" s="916"/>
      <c r="GH204" s="916"/>
      <c r="GI204" s="917"/>
      <c r="GJ204" s="25"/>
      <c r="GK204" s="19"/>
      <c r="GL204" s="20"/>
      <c r="GM204" s="25"/>
      <c r="GN204" s="19"/>
      <c r="GO204" s="20"/>
      <c r="GP204" s="25"/>
      <c r="GQ204" s="19"/>
      <c r="GR204" s="20"/>
      <c r="GS204" s="25"/>
      <c r="GT204" s="848">
        <v>48458</v>
      </c>
      <c r="GU204" s="19"/>
      <c r="GV204" s="93"/>
      <c r="GW204" s="93"/>
      <c r="GX204" s="93"/>
      <c r="GY204" s="93"/>
      <c r="GZ204" s="93"/>
      <c r="HA204" s="93"/>
      <c r="HB204" s="93"/>
      <c r="HC204" s="93"/>
      <c r="HD204" s="93"/>
      <c r="HE204" s="93"/>
      <c r="HF204" s="93"/>
      <c r="HG204" s="93"/>
      <c r="HH204" s="93"/>
      <c r="HI204" s="93"/>
      <c r="HJ204" s="93"/>
      <c r="HK204" s="93"/>
      <c r="HL204" s="93"/>
      <c r="HM204" s="93"/>
      <c r="HN204" s="93"/>
      <c r="HO204" s="93"/>
      <c r="HP204" s="93"/>
      <c r="HQ204" s="93"/>
      <c r="HR204" s="93"/>
      <c r="HS204" s="93"/>
      <c r="HT204" s="93"/>
      <c r="HU204" s="93"/>
      <c r="HV204" s="93"/>
      <c r="HW204" s="93"/>
      <c r="HX204" s="93"/>
      <c r="HY204" s="93"/>
      <c r="HZ204" s="93"/>
      <c r="IA204" s="93"/>
      <c r="IB204" s="93"/>
      <c r="IC204" s="93"/>
      <c r="ID204" s="93"/>
      <c r="IE204" s="93"/>
      <c r="IF204" s="93"/>
      <c r="IG204" s="93"/>
      <c r="IH204" s="93"/>
      <c r="II204" s="93"/>
      <c r="IJ204" s="93"/>
      <c r="IK204" s="93"/>
      <c r="IL204" s="93"/>
      <c r="IM204" s="93"/>
      <c r="IN204" s="93"/>
      <c r="IO204" s="93"/>
      <c r="IP204" s="93"/>
      <c r="IQ204" s="93"/>
      <c r="IR204" s="93"/>
      <c r="IS204" s="93"/>
      <c r="IT204" s="93"/>
      <c r="IU204" s="93"/>
      <c r="IV204" s="93"/>
      <c r="IW204" s="848">
        <v>48458</v>
      </c>
      <c r="IX204" s="93"/>
      <c r="IY204" s="93"/>
      <c r="IZ204" s="93"/>
      <c r="JA204" s="93"/>
      <c r="JB204" s="93"/>
      <c r="JC204" s="93"/>
      <c r="JD204" s="93"/>
      <c r="JE204" s="93"/>
      <c r="JF204" s="93"/>
      <c r="JG204" s="93"/>
      <c r="JH204" s="93"/>
      <c r="JI204" s="93"/>
      <c r="JJ204" s="93"/>
      <c r="JK204" s="93"/>
      <c r="JL204" s="93"/>
      <c r="JM204" s="93"/>
      <c r="JN204" s="93"/>
      <c r="JO204" s="93"/>
      <c r="JP204" s="93"/>
      <c r="JQ204" s="93"/>
      <c r="JR204" s="93"/>
      <c r="JS204" s="93"/>
      <c r="JT204" s="20"/>
      <c r="JU204" s="29"/>
      <c r="JV204" s="19"/>
      <c r="JW204" s="93"/>
      <c r="JX204" s="93"/>
      <c r="JY204" s="93"/>
      <c r="JZ204" s="93"/>
      <c r="KA204" s="93"/>
      <c r="KB204" s="93"/>
      <c r="KC204" s="93"/>
      <c r="KD204" s="93"/>
      <c r="KE204" s="93"/>
      <c r="KF204" s="93"/>
      <c r="KG204" s="93"/>
      <c r="KH204" s="93"/>
      <c r="KI204" s="93"/>
      <c r="KJ204" s="93"/>
      <c r="KK204" s="93"/>
      <c r="KL204" s="93"/>
      <c r="KM204" s="93"/>
      <c r="KN204" s="93"/>
      <c r="KO204" s="93"/>
      <c r="KP204" s="93"/>
      <c r="KQ204" s="93"/>
      <c r="KR204" s="93"/>
      <c r="KS204" s="93"/>
      <c r="KT204" s="93"/>
      <c r="KU204" s="93"/>
      <c r="KV204" s="93"/>
      <c r="KW204" s="20"/>
      <c r="KX204" s="29"/>
      <c r="KY204" s="19"/>
      <c r="KZ204" s="93"/>
      <c r="LA204" s="93"/>
      <c r="LB204" s="93"/>
      <c r="LC204" s="93"/>
      <c r="LD204" s="93"/>
      <c r="LE204" s="93"/>
      <c r="LF204" s="93"/>
      <c r="LG204" s="93"/>
      <c r="LH204" s="93"/>
      <c r="LI204" s="93"/>
      <c r="LJ204" s="93"/>
      <c r="LK204" s="93"/>
      <c r="LL204" s="93"/>
      <c r="LM204" s="93"/>
      <c r="LN204" s="93"/>
      <c r="LO204" s="93"/>
      <c r="LP204" s="93"/>
      <c r="LQ204" s="93"/>
      <c r="LR204" s="93"/>
      <c r="LS204" s="93"/>
      <c r="LT204" s="93"/>
      <c r="LU204" s="93"/>
      <c r="LV204" s="93"/>
      <c r="LW204" s="93"/>
      <c r="LX204" s="93"/>
      <c r="LY204" s="93"/>
      <c r="LZ204" s="93"/>
      <c r="MA204" s="93"/>
      <c r="MB204" s="93"/>
      <c r="MC204" s="93"/>
      <c r="MD204" s="93"/>
      <c r="ME204" s="93"/>
      <c r="MF204" s="93"/>
      <c r="MG204" s="93"/>
      <c r="MH204" s="20"/>
      <c r="MI204" s="29"/>
      <c r="MJ204" s="29" t="str">
        <f t="shared" ref="MJ204:MJ267" si="97">CONCATENATE(IF(MONTH(MK204)&lt;4,"Trimestre 1",IF(MONTH(MK204)&lt;7,"Trimestre 2",IF(MONTH(MK204)&lt;10,"Trimestre 3","Trimestre 4"))),YEAR(MK204))</f>
        <v>Trimestre 32032</v>
      </c>
      <c r="MK204" s="848">
        <v>48458</v>
      </c>
      <c r="ML204" s="1991"/>
      <c r="MM204" s="1991"/>
      <c r="MN204" s="1991"/>
      <c r="MO204" s="1991"/>
      <c r="MP204" s="1991"/>
      <c r="MQ204" s="1991"/>
      <c r="MR204" s="1991"/>
      <c r="MS204" s="1991"/>
      <c r="MT204" s="1991"/>
      <c r="MU204" s="1991"/>
      <c r="MV204" s="1991"/>
      <c r="MW204" s="1991"/>
      <c r="MX204" s="1991"/>
      <c r="MY204" s="1991"/>
      <c r="MZ204" s="1991"/>
      <c r="NA204" s="1991"/>
      <c r="NB204" s="1991"/>
      <c r="NC204" s="1991"/>
      <c r="ND204" s="1991"/>
      <c r="NE204" s="1991"/>
      <c r="NF204" s="1991"/>
      <c r="NG204" s="1991"/>
      <c r="NH204" s="1991"/>
      <c r="NI204" s="1991"/>
      <c r="NJ204" s="1991"/>
      <c r="NK204" s="1991"/>
      <c r="NL204" s="29"/>
    </row>
    <row r="205" spans="1:376">
      <c r="A205" s="41">
        <f t="shared" si="95"/>
        <v>2032</v>
      </c>
      <c r="B205" s="785">
        <v>48549</v>
      </c>
      <c r="C205" s="19"/>
      <c r="D205" s="93"/>
      <c r="E205" s="93"/>
      <c r="F205" s="93"/>
      <c r="G205" s="93"/>
      <c r="H205" s="93"/>
      <c r="I205" s="93"/>
      <c r="J205" s="93"/>
      <c r="K205" s="93"/>
      <c r="L205" s="93"/>
      <c r="M205" s="20"/>
      <c r="N205" s="25"/>
      <c r="O205" s="889">
        <f t="shared" si="94"/>
        <v>2032</v>
      </c>
      <c r="P205" s="29" t="str">
        <f t="shared" si="96"/>
        <v>Trimestre 42032</v>
      </c>
      <c r="Q205" s="848">
        <v>48549</v>
      </c>
      <c r="R205" s="733"/>
      <c r="S205" s="570"/>
      <c r="T205" s="570"/>
      <c r="U205" s="734"/>
      <c r="V205" s="25"/>
      <c r="W205" s="19"/>
      <c r="X205" s="93"/>
      <c r="Y205" s="93"/>
      <c r="Z205" s="93"/>
      <c r="AA205" s="93"/>
      <c r="AB205" s="93"/>
      <c r="AC205" s="93"/>
      <c r="AD205" s="93"/>
      <c r="AE205" s="20"/>
      <c r="AF205" s="25"/>
      <c r="AG205" s="19"/>
      <c r="AH205" s="93"/>
      <c r="AI205" s="93"/>
      <c r="AJ205" s="93"/>
      <c r="AK205" s="93"/>
      <c r="AL205" s="93"/>
      <c r="AM205" s="93"/>
      <c r="AN205" s="20"/>
      <c r="AO205" s="19"/>
      <c r="AP205" s="93"/>
      <c r="AQ205" s="93"/>
      <c r="AR205" s="93"/>
      <c r="AS205" s="20"/>
      <c r="AT205" s="19"/>
      <c r="AU205" s="93"/>
      <c r="AV205" s="20"/>
      <c r="AW205" s="19"/>
      <c r="AX205" s="93"/>
      <c r="AY205" s="93"/>
      <c r="AZ205" s="93"/>
      <c r="BA205" s="93"/>
      <c r="BB205" s="93"/>
      <c r="BC205" s="20"/>
      <c r="BD205" s="19"/>
      <c r="BE205" s="93"/>
      <c r="BF205" s="93"/>
      <c r="BG205" s="93"/>
      <c r="BH205" s="93"/>
      <c r="BI205" s="93"/>
      <c r="BJ205" s="93"/>
      <c r="BK205" s="20"/>
      <c r="BL205" s="19"/>
      <c r="BM205" s="93"/>
      <c r="BN205" s="93"/>
      <c r="BO205" s="93"/>
      <c r="BP205" s="93"/>
      <c r="BQ205" s="20"/>
      <c r="BR205" s="19"/>
      <c r="BS205" s="93"/>
      <c r="BT205" s="93"/>
      <c r="BU205" s="20"/>
      <c r="BV205" s="19"/>
      <c r="BW205" s="93"/>
      <c r="BX205" s="93"/>
      <c r="BY205" s="93"/>
      <c r="BZ205" s="93"/>
      <c r="CA205" s="93"/>
      <c r="CB205" s="20"/>
      <c r="CC205" s="25"/>
      <c r="CD205" s="19"/>
      <c r="CE205" s="93"/>
      <c r="CF205" s="20"/>
      <c r="CG205" s="25"/>
      <c r="CH205" s="19"/>
      <c r="CI205" s="93"/>
      <c r="CJ205" s="93"/>
      <c r="CK205" s="93"/>
      <c r="CL205" s="93"/>
      <c r="CM205" s="93"/>
      <c r="CN205" s="93"/>
      <c r="CO205" s="93"/>
      <c r="CP205" s="93"/>
      <c r="CQ205" s="93"/>
      <c r="CR205" s="214"/>
      <c r="CS205" s="20"/>
      <c r="CT205" s="25"/>
      <c r="CU205" s="19"/>
      <c r="CV205" s="93"/>
      <c r="CW205" s="93"/>
      <c r="CX205" s="93"/>
      <c r="CY205" s="93"/>
      <c r="CZ205" s="93"/>
      <c r="DA205" s="93"/>
      <c r="DB205" s="20"/>
      <c r="DC205" s="25"/>
      <c r="DD205" s="785">
        <v>48549</v>
      </c>
      <c r="DE205" s="19"/>
      <c r="DF205" s="20"/>
      <c r="DG205" s="25"/>
      <c r="DH205" s="19"/>
      <c r="DI205" s="20"/>
      <c r="DJ205" s="25"/>
      <c r="DK205" s="19"/>
      <c r="DL205" s="20"/>
      <c r="DM205" s="19"/>
      <c r="DN205" s="20"/>
      <c r="DO205" s="25"/>
      <c r="DP205" s="19"/>
      <c r="DQ205" s="93"/>
      <c r="DR205" s="20"/>
      <c r="DS205" s="25"/>
      <c r="DT205" s="19"/>
      <c r="DU205" s="93"/>
      <c r="DV205" s="20"/>
      <c r="DW205" s="25"/>
      <c r="DX205" s="19"/>
      <c r="DY205" s="20"/>
      <c r="DZ205" s="25"/>
      <c r="EA205" s="19"/>
      <c r="EB205" s="93"/>
      <c r="EC205" s="93"/>
      <c r="ED205" s="93"/>
      <c r="EE205" s="20"/>
      <c r="EF205" s="25"/>
      <c r="EG205" s="19"/>
      <c r="EH205" s="93"/>
      <c r="EI205" s="93"/>
      <c r="EJ205" s="93"/>
      <c r="EK205" s="20"/>
      <c r="EL205" s="25"/>
      <c r="EM205" s="19"/>
      <c r="EN205" s="93"/>
      <c r="EO205" s="93"/>
      <c r="EP205" s="93"/>
      <c r="EQ205" s="93"/>
      <c r="ER205" s="93"/>
      <c r="ES205" s="93"/>
      <c r="ET205" s="93"/>
      <c r="EU205" s="93"/>
      <c r="EV205" s="20"/>
      <c r="EW205" s="25"/>
      <c r="EX205" s="915"/>
      <c r="EY205" s="916"/>
      <c r="EZ205" s="916"/>
      <c r="FA205" s="916"/>
      <c r="FB205" s="916"/>
      <c r="FC205" s="916"/>
      <c r="FD205" s="916"/>
      <c r="FE205" s="916"/>
      <c r="FF205" s="916"/>
      <c r="FG205" s="917"/>
      <c r="FH205" s="25"/>
      <c r="FI205" s="848">
        <v>48549</v>
      </c>
      <c r="FJ205" s="19"/>
      <c r="FK205" s="93"/>
      <c r="FL205" s="20"/>
      <c r="FM205" s="25"/>
      <c r="FN205" s="19"/>
      <c r="FO205" s="93"/>
      <c r="FP205" s="93"/>
      <c r="FQ205" s="93"/>
      <c r="FR205" s="93"/>
      <c r="FS205" s="93"/>
      <c r="FT205" s="93"/>
      <c r="FU205" s="93"/>
      <c r="FV205" s="93"/>
      <c r="FW205" s="917"/>
      <c r="FX205" s="25"/>
      <c r="FY205" s="916"/>
      <c r="FZ205" s="916"/>
      <c r="GA205" s="916"/>
      <c r="GB205" s="916"/>
      <c r="GC205" s="916"/>
      <c r="GD205" s="916"/>
      <c r="GE205" s="916"/>
      <c r="GF205" s="916"/>
      <c r="GG205" s="916"/>
      <c r="GH205" s="916"/>
      <c r="GI205" s="917"/>
      <c r="GJ205" s="25"/>
      <c r="GK205" s="19"/>
      <c r="GL205" s="20"/>
      <c r="GM205" s="25"/>
      <c r="GN205" s="19"/>
      <c r="GO205" s="20"/>
      <c r="GP205" s="25"/>
      <c r="GQ205" s="19"/>
      <c r="GR205" s="20"/>
      <c r="GS205" s="25"/>
      <c r="GT205" s="848">
        <v>48549</v>
      </c>
      <c r="GU205" s="19"/>
      <c r="GV205" s="93"/>
      <c r="GW205" s="93"/>
      <c r="GX205" s="93"/>
      <c r="GY205" s="93"/>
      <c r="GZ205" s="93"/>
      <c r="HA205" s="93"/>
      <c r="HB205" s="93"/>
      <c r="HC205" s="93"/>
      <c r="HD205" s="93"/>
      <c r="HE205" s="93"/>
      <c r="HF205" s="93"/>
      <c r="HG205" s="93"/>
      <c r="HH205" s="93"/>
      <c r="HI205" s="93"/>
      <c r="HJ205" s="93"/>
      <c r="HK205" s="93"/>
      <c r="HL205" s="93"/>
      <c r="HM205" s="93"/>
      <c r="HN205" s="93"/>
      <c r="HO205" s="93"/>
      <c r="HP205" s="93"/>
      <c r="HQ205" s="93"/>
      <c r="HR205" s="93"/>
      <c r="HS205" s="93"/>
      <c r="HT205" s="93"/>
      <c r="HU205" s="93"/>
      <c r="HV205" s="93"/>
      <c r="HW205" s="93"/>
      <c r="HX205" s="93"/>
      <c r="HY205" s="93"/>
      <c r="HZ205" s="93"/>
      <c r="IA205" s="93"/>
      <c r="IB205" s="93"/>
      <c r="IC205" s="93"/>
      <c r="ID205" s="93"/>
      <c r="IE205" s="93"/>
      <c r="IF205" s="93"/>
      <c r="IG205" s="93"/>
      <c r="IH205" s="93"/>
      <c r="II205" s="93"/>
      <c r="IJ205" s="93"/>
      <c r="IK205" s="93"/>
      <c r="IL205" s="93"/>
      <c r="IM205" s="93"/>
      <c r="IN205" s="93"/>
      <c r="IO205" s="93"/>
      <c r="IP205" s="93"/>
      <c r="IQ205" s="93"/>
      <c r="IR205" s="93"/>
      <c r="IS205" s="93"/>
      <c r="IT205" s="93"/>
      <c r="IU205" s="93"/>
      <c r="IV205" s="93"/>
      <c r="IW205" s="848">
        <v>48549</v>
      </c>
      <c r="IX205" s="93"/>
      <c r="IY205" s="93"/>
      <c r="IZ205" s="93"/>
      <c r="JA205" s="93"/>
      <c r="JB205" s="93"/>
      <c r="JC205" s="93"/>
      <c r="JD205" s="93"/>
      <c r="JE205" s="93"/>
      <c r="JF205" s="93"/>
      <c r="JG205" s="93"/>
      <c r="JH205" s="93"/>
      <c r="JI205" s="93"/>
      <c r="JJ205" s="93"/>
      <c r="JK205" s="93"/>
      <c r="JL205" s="93"/>
      <c r="JM205" s="93"/>
      <c r="JN205" s="93"/>
      <c r="JO205" s="93"/>
      <c r="JP205" s="93"/>
      <c r="JQ205" s="93"/>
      <c r="JR205" s="93"/>
      <c r="JS205" s="93"/>
      <c r="JT205" s="20"/>
      <c r="JU205" s="29"/>
      <c r="JV205" s="19"/>
      <c r="JW205" s="93"/>
      <c r="JX205" s="93"/>
      <c r="JY205" s="93"/>
      <c r="JZ205" s="93"/>
      <c r="KA205" s="93"/>
      <c r="KB205" s="93"/>
      <c r="KC205" s="93"/>
      <c r="KD205" s="93"/>
      <c r="KE205" s="93"/>
      <c r="KF205" s="93"/>
      <c r="KG205" s="93"/>
      <c r="KH205" s="93"/>
      <c r="KI205" s="93"/>
      <c r="KJ205" s="93"/>
      <c r="KK205" s="93"/>
      <c r="KL205" s="93"/>
      <c r="KM205" s="93"/>
      <c r="KN205" s="93"/>
      <c r="KO205" s="93"/>
      <c r="KP205" s="93"/>
      <c r="KQ205" s="93"/>
      <c r="KR205" s="93"/>
      <c r="KS205" s="93"/>
      <c r="KT205" s="93"/>
      <c r="KU205" s="93"/>
      <c r="KV205" s="93"/>
      <c r="KW205" s="20"/>
      <c r="KX205" s="29"/>
      <c r="KY205" s="19"/>
      <c r="KZ205" s="93"/>
      <c r="LA205" s="93"/>
      <c r="LB205" s="93"/>
      <c r="LC205" s="93"/>
      <c r="LD205" s="93"/>
      <c r="LE205" s="93"/>
      <c r="LF205" s="93"/>
      <c r="LG205" s="93"/>
      <c r="LH205" s="93"/>
      <c r="LI205" s="93"/>
      <c r="LJ205" s="93"/>
      <c r="LK205" s="93"/>
      <c r="LL205" s="93"/>
      <c r="LM205" s="93"/>
      <c r="LN205" s="93"/>
      <c r="LO205" s="93"/>
      <c r="LP205" s="93"/>
      <c r="LQ205" s="93"/>
      <c r="LR205" s="93"/>
      <c r="LS205" s="93"/>
      <c r="LT205" s="93"/>
      <c r="LU205" s="93"/>
      <c r="LV205" s="93"/>
      <c r="LW205" s="93"/>
      <c r="LX205" s="93"/>
      <c r="LY205" s="93"/>
      <c r="LZ205" s="93"/>
      <c r="MA205" s="93"/>
      <c r="MB205" s="93"/>
      <c r="MC205" s="93"/>
      <c r="MD205" s="93"/>
      <c r="ME205" s="93"/>
      <c r="MF205" s="93"/>
      <c r="MG205" s="93"/>
      <c r="MH205" s="20"/>
      <c r="MI205" s="29"/>
      <c r="MJ205" s="29" t="str">
        <f t="shared" si="97"/>
        <v>Trimestre 42032</v>
      </c>
      <c r="MK205" s="848">
        <v>48549</v>
      </c>
      <c r="ML205" s="1991"/>
      <c r="MM205" s="1991"/>
      <c r="MN205" s="1991"/>
      <c r="MO205" s="1991"/>
      <c r="MP205" s="1991"/>
      <c r="MQ205" s="1991"/>
      <c r="MR205" s="1991"/>
      <c r="MS205" s="1991"/>
      <c r="MT205" s="1991"/>
      <c r="MU205" s="1991"/>
      <c r="MV205" s="1991"/>
      <c r="MW205" s="1991"/>
      <c r="MX205" s="1991"/>
      <c r="MY205" s="1991"/>
      <c r="MZ205" s="1991"/>
      <c r="NA205" s="1991"/>
      <c r="NB205" s="1991"/>
      <c r="NC205" s="1991"/>
      <c r="ND205" s="1991"/>
      <c r="NE205" s="1991"/>
      <c r="NF205" s="1991"/>
      <c r="NG205" s="1991"/>
      <c r="NH205" s="1991"/>
      <c r="NI205" s="1991"/>
      <c r="NJ205" s="1991"/>
      <c r="NK205" s="1991"/>
      <c r="NL205" s="29"/>
    </row>
    <row r="206" spans="1:376">
      <c r="A206" s="41">
        <f t="shared" si="95"/>
        <v>2033</v>
      </c>
      <c r="B206" s="785">
        <v>48639</v>
      </c>
      <c r="C206" s="19"/>
      <c r="D206" s="93"/>
      <c r="E206" s="93"/>
      <c r="F206" s="93"/>
      <c r="G206" s="93"/>
      <c r="H206" s="93"/>
      <c r="I206" s="93"/>
      <c r="J206" s="93"/>
      <c r="K206" s="93"/>
      <c r="L206" s="93"/>
      <c r="M206" s="20"/>
      <c r="N206" s="25"/>
      <c r="O206" s="889">
        <f t="shared" si="94"/>
        <v>2033</v>
      </c>
      <c r="P206" s="29" t="str">
        <f t="shared" si="96"/>
        <v>Trimestre 12033</v>
      </c>
      <c r="Q206" s="848">
        <v>48639</v>
      </c>
      <c r="R206" s="733"/>
      <c r="S206" s="570"/>
      <c r="T206" s="570"/>
      <c r="U206" s="734"/>
      <c r="V206" s="25"/>
      <c r="W206" s="19"/>
      <c r="X206" s="93"/>
      <c r="Y206" s="93"/>
      <c r="Z206" s="93"/>
      <c r="AA206" s="93"/>
      <c r="AB206" s="93"/>
      <c r="AC206" s="93"/>
      <c r="AD206" s="93"/>
      <c r="AE206" s="20"/>
      <c r="AF206" s="25"/>
      <c r="AG206" s="19"/>
      <c r="AH206" s="93"/>
      <c r="AI206" s="93"/>
      <c r="AJ206" s="93"/>
      <c r="AK206" s="93"/>
      <c r="AL206" s="93"/>
      <c r="AM206" s="93"/>
      <c r="AN206" s="20"/>
      <c r="AO206" s="19"/>
      <c r="AP206" s="93"/>
      <c r="AQ206" s="93"/>
      <c r="AR206" s="93"/>
      <c r="AS206" s="20"/>
      <c r="AT206" s="19"/>
      <c r="AU206" s="93"/>
      <c r="AV206" s="20"/>
      <c r="AW206" s="19"/>
      <c r="AX206" s="93"/>
      <c r="AY206" s="93"/>
      <c r="AZ206" s="93"/>
      <c r="BA206" s="93"/>
      <c r="BB206" s="93"/>
      <c r="BC206" s="20"/>
      <c r="BD206" s="19"/>
      <c r="BE206" s="93"/>
      <c r="BF206" s="93"/>
      <c r="BG206" s="93"/>
      <c r="BH206" s="93"/>
      <c r="BI206" s="93"/>
      <c r="BJ206" s="93"/>
      <c r="BK206" s="20"/>
      <c r="BL206" s="19"/>
      <c r="BM206" s="93"/>
      <c r="BN206" s="93"/>
      <c r="BO206" s="93"/>
      <c r="BP206" s="93"/>
      <c r="BQ206" s="20"/>
      <c r="BR206" s="19"/>
      <c r="BS206" s="93"/>
      <c r="BT206" s="93"/>
      <c r="BU206" s="20"/>
      <c r="BV206" s="19"/>
      <c r="BW206" s="93"/>
      <c r="BX206" s="93"/>
      <c r="BY206" s="93"/>
      <c r="BZ206" s="93"/>
      <c r="CA206" s="93"/>
      <c r="CB206" s="20"/>
      <c r="CC206" s="25"/>
      <c r="CD206" s="19"/>
      <c r="CE206" s="93"/>
      <c r="CF206" s="20"/>
      <c r="CG206" s="25"/>
      <c r="CH206" s="19"/>
      <c r="CI206" s="93"/>
      <c r="CJ206" s="93"/>
      <c r="CK206" s="93"/>
      <c r="CL206" s="93"/>
      <c r="CM206" s="93"/>
      <c r="CN206" s="93"/>
      <c r="CO206" s="93"/>
      <c r="CP206" s="93"/>
      <c r="CQ206" s="93"/>
      <c r="CR206" s="214"/>
      <c r="CS206" s="20"/>
      <c r="CT206" s="25"/>
      <c r="CU206" s="19"/>
      <c r="CV206" s="93"/>
      <c r="CW206" s="93"/>
      <c r="CX206" s="93"/>
      <c r="CY206" s="93"/>
      <c r="CZ206" s="93"/>
      <c r="DA206" s="93"/>
      <c r="DB206" s="20"/>
      <c r="DC206" s="25"/>
      <c r="DD206" s="785">
        <v>48639</v>
      </c>
      <c r="DE206" s="19"/>
      <c r="DF206" s="20"/>
      <c r="DG206" s="25"/>
      <c r="DH206" s="19"/>
      <c r="DI206" s="20"/>
      <c r="DJ206" s="25"/>
      <c r="DK206" s="19"/>
      <c r="DL206" s="20"/>
      <c r="DM206" s="19"/>
      <c r="DN206" s="20"/>
      <c r="DO206" s="25"/>
      <c r="DP206" s="19"/>
      <c r="DQ206" s="93"/>
      <c r="DR206" s="20"/>
      <c r="DS206" s="25"/>
      <c r="DT206" s="19"/>
      <c r="DU206" s="93"/>
      <c r="DV206" s="20"/>
      <c r="DW206" s="25"/>
      <c r="DX206" s="19"/>
      <c r="DY206" s="20"/>
      <c r="DZ206" s="25"/>
      <c r="EA206" s="19"/>
      <c r="EB206" s="93"/>
      <c r="EC206" s="93"/>
      <c r="ED206" s="93"/>
      <c r="EE206" s="20"/>
      <c r="EF206" s="25"/>
      <c r="EG206" s="19"/>
      <c r="EH206" s="93"/>
      <c r="EI206" s="93"/>
      <c r="EJ206" s="93"/>
      <c r="EK206" s="20"/>
      <c r="EL206" s="25"/>
      <c r="EM206" s="19"/>
      <c r="EN206" s="93"/>
      <c r="EO206" s="93"/>
      <c r="EP206" s="93"/>
      <c r="EQ206" s="93"/>
      <c r="ER206" s="93"/>
      <c r="ES206" s="93"/>
      <c r="ET206" s="93"/>
      <c r="EU206" s="93"/>
      <c r="EV206" s="20"/>
      <c r="EW206" s="25"/>
      <c r="EX206" s="915"/>
      <c r="EY206" s="916"/>
      <c r="EZ206" s="916"/>
      <c r="FA206" s="916"/>
      <c r="FB206" s="916"/>
      <c r="FC206" s="916"/>
      <c r="FD206" s="916"/>
      <c r="FE206" s="916"/>
      <c r="FF206" s="916"/>
      <c r="FG206" s="917"/>
      <c r="FH206" s="25"/>
      <c r="FI206" s="848">
        <v>48639</v>
      </c>
      <c r="FJ206" s="19"/>
      <c r="FK206" s="93"/>
      <c r="FL206" s="20"/>
      <c r="FM206" s="25"/>
      <c r="FN206" s="19"/>
      <c r="FO206" s="93"/>
      <c r="FP206" s="93"/>
      <c r="FQ206" s="93"/>
      <c r="FR206" s="93"/>
      <c r="FS206" s="93"/>
      <c r="FT206" s="93"/>
      <c r="FU206" s="93"/>
      <c r="FV206" s="93"/>
      <c r="FW206" s="917"/>
      <c r="FX206" s="25"/>
      <c r="FY206" s="916"/>
      <c r="FZ206" s="916"/>
      <c r="GA206" s="916"/>
      <c r="GB206" s="916"/>
      <c r="GC206" s="916"/>
      <c r="GD206" s="916"/>
      <c r="GE206" s="916"/>
      <c r="GF206" s="916"/>
      <c r="GG206" s="916"/>
      <c r="GH206" s="916"/>
      <c r="GI206" s="917"/>
      <c r="GJ206" s="25"/>
      <c r="GK206" s="19"/>
      <c r="GL206" s="20"/>
      <c r="GM206" s="25"/>
      <c r="GN206" s="19"/>
      <c r="GO206" s="20"/>
      <c r="GP206" s="25"/>
      <c r="GQ206" s="19"/>
      <c r="GR206" s="20"/>
      <c r="GS206" s="25"/>
      <c r="GT206" s="848">
        <v>48639</v>
      </c>
      <c r="GU206" s="19"/>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848">
        <v>48639</v>
      </c>
      <c r="IX206" s="93"/>
      <c r="IY206" s="93"/>
      <c r="IZ206" s="93"/>
      <c r="JA206" s="93"/>
      <c r="JB206" s="93"/>
      <c r="JC206" s="93"/>
      <c r="JD206" s="93"/>
      <c r="JE206" s="93"/>
      <c r="JF206" s="93"/>
      <c r="JG206" s="93"/>
      <c r="JH206" s="93"/>
      <c r="JI206" s="93"/>
      <c r="JJ206" s="93"/>
      <c r="JK206" s="93"/>
      <c r="JL206" s="93"/>
      <c r="JM206" s="93"/>
      <c r="JN206" s="93"/>
      <c r="JO206" s="93"/>
      <c r="JP206" s="93"/>
      <c r="JQ206" s="93"/>
      <c r="JR206" s="93"/>
      <c r="JS206" s="93"/>
      <c r="JT206" s="20"/>
      <c r="JU206" s="29"/>
      <c r="JV206" s="19"/>
      <c r="JW206" s="93"/>
      <c r="JX206" s="93"/>
      <c r="JY206" s="93"/>
      <c r="JZ206" s="93"/>
      <c r="KA206" s="93"/>
      <c r="KB206" s="93"/>
      <c r="KC206" s="93"/>
      <c r="KD206" s="93"/>
      <c r="KE206" s="93"/>
      <c r="KF206" s="93"/>
      <c r="KG206" s="93"/>
      <c r="KH206" s="93"/>
      <c r="KI206" s="93"/>
      <c r="KJ206" s="93"/>
      <c r="KK206" s="93"/>
      <c r="KL206" s="93"/>
      <c r="KM206" s="93"/>
      <c r="KN206" s="93"/>
      <c r="KO206" s="93"/>
      <c r="KP206" s="93"/>
      <c r="KQ206" s="93"/>
      <c r="KR206" s="93"/>
      <c r="KS206" s="93"/>
      <c r="KT206" s="93"/>
      <c r="KU206" s="93"/>
      <c r="KV206" s="93"/>
      <c r="KW206" s="20"/>
      <c r="KX206" s="29"/>
      <c r="KY206" s="19"/>
      <c r="KZ206" s="93"/>
      <c r="LA206" s="93"/>
      <c r="LB206" s="93"/>
      <c r="LC206" s="93"/>
      <c r="LD206" s="93"/>
      <c r="LE206" s="93"/>
      <c r="LF206" s="93"/>
      <c r="LG206" s="93"/>
      <c r="LH206" s="93"/>
      <c r="LI206" s="93"/>
      <c r="LJ206" s="93"/>
      <c r="LK206" s="93"/>
      <c r="LL206" s="93"/>
      <c r="LM206" s="93"/>
      <c r="LN206" s="93"/>
      <c r="LO206" s="93"/>
      <c r="LP206" s="93"/>
      <c r="LQ206" s="93"/>
      <c r="LR206" s="93"/>
      <c r="LS206" s="93"/>
      <c r="LT206" s="93"/>
      <c r="LU206" s="93"/>
      <c r="LV206" s="93"/>
      <c r="LW206" s="93"/>
      <c r="LX206" s="93"/>
      <c r="LY206" s="93"/>
      <c r="LZ206" s="93"/>
      <c r="MA206" s="93"/>
      <c r="MB206" s="93"/>
      <c r="MC206" s="93"/>
      <c r="MD206" s="93"/>
      <c r="ME206" s="93"/>
      <c r="MF206" s="93"/>
      <c r="MG206" s="93"/>
      <c r="MH206" s="20"/>
      <c r="MI206" s="29"/>
      <c r="MJ206" s="29" t="str">
        <f t="shared" si="97"/>
        <v>Trimestre 12033</v>
      </c>
      <c r="MK206" s="848">
        <v>48639</v>
      </c>
      <c r="ML206" s="1991"/>
      <c r="MM206" s="1991"/>
      <c r="MN206" s="1991"/>
      <c r="MO206" s="1991"/>
      <c r="MP206" s="1991"/>
      <c r="MQ206" s="1991"/>
      <c r="MR206" s="1991"/>
      <c r="MS206" s="1991"/>
      <c r="MT206" s="1991"/>
      <c r="MU206" s="1991"/>
      <c r="MV206" s="1991"/>
      <c r="MW206" s="1991"/>
      <c r="MX206" s="1991"/>
      <c r="MY206" s="1991"/>
      <c r="MZ206" s="1991"/>
      <c r="NA206" s="1991"/>
      <c r="NB206" s="1991"/>
      <c r="NC206" s="1991"/>
      <c r="ND206" s="1991"/>
      <c r="NE206" s="1991"/>
      <c r="NF206" s="1991"/>
      <c r="NG206" s="1991"/>
      <c r="NH206" s="1991"/>
      <c r="NI206" s="1991"/>
      <c r="NJ206" s="1991"/>
      <c r="NK206" s="1991"/>
      <c r="NL206" s="29"/>
    </row>
    <row r="207" spans="1:376">
      <c r="A207" s="41">
        <f t="shared" si="95"/>
        <v>2033</v>
      </c>
      <c r="B207" s="785">
        <v>48731</v>
      </c>
      <c r="C207" s="19"/>
      <c r="D207" s="93"/>
      <c r="E207" s="93"/>
      <c r="F207" s="93"/>
      <c r="G207" s="93"/>
      <c r="H207" s="93"/>
      <c r="I207" s="93"/>
      <c r="J207" s="93"/>
      <c r="K207" s="93"/>
      <c r="L207" s="93"/>
      <c r="M207" s="20"/>
      <c r="N207" s="25"/>
      <c r="O207" s="889">
        <f t="shared" si="94"/>
        <v>2033</v>
      </c>
      <c r="P207" s="29" t="str">
        <f t="shared" si="96"/>
        <v>Trimestre 22033</v>
      </c>
      <c r="Q207" s="848">
        <v>48731</v>
      </c>
      <c r="R207" s="733"/>
      <c r="S207" s="570"/>
      <c r="T207" s="570"/>
      <c r="U207" s="734"/>
      <c r="V207" s="25"/>
      <c r="W207" s="19"/>
      <c r="X207" s="93"/>
      <c r="Y207" s="93"/>
      <c r="Z207" s="93"/>
      <c r="AA207" s="93"/>
      <c r="AB207" s="93"/>
      <c r="AC207" s="93"/>
      <c r="AD207" s="93"/>
      <c r="AE207" s="20"/>
      <c r="AF207" s="25"/>
      <c r="AG207" s="19"/>
      <c r="AH207" s="93"/>
      <c r="AI207" s="93"/>
      <c r="AJ207" s="93"/>
      <c r="AK207" s="93"/>
      <c r="AL207" s="93"/>
      <c r="AM207" s="93"/>
      <c r="AN207" s="20"/>
      <c r="AO207" s="19"/>
      <c r="AP207" s="93"/>
      <c r="AQ207" s="93"/>
      <c r="AR207" s="93"/>
      <c r="AS207" s="20"/>
      <c r="AT207" s="19"/>
      <c r="AU207" s="93"/>
      <c r="AV207" s="20"/>
      <c r="AW207" s="19"/>
      <c r="AX207" s="93"/>
      <c r="AY207" s="93"/>
      <c r="AZ207" s="93"/>
      <c r="BA207" s="93"/>
      <c r="BB207" s="93"/>
      <c r="BC207" s="20"/>
      <c r="BD207" s="19"/>
      <c r="BE207" s="93"/>
      <c r="BF207" s="93"/>
      <c r="BG207" s="93"/>
      <c r="BH207" s="93"/>
      <c r="BI207" s="93"/>
      <c r="BJ207" s="93"/>
      <c r="BK207" s="20"/>
      <c r="BL207" s="19"/>
      <c r="BM207" s="93"/>
      <c r="BN207" s="93"/>
      <c r="BO207" s="93"/>
      <c r="BP207" s="93"/>
      <c r="BQ207" s="20"/>
      <c r="BR207" s="19"/>
      <c r="BS207" s="93"/>
      <c r="BT207" s="93"/>
      <c r="BU207" s="20"/>
      <c r="BV207" s="19"/>
      <c r="BW207" s="93"/>
      <c r="BX207" s="93"/>
      <c r="BY207" s="93"/>
      <c r="BZ207" s="93"/>
      <c r="CA207" s="93"/>
      <c r="CB207" s="20"/>
      <c r="CC207" s="25"/>
      <c r="CD207" s="19"/>
      <c r="CE207" s="93"/>
      <c r="CF207" s="20"/>
      <c r="CG207" s="25"/>
      <c r="CH207" s="19"/>
      <c r="CI207" s="93"/>
      <c r="CJ207" s="93"/>
      <c r="CK207" s="93"/>
      <c r="CL207" s="93"/>
      <c r="CM207" s="93"/>
      <c r="CN207" s="93"/>
      <c r="CO207" s="93"/>
      <c r="CP207" s="93"/>
      <c r="CQ207" s="93"/>
      <c r="CR207" s="214"/>
      <c r="CS207" s="20"/>
      <c r="CT207" s="25"/>
      <c r="CU207" s="19"/>
      <c r="CV207" s="93"/>
      <c r="CW207" s="93"/>
      <c r="CX207" s="93"/>
      <c r="CY207" s="93"/>
      <c r="CZ207" s="93"/>
      <c r="DA207" s="93"/>
      <c r="DB207" s="20"/>
      <c r="DC207" s="25"/>
      <c r="DD207" s="785">
        <v>48731</v>
      </c>
      <c r="DE207" s="19"/>
      <c r="DF207" s="20"/>
      <c r="DG207" s="25"/>
      <c r="DH207" s="19"/>
      <c r="DI207" s="20"/>
      <c r="DJ207" s="25"/>
      <c r="DK207" s="19"/>
      <c r="DL207" s="20"/>
      <c r="DM207" s="19"/>
      <c r="DN207" s="20"/>
      <c r="DO207" s="25"/>
      <c r="DP207" s="19"/>
      <c r="DQ207" s="93"/>
      <c r="DR207" s="20"/>
      <c r="DS207" s="25"/>
      <c r="DT207" s="19"/>
      <c r="DU207" s="93"/>
      <c r="DV207" s="20"/>
      <c r="DW207" s="25"/>
      <c r="DX207" s="19"/>
      <c r="DY207" s="20"/>
      <c r="DZ207" s="25"/>
      <c r="EA207" s="19"/>
      <c r="EB207" s="93"/>
      <c r="EC207" s="93"/>
      <c r="ED207" s="93"/>
      <c r="EE207" s="20"/>
      <c r="EF207" s="25"/>
      <c r="EG207" s="19"/>
      <c r="EH207" s="93"/>
      <c r="EI207" s="93"/>
      <c r="EJ207" s="93"/>
      <c r="EK207" s="20"/>
      <c r="EL207" s="25"/>
      <c r="EM207" s="19"/>
      <c r="EN207" s="93"/>
      <c r="EO207" s="93"/>
      <c r="EP207" s="93"/>
      <c r="EQ207" s="93"/>
      <c r="ER207" s="93"/>
      <c r="ES207" s="93"/>
      <c r="ET207" s="93"/>
      <c r="EU207" s="93"/>
      <c r="EV207" s="20"/>
      <c r="EW207" s="25"/>
      <c r="EX207" s="915"/>
      <c r="EY207" s="916"/>
      <c r="EZ207" s="916"/>
      <c r="FA207" s="916"/>
      <c r="FB207" s="916"/>
      <c r="FC207" s="916"/>
      <c r="FD207" s="916"/>
      <c r="FE207" s="916"/>
      <c r="FF207" s="916"/>
      <c r="FG207" s="917"/>
      <c r="FH207" s="25"/>
      <c r="FI207" s="848">
        <v>48731</v>
      </c>
      <c r="FJ207" s="19"/>
      <c r="FK207" s="93"/>
      <c r="FL207" s="20"/>
      <c r="FM207" s="25"/>
      <c r="FN207" s="19"/>
      <c r="FO207" s="93"/>
      <c r="FP207" s="93"/>
      <c r="FQ207" s="93"/>
      <c r="FR207" s="93"/>
      <c r="FS207" s="93"/>
      <c r="FT207" s="93"/>
      <c r="FU207" s="93"/>
      <c r="FV207" s="93"/>
      <c r="FW207" s="917"/>
      <c r="FX207" s="25"/>
      <c r="FY207" s="916"/>
      <c r="FZ207" s="916"/>
      <c r="GA207" s="916"/>
      <c r="GB207" s="916"/>
      <c r="GC207" s="916"/>
      <c r="GD207" s="916"/>
      <c r="GE207" s="916"/>
      <c r="GF207" s="916"/>
      <c r="GG207" s="916"/>
      <c r="GH207" s="916"/>
      <c r="GI207" s="917"/>
      <c r="GJ207" s="25"/>
      <c r="GK207" s="19"/>
      <c r="GL207" s="20"/>
      <c r="GM207" s="25"/>
      <c r="GN207" s="19"/>
      <c r="GO207" s="20"/>
      <c r="GP207" s="25"/>
      <c r="GQ207" s="19"/>
      <c r="GR207" s="20"/>
      <c r="GS207" s="25"/>
      <c r="GT207" s="848">
        <v>48731</v>
      </c>
      <c r="GU207" s="19"/>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848">
        <v>48731</v>
      </c>
      <c r="IX207" s="93"/>
      <c r="IY207" s="93"/>
      <c r="IZ207" s="93"/>
      <c r="JA207" s="93"/>
      <c r="JB207" s="93"/>
      <c r="JC207" s="93"/>
      <c r="JD207" s="93"/>
      <c r="JE207" s="93"/>
      <c r="JF207" s="93"/>
      <c r="JG207" s="93"/>
      <c r="JH207" s="93"/>
      <c r="JI207" s="93"/>
      <c r="JJ207" s="93"/>
      <c r="JK207" s="93"/>
      <c r="JL207" s="93"/>
      <c r="JM207" s="93"/>
      <c r="JN207" s="93"/>
      <c r="JO207" s="93"/>
      <c r="JP207" s="93"/>
      <c r="JQ207" s="93"/>
      <c r="JR207" s="93"/>
      <c r="JS207" s="93"/>
      <c r="JT207" s="20"/>
      <c r="JU207" s="29"/>
      <c r="JV207" s="19"/>
      <c r="JW207" s="93"/>
      <c r="JX207" s="93"/>
      <c r="JY207" s="93"/>
      <c r="JZ207" s="93"/>
      <c r="KA207" s="93"/>
      <c r="KB207" s="93"/>
      <c r="KC207" s="93"/>
      <c r="KD207" s="93"/>
      <c r="KE207" s="93"/>
      <c r="KF207" s="93"/>
      <c r="KG207" s="93"/>
      <c r="KH207" s="93"/>
      <c r="KI207" s="93"/>
      <c r="KJ207" s="93"/>
      <c r="KK207" s="93"/>
      <c r="KL207" s="93"/>
      <c r="KM207" s="93"/>
      <c r="KN207" s="93"/>
      <c r="KO207" s="93"/>
      <c r="KP207" s="93"/>
      <c r="KQ207" s="93"/>
      <c r="KR207" s="93"/>
      <c r="KS207" s="93"/>
      <c r="KT207" s="93"/>
      <c r="KU207" s="93"/>
      <c r="KV207" s="93"/>
      <c r="KW207" s="20"/>
      <c r="KX207" s="29"/>
      <c r="KY207" s="19"/>
      <c r="KZ207" s="93"/>
      <c r="LA207" s="93"/>
      <c r="LB207" s="93"/>
      <c r="LC207" s="93"/>
      <c r="LD207" s="93"/>
      <c r="LE207" s="93"/>
      <c r="LF207" s="93"/>
      <c r="LG207" s="93"/>
      <c r="LH207" s="93"/>
      <c r="LI207" s="93"/>
      <c r="LJ207" s="93"/>
      <c r="LK207" s="93"/>
      <c r="LL207" s="93"/>
      <c r="LM207" s="93"/>
      <c r="LN207" s="93"/>
      <c r="LO207" s="93"/>
      <c r="LP207" s="93"/>
      <c r="LQ207" s="93"/>
      <c r="LR207" s="93"/>
      <c r="LS207" s="93"/>
      <c r="LT207" s="93"/>
      <c r="LU207" s="93"/>
      <c r="LV207" s="93"/>
      <c r="LW207" s="93"/>
      <c r="LX207" s="93"/>
      <c r="LY207" s="93"/>
      <c r="LZ207" s="93"/>
      <c r="MA207" s="93"/>
      <c r="MB207" s="93"/>
      <c r="MC207" s="93"/>
      <c r="MD207" s="93"/>
      <c r="ME207" s="93"/>
      <c r="MF207" s="93"/>
      <c r="MG207" s="93"/>
      <c r="MH207" s="20"/>
      <c r="MI207" s="29"/>
      <c r="MJ207" s="29" t="str">
        <f t="shared" si="97"/>
        <v>Trimestre 22033</v>
      </c>
      <c r="MK207" s="848">
        <v>48731</v>
      </c>
      <c r="ML207" s="1991"/>
      <c r="MM207" s="1991"/>
      <c r="MN207" s="1991"/>
      <c r="MO207" s="1991"/>
      <c r="MP207" s="1991"/>
      <c r="MQ207" s="1991"/>
      <c r="MR207" s="1991"/>
      <c r="MS207" s="1991"/>
      <c r="MT207" s="1991"/>
      <c r="MU207" s="1991"/>
      <c r="MV207" s="1991"/>
      <c r="MW207" s="1991"/>
      <c r="MX207" s="1991"/>
      <c r="MY207" s="1991"/>
      <c r="MZ207" s="1991"/>
      <c r="NA207" s="1991"/>
      <c r="NB207" s="1991"/>
      <c r="NC207" s="1991"/>
      <c r="ND207" s="1991"/>
      <c r="NE207" s="1991"/>
      <c r="NF207" s="1991"/>
      <c r="NG207" s="1991"/>
      <c r="NH207" s="1991"/>
      <c r="NI207" s="1991"/>
      <c r="NJ207" s="1991"/>
      <c r="NK207" s="1991"/>
      <c r="NL207" s="29"/>
    </row>
    <row r="208" spans="1:376">
      <c r="A208" s="41">
        <f t="shared" si="95"/>
        <v>2033</v>
      </c>
      <c r="B208" s="785">
        <v>48823</v>
      </c>
      <c r="C208" s="19"/>
      <c r="D208" s="93"/>
      <c r="E208" s="93"/>
      <c r="F208" s="93"/>
      <c r="G208" s="93"/>
      <c r="H208" s="93"/>
      <c r="I208" s="93"/>
      <c r="J208" s="93"/>
      <c r="K208" s="93"/>
      <c r="L208" s="93"/>
      <c r="M208" s="20"/>
      <c r="N208" s="25"/>
      <c r="O208" s="889">
        <f t="shared" si="94"/>
        <v>2033</v>
      </c>
      <c r="P208" s="29" t="str">
        <f t="shared" si="96"/>
        <v>Trimestre 32033</v>
      </c>
      <c r="Q208" s="848">
        <v>48823</v>
      </c>
      <c r="R208" s="733"/>
      <c r="S208" s="570"/>
      <c r="T208" s="570"/>
      <c r="U208" s="734"/>
      <c r="V208" s="25"/>
      <c r="W208" s="19"/>
      <c r="X208" s="93"/>
      <c r="Y208" s="93"/>
      <c r="Z208" s="93"/>
      <c r="AA208" s="93"/>
      <c r="AB208" s="93"/>
      <c r="AC208" s="93"/>
      <c r="AD208" s="93"/>
      <c r="AE208" s="20"/>
      <c r="AF208" s="25"/>
      <c r="AG208" s="19"/>
      <c r="AH208" s="93"/>
      <c r="AI208" s="93"/>
      <c r="AJ208" s="93"/>
      <c r="AK208" s="93"/>
      <c r="AL208" s="93"/>
      <c r="AM208" s="93"/>
      <c r="AN208" s="20"/>
      <c r="AO208" s="19"/>
      <c r="AP208" s="93"/>
      <c r="AQ208" s="93"/>
      <c r="AR208" s="93"/>
      <c r="AS208" s="20"/>
      <c r="AT208" s="19"/>
      <c r="AU208" s="93"/>
      <c r="AV208" s="20"/>
      <c r="AW208" s="19"/>
      <c r="AX208" s="93"/>
      <c r="AY208" s="93"/>
      <c r="AZ208" s="93"/>
      <c r="BA208" s="93"/>
      <c r="BB208" s="93"/>
      <c r="BC208" s="20"/>
      <c r="BD208" s="19"/>
      <c r="BE208" s="93"/>
      <c r="BF208" s="93"/>
      <c r="BG208" s="93"/>
      <c r="BH208" s="93"/>
      <c r="BI208" s="93"/>
      <c r="BJ208" s="93"/>
      <c r="BK208" s="20"/>
      <c r="BL208" s="19"/>
      <c r="BM208" s="93"/>
      <c r="BN208" s="93"/>
      <c r="BO208" s="93"/>
      <c r="BP208" s="93"/>
      <c r="BQ208" s="20"/>
      <c r="BR208" s="19"/>
      <c r="BS208" s="93"/>
      <c r="BT208" s="93"/>
      <c r="BU208" s="20"/>
      <c r="BV208" s="19"/>
      <c r="BW208" s="93"/>
      <c r="BX208" s="93"/>
      <c r="BY208" s="93"/>
      <c r="BZ208" s="93"/>
      <c r="CA208" s="93"/>
      <c r="CB208" s="20"/>
      <c r="CC208" s="25"/>
      <c r="CD208" s="19"/>
      <c r="CE208" s="93"/>
      <c r="CF208" s="20"/>
      <c r="CG208" s="25"/>
      <c r="CH208" s="19"/>
      <c r="CI208" s="93"/>
      <c r="CJ208" s="93"/>
      <c r="CK208" s="93"/>
      <c r="CL208" s="93"/>
      <c r="CM208" s="93"/>
      <c r="CN208" s="93"/>
      <c r="CO208" s="93"/>
      <c r="CP208" s="93"/>
      <c r="CQ208" s="93"/>
      <c r="CR208" s="214"/>
      <c r="CS208" s="20"/>
      <c r="CT208" s="25"/>
      <c r="CU208" s="19"/>
      <c r="CV208" s="93"/>
      <c r="CW208" s="93"/>
      <c r="CX208" s="93"/>
      <c r="CY208" s="93"/>
      <c r="CZ208" s="93"/>
      <c r="DA208" s="93"/>
      <c r="DB208" s="20"/>
      <c r="DC208" s="25"/>
      <c r="DD208" s="785">
        <v>48823</v>
      </c>
      <c r="DE208" s="19"/>
      <c r="DF208" s="20"/>
      <c r="DG208" s="25"/>
      <c r="DH208" s="19"/>
      <c r="DI208" s="20"/>
      <c r="DJ208" s="25"/>
      <c r="DK208" s="19"/>
      <c r="DL208" s="20"/>
      <c r="DM208" s="19"/>
      <c r="DN208" s="20"/>
      <c r="DO208" s="25"/>
      <c r="DP208" s="19"/>
      <c r="DQ208" s="93"/>
      <c r="DR208" s="20"/>
      <c r="DS208" s="25"/>
      <c r="DT208" s="19"/>
      <c r="DU208" s="93"/>
      <c r="DV208" s="20"/>
      <c r="DW208" s="25"/>
      <c r="DX208" s="19"/>
      <c r="DY208" s="20"/>
      <c r="DZ208" s="25"/>
      <c r="EA208" s="19"/>
      <c r="EB208" s="93"/>
      <c r="EC208" s="93"/>
      <c r="ED208" s="93"/>
      <c r="EE208" s="20"/>
      <c r="EF208" s="25"/>
      <c r="EG208" s="19"/>
      <c r="EH208" s="93"/>
      <c r="EI208" s="93"/>
      <c r="EJ208" s="93"/>
      <c r="EK208" s="20"/>
      <c r="EL208" s="25"/>
      <c r="EM208" s="19"/>
      <c r="EN208" s="93"/>
      <c r="EO208" s="93"/>
      <c r="EP208" s="93"/>
      <c r="EQ208" s="93"/>
      <c r="ER208" s="93"/>
      <c r="ES208" s="93"/>
      <c r="ET208" s="93"/>
      <c r="EU208" s="93"/>
      <c r="EV208" s="20"/>
      <c r="EW208" s="25"/>
      <c r="EX208" s="915"/>
      <c r="EY208" s="916"/>
      <c r="EZ208" s="916"/>
      <c r="FA208" s="916"/>
      <c r="FB208" s="916"/>
      <c r="FC208" s="916"/>
      <c r="FD208" s="916"/>
      <c r="FE208" s="916"/>
      <c r="FF208" s="916"/>
      <c r="FG208" s="917"/>
      <c r="FH208" s="25"/>
      <c r="FI208" s="848">
        <v>48823</v>
      </c>
      <c r="FJ208" s="19"/>
      <c r="FK208" s="93"/>
      <c r="FL208" s="20"/>
      <c r="FM208" s="25"/>
      <c r="FN208" s="19"/>
      <c r="FO208" s="93"/>
      <c r="FP208" s="93"/>
      <c r="FQ208" s="93"/>
      <c r="FR208" s="93"/>
      <c r="FS208" s="93"/>
      <c r="FT208" s="93"/>
      <c r="FU208" s="93"/>
      <c r="FV208" s="93"/>
      <c r="FW208" s="917"/>
      <c r="FX208" s="25"/>
      <c r="FY208" s="916"/>
      <c r="FZ208" s="916"/>
      <c r="GA208" s="916"/>
      <c r="GB208" s="916"/>
      <c r="GC208" s="916"/>
      <c r="GD208" s="916"/>
      <c r="GE208" s="916"/>
      <c r="GF208" s="916"/>
      <c r="GG208" s="916"/>
      <c r="GH208" s="916"/>
      <c r="GI208" s="917"/>
      <c r="GJ208" s="25"/>
      <c r="GK208" s="19"/>
      <c r="GL208" s="20"/>
      <c r="GM208" s="25"/>
      <c r="GN208" s="19"/>
      <c r="GO208" s="20"/>
      <c r="GP208" s="25"/>
      <c r="GQ208" s="19"/>
      <c r="GR208" s="20"/>
      <c r="GS208" s="25"/>
      <c r="GT208" s="848">
        <v>48823</v>
      </c>
      <c r="GU208" s="19"/>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848">
        <v>48823</v>
      </c>
      <c r="IX208" s="93"/>
      <c r="IY208" s="93"/>
      <c r="IZ208" s="93"/>
      <c r="JA208" s="93"/>
      <c r="JB208" s="93"/>
      <c r="JC208" s="93"/>
      <c r="JD208" s="93"/>
      <c r="JE208" s="93"/>
      <c r="JF208" s="93"/>
      <c r="JG208" s="93"/>
      <c r="JH208" s="93"/>
      <c r="JI208" s="93"/>
      <c r="JJ208" s="93"/>
      <c r="JK208" s="93"/>
      <c r="JL208" s="93"/>
      <c r="JM208" s="93"/>
      <c r="JN208" s="93"/>
      <c r="JO208" s="93"/>
      <c r="JP208" s="93"/>
      <c r="JQ208" s="93"/>
      <c r="JR208" s="93"/>
      <c r="JS208" s="93"/>
      <c r="JT208" s="20"/>
      <c r="JU208" s="29"/>
      <c r="JV208" s="19"/>
      <c r="JW208" s="93"/>
      <c r="JX208" s="93"/>
      <c r="JY208" s="93"/>
      <c r="JZ208" s="93"/>
      <c r="KA208" s="93"/>
      <c r="KB208" s="93"/>
      <c r="KC208" s="93"/>
      <c r="KD208" s="93"/>
      <c r="KE208" s="93"/>
      <c r="KF208" s="93"/>
      <c r="KG208" s="93"/>
      <c r="KH208" s="93"/>
      <c r="KI208" s="93"/>
      <c r="KJ208" s="93"/>
      <c r="KK208" s="93"/>
      <c r="KL208" s="93"/>
      <c r="KM208" s="93"/>
      <c r="KN208" s="93"/>
      <c r="KO208" s="93"/>
      <c r="KP208" s="93"/>
      <c r="KQ208" s="93"/>
      <c r="KR208" s="93"/>
      <c r="KS208" s="93"/>
      <c r="KT208" s="93"/>
      <c r="KU208" s="93"/>
      <c r="KV208" s="93"/>
      <c r="KW208" s="20"/>
      <c r="KX208" s="29"/>
      <c r="KY208" s="19"/>
      <c r="KZ208" s="93"/>
      <c r="LA208" s="93"/>
      <c r="LB208" s="93"/>
      <c r="LC208" s="93"/>
      <c r="LD208" s="93"/>
      <c r="LE208" s="93"/>
      <c r="LF208" s="93"/>
      <c r="LG208" s="93"/>
      <c r="LH208" s="93"/>
      <c r="LI208" s="93"/>
      <c r="LJ208" s="93"/>
      <c r="LK208" s="93"/>
      <c r="LL208" s="93"/>
      <c r="LM208" s="93"/>
      <c r="LN208" s="93"/>
      <c r="LO208" s="93"/>
      <c r="LP208" s="93"/>
      <c r="LQ208" s="93"/>
      <c r="LR208" s="93"/>
      <c r="LS208" s="93"/>
      <c r="LT208" s="93"/>
      <c r="LU208" s="93"/>
      <c r="LV208" s="93"/>
      <c r="LW208" s="93"/>
      <c r="LX208" s="93"/>
      <c r="LY208" s="93"/>
      <c r="LZ208" s="93"/>
      <c r="MA208" s="93"/>
      <c r="MB208" s="93"/>
      <c r="MC208" s="93"/>
      <c r="MD208" s="93"/>
      <c r="ME208" s="93"/>
      <c r="MF208" s="93"/>
      <c r="MG208" s="93"/>
      <c r="MH208" s="20"/>
      <c r="MI208" s="29"/>
      <c r="MJ208" s="29" t="str">
        <f t="shared" si="97"/>
        <v>Trimestre 32033</v>
      </c>
      <c r="MK208" s="848">
        <v>48823</v>
      </c>
      <c r="ML208" s="1991"/>
      <c r="MM208" s="1991"/>
      <c r="MN208" s="1991"/>
      <c r="MO208" s="1991"/>
      <c r="MP208" s="1991"/>
      <c r="MQ208" s="1991"/>
      <c r="MR208" s="1991"/>
      <c r="MS208" s="1991"/>
      <c r="MT208" s="1991"/>
      <c r="MU208" s="1991"/>
      <c r="MV208" s="1991"/>
      <c r="MW208" s="1991"/>
      <c r="MX208" s="1991"/>
      <c r="MY208" s="1991"/>
      <c r="MZ208" s="1991"/>
      <c r="NA208" s="1991"/>
      <c r="NB208" s="1991"/>
      <c r="NC208" s="1991"/>
      <c r="ND208" s="1991"/>
      <c r="NE208" s="1991"/>
      <c r="NF208" s="1991"/>
      <c r="NG208" s="1991"/>
      <c r="NH208" s="1991"/>
      <c r="NI208" s="1991"/>
      <c r="NJ208" s="1991"/>
      <c r="NK208" s="1991"/>
      <c r="NL208" s="29"/>
    </row>
    <row r="209" spans="1:376">
      <c r="A209" s="41">
        <f t="shared" si="95"/>
        <v>2033</v>
      </c>
      <c r="B209" s="785">
        <v>48914</v>
      </c>
      <c r="C209" s="19"/>
      <c r="D209" s="93"/>
      <c r="E209" s="93"/>
      <c r="F209" s="93"/>
      <c r="G209" s="93"/>
      <c r="H209" s="93"/>
      <c r="I209" s="93"/>
      <c r="J209" s="93"/>
      <c r="K209" s="93"/>
      <c r="L209" s="93"/>
      <c r="M209" s="20"/>
      <c r="N209" s="25"/>
      <c r="O209" s="889">
        <f t="shared" si="94"/>
        <v>2033</v>
      </c>
      <c r="P209" s="29" t="str">
        <f t="shared" si="96"/>
        <v>Trimestre 42033</v>
      </c>
      <c r="Q209" s="848">
        <v>48914</v>
      </c>
      <c r="R209" s="733"/>
      <c r="S209" s="570"/>
      <c r="T209" s="570"/>
      <c r="U209" s="734"/>
      <c r="V209" s="25"/>
      <c r="W209" s="19"/>
      <c r="X209" s="93"/>
      <c r="Y209" s="93"/>
      <c r="Z209" s="93"/>
      <c r="AA209" s="93"/>
      <c r="AB209" s="93"/>
      <c r="AC209" s="93"/>
      <c r="AD209" s="93"/>
      <c r="AE209" s="20"/>
      <c r="AF209" s="25"/>
      <c r="AG209" s="19"/>
      <c r="AH209" s="93"/>
      <c r="AI209" s="93"/>
      <c r="AJ209" s="93"/>
      <c r="AK209" s="93"/>
      <c r="AL209" s="93"/>
      <c r="AM209" s="93"/>
      <c r="AN209" s="20"/>
      <c r="AO209" s="19"/>
      <c r="AP209" s="93"/>
      <c r="AQ209" s="93"/>
      <c r="AR209" s="93"/>
      <c r="AS209" s="20"/>
      <c r="AT209" s="19"/>
      <c r="AU209" s="93"/>
      <c r="AV209" s="20"/>
      <c r="AW209" s="19"/>
      <c r="AX209" s="93"/>
      <c r="AY209" s="93"/>
      <c r="AZ209" s="93"/>
      <c r="BA209" s="93"/>
      <c r="BB209" s="93"/>
      <c r="BC209" s="20"/>
      <c r="BD209" s="19"/>
      <c r="BE209" s="93"/>
      <c r="BF209" s="93"/>
      <c r="BG209" s="93"/>
      <c r="BH209" s="93"/>
      <c r="BI209" s="93"/>
      <c r="BJ209" s="93"/>
      <c r="BK209" s="20"/>
      <c r="BL209" s="19"/>
      <c r="BM209" s="93"/>
      <c r="BN209" s="93"/>
      <c r="BO209" s="93"/>
      <c r="BP209" s="93"/>
      <c r="BQ209" s="20"/>
      <c r="BR209" s="19"/>
      <c r="BS209" s="93"/>
      <c r="BT209" s="93"/>
      <c r="BU209" s="20"/>
      <c r="BV209" s="19"/>
      <c r="BW209" s="93"/>
      <c r="BX209" s="93"/>
      <c r="BY209" s="93"/>
      <c r="BZ209" s="93"/>
      <c r="CA209" s="93"/>
      <c r="CB209" s="20"/>
      <c r="CC209" s="25"/>
      <c r="CD209" s="19"/>
      <c r="CE209" s="93"/>
      <c r="CF209" s="20"/>
      <c r="CG209" s="25"/>
      <c r="CH209" s="19"/>
      <c r="CI209" s="93"/>
      <c r="CJ209" s="93"/>
      <c r="CK209" s="93"/>
      <c r="CL209" s="93"/>
      <c r="CM209" s="93"/>
      <c r="CN209" s="93"/>
      <c r="CO209" s="93"/>
      <c r="CP209" s="93"/>
      <c r="CQ209" s="93"/>
      <c r="CR209" s="214"/>
      <c r="CS209" s="20"/>
      <c r="CT209" s="25"/>
      <c r="CU209" s="19"/>
      <c r="CV209" s="93"/>
      <c r="CW209" s="93"/>
      <c r="CX209" s="93"/>
      <c r="CY209" s="93"/>
      <c r="CZ209" s="93"/>
      <c r="DA209" s="93"/>
      <c r="DB209" s="20"/>
      <c r="DC209" s="25"/>
      <c r="DD209" s="785">
        <v>48914</v>
      </c>
      <c r="DE209" s="19"/>
      <c r="DF209" s="20"/>
      <c r="DG209" s="25"/>
      <c r="DH209" s="19"/>
      <c r="DI209" s="20"/>
      <c r="DJ209" s="25"/>
      <c r="DK209" s="19"/>
      <c r="DL209" s="20"/>
      <c r="DM209" s="19"/>
      <c r="DN209" s="20"/>
      <c r="DO209" s="25"/>
      <c r="DP209" s="19"/>
      <c r="DQ209" s="93"/>
      <c r="DR209" s="20"/>
      <c r="DS209" s="25"/>
      <c r="DT209" s="19"/>
      <c r="DU209" s="93"/>
      <c r="DV209" s="20"/>
      <c r="DW209" s="25"/>
      <c r="DX209" s="19"/>
      <c r="DY209" s="20"/>
      <c r="DZ209" s="25"/>
      <c r="EA209" s="19"/>
      <c r="EB209" s="93"/>
      <c r="EC209" s="93"/>
      <c r="ED209" s="93"/>
      <c r="EE209" s="20"/>
      <c r="EF209" s="25"/>
      <c r="EG209" s="19"/>
      <c r="EH209" s="93"/>
      <c r="EI209" s="93"/>
      <c r="EJ209" s="93"/>
      <c r="EK209" s="20"/>
      <c r="EL209" s="25"/>
      <c r="EM209" s="19"/>
      <c r="EN209" s="93"/>
      <c r="EO209" s="93"/>
      <c r="EP209" s="93"/>
      <c r="EQ209" s="93"/>
      <c r="ER209" s="93"/>
      <c r="ES209" s="93"/>
      <c r="ET209" s="93"/>
      <c r="EU209" s="93"/>
      <c r="EV209" s="20"/>
      <c r="EW209" s="25"/>
      <c r="EX209" s="915"/>
      <c r="EY209" s="916"/>
      <c r="EZ209" s="916"/>
      <c r="FA209" s="916"/>
      <c r="FB209" s="916"/>
      <c r="FC209" s="916"/>
      <c r="FD209" s="916"/>
      <c r="FE209" s="916"/>
      <c r="FF209" s="916"/>
      <c r="FG209" s="917"/>
      <c r="FH209" s="25"/>
      <c r="FI209" s="848">
        <v>48914</v>
      </c>
      <c r="FJ209" s="19"/>
      <c r="FK209" s="93"/>
      <c r="FL209" s="20"/>
      <c r="FM209" s="25"/>
      <c r="FN209" s="19"/>
      <c r="FO209" s="93"/>
      <c r="FP209" s="93"/>
      <c r="FQ209" s="93"/>
      <c r="FR209" s="93"/>
      <c r="FS209" s="93"/>
      <c r="FT209" s="93"/>
      <c r="FU209" s="93"/>
      <c r="FV209" s="93"/>
      <c r="FW209" s="917"/>
      <c r="FX209" s="25"/>
      <c r="FY209" s="916"/>
      <c r="FZ209" s="916"/>
      <c r="GA209" s="916"/>
      <c r="GB209" s="916"/>
      <c r="GC209" s="916"/>
      <c r="GD209" s="916"/>
      <c r="GE209" s="916"/>
      <c r="GF209" s="916"/>
      <c r="GG209" s="916"/>
      <c r="GH209" s="916"/>
      <c r="GI209" s="917"/>
      <c r="GJ209" s="25"/>
      <c r="GK209" s="19"/>
      <c r="GL209" s="20"/>
      <c r="GM209" s="25"/>
      <c r="GN209" s="19"/>
      <c r="GO209" s="20"/>
      <c r="GP209" s="25"/>
      <c r="GQ209" s="19"/>
      <c r="GR209" s="20"/>
      <c r="GS209" s="25"/>
      <c r="GT209" s="848">
        <v>48914</v>
      </c>
      <c r="GU209" s="19"/>
      <c r="GV209" s="93"/>
      <c r="GW209" s="93"/>
      <c r="GX209" s="93"/>
      <c r="GY209" s="93"/>
      <c r="GZ209" s="93"/>
      <c r="HA209" s="93"/>
      <c r="HB209" s="93"/>
      <c r="HC209" s="93"/>
      <c r="HD209" s="93"/>
      <c r="HE209" s="93"/>
      <c r="HF209" s="93"/>
      <c r="HG209" s="93"/>
      <c r="HH209" s="93"/>
      <c r="HI209" s="93"/>
      <c r="HJ209" s="93"/>
      <c r="HK209" s="93"/>
      <c r="HL209" s="93"/>
      <c r="HM209" s="93"/>
      <c r="HN209" s="93"/>
      <c r="HO209" s="93"/>
      <c r="HP209" s="93"/>
      <c r="HQ209" s="93"/>
      <c r="HR209" s="93"/>
      <c r="HS209" s="93"/>
      <c r="HT209" s="93"/>
      <c r="HU209" s="93"/>
      <c r="HV209" s="93"/>
      <c r="HW209" s="93"/>
      <c r="HX209" s="93"/>
      <c r="HY209" s="93"/>
      <c r="HZ209" s="93"/>
      <c r="IA209" s="93"/>
      <c r="IB209" s="93"/>
      <c r="IC209" s="93"/>
      <c r="ID209" s="93"/>
      <c r="IE209" s="93"/>
      <c r="IF209" s="93"/>
      <c r="IG209" s="93"/>
      <c r="IH209" s="93"/>
      <c r="II209" s="93"/>
      <c r="IJ209" s="93"/>
      <c r="IK209" s="93"/>
      <c r="IL209" s="93"/>
      <c r="IM209" s="93"/>
      <c r="IN209" s="93"/>
      <c r="IO209" s="93"/>
      <c r="IP209" s="93"/>
      <c r="IQ209" s="93"/>
      <c r="IR209" s="93"/>
      <c r="IS209" s="93"/>
      <c r="IT209" s="93"/>
      <c r="IU209" s="93"/>
      <c r="IV209" s="93"/>
      <c r="IW209" s="848">
        <v>48914</v>
      </c>
      <c r="IX209" s="93"/>
      <c r="IY209" s="93"/>
      <c r="IZ209" s="93"/>
      <c r="JA209" s="93"/>
      <c r="JB209" s="93"/>
      <c r="JC209" s="93"/>
      <c r="JD209" s="93"/>
      <c r="JE209" s="93"/>
      <c r="JF209" s="93"/>
      <c r="JG209" s="93"/>
      <c r="JH209" s="93"/>
      <c r="JI209" s="93"/>
      <c r="JJ209" s="93"/>
      <c r="JK209" s="93"/>
      <c r="JL209" s="93"/>
      <c r="JM209" s="93"/>
      <c r="JN209" s="93"/>
      <c r="JO209" s="93"/>
      <c r="JP209" s="93"/>
      <c r="JQ209" s="93"/>
      <c r="JR209" s="93"/>
      <c r="JS209" s="93"/>
      <c r="JT209" s="20"/>
      <c r="JU209" s="29"/>
      <c r="JV209" s="19"/>
      <c r="JW209" s="93"/>
      <c r="JX209" s="93"/>
      <c r="JY209" s="93"/>
      <c r="JZ209" s="93"/>
      <c r="KA209" s="93"/>
      <c r="KB209" s="93"/>
      <c r="KC209" s="93"/>
      <c r="KD209" s="93"/>
      <c r="KE209" s="93"/>
      <c r="KF209" s="93"/>
      <c r="KG209" s="93"/>
      <c r="KH209" s="93"/>
      <c r="KI209" s="93"/>
      <c r="KJ209" s="93"/>
      <c r="KK209" s="93"/>
      <c r="KL209" s="93"/>
      <c r="KM209" s="93"/>
      <c r="KN209" s="93"/>
      <c r="KO209" s="93"/>
      <c r="KP209" s="93"/>
      <c r="KQ209" s="93"/>
      <c r="KR209" s="93"/>
      <c r="KS209" s="93"/>
      <c r="KT209" s="93"/>
      <c r="KU209" s="93"/>
      <c r="KV209" s="93"/>
      <c r="KW209" s="20"/>
      <c r="KX209" s="29"/>
      <c r="KY209" s="19"/>
      <c r="KZ209" s="93"/>
      <c r="LA209" s="93"/>
      <c r="LB209" s="93"/>
      <c r="LC209" s="93"/>
      <c r="LD209" s="93"/>
      <c r="LE209" s="93"/>
      <c r="LF209" s="93"/>
      <c r="LG209" s="93"/>
      <c r="LH209" s="93"/>
      <c r="LI209" s="93"/>
      <c r="LJ209" s="93"/>
      <c r="LK209" s="93"/>
      <c r="LL209" s="93"/>
      <c r="LM209" s="93"/>
      <c r="LN209" s="93"/>
      <c r="LO209" s="93"/>
      <c r="LP209" s="93"/>
      <c r="LQ209" s="93"/>
      <c r="LR209" s="93"/>
      <c r="LS209" s="93"/>
      <c r="LT209" s="93"/>
      <c r="LU209" s="93"/>
      <c r="LV209" s="93"/>
      <c r="LW209" s="93"/>
      <c r="LX209" s="93"/>
      <c r="LY209" s="93"/>
      <c r="LZ209" s="93"/>
      <c r="MA209" s="93"/>
      <c r="MB209" s="93"/>
      <c r="MC209" s="93"/>
      <c r="MD209" s="93"/>
      <c r="ME209" s="93"/>
      <c r="MF209" s="93"/>
      <c r="MG209" s="93"/>
      <c r="MH209" s="20"/>
      <c r="MI209" s="29"/>
      <c r="MJ209" s="29" t="str">
        <f t="shared" si="97"/>
        <v>Trimestre 42033</v>
      </c>
      <c r="MK209" s="848">
        <v>48914</v>
      </c>
      <c r="ML209" s="1991"/>
      <c r="MM209" s="1991"/>
      <c r="MN209" s="1991"/>
      <c r="MO209" s="1991"/>
      <c r="MP209" s="1991"/>
      <c r="MQ209" s="1991"/>
      <c r="MR209" s="1991"/>
      <c r="MS209" s="1991"/>
      <c r="MT209" s="1991"/>
      <c r="MU209" s="1991"/>
      <c r="MV209" s="1991"/>
      <c r="MW209" s="1991"/>
      <c r="MX209" s="1991"/>
      <c r="MY209" s="1991"/>
      <c r="MZ209" s="1991"/>
      <c r="NA209" s="1991"/>
      <c r="NB209" s="1991"/>
      <c r="NC209" s="1991"/>
      <c r="ND209" s="1991"/>
      <c r="NE209" s="1991"/>
      <c r="NF209" s="1991"/>
      <c r="NG209" s="1991"/>
      <c r="NH209" s="1991"/>
      <c r="NI209" s="1991"/>
      <c r="NJ209" s="1991"/>
      <c r="NK209" s="1991"/>
      <c r="NL209" s="29"/>
    </row>
    <row r="210" spans="1:376">
      <c r="A210" s="41">
        <f t="shared" si="95"/>
        <v>2034</v>
      </c>
      <c r="B210" s="785">
        <v>49004</v>
      </c>
      <c r="C210" s="19"/>
      <c r="D210" s="93"/>
      <c r="E210" s="93"/>
      <c r="F210" s="93"/>
      <c r="G210" s="93"/>
      <c r="H210" s="93"/>
      <c r="I210" s="93"/>
      <c r="J210" s="93"/>
      <c r="K210" s="93"/>
      <c r="L210" s="93"/>
      <c r="M210" s="20"/>
      <c r="N210" s="25"/>
      <c r="O210" s="889">
        <f t="shared" si="94"/>
        <v>2034</v>
      </c>
      <c r="P210" s="29" t="str">
        <f t="shared" si="96"/>
        <v>Trimestre 12034</v>
      </c>
      <c r="Q210" s="848">
        <v>49004</v>
      </c>
      <c r="R210" s="733"/>
      <c r="S210" s="570"/>
      <c r="T210" s="570"/>
      <c r="U210" s="734"/>
      <c r="V210" s="25"/>
      <c r="W210" s="19"/>
      <c r="X210" s="93"/>
      <c r="Y210" s="93"/>
      <c r="Z210" s="93"/>
      <c r="AA210" s="93"/>
      <c r="AB210" s="93"/>
      <c r="AC210" s="93"/>
      <c r="AD210" s="93"/>
      <c r="AE210" s="20"/>
      <c r="AF210" s="25"/>
      <c r="AG210" s="19"/>
      <c r="AH210" s="93"/>
      <c r="AI210" s="93"/>
      <c r="AJ210" s="93"/>
      <c r="AK210" s="93"/>
      <c r="AL210" s="93"/>
      <c r="AM210" s="93"/>
      <c r="AN210" s="20"/>
      <c r="AO210" s="19"/>
      <c r="AP210" s="93"/>
      <c r="AQ210" s="93"/>
      <c r="AR210" s="93"/>
      <c r="AS210" s="20"/>
      <c r="AT210" s="19"/>
      <c r="AU210" s="93"/>
      <c r="AV210" s="20"/>
      <c r="AW210" s="19"/>
      <c r="AX210" s="93"/>
      <c r="AY210" s="93"/>
      <c r="AZ210" s="93"/>
      <c r="BA210" s="93"/>
      <c r="BB210" s="93"/>
      <c r="BC210" s="20"/>
      <c r="BD210" s="19"/>
      <c r="BE210" s="93"/>
      <c r="BF210" s="93"/>
      <c r="BG210" s="93"/>
      <c r="BH210" s="93"/>
      <c r="BI210" s="93"/>
      <c r="BJ210" s="93"/>
      <c r="BK210" s="20"/>
      <c r="BL210" s="19"/>
      <c r="BM210" s="93"/>
      <c r="BN210" s="93"/>
      <c r="BO210" s="93"/>
      <c r="BP210" s="93"/>
      <c r="BQ210" s="20"/>
      <c r="BR210" s="19"/>
      <c r="BS210" s="93"/>
      <c r="BT210" s="93"/>
      <c r="BU210" s="20"/>
      <c r="BV210" s="19"/>
      <c r="BW210" s="93"/>
      <c r="BX210" s="93"/>
      <c r="BY210" s="93"/>
      <c r="BZ210" s="93"/>
      <c r="CA210" s="93"/>
      <c r="CB210" s="20"/>
      <c r="CC210" s="25"/>
      <c r="CD210" s="19"/>
      <c r="CE210" s="93"/>
      <c r="CF210" s="20"/>
      <c r="CG210" s="25"/>
      <c r="CH210" s="19"/>
      <c r="CI210" s="93"/>
      <c r="CJ210" s="93"/>
      <c r="CK210" s="93"/>
      <c r="CL210" s="93"/>
      <c r="CM210" s="93"/>
      <c r="CN210" s="93"/>
      <c r="CO210" s="93"/>
      <c r="CP210" s="93"/>
      <c r="CQ210" s="93"/>
      <c r="CR210" s="214"/>
      <c r="CS210" s="20"/>
      <c r="CT210" s="25"/>
      <c r="CU210" s="19"/>
      <c r="CV210" s="93"/>
      <c r="CW210" s="93"/>
      <c r="CX210" s="93"/>
      <c r="CY210" s="93"/>
      <c r="CZ210" s="93"/>
      <c r="DA210" s="93"/>
      <c r="DB210" s="20"/>
      <c r="DC210" s="25"/>
      <c r="DD210" s="785">
        <v>49004</v>
      </c>
      <c r="DE210" s="19"/>
      <c r="DF210" s="20"/>
      <c r="DG210" s="25"/>
      <c r="DH210" s="19"/>
      <c r="DI210" s="20"/>
      <c r="DJ210" s="25"/>
      <c r="DK210" s="19"/>
      <c r="DL210" s="20"/>
      <c r="DM210" s="19"/>
      <c r="DN210" s="20"/>
      <c r="DO210" s="25"/>
      <c r="DP210" s="19"/>
      <c r="DQ210" s="93"/>
      <c r="DR210" s="20"/>
      <c r="DS210" s="25"/>
      <c r="DT210" s="19"/>
      <c r="DU210" s="93"/>
      <c r="DV210" s="20"/>
      <c r="DW210" s="25"/>
      <c r="DX210" s="19"/>
      <c r="DY210" s="20"/>
      <c r="DZ210" s="25"/>
      <c r="EA210" s="19"/>
      <c r="EB210" s="93"/>
      <c r="EC210" s="93"/>
      <c r="ED210" s="93"/>
      <c r="EE210" s="20"/>
      <c r="EF210" s="25"/>
      <c r="EG210" s="19"/>
      <c r="EH210" s="93"/>
      <c r="EI210" s="93"/>
      <c r="EJ210" s="93"/>
      <c r="EK210" s="20"/>
      <c r="EL210" s="25"/>
      <c r="EM210" s="19"/>
      <c r="EN210" s="93"/>
      <c r="EO210" s="93"/>
      <c r="EP210" s="93"/>
      <c r="EQ210" s="93"/>
      <c r="ER210" s="93"/>
      <c r="ES210" s="93"/>
      <c r="ET210" s="93"/>
      <c r="EU210" s="93"/>
      <c r="EV210" s="20"/>
      <c r="EW210" s="25"/>
      <c r="EX210" s="915"/>
      <c r="EY210" s="916"/>
      <c r="EZ210" s="916"/>
      <c r="FA210" s="916"/>
      <c r="FB210" s="916"/>
      <c r="FC210" s="916"/>
      <c r="FD210" s="916"/>
      <c r="FE210" s="916"/>
      <c r="FF210" s="916"/>
      <c r="FG210" s="917"/>
      <c r="FH210" s="25"/>
      <c r="FI210" s="848">
        <v>49004</v>
      </c>
      <c r="FJ210" s="19"/>
      <c r="FK210" s="93"/>
      <c r="FL210" s="20"/>
      <c r="FM210" s="25"/>
      <c r="FN210" s="19"/>
      <c r="FO210" s="93"/>
      <c r="FP210" s="93"/>
      <c r="FQ210" s="93"/>
      <c r="FR210" s="93"/>
      <c r="FS210" s="93"/>
      <c r="FT210" s="93"/>
      <c r="FU210" s="93"/>
      <c r="FV210" s="93"/>
      <c r="FW210" s="917"/>
      <c r="FX210" s="25"/>
      <c r="FY210" s="916"/>
      <c r="FZ210" s="916"/>
      <c r="GA210" s="916"/>
      <c r="GB210" s="916"/>
      <c r="GC210" s="916"/>
      <c r="GD210" s="916"/>
      <c r="GE210" s="916"/>
      <c r="GF210" s="916"/>
      <c r="GG210" s="916"/>
      <c r="GH210" s="916"/>
      <c r="GI210" s="917"/>
      <c r="GJ210" s="25"/>
      <c r="GK210" s="19"/>
      <c r="GL210" s="20"/>
      <c r="GM210" s="25"/>
      <c r="GN210" s="19"/>
      <c r="GO210" s="20"/>
      <c r="GP210" s="25"/>
      <c r="GQ210" s="19"/>
      <c r="GR210" s="20"/>
      <c r="GS210" s="25"/>
      <c r="GT210" s="848">
        <v>49004</v>
      </c>
      <c r="GU210" s="19"/>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848">
        <v>49004</v>
      </c>
      <c r="IX210" s="93"/>
      <c r="IY210" s="93"/>
      <c r="IZ210" s="93"/>
      <c r="JA210" s="93"/>
      <c r="JB210" s="93"/>
      <c r="JC210" s="93"/>
      <c r="JD210" s="93"/>
      <c r="JE210" s="93"/>
      <c r="JF210" s="93"/>
      <c r="JG210" s="93"/>
      <c r="JH210" s="93"/>
      <c r="JI210" s="93"/>
      <c r="JJ210" s="93"/>
      <c r="JK210" s="93"/>
      <c r="JL210" s="93"/>
      <c r="JM210" s="93"/>
      <c r="JN210" s="93"/>
      <c r="JO210" s="93"/>
      <c r="JP210" s="93"/>
      <c r="JQ210" s="93"/>
      <c r="JR210" s="93"/>
      <c r="JS210" s="93"/>
      <c r="JT210" s="20"/>
      <c r="JU210" s="29"/>
      <c r="JV210" s="19"/>
      <c r="JW210" s="93"/>
      <c r="JX210" s="93"/>
      <c r="JY210" s="93"/>
      <c r="JZ210" s="93"/>
      <c r="KA210" s="93"/>
      <c r="KB210" s="93"/>
      <c r="KC210" s="93"/>
      <c r="KD210" s="93"/>
      <c r="KE210" s="93"/>
      <c r="KF210" s="93"/>
      <c r="KG210" s="93"/>
      <c r="KH210" s="93"/>
      <c r="KI210" s="93"/>
      <c r="KJ210" s="93"/>
      <c r="KK210" s="93"/>
      <c r="KL210" s="93"/>
      <c r="KM210" s="93"/>
      <c r="KN210" s="93"/>
      <c r="KO210" s="93"/>
      <c r="KP210" s="93"/>
      <c r="KQ210" s="93"/>
      <c r="KR210" s="93"/>
      <c r="KS210" s="93"/>
      <c r="KT210" s="93"/>
      <c r="KU210" s="93"/>
      <c r="KV210" s="93"/>
      <c r="KW210" s="20"/>
      <c r="KX210" s="29"/>
      <c r="KY210" s="19"/>
      <c r="KZ210" s="93"/>
      <c r="LA210" s="93"/>
      <c r="LB210" s="93"/>
      <c r="LC210" s="93"/>
      <c r="LD210" s="93"/>
      <c r="LE210" s="93"/>
      <c r="LF210" s="93"/>
      <c r="LG210" s="93"/>
      <c r="LH210" s="93"/>
      <c r="LI210" s="93"/>
      <c r="LJ210" s="93"/>
      <c r="LK210" s="93"/>
      <c r="LL210" s="93"/>
      <c r="LM210" s="93"/>
      <c r="LN210" s="93"/>
      <c r="LO210" s="93"/>
      <c r="LP210" s="93"/>
      <c r="LQ210" s="93"/>
      <c r="LR210" s="93"/>
      <c r="LS210" s="93"/>
      <c r="LT210" s="93"/>
      <c r="LU210" s="93"/>
      <c r="LV210" s="93"/>
      <c r="LW210" s="93"/>
      <c r="LX210" s="93"/>
      <c r="LY210" s="93"/>
      <c r="LZ210" s="93"/>
      <c r="MA210" s="93"/>
      <c r="MB210" s="93"/>
      <c r="MC210" s="93"/>
      <c r="MD210" s="93"/>
      <c r="ME210" s="93"/>
      <c r="MF210" s="93"/>
      <c r="MG210" s="93"/>
      <c r="MH210" s="20"/>
      <c r="MI210" s="29"/>
      <c r="MJ210" s="29" t="str">
        <f t="shared" si="97"/>
        <v>Trimestre 12034</v>
      </c>
      <c r="MK210" s="848">
        <v>49004</v>
      </c>
      <c r="ML210" s="1991"/>
      <c r="MM210" s="1991"/>
      <c r="MN210" s="1991"/>
      <c r="MO210" s="1991"/>
      <c r="MP210" s="1991"/>
      <c r="MQ210" s="1991"/>
      <c r="MR210" s="1991"/>
      <c r="MS210" s="1991"/>
      <c r="MT210" s="1991"/>
      <c r="MU210" s="1991"/>
      <c r="MV210" s="1991"/>
      <c r="MW210" s="1991"/>
      <c r="MX210" s="1991"/>
      <c r="MY210" s="1991"/>
      <c r="MZ210" s="1991"/>
      <c r="NA210" s="1991"/>
      <c r="NB210" s="1991"/>
      <c r="NC210" s="1991"/>
      <c r="ND210" s="1991"/>
      <c r="NE210" s="1991"/>
      <c r="NF210" s="1991"/>
      <c r="NG210" s="1991"/>
      <c r="NH210" s="1991"/>
      <c r="NI210" s="1991"/>
      <c r="NJ210" s="1991"/>
      <c r="NK210" s="1991"/>
      <c r="NL210" s="29"/>
    </row>
    <row r="211" spans="1:376">
      <c r="A211" s="41">
        <f t="shared" si="95"/>
        <v>2034</v>
      </c>
      <c r="B211" s="785">
        <v>49096</v>
      </c>
      <c r="C211" s="19"/>
      <c r="D211" s="93"/>
      <c r="E211" s="93"/>
      <c r="F211" s="93"/>
      <c r="G211" s="93"/>
      <c r="H211" s="93"/>
      <c r="I211" s="93"/>
      <c r="J211" s="93"/>
      <c r="K211" s="93"/>
      <c r="L211" s="93"/>
      <c r="M211" s="20"/>
      <c r="N211" s="25"/>
      <c r="O211" s="889">
        <f t="shared" si="94"/>
        <v>2034</v>
      </c>
      <c r="P211" s="29" t="str">
        <f t="shared" si="96"/>
        <v>Trimestre 22034</v>
      </c>
      <c r="Q211" s="848">
        <v>49096</v>
      </c>
      <c r="R211" s="733"/>
      <c r="S211" s="570"/>
      <c r="T211" s="570"/>
      <c r="U211" s="734"/>
      <c r="V211" s="25"/>
      <c r="W211" s="19"/>
      <c r="X211" s="93"/>
      <c r="Y211" s="93"/>
      <c r="Z211" s="93"/>
      <c r="AA211" s="93"/>
      <c r="AB211" s="93"/>
      <c r="AC211" s="93"/>
      <c r="AD211" s="93"/>
      <c r="AE211" s="20"/>
      <c r="AF211" s="25"/>
      <c r="AG211" s="19"/>
      <c r="AH211" s="93"/>
      <c r="AI211" s="93"/>
      <c r="AJ211" s="93"/>
      <c r="AK211" s="93"/>
      <c r="AL211" s="93"/>
      <c r="AM211" s="93"/>
      <c r="AN211" s="20"/>
      <c r="AO211" s="19"/>
      <c r="AP211" s="93"/>
      <c r="AQ211" s="93"/>
      <c r="AR211" s="93"/>
      <c r="AS211" s="20"/>
      <c r="AT211" s="19"/>
      <c r="AU211" s="93"/>
      <c r="AV211" s="20"/>
      <c r="AW211" s="19"/>
      <c r="AX211" s="93"/>
      <c r="AY211" s="93"/>
      <c r="AZ211" s="93"/>
      <c r="BA211" s="93"/>
      <c r="BB211" s="93"/>
      <c r="BC211" s="20"/>
      <c r="BD211" s="19"/>
      <c r="BE211" s="93"/>
      <c r="BF211" s="93"/>
      <c r="BG211" s="93"/>
      <c r="BH211" s="93"/>
      <c r="BI211" s="93"/>
      <c r="BJ211" s="93"/>
      <c r="BK211" s="20"/>
      <c r="BL211" s="19"/>
      <c r="BM211" s="93"/>
      <c r="BN211" s="93"/>
      <c r="BO211" s="93"/>
      <c r="BP211" s="93"/>
      <c r="BQ211" s="20"/>
      <c r="BR211" s="19"/>
      <c r="BS211" s="93"/>
      <c r="BT211" s="93"/>
      <c r="BU211" s="20"/>
      <c r="BV211" s="19"/>
      <c r="BW211" s="93"/>
      <c r="BX211" s="93"/>
      <c r="BY211" s="93"/>
      <c r="BZ211" s="93"/>
      <c r="CA211" s="93"/>
      <c r="CB211" s="20"/>
      <c r="CC211" s="25"/>
      <c r="CD211" s="19"/>
      <c r="CE211" s="93"/>
      <c r="CF211" s="20"/>
      <c r="CG211" s="25"/>
      <c r="CH211" s="19"/>
      <c r="CI211" s="93"/>
      <c r="CJ211" s="93"/>
      <c r="CK211" s="93"/>
      <c r="CL211" s="93"/>
      <c r="CM211" s="93"/>
      <c r="CN211" s="93"/>
      <c r="CO211" s="93"/>
      <c r="CP211" s="93"/>
      <c r="CQ211" s="93"/>
      <c r="CR211" s="214"/>
      <c r="CS211" s="20"/>
      <c r="CT211" s="25"/>
      <c r="CU211" s="19"/>
      <c r="CV211" s="93"/>
      <c r="CW211" s="93"/>
      <c r="CX211" s="93"/>
      <c r="CY211" s="93"/>
      <c r="CZ211" s="93"/>
      <c r="DA211" s="93"/>
      <c r="DB211" s="20"/>
      <c r="DC211" s="25"/>
      <c r="DD211" s="785">
        <v>49096</v>
      </c>
      <c r="DE211" s="19"/>
      <c r="DF211" s="20"/>
      <c r="DG211" s="25"/>
      <c r="DH211" s="19"/>
      <c r="DI211" s="20"/>
      <c r="DJ211" s="25"/>
      <c r="DK211" s="19"/>
      <c r="DL211" s="20"/>
      <c r="DM211" s="19"/>
      <c r="DN211" s="20"/>
      <c r="DO211" s="25"/>
      <c r="DP211" s="19"/>
      <c r="DQ211" s="93"/>
      <c r="DR211" s="20"/>
      <c r="DS211" s="25"/>
      <c r="DT211" s="19"/>
      <c r="DU211" s="93"/>
      <c r="DV211" s="20"/>
      <c r="DW211" s="25"/>
      <c r="DX211" s="19"/>
      <c r="DY211" s="20"/>
      <c r="DZ211" s="25"/>
      <c r="EA211" s="19"/>
      <c r="EB211" s="93"/>
      <c r="EC211" s="93"/>
      <c r="ED211" s="93"/>
      <c r="EE211" s="20"/>
      <c r="EF211" s="25"/>
      <c r="EG211" s="19"/>
      <c r="EH211" s="93"/>
      <c r="EI211" s="93"/>
      <c r="EJ211" s="93"/>
      <c r="EK211" s="20"/>
      <c r="EL211" s="25"/>
      <c r="EM211" s="19"/>
      <c r="EN211" s="93"/>
      <c r="EO211" s="93"/>
      <c r="EP211" s="93"/>
      <c r="EQ211" s="93"/>
      <c r="ER211" s="93"/>
      <c r="ES211" s="93"/>
      <c r="ET211" s="93"/>
      <c r="EU211" s="93"/>
      <c r="EV211" s="20"/>
      <c r="EW211" s="25"/>
      <c r="EX211" s="915"/>
      <c r="EY211" s="916"/>
      <c r="EZ211" s="916"/>
      <c r="FA211" s="916"/>
      <c r="FB211" s="916"/>
      <c r="FC211" s="916"/>
      <c r="FD211" s="916"/>
      <c r="FE211" s="916"/>
      <c r="FF211" s="916"/>
      <c r="FG211" s="917"/>
      <c r="FH211" s="25"/>
      <c r="FI211" s="848">
        <v>49096</v>
      </c>
      <c r="FJ211" s="19"/>
      <c r="FK211" s="93"/>
      <c r="FL211" s="20"/>
      <c r="FM211" s="25"/>
      <c r="FN211" s="19"/>
      <c r="FO211" s="93"/>
      <c r="FP211" s="93"/>
      <c r="FQ211" s="93"/>
      <c r="FR211" s="93"/>
      <c r="FS211" s="93"/>
      <c r="FT211" s="93"/>
      <c r="FU211" s="93"/>
      <c r="FV211" s="93"/>
      <c r="FW211" s="917"/>
      <c r="FX211" s="25"/>
      <c r="FY211" s="916"/>
      <c r="FZ211" s="916"/>
      <c r="GA211" s="916"/>
      <c r="GB211" s="916"/>
      <c r="GC211" s="916"/>
      <c r="GD211" s="916"/>
      <c r="GE211" s="916"/>
      <c r="GF211" s="916"/>
      <c r="GG211" s="916"/>
      <c r="GH211" s="916"/>
      <c r="GI211" s="917"/>
      <c r="GJ211" s="25"/>
      <c r="GK211" s="19"/>
      <c r="GL211" s="20"/>
      <c r="GM211" s="25"/>
      <c r="GN211" s="19"/>
      <c r="GO211" s="20"/>
      <c r="GP211" s="25"/>
      <c r="GQ211" s="19"/>
      <c r="GR211" s="20"/>
      <c r="GS211" s="25"/>
      <c r="GT211" s="848">
        <v>49096</v>
      </c>
      <c r="GU211" s="19"/>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848">
        <v>49096</v>
      </c>
      <c r="IX211" s="93"/>
      <c r="IY211" s="93"/>
      <c r="IZ211" s="93"/>
      <c r="JA211" s="93"/>
      <c r="JB211" s="93"/>
      <c r="JC211" s="93"/>
      <c r="JD211" s="93"/>
      <c r="JE211" s="93"/>
      <c r="JF211" s="93"/>
      <c r="JG211" s="93"/>
      <c r="JH211" s="93"/>
      <c r="JI211" s="93"/>
      <c r="JJ211" s="93"/>
      <c r="JK211" s="93"/>
      <c r="JL211" s="93"/>
      <c r="JM211" s="93"/>
      <c r="JN211" s="93"/>
      <c r="JO211" s="93"/>
      <c r="JP211" s="93"/>
      <c r="JQ211" s="93"/>
      <c r="JR211" s="93"/>
      <c r="JS211" s="93"/>
      <c r="JT211" s="20"/>
      <c r="JU211" s="29"/>
      <c r="JV211" s="19"/>
      <c r="JW211" s="93"/>
      <c r="JX211" s="93"/>
      <c r="JY211" s="93"/>
      <c r="JZ211" s="93"/>
      <c r="KA211" s="93"/>
      <c r="KB211" s="93"/>
      <c r="KC211" s="93"/>
      <c r="KD211" s="93"/>
      <c r="KE211" s="93"/>
      <c r="KF211" s="93"/>
      <c r="KG211" s="93"/>
      <c r="KH211" s="93"/>
      <c r="KI211" s="93"/>
      <c r="KJ211" s="93"/>
      <c r="KK211" s="93"/>
      <c r="KL211" s="93"/>
      <c r="KM211" s="93"/>
      <c r="KN211" s="93"/>
      <c r="KO211" s="93"/>
      <c r="KP211" s="93"/>
      <c r="KQ211" s="93"/>
      <c r="KR211" s="93"/>
      <c r="KS211" s="93"/>
      <c r="KT211" s="93"/>
      <c r="KU211" s="93"/>
      <c r="KV211" s="93"/>
      <c r="KW211" s="20"/>
      <c r="KX211" s="29"/>
      <c r="KY211" s="19"/>
      <c r="KZ211" s="93"/>
      <c r="LA211" s="93"/>
      <c r="LB211" s="93"/>
      <c r="LC211" s="93"/>
      <c r="LD211" s="93"/>
      <c r="LE211" s="93"/>
      <c r="LF211" s="93"/>
      <c r="LG211" s="93"/>
      <c r="LH211" s="93"/>
      <c r="LI211" s="93"/>
      <c r="LJ211" s="93"/>
      <c r="LK211" s="93"/>
      <c r="LL211" s="93"/>
      <c r="LM211" s="93"/>
      <c r="LN211" s="93"/>
      <c r="LO211" s="93"/>
      <c r="LP211" s="93"/>
      <c r="LQ211" s="93"/>
      <c r="LR211" s="93"/>
      <c r="LS211" s="93"/>
      <c r="LT211" s="93"/>
      <c r="LU211" s="93"/>
      <c r="LV211" s="93"/>
      <c r="LW211" s="93"/>
      <c r="LX211" s="93"/>
      <c r="LY211" s="93"/>
      <c r="LZ211" s="93"/>
      <c r="MA211" s="93"/>
      <c r="MB211" s="93"/>
      <c r="MC211" s="93"/>
      <c r="MD211" s="93"/>
      <c r="ME211" s="93"/>
      <c r="MF211" s="93"/>
      <c r="MG211" s="93"/>
      <c r="MH211" s="20"/>
      <c r="MI211" s="29"/>
      <c r="MJ211" s="29" t="str">
        <f t="shared" si="97"/>
        <v>Trimestre 22034</v>
      </c>
      <c r="MK211" s="848">
        <v>49096</v>
      </c>
      <c r="ML211" s="1991"/>
      <c r="MM211" s="1991"/>
      <c r="MN211" s="1991"/>
      <c r="MO211" s="1991"/>
      <c r="MP211" s="1991"/>
      <c r="MQ211" s="1991"/>
      <c r="MR211" s="1991"/>
      <c r="MS211" s="1991"/>
      <c r="MT211" s="1991"/>
      <c r="MU211" s="1991"/>
      <c r="MV211" s="1991"/>
      <c r="MW211" s="1991"/>
      <c r="MX211" s="1991"/>
      <c r="MY211" s="1991"/>
      <c r="MZ211" s="1991"/>
      <c r="NA211" s="1991"/>
      <c r="NB211" s="1991"/>
      <c r="NC211" s="1991"/>
      <c r="ND211" s="1991"/>
      <c r="NE211" s="1991"/>
      <c r="NF211" s="1991"/>
      <c r="NG211" s="1991"/>
      <c r="NH211" s="1991"/>
      <c r="NI211" s="1991"/>
      <c r="NJ211" s="1991"/>
      <c r="NK211" s="1991"/>
      <c r="NL211" s="29"/>
    </row>
    <row r="212" spans="1:376">
      <c r="A212" s="41">
        <f t="shared" si="95"/>
        <v>2034</v>
      </c>
      <c r="B212" s="785">
        <v>49188</v>
      </c>
      <c r="C212" s="19"/>
      <c r="D212" s="93"/>
      <c r="E212" s="93"/>
      <c r="F212" s="93"/>
      <c r="G212" s="93"/>
      <c r="H212" s="93"/>
      <c r="I212" s="93"/>
      <c r="J212" s="93"/>
      <c r="K212" s="93"/>
      <c r="L212" s="93"/>
      <c r="M212" s="20"/>
      <c r="N212" s="25"/>
      <c r="O212" s="889">
        <f t="shared" si="94"/>
        <v>2034</v>
      </c>
      <c r="P212" s="29" t="str">
        <f t="shared" si="96"/>
        <v>Trimestre 32034</v>
      </c>
      <c r="Q212" s="848">
        <v>49188</v>
      </c>
      <c r="R212" s="733"/>
      <c r="S212" s="570"/>
      <c r="T212" s="570"/>
      <c r="U212" s="734"/>
      <c r="V212" s="25"/>
      <c r="W212" s="19"/>
      <c r="X212" s="93"/>
      <c r="Y212" s="93"/>
      <c r="Z212" s="93"/>
      <c r="AA212" s="93"/>
      <c r="AB212" s="93"/>
      <c r="AC212" s="93"/>
      <c r="AD212" s="93"/>
      <c r="AE212" s="20"/>
      <c r="AF212" s="25"/>
      <c r="AG212" s="19"/>
      <c r="AH212" s="93"/>
      <c r="AI212" s="93"/>
      <c r="AJ212" s="93"/>
      <c r="AK212" s="93"/>
      <c r="AL212" s="93"/>
      <c r="AM212" s="93"/>
      <c r="AN212" s="20"/>
      <c r="AO212" s="19"/>
      <c r="AP212" s="93"/>
      <c r="AQ212" s="93"/>
      <c r="AR212" s="93"/>
      <c r="AS212" s="20"/>
      <c r="AT212" s="19"/>
      <c r="AU212" s="93"/>
      <c r="AV212" s="20"/>
      <c r="AW212" s="19"/>
      <c r="AX212" s="93"/>
      <c r="AY212" s="93"/>
      <c r="AZ212" s="93"/>
      <c r="BA212" s="93"/>
      <c r="BB212" s="93"/>
      <c r="BC212" s="20"/>
      <c r="BD212" s="19"/>
      <c r="BE212" s="93"/>
      <c r="BF212" s="93"/>
      <c r="BG212" s="93"/>
      <c r="BH212" s="93"/>
      <c r="BI212" s="93"/>
      <c r="BJ212" s="93"/>
      <c r="BK212" s="20"/>
      <c r="BL212" s="19"/>
      <c r="BM212" s="93"/>
      <c r="BN212" s="93"/>
      <c r="BO212" s="93"/>
      <c r="BP212" s="93"/>
      <c r="BQ212" s="20"/>
      <c r="BR212" s="19"/>
      <c r="BS212" s="93"/>
      <c r="BT212" s="93"/>
      <c r="BU212" s="20"/>
      <c r="BV212" s="19"/>
      <c r="BW212" s="93"/>
      <c r="BX212" s="93"/>
      <c r="BY212" s="93"/>
      <c r="BZ212" s="93"/>
      <c r="CA212" s="93"/>
      <c r="CB212" s="20"/>
      <c r="CC212" s="25"/>
      <c r="CD212" s="19"/>
      <c r="CE212" s="93"/>
      <c r="CF212" s="20"/>
      <c r="CG212" s="25"/>
      <c r="CH212" s="19"/>
      <c r="CI212" s="93"/>
      <c r="CJ212" s="93"/>
      <c r="CK212" s="93"/>
      <c r="CL212" s="93"/>
      <c r="CM212" s="93"/>
      <c r="CN212" s="93"/>
      <c r="CO212" s="93"/>
      <c r="CP212" s="93"/>
      <c r="CQ212" s="93"/>
      <c r="CR212" s="214"/>
      <c r="CS212" s="20"/>
      <c r="CT212" s="25"/>
      <c r="CU212" s="19"/>
      <c r="CV212" s="93"/>
      <c r="CW212" s="93"/>
      <c r="CX212" s="93"/>
      <c r="CY212" s="93"/>
      <c r="CZ212" s="93"/>
      <c r="DA212" s="93"/>
      <c r="DB212" s="20"/>
      <c r="DC212" s="25"/>
      <c r="DD212" s="785">
        <v>49188</v>
      </c>
      <c r="DE212" s="19"/>
      <c r="DF212" s="20"/>
      <c r="DG212" s="25"/>
      <c r="DH212" s="19"/>
      <c r="DI212" s="20"/>
      <c r="DJ212" s="25"/>
      <c r="DK212" s="19"/>
      <c r="DL212" s="20"/>
      <c r="DM212" s="19"/>
      <c r="DN212" s="20"/>
      <c r="DO212" s="25"/>
      <c r="DP212" s="19"/>
      <c r="DQ212" s="93"/>
      <c r="DR212" s="20"/>
      <c r="DS212" s="25"/>
      <c r="DT212" s="19"/>
      <c r="DU212" s="93"/>
      <c r="DV212" s="20"/>
      <c r="DW212" s="25"/>
      <c r="DX212" s="19"/>
      <c r="DY212" s="20"/>
      <c r="DZ212" s="25"/>
      <c r="EA212" s="19"/>
      <c r="EB212" s="93"/>
      <c r="EC212" s="93"/>
      <c r="ED212" s="93"/>
      <c r="EE212" s="20"/>
      <c r="EF212" s="25"/>
      <c r="EG212" s="19"/>
      <c r="EH212" s="93"/>
      <c r="EI212" s="93"/>
      <c r="EJ212" s="93"/>
      <c r="EK212" s="20"/>
      <c r="EL212" s="25"/>
      <c r="EM212" s="19"/>
      <c r="EN212" s="93"/>
      <c r="EO212" s="93"/>
      <c r="EP212" s="93"/>
      <c r="EQ212" s="93"/>
      <c r="ER212" s="93"/>
      <c r="ES212" s="93"/>
      <c r="ET212" s="93"/>
      <c r="EU212" s="93"/>
      <c r="EV212" s="20"/>
      <c r="EW212" s="25"/>
      <c r="EX212" s="915"/>
      <c r="EY212" s="916"/>
      <c r="EZ212" s="916"/>
      <c r="FA212" s="916"/>
      <c r="FB212" s="916"/>
      <c r="FC212" s="916"/>
      <c r="FD212" s="916"/>
      <c r="FE212" s="916"/>
      <c r="FF212" s="916"/>
      <c r="FG212" s="917"/>
      <c r="FH212" s="25"/>
      <c r="FI212" s="848">
        <v>49188</v>
      </c>
      <c r="FJ212" s="19"/>
      <c r="FK212" s="93"/>
      <c r="FL212" s="20"/>
      <c r="FM212" s="25"/>
      <c r="FN212" s="19"/>
      <c r="FO212" s="93"/>
      <c r="FP212" s="93"/>
      <c r="FQ212" s="93"/>
      <c r="FR212" s="93"/>
      <c r="FS212" s="93"/>
      <c r="FT212" s="93"/>
      <c r="FU212" s="93"/>
      <c r="FV212" s="93"/>
      <c r="FW212" s="917"/>
      <c r="FX212" s="25"/>
      <c r="FY212" s="916"/>
      <c r="FZ212" s="916"/>
      <c r="GA212" s="916"/>
      <c r="GB212" s="916"/>
      <c r="GC212" s="916"/>
      <c r="GD212" s="916"/>
      <c r="GE212" s="916"/>
      <c r="GF212" s="916"/>
      <c r="GG212" s="916"/>
      <c r="GH212" s="916"/>
      <c r="GI212" s="917"/>
      <c r="GJ212" s="25"/>
      <c r="GK212" s="19"/>
      <c r="GL212" s="20"/>
      <c r="GM212" s="25"/>
      <c r="GN212" s="19"/>
      <c r="GO212" s="20"/>
      <c r="GP212" s="25"/>
      <c r="GQ212" s="19"/>
      <c r="GR212" s="20"/>
      <c r="GS212" s="25"/>
      <c r="GT212" s="848">
        <v>49188</v>
      </c>
      <c r="GU212" s="19"/>
      <c r="GV212" s="93"/>
      <c r="GW212" s="93"/>
      <c r="GX212" s="93"/>
      <c r="GY212" s="93"/>
      <c r="GZ212" s="93"/>
      <c r="HA212" s="93"/>
      <c r="HB212" s="93"/>
      <c r="HC212" s="93"/>
      <c r="HD212" s="93"/>
      <c r="HE212" s="93"/>
      <c r="HF212" s="93"/>
      <c r="HG212" s="93"/>
      <c r="HH212" s="93"/>
      <c r="HI212" s="93"/>
      <c r="HJ212" s="93"/>
      <c r="HK212" s="93"/>
      <c r="HL212" s="93"/>
      <c r="HM212" s="93"/>
      <c r="HN212" s="93"/>
      <c r="HO212" s="93"/>
      <c r="HP212" s="93"/>
      <c r="HQ212" s="93"/>
      <c r="HR212" s="93"/>
      <c r="HS212" s="93"/>
      <c r="HT212" s="93"/>
      <c r="HU212" s="93"/>
      <c r="HV212" s="93"/>
      <c r="HW212" s="93"/>
      <c r="HX212" s="93"/>
      <c r="HY212" s="93"/>
      <c r="HZ212" s="93"/>
      <c r="IA212" s="93"/>
      <c r="IB212" s="93"/>
      <c r="IC212" s="93"/>
      <c r="ID212" s="93"/>
      <c r="IE212" s="93"/>
      <c r="IF212" s="93"/>
      <c r="IG212" s="93"/>
      <c r="IH212" s="93"/>
      <c r="II212" s="93"/>
      <c r="IJ212" s="93"/>
      <c r="IK212" s="93"/>
      <c r="IL212" s="93"/>
      <c r="IM212" s="93"/>
      <c r="IN212" s="93"/>
      <c r="IO212" s="93"/>
      <c r="IP212" s="93"/>
      <c r="IQ212" s="93"/>
      <c r="IR212" s="93"/>
      <c r="IS212" s="93"/>
      <c r="IT212" s="93"/>
      <c r="IU212" s="93"/>
      <c r="IV212" s="93"/>
      <c r="IW212" s="848">
        <v>49188</v>
      </c>
      <c r="IX212" s="93"/>
      <c r="IY212" s="93"/>
      <c r="IZ212" s="93"/>
      <c r="JA212" s="93"/>
      <c r="JB212" s="93"/>
      <c r="JC212" s="93"/>
      <c r="JD212" s="93"/>
      <c r="JE212" s="93"/>
      <c r="JF212" s="93"/>
      <c r="JG212" s="93"/>
      <c r="JH212" s="93"/>
      <c r="JI212" s="93"/>
      <c r="JJ212" s="93"/>
      <c r="JK212" s="93"/>
      <c r="JL212" s="93"/>
      <c r="JM212" s="93"/>
      <c r="JN212" s="93"/>
      <c r="JO212" s="93"/>
      <c r="JP212" s="93"/>
      <c r="JQ212" s="93"/>
      <c r="JR212" s="93"/>
      <c r="JS212" s="93"/>
      <c r="JT212" s="20"/>
      <c r="JU212" s="29"/>
      <c r="JV212" s="19"/>
      <c r="JW212" s="93"/>
      <c r="JX212" s="93"/>
      <c r="JY212" s="93"/>
      <c r="JZ212" s="93"/>
      <c r="KA212" s="93"/>
      <c r="KB212" s="93"/>
      <c r="KC212" s="93"/>
      <c r="KD212" s="93"/>
      <c r="KE212" s="93"/>
      <c r="KF212" s="93"/>
      <c r="KG212" s="93"/>
      <c r="KH212" s="93"/>
      <c r="KI212" s="93"/>
      <c r="KJ212" s="93"/>
      <c r="KK212" s="93"/>
      <c r="KL212" s="93"/>
      <c r="KM212" s="93"/>
      <c r="KN212" s="93"/>
      <c r="KO212" s="93"/>
      <c r="KP212" s="93"/>
      <c r="KQ212" s="93"/>
      <c r="KR212" s="93"/>
      <c r="KS212" s="93"/>
      <c r="KT212" s="93"/>
      <c r="KU212" s="93"/>
      <c r="KV212" s="93"/>
      <c r="KW212" s="20"/>
      <c r="KX212" s="29"/>
      <c r="KY212" s="19"/>
      <c r="KZ212" s="93"/>
      <c r="LA212" s="93"/>
      <c r="LB212" s="93"/>
      <c r="LC212" s="93"/>
      <c r="LD212" s="93"/>
      <c r="LE212" s="93"/>
      <c r="LF212" s="93"/>
      <c r="LG212" s="93"/>
      <c r="LH212" s="93"/>
      <c r="LI212" s="93"/>
      <c r="LJ212" s="93"/>
      <c r="LK212" s="93"/>
      <c r="LL212" s="93"/>
      <c r="LM212" s="93"/>
      <c r="LN212" s="93"/>
      <c r="LO212" s="93"/>
      <c r="LP212" s="93"/>
      <c r="LQ212" s="93"/>
      <c r="LR212" s="93"/>
      <c r="LS212" s="93"/>
      <c r="LT212" s="93"/>
      <c r="LU212" s="93"/>
      <c r="LV212" s="93"/>
      <c r="LW212" s="93"/>
      <c r="LX212" s="93"/>
      <c r="LY212" s="93"/>
      <c r="LZ212" s="93"/>
      <c r="MA212" s="93"/>
      <c r="MB212" s="93"/>
      <c r="MC212" s="93"/>
      <c r="MD212" s="93"/>
      <c r="ME212" s="93"/>
      <c r="MF212" s="93"/>
      <c r="MG212" s="93"/>
      <c r="MH212" s="20"/>
      <c r="MI212" s="29"/>
      <c r="MJ212" s="29" t="str">
        <f t="shared" si="97"/>
        <v>Trimestre 32034</v>
      </c>
      <c r="MK212" s="848">
        <v>49188</v>
      </c>
      <c r="ML212" s="1991"/>
      <c r="MM212" s="1991"/>
      <c r="MN212" s="1991"/>
      <c r="MO212" s="1991"/>
      <c r="MP212" s="1991"/>
      <c r="MQ212" s="1991"/>
      <c r="MR212" s="1991"/>
      <c r="MS212" s="1991"/>
      <c r="MT212" s="1991"/>
      <c r="MU212" s="1991"/>
      <c r="MV212" s="1991"/>
      <c r="MW212" s="1991"/>
      <c r="MX212" s="1991"/>
      <c r="MY212" s="1991"/>
      <c r="MZ212" s="1991"/>
      <c r="NA212" s="1991"/>
      <c r="NB212" s="1991"/>
      <c r="NC212" s="1991"/>
      <c r="ND212" s="1991"/>
      <c r="NE212" s="1991"/>
      <c r="NF212" s="1991"/>
      <c r="NG212" s="1991"/>
      <c r="NH212" s="1991"/>
      <c r="NI212" s="1991"/>
      <c r="NJ212" s="1991"/>
      <c r="NK212" s="1991"/>
      <c r="NL212" s="29"/>
    </row>
    <row r="213" spans="1:376">
      <c r="A213" s="41">
        <f t="shared" si="95"/>
        <v>2034</v>
      </c>
      <c r="B213" s="785">
        <v>49279</v>
      </c>
      <c r="C213" s="19"/>
      <c r="D213" s="93"/>
      <c r="E213" s="93"/>
      <c r="F213" s="93"/>
      <c r="G213" s="93"/>
      <c r="H213" s="93"/>
      <c r="I213" s="93"/>
      <c r="J213" s="93"/>
      <c r="K213" s="93"/>
      <c r="L213" s="93"/>
      <c r="M213" s="20"/>
      <c r="N213" s="25"/>
      <c r="O213" s="889">
        <f t="shared" si="94"/>
        <v>2034</v>
      </c>
      <c r="P213" s="29" t="str">
        <f t="shared" si="96"/>
        <v>Trimestre 42034</v>
      </c>
      <c r="Q213" s="848">
        <v>49279</v>
      </c>
      <c r="R213" s="733"/>
      <c r="S213" s="570"/>
      <c r="T213" s="570"/>
      <c r="U213" s="734"/>
      <c r="V213" s="25"/>
      <c r="W213" s="19"/>
      <c r="X213" s="93"/>
      <c r="Y213" s="93"/>
      <c r="Z213" s="93"/>
      <c r="AA213" s="93"/>
      <c r="AB213" s="93"/>
      <c r="AC213" s="93"/>
      <c r="AD213" s="93"/>
      <c r="AE213" s="20"/>
      <c r="AF213" s="25"/>
      <c r="AG213" s="19"/>
      <c r="AH213" s="93"/>
      <c r="AI213" s="93"/>
      <c r="AJ213" s="93"/>
      <c r="AK213" s="93"/>
      <c r="AL213" s="93"/>
      <c r="AM213" s="93"/>
      <c r="AN213" s="20"/>
      <c r="AO213" s="19"/>
      <c r="AP213" s="93"/>
      <c r="AQ213" s="93"/>
      <c r="AR213" s="93"/>
      <c r="AS213" s="20"/>
      <c r="AT213" s="19"/>
      <c r="AU213" s="93"/>
      <c r="AV213" s="20"/>
      <c r="AW213" s="19"/>
      <c r="AX213" s="93"/>
      <c r="AY213" s="93"/>
      <c r="AZ213" s="93"/>
      <c r="BA213" s="93"/>
      <c r="BB213" s="93"/>
      <c r="BC213" s="20"/>
      <c r="BD213" s="19"/>
      <c r="BE213" s="93"/>
      <c r="BF213" s="93"/>
      <c r="BG213" s="93"/>
      <c r="BH213" s="93"/>
      <c r="BI213" s="93"/>
      <c r="BJ213" s="93"/>
      <c r="BK213" s="20"/>
      <c r="BL213" s="19"/>
      <c r="BM213" s="93"/>
      <c r="BN213" s="93"/>
      <c r="BO213" s="93"/>
      <c r="BP213" s="93"/>
      <c r="BQ213" s="20"/>
      <c r="BR213" s="19"/>
      <c r="BS213" s="93"/>
      <c r="BT213" s="93"/>
      <c r="BU213" s="20"/>
      <c r="BV213" s="19"/>
      <c r="BW213" s="93"/>
      <c r="BX213" s="93"/>
      <c r="BY213" s="93"/>
      <c r="BZ213" s="93"/>
      <c r="CA213" s="93"/>
      <c r="CB213" s="20"/>
      <c r="CC213" s="25"/>
      <c r="CD213" s="19"/>
      <c r="CE213" s="93"/>
      <c r="CF213" s="20"/>
      <c r="CG213" s="25"/>
      <c r="CH213" s="19"/>
      <c r="CI213" s="93"/>
      <c r="CJ213" s="93"/>
      <c r="CK213" s="93"/>
      <c r="CL213" s="93"/>
      <c r="CM213" s="93"/>
      <c r="CN213" s="93"/>
      <c r="CO213" s="93"/>
      <c r="CP213" s="93"/>
      <c r="CQ213" s="93"/>
      <c r="CR213" s="214"/>
      <c r="CS213" s="20"/>
      <c r="CT213" s="25"/>
      <c r="CU213" s="19"/>
      <c r="CV213" s="93"/>
      <c r="CW213" s="93"/>
      <c r="CX213" s="93"/>
      <c r="CY213" s="93"/>
      <c r="CZ213" s="93"/>
      <c r="DA213" s="93"/>
      <c r="DB213" s="20"/>
      <c r="DC213" s="25"/>
      <c r="DD213" s="785">
        <v>49279</v>
      </c>
      <c r="DE213" s="19"/>
      <c r="DF213" s="20"/>
      <c r="DG213" s="25"/>
      <c r="DH213" s="19"/>
      <c r="DI213" s="20"/>
      <c r="DJ213" s="25"/>
      <c r="DK213" s="19"/>
      <c r="DL213" s="20"/>
      <c r="DM213" s="19"/>
      <c r="DN213" s="20"/>
      <c r="DO213" s="25"/>
      <c r="DP213" s="19"/>
      <c r="DQ213" s="93"/>
      <c r="DR213" s="20"/>
      <c r="DS213" s="25"/>
      <c r="DT213" s="19"/>
      <c r="DU213" s="93"/>
      <c r="DV213" s="20"/>
      <c r="DW213" s="25"/>
      <c r="DX213" s="19"/>
      <c r="DY213" s="20"/>
      <c r="DZ213" s="25"/>
      <c r="EA213" s="19"/>
      <c r="EB213" s="93"/>
      <c r="EC213" s="93"/>
      <c r="ED213" s="93"/>
      <c r="EE213" s="20"/>
      <c r="EF213" s="25"/>
      <c r="EG213" s="19"/>
      <c r="EH213" s="93"/>
      <c r="EI213" s="93"/>
      <c r="EJ213" s="93"/>
      <c r="EK213" s="20"/>
      <c r="EL213" s="25"/>
      <c r="EM213" s="19"/>
      <c r="EN213" s="93"/>
      <c r="EO213" s="93"/>
      <c r="EP213" s="93"/>
      <c r="EQ213" s="93"/>
      <c r="ER213" s="93"/>
      <c r="ES213" s="93"/>
      <c r="ET213" s="93"/>
      <c r="EU213" s="93"/>
      <c r="EV213" s="20"/>
      <c r="EW213" s="25"/>
      <c r="EX213" s="915"/>
      <c r="EY213" s="916"/>
      <c r="EZ213" s="916"/>
      <c r="FA213" s="916"/>
      <c r="FB213" s="916"/>
      <c r="FC213" s="916"/>
      <c r="FD213" s="916"/>
      <c r="FE213" s="916"/>
      <c r="FF213" s="916"/>
      <c r="FG213" s="917"/>
      <c r="FH213" s="25"/>
      <c r="FI213" s="848">
        <v>49279</v>
      </c>
      <c r="FJ213" s="19"/>
      <c r="FK213" s="93"/>
      <c r="FL213" s="20"/>
      <c r="FM213" s="25"/>
      <c r="FN213" s="19"/>
      <c r="FO213" s="93"/>
      <c r="FP213" s="93"/>
      <c r="FQ213" s="93"/>
      <c r="FR213" s="93"/>
      <c r="FS213" s="93"/>
      <c r="FT213" s="93"/>
      <c r="FU213" s="93"/>
      <c r="FV213" s="93"/>
      <c r="FW213" s="917"/>
      <c r="FX213" s="25"/>
      <c r="FY213" s="916"/>
      <c r="FZ213" s="916"/>
      <c r="GA213" s="916"/>
      <c r="GB213" s="916"/>
      <c r="GC213" s="916"/>
      <c r="GD213" s="916"/>
      <c r="GE213" s="916"/>
      <c r="GF213" s="916"/>
      <c r="GG213" s="916"/>
      <c r="GH213" s="916"/>
      <c r="GI213" s="917"/>
      <c r="GJ213" s="25"/>
      <c r="GK213" s="19"/>
      <c r="GL213" s="20"/>
      <c r="GM213" s="25"/>
      <c r="GN213" s="19"/>
      <c r="GO213" s="20"/>
      <c r="GP213" s="25"/>
      <c r="GQ213" s="19"/>
      <c r="GR213" s="20"/>
      <c r="GS213" s="25"/>
      <c r="GT213" s="848">
        <v>49279</v>
      </c>
      <c r="GU213" s="19"/>
      <c r="GV213" s="93"/>
      <c r="GW213" s="93"/>
      <c r="GX213" s="93"/>
      <c r="GY213" s="93"/>
      <c r="GZ213" s="93"/>
      <c r="HA213" s="93"/>
      <c r="HB213" s="93"/>
      <c r="HC213" s="93"/>
      <c r="HD213" s="93"/>
      <c r="HE213" s="93"/>
      <c r="HF213" s="93"/>
      <c r="HG213" s="93"/>
      <c r="HH213" s="93"/>
      <c r="HI213" s="93"/>
      <c r="HJ213" s="93"/>
      <c r="HK213" s="93"/>
      <c r="HL213" s="93"/>
      <c r="HM213" s="93"/>
      <c r="HN213" s="93"/>
      <c r="HO213" s="93"/>
      <c r="HP213" s="93"/>
      <c r="HQ213" s="93"/>
      <c r="HR213" s="93"/>
      <c r="HS213" s="93"/>
      <c r="HT213" s="93"/>
      <c r="HU213" s="93"/>
      <c r="HV213" s="93"/>
      <c r="HW213" s="93"/>
      <c r="HX213" s="93"/>
      <c r="HY213" s="93"/>
      <c r="HZ213" s="93"/>
      <c r="IA213" s="93"/>
      <c r="IB213" s="93"/>
      <c r="IC213" s="93"/>
      <c r="ID213" s="93"/>
      <c r="IE213" s="93"/>
      <c r="IF213" s="93"/>
      <c r="IG213" s="93"/>
      <c r="IH213" s="93"/>
      <c r="II213" s="93"/>
      <c r="IJ213" s="93"/>
      <c r="IK213" s="93"/>
      <c r="IL213" s="93"/>
      <c r="IM213" s="93"/>
      <c r="IN213" s="93"/>
      <c r="IO213" s="93"/>
      <c r="IP213" s="93"/>
      <c r="IQ213" s="93"/>
      <c r="IR213" s="93"/>
      <c r="IS213" s="93"/>
      <c r="IT213" s="93"/>
      <c r="IU213" s="93"/>
      <c r="IV213" s="93"/>
      <c r="IW213" s="848">
        <v>49279</v>
      </c>
      <c r="IX213" s="93"/>
      <c r="IY213" s="93"/>
      <c r="IZ213" s="93"/>
      <c r="JA213" s="93"/>
      <c r="JB213" s="93"/>
      <c r="JC213" s="93"/>
      <c r="JD213" s="93"/>
      <c r="JE213" s="93"/>
      <c r="JF213" s="93"/>
      <c r="JG213" s="93"/>
      <c r="JH213" s="93"/>
      <c r="JI213" s="93"/>
      <c r="JJ213" s="93"/>
      <c r="JK213" s="93"/>
      <c r="JL213" s="93"/>
      <c r="JM213" s="93"/>
      <c r="JN213" s="93"/>
      <c r="JO213" s="93"/>
      <c r="JP213" s="93"/>
      <c r="JQ213" s="93"/>
      <c r="JR213" s="93"/>
      <c r="JS213" s="93"/>
      <c r="JT213" s="20"/>
      <c r="JU213" s="29"/>
      <c r="JV213" s="19"/>
      <c r="JW213" s="93"/>
      <c r="JX213" s="93"/>
      <c r="JY213" s="93"/>
      <c r="JZ213" s="93"/>
      <c r="KA213" s="93"/>
      <c r="KB213" s="93"/>
      <c r="KC213" s="93"/>
      <c r="KD213" s="93"/>
      <c r="KE213" s="93"/>
      <c r="KF213" s="93"/>
      <c r="KG213" s="93"/>
      <c r="KH213" s="93"/>
      <c r="KI213" s="93"/>
      <c r="KJ213" s="93"/>
      <c r="KK213" s="93"/>
      <c r="KL213" s="93"/>
      <c r="KM213" s="93"/>
      <c r="KN213" s="93"/>
      <c r="KO213" s="93"/>
      <c r="KP213" s="93"/>
      <c r="KQ213" s="93"/>
      <c r="KR213" s="93"/>
      <c r="KS213" s="93"/>
      <c r="KT213" s="93"/>
      <c r="KU213" s="93"/>
      <c r="KV213" s="93"/>
      <c r="KW213" s="20"/>
      <c r="KX213" s="29"/>
      <c r="KY213" s="19"/>
      <c r="KZ213" s="93"/>
      <c r="LA213" s="93"/>
      <c r="LB213" s="93"/>
      <c r="LC213" s="93"/>
      <c r="LD213" s="93"/>
      <c r="LE213" s="93"/>
      <c r="LF213" s="93"/>
      <c r="LG213" s="93"/>
      <c r="LH213" s="93"/>
      <c r="LI213" s="93"/>
      <c r="LJ213" s="93"/>
      <c r="LK213" s="93"/>
      <c r="LL213" s="93"/>
      <c r="LM213" s="93"/>
      <c r="LN213" s="93"/>
      <c r="LO213" s="93"/>
      <c r="LP213" s="93"/>
      <c r="LQ213" s="93"/>
      <c r="LR213" s="93"/>
      <c r="LS213" s="93"/>
      <c r="LT213" s="93"/>
      <c r="LU213" s="93"/>
      <c r="LV213" s="93"/>
      <c r="LW213" s="93"/>
      <c r="LX213" s="93"/>
      <c r="LY213" s="93"/>
      <c r="LZ213" s="93"/>
      <c r="MA213" s="93"/>
      <c r="MB213" s="93"/>
      <c r="MC213" s="93"/>
      <c r="MD213" s="93"/>
      <c r="ME213" s="93"/>
      <c r="MF213" s="93"/>
      <c r="MG213" s="93"/>
      <c r="MH213" s="20"/>
      <c r="MI213" s="29"/>
      <c r="MJ213" s="29" t="str">
        <f t="shared" si="97"/>
        <v>Trimestre 42034</v>
      </c>
      <c r="MK213" s="848">
        <v>49279</v>
      </c>
      <c r="ML213" s="1991"/>
      <c r="MM213" s="1991"/>
      <c r="MN213" s="1991"/>
      <c r="MO213" s="1991"/>
      <c r="MP213" s="1991"/>
      <c r="MQ213" s="1991"/>
      <c r="MR213" s="1991"/>
      <c r="MS213" s="1991"/>
      <c r="MT213" s="1991"/>
      <c r="MU213" s="1991"/>
      <c r="MV213" s="1991"/>
      <c r="MW213" s="1991"/>
      <c r="MX213" s="1991"/>
      <c r="MY213" s="1991"/>
      <c r="MZ213" s="1991"/>
      <c r="NA213" s="1991"/>
      <c r="NB213" s="1991"/>
      <c r="NC213" s="1991"/>
      <c r="ND213" s="1991"/>
      <c r="NE213" s="1991"/>
      <c r="NF213" s="1991"/>
      <c r="NG213" s="1991"/>
      <c r="NH213" s="1991"/>
      <c r="NI213" s="1991"/>
      <c r="NJ213" s="1991"/>
      <c r="NK213" s="1991"/>
      <c r="NL213" s="29"/>
    </row>
    <row r="214" spans="1:376">
      <c r="A214" s="41">
        <f t="shared" si="95"/>
        <v>2035</v>
      </c>
      <c r="B214" s="785">
        <v>49369</v>
      </c>
      <c r="C214" s="19"/>
      <c r="D214" s="93"/>
      <c r="E214" s="93"/>
      <c r="F214" s="93"/>
      <c r="G214" s="93"/>
      <c r="H214" s="93"/>
      <c r="I214" s="93"/>
      <c r="J214" s="93"/>
      <c r="K214" s="93"/>
      <c r="L214" s="93"/>
      <c r="M214" s="20"/>
      <c r="N214" s="25"/>
      <c r="O214" s="889">
        <f t="shared" si="94"/>
        <v>2035</v>
      </c>
      <c r="P214" s="29" t="str">
        <f t="shared" si="96"/>
        <v>Trimestre 12035</v>
      </c>
      <c r="Q214" s="848">
        <v>49369</v>
      </c>
      <c r="R214" s="733"/>
      <c r="S214" s="570"/>
      <c r="T214" s="570"/>
      <c r="U214" s="734"/>
      <c r="V214" s="25"/>
      <c r="W214" s="19"/>
      <c r="X214" s="93"/>
      <c r="Y214" s="93"/>
      <c r="Z214" s="93"/>
      <c r="AA214" s="93"/>
      <c r="AB214" s="93"/>
      <c r="AC214" s="93"/>
      <c r="AD214" s="93"/>
      <c r="AE214" s="20"/>
      <c r="AF214" s="25"/>
      <c r="AG214" s="19"/>
      <c r="AH214" s="93"/>
      <c r="AI214" s="93"/>
      <c r="AJ214" s="93"/>
      <c r="AK214" s="93"/>
      <c r="AL214" s="93"/>
      <c r="AM214" s="93"/>
      <c r="AN214" s="20"/>
      <c r="AO214" s="19"/>
      <c r="AP214" s="93"/>
      <c r="AQ214" s="93"/>
      <c r="AR214" s="93"/>
      <c r="AS214" s="20"/>
      <c r="AT214" s="19"/>
      <c r="AU214" s="93"/>
      <c r="AV214" s="20"/>
      <c r="AW214" s="19"/>
      <c r="AX214" s="93"/>
      <c r="AY214" s="93"/>
      <c r="AZ214" s="93"/>
      <c r="BA214" s="93"/>
      <c r="BB214" s="93"/>
      <c r="BC214" s="20"/>
      <c r="BD214" s="19"/>
      <c r="BE214" s="93"/>
      <c r="BF214" s="93"/>
      <c r="BG214" s="93"/>
      <c r="BH214" s="93"/>
      <c r="BI214" s="93"/>
      <c r="BJ214" s="93"/>
      <c r="BK214" s="20"/>
      <c r="BL214" s="19"/>
      <c r="BM214" s="93"/>
      <c r="BN214" s="93"/>
      <c r="BO214" s="93"/>
      <c r="BP214" s="93"/>
      <c r="BQ214" s="20"/>
      <c r="BR214" s="19"/>
      <c r="BS214" s="93"/>
      <c r="BT214" s="93"/>
      <c r="BU214" s="20"/>
      <c r="BV214" s="19"/>
      <c r="BW214" s="93"/>
      <c r="BX214" s="93"/>
      <c r="BY214" s="93"/>
      <c r="BZ214" s="93"/>
      <c r="CA214" s="93"/>
      <c r="CB214" s="20"/>
      <c r="CC214" s="25"/>
      <c r="CD214" s="19"/>
      <c r="CE214" s="93"/>
      <c r="CF214" s="20"/>
      <c r="CG214" s="25"/>
      <c r="CH214" s="19"/>
      <c r="CI214" s="93"/>
      <c r="CJ214" s="93"/>
      <c r="CK214" s="93"/>
      <c r="CL214" s="93"/>
      <c r="CM214" s="93"/>
      <c r="CN214" s="93"/>
      <c r="CO214" s="93"/>
      <c r="CP214" s="93"/>
      <c r="CQ214" s="93"/>
      <c r="CR214" s="214"/>
      <c r="CS214" s="20"/>
      <c r="CT214" s="25"/>
      <c r="CU214" s="19"/>
      <c r="CV214" s="93"/>
      <c r="CW214" s="93"/>
      <c r="CX214" s="93"/>
      <c r="CY214" s="93"/>
      <c r="CZ214" s="93"/>
      <c r="DA214" s="93"/>
      <c r="DB214" s="20"/>
      <c r="DC214" s="25"/>
      <c r="DD214" s="785">
        <v>49369</v>
      </c>
      <c r="DE214" s="19"/>
      <c r="DF214" s="20"/>
      <c r="DG214" s="25"/>
      <c r="DH214" s="19"/>
      <c r="DI214" s="20"/>
      <c r="DJ214" s="25"/>
      <c r="DK214" s="19"/>
      <c r="DL214" s="20"/>
      <c r="DM214" s="19"/>
      <c r="DN214" s="20"/>
      <c r="DO214" s="25"/>
      <c r="DP214" s="19"/>
      <c r="DQ214" s="93"/>
      <c r="DR214" s="20"/>
      <c r="DS214" s="25"/>
      <c r="DT214" s="19"/>
      <c r="DU214" s="93"/>
      <c r="DV214" s="20"/>
      <c r="DW214" s="25"/>
      <c r="DX214" s="19"/>
      <c r="DY214" s="20"/>
      <c r="DZ214" s="25"/>
      <c r="EA214" s="19"/>
      <c r="EB214" s="93"/>
      <c r="EC214" s="93"/>
      <c r="ED214" s="93"/>
      <c r="EE214" s="20"/>
      <c r="EF214" s="25"/>
      <c r="EG214" s="19"/>
      <c r="EH214" s="93"/>
      <c r="EI214" s="93"/>
      <c r="EJ214" s="93"/>
      <c r="EK214" s="20"/>
      <c r="EL214" s="25"/>
      <c r="EM214" s="19"/>
      <c r="EN214" s="93"/>
      <c r="EO214" s="93"/>
      <c r="EP214" s="93"/>
      <c r="EQ214" s="93"/>
      <c r="ER214" s="93"/>
      <c r="ES214" s="93"/>
      <c r="ET214" s="93"/>
      <c r="EU214" s="93"/>
      <c r="EV214" s="20"/>
      <c r="EW214" s="25"/>
      <c r="EX214" s="915"/>
      <c r="EY214" s="916"/>
      <c r="EZ214" s="916"/>
      <c r="FA214" s="916"/>
      <c r="FB214" s="916"/>
      <c r="FC214" s="916"/>
      <c r="FD214" s="916"/>
      <c r="FE214" s="916"/>
      <c r="FF214" s="916"/>
      <c r="FG214" s="917"/>
      <c r="FH214" s="25"/>
      <c r="FI214" s="848">
        <v>49369</v>
      </c>
      <c r="FJ214" s="19"/>
      <c r="FK214" s="93"/>
      <c r="FL214" s="20"/>
      <c r="FM214" s="25"/>
      <c r="FN214" s="19"/>
      <c r="FO214" s="93"/>
      <c r="FP214" s="93"/>
      <c r="FQ214" s="93"/>
      <c r="FR214" s="93"/>
      <c r="FS214" s="93"/>
      <c r="FT214" s="93"/>
      <c r="FU214" s="93"/>
      <c r="FV214" s="93"/>
      <c r="FW214" s="917"/>
      <c r="FX214" s="25"/>
      <c r="FY214" s="916"/>
      <c r="FZ214" s="916"/>
      <c r="GA214" s="916"/>
      <c r="GB214" s="916"/>
      <c r="GC214" s="916"/>
      <c r="GD214" s="916"/>
      <c r="GE214" s="916"/>
      <c r="GF214" s="916"/>
      <c r="GG214" s="916"/>
      <c r="GH214" s="916"/>
      <c r="GI214" s="917"/>
      <c r="GJ214" s="25"/>
      <c r="GK214" s="19"/>
      <c r="GL214" s="20"/>
      <c r="GM214" s="25"/>
      <c r="GN214" s="19"/>
      <c r="GO214" s="20"/>
      <c r="GP214" s="25"/>
      <c r="GQ214" s="19"/>
      <c r="GR214" s="20"/>
      <c r="GS214" s="25"/>
      <c r="GT214" s="848">
        <v>49369</v>
      </c>
      <c r="GU214" s="19"/>
      <c r="GV214" s="93"/>
      <c r="GW214" s="93"/>
      <c r="GX214" s="93"/>
      <c r="GY214" s="93"/>
      <c r="GZ214" s="93"/>
      <c r="HA214" s="93"/>
      <c r="HB214" s="93"/>
      <c r="HC214" s="93"/>
      <c r="HD214" s="93"/>
      <c r="HE214" s="93"/>
      <c r="HF214" s="93"/>
      <c r="HG214" s="93"/>
      <c r="HH214" s="93"/>
      <c r="HI214" s="93"/>
      <c r="HJ214" s="93"/>
      <c r="HK214" s="93"/>
      <c r="HL214" s="93"/>
      <c r="HM214" s="93"/>
      <c r="HN214" s="93"/>
      <c r="HO214" s="93"/>
      <c r="HP214" s="93"/>
      <c r="HQ214" s="93"/>
      <c r="HR214" s="93"/>
      <c r="HS214" s="93"/>
      <c r="HT214" s="93"/>
      <c r="HU214" s="93"/>
      <c r="HV214" s="93"/>
      <c r="HW214" s="93"/>
      <c r="HX214" s="93"/>
      <c r="HY214" s="93"/>
      <c r="HZ214" s="93"/>
      <c r="IA214" s="93"/>
      <c r="IB214" s="93"/>
      <c r="IC214" s="93"/>
      <c r="ID214" s="93"/>
      <c r="IE214" s="93"/>
      <c r="IF214" s="93"/>
      <c r="IG214" s="93"/>
      <c r="IH214" s="93"/>
      <c r="II214" s="93"/>
      <c r="IJ214" s="93"/>
      <c r="IK214" s="93"/>
      <c r="IL214" s="93"/>
      <c r="IM214" s="93"/>
      <c r="IN214" s="93"/>
      <c r="IO214" s="93"/>
      <c r="IP214" s="93"/>
      <c r="IQ214" s="93"/>
      <c r="IR214" s="93"/>
      <c r="IS214" s="93"/>
      <c r="IT214" s="93"/>
      <c r="IU214" s="93"/>
      <c r="IV214" s="93"/>
      <c r="IW214" s="848">
        <v>49369</v>
      </c>
      <c r="IX214" s="93"/>
      <c r="IY214" s="93"/>
      <c r="IZ214" s="93"/>
      <c r="JA214" s="93"/>
      <c r="JB214" s="93"/>
      <c r="JC214" s="93"/>
      <c r="JD214" s="93"/>
      <c r="JE214" s="93"/>
      <c r="JF214" s="93"/>
      <c r="JG214" s="93"/>
      <c r="JH214" s="93"/>
      <c r="JI214" s="93"/>
      <c r="JJ214" s="93"/>
      <c r="JK214" s="93"/>
      <c r="JL214" s="93"/>
      <c r="JM214" s="93"/>
      <c r="JN214" s="93"/>
      <c r="JO214" s="93"/>
      <c r="JP214" s="93"/>
      <c r="JQ214" s="93"/>
      <c r="JR214" s="93"/>
      <c r="JS214" s="93"/>
      <c r="JT214" s="20"/>
      <c r="JU214" s="29"/>
      <c r="JV214" s="19"/>
      <c r="JW214" s="93"/>
      <c r="JX214" s="93"/>
      <c r="JY214" s="93"/>
      <c r="JZ214" s="93"/>
      <c r="KA214" s="93"/>
      <c r="KB214" s="93"/>
      <c r="KC214" s="93"/>
      <c r="KD214" s="93"/>
      <c r="KE214" s="93"/>
      <c r="KF214" s="93"/>
      <c r="KG214" s="93"/>
      <c r="KH214" s="93"/>
      <c r="KI214" s="93"/>
      <c r="KJ214" s="93"/>
      <c r="KK214" s="93"/>
      <c r="KL214" s="93"/>
      <c r="KM214" s="93"/>
      <c r="KN214" s="93"/>
      <c r="KO214" s="93"/>
      <c r="KP214" s="93"/>
      <c r="KQ214" s="93"/>
      <c r="KR214" s="93"/>
      <c r="KS214" s="93"/>
      <c r="KT214" s="93"/>
      <c r="KU214" s="93"/>
      <c r="KV214" s="93"/>
      <c r="KW214" s="20"/>
      <c r="KX214" s="29"/>
      <c r="KY214" s="19"/>
      <c r="KZ214" s="93"/>
      <c r="LA214" s="93"/>
      <c r="LB214" s="93"/>
      <c r="LC214" s="93"/>
      <c r="LD214" s="93"/>
      <c r="LE214" s="93"/>
      <c r="LF214" s="93"/>
      <c r="LG214" s="93"/>
      <c r="LH214" s="93"/>
      <c r="LI214" s="93"/>
      <c r="LJ214" s="93"/>
      <c r="LK214" s="93"/>
      <c r="LL214" s="93"/>
      <c r="LM214" s="93"/>
      <c r="LN214" s="93"/>
      <c r="LO214" s="93"/>
      <c r="LP214" s="93"/>
      <c r="LQ214" s="93"/>
      <c r="LR214" s="93"/>
      <c r="LS214" s="93"/>
      <c r="LT214" s="93"/>
      <c r="LU214" s="93"/>
      <c r="LV214" s="93"/>
      <c r="LW214" s="93"/>
      <c r="LX214" s="93"/>
      <c r="LY214" s="93"/>
      <c r="LZ214" s="93"/>
      <c r="MA214" s="93"/>
      <c r="MB214" s="93"/>
      <c r="MC214" s="93"/>
      <c r="MD214" s="93"/>
      <c r="ME214" s="93"/>
      <c r="MF214" s="93"/>
      <c r="MG214" s="93"/>
      <c r="MH214" s="20"/>
      <c r="MI214" s="29"/>
      <c r="MJ214" s="29" t="str">
        <f t="shared" si="97"/>
        <v>Trimestre 12035</v>
      </c>
      <c r="MK214" s="848">
        <v>49369</v>
      </c>
      <c r="ML214" s="1991"/>
      <c r="MM214" s="1991"/>
      <c r="MN214" s="1991"/>
      <c r="MO214" s="1991"/>
      <c r="MP214" s="1991"/>
      <c r="MQ214" s="1991"/>
      <c r="MR214" s="1991"/>
      <c r="MS214" s="1991"/>
      <c r="MT214" s="1991"/>
      <c r="MU214" s="1991"/>
      <c r="MV214" s="1991"/>
      <c r="MW214" s="1991"/>
      <c r="MX214" s="1991"/>
      <c r="MY214" s="1991"/>
      <c r="MZ214" s="1991"/>
      <c r="NA214" s="1991"/>
      <c r="NB214" s="1991"/>
      <c r="NC214" s="1991"/>
      <c r="ND214" s="1991"/>
      <c r="NE214" s="1991"/>
      <c r="NF214" s="1991"/>
      <c r="NG214" s="1991"/>
      <c r="NH214" s="1991"/>
      <c r="NI214" s="1991"/>
      <c r="NJ214" s="1991"/>
      <c r="NK214" s="1991"/>
      <c r="NL214" s="29"/>
    </row>
    <row r="215" spans="1:376">
      <c r="A215" s="41">
        <f t="shared" si="95"/>
        <v>2035</v>
      </c>
      <c r="B215" s="785">
        <v>49461</v>
      </c>
      <c r="C215" s="19"/>
      <c r="D215" s="93"/>
      <c r="E215" s="93"/>
      <c r="F215" s="93"/>
      <c r="G215" s="93"/>
      <c r="H215" s="93"/>
      <c r="I215" s="93"/>
      <c r="J215" s="93"/>
      <c r="K215" s="93"/>
      <c r="L215" s="93"/>
      <c r="M215" s="20"/>
      <c r="N215" s="25"/>
      <c r="O215" s="889">
        <f t="shared" si="94"/>
        <v>2035</v>
      </c>
      <c r="P215" s="29" t="str">
        <f t="shared" si="96"/>
        <v>Trimestre 22035</v>
      </c>
      <c r="Q215" s="848">
        <v>49461</v>
      </c>
      <c r="R215" s="733"/>
      <c r="S215" s="570"/>
      <c r="T215" s="570"/>
      <c r="U215" s="734"/>
      <c r="V215" s="25"/>
      <c r="W215" s="19"/>
      <c r="X215" s="93"/>
      <c r="Y215" s="93"/>
      <c r="Z215" s="93"/>
      <c r="AA215" s="93"/>
      <c r="AB215" s="93"/>
      <c r="AC215" s="93"/>
      <c r="AD215" s="93"/>
      <c r="AE215" s="20"/>
      <c r="AF215" s="25"/>
      <c r="AG215" s="19"/>
      <c r="AH215" s="93"/>
      <c r="AI215" s="93"/>
      <c r="AJ215" s="93"/>
      <c r="AK215" s="93"/>
      <c r="AL215" s="93"/>
      <c r="AM215" s="93"/>
      <c r="AN215" s="20"/>
      <c r="AO215" s="19"/>
      <c r="AP215" s="93"/>
      <c r="AQ215" s="93"/>
      <c r="AR215" s="93"/>
      <c r="AS215" s="20"/>
      <c r="AT215" s="19"/>
      <c r="AU215" s="93"/>
      <c r="AV215" s="20"/>
      <c r="AW215" s="19"/>
      <c r="AX215" s="93"/>
      <c r="AY215" s="93"/>
      <c r="AZ215" s="93"/>
      <c r="BA215" s="93"/>
      <c r="BB215" s="93"/>
      <c r="BC215" s="20"/>
      <c r="BD215" s="19"/>
      <c r="BE215" s="93"/>
      <c r="BF215" s="93"/>
      <c r="BG215" s="93"/>
      <c r="BH215" s="93"/>
      <c r="BI215" s="93"/>
      <c r="BJ215" s="93"/>
      <c r="BK215" s="20"/>
      <c r="BL215" s="19"/>
      <c r="BM215" s="93"/>
      <c r="BN215" s="93"/>
      <c r="BO215" s="93"/>
      <c r="BP215" s="93"/>
      <c r="BQ215" s="20"/>
      <c r="BR215" s="19"/>
      <c r="BS215" s="93"/>
      <c r="BT215" s="93"/>
      <c r="BU215" s="20"/>
      <c r="BV215" s="19"/>
      <c r="BW215" s="93"/>
      <c r="BX215" s="93"/>
      <c r="BY215" s="93"/>
      <c r="BZ215" s="93"/>
      <c r="CA215" s="93"/>
      <c r="CB215" s="20"/>
      <c r="CC215" s="25"/>
      <c r="CD215" s="19"/>
      <c r="CE215" s="93"/>
      <c r="CF215" s="20"/>
      <c r="CG215" s="25"/>
      <c r="CH215" s="19"/>
      <c r="CI215" s="93"/>
      <c r="CJ215" s="93"/>
      <c r="CK215" s="93"/>
      <c r="CL215" s="93"/>
      <c r="CM215" s="93"/>
      <c r="CN215" s="93"/>
      <c r="CO215" s="93"/>
      <c r="CP215" s="93"/>
      <c r="CQ215" s="93"/>
      <c r="CR215" s="214"/>
      <c r="CS215" s="20"/>
      <c r="CT215" s="25"/>
      <c r="CU215" s="19"/>
      <c r="CV215" s="93"/>
      <c r="CW215" s="93"/>
      <c r="CX215" s="93"/>
      <c r="CY215" s="93"/>
      <c r="CZ215" s="93"/>
      <c r="DA215" s="93"/>
      <c r="DB215" s="20"/>
      <c r="DC215" s="25"/>
      <c r="DD215" s="785">
        <v>49461</v>
      </c>
      <c r="DE215" s="19"/>
      <c r="DF215" s="20"/>
      <c r="DG215" s="25"/>
      <c r="DH215" s="19"/>
      <c r="DI215" s="20"/>
      <c r="DJ215" s="25"/>
      <c r="DK215" s="19"/>
      <c r="DL215" s="20"/>
      <c r="DM215" s="19"/>
      <c r="DN215" s="20"/>
      <c r="DO215" s="25"/>
      <c r="DP215" s="19"/>
      <c r="DQ215" s="93"/>
      <c r="DR215" s="20"/>
      <c r="DS215" s="25"/>
      <c r="DT215" s="19"/>
      <c r="DU215" s="93"/>
      <c r="DV215" s="20"/>
      <c r="DW215" s="25"/>
      <c r="DX215" s="19"/>
      <c r="DY215" s="20"/>
      <c r="DZ215" s="25"/>
      <c r="EA215" s="19"/>
      <c r="EB215" s="93"/>
      <c r="EC215" s="93"/>
      <c r="ED215" s="93"/>
      <c r="EE215" s="20"/>
      <c r="EF215" s="25"/>
      <c r="EG215" s="19"/>
      <c r="EH215" s="93"/>
      <c r="EI215" s="93"/>
      <c r="EJ215" s="93"/>
      <c r="EK215" s="20"/>
      <c r="EL215" s="25"/>
      <c r="EM215" s="19"/>
      <c r="EN215" s="93"/>
      <c r="EO215" s="93"/>
      <c r="EP215" s="93"/>
      <c r="EQ215" s="93"/>
      <c r="ER215" s="93"/>
      <c r="ES215" s="93"/>
      <c r="ET215" s="93"/>
      <c r="EU215" s="93"/>
      <c r="EV215" s="20"/>
      <c r="EW215" s="25"/>
      <c r="EX215" s="915"/>
      <c r="EY215" s="916"/>
      <c r="EZ215" s="916"/>
      <c r="FA215" s="916"/>
      <c r="FB215" s="916"/>
      <c r="FC215" s="916"/>
      <c r="FD215" s="916"/>
      <c r="FE215" s="916"/>
      <c r="FF215" s="916"/>
      <c r="FG215" s="917"/>
      <c r="FH215" s="25"/>
      <c r="FI215" s="848">
        <v>49461</v>
      </c>
      <c r="FJ215" s="19"/>
      <c r="FK215" s="93"/>
      <c r="FL215" s="20"/>
      <c r="FM215" s="25"/>
      <c r="FN215" s="19"/>
      <c r="FO215" s="93"/>
      <c r="FP215" s="93"/>
      <c r="FQ215" s="93"/>
      <c r="FR215" s="93"/>
      <c r="FS215" s="93"/>
      <c r="FT215" s="93"/>
      <c r="FU215" s="93"/>
      <c r="FV215" s="93"/>
      <c r="FW215" s="917"/>
      <c r="FX215" s="25"/>
      <c r="FY215" s="916"/>
      <c r="FZ215" s="916"/>
      <c r="GA215" s="916"/>
      <c r="GB215" s="916"/>
      <c r="GC215" s="916"/>
      <c r="GD215" s="916"/>
      <c r="GE215" s="916"/>
      <c r="GF215" s="916"/>
      <c r="GG215" s="916"/>
      <c r="GH215" s="916"/>
      <c r="GI215" s="917"/>
      <c r="GJ215" s="25"/>
      <c r="GK215" s="19"/>
      <c r="GL215" s="20"/>
      <c r="GM215" s="25"/>
      <c r="GN215" s="19"/>
      <c r="GO215" s="20"/>
      <c r="GP215" s="25"/>
      <c r="GQ215" s="19"/>
      <c r="GR215" s="20"/>
      <c r="GS215" s="25"/>
      <c r="GT215" s="848">
        <v>49461</v>
      </c>
      <c r="GU215" s="19"/>
      <c r="GV215" s="93"/>
      <c r="GW215" s="93"/>
      <c r="GX215" s="93"/>
      <c r="GY215" s="93"/>
      <c r="GZ215" s="93"/>
      <c r="HA215" s="93"/>
      <c r="HB215" s="93"/>
      <c r="HC215" s="93"/>
      <c r="HD215" s="93"/>
      <c r="HE215" s="93"/>
      <c r="HF215" s="93"/>
      <c r="HG215" s="93"/>
      <c r="HH215" s="93"/>
      <c r="HI215" s="93"/>
      <c r="HJ215" s="93"/>
      <c r="HK215" s="93"/>
      <c r="HL215" s="93"/>
      <c r="HM215" s="93"/>
      <c r="HN215" s="93"/>
      <c r="HO215" s="93"/>
      <c r="HP215" s="93"/>
      <c r="HQ215" s="93"/>
      <c r="HR215" s="93"/>
      <c r="HS215" s="93"/>
      <c r="HT215" s="93"/>
      <c r="HU215" s="93"/>
      <c r="HV215" s="93"/>
      <c r="HW215" s="93"/>
      <c r="HX215" s="93"/>
      <c r="HY215" s="93"/>
      <c r="HZ215" s="93"/>
      <c r="IA215" s="93"/>
      <c r="IB215" s="93"/>
      <c r="IC215" s="93"/>
      <c r="ID215" s="93"/>
      <c r="IE215" s="93"/>
      <c r="IF215" s="93"/>
      <c r="IG215" s="93"/>
      <c r="IH215" s="93"/>
      <c r="II215" s="93"/>
      <c r="IJ215" s="93"/>
      <c r="IK215" s="93"/>
      <c r="IL215" s="93"/>
      <c r="IM215" s="93"/>
      <c r="IN215" s="93"/>
      <c r="IO215" s="93"/>
      <c r="IP215" s="93"/>
      <c r="IQ215" s="93"/>
      <c r="IR215" s="93"/>
      <c r="IS215" s="93"/>
      <c r="IT215" s="93"/>
      <c r="IU215" s="93"/>
      <c r="IV215" s="93"/>
      <c r="IW215" s="848">
        <v>49461</v>
      </c>
      <c r="IX215" s="93"/>
      <c r="IY215" s="93"/>
      <c r="IZ215" s="93"/>
      <c r="JA215" s="93"/>
      <c r="JB215" s="93"/>
      <c r="JC215" s="93"/>
      <c r="JD215" s="93"/>
      <c r="JE215" s="93"/>
      <c r="JF215" s="93"/>
      <c r="JG215" s="93"/>
      <c r="JH215" s="93"/>
      <c r="JI215" s="93"/>
      <c r="JJ215" s="93"/>
      <c r="JK215" s="93"/>
      <c r="JL215" s="93"/>
      <c r="JM215" s="93"/>
      <c r="JN215" s="93"/>
      <c r="JO215" s="93"/>
      <c r="JP215" s="93"/>
      <c r="JQ215" s="93"/>
      <c r="JR215" s="93"/>
      <c r="JS215" s="93"/>
      <c r="JT215" s="20"/>
      <c r="JU215" s="29"/>
      <c r="JV215" s="19"/>
      <c r="JW215" s="93"/>
      <c r="JX215" s="93"/>
      <c r="JY215" s="93"/>
      <c r="JZ215" s="93"/>
      <c r="KA215" s="93"/>
      <c r="KB215" s="93"/>
      <c r="KC215" s="93"/>
      <c r="KD215" s="93"/>
      <c r="KE215" s="93"/>
      <c r="KF215" s="93"/>
      <c r="KG215" s="93"/>
      <c r="KH215" s="93"/>
      <c r="KI215" s="93"/>
      <c r="KJ215" s="93"/>
      <c r="KK215" s="93"/>
      <c r="KL215" s="93"/>
      <c r="KM215" s="93"/>
      <c r="KN215" s="93"/>
      <c r="KO215" s="93"/>
      <c r="KP215" s="93"/>
      <c r="KQ215" s="93"/>
      <c r="KR215" s="93"/>
      <c r="KS215" s="93"/>
      <c r="KT215" s="93"/>
      <c r="KU215" s="93"/>
      <c r="KV215" s="93"/>
      <c r="KW215" s="20"/>
      <c r="KX215" s="29"/>
      <c r="KY215" s="19"/>
      <c r="KZ215" s="93"/>
      <c r="LA215" s="93"/>
      <c r="LB215" s="93"/>
      <c r="LC215" s="93"/>
      <c r="LD215" s="93"/>
      <c r="LE215" s="93"/>
      <c r="LF215" s="93"/>
      <c r="LG215" s="93"/>
      <c r="LH215" s="93"/>
      <c r="LI215" s="93"/>
      <c r="LJ215" s="93"/>
      <c r="LK215" s="93"/>
      <c r="LL215" s="93"/>
      <c r="LM215" s="93"/>
      <c r="LN215" s="93"/>
      <c r="LO215" s="93"/>
      <c r="LP215" s="93"/>
      <c r="LQ215" s="93"/>
      <c r="LR215" s="93"/>
      <c r="LS215" s="93"/>
      <c r="LT215" s="93"/>
      <c r="LU215" s="93"/>
      <c r="LV215" s="93"/>
      <c r="LW215" s="93"/>
      <c r="LX215" s="93"/>
      <c r="LY215" s="93"/>
      <c r="LZ215" s="93"/>
      <c r="MA215" s="93"/>
      <c r="MB215" s="93"/>
      <c r="MC215" s="93"/>
      <c r="MD215" s="93"/>
      <c r="ME215" s="93"/>
      <c r="MF215" s="93"/>
      <c r="MG215" s="93"/>
      <c r="MH215" s="20"/>
      <c r="MI215" s="29"/>
      <c r="MJ215" s="29" t="str">
        <f t="shared" si="97"/>
        <v>Trimestre 22035</v>
      </c>
      <c r="MK215" s="848">
        <v>49461</v>
      </c>
      <c r="ML215" s="1991"/>
      <c r="MM215" s="1991"/>
      <c r="MN215" s="1991"/>
      <c r="MO215" s="1991"/>
      <c r="MP215" s="1991"/>
      <c r="MQ215" s="1991"/>
      <c r="MR215" s="1991"/>
      <c r="MS215" s="1991"/>
      <c r="MT215" s="1991"/>
      <c r="MU215" s="1991"/>
      <c r="MV215" s="1991"/>
      <c r="MW215" s="1991"/>
      <c r="MX215" s="1991"/>
      <c r="MY215" s="1991"/>
      <c r="MZ215" s="1991"/>
      <c r="NA215" s="1991"/>
      <c r="NB215" s="1991"/>
      <c r="NC215" s="1991"/>
      <c r="ND215" s="1991"/>
      <c r="NE215" s="1991"/>
      <c r="NF215" s="1991"/>
      <c r="NG215" s="1991"/>
      <c r="NH215" s="1991"/>
      <c r="NI215" s="1991"/>
      <c r="NJ215" s="1991"/>
      <c r="NK215" s="1991"/>
      <c r="NL215" s="29"/>
    </row>
    <row r="216" spans="1:376">
      <c r="A216" s="41">
        <f t="shared" si="95"/>
        <v>2035</v>
      </c>
      <c r="B216" s="785">
        <v>49553</v>
      </c>
      <c r="C216" s="19"/>
      <c r="D216" s="93"/>
      <c r="E216" s="93"/>
      <c r="F216" s="93"/>
      <c r="G216" s="93"/>
      <c r="H216" s="93"/>
      <c r="I216" s="93"/>
      <c r="J216" s="93"/>
      <c r="K216" s="93"/>
      <c r="L216" s="93"/>
      <c r="M216" s="20"/>
      <c r="N216" s="25"/>
      <c r="O216" s="889">
        <f t="shared" si="94"/>
        <v>2035</v>
      </c>
      <c r="P216" s="29" t="str">
        <f t="shared" si="96"/>
        <v>Trimestre 32035</v>
      </c>
      <c r="Q216" s="848">
        <v>49553</v>
      </c>
      <c r="R216" s="733"/>
      <c r="S216" s="570"/>
      <c r="T216" s="570"/>
      <c r="U216" s="734"/>
      <c r="V216" s="25"/>
      <c r="W216" s="19"/>
      <c r="X216" s="93"/>
      <c r="Y216" s="93"/>
      <c r="Z216" s="93"/>
      <c r="AA216" s="93"/>
      <c r="AB216" s="93"/>
      <c r="AC216" s="93"/>
      <c r="AD216" s="93"/>
      <c r="AE216" s="20"/>
      <c r="AF216" s="25"/>
      <c r="AG216" s="19"/>
      <c r="AH216" s="93"/>
      <c r="AI216" s="93"/>
      <c r="AJ216" s="93"/>
      <c r="AK216" s="93"/>
      <c r="AL216" s="93"/>
      <c r="AM216" s="93"/>
      <c r="AN216" s="20"/>
      <c r="AO216" s="19"/>
      <c r="AP216" s="93"/>
      <c r="AQ216" s="93"/>
      <c r="AR216" s="93"/>
      <c r="AS216" s="20"/>
      <c r="AT216" s="19"/>
      <c r="AU216" s="93"/>
      <c r="AV216" s="20"/>
      <c r="AW216" s="19"/>
      <c r="AX216" s="93"/>
      <c r="AY216" s="93"/>
      <c r="AZ216" s="93"/>
      <c r="BA216" s="93"/>
      <c r="BB216" s="93"/>
      <c r="BC216" s="20"/>
      <c r="BD216" s="19"/>
      <c r="BE216" s="93"/>
      <c r="BF216" s="93"/>
      <c r="BG216" s="93"/>
      <c r="BH216" s="93"/>
      <c r="BI216" s="93"/>
      <c r="BJ216" s="93"/>
      <c r="BK216" s="20"/>
      <c r="BL216" s="19"/>
      <c r="BM216" s="93"/>
      <c r="BN216" s="93"/>
      <c r="BO216" s="93"/>
      <c r="BP216" s="93"/>
      <c r="BQ216" s="20"/>
      <c r="BR216" s="19"/>
      <c r="BS216" s="93"/>
      <c r="BT216" s="93"/>
      <c r="BU216" s="20"/>
      <c r="BV216" s="19"/>
      <c r="BW216" s="93"/>
      <c r="BX216" s="93"/>
      <c r="BY216" s="93"/>
      <c r="BZ216" s="93"/>
      <c r="CA216" s="93"/>
      <c r="CB216" s="20"/>
      <c r="CC216" s="25"/>
      <c r="CD216" s="19"/>
      <c r="CE216" s="93"/>
      <c r="CF216" s="20"/>
      <c r="CG216" s="25"/>
      <c r="CH216" s="19"/>
      <c r="CI216" s="93"/>
      <c r="CJ216" s="93"/>
      <c r="CK216" s="93"/>
      <c r="CL216" s="93"/>
      <c r="CM216" s="93"/>
      <c r="CN216" s="93"/>
      <c r="CO216" s="93"/>
      <c r="CP216" s="93"/>
      <c r="CQ216" s="93"/>
      <c r="CR216" s="214"/>
      <c r="CS216" s="20"/>
      <c r="CT216" s="25"/>
      <c r="CU216" s="19"/>
      <c r="CV216" s="93"/>
      <c r="CW216" s="93"/>
      <c r="CX216" s="93"/>
      <c r="CY216" s="93"/>
      <c r="CZ216" s="93"/>
      <c r="DA216" s="93"/>
      <c r="DB216" s="20"/>
      <c r="DC216" s="25"/>
      <c r="DD216" s="785">
        <v>49553</v>
      </c>
      <c r="DE216" s="19"/>
      <c r="DF216" s="20"/>
      <c r="DG216" s="25"/>
      <c r="DH216" s="19"/>
      <c r="DI216" s="20"/>
      <c r="DJ216" s="25"/>
      <c r="DK216" s="19"/>
      <c r="DL216" s="20"/>
      <c r="DM216" s="19"/>
      <c r="DN216" s="20"/>
      <c r="DO216" s="25"/>
      <c r="DP216" s="19"/>
      <c r="DQ216" s="93"/>
      <c r="DR216" s="20"/>
      <c r="DS216" s="25"/>
      <c r="DT216" s="19"/>
      <c r="DU216" s="93"/>
      <c r="DV216" s="20"/>
      <c r="DW216" s="25"/>
      <c r="DX216" s="19"/>
      <c r="DY216" s="20"/>
      <c r="DZ216" s="25"/>
      <c r="EA216" s="19"/>
      <c r="EB216" s="93"/>
      <c r="EC216" s="93"/>
      <c r="ED216" s="93"/>
      <c r="EE216" s="20"/>
      <c r="EF216" s="25"/>
      <c r="EG216" s="19"/>
      <c r="EH216" s="93"/>
      <c r="EI216" s="93"/>
      <c r="EJ216" s="93"/>
      <c r="EK216" s="20"/>
      <c r="EL216" s="25"/>
      <c r="EM216" s="19"/>
      <c r="EN216" s="93"/>
      <c r="EO216" s="93"/>
      <c r="EP216" s="93"/>
      <c r="EQ216" s="93"/>
      <c r="ER216" s="93"/>
      <c r="ES216" s="93"/>
      <c r="ET216" s="93"/>
      <c r="EU216" s="93"/>
      <c r="EV216" s="20"/>
      <c r="EW216" s="25"/>
      <c r="EX216" s="915"/>
      <c r="EY216" s="916"/>
      <c r="EZ216" s="916"/>
      <c r="FA216" s="916"/>
      <c r="FB216" s="916"/>
      <c r="FC216" s="916"/>
      <c r="FD216" s="916"/>
      <c r="FE216" s="916"/>
      <c r="FF216" s="916"/>
      <c r="FG216" s="917"/>
      <c r="FH216" s="25"/>
      <c r="FI216" s="848">
        <v>49553</v>
      </c>
      <c r="FJ216" s="19"/>
      <c r="FK216" s="93"/>
      <c r="FL216" s="20"/>
      <c r="FM216" s="25"/>
      <c r="FN216" s="19"/>
      <c r="FO216" s="93"/>
      <c r="FP216" s="93"/>
      <c r="FQ216" s="93"/>
      <c r="FR216" s="93"/>
      <c r="FS216" s="93"/>
      <c r="FT216" s="93"/>
      <c r="FU216" s="93"/>
      <c r="FV216" s="93"/>
      <c r="FW216" s="917"/>
      <c r="FX216" s="25"/>
      <c r="FY216" s="916"/>
      <c r="FZ216" s="916"/>
      <c r="GA216" s="916"/>
      <c r="GB216" s="916"/>
      <c r="GC216" s="916"/>
      <c r="GD216" s="916"/>
      <c r="GE216" s="916"/>
      <c r="GF216" s="916"/>
      <c r="GG216" s="916"/>
      <c r="GH216" s="916"/>
      <c r="GI216" s="917"/>
      <c r="GJ216" s="25"/>
      <c r="GK216" s="19"/>
      <c r="GL216" s="20"/>
      <c r="GM216" s="25"/>
      <c r="GN216" s="19"/>
      <c r="GO216" s="20"/>
      <c r="GP216" s="25"/>
      <c r="GQ216" s="19"/>
      <c r="GR216" s="20"/>
      <c r="GS216" s="25"/>
      <c r="GT216" s="848">
        <v>49553</v>
      </c>
      <c r="GU216" s="19"/>
      <c r="GV216" s="93"/>
      <c r="GW216" s="93"/>
      <c r="GX216" s="93"/>
      <c r="GY216" s="93"/>
      <c r="GZ216" s="93"/>
      <c r="HA216" s="93"/>
      <c r="HB216" s="93"/>
      <c r="HC216" s="93"/>
      <c r="HD216" s="93"/>
      <c r="HE216" s="93"/>
      <c r="HF216" s="93"/>
      <c r="HG216" s="93"/>
      <c r="HH216" s="93"/>
      <c r="HI216" s="93"/>
      <c r="HJ216" s="93"/>
      <c r="HK216" s="93"/>
      <c r="HL216" s="93"/>
      <c r="HM216" s="93"/>
      <c r="HN216" s="93"/>
      <c r="HO216" s="93"/>
      <c r="HP216" s="93"/>
      <c r="HQ216" s="93"/>
      <c r="HR216" s="93"/>
      <c r="HS216" s="93"/>
      <c r="HT216" s="93"/>
      <c r="HU216" s="93"/>
      <c r="HV216" s="93"/>
      <c r="HW216" s="93"/>
      <c r="HX216" s="93"/>
      <c r="HY216" s="93"/>
      <c r="HZ216" s="93"/>
      <c r="IA216" s="93"/>
      <c r="IB216" s="93"/>
      <c r="IC216" s="93"/>
      <c r="ID216" s="93"/>
      <c r="IE216" s="93"/>
      <c r="IF216" s="93"/>
      <c r="IG216" s="93"/>
      <c r="IH216" s="93"/>
      <c r="II216" s="93"/>
      <c r="IJ216" s="93"/>
      <c r="IK216" s="93"/>
      <c r="IL216" s="93"/>
      <c r="IM216" s="93"/>
      <c r="IN216" s="93"/>
      <c r="IO216" s="93"/>
      <c r="IP216" s="93"/>
      <c r="IQ216" s="93"/>
      <c r="IR216" s="93"/>
      <c r="IS216" s="93"/>
      <c r="IT216" s="93"/>
      <c r="IU216" s="93"/>
      <c r="IV216" s="93"/>
      <c r="IW216" s="848">
        <v>49553</v>
      </c>
      <c r="IX216" s="93"/>
      <c r="IY216" s="93"/>
      <c r="IZ216" s="93"/>
      <c r="JA216" s="93"/>
      <c r="JB216" s="93"/>
      <c r="JC216" s="93"/>
      <c r="JD216" s="93"/>
      <c r="JE216" s="93"/>
      <c r="JF216" s="93"/>
      <c r="JG216" s="93"/>
      <c r="JH216" s="93"/>
      <c r="JI216" s="93"/>
      <c r="JJ216" s="93"/>
      <c r="JK216" s="93"/>
      <c r="JL216" s="93"/>
      <c r="JM216" s="93"/>
      <c r="JN216" s="93"/>
      <c r="JO216" s="93"/>
      <c r="JP216" s="93"/>
      <c r="JQ216" s="93"/>
      <c r="JR216" s="93"/>
      <c r="JS216" s="93"/>
      <c r="JT216" s="20"/>
      <c r="JU216" s="29"/>
      <c r="JV216" s="19"/>
      <c r="JW216" s="93"/>
      <c r="JX216" s="93"/>
      <c r="JY216" s="93"/>
      <c r="JZ216" s="93"/>
      <c r="KA216" s="93"/>
      <c r="KB216" s="93"/>
      <c r="KC216" s="93"/>
      <c r="KD216" s="93"/>
      <c r="KE216" s="93"/>
      <c r="KF216" s="93"/>
      <c r="KG216" s="93"/>
      <c r="KH216" s="93"/>
      <c r="KI216" s="93"/>
      <c r="KJ216" s="93"/>
      <c r="KK216" s="93"/>
      <c r="KL216" s="93"/>
      <c r="KM216" s="93"/>
      <c r="KN216" s="93"/>
      <c r="KO216" s="93"/>
      <c r="KP216" s="93"/>
      <c r="KQ216" s="93"/>
      <c r="KR216" s="93"/>
      <c r="KS216" s="93"/>
      <c r="KT216" s="93"/>
      <c r="KU216" s="93"/>
      <c r="KV216" s="93"/>
      <c r="KW216" s="20"/>
      <c r="KX216" s="29"/>
      <c r="KY216" s="19"/>
      <c r="KZ216" s="93"/>
      <c r="LA216" s="93"/>
      <c r="LB216" s="93"/>
      <c r="LC216" s="93"/>
      <c r="LD216" s="93"/>
      <c r="LE216" s="93"/>
      <c r="LF216" s="93"/>
      <c r="LG216" s="93"/>
      <c r="LH216" s="93"/>
      <c r="LI216" s="93"/>
      <c r="LJ216" s="93"/>
      <c r="LK216" s="93"/>
      <c r="LL216" s="93"/>
      <c r="LM216" s="93"/>
      <c r="LN216" s="93"/>
      <c r="LO216" s="93"/>
      <c r="LP216" s="93"/>
      <c r="LQ216" s="93"/>
      <c r="LR216" s="93"/>
      <c r="LS216" s="93"/>
      <c r="LT216" s="93"/>
      <c r="LU216" s="93"/>
      <c r="LV216" s="93"/>
      <c r="LW216" s="93"/>
      <c r="LX216" s="93"/>
      <c r="LY216" s="93"/>
      <c r="LZ216" s="93"/>
      <c r="MA216" s="93"/>
      <c r="MB216" s="93"/>
      <c r="MC216" s="93"/>
      <c r="MD216" s="93"/>
      <c r="ME216" s="93"/>
      <c r="MF216" s="93"/>
      <c r="MG216" s="93"/>
      <c r="MH216" s="20"/>
      <c r="MI216" s="29"/>
      <c r="MJ216" s="29" t="str">
        <f t="shared" si="97"/>
        <v>Trimestre 32035</v>
      </c>
      <c r="MK216" s="848">
        <v>49553</v>
      </c>
      <c r="ML216" s="1991"/>
      <c r="MM216" s="1991"/>
      <c r="MN216" s="1991"/>
      <c r="MO216" s="1991"/>
      <c r="MP216" s="1991"/>
      <c r="MQ216" s="1991"/>
      <c r="MR216" s="1991"/>
      <c r="MS216" s="1991"/>
      <c r="MT216" s="1991"/>
      <c r="MU216" s="1991"/>
      <c r="MV216" s="1991"/>
      <c r="MW216" s="1991"/>
      <c r="MX216" s="1991"/>
      <c r="MY216" s="1991"/>
      <c r="MZ216" s="1991"/>
      <c r="NA216" s="1991"/>
      <c r="NB216" s="1991"/>
      <c r="NC216" s="1991"/>
      <c r="ND216" s="1991"/>
      <c r="NE216" s="1991"/>
      <c r="NF216" s="1991"/>
      <c r="NG216" s="1991"/>
      <c r="NH216" s="1991"/>
      <c r="NI216" s="1991"/>
      <c r="NJ216" s="1991"/>
      <c r="NK216" s="1991"/>
      <c r="NL216" s="29"/>
    </row>
    <row r="217" spans="1:376">
      <c r="A217" s="41">
        <f t="shared" si="95"/>
        <v>2035</v>
      </c>
      <c r="B217" s="785">
        <v>49644</v>
      </c>
      <c r="C217" s="19"/>
      <c r="D217" s="93"/>
      <c r="E217" s="93"/>
      <c r="F217" s="93"/>
      <c r="G217" s="93"/>
      <c r="H217" s="93"/>
      <c r="I217" s="93"/>
      <c r="J217" s="93"/>
      <c r="K217" s="93"/>
      <c r="L217" s="93"/>
      <c r="M217" s="20"/>
      <c r="N217" s="25"/>
      <c r="O217" s="889">
        <f t="shared" si="94"/>
        <v>2035</v>
      </c>
      <c r="P217" s="29" t="str">
        <f t="shared" si="96"/>
        <v>Trimestre 42035</v>
      </c>
      <c r="Q217" s="848">
        <v>49644</v>
      </c>
      <c r="R217" s="733"/>
      <c r="S217" s="570"/>
      <c r="T217" s="570"/>
      <c r="U217" s="734"/>
      <c r="V217" s="25"/>
      <c r="W217" s="19"/>
      <c r="X217" s="93"/>
      <c r="Y217" s="93"/>
      <c r="Z217" s="93"/>
      <c r="AA217" s="93"/>
      <c r="AB217" s="93"/>
      <c r="AC217" s="93"/>
      <c r="AD217" s="93"/>
      <c r="AE217" s="20"/>
      <c r="AF217" s="25"/>
      <c r="AG217" s="19"/>
      <c r="AH217" s="93"/>
      <c r="AI217" s="93"/>
      <c r="AJ217" s="93"/>
      <c r="AK217" s="93"/>
      <c r="AL217" s="93"/>
      <c r="AM217" s="93"/>
      <c r="AN217" s="20"/>
      <c r="AO217" s="19"/>
      <c r="AP217" s="93"/>
      <c r="AQ217" s="93"/>
      <c r="AR217" s="93"/>
      <c r="AS217" s="20"/>
      <c r="AT217" s="19"/>
      <c r="AU217" s="93"/>
      <c r="AV217" s="20"/>
      <c r="AW217" s="19"/>
      <c r="AX217" s="93"/>
      <c r="AY217" s="93"/>
      <c r="AZ217" s="93"/>
      <c r="BA217" s="93"/>
      <c r="BB217" s="93"/>
      <c r="BC217" s="20"/>
      <c r="BD217" s="19"/>
      <c r="BE217" s="93"/>
      <c r="BF217" s="93"/>
      <c r="BG217" s="93"/>
      <c r="BH217" s="93"/>
      <c r="BI217" s="93"/>
      <c r="BJ217" s="93"/>
      <c r="BK217" s="20"/>
      <c r="BL217" s="19"/>
      <c r="BM217" s="93"/>
      <c r="BN217" s="93"/>
      <c r="BO217" s="93"/>
      <c r="BP217" s="93"/>
      <c r="BQ217" s="20"/>
      <c r="BR217" s="19"/>
      <c r="BS217" s="93"/>
      <c r="BT217" s="93"/>
      <c r="BU217" s="20"/>
      <c r="BV217" s="19"/>
      <c r="BW217" s="93"/>
      <c r="BX217" s="93"/>
      <c r="BY217" s="93"/>
      <c r="BZ217" s="93"/>
      <c r="CA217" s="93"/>
      <c r="CB217" s="20"/>
      <c r="CC217" s="25"/>
      <c r="CD217" s="19"/>
      <c r="CE217" s="93"/>
      <c r="CF217" s="20"/>
      <c r="CG217" s="25"/>
      <c r="CH217" s="19"/>
      <c r="CI217" s="93"/>
      <c r="CJ217" s="93"/>
      <c r="CK217" s="93"/>
      <c r="CL217" s="93"/>
      <c r="CM217" s="93"/>
      <c r="CN217" s="93"/>
      <c r="CO217" s="93"/>
      <c r="CP217" s="93"/>
      <c r="CQ217" s="93"/>
      <c r="CR217" s="214"/>
      <c r="CS217" s="20"/>
      <c r="CT217" s="25"/>
      <c r="CU217" s="19"/>
      <c r="CV217" s="93"/>
      <c r="CW217" s="93"/>
      <c r="CX217" s="93"/>
      <c r="CY217" s="93"/>
      <c r="CZ217" s="93"/>
      <c r="DA217" s="93"/>
      <c r="DB217" s="20"/>
      <c r="DC217" s="25"/>
      <c r="DD217" s="785">
        <v>49644</v>
      </c>
      <c r="DE217" s="19"/>
      <c r="DF217" s="20"/>
      <c r="DG217" s="25"/>
      <c r="DH217" s="19"/>
      <c r="DI217" s="20"/>
      <c r="DJ217" s="25"/>
      <c r="DK217" s="19"/>
      <c r="DL217" s="20"/>
      <c r="DM217" s="19"/>
      <c r="DN217" s="20"/>
      <c r="DO217" s="25"/>
      <c r="DP217" s="19"/>
      <c r="DQ217" s="93"/>
      <c r="DR217" s="20"/>
      <c r="DS217" s="25"/>
      <c r="DT217" s="19"/>
      <c r="DU217" s="93"/>
      <c r="DV217" s="20"/>
      <c r="DW217" s="25"/>
      <c r="DX217" s="19"/>
      <c r="DY217" s="20"/>
      <c r="DZ217" s="25"/>
      <c r="EA217" s="19"/>
      <c r="EB217" s="93"/>
      <c r="EC217" s="93"/>
      <c r="ED217" s="93"/>
      <c r="EE217" s="20"/>
      <c r="EF217" s="25"/>
      <c r="EG217" s="19"/>
      <c r="EH217" s="93"/>
      <c r="EI217" s="93"/>
      <c r="EJ217" s="93"/>
      <c r="EK217" s="20"/>
      <c r="EL217" s="25"/>
      <c r="EM217" s="19"/>
      <c r="EN217" s="93"/>
      <c r="EO217" s="93"/>
      <c r="EP217" s="93"/>
      <c r="EQ217" s="93"/>
      <c r="ER217" s="93"/>
      <c r="ES217" s="93"/>
      <c r="ET217" s="93"/>
      <c r="EU217" s="93"/>
      <c r="EV217" s="20"/>
      <c r="EW217" s="25"/>
      <c r="EX217" s="915"/>
      <c r="EY217" s="916"/>
      <c r="EZ217" s="916"/>
      <c r="FA217" s="916"/>
      <c r="FB217" s="916"/>
      <c r="FC217" s="916"/>
      <c r="FD217" s="916"/>
      <c r="FE217" s="916"/>
      <c r="FF217" s="916"/>
      <c r="FG217" s="917"/>
      <c r="FH217" s="25"/>
      <c r="FI217" s="848">
        <v>49644</v>
      </c>
      <c r="FJ217" s="19"/>
      <c r="FK217" s="93"/>
      <c r="FL217" s="20"/>
      <c r="FM217" s="25"/>
      <c r="FN217" s="19"/>
      <c r="FO217" s="93"/>
      <c r="FP217" s="93"/>
      <c r="FQ217" s="93"/>
      <c r="FR217" s="93"/>
      <c r="FS217" s="93"/>
      <c r="FT217" s="93"/>
      <c r="FU217" s="93"/>
      <c r="FV217" s="93"/>
      <c r="FW217" s="917"/>
      <c r="FX217" s="25"/>
      <c r="FY217" s="916"/>
      <c r="FZ217" s="916"/>
      <c r="GA217" s="916"/>
      <c r="GB217" s="916"/>
      <c r="GC217" s="916"/>
      <c r="GD217" s="916"/>
      <c r="GE217" s="916"/>
      <c r="GF217" s="916"/>
      <c r="GG217" s="916"/>
      <c r="GH217" s="916"/>
      <c r="GI217" s="917"/>
      <c r="GJ217" s="25"/>
      <c r="GK217" s="19"/>
      <c r="GL217" s="20"/>
      <c r="GM217" s="25"/>
      <c r="GN217" s="19"/>
      <c r="GO217" s="20"/>
      <c r="GP217" s="25"/>
      <c r="GQ217" s="19"/>
      <c r="GR217" s="20"/>
      <c r="GS217" s="25"/>
      <c r="GT217" s="848">
        <v>49644</v>
      </c>
      <c r="GU217" s="19"/>
      <c r="GV217" s="93"/>
      <c r="GW217" s="93"/>
      <c r="GX217" s="93"/>
      <c r="GY217" s="93"/>
      <c r="GZ217" s="93"/>
      <c r="HA217" s="93"/>
      <c r="HB217" s="93"/>
      <c r="HC217" s="93"/>
      <c r="HD217" s="93"/>
      <c r="HE217" s="93"/>
      <c r="HF217" s="93"/>
      <c r="HG217" s="93"/>
      <c r="HH217" s="93"/>
      <c r="HI217" s="93"/>
      <c r="HJ217" s="93"/>
      <c r="HK217" s="93"/>
      <c r="HL217" s="93"/>
      <c r="HM217" s="93"/>
      <c r="HN217" s="93"/>
      <c r="HO217" s="93"/>
      <c r="HP217" s="93"/>
      <c r="HQ217" s="93"/>
      <c r="HR217" s="93"/>
      <c r="HS217" s="93"/>
      <c r="HT217" s="93"/>
      <c r="HU217" s="93"/>
      <c r="HV217" s="93"/>
      <c r="HW217" s="93"/>
      <c r="HX217" s="93"/>
      <c r="HY217" s="93"/>
      <c r="HZ217" s="93"/>
      <c r="IA217" s="93"/>
      <c r="IB217" s="93"/>
      <c r="IC217" s="93"/>
      <c r="ID217" s="93"/>
      <c r="IE217" s="93"/>
      <c r="IF217" s="93"/>
      <c r="IG217" s="93"/>
      <c r="IH217" s="93"/>
      <c r="II217" s="93"/>
      <c r="IJ217" s="93"/>
      <c r="IK217" s="93"/>
      <c r="IL217" s="93"/>
      <c r="IM217" s="93"/>
      <c r="IN217" s="93"/>
      <c r="IO217" s="93"/>
      <c r="IP217" s="93"/>
      <c r="IQ217" s="93"/>
      <c r="IR217" s="93"/>
      <c r="IS217" s="93"/>
      <c r="IT217" s="93"/>
      <c r="IU217" s="93"/>
      <c r="IV217" s="93"/>
      <c r="IW217" s="848">
        <v>49644</v>
      </c>
      <c r="IX217" s="93"/>
      <c r="IY217" s="93"/>
      <c r="IZ217" s="93"/>
      <c r="JA217" s="93"/>
      <c r="JB217" s="93"/>
      <c r="JC217" s="93"/>
      <c r="JD217" s="93"/>
      <c r="JE217" s="93"/>
      <c r="JF217" s="93"/>
      <c r="JG217" s="93"/>
      <c r="JH217" s="93"/>
      <c r="JI217" s="93"/>
      <c r="JJ217" s="93"/>
      <c r="JK217" s="93"/>
      <c r="JL217" s="93"/>
      <c r="JM217" s="93"/>
      <c r="JN217" s="93"/>
      <c r="JO217" s="93"/>
      <c r="JP217" s="93"/>
      <c r="JQ217" s="93"/>
      <c r="JR217" s="93"/>
      <c r="JS217" s="93"/>
      <c r="JT217" s="20"/>
      <c r="JU217" s="29"/>
      <c r="JV217" s="19"/>
      <c r="JW217" s="93"/>
      <c r="JX217" s="93"/>
      <c r="JY217" s="93"/>
      <c r="JZ217" s="93"/>
      <c r="KA217" s="93"/>
      <c r="KB217" s="93"/>
      <c r="KC217" s="93"/>
      <c r="KD217" s="93"/>
      <c r="KE217" s="93"/>
      <c r="KF217" s="93"/>
      <c r="KG217" s="93"/>
      <c r="KH217" s="93"/>
      <c r="KI217" s="93"/>
      <c r="KJ217" s="93"/>
      <c r="KK217" s="93"/>
      <c r="KL217" s="93"/>
      <c r="KM217" s="93"/>
      <c r="KN217" s="93"/>
      <c r="KO217" s="93"/>
      <c r="KP217" s="93"/>
      <c r="KQ217" s="93"/>
      <c r="KR217" s="93"/>
      <c r="KS217" s="93"/>
      <c r="KT217" s="93"/>
      <c r="KU217" s="93"/>
      <c r="KV217" s="93"/>
      <c r="KW217" s="20"/>
      <c r="KX217" s="29"/>
      <c r="KY217" s="19"/>
      <c r="KZ217" s="93"/>
      <c r="LA217" s="93"/>
      <c r="LB217" s="93"/>
      <c r="LC217" s="93"/>
      <c r="LD217" s="93"/>
      <c r="LE217" s="93"/>
      <c r="LF217" s="93"/>
      <c r="LG217" s="93"/>
      <c r="LH217" s="93"/>
      <c r="LI217" s="93"/>
      <c r="LJ217" s="93"/>
      <c r="LK217" s="93"/>
      <c r="LL217" s="93"/>
      <c r="LM217" s="93"/>
      <c r="LN217" s="93"/>
      <c r="LO217" s="93"/>
      <c r="LP217" s="93"/>
      <c r="LQ217" s="93"/>
      <c r="LR217" s="93"/>
      <c r="LS217" s="93"/>
      <c r="LT217" s="93"/>
      <c r="LU217" s="93"/>
      <c r="LV217" s="93"/>
      <c r="LW217" s="93"/>
      <c r="LX217" s="93"/>
      <c r="LY217" s="93"/>
      <c r="LZ217" s="93"/>
      <c r="MA217" s="93"/>
      <c r="MB217" s="93"/>
      <c r="MC217" s="93"/>
      <c r="MD217" s="93"/>
      <c r="ME217" s="93"/>
      <c r="MF217" s="93"/>
      <c r="MG217" s="93"/>
      <c r="MH217" s="20"/>
      <c r="MI217" s="29"/>
      <c r="MJ217" s="29" t="str">
        <f t="shared" si="97"/>
        <v>Trimestre 42035</v>
      </c>
      <c r="MK217" s="848">
        <v>49644</v>
      </c>
      <c r="ML217" s="1991"/>
      <c r="MM217" s="1991"/>
      <c r="MN217" s="1991"/>
      <c r="MO217" s="1991"/>
      <c r="MP217" s="1991"/>
      <c r="MQ217" s="1991"/>
      <c r="MR217" s="1991"/>
      <c r="MS217" s="1991"/>
      <c r="MT217" s="1991"/>
      <c r="MU217" s="1991"/>
      <c r="MV217" s="1991"/>
      <c r="MW217" s="1991"/>
      <c r="MX217" s="1991"/>
      <c r="MY217" s="1991"/>
      <c r="MZ217" s="1991"/>
      <c r="NA217" s="1991"/>
      <c r="NB217" s="1991"/>
      <c r="NC217" s="1991"/>
      <c r="ND217" s="1991"/>
      <c r="NE217" s="1991"/>
      <c r="NF217" s="1991"/>
      <c r="NG217" s="1991"/>
      <c r="NH217" s="1991"/>
      <c r="NI217" s="1991"/>
      <c r="NJ217" s="1991"/>
      <c r="NK217" s="1991"/>
      <c r="NL217" s="29"/>
    </row>
    <row r="218" spans="1:376">
      <c r="A218" s="41">
        <f t="shared" si="95"/>
        <v>2036</v>
      </c>
      <c r="B218" s="785">
        <v>49735</v>
      </c>
      <c r="C218" s="19"/>
      <c r="D218" s="93"/>
      <c r="E218" s="93"/>
      <c r="F218" s="93"/>
      <c r="G218" s="93"/>
      <c r="H218" s="93"/>
      <c r="I218" s="93"/>
      <c r="J218" s="93"/>
      <c r="K218" s="93"/>
      <c r="L218" s="93"/>
      <c r="M218" s="20"/>
      <c r="N218" s="25"/>
      <c r="O218" s="889">
        <f t="shared" si="94"/>
        <v>2036</v>
      </c>
      <c r="P218" s="29" t="str">
        <f t="shared" si="96"/>
        <v>Trimestre 12036</v>
      </c>
      <c r="Q218" s="848">
        <v>49735</v>
      </c>
      <c r="R218" s="733"/>
      <c r="S218" s="570"/>
      <c r="T218" s="570"/>
      <c r="U218" s="734"/>
      <c r="V218" s="25"/>
      <c r="W218" s="19"/>
      <c r="X218" s="93"/>
      <c r="Y218" s="93"/>
      <c r="Z218" s="93"/>
      <c r="AA218" s="93"/>
      <c r="AB218" s="93"/>
      <c r="AC218" s="93"/>
      <c r="AD218" s="93"/>
      <c r="AE218" s="20"/>
      <c r="AF218" s="25"/>
      <c r="AG218" s="19"/>
      <c r="AH218" s="93"/>
      <c r="AI218" s="93"/>
      <c r="AJ218" s="93"/>
      <c r="AK218" s="93"/>
      <c r="AL218" s="93"/>
      <c r="AM218" s="93"/>
      <c r="AN218" s="20"/>
      <c r="AO218" s="19"/>
      <c r="AP218" s="93"/>
      <c r="AQ218" s="93"/>
      <c r="AR218" s="93"/>
      <c r="AS218" s="20"/>
      <c r="AT218" s="19"/>
      <c r="AU218" s="93"/>
      <c r="AV218" s="20"/>
      <c r="AW218" s="19"/>
      <c r="AX218" s="93"/>
      <c r="AY218" s="93"/>
      <c r="AZ218" s="93"/>
      <c r="BA218" s="93"/>
      <c r="BB218" s="93"/>
      <c r="BC218" s="20"/>
      <c r="BD218" s="19"/>
      <c r="BE218" s="93"/>
      <c r="BF218" s="93"/>
      <c r="BG218" s="93"/>
      <c r="BH218" s="93"/>
      <c r="BI218" s="93"/>
      <c r="BJ218" s="93"/>
      <c r="BK218" s="20"/>
      <c r="BL218" s="19"/>
      <c r="BM218" s="93"/>
      <c r="BN218" s="93"/>
      <c r="BO218" s="93"/>
      <c r="BP218" s="93"/>
      <c r="BQ218" s="20"/>
      <c r="BR218" s="19"/>
      <c r="BS218" s="93"/>
      <c r="BT218" s="93"/>
      <c r="BU218" s="20"/>
      <c r="BV218" s="19"/>
      <c r="BW218" s="93"/>
      <c r="BX218" s="93"/>
      <c r="BY218" s="93"/>
      <c r="BZ218" s="93"/>
      <c r="CA218" s="93"/>
      <c r="CB218" s="20"/>
      <c r="CC218" s="25"/>
      <c r="CD218" s="19"/>
      <c r="CE218" s="93"/>
      <c r="CF218" s="20"/>
      <c r="CG218" s="25"/>
      <c r="CH218" s="19"/>
      <c r="CI218" s="93"/>
      <c r="CJ218" s="93"/>
      <c r="CK218" s="93"/>
      <c r="CL218" s="93"/>
      <c r="CM218" s="93"/>
      <c r="CN218" s="93"/>
      <c r="CO218" s="93"/>
      <c r="CP218" s="93"/>
      <c r="CQ218" s="93"/>
      <c r="CR218" s="214"/>
      <c r="CS218" s="20"/>
      <c r="CT218" s="25"/>
      <c r="CU218" s="19"/>
      <c r="CV218" s="93"/>
      <c r="CW218" s="93"/>
      <c r="CX218" s="93"/>
      <c r="CY218" s="93"/>
      <c r="CZ218" s="93"/>
      <c r="DA218" s="93"/>
      <c r="DB218" s="20"/>
      <c r="DC218" s="25"/>
      <c r="DD218" s="785">
        <v>49735</v>
      </c>
      <c r="DE218" s="19"/>
      <c r="DF218" s="20"/>
      <c r="DG218" s="25"/>
      <c r="DH218" s="19"/>
      <c r="DI218" s="20"/>
      <c r="DJ218" s="25"/>
      <c r="DK218" s="19"/>
      <c r="DL218" s="20"/>
      <c r="DM218" s="19"/>
      <c r="DN218" s="20"/>
      <c r="DO218" s="25"/>
      <c r="DP218" s="19"/>
      <c r="DQ218" s="93"/>
      <c r="DR218" s="20"/>
      <c r="DS218" s="25"/>
      <c r="DT218" s="19"/>
      <c r="DU218" s="93"/>
      <c r="DV218" s="20"/>
      <c r="DW218" s="25"/>
      <c r="DX218" s="19"/>
      <c r="DY218" s="20"/>
      <c r="DZ218" s="25"/>
      <c r="EA218" s="19"/>
      <c r="EB218" s="93"/>
      <c r="EC218" s="93"/>
      <c r="ED218" s="93"/>
      <c r="EE218" s="20"/>
      <c r="EF218" s="25"/>
      <c r="EG218" s="19"/>
      <c r="EH218" s="93"/>
      <c r="EI218" s="93"/>
      <c r="EJ218" s="93"/>
      <c r="EK218" s="20"/>
      <c r="EL218" s="25"/>
      <c r="EM218" s="19"/>
      <c r="EN218" s="93"/>
      <c r="EO218" s="93"/>
      <c r="EP218" s="93"/>
      <c r="EQ218" s="93"/>
      <c r="ER218" s="93"/>
      <c r="ES218" s="93"/>
      <c r="ET218" s="93"/>
      <c r="EU218" s="93"/>
      <c r="EV218" s="20"/>
      <c r="EW218" s="25"/>
      <c r="EX218" s="915"/>
      <c r="EY218" s="916"/>
      <c r="EZ218" s="916"/>
      <c r="FA218" s="916"/>
      <c r="FB218" s="916"/>
      <c r="FC218" s="916"/>
      <c r="FD218" s="916"/>
      <c r="FE218" s="916"/>
      <c r="FF218" s="916"/>
      <c r="FG218" s="917"/>
      <c r="FH218" s="25"/>
      <c r="FI218" s="848">
        <v>49735</v>
      </c>
      <c r="FJ218" s="19"/>
      <c r="FK218" s="93"/>
      <c r="FL218" s="20"/>
      <c r="FM218" s="25"/>
      <c r="FN218" s="19"/>
      <c r="FO218" s="93"/>
      <c r="FP218" s="93"/>
      <c r="FQ218" s="93"/>
      <c r="FR218" s="93"/>
      <c r="FS218" s="93"/>
      <c r="FT218" s="93"/>
      <c r="FU218" s="93"/>
      <c r="FV218" s="93"/>
      <c r="FW218" s="917"/>
      <c r="FX218" s="25"/>
      <c r="FY218" s="916"/>
      <c r="FZ218" s="916"/>
      <c r="GA218" s="916"/>
      <c r="GB218" s="916"/>
      <c r="GC218" s="916"/>
      <c r="GD218" s="916"/>
      <c r="GE218" s="916"/>
      <c r="GF218" s="916"/>
      <c r="GG218" s="916"/>
      <c r="GH218" s="916"/>
      <c r="GI218" s="917"/>
      <c r="GJ218" s="25"/>
      <c r="GK218" s="19"/>
      <c r="GL218" s="20"/>
      <c r="GM218" s="25"/>
      <c r="GN218" s="19"/>
      <c r="GO218" s="20"/>
      <c r="GP218" s="25"/>
      <c r="GQ218" s="19"/>
      <c r="GR218" s="20"/>
      <c r="GS218" s="25"/>
      <c r="GT218" s="848">
        <v>49735</v>
      </c>
      <c r="GU218" s="19"/>
      <c r="GV218" s="93"/>
      <c r="GW218" s="93"/>
      <c r="GX218" s="93"/>
      <c r="GY218" s="93"/>
      <c r="GZ218" s="93"/>
      <c r="HA218" s="93"/>
      <c r="HB218" s="93"/>
      <c r="HC218" s="93"/>
      <c r="HD218" s="93"/>
      <c r="HE218" s="93"/>
      <c r="HF218" s="93"/>
      <c r="HG218" s="93"/>
      <c r="HH218" s="93"/>
      <c r="HI218" s="93"/>
      <c r="HJ218" s="93"/>
      <c r="HK218" s="93"/>
      <c r="HL218" s="93"/>
      <c r="HM218" s="93"/>
      <c r="HN218" s="93"/>
      <c r="HO218" s="93"/>
      <c r="HP218" s="93"/>
      <c r="HQ218" s="93"/>
      <c r="HR218" s="93"/>
      <c r="HS218" s="93"/>
      <c r="HT218" s="93"/>
      <c r="HU218" s="93"/>
      <c r="HV218" s="93"/>
      <c r="HW218" s="93"/>
      <c r="HX218" s="93"/>
      <c r="HY218" s="93"/>
      <c r="HZ218" s="93"/>
      <c r="IA218" s="93"/>
      <c r="IB218" s="93"/>
      <c r="IC218" s="93"/>
      <c r="ID218" s="93"/>
      <c r="IE218" s="93"/>
      <c r="IF218" s="93"/>
      <c r="IG218" s="93"/>
      <c r="IH218" s="93"/>
      <c r="II218" s="93"/>
      <c r="IJ218" s="93"/>
      <c r="IK218" s="93"/>
      <c r="IL218" s="93"/>
      <c r="IM218" s="93"/>
      <c r="IN218" s="93"/>
      <c r="IO218" s="93"/>
      <c r="IP218" s="93"/>
      <c r="IQ218" s="93"/>
      <c r="IR218" s="93"/>
      <c r="IS218" s="93"/>
      <c r="IT218" s="93"/>
      <c r="IU218" s="93"/>
      <c r="IV218" s="93"/>
      <c r="IW218" s="848">
        <v>49735</v>
      </c>
      <c r="IX218" s="93"/>
      <c r="IY218" s="93"/>
      <c r="IZ218" s="93"/>
      <c r="JA218" s="93"/>
      <c r="JB218" s="93"/>
      <c r="JC218" s="93"/>
      <c r="JD218" s="93"/>
      <c r="JE218" s="93"/>
      <c r="JF218" s="93"/>
      <c r="JG218" s="93"/>
      <c r="JH218" s="93"/>
      <c r="JI218" s="93"/>
      <c r="JJ218" s="93"/>
      <c r="JK218" s="93"/>
      <c r="JL218" s="93"/>
      <c r="JM218" s="93"/>
      <c r="JN218" s="93"/>
      <c r="JO218" s="93"/>
      <c r="JP218" s="93"/>
      <c r="JQ218" s="93"/>
      <c r="JR218" s="93"/>
      <c r="JS218" s="93"/>
      <c r="JT218" s="20"/>
      <c r="JU218" s="29"/>
      <c r="JV218" s="19"/>
      <c r="JW218" s="93"/>
      <c r="JX218" s="93"/>
      <c r="JY218" s="93"/>
      <c r="JZ218" s="93"/>
      <c r="KA218" s="93"/>
      <c r="KB218" s="93"/>
      <c r="KC218" s="93"/>
      <c r="KD218" s="93"/>
      <c r="KE218" s="93"/>
      <c r="KF218" s="93"/>
      <c r="KG218" s="93"/>
      <c r="KH218" s="93"/>
      <c r="KI218" s="93"/>
      <c r="KJ218" s="93"/>
      <c r="KK218" s="93"/>
      <c r="KL218" s="93"/>
      <c r="KM218" s="93"/>
      <c r="KN218" s="93"/>
      <c r="KO218" s="93"/>
      <c r="KP218" s="93"/>
      <c r="KQ218" s="93"/>
      <c r="KR218" s="93"/>
      <c r="KS218" s="93"/>
      <c r="KT218" s="93"/>
      <c r="KU218" s="93"/>
      <c r="KV218" s="93"/>
      <c r="KW218" s="20"/>
      <c r="KX218" s="29"/>
      <c r="KY218" s="19"/>
      <c r="KZ218" s="93"/>
      <c r="LA218" s="93"/>
      <c r="LB218" s="93"/>
      <c r="LC218" s="93"/>
      <c r="LD218" s="93"/>
      <c r="LE218" s="93"/>
      <c r="LF218" s="93"/>
      <c r="LG218" s="93"/>
      <c r="LH218" s="93"/>
      <c r="LI218" s="93"/>
      <c r="LJ218" s="93"/>
      <c r="LK218" s="93"/>
      <c r="LL218" s="93"/>
      <c r="LM218" s="93"/>
      <c r="LN218" s="93"/>
      <c r="LO218" s="93"/>
      <c r="LP218" s="93"/>
      <c r="LQ218" s="93"/>
      <c r="LR218" s="93"/>
      <c r="LS218" s="93"/>
      <c r="LT218" s="93"/>
      <c r="LU218" s="93"/>
      <c r="LV218" s="93"/>
      <c r="LW218" s="93"/>
      <c r="LX218" s="93"/>
      <c r="LY218" s="93"/>
      <c r="LZ218" s="93"/>
      <c r="MA218" s="93"/>
      <c r="MB218" s="93"/>
      <c r="MC218" s="93"/>
      <c r="MD218" s="93"/>
      <c r="ME218" s="93"/>
      <c r="MF218" s="93"/>
      <c r="MG218" s="93"/>
      <c r="MH218" s="20"/>
      <c r="MI218" s="29"/>
      <c r="MJ218" s="29" t="str">
        <f t="shared" si="97"/>
        <v>Trimestre 12036</v>
      </c>
      <c r="MK218" s="848">
        <v>49735</v>
      </c>
      <c r="ML218" s="1991"/>
      <c r="MM218" s="1991"/>
      <c r="MN218" s="1991"/>
      <c r="MO218" s="1991"/>
      <c r="MP218" s="1991"/>
      <c r="MQ218" s="1991"/>
      <c r="MR218" s="1991"/>
      <c r="MS218" s="1991"/>
      <c r="MT218" s="1991"/>
      <c r="MU218" s="1991"/>
      <c r="MV218" s="1991"/>
      <c r="MW218" s="1991"/>
      <c r="MX218" s="1991"/>
      <c r="MY218" s="1991"/>
      <c r="MZ218" s="1991"/>
      <c r="NA218" s="1991"/>
      <c r="NB218" s="1991"/>
      <c r="NC218" s="1991"/>
      <c r="ND218" s="1991"/>
      <c r="NE218" s="1991"/>
      <c r="NF218" s="1991"/>
      <c r="NG218" s="1991"/>
      <c r="NH218" s="1991"/>
      <c r="NI218" s="1991"/>
      <c r="NJ218" s="1991"/>
      <c r="NK218" s="1991"/>
      <c r="NL218" s="29"/>
    </row>
    <row r="219" spans="1:376">
      <c r="A219" s="41">
        <f t="shared" si="95"/>
        <v>2036</v>
      </c>
      <c r="B219" s="785">
        <v>49827</v>
      </c>
      <c r="C219" s="19"/>
      <c r="D219" s="93"/>
      <c r="E219" s="93"/>
      <c r="F219" s="93"/>
      <c r="G219" s="93"/>
      <c r="H219" s="93"/>
      <c r="I219" s="93"/>
      <c r="J219" s="93"/>
      <c r="K219" s="93"/>
      <c r="L219" s="93"/>
      <c r="M219" s="20"/>
      <c r="N219" s="25"/>
      <c r="O219" s="889">
        <f t="shared" si="94"/>
        <v>2036</v>
      </c>
      <c r="P219" s="29" t="str">
        <f t="shared" si="96"/>
        <v>Trimestre 22036</v>
      </c>
      <c r="Q219" s="848">
        <v>49827</v>
      </c>
      <c r="R219" s="733"/>
      <c r="S219" s="570"/>
      <c r="T219" s="570"/>
      <c r="U219" s="734"/>
      <c r="V219" s="25"/>
      <c r="W219" s="19"/>
      <c r="X219" s="93"/>
      <c r="Y219" s="93"/>
      <c r="Z219" s="93"/>
      <c r="AA219" s="93"/>
      <c r="AB219" s="93"/>
      <c r="AC219" s="93"/>
      <c r="AD219" s="93"/>
      <c r="AE219" s="20"/>
      <c r="AF219" s="25"/>
      <c r="AG219" s="19"/>
      <c r="AH219" s="93"/>
      <c r="AI219" s="93"/>
      <c r="AJ219" s="93"/>
      <c r="AK219" s="93"/>
      <c r="AL219" s="93"/>
      <c r="AM219" s="93"/>
      <c r="AN219" s="20"/>
      <c r="AO219" s="19"/>
      <c r="AP219" s="93"/>
      <c r="AQ219" s="93"/>
      <c r="AR219" s="93"/>
      <c r="AS219" s="20"/>
      <c r="AT219" s="19"/>
      <c r="AU219" s="93"/>
      <c r="AV219" s="20"/>
      <c r="AW219" s="19"/>
      <c r="AX219" s="93"/>
      <c r="AY219" s="93"/>
      <c r="AZ219" s="93"/>
      <c r="BA219" s="93"/>
      <c r="BB219" s="93"/>
      <c r="BC219" s="20"/>
      <c r="BD219" s="19"/>
      <c r="BE219" s="93"/>
      <c r="BF219" s="93"/>
      <c r="BG219" s="93"/>
      <c r="BH219" s="93"/>
      <c r="BI219" s="93"/>
      <c r="BJ219" s="93"/>
      <c r="BK219" s="20"/>
      <c r="BL219" s="19"/>
      <c r="BM219" s="93"/>
      <c r="BN219" s="93"/>
      <c r="BO219" s="93"/>
      <c r="BP219" s="93"/>
      <c r="BQ219" s="20"/>
      <c r="BR219" s="19"/>
      <c r="BS219" s="93"/>
      <c r="BT219" s="93"/>
      <c r="BU219" s="20"/>
      <c r="BV219" s="19"/>
      <c r="BW219" s="93"/>
      <c r="BX219" s="93"/>
      <c r="BY219" s="93"/>
      <c r="BZ219" s="93"/>
      <c r="CA219" s="93"/>
      <c r="CB219" s="20"/>
      <c r="CC219" s="25"/>
      <c r="CD219" s="19"/>
      <c r="CE219" s="93"/>
      <c r="CF219" s="20"/>
      <c r="CG219" s="25"/>
      <c r="CH219" s="19"/>
      <c r="CI219" s="93"/>
      <c r="CJ219" s="93"/>
      <c r="CK219" s="93"/>
      <c r="CL219" s="93"/>
      <c r="CM219" s="93"/>
      <c r="CN219" s="93"/>
      <c r="CO219" s="93"/>
      <c r="CP219" s="93"/>
      <c r="CQ219" s="93"/>
      <c r="CR219" s="214"/>
      <c r="CS219" s="20"/>
      <c r="CT219" s="25"/>
      <c r="CU219" s="19"/>
      <c r="CV219" s="93"/>
      <c r="CW219" s="93"/>
      <c r="CX219" s="93"/>
      <c r="CY219" s="93"/>
      <c r="CZ219" s="93"/>
      <c r="DA219" s="93"/>
      <c r="DB219" s="20"/>
      <c r="DC219" s="25"/>
      <c r="DD219" s="785">
        <v>49827</v>
      </c>
      <c r="DE219" s="19"/>
      <c r="DF219" s="20"/>
      <c r="DG219" s="25"/>
      <c r="DH219" s="19"/>
      <c r="DI219" s="20"/>
      <c r="DJ219" s="25"/>
      <c r="DK219" s="19"/>
      <c r="DL219" s="20"/>
      <c r="DM219" s="19"/>
      <c r="DN219" s="20"/>
      <c r="DO219" s="25"/>
      <c r="DP219" s="19"/>
      <c r="DQ219" s="93"/>
      <c r="DR219" s="20"/>
      <c r="DS219" s="25"/>
      <c r="DT219" s="19"/>
      <c r="DU219" s="93"/>
      <c r="DV219" s="20"/>
      <c r="DW219" s="25"/>
      <c r="DX219" s="19"/>
      <c r="DY219" s="20"/>
      <c r="DZ219" s="25"/>
      <c r="EA219" s="19"/>
      <c r="EB219" s="93"/>
      <c r="EC219" s="93"/>
      <c r="ED219" s="93"/>
      <c r="EE219" s="20"/>
      <c r="EF219" s="25"/>
      <c r="EG219" s="19"/>
      <c r="EH219" s="93"/>
      <c r="EI219" s="93"/>
      <c r="EJ219" s="93"/>
      <c r="EK219" s="20"/>
      <c r="EL219" s="25"/>
      <c r="EM219" s="19"/>
      <c r="EN219" s="93"/>
      <c r="EO219" s="93"/>
      <c r="EP219" s="93"/>
      <c r="EQ219" s="93"/>
      <c r="ER219" s="93"/>
      <c r="ES219" s="93"/>
      <c r="ET219" s="93"/>
      <c r="EU219" s="93"/>
      <c r="EV219" s="20"/>
      <c r="EW219" s="25"/>
      <c r="EX219" s="915"/>
      <c r="EY219" s="916"/>
      <c r="EZ219" s="916"/>
      <c r="FA219" s="916"/>
      <c r="FB219" s="916"/>
      <c r="FC219" s="916"/>
      <c r="FD219" s="916"/>
      <c r="FE219" s="916"/>
      <c r="FF219" s="916"/>
      <c r="FG219" s="917"/>
      <c r="FH219" s="25"/>
      <c r="FI219" s="848">
        <v>49827</v>
      </c>
      <c r="FJ219" s="19"/>
      <c r="FK219" s="93"/>
      <c r="FL219" s="20"/>
      <c r="FM219" s="25"/>
      <c r="FN219" s="19"/>
      <c r="FO219" s="93"/>
      <c r="FP219" s="93"/>
      <c r="FQ219" s="93"/>
      <c r="FR219" s="93"/>
      <c r="FS219" s="93"/>
      <c r="FT219" s="93"/>
      <c r="FU219" s="93"/>
      <c r="FV219" s="93"/>
      <c r="FW219" s="917"/>
      <c r="FX219" s="25"/>
      <c r="FY219" s="916"/>
      <c r="FZ219" s="916"/>
      <c r="GA219" s="916"/>
      <c r="GB219" s="916"/>
      <c r="GC219" s="916"/>
      <c r="GD219" s="916"/>
      <c r="GE219" s="916"/>
      <c r="GF219" s="916"/>
      <c r="GG219" s="916"/>
      <c r="GH219" s="916"/>
      <c r="GI219" s="917"/>
      <c r="GJ219" s="25"/>
      <c r="GK219" s="19"/>
      <c r="GL219" s="20"/>
      <c r="GM219" s="25"/>
      <c r="GN219" s="19"/>
      <c r="GO219" s="20"/>
      <c r="GP219" s="25"/>
      <c r="GQ219" s="19"/>
      <c r="GR219" s="20"/>
      <c r="GS219" s="25"/>
      <c r="GT219" s="848">
        <v>49827</v>
      </c>
      <c r="GU219" s="19"/>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848">
        <v>49827</v>
      </c>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20"/>
      <c r="JU219" s="29"/>
      <c r="JV219" s="19"/>
      <c r="JW219" s="93"/>
      <c r="JX219" s="93"/>
      <c r="JY219" s="93"/>
      <c r="JZ219" s="93"/>
      <c r="KA219" s="93"/>
      <c r="KB219" s="93"/>
      <c r="KC219" s="93"/>
      <c r="KD219" s="93"/>
      <c r="KE219" s="93"/>
      <c r="KF219" s="93"/>
      <c r="KG219" s="93"/>
      <c r="KH219" s="93"/>
      <c r="KI219" s="93"/>
      <c r="KJ219" s="93"/>
      <c r="KK219" s="93"/>
      <c r="KL219" s="93"/>
      <c r="KM219" s="93"/>
      <c r="KN219" s="93"/>
      <c r="KO219" s="93"/>
      <c r="KP219" s="93"/>
      <c r="KQ219" s="93"/>
      <c r="KR219" s="93"/>
      <c r="KS219" s="93"/>
      <c r="KT219" s="93"/>
      <c r="KU219" s="93"/>
      <c r="KV219" s="93"/>
      <c r="KW219" s="20"/>
      <c r="KX219" s="29"/>
      <c r="KY219" s="19"/>
      <c r="KZ219" s="93"/>
      <c r="LA219" s="93"/>
      <c r="LB219" s="93"/>
      <c r="LC219" s="93"/>
      <c r="LD219" s="93"/>
      <c r="LE219" s="93"/>
      <c r="LF219" s="93"/>
      <c r="LG219" s="93"/>
      <c r="LH219" s="93"/>
      <c r="LI219" s="93"/>
      <c r="LJ219" s="93"/>
      <c r="LK219" s="93"/>
      <c r="LL219" s="93"/>
      <c r="LM219" s="93"/>
      <c r="LN219" s="93"/>
      <c r="LO219" s="93"/>
      <c r="LP219" s="93"/>
      <c r="LQ219" s="93"/>
      <c r="LR219" s="93"/>
      <c r="LS219" s="93"/>
      <c r="LT219" s="93"/>
      <c r="LU219" s="93"/>
      <c r="LV219" s="93"/>
      <c r="LW219" s="93"/>
      <c r="LX219" s="93"/>
      <c r="LY219" s="93"/>
      <c r="LZ219" s="93"/>
      <c r="MA219" s="93"/>
      <c r="MB219" s="93"/>
      <c r="MC219" s="93"/>
      <c r="MD219" s="93"/>
      <c r="ME219" s="93"/>
      <c r="MF219" s="93"/>
      <c r="MG219" s="93"/>
      <c r="MH219" s="20"/>
      <c r="MI219" s="29"/>
      <c r="MJ219" s="29" t="str">
        <f t="shared" si="97"/>
        <v>Trimestre 22036</v>
      </c>
      <c r="MK219" s="848">
        <v>49827</v>
      </c>
      <c r="ML219" s="1991"/>
      <c r="MM219" s="1991"/>
      <c r="MN219" s="1991"/>
      <c r="MO219" s="1991"/>
      <c r="MP219" s="1991"/>
      <c r="MQ219" s="1991"/>
      <c r="MR219" s="1991"/>
      <c r="MS219" s="1991"/>
      <c r="MT219" s="1991"/>
      <c r="MU219" s="1991"/>
      <c r="MV219" s="1991"/>
      <c r="MW219" s="1991"/>
      <c r="MX219" s="1991"/>
      <c r="MY219" s="1991"/>
      <c r="MZ219" s="1991"/>
      <c r="NA219" s="1991"/>
      <c r="NB219" s="1991"/>
      <c r="NC219" s="1991"/>
      <c r="ND219" s="1991"/>
      <c r="NE219" s="1991"/>
      <c r="NF219" s="1991"/>
      <c r="NG219" s="1991"/>
      <c r="NH219" s="1991"/>
      <c r="NI219" s="1991"/>
      <c r="NJ219" s="1991"/>
      <c r="NK219" s="1991"/>
      <c r="NL219" s="29"/>
    </row>
    <row r="220" spans="1:376">
      <c r="A220" s="41">
        <f t="shared" si="95"/>
        <v>2036</v>
      </c>
      <c r="B220" s="785">
        <v>49919</v>
      </c>
      <c r="C220" s="19"/>
      <c r="D220" s="93"/>
      <c r="E220" s="93"/>
      <c r="F220" s="93"/>
      <c r="G220" s="93"/>
      <c r="H220" s="93"/>
      <c r="I220" s="93"/>
      <c r="J220" s="93"/>
      <c r="K220" s="93"/>
      <c r="L220" s="93"/>
      <c r="M220" s="20"/>
      <c r="N220" s="25"/>
      <c r="O220" s="889">
        <f t="shared" si="94"/>
        <v>2036</v>
      </c>
      <c r="P220" s="29" t="str">
        <f t="shared" si="96"/>
        <v>Trimestre 32036</v>
      </c>
      <c r="Q220" s="848">
        <v>49919</v>
      </c>
      <c r="R220" s="733"/>
      <c r="S220" s="570"/>
      <c r="T220" s="570"/>
      <c r="U220" s="734"/>
      <c r="V220" s="25"/>
      <c r="W220" s="19"/>
      <c r="X220" s="93"/>
      <c r="Y220" s="93"/>
      <c r="Z220" s="93"/>
      <c r="AA220" s="93"/>
      <c r="AB220" s="93"/>
      <c r="AC220" s="93"/>
      <c r="AD220" s="93"/>
      <c r="AE220" s="20"/>
      <c r="AF220" s="25"/>
      <c r="AG220" s="19"/>
      <c r="AH220" s="93"/>
      <c r="AI220" s="93"/>
      <c r="AJ220" s="93"/>
      <c r="AK220" s="93"/>
      <c r="AL220" s="93"/>
      <c r="AM220" s="93"/>
      <c r="AN220" s="20"/>
      <c r="AO220" s="19"/>
      <c r="AP220" s="93"/>
      <c r="AQ220" s="93"/>
      <c r="AR220" s="93"/>
      <c r="AS220" s="20"/>
      <c r="AT220" s="19"/>
      <c r="AU220" s="93"/>
      <c r="AV220" s="20"/>
      <c r="AW220" s="19"/>
      <c r="AX220" s="93"/>
      <c r="AY220" s="93"/>
      <c r="AZ220" s="93"/>
      <c r="BA220" s="93"/>
      <c r="BB220" s="93"/>
      <c r="BC220" s="20"/>
      <c r="BD220" s="19"/>
      <c r="BE220" s="93"/>
      <c r="BF220" s="93"/>
      <c r="BG220" s="93"/>
      <c r="BH220" s="93"/>
      <c r="BI220" s="93"/>
      <c r="BJ220" s="93"/>
      <c r="BK220" s="20"/>
      <c r="BL220" s="19"/>
      <c r="BM220" s="93"/>
      <c r="BN220" s="93"/>
      <c r="BO220" s="93"/>
      <c r="BP220" s="93"/>
      <c r="BQ220" s="20"/>
      <c r="BR220" s="19"/>
      <c r="BS220" s="93"/>
      <c r="BT220" s="93"/>
      <c r="BU220" s="20"/>
      <c r="BV220" s="19"/>
      <c r="BW220" s="93"/>
      <c r="BX220" s="93"/>
      <c r="BY220" s="93"/>
      <c r="BZ220" s="93"/>
      <c r="CA220" s="93"/>
      <c r="CB220" s="20"/>
      <c r="CC220" s="25"/>
      <c r="CD220" s="19"/>
      <c r="CE220" s="93"/>
      <c r="CF220" s="20"/>
      <c r="CG220" s="25"/>
      <c r="CH220" s="19"/>
      <c r="CI220" s="93"/>
      <c r="CJ220" s="93"/>
      <c r="CK220" s="93"/>
      <c r="CL220" s="93"/>
      <c r="CM220" s="93"/>
      <c r="CN220" s="93"/>
      <c r="CO220" s="93"/>
      <c r="CP220" s="93"/>
      <c r="CQ220" s="93"/>
      <c r="CR220" s="214"/>
      <c r="CS220" s="20"/>
      <c r="CT220" s="25"/>
      <c r="CU220" s="19"/>
      <c r="CV220" s="93"/>
      <c r="CW220" s="93"/>
      <c r="CX220" s="93"/>
      <c r="CY220" s="93"/>
      <c r="CZ220" s="93"/>
      <c r="DA220" s="93"/>
      <c r="DB220" s="20"/>
      <c r="DC220" s="25"/>
      <c r="DD220" s="785">
        <v>49919</v>
      </c>
      <c r="DE220" s="19"/>
      <c r="DF220" s="20"/>
      <c r="DG220" s="25"/>
      <c r="DH220" s="19"/>
      <c r="DI220" s="20"/>
      <c r="DJ220" s="25"/>
      <c r="DK220" s="19"/>
      <c r="DL220" s="20"/>
      <c r="DM220" s="19"/>
      <c r="DN220" s="20"/>
      <c r="DO220" s="25"/>
      <c r="DP220" s="19"/>
      <c r="DQ220" s="93"/>
      <c r="DR220" s="20"/>
      <c r="DS220" s="25"/>
      <c r="DT220" s="19"/>
      <c r="DU220" s="93"/>
      <c r="DV220" s="20"/>
      <c r="DW220" s="25"/>
      <c r="DX220" s="19"/>
      <c r="DY220" s="20"/>
      <c r="DZ220" s="25"/>
      <c r="EA220" s="19"/>
      <c r="EB220" s="93"/>
      <c r="EC220" s="93"/>
      <c r="ED220" s="93"/>
      <c r="EE220" s="20"/>
      <c r="EF220" s="25"/>
      <c r="EG220" s="19"/>
      <c r="EH220" s="93"/>
      <c r="EI220" s="93"/>
      <c r="EJ220" s="93"/>
      <c r="EK220" s="20"/>
      <c r="EL220" s="25"/>
      <c r="EM220" s="19"/>
      <c r="EN220" s="93"/>
      <c r="EO220" s="93"/>
      <c r="EP220" s="93"/>
      <c r="EQ220" s="93"/>
      <c r="ER220" s="93"/>
      <c r="ES220" s="93"/>
      <c r="ET220" s="93"/>
      <c r="EU220" s="93"/>
      <c r="EV220" s="20"/>
      <c r="EW220" s="25"/>
      <c r="EX220" s="915"/>
      <c r="EY220" s="916"/>
      <c r="EZ220" s="916"/>
      <c r="FA220" s="916"/>
      <c r="FB220" s="916"/>
      <c r="FC220" s="916"/>
      <c r="FD220" s="916"/>
      <c r="FE220" s="916"/>
      <c r="FF220" s="916"/>
      <c r="FG220" s="917"/>
      <c r="FH220" s="25"/>
      <c r="FI220" s="848">
        <v>49919</v>
      </c>
      <c r="FJ220" s="19"/>
      <c r="FK220" s="93"/>
      <c r="FL220" s="20"/>
      <c r="FM220" s="25"/>
      <c r="FN220" s="19"/>
      <c r="FO220" s="93"/>
      <c r="FP220" s="93"/>
      <c r="FQ220" s="93"/>
      <c r="FR220" s="93"/>
      <c r="FS220" s="93"/>
      <c r="FT220" s="93"/>
      <c r="FU220" s="93"/>
      <c r="FV220" s="93"/>
      <c r="FW220" s="917"/>
      <c r="FX220" s="25"/>
      <c r="FY220" s="916"/>
      <c r="FZ220" s="916"/>
      <c r="GA220" s="916"/>
      <c r="GB220" s="916"/>
      <c r="GC220" s="916"/>
      <c r="GD220" s="916"/>
      <c r="GE220" s="916"/>
      <c r="GF220" s="916"/>
      <c r="GG220" s="916"/>
      <c r="GH220" s="916"/>
      <c r="GI220" s="917"/>
      <c r="GJ220" s="25"/>
      <c r="GK220" s="19"/>
      <c r="GL220" s="20"/>
      <c r="GM220" s="25"/>
      <c r="GN220" s="19"/>
      <c r="GO220" s="20"/>
      <c r="GP220" s="25"/>
      <c r="GQ220" s="19"/>
      <c r="GR220" s="20"/>
      <c r="GS220" s="25"/>
      <c r="GT220" s="848">
        <v>49919</v>
      </c>
      <c r="GU220" s="19"/>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848">
        <v>49919</v>
      </c>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20"/>
      <c r="JU220" s="29"/>
      <c r="JV220" s="19"/>
      <c r="JW220" s="93"/>
      <c r="JX220" s="93"/>
      <c r="JY220" s="93"/>
      <c r="JZ220" s="93"/>
      <c r="KA220" s="93"/>
      <c r="KB220" s="93"/>
      <c r="KC220" s="93"/>
      <c r="KD220" s="93"/>
      <c r="KE220" s="93"/>
      <c r="KF220" s="93"/>
      <c r="KG220" s="93"/>
      <c r="KH220" s="93"/>
      <c r="KI220" s="93"/>
      <c r="KJ220" s="93"/>
      <c r="KK220" s="93"/>
      <c r="KL220" s="93"/>
      <c r="KM220" s="93"/>
      <c r="KN220" s="93"/>
      <c r="KO220" s="93"/>
      <c r="KP220" s="93"/>
      <c r="KQ220" s="93"/>
      <c r="KR220" s="93"/>
      <c r="KS220" s="93"/>
      <c r="KT220" s="93"/>
      <c r="KU220" s="93"/>
      <c r="KV220" s="93"/>
      <c r="KW220" s="20"/>
      <c r="KX220" s="29"/>
      <c r="KY220" s="19"/>
      <c r="KZ220" s="93"/>
      <c r="LA220" s="93"/>
      <c r="LB220" s="93"/>
      <c r="LC220" s="93"/>
      <c r="LD220" s="93"/>
      <c r="LE220" s="93"/>
      <c r="LF220" s="93"/>
      <c r="LG220" s="93"/>
      <c r="LH220" s="93"/>
      <c r="LI220" s="93"/>
      <c r="LJ220" s="93"/>
      <c r="LK220" s="93"/>
      <c r="LL220" s="93"/>
      <c r="LM220" s="93"/>
      <c r="LN220" s="93"/>
      <c r="LO220" s="93"/>
      <c r="LP220" s="93"/>
      <c r="LQ220" s="93"/>
      <c r="LR220" s="93"/>
      <c r="LS220" s="93"/>
      <c r="LT220" s="93"/>
      <c r="LU220" s="93"/>
      <c r="LV220" s="93"/>
      <c r="LW220" s="93"/>
      <c r="LX220" s="93"/>
      <c r="LY220" s="93"/>
      <c r="LZ220" s="93"/>
      <c r="MA220" s="93"/>
      <c r="MB220" s="93"/>
      <c r="MC220" s="93"/>
      <c r="MD220" s="93"/>
      <c r="ME220" s="93"/>
      <c r="MF220" s="93"/>
      <c r="MG220" s="93"/>
      <c r="MH220" s="20"/>
      <c r="MI220" s="29"/>
      <c r="MJ220" s="29" t="str">
        <f t="shared" si="97"/>
        <v>Trimestre 32036</v>
      </c>
      <c r="MK220" s="848">
        <v>49919</v>
      </c>
      <c r="ML220" s="1991"/>
      <c r="MM220" s="1991"/>
      <c r="MN220" s="1991"/>
      <c r="MO220" s="1991"/>
      <c r="MP220" s="1991"/>
      <c r="MQ220" s="1991"/>
      <c r="MR220" s="1991"/>
      <c r="MS220" s="1991"/>
      <c r="MT220" s="1991"/>
      <c r="MU220" s="1991"/>
      <c r="MV220" s="1991"/>
      <c r="MW220" s="1991"/>
      <c r="MX220" s="1991"/>
      <c r="MY220" s="1991"/>
      <c r="MZ220" s="1991"/>
      <c r="NA220" s="1991"/>
      <c r="NB220" s="1991"/>
      <c r="NC220" s="1991"/>
      <c r="ND220" s="1991"/>
      <c r="NE220" s="1991"/>
      <c r="NF220" s="1991"/>
      <c r="NG220" s="1991"/>
      <c r="NH220" s="1991"/>
      <c r="NI220" s="1991"/>
      <c r="NJ220" s="1991"/>
      <c r="NK220" s="1991"/>
      <c r="NL220" s="29"/>
    </row>
    <row r="221" spans="1:376">
      <c r="A221" s="41">
        <f t="shared" si="95"/>
        <v>2036</v>
      </c>
      <c r="B221" s="785">
        <v>50010</v>
      </c>
      <c r="C221" s="19"/>
      <c r="D221" s="93"/>
      <c r="E221" s="93"/>
      <c r="F221" s="93"/>
      <c r="G221" s="93"/>
      <c r="H221" s="93"/>
      <c r="I221" s="93"/>
      <c r="J221" s="93"/>
      <c r="K221" s="93"/>
      <c r="L221" s="93"/>
      <c r="M221" s="20"/>
      <c r="N221" s="25"/>
      <c r="O221" s="889">
        <f t="shared" si="94"/>
        <v>2036</v>
      </c>
      <c r="P221" s="29" t="str">
        <f t="shared" si="96"/>
        <v>Trimestre 42036</v>
      </c>
      <c r="Q221" s="848">
        <v>50010</v>
      </c>
      <c r="R221" s="733"/>
      <c r="S221" s="570"/>
      <c r="T221" s="570"/>
      <c r="U221" s="734"/>
      <c r="V221" s="25"/>
      <c r="W221" s="19"/>
      <c r="X221" s="93"/>
      <c r="Y221" s="93"/>
      <c r="Z221" s="93"/>
      <c r="AA221" s="93"/>
      <c r="AB221" s="93"/>
      <c r="AC221" s="93"/>
      <c r="AD221" s="93"/>
      <c r="AE221" s="20"/>
      <c r="AF221" s="25"/>
      <c r="AG221" s="19"/>
      <c r="AH221" s="93"/>
      <c r="AI221" s="93"/>
      <c r="AJ221" s="93"/>
      <c r="AK221" s="93"/>
      <c r="AL221" s="93"/>
      <c r="AM221" s="93"/>
      <c r="AN221" s="20"/>
      <c r="AO221" s="19"/>
      <c r="AP221" s="93"/>
      <c r="AQ221" s="93"/>
      <c r="AR221" s="93"/>
      <c r="AS221" s="20"/>
      <c r="AT221" s="19"/>
      <c r="AU221" s="93"/>
      <c r="AV221" s="20"/>
      <c r="AW221" s="19"/>
      <c r="AX221" s="93"/>
      <c r="AY221" s="93"/>
      <c r="AZ221" s="93"/>
      <c r="BA221" s="93"/>
      <c r="BB221" s="93"/>
      <c r="BC221" s="20"/>
      <c r="BD221" s="19"/>
      <c r="BE221" s="93"/>
      <c r="BF221" s="93"/>
      <c r="BG221" s="93"/>
      <c r="BH221" s="93"/>
      <c r="BI221" s="93"/>
      <c r="BJ221" s="93"/>
      <c r="BK221" s="20"/>
      <c r="BL221" s="19"/>
      <c r="BM221" s="93"/>
      <c r="BN221" s="93"/>
      <c r="BO221" s="93"/>
      <c r="BP221" s="93"/>
      <c r="BQ221" s="20"/>
      <c r="BR221" s="19"/>
      <c r="BS221" s="93"/>
      <c r="BT221" s="93"/>
      <c r="BU221" s="20"/>
      <c r="BV221" s="19"/>
      <c r="BW221" s="93"/>
      <c r="BX221" s="93"/>
      <c r="BY221" s="93"/>
      <c r="BZ221" s="93"/>
      <c r="CA221" s="93"/>
      <c r="CB221" s="20"/>
      <c r="CC221" s="25"/>
      <c r="CD221" s="19"/>
      <c r="CE221" s="93"/>
      <c r="CF221" s="20"/>
      <c r="CG221" s="25"/>
      <c r="CH221" s="19"/>
      <c r="CI221" s="93"/>
      <c r="CJ221" s="93"/>
      <c r="CK221" s="93"/>
      <c r="CL221" s="93"/>
      <c r="CM221" s="93"/>
      <c r="CN221" s="93"/>
      <c r="CO221" s="93"/>
      <c r="CP221" s="93"/>
      <c r="CQ221" s="93"/>
      <c r="CR221" s="214"/>
      <c r="CS221" s="20"/>
      <c r="CT221" s="25"/>
      <c r="CU221" s="19"/>
      <c r="CV221" s="93"/>
      <c r="CW221" s="93"/>
      <c r="CX221" s="93"/>
      <c r="CY221" s="93"/>
      <c r="CZ221" s="93"/>
      <c r="DA221" s="93"/>
      <c r="DB221" s="20"/>
      <c r="DC221" s="25"/>
      <c r="DD221" s="785">
        <v>50010</v>
      </c>
      <c r="DE221" s="19"/>
      <c r="DF221" s="20"/>
      <c r="DG221" s="25"/>
      <c r="DH221" s="19"/>
      <c r="DI221" s="20"/>
      <c r="DJ221" s="25"/>
      <c r="DK221" s="19"/>
      <c r="DL221" s="20"/>
      <c r="DM221" s="19"/>
      <c r="DN221" s="20"/>
      <c r="DO221" s="25"/>
      <c r="DP221" s="19"/>
      <c r="DQ221" s="93"/>
      <c r="DR221" s="20"/>
      <c r="DS221" s="25"/>
      <c r="DT221" s="19"/>
      <c r="DU221" s="93"/>
      <c r="DV221" s="20"/>
      <c r="DW221" s="25"/>
      <c r="DX221" s="19"/>
      <c r="DY221" s="20"/>
      <c r="DZ221" s="25"/>
      <c r="EA221" s="19"/>
      <c r="EB221" s="93"/>
      <c r="EC221" s="93"/>
      <c r="ED221" s="93"/>
      <c r="EE221" s="20"/>
      <c r="EF221" s="25"/>
      <c r="EG221" s="19"/>
      <c r="EH221" s="93"/>
      <c r="EI221" s="93"/>
      <c r="EJ221" s="93"/>
      <c r="EK221" s="20"/>
      <c r="EL221" s="25"/>
      <c r="EM221" s="19"/>
      <c r="EN221" s="93"/>
      <c r="EO221" s="93"/>
      <c r="EP221" s="93"/>
      <c r="EQ221" s="93"/>
      <c r="ER221" s="93"/>
      <c r="ES221" s="93"/>
      <c r="ET221" s="93"/>
      <c r="EU221" s="93"/>
      <c r="EV221" s="20"/>
      <c r="EW221" s="25"/>
      <c r="EX221" s="915"/>
      <c r="EY221" s="916"/>
      <c r="EZ221" s="916"/>
      <c r="FA221" s="916"/>
      <c r="FB221" s="916"/>
      <c r="FC221" s="916"/>
      <c r="FD221" s="916"/>
      <c r="FE221" s="916"/>
      <c r="FF221" s="916"/>
      <c r="FG221" s="917"/>
      <c r="FH221" s="25"/>
      <c r="FI221" s="848">
        <v>50010</v>
      </c>
      <c r="FJ221" s="19"/>
      <c r="FK221" s="93"/>
      <c r="FL221" s="20"/>
      <c r="FM221" s="25"/>
      <c r="FN221" s="19"/>
      <c r="FO221" s="93"/>
      <c r="FP221" s="93"/>
      <c r="FQ221" s="93"/>
      <c r="FR221" s="93"/>
      <c r="FS221" s="93"/>
      <c r="FT221" s="93"/>
      <c r="FU221" s="93"/>
      <c r="FV221" s="93"/>
      <c r="FW221" s="917"/>
      <c r="FX221" s="25"/>
      <c r="FY221" s="916"/>
      <c r="FZ221" s="916"/>
      <c r="GA221" s="916"/>
      <c r="GB221" s="916"/>
      <c r="GC221" s="916"/>
      <c r="GD221" s="916"/>
      <c r="GE221" s="916"/>
      <c r="GF221" s="916"/>
      <c r="GG221" s="916"/>
      <c r="GH221" s="916"/>
      <c r="GI221" s="917"/>
      <c r="GJ221" s="25"/>
      <c r="GK221" s="19"/>
      <c r="GL221" s="20"/>
      <c r="GM221" s="25"/>
      <c r="GN221" s="19"/>
      <c r="GO221" s="20"/>
      <c r="GP221" s="25"/>
      <c r="GQ221" s="19"/>
      <c r="GR221" s="20"/>
      <c r="GS221" s="25"/>
      <c r="GT221" s="848">
        <v>50010</v>
      </c>
      <c r="GU221" s="19"/>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848">
        <v>50010</v>
      </c>
      <c r="IX221" s="93"/>
      <c r="IY221" s="93"/>
      <c r="IZ221" s="93"/>
      <c r="JA221" s="93"/>
      <c r="JB221" s="93"/>
      <c r="JC221" s="93"/>
      <c r="JD221" s="93"/>
      <c r="JE221" s="93"/>
      <c r="JF221" s="93"/>
      <c r="JG221" s="93"/>
      <c r="JH221" s="93"/>
      <c r="JI221" s="93"/>
      <c r="JJ221" s="93"/>
      <c r="JK221" s="93"/>
      <c r="JL221" s="93"/>
      <c r="JM221" s="93"/>
      <c r="JN221" s="93"/>
      <c r="JO221" s="93"/>
      <c r="JP221" s="93"/>
      <c r="JQ221" s="93"/>
      <c r="JR221" s="93"/>
      <c r="JS221" s="93"/>
      <c r="JT221" s="20"/>
      <c r="JU221" s="29"/>
      <c r="JV221" s="19"/>
      <c r="JW221" s="93"/>
      <c r="JX221" s="93"/>
      <c r="JY221" s="93"/>
      <c r="JZ221" s="93"/>
      <c r="KA221" s="93"/>
      <c r="KB221" s="93"/>
      <c r="KC221" s="93"/>
      <c r="KD221" s="93"/>
      <c r="KE221" s="93"/>
      <c r="KF221" s="93"/>
      <c r="KG221" s="93"/>
      <c r="KH221" s="93"/>
      <c r="KI221" s="93"/>
      <c r="KJ221" s="93"/>
      <c r="KK221" s="93"/>
      <c r="KL221" s="93"/>
      <c r="KM221" s="93"/>
      <c r="KN221" s="93"/>
      <c r="KO221" s="93"/>
      <c r="KP221" s="93"/>
      <c r="KQ221" s="93"/>
      <c r="KR221" s="93"/>
      <c r="KS221" s="93"/>
      <c r="KT221" s="93"/>
      <c r="KU221" s="93"/>
      <c r="KV221" s="93"/>
      <c r="KW221" s="20"/>
      <c r="KX221" s="29"/>
      <c r="KY221" s="19"/>
      <c r="KZ221" s="93"/>
      <c r="LA221" s="93"/>
      <c r="LB221" s="93"/>
      <c r="LC221" s="93"/>
      <c r="LD221" s="93"/>
      <c r="LE221" s="93"/>
      <c r="LF221" s="93"/>
      <c r="LG221" s="93"/>
      <c r="LH221" s="93"/>
      <c r="LI221" s="93"/>
      <c r="LJ221" s="93"/>
      <c r="LK221" s="93"/>
      <c r="LL221" s="93"/>
      <c r="LM221" s="93"/>
      <c r="LN221" s="93"/>
      <c r="LO221" s="93"/>
      <c r="LP221" s="93"/>
      <c r="LQ221" s="93"/>
      <c r="LR221" s="93"/>
      <c r="LS221" s="93"/>
      <c r="LT221" s="93"/>
      <c r="LU221" s="93"/>
      <c r="LV221" s="93"/>
      <c r="LW221" s="93"/>
      <c r="LX221" s="93"/>
      <c r="LY221" s="93"/>
      <c r="LZ221" s="93"/>
      <c r="MA221" s="93"/>
      <c r="MB221" s="93"/>
      <c r="MC221" s="93"/>
      <c r="MD221" s="93"/>
      <c r="ME221" s="93"/>
      <c r="MF221" s="93"/>
      <c r="MG221" s="93"/>
      <c r="MH221" s="20"/>
      <c r="MI221" s="29"/>
      <c r="MJ221" s="29" t="str">
        <f t="shared" si="97"/>
        <v>Trimestre 42036</v>
      </c>
      <c r="MK221" s="848">
        <v>50010</v>
      </c>
      <c r="ML221" s="1991"/>
      <c r="MM221" s="1991"/>
      <c r="MN221" s="1991"/>
      <c r="MO221" s="1991"/>
      <c r="MP221" s="1991"/>
      <c r="MQ221" s="1991"/>
      <c r="MR221" s="1991"/>
      <c r="MS221" s="1991"/>
      <c r="MT221" s="1991"/>
      <c r="MU221" s="1991"/>
      <c r="MV221" s="1991"/>
      <c r="MW221" s="1991"/>
      <c r="MX221" s="1991"/>
      <c r="MY221" s="1991"/>
      <c r="MZ221" s="1991"/>
      <c r="NA221" s="1991"/>
      <c r="NB221" s="1991"/>
      <c r="NC221" s="1991"/>
      <c r="ND221" s="1991"/>
      <c r="NE221" s="1991"/>
      <c r="NF221" s="1991"/>
      <c r="NG221" s="1991"/>
      <c r="NH221" s="1991"/>
      <c r="NI221" s="1991"/>
      <c r="NJ221" s="1991"/>
      <c r="NK221" s="1991"/>
      <c r="NL221" s="29"/>
    </row>
    <row r="222" spans="1:376">
      <c r="A222" s="41">
        <f t="shared" si="95"/>
        <v>2037</v>
      </c>
      <c r="B222" s="785">
        <v>50100</v>
      </c>
      <c r="C222" s="19"/>
      <c r="D222" s="93"/>
      <c r="E222" s="93"/>
      <c r="F222" s="93"/>
      <c r="G222" s="93"/>
      <c r="H222" s="93"/>
      <c r="I222" s="93"/>
      <c r="J222" s="93"/>
      <c r="K222" s="93"/>
      <c r="L222" s="93"/>
      <c r="M222" s="20"/>
      <c r="N222" s="25"/>
      <c r="O222" s="889">
        <f t="shared" si="94"/>
        <v>2037</v>
      </c>
      <c r="P222" s="29" t="str">
        <f t="shared" si="96"/>
        <v>Trimestre 12037</v>
      </c>
      <c r="Q222" s="848">
        <v>50100</v>
      </c>
      <c r="R222" s="733"/>
      <c r="S222" s="570"/>
      <c r="T222" s="570"/>
      <c r="U222" s="734"/>
      <c r="V222" s="25"/>
      <c r="W222" s="19"/>
      <c r="X222" s="93"/>
      <c r="Y222" s="93"/>
      <c r="Z222" s="93"/>
      <c r="AA222" s="93"/>
      <c r="AB222" s="93"/>
      <c r="AC222" s="93"/>
      <c r="AD222" s="93"/>
      <c r="AE222" s="20"/>
      <c r="AF222" s="25"/>
      <c r="AG222" s="19"/>
      <c r="AH222" s="93"/>
      <c r="AI222" s="93"/>
      <c r="AJ222" s="93"/>
      <c r="AK222" s="93"/>
      <c r="AL222" s="93"/>
      <c r="AM222" s="93"/>
      <c r="AN222" s="20"/>
      <c r="AO222" s="19"/>
      <c r="AP222" s="93"/>
      <c r="AQ222" s="93"/>
      <c r="AR222" s="93"/>
      <c r="AS222" s="20"/>
      <c r="AT222" s="19"/>
      <c r="AU222" s="93"/>
      <c r="AV222" s="20"/>
      <c r="AW222" s="19"/>
      <c r="AX222" s="93"/>
      <c r="AY222" s="93"/>
      <c r="AZ222" s="93"/>
      <c r="BA222" s="93"/>
      <c r="BB222" s="93"/>
      <c r="BC222" s="20"/>
      <c r="BD222" s="19"/>
      <c r="BE222" s="93"/>
      <c r="BF222" s="93"/>
      <c r="BG222" s="93"/>
      <c r="BH222" s="93"/>
      <c r="BI222" s="93"/>
      <c r="BJ222" s="93"/>
      <c r="BK222" s="20"/>
      <c r="BL222" s="19"/>
      <c r="BM222" s="93"/>
      <c r="BN222" s="93"/>
      <c r="BO222" s="93"/>
      <c r="BP222" s="93"/>
      <c r="BQ222" s="20"/>
      <c r="BR222" s="19"/>
      <c r="BS222" s="93"/>
      <c r="BT222" s="93"/>
      <c r="BU222" s="20"/>
      <c r="BV222" s="19"/>
      <c r="BW222" s="93"/>
      <c r="BX222" s="93"/>
      <c r="BY222" s="93"/>
      <c r="BZ222" s="93"/>
      <c r="CA222" s="93"/>
      <c r="CB222" s="20"/>
      <c r="CC222" s="25"/>
      <c r="CD222" s="19"/>
      <c r="CE222" s="93"/>
      <c r="CF222" s="20"/>
      <c r="CG222" s="25"/>
      <c r="CH222" s="19"/>
      <c r="CI222" s="93"/>
      <c r="CJ222" s="93"/>
      <c r="CK222" s="93"/>
      <c r="CL222" s="93"/>
      <c r="CM222" s="93"/>
      <c r="CN222" s="93"/>
      <c r="CO222" s="93"/>
      <c r="CP222" s="93"/>
      <c r="CQ222" s="93"/>
      <c r="CR222" s="214"/>
      <c r="CS222" s="20"/>
      <c r="CT222" s="25"/>
      <c r="CU222" s="19"/>
      <c r="CV222" s="93"/>
      <c r="CW222" s="93"/>
      <c r="CX222" s="93"/>
      <c r="CY222" s="93"/>
      <c r="CZ222" s="93"/>
      <c r="DA222" s="93"/>
      <c r="DB222" s="20"/>
      <c r="DC222" s="25"/>
      <c r="DD222" s="785">
        <v>50100</v>
      </c>
      <c r="DE222" s="19"/>
      <c r="DF222" s="20"/>
      <c r="DG222" s="25"/>
      <c r="DH222" s="19"/>
      <c r="DI222" s="20"/>
      <c r="DJ222" s="25"/>
      <c r="DK222" s="19"/>
      <c r="DL222" s="20"/>
      <c r="DM222" s="19"/>
      <c r="DN222" s="20"/>
      <c r="DO222" s="25"/>
      <c r="DP222" s="19"/>
      <c r="DQ222" s="93"/>
      <c r="DR222" s="20"/>
      <c r="DS222" s="25"/>
      <c r="DT222" s="19"/>
      <c r="DU222" s="93"/>
      <c r="DV222" s="20"/>
      <c r="DW222" s="25"/>
      <c r="DX222" s="19"/>
      <c r="DY222" s="20"/>
      <c r="DZ222" s="25"/>
      <c r="EA222" s="19"/>
      <c r="EB222" s="93"/>
      <c r="EC222" s="93"/>
      <c r="ED222" s="93"/>
      <c r="EE222" s="20"/>
      <c r="EF222" s="25"/>
      <c r="EG222" s="19"/>
      <c r="EH222" s="93"/>
      <c r="EI222" s="93"/>
      <c r="EJ222" s="93"/>
      <c r="EK222" s="20"/>
      <c r="EL222" s="25"/>
      <c r="EM222" s="19"/>
      <c r="EN222" s="93"/>
      <c r="EO222" s="93"/>
      <c r="EP222" s="93"/>
      <c r="EQ222" s="93"/>
      <c r="ER222" s="93"/>
      <c r="ES222" s="93"/>
      <c r="ET222" s="93"/>
      <c r="EU222" s="93"/>
      <c r="EV222" s="20"/>
      <c r="EW222" s="25"/>
      <c r="EX222" s="915"/>
      <c r="EY222" s="916"/>
      <c r="EZ222" s="916"/>
      <c r="FA222" s="916"/>
      <c r="FB222" s="916"/>
      <c r="FC222" s="916"/>
      <c r="FD222" s="916"/>
      <c r="FE222" s="916"/>
      <c r="FF222" s="916"/>
      <c r="FG222" s="917"/>
      <c r="FH222" s="25"/>
      <c r="FI222" s="848">
        <v>50100</v>
      </c>
      <c r="FJ222" s="19"/>
      <c r="FK222" s="93"/>
      <c r="FL222" s="20"/>
      <c r="FM222" s="25"/>
      <c r="FN222" s="19"/>
      <c r="FO222" s="93"/>
      <c r="FP222" s="93"/>
      <c r="FQ222" s="93"/>
      <c r="FR222" s="93"/>
      <c r="FS222" s="93"/>
      <c r="FT222" s="93"/>
      <c r="FU222" s="93"/>
      <c r="FV222" s="93"/>
      <c r="FW222" s="917"/>
      <c r="FX222" s="25"/>
      <c r="FY222" s="916"/>
      <c r="FZ222" s="916"/>
      <c r="GA222" s="916"/>
      <c r="GB222" s="916"/>
      <c r="GC222" s="916"/>
      <c r="GD222" s="916"/>
      <c r="GE222" s="916"/>
      <c r="GF222" s="916"/>
      <c r="GG222" s="916"/>
      <c r="GH222" s="916"/>
      <c r="GI222" s="917"/>
      <c r="GJ222" s="25"/>
      <c r="GK222" s="19"/>
      <c r="GL222" s="20"/>
      <c r="GM222" s="25"/>
      <c r="GN222" s="19"/>
      <c r="GO222" s="20"/>
      <c r="GP222" s="25"/>
      <c r="GQ222" s="19"/>
      <c r="GR222" s="20"/>
      <c r="GS222" s="25"/>
      <c r="GT222" s="848">
        <v>50100</v>
      </c>
      <c r="GU222" s="19"/>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848">
        <v>50100</v>
      </c>
      <c r="IX222" s="93"/>
      <c r="IY222" s="93"/>
      <c r="IZ222" s="93"/>
      <c r="JA222" s="93"/>
      <c r="JB222" s="93"/>
      <c r="JC222" s="93"/>
      <c r="JD222" s="93"/>
      <c r="JE222" s="93"/>
      <c r="JF222" s="93"/>
      <c r="JG222" s="93"/>
      <c r="JH222" s="93"/>
      <c r="JI222" s="93"/>
      <c r="JJ222" s="93"/>
      <c r="JK222" s="93"/>
      <c r="JL222" s="93"/>
      <c r="JM222" s="93"/>
      <c r="JN222" s="93"/>
      <c r="JO222" s="93"/>
      <c r="JP222" s="93"/>
      <c r="JQ222" s="93"/>
      <c r="JR222" s="93"/>
      <c r="JS222" s="93"/>
      <c r="JT222" s="20"/>
      <c r="JU222" s="29"/>
      <c r="JV222" s="19"/>
      <c r="JW222" s="93"/>
      <c r="JX222" s="93"/>
      <c r="JY222" s="93"/>
      <c r="JZ222" s="93"/>
      <c r="KA222" s="93"/>
      <c r="KB222" s="93"/>
      <c r="KC222" s="93"/>
      <c r="KD222" s="93"/>
      <c r="KE222" s="93"/>
      <c r="KF222" s="93"/>
      <c r="KG222" s="93"/>
      <c r="KH222" s="93"/>
      <c r="KI222" s="93"/>
      <c r="KJ222" s="93"/>
      <c r="KK222" s="93"/>
      <c r="KL222" s="93"/>
      <c r="KM222" s="93"/>
      <c r="KN222" s="93"/>
      <c r="KO222" s="93"/>
      <c r="KP222" s="93"/>
      <c r="KQ222" s="93"/>
      <c r="KR222" s="93"/>
      <c r="KS222" s="93"/>
      <c r="KT222" s="93"/>
      <c r="KU222" s="93"/>
      <c r="KV222" s="93"/>
      <c r="KW222" s="20"/>
      <c r="KX222" s="29"/>
      <c r="KY222" s="19"/>
      <c r="KZ222" s="93"/>
      <c r="LA222" s="93"/>
      <c r="LB222" s="93"/>
      <c r="LC222" s="93"/>
      <c r="LD222" s="93"/>
      <c r="LE222" s="93"/>
      <c r="LF222" s="93"/>
      <c r="LG222" s="93"/>
      <c r="LH222" s="93"/>
      <c r="LI222" s="93"/>
      <c r="LJ222" s="93"/>
      <c r="LK222" s="93"/>
      <c r="LL222" s="93"/>
      <c r="LM222" s="93"/>
      <c r="LN222" s="93"/>
      <c r="LO222" s="93"/>
      <c r="LP222" s="93"/>
      <c r="LQ222" s="93"/>
      <c r="LR222" s="93"/>
      <c r="LS222" s="93"/>
      <c r="LT222" s="93"/>
      <c r="LU222" s="93"/>
      <c r="LV222" s="93"/>
      <c r="LW222" s="93"/>
      <c r="LX222" s="93"/>
      <c r="LY222" s="93"/>
      <c r="LZ222" s="93"/>
      <c r="MA222" s="93"/>
      <c r="MB222" s="93"/>
      <c r="MC222" s="93"/>
      <c r="MD222" s="93"/>
      <c r="ME222" s="93"/>
      <c r="MF222" s="93"/>
      <c r="MG222" s="93"/>
      <c r="MH222" s="20"/>
      <c r="MI222" s="29"/>
      <c r="MJ222" s="29" t="str">
        <f t="shared" si="97"/>
        <v>Trimestre 12037</v>
      </c>
      <c r="MK222" s="848">
        <v>50100</v>
      </c>
      <c r="ML222" s="1991"/>
      <c r="MM222" s="1991"/>
      <c r="MN222" s="1991"/>
      <c r="MO222" s="1991"/>
      <c r="MP222" s="1991"/>
      <c r="MQ222" s="1991"/>
      <c r="MR222" s="1991"/>
      <c r="MS222" s="1991"/>
      <c r="MT222" s="1991"/>
      <c r="MU222" s="1991"/>
      <c r="MV222" s="1991"/>
      <c r="MW222" s="1991"/>
      <c r="MX222" s="1991"/>
      <c r="MY222" s="1991"/>
      <c r="MZ222" s="1991"/>
      <c r="NA222" s="1991"/>
      <c r="NB222" s="1991"/>
      <c r="NC222" s="1991"/>
      <c r="ND222" s="1991"/>
      <c r="NE222" s="1991"/>
      <c r="NF222" s="1991"/>
      <c r="NG222" s="1991"/>
      <c r="NH222" s="1991"/>
      <c r="NI222" s="1991"/>
      <c r="NJ222" s="1991"/>
      <c r="NK222" s="1991"/>
      <c r="NL222" s="29"/>
    </row>
    <row r="223" spans="1:376">
      <c r="A223" s="41">
        <f t="shared" si="95"/>
        <v>2037</v>
      </c>
      <c r="B223" s="785">
        <v>50192</v>
      </c>
      <c r="C223" s="19"/>
      <c r="D223" s="93"/>
      <c r="E223" s="93"/>
      <c r="F223" s="93"/>
      <c r="G223" s="93"/>
      <c r="H223" s="93"/>
      <c r="I223" s="93"/>
      <c r="J223" s="93"/>
      <c r="K223" s="93"/>
      <c r="L223" s="93"/>
      <c r="M223" s="20"/>
      <c r="N223" s="25"/>
      <c r="O223" s="889">
        <f t="shared" si="94"/>
        <v>2037</v>
      </c>
      <c r="P223" s="29" t="str">
        <f t="shared" si="96"/>
        <v>Trimestre 22037</v>
      </c>
      <c r="Q223" s="848">
        <v>50192</v>
      </c>
      <c r="R223" s="733"/>
      <c r="S223" s="570"/>
      <c r="T223" s="570"/>
      <c r="U223" s="734"/>
      <c r="V223" s="25"/>
      <c r="W223" s="19"/>
      <c r="X223" s="93"/>
      <c r="Y223" s="93"/>
      <c r="Z223" s="93"/>
      <c r="AA223" s="93"/>
      <c r="AB223" s="93"/>
      <c r="AC223" s="93"/>
      <c r="AD223" s="93"/>
      <c r="AE223" s="20"/>
      <c r="AF223" s="25"/>
      <c r="AG223" s="19"/>
      <c r="AH223" s="93"/>
      <c r="AI223" s="93"/>
      <c r="AJ223" s="93"/>
      <c r="AK223" s="93"/>
      <c r="AL223" s="93"/>
      <c r="AM223" s="93"/>
      <c r="AN223" s="20"/>
      <c r="AO223" s="19"/>
      <c r="AP223" s="93"/>
      <c r="AQ223" s="93"/>
      <c r="AR223" s="93"/>
      <c r="AS223" s="20"/>
      <c r="AT223" s="19"/>
      <c r="AU223" s="93"/>
      <c r="AV223" s="20"/>
      <c r="AW223" s="19"/>
      <c r="AX223" s="93"/>
      <c r="AY223" s="93"/>
      <c r="AZ223" s="93"/>
      <c r="BA223" s="93"/>
      <c r="BB223" s="93"/>
      <c r="BC223" s="20"/>
      <c r="BD223" s="19"/>
      <c r="BE223" s="93"/>
      <c r="BF223" s="93"/>
      <c r="BG223" s="93"/>
      <c r="BH223" s="93"/>
      <c r="BI223" s="93"/>
      <c r="BJ223" s="93"/>
      <c r="BK223" s="20"/>
      <c r="BL223" s="19"/>
      <c r="BM223" s="93"/>
      <c r="BN223" s="93"/>
      <c r="BO223" s="93"/>
      <c r="BP223" s="93"/>
      <c r="BQ223" s="20"/>
      <c r="BR223" s="19"/>
      <c r="BS223" s="93"/>
      <c r="BT223" s="93"/>
      <c r="BU223" s="20"/>
      <c r="BV223" s="19"/>
      <c r="BW223" s="93"/>
      <c r="BX223" s="93"/>
      <c r="BY223" s="93"/>
      <c r="BZ223" s="93"/>
      <c r="CA223" s="93"/>
      <c r="CB223" s="20"/>
      <c r="CC223" s="25"/>
      <c r="CD223" s="19"/>
      <c r="CE223" s="93"/>
      <c r="CF223" s="20"/>
      <c r="CG223" s="25"/>
      <c r="CH223" s="19"/>
      <c r="CI223" s="93"/>
      <c r="CJ223" s="93"/>
      <c r="CK223" s="93"/>
      <c r="CL223" s="93"/>
      <c r="CM223" s="93"/>
      <c r="CN223" s="93"/>
      <c r="CO223" s="93"/>
      <c r="CP223" s="93"/>
      <c r="CQ223" s="93"/>
      <c r="CR223" s="214"/>
      <c r="CS223" s="20"/>
      <c r="CT223" s="25"/>
      <c r="CU223" s="19"/>
      <c r="CV223" s="93"/>
      <c r="CW223" s="93"/>
      <c r="CX223" s="93"/>
      <c r="CY223" s="93"/>
      <c r="CZ223" s="93"/>
      <c r="DA223" s="93"/>
      <c r="DB223" s="20"/>
      <c r="DC223" s="25"/>
      <c r="DD223" s="785">
        <v>50192</v>
      </c>
      <c r="DE223" s="19"/>
      <c r="DF223" s="20"/>
      <c r="DG223" s="25"/>
      <c r="DH223" s="19"/>
      <c r="DI223" s="20"/>
      <c r="DJ223" s="25"/>
      <c r="DK223" s="19"/>
      <c r="DL223" s="20"/>
      <c r="DM223" s="19"/>
      <c r="DN223" s="20"/>
      <c r="DO223" s="25"/>
      <c r="DP223" s="19"/>
      <c r="DQ223" s="93"/>
      <c r="DR223" s="20"/>
      <c r="DS223" s="25"/>
      <c r="DT223" s="19"/>
      <c r="DU223" s="93"/>
      <c r="DV223" s="20"/>
      <c r="DW223" s="25"/>
      <c r="DX223" s="19"/>
      <c r="DY223" s="20"/>
      <c r="DZ223" s="25"/>
      <c r="EA223" s="19"/>
      <c r="EB223" s="93"/>
      <c r="EC223" s="93"/>
      <c r="ED223" s="93"/>
      <c r="EE223" s="20"/>
      <c r="EF223" s="25"/>
      <c r="EG223" s="19"/>
      <c r="EH223" s="93"/>
      <c r="EI223" s="93"/>
      <c r="EJ223" s="93"/>
      <c r="EK223" s="20"/>
      <c r="EL223" s="25"/>
      <c r="EM223" s="19"/>
      <c r="EN223" s="93"/>
      <c r="EO223" s="93"/>
      <c r="EP223" s="93"/>
      <c r="EQ223" s="93"/>
      <c r="ER223" s="93"/>
      <c r="ES223" s="93"/>
      <c r="ET223" s="93"/>
      <c r="EU223" s="93"/>
      <c r="EV223" s="20"/>
      <c r="EW223" s="25"/>
      <c r="EX223" s="915"/>
      <c r="EY223" s="916"/>
      <c r="EZ223" s="916"/>
      <c r="FA223" s="916"/>
      <c r="FB223" s="916"/>
      <c r="FC223" s="916"/>
      <c r="FD223" s="916"/>
      <c r="FE223" s="916"/>
      <c r="FF223" s="916"/>
      <c r="FG223" s="917"/>
      <c r="FH223" s="25"/>
      <c r="FI223" s="848">
        <v>50192</v>
      </c>
      <c r="FJ223" s="19"/>
      <c r="FK223" s="93"/>
      <c r="FL223" s="20"/>
      <c r="FM223" s="25"/>
      <c r="FN223" s="19"/>
      <c r="FO223" s="93"/>
      <c r="FP223" s="93"/>
      <c r="FQ223" s="93"/>
      <c r="FR223" s="93"/>
      <c r="FS223" s="93"/>
      <c r="FT223" s="93"/>
      <c r="FU223" s="93"/>
      <c r="FV223" s="93"/>
      <c r="FW223" s="917"/>
      <c r="FX223" s="25"/>
      <c r="FY223" s="916"/>
      <c r="FZ223" s="916"/>
      <c r="GA223" s="916"/>
      <c r="GB223" s="916"/>
      <c r="GC223" s="916"/>
      <c r="GD223" s="916"/>
      <c r="GE223" s="916"/>
      <c r="GF223" s="916"/>
      <c r="GG223" s="916"/>
      <c r="GH223" s="916"/>
      <c r="GI223" s="917"/>
      <c r="GJ223" s="25"/>
      <c r="GK223" s="19"/>
      <c r="GL223" s="20"/>
      <c r="GM223" s="25"/>
      <c r="GN223" s="19"/>
      <c r="GO223" s="20"/>
      <c r="GP223" s="25"/>
      <c r="GQ223" s="19"/>
      <c r="GR223" s="20"/>
      <c r="GS223" s="25"/>
      <c r="GT223" s="848">
        <v>50192</v>
      </c>
      <c r="GU223" s="19"/>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848">
        <v>50192</v>
      </c>
      <c r="IX223" s="93"/>
      <c r="IY223" s="93"/>
      <c r="IZ223" s="93"/>
      <c r="JA223" s="93"/>
      <c r="JB223" s="93"/>
      <c r="JC223" s="93"/>
      <c r="JD223" s="93"/>
      <c r="JE223" s="93"/>
      <c r="JF223" s="93"/>
      <c r="JG223" s="93"/>
      <c r="JH223" s="93"/>
      <c r="JI223" s="93"/>
      <c r="JJ223" s="93"/>
      <c r="JK223" s="93"/>
      <c r="JL223" s="93"/>
      <c r="JM223" s="93"/>
      <c r="JN223" s="93"/>
      <c r="JO223" s="93"/>
      <c r="JP223" s="93"/>
      <c r="JQ223" s="93"/>
      <c r="JR223" s="93"/>
      <c r="JS223" s="93"/>
      <c r="JT223" s="20"/>
      <c r="JU223" s="29"/>
      <c r="JV223" s="19"/>
      <c r="JW223" s="93"/>
      <c r="JX223" s="93"/>
      <c r="JY223" s="93"/>
      <c r="JZ223" s="93"/>
      <c r="KA223" s="93"/>
      <c r="KB223" s="93"/>
      <c r="KC223" s="93"/>
      <c r="KD223" s="93"/>
      <c r="KE223" s="93"/>
      <c r="KF223" s="93"/>
      <c r="KG223" s="93"/>
      <c r="KH223" s="93"/>
      <c r="KI223" s="93"/>
      <c r="KJ223" s="93"/>
      <c r="KK223" s="93"/>
      <c r="KL223" s="93"/>
      <c r="KM223" s="93"/>
      <c r="KN223" s="93"/>
      <c r="KO223" s="93"/>
      <c r="KP223" s="93"/>
      <c r="KQ223" s="93"/>
      <c r="KR223" s="93"/>
      <c r="KS223" s="93"/>
      <c r="KT223" s="93"/>
      <c r="KU223" s="93"/>
      <c r="KV223" s="93"/>
      <c r="KW223" s="20"/>
      <c r="KX223" s="29"/>
      <c r="KY223" s="19"/>
      <c r="KZ223" s="93"/>
      <c r="LA223" s="93"/>
      <c r="LB223" s="93"/>
      <c r="LC223" s="93"/>
      <c r="LD223" s="93"/>
      <c r="LE223" s="93"/>
      <c r="LF223" s="93"/>
      <c r="LG223" s="93"/>
      <c r="LH223" s="93"/>
      <c r="LI223" s="93"/>
      <c r="LJ223" s="93"/>
      <c r="LK223" s="93"/>
      <c r="LL223" s="93"/>
      <c r="LM223" s="93"/>
      <c r="LN223" s="93"/>
      <c r="LO223" s="93"/>
      <c r="LP223" s="93"/>
      <c r="LQ223" s="93"/>
      <c r="LR223" s="93"/>
      <c r="LS223" s="93"/>
      <c r="LT223" s="93"/>
      <c r="LU223" s="93"/>
      <c r="LV223" s="93"/>
      <c r="LW223" s="93"/>
      <c r="LX223" s="93"/>
      <c r="LY223" s="93"/>
      <c r="LZ223" s="93"/>
      <c r="MA223" s="93"/>
      <c r="MB223" s="93"/>
      <c r="MC223" s="93"/>
      <c r="MD223" s="93"/>
      <c r="ME223" s="93"/>
      <c r="MF223" s="93"/>
      <c r="MG223" s="93"/>
      <c r="MH223" s="20"/>
      <c r="MI223" s="29"/>
      <c r="MJ223" s="29" t="str">
        <f t="shared" si="97"/>
        <v>Trimestre 22037</v>
      </c>
      <c r="MK223" s="848">
        <v>50192</v>
      </c>
      <c r="ML223" s="1991"/>
      <c r="MM223" s="1991"/>
      <c r="MN223" s="1991"/>
      <c r="MO223" s="1991"/>
      <c r="MP223" s="1991"/>
      <c r="MQ223" s="1991"/>
      <c r="MR223" s="1991"/>
      <c r="MS223" s="1991"/>
      <c r="MT223" s="1991"/>
      <c r="MU223" s="1991"/>
      <c r="MV223" s="1991"/>
      <c r="MW223" s="1991"/>
      <c r="MX223" s="1991"/>
      <c r="MY223" s="1991"/>
      <c r="MZ223" s="1991"/>
      <c r="NA223" s="1991"/>
      <c r="NB223" s="1991"/>
      <c r="NC223" s="1991"/>
      <c r="ND223" s="1991"/>
      <c r="NE223" s="1991"/>
      <c r="NF223" s="1991"/>
      <c r="NG223" s="1991"/>
      <c r="NH223" s="1991"/>
      <c r="NI223" s="1991"/>
      <c r="NJ223" s="1991"/>
      <c r="NK223" s="1991"/>
      <c r="NL223" s="29"/>
    </row>
    <row r="224" spans="1:376">
      <c r="A224" s="41">
        <f t="shared" si="95"/>
        <v>2037</v>
      </c>
      <c r="B224" s="785">
        <v>50284</v>
      </c>
      <c r="C224" s="19"/>
      <c r="D224" s="93"/>
      <c r="E224" s="93"/>
      <c r="F224" s="93"/>
      <c r="G224" s="93"/>
      <c r="H224" s="93"/>
      <c r="I224" s="93"/>
      <c r="J224" s="93"/>
      <c r="K224" s="93"/>
      <c r="L224" s="93"/>
      <c r="M224" s="20"/>
      <c r="N224" s="25"/>
      <c r="O224" s="889">
        <f t="shared" si="94"/>
        <v>2037</v>
      </c>
      <c r="P224" s="29" t="str">
        <f t="shared" si="96"/>
        <v>Trimestre 32037</v>
      </c>
      <c r="Q224" s="848">
        <v>50284</v>
      </c>
      <c r="R224" s="733"/>
      <c r="S224" s="570"/>
      <c r="T224" s="570"/>
      <c r="U224" s="734"/>
      <c r="V224" s="25"/>
      <c r="W224" s="19"/>
      <c r="X224" s="93"/>
      <c r="Y224" s="93"/>
      <c r="Z224" s="93"/>
      <c r="AA224" s="93"/>
      <c r="AB224" s="93"/>
      <c r="AC224" s="93"/>
      <c r="AD224" s="93"/>
      <c r="AE224" s="20"/>
      <c r="AF224" s="25"/>
      <c r="AG224" s="19"/>
      <c r="AH224" s="93"/>
      <c r="AI224" s="93"/>
      <c r="AJ224" s="93"/>
      <c r="AK224" s="93"/>
      <c r="AL224" s="93"/>
      <c r="AM224" s="93"/>
      <c r="AN224" s="20"/>
      <c r="AO224" s="19"/>
      <c r="AP224" s="93"/>
      <c r="AQ224" s="93"/>
      <c r="AR224" s="93"/>
      <c r="AS224" s="20"/>
      <c r="AT224" s="19"/>
      <c r="AU224" s="93"/>
      <c r="AV224" s="20"/>
      <c r="AW224" s="19"/>
      <c r="AX224" s="93"/>
      <c r="AY224" s="93"/>
      <c r="AZ224" s="93"/>
      <c r="BA224" s="93"/>
      <c r="BB224" s="93"/>
      <c r="BC224" s="20"/>
      <c r="BD224" s="19"/>
      <c r="BE224" s="93"/>
      <c r="BF224" s="93"/>
      <c r="BG224" s="93"/>
      <c r="BH224" s="93"/>
      <c r="BI224" s="93"/>
      <c r="BJ224" s="93"/>
      <c r="BK224" s="20"/>
      <c r="BL224" s="19"/>
      <c r="BM224" s="93"/>
      <c r="BN224" s="93"/>
      <c r="BO224" s="93"/>
      <c r="BP224" s="93"/>
      <c r="BQ224" s="20"/>
      <c r="BR224" s="19"/>
      <c r="BS224" s="93"/>
      <c r="BT224" s="93"/>
      <c r="BU224" s="20"/>
      <c r="BV224" s="19"/>
      <c r="BW224" s="93"/>
      <c r="BX224" s="93"/>
      <c r="BY224" s="93"/>
      <c r="BZ224" s="93"/>
      <c r="CA224" s="93"/>
      <c r="CB224" s="20"/>
      <c r="CC224" s="25"/>
      <c r="CD224" s="19"/>
      <c r="CE224" s="93"/>
      <c r="CF224" s="20"/>
      <c r="CG224" s="25"/>
      <c r="CH224" s="19"/>
      <c r="CI224" s="93"/>
      <c r="CJ224" s="93"/>
      <c r="CK224" s="93"/>
      <c r="CL224" s="93"/>
      <c r="CM224" s="93"/>
      <c r="CN224" s="93"/>
      <c r="CO224" s="93"/>
      <c r="CP224" s="93"/>
      <c r="CQ224" s="93"/>
      <c r="CR224" s="214"/>
      <c r="CS224" s="20"/>
      <c r="CT224" s="25"/>
      <c r="CU224" s="19"/>
      <c r="CV224" s="93"/>
      <c r="CW224" s="93"/>
      <c r="CX224" s="93"/>
      <c r="CY224" s="93"/>
      <c r="CZ224" s="93"/>
      <c r="DA224" s="93"/>
      <c r="DB224" s="20"/>
      <c r="DC224" s="25"/>
      <c r="DD224" s="785">
        <v>50284</v>
      </c>
      <c r="DE224" s="19"/>
      <c r="DF224" s="20"/>
      <c r="DG224" s="25"/>
      <c r="DH224" s="19"/>
      <c r="DI224" s="20"/>
      <c r="DJ224" s="25"/>
      <c r="DK224" s="19"/>
      <c r="DL224" s="20"/>
      <c r="DM224" s="19"/>
      <c r="DN224" s="20"/>
      <c r="DO224" s="25"/>
      <c r="DP224" s="19"/>
      <c r="DQ224" s="93"/>
      <c r="DR224" s="20"/>
      <c r="DS224" s="25"/>
      <c r="DT224" s="19"/>
      <c r="DU224" s="93"/>
      <c r="DV224" s="20"/>
      <c r="DW224" s="25"/>
      <c r="DX224" s="19"/>
      <c r="DY224" s="20"/>
      <c r="DZ224" s="25"/>
      <c r="EA224" s="19"/>
      <c r="EB224" s="93"/>
      <c r="EC224" s="93"/>
      <c r="ED224" s="93"/>
      <c r="EE224" s="20"/>
      <c r="EF224" s="25"/>
      <c r="EG224" s="19"/>
      <c r="EH224" s="93"/>
      <c r="EI224" s="93"/>
      <c r="EJ224" s="93"/>
      <c r="EK224" s="20"/>
      <c r="EL224" s="25"/>
      <c r="EM224" s="19"/>
      <c r="EN224" s="93"/>
      <c r="EO224" s="93"/>
      <c r="EP224" s="93"/>
      <c r="EQ224" s="93"/>
      <c r="ER224" s="93"/>
      <c r="ES224" s="93"/>
      <c r="ET224" s="93"/>
      <c r="EU224" s="93"/>
      <c r="EV224" s="20"/>
      <c r="EW224" s="25"/>
      <c r="EX224" s="915"/>
      <c r="EY224" s="916"/>
      <c r="EZ224" s="916"/>
      <c r="FA224" s="916"/>
      <c r="FB224" s="916"/>
      <c r="FC224" s="916"/>
      <c r="FD224" s="916"/>
      <c r="FE224" s="916"/>
      <c r="FF224" s="916"/>
      <c r="FG224" s="917"/>
      <c r="FH224" s="25"/>
      <c r="FI224" s="848">
        <v>50284</v>
      </c>
      <c r="FJ224" s="19"/>
      <c r="FK224" s="93"/>
      <c r="FL224" s="20"/>
      <c r="FM224" s="25"/>
      <c r="FN224" s="19"/>
      <c r="FO224" s="93"/>
      <c r="FP224" s="93"/>
      <c r="FQ224" s="93"/>
      <c r="FR224" s="93"/>
      <c r="FS224" s="93"/>
      <c r="FT224" s="93"/>
      <c r="FU224" s="93"/>
      <c r="FV224" s="93"/>
      <c r="FW224" s="917"/>
      <c r="FX224" s="25"/>
      <c r="FY224" s="916"/>
      <c r="FZ224" s="916"/>
      <c r="GA224" s="916"/>
      <c r="GB224" s="916"/>
      <c r="GC224" s="916"/>
      <c r="GD224" s="916"/>
      <c r="GE224" s="916"/>
      <c r="GF224" s="916"/>
      <c r="GG224" s="916"/>
      <c r="GH224" s="916"/>
      <c r="GI224" s="917"/>
      <c r="GJ224" s="25"/>
      <c r="GK224" s="19"/>
      <c r="GL224" s="20"/>
      <c r="GM224" s="25"/>
      <c r="GN224" s="19"/>
      <c r="GO224" s="20"/>
      <c r="GP224" s="25"/>
      <c r="GQ224" s="19"/>
      <c r="GR224" s="20"/>
      <c r="GS224" s="25"/>
      <c r="GT224" s="848">
        <v>50284</v>
      </c>
      <c r="GU224" s="19"/>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848">
        <v>50284</v>
      </c>
      <c r="IX224" s="93"/>
      <c r="IY224" s="93"/>
      <c r="IZ224" s="93"/>
      <c r="JA224" s="93"/>
      <c r="JB224" s="93"/>
      <c r="JC224" s="93"/>
      <c r="JD224" s="93"/>
      <c r="JE224" s="93"/>
      <c r="JF224" s="93"/>
      <c r="JG224" s="93"/>
      <c r="JH224" s="93"/>
      <c r="JI224" s="93"/>
      <c r="JJ224" s="93"/>
      <c r="JK224" s="93"/>
      <c r="JL224" s="93"/>
      <c r="JM224" s="93"/>
      <c r="JN224" s="93"/>
      <c r="JO224" s="93"/>
      <c r="JP224" s="93"/>
      <c r="JQ224" s="93"/>
      <c r="JR224" s="93"/>
      <c r="JS224" s="93"/>
      <c r="JT224" s="20"/>
      <c r="JU224" s="29"/>
      <c r="JV224" s="19"/>
      <c r="JW224" s="93"/>
      <c r="JX224" s="93"/>
      <c r="JY224" s="93"/>
      <c r="JZ224" s="93"/>
      <c r="KA224" s="93"/>
      <c r="KB224" s="93"/>
      <c r="KC224" s="93"/>
      <c r="KD224" s="93"/>
      <c r="KE224" s="93"/>
      <c r="KF224" s="93"/>
      <c r="KG224" s="93"/>
      <c r="KH224" s="93"/>
      <c r="KI224" s="93"/>
      <c r="KJ224" s="93"/>
      <c r="KK224" s="93"/>
      <c r="KL224" s="93"/>
      <c r="KM224" s="93"/>
      <c r="KN224" s="93"/>
      <c r="KO224" s="93"/>
      <c r="KP224" s="93"/>
      <c r="KQ224" s="93"/>
      <c r="KR224" s="93"/>
      <c r="KS224" s="93"/>
      <c r="KT224" s="93"/>
      <c r="KU224" s="93"/>
      <c r="KV224" s="93"/>
      <c r="KW224" s="20"/>
      <c r="KX224" s="29"/>
      <c r="KY224" s="19"/>
      <c r="KZ224" s="93"/>
      <c r="LA224" s="93"/>
      <c r="LB224" s="93"/>
      <c r="LC224" s="93"/>
      <c r="LD224" s="93"/>
      <c r="LE224" s="93"/>
      <c r="LF224" s="93"/>
      <c r="LG224" s="93"/>
      <c r="LH224" s="93"/>
      <c r="LI224" s="93"/>
      <c r="LJ224" s="93"/>
      <c r="LK224" s="93"/>
      <c r="LL224" s="93"/>
      <c r="LM224" s="93"/>
      <c r="LN224" s="93"/>
      <c r="LO224" s="93"/>
      <c r="LP224" s="93"/>
      <c r="LQ224" s="93"/>
      <c r="LR224" s="93"/>
      <c r="LS224" s="93"/>
      <c r="LT224" s="93"/>
      <c r="LU224" s="93"/>
      <c r="LV224" s="93"/>
      <c r="LW224" s="93"/>
      <c r="LX224" s="93"/>
      <c r="LY224" s="93"/>
      <c r="LZ224" s="93"/>
      <c r="MA224" s="93"/>
      <c r="MB224" s="93"/>
      <c r="MC224" s="93"/>
      <c r="MD224" s="93"/>
      <c r="ME224" s="93"/>
      <c r="MF224" s="93"/>
      <c r="MG224" s="93"/>
      <c r="MH224" s="20"/>
      <c r="MI224" s="29"/>
      <c r="MJ224" s="29" t="str">
        <f t="shared" si="97"/>
        <v>Trimestre 32037</v>
      </c>
      <c r="MK224" s="848">
        <v>50284</v>
      </c>
      <c r="ML224" s="1991"/>
      <c r="MM224" s="1991"/>
      <c r="MN224" s="1991"/>
      <c r="MO224" s="1991"/>
      <c r="MP224" s="1991"/>
      <c r="MQ224" s="1991"/>
      <c r="MR224" s="1991"/>
      <c r="MS224" s="1991"/>
      <c r="MT224" s="1991"/>
      <c r="MU224" s="1991"/>
      <c r="MV224" s="1991"/>
      <c r="MW224" s="1991"/>
      <c r="MX224" s="1991"/>
      <c r="MY224" s="1991"/>
      <c r="MZ224" s="1991"/>
      <c r="NA224" s="1991"/>
      <c r="NB224" s="1991"/>
      <c r="NC224" s="1991"/>
      <c r="ND224" s="1991"/>
      <c r="NE224" s="1991"/>
      <c r="NF224" s="1991"/>
      <c r="NG224" s="1991"/>
      <c r="NH224" s="1991"/>
      <c r="NI224" s="1991"/>
      <c r="NJ224" s="1991"/>
      <c r="NK224" s="1991"/>
      <c r="NL224" s="29"/>
    </row>
    <row r="225" spans="1:376">
      <c r="A225" s="41">
        <f t="shared" si="95"/>
        <v>2037</v>
      </c>
      <c r="B225" s="785">
        <v>50375</v>
      </c>
      <c r="C225" s="19"/>
      <c r="D225" s="93"/>
      <c r="E225" s="93"/>
      <c r="F225" s="93"/>
      <c r="G225" s="93"/>
      <c r="H225" s="93"/>
      <c r="I225" s="93"/>
      <c r="J225" s="93"/>
      <c r="K225" s="93"/>
      <c r="L225" s="93"/>
      <c r="M225" s="20"/>
      <c r="N225" s="25"/>
      <c r="O225" s="889">
        <f t="shared" si="94"/>
        <v>2037</v>
      </c>
      <c r="P225" s="29" t="str">
        <f t="shared" si="96"/>
        <v>Trimestre 42037</v>
      </c>
      <c r="Q225" s="848">
        <v>50375</v>
      </c>
      <c r="R225" s="733"/>
      <c r="S225" s="570"/>
      <c r="T225" s="570"/>
      <c r="U225" s="734"/>
      <c r="V225" s="25"/>
      <c r="W225" s="19"/>
      <c r="X225" s="93"/>
      <c r="Y225" s="93"/>
      <c r="Z225" s="93"/>
      <c r="AA225" s="93"/>
      <c r="AB225" s="93"/>
      <c r="AC225" s="93"/>
      <c r="AD225" s="93"/>
      <c r="AE225" s="20"/>
      <c r="AF225" s="25"/>
      <c r="AG225" s="19"/>
      <c r="AH225" s="93"/>
      <c r="AI225" s="93"/>
      <c r="AJ225" s="93"/>
      <c r="AK225" s="93"/>
      <c r="AL225" s="93"/>
      <c r="AM225" s="93"/>
      <c r="AN225" s="20"/>
      <c r="AO225" s="19"/>
      <c r="AP225" s="93"/>
      <c r="AQ225" s="93"/>
      <c r="AR225" s="93"/>
      <c r="AS225" s="20"/>
      <c r="AT225" s="19"/>
      <c r="AU225" s="93"/>
      <c r="AV225" s="20"/>
      <c r="AW225" s="19"/>
      <c r="AX225" s="93"/>
      <c r="AY225" s="93"/>
      <c r="AZ225" s="93"/>
      <c r="BA225" s="93"/>
      <c r="BB225" s="93"/>
      <c r="BC225" s="20"/>
      <c r="BD225" s="19"/>
      <c r="BE225" s="93"/>
      <c r="BF225" s="93"/>
      <c r="BG225" s="93"/>
      <c r="BH225" s="93"/>
      <c r="BI225" s="93"/>
      <c r="BJ225" s="93"/>
      <c r="BK225" s="20"/>
      <c r="BL225" s="19"/>
      <c r="BM225" s="93"/>
      <c r="BN225" s="93"/>
      <c r="BO225" s="93"/>
      <c r="BP225" s="93"/>
      <c r="BQ225" s="20"/>
      <c r="BR225" s="19"/>
      <c r="BS225" s="93"/>
      <c r="BT225" s="93"/>
      <c r="BU225" s="20"/>
      <c r="BV225" s="19"/>
      <c r="BW225" s="93"/>
      <c r="BX225" s="93"/>
      <c r="BY225" s="93"/>
      <c r="BZ225" s="93"/>
      <c r="CA225" s="93"/>
      <c r="CB225" s="20"/>
      <c r="CC225" s="25"/>
      <c r="CD225" s="19"/>
      <c r="CE225" s="93"/>
      <c r="CF225" s="20"/>
      <c r="CG225" s="25"/>
      <c r="CH225" s="19"/>
      <c r="CI225" s="93"/>
      <c r="CJ225" s="93"/>
      <c r="CK225" s="93"/>
      <c r="CL225" s="93"/>
      <c r="CM225" s="93"/>
      <c r="CN225" s="93"/>
      <c r="CO225" s="93"/>
      <c r="CP225" s="93"/>
      <c r="CQ225" s="93"/>
      <c r="CR225" s="214"/>
      <c r="CS225" s="20"/>
      <c r="CT225" s="25"/>
      <c r="CU225" s="19"/>
      <c r="CV225" s="93"/>
      <c r="CW225" s="93"/>
      <c r="CX225" s="93"/>
      <c r="CY225" s="93"/>
      <c r="CZ225" s="93"/>
      <c r="DA225" s="93"/>
      <c r="DB225" s="20"/>
      <c r="DC225" s="25"/>
      <c r="DD225" s="785">
        <v>50375</v>
      </c>
      <c r="DE225" s="19"/>
      <c r="DF225" s="20"/>
      <c r="DG225" s="25"/>
      <c r="DH225" s="19"/>
      <c r="DI225" s="20"/>
      <c r="DJ225" s="25"/>
      <c r="DK225" s="19"/>
      <c r="DL225" s="20"/>
      <c r="DM225" s="19"/>
      <c r="DN225" s="20"/>
      <c r="DO225" s="25"/>
      <c r="DP225" s="19"/>
      <c r="DQ225" s="93"/>
      <c r="DR225" s="20"/>
      <c r="DS225" s="25"/>
      <c r="DT225" s="19"/>
      <c r="DU225" s="93"/>
      <c r="DV225" s="20"/>
      <c r="DW225" s="25"/>
      <c r="DX225" s="19"/>
      <c r="DY225" s="20"/>
      <c r="DZ225" s="25"/>
      <c r="EA225" s="19"/>
      <c r="EB225" s="93"/>
      <c r="EC225" s="93"/>
      <c r="ED225" s="93"/>
      <c r="EE225" s="20"/>
      <c r="EF225" s="25"/>
      <c r="EG225" s="19"/>
      <c r="EH225" s="93"/>
      <c r="EI225" s="93"/>
      <c r="EJ225" s="93"/>
      <c r="EK225" s="20"/>
      <c r="EL225" s="25"/>
      <c r="EM225" s="19"/>
      <c r="EN225" s="93"/>
      <c r="EO225" s="93"/>
      <c r="EP225" s="93"/>
      <c r="EQ225" s="93"/>
      <c r="ER225" s="93"/>
      <c r="ES225" s="93"/>
      <c r="ET225" s="93"/>
      <c r="EU225" s="93"/>
      <c r="EV225" s="20"/>
      <c r="EW225" s="25"/>
      <c r="EX225" s="915"/>
      <c r="EY225" s="916"/>
      <c r="EZ225" s="916"/>
      <c r="FA225" s="916"/>
      <c r="FB225" s="916"/>
      <c r="FC225" s="916"/>
      <c r="FD225" s="916"/>
      <c r="FE225" s="916"/>
      <c r="FF225" s="916"/>
      <c r="FG225" s="917"/>
      <c r="FH225" s="25"/>
      <c r="FI225" s="848">
        <v>50375</v>
      </c>
      <c r="FJ225" s="19"/>
      <c r="FK225" s="93"/>
      <c r="FL225" s="20"/>
      <c r="FM225" s="25"/>
      <c r="FN225" s="19"/>
      <c r="FO225" s="93"/>
      <c r="FP225" s="93"/>
      <c r="FQ225" s="93"/>
      <c r="FR225" s="93"/>
      <c r="FS225" s="93"/>
      <c r="FT225" s="93"/>
      <c r="FU225" s="93"/>
      <c r="FV225" s="93"/>
      <c r="FW225" s="917"/>
      <c r="FX225" s="25"/>
      <c r="FY225" s="916"/>
      <c r="FZ225" s="916"/>
      <c r="GA225" s="916"/>
      <c r="GB225" s="916"/>
      <c r="GC225" s="916"/>
      <c r="GD225" s="916"/>
      <c r="GE225" s="916"/>
      <c r="GF225" s="916"/>
      <c r="GG225" s="916"/>
      <c r="GH225" s="916"/>
      <c r="GI225" s="917"/>
      <c r="GJ225" s="25"/>
      <c r="GK225" s="19"/>
      <c r="GL225" s="20"/>
      <c r="GM225" s="25"/>
      <c r="GN225" s="19"/>
      <c r="GO225" s="20"/>
      <c r="GP225" s="25"/>
      <c r="GQ225" s="19"/>
      <c r="GR225" s="20"/>
      <c r="GS225" s="25"/>
      <c r="GT225" s="848">
        <v>50375</v>
      </c>
      <c r="GU225" s="19"/>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848">
        <v>50375</v>
      </c>
      <c r="IX225" s="93"/>
      <c r="IY225" s="93"/>
      <c r="IZ225" s="93"/>
      <c r="JA225" s="93"/>
      <c r="JB225" s="93"/>
      <c r="JC225" s="93"/>
      <c r="JD225" s="93"/>
      <c r="JE225" s="93"/>
      <c r="JF225" s="93"/>
      <c r="JG225" s="93"/>
      <c r="JH225" s="93"/>
      <c r="JI225" s="93"/>
      <c r="JJ225" s="93"/>
      <c r="JK225" s="93"/>
      <c r="JL225" s="93"/>
      <c r="JM225" s="93"/>
      <c r="JN225" s="93"/>
      <c r="JO225" s="93"/>
      <c r="JP225" s="93"/>
      <c r="JQ225" s="93"/>
      <c r="JR225" s="93"/>
      <c r="JS225" s="93"/>
      <c r="JT225" s="20"/>
      <c r="JU225" s="29"/>
      <c r="JV225" s="19"/>
      <c r="JW225" s="93"/>
      <c r="JX225" s="93"/>
      <c r="JY225" s="93"/>
      <c r="JZ225" s="93"/>
      <c r="KA225" s="93"/>
      <c r="KB225" s="93"/>
      <c r="KC225" s="93"/>
      <c r="KD225" s="93"/>
      <c r="KE225" s="93"/>
      <c r="KF225" s="93"/>
      <c r="KG225" s="93"/>
      <c r="KH225" s="93"/>
      <c r="KI225" s="93"/>
      <c r="KJ225" s="93"/>
      <c r="KK225" s="93"/>
      <c r="KL225" s="93"/>
      <c r="KM225" s="93"/>
      <c r="KN225" s="93"/>
      <c r="KO225" s="93"/>
      <c r="KP225" s="93"/>
      <c r="KQ225" s="93"/>
      <c r="KR225" s="93"/>
      <c r="KS225" s="93"/>
      <c r="KT225" s="93"/>
      <c r="KU225" s="93"/>
      <c r="KV225" s="93"/>
      <c r="KW225" s="20"/>
      <c r="KX225" s="29"/>
      <c r="KY225" s="19"/>
      <c r="KZ225" s="93"/>
      <c r="LA225" s="93"/>
      <c r="LB225" s="93"/>
      <c r="LC225" s="93"/>
      <c r="LD225" s="93"/>
      <c r="LE225" s="93"/>
      <c r="LF225" s="93"/>
      <c r="LG225" s="93"/>
      <c r="LH225" s="93"/>
      <c r="LI225" s="93"/>
      <c r="LJ225" s="93"/>
      <c r="LK225" s="93"/>
      <c r="LL225" s="93"/>
      <c r="LM225" s="93"/>
      <c r="LN225" s="93"/>
      <c r="LO225" s="93"/>
      <c r="LP225" s="93"/>
      <c r="LQ225" s="93"/>
      <c r="LR225" s="93"/>
      <c r="LS225" s="93"/>
      <c r="LT225" s="93"/>
      <c r="LU225" s="93"/>
      <c r="LV225" s="93"/>
      <c r="LW225" s="93"/>
      <c r="LX225" s="93"/>
      <c r="LY225" s="93"/>
      <c r="LZ225" s="93"/>
      <c r="MA225" s="93"/>
      <c r="MB225" s="93"/>
      <c r="MC225" s="93"/>
      <c r="MD225" s="93"/>
      <c r="ME225" s="93"/>
      <c r="MF225" s="93"/>
      <c r="MG225" s="93"/>
      <c r="MH225" s="20"/>
      <c r="MI225" s="29"/>
      <c r="MJ225" s="29" t="str">
        <f t="shared" si="97"/>
        <v>Trimestre 42037</v>
      </c>
      <c r="MK225" s="848">
        <v>50375</v>
      </c>
      <c r="ML225" s="1991"/>
      <c r="MM225" s="1991"/>
      <c r="MN225" s="1991"/>
      <c r="MO225" s="1991"/>
      <c r="MP225" s="1991"/>
      <c r="MQ225" s="1991"/>
      <c r="MR225" s="1991"/>
      <c r="MS225" s="1991"/>
      <c r="MT225" s="1991"/>
      <c r="MU225" s="1991"/>
      <c r="MV225" s="1991"/>
      <c r="MW225" s="1991"/>
      <c r="MX225" s="1991"/>
      <c r="MY225" s="1991"/>
      <c r="MZ225" s="1991"/>
      <c r="NA225" s="1991"/>
      <c r="NB225" s="1991"/>
      <c r="NC225" s="1991"/>
      <c r="ND225" s="1991"/>
      <c r="NE225" s="1991"/>
      <c r="NF225" s="1991"/>
      <c r="NG225" s="1991"/>
      <c r="NH225" s="1991"/>
      <c r="NI225" s="1991"/>
      <c r="NJ225" s="1991"/>
      <c r="NK225" s="1991"/>
      <c r="NL225" s="29"/>
    </row>
    <row r="226" spans="1:376">
      <c r="A226" s="41">
        <f t="shared" si="95"/>
        <v>2038</v>
      </c>
      <c r="B226" s="785">
        <v>50465</v>
      </c>
      <c r="C226" s="19"/>
      <c r="D226" s="93"/>
      <c r="E226" s="93"/>
      <c r="F226" s="93"/>
      <c r="G226" s="93"/>
      <c r="H226" s="93"/>
      <c r="I226" s="93"/>
      <c r="J226" s="93"/>
      <c r="K226" s="93"/>
      <c r="L226" s="93"/>
      <c r="M226" s="20"/>
      <c r="N226" s="25"/>
      <c r="O226" s="889">
        <f t="shared" si="94"/>
        <v>2038</v>
      </c>
      <c r="P226" s="29" t="str">
        <f t="shared" si="96"/>
        <v>Trimestre 12038</v>
      </c>
      <c r="Q226" s="848">
        <v>50465</v>
      </c>
      <c r="R226" s="733"/>
      <c r="S226" s="570"/>
      <c r="T226" s="570"/>
      <c r="U226" s="734"/>
      <c r="V226" s="25"/>
      <c r="W226" s="19"/>
      <c r="X226" s="93"/>
      <c r="Y226" s="93"/>
      <c r="Z226" s="93"/>
      <c r="AA226" s="93"/>
      <c r="AB226" s="93"/>
      <c r="AC226" s="93"/>
      <c r="AD226" s="93"/>
      <c r="AE226" s="20"/>
      <c r="AF226" s="25"/>
      <c r="AG226" s="19"/>
      <c r="AH226" s="93"/>
      <c r="AI226" s="93"/>
      <c r="AJ226" s="93"/>
      <c r="AK226" s="93"/>
      <c r="AL226" s="93"/>
      <c r="AM226" s="93"/>
      <c r="AN226" s="20"/>
      <c r="AO226" s="19"/>
      <c r="AP226" s="93"/>
      <c r="AQ226" s="93"/>
      <c r="AR226" s="93"/>
      <c r="AS226" s="20"/>
      <c r="AT226" s="19"/>
      <c r="AU226" s="93"/>
      <c r="AV226" s="20"/>
      <c r="AW226" s="19"/>
      <c r="AX226" s="93"/>
      <c r="AY226" s="93"/>
      <c r="AZ226" s="93"/>
      <c r="BA226" s="93"/>
      <c r="BB226" s="93"/>
      <c r="BC226" s="20"/>
      <c r="BD226" s="19"/>
      <c r="BE226" s="93"/>
      <c r="BF226" s="93"/>
      <c r="BG226" s="93"/>
      <c r="BH226" s="93"/>
      <c r="BI226" s="93"/>
      <c r="BJ226" s="93"/>
      <c r="BK226" s="20"/>
      <c r="BL226" s="19"/>
      <c r="BM226" s="93"/>
      <c r="BN226" s="93"/>
      <c r="BO226" s="93"/>
      <c r="BP226" s="93"/>
      <c r="BQ226" s="20"/>
      <c r="BR226" s="19"/>
      <c r="BS226" s="93"/>
      <c r="BT226" s="93"/>
      <c r="BU226" s="20"/>
      <c r="BV226" s="19"/>
      <c r="BW226" s="93"/>
      <c r="BX226" s="93"/>
      <c r="BY226" s="93"/>
      <c r="BZ226" s="93"/>
      <c r="CA226" s="93"/>
      <c r="CB226" s="20"/>
      <c r="CC226" s="25"/>
      <c r="CD226" s="19"/>
      <c r="CE226" s="93"/>
      <c r="CF226" s="20"/>
      <c r="CG226" s="25"/>
      <c r="CH226" s="19"/>
      <c r="CI226" s="93"/>
      <c r="CJ226" s="93"/>
      <c r="CK226" s="93"/>
      <c r="CL226" s="93"/>
      <c r="CM226" s="93"/>
      <c r="CN226" s="93"/>
      <c r="CO226" s="93"/>
      <c r="CP226" s="93"/>
      <c r="CQ226" s="93"/>
      <c r="CR226" s="214"/>
      <c r="CS226" s="20"/>
      <c r="CT226" s="25"/>
      <c r="CU226" s="19"/>
      <c r="CV226" s="93"/>
      <c r="CW226" s="93"/>
      <c r="CX226" s="93"/>
      <c r="CY226" s="93"/>
      <c r="CZ226" s="93"/>
      <c r="DA226" s="93"/>
      <c r="DB226" s="20"/>
      <c r="DC226" s="25"/>
      <c r="DD226" s="785">
        <v>50465</v>
      </c>
      <c r="DE226" s="19"/>
      <c r="DF226" s="20"/>
      <c r="DG226" s="25"/>
      <c r="DH226" s="19"/>
      <c r="DI226" s="20"/>
      <c r="DJ226" s="25"/>
      <c r="DK226" s="19"/>
      <c r="DL226" s="20"/>
      <c r="DM226" s="19"/>
      <c r="DN226" s="20"/>
      <c r="DO226" s="25"/>
      <c r="DP226" s="19"/>
      <c r="DQ226" s="93"/>
      <c r="DR226" s="20"/>
      <c r="DS226" s="25"/>
      <c r="DT226" s="19"/>
      <c r="DU226" s="93"/>
      <c r="DV226" s="20"/>
      <c r="DW226" s="25"/>
      <c r="DX226" s="19"/>
      <c r="DY226" s="20"/>
      <c r="DZ226" s="25"/>
      <c r="EA226" s="19"/>
      <c r="EB226" s="93"/>
      <c r="EC226" s="93"/>
      <c r="ED226" s="93"/>
      <c r="EE226" s="20"/>
      <c r="EF226" s="25"/>
      <c r="EG226" s="19"/>
      <c r="EH226" s="93"/>
      <c r="EI226" s="93"/>
      <c r="EJ226" s="93"/>
      <c r="EK226" s="20"/>
      <c r="EL226" s="25"/>
      <c r="EM226" s="19"/>
      <c r="EN226" s="93"/>
      <c r="EO226" s="93"/>
      <c r="EP226" s="93"/>
      <c r="EQ226" s="93"/>
      <c r="ER226" s="93"/>
      <c r="ES226" s="93"/>
      <c r="ET226" s="93"/>
      <c r="EU226" s="93"/>
      <c r="EV226" s="20"/>
      <c r="EW226" s="25"/>
      <c r="EX226" s="915"/>
      <c r="EY226" s="916"/>
      <c r="EZ226" s="916"/>
      <c r="FA226" s="916"/>
      <c r="FB226" s="916"/>
      <c r="FC226" s="916"/>
      <c r="FD226" s="916"/>
      <c r="FE226" s="916"/>
      <c r="FF226" s="916"/>
      <c r="FG226" s="917"/>
      <c r="FH226" s="25"/>
      <c r="FI226" s="848">
        <v>50465</v>
      </c>
      <c r="FJ226" s="19"/>
      <c r="FK226" s="93"/>
      <c r="FL226" s="20"/>
      <c r="FM226" s="25"/>
      <c r="FN226" s="19"/>
      <c r="FO226" s="93"/>
      <c r="FP226" s="93"/>
      <c r="FQ226" s="93"/>
      <c r="FR226" s="93"/>
      <c r="FS226" s="93"/>
      <c r="FT226" s="93"/>
      <c r="FU226" s="93"/>
      <c r="FV226" s="93"/>
      <c r="FW226" s="917"/>
      <c r="FX226" s="25"/>
      <c r="FY226" s="916"/>
      <c r="FZ226" s="916"/>
      <c r="GA226" s="916"/>
      <c r="GB226" s="916"/>
      <c r="GC226" s="916"/>
      <c r="GD226" s="916"/>
      <c r="GE226" s="916"/>
      <c r="GF226" s="916"/>
      <c r="GG226" s="916"/>
      <c r="GH226" s="916"/>
      <c r="GI226" s="917"/>
      <c r="GJ226" s="25"/>
      <c r="GK226" s="19"/>
      <c r="GL226" s="20"/>
      <c r="GM226" s="25"/>
      <c r="GN226" s="19"/>
      <c r="GO226" s="20"/>
      <c r="GP226" s="25"/>
      <c r="GQ226" s="19"/>
      <c r="GR226" s="20"/>
      <c r="GS226" s="25"/>
      <c r="GT226" s="848">
        <v>50465</v>
      </c>
      <c r="GU226" s="19"/>
      <c r="GV226" s="93"/>
      <c r="GW226" s="93"/>
      <c r="GX226" s="93"/>
      <c r="GY226" s="93"/>
      <c r="GZ226" s="93"/>
      <c r="HA226" s="93"/>
      <c r="HB226" s="93"/>
      <c r="HC226" s="93"/>
      <c r="HD226" s="93"/>
      <c r="HE226" s="93"/>
      <c r="HF226" s="93"/>
      <c r="HG226" s="93"/>
      <c r="HH226" s="93"/>
      <c r="HI226" s="93"/>
      <c r="HJ226" s="93"/>
      <c r="HK226" s="93"/>
      <c r="HL226" s="93"/>
      <c r="HM226" s="93"/>
      <c r="HN226" s="93"/>
      <c r="HO226" s="93"/>
      <c r="HP226" s="93"/>
      <c r="HQ226" s="93"/>
      <c r="HR226" s="93"/>
      <c r="HS226" s="93"/>
      <c r="HT226" s="93"/>
      <c r="HU226" s="93"/>
      <c r="HV226" s="93"/>
      <c r="HW226" s="93"/>
      <c r="HX226" s="93"/>
      <c r="HY226" s="93"/>
      <c r="HZ226" s="93"/>
      <c r="IA226" s="93"/>
      <c r="IB226" s="93"/>
      <c r="IC226" s="93"/>
      <c r="ID226" s="93"/>
      <c r="IE226" s="93"/>
      <c r="IF226" s="93"/>
      <c r="IG226" s="93"/>
      <c r="IH226" s="93"/>
      <c r="II226" s="93"/>
      <c r="IJ226" s="93"/>
      <c r="IK226" s="93"/>
      <c r="IL226" s="93"/>
      <c r="IM226" s="93"/>
      <c r="IN226" s="93"/>
      <c r="IO226" s="93"/>
      <c r="IP226" s="93"/>
      <c r="IQ226" s="93"/>
      <c r="IR226" s="93"/>
      <c r="IS226" s="93"/>
      <c r="IT226" s="93"/>
      <c r="IU226" s="93"/>
      <c r="IV226" s="93"/>
      <c r="IW226" s="848">
        <v>50465</v>
      </c>
      <c r="IX226" s="93"/>
      <c r="IY226" s="93"/>
      <c r="IZ226" s="93"/>
      <c r="JA226" s="93"/>
      <c r="JB226" s="93"/>
      <c r="JC226" s="93"/>
      <c r="JD226" s="93"/>
      <c r="JE226" s="93"/>
      <c r="JF226" s="93"/>
      <c r="JG226" s="93"/>
      <c r="JH226" s="93"/>
      <c r="JI226" s="93"/>
      <c r="JJ226" s="93"/>
      <c r="JK226" s="93"/>
      <c r="JL226" s="93"/>
      <c r="JM226" s="93"/>
      <c r="JN226" s="93"/>
      <c r="JO226" s="93"/>
      <c r="JP226" s="93"/>
      <c r="JQ226" s="93"/>
      <c r="JR226" s="93"/>
      <c r="JS226" s="93"/>
      <c r="JT226" s="20"/>
      <c r="JU226" s="29"/>
      <c r="JV226" s="19"/>
      <c r="JW226" s="93"/>
      <c r="JX226" s="93"/>
      <c r="JY226" s="93"/>
      <c r="JZ226" s="93"/>
      <c r="KA226" s="93"/>
      <c r="KB226" s="93"/>
      <c r="KC226" s="93"/>
      <c r="KD226" s="93"/>
      <c r="KE226" s="93"/>
      <c r="KF226" s="93"/>
      <c r="KG226" s="93"/>
      <c r="KH226" s="93"/>
      <c r="KI226" s="93"/>
      <c r="KJ226" s="93"/>
      <c r="KK226" s="93"/>
      <c r="KL226" s="93"/>
      <c r="KM226" s="93"/>
      <c r="KN226" s="93"/>
      <c r="KO226" s="93"/>
      <c r="KP226" s="93"/>
      <c r="KQ226" s="93"/>
      <c r="KR226" s="93"/>
      <c r="KS226" s="93"/>
      <c r="KT226" s="93"/>
      <c r="KU226" s="93"/>
      <c r="KV226" s="93"/>
      <c r="KW226" s="20"/>
      <c r="KX226" s="29"/>
      <c r="KY226" s="19"/>
      <c r="KZ226" s="93"/>
      <c r="LA226" s="93"/>
      <c r="LB226" s="93"/>
      <c r="LC226" s="93"/>
      <c r="LD226" s="93"/>
      <c r="LE226" s="93"/>
      <c r="LF226" s="93"/>
      <c r="LG226" s="93"/>
      <c r="LH226" s="93"/>
      <c r="LI226" s="93"/>
      <c r="LJ226" s="93"/>
      <c r="LK226" s="93"/>
      <c r="LL226" s="93"/>
      <c r="LM226" s="93"/>
      <c r="LN226" s="93"/>
      <c r="LO226" s="93"/>
      <c r="LP226" s="93"/>
      <c r="LQ226" s="93"/>
      <c r="LR226" s="93"/>
      <c r="LS226" s="93"/>
      <c r="LT226" s="93"/>
      <c r="LU226" s="93"/>
      <c r="LV226" s="93"/>
      <c r="LW226" s="93"/>
      <c r="LX226" s="93"/>
      <c r="LY226" s="93"/>
      <c r="LZ226" s="93"/>
      <c r="MA226" s="93"/>
      <c r="MB226" s="93"/>
      <c r="MC226" s="93"/>
      <c r="MD226" s="93"/>
      <c r="ME226" s="93"/>
      <c r="MF226" s="93"/>
      <c r="MG226" s="93"/>
      <c r="MH226" s="20"/>
      <c r="MI226" s="29"/>
      <c r="MJ226" s="29" t="str">
        <f t="shared" si="97"/>
        <v>Trimestre 12038</v>
      </c>
      <c r="MK226" s="848">
        <v>50465</v>
      </c>
      <c r="ML226" s="1991"/>
      <c r="MM226" s="1991"/>
      <c r="MN226" s="1991"/>
      <c r="MO226" s="1991"/>
      <c r="MP226" s="1991"/>
      <c r="MQ226" s="1991"/>
      <c r="MR226" s="1991"/>
      <c r="MS226" s="1991"/>
      <c r="MT226" s="1991"/>
      <c r="MU226" s="1991"/>
      <c r="MV226" s="1991"/>
      <c r="MW226" s="1991"/>
      <c r="MX226" s="1991"/>
      <c r="MY226" s="1991"/>
      <c r="MZ226" s="1991"/>
      <c r="NA226" s="1991"/>
      <c r="NB226" s="1991"/>
      <c r="NC226" s="1991"/>
      <c r="ND226" s="1991"/>
      <c r="NE226" s="1991"/>
      <c r="NF226" s="1991"/>
      <c r="NG226" s="1991"/>
      <c r="NH226" s="1991"/>
      <c r="NI226" s="1991"/>
      <c r="NJ226" s="1991"/>
      <c r="NK226" s="1991"/>
      <c r="NL226" s="29"/>
    </row>
    <row r="227" spans="1:376">
      <c r="A227" s="41">
        <f t="shared" si="95"/>
        <v>2038</v>
      </c>
      <c r="B227" s="785">
        <v>50557</v>
      </c>
      <c r="C227" s="19"/>
      <c r="D227" s="93"/>
      <c r="E227" s="93"/>
      <c r="F227" s="93"/>
      <c r="G227" s="93"/>
      <c r="H227" s="93"/>
      <c r="I227" s="93"/>
      <c r="J227" s="93"/>
      <c r="K227" s="93"/>
      <c r="L227" s="93"/>
      <c r="M227" s="20"/>
      <c r="N227" s="25"/>
      <c r="O227" s="889">
        <f t="shared" si="94"/>
        <v>2038</v>
      </c>
      <c r="P227" s="29" t="str">
        <f t="shared" si="96"/>
        <v>Trimestre 22038</v>
      </c>
      <c r="Q227" s="848">
        <v>50557</v>
      </c>
      <c r="R227" s="733"/>
      <c r="S227" s="570"/>
      <c r="T227" s="570"/>
      <c r="U227" s="734"/>
      <c r="V227" s="25"/>
      <c r="W227" s="19"/>
      <c r="X227" s="93"/>
      <c r="Y227" s="93"/>
      <c r="Z227" s="93"/>
      <c r="AA227" s="93"/>
      <c r="AB227" s="93"/>
      <c r="AC227" s="93"/>
      <c r="AD227" s="93"/>
      <c r="AE227" s="20"/>
      <c r="AF227" s="25"/>
      <c r="AG227" s="19"/>
      <c r="AH227" s="93"/>
      <c r="AI227" s="93"/>
      <c r="AJ227" s="93"/>
      <c r="AK227" s="93"/>
      <c r="AL227" s="93"/>
      <c r="AM227" s="93"/>
      <c r="AN227" s="20"/>
      <c r="AO227" s="19"/>
      <c r="AP227" s="93"/>
      <c r="AQ227" s="93"/>
      <c r="AR227" s="93"/>
      <c r="AS227" s="20"/>
      <c r="AT227" s="19"/>
      <c r="AU227" s="93"/>
      <c r="AV227" s="20"/>
      <c r="AW227" s="19"/>
      <c r="AX227" s="93"/>
      <c r="AY227" s="93"/>
      <c r="AZ227" s="93"/>
      <c r="BA227" s="93"/>
      <c r="BB227" s="93"/>
      <c r="BC227" s="20"/>
      <c r="BD227" s="19"/>
      <c r="BE227" s="93"/>
      <c r="BF227" s="93"/>
      <c r="BG227" s="93"/>
      <c r="BH227" s="93"/>
      <c r="BI227" s="93"/>
      <c r="BJ227" s="93"/>
      <c r="BK227" s="20"/>
      <c r="BL227" s="19"/>
      <c r="BM227" s="93"/>
      <c r="BN227" s="93"/>
      <c r="BO227" s="93"/>
      <c r="BP227" s="93"/>
      <c r="BQ227" s="20"/>
      <c r="BR227" s="19"/>
      <c r="BS227" s="93"/>
      <c r="BT227" s="93"/>
      <c r="BU227" s="20"/>
      <c r="BV227" s="19"/>
      <c r="BW227" s="93"/>
      <c r="BX227" s="93"/>
      <c r="BY227" s="93"/>
      <c r="BZ227" s="93"/>
      <c r="CA227" s="93"/>
      <c r="CB227" s="20"/>
      <c r="CC227" s="25"/>
      <c r="CD227" s="19"/>
      <c r="CE227" s="93"/>
      <c r="CF227" s="20"/>
      <c r="CG227" s="25"/>
      <c r="CH227" s="19"/>
      <c r="CI227" s="93"/>
      <c r="CJ227" s="93"/>
      <c r="CK227" s="93"/>
      <c r="CL227" s="93"/>
      <c r="CM227" s="93"/>
      <c r="CN227" s="93"/>
      <c r="CO227" s="93"/>
      <c r="CP227" s="93"/>
      <c r="CQ227" s="93"/>
      <c r="CR227" s="214"/>
      <c r="CS227" s="20"/>
      <c r="CT227" s="25"/>
      <c r="CU227" s="19"/>
      <c r="CV227" s="93"/>
      <c r="CW227" s="93"/>
      <c r="CX227" s="93"/>
      <c r="CY227" s="93"/>
      <c r="CZ227" s="93"/>
      <c r="DA227" s="93"/>
      <c r="DB227" s="20"/>
      <c r="DC227" s="25"/>
      <c r="DD227" s="785">
        <v>50557</v>
      </c>
      <c r="DE227" s="19"/>
      <c r="DF227" s="20"/>
      <c r="DG227" s="25"/>
      <c r="DH227" s="19"/>
      <c r="DI227" s="20"/>
      <c r="DJ227" s="25"/>
      <c r="DK227" s="19"/>
      <c r="DL227" s="20"/>
      <c r="DM227" s="19"/>
      <c r="DN227" s="20"/>
      <c r="DO227" s="25"/>
      <c r="DP227" s="19"/>
      <c r="DQ227" s="93"/>
      <c r="DR227" s="20"/>
      <c r="DS227" s="25"/>
      <c r="DT227" s="19"/>
      <c r="DU227" s="93"/>
      <c r="DV227" s="20"/>
      <c r="DW227" s="25"/>
      <c r="DX227" s="19"/>
      <c r="DY227" s="20"/>
      <c r="DZ227" s="25"/>
      <c r="EA227" s="19"/>
      <c r="EB227" s="93"/>
      <c r="EC227" s="93"/>
      <c r="ED227" s="93"/>
      <c r="EE227" s="20"/>
      <c r="EF227" s="25"/>
      <c r="EG227" s="19"/>
      <c r="EH227" s="93"/>
      <c r="EI227" s="93"/>
      <c r="EJ227" s="93"/>
      <c r="EK227" s="20"/>
      <c r="EL227" s="25"/>
      <c r="EM227" s="19"/>
      <c r="EN227" s="93"/>
      <c r="EO227" s="93"/>
      <c r="EP227" s="93"/>
      <c r="EQ227" s="93"/>
      <c r="ER227" s="93"/>
      <c r="ES227" s="93"/>
      <c r="ET227" s="93"/>
      <c r="EU227" s="93"/>
      <c r="EV227" s="20"/>
      <c r="EW227" s="25"/>
      <c r="EX227" s="915"/>
      <c r="EY227" s="916"/>
      <c r="EZ227" s="916"/>
      <c r="FA227" s="916"/>
      <c r="FB227" s="916"/>
      <c r="FC227" s="916"/>
      <c r="FD227" s="916"/>
      <c r="FE227" s="916"/>
      <c r="FF227" s="916"/>
      <c r="FG227" s="917"/>
      <c r="FH227" s="25"/>
      <c r="FI227" s="848">
        <v>50557</v>
      </c>
      <c r="FJ227" s="19"/>
      <c r="FK227" s="93"/>
      <c r="FL227" s="20"/>
      <c r="FM227" s="25"/>
      <c r="FN227" s="19"/>
      <c r="FO227" s="93"/>
      <c r="FP227" s="93"/>
      <c r="FQ227" s="93"/>
      <c r="FR227" s="93"/>
      <c r="FS227" s="93"/>
      <c r="FT227" s="93"/>
      <c r="FU227" s="93"/>
      <c r="FV227" s="93"/>
      <c r="FW227" s="917"/>
      <c r="FX227" s="25"/>
      <c r="FY227" s="916"/>
      <c r="FZ227" s="916"/>
      <c r="GA227" s="916"/>
      <c r="GB227" s="916"/>
      <c r="GC227" s="916"/>
      <c r="GD227" s="916"/>
      <c r="GE227" s="916"/>
      <c r="GF227" s="916"/>
      <c r="GG227" s="916"/>
      <c r="GH227" s="916"/>
      <c r="GI227" s="917"/>
      <c r="GJ227" s="25"/>
      <c r="GK227" s="19"/>
      <c r="GL227" s="20"/>
      <c r="GM227" s="25"/>
      <c r="GN227" s="19"/>
      <c r="GO227" s="20"/>
      <c r="GP227" s="25"/>
      <c r="GQ227" s="19"/>
      <c r="GR227" s="20"/>
      <c r="GS227" s="25"/>
      <c r="GT227" s="848">
        <v>50557</v>
      </c>
      <c r="GU227" s="19"/>
      <c r="GV227" s="93"/>
      <c r="GW227" s="93"/>
      <c r="GX227" s="93"/>
      <c r="GY227" s="93"/>
      <c r="GZ227" s="93"/>
      <c r="HA227" s="93"/>
      <c r="HB227" s="93"/>
      <c r="HC227" s="93"/>
      <c r="HD227" s="93"/>
      <c r="HE227" s="93"/>
      <c r="HF227" s="93"/>
      <c r="HG227" s="93"/>
      <c r="HH227" s="93"/>
      <c r="HI227" s="93"/>
      <c r="HJ227" s="93"/>
      <c r="HK227" s="93"/>
      <c r="HL227" s="93"/>
      <c r="HM227" s="93"/>
      <c r="HN227" s="93"/>
      <c r="HO227" s="93"/>
      <c r="HP227" s="93"/>
      <c r="HQ227" s="93"/>
      <c r="HR227" s="93"/>
      <c r="HS227" s="93"/>
      <c r="HT227" s="93"/>
      <c r="HU227" s="93"/>
      <c r="HV227" s="93"/>
      <c r="HW227" s="93"/>
      <c r="HX227" s="93"/>
      <c r="HY227" s="93"/>
      <c r="HZ227" s="93"/>
      <c r="IA227" s="93"/>
      <c r="IB227" s="93"/>
      <c r="IC227" s="93"/>
      <c r="ID227" s="93"/>
      <c r="IE227" s="93"/>
      <c r="IF227" s="93"/>
      <c r="IG227" s="93"/>
      <c r="IH227" s="93"/>
      <c r="II227" s="93"/>
      <c r="IJ227" s="93"/>
      <c r="IK227" s="93"/>
      <c r="IL227" s="93"/>
      <c r="IM227" s="93"/>
      <c r="IN227" s="93"/>
      <c r="IO227" s="93"/>
      <c r="IP227" s="93"/>
      <c r="IQ227" s="93"/>
      <c r="IR227" s="93"/>
      <c r="IS227" s="93"/>
      <c r="IT227" s="93"/>
      <c r="IU227" s="93"/>
      <c r="IV227" s="93"/>
      <c r="IW227" s="848">
        <v>50557</v>
      </c>
      <c r="IX227" s="93"/>
      <c r="IY227" s="93"/>
      <c r="IZ227" s="93"/>
      <c r="JA227" s="93"/>
      <c r="JB227" s="93"/>
      <c r="JC227" s="93"/>
      <c r="JD227" s="93"/>
      <c r="JE227" s="93"/>
      <c r="JF227" s="93"/>
      <c r="JG227" s="93"/>
      <c r="JH227" s="93"/>
      <c r="JI227" s="93"/>
      <c r="JJ227" s="93"/>
      <c r="JK227" s="93"/>
      <c r="JL227" s="93"/>
      <c r="JM227" s="93"/>
      <c r="JN227" s="93"/>
      <c r="JO227" s="93"/>
      <c r="JP227" s="93"/>
      <c r="JQ227" s="93"/>
      <c r="JR227" s="93"/>
      <c r="JS227" s="93"/>
      <c r="JT227" s="20"/>
      <c r="JU227" s="29"/>
      <c r="JV227" s="19"/>
      <c r="JW227" s="93"/>
      <c r="JX227" s="93"/>
      <c r="JY227" s="93"/>
      <c r="JZ227" s="93"/>
      <c r="KA227" s="93"/>
      <c r="KB227" s="93"/>
      <c r="KC227" s="93"/>
      <c r="KD227" s="93"/>
      <c r="KE227" s="93"/>
      <c r="KF227" s="93"/>
      <c r="KG227" s="93"/>
      <c r="KH227" s="93"/>
      <c r="KI227" s="93"/>
      <c r="KJ227" s="93"/>
      <c r="KK227" s="93"/>
      <c r="KL227" s="93"/>
      <c r="KM227" s="93"/>
      <c r="KN227" s="93"/>
      <c r="KO227" s="93"/>
      <c r="KP227" s="93"/>
      <c r="KQ227" s="93"/>
      <c r="KR227" s="93"/>
      <c r="KS227" s="93"/>
      <c r="KT227" s="93"/>
      <c r="KU227" s="93"/>
      <c r="KV227" s="93"/>
      <c r="KW227" s="20"/>
      <c r="KX227" s="29"/>
      <c r="KY227" s="19"/>
      <c r="KZ227" s="93"/>
      <c r="LA227" s="93"/>
      <c r="LB227" s="93"/>
      <c r="LC227" s="93"/>
      <c r="LD227" s="93"/>
      <c r="LE227" s="93"/>
      <c r="LF227" s="93"/>
      <c r="LG227" s="93"/>
      <c r="LH227" s="93"/>
      <c r="LI227" s="93"/>
      <c r="LJ227" s="93"/>
      <c r="LK227" s="93"/>
      <c r="LL227" s="93"/>
      <c r="LM227" s="93"/>
      <c r="LN227" s="93"/>
      <c r="LO227" s="93"/>
      <c r="LP227" s="93"/>
      <c r="LQ227" s="93"/>
      <c r="LR227" s="93"/>
      <c r="LS227" s="93"/>
      <c r="LT227" s="93"/>
      <c r="LU227" s="93"/>
      <c r="LV227" s="93"/>
      <c r="LW227" s="93"/>
      <c r="LX227" s="93"/>
      <c r="LY227" s="93"/>
      <c r="LZ227" s="93"/>
      <c r="MA227" s="93"/>
      <c r="MB227" s="93"/>
      <c r="MC227" s="93"/>
      <c r="MD227" s="93"/>
      <c r="ME227" s="93"/>
      <c r="MF227" s="93"/>
      <c r="MG227" s="93"/>
      <c r="MH227" s="20"/>
      <c r="MI227" s="29"/>
      <c r="MJ227" s="29" t="str">
        <f t="shared" si="97"/>
        <v>Trimestre 22038</v>
      </c>
      <c r="MK227" s="848">
        <v>50557</v>
      </c>
      <c r="ML227" s="1991"/>
      <c r="MM227" s="1991"/>
      <c r="MN227" s="1991"/>
      <c r="MO227" s="1991"/>
      <c r="MP227" s="1991"/>
      <c r="MQ227" s="1991"/>
      <c r="MR227" s="1991"/>
      <c r="MS227" s="1991"/>
      <c r="MT227" s="1991"/>
      <c r="MU227" s="1991"/>
      <c r="MV227" s="1991"/>
      <c r="MW227" s="1991"/>
      <c r="MX227" s="1991"/>
      <c r="MY227" s="1991"/>
      <c r="MZ227" s="1991"/>
      <c r="NA227" s="1991"/>
      <c r="NB227" s="1991"/>
      <c r="NC227" s="1991"/>
      <c r="ND227" s="1991"/>
      <c r="NE227" s="1991"/>
      <c r="NF227" s="1991"/>
      <c r="NG227" s="1991"/>
      <c r="NH227" s="1991"/>
      <c r="NI227" s="1991"/>
      <c r="NJ227" s="1991"/>
      <c r="NK227" s="1991"/>
      <c r="NL227" s="29"/>
    </row>
    <row r="228" spans="1:376">
      <c r="A228" s="41">
        <f t="shared" si="95"/>
        <v>2038</v>
      </c>
      <c r="B228" s="785">
        <v>50649</v>
      </c>
      <c r="C228" s="19"/>
      <c r="D228" s="93"/>
      <c r="E228" s="93"/>
      <c r="F228" s="93"/>
      <c r="G228" s="93"/>
      <c r="H228" s="93"/>
      <c r="I228" s="93"/>
      <c r="J228" s="93"/>
      <c r="K228" s="93"/>
      <c r="L228" s="93"/>
      <c r="M228" s="20"/>
      <c r="N228" s="25"/>
      <c r="O228" s="889">
        <f t="shared" si="94"/>
        <v>2038</v>
      </c>
      <c r="P228" s="29" t="str">
        <f t="shared" si="96"/>
        <v>Trimestre 32038</v>
      </c>
      <c r="Q228" s="848">
        <v>50649</v>
      </c>
      <c r="R228" s="733"/>
      <c r="S228" s="570"/>
      <c r="T228" s="570"/>
      <c r="U228" s="734"/>
      <c r="V228" s="25"/>
      <c r="W228" s="19"/>
      <c r="X228" s="93"/>
      <c r="Y228" s="93"/>
      <c r="Z228" s="93"/>
      <c r="AA228" s="93"/>
      <c r="AB228" s="93"/>
      <c r="AC228" s="93"/>
      <c r="AD228" s="93"/>
      <c r="AE228" s="20"/>
      <c r="AF228" s="25"/>
      <c r="AG228" s="19"/>
      <c r="AH228" s="93"/>
      <c r="AI228" s="93"/>
      <c r="AJ228" s="93"/>
      <c r="AK228" s="93"/>
      <c r="AL228" s="93"/>
      <c r="AM228" s="93"/>
      <c r="AN228" s="20"/>
      <c r="AO228" s="19"/>
      <c r="AP228" s="93"/>
      <c r="AQ228" s="93"/>
      <c r="AR228" s="93"/>
      <c r="AS228" s="20"/>
      <c r="AT228" s="19"/>
      <c r="AU228" s="93"/>
      <c r="AV228" s="20"/>
      <c r="AW228" s="19"/>
      <c r="AX228" s="93"/>
      <c r="AY228" s="93"/>
      <c r="AZ228" s="93"/>
      <c r="BA228" s="93"/>
      <c r="BB228" s="93"/>
      <c r="BC228" s="20"/>
      <c r="BD228" s="19"/>
      <c r="BE228" s="93"/>
      <c r="BF228" s="93"/>
      <c r="BG228" s="93"/>
      <c r="BH228" s="93"/>
      <c r="BI228" s="93"/>
      <c r="BJ228" s="93"/>
      <c r="BK228" s="20"/>
      <c r="BL228" s="19"/>
      <c r="BM228" s="93"/>
      <c r="BN228" s="93"/>
      <c r="BO228" s="93"/>
      <c r="BP228" s="93"/>
      <c r="BQ228" s="20"/>
      <c r="BR228" s="19"/>
      <c r="BS228" s="93"/>
      <c r="BT228" s="93"/>
      <c r="BU228" s="20"/>
      <c r="BV228" s="19"/>
      <c r="BW228" s="93"/>
      <c r="BX228" s="93"/>
      <c r="BY228" s="93"/>
      <c r="BZ228" s="93"/>
      <c r="CA228" s="93"/>
      <c r="CB228" s="20"/>
      <c r="CC228" s="25"/>
      <c r="CD228" s="19"/>
      <c r="CE228" s="93"/>
      <c r="CF228" s="20"/>
      <c r="CG228" s="25"/>
      <c r="CH228" s="19"/>
      <c r="CI228" s="93"/>
      <c r="CJ228" s="93"/>
      <c r="CK228" s="93"/>
      <c r="CL228" s="93"/>
      <c r="CM228" s="93"/>
      <c r="CN228" s="93"/>
      <c r="CO228" s="93"/>
      <c r="CP228" s="93"/>
      <c r="CQ228" s="93"/>
      <c r="CR228" s="214"/>
      <c r="CS228" s="20"/>
      <c r="CT228" s="25"/>
      <c r="CU228" s="19"/>
      <c r="CV228" s="93"/>
      <c r="CW228" s="93"/>
      <c r="CX228" s="93"/>
      <c r="CY228" s="93"/>
      <c r="CZ228" s="93"/>
      <c r="DA228" s="93"/>
      <c r="DB228" s="20"/>
      <c r="DC228" s="25"/>
      <c r="DD228" s="785">
        <v>50649</v>
      </c>
      <c r="DE228" s="19"/>
      <c r="DF228" s="20"/>
      <c r="DG228" s="25"/>
      <c r="DH228" s="19"/>
      <c r="DI228" s="20"/>
      <c r="DJ228" s="25"/>
      <c r="DK228" s="19"/>
      <c r="DL228" s="20"/>
      <c r="DM228" s="19"/>
      <c r="DN228" s="20"/>
      <c r="DO228" s="25"/>
      <c r="DP228" s="19"/>
      <c r="DQ228" s="93"/>
      <c r="DR228" s="20"/>
      <c r="DS228" s="25"/>
      <c r="DT228" s="19"/>
      <c r="DU228" s="93"/>
      <c r="DV228" s="20"/>
      <c r="DW228" s="25"/>
      <c r="DX228" s="19"/>
      <c r="DY228" s="20"/>
      <c r="DZ228" s="25"/>
      <c r="EA228" s="19"/>
      <c r="EB228" s="93"/>
      <c r="EC228" s="93"/>
      <c r="ED228" s="93"/>
      <c r="EE228" s="20"/>
      <c r="EF228" s="25"/>
      <c r="EG228" s="19"/>
      <c r="EH228" s="93"/>
      <c r="EI228" s="93"/>
      <c r="EJ228" s="93"/>
      <c r="EK228" s="20"/>
      <c r="EL228" s="25"/>
      <c r="EM228" s="19"/>
      <c r="EN228" s="93"/>
      <c r="EO228" s="93"/>
      <c r="EP228" s="93"/>
      <c r="EQ228" s="93"/>
      <c r="ER228" s="93"/>
      <c r="ES228" s="93"/>
      <c r="ET228" s="93"/>
      <c r="EU228" s="93"/>
      <c r="EV228" s="20"/>
      <c r="EW228" s="25"/>
      <c r="EX228" s="915"/>
      <c r="EY228" s="916"/>
      <c r="EZ228" s="916"/>
      <c r="FA228" s="916"/>
      <c r="FB228" s="916"/>
      <c r="FC228" s="916"/>
      <c r="FD228" s="916"/>
      <c r="FE228" s="916"/>
      <c r="FF228" s="916"/>
      <c r="FG228" s="917"/>
      <c r="FH228" s="25"/>
      <c r="FI228" s="848">
        <v>50649</v>
      </c>
      <c r="FJ228" s="19"/>
      <c r="FK228" s="93"/>
      <c r="FL228" s="20"/>
      <c r="FM228" s="25"/>
      <c r="FN228" s="19"/>
      <c r="FO228" s="93"/>
      <c r="FP228" s="93"/>
      <c r="FQ228" s="93"/>
      <c r="FR228" s="93"/>
      <c r="FS228" s="93"/>
      <c r="FT228" s="93"/>
      <c r="FU228" s="93"/>
      <c r="FV228" s="93"/>
      <c r="FW228" s="917"/>
      <c r="FX228" s="25"/>
      <c r="FY228" s="916"/>
      <c r="FZ228" s="916"/>
      <c r="GA228" s="916"/>
      <c r="GB228" s="916"/>
      <c r="GC228" s="916"/>
      <c r="GD228" s="916"/>
      <c r="GE228" s="916"/>
      <c r="GF228" s="916"/>
      <c r="GG228" s="916"/>
      <c r="GH228" s="916"/>
      <c r="GI228" s="917"/>
      <c r="GJ228" s="25"/>
      <c r="GK228" s="19"/>
      <c r="GL228" s="20"/>
      <c r="GM228" s="25"/>
      <c r="GN228" s="19"/>
      <c r="GO228" s="20"/>
      <c r="GP228" s="25"/>
      <c r="GQ228" s="19"/>
      <c r="GR228" s="20"/>
      <c r="GS228" s="25"/>
      <c r="GT228" s="848">
        <v>50649</v>
      </c>
      <c r="GU228" s="19"/>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848">
        <v>50649</v>
      </c>
      <c r="IX228" s="93"/>
      <c r="IY228" s="93"/>
      <c r="IZ228" s="93"/>
      <c r="JA228" s="93"/>
      <c r="JB228" s="93"/>
      <c r="JC228" s="93"/>
      <c r="JD228" s="93"/>
      <c r="JE228" s="93"/>
      <c r="JF228" s="93"/>
      <c r="JG228" s="93"/>
      <c r="JH228" s="93"/>
      <c r="JI228" s="93"/>
      <c r="JJ228" s="93"/>
      <c r="JK228" s="93"/>
      <c r="JL228" s="93"/>
      <c r="JM228" s="93"/>
      <c r="JN228" s="93"/>
      <c r="JO228" s="93"/>
      <c r="JP228" s="93"/>
      <c r="JQ228" s="93"/>
      <c r="JR228" s="93"/>
      <c r="JS228" s="93"/>
      <c r="JT228" s="20"/>
      <c r="JU228" s="29"/>
      <c r="JV228" s="19"/>
      <c r="JW228" s="93"/>
      <c r="JX228" s="93"/>
      <c r="JY228" s="93"/>
      <c r="JZ228" s="93"/>
      <c r="KA228" s="93"/>
      <c r="KB228" s="93"/>
      <c r="KC228" s="93"/>
      <c r="KD228" s="93"/>
      <c r="KE228" s="93"/>
      <c r="KF228" s="93"/>
      <c r="KG228" s="93"/>
      <c r="KH228" s="93"/>
      <c r="KI228" s="93"/>
      <c r="KJ228" s="93"/>
      <c r="KK228" s="93"/>
      <c r="KL228" s="93"/>
      <c r="KM228" s="93"/>
      <c r="KN228" s="93"/>
      <c r="KO228" s="93"/>
      <c r="KP228" s="93"/>
      <c r="KQ228" s="93"/>
      <c r="KR228" s="93"/>
      <c r="KS228" s="93"/>
      <c r="KT228" s="93"/>
      <c r="KU228" s="93"/>
      <c r="KV228" s="93"/>
      <c r="KW228" s="20"/>
      <c r="KX228" s="29"/>
      <c r="KY228" s="19"/>
      <c r="KZ228" s="93"/>
      <c r="LA228" s="93"/>
      <c r="LB228" s="93"/>
      <c r="LC228" s="93"/>
      <c r="LD228" s="93"/>
      <c r="LE228" s="93"/>
      <c r="LF228" s="93"/>
      <c r="LG228" s="93"/>
      <c r="LH228" s="93"/>
      <c r="LI228" s="93"/>
      <c r="LJ228" s="93"/>
      <c r="LK228" s="93"/>
      <c r="LL228" s="93"/>
      <c r="LM228" s="93"/>
      <c r="LN228" s="93"/>
      <c r="LO228" s="93"/>
      <c r="LP228" s="93"/>
      <c r="LQ228" s="93"/>
      <c r="LR228" s="93"/>
      <c r="LS228" s="93"/>
      <c r="LT228" s="93"/>
      <c r="LU228" s="93"/>
      <c r="LV228" s="93"/>
      <c r="LW228" s="93"/>
      <c r="LX228" s="93"/>
      <c r="LY228" s="93"/>
      <c r="LZ228" s="93"/>
      <c r="MA228" s="93"/>
      <c r="MB228" s="93"/>
      <c r="MC228" s="93"/>
      <c r="MD228" s="93"/>
      <c r="ME228" s="93"/>
      <c r="MF228" s="93"/>
      <c r="MG228" s="93"/>
      <c r="MH228" s="20"/>
      <c r="MI228" s="29"/>
      <c r="MJ228" s="29" t="str">
        <f t="shared" si="97"/>
        <v>Trimestre 32038</v>
      </c>
      <c r="MK228" s="848">
        <v>50649</v>
      </c>
      <c r="ML228" s="1991"/>
      <c r="MM228" s="1991"/>
      <c r="MN228" s="1991"/>
      <c r="MO228" s="1991"/>
      <c r="MP228" s="1991"/>
      <c r="MQ228" s="1991"/>
      <c r="MR228" s="1991"/>
      <c r="MS228" s="1991"/>
      <c r="MT228" s="1991"/>
      <c r="MU228" s="1991"/>
      <c r="MV228" s="1991"/>
      <c r="MW228" s="1991"/>
      <c r="MX228" s="1991"/>
      <c r="MY228" s="1991"/>
      <c r="MZ228" s="1991"/>
      <c r="NA228" s="1991"/>
      <c r="NB228" s="1991"/>
      <c r="NC228" s="1991"/>
      <c r="ND228" s="1991"/>
      <c r="NE228" s="1991"/>
      <c r="NF228" s="1991"/>
      <c r="NG228" s="1991"/>
      <c r="NH228" s="1991"/>
      <c r="NI228" s="1991"/>
      <c r="NJ228" s="1991"/>
      <c r="NK228" s="1991"/>
      <c r="NL228" s="29"/>
    </row>
    <row r="229" spans="1:376">
      <c r="A229" s="41">
        <f t="shared" si="95"/>
        <v>2038</v>
      </c>
      <c r="B229" s="785">
        <v>50740</v>
      </c>
      <c r="C229" s="19"/>
      <c r="D229" s="93"/>
      <c r="E229" s="93"/>
      <c r="F229" s="93"/>
      <c r="G229" s="93"/>
      <c r="H229" s="93"/>
      <c r="I229" s="93"/>
      <c r="J229" s="93"/>
      <c r="K229" s="93"/>
      <c r="L229" s="93"/>
      <c r="M229" s="20"/>
      <c r="N229" s="25"/>
      <c r="O229" s="889">
        <f t="shared" si="94"/>
        <v>2038</v>
      </c>
      <c r="P229" s="29" t="str">
        <f t="shared" si="96"/>
        <v>Trimestre 42038</v>
      </c>
      <c r="Q229" s="848">
        <v>50740</v>
      </c>
      <c r="R229" s="733"/>
      <c r="S229" s="570"/>
      <c r="T229" s="570"/>
      <c r="U229" s="734"/>
      <c r="V229" s="25"/>
      <c r="W229" s="19"/>
      <c r="X229" s="93"/>
      <c r="Y229" s="93"/>
      <c r="Z229" s="93"/>
      <c r="AA229" s="93"/>
      <c r="AB229" s="93"/>
      <c r="AC229" s="93"/>
      <c r="AD229" s="93"/>
      <c r="AE229" s="20"/>
      <c r="AF229" s="25"/>
      <c r="AG229" s="19"/>
      <c r="AH229" s="93"/>
      <c r="AI229" s="93"/>
      <c r="AJ229" s="93"/>
      <c r="AK229" s="93"/>
      <c r="AL229" s="93"/>
      <c r="AM229" s="93"/>
      <c r="AN229" s="20"/>
      <c r="AO229" s="19"/>
      <c r="AP229" s="93"/>
      <c r="AQ229" s="93"/>
      <c r="AR229" s="93"/>
      <c r="AS229" s="20"/>
      <c r="AT229" s="19"/>
      <c r="AU229" s="93"/>
      <c r="AV229" s="20"/>
      <c r="AW229" s="19"/>
      <c r="AX229" s="93"/>
      <c r="AY229" s="93"/>
      <c r="AZ229" s="93"/>
      <c r="BA229" s="93"/>
      <c r="BB229" s="93"/>
      <c r="BC229" s="20"/>
      <c r="BD229" s="19"/>
      <c r="BE229" s="93"/>
      <c r="BF229" s="93"/>
      <c r="BG229" s="93"/>
      <c r="BH229" s="93"/>
      <c r="BI229" s="93"/>
      <c r="BJ229" s="93"/>
      <c r="BK229" s="20"/>
      <c r="BL229" s="19"/>
      <c r="BM229" s="93"/>
      <c r="BN229" s="93"/>
      <c r="BO229" s="93"/>
      <c r="BP229" s="93"/>
      <c r="BQ229" s="20"/>
      <c r="BR229" s="19"/>
      <c r="BS229" s="93"/>
      <c r="BT229" s="93"/>
      <c r="BU229" s="20"/>
      <c r="BV229" s="19"/>
      <c r="BW229" s="93"/>
      <c r="BX229" s="93"/>
      <c r="BY229" s="93"/>
      <c r="BZ229" s="93"/>
      <c r="CA229" s="93"/>
      <c r="CB229" s="20"/>
      <c r="CC229" s="25"/>
      <c r="CD229" s="19"/>
      <c r="CE229" s="93"/>
      <c r="CF229" s="20"/>
      <c r="CG229" s="25"/>
      <c r="CH229" s="19"/>
      <c r="CI229" s="93"/>
      <c r="CJ229" s="93"/>
      <c r="CK229" s="93"/>
      <c r="CL229" s="93"/>
      <c r="CM229" s="93"/>
      <c r="CN229" s="93"/>
      <c r="CO229" s="93"/>
      <c r="CP229" s="93"/>
      <c r="CQ229" s="93"/>
      <c r="CR229" s="214"/>
      <c r="CS229" s="20"/>
      <c r="CT229" s="25"/>
      <c r="CU229" s="19"/>
      <c r="CV229" s="93"/>
      <c r="CW229" s="93"/>
      <c r="CX229" s="93"/>
      <c r="CY229" s="93"/>
      <c r="CZ229" s="93"/>
      <c r="DA229" s="93"/>
      <c r="DB229" s="20"/>
      <c r="DC229" s="25"/>
      <c r="DD229" s="785">
        <v>50740</v>
      </c>
      <c r="DE229" s="19"/>
      <c r="DF229" s="20"/>
      <c r="DG229" s="25"/>
      <c r="DH229" s="19"/>
      <c r="DI229" s="20"/>
      <c r="DJ229" s="25"/>
      <c r="DK229" s="19"/>
      <c r="DL229" s="20"/>
      <c r="DM229" s="19"/>
      <c r="DN229" s="20"/>
      <c r="DO229" s="25"/>
      <c r="DP229" s="19"/>
      <c r="DQ229" s="93"/>
      <c r="DR229" s="20"/>
      <c r="DS229" s="25"/>
      <c r="DT229" s="19"/>
      <c r="DU229" s="93"/>
      <c r="DV229" s="20"/>
      <c r="DW229" s="25"/>
      <c r="DX229" s="19"/>
      <c r="DY229" s="20"/>
      <c r="DZ229" s="25"/>
      <c r="EA229" s="19"/>
      <c r="EB229" s="93"/>
      <c r="EC229" s="93"/>
      <c r="ED229" s="93"/>
      <c r="EE229" s="20"/>
      <c r="EF229" s="25"/>
      <c r="EG229" s="19"/>
      <c r="EH229" s="93"/>
      <c r="EI229" s="93"/>
      <c r="EJ229" s="93"/>
      <c r="EK229" s="20"/>
      <c r="EL229" s="25"/>
      <c r="EM229" s="19"/>
      <c r="EN229" s="93"/>
      <c r="EO229" s="93"/>
      <c r="EP229" s="93"/>
      <c r="EQ229" s="93"/>
      <c r="ER229" s="93"/>
      <c r="ES229" s="93"/>
      <c r="ET229" s="93"/>
      <c r="EU229" s="93"/>
      <c r="EV229" s="20"/>
      <c r="EW229" s="25"/>
      <c r="EX229" s="915"/>
      <c r="EY229" s="916"/>
      <c r="EZ229" s="916"/>
      <c r="FA229" s="916"/>
      <c r="FB229" s="916"/>
      <c r="FC229" s="916"/>
      <c r="FD229" s="916"/>
      <c r="FE229" s="916"/>
      <c r="FF229" s="916"/>
      <c r="FG229" s="917"/>
      <c r="FH229" s="25"/>
      <c r="FI229" s="848">
        <v>50740</v>
      </c>
      <c r="FJ229" s="19"/>
      <c r="FK229" s="93"/>
      <c r="FL229" s="20"/>
      <c r="FM229" s="25"/>
      <c r="FN229" s="19"/>
      <c r="FO229" s="93"/>
      <c r="FP229" s="93"/>
      <c r="FQ229" s="93"/>
      <c r="FR229" s="93"/>
      <c r="FS229" s="93"/>
      <c r="FT229" s="93"/>
      <c r="FU229" s="93"/>
      <c r="FV229" s="93"/>
      <c r="FW229" s="917"/>
      <c r="FX229" s="25"/>
      <c r="FY229" s="916"/>
      <c r="FZ229" s="916"/>
      <c r="GA229" s="916"/>
      <c r="GB229" s="916"/>
      <c r="GC229" s="916"/>
      <c r="GD229" s="916"/>
      <c r="GE229" s="916"/>
      <c r="GF229" s="916"/>
      <c r="GG229" s="916"/>
      <c r="GH229" s="916"/>
      <c r="GI229" s="917"/>
      <c r="GJ229" s="25"/>
      <c r="GK229" s="19"/>
      <c r="GL229" s="20"/>
      <c r="GM229" s="25"/>
      <c r="GN229" s="19"/>
      <c r="GO229" s="20"/>
      <c r="GP229" s="25"/>
      <c r="GQ229" s="19"/>
      <c r="GR229" s="20"/>
      <c r="GS229" s="25"/>
      <c r="GT229" s="848">
        <v>50740</v>
      </c>
      <c r="GU229" s="19"/>
      <c r="GV229" s="93"/>
      <c r="GW229" s="93"/>
      <c r="GX229" s="93"/>
      <c r="GY229" s="93"/>
      <c r="GZ229" s="93"/>
      <c r="HA229" s="93"/>
      <c r="HB229" s="93"/>
      <c r="HC229" s="93"/>
      <c r="HD229" s="93"/>
      <c r="HE229" s="93"/>
      <c r="HF229" s="93"/>
      <c r="HG229" s="93"/>
      <c r="HH229" s="93"/>
      <c r="HI229" s="93"/>
      <c r="HJ229" s="93"/>
      <c r="HK229" s="93"/>
      <c r="HL229" s="93"/>
      <c r="HM229" s="93"/>
      <c r="HN229" s="93"/>
      <c r="HO229" s="93"/>
      <c r="HP229" s="93"/>
      <c r="HQ229" s="93"/>
      <c r="HR229" s="93"/>
      <c r="HS229" s="93"/>
      <c r="HT229" s="93"/>
      <c r="HU229" s="93"/>
      <c r="HV229" s="93"/>
      <c r="HW229" s="93"/>
      <c r="HX229" s="93"/>
      <c r="HY229" s="93"/>
      <c r="HZ229" s="93"/>
      <c r="IA229" s="93"/>
      <c r="IB229" s="93"/>
      <c r="IC229" s="93"/>
      <c r="ID229" s="93"/>
      <c r="IE229" s="93"/>
      <c r="IF229" s="93"/>
      <c r="IG229" s="93"/>
      <c r="IH229" s="93"/>
      <c r="II229" s="93"/>
      <c r="IJ229" s="93"/>
      <c r="IK229" s="93"/>
      <c r="IL229" s="93"/>
      <c r="IM229" s="93"/>
      <c r="IN229" s="93"/>
      <c r="IO229" s="93"/>
      <c r="IP229" s="93"/>
      <c r="IQ229" s="93"/>
      <c r="IR229" s="93"/>
      <c r="IS229" s="93"/>
      <c r="IT229" s="93"/>
      <c r="IU229" s="93"/>
      <c r="IV229" s="93"/>
      <c r="IW229" s="848">
        <v>50740</v>
      </c>
      <c r="IX229" s="93"/>
      <c r="IY229" s="93"/>
      <c r="IZ229" s="93"/>
      <c r="JA229" s="93"/>
      <c r="JB229" s="93"/>
      <c r="JC229" s="93"/>
      <c r="JD229" s="93"/>
      <c r="JE229" s="93"/>
      <c r="JF229" s="93"/>
      <c r="JG229" s="93"/>
      <c r="JH229" s="93"/>
      <c r="JI229" s="93"/>
      <c r="JJ229" s="93"/>
      <c r="JK229" s="93"/>
      <c r="JL229" s="93"/>
      <c r="JM229" s="93"/>
      <c r="JN229" s="93"/>
      <c r="JO229" s="93"/>
      <c r="JP229" s="93"/>
      <c r="JQ229" s="93"/>
      <c r="JR229" s="93"/>
      <c r="JS229" s="93"/>
      <c r="JT229" s="20"/>
      <c r="JU229" s="29"/>
      <c r="JV229" s="19"/>
      <c r="JW229" s="93"/>
      <c r="JX229" s="93"/>
      <c r="JY229" s="93"/>
      <c r="JZ229" s="93"/>
      <c r="KA229" s="93"/>
      <c r="KB229" s="93"/>
      <c r="KC229" s="93"/>
      <c r="KD229" s="93"/>
      <c r="KE229" s="93"/>
      <c r="KF229" s="93"/>
      <c r="KG229" s="93"/>
      <c r="KH229" s="93"/>
      <c r="KI229" s="93"/>
      <c r="KJ229" s="93"/>
      <c r="KK229" s="93"/>
      <c r="KL229" s="93"/>
      <c r="KM229" s="93"/>
      <c r="KN229" s="93"/>
      <c r="KO229" s="93"/>
      <c r="KP229" s="93"/>
      <c r="KQ229" s="93"/>
      <c r="KR229" s="93"/>
      <c r="KS229" s="93"/>
      <c r="KT229" s="93"/>
      <c r="KU229" s="93"/>
      <c r="KV229" s="93"/>
      <c r="KW229" s="20"/>
      <c r="KX229" s="29"/>
      <c r="KY229" s="19"/>
      <c r="KZ229" s="93"/>
      <c r="LA229" s="93"/>
      <c r="LB229" s="93"/>
      <c r="LC229" s="93"/>
      <c r="LD229" s="93"/>
      <c r="LE229" s="93"/>
      <c r="LF229" s="93"/>
      <c r="LG229" s="93"/>
      <c r="LH229" s="93"/>
      <c r="LI229" s="93"/>
      <c r="LJ229" s="93"/>
      <c r="LK229" s="93"/>
      <c r="LL229" s="93"/>
      <c r="LM229" s="93"/>
      <c r="LN229" s="93"/>
      <c r="LO229" s="93"/>
      <c r="LP229" s="93"/>
      <c r="LQ229" s="93"/>
      <c r="LR229" s="93"/>
      <c r="LS229" s="93"/>
      <c r="LT229" s="93"/>
      <c r="LU229" s="93"/>
      <c r="LV229" s="93"/>
      <c r="LW229" s="93"/>
      <c r="LX229" s="93"/>
      <c r="LY229" s="93"/>
      <c r="LZ229" s="93"/>
      <c r="MA229" s="93"/>
      <c r="MB229" s="93"/>
      <c r="MC229" s="93"/>
      <c r="MD229" s="93"/>
      <c r="ME229" s="93"/>
      <c r="MF229" s="93"/>
      <c r="MG229" s="93"/>
      <c r="MH229" s="20"/>
      <c r="MI229" s="29"/>
      <c r="MJ229" s="29" t="str">
        <f t="shared" si="97"/>
        <v>Trimestre 42038</v>
      </c>
      <c r="MK229" s="848">
        <v>50740</v>
      </c>
      <c r="ML229" s="1991"/>
      <c r="MM229" s="1991"/>
      <c r="MN229" s="1991"/>
      <c r="MO229" s="1991"/>
      <c r="MP229" s="1991"/>
      <c r="MQ229" s="1991"/>
      <c r="MR229" s="1991"/>
      <c r="MS229" s="1991"/>
      <c r="MT229" s="1991"/>
      <c r="MU229" s="1991"/>
      <c r="MV229" s="1991"/>
      <c r="MW229" s="1991"/>
      <c r="MX229" s="1991"/>
      <c r="MY229" s="1991"/>
      <c r="MZ229" s="1991"/>
      <c r="NA229" s="1991"/>
      <c r="NB229" s="1991"/>
      <c r="NC229" s="1991"/>
      <c r="ND229" s="1991"/>
      <c r="NE229" s="1991"/>
      <c r="NF229" s="1991"/>
      <c r="NG229" s="1991"/>
      <c r="NH229" s="1991"/>
      <c r="NI229" s="1991"/>
      <c r="NJ229" s="1991"/>
      <c r="NK229" s="1991"/>
      <c r="NL229" s="29"/>
    </row>
    <row r="230" spans="1:376">
      <c r="A230" s="41">
        <f t="shared" si="95"/>
        <v>2039</v>
      </c>
      <c r="B230" s="785">
        <v>50830</v>
      </c>
      <c r="C230" s="19"/>
      <c r="D230" s="93"/>
      <c r="E230" s="93"/>
      <c r="F230" s="93"/>
      <c r="G230" s="93"/>
      <c r="H230" s="93"/>
      <c r="I230" s="93"/>
      <c r="J230" s="93"/>
      <c r="K230" s="93"/>
      <c r="L230" s="93"/>
      <c r="M230" s="20"/>
      <c r="N230" s="25"/>
      <c r="O230" s="889">
        <f t="shared" si="94"/>
        <v>2039</v>
      </c>
      <c r="P230" s="29" t="str">
        <f t="shared" si="96"/>
        <v>Trimestre 12039</v>
      </c>
      <c r="Q230" s="848">
        <v>50830</v>
      </c>
      <c r="R230" s="733"/>
      <c r="S230" s="570"/>
      <c r="T230" s="570"/>
      <c r="U230" s="734"/>
      <c r="V230" s="25"/>
      <c r="W230" s="19"/>
      <c r="X230" s="93"/>
      <c r="Y230" s="93"/>
      <c r="Z230" s="93"/>
      <c r="AA230" s="93"/>
      <c r="AB230" s="93"/>
      <c r="AC230" s="93"/>
      <c r="AD230" s="93"/>
      <c r="AE230" s="20"/>
      <c r="AF230" s="25"/>
      <c r="AG230" s="19"/>
      <c r="AH230" s="93"/>
      <c r="AI230" s="93"/>
      <c r="AJ230" s="93"/>
      <c r="AK230" s="93"/>
      <c r="AL230" s="93"/>
      <c r="AM230" s="93"/>
      <c r="AN230" s="20"/>
      <c r="AO230" s="19"/>
      <c r="AP230" s="93"/>
      <c r="AQ230" s="93"/>
      <c r="AR230" s="93"/>
      <c r="AS230" s="20"/>
      <c r="AT230" s="19"/>
      <c r="AU230" s="93"/>
      <c r="AV230" s="20"/>
      <c r="AW230" s="19"/>
      <c r="AX230" s="93"/>
      <c r="AY230" s="93"/>
      <c r="AZ230" s="93"/>
      <c r="BA230" s="93"/>
      <c r="BB230" s="93"/>
      <c r="BC230" s="20"/>
      <c r="BD230" s="19"/>
      <c r="BE230" s="93"/>
      <c r="BF230" s="93"/>
      <c r="BG230" s="93"/>
      <c r="BH230" s="93"/>
      <c r="BI230" s="93"/>
      <c r="BJ230" s="93"/>
      <c r="BK230" s="20"/>
      <c r="BL230" s="19"/>
      <c r="BM230" s="93"/>
      <c r="BN230" s="93"/>
      <c r="BO230" s="93"/>
      <c r="BP230" s="93"/>
      <c r="BQ230" s="20"/>
      <c r="BR230" s="19"/>
      <c r="BS230" s="93"/>
      <c r="BT230" s="93"/>
      <c r="BU230" s="20"/>
      <c r="BV230" s="19"/>
      <c r="BW230" s="93"/>
      <c r="BX230" s="93"/>
      <c r="BY230" s="93"/>
      <c r="BZ230" s="93"/>
      <c r="CA230" s="93"/>
      <c r="CB230" s="20"/>
      <c r="CC230" s="25"/>
      <c r="CD230" s="19"/>
      <c r="CE230" s="93"/>
      <c r="CF230" s="20"/>
      <c r="CG230" s="25"/>
      <c r="CH230" s="19"/>
      <c r="CI230" s="93"/>
      <c r="CJ230" s="93"/>
      <c r="CK230" s="93"/>
      <c r="CL230" s="93"/>
      <c r="CM230" s="93"/>
      <c r="CN230" s="93"/>
      <c r="CO230" s="93"/>
      <c r="CP230" s="93"/>
      <c r="CQ230" s="93"/>
      <c r="CR230" s="214"/>
      <c r="CS230" s="20"/>
      <c r="CT230" s="25"/>
      <c r="CU230" s="19"/>
      <c r="CV230" s="93"/>
      <c r="CW230" s="93"/>
      <c r="CX230" s="93"/>
      <c r="CY230" s="93"/>
      <c r="CZ230" s="93"/>
      <c r="DA230" s="93"/>
      <c r="DB230" s="20"/>
      <c r="DC230" s="25"/>
      <c r="DD230" s="785">
        <v>50830</v>
      </c>
      <c r="DE230" s="19"/>
      <c r="DF230" s="20"/>
      <c r="DG230" s="25"/>
      <c r="DH230" s="19"/>
      <c r="DI230" s="20"/>
      <c r="DJ230" s="25"/>
      <c r="DK230" s="19"/>
      <c r="DL230" s="20"/>
      <c r="DM230" s="19"/>
      <c r="DN230" s="20"/>
      <c r="DO230" s="25"/>
      <c r="DP230" s="19"/>
      <c r="DQ230" s="93"/>
      <c r="DR230" s="20"/>
      <c r="DS230" s="25"/>
      <c r="DT230" s="19"/>
      <c r="DU230" s="93"/>
      <c r="DV230" s="20"/>
      <c r="DW230" s="25"/>
      <c r="DX230" s="19"/>
      <c r="DY230" s="20"/>
      <c r="DZ230" s="25"/>
      <c r="EA230" s="19"/>
      <c r="EB230" s="93"/>
      <c r="EC230" s="93"/>
      <c r="ED230" s="93"/>
      <c r="EE230" s="20"/>
      <c r="EF230" s="25"/>
      <c r="EG230" s="19"/>
      <c r="EH230" s="93"/>
      <c r="EI230" s="93"/>
      <c r="EJ230" s="93"/>
      <c r="EK230" s="20"/>
      <c r="EL230" s="25"/>
      <c r="EM230" s="19"/>
      <c r="EN230" s="93"/>
      <c r="EO230" s="93"/>
      <c r="EP230" s="93"/>
      <c r="EQ230" s="93"/>
      <c r="ER230" s="93"/>
      <c r="ES230" s="93"/>
      <c r="ET230" s="93"/>
      <c r="EU230" s="93"/>
      <c r="EV230" s="20"/>
      <c r="EW230" s="25"/>
      <c r="EX230" s="915"/>
      <c r="EY230" s="916"/>
      <c r="EZ230" s="916"/>
      <c r="FA230" s="916"/>
      <c r="FB230" s="916"/>
      <c r="FC230" s="916"/>
      <c r="FD230" s="916"/>
      <c r="FE230" s="916"/>
      <c r="FF230" s="916"/>
      <c r="FG230" s="917"/>
      <c r="FH230" s="25"/>
      <c r="FI230" s="848">
        <v>50830</v>
      </c>
      <c r="FJ230" s="19"/>
      <c r="FK230" s="93"/>
      <c r="FL230" s="20"/>
      <c r="FM230" s="25"/>
      <c r="FN230" s="19"/>
      <c r="FO230" s="93"/>
      <c r="FP230" s="93"/>
      <c r="FQ230" s="93"/>
      <c r="FR230" s="93"/>
      <c r="FS230" s="93"/>
      <c r="FT230" s="93"/>
      <c r="FU230" s="93"/>
      <c r="FV230" s="93"/>
      <c r="FW230" s="917"/>
      <c r="FX230" s="25"/>
      <c r="FY230" s="916"/>
      <c r="FZ230" s="916"/>
      <c r="GA230" s="916"/>
      <c r="GB230" s="916"/>
      <c r="GC230" s="916"/>
      <c r="GD230" s="916"/>
      <c r="GE230" s="916"/>
      <c r="GF230" s="916"/>
      <c r="GG230" s="916"/>
      <c r="GH230" s="916"/>
      <c r="GI230" s="917"/>
      <c r="GJ230" s="25"/>
      <c r="GK230" s="19"/>
      <c r="GL230" s="20"/>
      <c r="GM230" s="25"/>
      <c r="GN230" s="19"/>
      <c r="GO230" s="20"/>
      <c r="GP230" s="25"/>
      <c r="GQ230" s="19"/>
      <c r="GR230" s="20"/>
      <c r="GS230" s="25"/>
      <c r="GT230" s="848">
        <v>50830</v>
      </c>
      <c r="GU230" s="19"/>
      <c r="GV230" s="93"/>
      <c r="GW230" s="93"/>
      <c r="GX230" s="93"/>
      <c r="GY230" s="93"/>
      <c r="GZ230" s="93"/>
      <c r="HA230" s="93"/>
      <c r="HB230" s="93"/>
      <c r="HC230" s="93"/>
      <c r="HD230" s="93"/>
      <c r="HE230" s="93"/>
      <c r="HF230" s="93"/>
      <c r="HG230" s="93"/>
      <c r="HH230" s="93"/>
      <c r="HI230" s="93"/>
      <c r="HJ230" s="93"/>
      <c r="HK230" s="93"/>
      <c r="HL230" s="93"/>
      <c r="HM230" s="93"/>
      <c r="HN230" s="93"/>
      <c r="HO230" s="93"/>
      <c r="HP230" s="93"/>
      <c r="HQ230" s="93"/>
      <c r="HR230" s="93"/>
      <c r="HS230" s="93"/>
      <c r="HT230" s="93"/>
      <c r="HU230" s="93"/>
      <c r="HV230" s="93"/>
      <c r="HW230" s="93"/>
      <c r="HX230" s="93"/>
      <c r="HY230" s="93"/>
      <c r="HZ230" s="93"/>
      <c r="IA230" s="93"/>
      <c r="IB230" s="93"/>
      <c r="IC230" s="93"/>
      <c r="ID230" s="93"/>
      <c r="IE230" s="93"/>
      <c r="IF230" s="93"/>
      <c r="IG230" s="93"/>
      <c r="IH230" s="93"/>
      <c r="II230" s="93"/>
      <c r="IJ230" s="93"/>
      <c r="IK230" s="93"/>
      <c r="IL230" s="93"/>
      <c r="IM230" s="93"/>
      <c r="IN230" s="93"/>
      <c r="IO230" s="93"/>
      <c r="IP230" s="93"/>
      <c r="IQ230" s="93"/>
      <c r="IR230" s="93"/>
      <c r="IS230" s="93"/>
      <c r="IT230" s="93"/>
      <c r="IU230" s="93"/>
      <c r="IV230" s="93"/>
      <c r="IW230" s="848">
        <v>50830</v>
      </c>
      <c r="IX230" s="93"/>
      <c r="IY230" s="93"/>
      <c r="IZ230" s="93"/>
      <c r="JA230" s="93"/>
      <c r="JB230" s="93"/>
      <c r="JC230" s="93"/>
      <c r="JD230" s="93"/>
      <c r="JE230" s="93"/>
      <c r="JF230" s="93"/>
      <c r="JG230" s="93"/>
      <c r="JH230" s="93"/>
      <c r="JI230" s="93"/>
      <c r="JJ230" s="93"/>
      <c r="JK230" s="93"/>
      <c r="JL230" s="93"/>
      <c r="JM230" s="93"/>
      <c r="JN230" s="93"/>
      <c r="JO230" s="93"/>
      <c r="JP230" s="93"/>
      <c r="JQ230" s="93"/>
      <c r="JR230" s="93"/>
      <c r="JS230" s="93"/>
      <c r="JT230" s="20"/>
      <c r="JU230" s="29"/>
      <c r="JV230" s="19"/>
      <c r="JW230" s="93"/>
      <c r="JX230" s="93"/>
      <c r="JY230" s="93"/>
      <c r="JZ230" s="93"/>
      <c r="KA230" s="93"/>
      <c r="KB230" s="93"/>
      <c r="KC230" s="93"/>
      <c r="KD230" s="93"/>
      <c r="KE230" s="93"/>
      <c r="KF230" s="93"/>
      <c r="KG230" s="93"/>
      <c r="KH230" s="93"/>
      <c r="KI230" s="93"/>
      <c r="KJ230" s="93"/>
      <c r="KK230" s="93"/>
      <c r="KL230" s="93"/>
      <c r="KM230" s="93"/>
      <c r="KN230" s="93"/>
      <c r="KO230" s="93"/>
      <c r="KP230" s="93"/>
      <c r="KQ230" s="93"/>
      <c r="KR230" s="93"/>
      <c r="KS230" s="93"/>
      <c r="KT230" s="93"/>
      <c r="KU230" s="93"/>
      <c r="KV230" s="93"/>
      <c r="KW230" s="20"/>
      <c r="KX230" s="29"/>
      <c r="KY230" s="19"/>
      <c r="KZ230" s="93"/>
      <c r="LA230" s="93"/>
      <c r="LB230" s="93"/>
      <c r="LC230" s="93"/>
      <c r="LD230" s="93"/>
      <c r="LE230" s="93"/>
      <c r="LF230" s="93"/>
      <c r="LG230" s="93"/>
      <c r="LH230" s="93"/>
      <c r="LI230" s="93"/>
      <c r="LJ230" s="93"/>
      <c r="LK230" s="93"/>
      <c r="LL230" s="93"/>
      <c r="LM230" s="93"/>
      <c r="LN230" s="93"/>
      <c r="LO230" s="93"/>
      <c r="LP230" s="93"/>
      <c r="LQ230" s="93"/>
      <c r="LR230" s="93"/>
      <c r="LS230" s="93"/>
      <c r="LT230" s="93"/>
      <c r="LU230" s="93"/>
      <c r="LV230" s="93"/>
      <c r="LW230" s="93"/>
      <c r="LX230" s="93"/>
      <c r="LY230" s="93"/>
      <c r="LZ230" s="93"/>
      <c r="MA230" s="93"/>
      <c r="MB230" s="93"/>
      <c r="MC230" s="93"/>
      <c r="MD230" s="93"/>
      <c r="ME230" s="93"/>
      <c r="MF230" s="93"/>
      <c r="MG230" s="93"/>
      <c r="MH230" s="20"/>
      <c r="MI230" s="29"/>
      <c r="MJ230" s="29" t="str">
        <f t="shared" si="97"/>
        <v>Trimestre 12039</v>
      </c>
      <c r="MK230" s="848">
        <v>50830</v>
      </c>
      <c r="ML230" s="1991"/>
      <c r="MM230" s="1991"/>
      <c r="MN230" s="1991"/>
      <c r="MO230" s="1991"/>
      <c r="MP230" s="1991"/>
      <c r="MQ230" s="1991"/>
      <c r="MR230" s="1991"/>
      <c r="MS230" s="1991"/>
      <c r="MT230" s="1991"/>
      <c r="MU230" s="1991"/>
      <c r="MV230" s="1991"/>
      <c r="MW230" s="1991"/>
      <c r="MX230" s="1991"/>
      <c r="MY230" s="1991"/>
      <c r="MZ230" s="1991"/>
      <c r="NA230" s="1991"/>
      <c r="NB230" s="1991"/>
      <c r="NC230" s="1991"/>
      <c r="ND230" s="1991"/>
      <c r="NE230" s="1991"/>
      <c r="NF230" s="1991"/>
      <c r="NG230" s="1991"/>
      <c r="NH230" s="1991"/>
      <c r="NI230" s="1991"/>
      <c r="NJ230" s="1991"/>
      <c r="NK230" s="1991"/>
      <c r="NL230" s="29"/>
    </row>
    <row r="231" spans="1:376">
      <c r="A231" s="41">
        <f t="shared" si="95"/>
        <v>2039</v>
      </c>
      <c r="B231" s="785">
        <v>50922</v>
      </c>
      <c r="C231" s="19"/>
      <c r="D231" s="93"/>
      <c r="E231" s="93"/>
      <c r="F231" s="93"/>
      <c r="G231" s="93"/>
      <c r="H231" s="93"/>
      <c r="I231" s="93"/>
      <c r="J231" s="93"/>
      <c r="K231" s="93"/>
      <c r="L231" s="93"/>
      <c r="M231" s="20"/>
      <c r="N231" s="25"/>
      <c r="O231" s="889">
        <f t="shared" si="94"/>
        <v>2039</v>
      </c>
      <c r="P231" s="29" t="str">
        <f t="shared" si="96"/>
        <v>Trimestre 22039</v>
      </c>
      <c r="Q231" s="848">
        <v>50922</v>
      </c>
      <c r="R231" s="733"/>
      <c r="S231" s="570"/>
      <c r="T231" s="570"/>
      <c r="U231" s="734"/>
      <c r="V231" s="25"/>
      <c r="W231" s="19"/>
      <c r="X231" s="93"/>
      <c r="Y231" s="93"/>
      <c r="Z231" s="93"/>
      <c r="AA231" s="93"/>
      <c r="AB231" s="93"/>
      <c r="AC231" s="93"/>
      <c r="AD231" s="93"/>
      <c r="AE231" s="20"/>
      <c r="AF231" s="25"/>
      <c r="AG231" s="19"/>
      <c r="AH231" s="93"/>
      <c r="AI231" s="93"/>
      <c r="AJ231" s="93"/>
      <c r="AK231" s="93"/>
      <c r="AL231" s="93"/>
      <c r="AM231" s="93"/>
      <c r="AN231" s="20"/>
      <c r="AO231" s="19"/>
      <c r="AP231" s="93"/>
      <c r="AQ231" s="93"/>
      <c r="AR231" s="93"/>
      <c r="AS231" s="20"/>
      <c r="AT231" s="19"/>
      <c r="AU231" s="93"/>
      <c r="AV231" s="20"/>
      <c r="AW231" s="19"/>
      <c r="AX231" s="93"/>
      <c r="AY231" s="93"/>
      <c r="AZ231" s="93"/>
      <c r="BA231" s="93"/>
      <c r="BB231" s="93"/>
      <c r="BC231" s="20"/>
      <c r="BD231" s="19"/>
      <c r="BE231" s="93"/>
      <c r="BF231" s="93"/>
      <c r="BG231" s="93"/>
      <c r="BH231" s="93"/>
      <c r="BI231" s="93"/>
      <c r="BJ231" s="93"/>
      <c r="BK231" s="20"/>
      <c r="BL231" s="19"/>
      <c r="BM231" s="93"/>
      <c r="BN231" s="93"/>
      <c r="BO231" s="93"/>
      <c r="BP231" s="93"/>
      <c r="BQ231" s="20"/>
      <c r="BR231" s="19"/>
      <c r="BS231" s="93"/>
      <c r="BT231" s="93"/>
      <c r="BU231" s="20"/>
      <c r="BV231" s="19"/>
      <c r="BW231" s="93"/>
      <c r="BX231" s="93"/>
      <c r="BY231" s="93"/>
      <c r="BZ231" s="93"/>
      <c r="CA231" s="93"/>
      <c r="CB231" s="20"/>
      <c r="CC231" s="25"/>
      <c r="CD231" s="19"/>
      <c r="CE231" s="93"/>
      <c r="CF231" s="20"/>
      <c r="CG231" s="25"/>
      <c r="CH231" s="19"/>
      <c r="CI231" s="93"/>
      <c r="CJ231" s="93"/>
      <c r="CK231" s="93"/>
      <c r="CL231" s="93"/>
      <c r="CM231" s="93"/>
      <c r="CN231" s="93"/>
      <c r="CO231" s="93"/>
      <c r="CP231" s="93"/>
      <c r="CQ231" s="93"/>
      <c r="CR231" s="214"/>
      <c r="CS231" s="20"/>
      <c r="CT231" s="25"/>
      <c r="CU231" s="19"/>
      <c r="CV231" s="93"/>
      <c r="CW231" s="93"/>
      <c r="CX231" s="93"/>
      <c r="CY231" s="93"/>
      <c r="CZ231" s="93"/>
      <c r="DA231" s="93"/>
      <c r="DB231" s="20"/>
      <c r="DC231" s="25"/>
      <c r="DD231" s="785">
        <v>50922</v>
      </c>
      <c r="DE231" s="19"/>
      <c r="DF231" s="20"/>
      <c r="DG231" s="25"/>
      <c r="DH231" s="19"/>
      <c r="DI231" s="20"/>
      <c r="DJ231" s="25"/>
      <c r="DK231" s="19"/>
      <c r="DL231" s="20"/>
      <c r="DM231" s="19"/>
      <c r="DN231" s="20"/>
      <c r="DO231" s="25"/>
      <c r="DP231" s="19"/>
      <c r="DQ231" s="93"/>
      <c r="DR231" s="20"/>
      <c r="DS231" s="25"/>
      <c r="DT231" s="19"/>
      <c r="DU231" s="93"/>
      <c r="DV231" s="20"/>
      <c r="DW231" s="25"/>
      <c r="DX231" s="19"/>
      <c r="DY231" s="20"/>
      <c r="DZ231" s="25"/>
      <c r="EA231" s="19"/>
      <c r="EB231" s="93"/>
      <c r="EC231" s="93"/>
      <c r="ED231" s="93"/>
      <c r="EE231" s="20"/>
      <c r="EF231" s="25"/>
      <c r="EG231" s="19"/>
      <c r="EH231" s="93"/>
      <c r="EI231" s="93"/>
      <c r="EJ231" s="93"/>
      <c r="EK231" s="20"/>
      <c r="EL231" s="25"/>
      <c r="EM231" s="19"/>
      <c r="EN231" s="93"/>
      <c r="EO231" s="93"/>
      <c r="EP231" s="93"/>
      <c r="EQ231" s="93"/>
      <c r="ER231" s="93"/>
      <c r="ES231" s="93"/>
      <c r="ET231" s="93"/>
      <c r="EU231" s="93"/>
      <c r="EV231" s="20"/>
      <c r="EW231" s="25"/>
      <c r="EX231" s="915"/>
      <c r="EY231" s="916"/>
      <c r="EZ231" s="916"/>
      <c r="FA231" s="916"/>
      <c r="FB231" s="916"/>
      <c r="FC231" s="916"/>
      <c r="FD231" s="916"/>
      <c r="FE231" s="916"/>
      <c r="FF231" s="916"/>
      <c r="FG231" s="917"/>
      <c r="FH231" s="25"/>
      <c r="FI231" s="848">
        <v>50922</v>
      </c>
      <c r="FJ231" s="19"/>
      <c r="FK231" s="93"/>
      <c r="FL231" s="20"/>
      <c r="FM231" s="25"/>
      <c r="FN231" s="19"/>
      <c r="FO231" s="93"/>
      <c r="FP231" s="93"/>
      <c r="FQ231" s="93"/>
      <c r="FR231" s="93"/>
      <c r="FS231" s="93"/>
      <c r="FT231" s="93"/>
      <c r="FU231" s="93"/>
      <c r="FV231" s="93"/>
      <c r="FW231" s="917"/>
      <c r="FX231" s="25"/>
      <c r="FY231" s="916"/>
      <c r="FZ231" s="916"/>
      <c r="GA231" s="916"/>
      <c r="GB231" s="916"/>
      <c r="GC231" s="916"/>
      <c r="GD231" s="916"/>
      <c r="GE231" s="916"/>
      <c r="GF231" s="916"/>
      <c r="GG231" s="916"/>
      <c r="GH231" s="916"/>
      <c r="GI231" s="917"/>
      <c r="GJ231" s="25"/>
      <c r="GK231" s="19"/>
      <c r="GL231" s="20"/>
      <c r="GM231" s="25"/>
      <c r="GN231" s="19"/>
      <c r="GO231" s="20"/>
      <c r="GP231" s="25"/>
      <c r="GQ231" s="19"/>
      <c r="GR231" s="20"/>
      <c r="GS231" s="25"/>
      <c r="GT231" s="848">
        <v>50922</v>
      </c>
      <c r="GU231" s="19"/>
      <c r="GV231" s="93"/>
      <c r="GW231" s="93"/>
      <c r="GX231" s="93"/>
      <c r="GY231" s="93"/>
      <c r="GZ231" s="93"/>
      <c r="HA231" s="93"/>
      <c r="HB231" s="93"/>
      <c r="HC231" s="93"/>
      <c r="HD231" s="93"/>
      <c r="HE231" s="93"/>
      <c r="HF231" s="93"/>
      <c r="HG231" s="93"/>
      <c r="HH231" s="93"/>
      <c r="HI231" s="93"/>
      <c r="HJ231" s="93"/>
      <c r="HK231" s="93"/>
      <c r="HL231" s="93"/>
      <c r="HM231" s="93"/>
      <c r="HN231" s="93"/>
      <c r="HO231" s="93"/>
      <c r="HP231" s="93"/>
      <c r="HQ231" s="93"/>
      <c r="HR231" s="93"/>
      <c r="HS231" s="93"/>
      <c r="HT231" s="93"/>
      <c r="HU231" s="93"/>
      <c r="HV231" s="93"/>
      <c r="HW231" s="93"/>
      <c r="HX231" s="93"/>
      <c r="HY231" s="93"/>
      <c r="HZ231" s="93"/>
      <c r="IA231" s="93"/>
      <c r="IB231" s="93"/>
      <c r="IC231" s="93"/>
      <c r="ID231" s="93"/>
      <c r="IE231" s="93"/>
      <c r="IF231" s="93"/>
      <c r="IG231" s="93"/>
      <c r="IH231" s="93"/>
      <c r="II231" s="93"/>
      <c r="IJ231" s="93"/>
      <c r="IK231" s="93"/>
      <c r="IL231" s="93"/>
      <c r="IM231" s="93"/>
      <c r="IN231" s="93"/>
      <c r="IO231" s="93"/>
      <c r="IP231" s="93"/>
      <c r="IQ231" s="93"/>
      <c r="IR231" s="93"/>
      <c r="IS231" s="93"/>
      <c r="IT231" s="93"/>
      <c r="IU231" s="93"/>
      <c r="IV231" s="93"/>
      <c r="IW231" s="848">
        <v>50922</v>
      </c>
      <c r="IX231" s="93"/>
      <c r="IY231" s="93"/>
      <c r="IZ231" s="93"/>
      <c r="JA231" s="93"/>
      <c r="JB231" s="93"/>
      <c r="JC231" s="93"/>
      <c r="JD231" s="93"/>
      <c r="JE231" s="93"/>
      <c r="JF231" s="93"/>
      <c r="JG231" s="93"/>
      <c r="JH231" s="93"/>
      <c r="JI231" s="93"/>
      <c r="JJ231" s="93"/>
      <c r="JK231" s="93"/>
      <c r="JL231" s="93"/>
      <c r="JM231" s="93"/>
      <c r="JN231" s="93"/>
      <c r="JO231" s="93"/>
      <c r="JP231" s="93"/>
      <c r="JQ231" s="93"/>
      <c r="JR231" s="93"/>
      <c r="JS231" s="93"/>
      <c r="JT231" s="20"/>
      <c r="JU231" s="29"/>
      <c r="JV231" s="19"/>
      <c r="JW231" s="93"/>
      <c r="JX231" s="93"/>
      <c r="JY231" s="93"/>
      <c r="JZ231" s="93"/>
      <c r="KA231" s="93"/>
      <c r="KB231" s="93"/>
      <c r="KC231" s="93"/>
      <c r="KD231" s="93"/>
      <c r="KE231" s="93"/>
      <c r="KF231" s="93"/>
      <c r="KG231" s="93"/>
      <c r="KH231" s="93"/>
      <c r="KI231" s="93"/>
      <c r="KJ231" s="93"/>
      <c r="KK231" s="93"/>
      <c r="KL231" s="93"/>
      <c r="KM231" s="93"/>
      <c r="KN231" s="93"/>
      <c r="KO231" s="93"/>
      <c r="KP231" s="93"/>
      <c r="KQ231" s="93"/>
      <c r="KR231" s="93"/>
      <c r="KS231" s="93"/>
      <c r="KT231" s="93"/>
      <c r="KU231" s="93"/>
      <c r="KV231" s="93"/>
      <c r="KW231" s="20"/>
      <c r="KX231" s="29"/>
      <c r="KY231" s="19"/>
      <c r="KZ231" s="93"/>
      <c r="LA231" s="93"/>
      <c r="LB231" s="93"/>
      <c r="LC231" s="93"/>
      <c r="LD231" s="93"/>
      <c r="LE231" s="93"/>
      <c r="LF231" s="93"/>
      <c r="LG231" s="93"/>
      <c r="LH231" s="93"/>
      <c r="LI231" s="93"/>
      <c r="LJ231" s="93"/>
      <c r="LK231" s="93"/>
      <c r="LL231" s="93"/>
      <c r="LM231" s="93"/>
      <c r="LN231" s="93"/>
      <c r="LO231" s="93"/>
      <c r="LP231" s="93"/>
      <c r="LQ231" s="93"/>
      <c r="LR231" s="93"/>
      <c r="LS231" s="93"/>
      <c r="LT231" s="93"/>
      <c r="LU231" s="93"/>
      <c r="LV231" s="93"/>
      <c r="LW231" s="93"/>
      <c r="LX231" s="93"/>
      <c r="LY231" s="93"/>
      <c r="LZ231" s="93"/>
      <c r="MA231" s="93"/>
      <c r="MB231" s="93"/>
      <c r="MC231" s="93"/>
      <c r="MD231" s="93"/>
      <c r="ME231" s="93"/>
      <c r="MF231" s="93"/>
      <c r="MG231" s="93"/>
      <c r="MH231" s="20"/>
      <c r="MI231" s="29"/>
      <c r="MJ231" s="29" t="str">
        <f t="shared" si="97"/>
        <v>Trimestre 22039</v>
      </c>
      <c r="MK231" s="848">
        <v>50922</v>
      </c>
      <c r="ML231" s="1991"/>
      <c r="MM231" s="1991"/>
      <c r="MN231" s="1991"/>
      <c r="MO231" s="1991"/>
      <c r="MP231" s="1991"/>
      <c r="MQ231" s="1991"/>
      <c r="MR231" s="1991"/>
      <c r="MS231" s="1991"/>
      <c r="MT231" s="1991"/>
      <c r="MU231" s="1991"/>
      <c r="MV231" s="1991"/>
      <c r="MW231" s="1991"/>
      <c r="MX231" s="1991"/>
      <c r="MY231" s="1991"/>
      <c r="MZ231" s="1991"/>
      <c r="NA231" s="1991"/>
      <c r="NB231" s="1991"/>
      <c r="NC231" s="1991"/>
      <c r="ND231" s="1991"/>
      <c r="NE231" s="1991"/>
      <c r="NF231" s="1991"/>
      <c r="NG231" s="1991"/>
      <c r="NH231" s="1991"/>
      <c r="NI231" s="1991"/>
      <c r="NJ231" s="1991"/>
      <c r="NK231" s="1991"/>
      <c r="NL231" s="29"/>
    </row>
    <row r="232" spans="1:376">
      <c r="A232" s="41">
        <f t="shared" si="95"/>
        <v>2039</v>
      </c>
      <c r="B232" s="785">
        <v>51014</v>
      </c>
      <c r="C232" s="19"/>
      <c r="D232" s="93"/>
      <c r="E232" s="93"/>
      <c r="F232" s="93"/>
      <c r="G232" s="93"/>
      <c r="H232" s="93"/>
      <c r="I232" s="93"/>
      <c r="J232" s="93"/>
      <c r="K232" s="93"/>
      <c r="L232" s="93"/>
      <c r="M232" s="20"/>
      <c r="N232" s="25"/>
      <c r="O232" s="889">
        <f t="shared" si="94"/>
        <v>2039</v>
      </c>
      <c r="P232" s="29" t="str">
        <f t="shared" si="96"/>
        <v>Trimestre 32039</v>
      </c>
      <c r="Q232" s="848">
        <v>51014</v>
      </c>
      <c r="R232" s="733"/>
      <c r="S232" s="570"/>
      <c r="T232" s="570"/>
      <c r="U232" s="734"/>
      <c r="V232" s="25"/>
      <c r="W232" s="19"/>
      <c r="X232" s="93"/>
      <c r="Y232" s="93"/>
      <c r="Z232" s="93"/>
      <c r="AA232" s="93"/>
      <c r="AB232" s="93"/>
      <c r="AC232" s="93"/>
      <c r="AD232" s="93"/>
      <c r="AE232" s="20"/>
      <c r="AF232" s="25"/>
      <c r="AG232" s="19"/>
      <c r="AH232" s="93"/>
      <c r="AI232" s="93"/>
      <c r="AJ232" s="93"/>
      <c r="AK232" s="93"/>
      <c r="AL232" s="93"/>
      <c r="AM232" s="93"/>
      <c r="AN232" s="20"/>
      <c r="AO232" s="19"/>
      <c r="AP232" s="93"/>
      <c r="AQ232" s="93"/>
      <c r="AR232" s="93"/>
      <c r="AS232" s="20"/>
      <c r="AT232" s="19"/>
      <c r="AU232" s="93"/>
      <c r="AV232" s="20"/>
      <c r="AW232" s="19"/>
      <c r="AX232" s="93"/>
      <c r="AY232" s="93"/>
      <c r="AZ232" s="93"/>
      <c r="BA232" s="93"/>
      <c r="BB232" s="93"/>
      <c r="BC232" s="20"/>
      <c r="BD232" s="19"/>
      <c r="BE232" s="93"/>
      <c r="BF232" s="93"/>
      <c r="BG232" s="93"/>
      <c r="BH232" s="93"/>
      <c r="BI232" s="93"/>
      <c r="BJ232" s="93"/>
      <c r="BK232" s="20"/>
      <c r="BL232" s="19"/>
      <c r="BM232" s="93"/>
      <c r="BN232" s="93"/>
      <c r="BO232" s="93"/>
      <c r="BP232" s="93"/>
      <c r="BQ232" s="20"/>
      <c r="BR232" s="19"/>
      <c r="BS232" s="93"/>
      <c r="BT232" s="93"/>
      <c r="BU232" s="20"/>
      <c r="BV232" s="19"/>
      <c r="BW232" s="93"/>
      <c r="BX232" s="93"/>
      <c r="BY232" s="93"/>
      <c r="BZ232" s="93"/>
      <c r="CA232" s="93"/>
      <c r="CB232" s="20"/>
      <c r="CC232" s="25"/>
      <c r="CD232" s="19"/>
      <c r="CE232" s="93"/>
      <c r="CF232" s="20"/>
      <c r="CG232" s="25"/>
      <c r="CH232" s="19"/>
      <c r="CI232" s="93"/>
      <c r="CJ232" s="93"/>
      <c r="CK232" s="93"/>
      <c r="CL232" s="93"/>
      <c r="CM232" s="93"/>
      <c r="CN232" s="93"/>
      <c r="CO232" s="93"/>
      <c r="CP232" s="93"/>
      <c r="CQ232" s="93"/>
      <c r="CR232" s="214"/>
      <c r="CS232" s="20"/>
      <c r="CT232" s="25"/>
      <c r="CU232" s="19"/>
      <c r="CV232" s="93"/>
      <c r="CW232" s="93"/>
      <c r="CX232" s="93"/>
      <c r="CY232" s="93"/>
      <c r="CZ232" s="93"/>
      <c r="DA232" s="93"/>
      <c r="DB232" s="20"/>
      <c r="DC232" s="25"/>
      <c r="DD232" s="785">
        <v>51014</v>
      </c>
      <c r="DE232" s="19"/>
      <c r="DF232" s="20"/>
      <c r="DG232" s="25"/>
      <c r="DH232" s="19"/>
      <c r="DI232" s="20"/>
      <c r="DJ232" s="25"/>
      <c r="DK232" s="19"/>
      <c r="DL232" s="20"/>
      <c r="DM232" s="19"/>
      <c r="DN232" s="20"/>
      <c r="DO232" s="25"/>
      <c r="DP232" s="19"/>
      <c r="DQ232" s="93"/>
      <c r="DR232" s="20"/>
      <c r="DS232" s="25"/>
      <c r="DT232" s="19"/>
      <c r="DU232" s="93"/>
      <c r="DV232" s="20"/>
      <c r="DW232" s="25"/>
      <c r="DX232" s="19"/>
      <c r="DY232" s="20"/>
      <c r="DZ232" s="25"/>
      <c r="EA232" s="19"/>
      <c r="EB232" s="93"/>
      <c r="EC232" s="93"/>
      <c r="ED232" s="93"/>
      <c r="EE232" s="20"/>
      <c r="EF232" s="25"/>
      <c r="EG232" s="19"/>
      <c r="EH232" s="93"/>
      <c r="EI232" s="93"/>
      <c r="EJ232" s="93"/>
      <c r="EK232" s="20"/>
      <c r="EL232" s="25"/>
      <c r="EM232" s="19"/>
      <c r="EN232" s="93"/>
      <c r="EO232" s="93"/>
      <c r="EP232" s="93"/>
      <c r="EQ232" s="93"/>
      <c r="ER232" s="93"/>
      <c r="ES232" s="93"/>
      <c r="ET232" s="93"/>
      <c r="EU232" s="93"/>
      <c r="EV232" s="20"/>
      <c r="EW232" s="25"/>
      <c r="EX232" s="915"/>
      <c r="EY232" s="916"/>
      <c r="EZ232" s="916"/>
      <c r="FA232" s="916"/>
      <c r="FB232" s="916"/>
      <c r="FC232" s="916"/>
      <c r="FD232" s="916"/>
      <c r="FE232" s="916"/>
      <c r="FF232" s="916"/>
      <c r="FG232" s="917"/>
      <c r="FH232" s="25"/>
      <c r="FI232" s="848">
        <v>51014</v>
      </c>
      <c r="FJ232" s="19"/>
      <c r="FK232" s="93"/>
      <c r="FL232" s="20"/>
      <c r="FM232" s="25"/>
      <c r="FN232" s="19"/>
      <c r="FO232" s="93"/>
      <c r="FP232" s="93"/>
      <c r="FQ232" s="93"/>
      <c r="FR232" s="93"/>
      <c r="FS232" s="93"/>
      <c r="FT232" s="93"/>
      <c r="FU232" s="93"/>
      <c r="FV232" s="93"/>
      <c r="FW232" s="917"/>
      <c r="FX232" s="25"/>
      <c r="FY232" s="916"/>
      <c r="FZ232" s="916"/>
      <c r="GA232" s="916"/>
      <c r="GB232" s="916"/>
      <c r="GC232" s="916"/>
      <c r="GD232" s="916"/>
      <c r="GE232" s="916"/>
      <c r="GF232" s="916"/>
      <c r="GG232" s="916"/>
      <c r="GH232" s="916"/>
      <c r="GI232" s="917"/>
      <c r="GJ232" s="25"/>
      <c r="GK232" s="19"/>
      <c r="GL232" s="20"/>
      <c r="GM232" s="25"/>
      <c r="GN232" s="19"/>
      <c r="GO232" s="20"/>
      <c r="GP232" s="25"/>
      <c r="GQ232" s="19"/>
      <c r="GR232" s="20"/>
      <c r="GS232" s="25"/>
      <c r="GT232" s="848">
        <v>51014</v>
      </c>
      <c r="GU232" s="19"/>
      <c r="GV232" s="93"/>
      <c r="GW232" s="93"/>
      <c r="GX232" s="93"/>
      <c r="GY232" s="93"/>
      <c r="GZ232" s="93"/>
      <c r="HA232" s="93"/>
      <c r="HB232" s="93"/>
      <c r="HC232" s="93"/>
      <c r="HD232" s="93"/>
      <c r="HE232" s="93"/>
      <c r="HF232" s="93"/>
      <c r="HG232" s="93"/>
      <c r="HH232" s="93"/>
      <c r="HI232" s="93"/>
      <c r="HJ232" s="93"/>
      <c r="HK232" s="93"/>
      <c r="HL232" s="93"/>
      <c r="HM232" s="93"/>
      <c r="HN232" s="93"/>
      <c r="HO232" s="93"/>
      <c r="HP232" s="93"/>
      <c r="HQ232" s="93"/>
      <c r="HR232" s="93"/>
      <c r="HS232" s="93"/>
      <c r="HT232" s="93"/>
      <c r="HU232" s="93"/>
      <c r="HV232" s="93"/>
      <c r="HW232" s="93"/>
      <c r="HX232" s="93"/>
      <c r="HY232" s="93"/>
      <c r="HZ232" s="93"/>
      <c r="IA232" s="93"/>
      <c r="IB232" s="93"/>
      <c r="IC232" s="93"/>
      <c r="ID232" s="93"/>
      <c r="IE232" s="93"/>
      <c r="IF232" s="93"/>
      <c r="IG232" s="93"/>
      <c r="IH232" s="93"/>
      <c r="II232" s="93"/>
      <c r="IJ232" s="93"/>
      <c r="IK232" s="93"/>
      <c r="IL232" s="93"/>
      <c r="IM232" s="93"/>
      <c r="IN232" s="93"/>
      <c r="IO232" s="93"/>
      <c r="IP232" s="93"/>
      <c r="IQ232" s="93"/>
      <c r="IR232" s="93"/>
      <c r="IS232" s="93"/>
      <c r="IT232" s="93"/>
      <c r="IU232" s="93"/>
      <c r="IV232" s="93"/>
      <c r="IW232" s="848">
        <v>51014</v>
      </c>
      <c r="IX232" s="93"/>
      <c r="IY232" s="93"/>
      <c r="IZ232" s="93"/>
      <c r="JA232" s="93"/>
      <c r="JB232" s="93"/>
      <c r="JC232" s="93"/>
      <c r="JD232" s="93"/>
      <c r="JE232" s="93"/>
      <c r="JF232" s="93"/>
      <c r="JG232" s="93"/>
      <c r="JH232" s="93"/>
      <c r="JI232" s="93"/>
      <c r="JJ232" s="93"/>
      <c r="JK232" s="93"/>
      <c r="JL232" s="93"/>
      <c r="JM232" s="93"/>
      <c r="JN232" s="93"/>
      <c r="JO232" s="93"/>
      <c r="JP232" s="93"/>
      <c r="JQ232" s="93"/>
      <c r="JR232" s="93"/>
      <c r="JS232" s="93"/>
      <c r="JT232" s="20"/>
      <c r="JU232" s="29"/>
      <c r="JV232" s="19"/>
      <c r="JW232" s="93"/>
      <c r="JX232" s="93"/>
      <c r="JY232" s="93"/>
      <c r="JZ232" s="93"/>
      <c r="KA232" s="93"/>
      <c r="KB232" s="93"/>
      <c r="KC232" s="93"/>
      <c r="KD232" s="93"/>
      <c r="KE232" s="93"/>
      <c r="KF232" s="93"/>
      <c r="KG232" s="93"/>
      <c r="KH232" s="93"/>
      <c r="KI232" s="93"/>
      <c r="KJ232" s="93"/>
      <c r="KK232" s="93"/>
      <c r="KL232" s="93"/>
      <c r="KM232" s="93"/>
      <c r="KN232" s="93"/>
      <c r="KO232" s="93"/>
      <c r="KP232" s="93"/>
      <c r="KQ232" s="93"/>
      <c r="KR232" s="93"/>
      <c r="KS232" s="93"/>
      <c r="KT232" s="93"/>
      <c r="KU232" s="93"/>
      <c r="KV232" s="93"/>
      <c r="KW232" s="20"/>
      <c r="KX232" s="29"/>
      <c r="KY232" s="19"/>
      <c r="KZ232" s="93"/>
      <c r="LA232" s="93"/>
      <c r="LB232" s="93"/>
      <c r="LC232" s="93"/>
      <c r="LD232" s="93"/>
      <c r="LE232" s="93"/>
      <c r="LF232" s="93"/>
      <c r="LG232" s="93"/>
      <c r="LH232" s="93"/>
      <c r="LI232" s="93"/>
      <c r="LJ232" s="93"/>
      <c r="LK232" s="93"/>
      <c r="LL232" s="93"/>
      <c r="LM232" s="93"/>
      <c r="LN232" s="93"/>
      <c r="LO232" s="93"/>
      <c r="LP232" s="93"/>
      <c r="LQ232" s="93"/>
      <c r="LR232" s="93"/>
      <c r="LS232" s="93"/>
      <c r="LT232" s="93"/>
      <c r="LU232" s="93"/>
      <c r="LV232" s="93"/>
      <c r="LW232" s="93"/>
      <c r="LX232" s="93"/>
      <c r="LY232" s="93"/>
      <c r="LZ232" s="93"/>
      <c r="MA232" s="93"/>
      <c r="MB232" s="93"/>
      <c r="MC232" s="93"/>
      <c r="MD232" s="93"/>
      <c r="ME232" s="93"/>
      <c r="MF232" s="93"/>
      <c r="MG232" s="93"/>
      <c r="MH232" s="20"/>
      <c r="MI232" s="29"/>
      <c r="MJ232" s="29" t="str">
        <f t="shared" si="97"/>
        <v>Trimestre 32039</v>
      </c>
      <c r="MK232" s="848">
        <v>51014</v>
      </c>
      <c r="ML232" s="1991"/>
      <c r="MM232" s="1991"/>
      <c r="MN232" s="1991"/>
      <c r="MO232" s="1991"/>
      <c r="MP232" s="1991"/>
      <c r="MQ232" s="1991"/>
      <c r="MR232" s="1991"/>
      <c r="MS232" s="1991"/>
      <c r="MT232" s="1991"/>
      <c r="MU232" s="1991"/>
      <c r="MV232" s="1991"/>
      <c r="MW232" s="1991"/>
      <c r="MX232" s="1991"/>
      <c r="MY232" s="1991"/>
      <c r="MZ232" s="1991"/>
      <c r="NA232" s="1991"/>
      <c r="NB232" s="1991"/>
      <c r="NC232" s="1991"/>
      <c r="ND232" s="1991"/>
      <c r="NE232" s="1991"/>
      <c r="NF232" s="1991"/>
      <c r="NG232" s="1991"/>
      <c r="NH232" s="1991"/>
      <c r="NI232" s="1991"/>
      <c r="NJ232" s="1991"/>
      <c r="NK232" s="1991"/>
      <c r="NL232" s="29"/>
    </row>
    <row r="233" spans="1:376">
      <c r="A233" s="41">
        <f t="shared" si="95"/>
        <v>2039</v>
      </c>
      <c r="B233" s="785">
        <v>51105</v>
      </c>
      <c r="C233" s="19"/>
      <c r="D233" s="93"/>
      <c r="E233" s="93"/>
      <c r="F233" s="93"/>
      <c r="G233" s="93"/>
      <c r="H233" s="93"/>
      <c r="I233" s="93"/>
      <c r="J233" s="93"/>
      <c r="K233" s="93"/>
      <c r="L233" s="93"/>
      <c r="M233" s="20"/>
      <c r="N233" s="25"/>
      <c r="O233" s="889">
        <f t="shared" si="94"/>
        <v>2039</v>
      </c>
      <c r="P233" s="29" t="str">
        <f t="shared" si="96"/>
        <v>Trimestre 42039</v>
      </c>
      <c r="Q233" s="848">
        <v>51105</v>
      </c>
      <c r="R233" s="733"/>
      <c r="S233" s="570"/>
      <c r="T233" s="570"/>
      <c r="U233" s="734"/>
      <c r="V233" s="25"/>
      <c r="W233" s="19"/>
      <c r="X233" s="93"/>
      <c r="Y233" s="93"/>
      <c r="Z233" s="93"/>
      <c r="AA233" s="93"/>
      <c r="AB233" s="93"/>
      <c r="AC233" s="93"/>
      <c r="AD233" s="93"/>
      <c r="AE233" s="20"/>
      <c r="AF233" s="25"/>
      <c r="AG233" s="19"/>
      <c r="AH233" s="93"/>
      <c r="AI233" s="93"/>
      <c r="AJ233" s="93"/>
      <c r="AK233" s="93"/>
      <c r="AL233" s="93"/>
      <c r="AM233" s="93"/>
      <c r="AN233" s="20"/>
      <c r="AO233" s="19"/>
      <c r="AP233" s="93"/>
      <c r="AQ233" s="93"/>
      <c r="AR233" s="93"/>
      <c r="AS233" s="20"/>
      <c r="AT233" s="19"/>
      <c r="AU233" s="93"/>
      <c r="AV233" s="20"/>
      <c r="AW233" s="19"/>
      <c r="AX233" s="93"/>
      <c r="AY233" s="93"/>
      <c r="AZ233" s="93"/>
      <c r="BA233" s="93"/>
      <c r="BB233" s="93"/>
      <c r="BC233" s="20"/>
      <c r="BD233" s="19"/>
      <c r="BE233" s="93"/>
      <c r="BF233" s="93"/>
      <c r="BG233" s="93"/>
      <c r="BH233" s="93"/>
      <c r="BI233" s="93"/>
      <c r="BJ233" s="93"/>
      <c r="BK233" s="20"/>
      <c r="BL233" s="19"/>
      <c r="BM233" s="93"/>
      <c r="BN233" s="93"/>
      <c r="BO233" s="93"/>
      <c r="BP233" s="93"/>
      <c r="BQ233" s="20"/>
      <c r="BR233" s="19"/>
      <c r="BS233" s="93"/>
      <c r="BT233" s="93"/>
      <c r="BU233" s="20"/>
      <c r="BV233" s="19"/>
      <c r="BW233" s="93"/>
      <c r="BX233" s="93"/>
      <c r="BY233" s="93"/>
      <c r="BZ233" s="93"/>
      <c r="CA233" s="93"/>
      <c r="CB233" s="20"/>
      <c r="CC233" s="25"/>
      <c r="CD233" s="19"/>
      <c r="CE233" s="93"/>
      <c r="CF233" s="20"/>
      <c r="CG233" s="25"/>
      <c r="CH233" s="19"/>
      <c r="CI233" s="93"/>
      <c r="CJ233" s="93"/>
      <c r="CK233" s="93"/>
      <c r="CL233" s="93"/>
      <c r="CM233" s="93"/>
      <c r="CN233" s="93"/>
      <c r="CO233" s="93"/>
      <c r="CP233" s="93"/>
      <c r="CQ233" s="93"/>
      <c r="CR233" s="214"/>
      <c r="CS233" s="20"/>
      <c r="CT233" s="25"/>
      <c r="CU233" s="19"/>
      <c r="CV233" s="93"/>
      <c r="CW233" s="93"/>
      <c r="CX233" s="93"/>
      <c r="CY233" s="93"/>
      <c r="CZ233" s="93"/>
      <c r="DA233" s="93"/>
      <c r="DB233" s="20"/>
      <c r="DC233" s="25"/>
      <c r="DD233" s="785">
        <v>51105</v>
      </c>
      <c r="DE233" s="19"/>
      <c r="DF233" s="20"/>
      <c r="DG233" s="25"/>
      <c r="DH233" s="19"/>
      <c r="DI233" s="20"/>
      <c r="DJ233" s="25"/>
      <c r="DK233" s="19"/>
      <c r="DL233" s="20"/>
      <c r="DM233" s="19"/>
      <c r="DN233" s="20"/>
      <c r="DO233" s="25"/>
      <c r="DP233" s="19"/>
      <c r="DQ233" s="93"/>
      <c r="DR233" s="20"/>
      <c r="DS233" s="25"/>
      <c r="DT233" s="19"/>
      <c r="DU233" s="93"/>
      <c r="DV233" s="20"/>
      <c r="DW233" s="25"/>
      <c r="DX233" s="19"/>
      <c r="DY233" s="20"/>
      <c r="DZ233" s="25"/>
      <c r="EA233" s="19"/>
      <c r="EB233" s="93"/>
      <c r="EC233" s="93"/>
      <c r="ED233" s="93"/>
      <c r="EE233" s="20"/>
      <c r="EF233" s="25"/>
      <c r="EG233" s="19"/>
      <c r="EH233" s="93"/>
      <c r="EI233" s="93"/>
      <c r="EJ233" s="93"/>
      <c r="EK233" s="20"/>
      <c r="EL233" s="25"/>
      <c r="EM233" s="19"/>
      <c r="EN233" s="93"/>
      <c r="EO233" s="93"/>
      <c r="EP233" s="93"/>
      <c r="EQ233" s="93"/>
      <c r="ER233" s="93"/>
      <c r="ES233" s="93"/>
      <c r="ET233" s="93"/>
      <c r="EU233" s="93"/>
      <c r="EV233" s="20"/>
      <c r="EW233" s="25"/>
      <c r="EX233" s="915"/>
      <c r="EY233" s="916"/>
      <c r="EZ233" s="916"/>
      <c r="FA233" s="916"/>
      <c r="FB233" s="916"/>
      <c r="FC233" s="916"/>
      <c r="FD233" s="916"/>
      <c r="FE233" s="916"/>
      <c r="FF233" s="916"/>
      <c r="FG233" s="917"/>
      <c r="FH233" s="25"/>
      <c r="FI233" s="848">
        <v>51105</v>
      </c>
      <c r="FJ233" s="19"/>
      <c r="FK233" s="93"/>
      <c r="FL233" s="20"/>
      <c r="FM233" s="25"/>
      <c r="FN233" s="19"/>
      <c r="FO233" s="93"/>
      <c r="FP233" s="93"/>
      <c r="FQ233" s="93"/>
      <c r="FR233" s="93"/>
      <c r="FS233" s="93"/>
      <c r="FT233" s="93"/>
      <c r="FU233" s="93"/>
      <c r="FV233" s="93"/>
      <c r="FW233" s="917"/>
      <c r="FX233" s="25"/>
      <c r="FY233" s="916"/>
      <c r="FZ233" s="916"/>
      <c r="GA233" s="916"/>
      <c r="GB233" s="916"/>
      <c r="GC233" s="916"/>
      <c r="GD233" s="916"/>
      <c r="GE233" s="916"/>
      <c r="GF233" s="916"/>
      <c r="GG233" s="916"/>
      <c r="GH233" s="916"/>
      <c r="GI233" s="917"/>
      <c r="GJ233" s="25"/>
      <c r="GK233" s="19"/>
      <c r="GL233" s="20"/>
      <c r="GM233" s="25"/>
      <c r="GN233" s="19"/>
      <c r="GO233" s="20"/>
      <c r="GP233" s="25"/>
      <c r="GQ233" s="19"/>
      <c r="GR233" s="20"/>
      <c r="GS233" s="25"/>
      <c r="GT233" s="848">
        <v>51105</v>
      </c>
      <c r="GU233" s="19"/>
      <c r="GV233" s="93"/>
      <c r="GW233" s="93"/>
      <c r="GX233" s="93"/>
      <c r="GY233" s="93"/>
      <c r="GZ233" s="93"/>
      <c r="HA233" s="93"/>
      <c r="HB233" s="93"/>
      <c r="HC233" s="93"/>
      <c r="HD233" s="93"/>
      <c r="HE233" s="93"/>
      <c r="HF233" s="93"/>
      <c r="HG233" s="93"/>
      <c r="HH233" s="93"/>
      <c r="HI233" s="93"/>
      <c r="HJ233" s="93"/>
      <c r="HK233" s="93"/>
      <c r="HL233" s="93"/>
      <c r="HM233" s="93"/>
      <c r="HN233" s="93"/>
      <c r="HO233" s="93"/>
      <c r="HP233" s="93"/>
      <c r="HQ233" s="93"/>
      <c r="HR233" s="93"/>
      <c r="HS233" s="93"/>
      <c r="HT233" s="93"/>
      <c r="HU233" s="93"/>
      <c r="HV233" s="93"/>
      <c r="HW233" s="93"/>
      <c r="HX233" s="93"/>
      <c r="HY233" s="93"/>
      <c r="HZ233" s="93"/>
      <c r="IA233" s="93"/>
      <c r="IB233" s="93"/>
      <c r="IC233" s="93"/>
      <c r="ID233" s="93"/>
      <c r="IE233" s="93"/>
      <c r="IF233" s="93"/>
      <c r="IG233" s="93"/>
      <c r="IH233" s="93"/>
      <c r="II233" s="93"/>
      <c r="IJ233" s="93"/>
      <c r="IK233" s="93"/>
      <c r="IL233" s="93"/>
      <c r="IM233" s="93"/>
      <c r="IN233" s="93"/>
      <c r="IO233" s="93"/>
      <c r="IP233" s="93"/>
      <c r="IQ233" s="93"/>
      <c r="IR233" s="93"/>
      <c r="IS233" s="93"/>
      <c r="IT233" s="93"/>
      <c r="IU233" s="93"/>
      <c r="IV233" s="93"/>
      <c r="IW233" s="848">
        <v>51105</v>
      </c>
      <c r="IX233" s="93"/>
      <c r="IY233" s="93"/>
      <c r="IZ233" s="93"/>
      <c r="JA233" s="93"/>
      <c r="JB233" s="93"/>
      <c r="JC233" s="93"/>
      <c r="JD233" s="93"/>
      <c r="JE233" s="93"/>
      <c r="JF233" s="93"/>
      <c r="JG233" s="93"/>
      <c r="JH233" s="93"/>
      <c r="JI233" s="93"/>
      <c r="JJ233" s="93"/>
      <c r="JK233" s="93"/>
      <c r="JL233" s="93"/>
      <c r="JM233" s="93"/>
      <c r="JN233" s="93"/>
      <c r="JO233" s="93"/>
      <c r="JP233" s="93"/>
      <c r="JQ233" s="93"/>
      <c r="JR233" s="93"/>
      <c r="JS233" s="93"/>
      <c r="JT233" s="20"/>
      <c r="JU233" s="29"/>
      <c r="JV233" s="19"/>
      <c r="JW233" s="93"/>
      <c r="JX233" s="93"/>
      <c r="JY233" s="93"/>
      <c r="JZ233" s="93"/>
      <c r="KA233" s="93"/>
      <c r="KB233" s="93"/>
      <c r="KC233" s="93"/>
      <c r="KD233" s="93"/>
      <c r="KE233" s="93"/>
      <c r="KF233" s="93"/>
      <c r="KG233" s="93"/>
      <c r="KH233" s="93"/>
      <c r="KI233" s="93"/>
      <c r="KJ233" s="93"/>
      <c r="KK233" s="93"/>
      <c r="KL233" s="93"/>
      <c r="KM233" s="93"/>
      <c r="KN233" s="93"/>
      <c r="KO233" s="93"/>
      <c r="KP233" s="93"/>
      <c r="KQ233" s="93"/>
      <c r="KR233" s="93"/>
      <c r="KS233" s="93"/>
      <c r="KT233" s="93"/>
      <c r="KU233" s="93"/>
      <c r="KV233" s="93"/>
      <c r="KW233" s="20"/>
      <c r="KX233" s="29"/>
      <c r="KY233" s="19"/>
      <c r="KZ233" s="93"/>
      <c r="LA233" s="93"/>
      <c r="LB233" s="93"/>
      <c r="LC233" s="93"/>
      <c r="LD233" s="93"/>
      <c r="LE233" s="93"/>
      <c r="LF233" s="93"/>
      <c r="LG233" s="93"/>
      <c r="LH233" s="93"/>
      <c r="LI233" s="93"/>
      <c r="LJ233" s="93"/>
      <c r="LK233" s="93"/>
      <c r="LL233" s="93"/>
      <c r="LM233" s="93"/>
      <c r="LN233" s="93"/>
      <c r="LO233" s="93"/>
      <c r="LP233" s="93"/>
      <c r="LQ233" s="93"/>
      <c r="LR233" s="93"/>
      <c r="LS233" s="93"/>
      <c r="LT233" s="93"/>
      <c r="LU233" s="93"/>
      <c r="LV233" s="93"/>
      <c r="LW233" s="93"/>
      <c r="LX233" s="93"/>
      <c r="LY233" s="93"/>
      <c r="LZ233" s="93"/>
      <c r="MA233" s="93"/>
      <c r="MB233" s="93"/>
      <c r="MC233" s="93"/>
      <c r="MD233" s="93"/>
      <c r="ME233" s="93"/>
      <c r="MF233" s="93"/>
      <c r="MG233" s="93"/>
      <c r="MH233" s="20"/>
      <c r="MI233" s="29"/>
      <c r="MJ233" s="29" t="str">
        <f t="shared" si="97"/>
        <v>Trimestre 42039</v>
      </c>
      <c r="MK233" s="848">
        <v>51105</v>
      </c>
      <c r="ML233" s="1991"/>
      <c r="MM233" s="1991"/>
      <c r="MN233" s="1991"/>
      <c r="MO233" s="1991"/>
      <c r="MP233" s="1991"/>
      <c r="MQ233" s="1991"/>
      <c r="MR233" s="1991"/>
      <c r="MS233" s="1991"/>
      <c r="MT233" s="1991"/>
      <c r="MU233" s="1991"/>
      <c r="MV233" s="1991"/>
      <c r="MW233" s="1991"/>
      <c r="MX233" s="1991"/>
      <c r="MY233" s="1991"/>
      <c r="MZ233" s="1991"/>
      <c r="NA233" s="1991"/>
      <c r="NB233" s="1991"/>
      <c r="NC233" s="1991"/>
      <c r="ND233" s="1991"/>
      <c r="NE233" s="1991"/>
      <c r="NF233" s="1991"/>
      <c r="NG233" s="1991"/>
      <c r="NH233" s="1991"/>
      <c r="NI233" s="1991"/>
      <c r="NJ233" s="1991"/>
      <c r="NK233" s="1991"/>
      <c r="NL233" s="29"/>
    </row>
    <row r="234" spans="1:376">
      <c r="A234" s="41">
        <f t="shared" si="95"/>
        <v>2040</v>
      </c>
      <c r="B234" s="785">
        <v>51196</v>
      </c>
      <c r="C234" s="19"/>
      <c r="D234" s="93"/>
      <c r="E234" s="93"/>
      <c r="F234" s="93"/>
      <c r="G234" s="93"/>
      <c r="H234" s="93"/>
      <c r="I234" s="93"/>
      <c r="J234" s="93"/>
      <c r="K234" s="93"/>
      <c r="L234" s="93"/>
      <c r="M234" s="20"/>
      <c r="N234" s="25"/>
      <c r="O234" s="889">
        <f t="shared" si="94"/>
        <v>2040</v>
      </c>
      <c r="P234" s="29" t="str">
        <f t="shared" si="96"/>
        <v>Trimestre 12040</v>
      </c>
      <c r="Q234" s="848">
        <v>51196</v>
      </c>
      <c r="R234" s="733"/>
      <c r="S234" s="570"/>
      <c r="T234" s="570"/>
      <c r="U234" s="734"/>
      <c r="V234" s="25"/>
      <c r="W234" s="19"/>
      <c r="X234" s="93"/>
      <c r="Y234" s="93"/>
      <c r="Z234" s="93"/>
      <c r="AA234" s="93"/>
      <c r="AB234" s="93"/>
      <c r="AC234" s="93"/>
      <c r="AD234" s="93"/>
      <c r="AE234" s="20"/>
      <c r="AF234" s="25"/>
      <c r="AG234" s="19"/>
      <c r="AH234" s="93"/>
      <c r="AI234" s="93"/>
      <c r="AJ234" s="93"/>
      <c r="AK234" s="93"/>
      <c r="AL234" s="93"/>
      <c r="AM234" s="93"/>
      <c r="AN234" s="20"/>
      <c r="AO234" s="19"/>
      <c r="AP234" s="93"/>
      <c r="AQ234" s="93"/>
      <c r="AR234" s="93"/>
      <c r="AS234" s="20"/>
      <c r="AT234" s="19"/>
      <c r="AU234" s="93"/>
      <c r="AV234" s="20"/>
      <c r="AW234" s="19"/>
      <c r="AX234" s="93"/>
      <c r="AY234" s="93"/>
      <c r="AZ234" s="93"/>
      <c r="BA234" s="93"/>
      <c r="BB234" s="93"/>
      <c r="BC234" s="20"/>
      <c r="BD234" s="19"/>
      <c r="BE234" s="93"/>
      <c r="BF234" s="93"/>
      <c r="BG234" s="93"/>
      <c r="BH234" s="93"/>
      <c r="BI234" s="93"/>
      <c r="BJ234" s="93"/>
      <c r="BK234" s="20"/>
      <c r="BL234" s="19"/>
      <c r="BM234" s="93"/>
      <c r="BN234" s="93"/>
      <c r="BO234" s="93"/>
      <c r="BP234" s="93"/>
      <c r="BQ234" s="20"/>
      <c r="BR234" s="19"/>
      <c r="BS234" s="93"/>
      <c r="BT234" s="93"/>
      <c r="BU234" s="20"/>
      <c r="BV234" s="19"/>
      <c r="BW234" s="93"/>
      <c r="BX234" s="93"/>
      <c r="BY234" s="93"/>
      <c r="BZ234" s="93"/>
      <c r="CA234" s="93"/>
      <c r="CB234" s="20"/>
      <c r="CC234" s="25"/>
      <c r="CD234" s="19"/>
      <c r="CE234" s="93"/>
      <c r="CF234" s="20"/>
      <c r="CG234" s="25"/>
      <c r="CH234" s="19"/>
      <c r="CI234" s="93"/>
      <c r="CJ234" s="93"/>
      <c r="CK234" s="93"/>
      <c r="CL234" s="93"/>
      <c r="CM234" s="93"/>
      <c r="CN234" s="93"/>
      <c r="CO234" s="93"/>
      <c r="CP234" s="93"/>
      <c r="CQ234" s="93"/>
      <c r="CR234" s="214"/>
      <c r="CS234" s="20"/>
      <c r="CT234" s="25"/>
      <c r="CU234" s="19"/>
      <c r="CV234" s="93"/>
      <c r="CW234" s="93"/>
      <c r="CX234" s="93"/>
      <c r="CY234" s="93"/>
      <c r="CZ234" s="93"/>
      <c r="DA234" s="93"/>
      <c r="DB234" s="20"/>
      <c r="DC234" s="25"/>
      <c r="DD234" s="785">
        <v>51196</v>
      </c>
      <c r="DE234" s="19"/>
      <c r="DF234" s="20"/>
      <c r="DG234" s="25"/>
      <c r="DH234" s="19"/>
      <c r="DI234" s="20"/>
      <c r="DJ234" s="25"/>
      <c r="DK234" s="19"/>
      <c r="DL234" s="20"/>
      <c r="DM234" s="19"/>
      <c r="DN234" s="20"/>
      <c r="DO234" s="25"/>
      <c r="DP234" s="19"/>
      <c r="DQ234" s="93"/>
      <c r="DR234" s="20"/>
      <c r="DS234" s="25"/>
      <c r="DT234" s="19"/>
      <c r="DU234" s="93"/>
      <c r="DV234" s="20"/>
      <c r="DW234" s="25"/>
      <c r="DX234" s="19"/>
      <c r="DY234" s="20"/>
      <c r="DZ234" s="25"/>
      <c r="EA234" s="19"/>
      <c r="EB234" s="93"/>
      <c r="EC234" s="93"/>
      <c r="ED234" s="93"/>
      <c r="EE234" s="20"/>
      <c r="EF234" s="25"/>
      <c r="EG234" s="19"/>
      <c r="EH234" s="93"/>
      <c r="EI234" s="93"/>
      <c r="EJ234" s="93"/>
      <c r="EK234" s="20"/>
      <c r="EL234" s="25"/>
      <c r="EM234" s="19"/>
      <c r="EN234" s="93"/>
      <c r="EO234" s="93"/>
      <c r="EP234" s="93"/>
      <c r="EQ234" s="93"/>
      <c r="ER234" s="93"/>
      <c r="ES234" s="93"/>
      <c r="ET234" s="93"/>
      <c r="EU234" s="93"/>
      <c r="EV234" s="20"/>
      <c r="EW234" s="25"/>
      <c r="EX234" s="915"/>
      <c r="EY234" s="916"/>
      <c r="EZ234" s="916"/>
      <c r="FA234" s="916"/>
      <c r="FB234" s="916"/>
      <c r="FC234" s="916"/>
      <c r="FD234" s="916"/>
      <c r="FE234" s="916"/>
      <c r="FF234" s="916"/>
      <c r="FG234" s="917"/>
      <c r="FH234" s="25"/>
      <c r="FI234" s="848">
        <v>51196</v>
      </c>
      <c r="FJ234" s="19"/>
      <c r="FK234" s="93"/>
      <c r="FL234" s="20"/>
      <c r="FM234" s="25"/>
      <c r="FN234" s="19"/>
      <c r="FO234" s="93"/>
      <c r="FP234" s="93"/>
      <c r="FQ234" s="93"/>
      <c r="FR234" s="93"/>
      <c r="FS234" s="93"/>
      <c r="FT234" s="93"/>
      <c r="FU234" s="93"/>
      <c r="FV234" s="93"/>
      <c r="FW234" s="917"/>
      <c r="FX234" s="25"/>
      <c r="FY234" s="916"/>
      <c r="FZ234" s="916"/>
      <c r="GA234" s="916"/>
      <c r="GB234" s="916"/>
      <c r="GC234" s="916"/>
      <c r="GD234" s="916"/>
      <c r="GE234" s="916"/>
      <c r="GF234" s="916"/>
      <c r="GG234" s="916"/>
      <c r="GH234" s="916"/>
      <c r="GI234" s="917"/>
      <c r="GJ234" s="25"/>
      <c r="GK234" s="19"/>
      <c r="GL234" s="20"/>
      <c r="GM234" s="25"/>
      <c r="GN234" s="19"/>
      <c r="GO234" s="20"/>
      <c r="GP234" s="25"/>
      <c r="GQ234" s="19"/>
      <c r="GR234" s="20"/>
      <c r="GS234" s="25"/>
      <c r="GT234" s="848">
        <v>51196</v>
      </c>
      <c r="GU234" s="19"/>
      <c r="GV234" s="93"/>
      <c r="GW234" s="93"/>
      <c r="GX234" s="93"/>
      <c r="GY234" s="93"/>
      <c r="GZ234" s="93"/>
      <c r="HA234" s="93"/>
      <c r="HB234" s="93"/>
      <c r="HC234" s="93"/>
      <c r="HD234" s="93"/>
      <c r="HE234" s="93"/>
      <c r="HF234" s="93"/>
      <c r="HG234" s="93"/>
      <c r="HH234" s="93"/>
      <c r="HI234" s="93"/>
      <c r="HJ234" s="93"/>
      <c r="HK234" s="93"/>
      <c r="HL234" s="93"/>
      <c r="HM234" s="93"/>
      <c r="HN234" s="93"/>
      <c r="HO234" s="93"/>
      <c r="HP234" s="93"/>
      <c r="HQ234" s="93"/>
      <c r="HR234" s="93"/>
      <c r="HS234" s="93"/>
      <c r="HT234" s="93"/>
      <c r="HU234" s="93"/>
      <c r="HV234" s="93"/>
      <c r="HW234" s="93"/>
      <c r="HX234" s="93"/>
      <c r="HY234" s="93"/>
      <c r="HZ234" s="93"/>
      <c r="IA234" s="93"/>
      <c r="IB234" s="93"/>
      <c r="IC234" s="93"/>
      <c r="ID234" s="93"/>
      <c r="IE234" s="93"/>
      <c r="IF234" s="93"/>
      <c r="IG234" s="93"/>
      <c r="IH234" s="93"/>
      <c r="II234" s="93"/>
      <c r="IJ234" s="93"/>
      <c r="IK234" s="93"/>
      <c r="IL234" s="93"/>
      <c r="IM234" s="93"/>
      <c r="IN234" s="93"/>
      <c r="IO234" s="93"/>
      <c r="IP234" s="93"/>
      <c r="IQ234" s="93"/>
      <c r="IR234" s="93"/>
      <c r="IS234" s="93"/>
      <c r="IT234" s="93"/>
      <c r="IU234" s="93"/>
      <c r="IV234" s="93"/>
      <c r="IW234" s="848">
        <v>51196</v>
      </c>
      <c r="IX234" s="93"/>
      <c r="IY234" s="93"/>
      <c r="IZ234" s="93"/>
      <c r="JA234" s="93"/>
      <c r="JB234" s="93"/>
      <c r="JC234" s="93"/>
      <c r="JD234" s="93"/>
      <c r="JE234" s="93"/>
      <c r="JF234" s="93"/>
      <c r="JG234" s="93"/>
      <c r="JH234" s="93"/>
      <c r="JI234" s="93"/>
      <c r="JJ234" s="93"/>
      <c r="JK234" s="93"/>
      <c r="JL234" s="93"/>
      <c r="JM234" s="93"/>
      <c r="JN234" s="93"/>
      <c r="JO234" s="93"/>
      <c r="JP234" s="93"/>
      <c r="JQ234" s="93"/>
      <c r="JR234" s="93"/>
      <c r="JS234" s="93"/>
      <c r="JT234" s="20"/>
      <c r="JU234" s="29"/>
      <c r="JV234" s="19"/>
      <c r="JW234" s="93"/>
      <c r="JX234" s="93"/>
      <c r="JY234" s="93"/>
      <c r="JZ234" s="93"/>
      <c r="KA234" s="93"/>
      <c r="KB234" s="93"/>
      <c r="KC234" s="93"/>
      <c r="KD234" s="93"/>
      <c r="KE234" s="93"/>
      <c r="KF234" s="93"/>
      <c r="KG234" s="93"/>
      <c r="KH234" s="93"/>
      <c r="KI234" s="93"/>
      <c r="KJ234" s="93"/>
      <c r="KK234" s="93"/>
      <c r="KL234" s="93"/>
      <c r="KM234" s="93"/>
      <c r="KN234" s="93"/>
      <c r="KO234" s="93"/>
      <c r="KP234" s="93"/>
      <c r="KQ234" s="93"/>
      <c r="KR234" s="93"/>
      <c r="KS234" s="93"/>
      <c r="KT234" s="93"/>
      <c r="KU234" s="93"/>
      <c r="KV234" s="93"/>
      <c r="KW234" s="20"/>
      <c r="KX234" s="29"/>
      <c r="KY234" s="19"/>
      <c r="KZ234" s="93"/>
      <c r="LA234" s="93"/>
      <c r="LB234" s="93"/>
      <c r="LC234" s="93"/>
      <c r="LD234" s="93"/>
      <c r="LE234" s="93"/>
      <c r="LF234" s="93"/>
      <c r="LG234" s="93"/>
      <c r="LH234" s="93"/>
      <c r="LI234" s="93"/>
      <c r="LJ234" s="93"/>
      <c r="LK234" s="93"/>
      <c r="LL234" s="93"/>
      <c r="LM234" s="93"/>
      <c r="LN234" s="93"/>
      <c r="LO234" s="93"/>
      <c r="LP234" s="93"/>
      <c r="LQ234" s="93"/>
      <c r="LR234" s="93"/>
      <c r="LS234" s="93"/>
      <c r="LT234" s="93"/>
      <c r="LU234" s="93"/>
      <c r="LV234" s="93"/>
      <c r="LW234" s="93"/>
      <c r="LX234" s="93"/>
      <c r="LY234" s="93"/>
      <c r="LZ234" s="93"/>
      <c r="MA234" s="93"/>
      <c r="MB234" s="93"/>
      <c r="MC234" s="93"/>
      <c r="MD234" s="93"/>
      <c r="ME234" s="93"/>
      <c r="MF234" s="93"/>
      <c r="MG234" s="93"/>
      <c r="MH234" s="20"/>
      <c r="MI234" s="29"/>
      <c r="MJ234" s="29" t="str">
        <f t="shared" si="97"/>
        <v>Trimestre 12040</v>
      </c>
      <c r="MK234" s="848">
        <v>51196</v>
      </c>
      <c r="ML234" s="1991"/>
      <c r="MM234" s="1991"/>
      <c r="MN234" s="1991"/>
      <c r="MO234" s="1991"/>
      <c r="MP234" s="1991"/>
      <c r="MQ234" s="1991"/>
      <c r="MR234" s="1991"/>
      <c r="MS234" s="1991"/>
      <c r="MT234" s="1991"/>
      <c r="MU234" s="1991"/>
      <c r="MV234" s="1991"/>
      <c r="MW234" s="1991"/>
      <c r="MX234" s="1991"/>
      <c r="MY234" s="1991"/>
      <c r="MZ234" s="1991"/>
      <c r="NA234" s="1991"/>
      <c r="NB234" s="1991"/>
      <c r="NC234" s="1991"/>
      <c r="ND234" s="1991"/>
      <c r="NE234" s="1991"/>
      <c r="NF234" s="1991"/>
      <c r="NG234" s="1991"/>
      <c r="NH234" s="1991"/>
      <c r="NI234" s="1991"/>
      <c r="NJ234" s="1991"/>
      <c r="NK234" s="1991"/>
      <c r="NL234" s="29"/>
    </row>
    <row r="235" spans="1:376">
      <c r="A235" s="41">
        <f t="shared" si="95"/>
        <v>2040</v>
      </c>
      <c r="B235" s="785">
        <v>51288</v>
      </c>
      <c r="C235" s="19"/>
      <c r="D235" s="93"/>
      <c r="E235" s="93"/>
      <c r="F235" s="93"/>
      <c r="G235" s="93"/>
      <c r="H235" s="93"/>
      <c r="I235" s="93"/>
      <c r="J235" s="93"/>
      <c r="K235" s="93"/>
      <c r="L235" s="93"/>
      <c r="M235" s="20"/>
      <c r="N235" s="25"/>
      <c r="O235" s="889">
        <f t="shared" si="94"/>
        <v>2040</v>
      </c>
      <c r="P235" s="29" t="str">
        <f t="shared" si="96"/>
        <v>Trimestre 22040</v>
      </c>
      <c r="Q235" s="848">
        <v>51288</v>
      </c>
      <c r="R235" s="733"/>
      <c r="S235" s="570"/>
      <c r="T235" s="570"/>
      <c r="U235" s="734"/>
      <c r="V235" s="25"/>
      <c r="W235" s="19"/>
      <c r="X235" s="93"/>
      <c r="Y235" s="93"/>
      <c r="Z235" s="93"/>
      <c r="AA235" s="93"/>
      <c r="AB235" s="93"/>
      <c r="AC235" s="93"/>
      <c r="AD235" s="93"/>
      <c r="AE235" s="20"/>
      <c r="AF235" s="25"/>
      <c r="AG235" s="19"/>
      <c r="AH235" s="93"/>
      <c r="AI235" s="93"/>
      <c r="AJ235" s="93"/>
      <c r="AK235" s="93"/>
      <c r="AL235" s="93"/>
      <c r="AM235" s="93"/>
      <c r="AN235" s="20"/>
      <c r="AO235" s="19"/>
      <c r="AP235" s="93"/>
      <c r="AQ235" s="93"/>
      <c r="AR235" s="93"/>
      <c r="AS235" s="20"/>
      <c r="AT235" s="19"/>
      <c r="AU235" s="93"/>
      <c r="AV235" s="20"/>
      <c r="AW235" s="19"/>
      <c r="AX235" s="93"/>
      <c r="AY235" s="93"/>
      <c r="AZ235" s="93"/>
      <c r="BA235" s="93"/>
      <c r="BB235" s="93"/>
      <c r="BC235" s="20"/>
      <c r="BD235" s="19"/>
      <c r="BE235" s="93"/>
      <c r="BF235" s="93"/>
      <c r="BG235" s="93"/>
      <c r="BH235" s="93"/>
      <c r="BI235" s="93"/>
      <c r="BJ235" s="93"/>
      <c r="BK235" s="20"/>
      <c r="BL235" s="19"/>
      <c r="BM235" s="93"/>
      <c r="BN235" s="93"/>
      <c r="BO235" s="93"/>
      <c r="BP235" s="93"/>
      <c r="BQ235" s="20"/>
      <c r="BR235" s="19"/>
      <c r="BS235" s="93"/>
      <c r="BT235" s="93"/>
      <c r="BU235" s="20"/>
      <c r="BV235" s="19"/>
      <c r="BW235" s="93"/>
      <c r="BX235" s="93"/>
      <c r="BY235" s="93"/>
      <c r="BZ235" s="93"/>
      <c r="CA235" s="93"/>
      <c r="CB235" s="20"/>
      <c r="CC235" s="25"/>
      <c r="CD235" s="19"/>
      <c r="CE235" s="93"/>
      <c r="CF235" s="20"/>
      <c r="CG235" s="25"/>
      <c r="CH235" s="19"/>
      <c r="CI235" s="93"/>
      <c r="CJ235" s="93"/>
      <c r="CK235" s="93"/>
      <c r="CL235" s="93"/>
      <c r="CM235" s="93"/>
      <c r="CN235" s="93"/>
      <c r="CO235" s="93"/>
      <c r="CP235" s="93"/>
      <c r="CQ235" s="93"/>
      <c r="CR235" s="214"/>
      <c r="CS235" s="20"/>
      <c r="CT235" s="25"/>
      <c r="CU235" s="19"/>
      <c r="CV235" s="93"/>
      <c r="CW235" s="93"/>
      <c r="CX235" s="93"/>
      <c r="CY235" s="93"/>
      <c r="CZ235" s="93"/>
      <c r="DA235" s="93"/>
      <c r="DB235" s="20"/>
      <c r="DC235" s="25"/>
      <c r="DD235" s="785">
        <v>51288</v>
      </c>
      <c r="DE235" s="19"/>
      <c r="DF235" s="20"/>
      <c r="DG235" s="25"/>
      <c r="DH235" s="19"/>
      <c r="DI235" s="20"/>
      <c r="DJ235" s="25"/>
      <c r="DK235" s="19"/>
      <c r="DL235" s="20"/>
      <c r="DM235" s="19"/>
      <c r="DN235" s="20"/>
      <c r="DO235" s="25"/>
      <c r="DP235" s="19"/>
      <c r="DQ235" s="93"/>
      <c r="DR235" s="20"/>
      <c r="DS235" s="25"/>
      <c r="DT235" s="19"/>
      <c r="DU235" s="93"/>
      <c r="DV235" s="20"/>
      <c r="DW235" s="25"/>
      <c r="DX235" s="19"/>
      <c r="DY235" s="20"/>
      <c r="DZ235" s="25"/>
      <c r="EA235" s="19"/>
      <c r="EB235" s="93"/>
      <c r="EC235" s="93"/>
      <c r="ED235" s="93"/>
      <c r="EE235" s="20"/>
      <c r="EF235" s="25"/>
      <c r="EG235" s="19"/>
      <c r="EH235" s="93"/>
      <c r="EI235" s="93"/>
      <c r="EJ235" s="93"/>
      <c r="EK235" s="20"/>
      <c r="EL235" s="25"/>
      <c r="EM235" s="19"/>
      <c r="EN235" s="93"/>
      <c r="EO235" s="93"/>
      <c r="EP235" s="93"/>
      <c r="EQ235" s="93"/>
      <c r="ER235" s="93"/>
      <c r="ES235" s="93"/>
      <c r="ET235" s="93"/>
      <c r="EU235" s="93"/>
      <c r="EV235" s="20"/>
      <c r="EW235" s="25"/>
      <c r="EX235" s="915"/>
      <c r="EY235" s="916"/>
      <c r="EZ235" s="916"/>
      <c r="FA235" s="916"/>
      <c r="FB235" s="916"/>
      <c r="FC235" s="916"/>
      <c r="FD235" s="916"/>
      <c r="FE235" s="916"/>
      <c r="FF235" s="916"/>
      <c r="FG235" s="917"/>
      <c r="FH235" s="25"/>
      <c r="FI235" s="848">
        <v>51288</v>
      </c>
      <c r="FJ235" s="19"/>
      <c r="FK235" s="93"/>
      <c r="FL235" s="20"/>
      <c r="FM235" s="25"/>
      <c r="FN235" s="19"/>
      <c r="FO235" s="93"/>
      <c r="FP235" s="93"/>
      <c r="FQ235" s="93"/>
      <c r="FR235" s="93"/>
      <c r="FS235" s="93"/>
      <c r="FT235" s="93"/>
      <c r="FU235" s="93"/>
      <c r="FV235" s="93"/>
      <c r="FW235" s="917"/>
      <c r="FX235" s="25"/>
      <c r="FY235" s="916"/>
      <c r="FZ235" s="916"/>
      <c r="GA235" s="916"/>
      <c r="GB235" s="916"/>
      <c r="GC235" s="916"/>
      <c r="GD235" s="916"/>
      <c r="GE235" s="916"/>
      <c r="GF235" s="916"/>
      <c r="GG235" s="916"/>
      <c r="GH235" s="916"/>
      <c r="GI235" s="917"/>
      <c r="GJ235" s="25"/>
      <c r="GK235" s="19"/>
      <c r="GL235" s="20"/>
      <c r="GM235" s="25"/>
      <c r="GN235" s="19"/>
      <c r="GO235" s="20"/>
      <c r="GP235" s="25"/>
      <c r="GQ235" s="19"/>
      <c r="GR235" s="20"/>
      <c r="GS235" s="25"/>
      <c r="GT235" s="848">
        <v>51288</v>
      </c>
      <c r="GU235" s="19"/>
      <c r="GV235" s="93"/>
      <c r="GW235" s="93"/>
      <c r="GX235" s="93"/>
      <c r="GY235" s="93"/>
      <c r="GZ235" s="93"/>
      <c r="HA235" s="93"/>
      <c r="HB235" s="93"/>
      <c r="HC235" s="93"/>
      <c r="HD235" s="93"/>
      <c r="HE235" s="93"/>
      <c r="HF235" s="93"/>
      <c r="HG235" s="93"/>
      <c r="HH235" s="93"/>
      <c r="HI235" s="93"/>
      <c r="HJ235" s="93"/>
      <c r="HK235" s="93"/>
      <c r="HL235" s="93"/>
      <c r="HM235" s="93"/>
      <c r="HN235" s="93"/>
      <c r="HO235" s="93"/>
      <c r="HP235" s="93"/>
      <c r="HQ235" s="93"/>
      <c r="HR235" s="93"/>
      <c r="HS235" s="93"/>
      <c r="HT235" s="93"/>
      <c r="HU235" s="93"/>
      <c r="HV235" s="93"/>
      <c r="HW235" s="93"/>
      <c r="HX235" s="93"/>
      <c r="HY235" s="93"/>
      <c r="HZ235" s="93"/>
      <c r="IA235" s="93"/>
      <c r="IB235" s="93"/>
      <c r="IC235" s="93"/>
      <c r="ID235" s="93"/>
      <c r="IE235" s="93"/>
      <c r="IF235" s="93"/>
      <c r="IG235" s="93"/>
      <c r="IH235" s="93"/>
      <c r="II235" s="93"/>
      <c r="IJ235" s="93"/>
      <c r="IK235" s="93"/>
      <c r="IL235" s="93"/>
      <c r="IM235" s="93"/>
      <c r="IN235" s="93"/>
      <c r="IO235" s="93"/>
      <c r="IP235" s="93"/>
      <c r="IQ235" s="93"/>
      <c r="IR235" s="93"/>
      <c r="IS235" s="93"/>
      <c r="IT235" s="93"/>
      <c r="IU235" s="93"/>
      <c r="IV235" s="93"/>
      <c r="IW235" s="848">
        <v>51288</v>
      </c>
      <c r="IX235" s="93"/>
      <c r="IY235" s="93"/>
      <c r="IZ235" s="93"/>
      <c r="JA235" s="93"/>
      <c r="JB235" s="93"/>
      <c r="JC235" s="93"/>
      <c r="JD235" s="93"/>
      <c r="JE235" s="93"/>
      <c r="JF235" s="93"/>
      <c r="JG235" s="93"/>
      <c r="JH235" s="93"/>
      <c r="JI235" s="93"/>
      <c r="JJ235" s="93"/>
      <c r="JK235" s="93"/>
      <c r="JL235" s="93"/>
      <c r="JM235" s="93"/>
      <c r="JN235" s="93"/>
      <c r="JO235" s="93"/>
      <c r="JP235" s="93"/>
      <c r="JQ235" s="93"/>
      <c r="JR235" s="93"/>
      <c r="JS235" s="93"/>
      <c r="JT235" s="20"/>
      <c r="JU235" s="29"/>
      <c r="JV235" s="19"/>
      <c r="JW235" s="93"/>
      <c r="JX235" s="93"/>
      <c r="JY235" s="93"/>
      <c r="JZ235" s="93"/>
      <c r="KA235" s="93"/>
      <c r="KB235" s="93"/>
      <c r="KC235" s="93"/>
      <c r="KD235" s="93"/>
      <c r="KE235" s="93"/>
      <c r="KF235" s="93"/>
      <c r="KG235" s="93"/>
      <c r="KH235" s="93"/>
      <c r="KI235" s="93"/>
      <c r="KJ235" s="93"/>
      <c r="KK235" s="93"/>
      <c r="KL235" s="93"/>
      <c r="KM235" s="93"/>
      <c r="KN235" s="93"/>
      <c r="KO235" s="93"/>
      <c r="KP235" s="93"/>
      <c r="KQ235" s="93"/>
      <c r="KR235" s="93"/>
      <c r="KS235" s="93"/>
      <c r="KT235" s="93"/>
      <c r="KU235" s="93"/>
      <c r="KV235" s="93"/>
      <c r="KW235" s="20"/>
      <c r="KX235" s="29"/>
      <c r="KY235" s="19"/>
      <c r="KZ235" s="93"/>
      <c r="LA235" s="93"/>
      <c r="LB235" s="93"/>
      <c r="LC235" s="93"/>
      <c r="LD235" s="93"/>
      <c r="LE235" s="93"/>
      <c r="LF235" s="93"/>
      <c r="LG235" s="93"/>
      <c r="LH235" s="93"/>
      <c r="LI235" s="93"/>
      <c r="LJ235" s="93"/>
      <c r="LK235" s="93"/>
      <c r="LL235" s="93"/>
      <c r="LM235" s="93"/>
      <c r="LN235" s="93"/>
      <c r="LO235" s="93"/>
      <c r="LP235" s="93"/>
      <c r="LQ235" s="93"/>
      <c r="LR235" s="93"/>
      <c r="LS235" s="93"/>
      <c r="LT235" s="93"/>
      <c r="LU235" s="93"/>
      <c r="LV235" s="93"/>
      <c r="LW235" s="93"/>
      <c r="LX235" s="93"/>
      <c r="LY235" s="93"/>
      <c r="LZ235" s="93"/>
      <c r="MA235" s="93"/>
      <c r="MB235" s="93"/>
      <c r="MC235" s="93"/>
      <c r="MD235" s="93"/>
      <c r="ME235" s="93"/>
      <c r="MF235" s="93"/>
      <c r="MG235" s="93"/>
      <c r="MH235" s="20"/>
      <c r="MI235" s="29"/>
      <c r="MJ235" s="29" t="str">
        <f t="shared" si="97"/>
        <v>Trimestre 22040</v>
      </c>
      <c r="MK235" s="848">
        <v>51288</v>
      </c>
      <c r="ML235" s="1991"/>
      <c r="MM235" s="1991"/>
      <c r="MN235" s="1991"/>
      <c r="MO235" s="1991"/>
      <c r="MP235" s="1991"/>
      <c r="MQ235" s="1991"/>
      <c r="MR235" s="1991"/>
      <c r="MS235" s="1991"/>
      <c r="MT235" s="1991"/>
      <c r="MU235" s="1991"/>
      <c r="MV235" s="1991"/>
      <c r="MW235" s="1991"/>
      <c r="MX235" s="1991"/>
      <c r="MY235" s="1991"/>
      <c r="MZ235" s="1991"/>
      <c r="NA235" s="1991"/>
      <c r="NB235" s="1991"/>
      <c r="NC235" s="1991"/>
      <c r="ND235" s="1991"/>
      <c r="NE235" s="1991"/>
      <c r="NF235" s="1991"/>
      <c r="NG235" s="1991"/>
      <c r="NH235" s="1991"/>
      <c r="NI235" s="1991"/>
      <c r="NJ235" s="1991"/>
      <c r="NK235" s="1991"/>
      <c r="NL235" s="29"/>
    </row>
    <row r="236" spans="1:376">
      <c r="A236" s="41">
        <f t="shared" si="95"/>
        <v>2040</v>
      </c>
      <c r="B236" s="785">
        <v>51380</v>
      </c>
      <c r="C236" s="19"/>
      <c r="D236" s="93"/>
      <c r="E236" s="93"/>
      <c r="F236" s="93"/>
      <c r="G236" s="93"/>
      <c r="H236" s="93"/>
      <c r="I236" s="93"/>
      <c r="J236" s="93"/>
      <c r="K236" s="93"/>
      <c r="L236" s="93"/>
      <c r="M236" s="20"/>
      <c r="N236" s="25"/>
      <c r="O236" s="889">
        <f t="shared" si="94"/>
        <v>2040</v>
      </c>
      <c r="P236" s="29" t="str">
        <f t="shared" si="96"/>
        <v>Trimestre 32040</v>
      </c>
      <c r="Q236" s="848">
        <v>51380</v>
      </c>
      <c r="R236" s="733"/>
      <c r="S236" s="570"/>
      <c r="T236" s="570"/>
      <c r="U236" s="734"/>
      <c r="V236" s="25"/>
      <c r="W236" s="19"/>
      <c r="X236" s="93"/>
      <c r="Y236" s="93"/>
      <c r="Z236" s="93"/>
      <c r="AA236" s="93"/>
      <c r="AB236" s="93"/>
      <c r="AC236" s="93"/>
      <c r="AD236" s="93"/>
      <c r="AE236" s="20"/>
      <c r="AF236" s="25"/>
      <c r="AG236" s="19"/>
      <c r="AH236" s="93"/>
      <c r="AI236" s="93"/>
      <c r="AJ236" s="93"/>
      <c r="AK236" s="93"/>
      <c r="AL236" s="93"/>
      <c r="AM236" s="93"/>
      <c r="AN236" s="20"/>
      <c r="AO236" s="19"/>
      <c r="AP236" s="93"/>
      <c r="AQ236" s="93"/>
      <c r="AR236" s="93"/>
      <c r="AS236" s="20"/>
      <c r="AT236" s="19"/>
      <c r="AU236" s="93"/>
      <c r="AV236" s="20"/>
      <c r="AW236" s="19"/>
      <c r="AX236" s="93"/>
      <c r="AY236" s="93"/>
      <c r="AZ236" s="93"/>
      <c r="BA236" s="93"/>
      <c r="BB236" s="93"/>
      <c r="BC236" s="20"/>
      <c r="BD236" s="19"/>
      <c r="BE236" s="93"/>
      <c r="BF236" s="93"/>
      <c r="BG236" s="93"/>
      <c r="BH236" s="93"/>
      <c r="BI236" s="93"/>
      <c r="BJ236" s="93"/>
      <c r="BK236" s="20"/>
      <c r="BL236" s="19"/>
      <c r="BM236" s="93"/>
      <c r="BN236" s="93"/>
      <c r="BO236" s="93"/>
      <c r="BP236" s="93"/>
      <c r="BQ236" s="20"/>
      <c r="BR236" s="19"/>
      <c r="BS236" s="93"/>
      <c r="BT236" s="93"/>
      <c r="BU236" s="20"/>
      <c r="BV236" s="19"/>
      <c r="BW236" s="93"/>
      <c r="BX236" s="93"/>
      <c r="BY236" s="93"/>
      <c r="BZ236" s="93"/>
      <c r="CA236" s="93"/>
      <c r="CB236" s="20"/>
      <c r="CC236" s="25"/>
      <c r="CD236" s="19"/>
      <c r="CE236" s="93"/>
      <c r="CF236" s="20"/>
      <c r="CG236" s="25"/>
      <c r="CH236" s="19"/>
      <c r="CI236" s="93"/>
      <c r="CJ236" s="93"/>
      <c r="CK236" s="93"/>
      <c r="CL236" s="93"/>
      <c r="CM236" s="93"/>
      <c r="CN236" s="93"/>
      <c r="CO236" s="93"/>
      <c r="CP236" s="93"/>
      <c r="CQ236" s="93"/>
      <c r="CR236" s="214"/>
      <c r="CS236" s="20"/>
      <c r="CT236" s="25"/>
      <c r="CU236" s="19"/>
      <c r="CV236" s="93"/>
      <c r="CW236" s="93"/>
      <c r="CX236" s="93"/>
      <c r="CY236" s="93"/>
      <c r="CZ236" s="93"/>
      <c r="DA236" s="93"/>
      <c r="DB236" s="20"/>
      <c r="DC236" s="25"/>
      <c r="DD236" s="785">
        <v>51380</v>
      </c>
      <c r="DE236" s="19"/>
      <c r="DF236" s="20"/>
      <c r="DG236" s="25"/>
      <c r="DH236" s="19"/>
      <c r="DI236" s="20"/>
      <c r="DJ236" s="25"/>
      <c r="DK236" s="19"/>
      <c r="DL236" s="20"/>
      <c r="DM236" s="19"/>
      <c r="DN236" s="20"/>
      <c r="DO236" s="25"/>
      <c r="DP236" s="19"/>
      <c r="DQ236" s="93"/>
      <c r="DR236" s="20"/>
      <c r="DS236" s="25"/>
      <c r="DT236" s="19"/>
      <c r="DU236" s="93"/>
      <c r="DV236" s="20"/>
      <c r="DW236" s="25"/>
      <c r="DX236" s="19"/>
      <c r="DY236" s="20"/>
      <c r="DZ236" s="25"/>
      <c r="EA236" s="19"/>
      <c r="EB236" s="93"/>
      <c r="EC236" s="93"/>
      <c r="ED236" s="93"/>
      <c r="EE236" s="20"/>
      <c r="EF236" s="25"/>
      <c r="EG236" s="19"/>
      <c r="EH236" s="93"/>
      <c r="EI236" s="93"/>
      <c r="EJ236" s="93"/>
      <c r="EK236" s="20"/>
      <c r="EL236" s="25"/>
      <c r="EM236" s="19"/>
      <c r="EN236" s="93"/>
      <c r="EO236" s="93"/>
      <c r="EP236" s="93"/>
      <c r="EQ236" s="93"/>
      <c r="ER236" s="93"/>
      <c r="ES236" s="93"/>
      <c r="ET236" s="93"/>
      <c r="EU236" s="93"/>
      <c r="EV236" s="20"/>
      <c r="EW236" s="25"/>
      <c r="EX236" s="915"/>
      <c r="EY236" s="916"/>
      <c r="EZ236" s="916"/>
      <c r="FA236" s="916"/>
      <c r="FB236" s="916"/>
      <c r="FC236" s="916"/>
      <c r="FD236" s="916"/>
      <c r="FE236" s="916"/>
      <c r="FF236" s="916"/>
      <c r="FG236" s="917"/>
      <c r="FH236" s="25"/>
      <c r="FI236" s="848">
        <v>51380</v>
      </c>
      <c r="FJ236" s="19"/>
      <c r="FK236" s="93"/>
      <c r="FL236" s="20"/>
      <c r="FM236" s="25"/>
      <c r="FN236" s="19"/>
      <c r="FO236" s="93"/>
      <c r="FP236" s="93"/>
      <c r="FQ236" s="93"/>
      <c r="FR236" s="93"/>
      <c r="FS236" s="93"/>
      <c r="FT236" s="93"/>
      <c r="FU236" s="93"/>
      <c r="FV236" s="93"/>
      <c r="FW236" s="917"/>
      <c r="FX236" s="25"/>
      <c r="FY236" s="916"/>
      <c r="FZ236" s="916"/>
      <c r="GA236" s="916"/>
      <c r="GB236" s="916"/>
      <c r="GC236" s="916"/>
      <c r="GD236" s="916"/>
      <c r="GE236" s="916"/>
      <c r="GF236" s="916"/>
      <c r="GG236" s="916"/>
      <c r="GH236" s="916"/>
      <c r="GI236" s="917"/>
      <c r="GJ236" s="25"/>
      <c r="GK236" s="19"/>
      <c r="GL236" s="20"/>
      <c r="GM236" s="25"/>
      <c r="GN236" s="19"/>
      <c r="GO236" s="20"/>
      <c r="GP236" s="25"/>
      <c r="GQ236" s="19"/>
      <c r="GR236" s="20"/>
      <c r="GS236" s="25"/>
      <c r="GT236" s="848">
        <v>51380</v>
      </c>
      <c r="GU236" s="19"/>
      <c r="GV236" s="93"/>
      <c r="GW236" s="93"/>
      <c r="GX236" s="93"/>
      <c r="GY236" s="93"/>
      <c r="GZ236" s="93"/>
      <c r="HA236" s="93"/>
      <c r="HB236" s="93"/>
      <c r="HC236" s="93"/>
      <c r="HD236" s="93"/>
      <c r="HE236" s="93"/>
      <c r="HF236" s="93"/>
      <c r="HG236" s="93"/>
      <c r="HH236" s="93"/>
      <c r="HI236" s="93"/>
      <c r="HJ236" s="93"/>
      <c r="HK236" s="93"/>
      <c r="HL236" s="93"/>
      <c r="HM236" s="93"/>
      <c r="HN236" s="93"/>
      <c r="HO236" s="93"/>
      <c r="HP236" s="93"/>
      <c r="HQ236" s="93"/>
      <c r="HR236" s="93"/>
      <c r="HS236" s="93"/>
      <c r="HT236" s="93"/>
      <c r="HU236" s="93"/>
      <c r="HV236" s="93"/>
      <c r="HW236" s="93"/>
      <c r="HX236" s="93"/>
      <c r="HY236" s="93"/>
      <c r="HZ236" s="93"/>
      <c r="IA236" s="93"/>
      <c r="IB236" s="93"/>
      <c r="IC236" s="93"/>
      <c r="ID236" s="93"/>
      <c r="IE236" s="93"/>
      <c r="IF236" s="93"/>
      <c r="IG236" s="93"/>
      <c r="IH236" s="93"/>
      <c r="II236" s="93"/>
      <c r="IJ236" s="93"/>
      <c r="IK236" s="93"/>
      <c r="IL236" s="93"/>
      <c r="IM236" s="93"/>
      <c r="IN236" s="93"/>
      <c r="IO236" s="93"/>
      <c r="IP236" s="93"/>
      <c r="IQ236" s="93"/>
      <c r="IR236" s="93"/>
      <c r="IS236" s="93"/>
      <c r="IT236" s="93"/>
      <c r="IU236" s="93"/>
      <c r="IV236" s="93"/>
      <c r="IW236" s="848">
        <v>51380</v>
      </c>
      <c r="IX236" s="93"/>
      <c r="IY236" s="93"/>
      <c r="IZ236" s="93"/>
      <c r="JA236" s="93"/>
      <c r="JB236" s="93"/>
      <c r="JC236" s="93"/>
      <c r="JD236" s="93"/>
      <c r="JE236" s="93"/>
      <c r="JF236" s="93"/>
      <c r="JG236" s="93"/>
      <c r="JH236" s="93"/>
      <c r="JI236" s="93"/>
      <c r="JJ236" s="93"/>
      <c r="JK236" s="93"/>
      <c r="JL236" s="93"/>
      <c r="JM236" s="93"/>
      <c r="JN236" s="93"/>
      <c r="JO236" s="93"/>
      <c r="JP236" s="93"/>
      <c r="JQ236" s="93"/>
      <c r="JR236" s="93"/>
      <c r="JS236" s="93"/>
      <c r="JT236" s="20"/>
      <c r="JU236" s="29"/>
      <c r="JV236" s="19"/>
      <c r="JW236" s="93"/>
      <c r="JX236" s="93"/>
      <c r="JY236" s="93"/>
      <c r="JZ236" s="93"/>
      <c r="KA236" s="93"/>
      <c r="KB236" s="93"/>
      <c r="KC236" s="93"/>
      <c r="KD236" s="93"/>
      <c r="KE236" s="93"/>
      <c r="KF236" s="93"/>
      <c r="KG236" s="93"/>
      <c r="KH236" s="93"/>
      <c r="KI236" s="93"/>
      <c r="KJ236" s="93"/>
      <c r="KK236" s="93"/>
      <c r="KL236" s="93"/>
      <c r="KM236" s="93"/>
      <c r="KN236" s="93"/>
      <c r="KO236" s="93"/>
      <c r="KP236" s="93"/>
      <c r="KQ236" s="93"/>
      <c r="KR236" s="93"/>
      <c r="KS236" s="93"/>
      <c r="KT236" s="93"/>
      <c r="KU236" s="93"/>
      <c r="KV236" s="93"/>
      <c r="KW236" s="20"/>
      <c r="KX236" s="29"/>
      <c r="KY236" s="19"/>
      <c r="KZ236" s="93"/>
      <c r="LA236" s="93"/>
      <c r="LB236" s="93"/>
      <c r="LC236" s="93"/>
      <c r="LD236" s="93"/>
      <c r="LE236" s="93"/>
      <c r="LF236" s="93"/>
      <c r="LG236" s="93"/>
      <c r="LH236" s="93"/>
      <c r="LI236" s="93"/>
      <c r="LJ236" s="93"/>
      <c r="LK236" s="93"/>
      <c r="LL236" s="93"/>
      <c r="LM236" s="93"/>
      <c r="LN236" s="93"/>
      <c r="LO236" s="93"/>
      <c r="LP236" s="93"/>
      <c r="LQ236" s="93"/>
      <c r="LR236" s="93"/>
      <c r="LS236" s="93"/>
      <c r="LT236" s="93"/>
      <c r="LU236" s="93"/>
      <c r="LV236" s="93"/>
      <c r="LW236" s="93"/>
      <c r="LX236" s="93"/>
      <c r="LY236" s="93"/>
      <c r="LZ236" s="93"/>
      <c r="MA236" s="93"/>
      <c r="MB236" s="93"/>
      <c r="MC236" s="93"/>
      <c r="MD236" s="93"/>
      <c r="ME236" s="93"/>
      <c r="MF236" s="93"/>
      <c r="MG236" s="93"/>
      <c r="MH236" s="20"/>
      <c r="MI236" s="29"/>
      <c r="MJ236" s="29" t="str">
        <f t="shared" si="97"/>
        <v>Trimestre 32040</v>
      </c>
      <c r="MK236" s="848">
        <v>51380</v>
      </c>
      <c r="ML236" s="1991"/>
      <c r="MM236" s="1991"/>
      <c r="MN236" s="1991"/>
      <c r="MO236" s="1991"/>
      <c r="MP236" s="1991"/>
      <c r="MQ236" s="1991"/>
      <c r="MR236" s="1991"/>
      <c r="MS236" s="1991"/>
      <c r="MT236" s="1991"/>
      <c r="MU236" s="1991"/>
      <c r="MV236" s="1991"/>
      <c r="MW236" s="1991"/>
      <c r="MX236" s="1991"/>
      <c r="MY236" s="1991"/>
      <c r="MZ236" s="1991"/>
      <c r="NA236" s="1991"/>
      <c r="NB236" s="1991"/>
      <c r="NC236" s="1991"/>
      <c r="ND236" s="1991"/>
      <c r="NE236" s="1991"/>
      <c r="NF236" s="1991"/>
      <c r="NG236" s="1991"/>
      <c r="NH236" s="1991"/>
      <c r="NI236" s="1991"/>
      <c r="NJ236" s="1991"/>
      <c r="NK236" s="1991"/>
      <c r="NL236" s="29"/>
    </row>
    <row r="237" spans="1:376">
      <c r="A237" s="41">
        <f t="shared" si="95"/>
        <v>2040</v>
      </c>
      <c r="B237" s="785">
        <v>51471</v>
      </c>
      <c r="C237" s="19"/>
      <c r="D237" s="93"/>
      <c r="E237" s="93"/>
      <c r="F237" s="93"/>
      <c r="G237" s="93"/>
      <c r="H237" s="93"/>
      <c r="I237" s="93"/>
      <c r="J237" s="93"/>
      <c r="K237" s="93"/>
      <c r="L237" s="93"/>
      <c r="M237" s="20"/>
      <c r="N237" s="25"/>
      <c r="O237" s="889">
        <f t="shared" si="94"/>
        <v>2040</v>
      </c>
      <c r="P237" s="29" t="str">
        <f t="shared" si="96"/>
        <v>Trimestre 42040</v>
      </c>
      <c r="Q237" s="848">
        <v>51471</v>
      </c>
      <c r="R237" s="733"/>
      <c r="S237" s="570"/>
      <c r="T237" s="570"/>
      <c r="U237" s="734"/>
      <c r="V237" s="25"/>
      <c r="W237" s="19"/>
      <c r="X237" s="93"/>
      <c r="Y237" s="93"/>
      <c r="Z237" s="93"/>
      <c r="AA237" s="93"/>
      <c r="AB237" s="93"/>
      <c r="AC237" s="93"/>
      <c r="AD237" s="93"/>
      <c r="AE237" s="20"/>
      <c r="AF237" s="25"/>
      <c r="AG237" s="19"/>
      <c r="AH237" s="93"/>
      <c r="AI237" s="93"/>
      <c r="AJ237" s="93"/>
      <c r="AK237" s="93"/>
      <c r="AL237" s="93"/>
      <c r="AM237" s="93"/>
      <c r="AN237" s="20"/>
      <c r="AO237" s="19"/>
      <c r="AP237" s="93"/>
      <c r="AQ237" s="93"/>
      <c r="AR237" s="93"/>
      <c r="AS237" s="20"/>
      <c r="AT237" s="19"/>
      <c r="AU237" s="93"/>
      <c r="AV237" s="20"/>
      <c r="AW237" s="19"/>
      <c r="AX237" s="93"/>
      <c r="AY237" s="93"/>
      <c r="AZ237" s="93"/>
      <c r="BA237" s="93"/>
      <c r="BB237" s="93"/>
      <c r="BC237" s="20"/>
      <c r="BD237" s="19"/>
      <c r="BE237" s="93"/>
      <c r="BF237" s="93"/>
      <c r="BG237" s="93"/>
      <c r="BH237" s="93"/>
      <c r="BI237" s="93"/>
      <c r="BJ237" s="93"/>
      <c r="BK237" s="20"/>
      <c r="BL237" s="19"/>
      <c r="BM237" s="93"/>
      <c r="BN237" s="93"/>
      <c r="BO237" s="93"/>
      <c r="BP237" s="93"/>
      <c r="BQ237" s="20"/>
      <c r="BR237" s="19"/>
      <c r="BS237" s="93"/>
      <c r="BT237" s="93"/>
      <c r="BU237" s="20"/>
      <c r="BV237" s="19"/>
      <c r="BW237" s="93"/>
      <c r="BX237" s="93"/>
      <c r="BY237" s="93"/>
      <c r="BZ237" s="93"/>
      <c r="CA237" s="93"/>
      <c r="CB237" s="20"/>
      <c r="CC237" s="25"/>
      <c r="CD237" s="19"/>
      <c r="CE237" s="93"/>
      <c r="CF237" s="20"/>
      <c r="CG237" s="25"/>
      <c r="CH237" s="19"/>
      <c r="CI237" s="93"/>
      <c r="CJ237" s="93"/>
      <c r="CK237" s="93"/>
      <c r="CL237" s="93"/>
      <c r="CM237" s="93"/>
      <c r="CN237" s="93"/>
      <c r="CO237" s="93"/>
      <c r="CP237" s="93"/>
      <c r="CQ237" s="93"/>
      <c r="CR237" s="214"/>
      <c r="CS237" s="20"/>
      <c r="CT237" s="25"/>
      <c r="CU237" s="19"/>
      <c r="CV237" s="93"/>
      <c r="CW237" s="93"/>
      <c r="CX237" s="93"/>
      <c r="CY237" s="93"/>
      <c r="CZ237" s="93"/>
      <c r="DA237" s="93"/>
      <c r="DB237" s="20"/>
      <c r="DC237" s="25"/>
      <c r="DD237" s="785">
        <v>51471</v>
      </c>
      <c r="DE237" s="19"/>
      <c r="DF237" s="20"/>
      <c r="DG237" s="25"/>
      <c r="DH237" s="19"/>
      <c r="DI237" s="20"/>
      <c r="DJ237" s="25"/>
      <c r="DK237" s="19"/>
      <c r="DL237" s="20"/>
      <c r="DM237" s="19"/>
      <c r="DN237" s="20"/>
      <c r="DO237" s="25"/>
      <c r="DP237" s="19"/>
      <c r="DQ237" s="93"/>
      <c r="DR237" s="20"/>
      <c r="DS237" s="25"/>
      <c r="DT237" s="19"/>
      <c r="DU237" s="93"/>
      <c r="DV237" s="20"/>
      <c r="DW237" s="25"/>
      <c r="DX237" s="19"/>
      <c r="DY237" s="20"/>
      <c r="DZ237" s="25"/>
      <c r="EA237" s="19"/>
      <c r="EB237" s="93"/>
      <c r="EC237" s="93"/>
      <c r="ED237" s="93"/>
      <c r="EE237" s="20"/>
      <c r="EF237" s="25"/>
      <c r="EG237" s="19"/>
      <c r="EH237" s="93"/>
      <c r="EI237" s="93"/>
      <c r="EJ237" s="93"/>
      <c r="EK237" s="20"/>
      <c r="EL237" s="25"/>
      <c r="EM237" s="19"/>
      <c r="EN237" s="93"/>
      <c r="EO237" s="93"/>
      <c r="EP237" s="93"/>
      <c r="EQ237" s="93"/>
      <c r="ER237" s="93"/>
      <c r="ES237" s="93"/>
      <c r="ET237" s="93"/>
      <c r="EU237" s="93"/>
      <c r="EV237" s="20"/>
      <c r="EW237" s="25"/>
      <c r="EX237" s="915"/>
      <c r="EY237" s="916"/>
      <c r="EZ237" s="916"/>
      <c r="FA237" s="916"/>
      <c r="FB237" s="916"/>
      <c r="FC237" s="916"/>
      <c r="FD237" s="916"/>
      <c r="FE237" s="916"/>
      <c r="FF237" s="916"/>
      <c r="FG237" s="917"/>
      <c r="FH237" s="25"/>
      <c r="FI237" s="848">
        <v>51471</v>
      </c>
      <c r="FJ237" s="19"/>
      <c r="FK237" s="93"/>
      <c r="FL237" s="20"/>
      <c r="FM237" s="25"/>
      <c r="FN237" s="19"/>
      <c r="FO237" s="93"/>
      <c r="FP237" s="93"/>
      <c r="FQ237" s="93"/>
      <c r="FR237" s="93"/>
      <c r="FS237" s="93"/>
      <c r="FT237" s="93"/>
      <c r="FU237" s="93"/>
      <c r="FV237" s="93"/>
      <c r="FW237" s="917"/>
      <c r="FX237" s="25"/>
      <c r="FY237" s="916"/>
      <c r="FZ237" s="916"/>
      <c r="GA237" s="916"/>
      <c r="GB237" s="916"/>
      <c r="GC237" s="916"/>
      <c r="GD237" s="916"/>
      <c r="GE237" s="916"/>
      <c r="GF237" s="916"/>
      <c r="GG237" s="916"/>
      <c r="GH237" s="916"/>
      <c r="GI237" s="917"/>
      <c r="GJ237" s="25"/>
      <c r="GK237" s="19"/>
      <c r="GL237" s="20"/>
      <c r="GM237" s="25"/>
      <c r="GN237" s="19"/>
      <c r="GO237" s="20"/>
      <c r="GP237" s="25"/>
      <c r="GQ237" s="19"/>
      <c r="GR237" s="20"/>
      <c r="GS237" s="25"/>
      <c r="GT237" s="848">
        <v>51471</v>
      </c>
      <c r="GU237" s="19"/>
      <c r="GV237" s="93"/>
      <c r="GW237" s="93"/>
      <c r="GX237" s="93"/>
      <c r="GY237" s="93"/>
      <c r="GZ237" s="93"/>
      <c r="HA237" s="93"/>
      <c r="HB237" s="93"/>
      <c r="HC237" s="93"/>
      <c r="HD237" s="93"/>
      <c r="HE237" s="93"/>
      <c r="HF237" s="93"/>
      <c r="HG237" s="93"/>
      <c r="HH237" s="93"/>
      <c r="HI237" s="93"/>
      <c r="HJ237" s="93"/>
      <c r="HK237" s="93"/>
      <c r="HL237" s="93"/>
      <c r="HM237" s="93"/>
      <c r="HN237" s="93"/>
      <c r="HO237" s="93"/>
      <c r="HP237" s="93"/>
      <c r="HQ237" s="93"/>
      <c r="HR237" s="93"/>
      <c r="HS237" s="93"/>
      <c r="HT237" s="93"/>
      <c r="HU237" s="93"/>
      <c r="HV237" s="93"/>
      <c r="HW237" s="93"/>
      <c r="HX237" s="93"/>
      <c r="HY237" s="93"/>
      <c r="HZ237" s="93"/>
      <c r="IA237" s="93"/>
      <c r="IB237" s="93"/>
      <c r="IC237" s="93"/>
      <c r="ID237" s="93"/>
      <c r="IE237" s="93"/>
      <c r="IF237" s="93"/>
      <c r="IG237" s="93"/>
      <c r="IH237" s="93"/>
      <c r="II237" s="93"/>
      <c r="IJ237" s="93"/>
      <c r="IK237" s="93"/>
      <c r="IL237" s="93"/>
      <c r="IM237" s="93"/>
      <c r="IN237" s="93"/>
      <c r="IO237" s="93"/>
      <c r="IP237" s="93"/>
      <c r="IQ237" s="93"/>
      <c r="IR237" s="93"/>
      <c r="IS237" s="93"/>
      <c r="IT237" s="93"/>
      <c r="IU237" s="93"/>
      <c r="IV237" s="93"/>
      <c r="IW237" s="848">
        <v>51471</v>
      </c>
      <c r="IX237" s="93"/>
      <c r="IY237" s="93"/>
      <c r="IZ237" s="93"/>
      <c r="JA237" s="93"/>
      <c r="JB237" s="93"/>
      <c r="JC237" s="93"/>
      <c r="JD237" s="93"/>
      <c r="JE237" s="93"/>
      <c r="JF237" s="93"/>
      <c r="JG237" s="93"/>
      <c r="JH237" s="93"/>
      <c r="JI237" s="93"/>
      <c r="JJ237" s="93"/>
      <c r="JK237" s="93"/>
      <c r="JL237" s="93"/>
      <c r="JM237" s="93"/>
      <c r="JN237" s="93"/>
      <c r="JO237" s="93"/>
      <c r="JP237" s="93"/>
      <c r="JQ237" s="93"/>
      <c r="JR237" s="93"/>
      <c r="JS237" s="93"/>
      <c r="JT237" s="20"/>
      <c r="JU237" s="29"/>
      <c r="JV237" s="19"/>
      <c r="JW237" s="93"/>
      <c r="JX237" s="93"/>
      <c r="JY237" s="93"/>
      <c r="JZ237" s="93"/>
      <c r="KA237" s="93"/>
      <c r="KB237" s="93"/>
      <c r="KC237" s="93"/>
      <c r="KD237" s="93"/>
      <c r="KE237" s="93"/>
      <c r="KF237" s="93"/>
      <c r="KG237" s="93"/>
      <c r="KH237" s="93"/>
      <c r="KI237" s="93"/>
      <c r="KJ237" s="93"/>
      <c r="KK237" s="93"/>
      <c r="KL237" s="93"/>
      <c r="KM237" s="93"/>
      <c r="KN237" s="93"/>
      <c r="KO237" s="93"/>
      <c r="KP237" s="93"/>
      <c r="KQ237" s="93"/>
      <c r="KR237" s="93"/>
      <c r="KS237" s="93"/>
      <c r="KT237" s="93"/>
      <c r="KU237" s="93"/>
      <c r="KV237" s="93"/>
      <c r="KW237" s="20"/>
      <c r="KX237" s="29"/>
      <c r="KY237" s="19"/>
      <c r="KZ237" s="93"/>
      <c r="LA237" s="93"/>
      <c r="LB237" s="93"/>
      <c r="LC237" s="93"/>
      <c r="LD237" s="93"/>
      <c r="LE237" s="93"/>
      <c r="LF237" s="93"/>
      <c r="LG237" s="93"/>
      <c r="LH237" s="93"/>
      <c r="LI237" s="93"/>
      <c r="LJ237" s="93"/>
      <c r="LK237" s="93"/>
      <c r="LL237" s="93"/>
      <c r="LM237" s="93"/>
      <c r="LN237" s="93"/>
      <c r="LO237" s="93"/>
      <c r="LP237" s="93"/>
      <c r="LQ237" s="93"/>
      <c r="LR237" s="93"/>
      <c r="LS237" s="93"/>
      <c r="LT237" s="93"/>
      <c r="LU237" s="93"/>
      <c r="LV237" s="93"/>
      <c r="LW237" s="93"/>
      <c r="LX237" s="93"/>
      <c r="LY237" s="93"/>
      <c r="LZ237" s="93"/>
      <c r="MA237" s="93"/>
      <c r="MB237" s="93"/>
      <c r="MC237" s="93"/>
      <c r="MD237" s="93"/>
      <c r="ME237" s="93"/>
      <c r="MF237" s="93"/>
      <c r="MG237" s="93"/>
      <c r="MH237" s="20"/>
      <c r="MI237" s="29"/>
      <c r="MJ237" s="29" t="str">
        <f t="shared" si="97"/>
        <v>Trimestre 42040</v>
      </c>
      <c r="MK237" s="848">
        <v>51471</v>
      </c>
      <c r="ML237" s="1991"/>
      <c r="MM237" s="1991"/>
      <c r="MN237" s="1991"/>
      <c r="MO237" s="1991"/>
      <c r="MP237" s="1991"/>
      <c r="MQ237" s="1991"/>
      <c r="MR237" s="1991"/>
      <c r="MS237" s="1991"/>
      <c r="MT237" s="1991"/>
      <c r="MU237" s="1991"/>
      <c r="MV237" s="1991"/>
      <c r="MW237" s="1991"/>
      <c r="MX237" s="1991"/>
      <c r="MY237" s="1991"/>
      <c r="MZ237" s="1991"/>
      <c r="NA237" s="1991"/>
      <c r="NB237" s="1991"/>
      <c r="NC237" s="1991"/>
      <c r="ND237" s="1991"/>
      <c r="NE237" s="1991"/>
      <c r="NF237" s="1991"/>
      <c r="NG237" s="1991"/>
      <c r="NH237" s="1991"/>
      <c r="NI237" s="1991"/>
      <c r="NJ237" s="1991"/>
      <c r="NK237" s="1991"/>
      <c r="NL237" s="29"/>
    </row>
    <row r="238" spans="1:376">
      <c r="A238" s="41">
        <f t="shared" si="95"/>
        <v>2041</v>
      </c>
      <c r="B238" s="785">
        <v>51561</v>
      </c>
      <c r="C238" s="19"/>
      <c r="D238" s="93"/>
      <c r="E238" s="93"/>
      <c r="F238" s="93"/>
      <c r="G238" s="93"/>
      <c r="H238" s="93"/>
      <c r="I238" s="93"/>
      <c r="J238" s="93"/>
      <c r="K238" s="93"/>
      <c r="L238" s="93"/>
      <c r="M238" s="20"/>
      <c r="N238" s="25"/>
      <c r="O238" s="889">
        <f t="shared" si="94"/>
        <v>2041</v>
      </c>
      <c r="P238" s="29" t="str">
        <f t="shared" si="96"/>
        <v>Trimestre 12041</v>
      </c>
      <c r="Q238" s="848">
        <v>51561</v>
      </c>
      <c r="R238" s="733"/>
      <c r="S238" s="570"/>
      <c r="T238" s="570"/>
      <c r="U238" s="734"/>
      <c r="V238" s="25"/>
      <c r="W238" s="19"/>
      <c r="X238" s="93"/>
      <c r="Y238" s="93"/>
      <c r="Z238" s="93"/>
      <c r="AA238" s="93"/>
      <c r="AB238" s="93"/>
      <c r="AC238" s="93"/>
      <c r="AD238" s="93"/>
      <c r="AE238" s="20"/>
      <c r="AF238" s="25"/>
      <c r="AG238" s="19"/>
      <c r="AH238" s="93"/>
      <c r="AI238" s="93"/>
      <c r="AJ238" s="93"/>
      <c r="AK238" s="93"/>
      <c r="AL238" s="93"/>
      <c r="AM238" s="93"/>
      <c r="AN238" s="20"/>
      <c r="AO238" s="19"/>
      <c r="AP238" s="93"/>
      <c r="AQ238" s="93"/>
      <c r="AR238" s="93"/>
      <c r="AS238" s="20"/>
      <c r="AT238" s="19"/>
      <c r="AU238" s="93"/>
      <c r="AV238" s="20"/>
      <c r="AW238" s="19"/>
      <c r="AX238" s="93"/>
      <c r="AY238" s="93"/>
      <c r="AZ238" s="93"/>
      <c r="BA238" s="93"/>
      <c r="BB238" s="93"/>
      <c r="BC238" s="20"/>
      <c r="BD238" s="19"/>
      <c r="BE238" s="93"/>
      <c r="BF238" s="93"/>
      <c r="BG238" s="93"/>
      <c r="BH238" s="93"/>
      <c r="BI238" s="93"/>
      <c r="BJ238" s="93"/>
      <c r="BK238" s="20"/>
      <c r="BL238" s="19"/>
      <c r="BM238" s="93"/>
      <c r="BN238" s="93"/>
      <c r="BO238" s="93"/>
      <c r="BP238" s="93"/>
      <c r="BQ238" s="20"/>
      <c r="BR238" s="19"/>
      <c r="BS238" s="93"/>
      <c r="BT238" s="93"/>
      <c r="BU238" s="20"/>
      <c r="BV238" s="19"/>
      <c r="BW238" s="93"/>
      <c r="BX238" s="93"/>
      <c r="BY238" s="93"/>
      <c r="BZ238" s="93"/>
      <c r="CA238" s="93"/>
      <c r="CB238" s="20"/>
      <c r="CC238" s="25"/>
      <c r="CD238" s="19"/>
      <c r="CE238" s="93"/>
      <c r="CF238" s="20"/>
      <c r="CG238" s="25"/>
      <c r="CH238" s="19"/>
      <c r="CI238" s="93"/>
      <c r="CJ238" s="93"/>
      <c r="CK238" s="93"/>
      <c r="CL238" s="93"/>
      <c r="CM238" s="93"/>
      <c r="CN238" s="93"/>
      <c r="CO238" s="93"/>
      <c r="CP238" s="93"/>
      <c r="CQ238" s="93"/>
      <c r="CR238" s="214"/>
      <c r="CS238" s="20"/>
      <c r="CT238" s="25"/>
      <c r="CU238" s="19"/>
      <c r="CV238" s="93"/>
      <c r="CW238" s="93"/>
      <c r="CX238" s="93"/>
      <c r="CY238" s="93"/>
      <c r="CZ238" s="93"/>
      <c r="DA238" s="93"/>
      <c r="DB238" s="20"/>
      <c r="DC238" s="25"/>
      <c r="DD238" s="785">
        <v>51561</v>
      </c>
      <c r="DE238" s="19"/>
      <c r="DF238" s="20"/>
      <c r="DG238" s="25"/>
      <c r="DH238" s="19"/>
      <c r="DI238" s="20"/>
      <c r="DJ238" s="25"/>
      <c r="DK238" s="19"/>
      <c r="DL238" s="20"/>
      <c r="DM238" s="19"/>
      <c r="DN238" s="20"/>
      <c r="DO238" s="25"/>
      <c r="DP238" s="19"/>
      <c r="DQ238" s="93"/>
      <c r="DR238" s="20"/>
      <c r="DS238" s="25"/>
      <c r="DT238" s="19"/>
      <c r="DU238" s="93"/>
      <c r="DV238" s="20"/>
      <c r="DW238" s="25"/>
      <c r="DX238" s="19"/>
      <c r="DY238" s="20"/>
      <c r="DZ238" s="25"/>
      <c r="EA238" s="19"/>
      <c r="EB238" s="93"/>
      <c r="EC238" s="93"/>
      <c r="ED238" s="93"/>
      <c r="EE238" s="20"/>
      <c r="EF238" s="25"/>
      <c r="EG238" s="19"/>
      <c r="EH238" s="93"/>
      <c r="EI238" s="93"/>
      <c r="EJ238" s="93"/>
      <c r="EK238" s="20"/>
      <c r="EL238" s="25"/>
      <c r="EM238" s="19"/>
      <c r="EN238" s="93"/>
      <c r="EO238" s="93"/>
      <c r="EP238" s="93"/>
      <c r="EQ238" s="93"/>
      <c r="ER238" s="93"/>
      <c r="ES238" s="93"/>
      <c r="ET238" s="93"/>
      <c r="EU238" s="93"/>
      <c r="EV238" s="20"/>
      <c r="EW238" s="25"/>
      <c r="EX238" s="915"/>
      <c r="EY238" s="916"/>
      <c r="EZ238" s="916"/>
      <c r="FA238" s="916"/>
      <c r="FB238" s="916"/>
      <c r="FC238" s="916"/>
      <c r="FD238" s="916"/>
      <c r="FE238" s="916"/>
      <c r="FF238" s="916"/>
      <c r="FG238" s="917"/>
      <c r="FH238" s="25"/>
      <c r="FI238" s="848">
        <v>51561</v>
      </c>
      <c r="FJ238" s="19"/>
      <c r="FK238" s="93"/>
      <c r="FL238" s="20"/>
      <c r="FM238" s="25"/>
      <c r="FN238" s="19"/>
      <c r="FO238" s="93"/>
      <c r="FP238" s="93"/>
      <c r="FQ238" s="93"/>
      <c r="FR238" s="93"/>
      <c r="FS238" s="93"/>
      <c r="FT238" s="93"/>
      <c r="FU238" s="93"/>
      <c r="FV238" s="93"/>
      <c r="FW238" s="917"/>
      <c r="FX238" s="25"/>
      <c r="FY238" s="916"/>
      <c r="FZ238" s="916"/>
      <c r="GA238" s="916"/>
      <c r="GB238" s="916"/>
      <c r="GC238" s="916"/>
      <c r="GD238" s="916"/>
      <c r="GE238" s="916"/>
      <c r="GF238" s="916"/>
      <c r="GG238" s="916"/>
      <c r="GH238" s="916"/>
      <c r="GI238" s="917"/>
      <c r="GJ238" s="25"/>
      <c r="GK238" s="19"/>
      <c r="GL238" s="20"/>
      <c r="GM238" s="25"/>
      <c r="GN238" s="19"/>
      <c r="GO238" s="20"/>
      <c r="GP238" s="25"/>
      <c r="GQ238" s="19"/>
      <c r="GR238" s="20"/>
      <c r="GS238" s="25"/>
      <c r="GT238" s="848">
        <v>51561</v>
      </c>
      <c r="GU238" s="19"/>
      <c r="GV238" s="93"/>
      <c r="GW238" s="93"/>
      <c r="GX238" s="93"/>
      <c r="GY238" s="93"/>
      <c r="GZ238" s="93"/>
      <c r="HA238" s="93"/>
      <c r="HB238" s="93"/>
      <c r="HC238" s="93"/>
      <c r="HD238" s="93"/>
      <c r="HE238" s="93"/>
      <c r="HF238" s="93"/>
      <c r="HG238" s="93"/>
      <c r="HH238" s="93"/>
      <c r="HI238" s="93"/>
      <c r="HJ238" s="93"/>
      <c r="HK238" s="93"/>
      <c r="HL238" s="93"/>
      <c r="HM238" s="93"/>
      <c r="HN238" s="93"/>
      <c r="HO238" s="93"/>
      <c r="HP238" s="93"/>
      <c r="HQ238" s="93"/>
      <c r="HR238" s="93"/>
      <c r="HS238" s="93"/>
      <c r="HT238" s="93"/>
      <c r="HU238" s="93"/>
      <c r="HV238" s="93"/>
      <c r="HW238" s="93"/>
      <c r="HX238" s="93"/>
      <c r="HY238" s="93"/>
      <c r="HZ238" s="93"/>
      <c r="IA238" s="93"/>
      <c r="IB238" s="93"/>
      <c r="IC238" s="93"/>
      <c r="ID238" s="93"/>
      <c r="IE238" s="93"/>
      <c r="IF238" s="93"/>
      <c r="IG238" s="93"/>
      <c r="IH238" s="93"/>
      <c r="II238" s="93"/>
      <c r="IJ238" s="93"/>
      <c r="IK238" s="93"/>
      <c r="IL238" s="93"/>
      <c r="IM238" s="93"/>
      <c r="IN238" s="93"/>
      <c r="IO238" s="93"/>
      <c r="IP238" s="93"/>
      <c r="IQ238" s="93"/>
      <c r="IR238" s="93"/>
      <c r="IS238" s="93"/>
      <c r="IT238" s="93"/>
      <c r="IU238" s="93"/>
      <c r="IV238" s="93"/>
      <c r="IW238" s="848">
        <v>51561</v>
      </c>
      <c r="IX238" s="93"/>
      <c r="IY238" s="93"/>
      <c r="IZ238" s="93"/>
      <c r="JA238" s="93"/>
      <c r="JB238" s="93"/>
      <c r="JC238" s="93"/>
      <c r="JD238" s="93"/>
      <c r="JE238" s="93"/>
      <c r="JF238" s="93"/>
      <c r="JG238" s="93"/>
      <c r="JH238" s="93"/>
      <c r="JI238" s="93"/>
      <c r="JJ238" s="93"/>
      <c r="JK238" s="93"/>
      <c r="JL238" s="93"/>
      <c r="JM238" s="93"/>
      <c r="JN238" s="93"/>
      <c r="JO238" s="93"/>
      <c r="JP238" s="93"/>
      <c r="JQ238" s="93"/>
      <c r="JR238" s="93"/>
      <c r="JS238" s="93"/>
      <c r="JT238" s="20"/>
      <c r="JU238" s="29"/>
      <c r="JV238" s="19"/>
      <c r="JW238" s="93"/>
      <c r="JX238" s="93"/>
      <c r="JY238" s="93"/>
      <c r="JZ238" s="93"/>
      <c r="KA238" s="93"/>
      <c r="KB238" s="93"/>
      <c r="KC238" s="93"/>
      <c r="KD238" s="93"/>
      <c r="KE238" s="93"/>
      <c r="KF238" s="93"/>
      <c r="KG238" s="93"/>
      <c r="KH238" s="93"/>
      <c r="KI238" s="93"/>
      <c r="KJ238" s="93"/>
      <c r="KK238" s="93"/>
      <c r="KL238" s="93"/>
      <c r="KM238" s="93"/>
      <c r="KN238" s="93"/>
      <c r="KO238" s="93"/>
      <c r="KP238" s="93"/>
      <c r="KQ238" s="93"/>
      <c r="KR238" s="93"/>
      <c r="KS238" s="93"/>
      <c r="KT238" s="93"/>
      <c r="KU238" s="93"/>
      <c r="KV238" s="93"/>
      <c r="KW238" s="20"/>
      <c r="KX238" s="29"/>
      <c r="KY238" s="19"/>
      <c r="KZ238" s="93"/>
      <c r="LA238" s="93"/>
      <c r="LB238" s="93"/>
      <c r="LC238" s="93"/>
      <c r="LD238" s="93"/>
      <c r="LE238" s="93"/>
      <c r="LF238" s="93"/>
      <c r="LG238" s="93"/>
      <c r="LH238" s="93"/>
      <c r="LI238" s="93"/>
      <c r="LJ238" s="93"/>
      <c r="LK238" s="93"/>
      <c r="LL238" s="93"/>
      <c r="LM238" s="93"/>
      <c r="LN238" s="93"/>
      <c r="LO238" s="93"/>
      <c r="LP238" s="93"/>
      <c r="LQ238" s="93"/>
      <c r="LR238" s="93"/>
      <c r="LS238" s="93"/>
      <c r="LT238" s="93"/>
      <c r="LU238" s="93"/>
      <c r="LV238" s="93"/>
      <c r="LW238" s="93"/>
      <c r="LX238" s="93"/>
      <c r="LY238" s="93"/>
      <c r="LZ238" s="93"/>
      <c r="MA238" s="93"/>
      <c r="MB238" s="93"/>
      <c r="MC238" s="93"/>
      <c r="MD238" s="93"/>
      <c r="ME238" s="93"/>
      <c r="MF238" s="93"/>
      <c r="MG238" s="93"/>
      <c r="MH238" s="20"/>
      <c r="MI238" s="29"/>
      <c r="MJ238" s="29" t="str">
        <f t="shared" si="97"/>
        <v>Trimestre 12041</v>
      </c>
      <c r="MK238" s="848">
        <v>51561</v>
      </c>
      <c r="ML238" s="1991"/>
      <c r="MM238" s="1991"/>
      <c r="MN238" s="1991"/>
      <c r="MO238" s="1991"/>
      <c r="MP238" s="1991"/>
      <c r="MQ238" s="1991"/>
      <c r="MR238" s="1991"/>
      <c r="MS238" s="1991"/>
      <c r="MT238" s="1991"/>
      <c r="MU238" s="1991"/>
      <c r="MV238" s="1991"/>
      <c r="MW238" s="1991"/>
      <c r="MX238" s="1991"/>
      <c r="MY238" s="1991"/>
      <c r="MZ238" s="1991"/>
      <c r="NA238" s="1991"/>
      <c r="NB238" s="1991"/>
      <c r="NC238" s="1991"/>
      <c r="ND238" s="1991"/>
      <c r="NE238" s="1991"/>
      <c r="NF238" s="1991"/>
      <c r="NG238" s="1991"/>
      <c r="NH238" s="1991"/>
      <c r="NI238" s="1991"/>
      <c r="NJ238" s="1991"/>
      <c r="NK238" s="1991"/>
      <c r="NL238" s="29"/>
    </row>
    <row r="239" spans="1:376">
      <c r="A239" s="41">
        <f t="shared" si="95"/>
        <v>2041</v>
      </c>
      <c r="B239" s="785">
        <v>51653</v>
      </c>
      <c r="C239" s="19"/>
      <c r="D239" s="93"/>
      <c r="E239" s="93"/>
      <c r="F239" s="93"/>
      <c r="G239" s="93"/>
      <c r="H239" s="93"/>
      <c r="I239" s="93"/>
      <c r="J239" s="93"/>
      <c r="K239" s="93"/>
      <c r="L239" s="93"/>
      <c r="M239" s="20"/>
      <c r="N239" s="25"/>
      <c r="O239" s="889">
        <f t="shared" si="94"/>
        <v>2041</v>
      </c>
      <c r="P239" s="29" t="str">
        <f t="shared" si="96"/>
        <v>Trimestre 22041</v>
      </c>
      <c r="Q239" s="848">
        <v>51653</v>
      </c>
      <c r="R239" s="733"/>
      <c r="S239" s="570"/>
      <c r="T239" s="570"/>
      <c r="U239" s="734"/>
      <c r="V239" s="25"/>
      <c r="W239" s="19"/>
      <c r="X239" s="93"/>
      <c r="Y239" s="93"/>
      <c r="Z239" s="93"/>
      <c r="AA239" s="93"/>
      <c r="AB239" s="93"/>
      <c r="AC239" s="93"/>
      <c r="AD239" s="93"/>
      <c r="AE239" s="20"/>
      <c r="AF239" s="25"/>
      <c r="AG239" s="19"/>
      <c r="AH239" s="93"/>
      <c r="AI239" s="93"/>
      <c r="AJ239" s="93"/>
      <c r="AK239" s="93"/>
      <c r="AL239" s="93"/>
      <c r="AM239" s="93"/>
      <c r="AN239" s="20"/>
      <c r="AO239" s="19"/>
      <c r="AP239" s="93"/>
      <c r="AQ239" s="93"/>
      <c r="AR239" s="93"/>
      <c r="AS239" s="20"/>
      <c r="AT239" s="19"/>
      <c r="AU239" s="93"/>
      <c r="AV239" s="20"/>
      <c r="AW239" s="19"/>
      <c r="AX239" s="93"/>
      <c r="AY239" s="93"/>
      <c r="AZ239" s="93"/>
      <c r="BA239" s="93"/>
      <c r="BB239" s="93"/>
      <c r="BC239" s="20"/>
      <c r="BD239" s="19"/>
      <c r="BE239" s="93"/>
      <c r="BF239" s="93"/>
      <c r="BG239" s="93"/>
      <c r="BH239" s="93"/>
      <c r="BI239" s="93"/>
      <c r="BJ239" s="93"/>
      <c r="BK239" s="20"/>
      <c r="BL239" s="19"/>
      <c r="BM239" s="93"/>
      <c r="BN239" s="93"/>
      <c r="BO239" s="93"/>
      <c r="BP239" s="93"/>
      <c r="BQ239" s="20"/>
      <c r="BR239" s="19"/>
      <c r="BS239" s="93"/>
      <c r="BT239" s="93"/>
      <c r="BU239" s="20"/>
      <c r="BV239" s="19"/>
      <c r="BW239" s="93"/>
      <c r="BX239" s="93"/>
      <c r="BY239" s="93"/>
      <c r="BZ239" s="93"/>
      <c r="CA239" s="93"/>
      <c r="CB239" s="20"/>
      <c r="CC239" s="25"/>
      <c r="CD239" s="19"/>
      <c r="CE239" s="93"/>
      <c r="CF239" s="20"/>
      <c r="CG239" s="25"/>
      <c r="CH239" s="19"/>
      <c r="CI239" s="93"/>
      <c r="CJ239" s="93"/>
      <c r="CK239" s="93"/>
      <c r="CL239" s="93"/>
      <c r="CM239" s="93"/>
      <c r="CN239" s="93"/>
      <c r="CO239" s="93"/>
      <c r="CP239" s="93"/>
      <c r="CQ239" s="93"/>
      <c r="CR239" s="214"/>
      <c r="CS239" s="20"/>
      <c r="CT239" s="25"/>
      <c r="CU239" s="19"/>
      <c r="CV239" s="93"/>
      <c r="CW239" s="93"/>
      <c r="CX239" s="93"/>
      <c r="CY239" s="93"/>
      <c r="CZ239" s="93"/>
      <c r="DA239" s="93"/>
      <c r="DB239" s="20"/>
      <c r="DC239" s="25"/>
      <c r="DD239" s="785">
        <v>51653</v>
      </c>
      <c r="DE239" s="19"/>
      <c r="DF239" s="20"/>
      <c r="DG239" s="25"/>
      <c r="DH239" s="19"/>
      <c r="DI239" s="20"/>
      <c r="DJ239" s="25"/>
      <c r="DK239" s="19"/>
      <c r="DL239" s="20"/>
      <c r="DM239" s="19"/>
      <c r="DN239" s="20"/>
      <c r="DO239" s="25"/>
      <c r="DP239" s="19"/>
      <c r="DQ239" s="93"/>
      <c r="DR239" s="20"/>
      <c r="DS239" s="25"/>
      <c r="DT239" s="19"/>
      <c r="DU239" s="93"/>
      <c r="DV239" s="20"/>
      <c r="DW239" s="25"/>
      <c r="DX239" s="19"/>
      <c r="DY239" s="20"/>
      <c r="DZ239" s="25"/>
      <c r="EA239" s="19"/>
      <c r="EB239" s="93"/>
      <c r="EC239" s="93"/>
      <c r="ED239" s="93"/>
      <c r="EE239" s="20"/>
      <c r="EF239" s="25"/>
      <c r="EG239" s="19"/>
      <c r="EH239" s="93"/>
      <c r="EI239" s="93"/>
      <c r="EJ239" s="93"/>
      <c r="EK239" s="20"/>
      <c r="EL239" s="25"/>
      <c r="EM239" s="19"/>
      <c r="EN239" s="93"/>
      <c r="EO239" s="93"/>
      <c r="EP239" s="93"/>
      <c r="EQ239" s="93"/>
      <c r="ER239" s="93"/>
      <c r="ES239" s="93"/>
      <c r="ET239" s="93"/>
      <c r="EU239" s="93"/>
      <c r="EV239" s="20"/>
      <c r="EW239" s="25"/>
      <c r="EX239" s="915"/>
      <c r="EY239" s="916"/>
      <c r="EZ239" s="916"/>
      <c r="FA239" s="916"/>
      <c r="FB239" s="916"/>
      <c r="FC239" s="916"/>
      <c r="FD239" s="916"/>
      <c r="FE239" s="916"/>
      <c r="FF239" s="916"/>
      <c r="FG239" s="917"/>
      <c r="FH239" s="25"/>
      <c r="FI239" s="848">
        <v>51653</v>
      </c>
      <c r="FJ239" s="19"/>
      <c r="FK239" s="93"/>
      <c r="FL239" s="20"/>
      <c r="FM239" s="25"/>
      <c r="FN239" s="19"/>
      <c r="FO239" s="93"/>
      <c r="FP239" s="93"/>
      <c r="FQ239" s="93"/>
      <c r="FR239" s="93"/>
      <c r="FS239" s="93"/>
      <c r="FT239" s="93"/>
      <c r="FU239" s="93"/>
      <c r="FV239" s="93"/>
      <c r="FW239" s="917"/>
      <c r="FX239" s="25"/>
      <c r="FY239" s="916"/>
      <c r="FZ239" s="916"/>
      <c r="GA239" s="916"/>
      <c r="GB239" s="916"/>
      <c r="GC239" s="916"/>
      <c r="GD239" s="916"/>
      <c r="GE239" s="916"/>
      <c r="GF239" s="916"/>
      <c r="GG239" s="916"/>
      <c r="GH239" s="916"/>
      <c r="GI239" s="917"/>
      <c r="GJ239" s="25"/>
      <c r="GK239" s="19"/>
      <c r="GL239" s="20"/>
      <c r="GM239" s="25"/>
      <c r="GN239" s="19"/>
      <c r="GO239" s="20"/>
      <c r="GP239" s="25"/>
      <c r="GQ239" s="19"/>
      <c r="GR239" s="20"/>
      <c r="GS239" s="25"/>
      <c r="GT239" s="848">
        <v>51653</v>
      </c>
      <c r="GU239" s="19"/>
      <c r="GV239" s="93"/>
      <c r="GW239" s="93"/>
      <c r="GX239" s="93"/>
      <c r="GY239" s="93"/>
      <c r="GZ239" s="93"/>
      <c r="HA239" s="93"/>
      <c r="HB239" s="93"/>
      <c r="HC239" s="93"/>
      <c r="HD239" s="93"/>
      <c r="HE239" s="93"/>
      <c r="HF239" s="93"/>
      <c r="HG239" s="93"/>
      <c r="HH239" s="93"/>
      <c r="HI239" s="93"/>
      <c r="HJ239" s="93"/>
      <c r="HK239" s="93"/>
      <c r="HL239" s="93"/>
      <c r="HM239" s="93"/>
      <c r="HN239" s="93"/>
      <c r="HO239" s="93"/>
      <c r="HP239" s="93"/>
      <c r="HQ239" s="93"/>
      <c r="HR239" s="93"/>
      <c r="HS239" s="93"/>
      <c r="HT239" s="93"/>
      <c r="HU239" s="93"/>
      <c r="HV239" s="93"/>
      <c r="HW239" s="93"/>
      <c r="HX239" s="93"/>
      <c r="HY239" s="93"/>
      <c r="HZ239" s="93"/>
      <c r="IA239" s="93"/>
      <c r="IB239" s="93"/>
      <c r="IC239" s="93"/>
      <c r="ID239" s="93"/>
      <c r="IE239" s="93"/>
      <c r="IF239" s="93"/>
      <c r="IG239" s="93"/>
      <c r="IH239" s="93"/>
      <c r="II239" s="93"/>
      <c r="IJ239" s="93"/>
      <c r="IK239" s="93"/>
      <c r="IL239" s="93"/>
      <c r="IM239" s="93"/>
      <c r="IN239" s="93"/>
      <c r="IO239" s="93"/>
      <c r="IP239" s="93"/>
      <c r="IQ239" s="93"/>
      <c r="IR239" s="93"/>
      <c r="IS239" s="93"/>
      <c r="IT239" s="93"/>
      <c r="IU239" s="93"/>
      <c r="IV239" s="93"/>
      <c r="IW239" s="848">
        <v>51653</v>
      </c>
      <c r="IX239" s="93"/>
      <c r="IY239" s="93"/>
      <c r="IZ239" s="93"/>
      <c r="JA239" s="93"/>
      <c r="JB239" s="93"/>
      <c r="JC239" s="93"/>
      <c r="JD239" s="93"/>
      <c r="JE239" s="93"/>
      <c r="JF239" s="93"/>
      <c r="JG239" s="93"/>
      <c r="JH239" s="93"/>
      <c r="JI239" s="93"/>
      <c r="JJ239" s="93"/>
      <c r="JK239" s="93"/>
      <c r="JL239" s="93"/>
      <c r="JM239" s="93"/>
      <c r="JN239" s="93"/>
      <c r="JO239" s="93"/>
      <c r="JP239" s="93"/>
      <c r="JQ239" s="93"/>
      <c r="JR239" s="93"/>
      <c r="JS239" s="93"/>
      <c r="JT239" s="20"/>
      <c r="JU239" s="29"/>
      <c r="JV239" s="19"/>
      <c r="JW239" s="93"/>
      <c r="JX239" s="93"/>
      <c r="JY239" s="93"/>
      <c r="JZ239" s="93"/>
      <c r="KA239" s="93"/>
      <c r="KB239" s="93"/>
      <c r="KC239" s="93"/>
      <c r="KD239" s="93"/>
      <c r="KE239" s="93"/>
      <c r="KF239" s="93"/>
      <c r="KG239" s="93"/>
      <c r="KH239" s="93"/>
      <c r="KI239" s="93"/>
      <c r="KJ239" s="93"/>
      <c r="KK239" s="93"/>
      <c r="KL239" s="93"/>
      <c r="KM239" s="93"/>
      <c r="KN239" s="93"/>
      <c r="KO239" s="93"/>
      <c r="KP239" s="93"/>
      <c r="KQ239" s="93"/>
      <c r="KR239" s="93"/>
      <c r="KS239" s="93"/>
      <c r="KT239" s="93"/>
      <c r="KU239" s="93"/>
      <c r="KV239" s="93"/>
      <c r="KW239" s="20"/>
      <c r="KX239" s="29"/>
      <c r="KY239" s="19"/>
      <c r="KZ239" s="93"/>
      <c r="LA239" s="93"/>
      <c r="LB239" s="93"/>
      <c r="LC239" s="93"/>
      <c r="LD239" s="93"/>
      <c r="LE239" s="93"/>
      <c r="LF239" s="93"/>
      <c r="LG239" s="93"/>
      <c r="LH239" s="93"/>
      <c r="LI239" s="93"/>
      <c r="LJ239" s="93"/>
      <c r="LK239" s="93"/>
      <c r="LL239" s="93"/>
      <c r="LM239" s="93"/>
      <c r="LN239" s="93"/>
      <c r="LO239" s="93"/>
      <c r="LP239" s="93"/>
      <c r="LQ239" s="93"/>
      <c r="LR239" s="93"/>
      <c r="LS239" s="93"/>
      <c r="LT239" s="93"/>
      <c r="LU239" s="93"/>
      <c r="LV239" s="93"/>
      <c r="LW239" s="93"/>
      <c r="LX239" s="93"/>
      <c r="LY239" s="93"/>
      <c r="LZ239" s="93"/>
      <c r="MA239" s="93"/>
      <c r="MB239" s="93"/>
      <c r="MC239" s="93"/>
      <c r="MD239" s="93"/>
      <c r="ME239" s="93"/>
      <c r="MF239" s="93"/>
      <c r="MG239" s="93"/>
      <c r="MH239" s="20"/>
      <c r="MI239" s="29"/>
      <c r="MJ239" s="29" t="str">
        <f t="shared" si="97"/>
        <v>Trimestre 22041</v>
      </c>
      <c r="MK239" s="848">
        <v>51653</v>
      </c>
      <c r="ML239" s="1991"/>
      <c r="MM239" s="1991"/>
      <c r="MN239" s="1991"/>
      <c r="MO239" s="1991"/>
      <c r="MP239" s="1991"/>
      <c r="MQ239" s="1991"/>
      <c r="MR239" s="1991"/>
      <c r="MS239" s="1991"/>
      <c r="MT239" s="1991"/>
      <c r="MU239" s="1991"/>
      <c r="MV239" s="1991"/>
      <c r="MW239" s="1991"/>
      <c r="MX239" s="1991"/>
      <c r="MY239" s="1991"/>
      <c r="MZ239" s="1991"/>
      <c r="NA239" s="1991"/>
      <c r="NB239" s="1991"/>
      <c r="NC239" s="1991"/>
      <c r="ND239" s="1991"/>
      <c r="NE239" s="1991"/>
      <c r="NF239" s="1991"/>
      <c r="NG239" s="1991"/>
      <c r="NH239" s="1991"/>
      <c r="NI239" s="1991"/>
      <c r="NJ239" s="1991"/>
      <c r="NK239" s="1991"/>
      <c r="NL239" s="29"/>
    </row>
    <row r="240" spans="1:376">
      <c r="A240" s="41">
        <f t="shared" si="95"/>
        <v>2041</v>
      </c>
      <c r="B240" s="785">
        <v>51745</v>
      </c>
      <c r="C240" s="19"/>
      <c r="D240" s="93"/>
      <c r="E240" s="93"/>
      <c r="F240" s="93"/>
      <c r="G240" s="93"/>
      <c r="H240" s="93"/>
      <c r="I240" s="93"/>
      <c r="J240" s="93"/>
      <c r="K240" s="93"/>
      <c r="L240" s="93"/>
      <c r="M240" s="20"/>
      <c r="N240" s="25"/>
      <c r="O240" s="889">
        <f t="shared" si="94"/>
        <v>2041</v>
      </c>
      <c r="P240" s="29" t="str">
        <f t="shared" si="96"/>
        <v>Trimestre 32041</v>
      </c>
      <c r="Q240" s="848">
        <v>51745</v>
      </c>
      <c r="R240" s="733"/>
      <c r="S240" s="570"/>
      <c r="T240" s="570"/>
      <c r="U240" s="734"/>
      <c r="V240" s="25"/>
      <c r="W240" s="19"/>
      <c r="X240" s="93"/>
      <c r="Y240" s="93"/>
      <c r="Z240" s="93"/>
      <c r="AA240" s="93"/>
      <c r="AB240" s="93"/>
      <c r="AC240" s="93"/>
      <c r="AD240" s="93"/>
      <c r="AE240" s="20"/>
      <c r="AF240" s="25"/>
      <c r="AG240" s="19"/>
      <c r="AH240" s="93"/>
      <c r="AI240" s="93"/>
      <c r="AJ240" s="93"/>
      <c r="AK240" s="93"/>
      <c r="AL240" s="93"/>
      <c r="AM240" s="93"/>
      <c r="AN240" s="20"/>
      <c r="AO240" s="19"/>
      <c r="AP240" s="93"/>
      <c r="AQ240" s="93"/>
      <c r="AR240" s="93"/>
      <c r="AS240" s="20"/>
      <c r="AT240" s="19"/>
      <c r="AU240" s="93"/>
      <c r="AV240" s="20"/>
      <c r="AW240" s="19"/>
      <c r="AX240" s="93"/>
      <c r="AY240" s="93"/>
      <c r="AZ240" s="93"/>
      <c r="BA240" s="93"/>
      <c r="BB240" s="93"/>
      <c r="BC240" s="20"/>
      <c r="BD240" s="19"/>
      <c r="BE240" s="93"/>
      <c r="BF240" s="93"/>
      <c r="BG240" s="93"/>
      <c r="BH240" s="93"/>
      <c r="BI240" s="93"/>
      <c r="BJ240" s="93"/>
      <c r="BK240" s="20"/>
      <c r="BL240" s="19"/>
      <c r="BM240" s="93"/>
      <c r="BN240" s="93"/>
      <c r="BO240" s="93"/>
      <c r="BP240" s="93"/>
      <c r="BQ240" s="20"/>
      <c r="BR240" s="19"/>
      <c r="BS240" s="93"/>
      <c r="BT240" s="93"/>
      <c r="BU240" s="20"/>
      <c r="BV240" s="19"/>
      <c r="BW240" s="93"/>
      <c r="BX240" s="93"/>
      <c r="BY240" s="93"/>
      <c r="BZ240" s="93"/>
      <c r="CA240" s="93"/>
      <c r="CB240" s="20"/>
      <c r="CC240" s="25"/>
      <c r="CD240" s="19"/>
      <c r="CE240" s="93"/>
      <c r="CF240" s="20"/>
      <c r="CG240" s="25"/>
      <c r="CH240" s="19"/>
      <c r="CI240" s="93"/>
      <c r="CJ240" s="93"/>
      <c r="CK240" s="93"/>
      <c r="CL240" s="93"/>
      <c r="CM240" s="93"/>
      <c r="CN240" s="93"/>
      <c r="CO240" s="93"/>
      <c r="CP240" s="93"/>
      <c r="CQ240" s="93"/>
      <c r="CR240" s="214"/>
      <c r="CS240" s="20"/>
      <c r="CT240" s="25"/>
      <c r="CU240" s="19"/>
      <c r="CV240" s="93"/>
      <c r="CW240" s="93"/>
      <c r="CX240" s="93"/>
      <c r="CY240" s="93"/>
      <c r="CZ240" s="93"/>
      <c r="DA240" s="93"/>
      <c r="DB240" s="20"/>
      <c r="DC240" s="25"/>
      <c r="DD240" s="785">
        <v>51745</v>
      </c>
      <c r="DE240" s="19"/>
      <c r="DF240" s="20"/>
      <c r="DG240" s="25"/>
      <c r="DH240" s="19"/>
      <c r="DI240" s="20"/>
      <c r="DJ240" s="25"/>
      <c r="DK240" s="19"/>
      <c r="DL240" s="20"/>
      <c r="DM240" s="19"/>
      <c r="DN240" s="20"/>
      <c r="DO240" s="25"/>
      <c r="DP240" s="19"/>
      <c r="DQ240" s="93"/>
      <c r="DR240" s="20"/>
      <c r="DS240" s="25"/>
      <c r="DT240" s="19"/>
      <c r="DU240" s="93"/>
      <c r="DV240" s="20"/>
      <c r="DW240" s="25"/>
      <c r="DX240" s="19"/>
      <c r="DY240" s="20"/>
      <c r="DZ240" s="25"/>
      <c r="EA240" s="19"/>
      <c r="EB240" s="93"/>
      <c r="EC240" s="93"/>
      <c r="ED240" s="93"/>
      <c r="EE240" s="20"/>
      <c r="EF240" s="25"/>
      <c r="EG240" s="19"/>
      <c r="EH240" s="93"/>
      <c r="EI240" s="93"/>
      <c r="EJ240" s="93"/>
      <c r="EK240" s="20"/>
      <c r="EL240" s="25"/>
      <c r="EM240" s="19"/>
      <c r="EN240" s="93"/>
      <c r="EO240" s="93"/>
      <c r="EP240" s="93"/>
      <c r="EQ240" s="93"/>
      <c r="ER240" s="93"/>
      <c r="ES240" s="93"/>
      <c r="ET240" s="93"/>
      <c r="EU240" s="93"/>
      <c r="EV240" s="20"/>
      <c r="EW240" s="25"/>
      <c r="EX240" s="915"/>
      <c r="EY240" s="916"/>
      <c r="EZ240" s="916"/>
      <c r="FA240" s="916"/>
      <c r="FB240" s="916"/>
      <c r="FC240" s="916"/>
      <c r="FD240" s="916"/>
      <c r="FE240" s="916"/>
      <c r="FF240" s="916"/>
      <c r="FG240" s="917"/>
      <c r="FH240" s="25"/>
      <c r="FI240" s="848">
        <v>51745</v>
      </c>
      <c r="FJ240" s="19"/>
      <c r="FK240" s="93"/>
      <c r="FL240" s="20"/>
      <c r="FM240" s="25"/>
      <c r="FN240" s="19"/>
      <c r="FO240" s="93"/>
      <c r="FP240" s="93"/>
      <c r="FQ240" s="93"/>
      <c r="FR240" s="93"/>
      <c r="FS240" s="93"/>
      <c r="FT240" s="93"/>
      <c r="FU240" s="93"/>
      <c r="FV240" s="93"/>
      <c r="FW240" s="917"/>
      <c r="FX240" s="25"/>
      <c r="FY240" s="916"/>
      <c r="FZ240" s="916"/>
      <c r="GA240" s="916"/>
      <c r="GB240" s="916"/>
      <c r="GC240" s="916"/>
      <c r="GD240" s="916"/>
      <c r="GE240" s="916"/>
      <c r="GF240" s="916"/>
      <c r="GG240" s="916"/>
      <c r="GH240" s="916"/>
      <c r="GI240" s="917"/>
      <c r="GJ240" s="25"/>
      <c r="GK240" s="19"/>
      <c r="GL240" s="20"/>
      <c r="GM240" s="25"/>
      <c r="GN240" s="19"/>
      <c r="GO240" s="20"/>
      <c r="GP240" s="25"/>
      <c r="GQ240" s="19"/>
      <c r="GR240" s="20"/>
      <c r="GS240" s="25"/>
      <c r="GT240" s="848">
        <v>51745</v>
      </c>
      <c r="GU240" s="19"/>
      <c r="GV240" s="93"/>
      <c r="GW240" s="93"/>
      <c r="GX240" s="93"/>
      <c r="GY240" s="93"/>
      <c r="GZ240" s="93"/>
      <c r="HA240" s="93"/>
      <c r="HB240" s="93"/>
      <c r="HC240" s="93"/>
      <c r="HD240" s="93"/>
      <c r="HE240" s="93"/>
      <c r="HF240" s="93"/>
      <c r="HG240" s="93"/>
      <c r="HH240" s="93"/>
      <c r="HI240" s="93"/>
      <c r="HJ240" s="93"/>
      <c r="HK240" s="93"/>
      <c r="HL240" s="93"/>
      <c r="HM240" s="93"/>
      <c r="HN240" s="93"/>
      <c r="HO240" s="93"/>
      <c r="HP240" s="93"/>
      <c r="HQ240" s="93"/>
      <c r="HR240" s="93"/>
      <c r="HS240" s="93"/>
      <c r="HT240" s="93"/>
      <c r="HU240" s="93"/>
      <c r="HV240" s="93"/>
      <c r="HW240" s="93"/>
      <c r="HX240" s="93"/>
      <c r="HY240" s="93"/>
      <c r="HZ240" s="93"/>
      <c r="IA240" s="93"/>
      <c r="IB240" s="93"/>
      <c r="IC240" s="93"/>
      <c r="ID240" s="93"/>
      <c r="IE240" s="93"/>
      <c r="IF240" s="93"/>
      <c r="IG240" s="93"/>
      <c r="IH240" s="93"/>
      <c r="II240" s="93"/>
      <c r="IJ240" s="93"/>
      <c r="IK240" s="93"/>
      <c r="IL240" s="93"/>
      <c r="IM240" s="93"/>
      <c r="IN240" s="93"/>
      <c r="IO240" s="93"/>
      <c r="IP240" s="93"/>
      <c r="IQ240" s="93"/>
      <c r="IR240" s="93"/>
      <c r="IS240" s="93"/>
      <c r="IT240" s="93"/>
      <c r="IU240" s="93"/>
      <c r="IV240" s="93"/>
      <c r="IW240" s="848">
        <v>51745</v>
      </c>
      <c r="IX240" s="93"/>
      <c r="IY240" s="93"/>
      <c r="IZ240" s="93"/>
      <c r="JA240" s="93"/>
      <c r="JB240" s="93"/>
      <c r="JC240" s="93"/>
      <c r="JD240" s="93"/>
      <c r="JE240" s="93"/>
      <c r="JF240" s="93"/>
      <c r="JG240" s="93"/>
      <c r="JH240" s="93"/>
      <c r="JI240" s="93"/>
      <c r="JJ240" s="93"/>
      <c r="JK240" s="93"/>
      <c r="JL240" s="93"/>
      <c r="JM240" s="93"/>
      <c r="JN240" s="93"/>
      <c r="JO240" s="93"/>
      <c r="JP240" s="93"/>
      <c r="JQ240" s="93"/>
      <c r="JR240" s="93"/>
      <c r="JS240" s="93"/>
      <c r="JT240" s="20"/>
      <c r="JU240" s="29"/>
      <c r="JV240" s="19"/>
      <c r="JW240" s="93"/>
      <c r="JX240" s="93"/>
      <c r="JY240" s="93"/>
      <c r="JZ240" s="93"/>
      <c r="KA240" s="93"/>
      <c r="KB240" s="93"/>
      <c r="KC240" s="93"/>
      <c r="KD240" s="93"/>
      <c r="KE240" s="93"/>
      <c r="KF240" s="93"/>
      <c r="KG240" s="93"/>
      <c r="KH240" s="93"/>
      <c r="KI240" s="93"/>
      <c r="KJ240" s="93"/>
      <c r="KK240" s="93"/>
      <c r="KL240" s="93"/>
      <c r="KM240" s="93"/>
      <c r="KN240" s="93"/>
      <c r="KO240" s="93"/>
      <c r="KP240" s="93"/>
      <c r="KQ240" s="93"/>
      <c r="KR240" s="93"/>
      <c r="KS240" s="93"/>
      <c r="KT240" s="93"/>
      <c r="KU240" s="93"/>
      <c r="KV240" s="93"/>
      <c r="KW240" s="20"/>
      <c r="KX240" s="29"/>
      <c r="KY240" s="19"/>
      <c r="KZ240" s="93"/>
      <c r="LA240" s="93"/>
      <c r="LB240" s="93"/>
      <c r="LC240" s="93"/>
      <c r="LD240" s="93"/>
      <c r="LE240" s="93"/>
      <c r="LF240" s="93"/>
      <c r="LG240" s="93"/>
      <c r="LH240" s="93"/>
      <c r="LI240" s="93"/>
      <c r="LJ240" s="93"/>
      <c r="LK240" s="93"/>
      <c r="LL240" s="93"/>
      <c r="LM240" s="93"/>
      <c r="LN240" s="93"/>
      <c r="LO240" s="93"/>
      <c r="LP240" s="93"/>
      <c r="LQ240" s="93"/>
      <c r="LR240" s="93"/>
      <c r="LS240" s="93"/>
      <c r="LT240" s="93"/>
      <c r="LU240" s="93"/>
      <c r="LV240" s="93"/>
      <c r="LW240" s="93"/>
      <c r="LX240" s="93"/>
      <c r="LY240" s="93"/>
      <c r="LZ240" s="93"/>
      <c r="MA240" s="93"/>
      <c r="MB240" s="93"/>
      <c r="MC240" s="93"/>
      <c r="MD240" s="93"/>
      <c r="ME240" s="93"/>
      <c r="MF240" s="93"/>
      <c r="MG240" s="93"/>
      <c r="MH240" s="20"/>
      <c r="MI240" s="29"/>
      <c r="MJ240" s="29" t="str">
        <f t="shared" si="97"/>
        <v>Trimestre 32041</v>
      </c>
      <c r="MK240" s="848">
        <v>51745</v>
      </c>
      <c r="ML240" s="1991"/>
      <c r="MM240" s="1991"/>
      <c r="MN240" s="1991"/>
      <c r="MO240" s="1991"/>
      <c r="MP240" s="1991"/>
      <c r="MQ240" s="1991"/>
      <c r="MR240" s="1991"/>
      <c r="MS240" s="1991"/>
      <c r="MT240" s="1991"/>
      <c r="MU240" s="1991"/>
      <c r="MV240" s="1991"/>
      <c r="MW240" s="1991"/>
      <c r="MX240" s="1991"/>
      <c r="MY240" s="1991"/>
      <c r="MZ240" s="1991"/>
      <c r="NA240" s="1991"/>
      <c r="NB240" s="1991"/>
      <c r="NC240" s="1991"/>
      <c r="ND240" s="1991"/>
      <c r="NE240" s="1991"/>
      <c r="NF240" s="1991"/>
      <c r="NG240" s="1991"/>
      <c r="NH240" s="1991"/>
      <c r="NI240" s="1991"/>
      <c r="NJ240" s="1991"/>
      <c r="NK240" s="1991"/>
      <c r="NL240" s="29"/>
    </row>
    <row r="241" spans="1:376">
      <c r="A241" s="41">
        <f t="shared" si="95"/>
        <v>2041</v>
      </c>
      <c r="B241" s="785">
        <v>51836</v>
      </c>
      <c r="C241" s="19"/>
      <c r="D241" s="93"/>
      <c r="E241" s="93"/>
      <c r="F241" s="93"/>
      <c r="G241" s="93"/>
      <c r="H241" s="93"/>
      <c r="I241" s="93"/>
      <c r="J241" s="93"/>
      <c r="K241" s="93"/>
      <c r="L241" s="93"/>
      <c r="M241" s="20"/>
      <c r="N241" s="25"/>
      <c r="O241" s="889">
        <f t="shared" si="94"/>
        <v>2041</v>
      </c>
      <c r="P241" s="29" t="str">
        <f t="shared" si="96"/>
        <v>Trimestre 42041</v>
      </c>
      <c r="Q241" s="848">
        <v>51836</v>
      </c>
      <c r="R241" s="733"/>
      <c r="S241" s="570"/>
      <c r="T241" s="570"/>
      <c r="U241" s="734"/>
      <c r="V241" s="25"/>
      <c r="W241" s="19"/>
      <c r="X241" s="93"/>
      <c r="Y241" s="93"/>
      <c r="Z241" s="93"/>
      <c r="AA241" s="93"/>
      <c r="AB241" s="93"/>
      <c r="AC241" s="93"/>
      <c r="AD241" s="93"/>
      <c r="AE241" s="20"/>
      <c r="AF241" s="25"/>
      <c r="AG241" s="19"/>
      <c r="AH241" s="93"/>
      <c r="AI241" s="93"/>
      <c r="AJ241" s="93"/>
      <c r="AK241" s="93"/>
      <c r="AL241" s="93"/>
      <c r="AM241" s="93"/>
      <c r="AN241" s="20"/>
      <c r="AO241" s="19"/>
      <c r="AP241" s="93"/>
      <c r="AQ241" s="93"/>
      <c r="AR241" s="93"/>
      <c r="AS241" s="20"/>
      <c r="AT241" s="19"/>
      <c r="AU241" s="93"/>
      <c r="AV241" s="20"/>
      <c r="AW241" s="19"/>
      <c r="AX241" s="93"/>
      <c r="AY241" s="93"/>
      <c r="AZ241" s="93"/>
      <c r="BA241" s="93"/>
      <c r="BB241" s="93"/>
      <c r="BC241" s="20"/>
      <c r="BD241" s="19"/>
      <c r="BE241" s="93"/>
      <c r="BF241" s="93"/>
      <c r="BG241" s="93"/>
      <c r="BH241" s="93"/>
      <c r="BI241" s="93"/>
      <c r="BJ241" s="93"/>
      <c r="BK241" s="20"/>
      <c r="BL241" s="19"/>
      <c r="BM241" s="93"/>
      <c r="BN241" s="93"/>
      <c r="BO241" s="93"/>
      <c r="BP241" s="93"/>
      <c r="BQ241" s="20"/>
      <c r="BR241" s="19"/>
      <c r="BS241" s="93"/>
      <c r="BT241" s="93"/>
      <c r="BU241" s="20"/>
      <c r="BV241" s="19"/>
      <c r="BW241" s="93"/>
      <c r="BX241" s="93"/>
      <c r="BY241" s="93"/>
      <c r="BZ241" s="93"/>
      <c r="CA241" s="93"/>
      <c r="CB241" s="20"/>
      <c r="CC241" s="25"/>
      <c r="CD241" s="19"/>
      <c r="CE241" s="93"/>
      <c r="CF241" s="20"/>
      <c r="CG241" s="25"/>
      <c r="CH241" s="19"/>
      <c r="CI241" s="93"/>
      <c r="CJ241" s="93"/>
      <c r="CK241" s="93"/>
      <c r="CL241" s="93"/>
      <c r="CM241" s="93"/>
      <c r="CN241" s="93"/>
      <c r="CO241" s="93"/>
      <c r="CP241" s="93"/>
      <c r="CQ241" s="93"/>
      <c r="CR241" s="214"/>
      <c r="CS241" s="20"/>
      <c r="CT241" s="25"/>
      <c r="CU241" s="19"/>
      <c r="CV241" s="93"/>
      <c r="CW241" s="93"/>
      <c r="CX241" s="93"/>
      <c r="CY241" s="93"/>
      <c r="CZ241" s="93"/>
      <c r="DA241" s="93"/>
      <c r="DB241" s="20"/>
      <c r="DC241" s="25"/>
      <c r="DD241" s="785">
        <v>51836</v>
      </c>
      <c r="DE241" s="19"/>
      <c r="DF241" s="20"/>
      <c r="DG241" s="25"/>
      <c r="DH241" s="19"/>
      <c r="DI241" s="20"/>
      <c r="DJ241" s="25"/>
      <c r="DK241" s="19"/>
      <c r="DL241" s="20"/>
      <c r="DM241" s="19"/>
      <c r="DN241" s="20"/>
      <c r="DO241" s="25"/>
      <c r="DP241" s="19"/>
      <c r="DQ241" s="93"/>
      <c r="DR241" s="20"/>
      <c r="DS241" s="25"/>
      <c r="DT241" s="19"/>
      <c r="DU241" s="93"/>
      <c r="DV241" s="20"/>
      <c r="DW241" s="25"/>
      <c r="DX241" s="19"/>
      <c r="DY241" s="20"/>
      <c r="DZ241" s="25"/>
      <c r="EA241" s="19"/>
      <c r="EB241" s="93"/>
      <c r="EC241" s="93"/>
      <c r="ED241" s="93"/>
      <c r="EE241" s="20"/>
      <c r="EF241" s="25"/>
      <c r="EG241" s="19"/>
      <c r="EH241" s="93"/>
      <c r="EI241" s="93"/>
      <c r="EJ241" s="93"/>
      <c r="EK241" s="20"/>
      <c r="EL241" s="25"/>
      <c r="EM241" s="19"/>
      <c r="EN241" s="93"/>
      <c r="EO241" s="93"/>
      <c r="EP241" s="93"/>
      <c r="EQ241" s="93"/>
      <c r="ER241" s="93"/>
      <c r="ES241" s="93"/>
      <c r="ET241" s="93"/>
      <c r="EU241" s="93"/>
      <c r="EV241" s="20"/>
      <c r="EW241" s="25"/>
      <c r="EX241" s="915"/>
      <c r="EY241" s="916"/>
      <c r="EZ241" s="916"/>
      <c r="FA241" s="916"/>
      <c r="FB241" s="916"/>
      <c r="FC241" s="916"/>
      <c r="FD241" s="916"/>
      <c r="FE241" s="916"/>
      <c r="FF241" s="916"/>
      <c r="FG241" s="917"/>
      <c r="FH241" s="25"/>
      <c r="FI241" s="848">
        <v>51836</v>
      </c>
      <c r="FJ241" s="19"/>
      <c r="FK241" s="93"/>
      <c r="FL241" s="20"/>
      <c r="FM241" s="25"/>
      <c r="FN241" s="19"/>
      <c r="FO241" s="93"/>
      <c r="FP241" s="93"/>
      <c r="FQ241" s="93"/>
      <c r="FR241" s="93"/>
      <c r="FS241" s="93"/>
      <c r="FT241" s="93"/>
      <c r="FU241" s="93"/>
      <c r="FV241" s="93"/>
      <c r="FW241" s="917"/>
      <c r="FX241" s="25"/>
      <c r="FY241" s="916"/>
      <c r="FZ241" s="916"/>
      <c r="GA241" s="916"/>
      <c r="GB241" s="916"/>
      <c r="GC241" s="916"/>
      <c r="GD241" s="916"/>
      <c r="GE241" s="916"/>
      <c r="GF241" s="916"/>
      <c r="GG241" s="916"/>
      <c r="GH241" s="916"/>
      <c r="GI241" s="917"/>
      <c r="GJ241" s="25"/>
      <c r="GK241" s="19"/>
      <c r="GL241" s="20"/>
      <c r="GM241" s="25"/>
      <c r="GN241" s="19"/>
      <c r="GO241" s="20"/>
      <c r="GP241" s="25"/>
      <c r="GQ241" s="19"/>
      <c r="GR241" s="20"/>
      <c r="GS241" s="25"/>
      <c r="GT241" s="848">
        <v>51836</v>
      </c>
      <c r="GU241" s="19"/>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848">
        <v>51836</v>
      </c>
      <c r="IX241" s="93"/>
      <c r="IY241" s="93"/>
      <c r="IZ241" s="93"/>
      <c r="JA241" s="93"/>
      <c r="JB241" s="93"/>
      <c r="JC241" s="93"/>
      <c r="JD241" s="93"/>
      <c r="JE241" s="93"/>
      <c r="JF241" s="93"/>
      <c r="JG241" s="93"/>
      <c r="JH241" s="93"/>
      <c r="JI241" s="93"/>
      <c r="JJ241" s="93"/>
      <c r="JK241" s="93"/>
      <c r="JL241" s="93"/>
      <c r="JM241" s="93"/>
      <c r="JN241" s="93"/>
      <c r="JO241" s="93"/>
      <c r="JP241" s="93"/>
      <c r="JQ241" s="93"/>
      <c r="JR241" s="93"/>
      <c r="JS241" s="93"/>
      <c r="JT241" s="20"/>
      <c r="JU241" s="29"/>
      <c r="JV241" s="19"/>
      <c r="JW241" s="93"/>
      <c r="JX241" s="93"/>
      <c r="JY241" s="93"/>
      <c r="JZ241" s="93"/>
      <c r="KA241" s="93"/>
      <c r="KB241" s="93"/>
      <c r="KC241" s="93"/>
      <c r="KD241" s="93"/>
      <c r="KE241" s="93"/>
      <c r="KF241" s="93"/>
      <c r="KG241" s="93"/>
      <c r="KH241" s="93"/>
      <c r="KI241" s="93"/>
      <c r="KJ241" s="93"/>
      <c r="KK241" s="93"/>
      <c r="KL241" s="93"/>
      <c r="KM241" s="93"/>
      <c r="KN241" s="93"/>
      <c r="KO241" s="93"/>
      <c r="KP241" s="93"/>
      <c r="KQ241" s="93"/>
      <c r="KR241" s="93"/>
      <c r="KS241" s="93"/>
      <c r="KT241" s="93"/>
      <c r="KU241" s="93"/>
      <c r="KV241" s="93"/>
      <c r="KW241" s="20"/>
      <c r="KX241" s="29"/>
      <c r="KY241" s="19"/>
      <c r="KZ241" s="93"/>
      <c r="LA241" s="93"/>
      <c r="LB241" s="93"/>
      <c r="LC241" s="93"/>
      <c r="LD241" s="93"/>
      <c r="LE241" s="93"/>
      <c r="LF241" s="93"/>
      <c r="LG241" s="93"/>
      <c r="LH241" s="93"/>
      <c r="LI241" s="93"/>
      <c r="LJ241" s="93"/>
      <c r="LK241" s="93"/>
      <c r="LL241" s="93"/>
      <c r="LM241" s="93"/>
      <c r="LN241" s="93"/>
      <c r="LO241" s="93"/>
      <c r="LP241" s="93"/>
      <c r="LQ241" s="93"/>
      <c r="LR241" s="93"/>
      <c r="LS241" s="93"/>
      <c r="LT241" s="93"/>
      <c r="LU241" s="93"/>
      <c r="LV241" s="93"/>
      <c r="LW241" s="93"/>
      <c r="LX241" s="93"/>
      <c r="LY241" s="93"/>
      <c r="LZ241" s="93"/>
      <c r="MA241" s="93"/>
      <c r="MB241" s="93"/>
      <c r="MC241" s="93"/>
      <c r="MD241" s="93"/>
      <c r="ME241" s="93"/>
      <c r="MF241" s="93"/>
      <c r="MG241" s="93"/>
      <c r="MH241" s="20"/>
      <c r="MI241" s="29"/>
      <c r="MJ241" s="29" t="str">
        <f t="shared" si="97"/>
        <v>Trimestre 42041</v>
      </c>
      <c r="MK241" s="848">
        <v>51836</v>
      </c>
      <c r="ML241" s="1991"/>
      <c r="MM241" s="1991"/>
      <c r="MN241" s="1991"/>
      <c r="MO241" s="1991"/>
      <c r="MP241" s="1991"/>
      <c r="MQ241" s="1991"/>
      <c r="MR241" s="1991"/>
      <c r="MS241" s="1991"/>
      <c r="MT241" s="1991"/>
      <c r="MU241" s="1991"/>
      <c r="MV241" s="1991"/>
      <c r="MW241" s="1991"/>
      <c r="MX241" s="1991"/>
      <c r="MY241" s="1991"/>
      <c r="MZ241" s="1991"/>
      <c r="NA241" s="1991"/>
      <c r="NB241" s="1991"/>
      <c r="NC241" s="1991"/>
      <c r="ND241" s="1991"/>
      <c r="NE241" s="1991"/>
      <c r="NF241" s="1991"/>
      <c r="NG241" s="1991"/>
      <c r="NH241" s="1991"/>
      <c r="NI241" s="1991"/>
      <c r="NJ241" s="1991"/>
      <c r="NK241" s="1991"/>
      <c r="NL241" s="29"/>
    </row>
    <row r="242" spans="1:376">
      <c r="A242" s="41">
        <f t="shared" si="95"/>
        <v>2042</v>
      </c>
      <c r="B242" s="785">
        <v>51926</v>
      </c>
      <c r="C242" s="19"/>
      <c r="D242" s="93"/>
      <c r="E242" s="93"/>
      <c r="F242" s="93"/>
      <c r="G242" s="93"/>
      <c r="H242" s="93"/>
      <c r="I242" s="93"/>
      <c r="J242" s="93"/>
      <c r="K242" s="93"/>
      <c r="L242" s="93"/>
      <c r="M242" s="20"/>
      <c r="N242" s="25"/>
      <c r="O242" s="889">
        <f t="shared" si="94"/>
        <v>2042</v>
      </c>
      <c r="P242" s="29" t="str">
        <f t="shared" si="96"/>
        <v>Trimestre 12042</v>
      </c>
      <c r="Q242" s="848">
        <v>51926</v>
      </c>
      <c r="R242" s="733"/>
      <c r="S242" s="570"/>
      <c r="T242" s="570"/>
      <c r="U242" s="734"/>
      <c r="V242" s="25"/>
      <c r="W242" s="19"/>
      <c r="X242" s="93"/>
      <c r="Y242" s="93"/>
      <c r="Z242" s="93"/>
      <c r="AA242" s="93"/>
      <c r="AB242" s="93"/>
      <c r="AC242" s="93"/>
      <c r="AD242" s="93"/>
      <c r="AE242" s="20"/>
      <c r="AF242" s="25"/>
      <c r="AG242" s="19"/>
      <c r="AH242" s="93"/>
      <c r="AI242" s="93"/>
      <c r="AJ242" s="93"/>
      <c r="AK242" s="93"/>
      <c r="AL242" s="93"/>
      <c r="AM242" s="93"/>
      <c r="AN242" s="20"/>
      <c r="AO242" s="19"/>
      <c r="AP242" s="93"/>
      <c r="AQ242" s="93"/>
      <c r="AR242" s="93"/>
      <c r="AS242" s="20"/>
      <c r="AT242" s="19"/>
      <c r="AU242" s="93"/>
      <c r="AV242" s="20"/>
      <c r="AW242" s="19"/>
      <c r="AX242" s="93"/>
      <c r="AY242" s="93"/>
      <c r="AZ242" s="93"/>
      <c r="BA242" s="93"/>
      <c r="BB242" s="93"/>
      <c r="BC242" s="20"/>
      <c r="BD242" s="19"/>
      <c r="BE242" s="93"/>
      <c r="BF242" s="93"/>
      <c r="BG242" s="93"/>
      <c r="BH242" s="93"/>
      <c r="BI242" s="93"/>
      <c r="BJ242" s="93"/>
      <c r="BK242" s="20"/>
      <c r="BL242" s="19"/>
      <c r="BM242" s="93"/>
      <c r="BN242" s="93"/>
      <c r="BO242" s="93"/>
      <c r="BP242" s="93"/>
      <c r="BQ242" s="20"/>
      <c r="BR242" s="19"/>
      <c r="BS242" s="93"/>
      <c r="BT242" s="93"/>
      <c r="BU242" s="20"/>
      <c r="BV242" s="19"/>
      <c r="BW242" s="93"/>
      <c r="BX242" s="93"/>
      <c r="BY242" s="93"/>
      <c r="BZ242" s="93"/>
      <c r="CA242" s="93"/>
      <c r="CB242" s="20"/>
      <c r="CC242" s="25"/>
      <c r="CD242" s="19"/>
      <c r="CE242" s="93"/>
      <c r="CF242" s="20"/>
      <c r="CG242" s="25"/>
      <c r="CH242" s="19"/>
      <c r="CI242" s="93"/>
      <c r="CJ242" s="93"/>
      <c r="CK242" s="93"/>
      <c r="CL242" s="93"/>
      <c r="CM242" s="93"/>
      <c r="CN242" s="93"/>
      <c r="CO242" s="93"/>
      <c r="CP242" s="93"/>
      <c r="CQ242" s="93"/>
      <c r="CR242" s="214"/>
      <c r="CS242" s="20"/>
      <c r="CT242" s="25"/>
      <c r="CU242" s="19"/>
      <c r="CV242" s="93"/>
      <c r="CW242" s="93"/>
      <c r="CX242" s="93"/>
      <c r="CY242" s="93"/>
      <c r="CZ242" s="93"/>
      <c r="DA242" s="93"/>
      <c r="DB242" s="20"/>
      <c r="DC242" s="25"/>
      <c r="DD242" s="785">
        <v>51926</v>
      </c>
      <c r="DE242" s="19"/>
      <c r="DF242" s="20"/>
      <c r="DG242" s="25"/>
      <c r="DH242" s="19"/>
      <c r="DI242" s="20"/>
      <c r="DJ242" s="25"/>
      <c r="DK242" s="19"/>
      <c r="DL242" s="20"/>
      <c r="DM242" s="19"/>
      <c r="DN242" s="20"/>
      <c r="DO242" s="25"/>
      <c r="DP242" s="19"/>
      <c r="DQ242" s="93"/>
      <c r="DR242" s="20"/>
      <c r="DS242" s="25"/>
      <c r="DT242" s="19"/>
      <c r="DU242" s="93"/>
      <c r="DV242" s="20"/>
      <c r="DW242" s="25"/>
      <c r="DX242" s="19"/>
      <c r="DY242" s="20"/>
      <c r="DZ242" s="25"/>
      <c r="EA242" s="19"/>
      <c r="EB242" s="93"/>
      <c r="EC242" s="93"/>
      <c r="ED242" s="93"/>
      <c r="EE242" s="20"/>
      <c r="EF242" s="25"/>
      <c r="EG242" s="19"/>
      <c r="EH242" s="93"/>
      <c r="EI242" s="93"/>
      <c r="EJ242" s="93"/>
      <c r="EK242" s="20"/>
      <c r="EL242" s="25"/>
      <c r="EM242" s="19"/>
      <c r="EN242" s="93"/>
      <c r="EO242" s="93"/>
      <c r="EP242" s="93"/>
      <c r="EQ242" s="93"/>
      <c r="ER242" s="93"/>
      <c r="ES242" s="93"/>
      <c r="ET242" s="93"/>
      <c r="EU242" s="93"/>
      <c r="EV242" s="20"/>
      <c r="EW242" s="25"/>
      <c r="EX242" s="915"/>
      <c r="EY242" s="916"/>
      <c r="EZ242" s="916"/>
      <c r="FA242" s="916"/>
      <c r="FB242" s="916"/>
      <c r="FC242" s="916"/>
      <c r="FD242" s="916"/>
      <c r="FE242" s="916"/>
      <c r="FF242" s="916"/>
      <c r="FG242" s="917"/>
      <c r="FH242" s="25"/>
      <c r="FI242" s="848">
        <v>51926</v>
      </c>
      <c r="FJ242" s="19"/>
      <c r="FK242" s="93"/>
      <c r="FL242" s="20"/>
      <c r="FM242" s="25"/>
      <c r="FN242" s="19"/>
      <c r="FO242" s="93"/>
      <c r="FP242" s="93"/>
      <c r="FQ242" s="93"/>
      <c r="FR242" s="93"/>
      <c r="FS242" s="93"/>
      <c r="FT242" s="93"/>
      <c r="FU242" s="93"/>
      <c r="FV242" s="93"/>
      <c r="FW242" s="917"/>
      <c r="FX242" s="25"/>
      <c r="FY242" s="916"/>
      <c r="FZ242" s="916"/>
      <c r="GA242" s="916"/>
      <c r="GB242" s="916"/>
      <c r="GC242" s="916"/>
      <c r="GD242" s="916"/>
      <c r="GE242" s="916"/>
      <c r="GF242" s="916"/>
      <c r="GG242" s="916"/>
      <c r="GH242" s="916"/>
      <c r="GI242" s="917"/>
      <c r="GJ242" s="25"/>
      <c r="GK242" s="19"/>
      <c r="GL242" s="20"/>
      <c r="GM242" s="25"/>
      <c r="GN242" s="19"/>
      <c r="GO242" s="20"/>
      <c r="GP242" s="25"/>
      <c r="GQ242" s="19"/>
      <c r="GR242" s="20"/>
      <c r="GS242" s="25"/>
      <c r="GT242" s="848">
        <v>51926</v>
      </c>
      <c r="GU242" s="19"/>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848">
        <v>51926</v>
      </c>
      <c r="IX242" s="93"/>
      <c r="IY242" s="93"/>
      <c r="IZ242" s="93"/>
      <c r="JA242" s="93"/>
      <c r="JB242" s="93"/>
      <c r="JC242" s="93"/>
      <c r="JD242" s="93"/>
      <c r="JE242" s="93"/>
      <c r="JF242" s="93"/>
      <c r="JG242" s="93"/>
      <c r="JH242" s="93"/>
      <c r="JI242" s="93"/>
      <c r="JJ242" s="93"/>
      <c r="JK242" s="93"/>
      <c r="JL242" s="93"/>
      <c r="JM242" s="93"/>
      <c r="JN242" s="93"/>
      <c r="JO242" s="93"/>
      <c r="JP242" s="93"/>
      <c r="JQ242" s="93"/>
      <c r="JR242" s="93"/>
      <c r="JS242" s="93"/>
      <c r="JT242" s="20"/>
      <c r="JU242" s="29"/>
      <c r="JV242" s="19"/>
      <c r="JW242" s="93"/>
      <c r="JX242" s="93"/>
      <c r="JY242" s="93"/>
      <c r="JZ242" s="93"/>
      <c r="KA242" s="93"/>
      <c r="KB242" s="93"/>
      <c r="KC242" s="93"/>
      <c r="KD242" s="93"/>
      <c r="KE242" s="93"/>
      <c r="KF242" s="93"/>
      <c r="KG242" s="93"/>
      <c r="KH242" s="93"/>
      <c r="KI242" s="93"/>
      <c r="KJ242" s="93"/>
      <c r="KK242" s="93"/>
      <c r="KL242" s="93"/>
      <c r="KM242" s="93"/>
      <c r="KN242" s="93"/>
      <c r="KO242" s="93"/>
      <c r="KP242" s="93"/>
      <c r="KQ242" s="93"/>
      <c r="KR242" s="93"/>
      <c r="KS242" s="93"/>
      <c r="KT242" s="93"/>
      <c r="KU242" s="93"/>
      <c r="KV242" s="93"/>
      <c r="KW242" s="20"/>
      <c r="KX242" s="29"/>
      <c r="KY242" s="19"/>
      <c r="KZ242" s="93"/>
      <c r="LA242" s="93"/>
      <c r="LB242" s="93"/>
      <c r="LC242" s="93"/>
      <c r="LD242" s="93"/>
      <c r="LE242" s="93"/>
      <c r="LF242" s="93"/>
      <c r="LG242" s="93"/>
      <c r="LH242" s="93"/>
      <c r="LI242" s="93"/>
      <c r="LJ242" s="93"/>
      <c r="LK242" s="93"/>
      <c r="LL242" s="93"/>
      <c r="LM242" s="93"/>
      <c r="LN242" s="93"/>
      <c r="LO242" s="93"/>
      <c r="LP242" s="93"/>
      <c r="LQ242" s="93"/>
      <c r="LR242" s="93"/>
      <c r="LS242" s="93"/>
      <c r="LT242" s="93"/>
      <c r="LU242" s="93"/>
      <c r="LV242" s="93"/>
      <c r="LW242" s="93"/>
      <c r="LX242" s="93"/>
      <c r="LY242" s="93"/>
      <c r="LZ242" s="93"/>
      <c r="MA242" s="93"/>
      <c r="MB242" s="93"/>
      <c r="MC242" s="93"/>
      <c r="MD242" s="93"/>
      <c r="ME242" s="93"/>
      <c r="MF242" s="93"/>
      <c r="MG242" s="93"/>
      <c r="MH242" s="20"/>
      <c r="MI242" s="29"/>
      <c r="MJ242" s="29" t="str">
        <f t="shared" si="97"/>
        <v>Trimestre 12042</v>
      </c>
      <c r="MK242" s="848">
        <v>51926</v>
      </c>
      <c r="ML242" s="1991"/>
      <c r="MM242" s="1991"/>
      <c r="MN242" s="1991"/>
      <c r="MO242" s="1991"/>
      <c r="MP242" s="1991"/>
      <c r="MQ242" s="1991"/>
      <c r="MR242" s="1991"/>
      <c r="MS242" s="1991"/>
      <c r="MT242" s="1991"/>
      <c r="MU242" s="1991"/>
      <c r="MV242" s="1991"/>
      <c r="MW242" s="1991"/>
      <c r="MX242" s="1991"/>
      <c r="MY242" s="1991"/>
      <c r="MZ242" s="1991"/>
      <c r="NA242" s="1991"/>
      <c r="NB242" s="1991"/>
      <c r="NC242" s="1991"/>
      <c r="ND242" s="1991"/>
      <c r="NE242" s="1991"/>
      <c r="NF242" s="1991"/>
      <c r="NG242" s="1991"/>
      <c r="NH242" s="1991"/>
      <c r="NI242" s="1991"/>
      <c r="NJ242" s="1991"/>
      <c r="NK242" s="1991"/>
      <c r="NL242" s="29"/>
    </row>
    <row r="243" spans="1:376">
      <c r="A243" s="41">
        <f t="shared" si="95"/>
        <v>2042</v>
      </c>
      <c r="B243" s="785">
        <v>52018</v>
      </c>
      <c r="C243" s="19"/>
      <c r="D243" s="93"/>
      <c r="E243" s="93"/>
      <c r="F243" s="93"/>
      <c r="G243" s="93"/>
      <c r="H243" s="93"/>
      <c r="I243" s="93"/>
      <c r="J243" s="93"/>
      <c r="K243" s="93"/>
      <c r="L243" s="93"/>
      <c r="M243" s="20"/>
      <c r="N243" s="25"/>
      <c r="O243" s="889">
        <f t="shared" si="94"/>
        <v>2042</v>
      </c>
      <c r="P243" s="29" t="str">
        <f t="shared" si="96"/>
        <v>Trimestre 22042</v>
      </c>
      <c r="Q243" s="848">
        <v>52018</v>
      </c>
      <c r="R243" s="733"/>
      <c r="S243" s="570"/>
      <c r="T243" s="570"/>
      <c r="U243" s="734"/>
      <c r="V243" s="25"/>
      <c r="W243" s="19"/>
      <c r="X243" s="93"/>
      <c r="Y243" s="93"/>
      <c r="Z243" s="93"/>
      <c r="AA243" s="93"/>
      <c r="AB243" s="93"/>
      <c r="AC243" s="93"/>
      <c r="AD243" s="93"/>
      <c r="AE243" s="20"/>
      <c r="AF243" s="25"/>
      <c r="AG243" s="19"/>
      <c r="AH243" s="93"/>
      <c r="AI243" s="93"/>
      <c r="AJ243" s="93"/>
      <c r="AK243" s="93"/>
      <c r="AL243" s="93"/>
      <c r="AM243" s="93"/>
      <c r="AN243" s="20"/>
      <c r="AO243" s="19"/>
      <c r="AP243" s="93"/>
      <c r="AQ243" s="93"/>
      <c r="AR243" s="93"/>
      <c r="AS243" s="20"/>
      <c r="AT243" s="19"/>
      <c r="AU243" s="93"/>
      <c r="AV243" s="20"/>
      <c r="AW243" s="19"/>
      <c r="AX243" s="93"/>
      <c r="AY243" s="93"/>
      <c r="AZ243" s="93"/>
      <c r="BA243" s="93"/>
      <c r="BB243" s="93"/>
      <c r="BC243" s="20"/>
      <c r="BD243" s="19"/>
      <c r="BE243" s="93"/>
      <c r="BF243" s="93"/>
      <c r="BG243" s="93"/>
      <c r="BH243" s="93"/>
      <c r="BI243" s="93"/>
      <c r="BJ243" s="93"/>
      <c r="BK243" s="20"/>
      <c r="BL243" s="19"/>
      <c r="BM243" s="93"/>
      <c r="BN243" s="93"/>
      <c r="BO243" s="93"/>
      <c r="BP243" s="93"/>
      <c r="BQ243" s="20"/>
      <c r="BR243" s="19"/>
      <c r="BS243" s="93"/>
      <c r="BT243" s="93"/>
      <c r="BU243" s="20"/>
      <c r="BV243" s="19"/>
      <c r="BW243" s="93"/>
      <c r="BX243" s="93"/>
      <c r="BY243" s="93"/>
      <c r="BZ243" s="93"/>
      <c r="CA243" s="93"/>
      <c r="CB243" s="20"/>
      <c r="CC243" s="25"/>
      <c r="CD243" s="19"/>
      <c r="CE243" s="93"/>
      <c r="CF243" s="20"/>
      <c r="CG243" s="25"/>
      <c r="CH243" s="19"/>
      <c r="CI243" s="93"/>
      <c r="CJ243" s="93"/>
      <c r="CK243" s="93"/>
      <c r="CL243" s="93"/>
      <c r="CM243" s="93"/>
      <c r="CN243" s="93"/>
      <c r="CO243" s="93"/>
      <c r="CP243" s="93"/>
      <c r="CQ243" s="93"/>
      <c r="CR243" s="214"/>
      <c r="CS243" s="20"/>
      <c r="CT243" s="25"/>
      <c r="CU243" s="19"/>
      <c r="CV243" s="93"/>
      <c r="CW243" s="93"/>
      <c r="CX243" s="93"/>
      <c r="CY243" s="93"/>
      <c r="CZ243" s="93"/>
      <c r="DA243" s="93"/>
      <c r="DB243" s="20"/>
      <c r="DC243" s="25"/>
      <c r="DD243" s="785">
        <v>52018</v>
      </c>
      <c r="DE243" s="19"/>
      <c r="DF243" s="20"/>
      <c r="DG243" s="25"/>
      <c r="DH243" s="19"/>
      <c r="DI243" s="20"/>
      <c r="DJ243" s="25"/>
      <c r="DK243" s="19"/>
      <c r="DL243" s="20"/>
      <c r="DM243" s="19"/>
      <c r="DN243" s="20"/>
      <c r="DO243" s="25"/>
      <c r="DP243" s="19"/>
      <c r="DQ243" s="93"/>
      <c r="DR243" s="20"/>
      <c r="DS243" s="25"/>
      <c r="DT243" s="19"/>
      <c r="DU243" s="93"/>
      <c r="DV243" s="20"/>
      <c r="DW243" s="25"/>
      <c r="DX243" s="19"/>
      <c r="DY243" s="20"/>
      <c r="DZ243" s="25"/>
      <c r="EA243" s="19"/>
      <c r="EB243" s="93"/>
      <c r="EC243" s="93"/>
      <c r="ED243" s="93"/>
      <c r="EE243" s="20"/>
      <c r="EF243" s="25"/>
      <c r="EG243" s="19"/>
      <c r="EH243" s="93"/>
      <c r="EI243" s="93"/>
      <c r="EJ243" s="93"/>
      <c r="EK243" s="20"/>
      <c r="EL243" s="25"/>
      <c r="EM243" s="19"/>
      <c r="EN243" s="93"/>
      <c r="EO243" s="93"/>
      <c r="EP243" s="93"/>
      <c r="EQ243" s="93"/>
      <c r="ER243" s="93"/>
      <c r="ES243" s="93"/>
      <c r="ET243" s="93"/>
      <c r="EU243" s="93"/>
      <c r="EV243" s="20"/>
      <c r="EW243" s="25"/>
      <c r="EX243" s="915"/>
      <c r="EY243" s="916"/>
      <c r="EZ243" s="916"/>
      <c r="FA243" s="916"/>
      <c r="FB243" s="916"/>
      <c r="FC243" s="916"/>
      <c r="FD243" s="916"/>
      <c r="FE243" s="916"/>
      <c r="FF243" s="916"/>
      <c r="FG243" s="917"/>
      <c r="FH243" s="25"/>
      <c r="FI243" s="848">
        <v>52018</v>
      </c>
      <c r="FJ243" s="19"/>
      <c r="FK243" s="93"/>
      <c r="FL243" s="20"/>
      <c r="FM243" s="25"/>
      <c r="FN243" s="19"/>
      <c r="FO243" s="93"/>
      <c r="FP243" s="93"/>
      <c r="FQ243" s="93"/>
      <c r="FR243" s="93"/>
      <c r="FS243" s="93"/>
      <c r="FT243" s="93"/>
      <c r="FU243" s="93"/>
      <c r="FV243" s="93"/>
      <c r="FW243" s="917"/>
      <c r="FX243" s="25"/>
      <c r="FY243" s="916"/>
      <c r="FZ243" s="916"/>
      <c r="GA243" s="916"/>
      <c r="GB243" s="916"/>
      <c r="GC243" s="916"/>
      <c r="GD243" s="916"/>
      <c r="GE243" s="916"/>
      <c r="GF243" s="916"/>
      <c r="GG243" s="916"/>
      <c r="GH243" s="916"/>
      <c r="GI243" s="917"/>
      <c r="GJ243" s="25"/>
      <c r="GK243" s="19"/>
      <c r="GL243" s="20"/>
      <c r="GM243" s="25"/>
      <c r="GN243" s="19"/>
      <c r="GO243" s="20"/>
      <c r="GP243" s="25"/>
      <c r="GQ243" s="19"/>
      <c r="GR243" s="20"/>
      <c r="GS243" s="25"/>
      <c r="GT243" s="848">
        <v>52018</v>
      </c>
      <c r="GU243" s="19"/>
      <c r="GV243" s="93"/>
      <c r="GW243" s="93"/>
      <c r="GX243" s="93"/>
      <c r="GY243" s="93"/>
      <c r="GZ243" s="93"/>
      <c r="HA243" s="93"/>
      <c r="HB243" s="93"/>
      <c r="HC243" s="93"/>
      <c r="HD243" s="93"/>
      <c r="HE243" s="93"/>
      <c r="HF243" s="93"/>
      <c r="HG243" s="93"/>
      <c r="HH243" s="93"/>
      <c r="HI243" s="93"/>
      <c r="HJ243" s="93"/>
      <c r="HK243" s="93"/>
      <c r="HL243" s="93"/>
      <c r="HM243" s="93"/>
      <c r="HN243" s="93"/>
      <c r="HO243" s="93"/>
      <c r="HP243" s="93"/>
      <c r="HQ243" s="93"/>
      <c r="HR243" s="93"/>
      <c r="HS243" s="93"/>
      <c r="HT243" s="93"/>
      <c r="HU243" s="93"/>
      <c r="HV243" s="93"/>
      <c r="HW243" s="93"/>
      <c r="HX243" s="93"/>
      <c r="HY243" s="93"/>
      <c r="HZ243" s="93"/>
      <c r="IA243" s="93"/>
      <c r="IB243" s="93"/>
      <c r="IC243" s="93"/>
      <c r="ID243" s="93"/>
      <c r="IE243" s="93"/>
      <c r="IF243" s="93"/>
      <c r="IG243" s="93"/>
      <c r="IH243" s="93"/>
      <c r="II243" s="93"/>
      <c r="IJ243" s="93"/>
      <c r="IK243" s="93"/>
      <c r="IL243" s="93"/>
      <c r="IM243" s="93"/>
      <c r="IN243" s="93"/>
      <c r="IO243" s="93"/>
      <c r="IP243" s="93"/>
      <c r="IQ243" s="93"/>
      <c r="IR243" s="93"/>
      <c r="IS243" s="93"/>
      <c r="IT243" s="93"/>
      <c r="IU243" s="93"/>
      <c r="IV243" s="93"/>
      <c r="IW243" s="848">
        <v>52018</v>
      </c>
      <c r="IX243" s="93"/>
      <c r="IY243" s="93"/>
      <c r="IZ243" s="93"/>
      <c r="JA243" s="93"/>
      <c r="JB243" s="93"/>
      <c r="JC243" s="93"/>
      <c r="JD243" s="93"/>
      <c r="JE243" s="93"/>
      <c r="JF243" s="93"/>
      <c r="JG243" s="93"/>
      <c r="JH243" s="93"/>
      <c r="JI243" s="93"/>
      <c r="JJ243" s="93"/>
      <c r="JK243" s="93"/>
      <c r="JL243" s="93"/>
      <c r="JM243" s="93"/>
      <c r="JN243" s="93"/>
      <c r="JO243" s="93"/>
      <c r="JP243" s="93"/>
      <c r="JQ243" s="93"/>
      <c r="JR243" s="93"/>
      <c r="JS243" s="93"/>
      <c r="JT243" s="20"/>
      <c r="JU243" s="29"/>
      <c r="JV243" s="19"/>
      <c r="JW243" s="93"/>
      <c r="JX243" s="93"/>
      <c r="JY243" s="93"/>
      <c r="JZ243" s="93"/>
      <c r="KA243" s="93"/>
      <c r="KB243" s="93"/>
      <c r="KC243" s="93"/>
      <c r="KD243" s="93"/>
      <c r="KE243" s="93"/>
      <c r="KF243" s="93"/>
      <c r="KG243" s="93"/>
      <c r="KH243" s="93"/>
      <c r="KI243" s="93"/>
      <c r="KJ243" s="93"/>
      <c r="KK243" s="93"/>
      <c r="KL243" s="93"/>
      <c r="KM243" s="93"/>
      <c r="KN243" s="93"/>
      <c r="KO243" s="93"/>
      <c r="KP243" s="93"/>
      <c r="KQ243" s="93"/>
      <c r="KR243" s="93"/>
      <c r="KS243" s="93"/>
      <c r="KT243" s="93"/>
      <c r="KU243" s="93"/>
      <c r="KV243" s="93"/>
      <c r="KW243" s="20"/>
      <c r="KX243" s="29"/>
      <c r="KY243" s="19"/>
      <c r="KZ243" s="93"/>
      <c r="LA243" s="93"/>
      <c r="LB243" s="93"/>
      <c r="LC243" s="93"/>
      <c r="LD243" s="93"/>
      <c r="LE243" s="93"/>
      <c r="LF243" s="93"/>
      <c r="LG243" s="93"/>
      <c r="LH243" s="93"/>
      <c r="LI243" s="93"/>
      <c r="LJ243" s="93"/>
      <c r="LK243" s="93"/>
      <c r="LL243" s="93"/>
      <c r="LM243" s="93"/>
      <c r="LN243" s="93"/>
      <c r="LO243" s="93"/>
      <c r="LP243" s="93"/>
      <c r="LQ243" s="93"/>
      <c r="LR243" s="93"/>
      <c r="LS243" s="93"/>
      <c r="LT243" s="93"/>
      <c r="LU243" s="93"/>
      <c r="LV243" s="93"/>
      <c r="LW243" s="93"/>
      <c r="LX243" s="93"/>
      <c r="LY243" s="93"/>
      <c r="LZ243" s="93"/>
      <c r="MA243" s="93"/>
      <c r="MB243" s="93"/>
      <c r="MC243" s="93"/>
      <c r="MD243" s="93"/>
      <c r="ME243" s="93"/>
      <c r="MF243" s="93"/>
      <c r="MG243" s="93"/>
      <c r="MH243" s="20"/>
      <c r="MI243" s="29"/>
      <c r="MJ243" s="29" t="str">
        <f t="shared" si="97"/>
        <v>Trimestre 22042</v>
      </c>
      <c r="MK243" s="848">
        <v>52018</v>
      </c>
      <c r="ML243" s="1991"/>
      <c r="MM243" s="1991"/>
      <c r="MN243" s="1991"/>
      <c r="MO243" s="1991"/>
      <c r="MP243" s="1991"/>
      <c r="MQ243" s="1991"/>
      <c r="MR243" s="1991"/>
      <c r="MS243" s="1991"/>
      <c r="MT243" s="1991"/>
      <c r="MU243" s="1991"/>
      <c r="MV243" s="1991"/>
      <c r="MW243" s="1991"/>
      <c r="MX243" s="1991"/>
      <c r="MY243" s="1991"/>
      <c r="MZ243" s="1991"/>
      <c r="NA243" s="1991"/>
      <c r="NB243" s="1991"/>
      <c r="NC243" s="1991"/>
      <c r="ND243" s="1991"/>
      <c r="NE243" s="1991"/>
      <c r="NF243" s="1991"/>
      <c r="NG243" s="1991"/>
      <c r="NH243" s="1991"/>
      <c r="NI243" s="1991"/>
      <c r="NJ243" s="1991"/>
      <c r="NK243" s="1991"/>
      <c r="NL243" s="29"/>
    </row>
    <row r="244" spans="1:376">
      <c r="A244" s="41">
        <f t="shared" si="95"/>
        <v>2042</v>
      </c>
      <c r="B244" s="785">
        <v>52110</v>
      </c>
      <c r="C244" s="19"/>
      <c r="D244" s="93"/>
      <c r="E244" s="93"/>
      <c r="F244" s="93"/>
      <c r="G244" s="93"/>
      <c r="H244" s="93"/>
      <c r="I244" s="93"/>
      <c r="J244" s="93"/>
      <c r="K244" s="93"/>
      <c r="L244" s="93"/>
      <c r="M244" s="20"/>
      <c r="N244" s="25"/>
      <c r="O244" s="889">
        <f t="shared" si="94"/>
        <v>2042</v>
      </c>
      <c r="P244" s="29" t="str">
        <f t="shared" si="96"/>
        <v>Trimestre 32042</v>
      </c>
      <c r="Q244" s="848">
        <v>52110</v>
      </c>
      <c r="R244" s="733"/>
      <c r="S244" s="570"/>
      <c r="T244" s="570"/>
      <c r="U244" s="734"/>
      <c r="V244" s="25"/>
      <c r="W244" s="19"/>
      <c r="X244" s="93"/>
      <c r="Y244" s="93"/>
      <c r="Z244" s="93"/>
      <c r="AA244" s="93"/>
      <c r="AB244" s="93"/>
      <c r="AC244" s="93"/>
      <c r="AD244" s="93"/>
      <c r="AE244" s="20"/>
      <c r="AF244" s="25"/>
      <c r="AG244" s="19"/>
      <c r="AH244" s="93"/>
      <c r="AI244" s="93"/>
      <c r="AJ244" s="93"/>
      <c r="AK244" s="93"/>
      <c r="AL244" s="93"/>
      <c r="AM244" s="93"/>
      <c r="AN244" s="20"/>
      <c r="AO244" s="19"/>
      <c r="AP244" s="93"/>
      <c r="AQ244" s="93"/>
      <c r="AR244" s="93"/>
      <c r="AS244" s="20"/>
      <c r="AT244" s="19"/>
      <c r="AU244" s="93"/>
      <c r="AV244" s="20"/>
      <c r="AW244" s="19"/>
      <c r="AX244" s="93"/>
      <c r="AY244" s="93"/>
      <c r="AZ244" s="93"/>
      <c r="BA244" s="93"/>
      <c r="BB244" s="93"/>
      <c r="BC244" s="20"/>
      <c r="BD244" s="19"/>
      <c r="BE244" s="93"/>
      <c r="BF244" s="93"/>
      <c r="BG244" s="93"/>
      <c r="BH244" s="93"/>
      <c r="BI244" s="93"/>
      <c r="BJ244" s="93"/>
      <c r="BK244" s="20"/>
      <c r="BL244" s="19"/>
      <c r="BM244" s="93"/>
      <c r="BN244" s="93"/>
      <c r="BO244" s="93"/>
      <c r="BP244" s="93"/>
      <c r="BQ244" s="20"/>
      <c r="BR244" s="19"/>
      <c r="BS244" s="93"/>
      <c r="BT244" s="93"/>
      <c r="BU244" s="20"/>
      <c r="BV244" s="19"/>
      <c r="BW244" s="93"/>
      <c r="BX244" s="93"/>
      <c r="BY244" s="93"/>
      <c r="BZ244" s="93"/>
      <c r="CA244" s="93"/>
      <c r="CB244" s="20"/>
      <c r="CC244" s="25"/>
      <c r="CD244" s="19"/>
      <c r="CE244" s="93"/>
      <c r="CF244" s="20"/>
      <c r="CG244" s="25"/>
      <c r="CH244" s="19"/>
      <c r="CI244" s="93"/>
      <c r="CJ244" s="93"/>
      <c r="CK244" s="93"/>
      <c r="CL244" s="93"/>
      <c r="CM244" s="93"/>
      <c r="CN244" s="93"/>
      <c r="CO244" s="93"/>
      <c r="CP244" s="93"/>
      <c r="CQ244" s="93"/>
      <c r="CR244" s="214"/>
      <c r="CS244" s="20"/>
      <c r="CT244" s="25"/>
      <c r="CU244" s="19"/>
      <c r="CV244" s="93"/>
      <c r="CW244" s="93"/>
      <c r="CX244" s="93"/>
      <c r="CY244" s="93"/>
      <c r="CZ244" s="93"/>
      <c r="DA244" s="93"/>
      <c r="DB244" s="20"/>
      <c r="DC244" s="25"/>
      <c r="DD244" s="785">
        <v>52110</v>
      </c>
      <c r="DE244" s="19"/>
      <c r="DF244" s="20"/>
      <c r="DG244" s="25"/>
      <c r="DH244" s="19"/>
      <c r="DI244" s="20"/>
      <c r="DJ244" s="25"/>
      <c r="DK244" s="19"/>
      <c r="DL244" s="20"/>
      <c r="DM244" s="19"/>
      <c r="DN244" s="20"/>
      <c r="DO244" s="25"/>
      <c r="DP244" s="19"/>
      <c r="DQ244" s="93"/>
      <c r="DR244" s="20"/>
      <c r="DS244" s="25"/>
      <c r="DT244" s="19"/>
      <c r="DU244" s="93"/>
      <c r="DV244" s="20"/>
      <c r="DW244" s="25"/>
      <c r="DX244" s="19"/>
      <c r="DY244" s="20"/>
      <c r="DZ244" s="25"/>
      <c r="EA244" s="19"/>
      <c r="EB244" s="93"/>
      <c r="EC244" s="93"/>
      <c r="ED244" s="93"/>
      <c r="EE244" s="20"/>
      <c r="EF244" s="25"/>
      <c r="EG244" s="19"/>
      <c r="EH244" s="93"/>
      <c r="EI244" s="93"/>
      <c r="EJ244" s="93"/>
      <c r="EK244" s="20"/>
      <c r="EL244" s="25"/>
      <c r="EM244" s="19"/>
      <c r="EN244" s="93"/>
      <c r="EO244" s="93"/>
      <c r="EP244" s="93"/>
      <c r="EQ244" s="93"/>
      <c r="ER244" s="93"/>
      <c r="ES244" s="93"/>
      <c r="ET244" s="93"/>
      <c r="EU244" s="93"/>
      <c r="EV244" s="20"/>
      <c r="EW244" s="25"/>
      <c r="EX244" s="915"/>
      <c r="EY244" s="916"/>
      <c r="EZ244" s="916"/>
      <c r="FA244" s="916"/>
      <c r="FB244" s="916"/>
      <c r="FC244" s="916"/>
      <c r="FD244" s="916"/>
      <c r="FE244" s="916"/>
      <c r="FF244" s="916"/>
      <c r="FG244" s="917"/>
      <c r="FH244" s="25"/>
      <c r="FI244" s="848">
        <v>52110</v>
      </c>
      <c r="FJ244" s="19"/>
      <c r="FK244" s="93"/>
      <c r="FL244" s="20"/>
      <c r="FM244" s="25"/>
      <c r="FN244" s="19"/>
      <c r="FO244" s="93"/>
      <c r="FP244" s="93"/>
      <c r="FQ244" s="93"/>
      <c r="FR244" s="93"/>
      <c r="FS244" s="93"/>
      <c r="FT244" s="93"/>
      <c r="FU244" s="93"/>
      <c r="FV244" s="93"/>
      <c r="FW244" s="917"/>
      <c r="FX244" s="25"/>
      <c r="FY244" s="916"/>
      <c r="FZ244" s="916"/>
      <c r="GA244" s="916"/>
      <c r="GB244" s="916"/>
      <c r="GC244" s="916"/>
      <c r="GD244" s="916"/>
      <c r="GE244" s="916"/>
      <c r="GF244" s="916"/>
      <c r="GG244" s="916"/>
      <c r="GH244" s="916"/>
      <c r="GI244" s="917"/>
      <c r="GJ244" s="25"/>
      <c r="GK244" s="19"/>
      <c r="GL244" s="20"/>
      <c r="GM244" s="25"/>
      <c r="GN244" s="19"/>
      <c r="GO244" s="20"/>
      <c r="GP244" s="25"/>
      <c r="GQ244" s="19"/>
      <c r="GR244" s="20"/>
      <c r="GS244" s="25"/>
      <c r="GT244" s="848">
        <v>52110</v>
      </c>
      <c r="GU244" s="19"/>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848">
        <v>52110</v>
      </c>
      <c r="IX244" s="93"/>
      <c r="IY244" s="93"/>
      <c r="IZ244" s="93"/>
      <c r="JA244" s="93"/>
      <c r="JB244" s="93"/>
      <c r="JC244" s="93"/>
      <c r="JD244" s="93"/>
      <c r="JE244" s="93"/>
      <c r="JF244" s="93"/>
      <c r="JG244" s="93"/>
      <c r="JH244" s="93"/>
      <c r="JI244" s="93"/>
      <c r="JJ244" s="93"/>
      <c r="JK244" s="93"/>
      <c r="JL244" s="93"/>
      <c r="JM244" s="93"/>
      <c r="JN244" s="93"/>
      <c r="JO244" s="93"/>
      <c r="JP244" s="93"/>
      <c r="JQ244" s="93"/>
      <c r="JR244" s="93"/>
      <c r="JS244" s="93"/>
      <c r="JT244" s="20"/>
      <c r="JU244" s="29"/>
      <c r="JV244" s="19"/>
      <c r="JW244" s="93"/>
      <c r="JX244" s="93"/>
      <c r="JY244" s="93"/>
      <c r="JZ244" s="93"/>
      <c r="KA244" s="93"/>
      <c r="KB244" s="93"/>
      <c r="KC244" s="93"/>
      <c r="KD244" s="93"/>
      <c r="KE244" s="93"/>
      <c r="KF244" s="93"/>
      <c r="KG244" s="93"/>
      <c r="KH244" s="93"/>
      <c r="KI244" s="93"/>
      <c r="KJ244" s="93"/>
      <c r="KK244" s="93"/>
      <c r="KL244" s="93"/>
      <c r="KM244" s="93"/>
      <c r="KN244" s="93"/>
      <c r="KO244" s="93"/>
      <c r="KP244" s="93"/>
      <c r="KQ244" s="93"/>
      <c r="KR244" s="93"/>
      <c r="KS244" s="93"/>
      <c r="KT244" s="93"/>
      <c r="KU244" s="93"/>
      <c r="KV244" s="93"/>
      <c r="KW244" s="20"/>
      <c r="KX244" s="29"/>
      <c r="KY244" s="19"/>
      <c r="KZ244" s="93"/>
      <c r="LA244" s="93"/>
      <c r="LB244" s="93"/>
      <c r="LC244" s="93"/>
      <c r="LD244" s="93"/>
      <c r="LE244" s="93"/>
      <c r="LF244" s="93"/>
      <c r="LG244" s="93"/>
      <c r="LH244" s="93"/>
      <c r="LI244" s="93"/>
      <c r="LJ244" s="93"/>
      <c r="LK244" s="93"/>
      <c r="LL244" s="93"/>
      <c r="LM244" s="93"/>
      <c r="LN244" s="93"/>
      <c r="LO244" s="93"/>
      <c r="LP244" s="93"/>
      <c r="LQ244" s="93"/>
      <c r="LR244" s="93"/>
      <c r="LS244" s="93"/>
      <c r="LT244" s="93"/>
      <c r="LU244" s="93"/>
      <c r="LV244" s="93"/>
      <c r="LW244" s="93"/>
      <c r="LX244" s="93"/>
      <c r="LY244" s="93"/>
      <c r="LZ244" s="93"/>
      <c r="MA244" s="93"/>
      <c r="MB244" s="93"/>
      <c r="MC244" s="93"/>
      <c r="MD244" s="93"/>
      <c r="ME244" s="93"/>
      <c r="MF244" s="93"/>
      <c r="MG244" s="93"/>
      <c r="MH244" s="20"/>
      <c r="MI244" s="29"/>
      <c r="MJ244" s="29" t="str">
        <f t="shared" si="97"/>
        <v>Trimestre 32042</v>
      </c>
      <c r="MK244" s="848">
        <v>52110</v>
      </c>
      <c r="ML244" s="1991"/>
      <c r="MM244" s="1991"/>
      <c r="MN244" s="1991"/>
      <c r="MO244" s="1991"/>
      <c r="MP244" s="1991"/>
      <c r="MQ244" s="1991"/>
      <c r="MR244" s="1991"/>
      <c r="MS244" s="1991"/>
      <c r="MT244" s="1991"/>
      <c r="MU244" s="1991"/>
      <c r="MV244" s="1991"/>
      <c r="MW244" s="1991"/>
      <c r="MX244" s="1991"/>
      <c r="MY244" s="1991"/>
      <c r="MZ244" s="1991"/>
      <c r="NA244" s="1991"/>
      <c r="NB244" s="1991"/>
      <c r="NC244" s="1991"/>
      <c r="ND244" s="1991"/>
      <c r="NE244" s="1991"/>
      <c r="NF244" s="1991"/>
      <c r="NG244" s="1991"/>
      <c r="NH244" s="1991"/>
      <c r="NI244" s="1991"/>
      <c r="NJ244" s="1991"/>
      <c r="NK244" s="1991"/>
      <c r="NL244" s="29"/>
    </row>
    <row r="245" spans="1:376">
      <c r="A245" s="41">
        <f t="shared" si="95"/>
        <v>2042</v>
      </c>
      <c r="B245" s="785">
        <v>52201</v>
      </c>
      <c r="C245" s="19"/>
      <c r="D245" s="93"/>
      <c r="E245" s="93"/>
      <c r="F245" s="93"/>
      <c r="G245" s="93"/>
      <c r="H245" s="93"/>
      <c r="I245" s="93"/>
      <c r="J245" s="93"/>
      <c r="K245" s="93"/>
      <c r="L245" s="93"/>
      <c r="M245" s="20"/>
      <c r="N245" s="25"/>
      <c r="O245" s="889">
        <f t="shared" si="94"/>
        <v>2042</v>
      </c>
      <c r="P245" s="29" t="str">
        <f t="shared" si="96"/>
        <v>Trimestre 42042</v>
      </c>
      <c r="Q245" s="848">
        <v>52201</v>
      </c>
      <c r="R245" s="733"/>
      <c r="S245" s="570"/>
      <c r="T245" s="570"/>
      <c r="U245" s="734"/>
      <c r="V245" s="25"/>
      <c r="W245" s="19"/>
      <c r="X245" s="93"/>
      <c r="Y245" s="93"/>
      <c r="Z245" s="93"/>
      <c r="AA245" s="93"/>
      <c r="AB245" s="93"/>
      <c r="AC245" s="93"/>
      <c r="AD245" s="93"/>
      <c r="AE245" s="20"/>
      <c r="AF245" s="25"/>
      <c r="AG245" s="19"/>
      <c r="AH245" s="93"/>
      <c r="AI245" s="93"/>
      <c r="AJ245" s="93"/>
      <c r="AK245" s="93"/>
      <c r="AL245" s="93"/>
      <c r="AM245" s="93"/>
      <c r="AN245" s="20"/>
      <c r="AO245" s="19"/>
      <c r="AP245" s="93"/>
      <c r="AQ245" s="93"/>
      <c r="AR245" s="93"/>
      <c r="AS245" s="20"/>
      <c r="AT245" s="19"/>
      <c r="AU245" s="93"/>
      <c r="AV245" s="20"/>
      <c r="AW245" s="19"/>
      <c r="AX245" s="93"/>
      <c r="AY245" s="93"/>
      <c r="AZ245" s="93"/>
      <c r="BA245" s="93"/>
      <c r="BB245" s="93"/>
      <c r="BC245" s="20"/>
      <c r="BD245" s="19"/>
      <c r="BE245" s="93"/>
      <c r="BF245" s="93"/>
      <c r="BG245" s="93"/>
      <c r="BH245" s="93"/>
      <c r="BI245" s="93"/>
      <c r="BJ245" s="93"/>
      <c r="BK245" s="20"/>
      <c r="BL245" s="19"/>
      <c r="BM245" s="93"/>
      <c r="BN245" s="93"/>
      <c r="BO245" s="93"/>
      <c r="BP245" s="93"/>
      <c r="BQ245" s="20"/>
      <c r="BR245" s="19"/>
      <c r="BS245" s="93"/>
      <c r="BT245" s="93"/>
      <c r="BU245" s="20"/>
      <c r="BV245" s="19"/>
      <c r="BW245" s="93"/>
      <c r="BX245" s="93"/>
      <c r="BY245" s="93"/>
      <c r="BZ245" s="93"/>
      <c r="CA245" s="93"/>
      <c r="CB245" s="20"/>
      <c r="CC245" s="25"/>
      <c r="CD245" s="19"/>
      <c r="CE245" s="93"/>
      <c r="CF245" s="20"/>
      <c r="CG245" s="25"/>
      <c r="CH245" s="19"/>
      <c r="CI245" s="93"/>
      <c r="CJ245" s="93"/>
      <c r="CK245" s="93"/>
      <c r="CL245" s="93"/>
      <c r="CM245" s="93"/>
      <c r="CN245" s="93"/>
      <c r="CO245" s="93"/>
      <c r="CP245" s="93"/>
      <c r="CQ245" s="93"/>
      <c r="CR245" s="214"/>
      <c r="CS245" s="20"/>
      <c r="CT245" s="25"/>
      <c r="CU245" s="19"/>
      <c r="CV245" s="93"/>
      <c r="CW245" s="93"/>
      <c r="CX245" s="93"/>
      <c r="CY245" s="93"/>
      <c r="CZ245" s="93"/>
      <c r="DA245" s="93"/>
      <c r="DB245" s="20"/>
      <c r="DC245" s="25"/>
      <c r="DD245" s="785">
        <v>52201</v>
      </c>
      <c r="DE245" s="19"/>
      <c r="DF245" s="20"/>
      <c r="DG245" s="25"/>
      <c r="DH245" s="19"/>
      <c r="DI245" s="20"/>
      <c r="DJ245" s="25"/>
      <c r="DK245" s="19"/>
      <c r="DL245" s="20"/>
      <c r="DM245" s="19"/>
      <c r="DN245" s="20"/>
      <c r="DO245" s="25"/>
      <c r="DP245" s="19"/>
      <c r="DQ245" s="93"/>
      <c r="DR245" s="20"/>
      <c r="DS245" s="25"/>
      <c r="DT245" s="19"/>
      <c r="DU245" s="93"/>
      <c r="DV245" s="20"/>
      <c r="DW245" s="25"/>
      <c r="DX245" s="19"/>
      <c r="DY245" s="20"/>
      <c r="DZ245" s="25"/>
      <c r="EA245" s="19"/>
      <c r="EB245" s="93"/>
      <c r="EC245" s="93"/>
      <c r="ED245" s="93"/>
      <c r="EE245" s="20"/>
      <c r="EF245" s="25"/>
      <c r="EG245" s="19"/>
      <c r="EH245" s="93"/>
      <c r="EI245" s="93"/>
      <c r="EJ245" s="93"/>
      <c r="EK245" s="20"/>
      <c r="EL245" s="25"/>
      <c r="EM245" s="19"/>
      <c r="EN245" s="93"/>
      <c r="EO245" s="93"/>
      <c r="EP245" s="93"/>
      <c r="EQ245" s="93"/>
      <c r="ER245" s="93"/>
      <c r="ES245" s="93"/>
      <c r="ET245" s="93"/>
      <c r="EU245" s="93"/>
      <c r="EV245" s="20"/>
      <c r="EW245" s="25"/>
      <c r="EX245" s="915"/>
      <c r="EY245" s="916"/>
      <c r="EZ245" s="916"/>
      <c r="FA245" s="916"/>
      <c r="FB245" s="916"/>
      <c r="FC245" s="916"/>
      <c r="FD245" s="916"/>
      <c r="FE245" s="916"/>
      <c r="FF245" s="916"/>
      <c r="FG245" s="917"/>
      <c r="FH245" s="25"/>
      <c r="FI245" s="848">
        <v>52201</v>
      </c>
      <c r="FJ245" s="19"/>
      <c r="FK245" s="93"/>
      <c r="FL245" s="20"/>
      <c r="FM245" s="25"/>
      <c r="FN245" s="19"/>
      <c r="FO245" s="93"/>
      <c r="FP245" s="93"/>
      <c r="FQ245" s="93"/>
      <c r="FR245" s="93"/>
      <c r="FS245" s="93"/>
      <c r="FT245" s="93"/>
      <c r="FU245" s="93"/>
      <c r="FV245" s="93"/>
      <c r="FW245" s="917"/>
      <c r="FX245" s="25"/>
      <c r="FY245" s="916"/>
      <c r="FZ245" s="916"/>
      <c r="GA245" s="916"/>
      <c r="GB245" s="916"/>
      <c r="GC245" s="916"/>
      <c r="GD245" s="916"/>
      <c r="GE245" s="916"/>
      <c r="GF245" s="916"/>
      <c r="GG245" s="916"/>
      <c r="GH245" s="916"/>
      <c r="GI245" s="917"/>
      <c r="GJ245" s="25"/>
      <c r="GK245" s="19"/>
      <c r="GL245" s="20"/>
      <c r="GM245" s="25"/>
      <c r="GN245" s="19"/>
      <c r="GO245" s="20"/>
      <c r="GP245" s="25"/>
      <c r="GQ245" s="19"/>
      <c r="GR245" s="20"/>
      <c r="GS245" s="25"/>
      <c r="GT245" s="848">
        <v>52201</v>
      </c>
      <c r="GU245" s="19"/>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848">
        <v>52201</v>
      </c>
      <c r="IX245" s="93"/>
      <c r="IY245" s="93"/>
      <c r="IZ245" s="93"/>
      <c r="JA245" s="93"/>
      <c r="JB245" s="93"/>
      <c r="JC245" s="93"/>
      <c r="JD245" s="93"/>
      <c r="JE245" s="93"/>
      <c r="JF245" s="93"/>
      <c r="JG245" s="93"/>
      <c r="JH245" s="93"/>
      <c r="JI245" s="93"/>
      <c r="JJ245" s="93"/>
      <c r="JK245" s="93"/>
      <c r="JL245" s="93"/>
      <c r="JM245" s="93"/>
      <c r="JN245" s="93"/>
      <c r="JO245" s="93"/>
      <c r="JP245" s="93"/>
      <c r="JQ245" s="93"/>
      <c r="JR245" s="93"/>
      <c r="JS245" s="93"/>
      <c r="JT245" s="20"/>
      <c r="JU245" s="29"/>
      <c r="JV245" s="19"/>
      <c r="JW245" s="93"/>
      <c r="JX245" s="93"/>
      <c r="JY245" s="93"/>
      <c r="JZ245" s="93"/>
      <c r="KA245" s="93"/>
      <c r="KB245" s="93"/>
      <c r="KC245" s="93"/>
      <c r="KD245" s="93"/>
      <c r="KE245" s="93"/>
      <c r="KF245" s="93"/>
      <c r="KG245" s="93"/>
      <c r="KH245" s="93"/>
      <c r="KI245" s="93"/>
      <c r="KJ245" s="93"/>
      <c r="KK245" s="93"/>
      <c r="KL245" s="93"/>
      <c r="KM245" s="93"/>
      <c r="KN245" s="93"/>
      <c r="KO245" s="93"/>
      <c r="KP245" s="93"/>
      <c r="KQ245" s="93"/>
      <c r="KR245" s="93"/>
      <c r="KS245" s="93"/>
      <c r="KT245" s="93"/>
      <c r="KU245" s="93"/>
      <c r="KV245" s="93"/>
      <c r="KW245" s="20"/>
      <c r="KX245" s="29"/>
      <c r="KY245" s="19"/>
      <c r="KZ245" s="93"/>
      <c r="LA245" s="93"/>
      <c r="LB245" s="93"/>
      <c r="LC245" s="93"/>
      <c r="LD245" s="93"/>
      <c r="LE245" s="93"/>
      <c r="LF245" s="93"/>
      <c r="LG245" s="93"/>
      <c r="LH245" s="93"/>
      <c r="LI245" s="93"/>
      <c r="LJ245" s="93"/>
      <c r="LK245" s="93"/>
      <c r="LL245" s="93"/>
      <c r="LM245" s="93"/>
      <c r="LN245" s="93"/>
      <c r="LO245" s="93"/>
      <c r="LP245" s="93"/>
      <c r="LQ245" s="93"/>
      <c r="LR245" s="93"/>
      <c r="LS245" s="93"/>
      <c r="LT245" s="93"/>
      <c r="LU245" s="93"/>
      <c r="LV245" s="93"/>
      <c r="LW245" s="93"/>
      <c r="LX245" s="93"/>
      <c r="LY245" s="93"/>
      <c r="LZ245" s="93"/>
      <c r="MA245" s="93"/>
      <c r="MB245" s="93"/>
      <c r="MC245" s="93"/>
      <c r="MD245" s="93"/>
      <c r="ME245" s="93"/>
      <c r="MF245" s="93"/>
      <c r="MG245" s="93"/>
      <c r="MH245" s="20"/>
      <c r="MI245" s="29"/>
      <c r="MJ245" s="29" t="str">
        <f t="shared" si="97"/>
        <v>Trimestre 42042</v>
      </c>
      <c r="MK245" s="848">
        <v>52201</v>
      </c>
      <c r="ML245" s="1991"/>
      <c r="MM245" s="1991"/>
      <c r="MN245" s="1991"/>
      <c r="MO245" s="1991"/>
      <c r="MP245" s="1991"/>
      <c r="MQ245" s="1991"/>
      <c r="MR245" s="1991"/>
      <c r="MS245" s="1991"/>
      <c r="MT245" s="1991"/>
      <c r="MU245" s="1991"/>
      <c r="MV245" s="1991"/>
      <c r="MW245" s="1991"/>
      <c r="MX245" s="1991"/>
      <c r="MY245" s="1991"/>
      <c r="MZ245" s="1991"/>
      <c r="NA245" s="1991"/>
      <c r="NB245" s="1991"/>
      <c r="NC245" s="1991"/>
      <c r="ND245" s="1991"/>
      <c r="NE245" s="1991"/>
      <c r="NF245" s="1991"/>
      <c r="NG245" s="1991"/>
      <c r="NH245" s="1991"/>
      <c r="NI245" s="1991"/>
      <c r="NJ245" s="1991"/>
      <c r="NK245" s="1991"/>
      <c r="NL245" s="29"/>
    </row>
    <row r="246" spans="1:376">
      <c r="A246" s="41">
        <f t="shared" si="95"/>
        <v>2043</v>
      </c>
      <c r="B246" s="785">
        <v>52291</v>
      </c>
      <c r="C246" s="19"/>
      <c r="D246" s="93"/>
      <c r="E246" s="93"/>
      <c r="F246" s="93"/>
      <c r="G246" s="93"/>
      <c r="H246" s="93"/>
      <c r="I246" s="93"/>
      <c r="J246" s="93"/>
      <c r="K246" s="93"/>
      <c r="L246" s="93"/>
      <c r="M246" s="20"/>
      <c r="N246" s="25"/>
      <c r="O246" s="889">
        <f t="shared" si="94"/>
        <v>2043</v>
      </c>
      <c r="P246" s="29" t="str">
        <f t="shared" si="96"/>
        <v>Trimestre 12043</v>
      </c>
      <c r="Q246" s="848">
        <v>52291</v>
      </c>
      <c r="R246" s="733"/>
      <c r="S246" s="570"/>
      <c r="T246" s="570"/>
      <c r="U246" s="734"/>
      <c r="V246" s="25"/>
      <c r="W246" s="19"/>
      <c r="X246" s="93"/>
      <c r="Y246" s="93"/>
      <c r="Z246" s="93"/>
      <c r="AA246" s="93"/>
      <c r="AB246" s="93"/>
      <c r="AC246" s="93"/>
      <c r="AD246" s="93"/>
      <c r="AE246" s="20"/>
      <c r="AF246" s="25"/>
      <c r="AG246" s="19"/>
      <c r="AH246" s="93"/>
      <c r="AI246" s="93"/>
      <c r="AJ246" s="93"/>
      <c r="AK246" s="93"/>
      <c r="AL246" s="93"/>
      <c r="AM246" s="93"/>
      <c r="AN246" s="20"/>
      <c r="AO246" s="19"/>
      <c r="AP246" s="93"/>
      <c r="AQ246" s="93"/>
      <c r="AR246" s="93"/>
      <c r="AS246" s="20"/>
      <c r="AT246" s="19"/>
      <c r="AU246" s="93"/>
      <c r="AV246" s="20"/>
      <c r="AW246" s="19"/>
      <c r="AX246" s="93"/>
      <c r="AY246" s="93"/>
      <c r="AZ246" s="93"/>
      <c r="BA246" s="93"/>
      <c r="BB246" s="93"/>
      <c r="BC246" s="20"/>
      <c r="BD246" s="19"/>
      <c r="BE246" s="93"/>
      <c r="BF246" s="93"/>
      <c r="BG246" s="93"/>
      <c r="BH246" s="93"/>
      <c r="BI246" s="93"/>
      <c r="BJ246" s="93"/>
      <c r="BK246" s="20"/>
      <c r="BL246" s="19"/>
      <c r="BM246" s="93"/>
      <c r="BN246" s="93"/>
      <c r="BO246" s="93"/>
      <c r="BP246" s="93"/>
      <c r="BQ246" s="20"/>
      <c r="BR246" s="19"/>
      <c r="BS246" s="93"/>
      <c r="BT246" s="93"/>
      <c r="BU246" s="20"/>
      <c r="BV246" s="19"/>
      <c r="BW246" s="93"/>
      <c r="BX246" s="93"/>
      <c r="BY246" s="93"/>
      <c r="BZ246" s="93"/>
      <c r="CA246" s="93"/>
      <c r="CB246" s="20"/>
      <c r="CC246" s="25"/>
      <c r="CD246" s="19"/>
      <c r="CE246" s="93"/>
      <c r="CF246" s="20"/>
      <c r="CG246" s="25"/>
      <c r="CH246" s="19"/>
      <c r="CI246" s="93"/>
      <c r="CJ246" s="93"/>
      <c r="CK246" s="93"/>
      <c r="CL246" s="93"/>
      <c r="CM246" s="93"/>
      <c r="CN246" s="93"/>
      <c r="CO246" s="93"/>
      <c r="CP246" s="93"/>
      <c r="CQ246" s="93"/>
      <c r="CR246" s="214"/>
      <c r="CS246" s="20"/>
      <c r="CT246" s="25"/>
      <c r="CU246" s="19"/>
      <c r="CV246" s="93"/>
      <c r="CW246" s="93"/>
      <c r="CX246" s="93"/>
      <c r="CY246" s="93"/>
      <c r="CZ246" s="93"/>
      <c r="DA246" s="93"/>
      <c r="DB246" s="20"/>
      <c r="DC246" s="25"/>
      <c r="DD246" s="785">
        <v>52291</v>
      </c>
      <c r="DE246" s="19"/>
      <c r="DF246" s="20"/>
      <c r="DG246" s="25"/>
      <c r="DH246" s="19"/>
      <c r="DI246" s="20"/>
      <c r="DJ246" s="25"/>
      <c r="DK246" s="19"/>
      <c r="DL246" s="20"/>
      <c r="DM246" s="19"/>
      <c r="DN246" s="20"/>
      <c r="DO246" s="25"/>
      <c r="DP246" s="19"/>
      <c r="DQ246" s="93"/>
      <c r="DR246" s="20"/>
      <c r="DS246" s="25"/>
      <c r="DT246" s="19"/>
      <c r="DU246" s="93"/>
      <c r="DV246" s="20"/>
      <c r="DW246" s="25"/>
      <c r="DX246" s="19"/>
      <c r="DY246" s="20"/>
      <c r="DZ246" s="25"/>
      <c r="EA246" s="19"/>
      <c r="EB246" s="93"/>
      <c r="EC246" s="93"/>
      <c r="ED246" s="93"/>
      <c r="EE246" s="20"/>
      <c r="EF246" s="25"/>
      <c r="EG246" s="19"/>
      <c r="EH246" s="93"/>
      <c r="EI246" s="93"/>
      <c r="EJ246" s="93"/>
      <c r="EK246" s="20"/>
      <c r="EL246" s="25"/>
      <c r="EM246" s="19"/>
      <c r="EN246" s="93"/>
      <c r="EO246" s="93"/>
      <c r="EP246" s="93"/>
      <c r="EQ246" s="93"/>
      <c r="ER246" s="93"/>
      <c r="ES246" s="93"/>
      <c r="ET246" s="93"/>
      <c r="EU246" s="93"/>
      <c r="EV246" s="20"/>
      <c r="EW246" s="25"/>
      <c r="EX246" s="915"/>
      <c r="EY246" s="916"/>
      <c r="EZ246" s="916"/>
      <c r="FA246" s="916"/>
      <c r="FB246" s="916"/>
      <c r="FC246" s="916"/>
      <c r="FD246" s="916"/>
      <c r="FE246" s="916"/>
      <c r="FF246" s="916"/>
      <c r="FG246" s="917"/>
      <c r="FH246" s="25"/>
      <c r="FI246" s="848">
        <v>52291</v>
      </c>
      <c r="FJ246" s="19"/>
      <c r="FK246" s="93"/>
      <c r="FL246" s="20"/>
      <c r="FM246" s="25"/>
      <c r="FN246" s="19"/>
      <c r="FO246" s="93"/>
      <c r="FP246" s="93"/>
      <c r="FQ246" s="93"/>
      <c r="FR246" s="93"/>
      <c r="FS246" s="93"/>
      <c r="FT246" s="93"/>
      <c r="FU246" s="93"/>
      <c r="FV246" s="93"/>
      <c r="FW246" s="917"/>
      <c r="FX246" s="25"/>
      <c r="FY246" s="916"/>
      <c r="FZ246" s="916"/>
      <c r="GA246" s="916"/>
      <c r="GB246" s="916"/>
      <c r="GC246" s="916"/>
      <c r="GD246" s="916"/>
      <c r="GE246" s="916"/>
      <c r="GF246" s="916"/>
      <c r="GG246" s="916"/>
      <c r="GH246" s="916"/>
      <c r="GI246" s="917"/>
      <c r="GJ246" s="25"/>
      <c r="GK246" s="19"/>
      <c r="GL246" s="20"/>
      <c r="GM246" s="25"/>
      <c r="GN246" s="19"/>
      <c r="GO246" s="20"/>
      <c r="GP246" s="25"/>
      <c r="GQ246" s="19"/>
      <c r="GR246" s="20"/>
      <c r="GS246" s="25"/>
      <c r="GT246" s="848">
        <v>52291</v>
      </c>
      <c r="GU246" s="19"/>
      <c r="GV246" s="93"/>
      <c r="GW246" s="93"/>
      <c r="GX246" s="93"/>
      <c r="GY246" s="93"/>
      <c r="GZ246" s="93"/>
      <c r="HA246" s="93"/>
      <c r="HB246" s="93"/>
      <c r="HC246" s="93"/>
      <c r="HD246" s="93"/>
      <c r="HE246" s="93"/>
      <c r="HF246" s="93"/>
      <c r="HG246" s="93"/>
      <c r="HH246" s="93"/>
      <c r="HI246" s="93"/>
      <c r="HJ246" s="93"/>
      <c r="HK246" s="93"/>
      <c r="HL246" s="93"/>
      <c r="HM246" s="93"/>
      <c r="HN246" s="93"/>
      <c r="HO246" s="93"/>
      <c r="HP246" s="93"/>
      <c r="HQ246" s="93"/>
      <c r="HR246" s="93"/>
      <c r="HS246" s="93"/>
      <c r="HT246" s="93"/>
      <c r="HU246" s="93"/>
      <c r="HV246" s="93"/>
      <c r="HW246" s="93"/>
      <c r="HX246" s="93"/>
      <c r="HY246" s="93"/>
      <c r="HZ246" s="93"/>
      <c r="IA246" s="93"/>
      <c r="IB246" s="93"/>
      <c r="IC246" s="93"/>
      <c r="ID246" s="93"/>
      <c r="IE246" s="93"/>
      <c r="IF246" s="93"/>
      <c r="IG246" s="93"/>
      <c r="IH246" s="93"/>
      <c r="II246" s="93"/>
      <c r="IJ246" s="93"/>
      <c r="IK246" s="93"/>
      <c r="IL246" s="93"/>
      <c r="IM246" s="93"/>
      <c r="IN246" s="93"/>
      <c r="IO246" s="93"/>
      <c r="IP246" s="93"/>
      <c r="IQ246" s="93"/>
      <c r="IR246" s="93"/>
      <c r="IS246" s="93"/>
      <c r="IT246" s="93"/>
      <c r="IU246" s="93"/>
      <c r="IV246" s="93"/>
      <c r="IW246" s="848">
        <v>52291</v>
      </c>
      <c r="IX246" s="93"/>
      <c r="IY246" s="93"/>
      <c r="IZ246" s="93"/>
      <c r="JA246" s="93"/>
      <c r="JB246" s="93"/>
      <c r="JC246" s="93"/>
      <c r="JD246" s="93"/>
      <c r="JE246" s="93"/>
      <c r="JF246" s="93"/>
      <c r="JG246" s="93"/>
      <c r="JH246" s="93"/>
      <c r="JI246" s="93"/>
      <c r="JJ246" s="93"/>
      <c r="JK246" s="93"/>
      <c r="JL246" s="93"/>
      <c r="JM246" s="93"/>
      <c r="JN246" s="93"/>
      <c r="JO246" s="93"/>
      <c r="JP246" s="93"/>
      <c r="JQ246" s="93"/>
      <c r="JR246" s="93"/>
      <c r="JS246" s="93"/>
      <c r="JT246" s="20"/>
      <c r="JU246" s="29"/>
      <c r="JV246" s="19"/>
      <c r="JW246" s="93"/>
      <c r="JX246" s="93"/>
      <c r="JY246" s="93"/>
      <c r="JZ246" s="93"/>
      <c r="KA246" s="93"/>
      <c r="KB246" s="93"/>
      <c r="KC246" s="93"/>
      <c r="KD246" s="93"/>
      <c r="KE246" s="93"/>
      <c r="KF246" s="93"/>
      <c r="KG246" s="93"/>
      <c r="KH246" s="93"/>
      <c r="KI246" s="93"/>
      <c r="KJ246" s="93"/>
      <c r="KK246" s="93"/>
      <c r="KL246" s="93"/>
      <c r="KM246" s="93"/>
      <c r="KN246" s="93"/>
      <c r="KO246" s="93"/>
      <c r="KP246" s="93"/>
      <c r="KQ246" s="93"/>
      <c r="KR246" s="93"/>
      <c r="KS246" s="93"/>
      <c r="KT246" s="93"/>
      <c r="KU246" s="93"/>
      <c r="KV246" s="93"/>
      <c r="KW246" s="20"/>
      <c r="KX246" s="29"/>
      <c r="KY246" s="19"/>
      <c r="KZ246" s="93"/>
      <c r="LA246" s="93"/>
      <c r="LB246" s="93"/>
      <c r="LC246" s="93"/>
      <c r="LD246" s="93"/>
      <c r="LE246" s="93"/>
      <c r="LF246" s="93"/>
      <c r="LG246" s="93"/>
      <c r="LH246" s="93"/>
      <c r="LI246" s="93"/>
      <c r="LJ246" s="93"/>
      <c r="LK246" s="93"/>
      <c r="LL246" s="93"/>
      <c r="LM246" s="93"/>
      <c r="LN246" s="93"/>
      <c r="LO246" s="93"/>
      <c r="LP246" s="93"/>
      <c r="LQ246" s="93"/>
      <c r="LR246" s="93"/>
      <c r="LS246" s="93"/>
      <c r="LT246" s="93"/>
      <c r="LU246" s="93"/>
      <c r="LV246" s="93"/>
      <c r="LW246" s="93"/>
      <c r="LX246" s="93"/>
      <c r="LY246" s="93"/>
      <c r="LZ246" s="93"/>
      <c r="MA246" s="93"/>
      <c r="MB246" s="93"/>
      <c r="MC246" s="93"/>
      <c r="MD246" s="93"/>
      <c r="ME246" s="93"/>
      <c r="MF246" s="93"/>
      <c r="MG246" s="93"/>
      <c r="MH246" s="20"/>
      <c r="MI246" s="29"/>
      <c r="MJ246" s="29" t="str">
        <f t="shared" si="97"/>
        <v>Trimestre 12043</v>
      </c>
      <c r="MK246" s="848">
        <v>52291</v>
      </c>
      <c r="ML246" s="1991"/>
      <c r="MM246" s="1991"/>
      <c r="MN246" s="1991"/>
      <c r="MO246" s="1991"/>
      <c r="MP246" s="1991"/>
      <c r="MQ246" s="1991"/>
      <c r="MR246" s="1991"/>
      <c r="MS246" s="1991"/>
      <c r="MT246" s="1991"/>
      <c r="MU246" s="1991"/>
      <c r="MV246" s="1991"/>
      <c r="MW246" s="1991"/>
      <c r="MX246" s="1991"/>
      <c r="MY246" s="1991"/>
      <c r="MZ246" s="1991"/>
      <c r="NA246" s="1991"/>
      <c r="NB246" s="1991"/>
      <c r="NC246" s="1991"/>
      <c r="ND246" s="1991"/>
      <c r="NE246" s="1991"/>
      <c r="NF246" s="1991"/>
      <c r="NG246" s="1991"/>
      <c r="NH246" s="1991"/>
      <c r="NI246" s="1991"/>
      <c r="NJ246" s="1991"/>
      <c r="NK246" s="1991"/>
      <c r="NL246" s="29"/>
    </row>
    <row r="247" spans="1:376">
      <c r="A247" s="41">
        <f t="shared" si="95"/>
        <v>2043</v>
      </c>
      <c r="B247" s="785">
        <v>52383</v>
      </c>
      <c r="C247" s="19"/>
      <c r="D247" s="93"/>
      <c r="E247" s="93"/>
      <c r="F247" s="93"/>
      <c r="G247" s="93"/>
      <c r="H247" s="93"/>
      <c r="I247" s="93"/>
      <c r="J247" s="93"/>
      <c r="K247" s="93"/>
      <c r="L247" s="93"/>
      <c r="M247" s="20"/>
      <c r="N247" s="25"/>
      <c r="O247" s="889">
        <f t="shared" si="94"/>
        <v>2043</v>
      </c>
      <c r="P247" s="29" t="str">
        <f t="shared" si="96"/>
        <v>Trimestre 22043</v>
      </c>
      <c r="Q247" s="848">
        <v>52383</v>
      </c>
      <c r="R247" s="733"/>
      <c r="S247" s="570"/>
      <c r="T247" s="570"/>
      <c r="U247" s="734"/>
      <c r="V247" s="25"/>
      <c r="W247" s="19"/>
      <c r="X247" s="93"/>
      <c r="Y247" s="93"/>
      <c r="Z247" s="93"/>
      <c r="AA247" s="93"/>
      <c r="AB247" s="93"/>
      <c r="AC247" s="93"/>
      <c r="AD247" s="93"/>
      <c r="AE247" s="20"/>
      <c r="AF247" s="25"/>
      <c r="AG247" s="19"/>
      <c r="AH247" s="93"/>
      <c r="AI247" s="93"/>
      <c r="AJ247" s="93"/>
      <c r="AK247" s="93"/>
      <c r="AL247" s="93"/>
      <c r="AM247" s="93"/>
      <c r="AN247" s="20"/>
      <c r="AO247" s="19"/>
      <c r="AP247" s="93"/>
      <c r="AQ247" s="93"/>
      <c r="AR247" s="93"/>
      <c r="AS247" s="20"/>
      <c r="AT247" s="19"/>
      <c r="AU247" s="93"/>
      <c r="AV247" s="20"/>
      <c r="AW247" s="19"/>
      <c r="AX247" s="93"/>
      <c r="AY247" s="93"/>
      <c r="AZ247" s="93"/>
      <c r="BA247" s="93"/>
      <c r="BB247" s="93"/>
      <c r="BC247" s="20"/>
      <c r="BD247" s="19"/>
      <c r="BE247" s="93"/>
      <c r="BF247" s="93"/>
      <c r="BG247" s="93"/>
      <c r="BH247" s="93"/>
      <c r="BI247" s="93"/>
      <c r="BJ247" s="93"/>
      <c r="BK247" s="20"/>
      <c r="BL247" s="19"/>
      <c r="BM247" s="93"/>
      <c r="BN247" s="93"/>
      <c r="BO247" s="93"/>
      <c r="BP247" s="93"/>
      <c r="BQ247" s="20"/>
      <c r="BR247" s="19"/>
      <c r="BS247" s="93"/>
      <c r="BT247" s="93"/>
      <c r="BU247" s="20"/>
      <c r="BV247" s="19"/>
      <c r="BW247" s="93"/>
      <c r="BX247" s="93"/>
      <c r="BY247" s="93"/>
      <c r="BZ247" s="93"/>
      <c r="CA247" s="93"/>
      <c r="CB247" s="20"/>
      <c r="CC247" s="25"/>
      <c r="CD247" s="19"/>
      <c r="CE247" s="93"/>
      <c r="CF247" s="20"/>
      <c r="CG247" s="25"/>
      <c r="CH247" s="19"/>
      <c r="CI247" s="93"/>
      <c r="CJ247" s="93"/>
      <c r="CK247" s="93"/>
      <c r="CL247" s="93"/>
      <c r="CM247" s="93"/>
      <c r="CN247" s="93"/>
      <c r="CO247" s="93"/>
      <c r="CP247" s="93"/>
      <c r="CQ247" s="93"/>
      <c r="CR247" s="214"/>
      <c r="CS247" s="20"/>
      <c r="CT247" s="25"/>
      <c r="CU247" s="19"/>
      <c r="CV247" s="93"/>
      <c r="CW247" s="93"/>
      <c r="CX247" s="93"/>
      <c r="CY247" s="93"/>
      <c r="CZ247" s="93"/>
      <c r="DA247" s="93"/>
      <c r="DB247" s="20"/>
      <c r="DC247" s="25"/>
      <c r="DD247" s="785">
        <v>52383</v>
      </c>
      <c r="DE247" s="19"/>
      <c r="DF247" s="20"/>
      <c r="DG247" s="25"/>
      <c r="DH247" s="19"/>
      <c r="DI247" s="20"/>
      <c r="DJ247" s="25"/>
      <c r="DK247" s="19"/>
      <c r="DL247" s="20"/>
      <c r="DM247" s="19"/>
      <c r="DN247" s="20"/>
      <c r="DO247" s="25"/>
      <c r="DP247" s="19"/>
      <c r="DQ247" s="93"/>
      <c r="DR247" s="20"/>
      <c r="DS247" s="25"/>
      <c r="DT247" s="19"/>
      <c r="DU247" s="93"/>
      <c r="DV247" s="20"/>
      <c r="DW247" s="25"/>
      <c r="DX247" s="19"/>
      <c r="DY247" s="20"/>
      <c r="DZ247" s="25"/>
      <c r="EA247" s="19"/>
      <c r="EB247" s="93"/>
      <c r="EC247" s="93"/>
      <c r="ED247" s="93"/>
      <c r="EE247" s="20"/>
      <c r="EF247" s="25"/>
      <c r="EG247" s="19"/>
      <c r="EH247" s="93"/>
      <c r="EI247" s="93"/>
      <c r="EJ247" s="93"/>
      <c r="EK247" s="20"/>
      <c r="EL247" s="25"/>
      <c r="EM247" s="19"/>
      <c r="EN247" s="93"/>
      <c r="EO247" s="93"/>
      <c r="EP247" s="93"/>
      <c r="EQ247" s="93"/>
      <c r="ER247" s="93"/>
      <c r="ES247" s="93"/>
      <c r="ET247" s="93"/>
      <c r="EU247" s="93"/>
      <c r="EV247" s="20"/>
      <c r="EW247" s="25"/>
      <c r="EX247" s="915"/>
      <c r="EY247" s="916"/>
      <c r="EZ247" s="916"/>
      <c r="FA247" s="916"/>
      <c r="FB247" s="916"/>
      <c r="FC247" s="916"/>
      <c r="FD247" s="916"/>
      <c r="FE247" s="916"/>
      <c r="FF247" s="916"/>
      <c r="FG247" s="917"/>
      <c r="FH247" s="25"/>
      <c r="FI247" s="848">
        <v>52383</v>
      </c>
      <c r="FJ247" s="19"/>
      <c r="FK247" s="93"/>
      <c r="FL247" s="20"/>
      <c r="FM247" s="25"/>
      <c r="FN247" s="19"/>
      <c r="FO247" s="93"/>
      <c r="FP247" s="93"/>
      <c r="FQ247" s="93"/>
      <c r="FR247" s="93"/>
      <c r="FS247" s="93"/>
      <c r="FT247" s="93"/>
      <c r="FU247" s="93"/>
      <c r="FV247" s="93"/>
      <c r="FW247" s="917"/>
      <c r="FX247" s="25"/>
      <c r="FY247" s="916"/>
      <c r="FZ247" s="916"/>
      <c r="GA247" s="916"/>
      <c r="GB247" s="916"/>
      <c r="GC247" s="916"/>
      <c r="GD247" s="916"/>
      <c r="GE247" s="916"/>
      <c r="GF247" s="916"/>
      <c r="GG247" s="916"/>
      <c r="GH247" s="916"/>
      <c r="GI247" s="917"/>
      <c r="GJ247" s="25"/>
      <c r="GK247" s="19"/>
      <c r="GL247" s="20"/>
      <c r="GM247" s="25"/>
      <c r="GN247" s="19"/>
      <c r="GO247" s="20"/>
      <c r="GP247" s="25"/>
      <c r="GQ247" s="19"/>
      <c r="GR247" s="20"/>
      <c r="GS247" s="25"/>
      <c r="GT247" s="848">
        <v>52383</v>
      </c>
      <c r="GU247" s="19"/>
      <c r="GV247" s="93"/>
      <c r="GW247" s="93"/>
      <c r="GX247" s="93"/>
      <c r="GY247" s="93"/>
      <c r="GZ247" s="93"/>
      <c r="HA247" s="93"/>
      <c r="HB247" s="93"/>
      <c r="HC247" s="93"/>
      <c r="HD247" s="93"/>
      <c r="HE247" s="93"/>
      <c r="HF247" s="93"/>
      <c r="HG247" s="93"/>
      <c r="HH247" s="93"/>
      <c r="HI247" s="93"/>
      <c r="HJ247" s="93"/>
      <c r="HK247" s="93"/>
      <c r="HL247" s="93"/>
      <c r="HM247" s="93"/>
      <c r="HN247" s="93"/>
      <c r="HO247" s="93"/>
      <c r="HP247" s="93"/>
      <c r="HQ247" s="93"/>
      <c r="HR247" s="93"/>
      <c r="HS247" s="93"/>
      <c r="HT247" s="93"/>
      <c r="HU247" s="93"/>
      <c r="HV247" s="93"/>
      <c r="HW247" s="93"/>
      <c r="HX247" s="93"/>
      <c r="HY247" s="93"/>
      <c r="HZ247" s="93"/>
      <c r="IA247" s="93"/>
      <c r="IB247" s="93"/>
      <c r="IC247" s="93"/>
      <c r="ID247" s="93"/>
      <c r="IE247" s="93"/>
      <c r="IF247" s="93"/>
      <c r="IG247" s="93"/>
      <c r="IH247" s="93"/>
      <c r="II247" s="93"/>
      <c r="IJ247" s="93"/>
      <c r="IK247" s="93"/>
      <c r="IL247" s="93"/>
      <c r="IM247" s="93"/>
      <c r="IN247" s="93"/>
      <c r="IO247" s="93"/>
      <c r="IP247" s="93"/>
      <c r="IQ247" s="93"/>
      <c r="IR247" s="93"/>
      <c r="IS247" s="93"/>
      <c r="IT247" s="93"/>
      <c r="IU247" s="93"/>
      <c r="IV247" s="93"/>
      <c r="IW247" s="848">
        <v>52383</v>
      </c>
      <c r="IX247" s="93"/>
      <c r="IY247" s="93"/>
      <c r="IZ247" s="93"/>
      <c r="JA247" s="93"/>
      <c r="JB247" s="93"/>
      <c r="JC247" s="93"/>
      <c r="JD247" s="93"/>
      <c r="JE247" s="93"/>
      <c r="JF247" s="93"/>
      <c r="JG247" s="93"/>
      <c r="JH247" s="93"/>
      <c r="JI247" s="93"/>
      <c r="JJ247" s="93"/>
      <c r="JK247" s="93"/>
      <c r="JL247" s="93"/>
      <c r="JM247" s="93"/>
      <c r="JN247" s="93"/>
      <c r="JO247" s="93"/>
      <c r="JP247" s="93"/>
      <c r="JQ247" s="93"/>
      <c r="JR247" s="93"/>
      <c r="JS247" s="93"/>
      <c r="JT247" s="20"/>
      <c r="JU247" s="29"/>
      <c r="JV247" s="19"/>
      <c r="JW247" s="93"/>
      <c r="JX247" s="93"/>
      <c r="JY247" s="93"/>
      <c r="JZ247" s="93"/>
      <c r="KA247" s="93"/>
      <c r="KB247" s="93"/>
      <c r="KC247" s="93"/>
      <c r="KD247" s="93"/>
      <c r="KE247" s="93"/>
      <c r="KF247" s="93"/>
      <c r="KG247" s="93"/>
      <c r="KH247" s="93"/>
      <c r="KI247" s="93"/>
      <c r="KJ247" s="93"/>
      <c r="KK247" s="93"/>
      <c r="KL247" s="93"/>
      <c r="KM247" s="93"/>
      <c r="KN247" s="93"/>
      <c r="KO247" s="93"/>
      <c r="KP247" s="93"/>
      <c r="KQ247" s="93"/>
      <c r="KR247" s="93"/>
      <c r="KS247" s="93"/>
      <c r="KT247" s="93"/>
      <c r="KU247" s="93"/>
      <c r="KV247" s="93"/>
      <c r="KW247" s="20"/>
      <c r="KX247" s="29"/>
      <c r="KY247" s="19"/>
      <c r="KZ247" s="93"/>
      <c r="LA247" s="93"/>
      <c r="LB247" s="93"/>
      <c r="LC247" s="93"/>
      <c r="LD247" s="93"/>
      <c r="LE247" s="93"/>
      <c r="LF247" s="93"/>
      <c r="LG247" s="93"/>
      <c r="LH247" s="93"/>
      <c r="LI247" s="93"/>
      <c r="LJ247" s="93"/>
      <c r="LK247" s="93"/>
      <c r="LL247" s="93"/>
      <c r="LM247" s="93"/>
      <c r="LN247" s="93"/>
      <c r="LO247" s="93"/>
      <c r="LP247" s="93"/>
      <c r="LQ247" s="93"/>
      <c r="LR247" s="93"/>
      <c r="LS247" s="93"/>
      <c r="LT247" s="93"/>
      <c r="LU247" s="93"/>
      <c r="LV247" s="93"/>
      <c r="LW247" s="93"/>
      <c r="LX247" s="93"/>
      <c r="LY247" s="93"/>
      <c r="LZ247" s="93"/>
      <c r="MA247" s="93"/>
      <c r="MB247" s="93"/>
      <c r="MC247" s="93"/>
      <c r="MD247" s="93"/>
      <c r="ME247" s="93"/>
      <c r="MF247" s="93"/>
      <c r="MG247" s="93"/>
      <c r="MH247" s="20"/>
      <c r="MI247" s="29"/>
      <c r="MJ247" s="29" t="str">
        <f t="shared" si="97"/>
        <v>Trimestre 22043</v>
      </c>
      <c r="MK247" s="848">
        <v>52383</v>
      </c>
      <c r="ML247" s="1991"/>
      <c r="MM247" s="1991"/>
      <c r="MN247" s="1991"/>
      <c r="MO247" s="1991"/>
      <c r="MP247" s="1991"/>
      <c r="MQ247" s="1991"/>
      <c r="MR247" s="1991"/>
      <c r="MS247" s="1991"/>
      <c r="MT247" s="1991"/>
      <c r="MU247" s="1991"/>
      <c r="MV247" s="1991"/>
      <c r="MW247" s="1991"/>
      <c r="MX247" s="1991"/>
      <c r="MY247" s="1991"/>
      <c r="MZ247" s="1991"/>
      <c r="NA247" s="1991"/>
      <c r="NB247" s="1991"/>
      <c r="NC247" s="1991"/>
      <c r="ND247" s="1991"/>
      <c r="NE247" s="1991"/>
      <c r="NF247" s="1991"/>
      <c r="NG247" s="1991"/>
      <c r="NH247" s="1991"/>
      <c r="NI247" s="1991"/>
      <c r="NJ247" s="1991"/>
      <c r="NK247" s="1991"/>
      <c r="NL247" s="29"/>
    </row>
    <row r="248" spans="1:376">
      <c r="A248" s="41">
        <f t="shared" si="95"/>
        <v>2043</v>
      </c>
      <c r="B248" s="785">
        <v>52475</v>
      </c>
      <c r="C248" s="19"/>
      <c r="D248" s="93"/>
      <c r="E248" s="93"/>
      <c r="F248" s="93"/>
      <c r="G248" s="93"/>
      <c r="H248" s="93"/>
      <c r="I248" s="93"/>
      <c r="J248" s="93"/>
      <c r="K248" s="93"/>
      <c r="L248" s="93"/>
      <c r="M248" s="20"/>
      <c r="N248" s="25"/>
      <c r="O248" s="889">
        <f t="shared" si="94"/>
        <v>2043</v>
      </c>
      <c r="P248" s="29" t="str">
        <f t="shared" si="96"/>
        <v>Trimestre 32043</v>
      </c>
      <c r="Q248" s="848">
        <v>52475</v>
      </c>
      <c r="R248" s="733"/>
      <c r="S248" s="570"/>
      <c r="T248" s="570"/>
      <c r="U248" s="734"/>
      <c r="V248" s="25"/>
      <c r="W248" s="19"/>
      <c r="X248" s="93"/>
      <c r="Y248" s="93"/>
      <c r="Z248" s="93"/>
      <c r="AA248" s="93"/>
      <c r="AB248" s="93"/>
      <c r="AC248" s="93"/>
      <c r="AD248" s="93"/>
      <c r="AE248" s="20"/>
      <c r="AF248" s="25"/>
      <c r="AG248" s="19"/>
      <c r="AH248" s="93"/>
      <c r="AI248" s="93"/>
      <c r="AJ248" s="93"/>
      <c r="AK248" s="93"/>
      <c r="AL248" s="93"/>
      <c r="AM248" s="93"/>
      <c r="AN248" s="20"/>
      <c r="AO248" s="19"/>
      <c r="AP248" s="93"/>
      <c r="AQ248" s="93"/>
      <c r="AR248" s="93"/>
      <c r="AS248" s="20"/>
      <c r="AT248" s="19"/>
      <c r="AU248" s="93"/>
      <c r="AV248" s="20"/>
      <c r="AW248" s="19"/>
      <c r="AX248" s="93"/>
      <c r="AY248" s="93"/>
      <c r="AZ248" s="93"/>
      <c r="BA248" s="93"/>
      <c r="BB248" s="93"/>
      <c r="BC248" s="20"/>
      <c r="BD248" s="19"/>
      <c r="BE248" s="93"/>
      <c r="BF248" s="93"/>
      <c r="BG248" s="93"/>
      <c r="BH248" s="93"/>
      <c r="BI248" s="93"/>
      <c r="BJ248" s="93"/>
      <c r="BK248" s="20"/>
      <c r="BL248" s="19"/>
      <c r="BM248" s="93"/>
      <c r="BN248" s="93"/>
      <c r="BO248" s="93"/>
      <c r="BP248" s="93"/>
      <c r="BQ248" s="20"/>
      <c r="BR248" s="19"/>
      <c r="BS248" s="93"/>
      <c r="BT248" s="93"/>
      <c r="BU248" s="20"/>
      <c r="BV248" s="19"/>
      <c r="BW248" s="93"/>
      <c r="BX248" s="93"/>
      <c r="BY248" s="93"/>
      <c r="BZ248" s="93"/>
      <c r="CA248" s="93"/>
      <c r="CB248" s="20"/>
      <c r="CC248" s="25"/>
      <c r="CD248" s="19"/>
      <c r="CE248" s="93"/>
      <c r="CF248" s="20"/>
      <c r="CG248" s="25"/>
      <c r="CH248" s="19"/>
      <c r="CI248" s="93"/>
      <c r="CJ248" s="93"/>
      <c r="CK248" s="93"/>
      <c r="CL248" s="93"/>
      <c r="CM248" s="93"/>
      <c r="CN248" s="93"/>
      <c r="CO248" s="93"/>
      <c r="CP248" s="93"/>
      <c r="CQ248" s="93"/>
      <c r="CR248" s="214"/>
      <c r="CS248" s="20"/>
      <c r="CT248" s="25"/>
      <c r="CU248" s="19"/>
      <c r="CV248" s="93"/>
      <c r="CW248" s="93"/>
      <c r="CX248" s="93"/>
      <c r="CY248" s="93"/>
      <c r="CZ248" s="93"/>
      <c r="DA248" s="93"/>
      <c r="DB248" s="20"/>
      <c r="DC248" s="25"/>
      <c r="DD248" s="785">
        <v>52475</v>
      </c>
      <c r="DE248" s="19"/>
      <c r="DF248" s="20"/>
      <c r="DG248" s="25"/>
      <c r="DH248" s="19"/>
      <c r="DI248" s="20"/>
      <c r="DJ248" s="25"/>
      <c r="DK248" s="19"/>
      <c r="DL248" s="20"/>
      <c r="DM248" s="19"/>
      <c r="DN248" s="20"/>
      <c r="DO248" s="25"/>
      <c r="DP248" s="19"/>
      <c r="DQ248" s="93"/>
      <c r="DR248" s="20"/>
      <c r="DS248" s="25"/>
      <c r="DT248" s="19"/>
      <c r="DU248" s="93"/>
      <c r="DV248" s="20"/>
      <c r="DW248" s="25"/>
      <c r="DX248" s="19"/>
      <c r="DY248" s="20"/>
      <c r="DZ248" s="25"/>
      <c r="EA248" s="19"/>
      <c r="EB248" s="93"/>
      <c r="EC248" s="93"/>
      <c r="ED248" s="93"/>
      <c r="EE248" s="20"/>
      <c r="EF248" s="25"/>
      <c r="EG248" s="19"/>
      <c r="EH248" s="93"/>
      <c r="EI248" s="93"/>
      <c r="EJ248" s="93"/>
      <c r="EK248" s="20"/>
      <c r="EL248" s="25"/>
      <c r="EM248" s="19"/>
      <c r="EN248" s="93"/>
      <c r="EO248" s="93"/>
      <c r="EP248" s="93"/>
      <c r="EQ248" s="93"/>
      <c r="ER248" s="93"/>
      <c r="ES248" s="93"/>
      <c r="ET248" s="93"/>
      <c r="EU248" s="93"/>
      <c r="EV248" s="20"/>
      <c r="EW248" s="25"/>
      <c r="EX248" s="915"/>
      <c r="EY248" s="916"/>
      <c r="EZ248" s="916"/>
      <c r="FA248" s="916"/>
      <c r="FB248" s="916"/>
      <c r="FC248" s="916"/>
      <c r="FD248" s="916"/>
      <c r="FE248" s="916"/>
      <c r="FF248" s="916"/>
      <c r="FG248" s="917"/>
      <c r="FH248" s="25"/>
      <c r="FI248" s="848">
        <v>52475</v>
      </c>
      <c r="FJ248" s="19"/>
      <c r="FK248" s="93"/>
      <c r="FL248" s="20"/>
      <c r="FM248" s="25"/>
      <c r="FN248" s="19"/>
      <c r="FO248" s="93"/>
      <c r="FP248" s="93"/>
      <c r="FQ248" s="93"/>
      <c r="FR248" s="93"/>
      <c r="FS248" s="93"/>
      <c r="FT248" s="93"/>
      <c r="FU248" s="93"/>
      <c r="FV248" s="93"/>
      <c r="FW248" s="917"/>
      <c r="FX248" s="25"/>
      <c r="FY248" s="916"/>
      <c r="FZ248" s="916"/>
      <c r="GA248" s="916"/>
      <c r="GB248" s="916"/>
      <c r="GC248" s="916"/>
      <c r="GD248" s="916"/>
      <c r="GE248" s="916"/>
      <c r="GF248" s="916"/>
      <c r="GG248" s="916"/>
      <c r="GH248" s="916"/>
      <c r="GI248" s="917"/>
      <c r="GJ248" s="25"/>
      <c r="GK248" s="19"/>
      <c r="GL248" s="20"/>
      <c r="GM248" s="25"/>
      <c r="GN248" s="19"/>
      <c r="GO248" s="20"/>
      <c r="GP248" s="25"/>
      <c r="GQ248" s="19"/>
      <c r="GR248" s="20"/>
      <c r="GS248" s="25"/>
      <c r="GT248" s="848">
        <v>52475</v>
      </c>
      <c r="GU248" s="19"/>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848">
        <v>52475</v>
      </c>
      <c r="IX248" s="93"/>
      <c r="IY248" s="93"/>
      <c r="IZ248" s="93"/>
      <c r="JA248" s="93"/>
      <c r="JB248" s="93"/>
      <c r="JC248" s="93"/>
      <c r="JD248" s="93"/>
      <c r="JE248" s="93"/>
      <c r="JF248" s="93"/>
      <c r="JG248" s="93"/>
      <c r="JH248" s="93"/>
      <c r="JI248" s="93"/>
      <c r="JJ248" s="93"/>
      <c r="JK248" s="93"/>
      <c r="JL248" s="93"/>
      <c r="JM248" s="93"/>
      <c r="JN248" s="93"/>
      <c r="JO248" s="93"/>
      <c r="JP248" s="93"/>
      <c r="JQ248" s="93"/>
      <c r="JR248" s="93"/>
      <c r="JS248" s="93"/>
      <c r="JT248" s="20"/>
      <c r="JU248" s="29"/>
      <c r="JV248" s="19"/>
      <c r="JW248" s="93"/>
      <c r="JX248" s="93"/>
      <c r="JY248" s="93"/>
      <c r="JZ248" s="93"/>
      <c r="KA248" s="93"/>
      <c r="KB248" s="93"/>
      <c r="KC248" s="93"/>
      <c r="KD248" s="93"/>
      <c r="KE248" s="93"/>
      <c r="KF248" s="93"/>
      <c r="KG248" s="93"/>
      <c r="KH248" s="93"/>
      <c r="KI248" s="93"/>
      <c r="KJ248" s="93"/>
      <c r="KK248" s="93"/>
      <c r="KL248" s="93"/>
      <c r="KM248" s="93"/>
      <c r="KN248" s="93"/>
      <c r="KO248" s="93"/>
      <c r="KP248" s="93"/>
      <c r="KQ248" s="93"/>
      <c r="KR248" s="93"/>
      <c r="KS248" s="93"/>
      <c r="KT248" s="93"/>
      <c r="KU248" s="93"/>
      <c r="KV248" s="93"/>
      <c r="KW248" s="20"/>
      <c r="KX248" s="29"/>
      <c r="KY248" s="19"/>
      <c r="KZ248" s="93"/>
      <c r="LA248" s="93"/>
      <c r="LB248" s="93"/>
      <c r="LC248" s="93"/>
      <c r="LD248" s="93"/>
      <c r="LE248" s="93"/>
      <c r="LF248" s="93"/>
      <c r="LG248" s="93"/>
      <c r="LH248" s="93"/>
      <c r="LI248" s="93"/>
      <c r="LJ248" s="93"/>
      <c r="LK248" s="93"/>
      <c r="LL248" s="93"/>
      <c r="LM248" s="93"/>
      <c r="LN248" s="93"/>
      <c r="LO248" s="93"/>
      <c r="LP248" s="93"/>
      <c r="LQ248" s="93"/>
      <c r="LR248" s="93"/>
      <c r="LS248" s="93"/>
      <c r="LT248" s="93"/>
      <c r="LU248" s="93"/>
      <c r="LV248" s="93"/>
      <c r="LW248" s="93"/>
      <c r="LX248" s="93"/>
      <c r="LY248" s="93"/>
      <c r="LZ248" s="93"/>
      <c r="MA248" s="93"/>
      <c r="MB248" s="93"/>
      <c r="MC248" s="93"/>
      <c r="MD248" s="93"/>
      <c r="ME248" s="93"/>
      <c r="MF248" s="93"/>
      <c r="MG248" s="93"/>
      <c r="MH248" s="20"/>
      <c r="MI248" s="29"/>
      <c r="MJ248" s="29" t="str">
        <f t="shared" si="97"/>
        <v>Trimestre 32043</v>
      </c>
      <c r="MK248" s="848">
        <v>52475</v>
      </c>
      <c r="ML248" s="1991"/>
      <c r="MM248" s="1991"/>
      <c r="MN248" s="1991"/>
      <c r="MO248" s="1991"/>
      <c r="MP248" s="1991"/>
      <c r="MQ248" s="1991"/>
      <c r="MR248" s="1991"/>
      <c r="MS248" s="1991"/>
      <c r="MT248" s="1991"/>
      <c r="MU248" s="1991"/>
      <c r="MV248" s="1991"/>
      <c r="MW248" s="1991"/>
      <c r="MX248" s="1991"/>
      <c r="MY248" s="1991"/>
      <c r="MZ248" s="1991"/>
      <c r="NA248" s="1991"/>
      <c r="NB248" s="1991"/>
      <c r="NC248" s="1991"/>
      <c r="ND248" s="1991"/>
      <c r="NE248" s="1991"/>
      <c r="NF248" s="1991"/>
      <c r="NG248" s="1991"/>
      <c r="NH248" s="1991"/>
      <c r="NI248" s="1991"/>
      <c r="NJ248" s="1991"/>
      <c r="NK248" s="1991"/>
      <c r="NL248" s="29"/>
    </row>
    <row r="249" spans="1:376">
      <c r="A249" s="41">
        <f t="shared" si="95"/>
        <v>2043</v>
      </c>
      <c r="B249" s="785">
        <v>52566</v>
      </c>
      <c r="C249" s="19"/>
      <c r="D249" s="93"/>
      <c r="E249" s="93"/>
      <c r="F249" s="93"/>
      <c r="G249" s="93"/>
      <c r="H249" s="93"/>
      <c r="I249" s="93"/>
      <c r="J249" s="93"/>
      <c r="K249" s="93"/>
      <c r="L249" s="93"/>
      <c r="M249" s="20"/>
      <c r="N249" s="25"/>
      <c r="O249" s="889">
        <f t="shared" si="94"/>
        <v>2043</v>
      </c>
      <c r="P249" s="29" t="str">
        <f t="shared" si="96"/>
        <v>Trimestre 42043</v>
      </c>
      <c r="Q249" s="848">
        <v>52566</v>
      </c>
      <c r="R249" s="733"/>
      <c r="S249" s="570"/>
      <c r="T249" s="570"/>
      <c r="U249" s="734"/>
      <c r="V249" s="25"/>
      <c r="W249" s="19"/>
      <c r="X249" s="93"/>
      <c r="Y249" s="93"/>
      <c r="Z249" s="93"/>
      <c r="AA249" s="93"/>
      <c r="AB249" s="93"/>
      <c r="AC249" s="93"/>
      <c r="AD249" s="93"/>
      <c r="AE249" s="20"/>
      <c r="AF249" s="25"/>
      <c r="AG249" s="19"/>
      <c r="AH249" s="93"/>
      <c r="AI249" s="93"/>
      <c r="AJ249" s="93"/>
      <c r="AK249" s="93"/>
      <c r="AL249" s="93"/>
      <c r="AM249" s="93"/>
      <c r="AN249" s="20"/>
      <c r="AO249" s="19"/>
      <c r="AP249" s="93"/>
      <c r="AQ249" s="93"/>
      <c r="AR249" s="93"/>
      <c r="AS249" s="20"/>
      <c r="AT249" s="19"/>
      <c r="AU249" s="93"/>
      <c r="AV249" s="20"/>
      <c r="AW249" s="19"/>
      <c r="AX249" s="93"/>
      <c r="AY249" s="93"/>
      <c r="AZ249" s="93"/>
      <c r="BA249" s="93"/>
      <c r="BB249" s="93"/>
      <c r="BC249" s="20"/>
      <c r="BD249" s="19"/>
      <c r="BE249" s="93"/>
      <c r="BF249" s="93"/>
      <c r="BG249" s="93"/>
      <c r="BH249" s="93"/>
      <c r="BI249" s="93"/>
      <c r="BJ249" s="93"/>
      <c r="BK249" s="20"/>
      <c r="BL249" s="19"/>
      <c r="BM249" s="93"/>
      <c r="BN249" s="93"/>
      <c r="BO249" s="93"/>
      <c r="BP249" s="93"/>
      <c r="BQ249" s="20"/>
      <c r="BR249" s="19"/>
      <c r="BS249" s="93"/>
      <c r="BT249" s="93"/>
      <c r="BU249" s="20"/>
      <c r="BV249" s="19"/>
      <c r="BW249" s="93"/>
      <c r="BX249" s="93"/>
      <c r="BY249" s="93"/>
      <c r="BZ249" s="93"/>
      <c r="CA249" s="93"/>
      <c r="CB249" s="20"/>
      <c r="CC249" s="25"/>
      <c r="CD249" s="19"/>
      <c r="CE249" s="93"/>
      <c r="CF249" s="20"/>
      <c r="CG249" s="25"/>
      <c r="CH249" s="19"/>
      <c r="CI249" s="93"/>
      <c r="CJ249" s="93"/>
      <c r="CK249" s="93"/>
      <c r="CL249" s="93"/>
      <c r="CM249" s="93"/>
      <c r="CN249" s="93"/>
      <c r="CO249" s="93"/>
      <c r="CP249" s="93"/>
      <c r="CQ249" s="93"/>
      <c r="CR249" s="214"/>
      <c r="CS249" s="20"/>
      <c r="CT249" s="25"/>
      <c r="CU249" s="19"/>
      <c r="CV249" s="93"/>
      <c r="CW249" s="93"/>
      <c r="CX249" s="93"/>
      <c r="CY249" s="93"/>
      <c r="CZ249" s="93"/>
      <c r="DA249" s="93"/>
      <c r="DB249" s="20"/>
      <c r="DC249" s="25"/>
      <c r="DD249" s="785">
        <v>52566</v>
      </c>
      <c r="DE249" s="19"/>
      <c r="DF249" s="20"/>
      <c r="DG249" s="25"/>
      <c r="DH249" s="19"/>
      <c r="DI249" s="20"/>
      <c r="DJ249" s="25"/>
      <c r="DK249" s="19"/>
      <c r="DL249" s="20"/>
      <c r="DM249" s="19"/>
      <c r="DN249" s="20"/>
      <c r="DO249" s="25"/>
      <c r="DP249" s="19"/>
      <c r="DQ249" s="93"/>
      <c r="DR249" s="20"/>
      <c r="DS249" s="25"/>
      <c r="DT249" s="19"/>
      <c r="DU249" s="93"/>
      <c r="DV249" s="20"/>
      <c r="DW249" s="25"/>
      <c r="DX249" s="19"/>
      <c r="DY249" s="20"/>
      <c r="DZ249" s="25"/>
      <c r="EA249" s="19"/>
      <c r="EB249" s="93"/>
      <c r="EC249" s="93"/>
      <c r="ED249" s="93"/>
      <c r="EE249" s="20"/>
      <c r="EF249" s="25"/>
      <c r="EG249" s="19"/>
      <c r="EH249" s="93"/>
      <c r="EI249" s="93"/>
      <c r="EJ249" s="93"/>
      <c r="EK249" s="20"/>
      <c r="EL249" s="25"/>
      <c r="EM249" s="19"/>
      <c r="EN249" s="93"/>
      <c r="EO249" s="93"/>
      <c r="EP249" s="93"/>
      <c r="EQ249" s="93"/>
      <c r="ER249" s="93"/>
      <c r="ES249" s="93"/>
      <c r="ET249" s="93"/>
      <c r="EU249" s="93"/>
      <c r="EV249" s="20"/>
      <c r="EW249" s="25"/>
      <c r="EX249" s="915"/>
      <c r="EY249" s="916"/>
      <c r="EZ249" s="916"/>
      <c r="FA249" s="916"/>
      <c r="FB249" s="916"/>
      <c r="FC249" s="916"/>
      <c r="FD249" s="916"/>
      <c r="FE249" s="916"/>
      <c r="FF249" s="916"/>
      <c r="FG249" s="917"/>
      <c r="FH249" s="25"/>
      <c r="FI249" s="848">
        <v>52566</v>
      </c>
      <c r="FJ249" s="19"/>
      <c r="FK249" s="93"/>
      <c r="FL249" s="20"/>
      <c r="FM249" s="25"/>
      <c r="FN249" s="19"/>
      <c r="FO249" s="93"/>
      <c r="FP249" s="93"/>
      <c r="FQ249" s="93"/>
      <c r="FR249" s="93"/>
      <c r="FS249" s="93"/>
      <c r="FT249" s="93"/>
      <c r="FU249" s="93"/>
      <c r="FV249" s="93"/>
      <c r="FW249" s="917"/>
      <c r="FX249" s="25"/>
      <c r="FY249" s="916"/>
      <c r="FZ249" s="916"/>
      <c r="GA249" s="916"/>
      <c r="GB249" s="916"/>
      <c r="GC249" s="916"/>
      <c r="GD249" s="916"/>
      <c r="GE249" s="916"/>
      <c r="GF249" s="916"/>
      <c r="GG249" s="916"/>
      <c r="GH249" s="916"/>
      <c r="GI249" s="917"/>
      <c r="GJ249" s="25"/>
      <c r="GK249" s="19"/>
      <c r="GL249" s="20"/>
      <c r="GM249" s="25"/>
      <c r="GN249" s="19"/>
      <c r="GO249" s="20"/>
      <c r="GP249" s="25"/>
      <c r="GQ249" s="19"/>
      <c r="GR249" s="20"/>
      <c r="GS249" s="25"/>
      <c r="GT249" s="848">
        <v>52566</v>
      </c>
      <c r="GU249" s="19"/>
      <c r="GV249" s="93"/>
      <c r="GW249" s="93"/>
      <c r="GX249" s="93"/>
      <c r="GY249" s="93"/>
      <c r="GZ249" s="93"/>
      <c r="HA249" s="93"/>
      <c r="HB249" s="93"/>
      <c r="HC249" s="93"/>
      <c r="HD249" s="93"/>
      <c r="HE249" s="93"/>
      <c r="HF249" s="93"/>
      <c r="HG249" s="93"/>
      <c r="HH249" s="93"/>
      <c r="HI249" s="93"/>
      <c r="HJ249" s="93"/>
      <c r="HK249" s="93"/>
      <c r="HL249" s="93"/>
      <c r="HM249" s="93"/>
      <c r="HN249" s="93"/>
      <c r="HO249" s="93"/>
      <c r="HP249" s="93"/>
      <c r="HQ249" s="93"/>
      <c r="HR249" s="93"/>
      <c r="HS249" s="93"/>
      <c r="HT249" s="93"/>
      <c r="HU249" s="93"/>
      <c r="HV249" s="93"/>
      <c r="HW249" s="93"/>
      <c r="HX249" s="93"/>
      <c r="HY249" s="93"/>
      <c r="HZ249" s="93"/>
      <c r="IA249" s="93"/>
      <c r="IB249" s="93"/>
      <c r="IC249" s="93"/>
      <c r="ID249" s="93"/>
      <c r="IE249" s="93"/>
      <c r="IF249" s="93"/>
      <c r="IG249" s="93"/>
      <c r="IH249" s="93"/>
      <c r="II249" s="93"/>
      <c r="IJ249" s="93"/>
      <c r="IK249" s="93"/>
      <c r="IL249" s="93"/>
      <c r="IM249" s="93"/>
      <c r="IN249" s="93"/>
      <c r="IO249" s="93"/>
      <c r="IP249" s="93"/>
      <c r="IQ249" s="93"/>
      <c r="IR249" s="93"/>
      <c r="IS249" s="93"/>
      <c r="IT249" s="93"/>
      <c r="IU249" s="93"/>
      <c r="IV249" s="93"/>
      <c r="IW249" s="848">
        <v>52566</v>
      </c>
      <c r="IX249" s="93"/>
      <c r="IY249" s="93"/>
      <c r="IZ249" s="93"/>
      <c r="JA249" s="93"/>
      <c r="JB249" s="93"/>
      <c r="JC249" s="93"/>
      <c r="JD249" s="93"/>
      <c r="JE249" s="93"/>
      <c r="JF249" s="93"/>
      <c r="JG249" s="93"/>
      <c r="JH249" s="93"/>
      <c r="JI249" s="93"/>
      <c r="JJ249" s="93"/>
      <c r="JK249" s="93"/>
      <c r="JL249" s="93"/>
      <c r="JM249" s="93"/>
      <c r="JN249" s="93"/>
      <c r="JO249" s="93"/>
      <c r="JP249" s="93"/>
      <c r="JQ249" s="93"/>
      <c r="JR249" s="93"/>
      <c r="JS249" s="93"/>
      <c r="JT249" s="20"/>
      <c r="JU249" s="29"/>
      <c r="JV249" s="19"/>
      <c r="JW249" s="93"/>
      <c r="JX249" s="93"/>
      <c r="JY249" s="93"/>
      <c r="JZ249" s="93"/>
      <c r="KA249" s="93"/>
      <c r="KB249" s="93"/>
      <c r="KC249" s="93"/>
      <c r="KD249" s="93"/>
      <c r="KE249" s="93"/>
      <c r="KF249" s="93"/>
      <c r="KG249" s="93"/>
      <c r="KH249" s="93"/>
      <c r="KI249" s="93"/>
      <c r="KJ249" s="93"/>
      <c r="KK249" s="93"/>
      <c r="KL249" s="93"/>
      <c r="KM249" s="93"/>
      <c r="KN249" s="93"/>
      <c r="KO249" s="93"/>
      <c r="KP249" s="93"/>
      <c r="KQ249" s="93"/>
      <c r="KR249" s="93"/>
      <c r="KS249" s="93"/>
      <c r="KT249" s="93"/>
      <c r="KU249" s="93"/>
      <c r="KV249" s="93"/>
      <c r="KW249" s="20"/>
      <c r="KX249" s="29"/>
      <c r="KY249" s="19"/>
      <c r="KZ249" s="93"/>
      <c r="LA249" s="93"/>
      <c r="LB249" s="93"/>
      <c r="LC249" s="93"/>
      <c r="LD249" s="93"/>
      <c r="LE249" s="93"/>
      <c r="LF249" s="93"/>
      <c r="LG249" s="93"/>
      <c r="LH249" s="93"/>
      <c r="LI249" s="93"/>
      <c r="LJ249" s="93"/>
      <c r="LK249" s="93"/>
      <c r="LL249" s="93"/>
      <c r="LM249" s="93"/>
      <c r="LN249" s="93"/>
      <c r="LO249" s="93"/>
      <c r="LP249" s="93"/>
      <c r="LQ249" s="93"/>
      <c r="LR249" s="93"/>
      <c r="LS249" s="93"/>
      <c r="LT249" s="93"/>
      <c r="LU249" s="93"/>
      <c r="LV249" s="93"/>
      <c r="LW249" s="93"/>
      <c r="LX249" s="93"/>
      <c r="LY249" s="93"/>
      <c r="LZ249" s="93"/>
      <c r="MA249" s="93"/>
      <c r="MB249" s="93"/>
      <c r="MC249" s="93"/>
      <c r="MD249" s="93"/>
      <c r="ME249" s="93"/>
      <c r="MF249" s="93"/>
      <c r="MG249" s="93"/>
      <c r="MH249" s="20"/>
      <c r="MI249" s="29"/>
      <c r="MJ249" s="29" t="str">
        <f t="shared" si="97"/>
        <v>Trimestre 42043</v>
      </c>
      <c r="MK249" s="848">
        <v>52566</v>
      </c>
      <c r="ML249" s="1991"/>
      <c r="MM249" s="1991"/>
      <c r="MN249" s="1991"/>
      <c r="MO249" s="1991"/>
      <c r="MP249" s="1991"/>
      <c r="MQ249" s="1991"/>
      <c r="MR249" s="1991"/>
      <c r="MS249" s="1991"/>
      <c r="MT249" s="1991"/>
      <c r="MU249" s="1991"/>
      <c r="MV249" s="1991"/>
      <c r="MW249" s="1991"/>
      <c r="MX249" s="1991"/>
      <c r="MY249" s="1991"/>
      <c r="MZ249" s="1991"/>
      <c r="NA249" s="1991"/>
      <c r="NB249" s="1991"/>
      <c r="NC249" s="1991"/>
      <c r="ND249" s="1991"/>
      <c r="NE249" s="1991"/>
      <c r="NF249" s="1991"/>
      <c r="NG249" s="1991"/>
      <c r="NH249" s="1991"/>
      <c r="NI249" s="1991"/>
      <c r="NJ249" s="1991"/>
      <c r="NK249" s="1991"/>
      <c r="NL249" s="29"/>
    </row>
    <row r="250" spans="1:376">
      <c r="A250" s="41">
        <f t="shared" si="95"/>
        <v>2044</v>
      </c>
      <c r="B250" s="785">
        <v>52657</v>
      </c>
      <c r="C250" s="19"/>
      <c r="D250" s="93"/>
      <c r="E250" s="93"/>
      <c r="F250" s="93"/>
      <c r="G250" s="93"/>
      <c r="H250" s="93"/>
      <c r="I250" s="93"/>
      <c r="J250" s="93"/>
      <c r="K250" s="93"/>
      <c r="L250" s="93"/>
      <c r="M250" s="20"/>
      <c r="N250" s="25"/>
      <c r="O250" s="889">
        <f t="shared" si="94"/>
        <v>2044</v>
      </c>
      <c r="P250" s="29" t="str">
        <f t="shared" si="96"/>
        <v>Trimestre 12044</v>
      </c>
      <c r="Q250" s="848">
        <v>52657</v>
      </c>
      <c r="R250" s="733"/>
      <c r="S250" s="570"/>
      <c r="T250" s="570"/>
      <c r="U250" s="734"/>
      <c r="V250" s="25"/>
      <c r="W250" s="19"/>
      <c r="X250" s="93"/>
      <c r="Y250" s="93"/>
      <c r="Z250" s="93"/>
      <c r="AA250" s="93"/>
      <c r="AB250" s="93"/>
      <c r="AC250" s="93"/>
      <c r="AD250" s="93"/>
      <c r="AE250" s="20"/>
      <c r="AF250" s="25"/>
      <c r="AG250" s="19"/>
      <c r="AH250" s="93"/>
      <c r="AI250" s="93"/>
      <c r="AJ250" s="93"/>
      <c r="AK250" s="93"/>
      <c r="AL250" s="93"/>
      <c r="AM250" s="93"/>
      <c r="AN250" s="20"/>
      <c r="AO250" s="19"/>
      <c r="AP250" s="93"/>
      <c r="AQ250" s="93"/>
      <c r="AR250" s="93"/>
      <c r="AS250" s="20"/>
      <c r="AT250" s="19"/>
      <c r="AU250" s="93"/>
      <c r="AV250" s="20"/>
      <c r="AW250" s="19"/>
      <c r="AX250" s="93"/>
      <c r="AY250" s="93"/>
      <c r="AZ250" s="93"/>
      <c r="BA250" s="93"/>
      <c r="BB250" s="93"/>
      <c r="BC250" s="20"/>
      <c r="BD250" s="19"/>
      <c r="BE250" s="93"/>
      <c r="BF250" s="93"/>
      <c r="BG250" s="93"/>
      <c r="BH250" s="93"/>
      <c r="BI250" s="93"/>
      <c r="BJ250" s="93"/>
      <c r="BK250" s="20"/>
      <c r="BL250" s="19"/>
      <c r="BM250" s="93"/>
      <c r="BN250" s="93"/>
      <c r="BO250" s="93"/>
      <c r="BP250" s="93"/>
      <c r="BQ250" s="20"/>
      <c r="BR250" s="19"/>
      <c r="BS250" s="93"/>
      <c r="BT250" s="93"/>
      <c r="BU250" s="20"/>
      <c r="BV250" s="19"/>
      <c r="BW250" s="93"/>
      <c r="BX250" s="93"/>
      <c r="BY250" s="93"/>
      <c r="BZ250" s="93"/>
      <c r="CA250" s="93"/>
      <c r="CB250" s="20"/>
      <c r="CC250" s="25"/>
      <c r="CD250" s="19"/>
      <c r="CE250" s="93"/>
      <c r="CF250" s="20"/>
      <c r="CG250" s="25"/>
      <c r="CH250" s="19"/>
      <c r="CI250" s="93"/>
      <c r="CJ250" s="93"/>
      <c r="CK250" s="93"/>
      <c r="CL250" s="93"/>
      <c r="CM250" s="93"/>
      <c r="CN250" s="93"/>
      <c r="CO250" s="93"/>
      <c r="CP250" s="93"/>
      <c r="CQ250" s="93"/>
      <c r="CR250" s="214"/>
      <c r="CS250" s="20"/>
      <c r="CT250" s="25"/>
      <c r="CU250" s="19"/>
      <c r="CV250" s="93"/>
      <c r="CW250" s="93"/>
      <c r="CX250" s="93"/>
      <c r="CY250" s="93"/>
      <c r="CZ250" s="93"/>
      <c r="DA250" s="93"/>
      <c r="DB250" s="20"/>
      <c r="DC250" s="25"/>
      <c r="DD250" s="785">
        <v>52657</v>
      </c>
      <c r="DE250" s="19"/>
      <c r="DF250" s="20"/>
      <c r="DG250" s="25"/>
      <c r="DH250" s="19"/>
      <c r="DI250" s="20"/>
      <c r="DJ250" s="25"/>
      <c r="DK250" s="19"/>
      <c r="DL250" s="20"/>
      <c r="DM250" s="19"/>
      <c r="DN250" s="20"/>
      <c r="DO250" s="25"/>
      <c r="DP250" s="19"/>
      <c r="DQ250" s="93"/>
      <c r="DR250" s="20"/>
      <c r="DS250" s="25"/>
      <c r="DT250" s="19"/>
      <c r="DU250" s="93"/>
      <c r="DV250" s="20"/>
      <c r="DW250" s="25"/>
      <c r="DX250" s="19"/>
      <c r="DY250" s="20"/>
      <c r="DZ250" s="25"/>
      <c r="EA250" s="19"/>
      <c r="EB250" s="93"/>
      <c r="EC250" s="93"/>
      <c r="ED250" s="93"/>
      <c r="EE250" s="20"/>
      <c r="EF250" s="25"/>
      <c r="EG250" s="19"/>
      <c r="EH250" s="93"/>
      <c r="EI250" s="93"/>
      <c r="EJ250" s="93"/>
      <c r="EK250" s="20"/>
      <c r="EL250" s="25"/>
      <c r="EM250" s="19"/>
      <c r="EN250" s="93"/>
      <c r="EO250" s="93"/>
      <c r="EP250" s="93"/>
      <c r="EQ250" s="93"/>
      <c r="ER250" s="93"/>
      <c r="ES250" s="93"/>
      <c r="ET250" s="93"/>
      <c r="EU250" s="93"/>
      <c r="EV250" s="20"/>
      <c r="EW250" s="25"/>
      <c r="EX250" s="915"/>
      <c r="EY250" s="916"/>
      <c r="EZ250" s="916"/>
      <c r="FA250" s="916"/>
      <c r="FB250" s="916"/>
      <c r="FC250" s="916"/>
      <c r="FD250" s="916"/>
      <c r="FE250" s="916"/>
      <c r="FF250" s="916"/>
      <c r="FG250" s="917"/>
      <c r="FH250" s="25"/>
      <c r="FI250" s="848">
        <v>52657</v>
      </c>
      <c r="FJ250" s="19"/>
      <c r="FK250" s="93"/>
      <c r="FL250" s="20"/>
      <c r="FM250" s="25"/>
      <c r="FN250" s="19"/>
      <c r="FO250" s="93"/>
      <c r="FP250" s="93"/>
      <c r="FQ250" s="93"/>
      <c r="FR250" s="93"/>
      <c r="FS250" s="93"/>
      <c r="FT250" s="93"/>
      <c r="FU250" s="93"/>
      <c r="FV250" s="93"/>
      <c r="FW250" s="917"/>
      <c r="FX250" s="25"/>
      <c r="FY250" s="916"/>
      <c r="FZ250" s="916"/>
      <c r="GA250" s="916"/>
      <c r="GB250" s="916"/>
      <c r="GC250" s="916"/>
      <c r="GD250" s="916"/>
      <c r="GE250" s="916"/>
      <c r="GF250" s="916"/>
      <c r="GG250" s="916"/>
      <c r="GH250" s="916"/>
      <c r="GI250" s="917"/>
      <c r="GJ250" s="25"/>
      <c r="GK250" s="19"/>
      <c r="GL250" s="20"/>
      <c r="GM250" s="25"/>
      <c r="GN250" s="19"/>
      <c r="GO250" s="20"/>
      <c r="GP250" s="25"/>
      <c r="GQ250" s="19"/>
      <c r="GR250" s="20"/>
      <c r="GS250" s="25"/>
      <c r="GT250" s="848">
        <v>52657</v>
      </c>
      <c r="GU250" s="19"/>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848">
        <v>52657</v>
      </c>
      <c r="IX250" s="93"/>
      <c r="IY250" s="93"/>
      <c r="IZ250" s="93"/>
      <c r="JA250" s="93"/>
      <c r="JB250" s="93"/>
      <c r="JC250" s="93"/>
      <c r="JD250" s="93"/>
      <c r="JE250" s="93"/>
      <c r="JF250" s="93"/>
      <c r="JG250" s="93"/>
      <c r="JH250" s="93"/>
      <c r="JI250" s="93"/>
      <c r="JJ250" s="93"/>
      <c r="JK250" s="93"/>
      <c r="JL250" s="93"/>
      <c r="JM250" s="93"/>
      <c r="JN250" s="93"/>
      <c r="JO250" s="93"/>
      <c r="JP250" s="93"/>
      <c r="JQ250" s="93"/>
      <c r="JR250" s="93"/>
      <c r="JS250" s="93"/>
      <c r="JT250" s="20"/>
      <c r="JU250" s="29"/>
      <c r="JV250" s="19"/>
      <c r="JW250" s="93"/>
      <c r="JX250" s="93"/>
      <c r="JY250" s="93"/>
      <c r="JZ250" s="93"/>
      <c r="KA250" s="93"/>
      <c r="KB250" s="93"/>
      <c r="KC250" s="93"/>
      <c r="KD250" s="93"/>
      <c r="KE250" s="93"/>
      <c r="KF250" s="93"/>
      <c r="KG250" s="93"/>
      <c r="KH250" s="93"/>
      <c r="KI250" s="93"/>
      <c r="KJ250" s="93"/>
      <c r="KK250" s="93"/>
      <c r="KL250" s="93"/>
      <c r="KM250" s="93"/>
      <c r="KN250" s="93"/>
      <c r="KO250" s="93"/>
      <c r="KP250" s="93"/>
      <c r="KQ250" s="93"/>
      <c r="KR250" s="93"/>
      <c r="KS250" s="93"/>
      <c r="KT250" s="93"/>
      <c r="KU250" s="93"/>
      <c r="KV250" s="93"/>
      <c r="KW250" s="20"/>
      <c r="KX250" s="29"/>
      <c r="KY250" s="19"/>
      <c r="KZ250" s="93"/>
      <c r="LA250" s="93"/>
      <c r="LB250" s="93"/>
      <c r="LC250" s="93"/>
      <c r="LD250" s="93"/>
      <c r="LE250" s="93"/>
      <c r="LF250" s="93"/>
      <c r="LG250" s="93"/>
      <c r="LH250" s="93"/>
      <c r="LI250" s="93"/>
      <c r="LJ250" s="93"/>
      <c r="LK250" s="93"/>
      <c r="LL250" s="93"/>
      <c r="LM250" s="93"/>
      <c r="LN250" s="93"/>
      <c r="LO250" s="93"/>
      <c r="LP250" s="93"/>
      <c r="LQ250" s="93"/>
      <c r="LR250" s="93"/>
      <c r="LS250" s="93"/>
      <c r="LT250" s="93"/>
      <c r="LU250" s="93"/>
      <c r="LV250" s="93"/>
      <c r="LW250" s="93"/>
      <c r="LX250" s="93"/>
      <c r="LY250" s="93"/>
      <c r="LZ250" s="93"/>
      <c r="MA250" s="93"/>
      <c r="MB250" s="93"/>
      <c r="MC250" s="93"/>
      <c r="MD250" s="93"/>
      <c r="ME250" s="93"/>
      <c r="MF250" s="93"/>
      <c r="MG250" s="93"/>
      <c r="MH250" s="20"/>
      <c r="MI250" s="29"/>
      <c r="MJ250" s="29" t="str">
        <f t="shared" si="97"/>
        <v>Trimestre 12044</v>
      </c>
      <c r="MK250" s="848">
        <v>52657</v>
      </c>
      <c r="ML250" s="1991"/>
      <c r="MM250" s="1991"/>
      <c r="MN250" s="1991"/>
      <c r="MO250" s="1991"/>
      <c r="MP250" s="1991"/>
      <c r="MQ250" s="1991"/>
      <c r="MR250" s="1991"/>
      <c r="MS250" s="1991"/>
      <c r="MT250" s="1991"/>
      <c r="MU250" s="1991"/>
      <c r="MV250" s="1991"/>
      <c r="MW250" s="1991"/>
      <c r="MX250" s="1991"/>
      <c r="MY250" s="1991"/>
      <c r="MZ250" s="1991"/>
      <c r="NA250" s="1991"/>
      <c r="NB250" s="1991"/>
      <c r="NC250" s="1991"/>
      <c r="ND250" s="1991"/>
      <c r="NE250" s="1991"/>
      <c r="NF250" s="1991"/>
      <c r="NG250" s="1991"/>
      <c r="NH250" s="1991"/>
      <c r="NI250" s="1991"/>
      <c r="NJ250" s="1991"/>
      <c r="NK250" s="1991"/>
      <c r="NL250" s="29"/>
    </row>
    <row r="251" spans="1:376">
      <c r="A251" s="41">
        <f t="shared" si="95"/>
        <v>2044</v>
      </c>
      <c r="B251" s="785">
        <v>52749</v>
      </c>
      <c r="C251" s="19"/>
      <c r="D251" s="93"/>
      <c r="E251" s="93"/>
      <c r="F251" s="93"/>
      <c r="G251" s="93"/>
      <c r="H251" s="93"/>
      <c r="I251" s="93"/>
      <c r="J251" s="93"/>
      <c r="K251" s="93"/>
      <c r="L251" s="93"/>
      <c r="M251" s="20"/>
      <c r="N251" s="25"/>
      <c r="O251" s="889">
        <f t="shared" si="94"/>
        <v>2044</v>
      </c>
      <c r="P251" s="29" t="str">
        <f t="shared" si="96"/>
        <v>Trimestre 22044</v>
      </c>
      <c r="Q251" s="848">
        <v>52749</v>
      </c>
      <c r="R251" s="733"/>
      <c r="S251" s="570"/>
      <c r="T251" s="570"/>
      <c r="U251" s="734"/>
      <c r="V251" s="25"/>
      <c r="W251" s="19"/>
      <c r="X251" s="93"/>
      <c r="Y251" s="93"/>
      <c r="Z251" s="93"/>
      <c r="AA251" s="93"/>
      <c r="AB251" s="93"/>
      <c r="AC251" s="93"/>
      <c r="AD251" s="93"/>
      <c r="AE251" s="20"/>
      <c r="AF251" s="25"/>
      <c r="AG251" s="19"/>
      <c r="AH251" s="93"/>
      <c r="AI251" s="93"/>
      <c r="AJ251" s="93"/>
      <c r="AK251" s="93"/>
      <c r="AL251" s="93"/>
      <c r="AM251" s="93"/>
      <c r="AN251" s="20"/>
      <c r="AO251" s="19"/>
      <c r="AP251" s="93"/>
      <c r="AQ251" s="93"/>
      <c r="AR251" s="93"/>
      <c r="AS251" s="20"/>
      <c r="AT251" s="19"/>
      <c r="AU251" s="93"/>
      <c r="AV251" s="20"/>
      <c r="AW251" s="19"/>
      <c r="AX251" s="93"/>
      <c r="AY251" s="93"/>
      <c r="AZ251" s="93"/>
      <c r="BA251" s="93"/>
      <c r="BB251" s="93"/>
      <c r="BC251" s="20"/>
      <c r="BD251" s="19"/>
      <c r="BE251" s="93"/>
      <c r="BF251" s="93"/>
      <c r="BG251" s="93"/>
      <c r="BH251" s="93"/>
      <c r="BI251" s="93"/>
      <c r="BJ251" s="93"/>
      <c r="BK251" s="20"/>
      <c r="BL251" s="19"/>
      <c r="BM251" s="93"/>
      <c r="BN251" s="93"/>
      <c r="BO251" s="93"/>
      <c r="BP251" s="93"/>
      <c r="BQ251" s="20"/>
      <c r="BR251" s="19"/>
      <c r="BS251" s="93"/>
      <c r="BT251" s="93"/>
      <c r="BU251" s="20"/>
      <c r="BV251" s="19"/>
      <c r="BW251" s="93"/>
      <c r="BX251" s="93"/>
      <c r="BY251" s="93"/>
      <c r="BZ251" s="93"/>
      <c r="CA251" s="93"/>
      <c r="CB251" s="20"/>
      <c r="CC251" s="25"/>
      <c r="CD251" s="19"/>
      <c r="CE251" s="93"/>
      <c r="CF251" s="20"/>
      <c r="CG251" s="25"/>
      <c r="CH251" s="19"/>
      <c r="CI251" s="93"/>
      <c r="CJ251" s="93"/>
      <c r="CK251" s="93"/>
      <c r="CL251" s="93"/>
      <c r="CM251" s="93"/>
      <c r="CN251" s="93"/>
      <c r="CO251" s="93"/>
      <c r="CP251" s="93"/>
      <c r="CQ251" s="93"/>
      <c r="CR251" s="214"/>
      <c r="CS251" s="20"/>
      <c r="CT251" s="25"/>
      <c r="CU251" s="19"/>
      <c r="CV251" s="93"/>
      <c r="CW251" s="93"/>
      <c r="CX251" s="93"/>
      <c r="CY251" s="93"/>
      <c r="CZ251" s="93"/>
      <c r="DA251" s="93"/>
      <c r="DB251" s="20"/>
      <c r="DC251" s="25"/>
      <c r="DD251" s="785">
        <v>52749</v>
      </c>
      <c r="DE251" s="19"/>
      <c r="DF251" s="20"/>
      <c r="DG251" s="25"/>
      <c r="DH251" s="19"/>
      <c r="DI251" s="20"/>
      <c r="DJ251" s="25"/>
      <c r="DK251" s="19"/>
      <c r="DL251" s="20"/>
      <c r="DM251" s="19"/>
      <c r="DN251" s="20"/>
      <c r="DO251" s="25"/>
      <c r="DP251" s="19"/>
      <c r="DQ251" s="93"/>
      <c r="DR251" s="20"/>
      <c r="DS251" s="25"/>
      <c r="DT251" s="19"/>
      <c r="DU251" s="93"/>
      <c r="DV251" s="20"/>
      <c r="DW251" s="25"/>
      <c r="DX251" s="19"/>
      <c r="DY251" s="20"/>
      <c r="DZ251" s="25"/>
      <c r="EA251" s="19"/>
      <c r="EB251" s="93"/>
      <c r="EC251" s="93"/>
      <c r="ED251" s="93"/>
      <c r="EE251" s="20"/>
      <c r="EF251" s="25"/>
      <c r="EG251" s="19"/>
      <c r="EH251" s="93"/>
      <c r="EI251" s="93"/>
      <c r="EJ251" s="93"/>
      <c r="EK251" s="20"/>
      <c r="EL251" s="25"/>
      <c r="EM251" s="19"/>
      <c r="EN251" s="93"/>
      <c r="EO251" s="93"/>
      <c r="EP251" s="93"/>
      <c r="EQ251" s="93"/>
      <c r="ER251" s="93"/>
      <c r="ES251" s="93"/>
      <c r="ET251" s="93"/>
      <c r="EU251" s="93"/>
      <c r="EV251" s="20"/>
      <c r="EW251" s="25"/>
      <c r="EX251" s="915"/>
      <c r="EY251" s="916"/>
      <c r="EZ251" s="916"/>
      <c r="FA251" s="916"/>
      <c r="FB251" s="916"/>
      <c r="FC251" s="916"/>
      <c r="FD251" s="916"/>
      <c r="FE251" s="916"/>
      <c r="FF251" s="916"/>
      <c r="FG251" s="917"/>
      <c r="FH251" s="25"/>
      <c r="FI251" s="848">
        <v>52749</v>
      </c>
      <c r="FJ251" s="19"/>
      <c r="FK251" s="93"/>
      <c r="FL251" s="20"/>
      <c r="FM251" s="25"/>
      <c r="FN251" s="19"/>
      <c r="FO251" s="93"/>
      <c r="FP251" s="93"/>
      <c r="FQ251" s="93"/>
      <c r="FR251" s="93"/>
      <c r="FS251" s="93"/>
      <c r="FT251" s="93"/>
      <c r="FU251" s="93"/>
      <c r="FV251" s="93"/>
      <c r="FW251" s="917"/>
      <c r="FX251" s="25"/>
      <c r="FY251" s="916"/>
      <c r="FZ251" s="916"/>
      <c r="GA251" s="916"/>
      <c r="GB251" s="916"/>
      <c r="GC251" s="916"/>
      <c r="GD251" s="916"/>
      <c r="GE251" s="916"/>
      <c r="GF251" s="916"/>
      <c r="GG251" s="916"/>
      <c r="GH251" s="916"/>
      <c r="GI251" s="917"/>
      <c r="GJ251" s="25"/>
      <c r="GK251" s="19"/>
      <c r="GL251" s="20"/>
      <c r="GM251" s="25"/>
      <c r="GN251" s="19"/>
      <c r="GO251" s="20"/>
      <c r="GP251" s="25"/>
      <c r="GQ251" s="19"/>
      <c r="GR251" s="20"/>
      <c r="GS251" s="25"/>
      <c r="GT251" s="848">
        <v>52749</v>
      </c>
      <c r="GU251" s="19"/>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848">
        <v>52749</v>
      </c>
      <c r="IX251" s="93"/>
      <c r="IY251" s="93"/>
      <c r="IZ251" s="93"/>
      <c r="JA251" s="93"/>
      <c r="JB251" s="93"/>
      <c r="JC251" s="93"/>
      <c r="JD251" s="93"/>
      <c r="JE251" s="93"/>
      <c r="JF251" s="93"/>
      <c r="JG251" s="93"/>
      <c r="JH251" s="93"/>
      <c r="JI251" s="93"/>
      <c r="JJ251" s="93"/>
      <c r="JK251" s="93"/>
      <c r="JL251" s="93"/>
      <c r="JM251" s="93"/>
      <c r="JN251" s="93"/>
      <c r="JO251" s="93"/>
      <c r="JP251" s="93"/>
      <c r="JQ251" s="93"/>
      <c r="JR251" s="93"/>
      <c r="JS251" s="93"/>
      <c r="JT251" s="20"/>
      <c r="JU251" s="29"/>
      <c r="JV251" s="19"/>
      <c r="JW251" s="93"/>
      <c r="JX251" s="93"/>
      <c r="JY251" s="93"/>
      <c r="JZ251" s="93"/>
      <c r="KA251" s="93"/>
      <c r="KB251" s="93"/>
      <c r="KC251" s="93"/>
      <c r="KD251" s="93"/>
      <c r="KE251" s="93"/>
      <c r="KF251" s="93"/>
      <c r="KG251" s="93"/>
      <c r="KH251" s="93"/>
      <c r="KI251" s="93"/>
      <c r="KJ251" s="93"/>
      <c r="KK251" s="93"/>
      <c r="KL251" s="93"/>
      <c r="KM251" s="93"/>
      <c r="KN251" s="93"/>
      <c r="KO251" s="93"/>
      <c r="KP251" s="93"/>
      <c r="KQ251" s="93"/>
      <c r="KR251" s="93"/>
      <c r="KS251" s="93"/>
      <c r="KT251" s="93"/>
      <c r="KU251" s="93"/>
      <c r="KV251" s="93"/>
      <c r="KW251" s="20"/>
      <c r="KX251" s="29"/>
      <c r="KY251" s="19"/>
      <c r="KZ251" s="93"/>
      <c r="LA251" s="93"/>
      <c r="LB251" s="93"/>
      <c r="LC251" s="93"/>
      <c r="LD251" s="93"/>
      <c r="LE251" s="93"/>
      <c r="LF251" s="93"/>
      <c r="LG251" s="93"/>
      <c r="LH251" s="93"/>
      <c r="LI251" s="93"/>
      <c r="LJ251" s="93"/>
      <c r="LK251" s="93"/>
      <c r="LL251" s="93"/>
      <c r="LM251" s="93"/>
      <c r="LN251" s="93"/>
      <c r="LO251" s="93"/>
      <c r="LP251" s="93"/>
      <c r="LQ251" s="93"/>
      <c r="LR251" s="93"/>
      <c r="LS251" s="93"/>
      <c r="LT251" s="93"/>
      <c r="LU251" s="93"/>
      <c r="LV251" s="93"/>
      <c r="LW251" s="93"/>
      <c r="LX251" s="93"/>
      <c r="LY251" s="93"/>
      <c r="LZ251" s="93"/>
      <c r="MA251" s="93"/>
      <c r="MB251" s="93"/>
      <c r="MC251" s="93"/>
      <c r="MD251" s="93"/>
      <c r="ME251" s="93"/>
      <c r="MF251" s="93"/>
      <c r="MG251" s="93"/>
      <c r="MH251" s="20"/>
      <c r="MI251" s="29"/>
      <c r="MJ251" s="29" t="str">
        <f t="shared" si="97"/>
        <v>Trimestre 22044</v>
      </c>
      <c r="MK251" s="848">
        <v>52749</v>
      </c>
      <c r="ML251" s="1991"/>
      <c r="MM251" s="1991"/>
      <c r="MN251" s="1991"/>
      <c r="MO251" s="1991"/>
      <c r="MP251" s="1991"/>
      <c r="MQ251" s="1991"/>
      <c r="MR251" s="1991"/>
      <c r="MS251" s="1991"/>
      <c r="MT251" s="1991"/>
      <c r="MU251" s="1991"/>
      <c r="MV251" s="1991"/>
      <c r="MW251" s="1991"/>
      <c r="MX251" s="1991"/>
      <c r="MY251" s="1991"/>
      <c r="MZ251" s="1991"/>
      <c r="NA251" s="1991"/>
      <c r="NB251" s="1991"/>
      <c r="NC251" s="1991"/>
      <c r="ND251" s="1991"/>
      <c r="NE251" s="1991"/>
      <c r="NF251" s="1991"/>
      <c r="NG251" s="1991"/>
      <c r="NH251" s="1991"/>
      <c r="NI251" s="1991"/>
      <c r="NJ251" s="1991"/>
      <c r="NK251" s="1991"/>
      <c r="NL251" s="29"/>
    </row>
    <row r="252" spans="1:376">
      <c r="A252" s="41">
        <f t="shared" si="95"/>
        <v>2044</v>
      </c>
      <c r="B252" s="785">
        <v>52841</v>
      </c>
      <c r="C252" s="19"/>
      <c r="D252" s="93"/>
      <c r="E252" s="93"/>
      <c r="F252" s="93"/>
      <c r="G252" s="93"/>
      <c r="H252" s="93"/>
      <c r="I252" s="93"/>
      <c r="J252" s="93"/>
      <c r="K252" s="93"/>
      <c r="L252" s="93"/>
      <c r="M252" s="20"/>
      <c r="N252" s="25"/>
      <c r="O252" s="889">
        <f t="shared" si="94"/>
        <v>2044</v>
      </c>
      <c r="P252" s="29" t="str">
        <f t="shared" si="96"/>
        <v>Trimestre 32044</v>
      </c>
      <c r="Q252" s="848">
        <v>52841</v>
      </c>
      <c r="R252" s="733"/>
      <c r="S252" s="570"/>
      <c r="T252" s="570"/>
      <c r="U252" s="734"/>
      <c r="V252" s="25"/>
      <c r="W252" s="19"/>
      <c r="X252" s="93"/>
      <c r="Y252" s="93"/>
      <c r="Z252" s="93"/>
      <c r="AA252" s="93"/>
      <c r="AB252" s="93"/>
      <c r="AC252" s="93"/>
      <c r="AD252" s="93"/>
      <c r="AE252" s="20"/>
      <c r="AF252" s="25"/>
      <c r="AG252" s="19"/>
      <c r="AH252" s="93"/>
      <c r="AI252" s="93"/>
      <c r="AJ252" s="93"/>
      <c r="AK252" s="93"/>
      <c r="AL252" s="93"/>
      <c r="AM252" s="93"/>
      <c r="AN252" s="20"/>
      <c r="AO252" s="19"/>
      <c r="AP252" s="93"/>
      <c r="AQ252" s="93"/>
      <c r="AR252" s="93"/>
      <c r="AS252" s="20"/>
      <c r="AT252" s="19"/>
      <c r="AU252" s="93"/>
      <c r="AV252" s="20"/>
      <c r="AW252" s="19"/>
      <c r="AX252" s="93"/>
      <c r="AY252" s="93"/>
      <c r="AZ252" s="93"/>
      <c r="BA252" s="93"/>
      <c r="BB252" s="93"/>
      <c r="BC252" s="20"/>
      <c r="BD252" s="19"/>
      <c r="BE252" s="93"/>
      <c r="BF252" s="93"/>
      <c r="BG252" s="93"/>
      <c r="BH252" s="93"/>
      <c r="BI252" s="93"/>
      <c r="BJ252" s="93"/>
      <c r="BK252" s="20"/>
      <c r="BL252" s="19"/>
      <c r="BM252" s="93"/>
      <c r="BN252" s="93"/>
      <c r="BO252" s="93"/>
      <c r="BP252" s="93"/>
      <c r="BQ252" s="20"/>
      <c r="BR252" s="19"/>
      <c r="BS252" s="93"/>
      <c r="BT252" s="93"/>
      <c r="BU252" s="20"/>
      <c r="BV252" s="19"/>
      <c r="BW252" s="93"/>
      <c r="BX252" s="93"/>
      <c r="BY252" s="93"/>
      <c r="BZ252" s="93"/>
      <c r="CA252" s="93"/>
      <c r="CB252" s="20"/>
      <c r="CC252" s="25"/>
      <c r="CD252" s="19"/>
      <c r="CE252" s="93"/>
      <c r="CF252" s="20"/>
      <c r="CG252" s="25"/>
      <c r="CH252" s="19"/>
      <c r="CI252" s="93"/>
      <c r="CJ252" s="93"/>
      <c r="CK252" s="93"/>
      <c r="CL252" s="93"/>
      <c r="CM252" s="93"/>
      <c r="CN252" s="93"/>
      <c r="CO252" s="93"/>
      <c r="CP252" s="93"/>
      <c r="CQ252" s="93"/>
      <c r="CR252" s="214"/>
      <c r="CS252" s="20"/>
      <c r="CT252" s="25"/>
      <c r="CU252" s="19"/>
      <c r="CV252" s="93"/>
      <c r="CW252" s="93"/>
      <c r="CX252" s="93"/>
      <c r="CY252" s="93"/>
      <c r="CZ252" s="93"/>
      <c r="DA252" s="93"/>
      <c r="DB252" s="20"/>
      <c r="DC252" s="25"/>
      <c r="DD252" s="785">
        <v>52841</v>
      </c>
      <c r="DE252" s="19"/>
      <c r="DF252" s="20"/>
      <c r="DG252" s="25"/>
      <c r="DH252" s="19"/>
      <c r="DI252" s="20"/>
      <c r="DJ252" s="25"/>
      <c r="DK252" s="19"/>
      <c r="DL252" s="20"/>
      <c r="DM252" s="19"/>
      <c r="DN252" s="20"/>
      <c r="DO252" s="25"/>
      <c r="DP252" s="19"/>
      <c r="DQ252" s="93"/>
      <c r="DR252" s="20"/>
      <c r="DS252" s="25"/>
      <c r="DT252" s="19"/>
      <c r="DU252" s="93"/>
      <c r="DV252" s="20"/>
      <c r="DW252" s="25"/>
      <c r="DX252" s="19"/>
      <c r="DY252" s="20"/>
      <c r="DZ252" s="25"/>
      <c r="EA252" s="19"/>
      <c r="EB252" s="93"/>
      <c r="EC252" s="93"/>
      <c r="ED252" s="93"/>
      <c r="EE252" s="20"/>
      <c r="EF252" s="25"/>
      <c r="EG252" s="19"/>
      <c r="EH252" s="93"/>
      <c r="EI252" s="93"/>
      <c r="EJ252" s="93"/>
      <c r="EK252" s="20"/>
      <c r="EL252" s="25"/>
      <c r="EM252" s="19"/>
      <c r="EN252" s="93"/>
      <c r="EO252" s="93"/>
      <c r="EP252" s="93"/>
      <c r="EQ252" s="93"/>
      <c r="ER252" s="93"/>
      <c r="ES252" s="93"/>
      <c r="ET252" s="93"/>
      <c r="EU252" s="93"/>
      <c r="EV252" s="20"/>
      <c r="EW252" s="25"/>
      <c r="EX252" s="915"/>
      <c r="EY252" s="916"/>
      <c r="EZ252" s="916"/>
      <c r="FA252" s="916"/>
      <c r="FB252" s="916"/>
      <c r="FC252" s="916"/>
      <c r="FD252" s="916"/>
      <c r="FE252" s="916"/>
      <c r="FF252" s="916"/>
      <c r="FG252" s="917"/>
      <c r="FH252" s="25"/>
      <c r="FI252" s="848">
        <v>52841</v>
      </c>
      <c r="FJ252" s="19"/>
      <c r="FK252" s="93"/>
      <c r="FL252" s="20"/>
      <c r="FM252" s="25"/>
      <c r="FN252" s="19"/>
      <c r="FO252" s="93"/>
      <c r="FP252" s="93"/>
      <c r="FQ252" s="93"/>
      <c r="FR252" s="93"/>
      <c r="FS252" s="93"/>
      <c r="FT252" s="93"/>
      <c r="FU252" s="93"/>
      <c r="FV252" s="93"/>
      <c r="FW252" s="917"/>
      <c r="FX252" s="25"/>
      <c r="FY252" s="916"/>
      <c r="FZ252" s="916"/>
      <c r="GA252" s="916"/>
      <c r="GB252" s="916"/>
      <c r="GC252" s="916"/>
      <c r="GD252" s="916"/>
      <c r="GE252" s="916"/>
      <c r="GF252" s="916"/>
      <c r="GG252" s="916"/>
      <c r="GH252" s="916"/>
      <c r="GI252" s="917"/>
      <c r="GJ252" s="25"/>
      <c r="GK252" s="19"/>
      <c r="GL252" s="20"/>
      <c r="GM252" s="25"/>
      <c r="GN252" s="19"/>
      <c r="GO252" s="20"/>
      <c r="GP252" s="25"/>
      <c r="GQ252" s="19"/>
      <c r="GR252" s="20"/>
      <c r="GS252" s="25"/>
      <c r="GT252" s="848">
        <v>52841</v>
      </c>
      <c r="GU252" s="19"/>
      <c r="GV252" s="93"/>
      <c r="GW252" s="93"/>
      <c r="GX252" s="93"/>
      <c r="GY252" s="93"/>
      <c r="GZ252" s="93"/>
      <c r="HA252" s="93"/>
      <c r="HB252" s="93"/>
      <c r="HC252" s="93"/>
      <c r="HD252" s="93"/>
      <c r="HE252" s="93"/>
      <c r="HF252" s="93"/>
      <c r="HG252" s="93"/>
      <c r="HH252" s="93"/>
      <c r="HI252" s="93"/>
      <c r="HJ252" s="93"/>
      <c r="HK252" s="93"/>
      <c r="HL252" s="93"/>
      <c r="HM252" s="93"/>
      <c r="HN252" s="93"/>
      <c r="HO252" s="93"/>
      <c r="HP252" s="93"/>
      <c r="HQ252" s="93"/>
      <c r="HR252" s="93"/>
      <c r="HS252" s="93"/>
      <c r="HT252" s="93"/>
      <c r="HU252" s="93"/>
      <c r="HV252" s="93"/>
      <c r="HW252" s="93"/>
      <c r="HX252" s="93"/>
      <c r="HY252" s="93"/>
      <c r="HZ252" s="93"/>
      <c r="IA252" s="93"/>
      <c r="IB252" s="93"/>
      <c r="IC252" s="93"/>
      <c r="ID252" s="93"/>
      <c r="IE252" s="93"/>
      <c r="IF252" s="93"/>
      <c r="IG252" s="93"/>
      <c r="IH252" s="93"/>
      <c r="II252" s="93"/>
      <c r="IJ252" s="93"/>
      <c r="IK252" s="93"/>
      <c r="IL252" s="93"/>
      <c r="IM252" s="93"/>
      <c r="IN252" s="93"/>
      <c r="IO252" s="93"/>
      <c r="IP252" s="93"/>
      <c r="IQ252" s="93"/>
      <c r="IR252" s="93"/>
      <c r="IS252" s="93"/>
      <c r="IT252" s="93"/>
      <c r="IU252" s="93"/>
      <c r="IV252" s="93"/>
      <c r="IW252" s="848">
        <v>52841</v>
      </c>
      <c r="IX252" s="93"/>
      <c r="IY252" s="93"/>
      <c r="IZ252" s="93"/>
      <c r="JA252" s="93"/>
      <c r="JB252" s="93"/>
      <c r="JC252" s="93"/>
      <c r="JD252" s="93"/>
      <c r="JE252" s="93"/>
      <c r="JF252" s="93"/>
      <c r="JG252" s="93"/>
      <c r="JH252" s="93"/>
      <c r="JI252" s="93"/>
      <c r="JJ252" s="93"/>
      <c r="JK252" s="93"/>
      <c r="JL252" s="93"/>
      <c r="JM252" s="93"/>
      <c r="JN252" s="93"/>
      <c r="JO252" s="93"/>
      <c r="JP252" s="93"/>
      <c r="JQ252" s="93"/>
      <c r="JR252" s="93"/>
      <c r="JS252" s="93"/>
      <c r="JT252" s="20"/>
      <c r="JU252" s="29"/>
      <c r="JV252" s="19"/>
      <c r="JW252" s="93"/>
      <c r="JX252" s="93"/>
      <c r="JY252" s="93"/>
      <c r="JZ252" s="93"/>
      <c r="KA252" s="93"/>
      <c r="KB252" s="93"/>
      <c r="KC252" s="93"/>
      <c r="KD252" s="93"/>
      <c r="KE252" s="93"/>
      <c r="KF252" s="93"/>
      <c r="KG252" s="93"/>
      <c r="KH252" s="93"/>
      <c r="KI252" s="93"/>
      <c r="KJ252" s="93"/>
      <c r="KK252" s="93"/>
      <c r="KL252" s="93"/>
      <c r="KM252" s="93"/>
      <c r="KN252" s="93"/>
      <c r="KO252" s="93"/>
      <c r="KP252" s="93"/>
      <c r="KQ252" s="93"/>
      <c r="KR252" s="93"/>
      <c r="KS252" s="93"/>
      <c r="KT252" s="93"/>
      <c r="KU252" s="93"/>
      <c r="KV252" s="93"/>
      <c r="KW252" s="20"/>
      <c r="KX252" s="29"/>
      <c r="KY252" s="19"/>
      <c r="KZ252" s="93"/>
      <c r="LA252" s="93"/>
      <c r="LB252" s="93"/>
      <c r="LC252" s="93"/>
      <c r="LD252" s="93"/>
      <c r="LE252" s="93"/>
      <c r="LF252" s="93"/>
      <c r="LG252" s="93"/>
      <c r="LH252" s="93"/>
      <c r="LI252" s="93"/>
      <c r="LJ252" s="93"/>
      <c r="LK252" s="93"/>
      <c r="LL252" s="93"/>
      <c r="LM252" s="93"/>
      <c r="LN252" s="93"/>
      <c r="LO252" s="93"/>
      <c r="LP252" s="93"/>
      <c r="LQ252" s="93"/>
      <c r="LR252" s="93"/>
      <c r="LS252" s="93"/>
      <c r="LT252" s="93"/>
      <c r="LU252" s="93"/>
      <c r="LV252" s="93"/>
      <c r="LW252" s="93"/>
      <c r="LX252" s="93"/>
      <c r="LY252" s="93"/>
      <c r="LZ252" s="93"/>
      <c r="MA252" s="93"/>
      <c r="MB252" s="93"/>
      <c r="MC252" s="93"/>
      <c r="MD252" s="93"/>
      <c r="ME252" s="93"/>
      <c r="MF252" s="93"/>
      <c r="MG252" s="93"/>
      <c r="MH252" s="20"/>
      <c r="MI252" s="29"/>
      <c r="MJ252" s="29" t="str">
        <f t="shared" si="97"/>
        <v>Trimestre 32044</v>
      </c>
      <c r="MK252" s="848">
        <v>52841</v>
      </c>
      <c r="ML252" s="1991"/>
      <c r="MM252" s="1991"/>
      <c r="MN252" s="1991"/>
      <c r="MO252" s="1991"/>
      <c r="MP252" s="1991"/>
      <c r="MQ252" s="1991"/>
      <c r="MR252" s="1991"/>
      <c r="MS252" s="1991"/>
      <c r="MT252" s="1991"/>
      <c r="MU252" s="1991"/>
      <c r="MV252" s="1991"/>
      <c r="MW252" s="1991"/>
      <c r="MX252" s="1991"/>
      <c r="MY252" s="1991"/>
      <c r="MZ252" s="1991"/>
      <c r="NA252" s="1991"/>
      <c r="NB252" s="1991"/>
      <c r="NC252" s="1991"/>
      <c r="ND252" s="1991"/>
      <c r="NE252" s="1991"/>
      <c r="NF252" s="1991"/>
      <c r="NG252" s="1991"/>
      <c r="NH252" s="1991"/>
      <c r="NI252" s="1991"/>
      <c r="NJ252" s="1991"/>
      <c r="NK252" s="1991"/>
      <c r="NL252" s="29"/>
    </row>
    <row r="253" spans="1:376">
      <c r="A253" s="41">
        <f t="shared" si="95"/>
        <v>2044</v>
      </c>
      <c r="B253" s="785">
        <v>52932</v>
      </c>
      <c r="C253" s="19"/>
      <c r="D253" s="93"/>
      <c r="E253" s="93"/>
      <c r="F253" s="93"/>
      <c r="G253" s="93"/>
      <c r="H253" s="93"/>
      <c r="I253" s="93"/>
      <c r="J253" s="93"/>
      <c r="K253" s="93"/>
      <c r="L253" s="93"/>
      <c r="M253" s="20"/>
      <c r="N253" s="25"/>
      <c r="O253" s="889">
        <f t="shared" si="94"/>
        <v>2044</v>
      </c>
      <c r="P253" s="29" t="str">
        <f t="shared" si="96"/>
        <v>Trimestre 42044</v>
      </c>
      <c r="Q253" s="848">
        <v>52932</v>
      </c>
      <c r="R253" s="733"/>
      <c r="S253" s="570"/>
      <c r="T253" s="570"/>
      <c r="U253" s="734"/>
      <c r="V253" s="25"/>
      <c r="W253" s="19"/>
      <c r="X253" s="93"/>
      <c r="Y253" s="93"/>
      <c r="Z253" s="93"/>
      <c r="AA253" s="93"/>
      <c r="AB253" s="93"/>
      <c r="AC253" s="93"/>
      <c r="AD253" s="93"/>
      <c r="AE253" s="20"/>
      <c r="AF253" s="25"/>
      <c r="AG253" s="19"/>
      <c r="AH253" s="93"/>
      <c r="AI253" s="93"/>
      <c r="AJ253" s="93"/>
      <c r="AK253" s="93"/>
      <c r="AL253" s="93"/>
      <c r="AM253" s="93"/>
      <c r="AN253" s="20"/>
      <c r="AO253" s="19"/>
      <c r="AP253" s="93"/>
      <c r="AQ253" s="93"/>
      <c r="AR253" s="93"/>
      <c r="AS253" s="20"/>
      <c r="AT253" s="19"/>
      <c r="AU253" s="93"/>
      <c r="AV253" s="20"/>
      <c r="AW253" s="19"/>
      <c r="AX253" s="93"/>
      <c r="AY253" s="93"/>
      <c r="AZ253" s="93"/>
      <c r="BA253" s="93"/>
      <c r="BB253" s="93"/>
      <c r="BC253" s="20"/>
      <c r="BD253" s="19"/>
      <c r="BE253" s="93"/>
      <c r="BF253" s="93"/>
      <c r="BG253" s="93"/>
      <c r="BH253" s="93"/>
      <c r="BI253" s="93"/>
      <c r="BJ253" s="93"/>
      <c r="BK253" s="20"/>
      <c r="BL253" s="19"/>
      <c r="BM253" s="93"/>
      <c r="BN253" s="93"/>
      <c r="BO253" s="93"/>
      <c r="BP253" s="93"/>
      <c r="BQ253" s="20"/>
      <c r="BR253" s="19"/>
      <c r="BS253" s="93"/>
      <c r="BT253" s="93"/>
      <c r="BU253" s="20"/>
      <c r="BV253" s="19"/>
      <c r="BW253" s="93"/>
      <c r="BX253" s="93"/>
      <c r="BY253" s="93"/>
      <c r="BZ253" s="93"/>
      <c r="CA253" s="93"/>
      <c r="CB253" s="20"/>
      <c r="CC253" s="25"/>
      <c r="CD253" s="19"/>
      <c r="CE253" s="93"/>
      <c r="CF253" s="20"/>
      <c r="CG253" s="25"/>
      <c r="CH253" s="19"/>
      <c r="CI253" s="93"/>
      <c r="CJ253" s="93"/>
      <c r="CK253" s="93"/>
      <c r="CL253" s="93"/>
      <c r="CM253" s="93"/>
      <c r="CN253" s="93"/>
      <c r="CO253" s="93"/>
      <c r="CP253" s="93"/>
      <c r="CQ253" s="93"/>
      <c r="CR253" s="214"/>
      <c r="CS253" s="20"/>
      <c r="CT253" s="25"/>
      <c r="CU253" s="19"/>
      <c r="CV253" s="93"/>
      <c r="CW253" s="93"/>
      <c r="CX253" s="93"/>
      <c r="CY253" s="93"/>
      <c r="CZ253" s="93"/>
      <c r="DA253" s="93"/>
      <c r="DB253" s="20"/>
      <c r="DC253" s="25"/>
      <c r="DD253" s="785">
        <v>52932</v>
      </c>
      <c r="DE253" s="19"/>
      <c r="DF253" s="20"/>
      <c r="DG253" s="25"/>
      <c r="DH253" s="19"/>
      <c r="DI253" s="20"/>
      <c r="DJ253" s="25"/>
      <c r="DK253" s="19"/>
      <c r="DL253" s="20"/>
      <c r="DM253" s="19"/>
      <c r="DN253" s="20"/>
      <c r="DO253" s="25"/>
      <c r="DP253" s="19"/>
      <c r="DQ253" s="93"/>
      <c r="DR253" s="20"/>
      <c r="DS253" s="25"/>
      <c r="DT253" s="19"/>
      <c r="DU253" s="93"/>
      <c r="DV253" s="20"/>
      <c r="DW253" s="25"/>
      <c r="DX253" s="19"/>
      <c r="DY253" s="20"/>
      <c r="DZ253" s="25"/>
      <c r="EA253" s="19"/>
      <c r="EB253" s="93"/>
      <c r="EC253" s="93"/>
      <c r="ED253" s="93"/>
      <c r="EE253" s="20"/>
      <c r="EF253" s="25"/>
      <c r="EG253" s="19"/>
      <c r="EH253" s="93"/>
      <c r="EI253" s="93"/>
      <c r="EJ253" s="93"/>
      <c r="EK253" s="20"/>
      <c r="EL253" s="25"/>
      <c r="EM253" s="19"/>
      <c r="EN253" s="93"/>
      <c r="EO253" s="93"/>
      <c r="EP253" s="93"/>
      <c r="EQ253" s="93"/>
      <c r="ER253" s="93"/>
      <c r="ES253" s="93"/>
      <c r="ET253" s="93"/>
      <c r="EU253" s="93"/>
      <c r="EV253" s="20"/>
      <c r="EW253" s="25"/>
      <c r="EX253" s="915"/>
      <c r="EY253" s="916"/>
      <c r="EZ253" s="916"/>
      <c r="FA253" s="916"/>
      <c r="FB253" s="916"/>
      <c r="FC253" s="916"/>
      <c r="FD253" s="916"/>
      <c r="FE253" s="916"/>
      <c r="FF253" s="916"/>
      <c r="FG253" s="917"/>
      <c r="FH253" s="25"/>
      <c r="FI253" s="848">
        <v>52932</v>
      </c>
      <c r="FJ253" s="19"/>
      <c r="FK253" s="93"/>
      <c r="FL253" s="20"/>
      <c r="FM253" s="25"/>
      <c r="FN253" s="19"/>
      <c r="FO253" s="93"/>
      <c r="FP253" s="93"/>
      <c r="FQ253" s="93"/>
      <c r="FR253" s="93"/>
      <c r="FS253" s="93"/>
      <c r="FT253" s="93"/>
      <c r="FU253" s="93"/>
      <c r="FV253" s="93"/>
      <c r="FW253" s="917"/>
      <c r="FX253" s="25"/>
      <c r="FY253" s="916"/>
      <c r="FZ253" s="916"/>
      <c r="GA253" s="916"/>
      <c r="GB253" s="916"/>
      <c r="GC253" s="916"/>
      <c r="GD253" s="916"/>
      <c r="GE253" s="916"/>
      <c r="GF253" s="916"/>
      <c r="GG253" s="916"/>
      <c r="GH253" s="916"/>
      <c r="GI253" s="917"/>
      <c r="GJ253" s="25"/>
      <c r="GK253" s="19"/>
      <c r="GL253" s="20"/>
      <c r="GM253" s="25"/>
      <c r="GN253" s="19"/>
      <c r="GO253" s="20"/>
      <c r="GP253" s="25"/>
      <c r="GQ253" s="19"/>
      <c r="GR253" s="20"/>
      <c r="GS253" s="25"/>
      <c r="GT253" s="848">
        <v>52932</v>
      </c>
      <c r="GU253" s="19"/>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848">
        <v>52932</v>
      </c>
      <c r="IX253" s="93"/>
      <c r="IY253" s="93"/>
      <c r="IZ253" s="93"/>
      <c r="JA253" s="93"/>
      <c r="JB253" s="93"/>
      <c r="JC253" s="93"/>
      <c r="JD253" s="93"/>
      <c r="JE253" s="93"/>
      <c r="JF253" s="93"/>
      <c r="JG253" s="93"/>
      <c r="JH253" s="93"/>
      <c r="JI253" s="93"/>
      <c r="JJ253" s="93"/>
      <c r="JK253" s="93"/>
      <c r="JL253" s="93"/>
      <c r="JM253" s="93"/>
      <c r="JN253" s="93"/>
      <c r="JO253" s="93"/>
      <c r="JP253" s="93"/>
      <c r="JQ253" s="93"/>
      <c r="JR253" s="93"/>
      <c r="JS253" s="93"/>
      <c r="JT253" s="20"/>
      <c r="JU253" s="29"/>
      <c r="JV253" s="19"/>
      <c r="JW253" s="93"/>
      <c r="JX253" s="93"/>
      <c r="JY253" s="93"/>
      <c r="JZ253" s="93"/>
      <c r="KA253" s="93"/>
      <c r="KB253" s="93"/>
      <c r="KC253" s="93"/>
      <c r="KD253" s="93"/>
      <c r="KE253" s="93"/>
      <c r="KF253" s="93"/>
      <c r="KG253" s="93"/>
      <c r="KH253" s="93"/>
      <c r="KI253" s="93"/>
      <c r="KJ253" s="93"/>
      <c r="KK253" s="93"/>
      <c r="KL253" s="93"/>
      <c r="KM253" s="93"/>
      <c r="KN253" s="93"/>
      <c r="KO253" s="93"/>
      <c r="KP253" s="93"/>
      <c r="KQ253" s="93"/>
      <c r="KR253" s="93"/>
      <c r="KS253" s="93"/>
      <c r="KT253" s="93"/>
      <c r="KU253" s="93"/>
      <c r="KV253" s="93"/>
      <c r="KW253" s="20"/>
      <c r="KX253" s="29"/>
      <c r="KY253" s="19"/>
      <c r="KZ253" s="93"/>
      <c r="LA253" s="93"/>
      <c r="LB253" s="93"/>
      <c r="LC253" s="93"/>
      <c r="LD253" s="93"/>
      <c r="LE253" s="93"/>
      <c r="LF253" s="93"/>
      <c r="LG253" s="93"/>
      <c r="LH253" s="93"/>
      <c r="LI253" s="93"/>
      <c r="LJ253" s="93"/>
      <c r="LK253" s="93"/>
      <c r="LL253" s="93"/>
      <c r="LM253" s="93"/>
      <c r="LN253" s="93"/>
      <c r="LO253" s="93"/>
      <c r="LP253" s="93"/>
      <c r="LQ253" s="93"/>
      <c r="LR253" s="93"/>
      <c r="LS253" s="93"/>
      <c r="LT253" s="93"/>
      <c r="LU253" s="93"/>
      <c r="LV253" s="93"/>
      <c r="LW253" s="93"/>
      <c r="LX253" s="93"/>
      <c r="LY253" s="93"/>
      <c r="LZ253" s="93"/>
      <c r="MA253" s="93"/>
      <c r="MB253" s="93"/>
      <c r="MC253" s="93"/>
      <c r="MD253" s="93"/>
      <c r="ME253" s="93"/>
      <c r="MF253" s="93"/>
      <c r="MG253" s="93"/>
      <c r="MH253" s="20"/>
      <c r="MI253" s="29"/>
      <c r="MJ253" s="29" t="str">
        <f t="shared" si="97"/>
        <v>Trimestre 42044</v>
      </c>
      <c r="MK253" s="848">
        <v>52932</v>
      </c>
      <c r="ML253" s="1991"/>
      <c r="MM253" s="1991"/>
      <c r="MN253" s="1991"/>
      <c r="MO253" s="1991"/>
      <c r="MP253" s="1991"/>
      <c r="MQ253" s="1991"/>
      <c r="MR253" s="1991"/>
      <c r="MS253" s="1991"/>
      <c r="MT253" s="1991"/>
      <c r="MU253" s="1991"/>
      <c r="MV253" s="1991"/>
      <c r="MW253" s="1991"/>
      <c r="MX253" s="1991"/>
      <c r="MY253" s="1991"/>
      <c r="MZ253" s="1991"/>
      <c r="NA253" s="1991"/>
      <c r="NB253" s="1991"/>
      <c r="NC253" s="1991"/>
      <c r="ND253" s="1991"/>
      <c r="NE253" s="1991"/>
      <c r="NF253" s="1991"/>
      <c r="NG253" s="1991"/>
      <c r="NH253" s="1991"/>
      <c r="NI253" s="1991"/>
      <c r="NJ253" s="1991"/>
      <c r="NK253" s="1991"/>
      <c r="NL253" s="29"/>
    </row>
    <row r="254" spans="1:376">
      <c r="A254" s="41">
        <f t="shared" si="95"/>
        <v>2045</v>
      </c>
      <c r="B254" s="785">
        <v>53022</v>
      </c>
      <c r="C254" s="19"/>
      <c r="D254" s="93"/>
      <c r="E254" s="93"/>
      <c r="F254" s="93"/>
      <c r="G254" s="93"/>
      <c r="H254" s="93"/>
      <c r="I254" s="93"/>
      <c r="J254" s="93"/>
      <c r="K254" s="93"/>
      <c r="L254" s="93"/>
      <c r="M254" s="20"/>
      <c r="N254" s="25"/>
      <c r="O254" s="889">
        <f t="shared" si="94"/>
        <v>2045</v>
      </c>
      <c r="P254" s="29" t="str">
        <f t="shared" si="96"/>
        <v>Trimestre 12045</v>
      </c>
      <c r="Q254" s="848">
        <v>53022</v>
      </c>
      <c r="R254" s="733"/>
      <c r="S254" s="570"/>
      <c r="T254" s="570"/>
      <c r="U254" s="734"/>
      <c r="V254" s="25"/>
      <c r="W254" s="19"/>
      <c r="X254" s="93"/>
      <c r="Y254" s="93"/>
      <c r="Z254" s="93"/>
      <c r="AA254" s="93"/>
      <c r="AB254" s="93"/>
      <c r="AC254" s="93"/>
      <c r="AD254" s="93"/>
      <c r="AE254" s="20"/>
      <c r="AF254" s="25"/>
      <c r="AG254" s="19"/>
      <c r="AH254" s="93"/>
      <c r="AI254" s="93"/>
      <c r="AJ254" s="93"/>
      <c r="AK254" s="93"/>
      <c r="AL254" s="93"/>
      <c r="AM254" s="93"/>
      <c r="AN254" s="20"/>
      <c r="AO254" s="19"/>
      <c r="AP254" s="93"/>
      <c r="AQ254" s="93"/>
      <c r="AR254" s="93"/>
      <c r="AS254" s="20"/>
      <c r="AT254" s="19"/>
      <c r="AU254" s="93"/>
      <c r="AV254" s="20"/>
      <c r="AW254" s="19"/>
      <c r="AX254" s="93"/>
      <c r="AY254" s="93"/>
      <c r="AZ254" s="93"/>
      <c r="BA254" s="93"/>
      <c r="BB254" s="93"/>
      <c r="BC254" s="20"/>
      <c r="BD254" s="19"/>
      <c r="BE254" s="93"/>
      <c r="BF254" s="93"/>
      <c r="BG254" s="93"/>
      <c r="BH254" s="93"/>
      <c r="BI254" s="93"/>
      <c r="BJ254" s="93"/>
      <c r="BK254" s="20"/>
      <c r="BL254" s="19"/>
      <c r="BM254" s="93"/>
      <c r="BN254" s="93"/>
      <c r="BO254" s="93"/>
      <c r="BP254" s="93"/>
      <c r="BQ254" s="20"/>
      <c r="BR254" s="19"/>
      <c r="BS254" s="93"/>
      <c r="BT254" s="93"/>
      <c r="BU254" s="20"/>
      <c r="BV254" s="19"/>
      <c r="BW254" s="93"/>
      <c r="BX254" s="93"/>
      <c r="BY254" s="93"/>
      <c r="BZ254" s="93"/>
      <c r="CA254" s="93"/>
      <c r="CB254" s="20"/>
      <c r="CC254" s="25"/>
      <c r="CD254" s="19"/>
      <c r="CE254" s="93"/>
      <c r="CF254" s="20"/>
      <c r="CG254" s="25"/>
      <c r="CH254" s="19"/>
      <c r="CI254" s="93"/>
      <c r="CJ254" s="93"/>
      <c r="CK254" s="93"/>
      <c r="CL254" s="93"/>
      <c r="CM254" s="93"/>
      <c r="CN254" s="93"/>
      <c r="CO254" s="93"/>
      <c r="CP254" s="93"/>
      <c r="CQ254" s="93"/>
      <c r="CR254" s="214"/>
      <c r="CS254" s="20"/>
      <c r="CT254" s="25"/>
      <c r="CU254" s="19"/>
      <c r="CV254" s="93"/>
      <c r="CW254" s="93"/>
      <c r="CX254" s="93"/>
      <c r="CY254" s="93"/>
      <c r="CZ254" s="93"/>
      <c r="DA254" s="93"/>
      <c r="DB254" s="20"/>
      <c r="DC254" s="25"/>
      <c r="DD254" s="785">
        <v>53022</v>
      </c>
      <c r="DE254" s="19"/>
      <c r="DF254" s="20"/>
      <c r="DG254" s="25"/>
      <c r="DH254" s="19"/>
      <c r="DI254" s="20"/>
      <c r="DJ254" s="25"/>
      <c r="DK254" s="19"/>
      <c r="DL254" s="20"/>
      <c r="DM254" s="19"/>
      <c r="DN254" s="20"/>
      <c r="DO254" s="25"/>
      <c r="DP254" s="19"/>
      <c r="DQ254" s="93"/>
      <c r="DR254" s="20"/>
      <c r="DS254" s="25"/>
      <c r="DT254" s="19"/>
      <c r="DU254" s="93"/>
      <c r="DV254" s="20"/>
      <c r="DW254" s="25"/>
      <c r="DX254" s="19"/>
      <c r="DY254" s="20"/>
      <c r="DZ254" s="25"/>
      <c r="EA254" s="19"/>
      <c r="EB254" s="93"/>
      <c r="EC254" s="93"/>
      <c r="ED254" s="93"/>
      <c r="EE254" s="20"/>
      <c r="EF254" s="25"/>
      <c r="EG254" s="19"/>
      <c r="EH254" s="93"/>
      <c r="EI254" s="93"/>
      <c r="EJ254" s="93"/>
      <c r="EK254" s="20"/>
      <c r="EL254" s="25"/>
      <c r="EM254" s="19"/>
      <c r="EN254" s="93"/>
      <c r="EO254" s="93"/>
      <c r="EP254" s="93"/>
      <c r="EQ254" s="93"/>
      <c r="ER254" s="93"/>
      <c r="ES254" s="93"/>
      <c r="ET254" s="93"/>
      <c r="EU254" s="93"/>
      <c r="EV254" s="20"/>
      <c r="EW254" s="25"/>
      <c r="EX254" s="915"/>
      <c r="EY254" s="916"/>
      <c r="EZ254" s="916"/>
      <c r="FA254" s="916"/>
      <c r="FB254" s="916"/>
      <c r="FC254" s="916"/>
      <c r="FD254" s="916"/>
      <c r="FE254" s="916"/>
      <c r="FF254" s="916"/>
      <c r="FG254" s="917"/>
      <c r="FH254" s="25"/>
      <c r="FI254" s="848">
        <v>53022</v>
      </c>
      <c r="FJ254" s="19"/>
      <c r="FK254" s="93"/>
      <c r="FL254" s="20"/>
      <c r="FM254" s="25"/>
      <c r="FN254" s="19"/>
      <c r="FO254" s="93"/>
      <c r="FP254" s="93"/>
      <c r="FQ254" s="93"/>
      <c r="FR254" s="93"/>
      <c r="FS254" s="93"/>
      <c r="FT254" s="93"/>
      <c r="FU254" s="93"/>
      <c r="FV254" s="93"/>
      <c r="FW254" s="917"/>
      <c r="FX254" s="25"/>
      <c r="FY254" s="916"/>
      <c r="FZ254" s="916"/>
      <c r="GA254" s="916"/>
      <c r="GB254" s="916"/>
      <c r="GC254" s="916"/>
      <c r="GD254" s="916"/>
      <c r="GE254" s="916"/>
      <c r="GF254" s="916"/>
      <c r="GG254" s="916"/>
      <c r="GH254" s="916"/>
      <c r="GI254" s="917"/>
      <c r="GJ254" s="25"/>
      <c r="GK254" s="19"/>
      <c r="GL254" s="20"/>
      <c r="GM254" s="25"/>
      <c r="GN254" s="19"/>
      <c r="GO254" s="20"/>
      <c r="GP254" s="25"/>
      <c r="GQ254" s="19"/>
      <c r="GR254" s="20"/>
      <c r="GS254" s="25"/>
      <c r="GT254" s="848">
        <v>53022</v>
      </c>
      <c r="GU254" s="19"/>
      <c r="GV254" s="93"/>
      <c r="GW254" s="93"/>
      <c r="GX254" s="93"/>
      <c r="GY254" s="93"/>
      <c r="GZ254" s="93"/>
      <c r="HA254" s="93"/>
      <c r="HB254" s="93"/>
      <c r="HC254" s="93"/>
      <c r="HD254" s="93"/>
      <c r="HE254" s="93"/>
      <c r="HF254" s="93"/>
      <c r="HG254" s="93"/>
      <c r="HH254" s="93"/>
      <c r="HI254" s="93"/>
      <c r="HJ254" s="93"/>
      <c r="HK254" s="93"/>
      <c r="HL254" s="93"/>
      <c r="HM254" s="93"/>
      <c r="HN254" s="93"/>
      <c r="HO254" s="93"/>
      <c r="HP254" s="93"/>
      <c r="HQ254" s="93"/>
      <c r="HR254" s="93"/>
      <c r="HS254" s="93"/>
      <c r="HT254" s="93"/>
      <c r="HU254" s="93"/>
      <c r="HV254" s="93"/>
      <c r="HW254" s="93"/>
      <c r="HX254" s="93"/>
      <c r="HY254" s="93"/>
      <c r="HZ254" s="93"/>
      <c r="IA254" s="93"/>
      <c r="IB254" s="93"/>
      <c r="IC254" s="93"/>
      <c r="ID254" s="93"/>
      <c r="IE254" s="93"/>
      <c r="IF254" s="93"/>
      <c r="IG254" s="93"/>
      <c r="IH254" s="93"/>
      <c r="II254" s="93"/>
      <c r="IJ254" s="93"/>
      <c r="IK254" s="93"/>
      <c r="IL254" s="93"/>
      <c r="IM254" s="93"/>
      <c r="IN254" s="93"/>
      <c r="IO254" s="93"/>
      <c r="IP254" s="93"/>
      <c r="IQ254" s="93"/>
      <c r="IR254" s="93"/>
      <c r="IS254" s="93"/>
      <c r="IT254" s="93"/>
      <c r="IU254" s="93"/>
      <c r="IV254" s="93"/>
      <c r="IW254" s="848">
        <v>53022</v>
      </c>
      <c r="IX254" s="93"/>
      <c r="IY254" s="93"/>
      <c r="IZ254" s="93"/>
      <c r="JA254" s="93"/>
      <c r="JB254" s="93"/>
      <c r="JC254" s="93"/>
      <c r="JD254" s="93"/>
      <c r="JE254" s="93"/>
      <c r="JF254" s="93"/>
      <c r="JG254" s="93"/>
      <c r="JH254" s="93"/>
      <c r="JI254" s="93"/>
      <c r="JJ254" s="93"/>
      <c r="JK254" s="93"/>
      <c r="JL254" s="93"/>
      <c r="JM254" s="93"/>
      <c r="JN254" s="93"/>
      <c r="JO254" s="93"/>
      <c r="JP254" s="93"/>
      <c r="JQ254" s="93"/>
      <c r="JR254" s="93"/>
      <c r="JS254" s="93"/>
      <c r="JT254" s="20"/>
      <c r="JU254" s="29"/>
      <c r="JV254" s="19"/>
      <c r="JW254" s="93"/>
      <c r="JX254" s="93"/>
      <c r="JY254" s="93"/>
      <c r="JZ254" s="93"/>
      <c r="KA254" s="93"/>
      <c r="KB254" s="93"/>
      <c r="KC254" s="93"/>
      <c r="KD254" s="93"/>
      <c r="KE254" s="93"/>
      <c r="KF254" s="93"/>
      <c r="KG254" s="93"/>
      <c r="KH254" s="93"/>
      <c r="KI254" s="93"/>
      <c r="KJ254" s="93"/>
      <c r="KK254" s="93"/>
      <c r="KL254" s="93"/>
      <c r="KM254" s="93"/>
      <c r="KN254" s="93"/>
      <c r="KO254" s="93"/>
      <c r="KP254" s="93"/>
      <c r="KQ254" s="93"/>
      <c r="KR254" s="93"/>
      <c r="KS254" s="93"/>
      <c r="KT254" s="93"/>
      <c r="KU254" s="93"/>
      <c r="KV254" s="93"/>
      <c r="KW254" s="20"/>
      <c r="KX254" s="29"/>
      <c r="KY254" s="19"/>
      <c r="KZ254" s="93"/>
      <c r="LA254" s="93"/>
      <c r="LB254" s="93"/>
      <c r="LC254" s="93"/>
      <c r="LD254" s="93"/>
      <c r="LE254" s="93"/>
      <c r="LF254" s="93"/>
      <c r="LG254" s="93"/>
      <c r="LH254" s="93"/>
      <c r="LI254" s="93"/>
      <c r="LJ254" s="93"/>
      <c r="LK254" s="93"/>
      <c r="LL254" s="93"/>
      <c r="LM254" s="93"/>
      <c r="LN254" s="93"/>
      <c r="LO254" s="93"/>
      <c r="LP254" s="93"/>
      <c r="LQ254" s="93"/>
      <c r="LR254" s="93"/>
      <c r="LS254" s="93"/>
      <c r="LT254" s="93"/>
      <c r="LU254" s="93"/>
      <c r="LV254" s="93"/>
      <c r="LW254" s="93"/>
      <c r="LX254" s="93"/>
      <c r="LY254" s="93"/>
      <c r="LZ254" s="93"/>
      <c r="MA254" s="93"/>
      <c r="MB254" s="93"/>
      <c r="MC254" s="93"/>
      <c r="MD254" s="93"/>
      <c r="ME254" s="93"/>
      <c r="MF254" s="93"/>
      <c r="MG254" s="93"/>
      <c r="MH254" s="20"/>
      <c r="MI254" s="29"/>
      <c r="MJ254" s="29" t="str">
        <f t="shared" si="97"/>
        <v>Trimestre 12045</v>
      </c>
      <c r="MK254" s="848">
        <v>53022</v>
      </c>
      <c r="ML254" s="1991"/>
      <c r="MM254" s="1991"/>
      <c r="MN254" s="1991"/>
      <c r="MO254" s="1991"/>
      <c r="MP254" s="1991"/>
      <c r="MQ254" s="1991"/>
      <c r="MR254" s="1991"/>
      <c r="MS254" s="1991"/>
      <c r="MT254" s="1991"/>
      <c r="MU254" s="1991"/>
      <c r="MV254" s="1991"/>
      <c r="MW254" s="1991"/>
      <c r="MX254" s="1991"/>
      <c r="MY254" s="1991"/>
      <c r="MZ254" s="1991"/>
      <c r="NA254" s="1991"/>
      <c r="NB254" s="1991"/>
      <c r="NC254" s="1991"/>
      <c r="ND254" s="1991"/>
      <c r="NE254" s="1991"/>
      <c r="NF254" s="1991"/>
      <c r="NG254" s="1991"/>
      <c r="NH254" s="1991"/>
      <c r="NI254" s="1991"/>
      <c r="NJ254" s="1991"/>
      <c r="NK254" s="1991"/>
      <c r="NL254" s="29"/>
    </row>
    <row r="255" spans="1:376">
      <c r="A255" s="41">
        <f t="shared" si="95"/>
        <v>2045</v>
      </c>
      <c r="B255" s="785">
        <v>53114</v>
      </c>
      <c r="C255" s="19"/>
      <c r="D255" s="93"/>
      <c r="E255" s="93"/>
      <c r="F255" s="93"/>
      <c r="G255" s="93"/>
      <c r="H255" s="93"/>
      <c r="I255" s="93"/>
      <c r="J255" s="93"/>
      <c r="K255" s="93"/>
      <c r="L255" s="93"/>
      <c r="M255" s="20"/>
      <c r="N255" s="25"/>
      <c r="O255" s="889">
        <f t="shared" si="94"/>
        <v>2045</v>
      </c>
      <c r="P255" s="29" t="str">
        <f t="shared" si="96"/>
        <v>Trimestre 22045</v>
      </c>
      <c r="Q255" s="848">
        <v>53114</v>
      </c>
      <c r="R255" s="733"/>
      <c r="S255" s="570"/>
      <c r="T255" s="570"/>
      <c r="U255" s="734"/>
      <c r="V255" s="25"/>
      <c r="W255" s="19"/>
      <c r="X255" s="93"/>
      <c r="Y255" s="93"/>
      <c r="Z255" s="93"/>
      <c r="AA255" s="93"/>
      <c r="AB255" s="93"/>
      <c r="AC255" s="93"/>
      <c r="AD255" s="93"/>
      <c r="AE255" s="20"/>
      <c r="AF255" s="25"/>
      <c r="AG255" s="19"/>
      <c r="AH255" s="93"/>
      <c r="AI255" s="93"/>
      <c r="AJ255" s="93"/>
      <c r="AK255" s="93"/>
      <c r="AL255" s="93"/>
      <c r="AM255" s="93"/>
      <c r="AN255" s="20"/>
      <c r="AO255" s="19"/>
      <c r="AP255" s="93"/>
      <c r="AQ255" s="93"/>
      <c r="AR255" s="93"/>
      <c r="AS255" s="20"/>
      <c r="AT255" s="19"/>
      <c r="AU255" s="93"/>
      <c r="AV255" s="20"/>
      <c r="AW255" s="19"/>
      <c r="AX255" s="93"/>
      <c r="AY255" s="93"/>
      <c r="AZ255" s="93"/>
      <c r="BA255" s="93"/>
      <c r="BB255" s="93"/>
      <c r="BC255" s="20"/>
      <c r="BD255" s="19"/>
      <c r="BE255" s="93"/>
      <c r="BF255" s="93"/>
      <c r="BG255" s="93"/>
      <c r="BH255" s="93"/>
      <c r="BI255" s="93"/>
      <c r="BJ255" s="93"/>
      <c r="BK255" s="20"/>
      <c r="BL255" s="19"/>
      <c r="BM255" s="93"/>
      <c r="BN255" s="93"/>
      <c r="BO255" s="93"/>
      <c r="BP255" s="93"/>
      <c r="BQ255" s="20"/>
      <c r="BR255" s="19"/>
      <c r="BS255" s="93"/>
      <c r="BT255" s="93"/>
      <c r="BU255" s="20"/>
      <c r="BV255" s="19"/>
      <c r="BW255" s="93"/>
      <c r="BX255" s="93"/>
      <c r="BY255" s="93"/>
      <c r="BZ255" s="93"/>
      <c r="CA255" s="93"/>
      <c r="CB255" s="20"/>
      <c r="CC255" s="25"/>
      <c r="CD255" s="19"/>
      <c r="CE255" s="93"/>
      <c r="CF255" s="20"/>
      <c r="CG255" s="25"/>
      <c r="CH255" s="19"/>
      <c r="CI255" s="93"/>
      <c r="CJ255" s="93"/>
      <c r="CK255" s="93"/>
      <c r="CL255" s="93"/>
      <c r="CM255" s="93"/>
      <c r="CN255" s="93"/>
      <c r="CO255" s="93"/>
      <c r="CP255" s="93"/>
      <c r="CQ255" s="93"/>
      <c r="CR255" s="214"/>
      <c r="CS255" s="20"/>
      <c r="CT255" s="25"/>
      <c r="CU255" s="19"/>
      <c r="CV255" s="93"/>
      <c r="CW255" s="93"/>
      <c r="CX255" s="93"/>
      <c r="CY255" s="93"/>
      <c r="CZ255" s="93"/>
      <c r="DA255" s="93"/>
      <c r="DB255" s="20"/>
      <c r="DC255" s="25"/>
      <c r="DD255" s="785">
        <v>53114</v>
      </c>
      <c r="DE255" s="19"/>
      <c r="DF255" s="20"/>
      <c r="DG255" s="25"/>
      <c r="DH255" s="19"/>
      <c r="DI255" s="20"/>
      <c r="DJ255" s="25"/>
      <c r="DK255" s="19"/>
      <c r="DL255" s="20"/>
      <c r="DM255" s="19"/>
      <c r="DN255" s="20"/>
      <c r="DO255" s="25"/>
      <c r="DP255" s="19"/>
      <c r="DQ255" s="93"/>
      <c r="DR255" s="20"/>
      <c r="DS255" s="25"/>
      <c r="DT255" s="19"/>
      <c r="DU255" s="93"/>
      <c r="DV255" s="20"/>
      <c r="DW255" s="25"/>
      <c r="DX255" s="19"/>
      <c r="DY255" s="20"/>
      <c r="DZ255" s="25"/>
      <c r="EA255" s="19"/>
      <c r="EB255" s="93"/>
      <c r="EC255" s="93"/>
      <c r="ED255" s="93"/>
      <c r="EE255" s="20"/>
      <c r="EF255" s="25"/>
      <c r="EG255" s="19"/>
      <c r="EH255" s="93"/>
      <c r="EI255" s="93"/>
      <c r="EJ255" s="93"/>
      <c r="EK255" s="20"/>
      <c r="EL255" s="25"/>
      <c r="EM255" s="19"/>
      <c r="EN255" s="93"/>
      <c r="EO255" s="93"/>
      <c r="EP255" s="93"/>
      <c r="EQ255" s="93"/>
      <c r="ER255" s="93"/>
      <c r="ES255" s="93"/>
      <c r="ET255" s="93"/>
      <c r="EU255" s="93"/>
      <c r="EV255" s="20"/>
      <c r="EW255" s="25"/>
      <c r="EX255" s="915"/>
      <c r="EY255" s="916"/>
      <c r="EZ255" s="916"/>
      <c r="FA255" s="916"/>
      <c r="FB255" s="916"/>
      <c r="FC255" s="916"/>
      <c r="FD255" s="916"/>
      <c r="FE255" s="916"/>
      <c r="FF255" s="916"/>
      <c r="FG255" s="917"/>
      <c r="FH255" s="25"/>
      <c r="FI255" s="848">
        <v>53114</v>
      </c>
      <c r="FJ255" s="19"/>
      <c r="FK255" s="93"/>
      <c r="FL255" s="20"/>
      <c r="FM255" s="25"/>
      <c r="FN255" s="19"/>
      <c r="FO255" s="93"/>
      <c r="FP255" s="93"/>
      <c r="FQ255" s="93"/>
      <c r="FR255" s="93"/>
      <c r="FS255" s="93"/>
      <c r="FT255" s="93"/>
      <c r="FU255" s="93"/>
      <c r="FV255" s="93"/>
      <c r="FW255" s="917"/>
      <c r="FX255" s="25"/>
      <c r="FY255" s="916"/>
      <c r="FZ255" s="916"/>
      <c r="GA255" s="916"/>
      <c r="GB255" s="916"/>
      <c r="GC255" s="916"/>
      <c r="GD255" s="916"/>
      <c r="GE255" s="916"/>
      <c r="GF255" s="916"/>
      <c r="GG255" s="916"/>
      <c r="GH255" s="916"/>
      <c r="GI255" s="917"/>
      <c r="GJ255" s="25"/>
      <c r="GK255" s="19"/>
      <c r="GL255" s="20"/>
      <c r="GM255" s="25"/>
      <c r="GN255" s="19"/>
      <c r="GO255" s="20"/>
      <c r="GP255" s="25"/>
      <c r="GQ255" s="19"/>
      <c r="GR255" s="20"/>
      <c r="GS255" s="25"/>
      <c r="GT255" s="848">
        <v>53114</v>
      </c>
      <c r="GU255" s="19"/>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848">
        <v>53114</v>
      </c>
      <c r="IX255" s="93"/>
      <c r="IY255" s="93"/>
      <c r="IZ255" s="93"/>
      <c r="JA255" s="93"/>
      <c r="JB255" s="93"/>
      <c r="JC255" s="93"/>
      <c r="JD255" s="93"/>
      <c r="JE255" s="93"/>
      <c r="JF255" s="93"/>
      <c r="JG255" s="93"/>
      <c r="JH255" s="93"/>
      <c r="JI255" s="93"/>
      <c r="JJ255" s="93"/>
      <c r="JK255" s="93"/>
      <c r="JL255" s="93"/>
      <c r="JM255" s="93"/>
      <c r="JN255" s="93"/>
      <c r="JO255" s="93"/>
      <c r="JP255" s="93"/>
      <c r="JQ255" s="93"/>
      <c r="JR255" s="93"/>
      <c r="JS255" s="93"/>
      <c r="JT255" s="20"/>
      <c r="JU255" s="29"/>
      <c r="JV255" s="19"/>
      <c r="JW255" s="93"/>
      <c r="JX255" s="93"/>
      <c r="JY255" s="93"/>
      <c r="JZ255" s="93"/>
      <c r="KA255" s="93"/>
      <c r="KB255" s="93"/>
      <c r="KC255" s="93"/>
      <c r="KD255" s="93"/>
      <c r="KE255" s="93"/>
      <c r="KF255" s="93"/>
      <c r="KG255" s="93"/>
      <c r="KH255" s="93"/>
      <c r="KI255" s="93"/>
      <c r="KJ255" s="93"/>
      <c r="KK255" s="93"/>
      <c r="KL255" s="93"/>
      <c r="KM255" s="93"/>
      <c r="KN255" s="93"/>
      <c r="KO255" s="93"/>
      <c r="KP255" s="93"/>
      <c r="KQ255" s="93"/>
      <c r="KR255" s="93"/>
      <c r="KS255" s="93"/>
      <c r="KT255" s="93"/>
      <c r="KU255" s="93"/>
      <c r="KV255" s="93"/>
      <c r="KW255" s="20"/>
      <c r="KX255" s="29"/>
      <c r="KY255" s="19"/>
      <c r="KZ255" s="93"/>
      <c r="LA255" s="93"/>
      <c r="LB255" s="93"/>
      <c r="LC255" s="93"/>
      <c r="LD255" s="93"/>
      <c r="LE255" s="93"/>
      <c r="LF255" s="93"/>
      <c r="LG255" s="93"/>
      <c r="LH255" s="93"/>
      <c r="LI255" s="93"/>
      <c r="LJ255" s="93"/>
      <c r="LK255" s="93"/>
      <c r="LL255" s="93"/>
      <c r="LM255" s="93"/>
      <c r="LN255" s="93"/>
      <c r="LO255" s="93"/>
      <c r="LP255" s="93"/>
      <c r="LQ255" s="93"/>
      <c r="LR255" s="93"/>
      <c r="LS255" s="93"/>
      <c r="LT255" s="93"/>
      <c r="LU255" s="93"/>
      <c r="LV255" s="93"/>
      <c r="LW255" s="93"/>
      <c r="LX255" s="93"/>
      <c r="LY255" s="93"/>
      <c r="LZ255" s="93"/>
      <c r="MA255" s="93"/>
      <c r="MB255" s="93"/>
      <c r="MC255" s="93"/>
      <c r="MD255" s="93"/>
      <c r="ME255" s="93"/>
      <c r="MF255" s="93"/>
      <c r="MG255" s="93"/>
      <c r="MH255" s="20"/>
      <c r="MI255" s="29"/>
      <c r="MJ255" s="29" t="str">
        <f t="shared" si="97"/>
        <v>Trimestre 22045</v>
      </c>
      <c r="MK255" s="848">
        <v>53114</v>
      </c>
      <c r="ML255" s="1991"/>
      <c r="MM255" s="1991"/>
      <c r="MN255" s="1991"/>
      <c r="MO255" s="1991"/>
      <c r="MP255" s="1991"/>
      <c r="MQ255" s="1991"/>
      <c r="MR255" s="1991"/>
      <c r="MS255" s="1991"/>
      <c r="MT255" s="1991"/>
      <c r="MU255" s="1991"/>
      <c r="MV255" s="1991"/>
      <c r="MW255" s="1991"/>
      <c r="MX255" s="1991"/>
      <c r="MY255" s="1991"/>
      <c r="MZ255" s="1991"/>
      <c r="NA255" s="1991"/>
      <c r="NB255" s="1991"/>
      <c r="NC255" s="1991"/>
      <c r="ND255" s="1991"/>
      <c r="NE255" s="1991"/>
      <c r="NF255" s="1991"/>
      <c r="NG255" s="1991"/>
      <c r="NH255" s="1991"/>
      <c r="NI255" s="1991"/>
      <c r="NJ255" s="1991"/>
      <c r="NK255" s="1991"/>
      <c r="NL255" s="29"/>
    </row>
    <row r="256" spans="1:376">
      <c r="A256" s="41">
        <f t="shared" si="95"/>
        <v>2045</v>
      </c>
      <c r="B256" s="785">
        <v>53206</v>
      </c>
      <c r="C256" s="19"/>
      <c r="D256" s="93"/>
      <c r="E256" s="93"/>
      <c r="F256" s="93"/>
      <c r="G256" s="93"/>
      <c r="H256" s="93"/>
      <c r="I256" s="93"/>
      <c r="J256" s="93"/>
      <c r="K256" s="93"/>
      <c r="L256" s="93"/>
      <c r="M256" s="20"/>
      <c r="N256" s="25"/>
      <c r="O256" s="889">
        <f t="shared" si="94"/>
        <v>2045</v>
      </c>
      <c r="P256" s="29" t="str">
        <f t="shared" si="96"/>
        <v>Trimestre 32045</v>
      </c>
      <c r="Q256" s="848">
        <v>53206</v>
      </c>
      <c r="R256" s="733"/>
      <c r="S256" s="570"/>
      <c r="T256" s="570"/>
      <c r="U256" s="734"/>
      <c r="V256" s="25"/>
      <c r="W256" s="19"/>
      <c r="X256" s="93"/>
      <c r="Y256" s="93"/>
      <c r="Z256" s="93"/>
      <c r="AA256" s="93"/>
      <c r="AB256" s="93"/>
      <c r="AC256" s="93"/>
      <c r="AD256" s="93"/>
      <c r="AE256" s="20"/>
      <c r="AF256" s="25"/>
      <c r="AG256" s="19"/>
      <c r="AH256" s="93"/>
      <c r="AI256" s="93"/>
      <c r="AJ256" s="93"/>
      <c r="AK256" s="93"/>
      <c r="AL256" s="93"/>
      <c r="AM256" s="93"/>
      <c r="AN256" s="20"/>
      <c r="AO256" s="19"/>
      <c r="AP256" s="93"/>
      <c r="AQ256" s="93"/>
      <c r="AR256" s="93"/>
      <c r="AS256" s="20"/>
      <c r="AT256" s="19"/>
      <c r="AU256" s="93"/>
      <c r="AV256" s="20"/>
      <c r="AW256" s="19"/>
      <c r="AX256" s="93"/>
      <c r="AY256" s="93"/>
      <c r="AZ256" s="93"/>
      <c r="BA256" s="93"/>
      <c r="BB256" s="93"/>
      <c r="BC256" s="20"/>
      <c r="BD256" s="19"/>
      <c r="BE256" s="93"/>
      <c r="BF256" s="93"/>
      <c r="BG256" s="93"/>
      <c r="BH256" s="93"/>
      <c r="BI256" s="93"/>
      <c r="BJ256" s="93"/>
      <c r="BK256" s="20"/>
      <c r="BL256" s="19"/>
      <c r="BM256" s="93"/>
      <c r="BN256" s="93"/>
      <c r="BO256" s="93"/>
      <c r="BP256" s="93"/>
      <c r="BQ256" s="20"/>
      <c r="BR256" s="19"/>
      <c r="BS256" s="93"/>
      <c r="BT256" s="93"/>
      <c r="BU256" s="20"/>
      <c r="BV256" s="19"/>
      <c r="BW256" s="93"/>
      <c r="BX256" s="93"/>
      <c r="BY256" s="93"/>
      <c r="BZ256" s="93"/>
      <c r="CA256" s="93"/>
      <c r="CB256" s="20"/>
      <c r="CC256" s="25"/>
      <c r="CD256" s="19"/>
      <c r="CE256" s="93"/>
      <c r="CF256" s="20"/>
      <c r="CG256" s="25"/>
      <c r="CH256" s="19"/>
      <c r="CI256" s="93"/>
      <c r="CJ256" s="93"/>
      <c r="CK256" s="93"/>
      <c r="CL256" s="93"/>
      <c r="CM256" s="93"/>
      <c r="CN256" s="93"/>
      <c r="CO256" s="93"/>
      <c r="CP256" s="93"/>
      <c r="CQ256" s="93"/>
      <c r="CR256" s="214"/>
      <c r="CS256" s="20"/>
      <c r="CT256" s="25"/>
      <c r="CU256" s="19"/>
      <c r="CV256" s="93"/>
      <c r="CW256" s="93"/>
      <c r="CX256" s="93"/>
      <c r="CY256" s="93"/>
      <c r="CZ256" s="93"/>
      <c r="DA256" s="93"/>
      <c r="DB256" s="20"/>
      <c r="DC256" s="25"/>
      <c r="DD256" s="785">
        <v>53206</v>
      </c>
      <c r="DE256" s="19"/>
      <c r="DF256" s="20"/>
      <c r="DG256" s="25"/>
      <c r="DH256" s="19"/>
      <c r="DI256" s="20"/>
      <c r="DJ256" s="25"/>
      <c r="DK256" s="19"/>
      <c r="DL256" s="20"/>
      <c r="DM256" s="19"/>
      <c r="DN256" s="20"/>
      <c r="DO256" s="25"/>
      <c r="DP256" s="19"/>
      <c r="DQ256" s="93"/>
      <c r="DR256" s="20"/>
      <c r="DS256" s="25"/>
      <c r="DT256" s="19"/>
      <c r="DU256" s="93"/>
      <c r="DV256" s="20"/>
      <c r="DW256" s="25"/>
      <c r="DX256" s="19"/>
      <c r="DY256" s="20"/>
      <c r="DZ256" s="25"/>
      <c r="EA256" s="19"/>
      <c r="EB256" s="93"/>
      <c r="EC256" s="93"/>
      <c r="ED256" s="93"/>
      <c r="EE256" s="20"/>
      <c r="EF256" s="25"/>
      <c r="EG256" s="19"/>
      <c r="EH256" s="93"/>
      <c r="EI256" s="93"/>
      <c r="EJ256" s="93"/>
      <c r="EK256" s="20"/>
      <c r="EL256" s="25"/>
      <c r="EM256" s="19"/>
      <c r="EN256" s="93"/>
      <c r="EO256" s="93"/>
      <c r="EP256" s="93"/>
      <c r="EQ256" s="93"/>
      <c r="ER256" s="93"/>
      <c r="ES256" s="93"/>
      <c r="ET256" s="93"/>
      <c r="EU256" s="93"/>
      <c r="EV256" s="20"/>
      <c r="EW256" s="25"/>
      <c r="EX256" s="915"/>
      <c r="EY256" s="916"/>
      <c r="EZ256" s="916"/>
      <c r="FA256" s="916"/>
      <c r="FB256" s="916"/>
      <c r="FC256" s="916"/>
      <c r="FD256" s="916"/>
      <c r="FE256" s="916"/>
      <c r="FF256" s="916"/>
      <c r="FG256" s="917"/>
      <c r="FH256" s="25"/>
      <c r="FI256" s="848">
        <v>53206</v>
      </c>
      <c r="FJ256" s="19"/>
      <c r="FK256" s="93"/>
      <c r="FL256" s="20"/>
      <c r="FM256" s="25"/>
      <c r="FN256" s="19"/>
      <c r="FO256" s="93"/>
      <c r="FP256" s="93"/>
      <c r="FQ256" s="93"/>
      <c r="FR256" s="93"/>
      <c r="FS256" s="93"/>
      <c r="FT256" s="93"/>
      <c r="FU256" s="93"/>
      <c r="FV256" s="93"/>
      <c r="FW256" s="917"/>
      <c r="FX256" s="25"/>
      <c r="FY256" s="916"/>
      <c r="FZ256" s="916"/>
      <c r="GA256" s="916"/>
      <c r="GB256" s="916"/>
      <c r="GC256" s="916"/>
      <c r="GD256" s="916"/>
      <c r="GE256" s="916"/>
      <c r="GF256" s="916"/>
      <c r="GG256" s="916"/>
      <c r="GH256" s="916"/>
      <c r="GI256" s="917"/>
      <c r="GJ256" s="25"/>
      <c r="GK256" s="19"/>
      <c r="GL256" s="20"/>
      <c r="GM256" s="25"/>
      <c r="GN256" s="19"/>
      <c r="GO256" s="20"/>
      <c r="GP256" s="25"/>
      <c r="GQ256" s="19"/>
      <c r="GR256" s="20"/>
      <c r="GS256" s="25"/>
      <c r="GT256" s="848">
        <v>53206</v>
      </c>
      <c r="GU256" s="19"/>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848">
        <v>53206</v>
      </c>
      <c r="IX256" s="93"/>
      <c r="IY256" s="93"/>
      <c r="IZ256" s="93"/>
      <c r="JA256" s="93"/>
      <c r="JB256" s="93"/>
      <c r="JC256" s="93"/>
      <c r="JD256" s="93"/>
      <c r="JE256" s="93"/>
      <c r="JF256" s="93"/>
      <c r="JG256" s="93"/>
      <c r="JH256" s="93"/>
      <c r="JI256" s="93"/>
      <c r="JJ256" s="93"/>
      <c r="JK256" s="93"/>
      <c r="JL256" s="93"/>
      <c r="JM256" s="93"/>
      <c r="JN256" s="93"/>
      <c r="JO256" s="93"/>
      <c r="JP256" s="93"/>
      <c r="JQ256" s="93"/>
      <c r="JR256" s="93"/>
      <c r="JS256" s="93"/>
      <c r="JT256" s="20"/>
      <c r="JU256" s="29"/>
      <c r="JV256" s="19"/>
      <c r="JW256" s="93"/>
      <c r="JX256" s="93"/>
      <c r="JY256" s="93"/>
      <c r="JZ256" s="93"/>
      <c r="KA256" s="93"/>
      <c r="KB256" s="93"/>
      <c r="KC256" s="93"/>
      <c r="KD256" s="93"/>
      <c r="KE256" s="93"/>
      <c r="KF256" s="93"/>
      <c r="KG256" s="93"/>
      <c r="KH256" s="93"/>
      <c r="KI256" s="93"/>
      <c r="KJ256" s="93"/>
      <c r="KK256" s="93"/>
      <c r="KL256" s="93"/>
      <c r="KM256" s="93"/>
      <c r="KN256" s="93"/>
      <c r="KO256" s="93"/>
      <c r="KP256" s="93"/>
      <c r="KQ256" s="93"/>
      <c r="KR256" s="93"/>
      <c r="KS256" s="93"/>
      <c r="KT256" s="93"/>
      <c r="KU256" s="93"/>
      <c r="KV256" s="93"/>
      <c r="KW256" s="20"/>
      <c r="KX256" s="29"/>
      <c r="KY256" s="19"/>
      <c r="KZ256" s="93"/>
      <c r="LA256" s="93"/>
      <c r="LB256" s="93"/>
      <c r="LC256" s="93"/>
      <c r="LD256" s="93"/>
      <c r="LE256" s="93"/>
      <c r="LF256" s="93"/>
      <c r="LG256" s="93"/>
      <c r="LH256" s="93"/>
      <c r="LI256" s="93"/>
      <c r="LJ256" s="93"/>
      <c r="LK256" s="93"/>
      <c r="LL256" s="93"/>
      <c r="LM256" s="93"/>
      <c r="LN256" s="93"/>
      <c r="LO256" s="93"/>
      <c r="LP256" s="93"/>
      <c r="LQ256" s="93"/>
      <c r="LR256" s="93"/>
      <c r="LS256" s="93"/>
      <c r="LT256" s="93"/>
      <c r="LU256" s="93"/>
      <c r="LV256" s="93"/>
      <c r="LW256" s="93"/>
      <c r="LX256" s="93"/>
      <c r="LY256" s="93"/>
      <c r="LZ256" s="93"/>
      <c r="MA256" s="93"/>
      <c r="MB256" s="93"/>
      <c r="MC256" s="93"/>
      <c r="MD256" s="93"/>
      <c r="ME256" s="93"/>
      <c r="MF256" s="93"/>
      <c r="MG256" s="93"/>
      <c r="MH256" s="20"/>
      <c r="MI256" s="29"/>
      <c r="MJ256" s="29" t="str">
        <f t="shared" si="97"/>
        <v>Trimestre 32045</v>
      </c>
      <c r="MK256" s="848">
        <v>53206</v>
      </c>
      <c r="ML256" s="1991"/>
      <c r="MM256" s="1991"/>
      <c r="MN256" s="1991"/>
      <c r="MO256" s="1991"/>
      <c r="MP256" s="1991"/>
      <c r="MQ256" s="1991"/>
      <c r="MR256" s="1991"/>
      <c r="MS256" s="1991"/>
      <c r="MT256" s="1991"/>
      <c r="MU256" s="1991"/>
      <c r="MV256" s="1991"/>
      <c r="MW256" s="1991"/>
      <c r="MX256" s="1991"/>
      <c r="MY256" s="1991"/>
      <c r="MZ256" s="1991"/>
      <c r="NA256" s="1991"/>
      <c r="NB256" s="1991"/>
      <c r="NC256" s="1991"/>
      <c r="ND256" s="1991"/>
      <c r="NE256" s="1991"/>
      <c r="NF256" s="1991"/>
      <c r="NG256" s="1991"/>
      <c r="NH256" s="1991"/>
      <c r="NI256" s="1991"/>
      <c r="NJ256" s="1991"/>
      <c r="NK256" s="1991"/>
      <c r="NL256" s="29"/>
    </row>
    <row r="257" spans="1:376">
      <c r="A257" s="41">
        <f t="shared" si="95"/>
        <v>2045</v>
      </c>
      <c r="B257" s="785">
        <v>53297</v>
      </c>
      <c r="C257" s="19"/>
      <c r="D257" s="93"/>
      <c r="E257" s="93"/>
      <c r="F257" s="93"/>
      <c r="G257" s="93"/>
      <c r="H257" s="93"/>
      <c r="I257" s="93"/>
      <c r="J257" s="93"/>
      <c r="K257" s="93"/>
      <c r="L257" s="93"/>
      <c r="M257" s="20"/>
      <c r="N257" s="25"/>
      <c r="O257" s="889">
        <f t="shared" si="94"/>
        <v>2045</v>
      </c>
      <c r="P257" s="29" t="str">
        <f t="shared" si="96"/>
        <v>Trimestre 42045</v>
      </c>
      <c r="Q257" s="848">
        <v>53297</v>
      </c>
      <c r="R257" s="733"/>
      <c r="S257" s="570"/>
      <c r="T257" s="570"/>
      <c r="U257" s="734"/>
      <c r="V257" s="25"/>
      <c r="W257" s="19"/>
      <c r="X257" s="93"/>
      <c r="Y257" s="93"/>
      <c r="Z257" s="93"/>
      <c r="AA257" s="93"/>
      <c r="AB257" s="93"/>
      <c r="AC257" s="93"/>
      <c r="AD257" s="93"/>
      <c r="AE257" s="20"/>
      <c r="AF257" s="25"/>
      <c r="AG257" s="19"/>
      <c r="AH257" s="93"/>
      <c r="AI257" s="93"/>
      <c r="AJ257" s="93"/>
      <c r="AK257" s="93"/>
      <c r="AL257" s="93"/>
      <c r="AM257" s="93"/>
      <c r="AN257" s="20"/>
      <c r="AO257" s="19"/>
      <c r="AP257" s="93"/>
      <c r="AQ257" s="93"/>
      <c r="AR257" s="93"/>
      <c r="AS257" s="20"/>
      <c r="AT257" s="19"/>
      <c r="AU257" s="93"/>
      <c r="AV257" s="20"/>
      <c r="AW257" s="19"/>
      <c r="AX257" s="93"/>
      <c r="AY257" s="93"/>
      <c r="AZ257" s="93"/>
      <c r="BA257" s="93"/>
      <c r="BB257" s="93"/>
      <c r="BC257" s="20"/>
      <c r="BD257" s="19"/>
      <c r="BE257" s="93"/>
      <c r="BF257" s="93"/>
      <c r="BG257" s="93"/>
      <c r="BH257" s="93"/>
      <c r="BI257" s="93"/>
      <c r="BJ257" s="93"/>
      <c r="BK257" s="20"/>
      <c r="BL257" s="19"/>
      <c r="BM257" s="93"/>
      <c r="BN257" s="93"/>
      <c r="BO257" s="93"/>
      <c r="BP257" s="93"/>
      <c r="BQ257" s="20"/>
      <c r="BR257" s="19"/>
      <c r="BS257" s="93"/>
      <c r="BT257" s="93"/>
      <c r="BU257" s="20"/>
      <c r="BV257" s="19"/>
      <c r="BW257" s="93"/>
      <c r="BX257" s="93"/>
      <c r="BY257" s="93"/>
      <c r="BZ257" s="93"/>
      <c r="CA257" s="93"/>
      <c r="CB257" s="20"/>
      <c r="CC257" s="25"/>
      <c r="CD257" s="19"/>
      <c r="CE257" s="93"/>
      <c r="CF257" s="20"/>
      <c r="CG257" s="25"/>
      <c r="CH257" s="19"/>
      <c r="CI257" s="93"/>
      <c r="CJ257" s="93"/>
      <c r="CK257" s="93"/>
      <c r="CL257" s="93"/>
      <c r="CM257" s="93"/>
      <c r="CN257" s="93"/>
      <c r="CO257" s="93"/>
      <c r="CP257" s="93"/>
      <c r="CQ257" s="93"/>
      <c r="CR257" s="214"/>
      <c r="CS257" s="20"/>
      <c r="CT257" s="25"/>
      <c r="CU257" s="19"/>
      <c r="CV257" s="93"/>
      <c r="CW257" s="93"/>
      <c r="CX257" s="93"/>
      <c r="CY257" s="93"/>
      <c r="CZ257" s="93"/>
      <c r="DA257" s="93"/>
      <c r="DB257" s="20"/>
      <c r="DC257" s="25"/>
      <c r="DD257" s="785">
        <v>53297</v>
      </c>
      <c r="DE257" s="19"/>
      <c r="DF257" s="20"/>
      <c r="DG257" s="25"/>
      <c r="DH257" s="19"/>
      <c r="DI257" s="20"/>
      <c r="DJ257" s="25"/>
      <c r="DK257" s="19"/>
      <c r="DL257" s="20"/>
      <c r="DM257" s="19"/>
      <c r="DN257" s="20"/>
      <c r="DO257" s="25"/>
      <c r="DP257" s="19"/>
      <c r="DQ257" s="93"/>
      <c r="DR257" s="20"/>
      <c r="DS257" s="25"/>
      <c r="DT257" s="19"/>
      <c r="DU257" s="93"/>
      <c r="DV257" s="20"/>
      <c r="DW257" s="25"/>
      <c r="DX257" s="19"/>
      <c r="DY257" s="20"/>
      <c r="DZ257" s="25"/>
      <c r="EA257" s="19"/>
      <c r="EB257" s="93"/>
      <c r="EC257" s="93"/>
      <c r="ED257" s="93"/>
      <c r="EE257" s="20"/>
      <c r="EF257" s="25"/>
      <c r="EG257" s="19"/>
      <c r="EH257" s="93"/>
      <c r="EI257" s="93"/>
      <c r="EJ257" s="93"/>
      <c r="EK257" s="20"/>
      <c r="EL257" s="25"/>
      <c r="EM257" s="19"/>
      <c r="EN257" s="93"/>
      <c r="EO257" s="93"/>
      <c r="EP257" s="93"/>
      <c r="EQ257" s="93"/>
      <c r="ER257" s="93"/>
      <c r="ES257" s="93"/>
      <c r="ET257" s="93"/>
      <c r="EU257" s="93"/>
      <c r="EV257" s="20"/>
      <c r="EW257" s="25"/>
      <c r="EX257" s="915"/>
      <c r="EY257" s="916"/>
      <c r="EZ257" s="916"/>
      <c r="FA257" s="916"/>
      <c r="FB257" s="916"/>
      <c r="FC257" s="916"/>
      <c r="FD257" s="916"/>
      <c r="FE257" s="916"/>
      <c r="FF257" s="916"/>
      <c r="FG257" s="917"/>
      <c r="FH257" s="25"/>
      <c r="FI257" s="848">
        <v>53297</v>
      </c>
      <c r="FJ257" s="19"/>
      <c r="FK257" s="93"/>
      <c r="FL257" s="20"/>
      <c r="FM257" s="25"/>
      <c r="FN257" s="19"/>
      <c r="FO257" s="93"/>
      <c r="FP257" s="93"/>
      <c r="FQ257" s="93"/>
      <c r="FR257" s="93"/>
      <c r="FS257" s="93"/>
      <c r="FT257" s="93"/>
      <c r="FU257" s="93"/>
      <c r="FV257" s="93"/>
      <c r="FW257" s="917"/>
      <c r="FX257" s="25"/>
      <c r="FY257" s="916"/>
      <c r="FZ257" s="916"/>
      <c r="GA257" s="916"/>
      <c r="GB257" s="916"/>
      <c r="GC257" s="916"/>
      <c r="GD257" s="916"/>
      <c r="GE257" s="916"/>
      <c r="GF257" s="916"/>
      <c r="GG257" s="916"/>
      <c r="GH257" s="916"/>
      <c r="GI257" s="917"/>
      <c r="GJ257" s="25"/>
      <c r="GK257" s="19"/>
      <c r="GL257" s="20"/>
      <c r="GM257" s="25"/>
      <c r="GN257" s="19"/>
      <c r="GO257" s="20"/>
      <c r="GP257" s="25"/>
      <c r="GQ257" s="19"/>
      <c r="GR257" s="20"/>
      <c r="GS257" s="25"/>
      <c r="GT257" s="848">
        <v>53297</v>
      </c>
      <c r="GU257" s="19"/>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848">
        <v>53297</v>
      </c>
      <c r="IX257" s="93"/>
      <c r="IY257" s="93"/>
      <c r="IZ257" s="93"/>
      <c r="JA257" s="93"/>
      <c r="JB257" s="93"/>
      <c r="JC257" s="93"/>
      <c r="JD257" s="93"/>
      <c r="JE257" s="93"/>
      <c r="JF257" s="93"/>
      <c r="JG257" s="93"/>
      <c r="JH257" s="93"/>
      <c r="JI257" s="93"/>
      <c r="JJ257" s="93"/>
      <c r="JK257" s="93"/>
      <c r="JL257" s="93"/>
      <c r="JM257" s="93"/>
      <c r="JN257" s="93"/>
      <c r="JO257" s="93"/>
      <c r="JP257" s="93"/>
      <c r="JQ257" s="93"/>
      <c r="JR257" s="93"/>
      <c r="JS257" s="93"/>
      <c r="JT257" s="20"/>
      <c r="JU257" s="29"/>
      <c r="JV257" s="19"/>
      <c r="JW257" s="93"/>
      <c r="JX257" s="93"/>
      <c r="JY257" s="93"/>
      <c r="JZ257" s="93"/>
      <c r="KA257" s="93"/>
      <c r="KB257" s="93"/>
      <c r="KC257" s="93"/>
      <c r="KD257" s="93"/>
      <c r="KE257" s="93"/>
      <c r="KF257" s="93"/>
      <c r="KG257" s="93"/>
      <c r="KH257" s="93"/>
      <c r="KI257" s="93"/>
      <c r="KJ257" s="93"/>
      <c r="KK257" s="93"/>
      <c r="KL257" s="93"/>
      <c r="KM257" s="93"/>
      <c r="KN257" s="93"/>
      <c r="KO257" s="93"/>
      <c r="KP257" s="93"/>
      <c r="KQ257" s="93"/>
      <c r="KR257" s="93"/>
      <c r="KS257" s="93"/>
      <c r="KT257" s="93"/>
      <c r="KU257" s="93"/>
      <c r="KV257" s="93"/>
      <c r="KW257" s="20"/>
      <c r="KX257" s="29"/>
      <c r="KY257" s="19"/>
      <c r="KZ257" s="93"/>
      <c r="LA257" s="93"/>
      <c r="LB257" s="93"/>
      <c r="LC257" s="93"/>
      <c r="LD257" s="93"/>
      <c r="LE257" s="93"/>
      <c r="LF257" s="93"/>
      <c r="LG257" s="93"/>
      <c r="LH257" s="93"/>
      <c r="LI257" s="93"/>
      <c r="LJ257" s="93"/>
      <c r="LK257" s="93"/>
      <c r="LL257" s="93"/>
      <c r="LM257" s="93"/>
      <c r="LN257" s="93"/>
      <c r="LO257" s="93"/>
      <c r="LP257" s="93"/>
      <c r="LQ257" s="93"/>
      <c r="LR257" s="93"/>
      <c r="LS257" s="93"/>
      <c r="LT257" s="93"/>
      <c r="LU257" s="93"/>
      <c r="LV257" s="93"/>
      <c r="LW257" s="93"/>
      <c r="LX257" s="93"/>
      <c r="LY257" s="93"/>
      <c r="LZ257" s="93"/>
      <c r="MA257" s="93"/>
      <c r="MB257" s="93"/>
      <c r="MC257" s="93"/>
      <c r="MD257" s="93"/>
      <c r="ME257" s="93"/>
      <c r="MF257" s="93"/>
      <c r="MG257" s="93"/>
      <c r="MH257" s="20"/>
      <c r="MI257" s="29"/>
      <c r="MJ257" s="29" t="str">
        <f t="shared" si="97"/>
        <v>Trimestre 42045</v>
      </c>
      <c r="MK257" s="848">
        <v>53297</v>
      </c>
      <c r="ML257" s="1991"/>
      <c r="MM257" s="1991"/>
      <c r="MN257" s="1991"/>
      <c r="MO257" s="1991"/>
      <c r="MP257" s="1991"/>
      <c r="MQ257" s="1991"/>
      <c r="MR257" s="1991"/>
      <c r="MS257" s="1991"/>
      <c r="MT257" s="1991"/>
      <c r="MU257" s="1991"/>
      <c r="MV257" s="1991"/>
      <c r="MW257" s="1991"/>
      <c r="MX257" s="1991"/>
      <c r="MY257" s="1991"/>
      <c r="MZ257" s="1991"/>
      <c r="NA257" s="1991"/>
      <c r="NB257" s="1991"/>
      <c r="NC257" s="1991"/>
      <c r="ND257" s="1991"/>
      <c r="NE257" s="1991"/>
      <c r="NF257" s="1991"/>
      <c r="NG257" s="1991"/>
      <c r="NH257" s="1991"/>
      <c r="NI257" s="1991"/>
      <c r="NJ257" s="1991"/>
      <c r="NK257" s="1991"/>
      <c r="NL257" s="29"/>
    </row>
    <row r="258" spans="1:376">
      <c r="A258" s="41">
        <f t="shared" si="95"/>
        <v>2046</v>
      </c>
      <c r="B258" s="785">
        <v>53387</v>
      </c>
      <c r="C258" s="19"/>
      <c r="D258" s="93"/>
      <c r="E258" s="93"/>
      <c r="F258" s="93"/>
      <c r="G258" s="93"/>
      <c r="H258" s="93"/>
      <c r="I258" s="93"/>
      <c r="J258" s="93"/>
      <c r="K258" s="93"/>
      <c r="L258" s="93"/>
      <c r="M258" s="20"/>
      <c r="N258" s="25"/>
      <c r="O258" s="889">
        <f t="shared" si="94"/>
        <v>2046</v>
      </c>
      <c r="P258" s="29" t="str">
        <f t="shared" si="96"/>
        <v>Trimestre 12046</v>
      </c>
      <c r="Q258" s="848">
        <v>53387</v>
      </c>
      <c r="R258" s="733"/>
      <c r="S258" s="570"/>
      <c r="T258" s="570"/>
      <c r="U258" s="734"/>
      <c r="V258" s="25"/>
      <c r="W258" s="19"/>
      <c r="X258" s="93"/>
      <c r="Y258" s="93"/>
      <c r="Z258" s="93"/>
      <c r="AA258" s="93"/>
      <c r="AB258" s="93"/>
      <c r="AC258" s="93"/>
      <c r="AD258" s="93"/>
      <c r="AE258" s="20"/>
      <c r="AF258" s="25"/>
      <c r="AG258" s="19"/>
      <c r="AH258" s="93"/>
      <c r="AI258" s="93"/>
      <c r="AJ258" s="93"/>
      <c r="AK258" s="93"/>
      <c r="AL258" s="93"/>
      <c r="AM258" s="93"/>
      <c r="AN258" s="20"/>
      <c r="AO258" s="19"/>
      <c r="AP258" s="93"/>
      <c r="AQ258" s="93"/>
      <c r="AR258" s="93"/>
      <c r="AS258" s="20"/>
      <c r="AT258" s="19"/>
      <c r="AU258" s="93"/>
      <c r="AV258" s="20"/>
      <c r="AW258" s="19"/>
      <c r="AX258" s="93"/>
      <c r="AY258" s="93"/>
      <c r="AZ258" s="93"/>
      <c r="BA258" s="93"/>
      <c r="BB258" s="93"/>
      <c r="BC258" s="20"/>
      <c r="BD258" s="19"/>
      <c r="BE258" s="93"/>
      <c r="BF258" s="93"/>
      <c r="BG258" s="93"/>
      <c r="BH258" s="93"/>
      <c r="BI258" s="93"/>
      <c r="BJ258" s="93"/>
      <c r="BK258" s="20"/>
      <c r="BL258" s="19"/>
      <c r="BM258" s="93"/>
      <c r="BN258" s="93"/>
      <c r="BO258" s="93"/>
      <c r="BP258" s="93"/>
      <c r="BQ258" s="20"/>
      <c r="BR258" s="19"/>
      <c r="BS258" s="93"/>
      <c r="BT258" s="93"/>
      <c r="BU258" s="20"/>
      <c r="BV258" s="19"/>
      <c r="BW258" s="93"/>
      <c r="BX258" s="93"/>
      <c r="BY258" s="93"/>
      <c r="BZ258" s="93"/>
      <c r="CA258" s="93"/>
      <c r="CB258" s="20"/>
      <c r="CC258" s="25"/>
      <c r="CD258" s="19"/>
      <c r="CE258" s="93"/>
      <c r="CF258" s="20"/>
      <c r="CG258" s="25"/>
      <c r="CH258" s="19"/>
      <c r="CI258" s="93"/>
      <c r="CJ258" s="93"/>
      <c r="CK258" s="93"/>
      <c r="CL258" s="93"/>
      <c r="CM258" s="93"/>
      <c r="CN258" s="93"/>
      <c r="CO258" s="93"/>
      <c r="CP258" s="93"/>
      <c r="CQ258" s="93"/>
      <c r="CR258" s="214"/>
      <c r="CS258" s="20"/>
      <c r="CT258" s="25"/>
      <c r="CU258" s="19"/>
      <c r="CV258" s="93"/>
      <c r="CW258" s="93"/>
      <c r="CX258" s="93"/>
      <c r="CY258" s="93"/>
      <c r="CZ258" s="93"/>
      <c r="DA258" s="93"/>
      <c r="DB258" s="20"/>
      <c r="DC258" s="25"/>
      <c r="DD258" s="785">
        <v>53387</v>
      </c>
      <c r="DE258" s="19"/>
      <c r="DF258" s="20"/>
      <c r="DG258" s="25"/>
      <c r="DH258" s="19"/>
      <c r="DI258" s="20"/>
      <c r="DJ258" s="25"/>
      <c r="DK258" s="19"/>
      <c r="DL258" s="20"/>
      <c r="DM258" s="19"/>
      <c r="DN258" s="20"/>
      <c r="DO258" s="25"/>
      <c r="DP258" s="19"/>
      <c r="DQ258" s="93"/>
      <c r="DR258" s="20"/>
      <c r="DS258" s="25"/>
      <c r="DT258" s="19"/>
      <c r="DU258" s="93"/>
      <c r="DV258" s="20"/>
      <c r="DW258" s="25"/>
      <c r="DX258" s="19"/>
      <c r="DY258" s="20"/>
      <c r="DZ258" s="25"/>
      <c r="EA258" s="19"/>
      <c r="EB258" s="93"/>
      <c r="EC258" s="93"/>
      <c r="ED258" s="93"/>
      <c r="EE258" s="20"/>
      <c r="EF258" s="25"/>
      <c r="EG258" s="19"/>
      <c r="EH258" s="93"/>
      <c r="EI258" s="93"/>
      <c r="EJ258" s="93"/>
      <c r="EK258" s="20"/>
      <c r="EL258" s="25"/>
      <c r="EM258" s="19"/>
      <c r="EN258" s="93"/>
      <c r="EO258" s="93"/>
      <c r="EP258" s="93"/>
      <c r="EQ258" s="93"/>
      <c r="ER258" s="93"/>
      <c r="ES258" s="93"/>
      <c r="ET258" s="93"/>
      <c r="EU258" s="93"/>
      <c r="EV258" s="20"/>
      <c r="EW258" s="25"/>
      <c r="EX258" s="915"/>
      <c r="EY258" s="916"/>
      <c r="EZ258" s="916"/>
      <c r="FA258" s="916"/>
      <c r="FB258" s="916"/>
      <c r="FC258" s="916"/>
      <c r="FD258" s="916"/>
      <c r="FE258" s="916"/>
      <c r="FF258" s="916"/>
      <c r="FG258" s="917"/>
      <c r="FH258" s="25"/>
      <c r="FI258" s="848">
        <v>53387</v>
      </c>
      <c r="FJ258" s="19"/>
      <c r="FK258" s="93"/>
      <c r="FL258" s="20"/>
      <c r="FM258" s="25"/>
      <c r="FN258" s="19"/>
      <c r="FO258" s="93"/>
      <c r="FP258" s="93"/>
      <c r="FQ258" s="93"/>
      <c r="FR258" s="93"/>
      <c r="FS258" s="93"/>
      <c r="FT258" s="93"/>
      <c r="FU258" s="93"/>
      <c r="FV258" s="93"/>
      <c r="FW258" s="917"/>
      <c r="FX258" s="25"/>
      <c r="FY258" s="916"/>
      <c r="FZ258" s="916"/>
      <c r="GA258" s="916"/>
      <c r="GB258" s="916"/>
      <c r="GC258" s="916"/>
      <c r="GD258" s="916"/>
      <c r="GE258" s="916"/>
      <c r="GF258" s="916"/>
      <c r="GG258" s="916"/>
      <c r="GH258" s="916"/>
      <c r="GI258" s="917"/>
      <c r="GJ258" s="25"/>
      <c r="GK258" s="19"/>
      <c r="GL258" s="20"/>
      <c r="GM258" s="25"/>
      <c r="GN258" s="19"/>
      <c r="GO258" s="20"/>
      <c r="GP258" s="25"/>
      <c r="GQ258" s="19"/>
      <c r="GR258" s="20"/>
      <c r="GS258" s="25"/>
      <c r="GT258" s="848">
        <v>53387</v>
      </c>
      <c r="GU258" s="19"/>
      <c r="GV258" s="93"/>
      <c r="GW258" s="93"/>
      <c r="GX258" s="93"/>
      <c r="GY258" s="93"/>
      <c r="GZ258" s="93"/>
      <c r="HA258" s="93"/>
      <c r="HB258" s="93"/>
      <c r="HC258" s="93"/>
      <c r="HD258" s="93"/>
      <c r="HE258" s="93"/>
      <c r="HF258" s="93"/>
      <c r="HG258" s="93"/>
      <c r="HH258" s="93"/>
      <c r="HI258" s="93"/>
      <c r="HJ258" s="93"/>
      <c r="HK258" s="93"/>
      <c r="HL258" s="93"/>
      <c r="HM258" s="93"/>
      <c r="HN258" s="93"/>
      <c r="HO258" s="93"/>
      <c r="HP258" s="93"/>
      <c r="HQ258" s="93"/>
      <c r="HR258" s="93"/>
      <c r="HS258" s="93"/>
      <c r="HT258" s="93"/>
      <c r="HU258" s="93"/>
      <c r="HV258" s="93"/>
      <c r="HW258" s="93"/>
      <c r="HX258" s="93"/>
      <c r="HY258" s="93"/>
      <c r="HZ258" s="93"/>
      <c r="IA258" s="93"/>
      <c r="IB258" s="93"/>
      <c r="IC258" s="93"/>
      <c r="ID258" s="93"/>
      <c r="IE258" s="93"/>
      <c r="IF258" s="93"/>
      <c r="IG258" s="93"/>
      <c r="IH258" s="93"/>
      <c r="II258" s="93"/>
      <c r="IJ258" s="93"/>
      <c r="IK258" s="93"/>
      <c r="IL258" s="93"/>
      <c r="IM258" s="93"/>
      <c r="IN258" s="93"/>
      <c r="IO258" s="93"/>
      <c r="IP258" s="93"/>
      <c r="IQ258" s="93"/>
      <c r="IR258" s="93"/>
      <c r="IS258" s="93"/>
      <c r="IT258" s="93"/>
      <c r="IU258" s="93"/>
      <c r="IV258" s="93"/>
      <c r="IW258" s="848">
        <v>53387</v>
      </c>
      <c r="IX258" s="93"/>
      <c r="IY258" s="93"/>
      <c r="IZ258" s="93"/>
      <c r="JA258" s="93"/>
      <c r="JB258" s="93"/>
      <c r="JC258" s="93"/>
      <c r="JD258" s="93"/>
      <c r="JE258" s="93"/>
      <c r="JF258" s="93"/>
      <c r="JG258" s="93"/>
      <c r="JH258" s="93"/>
      <c r="JI258" s="93"/>
      <c r="JJ258" s="93"/>
      <c r="JK258" s="93"/>
      <c r="JL258" s="93"/>
      <c r="JM258" s="93"/>
      <c r="JN258" s="93"/>
      <c r="JO258" s="93"/>
      <c r="JP258" s="93"/>
      <c r="JQ258" s="93"/>
      <c r="JR258" s="93"/>
      <c r="JS258" s="93"/>
      <c r="JT258" s="20"/>
      <c r="JU258" s="29"/>
      <c r="JV258" s="19"/>
      <c r="JW258" s="93"/>
      <c r="JX258" s="93"/>
      <c r="JY258" s="93"/>
      <c r="JZ258" s="93"/>
      <c r="KA258" s="93"/>
      <c r="KB258" s="93"/>
      <c r="KC258" s="93"/>
      <c r="KD258" s="93"/>
      <c r="KE258" s="93"/>
      <c r="KF258" s="93"/>
      <c r="KG258" s="93"/>
      <c r="KH258" s="93"/>
      <c r="KI258" s="93"/>
      <c r="KJ258" s="93"/>
      <c r="KK258" s="93"/>
      <c r="KL258" s="93"/>
      <c r="KM258" s="93"/>
      <c r="KN258" s="93"/>
      <c r="KO258" s="93"/>
      <c r="KP258" s="93"/>
      <c r="KQ258" s="93"/>
      <c r="KR258" s="93"/>
      <c r="KS258" s="93"/>
      <c r="KT258" s="93"/>
      <c r="KU258" s="93"/>
      <c r="KV258" s="93"/>
      <c r="KW258" s="20"/>
      <c r="KX258" s="29"/>
      <c r="KY258" s="19"/>
      <c r="KZ258" s="93"/>
      <c r="LA258" s="93"/>
      <c r="LB258" s="93"/>
      <c r="LC258" s="93"/>
      <c r="LD258" s="93"/>
      <c r="LE258" s="93"/>
      <c r="LF258" s="93"/>
      <c r="LG258" s="93"/>
      <c r="LH258" s="93"/>
      <c r="LI258" s="93"/>
      <c r="LJ258" s="93"/>
      <c r="LK258" s="93"/>
      <c r="LL258" s="93"/>
      <c r="LM258" s="93"/>
      <c r="LN258" s="93"/>
      <c r="LO258" s="93"/>
      <c r="LP258" s="93"/>
      <c r="LQ258" s="93"/>
      <c r="LR258" s="93"/>
      <c r="LS258" s="93"/>
      <c r="LT258" s="93"/>
      <c r="LU258" s="93"/>
      <c r="LV258" s="93"/>
      <c r="LW258" s="93"/>
      <c r="LX258" s="93"/>
      <c r="LY258" s="93"/>
      <c r="LZ258" s="93"/>
      <c r="MA258" s="93"/>
      <c r="MB258" s="93"/>
      <c r="MC258" s="93"/>
      <c r="MD258" s="93"/>
      <c r="ME258" s="93"/>
      <c r="MF258" s="93"/>
      <c r="MG258" s="93"/>
      <c r="MH258" s="20"/>
      <c r="MI258" s="29"/>
      <c r="MJ258" s="29" t="str">
        <f t="shared" si="97"/>
        <v>Trimestre 12046</v>
      </c>
      <c r="MK258" s="848">
        <v>53387</v>
      </c>
      <c r="ML258" s="1991"/>
      <c r="MM258" s="1991"/>
      <c r="MN258" s="1991"/>
      <c r="MO258" s="1991"/>
      <c r="MP258" s="1991"/>
      <c r="MQ258" s="1991"/>
      <c r="MR258" s="1991"/>
      <c r="MS258" s="1991"/>
      <c r="MT258" s="1991"/>
      <c r="MU258" s="1991"/>
      <c r="MV258" s="1991"/>
      <c r="MW258" s="1991"/>
      <c r="MX258" s="1991"/>
      <c r="MY258" s="1991"/>
      <c r="MZ258" s="1991"/>
      <c r="NA258" s="1991"/>
      <c r="NB258" s="1991"/>
      <c r="NC258" s="1991"/>
      <c r="ND258" s="1991"/>
      <c r="NE258" s="1991"/>
      <c r="NF258" s="1991"/>
      <c r="NG258" s="1991"/>
      <c r="NH258" s="1991"/>
      <c r="NI258" s="1991"/>
      <c r="NJ258" s="1991"/>
      <c r="NK258" s="1991"/>
      <c r="NL258" s="29"/>
    </row>
    <row r="259" spans="1:376">
      <c r="A259" s="41">
        <f t="shared" si="95"/>
        <v>2046</v>
      </c>
      <c r="B259" s="785">
        <v>53479</v>
      </c>
      <c r="C259" s="19"/>
      <c r="D259" s="93"/>
      <c r="E259" s="93"/>
      <c r="F259" s="93"/>
      <c r="G259" s="93"/>
      <c r="H259" s="93"/>
      <c r="I259" s="93"/>
      <c r="J259" s="93"/>
      <c r="K259" s="93"/>
      <c r="L259" s="93"/>
      <c r="M259" s="20"/>
      <c r="N259" s="25"/>
      <c r="O259" s="889">
        <f t="shared" si="94"/>
        <v>2046</v>
      </c>
      <c r="P259" s="29" t="str">
        <f t="shared" si="96"/>
        <v>Trimestre 22046</v>
      </c>
      <c r="Q259" s="848">
        <v>53479</v>
      </c>
      <c r="R259" s="733"/>
      <c r="S259" s="570"/>
      <c r="T259" s="570"/>
      <c r="U259" s="734"/>
      <c r="V259" s="25"/>
      <c r="W259" s="19"/>
      <c r="X259" s="93"/>
      <c r="Y259" s="93"/>
      <c r="Z259" s="93"/>
      <c r="AA259" s="93"/>
      <c r="AB259" s="93"/>
      <c r="AC259" s="93"/>
      <c r="AD259" s="93"/>
      <c r="AE259" s="20"/>
      <c r="AF259" s="25"/>
      <c r="AG259" s="19"/>
      <c r="AH259" s="93"/>
      <c r="AI259" s="93"/>
      <c r="AJ259" s="93"/>
      <c r="AK259" s="93"/>
      <c r="AL259" s="93"/>
      <c r="AM259" s="93"/>
      <c r="AN259" s="20"/>
      <c r="AO259" s="19"/>
      <c r="AP259" s="93"/>
      <c r="AQ259" s="93"/>
      <c r="AR259" s="93"/>
      <c r="AS259" s="20"/>
      <c r="AT259" s="19"/>
      <c r="AU259" s="93"/>
      <c r="AV259" s="20"/>
      <c r="AW259" s="19"/>
      <c r="AX259" s="93"/>
      <c r="AY259" s="93"/>
      <c r="AZ259" s="93"/>
      <c r="BA259" s="93"/>
      <c r="BB259" s="93"/>
      <c r="BC259" s="20"/>
      <c r="BD259" s="19"/>
      <c r="BE259" s="93"/>
      <c r="BF259" s="93"/>
      <c r="BG259" s="93"/>
      <c r="BH259" s="93"/>
      <c r="BI259" s="93"/>
      <c r="BJ259" s="93"/>
      <c r="BK259" s="20"/>
      <c r="BL259" s="19"/>
      <c r="BM259" s="93"/>
      <c r="BN259" s="93"/>
      <c r="BO259" s="93"/>
      <c r="BP259" s="93"/>
      <c r="BQ259" s="20"/>
      <c r="BR259" s="19"/>
      <c r="BS259" s="93"/>
      <c r="BT259" s="93"/>
      <c r="BU259" s="20"/>
      <c r="BV259" s="19"/>
      <c r="BW259" s="93"/>
      <c r="BX259" s="93"/>
      <c r="BY259" s="93"/>
      <c r="BZ259" s="93"/>
      <c r="CA259" s="93"/>
      <c r="CB259" s="20"/>
      <c r="CC259" s="25"/>
      <c r="CD259" s="19"/>
      <c r="CE259" s="93"/>
      <c r="CF259" s="20"/>
      <c r="CG259" s="25"/>
      <c r="CH259" s="19"/>
      <c r="CI259" s="93"/>
      <c r="CJ259" s="93"/>
      <c r="CK259" s="93"/>
      <c r="CL259" s="93"/>
      <c r="CM259" s="93"/>
      <c r="CN259" s="93"/>
      <c r="CO259" s="93"/>
      <c r="CP259" s="93"/>
      <c r="CQ259" s="93"/>
      <c r="CR259" s="214"/>
      <c r="CS259" s="20"/>
      <c r="CT259" s="25"/>
      <c r="CU259" s="19"/>
      <c r="CV259" s="93"/>
      <c r="CW259" s="93"/>
      <c r="CX259" s="93"/>
      <c r="CY259" s="93"/>
      <c r="CZ259" s="93"/>
      <c r="DA259" s="93"/>
      <c r="DB259" s="20"/>
      <c r="DC259" s="25"/>
      <c r="DD259" s="785">
        <v>53479</v>
      </c>
      <c r="DE259" s="19"/>
      <c r="DF259" s="20"/>
      <c r="DG259" s="25"/>
      <c r="DH259" s="19"/>
      <c r="DI259" s="20"/>
      <c r="DJ259" s="25"/>
      <c r="DK259" s="19"/>
      <c r="DL259" s="20"/>
      <c r="DM259" s="19"/>
      <c r="DN259" s="20"/>
      <c r="DO259" s="25"/>
      <c r="DP259" s="19"/>
      <c r="DQ259" s="93"/>
      <c r="DR259" s="20"/>
      <c r="DS259" s="25"/>
      <c r="DT259" s="19"/>
      <c r="DU259" s="93"/>
      <c r="DV259" s="20"/>
      <c r="DW259" s="25"/>
      <c r="DX259" s="19"/>
      <c r="DY259" s="20"/>
      <c r="DZ259" s="25"/>
      <c r="EA259" s="19"/>
      <c r="EB259" s="93"/>
      <c r="EC259" s="93"/>
      <c r="ED259" s="93"/>
      <c r="EE259" s="20"/>
      <c r="EF259" s="25"/>
      <c r="EG259" s="19"/>
      <c r="EH259" s="93"/>
      <c r="EI259" s="93"/>
      <c r="EJ259" s="93"/>
      <c r="EK259" s="20"/>
      <c r="EL259" s="25"/>
      <c r="EM259" s="19"/>
      <c r="EN259" s="93"/>
      <c r="EO259" s="93"/>
      <c r="EP259" s="93"/>
      <c r="EQ259" s="93"/>
      <c r="ER259" s="93"/>
      <c r="ES259" s="93"/>
      <c r="ET259" s="93"/>
      <c r="EU259" s="93"/>
      <c r="EV259" s="20"/>
      <c r="EW259" s="25"/>
      <c r="EX259" s="915"/>
      <c r="EY259" s="916"/>
      <c r="EZ259" s="916"/>
      <c r="FA259" s="916"/>
      <c r="FB259" s="916"/>
      <c r="FC259" s="916"/>
      <c r="FD259" s="916"/>
      <c r="FE259" s="916"/>
      <c r="FF259" s="916"/>
      <c r="FG259" s="917"/>
      <c r="FH259" s="25"/>
      <c r="FI259" s="848">
        <v>53479</v>
      </c>
      <c r="FJ259" s="19"/>
      <c r="FK259" s="93"/>
      <c r="FL259" s="20"/>
      <c r="FM259" s="25"/>
      <c r="FN259" s="19"/>
      <c r="FO259" s="93"/>
      <c r="FP259" s="93"/>
      <c r="FQ259" s="93"/>
      <c r="FR259" s="93"/>
      <c r="FS259" s="93"/>
      <c r="FT259" s="93"/>
      <c r="FU259" s="93"/>
      <c r="FV259" s="93"/>
      <c r="FW259" s="917"/>
      <c r="FX259" s="25"/>
      <c r="FY259" s="916"/>
      <c r="FZ259" s="916"/>
      <c r="GA259" s="916"/>
      <c r="GB259" s="916"/>
      <c r="GC259" s="916"/>
      <c r="GD259" s="916"/>
      <c r="GE259" s="916"/>
      <c r="GF259" s="916"/>
      <c r="GG259" s="916"/>
      <c r="GH259" s="916"/>
      <c r="GI259" s="917"/>
      <c r="GJ259" s="25"/>
      <c r="GK259" s="19"/>
      <c r="GL259" s="20"/>
      <c r="GM259" s="25"/>
      <c r="GN259" s="19"/>
      <c r="GO259" s="20"/>
      <c r="GP259" s="25"/>
      <c r="GQ259" s="19"/>
      <c r="GR259" s="20"/>
      <c r="GS259" s="25"/>
      <c r="GT259" s="848">
        <v>53479</v>
      </c>
      <c r="GU259" s="19"/>
      <c r="GV259" s="93"/>
      <c r="GW259" s="93"/>
      <c r="GX259" s="93"/>
      <c r="GY259" s="93"/>
      <c r="GZ259" s="93"/>
      <c r="HA259" s="93"/>
      <c r="HB259" s="93"/>
      <c r="HC259" s="93"/>
      <c r="HD259" s="93"/>
      <c r="HE259" s="93"/>
      <c r="HF259" s="93"/>
      <c r="HG259" s="93"/>
      <c r="HH259" s="93"/>
      <c r="HI259" s="93"/>
      <c r="HJ259" s="93"/>
      <c r="HK259" s="93"/>
      <c r="HL259" s="93"/>
      <c r="HM259" s="93"/>
      <c r="HN259" s="93"/>
      <c r="HO259" s="93"/>
      <c r="HP259" s="93"/>
      <c r="HQ259" s="93"/>
      <c r="HR259" s="93"/>
      <c r="HS259" s="93"/>
      <c r="HT259" s="93"/>
      <c r="HU259" s="93"/>
      <c r="HV259" s="93"/>
      <c r="HW259" s="93"/>
      <c r="HX259" s="93"/>
      <c r="HY259" s="93"/>
      <c r="HZ259" s="93"/>
      <c r="IA259" s="93"/>
      <c r="IB259" s="93"/>
      <c r="IC259" s="93"/>
      <c r="ID259" s="93"/>
      <c r="IE259" s="93"/>
      <c r="IF259" s="93"/>
      <c r="IG259" s="93"/>
      <c r="IH259" s="93"/>
      <c r="II259" s="93"/>
      <c r="IJ259" s="93"/>
      <c r="IK259" s="93"/>
      <c r="IL259" s="93"/>
      <c r="IM259" s="93"/>
      <c r="IN259" s="93"/>
      <c r="IO259" s="93"/>
      <c r="IP259" s="93"/>
      <c r="IQ259" s="93"/>
      <c r="IR259" s="93"/>
      <c r="IS259" s="93"/>
      <c r="IT259" s="93"/>
      <c r="IU259" s="93"/>
      <c r="IV259" s="93"/>
      <c r="IW259" s="848">
        <v>53479</v>
      </c>
      <c r="IX259" s="93"/>
      <c r="IY259" s="93"/>
      <c r="IZ259" s="93"/>
      <c r="JA259" s="93"/>
      <c r="JB259" s="93"/>
      <c r="JC259" s="93"/>
      <c r="JD259" s="93"/>
      <c r="JE259" s="93"/>
      <c r="JF259" s="93"/>
      <c r="JG259" s="93"/>
      <c r="JH259" s="93"/>
      <c r="JI259" s="93"/>
      <c r="JJ259" s="93"/>
      <c r="JK259" s="93"/>
      <c r="JL259" s="93"/>
      <c r="JM259" s="93"/>
      <c r="JN259" s="93"/>
      <c r="JO259" s="93"/>
      <c r="JP259" s="93"/>
      <c r="JQ259" s="93"/>
      <c r="JR259" s="93"/>
      <c r="JS259" s="93"/>
      <c r="JT259" s="20"/>
      <c r="JU259" s="29"/>
      <c r="JV259" s="19"/>
      <c r="JW259" s="93"/>
      <c r="JX259" s="93"/>
      <c r="JY259" s="93"/>
      <c r="JZ259" s="93"/>
      <c r="KA259" s="93"/>
      <c r="KB259" s="93"/>
      <c r="KC259" s="93"/>
      <c r="KD259" s="93"/>
      <c r="KE259" s="93"/>
      <c r="KF259" s="93"/>
      <c r="KG259" s="93"/>
      <c r="KH259" s="93"/>
      <c r="KI259" s="93"/>
      <c r="KJ259" s="93"/>
      <c r="KK259" s="93"/>
      <c r="KL259" s="93"/>
      <c r="KM259" s="93"/>
      <c r="KN259" s="93"/>
      <c r="KO259" s="93"/>
      <c r="KP259" s="93"/>
      <c r="KQ259" s="93"/>
      <c r="KR259" s="93"/>
      <c r="KS259" s="93"/>
      <c r="KT259" s="93"/>
      <c r="KU259" s="93"/>
      <c r="KV259" s="93"/>
      <c r="KW259" s="20"/>
      <c r="KX259" s="29"/>
      <c r="KY259" s="19"/>
      <c r="KZ259" s="93"/>
      <c r="LA259" s="93"/>
      <c r="LB259" s="93"/>
      <c r="LC259" s="93"/>
      <c r="LD259" s="93"/>
      <c r="LE259" s="93"/>
      <c r="LF259" s="93"/>
      <c r="LG259" s="93"/>
      <c r="LH259" s="93"/>
      <c r="LI259" s="93"/>
      <c r="LJ259" s="93"/>
      <c r="LK259" s="93"/>
      <c r="LL259" s="93"/>
      <c r="LM259" s="93"/>
      <c r="LN259" s="93"/>
      <c r="LO259" s="93"/>
      <c r="LP259" s="93"/>
      <c r="LQ259" s="93"/>
      <c r="LR259" s="93"/>
      <c r="LS259" s="93"/>
      <c r="LT259" s="93"/>
      <c r="LU259" s="93"/>
      <c r="LV259" s="93"/>
      <c r="LW259" s="93"/>
      <c r="LX259" s="93"/>
      <c r="LY259" s="93"/>
      <c r="LZ259" s="93"/>
      <c r="MA259" s="93"/>
      <c r="MB259" s="93"/>
      <c r="MC259" s="93"/>
      <c r="MD259" s="93"/>
      <c r="ME259" s="93"/>
      <c r="MF259" s="93"/>
      <c r="MG259" s="93"/>
      <c r="MH259" s="20"/>
      <c r="MI259" s="29"/>
      <c r="MJ259" s="29" t="str">
        <f t="shared" si="97"/>
        <v>Trimestre 22046</v>
      </c>
      <c r="MK259" s="848">
        <v>53479</v>
      </c>
      <c r="ML259" s="1991"/>
      <c r="MM259" s="1991"/>
      <c r="MN259" s="1991"/>
      <c r="MO259" s="1991"/>
      <c r="MP259" s="1991"/>
      <c r="MQ259" s="1991"/>
      <c r="MR259" s="1991"/>
      <c r="MS259" s="1991"/>
      <c r="MT259" s="1991"/>
      <c r="MU259" s="1991"/>
      <c r="MV259" s="1991"/>
      <c r="MW259" s="1991"/>
      <c r="MX259" s="1991"/>
      <c r="MY259" s="1991"/>
      <c r="MZ259" s="1991"/>
      <c r="NA259" s="1991"/>
      <c r="NB259" s="1991"/>
      <c r="NC259" s="1991"/>
      <c r="ND259" s="1991"/>
      <c r="NE259" s="1991"/>
      <c r="NF259" s="1991"/>
      <c r="NG259" s="1991"/>
      <c r="NH259" s="1991"/>
      <c r="NI259" s="1991"/>
      <c r="NJ259" s="1991"/>
      <c r="NK259" s="1991"/>
      <c r="NL259" s="29"/>
    </row>
    <row r="260" spans="1:376">
      <c r="A260" s="41">
        <f t="shared" si="95"/>
        <v>2046</v>
      </c>
      <c r="B260" s="785">
        <v>53571</v>
      </c>
      <c r="C260" s="19"/>
      <c r="D260" s="93"/>
      <c r="E260" s="93"/>
      <c r="F260" s="93"/>
      <c r="G260" s="93"/>
      <c r="H260" s="93"/>
      <c r="I260" s="93"/>
      <c r="J260" s="93"/>
      <c r="K260" s="93"/>
      <c r="L260" s="93"/>
      <c r="M260" s="20"/>
      <c r="N260" s="25"/>
      <c r="O260" s="889">
        <f t="shared" si="94"/>
        <v>2046</v>
      </c>
      <c r="P260" s="29" t="str">
        <f t="shared" si="96"/>
        <v>Trimestre 32046</v>
      </c>
      <c r="Q260" s="848">
        <v>53571</v>
      </c>
      <c r="R260" s="733"/>
      <c r="S260" s="570"/>
      <c r="T260" s="570"/>
      <c r="U260" s="734"/>
      <c r="V260" s="25"/>
      <c r="W260" s="19"/>
      <c r="X260" s="93"/>
      <c r="Y260" s="93"/>
      <c r="Z260" s="93"/>
      <c r="AA260" s="93"/>
      <c r="AB260" s="93"/>
      <c r="AC260" s="93"/>
      <c r="AD260" s="93"/>
      <c r="AE260" s="20"/>
      <c r="AF260" s="25"/>
      <c r="AG260" s="19"/>
      <c r="AH260" s="93"/>
      <c r="AI260" s="93"/>
      <c r="AJ260" s="93"/>
      <c r="AK260" s="93"/>
      <c r="AL260" s="93"/>
      <c r="AM260" s="93"/>
      <c r="AN260" s="20"/>
      <c r="AO260" s="19"/>
      <c r="AP260" s="93"/>
      <c r="AQ260" s="93"/>
      <c r="AR260" s="93"/>
      <c r="AS260" s="20"/>
      <c r="AT260" s="19"/>
      <c r="AU260" s="93"/>
      <c r="AV260" s="20"/>
      <c r="AW260" s="19"/>
      <c r="AX260" s="93"/>
      <c r="AY260" s="93"/>
      <c r="AZ260" s="93"/>
      <c r="BA260" s="93"/>
      <c r="BB260" s="93"/>
      <c r="BC260" s="20"/>
      <c r="BD260" s="19"/>
      <c r="BE260" s="93"/>
      <c r="BF260" s="93"/>
      <c r="BG260" s="93"/>
      <c r="BH260" s="93"/>
      <c r="BI260" s="93"/>
      <c r="BJ260" s="93"/>
      <c r="BK260" s="20"/>
      <c r="BL260" s="19"/>
      <c r="BM260" s="93"/>
      <c r="BN260" s="93"/>
      <c r="BO260" s="93"/>
      <c r="BP260" s="93"/>
      <c r="BQ260" s="20"/>
      <c r="BR260" s="19"/>
      <c r="BS260" s="93"/>
      <c r="BT260" s="93"/>
      <c r="BU260" s="20"/>
      <c r="BV260" s="19"/>
      <c r="BW260" s="93"/>
      <c r="BX260" s="93"/>
      <c r="BY260" s="93"/>
      <c r="BZ260" s="93"/>
      <c r="CA260" s="93"/>
      <c r="CB260" s="20"/>
      <c r="CC260" s="25"/>
      <c r="CD260" s="19"/>
      <c r="CE260" s="93"/>
      <c r="CF260" s="20"/>
      <c r="CG260" s="25"/>
      <c r="CH260" s="19"/>
      <c r="CI260" s="93"/>
      <c r="CJ260" s="93"/>
      <c r="CK260" s="93"/>
      <c r="CL260" s="93"/>
      <c r="CM260" s="93"/>
      <c r="CN260" s="93"/>
      <c r="CO260" s="93"/>
      <c r="CP260" s="93"/>
      <c r="CQ260" s="93"/>
      <c r="CR260" s="214"/>
      <c r="CS260" s="20"/>
      <c r="CT260" s="25"/>
      <c r="CU260" s="19"/>
      <c r="CV260" s="93"/>
      <c r="CW260" s="93"/>
      <c r="CX260" s="93"/>
      <c r="CY260" s="93"/>
      <c r="CZ260" s="93"/>
      <c r="DA260" s="93"/>
      <c r="DB260" s="20"/>
      <c r="DC260" s="25"/>
      <c r="DD260" s="785">
        <v>53571</v>
      </c>
      <c r="DE260" s="19"/>
      <c r="DF260" s="20"/>
      <c r="DG260" s="25"/>
      <c r="DH260" s="19"/>
      <c r="DI260" s="20"/>
      <c r="DJ260" s="25"/>
      <c r="DK260" s="19"/>
      <c r="DL260" s="20"/>
      <c r="DM260" s="19"/>
      <c r="DN260" s="20"/>
      <c r="DO260" s="25"/>
      <c r="DP260" s="19"/>
      <c r="DQ260" s="93"/>
      <c r="DR260" s="20"/>
      <c r="DS260" s="25"/>
      <c r="DT260" s="19"/>
      <c r="DU260" s="93"/>
      <c r="DV260" s="20"/>
      <c r="DW260" s="25"/>
      <c r="DX260" s="19"/>
      <c r="DY260" s="20"/>
      <c r="DZ260" s="25"/>
      <c r="EA260" s="19"/>
      <c r="EB260" s="93"/>
      <c r="EC260" s="93"/>
      <c r="ED260" s="93"/>
      <c r="EE260" s="20"/>
      <c r="EF260" s="25"/>
      <c r="EG260" s="19"/>
      <c r="EH260" s="93"/>
      <c r="EI260" s="93"/>
      <c r="EJ260" s="93"/>
      <c r="EK260" s="20"/>
      <c r="EL260" s="25"/>
      <c r="EM260" s="19"/>
      <c r="EN260" s="93"/>
      <c r="EO260" s="93"/>
      <c r="EP260" s="93"/>
      <c r="EQ260" s="93"/>
      <c r="ER260" s="93"/>
      <c r="ES260" s="93"/>
      <c r="ET260" s="93"/>
      <c r="EU260" s="93"/>
      <c r="EV260" s="20"/>
      <c r="EW260" s="25"/>
      <c r="EX260" s="915"/>
      <c r="EY260" s="916"/>
      <c r="EZ260" s="916"/>
      <c r="FA260" s="916"/>
      <c r="FB260" s="916"/>
      <c r="FC260" s="916"/>
      <c r="FD260" s="916"/>
      <c r="FE260" s="916"/>
      <c r="FF260" s="916"/>
      <c r="FG260" s="917"/>
      <c r="FH260" s="25"/>
      <c r="FI260" s="848">
        <v>53571</v>
      </c>
      <c r="FJ260" s="19"/>
      <c r="FK260" s="93"/>
      <c r="FL260" s="20"/>
      <c r="FM260" s="25"/>
      <c r="FN260" s="19"/>
      <c r="FO260" s="93"/>
      <c r="FP260" s="93"/>
      <c r="FQ260" s="93"/>
      <c r="FR260" s="93"/>
      <c r="FS260" s="93"/>
      <c r="FT260" s="93"/>
      <c r="FU260" s="93"/>
      <c r="FV260" s="93"/>
      <c r="FW260" s="917"/>
      <c r="FX260" s="25"/>
      <c r="FY260" s="916"/>
      <c r="FZ260" s="916"/>
      <c r="GA260" s="916"/>
      <c r="GB260" s="916"/>
      <c r="GC260" s="916"/>
      <c r="GD260" s="916"/>
      <c r="GE260" s="916"/>
      <c r="GF260" s="916"/>
      <c r="GG260" s="916"/>
      <c r="GH260" s="916"/>
      <c r="GI260" s="917"/>
      <c r="GJ260" s="25"/>
      <c r="GK260" s="19"/>
      <c r="GL260" s="20"/>
      <c r="GM260" s="25"/>
      <c r="GN260" s="19"/>
      <c r="GO260" s="20"/>
      <c r="GP260" s="25"/>
      <c r="GQ260" s="19"/>
      <c r="GR260" s="20"/>
      <c r="GS260" s="25"/>
      <c r="GT260" s="848">
        <v>53571</v>
      </c>
      <c r="GU260" s="19"/>
      <c r="GV260" s="93"/>
      <c r="GW260" s="93"/>
      <c r="GX260" s="93"/>
      <c r="GY260" s="93"/>
      <c r="GZ260" s="93"/>
      <c r="HA260" s="93"/>
      <c r="HB260" s="93"/>
      <c r="HC260" s="93"/>
      <c r="HD260" s="93"/>
      <c r="HE260" s="93"/>
      <c r="HF260" s="93"/>
      <c r="HG260" s="93"/>
      <c r="HH260" s="93"/>
      <c r="HI260" s="93"/>
      <c r="HJ260" s="93"/>
      <c r="HK260" s="93"/>
      <c r="HL260" s="93"/>
      <c r="HM260" s="93"/>
      <c r="HN260" s="93"/>
      <c r="HO260" s="93"/>
      <c r="HP260" s="93"/>
      <c r="HQ260" s="93"/>
      <c r="HR260" s="93"/>
      <c r="HS260" s="93"/>
      <c r="HT260" s="93"/>
      <c r="HU260" s="93"/>
      <c r="HV260" s="93"/>
      <c r="HW260" s="93"/>
      <c r="HX260" s="93"/>
      <c r="HY260" s="93"/>
      <c r="HZ260" s="93"/>
      <c r="IA260" s="93"/>
      <c r="IB260" s="93"/>
      <c r="IC260" s="93"/>
      <c r="ID260" s="93"/>
      <c r="IE260" s="93"/>
      <c r="IF260" s="93"/>
      <c r="IG260" s="93"/>
      <c r="IH260" s="93"/>
      <c r="II260" s="93"/>
      <c r="IJ260" s="93"/>
      <c r="IK260" s="93"/>
      <c r="IL260" s="93"/>
      <c r="IM260" s="93"/>
      <c r="IN260" s="93"/>
      <c r="IO260" s="93"/>
      <c r="IP260" s="93"/>
      <c r="IQ260" s="93"/>
      <c r="IR260" s="93"/>
      <c r="IS260" s="93"/>
      <c r="IT260" s="93"/>
      <c r="IU260" s="93"/>
      <c r="IV260" s="93"/>
      <c r="IW260" s="848">
        <v>53571</v>
      </c>
      <c r="IX260" s="93"/>
      <c r="IY260" s="93"/>
      <c r="IZ260" s="93"/>
      <c r="JA260" s="93"/>
      <c r="JB260" s="93"/>
      <c r="JC260" s="93"/>
      <c r="JD260" s="93"/>
      <c r="JE260" s="93"/>
      <c r="JF260" s="93"/>
      <c r="JG260" s="93"/>
      <c r="JH260" s="93"/>
      <c r="JI260" s="93"/>
      <c r="JJ260" s="93"/>
      <c r="JK260" s="93"/>
      <c r="JL260" s="93"/>
      <c r="JM260" s="93"/>
      <c r="JN260" s="93"/>
      <c r="JO260" s="93"/>
      <c r="JP260" s="93"/>
      <c r="JQ260" s="93"/>
      <c r="JR260" s="93"/>
      <c r="JS260" s="93"/>
      <c r="JT260" s="20"/>
      <c r="JU260" s="29"/>
      <c r="JV260" s="19"/>
      <c r="JW260" s="93"/>
      <c r="JX260" s="93"/>
      <c r="JY260" s="93"/>
      <c r="JZ260" s="93"/>
      <c r="KA260" s="93"/>
      <c r="KB260" s="93"/>
      <c r="KC260" s="93"/>
      <c r="KD260" s="93"/>
      <c r="KE260" s="93"/>
      <c r="KF260" s="93"/>
      <c r="KG260" s="93"/>
      <c r="KH260" s="93"/>
      <c r="KI260" s="93"/>
      <c r="KJ260" s="93"/>
      <c r="KK260" s="93"/>
      <c r="KL260" s="93"/>
      <c r="KM260" s="93"/>
      <c r="KN260" s="93"/>
      <c r="KO260" s="93"/>
      <c r="KP260" s="93"/>
      <c r="KQ260" s="93"/>
      <c r="KR260" s="93"/>
      <c r="KS260" s="93"/>
      <c r="KT260" s="93"/>
      <c r="KU260" s="93"/>
      <c r="KV260" s="93"/>
      <c r="KW260" s="20"/>
      <c r="KX260" s="29"/>
      <c r="KY260" s="19"/>
      <c r="KZ260" s="93"/>
      <c r="LA260" s="93"/>
      <c r="LB260" s="93"/>
      <c r="LC260" s="93"/>
      <c r="LD260" s="93"/>
      <c r="LE260" s="93"/>
      <c r="LF260" s="93"/>
      <c r="LG260" s="93"/>
      <c r="LH260" s="93"/>
      <c r="LI260" s="93"/>
      <c r="LJ260" s="93"/>
      <c r="LK260" s="93"/>
      <c r="LL260" s="93"/>
      <c r="LM260" s="93"/>
      <c r="LN260" s="93"/>
      <c r="LO260" s="93"/>
      <c r="LP260" s="93"/>
      <c r="LQ260" s="93"/>
      <c r="LR260" s="93"/>
      <c r="LS260" s="93"/>
      <c r="LT260" s="93"/>
      <c r="LU260" s="93"/>
      <c r="LV260" s="93"/>
      <c r="LW260" s="93"/>
      <c r="LX260" s="93"/>
      <c r="LY260" s="93"/>
      <c r="LZ260" s="93"/>
      <c r="MA260" s="93"/>
      <c r="MB260" s="93"/>
      <c r="MC260" s="93"/>
      <c r="MD260" s="93"/>
      <c r="ME260" s="93"/>
      <c r="MF260" s="93"/>
      <c r="MG260" s="93"/>
      <c r="MH260" s="20"/>
      <c r="MI260" s="29"/>
      <c r="MJ260" s="29" t="str">
        <f t="shared" si="97"/>
        <v>Trimestre 32046</v>
      </c>
      <c r="MK260" s="848">
        <v>53571</v>
      </c>
      <c r="ML260" s="1991"/>
      <c r="MM260" s="1991"/>
      <c r="MN260" s="1991"/>
      <c r="MO260" s="1991"/>
      <c r="MP260" s="1991"/>
      <c r="MQ260" s="1991"/>
      <c r="MR260" s="1991"/>
      <c r="MS260" s="1991"/>
      <c r="MT260" s="1991"/>
      <c r="MU260" s="1991"/>
      <c r="MV260" s="1991"/>
      <c r="MW260" s="1991"/>
      <c r="MX260" s="1991"/>
      <c r="MY260" s="1991"/>
      <c r="MZ260" s="1991"/>
      <c r="NA260" s="1991"/>
      <c r="NB260" s="1991"/>
      <c r="NC260" s="1991"/>
      <c r="ND260" s="1991"/>
      <c r="NE260" s="1991"/>
      <c r="NF260" s="1991"/>
      <c r="NG260" s="1991"/>
      <c r="NH260" s="1991"/>
      <c r="NI260" s="1991"/>
      <c r="NJ260" s="1991"/>
      <c r="NK260" s="1991"/>
      <c r="NL260" s="29"/>
    </row>
    <row r="261" spans="1:376">
      <c r="A261" s="41">
        <f t="shared" si="95"/>
        <v>2046</v>
      </c>
      <c r="B261" s="785">
        <v>53662</v>
      </c>
      <c r="C261" s="19"/>
      <c r="D261" s="93"/>
      <c r="E261" s="93"/>
      <c r="F261" s="93"/>
      <c r="G261" s="93"/>
      <c r="H261" s="93"/>
      <c r="I261" s="93"/>
      <c r="J261" s="93"/>
      <c r="K261" s="93"/>
      <c r="L261" s="93"/>
      <c r="M261" s="20"/>
      <c r="N261" s="25"/>
      <c r="O261" s="889">
        <f t="shared" si="94"/>
        <v>2046</v>
      </c>
      <c r="P261" s="29" t="str">
        <f t="shared" si="96"/>
        <v>Trimestre 42046</v>
      </c>
      <c r="Q261" s="848">
        <v>53662</v>
      </c>
      <c r="R261" s="733"/>
      <c r="S261" s="570"/>
      <c r="T261" s="570"/>
      <c r="U261" s="734"/>
      <c r="V261" s="25"/>
      <c r="W261" s="19"/>
      <c r="X261" s="93"/>
      <c r="Y261" s="93"/>
      <c r="Z261" s="93"/>
      <c r="AA261" s="93"/>
      <c r="AB261" s="93"/>
      <c r="AC261" s="93"/>
      <c r="AD261" s="93"/>
      <c r="AE261" s="20"/>
      <c r="AF261" s="25"/>
      <c r="AG261" s="19"/>
      <c r="AH261" s="93"/>
      <c r="AI261" s="93"/>
      <c r="AJ261" s="93"/>
      <c r="AK261" s="93"/>
      <c r="AL261" s="93"/>
      <c r="AM261" s="93"/>
      <c r="AN261" s="20"/>
      <c r="AO261" s="19"/>
      <c r="AP261" s="93"/>
      <c r="AQ261" s="93"/>
      <c r="AR261" s="93"/>
      <c r="AS261" s="20"/>
      <c r="AT261" s="19"/>
      <c r="AU261" s="93"/>
      <c r="AV261" s="20"/>
      <c r="AW261" s="19"/>
      <c r="AX261" s="93"/>
      <c r="AY261" s="93"/>
      <c r="AZ261" s="93"/>
      <c r="BA261" s="93"/>
      <c r="BB261" s="93"/>
      <c r="BC261" s="20"/>
      <c r="BD261" s="19"/>
      <c r="BE261" s="93"/>
      <c r="BF261" s="93"/>
      <c r="BG261" s="93"/>
      <c r="BH261" s="93"/>
      <c r="BI261" s="93"/>
      <c r="BJ261" s="93"/>
      <c r="BK261" s="20"/>
      <c r="BL261" s="19"/>
      <c r="BM261" s="93"/>
      <c r="BN261" s="93"/>
      <c r="BO261" s="93"/>
      <c r="BP261" s="93"/>
      <c r="BQ261" s="20"/>
      <c r="BR261" s="19"/>
      <c r="BS261" s="93"/>
      <c r="BT261" s="93"/>
      <c r="BU261" s="20"/>
      <c r="BV261" s="19"/>
      <c r="BW261" s="93"/>
      <c r="BX261" s="93"/>
      <c r="BY261" s="93"/>
      <c r="BZ261" s="93"/>
      <c r="CA261" s="93"/>
      <c r="CB261" s="20"/>
      <c r="CC261" s="25"/>
      <c r="CD261" s="19"/>
      <c r="CE261" s="93"/>
      <c r="CF261" s="20"/>
      <c r="CG261" s="25"/>
      <c r="CH261" s="19"/>
      <c r="CI261" s="93"/>
      <c r="CJ261" s="93"/>
      <c r="CK261" s="93"/>
      <c r="CL261" s="93"/>
      <c r="CM261" s="93"/>
      <c r="CN261" s="93"/>
      <c r="CO261" s="93"/>
      <c r="CP261" s="93"/>
      <c r="CQ261" s="93"/>
      <c r="CR261" s="214"/>
      <c r="CS261" s="20"/>
      <c r="CT261" s="25"/>
      <c r="CU261" s="19"/>
      <c r="CV261" s="93"/>
      <c r="CW261" s="93"/>
      <c r="CX261" s="93"/>
      <c r="CY261" s="93"/>
      <c r="CZ261" s="93"/>
      <c r="DA261" s="93"/>
      <c r="DB261" s="20"/>
      <c r="DC261" s="25"/>
      <c r="DD261" s="785">
        <v>53662</v>
      </c>
      <c r="DE261" s="19"/>
      <c r="DF261" s="20"/>
      <c r="DG261" s="25"/>
      <c r="DH261" s="19"/>
      <c r="DI261" s="20"/>
      <c r="DJ261" s="25"/>
      <c r="DK261" s="19"/>
      <c r="DL261" s="20"/>
      <c r="DM261" s="19"/>
      <c r="DN261" s="20"/>
      <c r="DO261" s="25"/>
      <c r="DP261" s="19"/>
      <c r="DQ261" s="93"/>
      <c r="DR261" s="20"/>
      <c r="DS261" s="25"/>
      <c r="DT261" s="19"/>
      <c r="DU261" s="93"/>
      <c r="DV261" s="20"/>
      <c r="DW261" s="25"/>
      <c r="DX261" s="19"/>
      <c r="DY261" s="20"/>
      <c r="DZ261" s="25"/>
      <c r="EA261" s="19"/>
      <c r="EB261" s="93"/>
      <c r="EC261" s="93"/>
      <c r="ED261" s="93"/>
      <c r="EE261" s="20"/>
      <c r="EF261" s="25"/>
      <c r="EG261" s="19"/>
      <c r="EH261" s="93"/>
      <c r="EI261" s="93"/>
      <c r="EJ261" s="93"/>
      <c r="EK261" s="20"/>
      <c r="EL261" s="25"/>
      <c r="EM261" s="19"/>
      <c r="EN261" s="93"/>
      <c r="EO261" s="93"/>
      <c r="EP261" s="93"/>
      <c r="EQ261" s="93"/>
      <c r="ER261" s="93"/>
      <c r="ES261" s="93"/>
      <c r="ET261" s="93"/>
      <c r="EU261" s="93"/>
      <c r="EV261" s="20"/>
      <c r="EW261" s="25"/>
      <c r="EX261" s="915"/>
      <c r="EY261" s="916"/>
      <c r="EZ261" s="916"/>
      <c r="FA261" s="916"/>
      <c r="FB261" s="916"/>
      <c r="FC261" s="916"/>
      <c r="FD261" s="916"/>
      <c r="FE261" s="916"/>
      <c r="FF261" s="916"/>
      <c r="FG261" s="917"/>
      <c r="FH261" s="25"/>
      <c r="FI261" s="848">
        <v>53662</v>
      </c>
      <c r="FJ261" s="19"/>
      <c r="FK261" s="93"/>
      <c r="FL261" s="20"/>
      <c r="FM261" s="25"/>
      <c r="FN261" s="19"/>
      <c r="FO261" s="93"/>
      <c r="FP261" s="93"/>
      <c r="FQ261" s="93"/>
      <c r="FR261" s="93"/>
      <c r="FS261" s="93"/>
      <c r="FT261" s="93"/>
      <c r="FU261" s="93"/>
      <c r="FV261" s="93"/>
      <c r="FW261" s="917"/>
      <c r="FX261" s="25"/>
      <c r="FY261" s="916"/>
      <c r="FZ261" s="916"/>
      <c r="GA261" s="916"/>
      <c r="GB261" s="916"/>
      <c r="GC261" s="916"/>
      <c r="GD261" s="916"/>
      <c r="GE261" s="916"/>
      <c r="GF261" s="916"/>
      <c r="GG261" s="916"/>
      <c r="GH261" s="916"/>
      <c r="GI261" s="917"/>
      <c r="GJ261" s="25"/>
      <c r="GK261" s="19"/>
      <c r="GL261" s="20"/>
      <c r="GM261" s="25"/>
      <c r="GN261" s="19"/>
      <c r="GO261" s="20"/>
      <c r="GP261" s="25"/>
      <c r="GQ261" s="19"/>
      <c r="GR261" s="20"/>
      <c r="GS261" s="25"/>
      <c r="GT261" s="848">
        <v>53662</v>
      </c>
      <c r="GU261" s="19"/>
      <c r="GV261" s="93"/>
      <c r="GW261" s="93"/>
      <c r="GX261" s="93"/>
      <c r="GY261" s="93"/>
      <c r="GZ261" s="93"/>
      <c r="HA261" s="93"/>
      <c r="HB261" s="93"/>
      <c r="HC261" s="93"/>
      <c r="HD261" s="93"/>
      <c r="HE261" s="93"/>
      <c r="HF261" s="93"/>
      <c r="HG261" s="93"/>
      <c r="HH261" s="93"/>
      <c r="HI261" s="93"/>
      <c r="HJ261" s="93"/>
      <c r="HK261" s="93"/>
      <c r="HL261" s="93"/>
      <c r="HM261" s="93"/>
      <c r="HN261" s="93"/>
      <c r="HO261" s="93"/>
      <c r="HP261" s="93"/>
      <c r="HQ261" s="93"/>
      <c r="HR261" s="93"/>
      <c r="HS261" s="93"/>
      <c r="HT261" s="93"/>
      <c r="HU261" s="93"/>
      <c r="HV261" s="93"/>
      <c r="HW261" s="93"/>
      <c r="HX261" s="93"/>
      <c r="HY261" s="93"/>
      <c r="HZ261" s="93"/>
      <c r="IA261" s="93"/>
      <c r="IB261" s="93"/>
      <c r="IC261" s="93"/>
      <c r="ID261" s="93"/>
      <c r="IE261" s="93"/>
      <c r="IF261" s="93"/>
      <c r="IG261" s="93"/>
      <c r="IH261" s="93"/>
      <c r="II261" s="93"/>
      <c r="IJ261" s="93"/>
      <c r="IK261" s="93"/>
      <c r="IL261" s="93"/>
      <c r="IM261" s="93"/>
      <c r="IN261" s="93"/>
      <c r="IO261" s="93"/>
      <c r="IP261" s="93"/>
      <c r="IQ261" s="93"/>
      <c r="IR261" s="93"/>
      <c r="IS261" s="93"/>
      <c r="IT261" s="93"/>
      <c r="IU261" s="93"/>
      <c r="IV261" s="93"/>
      <c r="IW261" s="848">
        <v>53662</v>
      </c>
      <c r="IX261" s="93"/>
      <c r="IY261" s="93"/>
      <c r="IZ261" s="93"/>
      <c r="JA261" s="93"/>
      <c r="JB261" s="93"/>
      <c r="JC261" s="93"/>
      <c r="JD261" s="93"/>
      <c r="JE261" s="93"/>
      <c r="JF261" s="93"/>
      <c r="JG261" s="93"/>
      <c r="JH261" s="93"/>
      <c r="JI261" s="93"/>
      <c r="JJ261" s="93"/>
      <c r="JK261" s="93"/>
      <c r="JL261" s="93"/>
      <c r="JM261" s="93"/>
      <c r="JN261" s="93"/>
      <c r="JO261" s="93"/>
      <c r="JP261" s="93"/>
      <c r="JQ261" s="93"/>
      <c r="JR261" s="93"/>
      <c r="JS261" s="93"/>
      <c r="JT261" s="20"/>
      <c r="JU261" s="29"/>
      <c r="JV261" s="19"/>
      <c r="JW261" s="93"/>
      <c r="JX261" s="93"/>
      <c r="JY261" s="93"/>
      <c r="JZ261" s="93"/>
      <c r="KA261" s="93"/>
      <c r="KB261" s="93"/>
      <c r="KC261" s="93"/>
      <c r="KD261" s="93"/>
      <c r="KE261" s="93"/>
      <c r="KF261" s="93"/>
      <c r="KG261" s="93"/>
      <c r="KH261" s="93"/>
      <c r="KI261" s="93"/>
      <c r="KJ261" s="93"/>
      <c r="KK261" s="93"/>
      <c r="KL261" s="93"/>
      <c r="KM261" s="93"/>
      <c r="KN261" s="93"/>
      <c r="KO261" s="93"/>
      <c r="KP261" s="93"/>
      <c r="KQ261" s="93"/>
      <c r="KR261" s="93"/>
      <c r="KS261" s="93"/>
      <c r="KT261" s="93"/>
      <c r="KU261" s="93"/>
      <c r="KV261" s="93"/>
      <c r="KW261" s="20"/>
      <c r="KX261" s="29"/>
      <c r="KY261" s="19"/>
      <c r="KZ261" s="93"/>
      <c r="LA261" s="93"/>
      <c r="LB261" s="93"/>
      <c r="LC261" s="93"/>
      <c r="LD261" s="93"/>
      <c r="LE261" s="93"/>
      <c r="LF261" s="93"/>
      <c r="LG261" s="93"/>
      <c r="LH261" s="93"/>
      <c r="LI261" s="93"/>
      <c r="LJ261" s="93"/>
      <c r="LK261" s="93"/>
      <c r="LL261" s="93"/>
      <c r="LM261" s="93"/>
      <c r="LN261" s="93"/>
      <c r="LO261" s="93"/>
      <c r="LP261" s="93"/>
      <c r="LQ261" s="93"/>
      <c r="LR261" s="93"/>
      <c r="LS261" s="93"/>
      <c r="LT261" s="93"/>
      <c r="LU261" s="93"/>
      <c r="LV261" s="93"/>
      <c r="LW261" s="93"/>
      <c r="LX261" s="93"/>
      <c r="LY261" s="93"/>
      <c r="LZ261" s="93"/>
      <c r="MA261" s="93"/>
      <c r="MB261" s="93"/>
      <c r="MC261" s="93"/>
      <c r="MD261" s="93"/>
      <c r="ME261" s="93"/>
      <c r="MF261" s="93"/>
      <c r="MG261" s="93"/>
      <c r="MH261" s="20"/>
      <c r="MI261" s="29"/>
      <c r="MJ261" s="29" t="str">
        <f t="shared" si="97"/>
        <v>Trimestre 42046</v>
      </c>
      <c r="MK261" s="848">
        <v>53662</v>
      </c>
      <c r="ML261" s="1991"/>
      <c r="MM261" s="1991"/>
      <c r="MN261" s="1991"/>
      <c r="MO261" s="1991"/>
      <c r="MP261" s="1991"/>
      <c r="MQ261" s="1991"/>
      <c r="MR261" s="1991"/>
      <c r="MS261" s="1991"/>
      <c r="MT261" s="1991"/>
      <c r="MU261" s="1991"/>
      <c r="MV261" s="1991"/>
      <c r="MW261" s="1991"/>
      <c r="MX261" s="1991"/>
      <c r="MY261" s="1991"/>
      <c r="MZ261" s="1991"/>
      <c r="NA261" s="1991"/>
      <c r="NB261" s="1991"/>
      <c r="NC261" s="1991"/>
      <c r="ND261" s="1991"/>
      <c r="NE261" s="1991"/>
      <c r="NF261" s="1991"/>
      <c r="NG261" s="1991"/>
      <c r="NH261" s="1991"/>
      <c r="NI261" s="1991"/>
      <c r="NJ261" s="1991"/>
      <c r="NK261" s="1991"/>
      <c r="NL261" s="29"/>
    </row>
    <row r="262" spans="1:376">
      <c r="A262" s="41">
        <f t="shared" si="95"/>
        <v>2047</v>
      </c>
      <c r="B262" s="785">
        <v>53752</v>
      </c>
      <c r="C262" s="19"/>
      <c r="D262" s="93"/>
      <c r="E262" s="93"/>
      <c r="F262" s="93"/>
      <c r="G262" s="93"/>
      <c r="H262" s="93"/>
      <c r="I262" s="93"/>
      <c r="J262" s="93"/>
      <c r="K262" s="93"/>
      <c r="L262" s="93"/>
      <c r="M262" s="20"/>
      <c r="N262" s="25"/>
      <c r="O262" s="889">
        <f t="shared" si="94"/>
        <v>2047</v>
      </c>
      <c r="P262" s="29" t="str">
        <f t="shared" si="96"/>
        <v>Trimestre 12047</v>
      </c>
      <c r="Q262" s="848">
        <v>53752</v>
      </c>
      <c r="R262" s="733"/>
      <c r="S262" s="570"/>
      <c r="T262" s="570"/>
      <c r="U262" s="734"/>
      <c r="V262" s="25"/>
      <c r="W262" s="19"/>
      <c r="X262" s="93"/>
      <c r="Y262" s="93"/>
      <c r="Z262" s="93"/>
      <c r="AA262" s="93"/>
      <c r="AB262" s="93"/>
      <c r="AC262" s="93"/>
      <c r="AD262" s="93"/>
      <c r="AE262" s="20"/>
      <c r="AF262" s="25"/>
      <c r="AG262" s="19"/>
      <c r="AH262" s="93"/>
      <c r="AI262" s="93"/>
      <c r="AJ262" s="93"/>
      <c r="AK262" s="93"/>
      <c r="AL262" s="93"/>
      <c r="AM262" s="93"/>
      <c r="AN262" s="20"/>
      <c r="AO262" s="19"/>
      <c r="AP262" s="93"/>
      <c r="AQ262" s="93"/>
      <c r="AR262" s="93"/>
      <c r="AS262" s="20"/>
      <c r="AT262" s="19"/>
      <c r="AU262" s="93"/>
      <c r="AV262" s="20"/>
      <c r="AW262" s="19"/>
      <c r="AX262" s="93"/>
      <c r="AY262" s="93"/>
      <c r="AZ262" s="93"/>
      <c r="BA262" s="93"/>
      <c r="BB262" s="93"/>
      <c r="BC262" s="20"/>
      <c r="BD262" s="19"/>
      <c r="BE262" s="93"/>
      <c r="BF262" s="93"/>
      <c r="BG262" s="93"/>
      <c r="BH262" s="93"/>
      <c r="BI262" s="93"/>
      <c r="BJ262" s="93"/>
      <c r="BK262" s="20"/>
      <c r="BL262" s="19"/>
      <c r="BM262" s="93"/>
      <c r="BN262" s="93"/>
      <c r="BO262" s="93"/>
      <c r="BP262" s="93"/>
      <c r="BQ262" s="20"/>
      <c r="BR262" s="19"/>
      <c r="BS262" s="93"/>
      <c r="BT262" s="93"/>
      <c r="BU262" s="20"/>
      <c r="BV262" s="19"/>
      <c r="BW262" s="93"/>
      <c r="BX262" s="93"/>
      <c r="BY262" s="93"/>
      <c r="BZ262" s="93"/>
      <c r="CA262" s="93"/>
      <c r="CB262" s="20"/>
      <c r="CC262" s="25"/>
      <c r="CD262" s="19"/>
      <c r="CE262" s="93"/>
      <c r="CF262" s="20"/>
      <c r="CG262" s="25"/>
      <c r="CH262" s="19"/>
      <c r="CI262" s="93"/>
      <c r="CJ262" s="93"/>
      <c r="CK262" s="93"/>
      <c r="CL262" s="93"/>
      <c r="CM262" s="93"/>
      <c r="CN262" s="93"/>
      <c r="CO262" s="93"/>
      <c r="CP262" s="93"/>
      <c r="CQ262" s="93"/>
      <c r="CR262" s="214"/>
      <c r="CS262" s="20"/>
      <c r="CT262" s="25"/>
      <c r="CU262" s="19"/>
      <c r="CV262" s="93"/>
      <c r="CW262" s="93"/>
      <c r="CX262" s="93"/>
      <c r="CY262" s="93"/>
      <c r="CZ262" s="93"/>
      <c r="DA262" s="93"/>
      <c r="DB262" s="20"/>
      <c r="DC262" s="25"/>
      <c r="DD262" s="785">
        <v>53752</v>
      </c>
      <c r="DE262" s="19"/>
      <c r="DF262" s="20"/>
      <c r="DG262" s="25"/>
      <c r="DH262" s="19"/>
      <c r="DI262" s="20"/>
      <c r="DJ262" s="25"/>
      <c r="DK262" s="19"/>
      <c r="DL262" s="20"/>
      <c r="DM262" s="19"/>
      <c r="DN262" s="20"/>
      <c r="DO262" s="25"/>
      <c r="DP262" s="19"/>
      <c r="DQ262" s="93"/>
      <c r="DR262" s="20"/>
      <c r="DS262" s="25"/>
      <c r="DT262" s="19"/>
      <c r="DU262" s="93"/>
      <c r="DV262" s="20"/>
      <c r="DW262" s="25"/>
      <c r="DX262" s="19"/>
      <c r="DY262" s="20"/>
      <c r="DZ262" s="25"/>
      <c r="EA262" s="19"/>
      <c r="EB262" s="93"/>
      <c r="EC262" s="93"/>
      <c r="ED262" s="93"/>
      <c r="EE262" s="20"/>
      <c r="EF262" s="25"/>
      <c r="EG262" s="19"/>
      <c r="EH262" s="93"/>
      <c r="EI262" s="93"/>
      <c r="EJ262" s="93"/>
      <c r="EK262" s="20"/>
      <c r="EL262" s="25"/>
      <c r="EM262" s="19"/>
      <c r="EN262" s="93"/>
      <c r="EO262" s="93"/>
      <c r="EP262" s="93"/>
      <c r="EQ262" s="93"/>
      <c r="ER262" s="93"/>
      <c r="ES262" s="93"/>
      <c r="ET262" s="93"/>
      <c r="EU262" s="93"/>
      <c r="EV262" s="20"/>
      <c r="EW262" s="25"/>
      <c r="EX262" s="915"/>
      <c r="EY262" s="916"/>
      <c r="EZ262" s="916"/>
      <c r="FA262" s="916"/>
      <c r="FB262" s="916"/>
      <c r="FC262" s="916"/>
      <c r="FD262" s="916"/>
      <c r="FE262" s="916"/>
      <c r="FF262" s="916"/>
      <c r="FG262" s="917"/>
      <c r="FH262" s="25"/>
      <c r="FI262" s="848">
        <v>53752</v>
      </c>
      <c r="FJ262" s="19"/>
      <c r="FK262" s="93"/>
      <c r="FL262" s="20"/>
      <c r="FM262" s="25"/>
      <c r="FN262" s="19"/>
      <c r="FO262" s="93"/>
      <c r="FP262" s="93"/>
      <c r="FQ262" s="93"/>
      <c r="FR262" s="93"/>
      <c r="FS262" s="93"/>
      <c r="FT262" s="93"/>
      <c r="FU262" s="93"/>
      <c r="FV262" s="93"/>
      <c r="FW262" s="917"/>
      <c r="FX262" s="25"/>
      <c r="FY262" s="916"/>
      <c r="FZ262" s="916"/>
      <c r="GA262" s="916"/>
      <c r="GB262" s="916"/>
      <c r="GC262" s="916"/>
      <c r="GD262" s="916"/>
      <c r="GE262" s="916"/>
      <c r="GF262" s="916"/>
      <c r="GG262" s="916"/>
      <c r="GH262" s="916"/>
      <c r="GI262" s="917"/>
      <c r="GJ262" s="25"/>
      <c r="GK262" s="19"/>
      <c r="GL262" s="20"/>
      <c r="GM262" s="25"/>
      <c r="GN262" s="19"/>
      <c r="GO262" s="20"/>
      <c r="GP262" s="25"/>
      <c r="GQ262" s="19"/>
      <c r="GR262" s="20"/>
      <c r="GS262" s="25"/>
      <c r="GT262" s="848">
        <v>53752</v>
      </c>
      <c r="GU262" s="19"/>
      <c r="GV262" s="93"/>
      <c r="GW262" s="93"/>
      <c r="GX262" s="93"/>
      <c r="GY262" s="93"/>
      <c r="GZ262" s="93"/>
      <c r="HA262" s="93"/>
      <c r="HB262" s="93"/>
      <c r="HC262" s="93"/>
      <c r="HD262" s="93"/>
      <c r="HE262" s="93"/>
      <c r="HF262" s="93"/>
      <c r="HG262" s="93"/>
      <c r="HH262" s="93"/>
      <c r="HI262" s="93"/>
      <c r="HJ262" s="93"/>
      <c r="HK262" s="93"/>
      <c r="HL262" s="93"/>
      <c r="HM262" s="93"/>
      <c r="HN262" s="93"/>
      <c r="HO262" s="93"/>
      <c r="HP262" s="93"/>
      <c r="HQ262" s="93"/>
      <c r="HR262" s="93"/>
      <c r="HS262" s="93"/>
      <c r="HT262" s="93"/>
      <c r="HU262" s="93"/>
      <c r="HV262" s="93"/>
      <c r="HW262" s="93"/>
      <c r="HX262" s="93"/>
      <c r="HY262" s="93"/>
      <c r="HZ262" s="93"/>
      <c r="IA262" s="93"/>
      <c r="IB262" s="93"/>
      <c r="IC262" s="93"/>
      <c r="ID262" s="93"/>
      <c r="IE262" s="93"/>
      <c r="IF262" s="93"/>
      <c r="IG262" s="93"/>
      <c r="IH262" s="93"/>
      <c r="II262" s="93"/>
      <c r="IJ262" s="93"/>
      <c r="IK262" s="93"/>
      <c r="IL262" s="93"/>
      <c r="IM262" s="93"/>
      <c r="IN262" s="93"/>
      <c r="IO262" s="93"/>
      <c r="IP262" s="93"/>
      <c r="IQ262" s="93"/>
      <c r="IR262" s="93"/>
      <c r="IS262" s="93"/>
      <c r="IT262" s="93"/>
      <c r="IU262" s="93"/>
      <c r="IV262" s="93"/>
      <c r="IW262" s="848">
        <v>53752</v>
      </c>
      <c r="IX262" s="93"/>
      <c r="IY262" s="93"/>
      <c r="IZ262" s="93"/>
      <c r="JA262" s="93"/>
      <c r="JB262" s="93"/>
      <c r="JC262" s="93"/>
      <c r="JD262" s="93"/>
      <c r="JE262" s="93"/>
      <c r="JF262" s="93"/>
      <c r="JG262" s="93"/>
      <c r="JH262" s="93"/>
      <c r="JI262" s="93"/>
      <c r="JJ262" s="93"/>
      <c r="JK262" s="93"/>
      <c r="JL262" s="93"/>
      <c r="JM262" s="93"/>
      <c r="JN262" s="93"/>
      <c r="JO262" s="93"/>
      <c r="JP262" s="93"/>
      <c r="JQ262" s="93"/>
      <c r="JR262" s="93"/>
      <c r="JS262" s="93"/>
      <c r="JT262" s="20"/>
      <c r="JU262" s="29"/>
      <c r="JV262" s="19"/>
      <c r="JW262" s="93"/>
      <c r="JX262" s="93"/>
      <c r="JY262" s="93"/>
      <c r="JZ262" s="93"/>
      <c r="KA262" s="93"/>
      <c r="KB262" s="93"/>
      <c r="KC262" s="93"/>
      <c r="KD262" s="93"/>
      <c r="KE262" s="93"/>
      <c r="KF262" s="93"/>
      <c r="KG262" s="93"/>
      <c r="KH262" s="93"/>
      <c r="KI262" s="93"/>
      <c r="KJ262" s="93"/>
      <c r="KK262" s="93"/>
      <c r="KL262" s="93"/>
      <c r="KM262" s="93"/>
      <c r="KN262" s="93"/>
      <c r="KO262" s="93"/>
      <c r="KP262" s="93"/>
      <c r="KQ262" s="93"/>
      <c r="KR262" s="93"/>
      <c r="KS262" s="93"/>
      <c r="KT262" s="93"/>
      <c r="KU262" s="93"/>
      <c r="KV262" s="93"/>
      <c r="KW262" s="20"/>
      <c r="KX262" s="29"/>
      <c r="KY262" s="19"/>
      <c r="KZ262" s="93"/>
      <c r="LA262" s="93"/>
      <c r="LB262" s="93"/>
      <c r="LC262" s="93"/>
      <c r="LD262" s="93"/>
      <c r="LE262" s="93"/>
      <c r="LF262" s="93"/>
      <c r="LG262" s="93"/>
      <c r="LH262" s="93"/>
      <c r="LI262" s="93"/>
      <c r="LJ262" s="93"/>
      <c r="LK262" s="93"/>
      <c r="LL262" s="93"/>
      <c r="LM262" s="93"/>
      <c r="LN262" s="93"/>
      <c r="LO262" s="93"/>
      <c r="LP262" s="93"/>
      <c r="LQ262" s="93"/>
      <c r="LR262" s="93"/>
      <c r="LS262" s="93"/>
      <c r="LT262" s="93"/>
      <c r="LU262" s="93"/>
      <c r="LV262" s="93"/>
      <c r="LW262" s="93"/>
      <c r="LX262" s="93"/>
      <c r="LY262" s="93"/>
      <c r="LZ262" s="93"/>
      <c r="MA262" s="93"/>
      <c r="MB262" s="93"/>
      <c r="MC262" s="93"/>
      <c r="MD262" s="93"/>
      <c r="ME262" s="93"/>
      <c r="MF262" s="93"/>
      <c r="MG262" s="93"/>
      <c r="MH262" s="20"/>
      <c r="MI262" s="29"/>
      <c r="MJ262" s="29" t="str">
        <f t="shared" si="97"/>
        <v>Trimestre 12047</v>
      </c>
      <c r="MK262" s="848">
        <v>53752</v>
      </c>
      <c r="ML262" s="1991"/>
      <c r="MM262" s="1991"/>
      <c r="MN262" s="1991"/>
      <c r="MO262" s="1991"/>
      <c r="MP262" s="1991"/>
      <c r="MQ262" s="1991"/>
      <c r="MR262" s="1991"/>
      <c r="MS262" s="1991"/>
      <c r="MT262" s="1991"/>
      <c r="MU262" s="1991"/>
      <c r="MV262" s="1991"/>
      <c r="MW262" s="1991"/>
      <c r="MX262" s="1991"/>
      <c r="MY262" s="1991"/>
      <c r="MZ262" s="1991"/>
      <c r="NA262" s="1991"/>
      <c r="NB262" s="1991"/>
      <c r="NC262" s="1991"/>
      <c r="ND262" s="1991"/>
      <c r="NE262" s="1991"/>
      <c r="NF262" s="1991"/>
      <c r="NG262" s="1991"/>
      <c r="NH262" s="1991"/>
      <c r="NI262" s="1991"/>
      <c r="NJ262" s="1991"/>
      <c r="NK262" s="1991"/>
      <c r="NL262" s="29"/>
    </row>
    <row r="263" spans="1:376">
      <c r="A263" s="41">
        <f t="shared" si="95"/>
        <v>2047</v>
      </c>
      <c r="B263" s="785">
        <v>53844</v>
      </c>
      <c r="C263" s="19"/>
      <c r="D263" s="93"/>
      <c r="E263" s="93"/>
      <c r="F263" s="93"/>
      <c r="G263" s="93"/>
      <c r="H263" s="93"/>
      <c r="I263" s="93"/>
      <c r="J263" s="93"/>
      <c r="K263" s="93"/>
      <c r="L263" s="93"/>
      <c r="M263" s="20"/>
      <c r="N263" s="25"/>
      <c r="O263" s="889">
        <f t="shared" si="94"/>
        <v>2047</v>
      </c>
      <c r="P263" s="29" t="str">
        <f t="shared" si="96"/>
        <v>Trimestre 22047</v>
      </c>
      <c r="Q263" s="848">
        <v>53844</v>
      </c>
      <c r="R263" s="733"/>
      <c r="S263" s="570"/>
      <c r="T263" s="570"/>
      <c r="U263" s="734"/>
      <c r="V263" s="25"/>
      <c r="W263" s="19"/>
      <c r="X263" s="93"/>
      <c r="Y263" s="93"/>
      <c r="Z263" s="93"/>
      <c r="AA263" s="93"/>
      <c r="AB263" s="93"/>
      <c r="AC263" s="93"/>
      <c r="AD263" s="93"/>
      <c r="AE263" s="20"/>
      <c r="AF263" s="25"/>
      <c r="AG263" s="19"/>
      <c r="AH263" s="93"/>
      <c r="AI263" s="93"/>
      <c r="AJ263" s="93"/>
      <c r="AK263" s="93"/>
      <c r="AL263" s="93"/>
      <c r="AM263" s="93"/>
      <c r="AN263" s="20"/>
      <c r="AO263" s="19"/>
      <c r="AP263" s="93"/>
      <c r="AQ263" s="93"/>
      <c r="AR263" s="93"/>
      <c r="AS263" s="20"/>
      <c r="AT263" s="19"/>
      <c r="AU263" s="93"/>
      <c r="AV263" s="20"/>
      <c r="AW263" s="19"/>
      <c r="AX263" s="93"/>
      <c r="AY263" s="93"/>
      <c r="AZ263" s="93"/>
      <c r="BA263" s="93"/>
      <c r="BB263" s="93"/>
      <c r="BC263" s="20"/>
      <c r="BD263" s="19"/>
      <c r="BE263" s="93"/>
      <c r="BF263" s="93"/>
      <c r="BG263" s="93"/>
      <c r="BH263" s="93"/>
      <c r="BI263" s="93"/>
      <c r="BJ263" s="93"/>
      <c r="BK263" s="20"/>
      <c r="BL263" s="19"/>
      <c r="BM263" s="93"/>
      <c r="BN263" s="93"/>
      <c r="BO263" s="93"/>
      <c r="BP263" s="93"/>
      <c r="BQ263" s="20"/>
      <c r="BR263" s="19"/>
      <c r="BS263" s="93"/>
      <c r="BT263" s="93"/>
      <c r="BU263" s="20"/>
      <c r="BV263" s="19"/>
      <c r="BW263" s="93"/>
      <c r="BX263" s="93"/>
      <c r="BY263" s="93"/>
      <c r="BZ263" s="93"/>
      <c r="CA263" s="93"/>
      <c r="CB263" s="20"/>
      <c r="CC263" s="25"/>
      <c r="CD263" s="19"/>
      <c r="CE263" s="93"/>
      <c r="CF263" s="20"/>
      <c r="CG263" s="25"/>
      <c r="CH263" s="19"/>
      <c r="CI263" s="93"/>
      <c r="CJ263" s="93"/>
      <c r="CK263" s="93"/>
      <c r="CL263" s="93"/>
      <c r="CM263" s="93"/>
      <c r="CN263" s="93"/>
      <c r="CO263" s="93"/>
      <c r="CP263" s="93"/>
      <c r="CQ263" s="93"/>
      <c r="CR263" s="214"/>
      <c r="CS263" s="20"/>
      <c r="CT263" s="25"/>
      <c r="CU263" s="19"/>
      <c r="CV263" s="93"/>
      <c r="CW263" s="93"/>
      <c r="CX263" s="93"/>
      <c r="CY263" s="93"/>
      <c r="CZ263" s="93"/>
      <c r="DA263" s="93"/>
      <c r="DB263" s="20"/>
      <c r="DC263" s="25"/>
      <c r="DD263" s="785">
        <v>53844</v>
      </c>
      <c r="DE263" s="19"/>
      <c r="DF263" s="20"/>
      <c r="DG263" s="25"/>
      <c r="DH263" s="19"/>
      <c r="DI263" s="20"/>
      <c r="DJ263" s="25"/>
      <c r="DK263" s="19"/>
      <c r="DL263" s="20"/>
      <c r="DM263" s="19"/>
      <c r="DN263" s="20"/>
      <c r="DO263" s="25"/>
      <c r="DP263" s="19"/>
      <c r="DQ263" s="93"/>
      <c r="DR263" s="20"/>
      <c r="DS263" s="25"/>
      <c r="DT263" s="19"/>
      <c r="DU263" s="93"/>
      <c r="DV263" s="20"/>
      <c r="DW263" s="25"/>
      <c r="DX263" s="19"/>
      <c r="DY263" s="20"/>
      <c r="DZ263" s="25"/>
      <c r="EA263" s="19"/>
      <c r="EB263" s="93"/>
      <c r="EC263" s="93"/>
      <c r="ED263" s="93"/>
      <c r="EE263" s="20"/>
      <c r="EF263" s="25"/>
      <c r="EG263" s="19"/>
      <c r="EH263" s="93"/>
      <c r="EI263" s="93"/>
      <c r="EJ263" s="93"/>
      <c r="EK263" s="20"/>
      <c r="EL263" s="25"/>
      <c r="EM263" s="19"/>
      <c r="EN263" s="93"/>
      <c r="EO263" s="93"/>
      <c r="EP263" s="93"/>
      <c r="EQ263" s="93"/>
      <c r="ER263" s="93"/>
      <c r="ES263" s="93"/>
      <c r="ET263" s="93"/>
      <c r="EU263" s="93"/>
      <c r="EV263" s="20"/>
      <c r="EW263" s="25"/>
      <c r="EX263" s="915"/>
      <c r="EY263" s="916"/>
      <c r="EZ263" s="916"/>
      <c r="FA263" s="916"/>
      <c r="FB263" s="916"/>
      <c r="FC263" s="916"/>
      <c r="FD263" s="916"/>
      <c r="FE263" s="916"/>
      <c r="FF263" s="916"/>
      <c r="FG263" s="917"/>
      <c r="FH263" s="25"/>
      <c r="FI263" s="848">
        <v>53844</v>
      </c>
      <c r="FJ263" s="19"/>
      <c r="FK263" s="93"/>
      <c r="FL263" s="20"/>
      <c r="FM263" s="25"/>
      <c r="FN263" s="19"/>
      <c r="FO263" s="93"/>
      <c r="FP263" s="93"/>
      <c r="FQ263" s="93"/>
      <c r="FR263" s="93"/>
      <c r="FS263" s="93"/>
      <c r="FT263" s="93"/>
      <c r="FU263" s="93"/>
      <c r="FV263" s="93"/>
      <c r="FW263" s="917"/>
      <c r="FX263" s="25"/>
      <c r="FY263" s="916"/>
      <c r="FZ263" s="916"/>
      <c r="GA263" s="916"/>
      <c r="GB263" s="916"/>
      <c r="GC263" s="916"/>
      <c r="GD263" s="916"/>
      <c r="GE263" s="916"/>
      <c r="GF263" s="916"/>
      <c r="GG263" s="916"/>
      <c r="GH263" s="916"/>
      <c r="GI263" s="917"/>
      <c r="GJ263" s="25"/>
      <c r="GK263" s="19"/>
      <c r="GL263" s="20"/>
      <c r="GM263" s="25"/>
      <c r="GN263" s="19"/>
      <c r="GO263" s="20"/>
      <c r="GP263" s="25"/>
      <c r="GQ263" s="19"/>
      <c r="GR263" s="20"/>
      <c r="GS263" s="25"/>
      <c r="GT263" s="848">
        <v>53844</v>
      </c>
      <c r="GU263" s="19"/>
      <c r="GV263" s="93"/>
      <c r="GW263" s="93"/>
      <c r="GX263" s="93"/>
      <c r="GY263" s="93"/>
      <c r="GZ263" s="93"/>
      <c r="HA263" s="93"/>
      <c r="HB263" s="93"/>
      <c r="HC263" s="93"/>
      <c r="HD263" s="93"/>
      <c r="HE263" s="93"/>
      <c r="HF263" s="93"/>
      <c r="HG263" s="93"/>
      <c r="HH263" s="93"/>
      <c r="HI263" s="93"/>
      <c r="HJ263" s="93"/>
      <c r="HK263" s="93"/>
      <c r="HL263" s="93"/>
      <c r="HM263" s="93"/>
      <c r="HN263" s="93"/>
      <c r="HO263" s="93"/>
      <c r="HP263" s="93"/>
      <c r="HQ263" s="93"/>
      <c r="HR263" s="93"/>
      <c r="HS263" s="93"/>
      <c r="HT263" s="93"/>
      <c r="HU263" s="93"/>
      <c r="HV263" s="93"/>
      <c r="HW263" s="93"/>
      <c r="HX263" s="93"/>
      <c r="HY263" s="93"/>
      <c r="HZ263" s="93"/>
      <c r="IA263" s="93"/>
      <c r="IB263" s="93"/>
      <c r="IC263" s="93"/>
      <c r="ID263" s="93"/>
      <c r="IE263" s="93"/>
      <c r="IF263" s="93"/>
      <c r="IG263" s="93"/>
      <c r="IH263" s="93"/>
      <c r="II263" s="93"/>
      <c r="IJ263" s="93"/>
      <c r="IK263" s="93"/>
      <c r="IL263" s="93"/>
      <c r="IM263" s="93"/>
      <c r="IN263" s="93"/>
      <c r="IO263" s="93"/>
      <c r="IP263" s="93"/>
      <c r="IQ263" s="93"/>
      <c r="IR263" s="93"/>
      <c r="IS263" s="93"/>
      <c r="IT263" s="93"/>
      <c r="IU263" s="93"/>
      <c r="IV263" s="93"/>
      <c r="IW263" s="848">
        <v>53844</v>
      </c>
      <c r="IX263" s="93"/>
      <c r="IY263" s="93"/>
      <c r="IZ263" s="93"/>
      <c r="JA263" s="93"/>
      <c r="JB263" s="93"/>
      <c r="JC263" s="93"/>
      <c r="JD263" s="93"/>
      <c r="JE263" s="93"/>
      <c r="JF263" s="93"/>
      <c r="JG263" s="93"/>
      <c r="JH263" s="93"/>
      <c r="JI263" s="93"/>
      <c r="JJ263" s="93"/>
      <c r="JK263" s="93"/>
      <c r="JL263" s="93"/>
      <c r="JM263" s="93"/>
      <c r="JN263" s="93"/>
      <c r="JO263" s="93"/>
      <c r="JP263" s="93"/>
      <c r="JQ263" s="93"/>
      <c r="JR263" s="93"/>
      <c r="JS263" s="93"/>
      <c r="JT263" s="20"/>
      <c r="JU263" s="29"/>
      <c r="JV263" s="19"/>
      <c r="JW263" s="93"/>
      <c r="JX263" s="93"/>
      <c r="JY263" s="93"/>
      <c r="JZ263" s="93"/>
      <c r="KA263" s="93"/>
      <c r="KB263" s="93"/>
      <c r="KC263" s="93"/>
      <c r="KD263" s="93"/>
      <c r="KE263" s="93"/>
      <c r="KF263" s="93"/>
      <c r="KG263" s="93"/>
      <c r="KH263" s="93"/>
      <c r="KI263" s="93"/>
      <c r="KJ263" s="93"/>
      <c r="KK263" s="93"/>
      <c r="KL263" s="93"/>
      <c r="KM263" s="93"/>
      <c r="KN263" s="93"/>
      <c r="KO263" s="93"/>
      <c r="KP263" s="93"/>
      <c r="KQ263" s="93"/>
      <c r="KR263" s="93"/>
      <c r="KS263" s="93"/>
      <c r="KT263" s="93"/>
      <c r="KU263" s="93"/>
      <c r="KV263" s="93"/>
      <c r="KW263" s="20"/>
      <c r="KX263" s="29"/>
      <c r="KY263" s="19"/>
      <c r="KZ263" s="93"/>
      <c r="LA263" s="93"/>
      <c r="LB263" s="93"/>
      <c r="LC263" s="93"/>
      <c r="LD263" s="93"/>
      <c r="LE263" s="93"/>
      <c r="LF263" s="93"/>
      <c r="LG263" s="93"/>
      <c r="LH263" s="93"/>
      <c r="LI263" s="93"/>
      <c r="LJ263" s="93"/>
      <c r="LK263" s="93"/>
      <c r="LL263" s="93"/>
      <c r="LM263" s="93"/>
      <c r="LN263" s="93"/>
      <c r="LO263" s="93"/>
      <c r="LP263" s="93"/>
      <c r="LQ263" s="93"/>
      <c r="LR263" s="93"/>
      <c r="LS263" s="93"/>
      <c r="LT263" s="93"/>
      <c r="LU263" s="93"/>
      <c r="LV263" s="93"/>
      <c r="LW263" s="93"/>
      <c r="LX263" s="93"/>
      <c r="LY263" s="93"/>
      <c r="LZ263" s="93"/>
      <c r="MA263" s="93"/>
      <c r="MB263" s="93"/>
      <c r="MC263" s="93"/>
      <c r="MD263" s="93"/>
      <c r="ME263" s="93"/>
      <c r="MF263" s="93"/>
      <c r="MG263" s="93"/>
      <c r="MH263" s="20"/>
      <c r="MI263" s="29"/>
      <c r="MJ263" s="29" t="str">
        <f t="shared" si="97"/>
        <v>Trimestre 22047</v>
      </c>
      <c r="MK263" s="848">
        <v>53844</v>
      </c>
      <c r="ML263" s="1991"/>
      <c r="MM263" s="1991"/>
      <c r="MN263" s="1991"/>
      <c r="MO263" s="1991"/>
      <c r="MP263" s="1991"/>
      <c r="MQ263" s="1991"/>
      <c r="MR263" s="1991"/>
      <c r="MS263" s="1991"/>
      <c r="MT263" s="1991"/>
      <c r="MU263" s="1991"/>
      <c r="MV263" s="1991"/>
      <c r="MW263" s="1991"/>
      <c r="MX263" s="1991"/>
      <c r="MY263" s="1991"/>
      <c r="MZ263" s="1991"/>
      <c r="NA263" s="1991"/>
      <c r="NB263" s="1991"/>
      <c r="NC263" s="1991"/>
      <c r="ND263" s="1991"/>
      <c r="NE263" s="1991"/>
      <c r="NF263" s="1991"/>
      <c r="NG263" s="1991"/>
      <c r="NH263" s="1991"/>
      <c r="NI263" s="1991"/>
      <c r="NJ263" s="1991"/>
      <c r="NK263" s="1991"/>
      <c r="NL263" s="29"/>
    </row>
    <row r="264" spans="1:376">
      <c r="A264" s="41">
        <f t="shared" si="95"/>
        <v>2047</v>
      </c>
      <c r="B264" s="785">
        <v>53936</v>
      </c>
      <c r="C264" s="19"/>
      <c r="D264" s="93"/>
      <c r="E264" s="93"/>
      <c r="F264" s="93"/>
      <c r="G264" s="93"/>
      <c r="H264" s="93"/>
      <c r="I264" s="93"/>
      <c r="J264" s="93"/>
      <c r="K264" s="93"/>
      <c r="L264" s="93"/>
      <c r="M264" s="20"/>
      <c r="N264" s="25"/>
      <c r="O264" s="889">
        <f t="shared" si="94"/>
        <v>2047</v>
      </c>
      <c r="P264" s="29" t="str">
        <f t="shared" si="96"/>
        <v>Trimestre 32047</v>
      </c>
      <c r="Q264" s="848">
        <v>53936</v>
      </c>
      <c r="R264" s="733"/>
      <c r="S264" s="570"/>
      <c r="T264" s="570"/>
      <c r="U264" s="734"/>
      <c r="V264" s="25"/>
      <c r="W264" s="19"/>
      <c r="X264" s="93"/>
      <c r="Y264" s="93"/>
      <c r="Z264" s="93"/>
      <c r="AA264" s="93"/>
      <c r="AB264" s="93"/>
      <c r="AC264" s="93"/>
      <c r="AD264" s="93"/>
      <c r="AE264" s="20"/>
      <c r="AF264" s="25"/>
      <c r="AG264" s="19"/>
      <c r="AH264" s="93"/>
      <c r="AI264" s="93"/>
      <c r="AJ264" s="93"/>
      <c r="AK264" s="93"/>
      <c r="AL264" s="93"/>
      <c r="AM264" s="93"/>
      <c r="AN264" s="20"/>
      <c r="AO264" s="19"/>
      <c r="AP264" s="93"/>
      <c r="AQ264" s="93"/>
      <c r="AR264" s="93"/>
      <c r="AS264" s="20"/>
      <c r="AT264" s="19"/>
      <c r="AU264" s="93"/>
      <c r="AV264" s="20"/>
      <c r="AW264" s="19"/>
      <c r="AX264" s="93"/>
      <c r="AY264" s="93"/>
      <c r="AZ264" s="93"/>
      <c r="BA264" s="93"/>
      <c r="BB264" s="93"/>
      <c r="BC264" s="20"/>
      <c r="BD264" s="19"/>
      <c r="BE264" s="93"/>
      <c r="BF264" s="93"/>
      <c r="BG264" s="93"/>
      <c r="BH264" s="93"/>
      <c r="BI264" s="93"/>
      <c r="BJ264" s="93"/>
      <c r="BK264" s="20"/>
      <c r="BL264" s="19"/>
      <c r="BM264" s="93"/>
      <c r="BN264" s="93"/>
      <c r="BO264" s="93"/>
      <c r="BP264" s="93"/>
      <c r="BQ264" s="20"/>
      <c r="BR264" s="19"/>
      <c r="BS264" s="93"/>
      <c r="BT264" s="93"/>
      <c r="BU264" s="20"/>
      <c r="BV264" s="19"/>
      <c r="BW264" s="93"/>
      <c r="BX264" s="93"/>
      <c r="BY264" s="93"/>
      <c r="BZ264" s="93"/>
      <c r="CA264" s="93"/>
      <c r="CB264" s="20"/>
      <c r="CC264" s="25"/>
      <c r="CD264" s="19"/>
      <c r="CE264" s="93"/>
      <c r="CF264" s="20"/>
      <c r="CG264" s="25"/>
      <c r="CH264" s="19"/>
      <c r="CI264" s="93"/>
      <c r="CJ264" s="93"/>
      <c r="CK264" s="93"/>
      <c r="CL264" s="93"/>
      <c r="CM264" s="93"/>
      <c r="CN264" s="93"/>
      <c r="CO264" s="93"/>
      <c r="CP264" s="93"/>
      <c r="CQ264" s="93"/>
      <c r="CR264" s="214"/>
      <c r="CS264" s="20"/>
      <c r="CT264" s="25"/>
      <c r="CU264" s="19"/>
      <c r="CV264" s="93"/>
      <c r="CW264" s="93"/>
      <c r="CX264" s="93"/>
      <c r="CY264" s="93"/>
      <c r="CZ264" s="93"/>
      <c r="DA264" s="93"/>
      <c r="DB264" s="20"/>
      <c r="DC264" s="25"/>
      <c r="DD264" s="785">
        <v>53936</v>
      </c>
      <c r="DE264" s="19"/>
      <c r="DF264" s="20"/>
      <c r="DG264" s="25"/>
      <c r="DH264" s="19"/>
      <c r="DI264" s="20"/>
      <c r="DJ264" s="25"/>
      <c r="DK264" s="19"/>
      <c r="DL264" s="20"/>
      <c r="DM264" s="19"/>
      <c r="DN264" s="20"/>
      <c r="DO264" s="25"/>
      <c r="DP264" s="19"/>
      <c r="DQ264" s="93"/>
      <c r="DR264" s="20"/>
      <c r="DS264" s="25"/>
      <c r="DT264" s="19"/>
      <c r="DU264" s="93"/>
      <c r="DV264" s="20"/>
      <c r="DW264" s="25"/>
      <c r="DX264" s="19"/>
      <c r="DY264" s="20"/>
      <c r="DZ264" s="25"/>
      <c r="EA264" s="19"/>
      <c r="EB264" s="93"/>
      <c r="EC264" s="93"/>
      <c r="ED264" s="93"/>
      <c r="EE264" s="20"/>
      <c r="EF264" s="25"/>
      <c r="EG264" s="19"/>
      <c r="EH264" s="93"/>
      <c r="EI264" s="93"/>
      <c r="EJ264" s="93"/>
      <c r="EK264" s="20"/>
      <c r="EL264" s="25"/>
      <c r="EM264" s="19"/>
      <c r="EN264" s="93"/>
      <c r="EO264" s="93"/>
      <c r="EP264" s="93"/>
      <c r="EQ264" s="93"/>
      <c r="ER264" s="93"/>
      <c r="ES264" s="93"/>
      <c r="ET264" s="93"/>
      <c r="EU264" s="93"/>
      <c r="EV264" s="20"/>
      <c r="EW264" s="25"/>
      <c r="EX264" s="915"/>
      <c r="EY264" s="916"/>
      <c r="EZ264" s="916"/>
      <c r="FA264" s="916"/>
      <c r="FB264" s="916"/>
      <c r="FC264" s="916"/>
      <c r="FD264" s="916"/>
      <c r="FE264" s="916"/>
      <c r="FF264" s="916"/>
      <c r="FG264" s="917"/>
      <c r="FH264" s="25"/>
      <c r="FI264" s="848">
        <v>53936</v>
      </c>
      <c r="FJ264" s="19"/>
      <c r="FK264" s="93"/>
      <c r="FL264" s="20"/>
      <c r="FM264" s="25"/>
      <c r="FN264" s="19"/>
      <c r="FO264" s="93"/>
      <c r="FP264" s="93"/>
      <c r="FQ264" s="93"/>
      <c r="FR264" s="93"/>
      <c r="FS264" s="93"/>
      <c r="FT264" s="93"/>
      <c r="FU264" s="93"/>
      <c r="FV264" s="93"/>
      <c r="FW264" s="917"/>
      <c r="FX264" s="25"/>
      <c r="FY264" s="916"/>
      <c r="FZ264" s="916"/>
      <c r="GA264" s="916"/>
      <c r="GB264" s="916"/>
      <c r="GC264" s="916"/>
      <c r="GD264" s="916"/>
      <c r="GE264" s="916"/>
      <c r="GF264" s="916"/>
      <c r="GG264" s="916"/>
      <c r="GH264" s="916"/>
      <c r="GI264" s="917"/>
      <c r="GJ264" s="25"/>
      <c r="GK264" s="19"/>
      <c r="GL264" s="20"/>
      <c r="GM264" s="25"/>
      <c r="GN264" s="19"/>
      <c r="GO264" s="20"/>
      <c r="GP264" s="25"/>
      <c r="GQ264" s="19"/>
      <c r="GR264" s="20"/>
      <c r="GS264" s="25"/>
      <c r="GT264" s="848">
        <v>53936</v>
      </c>
      <c r="GU264" s="19"/>
      <c r="GV264" s="93"/>
      <c r="GW264" s="93"/>
      <c r="GX264" s="93"/>
      <c r="GY264" s="93"/>
      <c r="GZ264" s="93"/>
      <c r="HA264" s="93"/>
      <c r="HB264" s="93"/>
      <c r="HC264" s="93"/>
      <c r="HD264" s="93"/>
      <c r="HE264" s="93"/>
      <c r="HF264" s="93"/>
      <c r="HG264" s="93"/>
      <c r="HH264" s="93"/>
      <c r="HI264" s="93"/>
      <c r="HJ264" s="93"/>
      <c r="HK264" s="93"/>
      <c r="HL264" s="93"/>
      <c r="HM264" s="93"/>
      <c r="HN264" s="93"/>
      <c r="HO264" s="93"/>
      <c r="HP264" s="93"/>
      <c r="HQ264" s="93"/>
      <c r="HR264" s="93"/>
      <c r="HS264" s="93"/>
      <c r="HT264" s="93"/>
      <c r="HU264" s="93"/>
      <c r="HV264" s="93"/>
      <c r="HW264" s="93"/>
      <c r="HX264" s="93"/>
      <c r="HY264" s="93"/>
      <c r="HZ264" s="93"/>
      <c r="IA264" s="93"/>
      <c r="IB264" s="93"/>
      <c r="IC264" s="93"/>
      <c r="ID264" s="93"/>
      <c r="IE264" s="93"/>
      <c r="IF264" s="93"/>
      <c r="IG264" s="93"/>
      <c r="IH264" s="93"/>
      <c r="II264" s="93"/>
      <c r="IJ264" s="93"/>
      <c r="IK264" s="93"/>
      <c r="IL264" s="93"/>
      <c r="IM264" s="93"/>
      <c r="IN264" s="93"/>
      <c r="IO264" s="93"/>
      <c r="IP264" s="93"/>
      <c r="IQ264" s="93"/>
      <c r="IR264" s="93"/>
      <c r="IS264" s="93"/>
      <c r="IT264" s="93"/>
      <c r="IU264" s="93"/>
      <c r="IV264" s="93"/>
      <c r="IW264" s="848">
        <v>53936</v>
      </c>
      <c r="IX264" s="93"/>
      <c r="IY264" s="93"/>
      <c r="IZ264" s="93"/>
      <c r="JA264" s="93"/>
      <c r="JB264" s="93"/>
      <c r="JC264" s="93"/>
      <c r="JD264" s="93"/>
      <c r="JE264" s="93"/>
      <c r="JF264" s="93"/>
      <c r="JG264" s="93"/>
      <c r="JH264" s="93"/>
      <c r="JI264" s="93"/>
      <c r="JJ264" s="93"/>
      <c r="JK264" s="93"/>
      <c r="JL264" s="93"/>
      <c r="JM264" s="93"/>
      <c r="JN264" s="93"/>
      <c r="JO264" s="93"/>
      <c r="JP264" s="93"/>
      <c r="JQ264" s="93"/>
      <c r="JR264" s="93"/>
      <c r="JS264" s="93"/>
      <c r="JT264" s="20"/>
      <c r="JU264" s="29"/>
      <c r="JV264" s="19"/>
      <c r="JW264" s="93"/>
      <c r="JX264" s="93"/>
      <c r="JY264" s="93"/>
      <c r="JZ264" s="93"/>
      <c r="KA264" s="93"/>
      <c r="KB264" s="93"/>
      <c r="KC264" s="93"/>
      <c r="KD264" s="93"/>
      <c r="KE264" s="93"/>
      <c r="KF264" s="93"/>
      <c r="KG264" s="93"/>
      <c r="KH264" s="93"/>
      <c r="KI264" s="93"/>
      <c r="KJ264" s="93"/>
      <c r="KK264" s="93"/>
      <c r="KL264" s="93"/>
      <c r="KM264" s="93"/>
      <c r="KN264" s="93"/>
      <c r="KO264" s="93"/>
      <c r="KP264" s="93"/>
      <c r="KQ264" s="93"/>
      <c r="KR264" s="93"/>
      <c r="KS264" s="93"/>
      <c r="KT264" s="93"/>
      <c r="KU264" s="93"/>
      <c r="KV264" s="93"/>
      <c r="KW264" s="20"/>
      <c r="KX264" s="29"/>
      <c r="KY264" s="19"/>
      <c r="KZ264" s="93"/>
      <c r="LA264" s="93"/>
      <c r="LB264" s="93"/>
      <c r="LC264" s="93"/>
      <c r="LD264" s="93"/>
      <c r="LE264" s="93"/>
      <c r="LF264" s="93"/>
      <c r="LG264" s="93"/>
      <c r="LH264" s="93"/>
      <c r="LI264" s="93"/>
      <c r="LJ264" s="93"/>
      <c r="LK264" s="93"/>
      <c r="LL264" s="93"/>
      <c r="LM264" s="93"/>
      <c r="LN264" s="93"/>
      <c r="LO264" s="93"/>
      <c r="LP264" s="93"/>
      <c r="LQ264" s="93"/>
      <c r="LR264" s="93"/>
      <c r="LS264" s="93"/>
      <c r="LT264" s="93"/>
      <c r="LU264" s="93"/>
      <c r="LV264" s="93"/>
      <c r="LW264" s="93"/>
      <c r="LX264" s="93"/>
      <c r="LY264" s="93"/>
      <c r="LZ264" s="93"/>
      <c r="MA264" s="93"/>
      <c r="MB264" s="93"/>
      <c r="MC264" s="93"/>
      <c r="MD264" s="93"/>
      <c r="ME264" s="93"/>
      <c r="MF264" s="93"/>
      <c r="MG264" s="93"/>
      <c r="MH264" s="20"/>
      <c r="MI264" s="29"/>
      <c r="MJ264" s="29" t="str">
        <f t="shared" si="97"/>
        <v>Trimestre 32047</v>
      </c>
      <c r="MK264" s="848">
        <v>53936</v>
      </c>
      <c r="ML264" s="1991"/>
      <c r="MM264" s="1991"/>
      <c r="MN264" s="1991"/>
      <c r="MO264" s="1991"/>
      <c r="MP264" s="1991"/>
      <c r="MQ264" s="1991"/>
      <c r="MR264" s="1991"/>
      <c r="MS264" s="1991"/>
      <c r="MT264" s="1991"/>
      <c r="MU264" s="1991"/>
      <c r="MV264" s="1991"/>
      <c r="MW264" s="1991"/>
      <c r="MX264" s="1991"/>
      <c r="MY264" s="1991"/>
      <c r="MZ264" s="1991"/>
      <c r="NA264" s="1991"/>
      <c r="NB264" s="1991"/>
      <c r="NC264" s="1991"/>
      <c r="ND264" s="1991"/>
      <c r="NE264" s="1991"/>
      <c r="NF264" s="1991"/>
      <c r="NG264" s="1991"/>
      <c r="NH264" s="1991"/>
      <c r="NI264" s="1991"/>
      <c r="NJ264" s="1991"/>
      <c r="NK264" s="1991"/>
      <c r="NL264" s="29"/>
    </row>
    <row r="265" spans="1:376">
      <c r="A265" s="41">
        <f t="shared" si="95"/>
        <v>2047</v>
      </c>
      <c r="B265" s="785">
        <v>54027</v>
      </c>
      <c r="C265" s="19"/>
      <c r="D265" s="93"/>
      <c r="E265" s="93"/>
      <c r="F265" s="93"/>
      <c r="G265" s="93"/>
      <c r="H265" s="93"/>
      <c r="I265" s="93"/>
      <c r="J265" s="93"/>
      <c r="K265" s="93"/>
      <c r="L265" s="93"/>
      <c r="M265" s="20"/>
      <c r="N265" s="25"/>
      <c r="O265" s="889">
        <f t="shared" si="94"/>
        <v>2047</v>
      </c>
      <c r="P265" s="29" t="str">
        <f t="shared" si="96"/>
        <v>Trimestre 42047</v>
      </c>
      <c r="Q265" s="848">
        <v>54027</v>
      </c>
      <c r="R265" s="733"/>
      <c r="S265" s="570"/>
      <c r="T265" s="570"/>
      <c r="U265" s="734"/>
      <c r="V265" s="25"/>
      <c r="W265" s="19"/>
      <c r="X265" s="93"/>
      <c r="Y265" s="93"/>
      <c r="Z265" s="93"/>
      <c r="AA265" s="93"/>
      <c r="AB265" s="93"/>
      <c r="AC265" s="93"/>
      <c r="AD265" s="93"/>
      <c r="AE265" s="20"/>
      <c r="AF265" s="25"/>
      <c r="AG265" s="19"/>
      <c r="AH265" s="93"/>
      <c r="AI265" s="93"/>
      <c r="AJ265" s="93"/>
      <c r="AK265" s="93"/>
      <c r="AL265" s="93"/>
      <c r="AM265" s="93"/>
      <c r="AN265" s="20"/>
      <c r="AO265" s="19"/>
      <c r="AP265" s="93"/>
      <c r="AQ265" s="93"/>
      <c r="AR265" s="93"/>
      <c r="AS265" s="20"/>
      <c r="AT265" s="19"/>
      <c r="AU265" s="93"/>
      <c r="AV265" s="20"/>
      <c r="AW265" s="19"/>
      <c r="AX265" s="93"/>
      <c r="AY265" s="93"/>
      <c r="AZ265" s="93"/>
      <c r="BA265" s="93"/>
      <c r="BB265" s="93"/>
      <c r="BC265" s="20"/>
      <c r="BD265" s="19"/>
      <c r="BE265" s="93"/>
      <c r="BF265" s="93"/>
      <c r="BG265" s="93"/>
      <c r="BH265" s="93"/>
      <c r="BI265" s="93"/>
      <c r="BJ265" s="93"/>
      <c r="BK265" s="20"/>
      <c r="BL265" s="19"/>
      <c r="BM265" s="93"/>
      <c r="BN265" s="93"/>
      <c r="BO265" s="93"/>
      <c r="BP265" s="93"/>
      <c r="BQ265" s="20"/>
      <c r="BR265" s="19"/>
      <c r="BS265" s="93"/>
      <c r="BT265" s="93"/>
      <c r="BU265" s="20"/>
      <c r="BV265" s="19"/>
      <c r="BW265" s="93"/>
      <c r="BX265" s="93"/>
      <c r="BY265" s="93"/>
      <c r="BZ265" s="93"/>
      <c r="CA265" s="93"/>
      <c r="CB265" s="20"/>
      <c r="CC265" s="25"/>
      <c r="CD265" s="19"/>
      <c r="CE265" s="93"/>
      <c r="CF265" s="20"/>
      <c r="CG265" s="25"/>
      <c r="CH265" s="19"/>
      <c r="CI265" s="93"/>
      <c r="CJ265" s="93"/>
      <c r="CK265" s="93"/>
      <c r="CL265" s="93"/>
      <c r="CM265" s="93"/>
      <c r="CN265" s="93"/>
      <c r="CO265" s="93"/>
      <c r="CP265" s="93"/>
      <c r="CQ265" s="93"/>
      <c r="CR265" s="214"/>
      <c r="CS265" s="20"/>
      <c r="CT265" s="25"/>
      <c r="CU265" s="19"/>
      <c r="CV265" s="93"/>
      <c r="CW265" s="93"/>
      <c r="CX265" s="93"/>
      <c r="CY265" s="93"/>
      <c r="CZ265" s="93"/>
      <c r="DA265" s="93"/>
      <c r="DB265" s="20"/>
      <c r="DC265" s="25"/>
      <c r="DD265" s="785">
        <v>54027</v>
      </c>
      <c r="DE265" s="19"/>
      <c r="DF265" s="20"/>
      <c r="DG265" s="25"/>
      <c r="DH265" s="19"/>
      <c r="DI265" s="20"/>
      <c r="DJ265" s="25"/>
      <c r="DK265" s="19"/>
      <c r="DL265" s="20"/>
      <c r="DM265" s="19"/>
      <c r="DN265" s="20"/>
      <c r="DO265" s="25"/>
      <c r="DP265" s="19"/>
      <c r="DQ265" s="93"/>
      <c r="DR265" s="20"/>
      <c r="DS265" s="25"/>
      <c r="DT265" s="19"/>
      <c r="DU265" s="93"/>
      <c r="DV265" s="20"/>
      <c r="DW265" s="25"/>
      <c r="DX265" s="19"/>
      <c r="DY265" s="20"/>
      <c r="DZ265" s="25"/>
      <c r="EA265" s="19"/>
      <c r="EB265" s="93"/>
      <c r="EC265" s="93"/>
      <c r="ED265" s="93"/>
      <c r="EE265" s="20"/>
      <c r="EF265" s="25"/>
      <c r="EG265" s="19"/>
      <c r="EH265" s="93"/>
      <c r="EI265" s="93"/>
      <c r="EJ265" s="93"/>
      <c r="EK265" s="20"/>
      <c r="EL265" s="25"/>
      <c r="EM265" s="19"/>
      <c r="EN265" s="93"/>
      <c r="EO265" s="93"/>
      <c r="EP265" s="93"/>
      <c r="EQ265" s="93"/>
      <c r="ER265" s="93"/>
      <c r="ES265" s="93"/>
      <c r="ET265" s="93"/>
      <c r="EU265" s="93"/>
      <c r="EV265" s="20"/>
      <c r="EW265" s="25"/>
      <c r="EX265" s="915"/>
      <c r="EY265" s="916"/>
      <c r="EZ265" s="916"/>
      <c r="FA265" s="916"/>
      <c r="FB265" s="916"/>
      <c r="FC265" s="916"/>
      <c r="FD265" s="916"/>
      <c r="FE265" s="916"/>
      <c r="FF265" s="916"/>
      <c r="FG265" s="917"/>
      <c r="FH265" s="25"/>
      <c r="FI265" s="848">
        <v>54027</v>
      </c>
      <c r="FJ265" s="19"/>
      <c r="FK265" s="93"/>
      <c r="FL265" s="20"/>
      <c r="FM265" s="25"/>
      <c r="FN265" s="19"/>
      <c r="FO265" s="93"/>
      <c r="FP265" s="93"/>
      <c r="FQ265" s="93"/>
      <c r="FR265" s="93"/>
      <c r="FS265" s="93"/>
      <c r="FT265" s="93"/>
      <c r="FU265" s="93"/>
      <c r="FV265" s="93"/>
      <c r="FW265" s="917"/>
      <c r="FX265" s="25"/>
      <c r="FY265" s="916"/>
      <c r="FZ265" s="916"/>
      <c r="GA265" s="916"/>
      <c r="GB265" s="916"/>
      <c r="GC265" s="916"/>
      <c r="GD265" s="916"/>
      <c r="GE265" s="916"/>
      <c r="GF265" s="916"/>
      <c r="GG265" s="916"/>
      <c r="GH265" s="916"/>
      <c r="GI265" s="917"/>
      <c r="GJ265" s="25"/>
      <c r="GK265" s="19"/>
      <c r="GL265" s="20"/>
      <c r="GM265" s="25"/>
      <c r="GN265" s="19"/>
      <c r="GO265" s="20"/>
      <c r="GP265" s="25"/>
      <c r="GQ265" s="19"/>
      <c r="GR265" s="20"/>
      <c r="GS265" s="25"/>
      <c r="GT265" s="848">
        <v>54027</v>
      </c>
      <c r="GU265" s="19"/>
      <c r="GV265" s="93"/>
      <c r="GW265" s="93"/>
      <c r="GX265" s="93"/>
      <c r="GY265" s="93"/>
      <c r="GZ265" s="93"/>
      <c r="HA265" s="93"/>
      <c r="HB265" s="93"/>
      <c r="HC265" s="93"/>
      <c r="HD265" s="93"/>
      <c r="HE265" s="93"/>
      <c r="HF265" s="93"/>
      <c r="HG265" s="93"/>
      <c r="HH265" s="93"/>
      <c r="HI265" s="93"/>
      <c r="HJ265" s="93"/>
      <c r="HK265" s="93"/>
      <c r="HL265" s="93"/>
      <c r="HM265" s="93"/>
      <c r="HN265" s="93"/>
      <c r="HO265" s="93"/>
      <c r="HP265" s="93"/>
      <c r="HQ265" s="93"/>
      <c r="HR265" s="93"/>
      <c r="HS265" s="93"/>
      <c r="HT265" s="93"/>
      <c r="HU265" s="93"/>
      <c r="HV265" s="93"/>
      <c r="HW265" s="93"/>
      <c r="HX265" s="93"/>
      <c r="HY265" s="93"/>
      <c r="HZ265" s="93"/>
      <c r="IA265" s="93"/>
      <c r="IB265" s="93"/>
      <c r="IC265" s="93"/>
      <c r="ID265" s="93"/>
      <c r="IE265" s="93"/>
      <c r="IF265" s="93"/>
      <c r="IG265" s="93"/>
      <c r="IH265" s="93"/>
      <c r="II265" s="93"/>
      <c r="IJ265" s="93"/>
      <c r="IK265" s="93"/>
      <c r="IL265" s="93"/>
      <c r="IM265" s="93"/>
      <c r="IN265" s="93"/>
      <c r="IO265" s="93"/>
      <c r="IP265" s="93"/>
      <c r="IQ265" s="93"/>
      <c r="IR265" s="93"/>
      <c r="IS265" s="93"/>
      <c r="IT265" s="93"/>
      <c r="IU265" s="93"/>
      <c r="IV265" s="93"/>
      <c r="IW265" s="848">
        <v>54027</v>
      </c>
      <c r="IX265" s="93"/>
      <c r="IY265" s="93"/>
      <c r="IZ265" s="93"/>
      <c r="JA265" s="93"/>
      <c r="JB265" s="93"/>
      <c r="JC265" s="93"/>
      <c r="JD265" s="93"/>
      <c r="JE265" s="93"/>
      <c r="JF265" s="93"/>
      <c r="JG265" s="93"/>
      <c r="JH265" s="93"/>
      <c r="JI265" s="93"/>
      <c r="JJ265" s="93"/>
      <c r="JK265" s="93"/>
      <c r="JL265" s="93"/>
      <c r="JM265" s="93"/>
      <c r="JN265" s="93"/>
      <c r="JO265" s="93"/>
      <c r="JP265" s="93"/>
      <c r="JQ265" s="93"/>
      <c r="JR265" s="93"/>
      <c r="JS265" s="93"/>
      <c r="JT265" s="20"/>
      <c r="JU265" s="29"/>
      <c r="JV265" s="19"/>
      <c r="JW265" s="93"/>
      <c r="JX265" s="93"/>
      <c r="JY265" s="93"/>
      <c r="JZ265" s="93"/>
      <c r="KA265" s="93"/>
      <c r="KB265" s="93"/>
      <c r="KC265" s="93"/>
      <c r="KD265" s="93"/>
      <c r="KE265" s="93"/>
      <c r="KF265" s="93"/>
      <c r="KG265" s="93"/>
      <c r="KH265" s="93"/>
      <c r="KI265" s="93"/>
      <c r="KJ265" s="93"/>
      <c r="KK265" s="93"/>
      <c r="KL265" s="93"/>
      <c r="KM265" s="93"/>
      <c r="KN265" s="93"/>
      <c r="KO265" s="93"/>
      <c r="KP265" s="93"/>
      <c r="KQ265" s="93"/>
      <c r="KR265" s="93"/>
      <c r="KS265" s="93"/>
      <c r="KT265" s="93"/>
      <c r="KU265" s="93"/>
      <c r="KV265" s="93"/>
      <c r="KW265" s="20"/>
      <c r="KX265" s="29"/>
      <c r="KY265" s="19"/>
      <c r="KZ265" s="93"/>
      <c r="LA265" s="93"/>
      <c r="LB265" s="93"/>
      <c r="LC265" s="93"/>
      <c r="LD265" s="93"/>
      <c r="LE265" s="93"/>
      <c r="LF265" s="93"/>
      <c r="LG265" s="93"/>
      <c r="LH265" s="93"/>
      <c r="LI265" s="93"/>
      <c r="LJ265" s="93"/>
      <c r="LK265" s="93"/>
      <c r="LL265" s="93"/>
      <c r="LM265" s="93"/>
      <c r="LN265" s="93"/>
      <c r="LO265" s="93"/>
      <c r="LP265" s="93"/>
      <c r="LQ265" s="93"/>
      <c r="LR265" s="93"/>
      <c r="LS265" s="93"/>
      <c r="LT265" s="93"/>
      <c r="LU265" s="93"/>
      <c r="LV265" s="93"/>
      <c r="LW265" s="93"/>
      <c r="LX265" s="93"/>
      <c r="LY265" s="93"/>
      <c r="LZ265" s="93"/>
      <c r="MA265" s="93"/>
      <c r="MB265" s="93"/>
      <c r="MC265" s="93"/>
      <c r="MD265" s="93"/>
      <c r="ME265" s="93"/>
      <c r="MF265" s="93"/>
      <c r="MG265" s="93"/>
      <c r="MH265" s="20"/>
      <c r="MI265" s="29"/>
      <c r="MJ265" s="29" t="str">
        <f t="shared" si="97"/>
        <v>Trimestre 42047</v>
      </c>
      <c r="MK265" s="848">
        <v>54027</v>
      </c>
      <c r="ML265" s="1991"/>
      <c r="MM265" s="1991"/>
      <c r="MN265" s="1991"/>
      <c r="MO265" s="1991"/>
      <c r="MP265" s="1991"/>
      <c r="MQ265" s="1991"/>
      <c r="MR265" s="1991"/>
      <c r="MS265" s="1991"/>
      <c r="MT265" s="1991"/>
      <c r="MU265" s="1991"/>
      <c r="MV265" s="1991"/>
      <c r="MW265" s="1991"/>
      <c r="MX265" s="1991"/>
      <c r="MY265" s="1991"/>
      <c r="MZ265" s="1991"/>
      <c r="NA265" s="1991"/>
      <c r="NB265" s="1991"/>
      <c r="NC265" s="1991"/>
      <c r="ND265" s="1991"/>
      <c r="NE265" s="1991"/>
      <c r="NF265" s="1991"/>
      <c r="NG265" s="1991"/>
      <c r="NH265" s="1991"/>
      <c r="NI265" s="1991"/>
      <c r="NJ265" s="1991"/>
      <c r="NK265" s="1991"/>
      <c r="NL265" s="29"/>
    </row>
    <row r="266" spans="1:376">
      <c r="A266" s="41">
        <f t="shared" si="95"/>
        <v>2048</v>
      </c>
      <c r="B266" s="785">
        <v>54118</v>
      </c>
      <c r="C266" s="19"/>
      <c r="D266" s="93"/>
      <c r="E266" s="93"/>
      <c r="F266" s="93"/>
      <c r="G266" s="93"/>
      <c r="H266" s="93"/>
      <c r="I266" s="93"/>
      <c r="J266" s="93"/>
      <c r="K266" s="93"/>
      <c r="L266" s="93"/>
      <c r="M266" s="20"/>
      <c r="N266" s="25"/>
      <c r="O266" s="889">
        <f t="shared" si="94"/>
        <v>2048</v>
      </c>
      <c r="P266" s="29" t="str">
        <f t="shared" si="96"/>
        <v>Trimestre 12048</v>
      </c>
      <c r="Q266" s="848">
        <v>54118</v>
      </c>
      <c r="R266" s="733"/>
      <c r="S266" s="570"/>
      <c r="T266" s="570"/>
      <c r="U266" s="734"/>
      <c r="V266" s="25"/>
      <c r="W266" s="19"/>
      <c r="X266" s="93"/>
      <c r="Y266" s="93"/>
      <c r="Z266" s="93"/>
      <c r="AA266" s="93"/>
      <c r="AB266" s="93"/>
      <c r="AC266" s="93"/>
      <c r="AD266" s="93"/>
      <c r="AE266" s="20"/>
      <c r="AF266" s="25"/>
      <c r="AG266" s="19"/>
      <c r="AH266" s="93"/>
      <c r="AI266" s="93"/>
      <c r="AJ266" s="93"/>
      <c r="AK266" s="93"/>
      <c r="AL266" s="93"/>
      <c r="AM266" s="93"/>
      <c r="AN266" s="20"/>
      <c r="AO266" s="19"/>
      <c r="AP266" s="93"/>
      <c r="AQ266" s="93"/>
      <c r="AR266" s="93"/>
      <c r="AS266" s="20"/>
      <c r="AT266" s="19"/>
      <c r="AU266" s="93"/>
      <c r="AV266" s="20"/>
      <c r="AW266" s="19"/>
      <c r="AX266" s="93"/>
      <c r="AY266" s="93"/>
      <c r="AZ266" s="93"/>
      <c r="BA266" s="93"/>
      <c r="BB266" s="93"/>
      <c r="BC266" s="20"/>
      <c r="BD266" s="19"/>
      <c r="BE266" s="93"/>
      <c r="BF266" s="93"/>
      <c r="BG266" s="93"/>
      <c r="BH266" s="93"/>
      <c r="BI266" s="93"/>
      <c r="BJ266" s="93"/>
      <c r="BK266" s="20"/>
      <c r="BL266" s="19"/>
      <c r="BM266" s="93"/>
      <c r="BN266" s="93"/>
      <c r="BO266" s="93"/>
      <c r="BP266" s="93"/>
      <c r="BQ266" s="20"/>
      <c r="BR266" s="19"/>
      <c r="BS266" s="93"/>
      <c r="BT266" s="93"/>
      <c r="BU266" s="20"/>
      <c r="BV266" s="19"/>
      <c r="BW266" s="93"/>
      <c r="BX266" s="93"/>
      <c r="BY266" s="93"/>
      <c r="BZ266" s="93"/>
      <c r="CA266" s="93"/>
      <c r="CB266" s="20"/>
      <c r="CC266" s="25"/>
      <c r="CD266" s="19"/>
      <c r="CE266" s="93"/>
      <c r="CF266" s="20"/>
      <c r="CG266" s="25"/>
      <c r="CH266" s="19"/>
      <c r="CI266" s="93"/>
      <c r="CJ266" s="93"/>
      <c r="CK266" s="93"/>
      <c r="CL266" s="93"/>
      <c r="CM266" s="93"/>
      <c r="CN266" s="93"/>
      <c r="CO266" s="93"/>
      <c r="CP266" s="93"/>
      <c r="CQ266" s="93"/>
      <c r="CR266" s="214"/>
      <c r="CS266" s="20"/>
      <c r="CT266" s="25"/>
      <c r="CU266" s="19"/>
      <c r="CV266" s="93"/>
      <c r="CW266" s="93"/>
      <c r="CX266" s="93"/>
      <c r="CY266" s="93"/>
      <c r="CZ266" s="93"/>
      <c r="DA266" s="93"/>
      <c r="DB266" s="20"/>
      <c r="DC266" s="25"/>
      <c r="DD266" s="785">
        <v>54118</v>
      </c>
      <c r="DE266" s="19"/>
      <c r="DF266" s="20"/>
      <c r="DG266" s="25"/>
      <c r="DH266" s="19"/>
      <c r="DI266" s="20"/>
      <c r="DJ266" s="25"/>
      <c r="DK266" s="19"/>
      <c r="DL266" s="20"/>
      <c r="DM266" s="19"/>
      <c r="DN266" s="20"/>
      <c r="DO266" s="25"/>
      <c r="DP266" s="19"/>
      <c r="DQ266" s="93"/>
      <c r="DR266" s="20"/>
      <c r="DS266" s="25"/>
      <c r="DT266" s="19"/>
      <c r="DU266" s="93"/>
      <c r="DV266" s="20"/>
      <c r="DW266" s="25"/>
      <c r="DX266" s="19"/>
      <c r="DY266" s="20"/>
      <c r="DZ266" s="25"/>
      <c r="EA266" s="19"/>
      <c r="EB266" s="93"/>
      <c r="EC266" s="93"/>
      <c r="ED266" s="93"/>
      <c r="EE266" s="20"/>
      <c r="EF266" s="25"/>
      <c r="EG266" s="19"/>
      <c r="EH266" s="93"/>
      <c r="EI266" s="93"/>
      <c r="EJ266" s="93"/>
      <c r="EK266" s="20"/>
      <c r="EL266" s="25"/>
      <c r="EM266" s="19"/>
      <c r="EN266" s="93"/>
      <c r="EO266" s="93"/>
      <c r="EP266" s="93"/>
      <c r="EQ266" s="93"/>
      <c r="ER266" s="93"/>
      <c r="ES266" s="93"/>
      <c r="ET266" s="93"/>
      <c r="EU266" s="93"/>
      <c r="EV266" s="20"/>
      <c r="EW266" s="25"/>
      <c r="EX266" s="915"/>
      <c r="EY266" s="916"/>
      <c r="EZ266" s="916"/>
      <c r="FA266" s="916"/>
      <c r="FB266" s="916"/>
      <c r="FC266" s="916"/>
      <c r="FD266" s="916"/>
      <c r="FE266" s="916"/>
      <c r="FF266" s="916"/>
      <c r="FG266" s="917"/>
      <c r="FH266" s="25"/>
      <c r="FI266" s="848">
        <v>54118</v>
      </c>
      <c r="FJ266" s="19"/>
      <c r="FK266" s="93"/>
      <c r="FL266" s="20"/>
      <c r="FM266" s="25"/>
      <c r="FN266" s="19"/>
      <c r="FO266" s="93"/>
      <c r="FP266" s="93"/>
      <c r="FQ266" s="93"/>
      <c r="FR266" s="93"/>
      <c r="FS266" s="93"/>
      <c r="FT266" s="93"/>
      <c r="FU266" s="93"/>
      <c r="FV266" s="93"/>
      <c r="FW266" s="917"/>
      <c r="FX266" s="25"/>
      <c r="FY266" s="916"/>
      <c r="FZ266" s="916"/>
      <c r="GA266" s="916"/>
      <c r="GB266" s="916"/>
      <c r="GC266" s="916"/>
      <c r="GD266" s="916"/>
      <c r="GE266" s="916"/>
      <c r="GF266" s="916"/>
      <c r="GG266" s="916"/>
      <c r="GH266" s="916"/>
      <c r="GI266" s="917"/>
      <c r="GJ266" s="25"/>
      <c r="GK266" s="19"/>
      <c r="GL266" s="20"/>
      <c r="GM266" s="25"/>
      <c r="GN266" s="19"/>
      <c r="GO266" s="20"/>
      <c r="GP266" s="25"/>
      <c r="GQ266" s="19"/>
      <c r="GR266" s="20"/>
      <c r="GS266" s="25"/>
      <c r="GT266" s="848">
        <v>54118</v>
      </c>
      <c r="GU266" s="19"/>
      <c r="GV266" s="93"/>
      <c r="GW266" s="93"/>
      <c r="GX266" s="93"/>
      <c r="GY266" s="93"/>
      <c r="GZ266" s="93"/>
      <c r="HA266" s="93"/>
      <c r="HB266" s="93"/>
      <c r="HC266" s="93"/>
      <c r="HD266" s="93"/>
      <c r="HE266" s="93"/>
      <c r="HF266" s="93"/>
      <c r="HG266" s="93"/>
      <c r="HH266" s="93"/>
      <c r="HI266" s="93"/>
      <c r="HJ266" s="93"/>
      <c r="HK266" s="93"/>
      <c r="HL266" s="93"/>
      <c r="HM266" s="93"/>
      <c r="HN266" s="93"/>
      <c r="HO266" s="93"/>
      <c r="HP266" s="93"/>
      <c r="HQ266" s="93"/>
      <c r="HR266" s="93"/>
      <c r="HS266" s="93"/>
      <c r="HT266" s="93"/>
      <c r="HU266" s="93"/>
      <c r="HV266" s="93"/>
      <c r="HW266" s="93"/>
      <c r="HX266" s="93"/>
      <c r="HY266" s="93"/>
      <c r="HZ266" s="93"/>
      <c r="IA266" s="93"/>
      <c r="IB266" s="93"/>
      <c r="IC266" s="93"/>
      <c r="ID266" s="93"/>
      <c r="IE266" s="93"/>
      <c r="IF266" s="93"/>
      <c r="IG266" s="93"/>
      <c r="IH266" s="93"/>
      <c r="II266" s="93"/>
      <c r="IJ266" s="93"/>
      <c r="IK266" s="93"/>
      <c r="IL266" s="93"/>
      <c r="IM266" s="93"/>
      <c r="IN266" s="93"/>
      <c r="IO266" s="93"/>
      <c r="IP266" s="93"/>
      <c r="IQ266" s="93"/>
      <c r="IR266" s="93"/>
      <c r="IS266" s="93"/>
      <c r="IT266" s="93"/>
      <c r="IU266" s="93"/>
      <c r="IV266" s="93"/>
      <c r="IW266" s="848">
        <v>54118</v>
      </c>
      <c r="IX266" s="93"/>
      <c r="IY266" s="93"/>
      <c r="IZ266" s="93"/>
      <c r="JA266" s="93"/>
      <c r="JB266" s="93"/>
      <c r="JC266" s="93"/>
      <c r="JD266" s="93"/>
      <c r="JE266" s="93"/>
      <c r="JF266" s="93"/>
      <c r="JG266" s="93"/>
      <c r="JH266" s="93"/>
      <c r="JI266" s="93"/>
      <c r="JJ266" s="93"/>
      <c r="JK266" s="93"/>
      <c r="JL266" s="93"/>
      <c r="JM266" s="93"/>
      <c r="JN266" s="93"/>
      <c r="JO266" s="93"/>
      <c r="JP266" s="93"/>
      <c r="JQ266" s="93"/>
      <c r="JR266" s="93"/>
      <c r="JS266" s="93"/>
      <c r="JT266" s="20"/>
      <c r="JU266" s="29"/>
      <c r="JV266" s="19"/>
      <c r="JW266" s="93"/>
      <c r="JX266" s="93"/>
      <c r="JY266" s="93"/>
      <c r="JZ266" s="93"/>
      <c r="KA266" s="93"/>
      <c r="KB266" s="93"/>
      <c r="KC266" s="93"/>
      <c r="KD266" s="93"/>
      <c r="KE266" s="93"/>
      <c r="KF266" s="93"/>
      <c r="KG266" s="93"/>
      <c r="KH266" s="93"/>
      <c r="KI266" s="93"/>
      <c r="KJ266" s="93"/>
      <c r="KK266" s="93"/>
      <c r="KL266" s="93"/>
      <c r="KM266" s="93"/>
      <c r="KN266" s="93"/>
      <c r="KO266" s="93"/>
      <c r="KP266" s="93"/>
      <c r="KQ266" s="93"/>
      <c r="KR266" s="93"/>
      <c r="KS266" s="93"/>
      <c r="KT266" s="93"/>
      <c r="KU266" s="93"/>
      <c r="KV266" s="93"/>
      <c r="KW266" s="20"/>
      <c r="KX266" s="29"/>
      <c r="KY266" s="19"/>
      <c r="KZ266" s="93"/>
      <c r="LA266" s="93"/>
      <c r="LB266" s="93"/>
      <c r="LC266" s="93"/>
      <c r="LD266" s="93"/>
      <c r="LE266" s="93"/>
      <c r="LF266" s="93"/>
      <c r="LG266" s="93"/>
      <c r="LH266" s="93"/>
      <c r="LI266" s="93"/>
      <c r="LJ266" s="93"/>
      <c r="LK266" s="93"/>
      <c r="LL266" s="93"/>
      <c r="LM266" s="93"/>
      <c r="LN266" s="93"/>
      <c r="LO266" s="93"/>
      <c r="LP266" s="93"/>
      <c r="LQ266" s="93"/>
      <c r="LR266" s="93"/>
      <c r="LS266" s="93"/>
      <c r="LT266" s="93"/>
      <c r="LU266" s="93"/>
      <c r="LV266" s="93"/>
      <c r="LW266" s="93"/>
      <c r="LX266" s="93"/>
      <c r="LY266" s="93"/>
      <c r="LZ266" s="93"/>
      <c r="MA266" s="93"/>
      <c r="MB266" s="93"/>
      <c r="MC266" s="93"/>
      <c r="MD266" s="93"/>
      <c r="ME266" s="93"/>
      <c r="MF266" s="93"/>
      <c r="MG266" s="93"/>
      <c r="MH266" s="20"/>
      <c r="MI266" s="29"/>
      <c r="MJ266" s="29" t="str">
        <f t="shared" si="97"/>
        <v>Trimestre 12048</v>
      </c>
      <c r="MK266" s="848">
        <v>54118</v>
      </c>
      <c r="ML266" s="1991"/>
      <c r="MM266" s="1991"/>
      <c r="MN266" s="1991"/>
      <c r="MO266" s="1991"/>
      <c r="MP266" s="1991"/>
      <c r="MQ266" s="1991"/>
      <c r="MR266" s="1991"/>
      <c r="MS266" s="1991"/>
      <c r="MT266" s="1991"/>
      <c r="MU266" s="1991"/>
      <c r="MV266" s="1991"/>
      <c r="MW266" s="1991"/>
      <c r="MX266" s="1991"/>
      <c r="MY266" s="1991"/>
      <c r="MZ266" s="1991"/>
      <c r="NA266" s="1991"/>
      <c r="NB266" s="1991"/>
      <c r="NC266" s="1991"/>
      <c r="ND266" s="1991"/>
      <c r="NE266" s="1991"/>
      <c r="NF266" s="1991"/>
      <c r="NG266" s="1991"/>
      <c r="NH266" s="1991"/>
      <c r="NI266" s="1991"/>
      <c r="NJ266" s="1991"/>
      <c r="NK266" s="1991"/>
      <c r="NL266" s="29"/>
    </row>
    <row r="267" spans="1:376">
      <c r="A267" s="41">
        <f t="shared" si="95"/>
        <v>2048</v>
      </c>
      <c r="B267" s="785">
        <v>54210</v>
      </c>
      <c r="C267" s="19"/>
      <c r="D267" s="93"/>
      <c r="E267" s="93"/>
      <c r="F267" s="93"/>
      <c r="G267" s="93"/>
      <c r="H267" s="93"/>
      <c r="I267" s="93"/>
      <c r="J267" s="93"/>
      <c r="K267" s="93"/>
      <c r="L267" s="93"/>
      <c r="M267" s="20"/>
      <c r="N267" s="25"/>
      <c r="O267" s="889">
        <f t="shared" ref="O267:O276" si="98">YEAR(Q267)</f>
        <v>2048</v>
      </c>
      <c r="P267" s="29" t="str">
        <f t="shared" si="96"/>
        <v>Trimestre 22048</v>
      </c>
      <c r="Q267" s="848">
        <v>54210</v>
      </c>
      <c r="R267" s="733"/>
      <c r="S267" s="570"/>
      <c r="T267" s="570"/>
      <c r="U267" s="734"/>
      <c r="V267" s="25"/>
      <c r="W267" s="19"/>
      <c r="X267" s="93"/>
      <c r="Y267" s="93"/>
      <c r="Z267" s="93"/>
      <c r="AA267" s="93"/>
      <c r="AB267" s="93"/>
      <c r="AC267" s="93"/>
      <c r="AD267" s="93"/>
      <c r="AE267" s="20"/>
      <c r="AF267" s="25"/>
      <c r="AG267" s="19"/>
      <c r="AH267" s="93"/>
      <c r="AI267" s="93"/>
      <c r="AJ267" s="93"/>
      <c r="AK267" s="93"/>
      <c r="AL267" s="93"/>
      <c r="AM267" s="93"/>
      <c r="AN267" s="20"/>
      <c r="AO267" s="19"/>
      <c r="AP267" s="93"/>
      <c r="AQ267" s="93"/>
      <c r="AR267" s="93"/>
      <c r="AS267" s="20"/>
      <c r="AT267" s="19"/>
      <c r="AU267" s="93"/>
      <c r="AV267" s="20"/>
      <c r="AW267" s="19"/>
      <c r="AX267" s="93"/>
      <c r="AY267" s="93"/>
      <c r="AZ267" s="93"/>
      <c r="BA267" s="93"/>
      <c r="BB267" s="93"/>
      <c r="BC267" s="20"/>
      <c r="BD267" s="19"/>
      <c r="BE267" s="93"/>
      <c r="BF267" s="93"/>
      <c r="BG267" s="93"/>
      <c r="BH267" s="93"/>
      <c r="BI267" s="93"/>
      <c r="BJ267" s="93"/>
      <c r="BK267" s="20"/>
      <c r="BL267" s="19"/>
      <c r="BM267" s="93"/>
      <c r="BN267" s="93"/>
      <c r="BO267" s="93"/>
      <c r="BP267" s="93"/>
      <c r="BQ267" s="20"/>
      <c r="BR267" s="19"/>
      <c r="BS267" s="93"/>
      <c r="BT267" s="93"/>
      <c r="BU267" s="20"/>
      <c r="BV267" s="19"/>
      <c r="BW267" s="93"/>
      <c r="BX267" s="93"/>
      <c r="BY267" s="93"/>
      <c r="BZ267" s="93"/>
      <c r="CA267" s="93"/>
      <c r="CB267" s="20"/>
      <c r="CC267" s="25"/>
      <c r="CD267" s="19"/>
      <c r="CE267" s="93"/>
      <c r="CF267" s="20"/>
      <c r="CG267" s="25"/>
      <c r="CH267" s="19"/>
      <c r="CI267" s="93"/>
      <c r="CJ267" s="93"/>
      <c r="CK267" s="93"/>
      <c r="CL267" s="93"/>
      <c r="CM267" s="93"/>
      <c r="CN267" s="93"/>
      <c r="CO267" s="93"/>
      <c r="CP267" s="93"/>
      <c r="CQ267" s="93"/>
      <c r="CR267" s="214"/>
      <c r="CS267" s="20"/>
      <c r="CT267" s="25"/>
      <c r="CU267" s="19"/>
      <c r="CV267" s="93"/>
      <c r="CW267" s="93"/>
      <c r="CX267" s="93"/>
      <c r="CY267" s="93"/>
      <c r="CZ267" s="93"/>
      <c r="DA267" s="93"/>
      <c r="DB267" s="20"/>
      <c r="DC267" s="25"/>
      <c r="DD267" s="785">
        <v>54210</v>
      </c>
      <c r="DE267" s="19"/>
      <c r="DF267" s="20"/>
      <c r="DG267" s="25"/>
      <c r="DH267" s="19"/>
      <c r="DI267" s="20"/>
      <c r="DJ267" s="25"/>
      <c r="DK267" s="19"/>
      <c r="DL267" s="20"/>
      <c r="DM267" s="19"/>
      <c r="DN267" s="20"/>
      <c r="DO267" s="25"/>
      <c r="DP267" s="19"/>
      <c r="DQ267" s="93"/>
      <c r="DR267" s="20"/>
      <c r="DS267" s="25"/>
      <c r="DT267" s="19"/>
      <c r="DU267" s="93"/>
      <c r="DV267" s="20"/>
      <c r="DW267" s="25"/>
      <c r="DX267" s="19"/>
      <c r="DY267" s="20"/>
      <c r="DZ267" s="25"/>
      <c r="EA267" s="19"/>
      <c r="EB267" s="93"/>
      <c r="EC267" s="93"/>
      <c r="ED267" s="93"/>
      <c r="EE267" s="20"/>
      <c r="EF267" s="25"/>
      <c r="EG267" s="19"/>
      <c r="EH267" s="93"/>
      <c r="EI267" s="93"/>
      <c r="EJ267" s="93"/>
      <c r="EK267" s="20"/>
      <c r="EL267" s="25"/>
      <c r="EM267" s="19"/>
      <c r="EN267" s="93"/>
      <c r="EO267" s="93"/>
      <c r="EP267" s="93"/>
      <c r="EQ267" s="93"/>
      <c r="ER267" s="93"/>
      <c r="ES267" s="93"/>
      <c r="ET267" s="93"/>
      <c r="EU267" s="93"/>
      <c r="EV267" s="20"/>
      <c r="EW267" s="25"/>
      <c r="EX267" s="915"/>
      <c r="EY267" s="916"/>
      <c r="EZ267" s="916"/>
      <c r="FA267" s="916"/>
      <c r="FB267" s="916"/>
      <c r="FC267" s="916"/>
      <c r="FD267" s="916"/>
      <c r="FE267" s="916"/>
      <c r="FF267" s="916"/>
      <c r="FG267" s="917"/>
      <c r="FH267" s="25"/>
      <c r="FI267" s="848">
        <v>54210</v>
      </c>
      <c r="FJ267" s="19"/>
      <c r="FK267" s="93"/>
      <c r="FL267" s="20"/>
      <c r="FM267" s="25"/>
      <c r="FN267" s="19"/>
      <c r="FO267" s="93"/>
      <c r="FP267" s="93"/>
      <c r="FQ267" s="93"/>
      <c r="FR267" s="93"/>
      <c r="FS267" s="93"/>
      <c r="FT267" s="93"/>
      <c r="FU267" s="93"/>
      <c r="FV267" s="93"/>
      <c r="FW267" s="917"/>
      <c r="FX267" s="25"/>
      <c r="FY267" s="916"/>
      <c r="FZ267" s="916"/>
      <c r="GA267" s="916"/>
      <c r="GB267" s="916"/>
      <c r="GC267" s="916"/>
      <c r="GD267" s="916"/>
      <c r="GE267" s="916"/>
      <c r="GF267" s="916"/>
      <c r="GG267" s="916"/>
      <c r="GH267" s="916"/>
      <c r="GI267" s="917"/>
      <c r="GJ267" s="25"/>
      <c r="GK267" s="19"/>
      <c r="GL267" s="20"/>
      <c r="GM267" s="25"/>
      <c r="GN267" s="19"/>
      <c r="GO267" s="20"/>
      <c r="GP267" s="25"/>
      <c r="GQ267" s="19"/>
      <c r="GR267" s="20"/>
      <c r="GS267" s="25"/>
      <c r="GT267" s="848">
        <v>54210</v>
      </c>
      <c r="GU267" s="19"/>
      <c r="GV267" s="93"/>
      <c r="GW267" s="93"/>
      <c r="GX267" s="93"/>
      <c r="GY267" s="93"/>
      <c r="GZ267" s="93"/>
      <c r="HA267" s="93"/>
      <c r="HB267" s="93"/>
      <c r="HC267" s="93"/>
      <c r="HD267" s="93"/>
      <c r="HE267" s="93"/>
      <c r="HF267" s="93"/>
      <c r="HG267" s="93"/>
      <c r="HH267" s="93"/>
      <c r="HI267" s="93"/>
      <c r="HJ267" s="93"/>
      <c r="HK267" s="93"/>
      <c r="HL267" s="93"/>
      <c r="HM267" s="93"/>
      <c r="HN267" s="93"/>
      <c r="HO267" s="93"/>
      <c r="HP267" s="93"/>
      <c r="HQ267" s="93"/>
      <c r="HR267" s="93"/>
      <c r="HS267" s="93"/>
      <c r="HT267" s="93"/>
      <c r="HU267" s="93"/>
      <c r="HV267" s="93"/>
      <c r="HW267" s="93"/>
      <c r="HX267" s="93"/>
      <c r="HY267" s="93"/>
      <c r="HZ267" s="93"/>
      <c r="IA267" s="93"/>
      <c r="IB267" s="93"/>
      <c r="IC267" s="93"/>
      <c r="ID267" s="93"/>
      <c r="IE267" s="93"/>
      <c r="IF267" s="93"/>
      <c r="IG267" s="93"/>
      <c r="IH267" s="93"/>
      <c r="II267" s="93"/>
      <c r="IJ267" s="93"/>
      <c r="IK267" s="93"/>
      <c r="IL267" s="93"/>
      <c r="IM267" s="93"/>
      <c r="IN267" s="93"/>
      <c r="IO267" s="93"/>
      <c r="IP267" s="93"/>
      <c r="IQ267" s="93"/>
      <c r="IR267" s="93"/>
      <c r="IS267" s="93"/>
      <c r="IT267" s="93"/>
      <c r="IU267" s="93"/>
      <c r="IV267" s="93"/>
      <c r="IW267" s="848">
        <v>54210</v>
      </c>
      <c r="IX267" s="93"/>
      <c r="IY267" s="93"/>
      <c r="IZ267" s="93"/>
      <c r="JA267" s="93"/>
      <c r="JB267" s="93"/>
      <c r="JC267" s="93"/>
      <c r="JD267" s="93"/>
      <c r="JE267" s="93"/>
      <c r="JF267" s="93"/>
      <c r="JG267" s="93"/>
      <c r="JH267" s="93"/>
      <c r="JI267" s="93"/>
      <c r="JJ267" s="93"/>
      <c r="JK267" s="93"/>
      <c r="JL267" s="93"/>
      <c r="JM267" s="93"/>
      <c r="JN267" s="93"/>
      <c r="JO267" s="93"/>
      <c r="JP267" s="93"/>
      <c r="JQ267" s="93"/>
      <c r="JR267" s="93"/>
      <c r="JS267" s="93"/>
      <c r="JT267" s="20"/>
      <c r="JU267" s="29"/>
      <c r="JV267" s="19"/>
      <c r="JW267" s="93"/>
      <c r="JX267" s="93"/>
      <c r="JY267" s="93"/>
      <c r="JZ267" s="93"/>
      <c r="KA267" s="93"/>
      <c r="KB267" s="93"/>
      <c r="KC267" s="93"/>
      <c r="KD267" s="93"/>
      <c r="KE267" s="93"/>
      <c r="KF267" s="93"/>
      <c r="KG267" s="93"/>
      <c r="KH267" s="93"/>
      <c r="KI267" s="93"/>
      <c r="KJ267" s="93"/>
      <c r="KK267" s="93"/>
      <c r="KL267" s="93"/>
      <c r="KM267" s="93"/>
      <c r="KN267" s="93"/>
      <c r="KO267" s="93"/>
      <c r="KP267" s="93"/>
      <c r="KQ267" s="93"/>
      <c r="KR267" s="93"/>
      <c r="KS267" s="93"/>
      <c r="KT267" s="93"/>
      <c r="KU267" s="93"/>
      <c r="KV267" s="93"/>
      <c r="KW267" s="20"/>
      <c r="KX267" s="29"/>
      <c r="KY267" s="19"/>
      <c r="KZ267" s="93"/>
      <c r="LA267" s="93"/>
      <c r="LB267" s="93"/>
      <c r="LC267" s="93"/>
      <c r="LD267" s="93"/>
      <c r="LE267" s="93"/>
      <c r="LF267" s="93"/>
      <c r="LG267" s="93"/>
      <c r="LH267" s="93"/>
      <c r="LI267" s="93"/>
      <c r="LJ267" s="93"/>
      <c r="LK267" s="93"/>
      <c r="LL267" s="93"/>
      <c r="LM267" s="93"/>
      <c r="LN267" s="93"/>
      <c r="LO267" s="93"/>
      <c r="LP267" s="93"/>
      <c r="LQ267" s="93"/>
      <c r="LR267" s="93"/>
      <c r="LS267" s="93"/>
      <c r="LT267" s="93"/>
      <c r="LU267" s="93"/>
      <c r="LV267" s="93"/>
      <c r="LW267" s="93"/>
      <c r="LX267" s="93"/>
      <c r="LY267" s="93"/>
      <c r="LZ267" s="93"/>
      <c r="MA267" s="93"/>
      <c r="MB267" s="93"/>
      <c r="MC267" s="93"/>
      <c r="MD267" s="93"/>
      <c r="ME267" s="93"/>
      <c r="MF267" s="93"/>
      <c r="MG267" s="93"/>
      <c r="MH267" s="20"/>
      <c r="MI267" s="29"/>
      <c r="MJ267" s="29" t="str">
        <f t="shared" si="97"/>
        <v>Trimestre 22048</v>
      </c>
      <c r="MK267" s="848">
        <v>54210</v>
      </c>
      <c r="ML267" s="1991"/>
      <c r="MM267" s="1991"/>
      <c r="MN267" s="1991"/>
      <c r="MO267" s="1991"/>
      <c r="MP267" s="1991"/>
      <c r="MQ267" s="1991"/>
      <c r="MR267" s="1991"/>
      <c r="MS267" s="1991"/>
      <c r="MT267" s="1991"/>
      <c r="MU267" s="1991"/>
      <c r="MV267" s="1991"/>
      <c r="MW267" s="1991"/>
      <c r="MX267" s="1991"/>
      <c r="MY267" s="1991"/>
      <c r="MZ267" s="1991"/>
      <c r="NA267" s="1991"/>
      <c r="NB267" s="1991"/>
      <c r="NC267" s="1991"/>
      <c r="ND267" s="1991"/>
      <c r="NE267" s="1991"/>
      <c r="NF267" s="1991"/>
      <c r="NG267" s="1991"/>
      <c r="NH267" s="1991"/>
      <c r="NI267" s="1991"/>
      <c r="NJ267" s="1991"/>
      <c r="NK267" s="1991"/>
      <c r="NL267" s="29"/>
    </row>
    <row r="268" spans="1:376">
      <c r="A268" s="41">
        <f t="shared" ref="A268:A276" si="99">YEAR(B268)</f>
        <v>2048</v>
      </c>
      <c r="B268" s="785">
        <v>54302</v>
      </c>
      <c r="C268" s="19"/>
      <c r="D268" s="93"/>
      <c r="E268" s="93"/>
      <c r="F268" s="93"/>
      <c r="G268" s="93"/>
      <c r="H268" s="93"/>
      <c r="I268" s="93"/>
      <c r="J268" s="93"/>
      <c r="K268" s="93"/>
      <c r="L268" s="93"/>
      <c r="M268" s="20"/>
      <c r="N268" s="25"/>
      <c r="O268" s="889">
        <f t="shared" si="98"/>
        <v>2048</v>
      </c>
      <c r="P268" s="29" t="str">
        <f t="shared" ref="P268:P276" si="100">CONCATENATE(IF(MONTH(Q268)&lt;4,"Trimestre 1",IF(MONTH(Q268)&lt;7,"Trimestre 2",IF(MONTH(Q268)&lt;10,"Trimestre 3","Trimestre 4"))),YEAR(Q268))</f>
        <v>Trimestre 32048</v>
      </c>
      <c r="Q268" s="848">
        <v>54302</v>
      </c>
      <c r="R268" s="733"/>
      <c r="S268" s="570"/>
      <c r="T268" s="570"/>
      <c r="U268" s="734"/>
      <c r="V268" s="25"/>
      <c r="W268" s="19"/>
      <c r="X268" s="93"/>
      <c r="Y268" s="93"/>
      <c r="Z268" s="93"/>
      <c r="AA268" s="93"/>
      <c r="AB268" s="93"/>
      <c r="AC268" s="93"/>
      <c r="AD268" s="93"/>
      <c r="AE268" s="20"/>
      <c r="AF268" s="25"/>
      <c r="AG268" s="19"/>
      <c r="AH268" s="93"/>
      <c r="AI268" s="93"/>
      <c r="AJ268" s="93"/>
      <c r="AK268" s="93"/>
      <c r="AL268" s="93"/>
      <c r="AM268" s="93"/>
      <c r="AN268" s="20"/>
      <c r="AO268" s="19"/>
      <c r="AP268" s="93"/>
      <c r="AQ268" s="93"/>
      <c r="AR268" s="93"/>
      <c r="AS268" s="20"/>
      <c r="AT268" s="19"/>
      <c r="AU268" s="93"/>
      <c r="AV268" s="20"/>
      <c r="AW268" s="19"/>
      <c r="AX268" s="93"/>
      <c r="AY268" s="93"/>
      <c r="AZ268" s="93"/>
      <c r="BA268" s="93"/>
      <c r="BB268" s="93"/>
      <c r="BC268" s="20"/>
      <c r="BD268" s="19"/>
      <c r="BE268" s="93"/>
      <c r="BF268" s="93"/>
      <c r="BG268" s="93"/>
      <c r="BH268" s="93"/>
      <c r="BI268" s="93"/>
      <c r="BJ268" s="93"/>
      <c r="BK268" s="20"/>
      <c r="BL268" s="19"/>
      <c r="BM268" s="93"/>
      <c r="BN268" s="93"/>
      <c r="BO268" s="93"/>
      <c r="BP268" s="93"/>
      <c r="BQ268" s="20"/>
      <c r="BR268" s="19"/>
      <c r="BS268" s="93"/>
      <c r="BT268" s="93"/>
      <c r="BU268" s="20"/>
      <c r="BV268" s="19"/>
      <c r="BW268" s="93"/>
      <c r="BX268" s="93"/>
      <c r="BY268" s="93"/>
      <c r="BZ268" s="93"/>
      <c r="CA268" s="93"/>
      <c r="CB268" s="20"/>
      <c r="CC268" s="25"/>
      <c r="CD268" s="19"/>
      <c r="CE268" s="93"/>
      <c r="CF268" s="20"/>
      <c r="CG268" s="25"/>
      <c r="CH268" s="19"/>
      <c r="CI268" s="93"/>
      <c r="CJ268" s="93"/>
      <c r="CK268" s="93"/>
      <c r="CL268" s="93"/>
      <c r="CM268" s="93"/>
      <c r="CN268" s="93"/>
      <c r="CO268" s="93"/>
      <c r="CP268" s="93"/>
      <c r="CQ268" s="93"/>
      <c r="CR268" s="214"/>
      <c r="CS268" s="20"/>
      <c r="CT268" s="25"/>
      <c r="CU268" s="19"/>
      <c r="CV268" s="93"/>
      <c r="CW268" s="93"/>
      <c r="CX268" s="93"/>
      <c r="CY268" s="93"/>
      <c r="CZ268" s="93"/>
      <c r="DA268" s="93"/>
      <c r="DB268" s="20"/>
      <c r="DC268" s="25"/>
      <c r="DD268" s="785">
        <v>54302</v>
      </c>
      <c r="DE268" s="19"/>
      <c r="DF268" s="20"/>
      <c r="DG268" s="25"/>
      <c r="DH268" s="19"/>
      <c r="DI268" s="20"/>
      <c r="DJ268" s="25"/>
      <c r="DK268" s="19"/>
      <c r="DL268" s="20"/>
      <c r="DM268" s="19"/>
      <c r="DN268" s="20"/>
      <c r="DO268" s="25"/>
      <c r="DP268" s="19"/>
      <c r="DQ268" s="93"/>
      <c r="DR268" s="20"/>
      <c r="DS268" s="25"/>
      <c r="DT268" s="19"/>
      <c r="DU268" s="93"/>
      <c r="DV268" s="20"/>
      <c r="DW268" s="25"/>
      <c r="DX268" s="19"/>
      <c r="DY268" s="20"/>
      <c r="DZ268" s="25"/>
      <c r="EA268" s="19"/>
      <c r="EB268" s="93"/>
      <c r="EC268" s="93"/>
      <c r="ED268" s="93"/>
      <c r="EE268" s="20"/>
      <c r="EF268" s="25"/>
      <c r="EG268" s="19"/>
      <c r="EH268" s="93"/>
      <c r="EI268" s="93"/>
      <c r="EJ268" s="93"/>
      <c r="EK268" s="20"/>
      <c r="EL268" s="25"/>
      <c r="EM268" s="19"/>
      <c r="EN268" s="93"/>
      <c r="EO268" s="93"/>
      <c r="EP268" s="93"/>
      <c r="EQ268" s="93"/>
      <c r="ER268" s="93"/>
      <c r="ES268" s="93"/>
      <c r="ET268" s="93"/>
      <c r="EU268" s="93"/>
      <c r="EV268" s="20"/>
      <c r="EW268" s="25"/>
      <c r="EX268" s="915"/>
      <c r="EY268" s="916"/>
      <c r="EZ268" s="916"/>
      <c r="FA268" s="916"/>
      <c r="FB268" s="916"/>
      <c r="FC268" s="916"/>
      <c r="FD268" s="916"/>
      <c r="FE268" s="916"/>
      <c r="FF268" s="916"/>
      <c r="FG268" s="917"/>
      <c r="FH268" s="25"/>
      <c r="FI268" s="848">
        <v>54302</v>
      </c>
      <c r="FJ268" s="19"/>
      <c r="FK268" s="93"/>
      <c r="FL268" s="20"/>
      <c r="FM268" s="25"/>
      <c r="FN268" s="19"/>
      <c r="FO268" s="93"/>
      <c r="FP268" s="93"/>
      <c r="FQ268" s="93"/>
      <c r="FR268" s="93"/>
      <c r="FS268" s="93"/>
      <c r="FT268" s="93"/>
      <c r="FU268" s="93"/>
      <c r="FV268" s="93"/>
      <c r="FW268" s="917"/>
      <c r="FX268" s="25"/>
      <c r="FY268" s="916"/>
      <c r="FZ268" s="916"/>
      <c r="GA268" s="916"/>
      <c r="GB268" s="916"/>
      <c r="GC268" s="916"/>
      <c r="GD268" s="916"/>
      <c r="GE268" s="916"/>
      <c r="GF268" s="916"/>
      <c r="GG268" s="916"/>
      <c r="GH268" s="916"/>
      <c r="GI268" s="917"/>
      <c r="GJ268" s="25"/>
      <c r="GK268" s="19"/>
      <c r="GL268" s="20"/>
      <c r="GM268" s="25"/>
      <c r="GN268" s="19"/>
      <c r="GO268" s="20"/>
      <c r="GP268" s="25"/>
      <c r="GQ268" s="19"/>
      <c r="GR268" s="20"/>
      <c r="GS268" s="25"/>
      <c r="GT268" s="848">
        <v>54302</v>
      </c>
      <c r="GU268" s="19"/>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848">
        <v>54302</v>
      </c>
      <c r="IX268" s="93"/>
      <c r="IY268" s="93"/>
      <c r="IZ268" s="93"/>
      <c r="JA268" s="93"/>
      <c r="JB268" s="93"/>
      <c r="JC268" s="93"/>
      <c r="JD268" s="93"/>
      <c r="JE268" s="93"/>
      <c r="JF268" s="93"/>
      <c r="JG268" s="93"/>
      <c r="JH268" s="93"/>
      <c r="JI268" s="93"/>
      <c r="JJ268" s="93"/>
      <c r="JK268" s="93"/>
      <c r="JL268" s="93"/>
      <c r="JM268" s="93"/>
      <c r="JN268" s="93"/>
      <c r="JO268" s="93"/>
      <c r="JP268" s="93"/>
      <c r="JQ268" s="93"/>
      <c r="JR268" s="93"/>
      <c r="JS268" s="93"/>
      <c r="JT268" s="20"/>
      <c r="JU268" s="29"/>
      <c r="JV268" s="19"/>
      <c r="JW268" s="93"/>
      <c r="JX268" s="93"/>
      <c r="JY268" s="93"/>
      <c r="JZ268" s="93"/>
      <c r="KA268" s="93"/>
      <c r="KB268" s="93"/>
      <c r="KC268" s="93"/>
      <c r="KD268" s="93"/>
      <c r="KE268" s="93"/>
      <c r="KF268" s="93"/>
      <c r="KG268" s="93"/>
      <c r="KH268" s="93"/>
      <c r="KI268" s="93"/>
      <c r="KJ268" s="93"/>
      <c r="KK268" s="93"/>
      <c r="KL268" s="93"/>
      <c r="KM268" s="93"/>
      <c r="KN268" s="93"/>
      <c r="KO268" s="93"/>
      <c r="KP268" s="93"/>
      <c r="KQ268" s="93"/>
      <c r="KR268" s="93"/>
      <c r="KS268" s="93"/>
      <c r="KT268" s="93"/>
      <c r="KU268" s="93"/>
      <c r="KV268" s="93"/>
      <c r="KW268" s="20"/>
      <c r="KX268" s="29"/>
      <c r="KY268" s="19"/>
      <c r="KZ268" s="93"/>
      <c r="LA268" s="93"/>
      <c r="LB268" s="93"/>
      <c r="LC268" s="93"/>
      <c r="LD268" s="93"/>
      <c r="LE268" s="93"/>
      <c r="LF268" s="93"/>
      <c r="LG268" s="93"/>
      <c r="LH268" s="93"/>
      <c r="LI268" s="93"/>
      <c r="LJ268" s="93"/>
      <c r="LK268" s="93"/>
      <c r="LL268" s="93"/>
      <c r="LM268" s="93"/>
      <c r="LN268" s="93"/>
      <c r="LO268" s="93"/>
      <c r="LP268" s="93"/>
      <c r="LQ268" s="93"/>
      <c r="LR268" s="93"/>
      <c r="LS268" s="93"/>
      <c r="LT268" s="93"/>
      <c r="LU268" s="93"/>
      <c r="LV268" s="93"/>
      <c r="LW268" s="93"/>
      <c r="LX268" s="93"/>
      <c r="LY268" s="93"/>
      <c r="LZ268" s="93"/>
      <c r="MA268" s="93"/>
      <c r="MB268" s="93"/>
      <c r="MC268" s="93"/>
      <c r="MD268" s="93"/>
      <c r="ME268" s="93"/>
      <c r="MF268" s="93"/>
      <c r="MG268" s="93"/>
      <c r="MH268" s="20"/>
      <c r="MI268" s="29"/>
      <c r="MJ268" s="29" t="str">
        <f t="shared" ref="MJ268:MJ276" si="101">CONCATENATE(IF(MONTH(MK268)&lt;4,"Trimestre 1",IF(MONTH(MK268)&lt;7,"Trimestre 2",IF(MONTH(MK268)&lt;10,"Trimestre 3","Trimestre 4"))),YEAR(MK268))</f>
        <v>Trimestre 32048</v>
      </c>
      <c r="MK268" s="848">
        <v>54302</v>
      </c>
      <c r="ML268" s="1991"/>
      <c r="MM268" s="1991"/>
      <c r="MN268" s="1991"/>
      <c r="MO268" s="1991"/>
      <c r="MP268" s="1991"/>
      <c r="MQ268" s="1991"/>
      <c r="MR268" s="1991"/>
      <c r="MS268" s="1991"/>
      <c r="MT268" s="1991"/>
      <c r="MU268" s="1991"/>
      <c r="MV268" s="1991"/>
      <c r="MW268" s="1991"/>
      <c r="MX268" s="1991"/>
      <c r="MY268" s="1991"/>
      <c r="MZ268" s="1991"/>
      <c r="NA268" s="1991"/>
      <c r="NB268" s="1991"/>
      <c r="NC268" s="1991"/>
      <c r="ND268" s="1991"/>
      <c r="NE268" s="1991"/>
      <c r="NF268" s="1991"/>
      <c r="NG268" s="1991"/>
      <c r="NH268" s="1991"/>
      <c r="NI268" s="1991"/>
      <c r="NJ268" s="1991"/>
      <c r="NK268" s="1991"/>
      <c r="NL268" s="29"/>
    </row>
    <row r="269" spans="1:376">
      <c r="A269" s="41">
        <f t="shared" si="99"/>
        <v>2048</v>
      </c>
      <c r="B269" s="785">
        <v>54393</v>
      </c>
      <c r="C269" s="19"/>
      <c r="D269" s="93"/>
      <c r="E269" s="93"/>
      <c r="F269" s="93"/>
      <c r="G269" s="93"/>
      <c r="H269" s="93"/>
      <c r="I269" s="93"/>
      <c r="J269" s="93"/>
      <c r="K269" s="93"/>
      <c r="L269" s="93"/>
      <c r="M269" s="20"/>
      <c r="N269" s="25"/>
      <c r="O269" s="889">
        <f t="shared" si="98"/>
        <v>2048</v>
      </c>
      <c r="P269" s="29" t="str">
        <f t="shared" si="100"/>
        <v>Trimestre 42048</v>
      </c>
      <c r="Q269" s="848">
        <v>54393</v>
      </c>
      <c r="R269" s="733"/>
      <c r="S269" s="570"/>
      <c r="T269" s="570"/>
      <c r="U269" s="734"/>
      <c r="V269" s="25"/>
      <c r="W269" s="19"/>
      <c r="X269" s="93"/>
      <c r="Y269" s="93"/>
      <c r="Z269" s="93"/>
      <c r="AA269" s="93"/>
      <c r="AB269" s="93"/>
      <c r="AC269" s="93"/>
      <c r="AD269" s="93"/>
      <c r="AE269" s="20"/>
      <c r="AF269" s="25"/>
      <c r="AG269" s="19"/>
      <c r="AH269" s="93"/>
      <c r="AI269" s="93"/>
      <c r="AJ269" s="93"/>
      <c r="AK269" s="93"/>
      <c r="AL269" s="93"/>
      <c r="AM269" s="93"/>
      <c r="AN269" s="20"/>
      <c r="AO269" s="19"/>
      <c r="AP269" s="93"/>
      <c r="AQ269" s="93"/>
      <c r="AR269" s="93"/>
      <c r="AS269" s="20"/>
      <c r="AT269" s="19"/>
      <c r="AU269" s="93"/>
      <c r="AV269" s="20"/>
      <c r="AW269" s="19"/>
      <c r="AX269" s="93"/>
      <c r="AY269" s="93"/>
      <c r="AZ269" s="93"/>
      <c r="BA269" s="93"/>
      <c r="BB269" s="93"/>
      <c r="BC269" s="20"/>
      <c r="BD269" s="19"/>
      <c r="BE269" s="93"/>
      <c r="BF269" s="93"/>
      <c r="BG269" s="93"/>
      <c r="BH269" s="93"/>
      <c r="BI269" s="93"/>
      <c r="BJ269" s="93"/>
      <c r="BK269" s="20"/>
      <c r="BL269" s="19"/>
      <c r="BM269" s="93"/>
      <c r="BN269" s="93"/>
      <c r="BO269" s="93"/>
      <c r="BP269" s="93"/>
      <c r="BQ269" s="20"/>
      <c r="BR269" s="19"/>
      <c r="BS269" s="93"/>
      <c r="BT269" s="93"/>
      <c r="BU269" s="20"/>
      <c r="BV269" s="19"/>
      <c r="BW269" s="93"/>
      <c r="BX269" s="93"/>
      <c r="BY269" s="93"/>
      <c r="BZ269" s="93"/>
      <c r="CA269" s="93"/>
      <c r="CB269" s="20"/>
      <c r="CC269" s="25"/>
      <c r="CD269" s="19"/>
      <c r="CE269" s="93"/>
      <c r="CF269" s="20"/>
      <c r="CG269" s="25"/>
      <c r="CH269" s="19"/>
      <c r="CI269" s="93"/>
      <c r="CJ269" s="93"/>
      <c r="CK269" s="93"/>
      <c r="CL269" s="93"/>
      <c r="CM269" s="93"/>
      <c r="CN269" s="93"/>
      <c r="CO269" s="93"/>
      <c r="CP269" s="93"/>
      <c r="CQ269" s="93"/>
      <c r="CR269" s="214"/>
      <c r="CS269" s="20"/>
      <c r="CT269" s="25"/>
      <c r="CU269" s="19"/>
      <c r="CV269" s="93"/>
      <c r="CW269" s="93"/>
      <c r="CX269" s="93"/>
      <c r="CY269" s="93"/>
      <c r="CZ269" s="93"/>
      <c r="DA269" s="93"/>
      <c r="DB269" s="20"/>
      <c r="DC269" s="25"/>
      <c r="DD269" s="785">
        <v>54393</v>
      </c>
      <c r="DE269" s="19"/>
      <c r="DF269" s="20"/>
      <c r="DG269" s="25"/>
      <c r="DH269" s="19"/>
      <c r="DI269" s="20"/>
      <c r="DJ269" s="25"/>
      <c r="DK269" s="19"/>
      <c r="DL269" s="20"/>
      <c r="DM269" s="19"/>
      <c r="DN269" s="20"/>
      <c r="DO269" s="25"/>
      <c r="DP269" s="19"/>
      <c r="DQ269" s="93"/>
      <c r="DR269" s="20"/>
      <c r="DS269" s="25"/>
      <c r="DT269" s="19"/>
      <c r="DU269" s="93"/>
      <c r="DV269" s="20"/>
      <c r="DW269" s="25"/>
      <c r="DX269" s="19"/>
      <c r="DY269" s="20"/>
      <c r="DZ269" s="25"/>
      <c r="EA269" s="19"/>
      <c r="EB269" s="93"/>
      <c r="EC269" s="93"/>
      <c r="ED269" s="93"/>
      <c r="EE269" s="20"/>
      <c r="EF269" s="25"/>
      <c r="EG269" s="19"/>
      <c r="EH269" s="93"/>
      <c r="EI269" s="93"/>
      <c r="EJ269" s="93"/>
      <c r="EK269" s="20"/>
      <c r="EL269" s="25"/>
      <c r="EM269" s="19"/>
      <c r="EN269" s="93"/>
      <c r="EO269" s="93"/>
      <c r="EP269" s="93"/>
      <c r="EQ269" s="93"/>
      <c r="ER269" s="93"/>
      <c r="ES269" s="93"/>
      <c r="ET269" s="93"/>
      <c r="EU269" s="93"/>
      <c r="EV269" s="20"/>
      <c r="EW269" s="25"/>
      <c r="EX269" s="915"/>
      <c r="EY269" s="916"/>
      <c r="EZ269" s="916"/>
      <c r="FA269" s="916"/>
      <c r="FB269" s="916"/>
      <c r="FC269" s="916"/>
      <c r="FD269" s="916"/>
      <c r="FE269" s="916"/>
      <c r="FF269" s="916"/>
      <c r="FG269" s="917"/>
      <c r="FH269" s="25"/>
      <c r="FI269" s="848">
        <v>54393</v>
      </c>
      <c r="FJ269" s="19"/>
      <c r="FK269" s="93"/>
      <c r="FL269" s="20"/>
      <c r="FM269" s="25"/>
      <c r="FN269" s="19"/>
      <c r="FO269" s="93"/>
      <c r="FP269" s="93"/>
      <c r="FQ269" s="93"/>
      <c r="FR269" s="93"/>
      <c r="FS269" s="93"/>
      <c r="FT269" s="93"/>
      <c r="FU269" s="93"/>
      <c r="FV269" s="93"/>
      <c r="FW269" s="917"/>
      <c r="FX269" s="25"/>
      <c r="FY269" s="916"/>
      <c r="FZ269" s="916"/>
      <c r="GA269" s="916"/>
      <c r="GB269" s="916"/>
      <c r="GC269" s="916"/>
      <c r="GD269" s="916"/>
      <c r="GE269" s="916"/>
      <c r="GF269" s="916"/>
      <c r="GG269" s="916"/>
      <c r="GH269" s="916"/>
      <c r="GI269" s="917"/>
      <c r="GJ269" s="25"/>
      <c r="GK269" s="19"/>
      <c r="GL269" s="20"/>
      <c r="GM269" s="25"/>
      <c r="GN269" s="19"/>
      <c r="GO269" s="20"/>
      <c r="GP269" s="25"/>
      <c r="GQ269" s="19"/>
      <c r="GR269" s="20"/>
      <c r="GS269" s="25"/>
      <c r="GT269" s="848">
        <v>54393</v>
      </c>
      <c r="GU269" s="19"/>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848">
        <v>54393</v>
      </c>
      <c r="IX269" s="93"/>
      <c r="IY269" s="93"/>
      <c r="IZ269" s="93"/>
      <c r="JA269" s="93"/>
      <c r="JB269" s="93"/>
      <c r="JC269" s="93"/>
      <c r="JD269" s="93"/>
      <c r="JE269" s="93"/>
      <c r="JF269" s="93"/>
      <c r="JG269" s="93"/>
      <c r="JH269" s="93"/>
      <c r="JI269" s="93"/>
      <c r="JJ269" s="93"/>
      <c r="JK269" s="93"/>
      <c r="JL269" s="93"/>
      <c r="JM269" s="93"/>
      <c r="JN269" s="93"/>
      <c r="JO269" s="93"/>
      <c r="JP269" s="93"/>
      <c r="JQ269" s="93"/>
      <c r="JR269" s="93"/>
      <c r="JS269" s="93"/>
      <c r="JT269" s="20"/>
      <c r="JU269" s="29"/>
      <c r="JV269" s="19"/>
      <c r="JW269" s="93"/>
      <c r="JX269" s="93"/>
      <c r="JY269" s="93"/>
      <c r="JZ269" s="93"/>
      <c r="KA269" s="93"/>
      <c r="KB269" s="93"/>
      <c r="KC269" s="93"/>
      <c r="KD269" s="93"/>
      <c r="KE269" s="93"/>
      <c r="KF269" s="93"/>
      <c r="KG269" s="93"/>
      <c r="KH269" s="93"/>
      <c r="KI269" s="93"/>
      <c r="KJ269" s="93"/>
      <c r="KK269" s="93"/>
      <c r="KL269" s="93"/>
      <c r="KM269" s="93"/>
      <c r="KN269" s="93"/>
      <c r="KO269" s="93"/>
      <c r="KP269" s="93"/>
      <c r="KQ269" s="93"/>
      <c r="KR269" s="93"/>
      <c r="KS269" s="93"/>
      <c r="KT269" s="93"/>
      <c r="KU269" s="93"/>
      <c r="KV269" s="93"/>
      <c r="KW269" s="20"/>
      <c r="KX269" s="29"/>
      <c r="KY269" s="19"/>
      <c r="KZ269" s="93"/>
      <c r="LA269" s="93"/>
      <c r="LB269" s="93"/>
      <c r="LC269" s="93"/>
      <c r="LD269" s="93"/>
      <c r="LE269" s="93"/>
      <c r="LF269" s="93"/>
      <c r="LG269" s="93"/>
      <c r="LH269" s="93"/>
      <c r="LI269" s="93"/>
      <c r="LJ269" s="93"/>
      <c r="LK269" s="93"/>
      <c r="LL269" s="93"/>
      <c r="LM269" s="93"/>
      <c r="LN269" s="93"/>
      <c r="LO269" s="93"/>
      <c r="LP269" s="93"/>
      <c r="LQ269" s="93"/>
      <c r="LR269" s="93"/>
      <c r="LS269" s="93"/>
      <c r="LT269" s="93"/>
      <c r="LU269" s="93"/>
      <c r="LV269" s="93"/>
      <c r="LW269" s="93"/>
      <c r="LX269" s="93"/>
      <c r="LY269" s="93"/>
      <c r="LZ269" s="93"/>
      <c r="MA269" s="93"/>
      <c r="MB269" s="93"/>
      <c r="MC269" s="93"/>
      <c r="MD269" s="93"/>
      <c r="ME269" s="93"/>
      <c r="MF269" s="93"/>
      <c r="MG269" s="93"/>
      <c r="MH269" s="20"/>
      <c r="MI269" s="29"/>
      <c r="MJ269" s="29" t="str">
        <f t="shared" si="101"/>
        <v>Trimestre 42048</v>
      </c>
      <c r="MK269" s="848">
        <v>54393</v>
      </c>
      <c r="ML269" s="1991"/>
      <c r="MM269" s="1991"/>
      <c r="MN269" s="1991"/>
      <c r="MO269" s="1991"/>
      <c r="MP269" s="1991"/>
      <c r="MQ269" s="1991"/>
      <c r="MR269" s="1991"/>
      <c r="MS269" s="1991"/>
      <c r="MT269" s="1991"/>
      <c r="MU269" s="1991"/>
      <c r="MV269" s="1991"/>
      <c r="MW269" s="1991"/>
      <c r="MX269" s="1991"/>
      <c r="MY269" s="1991"/>
      <c r="MZ269" s="1991"/>
      <c r="NA269" s="1991"/>
      <c r="NB269" s="1991"/>
      <c r="NC269" s="1991"/>
      <c r="ND269" s="1991"/>
      <c r="NE269" s="1991"/>
      <c r="NF269" s="1991"/>
      <c r="NG269" s="1991"/>
      <c r="NH269" s="1991"/>
      <c r="NI269" s="1991"/>
      <c r="NJ269" s="1991"/>
      <c r="NK269" s="1991"/>
      <c r="NL269" s="29"/>
    </row>
    <row r="270" spans="1:376">
      <c r="A270" s="41">
        <f t="shared" si="99"/>
        <v>2049</v>
      </c>
      <c r="B270" s="785">
        <v>54483</v>
      </c>
      <c r="C270" s="19"/>
      <c r="D270" s="93"/>
      <c r="E270" s="93"/>
      <c r="F270" s="93"/>
      <c r="G270" s="93"/>
      <c r="H270" s="93"/>
      <c r="I270" s="93"/>
      <c r="J270" s="93"/>
      <c r="K270" s="93"/>
      <c r="L270" s="93"/>
      <c r="M270" s="20"/>
      <c r="N270" s="25"/>
      <c r="O270" s="889">
        <f t="shared" si="98"/>
        <v>2049</v>
      </c>
      <c r="P270" s="29" t="str">
        <f t="shared" si="100"/>
        <v>Trimestre 12049</v>
      </c>
      <c r="Q270" s="848">
        <v>54483</v>
      </c>
      <c r="R270" s="733"/>
      <c r="S270" s="570"/>
      <c r="T270" s="570"/>
      <c r="U270" s="734"/>
      <c r="V270" s="25"/>
      <c r="W270" s="19"/>
      <c r="X270" s="93"/>
      <c r="Y270" s="93"/>
      <c r="Z270" s="93"/>
      <c r="AA270" s="93"/>
      <c r="AB270" s="93"/>
      <c r="AC270" s="93"/>
      <c r="AD270" s="93"/>
      <c r="AE270" s="20"/>
      <c r="AF270" s="25"/>
      <c r="AG270" s="19"/>
      <c r="AH270" s="93"/>
      <c r="AI270" s="93"/>
      <c r="AJ270" s="93"/>
      <c r="AK270" s="93"/>
      <c r="AL270" s="93"/>
      <c r="AM270" s="93"/>
      <c r="AN270" s="20"/>
      <c r="AO270" s="19"/>
      <c r="AP270" s="93"/>
      <c r="AQ270" s="93"/>
      <c r="AR270" s="93"/>
      <c r="AS270" s="20"/>
      <c r="AT270" s="19"/>
      <c r="AU270" s="93"/>
      <c r="AV270" s="20"/>
      <c r="AW270" s="19"/>
      <c r="AX270" s="93"/>
      <c r="AY270" s="93"/>
      <c r="AZ270" s="93"/>
      <c r="BA270" s="93"/>
      <c r="BB270" s="93"/>
      <c r="BC270" s="20"/>
      <c r="BD270" s="19"/>
      <c r="BE270" s="93"/>
      <c r="BF270" s="93"/>
      <c r="BG270" s="93"/>
      <c r="BH270" s="93"/>
      <c r="BI270" s="93"/>
      <c r="BJ270" s="93"/>
      <c r="BK270" s="20"/>
      <c r="BL270" s="19"/>
      <c r="BM270" s="93"/>
      <c r="BN270" s="93"/>
      <c r="BO270" s="93"/>
      <c r="BP270" s="93"/>
      <c r="BQ270" s="20"/>
      <c r="BR270" s="19"/>
      <c r="BS270" s="93"/>
      <c r="BT270" s="93"/>
      <c r="BU270" s="20"/>
      <c r="BV270" s="19"/>
      <c r="BW270" s="93"/>
      <c r="BX270" s="93"/>
      <c r="BY270" s="93"/>
      <c r="BZ270" s="93"/>
      <c r="CA270" s="93"/>
      <c r="CB270" s="20"/>
      <c r="CC270" s="25"/>
      <c r="CD270" s="19"/>
      <c r="CE270" s="93"/>
      <c r="CF270" s="20"/>
      <c r="CG270" s="25"/>
      <c r="CH270" s="19"/>
      <c r="CI270" s="93"/>
      <c r="CJ270" s="93"/>
      <c r="CK270" s="93"/>
      <c r="CL270" s="93"/>
      <c r="CM270" s="93"/>
      <c r="CN270" s="93"/>
      <c r="CO270" s="93"/>
      <c r="CP270" s="93"/>
      <c r="CQ270" s="93"/>
      <c r="CR270" s="214"/>
      <c r="CS270" s="20"/>
      <c r="CT270" s="25"/>
      <c r="CU270" s="19"/>
      <c r="CV270" s="93"/>
      <c r="CW270" s="93"/>
      <c r="CX270" s="93"/>
      <c r="CY270" s="93"/>
      <c r="CZ270" s="93"/>
      <c r="DA270" s="93"/>
      <c r="DB270" s="20"/>
      <c r="DC270" s="25"/>
      <c r="DD270" s="785">
        <v>54483</v>
      </c>
      <c r="DE270" s="19"/>
      <c r="DF270" s="20"/>
      <c r="DG270" s="25"/>
      <c r="DH270" s="19"/>
      <c r="DI270" s="20"/>
      <c r="DJ270" s="25"/>
      <c r="DK270" s="19"/>
      <c r="DL270" s="20"/>
      <c r="DM270" s="19"/>
      <c r="DN270" s="20"/>
      <c r="DO270" s="25"/>
      <c r="DP270" s="19"/>
      <c r="DQ270" s="93"/>
      <c r="DR270" s="20"/>
      <c r="DS270" s="25"/>
      <c r="DT270" s="19"/>
      <c r="DU270" s="93"/>
      <c r="DV270" s="20"/>
      <c r="DW270" s="25"/>
      <c r="DX270" s="19"/>
      <c r="DY270" s="20"/>
      <c r="DZ270" s="25"/>
      <c r="EA270" s="19"/>
      <c r="EB270" s="93"/>
      <c r="EC270" s="93"/>
      <c r="ED270" s="93"/>
      <c r="EE270" s="20"/>
      <c r="EF270" s="25"/>
      <c r="EG270" s="19"/>
      <c r="EH270" s="93"/>
      <c r="EI270" s="93"/>
      <c r="EJ270" s="93"/>
      <c r="EK270" s="20"/>
      <c r="EL270" s="25"/>
      <c r="EM270" s="19"/>
      <c r="EN270" s="93"/>
      <c r="EO270" s="93"/>
      <c r="EP270" s="93"/>
      <c r="EQ270" s="93"/>
      <c r="ER270" s="93"/>
      <c r="ES270" s="93"/>
      <c r="ET270" s="93"/>
      <c r="EU270" s="93"/>
      <c r="EV270" s="20"/>
      <c r="EW270" s="25"/>
      <c r="EX270" s="915"/>
      <c r="EY270" s="916"/>
      <c r="EZ270" s="916"/>
      <c r="FA270" s="916"/>
      <c r="FB270" s="916"/>
      <c r="FC270" s="916"/>
      <c r="FD270" s="916"/>
      <c r="FE270" s="916"/>
      <c r="FF270" s="916"/>
      <c r="FG270" s="917"/>
      <c r="FH270" s="25"/>
      <c r="FI270" s="848">
        <v>54483</v>
      </c>
      <c r="FJ270" s="19"/>
      <c r="FK270" s="93"/>
      <c r="FL270" s="20"/>
      <c r="FM270" s="25"/>
      <c r="FN270" s="19"/>
      <c r="FO270" s="93"/>
      <c r="FP270" s="93"/>
      <c r="FQ270" s="93"/>
      <c r="FR270" s="93"/>
      <c r="FS270" s="93"/>
      <c r="FT270" s="93"/>
      <c r="FU270" s="93"/>
      <c r="FV270" s="93"/>
      <c r="FW270" s="917"/>
      <c r="FX270" s="25"/>
      <c r="FY270" s="916"/>
      <c r="FZ270" s="916"/>
      <c r="GA270" s="916"/>
      <c r="GB270" s="916"/>
      <c r="GC270" s="916"/>
      <c r="GD270" s="916"/>
      <c r="GE270" s="916"/>
      <c r="GF270" s="916"/>
      <c r="GG270" s="916"/>
      <c r="GH270" s="916"/>
      <c r="GI270" s="917"/>
      <c r="GJ270" s="25"/>
      <c r="GK270" s="19"/>
      <c r="GL270" s="20"/>
      <c r="GM270" s="25"/>
      <c r="GN270" s="19"/>
      <c r="GO270" s="20"/>
      <c r="GP270" s="25"/>
      <c r="GQ270" s="19"/>
      <c r="GR270" s="20"/>
      <c r="GS270" s="25"/>
      <c r="GT270" s="848">
        <v>54483</v>
      </c>
      <c r="GU270" s="19"/>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848">
        <v>54483</v>
      </c>
      <c r="IX270" s="93"/>
      <c r="IY270" s="93"/>
      <c r="IZ270" s="93"/>
      <c r="JA270" s="93"/>
      <c r="JB270" s="93"/>
      <c r="JC270" s="93"/>
      <c r="JD270" s="93"/>
      <c r="JE270" s="93"/>
      <c r="JF270" s="93"/>
      <c r="JG270" s="93"/>
      <c r="JH270" s="93"/>
      <c r="JI270" s="93"/>
      <c r="JJ270" s="93"/>
      <c r="JK270" s="93"/>
      <c r="JL270" s="93"/>
      <c r="JM270" s="93"/>
      <c r="JN270" s="93"/>
      <c r="JO270" s="93"/>
      <c r="JP270" s="93"/>
      <c r="JQ270" s="93"/>
      <c r="JR270" s="93"/>
      <c r="JS270" s="93"/>
      <c r="JT270" s="20"/>
      <c r="JU270" s="29"/>
      <c r="JV270" s="19"/>
      <c r="JW270" s="93"/>
      <c r="JX270" s="93"/>
      <c r="JY270" s="93"/>
      <c r="JZ270" s="93"/>
      <c r="KA270" s="93"/>
      <c r="KB270" s="93"/>
      <c r="KC270" s="93"/>
      <c r="KD270" s="93"/>
      <c r="KE270" s="93"/>
      <c r="KF270" s="93"/>
      <c r="KG270" s="93"/>
      <c r="KH270" s="93"/>
      <c r="KI270" s="93"/>
      <c r="KJ270" s="93"/>
      <c r="KK270" s="93"/>
      <c r="KL270" s="93"/>
      <c r="KM270" s="93"/>
      <c r="KN270" s="93"/>
      <c r="KO270" s="93"/>
      <c r="KP270" s="93"/>
      <c r="KQ270" s="93"/>
      <c r="KR270" s="93"/>
      <c r="KS270" s="93"/>
      <c r="KT270" s="93"/>
      <c r="KU270" s="93"/>
      <c r="KV270" s="93"/>
      <c r="KW270" s="20"/>
      <c r="KX270" s="29"/>
      <c r="KY270" s="19"/>
      <c r="KZ270" s="93"/>
      <c r="LA270" s="93"/>
      <c r="LB270" s="93"/>
      <c r="LC270" s="93"/>
      <c r="LD270" s="93"/>
      <c r="LE270" s="93"/>
      <c r="LF270" s="93"/>
      <c r="LG270" s="93"/>
      <c r="LH270" s="93"/>
      <c r="LI270" s="93"/>
      <c r="LJ270" s="93"/>
      <c r="LK270" s="93"/>
      <c r="LL270" s="93"/>
      <c r="LM270" s="93"/>
      <c r="LN270" s="93"/>
      <c r="LO270" s="93"/>
      <c r="LP270" s="93"/>
      <c r="LQ270" s="93"/>
      <c r="LR270" s="93"/>
      <c r="LS270" s="93"/>
      <c r="LT270" s="93"/>
      <c r="LU270" s="93"/>
      <c r="LV270" s="93"/>
      <c r="LW270" s="93"/>
      <c r="LX270" s="93"/>
      <c r="LY270" s="93"/>
      <c r="LZ270" s="93"/>
      <c r="MA270" s="93"/>
      <c r="MB270" s="93"/>
      <c r="MC270" s="93"/>
      <c r="MD270" s="93"/>
      <c r="ME270" s="93"/>
      <c r="MF270" s="93"/>
      <c r="MG270" s="93"/>
      <c r="MH270" s="20"/>
      <c r="MI270" s="29"/>
      <c r="MJ270" s="29" t="str">
        <f t="shared" si="101"/>
        <v>Trimestre 12049</v>
      </c>
      <c r="MK270" s="848">
        <v>54483</v>
      </c>
      <c r="ML270" s="1991"/>
      <c r="MM270" s="1991"/>
      <c r="MN270" s="1991"/>
      <c r="MO270" s="1991"/>
      <c r="MP270" s="1991"/>
      <c r="MQ270" s="1991"/>
      <c r="MR270" s="1991"/>
      <c r="MS270" s="1991"/>
      <c r="MT270" s="1991"/>
      <c r="MU270" s="1991"/>
      <c r="MV270" s="1991"/>
      <c r="MW270" s="1991"/>
      <c r="MX270" s="1991"/>
      <c r="MY270" s="1991"/>
      <c r="MZ270" s="1991"/>
      <c r="NA270" s="1991"/>
      <c r="NB270" s="1991"/>
      <c r="NC270" s="1991"/>
      <c r="ND270" s="1991"/>
      <c r="NE270" s="1991"/>
      <c r="NF270" s="1991"/>
      <c r="NG270" s="1991"/>
      <c r="NH270" s="1991"/>
      <c r="NI270" s="1991"/>
      <c r="NJ270" s="1991"/>
      <c r="NK270" s="1991"/>
      <c r="NL270" s="29"/>
    </row>
    <row r="271" spans="1:376">
      <c r="A271" s="41">
        <f t="shared" si="99"/>
        <v>2049</v>
      </c>
      <c r="B271" s="785">
        <v>54575</v>
      </c>
      <c r="C271" s="19"/>
      <c r="D271" s="93"/>
      <c r="E271" s="93"/>
      <c r="F271" s="93"/>
      <c r="G271" s="93"/>
      <c r="H271" s="93"/>
      <c r="I271" s="93"/>
      <c r="J271" s="93"/>
      <c r="K271" s="93"/>
      <c r="L271" s="93"/>
      <c r="M271" s="20"/>
      <c r="N271" s="25"/>
      <c r="O271" s="889">
        <f t="shared" si="98"/>
        <v>2049</v>
      </c>
      <c r="P271" s="29" t="str">
        <f t="shared" si="100"/>
        <v>Trimestre 22049</v>
      </c>
      <c r="Q271" s="848">
        <v>54575</v>
      </c>
      <c r="R271" s="733"/>
      <c r="S271" s="570"/>
      <c r="T271" s="570"/>
      <c r="U271" s="734"/>
      <c r="V271" s="25"/>
      <c r="W271" s="19"/>
      <c r="X271" s="93"/>
      <c r="Y271" s="93"/>
      <c r="Z271" s="93"/>
      <c r="AA271" s="93"/>
      <c r="AB271" s="93"/>
      <c r="AC271" s="93"/>
      <c r="AD271" s="93"/>
      <c r="AE271" s="20"/>
      <c r="AF271" s="25"/>
      <c r="AG271" s="19"/>
      <c r="AH271" s="93"/>
      <c r="AI271" s="93"/>
      <c r="AJ271" s="93"/>
      <c r="AK271" s="93"/>
      <c r="AL271" s="93"/>
      <c r="AM271" s="93"/>
      <c r="AN271" s="20"/>
      <c r="AO271" s="19"/>
      <c r="AP271" s="93"/>
      <c r="AQ271" s="93"/>
      <c r="AR271" s="93"/>
      <c r="AS271" s="20"/>
      <c r="AT271" s="19"/>
      <c r="AU271" s="93"/>
      <c r="AV271" s="20"/>
      <c r="AW271" s="19"/>
      <c r="AX271" s="93"/>
      <c r="AY271" s="93"/>
      <c r="AZ271" s="93"/>
      <c r="BA271" s="93"/>
      <c r="BB271" s="93"/>
      <c r="BC271" s="20"/>
      <c r="BD271" s="19"/>
      <c r="BE271" s="93"/>
      <c r="BF271" s="93"/>
      <c r="BG271" s="93"/>
      <c r="BH271" s="93"/>
      <c r="BI271" s="93"/>
      <c r="BJ271" s="93"/>
      <c r="BK271" s="20"/>
      <c r="BL271" s="19"/>
      <c r="BM271" s="93"/>
      <c r="BN271" s="93"/>
      <c r="BO271" s="93"/>
      <c r="BP271" s="93"/>
      <c r="BQ271" s="20"/>
      <c r="BR271" s="19"/>
      <c r="BS271" s="93"/>
      <c r="BT271" s="93"/>
      <c r="BU271" s="20"/>
      <c r="BV271" s="19"/>
      <c r="BW271" s="93"/>
      <c r="BX271" s="93"/>
      <c r="BY271" s="93"/>
      <c r="BZ271" s="93"/>
      <c r="CA271" s="93"/>
      <c r="CB271" s="20"/>
      <c r="CC271" s="25"/>
      <c r="CD271" s="19"/>
      <c r="CE271" s="93"/>
      <c r="CF271" s="20"/>
      <c r="CG271" s="25"/>
      <c r="CH271" s="19"/>
      <c r="CI271" s="93"/>
      <c r="CJ271" s="93"/>
      <c r="CK271" s="93"/>
      <c r="CL271" s="93"/>
      <c r="CM271" s="93"/>
      <c r="CN271" s="93"/>
      <c r="CO271" s="93"/>
      <c r="CP271" s="93"/>
      <c r="CQ271" s="93"/>
      <c r="CR271" s="214"/>
      <c r="CS271" s="20"/>
      <c r="CT271" s="25"/>
      <c r="CU271" s="19"/>
      <c r="CV271" s="93"/>
      <c r="CW271" s="93"/>
      <c r="CX271" s="93"/>
      <c r="CY271" s="93"/>
      <c r="CZ271" s="93"/>
      <c r="DA271" s="93"/>
      <c r="DB271" s="20"/>
      <c r="DC271" s="25"/>
      <c r="DD271" s="785">
        <v>54575</v>
      </c>
      <c r="DE271" s="19"/>
      <c r="DF271" s="20"/>
      <c r="DG271" s="25"/>
      <c r="DH271" s="19"/>
      <c r="DI271" s="20"/>
      <c r="DJ271" s="25"/>
      <c r="DK271" s="19"/>
      <c r="DL271" s="20"/>
      <c r="DM271" s="19"/>
      <c r="DN271" s="20"/>
      <c r="DO271" s="25"/>
      <c r="DP271" s="19"/>
      <c r="DQ271" s="93"/>
      <c r="DR271" s="20"/>
      <c r="DS271" s="25"/>
      <c r="DT271" s="19"/>
      <c r="DU271" s="93"/>
      <c r="DV271" s="20"/>
      <c r="DW271" s="25"/>
      <c r="DX271" s="19"/>
      <c r="DY271" s="20"/>
      <c r="DZ271" s="25"/>
      <c r="EA271" s="19"/>
      <c r="EB271" s="93"/>
      <c r="EC271" s="93"/>
      <c r="ED271" s="93"/>
      <c r="EE271" s="20"/>
      <c r="EF271" s="25"/>
      <c r="EG271" s="19"/>
      <c r="EH271" s="93"/>
      <c r="EI271" s="93"/>
      <c r="EJ271" s="93"/>
      <c r="EK271" s="20"/>
      <c r="EL271" s="25"/>
      <c r="EM271" s="19"/>
      <c r="EN271" s="93"/>
      <c r="EO271" s="93"/>
      <c r="EP271" s="93"/>
      <c r="EQ271" s="93"/>
      <c r="ER271" s="93"/>
      <c r="ES271" s="93"/>
      <c r="ET271" s="93"/>
      <c r="EU271" s="93"/>
      <c r="EV271" s="20"/>
      <c r="EW271" s="25"/>
      <c r="EX271" s="915"/>
      <c r="EY271" s="916"/>
      <c r="EZ271" s="916"/>
      <c r="FA271" s="916"/>
      <c r="FB271" s="916"/>
      <c r="FC271" s="916"/>
      <c r="FD271" s="916"/>
      <c r="FE271" s="916"/>
      <c r="FF271" s="916"/>
      <c r="FG271" s="917"/>
      <c r="FH271" s="25"/>
      <c r="FI271" s="848">
        <v>54575</v>
      </c>
      <c r="FJ271" s="19"/>
      <c r="FK271" s="93"/>
      <c r="FL271" s="20"/>
      <c r="FM271" s="25"/>
      <c r="FN271" s="19"/>
      <c r="FO271" s="93"/>
      <c r="FP271" s="93"/>
      <c r="FQ271" s="93"/>
      <c r="FR271" s="93"/>
      <c r="FS271" s="93"/>
      <c r="FT271" s="93"/>
      <c r="FU271" s="93"/>
      <c r="FV271" s="93"/>
      <c r="FW271" s="917"/>
      <c r="FX271" s="25"/>
      <c r="FY271" s="916"/>
      <c r="FZ271" s="916"/>
      <c r="GA271" s="916"/>
      <c r="GB271" s="916"/>
      <c r="GC271" s="916"/>
      <c r="GD271" s="916"/>
      <c r="GE271" s="916"/>
      <c r="GF271" s="916"/>
      <c r="GG271" s="916"/>
      <c r="GH271" s="916"/>
      <c r="GI271" s="917"/>
      <c r="GJ271" s="25"/>
      <c r="GK271" s="19"/>
      <c r="GL271" s="20"/>
      <c r="GM271" s="25"/>
      <c r="GN271" s="19"/>
      <c r="GO271" s="20"/>
      <c r="GP271" s="25"/>
      <c r="GQ271" s="19"/>
      <c r="GR271" s="20"/>
      <c r="GS271" s="25"/>
      <c r="GT271" s="848">
        <v>54575</v>
      </c>
      <c r="GU271" s="19"/>
      <c r="GV271" s="93"/>
      <c r="GW271" s="93"/>
      <c r="GX271" s="93"/>
      <c r="GY271" s="93"/>
      <c r="GZ271" s="93"/>
      <c r="HA271" s="93"/>
      <c r="HB271" s="93"/>
      <c r="HC271" s="93"/>
      <c r="HD271" s="93"/>
      <c r="HE271" s="93"/>
      <c r="HF271" s="93"/>
      <c r="HG271" s="93"/>
      <c r="HH271" s="93"/>
      <c r="HI271" s="93"/>
      <c r="HJ271" s="93"/>
      <c r="HK271" s="93"/>
      <c r="HL271" s="93"/>
      <c r="HM271" s="93"/>
      <c r="HN271" s="93"/>
      <c r="HO271" s="93"/>
      <c r="HP271" s="93"/>
      <c r="HQ271" s="93"/>
      <c r="HR271" s="93"/>
      <c r="HS271" s="93"/>
      <c r="HT271" s="93"/>
      <c r="HU271" s="93"/>
      <c r="HV271" s="93"/>
      <c r="HW271" s="93"/>
      <c r="HX271" s="93"/>
      <c r="HY271" s="93"/>
      <c r="HZ271" s="93"/>
      <c r="IA271" s="93"/>
      <c r="IB271" s="93"/>
      <c r="IC271" s="93"/>
      <c r="ID271" s="93"/>
      <c r="IE271" s="93"/>
      <c r="IF271" s="93"/>
      <c r="IG271" s="93"/>
      <c r="IH271" s="93"/>
      <c r="II271" s="93"/>
      <c r="IJ271" s="93"/>
      <c r="IK271" s="93"/>
      <c r="IL271" s="93"/>
      <c r="IM271" s="93"/>
      <c r="IN271" s="93"/>
      <c r="IO271" s="93"/>
      <c r="IP271" s="93"/>
      <c r="IQ271" s="93"/>
      <c r="IR271" s="93"/>
      <c r="IS271" s="93"/>
      <c r="IT271" s="93"/>
      <c r="IU271" s="93"/>
      <c r="IV271" s="93"/>
      <c r="IW271" s="848">
        <v>54575</v>
      </c>
      <c r="IX271" s="93"/>
      <c r="IY271" s="93"/>
      <c r="IZ271" s="93"/>
      <c r="JA271" s="93"/>
      <c r="JB271" s="93"/>
      <c r="JC271" s="93"/>
      <c r="JD271" s="93"/>
      <c r="JE271" s="93"/>
      <c r="JF271" s="93"/>
      <c r="JG271" s="93"/>
      <c r="JH271" s="93"/>
      <c r="JI271" s="93"/>
      <c r="JJ271" s="93"/>
      <c r="JK271" s="93"/>
      <c r="JL271" s="93"/>
      <c r="JM271" s="93"/>
      <c r="JN271" s="93"/>
      <c r="JO271" s="93"/>
      <c r="JP271" s="93"/>
      <c r="JQ271" s="93"/>
      <c r="JR271" s="93"/>
      <c r="JS271" s="93"/>
      <c r="JT271" s="20"/>
      <c r="JU271" s="29"/>
      <c r="JV271" s="19"/>
      <c r="JW271" s="93"/>
      <c r="JX271" s="93"/>
      <c r="JY271" s="93"/>
      <c r="JZ271" s="93"/>
      <c r="KA271" s="93"/>
      <c r="KB271" s="93"/>
      <c r="KC271" s="93"/>
      <c r="KD271" s="93"/>
      <c r="KE271" s="93"/>
      <c r="KF271" s="93"/>
      <c r="KG271" s="93"/>
      <c r="KH271" s="93"/>
      <c r="KI271" s="93"/>
      <c r="KJ271" s="93"/>
      <c r="KK271" s="93"/>
      <c r="KL271" s="93"/>
      <c r="KM271" s="93"/>
      <c r="KN271" s="93"/>
      <c r="KO271" s="93"/>
      <c r="KP271" s="93"/>
      <c r="KQ271" s="93"/>
      <c r="KR271" s="93"/>
      <c r="KS271" s="93"/>
      <c r="KT271" s="93"/>
      <c r="KU271" s="93"/>
      <c r="KV271" s="93"/>
      <c r="KW271" s="20"/>
      <c r="KX271" s="29"/>
      <c r="KY271" s="19"/>
      <c r="KZ271" s="93"/>
      <c r="LA271" s="93"/>
      <c r="LB271" s="93"/>
      <c r="LC271" s="93"/>
      <c r="LD271" s="93"/>
      <c r="LE271" s="93"/>
      <c r="LF271" s="93"/>
      <c r="LG271" s="93"/>
      <c r="LH271" s="93"/>
      <c r="LI271" s="93"/>
      <c r="LJ271" s="93"/>
      <c r="LK271" s="93"/>
      <c r="LL271" s="93"/>
      <c r="LM271" s="93"/>
      <c r="LN271" s="93"/>
      <c r="LO271" s="93"/>
      <c r="LP271" s="93"/>
      <c r="LQ271" s="93"/>
      <c r="LR271" s="93"/>
      <c r="LS271" s="93"/>
      <c r="LT271" s="93"/>
      <c r="LU271" s="93"/>
      <c r="LV271" s="93"/>
      <c r="LW271" s="93"/>
      <c r="LX271" s="93"/>
      <c r="LY271" s="93"/>
      <c r="LZ271" s="93"/>
      <c r="MA271" s="93"/>
      <c r="MB271" s="93"/>
      <c r="MC271" s="93"/>
      <c r="MD271" s="93"/>
      <c r="ME271" s="93"/>
      <c r="MF271" s="93"/>
      <c r="MG271" s="93"/>
      <c r="MH271" s="20"/>
      <c r="MI271" s="29"/>
      <c r="MJ271" s="29" t="str">
        <f t="shared" si="101"/>
        <v>Trimestre 22049</v>
      </c>
      <c r="MK271" s="848">
        <v>54575</v>
      </c>
      <c r="ML271" s="1991"/>
      <c r="MM271" s="1991"/>
      <c r="MN271" s="1991"/>
      <c r="MO271" s="1991"/>
      <c r="MP271" s="1991"/>
      <c r="MQ271" s="1991"/>
      <c r="MR271" s="1991"/>
      <c r="MS271" s="1991"/>
      <c r="MT271" s="1991"/>
      <c r="MU271" s="1991"/>
      <c r="MV271" s="1991"/>
      <c r="MW271" s="1991"/>
      <c r="MX271" s="1991"/>
      <c r="MY271" s="1991"/>
      <c r="MZ271" s="1991"/>
      <c r="NA271" s="1991"/>
      <c r="NB271" s="1991"/>
      <c r="NC271" s="1991"/>
      <c r="ND271" s="1991"/>
      <c r="NE271" s="1991"/>
      <c r="NF271" s="1991"/>
      <c r="NG271" s="1991"/>
      <c r="NH271" s="1991"/>
      <c r="NI271" s="1991"/>
      <c r="NJ271" s="1991"/>
      <c r="NK271" s="1991"/>
      <c r="NL271" s="29"/>
    </row>
    <row r="272" spans="1:376">
      <c r="A272" s="41">
        <f t="shared" si="99"/>
        <v>2049</v>
      </c>
      <c r="B272" s="785">
        <v>54667</v>
      </c>
      <c r="C272" s="19"/>
      <c r="D272" s="93"/>
      <c r="E272" s="93"/>
      <c r="F272" s="93"/>
      <c r="G272" s="93"/>
      <c r="H272" s="93"/>
      <c r="I272" s="93"/>
      <c r="J272" s="93"/>
      <c r="K272" s="93"/>
      <c r="L272" s="93"/>
      <c r="M272" s="20"/>
      <c r="N272" s="25"/>
      <c r="O272" s="889">
        <f t="shared" si="98"/>
        <v>2049</v>
      </c>
      <c r="P272" s="29" t="str">
        <f t="shared" si="100"/>
        <v>Trimestre 32049</v>
      </c>
      <c r="Q272" s="848">
        <v>54667</v>
      </c>
      <c r="R272" s="733"/>
      <c r="S272" s="570"/>
      <c r="T272" s="570"/>
      <c r="U272" s="734"/>
      <c r="V272" s="25"/>
      <c r="W272" s="19"/>
      <c r="X272" s="93"/>
      <c r="Y272" s="93"/>
      <c r="Z272" s="93"/>
      <c r="AA272" s="93"/>
      <c r="AB272" s="93"/>
      <c r="AC272" s="93"/>
      <c r="AD272" s="93"/>
      <c r="AE272" s="20"/>
      <c r="AF272" s="25"/>
      <c r="AG272" s="19"/>
      <c r="AH272" s="93"/>
      <c r="AI272" s="93"/>
      <c r="AJ272" s="93"/>
      <c r="AK272" s="93"/>
      <c r="AL272" s="93"/>
      <c r="AM272" s="93"/>
      <c r="AN272" s="20"/>
      <c r="AO272" s="19"/>
      <c r="AP272" s="93"/>
      <c r="AQ272" s="93"/>
      <c r="AR272" s="93"/>
      <c r="AS272" s="20"/>
      <c r="AT272" s="19"/>
      <c r="AU272" s="93"/>
      <c r="AV272" s="20"/>
      <c r="AW272" s="19"/>
      <c r="AX272" s="93"/>
      <c r="AY272" s="93"/>
      <c r="AZ272" s="93"/>
      <c r="BA272" s="93"/>
      <c r="BB272" s="93"/>
      <c r="BC272" s="20"/>
      <c r="BD272" s="19"/>
      <c r="BE272" s="93"/>
      <c r="BF272" s="93"/>
      <c r="BG272" s="93"/>
      <c r="BH272" s="93"/>
      <c r="BI272" s="93"/>
      <c r="BJ272" s="93"/>
      <c r="BK272" s="20"/>
      <c r="BL272" s="19"/>
      <c r="BM272" s="93"/>
      <c r="BN272" s="93"/>
      <c r="BO272" s="93"/>
      <c r="BP272" s="93"/>
      <c r="BQ272" s="20"/>
      <c r="BR272" s="19"/>
      <c r="BS272" s="93"/>
      <c r="BT272" s="93"/>
      <c r="BU272" s="20"/>
      <c r="BV272" s="19"/>
      <c r="BW272" s="93"/>
      <c r="BX272" s="93"/>
      <c r="BY272" s="93"/>
      <c r="BZ272" s="93"/>
      <c r="CA272" s="93"/>
      <c r="CB272" s="20"/>
      <c r="CC272" s="25"/>
      <c r="CD272" s="19"/>
      <c r="CE272" s="93"/>
      <c r="CF272" s="20"/>
      <c r="CG272" s="25"/>
      <c r="CH272" s="19"/>
      <c r="CI272" s="93"/>
      <c r="CJ272" s="93"/>
      <c r="CK272" s="93"/>
      <c r="CL272" s="93"/>
      <c r="CM272" s="93"/>
      <c r="CN272" s="93"/>
      <c r="CO272" s="93"/>
      <c r="CP272" s="93"/>
      <c r="CQ272" s="93"/>
      <c r="CR272" s="214"/>
      <c r="CS272" s="20"/>
      <c r="CT272" s="25"/>
      <c r="CU272" s="19"/>
      <c r="CV272" s="93"/>
      <c r="CW272" s="93"/>
      <c r="CX272" s="93"/>
      <c r="CY272" s="93"/>
      <c r="CZ272" s="93"/>
      <c r="DA272" s="93"/>
      <c r="DB272" s="20"/>
      <c r="DC272" s="25"/>
      <c r="DD272" s="785">
        <v>54667</v>
      </c>
      <c r="DE272" s="19"/>
      <c r="DF272" s="20"/>
      <c r="DG272" s="25"/>
      <c r="DH272" s="19"/>
      <c r="DI272" s="20"/>
      <c r="DJ272" s="25"/>
      <c r="DK272" s="19"/>
      <c r="DL272" s="20"/>
      <c r="DM272" s="19"/>
      <c r="DN272" s="20"/>
      <c r="DO272" s="25"/>
      <c r="DP272" s="19"/>
      <c r="DQ272" s="93"/>
      <c r="DR272" s="20"/>
      <c r="DS272" s="25"/>
      <c r="DT272" s="19"/>
      <c r="DU272" s="93"/>
      <c r="DV272" s="20"/>
      <c r="DW272" s="25"/>
      <c r="DX272" s="19"/>
      <c r="DY272" s="20"/>
      <c r="DZ272" s="25"/>
      <c r="EA272" s="19"/>
      <c r="EB272" s="93"/>
      <c r="EC272" s="93"/>
      <c r="ED272" s="93"/>
      <c r="EE272" s="20"/>
      <c r="EF272" s="25"/>
      <c r="EG272" s="19"/>
      <c r="EH272" s="93"/>
      <c r="EI272" s="93"/>
      <c r="EJ272" s="93"/>
      <c r="EK272" s="20"/>
      <c r="EL272" s="25"/>
      <c r="EM272" s="19"/>
      <c r="EN272" s="93"/>
      <c r="EO272" s="93"/>
      <c r="EP272" s="93"/>
      <c r="EQ272" s="93"/>
      <c r="ER272" s="93"/>
      <c r="ES272" s="93"/>
      <c r="ET272" s="93"/>
      <c r="EU272" s="93"/>
      <c r="EV272" s="20"/>
      <c r="EW272" s="25"/>
      <c r="EX272" s="915"/>
      <c r="EY272" s="916"/>
      <c r="EZ272" s="916"/>
      <c r="FA272" s="916"/>
      <c r="FB272" s="916"/>
      <c r="FC272" s="916"/>
      <c r="FD272" s="916"/>
      <c r="FE272" s="916"/>
      <c r="FF272" s="916"/>
      <c r="FG272" s="917"/>
      <c r="FH272" s="25"/>
      <c r="FI272" s="848">
        <v>54667</v>
      </c>
      <c r="FJ272" s="19"/>
      <c r="FK272" s="93"/>
      <c r="FL272" s="20"/>
      <c r="FM272" s="25"/>
      <c r="FN272" s="19"/>
      <c r="FO272" s="93"/>
      <c r="FP272" s="93"/>
      <c r="FQ272" s="93"/>
      <c r="FR272" s="93"/>
      <c r="FS272" s="93"/>
      <c r="FT272" s="93"/>
      <c r="FU272" s="93"/>
      <c r="FV272" s="93"/>
      <c r="FW272" s="917"/>
      <c r="FX272" s="25"/>
      <c r="FY272" s="916"/>
      <c r="FZ272" s="916"/>
      <c r="GA272" s="916"/>
      <c r="GB272" s="916"/>
      <c r="GC272" s="916"/>
      <c r="GD272" s="916"/>
      <c r="GE272" s="916"/>
      <c r="GF272" s="916"/>
      <c r="GG272" s="916"/>
      <c r="GH272" s="916"/>
      <c r="GI272" s="917"/>
      <c r="GJ272" s="25"/>
      <c r="GK272" s="19"/>
      <c r="GL272" s="20"/>
      <c r="GM272" s="25"/>
      <c r="GN272" s="19"/>
      <c r="GO272" s="20"/>
      <c r="GP272" s="25"/>
      <c r="GQ272" s="19"/>
      <c r="GR272" s="20"/>
      <c r="GS272" s="25"/>
      <c r="GT272" s="848">
        <v>54667</v>
      </c>
      <c r="GU272" s="19"/>
      <c r="GV272" s="93"/>
      <c r="GW272" s="93"/>
      <c r="GX272" s="93"/>
      <c r="GY272" s="93"/>
      <c r="GZ272" s="93"/>
      <c r="HA272" s="93"/>
      <c r="HB272" s="93"/>
      <c r="HC272" s="93"/>
      <c r="HD272" s="93"/>
      <c r="HE272" s="93"/>
      <c r="HF272" s="93"/>
      <c r="HG272" s="93"/>
      <c r="HH272" s="93"/>
      <c r="HI272" s="93"/>
      <c r="HJ272" s="93"/>
      <c r="HK272" s="93"/>
      <c r="HL272" s="93"/>
      <c r="HM272" s="93"/>
      <c r="HN272" s="93"/>
      <c r="HO272" s="93"/>
      <c r="HP272" s="93"/>
      <c r="HQ272" s="93"/>
      <c r="HR272" s="93"/>
      <c r="HS272" s="93"/>
      <c r="HT272" s="93"/>
      <c r="HU272" s="93"/>
      <c r="HV272" s="93"/>
      <c r="HW272" s="93"/>
      <c r="HX272" s="93"/>
      <c r="HY272" s="93"/>
      <c r="HZ272" s="93"/>
      <c r="IA272" s="93"/>
      <c r="IB272" s="93"/>
      <c r="IC272" s="93"/>
      <c r="ID272" s="93"/>
      <c r="IE272" s="93"/>
      <c r="IF272" s="93"/>
      <c r="IG272" s="93"/>
      <c r="IH272" s="93"/>
      <c r="II272" s="93"/>
      <c r="IJ272" s="93"/>
      <c r="IK272" s="93"/>
      <c r="IL272" s="93"/>
      <c r="IM272" s="93"/>
      <c r="IN272" s="93"/>
      <c r="IO272" s="93"/>
      <c r="IP272" s="93"/>
      <c r="IQ272" s="93"/>
      <c r="IR272" s="93"/>
      <c r="IS272" s="93"/>
      <c r="IT272" s="93"/>
      <c r="IU272" s="93"/>
      <c r="IV272" s="93"/>
      <c r="IW272" s="848">
        <v>54667</v>
      </c>
      <c r="IX272" s="93"/>
      <c r="IY272" s="93"/>
      <c r="IZ272" s="93"/>
      <c r="JA272" s="93"/>
      <c r="JB272" s="93"/>
      <c r="JC272" s="93"/>
      <c r="JD272" s="93"/>
      <c r="JE272" s="93"/>
      <c r="JF272" s="93"/>
      <c r="JG272" s="93"/>
      <c r="JH272" s="93"/>
      <c r="JI272" s="93"/>
      <c r="JJ272" s="93"/>
      <c r="JK272" s="93"/>
      <c r="JL272" s="93"/>
      <c r="JM272" s="93"/>
      <c r="JN272" s="93"/>
      <c r="JO272" s="93"/>
      <c r="JP272" s="93"/>
      <c r="JQ272" s="93"/>
      <c r="JR272" s="93"/>
      <c r="JS272" s="93"/>
      <c r="JT272" s="20"/>
      <c r="JU272" s="29"/>
      <c r="JV272" s="19"/>
      <c r="JW272" s="93"/>
      <c r="JX272" s="93"/>
      <c r="JY272" s="93"/>
      <c r="JZ272" s="93"/>
      <c r="KA272" s="93"/>
      <c r="KB272" s="93"/>
      <c r="KC272" s="93"/>
      <c r="KD272" s="93"/>
      <c r="KE272" s="93"/>
      <c r="KF272" s="93"/>
      <c r="KG272" s="93"/>
      <c r="KH272" s="93"/>
      <c r="KI272" s="93"/>
      <c r="KJ272" s="93"/>
      <c r="KK272" s="93"/>
      <c r="KL272" s="93"/>
      <c r="KM272" s="93"/>
      <c r="KN272" s="93"/>
      <c r="KO272" s="93"/>
      <c r="KP272" s="93"/>
      <c r="KQ272" s="93"/>
      <c r="KR272" s="93"/>
      <c r="KS272" s="93"/>
      <c r="KT272" s="93"/>
      <c r="KU272" s="93"/>
      <c r="KV272" s="93"/>
      <c r="KW272" s="20"/>
      <c r="KX272" s="29"/>
      <c r="KY272" s="19"/>
      <c r="KZ272" s="93"/>
      <c r="LA272" s="93"/>
      <c r="LB272" s="93"/>
      <c r="LC272" s="93"/>
      <c r="LD272" s="93"/>
      <c r="LE272" s="93"/>
      <c r="LF272" s="93"/>
      <c r="LG272" s="93"/>
      <c r="LH272" s="93"/>
      <c r="LI272" s="93"/>
      <c r="LJ272" s="93"/>
      <c r="LK272" s="93"/>
      <c r="LL272" s="93"/>
      <c r="LM272" s="93"/>
      <c r="LN272" s="93"/>
      <c r="LO272" s="93"/>
      <c r="LP272" s="93"/>
      <c r="LQ272" s="93"/>
      <c r="LR272" s="93"/>
      <c r="LS272" s="93"/>
      <c r="LT272" s="93"/>
      <c r="LU272" s="93"/>
      <c r="LV272" s="93"/>
      <c r="LW272" s="93"/>
      <c r="LX272" s="93"/>
      <c r="LY272" s="93"/>
      <c r="LZ272" s="93"/>
      <c r="MA272" s="93"/>
      <c r="MB272" s="93"/>
      <c r="MC272" s="93"/>
      <c r="MD272" s="93"/>
      <c r="ME272" s="93"/>
      <c r="MF272" s="93"/>
      <c r="MG272" s="93"/>
      <c r="MH272" s="20"/>
      <c r="MI272" s="29"/>
      <c r="MJ272" s="29" t="str">
        <f t="shared" si="101"/>
        <v>Trimestre 32049</v>
      </c>
      <c r="MK272" s="848">
        <v>54667</v>
      </c>
      <c r="ML272" s="1991"/>
      <c r="MM272" s="1991"/>
      <c r="MN272" s="1991"/>
      <c r="MO272" s="1991"/>
      <c r="MP272" s="1991"/>
      <c r="MQ272" s="1991"/>
      <c r="MR272" s="1991"/>
      <c r="MS272" s="1991"/>
      <c r="MT272" s="1991"/>
      <c r="MU272" s="1991"/>
      <c r="MV272" s="1991"/>
      <c r="MW272" s="1991"/>
      <c r="MX272" s="1991"/>
      <c r="MY272" s="1991"/>
      <c r="MZ272" s="1991"/>
      <c r="NA272" s="1991"/>
      <c r="NB272" s="1991"/>
      <c r="NC272" s="1991"/>
      <c r="ND272" s="1991"/>
      <c r="NE272" s="1991"/>
      <c r="NF272" s="1991"/>
      <c r="NG272" s="1991"/>
      <c r="NH272" s="1991"/>
      <c r="NI272" s="1991"/>
      <c r="NJ272" s="1991"/>
      <c r="NK272" s="1991"/>
      <c r="NL272" s="29"/>
    </row>
    <row r="273" spans="1:376">
      <c r="A273" s="41">
        <f t="shared" si="99"/>
        <v>2049</v>
      </c>
      <c r="B273" s="785">
        <v>54758</v>
      </c>
      <c r="C273" s="19"/>
      <c r="D273" s="93"/>
      <c r="E273" s="93"/>
      <c r="F273" s="93"/>
      <c r="G273" s="93"/>
      <c r="H273" s="93"/>
      <c r="I273" s="93"/>
      <c r="J273" s="93"/>
      <c r="K273" s="93"/>
      <c r="L273" s="93"/>
      <c r="M273" s="20"/>
      <c r="N273" s="25"/>
      <c r="O273" s="889">
        <f t="shared" si="98"/>
        <v>2049</v>
      </c>
      <c r="P273" s="29" t="str">
        <f t="shared" si="100"/>
        <v>Trimestre 42049</v>
      </c>
      <c r="Q273" s="848">
        <v>54758</v>
      </c>
      <c r="R273" s="733"/>
      <c r="S273" s="570"/>
      <c r="T273" s="570"/>
      <c r="U273" s="734"/>
      <c r="V273" s="25"/>
      <c r="W273" s="19"/>
      <c r="X273" s="93"/>
      <c r="Y273" s="93"/>
      <c r="Z273" s="93"/>
      <c r="AA273" s="93"/>
      <c r="AB273" s="93"/>
      <c r="AC273" s="93"/>
      <c r="AD273" s="93"/>
      <c r="AE273" s="20"/>
      <c r="AF273" s="25"/>
      <c r="AG273" s="19"/>
      <c r="AH273" s="93"/>
      <c r="AI273" s="93"/>
      <c r="AJ273" s="93"/>
      <c r="AK273" s="93"/>
      <c r="AL273" s="93"/>
      <c r="AM273" s="93"/>
      <c r="AN273" s="20"/>
      <c r="AO273" s="19"/>
      <c r="AP273" s="93"/>
      <c r="AQ273" s="93"/>
      <c r="AR273" s="93"/>
      <c r="AS273" s="20"/>
      <c r="AT273" s="19"/>
      <c r="AU273" s="93"/>
      <c r="AV273" s="20"/>
      <c r="AW273" s="19"/>
      <c r="AX273" s="93"/>
      <c r="AY273" s="93"/>
      <c r="AZ273" s="93"/>
      <c r="BA273" s="93"/>
      <c r="BB273" s="93"/>
      <c r="BC273" s="20"/>
      <c r="BD273" s="19"/>
      <c r="BE273" s="93"/>
      <c r="BF273" s="93"/>
      <c r="BG273" s="93"/>
      <c r="BH273" s="93"/>
      <c r="BI273" s="93"/>
      <c r="BJ273" s="93"/>
      <c r="BK273" s="20"/>
      <c r="BL273" s="19"/>
      <c r="BM273" s="93"/>
      <c r="BN273" s="93"/>
      <c r="BO273" s="93"/>
      <c r="BP273" s="93"/>
      <c r="BQ273" s="20"/>
      <c r="BR273" s="19"/>
      <c r="BS273" s="93"/>
      <c r="BT273" s="93"/>
      <c r="BU273" s="20"/>
      <c r="BV273" s="19"/>
      <c r="BW273" s="93"/>
      <c r="BX273" s="93"/>
      <c r="BY273" s="93"/>
      <c r="BZ273" s="93"/>
      <c r="CA273" s="93"/>
      <c r="CB273" s="20"/>
      <c r="CC273" s="25"/>
      <c r="CD273" s="19"/>
      <c r="CE273" s="93"/>
      <c r="CF273" s="20"/>
      <c r="CG273" s="25"/>
      <c r="CH273" s="19"/>
      <c r="CI273" s="93"/>
      <c r="CJ273" s="93"/>
      <c r="CK273" s="93"/>
      <c r="CL273" s="93"/>
      <c r="CM273" s="93"/>
      <c r="CN273" s="93"/>
      <c r="CO273" s="93"/>
      <c r="CP273" s="93"/>
      <c r="CQ273" s="93"/>
      <c r="CR273" s="214"/>
      <c r="CS273" s="20"/>
      <c r="CT273" s="25"/>
      <c r="CU273" s="19"/>
      <c r="CV273" s="93"/>
      <c r="CW273" s="93"/>
      <c r="CX273" s="93"/>
      <c r="CY273" s="93"/>
      <c r="CZ273" s="93"/>
      <c r="DA273" s="93"/>
      <c r="DB273" s="20"/>
      <c r="DC273" s="25"/>
      <c r="DD273" s="785">
        <v>54758</v>
      </c>
      <c r="DE273" s="19"/>
      <c r="DF273" s="20"/>
      <c r="DG273" s="25"/>
      <c r="DH273" s="19"/>
      <c r="DI273" s="20"/>
      <c r="DJ273" s="25"/>
      <c r="DK273" s="19"/>
      <c r="DL273" s="20"/>
      <c r="DM273" s="19"/>
      <c r="DN273" s="20"/>
      <c r="DO273" s="25"/>
      <c r="DP273" s="19"/>
      <c r="DQ273" s="93"/>
      <c r="DR273" s="20"/>
      <c r="DS273" s="25"/>
      <c r="DT273" s="19"/>
      <c r="DU273" s="93"/>
      <c r="DV273" s="20"/>
      <c r="DW273" s="25"/>
      <c r="DX273" s="19"/>
      <c r="DY273" s="20"/>
      <c r="DZ273" s="25"/>
      <c r="EA273" s="19"/>
      <c r="EB273" s="93"/>
      <c r="EC273" s="93"/>
      <c r="ED273" s="93"/>
      <c r="EE273" s="20"/>
      <c r="EF273" s="25"/>
      <c r="EG273" s="19"/>
      <c r="EH273" s="93"/>
      <c r="EI273" s="93"/>
      <c r="EJ273" s="93"/>
      <c r="EK273" s="20"/>
      <c r="EL273" s="25"/>
      <c r="EM273" s="19"/>
      <c r="EN273" s="93"/>
      <c r="EO273" s="93"/>
      <c r="EP273" s="93"/>
      <c r="EQ273" s="93"/>
      <c r="ER273" s="93"/>
      <c r="ES273" s="93"/>
      <c r="ET273" s="93"/>
      <c r="EU273" s="93"/>
      <c r="EV273" s="20"/>
      <c r="EW273" s="25"/>
      <c r="EX273" s="915"/>
      <c r="EY273" s="916"/>
      <c r="EZ273" s="916"/>
      <c r="FA273" s="916"/>
      <c r="FB273" s="916"/>
      <c r="FC273" s="916"/>
      <c r="FD273" s="916"/>
      <c r="FE273" s="916"/>
      <c r="FF273" s="916"/>
      <c r="FG273" s="917"/>
      <c r="FH273" s="25"/>
      <c r="FI273" s="848">
        <v>54758</v>
      </c>
      <c r="FJ273" s="19"/>
      <c r="FK273" s="93"/>
      <c r="FL273" s="20"/>
      <c r="FM273" s="25"/>
      <c r="FN273" s="19"/>
      <c r="FO273" s="93"/>
      <c r="FP273" s="93"/>
      <c r="FQ273" s="93"/>
      <c r="FR273" s="93"/>
      <c r="FS273" s="93"/>
      <c r="FT273" s="93"/>
      <c r="FU273" s="93"/>
      <c r="FV273" s="93"/>
      <c r="FW273" s="917"/>
      <c r="FX273" s="25"/>
      <c r="FY273" s="916"/>
      <c r="FZ273" s="916"/>
      <c r="GA273" s="916"/>
      <c r="GB273" s="916"/>
      <c r="GC273" s="916"/>
      <c r="GD273" s="916"/>
      <c r="GE273" s="916"/>
      <c r="GF273" s="916"/>
      <c r="GG273" s="916"/>
      <c r="GH273" s="916"/>
      <c r="GI273" s="917"/>
      <c r="GJ273" s="25"/>
      <c r="GK273" s="19"/>
      <c r="GL273" s="20"/>
      <c r="GM273" s="25"/>
      <c r="GN273" s="19"/>
      <c r="GO273" s="20"/>
      <c r="GP273" s="25"/>
      <c r="GQ273" s="19"/>
      <c r="GR273" s="20"/>
      <c r="GS273" s="25"/>
      <c r="GT273" s="848">
        <v>54758</v>
      </c>
      <c r="GU273" s="19"/>
      <c r="GV273" s="93"/>
      <c r="GW273" s="93"/>
      <c r="GX273" s="93"/>
      <c r="GY273" s="93"/>
      <c r="GZ273" s="93"/>
      <c r="HA273" s="93"/>
      <c r="HB273" s="93"/>
      <c r="HC273" s="93"/>
      <c r="HD273" s="93"/>
      <c r="HE273" s="93"/>
      <c r="HF273" s="93"/>
      <c r="HG273" s="93"/>
      <c r="HH273" s="93"/>
      <c r="HI273" s="93"/>
      <c r="HJ273" s="93"/>
      <c r="HK273" s="93"/>
      <c r="HL273" s="93"/>
      <c r="HM273" s="93"/>
      <c r="HN273" s="93"/>
      <c r="HO273" s="93"/>
      <c r="HP273" s="93"/>
      <c r="HQ273" s="93"/>
      <c r="HR273" s="93"/>
      <c r="HS273" s="93"/>
      <c r="HT273" s="93"/>
      <c r="HU273" s="93"/>
      <c r="HV273" s="93"/>
      <c r="HW273" s="93"/>
      <c r="HX273" s="93"/>
      <c r="HY273" s="93"/>
      <c r="HZ273" s="93"/>
      <c r="IA273" s="93"/>
      <c r="IB273" s="93"/>
      <c r="IC273" s="93"/>
      <c r="ID273" s="93"/>
      <c r="IE273" s="93"/>
      <c r="IF273" s="93"/>
      <c r="IG273" s="93"/>
      <c r="IH273" s="93"/>
      <c r="II273" s="93"/>
      <c r="IJ273" s="93"/>
      <c r="IK273" s="93"/>
      <c r="IL273" s="93"/>
      <c r="IM273" s="93"/>
      <c r="IN273" s="93"/>
      <c r="IO273" s="93"/>
      <c r="IP273" s="93"/>
      <c r="IQ273" s="93"/>
      <c r="IR273" s="93"/>
      <c r="IS273" s="93"/>
      <c r="IT273" s="93"/>
      <c r="IU273" s="93"/>
      <c r="IV273" s="93"/>
      <c r="IW273" s="848">
        <v>54758</v>
      </c>
      <c r="IX273" s="93"/>
      <c r="IY273" s="93"/>
      <c r="IZ273" s="93"/>
      <c r="JA273" s="93"/>
      <c r="JB273" s="93"/>
      <c r="JC273" s="93"/>
      <c r="JD273" s="93"/>
      <c r="JE273" s="93"/>
      <c r="JF273" s="93"/>
      <c r="JG273" s="93"/>
      <c r="JH273" s="93"/>
      <c r="JI273" s="93"/>
      <c r="JJ273" s="93"/>
      <c r="JK273" s="93"/>
      <c r="JL273" s="93"/>
      <c r="JM273" s="93"/>
      <c r="JN273" s="93"/>
      <c r="JO273" s="93"/>
      <c r="JP273" s="93"/>
      <c r="JQ273" s="93"/>
      <c r="JR273" s="93"/>
      <c r="JS273" s="93"/>
      <c r="JT273" s="20"/>
      <c r="JU273" s="29"/>
      <c r="JV273" s="19"/>
      <c r="JW273" s="93"/>
      <c r="JX273" s="93"/>
      <c r="JY273" s="93"/>
      <c r="JZ273" s="93"/>
      <c r="KA273" s="93"/>
      <c r="KB273" s="93"/>
      <c r="KC273" s="93"/>
      <c r="KD273" s="93"/>
      <c r="KE273" s="93"/>
      <c r="KF273" s="93"/>
      <c r="KG273" s="93"/>
      <c r="KH273" s="93"/>
      <c r="KI273" s="93"/>
      <c r="KJ273" s="93"/>
      <c r="KK273" s="93"/>
      <c r="KL273" s="93"/>
      <c r="KM273" s="93"/>
      <c r="KN273" s="93"/>
      <c r="KO273" s="93"/>
      <c r="KP273" s="93"/>
      <c r="KQ273" s="93"/>
      <c r="KR273" s="93"/>
      <c r="KS273" s="93"/>
      <c r="KT273" s="93"/>
      <c r="KU273" s="93"/>
      <c r="KV273" s="93"/>
      <c r="KW273" s="20"/>
      <c r="KX273" s="29"/>
      <c r="KY273" s="19"/>
      <c r="KZ273" s="93"/>
      <c r="LA273" s="93"/>
      <c r="LB273" s="93"/>
      <c r="LC273" s="93"/>
      <c r="LD273" s="93"/>
      <c r="LE273" s="93"/>
      <c r="LF273" s="93"/>
      <c r="LG273" s="93"/>
      <c r="LH273" s="93"/>
      <c r="LI273" s="93"/>
      <c r="LJ273" s="93"/>
      <c r="LK273" s="93"/>
      <c r="LL273" s="93"/>
      <c r="LM273" s="93"/>
      <c r="LN273" s="93"/>
      <c r="LO273" s="93"/>
      <c r="LP273" s="93"/>
      <c r="LQ273" s="93"/>
      <c r="LR273" s="93"/>
      <c r="LS273" s="93"/>
      <c r="LT273" s="93"/>
      <c r="LU273" s="93"/>
      <c r="LV273" s="93"/>
      <c r="LW273" s="93"/>
      <c r="LX273" s="93"/>
      <c r="LY273" s="93"/>
      <c r="LZ273" s="93"/>
      <c r="MA273" s="93"/>
      <c r="MB273" s="93"/>
      <c r="MC273" s="93"/>
      <c r="MD273" s="93"/>
      <c r="ME273" s="93"/>
      <c r="MF273" s="93"/>
      <c r="MG273" s="93"/>
      <c r="MH273" s="20"/>
      <c r="MI273" s="29"/>
      <c r="MJ273" s="29" t="str">
        <f t="shared" si="101"/>
        <v>Trimestre 42049</v>
      </c>
      <c r="MK273" s="848">
        <v>54758</v>
      </c>
      <c r="ML273" s="1991"/>
      <c r="MM273" s="1991"/>
      <c r="MN273" s="1991"/>
      <c r="MO273" s="1991"/>
      <c r="MP273" s="1991"/>
      <c r="MQ273" s="1991"/>
      <c r="MR273" s="1991"/>
      <c r="MS273" s="1991"/>
      <c r="MT273" s="1991"/>
      <c r="MU273" s="1991"/>
      <c r="MV273" s="1991"/>
      <c r="MW273" s="1991"/>
      <c r="MX273" s="1991"/>
      <c r="MY273" s="1991"/>
      <c r="MZ273" s="1991"/>
      <c r="NA273" s="1991"/>
      <c r="NB273" s="1991"/>
      <c r="NC273" s="1991"/>
      <c r="ND273" s="1991"/>
      <c r="NE273" s="1991"/>
      <c r="NF273" s="1991"/>
      <c r="NG273" s="1991"/>
      <c r="NH273" s="1991"/>
      <c r="NI273" s="1991"/>
      <c r="NJ273" s="1991"/>
      <c r="NK273" s="1991"/>
      <c r="NL273" s="29"/>
    </row>
    <row r="274" spans="1:376">
      <c r="A274" s="41">
        <f t="shared" si="99"/>
        <v>2050</v>
      </c>
      <c r="B274" s="785">
        <v>54848</v>
      </c>
      <c r="C274" s="19"/>
      <c r="D274" s="93"/>
      <c r="E274" s="93"/>
      <c r="F274" s="93"/>
      <c r="G274" s="93"/>
      <c r="H274" s="93"/>
      <c r="I274" s="93"/>
      <c r="J274" s="93"/>
      <c r="K274" s="93"/>
      <c r="L274" s="93"/>
      <c r="M274" s="20"/>
      <c r="N274" s="25"/>
      <c r="O274" s="889">
        <f t="shared" si="98"/>
        <v>2050</v>
      </c>
      <c r="P274" s="29" t="str">
        <f t="shared" si="100"/>
        <v>Trimestre 12050</v>
      </c>
      <c r="Q274" s="848">
        <v>54848</v>
      </c>
      <c r="R274" s="733"/>
      <c r="S274" s="570"/>
      <c r="T274" s="570"/>
      <c r="U274" s="734"/>
      <c r="V274" s="25"/>
      <c r="W274" s="19"/>
      <c r="X274" s="93"/>
      <c r="Y274" s="93"/>
      <c r="Z274" s="93"/>
      <c r="AA274" s="93"/>
      <c r="AB274" s="93"/>
      <c r="AC274" s="93"/>
      <c r="AD274" s="93"/>
      <c r="AE274" s="20"/>
      <c r="AF274" s="25"/>
      <c r="AG274" s="19"/>
      <c r="AH274" s="93"/>
      <c r="AI274" s="93"/>
      <c r="AJ274" s="93"/>
      <c r="AK274" s="93"/>
      <c r="AL274" s="93"/>
      <c r="AM274" s="93"/>
      <c r="AN274" s="20"/>
      <c r="AO274" s="19"/>
      <c r="AP274" s="93"/>
      <c r="AQ274" s="93"/>
      <c r="AR274" s="93"/>
      <c r="AS274" s="20"/>
      <c r="AT274" s="19"/>
      <c r="AU274" s="93"/>
      <c r="AV274" s="20"/>
      <c r="AW274" s="19"/>
      <c r="AX274" s="93"/>
      <c r="AY274" s="93"/>
      <c r="AZ274" s="93"/>
      <c r="BA274" s="93"/>
      <c r="BB274" s="93"/>
      <c r="BC274" s="20"/>
      <c r="BD274" s="19"/>
      <c r="BE274" s="93"/>
      <c r="BF274" s="93"/>
      <c r="BG274" s="93"/>
      <c r="BH274" s="93"/>
      <c r="BI274" s="93"/>
      <c r="BJ274" s="93"/>
      <c r="BK274" s="20"/>
      <c r="BL274" s="19"/>
      <c r="BM274" s="93"/>
      <c r="BN274" s="93"/>
      <c r="BO274" s="93"/>
      <c r="BP274" s="93"/>
      <c r="BQ274" s="20"/>
      <c r="BR274" s="19"/>
      <c r="BS274" s="93"/>
      <c r="BT274" s="93"/>
      <c r="BU274" s="20"/>
      <c r="BV274" s="19"/>
      <c r="BW274" s="93"/>
      <c r="BX274" s="93"/>
      <c r="BY274" s="93"/>
      <c r="BZ274" s="93"/>
      <c r="CA274" s="93"/>
      <c r="CB274" s="20"/>
      <c r="CC274" s="25"/>
      <c r="CD274" s="19"/>
      <c r="CE274" s="93"/>
      <c r="CF274" s="20"/>
      <c r="CG274" s="25"/>
      <c r="CH274" s="19"/>
      <c r="CI274" s="93"/>
      <c r="CJ274" s="93"/>
      <c r="CK274" s="93"/>
      <c r="CL274" s="93"/>
      <c r="CM274" s="93"/>
      <c r="CN274" s="93"/>
      <c r="CO274" s="93"/>
      <c r="CP274" s="93"/>
      <c r="CQ274" s="93"/>
      <c r="CR274" s="214"/>
      <c r="CS274" s="20"/>
      <c r="CT274" s="25"/>
      <c r="CU274" s="19"/>
      <c r="CV274" s="93"/>
      <c r="CW274" s="93"/>
      <c r="CX274" s="93"/>
      <c r="CY274" s="93"/>
      <c r="CZ274" s="93"/>
      <c r="DA274" s="93"/>
      <c r="DB274" s="20"/>
      <c r="DC274" s="25"/>
      <c r="DD274" s="785">
        <v>54848</v>
      </c>
      <c r="DE274" s="19"/>
      <c r="DF274" s="20"/>
      <c r="DG274" s="25"/>
      <c r="DH274" s="19"/>
      <c r="DI274" s="20"/>
      <c r="DJ274" s="25"/>
      <c r="DK274" s="19"/>
      <c r="DL274" s="20"/>
      <c r="DM274" s="19"/>
      <c r="DN274" s="20"/>
      <c r="DO274" s="25"/>
      <c r="DP274" s="19"/>
      <c r="DQ274" s="93"/>
      <c r="DR274" s="20"/>
      <c r="DS274" s="25"/>
      <c r="DT274" s="19"/>
      <c r="DU274" s="93"/>
      <c r="DV274" s="20"/>
      <c r="DW274" s="25"/>
      <c r="DX274" s="19"/>
      <c r="DY274" s="20"/>
      <c r="DZ274" s="25"/>
      <c r="EA274" s="19"/>
      <c r="EB274" s="93"/>
      <c r="EC274" s="93"/>
      <c r="ED274" s="93"/>
      <c r="EE274" s="20"/>
      <c r="EF274" s="25"/>
      <c r="EG274" s="19"/>
      <c r="EH274" s="93"/>
      <c r="EI274" s="93"/>
      <c r="EJ274" s="93"/>
      <c r="EK274" s="20"/>
      <c r="EL274" s="25"/>
      <c r="EM274" s="19"/>
      <c r="EN274" s="93"/>
      <c r="EO274" s="93"/>
      <c r="EP274" s="93"/>
      <c r="EQ274" s="93"/>
      <c r="ER274" s="93"/>
      <c r="ES274" s="93"/>
      <c r="ET274" s="93"/>
      <c r="EU274" s="93"/>
      <c r="EV274" s="20"/>
      <c r="EW274" s="25"/>
      <c r="EX274" s="915"/>
      <c r="EY274" s="916"/>
      <c r="EZ274" s="916"/>
      <c r="FA274" s="916"/>
      <c r="FB274" s="916"/>
      <c r="FC274" s="916"/>
      <c r="FD274" s="916"/>
      <c r="FE274" s="916"/>
      <c r="FF274" s="916"/>
      <c r="FG274" s="917"/>
      <c r="FH274" s="25"/>
      <c r="FI274" s="848">
        <v>54848</v>
      </c>
      <c r="FJ274" s="19"/>
      <c r="FK274" s="93"/>
      <c r="FL274" s="20"/>
      <c r="FM274" s="25"/>
      <c r="FN274" s="19"/>
      <c r="FO274" s="93"/>
      <c r="FP274" s="93"/>
      <c r="FQ274" s="93"/>
      <c r="FR274" s="93"/>
      <c r="FS274" s="93"/>
      <c r="FT274" s="93"/>
      <c r="FU274" s="93"/>
      <c r="FV274" s="93"/>
      <c r="FW274" s="917"/>
      <c r="FX274" s="25"/>
      <c r="FY274" s="916"/>
      <c r="FZ274" s="916"/>
      <c r="GA274" s="916"/>
      <c r="GB274" s="916"/>
      <c r="GC274" s="916"/>
      <c r="GD274" s="916"/>
      <c r="GE274" s="916"/>
      <c r="GF274" s="916"/>
      <c r="GG274" s="916"/>
      <c r="GH274" s="916"/>
      <c r="GI274" s="917"/>
      <c r="GJ274" s="25"/>
      <c r="GK274" s="19"/>
      <c r="GL274" s="20"/>
      <c r="GM274" s="25"/>
      <c r="GN274" s="19"/>
      <c r="GO274" s="20"/>
      <c r="GP274" s="25"/>
      <c r="GQ274" s="19"/>
      <c r="GR274" s="20"/>
      <c r="GS274" s="25"/>
      <c r="GT274" s="848">
        <v>54848</v>
      </c>
      <c r="GU274" s="19"/>
      <c r="GV274" s="93"/>
      <c r="GW274" s="93"/>
      <c r="GX274" s="93"/>
      <c r="GY274" s="93"/>
      <c r="GZ274" s="93"/>
      <c r="HA274" s="93"/>
      <c r="HB274" s="93"/>
      <c r="HC274" s="93"/>
      <c r="HD274" s="93"/>
      <c r="HE274" s="93"/>
      <c r="HF274" s="93"/>
      <c r="HG274" s="93"/>
      <c r="HH274" s="93"/>
      <c r="HI274" s="93"/>
      <c r="HJ274" s="93"/>
      <c r="HK274" s="93"/>
      <c r="HL274" s="93"/>
      <c r="HM274" s="93"/>
      <c r="HN274" s="93"/>
      <c r="HO274" s="93"/>
      <c r="HP274" s="93"/>
      <c r="HQ274" s="93"/>
      <c r="HR274" s="93"/>
      <c r="HS274" s="93"/>
      <c r="HT274" s="93"/>
      <c r="HU274" s="93"/>
      <c r="HV274" s="93"/>
      <c r="HW274" s="93"/>
      <c r="HX274" s="93"/>
      <c r="HY274" s="93"/>
      <c r="HZ274" s="93"/>
      <c r="IA274" s="93"/>
      <c r="IB274" s="93"/>
      <c r="IC274" s="93"/>
      <c r="ID274" s="93"/>
      <c r="IE274" s="93"/>
      <c r="IF274" s="93"/>
      <c r="IG274" s="93"/>
      <c r="IH274" s="93"/>
      <c r="II274" s="93"/>
      <c r="IJ274" s="93"/>
      <c r="IK274" s="93"/>
      <c r="IL274" s="93"/>
      <c r="IM274" s="93"/>
      <c r="IN274" s="93"/>
      <c r="IO274" s="93"/>
      <c r="IP274" s="93"/>
      <c r="IQ274" s="93"/>
      <c r="IR274" s="93"/>
      <c r="IS274" s="93"/>
      <c r="IT274" s="93"/>
      <c r="IU274" s="93"/>
      <c r="IV274" s="93"/>
      <c r="IW274" s="848">
        <v>54848</v>
      </c>
      <c r="IX274" s="93"/>
      <c r="IY274" s="93"/>
      <c r="IZ274" s="93"/>
      <c r="JA274" s="93"/>
      <c r="JB274" s="93"/>
      <c r="JC274" s="93"/>
      <c r="JD274" s="93"/>
      <c r="JE274" s="93"/>
      <c r="JF274" s="93"/>
      <c r="JG274" s="93"/>
      <c r="JH274" s="93"/>
      <c r="JI274" s="93"/>
      <c r="JJ274" s="93"/>
      <c r="JK274" s="93"/>
      <c r="JL274" s="93"/>
      <c r="JM274" s="93"/>
      <c r="JN274" s="93"/>
      <c r="JO274" s="93"/>
      <c r="JP274" s="93"/>
      <c r="JQ274" s="93"/>
      <c r="JR274" s="93"/>
      <c r="JS274" s="93"/>
      <c r="JT274" s="20"/>
      <c r="JU274" s="29"/>
      <c r="JV274" s="19"/>
      <c r="JW274" s="93"/>
      <c r="JX274" s="93"/>
      <c r="JY274" s="93"/>
      <c r="JZ274" s="93"/>
      <c r="KA274" s="93"/>
      <c r="KB274" s="93"/>
      <c r="KC274" s="93"/>
      <c r="KD274" s="93"/>
      <c r="KE274" s="93"/>
      <c r="KF274" s="93"/>
      <c r="KG274" s="93"/>
      <c r="KH274" s="93"/>
      <c r="KI274" s="93"/>
      <c r="KJ274" s="93"/>
      <c r="KK274" s="93"/>
      <c r="KL274" s="93"/>
      <c r="KM274" s="93"/>
      <c r="KN274" s="93"/>
      <c r="KO274" s="93"/>
      <c r="KP274" s="93"/>
      <c r="KQ274" s="93"/>
      <c r="KR274" s="93"/>
      <c r="KS274" s="93"/>
      <c r="KT274" s="93"/>
      <c r="KU274" s="93"/>
      <c r="KV274" s="93"/>
      <c r="KW274" s="20"/>
      <c r="KX274" s="29"/>
      <c r="KY274" s="19"/>
      <c r="KZ274" s="93"/>
      <c r="LA274" s="93"/>
      <c r="LB274" s="93"/>
      <c r="LC274" s="93"/>
      <c r="LD274" s="93"/>
      <c r="LE274" s="93"/>
      <c r="LF274" s="93"/>
      <c r="LG274" s="93"/>
      <c r="LH274" s="93"/>
      <c r="LI274" s="93"/>
      <c r="LJ274" s="93"/>
      <c r="LK274" s="93"/>
      <c r="LL274" s="93"/>
      <c r="LM274" s="93"/>
      <c r="LN274" s="93"/>
      <c r="LO274" s="93"/>
      <c r="LP274" s="93"/>
      <c r="LQ274" s="93"/>
      <c r="LR274" s="93"/>
      <c r="LS274" s="93"/>
      <c r="LT274" s="93"/>
      <c r="LU274" s="93"/>
      <c r="LV274" s="93"/>
      <c r="LW274" s="93"/>
      <c r="LX274" s="93"/>
      <c r="LY274" s="93"/>
      <c r="LZ274" s="93"/>
      <c r="MA274" s="93"/>
      <c r="MB274" s="93"/>
      <c r="MC274" s="93"/>
      <c r="MD274" s="93"/>
      <c r="ME274" s="93"/>
      <c r="MF274" s="93"/>
      <c r="MG274" s="93"/>
      <c r="MH274" s="20"/>
      <c r="MI274" s="29"/>
      <c r="MJ274" s="29" t="str">
        <f t="shared" si="101"/>
        <v>Trimestre 12050</v>
      </c>
      <c r="MK274" s="848">
        <v>54848</v>
      </c>
      <c r="ML274" s="1991"/>
      <c r="MM274" s="1991"/>
      <c r="MN274" s="1991"/>
      <c r="MO274" s="1991"/>
      <c r="MP274" s="1991"/>
      <c r="MQ274" s="1991"/>
      <c r="MR274" s="1991"/>
      <c r="MS274" s="1991"/>
      <c r="MT274" s="1991"/>
      <c r="MU274" s="1991"/>
      <c r="MV274" s="1991"/>
      <c r="MW274" s="1991"/>
      <c r="MX274" s="1991"/>
      <c r="MY274" s="1991"/>
      <c r="MZ274" s="1991"/>
      <c r="NA274" s="1991"/>
      <c r="NB274" s="1991"/>
      <c r="NC274" s="1991"/>
      <c r="ND274" s="1991"/>
      <c r="NE274" s="1991"/>
      <c r="NF274" s="1991"/>
      <c r="NG274" s="1991"/>
      <c r="NH274" s="1991"/>
      <c r="NI274" s="1991"/>
      <c r="NJ274" s="1991"/>
      <c r="NK274" s="1991"/>
      <c r="NL274" s="29"/>
    </row>
    <row r="275" spans="1:376">
      <c r="A275" s="41">
        <f t="shared" si="99"/>
        <v>2050</v>
      </c>
      <c r="B275" s="785">
        <v>54940</v>
      </c>
      <c r="C275" s="19"/>
      <c r="D275" s="93"/>
      <c r="E275" s="93"/>
      <c r="F275" s="93"/>
      <c r="G275" s="93"/>
      <c r="H275" s="93"/>
      <c r="I275" s="93"/>
      <c r="J275" s="93"/>
      <c r="K275" s="93"/>
      <c r="L275" s="93"/>
      <c r="M275" s="20"/>
      <c r="N275" s="25"/>
      <c r="O275" s="889">
        <f t="shared" si="98"/>
        <v>2050</v>
      </c>
      <c r="P275" s="29" t="str">
        <f t="shared" si="100"/>
        <v>Trimestre 22050</v>
      </c>
      <c r="Q275" s="848">
        <v>54940</v>
      </c>
      <c r="R275" s="733"/>
      <c r="S275" s="570"/>
      <c r="T275" s="570"/>
      <c r="U275" s="734"/>
      <c r="V275" s="25"/>
      <c r="W275" s="19"/>
      <c r="X275" s="93"/>
      <c r="Y275" s="93"/>
      <c r="Z275" s="93"/>
      <c r="AA275" s="93"/>
      <c r="AB275" s="93"/>
      <c r="AC275" s="93"/>
      <c r="AD275" s="93"/>
      <c r="AE275" s="20"/>
      <c r="AF275" s="25"/>
      <c r="AG275" s="19"/>
      <c r="AH275" s="93"/>
      <c r="AI275" s="93"/>
      <c r="AJ275" s="93"/>
      <c r="AK275" s="93"/>
      <c r="AL275" s="93"/>
      <c r="AM275" s="93"/>
      <c r="AN275" s="20"/>
      <c r="AO275" s="19"/>
      <c r="AP275" s="93"/>
      <c r="AQ275" s="93"/>
      <c r="AR275" s="93"/>
      <c r="AS275" s="20"/>
      <c r="AT275" s="19"/>
      <c r="AU275" s="93"/>
      <c r="AV275" s="20"/>
      <c r="AW275" s="19"/>
      <c r="AX275" s="93"/>
      <c r="AY275" s="93"/>
      <c r="AZ275" s="93"/>
      <c r="BA275" s="93"/>
      <c r="BB275" s="93"/>
      <c r="BC275" s="20"/>
      <c r="BD275" s="19"/>
      <c r="BE275" s="93"/>
      <c r="BF275" s="93"/>
      <c r="BG275" s="93"/>
      <c r="BH275" s="93"/>
      <c r="BI275" s="93"/>
      <c r="BJ275" s="93"/>
      <c r="BK275" s="20"/>
      <c r="BL275" s="19"/>
      <c r="BM275" s="93"/>
      <c r="BN275" s="93"/>
      <c r="BO275" s="93"/>
      <c r="BP275" s="93"/>
      <c r="BQ275" s="20"/>
      <c r="BR275" s="19"/>
      <c r="BS275" s="93"/>
      <c r="BT275" s="93"/>
      <c r="BU275" s="20"/>
      <c r="BV275" s="19"/>
      <c r="BW275" s="93"/>
      <c r="BX275" s="93"/>
      <c r="BY275" s="93"/>
      <c r="BZ275" s="93"/>
      <c r="CA275" s="93"/>
      <c r="CB275" s="20"/>
      <c r="CC275" s="25"/>
      <c r="CD275" s="19"/>
      <c r="CE275" s="93"/>
      <c r="CF275" s="20"/>
      <c r="CG275" s="25"/>
      <c r="CH275" s="19"/>
      <c r="CI275" s="93"/>
      <c r="CJ275" s="93"/>
      <c r="CK275" s="93"/>
      <c r="CL275" s="93"/>
      <c r="CM275" s="93"/>
      <c r="CN275" s="93"/>
      <c r="CO275" s="93"/>
      <c r="CP275" s="93"/>
      <c r="CQ275" s="93"/>
      <c r="CR275" s="214"/>
      <c r="CS275" s="20"/>
      <c r="CT275" s="25"/>
      <c r="CU275" s="19"/>
      <c r="CV275" s="93"/>
      <c r="CW275" s="93"/>
      <c r="CX275" s="93"/>
      <c r="CY275" s="93"/>
      <c r="CZ275" s="93"/>
      <c r="DA275" s="93"/>
      <c r="DB275" s="20"/>
      <c r="DC275" s="25"/>
      <c r="DD275" s="785">
        <v>54940</v>
      </c>
      <c r="DE275" s="19"/>
      <c r="DF275" s="20"/>
      <c r="DG275" s="25"/>
      <c r="DH275" s="19"/>
      <c r="DI275" s="20"/>
      <c r="DJ275" s="25"/>
      <c r="DK275" s="19"/>
      <c r="DL275" s="20"/>
      <c r="DM275" s="19"/>
      <c r="DN275" s="20"/>
      <c r="DO275" s="25"/>
      <c r="DP275" s="19"/>
      <c r="DQ275" s="93"/>
      <c r="DR275" s="20"/>
      <c r="DS275" s="25"/>
      <c r="DT275" s="19"/>
      <c r="DU275" s="93"/>
      <c r="DV275" s="20"/>
      <c r="DW275" s="25"/>
      <c r="DX275" s="19"/>
      <c r="DY275" s="20"/>
      <c r="DZ275" s="25"/>
      <c r="EA275" s="19"/>
      <c r="EB275" s="93"/>
      <c r="EC275" s="93"/>
      <c r="ED275" s="93"/>
      <c r="EE275" s="20"/>
      <c r="EF275" s="25"/>
      <c r="EG275" s="19"/>
      <c r="EH275" s="93"/>
      <c r="EI275" s="93"/>
      <c r="EJ275" s="93"/>
      <c r="EK275" s="20"/>
      <c r="EL275" s="25"/>
      <c r="EM275" s="19"/>
      <c r="EN275" s="93"/>
      <c r="EO275" s="93"/>
      <c r="EP275" s="93"/>
      <c r="EQ275" s="93"/>
      <c r="ER275" s="93"/>
      <c r="ES275" s="93"/>
      <c r="ET275" s="93"/>
      <c r="EU275" s="93"/>
      <c r="EV275" s="20"/>
      <c r="EW275" s="25"/>
      <c r="EX275" s="915"/>
      <c r="EY275" s="916"/>
      <c r="EZ275" s="916"/>
      <c r="FA275" s="916"/>
      <c r="FB275" s="916"/>
      <c r="FC275" s="916"/>
      <c r="FD275" s="916"/>
      <c r="FE275" s="916"/>
      <c r="FF275" s="916"/>
      <c r="FG275" s="917"/>
      <c r="FH275" s="25"/>
      <c r="FI275" s="848">
        <v>54940</v>
      </c>
      <c r="FJ275" s="19"/>
      <c r="FK275" s="93"/>
      <c r="FL275" s="20"/>
      <c r="FM275" s="25"/>
      <c r="FN275" s="19"/>
      <c r="FO275" s="93"/>
      <c r="FP275" s="93"/>
      <c r="FQ275" s="93"/>
      <c r="FR275" s="93"/>
      <c r="FS275" s="93"/>
      <c r="FT275" s="93"/>
      <c r="FU275" s="93"/>
      <c r="FV275" s="93"/>
      <c r="FW275" s="917"/>
      <c r="FX275" s="25"/>
      <c r="FY275" s="916"/>
      <c r="FZ275" s="916"/>
      <c r="GA275" s="916"/>
      <c r="GB275" s="916"/>
      <c r="GC275" s="916"/>
      <c r="GD275" s="916"/>
      <c r="GE275" s="916"/>
      <c r="GF275" s="916"/>
      <c r="GG275" s="916"/>
      <c r="GH275" s="916"/>
      <c r="GI275" s="917"/>
      <c r="GJ275" s="25"/>
      <c r="GK275" s="19"/>
      <c r="GL275" s="20"/>
      <c r="GM275" s="25"/>
      <c r="GN275" s="19"/>
      <c r="GO275" s="20"/>
      <c r="GP275" s="25"/>
      <c r="GQ275" s="19"/>
      <c r="GR275" s="20"/>
      <c r="GS275" s="25"/>
      <c r="GT275" s="848">
        <v>54940</v>
      </c>
      <c r="GU275" s="19"/>
      <c r="GV275" s="93"/>
      <c r="GW275" s="93"/>
      <c r="GX275" s="93"/>
      <c r="GY275" s="93"/>
      <c r="GZ275" s="93"/>
      <c r="HA275" s="93"/>
      <c r="HB275" s="93"/>
      <c r="HC275" s="93"/>
      <c r="HD275" s="93"/>
      <c r="HE275" s="93"/>
      <c r="HF275" s="93"/>
      <c r="HG275" s="93"/>
      <c r="HH275" s="93"/>
      <c r="HI275" s="93"/>
      <c r="HJ275" s="93"/>
      <c r="HK275" s="93"/>
      <c r="HL275" s="93"/>
      <c r="HM275" s="93"/>
      <c r="HN275" s="93"/>
      <c r="HO275" s="93"/>
      <c r="HP275" s="93"/>
      <c r="HQ275" s="93"/>
      <c r="HR275" s="93"/>
      <c r="HS275" s="93"/>
      <c r="HT275" s="93"/>
      <c r="HU275" s="93"/>
      <c r="HV275" s="93"/>
      <c r="HW275" s="93"/>
      <c r="HX275" s="93"/>
      <c r="HY275" s="93"/>
      <c r="HZ275" s="93"/>
      <c r="IA275" s="93"/>
      <c r="IB275" s="93"/>
      <c r="IC275" s="93"/>
      <c r="ID275" s="93"/>
      <c r="IE275" s="93"/>
      <c r="IF275" s="93"/>
      <c r="IG275" s="93"/>
      <c r="IH275" s="93"/>
      <c r="II275" s="93"/>
      <c r="IJ275" s="93"/>
      <c r="IK275" s="93"/>
      <c r="IL275" s="93"/>
      <c r="IM275" s="93"/>
      <c r="IN275" s="93"/>
      <c r="IO275" s="93"/>
      <c r="IP275" s="93"/>
      <c r="IQ275" s="93"/>
      <c r="IR275" s="93"/>
      <c r="IS275" s="93"/>
      <c r="IT275" s="93"/>
      <c r="IU275" s="93"/>
      <c r="IV275" s="93"/>
      <c r="IW275" s="848">
        <v>54940</v>
      </c>
      <c r="IX275" s="93"/>
      <c r="IY275" s="93"/>
      <c r="IZ275" s="93"/>
      <c r="JA275" s="93"/>
      <c r="JB275" s="93"/>
      <c r="JC275" s="93"/>
      <c r="JD275" s="93"/>
      <c r="JE275" s="93"/>
      <c r="JF275" s="93"/>
      <c r="JG275" s="93"/>
      <c r="JH275" s="93"/>
      <c r="JI275" s="93"/>
      <c r="JJ275" s="93"/>
      <c r="JK275" s="93"/>
      <c r="JL275" s="93"/>
      <c r="JM275" s="93"/>
      <c r="JN275" s="93"/>
      <c r="JO275" s="93"/>
      <c r="JP275" s="93"/>
      <c r="JQ275" s="93"/>
      <c r="JR275" s="93"/>
      <c r="JS275" s="93"/>
      <c r="JT275" s="20"/>
      <c r="JU275" s="29"/>
      <c r="JV275" s="19"/>
      <c r="JW275" s="93"/>
      <c r="JX275" s="93"/>
      <c r="JY275" s="93"/>
      <c r="JZ275" s="93"/>
      <c r="KA275" s="93"/>
      <c r="KB275" s="93"/>
      <c r="KC275" s="93"/>
      <c r="KD275" s="93"/>
      <c r="KE275" s="93"/>
      <c r="KF275" s="93"/>
      <c r="KG275" s="93"/>
      <c r="KH275" s="93"/>
      <c r="KI275" s="93"/>
      <c r="KJ275" s="93"/>
      <c r="KK275" s="93"/>
      <c r="KL275" s="93"/>
      <c r="KM275" s="93"/>
      <c r="KN275" s="93"/>
      <c r="KO275" s="93"/>
      <c r="KP275" s="93"/>
      <c r="KQ275" s="93"/>
      <c r="KR275" s="93"/>
      <c r="KS275" s="93"/>
      <c r="KT275" s="93"/>
      <c r="KU275" s="93"/>
      <c r="KV275" s="93"/>
      <c r="KW275" s="20"/>
      <c r="KX275" s="29"/>
      <c r="KY275" s="19"/>
      <c r="KZ275" s="93"/>
      <c r="LA275" s="93"/>
      <c r="LB275" s="93"/>
      <c r="LC275" s="93"/>
      <c r="LD275" s="93"/>
      <c r="LE275" s="93"/>
      <c r="LF275" s="93"/>
      <c r="LG275" s="93"/>
      <c r="LH275" s="93"/>
      <c r="LI275" s="93"/>
      <c r="LJ275" s="93"/>
      <c r="LK275" s="93"/>
      <c r="LL275" s="93"/>
      <c r="LM275" s="93"/>
      <c r="LN275" s="93"/>
      <c r="LO275" s="93"/>
      <c r="LP275" s="93"/>
      <c r="LQ275" s="93"/>
      <c r="LR275" s="93"/>
      <c r="LS275" s="93"/>
      <c r="LT275" s="93"/>
      <c r="LU275" s="93"/>
      <c r="LV275" s="93"/>
      <c r="LW275" s="93"/>
      <c r="LX275" s="93"/>
      <c r="LY275" s="93"/>
      <c r="LZ275" s="93"/>
      <c r="MA275" s="93"/>
      <c r="MB275" s="93"/>
      <c r="MC275" s="93"/>
      <c r="MD275" s="93"/>
      <c r="ME275" s="93"/>
      <c r="MF275" s="93"/>
      <c r="MG275" s="93"/>
      <c r="MH275" s="20"/>
      <c r="MI275" s="29"/>
      <c r="MJ275" s="29" t="str">
        <f t="shared" si="101"/>
        <v>Trimestre 22050</v>
      </c>
      <c r="MK275" s="848">
        <v>54940</v>
      </c>
      <c r="ML275" s="1991"/>
      <c r="MM275" s="1991"/>
      <c r="MN275" s="1991"/>
      <c r="MO275" s="1991"/>
      <c r="MP275" s="1991"/>
      <c r="MQ275" s="1991"/>
      <c r="MR275" s="1991"/>
      <c r="MS275" s="1991"/>
      <c r="MT275" s="1991"/>
      <c r="MU275" s="1991"/>
      <c r="MV275" s="1991"/>
      <c r="MW275" s="1991"/>
      <c r="MX275" s="1991"/>
      <c r="MY275" s="1991"/>
      <c r="MZ275" s="1991"/>
      <c r="NA275" s="1991"/>
      <c r="NB275" s="1991"/>
      <c r="NC275" s="1991"/>
      <c r="ND275" s="1991"/>
      <c r="NE275" s="1991"/>
      <c r="NF275" s="1991"/>
      <c r="NG275" s="1991"/>
      <c r="NH275" s="1991"/>
      <c r="NI275" s="1991"/>
      <c r="NJ275" s="1991"/>
      <c r="NK275" s="1991"/>
      <c r="NL275" s="29"/>
    </row>
    <row r="276" spans="1:376" ht="12.6" thickBot="1">
      <c r="A276" s="786">
        <f t="shared" si="99"/>
        <v>2050</v>
      </c>
      <c r="B276" s="787">
        <v>55032</v>
      </c>
      <c r="C276" s="21"/>
      <c r="D276" s="94"/>
      <c r="E276" s="94"/>
      <c r="F276" s="94"/>
      <c r="G276" s="94"/>
      <c r="H276" s="94"/>
      <c r="I276" s="94"/>
      <c r="J276" s="94"/>
      <c r="K276" s="94"/>
      <c r="L276" s="94"/>
      <c r="M276" s="22"/>
      <c r="N276" s="26"/>
      <c r="O276" s="898">
        <f t="shared" si="98"/>
        <v>2050</v>
      </c>
      <c r="P276" s="29" t="str">
        <f t="shared" si="100"/>
        <v>Trimestre 32050</v>
      </c>
      <c r="Q276" s="849">
        <v>55032</v>
      </c>
      <c r="R276" s="728"/>
      <c r="S276" s="729"/>
      <c r="T276" s="729"/>
      <c r="U276" s="730"/>
      <c r="V276" s="26"/>
      <c r="W276" s="21"/>
      <c r="X276" s="94"/>
      <c r="Y276" s="94"/>
      <c r="Z276" s="94"/>
      <c r="AA276" s="94"/>
      <c r="AB276" s="94"/>
      <c r="AC276" s="94"/>
      <c r="AD276" s="94"/>
      <c r="AE276" s="22"/>
      <c r="AF276" s="26"/>
      <c r="AG276" s="21"/>
      <c r="AH276" s="94"/>
      <c r="AI276" s="94"/>
      <c r="AJ276" s="94"/>
      <c r="AK276" s="94"/>
      <c r="AL276" s="94"/>
      <c r="AM276" s="94"/>
      <c r="AN276" s="22"/>
      <c r="AO276" s="21"/>
      <c r="AP276" s="94"/>
      <c r="AQ276" s="94"/>
      <c r="AR276" s="94"/>
      <c r="AS276" s="22"/>
      <c r="AT276" s="21"/>
      <c r="AU276" s="94"/>
      <c r="AV276" s="22"/>
      <c r="AW276" s="21"/>
      <c r="AX276" s="94"/>
      <c r="AY276" s="94"/>
      <c r="AZ276" s="94"/>
      <c r="BA276" s="94"/>
      <c r="BB276" s="94"/>
      <c r="BC276" s="22"/>
      <c r="BD276" s="21"/>
      <c r="BE276" s="94"/>
      <c r="BF276" s="94"/>
      <c r="BG276" s="94"/>
      <c r="BH276" s="94"/>
      <c r="BI276" s="94"/>
      <c r="BJ276" s="94"/>
      <c r="BK276" s="22"/>
      <c r="BL276" s="21"/>
      <c r="BM276" s="94"/>
      <c r="BN276" s="94"/>
      <c r="BO276" s="94"/>
      <c r="BP276" s="94"/>
      <c r="BQ276" s="22"/>
      <c r="BR276" s="21"/>
      <c r="BS276" s="94"/>
      <c r="BT276" s="94"/>
      <c r="BU276" s="22"/>
      <c r="BV276" s="21"/>
      <c r="BW276" s="94"/>
      <c r="BX276" s="94"/>
      <c r="BY276" s="94"/>
      <c r="BZ276" s="94"/>
      <c r="CA276" s="94"/>
      <c r="CB276" s="22"/>
      <c r="CC276" s="26"/>
      <c r="CD276" s="21"/>
      <c r="CE276" s="94"/>
      <c r="CF276" s="22"/>
      <c r="CG276" s="26"/>
      <c r="CH276" s="21"/>
      <c r="CI276" s="94"/>
      <c r="CJ276" s="94"/>
      <c r="CK276" s="94"/>
      <c r="CL276" s="94"/>
      <c r="CM276" s="94"/>
      <c r="CN276" s="94"/>
      <c r="CO276" s="94"/>
      <c r="CP276" s="94"/>
      <c r="CQ276" s="94"/>
      <c r="CR276" s="215"/>
      <c r="CS276" s="22"/>
      <c r="CT276" s="26"/>
      <c r="CU276" s="21"/>
      <c r="CV276" s="94"/>
      <c r="CW276" s="94"/>
      <c r="CX276" s="94"/>
      <c r="CY276" s="94"/>
      <c r="CZ276" s="94"/>
      <c r="DA276" s="94"/>
      <c r="DB276" s="22"/>
      <c r="DC276" s="26"/>
      <c r="DD276" s="787">
        <v>55032</v>
      </c>
      <c r="DE276" s="21"/>
      <c r="DF276" s="22"/>
      <c r="DG276" s="26"/>
      <c r="DH276" s="21"/>
      <c r="DI276" s="22"/>
      <c r="DJ276" s="26"/>
      <c r="DK276" s="21"/>
      <c r="DL276" s="22"/>
      <c r="DM276" s="21"/>
      <c r="DN276" s="22"/>
      <c r="DO276" s="26"/>
      <c r="DP276" s="21"/>
      <c r="DQ276" s="94"/>
      <c r="DR276" s="22"/>
      <c r="DS276" s="26"/>
      <c r="DT276" s="21"/>
      <c r="DU276" s="94"/>
      <c r="DV276" s="22"/>
      <c r="DW276" s="26"/>
      <c r="DX276" s="21"/>
      <c r="DY276" s="22"/>
      <c r="DZ276" s="26"/>
      <c r="EA276" s="21"/>
      <c r="EB276" s="94"/>
      <c r="EC276" s="94"/>
      <c r="ED276" s="94"/>
      <c r="EE276" s="22"/>
      <c r="EF276" s="26"/>
      <c r="EG276" s="21"/>
      <c r="EH276" s="94"/>
      <c r="EI276" s="94"/>
      <c r="EJ276" s="94"/>
      <c r="EK276" s="22"/>
      <c r="EL276" s="26"/>
      <c r="EM276" s="21"/>
      <c r="EN276" s="94"/>
      <c r="EO276" s="94"/>
      <c r="EP276" s="94"/>
      <c r="EQ276" s="94"/>
      <c r="ER276" s="94"/>
      <c r="ES276" s="94"/>
      <c r="ET276" s="94"/>
      <c r="EU276" s="94"/>
      <c r="EV276" s="22"/>
      <c r="EW276" s="26"/>
      <c r="EX276" s="776"/>
      <c r="EY276" s="777"/>
      <c r="EZ276" s="777"/>
      <c r="FA276" s="777"/>
      <c r="FB276" s="777"/>
      <c r="FC276" s="777"/>
      <c r="FD276" s="777"/>
      <c r="FE276" s="777"/>
      <c r="FF276" s="777"/>
      <c r="FG276" s="778"/>
      <c r="FH276" s="26"/>
      <c r="FI276" s="849">
        <v>55032</v>
      </c>
      <c r="FJ276" s="21"/>
      <c r="FK276" s="94"/>
      <c r="FL276" s="22"/>
      <c r="FM276" s="26"/>
      <c r="FN276" s="21"/>
      <c r="FO276" s="94"/>
      <c r="FP276" s="94"/>
      <c r="FQ276" s="94"/>
      <c r="FR276" s="94"/>
      <c r="FS276" s="94"/>
      <c r="FT276" s="94"/>
      <c r="FU276" s="94"/>
      <c r="FV276" s="94"/>
      <c r="FW276" s="778"/>
      <c r="FX276" s="26"/>
      <c r="FY276" s="777"/>
      <c r="FZ276" s="777"/>
      <c r="GA276" s="777"/>
      <c r="GB276" s="777"/>
      <c r="GC276" s="777"/>
      <c r="GD276" s="777"/>
      <c r="GE276" s="777"/>
      <c r="GF276" s="777"/>
      <c r="GG276" s="777"/>
      <c r="GH276" s="777"/>
      <c r="GI276" s="778"/>
      <c r="GJ276" s="26"/>
      <c r="GK276" s="21"/>
      <c r="GL276" s="22"/>
      <c r="GM276" s="26"/>
      <c r="GN276" s="21"/>
      <c r="GO276" s="22"/>
      <c r="GP276" s="26"/>
      <c r="GQ276" s="21"/>
      <c r="GR276" s="22"/>
      <c r="GS276" s="26"/>
      <c r="GT276" s="849">
        <v>55032</v>
      </c>
      <c r="GU276" s="21"/>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849">
        <v>55032</v>
      </c>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22"/>
      <c r="JU276" s="30"/>
      <c r="JV276" s="21"/>
      <c r="JW276" s="94"/>
      <c r="JX276" s="94"/>
      <c r="JY276" s="94"/>
      <c r="JZ276" s="94"/>
      <c r="KA276" s="94"/>
      <c r="KB276" s="94"/>
      <c r="KC276" s="94"/>
      <c r="KD276" s="94"/>
      <c r="KE276" s="94"/>
      <c r="KF276" s="94"/>
      <c r="KG276" s="94"/>
      <c r="KH276" s="94"/>
      <c r="KI276" s="94"/>
      <c r="KJ276" s="94"/>
      <c r="KK276" s="94"/>
      <c r="KL276" s="94"/>
      <c r="KM276" s="94"/>
      <c r="KN276" s="94"/>
      <c r="KO276" s="94"/>
      <c r="KP276" s="94"/>
      <c r="KQ276" s="94"/>
      <c r="KR276" s="94"/>
      <c r="KS276" s="94"/>
      <c r="KT276" s="94"/>
      <c r="KU276" s="94"/>
      <c r="KV276" s="94"/>
      <c r="KW276" s="22"/>
      <c r="KX276" s="30"/>
      <c r="KY276" s="21"/>
      <c r="KZ276" s="94"/>
      <c r="LA276" s="94"/>
      <c r="LB276" s="94"/>
      <c r="LC276" s="94"/>
      <c r="LD276" s="94"/>
      <c r="LE276" s="94"/>
      <c r="LF276" s="94"/>
      <c r="LG276" s="94"/>
      <c r="LH276" s="94"/>
      <c r="LI276" s="94"/>
      <c r="LJ276" s="94"/>
      <c r="LK276" s="94"/>
      <c r="LL276" s="94"/>
      <c r="LM276" s="94"/>
      <c r="LN276" s="94"/>
      <c r="LO276" s="94"/>
      <c r="LP276" s="94"/>
      <c r="LQ276" s="94"/>
      <c r="LR276" s="94"/>
      <c r="LS276" s="94"/>
      <c r="LT276" s="94"/>
      <c r="LU276" s="94"/>
      <c r="LV276" s="94"/>
      <c r="LW276" s="94"/>
      <c r="LX276" s="94"/>
      <c r="LY276" s="94"/>
      <c r="LZ276" s="94"/>
      <c r="MA276" s="94"/>
      <c r="MB276" s="94"/>
      <c r="MC276" s="94"/>
      <c r="MD276" s="94"/>
      <c r="ME276" s="94"/>
      <c r="MF276" s="94"/>
      <c r="MG276" s="94"/>
      <c r="MH276" s="22"/>
      <c r="MI276" s="30"/>
      <c r="MJ276" s="29" t="str">
        <f t="shared" si="101"/>
        <v>Trimestre 32050</v>
      </c>
      <c r="MK276" s="849">
        <v>55032</v>
      </c>
      <c r="ML276" s="1992"/>
      <c r="MM276" s="1992"/>
      <c r="MN276" s="1992"/>
      <c r="MO276" s="1992"/>
      <c r="MP276" s="1992"/>
      <c r="MQ276" s="1992"/>
      <c r="MR276" s="1992"/>
      <c r="MS276" s="1992"/>
      <c r="MT276" s="1992"/>
      <c r="MU276" s="1992"/>
      <c r="MV276" s="1992"/>
      <c r="MW276" s="1992"/>
      <c r="MX276" s="1992"/>
      <c r="MY276" s="1992"/>
      <c r="MZ276" s="1992"/>
      <c r="NA276" s="1992"/>
      <c r="NB276" s="1992"/>
      <c r="NC276" s="1992"/>
      <c r="ND276" s="1992"/>
      <c r="NE276" s="1992"/>
      <c r="NF276" s="1992"/>
      <c r="NG276" s="1992"/>
      <c r="NH276" s="1992"/>
      <c r="NI276" s="1992"/>
      <c r="NJ276" s="1992"/>
      <c r="NK276" s="1992"/>
      <c r="NL276" s="30"/>
    </row>
    <row r="277" spans="1:376" ht="12.6" thickTop="1">
      <c r="GT277" s="1529"/>
      <c r="GU277">
        <v>2</v>
      </c>
      <c r="GV277">
        <v>3</v>
      </c>
      <c r="GW277">
        <v>4</v>
      </c>
      <c r="GX277">
        <v>5</v>
      </c>
      <c r="GY277">
        <v>6</v>
      </c>
      <c r="GZ277">
        <v>7</v>
      </c>
      <c r="HA277">
        <v>8</v>
      </c>
      <c r="HB277">
        <v>9</v>
      </c>
      <c r="HC277">
        <v>10</v>
      </c>
      <c r="HD277">
        <v>11</v>
      </c>
      <c r="HE277">
        <v>12</v>
      </c>
      <c r="HF277">
        <v>13</v>
      </c>
      <c r="HG277">
        <v>14</v>
      </c>
      <c r="HH277">
        <v>15</v>
      </c>
      <c r="HI277">
        <v>16</v>
      </c>
      <c r="HJ277">
        <v>17</v>
      </c>
      <c r="HK277">
        <v>18</v>
      </c>
      <c r="HL277">
        <v>19</v>
      </c>
      <c r="HM277">
        <v>20</v>
      </c>
      <c r="HN277">
        <v>21</v>
      </c>
      <c r="HO277">
        <v>22</v>
      </c>
      <c r="HP277">
        <v>23</v>
      </c>
      <c r="HQ277">
        <v>24</v>
      </c>
      <c r="HR277">
        <v>25</v>
      </c>
      <c r="HS277">
        <v>26</v>
      </c>
      <c r="HT277">
        <v>27</v>
      </c>
      <c r="HU277">
        <v>28</v>
      </c>
      <c r="HV277">
        <v>29</v>
      </c>
      <c r="HW277">
        <v>30</v>
      </c>
      <c r="HX277">
        <v>31</v>
      </c>
      <c r="HY277">
        <v>32</v>
      </c>
      <c r="HZ277">
        <v>33</v>
      </c>
      <c r="IA277">
        <v>34</v>
      </c>
      <c r="IB277">
        <v>35</v>
      </c>
      <c r="IC277">
        <v>36</v>
      </c>
      <c r="ID277">
        <v>37</v>
      </c>
      <c r="IE277">
        <v>38</v>
      </c>
      <c r="IF277">
        <v>39</v>
      </c>
      <c r="IG277">
        <v>40</v>
      </c>
      <c r="IH277">
        <v>41</v>
      </c>
      <c r="II277">
        <v>42</v>
      </c>
      <c r="IJ277">
        <v>43</v>
      </c>
      <c r="IK277">
        <v>44</v>
      </c>
      <c r="IL277">
        <v>45</v>
      </c>
      <c r="IM277">
        <v>46</v>
      </c>
      <c r="IN277">
        <v>47</v>
      </c>
      <c r="IO277">
        <v>48</v>
      </c>
      <c r="IP277">
        <v>49</v>
      </c>
      <c r="IQ277">
        <v>50</v>
      </c>
      <c r="IR277">
        <v>51</v>
      </c>
      <c r="IS277">
        <v>52</v>
      </c>
      <c r="IT277">
        <v>53</v>
      </c>
      <c r="IU277">
        <v>54</v>
      </c>
      <c r="IV277">
        <v>55</v>
      </c>
      <c r="IW277" s="1529"/>
      <c r="IX277">
        <v>2</v>
      </c>
      <c r="IY277">
        <v>3</v>
      </c>
      <c r="IZ277">
        <v>4</v>
      </c>
      <c r="JA277">
        <v>5</v>
      </c>
      <c r="JB277">
        <v>6</v>
      </c>
      <c r="JC277">
        <v>7</v>
      </c>
      <c r="JD277">
        <v>8</v>
      </c>
      <c r="JE277">
        <v>9</v>
      </c>
      <c r="JF277">
        <v>10</v>
      </c>
      <c r="JG277">
        <v>11</v>
      </c>
      <c r="JH277">
        <v>12</v>
      </c>
      <c r="JI277">
        <v>13</v>
      </c>
      <c r="JJ277">
        <v>14</v>
      </c>
      <c r="JK277">
        <v>15</v>
      </c>
      <c r="JL277">
        <v>16</v>
      </c>
      <c r="JM277">
        <v>17</v>
      </c>
      <c r="JN277">
        <v>18</v>
      </c>
      <c r="JO277">
        <v>19</v>
      </c>
      <c r="JP277">
        <v>20</v>
      </c>
      <c r="JQ277">
        <v>21</v>
      </c>
      <c r="JR277">
        <v>22</v>
      </c>
      <c r="JS277">
        <v>23</v>
      </c>
      <c r="JT277">
        <v>24</v>
      </c>
      <c r="JU277">
        <v>25</v>
      </c>
      <c r="JV277">
        <v>26</v>
      </c>
      <c r="JW277">
        <v>27</v>
      </c>
      <c r="JX277">
        <v>28</v>
      </c>
      <c r="JY277">
        <v>29</v>
      </c>
      <c r="JZ277">
        <v>30</v>
      </c>
      <c r="KA277">
        <v>31</v>
      </c>
      <c r="KB277">
        <v>32</v>
      </c>
      <c r="KC277">
        <v>33</v>
      </c>
      <c r="KD277">
        <v>34</v>
      </c>
      <c r="KE277">
        <v>35</v>
      </c>
      <c r="KF277">
        <v>36</v>
      </c>
      <c r="KG277">
        <v>37</v>
      </c>
      <c r="KH277">
        <v>38</v>
      </c>
      <c r="KI277">
        <v>39</v>
      </c>
      <c r="KJ277">
        <v>40</v>
      </c>
      <c r="KK277">
        <v>41</v>
      </c>
      <c r="KL277">
        <v>42</v>
      </c>
      <c r="KM277">
        <v>43</v>
      </c>
      <c r="KN277">
        <v>44</v>
      </c>
      <c r="KO277">
        <v>45</v>
      </c>
      <c r="KP277">
        <v>46</v>
      </c>
      <c r="KQ277">
        <v>47</v>
      </c>
      <c r="KR277">
        <v>48</v>
      </c>
      <c r="KS277">
        <v>49</v>
      </c>
      <c r="KT277">
        <v>50</v>
      </c>
      <c r="KU277">
        <v>51</v>
      </c>
      <c r="KV277">
        <v>52</v>
      </c>
      <c r="KW277">
        <v>53</v>
      </c>
      <c r="KX277">
        <v>54</v>
      </c>
      <c r="KY277">
        <v>55</v>
      </c>
      <c r="KZ277">
        <v>56</v>
      </c>
      <c r="LA277">
        <v>57</v>
      </c>
      <c r="LB277">
        <v>58</v>
      </c>
      <c r="LC277">
        <v>59</v>
      </c>
      <c r="LD277">
        <v>60</v>
      </c>
      <c r="LE277">
        <v>61</v>
      </c>
      <c r="LF277">
        <v>62</v>
      </c>
      <c r="LG277">
        <v>63</v>
      </c>
      <c r="LH277">
        <v>64</v>
      </c>
      <c r="LI277">
        <v>65</v>
      </c>
      <c r="LJ277">
        <v>66</v>
      </c>
      <c r="LK277">
        <v>67</v>
      </c>
      <c r="LL277">
        <v>68</v>
      </c>
      <c r="LM277">
        <v>69</v>
      </c>
      <c r="LN277">
        <v>70</v>
      </c>
      <c r="LO277">
        <v>71</v>
      </c>
      <c r="LP277">
        <v>72</v>
      </c>
      <c r="LQ277">
        <v>73</v>
      </c>
      <c r="LR277">
        <v>74</v>
      </c>
      <c r="LS277">
        <v>75</v>
      </c>
      <c r="LT277">
        <v>76</v>
      </c>
      <c r="LU277">
        <v>77</v>
      </c>
      <c r="LV277">
        <v>78</v>
      </c>
      <c r="LW277">
        <v>79</v>
      </c>
      <c r="LX277">
        <v>80</v>
      </c>
      <c r="LY277">
        <v>81</v>
      </c>
      <c r="LZ277">
        <v>82</v>
      </c>
      <c r="MA277">
        <v>83</v>
      </c>
      <c r="MB277">
        <v>84</v>
      </c>
      <c r="MC277">
        <v>85</v>
      </c>
      <c r="MD277">
        <v>86</v>
      </c>
      <c r="ME277">
        <v>87</v>
      </c>
      <c r="MF277">
        <v>88</v>
      </c>
      <c r="MG277">
        <v>89</v>
      </c>
      <c r="MH277">
        <v>90</v>
      </c>
      <c r="MI277">
        <v>91</v>
      </c>
      <c r="MK277">
        <v>101</v>
      </c>
      <c r="ML277">
        <v>102</v>
      </c>
      <c r="MM277">
        <v>103</v>
      </c>
      <c r="MN277">
        <v>104</v>
      </c>
      <c r="MO277">
        <v>105</v>
      </c>
      <c r="MP277">
        <v>106</v>
      </c>
      <c r="MQ277">
        <v>107</v>
      </c>
      <c r="MR277">
        <v>108</v>
      </c>
      <c r="MS277">
        <v>109</v>
      </c>
      <c r="MT277">
        <v>110</v>
      </c>
      <c r="MU277">
        <v>111</v>
      </c>
      <c r="MV277">
        <v>112</v>
      </c>
      <c r="MW277">
        <v>113</v>
      </c>
      <c r="MX277">
        <v>114</v>
      </c>
      <c r="MY277">
        <v>115</v>
      </c>
      <c r="MZ277">
        <v>116</v>
      </c>
      <c r="NA277">
        <v>117</v>
      </c>
      <c r="NB277">
        <v>118</v>
      </c>
      <c r="NC277">
        <v>119</v>
      </c>
      <c r="ND277">
        <v>120</v>
      </c>
      <c r="NE277">
        <v>121</v>
      </c>
      <c r="NF277">
        <v>122</v>
      </c>
      <c r="NG277">
        <v>123</v>
      </c>
      <c r="NH277">
        <v>124</v>
      </c>
      <c r="NI277">
        <v>125</v>
      </c>
      <c r="NJ277">
        <v>126</v>
      </c>
      <c r="NK277">
        <v>128</v>
      </c>
      <c r="NL277">
        <v>129</v>
      </c>
    </row>
  </sheetData>
  <mergeCells count="33">
    <mergeCell ref="BD72:BK72"/>
    <mergeCell ref="BL72:BP72"/>
    <mergeCell ref="BQ72:BS72"/>
    <mergeCell ref="BT72:BZ72"/>
    <mergeCell ref="CF41:CJ41"/>
    <mergeCell ref="AG72:AN72"/>
    <mergeCell ref="AO72:AS72"/>
    <mergeCell ref="AT72:AV72"/>
    <mergeCell ref="AW72:BC72"/>
    <mergeCell ref="M34:R34"/>
    <mergeCell ref="Y34:AC34"/>
    <mergeCell ref="AI17:AM17"/>
    <mergeCell ref="BG17:BK17"/>
    <mergeCell ref="DO23:DS23"/>
    <mergeCell ref="CN41:CR41"/>
    <mergeCell ref="CW41:DA41"/>
    <mergeCell ref="DG41:DK41"/>
    <mergeCell ref="DO41:DS41"/>
    <mergeCell ref="ND8:NH8"/>
    <mergeCell ref="DW24:EA24"/>
    <mergeCell ref="EE41:EI41"/>
    <mergeCell ref="DW52:EA52"/>
    <mergeCell ref="EE55:EI55"/>
    <mergeCell ref="FK41:FO41"/>
    <mergeCell ref="FS41:FW41"/>
    <mergeCell ref="GA41:GE41"/>
    <mergeCell ref="GO41:GS41"/>
    <mergeCell ref="GO28:GS28"/>
    <mergeCell ref="B68:J68"/>
    <mergeCell ref="B31:J31"/>
    <mergeCell ref="EN41:ER41"/>
    <mergeCell ref="EW41:FA41"/>
    <mergeCell ref="DW41:EA41"/>
  </mergeCells>
  <dataValidations count="1">
    <dataValidation type="custom" allowBlank="1" showInputMessage="1" showErrorMessage="1" promptTitle="Nombre positif autorisé" prompt="Seul des valeures positives sont valides" sqref="C74:J75" xr:uid="{00000000-0002-0000-1E00-000000000000}">
      <formula1>"&gt;=0"</formula1>
    </dataValidation>
  </dataValidations>
  <pageMargins left="0.70866141732283472" right="0.70866141732283472" top="0.74803149606299213" bottom="0.74803149606299213" header="0.31496062992125984" footer="0.31496062992125984"/>
  <pageSetup paperSize="9" scale="70" firstPageNumber="6" orientation="portrait" useFirstPageNumber="1" r:id="rId1"/>
  <headerFooter>
    <oddFooter>&amp;L&amp;8Bulletin trimestriel de conjoncture, 4e trimestre 2021&amp;Cpage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7:BH36"/>
  <sheetViews>
    <sheetView topLeftCell="BA9" workbookViewId="0">
      <selection activeCell="CH68" sqref="CH68:CH310"/>
    </sheetView>
  </sheetViews>
  <sheetFormatPr baseColWidth="10" defaultRowHeight="12.3"/>
  <sheetData>
    <row r="7" spans="2:60">
      <c r="B7">
        <v>1575.3401001738712</v>
      </c>
      <c r="C7">
        <v>1526.6871334748284</v>
      </c>
      <c r="D7">
        <v>1526.6871334748284</v>
      </c>
      <c r="E7">
        <v>1231.7369295918288</v>
      </c>
      <c r="F7">
        <v>397.34383820084014</v>
      </c>
      <c r="G7">
        <v>10.905119753017441</v>
      </c>
      <c r="H7">
        <v>6.9920804596905679</v>
      </c>
      <c r="I7">
        <v>644.99604087961529</v>
      </c>
      <c r="J7">
        <v>161.94958583900001</v>
      </c>
      <c r="K7">
        <v>9.5502644596650672</v>
      </c>
      <c r="L7">
        <v>294.95020388300003</v>
      </c>
      <c r="M7">
        <v>5.4545921419999992</v>
      </c>
      <c r="N7">
        <v>144.94266940899999</v>
      </c>
      <c r="O7">
        <v>2.0578638980000004</v>
      </c>
      <c r="P7">
        <v>43.899915649</v>
      </c>
      <c r="Q7">
        <v>98.595162784999985</v>
      </c>
      <c r="R7">
        <v>0</v>
      </c>
      <c r="S7">
        <v>48.65296669904275</v>
      </c>
      <c r="T7">
        <v>35.785071219042756</v>
      </c>
      <c r="U7">
        <v>12.86789548</v>
      </c>
      <c r="V7">
        <v>1756.7560292232636</v>
      </c>
      <c r="W7">
        <v>1774.3998514312639</v>
      </c>
      <c r="X7">
        <v>1363.6476246268792</v>
      </c>
      <c r="Y7">
        <v>693.91918180666664</v>
      </c>
      <c r="Z7">
        <v>129.56765314399999</v>
      </c>
      <c r="AA7">
        <v>76.628826621062601</v>
      </c>
      <c r="AB7">
        <v>58.299484655000001</v>
      </c>
      <c r="AC7">
        <v>18.329341966062596</v>
      </c>
      <c r="AD7">
        <v>463.53196305515002</v>
      </c>
      <c r="AE7">
        <v>8.9144607712999999</v>
      </c>
      <c r="AF7">
        <v>101.63306731900001</v>
      </c>
      <c r="AG7">
        <v>0</v>
      </c>
      <c r="AH7">
        <v>76</v>
      </c>
      <c r="AI7">
        <v>410.75222680438441</v>
      </c>
      <c r="AJ7">
        <v>305.04504742</v>
      </c>
      <c r="AK7">
        <v>1.3071919590000001</v>
      </c>
      <c r="AL7">
        <v>104.39998742538444</v>
      </c>
      <c r="AM7">
        <v>-17.643822207999996</v>
      </c>
      <c r="AN7">
        <v>-181.41592904939247</v>
      </c>
      <c r="AO7">
        <v>-230.06889574843521</v>
      </c>
      <c r="AP7">
        <v>-49.040081701988179</v>
      </c>
      <c r="AQ7">
        <v>-125.66890832305077</v>
      </c>
      <c r="AR7">
        <v>-275.25440759677832</v>
      </c>
      <c r="AS7">
        <v>-323.90737429582106</v>
      </c>
      <c r="AT7">
        <v>269.61529527263872</v>
      </c>
      <c r="AU7">
        <v>93.472903281818716</v>
      </c>
      <c r="AV7">
        <v>134.11087991234166</v>
      </c>
      <c r="AW7">
        <v>-40.637976630522964</v>
      </c>
      <c r="AX7">
        <v>0</v>
      </c>
      <c r="AY7">
        <v>176.14239199081999</v>
      </c>
      <c r="AZ7">
        <v>-25.05237625118</v>
      </c>
      <c r="BA7">
        <v>201.19476824199998</v>
      </c>
      <c r="BB7">
        <v>5.6391123241395764</v>
      </c>
    </row>
    <row r="8" spans="2:60">
      <c r="B8">
        <v>1770.0754367244097</v>
      </c>
      <c r="C8">
        <v>1652.1119958134284</v>
      </c>
      <c r="D8">
        <v>1652.1119958134284</v>
      </c>
      <c r="E8">
        <v>1341.831058244429</v>
      </c>
      <c r="F8">
        <v>423.85052662984015</v>
      </c>
      <c r="G8">
        <v>12.007559996017442</v>
      </c>
      <c r="H8">
        <v>7.7895296406905681</v>
      </c>
      <c r="I8">
        <v>710.47085124021532</v>
      </c>
      <c r="J8">
        <v>177.20573818900002</v>
      </c>
      <c r="K8">
        <v>10.506852548665067</v>
      </c>
      <c r="L8">
        <v>310.280937569</v>
      </c>
      <c r="M8">
        <v>6.1093382279999995</v>
      </c>
      <c r="N8">
        <v>148.10461754299999</v>
      </c>
      <c r="O8">
        <v>2.1876981290000006</v>
      </c>
      <c r="P8">
        <v>45.275974805000004</v>
      </c>
      <c r="Q8">
        <v>108.60330886399998</v>
      </c>
      <c r="R8">
        <v>0</v>
      </c>
      <c r="S8">
        <v>117.96344091098113</v>
      </c>
      <c r="T8">
        <v>37.756557072981124</v>
      </c>
      <c r="U8">
        <v>80.20688383800001</v>
      </c>
      <c r="V8">
        <v>1927.9221420485537</v>
      </c>
      <c r="W8">
        <v>1947.997127663554</v>
      </c>
      <c r="X8">
        <v>1492.7511815205344</v>
      </c>
      <c r="Y8">
        <v>765.87392900533348</v>
      </c>
      <c r="Z8">
        <v>141.60148755199998</v>
      </c>
      <c r="AA8">
        <v>105.28599056805085</v>
      </c>
      <c r="AB8">
        <v>85.088290220999994</v>
      </c>
      <c r="AC8">
        <v>20.197700347050837</v>
      </c>
      <c r="AD8">
        <v>479.98977439515005</v>
      </c>
      <c r="AE8">
        <v>9.776343881299999</v>
      </c>
      <c r="AF8">
        <v>107.55125259499999</v>
      </c>
      <c r="AG8">
        <v>0</v>
      </c>
      <c r="AH8">
        <v>76</v>
      </c>
      <c r="AI8">
        <v>455.24594614301952</v>
      </c>
      <c r="AJ8">
        <v>334.72236394599997</v>
      </c>
      <c r="AK8">
        <v>1.3071919590000001</v>
      </c>
      <c r="AL8">
        <v>119.21639023801954</v>
      </c>
      <c r="AM8">
        <v>-20.074985614999996</v>
      </c>
      <c r="AN8">
        <v>-157.84670532414418</v>
      </c>
      <c r="AO8">
        <v>-275.81014623512533</v>
      </c>
      <c r="AP8">
        <v>-51.307765429054918</v>
      </c>
      <c r="AQ8">
        <v>-156.59375599710577</v>
      </c>
      <c r="AR8">
        <v>-319.65970222827224</v>
      </c>
      <c r="AS8">
        <v>-437.62314313925339</v>
      </c>
      <c r="AT8">
        <v>317.70558222348393</v>
      </c>
      <c r="AU8">
        <v>101.70864516466392</v>
      </c>
      <c r="AV8">
        <v>146.95579687103842</v>
      </c>
      <c r="AW8">
        <v>-45.247151706374495</v>
      </c>
      <c r="AX8">
        <v>0</v>
      </c>
      <c r="AY8">
        <v>215.99693705881998</v>
      </c>
      <c r="AZ8">
        <v>26.713249637819992</v>
      </c>
      <c r="BA8">
        <v>189.28368742099997</v>
      </c>
      <c r="BB8">
        <v>1.9541200047883056</v>
      </c>
    </row>
    <row r="9" spans="2:60">
      <c r="B9">
        <v>1931.8994893758322</v>
      </c>
      <c r="C9">
        <v>1797.6947365538285</v>
      </c>
      <c r="D9">
        <v>1797.6947365538285</v>
      </c>
      <c r="E9">
        <v>1474.8638866378287</v>
      </c>
      <c r="F9">
        <v>448.63692028584018</v>
      </c>
      <c r="G9">
        <v>13.220351489017443</v>
      </c>
      <c r="H9">
        <v>8.6481005526905683</v>
      </c>
      <c r="I9">
        <v>796.8479282786152</v>
      </c>
      <c r="J9">
        <v>195.88554201700001</v>
      </c>
      <c r="K9">
        <v>11.625044014665066</v>
      </c>
      <c r="L9">
        <v>322.83084991600003</v>
      </c>
      <c r="M9">
        <v>6.6096334309999989</v>
      </c>
      <c r="N9">
        <v>151.70286078399997</v>
      </c>
      <c r="O9">
        <v>2.3915787560000004</v>
      </c>
      <c r="P9">
        <v>45.347187747000007</v>
      </c>
      <c r="Q9">
        <v>116.77958919799998</v>
      </c>
      <c r="R9">
        <v>0</v>
      </c>
      <c r="S9">
        <v>134.20475282200385</v>
      </c>
      <c r="T9">
        <v>45.823155233003824</v>
      </c>
      <c r="U9">
        <v>88.381597589000023</v>
      </c>
      <c r="V9">
        <v>2184.6206139885016</v>
      </c>
      <c r="W9">
        <v>2208.4699565015017</v>
      </c>
      <c r="X9">
        <v>1651.859569860653</v>
      </c>
      <c r="Y9">
        <v>845.9</v>
      </c>
      <c r="Z9">
        <v>201.643707315</v>
      </c>
      <c r="AA9">
        <v>117.854457616503</v>
      </c>
      <c r="AB9">
        <v>94.805942346000492</v>
      </c>
      <c r="AC9">
        <v>23.048515270502502</v>
      </c>
      <c r="AD9">
        <v>486.46140492914992</v>
      </c>
      <c r="AE9">
        <v>10.786799131299999</v>
      </c>
      <c r="AF9">
        <v>109.97057084000001</v>
      </c>
      <c r="AG9">
        <v>0</v>
      </c>
      <c r="AH9">
        <v>76</v>
      </c>
      <c r="AI9">
        <v>556.61038664084856</v>
      </c>
      <c r="AJ9">
        <v>418.87658417599999</v>
      </c>
      <c r="AK9">
        <v>1.3071919590000001</v>
      </c>
      <c r="AL9">
        <v>136.42661050584852</v>
      </c>
      <c r="AM9">
        <v>-23.849342512999993</v>
      </c>
      <c r="AN9">
        <v>-252.72112461266912</v>
      </c>
      <c r="AO9">
        <v>-386.92587743467294</v>
      </c>
      <c r="AP9">
        <v>-132.6448093123214</v>
      </c>
      <c r="AQ9">
        <v>-250.49926692882443</v>
      </c>
      <c r="AR9">
        <v>-302.0878502321641</v>
      </c>
      <c r="AS9">
        <v>-436.29260305416784</v>
      </c>
      <c r="AT9">
        <v>297.29379557188861</v>
      </c>
      <c r="AU9">
        <v>98.473001220068625</v>
      </c>
      <c r="AV9">
        <v>156.09941897884468</v>
      </c>
      <c r="AW9">
        <v>-57.626417758776071</v>
      </c>
      <c r="AX9">
        <v>0</v>
      </c>
      <c r="AY9">
        <v>198.82079435181996</v>
      </c>
      <c r="AZ9">
        <v>21.718548872819984</v>
      </c>
      <c r="BA9">
        <v>177.10224547899998</v>
      </c>
      <c r="BB9">
        <v>4.7940546602754406</v>
      </c>
    </row>
    <row r="11" spans="2:60" ht="12.6" thickBot="1"/>
    <row r="12" spans="2:60" ht="49.8" thickTop="1" thickBot="1">
      <c r="B12" s="1718">
        <v>13.408479576521888</v>
      </c>
      <c r="C12" s="1718">
        <v>40.613690328959507</v>
      </c>
      <c r="D12" s="1718">
        <v>40.613690328959507</v>
      </c>
      <c r="E12" s="1718">
        <v>40.613690328959507</v>
      </c>
      <c r="H12" s="148" t="s">
        <v>385</v>
      </c>
      <c r="I12" s="149" t="s">
        <v>386</v>
      </c>
      <c r="J12" s="149" t="s">
        <v>387</v>
      </c>
      <c r="K12" s="149" t="s">
        <v>388</v>
      </c>
      <c r="L12" s="149" t="s">
        <v>389</v>
      </c>
      <c r="M12" s="149" t="s">
        <v>390</v>
      </c>
      <c r="N12" s="149" t="s">
        <v>391</v>
      </c>
      <c r="O12" s="149" t="s">
        <v>392</v>
      </c>
      <c r="P12" s="149" t="s">
        <v>393</v>
      </c>
      <c r="Q12" s="149" t="s">
        <v>394</v>
      </c>
      <c r="R12" s="149" t="s">
        <v>395</v>
      </c>
      <c r="S12" s="149" t="s">
        <v>396</v>
      </c>
      <c r="T12" s="149" t="s">
        <v>397</v>
      </c>
      <c r="U12" s="149" t="s">
        <v>398</v>
      </c>
      <c r="V12" s="149" t="s">
        <v>399</v>
      </c>
      <c r="W12" s="149" t="s">
        <v>400</v>
      </c>
      <c r="X12" s="149" t="s">
        <v>401</v>
      </c>
      <c r="Y12" s="149" t="s">
        <v>402</v>
      </c>
      <c r="Z12" s="149" t="s">
        <v>403</v>
      </c>
      <c r="AA12" s="149" t="s">
        <v>404</v>
      </c>
      <c r="AB12" s="149" t="s">
        <v>405</v>
      </c>
      <c r="AC12" s="149" t="s">
        <v>406</v>
      </c>
      <c r="AD12" s="149" t="s">
        <v>407</v>
      </c>
      <c r="AE12" s="149" t="s">
        <v>408</v>
      </c>
      <c r="AF12" s="149" t="s">
        <v>409</v>
      </c>
      <c r="AG12" s="149" t="s">
        <v>410</v>
      </c>
      <c r="AH12" s="149" t="s">
        <v>411</v>
      </c>
      <c r="AI12" s="149" t="s">
        <v>412</v>
      </c>
      <c r="AJ12" s="149" t="s">
        <v>413</v>
      </c>
      <c r="AK12" s="149" t="s">
        <v>414</v>
      </c>
      <c r="AL12" s="149" t="s">
        <v>415</v>
      </c>
      <c r="AM12" s="149" t="s">
        <v>440</v>
      </c>
      <c r="AN12" s="149" t="s">
        <v>417</v>
      </c>
      <c r="AO12" s="149" t="s">
        <v>418</v>
      </c>
      <c r="AP12" s="149" t="s">
        <v>419</v>
      </c>
      <c r="AQ12" s="149" t="s">
        <v>420</v>
      </c>
      <c r="AR12" s="149" t="s">
        <v>421</v>
      </c>
      <c r="AS12" s="149" t="s">
        <v>422</v>
      </c>
      <c r="AT12" s="149" t="s">
        <v>423</v>
      </c>
      <c r="AU12" s="149" t="s">
        <v>424</v>
      </c>
      <c r="AV12" s="149" t="s">
        <v>425</v>
      </c>
      <c r="AW12" s="149" t="s">
        <v>426</v>
      </c>
      <c r="AX12" s="149" t="s">
        <v>427</v>
      </c>
      <c r="AY12" s="149" t="s">
        <v>428</v>
      </c>
      <c r="AZ12" s="149" t="s">
        <v>429</v>
      </c>
      <c r="BA12" s="149" t="s">
        <v>430</v>
      </c>
      <c r="BB12" s="149" t="s">
        <v>431</v>
      </c>
      <c r="BC12" s="149" t="s">
        <v>432</v>
      </c>
      <c r="BD12" s="149" t="s">
        <v>433</v>
      </c>
      <c r="BE12" s="149" t="s">
        <v>434</v>
      </c>
      <c r="BF12" s="149" t="s">
        <v>435</v>
      </c>
      <c r="BG12" s="149" t="s">
        <v>436</v>
      </c>
      <c r="BH12" s="217" t="s">
        <v>437</v>
      </c>
    </row>
    <row r="13" spans="2:60" ht="49.8" thickTop="1" thickBot="1">
      <c r="B13" s="1716">
        <v>9.9536269316788797</v>
      </c>
      <c r="C13" s="1716">
        <v>40.613690328959507</v>
      </c>
      <c r="D13" s="1716">
        <v>40.613690328959507</v>
      </c>
      <c r="E13" s="1716">
        <v>40.613690328959507</v>
      </c>
      <c r="H13" s="148" t="s">
        <v>385</v>
      </c>
      <c r="I13" s="149" t="s">
        <v>386</v>
      </c>
      <c r="J13" s="149" t="s">
        <v>387</v>
      </c>
      <c r="K13" s="149" t="s">
        <v>388</v>
      </c>
      <c r="L13" s="149" t="s">
        <v>389</v>
      </c>
      <c r="M13" s="149" t="s">
        <v>390</v>
      </c>
      <c r="N13" s="149" t="s">
        <v>391</v>
      </c>
      <c r="O13" s="149" t="s">
        <v>392</v>
      </c>
      <c r="P13" s="149" t="s">
        <v>393</v>
      </c>
      <c r="Q13" s="149" t="s">
        <v>394</v>
      </c>
      <c r="R13" s="149" t="s">
        <v>395</v>
      </c>
      <c r="S13" s="149" t="s">
        <v>396</v>
      </c>
      <c r="T13" s="149" t="s">
        <v>397</v>
      </c>
      <c r="U13" s="149" t="s">
        <v>398</v>
      </c>
      <c r="V13" s="149" t="s">
        <v>399</v>
      </c>
      <c r="W13" s="149" t="s">
        <v>400</v>
      </c>
      <c r="X13" s="149" t="s">
        <v>401</v>
      </c>
      <c r="Y13" s="149" t="s">
        <v>402</v>
      </c>
      <c r="Z13" s="149" t="s">
        <v>403</v>
      </c>
      <c r="AA13" s="149" t="s">
        <v>404</v>
      </c>
      <c r="AB13" s="149" t="s">
        <v>405</v>
      </c>
      <c r="AC13" s="149" t="s">
        <v>406</v>
      </c>
      <c r="AD13" s="149" t="s">
        <v>407</v>
      </c>
      <c r="AE13" s="149" t="s">
        <v>408</v>
      </c>
      <c r="AF13" s="149" t="s">
        <v>409</v>
      </c>
      <c r="AG13" s="149" t="s">
        <v>410</v>
      </c>
      <c r="AH13" s="149" t="s">
        <v>411</v>
      </c>
      <c r="AI13" s="149" t="s">
        <v>412</v>
      </c>
      <c r="AJ13" s="149" t="s">
        <v>413</v>
      </c>
      <c r="AK13" s="149" t="s">
        <v>414</v>
      </c>
      <c r="AL13" s="149" t="s">
        <v>415</v>
      </c>
      <c r="AM13" s="149" t="s">
        <v>416</v>
      </c>
      <c r="AN13" s="149" t="s">
        <v>417</v>
      </c>
      <c r="AO13" s="149" t="s">
        <v>418</v>
      </c>
      <c r="AP13" s="149" t="s">
        <v>419</v>
      </c>
      <c r="AQ13" s="149" t="s">
        <v>420</v>
      </c>
      <c r="AR13" s="149" t="s">
        <v>421</v>
      </c>
      <c r="AS13" s="149" t="s">
        <v>422</v>
      </c>
      <c r="AT13" s="149" t="s">
        <v>423</v>
      </c>
      <c r="AU13" s="149" t="s">
        <v>424</v>
      </c>
      <c r="AV13" s="149" t="s">
        <v>425</v>
      </c>
      <c r="AW13" s="149" t="s">
        <v>426</v>
      </c>
      <c r="AX13" s="149" t="s">
        <v>427</v>
      </c>
      <c r="AY13" s="149" t="s">
        <v>428</v>
      </c>
      <c r="AZ13" s="149" t="s">
        <v>429</v>
      </c>
      <c r="BA13" s="149" t="s">
        <v>430</v>
      </c>
      <c r="BB13" s="149" t="s">
        <v>431</v>
      </c>
      <c r="BC13" s="149" t="s">
        <v>432</v>
      </c>
      <c r="BD13" s="149" t="s">
        <v>433</v>
      </c>
      <c r="BE13" s="149" t="s">
        <v>434</v>
      </c>
      <c r="BF13" s="149" t="s">
        <v>435</v>
      </c>
      <c r="BG13" s="149" t="s">
        <v>436</v>
      </c>
      <c r="BH13" s="217" t="s">
        <v>437</v>
      </c>
    </row>
    <row r="14" spans="2:60" ht="12.6" thickTop="1">
      <c r="B14" s="1716">
        <v>21.093777609270457</v>
      </c>
      <c r="C14" s="1716">
        <v>42.916089404251096</v>
      </c>
      <c r="D14" s="1716">
        <v>42.916089404251096</v>
      </c>
      <c r="E14" s="1716">
        <v>42.916089404251096</v>
      </c>
    </row>
    <row r="15" spans="2:60">
      <c r="B15" s="1716">
        <v>-4.2356587045074825</v>
      </c>
      <c r="C15" s="1716">
        <v>-5.258750070249703</v>
      </c>
      <c r="D15" s="1716">
        <v>-5.258750070249703</v>
      </c>
      <c r="E15" s="1716">
        <v>-5.258750070249703</v>
      </c>
    </row>
    <row r="16" spans="2:60">
      <c r="B16" s="1716">
        <v>15.521260100889569</v>
      </c>
      <c r="C16" s="1716">
        <v>-0.70037447374673656</v>
      </c>
      <c r="D16" s="1716">
        <v>-0.70037447374673656</v>
      </c>
      <c r="E16" s="1716">
        <v>-0.70037447374673656</v>
      </c>
    </row>
    <row r="17" spans="2:5">
      <c r="B17" s="1716">
        <v>6.5880174405587084</v>
      </c>
      <c r="C17" s="1716">
        <v>-3.559797870984589</v>
      </c>
      <c r="D17" s="1716">
        <v>-3.559797870984589</v>
      </c>
      <c r="E17" s="1716">
        <v>-3.559797870984589</v>
      </c>
    </row>
    <row r="18" spans="2:5">
      <c r="B18" s="1716">
        <v>12.723578524034778</v>
      </c>
      <c r="C18" s="1716">
        <v>14.823602345328849</v>
      </c>
      <c r="D18" s="1716">
        <v>14.823602345328849</v>
      </c>
      <c r="E18" s="1716">
        <v>14.823602345328849</v>
      </c>
    </row>
    <row r="19" spans="2:5">
      <c r="B19" s="1717">
        <v>2.7810800157442337</v>
      </c>
      <c r="C19" s="1717">
        <v>0</v>
      </c>
      <c r="D19" s="1717">
        <v>0</v>
      </c>
      <c r="E19" s="1717">
        <v>0</v>
      </c>
    </row>
    <row r="20" spans="2:5">
      <c r="B20" s="1718">
        <v>27.583717650134808</v>
      </c>
      <c r="C20" s="1718">
        <v>32.662387886175523</v>
      </c>
      <c r="D20" s="1718">
        <v>32.662387886175523</v>
      </c>
      <c r="E20" s="1718">
        <v>32.662387886175523</v>
      </c>
    </row>
    <row r="21" spans="2:5">
      <c r="B21" s="1716">
        <v>30.25385747684561</v>
      </c>
      <c r="C21" s="1716">
        <v>32.662387886175523</v>
      </c>
      <c r="D21" s="1716">
        <v>32.662387886175523</v>
      </c>
      <c r="E21" s="1716">
        <v>32.662387886175523</v>
      </c>
    </row>
    <row r="22" spans="2:5">
      <c r="B22" s="1716">
        <v>0.55027810427199597</v>
      </c>
      <c r="C22" s="1716">
        <v>-8.0328202181958641</v>
      </c>
      <c r="D22" s="1716">
        <v>-8.0328202181958641</v>
      </c>
      <c r="E22" s="1716">
        <v>-8.0328202181958641</v>
      </c>
    </row>
    <row r="23" spans="2:5">
      <c r="B23" s="1716">
        <v>-6.6465070887509974</v>
      </c>
      <c r="C23" s="1716">
        <v>-5.258750070249703</v>
      </c>
      <c r="D23" s="1716">
        <v>-5.258750070249703</v>
      </c>
      <c r="E23" s="1716">
        <v>-5.258750070249703</v>
      </c>
    </row>
    <row r="24" spans="2:5">
      <c r="B24" s="1716">
        <v>-12.162162162162161</v>
      </c>
      <c r="C24" s="1716">
        <v>-9.0909090909090917</v>
      </c>
      <c r="D24" s="1716">
        <v>-9.0909090909090917</v>
      </c>
      <c r="E24" s="1716">
        <v>-9.0909090909090917</v>
      </c>
    </row>
    <row r="25" spans="2:5">
      <c r="B25" s="1718">
        <v>17.816341334973387</v>
      </c>
      <c r="C25" s="1716">
        <v>-18.18181818181818</v>
      </c>
      <c r="D25" s="1716">
        <v>-18.18181818181818</v>
      </c>
      <c r="E25" s="1716">
        <v>-18.18181818181818</v>
      </c>
    </row>
    <row r="26" spans="2:5">
      <c r="B26" s="1716">
        <v>-23.899262444767817</v>
      </c>
      <c r="C26" s="1718">
        <v>47.492744071233467</v>
      </c>
      <c r="D26" s="1718">
        <v>47.492744071233467</v>
      </c>
      <c r="E26" s="1718">
        <v>47.492744071233467</v>
      </c>
    </row>
    <row r="27" spans="2:5">
      <c r="B27" s="1716">
        <v>-0.91806755953792751</v>
      </c>
      <c r="C27" s="1716">
        <v>-64.510908151260992</v>
      </c>
      <c r="D27" s="1716">
        <v>-64.510908151260992</v>
      </c>
      <c r="E27" s="1716">
        <v>-64.510908151260992</v>
      </c>
    </row>
    <row r="28" spans="2:5">
      <c r="B28" s="1716">
        <v>-14.191821356920189</v>
      </c>
      <c r="C28" s="1716">
        <v>-2.7109457197411881</v>
      </c>
      <c r="D28" s="1716">
        <v>-2.7109457197411881</v>
      </c>
      <c r="E28" s="1716">
        <v>-2.7109457197411881</v>
      </c>
    </row>
    <row r="29" spans="2:5">
      <c r="B29" s="1718">
        <v>44.41191575038895</v>
      </c>
      <c r="C29" s="1716">
        <v>-27.417635070914741</v>
      </c>
      <c r="D29" s="1716">
        <v>-27.417635070914741</v>
      </c>
      <c r="E29" s="1716">
        <v>-27.417635070914741</v>
      </c>
    </row>
    <row r="30" spans="2:5">
      <c r="B30" s="1716">
        <v>44.825785584736742</v>
      </c>
      <c r="C30" s="1718">
        <v>80.148354762788955</v>
      </c>
      <c r="D30" s="1718">
        <v>80.148354762788955</v>
      </c>
      <c r="E30" s="1718">
        <v>80.148354762788955</v>
      </c>
    </row>
    <row r="31" spans="2:5">
      <c r="B31" s="1716">
        <v>23.402120660783474</v>
      </c>
      <c r="C31" s="1716">
        <v>80.148354762788955</v>
      </c>
      <c r="D31" s="1716">
        <v>80.148354762788955</v>
      </c>
      <c r="E31" s="1716">
        <v>80.148354762788955</v>
      </c>
    </row>
    <row r="32" spans="2:5">
      <c r="B32" s="1716">
        <v>-3.6079262820317233</v>
      </c>
      <c r="C32" s="1716">
        <v>64.77645710920018</v>
      </c>
      <c r="D32" s="1716">
        <v>64.77645710920018</v>
      </c>
      <c r="E32" s="1716">
        <v>64.77645710920018</v>
      </c>
    </row>
    <row r="33" spans="2:5">
      <c r="B33" s="1716">
        <v>1.958302237154868</v>
      </c>
      <c r="C33" s="1716">
        <v>-5.8989694720161454</v>
      </c>
      <c r="D33" s="1716">
        <v>-5.8989694720161454</v>
      </c>
      <c r="E33" s="1716">
        <v>-5.8989694720161454</v>
      </c>
    </row>
    <row r="34" spans="2:5">
      <c r="B34" s="1717">
        <v>5.4054054054054053</v>
      </c>
      <c r="C34" s="1716">
        <v>4.9117587802479488</v>
      </c>
      <c r="D34" s="1716">
        <v>4.9117587802479488</v>
      </c>
      <c r="E34" s="1716">
        <v>4.9117587802479488</v>
      </c>
    </row>
    <row r="35" spans="2:5">
      <c r="C35" s="1716">
        <v>27.272727272727273</v>
      </c>
      <c r="D35" s="1716">
        <v>27.272727272727273</v>
      </c>
      <c r="E35" s="1716">
        <v>27.272727272727273</v>
      </c>
    </row>
    <row r="36" spans="2:5">
      <c r="C36" s="1717">
        <v>27.272727272727273</v>
      </c>
      <c r="D36" s="1717">
        <v>27.272727272727273</v>
      </c>
      <c r="E36" s="1717">
        <v>27.272727272727273</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C2:O21"/>
  <sheetViews>
    <sheetView workbookViewId="0">
      <selection activeCell="QH67" sqref="QH67"/>
    </sheetView>
  </sheetViews>
  <sheetFormatPr baseColWidth="10" defaultRowHeight="12.3"/>
  <sheetData>
    <row r="2" spans="3:15" ht="12.6" thickBot="1"/>
    <row r="3" spans="3:15" ht="15.3" thickBot="1">
      <c r="G3" s="1769" t="s">
        <v>1022</v>
      </c>
      <c r="I3" s="1769" t="s">
        <v>1033</v>
      </c>
    </row>
    <row r="4" spans="3:15" ht="15.3" thickBot="1">
      <c r="G4" s="1770" t="s">
        <v>1023</v>
      </c>
      <c r="I4" s="1770" t="s">
        <v>1034</v>
      </c>
    </row>
    <row r="5" spans="3:15" ht="15.3" thickBot="1">
      <c r="G5" s="1770" t="s">
        <v>1024</v>
      </c>
      <c r="I5" s="1770" t="s">
        <v>1035</v>
      </c>
    </row>
    <row r="6" spans="3:15" ht="15.3" thickBot="1">
      <c r="G6" s="1770" t="s">
        <v>1025</v>
      </c>
      <c r="I6" s="1770" t="s">
        <v>1036</v>
      </c>
    </row>
    <row r="7" spans="3:15" ht="15.3" thickBot="1">
      <c r="G7" s="1770" t="s">
        <v>1026</v>
      </c>
      <c r="I7" s="1770" t="s">
        <v>1037</v>
      </c>
      <c r="M7" s="1854">
        <v>20021</v>
      </c>
      <c r="O7" s="1858">
        <v>19842</v>
      </c>
    </row>
    <row r="8" spans="3:15" ht="15.3" thickBot="1">
      <c r="G8" s="1770">
        <v>415</v>
      </c>
      <c r="I8" s="1770">
        <v>820</v>
      </c>
      <c r="M8" s="1855">
        <v>4527</v>
      </c>
      <c r="O8" s="1859">
        <v>92050</v>
      </c>
    </row>
    <row r="9" spans="3:15" ht="15.3" thickBot="1">
      <c r="G9" s="1770" t="s">
        <v>1027</v>
      </c>
      <c r="I9" s="1770" t="s">
        <v>1038</v>
      </c>
      <c r="M9" s="1855">
        <v>2024</v>
      </c>
      <c r="O9" s="1859">
        <v>18272</v>
      </c>
    </row>
    <row r="10" spans="3:15" ht="15.3" thickBot="1">
      <c r="C10">
        <v>4431.7695400000002</v>
      </c>
      <c r="D10">
        <f>C10/1000</f>
        <v>4.4317695400000003</v>
      </c>
      <c r="G10" s="1770" t="s">
        <v>1028</v>
      </c>
      <c r="I10" s="1771" t="s">
        <v>1032</v>
      </c>
      <c r="M10" s="1856">
        <v>7637</v>
      </c>
      <c r="O10" s="1859">
        <v>1330</v>
      </c>
    </row>
    <row r="11" spans="3:15" ht="15.3" thickBot="1">
      <c r="C11">
        <v>4311.9028600000001</v>
      </c>
      <c r="D11">
        <f t="shared" ref="D11:D21" si="0">C11/1000</f>
        <v>4.31190286</v>
      </c>
      <c r="G11" s="1770" t="s">
        <v>1029</v>
      </c>
      <c r="M11" s="1855">
        <v>4704</v>
      </c>
      <c r="O11" s="1860">
        <v>880</v>
      </c>
    </row>
    <row r="12" spans="3:15" ht="15.3" thickBot="1">
      <c r="C12">
        <v>4620.7410899999995</v>
      </c>
      <c r="D12">
        <f t="shared" si="0"/>
        <v>4.6207410899999992</v>
      </c>
      <c r="G12" s="1770" t="s">
        <v>1030</v>
      </c>
      <c r="M12" s="1857">
        <v>439</v>
      </c>
      <c r="O12" s="1860">
        <v>134</v>
      </c>
    </row>
    <row r="13" spans="3:15" ht="15.3" thickBot="1">
      <c r="C13">
        <v>4333.4164199999996</v>
      </c>
      <c r="D13">
        <f t="shared" si="0"/>
        <v>4.3334164199999998</v>
      </c>
      <c r="G13" s="1770" t="s">
        <v>1031</v>
      </c>
      <c r="M13" s="1856">
        <v>2057</v>
      </c>
      <c r="O13" s="1859">
        <v>8763</v>
      </c>
    </row>
    <row r="14" spans="3:15" ht="15.3" thickBot="1">
      <c r="C14">
        <v>4917.95363</v>
      </c>
      <c r="D14">
        <f t="shared" si="0"/>
        <v>4.9179536300000004</v>
      </c>
      <c r="G14" s="1771" t="s">
        <v>1032</v>
      </c>
      <c r="M14" s="1856">
        <v>1876</v>
      </c>
      <c r="O14" s="1861">
        <v>141271</v>
      </c>
    </row>
    <row r="15" spans="3:15" ht="12.6" thickBot="1">
      <c r="C15">
        <v>5234.0651200000002</v>
      </c>
      <c r="D15">
        <f t="shared" si="0"/>
        <v>5.2340651200000003</v>
      </c>
      <c r="M15" s="1856">
        <v>1956</v>
      </c>
    </row>
    <row r="16" spans="3:15" ht="12.6" thickBot="1">
      <c r="C16">
        <v>5023.8304300000018</v>
      </c>
      <c r="D16">
        <f t="shared" si="0"/>
        <v>5.0238304300000021</v>
      </c>
      <c r="M16" s="1856">
        <v>1648</v>
      </c>
    </row>
    <row r="17" spans="3:13" ht="12.6" thickBot="1">
      <c r="C17">
        <v>5306.5086300000003</v>
      </c>
      <c r="D17">
        <f t="shared" si="0"/>
        <v>5.3065086300000006</v>
      </c>
      <c r="M17" s="1856">
        <v>106076</v>
      </c>
    </row>
    <row r="18" spans="3:13" ht="12.6" thickBot="1">
      <c r="C18">
        <v>5166.8376600000001</v>
      </c>
      <c r="D18">
        <f t="shared" si="0"/>
        <v>5.1668376600000006</v>
      </c>
      <c r="M18" s="1856">
        <v>141271</v>
      </c>
    </row>
    <row r="19" spans="3:13">
      <c r="C19">
        <v>5053.9269099999992</v>
      </c>
      <c r="D19">
        <f t="shared" si="0"/>
        <v>5.0539269099999995</v>
      </c>
    </row>
    <row r="20" spans="3:13">
      <c r="C20">
        <v>5925.961589999999</v>
      </c>
      <c r="D20">
        <f t="shared" si="0"/>
        <v>5.9259615899999991</v>
      </c>
    </row>
    <row r="21" spans="3:13">
      <c r="C21">
        <v>7811.1478500000003</v>
      </c>
      <c r="D21">
        <f t="shared" si="0"/>
        <v>7.8111478500000002</v>
      </c>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4"/>
  <dimension ref="B2:BQ56"/>
  <sheetViews>
    <sheetView topLeftCell="B2" zoomScale="90" zoomScaleNormal="90" workbookViewId="0">
      <pane xSplit="1" ySplit="3" topLeftCell="AC5" activePane="bottomRight" state="frozen"/>
      <selection activeCell="EF320" sqref="EF320"/>
      <selection pane="topRight" activeCell="EF320" sqref="EF320"/>
      <selection pane="bottomLeft" activeCell="EF320" sqref="EF320"/>
      <selection pane="bottomRight" activeCell="AE25" sqref="AE25:AH27"/>
    </sheetView>
  </sheetViews>
  <sheetFormatPr baseColWidth="10" defaultRowHeight="12.3"/>
  <cols>
    <col min="3" max="3" width="11.83203125" bestFit="1" customWidth="1"/>
    <col min="11" max="11" width="11.83203125" bestFit="1" customWidth="1"/>
    <col min="13" max="13" width="3.71875" customWidth="1"/>
    <col min="20" max="20" width="3.71875" customWidth="1"/>
    <col min="31" max="31" width="13" bestFit="1" customWidth="1"/>
    <col min="32" max="33" width="12.83203125" bestFit="1" customWidth="1"/>
    <col min="34" max="34" width="14.44140625" bestFit="1" customWidth="1"/>
    <col min="35" max="48" width="14.44140625" customWidth="1"/>
    <col min="55" max="55" width="14" bestFit="1" customWidth="1"/>
    <col min="56" max="56" width="13.83203125" bestFit="1" customWidth="1"/>
  </cols>
  <sheetData>
    <row r="2" spans="2:69">
      <c r="B2" s="1" t="s">
        <v>1</v>
      </c>
      <c r="AN2" t="s">
        <v>219</v>
      </c>
      <c r="BC2" t="s">
        <v>832</v>
      </c>
    </row>
    <row r="3" spans="2:69" ht="12.6" thickBot="1">
      <c r="U3" s="2149" t="s">
        <v>511</v>
      </c>
      <c r="V3" s="2150"/>
      <c r="W3" s="2150"/>
      <c r="Y3" s="2149" t="s">
        <v>512</v>
      </c>
      <c r="Z3" s="2149"/>
      <c r="AA3" s="2149"/>
      <c r="AB3" s="2149"/>
      <c r="AC3" s="2149"/>
      <c r="AD3" s="2149"/>
    </row>
    <row r="4" spans="2:69" ht="74.400000000000006" thickTop="1" thickBot="1">
      <c r="B4" s="176" t="s">
        <v>0</v>
      </c>
      <c r="C4" s="89" t="s">
        <v>2</v>
      </c>
      <c r="D4" s="95" t="s">
        <v>3</v>
      </c>
      <c r="E4" s="95" t="s">
        <v>4</v>
      </c>
      <c r="F4" s="95" t="s">
        <v>5</v>
      </c>
      <c r="G4" s="95" t="s">
        <v>6</v>
      </c>
      <c r="H4" s="95" t="s">
        <v>7</v>
      </c>
      <c r="I4" s="95" t="s">
        <v>8</v>
      </c>
      <c r="J4" s="96" t="s">
        <v>9</v>
      </c>
      <c r="K4" s="90" t="s">
        <v>10</v>
      </c>
      <c r="L4" s="177" t="s">
        <v>11</v>
      </c>
      <c r="M4" s="178"/>
      <c r="N4" s="95" t="s">
        <v>52</v>
      </c>
      <c r="O4" s="95" t="s">
        <v>57</v>
      </c>
      <c r="P4" s="95" t="s">
        <v>58</v>
      </c>
      <c r="Q4" s="95" t="s">
        <v>55</v>
      </c>
      <c r="R4" s="95" t="s">
        <v>56</v>
      </c>
      <c r="S4" s="177" t="s">
        <v>11</v>
      </c>
      <c r="T4" s="178"/>
      <c r="U4" s="723" t="s">
        <v>454</v>
      </c>
      <c r="V4" s="724" t="s">
        <v>455</v>
      </c>
      <c r="W4" s="724" t="s">
        <v>460</v>
      </c>
      <c r="X4" s="725" t="s">
        <v>456</v>
      </c>
      <c r="Y4" s="723" t="s">
        <v>454</v>
      </c>
      <c r="Z4" s="724" t="s">
        <v>473</v>
      </c>
      <c r="AA4" s="724" t="s">
        <v>474</v>
      </c>
      <c r="AB4" s="724" t="s">
        <v>477</v>
      </c>
      <c r="AC4" s="724" t="s">
        <v>481</v>
      </c>
      <c r="AD4" s="725" t="s">
        <v>486</v>
      </c>
      <c r="AE4" s="723" t="s">
        <v>205</v>
      </c>
      <c r="AF4" s="724" t="s">
        <v>206</v>
      </c>
      <c r="AG4" s="724" t="s">
        <v>207</v>
      </c>
      <c r="AH4" s="725" t="s">
        <v>208</v>
      </c>
      <c r="AI4" s="149" t="s">
        <v>209</v>
      </c>
      <c r="AJ4" s="149" t="s">
        <v>210</v>
      </c>
      <c r="AK4" s="149" t="s">
        <v>211</v>
      </c>
      <c r="AL4" s="149" t="s">
        <v>212</v>
      </c>
      <c r="AM4" s="393" t="s">
        <v>213</v>
      </c>
      <c r="AN4" s="305" t="s">
        <v>205</v>
      </c>
      <c r="AO4" s="305" t="s">
        <v>206</v>
      </c>
      <c r="AP4" s="305" t="s">
        <v>207</v>
      </c>
      <c r="AQ4" s="305" t="s">
        <v>208</v>
      </c>
      <c r="AR4" s="305" t="s">
        <v>209</v>
      </c>
      <c r="AS4" s="305" t="s">
        <v>210</v>
      </c>
      <c r="AT4" s="305" t="s">
        <v>211</v>
      </c>
      <c r="AU4" s="305" t="s">
        <v>212</v>
      </c>
      <c r="AV4" s="305" t="s">
        <v>213</v>
      </c>
      <c r="AW4" s="90" t="s">
        <v>11</v>
      </c>
      <c r="AX4" s="148" t="s">
        <v>87</v>
      </c>
      <c r="AY4" s="149" t="s">
        <v>544</v>
      </c>
      <c r="AZ4" s="149" t="s">
        <v>546</v>
      </c>
      <c r="BA4" s="217" t="s">
        <v>547</v>
      </c>
      <c r="BB4" s="27" t="s">
        <v>11</v>
      </c>
      <c r="BC4" s="149" t="s">
        <v>822</v>
      </c>
      <c r="BD4" s="149" t="s">
        <v>833</v>
      </c>
      <c r="BE4" s="149" t="s">
        <v>723</v>
      </c>
      <c r="BF4" s="149" t="s">
        <v>822</v>
      </c>
      <c r="BG4" s="149" t="s">
        <v>823</v>
      </c>
      <c r="BH4" s="149" t="s">
        <v>723</v>
      </c>
      <c r="BI4" s="27" t="s">
        <v>11</v>
      </c>
      <c r="BJ4" s="149" t="s">
        <v>622</v>
      </c>
      <c r="BK4" s="149" t="s">
        <v>623</v>
      </c>
      <c r="BL4" s="149" t="s">
        <v>624</v>
      </c>
      <c r="BM4" s="149" t="s">
        <v>625</v>
      </c>
      <c r="BN4" s="149" t="s">
        <v>626</v>
      </c>
      <c r="BO4" s="149" t="s">
        <v>627</v>
      </c>
      <c r="BP4" s="149" t="s">
        <v>628</v>
      </c>
      <c r="BQ4" s="149" t="s">
        <v>128</v>
      </c>
    </row>
    <row r="5" spans="2:69" ht="12.6" thickTop="1">
      <c r="B5" s="29">
        <v>2000</v>
      </c>
      <c r="C5" s="5"/>
      <c r="D5" s="6"/>
      <c r="E5" s="6"/>
      <c r="F5" s="6"/>
      <c r="G5" s="6"/>
      <c r="H5" s="6"/>
      <c r="I5" s="6"/>
      <c r="J5" s="7"/>
      <c r="K5" s="28"/>
      <c r="L5" s="24">
        <v>1</v>
      </c>
      <c r="M5" s="175"/>
      <c r="N5" s="17"/>
      <c r="O5" s="92"/>
      <c r="P5" s="92"/>
      <c r="Q5" s="92"/>
      <c r="R5" s="18"/>
      <c r="S5" s="24">
        <v>1</v>
      </c>
      <c r="T5" s="175"/>
      <c r="U5" s="168"/>
      <c r="V5" s="93"/>
      <c r="W5" s="93"/>
      <c r="X5" s="169"/>
      <c r="Y5" s="165"/>
      <c r="Z5" s="166"/>
      <c r="AA5" s="166"/>
      <c r="AB5" s="166"/>
      <c r="AC5" s="166"/>
      <c r="AD5" s="167"/>
      <c r="AE5" s="165"/>
      <c r="AF5" s="166"/>
      <c r="AG5" s="166"/>
      <c r="AH5" s="167"/>
      <c r="AI5" s="1204"/>
      <c r="AJ5" s="92"/>
      <c r="AK5" s="92"/>
      <c r="AL5" s="92"/>
      <c r="AM5" s="18"/>
      <c r="AN5" s="24"/>
      <c r="AO5" s="24"/>
      <c r="AP5" s="24"/>
      <c r="AQ5" s="24"/>
      <c r="AR5" s="24"/>
      <c r="AS5" s="24"/>
      <c r="AT5" s="24"/>
      <c r="AU5" s="24"/>
      <c r="AV5" s="24"/>
      <c r="AW5" s="28">
        <v>1</v>
      </c>
      <c r="AX5" s="17"/>
      <c r="AY5" s="92"/>
      <c r="AZ5" s="92"/>
      <c r="BA5" s="18"/>
      <c r="BB5" s="29">
        <v>1</v>
      </c>
      <c r="BC5" s="394">
        <f>VLOOKUP($B5,Base_Mensuelle!$A$67:$FK$679,108,0)</f>
        <v>0</v>
      </c>
      <c r="BD5" s="394">
        <f>VLOOKUP($B5,Base_Mensuelle!$A$67:$FK$679,109,0)</f>
        <v>0</v>
      </c>
      <c r="BE5" s="394">
        <f>VLOOKUP($B5,Base_Mensuelle!$A$67:$FK$679,107,0)</f>
        <v>0</v>
      </c>
      <c r="BF5" s="92"/>
      <c r="BG5" s="92"/>
      <c r="BH5" s="92"/>
      <c r="BI5" s="29">
        <v>1</v>
      </c>
      <c r="BJ5" s="17"/>
      <c r="BK5" s="92"/>
      <c r="BL5" s="92"/>
      <c r="BM5" s="92"/>
      <c r="BN5" s="92"/>
      <c r="BO5" s="92"/>
      <c r="BP5" s="92"/>
      <c r="BQ5" s="18"/>
    </row>
    <row r="6" spans="2:69">
      <c r="B6" s="29">
        <v>2001</v>
      </c>
      <c r="C6" s="8"/>
      <c r="D6" s="9"/>
      <c r="E6" s="9"/>
      <c r="F6" s="9"/>
      <c r="G6" s="9"/>
      <c r="H6" s="9"/>
      <c r="I6" s="9"/>
      <c r="J6" s="10"/>
      <c r="K6" s="29"/>
      <c r="L6" s="25">
        <v>2</v>
      </c>
      <c r="M6" s="175"/>
      <c r="N6" s="19"/>
      <c r="O6" s="93"/>
      <c r="P6" s="93"/>
      <c r="Q6" s="93"/>
      <c r="R6" s="20"/>
      <c r="S6" s="25">
        <v>2</v>
      </c>
      <c r="T6" s="175"/>
      <c r="U6" s="168"/>
      <c r="V6" s="93"/>
      <c r="W6" s="93"/>
      <c r="X6" s="169"/>
      <c r="Y6" s="168"/>
      <c r="Z6" s="93"/>
      <c r="AA6" s="93"/>
      <c r="AB6" s="93"/>
      <c r="AC6" s="93"/>
      <c r="AD6" s="169"/>
      <c r="AE6" s="168"/>
      <c r="AF6" s="93"/>
      <c r="AG6" s="93"/>
      <c r="AH6" s="169"/>
      <c r="AI6" s="168"/>
      <c r="AJ6" s="1203"/>
      <c r="AK6" s="1203"/>
      <c r="AL6" s="1203"/>
      <c r="AM6" s="20"/>
      <c r="AN6" s="25"/>
      <c r="AO6" s="25"/>
      <c r="AP6" s="25"/>
      <c r="AQ6" s="25"/>
      <c r="AR6" s="25"/>
      <c r="AS6" s="25"/>
      <c r="AT6" s="25"/>
      <c r="AU6" s="25"/>
      <c r="AV6" s="25"/>
      <c r="AW6" s="29">
        <v>2</v>
      </c>
      <c r="AX6" s="19"/>
      <c r="AY6" s="93"/>
      <c r="AZ6" s="93"/>
      <c r="BA6" s="20"/>
      <c r="BB6" s="29">
        <v>2</v>
      </c>
      <c r="BC6" s="182">
        <f>VLOOKUP($B6,Base_Mensuelle!$A$67:$FK$679,108,0)</f>
        <v>0</v>
      </c>
      <c r="BD6" s="1202">
        <f>VLOOKUP($B6,Base_Mensuelle!$A$67:$FK$679,109,0)</f>
        <v>0</v>
      </c>
      <c r="BE6" s="182">
        <f>VLOOKUP($B6,Base_Mensuelle!$A$67:$FK$679,107,0)</f>
        <v>0</v>
      </c>
      <c r="BF6" s="93"/>
      <c r="BG6" s="93"/>
      <c r="BH6" s="93"/>
      <c r="BI6" s="29">
        <v>2</v>
      </c>
      <c r="BJ6" s="19"/>
      <c r="BK6" s="1203"/>
      <c r="BL6" s="1203"/>
      <c r="BM6" s="1203"/>
      <c r="BN6" s="1203"/>
      <c r="BO6" s="1203"/>
      <c r="BP6" s="1203"/>
      <c r="BQ6" s="20"/>
    </row>
    <row r="7" spans="2:69">
      <c r="B7" s="29">
        <v>2002</v>
      </c>
      <c r="C7" s="74"/>
      <c r="D7" s="75">
        <v>159344</v>
      </c>
      <c r="E7" s="9"/>
      <c r="F7" s="9"/>
      <c r="G7" s="75">
        <v>798491</v>
      </c>
      <c r="H7" s="9"/>
      <c r="I7" s="75">
        <v>333680</v>
      </c>
      <c r="J7" s="10"/>
      <c r="K7" s="29"/>
      <c r="L7" s="25">
        <v>3</v>
      </c>
      <c r="M7" s="175"/>
      <c r="N7" s="19"/>
      <c r="O7" s="93"/>
      <c r="P7" s="93"/>
      <c r="Q7" s="93"/>
      <c r="R7" s="20"/>
      <c r="S7" s="25">
        <v>3</v>
      </c>
      <c r="T7" s="175"/>
      <c r="U7" s="168"/>
      <c r="V7" s="93"/>
      <c r="W7" s="93"/>
      <c r="X7" s="169"/>
      <c r="Y7" s="168"/>
      <c r="Z7" s="93"/>
      <c r="AA7" s="93"/>
      <c r="AB7" s="93"/>
      <c r="AC7" s="93"/>
      <c r="AD7" s="169"/>
      <c r="AE7" s="168"/>
      <c r="AF7" s="93"/>
      <c r="AG7" s="93"/>
      <c r="AH7" s="169"/>
      <c r="AI7" s="168"/>
      <c r="AJ7" s="1203"/>
      <c r="AK7" s="1203"/>
      <c r="AL7" s="1203"/>
      <c r="AM7" s="20"/>
      <c r="AN7" s="25"/>
      <c r="AO7" s="25"/>
      <c r="AP7" s="25"/>
      <c r="AQ7" s="25"/>
      <c r="AR7" s="25"/>
      <c r="AS7" s="25"/>
      <c r="AT7" s="25"/>
      <c r="AU7" s="25"/>
      <c r="AV7" s="25"/>
      <c r="AW7" s="29">
        <v>3</v>
      </c>
      <c r="AX7" s="19"/>
      <c r="AY7" s="93"/>
      <c r="AZ7" s="93"/>
      <c r="BA7" s="20"/>
      <c r="BB7" s="29">
        <v>3</v>
      </c>
      <c r="BC7" s="182">
        <f>VLOOKUP($B7,Base_Mensuelle!$A$67:$FK$679,108,0)</f>
        <v>0</v>
      </c>
      <c r="BD7" s="1202">
        <f>VLOOKUP($B7,Base_Mensuelle!$A$67:$FK$679,109,0)</f>
        <v>0</v>
      </c>
      <c r="BE7" s="182">
        <f>VLOOKUP($B7,Base_Mensuelle!$A$67:$FK$679,107,0)</f>
        <v>0</v>
      </c>
      <c r="BF7" s="93"/>
      <c r="BG7" s="93"/>
      <c r="BH7" s="93"/>
      <c r="BI7" s="29">
        <v>3</v>
      </c>
      <c r="BJ7" s="19"/>
      <c r="BK7" s="1203"/>
      <c r="BL7" s="1203"/>
      <c r="BM7" s="1203"/>
      <c r="BN7" s="1203"/>
      <c r="BO7" s="1203"/>
      <c r="BP7" s="1203"/>
      <c r="BQ7" s="20"/>
    </row>
    <row r="8" spans="2:69">
      <c r="B8" s="29">
        <v>2003</v>
      </c>
      <c r="C8" s="74"/>
      <c r="D8" s="75">
        <v>195675</v>
      </c>
      <c r="E8" s="9"/>
      <c r="F8" s="9"/>
      <c r="G8" s="75">
        <v>797055</v>
      </c>
      <c r="H8" s="9"/>
      <c r="I8" s="75">
        <v>318596</v>
      </c>
      <c r="J8" s="10"/>
      <c r="K8" s="29"/>
      <c r="L8" s="25">
        <v>4</v>
      </c>
      <c r="M8" s="175"/>
      <c r="N8" s="19"/>
      <c r="O8" s="93"/>
      <c r="P8" s="93"/>
      <c r="Q8" s="93"/>
      <c r="R8" s="20"/>
      <c r="S8" s="25">
        <v>4</v>
      </c>
      <c r="T8" s="175"/>
      <c r="U8" s="168"/>
      <c r="V8" s="93"/>
      <c r="W8" s="93"/>
      <c r="X8" s="169"/>
      <c r="Y8" s="168"/>
      <c r="Z8" s="93"/>
      <c r="AA8" s="93"/>
      <c r="AB8" s="93"/>
      <c r="AC8" s="93"/>
      <c r="AD8" s="169"/>
      <c r="AE8" s="168"/>
      <c r="AF8" s="93"/>
      <c r="AG8" s="93"/>
      <c r="AH8" s="169"/>
      <c r="AI8" s="168"/>
      <c r="AJ8" s="1203"/>
      <c r="AK8" s="1203"/>
      <c r="AL8" s="1203"/>
      <c r="AM8" s="20"/>
      <c r="AN8" s="25"/>
      <c r="AO8" s="25"/>
      <c r="AP8" s="25"/>
      <c r="AQ8" s="25"/>
      <c r="AR8" s="25"/>
      <c r="AS8" s="25"/>
      <c r="AT8" s="25"/>
      <c r="AU8" s="25"/>
      <c r="AV8" s="25"/>
      <c r="AW8" s="29">
        <v>4</v>
      </c>
      <c r="AX8" s="19"/>
      <c r="AY8" s="93"/>
      <c r="AZ8" s="93"/>
      <c r="BA8" s="20"/>
      <c r="BB8" s="29">
        <v>4</v>
      </c>
      <c r="BC8" s="182">
        <f>VLOOKUP($B8,Base_Mensuelle!$A$67:$FK$679,108,0)</f>
        <v>0</v>
      </c>
      <c r="BD8" s="1202">
        <f>VLOOKUP($B8,Base_Mensuelle!$A$67:$FK$679,109,0)</f>
        <v>0</v>
      </c>
      <c r="BE8" s="182">
        <f>VLOOKUP($B8,Base_Mensuelle!$A$67:$FK$679,107,0)</f>
        <v>0</v>
      </c>
      <c r="BF8" s="93"/>
      <c r="BG8" s="93"/>
      <c r="BH8" s="93"/>
      <c r="BI8" s="29">
        <v>4</v>
      </c>
      <c r="BJ8" s="19"/>
      <c r="BK8" s="1203"/>
      <c r="BL8" s="1203"/>
      <c r="BM8" s="1203"/>
      <c r="BN8" s="1203"/>
      <c r="BO8" s="1203"/>
      <c r="BP8" s="1203"/>
      <c r="BQ8" s="20"/>
    </row>
    <row r="9" spans="2:69">
      <c r="B9" s="29">
        <v>2004</v>
      </c>
      <c r="C9" s="74"/>
      <c r="D9" s="75">
        <v>152112</v>
      </c>
      <c r="E9" s="9"/>
      <c r="F9" s="9"/>
      <c r="G9" s="75">
        <v>716871</v>
      </c>
      <c r="H9" s="9"/>
      <c r="I9" s="75">
        <v>278680</v>
      </c>
      <c r="J9" s="10"/>
      <c r="K9" s="29"/>
      <c r="L9" s="25">
        <v>5</v>
      </c>
      <c r="M9" s="175"/>
      <c r="N9" s="19"/>
      <c r="O9" s="93"/>
      <c r="P9" s="93"/>
      <c r="Q9" s="93"/>
      <c r="R9" s="20"/>
      <c r="S9" s="25">
        <v>5</v>
      </c>
      <c r="T9" s="175"/>
      <c r="U9" s="168"/>
      <c r="V9" s="93"/>
      <c r="W9" s="93"/>
      <c r="X9" s="169"/>
      <c r="Y9" s="168"/>
      <c r="Z9" s="93"/>
      <c r="AA9" s="93"/>
      <c r="AB9" s="93"/>
      <c r="AC9" s="93"/>
      <c r="AD9" s="169"/>
      <c r="AE9" s="168"/>
      <c r="AF9" s="93"/>
      <c r="AG9" s="93"/>
      <c r="AH9" s="169"/>
      <c r="AI9" s="168"/>
      <c r="AJ9" s="1203"/>
      <c r="AK9" s="1203"/>
      <c r="AL9" s="1203"/>
      <c r="AM9" s="20"/>
      <c r="AN9" s="25"/>
      <c r="AO9" s="25"/>
      <c r="AP9" s="25"/>
      <c r="AQ9" s="25"/>
      <c r="AR9" s="25"/>
      <c r="AS9" s="25"/>
      <c r="AT9" s="25"/>
      <c r="AU9" s="25"/>
      <c r="AV9" s="25"/>
      <c r="AW9" s="29">
        <v>5</v>
      </c>
      <c r="AX9" s="19"/>
      <c r="AY9" s="93"/>
      <c r="AZ9" s="93"/>
      <c r="BA9" s="20"/>
      <c r="BB9" s="29">
        <v>5</v>
      </c>
      <c r="BC9" s="182">
        <f>VLOOKUP($B9,Base_Mensuelle!$A$67:$FK$679,108,0)</f>
        <v>0</v>
      </c>
      <c r="BD9" s="1202">
        <f>VLOOKUP($B9,Base_Mensuelle!$A$67:$FK$679,109,0)</f>
        <v>0</v>
      </c>
      <c r="BE9" s="182">
        <f>VLOOKUP($B9,Base_Mensuelle!$A$67:$FK$679,107,0)</f>
        <v>0</v>
      </c>
      <c r="BF9" s="93"/>
      <c r="BG9" s="93"/>
      <c r="BH9" s="93"/>
      <c r="BI9" s="29">
        <v>5</v>
      </c>
      <c r="BJ9" s="19"/>
      <c r="BK9" s="1203"/>
      <c r="BL9" s="1203"/>
      <c r="BM9" s="1203"/>
      <c r="BN9" s="1203"/>
      <c r="BO9" s="1203"/>
      <c r="BP9" s="1203"/>
      <c r="BQ9" s="20"/>
    </row>
    <row r="10" spans="2:69">
      <c r="B10" s="29">
        <v>2005</v>
      </c>
      <c r="C10" s="74"/>
      <c r="D10" s="75">
        <v>195284</v>
      </c>
      <c r="E10" s="9"/>
      <c r="F10" s="9"/>
      <c r="G10" s="75">
        <v>826748</v>
      </c>
      <c r="H10" s="9"/>
      <c r="I10" s="75">
        <v>228272</v>
      </c>
      <c r="J10" s="10"/>
      <c r="K10" s="29"/>
      <c r="L10" s="25">
        <v>6</v>
      </c>
      <c r="M10" s="175"/>
      <c r="N10" s="19"/>
      <c r="O10" s="93"/>
      <c r="P10" s="93"/>
      <c r="Q10" s="93"/>
      <c r="R10" s="20"/>
      <c r="S10" s="25">
        <v>6</v>
      </c>
      <c r="T10" s="175"/>
      <c r="U10" s="168"/>
      <c r="V10" s="93"/>
      <c r="W10" s="93"/>
      <c r="X10" s="169"/>
      <c r="Y10" s="168"/>
      <c r="Z10" s="93"/>
      <c r="AA10" s="93"/>
      <c r="AB10" s="93"/>
      <c r="AC10" s="93"/>
      <c r="AD10" s="169"/>
      <c r="AE10" s="168"/>
      <c r="AF10" s="93"/>
      <c r="AG10" s="93"/>
      <c r="AH10" s="169"/>
      <c r="AI10" s="168"/>
      <c r="AJ10" s="1203"/>
      <c r="AK10" s="1203"/>
      <c r="AL10" s="1203"/>
      <c r="AM10" s="20"/>
      <c r="AN10" s="25"/>
      <c r="AO10" s="25"/>
      <c r="AP10" s="25"/>
      <c r="AQ10" s="25"/>
      <c r="AR10" s="25"/>
      <c r="AS10" s="25"/>
      <c r="AT10" s="25"/>
      <c r="AU10" s="25"/>
      <c r="AV10" s="25"/>
      <c r="AW10" s="29">
        <v>6</v>
      </c>
      <c r="AX10" s="19"/>
      <c r="AY10" s="93"/>
      <c r="AZ10" s="93"/>
      <c r="BA10" s="20"/>
      <c r="BB10" s="29">
        <v>6</v>
      </c>
      <c r="BC10" s="182">
        <f>VLOOKUP($B10,Base_Mensuelle!$A$67:$FK$679,108,0)</f>
        <v>0</v>
      </c>
      <c r="BD10" s="1202">
        <f>VLOOKUP($B10,Base_Mensuelle!$A$67:$FK$679,109,0)</f>
        <v>0</v>
      </c>
      <c r="BE10" s="182">
        <f>VLOOKUP($B10,Base_Mensuelle!$A$67:$FK$679,107,0)</f>
        <v>256493</v>
      </c>
      <c r="BF10" s="93"/>
      <c r="BG10" s="93"/>
      <c r="BH10" s="93"/>
      <c r="BI10" s="29">
        <v>6</v>
      </c>
      <c r="BJ10" s="19"/>
      <c r="BK10" s="1203"/>
      <c r="BL10" s="1203"/>
      <c r="BM10" s="1203"/>
      <c r="BN10" s="1203"/>
      <c r="BO10" s="1203"/>
      <c r="BP10" s="1203"/>
      <c r="BQ10" s="20"/>
    </row>
    <row r="11" spans="2:69">
      <c r="B11" s="29">
        <v>2006</v>
      </c>
      <c r="C11" s="74"/>
      <c r="D11" s="75">
        <v>173670</v>
      </c>
      <c r="E11" s="9"/>
      <c r="F11" s="9"/>
      <c r="G11" s="75">
        <v>809446</v>
      </c>
      <c r="H11" s="9"/>
      <c r="I11" s="75">
        <v>213270</v>
      </c>
      <c r="J11" s="10"/>
      <c r="K11" s="29"/>
      <c r="L11" s="25">
        <v>7</v>
      </c>
      <c r="M11" s="175"/>
      <c r="N11" s="19"/>
      <c r="O11" s="93"/>
      <c r="P11" s="93"/>
      <c r="Q11" s="93"/>
      <c r="R11" s="20"/>
      <c r="S11" s="25">
        <v>7</v>
      </c>
      <c r="T11" s="175"/>
      <c r="U11" s="168"/>
      <c r="V11" s="93"/>
      <c r="W11" s="93"/>
      <c r="X11" s="169"/>
      <c r="Y11" s="168"/>
      <c r="Z11" s="93"/>
      <c r="AA11" s="93"/>
      <c r="AB11" s="93"/>
      <c r="AC11" s="93"/>
      <c r="AD11" s="169"/>
      <c r="AE11" s="430">
        <v>142093</v>
      </c>
      <c r="AF11" s="182">
        <v>145010</v>
      </c>
      <c r="AG11" s="182">
        <v>287103</v>
      </c>
      <c r="AH11" s="282">
        <v>18888</v>
      </c>
      <c r="AI11" s="430"/>
      <c r="AJ11" s="1202"/>
      <c r="AK11" s="1202"/>
      <c r="AL11" s="1202"/>
      <c r="AM11" s="290"/>
      <c r="AN11" s="295"/>
      <c r="AO11" s="295"/>
      <c r="AP11" s="295"/>
      <c r="AQ11" s="295"/>
      <c r="AR11" s="295"/>
      <c r="AS11" s="295"/>
      <c r="AT11" s="295"/>
      <c r="AU11" s="295"/>
      <c r="AV11" s="295"/>
      <c r="AW11" s="29">
        <v>7</v>
      </c>
      <c r="AX11" s="19"/>
      <c r="AY11" s="93"/>
      <c r="AZ11" s="93"/>
      <c r="BA11" s="20"/>
      <c r="BB11" s="29">
        <v>7</v>
      </c>
      <c r="BC11" s="182">
        <f>VLOOKUP($B11,Base_Mensuelle!$A$67:$FK$679,108,0)</f>
        <v>283111</v>
      </c>
      <c r="BD11" s="1202">
        <f>VLOOKUP($B11,Base_Mensuelle!$A$67:$FK$679,109,0)</f>
        <v>797</v>
      </c>
      <c r="BE11" s="182">
        <f>VLOOKUP($B11,Base_Mensuelle!$A$67:$FK$679,107,0)</f>
        <v>283908</v>
      </c>
      <c r="BF11" s="93"/>
      <c r="BG11" s="93"/>
      <c r="BH11" s="93"/>
      <c r="BI11" s="29">
        <v>7</v>
      </c>
      <c r="BJ11" s="19"/>
      <c r="BK11" s="1203"/>
      <c r="BL11" s="1203"/>
      <c r="BM11" s="1203"/>
      <c r="BN11" s="1203"/>
      <c r="BO11" s="1203"/>
      <c r="BP11" s="1203"/>
      <c r="BQ11" s="20"/>
    </row>
    <row r="12" spans="2:69">
      <c r="B12" s="29">
        <v>2007</v>
      </c>
      <c r="C12" s="74"/>
      <c r="D12" s="75">
        <v>186170</v>
      </c>
      <c r="E12" s="9"/>
      <c r="F12" s="9"/>
      <c r="G12" s="75">
        <v>828179</v>
      </c>
      <c r="H12" s="9"/>
      <c r="I12" s="75">
        <v>307031</v>
      </c>
      <c r="J12" s="10"/>
      <c r="K12" s="29"/>
      <c r="L12" s="25">
        <v>8</v>
      </c>
      <c r="M12" s="175"/>
      <c r="N12" s="19"/>
      <c r="O12" s="93"/>
      <c r="P12" s="93"/>
      <c r="Q12" s="93"/>
      <c r="R12" s="20"/>
      <c r="S12" s="25">
        <v>8</v>
      </c>
      <c r="T12" s="175"/>
      <c r="U12" s="168"/>
      <c r="V12" s="93"/>
      <c r="W12" s="93"/>
      <c r="X12" s="169"/>
      <c r="Y12" s="168"/>
      <c r="Z12" s="93"/>
      <c r="AA12" s="93"/>
      <c r="AB12" s="93"/>
      <c r="AC12" s="93"/>
      <c r="AD12" s="169"/>
      <c r="AE12" s="430">
        <v>160014</v>
      </c>
      <c r="AF12" s="182">
        <v>164189</v>
      </c>
      <c r="AG12" s="182">
        <v>324203</v>
      </c>
      <c r="AH12" s="282">
        <v>26091</v>
      </c>
      <c r="AI12" s="430"/>
      <c r="AJ12" s="1202"/>
      <c r="AK12" s="1202"/>
      <c r="AL12" s="1202"/>
      <c r="AM12" s="290"/>
      <c r="AN12" s="295"/>
      <c r="AO12" s="295"/>
      <c r="AP12" s="295"/>
      <c r="AQ12" s="295"/>
      <c r="AR12" s="295"/>
      <c r="AS12" s="295"/>
      <c r="AT12" s="295"/>
      <c r="AU12" s="295"/>
      <c r="AV12" s="295"/>
      <c r="AW12" s="29">
        <v>8</v>
      </c>
      <c r="AX12" s="19"/>
      <c r="AY12" s="93"/>
      <c r="AZ12" s="93"/>
      <c r="BA12" s="20"/>
      <c r="BB12" s="29">
        <v>8</v>
      </c>
      <c r="BC12" s="182">
        <f>VLOOKUP($B12,Base_Mensuelle!$A$67:$FK$679,108,0)</f>
        <v>287633</v>
      </c>
      <c r="BD12" s="1202">
        <f>VLOOKUP($B12,Base_Mensuelle!$A$67:$FK$679,109,0)</f>
        <v>842</v>
      </c>
      <c r="BE12" s="182">
        <f>VLOOKUP($B12,Base_Mensuelle!$A$67:$FK$679,107,0)</f>
        <v>288475</v>
      </c>
      <c r="BF12" s="93"/>
      <c r="BG12" s="93"/>
      <c r="BH12" s="93"/>
      <c r="BI12" s="29">
        <v>8</v>
      </c>
      <c r="BJ12" s="19"/>
      <c r="BK12" s="1203"/>
      <c r="BL12" s="1203"/>
      <c r="BM12" s="1203"/>
      <c r="BN12" s="1203"/>
      <c r="BO12" s="1203"/>
      <c r="BP12" s="1203"/>
      <c r="BQ12" s="20"/>
    </row>
    <row r="13" spans="2:69">
      <c r="B13" s="29">
        <v>2008</v>
      </c>
      <c r="C13" s="74"/>
      <c r="D13" s="75">
        <v>212519</v>
      </c>
      <c r="E13" s="9"/>
      <c r="F13" s="9"/>
      <c r="G13" s="75">
        <v>877222</v>
      </c>
      <c r="H13" s="9"/>
      <c r="I13" s="75">
        <v>287191</v>
      </c>
      <c r="J13" s="10"/>
      <c r="K13" s="29"/>
      <c r="L13" s="25">
        <v>9</v>
      </c>
      <c r="M13" s="175"/>
      <c r="N13" s="19"/>
      <c r="O13" s="93"/>
      <c r="P13" s="93"/>
      <c r="Q13" s="93"/>
      <c r="R13" s="20"/>
      <c r="S13" s="25">
        <v>9</v>
      </c>
      <c r="T13" s="175"/>
      <c r="U13" s="168"/>
      <c r="V13" s="93"/>
      <c r="W13" s="93"/>
      <c r="X13" s="169"/>
      <c r="Y13" s="168"/>
      <c r="Z13" s="93"/>
      <c r="AA13" s="93"/>
      <c r="AB13" s="93"/>
      <c r="AC13" s="93"/>
      <c r="AD13" s="169"/>
      <c r="AE13" s="430">
        <v>168876</v>
      </c>
      <c r="AF13" s="182">
        <v>172658</v>
      </c>
      <c r="AG13" s="182">
        <v>341534</v>
      </c>
      <c r="AH13" s="282">
        <v>34741</v>
      </c>
      <c r="AI13" s="430"/>
      <c r="AJ13" s="1202"/>
      <c r="AK13" s="1202"/>
      <c r="AL13" s="1202"/>
      <c r="AM13" s="290"/>
      <c r="AN13" s="295"/>
      <c r="AO13" s="295"/>
      <c r="AP13" s="295"/>
      <c r="AQ13" s="295"/>
      <c r="AR13" s="295"/>
      <c r="AS13" s="295"/>
      <c r="AT13" s="295"/>
      <c r="AU13" s="295"/>
      <c r="AV13" s="295"/>
      <c r="AW13" s="29">
        <v>9</v>
      </c>
      <c r="AX13" s="19"/>
      <c r="AY13" s="93"/>
      <c r="AZ13" s="93"/>
      <c r="BA13" s="20"/>
      <c r="BB13" s="29">
        <v>9</v>
      </c>
      <c r="BC13" s="182">
        <f>VLOOKUP($B13,Base_Mensuelle!$A$67:$FK$679,108,0)</f>
        <v>308032</v>
      </c>
      <c r="BD13" s="1202">
        <f>VLOOKUP($B13,Base_Mensuelle!$A$67:$FK$679,109,0)</f>
        <v>910</v>
      </c>
      <c r="BE13" s="182">
        <f>VLOOKUP($B13,Base_Mensuelle!$A$67:$FK$679,107,0)</f>
        <v>308942</v>
      </c>
      <c r="BF13" s="93"/>
      <c r="BG13" s="93"/>
      <c r="BH13" s="93"/>
      <c r="BI13" s="29">
        <v>9</v>
      </c>
      <c r="BJ13" s="19"/>
      <c r="BK13" s="1203"/>
      <c r="BL13" s="1203"/>
      <c r="BM13" s="1203"/>
      <c r="BN13" s="1203"/>
      <c r="BO13" s="1203"/>
      <c r="BP13" s="1203"/>
      <c r="BQ13" s="20"/>
    </row>
    <row r="14" spans="2:69">
      <c r="B14" s="29">
        <v>2009</v>
      </c>
      <c r="C14" s="74"/>
      <c r="D14" s="75">
        <v>217168</v>
      </c>
      <c r="E14" s="9"/>
      <c r="F14" s="9"/>
      <c r="G14" s="75">
        <v>865291</v>
      </c>
      <c r="H14" s="9"/>
      <c r="I14" s="75">
        <v>295592</v>
      </c>
      <c r="J14" s="10"/>
      <c r="K14" s="29"/>
      <c r="L14" s="25">
        <v>10</v>
      </c>
      <c r="M14" s="175"/>
      <c r="N14" s="19"/>
      <c r="O14" s="93"/>
      <c r="P14" s="93"/>
      <c r="Q14" s="93"/>
      <c r="R14" s="20"/>
      <c r="S14" s="25">
        <v>10</v>
      </c>
      <c r="T14" s="175"/>
      <c r="U14" s="168"/>
      <c r="V14" s="93"/>
      <c r="W14" s="93"/>
      <c r="X14" s="169"/>
      <c r="Y14" s="168"/>
      <c r="Z14" s="93"/>
      <c r="AA14" s="93"/>
      <c r="AB14" s="93"/>
      <c r="AC14" s="93"/>
      <c r="AD14" s="169"/>
      <c r="AE14" s="430">
        <v>172572</v>
      </c>
      <c r="AF14" s="182">
        <v>176130</v>
      </c>
      <c r="AG14" s="182">
        <v>348702</v>
      </c>
      <c r="AH14" s="282">
        <v>27963</v>
      </c>
      <c r="AI14" s="430"/>
      <c r="AJ14" s="1202"/>
      <c r="AK14" s="1202"/>
      <c r="AL14" s="1202"/>
      <c r="AM14" s="290"/>
      <c r="AN14" s="295"/>
      <c r="AO14" s="295"/>
      <c r="AP14" s="295"/>
      <c r="AQ14" s="295"/>
      <c r="AR14" s="295"/>
      <c r="AS14" s="295"/>
      <c r="AT14" s="295"/>
      <c r="AU14" s="295"/>
      <c r="AV14" s="295"/>
      <c r="AW14" s="29">
        <v>10</v>
      </c>
      <c r="AX14" s="19"/>
      <c r="AY14" s="93"/>
      <c r="AZ14" s="93"/>
      <c r="BA14" s="20"/>
      <c r="BB14" s="29">
        <v>10</v>
      </c>
      <c r="BC14" s="182">
        <f>VLOOKUP($B14,Base_Mensuelle!$A$67:$FK$679,108,0)</f>
        <v>337155</v>
      </c>
      <c r="BD14" s="1202">
        <f>VLOOKUP($B14,Base_Mensuelle!$A$67:$FK$679,109,0)</f>
        <v>1016</v>
      </c>
      <c r="BE14" s="182">
        <f>VLOOKUP($B14,Base_Mensuelle!$A$67:$FK$679,107,0)</f>
        <v>338171</v>
      </c>
      <c r="BF14" s="93"/>
      <c r="BG14" s="93"/>
      <c r="BH14" s="93"/>
      <c r="BI14" s="29">
        <v>10</v>
      </c>
      <c r="BJ14" s="19"/>
      <c r="BK14" s="1203"/>
      <c r="BL14" s="1203"/>
      <c r="BM14" s="1203"/>
      <c r="BN14" s="1203"/>
      <c r="BO14" s="1203"/>
      <c r="BP14" s="1203"/>
      <c r="BQ14" s="20"/>
    </row>
    <row r="15" spans="2:69">
      <c r="B15" s="29">
        <v>2010</v>
      </c>
      <c r="C15" s="74"/>
      <c r="D15" s="75">
        <v>225381</v>
      </c>
      <c r="E15" s="9"/>
      <c r="F15" s="9"/>
      <c r="G15" s="75">
        <v>925406</v>
      </c>
      <c r="H15" s="9"/>
      <c r="I15" s="75">
        <v>299328</v>
      </c>
      <c r="J15" s="10"/>
      <c r="K15" s="29"/>
      <c r="L15" s="25">
        <v>11</v>
      </c>
      <c r="M15" s="175"/>
      <c r="N15" s="19"/>
      <c r="O15" s="93"/>
      <c r="P15" s="93"/>
      <c r="Q15" s="93"/>
      <c r="R15" s="20"/>
      <c r="S15" s="25">
        <v>11</v>
      </c>
      <c r="T15" s="175"/>
      <c r="U15" s="168"/>
      <c r="V15" s="93"/>
      <c r="W15" s="93"/>
      <c r="X15" s="169"/>
      <c r="Y15" s="168"/>
      <c r="Z15" s="93"/>
      <c r="AA15" s="93"/>
      <c r="AB15" s="93"/>
      <c r="AC15" s="93"/>
      <c r="AD15" s="169"/>
      <c r="AE15" s="430">
        <v>190341</v>
      </c>
      <c r="AF15" s="182">
        <v>190181</v>
      </c>
      <c r="AG15" s="182">
        <v>380522</v>
      </c>
      <c r="AH15" s="282">
        <v>46533</v>
      </c>
      <c r="AI15" s="430"/>
      <c r="AJ15" s="1202"/>
      <c r="AK15" s="1202"/>
      <c r="AL15" s="1202"/>
      <c r="AM15" s="290"/>
      <c r="AN15" s="295"/>
      <c r="AO15" s="295"/>
      <c r="AP15" s="295"/>
      <c r="AQ15" s="295"/>
      <c r="AR15" s="295"/>
      <c r="AS15" s="295"/>
      <c r="AT15" s="295"/>
      <c r="AU15" s="295"/>
      <c r="AV15" s="295"/>
      <c r="AW15" s="29">
        <v>11</v>
      </c>
      <c r="AX15" s="19"/>
      <c r="AY15" s="93"/>
      <c r="AZ15" s="93"/>
      <c r="BA15" s="20"/>
      <c r="BB15" s="29">
        <v>11</v>
      </c>
      <c r="BC15" s="182">
        <f>VLOOKUP($B15,Base_Mensuelle!$A$67:$FK$679,108,0)</f>
        <v>361092</v>
      </c>
      <c r="BD15" s="1202">
        <f>VLOOKUP($B15,Base_Mensuelle!$A$67:$FK$679,109,0)</f>
        <v>1073</v>
      </c>
      <c r="BE15" s="182">
        <f>VLOOKUP($B15,Base_Mensuelle!$A$67:$FK$679,107,0)</f>
        <v>362165</v>
      </c>
      <c r="BF15" s="93"/>
      <c r="BG15" s="93"/>
      <c r="BH15" s="93"/>
      <c r="BI15" s="29">
        <v>11</v>
      </c>
      <c r="BJ15" s="19"/>
      <c r="BK15" s="1203"/>
      <c r="BL15" s="1203"/>
      <c r="BM15" s="1203"/>
      <c r="BN15" s="1203"/>
      <c r="BO15" s="1203"/>
      <c r="BP15" s="1203"/>
      <c r="BQ15" s="20"/>
    </row>
    <row r="16" spans="2:69">
      <c r="B16" s="29">
        <v>2011</v>
      </c>
      <c r="C16" s="74"/>
      <c r="D16" s="75">
        <v>226111</v>
      </c>
      <c r="E16" s="9"/>
      <c r="F16" s="9"/>
      <c r="G16" s="75">
        <v>971093</v>
      </c>
      <c r="H16" s="9"/>
      <c r="I16" s="75">
        <v>319520</v>
      </c>
      <c r="J16" s="10"/>
      <c r="K16" s="29"/>
      <c r="L16" s="25">
        <v>12</v>
      </c>
      <c r="M16" s="175"/>
      <c r="N16" s="19"/>
      <c r="O16" s="93"/>
      <c r="P16" s="93"/>
      <c r="Q16" s="93"/>
      <c r="R16" s="20"/>
      <c r="S16" s="25">
        <v>12</v>
      </c>
      <c r="T16" s="175"/>
      <c r="U16" s="168"/>
      <c r="V16" s="93"/>
      <c r="W16" s="93"/>
      <c r="X16" s="169"/>
      <c r="Y16" s="168"/>
      <c r="Z16" s="93"/>
      <c r="AA16" s="93"/>
      <c r="AB16" s="93"/>
      <c r="AC16" s="93"/>
      <c r="AD16" s="169"/>
      <c r="AE16" s="430">
        <v>185829</v>
      </c>
      <c r="AF16" s="182">
        <v>193576</v>
      </c>
      <c r="AG16" s="182">
        <v>379405</v>
      </c>
      <c r="AH16" s="765">
        <f>(((AH15/AH14-1)+(AH14/AH13-1))/2+1)*AH15</f>
        <v>57444.777849784667</v>
      </c>
      <c r="AI16" s="430"/>
      <c r="AJ16" s="1202"/>
      <c r="AK16" s="1202"/>
      <c r="AL16" s="1202"/>
      <c r="AM16" s="290"/>
      <c r="AN16" s="295"/>
      <c r="AO16" s="295"/>
      <c r="AP16" s="295"/>
      <c r="AQ16" s="295"/>
      <c r="AR16" s="295"/>
      <c r="AS16" s="295"/>
      <c r="AT16" s="295"/>
      <c r="AU16" s="295"/>
      <c r="AV16" s="295"/>
      <c r="AW16" s="29">
        <v>12</v>
      </c>
      <c r="AX16" s="19"/>
      <c r="AY16" s="93"/>
      <c r="AZ16" s="93"/>
      <c r="BA16" s="20"/>
      <c r="BB16" s="29">
        <v>12</v>
      </c>
      <c r="BC16" s="182">
        <f>VLOOKUP($B16,Base_Mensuelle!$A$67:$FK$679,108,0)</f>
        <v>400356</v>
      </c>
      <c r="BD16" s="1202">
        <f>VLOOKUP($B16,Base_Mensuelle!$A$67:$FK$679,109,0)</f>
        <v>1120</v>
      </c>
      <c r="BE16" s="182">
        <f>VLOOKUP($B16,Base_Mensuelle!$A$67:$FK$679,107,0)</f>
        <v>401476</v>
      </c>
      <c r="BF16" s="93"/>
      <c r="BG16" s="93"/>
      <c r="BH16" s="93"/>
      <c r="BI16" s="29">
        <v>12</v>
      </c>
      <c r="BJ16" s="19"/>
      <c r="BK16" s="1203"/>
      <c r="BL16" s="1203"/>
      <c r="BM16" s="1203"/>
      <c r="BN16" s="1203"/>
      <c r="BO16" s="1203"/>
      <c r="BP16" s="1203"/>
      <c r="BQ16" s="20"/>
    </row>
    <row r="17" spans="2:69">
      <c r="B17" s="29">
        <v>2012</v>
      </c>
      <c r="C17" s="74"/>
      <c r="D17" s="75">
        <v>250297</v>
      </c>
      <c r="E17" s="9"/>
      <c r="F17" s="9"/>
      <c r="G17" s="75">
        <v>1061514</v>
      </c>
      <c r="H17" s="9"/>
      <c r="I17" s="75">
        <v>355739</v>
      </c>
      <c r="J17" s="10"/>
      <c r="K17" s="29"/>
      <c r="L17" s="25">
        <v>13</v>
      </c>
      <c r="M17" s="175"/>
      <c r="N17" s="19"/>
      <c r="O17" s="93"/>
      <c r="P17" s="93"/>
      <c r="Q17" s="93"/>
      <c r="R17" s="20"/>
      <c r="S17" s="25">
        <v>13</v>
      </c>
      <c r="T17" s="175"/>
      <c r="U17" s="168"/>
      <c r="V17" s="93"/>
      <c r="W17" s="93"/>
      <c r="X17" s="169"/>
      <c r="Y17" s="168"/>
      <c r="Z17" s="93"/>
      <c r="AA17" s="93"/>
      <c r="AB17" s="93"/>
      <c r="AC17" s="93"/>
      <c r="AD17" s="169"/>
      <c r="AE17" s="430">
        <v>203284</v>
      </c>
      <c r="AF17" s="182">
        <v>210658</v>
      </c>
      <c r="AG17" s="182">
        <v>413942</v>
      </c>
      <c r="AH17" s="765">
        <f>(((AH16/AH15-1)+(AH15/AH14-1))/2+1)*AH16</f>
        <v>83254.352014399701</v>
      </c>
      <c r="AI17" s="430"/>
      <c r="AJ17" s="1202"/>
      <c r="AK17" s="1202"/>
      <c r="AL17" s="1202"/>
      <c r="AM17" s="290"/>
      <c r="AN17" s="295"/>
      <c r="AO17" s="295"/>
      <c r="AP17" s="295"/>
      <c r="AQ17" s="295"/>
      <c r="AR17" s="295"/>
      <c r="AS17" s="295"/>
      <c r="AT17" s="295"/>
      <c r="AU17" s="295"/>
      <c r="AV17" s="295"/>
      <c r="AW17" s="29">
        <v>13</v>
      </c>
      <c r="AX17" s="19"/>
      <c r="AY17" s="93"/>
      <c r="AZ17" s="93"/>
      <c r="BA17" s="20"/>
      <c r="BB17" s="29">
        <v>13</v>
      </c>
      <c r="BC17" s="182">
        <f>VLOOKUP($B17,Base_Mensuelle!$A$67:$FK$679,108,0)</f>
        <v>435032</v>
      </c>
      <c r="BD17" s="1202">
        <f>VLOOKUP($B17,Base_Mensuelle!$A$67:$FK$679,109,0)</f>
        <v>1218</v>
      </c>
      <c r="BE17" s="182">
        <f>VLOOKUP($B17,Base_Mensuelle!$A$67:$FK$679,107,0)</f>
        <v>436250</v>
      </c>
      <c r="BF17" s="93"/>
      <c r="BG17" s="93"/>
      <c r="BH17" s="93"/>
      <c r="BI17" s="29">
        <v>13</v>
      </c>
      <c r="BJ17" s="19">
        <f>SUMIF(Base_Trimestrielle!$A$73:$A$276,$B17,Base_Trimestrielle!CU$73:CU$276)</f>
        <v>21326</v>
      </c>
      <c r="BK17" s="1203">
        <f>SUMIF(Base_Trimestrielle!$A$73:$A$276,$B17,Base_Trimestrielle!CV$73:CV$276)</f>
        <v>83776</v>
      </c>
      <c r="BL17" s="1203">
        <f>SUMIF(Base_Trimestrielle!$A$73:$A$276,$B17,Base_Trimestrielle!CW$73:CW$276)</f>
        <v>13976</v>
      </c>
      <c r="BM17" s="1203">
        <f>SUMIF(Base_Trimestrielle!$A$73:$A$276,$B17,Base_Trimestrielle!CX$73:CX$276)</f>
        <v>1518</v>
      </c>
      <c r="BN17" s="1203">
        <f>SUMIF(Base_Trimestrielle!$A$73:$A$276,$B17,Base_Trimestrielle!CY$73:CY$276)</f>
        <v>768</v>
      </c>
      <c r="BO17" s="1203">
        <f>SUMIF(Base_Trimestrielle!$A$73:$A$276,$B17,Base_Trimestrielle!CZ$73:CZ$276)</f>
        <v>1412</v>
      </c>
      <c r="BP17" s="1203">
        <f>SUMIF(Base_Trimestrielle!$A$73:$A$276,$B17,Base_Trimestrielle!DA$73:DA$276)</f>
        <v>7274</v>
      </c>
      <c r="BQ17" s="20">
        <f>SUMIF(Base_Trimestrielle!$A$73:$A$276,$B17,Base_Trimestrielle!DB$73:DB$276)</f>
        <v>130050</v>
      </c>
    </row>
    <row r="18" spans="2:69">
      <c r="B18" s="29">
        <v>2013</v>
      </c>
      <c r="C18" s="74"/>
      <c r="D18" s="75">
        <v>260463</v>
      </c>
      <c r="E18" s="9"/>
      <c r="F18" s="9"/>
      <c r="G18" s="75">
        <v>987395</v>
      </c>
      <c r="H18" s="9"/>
      <c r="I18" s="75">
        <v>331961</v>
      </c>
      <c r="J18" s="10"/>
      <c r="K18" s="29"/>
      <c r="L18" s="25">
        <v>14</v>
      </c>
      <c r="M18" s="175"/>
      <c r="N18" s="19"/>
      <c r="O18" s="93"/>
      <c r="P18" s="93"/>
      <c r="Q18" s="93"/>
      <c r="R18" s="20"/>
      <c r="S18" s="25">
        <v>14</v>
      </c>
      <c r="T18" s="175"/>
      <c r="U18" s="168"/>
      <c r="V18" s="93"/>
      <c r="W18" s="93"/>
      <c r="X18" s="169"/>
      <c r="Y18" s="168"/>
      <c r="Z18" s="93"/>
      <c r="AA18" s="93"/>
      <c r="AB18" s="93"/>
      <c r="AC18" s="93"/>
      <c r="AD18" s="169"/>
      <c r="AE18" s="430">
        <f>SUMIF(Base_Mensuelle!$A$68:$A$679,$B18,Base_Mensuelle!EF$68:EF$679)</f>
        <v>69042</v>
      </c>
      <c r="AF18" s="182">
        <f>SUMIF(Base_Mensuelle!$A$68:$A$679,$B18,Base_Mensuelle!EG$68:EG$679)</f>
        <v>70144</v>
      </c>
      <c r="AG18" s="182">
        <f>SUMIF(Base_Mensuelle!$A$68:$A$679,$B18,Base_Mensuelle!EH$68:EH$679)</f>
        <v>139186</v>
      </c>
      <c r="AH18" s="282">
        <f>SUMIF(Base_Mensuelle!$A$68:$A$679,$B18,Base_Mensuelle!EI$68:EI$679)</f>
        <v>23911</v>
      </c>
      <c r="AI18" s="430">
        <f>SUMIF(Base_Mensuelle!$A$68:$A$679,$B18,Base_Mensuelle!EJ$68:EJ$679)</f>
        <v>1855.8050000000001</v>
      </c>
      <c r="AJ18" s="1202">
        <f>SUMIF(Base_Mensuelle!$A$68:$A$679,$B18,Base_Mensuelle!EK$68:EK$679)</f>
        <v>492.13599999999997</v>
      </c>
      <c r="AK18" s="1202">
        <f>SUMIF(Base_Mensuelle!$A$68:$A$679,$B18,Base_Mensuelle!EL$68:EL$679)</f>
        <v>43.371000000000002</v>
      </c>
      <c r="AL18" s="1202">
        <f>SUMIF(Base_Mensuelle!$A$68:$A$679,$B18,Base_Mensuelle!EM$68:EM$679)</f>
        <v>30.26</v>
      </c>
      <c r="AM18" s="290">
        <f>SUMIF(Base_Mensuelle!$A$68:$A$679,$B18,Base_Mensuelle!EN$68:EN$679)</f>
        <v>2421.5720000000001</v>
      </c>
      <c r="AN18" s="295">
        <f>SUMIF(Base_Mensuelle!$A$68:$A$679,$B18,Base_Mensuelle!EO$68:EO$679)</f>
        <v>1950</v>
      </c>
      <c r="AO18" s="295">
        <f>SUMIF(Base_Mensuelle!$A$68:$A$679,$B18,Base_Mensuelle!EP$68:EP$679)</f>
        <v>497298</v>
      </c>
      <c r="AP18" s="295">
        <f>SUMIF(Base_Mensuelle!$A$68:$A$679,$B18,Base_Mensuelle!EQ$68:EQ$679)</f>
        <v>66213</v>
      </c>
      <c r="AQ18" s="295">
        <f>SUMIF(Base_Mensuelle!$A$68:$A$679,$B18,Base_Mensuelle!ER$68:ER$679)</f>
        <v>67598</v>
      </c>
      <c r="AR18" s="295">
        <f>SUMIF(Base_Mensuelle!$A$68:$A$679,$B18,Base_Mensuelle!ES$68:ES$679)</f>
        <v>133811</v>
      </c>
      <c r="AS18" s="295">
        <f>SUMIF(Base_Mensuelle!$A$68:$A$679,$B18,Base_Mensuelle!ET$68:ET$679)</f>
        <v>22495</v>
      </c>
      <c r="AT18" s="295">
        <f>SUMIF(Base_Mensuelle!$A$68:$A$679,$B18,Base_Mensuelle!EU$68:EU$679)</f>
        <v>1855.8050000000001</v>
      </c>
      <c r="AU18" s="295">
        <f>SUMIF(Base_Mensuelle!$A$68:$A$679,$B18,Base_Mensuelle!EV$68:EV$679)</f>
        <v>492.113</v>
      </c>
      <c r="AV18" s="295">
        <f>SUMIF(Base_Mensuelle!$A$68:$A$679,$B18,Base_Mensuelle!EW$68:EW$679)</f>
        <v>43.371000000000002</v>
      </c>
      <c r="AW18" s="29">
        <v>14</v>
      </c>
      <c r="AX18" s="179">
        <f>SUMIF(Base_Trimestrielle!$A$74:$A$276,$B18,Base_Trimestrielle!R$74:R$276)</f>
        <v>8.5</v>
      </c>
      <c r="AY18" s="99">
        <f>SUMIF(Base_Trimestrielle!$A$74:$A$276,$B18,Base_Trimestrielle!S$74:S$276)</f>
        <v>174.17054300000001</v>
      </c>
      <c r="AZ18" s="99">
        <f>SUMIF(Base_Trimestrielle!$A$74:$A$276,$B18,Base_Trimestrielle!T$74:T$276)</f>
        <v>257.23747067866907</v>
      </c>
      <c r="BA18" s="132">
        <f>SUMIF(Base_Trimestrielle!$A$74:$A$276,$B18,Base_Trimestrielle!U$74:U$276)</f>
        <v>115.41500000000001</v>
      </c>
      <c r="BB18" s="29">
        <v>14</v>
      </c>
      <c r="BC18" s="182">
        <f>VLOOKUP($B18,Base_Mensuelle!$A$67:$FK$679,108,0)</f>
        <v>471097</v>
      </c>
      <c r="BD18" s="1202">
        <f>VLOOKUP($B18,Base_Mensuelle!$A$67:$FK$679,109,0)</f>
        <v>1344</v>
      </c>
      <c r="BE18" s="182">
        <f>VLOOKUP($B18,Base_Mensuelle!$A$67:$FK$679,107,0)</f>
        <v>472441</v>
      </c>
      <c r="BF18" s="99"/>
      <c r="BG18" s="99"/>
      <c r="BH18" s="99"/>
      <c r="BI18" s="29">
        <v>14</v>
      </c>
      <c r="BJ18" s="179">
        <f>SUMIF(Base_Trimestrielle!$A$73:$A$276,$B18,Base_Trimestrielle!CU$73:CU$276)</f>
        <v>76018</v>
      </c>
      <c r="BK18" s="1209">
        <f>SUMIF(Base_Trimestrielle!$A$73:$A$276,$B18,Base_Trimestrielle!CV$73:CV$276)</f>
        <v>319211</v>
      </c>
      <c r="BL18" s="1209">
        <f>SUMIF(Base_Trimestrielle!$A$73:$A$276,$B18,Base_Trimestrielle!CW$73:CW$276)</f>
        <v>58959</v>
      </c>
      <c r="BM18" s="1209">
        <f>SUMIF(Base_Trimestrielle!$A$73:$A$276,$B18,Base_Trimestrielle!CX$73:CX$276)</f>
        <v>3910</v>
      </c>
      <c r="BN18" s="1209">
        <f>SUMIF(Base_Trimestrielle!$A$73:$A$276,$B18,Base_Trimestrielle!CY$73:CY$276)</f>
        <v>2636</v>
      </c>
      <c r="BO18" s="1210">
        <f>SUMIF(Base_Trimestrielle!$A$73:$A$276,$B18,Base_Trimestrielle!CZ$73:CZ$276)</f>
        <v>4672</v>
      </c>
      <c r="BP18" s="1209">
        <f>SUMIF(Base_Trimestrielle!$A$73:$A$276,$B18,Base_Trimestrielle!DA$73:DA$276)</f>
        <v>41230</v>
      </c>
      <c r="BQ18" s="132">
        <f>SUMIF(Base_Trimestrielle!$A$73:$A$276,$B18,Base_Trimestrielle!DB$73:DB$276)</f>
        <v>506636</v>
      </c>
    </row>
    <row r="19" spans="2:69">
      <c r="B19" s="29">
        <v>2014</v>
      </c>
      <c r="C19" s="74"/>
      <c r="D19" s="75">
        <v>237497</v>
      </c>
      <c r="E19" s="9"/>
      <c r="F19" s="9"/>
      <c r="G19" s="75">
        <v>1026913</v>
      </c>
      <c r="H19" s="9"/>
      <c r="I19" s="75">
        <v>351901</v>
      </c>
      <c r="J19" s="10"/>
      <c r="K19" s="29"/>
      <c r="L19" s="25">
        <v>15</v>
      </c>
      <c r="M19" s="175"/>
      <c r="N19" s="19"/>
      <c r="O19" s="93"/>
      <c r="P19" s="93"/>
      <c r="Q19" s="93"/>
      <c r="R19" s="20"/>
      <c r="S19" s="25">
        <v>15</v>
      </c>
      <c r="T19" s="175"/>
      <c r="U19" s="168"/>
      <c r="V19" s="93"/>
      <c r="W19" s="93"/>
      <c r="X19" s="169"/>
      <c r="Y19" s="168"/>
      <c r="Z19" s="93"/>
      <c r="AA19" s="93"/>
      <c r="AB19" s="93"/>
      <c r="AC19" s="93"/>
      <c r="AD19" s="169"/>
      <c r="AE19" s="430">
        <f>SUMIF(Base_Mensuelle!$A$68:$A$679,$B19,Base_Mensuelle!EF$68:EF$679)</f>
        <v>222743.88181536971</v>
      </c>
      <c r="AF19" s="182">
        <f>SUMIF(Base_Mensuelle!$A$68:$A$679,$B19,Base_Mensuelle!EG$68:EG$679)</f>
        <v>214941.84037430913</v>
      </c>
      <c r="AG19" s="182">
        <f>SUMIF(Base_Mensuelle!$A$68:$A$679,$B19,Base_Mensuelle!EH$68:EH$679)</f>
        <v>429086.08807285014</v>
      </c>
      <c r="AH19" s="282">
        <f>SUMIF(Base_Mensuelle!$A$68:$A$679,$B19,Base_Mensuelle!EI$68:EI$679)</f>
        <v>103353.76065518135</v>
      </c>
      <c r="AI19" s="430">
        <f>SUMIF(Base_Mensuelle!$A$68:$A$679,$B19,Base_Mensuelle!EJ$68:EJ$679)</f>
        <v>4822.391081683767</v>
      </c>
      <c r="AJ19" s="1202">
        <f>SUMIF(Base_Mensuelle!$A$68:$A$679,$B19,Base_Mensuelle!EK$68:EK$679)</f>
        <v>18015.054815230735</v>
      </c>
      <c r="AK19" s="1202">
        <f>SUMIF(Base_Mensuelle!$A$68:$A$679,$B19,Base_Mensuelle!EL$68:EL$679)</f>
        <v>161.13818331257164</v>
      </c>
      <c r="AL19" s="1202">
        <f>SUMIF(Base_Mensuelle!$A$68:$A$679,$B19,Base_Mensuelle!EM$68:EM$679)</f>
        <v>40.870841203445337</v>
      </c>
      <c r="AM19" s="290">
        <f>SUMIF(Base_Mensuelle!$A$68:$A$679,$B19,Base_Mensuelle!EN$68:EN$679)</f>
        <v>8181.4004608276973</v>
      </c>
      <c r="AN19" s="295">
        <f>SUMIF(Base_Mensuelle!$A$68:$A$679,$B19,Base_Mensuelle!EO$68:EO$679)</f>
        <v>2094</v>
      </c>
      <c r="AO19" s="295">
        <f>SUMIF(Base_Mensuelle!$A$68:$A$679,$B19,Base_Mensuelle!EP$68:EP$679)</f>
        <v>501678</v>
      </c>
      <c r="AP19" s="295">
        <f>SUMIF(Base_Mensuelle!$A$68:$A$679,$B19,Base_Mensuelle!EQ$68:EQ$679)</f>
        <v>220969.02198925568</v>
      </c>
      <c r="AQ19" s="295">
        <f>SUMIF(Base_Mensuelle!$A$68:$A$679,$B19,Base_Mensuelle!ER$68:ER$679)</f>
        <v>208430.70013864659</v>
      </c>
      <c r="AR19" s="295">
        <f>SUMIF(Base_Mensuelle!$A$68:$A$679,$B19,Base_Mensuelle!ES$68:ES$679)</f>
        <v>421292.18487296079</v>
      </c>
      <c r="AS19" s="295">
        <f>SUMIF(Base_Mensuelle!$A$68:$A$679,$B19,Base_Mensuelle!ET$68:ET$679)</f>
        <v>101511.2825370248</v>
      </c>
      <c r="AT19" s="295">
        <f>SUMIF(Base_Mensuelle!$A$68:$A$679,$B19,Base_Mensuelle!EU$68:EU$679)</f>
        <v>4822.208081683767</v>
      </c>
      <c r="AU19" s="295">
        <f>SUMIF(Base_Mensuelle!$A$68:$A$679,$B19,Base_Mensuelle!EV$68:EV$679)</f>
        <v>18018.590962656039</v>
      </c>
      <c r="AV19" s="295">
        <f>SUMIF(Base_Mensuelle!$A$68:$A$679,$B19,Base_Mensuelle!EW$68:EW$679)</f>
        <v>161.13818331257164</v>
      </c>
      <c r="AW19" s="29">
        <v>15</v>
      </c>
      <c r="AX19" s="179">
        <f>SUMIF(Base_Trimestrielle!$A$74:$A$276,$B19,Base_Trimestrielle!R$74:R$276)</f>
        <v>36.291370010000001</v>
      </c>
      <c r="AY19" s="99">
        <f>SUMIF(Base_Trimestrielle!$A$74:$A$276,$B19,Base_Trimestrielle!S$74:S$276)</f>
        <v>241.637</v>
      </c>
      <c r="AZ19" s="99">
        <f>SUMIF(Base_Trimestrielle!$A$74:$A$276,$B19,Base_Trimestrielle!T$74:T$276)</f>
        <v>2814.8435908016354</v>
      </c>
      <c r="BA19" s="132">
        <f>SUMIF(Base_Trimestrielle!$A$74:$A$276,$B19,Base_Trimestrielle!U$74:U$276)</f>
        <v>403.053</v>
      </c>
      <c r="BB19" s="29">
        <v>15</v>
      </c>
      <c r="BC19" s="182">
        <f>VLOOKUP($B19,Base_Mensuelle!$A$67:$FK$679,108,0)</f>
        <v>507074</v>
      </c>
      <c r="BD19" s="1202">
        <f>VLOOKUP($B19,Base_Mensuelle!$A$67:$FK$679,109,0)</f>
        <v>1425</v>
      </c>
      <c r="BE19" s="182">
        <f>VLOOKUP($B19,Base_Mensuelle!$A$67:$FK$679,107,0)</f>
        <v>508499</v>
      </c>
      <c r="BF19" s="99"/>
      <c r="BG19" s="99"/>
      <c r="BH19" s="99"/>
      <c r="BI19" s="29">
        <v>15</v>
      </c>
      <c r="BJ19" s="179">
        <f>SUMIF(Base_Trimestrielle!$A$73:$A$276,$B19,Base_Trimestrielle!CU$73:CU$276)</f>
        <v>60640.198575293842</v>
      </c>
      <c r="BK19" s="1209">
        <f>SUMIF(Base_Trimestrielle!$A$73:$A$276,$B19,Base_Trimestrielle!CV$73:CV$276)</f>
        <v>281012.75157182472</v>
      </c>
      <c r="BL19" s="1209">
        <f>SUMIF(Base_Trimestrielle!$A$73:$A$276,$B19,Base_Trimestrielle!CW$73:CW$276)</f>
        <v>65041.022492643242</v>
      </c>
      <c r="BM19" s="1209">
        <f>SUMIF(Base_Trimestrielle!$A$73:$A$276,$B19,Base_Trimestrielle!CX$73:CX$276)</f>
        <v>3025.5911321635517</v>
      </c>
      <c r="BN19" s="1209">
        <f>SUMIF(Base_Trimestrielle!$A$73:$A$276,$B19,Base_Trimestrielle!CY$73:CY$276)</f>
        <v>1905.6966898218764</v>
      </c>
      <c r="BO19" s="1209">
        <f>SUMIF(Base_Trimestrielle!$A$73:$A$276,$B19,Base_Trimestrielle!CZ$73:CZ$276)</f>
        <v>3531.4834098961628</v>
      </c>
      <c r="BP19" s="1209">
        <f>SUMIF(Base_Trimestrielle!$A$73:$A$276,$B19,Base_Trimestrielle!DA$73:DA$276)</f>
        <v>32269.136174021514</v>
      </c>
      <c r="BQ19" s="132">
        <f>SUMIF(Base_Trimestrielle!$A$73:$A$276,$B19,Base_Trimestrielle!DB$73:DB$276)</f>
        <v>440663.55063125439</v>
      </c>
    </row>
    <row r="20" spans="2:69">
      <c r="B20" s="29">
        <v>2015</v>
      </c>
      <c r="C20" s="74">
        <f>SUMIF(Base_Mensuelle!$A$68:$A$299,$B20,Base_Mensuelle!C$68:C$299)</f>
        <v>18428</v>
      </c>
      <c r="D20" s="75">
        <f>SUMIF(Base_Mensuelle!$A$68:$A$299,$B20,Base_Mensuelle!D$68:D$299)</f>
        <v>271987</v>
      </c>
      <c r="E20" s="75">
        <f>SUMIF(Base_Mensuelle!$A$68:$A$299,$B20,Base_Mensuelle!E$68:E$299)</f>
        <v>860</v>
      </c>
      <c r="F20" s="75">
        <f>SUMIF(Base_Mensuelle!$A$68:$A$299,$B20,Base_Mensuelle!F$68:F$299)</f>
        <v>7087</v>
      </c>
      <c r="G20" s="75">
        <f>SUMIF(Base_Mensuelle!$A$68:$A$299,$B20,Base_Mensuelle!G$68:G$299)</f>
        <v>1241471</v>
      </c>
      <c r="H20" s="75">
        <f>SUMIF(Base_Mensuelle!$A$68:$A$299,$B20,Base_Mensuelle!H$68:H$299)</f>
        <v>381</v>
      </c>
      <c r="I20" s="75">
        <f>SUMIF(Base_Mensuelle!$A$68:$A$299,$B20,Base_Mensuelle!I$68:I$299)</f>
        <v>393380</v>
      </c>
      <c r="J20" s="76">
        <f>SUMIF(Base_Mensuelle!$A$68:$A$299,$B20,Base_Mensuelle!J$68:J$299)</f>
        <v>183905</v>
      </c>
      <c r="K20" s="77">
        <f>SUM(C20:J20)</f>
        <v>2117499</v>
      </c>
      <c r="L20" s="25">
        <v>16</v>
      </c>
      <c r="M20" s="175"/>
      <c r="N20" s="181">
        <f>AVERAGEIF(Base_Mensuelle!$A$68:$A$679,ANN_Base_mens!$B20,Base_Mensuelle!BY$68:BY$679)</f>
        <v>591.40091333875068</v>
      </c>
      <c r="O20" s="182">
        <f>AVERAGEIF(Base_Mensuelle!$A$68:$A$679,ANN_Base_mens!$B20,Base_Mensuelle!BZ$68:BZ$679)</f>
        <v>664.95700000000011</v>
      </c>
      <c r="P20" s="182">
        <f>AVERAGEIF(Base_Mensuelle!$A$68:$A$679,ANN_Base_mens!$B20,Base_Mensuelle!CA$68:CA$679)</f>
        <v>614.62139318607603</v>
      </c>
      <c r="Q20" s="182">
        <f>AVERAGEIF(Base_Mensuelle!$A$68:$A$679,ANN_Base_mens!$B20,Base_Mensuelle!CB$68:CB$679)</f>
        <v>46.60656756714237</v>
      </c>
      <c r="R20" s="132">
        <f>AVERAGEIF(Base_Mensuelle!$A$68:$A$679,ANN_Base_mens!$B20,Base_Mensuelle!CC$68:CC$679)</f>
        <v>159.23076605079947</v>
      </c>
      <c r="S20" s="25">
        <v>16</v>
      </c>
      <c r="T20" s="175"/>
      <c r="U20" s="168"/>
      <c r="V20" s="93"/>
      <c r="W20" s="93"/>
      <c r="X20" s="169"/>
      <c r="Y20" s="168"/>
      <c r="Z20" s="93"/>
      <c r="AA20" s="93"/>
      <c r="AB20" s="93"/>
      <c r="AC20" s="93"/>
      <c r="AD20" s="169"/>
      <c r="AE20" s="430">
        <f>SUMIF(Base_Mensuelle!$A$68:$A$679,$B20,Base_Mensuelle!EF$68:EF$679)</f>
        <v>219296.23428077906</v>
      </c>
      <c r="AF20" s="182">
        <f>SUMIF(Base_Mensuelle!$A$68:$A$679,$B20,Base_Mensuelle!EG$68:EG$679)</f>
        <v>244127.42302692463</v>
      </c>
      <c r="AG20" s="182">
        <f>SUMIF(Base_Mensuelle!$A$68:$A$679,$B20,Base_Mensuelle!EH$68:EH$679)</f>
        <v>461541.14580678678</v>
      </c>
      <c r="AH20" s="282">
        <f>SUMIF(Base_Mensuelle!$A$68:$A$679,$B20,Base_Mensuelle!EI$68:EI$679)</f>
        <v>85485.657429590719</v>
      </c>
      <c r="AI20" s="430">
        <f>SUMIF(Base_Mensuelle!$A$68:$A$679,$B20,Base_Mensuelle!EJ$68:EJ$679)</f>
        <v>11995.161619131892</v>
      </c>
      <c r="AJ20" s="1202">
        <f>SUMIF(Base_Mensuelle!$A$68:$A$679,$B20,Base_Mensuelle!EK$68:EK$679)</f>
        <v>3278.4198950342097</v>
      </c>
      <c r="AK20" s="1202">
        <f>SUMIF(Base_Mensuelle!$A$68:$A$679,$B20,Base_Mensuelle!EL$68:EL$679)</f>
        <v>647.86447725541791</v>
      </c>
      <c r="AL20" s="1202">
        <f>SUMIF(Base_Mensuelle!$A$68:$A$679,$B20,Base_Mensuelle!EM$68:EM$679)</f>
        <v>173.25307088645982</v>
      </c>
      <c r="AM20" s="290">
        <f>SUMIF(Base_Mensuelle!$A$68:$A$679,$B20,Base_Mensuelle!EN$68:EN$679)</f>
        <v>14965.17741033799</v>
      </c>
      <c r="AN20" s="295">
        <f>SUMIF(Base_Mensuelle!$A$68:$A$679,$B20,Base_Mensuelle!EO$68:EO$679)</f>
        <v>2238</v>
      </c>
      <c r="AO20" s="295">
        <f>SUMIF(Base_Mensuelle!$A$68:$A$679,$B20,Base_Mensuelle!EP$68:EP$679)</f>
        <v>506058</v>
      </c>
      <c r="AP20" s="295">
        <f>SUMIF(Base_Mensuelle!$A$68:$A$679,$B20,Base_Mensuelle!EQ$68:EQ$679)</f>
        <v>216756.69850957251</v>
      </c>
      <c r="AQ20" s="295">
        <f>SUMIF(Base_Mensuelle!$A$68:$A$679,$B20,Base_Mensuelle!ER$68:ER$679)</f>
        <v>227821.20721294964</v>
      </c>
      <c r="AR20" s="295">
        <f>SUMIF(Base_Mensuelle!$A$68:$A$679,$B20,Base_Mensuelle!ES$68:ES$679)</f>
        <v>444277.7735463783</v>
      </c>
      <c r="AS20" s="295">
        <f>SUMIF(Base_Mensuelle!$A$68:$A$679,$B20,Base_Mensuelle!ET$68:ET$679)</f>
        <v>92995.328122767096</v>
      </c>
      <c r="AT20" s="295">
        <f>SUMIF(Base_Mensuelle!$A$68:$A$679,$B20,Base_Mensuelle!EU$68:EU$679)</f>
        <v>7995.4977494792893</v>
      </c>
      <c r="AU20" s="295">
        <f>SUMIF(Base_Mensuelle!$A$68:$A$679,$B20,Base_Mensuelle!EV$68:EV$679)</f>
        <v>2541.9854753881887</v>
      </c>
      <c r="AV20" s="295">
        <f>SUMIF(Base_Mensuelle!$A$68:$A$679,$B20,Base_Mensuelle!EW$68:EW$679)</f>
        <v>161.76793068007717</v>
      </c>
      <c r="AW20" s="29">
        <v>16</v>
      </c>
      <c r="AX20" s="179">
        <f>SUMIF(Base_Trimestrielle!$A$74:$A$276,$B20,Base_Trimestrielle!R$74:R$276)</f>
        <v>36.173181119999995</v>
      </c>
      <c r="AY20" s="99">
        <f>SUMIF(Base_Trimestrielle!$A$74:$A$276,$B20,Base_Trimestrielle!S$74:S$276)</f>
        <v>263.58842499999997</v>
      </c>
      <c r="AZ20" s="99">
        <f>SUMIF(Base_Trimestrielle!$A$74:$A$276,$B20,Base_Trimestrielle!T$74:T$276)</f>
        <v>3477.5575986173635</v>
      </c>
      <c r="BA20" s="132">
        <f>SUMIF(Base_Trimestrielle!$A$74:$A$276,$B20,Base_Trimestrielle!U$74:U$276)</f>
        <v>263.00099999999998</v>
      </c>
      <c r="BB20" s="29">
        <v>16</v>
      </c>
      <c r="BC20" s="182">
        <f>VLOOKUP($B20,Base_Mensuelle!$A$67:$FK$679,108,0)</f>
        <v>543327</v>
      </c>
      <c r="BD20" s="1202">
        <f>VLOOKUP($B20,Base_Mensuelle!$A$67:$FK$679,109,0)</f>
        <v>1498</v>
      </c>
      <c r="BE20" s="182">
        <f>VLOOKUP($B20,Base_Mensuelle!$A$67:$FK$679,107,0)</f>
        <v>544825</v>
      </c>
      <c r="BF20" s="99"/>
      <c r="BG20" s="99"/>
      <c r="BH20" s="99"/>
      <c r="BI20" s="29">
        <v>16</v>
      </c>
      <c r="BJ20" s="179">
        <f>SUMIF(Base_Trimestrielle!$A$73:$A$276,$B20,Base_Trimestrielle!CU$73:CU$276)</f>
        <v>83456</v>
      </c>
      <c r="BK20" s="1209">
        <f>SUMIF(Base_Trimestrielle!$A$73:$A$276,$B20,Base_Trimestrielle!CV$73:CV$276)</f>
        <v>275232</v>
      </c>
      <c r="BL20" s="1209">
        <f>SUMIF(Base_Trimestrielle!$A$73:$A$276,$B20,Base_Trimestrielle!CW$73:CW$276)</f>
        <v>54191</v>
      </c>
      <c r="BM20" s="1209">
        <f>SUMIF(Base_Trimestrielle!$A$73:$A$276,$B20,Base_Trimestrielle!CX$73:CX$276)</f>
        <v>4487</v>
      </c>
      <c r="BN20" s="1209">
        <f>SUMIF(Base_Trimestrielle!$A$73:$A$276,$B20,Base_Trimestrielle!CY$73:CY$276)</f>
        <v>2339</v>
      </c>
      <c r="BO20" s="1209">
        <f>SUMIF(Base_Trimestrielle!$A$73:$A$276,$B20,Base_Trimestrielle!CZ$73:CZ$276)</f>
        <v>4054</v>
      </c>
      <c r="BP20" s="1209">
        <f>SUMIF(Base_Trimestrielle!$A$73:$A$276,$B20,Base_Trimestrielle!DA$73:DA$276)</f>
        <v>50826</v>
      </c>
      <c r="BQ20" s="132">
        <f>SUMIF(Base_Trimestrielle!$A$73:$A$276,$B20,Base_Trimestrielle!DB$73:DB$276)</f>
        <v>474585</v>
      </c>
    </row>
    <row r="21" spans="2:69">
      <c r="B21" s="29">
        <v>2016</v>
      </c>
      <c r="C21" s="74">
        <f>SUMIF(Base_Mensuelle!$A$68:$A$299,$B21,Base_Mensuelle!C$68:C$299)</f>
        <v>30975</v>
      </c>
      <c r="D21" s="75">
        <f>SUMIF(Base_Mensuelle!$A$68:$A$299,$B21,Base_Mensuelle!D$68:D$299)</f>
        <v>339334</v>
      </c>
      <c r="E21" s="75">
        <f>SUMIF(Base_Mensuelle!$A$68:$A$299,$B21,Base_Mensuelle!E$68:E$299)</f>
        <v>933</v>
      </c>
      <c r="F21" s="75">
        <f>SUMIF(Base_Mensuelle!$A$68:$A$299,$B21,Base_Mensuelle!F$68:F$299)</f>
        <v>5141</v>
      </c>
      <c r="G21" s="75">
        <f>SUMIF(Base_Mensuelle!$A$68:$A$299,$B21,Base_Mensuelle!G$68:G$299)</f>
        <v>1204978</v>
      </c>
      <c r="H21" s="75">
        <f>SUMIF(Base_Mensuelle!$A$68:$A$299,$B21,Base_Mensuelle!H$68:H$299)</f>
        <v>329</v>
      </c>
      <c r="I21" s="75">
        <f>SUMIF(Base_Mensuelle!$A$68:$A$299,$B21,Base_Mensuelle!I$68:I$299)</f>
        <v>436207</v>
      </c>
      <c r="J21" s="76">
        <f>SUMIF(Base_Mensuelle!$A$68:$A$299,$B21,Base_Mensuelle!J$68:J$299)</f>
        <v>207322</v>
      </c>
      <c r="K21" s="77">
        <f>SUM(C21:J21)</f>
        <v>2225219</v>
      </c>
      <c r="L21" s="25">
        <v>17</v>
      </c>
      <c r="M21" s="175"/>
      <c r="N21" s="181">
        <f>AVERAGEIF(Base_Mensuelle!$A$68:$A$679,ANN_Base_mens!$B21,Base_Mensuelle!BY$68:BY$679)</f>
        <v>593.00817042493372</v>
      </c>
      <c r="O21" s="182">
        <f>AVERAGEIF(Base_Mensuelle!$A$68:$A$679,ANN_Base_mens!$B21,Base_Mensuelle!BZ$68:BZ$679)</f>
        <v>664.95700000000011</v>
      </c>
      <c r="P21" s="182">
        <f>AVERAGEIF(Base_Mensuelle!$A$68:$A$679,ANN_Base_mens!$B21,Base_Mensuelle!CA$68:CA$679)</f>
        <v>601.72168372026397</v>
      </c>
      <c r="Q21" s="182">
        <f>AVERAGEIF(Base_Mensuelle!$A$68:$A$679,ANN_Base_mens!$B21,Base_Mensuelle!CB$68:CB$679)</f>
        <v>40.45730237383362</v>
      </c>
      <c r="R21" s="132">
        <f>AVERAGEIF(Base_Mensuelle!$A$68:$A$679,ANN_Base_mens!$B21,Base_Mensuelle!CC$68:CC$679)</f>
        <v>151.72545588713112</v>
      </c>
      <c r="S21" s="25">
        <v>17</v>
      </c>
      <c r="T21" s="175"/>
      <c r="U21" s="168"/>
      <c r="V21" s="93"/>
      <c r="W21" s="93"/>
      <c r="X21" s="169"/>
      <c r="Y21" s="168"/>
      <c r="Z21" s="93"/>
      <c r="AA21" s="93"/>
      <c r="AB21" s="93"/>
      <c r="AC21" s="93"/>
      <c r="AD21" s="169"/>
      <c r="AE21" s="430">
        <f>SUMIF(Base_Mensuelle!$A$68:$A$679,$B21,Base_Mensuelle!EF$68:EF$679)</f>
        <v>230040.12554299497</v>
      </c>
      <c r="AF21" s="182">
        <f>SUMIF(Base_Mensuelle!$A$68:$A$679,$B21,Base_Mensuelle!EG$68:EG$679)</f>
        <v>237299.73620545771</v>
      </c>
      <c r="AG21" s="182">
        <f>SUMIF(Base_Mensuelle!$A$68:$A$679,$B21,Base_Mensuelle!EH$68:EH$679)</f>
        <v>467229.66605392756</v>
      </c>
      <c r="AH21" s="282">
        <f>SUMIF(Base_Mensuelle!$A$68:$A$679,$B21,Base_Mensuelle!EI$68:EI$679)</f>
        <v>71517.054461980966</v>
      </c>
      <c r="AI21" s="430">
        <f>SUMIF(Base_Mensuelle!$A$68:$A$679,$B21,Base_Mensuelle!EJ$68:EJ$679)</f>
        <v>7317.4304520481892</v>
      </c>
      <c r="AJ21" s="1202">
        <f>SUMIF(Base_Mensuelle!$A$68:$A$679,$B21,Base_Mensuelle!EK$68:EK$679)</f>
        <v>1939.3121953526422</v>
      </c>
      <c r="AK21" s="1202">
        <f>SUMIF(Base_Mensuelle!$A$68:$A$679,$B21,Base_Mensuelle!EL$68:EL$679)</f>
        <v>85.397457175525886</v>
      </c>
      <c r="AL21" s="1202">
        <f>SUMIF(Base_Mensuelle!$A$68:$A$679,$B21,Base_Mensuelle!EM$68:EM$679)</f>
        <v>70.654230550453875</v>
      </c>
      <c r="AM21" s="290">
        <f>SUMIF(Base_Mensuelle!$A$68:$A$679,$B21,Base_Mensuelle!EN$68:EN$679)</f>
        <v>9358.1783511121048</v>
      </c>
      <c r="AN21" s="295">
        <f>SUMIF(Base_Mensuelle!$A$68:$A$679,$B21,Base_Mensuelle!EO$68:EO$679)</f>
        <v>2382</v>
      </c>
      <c r="AO21" s="295">
        <f>SUMIF(Base_Mensuelle!$A$68:$A$679,$B21,Base_Mensuelle!EP$68:EP$679)</f>
        <v>510448</v>
      </c>
      <c r="AP21" s="295">
        <f>SUMIF(Base_Mensuelle!$A$68:$A$679,$B21,Base_Mensuelle!EQ$68:EQ$679)</f>
        <v>218873.30754384873</v>
      </c>
      <c r="AQ21" s="295">
        <f>SUMIF(Base_Mensuelle!$A$68:$A$679,$B21,Base_Mensuelle!ER$68:ER$679)</f>
        <v>228120.27551305355</v>
      </c>
      <c r="AR21" s="295">
        <f>SUMIF(Base_Mensuelle!$A$68:$A$679,$B21,Base_Mensuelle!ES$68:ES$679)</f>
        <v>446879.53892723756</v>
      </c>
      <c r="AS21" s="295">
        <f>SUMIF(Base_Mensuelle!$A$68:$A$679,$B21,Base_Mensuelle!ET$68:ET$679)</f>
        <v>66161.995467533096</v>
      </c>
      <c r="AT21" s="295">
        <f>SUMIF(Base_Mensuelle!$A$68:$A$679,$B21,Base_Mensuelle!EU$68:EU$679)</f>
        <v>7317.3057196963</v>
      </c>
      <c r="AU21" s="295">
        <f>SUMIF(Base_Mensuelle!$A$68:$A$679,$B21,Base_Mensuelle!EV$68:EV$679)</f>
        <v>1939.3121953526422</v>
      </c>
      <c r="AV21" s="295">
        <f>SUMIF(Base_Mensuelle!$A$68:$A$679,$B21,Base_Mensuelle!EW$68:EW$679)</f>
        <v>85.377324077162399</v>
      </c>
      <c r="AW21" s="29">
        <v>17</v>
      </c>
      <c r="AX21" s="179">
        <f>SUMIF(Base_Trimestrielle!$A$74:$A$276,$B21,Base_Trimestrielle!R$74:R$276)</f>
        <v>38.326060349999999</v>
      </c>
      <c r="AY21" s="99">
        <f>SUMIF(Base_Trimestrielle!$A$74:$A$276,$B21,Base_Trimestrielle!S$74:S$276)</f>
        <v>271.43306899999999</v>
      </c>
      <c r="AZ21" s="99">
        <f>SUMIF(Base_Trimestrielle!$A$74:$A$276,$B21,Base_Trimestrielle!T$74:T$276)</f>
        <v>5058.2583278164775</v>
      </c>
      <c r="BA21" s="132">
        <f>SUMIF(Base_Trimestrielle!$A$74:$A$276,$B21,Base_Trimestrielle!U$74:U$276)</f>
        <v>120.47499999999999</v>
      </c>
      <c r="BB21" s="29">
        <v>17</v>
      </c>
      <c r="BC21" s="182">
        <f>VLOOKUP($B21,Base_Mensuelle!$A$67:$FK$679,108,0)</f>
        <v>583970</v>
      </c>
      <c r="BD21" s="1202">
        <f>VLOOKUP($B21,Base_Mensuelle!$A$67:$FK$679,109,0)</f>
        <v>1664</v>
      </c>
      <c r="BE21" s="182">
        <f>VLOOKUP($B21,Base_Mensuelle!$A$67:$FK$679,107,0)</f>
        <v>585634</v>
      </c>
      <c r="BF21" s="99"/>
      <c r="BG21" s="99"/>
      <c r="BH21" s="99"/>
      <c r="BI21" s="29">
        <v>17</v>
      </c>
      <c r="BJ21" s="179">
        <f>SUMIF(Base_Trimestrielle!$A$73:$A$276,$B21,Base_Trimestrielle!CU$73:CU$276)</f>
        <v>63660</v>
      </c>
      <c r="BK21" s="1209">
        <f>SUMIF(Base_Trimestrielle!$A$73:$A$276,$B21,Base_Trimestrielle!CV$73:CV$276)</f>
        <v>306381</v>
      </c>
      <c r="BL21" s="1209">
        <f>SUMIF(Base_Trimestrielle!$A$73:$A$276,$B21,Base_Trimestrielle!CW$73:CW$276)</f>
        <v>61842</v>
      </c>
      <c r="BM21" s="1209">
        <f>SUMIF(Base_Trimestrielle!$A$73:$A$276,$B21,Base_Trimestrielle!CX$73:CX$276)</f>
        <v>4209</v>
      </c>
      <c r="BN21" s="1209">
        <f>SUMIF(Base_Trimestrielle!$A$73:$A$276,$B21,Base_Trimestrielle!CY$73:CY$276)</f>
        <v>2979</v>
      </c>
      <c r="BO21" s="1209">
        <f>SUMIF(Base_Trimestrielle!$A$73:$A$276,$B21,Base_Trimestrielle!CZ$73:CZ$276)</f>
        <v>3753</v>
      </c>
      <c r="BP21" s="1209">
        <f>SUMIF(Base_Trimestrielle!$A$73:$A$276,$B21,Base_Trimestrielle!DA$73:DA$276)</f>
        <v>45527</v>
      </c>
      <c r="BQ21" s="132">
        <f>SUMIF(Base_Trimestrielle!$A$73:$A$276,$B21,Base_Trimestrielle!DB$73:DB$276)</f>
        <v>488351</v>
      </c>
    </row>
    <row r="22" spans="2:69">
      <c r="B22" s="29">
        <v>2017</v>
      </c>
      <c r="C22" s="74">
        <f>SUMIF(Base_Mensuelle!$A$68:$A$299,$B22,Base_Mensuelle!C$68:C$299)</f>
        <v>24022</v>
      </c>
      <c r="D22" s="75">
        <f>SUMIF(Base_Mensuelle!$A$68:$A$299,$B22,Base_Mensuelle!D$68:D$299)</f>
        <v>431931</v>
      </c>
      <c r="E22" s="75">
        <f>SUMIF(Base_Mensuelle!$A$68:$A$299,$B22,Base_Mensuelle!E$68:E$299)</f>
        <v>1899</v>
      </c>
      <c r="F22" s="75">
        <f>SUMIF(Base_Mensuelle!$A$68:$A$299,$B22,Base_Mensuelle!F$68:F$299)</f>
        <v>5459</v>
      </c>
      <c r="G22" s="75">
        <f>SUMIF(Base_Mensuelle!$A$68:$A$299,$B22,Base_Mensuelle!G$68:G$299)</f>
        <v>1189938</v>
      </c>
      <c r="H22" s="75">
        <f>SUMIF(Base_Mensuelle!$A$68:$A$299,$B22,Base_Mensuelle!H$68:H$299)</f>
        <v>518</v>
      </c>
      <c r="I22" s="75">
        <f>SUMIF(Base_Mensuelle!$A$68:$A$299,$B22,Base_Mensuelle!I$68:I$299)</f>
        <v>521670</v>
      </c>
      <c r="J22" s="76">
        <f>SUMIF(Base_Mensuelle!$A$68:$A$299,$B22,Base_Mensuelle!J$68:J$299)</f>
        <v>239864</v>
      </c>
      <c r="K22" s="77">
        <f>SUM(C22:J22)</f>
        <v>2415301</v>
      </c>
      <c r="L22" s="25">
        <v>18</v>
      </c>
      <c r="M22" s="175"/>
      <c r="N22" s="181">
        <f>AVERAGEIF(Base_Mensuelle!$A$68:$A$679,ANN_Base_mens!$B22,Base_Mensuelle!BY$68:BY$679)</f>
        <v>582.02424841946538</v>
      </c>
      <c r="O22" s="182">
        <f>AVERAGEIF(Base_Mensuelle!$A$68:$A$679,ANN_Base_mens!$B22,Base_Mensuelle!BZ$68:BZ$679)</f>
        <v>664.95700000000011</v>
      </c>
      <c r="P22" s="182">
        <f>AVERAGEIF(Base_Mensuelle!$A$68:$A$679,ANN_Base_mens!$B22,Base_Mensuelle!CA$68:CA$679)</f>
        <v>590.83196135484843</v>
      </c>
      <c r="Q22" s="182">
        <f>AVERAGEIF(Base_Mensuelle!$A$68:$A$679,ANN_Base_mens!$B22,Base_Mensuelle!CB$68:CB$679)</f>
        <v>43.797488586636291</v>
      </c>
      <c r="R22" s="132">
        <f>AVERAGEIF(Base_Mensuelle!$A$68:$A$679,ANN_Base_mens!$B22,Base_Mensuelle!CC$68:CC$679)</f>
        <v>132.6220917255504</v>
      </c>
      <c r="S22" s="25">
        <v>18</v>
      </c>
      <c r="T22" s="175"/>
      <c r="U22" s="168"/>
      <c r="V22" s="93"/>
      <c r="W22" s="93"/>
      <c r="X22" s="169"/>
      <c r="Y22" s="168"/>
      <c r="Z22" s="93"/>
      <c r="AA22" s="93"/>
      <c r="AB22" s="93"/>
      <c r="AC22" s="93"/>
      <c r="AD22" s="169"/>
      <c r="AE22" s="430">
        <f>SUMIF(Base_Mensuelle!$A$68:$A$679,$B22,Base_Mensuelle!EF$68:EF$679)</f>
        <v>252236</v>
      </c>
      <c r="AF22" s="182">
        <f>SUMIF(Base_Mensuelle!$A$68:$A$679,$B22,Base_Mensuelle!EG$68:EG$679)</f>
        <v>257948</v>
      </c>
      <c r="AG22" s="182">
        <f>SUMIF(Base_Mensuelle!$A$68:$A$679,$B22,Base_Mensuelle!EH$68:EH$679)</f>
        <v>510184</v>
      </c>
      <c r="AH22" s="282">
        <f>SUMIF(Base_Mensuelle!$A$68:$A$679,$B22,Base_Mensuelle!EI$68:EI$679)</f>
        <v>76456</v>
      </c>
      <c r="AI22" s="430">
        <f>SUMIF(Base_Mensuelle!$A$68:$A$679,$B22,Base_Mensuelle!EJ$68:EJ$679)</f>
        <v>7502.4959999999983</v>
      </c>
      <c r="AJ22" s="1202">
        <f>SUMIF(Base_Mensuelle!$A$68:$A$679,$B22,Base_Mensuelle!EK$68:EK$679)</f>
        <v>2096.703</v>
      </c>
      <c r="AK22" s="1202">
        <f>SUMIF(Base_Mensuelle!$A$68:$A$679,$B22,Base_Mensuelle!EL$68:EL$679)</f>
        <v>102.80099999999999</v>
      </c>
      <c r="AL22" s="1202">
        <f>SUMIF(Base_Mensuelle!$A$68:$A$679,$B22,Base_Mensuelle!EM$68:EM$679)</f>
        <v>73.74199999999999</v>
      </c>
      <c r="AM22" s="290">
        <f>SUMIF(Base_Mensuelle!$A$68:$A$679,$B22,Base_Mensuelle!EN$68:EN$679)</f>
        <v>9775.4183239999984</v>
      </c>
      <c r="AN22" s="295">
        <f>SUMIF(Base_Mensuelle!$A$68:$A$679,$B22,Base_Mensuelle!EO$68:EO$679)</f>
        <v>2526</v>
      </c>
      <c r="AO22" s="295">
        <f>SUMIF(Base_Mensuelle!$A$68:$A$679,$B22,Base_Mensuelle!EP$68:EP$679)</f>
        <v>514830</v>
      </c>
      <c r="AP22" s="295">
        <f>SUMIF(Base_Mensuelle!$A$68:$A$679,$B22,Base_Mensuelle!EQ$68:EQ$679)</f>
        <v>240573</v>
      </c>
      <c r="AQ22" s="295">
        <f>SUMIF(Base_Mensuelle!$A$68:$A$679,$B22,Base_Mensuelle!ER$68:ER$679)</f>
        <v>246018</v>
      </c>
      <c r="AR22" s="295">
        <f>SUMIF(Base_Mensuelle!$A$68:$A$679,$B22,Base_Mensuelle!ES$68:ES$679)</f>
        <v>486591</v>
      </c>
      <c r="AS22" s="295">
        <f>SUMIF(Base_Mensuelle!$A$68:$A$679,$B22,Base_Mensuelle!ET$68:ET$679)</f>
        <v>71018</v>
      </c>
      <c r="AT22" s="295">
        <f>SUMIF(Base_Mensuelle!$A$68:$A$679,$B22,Base_Mensuelle!EU$68:EU$679)</f>
        <v>7502.137999999999</v>
      </c>
      <c r="AU22" s="295">
        <f>SUMIF(Base_Mensuelle!$A$68:$A$679,$B22,Base_Mensuelle!EV$68:EV$679)</f>
        <v>2096.703</v>
      </c>
      <c r="AV22" s="295">
        <f>SUMIF(Base_Mensuelle!$A$68:$A$679,$B22,Base_Mensuelle!EW$68:EW$679)</f>
        <v>102.69699999999997</v>
      </c>
      <c r="AW22" s="29">
        <v>18</v>
      </c>
      <c r="AX22" s="179">
        <f>SUMIF(Base_Trimestrielle!$A$74:$A$276,$B22,Base_Trimestrielle!R$74:R$276)</f>
        <v>46.46701084</v>
      </c>
      <c r="AY22" s="99">
        <f>SUMIF(Base_Trimestrielle!$A$74:$A$276,$B22,Base_Trimestrielle!S$74:S$276)</f>
        <v>228.49906899999999</v>
      </c>
      <c r="AZ22" s="99">
        <f>SUMIF(Base_Trimestrielle!$A$74:$A$276,$B22,Base_Trimestrielle!T$74:T$276)</f>
        <v>5590.211271137634</v>
      </c>
      <c r="BA22" s="132">
        <f>SUMIF(Base_Trimestrielle!$A$74:$A$276,$B22,Base_Trimestrielle!U$74:U$276)</f>
        <v>79.564999999999998</v>
      </c>
      <c r="BB22" s="29">
        <v>18</v>
      </c>
      <c r="BC22" s="182">
        <f>VLOOKUP($B22,Base_Mensuelle!$A$67:$FK$679,108,0)</f>
        <v>626374</v>
      </c>
      <c r="BD22" s="1202">
        <f>VLOOKUP($B22,Base_Mensuelle!$A$67:$FK$679,109,0)</f>
        <v>1737</v>
      </c>
      <c r="BE22" s="182">
        <f>VLOOKUP($B22,Base_Mensuelle!$A$67:$FK$679,107,0)</f>
        <v>628111</v>
      </c>
      <c r="BF22" s="99"/>
      <c r="BG22" s="99"/>
      <c r="BH22" s="99"/>
      <c r="BI22" s="29">
        <v>18</v>
      </c>
      <c r="BJ22" s="179">
        <f>SUMIF(Base_Trimestrielle!$A$73:$A$276,$B22,Base_Trimestrielle!CU$73:CU$276)</f>
        <v>73733.424482323564</v>
      </c>
      <c r="BK22" s="1209">
        <f>SUMIF(Base_Trimestrielle!$A$73:$A$276,$B22,Base_Trimestrielle!CV$73:CV$276)</f>
        <v>323392.22790892603</v>
      </c>
      <c r="BL22" s="1209">
        <f>SUMIF(Base_Trimestrielle!$A$73:$A$276,$B22,Base_Trimestrielle!CW$73:CW$276)</f>
        <v>64446.826620290827</v>
      </c>
      <c r="BM22" s="1209">
        <f>SUMIF(Base_Trimestrielle!$A$73:$A$276,$B22,Base_Trimestrielle!CX$73:CX$276)</f>
        <v>4931.9762120049381</v>
      </c>
      <c r="BN22" s="1209">
        <f>SUMIF(Base_Trimestrielle!$A$73:$A$276,$B22,Base_Trimestrielle!CY$73:CY$276)</f>
        <v>4249.8360644699642</v>
      </c>
      <c r="BO22" s="1209">
        <f>SUMIF(Base_Trimestrielle!$A$73:$A$276,$B22,Base_Trimestrielle!CZ$73:CZ$276)</f>
        <v>3424.193663355939</v>
      </c>
      <c r="BP22" s="1209">
        <f>SUMIF(Base_Trimestrielle!$A$73:$A$276,$B22,Base_Trimestrielle!DA$73:DA$276)</f>
        <v>57428.307629617528</v>
      </c>
      <c r="BQ22" s="132">
        <f>SUMIF(Base_Trimestrielle!$A$73:$A$276,$B22,Base_Trimestrielle!DB$73:DB$276)</f>
        <v>528242.3010490404</v>
      </c>
    </row>
    <row r="23" spans="2:69">
      <c r="B23" s="29">
        <v>2018</v>
      </c>
      <c r="C23" s="74">
        <f>SUMIF(Base_Mensuelle!$A$68:$A$299,$B23,Base_Mensuelle!C$68:C$299)</f>
        <v>19509</v>
      </c>
      <c r="D23" s="75">
        <f>SUMIF(Base_Mensuelle!$A$68:$A$299,$B23,Base_Mensuelle!D$68:D$299)</f>
        <v>331101</v>
      </c>
      <c r="E23" s="75">
        <f>SUMIF(Base_Mensuelle!$A$68:$A$299,$B23,Base_Mensuelle!E$68:E$299)</f>
        <v>2949</v>
      </c>
      <c r="F23" s="75">
        <f>SUMIF(Base_Mensuelle!$A$68:$A$299,$B23,Base_Mensuelle!F$68:F$299)</f>
        <v>5412</v>
      </c>
      <c r="G23" s="75">
        <f>SUMIF(Base_Mensuelle!$A$68:$A$299,$B23,Base_Mensuelle!G$68:G$299)</f>
        <v>1266181</v>
      </c>
      <c r="H23" s="75">
        <f>SUMIF(Base_Mensuelle!$A$68:$A$299,$B23,Base_Mensuelle!H$68:H$299)</f>
        <v>484</v>
      </c>
      <c r="I23" s="75">
        <f>SUMIF(Base_Mensuelle!$A$68:$A$299,$B23,Base_Mensuelle!I$68:I$299)</f>
        <v>373996</v>
      </c>
      <c r="J23" s="76">
        <f>SUMIF(Base_Mensuelle!$A$68:$A$299,$B23,Base_Mensuelle!J$68:J$299)</f>
        <v>216076</v>
      </c>
      <c r="K23" s="77">
        <f>SUM(C23:J23)</f>
        <v>2215708</v>
      </c>
      <c r="L23" s="25">
        <v>19</v>
      </c>
      <c r="M23" s="175"/>
      <c r="N23" s="181">
        <f>AVERAGEIF(Base_Mensuelle!$A$68:$A$679,ANN_Base_mens!$B23,Base_Mensuelle!BY$68:BY$679)</f>
        <v>555.0863333333333</v>
      </c>
      <c r="O23" s="182">
        <f>AVERAGEIF(Base_Mensuelle!$A$68:$A$679,ANN_Base_mens!$B23,Base_Mensuelle!BZ$68:BZ$679)</f>
        <v>664.95700000000011</v>
      </c>
      <c r="P23" s="182">
        <f>AVERAGEIF(Base_Mensuelle!$A$68:$A$679,ANN_Base_mens!$B23,Base_Mensuelle!CA$68:CA$679)</f>
        <v>568.81824999999992</v>
      </c>
      <c r="Q23" s="182">
        <f>AVERAGEIF(Base_Mensuelle!$A$68:$A$679,ANN_Base_mens!$B23,Base_Mensuelle!CB$68:CB$679)</f>
        <v>42.328053706148772</v>
      </c>
      <c r="R23" s="132">
        <f>AVERAGEIF(Base_Mensuelle!$A$68:$A$679,ANN_Base_mens!$B23,Base_Mensuelle!CC$68:CC$679)</f>
        <v>121.93478144736844</v>
      </c>
      <c r="S23" s="25">
        <v>19</v>
      </c>
      <c r="T23" s="175"/>
      <c r="U23" s="168"/>
      <c r="V23" s="93"/>
      <c r="W23" s="93"/>
      <c r="X23" s="169"/>
      <c r="Y23" s="168"/>
      <c r="Z23" s="93"/>
      <c r="AA23" s="93"/>
      <c r="AB23" s="93"/>
      <c r="AC23" s="93"/>
      <c r="AD23" s="169"/>
      <c r="AE23" s="430">
        <f>SUMIF(Base_Mensuelle!$A$68:$A$679,$B23,Base_Mensuelle!EF$68:EF$679)</f>
        <v>241603</v>
      </c>
      <c r="AF23" s="182">
        <f>SUMIF(Base_Mensuelle!$A$68:$A$679,$B23,Base_Mensuelle!EG$68:EG$679)</f>
        <v>252310</v>
      </c>
      <c r="AG23" s="182">
        <f>SUMIF(Base_Mensuelle!$A$68:$A$679,$B23,Base_Mensuelle!EH$68:EH$679)</f>
        <v>493913</v>
      </c>
      <c r="AH23" s="282">
        <f>SUMIF(Base_Mensuelle!$A$68:$A$679,$B23,Base_Mensuelle!EI$68:EI$679)</f>
        <v>100256</v>
      </c>
      <c r="AI23" s="430">
        <f>SUMIF(Base_Mensuelle!$A$68:$A$679,$B23,Base_Mensuelle!EJ$68:EJ$679)</f>
        <v>7658.14</v>
      </c>
      <c r="AJ23" s="1202">
        <f>SUMIF(Base_Mensuelle!$A$68:$A$679,$B23,Base_Mensuelle!EK$68:EK$679)</f>
        <v>1778.5710000000001</v>
      </c>
      <c r="AK23" s="1202">
        <f>SUMIF(Base_Mensuelle!$A$68:$A$679,$B23,Base_Mensuelle!EL$68:EL$679)</f>
        <v>70.824000000000012</v>
      </c>
      <c r="AL23" s="1202">
        <f>SUMIF(Base_Mensuelle!$A$68:$A$679,$B23,Base_Mensuelle!EM$68:EM$679)</f>
        <v>128.13</v>
      </c>
      <c r="AM23" s="290">
        <f>SUMIF(Base_Mensuelle!$A$68:$A$679,$B23,Base_Mensuelle!EN$68:EN$679)</f>
        <v>9996.0120599999991</v>
      </c>
      <c r="AN23" s="295">
        <f>SUMIF(Base_Mensuelle!$A$68:$A$679,$B23,Base_Mensuelle!EO$68:EO$679)</f>
        <v>2670</v>
      </c>
      <c r="AO23" s="295">
        <f>SUMIF(Base_Mensuelle!$A$68:$A$679,$B23,Base_Mensuelle!EP$68:EP$679)</f>
        <v>519210</v>
      </c>
      <c r="AP23" s="295">
        <f>SUMIF(Base_Mensuelle!$A$68:$A$679,$B23,Base_Mensuelle!EQ$68:EQ$679)</f>
        <v>224041</v>
      </c>
      <c r="AQ23" s="295">
        <f>SUMIF(Base_Mensuelle!$A$68:$A$679,$B23,Base_Mensuelle!ER$68:ER$679)</f>
        <v>246642</v>
      </c>
      <c r="AR23" s="295">
        <f>SUMIF(Base_Mensuelle!$A$68:$A$679,$B23,Base_Mensuelle!ES$68:ES$679)</f>
        <v>470683</v>
      </c>
      <c r="AS23" s="295">
        <f>SUMIF(Base_Mensuelle!$A$68:$A$679,$B23,Base_Mensuelle!ET$68:ET$679)</f>
        <v>93174</v>
      </c>
      <c r="AT23" s="295">
        <f>SUMIF(Base_Mensuelle!$A$68:$A$679,$B23,Base_Mensuelle!EU$68:EU$679)</f>
        <v>7658.14</v>
      </c>
      <c r="AU23" s="295">
        <f>SUMIF(Base_Mensuelle!$A$68:$A$679,$B23,Base_Mensuelle!EV$68:EV$679)</f>
        <v>1778.5710000000001</v>
      </c>
      <c r="AV23" s="295">
        <f>SUMIF(Base_Mensuelle!$A$68:$A$679,$B23,Base_Mensuelle!EW$68:EW$679)</f>
        <v>70.824000000000012</v>
      </c>
      <c r="AW23" s="29">
        <v>19</v>
      </c>
      <c r="AX23" s="179">
        <f>SUMIF(Base_Trimestrielle!$A$74:$A$276,$B23,Base_Trimestrielle!R$74:R$276)</f>
        <v>51.971606600000001</v>
      </c>
      <c r="AY23" s="99">
        <f>SUMIF(Base_Trimestrielle!$A$74:$A$276,$B23,Base_Trimestrielle!S$74:S$276)</f>
        <v>171.52606900000001</v>
      </c>
      <c r="AZ23" s="99">
        <f>SUMIF(Base_Trimestrielle!$A$74:$A$276,$B23,Base_Trimestrielle!T$74:T$276)</f>
        <v>4061.038</v>
      </c>
      <c r="BA23" s="132">
        <f>SUMIF(Base_Trimestrielle!$A$74:$A$276,$B23,Base_Trimestrielle!U$74:U$276)</f>
        <v>88.620999999999995</v>
      </c>
      <c r="BB23" s="29">
        <v>19</v>
      </c>
      <c r="BC23" s="182">
        <f>VLOOKUP($B23,Base_Mensuelle!$A$67:$FK$679,108,0)</f>
        <v>667702</v>
      </c>
      <c r="BD23" s="1202">
        <f>VLOOKUP($B23,Base_Mensuelle!$A$67:$FK$679,109,0)</f>
        <v>1746</v>
      </c>
      <c r="BE23" s="182">
        <f>VLOOKUP($B23,Base_Mensuelle!$A$67:$FK$679,107,0)</f>
        <v>669448</v>
      </c>
      <c r="BF23" s="99">
        <f>SUMIF(Base_Trimestrielle!$A$68:$A$276,$B23,Base_Mensuelle!$DA$68:$DA$679)</f>
        <v>112.63099099999999</v>
      </c>
      <c r="BG23" s="99">
        <f>SUMIF(Base_Trimestrielle!$A$68:$A$276,$B23,Base_Mensuelle!$DA$68:$DA$679)</f>
        <v>112.63099099999999</v>
      </c>
      <c r="BH23" s="99">
        <f>SUMIF(Base_Trimestrielle!$A$68:$A$276,$B23,Base_Mensuelle!$DA$68:$DA$679)</f>
        <v>112.63099099999999</v>
      </c>
      <c r="BI23" s="29">
        <v>19</v>
      </c>
      <c r="BJ23" s="179">
        <f>SUMIF(Base_Trimestrielle!$A$73:$A$276,$B23,Base_Trimestrielle!CU$73:CU$276)</f>
        <v>82861</v>
      </c>
      <c r="BK23" s="1209">
        <f>SUMIF(Base_Trimestrielle!$A$73:$A$276,$B23,Base_Trimestrielle!CV$73:CV$276)</f>
        <v>343511</v>
      </c>
      <c r="BL23" s="1209">
        <f>SUMIF(Base_Trimestrielle!$A$73:$A$276,$B23,Base_Trimestrielle!CW$73:CW$276)</f>
        <v>65577</v>
      </c>
      <c r="BM23" s="1209">
        <f>SUMIF(Base_Trimestrielle!$A$73:$A$276,$B23,Base_Trimestrielle!CX$73:CX$276)</f>
        <v>3149</v>
      </c>
      <c r="BN23" s="1209">
        <f>SUMIF(Base_Trimestrielle!$A$73:$A$276,$B23,Base_Trimestrielle!CY$73:CY$276)</f>
        <v>4836</v>
      </c>
      <c r="BO23" s="1209">
        <f>SUMIF(Base_Trimestrielle!$A$73:$A$276,$B23,Base_Trimestrielle!CZ$73:CZ$276)</f>
        <v>1336</v>
      </c>
      <c r="BP23" s="1209">
        <f>SUMIF(Base_Trimestrielle!$A$73:$A$276,$B23,Base_Trimestrielle!DA$73:DA$276)</f>
        <v>39120</v>
      </c>
      <c r="BQ23" s="132">
        <f>SUMIF(Base_Trimestrielle!$A$73:$A$276,$B23,Base_Trimestrielle!DB$73:DB$276)</f>
        <v>540390</v>
      </c>
    </row>
    <row r="24" spans="2:69">
      <c r="B24" s="29">
        <v>2019</v>
      </c>
      <c r="C24" s="74">
        <f>SUMIF(Base_Mensuelle!$A$68:$A$299,$B24,Base_Mensuelle!C$68:C$299)</f>
        <v>6229</v>
      </c>
      <c r="D24" s="75">
        <f>SUMIF(Base_Mensuelle!$A$68:$A$299,$B24,Base_Mensuelle!D$68:D$299)</f>
        <v>79779</v>
      </c>
      <c r="E24" s="75">
        <f>SUMIF(Base_Mensuelle!$A$68:$A$299,$B24,Base_Mensuelle!E$68:E$299)</f>
        <v>244</v>
      </c>
      <c r="F24" s="75">
        <f>SUMIF(Base_Mensuelle!$A$68:$A$299,$B24,Base_Mensuelle!F$68:F$299)</f>
        <v>905</v>
      </c>
      <c r="G24" s="75">
        <f>SUMIF(Base_Mensuelle!$A$68:$A$299,$B24,Base_Mensuelle!G$68:G$299)</f>
        <v>266845</v>
      </c>
      <c r="H24" s="75">
        <f>SUMIF(Base_Mensuelle!$A$68:$A$299,$B24,Base_Mensuelle!H$68:H$299)</f>
        <v>62</v>
      </c>
      <c r="I24" s="75">
        <f>SUMIF(Base_Mensuelle!$A$68:$A$299,$B24,Base_Mensuelle!I$68:I$299)</f>
        <v>76222</v>
      </c>
      <c r="J24" s="76">
        <f>SUMIF(Base_Mensuelle!$A$68:$A$299,$B24,Base_Mensuelle!J$68:J$299)</f>
        <v>55786</v>
      </c>
      <c r="K24" s="77">
        <f>SUM(C24:J24)</f>
        <v>486072</v>
      </c>
      <c r="L24" s="25">
        <v>20</v>
      </c>
      <c r="M24" s="175"/>
      <c r="N24" s="180"/>
      <c r="O24" s="93"/>
      <c r="P24" s="93"/>
      <c r="Q24" s="93"/>
      <c r="R24" s="20"/>
      <c r="S24" s="25">
        <v>20</v>
      </c>
      <c r="T24" s="175"/>
      <c r="U24" s="168"/>
      <c r="V24" s="93"/>
      <c r="W24" s="93"/>
      <c r="X24" s="169"/>
      <c r="Y24" s="168"/>
      <c r="Z24" s="93"/>
      <c r="AA24" s="93"/>
      <c r="AB24" s="93"/>
      <c r="AC24" s="93"/>
      <c r="AD24" s="169"/>
      <c r="AE24" s="430">
        <f>SUMIF(Base_Mensuelle!$A$68:$A$679,$B24,Base_Mensuelle!EF$68:EF$679)</f>
        <v>492865</v>
      </c>
      <c r="AF24" s="182">
        <f>SUMIF(Base_Mensuelle!$A$68:$A$679,$B24,Base_Mensuelle!EG$68:EG$679)</f>
        <v>529666</v>
      </c>
      <c r="AG24" s="182">
        <f>SUMIF(Base_Mensuelle!$A$68:$A$679,$B24,Base_Mensuelle!EH$68:EH$679)</f>
        <v>578765</v>
      </c>
      <c r="AH24" s="282">
        <f>SUMIF(Base_Mensuelle!$A$68:$A$679,$B24,Base_Mensuelle!EI$68:EI$679)</f>
        <v>99863</v>
      </c>
      <c r="AI24" s="430">
        <f>SUMIF(Base_Mensuelle!$A$68:$A$679,$B24,Base_Mensuelle!EJ$68:EJ$679)</f>
        <v>8055.0860000000011</v>
      </c>
      <c r="AJ24" s="1202">
        <f>SUMIF(Base_Mensuelle!$A$68:$A$679,$B24,Base_Mensuelle!EK$68:EK$679)</f>
        <v>1895.3879999999997</v>
      </c>
      <c r="AK24" s="1202">
        <f>SUMIF(Base_Mensuelle!$A$68:$A$679,$B24,Base_Mensuelle!EL$68:EL$679)</f>
        <v>81.733000000000004</v>
      </c>
      <c r="AL24" s="1202">
        <f>SUMIF(Base_Mensuelle!$A$68:$A$679,$B24,Base_Mensuelle!EM$68:EM$679)</f>
        <v>88.890999999999991</v>
      </c>
      <c r="AM24" s="290">
        <f>SUMIF(Base_Mensuelle!$A$68:$A$679,$B24,Base_Mensuelle!EN$68:EN$679)</f>
        <v>10121.098</v>
      </c>
      <c r="AN24" s="295">
        <f>SUMIF(Base_Mensuelle!$A$68:$A$679,$B24,Base_Mensuelle!EO$68:EO$679)</f>
        <v>2814</v>
      </c>
      <c r="AO24" s="295">
        <f>SUMIF(Base_Mensuelle!$A$68:$A$679,$B24,Base_Mensuelle!EP$68:EP$679)</f>
        <v>523590</v>
      </c>
      <c r="AP24" s="295">
        <f>SUMIF(Base_Mensuelle!$A$68:$A$679,$B24,Base_Mensuelle!EQ$68:EQ$679)</f>
        <v>255040</v>
      </c>
      <c r="AQ24" s="295">
        <f>SUMIF(Base_Mensuelle!$A$68:$A$679,$B24,Base_Mensuelle!ER$68:ER$679)</f>
        <v>273189</v>
      </c>
      <c r="AR24" s="295">
        <f>SUMIF(Base_Mensuelle!$A$68:$A$679,$B24,Base_Mensuelle!ES$68:ES$679)</f>
        <v>528229</v>
      </c>
      <c r="AS24" s="295">
        <f>SUMIF(Base_Mensuelle!$A$68:$A$679,$B24,Base_Mensuelle!ET$68:ET$679)</f>
        <v>92156</v>
      </c>
      <c r="AT24" s="295">
        <f>SUMIF(Base_Mensuelle!$A$68:$A$679,$B24,Base_Mensuelle!EU$68:EU$679)</f>
        <v>8055.0170000000007</v>
      </c>
      <c r="AU24" s="295">
        <f>SUMIF(Base_Mensuelle!$A$68:$A$679,$B24,Base_Mensuelle!EV$68:EV$679)</f>
        <v>1895.3879999999997</v>
      </c>
      <c r="AV24" s="295">
        <f>SUMIF(Base_Mensuelle!$A$68:$A$679,$B24,Base_Mensuelle!EW$68:EW$679)</f>
        <v>81.733000000000004</v>
      </c>
      <c r="AW24" s="29">
        <v>20</v>
      </c>
      <c r="AX24" s="19"/>
      <c r="AY24" s="93"/>
      <c r="AZ24" s="93"/>
      <c r="BA24" s="20"/>
      <c r="BB24" s="29"/>
      <c r="BC24" s="93"/>
      <c r="BD24" s="1203"/>
      <c r="BE24" s="93"/>
      <c r="BF24" s="93"/>
      <c r="BG24" s="93"/>
      <c r="BH24" s="93"/>
      <c r="BI24" s="29"/>
      <c r="BJ24" s="19"/>
      <c r="BK24" s="1203"/>
      <c r="BL24" s="1203"/>
      <c r="BM24" s="1203"/>
      <c r="BN24" s="1203"/>
      <c r="BO24" s="1203"/>
      <c r="BP24" s="1203"/>
      <c r="BQ24" s="20"/>
    </row>
    <row r="25" spans="2:69">
      <c r="B25" s="29">
        <v>2020</v>
      </c>
      <c r="C25" s="8"/>
      <c r="D25" s="9"/>
      <c r="E25" s="9"/>
      <c r="F25" s="9"/>
      <c r="G25" s="9"/>
      <c r="H25" s="9"/>
      <c r="I25" s="9"/>
      <c r="J25" s="10"/>
      <c r="K25" s="29"/>
      <c r="L25" s="25">
        <v>21</v>
      </c>
      <c r="M25" s="175"/>
      <c r="N25" s="19"/>
      <c r="O25" s="93"/>
      <c r="P25" s="93"/>
      <c r="Q25" s="93"/>
      <c r="R25" s="20"/>
      <c r="S25" s="25">
        <v>21</v>
      </c>
      <c r="T25" s="175"/>
      <c r="U25" s="168"/>
      <c r="V25" s="93"/>
      <c r="W25" s="93"/>
      <c r="X25" s="169"/>
      <c r="Y25" s="168"/>
      <c r="Z25" s="93"/>
      <c r="AA25" s="93"/>
      <c r="AB25" s="93"/>
      <c r="AC25" s="93"/>
      <c r="AD25" s="169"/>
      <c r="AE25" s="430">
        <f>SUMIF(Base_Mensuelle!$A$68:$A$679,$B25,Base_Mensuelle!EF$68:EF$679)</f>
        <v>107105</v>
      </c>
      <c r="AF25" s="182">
        <f>SUMIF(Base_Mensuelle!$A$68:$A$679,$B25,Base_Mensuelle!EG$68:EG$679)</f>
        <v>116867</v>
      </c>
      <c r="AG25" s="182">
        <f>SUMIF(Base_Mensuelle!$A$68:$A$679,$B25,Base_Mensuelle!EH$68:EH$679)</f>
        <v>223972</v>
      </c>
      <c r="AH25" s="282">
        <f>SUMIF(Base_Mensuelle!$A$68:$A$679,$B25,Base_Mensuelle!EI$68:EI$679)</f>
        <v>39558</v>
      </c>
      <c r="AI25" s="430">
        <f>SUMIF(Base_Mensuelle!$A$68:$A$679,$B25,Base_Mensuelle!EJ$68:EJ$679)</f>
        <v>7375.5440000000008</v>
      </c>
      <c r="AJ25" s="1202">
        <f>SUMIF(Base_Mensuelle!$A$68:$A$679,$B25,Base_Mensuelle!EK$68:EK$679)</f>
        <v>1827.1959999999995</v>
      </c>
      <c r="AK25" s="1202">
        <f>SUMIF(Base_Mensuelle!$A$68:$A$679,$B25,Base_Mensuelle!EL$68:EL$679)</f>
        <v>52.245000000000005</v>
      </c>
      <c r="AL25" s="1202">
        <f>SUMIF(Base_Mensuelle!$A$68:$A$679,$B25,Base_Mensuelle!EM$68:EM$679)</f>
        <v>84.706000000000003</v>
      </c>
      <c r="AM25" s="290">
        <f>SUMIF(Base_Mensuelle!$A$68:$A$679,$B25,Base_Mensuelle!EN$68:EN$679)</f>
        <v>9339.6910000000007</v>
      </c>
      <c r="AN25" s="295">
        <f>SUMIF(Base_Mensuelle!$A$68:$A$679,$B25,Base_Mensuelle!EO$68:EO$679)</f>
        <v>2958</v>
      </c>
      <c r="AO25" s="295">
        <f>SUMIF(Base_Mensuelle!$A$68:$A$679,$B25,Base_Mensuelle!EP$68:EP$679)</f>
        <v>527980</v>
      </c>
      <c r="AP25" s="295">
        <f>SUMIF(Base_Mensuelle!$A$68:$A$679,$B25,Base_Mensuelle!EQ$68:EQ$679)</f>
        <v>99055</v>
      </c>
      <c r="AQ25" s="295">
        <f>SUMIF(Base_Mensuelle!$A$68:$A$679,$B25,Base_Mensuelle!ER$68:ER$679)</f>
        <v>109036</v>
      </c>
      <c r="AR25" s="295">
        <f>SUMIF(Base_Mensuelle!$A$68:$A$679,$B25,Base_Mensuelle!ES$68:ES$679)</f>
        <v>208091</v>
      </c>
      <c r="AS25" s="295">
        <f>SUMIF(Base_Mensuelle!$A$68:$A$679,$B25,Base_Mensuelle!ET$68:ET$679)</f>
        <v>37189</v>
      </c>
      <c r="AT25" s="295">
        <f>SUMIF(Base_Mensuelle!$A$68:$A$679,$B25,Base_Mensuelle!EU$68:EU$679)</f>
        <v>7358.0130000000008</v>
      </c>
      <c r="AU25" s="295">
        <f>SUMIF(Base_Mensuelle!$A$68:$A$679,$B25,Base_Mensuelle!EV$68:EV$679)</f>
        <v>1629.0959999999995</v>
      </c>
      <c r="AV25" s="295">
        <f>SUMIF(Base_Mensuelle!$A$68:$A$679,$B25,Base_Mensuelle!EW$68:EW$679)</f>
        <v>52.052000000000007</v>
      </c>
      <c r="AW25" s="29">
        <v>21</v>
      </c>
      <c r="AX25" s="19"/>
      <c r="AY25" s="93"/>
      <c r="AZ25" s="93"/>
      <c r="BA25" s="20"/>
      <c r="BB25" s="29"/>
      <c r="BC25" s="93"/>
      <c r="BD25" s="1203"/>
      <c r="BE25" s="93"/>
      <c r="BF25" s="93"/>
      <c r="BG25" s="93"/>
      <c r="BH25" s="93"/>
      <c r="BI25" s="29"/>
      <c r="BJ25" s="19"/>
      <c r="BK25" s="1203"/>
      <c r="BL25" s="1203"/>
      <c r="BM25" s="1203"/>
      <c r="BN25" s="1203"/>
      <c r="BO25" s="1203"/>
      <c r="BP25" s="1203"/>
      <c r="BQ25" s="20"/>
    </row>
    <row r="26" spans="2:69">
      <c r="B26" s="29">
        <v>2021</v>
      </c>
      <c r="C26" s="8"/>
      <c r="D26" s="9"/>
      <c r="E26" s="9"/>
      <c r="F26" s="9"/>
      <c r="G26" s="9"/>
      <c r="H26" s="9"/>
      <c r="I26" s="9"/>
      <c r="J26" s="10"/>
      <c r="K26" s="29"/>
      <c r="L26" s="25">
        <v>22</v>
      </c>
      <c r="M26" s="175"/>
      <c r="N26" s="19"/>
      <c r="O26" s="93"/>
      <c r="P26" s="93"/>
      <c r="Q26" s="93"/>
      <c r="R26" s="20"/>
      <c r="S26" s="25">
        <v>22</v>
      </c>
      <c r="T26" s="175"/>
      <c r="U26" s="168"/>
      <c r="V26" s="93"/>
      <c r="W26" s="93"/>
      <c r="X26" s="169"/>
      <c r="Y26" s="168"/>
      <c r="Z26" s="93"/>
      <c r="AA26" s="93"/>
      <c r="AB26" s="93"/>
      <c r="AC26" s="93"/>
      <c r="AD26" s="169"/>
      <c r="AE26" s="430">
        <f>SUMIF(Base_Mensuelle!$A$68:$A$679,$B26,Base_Mensuelle!EF$68:EF$679)</f>
        <v>182726</v>
      </c>
      <c r="AF26" s="182">
        <f>SUMIF(Base_Mensuelle!$A$68:$A$679,$B26,Base_Mensuelle!EG$68:EG$679)</f>
        <v>197146</v>
      </c>
      <c r="AG26" s="182">
        <f>SUMIF(Base_Mensuelle!$A$68:$A$679,$B26,Base_Mensuelle!EH$68:EH$679)</f>
        <v>462511</v>
      </c>
      <c r="AH26" s="282">
        <f>SUMIF(Base_Mensuelle!$A$68:$A$679,$B26,Base_Mensuelle!EI$68:EI$679)</f>
        <v>82639</v>
      </c>
      <c r="AI26" s="168"/>
      <c r="AJ26" s="1203"/>
      <c r="AK26" s="1203"/>
      <c r="AL26" s="1203"/>
      <c r="AM26" s="20"/>
      <c r="AN26" s="25"/>
      <c r="AO26" s="25"/>
      <c r="AP26" s="25"/>
      <c r="AQ26" s="25"/>
      <c r="AR26" s="25"/>
      <c r="AS26" s="25"/>
      <c r="AT26" s="25"/>
      <c r="AU26" s="25"/>
      <c r="AV26" s="25"/>
      <c r="AW26" s="29"/>
      <c r="AX26" s="19"/>
      <c r="AY26" s="93"/>
      <c r="AZ26" s="93"/>
      <c r="BA26" s="20"/>
      <c r="BB26" s="29"/>
      <c r="BC26" s="93"/>
      <c r="BD26" s="1203"/>
      <c r="BE26" s="93"/>
      <c r="BF26" s="93"/>
      <c r="BG26" s="93"/>
      <c r="BH26" s="93"/>
      <c r="BI26" s="29"/>
      <c r="BJ26" s="19"/>
      <c r="BK26" s="1203"/>
      <c r="BL26" s="1203"/>
      <c r="BM26" s="1203"/>
      <c r="BN26" s="1203"/>
      <c r="BO26" s="1203"/>
      <c r="BP26" s="1203"/>
      <c r="BQ26" s="20"/>
    </row>
    <row r="27" spans="2:69">
      <c r="B27" s="29">
        <v>2022</v>
      </c>
      <c r="C27" s="8"/>
      <c r="D27" s="9"/>
      <c r="E27" s="9"/>
      <c r="F27" s="9"/>
      <c r="G27" s="9"/>
      <c r="H27" s="9"/>
      <c r="I27" s="9"/>
      <c r="J27" s="10"/>
      <c r="K27" s="29"/>
      <c r="L27" s="25">
        <v>23</v>
      </c>
      <c r="M27" s="175"/>
      <c r="N27" s="19"/>
      <c r="O27" s="93"/>
      <c r="P27" s="93"/>
      <c r="Q27" s="93"/>
      <c r="R27" s="20"/>
      <c r="S27" s="25">
        <v>23</v>
      </c>
      <c r="T27" s="175"/>
      <c r="U27" s="168"/>
      <c r="V27" s="93"/>
      <c r="W27" s="93"/>
      <c r="X27" s="169"/>
      <c r="Y27" s="168"/>
      <c r="Z27" s="93"/>
      <c r="AA27" s="93"/>
      <c r="AB27" s="93"/>
      <c r="AC27" s="93"/>
      <c r="AD27" s="169"/>
      <c r="AE27" s="430">
        <f>SUMIF(Base_Mensuelle!$A$68:$A$679,$B27,Base_Mensuelle!EF$68:EF$679)</f>
        <v>225875</v>
      </c>
      <c r="AF27" s="182">
        <f>SUMIF(Base_Mensuelle!$A$68:$A$679,$B27,Base_Mensuelle!EG$68:EG$679)</f>
        <v>237523</v>
      </c>
      <c r="AG27" s="182">
        <f>SUMIF(Base_Mensuelle!$A$68:$A$679,$B27,Base_Mensuelle!EH$68:EH$679)</f>
        <v>593688</v>
      </c>
      <c r="AH27" s="282">
        <f>SUMIF(Base_Mensuelle!$A$68:$A$679,$B27,Base_Mensuelle!EI$68:EI$679)</f>
        <v>130290</v>
      </c>
      <c r="AI27" s="168"/>
      <c r="AJ27" s="1203"/>
      <c r="AK27" s="1203"/>
      <c r="AL27" s="1203"/>
      <c r="AM27" s="20"/>
      <c r="AN27" s="25"/>
      <c r="AO27" s="25"/>
      <c r="AP27" s="25"/>
      <c r="AQ27" s="25"/>
      <c r="AR27" s="25"/>
      <c r="AS27" s="25"/>
      <c r="AT27" s="25"/>
      <c r="AU27" s="25"/>
      <c r="AV27" s="25"/>
      <c r="AW27" s="29"/>
      <c r="AX27" s="19"/>
      <c r="AY27" s="93"/>
      <c r="AZ27" s="93"/>
      <c r="BA27" s="20"/>
      <c r="BB27" s="29"/>
      <c r="BC27" s="93"/>
      <c r="BD27" s="1203"/>
      <c r="BE27" s="93"/>
      <c r="BF27" s="93"/>
      <c r="BG27" s="93"/>
      <c r="BH27" s="93"/>
      <c r="BI27" s="29"/>
      <c r="BJ27" s="19"/>
      <c r="BK27" s="1203"/>
      <c r="BL27" s="1203"/>
      <c r="BM27" s="1203"/>
      <c r="BN27" s="1203"/>
      <c r="BO27" s="1203"/>
      <c r="BP27" s="1203"/>
      <c r="BQ27" s="20"/>
    </row>
    <row r="28" spans="2:69">
      <c r="B28" s="29">
        <v>2023</v>
      </c>
      <c r="C28" s="8"/>
      <c r="D28" s="9"/>
      <c r="E28" s="9"/>
      <c r="F28" s="9"/>
      <c r="G28" s="9"/>
      <c r="H28" s="9"/>
      <c r="I28" s="9"/>
      <c r="J28" s="10"/>
      <c r="K28" s="29"/>
      <c r="L28" s="25">
        <v>24</v>
      </c>
      <c r="M28" s="175"/>
      <c r="N28" s="19"/>
      <c r="O28" s="93"/>
      <c r="P28" s="93"/>
      <c r="Q28" s="93"/>
      <c r="R28" s="20"/>
      <c r="S28" s="25">
        <v>24</v>
      </c>
      <c r="T28" s="175"/>
      <c r="U28" s="168"/>
      <c r="V28" s="93"/>
      <c r="W28" s="93"/>
      <c r="X28" s="169"/>
      <c r="Y28" s="168"/>
      <c r="Z28" s="93"/>
      <c r="AA28" s="93"/>
      <c r="AB28" s="93"/>
      <c r="AC28" s="93"/>
      <c r="AD28" s="169"/>
      <c r="AE28" s="168"/>
      <c r="AF28" s="93"/>
      <c r="AG28" s="93"/>
      <c r="AH28" s="169"/>
      <c r="AI28" s="168"/>
      <c r="AJ28" s="1203"/>
      <c r="AK28" s="1203"/>
      <c r="AL28" s="1203"/>
      <c r="AM28" s="20"/>
      <c r="AN28" s="25"/>
      <c r="AO28" s="25"/>
      <c r="AP28" s="25"/>
      <c r="AQ28" s="25"/>
      <c r="AR28" s="25"/>
      <c r="AS28" s="25"/>
      <c r="AT28" s="25"/>
      <c r="AU28" s="25"/>
      <c r="AV28" s="25"/>
      <c r="AW28" s="29"/>
      <c r="AX28" s="19"/>
      <c r="AY28" s="93"/>
      <c r="AZ28" s="93"/>
      <c r="BA28" s="20"/>
      <c r="BB28" s="29"/>
      <c r="BC28" s="93"/>
      <c r="BD28" s="1203"/>
      <c r="BE28" s="93"/>
      <c r="BF28" s="93"/>
      <c r="BG28" s="93"/>
      <c r="BH28" s="93"/>
      <c r="BI28" s="29"/>
      <c r="BJ28" s="19"/>
      <c r="BK28" s="1203"/>
      <c r="BL28" s="1203"/>
      <c r="BM28" s="1203"/>
      <c r="BN28" s="1203"/>
      <c r="BO28" s="1203"/>
      <c r="BP28" s="1203"/>
      <c r="BQ28" s="20"/>
    </row>
    <row r="29" spans="2:69">
      <c r="B29" s="29">
        <v>2024</v>
      </c>
      <c r="C29" s="8"/>
      <c r="D29" s="9"/>
      <c r="E29" s="9"/>
      <c r="F29" s="9"/>
      <c r="G29" s="9"/>
      <c r="H29" s="9"/>
      <c r="I29" s="9"/>
      <c r="J29" s="10"/>
      <c r="K29" s="29"/>
      <c r="L29" s="25">
        <v>25</v>
      </c>
      <c r="M29" s="175"/>
      <c r="N29" s="19"/>
      <c r="O29" s="93"/>
      <c r="P29" s="93"/>
      <c r="Q29" s="93"/>
      <c r="R29" s="20"/>
      <c r="S29" s="25">
        <v>25</v>
      </c>
      <c r="T29" s="175"/>
      <c r="U29" s="168"/>
      <c r="V29" s="93"/>
      <c r="W29" s="93"/>
      <c r="X29" s="169"/>
      <c r="Y29" s="168"/>
      <c r="Z29" s="93"/>
      <c r="AA29" s="93"/>
      <c r="AB29" s="93"/>
      <c r="AC29" s="93"/>
      <c r="AD29" s="169"/>
      <c r="AE29" s="168"/>
      <c r="AF29" s="93"/>
      <c r="AG29" s="93"/>
      <c r="AH29" s="169"/>
      <c r="AI29" s="168"/>
      <c r="AJ29" s="1203"/>
      <c r="AK29" s="1203"/>
      <c r="AL29" s="1203"/>
      <c r="AM29" s="20"/>
      <c r="AN29" s="25"/>
      <c r="AO29" s="25"/>
      <c r="AP29" s="25"/>
      <c r="AQ29" s="25"/>
      <c r="AR29" s="25"/>
      <c r="AS29" s="25"/>
      <c r="AT29" s="25"/>
      <c r="AU29" s="25"/>
      <c r="AV29" s="25"/>
      <c r="AW29" s="29"/>
      <c r="AX29" s="19"/>
      <c r="AY29" s="93"/>
      <c r="AZ29" s="93"/>
      <c r="BA29" s="20"/>
      <c r="BB29" s="29"/>
      <c r="BC29" s="93"/>
      <c r="BD29" s="1203"/>
      <c r="BE29" s="93"/>
      <c r="BF29" s="93"/>
      <c r="BG29" s="93"/>
      <c r="BH29" s="93"/>
      <c r="BI29" s="29"/>
      <c r="BJ29" s="19"/>
      <c r="BK29" s="1203"/>
      <c r="BL29" s="1203"/>
      <c r="BM29" s="1203"/>
      <c r="BN29" s="1203"/>
      <c r="BO29" s="1203"/>
      <c r="BP29" s="1203"/>
      <c r="BQ29" s="20"/>
    </row>
    <row r="30" spans="2:69">
      <c r="B30" s="29">
        <v>2025</v>
      </c>
      <c r="C30" s="8"/>
      <c r="D30" s="9"/>
      <c r="E30" s="9"/>
      <c r="F30" s="9"/>
      <c r="G30" s="9"/>
      <c r="H30" s="9"/>
      <c r="I30" s="9"/>
      <c r="J30" s="10"/>
      <c r="K30" s="29"/>
      <c r="L30" s="25">
        <v>26</v>
      </c>
      <c r="M30" s="175"/>
      <c r="N30" s="19"/>
      <c r="O30" s="93"/>
      <c r="P30" s="93"/>
      <c r="Q30" s="93"/>
      <c r="R30" s="20"/>
      <c r="S30" s="25">
        <v>26</v>
      </c>
      <c r="T30" s="175"/>
      <c r="U30" s="168"/>
      <c r="V30" s="93"/>
      <c r="W30" s="93"/>
      <c r="X30" s="169"/>
      <c r="Y30" s="168"/>
      <c r="Z30" s="93"/>
      <c r="AA30" s="93"/>
      <c r="AB30" s="93"/>
      <c r="AC30" s="93"/>
      <c r="AD30" s="169"/>
      <c r="AE30" s="168"/>
      <c r="AF30" s="93"/>
      <c r="AG30" s="93"/>
      <c r="AH30" s="169"/>
      <c r="AI30" s="168"/>
      <c r="AJ30" s="1203"/>
      <c r="AK30" s="1203"/>
      <c r="AL30" s="1203"/>
      <c r="AM30" s="20"/>
      <c r="AN30" s="25"/>
      <c r="AO30" s="25"/>
      <c r="AP30" s="25"/>
      <c r="AQ30" s="25"/>
      <c r="AR30" s="25"/>
      <c r="AS30" s="25"/>
      <c r="AT30" s="25"/>
      <c r="AU30" s="25"/>
      <c r="AV30" s="25"/>
      <c r="AW30" s="29"/>
      <c r="AX30" s="19"/>
      <c r="AY30" s="93"/>
      <c r="AZ30" s="93"/>
      <c r="BA30" s="20"/>
      <c r="BB30" s="29"/>
      <c r="BC30" s="93"/>
      <c r="BD30" s="1203"/>
      <c r="BE30" s="93"/>
      <c r="BF30" s="93"/>
      <c r="BG30" s="93"/>
      <c r="BH30" s="93"/>
      <c r="BI30" s="29"/>
      <c r="BJ30" s="19"/>
      <c r="BK30" s="1203"/>
      <c r="BL30" s="1203"/>
      <c r="BM30" s="1203"/>
      <c r="BN30" s="1203"/>
      <c r="BO30" s="1203"/>
      <c r="BP30" s="1203"/>
      <c r="BQ30" s="20"/>
    </row>
    <row r="31" spans="2:69">
      <c r="B31" s="29">
        <v>2026</v>
      </c>
      <c r="C31" s="8"/>
      <c r="D31" s="9"/>
      <c r="E31" s="9"/>
      <c r="F31" s="9"/>
      <c r="G31" s="9"/>
      <c r="H31" s="9"/>
      <c r="I31" s="9"/>
      <c r="J31" s="10"/>
      <c r="K31" s="29"/>
      <c r="L31" s="25">
        <v>27</v>
      </c>
      <c r="M31" s="175"/>
      <c r="N31" s="19"/>
      <c r="O31" s="93"/>
      <c r="P31" s="93"/>
      <c r="Q31" s="93"/>
      <c r="R31" s="20"/>
      <c r="S31" s="25">
        <v>27</v>
      </c>
      <c r="T31" s="175"/>
      <c r="U31" s="168"/>
      <c r="V31" s="93"/>
      <c r="W31" s="93"/>
      <c r="X31" s="169"/>
      <c r="Y31" s="168"/>
      <c r="Z31" s="93"/>
      <c r="AA31" s="93"/>
      <c r="AB31" s="93"/>
      <c r="AC31" s="93"/>
      <c r="AD31" s="169"/>
      <c r="AE31" s="168"/>
      <c r="AF31" s="93"/>
      <c r="AG31" s="93"/>
      <c r="AH31" s="169"/>
      <c r="AI31" s="168"/>
      <c r="AJ31" s="1203"/>
      <c r="AK31" s="1203"/>
      <c r="AL31" s="1203"/>
      <c r="AM31" s="20"/>
      <c r="AN31" s="25"/>
      <c r="AO31" s="25"/>
      <c r="AP31" s="25"/>
      <c r="AQ31" s="25"/>
      <c r="AR31" s="25"/>
      <c r="AS31" s="25"/>
      <c r="AT31" s="25"/>
      <c r="AU31" s="25"/>
      <c r="AV31" s="25"/>
      <c r="AW31" s="29"/>
      <c r="AX31" s="19"/>
      <c r="AY31" s="93"/>
      <c r="AZ31" s="93"/>
      <c r="BA31" s="20"/>
      <c r="BB31" s="29"/>
      <c r="BC31" s="93"/>
      <c r="BD31" s="1203"/>
      <c r="BE31" s="93"/>
      <c r="BF31" s="93"/>
      <c r="BG31" s="93"/>
      <c r="BH31" s="93"/>
      <c r="BI31" s="29"/>
      <c r="BJ31" s="19"/>
      <c r="BK31" s="1203"/>
      <c r="BL31" s="1203"/>
      <c r="BM31" s="1203"/>
      <c r="BN31" s="1203"/>
      <c r="BO31" s="1203"/>
      <c r="BP31" s="1203"/>
      <c r="BQ31" s="20"/>
    </row>
    <row r="32" spans="2:69">
      <c r="B32" s="29">
        <v>2027</v>
      </c>
      <c r="C32" s="8"/>
      <c r="D32" s="9"/>
      <c r="E32" s="9"/>
      <c r="F32" s="9"/>
      <c r="G32" s="9"/>
      <c r="H32" s="9"/>
      <c r="I32" s="9"/>
      <c r="J32" s="10"/>
      <c r="K32" s="29"/>
      <c r="L32" s="25">
        <v>28</v>
      </c>
      <c r="M32" s="175"/>
      <c r="N32" s="19"/>
      <c r="O32" s="93"/>
      <c r="P32" s="93"/>
      <c r="Q32" s="93"/>
      <c r="R32" s="20"/>
      <c r="S32" s="25">
        <v>28</v>
      </c>
      <c r="T32" s="175"/>
      <c r="U32" s="168"/>
      <c r="V32" s="93"/>
      <c r="W32" s="93"/>
      <c r="X32" s="169"/>
      <c r="Y32" s="168"/>
      <c r="Z32" s="93"/>
      <c r="AA32" s="93"/>
      <c r="AB32" s="93"/>
      <c r="AC32" s="93"/>
      <c r="AD32" s="169"/>
      <c r="AE32" s="168"/>
      <c r="AF32" s="93"/>
      <c r="AG32" s="93"/>
      <c r="AH32" s="169"/>
      <c r="AI32" s="168"/>
      <c r="AJ32" s="1203"/>
      <c r="AK32" s="1203"/>
      <c r="AL32" s="1203"/>
      <c r="AM32" s="20"/>
      <c r="AN32" s="25"/>
      <c r="AO32" s="25"/>
      <c r="AP32" s="25"/>
      <c r="AQ32" s="25"/>
      <c r="AR32" s="25"/>
      <c r="AS32" s="25"/>
      <c r="AT32" s="25"/>
      <c r="AU32" s="25"/>
      <c r="AV32" s="25"/>
      <c r="AW32" s="29"/>
      <c r="AX32" s="19"/>
      <c r="AY32" s="93"/>
      <c r="AZ32" s="93"/>
      <c r="BA32" s="20"/>
      <c r="BB32" s="29"/>
      <c r="BC32" s="93"/>
      <c r="BD32" s="1203"/>
      <c r="BE32" s="93"/>
      <c r="BF32" s="93"/>
      <c r="BG32" s="93"/>
      <c r="BH32" s="93"/>
      <c r="BI32" s="29"/>
      <c r="BJ32" s="19"/>
      <c r="BK32" s="1203"/>
      <c r="BL32" s="1203"/>
      <c r="BM32" s="1203"/>
      <c r="BN32" s="1203"/>
      <c r="BO32" s="1203"/>
      <c r="BP32" s="1203"/>
      <c r="BQ32" s="20"/>
    </row>
    <row r="33" spans="2:69">
      <c r="B33" s="29">
        <v>2028</v>
      </c>
      <c r="C33" s="8"/>
      <c r="D33" s="9"/>
      <c r="E33" s="9"/>
      <c r="F33" s="9"/>
      <c r="G33" s="9"/>
      <c r="H33" s="9"/>
      <c r="I33" s="9"/>
      <c r="J33" s="10"/>
      <c r="K33" s="29"/>
      <c r="L33" s="25">
        <v>29</v>
      </c>
      <c r="M33" s="175"/>
      <c r="N33" s="19"/>
      <c r="O33" s="93"/>
      <c r="P33" s="93"/>
      <c r="Q33" s="93"/>
      <c r="R33" s="20"/>
      <c r="S33" s="25">
        <v>29</v>
      </c>
      <c r="T33" s="175"/>
      <c r="U33" s="168"/>
      <c r="V33" s="93"/>
      <c r="W33" s="93"/>
      <c r="X33" s="169"/>
      <c r="Y33" s="168"/>
      <c r="Z33" s="93"/>
      <c r="AA33" s="93"/>
      <c r="AB33" s="93"/>
      <c r="AC33" s="93"/>
      <c r="AD33" s="169"/>
      <c r="AE33" s="168"/>
      <c r="AF33" s="93"/>
      <c r="AG33" s="93"/>
      <c r="AH33" s="169"/>
      <c r="AI33" s="168"/>
      <c r="AJ33" s="1203"/>
      <c r="AK33" s="1203"/>
      <c r="AL33" s="1203"/>
      <c r="AM33" s="20"/>
      <c r="AN33" s="25"/>
      <c r="AO33" s="25"/>
      <c r="AP33" s="25"/>
      <c r="AQ33" s="25"/>
      <c r="AR33" s="25"/>
      <c r="AS33" s="25"/>
      <c r="AT33" s="25"/>
      <c r="AU33" s="25"/>
      <c r="AV33" s="25"/>
      <c r="AW33" s="29"/>
      <c r="AX33" s="19"/>
      <c r="AY33" s="93"/>
      <c r="AZ33" s="93"/>
      <c r="BA33" s="20"/>
      <c r="BB33" s="29"/>
      <c r="BC33" s="93"/>
      <c r="BD33" s="1203"/>
      <c r="BE33" s="93"/>
      <c r="BF33" s="93"/>
      <c r="BG33" s="93"/>
      <c r="BH33" s="93"/>
      <c r="BI33" s="29"/>
      <c r="BJ33" s="19"/>
      <c r="BK33" s="1203"/>
      <c r="BL33" s="1203"/>
      <c r="BM33" s="1203"/>
      <c r="BN33" s="1203"/>
      <c r="BO33" s="1203"/>
      <c r="BP33" s="1203"/>
      <c r="BQ33" s="20"/>
    </row>
    <row r="34" spans="2:69">
      <c r="B34" s="29">
        <v>2029</v>
      </c>
      <c r="C34" s="8"/>
      <c r="D34" s="9"/>
      <c r="E34" s="9"/>
      <c r="F34" s="9"/>
      <c r="G34" s="9"/>
      <c r="H34" s="9"/>
      <c r="I34" s="9"/>
      <c r="J34" s="10"/>
      <c r="K34" s="29"/>
      <c r="L34" s="25">
        <v>30</v>
      </c>
      <c r="M34" s="175"/>
      <c r="N34" s="19"/>
      <c r="O34" s="93"/>
      <c r="P34" s="93"/>
      <c r="Q34" s="93"/>
      <c r="R34" s="20"/>
      <c r="S34" s="25">
        <v>30</v>
      </c>
      <c r="T34" s="175"/>
      <c r="U34" s="168"/>
      <c r="V34" s="93"/>
      <c r="W34" s="93"/>
      <c r="X34" s="169"/>
      <c r="Y34" s="168"/>
      <c r="Z34" s="93"/>
      <c r="AA34" s="93"/>
      <c r="AB34" s="93"/>
      <c r="AC34" s="93"/>
      <c r="AD34" s="169"/>
      <c r="AE34" s="168"/>
      <c r="AF34" s="93"/>
      <c r="AG34" s="93"/>
      <c r="AH34" s="169"/>
      <c r="AI34" s="168"/>
      <c r="AJ34" s="1203"/>
      <c r="AK34" s="1203"/>
      <c r="AL34" s="1203"/>
      <c r="AM34" s="20"/>
      <c r="AN34" s="25"/>
      <c r="AO34" s="25"/>
      <c r="AP34" s="25"/>
      <c r="AQ34" s="25"/>
      <c r="AR34" s="25"/>
      <c r="AS34" s="25"/>
      <c r="AT34" s="25"/>
      <c r="AU34" s="25"/>
      <c r="AV34" s="25"/>
      <c r="AW34" s="29"/>
      <c r="AX34" s="19"/>
      <c r="AY34" s="93"/>
      <c r="AZ34" s="93"/>
      <c r="BA34" s="20"/>
      <c r="BB34" s="29"/>
      <c r="BC34" s="93"/>
      <c r="BD34" s="1203"/>
      <c r="BE34" s="93"/>
      <c r="BF34" s="93"/>
      <c r="BG34" s="93"/>
      <c r="BH34" s="93"/>
      <c r="BI34" s="29"/>
      <c r="BJ34" s="19"/>
      <c r="BK34" s="1203"/>
      <c r="BL34" s="1203"/>
      <c r="BM34" s="1203"/>
      <c r="BN34" s="1203"/>
      <c r="BO34" s="1203"/>
      <c r="BP34" s="1203"/>
      <c r="BQ34" s="20"/>
    </row>
    <row r="35" spans="2:69">
      <c r="B35" s="29">
        <v>2030</v>
      </c>
      <c r="C35" s="8"/>
      <c r="D35" s="9"/>
      <c r="E35" s="9"/>
      <c r="F35" s="9"/>
      <c r="G35" s="9"/>
      <c r="H35" s="9"/>
      <c r="I35" s="9"/>
      <c r="J35" s="10"/>
      <c r="K35" s="29"/>
      <c r="L35" s="25">
        <v>31</v>
      </c>
      <c r="M35" s="175"/>
      <c r="N35" s="19"/>
      <c r="O35" s="93"/>
      <c r="P35" s="93"/>
      <c r="Q35" s="93"/>
      <c r="R35" s="20"/>
      <c r="S35" s="25">
        <v>31</v>
      </c>
      <c r="T35" s="175"/>
      <c r="U35" s="168"/>
      <c r="V35" s="93"/>
      <c r="W35" s="93"/>
      <c r="X35" s="169"/>
      <c r="Y35" s="168"/>
      <c r="Z35" s="93"/>
      <c r="AA35" s="93"/>
      <c r="AB35" s="93"/>
      <c r="AC35" s="93"/>
      <c r="AD35" s="169"/>
      <c r="AE35" s="168"/>
      <c r="AF35" s="93"/>
      <c r="AG35" s="93"/>
      <c r="AH35" s="169"/>
      <c r="AI35" s="168"/>
      <c r="AJ35" s="1203"/>
      <c r="AK35" s="1203"/>
      <c r="AL35" s="1203"/>
      <c r="AM35" s="20"/>
      <c r="AN35" s="25"/>
      <c r="AO35" s="25"/>
      <c r="AP35" s="25"/>
      <c r="AQ35" s="25"/>
      <c r="AR35" s="25"/>
      <c r="AS35" s="25"/>
      <c r="AT35" s="25"/>
      <c r="AU35" s="25"/>
      <c r="AV35" s="25"/>
      <c r="AW35" s="29"/>
      <c r="AX35" s="19"/>
      <c r="AY35" s="93"/>
      <c r="AZ35" s="93"/>
      <c r="BA35" s="20"/>
      <c r="BB35" s="29"/>
      <c r="BC35" s="93"/>
      <c r="BD35" s="1203"/>
      <c r="BE35" s="93"/>
      <c r="BF35" s="93"/>
      <c r="BG35" s="93"/>
      <c r="BH35" s="93"/>
      <c r="BI35" s="29"/>
      <c r="BJ35" s="19"/>
      <c r="BK35" s="1203"/>
      <c r="BL35" s="1203"/>
      <c r="BM35" s="1203"/>
      <c r="BN35" s="1203"/>
      <c r="BO35" s="1203"/>
      <c r="BP35" s="1203"/>
      <c r="BQ35" s="20"/>
    </row>
    <row r="36" spans="2:69">
      <c r="B36" s="29">
        <v>2031</v>
      </c>
      <c r="C36" s="8"/>
      <c r="D36" s="9"/>
      <c r="E36" s="9"/>
      <c r="F36" s="9"/>
      <c r="G36" s="9"/>
      <c r="H36" s="9"/>
      <c r="I36" s="9"/>
      <c r="J36" s="10"/>
      <c r="K36" s="29"/>
      <c r="L36" s="25">
        <v>32</v>
      </c>
      <c r="M36" s="175"/>
      <c r="N36" s="19"/>
      <c r="O36" s="93"/>
      <c r="P36" s="93"/>
      <c r="Q36" s="93"/>
      <c r="R36" s="20"/>
      <c r="S36" s="25">
        <v>32</v>
      </c>
      <c r="T36" s="175"/>
      <c r="U36" s="168"/>
      <c r="V36" s="93"/>
      <c r="W36" s="93"/>
      <c r="X36" s="169"/>
      <c r="Y36" s="168"/>
      <c r="Z36" s="93"/>
      <c r="AA36" s="93"/>
      <c r="AB36" s="93"/>
      <c r="AC36" s="93"/>
      <c r="AD36" s="169"/>
      <c r="AE36" s="168"/>
      <c r="AF36" s="93"/>
      <c r="AG36" s="93"/>
      <c r="AH36" s="169"/>
      <c r="AI36" s="168"/>
      <c r="AJ36" s="1203"/>
      <c r="AK36" s="1203"/>
      <c r="AL36" s="1203"/>
      <c r="AM36" s="20"/>
      <c r="AN36" s="25"/>
      <c r="AO36" s="25"/>
      <c r="AP36" s="25"/>
      <c r="AQ36" s="25"/>
      <c r="AR36" s="25"/>
      <c r="AS36" s="25"/>
      <c r="AT36" s="25"/>
      <c r="AU36" s="25"/>
      <c r="AV36" s="25"/>
      <c r="AW36" s="29"/>
      <c r="AX36" s="19"/>
      <c r="AY36" s="93"/>
      <c r="AZ36" s="93"/>
      <c r="BA36" s="20"/>
      <c r="BB36" s="29"/>
      <c r="BC36" s="93"/>
      <c r="BD36" s="1203"/>
      <c r="BE36" s="93"/>
      <c r="BF36" s="93"/>
      <c r="BG36" s="93"/>
      <c r="BH36" s="93"/>
      <c r="BI36" s="29"/>
      <c r="BJ36" s="19"/>
      <c r="BK36" s="1203"/>
      <c r="BL36" s="1203"/>
      <c r="BM36" s="1203"/>
      <c r="BN36" s="1203"/>
      <c r="BO36" s="1203"/>
      <c r="BP36" s="1203"/>
      <c r="BQ36" s="20"/>
    </row>
    <row r="37" spans="2:69">
      <c r="B37" s="29">
        <v>2032</v>
      </c>
      <c r="C37" s="8"/>
      <c r="D37" s="9"/>
      <c r="E37" s="9"/>
      <c r="F37" s="9"/>
      <c r="G37" s="9"/>
      <c r="H37" s="9"/>
      <c r="I37" s="9"/>
      <c r="J37" s="10"/>
      <c r="K37" s="29"/>
      <c r="L37" s="25">
        <v>33</v>
      </c>
      <c r="M37" s="175"/>
      <c r="N37" s="19"/>
      <c r="O37" s="93"/>
      <c r="P37" s="93"/>
      <c r="Q37" s="93"/>
      <c r="R37" s="20"/>
      <c r="S37" s="25">
        <v>33</v>
      </c>
      <c r="T37" s="175"/>
      <c r="U37" s="168"/>
      <c r="V37" s="93"/>
      <c r="W37" s="93"/>
      <c r="X37" s="169"/>
      <c r="Y37" s="168"/>
      <c r="Z37" s="93"/>
      <c r="AA37" s="93"/>
      <c r="AB37" s="93"/>
      <c r="AC37" s="93"/>
      <c r="AD37" s="169"/>
      <c r="AE37" s="168"/>
      <c r="AF37" s="93"/>
      <c r="AG37" s="93"/>
      <c r="AH37" s="169"/>
      <c r="AI37" s="168"/>
      <c r="AJ37" s="1203"/>
      <c r="AK37" s="1203"/>
      <c r="AL37" s="1203"/>
      <c r="AM37" s="20"/>
      <c r="AN37" s="25"/>
      <c r="AO37" s="25"/>
      <c r="AP37" s="25"/>
      <c r="AQ37" s="25"/>
      <c r="AR37" s="25"/>
      <c r="AS37" s="25"/>
      <c r="AT37" s="25"/>
      <c r="AU37" s="25"/>
      <c r="AV37" s="25"/>
      <c r="AW37" s="29"/>
      <c r="AX37" s="19"/>
      <c r="AY37" s="93"/>
      <c r="AZ37" s="93"/>
      <c r="BA37" s="20"/>
      <c r="BB37" s="29"/>
      <c r="BC37" s="93"/>
      <c r="BD37" s="1203"/>
      <c r="BE37" s="93"/>
      <c r="BF37" s="93"/>
      <c r="BG37" s="93"/>
      <c r="BH37" s="93"/>
      <c r="BI37" s="29"/>
      <c r="BJ37" s="19"/>
      <c r="BK37" s="1203"/>
      <c r="BL37" s="1203"/>
      <c r="BM37" s="1203"/>
      <c r="BN37" s="1203"/>
      <c r="BO37" s="1203"/>
      <c r="BP37" s="1203"/>
      <c r="BQ37" s="20"/>
    </row>
    <row r="38" spans="2:69">
      <c r="B38" s="29">
        <v>2033</v>
      </c>
      <c r="C38" s="8"/>
      <c r="D38" s="9"/>
      <c r="E38" s="9"/>
      <c r="F38" s="9"/>
      <c r="G38" s="9"/>
      <c r="H38" s="9"/>
      <c r="I38" s="9"/>
      <c r="J38" s="10"/>
      <c r="K38" s="29"/>
      <c r="L38" s="25">
        <v>34</v>
      </c>
      <c r="M38" s="175"/>
      <c r="N38" s="19"/>
      <c r="O38" s="93"/>
      <c r="P38" s="93"/>
      <c r="Q38" s="93"/>
      <c r="R38" s="20"/>
      <c r="S38" s="25">
        <v>34</v>
      </c>
      <c r="T38" s="175"/>
      <c r="U38" s="168"/>
      <c r="V38" s="93"/>
      <c r="W38" s="93"/>
      <c r="X38" s="169"/>
      <c r="Y38" s="168"/>
      <c r="Z38" s="93"/>
      <c r="AA38" s="93"/>
      <c r="AB38" s="93"/>
      <c r="AC38" s="93"/>
      <c r="AD38" s="169"/>
      <c r="AE38" s="168"/>
      <c r="AF38" s="93"/>
      <c r="AG38" s="93"/>
      <c r="AH38" s="169"/>
      <c r="AI38" s="168"/>
      <c r="AJ38" s="1203"/>
      <c r="AK38" s="1203"/>
      <c r="AL38" s="1203"/>
      <c r="AM38" s="20"/>
      <c r="AN38" s="25"/>
      <c r="AO38" s="25"/>
      <c r="AP38" s="25"/>
      <c r="AQ38" s="25"/>
      <c r="AR38" s="25"/>
      <c r="AS38" s="25"/>
      <c r="AT38" s="25"/>
      <c r="AU38" s="25"/>
      <c r="AV38" s="25"/>
      <c r="AW38" s="29"/>
      <c r="AX38" s="19"/>
      <c r="AY38" s="93"/>
      <c r="AZ38" s="93"/>
      <c r="BA38" s="20"/>
      <c r="BB38" s="29"/>
      <c r="BC38" s="93"/>
      <c r="BD38" s="1203"/>
      <c r="BE38" s="93"/>
      <c r="BF38" s="93"/>
      <c r="BG38" s="93"/>
      <c r="BH38" s="93"/>
      <c r="BI38" s="29"/>
      <c r="BJ38" s="19"/>
      <c r="BK38" s="1203"/>
      <c r="BL38" s="1203"/>
      <c r="BM38" s="1203"/>
      <c r="BN38" s="1203"/>
      <c r="BO38" s="1203"/>
      <c r="BP38" s="1203"/>
      <c r="BQ38" s="20"/>
    </row>
    <row r="39" spans="2:69">
      <c r="B39" s="29">
        <v>2034</v>
      </c>
      <c r="C39" s="8"/>
      <c r="D39" s="9"/>
      <c r="E39" s="9"/>
      <c r="F39" s="9"/>
      <c r="G39" s="9"/>
      <c r="H39" s="9"/>
      <c r="I39" s="9"/>
      <c r="J39" s="10"/>
      <c r="K39" s="29"/>
      <c r="L39" s="25">
        <v>35</v>
      </c>
      <c r="M39" s="175"/>
      <c r="N39" s="19"/>
      <c r="O39" s="93"/>
      <c r="P39" s="93"/>
      <c r="Q39" s="93"/>
      <c r="R39" s="20"/>
      <c r="S39" s="25">
        <v>35</v>
      </c>
      <c r="T39" s="175"/>
      <c r="U39" s="168"/>
      <c r="V39" s="93"/>
      <c r="W39" s="93"/>
      <c r="X39" s="169"/>
      <c r="Y39" s="168"/>
      <c r="Z39" s="93"/>
      <c r="AA39" s="93"/>
      <c r="AB39" s="93"/>
      <c r="AC39" s="93"/>
      <c r="AD39" s="169"/>
      <c r="AE39" s="168"/>
      <c r="AF39" s="93"/>
      <c r="AG39" s="93"/>
      <c r="AH39" s="169"/>
      <c r="AI39" s="168"/>
      <c r="AJ39" s="1203"/>
      <c r="AK39" s="1203"/>
      <c r="AL39" s="1203"/>
      <c r="AM39" s="20"/>
      <c r="AN39" s="25"/>
      <c r="AO39" s="25"/>
      <c r="AP39" s="25"/>
      <c r="AQ39" s="25"/>
      <c r="AR39" s="25"/>
      <c r="AS39" s="25"/>
      <c r="AT39" s="25"/>
      <c r="AU39" s="25"/>
      <c r="AV39" s="25"/>
      <c r="AW39" s="29"/>
      <c r="AX39" s="19"/>
      <c r="AY39" s="93"/>
      <c r="AZ39" s="93"/>
      <c r="BA39" s="20"/>
      <c r="BB39" s="29"/>
      <c r="BC39" s="93"/>
      <c r="BD39" s="1203"/>
      <c r="BE39" s="93"/>
      <c r="BF39" s="93"/>
      <c r="BG39" s="93"/>
      <c r="BH39" s="93"/>
      <c r="BI39" s="29"/>
      <c r="BJ39" s="19"/>
      <c r="BK39" s="1203"/>
      <c r="BL39" s="1203"/>
      <c r="BM39" s="1203"/>
      <c r="BN39" s="1203"/>
      <c r="BO39" s="1203"/>
      <c r="BP39" s="1203"/>
      <c r="BQ39" s="20"/>
    </row>
    <row r="40" spans="2:69">
      <c r="B40" s="29">
        <v>2035</v>
      </c>
      <c r="C40" s="8"/>
      <c r="D40" s="9"/>
      <c r="E40" s="9"/>
      <c r="F40" s="9"/>
      <c r="G40" s="9"/>
      <c r="H40" s="9"/>
      <c r="I40" s="9"/>
      <c r="J40" s="10"/>
      <c r="K40" s="29"/>
      <c r="L40" s="25">
        <v>36</v>
      </c>
      <c r="M40" s="175"/>
      <c r="N40" s="19"/>
      <c r="O40" s="93"/>
      <c r="P40" s="93"/>
      <c r="Q40" s="93"/>
      <c r="R40" s="20"/>
      <c r="S40" s="25">
        <v>36</v>
      </c>
      <c r="T40" s="175"/>
      <c r="U40" s="168"/>
      <c r="V40" s="93"/>
      <c r="W40" s="93"/>
      <c r="X40" s="169"/>
      <c r="Y40" s="168"/>
      <c r="Z40" s="93"/>
      <c r="AA40" s="93"/>
      <c r="AB40" s="93"/>
      <c r="AC40" s="93"/>
      <c r="AD40" s="169"/>
      <c r="AE40" s="168"/>
      <c r="AF40" s="93"/>
      <c r="AG40" s="93"/>
      <c r="AH40" s="169"/>
      <c r="AI40" s="168"/>
      <c r="AJ40" s="1203"/>
      <c r="AK40" s="1203"/>
      <c r="AL40" s="1203"/>
      <c r="AM40" s="20"/>
      <c r="AN40" s="25"/>
      <c r="AO40" s="25"/>
      <c r="AP40" s="25"/>
      <c r="AQ40" s="25"/>
      <c r="AR40" s="25"/>
      <c r="AS40" s="25"/>
      <c r="AT40" s="25"/>
      <c r="AU40" s="25"/>
      <c r="AV40" s="25"/>
      <c r="AW40" s="29"/>
      <c r="AX40" s="19"/>
      <c r="AY40" s="93"/>
      <c r="AZ40" s="93"/>
      <c r="BA40" s="20"/>
      <c r="BB40" s="29"/>
      <c r="BC40" s="93"/>
      <c r="BD40" s="1203"/>
      <c r="BE40" s="93"/>
      <c r="BF40" s="93"/>
      <c r="BG40" s="93"/>
      <c r="BH40" s="93"/>
      <c r="BI40" s="29"/>
      <c r="BJ40" s="19"/>
      <c r="BK40" s="1203"/>
      <c r="BL40" s="1203"/>
      <c r="BM40" s="1203"/>
      <c r="BN40" s="1203"/>
      <c r="BO40" s="1203"/>
      <c r="BP40" s="1203"/>
      <c r="BQ40" s="20"/>
    </row>
    <row r="41" spans="2:69">
      <c r="B41" s="29">
        <v>2036</v>
      </c>
      <c r="C41" s="8"/>
      <c r="D41" s="9"/>
      <c r="E41" s="9"/>
      <c r="F41" s="9"/>
      <c r="G41" s="9"/>
      <c r="H41" s="9"/>
      <c r="I41" s="9"/>
      <c r="J41" s="10"/>
      <c r="K41" s="29"/>
      <c r="L41" s="25">
        <v>37</v>
      </c>
      <c r="M41" s="175"/>
      <c r="N41" s="19"/>
      <c r="O41" s="93"/>
      <c r="P41" s="93"/>
      <c r="Q41" s="93"/>
      <c r="R41" s="20"/>
      <c r="S41" s="25">
        <v>37</v>
      </c>
      <c r="T41" s="175"/>
      <c r="U41" s="168"/>
      <c r="V41" s="93"/>
      <c r="W41" s="93"/>
      <c r="X41" s="169"/>
      <c r="Y41" s="168"/>
      <c r="Z41" s="93"/>
      <c r="AA41" s="93"/>
      <c r="AB41" s="93"/>
      <c r="AC41" s="93"/>
      <c r="AD41" s="169"/>
      <c r="AE41" s="168"/>
      <c r="AF41" s="93"/>
      <c r="AG41" s="93"/>
      <c r="AH41" s="169"/>
      <c r="AI41" s="168"/>
      <c r="AJ41" s="1203"/>
      <c r="AK41" s="1203"/>
      <c r="AL41" s="1203"/>
      <c r="AM41" s="20"/>
      <c r="AN41" s="25"/>
      <c r="AO41" s="25"/>
      <c r="AP41" s="25"/>
      <c r="AQ41" s="25"/>
      <c r="AR41" s="25"/>
      <c r="AS41" s="25"/>
      <c r="AT41" s="25"/>
      <c r="AU41" s="25"/>
      <c r="AV41" s="25"/>
      <c r="AW41" s="29"/>
      <c r="AX41" s="19"/>
      <c r="AY41" s="93"/>
      <c r="AZ41" s="93"/>
      <c r="BA41" s="20"/>
      <c r="BB41" s="29"/>
      <c r="BC41" s="93"/>
      <c r="BD41" s="1203"/>
      <c r="BE41" s="93"/>
      <c r="BF41" s="93"/>
      <c r="BG41" s="93"/>
      <c r="BH41" s="93"/>
      <c r="BI41" s="29"/>
      <c r="BJ41" s="19"/>
      <c r="BK41" s="1203"/>
      <c r="BL41" s="1203"/>
      <c r="BM41" s="1203"/>
      <c r="BN41" s="1203"/>
      <c r="BO41" s="1203"/>
      <c r="BP41" s="1203"/>
      <c r="BQ41" s="20"/>
    </row>
    <row r="42" spans="2:69">
      <c r="B42" s="29">
        <v>2037</v>
      </c>
      <c r="C42" s="8"/>
      <c r="D42" s="9"/>
      <c r="E42" s="9"/>
      <c r="F42" s="9"/>
      <c r="G42" s="9"/>
      <c r="H42" s="9"/>
      <c r="I42" s="9"/>
      <c r="J42" s="10"/>
      <c r="K42" s="29"/>
      <c r="L42" s="25">
        <v>38</v>
      </c>
      <c r="M42" s="175"/>
      <c r="N42" s="19"/>
      <c r="O42" s="93"/>
      <c r="P42" s="93"/>
      <c r="Q42" s="93"/>
      <c r="R42" s="20"/>
      <c r="S42" s="25">
        <v>38</v>
      </c>
      <c r="T42" s="175"/>
      <c r="U42" s="168"/>
      <c r="V42" s="93"/>
      <c r="W42" s="93"/>
      <c r="X42" s="169"/>
      <c r="Y42" s="168"/>
      <c r="Z42" s="93"/>
      <c r="AA42" s="93"/>
      <c r="AB42" s="93"/>
      <c r="AC42" s="93"/>
      <c r="AD42" s="169"/>
      <c r="AE42" s="168"/>
      <c r="AF42" s="93"/>
      <c r="AG42" s="93"/>
      <c r="AH42" s="169"/>
      <c r="AI42" s="168"/>
      <c r="AJ42" s="1203"/>
      <c r="AK42" s="1203"/>
      <c r="AL42" s="1203"/>
      <c r="AM42" s="20"/>
      <c r="AN42" s="25"/>
      <c r="AO42" s="25"/>
      <c r="AP42" s="25"/>
      <c r="AQ42" s="25"/>
      <c r="AR42" s="25"/>
      <c r="AS42" s="25"/>
      <c r="AT42" s="25"/>
      <c r="AU42" s="25"/>
      <c r="AV42" s="25"/>
      <c r="AW42" s="29"/>
      <c r="AX42" s="19"/>
      <c r="AY42" s="93"/>
      <c r="AZ42" s="93"/>
      <c r="BA42" s="20"/>
      <c r="BB42" s="29"/>
      <c r="BC42" s="93"/>
      <c r="BD42" s="1203"/>
      <c r="BE42" s="93"/>
      <c r="BF42" s="93"/>
      <c r="BG42" s="93"/>
      <c r="BH42" s="93"/>
      <c r="BI42" s="29"/>
      <c r="BJ42" s="19"/>
      <c r="BK42" s="1203"/>
      <c r="BL42" s="1203"/>
      <c r="BM42" s="1203"/>
      <c r="BN42" s="1203"/>
      <c r="BO42" s="1203"/>
      <c r="BP42" s="1203"/>
      <c r="BQ42" s="20"/>
    </row>
    <row r="43" spans="2:69">
      <c r="B43" s="29">
        <v>2038</v>
      </c>
      <c r="C43" s="8"/>
      <c r="D43" s="9"/>
      <c r="E43" s="9"/>
      <c r="F43" s="9"/>
      <c r="G43" s="9"/>
      <c r="H43" s="9"/>
      <c r="I43" s="9"/>
      <c r="J43" s="10"/>
      <c r="K43" s="29"/>
      <c r="L43" s="25">
        <v>39</v>
      </c>
      <c r="M43" s="175"/>
      <c r="N43" s="19"/>
      <c r="O43" s="93"/>
      <c r="P43" s="93"/>
      <c r="Q43" s="93"/>
      <c r="R43" s="20"/>
      <c r="S43" s="25">
        <v>39</v>
      </c>
      <c r="T43" s="175"/>
      <c r="U43" s="168"/>
      <c r="V43" s="93"/>
      <c r="W43" s="93"/>
      <c r="X43" s="169"/>
      <c r="Y43" s="168"/>
      <c r="Z43" s="93"/>
      <c r="AA43" s="93"/>
      <c r="AB43" s="93"/>
      <c r="AC43" s="93"/>
      <c r="AD43" s="169"/>
      <c r="AE43" s="168"/>
      <c r="AF43" s="93"/>
      <c r="AG43" s="93"/>
      <c r="AH43" s="169"/>
      <c r="AI43" s="168"/>
      <c r="AJ43" s="1203"/>
      <c r="AK43" s="1203"/>
      <c r="AL43" s="1203"/>
      <c r="AM43" s="20"/>
      <c r="AN43" s="25"/>
      <c r="AO43" s="25"/>
      <c r="AP43" s="25"/>
      <c r="AQ43" s="25"/>
      <c r="AR43" s="25"/>
      <c r="AS43" s="25"/>
      <c r="AT43" s="25"/>
      <c r="AU43" s="25"/>
      <c r="AV43" s="25"/>
      <c r="AW43" s="29"/>
      <c r="AX43" s="19"/>
      <c r="AY43" s="93"/>
      <c r="AZ43" s="93"/>
      <c r="BA43" s="20"/>
      <c r="BB43" s="29"/>
      <c r="BC43" s="93"/>
      <c r="BD43" s="1203"/>
      <c r="BE43" s="93"/>
      <c r="BF43" s="93"/>
      <c r="BG43" s="93"/>
      <c r="BH43" s="93"/>
      <c r="BI43" s="29"/>
      <c r="BJ43" s="19"/>
      <c r="BK43" s="1203"/>
      <c r="BL43" s="1203"/>
      <c r="BM43" s="1203"/>
      <c r="BN43" s="1203"/>
      <c r="BO43" s="1203"/>
      <c r="BP43" s="1203"/>
      <c r="BQ43" s="20"/>
    </row>
    <row r="44" spans="2:69">
      <c r="B44" s="29">
        <v>2039</v>
      </c>
      <c r="C44" s="8"/>
      <c r="D44" s="9"/>
      <c r="E44" s="9"/>
      <c r="F44" s="9"/>
      <c r="G44" s="9"/>
      <c r="H44" s="9"/>
      <c r="I44" s="9"/>
      <c r="J44" s="10"/>
      <c r="K44" s="29"/>
      <c r="L44" s="25">
        <v>40</v>
      </c>
      <c r="M44" s="175"/>
      <c r="N44" s="19"/>
      <c r="O44" s="93"/>
      <c r="P44" s="93"/>
      <c r="Q44" s="93"/>
      <c r="R44" s="20"/>
      <c r="S44" s="25">
        <v>40</v>
      </c>
      <c r="T44" s="175"/>
      <c r="U44" s="168"/>
      <c r="V44" s="93"/>
      <c r="W44" s="93"/>
      <c r="X44" s="169"/>
      <c r="Y44" s="168"/>
      <c r="Z44" s="93"/>
      <c r="AA44" s="93"/>
      <c r="AB44" s="93"/>
      <c r="AC44" s="93"/>
      <c r="AD44" s="169"/>
      <c r="AE44" s="168"/>
      <c r="AF44" s="93"/>
      <c r="AG44" s="93"/>
      <c r="AH44" s="169"/>
      <c r="AI44" s="168"/>
      <c r="AJ44" s="1203"/>
      <c r="AK44" s="1203"/>
      <c r="AL44" s="1203"/>
      <c r="AM44" s="20"/>
      <c r="AN44" s="25"/>
      <c r="AO44" s="25"/>
      <c r="AP44" s="25"/>
      <c r="AQ44" s="25"/>
      <c r="AR44" s="25"/>
      <c r="AS44" s="25"/>
      <c r="AT44" s="25"/>
      <c r="AU44" s="25"/>
      <c r="AV44" s="25"/>
      <c r="AW44" s="29"/>
      <c r="AX44" s="19"/>
      <c r="AY44" s="93"/>
      <c r="AZ44" s="93"/>
      <c r="BA44" s="20"/>
      <c r="BB44" s="29"/>
      <c r="BC44" s="93"/>
      <c r="BD44" s="1203"/>
      <c r="BE44" s="93"/>
      <c r="BF44" s="93"/>
      <c r="BG44" s="93"/>
      <c r="BH44" s="93"/>
      <c r="BI44" s="29"/>
      <c r="BJ44" s="19"/>
      <c r="BK44" s="1203"/>
      <c r="BL44" s="1203"/>
      <c r="BM44" s="1203"/>
      <c r="BN44" s="1203"/>
      <c r="BO44" s="1203"/>
      <c r="BP44" s="1203"/>
      <c r="BQ44" s="20"/>
    </row>
    <row r="45" spans="2:69">
      <c r="B45" s="29">
        <v>2040</v>
      </c>
      <c r="C45" s="8"/>
      <c r="D45" s="9"/>
      <c r="E45" s="9"/>
      <c r="F45" s="9"/>
      <c r="G45" s="9"/>
      <c r="H45" s="9"/>
      <c r="I45" s="9"/>
      <c r="J45" s="10"/>
      <c r="K45" s="29"/>
      <c r="L45" s="25">
        <v>41</v>
      </c>
      <c r="M45" s="175"/>
      <c r="N45" s="19"/>
      <c r="O45" s="93"/>
      <c r="P45" s="93"/>
      <c r="Q45" s="93"/>
      <c r="R45" s="20"/>
      <c r="S45" s="25">
        <v>41</v>
      </c>
      <c r="T45" s="175"/>
      <c r="U45" s="168"/>
      <c r="V45" s="93"/>
      <c r="W45" s="93"/>
      <c r="X45" s="169"/>
      <c r="Y45" s="168"/>
      <c r="Z45" s="93"/>
      <c r="AA45" s="93"/>
      <c r="AB45" s="93"/>
      <c r="AC45" s="93"/>
      <c r="AD45" s="169"/>
      <c r="AE45" s="168"/>
      <c r="AF45" s="93"/>
      <c r="AG45" s="93"/>
      <c r="AH45" s="169"/>
      <c r="AI45" s="168"/>
      <c r="AJ45" s="1203"/>
      <c r="AK45" s="1203"/>
      <c r="AL45" s="1203"/>
      <c r="AM45" s="20"/>
      <c r="AN45" s="25"/>
      <c r="AO45" s="25"/>
      <c r="AP45" s="25"/>
      <c r="AQ45" s="25"/>
      <c r="AR45" s="25"/>
      <c r="AS45" s="25"/>
      <c r="AT45" s="25"/>
      <c r="AU45" s="25"/>
      <c r="AV45" s="25"/>
      <c r="AW45" s="29"/>
      <c r="AX45" s="19"/>
      <c r="AY45" s="93"/>
      <c r="AZ45" s="93"/>
      <c r="BA45" s="20"/>
      <c r="BB45" s="29"/>
      <c r="BC45" s="93"/>
      <c r="BD45" s="1203"/>
      <c r="BE45" s="93"/>
      <c r="BF45" s="93"/>
      <c r="BG45" s="93"/>
      <c r="BH45" s="93"/>
      <c r="BI45" s="29"/>
      <c r="BJ45" s="19"/>
      <c r="BK45" s="1203"/>
      <c r="BL45" s="1203"/>
      <c r="BM45" s="1203"/>
      <c r="BN45" s="1203"/>
      <c r="BO45" s="1203"/>
      <c r="BP45" s="1203"/>
      <c r="BQ45" s="20"/>
    </row>
    <row r="46" spans="2:69">
      <c r="B46" s="29">
        <v>2041</v>
      </c>
      <c r="C46" s="8"/>
      <c r="D46" s="9"/>
      <c r="E46" s="9"/>
      <c r="F46" s="9"/>
      <c r="G46" s="9"/>
      <c r="H46" s="9"/>
      <c r="I46" s="9"/>
      <c r="J46" s="10"/>
      <c r="K46" s="29"/>
      <c r="L46" s="25">
        <v>42</v>
      </c>
      <c r="M46" s="175"/>
      <c r="N46" s="19"/>
      <c r="O46" s="93"/>
      <c r="P46" s="93"/>
      <c r="Q46" s="93"/>
      <c r="R46" s="20"/>
      <c r="S46" s="25">
        <v>42</v>
      </c>
      <c r="T46" s="175"/>
      <c r="U46" s="168"/>
      <c r="V46" s="93"/>
      <c r="W46" s="93"/>
      <c r="X46" s="169"/>
      <c r="Y46" s="168"/>
      <c r="Z46" s="93"/>
      <c r="AA46" s="93"/>
      <c r="AB46" s="93"/>
      <c r="AC46" s="93"/>
      <c r="AD46" s="169"/>
      <c r="AE46" s="168"/>
      <c r="AF46" s="93"/>
      <c r="AG46" s="93"/>
      <c r="AH46" s="169"/>
      <c r="AI46" s="168"/>
      <c r="AJ46" s="1203"/>
      <c r="AK46" s="1203"/>
      <c r="AL46" s="1203"/>
      <c r="AM46" s="20"/>
      <c r="AN46" s="25"/>
      <c r="AO46" s="25"/>
      <c r="AP46" s="25"/>
      <c r="AQ46" s="25"/>
      <c r="AR46" s="25"/>
      <c r="AS46" s="25"/>
      <c r="AT46" s="25"/>
      <c r="AU46" s="25"/>
      <c r="AV46" s="25"/>
      <c r="AW46" s="29"/>
      <c r="AX46" s="19"/>
      <c r="AY46" s="93"/>
      <c r="AZ46" s="93"/>
      <c r="BA46" s="20"/>
      <c r="BB46" s="29"/>
      <c r="BC46" s="93"/>
      <c r="BD46" s="1203"/>
      <c r="BE46" s="93"/>
      <c r="BF46" s="93"/>
      <c r="BG46" s="93"/>
      <c r="BH46" s="93"/>
      <c r="BI46" s="29"/>
      <c r="BJ46" s="19"/>
      <c r="BK46" s="1203"/>
      <c r="BL46" s="1203"/>
      <c r="BM46" s="1203"/>
      <c r="BN46" s="1203"/>
      <c r="BO46" s="1203"/>
      <c r="BP46" s="1203"/>
      <c r="BQ46" s="20"/>
    </row>
    <row r="47" spans="2:69">
      <c r="B47" s="29">
        <v>2042</v>
      </c>
      <c r="C47" s="8"/>
      <c r="D47" s="9"/>
      <c r="E47" s="9"/>
      <c r="F47" s="9"/>
      <c r="G47" s="9"/>
      <c r="H47" s="9"/>
      <c r="I47" s="9"/>
      <c r="J47" s="10"/>
      <c r="K47" s="29"/>
      <c r="L47" s="25">
        <v>43</v>
      </c>
      <c r="M47" s="175"/>
      <c r="N47" s="19"/>
      <c r="O47" s="93"/>
      <c r="P47" s="93"/>
      <c r="Q47" s="93"/>
      <c r="R47" s="20"/>
      <c r="S47" s="25">
        <v>43</v>
      </c>
      <c r="T47" s="175"/>
      <c r="U47" s="168"/>
      <c r="V47" s="93"/>
      <c r="W47" s="93"/>
      <c r="X47" s="169"/>
      <c r="Y47" s="168"/>
      <c r="Z47" s="93"/>
      <c r="AA47" s="93"/>
      <c r="AB47" s="93"/>
      <c r="AC47" s="93"/>
      <c r="AD47" s="169"/>
      <c r="AE47" s="168"/>
      <c r="AF47" s="93"/>
      <c r="AG47" s="93"/>
      <c r="AH47" s="169"/>
      <c r="AI47" s="168"/>
      <c r="AJ47" s="1203"/>
      <c r="AK47" s="1203"/>
      <c r="AL47" s="1203"/>
      <c r="AM47" s="20"/>
      <c r="AN47" s="25"/>
      <c r="AO47" s="25"/>
      <c r="AP47" s="25"/>
      <c r="AQ47" s="25"/>
      <c r="AR47" s="25"/>
      <c r="AS47" s="25"/>
      <c r="AT47" s="25"/>
      <c r="AU47" s="25"/>
      <c r="AV47" s="25"/>
      <c r="AW47" s="29"/>
      <c r="AX47" s="19"/>
      <c r="AY47" s="93"/>
      <c r="AZ47" s="93"/>
      <c r="BA47" s="20"/>
      <c r="BB47" s="29"/>
      <c r="BC47" s="93"/>
      <c r="BD47" s="1203"/>
      <c r="BE47" s="93"/>
      <c r="BF47" s="93"/>
      <c r="BG47" s="93"/>
      <c r="BH47" s="93"/>
      <c r="BI47" s="29"/>
      <c r="BJ47" s="19"/>
      <c r="BK47" s="1203"/>
      <c r="BL47" s="1203"/>
      <c r="BM47" s="1203"/>
      <c r="BN47" s="1203"/>
      <c r="BO47" s="1203"/>
      <c r="BP47" s="1203"/>
      <c r="BQ47" s="20"/>
    </row>
    <row r="48" spans="2:69">
      <c r="B48" s="29">
        <v>2043</v>
      </c>
      <c r="C48" s="8"/>
      <c r="D48" s="9"/>
      <c r="E48" s="9"/>
      <c r="F48" s="9"/>
      <c r="G48" s="9"/>
      <c r="H48" s="9"/>
      <c r="I48" s="9"/>
      <c r="J48" s="10"/>
      <c r="K48" s="29"/>
      <c r="L48" s="25">
        <v>44</v>
      </c>
      <c r="M48" s="175"/>
      <c r="N48" s="19"/>
      <c r="O48" s="93"/>
      <c r="P48" s="93"/>
      <c r="Q48" s="93"/>
      <c r="R48" s="20"/>
      <c r="S48" s="25">
        <v>44</v>
      </c>
      <c r="T48" s="175"/>
      <c r="U48" s="168"/>
      <c r="V48" s="93"/>
      <c r="W48" s="93"/>
      <c r="X48" s="169"/>
      <c r="Y48" s="168"/>
      <c r="Z48" s="93"/>
      <c r="AA48" s="93"/>
      <c r="AB48" s="93"/>
      <c r="AC48" s="93"/>
      <c r="AD48" s="169"/>
      <c r="AE48" s="168"/>
      <c r="AF48" s="93"/>
      <c r="AG48" s="93"/>
      <c r="AH48" s="169"/>
      <c r="AI48" s="168"/>
      <c r="AJ48" s="1203"/>
      <c r="AK48" s="1203"/>
      <c r="AL48" s="1203"/>
      <c r="AM48" s="20"/>
      <c r="AN48" s="25"/>
      <c r="AO48" s="25"/>
      <c r="AP48" s="25"/>
      <c r="AQ48" s="25"/>
      <c r="AR48" s="25"/>
      <c r="AS48" s="25"/>
      <c r="AT48" s="25"/>
      <c r="AU48" s="25"/>
      <c r="AV48" s="25"/>
      <c r="AW48" s="29"/>
      <c r="AX48" s="19"/>
      <c r="AY48" s="93"/>
      <c r="AZ48" s="93"/>
      <c r="BA48" s="20"/>
      <c r="BB48" s="29"/>
      <c r="BC48" s="93"/>
      <c r="BD48" s="1203"/>
      <c r="BE48" s="93"/>
      <c r="BF48" s="93"/>
      <c r="BG48" s="93"/>
      <c r="BH48" s="93"/>
      <c r="BI48" s="29"/>
      <c r="BJ48" s="19"/>
      <c r="BK48" s="1203"/>
      <c r="BL48" s="1203"/>
      <c r="BM48" s="1203"/>
      <c r="BN48" s="1203"/>
      <c r="BO48" s="1203"/>
      <c r="BP48" s="1203"/>
      <c r="BQ48" s="20"/>
    </row>
    <row r="49" spans="2:69">
      <c r="B49" s="29">
        <v>2044</v>
      </c>
      <c r="C49" s="8"/>
      <c r="D49" s="9"/>
      <c r="E49" s="9"/>
      <c r="F49" s="9"/>
      <c r="G49" s="9"/>
      <c r="H49" s="9"/>
      <c r="I49" s="9"/>
      <c r="J49" s="10"/>
      <c r="K49" s="29"/>
      <c r="L49" s="25">
        <v>45</v>
      </c>
      <c r="M49" s="175"/>
      <c r="N49" s="19"/>
      <c r="O49" s="93"/>
      <c r="P49" s="93"/>
      <c r="Q49" s="93"/>
      <c r="R49" s="20"/>
      <c r="S49" s="25">
        <v>45</v>
      </c>
      <c r="T49" s="175"/>
      <c r="U49" s="168"/>
      <c r="V49" s="93"/>
      <c r="W49" s="93"/>
      <c r="X49" s="169"/>
      <c r="Y49" s="168"/>
      <c r="Z49" s="93"/>
      <c r="AA49" s="93"/>
      <c r="AB49" s="93"/>
      <c r="AC49" s="93"/>
      <c r="AD49" s="169"/>
      <c r="AE49" s="168"/>
      <c r="AF49" s="93"/>
      <c r="AG49" s="93"/>
      <c r="AH49" s="169"/>
      <c r="AI49" s="168"/>
      <c r="AJ49" s="1203"/>
      <c r="AK49" s="1203"/>
      <c r="AL49" s="1203"/>
      <c r="AM49" s="20"/>
      <c r="AN49" s="25"/>
      <c r="AO49" s="25"/>
      <c r="AP49" s="25"/>
      <c r="AQ49" s="25"/>
      <c r="AR49" s="25"/>
      <c r="AS49" s="25"/>
      <c r="AT49" s="25"/>
      <c r="AU49" s="25"/>
      <c r="AV49" s="25"/>
      <c r="AW49" s="29"/>
      <c r="AX49" s="19"/>
      <c r="AY49" s="93"/>
      <c r="AZ49" s="93"/>
      <c r="BA49" s="20"/>
      <c r="BB49" s="29"/>
      <c r="BC49" s="93"/>
      <c r="BD49" s="1203"/>
      <c r="BE49" s="93"/>
      <c r="BF49" s="93"/>
      <c r="BG49" s="93"/>
      <c r="BH49" s="93"/>
      <c r="BI49" s="29"/>
      <c r="BJ49" s="19"/>
      <c r="BK49" s="1203"/>
      <c r="BL49" s="1203"/>
      <c r="BM49" s="1203"/>
      <c r="BN49" s="1203"/>
      <c r="BO49" s="1203"/>
      <c r="BP49" s="1203"/>
      <c r="BQ49" s="20"/>
    </row>
    <row r="50" spans="2:69">
      <c r="B50" s="29">
        <v>2045</v>
      </c>
      <c r="C50" s="8"/>
      <c r="D50" s="9"/>
      <c r="E50" s="9"/>
      <c r="F50" s="9"/>
      <c r="G50" s="9"/>
      <c r="H50" s="9"/>
      <c r="I50" s="9"/>
      <c r="J50" s="10"/>
      <c r="K50" s="29"/>
      <c r="L50" s="25">
        <v>46</v>
      </c>
      <c r="M50" s="175"/>
      <c r="N50" s="19"/>
      <c r="O50" s="93"/>
      <c r="P50" s="93"/>
      <c r="Q50" s="93"/>
      <c r="R50" s="20"/>
      <c r="S50" s="25">
        <v>46</v>
      </c>
      <c r="T50" s="175"/>
      <c r="U50" s="168"/>
      <c r="V50" s="93"/>
      <c r="W50" s="93"/>
      <c r="X50" s="169"/>
      <c r="Y50" s="168"/>
      <c r="Z50" s="93"/>
      <c r="AA50" s="93"/>
      <c r="AB50" s="93"/>
      <c r="AC50" s="93"/>
      <c r="AD50" s="169"/>
      <c r="AE50" s="168"/>
      <c r="AF50" s="93"/>
      <c r="AG50" s="93"/>
      <c r="AH50" s="169"/>
      <c r="AI50" s="168"/>
      <c r="AJ50" s="1203"/>
      <c r="AK50" s="1203"/>
      <c r="AL50" s="1203"/>
      <c r="AM50" s="20"/>
      <c r="AN50" s="25"/>
      <c r="AO50" s="25"/>
      <c r="AP50" s="25"/>
      <c r="AQ50" s="25"/>
      <c r="AR50" s="25"/>
      <c r="AS50" s="25"/>
      <c r="AT50" s="25"/>
      <c r="AU50" s="25"/>
      <c r="AV50" s="25"/>
      <c r="AW50" s="29"/>
      <c r="AX50" s="19"/>
      <c r="AY50" s="93"/>
      <c r="AZ50" s="93"/>
      <c r="BA50" s="20"/>
      <c r="BB50" s="29"/>
      <c r="BC50" s="93"/>
      <c r="BD50" s="1203"/>
      <c r="BE50" s="93"/>
      <c r="BF50" s="93"/>
      <c r="BG50" s="93"/>
      <c r="BH50" s="93"/>
      <c r="BI50" s="29"/>
      <c r="BJ50" s="19"/>
      <c r="BK50" s="1203"/>
      <c r="BL50" s="1203"/>
      <c r="BM50" s="1203"/>
      <c r="BN50" s="1203"/>
      <c r="BO50" s="1203"/>
      <c r="BP50" s="1203"/>
      <c r="BQ50" s="20"/>
    </row>
    <row r="51" spans="2:69">
      <c r="B51" s="29">
        <v>2046</v>
      </c>
      <c r="C51" s="8"/>
      <c r="D51" s="9"/>
      <c r="E51" s="9"/>
      <c r="F51" s="9"/>
      <c r="G51" s="9"/>
      <c r="H51" s="9"/>
      <c r="I51" s="9"/>
      <c r="J51" s="10"/>
      <c r="K51" s="29"/>
      <c r="L51" s="25">
        <v>47</v>
      </c>
      <c r="M51" s="175"/>
      <c r="N51" s="19"/>
      <c r="O51" s="93"/>
      <c r="P51" s="93"/>
      <c r="Q51" s="93"/>
      <c r="R51" s="20"/>
      <c r="S51" s="25">
        <v>47</v>
      </c>
      <c r="T51" s="175"/>
      <c r="U51" s="168"/>
      <c r="V51" s="93"/>
      <c r="W51" s="93"/>
      <c r="X51" s="169"/>
      <c r="Y51" s="168"/>
      <c r="Z51" s="93"/>
      <c r="AA51" s="93"/>
      <c r="AB51" s="93"/>
      <c r="AC51" s="93"/>
      <c r="AD51" s="169"/>
      <c r="AE51" s="168"/>
      <c r="AF51" s="93"/>
      <c r="AG51" s="93"/>
      <c r="AH51" s="169"/>
      <c r="AI51" s="168"/>
      <c r="AJ51" s="1203"/>
      <c r="AK51" s="1203"/>
      <c r="AL51" s="1203"/>
      <c r="AM51" s="20"/>
      <c r="AN51" s="25"/>
      <c r="AO51" s="25"/>
      <c r="AP51" s="25"/>
      <c r="AQ51" s="25"/>
      <c r="AR51" s="25"/>
      <c r="AS51" s="25"/>
      <c r="AT51" s="25"/>
      <c r="AU51" s="25"/>
      <c r="AV51" s="25"/>
      <c r="AW51" s="29"/>
      <c r="AX51" s="19"/>
      <c r="AY51" s="93"/>
      <c r="AZ51" s="93"/>
      <c r="BA51" s="20"/>
      <c r="BB51" s="29"/>
      <c r="BC51" s="93"/>
      <c r="BD51" s="1203"/>
      <c r="BE51" s="93"/>
      <c r="BF51" s="93"/>
      <c r="BG51" s="93"/>
      <c r="BH51" s="93"/>
      <c r="BI51" s="29"/>
      <c r="BJ51" s="19"/>
      <c r="BK51" s="1203"/>
      <c r="BL51" s="1203"/>
      <c r="BM51" s="1203"/>
      <c r="BN51" s="1203"/>
      <c r="BO51" s="1203"/>
      <c r="BP51" s="1203"/>
      <c r="BQ51" s="20"/>
    </row>
    <row r="52" spans="2:69">
      <c r="B52" s="29">
        <v>2047</v>
      </c>
      <c r="C52" s="8"/>
      <c r="D52" s="9"/>
      <c r="E52" s="9"/>
      <c r="F52" s="9"/>
      <c r="G52" s="9"/>
      <c r="H52" s="9"/>
      <c r="I52" s="9"/>
      <c r="J52" s="10"/>
      <c r="K52" s="29"/>
      <c r="L52" s="25">
        <v>48</v>
      </c>
      <c r="M52" s="175"/>
      <c r="N52" s="19"/>
      <c r="O52" s="93"/>
      <c r="P52" s="93"/>
      <c r="Q52" s="93"/>
      <c r="R52" s="20"/>
      <c r="S52" s="25">
        <v>48</v>
      </c>
      <c r="T52" s="175"/>
      <c r="U52" s="168"/>
      <c r="V52" s="93"/>
      <c r="W52" s="93"/>
      <c r="X52" s="169"/>
      <c r="Y52" s="168"/>
      <c r="Z52" s="93"/>
      <c r="AA52" s="93"/>
      <c r="AB52" s="93"/>
      <c r="AC52" s="93"/>
      <c r="AD52" s="169"/>
      <c r="AE52" s="168"/>
      <c r="AF52" s="93"/>
      <c r="AG52" s="93"/>
      <c r="AH52" s="169"/>
      <c r="AI52" s="168"/>
      <c r="AJ52" s="1203"/>
      <c r="AK52" s="1203"/>
      <c r="AL52" s="1203"/>
      <c r="AM52" s="20"/>
      <c r="AN52" s="25"/>
      <c r="AO52" s="25"/>
      <c r="AP52" s="25"/>
      <c r="AQ52" s="25"/>
      <c r="AR52" s="25"/>
      <c r="AS52" s="25"/>
      <c r="AT52" s="25"/>
      <c r="AU52" s="25"/>
      <c r="AV52" s="25"/>
      <c r="AW52" s="29"/>
      <c r="AX52" s="19"/>
      <c r="AY52" s="93"/>
      <c r="AZ52" s="93"/>
      <c r="BA52" s="20"/>
      <c r="BB52" s="29"/>
      <c r="BC52" s="93"/>
      <c r="BD52" s="1203"/>
      <c r="BE52" s="93"/>
      <c r="BF52" s="93"/>
      <c r="BG52" s="93"/>
      <c r="BH52" s="93"/>
      <c r="BI52" s="29"/>
      <c r="BJ52" s="19"/>
      <c r="BK52" s="1203"/>
      <c r="BL52" s="1203"/>
      <c r="BM52" s="1203"/>
      <c r="BN52" s="1203"/>
      <c r="BO52" s="1203"/>
      <c r="BP52" s="1203"/>
      <c r="BQ52" s="20"/>
    </row>
    <row r="53" spans="2:69">
      <c r="B53" s="29">
        <v>2048</v>
      </c>
      <c r="C53" s="8"/>
      <c r="D53" s="9"/>
      <c r="E53" s="9"/>
      <c r="F53" s="9"/>
      <c r="G53" s="9"/>
      <c r="H53" s="9"/>
      <c r="I53" s="9"/>
      <c r="J53" s="10"/>
      <c r="K53" s="29"/>
      <c r="L53" s="25">
        <v>49</v>
      </c>
      <c r="M53" s="175"/>
      <c r="N53" s="19"/>
      <c r="O53" s="93"/>
      <c r="P53" s="93"/>
      <c r="Q53" s="93"/>
      <c r="R53" s="20"/>
      <c r="S53" s="25">
        <v>49</v>
      </c>
      <c r="T53" s="175"/>
      <c r="U53" s="168"/>
      <c r="V53" s="93"/>
      <c r="W53" s="93"/>
      <c r="X53" s="169"/>
      <c r="Y53" s="168"/>
      <c r="Z53" s="93"/>
      <c r="AA53" s="93"/>
      <c r="AB53" s="93"/>
      <c r="AC53" s="93"/>
      <c r="AD53" s="169"/>
      <c r="AE53" s="168"/>
      <c r="AF53" s="93"/>
      <c r="AG53" s="93"/>
      <c r="AH53" s="169"/>
      <c r="AI53" s="168"/>
      <c r="AJ53" s="1203"/>
      <c r="AK53" s="1203"/>
      <c r="AL53" s="1203"/>
      <c r="AM53" s="20"/>
      <c r="AN53" s="25"/>
      <c r="AO53" s="25"/>
      <c r="AP53" s="25"/>
      <c r="AQ53" s="25"/>
      <c r="AR53" s="25"/>
      <c r="AS53" s="25"/>
      <c r="AT53" s="25"/>
      <c r="AU53" s="25"/>
      <c r="AV53" s="25"/>
      <c r="AW53" s="29"/>
      <c r="AX53" s="19"/>
      <c r="AY53" s="93"/>
      <c r="AZ53" s="93"/>
      <c r="BA53" s="20"/>
      <c r="BB53" s="29"/>
      <c r="BC53" s="93"/>
      <c r="BD53" s="1203"/>
      <c r="BE53" s="93"/>
      <c r="BF53" s="93"/>
      <c r="BG53" s="93"/>
      <c r="BH53" s="93"/>
      <c r="BI53" s="29"/>
      <c r="BJ53" s="19"/>
      <c r="BK53" s="1203"/>
      <c r="BL53" s="1203"/>
      <c r="BM53" s="1203"/>
      <c r="BN53" s="1203"/>
      <c r="BO53" s="1203"/>
      <c r="BP53" s="1203"/>
      <c r="BQ53" s="20"/>
    </row>
    <row r="54" spans="2:69">
      <c r="B54" s="29">
        <v>2049</v>
      </c>
      <c r="C54" s="8"/>
      <c r="D54" s="9"/>
      <c r="E54" s="9"/>
      <c r="F54" s="9"/>
      <c r="G54" s="9"/>
      <c r="H54" s="9"/>
      <c r="I54" s="9"/>
      <c r="J54" s="10"/>
      <c r="K54" s="29"/>
      <c r="L54" s="25">
        <v>50</v>
      </c>
      <c r="M54" s="175"/>
      <c r="N54" s="19"/>
      <c r="O54" s="93"/>
      <c r="P54" s="93"/>
      <c r="Q54" s="93"/>
      <c r="R54" s="20"/>
      <c r="S54" s="25">
        <v>50</v>
      </c>
      <c r="T54" s="175"/>
      <c r="U54" s="168"/>
      <c r="V54" s="93"/>
      <c r="W54" s="93"/>
      <c r="X54" s="169"/>
      <c r="Y54" s="168"/>
      <c r="Z54" s="93"/>
      <c r="AA54" s="93"/>
      <c r="AB54" s="93"/>
      <c r="AC54" s="93"/>
      <c r="AD54" s="169"/>
      <c r="AE54" s="168"/>
      <c r="AF54" s="93"/>
      <c r="AG54" s="93"/>
      <c r="AH54" s="169"/>
      <c r="AI54" s="168"/>
      <c r="AJ54" s="1203"/>
      <c r="AK54" s="1203"/>
      <c r="AL54" s="1203"/>
      <c r="AM54" s="20"/>
      <c r="AN54" s="25"/>
      <c r="AO54" s="25"/>
      <c r="AP54" s="25"/>
      <c r="AQ54" s="25"/>
      <c r="AR54" s="25"/>
      <c r="AS54" s="25"/>
      <c r="AT54" s="25"/>
      <c r="AU54" s="25"/>
      <c r="AV54" s="25"/>
      <c r="AW54" s="29"/>
      <c r="AX54" s="19"/>
      <c r="AY54" s="93"/>
      <c r="AZ54" s="93"/>
      <c r="BA54" s="20"/>
      <c r="BB54" s="29"/>
      <c r="BC54" s="93"/>
      <c r="BD54" s="1203"/>
      <c r="BE54" s="93"/>
      <c r="BF54" s="93"/>
      <c r="BG54" s="93"/>
      <c r="BH54" s="93"/>
      <c r="BI54" s="29"/>
      <c r="BJ54" s="19"/>
      <c r="BK54" s="1203"/>
      <c r="BL54" s="1203"/>
      <c r="BM54" s="1203"/>
      <c r="BN54" s="1203"/>
      <c r="BO54" s="1203"/>
      <c r="BP54" s="1203"/>
      <c r="BQ54" s="20"/>
    </row>
    <row r="55" spans="2:69" ht="12.6" thickBot="1">
      <c r="B55" s="30">
        <v>2050</v>
      </c>
      <c r="C55" s="11"/>
      <c r="D55" s="12"/>
      <c r="E55" s="12"/>
      <c r="F55" s="12"/>
      <c r="G55" s="12"/>
      <c r="H55" s="12"/>
      <c r="I55" s="12"/>
      <c r="J55" s="13"/>
      <c r="K55" s="30"/>
      <c r="L55" s="26">
        <v>51</v>
      </c>
      <c r="M55" s="175"/>
      <c r="N55" s="21"/>
      <c r="O55" s="94"/>
      <c r="P55" s="94"/>
      <c r="Q55" s="94"/>
      <c r="R55" s="22"/>
      <c r="S55" s="26">
        <v>51</v>
      </c>
      <c r="T55" s="175"/>
      <c r="U55" s="170"/>
      <c r="V55" s="171"/>
      <c r="W55" s="171"/>
      <c r="X55" s="172"/>
      <c r="Y55" s="170"/>
      <c r="Z55" s="171"/>
      <c r="AA55" s="171"/>
      <c r="AB55" s="171"/>
      <c r="AC55" s="171"/>
      <c r="AD55" s="172"/>
      <c r="AE55" s="170"/>
      <c r="AF55" s="171"/>
      <c r="AG55" s="171"/>
      <c r="AH55" s="172"/>
      <c r="AI55" s="170"/>
      <c r="AJ55" s="171"/>
      <c r="AK55" s="171"/>
      <c r="AL55" s="171"/>
      <c r="AM55" s="1205"/>
      <c r="AN55" s="25"/>
      <c r="AO55" s="25"/>
      <c r="AP55" s="25"/>
      <c r="AQ55" s="25"/>
      <c r="AR55" s="25"/>
      <c r="AS55" s="25"/>
      <c r="AT55" s="25"/>
      <c r="AU55" s="25"/>
      <c r="AV55" s="25"/>
      <c r="AW55" s="30"/>
      <c r="AX55" s="21"/>
      <c r="AY55" s="94"/>
      <c r="AZ55" s="94"/>
      <c r="BA55" s="22"/>
      <c r="BB55" s="30"/>
      <c r="BC55" s="94"/>
      <c r="BD55" s="94"/>
      <c r="BE55" s="94"/>
      <c r="BF55" s="94"/>
      <c r="BG55" s="94"/>
      <c r="BH55" s="94"/>
      <c r="BI55" s="30"/>
      <c r="BJ55" s="21"/>
      <c r="BK55" s="94"/>
      <c r="BL55" s="94"/>
      <c r="BM55" s="94"/>
      <c r="BN55" s="94"/>
      <c r="BO55" s="94"/>
      <c r="BP55" s="94"/>
      <c r="BQ55" s="22"/>
    </row>
    <row r="56" spans="2:69" ht="12.6" thickTop="1"/>
  </sheetData>
  <mergeCells count="2">
    <mergeCell ref="U3:W3"/>
    <mergeCell ref="Y3:AD3"/>
  </mergeCells>
  <dataValidations count="1">
    <dataValidation type="custom" allowBlank="1" showInputMessage="1" showErrorMessage="1" promptTitle="Nombre positif autorisé" prompt="Seul des valeures positives sont valides" sqref="C25:C55 C5:C19 D5:J55" xr:uid="{00000000-0002-0000-2600-000000000000}">
      <formula1>"&gt;0"</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rgb="FF00B050"/>
  </sheetPr>
  <dimension ref="A1:H53"/>
  <sheetViews>
    <sheetView showGridLines="0" showRowColHeaders="0" view="pageBreakPreview" zoomScaleSheetLayoutView="100" workbookViewId="0">
      <selection activeCell="K50" sqref="K50"/>
    </sheetView>
  </sheetViews>
  <sheetFormatPr baseColWidth="10" defaultColWidth="11.44140625" defaultRowHeight="13.8"/>
  <cols>
    <col min="1" max="1" width="13.83203125" style="1229" customWidth="1"/>
    <col min="2" max="5" width="11.44140625" style="1229"/>
    <col min="6" max="6" width="15.44140625" style="1229" customWidth="1"/>
    <col min="7" max="7" width="9.83203125" style="1229" customWidth="1"/>
    <col min="8" max="16384" width="11.44140625" style="1229"/>
  </cols>
  <sheetData>
    <row r="1" spans="1:8" ht="14.1">
      <c r="A1" s="2047" t="s">
        <v>850</v>
      </c>
      <c r="B1" s="2047"/>
      <c r="C1" s="2047"/>
      <c r="D1" s="2047"/>
      <c r="E1" s="2047"/>
      <c r="F1" s="2047"/>
      <c r="H1" s="1230" t="s">
        <v>767</v>
      </c>
    </row>
    <row r="3" spans="1:8" ht="14.1">
      <c r="A3" s="1231" t="s">
        <v>851</v>
      </c>
      <c r="B3" s="1229" t="s">
        <v>852</v>
      </c>
    </row>
    <row r="5" spans="1:8" ht="14.1">
      <c r="A5" s="1231" t="s">
        <v>853</v>
      </c>
      <c r="B5" s="1229" t="s">
        <v>854</v>
      </c>
    </row>
    <row r="6" spans="1:8" ht="14.1">
      <c r="A6" s="1231"/>
    </row>
    <row r="7" spans="1:8" ht="14.1">
      <c r="A7" s="1804" t="s">
        <v>1044</v>
      </c>
      <c r="B7" s="1229" t="s">
        <v>1053</v>
      </c>
    </row>
    <row r="9" spans="1:8" ht="14.1">
      <c r="A9" s="1231" t="s">
        <v>855</v>
      </c>
      <c r="B9" s="1229" t="s">
        <v>856</v>
      </c>
    </row>
    <row r="10" spans="1:8" ht="14.1">
      <c r="A10" s="1231"/>
    </row>
    <row r="11" spans="1:8" ht="14.1">
      <c r="A11" s="1231" t="s">
        <v>857</v>
      </c>
      <c r="B11" s="1229" t="s">
        <v>13</v>
      </c>
    </row>
    <row r="13" spans="1:8" ht="14.1">
      <c r="A13" s="1231" t="s">
        <v>858</v>
      </c>
      <c r="B13" s="1229" t="s">
        <v>831</v>
      </c>
    </row>
    <row r="15" spans="1:8" ht="14.1">
      <c r="A15" s="1231" t="s">
        <v>859</v>
      </c>
      <c r="B15" s="1229" t="s">
        <v>860</v>
      </c>
    </row>
    <row r="17" spans="1:2" ht="14.1">
      <c r="A17" s="1231" t="s">
        <v>861</v>
      </c>
      <c r="B17" s="1229" t="s">
        <v>862</v>
      </c>
    </row>
    <row r="18" spans="1:2" ht="14.1">
      <c r="A18" s="1231"/>
    </row>
    <row r="19" spans="1:2" ht="14.1">
      <c r="A19" s="1231" t="s">
        <v>863</v>
      </c>
      <c r="B19" s="1229" t="s">
        <v>864</v>
      </c>
    </row>
    <row r="21" spans="1:2" ht="14.1">
      <c r="A21" s="1231" t="s">
        <v>865</v>
      </c>
      <c r="B21" s="1229" t="s">
        <v>866</v>
      </c>
    </row>
    <row r="23" spans="1:2" ht="14.1">
      <c r="A23" s="1231" t="s">
        <v>867</v>
      </c>
      <c r="B23" s="1229" t="s">
        <v>868</v>
      </c>
    </row>
    <row r="25" spans="1:2" ht="14.1">
      <c r="A25" s="1231" t="s">
        <v>869</v>
      </c>
      <c r="B25" s="1229" t="s">
        <v>870</v>
      </c>
    </row>
    <row r="27" spans="1:2" ht="14.1">
      <c r="A27" s="1231" t="s">
        <v>871</v>
      </c>
      <c r="B27" s="1229" t="s">
        <v>872</v>
      </c>
    </row>
    <row r="29" spans="1:2" ht="14.1">
      <c r="A29" s="1231" t="s">
        <v>873</v>
      </c>
      <c r="B29" s="1229" t="s">
        <v>874</v>
      </c>
    </row>
    <row r="31" spans="1:2" ht="14.1">
      <c r="A31" s="1231" t="s">
        <v>875</v>
      </c>
      <c r="B31" s="1229" t="s">
        <v>876</v>
      </c>
    </row>
    <row r="32" spans="1:2" ht="14.1">
      <c r="A32" s="1231"/>
    </row>
    <row r="33" spans="1:2" ht="14.1">
      <c r="A33" s="1231" t="s">
        <v>877</v>
      </c>
      <c r="B33" s="1229" t="s">
        <v>878</v>
      </c>
    </row>
    <row r="35" spans="1:2" ht="14.1">
      <c r="A35" s="1231" t="s">
        <v>879</v>
      </c>
      <c r="B35" s="1229" t="s">
        <v>880</v>
      </c>
    </row>
    <row r="37" spans="1:2" ht="14.1">
      <c r="A37" s="1231" t="s">
        <v>881</v>
      </c>
      <c r="B37" s="1229" t="s">
        <v>882</v>
      </c>
    </row>
    <row r="39" spans="1:2" ht="14.1">
      <c r="A39" s="1231" t="s">
        <v>883</v>
      </c>
      <c r="B39" s="1229" t="s">
        <v>884</v>
      </c>
    </row>
    <row r="40" spans="1:2" ht="14.1">
      <c r="A40" s="1231"/>
    </row>
    <row r="41" spans="1:2" ht="14.1">
      <c r="A41" s="1231" t="s">
        <v>885</v>
      </c>
      <c r="B41" s="1229" t="s">
        <v>886</v>
      </c>
    </row>
    <row r="42" spans="1:2" ht="14.1">
      <c r="A42" s="1231"/>
    </row>
    <row r="43" spans="1:2" ht="16.2">
      <c r="A43" s="1231" t="s">
        <v>887</v>
      </c>
      <c r="B43" s="1229" t="s">
        <v>888</v>
      </c>
    </row>
    <row r="45" spans="1:2" ht="14.1">
      <c r="A45" s="1231" t="s">
        <v>889</v>
      </c>
      <c r="B45" s="1229" t="s">
        <v>890</v>
      </c>
    </row>
    <row r="47" spans="1:2" ht="14.1">
      <c r="A47" s="1231" t="s">
        <v>891</v>
      </c>
      <c r="B47" s="1229" t="s">
        <v>892</v>
      </c>
    </row>
    <row r="49" spans="1:2" ht="14.1">
      <c r="A49" s="1231" t="s">
        <v>893</v>
      </c>
      <c r="B49" s="1229" t="s">
        <v>894</v>
      </c>
    </row>
    <row r="50" spans="1:2" ht="14.1">
      <c r="A50" s="1231"/>
      <c r="B50" s="1232"/>
    </row>
    <row r="51" spans="1:2" ht="14.1">
      <c r="A51" s="1231" t="s">
        <v>895</v>
      </c>
      <c r="B51" s="1229" t="s">
        <v>896</v>
      </c>
    </row>
    <row r="53" spans="1:2" ht="14.1">
      <c r="A53" s="1231" t="s">
        <v>897</v>
      </c>
      <c r="B53" s="1229" t="s">
        <v>898</v>
      </c>
    </row>
  </sheetData>
  <mergeCells count="1">
    <mergeCell ref="A1:F1"/>
  </mergeCells>
  <pageMargins left="0.70866141732283472" right="0.70866141732283472" top="0.74803149606299213" bottom="0.74803149606299213" header="0.31496062992125984" footer="0.31496062992125984"/>
  <pageSetup paperSize="9" scale="70" firstPageNumber="3" orientation="portrait" r:id="rId1"/>
  <headerFooter>
    <oddFooter>&amp;L&amp;8Bulletin trimestriel de conjoncture, 4e trimestre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C109"/>
  <sheetViews>
    <sheetView view="pageBreakPreview" zoomScaleSheetLayoutView="100" workbookViewId="0">
      <selection activeCell="K50" sqref="K50"/>
    </sheetView>
  </sheetViews>
  <sheetFormatPr baseColWidth="10" defaultColWidth="11.44140625" defaultRowHeight="12.3"/>
  <cols>
    <col min="1" max="1" width="87.27734375" style="1864" customWidth="1"/>
    <col min="2" max="2" width="9" style="1864" customWidth="1"/>
    <col min="3" max="16384" width="11.44140625" style="1864"/>
  </cols>
  <sheetData>
    <row r="1" spans="1:2" ht="14.1">
      <c r="A1" s="1862" t="s">
        <v>899</v>
      </c>
      <c r="B1" s="1863"/>
    </row>
    <row r="2" spans="1:2">
      <c r="A2" s="1865"/>
      <c r="B2" s="1865"/>
    </row>
    <row r="3" spans="1:2">
      <c r="A3" s="1866" t="s">
        <v>44</v>
      </c>
      <c r="B3" s="1865"/>
    </row>
    <row r="4" spans="1:2">
      <c r="A4" s="1866" t="s">
        <v>59</v>
      </c>
      <c r="B4" s="1865"/>
    </row>
    <row r="5" spans="1:2">
      <c r="A5" s="1867" t="s">
        <v>900</v>
      </c>
      <c r="B5" s="1865"/>
    </row>
    <row r="6" spans="1:2">
      <c r="A6" s="1867" t="s">
        <v>901</v>
      </c>
      <c r="B6" s="1865"/>
    </row>
    <row r="7" spans="1:2">
      <c r="A7" s="1867" t="s">
        <v>902</v>
      </c>
      <c r="B7" s="1865"/>
    </row>
    <row r="8" spans="1:2">
      <c r="A8" s="1867" t="s">
        <v>903</v>
      </c>
      <c r="B8" s="1865"/>
    </row>
    <row r="9" spans="1:2">
      <c r="A9" s="1867" t="s">
        <v>904</v>
      </c>
      <c r="B9" s="1865"/>
    </row>
    <row r="10" spans="1:2">
      <c r="A10" s="1866" t="s">
        <v>905</v>
      </c>
      <c r="B10" s="1865"/>
    </row>
    <row r="11" spans="1:2">
      <c r="A11" s="1866" t="s">
        <v>906</v>
      </c>
    </row>
    <row r="12" spans="1:2">
      <c r="A12" s="1866" t="s">
        <v>907</v>
      </c>
    </row>
    <row r="13" spans="1:2">
      <c r="A13" s="1866" t="s">
        <v>908</v>
      </c>
    </row>
    <row r="14" spans="1:2">
      <c r="A14" s="1866" t="s">
        <v>909</v>
      </c>
    </row>
    <row r="15" spans="1:2">
      <c r="A15" s="1866" t="s">
        <v>910</v>
      </c>
    </row>
    <row r="16" spans="1:2">
      <c r="A16" s="1867" t="s">
        <v>911</v>
      </c>
    </row>
    <row r="17" spans="1:3">
      <c r="A17" s="1866" t="s">
        <v>912</v>
      </c>
    </row>
    <row r="18" spans="1:3">
      <c r="A18" s="1866" t="s">
        <v>913</v>
      </c>
    </row>
    <row r="19" spans="1:3">
      <c r="A19" s="1866" t="s">
        <v>564</v>
      </c>
    </row>
    <row r="20" spans="1:3">
      <c r="A20" s="1866" t="s">
        <v>589</v>
      </c>
    </row>
    <row r="21" spans="1:3">
      <c r="A21" s="1867" t="s">
        <v>914</v>
      </c>
    </row>
    <row r="22" spans="1:3">
      <c r="A22" s="1868" t="s">
        <v>915</v>
      </c>
    </row>
    <row r="23" spans="1:3">
      <c r="A23" s="1868" t="s">
        <v>916</v>
      </c>
    </row>
    <row r="24" spans="1:3">
      <c r="A24" s="1868" t="s">
        <v>917</v>
      </c>
    </row>
    <row r="25" spans="1:3">
      <c r="A25" s="1867" t="s">
        <v>918</v>
      </c>
    </row>
    <row r="26" spans="1:3">
      <c r="A26" s="1867" t="s">
        <v>919</v>
      </c>
    </row>
    <row r="27" spans="1:3">
      <c r="A27" s="1867" t="s">
        <v>920</v>
      </c>
    </row>
    <row r="28" spans="1:3">
      <c r="A28" s="1867" t="s">
        <v>921</v>
      </c>
    </row>
    <row r="29" spans="1:3">
      <c r="A29" s="1867" t="s">
        <v>922</v>
      </c>
    </row>
    <row r="30" spans="1:3">
      <c r="A30" s="1866" t="s">
        <v>923</v>
      </c>
    </row>
    <row r="31" spans="1:3">
      <c r="A31" s="1866" t="s">
        <v>924</v>
      </c>
    </row>
    <row r="32" spans="1:3">
      <c r="A32" s="1866" t="s">
        <v>925</v>
      </c>
      <c r="C32" s="1869"/>
    </row>
    <row r="33" spans="1:1" ht="12.6">
      <c r="A33" s="1866" t="s">
        <v>926</v>
      </c>
    </row>
    <row r="34" spans="1:1" ht="12.6">
      <c r="A34" s="1867" t="s">
        <v>927</v>
      </c>
    </row>
    <row r="35" spans="1:1" ht="12.6">
      <c r="A35" s="1867" t="s">
        <v>928</v>
      </c>
    </row>
    <row r="36" spans="1:1" ht="12.6">
      <c r="A36" s="1867" t="s">
        <v>929</v>
      </c>
    </row>
    <row r="37" spans="1:1" ht="12.6">
      <c r="A37" s="1866" t="s">
        <v>930</v>
      </c>
    </row>
    <row r="38" spans="1:1">
      <c r="A38" s="1866" t="s">
        <v>931</v>
      </c>
    </row>
    <row r="39" spans="1:1">
      <c r="A39" s="1866" t="s">
        <v>932</v>
      </c>
    </row>
    <row r="40" spans="1:1" ht="12.6">
      <c r="A40" s="1866" t="s">
        <v>933</v>
      </c>
    </row>
    <row r="41" spans="1:1" ht="12.6">
      <c r="A41" s="1866" t="s">
        <v>934</v>
      </c>
    </row>
    <row r="42" spans="1:1">
      <c r="A42" s="1866" t="s">
        <v>935</v>
      </c>
    </row>
    <row r="43" spans="1:1" ht="24.6">
      <c r="A43" s="1870" t="s">
        <v>936</v>
      </c>
    </row>
    <row r="44" spans="1:1">
      <c r="A44" s="461" t="s">
        <v>937</v>
      </c>
    </row>
    <row r="45" spans="1:1">
      <c r="A45" s="1866" t="s">
        <v>938</v>
      </c>
    </row>
    <row r="46" spans="1:1">
      <c r="A46" s="1866" t="s">
        <v>939</v>
      </c>
    </row>
    <row r="47" spans="1:1">
      <c r="A47" s="1866" t="s">
        <v>940</v>
      </c>
    </row>
    <row r="48" spans="1:1">
      <c r="A48" s="1866" t="s">
        <v>941</v>
      </c>
    </row>
    <row r="49" spans="1:1">
      <c r="A49" s="1866" t="s">
        <v>942</v>
      </c>
    </row>
    <row r="50" spans="1:1">
      <c r="A50" s="1866" t="s">
        <v>943</v>
      </c>
    </row>
    <row r="51" spans="1:1">
      <c r="A51" s="1867" t="s">
        <v>944</v>
      </c>
    </row>
    <row r="52" spans="1:1">
      <c r="A52" s="1871" t="s">
        <v>945</v>
      </c>
    </row>
    <row r="53" spans="1:1">
      <c r="A53" s="1871" t="s">
        <v>946</v>
      </c>
    </row>
    <row r="54" spans="1:1">
      <c r="A54" s="1871" t="s">
        <v>947</v>
      </c>
    </row>
    <row r="55" spans="1:1">
      <c r="A55" s="1871" t="s">
        <v>948</v>
      </c>
    </row>
    <row r="56" spans="1:1">
      <c r="A56" s="1866" t="s">
        <v>949</v>
      </c>
    </row>
    <row r="57" spans="1:1">
      <c r="A57" s="1867" t="s">
        <v>950</v>
      </c>
    </row>
    <row r="58" spans="1:1">
      <c r="A58" s="1867" t="s">
        <v>951</v>
      </c>
    </row>
    <row r="59" spans="1:1" ht="14.1">
      <c r="A59" s="1872" t="s">
        <v>952</v>
      </c>
    </row>
    <row r="60" spans="1:1" ht="14.1">
      <c r="A60" s="1872"/>
    </row>
    <row r="61" spans="1:1">
      <c r="A61" s="1867" t="s">
        <v>691</v>
      </c>
    </row>
    <row r="62" spans="1:1">
      <c r="A62" s="1867" t="s">
        <v>953</v>
      </c>
    </row>
    <row r="63" spans="1:1">
      <c r="A63" s="1867" t="s">
        <v>706</v>
      </c>
    </row>
    <row r="64" spans="1:1">
      <c r="A64" s="1867" t="s">
        <v>1045</v>
      </c>
    </row>
    <row r="65" spans="1:1">
      <c r="A65" s="1867" t="s">
        <v>1046</v>
      </c>
    </row>
    <row r="66" spans="1:1">
      <c r="A66" s="1867" t="s">
        <v>1047</v>
      </c>
    </row>
    <row r="67" spans="1:1">
      <c r="A67" s="1867" t="s">
        <v>1043</v>
      </c>
    </row>
    <row r="68" spans="1:1">
      <c r="A68" s="1867" t="s">
        <v>954</v>
      </c>
    </row>
    <row r="69" spans="1:1">
      <c r="A69" s="1866" t="s">
        <v>955</v>
      </c>
    </row>
    <row r="70" spans="1:1">
      <c r="A70" s="1866" t="s">
        <v>956</v>
      </c>
    </row>
    <row r="71" spans="1:1">
      <c r="A71" s="1866" t="s">
        <v>957</v>
      </c>
    </row>
    <row r="72" spans="1:1">
      <c r="A72" s="1866" t="s">
        <v>958</v>
      </c>
    </row>
    <row r="73" spans="1:1">
      <c r="A73" s="1867" t="s">
        <v>959</v>
      </c>
    </row>
    <row r="74" spans="1:1">
      <c r="A74" s="1867" t="s">
        <v>960</v>
      </c>
    </row>
    <row r="75" spans="1:1">
      <c r="A75" s="1867" t="s">
        <v>961</v>
      </c>
    </row>
    <row r="76" spans="1:1">
      <c r="A76" s="1867" t="s">
        <v>962</v>
      </c>
    </row>
    <row r="77" spans="1:1">
      <c r="A77" s="1866" t="s">
        <v>963</v>
      </c>
    </row>
    <row r="78" spans="1:1">
      <c r="A78" s="1866" t="s">
        <v>750</v>
      </c>
    </row>
    <row r="79" spans="1:1">
      <c r="A79" s="1866" t="s">
        <v>964</v>
      </c>
    </row>
    <row r="80" spans="1:1">
      <c r="A80" s="1866" t="s">
        <v>965</v>
      </c>
    </row>
    <row r="81" spans="1:1">
      <c r="A81" s="1866" t="s">
        <v>966</v>
      </c>
    </row>
    <row r="82" spans="1:1">
      <c r="A82" s="1866" t="s">
        <v>757</v>
      </c>
    </row>
    <row r="83" spans="1:1">
      <c r="A83" s="1866" t="s">
        <v>967</v>
      </c>
    </row>
    <row r="84" spans="1:1">
      <c r="A84" s="1928" t="s">
        <v>1126</v>
      </c>
    </row>
    <row r="85" spans="1:1">
      <c r="A85" s="1873" t="s">
        <v>1127</v>
      </c>
    </row>
    <row r="86" spans="1:1">
      <c r="A86" s="1868" t="s">
        <v>1128</v>
      </c>
    </row>
    <row r="87" spans="1:1">
      <c r="A87" s="1868" t="s">
        <v>1129</v>
      </c>
    </row>
    <row r="88" spans="1:1">
      <c r="A88" s="1868" t="s">
        <v>1130</v>
      </c>
    </row>
    <row r="89" spans="1:1">
      <c r="A89" s="1868" t="s">
        <v>1131</v>
      </c>
    </row>
    <row r="90" spans="1:1">
      <c r="A90" s="1929" t="s">
        <v>1132</v>
      </c>
    </row>
    <row r="91" spans="1:1">
      <c r="A91" s="1867" t="s">
        <v>1133</v>
      </c>
    </row>
    <row r="92" spans="1:1">
      <c r="A92" s="1929" t="s">
        <v>1134</v>
      </c>
    </row>
    <row r="93" spans="1:1">
      <c r="A93" s="1928" t="s">
        <v>1135</v>
      </c>
    </row>
    <row r="94" spans="1:1">
      <c r="A94" s="1928" t="s">
        <v>1136</v>
      </c>
    </row>
    <row r="95" spans="1:1">
      <c r="A95" s="1928" t="s">
        <v>1137</v>
      </c>
    </row>
    <row r="96" spans="1:1">
      <c r="A96" s="1928" t="s">
        <v>1138</v>
      </c>
    </row>
    <row r="97" spans="1:1" ht="12.6">
      <c r="A97" s="1928" t="s">
        <v>1139</v>
      </c>
    </row>
    <row r="98" spans="1:1">
      <c r="A98" s="1928" t="s">
        <v>1140</v>
      </c>
    </row>
    <row r="99" spans="1:1">
      <c r="A99" s="1928" t="s">
        <v>1141</v>
      </c>
    </row>
    <row r="100" spans="1:1">
      <c r="A100" s="1928" t="s">
        <v>1142</v>
      </c>
    </row>
    <row r="101" spans="1:1" ht="12.6">
      <c r="A101" s="1928" t="s">
        <v>1143</v>
      </c>
    </row>
    <row r="102" spans="1:1">
      <c r="A102" s="1928" t="s">
        <v>1144</v>
      </c>
    </row>
    <row r="103" spans="1:1">
      <c r="A103" s="1930" t="s">
        <v>1145</v>
      </c>
    </row>
    <row r="104" spans="1:1">
      <c r="A104" s="1868"/>
    </row>
    <row r="105" spans="1:1">
      <c r="A105" s="1868"/>
    </row>
    <row r="106" spans="1:1">
      <c r="A106" s="1868"/>
    </row>
    <row r="107" spans="1:1">
      <c r="A107" s="1868"/>
    </row>
    <row r="108" spans="1:1">
      <c r="A108" s="1868"/>
    </row>
    <row r="109" spans="1:1">
      <c r="A109" s="415"/>
    </row>
  </sheetData>
  <pageMargins left="0.70866141732283472" right="0.70866141732283472" top="0.74803149606299213" bottom="0.74803149606299213" header="0.31496062992125984" footer="0.31496062992125984"/>
  <pageSetup paperSize="9" scale="70" firstPageNumber="3" fitToHeight="4" orientation="portrait" r:id="rId1"/>
  <headerFooter>
    <oddFooter>&amp;L&amp;8Bulletin trimestriel de conjoncture, 4e trimestre 2023</oddFooter>
  </headerFooter>
  <rowBreaks count="1" manualBreakCount="1">
    <brk id="5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00B050"/>
  </sheetPr>
  <dimension ref="A2:K52"/>
  <sheetViews>
    <sheetView view="pageBreakPreview" topLeftCell="A12" zoomScaleSheetLayoutView="100" workbookViewId="0">
      <selection activeCell="K50" sqref="K50"/>
    </sheetView>
  </sheetViews>
  <sheetFormatPr baseColWidth="10" defaultRowHeight="12.3"/>
  <cols>
    <col min="1" max="1" width="13.5546875" customWidth="1"/>
    <col min="8" max="8" width="11" customWidth="1"/>
    <col min="10" max="10" width="12.27734375" bestFit="1" customWidth="1"/>
  </cols>
  <sheetData>
    <row r="2" spans="1:10" ht="17.7">
      <c r="A2" s="2048" t="s">
        <v>43</v>
      </c>
      <c r="B2" s="2048"/>
      <c r="C2" s="2048"/>
      <c r="D2" s="2048"/>
      <c r="E2" s="2048"/>
      <c r="F2" s="2048"/>
      <c r="G2" s="2048"/>
      <c r="H2" s="2048"/>
    </row>
    <row r="3" spans="1:10" ht="13.8">
      <c r="A3" s="159"/>
      <c r="B3" s="159"/>
      <c r="C3" s="159"/>
      <c r="D3" s="159"/>
      <c r="E3" s="159"/>
      <c r="F3" s="159"/>
      <c r="G3" s="159"/>
      <c r="H3" s="159"/>
    </row>
    <row r="4" spans="1:10" ht="13.8">
      <c r="A4" s="68" t="s">
        <v>44</v>
      </c>
      <c r="B4" s="159"/>
      <c r="C4" s="159"/>
      <c r="D4" s="159"/>
      <c r="E4" s="159"/>
      <c r="F4" s="159"/>
      <c r="G4" s="159"/>
      <c r="H4" s="159"/>
    </row>
    <row r="5" spans="1:10" ht="13.8">
      <c r="A5" s="68" t="s">
        <v>45</v>
      </c>
      <c r="B5" s="159"/>
      <c r="C5" s="159"/>
      <c r="D5" s="160"/>
      <c r="E5" s="160"/>
      <c r="F5" s="160"/>
      <c r="G5" s="159"/>
      <c r="H5" s="159"/>
    </row>
    <row r="6" spans="1:10" ht="13.8">
      <c r="A6" s="159"/>
      <c r="B6" s="159"/>
      <c r="C6" s="159"/>
      <c r="D6" s="159"/>
      <c r="E6" s="159"/>
      <c r="F6" s="159"/>
      <c r="G6" s="159"/>
      <c r="H6" s="159"/>
    </row>
    <row r="7" spans="1:10" ht="14.1">
      <c r="A7" s="2049"/>
      <c r="B7" s="2051" t="s">
        <v>12</v>
      </c>
      <c r="C7" s="2052"/>
      <c r="D7" s="2052"/>
      <c r="E7" s="2052"/>
      <c r="F7" s="2053"/>
      <c r="G7" s="2051" t="s">
        <v>18</v>
      </c>
      <c r="H7" s="2053"/>
    </row>
    <row r="8" spans="1:10" ht="28.2">
      <c r="A8" s="2050"/>
      <c r="B8" s="1233">
        <f>Base_Mensuelle!BZ5</f>
        <v>44896</v>
      </c>
      <c r="C8" s="1233">
        <f>Base_Mensuelle!CA5</f>
        <v>45170</v>
      </c>
      <c r="D8" s="1233">
        <f>Base_Mensuelle!CB5</f>
        <v>45200</v>
      </c>
      <c r="E8" s="1233">
        <f>Base_Mensuelle!CC5</f>
        <v>45231</v>
      </c>
      <c r="F8" s="1233">
        <f>Base_Mensuelle!CD5</f>
        <v>45261</v>
      </c>
      <c r="G8" s="1234" t="s">
        <v>1148</v>
      </c>
      <c r="H8" s="1234" t="s">
        <v>20</v>
      </c>
    </row>
    <row r="9" spans="1:10" ht="13.8">
      <c r="A9" s="1248" t="s">
        <v>46</v>
      </c>
      <c r="B9" s="1235">
        <f>Base_Mensuelle!BZ7</f>
        <v>619.12440000000004</v>
      </c>
      <c r="C9" s="1236">
        <f>Base_Mensuelle!CA7</f>
        <v>614.52</v>
      </c>
      <c r="D9" s="1236">
        <f>Base_Mensuelle!CB7</f>
        <v>620.83000000000004</v>
      </c>
      <c r="E9" s="1236">
        <f>Base_Mensuelle!CC7</f>
        <v>606.28</v>
      </c>
      <c r="F9" s="1236">
        <f>Base_Mensuelle!CD7</f>
        <v>600.58000000000004</v>
      </c>
      <c r="G9" s="1252">
        <f>+IF(E9=0,"",(F9/C9-1)*100)</f>
        <v>-2.2684371542016413</v>
      </c>
      <c r="H9" s="1253">
        <f>+IF(B9=0,"",(F9/B9-1)*100)</f>
        <v>-2.9952623414615909</v>
      </c>
      <c r="I9" s="1922"/>
      <c r="J9" s="1833"/>
    </row>
    <row r="10" spans="1:10" ht="13.8">
      <c r="A10" s="1249" t="s">
        <v>47</v>
      </c>
      <c r="B10" s="1237">
        <f>Base_Mensuelle!BZ8</f>
        <v>655.95699999999999</v>
      </c>
      <c r="C10" s="1237">
        <f>Base_Mensuelle!CA8</f>
        <v>655.95699999999999</v>
      </c>
      <c r="D10" s="1237">
        <f>Base_Mensuelle!CB8</f>
        <v>655.95699999999999</v>
      </c>
      <c r="E10" s="1237">
        <f>Base_Mensuelle!CC8</f>
        <v>655.95699999999999</v>
      </c>
      <c r="F10" s="1237">
        <f>Base_Mensuelle!CD8</f>
        <v>655.95699999999999</v>
      </c>
      <c r="G10" s="1254">
        <f>+IF(E10=0,"",(F10/C10-1)*100)</f>
        <v>0</v>
      </c>
      <c r="H10" s="1255">
        <f>+IF(B10=0,"",(F10/B10-1)*100)</f>
        <v>0</v>
      </c>
      <c r="I10" s="1922"/>
      <c r="J10" s="1833"/>
    </row>
    <row r="11" spans="1:10" ht="13.8">
      <c r="A11" s="1250" t="s">
        <v>48</v>
      </c>
      <c r="B11" s="1236">
        <f>Base_Mensuelle!BZ9</f>
        <v>664.39549999999997</v>
      </c>
      <c r="C11" s="1236">
        <f>Base_Mensuelle!CA9</f>
        <v>683.27</v>
      </c>
      <c r="D11" s="1236">
        <f>Base_Mensuelle!CB9</f>
        <v>687.08</v>
      </c>
      <c r="E11" s="1236">
        <f>Base_Mensuelle!CC9</f>
        <v>680.71</v>
      </c>
      <c r="F11" s="1236">
        <f>Base_Mensuelle!CD9</f>
        <v>695</v>
      </c>
      <c r="G11" s="1252">
        <f>+IF(E11=0,"",(F11/C11-1)*100)</f>
        <v>1.71674447875656</v>
      </c>
      <c r="H11" s="1253">
        <f>+IF(B11=0,"",(F11/B11-1)*100)</f>
        <v>4.606367743309514</v>
      </c>
      <c r="I11" s="1922"/>
      <c r="J11" s="1833"/>
    </row>
    <row r="12" spans="1:10" ht="13.8">
      <c r="A12" s="1249" t="s">
        <v>49</v>
      </c>
      <c r="B12" s="1237">
        <f>Base_Mensuelle!BZ10</f>
        <v>35.861359</v>
      </c>
      <c r="C12" s="1237">
        <f>Base_Mensuelle!CA10</f>
        <v>32.378999999999998</v>
      </c>
      <c r="D12" s="1237">
        <f>Base_Mensuelle!CB10</f>
        <v>32.610999999999997</v>
      </c>
      <c r="E12" s="1237">
        <f>Base_Mensuelle!CC10</f>
        <v>32.679000000000002</v>
      </c>
      <c r="F12" s="1237">
        <f>Base_Mensuelle!CD10</f>
        <v>32.250999999999998</v>
      </c>
      <c r="G12" s="1254">
        <f>+IF(E12=0,"",(F12/C12-1)*100)</f>
        <v>-0.39531795299422301</v>
      </c>
      <c r="H12" s="1255">
        <f>+IF(B12=0,"",(F12/B12-1)*100)</f>
        <v>-10.067546519918569</v>
      </c>
      <c r="I12" s="1922"/>
      <c r="J12" s="1833"/>
    </row>
    <row r="13" spans="1:10" ht="13.8">
      <c r="A13" s="1251" t="s">
        <v>50</v>
      </c>
      <c r="B13" s="1238">
        <f>Base_Mensuelle!BZ11</f>
        <v>57.774223999999997</v>
      </c>
      <c r="C13" s="1238">
        <f>Base_Mensuelle!CA11</f>
        <v>53.470999999999997</v>
      </c>
      <c r="D13" s="1238">
        <f>Base_Mensuelle!CB11</f>
        <v>52.777000000000001</v>
      </c>
      <c r="E13" s="1238">
        <f>Base_Mensuelle!CC11</f>
        <v>50.716999999999999</v>
      </c>
      <c r="F13" s="1238">
        <f>Base_Mensuelle!CD11</f>
        <v>49.966000000000001</v>
      </c>
      <c r="G13" s="1238">
        <f>+IF(E13=0,"",(F13/C13-1)*100)</f>
        <v>-6.554955022348552</v>
      </c>
      <c r="H13" s="1256">
        <f>+IF(B13=0,"",(F13/B13-1)*100)</f>
        <v>-13.515065126621161</v>
      </c>
      <c r="I13" s="1922"/>
      <c r="J13" s="1833"/>
    </row>
    <row r="14" spans="1:10" ht="14.7" thickBot="1">
      <c r="A14" s="1795" t="s">
        <v>1020</v>
      </c>
      <c r="B14" s="161"/>
      <c r="C14" s="161"/>
      <c r="D14" s="161"/>
      <c r="E14" s="161"/>
      <c r="F14" s="161"/>
      <c r="G14" s="161"/>
      <c r="H14" s="161"/>
    </row>
    <row r="15" spans="1:10" ht="12.6" thickBot="1">
      <c r="A15" s="189"/>
      <c r="B15" s="190"/>
      <c r="C15" s="190"/>
      <c r="D15" s="190"/>
      <c r="E15" s="190"/>
      <c r="F15" s="190"/>
      <c r="G15" s="190"/>
      <c r="H15" s="191"/>
    </row>
    <row r="25" spans="1:8" ht="12.6" thickBot="1"/>
    <row r="26" spans="1:8" ht="12.6" thickBot="1">
      <c r="A26" s="312"/>
      <c r="B26" s="738"/>
      <c r="C26" s="738"/>
      <c r="D26" s="738"/>
      <c r="E26" s="738"/>
      <c r="F26" s="738"/>
      <c r="G26" s="738"/>
      <c r="H26" s="1239"/>
    </row>
    <row r="27" spans="1:8" ht="13.5" customHeight="1" thickBot="1">
      <c r="A27" s="189"/>
      <c r="B27" s="190"/>
      <c r="C27" s="190"/>
      <c r="D27" s="190"/>
      <c r="E27" s="190"/>
      <c r="F27" s="190"/>
      <c r="G27" s="190"/>
      <c r="H27" s="191"/>
    </row>
    <row r="32" spans="1:8">
      <c r="C32" t="s">
        <v>1005</v>
      </c>
    </row>
    <row r="39" spans="1:11" ht="12.6" thickBot="1"/>
    <row r="40" spans="1:11" ht="13.5" customHeight="1" thickBot="1">
      <c r="A40" s="189"/>
      <c r="B40" s="190"/>
      <c r="C40" s="190"/>
      <c r="D40" s="190"/>
      <c r="E40" s="190"/>
      <c r="F40" s="190"/>
      <c r="G40" s="190"/>
      <c r="H40" s="191"/>
    </row>
    <row r="48" spans="1:11">
      <c r="K48" t="s">
        <v>1006</v>
      </c>
    </row>
    <row r="51" spans="1:8" ht="12.6" thickBot="1"/>
    <row r="52" spans="1:8" ht="13.5" customHeight="1" thickBot="1">
      <c r="A52" s="189"/>
      <c r="B52" s="190"/>
      <c r="C52" s="190"/>
      <c r="D52" s="190"/>
      <c r="E52" s="190"/>
      <c r="F52" s="190"/>
      <c r="G52" s="190"/>
      <c r="H52" s="191"/>
    </row>
  </sheetData>
  <mergeCells count="4">
    <mergeCell ref="A2:H2"/>
    <mergeCell ref="A7:A8"/>
    <mergeCell ref="B7:F7"/>
    <mergeCell ref="G7:H7"/>
  </mergeCells>
  <hyperlinks>
    <hyperlink ref="A14" r:id="rId1" xr:uid="{00000000-0004-0000-0500-000000000000}"/>
  </hyperlinks>
  <pageMargins left="0.70866141732283472" right="0.70866141732283472" top="0.74803149606299213" bottom="0.74803149606299213" header="0.31496062992125984" footer="0.31496062992125984"/>
  <pageSetup paperSize="9" scale="70" firstPageNumber="6" orientation="portrait" r:id="rId2"/>
  <headerFooter>
    <oddFooter>&amp;L&amp;8Bulletin trimestriel de conjoncture, 4e trimestre 2023</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rgb="FF00B050"/>
  </sheetPr>
  <dimension ref="A1:M67"/>
  <sheetViews>
    <sheetView view="pageBreakPreview" zoomScaleSheetLayoutView="100" workbookViewId="0">
      <selection activeCell="K50" sqref="K50"/>
    </sheetView>
  </sheetViews>
  <sheetFormatPr baseColWidth="10" defaultRowHeight="12.3"/>
  <cols>
    <col min="1" max="1" width="36" customWidth="1"/>
    <col min="2" max="2" width="17.5546875" customWidth="1"/>
    <col min="3" max="3" width="9.83203125" bestFit="1" customWidth="1"/>
    <col min="4" max="4" width="9.1640625" customWidth="1"/>
    <col min="5" max="5" width="9.71875" bestFit="1" customWidth="1"/>
    <col min="6" max="6" width="9.5546875" bestFit="1" customWidth="1"/>
    <col min="7" max="7" width="9.83203125" bestFit="1" customWidth="1"/>
    <col min="8" max="9" width="8.83203125" customWidth="1"/>
  </cols>
  <sheetData>
    <row r="1" spans="1:13">
      <c r="A1" s="86" t="s">
        <v>1012</v>
      </c>
      <c r="B1" s="86"/>
      <c r="C1" s="69"/>
      <c r="D1" s="69"/>
      <c r="E1" s="69"/>
      <c r="F1" s="69"/>
      <c r="G1" s="69"/>
      <c r="H1" s="69"/>
      <c r="I1" s="192"/>
    </row>
    <row r="2" spans="1:13">
      <c r="A2" s="86"/>
      <c r="B2" s="86"/>
      <c r="C2" s="69"/>
      <c r="D2" s="69"/>
      <c r="E2" s="69"/>
      <c r="F2" s="69"/>
      <c r="G2" s="69"/>
      <c r="H2" s="69"/>
      <c r="I2" s="192"/>
    </row>
    <row r="3" spans="1:13">
      <c r="A3" s="2059" t="s">
        <v>60</v>
      </c>
      <c r="B3" s="2061" t="s">
        <v>61</v>
      </c>
      <c r="C3" s="2063" t="s">
        <v>12</v>
      </c>
      <c r="D3" s="2063"/>
      <c r="E3" s="2063"/>
      <c r="F3" s="2063"/>
      <c r="G3" s="2063"/>
      <c r="H3" s="2064" t="s">
        <v>18</v>
      </c>
      <c r="I3" s="2065"/>
      <c r="M3" t="s">
        <v>1011</v>
      </c>
    </row>
    <row r="4" spans="1:13" ht="24.6">
      <c r="A4" s="2060"/>
      <c r="B4" s="2062"/>
      <c r="C4" s="144">
        <f>Base_Mensuelle!CI6</f>
        <v>44896</v>
      </c>
      <c r="D4" s="144">
        <f>Base_Mensuelle!CJ6</f>
        <v>45170</v>
      </c>
      <c r="E4" s="144">
        <f>Base_Mensuelle!CK6</f>
        <v>45200</v>
      </c>
      <c r="F4" s="144">
        <f>Base_Mensuelle!CL6</f>
        <v>45231</v>
      </c>
      <c r="G4" s="144">
        <f>Base_Mensuelle!CM6</f>
        <v>45261</v>
      </c>
      <c r="H4" s="32" t="s">
        <v>503</v>
      </c>
      <c r="I4" s="32" t="s">
        <v>20</v>
      </c>
    </row>
    <row r="5" spans="1:13">
      <c r="A5" s="2055" t="s">
        <v>62</v>
      </c>
      <c r="B5" s="2056"/>
      <c r="C5" s="2056"/>
      <c r="D5" s="2056"/>
      <c r="E5" s="2056"/>
      <c r="F5" s="2056"/>
      <c r="G5" s="2056"/>
      <c r="H5" s="2056"/>
      <c r="I5" s="2057"/>
    </row>
    <row r="6" spans="1:13" ht="15" customHeight="1">
      <c r="A6" s="1240" t="s">
        <v>63</v>
      </c>
      <c r="B6" s="1702" t="s">
        <v>1013</v>
      </c>
      <c r="C6" s="120">
        <f>Base_Mensuelle!CI8</f>
        <v>2.2238001939999998</v>
      </c>
      <c r="D6" s="120">
        <f>Base_Mensuelle!CJ8</f>
        <v>2.1594252900000002</v>
      </c>
      <c r="E6" s="120">
        <f>Base_Mensuelle!CK8</f>
        <v>2.1062939479999998</v>
      </c>
      <c r="F6" s="120">
        <f>Base_Mensuelle!CL8</f>
        <v>1.994299252</v>
      </c>
      <c r="G6" s="120">
        <f>Base_Mensuelle!CM8</f>
        <v>1.9954015620000001</v>
      </c>
      <c r="H6" s="120">
        <f>+IF(F6=0,"",(G6/D6-1)*100)</f>
        <v>-7.595712098009189</v>
      </c>
      <c r="I6" s="194">
        <f>+IF(C6=0,"",(G6/C6-1)*100)</f>
        <v>-10.270645385149191</v>
      </c>
    </row>
    <row r="7" spans="1:13" ht="15" customHeight="1">
      <c r="A7" s="1241" t="s">
        <v>65</v>
      </c>
      <c r="B7" s="1703" t="s">
        <v>1014</v>
      </c>
      <c r="C7" s="1242">
        <f>Base_Mensuelle!CI9</f>
        <v>1797.55</v>
      </c>
      <c r="D7" s="1242">
        <f>Base_Mensuelle!CJ9</f>
        <v>1915.95</v>
      </c>
      <c r="E7" s="1242">
        <f>Base_Mensuelle!CK9</f>
        <v>1916.25</v>
      </c>
      <c r="F7" s="1242">
        <f>Base_Mensuelle!CL9</f>
        <v>1984.11</v>
      </c>
      <c r="G7" s="1242">
        <f>Base_Mensuelle!CM9</f>
        <v>2026.18</v>
      </c>
      <c r="H7" s="1242">
        <f>+IF(F7=0,"",(G7/D7-1)*100)</f>
        <v>5.7532816618387717</v>
      </c>
      <c r="I7" s="196">
        <f>+IF(C7=0,"",(G7/C7-1)*100)</f>
        <v>12.718978609774423</v>
      </c>
    </row>
    <row r="8" spans="1:13" ht="15" customHeight="1">
      <c r="A8" s="1243" t="s">
        <v>67</v>
      </c>
      <c r="B8" s="1704" t="s">
        <v>1015</v>
      </c>
      <c r="C8" s="1244">
        <f>Base_Mensuelle!CI10</f>
        <v>78.066666666670002</v>
      </c>
      <c r="D8" s="1244">
        <f>Base_Mensuelle!CJ10</f>
        <v>92.22</v>
      </c>
      <c r="E8" s="1244">
        <f>Base_Mensuelle!CK10</f>
        <v>89.083666666669998</v>
      </c>
      <c r="F8" s="1244">
        <f>Base_Mensuelle!CL10</f>
        <v>81.354333333330004</v>
      </c>
      <c r="G8" s="1244">
        <f>Base_Mensuelle!CM10</f>
        <v>75.719333333329999</v>
      </c>
      <c r="H8" s="1244">
        <f>+IF(F8=0,"",(G8/D8-1)*100)</f>
        <v>-17.892720306517027</v>
      </c>
      <c r="I8" s="198">
        <f>+IF(C8=0,"",(G8/C8-1)*100)</f>
        <v>-3.006831767728313</v>
      </c>
    </row>
    <row r="9" spans="1:13" ht="15" customHeight="1">
      <c r="A9" s="1241" t="s">
        <v>69</v>
      </c>
      <c r="B9" s="1703" t="s">
        <v>1015</v>
      </c>
      <c r="C9" s="147">
        <f>Base_Mensuelle!CI11</f>
        <v>80.900000000000006</v>
      </c>
      <c r="D9" s="147">
        <f>Base_Mensuelle!CJ11</f>
        <v>94</v>
      </c>
      <c r="E9" s="147">
        <f>Base_Mensuelle!CK11</f>
        <v>91.061000000000007</v>
      </c>
      <c r="F9" s="147">
        <f>Base_Mensuelle!CL11</f>
        <v>83.183000000000007</v>
      </c>
      <c r="G9" s="147">
        <f>Base_Mensuelle!CM11</f>
        <v>77.858000000000004</v>
      </c>
      <c r="H9" s="147">
        <f>+IF(F9=0,"",(G9/D9-1)*100)</f>
        <v>-17.172340425531907</v>
      </c>
      <c r="I9" s="199">
        <f>+IF(C9=0,"",(G9/C9-1)*100)</f>
        <v>-3.7601977750309046</v>
      </c>
    </row>
    <row r="10" spans="1:13" ht="15" customHeight="1">
      <c r="A10" s="2055" t="s">
        <v>70</v>
      </c>
      <c r="B10" s="2056"/>
      <c r="C10" s="2056"/>
      <c r="D10" s="2056"/>
      <c r="E10" s="2056"/>
      <c r="F10" s="2056"/>
      <c r="G10" s="2056"/>
      <c r="H10" s="2056"/>
      <c r="I10" s="2057"/>
    </row>
    <row r="11" spans="1:13" ht="15" customHeight="1">
      <c r="A11" s="1241" t="s">
        <v>71</v>
      </c>
      <c r="B11" s="1711" t="s">
        <v>1016</v>
      </c>
      <c r="C11" s="200">
        <f>Base_Mensuelle!CI13</f>
        <v>446.39</v>
      </c>
      <c r="D11" s="200">
        <f>Base_Mensuelle!CJ13</f>
        <v>609.9</v>
      </c>
      <c r="E11" s="200">
        <f>Base_Mensuelle!CK13</f>
        <v>574.71</v>
      </c>
      <c r="F11" s="200">
        <f>Base_Mensuelle!CL13</f>
        <v>574.59</v>
      </c>
      <c r="G11" s="200">
        <f>Base_Mensuelle!CM13</f>
        <v>629.59</v>
      </c>
      <c r="H11" s="200">
        <f t="shared" ref="H11:H16" si="0">+IF(F11=0,"",(G11/D11-1)*100)</f>
        <v>3.228398098048868</v>
      </c>
      <c r="I11" s="201">
        <f t="shared" ref="I11:I16" si="1">+IF(C11=0,"",(G11/C11-1)*100)</f>
        <v>41.040345885884541</v>
      </c>
      <c r="J11" s="1572"/>
      <c r="K11" s="1572"/>
    </row>
    <row r="12" spans="1:13" ht="15" customHeight="1">
      <c r="A12" s="1243" t="s">
        <v>72</v>
      </c>
      <c r="B12" s="1704" t="s">
        <v>1016</v>
      </c>
      <c r="C12" s="1244">
        <f>Base_Mensuelle!CI14</f>
        <v>302.24781999999999</v>
      </c>
      <c r="D12" s="1244">
        <f>Base_Mensuelle!CJ14</f>
        <v>223.80708000000001</v>
      </c>
      <c r="E12" s="1244">
        <f>Base_Mensuelle!CK14</f>
        <v>230.69648000000001</v>
      </c>
      <c r="F12" s="1244">
        <f>Base_Mensuelle!CL14</f>
        <v>211.26049839999999</v>
      </c>
      <c r="G12" s="1244">
        <f>Base_Mensuelle!CM14</f>
        <v>206.54803944445001</v>
      </c>
      <c r="H12" s="1244">
        <f t="shared" si="0"/>
        <v>-7.7115704094571136</v>
      </c>
      <c r="I12" s="198">
        <f t="shared" si="1"/>
        <v>-31.662686783166873</v>
      </c>
      <c r="J12" s="1572"/>
      <c r="K12" s="1572"/>
    </row>
    <row r="13" spans="1:13" ht="15" customHeight="1">
      <c r="A13" s="1241" t="s">
        <v>73</v>
      </c>
      <c r="B13" s="1703" t="s">
        <v>1013</v>
      </c>
      <c r="C13" s="1242">
        <f>Base_Mensuelle!CI15</f>
        <v>0.41733456600000002</v>
      </c>
      <c r="D13" s="1242">
        <f>Base_Mensuelle!CJ15</f>
        <v>0.57959459800000002</v>
      </c>
      <c r="E13" s="1242">
        <f>Base_Mensuelle!CK15</f>
        <v>0.56702826399999995</v>
      </c>
      <c r="F13" s="1242">
        <f>Base_Mensuelle!CL15</f>
        <v>0.574964896</v>
      </c>
      <c r="G13" s="1242">
        <f>Base_Mensuelle!CM15</f>
        <v>0.47818207800000001</v>
      </c>
      <c r="H13" s="1242">
        <f t="shared" si="0"/>
        <v>-17.497147204260177</v>
      </c>
      <c r="I13" s="196">
        <f t="shared" si="1"/>
        <v>14.580031695721086</v>
      </c>
      <c r="J13" s="1572"/>
      <c r="K13" s="1572"/>
    </row>
    <row r="14" spans="1:13" ht="15" customHeight="1">
      <c r="A14" s="1243" t="s">
        <v>74</v>
      </c>
      <c r="B14" s="1704" t="s">
        <v>1013</v>
      </c>
      <c r="C14" s="1244">
        <f>Base_Mensuelle!CI16</f>
        <v>0.34572907200000003</v>
      </c>
      <c r="D14" s="1244">
        <f>Base_Mensuelle!CJ16</f>
        <v>0.94049089200000002</v>
      </c>
      <c r="E14" s="1244">
        <f>Base_Mensuelle!CK16</f>
        <v>0.975103426</v>
      </c>
      <c r="F14" s="1244">
        <f>Base_Mensuelle!CL16</f>
        <v>0.98590606400000003</v>
      </c>
      <c r="G14" s="1244">
        <f>Base_Mensuelle!CM16</f>
        <v>0.882068462</v>
      </c>
      <c r="H14" s="1244">
        <f t="shared" si="0"/>
        <v>-6.2119081106422946</v>
      </c>
      <c r="I14" s="198">
        <f t="shared" si="1"/>
        <v>155.13285790441134</v>
      </c>
      <c r="J14" s="1572"/>
      <c r="K14" s="1572"/>
    </row>
    <row r="15" spans="1:13" ht="15" customHeight="1">
      <c r="A15" s="1241" t="s">
        <v>75</v>
      </c>
      <c r="B15" s="1703" t="s">
        <v>1016</v>
      </c>
      <c r="C15" s="1242">
        <f>Base_Mensuelle!CI17</f>
        <v>386.33</v>
      </c>
      <c r="D15" s="1242">
        <f>Base_Mensuelle!CJ17</f>
        <v>314.68</v>
      </c>
      <c r="E15" s="1242">
        <f>Base_Mensuelle!CK17</f>
        <v>298.10000000000002</v>
      </c>
      <c r="F15" s="1242">
        <f>Base_Mensuelle!CL17</f>
        <v>283.55</v>
      </c>
      <c r="G15" s="1242">
        <f>Base_Mensuelle!CM17</f>
        <v>291.12</v>
      </c>
      <c r="H15" s="1242">
        <f t="shared" si="0"/>
        <v>-7.4869708910639376</v>
      </c>
      <c r="I15" s="1242">
        <f t="shared" si="1"/>
        <v>-24.644733776822925</v>
      </c>
      <c r="J15" s="1572"/>
      <c r="K15" s="1572"/>
    </row>
    <row r="16" spans="1:13" ht="15" customHeight="1">
      <c r="A16" s="1245" t="s">
        <v>76</v>
      </c>
      <c r="B16" s="1704" t="s">
        <v>1013</v>
      </c>
      <c r="C16" s="146">
        <f>Base_Mensuelle!CI18</f>
        <v>4.8706669659999999</v>
      </c>
      <c r="D16" s="146">
        <f>Base_Mensuelle!CJ18</f>
        <v>4.9030748800000001</v>
      </c>
      <c r="E16" s="146">
        <f>Base_Mensuelle!CK18</f>
        <v>4.9796854250000004</v>
      </c>
      <c r="F16" s="146">
        <f>Base_Mensuelle!CL18</f>
        <v>4.8832332999999997</v>
      </c>
      <c r="G16" s="146">
        <f>Base_Mensuelle!CM18</f>
        <v>4.7913741333299997</v>
      </c>
      <c r="H16" s="146">
        <f t="shared" si="0"/>
        <v>-2.2781774581015712</v>
      </c>
      <c r="I16" s="203">
        <f t="shared" si="1"/>
        <v>-1.6279666259982228</v>
      </c>
      <c r="J16" s="1572"/>
      <c r="K16" s="1572"/>
    </row>
    <row r="17" spans="1:11" ht="15" customHeight="1">
      <c r="A17" s="2055" t="s">
        <v>77</v>
      </c>
      <c r="B17" s="2056"/>
      <c r="C17" s="2056"/>
      <c r="D17" s="2056"/>
      <c r="E17" s="2056"/>
      <c r="F17" s="2056"/>
      <c r="G17" s="2056"/>
      <c r="H17" s="2056"/>
      <c r="I17" s="2057"/>
    </row>
    <row r="18" spans="1:11" ht="15" customHeight="1">
      <c r="A18" s="1241" t="s">
        <v>78</v>
      </c>
      <c r="B18" s="1703" t="s">
        <v>1016</v>
      </c>
      <c r="C18" s="1760">
        <f>Base_Mensuelle!CI20</f>
        <v>2146.1</v>
      </c>
      <c r="D18" s="1760">
        <f>Base_Mensuelle!CJ20</f>
        <v>2106.2199999999998</v>
      </c>
      <c r="E18" s="1760">
        <f>Base_Mensuelle!CK20</f>
        <v>1954.4</v>
      </c>
      <c r="F18" s="1760">
        <f>Base_Mensuelle!CL20</f>
        <v>1891.89</v>
      </c>
      <c r="G18" s="1760">
        <f>Base_Mensuelle!CM20</f>
        <v>1940.09</v>
      </c>
      <c r="H18" s="1242">
        <f>+IF(F18=0,"",(G18/D18-1)*100)</f>
        <v>-7.8875900903039531</v>
      </c>
      <c r="I18" s="1246">
        <f>+IF(C18=0,"",(G18/C18-1)*100)</f>
        <v>-9.5992731000419376</v>
      </c>
      <c r="J18" s="1919"/>
      <c r="K18" s="1922"/>
    </row>
    <row r="19" spans="1:11" ht="15" customHeight="1">
      <c r="A19" s="2055" t="s">
        <v>79</v>
      </c>
      <c r="B19" s="2056"/>
      <c r="C19" s="2056"/>
      <c r="D19" s="2056"/>
      <c r="E19" s="2056"/>
      <c r="F19" s="2056"/>
      <c r="G19" s="2056"/>
      <c r="H19" s="2056"/>
      <c r="I19" s="2057"/>
      <c r="K19" s="1922"/>
    </row>
    <row r="20" spans="1:11" ht="15" customHeight="1">
      <c r="A20" s="1241" t="s">
        <v>80</v>
      </c>
      <c r="B20" s="1703" t="s">
        <v>1013</v>
      </c>
      <c r="C20" s="1760">
        <f>Base_Mensuelle!CI22</f>
        <v>2.38666666667</v>
      </c>
      <c r="D20" s="1760">
        <f>Base_Mensuelle!CJ22</f>
        <v>2.2524999999999999</v>
      </c>
      <c r="E20" s="1760">
        <f>Base_Mensuelle!CK22</f>
        <v>2.1625000000000001</v>
      </c>
      <c r="F20" s="1760">
        <f>Base_Mensuelle!CL22</f>
        <v>2.1775000000000002</v>
      </c>
      <c r="G20" s="1760">
        <f>Base_Mensuelle!CM22</f>
        <v>2.19</v>
      </c>
      <c r="H20" s="200">
        <f>+IF(F20=0,"",(G20/D20-1)*100)</f>
        <v>-2.7746947835738056</v>
      </c>
      <c r="I20" s="201">
        <f>+IF(C20=0,"",(G20/C20-1)*100)</f>
        <v>-8.24022346381531</v>
      </c>
    </row>
    <row r="21" spans="1:11" ht="15" customHeight="1">
      <c r="A21" s="2055" t="s">
        <v>81</v>
      </c>
      <c r="B21" s="2056"/>
      <c r="C21" s="2056"/>
      <c r="D21" s="2056"/>
      <c r="E21" s="2056"/>
      <c r="F21" s="2056"/>
      <c r="G21" s="2056"/>
      <c r="H21" s="2056"/>
      <c r="I21" s="2057"/>
    </row>
    <row r="22" spans="1:11" ht="15" customHeight="1">
      <c r="A22" s="1241" t="s">
        <v>82</v>
      </c>
      <c r="B22" s="1703" t="s">
        <v>1013</v>
      </c>
      <c r="C22" s="206">
        <f>Base_Mensuelle!CI24</f>
        <v>1.5355000000000001</v>
      </c>
      <c r="D22" s="206">
        <f>Base_Mensuelle!CJ24</f>
        <v>1.5544</v>
      </c>
      <c r="E22" s="206">
        <f>Base_Mensuelle!CK24</f>
        <v>1.6073</v>
      </c>
      <c r="F22" s="206">
        <f>Base_Mensuelle!CL24</f>
        <v>1.6747000000000001</v>
      </c>
      <c r="G22" s="206">
        <f>Base_Mensuelle!CM24</f>
        <v>1.6618999999999999</v>
      </c>
      <c r="H22" s="207">
        <f>+IF(F22=0,"",(G22/D22-1)*100)</f>
        <v>6.91585177560472</v>
      </c>
      <c r="I22" s="196">
        <f>+IF(C22=0,"",(G22/C22-1)*100)</f>
        <v>8.2318463041354484</v>
      </c>
    </row>
    <row r="23" spans="1:11" ht="15" customHeight="1">
      <c r="A23" s="2055"/>
      <c r="B23" s="2056"/>
      <c r="C23" s="2056"/>
      <c r="D23" s="2056"/>
      <c r="E23" s="2056"/>
      <c r="F23" s="2056"/>
      <c r="G23" s="2056"/>
      <c r="H23" s="2056"/>
      <c r="I23" s="2057"/>
    </row>
    <row r="24" spans="1:11" ht="15" customHeight="1">
      <c r="A24" s="1241" t="s">
        <v>83</v>
      </c>
      <c r="B24" s="1703" t="s">
        <v>1016</v>
      </c>
      <c r="C24" s="200">
        <f>Base_Mensuelle!CI26</f>
        <v>300</v>
      </c>
      <c r="D24" s="200">
        <f>Base_Mensuelle!CJ26</f>
        <v>347.5</v>
      </c>
      <c r="E24" s="200">
        <f>Base_Mensuelle!CK26</f>
        <v>347.5</v>
      </c>
      <c r="F24" s="200">
        <f>Base_Mensuelle!CL26</f>
        <v>348.12725631768956</v>
      </c>
      <c r="G24" s="200">
        <f>Base_Mensuelle!CM26</f>
        <v>152.5</v>
      </c>
      <c r="H24" s="200">
        <f>+IF(F24=0,"",(G24/D24-1)*100)</f>
        <v>-56.115107913669071</v>
      </c>
      <c r="I24" s="196">
        <f>+IF(C24=0,"",(G24/C24-1)*100)</f>
        <v>-49.166666666666671</v>
      </c>
    </row>
    <row r="25" spans="1:11" ht="15" customHeight="1">
      <c r="A25" s="1243" t="s">
        <v>84</v>
      </c>
      <c r="B25" s="1704" t="s">
        <v>1017</v>
      </c>
      <c r="C25" s="1244">
        <f>Base_Mensuelle!CI27</f>
        <v>111.84</v>
      </c>
      <c r="D25" s="1244">
        <f>Base_Mensuelle!CJ27</f>
        <v>120.98</v>
      </c>
      <c r="E25" s="1244">
        <f>Base_Mensuelle!CK27</f>
        <v>118.97</v>
      </c>
      <c r="F25" s="1244">
        <f>Base_Mensuelle!CL27</f>
        <v>131.07</v>
      </c>
      <c r="G25" s="1244">
        <f>Base_Mensuelle!CM27</f>
        <v>137.05000000000001</v>
      </c>
      <c r="H25" s="1244">
        <f>+IF(F25=0,"",(G25/D25-1)*100)</f>
        <v>13.28318730368656</v>
      </c>
      <c r="I25" s="198">
        <f>+IF(C25=0,"",(G25/C25-1)*100)</f>
        <v>22.541130185979984</v>
      </c>
    </row>
    <row r="26" spans="1:11" ht="15" customHeight="1">
      <c r="A26" s="1247" t="s">
        <v>85</v>
      </c>
      <c r="B26" s="1705" t="s">
        <v>1016</v>
      </c>
      <c r="C26" s="147">
        <f>Base_Mensuelle!CI28</f>
        <v>3129.48</v>
      </c>
      <c r="D26" s="147">
        <f>Base_Mensuelle!CJ28</f>
        <v>2495.5</v>
      </c>
      <c r="E26" s="147">
        <f>Base_Mensuelle!CK28</f>
        <v>2448.56</v>
      </c>
      <c r="F26" s="147">
        <f>Base_Mensuelle!CL28</f>
        <v>2543.61</v>
      </c>
      <c r="G26" s="147">
        <f>Base_Mensuelle!CM28</f>
        <v>2502.39</v>
      </c>
      <c r="H26" s="147">
        <f>+IF(F26=0,"",(G26/D26-1)*100)</f>
        <v>0.27609697455419635</v>
      </c>
      <c r="I26" s="199">
        <f>+IF(C26=0,"",(G26/C26-1)*100)</f>
        <v>-20.03815330342421</v>
      </c>
    </row>
    <row r="27" spans="1:11" ht="15" customHeight="1">
      <c r="A27" s="1796" t="s">
        <v>1049</v>
      </c>
      <c r="B27" s="1701"/>
      <c r="C27" s="72"/>
      <c r="D27" s="72"/>
      <c r="E27" s="72"/>
      <c r="F27" s="72"/>
      <c r="G27" s="72"/>
      <c r="H27" s="72"/>
      <c r="I27" s="72"/>
    </row>
    <row r="28" spans="1:11" ht="15" customHeight="1">
      <c r="A28" s="161"/>
      <c r="B28" s="1701"/>
      <c r="C28" s="72"/>
      <c r="D28" s="72"/>
      <c r="E28" s="72"/>
      <c r="F28" s="72"/>
      <c r="G28" s="72"/>
      <c r="H28" s="72"/>
      <c r="I28" s="72"/>
    </row>
    <row r="29" spans="1:11" ht="15" customHeight="1">
      <c r="A29" s="161"/>
      <c r="B29" s="1701"/>
      <c r="C29" s="72"/>
      <c r="D29" s="72"/>
      <c r="E29" s="72"/>
      <c r="F29" s="72"/>
      <c r="G29" s="72"/>
      <c r="H29" s="72"/>
      <c r="I29" s="72"/>
    </row>
    <row r="30" spans="1:11">
      <c r="B30" s="73"/>
      <c r="C30" s="192"/>
      <c r="D30" s="192"/>
      <c r="E30" s="192"/>
      <c r="F30" s="192"/>
      <c r="G30" s="192"/>
      <c r="H30" s="192"/>
      <c r="I30" s="192"/>
    </row>
    <row r="31" spans="1:11">
      <c r="A31" s="86" t="s">
        <v>1019</v>
      </c>
      <c r="B31" s="86"/>
      <c r="C31" s="69"/>
      <c r="D31" s="69"/>
      <c r="E31" s="69"/>
      <c r="F31" s="69"/>
      <c r="G31" s="69"/>
      <c r="H31" s="69"/>
      <c r="I31" s="192"/>
    </row>
    <row r="32" spans="1:11">
      <c r="A32" s="86"/>
      <c r="B32" s="86"/>
      <c r="C32" s="69"/>
      <c r="D32" s="69"/>
      <c r="E32" s="69"/>
      <c r="F32" s="69"/>
      <c r="G32" s="69"/>
      <c r="H32" s="69"/>
      <c r="I32" s="192"/>
    </row>
    <row r="33" spans="1:11">
      <c r="A33" s="2059" t="s">
        <v>60</v>
      </c>
      <c r="B33" s="2061" t="s">
        <v>61</v>
      </c>
      <c r="C33" s="2063" t="s">
        <v>12</v>
      </c>
      <c r="D33" s="2063"/>
      <c r="E33" s="2063"/>
      <c r="F33" s="2063"/>
      <c r="G33" s="2063"/>
      <c r="H33" s="2064" t="s">
        <v>18</v>
      </c>
      <c r="I33" s="2065"/>
    </row>
    <row r="34" spans="1:11" ht="24.6">
      <c r="A34" s="2060"/>
      <c r="B34" s="2062"/>
      <c r="C34" s="144">
        <f>C4</f>
        <v>44896</v>
      </c>
      <c r="D34" s="144">
        <f>D4</f>
        <v>45170</v>
      </c>
      <c r="E34" s="144">
        <f>E4</f>
        <v>45200</v>
      </c>
      <c r="F34" s="144">
        <f>F4</f>
        <v>45231</v>
      </c>
      <c r="G34" s="144">
        <f>G4</f>
        <v>45261</v>
      </c>
      <c r="H34" s="32" t="s">
        <v>503</v>
      </c>
      <c r="I34" s="32" t="s">
        <v>20</v>
      </c>
    </row>
    <row r="35" spans="1:11">
      <c r="A35" s="2055" t="s">
        <v>62</v>
      </c>
      <c r="B35" s="2056"/>
      <c r="C35" s="2056"/>
      <c r="D35" s="2056"/>
      <c r="E35" s="2056"/>
      <c r="F35" s="2056"/>
      <c r="G35" s="2056"/>
      <c r="H35" s="2056"/>
      <c r="I35" s="2057"/>
    </row>
    <row r="36" spans="1:11">
      <c r="A36" s="1240" t="s">
        <v>63</v>
      </c>
      <c r="B36" s="193" t="s">
        <v>64</v>
      </c>
      <c r="C36" s="120">
        <f>(C6*1000*'Taux de change'!B$9)/1000</f>
        <v>1376.8089608301336</v>
      </c>
      <c r="D36" s="120">
        <f>(D6*1000*'Taux de change'!C$9)/1000</f>
        <v>1327.0100292108</v>
      </c>
      <c r="E36" s="120">
        <f>(E6*1000*'Taux de change'!D$9)/1000</f>
        <v>1307.65047173684</v>
      </c>
      <c r="F36" s="120">
        <f>(F6*1000*'Taux de change'!E$9)/1000</f>
        <v>1209.1037505025602</v>
      </c>
      <c r="G36" s="120">
        <f>(G6*1000*'Taux de change'!F$9)/1000</f>
        <v>1198.3982701059601</v>
      </c>
      <c r="H36" s="120">
        <f>+IF(F36=0,"",(G36/D36-1)*100)</f>
        <v>-9.6918452968533959</v>
      </c>
      <c r="I36" s="194">
        <f>+IF(C36=0,"",(G36/C36-1)*100)</f>
        <v>-12.95827495316434</v>
      </c>
    </row>
    <row r="37" spans="1:11">
      <c r="A37" s="1241" t="s">
        <v>65</v>
      </c>
      <c r="B37" s="1712" t="s">
        <v>66</v>
      </c>
      <c r="C37" s="1242">
        <f>(Matprem!C7/28.34)*'Taux de change'!B$9/1000</f>
        <v>39.269832929428368</v>
      </c>
      <c r="D37" s="1242">
        <f>(Matprem!D7/28.34)*'Taux de change'!C$9/1000</f>
        <v>41.545151517290051</v>
      </c>
      <c r="E37" s="1242">
        <f>(Matprem!E7/28.34)*'Taux de change'!D$9/1000</f>
        <v>41.978316425546929</v>
      </c>
      <c r="F37" s="1242">
        <f>(Matprem!F7/28.34)*'Taux de change'!E$9/1000</f>
        <v>42.446231856033869</v>
      </c>
      <c r="G37" s="1242">
        <f>(Matprem!G7/28.34)*'Taux de change'!F$9/1000</f>
        <v>42.938715045871561</v>
      </c>
      <c r="H37" s="1242">
        <f>+IF(F37=0,"",(G37/D37-1)*100)</f>
        <v>3.3543349288341018</v>
      </c>
      <c r="I37" s="196">
        <f>+IF(C37=0,"",(G37/C37-1)*100)</f>
        <v>9.3427494917956988</v>
      </c>
    </row>
    <row r="38" spans="1:11">
      <c r="A38" s="1243" t="s">
        <v>67</v>
      </c>
      <c r="B38" s="1713" t="s">
        <v>68</v>
      </c>
      <c r="C38" s="1244">
        <f>C8*'Taux de change'!B$9/1000</f>
        <v>48.332978160002064</v>
      </c>
      <c r="D38" s="1244">
        <f>D8*'Taux de change'!C$9/1000</f>
        <v>56.671034399999996</v>
      </c>
      <c r="E38" s="1244">
        <f>E8*'Taux de change'!D$9/1000</f>
        <v>55.305812776668738</v>
      </c>
      <c r="F38" s="1244">
        <f>F8*'Taux de change'!E$9/1000</f>
        <v>49.323505213331316</v>
      </c>
      <c r="G38" s="1244">
        <f>G8*'Taux de change'!F$9/1000</f>
        <v>45.475517213331329</v>
      </c>
      <c r="H38" s="1244">
        <f>+IF(F38=0,"",(G38/D38-1)*100)</f>
        <v>-19.755272345388263</v>
      </c>
      <c r="I38" s="198">
        <f>+IF(C38=0,"",(G38/C38-1)*100)</f>
        <v>-5.9120316095800263</v>
      </c>
    </row>
    <row r="39" spans="1:11">
      <c r="A39" s="1241" t="s">
        <v>69</v>
      </c>
      <c r="B39" s="1712" t="s">
        <v>68</v>
      </c>
      <c r="C39" s="147">
        <f>C9*'Taux de change'!B$9/1000</f>
        <v>50.087163960000005</v>
      </c>
      <c r="D39" s="147">
        <f>D9*'Taux de change'!C$9/1000</f>
        <v>57.764879999999998</v>
      </c>
      <c r="E39" s="147">
        <f>E9*'Taux de change'!D$9/1000</f>
        <v>56.53340063000001</v>
      </c>
      <c r="F39" s="147">
        <f>F9*'Taux de change'!E$9/1000</f>
        <v>50.43218924</v>
      </c>
      <c r="G39" s="147">
        <f>G9*'Taux de change'!F$9/1000</f>
        <v>46.75995764000001</v>
      </c>
      <c r="H39" s="147">
        <f>+IF(F39=0,"",(G39/D39-1)*100)</f>
        <v>-19.051233829274793</v>
      </c>
      <c r="I39" s="199">
        <f>+IF(C39=0,"",(G39/C39-1)*100)</f>
        <v>-6.6428323285725011</v>
      </c>
    </row>
    <row r="40" spans="1:11">
      <c r="A40" s="2055" t="s">
        <v>70</v>
      </c>
      <c r="B40" s="2056"/>
      <c r="C40" s="2056"/>
      <c r="D40" s="2056"/>
      <c r="E40" s="2056"/>
      <c r="F40" s="2056"/>
      <c r="G40" s="2056"/>
      <c r="H40" s="2056"/>
      <c r="I40" s="2057"/>
    </row>
    <row r="41" spans="1:11">
      <c r="A41" s="1241" t="s">
        <v>71</v>
      </c>
      <c r="B41" s="1714" t="s">
        <v>64</v>
      </c>
      <c r="C41" s="200">
        <f>C11*'Taux de change'!B$9/1000</f>
        <v>276.370940916</v>
      </c>
      <c r="D41" s="200">
        <f>D11*'Taux de change'!C$9/1000</f>
        <v>374.79574799999995</v>
      </c>
      <c r="E41" s="200">
        <f>E11*'Taux de change'!D$9/1000</f>
        <v>356.79720930000002</v>
      </c>
      <c r="F41" s="200">
        <f>F11*'Taux de change'!E$9/1000</f>
        <v>348.36242520000002</v>
      </c>
      <c r="G41" s="200">
        <f>G11*'Taux de change'!F$9/1000</f>
        <v>378.11916220000001</v>
      </c>
      <c r="H41" s="200">
        <f t="shared" ref="H41:H46" si="2">+IF(F41=0,"",(G41/D41-1)*100)</f>
        <v>0.88672676190555411</v>
      </c>
      <c r="I41" s="201">
        <f t="shared" ref="I41:I46" si="3">+IF(C41=0,"",(G41/C41-1)*100)</f>
        <v>36.815817519297475</v>
      </c>
      <c r="K41" s="1933"/>
    </row>
    <row r="42" spans="1:11">
      <c r="A42" s="1243" t="s">
        <v>72</v>
      </c>
      <c r="B42" s="1715" t="s">
        <v>64</v>
      </c>
      <c r="C42" s="1244">
        <f>C12*'Taux de change'!B$9/1000</f>
        <v>187.12900020880798</v>
      </c>
      <c r="D42" s="1244">
        <f>D12*'Taux de change'!C$9/1000</f>
        <v>137.53392680159999</v>
      </c>
      <c r="E42" s="1244">
        <f>E12*'Taux de change'!D$9/1000</f>
        <v>143.22329567840004</v>
      </c>
      <c r="F42" s="1244">
        <f>F12*'Taux de change'!E$9/1000</f>
        <v>128.08301496995199</v>
      </c>
      <c r="G42" s="1244">
        <f>G12*'Taux de change'!F$9/1000</f>
        <v>124.0486215295478</v>
      </c>
      <c r="H42" s="1244">
        <f t="shared" si="2"/>
        <v>-9.8050754353181997</v>
      </c>
      <c r="I42" s="198">
        <f t="shared" si="3"/>
        <v>-33.709568591117311</v>
      </c>
      <c r="J42" s="1922"/>
    </row>
    <row r="43" spans="1:11">
      <c r="A43" s="1241" t="s">
        <v>73</v>
      </c>
      <c r="B43" s="1714" t="s">
        <v>64</v>
      </c>
      <c r="C43" s="1242">
        <f>C13*'Taux de change'!B$9</f>
        <v>258.38201277401043</v>
      </c>
      <c r="D43" s="1242">
        <f>D13*'Taux de change'!C$9</f>
        <v>356.17247236295998</v>
      </c>
      <c r="E43" s="1242">
        <f>E13*'Taux de change'!D$9</f>
        <v>352.02815713911997</v>
      </c>
      <c r="F43" s="1242">
        <f>F13*'Taux de change'!E$9</f>
        <v>348.58971714687999</v>
      </c>
      <c r="G43" s="1242">
        <f>G13*'Taux de change'!F$9</f>
        <v>287.18659240524005</v>
      </c>
      <c r="H43" s="1242">
        <f t="shared" si="2"/>
        <v>-19.368672570355017</v>
      </c>
      <c r="I43" s="196">
        <f t="shared" si="3"/>
        <v>11.148059155504409</v>
      </c>
    </row>
    <row r="44" spans="1:11">
      <c r="A44" s="1243" t="s">
        <v>74</v>
      </c>
      <c r="B44" s="1715" t="s">
        <v>64</v>
      </c>
      <c r="C44" s="1244">
        <f>C14*'Taux de change'!B$9</f>
        <v>214.04930426455684</v>
      </c>
      <c r="D44" s="1244">
        <f>D14*'Taux de change'!C$9</f>
        <v>577.95046295184</v>
      </c>
      <c r="E44" s="1244">
        <f>E14*'Taux de change'!D$9</f>
        <v>605.37345996357999</v>
      </c>
      <c r="F44" s="1244">
        <f>F14*'Taux de change'!E$9</f>
        <v>597.73512848192001</v>
      </c>
      <c r="G44" s="1244">
        <f>G14*'Taux de change'!F$9</f>
        <v>529.75267690795999</v>
      </c>
      <c r="H44" s="1244">
        <f t="shared" si="2"/>
        <v>-8.3394320332772605</v>
      </c>
      <c r="I44" s="198">
        <f t="shared" si="3"/>
        <v>147.49095949090579</v>
      </c>
    </row>
    <row r="45" spans="1:11">
      <c r="A45" s="1241" t="s">
        <v>75</v>
      </c>
      <c r="B45" s="1714" t="s">
        <v>64</v>
      </c>
      <c r="C45" s="1242">
        <f>C15*'Taux de change'!B$9/1000</f>
        <v>239.186329452</v>
      </c>
      <c r="D45" s="1242">
        <f>D15*'Taux de change'!C$9/1000</f>
        <v>193.37715359999999</v>
      </c>
      <c r="E45" s="1242">
        <f>E15*'Taux de change'!D$9/1000</f>
        <v>185.06942300000003</v>
      </c>
      <c r="F45" s="1242">
        <f>F15*'Taux de change'!E$9/1000</f>
        <v>171.91069399999998</v>
      </c>
      <c r="G45" s="1242">
        <f>G15*'Taux de change'!F$9/1000</f>
        <v>174.84084960000001</v>
      </c>
      <c r="H45" s="1242">
        <f t="shared" si="2"/>
        <v>-9.5855708158484205</v>
      </c>
      <c r="I45" s="1242">
        <f>+IF(C45=0,"",(G45/C45-1)*100)</f>
        <v>-26.901821688313866</v>
      </c>
    </row>
    <row r="46" spans="1:11">
      <c r="A46" s="1245" t="s">
        <v>76</v>
      </c>
      <c r="B46" s="202" t="s">
        <v>64</v>
      </c>
      <c r="C46" s="146">
        <f>C16*'Taux de change'!B$9</f>
        <v>3015.5487629245704</v>
      </c>
      <c r="D46" s="146">
        <f>D16*'Taux de change'!C$9</f>
        <v>3013.0375752576001</v>
      </c>
      <c r="E46" s="146">
        <f>E16*'Taux de change'!D$9</f>
        <v>3091.5381024027506</v>
      </c>
      <c r="F46" s="146">
        <f>F16*'Taux de change'!E$9</f>
        <v>2960.6066851239998</v>
      </c>
      <c r="G46" s="146">
        <f>G16*'Taux de change'!F$9</f>
        <v>2877.6034769953312</v>
      </c>
      <c r="H46" s="146">
        <f t="shared" si="2"/>
        <v>-4.4949355884050028</v>
      </c>
      <c r="I46" s="203">
        <f t="shared" si="3"/>
        <v>-4.574467096179724</v>
      </c>
      <c r="K46" s="1922"/>
    </row>
    <row r="47" spans="1:11">
      <c r="A47" s="2055" t="s">
        <v>77</v>
      </c>
      <c r="B47" s="2056"/>
      <c r="C47" s="2056"/>
      <c r="D47" s="2056"/>
      <c r="E47" s="2056"/>
      <c r="F47" s="2056"/>
      <c r="G47" s="2056"/>
      <c r="H47" s="2056"/>
      <c r="I47" s="2057"/>
    </row>
    <row r="48" spans="1:11">
      <c r="A48" s="1241" t="s">
        <v>78</v>
      </c>
      <c r="B48" s="1714" t="s">
        <v>64</v>
      </c>
      <c r="C48" s="1003">
        <f>C18*'Taux de change'!B$9/1000</f>
        <v>1328.70287484</v>
      </c>
      <c r="D48" s="1003">
        <f>D18*'Taux de change'!C$9/1000</f>
        <v>1294.3143143999998</v>
      </c>
      <c r="E48" s="1003">
        <f>E18*'Taux de change'!D$9/1000</f>
        <v>1213.3501520000002</v>
      </c>
      <c r="F48" s="1003">
        <f>F18*'Taux de change'!E$9/1000</f>
        <v>1147.0150692</v>
      </c>
      <c r="G48" s="1003">
        <f>G18*'Taux de change'!F$9/1000</f>
        <v>1165.1792522000001</v>
      </c>
      <c r="H48" s="1242">
        <f>+IF(F48=0,"",(G48/D48-1)*100)</f>
        <v>-9.9771022203260067</v>
      </c>
      <c r="I48" s="207">
        <f>+IF(C48=0,"",(G48/C48-1)*100)</f>
        <v>-12.307012029283914</v>
      </c>
    </row>
    <row r="49" spans="1:9">
      <c r="A49" s="2055" t="s">
        <v>79</v>
      </c>
      <c r="B49" s="2056"/>
      <c r="C49" s="2056"/>
      <c r="D49" s="2056"/>
      <c r="E49" s="2056"/>
      <c r="F49" s="2056"/>
      <c r="G49" s="2056"/>
      <c r="H49" s="2056"/>
      <c r="I49" s="2057"/>
    </row>
    <row r="50" spans="1:9">
      <c r="A50" s="1241" t="s">
        <v>80</v>
      </c>
      <c r="B50" s="1714" t="s">
        <v>64</v>
      </c>
      <c r="C50" s="1706">
        <f>(C20*'Taux de change'!B$9)</f>
        <v>1477.6435680020638</v>
      </c>
      <c r="D50" s="1706">
        <f>(D20*'Taux de change'!C$9)</f>
        <v>1384.2062999999998</v>
      </c>
      <c r="E50" s="1706">
        <f>(E20*'Taux de change'!D$9)</f>
        <v>1342.544875</v>
      </c>
      <c r="F50" s="1706">
        <f>(F20*'Taux de change'!E$9)</f>
        <v>1320.1747</v>
      </c>
      <c r="G50" s="1706">
        <f>(G20*'Taux de change'!F$9)</f>
        <v>1315.2702000000002</v>
      </c>
      <c r="H50" s="1707">
        <f>+IF(F50=0,"",(G50/D50-1)*100)</f>
        <v>-4.9801897303891511</v>
      </c>
      <c r="I50" s="1706">
        <f>+IF(C50=0,"",(G50/C50-1)*100)</f>
        <v>-10.988669495012948</v>
      </c>
    </row>
    <row r="51" spans="1:9">
      <c r="A51" s="2055" t="s">
        <v>81</v>
      </c>
      <c r="B51" s="2056"/>
      <c r="C51" s="2056"/>
      <c r="D51" s="2056"/>
      <c r="E51" s="2056"/>
      <c r="F51" s="2056"/>
      <c r="G51" s="2056"/>
      <c r="H51" s="2056"/>
      <c r="I51" s="2057"/>
    </row>
    <row r="52" spans="1:9">
      <c r="A52" s="1241" t="s">
        <v>82</v>
      </c>
      <c r="B52" s="1714" t="s">
        <v>64</v>
      </c>
      <c r="C52" s="206">
        <f>(C22*'Taux de change'!B$9)</f>
        <v>950.66551620000007</v>
      </c>
      <c r="D52" s="206">
        <f>(D22*'Taux de change'!C$9)</f>
        <v>955.20988799999998</v>
      </c>
      <c r="E52" s="206">
        <f>(E22*'Taux de change'!D$9)</f>
        <v>997.86005900000009</v>
      </c>
      <c r="F52" s="206">
        <f>(F22*'Taux de change'!E$9)</f>
        <v>1015.337116</v>
      </c>
      <c r="G52" s="206">
        <f>(G22*'Taux de change'!F$9)</f>
        <v>998.10390200000006</v>
      </c>
      <c r="H52" s="207">
        <f>+IF(F52=0,"",(G52/D52-1)*100)</f>
        <v>4.4905328701957625</v>
      </c>
      <c r="I52" s="196">
        <f>+IF(C52=0,"",(G52/C52-1)*100)</f>
        <v>4.9900185703191102</v>
      </c>
    </row>
    <row r="53" spans="1:9">
      <c r="A53" s="2055"/>
      <c r="B53" s="2056"/>
      <c r="C53" s="2056"/>
      <c r="D53" s="2056"/>
      <c r="E53" s="2056"/>
      <c r="F53" s="2056"/>
      <c r="G53" s="2056"/>
      <c r="H53" s="2056"/>
      <c r="I53" s="2057"/>
    </row>
    <row r="54" spans="1:9">
      <c r="A54" s="1241" t="s">
        <v>83</v>
      </c>
      <c r="B54" s="1714" t="s">
        <v>64</v>
      </c>
      <c r="C54" s="200">
        <f>C24*'Taux de change'!B$9/1000</f>
        <v>185.73732000000001</v>
      </c>
      <c r="D54" s="200">
        <f>D24*'Taux de change'!C$9/1000</f>
        <v>213.54569999999998</v>
      </c>
      <c r="E54" s="200">
        <f>E24*'Taux de change'!D$9/1000</f>
        <v>215.73842500000001</v>
      </c>
      <c r="F54" s="200">
        <f>F24*'Taux de change'!E$9/1000</f>
        <v>211.06259296028881</v>
      </c>
      <c r="G54" s="200">
        <f>G24*'Taux de change'!F$9/1000</f>
        <v>91.588450000000009</v>
      </c>
      <c r="H54" s="200">
        <f>+IF(F54=0,"",(G54/D54-1)*100)</f>
        <v>-57.110609110836698</v>
      </c>
      <c r="I54" s="196">
        <f>+IF(C54=0,"",(G54/C54-1)*100)</f>
        <v>-50.68925835690964</v>
      </c>
    </row>
    <row r="55" spans="1:9">
      <c r="A55" s="1243" t="s">
        <v>84</v>
      </c>
      <c r="B55" s="1715" t="s">
        <v>64</v>
      </c>
      <c r="C55" s="1244">
        <f>C25*'Taux de change'!B$9/1000</f>
        <v>69.242872895999994</v>
      </c>
      <c r="D55" s="1244">
        <f>D25*'Taux de change'!C$9/1000</f>
        <v>74.344629600000005</v>
      </c>
      <c r="E55" s="1244">
        <f>E25*'Taux de change'!D$9/1000</f>
        <v>73.860145100000011</v>
      </c>
      <c r="F55" s="1244">
        <f>F25*'Taux de change'!E$9/1000</f>
        <v>79.465119599999994</v>
      </c>
      <c r="G55" s="1244">
        <f>G25*'Taux de change'!F$9/1000</f>
        <v>82.309489000000013</v>
      </c>
      <c r="H55" s="1244">
        <f>+IF(F55=0,"",(G55/D55-1)*100)</f>
        <v>10.7134293934259</v>
      </c>
      <c r="I55" s="198">
        <f>+IF(C55=0,"",(G55/C55-1)*100)</f>
        <v>18.870701860717929</v>
      </c>
    </row>
    <row r="56" spans="1:9">
      <c r="A56" s="1247" t="s">
        <v>85</v>
      </c>
      <c r="B56" s="209" t="s">
        <v>64</v>
      </c>
      <c r="C56" s="147">
        <f>C26*'Taux de change'!B$9/1000</f>
        <v>1937.5374273120001</v>
      </c>
      <c r="D56" s="147">
        <f>D26*'Taux de change'!C$9/1000</f>
        <v>1533.5346599999998</v>
      </c>
      <c r="E56" s="147">
        <f>E26*'Taux de change'!D$9/1000</f>
        <v>1520.1395047999999</v>
      </c>
      <c r="F56" s="147">
        <f>F26*'Taux de change'!E$9/1000</f>
        <v>1542.1398707999999</v>
      </c>
      <c r="G56" s="147">
        <f>G26*'Taux de change'!F$9/1000</f>
        <v>1502.8853862000001</v>
      </c>
      <c r="H56" s="147">
        <f>+IF(F56=0,"",(G56/D56-1)*100)</f>
        <v>-1.9986032659998543</v>
      </c>
      <c r="I56" s="199">
        <f>+IF(C56=0,"",(G56/C56-1)*100)</f>
        <v>-22.43322038506399</v>
      </c>
    </row>
    <row r="57" spans="1:9" ht="12.6" thickBot="1">
      <c r="A57" s="161" t="s">
        <v>996</v>
      </c>
      <c r="B57" s="73"/>
      <c r="C57" s="192"/>
      <c r="D57" s="192"/>
      <c r="E57" s="192"/>
      <c r="F57" s="192"/>
      <c r="G57" s="192"/>
      <c r="H57" s="192"/>
      <c r="I57" s="192"/>
    </row>
    <row r="58" spans="1:9" ht="12.6" thickBot="1">
      <c r="A58" s="189"/>
      <c r="B58" s="190"/>
      <c r="C58" s="190"/>
      <c r="D58" s="190"/>
      <c r="E58" s="190"/>
      <c r="F58" s="190"/>
      <c r="G58" s="190"/>
      <c r="H58" s="190"/>
      <c r="I58" s="191"/>
    </row>
    <row r="59" spans="1:9">
      <c r="A59" s="2058" t="s">
        <v>102</v>
      </c>
      <c r="B59" s="2058"/>
      <c r="C59" s="2058"/>
      <c r="D59" s="2054" t="s">
        <v>103</v>
      </c>
      <c r="E59" s="2054"/>
      <c r="F59" s="2054"/>
      <c r="G59" s="2054"/>
      <c r="H59" s="2054"/>
      <c r="I59" s="2054"/>
    </row>
    <row r="60" spans="1:9">
      <c r="A60" s="2054" t="s">
        <v>104</v>
      </c>
      <c r="B60" s="2054"/>
      <c r="C60" s="2054"/>
      <c r="D60" s="2054" t="s">
        <v>105</v>
      </c>
      <c r="E60" s="2054"/>
      <c r="F60" s="2054"/>
      <c r="G60" s="2054"/>
      <c r="H60" s="2054"/>
      <c r="I60" s="2054"/>
    </row>
    <row r="61" spans="1:9">
      <c r="A61" s="2054" t="s">
        <v>106</v>
      </c>
      <c r="B61" s="2054"/>
      <c r="C61" s="2054"/>
      <c r="D61" s="223" t="s">
        <v>107</v>
      </c>
      <c r="E61" s="224"/>
      <c r="F61" s="223"/>
      <c r="G61" s="223"/>
      <c r="H61" s="223"/>
      <c r="I61" s="223"/>
    </row>
    <row r="62" spans="1:9">
      <c r="A62" s="223" t="s">
        <v>108</v>
      </c>
      <c r="B62" s="223"/>
      <c r="C62" s="223"/>
      <c r="D62" s="223" t="s">
        <v>109</v>
      </c>
      <c r="E62" s="224"/>
      <c r="F62" s="223"/>
      <c r="G62" s="223"/>
      <c r="H62" s="223"/>
      <c r="I62" s="223"/>
    </row>
    <row r="63" spans="1:9">
      <c r="A63" s="2054" t="s">
        <v>110</v>
      </c>
      <c r="B63" s="2054"/>
      <c r="C63" s="2054"/>
      <c r="D63" s="2054" t="s">
        <v>111</v>
      </c>
      <c r="E63" s="2054"/>
      <c r="F63" s="2054"/>
      <c r="G63" s="2054"/>
      <c r="H63" s="2054"/>
      <c r="I63" s="2054"/>
    </row>
    <row r="64" spans="1:9">
      <c r="A64" s="2054" t="s">
        <v>112</v>
      </c>
      <c r="B64" s="2054"/>
      <c r="C64" s="2054"/>
      <c r="D64" s="223" t="s">
        <v>113</v>
      </c>
      <c r="E64" s="224"/>
      <c r="F64" s="223"/>
      <c r="G64" s="223"/>
      <c r="H64" s="223"/>
      <c r="I64" s="223"/>
    </row>
    <row r="65" spans="1:9">
      <c r="A65" s="223" t="s">
        <v>114</v>
      </c>
      <c r="B65" s="223"/>
      <c r="C65" s="223"/>
      <c r="D65" s="2054" t="s">
        <v>115</v>
      </c>
      <c r="E65" s="2054"/>
      <c r="F65" s="2054"/>
      <c r="G65" s="2054"/>
      <c r="H65" s="2054"/>
      <c r="I65" s="2054"/>
    </row>
    <row r="66" spans="1:9">
      <c r="A66" s="223" t="s">
        <v>116</v>
      </c>
      <c r="B66" s="223"/>
      <c r="C66" s="223"/>
      <c r="D66" s="223" t="s">
        <v>117</v>
      </c>
      <c r="E66" s="224"/>
      <c r="F66" s="223"/>
      <c r="G66" s="223"/>
      <c r="H66" s="223"/>
      <c r="I66" s="223"/>
    </row>
    <row r="67" spans="1:9">
      <c r="A67" s="223" t="s">
        <v>118</v>
      </c>
      <c r="B67" s="223"/>
      <c r="C67" s="223"/>
      <c r="D67" s="223"/>
      <c r="E67" s="224"/>
      <c r="F67" s="223"/>
      <c r="G67" s="223"/>
      <c r="H67" s="223"/>
      <c r="I67" s="223"/>
    </row>
  </sheetData>
  <mergeCells count="29">
    <mergeCell ref="A10:I10"/>
    <mergeCell ref="A3:A4"/>
    <mergeCell ref="B3:B4"/>
    <mergeCell ref="C3:G3"/>
    <mergeCell ref="H3:I3"/>
    <mergeCell ref="A5:I5"/>
    <mergeCell ref="A17:I17"/>
    <mergeCell ref="A19:I19"/>
    <mergeCell ref="A21:I21"/>
    <mergeCell ref="A23:I23"/>
    <mergeCell ref="A59:C59"/>
    <mergeCell ref="D59:I59"/>
    <mergeCell ref="A33:A34"/>
    <mergeCell ref="B33:B34"/>
    <mergeCell ref="C33:G33"/>
    <mergeCell ref="H33:I33"/>
    <mergeCell ref="A35:I35"/>
    <mergeCell ref="A40:I40"/>
    <mergeCell ref="A47:I47"/>
    <mergeCell ref="A49:I49"/>
    <mergeCell ref="A51:I51"/>
    <mergeCell ref="A53:I53"/>
    <mergeCell ref="D65:I65"/>
    <mergeCell ref="A60:C60"/>
    <mergeCell ref="D60:I60"/>
    <mergeCell ref="A61:C61"/>
    <mergeCell ref="A63:C63"/>
    <mergeCell ref="D63:I63"/>
    <mergeCell ref="A64:C64"/>
  </mergeCells>
  <hyperlinks>
    <hyperlink ref="A27" r:id="rId1" xr:uid="{00000000-0004-0000-0600-000000000000}"/>
  </hyperlinks>
  <pageMargins left="0.70866141732283472" right="0.70866141732283472" top="0.74803149606299213" bottom="0.74803149606299213" header="0.31496062992125984" footer="0.31496062992125984"/>
  <pageSetup paperSize="9" scale="70" firstPageNumber="6" orientation="portrait" r:id="rId2"/>
  <headerFooter>
    <oddFooter>&amp;L&amp;8Bulletin trimestriel de conjoncture, 4e trimestre 2023</oddFooter>
  </headerFooter>
  <colBreaks count="1" manualBreakCount="1">
    <brk id="9" max="1048575" man="1"/>
  </colBreaks>
  <ignoredErrors>
    <ignoredError sqref="C45 D45:G45" formula="1"/>
  </ignoredError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rgb="FF00B050"/>
  </sheetPr>
  <dimension ref="A1:J139"/>
  <sheetViews>
    <sheetView view="pageBreakPreview" topLeftCell="A52" zoomScaleSheetLayoutView="100" workbookViewId="0">
      <selection activeCell="K50" sqref="K50"/>
    </sheetView>
  </sheetViews>
  <sheetFormatPr baseColWidth="10" defaultRowHeight="12.3"/>
  <cols>
    <col min="1" max="1" width="14.44140625" customWidth="1"/>
    <col min="2" max="2" width="11.71875" bestFit="1" customWidth="1"/>
    <col min="3" max="6" width="11.5546875" bestFit="1" customWidth="1"/>
    <col min="7" max="8" width="8.27734375" customWidth="1"/>
  </cols>
  <sheetData>
    <row r="1" spans="1:8" ht="17.7">
      <c r="A1" s="2048" t="s">
        <v>119</v>
      </c>
      <c r="B1" s="2048"/>
      <c r="C1" s="2048"/>
      <c r="D1" s="2048"/>
      <c r="E1" s="2048"/>
      <c r="F1" s="2048"/>
      <c r="G1" s="2048"/>
      <c r="H1" s="2048"/>
    </row>
    <row r="2" spans="1:8">
      <c r="A2" s="31"/>
      <c r="B2" s="31"/>
      <c r="C2" s="31"/>
      <c r="D2" s="31"/>
      <c r="E2" s="31"/>
      <c r="F2" s="31"/>
      <c r="G2" s="31"/>
      <c r="H2" s="31"/>
    </row>
    <row r="3" spans="1:8">
      <c r="A3" s="86" t="s">
        <v>120</v>
      </c>
      <c r="B3" s="69"/>
      <c r="C3" s="68"/>
      <c r="D3" s="68"/>
      <c r="E3" s="68"/>
      <c r="F3" s="69"/>
      <c r="G3" s="69"/>
      <c r="H3" s="31"/>
    </row>
    <row r="4" spans="1:8">
      <c r="A4" s="86"/>
      <c r="B4" s="69"/>
      <c r="C4" s="68"/>
      <c r="D4" s="68"/>
      <c r="E4" s="68"/>
      <c r="F4" s="69"/>
      <c r="G4" s="69"/>
      <c r="H4" s="31"/>
    </row>
    <row r="5" spans="1:8" ht="24.6">
      <c r="A5" s="225"/>
      <c r="B5" s="226" t="s">
        <v>121</v>
      </c>
      <c r="C5" s="226" t="str">
        <f>Base_Annuelle!E4</f>
        <v>2020 / 2021</v>
      </c>
      <c r="D5" s="226" t="str">
        <f>Base_Annuelle!F4</f>
        <v>2021 / 2022</v>
      </c>
      <c r="E5" s="227" t="str">
        <f>Base_Annuelle!G4</f>
        <v>2022 / 2023</v>
      </c>
      <c r="F5" s="227" t="str">
        <f>Base_Annuelle!H4</f>
        <v>2023 / 2024</v>
      </c>
      <c r="G5" s="226" t="s">
        <v>122</v>
      </c>
      <c r="H5" s="226" t="s">
        <v>123</v>
      </c>
    </row>
    <row r="6" spans="1:8">
      <c r="A6" s="1469" t="s">
        <v>124</v>
      </c>
      <c r="B6" s="34">
        <f ca="1">Base_Annuelle!D6</f>
        <v>884852.92766107211</v>
      </c>
      <c r="C6" s="34">
        <f>Base_Annuelle!E6</f>
        <v>957252.67585186812</v>
      </c>
      <c r="D6" s="34">
        <f>Base_Annuelle!F6</f>
        <v>717777</v>
      </c>
      <c r="E6" s="34">
        <f>Base_Annuelle!G6</f>
        <v>907744.76964221837</v>
      </c>
      <c r="F6" s="34">
        <f>Base_Annuelle!H6</f>
        <v>871314.30805841333</v>
      </c>
      <c r="G6" s="1242">
        <f>+IF(E6=0,"",(F6/E6-1)*100)</f>
        <v>-4.0132934721467839</v>
      </c>
      <c r="H6" s="196">
        <f ca="1">+IF(B6=0,"",(F6/B6-1)*100)</f>
        <v>-1.5300417933232557</v>
      </c>
    </row>
    <row r="7" spans="1:8">
      <c r="A7" s="1468" t="s">
        <v>91</v>
      </c>
      <c r="B7" s="35">
        <f ca="1">Base_Annuelle!D7</f>
        <v>1881581.0486588571</v>
      </c>
      <c r="C7" s="35">
        <f>Base_Annuelle!E7</f>
        <v>1920101.1649852863</v>
      </c>
      <c r="D7" s="35">
        <f>Base_Annuelle!F7</f>
        <v>1912703</v>
      </c>
      <c r="E7" s="35">
        <f>Base_Annuelle!G7</f>
        <v>1810276.2817576844</v>
      </c>
      <c r="F7" s="35">
        <f>Base_Annuelle!H7</f>
        <v>2053927.2357634851</v>
      </c>
      <c r="G7" s="1244">
        <f t="shared" ref="G7:G12" si="0">+IF(E7=0,"",(F7/E7-1)*100)</f>
        <v>13.459324218136913</v>
      </c>
      <c r="H7" s="198">
        <f t="shared" ref="H7:H12" ca="1" si="1">+IF(B7=0,"",(F7/B7-1)*100)</f>
        <v>9.159647267252824</v>
      </c>
    </row>
    <row r="8" spans="1:8">
      <c r="A8" s="1469" t="s">
        <v>90</v>
      </c>
      <c r="B8" s="34">
        <f ca="1">Base_Annuelle!D8</f>
        <v>433218.94715995697</v>
      </c>
      <c r="C8" s="34">
        <f>Base_Annuelle!E8</f>
        <v>451421.10450174758</v>
      </c>
      <c r="D8" s="34">
        <f>Base_Annuelle!F8</f>
        <v>454379</v>
      </c>
      <c r="E8" s="34">
        <f>Base_Annuelle!G8</f>
        <v>438982.38046859921</v>
      </c>
      <c r="F8" s="34">
        <f>Base_Annuelle!H8</f>
        <v>444785.00271067</v>
      </c>
      <c r="G8" s="1242">
        <f t="shared" si="0"/>
        <v>1.32183488455202</v>
      </c>
      <c r="H8" s="196">
        <f t="shared" ca="1" si="1"/>
        <v>2.6697944830290421</v>
      </c>
    </row>
    <row r="9" spans="1:8">
      <c r="A9" s="1468" t="s">
        <v>125</v>
      </c>
      <c r="B9" s="35">
        <f ca="1">Base_Annuelle!D9</f>
        <v>10843.091722901901</v>
      </c>
      <c r="C9" s="35">
        <f>Base_Annuelle!E9</f>
        <v>10758.451417435064</v>
      </c>
      <c r="D9" s="35">
        <f>Base_Annuelle!F9</f>
        <v>7978</v>
      </c>
      <c r="E9" s="35">
        <f>Base_Annuelle!G9</f>
        <v>8186.6233224617954</v>
      </c>
      <c r="F9" s="35">
        <f>Base_Annuelle!H9</f>
        <v>17054.339910195788</v>
      </c>
      <c r="G9" s="1244">
        <f t="shared" si="0"/>
        <v>108.31958719052662</v>
      </c>
      <c r="H9" s="198">
        <f t="shared" ca="1" si="1"/>
        <v>57.282999591112826</v>
      </c>
    </row>
    <row r="10" spans="1:8">
      <c r="A10" s="1469" t="s">
        <v>126</v>
      </c>
      <c r="B10" s="34">
        <f ca="1">Base_Annuelle!D10</f>
        <v>1407972.6165075593</v>
      </c>
      <c r="C10" s="34">
        <f>Base_Annuelle!E10</f>
        <v>1425103.3709850935</v>
      </c>
      <c r="D10" s="34">
        <f>Base_Annuelle!F10</f>
        <v>1207977</v>
      </c>
      <c r="E10" s="34">
        <f>Base_Annuelle!G10</f>
        <v>1492369.3764321844</v>
      </c>
      <c r="F10" s="34">
        <f>Base_Annuelle!H10</f>
        <v>1446415.6994831371</v>
      </c>
      <c r="G10" s="1242">
        <f t="shared" si="0"/>
        <v>-3.079242825185069</v>
      </c>
      <c r="H10" s="196">
        <f t="shared" ca="1" si="1"/>
        <v>2.73038569961217</v>
      </c>
    </row>
    <row r="11" spans="1:8">
      <c r="A11" s="1468" t="s">
        <v>127</v>
      </c>
      <c r="B11" s="35">
        <f ca="1">Base_Annuelle!D11</f>
        <v>432268.69266619609</v>
      </c>
      <c r="C11" s="35">
        <f>Base_Annuelle!E11</f>
        <v>414467.36339307006</v>
      </c>
      <c r="D11" s="35">
        <f>Base_Annuelle!F11</f>
        <v>408675</v>
      </c>
      <c r="E11" s="35">
        <f>Base_Annuelle!G11</f>
        <v>521499.58632451424</v>
      </c>
      <c r="F11" s="35">
        <f>Base_Annuelle!H11</f>
        <v>412907.97902707377</v>
      </c>
      <c r="G11" s="1244">
        <f t="shared" si="0"/>
        <v>-20.822951761627483</v>
      </c>
      <c r="H11" s="198">
        <f t="shared" ca="1" si="1"/>
        <v>-4.4788609417228624</v>
      </c>
    </row>
    <row r="12" spans="1:8">
      <c r="A12" s="1686" t="s">
        <v>128</v>
      </c>
      <c r="B12" s="1665">
        <f ca="1">SUM(B6:B11)</f>
        <v>5050737.324376544</v>
      </c>
      <c r="C12" s="1665">
        <f>SUM(C6:C11)</f>
        <v>5179104.1311345007</v>
      </c>
      <c r="D12" s="1665">
        <f>SUM(D6:D11)</f>
        <v>4709489</v>
      </c>
      <c r="E12" s="1665">
        <f>SUM(E6:E11)</f>
        <v>5179059.0179476617</v>
      </c>
      <c r="F12" s="1665">
        <f>SUM(F6:F11)</f>
        <v>5246404.5649529751</v>
      </c>
      <c r="G12" s="207">
        <f t="shared" si="0"/>
        <v>1.3003433012045651</v>
      </c>
      <c r="H12" s="207">
        <f t="shared" ca="1" si="1"/>
        <v>3.8740331957489715</v>
      </c>
    </row>
    <row r="13" spans="1:8">
      <c r="A13" s="73" t="s">
        <v>129</v>
      </c>
      <c r="B13" s="31"/>
      <c r="C13" s="31"/>
      <c r="D13" s="31"/>
      <c r="E13" s="256"/>
      <c r="F13" s="256"/>
      <c r="G13" s="31"/>
      <c r="H13" s="31"/>
    </row>
    <row r="14" spans="1:8">
      <c r="A14" s="31"/>
      <c r="B14" s="31"/>
      <c r="C14" s="31"/>
      <c r="D14" s="31"/>
      <c r="E14" s="256"/>
      <c r="F14" s="256"/>
      <c r="G14" s="31"/>
      <c r="H14" s="31"/>
    </row>
    <row r="15" spans="1:8">
      <c r="A15" s="86" t="s">
        <v>130</v>
      </c>
      <c r="B15" s="31"/>
      <c r="C15" s="31"/>
      <c r="D15" s="31"/>
      <c r="E15" s="31"/>
      <c r="F15" s="31"/>
      <c r="G15" s="31"/>
      <c r="H15" s="31"/>
    </row>
    <row r="16" spans="1:8">
      <c r="A16" s="31"/>
      <c r="B16" s="31"/>
      <c r="C16" s="31"/>
      <c r="D16" s="31"/>
      <c r="E16" s="31"/>
      <c r="F16" s="31"/>
      <c r="G16" s="31"/>
      <c r="H16" s="31"/>
    </row>
    <row r="17" spans="1:10" ht="24.6">
      <c r="A17" s="225"/>
      <c r="B17" s="226" t="s">
        <v>121</v>
      </c>
      <c r="C17" s="226" t="str">
        <f>Base_Annuelle!M4</f>
        <v>2020 / 2021</v>
      </c>
      <c r="D17" s="226" t="str">
        <f>Base_Annuelle!N4</f>
        <v>2021 / 2022</v>
      </c>
      <c r="E17" s="227" t="str">
        <f>Base_Annuelle!O4</f>
        <v>2022 / 2023</v>
      </c>
      <c r="F17" s="227" t="str">
        <f>Base_Annuelle!P4</f>
        <v>2023 / 2024</v>
      </c>
      <c r="G17" s="226" t="s">
        <v>131</v>
      </c>
      <c r="H17" s="226" t="s">
        <v>132</v>
      </c>
    </row>
    <row r="18" spans="1:10">
      <c r="A18" s="228" t="s">
        <v>133</v>
      </c>
      <c r="B18" s="229">
        <f ca="1">Base_Annuelle!L6</f>
        <v>557611.89709877863</v>
      </c>
      <c r="C18" s="229">
        <f>Base_Annuelle!M6</f>
        <v>630525.75122875546</v>
      </c>
      <c r="D18" s="229">
        <f>Base_Annuelle!N6</f>
        <v>535284.92384218785</v>
      </c>
      <c r="E18" s="229">
        <f>Base_Annuelle!O6</f>
        <v>559064.38548850967</v>
      </c>
      <c r="F18" s="229">
        <f>Base_Annuelle!P6</f>
        <v>667055.68733472005</v>
      </c>
      <c r="G18" s="230">
        <f>+IF(E18=0,"",(F18/E18-1)*100)</f>
        <v>19.316433786396136</v>
      </c>
      <c r="H18" s="230">
        <f ca="1">+IF(B18=0,"",(F18/B18-1)*100)</f>
        <v>19.627233709569492</v>
      </c>
    </row>
    <row r="19" spans="1:10">
      <c r="A19" s="231" t="s">
        <v>86</v>
      </c>
      <c r="B19" s="238">
        <f ca="1">Base_Annuelle!L7</f>
        <v>697985.2261507787</v>
      </c>
      <c r="C19" s="238">
        <f>Base_Annuelle!M7</f>
        <v>696635.62056103267</v>
      </c>
      <c r="D19" s="238">
        <f>Base_Annuelle!N7</f>
        <v>795413.50837110472</v>
      </c>
      <c r="E19" s="238">
        <f>Base_Annuelle!O7</f>
        <v>668633.09761909652</v>
      </c>
      <c r="F19" s="238">
        <f>Base_Annuelle!P7</f>
        <v>605012.10210556793</v>
      </c>
      <c r="G19" s="232">
        <f>+IF(E19=0,"",(F19/E19-1)*100)</f>
        <v>-9.515083195862351</v>
      </c>
      <c r="H19" s="232">
        <f ca="1">+IF(B19=0,"",(F19/B19-1)*100)</f>
        <v>-13.320213746920583</v>
      </c>
    </row>
    <row r="20" spans="1:10">
      <c r="A20" s="233" t="s">
        <v>134</v>
      </c>
      <c r="B20" s="239">
        <f ca="1">Base_Annuelle!L8</f>
        <v>108907.94642162754</v>
      </c>
      <c r="C20" s="239">
        <f>Base_Annuelle!M8</f>
        <v>98512.808518667705</v>
      </c>
      <c r="D20" s="239">
        <f>Base_Annuelle!N8</f>
        <v>94427.943010046452</v>
      </c>
      <c r="E20" s="239">
        <f>Base_Annuelle!O8</f>
        <v>152540.46631617605</v>
      </c>
      <c r="F20" s="239">
        <f>Base_Annuelle!P8</f>
        <v>147350.82186666047</v>
      </c>
      <c r="G20" s="234">
        <f>+IF(E20=0,"",(F20/E20-1)*100)</f>
        <v>-3.4021427722390918</v>
      </c>
      <c r="H20" s="234">
        <f ca="1">+IF(B20=0,"",(F20/B20-1)*100)</f>
        <v>35.298503652070281</v>
      </c>
    </row>
    <row r="21" spans="1:10">
      <c r="A21" s="240" t="s">
        <v>135</v>
      </c>
      <c r="B21" s="241">
        <f ca="1">Base_Annuelle!L9</f>
        <v>281213.72933051584</v>
      </c>
      <c r="C21" s="241">
        <f>Base_Annuelle!M9</f>
        <v>384614.42156258627</v>
      </c>
      <c r="D21" s="241">
        <f>Base_Annuelle!N9</f>
        <v>234637.32148515349</v>
      </c>
      <c r="E21" s="241">
        <f>Base_Annuelle!O9</f>
        <v>208795.64487097581</v>
      </c>
      <c r="F21" s="241">
        <f>Base_Annuelle!P9</f>
        <v>203318.5075041547</v>
      </c>
      <c r="G21" s="242">
        <f>+IF(E21=0,"",(F21/E21-1)*100)</f>
        <v>-2.6232047944322212</v>
      </c>
      <c r="H21" s="242">
        <f ca="1">+IF(B21=0,"",(F21/B21-1)*100)</f>
        <v>-27.69965108453486</v>
      </c>
    </row>
    <row r="22" spans="1:10">
      <c r="A22" s="235" t="s">
        <v>128</v>
      </c>
      <c r="B22" s="236">
        <f ca="1">SUM(B18:B21)</f>
        <v>1645718.7990017007</v>
      </c>
      <c r="C22" s="236">
        <f>SUM(C18:C21)</f>
        <v>1810288.601871042</v>
      </c>
      <c r="D22" s="236">
        <f>SUM(D18:D21)</f>
        <v>1659763.6967084922</v>
      </c>
      <c r="E22" s="236">
        <f>SUM(E18:E21)</f>
        <v>1589033.594294758</v>
      </c>
      <c r="F22" s="236">
        <f>SUM(F18:F21)</f>
        <v>1622737.118811103</v>
      </c>
      <c r="G22" s="237">
        <f>+IF(E22=0,"",(F22/E22-1)*100)</f>
        <v>2.1210076764489827</v>
      </c>
      <c r="H22" s="237">
        <f ca="1">+IF(B22=0,"",(F22/B22-1)*100)</f>
        <v>-1.3964524318819449</v>
      </c>
    </row>
    <row r="23" spans="1:10">
      <c r="A23" s="73" t="s">
        <v>129</v>
      </c>
      <c r="B23" s="1801"/>
      <c r="C23" s="1801"/>
      <c r="D23" s="1801"/>
      <c r="E23" s="1838"/>
      <c r="F23" s="1838"/>
      <c r="G23" s="31"/>
      <c r="H23" s="31"/>
    </row>
    <row r="24" spans="1:10">
      <c r="A24" s="31"/>
      <c r="B24" s="31"/>
      <c r="C24" s="31"/>
      <c r="D24" s="31"/>
      <c r="E24" s="31"/>
      <c r="F24" s="31"/>
      <c r="G24" s="31"/>
      <c r="H24" s="31"/>
    </row>
    <row r="25" spans="1:10">
      <c r="A25" s="86" t="s">
        <v>136</v>
      </c>
      <c r="B25" s="31"/>
      <c r="C25" s="31"/>
      <c r="D25" s="31"/>
      <c r="E25" s="31"/>
      <c r="F25" s="31"/>
      <c r="G25" s="31"/>
      <c r="H25" s="31"/>
    </row>
    <row r="26" spans="1:10">
      <c r="A26" s="68"/>
      <c r="B26" s="31"/>
      <c r="C26" s="31"/>
      <c r="D26" s="31"/>
      <c r="E26" s="31"/>
      <c r="F26" s="31"/>
      <c r="G26" s="31"/>
      <c r="H26" s="31"/>
    </row>
    <row r="27" spans="1:10" ht="24.6">
      <c r="A27" s="225"/>
      <c r="B27" s="226" t="s">
        <v>121</v>
      </c>
      <c r="C27" s="226" t="str">
        <f>Base_Annuelle!U4</f>
        <v>2020 / 2021</v>
      </c>
      <c r="D27" s="226" t="str">
        <f>Base_Annuelle!V4</f>
        <v>2021 / 2022</v>
      </c>
      <c r="E27" s="227" t="str">
        <f>Base_Annuelle!W4</f>
        <v>2022 / 2023</v>
      </c>
      <c r="F27" s="227" t="str">
        <f>Base_Annuelle!X4</f>
        <v>2023 / 2024</v>
      </c>
      <c r="G27" s="226" t="s">
        <v>137</v>
      </c>
      <c r="H27" s="226" t="s">
        <v>132</v>
      </c>
    </row>
    <row r="28" spans="1:10">
      <c r="A28" s="243" t="s">
        <v>138</v>
      </c>
      <c r="B28" s="244">
        <f ca="1">Base_Annuelle!T6</f>
        <v>717847.96680608951</v>
      </c>
      <c r="C28" s="244">
        <f>Base_Annuelle!U6</f>
        <v>704539.47495829756</v>
      </c>
      <c r="D28" s="244">
        <f>Base_Annuelle!V6</f>
        <v>515127.01271587145</v>
      </c>
      <c r="E28" s="244">
        <f>Base_Annuelle!W6</f>
        <v>829204.07209993131</v>
      </c>
      <c r="F28" s="244">
        <f>Base_Annuelle!X6</f>
        <v>832375.13294321089</v>
      </c>
      <c r="G28" s="245">
        <f>+IF(E28=0,"",(F28/E28-1)*100)</f>
        <v>0.38242224682387693</v>
      </c>
      <c r="H28" s="245">
        <f ca="1">+IF(B28=0,"",(F28/B28-1)*100)</f>
        <v>15.954237029699403</v>
      </c>
    </row>
    <row r="29" spans="1:10">
      <c r="A29" s="246" t="s">
        <v>139</v>
      </c>
      <c r="B29" s="247">
        <f ca="1">Base_Annuelle!T7</f>
        <v>60667.61896046171</v>
      </c>
      <c r="C29" s="247">
        <f>Base_Annuelle!U7</f>
        <v>74647.126669011137</v>
      </c>
      <c r="D29" s="247">
        <f>Base_Annuelle!V7</f>
        <v>48305.724828941617</v>
      </c>
      <c r="E29" s="247">
        <f>Base_Annuelle!W7</f>
        <v>57208.529213202331</v>
      </c>
      <c r="F29" s="247">
        <f>Base_Annuelle!X7</f>
        <v>64741.449836547814</v>
      </c>
      <c r="G29" s="248">
        <f>+IF(E29=0,"",(F29/E29-1)*100)</f>
        <v>13.167478218627359</v>
      </c>
      <c r="H29" s="248">
        <f ca="1">+IF(B29=0,"",(F29/B29-1)*100)</f>
        <v>6.715000433330176</v>
      </c>
    </row>
    <row r="30" spans="1:10">
      <c r="A30" s="243" t="s">
        <v>140</v>
      </c>
      <c r="B30" s="244">
        <f ca="1">Base_Annuelle!T8</f>
        <v>59552.127435433897</v>
      </c>
      <c r="C30" s="244">
        <f>Base_Annuelle!U8</f>
        <v>62185.847315877276</v>
      </c>
      <c r="D30" s="244">
        <f>Base_Annuelle!V8</f>
        <v>50262.666562602273</v>
      </c>
      <c r="E30" s="244">
        <f>Base_Annuelle!W8</f>
        <v>62661.862396037766</v>
      </c>
      <c r="F30" s="244">
        <f>Base_Annuelle!X8</f>
        <v>72498.144547804855</v>
      </c>
      <c r="G30" s="245">
        <f>+IF(E30=0,"",(F30/E30-1)*100)</f>
        <v>15.697398346700053</v>
      </c>
      <c r="H30" s="245">
        <f ca="1">+IF(B30=0,"",(F30/B30-1)*100)</f>
        <v>21.738966632899825</v>
      </c>
      <c r="J30" s="31"/>
    </row>
    <row r="31" spans="1:10">
      <c r="A31" s="246" t="s">
        <v>141</v>
      </c>
      <c r="B31" s="247">
        <f ca="1">Base_Annuelle!T9</f>
        <v>105093.87199693883</v>
      </c>
      <c r="C31" s="247">
        <f>Base_Annuelle!U9</f>
        <v>126558.89712353561</v>
      </c>
      <c r="D31" s="247">
        <f>Base_Annuelle!V9</f>
        <v>105136.92288131606</v>
      </c>
      <c r="E31" s="247">
        <f>Base_Annuelle!W9</f>
        <v>115579.98296178543</v>
      </c>
      <c r="F31" s="247">
        <f>Base_Annuelle!X9</f>
        <v>111810.97925267741</v>
      </c>
      <c r="G31" s="248">
        <f>+IF(E31=0,"",(F31/E31-1)*100)</f>
        <v>-3.2609484899770003</v>
      </c>
      <c r="H31" s="248">
        <f ca="1">+IF(B31=0,"",(F31/B31-1)*100)</f>
        <v>6.3915308553235572</v>
      </c>
    </row>
    <row r="32" spans="1:10">
      <c r="A32" s="73" t="s">
        <v>129</v>
      </c>
      <c r="B32" s="1801"/>
      <c r="D32" s="31"/>
      <c r="E32" s="1801"/>
      <c r="F32" s="1801"/>
      <c r="G32" s="31"/>
      <c r="H32" s="31"/>
      <c r="I32" s="31"/>
    </row>
    <row r="33" spans="1:8">
      <c r="A33" s="31"/>
      <c r="B33" s="31"/>
      <c r="D33" s="31"/>
      <c r="E33" s="1801"/>
      <c r="F33" s="1880"/>
      <c r="G33" s="31"/>
      <c r="H33" s="31"/>
    </row>
    <row r="34" spans="1:8">
      <c r="A34" s="86" t="s">
        <v>1055</v>
      </c>
      <c r="B34" s="69"/>
      <c r="C34" s="69"/>
      <c r="D34" s="69"/>
      <c r="E34" s="69"/>
      <c r="F34" s="1878"/>
      <c r="G34" s="69"/>
      <c r="H34" s="31"/>
    </row>
    <row r="35" spans="1:8">
      <c r="A35" s="31"/>
      <c r="B35" s="249"/>
      <c r="C35" s="249"/>
      <c r="D35" s="249"/>
      <c r="E35" s="249"/>
      <c r="F35" s="249"/>
      <c r="G35" s="249"/>
      <c r="H35" s="31"/>
    </row>
    <row r="36" spans="1:8" ht="24.6">
      <c r="A36" s="257"/>
      <c r="B36" s="226" t="s">
        <v>121</v>
      </c>
      <c r="C36" s="226" t="str">
        <f>Base_Annuelle!AC4</f>
        <v>2020 / 2021</v>
      </c>
      <c r="D36" s="226" t="str">
        <f>Base_Annuelle!AD4</f>
        <v>2021 / 2022</v>
      </c>
      <c r="E36" s="227" t="str">
        <f>Base_Annuelle!AE4</f>
        <v>2022 / 2023</v>
      </c>
      <c r="F36" s="227" t="str">
        <f>Base_Annuelle!AF4</f>
        <v>2023 / 2024</v>
      </c>
      <c r="G36" s="226" t="s">
        <v>142</v>
      </c>
      <c r="H36" s="226" t="s">
        <v>132</v>
      </c>
    </row>
    <row r="37" spans="1:8">
      <c r="A37" s="250" t="s">
        <v>23</v>
      </c>
      <c r="B37" s="33">
        <f ca="1">Base_Annuelle!AB6</f>
        <v>941149.07124961657</v>
      </c>
      <c r="C37" s="33">
        <f>Base_Annuelle!AC6</f>
        <v>965456.12293991214</v>
      </c>
      <c r="D37" s="33">
        <f>Base_Annuelle!AD6</f>
        <v>911234</v>
      </c>
      <c r="E37" s="33">
        <f>Base_Annuelle!AE6</f>
        <v>1000796.3509038963</v>
      </c>
      <c r="F37" s="33">
        <f>Base_Annuelle!AF6</f>
        <v>904535.47174973483</v>
      </c>
      <c r="G37" s="251">
        <f>+IF(E37=0,"",(F37/E37-1)*100)</f>
        <v>-9.6184282713681739</v>
      </c>
      <c r="H37" s="251">
        <f ca="1">+IF(B37=0,"",(F37/B37-1)*100)</f>
        <v>-3.8903082007261447</v>
      </c>
    </row>
    <row r="38" spans="1:8">
      <c r="A38" s="252" t="s">
        <v>24</v>
      </c>
      <c r="B38" s="34">
        <f ca="1">Base_Annuelle!AB7</f>
        <v>321918.84263808408</v>
      </c>
      <c r="C38" s="34">
        <f>Base_Annuelle!AC7</f>
        <v>291223.29288004717</v>
      </c>
      <c r="D38" s="34">
        <f>Base_Annuelle!AD7</f>
        <v>332881</v>
      </c>
      <c r="E38" s="34">
        <f>Base_Annuelle!AE7</f>
        <v>348742.33690680092</v>
      </c>
      <c r="F38" s="34">
        <f>Base_Annuelle!AF7</f>
        <v>387719.81717562024</v>
      </c>
      <c r="G38" s="234">
        <f t="shared" ref="G38:G50" si="2">+IF(E38=0,"",(F38/E38-1)*100)</f>
        <v>11.176584011718592</v>
      </c>
      <c r="H38" s="234">
        <f t="shared" ref="H38:H50" ca="1" si="3">+IF(B38=0,"",(F38/B38-1)*100)</f>
        <v>20.440237048041521</v>
      </c>
    </row>
    <row r="39" spans="1:8">
      <c r="A39" s="253" t="s">
        <v>25</v>
      </c>
      <c r="B39" s="35">
        <f ca="1">Base_Annuelle!AB8</f>
        <v>61331.755827607863</v>
      </c>
      <c r="C39" s="35">
        <f>Base_Annuelle!AC8</f>
        <v>65019.389561196513</v>
      </c>
      <c r="D39" s="35">
        <f>Base_Annuelle!AD8</f>
        <v>52048</v>
      </c>
      <c r="E39" s="35">
        <f>Base_Annuelle!AE8</f>
        <v>58557.638669325526</v>
      </c>
      <c r="F39" s="35">
        <f>Base_Annuelle!AF8</f>
        <v>43086.25508663807</v>
      </c>
      <c r="G39" s="232">
        <f t="shared" si="2"/>
        <v>-26.42077777427847</v>
      </c>
      <c r="H39" s="232">
        <f t="shared" ca="1" si="3"/>
        <v>-29.748864180987244</v>
      </c>
    </row>
    <row r="40" spans="1:8">
      <c r="A40" s="252" t="s">
        <v>26</v>
      </c>
      <c r="B40" s="34">
        <f ca="1">Base_Annuelle!AB9</f>
        <v>360279.0843882683</v>
      </c>
      <c r="C40" s="34">
        <f>Base_Annuelle!AC9</f>
        <v>367729.37497159932</v>
      </c>
      <c r="D40" s="34">
        <f>Base_Annuelle!AD9</f>
        <v>310362</v>
      </c>
      <c r="E40" s="34">
        <f>Base_Annuelle!AE9</f>
        <v>356495.92087003676</v>
      </c>
      <c r="F40" s="34">
        <f>Base_Annuelle!AF9</f>
        <v>395220.36195078888</v>
      </c>
      <c r="G40" s="234">
        <f t="shared" si="2"/>
        <v>10.862520105768446</v>
      </c>
      <c r="H40" s="234">
        <f t="shared" ca="1" si="3"/>
        <v>9.6983919068876148</v>
      </c>
    </row>
    <row r="41" spans="1:8">
      <c r="A41" s="253" t="s">
        <v>27</v>
      </c>
      <c r="B41" s="35">
        <f ca="1">Base_Annuelle!AB10</f>
        <v>289124.6984468085</v>
      </c>
      <c r="C41" s="35">
        <f>Base_Annuelle!AC10</f>
        <v>371896.75818492536</v>
      </c>
      <c r="D41" s="35">
        <f>Base_Annuelle!AD10</f>
        <v>264635</v>
      </c>
      <c r="E41" s="35">
        <f>Base_Annuelle!AE10</f>
        <v>290554.10931192053</v>
      </c>
      <c r="F41" s="35">
        <f>Base_Annuelle!AF10</f>
        <v>249342.44465960236</v>
      </c>
      <c r="G41" s="232">
        <f t="shared" si="2"/>
        <v>-14.183817516783403</v>
      </c>
      <c r="H41" s="232">
        <f t="shared" ca="1" si="3"/>
        <v>-13.759548734825589</v>
      </c>
    </row>
    <row r="42" spans="1:8">
      <c r="A42" s="252" t="s">
        <v>28</v>
      </c>
      <c r="B42" s="34">
        <f ca="1">Base_Annuelle!AB11</f>
        <v>510336.46740535961</v>
      </c>
      <c r="C42" s="34">
        <f>Base_Annuelle!AC11</f>
        <v>490077.2983838949</v>
      </c>
      <c r="D42" s="34">
        <f>Base_Annuelle!AD11</f>
        <v>489606</v>
      </c>
      <c r="E42" s="34">
        <f>Base_Annuelle!AE11</f>
        <v>515004.08129863109</v>
      </c>
      <c r="F42" s="34">
        <f>Base_Annuelle!AF11</f>
        <v>594478.43995395605</v>
      </c>
      <c r="G42" s="234">
        <f t="shared" si="2"/>
        <v>15.431792007341549</v>
      </c>
      <c r="H42" s="234">
        <f t="shared" ca="1" si="3"/>
        <v>16.487548494503844</v>
      </c>
    </row>
    <row r="43" spans="1:8">
      <c r="A43" s="253" t="s">
        <v>29</v>
      </c>
      <c r="B43" s="35">
        <f ca="1">Base_Annuelle!AB12</f>
        <v>266841.01236713573</v>
      </c>
      <c r="C43" s="35">
        <f>Base_Annuelle!AC12</f>
        <v>264602.23475261522</v>
      </c>
      <c r="D43" s="35">
        <f>Base_Annuelle!AD12</f>
        <v>257326</v>
      </c>
      <c r="E43" s="35">
        <f>Base_Annuelle!AE12</f>
        <v>287175.13218140369</v>
      </c>
      <c r="F43" s="35">
        <f>Base_Annuelle!AF12</f>
        <v>262793.19898343453</v>
      </c>
      <c r="G43" s="232">
        <f t="shared" si="2"/>
        <v>-8.4902662054204274</v>
      </c>
      <c r="H43" s="232">
        <f t="shared" ca="1" si="3"/>
        <v>-1.5169382501562301</v>
      </c>
    </row>
    <row r="44" spans="1:8">
      <c r="A44" s="252" t="s">
        <v>30</v>
      </c>
      <c r="B44" s="34">
        <f ca="1">Base_Annuelle!AB13</f>
        <v>465144.50065206399</v>
      </c>
      <c r="C44" s="34">
        <f>Base_Annuelle!AC13</f>
        <v>434153.31458377209</v>
      </c>
      <c r="D44" s="34">
        <f>Base_Annuelle!AD13</f>
        <v>396250</v>
      </c>
      <c r="E44" s="34">
        <f>Base_Annuelle!AE13</f>
        <v>455050.66923523747</v>
      </c>
      <c r="F44" s="34">
        <f>Base_Annuelle!AF13</f>
        <v>540455.84072308498</v>
      </c>
      <c r="G44" s="234">
        <f t="shared" si="2"/>
        <v>18.768277306652514</v>
      </c>
      <c r="H44" s="234">
        <f t="shared" ca="1" si="3"/>
        <v>16.190955706333334</v>
      </c>
    </row>
    <row r="45" spans="1:8">
      <c r="A45" s="254" t="s">
        <v>31</v>
      </c>
      <c r="B45" s="35">
        <f ca="1">Base_Annuelle!AB14</f>
        <v>786673.24273595808</v>
      </c>
      <c r="C45" s="35">
        <f>Base_Annuelle!AC14</f>
        <v>834248.34921834338</v>
      </c>
      <c r="D45" s="35">
        <f>Base_Annuelle!AD14</f>
        <v>764139</v>
      </c>
      <c r="E45" s="35">
        <f>Base_Annuelle!AE14</f>
        <v>760655.13186399674</v>
      </c>
      <c r="F45" s="35">
        <f>Base_Annuelle!AF14</f>
        <v>802569.75158577145</v>
      </c>
      <c r="G45" s="232">
        <f t="shared" si="2"/>
        <v>5.5103315505230732</v>
      </c>
      <c r="H45" s="232">
        <f t="shared" ca="1" si="3"/>
        <v>2.0207257583246596</v>
      </c>
    </row>
    <row r="46" spans="1:8">
      <c r="A46" s="252" t="s">
        <v>32</v>
      </c>
      <c r="B46" s="34">
        <f ca="1">Base_Annuelle!AB15</f>
        <v>225325.23907755953</v>
      </c>
      <c r="C46" s="34">
        <f>Base_Annuelle!AC15</f>
        <v>289781.60874355718</v>
      </c>
      <c r="D46" s="34">
        <f>Base_Annuelle!AD15</f>
        <v>254041</v>
      </c>
      <c r="E46" s="34">
        <f>Base_Annuelle!AE15</f>
        <v>295894.69945231586</v>
      </c>
      <c r="F46" s="34">
        <f>Base_Annuelle!AF15</f>
        <v>12839.85</v>
      </c>
      <c r="G46" s="234">
        <f t="shared" si="2"/>
        <v>-95.660669142175976</v>
      </c>
      <c r="H46" s="234">
        <f t="shared" ca="1" si="3"/>
        <v>-94.301637023635692</v>
      </c>
    </row>
    <row r="47" spans="1:8">
      <c r="A47" s="254" t="s">
        <v>33</v>
      </c>
      <c r="B47" s="35">
        <f ca="1">Base_Annuelle!AB16</f>
        <v>167092.2152320435</v>
      </c>
      <c r="C47" s="35">
        <f>Base_Annuelle!AC16</f>
        <v>224607.55791123814</v>
      </c>
      <c r="D47" s="35">
        <f>Base_Annuelle!AD16</f>
        <v>181391</v>
      </c>
      <c r="E47" s="35">
        <f>Base_Annuelle!AE16</f>
        <v>225720.04589310358</v>
      </c>
      <c r="F47" s="35">
        <f>Base_Annuelle!AF16</f>
        <v>11182.05</v>
      </c>
      <c r="G47" s="232">
        <f t="shared" si="2"/>
        <v>-95.046053638809028</v>
      </c>
      <c r="H47" s="232">
        <f t="shared" ca="1" si="3"/>
        <v>-93.307856991140298</v>
      </c>
    </row>
    <row r="48" spans="1:8">
      <c r="A48" s="252" t="s">
        <v>34</v>
      </c>
      <c r="B48" s="34">
        <f ca="1">Base_Annuelle!AB17</f>
        <v>181109.11178679162</v>
      </c>
      <c r="C48" s="34">
        <f>Base_Annuelle!AC17</f>
        <v>253372.19524074253</v>
      </c>
      <c r="D48" s="34">
        <f>Base_Annuelle!AD17</f>
        <v>186998</v>
      </c>
      <c r="E48" s="34">
        <f>Base_Annuelle!AE17</f>
        <v>188014.33887504987</v>
      </c>
      <c r="F48" s="34">
        <f>Base_Annuelle!AF17</f>
        <v>1129.6500000000001</v>
      </c>
      <c r="G48" s="234">
        <f t="shared" si="2"/>
        <v>-99.399168166237189</v>
      </c>
      <c r="H48" s="234">
        <f t="shared" ca="1" si="3"/>
        <v>-99.376259985566122</v>
      </c>
    </row>
    <row r="49" spans="1:8">
      <c r="A49" s="255" t="s">
        <v>35</v>
      </c>
      <c r="B49" s="88">
        <f ca="1">Base_Annuelle!AB18</f>
        <v>340941.42144259339</v>
      </c>
      <c r="C49" s="88">
        <f>Base_Annuelle!AC18</f>
        <v>326936.63376265659</v>
      </c>
      <c r="D49" s="88">
        <f>Base_Annuelle!AD18</f>
        <v>308578</v>
      </c>
      <c r="E49" s="88">
        <f>Base_Annuelle!AE18</f>
        <v>379960.5174859442</v>
      </c>
      <c r="F49" s="88">
        <f>Base_Annuelle!AF18</f>
        <v>390136.17245107912</v>
      </c>
      <c r="G49" s="242">
        <f t="shared" si="2"/>
        <v>2.6780821945562749</v>
      </c>
      <c r="H49" s="242">
        <f t="shared" ca="1" si="3"/>
        <v>14.429091895121626</v>
      </c>
    </row>
    <row r="50" spans="1:8">
      <c r="A50" s="1686" t="s">
        <v>13</v>
      </c>
      <c r="B50" s="1665">
        <f ca="1">SUM(B37:B49)</f>
        <v>4917266.6632498913</v>
      </c>
      <c r="C50" s="1665">
        <f>SUM(C37:C49)</f>
        <v>5179104.1311344998</v>
      </c>
      <c r="D50" s="1665">
        <f>SUM(D37:D49)</f>
        <v>4709489</v>
      </c>
      <c r="E50" s="1665">
        <f>SUM(E37:E49)</f>
        <v>5162620.9729476627</v>
      </c>
      <c r="F50" s="1665">
        <f>SUM(F37:F49)</f>
        <v>4595489.3043197114</v>
      </c>
      <c r="G50" s="245">
        <f t="shared" si="2"/>
        <v>-10.985343909609934</v>
      </c>
      <c r="H50" s="245">
        <f t="shared" ca="1" si="3"/>
        <v>-6.5438256854167154</v>
      </c>
    </row>
    <row r="51" spans="1:8">
      <c r="A51" s="73" t="s">
        <v>129</v>
      </c>
      <c r="B51" s="31"/>
      <c r="C51" s="31"/>
      <c r="D51" s="31"/>
      <c r="E51" s="31"/>
      <c r="F51" s="31"/>
      <c r="G51" s="31"/>
      <c r="H51" s="31"/>
    </row>
    <row r="52" spans="1:8">
      <c r="A52" s="31"/>
      <c r="B52" s="31"/>
      <c r="C52" s="31"/>
      <c r="D52" s="31"/>
      <c r="E52" s="31"/>
      <c r="F52" s="256"/>
      <c r="G52" s="31"/>
      <c r="H52" s="31"/>
    </row>
    <row r="53" spans="1:8">
      <c r="A53" s="86" t="s">
        <v>1056</v>
      </c>
      <c r="B53" s="31"/>
      <c r="C53" s="31"/>
      <c r="D53" s="31"/>
      <c r="E53" s="31"/>
      <c r="F53" s="31"/>
      <c r="G53" s="31"/>
      <c r="H53" s="31"/>
    </row>
    <row r="54" spans="1:8">
      <c r="A54" s="31"/>
      <c r="B54" s="249"/>
      <c r="C54" s="249"/>
      <c r="D54" s="249"/>
      <c r="E54" s="249"/>
      <c r="F54" s="249"/>
      <c r="G54" s="249"/>
      <c r="H54" s="31"/>
    </row>
    <row r="55" spans="1:8" ht="24.6">
      <c r="A55" s="257"/>
      <c r="B55" s="226" t="s">
        <v>121</v>
      </c>
      <c r="C55" s="226" t="str">
        <f>Base_Annuelle!AK4</f>
        <v>2020 / 2021</v>
      </c>
      <c r="D55" s="226" t="str">
        <f>Base_Annuelle!AL4</f>
        <v>2021 / 2022</v>
      </c>
      <c r="E55" s="227" t="str">
        <f>Base_Annuelle!AM4</f>
        <v>2022 / 2023</v>
      </c>
      <c r="F55" s="227" t="str">
        <f>Base_Annuelle!AN4</f>
        <v>2023 / 2024</v>
      </c>
      <c r="G55" s="226" t="s">
        <v>137</v>
      </c>
      <c r="H55" s="226" t="s">
        <v>132</v>
      </c>
    </row>
    <row r="56" spans="1:8">
      <c r="A56" s="250" t="s">
        <v>23</v>
      </c>
      <c r="B56" s="33">
        <f ca="1">Base_Annuelle!AJ6</f>
        <v>798212.05770642671</v>
      </c>
      <c r="C56" s="33">
        <f>Base_Annuelle!AK6</f>
        <v>775078.23895573767</v>
      </c>
      <c r="D56" s="33">
        <f>Base_Annuelle!AL6</f>
        <v>733713.73719743232</v>
      </c>
      <c r="E56" s="33">
        <f>Base_Annuelle!AM6</f>
        <v>859680.62038332189</v>
      </c>
      <c r="F56" s="33"/>
      <c r="G56" s="251"/>
      <c r="H56" s="251"/>
    </row>
    <row r="57" spans="1:8">
      <c r="A57" s="252" t="s">
        <v>24</v>
      </c>
      <c r="B57" s="34">
        <f ca="1">Base_Annuelle!AJ7</f>
        <v>172384.83758221503</v>
      </c>
      <c r="C57" s="34">
        <f>Base_Annuelle!AK7</f>
        <v>156616.02272453922</v>
      </c>
      <c r="D57" s="34">
        <f>Base_Annuelle!AL7</f>
        <v>169808.58324767518</v>
      </c>
      <c r="E57" s="34">
        <f>Base_Annuelle!AM7</f>
        <v>203692.06841041456</v>
      </c>
      <c r="F57" s="34"/>
      <c r="G57" s="234"/>
      <c r="H57" s="234"/>
    </row>
    <row r="58" spans="1:8">
      <c r="A58" s="253" t="s">
        <v>25</v>
      </c>
      <c r="B58" s="35">
        <f ca="1">Base_Annuelle!AJ8</f>
        <v>46829.540918447121</v>
      </c>
      <c r="C58" s="35">
        <f>Base_Annuelle!AK8</f>
        <v>47650.962335984943</v>
      </c>
      <c r="D58" s="35">
        <f>Base_Annuelle!AL8</f>
        <v>47071.277405880981</v>
      </c>
      <c r="E58" s="35">
        <f>Base_Annuelle!AM8</f>
        <v>47126.076300042361</v>
      </c>
      <c r="F58" s="35"/>
      <c r="G58" s="232"/>
      <c r="H58" s="232"/>
    </row>
    <row r="59" spans="1:8">
      <c r="A59" s="252" t="s">
        <v>26</v>
      </c>
      <c r="B59" s="34">
        <f ca="1">Base_Annuelle!AJ9</f>
        <v>268093.10864102829</v>
      </c>
      <c r="C59" s="34">
        <f>Base_Annuelle!AK9</f>
        <v>255405.78232392855</v>
      </c>
      <c r="D59" s="34">
        <f>Base_Annuelle!AL9</f>
        <v>254150.14054539587</v>
      </c>
      <c r="E59" s="34">
        <f>Base_Annuelle!AM9</f>
        <v>283221.60912473669</v>
      </c>
      <c r="F59" s="34"/>
      <c r="G59" s="234"/>
      <c r="H59" s="234"/>
    </row>
    <row r="60" spans="1:8">
      <c r="A60" s="253" t="s">
        <v>27</v>
      </c>
      <c r="B60" s="35">
        <f ca="1">Base_Annuelle!AJ10</f>
        <v>313785.7314702071</v>
      </c>
      <c r="C60" s="35">
        <f>Base_Annuelle!AK10</f>
        <v>346163.74093907018</v>
      </c>
      <c r="D60" s="35">
        <f>Base_Annuelle!AL10</f>
        <v>347555.67506058794</v>
      </c>
      <c r="E60" s="35">
        <f>Base_Annuelle!AM10</f>
        <v>303106.75893104024</v>
      </c>
      <c r="F60" s="35"/>
      <c r="G60" s="232"/>
      <c r="H60" s="232"/>
    </row>
    <row r="61" spans="1:8">
      <c r="A61" s="252" t="s">
        <v>28</v>
      </c>
      <c r="B61" s="34">
        <f ca="1">Base_Annuelle!AJ11</f>
        <v>505901.94215751346</v>
      </c>
      <c r="C61" s="34">
        <f>Base_Annuelle!AK11</f>
        <v>456290.05814276554</v>
      </c>
      <c r="D61" s="34">
        <f>Base_Annuelle!AL11</f>
        <v>464962.92045446613</v>
      </c>
      <c r="E61" s="34">
        <f>Base_Annuelle!AM11</f>
        <v>553596.67103083315</v>
      </c>
      <c r="F61" s="34"/>
      <c r="G61" s="234"/>
      <c r="H61" s="234"/>
    </row>
    <row r="62" spans="1:8">
      <c r="A62" s="253" t="s">
        <v>29</v>
      </c>
      <c r="B62" s="35">
        <f ca="1">Base_Annuelle!AJ12</f>
        <v>182660.7924498354</v>
      </c>
      <c r="C62" s="35">
        <f>Base_Annuelle!AK12</f>
        <v>173663.29755683502</v>
      </c>
      <c r="D62" s="35">
        <f>Base_Annuelle!AL12</f>
        <v>165376.08616107842</v>
      </c>
      <c r="E62" s="35">
        <f>Base_Annuelle!AM12</f>
        <v>207473.25445108014</v>
      </c>
      <c r="F62" s="35"/>
      <c r="G62" s="232"/>
      <c r="H62" s="232"/>
    </row>
    <row r="63" spans="1:8">
      <c r="A63" s="252" t="s">
        <v>30</v>
      </c>
      <c r="B63" s="34">
        <f ca="1">Base_Annuelle!AJ13</f>
        <v>399698.33397181443</v>
      </c>
      <c r="C63" s="34">
        <f>Base_Annuelle!AK13</f>
        <v>390890.06779804331</v>
      </c>
      <c r="D63" s="34">
        <f>Base_Annuelle!AL13</f>
        <v>364922.81214221648</v>
      </c>
      <c r="E63" s="34">
        <f>Base_Annuelle!AM13</f>
        <v>377296.59051977179</v>
      </c>
      <c r="F63" s="34"/>
      <c r="G63" s="234"/>
      <c r="H63" s="234"/>
    </row>
    <row r="64" spans="1:8">
      <c r="A64" s="254" t="s">
        <v>31</v>
      </c>
      <c r="B64" s="35">
        <f ca="1">Base_Annuelle!AJ14</f>
        <v>458250.39879692142</v>
      </c>
      <c r="C64" s="35">
        <f>Base_Annuelle!AK14</f>
        <v>472523.9206920279</v>
      </c>
      <c r="D64" s="35">
        <f>Base_Annuelle!AL14</f>
        <v>443962.76575835765</v>
      </c>
      <c r="E64" s="35">
        <f>Base_Annuelle!AM14</f>
        <v>450204.1520333644</v>
      </c>
      <c r="F64" s="35"/>
      <c r="G64" s="232"/>
      <c r="H64" s="232"/>
    </row>
    <row r="65" spans="1:8">
      <c r="A65" s="252" t="s">
        <v>32</v>
      </c>
      <c r="B65" s="34">
        <f ca="1">Base_Annuelle!AJ15</f>
        <v>284040.7881142812</v>
      </c>
      <c r="C65" s="34">
        <f>Base_Annuelle!AK15</f>
        <v>273515.92440171959</v>
      </c>
      <c r="D65" s="34">
        <f>Base_Annuelle!AL15</f>
        <v>269331.93510232645</v>
      </c>
      <c r="E65" s="34">
        <f>Base_Annuelle!AM15</f>
        <v>286146.94648975279</v>
      </c>
      <c r="F65" s="34"/>
      <c r="G65" s="234"/>
      <c r="H65" s="234"/>
    </row>
    <row r="66" spans="1:8">
      <c r="A66" s="254" t="s">
        <v>33</v>
      </c>
      <c r="B66" s="35">
        <f ca="1">Base_Annuelle!AJ16</f>
        <v>196280.59393820883</v>
      </c>
      <c r="C66" s="35">
        <f>Base_Annuelle!AK16</f>
        <v>193890.20061740582</v>
      </c>
      <c r="D66" s="35">
        <f>Base_Annuelle!AL16</f>
        <v>185195.52955957409</v>
      </c>
      <c r="E66" s="35">
        <f>Base_Annuelle!AM16</f>
        <v>195745.19280257082</v>
      </c>
      <c r="F66" s="35"/>
      <c r="G66" s="232"/>
      <c r="H66" s="232"/>
    </row>
    <row r="67" spans="1:8">
      <c r="A67" s="252" t="s">
        <v>34</v>
      </c>
      <c r="B67" s="34">
        <f ca="1">Base_Annuelle!AJ17</f>
        <v>275237.99446095177</v>
      </c>
      <c r="C67" s="34">
        <f>Base_Annuelle!AK17</f>
        <v>315276.79821587983</v>
      </c>
      <c r="D67" s="34">
        <f>Base_Annuelle!AL17</f>
        <v>250392.77780213457</v>
      </c>
      <c r="E67" s="34">
        <f>Base_Annuelle!AM17</f>
        <v>235989.29266145689</v>
      </c>
      <c r="F67" s="34"/>
      <c r="G67" s="234"/>
      <c r="H67" s="234"/>
    </row>
    <row r="68" spans="1:8">
      <c r="A68" s="255" t="s">
        <v>35</v>
      </c>
      <c r="B68" s="88">
        <f ca="1">Base_Annuelle!AJ18</f>
        <v>260396.07336865301</v>
      </c>
      <c r="C68" s="88">
        <f>Base_Annuelle!AK18</f>
        <v>247861.70597336878</v>
      </c>
      <c r="D68" s="88">
        <f>Base_Annuelle!AL18</f>
        <v>260679.29896225064</v>
      </c>
      <c r="E68" s="88">
        <f>Base_Annuelle!AM18</f>
        <v>292462.25998934818</v>
      </c>
      <c r="F68" s="88"/>
      <c r="G68" s="242"/>
      <c r="H68" s="242"/>
    </row>
    <row r="69" spans="1:8">
      <c r="A69" s="1685" t="s">
        <v>13</v>
      </c>
      <c r="B69" s="236">
        <f ca="1">SUM(B56:B68)</f>
        <v>4161772.193576504</v>
      </c>
      <c r="C69" s="236">
        <f>SUM(C56:C68)</f>
        <v>4104826.7206773064</v>
      </c>
      <c r="D69" s="236">
        <f>SUM(D56:D68)</f>
        <v>3957123.5393993766</v>
      </c>
      <c r="E69" s="236">
        <f>SUM(E56:E68)</f>
        <v>4295741.4931277344</v>
      </c>
      <c r="F69" s="236"/>
      <c r="G69" s="237"/>
      <c r="H69" s="237"/>
    </row>
    <row r="70" spans="1:8">
      <c r="A70" s="73" t="s">
        <v>129</v>
      </c>
      <c r="B70" s="31"/>
      <c r="C70" s="73"/>
      <c r="D70" s="73"/>
      <c r="E70" s="73"/>
      <c r="F70" s="256"/>
      <c r="G70" s="31"/>
      <c r="H70" s="31"/>
    </row>
    <row r="71" spans="1:8" ht="12.6" thickBot="1">
      <c r="A71" s="31" t="s">
        <v>143</v>
      </c>
      <c r="B71" s="31"/>
      <c r="C71" s="31"/>
      <c r="D71" s="31"/>
      <c r="E71" s="31"/>
      <c r="F71" s="31"/>
      <c r="G71" s="31"/>
      <c r="H71" s="31"/>
    </row>
    <row r="72" spans="1:8" ht="10" customHeight="1">
      <c r="A72" s="299"/>
      <c r="B72" s="300"/>
      <c r="C72" s="300"/>
      <c r="D72" s="300"/>
      <c r="E72" s="300"/>
      <c r="F72" s="300"/>
      <c r="G72" s="300"/>
      <c r="H72" s="301"/>
    </row>
    <row r="73" spans="1:8" ht="12.6" thickBot="1">
      <c r="A73" s="302"/>
      <c r="B73" s="303"/>
      <c r="C73" s="303"/>
      <c r="D73" s="303"/>
      <c r="E73" s="303"/>
      <c r="F73" s="303"/>
      <c r="G73" s="303"/>
      <c r="H73" s="304"/>
    </row>
    <row r="86" spans="1:8" ht="12.6" thickBot="1"/>
    <row r="87" spans="1:8" ht="10" customHeight="1">
      <c r="A87" s="299"/>
      <c r="B87" s="300"/>
      <c r="C87" s="300"/>
      <c r="D87" s="300"/>
      <c r="E87" s="300"/>
      <c r="F87" s="300"/>
      <c r="G87" s="300"/>
      <c r="H87" s="301"/>
    </row>
    <row r="98" spans="1:8" ht="12.6" thickBot="1"/>
    <row r="99" spans="1:8" ht="10" customHeight="1">
      <c r="A99" s="299"/>
      <c r="B99" s="300"/>
      <c r="C99" s="300"/>
      <c r="D99" s="300"/>
      <c r="E99" s="300"/>
      <c r="F99" s="300"/>
      <c r="G99" s="300"/>
      <c r="H99" s="301"/>
    </row>
    <row r="110" spans="1:8" ht="12.6" thickBot="1"/>
    <row r="111" spans="1:8" ht="10" customHeight="1">
      <c r="A111" s="299"/>
      <c r="B111" s="300"/>
      <c r="C111" s="300"/>
      <c r="D111" s="300"/>
      <c r="E111" s="300"/>
      <c r="F111" s="300"/>
      <c r="G111" s="300"/>
      <c r="H111" s="301"/>
    </row>
    <row r="123" spans="1:8" ht="12.6" thickBot="1"/>
    <row r="124" spans="1:8" ht="10" customHeight="1">
      <c r="A124" s="299"/>
      <c r="B124" s="300"/>
      <c r="C124" s="300"/>
      <c r="D124" s="300"/>
      <c r="E124" s="300"/>
      <c r="F124" s="300"/>
      <c r="G124" s="300"/>
      <c r="H124" s="301"/>
    </row>
    <row r="125" spans="1:8">
      <c r="A125" s="68" t="s">
        <v>150</v>
      </c>
      <c r="B125" s="69"/>
      <c r="C125" s="69"/>
      <c r="D125" s="69"/>
      <c r="E125" s="69"/>
      <c r="F125" s="69"/>
      <c r="G125" s="69"/>
      <c r="H125" s="31"/>
    </row>
    <row r="126" spans="1:8">
      <c r="A126" s="68" t="s">
        <v>151</v>
      </c>
      <c r="B126" s="249"/>
      <c r="C126" s="249"/>
      <c r="D126" s="249"/>
      <c r="E126" s="249"/>
      <c r="F126" s="249"/>
      <c r="G126" s="249"/>
      <c r="H126" s="31"/>
    </row>
    <row r="127" spans="1:8">
      <c r="A127" s="31"/>
      <c r="B127" s="249"/>
      <c r="C127" s="249"/>
      <c r="D127" s="249"/>
      <c r="E127" s="249"/>
      <c r="F127" s="249"/>
      <c r="G127" s="249"/>
      <c r="H127" s="31"/>
    </row>
    <row r="128" spans="1:8" ht="24.6">
      <c r="A128" s="1331"/>
      <c r="B128" s="307" t="s">
        <v>152</v>
      </c>
      <c r="C128" s="307">
        <f>Base_Annuelle!AS5</f>
        <v>2020</v>
      </c>
      <c r="D128" s="307">
        <f>Base_Annuelle!AT5</f>
        <v>2021</v>
      </c>
      <c r="E128" s="307">
        <f>Base_Annuelle!AU5</f>
        <v>2022</v>
      </c>
      <c r="F128" s="307">
        <f>Base_Annuelle!AV5</f>
        <v>2023</v>
      </c>
      <c r="G128" s="308" t="s">
        <v>137</v>
      </c>
      <c r="H128" s="1488" t="s">
        <v>132</v>
      </c>
    </row>
    <row r="129" spans="1:8">
      <c r="A129" s="1240" t="s">
        <v>153</v>
      </c>
      <c r="B129" s="33">
        <f>Base_Annuelle!AR6</f>
        <v>1136.4251583001042</v>
      </c>
      <c r="C129" s="33">
        <f>Base_Annuelle!AS6</f>
        <v>1140.650674892737</v>
      </c>
      <c r="D129" s="33"/>
      <c r="E129" s="33"/>
      <c r="F129" s="33"/>
      <c r="G129" s="251"/>
      <c r="H129" s="251"/>
    </row>
    <row r="130" spans="1:8">
      <c r="A130" s="1241" t="s">
        <v>154</v>
      </c>
      <c r="B130" s="34">
        <f>Base_Annuelle!AR7</f>
        <v>1070.0865224206548</v>
      </c>
      <c r="C130" s="34">
        <f>Base_Annuelle!AS7</f>
        <v>1062.9749556764355</v>
      </c>
      <c r="D130" s="34"/>
      <c r="E130" s="34"/>
      <c r="F130" s="34"/>
      <c r="G130" s="1489"/>
      <c r="H130" s="1489"/>
    </row>
    <row r="131" spans="1:8">
      <c r="A131" s="1243" t="s">
        <v>155</v>
      </c>
      <c r="B131" s="35">
        <f>Base_Annuelle!AR8</f>
        <v>909.40939018921767</v>
      </c>
      <c r="C131" s="35">
        <f>Base_Annuelle!AS8</f>
        <v>894.66070530323293</v>
      </c>
      <c r="D131" s="35"/>
      <c r="E131" s="35"/>
      <c r="F131" s="35"/>
      <c r="G131" s="1490"/>
      <c r="H131" s="1490"/>
    </row>
    <row r="132" spans="1:8">
      <c r="A132" s="1241" t="s">
        <v>156</v>
      </c>
      <c r="B132" s="34">
        <f>Base_Annuelle!AR9</f>
        <v>940.53107598871406</v>
      </c>
      <c r="C132" s="34">
        <f>Base_Annuelle!AS9</f>
        <v>956.91584839417453</v>
      </c>
      <c r="D132" s="34"/>
      <c r="E132" s="34"/>
      <c r="F132" s="34"/>
      <c r="G132" s="1489"/>
      <c r="H132" s="1489"/>
    </row>
    <row r="133" spans="1:8">
      <c r="A133" s="1243" t="s">
        <v>157</v>
      </c>
      <c r="B133" s="35">
        <f>Base_Annuelle!AR10</f>
        <v>536.97593738207695</v>
      </c>
      <c r="C133" s="35">
        <f>Base_Annuelle!AS10</f>
        <v>550.70991584840294</v>
      </c>
      <c r="D133" s="35"/>
      <c r="E133" s="35"/>
      <c r="F133" s="35"/>
      <c r="G133" s="1490"/>
      <c r="H133" s="1490"/>
    </row>
    <row r="134" spans="1:8">
      <c r="A134" s="1241" t="s">
        <v>158</v>
      </c>
      <c r="B134" s="34">
        <f>Base_Annuelle!AR11</f>
        <v>812.35811971131716</v>
      </c>
      <c r="C134" s="34">
        <f>Base_Annuelle!AS11</f>
        <v>811.63553791751599</v>
      </c>
      <c r="D134" s="34"/>
      <c r="E134" s="34"/>
      <c r="F134" s="34"/>
      <c r="G134" s="1489"/>
      <c r="H134" s="1489"/>
    </row>
    <row r="135" spans="1:8">
      <c r="A135" s="1243" t="s">
        <v>159</v>
      </c>
      <c r="B135" s="35">
        <f>Base_Annuelle!AR12</f>
        <v>1154.9666254098147</v>
      </c>
      <c r="C135" s="35">
        <f>Base_Annuelle!AS12</f>
        <v>1150.8708726533537</v>
      </c>
      <c r="D135" s="35"/>
      <c r="E135" s="35"/>
      <c r="F135" s="35"/>
      <c r="G135" s="1490"/>
      <c r="H135" s="1490"/>
    </row>
    <row r="136" spans="1:8">
      <c r="A136" s="1241" t="s">
        <v>160</v>
      </c>
      <c r="B136" s="34">
        <f>Base_Annuelle!AR13</f>
        <v>1017.4485158349362</v>
      </c>
      <c r="C136" s="34">
        <f>Base_Annuelle!AS13</f>
        <v>1021.2448517460836</v>
      </c>
      <c r="D136" s="34"/>
      <c r="E136" s="34"/>
      <c r="F136" s="34"/>
      <c r="G136" s="1489"/>
      <c r="H136" s="1489"/>
    </row>
    <row r="137" spans="1:8">
      <c r="A137" s="1540" t="s">
        <v>161</v>
      </c>
      <c r="B137" s="35">
        <f>Base_Annuelle!AR14</f>
        <v>973.36941531351431</v>
      </c>
      <c r="C137" s="35">
        <f>Base_Annuelle!AS14</f>
        <v>978.10126763168967</v>
      </c>
      <c r="D137" s="35"/>
      <c r="E137" s="35"/>
      <c r="F137" s="35"/>
      <c r="G137" s="1490"/>
      <c r="H137" s="1490"/>
    </row>
    <row r="138" spans="1:8">
      <c r="A138" s="1247" t="s">
        <v>162</v>
      </c>
      <c r="B138" s="83">
        <f>Base_Annuelle!AR15</f>
        <v>827.72949718402299</v>
      </c>
      <c r="C138" s="83">
        <f>Base_Annuelle!AS15</f>
        <v>821.08755751949082</v>
      </c>
      <c r="D138" s="83"/>
      <c r="E138" s="83"/>
      <c r="F138" s="83"/>
      <c r="G138" s="309"/>
      <c r="H138" s="309"/>
    </row>
    <row r="139" spans="1:8" ht="14.4">
      <c r="A139" s="2066" t="s">
        <v>1059</v>
      </c>
      <c r="B139" s="2066"/>
      <c r="C139" s="2066"/>
      <c r="D139" s="2066"/>
      <c r="E139" s="2066"/>
      <c r="F139" s="2066"/>
      <c r="G139" s="2066"/>
      <c r="H139" s="2066"/>
    </row>
  </sheetData>
  <mergeCells count="2">
    <mergeCell ref="A1:H1"/>
    <mergeCell ref="A139:H139"/>
  </mergeCells>
  <hyperlinks>
    <hyperlink ref="A139:H139" r:id="rId1" display="Source: Direction de la météorologie / Ministère des infrastructures, du désenclavement et des transports" xr:uid="{00000000-0004-0000-0700-000000000000}"/>
  </hyperlinks>
  <pageMargins left="0.70866141732283472" right="0.70866141732283472" top="0.74803149606299213" bottom="0.74803149606299213" header="0.31496062992125984" footer="0.31496062992125984"/>
  <pageSetup paperSize="9" scale="70" firstPageNumber="6" orientation="portrait" r:id="rId2"/>
  <headerFooter>
    <oddFooter>&amp;L&amp;8Bulletin trimestriel de conjoncture, 4e trimestre 2023</oddFooter>
  </headerFooter>
  <rowBreaks count="2" manualBreakCount="2">
    <brk id="51" max="16383" man="1"/>
    <brk id="123"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00B050"/>
  </sheetPr>
  <dimension ref="A2:I90"/>
  <sheetViews>
    <sheetView view="pageBreakPreview" zoomScaleSheetLayoutView="100" workbookViewId="0">
      <selection activeCell="K50" sqref="K50"/>
    </sheetView>
  </sheetViews>
  <sheetFormatPr baseColWidth="10" defaultRowHeight="12.3"/>
  <cols>
    <col min="1" max="1" width="15.71875" customWidth="1"/>
    <col min="2" max="8" width="10.71875" customWidth="1"/>
  </cols>
  <sheetData>
    <row r="2" spans="1:8" ht="17.7">
      <c r="A2" s="2073" t="s">
        <v>17</v>
      </c>
      <c r="B2" s="2073"/>
      <c r="C2" s="2073"/>
      <c r="D2" s="2073"/>
      <c r="E2" s="2073"/>
      <c r="F2" s="2073"/>
      <c r="G2" s="2073"/>
      <c r="H2" s="2073"/>
    </row>
    <row r="3" spans="1:8">
      <c r="A3" s="31"/>
      <c r="B3" s="31"/>
      <c r="C3" s="31"/>
      <c r="D3" s="31"/>
      <c r="E3" s="31"/>
      <c r="F3" s="31"/>
      <c r="G3" s="67"/>
      <c r="H3" s="67"/>
    </row>
    <row r="4" spans="1:8">
      <c r="A4" s="68" t="s">
        <v>997</v>
      </c>
      <c r="B4" s="69"/>
      <c r="C4" s="69"/>
      <c r="D4" s="69"/>
      <c r="E4" s="69"/>
      <c r="F4" s="69"/>
      <c r="G4" s="70"/>
      <c r="H4" s="67"/>
    </row>
    <row r="5" spans="1:8">
      <c r="A5" s="68"/>
      <c r="B5" s="69"/>
      <c r="C5" s="69"/>
      <c r="D5" s="69"/>
      <c r="E5" s="69"/>
      <c r="F5" s="69"/>
      <c r="G5" s="70"/>
      <c r="H5" s="67"/>
    </row>
    <row r="6" spans="1:8" ht="12.6" thickBot="1">
      <c r="A6" s="31"/>
      <c r="B6" s="2067" t="s">
        <v>12</v>
      </c>
      <c r="C6" s="2068"/>
      <c r="D6" s="2068"/>
      <c r="E6" s="2068"/>
      <c r="F6" s="2069"/>
      <c r="G6" s="2074" t="s">
        <v>18</v>
      </c>
      <c r="H6" s="2071"/>
    </row>
    <row r="7" spans="1:8">
      <c r="A7" s="1331"/>
      <c r="B7" s="78">
        <f>Base_Mensuelle!D5</f>
        <v>44896</v>
      </c>
      <c r="C7" s="79">
        <f>Base_Mensuelle!E5</f>
        <v>45170</v>
      </c>
      <c r="D7" s="79">
        <f>Base_Mensuelle!F5</f>
        <v>45200</v>
      </c>
      <c r="E7" s="79">
        <f>Base_Mensuelle!G5</f>
        <v>45231</v>
      </c>
      <c r="F7" s="80">
        <f>Base_Mensuelle!H5</f>
        <v>45261</v>
      </c>
      <c r="G7" s="71" t="s">
        <v>19</v>
      </c>
      <c r="H7" s="118" t="s">
        <v>20</v>
      </c>
    </row>
    <row r="8" spans="1:8">
      <c r="A8" s="1241" t="s">
        <v>2</v>
      </c>
      <c r="B8" s="34">
        <f>Base_Mensuelle!D7</f>
        <v>1898</v>
      </c>
      <c r="C8" s="34">
        <f>Base_Mensuelle!E7</f>
        <v>942</v>
      </c>
      <c r="D8" s="34">
        <f>Base_Mensuelle!F7</f>
        <v>965</v>
      </c>
      <c r="E8" s="34">
        <f>Base_Mensuelle!G7</f>
        <v>981</v>
      </c>
      <c r="F8" s="34">
        <f>Base_Mensuelle!H7</f>
        <v>843</v>
      </c>
      <c r="G8" s="1242">
        <f>+IF(E8=0,"",(F8/E8-1)*100)</f>
        <v>-14.067278287461772</v>
      </c>
      <c r="H8" s="196">
        <f>+IF(B8=0,"",(F8/B8-1)*100)</f>
        <v>-55.58482613277134</v>
      </c>
    </row>
    <row r="9" spans="1:8">
      <c r="A9" s="1243" t="s">
        <v>3</v>
      </c>
      <c r="B9" s="35">
        <f>Base_Mensuelle!D8</f>
        <v>34252</v>
      </c>
      <c r="C9" s="35">
        <f>Base_Mensuelle!E8</f>
        <v>22500</v>
      </c>
      <c r="D9" s="35">
        <f>Base_Mensuelle!F8</f>
        <v>29980</v>
      </c>
      <c r="E9" s="35">
        <f>Base_Mensuelle!G8</f>
        <v>29670</v>
      </c>
      <c r="F9" s="35">
        <f>Base_Mensuelle!H8</f>
        <v>30584</v>
      </c>
      <c r="G9" s="1244">
        <f t="shared" ref="G9:G15" si="0">+IF(E9=0,"",(F9/E9-1)*100)</f>
        <v>3.0805527468823701</v>
      </c>
      <c r="H9" s="198">
        <f t="shared" ref="H9:H15" si="1">+IF(B9=0,"",(F9/B9-1)*100)</f>
        <v>-10.708863715987382</v>
      </c>
    </row>
    <row r="10" spans="1:8">
      <c r="A10" s="1241" t="s">
        <v>4</v>
      </c>
      <c r="B10" s="34">
        <f>Base_Mensuelle!D9</f>
        <v>94</v>
      </c>
      <c r="C10" s="34">
        <f>Base_Mensuelle!E9</f>
        <v>98</v>
      </c>
      <c r="D10" s="34">
        <f>Base_Mensuelle!F9</f>
        <v>41</v>
      </c>
      <c r="E10" s="34">
        <f>Base_Mensuelle!G9</f>
        <v>32</v>
      </c>
      <c r="F10" s="34">
        <f>Base_Mensuelle!H9</f>
        <v>28</v>
      </c>
      <c r="G10" s="1242">
        <f t="shared" si="0"/>
        <v>-12.5</v>
      </c>
      <c r="H10" s="196">
        <f t="shared" si="1"/>
        <v>-70.212765957446805</v>
      </c>
    </row>
    <row r="11" spans="1:8">
      <c r="A11" s="1243" t="s">
        <v>6</v>
      </c>
      <c r="B11" s="35">
        <f>Base_Mensuelle!D11</f>
        <v>320988</v>
      </c>
      <c r="C11" s="35">
        <f>Base_Mensuelle!E11</f>
        <v>80675</v>
      </c>
      <c r="D11" s="35">
        <f>Base_Mensuelle!F11</f>
        <v>80684</v>
      </c>
      <c r="E11" s="35">
        <f>Base_Mensuelle!G11</f>
        <v>72100</v>
      </c>
      <c r="F11" s="35">
        <f>Base_Mensuelle!H11</f>
        <v>64277</v>
      </c>
      <c r="G11" s="1244">
        <f t="shared" si="0"/>
        <v>-10.850208044382804</v>
      </c>
      <c r="H11" s="198">
        <f t="shared" si="1"/>
        <v>-79.975263872792752</v>
      </c>
    </row>
    <row r="12" spans="1:8">
      <c r="A12" s="1241" t="s">
        <v>7</v>
      </c>
      <c r="B12" s="34">
        <f>Base_Mensuelle!D12</f>
        <v>88</v>
      </c>
      <c r="C12" s="34">
        <f>Base_Mensuelle!E12</f>
        <v>137</v>
      </c>
      <c r="D12" s="34">
        <f>Base_Mensuelle!F12</f>
        <v>26</v>
      </c>
      <c r="E12" s="34">
        <f>Base_Mensuelle!G12</f>
        <v>18</v>
      </c>
      <c r="F12" s="34">
        <f>Base_Mensuelle!H12</f>
        <v>14</v>
      </c>
      <c r="G12" s="1242">
        <f t="shared" si="0"/>
        <v>-22.222222222222221</v>
      </c>
      <c r="H12" s="196">
        <f t="shared" si="1"/>
        <v>-84.090909090909093</v>
      </c>
    </row>
    <row r="13" spans="1:8">
      <c r="A13" s="1243" t="s">
        <v>8</v>
      </c>
      <c r="B13" s="35">
        <f>Base_Mensuelle!D13</f>
        <v>37716</v>
      </c>
      <c r="C13" s="35">
        <f>Base_Mensuelle!E13</f>
        <v>25730</v>
      </c>
      <c r="D13" s="35">
        <f>Base_Mensuelle!F13</f>
        <v>31571</v>
      </c>
      <c r="E13" s="35">
        <f>Base_Mensuelle!G13</f>
        <v>30299</v>
      </c>
      <c r="F13" s="35">
        <f>Base_Mensuelle!H13</f>
        <v>27698</v>
      </c>
      <c r="G13" s="1244">
        <f t="shared" si="0"/>
        <v>-8.5844417307501928</v>
      </c>
      <c r="H13" s="198">
        <f t="shared" si="1"/>
        <v>-26.561671439177005</v>
      </c>
    </row>
    <row r="14" spans="1:8">
      <c r="A14" s="1241" t="s">
        <v>9</v>
      </c>
      <c r="B14" s="34">
        <f>Base_Mensuelle!D14</f>
        <v>15766</v>
      </c>
      <c r="C14" s="34">
        <f>Base_Mensuelle!E14</f>
        <v>10216</v>
      </c>
      <c r="D14" s="34">
        <f>Base_Mensuelle!F14</f>
        <v>11540</v>
      </c>
      <c r="E14" s="34">
        <f>Base_Mensuelle!G14</f>
        <v>10870</v>
      </c>
      <c r="F14" s="34">
        <f>Base_Mensuelle!H14</f>
        <v>12881</v>
      </c>
      <c r="G14" s="1242">
        <f t="shared" si="0"/>
        <v>18.500459981600727</v>
      </c>
      <c r="H14" s="196">
        <f t="shared" si="1"/>
        <v>-18.298870988202466</v>
      </c>
    </row>
    <row r="15" spans="1:8">
      <c r="A15" s="1955" t="s">
        <v>13</v>
      </c>
      <c r="B15" s="88">
        <f>SUM(B8:B14)</f>
        <v>410802</v>
      </c>
      <c r="C15" s="88">
        <f>SUM(C8:C14)</f>
        <v>140298</v>
      </c>
      <c r="D15" s="88">
        <f>SUM(D8:D14)</f>
        <v>154807</v>
      </c>
      <c r="E15" s="88">
        <f>SUM(E8:E14)</f>
        <v>143970</v>
      </c>
      <c r="F15" s="88">
        <f>SUM(F8:F14)</f>
        <v>136325</v>
      </c>
      <c r="G15" s="146">
        <f t="shared" si="0"/>
        <v>-5.310134055706051</v>
      </c>
      <c r="H15" s="203">
        <f t="shared" si="1"/>
        <v>-66.814913267218756</v>
      </c>
    </row>
    <row r="16" spans="1:8">
      <c r="A16" s="73" t="s">
        <v>21</v>
      </c>
      <c r="B16" s="31"/>
      <c r="C16" s="31"/>
      <c r="D16" s="31"/>
      <c r="E16" s="31"/>
      <c r="F16" s="31"/>
      <c r="G16" s="67"/>
      <c r="H16" s="67"/>
    </row>
    <row r="18" spans="1:8">
      <c r="A18" s="86" t="s">
        <v>22</v>
      </c>
      <c r="B18" s="69"/>
      <c r="C18" s="69"/>
      <c r="D18" s="69"/>
      <c r="E18" s="69"/>
      <c r="F18" s="69"/>
      <c r="G18" s="70"/>
      <c r="H18" s="67"/>
    </row>
    <row r="19" spans="1:8">
      <c r="A19" s="68"/>
      <c r="B19" s="69"/>
      <c r="C19" s="69"/>
      <c r="D19" s="69"/>
      <c r="E19" s="69"/>
      <c r="F19" s="69"/>
      <c r="G19" s="70"/>
      <c r="H19" s="67"/>
    </row>
    <row r="20" spans="1:8">
      <c r="A20" s="31"/>
      <c r="B20" s="2075" t="s">
        <v>12</v>
      </c>
      <c r="C20" s="2076"/>
      <c r="D20" s="2076"/>
      <c r="E20" s="2076"/>
      <c r="F20" s="2077"/>
      <c r="G20" s="2070" t="s">
        <v>18</v>
      </c>
      <c r="H20" s="2071"/>
    </row>
    <row r="21" spans="1:8">
      <c r="A21" s="257"/>
      <c r="B21" s="119">
        <f>Base_Mensuelle!Q6</f>
        <v>44896</v>
      </c>
      <c r="C21" s="119">
        <f>Base_Mensuelle!R6</f>
        <v>45170</v>
      </c>
      <c r="D21" s="119">
        <f>Base_Mensuelle!S6</f>
        <v>45200</v>
      </c>
      <c r="E21" s="119">
        <f>Base_Mensuelle!T6</f>
        <v>45231</v>
      </c>
      <c r="F21" s="119">
        <f>Base_Mensuelle!U6</f>
        <v>45261</v>
      </c>
      <c r="G21" s="87" t="s">
        <v>19</v>
      </c>
      <c r="H21" s="87" t="s">
        <v>20</v>
      </c>
    </row>
    <row r="22" spans="1:8">
      <c r="A22" s="1469" t="s">
        <v>23</v>
      </c>
      <c r="B22" s="34">
        <f>Base_Mensuelle!Q8</f>
        <v>1169</v>
      </c>
      <c r="C22" s="34">
        <f>Base_Mensuelle!R8</f>
        <v>924</v>
      </c>
      <c r="D22" s="34">
        <f>Base_Mensuelle!S8</f>
        <v>1890</v>
      </c>
      <c r="E22" s="34">
        <f>Base_Mensuelle!T8</f>
        <v>890</v>
      </c>
      <c r="F22" s="34">
        <f>Base_Mensuelle!U8</f>
        <v>971</v>
      </c>
      <c r="G22" s="1242">
        <f t="shared" ref="G22:G35" si="2">+IF(E22=0,"",(F22/E22-1)*100)</f>
        <v>9.1011235955056122</v>
      </c>
      <c r="H22" s="196">
        <f t="shared" ref="H22:H35" si="3">+IF(B22=0,"",(F22/B22-1)*100)</f>
        <v>-16.937553464499576</v>
      </c>
    </row>
    <row r="23" spans="1:8">
      <c r="A23" s="1468" t="s">
        <v>24</v>
      </c>
      <c r="B23" s="35">
        <f>Base_Mensuelle!Q9</f>
        <v>13719</v>
      </c>
      <c r="C23" s="35">
        <f>Base_Mensuelle!R9</f>
        <v>11491</v>
      </c>
      <c r="D23" s="35">
        <f>Base_Mensuelle!S9</f>
        <v>24865</v>
      </c>
      <c r="E23" s="35">
        <f>Base_Mensuelle!T9</f>
        <v>12720</v>
      </c>
      <c r="F23" s="35">
        <f>Base_Mensuelle!U9</f>
        <v>14629</v>
      </c>
      <c r="G23" s="1244">
        <f t="shared" si="2"/>
        <v>15.00786163522012</v>
      </c>
      <c r="H23" s="198">
        <f t="shared" si="3"/>
        <v>6.6331365259858499</v>
      </c>
    </row>
    <row r="24" spans="1:8">
      <c r="A24" s="1469" t="s">
        <v>25</v>
      </c>
      <c r="B24" s="34">
        <f>Base_Mensuelle!Q10</f>
        <v>2897</v>
      </c>
      <c r="C24" s="34">
        <f>Base_Mensuelle!R10</f>
        <v>2583</v>
      </c>
      <c r="D24" s="34">
        <f>Base_Mensuelle!S10</f>
        <v>5335</v>
      </c>
      <c r="E24" s="34">
        <f>Base_Mensuelle!T10</f>
        <v>2862</v>
      </c>
      <c r="F24" s="34">
        <f>Base_Mensuelle!U10</f>
        <v>3514</v>
      </c>
      <c r="G24" s="1242">
        <f t="shared" si="2"/>
        <v>22.781271837875614</v>
      </c>
      <c r="H24" s="196">
        <f t="shared" si="3"/>
        <v>21.297894373489811</v>
      </c>
    </row>
    <row r="25" spans="1:8">
      <c r="A25" s="1468" t="s">
        <v>26</v>
      </c>
      <c r="B25" s="35">
        <f>Base_Mensuelle!Q11</f>
        <v>2572</v>
      </c>
      <c r="C25" s="35">
        <f>Base_Mensuelle!R11</f>
        <v>1294</v>
      </c>
      <c r="D25" s="35">
        <f>Base_Mensuelle!S11</f>
        <v>2595</v>
      </c>
      <c r="E25" s="35">
        <f>Base_Mensuelle!T11</f>
        <v>1759</v>
      </c>
      <c r="F25" s="35">
        <f>Base_Mensuelle!U11</f>
        <v>1555</v>
      </c>
      <c r="G25" s="1244">
        <f t="shared" si="2"/>
        <v>-11.59749857873792</v>
      </c>
      <c r="H25" s="198">
        <f t="shared" si="3"/>
        <v>-39.5412130637636</v>
      </c>
    </row>
    <row r="26" spans="1:8">
      <c r="A26" s="1469" t="s">
        <v>27</v>
      </c>
      <c r="B26" s="34">
        <f>Base_Mensuelle!Q12</f>
        <v>951</v>
      </c>
      <c r="C26" s="34">
        <f>Base_Mensuelle!R12</f>
        <v>729</v>
      </c>
      <c r="D26" s="34">
        <f>Base_Mensuelle!S12</f>
        <v>1569</v>
      </c>
      <c r="E26" s="34">
        <f>Base_Mensuelle!T12</f>
        <v>863</v>
      </c>
      <c r="F26" s="34">
        <f>Base_Mensuelle!U12</f>
        <v>761</v>
      </c>
      <c r="G26" s="1242">
        <f t="shared" si="2"/>
        <v>-11.819235225955971</v>
      </c>
      <c r="H26" s="196">
        <f t="shared" si="3"/>
        <v>-19.978969505783382</v>
      </c>
    </row>
    <row r="27" spans="1:8">
      <c r="A27" s="1468" t="s">
        <v>28</v>
      </c>
      <c r="B27" s="35">
        <f>Base_Mensuelle!Q13</f>
        <v>585</v>
      </c>
      <c r="C27" s="35">
        <f>Base_Mensuelle!R13</f>
        <v>293</v>
      </c>
      <c r="D27" s="35">
        <f>Base_Mensuelle!S13</f>
        <v>643</v>
      </c>
      <c r="E27" s="35">
        <f>Base_Mensuelle!T13</f>
        <v>355</v>
      </c>
      <c r="F27" s="35">
        <f>Base_Mensuelle!U13</f>
        <v>402</v>
      </c>
      <c r="G27" s="1244">
        <f t="shared" si="2"/>
        <v>13.239436619718315</v>
      </c>
      <c r="H27" s="198">
        <f t="shared" si="3"/>
        <v>-31.282051282051281</v>
      </c>
    </row>
    <row r="28" spans="1:8">
      <c r="A28" s="1469" t="s">
        <v>29</v>
      </c>
      <c r="B28" s="34">
        <f>Base_Mensuelle!Q14</f>
        <v>443</v>
      </c>
      <c r="C28" s="34">
        <f>Base_Mensuelle!R14</f>
        <v>17</v>
      </c>
      <c r="D28" s="34">
        <f>Base_Mensuelle!S14</f>
        <v>37</v>
      </c>
      <c r="E28" s="34">
        <f>Base_Mensuelle!T14</f>
        <v>17</v>
      </c>
      <c r="F28" s="34">
        <f>Base_Mensuelle!U14</f>
        <v>33</v>
      </c>
      <c r="G28" s="1242">
        <f t="shared" si="2"/>
        <v>94.117647058823522</v>
      </c>
      <c r="H28" s="196">
        <f t="shared" si="3"/>
        <v>-92.550790067720087</v>
      </c>
    </row>
    <row r="29" spans="1:8">
      <c r="A29" s="1468" t="s">
        <v>30</v>
      </c>
      <c r="B29" s="35">
        <f>Base_Mensuelle!Q15</f>
        <v>6052</v>
      </c>
      <c r="C29" s="35">
        <f>Base_Mensuelle!R15</f>
        <v>799</v>
      </c>
      <c r="D29" s="35">
        <f>Base_Mensuelle!S15</f>
        <v>6869</v>
      </c>
      <c r="E29" s="35">
        <f>Base_Mensuelle!T15</f>
        <v>5949</v>
      </c>
      <c r="F29" s="35">
        <f>Base_Mensuelle!U15</f>
        <v>6382</v>
      </c>
      <c r="G29" s="1244">
        <f t="shared" si="2"/>
        <v>7.2785342074298098</v>
      </c>
      <c r="H29" s="198">
        <f t="shared" si="3"/>
        <v>5.4527428949107781</v>
      </c>
    </row>
    <row r="30" spans="1:8">
      <c r="A30" s="1469" t="s">
        <v>31</v>
      </c>
      <c r="B30" s="34">
        <f>Base_Mensuelle!Q16</f>
        <v>1291</v>
      </c>
      <c r="C30" s="34">
        <f>Base_Mensuelle!R16</f>
        <v>934</v>
      </c>
      <c r="D30" s="34">
        <f>Base_Mensuelle!S16</f>
        <v>1872</v>
      </c>
      <c r="E30" s="34">
        <f>Base_Mensuelle!T16</f>
        <v>991</v>
      </c>
      <c r="F30" s="34">
        <f>Base_Mensuelle!U16</f>
        <v>1255.4300150762276</v>
      </c>
      <c r="G30" s="1242">
        <f t="shared" si="2"/>
        <v>26.683149856329734</v>
      </c>
      <c r="H30" s="196">
        <f t="shared" si="3"/>
        <v>-2.7552273372403069</v>
      </c>
    </row>
    <row r="31" spans="1:8">
      <c r="A31" s="1468" t="s">
        <v>32</v>
      </c>
      <c r="B31" s="35">
        <f>Base_Mensuelle!Q17</f>
        <v>667</v>
      </c>
      <c r="C31" s="35">
        <f>Base_Mensuelle!R17</f>
        <v>549</v>
      </c>
      <c r="D31" s="35">
        <f>Base_Mensuelle!S17</f>
        <v>1251</v>
      </c>
      <c r="E31" s="35">
        <f>Base_Mensuelle!T17</f>
        <v>674</v>
      </c>
      <c r="F31" s="35">
        <f>Base_Mensuelle!U17</f>
        <v>511</v>
      </c>
      <c r="G31" s="1244">
        <f t="shared" si="2"/>
        <v>-24.183976261127594</v>
      </c>
      <c r="H31" s="198">
        <f t="shared" si="3"/>
        <v>-23.388305847076463</v>
      </c>
    </row>
    <row r="32" spans="1:8">
      <c r="A32" s="1469" t="s">
        <v>33</v>
      </c>
      <c r="B32" s="34">
        <f>Base_Mensuelle!Q18</f>
        <v>1200</v>
      </c>
      <c r="C32" s="34">
        <f>Base_Mensuelle!R18</f>
        <v>953</v>
      </c>
      <c r="D32" s="34">
        <f>Base_Mensuelle!S18</f>
        <v>2145</v>
      </c>
      <c r="E32" s="34">
        <f>Base_Mensuelle!T18</f>
        <v>1244</v>
      </c>
      <c r="F32" s="34">
        <f>Base_Mensuelle!U18</f>
        <v>1182</v>
      </c>
      <c r="G32" s="1242">
        <f t="shared" si="2"/>
        <v>-4.9839228295819886</v>
      </c>
      <c r="H32" s="196">
        <f t="shared" si="3"/>
        <v>-1.5000000000000013</v>
      </c>
    </row>
    <row r="33" spans="1:9">
      <c r="A33" s="1468" t="s">
        <v>34</v>
      </c>
      <c r="B33" s="35">
        <f>Base_Mensuelle!Q19</f>
        <v>1612</v>
      </c>
      <c r="C33" s="35">
        <f>Base_Mensuelle!R19</f>
        <v>533</v>
      </c>
      <c r="D33" s="35">
        <f>Base_Mensuelle!S19</f>
        <v>965</v>
      </c>
      <c r="E33" s="35">
        <f>Base_Mensuelle!T19</f>
        <v>1142</v>
      </c>
      <c r="F33" s="35">
        <f>Base_Mensuelle!U19</f>
        <v>474</v>
      </c>
      <c r="G33" s="1244">
        <f t="shared" si="2"/>
        <v>-58.493870402802095</v>
      </c>
      <c r="H33" s="198">
        <f t="shared" si="3"/>
        <v>-70.595533498759309</v>
      </c>
    </row>
    <row r="34" spans="1:9">
      <c r="A34" s="1469" t="s">
        <v>35</v>
      </c>
      <c r="B34" s="34">
        <f>Base_Mensuelle!Q20</f>
        <v>34252</v>
      </c>
      <c r="C34" s="34">
        <f>Base_Mensuelle!R20</f>
        <v>22500</v>
      </c>
      <c r="D34" s="34">
        <f>Base_Mensuelle!S20</f>
        <v>52480</v>
      </c>
      <c r="E34" s="34">
        <f>Base_Mensuelle!T20</f>
        <v>29670</v>
      </c>
      <c r="F34" s="34">
        <f>Base_Mensuelle!U20</f>
        <v>31839.430015076228</v>
      </c>
      <c r="G34" s="1242">
        <f t="shared" si="2"/>
        <v>7.3118638863371332</v>
      </c>
      <c r="H34" s="196">
        <f t="shared" si="3"/>
        <v>-7.0435886515350159</v>
      </c>
    </row>
    <row r="35" spans="1:9">
      <c r="A35" s="1662" t="s">
        <v>13</v>
      </c>
      <c r="B35" s="1663">
        <f>SUM(B22:B34)</f>
        <v>67410</v>
      </c>
      <c r="C35" s="1663">
        <f>SUM(C22:C34)</f>
        <v>43599</v>
      </c>
      <c r="D35" s="1663">
        <f>SUM(D22:D34)</f>
        <v>102516</v>
      </c>
      <c r="E35" s="1663">
        <f>SUM(E22:E34)</f>
        <v>59136</v>
      </c>
      <c r="F35" s="1663">
        <f>SUM(F22:F34)</f>
        <v>63508.860030152457</v>
      </c>
      <c r="G35" s="204">
        <f t="shared" si="2"/>
        <v>7.3945820315078015</v>
      </c>
      <c r="H35" s="1664">
        <f t="shared" si="3"/>
        <v>-5.7871828658174529</v>
      </c>
    </row>
    <row r="36" spans="1:9">
      <c r="A36" s="73" t="s">
        <v>21</v>
      </c>
      <c r="B36" s="31"/>
      <c r="C36" s="31"/>
      <c r="D36" s="31"/>
      <c r="E36" s="31"/>
      <c r="F36" s="31"/>
      <c r="G36" s="67"/>
      <c r="H36" s="67"/>
    </row>
    <row r="38" spans="1:9">
      <c r="A38" s="86" t="s">
        <v>37</v>
      </c>
      <c r="B38" s="69"/>
      <c r="C38" s="69"/>
      <c r="D38" s="69"/>
      <c r="E38" s="69"/>
      <c r="F38" s="69"/>
      <c r="G38" s="70"/>
      <c r="H38" s="67"/>
      <c r="I38" s="31"/>
    </row>
    <row r="39" spans="1:9">
      <c r="A39" s="68"/>
      <c r="B39" s="69"/>
      <c r="C39" s="69"/>
      <c r="D39" s="69"/>
      <c r="E39" s="69"/>
      <c r="F39" s="69"/>
      <c r="G39" s="70"/>
      <c r="H39" s="67"/>
      <c r="I39" s="31"/>
    </row>
    <row r="40" spans="1:9">
      <c r="A40" s="31"/>
      <c r="B40" s="2067" t="s">
        <v>12</v>
      </c>
      <c r="C40" s="2068"/>
      <c r="D40" s="2068"/>
      <c r="E40" s="2068"/>
      <c r="F40" s="2069"/>
      <c r="G40" s="2070" t="s">
        <v>18</v>
      </c>
      <c r="H40" s="2071"/>
      <c r="I40" s="31"/>
    </row>
    <row r="41" spans="1:9">
      <c r="A41" s="257"/>
      <c r="B41" s="144">
        <f>Base_Mensuelle!AG5</f>
        <v>44896</v>
      </c>
      <c r="C41" s="144">
        <f>Base_Mensuelle!AH5</f>
        <v>45170</v>
      </c>
      <c r="D41" s="144">
        <f>Base_Mensuelle!AI5</f>
        <v>45200</v>
      </c>
      <c r="E41" s="144">
        <f>Base_Mensuelle!AJ5</f>
        <v>45231</v>
      </c>
      <c r="F41" s="144">
        <f>Base_Mensuelle!AK5</f>
        <v>45261</v>
      </c>
      <c r="G41" s="87" t="s">
        <v>19</v>
      </c>
      <c r="H41" s="118" t="s">
        <v>20</v>
      </c>
      <c r="I41" s="31"/>
    </row>
    <row r="42" spans="1:9">
      <c r="A42" s="1469" t="s">
        <v>23</v>
      </c>
      <c r="B42" s="34">
        <f>Base_Mensuelle!AG7</f>
        <v>2740</v>
      </c>
      <c r="C42" s="34">
        <f>Base_Mensuelle!AH7</f>
        <v>1989</v>
      </c>
      <c r="D42" s="34">
        <f>Base_Mensuelle!AI7</f>
        <v>1574</v>
      </c>
      <c r="E42" s="34">
        <f>Base_Mensuelle!AJ7</f>
        <v>381</v>
      </c>
      <c r="F42" s="34">
        <f>Base_Mensuelle!AK7</f>
        <v>337</v>
      </c>
      <c r="G42" s="1242">
        <f t="shared" ref="G42:G55" si="4">+IF(E42=0,"",(F42/E42-1)*100)</f>
        <v>-11.548556430446199</v>
      </c>
      <c r="H42" s="196">
        <f t="shared" ref="H42:H55" si="5">+IF(B42=0,"",(F42/B42-1)*100)</f>
        <v>-87.700729927007302</v>
      </c>
      <c r="I42" s="31"/>
    </row>
    <row r="43" spans="1:9">
      <c r="A43" s="1468" t="s">
        <v>24</v>
      </c>
      <c r="B43" s="35">
        <f>Base_Mensuelle!AG8</f>
        <v>1267</v>
      </c>
      <c r="C43" s="35">
        <f>Base_Mensuelle!AH8</f>
        <v>1073</v>
      </c>
      <c r="D43" s="35">
        <f>Base_Mensuelle!AI8</f>
        <v>994</v>
      </c>
      <c r="E43" s="35">
        <f>Base_Mensuelle!AJ8</f>
        <v>667</v>
      </c>
      <c r="F43" s="35">
        <f>Base_Mensuelle!AK8</f>
        <v>1026</v>
      </c>
      <c r="G43" s="1244">
        <f t="shared" si="4"/>
        <v>53.823088455772108</v>
      </c>
      <c r="H43" s="198">
        <f t="shared" si="5"/>
        <v>-19.021310181531181</v>
      </c>
      <c r="I43" s="31"/>
    </row>
    <row r="44" spans="1:9">
      <c r="A44" s="1469" t="s">
        <v>25</v>
      </c>
      <c r="B44" s="34">
        <f>Base_Mensuelle!AG9</f>
        <v>4688</v>
      </c>
      <c r="C44" s="34">
        <f>Base_Mensuelle!AH9</f>
        <v>6211</v>
      </c>
      <c r="D44" s="34">
        <f>Base_Mensuelle!AI9</f>
        <v>6021</v>
      </c>
      <c r="E44" s="34">
        <f>Base_Mensuelle!AJ9</f>
        <v>6426</v>
      </c>
      <c r="F44" s="34">
        <f>Base_Mensuelle!AK9</f>
        <v>8039</v>
      </c>
      <c r="G44" s="1242">
        <f t="shared" si="4"/>
        <v>25.101151571739798</v>
      </c>
      <c r="H44" s="196">
        <f t="shared" si="5"/>
        <v>71.480375426621151</v>
      </c>
      <c r="I44" s="31"/>
    </row>
    <row r="45" spans="1:9">
      <c r="A45" s="1468" t="s">
        <v>26</v>
      </c>
      <c r="B45" s="35">
        <f>Base_Mensuelle!AG10</f>
        <v>5725</v>
      </c>
      <c r="C45" s="35">
        <f>Base_Mensuelle!AH10</f>
        <v>3926</v>
      </c>
      <c r="D45" s="35">
        <f>Base_Mensuelle!AI10</f>
        <v>4584</v>
      </c>
      <c r="E45" s="35">
        <f>Base_Mensuelle!AJ10</f>
        <v>4319</v>
      </c>
      <c r="F45" s="35">
        <f>Base_Mensuelle!AK10</f>
        <v>3905</v>
      </c>
      <c r="G45" s="1244">
        <f t="shared" si="4"/>
        <v>-9.5855522111599871</v>
      </c>
      <c r="H45" s="198">
        <f t="shared" si="5"/>
        <v>-31.790393013100438</v>
      </c>
      <c r="I45" s="31"/>
    </row>
    <row r="46" spans="1:9">
      <c r="A46" s="1469" t="s">
        <v>27</v>
      </c>
      <c r="B46" s="34">
        <f>Base_Mensuelle!AG11</f>
        <v>2922</v>
      </c>
      <c r="C46" s="34">
        <f>Base_Mensuelle!AH11</f>
        <v>662</v>
      </c>
      <c r="D46" s="34">
        <f>Base_Mensuelle!AI11</f>
        <v>1229</v>
      </c>
      <c r="E46" s="34">
        <f>Base_Mensuelle!AJ11</f>
        <v>1084</v>
      </c>
      <c r="F46" s="34">
        <f>Base_Mensuelle!AK11</f>
        <v>830</v>
      </c>
      <c r="G46" s="1242">
        <f t="shared" si="4"/>
        <v>-23.431734317343178</v>
      </c>
      <c r="H46" s="196">
        <f t="shared" si="5"/>
        <v>-71.594798083504458</v>
      </c>
      <c r="I46" s="31"/>
    </row>
    <row r="47" spans="1:9">
      <c r="A47" s="1468" t="s">
        <v>28</v>
      </c>
      <c r="B47" s="35">
        <f>Agriculture!R150</f>
        <v>0</v>
      </c>
      <c r="C47" s="35">
        <f>Base_Mensuelle!AH12</f>
        <v>4549</v>
      </c>
      <c r="D47" s="35">
        <f>Base_Mensuelle!AI12</f>
        <v>2239</v>
      </c>
      <c r="E47" s="35">
        <f>Base_Mensuelle!AJ12</f>
        <v>1645</v>
      </c>
      <c r="F47" s="35">
        <f>Base_Mensuelle!AK12</f>
        <v>1406</v>
      </c>
      <c r="G47" s="1244">
        <f t="shared" si="4"/>
        <v>-14.52887537993921</v>
      </c>
      <c r="H47" s="198" t="str">
        <f t="shared" si="5"/>
        <v/>
      </c>
      <c r="I47" s="31"/>
    </row>
    <row r="48" spans="1:9">
      <c r="A48" s="1469" t="s">
        <v>29</v>
      </c>
      <c r="B48" s="34">
        <f>Base_Mensuelle!AG13</f>
        <v>2595</v>
      </c>
      <c r="C48" s="34">
        <f>Base_Mensuelle!AH13</f>
        <v>656</v>
      </c>
      <c r="D48" s="34">
        <f>Base_Mensuelle!AI13</f>
        <v>768</v>
      </c>
      <c r="E48" s="34">
        <f>Base_Mensuelle!AJ13</f>
        <v>1276</v>
      </c>
      <c r="F48" s="34">
        <f>Base_Mensuelle!AK13</f>
        <v>891</v>
      </c>
      <c r="G48" s="1242">
        <f t="shared" si="4"/>
        <v>-30.172413793103448</v>
      </c>
      <c r="H48" s="196">
        <f t="shared" si="5"/>
        <v>-65.664739884393057</v>
      </c>
      <c r="I48" s="31"/>
    </row>
    <row r="49" spans="1:9">
      <c r="A49" s="1468" t="s">
        <v>30</v>
      </c>
      <c r="B49" s="35">
        <f>Base_Mensuelle!AG14</f>
        <v>676</v>
      </c>
      <c r="C49" s="35">
        <f>Base_Mensuelle!AH14</f>
        <v>40</v>
      </c>
      <c r="D49" s="35">
        <f>Base_Mensuelle!AI14</f>
        <v>39</v>
      </c>
      <c r="E49" s="35">
        <f>Base_Mensuelle!AJ14</f>
        <v>37</v>
      </c>
      <c r="F49" s="35">
        <f>Base_Mensuelle!AK14</f>
        <v>55</v>
      </c>
      <c r="G49" s="1244">
        <f t="shared" si="4"/>
        <v>48.648648648648638</v>
      </c>
      <c r="H49" s="198">
        <f t="shared" si="5"/>
        <v>-91.863905325443781</v>
      </c>
      <c r="I49" s="31"/>
    </row>
    <row r="50" spans="1:9">
      <c r="A50" s="1469" t="s">
        <v>31</v>
      </c>
      <c r="B50" s="34">
        <f>Base_Mensuelle!AG15</f>
        <v>8666</v>
      </c>
      <c r="C50" s="34">
        <f>Base_Mensuelle!AH15</f>
        <v>1977</v>
      </c>
      <c r="D50" s="34">
        <f>Base_Mensuelle!AI15</f>
        <v>9169</v>
      </c>
      <c r="E50" s="34">
        <f>Base_Mensuelle!AJ15</f>
        <v>8782</v>
      </c>
      <c r="F50" s="34">
        <f>Base_Mensuelle!AK15</f>
        <v>8781</v>
      </c>
      <c r="G50" s="1242">
        <f t="shared" si="4"/>
        <v>-1.1386927806877889E-2</v>
      </c>
      <c r="H50" s="196">
        <f t="shared" si="5"/>
        <v>1.3270251557812029</v>
      </c>
      <c r="I50" s="31"/>
    </row>
    <row r="51" spans="1:9">
      <c r="A51" s="1468" t="s">
        <v>32</v>
      </c>
      <c r="B51" s="35">
        <f>Base_Mensuelle!AG16</f>
        <v>1568</v>
      </c>
      <c r="C51" s="35">
        <f>Base_Mensuelle!AH16</f>
        <v>1469</v>
      </c>
      <c r="D51" s="35">
        <f>Base_Mensuelle!AI16</f>
        <v>1080</v>
      </c>
      <c r="E51" s="35">
        <f>Base_Mensuelle!AJ16</f>
        <v>1059</v>
      </c>
      <c r="F51" s="35">
        <f>Base_Mensuelle!AK16</f>
        <v>908.4893947129566</v>
      </c>
      <c r="G51" s="1244">
        <f t="shared" si="4"/>
        <v>-14.212521745707596</v>
      </c>
      <c r="H51" s="198">
        <f t="shared" si="5"/>
        <v>-42.060625337183886</v>
      </c>
      <c r="I51" s="31"/>
    </row>
    <row r="52" spans="1:9">
      <c r="A52" s="1469" t="s">
        <v>33</v>
      </c>
      <c r="B52" s="34">
        <f>Base_Mensuelle!AG17</f>
        <v>1283</v>
      </c>
      <c r="C52" s="34">
        <f>Base_Mensuelle!AH17</f>
        <v>1453</v>
      </c>
      <c r="D52" s="34">
        <f>Base_Mensuelle!AI17</f>
        <v>1606</v>
      </c>
      <c r="E52" s="34">
        <f>Base_Mensuelle!AJ17</f>
        <v>1964</v>
      </c>
      <c r="F52" s="34">
        <f>Base_Mensuelle!AK17</f>
        <v>713</v>
      </c>
      <c r="G52" s="1242">
        <f t="shared" si="4"/>
        <v>-63.696537678207733</v>
      </c>
      <c r="H52" s="196">
        <f t="shared" si="5"/>
        <v>-44.427123928293064</v>
      </c>
      <c r="I52" s="31"/>
    </row>
    <row r="53" spans="1:9">
      <c r="A53" s="1468" t="s">
        <v>34</v>
      </c>
      <c r="B53" s="35">
        <f>Base_Mensuelle!AG18</f>
        <v>1244</v>
      </c>
      <c r="C53" s="35">
        <f>Base_Mensuelle!AH18</f>
        <v>894</v>
      </c>
      <c r="D53" s="35">
        <f>Base_Mensuelle!AI18</f>
        <v>1672</v>
      </c>
      <c r="E53" s="35">
        <f>Base_Mensuelle!AJ18</f>
        <v>1117</v>
      </c>
      <c r="F53" s="35">
        <f>Base_Mensuelle!AK18</f>
        <v>741</v>
      </c>
      <c r="G53" s="1244">
        <f t="shared" si="4"/>
        <v>-33.661593554162941</v>
      </c>
      <c r="H53" s="198">
        <f t="shared" si="5"/>
        <v>-40.434083601286176</v>
      </c>
      <c r="I53" s="31"/>
    </row>
    <row r="54" spans="1:9">
      <c r="A54" s="1469" t="s">
        <v>35</v>
      </c>
      <c r="B54" s="34">
        <f>Base_Mensuelle!AG19</f>
        <v>1521</v>
      </c>
      <c r="C54" s="34">
        <f>Base_Mensuelle!AH19</f>
        <v>831</v>
      </c>
      <c r="D54" s="34">
        <f>Base_Mensuelle!AI19</f>
        <v>596</v>
      </c>
      <c r="E54" s="34">
        <f>Base_Mensuelle!AJ19</f>
        <v>1542</v>
      </c>
      <c r="F54" s="34">
        <f>Base_Mensuelle!AK19</f>
        <v>974</v>
      </c>
      <c r="G54" s="1242">
        <f t="shared" si="4"/>
        <v>-36.835278858625166</v>
      </c>
      <c r="H54" s="196">
        <f t="shared" si="5"/>
        <v>-35.963182117028268</v>
      </c>
      <c r="I54" s="31"/>
    </row>
    <row r="55" spans="1:9">
      <c r="A55" s="1662" t="s">
        <v>13</v>
      </c>
      <c r="B55" s="1663">
        <f>SUM(B42:B54)</f>
        <v>34895</v>
      </c>
      <c r="C55" s="1663">
        <f>SUM(C42:C54)</f>
        <v>25730</v>
      </c>
      <c r="D55" s="1663">
        <f>SUM(D42:D54)</f>
        <v>31571</v>
      </c>
      <c r="E55" s="1663">
        <f>SUM(E42:E54)</f>
        <v>30299</v>
      </c>
      <c r="F55" s="1663">
        <f>SUM(F42:F54)</f>
        <v>28606.489394712957</v>
      </c>
      <c r="G55" s="204">
        <f t="shared" si="4"/>
        <v>-5.5860279391631522</v>
      </c>
      <c r="H55" s="1664">
        <f t="shared" si="5"/>
        <v>-18.021236868568693</v>
      </c>
      <c r="I55" s="31"/>
    </row>
    <row r="56" spans="1:9">
      <c r="A56" s="73" t="s">
        <v>21</v>
      </c>
      <c r="B56" s="31"/>
      <c r="C56" s="31"/>
      <c r="D56" s="31"/>
      <c r="E56" s="31"/>
      <c r="F56" s="31"/>
      <c r="G56" s="67"/>
      <c r="H56" s="67"/>
      <c r="I56" s="31"/>
    </row>
    <row r="58" spans="1:9">
      <c r="A58" s="86" t="s">
        <v>39</v>
      </c>
      <c r="B58" s="69"/>
      <c r="C58" s="69"/>
      <c r="D58" s="69"/>
      <c r="E58" s="69"/>
      <c r="F58" s="69"/>
      <c r="G58" s="70"/>
      <c r="H58" s="67"/>
    </row>
    <row r="59" spans="1:9">
      <c r="A59" s="31"/>
      <c r="B59" s="2067" t="s">
        <v>12</v>
      </c>
      <c r="C59" s="2068"/>
      <c r="D59" s="2068"/>
      <c r="E59" s="2068"/>
      <c r="F59" s="2069"/>
      <c r="G59" s="2070" t="s">
        <v>18</v>
      </c>
      <c r="H59" s="2071"/>
    </row>
    <row r="60" spans="1:9">
      <c r="A60" s="257"/>
      <c r="B60" s="144">
        <f>Base_Mensuelle!AX5</f>
        <v>44896</v>
      </c>
      <c r="C60" s="144">
        <f>Base_Mensuelle!AY5</f>
        <v>45170</v>
      </c>
      <c r="D60" s="144">
        <f>Base_Mensuelle!AZ5</f>
        <v>45200</v>
      </c>
      <c r="E60" s="144">
        <f>Base_Mensuelle!BA5</f>
        <v>45231</v>
      </c>
      <c r="F60" s="144">
        <f>Base_Mensuelle!BB5</f>
        <v>45261</v>
      </c>
      <c r="G60" s="143" t="s">
        <v>19</v>
      </c>
      <c r="H60" s="87" t="s">
        <v>20</v>
      </c>
    </row>
    <row r="61" spans="1:9">
      <c r="A61" s="1469" t="s">
        <v>23</v>
      </c>
      <c r="B61" s="34">
        <f>Base_Mensuelle!AX7</f>
        <v>112680</v>
      </c>
      <c r="C61" s="34">
        <f>Base_Mensuelle!AY7</f>
        <v>11250</v>
      </c>
      <c r="D61" s="34">
        <f>Base_Mensuelle!AZ7</f>
        <v>6002</v>
      </c>
      <c r="E61" s="34">
        <f>Base_Mensuelle!BA7</f>
        <v>996</v>
      </c>
      <c r="F61" s="34">
        <f>Base_Mensuelle!BB7</f>
        <v>933</v>
      </c>
      <c r="G61" s="1242">
        <f t="shared" ref="G61:G74" si="6">+IF(E61=0,"",(F61/E61-1)*100)</f>
        <v>-6.3253012048192776</v>
      </c>
      <c r="H61" s="196">
        <f t="shared" ref="H61:H74" si="7">+IF(B61=0,"",(F61/B61-1)*100)</f>
        <v>-99.171991480298189</v>
      </c>
    </row>
    <row r="62" spans="1:9">
      <c r="A62" s="1468" t="s">
        <v>24</v>
      </c>
      <c r="B62" s="35">
        <f>Base_Mensuelle!AX8</f>
        <v>3965</v>
      </c>
      <c r="C62" s="35">
        <f>Base_Mensuelle!AY8</f>
        <v>3929</v>
      </c>
      <c r="D62" s="35">
        <f>Base_Mensuelle!AZ8</f>
        <v>3946</v>
      </c>
      <c r="E62" s="35">
        <f>Base_Mensuelle!BA8</f>
        <v>2928</v>
      </c>
      <c r="F62" s="35">
        <f>Base_Mensuelle!BB8</f>
        <v>2513</v>
      </c>
      <c r="G62" s="1244">
        <f t="shared" si="6"/>
        <v>-14.173497267759561</v>
      </c>
      <c r="H62" s="198">
        <f t="shared" si="7"/>
        <v>-36.620428751576299</v>
      </c>
    </row>
    <row r="63" spans="1:9">
      <c r="A63" s="1469" t="s">
        <v>25</v>
      </c>
      <c r="B63" s="34">
        <f>Base_Mensuelle!AX9</f>
        <v>4335</v>
      </c>
      <c r="C63" s="34">
        <f>Base_Mensuelle!AY9</f>
        <v>13757</v>
      </c>
      <c r="D63" s="34">
        <f>Base_Mensuelle!AZ9</f>
        <v>11633</v>
      </c>
      <c r="E63" s="34">
        <f>Base_Mensuelle!BA9</f>
        <v>10249</v>
      </c>
      <c r="F63" s="34">
        <f>Base_Mensuelle!BB9</f>
        <v>12002</v>
      </c>
      <c r="G63" s="1242">
        <f t="shared" si="6"/>
        <v>17.104107717826132</v>
      </c>
      <c r="H63" s="196">
        <f t="shared" si="7"/>
        <v>176.8627450980392</v>
      </c>
    </row>
    <row r="64" spans="1:9">
      <c r="A64" s="1468" t="s">
        <v>26</v>
      </c>
      <c r="B64" s="35">
        <f>Base_Mensuelle!AX10</f>
        <v>14038</v>
      </c>
      <c r="C64" s="35">
        <f>Base_Mensuelle!AY10</f>
        <v>14211</v>
      </c>
      <c r="D64" s="35">
        <f>Base_Mensuelle!AZ10</f>
        <v>11995</v>
      </c>
      <c r="E64" s="35">
        <f>Base_Mensuelle!BA10</f>
        <v>14727</v>
      </c>
      <c r="F64" s="35">
        <f>Base_Mensuelle!BB10</f>
        <v>13504</v>
      </c>
      <c r="G64" s="1244">
        <f t="shared" si="6"/>
        <v>-8.3044747742242127</v>
      </c>
      <c r="H64" s="198">
        <f t="shared" si="7"/>
        <v>-3.8039606781592794</v>
      </c>
    </row>
    <row r="65" spans="1:8">
      <c r="A65" s="1469" t="s">
        <v>27</v>
      </c>
      <c r="B65" s="34">
        <f>Base_Mensuelle!AX11</f>
        <v>8814</v>
      </c>
      <c r="C65" s="34">
        <f>Base_Mensuelle!AY11</f>
        <v>1895</v>
      </c>
      <c r="D65" s="34">
        <f>Base_Mensuelle!AZ11</f>
        <v>1644</v>
      </c>
      <c r="E65" s="34">
        <f>Base_Mensuelle!BA11</f>
        <v>1756</v>
      </c>
      <c r="F65" s="34">
        <f>Base_Mensuelle!BB11</f>
        <v>2283</v>
      </c>
      <c r="G65" s="1242">
        <f t="shared" si="6"/>
        <v>30.011389521640087</v>
      </c>
      <c r="H65" s="196">
        <f t="shared" si="7"/>
        <v>-74.098025867937366</v>
      </c>
    </row>
    <row r="66" spans="1:8">
      <c r="A66" s="1468" t="s">
        <v>28</v>
      </c>
      <c r="B66" s="35">
        <f>Base_Mensuelle!AX12</f>
        <v>8007</v>
      </c>
      <c r="C66" s="35">
        <f>Base_Mensuelle!AY12</f>
        <v>8973</v>
      </c>
      <c r="D66" s="35">
        <f>Base_Mensuelle!AZ12</f>
        <v>8714</v>
      </c>
      <c r="E66" s="35">
        <f>Base_Mensuelle!BA12</f>
        <v>5594</v>
      </c>
      <c r="F66" s="35">
        <f>Base_Mensuelle!BB12</f>
        <v>3288</v>
      </c>
      <c r="G66" s="1244">
        <f t="shared" si="6"/>
        <v>-41.222738648552017</v>
      </c>
      <c r="H66" s="198">
        <f t="shared" si="7"/>
        <v>-58.935931060322218</v>
      </c>
    </row>
    <row r="67" spans="1:8">
      <c r="A67" s="1469" t="s">
        <v>29</v>
      </c>
      <c r="B67" s="34">
        <f>Base_Mensuelle!AX13</f>
        <v>5911</v>
      </c>
      <c r="C67" s="34">
        <f>Base_Mensuelle!AY13</f>
        <v>3612</v>
      </c>
      <c r="D67" s="34">
        <f>Base_Mensuelle!AZ13</f>
        <v>3559</v>
      </c>
      <c r="E67" s="34">
        <f>Base_Mensuelle!BA13</f>
        <v>3015</v>
      </c>
      <c r="F67" s="34">
        <f>Base_Mensuelle!BB13</f>
        <v>3195</v>
      </c>
      <c r="G67" s="1242">
        <f t="shared" si="6"/>
        <v>5.9701492537313383</v>
      </c>
      <c r="H67" s="196">
        <f t="shared" si="7"/>
        <v>-45.948232109626119</v>
      </c>
    </row>
    <row r="68" spans="1:8">
      <c r="A68" s="1468" t="s">
        <v>30</v>
      </c>
      <c r="B68" s="35">
        <f>Base_Mensuelle!AX14</f>
        <v>2546</v>
      </c>
      <c r="C68" s="35">
        <f>Base_Mensuelle!AY14</f>
        <v>54</v>
      </c>
      <c r="D68" s="35">
        <f>Base_Mensuelle!AZ14</f>
        <v>69</v>
      </c>
      <c r="E68" s="35">
        <f>Base_Mensuelle!BA14</f>
        <v>64</v>
      </c>
      <c r="F68" s="35">
        <f>Base_Mensuelle!BB14</f>
        <v>76</v>
      </c>
      <c r="G68" s="1244">
        <f t="shared" si="6"/>
        <v>18.75</v>
      </c>
      <c r="H68" s="198">
        <f t="shared" si="7"/>
        <v>-97.014925373134332</v>
      </c>
    </row>
    <row r="69" spans="1:8">
      <c r="A69" s="1469" t="s">
        <v>31</v>
      </c>
      <c r="B69" s="34">
        <f>Base_Mensuelle!AX15</f>
        <v>138728</v>
      </c>
      <c r="C69" s="34">
        <f>Base_Mensuelle!AY15</f>
        <v>5441</v>
      </c>
      <c r="D69" s="34">
        <f>Base_Mensuelle!AZ15</f>
        <v>16857</v>
      </c>
      <c r="E69" s="34">
        <f>Base_Mensuelle!BA15</f>
        <v>14989</v>
      </c>
      <c r="F69" s="34">
        <f>Base_Mensuelle!BB15</f>
        <v>16568</v>
      </c>
      <c r="G69" s="1242">
        <f t="shared" si="6"/>
        <v>10.534391887384075</v>
      </c>
      <c r="H69" s="196">
        <f t="shared" si="7"/>
        <v>-88.057205466812761</v>
      </c>
    </row>
    <row r="70" spans="1:8">
      <c r="A70" s="1468" t="s">
        <v>32</v>
      </c>
      <c r="B70" s="35">
        <f>Base_Mensuelle!AX16</f>
        <v>5509</v>
      </c>
      <c r="C70" s="35">
        <f>Base_Mensuelle!AY16</f>
        <v>5187</v>
      </c>
      <c r="D70" s="35">
        <f>Base_Mensuelle!AZ16</f>
        <v>3717</v>
      </c>
      <c r="E70" s="35">
        <f>Base_Mensuelle!BA16</f>
        <v>3133</v>
      </c>
      <c r="F70" s="35">
        <f>Base_Mensuelle!BB16</f>
        <v>2442.9304900669754</v>
      </c>
      <c r="G70" s="1244">
        <f t="shared" si="6"/>
        <v>-22.025838172136115</v>
      </c>
      <c r="H70" s="198">
        <f t="shared" si="7"/>
        <v>-55.65564548798374</v>
      </c>
    </row>
    <row r="71" spans="1:8">
      <c r="A71" s="1469" t="s">
        <v>33</v>
      </c>
      <c r="B71" s="34">
        <f>Base_Mensuelle!AX17</f>
        <v>4961</v>
      </c>
      <c r="C71" s="34">
        <f>Base_Mensuelle!AY17</f>
        <v>6280</v>
      </c>
      <c r="D71" s="34">
        <f>Base_Mensuelle!AZ17</f>
        <v>6984</v>
      </c>
      <c r="E71" s="34">
        <f>Base_Mensuelle!BA17</f>
        <v>5262</v>
      </c>
      <c r="F71" s="34">
        <f>Base_Mensuelle!BB17</f>
        <v>3134</v>
      </c>
      <c r="G71" s="1242">
        <f t="shared" si="6"/>
        <v>-40.440896997339415</v>
      </c>
      <c r="H71" s="196">
        <f t="shared" si="7"/>
        <v>-36.827252570046362</v>
      </c>
    </row>
    <row r="72" spans="1:8">
      <c r="A72" s="1468" t="s">
        <v>34</v>
      </c>
      <c r="B72" s="35">
        <f>Base_Mensuelle!AX18</f>
        <v>5402</v>
      </c>
      <c r="C72" s="35">
        <f>Base_Mensuelle!AY18</f>
        <v>3362</v>
      </c>
      <c r="D72" s="35">
        <f>Base_Mensuelle!AZ18</f>
        <v>3341</v>
      </c>
      <c r="E72" s="35">
        <f>Base_Mensuelle!BA18</f>
        <v>4493</v>
      </c>
      <c r="F72" s="35">
        <f>Base_Mensuelle!BB18</f>
        <v>4143</v>
      </c>
      <c r="G72" s="1244">
        <f t="shared" si="6"/>
        <v>-7.7898953928333015</v>
      </c>
      <c r="H72" s="198">
        <f t="shared" si="7"/>
        <v>-23.306182895223991</v>
      </c>
    </row>
    <row r="73" spans="1:8">
      <c r="A73" s="1469" t="s">
        <v>35</v>
      </c>
      <c r="B73" s="34">
        <f>Base_Mensuelle!AX19</f>
        <v>6092</v>
      </c>
      <c r="C73" s="34">
        <f>Base_Mensuelle!AY19</f>
        <v>2724</v>
      </c>
      <c r="D73" s="34">
        <f>Base_Mensuelle!AZ19</f>
        <v>2223</v>
      </c>
      <c r="E73" s="34">
        <f>Base_Mensuelle!BA19</f>
        <v>4894</v>
      </c>
      <c r="F73" s="34">
        <f>Base_Mensuelle!BB19</f>
        <v>2638</v>
      </c>
      <c r="G73" s="1242">
        <f t="shared" si="6"/>
        <v>-46.097261953412335</v>
      </c>
      <c r="H73" s="196">
        <f t="shared" si="7"/>
        <v>-56.697307944845697</v>
      </c>
    </row>
    <row r="74" spans="1:8">
      <c r="A74" s="1662" t="s">
        <v>13</v>
      </c>
      <c r="B74" s="1663">
        <f>SUM(B61:B73)</f>
        <v>320988</v>
      </c>
      <c r="C74" s="1663">
        <f>SUM(C61:C73)</f>
        <v>80675</v>
      </c>
      <c r="D74" s="1663">
        <f>SUM(D61:D73)</f>
        <v>80684</v>
      </c>
      <c r="E74" s="1663">
        <f>SUM(E61:E73)</f>
        <v>72100</v>
      </c>
      <c r="F74" s="1663">
        <f>SUM(F61:F73)</f>
        <v>66719.930490066967</v>
      </c>
      <c r="G74" s="204">
        <f t="shared" si="6"/>
        <v>-7.4619549374938092</v>
      </c>
      <c r="H74" s="1664">
        <f t="shared" si="7"/>
        <v>-79.214197885881404</v>
      </c>
    </row>
    <row r="75" spans="1:8">
      <c r="A75" s="73" t="s">
        <v>21</v>
      </c>
      <c r="B75" s="31"/>
      <c r="C75" s="31"/>
      <c r="D75" s="31"/>
      <c r="E75" s="31"/>
      <c r="F75" s="31"/>
      <c r="G75" s="67"/>
      <c r="H75" s="67"/>
    </row>
    <row r="77" spans="1:8">
      <c r="A77" s="68" t="s">
        <v>41</v>
      </c>
      <c r="B77" s="69"/>
      <c r="C77" s="69"/>
      <c r="D77" s="69"/>
      <c r="E77" s="69"/>
      <c r="F77" s="69"/>
      <c r="G77" s="70"/>
      <c r="H77" s="67"/>
    </row>
    <row r="78" spans="1:8">
      <c r="A78" s="68"/>
      <c r="B78" s="69"/>
      <c r="C78" s="69"/>
      <c r="D78" s="69"/>
      <c r="E78" s="69"/>
      <c r="F78" s="69"/>
      <c r="G78" s="70"/>
      <c r="H78" s="67"/>
    </row>
    <row r="79" spans="1:8">
      <c r="A79" s="31"/>
      <c r="B79" s="2067" t="s">
        <v>12</v>
      </c>
      <c r="C79" s="2068"/>
      <c r="D79" s="2068"/>
      <c r="E79" s="2068"/>
      <c r="F79" s="2069"/>
      <c r="G79" s="2072" t="s">
        <v>18</v>
      </c>
      <c r="H79" s="2072"/>
    </row>
    <row r="80" spans="1:8">
      <c r="A80" s="257"/>
      <c r="B80" s="144">
        <f>Base_Mensuelle!BP5</f>
        <v>44896</v>
      </c>
      <c r="C80" s="151">
        <f>Base_Mensuelle!BQ5</f>
        <v>45170</v>
      </c>
      <c r="D80" s="151">
        <f>Base_Mensuelle!BR5</f>
        <v>45200</v>
      </c>
      <c r="E80" s="151">
        <f>Base_Mensuelle!BS5</f>
        <v>45231</v>
      </c>
      <c r="F80" s="151">
        <f>Base_Mensuelle!BT5</f>
        <v>45261</v>
      </c>
      <c r="G80" s="87" t="s">
        <v>19</v>
      </c>
      <c r="H80" s="87" t="s">
        <v>20</v>
      </c>
    </row>
    <row r="81" spans="1:8">
      <c r="A81" s="1469" t="s">
        <v>2</v>
      </c>
      <c r="B81" s="34">
        <f>Base_Mensuelle!BP7</f>
        <v>104.39</v>
      </c>
      <c r="C81" s="34">
        <f>Base_Mensuelle!BQ7</f>
        <v>51.81</v>
      </c>
      <c r="D81" s="34">
        <f>Base_Mensuelle!BR7</f>
        <v>53.075000000000003</v>
      </c>
      <c r="E81" s="34">
        <f>Base_Mensuelle!BS7</f>
        <v>53.954999999999998</v>
      </c>
      <c r="F81" s="34">
        <f>Base_Mensuelle!BT7</f>
        <v>46.365000000000002</v>
      </c>
      <c r="G81" s="1242">
        <f t="shared" ref="G81:G88" si="8">+IF(E81=0,"",(F81/E81-1)*100)</f>
        <v>-14.067278287461772</v>
      </c>
      <c r="H81" s="196">
        <f t="shared" ref="H81:H88" si="9">+IF(B81=0,"",(F81/B81-1)*100)</f>
        <v>-55.58482613277134</v>
      </c>
    </row>
    <row r="82" spans="1:8">
      <c r="A82" s="1468" t="s">
        <v>3</v>
      </c>
      <c r="B82" s="35">
        <f>Base_Mensuelle!BP8</f>
        <v>4726.7759999999998</v>
      </c>
      <c r="C82" s="35">
        <f>Base_Mensuelle!BQ8</f>
        <v>3105</v>
      </c>
      <c r="D82" s="35">
        <f>Base_Mensuelle!BR8</f>
        <v>4137.24</v>
      </c>
      <c r="E82" s="35">
        <f>Base_Mensuelle!BS8</f>
        <v>4094.46</v>
      </c>
      <c r="F82" s="35">
        <f>Base_Mensuelle!BT8</f>
        <v>4220.5919999999996</v>
      </c>
      <c r="G82" s="1244">
        <f t="shared" si="8"/>
        <v>3.0805527468823701</v>
      </c>
      <c r="H82" s="198">
        <f t="shared" si="9"/>
        <v>-10.708863715987393</v>
      </c>
    </row>
    <row r="83" spans="1:8">
      <c r="A83" s="1469" t="s">
        <v>4</v>
      </c>
      <c r="B83" s="34">
        <f>Base_Mensuelle!BP9</f>
        <v>18.8</v>
      </c>
      <c r="C83" s="34">
        <f>Base_Mensuelle!BQ9</f>
        <v>19.600000000000001</v>
      </c>
      <c r="D83" s="34">
        <f>Base_Mensuelle!BR9</f>
        <v>8.1999999999999993</v>
      </c>
      <c r="E83" s="34">
        <f>Base_Mensuelle!BS9</f>
        <v>6.4</v>
      </c>
      <c r="F83" s="34">
        <f>Base_Mensuelle!BT9</f>
        <v>5.6</v>
      </c>
      <c r="G83" s="1242">
        <f t="shared" si="8"/>
        <v>-12.500000000000011</v>
      </c>
      <c r="H83" s="196">
        <f t="shared" si="9"/>
        <v>-70.212765957446805</v>
      </c>
    </row>
    <row r="84" spans="1:8">
      <c r="A84" s="1468" t="s">
        <v>6</v>
      </c>
      <c r="B84" s="35">
        <f>Base_Mensuelle!BP10</f>
        <v>2888.8919999999998</v>
      </c>
      <c r="C84" s="35">
        <f>Base_Mensuelle!BQ10</f>
        <v>726.07500000000005</v>
      </c>
      <c r="D84" s="35">
        <f>Base_Mensuelle!BR10</f>
        <v>726.15599999999995</v>
      </c>
      <c r="E84" s="35">
        <f>Base_Mensuelle!BS10</f>
        <v>648.9</v>
      </c>
      <c r="F84" s="35">
        <f>Base_Mensuelle!BT10</f>
        <v>578.49300000000005</v>
      </c>
      <c r="G84" s="1244">
        <f t="shared" si="8"/>
        <v>-10.850208044382793</v>
      </c>
      <c r="H84" s="198">
        <f t="shared" si="9"/>
        <v>-79.975263872792752</v>
      </c>
    </row>
    <row r="85" spans="1:8">
      <c r="A85" s="1469" t="s">
        <v>7</v>
      </c>
      <c r="B85" s="34">
        <f>Base_Mensuelle!BP11</f>
        <v>15.4</v>
      </c>
      <c r="C85" s="34">
        <f>Base_Mensuelle!BQ11</f>
        <v>23.975000000000001</v>
      </c>
      <c r="D85" s="34">
        <f>Base_Mensuelle!BR11</f>
        <v>4.55</v>
      </c>
      <c r="E85" s="34">
        <f>Base_Mensuelle!BS11</f>
        <v>3.15</v>
      </c>
      <c r="F85" s="34">
        <f>Base_Mensuelle!BT11</f>
        <v>2.4500000000000002</v>
      </c>
      <c r="G85" s="1242">
        <f t="shared" si="8"/>
        <v>-22.222222222222211</v>
      </c>
      <c r="H85" s="196">
        <f t="shared" si="9"/>
        <v>-84.090909090909093</v>
      </c>
    </row>
    <row r="86" spans="1:8">
      <c r="A86" s="1468" t="s">
        <v>8</v>
      </c>
      <c r="B86" s="35">
        <f>Base_Mensuelle!BP12</f>
        <v>377.16</v>
      </c>
      <c r="C86" s="35">
        <f>Base_Mensuelle!BQ12</f>
        <v>257.3</v>
      </c>
      <c r="D86" s="35">
        <f>Base_Mensuelle!BR12</f>
        <v>315.70999999999998</v>
      </c>
      <c r="E86" s="35">
        <f>Base_Mensuelle!BS12</f>
        <v>302.99</v>
      </c>
      <c r="F86" s="35">
        <f>Base_Mensuelle!BT12</f>
        <v>276.98</v>
      </c>
      <c r="G86" s="1244">
        <f t="shared" si="8"/>
        <v>-8.5844417307501928</v>
      </c>
      <c r="H86" s="198">
        <f t="shared" si="9"/>
        <v>-26.561671439177005</v>
      </c>
    </row>
    <row r="87" spans="1:8">
      <c r="A87" s="1469" t="s">
        <v>9</v>
      </c>
      <c r="B87" s="34">
        <f>Base_Mensuelle!BP13</f>
        <v>441.44799999999998</v>
      </c>
      <c r="C87" s="34">
        <f>Base_Mensuelle!BQ13</f>
        <v>286.048</v>
      </c>
      <c r="D87" s="34">
        <f>Base_Mensuelle!BR13</f>
        <v>323.12</v>
      </c>
      <c r="E87" s="34">
        <f>Base_Mensuelle!BS13</f>
        <v>304.36</v>
      </c>
      <c r="F87" s="34">
        <f>Base_Mensuelle!BT13</f>
        <v>360.66800000000001</v>
      </c>
      <c r="G87" s="1242">
        <f t="shared" si="8"/>
        <v>18.500459981600727</v>
      </c>
      <c r="H87" s="196">
        <f t="shared" si="9"/>
        <v>-18.298870988202452</v>
      </c>
    </row>
    <row r="88" spans="1:8">
      <c r="A88" s="1662" t="s">
        <v>13</v>
      </c>
      <c r="B88" s="1663">
        <f>Base_Mensuelle!BP14</f>
        <v>8572.866</v>
      </c>
      <c r="C88" s="1663">
        <f>Base_Mensuelle!BQ14</f>
        <v>4469.8079999999991</v>
      </c>
      <c r="D88" s="1663">
        <f>Base_Mensuelle!BR14</f>
        <v>5568.0509999999995</v>
      </c>
      <c r="E88" s="1663">
        <f>Base_Mensuelle!BS14</f>
        <v>5414.2149999999983</v>
      </c>
      <c r="F88" s="1663">
        <f>Base_Mensuelle!BT14</f>
        <v>5491.1479999999992</v>
      </c>
      <c r="G88" s="204">
        <f t="shared" si="8"/>
        <v>1.4209446798843617</v>
      </c>
      <c r="H88" s="1664">
        <f t="shared" si="9"/>
        <v>-35.947348296357376</v>
      </c>
    </row>
    <row r="89" spans="1:8" ht="12.6" thickBot="1">
      <c r="A89" s="73" t="s">
        <v>21</v>
      </c>
      <c r="B89" s="31"/>
      <c r="C89" s="31"/>
      <c r="D89" s="31"/>
      <c r="E89" s="31"/>
      <c r="F89" s="31"/>
      <c r="G89" s="67"/>
      <c r="H89" s="67"/>
    </row>
    <row r="90" spans="1:8" ht="10" customHeight="1" thickBot="1">
      <c r="A90" s="189"/>
      <c r="B90" s="190"/>
      <c r="C90" s="190"/>
      <c r="D90" s="190"/>
      <c r="E90" s="190"/>
      <c r="F90" s="190"/>
      <c r="G90" s="190"/>
      <c r="H90" s="191"/>
    </row>
  </sheetData>
  <mergeCells count="11">
    <mergeCell ref="A2:H2"/>
    <mergeCell ref="B6:F6"/>
    <mergeCell ref="G6:H6"/>
    <mergeCell ref="B20:F20"/>
    <mergeCell ref="G20:H20"/>
    <mergeCell ref="B40:F40"/>
    <mergeCell ref="G40:H40"/>
    <mergeCell ref="B59:F59"/>
    <mergeCell ref="G59:H59"/>
    <mergeCell ref="B79:F79"/>
    <mergeCell ref="G79:H79"/>
  </mergeCells>
  <pageMargins left="0.70866141732283472" right="0.70866141732283472" top="0.74803149606299213" bottom="0.74803149606299213" header="0.31496062992125984" footer="0.31496062992125984"/>
  <pageSetup paperSize="9" scale="70" firstPageNumber="6" orientation="portrait" r:id="rId1"/>
  <headerFooter>
    <oddFooter>&amp;L&amp;8Bulletin trimestriel de conjoncture, 4e trimestre 2023</oddFooter>
  </headerFooter>
  <rowBreaks count="1" manualBreakCount="1">
    <brk id="5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39</vt:i4>
      </vt:variant>
      <vt:variant>
        <vt:lpstr>Plages nommées</vt:lpstr>
      </vt:variant>
      <vt:variant>
        <vt:i4>27</vt:i4>
      </vt:variant>
    </vt:vector>
  </HeadingPairs>
  <TitlesOfParts>
    <vt:vector size="66" baseType="lpstr">
      <vt:lpstr>Couv</vt:lpstr>
      <vt:lpstr>SOMMAIRE</vt:lpstr>
      <vt:lpstr>AV-PROPOS</vt:lpstr>
      <vt:lpstr>SIGLES</vt:lpstr>
      <vt:lpstr>LISTE DES TAB</vt:lpstr>
      <vt:lpstr>Taux de change</vt:lpstr>
      <vt:lpstr>Matprem</vt:lpstr>
      <vt:lpstr>Agriculture</vt:lpstr>
      <vt:lpstr>Elevage</vt:lpstr>
      <vt:lpstr>Stat Ind</vt:lpstr>
      <vt:lpstr>ptod ind</vt:lpstr>
      <vt:lpstr>Eau,Elec</vt:lpstr>
      <vt:lpstr>Transport</vt:lpstr>
      <vt:lpstr>Telecom</vt:lpstr>
      <vt:lpstr>Tourism</vt:lpstr>
      <vt:lpstr>Com Ex</vt:lpstr>
      <vt:lpstr>Prix1</vt:lpstr>
      <vt:lpstr>prix2</vt:lpstr>
      <vt:lpstr>Emploi</vt:lpstr>
      <vt:lpstr>TOFE</vt:lpstr>
      <vt:lpstr>Serie_Graph1</vt:lpstr>
      <vt:lpstr>Base_Annuelle</vt:lpstr>
      <vt:lpstr>Monnaie</vt:lpstr>
      <vt:lpstr>Serie_Graph2</vt:lpstr>
      <vt:lpstr>Serie_Graph3</vt:lpstr>
      <vt:lpstr>ANN</vt:lpstr>
      <vt:lpstr>Ann ChangMatAgricElev</vt:lpstr>
      <vt:lpstr>AnnProdInd</vt:lpstr>
      <vt:lpstr>PrAnn</vt:lpstr>
      <vt:lpstr>Ann Eau, ElecTransTouris</vt:lpstr>
      <vt:lpstr>EmploiAnn</vt:lpstr>
      <vt:lpstr>TofeAnn</vt:lpstr>
      <vt:lpstr>MonAnn</vt:lpstr>
      <vt:lpstr>crédit-équipe</vt:lpstr>
      <vt:lpstr>Base_Mensuelle</vt:lpstr>
      <vt:lpstr>Base_Trimestrielle</vt:lpstr>
      <vt:lpstr>Feuil2</vt:lpstr>
      <vt:lpstr>Feuil1</vt:lpstr>
      <vt:lpstr>ANN_Base_mens</vt:lpstr>
      <vt:lpstr>'Eau,Elec'!_Hlk15569485</vt:lpstr>
      <vt:lpstr>SIGLES!Print_Area</vt:lpstr>
      <vt:lpstr>Agriculture!Zone_d_impression</vt:lpstr>
      <vt:lpstr>ANN!Zone_d_impression</vt:lpstr>
      <vt:lpstr>'Ann ChangMatAgricElev'!Zone_d_impression</vt:lpstr>
      <vt:lpstr>'Ann Eau, ElecTransTouris'!Zone_d_impression</vt:lpstr>
      <vt:lpstr>AnnProdInd!Zone_d_impression</vt:lpstr>
      <vt:lpstr>'AV-PROPOS'!Zone_d_impression</vt:lpstr>
      <vt:lpstr>'Com Ex'!Zone_d_impression</vt:lpstr>
      <vt:lpstr>Couv!Zone_d_impression</vt:lpstr>
      <vt:lpstr>Emploi!Zone_d_impression</vt:lpstr>
      <vt:lpstr>EmploiAnn!Zone_d_impression</vt:lpstr>
      <vt:lpstr>'LISTE DES TAB'!Zone_d_impression</vt:lpstr>
      <vt:lpstr>MonAnn!Zone_d_impression</vt:lpstr>
      <vt:lpstr>Monnaie!Zone_d_impression</vt:lpstr>
      <vt:lpstr>PrAnn!Zone_d_impression</vt:lpstr>
      <vt:lpstr>Prix1!Zone_d_impression</vt:lpstr>
      <vt:lpstr>prix2!Zone_d_impression</vt:lpstr>
      <vt:lpstr>'ptod ind'!Zone_d_impression</vt:lpstr>
      <vt:lpstr>SOMMAIRE!Zone_d_impression</vt:lpstr>
      <vt:lpstr>'Stat Ind'!Zone_d_impression</vt:lpstr>
      <vt:lpstr>'Taux de change'!Zone_d_impression</vt:lpstr>
      <vt:lpstr>Telecom!Zone_d_impression</vt:lpstr>
      <vt:lpstr>TOFE!Zone_d_impression</vt:lpstr>
      <vt:lpstr>TofeAnn!Zone_d_impression</vt:lpstr>
      <vt:lpstr>Tourism!Zone_d_impression</vt:lpstr>
      <vt:lpstr>Transport!Zone_d_impression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Barbi KABORE</cp:lastModifiedBy>
  <cp:lastPrinted>2024-03-23T09:59:20Z</cp:lastPrinted>
  <dcterms:created xsi:type="dcterms:W3CDTF">2019-07-30T10:37:23Z</dcterms:created>
  <dcterms:modified xsi:type="dcterms:W3CDTF">2024-03-23T10:06:36Z</dcterms:modified>
</cp:coreProperties>
</file>